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omments2.xml" ContentType="application/vnd.openxmlformats-officedocument.spreadsheetml.comments+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omments3.xml" ContentType="application/vnd.openxmlformats-officedocument.spreadsheetml.comments+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omments4.xml" ContentType="application/vnd.openxmlformats-officedocument.spreadsheetml.comments+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Ex1.xml" ContentType="application/vnd.ms-office.chartex+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Ex2.xml" ContentType="application/vnd.ms-office.chartex+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harts/chart9.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xml"/>
  <Override PartName="/xl/charts/chartEx3.xml" ContentType="application/vnd.ms-office.chartex+xml"/>
  <Override PartName="/xl/charts/style12.xml" ContentType="application/vnd.ms-office.chartstyle+xml"/>
  <Override PartName="/xl/charts/colors12.xml" ContentType="application/vnd.ms-office.chartcolorstyle+xml"/>
  <Override PartName="/xl/drawings/drawing13.xml" ContentType="application/vnd.openxmlformats-officedocument.drawing+xml"/>
  <Override PartName="/xl/charts/chart10.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xml"/>
  <Override PartName="/xl/charts/chartEx4.xml" ContentType="application/vnd.ms-office.chartex+xml"/>
  <Override PartName="/xl/charts/style14.xml" ContentType="application/vnd.ms-office.chartstyle+xml"/>
  <Override PartName="/xl/charts/colors14.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6.xml" ContentType="application/vnd.openxmlformats-officedocument.drawing+xml"/>
  <Override PartName="/xl/charts/chartEx5.xml" ContentType="application/vnd.ms-office.chartex+xml"/>
  <Override PartName="/xl/charts/style16.xml" ContentType="application/vnd.ms-office.chartstyle+xml"/>
  <Override PartName="/xl/charts/colors16.xml" ContentType="application/vnd.ms-office.chartcolorstyle+xml"/>
  <Override PartName="/xl/drawings/drawing17.xml" ContentType="application/vnd.openxmlformats-officedocument.drawing+xml"/>
  <Override PartName="/xl/charts/chart12.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8.xml" ContentType="application/vnd.openxmlformats-officedocument.drawing+xml"/>
  <Override PartName="/xl/charts/chart13.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9.xml" ContentType="application/vnd.openxmlformats-officedocument.drawing+xml"/>
  <Override PartName="/xl/charts/chart14.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0.xml" ContentType="application/vnd.openxmlformats-officedocument.drawing+xml"/>
  <Override PartName="/xl/charts/chart15.xml" ContentType="application/vnd.openxmlformats-officedocument.drawingml.chart+xml"/>
  <Override PartName="/xl/charts/style20.xml" ContentType="application/vnd.ms-office.chartstyle+xml"/>
  <Override PartName="/xl/charts/colors2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mc:AlternateContent xmlns:mc="http://schemas.openxmlformats.org/markup-compatibility/2006">
    <mc:Choice Requires="x15">
      <x15ac:absPath xmlns:x15ac="http://schemas.microsoft.com/office/spreadsheetml/2010/11/ac" url="G:\My Drive\Active Work\Manuscripts\A New Look\"/>
    </mc:Choice>
  </mc:AlternateContent>
  <xr:revisionPtr revIDLastSave="0" documentId="13_ncr:1_{E9C40931-2868-4F9E-8BA0-F6CFCE680A4A}" xr6:coauthVersionLast="46" xr6:coauthVersionMax="46" xr10:uidLastSave="{00000000-0000-0000-0000-000000000000}"/>
  <bookViews>
    <workbookView xWindow="-120" yWindow="-120" windowWidth="29040" windowHeight="15840" tabRatio="603" xr2:uid="{00000000-000D-0000-FFFF-FFFF00000000}"/>
  </bookViews>
  <sheets>
    <sheet name="Listing" sheetId="1" r:id="rId1"/>
    <sheet name="WM" sheetId="11" r:id="rId2"/>
    <sheet name="WM graph" sheetId="12" r:id="rId3"/>
    <sheet name="WM Single" sheetId="13" r:id="rId4"/>
    <sheet name="WM Single graph" sheetId="14" r:id="rId5"/>
    <sheet name="WM Multiple" sheetId="15" r:id="rId6"/>
    <sheet name="WM Multiple graph" sheetId="16" r:id="rId7"/>
    <sheet name="e-LTM" sheetId="17" r:id="rId8"/>
    <sheet name="e-LTM graph" sheetId="18" r:id="rId9"/>
    <sheet name="e-LTM Single" sheetId="19" r:id="rId10"/>
    <sheet name="e-LTM Single graph" sheetId="22" r:id="rId11"/>
    <sheet name="e-LTM Multiple" sheetId="20" r:id="rId12"/>
    <sheet name="e-LTM Multiple graph" sheetId="21" r:id="rId13"/>
    <sheet name="t-LTM" sheetId="23" r:id="rId14"/>
    <sheet name="t-LTM graph" sheetId="24" r:id="rId15"/>
    <sheet name="t-LTM Single" sheetId="25" r:id="rId16"/>
    <sheet name="t-LTM Single graph" sheetId="26" r:id="rId17"/>
    <sheet name="t-LTM Multiple" sheetId="27" r:id="rId18"/>
    <sheet name="t-LTM Multiple graph" sheetId="28" r:id="rId19"/>
    <sheet name="LLM" sheetId="29" r:id="rId20"/>
    <sheet name="LLM graph" sheetId="30" r:id="rId21"/>
    <sheet name="LLM Single" sheetId="31" r:id="rId22"/>
    <sheet name="LLM Single graph" sheetId="32" r:id="rId23"/>
    <sheet name="LLM Multiple" sheetId="33" r:id="rId24"/>
    <sheet name="LLM Multiple graph" sheetId="34" r:id="rId25"/>
    <sheet name="Bars" sheetId="35" r:id="rId26"/>
    <sheet name="Bars Single" sheetId="36" r:id="rId27"/>
    <sheet name="Bars Multiple" sheetId="37" r:id="rId28"/>
  </sheets>
  <definedNames>
    <definedName name="_xlchart.v1.0" hidden="1">Listing!$AG$3:$AG$1501</definedName>
    <definedName name="_xlchart.v1.1" hidden="1">Listing!$AG$3:$AG$1501</definedName>
    <definedName name="_xlchart.v1.2" hidden="1">Listing!$AG$3:$AG$1501</definedName>
    <definedName name="_xlchart.v1.3" hidden="1">Listing!$AG$3:$AG$1501</definedName>
    <definedName name="_xlchart.v1.4" hidden="1">Listing!$AG$3:$AG$1501</definedName>
    <definedName name="solver_adj" localSheetId="0">Listing!$AM$971:$AN$971</definedName>
    <definedName name="solver_opt" localSheetId="0">Listing!$AM$971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M9" i="15" l="1"/>
  <c r="C5" i="37" l="1"/>
  <c r="B5" i="37"/>
  <c r="AM424" i="33"/>
  <c r="AM423" i="33"/>
  <c r="AM422" i="33"/>
  <c r="AM421" i="33"/>
  <c r="AM420" i="33"/>
  <c r="AM419" i="33"/>
  <c r="C5" i="36"/>
  <c r="B5" i="36"/>
  <c r="C5" i="35"/>
  <c r="B5" i="35"/>
  <c r="C4" i="35"/>
  <c r="B4" i="35"/>
  <c r="AM720" i="29"/>
  <c r="AM719" i="29"/>
  <c r="AM718" i="29"/>
  <c r="AM717" i="29"/>
  <c r="AM716" i="29"/>
  <c r="AM715" i="29"/>
  <c r="C4" i="37"/>
  <c r="B4" i="37"/>
  <c r="AM150" i="27"/>
  <c r="AM149" i="27"/>
  <c r="AM148" i="27"/>
  <c r="AM147" i="27"/>
  <c r="AM146" i="27"/>
  <c r="AM145" i="27"/>
  <c r="C4" i="36"/>
  <c r="B4" i="36"/>
  <c r="AM198" i="25"/>
  <c r="AM197" i="25"/>
  <c r="AM196" i="25"/>
  <c r="AM195" i="25"/>
  <c r="AM194" i="25"/>
  <c r="AM193" i="25"/>
  <c r="AM338" i="23"/>
  <c r="AM337" i="23"/>
  <c r="AM336" i="23"/>
  <c r="AM335" i="23"/>
  <c r="AM334" i="23"/>
  <c r="AM333" i="23"/>
  <c r="C3" i="37"/>
  <c r="B3" i="37"/>
  <c r="AM32" i="20"/>
  <c r="AM31" i="20"/>
  <c r="AM30" i="20"/>
  <c r="AM29" i="20"/>
  <c r="AM28" i="20"/>
  <c r="AM27" i="20"/>
  <c r="C2" i="36"/>
  <c r="B2" i="36"/>
  <c r="AM184" i="13"/>
  <c r="AM185" i="13"/>
  <c r="AM181" i="13"/>
  <c r="AM189" i="11"/>
  <c r="AM189" i="13"/>
  <c r="AM427" i="33" l="1"/>
  <c r="AM426" i="33"/>
  <c r="AM723" i="29"/>
  <c r="AM722" i="29"/>
  <c r="AM153" i="27"/>
  <c r="AM152" i="27"/>
  <c r="AM201" i="25"/>
  <c r="AM200" i="25"/>
  <c r="AM341" i="23"/>
  <c r="AM340" i="23"/>
  <c r="AM35" i="20"/>
  <c r="AM34" i="20"/>
  <c r="BB143" i="27"/>
  <c r="BA143" i="27"/>
  <c r="AZ143" i="27"/>
  <c r="AY143" i="27"/>
  <c r="AX143" i="27"/>
  <c r="AW143" i="27"/>
  <c r="AG143" i="27" s="1"/>
  <c r="AV143" i="27"/>
  <c r="AK143" i="27" s="1"/>
  <c r="AE143" i="27"/>
  <c r="AA143" i="27"/>
  <c r="AB143" i="27" s="1"/>
  <c r="Y143" i="27"/>
  <c r="W143" i="27"/>
  <c r="U143" i="27"/>
  <c r="R143" i="27"/>
  <c r="L143" i="27"/>
  <c r="K143" i="27"/>
  <c r="BB142" i="27"/>
  <c r="BA142" i="27"/>
  <c r="AZ142" i="27"/>
  <c r="AY142" i="27"/>
  <c r="AX142" i="27"/>
  <c r="AW142" i="27"/>
  <c r="AC143" i="27" s="1"/>
  <c r="AD143" i="27" s="1"/>
  <c r="BB331" i="23"/>
  <c r="BA331" i="23"/>
  <c r="AZ331" i="23"/>
  <c r="AY331" i="23"/>
  <c r="AX331" i="23"/>
  <c r="AW331" i="23"/>
  <c r="AV331" i="23"/>
  <c r="AT331" i="23"/>
  <c r="AL331" i="23"/>
  <c r="AG331" i="23"/>
  <c r="AF331" i="23"/>
  <c r="AC331" i="23"/>
  <c r="AD331" i="23" s="1"/>
  <c r="AB331" i="23"/>
  <c r="AA331" i="23"/>
  <c r="AE331" i="23" s="1"/>
  <c r="Y331" i="23"/>
  <c r="W331" i="23"/>
  <c r="U331" i="23"/>
  <c r="R331" i="23"/>
  <c r="L331" i="23"/>
  <c r="K331" i="23"/>
  <c r="BB330" i="23"/>
  <c r="BA330" i="23"/>
  <c r="AZ330" i="23"/>
  <c r="AY330" i="23"/>
  <c r="AX330" i="23"/>
  <c r="AW330" i="23"/>
  <c r="AK331" i="23" s="1"/>
  <c r="A297" i="32"/>
  <c r="AG297" i="31"/>
  <c r="AF297" i="31"/>
  <c r="AA297" i="31"/>
  <c r="B297" i="32" s="1"/>
  <c r="C297" i="32" s="1"/>
  <c r="Y297" i="31"/>
  <c r="V297" i="31"/>
  <c r="W297" i="31" s="1"/>
  <c r="U297" i="31"/>
  <c r="R297" i="31"/>
  <c r="L297" i="31"/>
  <c r="K297" i="31"/>
  <c r="AX296" i="31"/>
  <c r="AJ297" i="31" s="1"/>
  <c r="AW296" i="31"/>
  <c r="D415" i="34"/>
  <c r="B415" i="34"/>
  <c r="C415" i="34" s="1"/>
  <c r="A415" i="34"/>
  <c r="AP417" i="33"/>
  <c r="AO417" i="33"/>
  <c r="AG417" i="33"/>
  <c r="AF417" i="33"/>
  <c r="AC417" i="33"/>
  <c r="AD417" i="33" s="1"/>
  <c r="AA417" i="33"/>
  <c r="AB417" i="33" s="1"/>
  <c r="Y417" i="33"/>
  <c r="V417" i="33"/>
  <c r="W417" i="33" s="1"/>
  <c r="U417" i="33"/>
  <c r="R417" i="33"/>
  <c r="L417" i="33"/>
  <c r="K417" i="33"/>
  <c r="AX416" i="33"/>
  <c r="AW416" i="33"/>
  <c r="AK417" i="33" s="1"/>
  <c r="D711" i="30"/>
  <c r="B711" i="30"/>
  <c r="C711" i="30" s="1"/>
  <c r="A711" i="30"/>
  <c r="D709" i="30"/>
  <c r="B709" i="30"/>
  <c r="C709" i="30" s="1"/>
  <c r="A709" i="30"/>
  <c r="AT711" i="29"/>
  <c r="AS711" i="29"/>
  <c r="AP711" i="29"/>
  <c r="AO711" i="29"/>
  <c r="AM711" i="29"/>
  <c r="AL711" i="29"/>
  <c r="AK711" i="29"/>
  <c r="AG711" i="29"/>
  <c r="AF711" i="29"/>
  <c r="AD711" i="29"/>
  <c r="AC711" i="29"/>
  <c r="AB711" i="29"/>
  <c r="AA711" i="29"/>
  <c r="AE711" i="29" s="1"/>
  <c r="Y711" i="29"/>
  <c r="V711" i="29"/>
  <c r="W711" i="29" s="1"/>
  <c r="U711" i="29"/>
  <c r="R711" i="29"/>
  <c r="L711" i="29"/>
  <c r="K711" i="29"/>
  <c r="AX710" i="29"/>
  <c r="AW710" i="29"/>
  <c r="AJ711" i="29" s="1"/>
  <c r="AS709" i="29"/>
  <c r="AG709" i="29"/>
  <c r="AF709" i="29"/>
  <c r="AB709" i="29"/>
  <c r="AA709" i="29"/>
  <c r="AE709" i="29" s="1"/>
  <c r="Y709" i="29"/>
  <c r="W709" i="29"/>
  <c r="V709" i="29"/>
  <c r="U709" i="29"/>
  <c r="R709" i="29"/>
  <c r="L709" i="29"/>
  <c r="K709" i="29"/>
  <c r="AX708" i="29"/>
  <c r="AW708" i="29"/>
  <c r="AK709" i="29" s="1"/>
  <c r="V1465" i="1"/>
  <c r="W1465" i="1" s="1"/>
  <c r="AT1465" i="1"/>
  <c r="AS1465" i="1"/>
  <c r="AL1465" i="1"/>
  <c r="AK1465" i="1"/>
  <c r="AG1465" i="1"/>
  <c r="AF1465" i="1"/>
  <c r="AA1465" i="1"/>
  <c r="AB1465" i="1" s="1"/>
  <c r="Y1465" i="1"/>
  <c r="U1465" i="1"/>
  <c r="R1465" i="1"/>
  <c r="L1465" i="1"/>
  <c r="K1465" i="1"/>
  <c r="AX1464" i="1"/>
  <c r="AW1464" i="1"/>
  <c r="AC1465" i="1" s="1"/>
  <c r="AD1465" i="1" s="1"/>
  <c r="AX1462" i="1"/>
  <c r="AC1463" i="1" s="1"/>
  <c r="AD1463" i="1" s="1"/>
  <c r="AW1462" i="1"/>
  <c r="AA1463" i="1"/>
  <c r="AB1463" i="1" s="1"/>
  <c r="AM1463" i="1"/>
  <c r="AL1463" i="1"/>
  <c r="AG1463" i="1"/>
  <c r="AF1463" i="1"/>
  <c r="Y1463" i="1"/>
  <c r="V1463" i="1"/>
  <c r="W1463" i="1" s="1"/>
  <c r="U1463" i="1"/>
  <c r="R1463" i="1"/>
  <c r="L1463" i="1"/>
  <c r="K1463" i="1"/>
  <c r="D169" i="26"/>
  <c r="B169" i="26"/>
  <c r="C169" i="26" s="1"/>
  <c r="A169" i="26"/>
  <c r="AM169" i="25"/>
  <c r="AG169" i="25"/>
  <c r="AF169" i="25"/>
  <c r="AD169" i="25"/>
  <c r="AC169" i="25"/>
  <c r="AA169" i="25"/>
  <c r="AB169" i="25" s="1"/>
  <c r="W169" i="25"/>
  <c r="U169" i="25"/>
  <c r="R169" i="25"/>
  <c r="L169" i="25"/>
  <c r="K169" i="25"/>
  <c r="AX168" i="25"/>
  <c r="AW168" i="25"/>
  <c r="AV168" i="25"/>
  <c r="AT169" i="25" s="1"/>
  <c r="D307" i="24"/>
  <c r="B307" i="24"/>
  <c r="C307" i="24" s="1"/>
  <c r="A307" i="24"/>
  <c r="AM307" i="23"/>
  <c r="AG307" i="23"/>
  <c r="AF307" i="23"/>
  <c r="AA307" i="23"/>
  <c r="AB307" i="23" s="1"/>
  <c r="W307" i="23"/>
  <c r="U307" i="23"/>
  <c r="R307" i="23"/>
  <c r="L307" i="23"/>
  <c r="K307" i="23"/>
  <c r="AX306" i="23"/>
  <c r="AW306" i="23"/>
  <c r="AC307" i="23" s="1"/>
  <c r="AD307" i="23" s="1"/>
  <c r="AV306" i="23"/>
  <c r="AT307" i="23" s="1"/>
  <c r="A293" i="32"/>
  <c r="AG293" i="31"/>
  <c r="AF293" i="31"/>
  <c r="AA293" i="31"/>
  <c r="AB293" i="31" s="1"/>
  <c r="W293" i="31"/>
  <c r="U293" i="31"/>
  <c r="R293" i="31"/>
  <c r="L293" i="31"/>
  <c r="K293" i="31"/>
  <c r="AZ292" i="31"/>
  <c r="AY292" i="31"/>
  <c r="AX292" i="31"/>
  <c r="AW292" i="31"/>
  <c r="AV292" i="31"/>
  <c r="D693" i="30"/>
  <c r="B693" i="30"/>
  <c r="C693" i="30" s="1"/>
  <c r="A693" i="30"/>
  <c r="AG693" i="29"/>
  <c r="AF693" i="29"/>
  <c r="AA693" i="29"/>
  <c r="AB693" i="29" s="1"/>
  <c r="W693" i="29"/>
  <c r="U693" i="29"/>
  <c r="R693" i="29"/>
  <c r="L693" i="29"/>
  <c r="K693" i="29"/>
  <c r="AZ692" i="29"/>
  <c r="AY692" i="29"/>
  <c r="AC693" i="29" s="1"/>
  <c r="AD693" i="29" s="1"/>
  <c r="AX692" i="29"/>
  <c r="AW692" i="29"/>
  <c r="AV692" i="29"/>
  <c r="AQ693" i="29" s="1"/>
  <c r="AV1420" i="1"/>
  <c r="AR1421" i="1" s="1"/>
  <c r="AW1420" i="1"/>
  <c r="AX1420" i="1"/>
  <c r="AA1421" i="1"/>
  <c r="AB1421" i="1" s="1"/>
  <c r="AS1421" i="1"/>
  <c r="AO1421" i="1"/>
  <c r="AG1421" i="1"/>
  <c r="AF1421" i="1"/>
  <c r="W1421" i="1"/>
  <c r="U1421" i="1"/>
  <c r="R1421" i="1"/>
  <c r="L1421" i="1"/>
  <c r="K1421" i="1"/>
  <c r="AV1388" i="1"/>
  <c r="Y1389" i="1" s="1"/>
  <c r="AW1388" i="1"/>
  <c r="AX1388" i="1"/>
  <c r="AY1388" i="1"/>
  <c r="AZ1388" i="1"/>
  <c r="AA1389" i="1"/>
  <c r="AB1389" i="1" s="1"/>
  <c r="AG1389" i="1"/>
  <c r="AF1389" i="1"/>
  <c r="W1389" i="1"/>
  <c r="U1389" i="1"/>
  <c r="R1389" i="1"/>
  <c r="L1389" i="1"/>
  <c r="K1389" i="1"/>
  <c r="A265" i="32"/>
  <c r="A263" i="32"/>
  <c r="AG265" i="31"/>
  <c r="AF265" i="31"/>
  <c r="AA265" i="31"/>
  <c r="AB265" i="31" s="1"/>
  <c r="W265" i="31"/>
  <c r="U265" i="31"/>
  <c r="R265" i="31"/>
  <c r="L265" i="31"/>
  <c r="K265" i="31"/>
  <c r="AZ264" i="31"/>
  <c r="AY264" i="31"/>
  <c r="AX264" i="31"/>
  <c r="AW264" i="31"/>
  <c r="AV264" i="31"/>
  <c r="AG263" i="31"/>
  <c r="AF263" i="31"/>
  <c r="AA263" i="31"/>
  <c r="W263" i="31"/>
  <c r="U263" i="31"/>
  <c r="R263" i="31"/>
  <c r="L263" i="31"/>
  <c r="K263" i="31"/>
  <c r="AZ262" i="31"/>
  <c r="AY262" i="31"/>
  <c r="AX262" i="31"/>
  <c r="AW262" i="31"/>
  <c r="AV262" i="31"/>
  <c r="Y263" i="31" s="1"/>
  <c r="D631" i="30"/>
  <c r="B631" i="30"/>
  <c r="C631" i="30" s="1"/>
  <c r="A631" i="30"/>
  <c r="D629" i="30"/>
  <c r="B629" i="30"/>
  <c r="C629" i="30" s="1"/>
  <c r="A629" i="30"/>
  <c r="AM631" i="29"/>
  <c r="AG631" i="29"/>
  <c r="AF631" i="29"/>
  <c r="AD631" i="29"/>
  <c r="AC631" i="29"/>
  <c r="AB631" i="29"/>
  <c r="AA631" i="29"/>
  <c r="W631" i="29"/>
  <c r="U631" i="29"/>
  <c r="R631" i="29"/>
  <c r="L631" i="29"/>
  <c r="K631" i="29"/>
  <c r="AZ630" i="29"/>
  <c r="AY630" i="29"/>
  <c r="AX630" i="29"/>
  <c r="AW630" i="29"/>
  <c r="AV630" i="29"/>
  <c r="AK631" i="29" s="1"/>
  <c r="AS629" i="29"/>
  <c r="AK629" i="29"/>
  <c r="AG629" i="29"/>
  <c r="AF629" i="29"/>
  <c r="AB629" i="29"/>
  <c r="AA629" i="29"/>
  <c r="AE629" i="29" s="1"/>
  <c r="Y629" i="29"/>
  <c r="W629" i="29"/>
  <c r="U629" i="29"/>
  <c r="R629" i="29"/>
  <c r="L629" i="29"/>
  <c r="K629" i="29"/>
  <c r="AZ628" i="29"/>
  <c r="AY628" i="29"/>
  <c r="AJ629" i="29" s="1"/>
  <c r="AX628" i="29"/>
  <c r="AI629" i="29" s="1"/>
  <c r="AW628" i="29"/>
  <c r="AC629" i="29" s="1"/>
  <c r="AD629" i="29" s="1"/>
  <c r="AV628" i="29"/>
  <c r="AO629" i="29" s="1"/>
  <c r="D367" i="34"/>
  <c r="B367" i="34"/>
  <c r="C367" i="34" s="1"/>
  <c r="A367" i="34"/>
  <c r="D365" i="34"/>
  <c r="B365" i="34"/>
  <c r="C365" i="34" s="1"/>
  <c r="A365" i="34"/>
  <c r="AM369" i="33"/>
  <c r="AG369" i="33"/>
  <c r="AF369" i="33"/>
  <c r="AD369" i="33"/>
  <c r="AC369" i="33"/>
  <c r="AA369" i="33"/>
  <c r="AB369" i="33" s="1"/>
  <c r="Y369" i="33"/>
  <c r="W369" i="33"/>
  <c r="U369" i="33"/>
  <c r="R369" i="33"/>
  <c r="L369" i="33"/>
  <c r="K369" i="33"/>
  <c r="AY368" i="33"/>
  <c r="AX368" i="33"/>
  <c r="AK369" i="33" s="1"/>
  <c r="AW368" i="33"/>
  <c r="AI369" i="33" s="1"/>
  <c r="AQ367" i="33"/>
  <c r="AG367" i="33"/>
  <c r="AF367" i="33"/>
  <c r="AB367" i="33"/>
  <c r="AA367" i="33"/>
  <c r="Y367" i="33"/>
  <c r="AE367" i="33" s="1"/>
  <c r="W367" i="33"/>
  <c r="U367" i="33"/>
  <c r="R367" i="33"/>
  <c r="L367" i="33"/>
  <c r="K367" i="33"/>
  <c r="AY366" i="33"/>
  <c r="AX366" i="33"/>
  <c r="AW366" i="33"/>
  <c r="AI367" i="33" s="1"/>
  <c r="D617" i="30"/>
  <c r="B617" i="30"/>
  <c r="C617" i="30" s="1"/>
  <c r="A617" i="30"/>
  <c r="D615" i="30"/>
  <c r="B615" i="30"/>
  <c r="C615" i="30" s="1"/>
  <c r="A615" i="30"/>
  <c r="AM617" i="29"/>
  <c r="AG617" i="29"/>
  <c r="AF617" i="29"/>
  <c r="AD617" i="29"/>
  <c r="AC617" i="29"/>
  <c r="AA617" i="29"/>
  <c r="AB617" i="29" s="1"/>
  <c r="Y617" i="29"/>
  <c r="W617" i="29"/>
  <c r="U617" i="29"/>
  <c r="R617" i="29"/>
  <c r="L617" i="29"/>
  <c r="K617" i="29"/>
  <c r="AY616" i="29"/>
  <c r="AX616" i="29"/>
  <c r="AW616" i="29"/>
  <c r="AK617" i="29" s="1"/>
  <c r="AG615" i="29"/>
  <c r="AF615" i="29"/>
  <c r="AB615" i="29"/>
  <c r="AA615" i="29"/>
  <c r="AE615" i="29" s="1"/>
  <c r="Y615" i="29"/>
  <c r="W615" i="29"/>
  <c r="U615" i="29"/>
  <c r="R615" i="29"/>
  <c r="L615" i="29"/>
  <c r="K615" i="29"/>
  <c r="AY614" i="29"/>
  <c r="AX614" i="29"/>
  <c r="AW614" i="29"/>
  <c r="AI615" i="29" s="1"/>
  <c r="AG1271" i="1"/>
  <c r="AF1271" i="1"/>
  <c r="AA1271" i="1"/>
  <c r="AB1271" i="1" s="1"/>
  <c r="W1271" i="1"/>
  <c r="U1271" i="1"/>
  <c r="R1271" i="1"/>
  <c r="L1271" i="1"/>
  <c r="K1271" i="1"/>
  <c r="AZ1270" i="1"/>
  <c r="AY1270" i="1"/>
  <c r="AX1270" i="1"/>
  <c r="AW1270" i="1"/>
  <c r="AV1270" i="1"/>
  <c r="AK1271" i="1" s="1"/>
  <c r="AZ1268" i="1"/>
  <c r="AY1268" i="1"/>
  <c r="AX1268" i="1"/>
  <c r="AW1268" i="1"/>
  <c r="AV1268" i="1"/>
  <c r="AA1269" i="1"/>
  <c r="AB1269" i="1" s="1"/>
  <c r="AG1269" i="1"/>
  <c r="AF1269" i="1"/>
  <c r="W1269" i="1"/>
  <c r="U1269" i="1"/>
  <c r="R1269" i="1"/>
  <c r="L1269" i="1"/>
  <c r="K1269" i="1"/>
  <c r="AG1235" i="1"/>
  <c r="AF1235" i="1"/>
  <c r="AA1235" i="1"/>
  <c r="Y1235" i="1"/>
  <c r="W1235" i="1"/>
  <c r="U1235" i="1"/>
  <c r="R1235" i="1"/>
  <c r="L1235" i="1"/>
  <c r="K1235" i="1"/>
  <c r="AY1234" i="1"/>
  <c r="AX1234" i="1"/>
  <c r="AW1234" i="1"/>
  <c r="AJ1235" i="1" s="1"/>
  <c r="AY1232" i="1"/>
  <c r="AX1232" i="1"/>
  <c r="AW1232" i="1"/>
  <c r="AG1233" i="1"/>
  <c r="AF1233" i="1"/>
  <c r="Y1233" i="1"/>
  <c r="AA1233" i="1"/>
  <c r="AB1233" i="1" s="1"/>
  <c r="W1233" i="1"/>
  <c r="U1233" i="1"/>
  <c r="R1233" i="1"/>
  <c r="L1233" i="1"/>
  <c r="K1233" i="1"/>
  <c r="E295" i="34"/>
  <c r="B295" i="34"/>
  <c r="C295" i="34" s="1"/>
  <c r="A295" i="34"/>
  <c r="AG297" i="33"/>
  <c r="AF297" i="33"/>
  <c r="AB297" i="33"/>
  <c r="AA297" i="33"/>
  <c r="W297" i="33"/>
  <c r="U297" i="33"/>
  <c r="R297" i="33"/>
  <c r="L297" i="33"/>
  <c r="K297" i="33"/>
  <c r="BC296" i="33"/>
  <c r="BB296" i="33"/>
  <c r="BA296" i="33"/>
  <c r="AZ296" i="33"/>
  <c r="AY296" i="33"/>
  <c r="AX296" i="33"/>
  <c r="AW296" i="33"/>
  <c r="AV296" i="33"/>
  <c r="AC297" i="33" s="1"/>
  <c r="AD297" i="33" s="1"/>
  <c r="D87" i="28"/>
  <c r="B87" i="28"/>
  <c r="C87" i="28" s="1"/>
  <c r="A87" i="28"/>
  <c r="AG87" i="27"/>
  <c r="AF87" i="27"/>
  <c r="AA87" i="27"/>
  <c r="AB87" i="27" s="1"/>
  <c r="W87" i="27"/>
  <c r="U87" i="27"/>
  <c r="R87" i="27"/>
  <c r="L87" i="27"/>
  <c r="K87" i="27"/>
  <c r="BA86" i="27"/>
  <c r="AZ86" i="27"/>
  <c r="AY86" i="27"/>
  <c r="AX86" i="27"/>
  <c r="AW86" i="27"/>
  <c r="AV86" i="27"/>
  <c r="AT87" i="27" s="1"/>
  <c r="D225" i="24"/>
  <c r="B225" i="24"/>
  <c r="C225" i="24" s="1"/>
  <c r="A225" i="24"/>
  <c r="AM225" i="23"/>
  <c r="AG225" i="23"/>
  <c r="AF225" i="23"/>
  <c r="AB225" i="23"/>
  <c r="AA225" i="23"/>
  <c r="W225" i="23"/>
  <c r="U225" i="23"/>
  <c r="R225" i="23"/>
  <c r="L225" i="23"/>
  <c r="K225" i="23"/>
  <c r="BA224" i="23"/>
  <c r="AC225" i="23" s="1"/>
  <c r="AD225" i="23" s="1"/>
  <c r="AZ224" i="23"/>
  <c r="AY224" i="23"/>
  <c r="AX224" i="23"/>
  <c r="AW224" i="23"/>
  <c r="AV224" i="23"/>
  <c r="AR225" i="23" s="1"/>
  <c r="B517" i="30"/>
  <c r="C517" i="30" s="1"/>
  <c r="A517" i="30"/>
  <c r="AG517" i="29"/>
  <c r="AF517" i="29"/>
  <c r="AB517" i="29"/>
  <c r="AA517" i="29"/>
  <c r="Y517" i="29"/>
  <c r="W517" i="29"/>
  <c r="U517" i="29"/>
  <c r="R517" i="29"/>
  <c r="L517" i="29"/>
  <c r="K517" i="29"/>
  <c r="BC516" i="29"/>
  <c r="BB516" i="29"/>
  <c r="BA516" i="29"/>
  <c r="AZ516" i="29"/>
  <c r="AY516" i="29"/>
  <c r="AX516" i="29"/>
  <c r="AK517" i="29" s="1"/>
  <c r="AW516" i="29"/>
  <c r="AV516" i="29"/>
  <c r="D281" i="34"/>
  <c r="B281" i="34"/>
  <c r="C281" i="34" s="1"/>
  <c r="A281" i="34"/>
  <c r="AM281" i="33"/>
  <c r="AG281" i="33"/>
  <c r="AF281" i="33"/>
  <c r="AD281" i="33"/>
  <c r="AC281" i="33"/>
  <c r="AA281" i="33"/>
  <c r="AB281" i="33" s="1"/>
  <c r="Y281" i="33"/>
  <c r="W281" i="33"/>
  <c r="U281" i="33"/>
  <c r="R281" i="33"/>
  <c r="L281" i="33"/>
  <c r="K281" i="33"/>
  <c r="BA280" i="33"/>
  <c r="AZ280" i="33"/>
  <c r="AY280" i="33"/>
  <c r="AX280" i="33"/>
  <c r="AK281" i="33" s="1"/>
  <c r="A219" i="32"/>
  <c r="A217" i="32"/>
  <c r="AG219" i="31"/>
  <c r="AF219" i="31"/>
  <c r="AA219" i="31"/>
  <c r="B219" i="32" s="1"/>
  <c r="C219" i="32" s="1"/>
  <c r="W219" i="31"/>
  <c r="U219" i="31"/>
  <c r="R219" i="31"/>
  <c r="L219" i="31"/>
  <c r="K219" i="31"/>
  <c r="AY218" i="31"/>
  <c r="AX218" i="31"/>
  <c r="AW218" i="31"/>
  <c r="AV218" i="31"/>
  <c r="Y219" i="31" s="1"/>
  <c r="AG217" i="31"/>
  <c r="AF217" i="31"/>
  <c r="AA217" i="31"/>
  <c r="W217" i="31"/>
  <c r="U217" i="31"/>
  <c r="R217" i="31"/>
  <c r="L217" i="31"/>
  <c r="K217" i="31"/>
  <c r="AY216" i="31"/>
  <c r="AX216" i="31"/>
  <c r="AW216" i="31"/>
  <c r="AV216" i="31"/>
  <c r="Y217" i="31" s="1"/>
  <c r="A497" i="30"/>
  <c r="A495" i="30"/>
  <c r="A493" i="30"/>
  <c r="AG497" i="29"/>
  <c r="AF497" i="29"/>
  <c r="AA497" i="29"/>
  <c r="Y497" i="29"/>
  <c r="W497" i="29"/>
  <c r="U497" i="29"/>
  <c r="R497" i="29"/>
  <c r="L497" i="29"/>
  <c r="K497" i="29"/>
  <c r="BA496" i="29"/>
  <c r="AZ496" i="29"/>
  <c r="AY496" i="29"/>
  <c r="AX496" i="29"/>
  <c r="AG495" i="29"/>
  <c r="AF495" i="29"/>
  <c r="AA495" i="29"/>
  <c r="W495" i="29"/>
  <c r="U495" i="29"/>
  <c r="R495" i="29"/>
  <c r="L495" i="29"/>
  <c r="K495" i="29"/>
  <c r="AY494" i="29"/>
  <c r="AX494" i="29"/>
  <c r="AW494" i="29"/>
  <c r="AV494" i="29"/>
  <c r="Y495" i="29" s="1"/>
  <c r="AG493" i="29"/>
  <c r="AF493" i="29"/>
  <c r="AA493" i="29"/>
  <c r="AB493" i="29" s="1"/>
  <c r="W493" i="29"/>
  <c r="U493" i="29"/>
  <c r="R493" i="29"/>
  <c r="L493" i="29"/>
  <c r="K493" i="29"/>
  <c r="AY492" i="29"/>
  <c r="AX492" i="29"/>
  <c r="AW492" i="29"/>
  <c r="AV492" i="29"/>
  <c r="AO493" i="29" s="1"/>
  <c r="BA950" i="1"/>
  <c r="AZ950" i="1"/>
  <c r="AY950" i="1"/>
  <c r="AX950" i="1"/>
  <c r="AW950" i="1"/>
  <c r="AV950" i="1"/>
  <c r="Y951" i="1" s="1"/>
  <c r="AA951" i="1"/>
  <c r="AG951" i="1"/>
  <c r="AF951" i="1"/>
  <c r="AB951" i="1"/>
  <c r="W951" i="1"/>
  <c r="U951" i="1"/>
  <c r="R951" i="1"/>
  <c r="L951" i="1"/>
  <c r="K951" i="1"/>
  <c r="BC948" i="1"/>
  <c r="BB948" i="1"/>
  <c r="BA948" i="1"/>
  <c r="AZ948" i="1"/>
  <c r="AY948" i="1"/>
  <c r="AX948" i="1"/>
  <c r="AW948" i="1"/>
  <c r="AV948" i="1"/>
  <c r="AA949" i="1"/>
  <c r="AB949" i="1" s="1"/>
  <c r="AG949" i="1"/>
  <c r="AF949" i="1"/>
  <c r="W949" i="1"/>
  <c r="U949" i="1"/>
  <c r="R949" i="1"/>
  <c r="L949" i="1"/>
  <c r="K949" i="1"/>
  <c r="BA912" i="1"/>
  <c r="AZ912" i="1"/>
  <c r="AY912" i="1"/>
  <c r="AX912" i="1"/>
  <c r="AA913" i="1"/>
  <c r="AB913" i="1" s="1"/>
  <c r="AG913" i="1"/>
  <c r="AF913" i="1"/>
  <c r="Y913" i="1"/>
  <c r="W913" i="1"/>
  <c r="U913" i="1"/>
  <c r="R913" i="1"/>
  <c r="L913" i="1"/>
  <c r="K913" i="1"/>
  <c r="AG911" i="1"/>
  <c r="AF911" i="1"/>
  <c r="AA911" i="1"/>
  <c r="AB911" i="1" s="1"/>
  <c r="W911" i="1"/>
  <c r="U911" i="1"/>
  <c r="R911" i="1"/>
  <c r="L911" i="1"/>
  <c r="K911" i="1"/>
  <c r="AY910" i="1"/>
  <c r="AX910" i="1"/>
  <c r="AW910" i="1"/>
  <c r="AV910" i="1"/>
  <c r="AG909" i="1"/>
  <c r="AF909" i="1"/>
  <c r="AA909" i="1"/>
  <c r="AB909" i="1" s="1"/>
  <c r="W909" i="1"/>
  <c r="U909" i="1"/>
  <c r="R909" i="1"/>
  <c r="L909" i="1"/>
  <c r="K909" i="1"/>
  <c r="AY908" i="1"/>
  <c r="AX908" i="1"/>
  <c r="AW908" i="1"/>
  <c r="AV908" i="1"/>
  <c r="AG907" i="1"/>
  <c r="AF907" i="1"/>
  <c r="AA907" i="1"/>
  <c r="AB907" i="1" s="1"/>
  <c r="W907" i="1"/>
  <c r="U907" i="1"/>
  <c r="R907" i="1"/>
  <c r="L907" i="1"/>
  <c r="K907" i="1"/>
  <c r="AY906" i="1"/>
  <c r="AX906" i="1"/>
  <c r="AW906" i="1"/>
  <c r="AV906" i="1"/>
  <c r="AY904" i="1"/>
  <c r="AX904" i="1"/>
  <c r="AW904" i="1"/>
  <c r="AV904" i="1"/>
  <c r="Y905" i="1" s="1"/>
  <c r="AA905" i="1"/>
  <c r="AB905" i="1" s="1"/>
  <c r="AG905" i="1"/>
  <c r="AF905" i="1"/>
  <c r="W905" i="1"/>
  <c r="U905" i="1"/>
  <c r="R905" i="1"/>
  <c r="L905" i="1"/>
  <c r="K905" i="1"/>
  <c r="A215" i="32"/>
  <c r="A213" i="32"/>
  <c r="A211" i="32"/>
  <c r="A209" i="32"/>
  <c r="A207" i="32"/>
  <c r="A205" i="32"/>
  <c r="A203" i="32"/>
  <c r="A201" i="32"/>
  <c r="A199" i="32"/>
  <c r="A197" i="32"/>
  <c r="A195" i="32"/>
  <c r="A193" i="32"/>
  <c r="AG215" i="31"/>
  <c r="AF215" i="31"/>
  <c r="AA215" i="31"/>
  <c r="AB215" i="31" s="1"/>
  <c r="Y215" i="31"/>
  <c r="V215" i="31"/>
  <c r="W215" i="31" s="1"/>
  <c r="U215" i="31"/>
  <c r="R215" i="31"/>
  <c r="L215" i="31"/>
  <c r="K215" i="31"/>
  <c r="AX214" i="31"/>
  <c r="AW214" i="31"/>
  <c r="AG213" i="31"/>
  <c r="AF213" i="31"/>
  <c r="AA213" i="31"/>
  <c r="AB213" i="31" s="1"/>
  <c r="Y213" i="31"/>
  <c r="V213" i="31"/>
  <c r="W213" i="31" s="1"/>
  <c r="U213" i="31"/>
  <c r="R213" i="31"/>
  <c r="L213" i="31"/>
  <c r="K213" i="31"/>
  <c r="AX212" i="31"/>
  <c r="AW212" i="31"/>
  <c r="AG211" i="31"/>
  <c r="AF211" i="31"/>
  <c r="AA211" i="31"/>
  <c r="AB211" i="31" s="1"/>
  <c r="Y211" i="31"/>
  <c r="V211" i="31"/>
  <c r="W211" i="31" s="1"/>
  <c r="U211" i="31"/>
  <c r="R211" i="31"/>
  <c r="L211" i="31"/>
  <c r="K211" i="31"/>
  <c r="AX210" i="31"/>
  <c r="AW210" i="31"/>
  <c r="AG209" i="31"/>
  <c r="AF209" i="31"/>
  <c r="AA209" i="31"/>
  <c r="B209" i="32" s="1"/>
  <c r="C209" i="32" s="1"/>
  <c r="Y209" i="31"/>
  <c r="V209" i="31"/>
  <c r="W209" i="31" s="1"/>
  <c r="U209" i="31"/>
  <c r="R209" i="31"/>
  <c r="L209" i="31"/>
  <c r="K209" i="31"/>
  <c r="AX208" i="31"/>
  <c r="AW208" i="31"/>
  <c r="AG207" i="31"/>
  <c r="AF207" i="31"/>
  <c r="AA207" i="31"/>
  <c r="B207" i="32" s="1"/>
  <c r="C207" i="32" s="1"/>
  <c r="Y207" i="31"/>
  <c r="W207" i="31"/>
  <c r="U207" i="31"/>
  <c r="R207" i="31"/>
  <c r="L207" i="31"/>
  <c r="K207" i="31"/>
  <c r="AX206" i="31"/>
  <c r="AW206" i="31"/>
  <c r="AJ207" i="31" s="1"/>
  <c r="AG205" i="31"/>
  <c r="AF205" i="31"/>
  <c r="AA205" i="31"/>
  <c r="B205" i="32" s="1"/>
  <c r="C205" i="32" s="1"/>
  <c r="Y205" i="31"/>
  <c r="W205" i="31"/>
  <c r="U205" i="31"/>
  <c r="R205" i="31"/>
  <c r="L205" i="31"/>
  <c r="K205" i="31"/>
  <c r="AX204" i="31"/>
  <c r="AW204" i="31"/>
  <c r="AG203" i="31"/>
  <c r="AF203" i="31"/>
  <c r="AA203" i="31"/>
  <c r="B203" i="32" s="1"/>
  <c r="C203" i="32" s="1"/>
  <c r="Y203" i="31"/>
  <c r="AE203" i="31" s="1"/>
  <c r="V203" i="31"/>
  <c r="W203" i="31" s="1"/>
  <c r="U203" i="31"/>
  <c r="R203" i="31"/>
  <c r="L203" i="31"/>
  <c r="K203" i="31"/>
  <c r="AX202" i="31"/>
  <c r="AW202" i="31"/>
  <c r="AG201" i="31"/>
  <c r="AF201" i="31"/>
  <c r="AA201" i="31"/>
  <c r="AE201" i="31" s="1"/>
  <c r="Y201" i="31"/>
  <c r="V201" i="31"/>
  <c r="W201" i="31" s="1"/>
  <c r="U201" i="31"/>
  <c r="R201" i="31"/>
  <c r="L201" i="31"/>
  <c r="K201" i="31"/>
  <c r="AX200" i="31"/>
  <c r="AW200" i="31"/>
  <c r="AG199" i="31"/>
  <c r="AF199" i="31"/>
  <c r="AB199" i="31"/>
  <c r="AA199" i="31"/>
  <c r="Y199" i="31"/>
  <c r="W199" i="31"/>
  <c r="U199" i="31"/>
  <c r="R199" i="31"/>
  <c r="L199" i="31"/>
  <c r="K199" i="31"/>
  <c r="AX198" i="31"/>
  <c r="AK199" i="31" s="1"/>
  <c r="AW198" i="31"/>
  <c r="AG197" i="31"/>
  <c r="AF197" i="31"/>
  <c r="AA197" i="31"/>
  <c r="Y197" i="31"/>
  <c r="W197" i="31"/>
  <c r="U197" i="31"/>
  <c r="R197" i="31"/>
  <c r="L197" i="31"/>
  <c r="K197" i="31"/>
  <c r="AX196" i="31"/>
  <c r="AW196" i="31"/>
  <c r="AJ197" i="31" s="1"/>
  <c r="AG195" i="31"/>
  <c r="AF195" i="31"/>
  <c r="AA195" i="31"/>
  <c r="B195" i="32" s="1"/>
  <c r="C195" i="32" s="1"/>
  <c r="Y195" i="31"/>
  <c r="W195" i="31"/>
  <c r="U195" i="31"/>
  <c r="R195" i="31"/>
  <c r="L195" i="31"/>
  <c r="K195" i="31"/>
  <c r="AX194" i="31"/>
  <c r="AW194" i="31"/>
  <c r="AG193" i="31"/>
  <c r="AF193" i="31"/>
  <c r="AA193" i="31"/>
  <c r="AB193" i="31" s="1"/>
  <c r="Y193" i="31"/>
  <c r="W193" i="31"/>
  <c r="U193" i="31"/>
  <c r="R193" i="31"/>
  <c r="L193" i="31"/>
  <c r="K193" i="31"/>
  <c r="AX192" i="31"/>
  <c r="AW192" i="31"/>
  <c r="A491" i="30"/>
  <c r="A489" i="30"/>
  <c r="A487" i="30"/>
  <c r="A485" i="30"/>
  <c r="A483" i="30"/>
  <c r="A481" i="30"/>
  <c r="A479" i="30"/>
  <c r="A477" i="30"/>
  <c r="A475" i="30"/>
  <c r="A473" i="30"/>
  <c r="A471" i="30"/>
  <c r="A469" i="30"/>
  <c r="AG491" i="29"/>
  <c r="AF491" i="29"/>
  <c r="AB491" i="29"/>
  <c r="AA491" i="29"/>
  <c r="Y491" i="29"/>
  <c r="V491" i="29"/>
  <c r="W491" i="29" s="1"/>
  <c r="U491" i="29"/>
  <c r="R491" i="29"/>
  <c r="L491" i="29"/>
  <c r="K491" i="29"/>
  <c r="AX490" i="29"/>
  <c r="AW490" i="29"/>
  <c r="AG489" i="29"/>
  <c r="AF489" i="29"/>
  <c r="AA489" i="29"/>
  <c r="AE489" i="29" s="1"/>
  <c r="Y489" i="29"/>
  <c r="V489" i="29"/>
  <c r="W489" i="29" s="1"/>
  <c r="U489" i="29"/>
  <c r="R489" i="29"/>
  <c r="L489" i="29"/>
  <c r="K489" i="29"/>
  <c r="AX488" i="29"/>
  <c r="AW488" i="29"/>
  <c r="AG487" i="29"/>
  <c r="AF487" i="29"/>
  <c r="AA487" i="29"/>
  <c r="AB487" i="29" s="1"/>
  <c r="Y487" i="29"/>
  <c r="V487" i="29"/>
  <c r="W487" i="29" s="1"/>
  <c r="U487" i="29"/>
  <c r="R487" i="29"/>
  <c r="L487" i="29"/>
  <c r="K487" i="29"/>
  <c r="AX486" i="29"/>
  <c r="AW486" i="29"/>
  <c r="AC487" i="29" s="1"/>
  <c r="AD487" i="29" s="1"/>
  <c r="AG485" i="29"/>
  <c r="AF485" i="29"/>
  <c r="AA485" i="29"/>
  <c r="B485" i="30" s="1"/>
  <c r="C485" i="30" s="1"/>
  <c r="Y485" i="29"/>
  <c r="V485" i="29"/>
  <c r="W485" i="29" s="1"/>
  <c r="U485" i="29"/>
  <c r="R485" i="29"/>
  <c r="L485" i="29"/>
  <c r="K485" i="29"/>
  <c r="AX484" i="29"/>
  <c r="AW484" i="29"/>
  <c r="AG483" i="29"/>
  <c r="AF483" i="29"/>
  <c r="AA483" i="29"/>
  <c r="Y483" i="29"/>
  <c r="W483" i="29"/>
  <c r="U483" i="29"/>
  <c r="R483" i="29"/>
  <c r="L483" i="29"/>
  <c r="K483" i="29"/>
  <c r="AX482" i="29"/>
  <c r="AW482" i="29"/>
  <c r="AG481" i="29"/>
  <c r="AF481" i="29"/>
  <c r="AA481" i="29"/>
  <c r="B481" i="30" s="1"/>
  <c r="C481" i="30" s="1"/>
  <c r="Y481" i="29"/>
  <c r="AE481" i="29" s="1"/>
  <c r="W481" i="29"/>
  <c r="U481" i="29"/>
  <c r="R481" i="29"/>
  <c r="L481" i="29"/>
  <c r="K481" i="29"/>
  <c r="AX480" i="29"/>
  <c r="AW480" i="29"/>
  <c r="AG479" i="29"/>
  <c r="AF479" i="29"/>
  <c r="AA479" i="29"/>
  <c r="B479" i="30" s="1"/>
  <c r="C479" i="30" s="1"/>
  <c r="Y479" i="29"/>
  <c r="V479" i="29"/>
  <c r="W479" i="29" s="1"/>
  <c r="U479" i="29"/>
  <c r="R479" i="29"/>
  <c r="L479" i="29"/>
  <c r="K479" i="29"/>
  <c r="AX478" i="29"/>
  <c r="AW478" i="29"/>
  <c r="AG477" i="29"/>
  <c r="AF477" i="29"/>
  <c r="AA477" i="29"/>
  <c r="B477" i="30" s="1"/>
  <c r="C477" i="30" s="1"/>
  <c r="Y477" i="29"/>
  <c r="V477" i="29"/>
  <c r="W477" i="29" s="1"/>
  <c r="U477" i="29"/>
  <c r="R477" i="29"/>
  <c r="L477" i="29"/>
  <c r="K477" i="29"/>
  <c r="AX476" i="29"/>
  <c r="AW476" i="29"/>
  <c r="AG475" i="29"/>
  <c r="AF475" i="29"/>
  <c r="AA475" i="29"/>
  <c r="B475" i="30" s="1"/>
  <c r="C475" i="30" s="1"/>
  <c r="Y475" i="29"/>
  <c r="W475" i="29"/>
  <c r="U475" i="29"/>
  <c r="R475" i="29"/>
  <c r="L475" i="29"/>
  <c r="K475" i="29"/>
  <c r="AX474" i="29"/>
  <c r="AW474" i="29"/>
  <c r="AG473" i="29"/>
  <c r="AF473" i="29"/>
  <c r="AA473" i="29"/>
  <c r="AB473" i="29" s="1"/>
  <c r="Y473" i="29"/>
  <c r="W473" i="29"/>
  <c r="U473" i="29"/>
  <c r="R473" i="29"/>
  <c r="L473" i="29"/>
  <c r="K473" i="29"/>
  <c r="AX472" i="29"/>
  <c r="AW472" i="29"/>
  <c r="AG471" i="29"/>
  <c r="AF471" i="29"/>
  <c r="AA471" i="29"/>
  <c r="B471" i="30" s="1"/>
  <c r="C471" i="30" s="1"/>
  <c r="Y471" i="29"/>
  <c r="W471" i="29"/>
  <c r="U471" i="29"/>
  <c r="R471" i="29"/>
  <c r="L471" i="29"/>
  <c r="K471" i="29"/>
  <c r="AX470" i="29"/>
  <c r="AW470" i="29"/>
  <c r="AG469" i="29"/>
  <c r="AF469" i="29"/>
  <c r="AA469" i="29"/>
  <c r="AB469" i="29" s="1"/>
  <c r="Y469" i="29"/>
  <c r="W469" i="29"/>
  <c r="U469" i="29"/>
  <c r="R469" i="29"/>
  <c r="L469" i="29"/>
  <c r="K469" i="29"/>
  <c r="AX468" i="29"/>
  <c r="AW468" i="29"/>
  <c r="D141" i="26"/>
  <c r="B141" i="26"/>
  <c r="C141" i="26" s="1"/>
  <c r="A141" i="26"/>
  <c r="AM141" i="25"/>
  <c r="AG141" i="25"/>
  <c r="AF141" i="25"/>
  <c r="AD141" i="25"/>
  <c r="AC141" i="25"/>
  <c r="AA141" i="25"/>
  <c r="AB141" i="25" s="1"/>
  <c r="W141" i="25"/>
  <c r="U141" i="25"/>
  <c r="R141" i="25"/>
  <c r="L141" i="25"/>
  <c r="K141" i="25"/>
  <c r="AX140" i="25"/>
  <c r="AW140" i="25"/>
  <c r="AV140" i="25"/>
  <c r="AT141" i="25" s="1"/>
  <c r="D223" i="24"/>
  <c r="B223" i="24"/>
  <c r="C223" i="24" s="1"/>
  <c r="A223" i="24"/>
  <c r="AT223" i="23"/>
  <c r="AO223" i="23"/>
  <c r="AN223" i="23"/>
  <c r="AM223" i="23"/>
  <c r="AL223" i="23"/>
  <c r="AG223" i="23"/>
  <c r="AF223" i="23"/>
  <c r="AC223" i="23"/>
  <c r="AD223" i="23" s="1"/>
  <c r="AA223" i="23"/>
  <c r="AB223" i="23" s="1"/>
  <c r="W223" i="23"/>
  <c r="U223" i="23"/>
  <c r="R223" i="23"/>
  <c r="L223" i="23"/>
  <c r="K223" i="23"/>
  <c r="AX222" i="23"/>
  <c r="AW222" i="23"/>
  <c r="AV222" i="23"/>
  <c r="AS223" i="23" s="1"/>
  <c r="V903" i="1"/>
  <c r="W903" i="1" s="1"/>
  <c r="V901" i="1"/>
  <c r="W901" i="1" s="1"/>
  <c r="V891" i="1"/>
  <c r="V889" i="1"/>
  <c r="W889" i="1" s="1"/>
  <c r="V899" i="1"/>
  <c r="V897" i="1"/>
  <c r="W897" i="1" s="1"/>
  <c r="AG903" i="1"/>
  <c r="AF903" i="1"/>
  <c r="AA903" i="1"/>
  <c r="AB903" i="1" s="1"/>
  <c r="Y903" i="1"/>
  <c r="U903" i="1"/>
  <c r="R903" i="1"/>
  <c r="L903" i="1"/>
  <c r="K903" i="1"/>
  <c r="AX902" i="1"/>
  <c r="AW902" i="1"/>
  <c r="AG901" i="1"/>
  <c r="AF901" i="1"/>
  <c r="AA901" i="1"/>
  <c r="Y901" i="1"/>
  <c r="U901" i="1"/>
  <c r="R901" i="1"/>
  <c r="L901" i="1"/>
  <c r="K901" i="1"/>
  <c r="AX900" i="1"/>
  <c r="AW900" i="1"/>
  <c r="AI901" i="1" s="1"/>
  <c r="AG899" i="1"/>
  <c r="AF899" i="1"/>
  <c r="AA899" i="1"/>
  <c r="Y899" i="1"/>
  <c r="W899" i="1"/>
  <c r="U899" i="1"/>
  <c r="R899" i="1"/>
  <c r="L899" i="1"/>
  <c r="K899" i="1"/>
  <c r="AX898" i="1"/>
  <c r="AW898" i="1"/>
  <c r="AG897" i="1"/>
  <c r="AF897" i="1"/>
  <c r="AA897" i="1"/>
  <c r="Y897" i="1"/>
  <c r="U897" i="1"/>
  <c r="R897" i="1"/>
  <c r="L897" i="1"/>
  <c r="K897" i="1"/>
  <c r="AX896" i="1"/>
  <c r="AW896" i="1"/>
  <c r="AG895" i="1"/>
  <c r="AF895" i="1"/>
  <c r="AB895" i="1"/>
  <c r="AA895" i="1"/>
  <c r="Y895" i="1"/>
  <c r="W895" i="1"/>
  <c r="U895" i="1"/>
  <c r="R895" i="1"/>
  <c r="L895" i="1"/>
  <c r="K895" i="1"/>
  <c r="AX894" i="1"/>
  <c r="AW894" i="1"/>
  <c r="AG893" i="1"/>
  <c r="AF893" i="1"/>
  <c r="AA893" i="1"/>
  <c r="AB893" i="1" s="1"/>
  <c r="Y893" i="1"/>
  <c r="W893" i="1"/>
  <c r="U893" i="1"/>
  <c r="R893" i="1"/>
  <c r="L893" i="1"/>
  <c r="K893" i="1"/>
  <c r="AX892" i="1"/>
  <c r="AW892" i="1"/>
  <c r="W891" i="1"/>
  <c r="AG891" i="1"/>
  <c r="AF891" i="1"/>
  <c r="AA891" i="1"/>
  <c r="AB891" i="1" s="1"/>
  <c r="Y891" i="1"/>
  <c r="U891" i="1"/>
  <c r="R891" i="1"/>
  <c r="L891" i="1"/>
  <c r="K891" i="1"/>
  <c r="AX890" i="1"/>
  <c r="AW890" i="1"/>
  <c r="AG889" i="1"/>
  <c r="AF889" i="1"/>
  <c r="AA889" i="1"/>
  <c r="AB889" i="1" s="1"/>
  <c r="Y889" i="1"/>
  <c r="U889" i="1"/>
  <c r="R889" i="1"/>
  <c r="L889" i="1"/>
  <c r="K889" i="1"/>
  <c r="AX888" i="1"/>
  <c r="AW888" i="1"/>
  <c r="AG887" i="1"/>
  <c r="AF887" i="1"/>
  <c r="AA887" i="1"/>
  <c r="AB887" i="1" s="1"/>
  <c r="Y887" i="1"/>
  <c r="W887" i="1"/>
  <c r="U887" i="1"/>
  <c r="R887" i="1"/>
  <c r="L887" i="1"/>
  <c r="K887" i="1"/>
  <c r="AX886" i="1"/>
  <c r="AW886" i="1"/>
  <c r="AG885" i="1"/>
  <c r="AF885" i="1"/>
  <c r="AA885" i="1"/>
  <c r="Y885" i="1"/>
  <c r="W885" i="1"/>
  <c r="U885" i="1"/>
  <c r="R885" i="1"/>
  <c r="L885" i="1"/>
  <c r="K885" i="1"/>
  <c r="AX884" i="1"/>
  <c r="AW884" i="1"/>
  <c r="AG883" i="1"/>
  <c r="AF883" i="1"/>
  <c r="AA883" i="1"/>
  <c r="Y883" i="1"/>
  <c r="W883" i="1"/>
  <c r="U883" i="1"/>
  <c r="R883" i="1"/>
  <c r="L883" i="1"/>
  <c r="K883" i="1"/>
  <c r="AX882" i="1"/>
  <c r="AW882" i="1"/>
  <c r="AI883" i="1" s="1"/>
  <c r="AX880" i="1"/>
  <c r="AW880" i="1"/>
  <c r="AK881" i="1" s="1"/>
  <c r="AA881" i="1"/>
  <c r="AB881" i="1" s="1"/>
  <c r="AG881" i="1"/>
  <c r="AF881" i="1"/>
  <c r="Y881" i="1"/>
  <c r="W881" i="1"/>
  <c r="U881" i="1"/>
  <c r="R881" i="1"/>
  <c r="L881" i="1"/>
  <c r="K881" i="1"/>
  <c r="AX868" i="1"/>
  <c r="AW868" i="1"/>
  <c r="AV868" i="1"/>
  <c r="Y869" i="1" s="1"/>
  <c r="AA869" i="1"/>
  <c r="AB869" i="1" s="1"/>
  <c r="AG869" i="1"/>
  <c r="AF869" i="1"/>
  <c r="W869" i="1"/>
  <c r="U869" i="1"/>
  <c r="R869" i="1"/>
  <c r="L869" i="1"/>
  <c r="K869" i="1"/>
  <c r="A61" i="22"/>
  <c r="AG61" i="19"/>
  <c r="AF61" i="19"/>
  <c r="AA61" i="19"/>
  <c r="B61" i="22" s="1"/>
  <c r="C61" i="22" s="1"/>
  <c r="W61" i="19"/>
  <c r="U61" i="19"/>
  <c r="R61" i="19"/>
  <c r="L61" i="19"/>
  <c r="K61" i="19"/>
  <c r="AY60" i="19"/>
  <c r="AK61" i="19" s="1"/>
  <c r="AX60" i="19"/>
  <c r="AW60" i="19"/>
  <c r="AV60" i="19"/>
  <c r="AR61" i="19" s="1"/>
  <c r="A69" i="18"/>
  <c r="AG69" i="17"/>
  <c r="AF69" i="17"/>
  <c r="AA69" i="17"/>
  <c r="AB69" i="17" s="1"/>
  <c r="W69" i="17"/>
  <c r="U69" i="17"/>
  <c r="R69" i="17"/>
  <c r="L69" i="17"/>
  <c r="K69" i="17"/>
  <c r="AY68" i="17"/>
  <c r="AX68" i="17"/>
  <c r="AW68" i="17"/>
  <c r="AV68" i="17"/>
  <c r="Y69" i="17" s="1"/>
  <c r="A187" i="32"/>
  <c r="A185" i="32"/>
  <c r="A183" i="32"/>
  <c r="A181" i="32"/>
  <c r="A179" i="32"/>
  <c r="A177" i="32"/>
  <c r="AX187" i="31"/>
  <c r="AW187" i="31"/>
  <c r="AV187" i="31"/>
  <c r="AF187" i="31" s="1"/>
  <c r="AA187" i="31"/>
  <c r="AB187" i="31" s="1"/>
  <c r="Y187" i="31"/>
  <c r="W187" i="31"/>
  <c r="U187" i="31"/>
  <c r="R187" i="31"/>
  <c r="L187" i="31"/>
  <c r="K187" i="31"/>
  <c r="AX186" i="31"/>
  <c r="AW186" i="31"/>
  <c r="AX185" i="31"/>
  <c r="AW185" i="31"/>
  <c r="AV185" i="31"/>
  <c r="AF185" i="31" s="1"/>
  <c r="AA185" i="31"/>
  <c r="AB185" i="31" s="1"/>
  <c r="Y185" i="31"/>
  <c r="W185" i="31"/>
  <c r="U185" i="31"/>
  <c r="R185" i="31"/>
  <c r="L185" i="31"/>
  <c r="K185" i="31"/>
  <c r="AX184" i="31"/>
  <c r="AW184" i="31"/>
  <c r="AX183" i="31"/>
  <c r="AW183" i="31"/>
  <c r="AV183" i="31"/>
  <c r="AA183" i="31"/>
  <c r="AB183" i="31" s="1"/>
  <c r="Y183" i="31"/>
  <c r="W183" i="31"/>
  <c r="U183" i="31"/>
  <c r="R183" i="31"/>
  <c r="L183" i="31"/>
  <c r="K183" i="31"/>
  <c r="AX182" i="31"/>
  <c r="AW182" i="31"/>
  <c r="AX181" i="31"/>
  <c r="AW181" i="31"/>
  <c r="AV181" i="31"/>
  <c r="AF181" i="31" s="1"/>
  <c r="AA181" i="31"/>
  <c r="AB181" i="31" s="1"/>
  <c r="Y181" i="31"/>
  <c r="W181" i="31"/>
  <c r="U181" i="31"/>
  <c r="R181" i="31"/>
  <c r="L181" i="31"/>
  <c r="K181" i="31"/>
  <c r="AX180" i="31"/>
  <c r="AW180" i="31"/>
  <c r="AX179" i="31"/>
  <c r="AW179" i="31"/>
  <c r="AV179" i="31"/>
  <c r="AF179" i="31" s="1"/>
  <c r="AA179" i="31"/>
  <c r="AB179" i="31" s="1"/>
  <c r="Y179" i="31"/>
  <c r="W179" i="31"/>
  <c r="U179" i="31"/>
  <c r="R179" i="31"/>
  <c r="L179" i="31"/>
  <c r="K179" i="31"/>
  <c r="AX178" i="31"/>
  <c r="AW178" i="31"/>
  <c r="AG177" i="31"/>
  <c r="AF177" i="31"/>
  <c r="AA177" i="31"/>
  <c r="Y177" i="31"/>
  <c r="W177" i="31"/>
  <c r="U177" i="31"/>
  <c r="R177" i="31"/>
  <c r="L177" i="31"/>
  <c r="K177" i="31"/>
  <c r="AX176" i="31"/>
  <c r="AW176" i="31"/>
  <c r="AI177" i="31" s="1"/>
  <c r="A449" i="30"/>
  <c r="A447" i="30"/>
  <c r="A445" i="30"/>
  <c r="A443" i="30"/>
  <c r="A441" i="30"/>
  <c r="A439" i="30"/>
  <c r="AX449" i="29"/>
  <c r="AW449" i="29"/>
  <c r="AV449" i="29"/>
  <c r="AF449" i="29"/>
  <c r="AA449" i="29"/>
  <c r="AB449" i="29" s="1"/>
  <c r="Y449" i="29"/>
  <c r="W449" i="29"/>
  <c r="U449" i="29"/>
  <c r="R449" i="29"/>
  <c r="L449" i="29"/>
  <c r="K449" i="29"/>
  <c r="AX448" i="29"/>
  <c r="AW448" i="29"/>
  <c r="AX447" i="29"/>
  <c r="AW447" i="29"/>
  <c r="AV447" i="29"/>
  <c r="AB447" i="29"/>
  <c r="AA447" i="29"/>
  <c r="Y447" i="29"/>
  <c r="W447" i="29"/>
  <c r="U447" i="29"/>
  <c r="R447" i="29"/>
  <c r="L447" i="29"/>
  <c r="K447" i="29"/>
  <c r="AX446" i="29"/>
  <c r="AW446" i="29"/>
  <c r="AX445" i="29"/>
  <c r="AW445" i="29"/>
  <c r="AV445" i="29"/>
  <c r="AA445" i="29"/>
  <c r="B445" i="30" s="1"/>
  <c r="C445" i="30" s="1"/>
  <c r="Y445" i="29"/>
  <c r="W445" i="29"/>
  <c r="U445" i="29"/>
  <c r="R445" i="29"/>
  <c r="L445" i="29"/>
  <c r="K445" i="29"/>
  <c r="AX444" i="29"/>
  <c r="AW444" i="29"/>
  <c r="AX443" i="29"/>
  <c r="AW443" i="29"/>
  <c r="AV443" i="29"/>
  <c r="AF443" i="29" s="1"/>
  <c r="AA443" i="29"/>
  <c r="AB443" i="29" s="1"/>
  <c r="Y443" i="29"/>
  <c r="W443" i="29"/>
  <c r="U443" i="29"/>
  <c r="R443" i="29"/>
  <c r="L443" i="29"/>
  <c r="K443" i="29"/>
  <c r="AX442" i="29"/>
  <c r="AW442" i="29"/>
  <c r="AX441" i="29"/>
  <c r="AW441" i="29"/>
  <c r="AV441" i="29"/>
  <c r="AF441" i="29" s="1"/>
  <c r="AA441" i="29"/>
  <c r="B441" i="30" s="1"/>
  <c r="C441" i="30" s="1"/>
  <c r="Y441" i="29"/>
  <c r="W441" i="29"/>
  <c r="U441" i="29"/>
  <c r="R441" i="29"/>
  <c r="L441" i="29"/>
  <c r="K441" i="29"/>
  <c r="AX440" i="29"/>
  <c r="AW440" i="29"/>
  <c r="AG439" i="29"/>
  <c r="AF439" i="29"/>
  <c r="AA439" i="29"/>
  <c r="Y439" i="29"/>
  <c r="W439" i="29"/>
  <c r="U439" i="29"/>
  <c r="R439" i="29"/>
  <c r="L439" i="29"/>
  <c r="K439" i="29"/>
  <c r="AX438" i="29"/>
  <c r="AW438" i="29"/>
  <c r="D159" i="34"/>
  <c r="B159" i="34"/>
  <c r="C159" i="34" s="1"/>
  <c r="A159" i="34"/>
  <c r="D157" i="34"/>
  <c r="B157" i="34"/>
  <c r="C157" i="34" s="1"/>
  <c r="A157" i="34"/>
  <c r="D155" i="34"/>
  <c r="B155" i="34"/>
  <c r="C155" i="34" s="1"/>
  <c r="A155" i="34"/>
  <c r="AY159" i="33"/>
  <c r="AX159" i="33"/>
  <c r="AW159" i="33"/>
  <c r="AV159" i="33"/>
  <c r="AG159" i="33" s="1"/>
  <c r="AA159" i="33"/>
  <c r="Y159" i="33"/>
  <c r="W159" i="33"/>
  <c r="U159" i="33"/>
  <c r="R159" i="33"/>
  <c r="L159" i="33"/>
  <c r="K159" i="33"/>
  <c r="AY158" i="33"/>
  <c r="AX158" i="33"/>
  <c r="AW158" i="33"/>
  <c r="AJ159" i="33" s="1"/>
  <c r="AY157" i="33"/>
  <c r="AX157" i="33"/>
  <c r="AW157" i="33"/>
  <c r="AV157" i="33"/>
  <c r="AA157" i="33"/>
  <c r="Y157" i="33"/>
  <c r="V157" i="33"/>
  <c r="W157" i="33" s="1"/>
  <c r="U157" i="33"/>
  <c r="R157" i="33"/>
  <c r="L157" i="33"/>
  <c r="K157" i="33"/>
  <c r="AY156" i="33"/>
  <c r="AX156" i="33"/>
  <c r="AW156" i="33"/>
  <c r="AI157" i="33" s="1"/>
  <c r="AY155" i="33"/>
  <c r="AX155" i="33"/>
  <c r="AW155" i="33"/>
  <c r="AV155" i="33"/>
  <c r="AA155" i="33"/>
  <c r="AB155" i="33" s="1"/>
  <c r="Y155" i="33"/>
  <c r="W155" i="33"/>
  <c r="U155" i="33"/>
  <c r="R155" i="33"/>
  <c r="L155" i="33"/>
  <c r="K155" i="33"/>
  <c r="AY154" i="33"/>
  <c r="AX154" i="33"/>
  <c r="AW154" i="33"/>
  <c r="A55" i="32"/>
  <c r="A53" i="32"/>
  <c r="AY55" i="31"/>
  <c r="AX55" i="31"/>
  <c r="AW55" i="31"/>
  <c r="AF55" i="31"/>
  <c r="AA55" i="31"/>
  <c r="B55" i="32" s="1"/>
  <c r="C55" i="32" s="1"/>
  <c r="Y55" i="31"/>
  <c r="V55" i="31"/>
  <c r="W55" i="31" s="1"/>
  <c r="U55" i="31"/>
  <c r="R55" i="31"/>
  <c r="L55" i="31"/>
  <c r="K55" i="31"/>
  <c r="AY54" i="31"/>
  <c r="AX54" i="31"/>
  <c r="AW54" i="31"/>
  <c r="AY53" i="31"/>
  <c r="AX53" i="31"/>
  <c r="AW53" i="31"/>
  <c r="AV53" i="31"/>
  <c r="AA53" i="31"/>
  <c r="AB53" i="31" s="1"/>
  <c r="Y53" i="31"/>
  <c r="V53" i="31"/>
  <c r="W53" i="31" s="1"/>
  <c r="U53" i="31"/>
  <c r="R53" i="31"/>
  <c r="L53" i="31"/>
  <c r="K53" i="31"/>
  <c r="AY52" i="31"/>
  <c r="AX52" i="31"/>
  <c r="AW52" i="31"/>
  <c r="B213" i="30"/>
  <c r="C213" i="30" s="1"/>
  <c r="A213" i="30"/>
  <c r="A211" i="30"/>
  <c r="A209" i="30"/>
  <c r="A207" i="30"/>
  <c r="A205" i="30"/>
  <c r="AY213" i="29"/>
  <c r="AX213" i="29"/>
  <c r="AW213" i="29"/>
  <c r="AF213" i="29"/>
  <c r="AA213" i="29"/>
  <c r="Y213" i="29"/>
  <c r="V213" i="29"/>
  <c r="W213" i="29" s="1"/>
  <c r="U213" i="29"/>
  <c r="R213" i="29"/>
  <c r="L213" i="29"/>
  <c r="K213" i="29"/>
  <c r="AY212" i="29"/>
  <c r="AX212" i="29"/>
  <c r="AW212" i="29"/>
  <c r="AY211" i="29"/>
  <c r="AX211" i="29"/>
  <c r="AW211" i="29"/>
  <c r="AV211" i="29"/>
  <c r="AF211" i="29" s="1"/>
  <c r="AA211" i="29"/>
  <c r="Y211" i="29"/>
  <c r="W211" i="29"/>
  <c r="U211" i="29"/>
  <c r="R211" i="29"/>
  <c r="L211" i="29"/>
  <c r="K211" i="29"/>
  <c r="AY210" i="29"/>
  <c r="AX210" i="29"/>
  <c r="AW210" i="29"/>
  <c r="AY209" i="29"/>
  <c r="AX209" i="29"/>
  <c r="AW209" i="29"/>
  <c r="AV209" i="29"/>
  <c r="AF209" i="29" s="1"/>
  <c r="AA209" i="29"/>
  <c r="Y209" i="29"/>
  <c r="V209" i="29"/>
  <c r="W209" i="29" s="1"/>
  <c r="U209" i="29"/>
  <c r="R209" i="29"/>
  <c r="L209" i="29"/>
  <c r="K209" i="29"/>
  <c r="AY208" i="29"/>
  <c r="AX208" i="29"/>
  <c r="AW208" i="29"/>
  <c r="AY207" i="29"/>
  <c r="AX207" i="29"/>
  <c r="AW207" i="29"/>
  <c r="AV207" i="29"/>
  <c r="AA207" i="29"/>
  <c r="AE207" i="29" s="1"/>
  <c r="Y207" i="29"/>
  <c r="V207" i="29"/>
  <c r="W207" i="29" s="1"/>
  <c r="U207" i="29"/>
  <c r="R207" i="29"/>
  <c r="L207" i="29"/>
  <c r="K207" i="29"/>
  <c r="AY206" i="29"/>
  <c r="AX206" i="29"/>
  <c r="AW206" i="29"/>
  <c r="AY205" i="29"/>
  <c r="AX205" i="29"/>
  <c r="AW205" i="29"/>
  <c r="AV205" i="29"/>
  <c r="AB205" i="29"/>
  <c r="AA205" i="29"/>
  <c r="B205" i="30" s="1"/>
  <c r="C205" i="30" s="1"/>
  <c r="Y205" i="29"/>
  <c r="W205" i="29"/>
  <c r="U205" i="29"/>
  <c r="R205" i="29"/>
  <c r="L205" i="29"/>
  <c r="K205" i="29"/>
  <c r="AY204" i="29"/>
  <c r="AX204" i="29"/>
  <c r="AC205" i="29" s="1"/>
  <c r="AD205" i="29" s="1"/>
  <c r="AW204" i="29"/>
  <c r="AY866" i="1"/>
  <c r="AX866" i="1"/>
  <c r="AW866" i="1"/>
  <c r="AV866" i="1"/>
  <c r="AA867" i="1"/>
  <c r="AB867" i="1" s="1"/>
  <c r="AG867" i="1"/>
  <c r="AF867" i="1"/>
  <c r="Y867" i="1"/>
  <c r="W867" i="1"/>
  <c r="U867" i="1"/>
  <c r="R867" i="1"/>
  <c r="L867" i="1"/>
  <c r="K867" i="1"/>
  <c r="A93" i="34"/>
  <c r="A91" i="34"/>
  <c r="AG93" i="33"/>
  <c r="AF93" i="33"/>
  <c r="AA93" i="33"/>
  <c r="AB93" i="33" s="1"/>
  <c r="Y93" i="33"/>
  <c r="W93" i="33"/>
  <c r="U93" i="33"/>
  <c r="R93" i="33"/>
  <c r="L93" i="33"/>
  <c r="K93" i="33"/>
  <c r="AY92" i="33"/>
  <c r="AX92" i="33"/>
  <c r="AW92" i="33"/>
  <c r="AG91" i="33"/>
  <c r="AF91" i="33"/>
  <c r="AA91" i="33"/>
  <c r="B91" i="34" s="1"/>
  <c r="C91" i="34" s="1"/>
  <c r="Y91" i="33"/>
  <c r="W91" i="33"/>
  <c r="U91" i="33"/>
  <c r="R91" i="33"/>
  <c r="L91" i="33"/>
  <c r="K91" i="33"/>
  <c r="AY90" i="33"/>
  <c r="AX90" i="33"/>
  <c r="AW90" i="33"/>
  <c r="A131" i="30"/>
  <c r="A129" i="30"/>
  <c r="AG131" i="29"/>
  <c r="AF131" i="29"/>
  <c r="AA131" i="29"/>
  <c r="AB131" i="29" s="1"/>
  <c r="Y131" i="29"/>
  <c r="W131" i="29"/>
  <c r="U131" i="29"/>
  <c r="R131" i="29"/>
  <c r="L131" i="29"/>
  <c r="K131" i="29"/>
  <c r="AY130" i="29"/>
  <c r="AX130" i="29"/>
  <c r="AW130" i="29"/>
  <c r="AG129" i="29"/>
  <c r="AF129" i="29"/>
  <c r="AA129" i="29"/>
  <c r="Y129" i="29"/>
  <c r="W129" i="29"/>
  <c r="U129" i="29"/>
  <c r="R129" i="29"/>
  <c r="L129" i="29"/>
  <c r="K129" i="29"/>
  <c r="AY128" i="29"/>
  <c r="AX128" i="29"/>
  <c r="AW128" i="29"/>
  <c r="AX819" i="1"/>
  <c r="AW819" i="1"/>
  <c r="AV819" i="1"/>
  <c r="AA819" i="1"/>
  <c r="Y819" i="1"/>
  <c r="W819" i="1"/>
  <c r="U819" i="1"/>
  <c r="R819" i="1"/>
  <c r="L819" i="1"/>
  <c r="K819" i="1"/>
  <c r="AX818" i="1"/>
  <c r="AW818" i="1"/>
  <c r="AX817" i="1"/>
  <c r="AW817" i="1"/>
  <c r="AV817" i="1"/>
  <c r="AA817" i="1"/>
  <c r="Y817" i="1"/>
  <c r="W817" i="1"/>
  <c r="U817" i="1"/>
  <c r="R817" i="1"/>
  <c r="L817" i="1"/>
  <c r="K817" i="1"/>
  <c r="AX816" i="1"/>
  <c r="AW816" i="1"/>
  <c r="AX815" i="1"/>
  <c r="AW815" i="1"/>
  <c r="AV815" i="1"/>
  <c r="AF815" i="1" s="1"/>
  <c r="AX813" i="1"/>
  <c r="AW813" i="1"/>
  <c r="AV813" i="1"/>
  <c r="AF813" i="1" s="1"/>
  <c r="AA815" i="1"/>
  <c r="Y815" i="1"/>
  <c r="W815" i="1"/>
  <c r="U815" i="1"/>
  <c r="R815" i="1"/>
  <c r="L815" i="1"/>
  <c r="K815" i="1"/>
  <c r="AX814" i="1"/>
  <c r="AW814" i="1"/>
  <c r="AA813" i="1"/>
  <c r="Y813" i="1"/>
  <c r="W813" i="1"/>
  <c r="U813" i="1"/>
  <c r="R813" i="1"/>
  <c r="L813" i="1"/>
  <c r="K813" i="1"/>
  <c r="AX812" i="1"/>
  <c r="AW812" i="1"/>
  <c r="AX811" i="1"/>
  <c r="AW811" i="1"/>
  <c r="AV811" i="1"/>
  <c r="AF811" i="1" s="1"/>
  <c r="AA811" i="1"/>
  <c r="AB811" i="1" s="1"/>
  <c r="Y811" i="1"/>
  <c r="W811" i="1"/>
  <c r="U811" i="1"/>
  <c r="R811" i="1"/>
  <c r="L811" i="1"/>
  <c r="K811" i="1"/>
  <c r="AX810" i="1"/>
  <c r="AW810" i="1"/>
  <c r="AX808" i="1"/>
  <c r="AW808" i="1"/>
  <c r="AJ809" i="1" s="1"/>
  <c r="AA809" i="1"/>
  <c r="AB809" i="1" s="1"/>
  <c r="AG809" i="1"/>
  <c r="AF809" i="1"/>
  <c r="Y809" i="1"/>
  <c r="W809" i="1"/>
  <c r="U809" i="1"/>
  <c r="R809" i="1"/>
  <c r="L809" i="1"/>
  <c r="K809" i="1"/>
  <c r="D13" i="28"/>
  <c r="B13" i="28"/>
  <c r="C13" i="28" s="1"/>
  <c r="A13" i="28"/>
  <c r="D11" i="28"/>
  <c r="B11" i="28"/>
  <c r="C11" i="28" s="1"/>
  <c r="A11" i="28"/>
  <c r="AX13" i="27"/>
  <c r="AW13" i="27"/>
  <c r="AV13" i="27"/>
  <c r="AQ13" i="27"/>
  <c r="AP13" i="27"/>
  <c r="AI13" i="27"/>
  <c r="AG13" i="27"/>
  <c r="AF13" i="27"/>
  <c r="AA13" i="27"/>
  <c r="AE13" i="27" s="1"/>
  <c r="Y13" i="27"/>
  <c r="W13" i="27"/>
  <c r="U13" i="27"/>
  <c r="R13" i="27"/>
  <c r="L13" i="27"/>
  <c r="K13" i="27"/>
  <c r="AX12" i="27"/>
  <c r="AW12" i="27"/>
  <c r="AC13" i="27" s="1"/>
  <c r="AD13" i="27" s="1"/>
  <c r="AX11" i="27"/>
  <c r="AW11" i="27"/>
  <c r="AO11" i="27" s="1"/>
  <c r="AV11" i="27"/>
  <c r="AQ11" i="27" s="1"/>
  <c r="AN11" i="27"/>
  <c r="AF11" i="27"/>
  <c r="AE11" i="27"/>
  <c r="AB11" i="27"/>
  <c r="AA11" i="27"/>
  <c r="Y11" i="27"/>
  <c r="W11" i="27"/>
  <c r="U11" i="27"/>
  <c r="R11" i="27"/>
  <c r="L11" i="27"/>
  <c r="K11" i="27"/>
  <c r="AX10" i="27"/>
  <c r="AC11" i="27" s="1"/>
  <c r="AD11" i="27" s="1"/>
  <c r="AW10" i="27"/>
  <c r="D13" i="24"/>
  <c r="B13" i="24"/>
  <c r="C13" i="24" s="1"/>
  <c r="A13" i="24"/>
  <c r="D11" i="24"/>
  <c r="B11" i="24"/>
  <c r="C11" i="24" s="1"/>
  <c r="A11" i="24"/>
  <c r="AX13" i="23"/>
  <c r="AW13" i="23"/>
  <c r="AV13" i="23"/>
  <c r="AG13" i="23"/>
  <c r="AF13" i="23"/>
  <c r="AA13" i="23"/>
  <c r="AE13" i="23" s="1"/>
  <c r="Y13" i="23"/>
  <c r="W13" i="23"/>
  <c r="U13" i="23"/>
  <c r="R13" i="23"/>
  <c r="L13" i="23"/>
  <c r="K13" i="23"/>
  <c r="AX12" i="23"/>
  <c r="AW12" i="23"/>
  <c r="AC13" i="23" s="1"/>
  <c r="AD13" i="23" s="1"/>
  <c r="AX11" i="23"/>
  <c r="AG11" i="23" s="1"/>
  <c r="AW11" i="23"/>
  <c r="AV11" i="23"/>
  <c r="AO11" i="23"/>
  <c r="AF11" i="23"/>
  <c r="AA11" i="23"/>
  <c r="AB11" i="23" s="1"/>
  <c r="Y11" i="23"/>
  <c r="W11" i="23"/>
  <c r="U11" i="23"/>
  <c r="R11" i="23"/>
  <c r="L11" i="23"/>
  <c r="K11" i="23"/>
  <c r="AX10" i="23"/>
  <c r="AW10" i="23"/>
  <c r="AC11" i="23" s="1"/>
  <c r="AD11" i="23" s="1"/>
  <c r="AB61" i="19" l="1"/>
  <c r="AC69" i="17"/>
  <c r="AD69" i="17" s="1"/>
  <c r="B69" i="18"/>
  <c r="C69" i="18" s="1"/>
  <c r="AE881" i="1"/>
  <c r="AC885" i="1"/>
  <c r="AD885" i="1" s="1"/>
  <c r="AE951" i="1"/>
  <c r="AK1233" i="1"/>
  <c r="AE1389" i="1"/>
  <c r="AJ1463" i="1"/>
  <c r="AK1421" i="1"/>
  <c r="AK1463" i="1"/>
  <c r="AI1463" i="1"/>
  <c r="AE899" i="1"/>
  <c r="AE1235" i="1"/>
  <c r="AE913" i="1"/>
  <c r="AE1233" i="1"/>
  <c r="AE901" i="1"/>
  <c r="Y1421" i="1"/>
  <c r="AJ1421" i="1"/>
  <c r="AI809" i="1"/>
  <c r="AK895" i="1"/>
  <c r="AE895" i="1"/>
  <c r="AC899" i="1"/>
  <c r="AD899" i="1" s="1"/>
  <c r="AB899" i="1"/>
  <c r="AK903" i="1"/>
  <c r="AJ913" i="1"/>
  <c r="AI1465" i="1"/>
  <c r="AI867" i="1"/>
  <c r="AC883" i="1"/>
  <c r="AD883" i="1" s="1"/>
  <c r="AK887" i="1"/>
  <c r="AC905" i="1"/>
  <c r="AD905" i="1" s="1"/>
  <c r="AC913" i="1"/>
  <c r="AD913" i="1" s="1"/>
  <c r="AC1389" i="1"/>
  <c r="AD1389" i="1" s="1"/>
  <c r="AC1421" i="1"/>
  <c r="AD1421" i="1" s="1"/>
  <c r="AJ1465" i="1"/>
  <c r="AC893" i="1"/>
  <c r="AD893" i="1" s="1"/>
  <c r="AE893" i="1"/>
  <c r="AC897" i="1"/>
  <c r="AD897" i="1" s="1"/>
  <c r="AE897" i="1"/>
  <c r="AB901" i="1"/>
  <c r="AP1389" i="1"/>
  <c r="AE813" i="1"/>
  <c r="AE817" i="1"/>
  <c r="AK889" i="1"/>
  <c r="AC889" i="1"/>
  <c r="AD889" i="1" s="1"/>
  <c r="AI913" i="1"/>
  <c r="AC1235" i="1"/>
  <c r="AD1235" i="1" s="1"/>
  <c r="AB1235" i="1"/>
  <c r="AQ1389" i="1"/>
  <c r="AI1421" i="1"/>
  <c r="AQ1421" i="1"/>
  <c r="AK211" i="31"/>
  <c r="AI297" i="31"/>
  <c r="AE197" i="31"/>
  <c r="AC297" i="31"/>
  <c r="AD297" i="31" s="1"/>
  <c r="B187" i="32"/>
  <c r="C187" i="32" s="1"/>
  <c r="AK193" i="31"/>
  <c r="AK203" i="31"/>
  <c r="AC181" i="31"/>
  <c r="AD181" i="31" s="1"/>
  <c r="AJ263" i="31"/>
  <c r="AG181" i="31"/>
  <c r="AG185" i="31"/>
  <c r="AK195" i="31"/>
  <c r="AB195" i="31"/>
  <c r="AE263" i="31"/>
  <c r="AC183" i="31"/>
  <c r="AD183" i="31" s="1"/>
  <c r="AK201" i="31"/>
  <c r="AK179" i="31"/>
  <c r="AC211" i="31"/>
  <c r="AD211" i="31" s="1"/>
  <c r="B263" i="32"/>
  <c r="C263" i="32" s="1"/>
  <c r="AK297" i="31"/>
  <c r="AE177" i="31"/>
  <c r="AE199" i="31"/>
  <c r="AB203" i="31"/>
  <c r="B293" i="32"/>
  <c r="C293" i="32" s="1"/>
  <c r="AK187" i="31"/>
  <c r="AC265" i="31"/>
  <c r="AD265" i="31" s="1"/>
  <c r="AC215" i="31"/>
  <c r="AD215" i="31" s="1"/>
  <c r="B265" i="32"/>
  <c r="C265" i="32" s="1"/>
  <c r="AI293" i="31"/>
  <c r="Y293" i="31"/>
  <c r="AE293" i="31" s="1"/>
  <c r="AE297" i="31"/>
  <c r="B213" i="32"/>
  <c r="C213" i="32" s="1"/>
  <c r="AB297" i="31"/>
  <c r="AF143" i="27"/>
  <c r="AI143" i="27"/>
  <c r="AJ143" i="27"/>
  <c r="AI331" i="23"/>
  <c r="AJ331" i="23"/>
  <c r="AE417" i="33"/>
  <c r="AI417" i="33"/>
  <c r="AJ417" i="33"/>
  <c r="AI709" i="29"/>
  <c r="AJ709" i="29"/>
  <c r="AC709" i="29"/>
  <c r="AD709" i="29" s="1"/>
  <c r="AI711" i="29"/>
  <c r="AE1465" i="1"/>
  <c r="AE1463" i="1"/>
  <c r="AN169" i="25"/>
  <c r="AO169" i="25"/>
  <c r="AP169" i="25"/>
  <c r="Y169" i="25"/>
  <c r="AE169" i="25" s="1"/>
  <c r="AI169" i="25"/>
  <c r="AQ169" i="25"/>
  <c r="AJ169" i="25"/>
  <c r="AR169" i="25"/>
  <c r="AK169" i="25"/>
  <c r="AS169" i="25"/>
  <c r="AL169" i="25"/>
  <c r="AE307" i="23"/>
  <c r="AN307" i="23"/>
  <c r="AP307" i="23"/>
  <c r="Y307" i="23"/>
  <c r="AI307" i="23"/>
  <c r="AQ307" i="23"/>
  <c r="AJ307" i="23"/>
  <c r="AK307" i="23"/>
  <c r="AL307" i="23"/>
  <c r="AO293" i="31"/>
  <c r="AP293" i="31"/>
  <c r="AJ293" i="31"/>
  <c r="AK293" i="31"/>
  <c r="AS293" i="31"/>
  <c r="AC293" i="31"/>
  <c r="AD293" i="31" s="1"/>
  <c r="AL293" i="31"/>
  <c r="AN693" i="29"/>
  <c r="Y693" i="29"/>
  <c r="AE693" i="29" s="1"/>
  <c r="AI693" i="29"/>
  <c r="AJ693" i="29"/>
  <c r="AK693" i="29"/>
  <c r="AE1421" i="1"/>
  <c r="AI1389" i="1"/>
  <c r="AJ1389" i="1"/>
  <c r="AK1389" i="1"/>
  <c r="AB263" i="31"/>
  <c r="AK263" i="31"/>
  <c r="AM265" i="31"/>
  <c r="D265" i="32" s="1"/>
  <c r="AC263" i="31"/>
  <c r="AD263" i="31" s="1"/>
  <c r="AN265" i="31"/>
  <c r="AO263" i="31"/>
  <c r="Y265" i="31"/>
  <c r="AE265" i="31" s="1"/>
  <c r="AI265" i="31"/>
  <c r="AQ265" i="31"/>
  <c r="AJ265" i="31"/>
  <c r="AR265" i="31"/>
  <c r="AI263" i="31"/>
  <c r="AK265" i="31"/>
  <c r="AS265" i="31"/>
  <c r="AN631" i="29"/>
  <c r="Y631" i="29"/>
  <c r="AE631" i="29" s="1"/>
  <c r="AI631" i="29"/>
  <c r="AQ631" i="29"/>
  <c r="AJ631" i="29"/>
  <c r="AJ367" i="33"/>
  <c r="AE369" i="33"/>
  <c r="AK367" i="33"/>
  <c r="AC367" i="33"/>
  <c r="AD367" i="33" s="1"/>
  <c r="AJ369" i="33"/>
  <c r="AJ615" i="29"/>
  <c r="AE617" i="29"/>
  <c r="AK615" i="29"/>
  <c r="AC615" i="29"/>
  <c r="AD615" i="29" s="1"/>
  <c r="AI617" i="29"/>
  <c r="AJ617" i="29"/>
  <c r="AC207" i="29"/>
  <c r="AD207" i="29" s="1"/>
  <c r="AB489" i="29"/>
  <c r="AE131" i="29"/>
  <c r="AK481" i="29"/>
  <c r="AB481" i="29"/>
  <c r="B487" i="30"/>
  <c r="C487" i="30" s="1"/>
  <c r="AI517" i="29"/>
  <c r="AI129" i="29"/>
  <c r="AE443" i="29"/>
  <c r="AC449" i="29"/>
  <c r="AD449" i="29" s="1"/>
  <c r="B443" i="30"/>
  <c r="C443" i="30" s="1"/>
  <c r="AJ517" i="29"/>
  <c r="AE517" i="29"/>
  <c r="AE205" i="29"/>
  <c r="AI479" i="29"/>
  <c r="AI475" i="29"/>
  <c r="AN1271" i="1"/>
  <c r="AO1271" i="1"/>
  <c r="Y1271" i="1"/>
  <c r="AE1271" i="1" s="1"/>
  <c r="AI1271" i="1"/>
  <c r="AQ1271" i="1"/>
  <c r="AJ1271" i="1"/>
  <c r="AR1271" i="1"/>
  <c r="AC1271" i="1"/>
  <c r="AD1271" i="1" s="1"/>
  <c r="AL1271" i="1"/>
  <c r="AC1269" i="1"/>
  <c r="AD1269" i="1" s="1"/>
  <c r="AI1269" i="1"/>
  <c r="Y1269" i="1"/>
  <c r="AE1269" i="1" s="1"/>
  <c r="AJ1269" i="1"/>
  <c r="AK1269" i="1"/>
  <c r="AI1235" i="1"/>
  <c r="AK1235" i="1"/>
  <c r="AC1233" i="1"/>
  <c r="AD1233" i="1" s="1"/>
  <c r="AI1233" i="1"/>
  <c r="AJ1233" i="1"/>
  <c r="AN297" i="33"/>
  <c r="Y297" i="33"/>
  <c r="AE297" i="33" s="1"/>
  <c r="AI297" i="33"/>
  <c r="AQ297" i="33"/>
  <c r="AJ297" i="33"/>
  <c r="AR297" i="33"/>
  <c r="AK297" i="33"/>
  <c r="AM87" i="27"/>
  <c r="AE87" i="27"/>
  <c r="AP87" i="27"/>
  <c r="Y87" i="27"/>
  <c r="AI87" i="27"/>
  <c r="AQ87" i="27"/>
  <c r="AJ87" i="27"/>
  <c r="AK87" i="27"/>
  <c r="AS87" i="27"/>
  <c r="AC87" i="27"/>
  <c r="AD87" i="27" s="1"/>
  <c r="AL87" i="27"/>
  <c r="AN225" i="23"/>
  <c r="AO225" i="23"/>
  <c r="AP225" i="23"/>
  <c r="Y225" i="23"/>
  <c r="AE225" i="23" s="1"/>
  <c r="AI225" i="23"/>
  <c r="AQ225" i="23"/>
  <c r="AJ225" i="23"/>
  <c r="AK225" i="23"/>
  <c r="AM517" i="29"/>
  <c r="D517" i="30" s="1"/>
  <c r="AN517" i="29"/>
  <c r="AO517" i="29"/>
  <c r="AC517" i="29"/>
  <c r="AD517" i="29" s="1"/>
  <c r="AL517" i="29"/>
  <c r="AE281" i="33"/>
  <c r="AI281" i="33"/>
  <c r="AJ281" i="33"/>
  <c r="AB445" i="29"/>
  <c r="AK471" i="29"/>
  <c r="AB471" i="29"/>
  <c r="AJ445" i="29"/>
  <c r="AE449" i="29"/>
  <c r="AE471" i="29"/>
  <c r="AK493" i="29"/>
  <c r="Y493" i="29"/>
  <c r="AE439" i="29"/>
  <c r="AJ479" i="29"/>
  <c r="AE483" i="29"/>
  <c r="AK441" i="29"/>
  <c r="B131" i="30"/>
  <c r="C131" i="30" s="1"/>
  <c r="AE211" i="29"/>
  <c r="AE209" i="29"/>
  <c r="AC441" i="29"/>
  <c r="AD441" i="29" s="1"/>
  <c r="AB441" i="29"/>
  <c r="AE447" i="29"/>
  <c r="AI469" i="29"/>
  <c r="AC473" i="29"/>
  <c r="AD473" i="29" s="1"/>
  <c r="AC477" i="29"/>
  <c r="AD477" i="29" s="1"/>
  <c r="AK483" i="29"/>
  <c r="AB483" i="29"/>
  <c r="AI491" i="29"/>
  <c r="AE497" i="29"/>
  <c r="AJ211" i="29"/>
  <c r="AG213" i="29"/>
  <c r="AI443" i="29"/>
  <c r="AG211" i="29"/>
  <c r="AK447" i="29"/>
  <c r="AI449" i="29"/>
  <c r="AC481" i="29"/>
  <c r="AD481" i="29" s="1"/>
  <c r="AJ495" i="29"/>
  <c r="AK485" i="29"/>
  <c r="AJ129" i="29"/>
  <c r="AK445" i="29"/>
  <c r="AJ449" i="29"/>
  <c r="B447" i="30"/>
  <c r="C447" i="30" s="1"/>
  <c r="AK477" i="29"/>
  <c r="AJ481" i="29"/>
  <c r="AE487" i="29"/>
  <c r="B473" i="30"/>
  <c r="C473" i="30" s="1"/>
  <c r="AC497" i="29"/>
  <c r="AD497" i="29" s="1"/>
  <c r="AC131" i="29"/>
  <c r="AD131" i="29" s="1"/>
  <c r="AB207" i="29"/>
  <c r="AG207" i="29"/>
  <c r="AG209" i="29"/>
  <c r="B207" i="30"/>
  <c r="C207" i="30" s="1"/>
  <c r="AF445" i="29"/>
  <c r="AJ471" i="29"/>
  <c r="AJ483" i="29"/>
  <c r="AJ485" i="29"/>
  <c r="AE485" i="29"/>
  <c r="B489" i="30"/>
  <c r="C489" i="30" s="1"/>
  <c r="B469" i="30"/>
  <c r="C469" i="30" s="1"/>
  <c r="AC129" i="29"/>
  <c r="AD129" i="29" s="1"/>
  <c r="B449" i="30"/>
  <c r="C449" i="30" s="1"/>
  <c r="AC471" i="29"/>
  <c r="AD471" i="29" s="1"/>
  <c r="AE479" i="29"/>
  <c r="AC483" i="29"/>
  <c r="AD483" i="29" s="1"/>
  <c r="AB485" i="29"/>
  <c r="AE495" i="29"/>
  <c r="AB497" i="29"/>
  <c r="B493" i="30"/>
  <c r="C493" i="30" s="1"/>
  <c r="AE129" i="29"/>
  <c r="AK207" i="29"/>
  <c r="AG205" i="29"/>
  <c r="AL207" i="29"/>
  <c r="AC211" i="29"/>
  <c r="AD211" i="29" s="1"/>
  <c r="B209" i="30"/>
  <c r="C209" i="30" s="1"/>
  <c r="AI445" i="29"/>
  <c r="B439" i="30"/>
  <c r="C439" i="30" s="1"/>
  <c r="AJ477" i="29"/>
  <c r="AB477" i="29"/>
  <c r="AC485" i="29"/>
  <c r="AD485" i="29" s="1"/>
  <c r="AC489" i="29"/>
  <c r="AD489" i="29" s="1"/>
  <c r="AC491" i="29"/>
  <c r="AD491" i="29" s="1"/>
  <c r="AE491" i="29"/>
  <c r="B491" i="30"/>
  <c r="C491" i="30" s="1"/>
  <c r="AE493" i="29"/>
  <c r="B497" i="30"/>
  <c r="C497" i="30" s="1"/>
  <c r="AM207" i="29"/>
  <c r="D207" i="30" s="1"/>
  <c r="AK211" i="29"/>
  <c r="AC213" i="29"/>
  <c r="AD213" i="29" s="1"/>
  <c r="AI439" i="29"/>
  <c r="AG443" i="29"/>
  <c r="AC447" i="29"/>
  <c r="AD447" i="29" s="1"/>
  <c r="AJ469" i="29"/>
  <c r="AE477" i="29"/>
  <c r="AI213" i="29"/>
  <c r="AI483" i="29"/>
  <c r="B495" i="30"/>
  <c r="C495" i="30" s="1"/>
  <c r="AK209" i="29"/>
  <c r="B129" i="30"/>
  <c r="C129" i="30" s="1"/>
  <c r="AT207" i="29"/>
  <c r="AE213" i="29"/>
  <c r="B211" i="30"/>
  <c r="C211" i="30" s="1"/>
  <c r="AE441" i="29"/>
  <c r="AC443" i="29"/>
  <c r="AD443" i="29" s="1"/>
  <c r="AC445" i="29"/>
  <c r="AD445" i="29" s="1"/>
  <c r="AE445" i="29"/>
  <c r="AI447" i="29"/>
  <c r="AE475" i="29"/>
  <c r="B483" i="30"/>
  <c r="C483" i="30" s="1"/>
  <c r="AE205" i="31"/>
  <c r="AB209" i="31"/>
  <c r="AE217" i="31"/>
  <c r="AB205" i="31"/>
  <c r="AE195" i="31"/>
  <c r="AJ203" i="31"/>
  <c r="AE213" i="31"/>
  <c r="AK205" i="31"/>
  <c r="AC213" i="31"/>
  <c r="AD213" i="31" s="1"/>
  <c r="AC179" i="31"/>
  <c r="AD179" i="31" s="1"/>
  <c r="AI211" i="31"/>
  <c r="AP185" i="31"/>
  <c r="AJ179" i="31"/>
  <c r="B179" i="32"/>
  <c r="C179" i="32" s="1"/>
  <c r="AI197" i="31"/>
  <c r="AC209" i="31"/>
  <c r="AD209" i="31" s="1"/>
  <c r="B201" i="32"/>
  <c r="C201" i="32" s="1"/>
  <c r="AI219" i="31"/>
  <c r="AE181" i="31"/>
  <c r="AF183" i="31"/>
  <c r="B185" i="32"/>
  <c r="C185" i="32" s="1"/>
  <c r="AC193" i="31"/>
  <c r="AD193" i="31" s="1"/>
  <c r="AC195" i="31"/>
  <c r="AD195" i="31" s="1"/>
  <c r="AJ217" i="31"/>
  <c r="AC219" i="31"/>
  <c r="AD219" i="31" s="1"/>
  <c r="AE219" i="31"/>
  <c r="B181" i="32"/>
  <c r="C181" i="32" s="1"/>
  <c r="AK197" i="31"/>
  <c r="AB197" i="31"/>
  <c r="AC201" i="31"/>
  <c r="AD201" i="31" s="1"/>
  <c r="AE207" i="31"/>
  <c r="AI195" i="31"/>
  <c r="AC197" i="31"/>
  <c r="AD197" i="31" s="1"/>
  <c r="AC207" i="31"/>
  <c r="AD207" i="31" s="1"/>
  <c r="AB207" i="31"/>
  <c r="AE211" i="31"/>
  <c r="B193" i="32"/>
  <c r="C193" i="32" s="1"/>
  <c r="B197" i="32"/>
  <c r="C197" i="32" s="1"/>
  <c r="AK183" i="31"/>
  <c r="AK185" i="31"/>
  <c r="B177" i="32"/>
  <c r="C177" i="32" s="1"/>
  <c r="AJ199" i="31"/>
  <c r="AC205" i="31"/>
  <c r="AD205" i="31" s="1"/>
  <c r="B199" i="32"/>
  <c r="C199" i="32" s="1"/>
  <c r="AI217" i="31"/>
  <c r="B53" i="32"/>
  <c r="C53" i="32" s="1"/>
  <c r="AJ177" i="31"/>
  <c r="AI181" i="31"/>
  <c r="AC185" i="31"/>
  <c r="AD185" i="31" s="1"/>
  <c r="B183" i="32"/>
  <c r="C183" i="32" s="1"/>
  <c r="B215" i="32"/>
  <c r="C215" i="32" s="1"/>
  <c r="AO217" i="31"/>
  <c r="B217" i="32"/>
  <c r="C217" i="32" s="1"/>
  <c r="AJ187" i="31"/>
  <c r="AJ195" i="31"/>
  <c r="AE209" i="31"/>
  <c r="AI215" i="31"/>
  <c r="B211" i="32"/>
  <c r="C211" i="32" s="1"/>
  <c r="AP217" i="31"/>
  <c r="AB219" i="31"/>
  <c r="AK219" i="31"/>
  <c r="AB217" i="31"/>
  <c r="AK217" i="31"/>
  <c r="AS217" i="31"/>
  <c r="AC217" i="31"/>
  <c r="AD217" i="31" s="1"/>
  <c r="AL217" i="31"/>
  <c r="AT217" i="31"/>
  <c r="AM217" i="31"/>
  <c r="D217" i="32" s="1"/>
  <c r="AJ219" i="31"/>
  <c r="AC493" i="29"/>
  <c r="AD493" i="29" s="1"/>
  <c r="AL493" i="29"/>
  <c r="AT493" i="29"/>
  <c r="AO495" i="29"/>
  <c r="AM493" i="29"/>
  <c r="D493" i="30" s="1"/>
  <c r="AI495" i="29"/>
  <c r="AB495" i="29"/>
  <c r="AK495" i="29"/>
  <c r="AI497" i="29"/>
  <c r="AI493" i="29"/>
  <c r="AC495" i="29"/>
  <c r="AD495" i="29" s="1"/>
  <c r="AJ497" i="29"/>
  <c r="AJ493" i="29"/>
  <c r="AK497" i="29"/>
  <c r="AC951" i="1"/>
  <c r="AD951" i="1" s="1"/>
  <c r="AI951" i="1"/>
  <c r="AJ951" i="1"/>
  <c r="AK951" i="1"/>
  <c r="AE885" i="1"/>
  <c r="AC887" i="1"/>
  <c r="AD887" i="1" s="1"/>
  <c r="AC819" i="1"/>
  <c r="AD819" i="1" s="1"/>
  <c r="AE819" i="1"/>
  <c r="AC881" i="1"/>
  <c r="AD881" i="1" s="1"/>
  <c r="AE883" i="1"/>
  <c r="AE889" i="1"/>
  <c r="AC891" i="1"/>
  <c r="AD891" i="1" s="1"/>
  <c r="AE887" i="1"/>
  <c r="AC903" i="1"/>
  <c r="AD903" i="1" s="1"/>
  <c r="AC813" i="1"/>
  <c r="AD813" i="1" s="1"/>
  <c r="AI885" i="1"/>
  <c r="AI911" i="1"/>
  <c r="Y911" i="1"/>
  <c r="AE911" i="1" s="1"/>
  <c r="AK913" i="1"/>
  <c r="AI815" i="1"/>
  <c r="AI881" i="1"/>
  <c r="AK893" i="1"/>
  <c r="AC901" i="1"/>
  <c r="AD901" i="1" s="1"/>
  <c r="AC869" i="1"/>
  <c r="AD869" i="1" s="1"/>
  <c r="AC817" i="1"/>
  <c r="AD817" i="1" s="1"/>
  <c r="AC867" i="1"/>
  <c r="AD867" i="1" s="1"/>
  <c r="AJ881" i="1"/>
  <c r="AJ883" i="1"/>
  <c r="AJ895" i="1"/>
  <c r="AK911" i="1"/>
  <c r="AK811" i="1"/>
  <c r="AK883" i="1"/>
  <c r="AJ899" i="1"/>
  <c r="AC949" i="1"/>
  <c r="AD949" i="1" s="1"/>
  <c r="AI949" i="1"/>
  <c r="AK949" i="1"/>
  <c r="AJ949" i="1"/>
  <c r="Y949" i="1"/>
  <c r="AE949" i="1" s="1"/>
  <c r="AC911" i="1"/>
  <c r="AD911" i="1" s="1"/>
  <c r="AN911" i="1"/>
  <c r="AP911" i="1"/>
  <c r="AJ911" i="1"/>
  <c r="AO909" i="1"/>
  <c r="AP909" i="1"/>
  <c r="Y909" i="1"/>
  <c r="AE909" i="1" s="1"/>
  <c r="AI909" i="1"/>
  <c r="AQ909" i="1"/>
  <c r="AJ909" i="1"/>
  <c r="AR909" i="1"/>
  <c r="AK909" i="1"/>
  <c r="AS909" i="1"/>
  <c r="AC909" i="1"/>
  <c r="AD909" i="1" s="1"/>
  <c r="AL909" i="1"/>
  <c r="AN907" i="1"/>
  <c r="AO907" i="1"/>
  <c r="Y907" i="1"/>
  <c r="AE907" i="1" s="1"/>
  <c r="AI907" i="1"/>
  <c r="AQ907" i="1"/>
  <c r="AJ907" i="1"/>
  <c r="AR907" i="1"/>
  <c r="AK907" i="1"/>
  <c r="AS907" i="1"/>
  <c r="AC907" i="1"/>
  <c r="AD907" i="1" s="1"/>
  <c r="AL907" i="1"/>
  <c r="AK905" i="1"/>
  <c r="AJ905" i="1"/>
  <c r="AI905" i="1"/>
  <c r="AE905" i="1"/>
  <c r="AC199" i="31"/>
  <c r="AD199" i="31" s="1"/>
  <c r="AC203" i="31"/>
  <c r="AD203" i="31" s="1"/>
  <c r="AI205" i="31"/>
  <c r="AJ209" i="31"/>
  <c r="AJ213" i="31"/>
  <c r="AE215" i="31"/>
  <c r="AI209" i="31"/>
  <c r="AI213" i="31"/>
  <c r="AE193" i="31"/>
  <c r="AI201" i="31"/>
  <c r="AJ205" i="31"/>
  <c r="AK209" i="31"/>
  <c r="AK213" i="31"/>
  <c r="AJ201" i="31"/>
  <c r="AB201" i="31"/>
  <c r="AI207" i="31"/>
  <c r="AI193" i="31"/>
  <c r="AJ211" i="31"/>
  <c r="AJ215" i="31"/>
  <c r="AI199" i="31"/>
  <c r="AI203" i="31"/>
  <c r="AK207" i="31"/>
  <c r="AK215" i="31"/>
  <c r="AJ193" i="31"/>
  <c r="AI487" i="29"/>
  <c r="AJ475" i="29"/>
  <c r="AC469" i="29"/>
  <c r="AD469" i="29" s="1"/>
  <c r="AI471" i="29"/>
  <c r="AE473" i="29"/>
  <c r="AB475" i="29"/>
  <c r="AK475" i="29"/>
  <c r="AB479" i="29"/>
  <c r="AK479" i="29"/>
  <c r="AI485" i="29"/>
  <c r="AI489" i="29"/>
  <c r="AK469" i="29"/>
  <c r="AC475" i="29"/>
  <c r="AD475" i="29" s="1"/>
  <c r="AC479" i="29"/>
  <c r="AD479" i="29" s="1"/>
  <c r="AI481" i="29"/>
  <c r="AJ489" i="29"/>
  <c r="AJ473" i="29"/>
  <c r="AE469" i="29"/>
  <c r="AI477" i="29"/>
  <c r="AK489" i="29"/>
  <c r="AI473" i="29"/>
  <c r="AK473" i="29"/>
  <c r="AJ487" i="29"/>
  <c r="AJ491" i="29"/>
  <c r="AK487" i="29"/>
  <c r="AK491" i="29"/>
  <c r="AE141" i="25"/>
  <c r="AN141" i="25"/>
  <c r="AO141" i="25"/>
  <c r="AP141" i="25"/>
  <c r="Y141" i="25"/>
  <c r="AI141" i="25"/>
  <c r="AQ141" i="25"/>
  <c r="AJ141" i="25"/>
  <c r="AR141" i="25"/>
  <c r="AK141" i="25"/>
  <c r="AS141" i="25"/>
  <c r="AL141" i="25"/>
  <c r="AP223" i="23"/>
  <c r="Y223" i="23"/>
  <c r="AE223" i="23" s="1"/>
  <c r="AI223" i="23"/>
  <c r="AQ223" i="23"/>
  <c r="AJ223" i="23"/>
  <c r="AR223" i="23"/>
  <c r="AK223" i="23"/>
  <c r="AC895" i="1"/>
  <c r="AD895" i="1" s="1"/>
  <c r="AI897" i="1"/>
  <c r="AJ901" i="1"/>
  <c r="AE903" i="1"/>
  <c r="AJ897" i="1"/>
  <c r="AK901" i="1"/>
  <c r="AI893" i="1"/>
  <c r="AB897" i="1"/>
  <c r="AK897" i="1"/>
  <c r="AJ893" i="1"/>
  <c r="AI899" i="1"/>
  <c r="AI903" i="1"/>
  <c r="AJ903" i="1"/>
  <c r="AI895" i="1"/>
  <c r="AK899" i="1"/>
  <c r="AI889" i="1"/>
  <c r="AE891" i="1"/>
  <c r="AJ889" i="1"/>
  <c r="AI891" i="1"/>
  <c r="AJ891" i="1"/>
  <c r="AK891" i="1"/>
  <c r="AJ885" i="1"/>
  <c r="AB885" i="1"/>
  <c r="AK885" i="1"/>
  <c r="AI887" i="1"/>
  <c r="AJ887" i="1"/>
  <c r="AK809" i="1"/>
  <c r="AG813" i="1"/>
  <c r="AC815" i="1"/>
  <c r="AD815" i="1" s="1"/>
  <c r="AE815" i="1"/>
  <c r="AC809" i="1"/>
  <c r="AD809" i="1" s="1"/>
  <c r="AK867" i="1"/>
  <c r="AE869" i="1"/>
  <c r="AC811" i="1"/>
  <c r="AD811" i="1" s="1"/>
  <c r="AJ817" i="1"/>
  <c r="AB883" i="1"/>
  <c r="AJ869" i="1"/>
  <c r="AI869" i="1"/>
  <c r="AK869" i="1"/>
  <c r="AC61" i="19"/>
  <c r="AD61" i="19" s="1"/>
  <c r="AM61" i="19"/>
  <c r="D61" i="22" s="1"/>
  <c r="AN61" i="19"/>
  <c r="Y61" i="19"/>
  <c r="AE61" i="19" s="1"/>
  <c r="AI61" i="19"/>
  <c r="AQ61" i="19"/>
  <c r="AJ61" i="19"/>
  <c r="AM69" i="17"/>
  <c r="D69" i="18" s="1"/>
  <c r="AE69" i="17"/>
  <c r="AN69" i="17"/>
  <c r="AP69" i="17"/>
  <c r="AI69" i="17"/>
  <c r="AJ69" i="17"/>
  <c r="AR69" i="17"/>
  <c r="AK69" i="17"/>
  <c r="AS69" i="17"/>
  <c r="AL69" i="17"/>
  <c r="AE179" i="31"/>
  <c r="AJ183" i="31"/>
  <c r="AB177" i="31"/>
  <c r="AK177" i="31"/>
  <c r="AG179" i="31"/>
  <c r="AJ181" i="31"/>
  <c r="AR181" i="31"/>
  <c r="AE185" i="31"/>
  <c r="AG187" i="31"/>
  <c r="AE187" i="31"/>
  <c r="AC177" i="31"/>
  <c r="AD177" i="31" s="1"/>
  <c r="AI179" i="31"/>
  <c r="AQ179" i="31"/>
  <c r="AK181" i="31"/>
  <c r="AI187" i="31"/>
  <c r="AE183" i="31"/>
  <c r="AI185" i="31"/>
  <c r="AL179" i="31"/>
  <c r="AG183" i="31"/>
  <c r="AJ185" i="31"/>
  <c r="AC187" i="31"/>
  <c r="AD187" i="31" s="1"/>
  <c r="AI183" i="31"/>
  <c r="AB439" i="29"/>
  <c r="AK439" i="29"/>
  <c r="AG441" i="29"/>
  <c r="AJ443" i="29"/>
  <c r="AR443" i="29"/>
  <c r="AG449" i="29"/>
  <c r="AK443" i="29"/>
  <c r="AF447" i="29"/>
  <c r="AJ439" i="29"/>
  <c r="AC439" i="29"/>
  <c r="AD439" i="29" s="1"/>
  <c r="AI441" i="29"/>
  <c r="AJ441" i="29"/>
  <c r="AL443" i="29"/>
  <c r="AT443" i="29"/>
  <c r="AG447" i="29"/>
  <c r="AK449" i="29"/>
  <c r="AG445" i="29"/>
  <c r="AJ447" i="29"/>
  <c r="AK91" i="33"/>
  <c r="AC93" i="33"/>
  <c r="AD93" i="33" s="1"/>
  <c r="AK155" i="33"/>
  <c r="AE155" i="33"/>
  <c r="AE93" i="33"/>
  <c r="AJ157" i="33"/>
  <c r="AE159" i="33"/>
  <c r="AE91" i="33"/>
  <c r="AC155" i="33"/>
  <c r="AD155" i="33" s="1"/>
  <c r="AE157" i="33"/>
  <c r="B93" i="34"/>
  <c r="C93" i="34" s="1"/>
  <c r="AG157" i="33"/>
  <c r="AG155" i="33"/>
  <c r="AK93" i="33"/>
  <c r="AB157" i="33"/>
  <c r="AK157" i="33"/>
  <c r="AB159" i="33"/>
  <c r="AK159" i="33"/>
  <c r="AI159" i="33"/>
  <c r="AC157" i="33"/>
  <c r="AD157" i="33" s="1"/>
  <c r="AC159" i="33"/>
  <c r="AD159" i="33" s="1"/>
  <c r="AF155" i="33"/>
  <c r="AI155" i="33"/>
  <c r="AQ155" i="33"/>
  <c r="AF157" i="33"/>
  <c r="AF159" i="33"/>
  <c r="AJ155" i="33"/>
  <c r="AG55" i="31"/>
  <c r="AC53" i="31"/>
  <c r="AD53" i="31" s="1"/>
  <c r="AE55" i="31"/>
  <c r="AI53" i="31"/>
  <c r="AG53" i="31"/>
  <c r="AC55" i="31"/>
  <c r="AD55" i="31" s="1"/>
  <c r="AJ53" i="31"/>
  <c r="AJ55" i="31"/>
  <c r="AI55" i="31"/>
  <c r="AB55" i="31"/>
  <c r="AK55" i="31"/>
  <c r="AE53" i="31"/>
  <c r="AF53" i="31"/>
  <c r="AK53" i="31"/>
  <c r="AB209" i="29"/>
  <c r="AK205" i="29"/>
  <c r="AJ207" i="29"/>
  <c r="AI209" i="29"/>
  <c r="AI211" i="29"/>
  <c r="AJ209" i="29"/>
  <c r="AJ213" i="29"/>
  <c r="AC209" i="29"/>
  <c r="AD209" i="29" s="1"/>
  <c r="AB213" i="29"/>
  <c r="AK213" i="29"/>
  <c r="AF205" i="29"/>
  <c r="AB211" i="29"/>
  <c r="AF207" i="29"/>
  <c r="AI205" i="29"/>
  <c r="AQ205" i="29"/>
  <c r="AJ205" i="29"/>
  <c r="AI207" i="29"/>
  <c r="AJ867" i="1"/>
  <c r="AE867" i="1"/>
  <c r="AJ91" i="33"/>
  <c r="AC91" i="33"/>
  <c r="AD91" i="33" s="1"/>
  <c r="AI91" i="33"/>
  <c r="AB91" i="33"/>
  <c r="AI93" i="33"/>
  <c r="AJ93" i="33"/>
  <c r="AB129" i="29"/>
  <c r="AK129" i="29"/>
  <c r="AI131" i="29"/>
  <c r="AJ131" i="29"/>
  <c r="AK131" i="29"/>
  <c r="AK819" i="1"/>
  <c r="AG819" i="1"/>
  <c r="AF819" i="1"/>
  <c r="AI819" i="1"/>
  <c r="AJ819" i="1"/>
  <c r="AB819" i="1"/>
  <c r="AG817" i="1"/>
  <c r="AF817" i="1"/>
  <c r="AI817" i="1"/>
  <c r="AK817" i="1"/>
  <c r="AB817" i="1"/>
  <c r="AJ813" i="1"/>
  <c r="AB813" i="1"/>
  <c r="AK813" i="1"/>
  <c r="AG815" i="1"/>
  <c r="AJ815" i="1"/>
  <c r="AB815" i="1"/>
  <c r="AK815" i="1"/>
  <c r="AI813" i="1"/>
  <c r="AG811" i="1"/>
  <c r="AE811" i="1"/>
  <c r="AI811" i="1"/>
  <c r="AJ811" i="1"/>
  <c r="AE809" i="1"/>
  <c r="AG11" i="27"/>
  <c r="AJ13" i="27"/>
  <c r="AI11" i="27"/>
  <c r="AB13" i="27"/>
  <c r="AK13" i="27"/>
  <c r="AJ11" i="27"/>
  <c r="AK11" i="27"/>
  <c r="AI11" i="23"/>
  <c r="AB13" i="23"/>
  <c r="AE11" i="23"/>
  <c r="AI13" i="23"/>
  <c r="AJ13" i="23"/>
  <c r="AK13" i="23"/>
  <c r="AJ11" i="23"/>
  <c r="AK11" i="23"/>
  <c r="AP11" i="23"/>
  <c r="D85" i="28"/>
  <c r="B85" i="28"/>
  <c r="C85" i="28" s="1"/>
  <c r="A85" i="28"/>
  <c r="AT85" i="27"/>
  <c r="AO85" i="27"/>
  <c r="AN85" i="27"/>
  <c r="AM85" i="27"/>
  <c r="AL85" i="27"/>
  <c r="AG85" i="27"/>
  <c r="AF85" i="27"/>
  <c r="AE85" i="27"/>
  <c r="AD85" i="27"/>
  <c r="AC85" i="27"/>
  <c r="AA85" i="27"/>
  <c r="AB85" i="27" s="1"/>
  <c r="Y85" i="27"/>
  <c r="W85" i="27"/>
  <c r="U85" i="27"/>
  <c r="R85" i="27"/>
  <c r="L85" i="27"/>
  <c r="K85" i="27"/>
  <c r="AX84" i="27"/>
  <c r="AW84" i="27"/>
  <c r="AK85" i="27" s="1"/>
  <c r="D213" i="24"/>
  <c r="B213" i="24"/>
  <c r="C213" i="24" s="1"/>
  <c r="A213" i="24"/>
  <c r="AN213" i="23"/>
  <c r="AM213" i="23"/>
  <c r="AG213" i="23"/>
  <c r="AF213" i="23"/>
  <c r="AE213" i="23"/>
  <c r="AD213" i="23"/>
  <c r="AC213" i="23"/>
  <c r="AA213" i="23"/>
  <c r="AB213" i="23" s="1"/>
  <c r="Y213" i="23"/>
  <c r="W213" i="23"/>
  <c r="U213" i="23"/>
  <c r="R213" i="23"/>
  <c r="L213" i="23"/>
  <c r="K213" i="23"/>
  <c r="AX212" i="23"/>
  <c r="AW212" i="23"/>
  <c r="AK213" i="23" s="1"/>
  <c r="A175" i="32"/>
  <c r="A173" i="32"/>
  <c r="AX175" i="31"/>
  <c r="AW175" i="31"/>
  <c r="AV175" i="31"/>
  <c r="AF175" i="31" s="1"/>
  <c r="AA175" i="31"/>
  <c r="Y175" i="31"/>
  <c r="V175" i="31"/>
  <c r="W175" i="31" s="1"/>
  <c r="U175" i="31"/>
  <c r="R175" i="31"/>
  <c r="L175" i="31"/>
  <c r="K175" i="31"/>
  <c r="AX174" i="31"/>
  <c r="AW174" i="31"/>
  <c r="AX173" i="31"/>
  <c r="AW173" i="31"/>
  <c r="AV173" i="31"/>
  <c r="AF173" i="31" s="1"/>
  <c r="AA173" i="31"/>
  <c r="Y173" i="31"/>
  <c r="W173" i="31"/>
  <c r="U173" i="31"/>
  <c r="R173" i="31"/>
  <c r="L173" i="31"/>
  <c r="K173" i="31"/>
  <c r="AX172" i="31"/>
  <c r="AW172" i="31"/>
  <c r="A431" i="30"/>
  <c r="A429" i="30"/>
  <c r="AX431" i="29"/>
  <c r="AW431" i="29"/>
  <c r="AV431" i="29"/>
  <c r="AF431" i="29" s="1"/>
  <c r="AA431" i="29"/>
  <c r="AB431" i="29" s="1"/>
  <c r="Y431" i="29"/>
  <c r="V431" i="29"/>
  <c r="W431" i="29" s="1"/>
  <c r="U431" i="29"/>
  <c r="R431" i="29"/>
  <c r="L431" i="29"/>
  <c r="K431" i="29"/>
  <c r="AX430" i="29"/>
  <c r="AW430" i="29"/>
  <c r="AX429" i="29"/>
  <c r="AW429" i="29"/>
  <c r="AV429" i="29"/>
  <c r="AA429" i="29"/>
  <c r="AB429" i="29" s="1"/>
  <c r="Y429" i="29"/>
  <c r="W429" i="29"/>
  <c r="U429" i="29"/>
  <c r="R429" i="29"/>
  <c r="L429" i="29"/>
  <c r="K429" i="29"/>
  <c r="AX428" i="29"/>
  <c r="AW428" i="29"/>
  <c r="AG793" i="1"/>
  <c r="AF793" i="1"/>
  <c r="AA793" i="1"/>
  <c r="AB793" i="1" s="1"/>
  <c r="Y793" i="1"/>
  <c r="W793" i="1"/>
  <c r="U793" i="1"/>
  <c r="R793" i="1"/>
  <c r="L793" i="1"/>
  <c r="K793" i="1"/>
  <c r="AX792" i="1"/>
  <c r="AW792" i="1"/>
  <c r="AX785" i="1"/>
  <c r="AW785" i="1"/>
  <c r="AV785" i="1"/>
  <c r="AF785" i="1" s="1"/>
  <c r="AA785" i="1"/>
  <c r="Y785" i="1"/>
  <c r="V785" i="1"/>
  <c r="W785" i="1" s="1"/>
  <c r="U785" i="1"/>
  <c r="R785" i="1"/>
  <c r="L785" i="1"/>
  <c r="K785" i="1"/>
  <c r="AX784" i="1"/>
  <c r="AW784" i="1"/>
  <c r="AX783" i="1"/>
  <c r="AW783" i="1"/>
  <c r="AV783" i="1"/>
  <c r="AF783" i="1" s="1"/>
  <c r="AA783" i="1"/>
  <c r="AB783" i="1" s="1"/>
  <c r="Y783" i="1"/>
  <c r="W783" i="1"/>
  <c r="U783" i="1"/>
  <c r="R783" i="1"/>
  <c r="L783" i="1"/>
  <c r="K783" i="1"/>
  <c r="AX782" i="1"/>
  <c r="AW782" i="1"/>
  <c r="AX262" i="33"/>
  <c r="AW262" i="33"/>
  <c r="AA263" i="33"/>
  <c r="AB263" i="33" s="1"/>
  <c r="AG263" i="33"/>
  <c r="AF263" i="33"/>
  <c r="Y263" i="33"/>
  <c r="W263" i="33"/>
  <c r="U263" i="33"/>
  <c r="R263" i="33"/>
  <c r="L263" i="33"/>
  <c r="K263" i="33"/>
  <c r="V257" i="33"/>
  <c r="W257" i="33" s="1"/>
  <c r="V255" i="33"/>
  <c r="A257" i="34"/>
  <c r="A255" i="34"/>
  <c r="A253" i="34"/>
  <c r="AX257" i="33"/>
  <c r="AW257" i="33"/>
  <c r="AV257" i="33"/>
  <c r="AF257" i="33" s="1"/>
  <c r="AA257" i="33"/>
  <c r="AB257" i="33" s="1"/>
  <c r="Y257" i="33"/>
  <c r="U257" i="33"/>
  <c r="R257" i="33"/>
  <c r="L257" i="33"/>
  <c r="K257" i="33"/>
  <c r="AX256" i="33"/>
  <c r="AW256" i="33"/>
  <c r="AC257" i="33" s="1"/>
  <c r="AD257" i="33" s="1"/>
  <c r="AX255" i="33"/>
  <c r="AW255" i="33"/>
  <c r="AV255" i="33"/>
  <c r="AA255" i="33"/>
  <c r="AB255" i="33" s="1"/>
  <c r="Y255" i="33"/>
  <c r="W255" i="33"/>
  <c r="U255" i="33"/>
  <c r="R255" i="33"/>
  <c r="L255" i="33"/>
  <c r="K255" i="33"/>
  <c r="AX254" i="33"/>
  <c r="AW254" i="33"/>
  <c r="AX253" i="33"/>
  <c r="AW253" i="33"/>
  <c r="AV253" i="33"/>
  <c r="AF253" i="33" s="1"/>
  <c r="AA253" i="33"/>
  <c r="Y253" i="33"/>
  <c r="W253" i="33"/>
  <c r="U253" i="33"/>
  <c r="R253" i="33"/>
  <c r="L253" i="33"/>
  <c r="K253" i="33"/>
  <c r="AX252" i="33"/>
  <c r="AW252" i="33"/>
  <c r="A427" i="30"/>
  <c r="A425" i="30"/>
  <c r="A423" i="30"/>
  <c r="AX427" i="29"/>
  <c r="AW427" i="29"/>
  <c r="AV427" i="29"/>
  <c r="AF427" i="29" s="1"/>
  <c r="AA427" i="29"/>
  <c r="Y427" i="29"/>
  <c r="W427" i="29"/>
  <c r="U427" i="29"/>
  <c r="R427" i="29"/>
  <c r="L427" i="29"/>
  <c r="K427" i="29"/>
  <c r="AX426" i="29"/>
  <c r="AW426" i="29"/>
  <c r="AX425" i="29"/>
  <c r="AW425" i="29"/>
  <c r="AV425" i="29"/>
  <c r="AA425" i="29"/>
  <c r="AE425" i="29" s="1"/>
  <c r="Y425" i="29"/>
  <c r="W425" i="29"/>
  <c r="U425" i="29"/>
  <c r="R425" i="29"/>
  <c r="L425" i="29"/>
  <c r="K425" i="29"/>
  <c r="AX424" i="29"/>
  <c r="AW424" i="29"/>
  <c r="AX423" i="29"/>
  <c r="AW423" i="29"/>
  <c r="AV423" i="29"/>
  <c r="AF423" i="29" s="1"/>
  <c r="AA423" i="29"/>
  <c r="AB423" i="29" s="1"/>
  <c r="Y423" i="29"/>
  <c r="W423" i="29"/>
  <c r="U423" i="29"/>
  <c r="R423" i="29"/>
  <c r="L423" i="29"/>
  <c r="K423" i="29"/>
  <c r="AX422" i="29"/>
  <c r="AW422" i="29"/>
  <c r="A249" i="34"/>
  <c r="A247" i="34"/>
  <c r="BA249" i="33"/>
  <c r="AZ249" i="33"/>
  <c r="AY249" i="33"/>
  <c r="AX249" i="33"/>
  <c r="AW249" i="33"/>
  <c r="AV249" i="33"/>
  <c r="AA249" i="33"/>
  <c r="AE249" i="33" s="1"/>
  <c r="Y249" i="33"/>
  <c r="W249" i="33"/>
  <c r="U249" i="33"/>
  <c r="R249" i="33"/>
  <c r="L249" i="33"/>
  <c r="K249" i="33"/>
  <c r="BA248" i="33"/>
  <c r="AZ248" i="33"/>
  <c r="AY248" i="33"/>
  <c r="AX248" i="33"/>
  <c r="AW248" i="33"/>
  <c r="BA247" i="33"/>
  <c r="AZ247" i="33"/>
  <c r="AY247" i="33"/>
  <c r="AX247" i="33"/>
  <c r="AW247" i="33"/>
  <c r="AV247" i="33"/>
  <c r="AF247" i="33" s="1"/>
  <c r="AA247" i="33"/>
  <c r="AB247" i="33" s="1"/>
  <c r="Y247" i="33"/>
  <c r="W247" i="33"/>
  <c r="U247" i="33"/>
  <c r="R247" i="33"/>
  <c r="L247" i="33"/>
  <c r="K247" i="33"/>
  <c r="BA246" i="33"/>
  <c r="AZ246" i="33"/>
  <c r="AY246" i="33"/>
  <c r="AX246" i="33"/>
  <c r="AW246" i="33"/>
  <c r="A419" i="30"/>
  <c r="B417" i="30"/>
  <c r="C417" i="30" s="1"/>
  <c r="A417" i="30"/>
  <c r="BA419" i="29"/>
  <c r="AZ419" i="29"/>
  <c r="AY419" i="29"/>
  <c r="AX419" i="29"/>
  <c r="AW419" i="29"/>
  <c r="AV419" i="29"/>
  <c r="AA419" i="29"/>
  <c r="Y419" i="29"/>
  <c r="W419" i="29"/>
  <c r="U419" i="29"/>
  <c r="R419" i="29"/>
  <c r="L419" i="29"/>
  <c r="K419" i="29"/>
  <c r="BA418" i="29"/>
  <c r="AZ418" i="29"/>
  <c r="AY418" i="29"/>
  <c r="AX418" i="29"/>
  <c r="AW418" i="29"/>
  <c r="BA417" i="29"/>
  <c r="AZ417" i="29"/>
  <c r="AY417" i="29"/>
  <c r="AX417" i="29"/>
  <c r="AW417" i="29"/>
  <c r="AV417" i="29"/>
  <c r="AA417" i="29"/>
  <c r="Y417" i="29"/>
  <c r="W417" i="29"/>
  <c r="U417" i="29"/>
  <c r="R417" i="29"/>
  <c r="L417" i="29"/>
  <c r="K417" i="29"/>
  <c r="BA416" i="29"/>
  <c r="AZ416" i="29"/>
  <c r="AY416" i="29"/>
  <c r="AX416" i="29"/>
  <c r="AW416" i="29"/>
  <c r="D213" i="34"/>
  <c r="A213" i="34"/>
  <c r="AT213" i="33"/>
  <c r="AS213" i="33"/>
  <c r="AR213" i="33"/>
  <c r="AQ213" i="33"/>
  <c r="AP213" i="33"/>
  <c r="AO213" i="33"/>
  <c r="AN213" i="33"/>
  <c r="AM213" i="33"/>
  <c r="AL213" i="33"/>
  <c r="AK213" i="33"/>
  <c r="AJ213" i="33"/>
  <c r="AI213" i="33"/>
  <c r="AG213" i="33"/>
  <c r="AF213" i="33"/>
  <c r="AC213" i="33"/>
  <c r="AD213" i="33" s="1"/>
  <c r="AA213" i="33"/>
  <c r="AB213" i="33" s="1"/>
  <c r="Y213" i="33"/>
  <c r="W213" i="33"/>
  <c r="U213" i="33"/>
  <c r="R213" i="33"/>
  <c r="L213" i="33"/>
  <c r="K213" i="33"/>
  <c r="A121" i="32"/>
  <c r="A119" i="32"/>
  <c r="A117" i="32"/>
  <c r="A115" i="32"/>
  <c r="AG121" i="31"/>
  <c r="AF121" i="31"/>
  <c r="AA121" i="31"/>
  <c r="AB121" i="31" s="1"/>
  <c r="W121" i="31"/>
  <c r="U121" i="31"/>
  <c r="R121" i="31"/>
  <c r="L121" i="31"/>
  <c r="K121" i="31"/>
  <c r="AY120" i="31"/>
  <c r="AX120" i="31"/>
  <c r="AW120" i="31"/>
  <c r="AV120" i="31"/>
  <c r="AG119" i="31"/>
  <c r="AF119" i="31"/>
  <c r="AA119" i="31"/>
  <c r="Y119" i="31"/>
  <c r="W119" i="31"/>
  <c r="U119" i="31"/>
  <c r="R119" i="31"/>
  <c r="L119" i="31"/>
  <c r="K119" i="31"/>
  <c r="AZ118" i="31"/>
  <c r="AY118" i="31"/>
  <c r="AX118" i="31"/>
  <c r="AW118" i="31"/>
  <c r="AG117" i="31"/>
  <c r="AF117" i="31"/>
  <c r="AA117" i="31"/>
  <c r="AB117" i="31" s="1"/>
  <c r="W117" i="31"/>
  <c r="U117" i="31"/>
  <c r="R117" i="31"/>
  <c r="L117" i="31"/>
  <c r="K117" i="31"/>
  <c r="AZ116" i="31"/>
  <c r="AY116" i="31"/>
  <c r="AX116" i="31"/>
  <c r="AW116" i="31"/>
  <c r="AV116" i="31"/>
  <c r="AG115" i="31"/>
  <c r="AF115" i="31"/>
  <c r="AA115" i="31"/>
  <c r="AB115" i="31" s="1"/>
  <c r="W115" i="31"/>
  <c r="U115" i="31"/>
  <c r="R115" i="31"/>
  <c r="L115" i="31"/>
  <c r="K115" i="31"/>
  <c r="AZ114" i="31"/>
  <c r="AY114" i="31"/>
  <c r="AX114" i="31"/>
  <c r="AW114" i="31"/>
  <c r="AV114" i="31"/>
  <c r="A321" i="30"/>
  <c r="A319" i="30"/>
  <c r="A317" i="30"/>
  <c r="A315" i="30"/>
  <c r="AG321" i="29"/>
  <c r="AF321" i="29"/>
  <c r="AA321" i="29"/>
  <c r="W321" i="29"/>
  <c r="U321" i="29"/>
  <c r="R321" i="29"/>
  <c r="L321" i="29"/>
  <c r="K321" i="29"/>
  <c r="AY320" i="29"/>
  <c r="AX320" i="29"/>
  <c r="AW320" i="29"/>
  <c r="AV320" i="29"/>
  <c r="AG319" i="29"/>
  <c r="AF319" i="29"/>
  <c r="AA319" i="29"/>
  <c r="Y319" i="29"/>
  <c r="W319" i="29"/>
  <c r="U319" i="29"/>
  <c r="R319" i="29"/>
  <c r="L319" i="29"/>
  <c r="K319" i="29"/>
  <c r="AZ318" i="29"/>
  <c r="AY318" i="29"/>
  <c r="AX318" i="29"/>
  <c r="AW318" i="29"/>
  <c r="AG317" i="29"/>
  <c r="AF317" i="29"/>
  <c r="AA317" i="29"/>
  <c r="B317" i="30" s="1"/>
  <c r="C317" i="30" s="1"/>
  <c r="W317" i="29"/>
  <c r="U317" i="29"/>
  <c r="R317" i="29"/>
  <c r="L317" i="29"/>
  <c r="K317" i="29"/>
  <c r="AZ316" i="29"/>
  <c r="AY316" i="29"/>
  <c r="AX316" i="29"/>
  <c r="AW316" i="29"/>
  <c r="AV316" i="29"/>
  <c r="Y317" i="29" s="1"/>
  <c r="AG315" i="29"/>
  <c r="AF315" i="29"/>
  <c r="AA315" i="29"/>
  <c r="AB315" i="29" s="1"/>
  <c r="W315" i="29"/>
  <c r="U315" i="29"/>
  <c r="R315" i="29"/>
  <c r="L315" i="29"/>
  <c r="K315" i="29"/>
  <c r="AZ314" i="29"/>
  <c r="AY314" i="29"/>
  <c r="AX314" i="29"/>
  <c r="AW314" i="29"/>
  <c r="AV314" i="29"/>
  <c r="AX773" i="1"/>
  <c r="AW773" i="1"/>
  <c r="AV773" i="1"/>
  <c r="AF773" i="1" s="1"/>
  <c r="AA773" i="1"/>
  <c r="AB773" i="1" s="1"/>
  <c r="Y773" i="1"/>
  <c r="W773" i="1"/>
  <c r="U773" i="1"/>
  <c r="R773" i="1"/>
  <c r="L773" i="1"/>
  <c r="K773" i="1"/>
  <c r="AX772" i="1"/>
  <c r="AW772" i="1"/>
  <c r="AX771" i="1"/>
  <c r="AW771" i="1"/>
  <c r="AV771" i="1"/>
  <c r="AF771" i="1" s="1"/>
  <c r="AA771" i="1"/>
  <c r="Y771" i="1"/>
  <c r="W771" i="1"/>
  <c r="U771" i="1"/>
  <c r="R771" i="1"/>
  <c r="L771" i="1"/>
  <c r="K771" i="1"/>
  <c r="AX770" i="1"/>
  <c r="AW770" i="1"/>
  <c r="AC771" i="1" s="1"/>
  <c r="AD771" i="1" s="1"/>
  <c r="AX769" i="1"/>
  <c r="AW769" i="1"/>
  <c r="AV769" i="1"/>
  <c r="AF769" i="1" s="1"/>
  <c r="AX768" i="1"/>
  <c r="AW768" i="1"/>
  <c r="AA769" i="1"/>
  <c r="AB769" i="1" s="1"/>
  <c r="Y769" i="1"/>
  <c r="W769" i="1"/>
  <c r="U769" i="1"/>
  <c r="R769" i="1"/>
  <c r="L769" i="1"/>
  <c r="K769" i="1"/>
  <c r="D47" i="28"/>
  <c r="B47" i="28"/>
  <c r="C47" i="28" s="1"/>
  <c r="A47" i="28"/>
  <c r="D45" i="28"/>
  <c r="B45" i="28"/>
  <c r="C45" i="28" s="1"/>
  <c r="A45" i="28"/>
  <c r="AG47" i="27"/>
  <c r="AF47" i="27"/>
  <c r="AA47" i="27"/>
  <c r="AB47" i="27" s="1"/>
  <c r="W47" i="27"/>
  <c r="U47" i="27"/>
  <c r="R47" i="27"/>
  <c r="L47" i="27"/>
  <c r="K47" i="27"/>
  <c r="AX46" i="27"/>
  <c r="AW46" i="27"/>
  <c r="AC47" i="27" s="1"/>
  <c r="AD47" i="27" s="1"/>
  <c r="AV46" i="27"/>
  <c r="AQ47" i="27" s="1"/>
  <c r="AP45" i="27"/>
  <c r="AO45" i="27"/>
  <c r="AN45" i="27"/>
  <c r="AK45" i="27"/>
  <c r="AG45" i="27"/>
  <c r="AF45" i="27"/>
  <c r="AB45" i="27"/>
  <c r="AA45" i="27"/>
  <c r="W45" i="27"/>
  <c r="U45" i="27"/>
  <c r="R45" i="27"/>
  <c r="L45" i="27"/>
  <c r="K45" i="27"/>
  <c r="AX44" i="27"/>
  <c r="AW44" i="27"/>
  <c r="AV44" i="27"/>
  <c r="AM45" i="27" s="1"/>
  <c r="D127" i="24"/>
  <c r="B127" i="24"/>
  <c r="C127" i="24" s="1"/>
  <c r="A127" i="24"/>
  <c r="D125" i="24"/>
  <c r="B125" i="24"/>
  <c r="C125" i="24" s="1"/>
  <c r="A125" i="24"/>
  <c r="AO127" i="23"/>
  <c r="AG127" i="23"/>
  <c r="AF127" i="23"/>
  <c r="AC127" i="23"/>
  <c r="AD127" i="23" s="1"/>
  <c r="AA127" i="23"/>
  <c r="AB127" i="23" s="1"/>
  <c r="W127" i="23"/>
  <c r="U127" i="23"/>
  <c r="R127" i="23"/>
  <c r="L127" i="23"/>
  <c r="K127" i="23"/>
  <c r="AX126" i="23"/>
  <c r="AW126" i="23"/>
  <c r="AV126" i="23"/>
  <c r="AT127" i="23" s="1"/>
  <c r="AG125" i="23"/>
  <c r="AF125" i="23"/>
  <c r="AB125" i="23"/>
  <c r="AA125" i="23"/>
  <c r="W125" i="23"/>
  <c r="U125" i="23"/>
  <c r="R125" i="23"/>
  <c r="L125" i="23"/>
  <c r="K125" i="23"/>
  <c r="AX124" i="23"/>
  <c r="AK125" i="23" s="1"/>
  <c r="AW124" i="23"/>
  <c r="AV124" i="23"/>
  <c r="AP125" i="23" s="1"/>
  <c r="AY745" i="1"/>
  <c r="AX745" i="1"/>
  <c r="AV745" i="1"/>
  <c r="AA745" i="1"/>
  <c r="AB745" i="1" s="1"/>
  <c r="AY744" i="1"/>
  <c r="AX744" i="1"/>
  <c r="AW744" i="1"/>
  <c r="AV744" i="1"/>
  <c r="Y745" i="1" s="1"/>
  <c r="U745" i="1"/>
  <c r="R745" i="1"/>
  <c r="L745" i="1"/>
  <c r="K745" i="1"/>
  <c r="BA743" i="1"/>
  <c r="AY743" i="1"/>
  <c r="AZ743" i="1"/>
  <c r="AX743" i="1"/>
  <c r="AW743" i="1"/>
  <c r="AV743" i="1"/>
  <c r="AA743" i="1"/>
  <c r="Y743" i="1"/>
  <c r="W743" i="1"/>
  <c r="U743" i="1"/>
  <c r="R743" i="1"/>
  <c r="L743" i="1"/>
  <c r="K743" i="1"/>
  <c r="BA742" i="1"/>
  <c r="AZ742" i="1"/>
  <c r="AY742" i="1"/>
  <c r="AX742" i="1"/>
  <c r="AW742" i="1"/>
  <c r="AA741" i="1"/>
  <c r="AB741" i="1" s="1"/>
  <c r="BA741" i="1"/>
  <c r="AZ741" i="1"/>
  <c r="AY741" i="1"/>
  <c r="AX741" i="1"/>
  <c r="AW741" i="1"/>
  <c r="AV741" i="1"/>
  <c r="AF741" i="1" s="1"/>
  <c r="BA740" i="1"/>
  <c r="AZ740" i="1"/>
  <c r="AY740" i="1"/>
  <c r="AX740" i="1"/>
  <c r="AW740" i="1"/>
  <c r="Y741" i="1"/>
  <c r="W741" i="1"/>
  <c r="U741" i="1"/>
  <c r="R741" i="1"/>
  <c r="L741" i="1"/>
  <c r="K741" i="1"/>
  <c r="A229" i="34"/>
  <c r="A227" i="34"/>
  <c r="A225" i="34"/>
  <c r="A223" i="34"/>
  <c r="A221" i="34"/>
  <c r="AG229" i="33"/>
  <c r="AF229" i="33"/>
  <c r="AA229" i="33"/>
  <c r="Y229" i="33"/>
  <c r="W229" i="33"/>
  <c r="U229" i="33"/>
  <c r="R229" i="33"/>
  <c r="L229" i="33"/>
  <c r="K229" i="33"/>
  <c r="AZ228" i="33"/>
  <c r="AY228" i="33"/>
  <c r="AX228" i="33"/>
  <c r="AW228" i="33"/>
  <c r="AZ227" i="33"/>
  <c r="AY227" i="33"/>
  <c r="AX227" i="33"/>
  <c r="AW227" i="33"/>
  <c r="AV227" i="33"/>
  <c r="AF227" i="33" s="1"/>
  <c r="AA227" i="33"/>
  <c r="B227" i="34" s="1"/>
  <c r="C227" i="34" s="1"/>
  <c r="Y227" i="33"/>
  <c r="W227" i="33"/>
  <c r="U227" i="33"/>
  <c r="R227" i="33"/>
  <c r="L227" i="33"/>
  <c r="K227" i="33"/>
  <c r="AZ226" i="33"/>
  <c r="AY226" i="33"/>
  <c r="AX226" i="33"/>
  <c r="AW226" i="33"/>
  <c r="AG225" i="33"/>
  <c r="AF225" i="33"/>
  <c r="AA225" i="33"/>
  <c r="AB225" i="33" s="1"/>
  <c r="Y225" i="33"/>
  <c r="W225" i="33"/>
  <c r="U225" i="33"/>
  <c r="R225" i="33"/>
  <c r="L225" i="33"/>
  <c r="K225" i="33"/>
  <c r="AZ224" i="33"/>
  <c r="AY224" i="33"/>
  <c r="AX224" i="33"/>
  <c r="AW224" i="33"/>
  <c r="AG223" i="33"/>
  <c r="AF223" i="33"/>
  <c r="AA223" i="33"/>
  <c r="AB223" i="33" s="1"/>
  <c r="Y223" i="33"/>
  <c r="W223" i="33"/>
  <c r="U223" i="33"/>
  <c r="R223" i="33"/>
  <c r="L223" i="33"/>
  <c r="K223" i="33"/>
  <c r="AZ222" i="33"/>
  <c r="AY222" i="33"/>
  <c r="AX222" i="33"/>
  <c r="AW222" i="33"/>
  <c r="AZ221" i="33"/>
  <c r="AY221" i="33"/>
  <c r="AX221" i="33"/>
  <c r="AW221" i="33"/>
  <c r="AV221" i="33"/>
  <c r="AF221" i="33" s="1"/>
  <c r="AA221" i="33"/>
  <c r="AB221" i="33" s="1"/>
  <c r="Y221" i="33"/>
  <c r="W221" i="33"/>
  <c r="U221" i="33"/>
  <c r="R221" i="33"/>
  <c r="L221" i="33"/>
  <c r="K221" i="33"/>
  <c r="AZ220" i="33"/>
  <c r="AY220" i="33"/>
  <c r="AX220" i="33"/>
  <c r="AW220" i="33"/>
  <c r="A367" i="30"/>
  <c r="A365" i="30"/>
  <c r="A363" i="30"/>
  <c r="A361" i="30"/>
  <c r="A359" i="30"/>
  <c r="AG367" i="29"/>
  <c r="AF367" i="29"/>
  <c r="AA367" i="29"/>
  <c r="B367" i="30" s="1"/>
  <c r="C367" i="30" s="1"/>
  <c r="Y367" i="29"/>
  <c r="W367" i="29"/>
  <c r="U367" i="29"/>
  <c r="R367" i="29"/>
  <c r="L367" i="29"/>
  <c r="K367" i="29"/>
  <c r="AZ366" i="29"/>
  <c r="AY366" i="29"/>
  <c r="AX366" i="29"/>
  <c r="AW366" i="29"/>
  <c r="AZ365" i="29"/>
  <c r="AY365" i="29"/>
  <c r="AX365" i="29"/>
  <c r="AW365" i="29"/>
  <c r="AV365" i="29"/>
  <c r="AF365" i="29" s="1"/>
  <c r="AA365" i="29"/>
  <c r="AB365" i="29" s="1"/>
  <c r="Y365" i="29"/>
  <c r="AE365" i="29" s="1"/>
  <c r="W365" i="29"/>
  <c r="U365" i="29"/>
  <c r="R365" i="29"/>
  <c r="L365" i="29"/>
  <c r="K365" i="29"/>
  <c r="AZ364" i="29"/>
  <c r="AY364" i="29"/>
  <c r="AX364" i="29"/>
  <c r="AW364" i="29"/>
  <c r="AG363" i="29"/>
  <c r="AF363" i="29"/>
  <c r="AA363" i="29"/>
  <c r="AB363" i="29" s="1"/>
  <c r="Y363" i="29"/>
  <c r="W363" i="29"/>
  <c r="U363" i="29"/>
  <c r="R363" i="29"/>
  <c r="L363" i="29"/>
  <c r="K363" i="29"/>
  <c r="AZ362" i="29"/>
  <c r="AY362" i="29"/>
  <c r="AX362" i="29"/>
  <c r="AW362" i="29"/>
  <c r="AG361" i="29"/>
  <c r="AF361" i="29"/>
  <c r="AA361" i="29"/>
  <c r="B361" i="30" s="1"/>
  <c r="C361" i="30" s="1"/>
  <c r="Y361" i="29"/>
  <c r="W361" i="29"/>
  <c r="U361" i="29"/>
  <c r="R361" i="29"/>
  <c r="L361" i="29"/>
  <c r="K361" i="29"/>
  <c r="AZ360" i="29"/>
  <c r="AY360" i="29"/>
  <c r="AX360" i="29"/>
  <c r="AW360" i="29"/>
  <c r="AZ359" i="29"/>
  <c r="AY359" i="29"/>
  <c r="AX359" i="29"/>
  <c r="AW359" i="29"/>
  <c r="AV359" i="29"/>
  <c r="AA359" i="29"/>
  <c r="B359" i="30" s="1"/>
  <c r="C359" i="30" s="1"/>
  <c r="Y359" i="29"/>
  <c r="W359" i="29"/>
  <c r="U359" i="29"/>
  <c r="R359" i="29"/>
  <c r="L359" i="29"/>
  <c r="K359" i="29"/>
  <c r="AZ358" i="29"/>
  <c r="AY358" i="29"/>
  <c r="AX358" i="29"/>
  <c r="AW358" i="29"/>
  <c r="AV368" i="29"/>
  <c r="AW368" i="29"/>
  <c r="AX368" i="29"/>
  <c r="K369" i="29"/>
  <c r="L369" i="29"/>
  <c r="R369" i="29"/>
  <c r="U369" i="29"/>
  <c r="W369" i="29"/>
  <c r="Y369" i="29"/>
  <c r="AA369" i="29"/>
  <c r="AB369" i="29" s="1"/>
  <c r="AF369" i="29"/>
  <c r="AG369" i="29"/>
  <c r="AV370" i="29"/>
  <c r="AW370" i="29"/>
  <c r="AX370" i="29"/>
  <c r="K371" i="29"/>
  <c r="L371" i="29"/>
  <c r="R371" i="29"/>
  <c r="U371" i="29"/>
  <c r="W371" i="29"/>
  <c r="Y371" i="29"/>
  <c r="AA371" i="29"/>
  <c r="AB371" i="29" s="1"/>
  <c r="AF371" i="29"/>
  <c r="AG371" i="29"/>
  <c r="AV372" i="29"/>
  <c r="AC373" i="29" s="1"/>
  <c r="AD373" i="29" s="1"/>
  <c r="AW372" i="29"/>
  <c r="AX372" i="29"/>
  <c r="K373" i="29"/>
  <c r="L373" i="29"/>
  <c r="R373" i="29"/>
  <c r="U373" i="29"/>
  <c r="W373" i="29"/>
  <c r="Y373" i="29"/>
  <c r="AA373" i="29"/>
  <c r="AB373" i="29" s="1"/>
  <c r="AF373" i="29"/>
  <c r="AG373" i="29"/>
  <c r="K375" i="29"/>
  <c r="L375" i="29"/>
  <c r="R375" i="29"/>
  <c r="U375" i="29"/>
  <c r="W375" i="29"/>
  <c r="Y375" i="29"/>
  <c r="AA375" i="29"/>
  <c r="AB375" i="29" s="1"/>
  <c r="AC375" i="29"/>
  <c r="AD375" i="29" s="1"/>
  <c r="AF375" i="29"/>
  <c r="AG375" i="29"/>
  <c r="AI375" i="29"/>
  <c r="AJ375" i="29"/>
  <c r="AK375" i="29"/>
  <c r="AL375" i="29"/>
  <c r="AM375" i="29"/>
  <c r="AN375" i="29"/>
  <c r="AO375" i="29"/>
  <c r="AP375" i="29"/>
  <c r="AQ375" i="29"/>
  <c r="AR375" i="29"/>
  <c r="AS375" i="29"/>
  <c r="AT375" i="29"/>
  <c r="K377" i="29"/>
  <c r="L377" i="29"/>
  <c r="R377" i="29"/>
  <c r="U377" i="29"/>
  <c r="W377" i="29"/>
  <c r="Y377" i="29"/>
  <c r="AA377" i="29"/>
  <c r="AB377" i="29" s="1"/>
  <c r="AC377" i="29"/>
  <c r="AD377" i="29" s="1"/>
  <c r="AF377" i="29"/>
  <c r="AG377" i="29"/>
  <c r="AI377" i="29"/>
  <c r="AJ377" i="29"/>
  <c r="AK377" i="29"/>
  <c r="AL377" i="29"/>
  <c r="AM377" i="29"/>
  <c r="AN377" i="29"/>
  <c r="AO377" i="29"/>
  <c r="AP377" i="29"/>
  <c r="AQ377" i="29"/>
  <c r="AR377" i="29"/>
  <c r="AS377" i="29"/>
  <c r="AT377" i="29"/>
  <c r="AG211" i="33"/>
  <c r="AF211" i="33"/>
  <c r="AA211" i="33"/>
  <c r="AB211" i="33" s="1"/>
  <c r="W211" i="33"/>
  <c r="U211" i="33"/>
  <c r="R211" i="33"/>
  <c r="L211" i="33"/>
  <c r="K211" i="33"/>
  <c r="AZ210" i="33"/>
  <c r="AY210" i="33"/>
  <c r="AX210" i="33"/>
  <c r="AW210" i="33"/>
  <c r="AV210" i="33"/>
  <c r="A139" i="32"/>
  <c r="A137" i="32"/>
  <c r="AX139" i="31"/>
  <c r="AW139" i="31"/>
  <c r="AV139" i="31"/>
  <c r="AF139" i="31" s="1"/>
  <c r="AA139" i="31"/>
  <c r="Y139" i="31"/>
  <c r="W139" i="31"/>
  <c r="U139" i="31"/>
  <c r="R139" i="31"/>
  <c r="L139" i="31"/>
  <c r="K139" i="31"/>
  <c r="AX138" i="31"/>
  <c r="AW138" i="31"/>
  <c r="AX137" i="31"/>
  <c r="AW137" i="31"/>
  <c r="AV137" i="31"/>
  <c r="AA137" i="31"/>
  <c r="AB137" i="31" s="1"/>
  <c r="Y137" i="31"/>
  <c r="W137" i="31"/>
  <c r="U137" i="31"/>
  <c r="R137" i="31"/>
  <c r="L137" i="31"/>
  <c r="K137" i="31"/>
  <c r="AX136" i="31"/>
  <c r="AC137" i="31" s="1"/>
  <c r="AD137" i="31" s="1"/>
  <c r="AW136" i="31"/>
  <c r="A349" i="30"/>
  <c r="B347" i="30"/>
  <c r="C347" i="30" s="1"/>
  <c r="A347" i="30"/>
  <c r="A345" i="30"/>
  <c r="AG349" i="29"/>
  <c r="AF349" i="29"/>
  <c r="AA349" i="29"/>
  <c r="AB349" i="29" s="1"/>
  <c r="W349" i="29"/>
  <c r="U349" i="29"/>
  <c r="R349" i="29"/>
  <c r="L349" i="29"/>
  <c r="K349" i="29"/>
  <c r="AZ348" i="29"/>
  <c r="AY348" i="29"/>
  <c r="AX348" i="29"/>
  <c r="AW348" i="29"/>
  <c r="AV348" i="29"/>
  <c r="AX347" i="29"/>
  <c r="AW347" i="29"/>
  <c r="AV347" i="29"/>
  <c r="AA347" i="29"/>
  <c r="AB347" i="29" s="1"/>
  <c r="Y347" i="29"/>
  <c r="W347" i="29"/>
  <c r="U347" i="29"/>
  <c r="R347" i="29"/>
  <c r="L347" i="29"/>
  <c r="K347" i="29"/>
  <c r="AX346" i="29"/>
  <c r="AW346" i="29"/>
  <c r="AX345" i="29"/>
  <c r="AW345" i="29"/>
  <c r="AV345" i="29"/>
  <c r="AA345" i="29"/>
  <c r="Y345" i="29"/>
  <c r="W345" i="29"/>
  <c r="U345" i="29"/>
  <c r="R345" i="29"/>
  <c r="L345" i="29"/>
  <c r="K345" i="29"/>
  <c r="AX344" i="29"/>
  <c r="AW344" i="29"/>
  <c r="AZ659" i="1"/>
  <c r="AY659" i="1"/>
  <c r="AX659" i="1"/>
  <c r="AW659" i="1"/>
  <c r="AV659" i="1"/>
  <c r="AG661" i="1"/>
  <c r="AF661" i="1"/>
  <c r="AA661" i="1"/>
  <c r="AB661" i="1" s="1"/>
  <c r="Y661" i="1"/>
  <c r="W661" i="1"/>
  <c r="U661" i="1"/>
  <c r="R661" i="1"/>
  <c r="L661" i="1"/>
  <c r="K661" i="1"/>
  <c r="AA659" i="1"/>
  <c r="AB659" i="1" s="1"/>
  <c r="Y659" i="1"/>
  <c r="W659" i="1"/>
  <c r="U659" i="1"/>
  <c r="R659" i="1"/>
  <c r="L659" i="1"/>
  <c r="K659" i="1"/>
  <c r="AZ660" i="1"/>
  <c r="AY660" i="1"/>
  <c r="AX660" i="1"/>
  <c r="AW660" i="1"/>
  <c r="AZ658" i="1"/>
  <c r="AY658" i="1"/>
  <c r="AX658" i="1"/>
  <c r="AW658" i="1"/>
  <c r="AZ656" i="1"/>
  <c r="AY656" i="1"/>
  <c r="AX656" i="1"/>
  <c r="AW656" i="1"/>
  <c r="AG657" i="1"/>
  <c r="AF657" i="1"/>
  <c r="AA657" i="1"/>
  <c r="Y657" i="1"/>
  <c r="W657" i="1"/>
  <c r="U657" i="1"/>
  <c r="R657" i="1"/>
  <c r="L657" i="1"/>
  <c r="K657" i="1"/>
  <c r="AG655" i="1"/>
  <c r="AF655" i="1"/>
  <c r="AA655" i="1"/>
  <c r="Y655" i="1"/>
  <c r="W655" i="1"/>
  <c r="U655" i="1"/>
  <c r="R655" i="1"/>
  <c r="L655" i="1"/>
  <c r="K655" i="1"/>
  <c r="AZ654" i="1"/>
  <c r="AY654" i="1"/>
  <c r="AX654" i="1"/>
  <c r="AW654" i="1"/>
  <c r="AZ653" i="1"/>
  <c r="AY653" i="1"/>
  <c r="AX653" i="1"/>
  <c r="AW653" i="1"/>
  <c r="AV653" i="1"/>
  <c r="AZ652" i="1"/>
  <c r="AY652" i="1"/>
  <c r="AX652" i="1"/>
  <c r="AW652" i="1"/>
  <c r="AA653" i="1"/>
  <c r="AB653" i="1" s="1"/>
  <c r="AE653" i="1"/>
  <c r="Y653" i="1"/>
  <c r="W653" i="1"/>
  <c r="U653" i="1"/>
  <c r="R653" i="1"/>
  <c r="AF641" i="1"/>
  <c r="L653" i="1"/>
  <c r="K653" i="1"/>
  <c r="AG641" i="1"/>
  <c r="AZ640" i="1"/>
  <c r="AY640" i="1"/>
  <c r="AX640" i="1"/>
  <c r="AW640" i="1"/>
  <c r="AV640" i="1"/>
  <c r="Y641" i="1" s="1"/>
  <c r="W641" i="1"/>
  <c r="AA641" i="1"/>
  <c r="AB641" i="1" s="1"/>
  <c r="U641" i="1"/>
  <c r="R641" i="1"/>
  <c r="L641" i="1"/>
  <c r="K641" i="1"/>
  <c r="AX639" i="1"/>
  <c r="AW639" i="1"/>
  <c r="AV639" i="1"/>
  <c r="AF639" i="1" s="1"/>
  <c r="AA639" i="1"/>
  <c r="Y639" i="1"/>
  <c r="W639" i="1"/>
  <c r="U639" i="1"/>
  <c r="R639" i="1"/>
  <c r="L639" i="1"/>
  <c r="K639" i="1"/>
  <c r="AX638" i="1"/>
  <c r="AW638" i="1"/>
  <c r="AX637" i="1"/>
  <c r="AW637" i="1"/>
  <c r="AV637" i="1"/>
  <c r="AF637" i="1" s="1"/>
  <c r="AX636" i="1"/>
  <c r="AW636" i="1"/>
  <c r="AA637" i="1"/>
  <c r="AB637" i="1" s="1"/>
  <c r="Y637" i="1"/>
  <c r="W637" i="1"/>
  <c r="U637" i="1"/>
  <c r="R637" i="1"/>
  <c r="L637" i="1"/>
  <c r="K637" i="1"/>
  <c r="A175" i="34"/>
  <c r="AG175" i="33"/>
  <c r="AF175" i="33"/>
  <c r="AA175" i="33"/>
  <c r="B175" i="34" s="1"/>
  <c r="C175" i="34" s="1"/>
  <c r="W175" i="33"/>
  <c r="U175" i="33"/>
  <c r="R175" i="33"/>
  <c r="L175" i="33"/>
  <c r="K175" i="33"/>
  <c r="AZ174" i="33"/>
  <c r="AY174" i="33"/>
  <c r="AX174" i="33"/>
  <c r="AW174" i="33"/>
  <c r="AV174" i="33"/>
  <c r="A287" i="30"/>
  <c r="AG287" i="29"/>
  <c r="AF287" i="29"/>
  <c r="AA287" i="29"/>
  <c r="AB287" i="29" s="1"/>
  <c r="W287" i="29"/>
  <c r="U287" i="29"/>
  <c r="R287" i="29"/>
  <c r="L287" i="29"/>
  <c r="K287" i="29"/>
  <c r="AZ286" i="29"/>
  <c r="AY286" i="29"/>
  <c r="AX286" i="29"/>
  <c r="AW286" i="29"/>
  <c r="AV286" i="29"/>
  <c r="AC287" i="29" s="1"/>
  <c r="AD287" i="29" s="1"/>
  <c r="AG601" i="1"/>
  <c r="AF601" i="1"/>
  <c r="AY600" i="1"/>
  <c r="AX600" i="1"/>
  <c r="AW600" i="1"/>
  <c r="AI601" i="1" s="1"/>
  <c r="AV600" i="1"/>
  <c r="AY598" i="1"/>
  <c r="AX598" i="1"/>
  <c r="AW598" i="1"/>
  <c r="AA601" i="1"/>
  <c r="AB601" i="1" s="1"/>
  <c r="W601" i="1"/>
  <c r="U601" i="1"/>
  <c r="R601" i="1"/>
  <c r="L601" i="1"/>
  <c r="K601" i="1"/>
  <c r="AG599" i="1"/>
  <c r="AF599" i="1"/>
  <c r="AA599" i="1"/>
  <c r="AB599" i="1" s="1"/>
  <c r="W599" i="1"/>
  <c r="U599" i="1"/>
  <c r="R599" i="1"/>
  <c r="L599" i="1"/>
  <c r="K599" i="1"/>
  <c r="AZ598" i="1"/>
  <c r="AG597" i="1"/>
  <c r="AF597" i="1"/>
  <c r="AA597" i="1"/>
  <c r="AB597" i="1" s="1"/>
  <c r="W597" i="1"/>
  <c r="U597" i="1"/>
  <c r="R597" i="1"/>
  <c r="L597" i="1"/>
  <c r="K597" i="1"/>
  <c r="AZ596" i="1"/>
  <c r="AY596" i="1"/>
  <c r="AX596" i="1"/>
  <c r="AW596" i="1"/>
  <c r="AV596" i="1"/>
  <c r="Y597" i="1" s="1"/>
  <c r="AZ594" i="1"/>
  <c r="AY594" i="1"/>
  <c r="AX594" i="1"/>
  <c r="AW594" i="1"/>
  <c r="AV594" i="1"/>
  <c r="AA595" i="1"/>
  <c r="AB595" i="1" s="1"/>
  <c r="AG595" i="1"/>
  <c r="AF595" i="1"/>
  <c r="W595" i="1"/>
  <c r="U595" i="1"/>
  <c r="R595" i="1"/>
  <c r="L595" i="1"/>
  <c r="K595" i="1"/>
  <c r="AZ512" i="1"/>
  <c r="AY512" i="1"/>
  <c r="AX512" i="1"/>
  <c r="AW512" i="1"/>
  <c r="AV512" i="1"/>
  <c r="AA513" i="1"/>
  <c r="AB513" i="1" s="1"/>
  <c r="AG513" i="1"/>
  <c r="AF513" i="1"/>
  <c r="W513" i="1"/>
  <c r="U513" i="1"/>
  <c r="R513" i="1"/>
  <c r="L513" i="1"/>
  <c r="K513" i="1"/>
  <c r="D75" i="26"/>
  <c r="B75" i="26"/>
  <c r="C75" i="26" s="1"/>
  <c r="A75" i="26"/>
  <c r="D73" i="26"/>
  <c r="B73" i="26"/>
  <c r="C73" i="26" s="1"/>
  <c r="A73" i="26"/>
  <c r="AP75" i="25"/>
  <c r="AO75" i="25"/>
  <c r="AN75" i="25"/>
  <c r="AM75" i="25"/>
  <c r="AG75" i="25"/>
  <c r="AF75" i="25"/>
  <c r="AD75" i="25"/>
  <c r="AC75" i="25"/>
  <c r="AA75" i="25"/>
  <c r="AB75" i="25" s="1"/>
  <c r="W75" i="25"/>
  <c r="U75" i="25"/>
  <c r="R75" i="25"/>
  <c r="L75" i="25"/>
  <c r="K75" i="25"/>
  <c r="AX74" i="25"/>
  <c r="AW74" i="25"/>
  <c r="AV74" i="25"/>
  <c r="AT75" i="25" s="1"/>
  <c r="AQ73" i="25"/>
  <c r="AI73" i="25"/>
  <c r="AG73" i="25"/>
  <c r="AF73" i="25"/>
  <c r="AA73" i="25"/>
  <c r="AB73" i="25" s="1"/>
  <c r="W73" i="25"/>
  <c r="U73" i="25"/>
  <c r="R73" i="25"/>
  <c r="L73" i="25"/>
  <c r="K73" i="25"/>
  <c r="AX72" i="25"/>
  <c r="AW72" i="25"/>
  <c r="AV72" i="25"/>
  <c r="AP73" i="25" s="1"/>
  <c r="D117" i="24"/>
  <c r="B117" i="24"/>
  <c r="C117" i="24" s="1"/>
  <c r="A117" i="24"/>
  <c r="D115" i="24"/>
  <c r="B115" i="24"/>
  <c r="C115" i="24" s="1"/>
  <c r="A115" i="24"/>
  <c r="AT117" i="23"/>
  <c r="AL117" i="23"/>
  <c r="AG117" i="23"/>
  <c r="AF117" i="23"/>
  <c r="AC117" i="23"/>
  <c r="AD117" i="23" s="1"/>
  <c r="AA117" i="23"/>
  <c r="AB117" i="23" s="1"/>
  <c r="W117" i="23"/>
  <c r="U117" i="23"/>
  <c r="R117" i="23"/>
  <c r="L117" i="23"/>
  <c r="K117" i="23"/>
  <c r="AX116" i="23"/>
  <c r="AW116" i="23"/>
  <c r="AK117" i="23" s="1"/>
  <c r="AV116" i="23"/>
  <c r="AQ117" i="23" s="1"/>
  <c r="AP115" i="23"/>
  <c r="AO115" i="23"/>
  <c r="AN115" i="23"/>
  <c r="AG115" i="23"/>
  <c r="AF115" i="23"/>
  <c r="AB115" i="23"/>
  <c r="AA115" i="23"/>
  <c r="W115" i="23"/>
  <c r="U115" i="23"/>
  <c r="R115" i="23"/>
  <c r="L115" i="23"/>
  <c r="K115" i="23"/>
  <c r="AX114" i="23"/>
  <c r="AW114" i="23"/>
  <c r="AV114" i="23"/>
  <c r="AM115" i="23" s="1"/>
  <c r="D37" i="28"/>
  <c r="B37" i="28"/>
  <c r="C37" i="28" s="1"/>
  <c r="A37" i="28"/>
  <c r="D35" i="28"/>
  <c r="B35" i="28"/>
  <c r="C35" i="28" s="1"/>
  <c r="A35" i="28"/>
  <c r="D33" i="28"/>
  <c r="B33" i="28"/>
  <c r="C33" i="28" s="1"/>
  <c r="A33" i="28"/>
  <c r="D31" i="28"/>
  <c r="B31" i="28"/>
  <c r="C31" i="28" s="1"/>
  <c r="A31" i="28"/>
  <c r="AP37" i="27"/>
  <c r="AO37" i="27"/>
  <c r="AN37" i="27"/>
  <c r="AL37" i="27"/>
  <c r="AG37" i="27"/>
  <c r="AF37" i="27"/>
  <c r="AE37" i="27"/>
  <c r="AC37" i="27"/>
  <c r="AD37" i="27" s="1"/>
  <c r="AA37" i="27"/>
  <c r="AB37" i="27" s="1"/>
  <c r="Y37" i="27"/>
  <c r="W37" i="27"/>
  <c r="U37" i="27"/>
  <c r="R37" i="27"/>
  <c r="L37" i="27"/>
  <c r="K37" i="27"/>
  <c r="AX36" i="27"/>
  <c r="AW36" i="27"/>
  <c r="AK37" i="27" s="1"/>
  <c r="AQ35" i="27"/>
  <c r="AI35" i="27"/>
  <c r="AG35" i="27"/>
  <c r="AF35" i="27"/>
  <c r="AA35" i="27"/>
  <c r="AE35" i="27" s="1"/>
  <c r="Y35" i="27"/>
  <c r="W35" i="27"/>
  <c r="U35" i="27"/>
  <c r="R35" i="27"/>
  <c r="L35" i="27"/>
  <c r="K35" i="27"/>
  <c r="AX34" i="27"/>
  <c r="AW34" i="27"/>
  <c r="AC35" i="27" s="1"/>
  <c r="AD35" i="27" s="1"/>
  <c r="AT33" i="27"/>
  <c r="AM33" i="27"/>
  <c r="AL33" i="27"/>
  <c r="AG33" i="27"/>
  <c r="AF33" i="27"/>
  <c r="AC33" i="27"/>
  <c r="AD33" i="27" s="1"/>
  <c r="AA33" i="27"/>
  <c r="AE33" i="27" s="1"/>
  <c r="Y33" i="27"/>
  <c r="W33" i="27"/>
  <c r="U33" i="27"/>
  <c r="R33" i="27"/>
  <c r="L33" i="27"/>
  <c r="K33" i="27"/>
  <c r="AX32" i="27"/>
  <c r="AW32" i="27"/>
  <c r="AJ33" i="27" s="1"/>
  <c r="AP31" i="27"/>
  <c r="AO31" i="27"/>
  <c r="AG31" i="27"/>
  <c r="AF31" i="27"/>
  <c r="AB31" i="27"/>
  <c r="AA31" i="27"/>
  <c r="AE31" i="27" s="1"/>
  <c r="Y31" i="27"/>
  <c r="W31" i="27"/>
  <c r="U31" i="27"/>
  <c r="R31" i="27"/>
  <c r="L31" i="27"/>
  <c r="K31" i="27"/>
  <c r="AX30" i="27"/>
  <c r="AK31" i="27" s="1"/>
  <c r="AW30" i="27"/>
  <c r="AC31" i="27" s="1"/>
  <c r="AD31" i="27" s="1"/>
  <c r="D53" i="26"/>
  <c r="B53" i="26"/>
  <c r="C53" i="26" s="1"/>
  <c r="A53" i="26"/>
  <c r="D51" i="26"/>
  <c r="B51" i="26"/>
  <c r="C51" i="26" s="1"/>
  <c r="A51" i="26"/>
  <c r="D49" i="26"/>
  <c r="B49" i="26"/>
  <c r="C49" i="26" s="1"/>
  <c r="A49" i="26"/>
  <c r="D47" i="26"/>
  <c r="B47" i="26"/>
  <c r="C47" i="26" s="1"/>
  <c r="A47" i="26"/>
  <c r="D45" i="26"/>
  <c r="B45" i="26"/>
  <c r="C45" i="26" s="1"/>
  <c r="A45" i="26"/>
  <c r="D43" i="26"/>
  <c r="B43" i="26"/>
  <c r="C43" i="26" s="1"/>
  <c r="A43" i="26"/>
  <c r="D41" i="26"/>
  <c r="B41" i="26"/>
  <c r="C41" i="26" s="1"/>
  <c r="A41" i="26"/>
  <c r="D39" i="26"/>
  <c r="B39" i="26"/>
  <c r="C39" i="26" s="1"/>
  <c r="A39" i="26"/>
  <c r="AG53" i="25"/>
  <c r="AF53" i="25"/>
  <c r="AA53" i="25"/>
  <c r="AB53" i="25" s="1"/>
  <c r="Y53" i="25"/>
  <c r="W53" i="25"/>
  <c r="U53" i="25"/>
  <c r="R53" i="25"/>
  <c r="L53" i="25"/>
  <c r="K53" i="25"/>
  <c r="AX52" i="25"/>
  <c r="AW52" i="25"/>
  <c r="AC53" i="25" s="1"/>
  <c r="AD53" i="25" s="1"/>
  <c r="AP51" i="25"/>
  <c r="AN51" i="25"/>
  <c r="AM51" i="25"/>
  <c r="AG51" i="25"/>
  <c r="AF51" i="25"/>
  <c r="AE51" i="25"/>
  <c r="AD51" i="25"/>
  <c r="AC51" i="25"/>
  <c r="AA51" i="25"/>
  <c r="AB51" i="25" s="1"/>
  <c r="Y51" i="25"/>
  <c r="W51" i="25"/>
  <c r="U51" i="25"/>
  <c r="R51" i="25"/>
  <c r="L51" i="25"/>
  <c r="K51" i="25"/>
  <c r="AX50" i="25"/>
  <c r="AW50" i="25"/>
  <c r="AK51" i="25" s="1"/>
  <c r="AP49" i="25"/>
  <c r="AG49" i="25"/>
  <c r="AF49" i="25"/>
  <c r="AB49" i="25"/>
  <c r="AA49" i="25"/>
  <c r="AE49" i="25" s="1"/>
  <c r="Y49" i="25"/>
  <c r="W49" i="25"/>
  <c r="V49" i="25"/>
  <c r="U49" i="25"/>
  <c r="R49" i="25"/>
  <c r="L49" i="25"/>
  <c r="K49" i="25"/>
  <c r="AX48" i="25"/>
  <c r="AW48" i="25"/>
  <c r="AJ49" i="25" s="1"/>
  <c r="AT47" i="25"/>
  <c r="AS47" i="25"/>
  <c r="AO47" i="25"/>
  <c r="AM47" i="25"/>
  <c r="AL47" i="25"/>
  <c r="AK47" i="25"/>
  <c r="AG47" i="25"/>
  <c r="AF47" i="25"/>
  <c r="AC47" i="25"/>
  <c r="AD47" i="25" s="1"/>
  <c r="AB47" i="25"/>
  <c r="AA47" i="25"/>
  <c r="Y47" i="25"/>
  <c r="AE47" i="25" s="1"/>
  <c r="V47" i="25"/>
  <c r="W47" i="25" s="1"/>
  <c r="U47" i="25"/>
  <c r="R47" i="25"/>
  <c r="L47" i="25"/>
  <c r="K47" i="25"/>
  <c r="AX46" i="25"/>
  <c r="AW46" i="25"/>
  <c r="AJ47" i="25" s="1"/>
  <c r="AP45" i="25"/>
  <c r="AG45" i="25"/>
  <c r="AF45" i="25"/>
  <c r="AB45" i="25"/>
  <c r="AA45" i="25"/>
  <c r="AE45" i="25" s="1"/>
  <c r="Y45" i="25"/>
  <c r="W45" i="25"/>
  <c r="V45" i="25"/>
  <c r="U45" i="25"/>
  <c r="R45" i="25"/>
  <c r="L45" i="25"/>
  <c r="K45" i="25"/>
  <c r="AX44" i="25"/>
  <c r="AW44" i="25"/>
  <c r="AJ45" i="25" s="1"/>
  <c r="AT43" i="25"/>
  <c r="AS43" i="25"/>
  <c r="AO43" i="25"/>
  <c r="AM43" i="25"/>
  <c r="AL43" i="25"/>
  <c r="AK43" i="25"/>
  <c r="AG43" i="25"/>
  <c r="AF43" i="25"/>
  <c r="AC43" i="25"/>
  <c r="AD43" i="25" s="1"/>
  <c r="AB43" i="25"/>
  <c r="AA43" i="25"/>
  <c r="Y43" i="25"/>
  <c r="AE43" i="25" s="1"/>
  <c r="V43" i="25"/>
  <c r="W43" i="25" s="1"/>
  <c r="U43" i="25"/>
  <c r="R43" i="25"/>
  <c r="L43" i="25"/>
  <c r="K43" i="25"/>
  <c r="AX42" i="25"/>
  <c r="AW42" i="25"/>
  <c r="AJ43" i="25" s="1"/>
  <c r="AP41" i="25"/>
  <c r="AI41" i="25"/>
  <c r="AG41" i="25"/>
  <c r="AF41" i="25"/>
  <c r="AB41" i="25"/>
  <c r="AA41" i="25"/>
  <c r="AE41" i="25" s="1"/>
  <c r="Y41" i="25"/>
  <c r="W41" i="25"/>
  <c r="V41" i="25"/>
  <c r="U41" i="25"/>
  <c r="R41" i="25"/>
  <c r="L41" i="25"/>
  <c r="K41" i="25"/>
  <c r="AX40" i="25"/>
  <c r="AW40" i="25"/>
  <c r="AJ41" i="25" s="1"/>
  <c r="AT39" i="25"/>
  <c r="AS39" i="25"/>
  <c r="AP39" i="25"/>
  <c r="AO39" i="25"/>
  <c r="AM39" i="25"/>
  <c r="AL39" i="25"/>
  <c r="AK39" i="25"/>
  <c r="AG39" i="25"/>
  <c r="AF39" i="25"/>
  <c r="AC39" i="25"/>
  <c r="AD39" i="25" s="1"/>
  <c r="AB39" i="25"/>
  <c r="AA39" i="25"/>
  <c r="Y39" i="25"/>
  <c r="AE39" i="25" s="1"/>
  <c r="V39" i="25"/>
  <c r="W39" i="25" s="1"/>
  <c r="U39" i="25"/>
  <c r="R39" i="25"/>
  <c r="L39" i="25"/>
  <c r="K39" i="25"/>
  <c r="AX38" i="25"/>
  <c r="AW38" i="25"/>
  <c r="AJ39" i="25" s="1"/>
  <c r="A89" i="24"/>
  <c r="A87" i="24"/>
  <c r="A85" i="24"/>
  <c r="A83" i="24"/>
  <c r="B81" i="24"/>
  <c r="C81" i="24" s="1"/>
  <c r="A81" i="24"/>
  <c r="A79" i="24"/>
  <c r="B77" i="24"/>
  <c r="C77" i="24" s="1"/>
  <c r="A77" i="24"/>
  <c r="B75" i="24"/>
  <c r="C75" i="24" s="1"/>
  <c r="A75" i="24"/>
  <c r="A73" i="24"/>
  <c r="A71" i="24"/>
  <c r="A69" i="24"/>
  <c r="A67" i="24"/>
  <c r="AG89" i="23"/>
  <c r="AF89" i="23"/>
  <c r="AA89" i="23"/>
  <c r="AB89" i="23" s="1"/>
  <c r="Y89" i="23"/>
  <c r="W89" i="23"/>
  <c r="U89" i="23"/>
  <c r="R89" i="23"/>
  <c r="L89" i="23"/>
  <c r="K89" i="23"/>
  <c r="AX88" i="23"/>
  <c r="AW88" i="23"/>
  <c r="AK89" i="23" s="1"/>
  <c r="AP87" i="23"/>
  <c r="AO87" i="23"/>
  <c r="AI87" i="23"/>
  <c r="AG87" i="23"/>
  <c r="AF87" i="23"/>
  <c r="AA87" i="23"/>
  <c r="B87" i="24" s="1"/>
  <c r="C87" i="24" s="1"/>
  <c r="Y87" i="23"/>
  <c r="W87" i="23"/>
  <c r="U87" i="23"/>
  <c r="R87" i="23"/>
  <c r="L87" i="23"/>
  <c r="K87" i="23"/>
  <c r="AX86" i="23"/>
  <c r="AW86" i="23"/>
  <c r="AC87" i="23" s="1"/>
  <c r="AD87" i="23" s="1"/>
  <c r="AG85" i="23"/>
  <c r="AF85" i="23"/>
  <c r="AA85" i="23"/>
  <c r="AE85" i="23" s="1"/>
  <c r="Y85" i="23"/>
  <c r="W85" i="23"/>
  <c r="U85" i="23"/>
  <c r="R85" i="23"/>
  <c r="L85" i="23"/>
  <c r="K85" i="23"/>
  <c r="AX84" i="23"/>
  <c r="AW84" i="23"/>
  <c r="AJ85" i="23" s="1"/>
  <c r="AG83" i="23"/>
  <c r="AF83" i="23"/>
  <c r="AA83" i="23"/>
  <c r="AE83" i="23" s="1"/>
  <c r="Y83" i="23"/>
  <c r="W83" i="23"/>
  <c r="U83" i="23"/>
  <c r="R83" i="23"/>
  <c r="L83" i="23"/>
  <c r="K83" i="23"/>
  <c r="AX82" i="23"/>
  <c r="AW82" i="23"/>
  <c r="AC83" i="23" s="1"/>
  <c r="AD83" i="23" s="1"/>
  <c r="AQ81" i="23"/>
  <c r="AI81" i="23"/>
  <c r="AG81" i="23"/>
  <c r="AF81" i="23"/>
  <c r="AA81" i="23"/>
  <c r="Y81" i="23"/>
  <c r="W81" i="23"/>
  <c r="U81" i="23"/>
  <c r="R81" i="23"/>
  <c r="L81" i="23"/>
  <c r="K81" i="23"/>
  <c r="AX80" i="23"/>
  <c r="AW80" i="23"/>
  <c r="AC81" i="23" s="1"/>
  <c r="AD81" i="23" s="1"/>
  <c r="AM79" i="23"/>
  <c r="D79" i="24" s="1"/>
  <c r="AL79" i="23"/>
  <c r="AG79" i="23"/>
  <c r="AF79" i="23"/>
  <c r="AB79" i="23"/>
  <c r="AA79" i="23"/>
  <c r="B79" i="24" s="1"/>
  <c r="C79" i="24" s="1"/>
  <c r="Y79" i="23"/>
  <c r="AE79" i="23" s="1"/>
  <c r="W79" i="23"/>
  <c r="U79" i="23"/>
  <c r="R79" i="23"/>
  <c r="L79" i="23"/>
  <c r="K79" i="23"/>
  <c r="AX78" i="23"/>
  <c r="AK79" i="23" s="1"/>
  <c r="AW78" i="23"/>
  <c r="AG77" i="23"/>
  <c r="AF77" i="23"/>
  <c r="AB77" i="23"/>
  <c r="AA77" i="23"/>
  <c r="AE77" i="23" s="1"/>
  <c r="Y77" i="23"/>
  <c r="V77" i="23"/>
  <c r="W77" i="23" s="1"/>
  <c r="U77" i="23"/>
  <c r="R77" i="23"/>
  <c r="L77" i="23"/>
  <c r="K77" i="23"/>
  <c r="AX76" i="23"/>
  <c r="AC77" i="23" s="1"/>
  <c r="AD77" i="23" s="1"/>
  <c r="AW76" i="23"/>
  <c r="AL75" i="23"/>
  <c r="AG75" i="23"/>
  <c r="AF75" i="23"/>
  <c r="AC75" i="23"/>
  <c r="AD75" i="23" s="1"/>
  <c r="AB75" i="23"/>
  <c r="AA75" i="23"/>
  <c r="Y75" i="23"/>
  <c r="W75" i="23"/>
  <c r="V75" i="23"/>
  <c r="U75" i="23"/>
  <c r="R75" i="23"/>
  <c r="L75" i="23"/>
  <c r="K75" i="23"/>
  <c r="AX74" i="23"/>
  <c r="AW74" i="23"/>
  <c r="AI75" i="23" s="1"/>
  <c r="AG73" i="23"/>
  <c r="AF73" i="23"/>
  <c r="AB73" i="23"/>
  <c r="AA73" i="23"/>
  <c r="B73" i="24" s="1"/>
  <c r="C73" i="24" s="1"/>
  <c r="Y73" i="23"/>
  <c r="V73" i="23"/>
  <c r="W73" i="23" s="1"/>
  <c r="U73" i="23"/>
  <c r="R73" i="23"/>
  <c r="L73" i="23"/>
  <c r="K73" i="23"/>
  <c r="AX72" i="23"/>
  <c r="AC73" i="23" s="1"/>
  <c r="AD73" i="23" s="1"/>
  <c r="AW72" i="23"/>
  <c r="AK73" i="23" s="1"/>
  <c r="AL71" i="23"/>
  <c r="AG71" i="23"/>
  <c r="AF71" i="23"/>
  <c r="AC71" i="23"/>
  <c r="AD71" i="23" s="1"/>
  <c r="AB71" i="23"/>
  <c r="AA71" i="23"/>
  <c r="B71" i="24" s="1"/>
  <c r="C71" i="24" s="1"/>
  <c r="Y71" i="23"/>
  <c r="W71" i="23"/>
  <c r="V71" i="23"/>
  <c r="U71" i="23"/>
  <c r="R71" i="23"/>
  <c r="L71" i="23"/>
  <c r="K71" i="23"/>
  <c r="AX70" i="23"/>
  <c r="AW70" i="23"/>
  <c r="AI71" i="23" s="1"/>
  <c r="AG69" i="23"/>
  <c r="AF69" i="23"/>
  <c r="AB69" i="23"/>
  <c r="AA69" i="23"/>
  <c r="B69" i="24" s="1"/>
  <c r="C69" i="24" s="1"/>
  <c r="Y69" i="23"/>
  <c r="V69" i="23"/>
  <c r="W69" i="23" s="1"/>
  <c r="U69" i="23"/>
  <c r="R69" i="23"/>
  <c r="L69" i="23"/>
  <c r="K69" i="23"/>
  <c r="AX68" i="23"/>
  <c r="AC69" i="23" s="1"/>
  <c r="AD69" i="23" s="1"/>
  <c r="AW68" i="23"/>
  <c r="AK69" i="23" s="1"/>
  <c r="AO67" i="23"/>
  <c r="AK67" i="23"/>
  <c r="AG67" i="23"/>
  <c r="AF67" i="23"/>
  <c r="AA67" i="23"/>
  <c r="Y67" i="23"/>
  <c r="V67" i="23"/>
  <c r="W67" i="23" s="1"/>
  <c r="U67" i="23"/>
  <c r="R67" i="23"/>
  <c r="L67" i="23"/>
  <c r="K67" i="23"/>
  <c r="AX66" i="23"/>
  <c r="AW66" i="23"/>
  <c r="AI67" i="23" s="1"/>
  <c r="AX478" i="1"/>
  <c r="AW478" i="1"/>
  <c r="AV478" i="1"/>
  <c r="Y479" i="1" s="1"/>
  <c r="AG479" i="1"/>
  <c r="AF479" i="1"/>
  <c r="AA479" i="1"/>
  <c r="AB479" i="1" s="1"/>
  <c r="W479" i="1"/>
  <c r="U479" i="1"/>
  <c r="R479" i="1"/>
  <c r="L479" i="1"/>
  <c r="K479" i="1"/>
  <c r="AX476" i="1"/>
  <c r="AW476" i="1"/>
  <c r="AV476" i="1"/>
  <c r="Y477" i="1" s="1"/>
  <c r="AG477" i="1"/>
  <c r="AF477" i="1"/>
  <c r="AA477" i="1"/>
  <c r="AB477" i="1" s="1"/>
  <c r="W477" i="1"/>
  <c r="U477" i="1"/>
  <c r="R477" i="1"/>
  <c r="L477" i="1"/>
  <c r="K477" i="1"/>
  <c r="AG431" i="1"/>
  <c r="AF431" i="1"/>
  <c r="AA431" i="1"/>
  <c r="AB431" i="1" s="1"/>
  <c r="Y431" i="1"/>
  <c r="W431" i="1"/>
  <c r="U431" i="1"/>
  <c r="R431" i="1"/>
  <c r="L431" i="1"/>
  <c r="K431" i="1"/>
  <c r="AX430" i="1"/>
  <c r="AW430" i="1"/>
  <c r="AG429" i="1"/>
  <c r="AF429" i="1"/>
  <c r="AA429" i="1"/>
  <c r="Y429" i="1"/>
  <c r="W429" i="1"/>
  <c r="U429" i="1"/>
  <c r="R429" i="1"/>
  <c r="L429" i="1"/>
  <c r="K429" i="1"/>
  <c r="AX428" i="1"/>
  <c r="AW428" i="1"/>
  <c r="AG427" i="1"/>
  <c r="AF427" i="1"/>
  <c r="AB427" i="1"/>
  <c r="AA427" i="1"/>
  <c r="Y427" i="1"/>
  <c r="W427" i="1"/>
  <c r="U427" i="1"/>
  <c r="R427" i="1"/>
  <c r="L427" i="1"/>
  <c r="K427" i="1"/>
  <c r="AX426" i="1"/>
  <c r="AI427" i="1" s="1"/>
  <c r="AW426" i="1"/>
  <c r="AG425" i="1"/>
  <c r="AF425" i="1"/>
  <c r="AA425" i="1"/>
  <c r="AB425" i="1" s="1"/>
  <c r="Y425" i="1"/>
  <c r="W425" i="1"/>
  <c r="U425" i="1"/>
  <c r="R425" i="1"/>
  <c r="L425" i="1"/>
  <c r="K425" i="1"/>
  <c r="AX424" i="1"/>
  <c r="AC425" i="1" s="1"/>
  <c r="AD425" i="1" s="1"/>
  <c r="AW424" i="1"/>
  <c r="AG423" i="1"/>
  <c r="AF423" i="1"/>
  <c r="AA423" i="1"/>
  <c r="AB423" i="1" s="1"/>
  <c r="Y423" i="1"/>
  <c r="W423" i="1"/>
  <c r="U423" i="1"/>
  <c r="R423" i="1"/>
  <c r="L423" i="1"/>
  <c r="K423" i="1"/>
  <c r="AX422" i="1"/>
  <c r="AW422" i="1"/>
  <c r="AG421" i="1"/>
  <c r="AF421" i="1"/>
  <c r="AA421" i="1"/>
  <c r="Y421" i="1"/>
  <c r="W421" i="1"/>
  <c r="U421" i="1"/>
  <c r="R421" i="1"/>
  <c r="L421" i="1"/>
  <c r="K421" i="1"/>
  <c r="AX420" i="1"/>
  <c r="AW420" i="1"/>
  <c r="AI421" i="1" s="1"/>
  <c r="V419" i="1"/>
  <c r="W419" i="1" s="1"/>
  <c r="V417" i="1"/>
  <c r="W417" i="1" s="1"/>
  <c r="V415" i="1"/>
  <c r="V413" i="1"/>
  <c r="W413" i="1" s="1"/>
  <c r="V411" i="1"/>
  <c r="W411" i="1" s="1"/>
  <c r="V409" i="1"/>
  <c r="W409" i="1" s="1"/>
  <c r="AG419" i="1"/>
  <c r="AF419" i="1"/>
  <c r="AA419" i="1"/>
  <c r="AB419" i="1" s="1"/>
  <c r="Y419" i="1"/>
  <c r="U419" i="1"/>
  <c r="R419" i="1"/>
  <c r="L419" i="1"/>
  <c r="K419" i="1"/>
  <c r="AX418" i="1"/>
  <c r="AW418" i="1"/>
  <c r="AK419" i="1" s="1"/>
  <c r="AG417" i="1"/>
  <c r="AF417" i="1"/>
  <c r="AA417" i="1"/>
  <c r="Y417" i="1"/>
  <c r="U417" i="1"/>
  <c r="R417" i="1"/>
  <c r="L417" i="1"/>
  <c r="K417" i="1"/>
  <c r="AX416" i="1"/>
  <c r="AW416" i="1"/>
  <c r="AG415" i="1"/>
  <c r="AF415" i="1"/>
  <c r="AA415" i="1"/>
  <c r="AB415" i="1" s="1"/>
  <c r="Y415" i="1"/>
  <c r="W415" i="1"/>
  <c r="U415" i="1"/>
  <c r="R415" i="1"/>
  <c r="L415" i="1"/>
  <c r="K415" i="1"/>
  <c r="AX414" i="1"/>
  <c r="AW414" i="1"/>
  <c r="AN413" i="1"/>
  <c r="AG413" i="1"/>
  <c r="AF413" i="1"/>
  <c r="AA413" i="1"/>
  <c r="AB413" i="1" s="1"/>
  <c r="Y413" i="1"/>
  <c r="U413" i="1"/>
  <c r="R413" i="1"/>
  <c r="L413" i="1"/>
  <c r="K413" i="1"/>
  <c r="AX412" i="1"/>
  <c r="AW412" i="1"/>
  <c r="AG411" i="1"/>
  <c r="AF411" i="1"/>
  <c r="AA411" i="1"/>
  <c r="AB411" i="1" s="1"/>
  <c r="Y411" i="1"/>
  <c r="U411" i="1"/>
  <c r="R411" i="1"/>
  <c r="L411" i="1"/>
  <c r="K411" i="1"/>
  <c r="AX410" i="1"/>
  <c r="AW410" i="1"/>
  <c r="AX408" i="1"/>
  <c r="AW408" i="1"/>
  <c r="AI409" i="1" s="1"/>
  <c r="AA409" i="1"/>
  <c r="AB409" i="1" s="1"/>
  <c r="AG409" i="1"/>
  <c r="AF409" i="1"/>
  <c r="Y409" i="1"/>
  <c r="U409" i="1"/>
  <c r="R409" i="1"/>
  <c r="L409" i="1"/>
  <c r="K409" i="1"/>
  <c r="AK479" i="1" l="1"/>
  <c r="AE423" i="1"/>
  <c r="AJ785" i="1"/>
  <c r="AC793" i="1"/>
  <c r="AD793" i="1" s="1"/>
  <c r="AE427" i="29"/>
  <c r="B429" i="30"/>
  <c r="C429" i="30" s="1"/>
  <c r="AC431" i="29"/>
  <c r="AD431" i="29" s="1"/>
  <c r="B423" i="30"/>
  <c r="C423" i="30" s="1"/>
  <c r="AG431" i="29"/>
  <c r="AE429" i="29"/>
  <c r="AE369" i="29"/>
  <c r="AE419" i="29"/>
  <c r="AI419" i="29"/>
  <c r="AC429" i="29"/>
  <c r="AD429" i="29" s="1"/>
  <c r="AG427" i="29"/>
  <c r="AE345" i="29"/>
  <c r="AC427" i="29"/>
  <c r="AD427" i="29" s="1"/>
  <c r="AB427" i="29"/>
  <c r="AE377" i="29"/>
  <c r="AI373" i="29"/>
  <c r="B431" i="30"/>
  <c r="C431" i="30" s="1"/>
  <c r="AE347" i="29"/>
  <c r="AI319" i="29"/>
  <c r="AC425" i="29"/>
  <c r="AD425" i="29" s="1"/>
  <c r="AF429" i="29"/>
  <c r="AE423" i="29"/>
  <c r="AE431" i="29"/>
  <c r="AE317" i="29"/>
  <c r="AK423" i="29"/>
  <c r="AG175" i="31"/>
  <c r="AE175" i="31"/>
  <c r="AE173" i="31"/>
  <c r="AK783" i="1"/>
  <c r="AG785" i="1"/>
  <c r="AK411" i="1"/>
  <c r="AC657" i="1"/>
  <c r="AD657" i="1" s="1"/>
  <c r="AC661" i="1"/>
  <c r="AD661" i="1" s="1"/>
  <c r="AI479" i="1"/>
  <c r="AC659" i="1"/>
  <c r="AD659" i="1" s="1"/>
  <c r="AE785" i="1"/>
  <c r="AE783" i="1"/>
  <c r="AJ415" i="1"/>
  <c r="AE639" i="1"/>
  <c r="AK773" i="1"/>
  <c r="AC783" i="1"/>
  <c r="AD783" i="1" s="1"/>
  <c r="AC429" i="1"/>
  <c r="AD429" i="1" s="1"/>
  <c r="AE661" i="1"/>
  <c r="AC409" i="1"/>
  <c r="AD409" i="1" s="1"/>
  <c r="AC637" i="1"/>
  <c r="AD637" i="1" s="1"/>
  <c r="AK513" i="1"/>
  <c r="AK637" i="1"/>
  <c r="AE743" i="1"/>
  <c r="AG745" i="1"/>
  <c r="AI783" i="1"/>
  <c r="AC785" i="1"/>
  <c r="AD785" i="1" s="1"/>
  <c r="AE247" i="33"/>
  <c r="AJ253" i="33"/>
  <c r="AK263" i="33"/>
  <c r="AG249" i="33"/>
  <c r="AB227" i="33"/>
  <c r="AJ247" i="33"/>
  <c r="AE253" i="33"/>
  <c r="AE257" i="33"/>
  <c r="B257" i="34"/>
  <c r="C257" i="34" s="1"/>
  <c r="AE263" i="33"/>
  <c r="AG253" i="33"/>
  <c r="AE255" i="33"/>
  <c r="AJ255" i="33"/>
  <c r="AE229" i="33"/>
  <c r="B221" i="34"/>
  <c r="C221" i="34" s="1"/>
  <c r="AI119" i="31"/>
  <c r="AE119" i="31"/>
  <c r="AK173" i="31"/>
  <c r="AC175" i="31"/>
  <c r="AD175" i="31" s="1"/>
  <c r="AC173" i="31"/>
  <c r="AD173" i="31" s="1"/>
  <c r="AC139" i="31"/>
  <c r="AD139" i="31" s="1"/>
  <c r="AE139" i="31"/>
  <c r="AI117" i="31"/>
  <c r="Y117" i="31"/>
  <c r="AE117" i="31" s="1"/>
  <c r="AK175" i="31"/>
  <c r="B173" i="32"/>
  <c r="C173" i="32" s="1"/>
  <c r="AK137" i="31"/>
  <c r="B137" i="32"/>
  <c r="C137" i="32" s="1"/>
  <c r="AB175" i="31"/>
  <c r="B175" i="32"/>
  <c r="C175" i="32" s="1"/>
  <c r="AJ175" i="31"/>
  <c r="AI85" i="27"/>
  <c r="AJ85" i="27"/>
  <c r="AI213" i="23"/>
  <c r="AJ213" i="23"/>
  <c r="AB175" i="33"/>
  <c r="AC221" i="33"/>
  <c r="AD221" i="33" s="1"/>
  <c r="AE227" i="33"/>
  <c r="AE213" i="33"/>
  <c r="B249" i="34"/>
  <c r="C249" i="34" s="1"/>
  <c r="AE221" i="33"/>
  <c r="AC225" i="33"/>
  <c r="AD225" i="33" s="1"/>
  <c r="B253" i="34"/>
  <c r="C253" i="34" s="1"/>
  <c r="AC263" i="33"/>
  <c r="AD263" i="33" s="1"/>
  <c r="B213" i="34"/>
  <c r="C213" i="34" s="1"/>
  <c r="AC249" i="33"/>
  <c r="AD249" i="33" s="1"/>
  <c r="AG247" i="33"/>
  <c r="B255" i="34"/>
  <c r="C255" i="34" s="1"/>
  <c r="AG221" i="33"/>
  <c r="AC247" i="33"/>
  <c r="AD247" i="33" s="1"/>
  <c r="B247" i="34"/>
  <c r="C247" i="34" s="1"/>
  <c r="AC255" i="33"/>
  <c r="AD255" i="33" s="1"/>
  <c r="AJ263" i="33"/>
  <c r="AJ249" i="33"/>
  <c r="AG257" i="33"/>
  <c r="AG173" i="31"/>
  <c r="AI175" i="31"/>
  <c r="AI173" i="31"/>
  <c r="AJ173" i="31"/>
  <c r="AB173" i="31"/>
  <c r="AG429" i="29"/>
  <c r="AI431" i="29"/>
  <c r="AQ431" i="29"/>
  <c r="AI429" i="29"/>
  <c r="AQ429" i="29"/>
  <c r="AJ431" i="29"/>
  <c r="AR431" i="29"/>
  <c r="AJ429" i="29"/>
  <c r="AR429" i="29"/>
  <c r="AK431" i="29"/>
  <c r="AS431" i="29"/>
  <c r="AK429" i="29"/>
  <c r="AL431" i="29"/>
  <c r="AE793" i="1"/>
  <c r="AI793" i="1"/>
  <c r="AJ793" i="1"/>
  <c r="AK793" i="1"/>
  <c r="AG783" i="1"/>
  <c r="AP783" i="1"/>
  <c r="AI785" i="1"/>
  <c r="AJ783" i="1"/>
  <c r="AB785" i="1"/>
  <c r="AK785" i="1"/>
  <c r="AO783" i="1"/>
  <c r="AC741" i="1"/>
  <c r="AD741" i="1" s="1"/>
  <c r="AJ479" i="1"/>
  <c r="AJ601" i="1"/>
  <c r="AE641" i="1"/>
  <c r="AC653" i="1"/>
  <c r="AD653" i="1" s="1"/>
  <c r="AI661" i="1"/>
  <c r="AE421" i="1"/>
  <c r="AE417" i="1"/>
  <c r="AC479" i="1"/>
  <c r="AD479" i="1" s="1"/>
  <c r="AI597" i="1"/>
  <c r="AC641" i="1"/>
  <c r="AD641" i="1" s="1"/>
  <c r="AK661" i="1"/>
  <c r="AC769" i="1"/>
  <c r="AD769" i="1" s="1"/>
  <c r="AE425" i="1"/>
  <c r="AM477" i="1"/>
  <c r="AI595" i="1"/>
  <c r="AC773" i="1"/>
  <c r="AD773" i="1" s="1"/>
  <c r="AJ409" i="1"/>
  <c r="AI745" i="1"/>
  <c r="AC423" i="1"/>
  <c r="AD423" i="1" s="1"/>
  <c r="AI657" i="1"/>
  <c r="AP771" i="1"/>
  <c r="AI655" i="1"/>
  <c r="AE745" i="1"/>
  <c r="AJ657" i="1"/>
  <c r="AK657" i="1"/>
  <c r="Y513" i="1"/>
  <c r="AE513" i="1" s="1"/>
  <c r="AK601" i="1"/>
  <c r="AS601" i="1"/>
  <c r="AE655" i="1"/>
  <c r="AC743" i="1"/>
  <c r="AD743" i="1" s="1"/>
  <c r="AF745" i="1"/>
  <c r="AC415" i="1"/>
  <c r="AD415" i="1" s="1"/>
  <c r="AK409" i="1"/>
  <c r="AK413" i="1"/>
  <c r="AE413" i="1"/>
  <c r="AK425" i="1"/>
  <c r="AL601" i="1"/>
  <c r="AT601" i="1"/>
  <c r="AJ659" i="1"/>
  <c r="AE415" i="1"/>
  <c r="AC419" i="1"/>
  <c r="AD419" i="1" s="1"/>
  <c r="AJ513" i="1"/>
  <c r="AC601" i="1"/>
  <c r="AD601" i="1" s="1"/>
  <c r="AM601" i="1"/>
  <c r="AJ661" i="1"/>
  <c r="AE771" i="1"/>
  <c r="AE773" i="1"/>
  <c r="AE429" i="1"/>
  <c r="AC411" i="1"/>
  <c r="AD411" i="1" s="1"/>
  <c r="AJ417" i="1"/>
  <c r="AJ427" i="1"/>
  <c r="AE427" i="1"/>
  <c r="AC431" i="1"/>
  <c r="AD431" i="1" s="1"/>
  <c r="AB743" i="1"/>
  <c r="AJ359" i="29"/>
  <c r="AB361" i="29"/>
  <c r="B425" i="30"/>
  <c r="C425" i="30" s="1"/>
  <c r="AC423" i="29"/>
  <c r="AD423" i="29" s="1"/>
  <c r="AB425" i="29"/>
  <c r="AO373" i="29"/>
  <c r="AC363" i="29"/>
  <c r="AD363" i="29" s="1"/>
  <c r="AC419" i="29"/>
  <c r="AD419" i="29" s="1"/>
  <c r="AJ427" i="29"/>
  <c r="AC347" i="29"/>
  <c r="AD347" i="29" s="1"/>
  <c r="AN373" i="29"/>
  <c r="AB367" i="29"/>
  <c r="AE417" i="29"/>
  <c r="AK425" i="29"/>
  <c r="B427" i="30"/>
  <c r="C427" i="30" s="1"/>
  <c r="AE361" i="29"/>
  <c r="AC315" i="29"/>
  <c r="AD315" i="29" s="1"/>
  <c r="AJ423" i="29"/>
  <c r="AG423" i="29"/>
  <c r="AJ139" i="31"/>
  <c r="AP137" i="31"/>
  <c r="B139" i="32"/>
  <c r="C139" i="32" s="1"/>
  <c r="B121" i="32"/>
  <c r="C121" i="32" s="1"/>
  <c r="B117" i="32"/>
  <c r="C117" i="32" s="1"/>
  <c r="AC117" i="31"/>
  <c r="AD117" i="31" s="1"/>
  <c r="AC119" i="31"/>
  <c r="AD119" i="31" s="1"/>
  <c r="AC121" i="31"/>
  <c r="AD121" i="31" s="1"/>
  <c r="AK139" i="31"/>
  <c r="AK115" i="31"/>
  <c r="AG137" i="31"/>
  <c r="B119" i="32"/>
  <c r="C119" i="32" s="1"/>
  <c r="AJ115" i="31"/>
  <c r="B115" i="32"/>
  <c r="C115" i="32" s="1"/>
  <c r="AI263" i="33"/>
  <c r="AB253" i="33"/>
  <c r="AK253" i="33"/>
  <c r="AC253" i="33"/>
  <c r="AD253" i="33" s="1"/>
  <c r="AF255" i="33"/>
  <c r="AI257" i="33"/>
  <c r="AQ257" i="33"/>
  <c r="AI255" i="33"/>
  <c r="AK257" i="33"/>
  <c r="AS257" i="33"/>
  <c r="AG255" i="33"/>
  <c r="AJ257" i="33"/>
  <c r="AR257" i="33"/>
  <c r="AL257" i="33"/>
  <c r="AI253" i="33"/>
  <c r="AK255" i="33"/>
  <c r="AF425" i="29"/>
  <c r="AI427" i="29"/>
  <c r="AG425" i="29"/>
  <c r="AI425" i="29"/>
  <c r="AK427" i="29"/>
  <c r="AJ425" i="29"/>
  <c r="AI423" i="29"/>
  <c r="AL425" i="29"/>
  <c r="AB249" i="33"/>
  <c r="AK249" i="33"/>
  <c r="AI247" i="33"/>
  <c r="AK247" i="33"/>
  <c r="AS247" i="33"/>
  <c r="AF249" i="33"/>
  <c r="AL247" i="33"/>
  <c r="AI249" i="33"/>
  <c r="AC417" i="29"/>
  <c r="AD417" i="29" s="1"/>
  <c r="AB417" i="29"/>
  <c r="AK419" i="29"/>
  <c r="AB317" i="29"/>
  <c r="AK371" i="29"/>
  <c r="AJ369" i="29"/>
  <c r="AC321" i="29"/>
  <c r="AD321" i="29" s="1"/>
  <c r="AG419" i="29"/>
  <c r="B419" i="30"/>
  <c r="C419" i="30" s="1"/>
  <c r="AC371" i="29"/>
  <c r="AD371" i="29" s="1"/>
  <c r="AC359" i="29"/>
  <c r="AD359" i="29" s="1"/>
  <c r="AI365" i="29"/>
  <c r="AK417" i="29"/>
  <c r="AJ419" i="29"/>
  <c r="AG417" i="29"/>
  <c r="AJ345" i="29"/>
  <c r="AE375" i="29"/>
  <c r="AE359" i="29"/>
  <c r="AI317" i="29"/>
  <c r="AF419" i="29"/>
  <c r="AF417" i="29"/>
  <c r="AB419" i="29"/>
  <c r="AS419" i="29"/>
  <c r="AI417" i="29"/>
  <c r="AJ417" i="29"/>
  <c r="B315" i="30"/>
  <c r="C315" i="30" s="1"/>
  <c r="AG345" i="29"/>
  <c r="B345" i="30"/>
  <c r="C345" i="30" s="1"/>
  <c r="AC369" i="29"/>
  <c r="AD369" i="29" s="1"/>
  <c r="AG359" i="29"/>
  <c r="AE367" i="29"/>
  <c r="B365" i="30"/>
  <c r="C365" i="30" s="1"/>
  <c r="AE319" i="29"/>
  <c r="AK321" i="29"/>
  <c r="AB321" i="29"/>
  <c r="B321" i="30"/>
  <c r="C321" i="30" s="1"/>
  <c r="AK365" i="29"/>
  <c r="AK369" i="29"/>
  <c r="AG365" i="29"/>
  <c r="B287" i="30"/>
  <c r="C287" i="30" s="1"/>
  <c r="AC367" i="29"/>
  <c r="AD367" i="29" s="1"/>
  <c r="AC345" i="29"/>
  <c r="AD345" i="29" s="1"/>
  <c r="AI363" i="29"/>
  <c r="AF345" i="29"/>
  <c r="AK349" i="29"/>
  <c r="AK373" i="29"/>
  <c r="AE371" i="29"/>
  <c r="AQ369" i="29"/>
  <c r="AI369" i="29"/>
  <c r="AC361" i="29"/>
  <c r="AD361" i="29" s="1"/>
  <c r="AK363" i="29"/>
  <c r="AI345" i="29"/>
  <c r="AP369" i="29"/>
  <c r="AK361" i="29"/>
  <c r="AC365" i="29"/>
  <c r="AD365" i="29" s="1"/>
  <c r="B363" i="30"/>
  <c r="C363" i="30" s="1"/>
  <c r="AK315" i="29"/>
  <c r="AC317" i="29"/>
  <c r="AD317" i="29" s="1"/>
  <c r="B319" i="30"/>
  <c r="C319" i="30" s="1"/>
  <c r="AT349" i="29"/>
  <c r="B349" i="30"/>
  <c r="C349" i="30" s="1"/>
  <c r="AJ373" i="29"/>
  <c r="AI371" i="29"/>
  <c r="AK359" i="29"/>
  <c r="AB359" i="29"/>
  <c r="AE363" i="29"/>
  <c r="AJ367" i="29"/>
  <c r="AC319" i="29"/>
  <c r="AD319" i="29" s="1"/>
  <c r="AJ321" i="29"/>
  <c r="Y321" i="29"/>
  <c r="AE321" i="29" s="1"/>
  <c r="AJ221" i="33"/>
  <c r="AB229" i="33"/>
  <c r="B223" i="34"/>
  <c r="C223" i="34" s="1"/>
  <c r="AI221" i="33"/>
  <c r="AK225" i="33"/>
  <c r="AC227" i="33"/>
  <c r="AD227" i="33" s="1"/>
  <c r="AG227" i="33"/>
  <c r="B229" i="34"/>
  <c r="C229" i="34" s="1"/>
  <c r="AC175" i="33"/>
  <c r="AD175" i="33" s="1"/>
  <c r="AK227" i="33"/>
  <c r="AC223" i="33"/>
  <c r="AD223" i="33" s="1"/>
  <c r="AJ225" i="33"/>
  <c r="B225" i="34"/>
  <c r="C225" i="34" s="1"/>
  <c r="AI223" i="33"/>
  <c r="AE223" i="33"/>
  <c r="AK221" i="33"/>
  <c r="AJ229" i="33"/>
  <c r="AC229" i="33"/>
  <c r="AD229" i="33" s="1"/>
  <c r="AC115" i="31"/>
  <c r="AD115" i="31" s="1"/>
  <c r="AJ119" i="31"/>
  <c r="AN115" i="31"/>
  <c r="AP117" i="31"/>
  <c r="AB119" i="31"/>
  <c r="AK119" i="31"/>
  <c r="AN121" i="31"/>
  <c r="AJ117" i="31"/>
  <c r="Y115" i="31"/>
  <c r="AE115" i="31" s="1"/>
  <c r="AI115" i="31"/>
  <c r="AK117" i="31"/>
  <c r="Y121" i="31"/>
  <c r="AE121" i="31" s="1"/>
  <c r="AI121" i="31"/>
  <c r="AJ121" i="31"/>
  <c r="AK121" i="31"/>
  <c r="AJ319" i="29"/>
  <c r="AB319" i="29"/>
  <c r="AK319" i="29"/>
  <c r="AP315" i="29"/>
  <c r="AJ317" i="29"/>
  <c r="AR317" i="29"/>
  <c r="Y315" i="29"/>
  <c r="AE315" i="29" s="1"/>
  <c r="AI315" i="29"/>
  <c r="AK317" i="29"/>
  <c r="AI321" i="29"/>
  <c r="AJ315" i="29"/>
  <c r="AG773" i="1"/>
  <c r="AP773" i="1"/>
  <c r="AI773" i="1"/>
  <c r="AJ773" i="1"/>
  <c r="AG771" i="1"/>
  <c r="AI771" i="1"/>
  <c r="AJ771" i="1"/>
  <c r="AB771" i="1"/>
  <c r="AK771" i="1"/>
  <c r="AO769" i="1"/>
  <c r="AK769" i="1"/>
  <c r="AG769" i="1"/>
  <c r="AI769" i="1"/>
  <c r="AJ769" i="1"/>
  <c r="AE769" i="1"/>
  <c r="Y45" i="27"/>
  <c r="AE45" i="27" s="1"/>
  <c r="AI45" i="27"/>
  <c r="AJ45" i="27"/>
  <c r="AR45" i="27"/>
  <c r="AE47" i="27"/>
  <c r="AN47" i="27"/>
  <c r="AK47" i="27"/>
  <c r="AJ47" i="27"/>
  <c r="AC45" i="27"/>
  <c r="AD45" i="27" s="1"/>
  <c r="Y47" i="27"/>
  <c r="AI47" i="27"/>
  <c r="Y125" i="23"/>
  <c r="AE125" i="23" s="1"/>
  <c r="AI125" i="23"/>
  <c r="AQ125" i="23"/>
  <c r="AM127" i="23"/>
  <c r="AJ125" i="23"/>
  <c r="AR125" i="23"/>
  <c r="AN127" i="23"/>
  <c r="AC125" i="23"/>
  <c r="AD125" i="23" s="1"/>
  <c r="AL125" i="23"/>
  <c r="AT125" i="23"/>
  <c r="AP127" i="23"/>
  <c r="AM125" i="23"/>
  <c r="Y127" i="23"/>
  <c r="AE127" i="23" s="1"/>
  <c r="AI127" i="23"/>
  <c r="AQ127" i="23"/>
  <c r="AN125" i="23"/>
  <c r="AJ127" i="23"/>
  <c r="AR127" i="23"/>
  <c r="AO125" i="23"/>
  <c r="AK127" i="23"/>
  <c r="AS127" i="23"/>
  <c r="AL127" i="23"/>
  <c r="AC745" i="1"/>
  <c r="AD745" i="1" s="1"/>
  <c r="AK745" i="1"/>
  <c r="AJ745" i="1"/>
  <c r="AK743" i="1"/>
  <c r="AG743" i="1"/>
  <c r="AJ743" i="1"/>
  <c r="AF743" i="1"/>
  <c r="AI743" i="1"/>
  <c r="AG741" i="1"/>
  <c r="AK741" i="1"/>
  <c r="AI741" i="1"/>
  <c r="AJ741" i="1"/>
  <c r="AE741" i="1"/>
  <c r="AL221" i="33"/>
  <c r="AJ223" i="33"/>
  <c r="AK223" i="33"/>
  <c r="AE225" i="33"/>
  <c r="AI227" i="33"/>
  <c r="AJ227" i="33"/>
  <c r="AR227" i="33"/>
  <c r="AI229" i="33"/>
  <c r="AI225" i="33"/>
  <c r="AL227" i="33"/>
  <c r="AK229" i="33"/>
  <c r="AI361" i="29"/>
  <c r="AL359" i="29"/>
  <c r="AT359" i="29"/>
  <c r="AJ361" i="29"/>
  <c r="AJ365" i="29"/>
  <c r="AF359" i="29"/>
  <c r="AI367" i="29"/>
  <c r="AI359" i="29"/>
  <c r="AJ363" i="29"/>
  <c r="AK367" i="29"/>
  <c r="AE373" i="29"/>
  <c r="AJ371" i="29"/>
  <c r="AN211" i="33"/>
  <c r="AO211" i="33"/>
  <c r="AP211" i="33"/>
  <c r="Y211" i="33"/>
  <c r="AE211" i="33" s="1"/>
  <c r="AI211" i="33"/>
  <c r="AQ211" i="33"/>
  <c r="AJ211" i="33"/>
  <c r="AR211" i="33"/>
  <c r="AK211" i="33"/>
  <c r="AS211" i="33"/>
  <c r="AC211" i="33"/>
  <c r="AD211" i="33" s="1"/>
  <c r="AL211" i="33"/>
  <c r="AE137" i="31"/>
  <c r="AG139" i="31"/>
  <c r="AF137" i="31"/>
  <c r="AI139" i="31"/>
  <c r="AI137" i="31"/>
  <c r="AB139" i="31"/>
  <c r="AJ137" i="31"/>
  <c r="AB345" i="29"/>
  <c r="AK345" i="29"/>
  <c r="AC349" i="29"/>
  <c r="AD349" i="29" s="1"/>
  <c r="AF347" i="29"/>
  <c r="AN349" i="29"/>
  <c r="AG347" i="29"/>
  <c r="AI347" i="29"/>
  <c r="AJ347" i="29"/>
  <c r="Y349" i="29"/>
  <c r="AE349" i="29" s="1"/>
  <c r="AI349" i="29"/>
  <c r="AK347" i="29"/>
  <c r="AJ349" i="29"/>
  <c r="AK659" i="1"/>
  <c r="AF659" i="1"/>
  <c r="AG659" i="1"/>
  <c r="AP659" i="1"/>
  <c r="AO659" i="1"/>
  <c r="AI659" i="1"/>
  <c r="AE659" i="1"/>
  <c r="AE657" i="1"/>
  <c r="AB657" i="1"/>
  <c r="AB655" i="1"/>
  <c r="AK655" i="1"/>
  <c r="AJ655" i="1"/>
  <c r="AC655" i="1"/>
  <c r="AD655" i="1" s="1"/>
  <c r="AP653" i="1"/>
  <c r="AF653" i="1"/>
  <c r="AG653" i="1"/>
  <c r="AI653" i="1"/>
  <c r="AK653" i="1"/>
  <c r="AO653" i="1"/>
  <c r="AJ653" i="1"/>
  <c r="AI641" i="1"/>
  <c r="AK641" i="1"/>
  <c r="AJ641" i="1"/>
  <c r="AJ639" i="1"/>
  <c r="AG639" i="1"/>
  <c r="AI639" i="1"/>
  <c r="AC639" i="1"/>
  <c r="AD639" i="1" s="1"/>
  <c r="AK639" i="1"/>
  <c r="AB639" i="1"/>
  <c r="AO637" i="1"/>
  <c r="AG637" i="1"/>
  <c r="AJ637" i="1"/>
  <c r="AP637" i="1"/>
  <c r="AI637" i="1"/>
  <c r="AE637" i="1"/>
  <c r="AN175" i="33"/>
  <c r="Y175" i="33"/>
  <c r="AE175" i="33" s="1"/>
  <c r="AI175" i="33"/>
  <c r="AQ175" i="33"/>
  <c r="AJ175" i="33"/>
  <c r="AR175" i="33"/>
  <c r="AK175" i="33"/>
  <c r="Y287" i="29"/>
  <c r="AE287" i="29" s="1"/>
  <c r="AI287" i="29"/>
  <c r="AQ287" i="29"/>
  <c r="AJ287" i="29"/>
  <c r="AK287" i="29"/>
  <c r="Y601" i="1"/>
  <c r="AE601" i="1" s="1"/>
  <c r="AN599" i="1"/>
  <c r="AP599" i="1"/>
  <c r="Y599" i="1"/>
  <c r="AE599" i="1" s="1"/>
  <c r="AI599" i="1"/>
  <c r="AQ599" i="1"/>
  <c r="AJ599" i="1"/>
  <c r="AR599" i="1"/>
  <c r="AK599" i="1"/>
  <c r="AS599" i="1"/>
  <c r="AC599" i="1"/>
  <c r="AD599" i="1" s="1"/>
  <c r="AL599" i="1"/>
  <c r="AO597" i="1"/>
  <c r="AE597" i="1"/>
  <c r="AP597" i="1"/>
  <c r="AJ597" i="1"/>
  <c r="AK597" i="1"/>
  <c r="AS597" i="1"/>
  <c r="AC597" i="1"/>
  <c r="AD597" i="1" s="1"/>
  <c r="AL597" i="1"/>
  <c r="AC595" i="1"/>
  <c r="AD595" i="1" s="1"/>
  <c r="AK595" i="1"/>
  <c r="AJ595" i="1"/>
  <c r="Y595" i="1"/>
  <c r="AE595" i="1" s="1"/>
  <c r="AC513" i="1"/>
  <c r="AD513" i="1" s="1"/>
  <c r="AI513" i="1"/>
  <c r="Y73" i="25"/>
  <c r="AJ73" i="25"/>
  <c r="AC73" i="25"/>
  <c r="AD73" i="25" s="1"/>
  <c r="AL73" i="25"/>
  <c r="AT73" i="25"/>
  <c r="AM73" i="25"/>
  <c r="Y75" i="25"/>
  <c r="AE75" i="25" s="1"/>
  <c r="AI75" i="25"/>
  <c r="AQ75" i="25"/>
  <c r="AS73" i="25"/>
  <c r="AE73" i="25"/>
  <c r="AN73" i="25"/>
  <c r="AJ75" i="25"/>
  <c r="AR75" i="25"/>
  <c r="AK73" i="25"/>
  <c r="AO73" i="25"/>
  <c r="AK75" i="25"/>
  <c r="AS75" i="25"/>
  <c r="AL75" i="25"/>
  <c r="Y115" i="23"/>
  <c r="AE115" i="23" s="1"/>
  <c r="AI115" i="23"/>
  <c r="AJ115" i="23"/>
  <c r="AR115" i="23"/>
  <c r="AN117" i="23"/>
  <c r="AK115" i="23"/>
  <c r="AC115" i="23"/>
  <c r="AD115" i="23" s="1"/>
  <c r="AL115" i="23"/>
  <c r="AT115" i="23"/>
  <c r="AP117" i="23"/>
  <c r="Y117" i="23"/>
  <c r="AE117" i="23" s="1"/>
  <c r="AI117" i="23"/>
  <c r="AJ117" i="23"/>
  <c r="AK85" i="23"/>
  <c r="AB85" i="23"/>
  <c r="AE69" i="23"/>
  <c r="AK71" i="23"/>
  <c r="AE73" i="23"/>
  <c r="AK75" i="23"/>
  <c r="AJ79" i="23"/>
  <c r="AK83" i="23"/>
  <c r="AB83" i="23"/>
  <c r="AJ67" i="23"/>
  <c r="AE67" i="23"/>
  <c r="AC79" i="23"/>
  <c r="AD79" i="23" s="1"/>
  <c r="AE81" i="23"/>
  <c r="AE87" i="23"/>
  <c r="AC89" i="23"/>
  <c r="AD89" i="23" s="1"/>
  <c r="B67" i="24"/>
  <c r="C67" i="24" s="1"/>
  <c r="B83" i="24"/>
  <c r="C83" i="24" s="1"/>
  <c r="AB67" i="23"/>
  <c r="AJ71" i="23"/>
  <c r="AE71" i="23"/>
  <c r="AJ75" i="23"/>
  <c r="AE75" i="23"/>
  <c r="B89" i="24"/>
  <c r="C89" i="24" s="1"/>
  <c r="AC67" i="23"/>
  <c r="AD67" i="23" s="1"/>
  <c r="AE89" i="23"/>
  <c r="AJ69" i="23"/>
  <c r="AJ73" i="23"/>
  <c r="AK77" i="23"/>
  <c r="AI79" i="23"/>
  <c r="B85" i="24"/>
  <c r="C85" i="24" s="1"/>
  <c r="AB33" i="27"/>
  <c r="AK33" i="27"/>
  <c r="AI31" i="27"/>
  <c r="AB35" i="27"/>
  <c r="AK35" i="27"/>
  <c r="AJ35" i="27"/>
  <c r="AJ31" i="27"/>
  <c r="AI37" i="27"/>
  <c r="AJ37" i="27"/>
  <c r="AI33" i="27"/>
  <c r="AK41" i="25"/>
  <c r="AK45" i="25"/>
  <c r="AK49" i="25"/>
  <c r="AC41" i="25"/>
  <c r="AD41" i="25" s="1"/>
  <c r="AC45" i="25"/>
  <c r="AD45" i="25" s="1"/>
  <c r="AC49" i="25"/>
  <c r="AD49" i="25" s="1"/>
  <c r="AI51" i="25"/>
  <c r="AE53" i="25"/>
  <c r="AI39" i="25"/>
  <c r="AI43" i="25"/>
  <c r="AI47" i="25"/>
  <c r="AJ51" i="25"/>
  <c r="AI53" i="25"/>
  <c r="AJ53" i="25"/>
  <c r="AK53" i="25"/>
  <c r="AI45" i="25"/>
  <c r="AI49" i="25"/>
  <c r="AJ81" i="23"/>
  <c r="AC85" i="23"/>
  <c r="AD85" i="23" s="1"/>
  <c r="AI69" i="23"/>
  <c r="AI73" i="23"/>
  <c r="AI77" i="23"/>
  <c r="AB81" i="23"/>
  <c r="AK81" i="23"/>
  <c r="AJ87" i="23"/>
  <c r="AJ77" i="23"/>
  <c r="AI83" i="23"/>
  <c r="AB87" i="23"/>
  <c r="AK87" i="23"/>
  <c r="AJ83" i="23"/>
  <c r="AI89" i="23"/>
  <c r="AJ89" i="23"/>
  <c r="AI85" i="23"/>
  <c r="AE479" i="1"/>
  <c r="AC477" i="1"/>
  <c r="AD477" i="1" s="1"/>
  <c r="AI477" i="1"/>
  <c r="AJ477" i="1"/>
  <c r="AK477" i="1"/>
  <c r="AE477" i="1"/>
  <c r="AI429" i="1"/>
  <c r="AE431" i="1"/>
  <c r="AJ429" i="1"/>
  <c r="AB429" i="1"/>
  <c r="AK429" i="1"/>
  <c r="AI431" i="1"/>
  <c r="AJ431" i="1"/>
  <c r="AK431" i="1"/>
  <c r="AK427" i="1"/>
  <c r="AI425" i="1"/>
  <c r="AC427" i="1"/>
  <c r="AD427" i="1" s="1"/>
  <c r="AJ425" i="1"/>
  <c r="AJ421" i="1"/>
  <c r="AB421" i="1"/>
  <c r="AK421" i="1"/>
  <c r="AC421" i="1"/>
  <c r="AD421" i="1" s="1"/>
  <c r="AI423" i="1"/>
  <c r="AJ423" i="1"/>
  <c r="AK423" i="1"/>
  <c r="AI417" i="1"/>
  <c r="AE419" i="1"/>
  <c r="AB417" i="1"/>
  <c r="AK417" i="1"/>
  <c r="AC417" i="1"/>
  <c r="AD417" i="1" s="1"/>
  <c r="AI419" i="1"/>
  <c r="AJ419" i="1"/>
  <c r="AI413" i="1"/>
  <c r="AK415" i="1"/>
  <c r="AJ413" i="1"/>
  <c r="AC413" i="1"/>
  <c r="AD413" i="1" s="1"/>
  <c r="AI415" i="1"/>
  <c r="AE411" i="1"/>
  <c r="AI411" i="1"/>
  <c r="AJ411" i="1"/>
  <c r="AE409" i="1"/>
  <c r="D17" i="28"/>
  <c r="B17" i="28"/>
  <c r="C17" i="28" s="1"/>
  <c r="A17" i="28"/>
  <c r="AT17" i="27"/>
  <c r="AP17" i="27"/>
  <c r="AM17" i="27"/>
  <c r="AL17" i="27"/>
  <c r="AG17" i="27"/>
  <c r="AF17" i="27"/>
  <c r="AC17" i="27"/>
  <c r="AD17" i="27" s="1"/>
  <c r="AA17" i="27"/>
  <c r="AB17" i="27" s="1"/>
  <c r="Y17" i="27"/>
  <c r="W17" i="27"/>
  <c r="U17" i="27"/>
  <c r="R17" i="27"/>
  <c r="L17" i="27"/>
  <c r="K17" i="27"/>
  <c r="AX16" i="27"/>
  <c r="AW16" i="27"/>
  <c r="AK17" i="27" s="1"/>
  <c r="AV14" i="27"/>
  <c r="AI15" i="27" s="1"/>
  <c r="AW14" i="27"/>
  <c r="AX14" i="27"/>
  <c r="AY14" i="27"/>
  <c r="AZ14" i="27"/>
  <c r="K15" i="27"/>
  <c r="L15" i="27"/>
  <c r="R15" i="27"/>
  <c r="U15" i="27"/>
  <c r="W15" i="27"/>
  <c r="Y15" i="27"/>
  <c r="AA15" i="27"/>
  <c r="AB15" i="27"/>
  <c r="AE15" i="27"/>
  <c r="AF15" i="27"/>
  <c r="AG15" i="27"/>
  <c r="AO15" i="27"/>
  <c r="A17" i="24"/>
  <c r="AG17" i="23"/>
  <c r="AF17" i="23"/>
  <c r="AA17" i="23"/>
  <c r="AE17" i="23" s="1"/>
  <c r="Y17" i="23"/>
  <c r="W17" i="23"/>
  <c r="U17" i="23"/>
  <c r="R17" i="23"/>
  <c r="L17" i="23"/>
  <c r="K17" i="23"/>
  <c r="AX16" i="23"/>
  <c r="AW16" i="23"/>
  <c r="AI17" i="23" s="1"/>
  <c r="AY337" i="1"/>
  <c r="AX337" i="1"/>
  <c r="AW337" i="1"/>
  <c r="V337" i="1"/>
  <c r="W337" i="1" s="1"/>
  <c r="AY335" i="1"/>
  <c r="AX335" i="1"/>
  <c r="AW335" i="1"/>
  <c r="AV335" i="1"/>
  <c r="AY333" i="1"/>
  <c r="AX333" i="1"/>
  <c r="AW333" i="1"/>
  <c r="AV333" i="1"/>
  <c r="V333" i="1"/>
  <c r="W333" i="1" s="1"/>
  <c r="V331" i="1"/>
  <c r="W331" i="1" s="1"/>
  <c r="AY336" i="1"/>
  <c r="AX336" i="1"/>
  <c r="AW336" i="1"/>
  <c r="AY334" i="1"/>
  <c r="AX334" i="1"/>
  <c r="AW334" i="1"/>
  <c r="AY332" i="1"/>
  <c r="AX332" i="1"/>
  <c r="AW332" i="1"/>
  <c r="AY330" i="1"/>
  <c r="AX330" i="1"/>
  <c r="AW330" i="1"/>
  <c r="AY328" i="1"/>
  <c r="AX328" i="1"/>
  <c r="AW328" i="1"/>
  <c r="AY331" i="1"/>
  <c r="AX331" i="1"/>
  <c r="AW331" i="1"/>
  <c r="AV331" i="1"/>
  <c r="AF337" i="1"/>
  <c r="AA337" i="1"/>
  <c r="AB337" i="1" s="1"/>
  <c r="Y337" i="1"/>
  <c r="U337" i="1"/>
  <c r="R337" i="1"/>
  <c r="L337" i="1"/>
  <c r="K337" i="1"/>
  <c r="AA335" i="1"/>
  <c r="AB335" i="1" s="1"/>
  <c r="Y335" i="1"/>
  <c r="W335" i="1"/>
  <c r="U335" i="1"/>
  <c r="R335" i="1"/>
  <c r="L335" i="1"/>
  <c r="K335" i="1"/>
  <c r="AA333" i="1"/>
  <c r="Y333" i="1"/>
  <c r="U333" i="1"/>
  <c r="R333" i="1"/>
  <c r="L333" i="1"/>
  <c r="K333" i="1"/>
  <c r="AA331" i="1"/>
  <c r="Y331" i="1"/>
  <c r="U331" i="1"/>
  <c r="R331" i="1"/>
  <c r="L331" i="1"/>
  <c r="K331" i="1"/>
  <c r="AY329" i="1"/>
  <c r="AX329" i="1"/>
  <c r="AW329" i="1"/>
  <c r="AV329" i="1"/>
  <c r="AA329" i="1"/>
  <c r="AB329" i="1" s="1"/>
  <c r="Y329" i="1"/>
  <c r="W329" i="1"/>
  <c r="U329" i="1"/>
  <c r="R329" i="1"/>
  <c r="L329" i="1"/>
  <c r="K329" i="1"/>
  <c r="AX198" i="1"/>
  <c r="AW198" i="1"/>
  <c r="AA199" i="1"/>
  <c r="AB199" i="1" s="1"/>
  <c r="R199" i="1"/>
  <c r="AG199" i="1"/>
  <c r="AF199" i="1"/>
  <c r="Y199" i="1"/>
  <c r="W199" i="1"/>
  <c r="U199" i="1"/>
  <c r="L199" i="1"/>
  <c r="K199" i="1"/>
  <c r="K197" i="1"/>
  <c r="A71" i="34"/>
  <c r="AG71" i="33"/>
  <c r="AF71" i="33"/>
  <c r="AA71" i="33"/>
  <c r="B71" i="34" s="1"/>
  <c r="C71" i="34" s="1"/>
  <c r="Y71" i="33"/>
  <c r="W71" i="33"/>
  <c r="U71" i="33"/>
  <c r="R71" i="33"/>
  <c r="L71" i="33"/>
  <c r="K71" i="33"/>
  <c r="AX70" i="33"/>
  <c r="AW70" i="33"/>
  <c r="A107" i="30"/>
  <c r="W107" i="29"/>
  <c r="W105" i="29"/>
  <c r="AG107" i="29"/>
  <c r="AF107" i="29"/>
  <c r="AA107" i="29"/>
  <c r="AB107" i="29" s="1"/>
  <c r="Y107" i="29"/>
  <c r="U107" i="29"/>
  <c r="R107" i="29"/>
  <c r="L107" i="29"/>
  <c r="K107" i="29"/>
  <c r="AX106" i="29"/>
  <c r="AW106" i="29"/>
  <c r="AG197" i="1"/>
  <c r="AF197" i="1"/>
  <c r="AA197" i="1"/>
  <c r="AB197" i="1" s="1"/>
  <c r="Y197" i="1"/>
  <c r="W197" i="1"/>
  <c r="U197" i="1"/>
  <c r="R197" i="1"/>
  <c r="L197" i="1"/>
  <c r="AY196" i="1"/>
  <c r="AX196" i="1"/>
  <c r="AW196" i="1"/>
  <c r="AY194" i="1"/>
  <c r="AX194" i="1"/>
  <c r="AW194" i="1"/>
  <c r="AA195" i="1"/>
  <c r="AB195" i="1" s="1"/>
  <c r="AG195" i="1"/>
  <c r="AF195" i="1"/>
  <c r="Y195" i="1"/>
  <c r="W195" i="1"/>
  <c r="U195" i="1"/>
  <c r="R195" i="1"/>
  <c r="L195" i="1"/>
  <c r="K195" i="1"/>
  <c r="AX148" i="1"/>
  <c r="AW148" i="1"/>
  <c r="AA149" i="1"/>
  <c r="AB149" i="1" s="1"/>
  <c r="AG149" i="1"/>
  <c r="AF149" i="1"/>
  <c r="Y149" i="1"/>
  <c r="W149" i="1"/>
  <c r="U149" i="1"/>
  <c r="R149" i="1"/>
  <c r="L149" i="1"/>
  <c r="K149" i="1"/>
  <c r="A37" i="32"/>
  <c r="AG37" i="31"/>
  <c r="AF37" i="31"/>
  <c r="AA37" i="31"/>
  <c r="Y37" i="31"/>
  <c r="W37" i="31"/>
  <c r="U37" i="31"/>
  <c r="R37" i="31"/>
  <c r="L37" i="31"/>
  <c r="K37" i="31"/>
  <c r="AX36" i="31"/>
  <c r="AW36" i="31"/>
  <c r="A105" i="30"/>
  <c r="AG105" i="29"/>
  <c r="AF105" i="29"/>
  <c r="AA105" i="29"/>
  <c r="AB105" i="29" s="1"/>
  <c r="Y105" i="29"/>
  <c r="U105" i="29"/>
  <c r="R105" i="29"/>
  <c r="L105" i="29"/>
  <c r="K105" i="29"/>
  <c r="AX104" i="29"/>
  <c r="AW104" i="29"/>
  <c r="AX147" i="1"/>
  <c r="AW147" i="1"/>
  <c r="AV147" i="1"/>
  <c r="AF147" i="1" s="1"/>
  <c r="AX145" i="1"/>
  <c r="AW145" i="1"/>
  <c r="AV145" i="1"/>
  <c r="AA147" i="1"/>
  <c r="AB147" i="1" s="1"/>
  <c r="Y147" i="1"/>
  <c r="W147" i="1"/>
  <c r="U147" i="1"/>
  <c r="R147" i="1"/>
  <c r="L147" i="1"/>
  <c r="K147" i="1"/>
  <c r="AX146" i="1"/>
  <c r="AW146" i="1"/>
  <c r="AX144" i="1"/>
  <c r="AW144" i="1"/>
  <c r="AA145" i="1"/>
  <c r="AB145" i="1" s="1"/>
  <c r="AA143" i="1"/>
  <c r="AB143" i="1" s="1"/>
  <c r="Y145" i="1"/>
  <c r="W145" i="1"/>
  <c r="U145" i="1"/>
  <c r="R145" i="1"/>
  <c r="L145" i="1"/>
  <c r="K145" i="1"/>
  <c r="AW142" i="1"/>
  <c r="AX142" i="1"/>
  <c r="AG143" i="1"/>
  <c r="AF143" i="1"/>
  <c r="Y143" i="1"/>
  <c r="W143" i="1"/>
  <c r="U143" i="1"/>
  <c r="R143" i="1"/>
  <c r="L143" i="1"/>
  <c r="K143" i="1"/>
  <c r="AC329" i="1" l="1"/>
  <c r="AD329" i="1" s="1"/>
  <c r="AC147" i="1"/>
  <c r="AD147" i="1" s="1"/>
  <c r="AK149" i="1"/>
  <c r="AC333" i="1"/>
  <c r="AD333" i="1" s="1"/>
  <c r="AC37" i="31"/>
  <c r="AD37" i="31" s="1"/>
  <c r="AI335" i="1"/>
  <c r="AG329" i="1"/>
  <c r="AI143" i="1"/>
  <c r="AF335" i="1"/>
  <c r="AI331" i="1"/>
  <c r="AC331" i="1"/>
  <c r="AD331" i="1" s="1"/>
  <c r="AC337" i="1"/>
  <c r="AD337" i="1" s="1"/>
  <c r="AJ71" i="33"/>
  <c r="AF331" i="1"/>
  <c r="AG337" i="1"/>
  <c r="AK197" i="1"/>
  <c r="AK329" i="1"/>
  <c r="AG335" i="1"/>
  <c r="AE331" i="1"/>
  <c r="AE337" i="1"/>
  <c r="AJ197" i="1"/>
  <c r="AK195" i="1"/>
  <c r="AF329" i="1"/>
  <c r="AI329" i="1"/>
  <c r="AI333" i="1"/>
  <c r="AE199" i="1"/>
  <c r="AC145" i="1"/>
  <c r="AD145" i="1" s="1"/>
  <c r="AJ329" i="1"/>
  <c r="AE195" i="1"/>
  <c r="AI197" i="1"/>
  <c r="AE333" i="1"/>
  <c r="AK37" i="31"/>
  <c r="B107" i="30"/>
  <c r="C107" i="30" s="1"/>
  <c r="AC71" i="33"/>
  <c r="AD71" i="33" s="1"/>
  <c r="B17" i="24"/>
  <c r="C17" i="24" s="1"/>
  <c r="AE71" i="33"/>
  <c r="AB71" i="33"/>
  <c r="AE37" i="31"/>
  <c r="AB37" i="31"/>
  <c r="B37" i="32"/>
  <c r="C37" i="32" s="1"/>
  <c r="AK105" i="29"/>
  <c r="AK107" i="29"/>
  <c r="AE17" i="27"/>
  <c r="AI17" i="27"/>
  <c r="AJ17" i="27"/>
  <c r="AK15" i="27"/>
  <c r="AC15" i="27"/>
  <c r="AD15" i="27" s="1"/>
  <c r="AJ15" i="27"/>
  <c r="AB17" i="23"/>
  <c r="AK17" i="23"/>
  <c r="AC17" i="23"/>
  <c r="AD17" i="23" s="1"/>
  <c r="AJ17" i="23"/>
  <c r="AG333" i="1"/>
  <c r="AE335" i="1"/>
  <c r="AG331" i="1"/>
  <c r="AP337" i="1"/>
  <c r="AI337" i="1"/>
  <c r="AJ337" i="1"/>
  <c r="AK337" i="1"/>
  <c r="AJ335" i="1"/>
  <c r="AK335" i="1"/>
  <c r="AC335" i="1"/>
  <c r="AD335" i="1" s="1"/>
  <c r="AB333" i="1"/>
  <c r="AK333" i="1"/>
  <c r="AJ333" i="1"/>
  <c r="AF333" i="1"/>
  <c r="AJ331" i="1"/>
  <c r="AB331" i="1"/>
  <c r="AK331" i="1"/>
  <c r="AE329" i="1"/>
  <c r="AC195" i="1"/>
  <c r="AD195" i="1" s="1"/>
  <c r="AC197" i="1"/>
  <c r="AD197" i="1" s="1"/>
  <c r="AI147" i="1"/>
  <c r="AC149" i="1"/>
  <c r="AD149" i="1" s="1"/>
  <c r="AC199" i="1"/>
  <c r="AD199" i="1" s="1"/>
  <c r="AI199" i="1"/>
  <c r="AJ199" i="1"/>
  <c r="AK199" i="1"/>
  <c r="AK71" i="33"/>
  <c r="AI71" i="33"/>
  <c r="AC107" i="29"/>
  <c r="AD107" i="29" s="1"/>
  <c r="B105" i="30"/>
  <c r="C105" i="30" s="1"/>
  <c r="AE107" i="29"/>
  <c r="AI107" i="29"/>
  <c r="AJ107" i="29"/>
  <c r="AE197" i="1"/>
  <c r="AJ195" i="1"/>
  <c r="AI195" i="1"/>
  <c r="AJ149" i="1"/>
  <c r="AI149" i="1"/>
  <c r="AE149" i="1"/>
  <c r="AI37" i="31"/>
  <c r="AJ37" i="31"/>
  <c r="AE105" i="29"/>
  <c r="AC105" i="29"/>
  <c r="AD105" i="29" s="1"/>
  <c r="AI105" i="29"/>
  <c r="AJ105" i="29"/>
  <c r="AG147" i="1"/>
  <c r="AJ147" i="1"/>
  <c r="AK147" i="1"/>
  <c r="AG145" i="1"/>
  <c r="AF145" i="1"/>
  <c r="AE147" i="1"/>
  <c r="AJ145" i="1"/>
  <c r="AK145" i="1"/>
  <c r="AI145" i="1"/>
  <c r="AE145" i="1"/>
  <c r="AC143" i="1"/>
  <c r="AD143" i="1" s="1"/>
  <c r="AK143" i="1"/>
  <c r="AJ143" i="1"/>
  <c r="AE143" i="1"/>
  <c r="A123" i="26"/>
  <c r="AG123" i="25"/>
  <c r="AF123" i="25"/>
  <c r="AA123" i="25"/>
  <c r="AB123" i="25" s="1"/>
  <c r="W123" i="25"/>
  <c r="U123" i="25"/>
  <c r="R123" i="25"/>
  <c r="L123" i="25"/>
  <c r="K123" i="25"/>
  <c r="AX122" i="25"/>
  <c r="AW122" i="25"/>
  <c r="AK123" i="25" s="1"/>
  <c r="AV122" i="25"/>
  <c r="AG185" i="23"/>
  <c r="AF185" i="23"/>
  <c r="AA185" i="23"/>
  <c r="W185" i="23"/>
  <c r="U185" i="23"/>
  <c r="R185" i="23"/>
  <c r="L185" i="23"/>
  <c r="K185" i="23"/>
  <c r="AX184" i="23"/>
  <c r="AW184" i="23"/>
  <c r="AV184" i="23"/>
  <c r="B113" i="26"/>
  <c r="C113" i="26" s="1"/>
  <c r="A113" i="26"/>
  <c r="AM113" i="25"/>
  <c r="D113" i="26" s="1"/>
  <c r="AG113" i="25"/>
  <c r="AF113" i="25"/>
  <c r="AB113" i="25"/>
  <c r="W113" i="25"/>
  <c r="U113" i="25"/>
  <c r="R113" i="25"/>
  <c r="L113" i="25"/>
  <c r="K113" i="25"/>
  <c r="AX112" i="25"/>
  <c r="AW112" i="25"/>
  <c r="AV112" i="25"/>
  <c r="B169" i="24"/>
  <c r="C169" i="24" s="1"/>
  <c r="A169" i="24"/>
  <c r="AG169" i="23"/>
  <c r="AF169" i="23"/>
  <c r="AB169" i="23"/>
  <c r="W169" i="23"/>
  <c r="U169" i="23"/>
  <c r="R169" i="23"/>
  <c r="L169" i="23"/>
  <c r="K169" i="23"/>
  <c r="AX168" i="23"/>
  <c r="AW168" i="23"/>
  <c r="AV168" i="23"/>
  <c r="B21" i="14"/>
  <c r="C21" i="14" s="1"/>
  <c r="AT21" i="13"/>
  <c r="AS21" i="13"/>
  <c r="AR21" i="13"/>
  <c r="AQ21" i="13"/>
  <c r="AP21" i="13"/>
  <c r="AO21" i="13"/>
  <c r="AN21" i="13"/>
  <c r="AM21" i="13"/>
  <c r="AL21" i="13"/>
  <c r="AK21" i="13"/>
  <c r="AJ21" i="13"/>
  <c r="AI21" i="13"/>
  <c r="AG21" i="13"/>
  <c r="AF21" i="13"/>
  <c r="AC21" i="13"/>
  <c r="AD21" i="13" s="1"/>
  <c r="AB21" i="13"/>
  <c r="Y21" i="13"/>
  <c r="AE21" i="13" s="1"/>
  <c r="W21" i="13"/>
  <c r="U21" i="13"/>
  <c r="R21" i="13"/>
  <c r="L21" i="13"/>
  <c r="K21" i="13"/>
  <c r="B29" i="12"/>
  <c r="C29" i="12" s="1"/>
  <c r="W29" i="11"/>
  <c r="AT29" i="11"/>
  <c r="AS29" i="11"/>
  <c r="AR29" i="11"/>
  <c r="AQ29" i="11"/>
  <c r="AP29" i="11"/>
  <c r="AO29" i="11"/>
  <c r="AN29" i="11"/>
  <c r="AM29" i="11"/>
  <c r="D29" i="12" s="1"/>
  <c r="AL29" i="11"/>
  <c r="AK29" i="11"/>
  <c r="AJ29" i="11"/>
  <c r="AI29" i="11"/>
  <c r="AG29" i="11"/>
  <c r="AF29" i="11"/>
  <c r="AC29" i="11"/>
  <c r="AD29" i="11" s="1"/>
  <c r="AB29" i="11"/>
  <c r="Y29" i="11"/>
  <c r="AE29" i="11" s="1"/>
  <c r="U29" i="11"/>
  <c r="R29" i="11"/>
  <c r="L29" i="11"/>
  <c r="K29" i="11"/>
  <c r="AX738" i="1"/>
  <c r="AW738" i="1"/>
  <c r="AV738" i="1"/>
  <c r="Y739" i="1" s="1"/>
  <c r="AA739" i="1"/>
  <c r="AB739" i="1" s="1"/>
  <c r="AG739" i="1"/>
  <c r="AF739" i="1"/>
  <c r="W739" i="1"/>
  <c r="U739" i="1"/>
  <c r="R739" i="1"/>
  <c r="L739" i="1"/>
  <c r="K739" i="1"/>
  <c r="AX678" i="1"/>
  <c r="AW678" i="1"/>
  <c r="AV678" i="1"/>
  <c r="AG679" i="1"/>
  <c r="AF679" i="1"/>
  <c r="AB679" i="1"/>
  <c r="Y679" i="1"/>
  <c r="AE679" i="1" s="1"/>
  <c r="W679" i="1"/>
  <c r="U679" i="1"/>
  <c r="R679" i="1"/>
  <c r="L679" i="1"/>
  <c r="AT677" i="1"/>
  <c r="AS677" i="1"/>
  <c r="AR677" i="1"/>
  <c r="AQ677" i="1"/>
  <c r="AP677" i="1"/>
  <c r="AO677" i="1"/>
  <c r="AN677" i="1"/>
  <c r="AM677" i="1"/>
  <c r="AL677" i="1"/>
  <c r="AK677" i="1"/>
  <c r="AJ677" i="1"/>
  <c r="AI677" i="1"/>
  <c r="AG677" i="1"/>
  <c r="AF677" i="1"/>
  <c r="AC677" i="1"/>
  <c r="AD677" i="1" s="1"/>
  <c r="AB677" i="1"/>
  <c r="Y677" i="1"/>
  <c r="AE677" i="1" s="1"/>
  <c r="W677" i="1"/>
  <c r="U677" i="1"/>
  <c r="R677" i="1"/>
  <c r="L677" i="1"/>
  <c r="K677" i="1"/>
  <c r="K679" i="1"/>
  <c r="AI679" i="1" l="1"/>
  <c r="AK679" i="1"/>
  <c r="AJ739" i="1"/>
  <c r="AC679" i="1"/>
  <c r="AD679" i="1" s="1"/>
  <c r="AC123" i="25"/>
  <c r="AD123" i="25" s="1"/>
  <c r="B123" i="26"/>
  <c r="C123" i="26" s="1"/>
  <c r="AC113" i="25"/>
  <c r="AD113" i="25" s="1"/>
  <c r="AN123" i="25"/>
  <c r="Y123" i="25"/>
  <c r="AE123" i="25" s="1"/>
  <c r="AI123" i="25"/>
  <c r="AJ123" i="25"/>
  <c r="AJ185" i="23"/>
  <c r="AC185" i="23"/>
  <c r="AD185" i="23" s="1"/>
  <c r="AB185" i="23"/>
  <c r="AN185" i="23"/>
  <c r="AK185" i="23"/>
  <c r="AP185" i="23"/>
  <c r="Y185" i="23"/>
  <c r="AE185" i="23" s="1"/>
  <c r="AI185" i="23"/>
  <c r="AN113" i="25"/>
  <c r="AO113" i="25"/>
  <c r="AP113" i="25"/>
  <c r="AI113" i="25"/>
  <c r="AQ113" i="25"/>
  <c r="Y113" i="25"/>
  <c r="AE113" i="25" s="1"/>
  <c r="AJ113" i="25"/>
  <c r="AR113" i="25"/>
  <c r="AK113" i="25"/>
  <c r="AS113" i="25"/>
  <c r="AL113" i="25"/>
  <c r="Y169" i="23"/>
  <c r="AE169" i="23" s="1"/>
  <c r="AJ169" i="23"/>
  <c r="AK169" i="23"/>
  <c r="AC169" i="23"/>
  <c r="AD169" i="23" s="1"/>
  <c r="AM169" i="23"/>
  <c r="D169" i="24" s="1"/>
  <c r="AN169" i="23"/>
  <c r="AT169" i="23"/>
  <c r="AO169" i="23"/>
  <c r="AP169" i="23"/>
  <c r="AI169" i="23"/>
  <c r="AC739" i="1"/>
  <c r="AD739" i="1" s="1"/>
  <c r="AI739" i="1"/>
  <c r="AK739" i="1"/>
  <c r="AE739" i="1"/>
  <c r="AJ679" i="1"/>
  <c r="AG7" i="25"/>
  <c r="AF7" i="25"/>
  <c r="AA7" i="25"/>
  <c r="AB7" i="25" s="1"/>
  <c r="Y7" i="25"/>
  <c r="W7" i="25"/>
  <c r="U7" i="25"/>
  <c r="R7" i="25"/>
  <c r="L7" i="25"/>
  <c r="K7" i="25"/>
  <c r="AY6" i="25"/>
  <c r="AX6" i="25"/>
  <c r="AK7" i="25" s="1"/>
  <c r="AW6" i="25"/>
  <c r="W23" i="23"/>
  <c r="AG23" i="23"/>
  <c r="AF23" i="23"/>
  <c r="AA23" i="23"/>
  <c r="B23" i="24" s="1"/>
  <c r="C23" i="24" s="1"/>
  <c r="Y23" i="23"/>
  <c r="U23" i="23"/>
  <c r="R23" i="23"/>
  <c r="L23" i="23"/>
  <c r="K23" i="23"/>
  <c r="AY22" i="23"/>
  <c r="AX22" i="23"/>
  <c r="AW22" i="23"/>
  <c r="AX494" i="1"/>
  <c r="AW494" i="1"/>
  <c r="AV494" i="1"/>
  <c r="Y495" i="1" s="1"/>
  <c r="AX492" i="1"/>
  <c r="AW492" i="1"/>
  <c r="AV492" i="1"/>
  <c r="AA495" i="1"/>
  <c r="AB495" i="1" s="1"/>
  <c r="AA493" i="1"/>
  <c r="AB493" i="1" s="1"/>
  <c r="AG495" i="1"/>
  <c r="AF495" i="1"/>
  <c r="AG493" i="1"/>
  <c r="AF493" i="1"/>
  <c r="Y493" i="1"/>
  <c r="W493" i="1"/>
  <c r="W495" i="1"/>
  <c r="U493" i="1"/>
  <c r="U495" i="1"/>
  <c r="R493" i="1"/>
  <c r="R495" i="1"/>
  <c r="L495" i="1"/>
  <c r="K495" i="1"/>
  <c r="L493" i="1"/>
  <c r="K493" i="1"/>
  <c r="AY226" i="1"/>
  <c r="AX226" i="1"/>
  <c r="AW226" i="1"/>
  <c r="AA227" i="1"/>
  <c r="AG227" i="1"/>
  <c r="AF227" i="1"/>
  <c r="AB227" i="1"/>
  <c r="Y227" i="1"/>
  <c r="W227" i="1"/>
  <c r="U227" i="1"/>
  <c r="L227" i="1"/>
  <c r="R227" i="1"/>
  <c r="K227" i="1"/>
  <c r="AC227" i="1" l="1"/>
  <c r="AD227" i="1" s="1"/>
  <c r="AJ495" i="1"/>
  <c r="AC495" i="1"/>
  <c r="AD495" i="1" s="1"/>
  <c r="AC493" i="1"/>
  <c r="AD493" i="1" s="1"/>
  <c r="AI227" i="1"/>
  <c r="AJ227" i="1"/>
  <c r="AE495" i="1"/>
  <c r="AK227" i="1"/>
  <c r="AE493" i="1"/>
  <c r="AI7" i="25"/>
  <c r="AC7" i="25"/>
  <c r="AD7" i="25" s="1"/>
  <c r="AK23" i="23"/>
  <c r="AE7" i="25"/>
  <c r="AJ7" i="25"/>
  <c r="AE23" i="23"/>
  <c r="AC23" i="23"/>
  <c r="AD23" i="23" s="1"/>
  <c r="AB23" i="23"/>
  <c r="AI23" i="23"/>
  <c r="AJ23" i="23"/>
  <c r="AI495" i="1"/>
  <c r="AK495" i="1"/>
  <c r="AI493" i="1"/>
  <c r="AJ493" i="1"/>
  <c r="AK493" i="1"/>
  <c r="AE227" i="1"/>
  <c r="X715" i="29"/>
  <c r="X333" i="23"/>
  <c r="X101" i="17"/>
  <c r="X185" i="11"/>
  <c r="AA1183" i="1" l="1"/>
  <c r="AA1181" i="1"/>
  <c r="AZ1182" i="1"/>
  <c r="AY1182" i="1"/>
  <c r="AX1182" i="1"/>
  <c r="AW1182" i="1"/>
  <c r="AV1182" i="1"/>
  <c r="AZ1180" i="1"/>
  <c r="AY1180" i="1"/>
  <c r="AX1180" i="1"/>
  <c r="AW1180" i="1"/>
  <c r="AV1180" i="1"/>
  <c r="A85" i="32" l="1"/>
  <c r="A83" i="32"/>
  <c r="A81" i="32"/>
  <c r="A79" i="32"/>
  <c r="AT85" i="31"/>
  <c r="AS85" i="31"/>
  <c r="AR85" i="31"/>
  <c r="AQ85" i="31"/>
  <c r="AP85" i="31"/>
  <c r="AO85" i="31"/>
  <c r="AN85" i="31"/>
  <c r="AM85" i="31"/>
  <c r="D85" i="32" s="1"/>
  <c r="AL85" i="31"/>
  <c r="AK85" i="31"/>
  <c r="AJ85" i="31"/>
  <c r="AI85" i="31"/>
  <c r="AG85" i="31"/>
  <c r="AF85" i="31"/>
  <c r="AC85" i="31"/>
  <c r="AD85" i="31" s="1"/>
  <c r="AA85" i="31"/>
  <c r="AB85" i="31" s="1"/>
  <c r="Y85" i="31"/>
  <c r="W85" i="31"/>
  <c r="U85" i="31"/>
  <c r="R85" i="31"/>
  <c r="L85" i="31"/>
  <c r="K85" i="31"/>
  <c r="AT83" i="31"/>
  <c r="AS83" i="31"/>
  <c r="AR83" i="31"/>
  <c r="AQ83" i="31"/>
  <c r="AP83" i="31"/>
  <c r="AO83" i="31"/>
  <c r="AN83" i="31"/>
  <c r="AM83" i="31"/>
  <c r="D83" i="32" s="1"/>
  <c r="AL83" i="31"/>
  <c r="AK83" i="31"/>
  <c r="AJ83" i="31"/>
  <c r="AI83" i="31"/>
  <c r="AG83" i="31"/>
  <c r="AF83" i="31"/>
  <c r="AC83" i="31"/>
  <c r="AD83" i="31" s="1"/>
  <c r="AA83" i="31"/>
  <c r="AB83" i="31" s="1"/>
  <c r="Y83" i="31"/>
  <c r="W83" i="31"/>
  <c r="U83" i="31"/>
  <c r="R83" i="31"/>
  <c r="L83" i="31"/>
  <c r="K83" i="31"/>
  <c r="AT81" i="31"/>
  <c r="AS81" i="31"/>
  <c r="AR81" i="31"/>
  <c r="AQ81" i="31"/>
  <c r="AP81" i="31"/>
  <c r="AO81" i="31"/>
  <c r="AN81" i="31"/>
  <c r="AM81" i="31"/>
  <c r="D81" i="32" s="1"/>
  <c r="AL81" i="31"/>
  <c r="AK81" i="31"/>
  <c r="AJ81" i="31"/>
  <c r="AI81" i="31"/>
  <c r="AG81" i="31"/>
  <c r="AF81" i="31"/>
  <c r="AC81" i="31"/>
  <c r="AD81" i="31" s="1"/>
  <c r="AA81" i="31"/>
  <c r="B81" i="32" s="1"/>
  <c r="C81" i="32" s="1"/>
  <c r="Y81" i="31"/>
  <c r="W81" i="31"/>
  <c r="U81" i="31"/>
  <c r="R81" i="31"/>
  <c r="L81" i="31"/>
  <c r="K81" i="31"/>
  <c r="AT79" i="31"/>
  <c r="AS79" i="31"/>
  <c r="AR79" i="31"/>
  <c r="AQ79" i="31"/>
  <c r="AP79" i="31"/>
  <c r="AO79" i="31"/>
  <c r="AN79" i="31"/>
  <c r="AM79" i="31"/>
  <c r="D79" i="32" s="1"/>
  <c r="AL79" i="31"/>
  <c r="AK79" i="31"/>
  <c r="AJ79" i="31"/>
  <c r="AI79" i="31"/>
  <c r="AG79" i="31"/>
  <c r="AF79" i="31"/>
  <c r="AC79" i="31"/>
  <c r="AD79" i="31" s="1"/>
  <c r="AA79" i="31"/>
  <c r="B79" i="32" s="1"/>
  <c r="C79" i="32" s="1"/>
  <c r="Y79" i="31"/>
  <c r="W79" i="31"/>
  <c r="U79" i="31"/>
  <c r="R79" i="31"/>
  <c r="L79" i="31"/>
  <c r="K79" i="31"/>
  <c r="AT77" i="31"/>
  <c r="AS77" i="31"/>
  <c r="AR77" i="31"/>
  <c r="AQ77" i="31"/>
  <c r="AP77" i="31"/>
  <c r="AO77" i="31"/>
  <c r="AN77" i="31"/>
  <c r="AM77" i="31"/>
  <c r="AL77" i="31"/>
  <c r="AK77" i="31"/>
  <c r="AJ77" i="31"/>
  <c r="AI77" i="31"/>
  <c r="AG77" i="31"/>
  <c r="AF77" i="31"/>
  <c r="AC77" i="31"/>
  <c r="AD77" i="31" s="1"/>
  <c r="AA77" i="31"/>
  <c r="Y77" i="31"/>
  <c r="W77" i="31"/>
  <c r="U77" i="31"/>
  <c r="R77" i="31"/>
  <c r="L77" i="31"/>
  <c r="K77" i="31"/>
  <c r="AT75" i="31"/>
  <c r="AS75" i="31"/>
  <c r="AR75" i="31"/>
  <c r="AQ75" i="31"/>
  <c r="AP75" i="31"/>
  <c r="AO75" i="31"/>
  <c r="AN75" i="31"/>
  <c r="AM75" i="31"/>
  <c r="AL75" i="31"/>
  <c r="AK75" i="31"/>
  <c r="AJ75" i="31"/>
  <c r="AI75" i="31"/>
  <c r="AG75" i="31"/>
  <c r="AF75" i="31"/>
  <c r="AC75" i="31"/>
  <c r="AD75" i="31" s="1"/>
  <c r="AA75" i="31"/>
  <c r="AB75" i="31" s="1"/>
  <c r="Y75" i="31"/>
  <c r="W75" i="31"/>
  <c r="U75" i="31"/>
  <c r="R75" i="31"/>
  <c r="L75" i="31"/>
  <c r="K75" i="31"/>
  <c r="AT73" i="31"/>
  <c r="AS73" i="31"/>
  <c r="AR73" i="31"/>
  <c r="AQ73" i="31"/>
  <c r="AP73" i="31"/>
  <c r="AO73" i="31"/>
  <c r="AN73" i="31"/>
  <c r="AM73" i="31"/>
  <c r="AL73" i="31"/>
  <c r="AK73" i="31"/>
  <c r="AJ73" i="31"/>
  <c r="AI73" i="31"/>
  <c r="AG73" i="31"/>
  <c r="AF73" i="31"/>
  <c r="AC73" i="31"/>
  <c r="AD73" i="31" s="1"/>
  <c r="AA73" i="31"/>
  <c r="Y73" i="31"/>
  <c r="W73" i="31"/>
  <c r="U73" i="31"/>
  <c r="R73" i="31"/>
  <c r="L73" i="31"/>
  <c r="K73" i="31"/>
  <c r="AT71" i="31"/>
  <c r="AS71" i="31"/>
  <c r="AR71" i="31"/>
  <c r="AQ71" i="31"/>
  <c r="AP71" i="31"/>
  <c r="AO71" i="31"/>
  <c r="AN71" i="31"/>
  <c r="AM71" i="31"/>
  <c r="AL71" i="31"/>
  <c r="AK71" i="31"/>
  <c r="AJ71" i="31"/>
  <c r="AI71" i="31"/>
  <c r="AG71" i="31"/>
  <c r="AF71" i="31"/>
  <c r="AC71" i="31"/>
  <c r="AD71" i="31" s="1"/>
  <c r="AA71" i="31"/>
  <c r="Y71" i="31"/>
  <c r="W71" i="31"/>
  <c r="U71" i="31"/>
  <c r="R71" i="31"/>
  <c r="L71" i="31"/>
  <c r="K71" i="31"/>
  <c r="A243" i="30"/>
  <c r="A241" i="30"/>
  <c r="A239" i="30"/>
  <c r="A237" i="30"/>
  <c r="AT243" i="29"/>
  <c r="AS243" i="29"/>
  <c r="AR243" i="29"/>
  <c r="AQ243" i="29"/>
  <c r="AP243" i="29"/>
  <c r="AO243" i="29"/>
  <c r="AN243" i="29"/>
  <c r="AM243" i="29"/>
  <c r="D243" i="30" s="1"/>
  <c r="AL243" i="29"/>
  <c r="AK243" i="29"/>
  <c r="AJ243" i="29"/>
  <c r="AI243" i="29"/>
  <c r="AG243" i="29"/>
  <c r="AF243" i="29"/>
  <c r="AC243" i="29"/>
  <c r="AD243" i="29" s="1"/>
  <c r="AA243" i="29"/>
  <c r="AB243" i="29" s="1"/>
  <c r="Y243" i="29"/>
  <c r="W243" i="29"/>
  <c r="U243" i="29"/>
  <c r="R243" i="29"/>
  <c r="L243" i="29"/>
  <c r="K243" i="29"/>
  <c r="AT241" i="29"/>
  <c r="AS241" i="29"/>
  <c r="AR241" i="29"/>
  <c r="AQ241" i="29"/>
  <c r="AP241" i="29"/>
  <c r="AO241" i="29"/>
  <c r="AN241" i="29"/>
  <c r="AM241" i="29"/>
  <c r="D241" i="30" s="1"/>
  <c r="AL241" i="29"/>
  <c r="AK241" i="29"/>
  <c r="AJ241" i="29"/>
  <c r="AI241" i="29"/>
  <c r="AG241" i="29"/>
  <c r="AF241" i="29"/>
  <c r="AC241" i="29"/>
  <c r="AD241" i="29" s="1"/>
  <c r="AA241" i="29"/>
  <c r="AB241" i="29" s="1"/>
  <c r="Y241" i="29"/>
  <c r="W241" i="29"/>
  <c r="U241" i="29"/>
  <c r="R241" i="29"/>
  <c r="L241" i="29"/>
  <c r="K241" i="29"/>
  <c r="AT239" i="29"/>
  <c r="AS239" i="29"/>
  <c r="AR239" i="29"/>
  <c r="AQ239" i="29"/>
  <c r="AP239" i="29"/>
  <c r="AO239" i="29"/>
  <c r="AN239" i="29"/>
  <c r="AM239" i="29"/>
  <c r="D239" i="30" s="1"/>
  <c r="AL239" i="29"/>
  <c r="AK239" i="29"/>
  <c r="AJ239" i="29"/>
  <c r="AI239" i="29"/>
  <c r="AG239" i="29"/>
  <c r="AF239" i="29"/>
  <c r="AC239" i="29"/>
  <c r="AD239" i="29" s="1"/>
  <c r="AA239" i="29"/>
  <c r="AB239" i="29" s="1"/>
  <c r="Y239" i="29"/>
  <c r="W239" i="29"/>
  <c r="U239" i="29"/>
  <c r="R239" i="29"/>
  <c r="L239" i="29"/>
  <c r="K239" i="29"/>
  <c r="AT237" i="29"/>
  <c r="AS237" i="29"/>
  <c r="AR237" i="29"/>
  <c r="AQ237" i="29"/>
  <c r="AP237" i="29"/>
  <c r="AO237" i="29"/>
  <c r="AN237" i="29"/>
  <c r="AM237" i="29"/>
  <c r="D237" i="30" s="1"/>
  <c r="AL237" i="29"/>
  <c r="AK237" i="29"/>
  <c r="AJ237" i="29"/>
  <c r="AI237" i="29"/>
  <c r="AG237" i="29"/>
  <c r="AF237" i="29"/>
  <c r="AC237" i="29"/>
  <c r="AD237" i="29" s="1"/>
  <c r="AA237" i="29"/>
  <c r="Y237" i="29"/>
  <c r="W237" i="29"/>
  <c r="U237" i="29"/>
  <c r="R237" i="29"/>
  <c r="L237" i="29"/>
  <c r="K237" i="29"/>
  <c r="AT235" i="29"/>
  <c r="AS235" i="29"/>
  <c r="AR235" i="29"/>
  <c r="AQ235" i="29"/>
  <c r="AP235" i="29"/>
  <c r="AO235" i="29"/>
  <c r="AN235" i="29"/>
  <c r="AM235" i="29"/>
  <c r="AL235" i="29"/>
  <c r="AK235" i="29"/>
  <c r="AJ235" i="29"/>
  <c r="AI235" i="29"/>
  <c r="AG235" i="29"/>
  <c r="AF235" i="29"/>
  <c r="AC235" i="29"/>
  <c r="AD235" i="29" s="1"/>
  <c r="AA235" i="29"/>
  <c r="AB235" i="29" s="1"/>
  <c r="Y235" i="29"/>
  <c r="W235" i="29"/>
  <c r="U235" i="29"/>
  <c r="R235" i="29"/>
  <c r="L235" i="29"/>
  <c r="K235" i="29"/>
  <c r="AT233" i="29"/>
  <c r="AS233" i="29"/>
  <c r="AR233" i="29"/>
  <c r="AQ233" i="29"/>
  <c r="AP233" i="29"/>
  <c r="AO233" i="29"/>
  <c r="AN233" i="29"/>
  <c r="AM233" i="29"/>
  <c r="AL233" i="29"/>
  <c r="AK233" i="29"/>
  <c r="AJ233" i="29"/>
  <c r="AI233" i="29"/>
  <c r="AG233" i="29"/>
  <c r="AF233" i="29"/>
  <c r="AC233" i="29"/>
  <c r="AD233" i="29" s="1"/>
  <c r="AA233" i="29"/>
  <c r="Y233" i="29"/>
  <c r="W233" i="29"/>
  <c r="U233" i="29"/>
  <c r="R233" i="29"/>
  <c r="L233" i="29"/>
  <c r="K233" i="29"/>
  <c r="AT231" i="29"/>
  <c r="AS231" i="29"/>
  <c r="AR231" i="29"/>
  <c r="AQ231" i="29"/>
  <c r="AP231" i="29"/>
  <c r="AO231" i="29"/>
  <c r="AN231" i="29"/>
  <c r="AM231" i="29"/>
  <c r="AL231" i="29"/>
  <c r="AK231" i="29"/>
  <c r="AJ231" i="29"/>
  <c r="AI231" i="29"/>
  <c r="AG231" i="29"/>
  <c r="AF231" i="29"/>
  <c r="AC231" i="29"/>
  <c r="AD231" i="29" s="1"/>
  <c r="AA231" i="29"/>
  <c r="Y231" i="29"/>
  <c r="W231" i="29"/>
  <c r="U231" i="29"/>
  <c r="R231" i="29"/>
  <c r="L231" i="29"/>
  <c r="K231" i="29"/>
  <c r="AT229" i="29"/>
  <c r="AS229" i="29"/>
  <c r="AR229" i="29"/>
  <c r="AQ229" i="29"/>
  <c r="AP229" i="29"/>
  <c r="AO229" i="29"/>
  <c r="AN229" i="29"/>
  <c r="AM229" i="29"/>
  <c r="AL229" i="29"/>
  <c r="AK229" i="29"/>
  <c r="AJ229" i="29"/>
  <c r="AI229" i="29"/>
  <c r="AG229" i="29"/>
  <c r="AF229" i="29"/>
  <c r="AC229" i="29"/>
  <c r="AD229" i="29" s="1"/>
  <c r="AA229" i="29"/>
  <c r="AB229" i="29" s="1"/>
  <c r="Y229" i="29"/>
  <c r="W229" i="29"/>
  <c r="U229" i="29"/>
  <c r="R229" i="29"/>
  <c r="L229" i="29"/>
  <c r="K229" i="29"/>
  <c r="AG393" i="1"/>
  <c r="AG391" i="1"/>
  <c r="AG389" i="1"/>
  <c r="AG387" i="1"/>
  <c r="AG385" i="1"/>
  <c r="AG383" i="1"/>
  <c r="AG381" i="1"/>
  <c r="AG379" i="1"/>
  <c r="AF393" i="1"/>
  <c r="AF391" i="1"/>
  <c r="AF389" i="1"/>
  <c r="AF387" i="1"/>
  <c r="AF385" i="1"/>
  <c r="AF383" i="1"/>
  <c r="AF381" i="1"/>
  <c r="AF379" i="1"/>
  <c r="Y393" i="1"/>
  <c r="Y391" i="1"/>
  <c r="Y389" i="1"/>
  <c r="Y387" i="1"/>
  <c r="Y385" i="1"/>
  <c r="Y383" i="1"/>
  <c r="Y381" i="1"/>
  <c r="Y379" i="1"/>
  <c r="AB81" i="31" l="1"/>
  <c r="AE71" i="31"/>
  <c r="AE81" i="31"/>
  <c r="AB71" i="31"/>
  <c r="AE79" i="31"/>
  <c r="AB79" i="31"/>
  <c r="B83" i="32"/>
  <c r="C83" i="32" s="1"/>
  <c r="AE73" i="31"/>
  <c r="AE83" i="31"/>
  <c r="AE85" i="31"/>
  <c r="AB73" i="31"/>
  <c r="B85" i="32"/>
  <c r="C85" i="32" s="1"/>
  <c r="AE77" i="31"/>
  <c r="AE237" i="29"/>
  <c r="AE231" i="29"/>
  <c r="AE229" i="29"/>
  <c r="B239" i="30"/>
  <c r="C239" i="30" s="1"/>
  <c r="B241" i="30"/>
  <c r="C241" i="30" s="1"/>
  <c r="AE235" i="29"/>
  <c r="B237" i="30"/>
  <c r="C237" i="30" s="1"/>
  <c r="AE239" i="29"/>
  <c r="AE241" i="29"/>
  <c r="B243" i="30"/>
  <c r="C243" i="30" s="1"/>
  <c r="AE233" i="29"/>
  <c r="AB77" i="31"/>
  <c r="AE75" i="31"/>
  <c r="AB231" i="29"/>
  <c r="AB233" i="29"/>
  <c r="AE243" i="29"/>
  <c r="AB237" i="29"/>
  <c r="D77" i="32"/>
  <c r="B77" i="32"/>
  <c r="C77" i="32" s="1"/>
  <c r="D75" i="32"/>
  <c r="B75" i="32"/>
  <c r="C75" i="32" s="1"/>
  <c r="D73" i="32"/>
  <c r="B73" i="32"/>
  <c r="C73" i="32" s="1"/>
  <c r="D71" i="32"/>
  <c r="B71" i="32"/>
  <c r="C71" i="32" s="1"/>
  <c r="B235" i="30"/>
  <c r="C235" i="30" s="1"/>
  <c r="B233" i="30"/>
  <c r="C233" i="30" s="1"/>
  <c r="B231" i="30"/>
  <c r="C231" i="30" s="1"/>
  <c r="B229" i="30"/>
  <c r="C229" i="30" s="1"/>
  <c r="R393" i="1"/>
  <c r="R391" i="1"/>
  <c r="R389" i="1"/>
  <c r="R387" i="1"/>
  <c r="R385" i="1"/>
  <c r="R383" i="1"/>
  <c r="R381" i="1"/>
  <c r="W393" i="1"/>
  <c r="U393" i="1"/>
  <c r="W391" i="1"/>
  <c r="U391" i="1"/>
  <c r="W389" i="1"/>
  <c r="U389" i="1"/>
  <c r="W387" i="1"/>
  <c r="U387" i="1"/>
  <c r="W385" i="1"/>
  <c r="U385" i="1"/>
  <c r="W383" i="1"/>
  <c r="U383" i="1"/>
  <c r="W381" i="1"/>
  <c r="U381" i="1"/>
  <c r="W379" i="1"/>
  <c r="U379" i="1"/>
  <c r="AA393" i="1"/>
  <c r="AB393" i="1" s="1"/>
  <c r="AA391" i="1"/>
  <c r="AB391" i="1" s="1"/>
  <c r="AA389" i="1"/>
  <c r="AB389" i="1" s="1"/>
  <c r="AA387" i="1"/>
  <c r="AB387" i="1" s="1"/>
  <c r="AA385" i="1"/>
  <c r="AB385" i="1" s="1"/>
  <c r="AA383" i="1"/>
  <c r="AB383" i="1" s="1"/>
  <c r="AA381" i="1"/>
  <c r="AB381" i="1" s="1"/>
  <c r="AA379" i="1"/>
  <c r="AB379" i="1" s="1"/>
  <c r="AE381" i="1" l="1"/>
  <c r="AE379" i="1"/>
  <c r="AE393" i="1"/>
  <c r="AK391" i="1"/>
  <c r="AE391" i="1"/>
  <c r="AE389" i="1"/>
  <c r="AE387" i="1"/>
  <c r="AE385" i="1"/>
  <c r="AI385" i="1"/>
  <c r="AE383" i="1"/>
  <c r="AI383" i="1"/>
  <c r="AJ383" i="1"/>
  <c r="AC379" i="1"/>
  <c r="AD379" i="1" s="1"/>
  <c r="AI379" i="1"/>
  <c r="AK379" i="1"/>
  <c r="AJ379" i="1" l="1"/>
  <c r="AJ393" i="1"/>
  <c r="AK393" i="1"/>
  <c r="AC393" i="1"/>
  <c r="AD393" i="1" s="1"/>
  <c r="AI393" i="1"/>
  <c r="AJ391" i="1"/>
  <c r="AI391" i="1"/>
  <c r="AC391" i="1"/>
  <c r="AD391" i="1" s="1"/>
  <c r="AJ385" i="1"/>
  <c r="AK385" i="1"/>
  <c r="AC385" i="1"/>
  <c r="AD385" i="1" s="1"/>
  <c r="AC383" i="1"/>
  <c r="AD383" i="1" s="1"/>
  <c r="AK383" i="1"/>
  <c r="AK381" i="1"/>
  <c r="AI381" i="1"/>
  <c r="AJ381" i="1"/>
  <c r="AC381" i="1"/>
  <c r="AD381" i="1" s="1"/>
  <c r="AI389" i="1" l="1"/>
  <c r="AJ389" i="1"/>
  <c r="AK389" i="1"/>
  <c r="AC389" i="1"/>
  <c r="AD389" i="1" s="1"/>
  <c r="AK387" i="1" l="1"/>
  <c r="AJ387" i="1"/>
  <c r="AC387" i="1"/>
  <c r="AD387" i="1" s="1"/>
  <c r="AI387" i="1" l="1"/>
  <c r="L393" i="1"/>
  <c r="L391" i="1"/>
  <c r="L389" i="1"/>
  <c r="L387" i="1"/>
  <c r="L385" i="1"/>
  <c r="L383" i="1"/>
  <c r="L381" i="1"/>
  <c r="K393" i="1"/>
  <c r="K391" i="1"/>
  <c r="K389" i="1"/>
  <c r="K387" i="1"/>
  <c r="K385" i="1"/>
  <c r="K383" i="1"/>
  <c r="K381" i="1"/>
  <c r="A413" i="34"/>
  <c r="A411" i="34"/>
  <c r="A409" i="34"/>
  <c r="A407" i="34"/>
  <c r="A405" i="34"/>
  <c r="B403" i="34"/>
  <c r="C403" i="34" s="1"/>
  <c r="A403" i="34"/>
  <c r="A401" i="34"/>
  <c r="A399" i="34"/>
  <c r="A397" i="34"/>
  <c r="A395" i="34"/>
  <c r="A393" i="34"/>
  <c r="A391" i="34"/>
  <c r="B389" i="34"/>
  <c r="C389" i="34" s="1"/>
  <c r="A389" i="34"/>
  <c r="B387" i="34"/>
  <c r="C387" i="34" s="1"/>
  <c r="A387" i="34"/>
  <c r="A385" i="34"/>
  <c r="A383" i="34"/>
  <c r="A381" i="34"/>
  <c r="A379" i="34"/>
  <c r="A377" i="34"/>
  <c r="A375" i="34"/>
  <c r="A373" i="34"/>
  <c r="A371" i="34"/>
  <c r="B369" i="34"/>
  <c r="C369" i="34" s="1"/>
  <c r="A369" i="34"/>
  <c r="A363" i="34"/>
  <c r="A361" i="34"/>
  <c r="A359" i="34"/>
  <c r="A357" i="34"/>
  <c r="A355" i="34"/>
  <c r="A353" i="34"/>
  <c r="A351" i="34"/>
  <c r="A349" i="34"/>
  <c r="A347" i="34"/>
  <c r="A345" i="34"/>
  <c r="A343" i="34"/>
  <c r="B341" i="34"/>
  <c r="C341" i="34" s="1"/>
  <c r="A341" i="34"/>
  <c r="B339" i="34"/>
  <c r="C339" i="34" s="1"/>
  <c r="A339" i="34"/>
  <c r="A337" i="34"/>
  <c r="A335" i="34"/>
  <c r="A333" i="34"/>
  <c r="A331" i="34"/>
  <c r="A329" i="34"/>
  <c r="A327" i="34"/>
  <c r="A325" i="34"/>
  <c r="A323" i="34"/>
  <c r="A321" i="34"/>
  <c r="A319" i="34"/>
  <c r="A317" i="34"/>
  <c r="A315" i="34"/>
  <c r="A313" i="34"/>
  <c r="A311" i="34"/>
  <c r="A309" i="34"/>
  <c r="B307" i="34"/>
  <c r="C307" i="34" s="1"/>
  <c r="A307" i="34"/>
  <c r="A305" i="34"/>
  <c r="A303" i="34"/>
  <c r="A301" i="34"/>
  <c r="A299" i="34"/>
  <c r="A297" i="34"/>
  <c r="B293" i="34"/>
  <c r="C293" i="34" s="1"/>
  <c r="A293" i="34"/>
  <c r="B291" i="34"/>
  <c r="C291" i="34" s="1"/>
  <c r="A291" i="34"/>
  <c r="A289" i="34"/>
  <c r="B287" i="34"/>
  <c r="C287" i="34" s="1"/>
  <c r="A287" i="34"/>
  <c r="A285" i="34"/>
  <c r="A283" i="34"/>
  <c r="A279" i="34"/>
  <c r="A277" i="34"/>
  <c r="A275" i="34"/>
  <c r="A273" i="34"/>
  <c r="A271" i="34"/>
  <c r="A269" i="34"/>
  <c r="A267" i="34"/>
  <c r="A265" i="34"/>
  <c r="A263" i="34"/>
  <c r="A261" i="34"/>
  <c r="A259" i="34"/>
  <c r="A251" i="34"/>
  <c r="B245" i="34"/>
  <c r="C245" i="34" s="1"/>
  <c r="A245" i="34"/>
  <c r="B243" i="34"/>
  <c r="C243" i="34" s="1"/>
  <c r="A243" i="34"/>
  <c r="B241" i="34"/>
  <c r="C241" i="34" s="1"/>
  <c r="A241" i="34"/>
  <c r="A239" i="34"/>
  <c r="A237" i="34"/>
  <c r="A235" i="34"/>
  <c r="A233" i="34"/>
  <c r="A231" i="34"/>
  <c r="A219" i="34"/>
  <c r="A217" i="34"/>
  <c r="A215" i="34"/>
  <c r="B211" i="34"/>
  <c r="C211" i="34" s="1"/>
  <c r="A211" i="34"/>
  <c r="A209" i="34"/>
  <c r="A207" i="34"/>
  <c r="A205" i="34"/>
  <c r="A203" i="34"/>
  <c r="A201" i="34"/>
  <c r="A199" i="34"/>
  <c r="A197" i="34"/>
  <c r="A195" i="34"/>
  <c r="A193" i="34"/>
  <c r="B191" i="34"/>
  <c r="C191" i="34" s="1"/>
  <c r="A191" i="34"/>
  <c r="A189" i="34"/>
  <c r="A187" i="34"/>
  <c r="B185" i="34"/>
  <c r="C185" i="34" s="1"/>
  <c r="A185" i="34"/>
  <c r="B183" i="34"/>
  <c r="C183" i="34" s="1"/>
  <c r="A183" i="34"/>
  <c r="B181" i="34"/>
  <c r="C181" i="34" s="1"/>
  <c r="A181" i="34"/>
  <c r="B179" i="34"/>
  <c r="C179" i="34" s="1"/>
  <c r="A179" i="34"/>
  <c r="B177" i="34"/>
  <c r="C177" i="34" s="1"/>
  <c r="A177" i="34"/>
  <c r="A173" i="34"/>
  <c r="B171" i="34"/>
  <c r="C171" i="34" s="1"/>
  <c r="A171" i="34"/>
  <c r="B169" i="34"/>
  <c r="C169" i="34" s="1"/>
  <c r="A169" i="34"/>
  <c r="B167" i="34"/>
  <c r="C167" i="34" s="1"/>
  <c r="A167" i="34"/>
  <c r="B165" i="34"/>
  <c r="C165" i="34" s="1"/>
  <c r="A165" i="34"/>
  <c r="B163" i="34"/>
  <c r="C163" i="34" s="1"/>
  <c r="A163" i="34"/>
  <c r="B161" i="34"/>
  <c r="C161" i="34" s="1"/>
  <c r="A161" i="34"/>
  <c r="B153" i="34"/>
  <c r="C153" i="34" s="1"/>
  <c r="A153" i="34"/>
  <c r="B151" i="34"/>
  <c r="C151" i="34" s="1"/>
  <c r="A151" i="34"/>
  <c r="B149" i="34"/>
  <c r="C149" i="34" s="1"/>
  <c r="A149" i="34"/>
  <c r="A147" i="34"/>
  <c r="A145" i="34"/>
  <c r="A143" i="34"/>
  <c r="A141" i="34"/>
  <c r="A139" i="34"/>
  <c r="A137" i="34"/>
  <c r="A135" i="34"/>
  <c r="A133" i="34"/>
  <c r="A131" i="34"/>
  <c r="A129" i="34"/>
  <c r="A127" i="34"/>
  <c r="B125" i="34"/>
  <c r="C125" i="34" s="1"/>
  <c r="A125" i="34"/>
  <c r="B123" i="34"/>
  <c r="C123" i="34" s="1"/>
  <c r="A123" i="34"/>
  <c r="B121" i="34"/>
  <c r="C121" i="34" s="1"/>
  <c r="A121" i="34"/>
  <c r="B119" i="34"/>
  <c r="C119" i="34" s="1"/>
  <c r="A119" i="34"/>
  <c r="B117" i="34"/>
  <c r="C117" i="34" s="1"/>
  <c r="A117" i="34"/>
  <c r="B115" i="34"/>
  <c r="C115" i="34" s="1"/>
  <c r="A115" i="34"/>
  <c r="B113" i="34"/>
  <c r="C113" i="34" s="1"/>
  <c r="A113" i="34"/>
  <c r="B111" i="34"/>
  <c r="C111" i="34" s="1"/>
  <c r="A111" i="34"/>
  <c r="B109" i="34"/>
  <c r="C109" i="34" s="1"/>
  <c r="A109" i="34"/>
  <c r="B107" i="34"/>
  <c r="C107" i="34" s="1"/>
  <c r="A107" i="34"/>
  <c r="A105" i="34"/>
  <c r="A103" i="34"/>
  <c r="A101" i="34"/>
  <c r="A99" i="34"/>
  <c r="A97" i="34"/>
  <c r="A95" i="34"/>
  <c r="B89" i="34"/>
  <c r="C89" i="34" s="1"/>
  <c r="A89" i="34"/>
  <c r="B87" i="34"/>
  <c r="C87" i="34" s="1"/>
  <c r="A87" i="34"/>
  <c r="B85" i="34"/>
  <c r="C85" i="34" s="1"/>
  <c r="A85" i="34"/>
  <c r="B83" i="34"/>
  <c r="C83" i="34" s="1"/>
  <c r="A83" i="34"/>
  <c r="B81" i="34"/>
  <c r="C81" i="34" s="1"/>
  <c r="A81" i="34"/>
  <c r="B79" i="34"/>
  <c r="C79" i="34" s="1"/>
  <c r="A79" i="34"/>
  <c r="B77" i="34"/>
  <c r="C77" i="34" s="1"/>
  <c r="A77" i="34"/>
  <c r="B75" i="34"/>
  <c r="C75" i="34" s="1"/>
  <c r="A75" i="34"/>
  <c r="B73" i="34"/>
  <c r="C73" i="34" s="1"/>
  <c r="A73" i="34"/>
  <c r="A69" i="34"/>
  <c r="A67" i="34"/>
  <c r="A65" i="34"/>
  <c r="A63" i="34"/>
  <c r="A61" i="34"/>
  <c r="A59" i="34"/>
  <c r="A57" i="34"/>
  <c r="B55" i="34"/>
  <c r="C55" i="34" s="1"/>
  <c r="A55" i="34"/>
  <c r="B53" i="34"/>
  <c r="C53" i="34" s="1"/>
  <c r="A53" i="34"/>
  <c r="B51" i="34"/>
  <c r="C51" i="34" s="1"/>
  <c r="A51" i="34"/>
  <c r="B49" i="34"/>
  <c r="C49" i="34" s="1"/>
  <c r="A49" i="34"/>
  <c r="B47" i="34"/>
  <c r="C47" i="34" s="1"/>
  <c r="A47" i="34"/>
  <c r="B45" i="34"/>
  <c r="C45" i="34" s="1"/>
  <c r="A45" i="34"/>
  <c r="B43" i="34"/>
  <c r="C43" i="34" s="1"/>
  <c r="A43" i="34"/>
  <c r="B41" i="34"/>
  <c r="C41" i="34" s="1"/>
  <c r="A41" i="34"/>
  <c r="B39" i="34"/>
  <c r="C39" i="34" s="1"/>
  <c r="A39" i="34"/>
  <c r="B37" i="34"/>
  <c r="C37" i="34" s="1"/>
  <c r="A37" i="34"/>
  <c r="B35" i="34"/>
  <c r="C35" i="34" s="1"/>
  <c r="A35" i="34"/>
  <c r="B33" i="34"/>
  <c r="C33" i="34" s="1"/>
  <c r="A33" i="34"/>
  <c r="B31" i="34"/>
  <c r="C31" i="34" s="1"/>
  <c r="A31" i="34"/>
  <c r="B29" i="34"/>
  <c r="C29" i="34" s="1"/>
  <c r="A29" i="34"/>
  <c r="B27" i="34"/>
  <c r="C27" i="34" s="1"/>
  <c r="A27" i="34"/>
  <c r="B25" i="34"/>
  <c r="C25" i="34" s="1"/>
  <c r="A25" i="34"/>
  <c r="B23" i="34"/>
  <c r="C23" i="34" s="1"/>
  <c r="A23" i="34"/>
  <c r="B21" i="34"/>
  <c r="C21" i="34" s="1"/>
  <c r="A21" i="34"/>
  <c r="B19" i="34"/>
  <c r="C19" i="34" s="1"/>
  <c r="A19" i="34"/>
  <c r="B17" i="34"/>
  <c r="C17" i="34" s="1"/>
  <c r="A17" i="34"/>
  <c r="B15" i="34"/>
  <c r="C15" i="34" s="1"/>
  <c r="A15" i="34"/>
  <c r="A13" i="34"/>
  <c r="A11" i="34"/>
  <c r="A9" i="34"/>
  <c r="A7" i="34"/>
  <c r="A5" i="34"/>
  <c r="A3" i="34"/>
  <c r="AG415" i="33"/>
  <c r="AF415" i="33"/>
  <c r="AA415" i="33"/>
  <c r="B413" i="34" s="1"/>
  <c r="C413" i="34" s="1"/>
  <c r="W415" i="33"/>
  <c r="U415" i="33"/>
  <c r="R415" i="33"/>
  <c r="L415" i="33"/>
  <c r="K415" i="33"/>
  <c r="AZ414" i="33"/>
  <c r="AY414" i="33"/>
  <c r="AX414" i="33"/>
  <c r="AW414" i="33"/>
  <c r="AV414" i="33"/>
  <c r="Y415" i="33" s="1"/>
  <c r="AT413" i="33"/>
  <c r="AS413" i="33"/>
  <c r="AR413" i="33"/>
  <c r="AQ413" i="33"/>
  <c r="AP413" i="33"/>
  <c r="AO413" i="33"/>
  <c r="AN413" i="33"/>
  <c r="AM413" i="33"/>
  <c r="D411" i="34" s="1"/>
  <c r="AL413" i="33"/>
  <c r="AK413" i="33"/>
  <c r="AJ413" i="33"/>
  <c r="AI413" i="33"/>
  <c r="AG413" i="33"/>
  <c r="AF413" i="33"/>
  <c r="AC413" i="33"/>
  <c r="AD413" i="33" s="1"/>
  <c r="AA413" i="33"/>
  <c r="B411" i="34" s="1"/>
  <c r="C411" i="34" s="1"/>
  <c r="Y413" i="33"/>
  <c r="W413" i="33"/>
  <c r="U413" i="33"/>
  <c r="R413" i="33"/>
  <c r="L413" i="33"/>
  <c r="K413" i="33"/>
  <c r="AT411" i="33"/>
  <c r="AS411" i="33"/>
  <c r="AR411" i="33"/>
  <c r="AQ411" i="33"/>
  <c r="AP411" i="33"/>
  <c r="AO411" i="33"/>
  <c r="AN411" i="33"/>
  <c r="AM411" i="33"/>
  <c r="D409" i="34" s="1"/>
  <c r="AL411" i="33"/>
  <c r="AK411" i="33"/>
  <c r="AJ411" i="33"/>
  <c r="AI411" i="33"/>
  <c r="AG411" i="33"/>
  <c r="AF411" i="33"/>
  <c r="AC411" i="33"/>
  <c r="AD411" i="33" s="1"/>
  <c r="AA411" i="33"/>
  <c r="AB411" i="33" s="1"/>
  <c r="Y411" i="33"/>
  <c r="W411" i="33"/>
  <c r="U411" i="33"/>
  <c r="R411" i="33"/>
  <c r="L411" i="33"/>
  <c r="K411" i="33"/>
  <c r="AT409" i="33"/>
  <c r="AS409" i="33"/>
  <c r="AR409" i="33"/>
  <c r="AQ409" i="33"/>
  <c r="AP409" i="33"/>
  <c r="AO409" i="33"/>
  <c r="AN409" i="33"/>
  <c r="AM434" i="33"/>
  <c r="E407" i="34" s="1"/>
  <c r="AL409" i="33"/>
  <c r="AK409" i="33"/>
  <c r="AJ409" i="33"/>
  <c r="AI409" i="33"/>
  <c r="AG409" i="33"/>
  <c r="AF409" i="33"/>
  <c r="AC409" i="33"/>
  <c r="AD409" i="33" s="1"/>
  <c r="AA409" i="33"/>
  <c r="AB409" i="33" s="1"/>
  <c r="Y409" i="33"/>
  <c r="W409" i="33"/>
  <c r="U409" i="33"/>
  <c r="R409" i="33"/>
  <c r="L409" i="33"/>
  <c r="K409" i="33"/>
  <c r="AT407" i="33"/>
  <c r="AS407" i="33"/>
  <c r="AR407" i="33"/>
  <c r="AQ407" i="33"/>
  <c r="AP407" i="33"/>
  <c r="AO407" i="33"/>
  <c r="AN407" i="33"/>
  <c r="AM407" i="33"/>
  <c r="D405" i="34" s="1"/>
  <c r="AL407" i="33"/>
  <c r="AK407" i="33"/>
  <c r="AJ407" i="33"/>
  <c r="AI407" i="33"/>
  <c r="AG407" i="33"/>
  <c r="AF407" i="33"/>
  <c r="AC407" i="33"/>
  <c r="AD407" i="33" s="1"/>
  <c r="AA407" i="33"/>
  <c r="B405" i="34" s="1"/>
  <c r="C405" i="34" s="1"/>
  <c r="Y407" i="33"/>
  <c r="W407" i="33"/>
  <c r="U407" i="33"/>
  <c r="R407" i="33"/>
  <c r="L407" i="33"/>
  <c r="K407" i="33"/>
  <c r="AG405" i="33"/>
  <c r="AF405" i="33"/>
  <c r="AB405" i="33"/>
  <c r="Y405" i="33"/>
  <c r="AE405" i="33" s="1"/>
  <c r="W405" i="33"/>
  <c r="U405" i="33"/>
  <c r="R405" i="33"/>
  <c r="L405" i="33"/>
  <c r="K405" i="33"/>
  <c r="AX404" i="33"/>
  <c r="AW404" i="33"/>
  <c r="AT403" i="33"/>
  <c r="AS403" i="33"/>
  <c r="AR403" i="33"/>
  <c r="AQ403" i="33"/>
  <c r="AP403" i="33"/>
  <c r="AO403" i="33"/>
  <c r="AN403" i="33"/>
  <c r="AM403" i="33"/>
  <c r="D401" i="34" s="1"/>
  <c r="AL403" i="33"/>
  <c r="AK403" i="33"/>
  <c r="AJ403" i="33"/>
  <c r="AI403" i="33"/>
  <c r="AG403" i="33"/>
  <c r="AF403" i="33"/>
  <c r="AC403" i="33"/>
  <c r="AD403" i="33" s="1"/>
  <c r="AA403" i="33"/>
  <c r="AB403" i="33" s="1"/>
  <c r="Y403" i="33"/>
  <c r="W403" i="33"/>
  <c r="U403" i="33"/>
  <c r="R403" i="33"/>
  <c r="L403" i="33"/>
  <c r="K403" i="33"/>
  <c r="AT401" i="33"/>
  <c r="AS401" i="33"/>
  <c r="AR401" i="33"/>
  <c r="AQ401" i="33"/>
  <c r="AP401" i="33"/>
  <c r="AO401" i="33"/>
  <c r="AN401" i="33"/>
  <c r="AM401" i="33"/>
  <c r="D399" i="34" s="1"/>
  <c r="AL401" i="33"/>
  <c r="AK401" i="33"/>
  <c r="AJ401" i="33"/>
  <c r="AI401" i="33"/>
  <c r="AG401" i="33"/>
  <c r="AF401" i="33"/>
  <c r="AC401" i="33"/>
  <c r="AD401" i="33" s="1"/>
  <c r="AA401" i="33"/>
  <c r="AB401" i="33" s="1"/>
  <c r="Y401" i="33"/>
  <c r="W401" i="33"/>
  <c r="U401" i="33"/>
  <c r="R401" i="33"/>
  <c r="L401" i="33"/>
  <c r="K401" i="33"/>
  <c r="AT399" i="33"/>
  <c r="AS399" i="33"/>
  <c r="AR399" i="33"/>
  <c r="AQ399" i="33"/>
  <c r="AP399" i="33"/>
  <c r="AO399" i="33"/>
  <c r="AN399" i="33"/>
  <c r="AM399" i="33"/>
  <c r="D397" i="34" s="1"/>
  <c r="AL399" i="33"/>
  <c r="AK399" i="33"/>
  <c r="AJ399" i="33"/>
  <c r="AI399" i="33"/>
  <c r="AG399" i="33"/>
  <c r="AF399" i="33"/>
  <c r="AC399" i="33"/>
  <c r="AD399" i="33" s="1"/>
  <c r="AA399" i="33"/>
  <c r="AB399" i="33" s="1"/>
  <c r="Y399" i="33"/>
  <c r="W399" i="33"/>
  <c r="U399" i="33"/>
  <c r="R399" i="33"/>
  <c r="L399" i="33"/>
  <c r="K399" i="33"/>
  <c r="AT397" i="33"/>
  <c r="AS397" i="33"/>
  <c r="AR397" i="33"/>
  <c r="AQ397" i="33"/>
  <c r="AP397" i="33"/>
  <c r="AO397" i="33"/>
  <c r="AN397" i="33"/>
  <c r="AM397" i="33"/>
  <c r="D395" i="34" s="1"/>
  <c r="AL397" i="33"/>
  <c r="AK397" i="33"/>
  <c r="AJ397" i="33"/>
  <c r="AI397" i="33"/>
  <c r="AG397" i="33"/>
  <c r="AF397" i="33"/>
  <c r="AC397" i="33"/>
  <c r="AD397" i="33" s="1"/>
  <c r="AA397" i="33"/>
  <c r="AB397" i="33" s="1"/>
  <c r="Y397" i="33"/>
  <c r="W397" i="33"/>
  <c r="U397" i="33"/>
  <c r="R397" i="33"/>
  <c r="L397" i="33"/>
  <c r="K397" i="33"/>
  <c r="AT395" i="33"/>
  <c r="AS395" i="33"/>
  <c r="AR395" i="33"/>
  <c r="AQ395" i="33"/>
  <c r="AP395" i="33"/>
  <c r="AO395" i="33"/>
  <c r="AN395" i="33"/>
  <c r="AM395" i="33"/>
  <c r="D393" i="34" s="1"/>
  <c r="AL395" i="33"/>
  <c r="AK395" i="33"/>
  <c r="AJ395" i="33"/>
  <c r="AI395" i="33"/>
  <c r="AG395" i="33"/>
  <c r="AF395" i="33"/>
  <c r="AC395" i="33"/>
  <c r="AD395" i="33" s="1"/>
  <c r="AA395" i="33"/>
  <c r="AB395" i="33" s="1"/>
  <c r="Y395" i="33"/>
  <c r="W395" i="33"/>
  <c r="U395" i="33"/>
  <c r="R395" i="33"/>
  <c r="L395" i="33"/>
  <c r="K395" i="33"/>
  <c r="AT393" i="33"/>
  <c r="AS393" i="33"/>
  <c r="AR393" i="33"/>
  <c r="AQ393" i="33"/>
  <c r="AP393" i="33"/>
  <c r="AO393" i="33"/>
  <c r="AN393" i="33"/>
  <c r="AM393" i="33"/>
  <c r="AL393" i="33"/>
  <c r="AK393" i="33"/>
  <c r="AJ393" i="33"/>
  <c r="AI393" i="33"/>
  <c r="AG393" i="33"/>
  <c r="AF393" i="33"/>
  <c r="AC393" i="33"/>
  <c r="AD393" i="33" s="1"/>
  <c r="AA393" i="33"/>
  <c r="B391" i="34" s="1"/>
  <c r="C391" i="34" s="1"/>
  <c r="Y393" i="33"/>
  <c r="W393" i="33"/>
  <c r="U393" i="33"/>
  <c r="R393" i="33"/>
  <c r="L393" i="33"/>
  <c r="K393" i="33"/>
  <c r="AZ391" i="33"/>
  <c r="AY391" i="33"/>
  <c r="AX391" i="33"/>
  <c r="AW391" i="33"/>
  <c r="AV391" i="33"/>
  <c r="AB391" i="33"/>
  <c r="Y391" i="33"/>
  <c r="AE391" i="33" s="1"/>
  <c r="W391" i="33"/>
  <c r="U391" i="33"/>
  <c r="R391" i="33"/>
  <c r="L391" i="33"/>
  <c r="K391" i="33"/>
  <c r="AZ390" i="33"/>
  <c r="AY390" i="33"/>
  <c r="AX390" i="33"/>
  <c r="AW390" i="33"/>
  <c r="AZ389" i="33"/>
  <c r="AY389" i="33"/>
  <c r="AX389" i="33"/>
  <c r="AW389" i="33"/>
  <c r="AV389" i="33"/>
  <c r="AB389" i="33"/>
  <c r="Y389" i="33"/>
  <c r="AE389" i="33" s="1"/>
  <c r="W389" i="33"/>
  <c r="U389" i="33"/>
  <c r="R389" i="33"/>
  <c r="L389" i="33"/>
  <c r="K389" i="33"/>
  <c r="AZ388" i="33"/>
  <c r="AY388" i="33"/>
  <c r="AX388" i="33"/>
  <c r="AW388" i="33"/>
  <c r="AT387" i="33"/>
  <c r="AS387" i="33"/>
  <c r="AR387" i="33"/>
  <c r="AQ387" i="33"/>
  <c r="AP387" i="33"/>
  <c r="AO387" i="33"/>
  <c r="AN387" i="33"/>
  <c r="AM387" i="33"/>
  <c r="D385" i="34" s="1"/>
  <c r="AL387" i="33"/>
  <c r="AK387" i="33"/>
  <c r="AJ387" i="33"/>
  <c r="AI387" i="33"/>
  <c r="AG387" i="33"/>
  <c r="AF387" i="33"/>
  <c r="AC387" i="33"/>
  <c r="AD387" i="33" s="1"/>
  <c r="AA387" i="33"/>
  <c r="B385" i="34" s="1"/>
  <c r="C385" i="34" s="1"/>
  <c r="Y387" i="33"/>
  <c r="W387" i="33"/>
  <c r="U387" i="33"/>
  <c r="R387" i="33"/>
  <c r="L387" i="33"/>
  <c r="K387" i="33"/>
  <c r="AT385" i="33"/>
  <c r="AS385" i="33"/>
  <c r="AR385" i="33"/>
  <c r="AQ385" i="33"/>
  <c r="AP385" i="33"/>
  <c r="AO385" i="33"/>
  <c r="AN385" i="33"/>
  <c r="AM433" i="33"/>
  <c r="E383" i="34" s="1"/>
  <c r="AL385" i="33"/>
  <c r="AK385" i="33"/>
  <c r="AJ385" i="33"/>
  <c r="AI385" i="33"/>
  <c r="AG385" i="33"/>
  <c r="AF385" i="33"/>
  <c r="AC385" i="33"/>
  <c r="AD385" i="33" s="1"/>
  <c r="AA385" i="33"/>
  <c r="B383" i="34" s="1"/>
  <c r="C383" i="34" s="1"/>
  <c r="Y385" i="33"/>
  <c r="W385" i="33"/>
  <c r="U385" i="33"/>
  <c r="R385" i="33"/>
  <c r="L385" i="33"/>
  <c r="K385" i="33"/>
  <c r="AT383" i="33"/>
  <c r="AS383" i="33"/>
  <c r="AR383" i="33"/>
  <c r="AQ383" i="33"/>
  <c r="AP383" i="33"/>
  <c r="AO383" i="33"/>
  <c r="AN383" i="33"/>
  <c r="AM383" i="33"/>
  <c r="D381" i="34" s="1"/>
  <c r="AL383" i="33"/>
  <c r="AK383" i="33"/>
  <c r="AJ383" i="33"/>
  <c r="AI383" i="33"/>
  <c r="AG383" i="33"/>
  <c r="AF383" i="33"/>
  <c r="AC383" i="33"/>
  <c r="AD383" i="33" s="1"/>
  <c r="AA383" i="33"/>
  <c r="AB383" i="33" s="1"/>
  <c r="Y383" i="33"/>
  <c r="W383" i="33"/>
  <c r="U383" i="33"/>
  <c r="R383" i="33"/>
  <c r="L383" i="33"/>
  <c r="K383" i="33"/>
  <c r="AT381" i="33"/>
  <c r="AS381" i="33"/>
  <c r="AR381" i="33"/>
  <c r="AQ381" i="33"/>
  <c r="AP381" i="33"/>
  <c r="AO381" i="33"/>
  <c r="AN381" i="33"/>
  <c r="AM381" i="33"/>
  <c r="D379" i="34" s="1"/>
  <c r="AL381" i="33"/>
  <c r="AK381" i="33"/>
  <c r="AJ381" i="33"/>
  <c r="AI381" i="33"/>
  <c r="AG381" i="33"/>
  <c r="AF381" i="33"/>
  <c r="AC381" i="33"/>
  <c r="AD381" i="33" s="1"/>
  <c r="AA381" i="33"/>
  <c r="AB381" i="33" s="1"/>
  <c r="Y381" i="33"/>
  <c r="W381" i="33"/>
  <c r="U381" i="33"/>
  <c r="R381" i="33"/>
  <c r="L381" i="33"/>
  <c r="K381" i="33"/>
  <c r="AT379" i="33"/>
  <c r="AS379" i="33"/>
  <c r="AR379" i="33"/>
  <c r="AQ379" i="33"/>
  <c r="AP379" i="33"/>
  <c r="AO379" i="33"/>
  <c r="AN379" i="33"/>
  <c r="AM379" i="33"/>
  <c r="D377" i="34" s="1"/>
  <c r="AL379" i="33"/>
  <c r="AK379" i="33"/>
  <c r="AJ379" i="33"/>
  <c r="AI379" i="33"/>
  <c r="AG379" i="33"/>
  <c r="AF379" i="33"/>
  <c r="AC379" i="33"/>
  <c r="AD379" i="33" s="1"/>
  <c r="AA379" i="33"/>
  <c r="AB379" i="33" s="1"/>
  <c r="Y379" i="33"/>
  <c r="W379" i="33"/>
  <c r="U379" i="33"/>
  <c r="R379" i="33"/>
  <c r="L379" i="33"/>
  <c r="K379" i="33"/>
  <c r="AT377" i="33"/>
  <c r="AS377" i="33"/>
  <c r="AR377" i="33"/>
  <c r="AQ377" i="33"/>
  <c r="AP377" i="33"/>
  <c r="AO377" i="33"/>
  <c r="AN377" i="33"/>
  <c r="AM377" i="33"/>
  <c r="D375" i="34" s="1"/>
  <c r="AL377" i="33"/>
  <c r="AK377" i="33"/>
  <c r="AJ377" i="33"/>
  <c r="AI377" i="33"/>
  <c r="AG377" i="33"/>
  <c r="AF377" i="33"/>
  <c r="AC377" i="33"/>
  <c r="AD377" i="33" s="1"/>
  <c r="AA377" i="33"/>
  <c r="AB377" i="33" s="1"/>
  <c r="Y377" i="33"/>
  <c r="W377" i="33"/>
  <c r="U377" i="33"/>
  <c r="R377" i="33"/>
  <c r="L377" i="33"/>
  <c r="K377" i="33"/>
  <c r="AT375" i="33"/>
  <c r="AS375" i="33"/>
  <c r="AR375" i="33"/>
  <c r="AQ375" i="33"/>
  <c r="AP375" i="33"/>
  <c r="AO375" i="33"/>
  <c r="AN375" i="33"/>
  <c r="AM375" i="33"/>
  <c r="D373" i="34" s="1"/>
  <c r="AL375" i="33"/>
  <c r="AK375" i="33"/>
  <c r="AJ375" i="33"/>
  <c r="AI375" i="33"/>
  <c r="AG375" i="33"/>
  <c r="AF375" i="33"/>
  <c r="AC375" i="33"/>
  <c r="AD375" i="33" s="1"/>
  <c r="AA375" i="33"/>
  <c r="AB375" i="33" s="1"/>
  <c r="Y375" i="33"/>
  <c r="W375" i="33"/>
  <c r="U375" i="33"/>
  <c r="R375" i="33"/>
  <c r="L375" i="33"/>
  <c r="K375" i="33"/>
  <c r="AT373" i="33"/>
  <c r="AS373" i="33"/>
  <c r="AR373" i="33"/>
  <c r="AQ373" i="33"/>
  <c r="AP373" i="33"/>
  <c r="AO373" i="33"/>
  <c r="AN373" i="33"/>
  <c r="AM373" i="33"/>
  <c r="D371" i="34" s="1"/>
  <c r="AL373" i="33"/>
  <c r="AK373" i="33"/>
  <c r="AJ373" i="33"/>
  <c r="AI373" i="33"/>
  <c r="AG373" i="33"/>
  <c r="AF373" i="33"/>
  <c r="AC373" i="33"/>
  <c r="AD373" i="33" s="1"/>
  <c r="AA373" i="33"/>
  <c r="B371" i="34" s="1"/>
  <c r="C371" i="34" s="1"/>
  <c r="Y373" i="33"/>
  <c r="W373" i="33"/>
  <c r="U373" i="33"/>
  <c r="R373" i="33"/>
  <c r="L373" i="33"/>
  <c r="K373" i="33"/>
  <c r="AG371" i="33"/>
  <c r="AF371" i="33"/>
  <c r="AB371" i="33"/>
  <c r="W371" i="33"/>
  <c r="U371" i="33"/>
  <c r="R371" i="33"/>
  <c r="L371" i="33"/>
  <c r="K371" i="33"/>
  <c r="BJ370" i="33"/>
  <c r="BI370" i="33"/>
  <c r="BH370" i="33"/>
  <c r="BG370" i="33"/>
  <c r="BF370" i="33"/>
  <c r="BE370" i="33"/>
  <c r="BD370" i="33"/>
  <c r="BC370" i="33"/>
  <c r="BB370" i="33"/>
  <c r="BA370" i="33"/>
  <c r="AZ370" i="33"/>
  <c r="AY370" i="33"/>
  <c r="AX370" i="33"/>
  <c r="AW370" i="33"/>
  <c r="AV370" i="33"/>
  <c r="Y371" i="33" s="1"/>
  <c r="AE371" i="33" s="1"/>
  <c r="AG365" i="33"/>
  <c r="AF365" i="33"/>
  <c r="AA365" i="33"/>
  <c r="AB365" i="33" s="1"/>
  <c r="W365" i="33"/>
  <c r="U365" i="33"/>
  <c r="R365" i="33"/>
  <c r="L365" i="33"/>
  <c r="K365" i="33"/>
  <c r="AX364" i="33"/>
  <c r="AW364" i="33"/>
  <c r="AV364" i="33"/>
  <c r="AG363" i="33"/>
  <c r="AF363" i="33"/>
  <c r="AA363" i="33"/>
  <c r="AB363" i="33" s="1"/>
  <c r="W363" i="33"/>
  <c r="U363" i="33"/>
  <c r="R363" i="33"/>
  <c r="L363" i="33"/>
  <c r="K363" i="33"/>
  <c r="AX362" i="33"/>
  <c r="AW362" i="33"/>
  <c r="AV362" i="33"/>
  <c r="AG361" i="33"/>
  <c r="AF361" i="33"/>
  <c r="AA361" i="33"/>
  <c r="AB361" i="33" s="1"/>
  <c r="W361" i="33"/>
  <c r="U361" i="33"/>
  <c r="R361" i="33"/>
  <c r="L361" i="33"/>
  <c r="K361" i="33"/>
  <c r="AX360" i="33"/>
  <c r="AW360" i="33"/>
  <c r="AV360" i="33"/>
  <c r="AG359" i="33"/>
  <c r="AF359" i="33"/>
  <c r="AA359" i="33"/>
  <c r="AB359" i="33" s="1"/>
  <c r="W359" i="33"/>
  <c r="U359" i="33"/>
  <c r="R359" i="33"/>
  <c r="L359" i="33"/>
  <c r="K359" i="33"/>
  <c r="AX358" i="33"/>
  <c r="AW358" i="33"/>
  <c r="AV358" i="33"/>
  <c r="AG357" i="33"/>
  <c r="AF357" i="33"/>
  <c r="AA357" i="33"/>
  <c r="AB357" i="33" s="1"/>
  <c r="W357" i="33"/>
  <c r="U357" i="33"/>
  <c r="R357" i="33"/>
  <c r="L357" i="33"/>
  <c r="K357" i="33"/>
  <c r="AX356" i="33"/>
  <c r="AW356" i="33"/>
  <c r="AV356" i="33"/>
  <c r="AG355" i="33"/>
  <c r="AF355" i="33"/>
  <c r="AA355" i="33"/>
  <c r="AB355" i="33" s="1"/>
  <c r="W355" i="33"/>
  <c r="U355" i="33"/>
  <c r="R355" i="33"/>
  <c r="L355" i="33"/>
  <c r="K355" i="33"/>
  <c r="AX354" i="33"/>
  <c r="AW354" i="33"/>
  <c r="AV354" i="33"/>
  <c r="AG353" i="33"/>
  <c r="AF353" i="33"/>
  <c r="AA353" i="33"/>
  <c r="AB353" i="33" s="1"/>
  <c r="W353" i="33"/>
  <c r="U353" i="33"/>
  <c r="R353" i="33"/>
  <c r="L353" i="33"/>
  <c r="K353" i="33"/>
  <c r="AX352" i="33"/>
  <c r="AW352" i="33"/>
  <c r="AV352" i="33"/>
  <c r="AG351" i="33"/>
  <c r="AF351" i="33"/>
  <c r="AA351" i="33"/>
  <c r="AB351" i="33" s="1"/>
  <c r="W351" i="33"/>
  <c r="U351" i="33"/>
  <c r="R351" i="33"/>
  <c r="L351" i="33"/>
  <c r="K351" i="33"/>
  <c r="AX350" i="33"/>
  <c r="AW350" i="33"/>
  <c r="AV350" i="33"/>
  <c r="AT349" i="33"/>
  <c r="AS349" i="33"/>
  <c r="AR349" i="33"/>
  <c r="AQ349" i="33"/>
  <c r="AP349" i="33"/>
  <c r="AO349" i="33"/>
  <c r="AN349" i="33"/>
  <c r="AM349" i="33"/>
  <c r="D347" i="34" s="1"/>
  <c r="AL349" i="33"/>
  <c r="AK349" i="33"/>
  <c r="AJ349" i="33"/>
  <c r="AI349" i="33"/>
  <c r="AG349" i="33"/>
  <c r="AF349" i="33"/>
  <c r="AC349" i="33"/>
  <c r="AD349" i="33" s="1"/>
  <c r="AA349" i="33"/>
  <c r="B347" i="34" s="1"/>
  <c r="C347" i="34" s="1"/>
  <c r="Y349" i="33"/>
  <c r="W349" i="33"/>
  <c r="U349" i="33"/>
  <c r="R349" i="33"/>
  <c r="L349" i="33"/>
  <c r="K349" i="33"/>
  <c r="AT347" i="33"/>
  <c r="AS347" i="33"/>
  <c r="AR347" i="33"/>
  <c r="AQ347" i="33"/>
  <c r="AP347" i="33"/>
  <c r="AO347" i="33"/>
  <c r="AN347" i="33"/>
  <c r="AM347" i="33"/>
  <c r="D345" i="34" s="1"/>
  <c r="AL347" i="33"/>
  <c r="AK347" i="33"/>
  <c r="AJ347" i="33"/>
  <c r="AI347" i="33"/>
  <c r="AG347" i="33"/>
  <c r="AF347" i="33"/>
  <c r="AC347" i="33"/>
  <c r="AD347" i="33" s="1"/>
  <c r="AA347" i="33"/>
  <c r="B345" i="34" s="1"/>
  <c r="C345" i="34" s="1"/>
  <c r="Y347" i="33"/>
  <c r="W347" i="33"/>
  <c r="U347" i="33"/>
  <c r="R347" i="33"/>
  <c r="L347" i="33"/>
  <c r="K347" i="33"/>
  <c r="AT345" i="33"/>
  <c r="AS345" i="33"/>
  <c r="AR345" i="33"/>
  <c r="AQ345" i="33"/>
  <c r="AP345" i="33"/>
  <c r="AO345" i="33"/>
  <c r="AN345" i="33"/>
  <c r="AM345" i="33"/>
  <c r="D343" i="34" s="1"/>
  <c r="AL345" i="33"/>
  <c r="AK345" i="33"/>
  <c r="AJ345" i="33"/>
  <c r="AI345" i="33"/>
  <c r="AG345" i="33"/>
  <c r="AF345" i="33"/>
  <c r="AC345" i="33"/>
  <c r="AD345" i="33" s="1"/>
  <c r="AA345" i="33"/>
  <c r="B343" i="34" s="1"/>
  <c r="C343" i="34" s="1"/>
  <c r="Y345" i="33"/>
  <c r="W345" i="33"/>
  <c r="U345" i="33"/>
  <c r="R345" i="33"/>
  <c r="L345" i="33"/>
  <c r="K345" i="33"/>
  <c r="AG343" i="33"/>
  <c r="AF343" i="33"/>
  <c r="AB343" i="33"/>
  <c r="W343" i="33"/>
  <c r="U343" i="33"/>
  <c r="R343" i="33"/>
  <c r="L343" i="33"/>
  <c r="K343" i="33"/>
  <c r="BA342" i="33"/>
  <c r="AZ342" i="33"/>
  <c r="AY342" i="33"/>
  <c r="AX342" i="33"/>
  <c r="AW342" i="33"/>
  <c r="AV342" i="33"/>
  <c r="AG341" i="33"/>
  <c r="AF341" i="33"/>
  <c r="AB341" i="33"/>
  <c r="W341" i="33"/>
  <c r="U341" i="33"/>
  <c r="R341" i="33"/>
  <c r="L341" i="33"/>
  <c r="K341" i="33"/>
  <c r="BA340" i="33"/>
  <c r="AZ340" i="33"/>
  <c r="AY340" i="33"/>
  <c r="AX340" i="33"/>
  <c r="AW340" i="33"/>
  <c r="AV340" i="33"/>
  <c r="AG339" i="33"/>
  <c r="AF339" i="33"/>
  <c r="AA339" i="33"/>
  <c r="B337" i="34" s="1"/>
  <c r="C337" i="34" s="1"/>
  <c r="Y339" i="33"/>
  <c r="W339" i="33"/>
  <c r="U339" i="33"/>
  <c r="R339" i="33"/>
  <c r="L339" i="33"/>
  <c r="K339" i="33"/>
  <c r="AY338" i="33"/>
  <c r="AX338" i="33"/>
  <c r="AG337" i="33"/>
  <c r="AF337" i="33"/>
  <c r="AA337" i="33"/>
  <c r="AB337" i="33" s="1"/>
  <c r="Y337" i="33"/>
  <c r="W337" i="33"/>
  <c r="U337" i="33"/>
  <c r="R337" i="33"/>
  <c r="L337" i="33"/>
  <c r="K337" i="33"/>
  <c r="AY336" i="33"/>
  <c r="AX336" i="33"/>
  <c r="AG335" i="33"/>
  <c r="AF335" i="33"/>
  <c r="AA335" i="33"/>
  <c r="B333" i="34" s="1"/>
  <c r="C333" i="34" s="1"/>
  <c r="Y335" i="33"/>
  <c r="W335" i="33"/>
  <c r="U335" i="33"/>
  <c r="R335" i="33"/>
  <c r="L335" i="33"/>
  <c r="K335" i="33"/>
  <c r="AX334" i="33"/>
  <c r="AW334" i="33"/>
  <c r="AG333" i="33"/>
  <c r="AF333" i="33"/>
  <c r="AA333" i="33"/>
  <c r="AB333" i="33" s="1"/>
  <c r="Y333" i="33"/>
  <c r="W333" i="33"/>
  <c r="U333" i="33"/>
  <c r="R333" i="33"/>
  <c r="L333" i="33"/>
  <c r="K333" i="33"/>
  <c r="AX332" i="33"/>
  <c r="AW332" i="33"/>
  <c r="AG331" i="33"/>
  <c r="AF331" i="33"/>
  <c r="AA331" i="33"/>
  <c r="B329" i="34" s="1"/>
  <c r="C329" i="34" s="1"/>
  <c r="Y331" i="33"/>
  <c r="W331" i="33"/>
  <c r="U331" i="33"/>
  <c r="R331" i="33"/>
  <c r="L331" i="33"/>
  <c r="K331" i="33"/>
  <c r="AX330" i="33"/>
  <c r="AW330" i="33"/>
  <c r="AG329" i="33"/>
  <c r="AF329" i="33"/>
  <c r="AA329" i="33"/>
  <c r="B327" i="34" s="1"/>
  <c r="C327" i="34" s="1"/>
  <c r="Y329" i="33"/>
  <c r="W329" i="33"/>
  <c r="U329" i="33"/>
  <c r="R329" i="33"/>
  <c r="L329" i="33"/>
  <c r="K329" i="33"/>
  <c r="AX328" i="33"/>
  <c r="AW328" i="33"/>
  <c r="AG327" i="33"/>
  <c r="AF327" i="33"/>
  <c r="AA327" i="33"/>
  <c r="AB327" i="33" s="1"/>
  <c r="W327" i="33"/>
  <c r="U327" i="33"/>
  <c r="R327" i="33"/>
  <c r="L327" i="33"/>
  <c r="K327" i="33"/>
  <c r="AX326" i="33"/>
  <c r="AW326" i="33"/>
  <c r="AV326" i="33"/>
  <c r="AG325" i="33"/>
  <c r="AF325" i="33"/>
  <c r="AA325" i="33"/>
  <c r="AB325" i="33" s="1"/>
  <c r="W325" i="33"/>
  <c r="U325" i="33"/>
  <c r="R325" i="33"/>
  <c r="L325" i="33"/>
  <c r="K325" i="33"/>
  <c r="AX324" i="33"/>
  <c r="AW324" i="33"/>
  <c r="AV324" i="33"/>
  <c r="AG323" i="33"/>
  <c r="AF323" i="33"/>
  <c r="AA323" i="33"/>
  <c r="AB323" i="33" s="1"/>
  <c r="W323" i="33"/>
  <c r="U323" i="33"/>
  <c r="R323" i="33"/>
  <c r="L323" i="33"/>
  <c r="K323" i="33"/>
  <c r="AY322" i="33"/>
  <c r="AX322" i="33"/>
  <c r="AW322" i="33"/>
  <c r="AV322" i="33"/>
  <c r="AG321" i="33"/>
  <c r="AF321" i="33"/>
  <c r="AA321" i="33"/>
  <c r="B319" i="34" s="1"/>
  <c r="C319" i="34" s="1"/>
  <c r="W321" i="33"/>
  <c r="U321" i="33"/>
  <c r="R321" i="33"/>
  <c r="L321" i="33"/>
  <c r="K321" i="33"/>
  <c r="AY320" i="33"/>
  <c r="AX320" i="33"/>
  <c r="AW320" i="33"/>
  <c r="AV320" i="33"/>
  <c r="AT319" i="33"/>
  <c r="AS319" i="33"/>
  <c r="AR319" i="33"/>
  <c r="AQ319" i="33"/>
  <c r="AP319" i="33"/>
  <c r="AO319" i="33"/>
  <c r="AN319" i="33"/>
  <c r="AM319" i="33"/>
  <c r="D317" i="34" s="1"/>
  <c r="AL319" i="33"/>
  <c r="AK319" i="33"/>
  <c r="AJ319" i="33"/>
  <c r="AI319" i="33"/>
  <c r="AG319" i="33"/>
  <c r="AF319" i="33"/>
  <c r="AC319" i="33"/>
  <c r="AD319" i="33" s="1"/>
  <c r="AA319" i="33"/>
  <c r="B317" i="34" s="1"/>
  <c r="C317" i="34" s="1"/>
  <c r="Y319" i="33"/>
  <c r="W319" i="33"/>
  <c r="U319" i="33"/>
  <c r="R319" i="33"/>
  <c r="L319" i="33"/>
  <c r="K319" i="33"/>
  <c r="AT317" i="33"/>
  <c r="AS317" i="33"/>
  <c r="AR317" i="33"/>
  <c r="AQ317" i="33"/>
  <c r="AP317" i="33"/>
  <c r="AO317" i="33"/>
  <c r="AN317" i="33"/>
  <c r="AM317" i="33"/>
  <c r="D315" i="34" s="1"/>
  <c r="AL317" i="33"/>
  <c r="AK317" i="33"/>
  <c r="AJ317" i="33"/>
  <c r="AI317" i="33"/>
  <c r="AG317" i="33"/>
  <c r="AF317" i="33"/>
  <c r="AC317" i="33"/>
  <c r="AD317" i="33" s="1"/>
  <c r="AA317" i="33"/>
  <c r="B315" i="34" s="1"/>
  <c r="C315" i="34" s="1"/>
  <c r="Y317" i="33"/>
  <c r="W317" i="33"/>
  <c r="U317" i="33"/>
  <c r="R317" i="33"/>
  <c r="L317" i="33"/>
  <c r="K317" i="33"/>
  <c r="AT315" i="33"/>
  <c r="AS315" i="33"/>
  <c r="AR315" i="33"/>
  <c r="AQ315" i="33"/>
  <c r="AP315" i="33"/>
  <c r="AO315" i="33"/>
  <c r="AN315" i="33"/>
  <c r="AM315" i="33"/>
  <c r="D313" i="34" s="1"/>
  <c r="AL315" i="33"/>
  <c r="AK315" i="33"/>
  <c r="AJ315" i="33"/>
  <c r="AI315" i="33"/>
  <c r="AG315" i="33"/>
  <c r="AF315" i="33"/>
  <c r="AC315" i="33"/>
  <c r="AD315" i="33" s="1"/>
  <c r="AA315" i="33"/>
  <c r="AB315" i="33" s="1"/>
  <c r="Y315" i="33"/>
  <c r="W315" i="33"/>
  <c r="U315" i="33"/>
  <c r="R315" i="33"/>
  <c r="L315" i="33"/>
  <c r="K315" i="33"/>
  <c r="AT313" i="33"/>
  <c r="AS313" i="33"/>
  <c r="AR313" i="33"/>
  <c r="AQ313" i="33"/>
  <c r="AP313" i="33"/>
  <c r="AO313" i="33"/>
  <c r="AN313" i="33"/>
  <c r="AM313" i="33"/>
  <c r="D311" i="34" s="1"/>
  <c r="AL313" i="33"/>
  <c r="AK313" i="33"/>
  <c r="AJ313" i="33"/>
  <c r="AI313" i="33"/>
  <c r="AG313" i="33"/>
  <c r="AF313" i="33"/>
  <c r="AC313" i="33"/>
  <c r="AD313" i="33" s="1"/>
  <c r="AA313" i="33"/>
  <c r="B311" i="34" s="1"/>
  <c r="C311" i="34" s="1"/>
  <c r="Y313" i="33"/>
  <c r="W313" i="33"/>
  <c r="U313" i="33"/>
  <c r="R313" i="33"/>
  <c r="L313" i="33"/>
  <c r="K313" i="33"/>
  <c r="AT311" i="33"/>
  <c r="AS311" i="33"/>
  <c r="AR311" i="33"/>
  <c r="AQ311" i="33"/>
  <c r="AP311" i="33"/>
  <c r="AO311" i="33"/>
  <c r="AN311" i="33"/>
  <c r="AM311" i="33"/>
  <c r="D309" i="34" s="1"/>
  <c r="AL311" i="33"/>
  <c r="AK311" i="33"/>
  <c r="AJ311" i="33"/>
  <c r="AI311" i="33"/>
  <c r="AG311" i="33"/>
  <c r="AF311" i="33"/>
  <c r="AC311" i="33"/>
  <c r="AD311" i="33" s="1"/>
  <c r="AA311" i="33"/>
  <c r="B309" i="34" s="1"/>
  <c r="C309" i="34" s="1"/>
  <c r="Y311" i="33"/>
  <c r="W311" i="33"/>
  <c r="U311" i="33"/>
  <c r="R311" i="33"/>
  <c r="L311" i="33"/>
  <c r="K311" i="33"/>
  <c r="AG309" i="33"/>
  <c r="AF309" i="33"/>
  <c r="AB309" i="33"/>
  <c r="W309" i="33"/>
  <c r="U309" i="33"/>
  <c r="R309" i="33"/>
  <c r="L309" i="33"/>
  <c r="K309" i="33"/>
  <c r="AZ308" i="33"/>
  <c r="AY308" i="33"/>
  <c r="AX308" i="33"/>
  <c r="AW308" i="33"/>
  <c r="AV308" i="33"/>
  <c r="BI307" i="33"/>
  <c r="BH307" i="33"/>
  <c r="BG307" i="33"/>
  <c r="BF307" i="33"/>
  <c r="BE307" i="33"/>
  <c r="BD307" i="33"/>
  <c r="BC307" i="33"/>
  <c r="BB307" i="33"/>
  <c r="BA307" i="33"/>
  <c r="AZ307" i="33"/>
  <c r="AY307" i="33"/>
  <c r="AX307" i="33"/>
  <c r="AW307" i="33"/>
  <c r="AF307" i="33"/>
  <c r="AA307" i="33"/>
  <c r="B305" i="34" s="1"/>
  <c r="C305" i="34" s="1"/>
  <c r="Y307" i="33"/>
  <c r="W307" i="33"/>
  <c r="U307" i="33"/>
  <c r="R307" i="33"/>
  <c r="L307" i="33"/>
  <c r="K307" i="33"/>
  <c r="BI306" i="33"/>
  <c r="BH306" i="33"/>
  <c r="BG306" i="33"/>
  <c r="BF306" i="33"/>
  <c r="BE306" i="33"/>
  <c r="BD306" i="33"/>
  <c r="BC306" i="33"/>
  <c r="BB306" i="33"/>
  <c r="BA306" i="33"/>
  <c r="AZ306" i="33"/>
  <c r="AY306" i="33"/>
  <c r="AX306" i="33"/>
  <c r="AW306" i="33"/>
  <c r="BG305" i="33"/>
  <c r="BF305" i="33"/>
  <c r="BE305" i="33"/>
  <c r="BD305" i="33"/>
  <c r="BC305" i="33"/>
  <c r="BB305" i="33"/>
  <c r="BA305" i="33"/>
  <c r="AZ305" i="33"/>
  <c r="AY305" i="33"/>
  <c r="AX305" i="33"/>
  <c r="AW305" i="33"/>
  <c r="AF305" i="33"/>
  <c r="AA305" i="33"/>
  <c r="B303" i="34" s="1"/>
  <c r="C303" i="34" s="1"/>
  <c r="Y305" i="33"/>
  <c r="W305" i="33"/>
  <c r="U305" i="33"/>
  <c r="R305" i="33"/>
  <c r="L305" i="33"/>
  <c r="K305" i="33"/>
  <c r="BG304" i="33"/>
  <c r="BF304" i="33"/>
  <c r="BE304" i="33"/>
  <c r="BD304" i="33"/>
  <c r="BC304" i="33"/>
  <c r="BB304" i="33"/>
  <c r="BA304" i="33"/>
  <c r="AZ304" i="33"/>
  <c r="AY304" i="33"/>
  <c r="AX304" i="33"/>
  <c r="AW304" i="33"/>
  <c r="AT303" i="33"/>
  <c r="AS303" i="33"/>
  <c r="AR303" i="33"/>
  <c r="AQ303" i="33"/>
  <c r="AP303" i="33"/>
  <c r="AO303" i="33"/>
  <c r="AN303" i="33"/>
  <c r="AM303" i="33"/>
  <c r="D301" i="34" s="1"/>
  <c r="AL303" i="33"/>
  <c r="AK303" i="33"/>
  <c r="AJ303" i="33"/>
  <c r="AI303" i="33"/>
  <c r="AG303" i="33"/>
  <c r="AF303" i="33"/>
  <c r="AC303" i="33"/>
  <c r="AD303" i="33" s="1"/>
  <c r="AA303" i="33"/>
  <c r="AB303" i="33" s="1"/>
  <c r="Y303" i="33"/>
  <c r="W303" i="33"/>
  <c r="U303" i="33"/>
  <c r="R303" i="33"/>
  <c r="L303" i="33"/>
  <c r="K303" i="33"/>
  <c r="AT301" i="33"/>
  <c r="AS301" i="33"/>
  <c r="AR301" i="33"/>
  <c r="AQ301" i="33"/>
  <c r="AP301" i="33"/>
  <c r="AO301" i="33"/>
  <c r="AN301" i="33"/>
  <c r="AM301" i="33"/>
  <c r="D299" i="34" s="1"/>
  <c r="AL301" i="33"/>
  <c r="AK301" i="33"/>
  <c r="AJ301" i="33"/>
  <c r="AI301" i="33"/>
  <c r="AG301" i="33"/>
  <c r="AF301" i="33"/>
  <c r="AC301" i="33"/>
  <c r="AD301" i="33" s="1"/>
  <c r="AA301" i="33"/>
  <c r="AB301" i="33" s="1"/>
  <c r="Y301" i="33"/>
  <c r="W301" i="33"/>
  <c r="U301" i="33"/>
  <c r="R301" i="33"/>
  <c r="L301" i="33"/>
  <c r="K301" i="33"/>
  <c r="AT299" i="33"/>
  <c r="AS299" i="33"/>
  <c r="AR299" i="33"/>
  <c r="AQ299" i="33"/>
  <c r="AP299" i="33"/>
  <c r="AO299" i="33"/>
  <c r="AN299" i="33"/>
  <c r="AM299" i="33"/>
  <c r="D297" i="34" s="1"/>
  <c r="AL299" i="33"/>
  <c r="AK299" i="33"/>
  <c r="AJ299" i="33"/>
  <c r="AI299" i="33"/>
  <c r="AG299" i="33"/>
  <c r="AF299" i="33"/>
  <c r="AC299" i="33"/>
  <c r="AD299" i="33" s="1"/>
  <c r="AA299" i="33"/>
  <c r="AB299" i="33" s="1"/>
  <c r="Y299" i="33"/>
  <c r="W299" i="33"/>
  <c r="U299" i="33"/>
  <c r="R299" i="33"/>
  <c r="L299" i="33"/>
  <c r="K299" i="33"/>
  <c r="AG295" i="33"/>
  <c r="AF295" i="33"/>
  <c r="AB295" i="33"/>
  <c r="Y295" i="33"/>
  <c r="AE295" i="33" s="1"/>
  <c r="W295" i="33"/>
  <c r="U295" i="33"/>
  <c r="R295" i="33"/>
  <c r="L295" i="33"/>
  <c r="K295" i="33"/>
  <c r="AY294" i="33"/>
  <c r="AX294" i="33"/>
  <c r="AW294" i="33"/>
  <c r="AG293" i="33"/>
  <c r="AF293" i="33"/>
  <c r="AB293" i="33"/>
  <c r="Y293" i="33"/>
  <c r="AE293" i="33" s="1"/>
  <c r="W293" i="33"/>
  <c r="U293" i="33"/>
  <c r="R293" i="33"/>
  <c r="L293" i="33"/>
  <c r="K293" i="33"/>
  <c r="AY292" i="33"/>
  <c r="AX292" i="33"/>
  <c r="AW292" i="33"/>
  <c r="AG291" i="33"/>
  <c r="AF291" i="33"/>
  <c r="AA291" i="33"/>
  <c r="AB291" i="33" s="1"/>
  <c r="W291" i="33"/>
  <c r="U291" i="33"/>
  <c r="R291" i="33"/>
  <c r="L291" i="33"/>
  <c r="K291" i="33"/>
  <c r="AX290" i="33"/>
  <c r="AW290" i="33"/>
  <c r="AV290" i="33"/>
  <c r="AG289" i="33"/>
  <c r="AF289" i="33"/>
  <c r="AB289" i="33"/>
  <c r="W289" i="33"/>
  <c r="U289" i="33"/>
  <c r="R289" i="33"/>
  <c r="L289" i="33"/>
  <c r="K289" i="33"/>
  <c r="AZ288" i="33"/>
  <c r="AY288" i="33"/>
  <c r="AX288" i="33"/>
  <c r="AW288" i="33"/>
  <c r="AV288" i="33"/>
  <c r="AG287" i="33"/>
  <c r="AF287" i="33"/>
  <c r="AA287" i="33"/>
  <c r="AB287" i="33" s="1"/>
  <c r="Y287" i="33"/>
  <c r="W287" i="33"/>
  <c r="U287" i="33"/>
  <c r="R287" i="33"/>
  <c r="L287" i="33"/>
  <c r="K287" i="33"/>
  <c r="BC286" i="33"/>
  <c r="BB286" i="33"/>
  <c r="BA286" i="33"/>
  <c r="AZ286" i="33"/>
  <c r="AY286" i="33"/>
  <c r="AX286" i="33"/>
  <c r="AW286" i="33"/>
  <c r="AG285" i="33"/>
  <c r="AF285" i="33"/>
  <c r="AA285" i="33"/>
  <c r="AB285" i="33" s="1"/>
  <c r="Y285" i="33"/>
  <c r="W285" i="33"/>
  <c r="U285" i="33"/>
  <c r="R285" i="33"/>
  <c r="L285" i="33"/>
  <c r="K285" i="33"/>
  <c r="BC284" i="33"/>
  <c r="BB284" i="33"/>
  <c r="BA284" i="33"/>
  <c r="AZ284" i="33"/>
  <c r="AY284" i="33"/>
  <c r="AX284" i="33"/>
  <c r="AW284" i="33"/>
  <c r="AG283" i="33"/>
  <c r="AF283" i="33"/>
  <c r="AA283" i="33"/>
  <c r="AB283" i="33" s="1"/>
  <c r="Y283" i="33"/>
  <c r="W283" i="33"/>
  <c r="U283" i="33"/>
  <c r="R283" i="33"/>
  <c r="L283" i="33"/>
  <c r="K283" i="33"/>
  <c r="BC282" i="33"/>
  <c r="BB282" i="33"/>
  <c r="BA282" i="33"/>
  <c r="AZ282" i="33"/>
  <c r="AY282" i="33"/>
  <c r="AX282" i="33"/>
  <c r="AW282" i="33"/>
  <c r="AT279" i="33"/>
  <c r="AS279" i="33"/>
  <c r="AR279" i="33"/>
  <c r="AQ279" i="33"/>
  <c r="AP279" i="33"/>
  <c r="AO279" i="33"/>
  <c r="AN279" i="33"/>
  <c r="AM279" i="33"/>
  <c r="D277" i="34" s="1"/>
  <c r="AL279" i="33"/>
  <c r="AK279" i="33"/>
  <c r="AJ279" i="33"/>
  <c r="AI279" i="33"/>
  <c r="AG279" i="33"/>
  <c r="AF279" i="33"/>
  <c r="AC279" i="33"/>
  <c r="AD279" i="33" s="1"/>
  <c r="AA279" i="33"/>
  <c r="AB279" i="33" s="1"/>
  <c r="Y279" i="33"/>
  <c r="W279" i="33"/>
  <c r="U279" i="33"/>
  <c r="R279" i="33"/>
  <c r="L279" i="33"/>
  <c r="K279" i="33"/>
  <c r="AT277" i="33"/>
  <c r="AS277" i="33"/>
  <c r="AR277" i="33"/>
  <c r="AQ277" i="33"/>
  <c r="AP277" i="33"/>
  <c r="AO277" i="33"/>
  <c r="AN277" i="33"/>
  <c r="AM277" i="33"/>
  <c r="D275" i="34" s="1"/>
  <c r="AL277" i="33"/>
  <c r="AK277" i="33"/>
  <c r="AJ277" i="33"/>
  <c r="AI277" i="33"/>
  <c r="AG277" i="33"/>
  <c r="AF277" i="33"/>
  <c r="AC277" i="33"/>
  <c r="AD277" i="33" s="1"/>
  <c r="AA277" i="33"/>
  <c r="AB277" i="33" s="1"/>
  <c r="Y277" i="33"/>
  <c r="W277" i="33"/>
  <c r="U277" i="33"/>
  <c r="R277" i="33"/>
  <c r="L277" i="33"/>
  <c r="K277" i="33"/>
  <c r="AT275" i="33"/>
  <c r="AS275" i="33"/>
  <c r="AR275" i="33"/>
  <c r="AQ275" i="33"/>
  <c r="AP275" i="33"/>
  <c r="AO275" i="33"/>
  <c r="AN275" i="33"/>
  <c r="AM275" i="33"/>
  <c r="D273" i="34" s="1"/>
  <c r="AL275" i="33"/>
  <c r="AK275" i="33"/>
  <c r="AJ275" i="33"/>
  <c r="AI275" i="33"/>
  <c r="AG275" i="33"/>
  <c r="AF275" i="33"/>
  <c r="AC275" i="33"/>
  <c r="AD275" i="33" s="1"/>
  <c r="AA275" i="33"/>
  <c r="AB275" i="33" s="1"/>
  <c r="Y275" i="33"/>
  <c r="W275" i="33"/>
  <c r="U275" i="33"/>
  <c r="R275" i="33"/>
  <c r="L275" i="33"/>
  <c r="K275" i="33"/>
  <c r="AT273" i="33"/>
  <c r="AS273" i="33"/>
  <c r="AR273" i="33"/>
  <c r="AQ273" i="33"/>
  <c r="AP273" i="33"/>
  <c r="AO273" i="33"/>
  <c r="AN273" i="33"/>
  <c r="AM273" i="33"/>
  <c r="D271" i="34" s="1"/>
  <c r="AL273" i="33"/>
  <c r="AK273" i="33"/>
  <c r="AJ273" i="33"/>
  <c r="AI273" i="33"/>
  <c r="AG273" i="33"/>
  <c r="AF273" i="33"/>
  <c r="AC273" i="33"/>
  <c r="AD273" i="33" s="1"/>
  <c r="AA273" i="33"/>
  <c r="B271" i="34" s="1"/>
  <c r="C271" i="34" s="1"/>
  <c r="Y273" i="33"/>
  <c r="W273" i="33"/>
  <c r="U273" i="33"/>
  <c r="R273" i="33"/>
  <c r="L273" i="33"/>
  <c r="K273" i="33"/>
  <c r="AT271" i="33"/>
  <c r="AS271" i="33"/>
  <c r="AR271" i="33"/>
  <c r="AQ271" i="33"/>
  <c r="AP271" i="33"/>
  <c r="AO271" i="33"/>
  <c r="AN271" i="33"/>
  <c r="AM271" i="33"/>
  <c r="D269" i="34" s="1"/>
  <c r="AL271" i="33"/>
  <c r="AK271" i="33"/>
  <c r="AJ271" i="33"/>
  <c r="AI271" i="33"/>
  <c r="AG271" i="33"/>
  <c r="AF271" i="33"/>
  <c r="AC271" i="33"/>
  <c r="AD271" i="33" s="1"/>
  <c r="AA271" i="33"/>
  <c r="B269" i="34" s="1"/>
  <c r="C269" i="34" s="1"/>
  <c r="Y271" i="33"/>
  <c r="W271" i="33"/>
  <c r="U271" i="33"/>
  <c r="R271" i="33"/>
  <c r="L271" i="33"/>
  <c r="K271" i="33"/>
  <c r="AT269" i="33"/>
  <c r="AS269" i="33"/>
  <c r="AR269" i="33"/>
  <c r="AQ269" i="33"/>
  <c r="AP269" i="33"/>
  <c r="AO269" i="33"/>
  <c r="AN269" i="33"/>
  <c r="AM269" i="33"/>
  <c r="D267" i="34" s="1"/>
  <c r="AL269" i="33"/>
  <c r="AK269" i="33"/>
  <c r="AJ269" i="33"/>
  <c r="AI269" i="33"/>
  <c r="AG269" i="33"/>
  <c r="AF269" i="33"/>
  <c r="AC269" i="33"/>
  <c r="AD269" i="33" s="1"/>
  <c r="AA269" i="33"/>
  <c r="B267" i="34" s="1"/>
  <c r="C267" i="34" s="1"/>
  <c r="Y269" i="33"/>
  <c r="W269" i="33"/>
  <c r="U269" i="33"/>
  <c r="R269" i="33"/>
  <c r="L269" i="33"/>
  <c r="K269" i="33"/>
  <c r="AT267" i="33"/>
  <c r="AS267" i="33"/>
  <c r="AR267" i="33"/>
  <c r="AQ267" i="33"/>
  <c r="AP267" i="33"/>
  <c r="AO267" i="33"/>
  <c r="AN267" i="33"/>
  <c r="AM267" i="33"/>
  <c r="D265" i="34" s="1"/>
  <c r="AL267" i="33"/>
  <c r="AK267" i="33"/>
  <c r="AJ267" i="33"/>
  <c r="AI267" i="33"/>
  <c r="AG267" i="33"/>
  <c r="AF267" i="33"/>
  <c r="AC267" i="33"/>
  <c r="AD267" i="33" s="1"/>
  <c r="AA267" i="33"/>
  <c r="AB267" i="33" s="1"/>
  <c r="Y267" i="33"/>
  <c r="W267" i="33"/>
  <c r="U267" i="33"/>
  <c r="R267" i="33"/>
  <c r="L267" i="33"/>
  <c r="K267" i="33"/>
  <c r="AT265" i="33"/>
  <c r="AS265" i="33"/>
  <c r="AR265" i="33"/>
  <c r="AQ265" i="33"/>
  <c r="AP265" i="33"/>
  <c r="AO265" i="33"/>
  <c r="AN265" i="33"/>
  <c r="AM265" i="33"/>
  <c r="D263" i="34" s="1"/>
  <c r="AL265" i="33"/>
  <c r="AK265" i="33"/>
  <c r="AJ265" i="33"/>
  <c r="AI265" i="33"/>
  <c r="AG265" i="33"/>
  <c r="AF265" i="33"/>
  <c r="AC265" i="33"/>
  <c r="AD265" i="33" s="1"/>
  <c r="AA265" i="33"/>
  <c r="AB265" i="33" s="1"/>
  <c r="Y265" i="33"/>
  <c r="W265" i="33"/>
  <c r="U265" i="33"/>
  <c r="R265" i="33"/>
  <c r="L265" i="33"/>
  <c r="K265" i="33"/>
  <c r="AT261" i="33"/>
  <c r="AS261" i="33"/>
  <c r="AR261" i="33"/>
  <c r="AQ261" i="33"/>
  <c r="AP261" i="33"/>
  <c r="AO261" i="33"/>
  <c r="AN261" i="33"/>
  <c r="AM261" i="33"/>
  <c r="D261" i="34" s="1"/>
  <c r="AL261" i="33"/>
  <c r="AK261" i="33"/>
  <c r="AJ261" i="33"/>
  <c r="AI261" i="33"/>
  <c r="AG261" i="33"/>
  <c r="AF261" i="33"/>
  <c r="AC261" i="33"/>
  <c r="AD261" i="33" s="1"/>
  <c r="AA261" i="33"/>
  <c r="AB261" i="33" s="1"/>
  <c r="Y261" i="33"/>
  <c r="W261" i="33"/>
  <c r="U261" i="33"/>
  <c r="R261" i="33"/>
  <c r="L261" i="33"/>
  <c r="K261" i="33"/>
  <c r="AT259" i="33"/>
  <c r="AS259" i="33"/>
  <c r="AR259" i="33"/>
  <c r="AQ259" i="33"/>
  <c r="AP259" i="33"/>
  <c r="AO259" i="33"/>
  <c r="AN259" i="33"/>
  <c r="AM259" i="33"/>
  <c r="D259" i="34" s="1"/>
  <c r="AL259" i="33"/>
  <c r="AK259" i="33"/>
  <c r="AJ259" i="33"/>
  <c r="AI259" i="33"/>
  <c r="AG259" i="33"/>
  <c r="AF259" i="33"/>
  <c r="AC259" i="33"/>
  <c r="AD259" i="33" s="1"/>
  <c r="AA259" i="33"/>
  <c r="AB259" i="33" s="1"/>
  <c r="Y259" i="33"/>
  <c r="W259" i="33"/>
  <c r="U259" i="33"/>
  <c r="R259" i="33"/>
  <c r="L259" i="33"/>
  <c r="K259" i="33"/>
  <c r="AG251" i="33"/>
  <c r="AF251" i="33"/>
  <c r="AA251" i="33"/>
  <c r="AB251" i="33" s="1"/>
  <c r="W251" i="33"/>
  <c r="U251" i="33"/>
  <c r="R251" i="33"/>
  <c r="L251" i="33"/>
  <c r="K251" i="33"/>
  <c r="AZ250" i="33"/>
  <c r="AY250" i="33"/>
  <c r="AX250" i="33"/>
  <c r="AW250" i="33"/>
  <c r="AV250" i="33"/>
  <c r="Y251" i="33" s="1"/>
  <c r="AG245" i="33"/>
  <c r="AF245" i="33"/>
  <c r="AB245" i="33"/>
  <c r="W245" i="33"/>
  <c r="U245" i="33"/>
  <c r="R245" i="33"/>
  <c r="L245" i="33"/>
  <c r="K245" i="33"/>
  <c r="BA244" i="33"/>
  <c r="AZ244" i="33"/>
  <c r="AY244" i="33"/>
  <c r="AX244" i="33"/>
  <c r="AW244" i="33"/>
  <c r="AV244" i="33"/>
  <c r="AG243" i="33"/>
  <c r="AF243" i="33"/>
  <c r="AB243" i="33"/>
  <c r="W243" i="33"/>
  <c r="U243" i="33"/>
  <c r="R243" i="33"/>
  <c r="L243" i="33"/>
  <c r="K243" i="33"/>
  <c r="BA242" i="33"/>
  <c r="AZ242" i="33"/>
  <c r="AY242" i="33"/>
  <c r="AX242" i="33"/>
  <c r="AW242" i="33"/>
  <c r="AV242" i="33"/>
  <c r="AG241" i="33"/>
  <c r="AF241" i="33"/>
  <c r="AB241" i="33"/>
  <c r="W241" i="33"/>
  <c r="U241" i="33"/>
  <c r="R241" i="33"/>
  <c r="L241" i="33"/>
  <c r="K241" i="33"/>
  <c r="BA240" i="33"/>
  <c r="AZ240" i="33"/>
  <c r="AY240" i="33"/>
  <c r="AX240" i="33"/>
  <c r="AW240" i="33"/>
  <c r="AV240" i="33"/>
  <c r="AT239" i="33"/>
  <c r="AS239" i="33"/>
  <c r="AR239" i="33"/>
  <c r="AQ239" i="33"/>
  <c r="AP239" i="33"/>
  <c r="AO239" i="33"/>
  <c r="AN239" i="33"/>
  <c r="AM239" i="33"/>
  <c r="D239" i="34" s="1"/>
  <c r="AL239" i="33"/>
  <c r="AK239" i="33"/>
  <c r="AJ239" i="33"/>
  <c r="AI239" i="33"/>
  <c r="AG239" i="33"/>
  <c r="AF239" i="33"/>
  <c r="AC239" i="33"/>
  <c r="AD239" i="33" s="1"/>
  <c r="AA239" i="33"/>
  <c r="AB239" i="33" s="1"/>
  <c r="Y239" i="33"/>
  <c r="W239" i="33"/>
  <c r="U239" i="33"/>
  <c r="R239" i="33"/>
  <c r="L239" i="33"/>
  <c r="K239" i="33"/>
  <c r="AT237" i="33"/>
  <c r="AS237" i="33"/>
  <c r="AR237" i="33"/>
  <c r="AQ237" i="33"/>
  <c r="AP237" i="33"/>
  <c r="AO237" i="33"/>
  <c r="AN237" i="33"/>
  <c r="AM237" i="33"/>
  <c r="D237" i="34" s="1"/>
  <c r="AL237" i="33"/>
  <c r="AK237" i="33"/>
  <c r="AJ237" i="33"/>
  <c r="AI237" i="33"/>
  <c r="AG237" i="33"/>
  <c r="AF237" i="33"/>
  <c r="AC237" i="33"/>
  <c r="AD237" i="33" s="1"/>
  <c r="AA237" i="33"/>
  <c r="B237" i="34" s="1"/>
  <c r="C237" i="34" s="1"/>
  <c r="Y237" i="33"/>
  <c r="W237" i="33"/>
  <c r="U237" i="33"/>
  <c r="R237" i="33"/>
  <c r="L237" i="33"/>
  <c r="K237" i="33"/>
  <c r="AT235" i="33"/>
  <c r="AS235" i="33"/>
  <c r="AR235" i="33"/>
  <c r="AQ235" i="33"/>
  <c r="AP235" i="33"/>
  <c r="AO235" i="33"/>
  <c r="AN235" i="33"/>
  <c r="AM235" i="33"/>
  <c r="D235" i="34" s="1"/>
  <c r="AL235" i="33"/>
  <c r="AK235" i="33"/>
  <c r="AJ235" i="33"/>
  <c r="AI235" i="33"/>
  <c r="AG235" i="33"/>
  <c r="AF235" i="33"/>
  <c r="AC235" i="33"/>
  <c r="AD235" i="33" s="1"/>
  <c r="AA235" i="33"/>
  <c r="B235" i="34" s="1"/>
  <c r="C235" i="34" s="1"/>
  <c r="Y235" i="33"/>
  <c r="W235" i="33"/>
  <c r="U235" i="33"/>
  <c r="R235" i="33"/>
  <c r="L235" i="33"/>
  <c r="K235" i="33"/>
  <c r="AT233" i="33"/>
  <c r="AS233" i="33"/>
  <c r="AR233" i="33"/>
  <c r="AQ233" i="33"/>
  <c r="AP233" i="33"/>
  <c r="AO233" i="33"/>
  <c r="AN233" i="33"/>
  <c r="AM233" i="33"/>
  <c r="D233" i="34" s="1"/>
  <c r="AL233" i="33"/>
  <c r="AK233" i="33"/>
  <c r="AJ233" i="33"/>
  <c r="AI233" i="33"/>
  <c r="AG233" i="33"/>
  <c r="AF233" i="33"/>
  <c r="AC233" i="33"/>
  <c r="AD233" i="33" s="1"/>
  <c r="AA233" i="33"/>
  <c r="B233" i="34" s="1"/>
  <c r="C233" i="34" s="1"/>
  <c r="Y233" i="33"/>
  <c r="W233" i="33"/>
  <c r="U233" i="33"/>
  <c r="R233" i="33"/>
  <c r="L233" i="33"/>
  <c r="K233" i="33"/>
  <c r="AT231" i="33"/>
  <c r="AS231" i="33"/>
  <c r="AR231" i="33"/>
  <c r="AQ231" i="33"/>
  <c r="AP231" i="33"/>
  <c r="AO231" i="33"/>
  <c r="AN231" i="33"/>
  <c r="AM231" i="33"/>
  <c r="D231" i="34" s="1"/>
  <c r="AL231" i="33"/>
  <c r="AK231" i="33"/>
  <c r="AJ231" i="33"/>
  <c r="AI231" i="33"/>
  <c r="AG231" i="33"/>
  <c r="AF231" i="33"/>
  <c r="AC231" i="33"/>
  <c r="AD231" i="33" s="1"/>
  <c r="AA231" i="33"/>
  <c r="AB231" i="33" s="1"/>
  <c r="Y231" i="33"/>
  <c r="W231" i="33"/>
  <c r="U231" i="33"/>
  <c r="R231" i="33"/>
  <c r="L231" i="33"/>
  <c r="K231" i="33"/>
  <c r="AT219" i="33"/>
  <c r="AS219" i="33"/>
  <c r="AR219" i="33"/>
  <c r="AQ219" i="33"/>
  <c r="AP219" i="33"/>
  <c r="AO219" i="33"/>
  <c r="AN219" i="33"/>
  <c r="AM219" i="33"/>
  <c r="D219" i="34" s="1"/>
  <c r="AL219" i="33"/>
  <c r="AK219" i="33"/>
  <c r="AJ219" i="33"/>
  <c r="AI219" i="33"/>
  <c r="AG219" i="33"/>
  <c r="AF219" i="33"/>
  <c r="AC219" i="33"/>
  <c r="AD219" i="33" s="1"/>
  <c r="AA219" i="33"/>
  <c r="AB219" i="33" s="1"/>
  <c r="Y219" i="33"/>
  <c r="W219" i="33"/>
  <c r="U219" i="33"/>
  <c r="R219" i="33"/>
  <c r="L219" i="33"/>
  <c r="K219" i="33"/>
  <c r="AT217" i="33"/>
  <c r="AS217" i="33"/>
  <c r="AR217" i="33"/>
  <c r="AQ217" i="33"/>
  <c r="AP217" i="33"/>
  <c r="AO217" i="33"/>
  <c r="AN217" i="33"/>
  <c r="AM217" i="33"/>
  <c r="D217" i="34" s="1"/>
  <c r="AL217" i="33"/>
  <c r="AK217" i="33"/>
  <c r="AJ217" i="33"/>
  <c r="AI217" i="33"/>
  <c r="AG217" i="33"/>
  <c r="AF217" i="33"/>
  <c r="AC217" i="33"/>
  <c r="AD217" i="33" s="1"/>
  <c r="AA217" i="33"/>
  <c r="AB217" i="33" s="1"/>
  <c r="Y217" i="33"/>
  <c r="W217" i="33"/>
  <c r="U217" i="33"/>
  <c r="R217" i="33"/>
  <c r="L217" i="33"/>
  <c r="K217" i="33"/>
  <c r="AT215" i="33"/>
  <c r="AS215" i="33"/>
  <c r="AR215" i="33"/>
  <c r="AQ215" i="33"/>
  <c r="AP215" i="33"/>
  <c r="AO215" i="33"/>
  <c r="AN215" i="33"/>
  <c r="AM215" i="33"/>
  <c r="D215" i="34" s="1"/>
  <c r="AL215" i="33"/>
  <c r="AK215" i="33"/>
  <c r="AJ215" i="33"/>
  <c r="AI215" i="33"/>
  <c r="AG215" i="33"/>
  <c r="AF215" i="33"/>
  <c r="AC215" i="33"/>
  <c r="AD215" i="33" s="1"/>
  <c r="AA215" i="33"/>
  <c r="B215" i="34" s="1"/>
  <c r="C215" i="34" s="1"/>
  <c r="Y215" i="33"/>
  <c r="W215" i="33"/>
  <c r="U215" i="33"/>
  <c r="R215" i="33"/>
  <c r="L215" i="33"/>
  <c r="K215" i="33"/>
  <c r="AT209" i="33"/>
  <c r="AS209" i="33"/>
  <c r="AR209" i="33"/>
  <c r="AQ209" i="33"/>
  <c r="AP209" i="33"/>
  <c r="AO209" i="33"/>
  <c r="AN209" i="33"/>
  <c r="AM209" i="33"/>
  <c r="D209" i="34" s="1"/>
  <c r="AL209" i="33"/>
  <c r="AK209" i="33"/>
  <c r="AJ209" i="33"/>
  <c r="AI209" i="33"/>
  <c r="AG209" i="33"/>
  <c r="AF209" i="33"/>
  <c r="AC209" i="33"/>
  <c r="AD209" i="33" s="1"/>
  <c r="AA209" i="33"/>
  <c r="B209" i="34" s="1"/>
  <c r="C209" i="34" s="1"/>
  <c r="Y209" i="33"/>
  <c r="W209" i="33"/>
  <c r="U209" i="33"/>
  <c r="R209" i="33"/>
  <c r="L209" i="33"/>
  <c r="K209" i="33"/>
  <c r="AT207" i="33"/>
  <c r="AS207" i="33"/>
  <c r="AR207" i="33"/>
  <c r="AQ207" i="33"/>
  <c r="AP207" i="33"/>
  <c r="AO207" i="33"/>
  <c r="AN207" i="33"/>
  <c r="AM207" i="33"/>
  <c r="D207" i="34" s="1"/>
  <c r="AL207" i="33"/>
  <c r="AK207" i="33"/>
  <c r="AJ207" i="33"/>
  <c r="AI207" i="33"/>
  <c r="AG207" i="33"/>
  <c r="AF207" i="33"/>
  <c r="AC207" i="33"/>
  <c r="AD207" i="33" s="1"/>
  <c r="AA207" i="33"/>
  <c r="B207" i="34" s="1"/>
  <c r="C207" i="34" s="1"/>
  <c r="Y207" i="33"/>
  <c r="W207" i="33"/>
  <c r="U207" i="33"/>
  <c r="R207" i="33"/>
  <c r="L207" i="33"/>
  <c r="K207" i="33"/>
  <c r="AT205" i="33"/>
  <c r="AS205" i="33"/>
  <c r="AR205" i="33"/>
  <c r="AQ205" i="33"/>
  <c r="AP205" i="33"/>
  <c r="AO205" i="33"/>
  <c r="AN205" i="33"/>
  <c r="AM205" i="33"/>
  <c r="D205" i="34" s="1"/>
  <c r="AL205" i="33"/>
  <c r="AK205" i="33"/>
  <c r="AJ205" i="33"/>
  <c r="AI205" i="33"/>
  <c r="AG205" i="33"/>
  <c r="AF205" i="33"/>
  <c r="AC205" i="33"/>
  <c r="AD205" i="33" s="1"/>
  <c r="AA205" i="33"/>
  <c r="AB205" i="33" s="1"/>
  <c r="Y205" i="33"/>
  <c r="W205" i="33"/>
  <c r="U205" i="33"/>
  <c r="R205" i="33"/>
  <c r="L205" i="33"/>
  <c r="K205" i="33"/>
  <c r="AT203" i="33"/>
  <c r="AS203" i="33"/>
  <c r="AR203" i="33"/>
  <c r="AQ203" i="33"/>
  <c r="AP203" i="33"/>
  <c r="AO203" i="33"/>
  <c r="AN203" i="33"/>
  <c r="AM203" i="33"/>
  <c r="D203" i="34" s="1"/>
  <c r="AL203" i="33"/>
  <c r="AK203" i="33"/>
  <c r="AJ203" i="33"/>
  <c r="AI203" i="33"/>
  <c r="AG203" i="33"/>
  <c r="AF203" i="33"/>
  <c r="AC203" i="33"/>
  <c r="AD203" i="33" s="1"/>
  <c r="AA203" i="33"/>
  <c r="AB203" i="33" s="1"/>
  <c r="Y203" i="33"/>
  <c r="W203" i="33"/>
  <c r="U203" i="33"/>
  <c r="R203" i="33"/>
  <c r="L203" i="33"/>
  <c r="K203" i="33"/>
  <c r="AT201" i="33"/>
  <c r="AS201" i="33"/>
  <c r="AR201" i="33"/>
  <c r="AQ201" i="33"/>
  <c r="AP201" i="33"/>
  <c r="AO201" i="33"/>
  <c r="AN201" i="33"/>
  <c r="AM201" i="33"/>
  <c r="D201" i="34" s="1"/>
  <c r="AL201" i="33"/>
  <c r="AK201" i="33"/>
  <c r="AJ201" i="33"/>
  <c r="AI201" i="33"/>
  <c r="AG201" i="33"/>
  <c r="AF201" i="33"/>
  <c r="AC201" i="33"/>
  <c r="AD201" i="33" s="1"/>
  <c r="AA201" i="33"/>
  <c r="B201" i="34" s="1"/>
  <c r="C201" i="34" s="1"/>
  <c r="Y201" i="33"/>
  <c r="W201" i="33"/>
  <c r="U201" i="33"/>
  <c r="R201" i="33"/>
  <c r="L201" i="33"/>
  <c r="K201" i="33"/>
  <c r="AT199" i="33"/>
  <c r="AS199" i="33"/>
  <c r="AR199" i="33"/>
  <c r="AQ199" i="33"/>
  <c r="AP199" i="33"/>
  <c r="AO199" i="33"/>
  <c r="AN199" i="33"/>
  <c r="AM199" i="33"/>
  <c r="D199" i="34" s="1"/>
  <c r="AL199" i="33"/>
  <c r="AK199" i="33"/>
  <c r="AJ199" i="33"/>
  <c r="AI199" i="33"/>
  <c r="AG199" i="33"/>
  <c r="AF199" i="33"/>
  <c r="AC199" i="33"/>
  <c r="AD199" i="33" s="1"/>
  <c r="AA199" i="33"/>
  <c r="B199" i="34" s="1"/>
  <c r="C199" i="34" s="1"/>
  <c r="Y199" i="33"/>
  <c r="W199" i="33"/>
  <c r="U199" i="33"/>
  <c r="R199" i="33"/>
  <c r="L199" i="33"/>
  <c r="K199" i="33"/>
  <c r="AT197" i="33"/>
  <c r="AS197" i="33"/>
  <c r="AR197" i="33"/>
  <c r="AQ197" i="33"/>
  <c r="AP197" i="33"/>
  <c r="AO197" i="33"/>
  <c r="AN197" i="33"/>
  <c r="AM197" i="33"/>
  <c r="D197" i="34" s="1"/>
  <c r="AL197" i="33"/>
  <c r="AK197" i="33"/>
  <c r="AJ197" i="33"/>
  <c r="AI197" i="33"/>
  <c r="AG197" i="33"/>
  <c r="AF197" i="33"/>
  <c r="AC197" i="33"/>
  <c r="AD197" i="33" s="1"/>
  <c r="AA197" i="33"/>
  <c r="B197" i="34" s="1"/>
  <c r="C197" i="34" s="1"/>
  <c r="Y197" i="33"/>
  <c r="W197" i="33"/>
  <c r="U197" i="33"/>
  <c r="R197" i="33"/>
  <c r="L197" i="33"/>
  <c r="K197" i="33"/>
  <c r="AT195" i="33"/>
  <c r="AS195" i="33"/>
  <c r="AR195" i="33"/>
  <c r="AQ195" i="33"/>
  <c r="AP195" i="33"/>
  <c r="AO195" i="33"/>
  <c r="AN195" i="33"/>
  <c r="AM195" i="33"/>
  <c r="D195" i="34" s="1"/>
  <c r="AL195" i="33"/>
  <c r="AK195" i="33"/>
  <c r="AJ195" i="33"/>
  <c r="AI195" i="33"/>
  <c r="AG195" i="33"/>
  <c r="AF195" i="33"/>
  <c r="AC195" i="33"/>
  <c r="AD195" i="33" s="1"/>
  <c r="AA195" i="33"/>
  <c r="AB195" i="33" s="1"/>
  <c r="Y195" i="33"/>
  <c r="W195" i="33"/>
  <c r="U195" i="33"/>
  <c r="R195" i="33"/>
  <c r="L195" i="33"/>
  <c r="K195" i="33"/>
  <c r="AT193" i="33"/>
  <c r="AS193" i="33"/>
  <c r="AR193" i="33"/>
  <c r="AQ193" i="33"/>
  <c r="AP193" i="33"/>
  <c r="AO193" i="33"/>
  <c r="AN193" i="33"/>
  <c r="AM193" i="33"/>
  <c r="D193" i="34" s="1"/>
  <c r="AL193" i="33"/>
  <c r="AK193" i="33"/>
  <c r="AJ193" i="33"/>
  <c r="AI193" i="33"/>
  <c r="AG193" i="33"/>
  <c r="AF193" i="33"/>
  <c r="AC193" i="33"/>
  <c r="AD193" i="33" s="1"/>
  <c r="AA193" i="33"/>
  <c r="B193" i="34" s="1"/>
  <c r="C193" i="34" s="1"/>
  <c r="Y193" i="33"/>
  <c r="W193" i="33"/>
  <c r="U193" i="33"/>
  <c r="R193" i="33"/>
  <c r="L193" i="33"/>
  <c r="K193" i="33"/>
  <c r="AG191" i="33"/>
  <c r="AF191" i="33"/>
  <c r="AB191" i="33"/>
  <c r="W191" i="33"/>
  <c r="U191" i="33"/>
  <c r="R191" i="33"/>
  <c r="L191" i="33"/>
  <c r="K191" i="33"/>
  <c r="AY190" i="33"/>
  <c r="AX190" i="33"/>
  <c r="AW190" i="33"/>
  <c r="AV190" i="33"/>
  <c r="AT189" i="33"/>
  <c r="AS189" i="33"/>
  <c r="AR189" i="33"/>
  <c r="AQ189" i="33"/>
  <c r="AP189" i="33"/>
  <c r="AO189" i="33"/>
  <c r="AN189" i="33"/>
  <c r="AM189" i="33"/>
  <c r="D189" i="34" s="1"/>
  <c r="AL189" i="33"/>
  <c r="AK189" i="33"/>
  <c r="AJ189" i="33"/>
  <c r="AI189" i="33"/>
  <c r="AG189" i="33"/>
  <c r="AF189" i="33"/>
  <c r="AC189" i="33"/>
  <c r="AD189" i="33" s="1"/>
  <c r="AA189" i="33"/>
  <c r="AB189" i="33" s="1"/>
  <c r="Y189" i="33"/>
  <c r="W189" i="33"/>
  <c r="U189" i="33"/>
  <c r="R189" i="33"/>
  <c r="L189" i="33"/>
  <c r="K189" i="33"/>
  <c r="AT187" i="33"/>
  <c r="AS187" i="33"/>
  <c r="AR187" i="33"/>
  <c r="AQ187" i="33"/>
  <c r="AP187" i="33"/>
  <c r="AO187" i="33"/>
  <c r="AN187" i="33"/>
  <c r="AM187" i="33"/>
  <c r="D187" i="34" s="1"/>
  <c r="AL187" i="33"/>
  <c r="AK187" i="33"/>
  <c r="AJ187" i="33"/>
  <c r="AI187" i="33"/>
  <c r="AG187" i="33"/>
  <c r="AF187" i="33"/>
  <c r="AC187" i="33"/>
  <c r="AD187" i="33" s="1"/>
  <c r="AA187" i="33"/>
  <c r="B187" i="34" s="1"/>
  <c r="C187" i="34" s="1"/>
  <c r="Y187" i="33"/>
  <c r="W187" i="33"/>
  <c r="U187" i="33"/>
  <c r="R187" i="33"/>
  <c r="L187" i="33"/>
  <c r="K187" i="33"/>
  <c r="AG185" i="33"/>
  <c r="AF185" i="33"/>
  <c r="AB185" i="33"/>
  <c r="W185" i="33"/>
  <c r="U185" i="33"/>
  <c r="R185" i="33"/>
  <c r="L185" i="33"/>
  <c r="K185" i="33"/>
  <c r="AZ184" i="33"/>
  <c r="AY184" i="33"/>
  <c r="AX184" i="33"/>
  <c r="AW184" i="33"/>
  <c r="AV184" i="33"/>
  <c r="AG183" i="33"/>
  <c r="AF183" i="33"/>
  <c r="AB183" i="33"/>
  <c r="W183" i="33"/>
  <c r="U183" i="33"/>
  <c r="R183" i="33"/>
  <c r="L183" i="33"/>
  <c r="K183" i="33"/>
  <c r="AZ182" i="33"/>
  <c r="AY182" i="33"/>
  <c r="AX182" i="33"/>
  <c r="AW182" i="33"/>
  <c r="AV182" i="33"/>
  <c r="AG181" i="33"/>
  <c r="AF181" i="33"/>
  <c r="AB181" i="33"/>
  <c r="W181" i="33"/>
  <c r="U181" i="33"/>
  <c r="R181" i="33"/>
  <c r="L181" i="33"/>
  <c r="K181" i="33"/>
  <c r="AZ180" i="33"/>
  <c r="AY180" i="33"/>
  <c r="AX180" i="33"/>
  <c r="AW180" i="33"/>
  <c r="AV180" i="33"/>
  <c r="Y181" i="33" s="1"/>
  <c r="AE181" i="33" s="1"/>
  <c r="AG179" i="33"/>
  <c r="AF179" i="33"/>
  <c r="AB179" i="33"/>
  <c r="W179" i="33"/>
  <c r="U179" i="33"/>
  <c r="R179" i="33"/>
  <c r="L179" i="33"/>
  <c r="K179" i="33"/>
  <c r="AZ178" i="33"/>
  <c r="AY178" i="33"/>
  <c r="AX178" i="33"/>
  <c r="AW178" i="33"/>
  <c r="AV178" i="33"/>
  <c r="AG177" i="33"/>
  <c r="AF177" i="33"/>
  <c r="AB177" i="33"/>
  <c r="W177" i="33"/>
  <c r="U177" i="33"/>
  <c r="R177" i="33"/>
  <c r="L177" i="33"/>
  <c r="K177" i="33"/>
  <c r="AZ176" i="33"/>
  <c r="AY176" i="33"/>
  <c r="AX176" i="33"/>
  <c r="AW176" i="33"/>
  <c r="AV176" i="33"/>
  <c r="AT173" i="33"/>
  <c r="AS173" i="33"/>
  <c r="AR173" i="33"/>
  <c r="AQ173" i="33"/>
  <c r="AP173" i="33"/>
  <c r="AO173" i="33"/>
  <c r="AN173" i="33"/>
  <c r="AM173" i="33"/>
  <c r="D173" i="34" s="1"/>
  <c r="AL173" i="33"/>
  <c r="AK173" i="33"/>
  <c r="AJ173" i="33"/>
  <c r="AI173" i="33"/>
  <c r="AG173" i="33"/>
  <c r="AF173" i="33"/>
  <c r="AC173" i="33"/>
  <c r="AD173" i="33" s="1"/>
  <c r="AA173" i="33"/>
  <c r="B173" i="34" s="1"/>
  <c r="C173" i="34" s="1"/>
  <c r="Y173" i="33"/>
  <c r="W173" i="33"/>
  <c r="U173" i="33"/>
  <c r="R173" i="33"/>
  <c r="L173" i="33"/>
  <c r="K173" i="33"/>
  <c r="AT171" i="33"/>
  <c r="AS171" i="33"/>
  <c r="AR171" i="33"/>
  <c r="AQ171" i="33"/>
  <c r="AP171" i="33"/>
  <c r="AO171" i="33"/>
  <c r="AN171" i="33"/>
  <c r="AM171" i="33"/>
  <c r="D171" i="34" s="1"/>
  <c r="AL171" i="33"/>
  <c r="AK171" i="33"/>
  <c r="AJ171" i="33"/>
  <c r="AI171" i="33"/>
  <c r="AG171" i="33"/>
  <c r="AF171" i="33"/>
  <c r="AC171" i="33"/>
  <c r="AD171" i="33" s="1"/>
  <c r="AB171" i="33"/>
  <c r="Y171" i="33"/>
  <c r="AE171" i="33" s="1"/>
  <c r="W171" i="33"/>
  <c r="U171" i="33"/>
  <c r="R171" i="33"/>
  <c r="L171" i="33"/>
  <c r="K171" i="33"/>
  <c r="AT169" i="33"/>
  <c r="AS169" i="33"/>
  <c r="AR169" i="33"/>
  <c r="AQ169" i="33"/>
  <c r="AP169" i="33"/>
  <c r="AO169" i="33"/>
  <c r="AN169" i="33"/>
  <c r="AM169" i="33"/>
  <c r="D169" i="34" s="1"/>
  <c r="AL169" i="33"/>
  <c r="AK169" i="33"/>
  <c r="AJ169" i="33"/>
  <c r="AI169" i="33"/>
  <c r="AG169" i="33"/>
  <c r="AF169" i="33"/>
  <c r="AC169" i="33"/>
  <c r="AD169" i="33" s="1"/>
  <c r="AB169" i="33"/>
  <c r="Y169" i="33"/>
  <c r="AE169" i="33" s="1"/>
  <c r="W169" i="33"/>
  <c r="U169" i="33"/>
  <c r="R169" i="33"/>
  <c r="L169" i="33"/>
  <c r="K169" i="33"/>
  <c r="AT167" i="33"/>
  <c r="AS167" i="33"/>
  <c r="AR167" i="33"/>
  <c r="AQ167" i="33"/>
  <c r="AP167" i="33"/>
  <c r="AO167" i="33"/>
  <c r="AN167" i="33"/>
  <c r="AM167" i="33"/>
  <c r="D167" i="34" s="1"/>
  <c r="AL167" i="33"/>
  <c r="AK167" i="33"/>
  <c r="AJ167" i="33"/>
  <c r="AI167" i="33"/>
  <c r="AG167" i="33"/>
  <c r="AF167" i="33"/>
  <c r="AC167" i="33"/>
  <c r="AD167" i="33" s="1"/>
  <c r="AB167" i="33"/>
  <c r="Y167" i="33"/>
  <c r="AE167" i="33" s="1"/>
  <c r="W167" i="33"/>
  <c r="U167" i="33"/>
  <c r="R167" i="33"/>
  <c r="L167" i="33"/>
  <c r="K167" i="33"/>
  <c r="AT165" i="33"/>
  <c r="AS165" i="33"/>
  <c r="AR165" i="33"/>
  <c r="AQ165" i="33"/>
  <c r="AP165" i="33"/>
  <c r="AO165" i="33"/>
  <c r="AN165" i="33"/>
  <c r="AM165" i="33"/>
  <c r="D165" i="34" s="1"/>
  <c r="AL165" i="33"/>
  <c r="AK165" i="33"/>
  <c r="AJ165" i="33"/>
  <c r="AI165" i="33"/>
  <c r="AG165" i="33"/>
  <c r="AF165" i="33"/>
  <c r="AC165" i="33"/>
  <c r="AD165" i="33" s="1"/>
  <c r="AB165" i="33"/>
  <c r="Y165" i="33"/>
  <c r="AE165" i="33" s="1"/>
  <c r="W165" i="33"/>
  <c r="U165" i="33"/>
  <c r="R165" i="33"/>
  <c r="L165" i="33"/>
  <c r="K165" i="33"/>
  <c r="AT163" i="33"/>
  <c r="AS163" i="33"/>
  <c r="AR163" i="33"/>
  <c r="AQ163" i="33"/>
  <c r="AP163" i="33"/>
  <c r="AO163" i="33"/>
  <c r="AN163" i="33"/>
  <c r="AM163" i="33"/>
  <c r="D163" i="34" s="1"/>
  <c r="AL163" i="33"/>
  <c r="AK163" i="33"/>
  <c r="AJ163" i="33"/>
  <c r="AI163" i="33"/>
  <c r="AG163" i="33"/>
  <c r="AF163" i="33"/>
  <c r="AC163" i="33"/>
  <c r="AD163" i="33" s="1"/>
  <c r="AB163" i="33"/>
  <c r="Y163" i="33"/>
  <c r="AE163" i="33" s="1"/>
  <c r="W163" i="33"/>
  <c r="U163" i="33"/>
  <c r="R163" i="33"/>
  <c r="L163" i="33"/>
  <c r="K163" i="33"/>
  <c r="AG161" i="33"/>
  <c r="AF161" i="33"/>
  <c r="AB161" i="33"/>
  <c r="Y161" i="33"/>
  <c r="AE161" i="33" s="1"/>
  <c r="W161" i="33"/>
  <c r="U161" i="33"/>
  <c r="R161" i="33"/>
  <c r="L161" i="33"/>
  <c r="K161" i="33"/>
  <c r="BC160" i="33"/>
  <c r="BB160" i="33"/>
  <c r="BA160" i="33"/>
  <c r="AZ160" i="33"/>
  <c r="AY160" i="33"/>
  <c r="AX160" i="33"/>
  <c r="AW160" i="33"/>
  <c r="AG153" i="33"/>
  <c r="AF153" i="33"/>
  <c r="AB153" i="33"/>
  <c r="Y153" i="33"/>
  <c r="AE153" i="33" s="1"/>
  <c r="W153" i="33"/>
  <c r="U153" i="33"/>
  <c r="R153" i="33"/>
  <c r="L153" i="33"/>
  <c r="K153" i="33"/>
  <c r="AY152" i="33"/>
  <c r="AX152" i="33"/>
  <c r="AW152" i="33"/>
  <c r="AG151" i="33"/>
  <c r="AF151" i="33"/>
  <c r="AB151" i="33"/>
  <c r="Y151" i="33"/>
  <c r="AE151" i="33" s="1"/>
  <c r="W151" i="33"/>
  <c r="U151" i="33"/>
  <c r="R151" i="33"/>
  <c r="L151" i="33"/>
  <c r="K151" i="33"/>
  <c r="AY150" i="33"/>
  <c r="AX150" i="33"/>
  <c r="AW150" i="33"/>
  <c r="AG149" i="33"/>
  <c r="AF149" i="33"/>
  <c r="AB149" i="33"/>
  <c r="Y149" i="33"/>
  <c r="AE149" i="33" s="1"/>
  <c r="W149" i="33"/>
  <c r="U149" i="33"/>
  <c r="R149" i="33"/>
  <c r="L149" i="33"/>
  <c r="K149" i="33"/>
  <c r="AY148" i="33"/>
  <c r="AX148" i="33"/>
  <c r="AW148" i="33"/>
  <c r="AG147" i="33"/>
  <c r="AF147" i="33"/>
  <c r="AA147" i="33"/>
  <c r="AB147" i="33" s="1"/>
  <c r="W147" i="33"/>
  <c r="U147" i="33"/>
  <c r="R147" i="33"/>
  <c r="L147" i="33"/>
  <c r="K147" i="33"/>
  <c r="BG146" i="33"/>
  <c r="BF146" i="33"/>
  <c r="BE146" i="33"/>
  <c r="BD146" i="33"/>
  <c r="BC146" i="33"/>
  <c r="BB146" i="33"/>
  <c r="BA146" i="33"/>
  <c r="AZ146" i="33"/>
  <c r="AY146" i="33"/>
  <c r="AX146" i="33"/>
  <c r="AW146" i="33"/>
  <c r="AV146" i="33"/>
  <c r="AG145" i="33"/>
  <c r="AF145" i="33"/>
  <c r="AA145" i="33"/>
  <c r="AB145" i="33" s="1"/>
  <c r="W145" i="33"/>
  <c r="U145" i="33"/>
  <c r="R145" i="33"/>
  <c r="L145" i="33"/>
  <c r="K145" i="33"/>
  <c r="BG144" i="33"/>
  <c r="BF144" i="33"/>
  <c r="BE144" i="33"/>
  <c r="BD144" i="33"/>
  <c r="BC144" i="33"/>
  <c r="BB144" i="33"/>
  <c r="BA144" i="33"/>
  <c r="AZ144" i="33"/>
  <c r="AY144" i="33"/>
  <c r="AX144" i="33"/>
  <c r="AW144" i="33"/>
  <c r="AV144" i="33"/>
  <c r="Y145" i="33" s="1"/>
  <c r="AG143" i="33"/>
  <c r="AF143" i="33"/>
  <c r="AA143" i="33"/>
  <c r="AB143" i="33" s="1"/>
  <c r="W143" i="33"/>
  <c r="U143" i="33"/>
  <c r="R143" i="33"/>
  <c r="L143" i="33"/>
  <c r="K143" i="33"/>
  <c r="BG142" i="33"/>
  <c r="BF142" i="33"/>
  <c r="BE142" i="33"/>
  <c r="BD142" i="33"/>
  <c r="BC142" i="33"/>
  <c r="BB142" i="33"/>
  <c r="BA142" i="33"/>
  <c r="AZ142" i="33"/>
  <c r="AY142" i="33"/>
  <c r="AX142" i="33"/>
  <c r="AW142" i="33"/>
  <c r="AV142" i="33"/>
  <c r="AG141" i="33"/>
  <c r="AF141" i="33"/>
  <c r="AA141" i="33"/>
  <c r="B141" i="34" s="1"/>
  <c r="C141" i="34" s="1"/>
  <c r="W141" i="33"/>
  <c r="U141" i="33"/>
  <c r="R141" i="33"/>
  <c r="L141" i="33"/>
  <c r="K141" i="33"/>
  <c r="BG140" i="33"/>
  <c r="BF140" i="33"/>
  <c r="BE140" i="33"/>
  <c r="BD140" i="33"/>
  <c r="BC140" i="33"/>
  <c r="BB140" i="33"/>
  <c r="BA140" i="33"/>
  <c r="AZ140" i="33"/>
  <c r="AY140" i="33"/>
  <c r="AX140" i="33"/>
  <c r="AW140" i="33"/>
  <c r="AV140" i="33"/>
  <c r="Y141" i="33" s="1"/>
  <c r="AT139" i="33"/>
  <c r="AS139" i="33"/>
  <c r="AR139" i="33"/>
  <c r="AQ139" i="33"/>
  <c r="AP139" i="33"/>
  <c r="AO139" i="33"/>
  <c r="AN139" i="33"/>
  <c r="AM139" i="33"/>
  <c r="D139" i="34" s="1"/>
  <c r="AL139" i="33"/>
  <c r="AK139" i="33"/>
  <c r="AJ139" i="33"/>
  <c r="AI139" i="33"/>
  <c r="AG139" i="33"/>
  <c r="AF139" i="33"/>
  <c r="AC139" i="33"/>
  <c r="AD139" i="33" s="1"/>
  <c r="AA139" i="33"/>
  <c r="B139" i="34" s="1"/>
  <c r="C139" i="34" s="1"/>
  <c r="Y139" i="33"/>
  <c r="W139" i="33"/>
  <c r="U139" i="33"/>
  <c r="R139" i="33"/>
  <c r="L139" i="33"/>
  <c r="K139" i="33"/>
  <c r="AT137" i="33"/>
  <c r="AS137" i="33"/>
  <c r="AR137" i="33"/>
  <c r="AQ137" i="33"/>
  <c r="AP137" i="33"/>
  <c r="AO137" i="33"/>
  <c r="AN137" i="33"/>
  <c r="AM137" i="33"/>
  <c r="D137" i="34" s="1"/>
  <c r="AL137" i="33"/>
  <c r="AK137" i="33"/>
  <c r="AJ137" i="33"/>
  <c r="AI137" i="33"/>
  <c r="AG137" i="33"/>
  <c r="AF137" i="33"/>
  <c r="AC137" i="33"/>
  <c r="AD137" i="33" s="1"/>
  <c r="AA137" i="33"/>
  <c r="AB137" i="33" s="1"/>
  <c r="Y137" i="33"/>
  <c r="W137" i="33"/>
  <c r="U137" i="33"/>
  <c r="R137" i="33"/>
  <c r="L137" i="33"/>
  <c r="K137" i="33"/>
  <c r="AT135" i="33"/>
  <c r="AS135" i="33"/>
  <c r="AR135" i="33"/>
  <c r="AQ135" i="33"/>
  <c r="AP135" i="33"/>
  <c r="AO135" i="33"/>
  <c r="AN135" i="33"/>
  <c r="AM135" i="33"/>
  <c r="D135" i="34" s="1"/>
  <c r="AL135" i="33"/>
  <c r="AK135" i="33"/>
  <c r="AJ135" i="33"/>
  <c r="AI135" i="33"/>
  <c r="AG135" i="33"/>
  <c r="AF135" i="33"/>
  <c r="AC135" i="33"/>
  <c r="AD135" i="33" s="1"/>
  <c r="AA135" i="33"/>
  <c r="B135" i="34" s="1"/>
  <c r="C135" i="34" s="1"/>
  <c r="Y135" i="33"/>
  <c r="W135" i="33"/>
  <c r="U135" i="33"/>
  <c r="R135" i="33"/>
  <c r="L135" i="33"/>
  <c r="K135" i="33"/>
  <c r="AT133" i="33"/>
  <c r="AS133" i="33"/>
  <c r="AR133" i="33"/>
  <c r="AQ133" i="33"/>
  <c r="AP133" i="33"/>
  <c r="AO133" i="33"/>
  <c r="AN133" i="33"/>
  <c r="AM133" i="33"/>
  <c r="D133" i="34" s="1"/>
  <c r="AL133" i="33"/>
  <c r="AK133" i="33"/>
  <c r="AJ133" i="33"/>
  <c r="AI133" i="33"/>
  <c r="AG133" i="33"/>
  <c r="AF133" i="33"/>
  <c r="AC133" i="33"/>
  <c r="AD133" i="33" s="1"/>
  <c r="AA133" i="33"/>
  <c r="B133" i="34" s="1"/>
  <c r="C133" i="34" s="1"/>
  <c r="Y133" i="33"/>
  <c r="W133" i="33"/>
  <c r="U133" i="33"/>
  <c r="R133" i="33"/>
  <c r="L133" i="33"/>
  <c r="K133" i="33"/>
  <c r="AG131" i="33"/>
  <c r="AF131" i="33"/>
  <c r="AA131" i="33"/>
  <c r="AB131" i="33" s="1"/>
  <c r="Y131" i="33"/>
  <c r="W131" i="33"/>
  <c r="U131" i="33"/>
  <c r="R131" i="33"/>
  <c r="L131" i="33"/>
  <c r="K131" i="33"/>
  <c r="AW130" i="33"/>
  <c r="BA130" i="33" s="1"/>
  <c r="AG129" i="33"/>
  <c r="AF129" i="33"/>
  <c r="AA129" i="33"/>
  <c r="B129" i="34" s="1"/>
  <c r="C129" i="34" s="1"/>
  <c r="Y129" i="33"/>
  <c r="W129" i="33"/>
  <c r="U129" i="33"/>
  <c r="R129" i="33"/>
  <c r="L129" i="33"/>
  <c r="K129" i="33"/>
  <c r="AW128" i="33"/>
  <c r="AZ128" i="33" s="1"/>
  <c r="AG127" i="33"/>
  <c r="AF127" i="33"/>
  <c r="AA127" i="33"/>
  <c r="B127" i="34" s="1"/>
  <c r="C127" i="34" s="1"/>
  <c r="Y127" i="33"/>
  <c r="W127" i="33"/>
  <c r="U127" i="33"/>
  <c r="R127" i="33"/>
  <c r="L127" i="33"/>
  <c r="K127" i="33"/>
  <c r="AW126" i="33"/>
  <c r="AZ126" i="33" s="1"/>
  <c r="AG125" i="33"/>
  <c r="AF125" i="33"/>
  <c r="AB125" i="33"/>
  <c r="W125" i="33"/>
  <c r="U125" i="33"/>
  <c r="R125" i="33"/>
  <c r="L125" i="33"/>
  <c r="K125" i="33"/>
  <c r="AY124" i="33"/>
  <c r="AX124" i="33"/>
  <c r="AW124" i="33"/>
  <c r="AV124" i="33"/>
  <c r="Y125" i="33" s="1"/>
  <c r="AE125" i="33" s="1"/>
  <c r="AG123" i="33"/>
  <c r="AF123" i="33"/>
  <c r="AB123" i="33"/>
  <c r="W123" i="33"/>
  <c r="U123" i="33"/>
  <c r="R123" i="33"/>
  <c r="L123" i="33"/>
  <c r="K123" i="33"/>
  <c r="AY122" i="33"/>
  <c r="AX122" i="33"/>
  <c r="AW122" i="33"/>
  <c r="AV122" i="33"/>
  <c r="Y123" i="33" s="1"/>
  <c r="AE123" i="33" s="1"/>
  <c r="AG121" i="33"/>
  <c r="AF121" i="33"/>
  <c r="AB121" i="33"/>
  <c r="W121" i="33"/>
  <c r="U121" i="33"/>
  <c r="R121" i="33"/>
  <c r="L121" i="33"/>
  <c r="K121" i="33"/>
  <c r="AY120" i="33"/>
  <c r="AX120" i="33"/>
  <c r="AW120" i="33"/>
  <c r="AV120" i="33"/>
  <c r="AG119" i="33"/>
  <c r="AF119" i="33"/>
  <c r="AB119" i="33"/>
  <c r="W119" i="33"/>
  <c r="U119" i="33"/>
  <c r="R119" i="33"/>
  <c r="L119" i="33"/>
  <c r="K119" i="33"/>
  <c r="AY118" i="33"/>
  <c r="AX118" i="33"/>
  <c r="AW118" i="33"/>
  <c r="AV118" i="33"/>
  <c r="AG117" i="33"/>
  <c r="AF117" i="33"/>
  <c r="AB117" i="33"/>
  <c r="W117" i="33"/>
  <c r="U117" i="33"/>
  <c r="R117" i="33"/>
  <c r="L117" i="33"/>
  <c r="K117" i="33"/>
  <c r="AY116" i="33"/>
  <c r="AX116" i="33"/>
  <c r="AW116" i="33"/>
  <c r="AV116" i="33"/>
  <c r="Y117" i="33" s="1"/>
  <c r="AE117" i="33" s="1"/>
  <c r="AG115" i="33"/>
  <c r="AF115" i="33"/>
  <c r="AB115" i="33"/>
  <c r="W115" i="33"/>
  <c r="U115" i="33"/>
  <c r="R115" i="33"/>
  <c r="L115" i="33"/>
  <c r="K115" i="33"/>
  <c r="AY114" i="33"/>
  <c r="AX114" i="33"/>
  <c r="AW114" i="33"/>
  <c r="AV114" i="33"/>
  <c r="AG113" i="33"/>
  <c r="AF113" i="33"/>
  <c r="AB113" i="33"/>
  <c r="W113" i="33"/>
  <c r="U113" i="33"/>
  <c r="R113" i="33"/>
  <c r="L113" i="33"/>
  <c r="K113" i="33"/>
  <c r="AY112" i="33"/>
  <c r="AX112" i="33"/>
  <c r="AW112" i="33"/>
  <c r="AV112" i="33"/>
  <c r="Y113" i="33" s="1"/>
  <c r="AE113" i="33" s="1"/>
  <c r="AG111" i="33"/>
  <c r="AF111" i="33"/>
  <c r="AB111" i="33"/>
  <c r="W111" i="33"/>
  <c r="U111" i="33"/>
  <c r="R111" i="33"/>
  <c r="L111" i="33"/>
  <c r="K111" i="33"/>
  <c r="AY110" i="33"/>
  <c r="AX110" i="33"/>
  <c r="AW110" i="33"/>
  <c r="AV110" i="33"/>
  <c r="Y111" i="33" s="1"/>
  <c r="AE111" i="33" s="1"/>
  <c r="AG109" i="33"/>
  <c r="AF109" i="33"/>
  <c r="AB109" i="33"/>
  <c r="W109" i="33"/>
  <c r="U109" i="33"/>
  <c r="R109" i="33"/>
  <c r="L109" i="33"/>
  <c r="K109" i="33"/>
  <c r="AY108" i="33"/>
  <c r="AX108" i="33"/>
  <c r="AW108" i="33"/>
  <c r="AV108" i="33"/>
  <c r="AG107" i="33"/>
  <c r="AF107" i="33"/>
  <c r="AB107" i="33"/>
  <c r="W107" i="33"/>
  <c r="U107" i="33"/>
  <c r="R107" i="33"/>
  <c r="L107" i="33"/>
  <c r="K107" i="33"/>
  <c r="AY106" i="33"/>
  <c r="AX106" i="33"/>
  <c r="AW106" i="33"/>
  <c r="AV106" i="33"/>
  <c r="AG105" i="33"/>
  <c r="AF105" i="33"/>
  <c r="AA105" i="33"/>
  <c r="AB105" i="33" s="1"/>
  <c r="W105" i="33"/>
  <c r="U105" i="33"/>
  <c r="R105" i="33"/>
  <c r="L105" i="33"/>
  <c r="K105" i="33"/>
  <c r="BA104" i="33"/>
  <c r="AZ104" i="33"/>
  <c r="AY104" i="33"/>
  <c r="AX104" i="33"/>
  <c r="AW104" i="33"/>
  <c r="AV104" i="33"/>
  <c r="AG103" i="33"/>
  <c r="AF103" i="33"/>
  <c r="AA103" i="33"/>
  <c r="AB103" i="33" s="1"/>
  <c r="W103" i="33"/>
  <c r="U103" i="33"/>
  <c r="R103" i="33"/>
  <c r="L103" i="33"/>
  <c r="K103" i="33"/>
  <c r="BA102" i="33"/>
  <c r="AZ102" i="33"/>
  <c r="AY102" i="33"/>
  <c r="AX102" i="33"/>
  <c r="AW102" i="33"/>
  <c r="AV102" i="33"/>
  <c r="Y103" i="33" s="1"/>
  <c r="AG101" i="33"/>
  <c r="AF101" i="33"/>
  <c r="AA101" i="33"/>
  <c r="B101" i="34" s="1"/>
  <c r="C101" i="34" s="1"/>
  <c r="W101" i="33"/>
  <c r="U101" i="33"/>
  <c r="R101" i="33"/>
  <c r="L101" i="33"/>
  <c r="K101" i="33"/>
  <c r="BA100" i="33"/>
  <c r="AZ100" i="33"/>
  <c r="AY100" i="33"/>
  <c r="AX100" i="33"/>
  <c r="AW100" i="33"/>
  <c r="AV100" i="33"/>
  <c r="AG99" i="33"/>
  <c r="AF99" i="33"/>
  <c r="AA99" i="33"/>
  <c r="B99" i="34" s="1"/>
  <c r="C99" i="34" s="1"/>
  <c r="W99" i="33"/>
  <c r="U99" i="33"/>
  <c r="R99" i="33"/>
  <c r="L99" i="33"/>
  <c r="K99" i="33"/>
  <c r="BA98" i="33"/>
  <c r="AZ98" i="33"/>
  <c r="AY98" i="33"/>
  <c r="AX98" i="33"/>
  <c r="AW98" i="33"/>
  <c r="AV98" i="33"/>
  <c r="Y99" i="33" s="1"/>
  <c r="AG97" i="33"/>
  <c r="AF97" i="33"/>
  <c r="AA97" i="33"/>
  <c r="B97" i="34" s="1"/>
  <c r="C97" i="34" s="1"/>
  <c r="W97" i="33"/>
  <c r="U97" i="33"/>
  <c r="R97" i="33"/>
  <c r="L97" i="33"/>
  <c r="K97" i="33"/>
  <c r="BA96" i="33"/>
  <c r="AZ96" i="33"/>
  <c r="AY96" i="33"/>
  <c r="AX96" i="33"/>
  <c r="AW96" i="33"/>
  <c r="AV96" i="33"/>
  <c r="AG95" i="33"/>
  <c r="AF95" i="33"/>
  <c r="AA95" i="33"/>
  <c r="B95" i="34" s="1"/>
  <c r="C95" i="34" s="1"/>
  <c r="W95" i="33"/>
  <c r="U95" i="33"/>
  <c r="R95" i="33"/>
  <c r="L95" i="33"/>
  <c r="K95" i="33"/>
  <c r="BA94" i="33"/>
  <c r="AZ94" i="33"/>
  <c r="AY94" i="33"/>
  <c r="AX94" i="33"/>
  <c r="AW94" i="33"/>
  <c r="AV94" i="33"/>
  <c r="Y95" i="33" s="1"/>
  <c r="AG89" i="33"/>
  <c r="AF89" i="33"/>
  <c r="AB89" i="33"/>
  <c r="W89" i="33"/>
  <c r="U89" i="33"/>
  <c r="R89" i="33"/>
  <c r="L89" i="33"/>
  <c r="K89" i="33"/>
  <c r="AX88" i="33"/>
  <c r="AW88" i="33"/>
  <c r="AV88" i="33"/>
  <c r="AG87" i="33"/>
  <c r="AF87" i="33"/>
  <c r="AB87" i="33"/>
  <c r="W87" i="33"/>
  <c r="U87" i="33"/>
  <c r="R87" i="33"/>
  <c r="L87" i="33"/>
  <c r="K87" i="33"/>
  <c r="AY86" i="33"/>
  <c r="AX86" i="33"/>
  <c r="AW86" i="33"/>
  <c r="AV86" i="33"/>
  <c r="AG85" i="33"/>
  <c r="AF85" i="33"/>
  <c r="AB85" i="33"/>
  <c r="W85" i="33"/>
  <c r="U85" i="33"/>
  <c r="R85" i="33"/>
  <c r="L85" i="33"/>
  <c r="K85" i="33"/>
  <c r="AX84" i="33"/>
  <c r="AW84" i="33"/>
  <c r="AV84" i="33"/>
  <c r="AG83" i="33"/>
  <c r="AF83" i="33"/>
  <c r="AB83" i="33"/>
  <c r="W83" i="33"/>
  <c r="U83" i="33"/>
  <c r="R83" i="33"/>
  <c r="L83" i="33"/>
  <c r="K83" i="33"/>
  <c r="AY82" i="33"/>
  <c r="AX82" i="33"/>
  <c r="AW82" i="33"/>
  <c r="AV82" i="33"/>
  <c r="Y83" i="33" s="1"/>
  <c r="AE83" i="33" s="1"/>
  <c r="AG81" i="33"/>
  <c r="AF81" i="33"/>
  <c r="AB81" i="33"/>
  <c r="W81" i="33"/>
  <c r="U81" i="33"/>
  <c r="R81" i="33"/>
  <c r="L81" i="33"/>
  <c r="K81" i="33"/>
  <c r="AY80" i="33"/>
  <c r="AX80" i="33"/>
  <c r="AW80" i="33"/>
  <c r="AV80" i="33"/>
  <c r="AG79" i="33"/>
  <c r="AF79" i="33"/>
  <c r="AB79" i="33"/>
  <c r="W79" i="33"/>
  <c r="U79" i="33"/>
  <c r="R79" i="33"/>
  <c r="L79" i="33"/>
  <c r="K79" i="33"/>
  <c r="AX78" i="33"/>
  <c r="AW78" i="33"/>
  <c r="AV78" i="33"/>
  <c r="AG77" i="33"/>
  <c r="AF77" i="33"/>
  <c r="AB77" i="33"/>
  <c r="W77" i="33"/>
  <c r="U77" i="33"/>
  <c r="R77" i="33"/>
  <c r="L77" i="33"/>
  <c r="K77" i="33"/>
  <c r="AY76" i="33"/>
  <c r="AX76" i="33"/>
  <c r="AW76" i="33"/>
  <c r="AV76" i="33"/>
  <c r="AG75" i="33"/>
  <c r="AF75" i="33"/>
  <c r="AB75" i="33"/>
  <c r="W75" i="33"/>
  <c r="U75" i="33"/>
  <c r="R75" i="33"/>
  <c r="L75" i="33"/>
  <c r="K75" i="33"/>
  <c r="AZ74" i="33"/>
  <c r="AY74" i="33"/>
  <c r="AX74" i="33"/>
  <c r="AW74" i="33"/>
  <c r="AV74" i="33"/>
  <c r="AG73" i="33"/>
  <c r="AF73" i="33"/>
  <c r="AB73" i="33"/>
  <c r="W73" i="33"/>
  <c r="U73" i="33"/>
  <c r="R73" i="33"/>
  <c r="L73" i="33"/>
  <c r="K73" i="33"/>
  <c r="AZ72" i="33"/>
  <c r="AY72" i="33"/>
  <c r="AX72" i="33"/>
  <c r="AW72" i="33"/>
  <c r="AV72" i="33"/>
  <c r="AT69" i="33"/>
  <c r="AS69" i="33"/>
  <c r="AR69" i="33"/>
  <c r="AQ69" i="33"/>
  <c r="AP69" i="33"/>
  <c r="AO69" i="33"/>
  <c r="AN69" i="33"/>
  <c r="AM69" i="33"/>
  <c r="D69" i="34" s="1"/>
  <c r="AL69" i="33"/>
  <c r="AK69" i="33"/>
  <c r="AJ69" i="33"/>
  <c r="AI69" i="33"/>
  <c r="AG69" i="33"/>
  <c r="AF69" i="33"/>
  <c r="AC69" i="33"/>
  <c r="AD69" i="33" s="1"/>
  <c r="AA69" i="33"/>
  <c r="B69" i="34" s="1"/>
  <c r="C69" i="34" s="1"/>
  <c r="Y69" i="33"/>
  <c r="W69" i="33"/>
  <c r="U69" i="33"/>
  <c r="R69" i="33"/>
  <c r="L69" i="33"/>
  <c r="K69" i="33"/>
  <c r="AT67" i="33"/>
  <c r="AS67" i="33"/>
  <c r="AR67" i="33"/>
  <c r="AQ67" i="33"/>
  <c r="AP67" i="33"/>
  <c r="AO67" i="33"/>
  <c r="AN67" i="33"/>
  <c r="AM67" i="33"/>
  <c r="D67" i="34" s="1"/>
  <c r="AL67" i="33"/>
  <c r="AK67" i="33"/>
  <c r="AJ67" i="33"/>
  <c r="AI67" i="33"/>
  <c r="AG67" i="33"/>
  <c r="AF67" i="33"/>
  <c r="AC67" i="33"/>
  <c r="AD67" i="33" s="1"/>
  <c r="AA67" i="33"/>
  <c r="AB67" i="33" s="1"/>
  <c r="Y67" i="33"/>
  <c r="W67" i="33"/>
  <c r="U67" i="33"/>
  <c r="R67" i="33"/>
  <c r="L67" i="33"/>
  <c r="K67" i="33"/>
  <c r="AT65" i="33"/>
  <c r="AS65" i="33"/>
  <c r="AR65" i="33"/>
  <c r="AQ65" i="33"/>
  <c r="AP65" i="33"/>
  <c r="AO65" i="33"/>
  <c r="AN65" i="33"/>
  <c r="AM65" i="33"/>
  <c r="D65" i="34" s="1"/>
  <c r="AL65" i="33"/>
  <c r="AK65" i="33"/>
  <c r="AJ65" i="33"/>
  <c r="AI65" i="33"/>
  <c r="AG65" i="33"/>
  <c r="AF65" i="33"/>
  <c r="AC65" i="33"/>
  <c r="AD65" i="33" s="1"/>
  <c r="AA65" i="33"/>
  <c r="AB65" i="33" s="1"/>
  <c r="Y65" i="33"/>
  <c r="W65" i="33"/>
  <c r="U65" i="33"/>
  <c r="R65" i="33"/>
  <c r="L65" i="33"/>
  <c r="K65" i="33"/>
  <c r="AT63" i="33"/>
  <c r="AS63" i="33"/>
  <c r="AR63" i="33"/>
  <c r="AQ63" i="33"/>
  <c r="AP63" i="33"/>
  <c r="AO63" i="33"/>
  <c r="AN63" i="33"/>
  <c r="AM63" i="33"/>
  <c r="D63" i="34" s="1"/>
  <c r="AL63" i="33"/>
  <c r="AK63" i="33"/>
  <c r="AJ63" i="33"/>
  <c r="AI63" i="33"/>
  <c r="AG63" i="33"/>
  <c r="AF63" i="33"/>
  <c r="AC63" i="33"/>
  <c r="AD63" i="33" s="1"/>
  <c r="AA63" i="33"/>
  <c r="B63" i="34" s="1"/>
  <c r="C63" i="34" s="1"/>
  <c r="Y63" i="33"/>
  <c r="W63" i="33"/>
  <c r="U63" i="33"/>
  <c r="R63" i="33"/>
  <c r="L63" i="33"/>
  <c r="K63" i="33"/>
  <c r="AT61" i="33"/>
  <c r="AS61" i="33"/>
  <c r="AR61" i="33"/>
  <c r="AQ61" i="33"/>
  <c r="AP61" i="33"/>
  <c r="AO61" i="33"/>
  <c r="AN61" i="33"/>
  <c r="AM61" i="33"/>
  <c r="D61" i="34" s="1"/>
  <c r="AL61" i="33"/>
  <c r="AK61" i="33"/>
  <c r="AJ61" i="33"/>
  <c r="AI61" i="33"/>
  <c r="AG61" i="33"/>
  <c r="AF61" i="33"/>
  <c r="AC61" i="33"/>
  <c r="AD61" i="33" s="1"/>
  <c r="AA61" i="33"/>
  <c r="AB61" i="33" s="1"/>
  <c r="Y61" i="33"/>
  <c r="W61" i="33"/>
  <c r="U61" i="33"/>
  <c r="R61" i="33"/>
  <c r="L61" i="33"/>
  <c r="K61" i="33"/>
  <c r="AT59" i="33"/>
  <c r="AS59" i="33"/>
  <c r="AR59" i="33"/>
  <c r="AQ59" i="33"/>
  <c r="AP59" i="33"/>
  <c r="AO59" i="33"/>
  <c r="AN59" i="33"/>
  <c r="AM59" i="33"/>
  <c r="D59" i="34" s="1"/>
  <c r="AL59" i="33"/>
  <c r="AK59" i="33"/>
  <c r="AJ59" i="33"/>
  <c r="AI59" i="33"/>
  <c r="AG59" i="33"/>
  <c r="AF59" i="33"/>
  <c r="AC59" i="33"/>
  <c r="AD59" i="33" s="1"/>
  <c r="AA59" i="33"/>
  <c r="AB59" i="33" s="1"/>
  <c r="Y59" i="33"/>
  <c r="W59" i="33"/>
  <c r="U59" i="33"/>
  <c r="R59" i="33"/>
  <c r="L59" i="33"/>
  <c r="K59" i="33"/>
  <c r="AT57" i="33"/>
  <c r="AS57" i="33"/>
  <c r="AR57" i="33"/>
  <c r="AQ57" i="33"/>
  <c r="AP57" i="33"/>
  <c r="AO57" i="33"/>
  <c r="AN57" i="33"/>
  <c r="AM57" i="33"/>
  <c r="D57" i="34" s="1"/>
  <c r="AL57" i="33"/>
  <c r="AK57" i="33"/>
  <c r="AJ57" i="33"/>
  <c r="AI57" i="33"/>
  <c r="AG57" i="33"/>
  <c r="AF57" i="33"/>
  <c r="AC57" i="33"/>
  <c r="AD57" i="33" s="1"/>
  <c r="AA57" i="33"/>
  <c r="B57" i="34" s="1"/>
  <c r="C57" i="34" s="1"/>
  <c r="Y57" i="33"/>
  <c r="W57" i="33"/>
  <c r="U57" i="33"/>
  <c r="R57" i="33"/>
  <c r="L57" i="33"/>
  <c r="K57" i="33"/>
  <c r="AG55" i="33"/>
  <c r="AF55" i="33"/>
  <c r="AB55" i="33"/>
  <c r="Y55" i="33"/>
  <c r="AE55" i="33" s="1"/>
  <c r="W55" i="33"/>
  <c r="U55" i="33"/>
  <c r="R55" i="33"/>
  <c r="L55" i="33"/>
  <c r="K55" i="33"/>
  <c r="BD54" i="33"/>
  <c r="BC54" i="33"/>
  <c r="BB54" i="33"/>
  <c r="BA54" i="33"/>
  <c r="AZ54" i="33"/>
  <c r="AY54" i="33"/>
  <c r="AX54" i="33"/>
  <c r="AW54" i="33"/>
  <c r="AG53" i="33"/>
  <c r="AF53" i="33"/>
  <c r="AB53" i="33"/>
  <c r="Y53" i="33"/>
  <c r="AE53" i="33" s="1"/>
  <c r="W53" i="33"/>
  <c r="U53" i="33"/>
  <c r="R53" i="33"/>
  <c r="L53" i="33"/>
  <c r="K53" i="33"/>
  <c r="BD52" i="33"/>
  <c r="BC52" i="33"/>
  <c r="BB52" i="33"/>
  <c r="BA52" i="33"/>
  <c r="AZ52" i="33"/>
  <c r="AY52" i="33"/>
  <c r="AX52" i="33"/>
  <c r="AW52" i="33"/>
  <c r="AG51" i="33"/>
  <c r="AF51" i="33"/>
  <c r="AB51" i="33"/>
  <c r="Y51" i="33"/>
  <c r="AE51" i="33" s="1"/>
  <c r="W51" i="33"/>
  <c r="U51" i="33"/>
  <c r="R51" i="33"/>
  <c r="L51" i="33"/>
  <c r="K51" i="33"/>
  <c r="BD50" i="33"/>
  <c r="BC50" i="33"/>
  <c r="BB50" i="33"/>
  <c r="BA50" i="33"/>
  <c r="AZ50" i="33"/>
  <c r="AY50" i="33"/>
  <c r="AX50" i="33"/>
  <c r="AW50" i="33"/>
  <c r="AG49" i="33"/>
  <c r="AF49" i="33"/>
  <c r="AB49" i="33"/>
  <c r="Y49" i="33"/>
  <c r="AE49" i="33" s="1"/>
  <c r="W49" i="33"/>
  <c r="U49" i="33"/>
  <c r="R49" i="33"/>
  <c r="L49" i="33"/>
  <c r="K49" i="33"/>
  <c r="BD48" i="33"/>
  <c r="BC48" i="33"/>
  <c r="BB48" i="33"/>
  <c r="BA48" i="33"/>
  <c r="AZ48" i="33"/>
  <c r="AY48" i="33"/>
  <c r="AX48" i="33"/>
  <c r="AW48" i="33"/>
  <c r="AG47" i="33"/>
  <c r="AF47" i="33"/>
  <c r="AB47" i="33"/>
  <c r="Y47" i="33"/>
  <c r="AE47" i="33" s="1"/>
  <c r="W47" i="33"/>
  <c r="U47" i="33"/>
  <c r="R47" i="33"/>
  <c r="L47" i="33"/>
  <c r="K47" i="33"/>
  <c r="BD46" i="33"/>
  <c r="BC46" i="33"/>
  <c r="BB46" i="33"/>
  <c r="BA46" i="33"/>
  <c r="AZ46" i="33"/>
  <c r="AY46" i="33"/>
  <c r="AX46" i="33"/>
  <c r="AW46" i="33"/>
  <c r="AG45" i="33"/>
  <c r="AF45" i="33"/>
  <c r="AB45" i="33"/>
  <c r="Y45" i="33"/>
  <c r="AE45" i="33" s="1"/>
  <c r="W45" i="33"/>
  <c r="U45" i="33"/>
  <c r="R45" i="33"/>
  <c r="L45" i="33"/>
  <c r="K45" i="33"/>
  <c r="BD44" i="33"/>
  <c r="BC44" i="33"/>
  <c r="BB44" i="33"/>
  <c r="BA44" i="33"/>
  <c r="AZ44" i="33"/>
  <c r="AY44" i="33"/>
  <c r="AX44" i="33"/>
  <c r="AW44" i="33"/>
  <c r="AG43" i="33"/>
  <c r="AF43" i="33"/>
  <c r="AB43" i="33"/>
  <c r="W43" i="33"/>
  <c r="U43" i="33"/>
  <c r="R43" i="33"/>
  <c r="L43" i="33"/>
  <c r="K43" i="33"/>
  <c r="BD42" i="33"/>
  <c r="BC42" i="33"/>
  <c r="BB42" i="33"/>
  <c r="BA42" i="33"/>
  <c r="AZ42" i="33"/>
  <c r="AY42" i="33"/>
  <c r="AX42" i="33"/>
  <c r="AW42" i="33"/>
  <c r="AV42" i="33"/>
  <c r="Y43" i="33" s="1"/>
  <c r="AE43" i="33" s="1"/>
  <c r="AG41" i="33"/>
  <c r="AF41" i="33"/>
  <c r="AB41" i="33"/>
  <c r="W41" i="33"/>
  <c r="U41" i="33"/>
  <c r="R41" i="33"/>
  <c r="L41" i="33"/>
  <c r="K41" i="33"/>
  <c r="BD40" i="33"/>
  <c r="BC40" i="33"/>
  <c r="BB40" i="33"/>
  <c r="BA40" i="33"/>
  <c r="AZ40" i="33"/>
  <c r="AY40" i="33"/>
  <c r="AX40" i="33"/>
  <c r="AW40" i="33"/>
  <c r="AV40" i="33"/>
  <c r="AG39" i="33"/>
  <c r="AF39" i="33"/>
  <c r="AB39" i="33"/>
  <c r="W39" i="33"/>
  <c r="U39" i="33"/>
  <c r="R39" i="33"/>
  <c r="L39" i="33"/>
  <c r="K39" i="33"/>
  <c r="BD38" i="33"/>
  <c r="BC38" i="33"/>
  <c r="BB38" i="33"/>
  <c r="BA38" i="33"/>
  <c r="AZ38" i="33"/>
  <c r="AY38" i="33"/>
  <c r="AX38" i="33"/>
  <c r="AW38" i="33"/>
  <c r="AV38" i="33"/>
  <c r="AG37" i="33"/>
  <c r="AF37" i="33"/>
  <c r="AB37" i="33"/>
  <c r="W37" i="33"/>
  <c r="U37" i="33"/>
  <c r="R37" i="33"/>
  <c r="L37" i="33"/>
  <c r="K37" i="33"/>
  <c r="BD36" i="33"/>
  <c r="BC36" i="33"/>
  <c r="BB36" i="33"/>
  <c r="BA36" i="33"/>
  <c r="AZ36" i="33"/>
  <c r="AY36" i="33"/>
  <c r="AX36" i="33"/>
  <c r="AW36" i="33"/>
  <c r="AV36" i="33"/>
  <c r="Y37" i="33" s="1"/>
  <c r="AE37" i="33" s="1"/>
  <c r="AG35" i="33"/>
  <c r="AF35" i="33"/>
  <c r="AB35" i="33"/>
  <c r="W35" i="33"/>
  <c r="U35" i="33"/>
  <c r="R35" i="33"/>
  <c r="L35" i="33"/>
  <c r="K35" i="33"/>
  <c r="BD34" i="33"/>
  <c r="BC34" i="33"/>
  <c r="BB34" i="33"/>
  <c r="BA34" i="33"/>
  <c r="AZ34" i="33"/>
  <c r="AY34" i="33"/>
  <c r="AX34" i="33"/>
  <c r="AW34" i="33"/>
  <c r="AV34" i="33"/>
  <c r="AG33" i="33"/>
  <c r="AF33" i="33"/>
  <c r="AB33" i="33"/>
  <c r="W33" i="33"/>
  <c r="U33" i="33"/>
  <c r="R33" i="33"/>
  <c r="L33" i="33"/>
  <c r="K33" i="33"/>
  <c r="BD32" i="33"/>
  <c r="BC32" i="33"/>
  <c r="BB32" i="33"/>
  <c r="BA32" i="33"/>
  <c r="AZ32" i="33"/>
  <c r="AY32" i="33"/>
  <c r="AX32" i="33"/>
  <c r="AW32" i="33"/>
  <c r="AV32" i="33"/>
  <c r="Y33" i="33" s="1"/>
  <c r="AE33" i="33" s="1"/>
  <c r="AG31" i="33"/>
  <c r="AF31" i="33"/>
  <c r="AB31" i="33"/>
  <c r="W31" i="33"/>
  <c r="U31" i="33"/>
  <c r="R31" i="33"/>
  <c r="L31" i="33"/>
  <c r="K31" i="33"/>
  <c r="BD30" i="33"/>
  <c r="BC30" i="33"/>
  <c r="BB30" i="33"/>
  <c r="BA30" i="33"/>
  <c r="AZ30" i="33"/>
  <c r="AY30" i="33"/>
  <c r="AX30" i="33"/>
  <c r="AW30" i="33"/>
  <c r="AV30" i="33"/>
  <c r="AG29" i="33"/>
  <c r="AF29" i="33"/>
  <c r="AB29" i="33"/>
  <c r="W29" i="33"/>
  <c r="U29" i="33"/>
  <c r="R29" i="33"/>
  <c r="L29" i="33"/>
  <c r="K29" i="33"/>
  <c r="BD28" i="33"/>
  <c r="BC28" i="33"/>
  <c r="BB28" i="33"/>
  <c r="BA28" i="33"/>
  <c r="AZ28" i="33"/>
  <c r="AY28" i="33"/>
  <c r="AX28" i="33"/>
  <c r="AW28" i="33"/>
  <c r="AV28" i="33"/>
  <c r="AG27" i="33"/>
  <c r="AF27" i="33"/>
  <c r="AB27" i="33"/>
  <c r="W27" i="33"/>
  <c r="U27" i="33"/>
  <c r="R27" i="33"/>
  <c r="L27" i="33"/>
  <c r="K27" i="33"/>
  <c r="BD26" i="33"/>
  <c r="BC26" i="33"/>
  <c r="BB26" i="33"/>
  <c r="BA26" i="33"/>
  <c r="AZ26" i="33"/>
  <c r="AY26" i="33"/>
  <c r="AX26" i="33"/>
  <c r="AW26" i="33"/>
  <c r="AV26" i="33"/>
  <c r="Y27" i="33" s="1"/>
  <c r="AE27" i="33" s="1"/>
  <c r="AG25" i="33"/>
  <c r="AF25" i="33"/>
  <c r="AB25" i="33"/>
  <c r="W25" i="33"/>
  <c r="U25" i="33"/>
  <c r="R25" i="33"/>
  <c r="L25" i="33"/>
  <c r="K25" i="33"/>
  <c r="BD24" i="33"/>
  <c r="BC24" i="33"/>
  <c r="BB24" i="33"/>
  <c r="BA24" i="33"/>
  <c r="AZ24" i="33"/>
  <c r="AY24" i="33"/>
  <c r="AX24" i="33"/>
  <c r="AW24" i="33"/>
  <c r="AV24" i="33"/>
  <c r="AG23" i="33"/>
  <c r="AF23" i="33"/>
  <c r="AB23" i="33"/>
  <c r="W23" i="33"/>
  <c r="U23" i="33"/>
  <c r="R23" i="33"/>
  <c r="L23" i="33"/>
  <c r="K23" i="33"/>
  <c r="BD22" i="33"/>
  <c r="BC22" i="33"/>
  <c r="BB22" i="33"/>
  <c r="BA22" i="33"/>
  <c r="AZ22" i="33"/>
  <c r="AY22" i="33"/>
  <c r="AX22" i="33"/>
  <c r="AW22" i="33"/>
  <c r="AV22" i="33"/>
  <c r="AG21" i="33"/>
  <c r="AF21" i="33"/>
  <c r="AB21" i="33"/>
  <c r="W21" i="33"/>
  <c r="U21" i="33"/>
  <c r="R21" i="33"/>
  <c r="L21" i="33"/>
  <c r="K21" i="33"/>
  <c r="BD20" i="33"/>
  <c r="BC20" i="33"/>
  <c r="BB20" i="33"/>
  <c r="BA20" i="33"/>
  <c r="AZ20" i="33"/>
  <c r="AY20" i="33"/>
  <c r="AX20" i="33"/>
  <c r="AW20" i="33"/>
  <c r="AV20" i="33"/>
  <c r="Y21" i="33" s="1"/>
  <c r="AE21" i="33" s="1"/>
  <c r="AG19" i="33"/>
  <c r="AF19" i="33"/>
  <c r="AB19" i="33"/>
  <c r="W19" i="33"/>
  <c r="U19" i="33"/>
  <c r="R19" i="33"/>
  <c r="L19" i="33"/>
  <c r="K19" i="33"/>
  <c r="BD18" i="33"/>
  <c r="BC18" i="33"/>
  <c r="BB18" i="33"/>
  <c r="BA18" i="33"/>
  <c r="AZ18" i="33"/>
  <c r="AY18" i="33"/>
  <c r="AX18" i="33"/>
  <c r="AW18" i="33"/>
  <c r="AV18" i="33"/>
  <c r="AG17" i="33"/>
  <c r="AF17" i="33"/>
  <c r="AB17" i="33"/>
  <c r="W17" i="33"/>
  <c r="U17" i="33"/>
  <c r="R17" i="33"/>
  <c r="L17" i="33"/>
  <c r="K17" i="33"/>
  <c r="BD16" i="33"/>
  <c r="BC16" i="33"/>
  <c r="BB16" i="33"/>
  <c r="BA16" i="33"/>
  <c r="AZ16" i="33"/>
  <c r="AY16" i="33"/>
  <c r="AX16" i="33"/>
  <c r="AW16" i="33"/>
  <c r="AV16" i="33"/>
  <c r="Y17" i="33" s="1"/>
  <c r="AE17" i="33" s="1"/>
  <c r="AG15" i="33"/>
  <c r="AF15" i="33"/>
  <c r="AB15" i="33"/>
  <c r="W15" i="33"/>
  <c r="U15" i="33"/>
  <c r="R15" i="33"/>
  <c r="L15" i="33"/>
  <c r="K15" i="33"/>
  <c r="BD14" i="33"/>
  <c r="BC14" i="33"/>
  <c r="BB14" i="33"/>
  <c r="BA14" i="33"/>
  <c r="AZ14" i="33"/>
  <c r="AY14" i="33"/>
  <c r="AX14" i="33"/>
  <c r="AW14" i="33"/>
  <c r="AV14" i="33"/>
  <c r="AG13" i="33"/>
  <c r="AF13" i="33"/>
  <c r="AA13" i="33"/>
  <c r="AB13" i="33" s="1"/>
  <c r="W13" i="33"/>
  <c r="U13" i="33"/>
  <c r="R13" i="33"/>
  <c r="L13" i="33"/>
  <c r="K13" i="33"/>
  <c r="AX12" i="33"/>
  <c r="AW12" i="33"/>
  <c r="AV12" i="33"/>
  <c r="AG11" i="33"/>
  <c r="AF11" i="33"/>
  <c r="AA11" i="33"/>
  <c r="AB11" i="33" s="1"/>
  <c r="W11" i="33"/>
  <c r="U11" i="33"/>
  <c r="R11" i="33"/>
  <c r="L11" i="33"/>
  <c r="K11" i="33"/>
  <c r="AX10" i="33"/>
  <c r="AW10" i="33"/>
  <c r="AV10" i="33"/>
  <c r="Y11" i="33" s="1"/>
  <c r="AG9" i="33"/>
  <c r="AF9" i="33"/>
  <c r="AA9" i="33"/>
  <c r="AB9" i="33" s="1"/>
  <c r="W9" i="33"/>
  <c r="U9" i="33"/>
  <c r="R9" i="33"/>
  <c r="L9" i="33"/>
  <c r="K9" i="33"/>
  <c r="AX8" i="33"/>
  <c r="AW8" i="33"/>
  <c r="AV8" i="33"/>
  <c r="AG7" i="33"/>
  <c r="AF7" i="33"/>
  <c r="AA7" i="33"/>
  <c r="AB7" i="33" s="1"/>
  <c r="W7" i="33"/>
  <c r="U7" i="33"/>
  <c r="R7" i="33"/>
  <c r="L7" i="33"/>
  <c r="K7" i="33"/>
  <c r="AX6" i="33"/>
  <c r="AW6" i="33"/>
  <c r="AV6" i="33"/>
  <c r="AT5" i="33"/>
  <c r="AS5" i="33"/>
  <c r="AR5" i="33"/>
  <c r="AQ5" i="33"/>
  <c r="AP5" i="33"/>
  <c r="AO5" i="33"/>
  <c r="AN5" i="33"/>
  <c r="AM5" i="33"/>
  <c r="D5" i="34" s="1"/>
  <c r="AL5" i="33"/>
  <c r="AK5" i="33"/>
  <c r="AJ5" i="33"/>
  <c r="AI5" i="33"/>
  <c r="AG5" i="33"/>
  <c r="AF5" i="33"/>
  <c r="AC5" i="33"/>
  <c r="AD5" i="33" s="1"/>
  <c r="AA5" i="33"/>
  <c r="B5" i="34" s="1"/>
  <c r="C5" i="34" s="1"/>
  <c r="Y5" i="33"/>
  <c r="W5" i="33"/>
  <c r="U5" i="33"/>
  <c r="R5" i="33"/>
  <c r="L5" i="33"/>
  <c r="K5" i="33"/>
  <c r="AT3" i="33"/>
  <c r="AS3" i="33"/>
  <c r="AR3" i="33"/>
  <c r="AQ3" i="33"/>
  <c r="AP3" i="33"/>
  <c r="AO3" i="33"/>
  <c r="AN3" i="33"/>
  <c r="AM3" i="33"/>
  <c r="D3" i="34" s="1"/>
  <c r="AL3" i="33"/>
  <c r="AK3" i="33"/>
  <c r="AJ3" i="33"/>
  <c r="AI3" i="33"/>
  <c r="AG3" i="33"/>
  <c r="AF3" i="33"/>
  <c r="AC3" i="33"/>
  <c r="AD3" i="33" s="1"/>
  <c r="AA3" i="33"/>
  <c r="AB3" i="33" s="1"/>
  <c r="Y3" i="33"/>
  <c r="W3" i="33"/>
  <c r="U3" i="33"/>
  <c r="R3" i="33"/>
  <c r="L3" i="33"/>
  <c r="K3" i="33"/>
  <c r="B299" i="32"/>
  <c r="C299" i="32" s="1"/>
  <c r="A299" i="32"/>
  <c r="A295" i="32"/>
  <c r="A291" i="32"/>
  <c r="A289" i="32"/>
  <c r="A287" i="32"/>
  <c r="A285" i="32"/>
  <c r="A283" i="32"/>
  <c r="B281" i="32"/>
  <c r="C281" i="32" s="1"/>
  <c r="A281" i="32"/>
  <c r="A279" i="32"/>
  <c r="A277" i="32"/>
  <c r="A275" i="32"/>
  <c r="A273" i="32"/>
  <c r="A271" i="32"/>
  <c r="B269" i="32"/>
  <c r="C269" i="32" s="1"/>
  <c r="A269" i="32"/>
  <c r="B267" i="32"/>
  <c r="C267" i="32" s="1"/>
  <c r="A267" i="32"/>
  <c r="B261" i="32"/>
  <c r="C261" i="32" s="1"/>
  <c r="A261" i="32"/>
  <c r="B259" i="32"/>
  <c r="C259" i="32" s="1"/>
  <c r="A259" i="32"/>
  <c r="B257" i="32"/>
  <c r="C257" i="32" s="1"/>
  <c r="A257" i="32"/>
  <c r="B255" i="32"/>
  <c r="C255" i="32" s="1"/>
  <c r="A255" i="32"/>
  <c r="A253" i="32"/>
  <c r="A251" i="32"/>
  <c r="A249" i="32"/>
  <c r="A247" i="32"/>
  <c r="A245" i="32"/>
  <c r="A243" i="32"/>
  <c r="A241" i="32"/>
  <c r="B239" i="32"/>
  <c r="C239" i="32" s="1"/>
  <c r="A239" i="32"/>
  <c r="B237" i="32"/>
  <c r="C237" i="32" s="1"/>
  <c r="A237" i="32"/>
  <c r="B235" i="32"/>
  <c r="C235" i="32" s="1"/>
  <c r="A235" i="32"/>
  <c r="B233" i="32"/>
  <c r="C233" i="32" s="1"/>
  <c r="A233" i="32"/>
  <c r="B231" i="32"/>
  <c r="C231" i="32" s="1"/>
  <c r="A231" i="32"/>
  <c r="B229" i="32"/>
  <c r="C229" i="32" s="1"/>
  <c r="A229" i="32"/>
  <c r="B227" i="32"/>
  <c r="C227" i="32" s="1"/>
  <c r="A227" i="32"/>
  <c r="B225" i="32"/>
  <c r="C225" i="32" s="1"/>
  <c r="A225" i="32"/>
  <c r="B223" i="32"/>
  <c r="C223" i="32" s="1"/>
  <c r="A223" i="32"/>
  <c r="B221" i="32"/>
  <c r="C221" i="32" s="1"/>
  <c r="A221" i="32"/>
  <c r="A191" i="32"/>
  <c r="A189" i="32"/>
  <c r="A171" i="32"/>
  <c r="A169" i="32"/>
  <c r="A167" i="32"/>
  <c r="B165" i="32"/>
  <c r="C165" i="32" s="1"/>
  <c r="A165" i="32"/>
  <c r="B163" i="32"/>
  <c r="C163" i="32" s="1"/>
  <c r="A163" i="32"/>
  <c r="B161" i="32"/>
  <c r="C161" i="32" s="1"/>
  <c r="A161" i="32"/>
  <c r="B159" i="32"/>
  <c r="C159" i="32" s="1"/>
  <c r="A159" i="32"/>
  <c r="B157" i="32"/>
  <c r="C157" i="32" s="1"/>
  <c r="A157" i="32"/>
  <c r="B155" i="32"/>
  <c r="C155" i="32" s="1"/>
  <c r="A155" i="32"/>
  <c r="B153" i="32"/>
  <c r="C153" i="32" s="1"/>
  <c r="A153" i="32"/>
  <c r="B151" i="32"/>
  <c r="C151" i="32" s="1"/>
  <c r="A151" i="32"/>
  <c r="B149" i="32"/>
  <c r="C149" i="32" s="1"/>
  <c r="A149" i="32"/>
  <c r="B147" i="32"/>
  <c r="C147" i="32" s="1"/>
  <c r="A147" i="32"/>
  <c r="A145" i="32"/>
  <c r="A143" i="32"/>
  <c r="A141" i="32"/>
  <c r="A135" i="32"/>
  <c r="A133" i="32"/>
  <c r="A131" i="32"/>
  <c r="A129" i="32"/>
  <c r="A127" i="32"/>
  <c r="A125" i="32"/>
  <c r="A123" i="32"/>
  <c r="A113" i="32"/>
  <c r="B111" i="32"/>
  <c r="C111" i="32" s="1"/>
  <c r="A111" i="32"/>
  <c r="B109" i="32"/>
  <c r="C109" i="32" s="1"/>
  <c r="A109" i="32"/>
  <c r="B107" i="32"/>
  <c r="C107" i="32" s="1"/>
  <c r="A107" i="32"/>
  <c r="B105" i="32"/>
  <c r="C105" i="32" s="1"/>
  <c r="A105" i="32"/>
  <c r="B103" i="32"/>
  <c r="C103" i="32" s="1"/>
  <c r="A103" i="32"/>
  <c r="B101" i="32"/>
  <c r="C101" i="32" s="1"/>
  <c r="A101" i="32"/>
  <c r="B99" i="32"/>
  <c r="C99" i="32" s="1"/>
  <c r="A99" i="32"/>
  <c r="B97" i="32"/>
  <c r="C97" i="32" s="1"/>
  <c r="A97" i="32"/>
  <c r="B95" i="32"/>
  <c r="C95" i="32" s="1"/>
  <c r="A95" i="32"/>
  <c r="B93" i="32"/>
  <c r="C93" i="32" s="1"/>
  <c r="A93" i="32"/>
  <c r="B91" i="32"/>
  <c r="C91" i="32" s="1"/>
  <c r="A91" i="32"/>
  <c r="A89" i="32"/>
  <c r="A87" i="32"/>
  <c r="A77" i="32"/>
  <c r="A75" i="32"/>
  <c r="A73" i="32"/>
  <c r="A71" i="32"/>
  <c r="A69" i="32"/>
  <c r="A67" i="32"/>
  <c r="A65" i="32"/>
  <c r="A63" i="32"/>
  <c r="A61" i="32"/>
  <c r="A59" i="32"/>
  <c r="A57" i="32"/>
  <c r="A51" i="32"/>
  <c r="A49" i="32"/>
  <c r="A47" i="32"/>
  <c r="A45" i="32"/>
  <c r="A43" i="32"/>
  <c r="A41" i="32"/>
  <c r="A39" i="32"/>
  <c r="A35" i="32"/>
  <c r="A33" i="32"/>
  <c r="A31" i="32"/>
  <c r="A29" i="32"/>
  <c r="A27" i="32"/>
  <c r="A25" i="32"/>
  <c r="A23" i="32"/>
  <c r="A21" i="32"/>
  <c r="A19" i="32"/>
  <c r="A17" i="32"/>
  <c r="A15" i="32"/>
  <c r="A13" i="32"/>
  <c r="A11" i="32"/>
  <c r="A9" i="32"/>
  <c r="A7" i="32"/>
  <c r="B5" i="32"/>
  <c r="C5" i="32" s="1"/>
  <c r="A5" i="32"/>
  <c r="B3" i="32"/>
  <c r="C3" i="32" s="1"/>
  <c r="A3" i="32"/>
  <c r="AG299" i="31"/>
  <c r="AF299" i="31"/>
  <c r="AB299" i="31"/>
  <c r="W299" i="31"/>
  <c r="U299" i="31"/>
  <c r="R299" i="31"/>
  <c r="L299" i="31"/>
  <c r="K299" i="31"/>
  <c r="AY298" i="31"/>
  <c r="AX298" i="31"/>
  <c r="AW298" i="31"/>
  <c r="AV298" i="31"/>
  <c r="AG295" i="31"/>
  <c r="AF295" i="31"/>
  <c r="AA295" i="31"/>
  <c r="AB295" i="31" s="1"/>
  <c r="W295" i="31"/>
  <c r="U295" i="31"/>
  <c r="R295" i="31"/>
  <c r="L295" i="31"/>
  <c r="K295" i="31"/>
  <c r="BE294" i="31"/>
  <c r="BD294" i="31"/>
  <c r="BC294" i="31"/>
  <c r="BB294" i="31"/>
  <c r="BA294" i="31"/>
  <c r="AZ294" i="31"/>
  <c r="AY294" i="31"/>
  <c r="AX294" i="31"/>
  <c r="AW294" i="31"/>
  <c r="AV294" i="31"/>
  <c r="Y295" i="31" s="1"/>
  <c r="AG291" i="31"/>
  <c r="AF291" i="31"/>
  <c r="AA291" i="31"/>
  <c r="B291" i="32" s="1"/>
  <c r="C291" i="32" s="1"/>
  <c r="W291" i="31"/>
  <c r="U291" i="31"/>
  <c r="R291" i="31"/>
  <c r="L291" i="31"/>
  <c r="K291" i="31"/>
  <c r="BD290" i="31"/>
  <c r="BC290" i="31"/>
  <c r="BB290" i="31"/>
  <c r="BA290" i="31"/>
  <c r="AZ290" i="31"/>
  <c r="AY290" i="31"/>
  <c r="AX290" i="31"/>
  <c r="AW290" i="31"/>
  <c r="AV290" i="31"/>
  <c r="Y291" i="31" s="1"/>
  <c r="AG289" i="31"/>
  <c r="AF289" i="31"/>
  <c r="AA289" i="31"/>
  <c r="AB289" i="31" s="1"/>
  <c r="W289" i="31"/>
  <c r="U289" i="31"/>
  <c r="R289" i="31"/>
  <c r="L289" i="31"/>
  <c r="K289" i="31"/>
  <c r="BD288" i="31"/>
  <c r="BC288" i="31"/>
  <c r="BB288" i="31"/>
  <c r="BA288" i="31"/>
  <c r="AZ288" i="31"/>
  <c r="AY288" i="31"/>
  <c r="AX288" i="31"/>
  <c r="AW288" i="31"/>
  <c r="AV288" i="31"/>
  <c r="AT287" i="31"/>
  <c r="AS287" i="31"/>
  <c r="AR287" i="31"/>
  <c r="AQ287" i="31"/>
  <c r="AP287" i="31"/>
  <c r="AO287" i="31"/>
  <c r="AN287" i="31"/>
  <c r="AM287" i="31"/>
  <c r="D287" i="32" s="1"/>
  <c r="AL287" i="31"/>
  <c r="AK287" i="31"/>
  <c r="AJ287" i="31"/>
  <c r="AI287" i="31"/>
  <c r="AG287" i="31"/>
  <c r="AF287" i="31"/>
  <c r="AC287" i="31"/>
  <c r="AD287" i="31" s="1"/>
  <c r="AA287" i="31"/>
  <c r="B287" i="32" s="1"/>
  <c r="C287" i="32" s="1"/>
  <c r="Y287" i="31"/>
  <c r="W287" i="31"/>
  <c r="U287" i="31"/>
  <c r="R287" i="31"/>
  <c r="L287" i="31"/>
  <c r="K287" i="31"/>
  <c r="AG285" i="31"/>
  <c r="AF285" i="31"/>
  <c r="AA285" i="31"/>
  <c r="AB285" i="31" s="1"/>
  <c r="W285" i="31"/>
  <c r="U285" i="31"/>
  <c r="R285" i="31"/>
  <c r="L285" i="31"/>
  <c r="K285" i="31"/>
  <c r="AY284" i="31"/>
  <c r="AX284" i="31"/>
  <c r="AW284" i="31"/>
  <c r="AV284" i="31"/>
  <c r="AG283" i="31"/>
  <c r="AF283" i="31"/>
  <c r="AA283" i="31"/>
  <c r="B283" i="32" s="1"/>
  <c r="C283" i="32" s="1"/>
  <c r="W283" i="31"/>
  <c r="U283" i="31"/>
  <c r="R283" i="31"/>
  <c r="L283" i="31"/>
  <c r="K283" i="31"/>
  <c r="AY282" i="31"/>
  <c r="AX282" i="31"/>
  <c r="AW282" i="31"/>
  <c r="AV282" i="31"/>
  <c r="AT281" i="31" a="1"/>
  <c r="AT281" i="31" s="1"/>
  <c r="AS281" i="31" a="1"/>
  <c r="AS281" i="31" s="1"/>
  <c r="AR281" i="31" a="1"/>
  <c r="AR281" i="31" s="1"/>
  <c r="AQ281" i="31" a="1"/>
  <c r="AQ281" i="31" s="1"/>
  <c r="AP281" i="31" a="1"/>
  <c r="AP281" i="31" s="1"/>
  <c r="AO281" i="31" a="1"/>
  <c r="AO281" i="31" s="1"/>
  <c r="AN281" i="31" a="1"/>
  <c r="AN281" i="31" s="1"/>
  <c r="AM281" i="31" a="1"/>
  <c r="AM281" i="31" s="1"/>
  <c r="D281" i="32" s="1"/>
  <c r="AL281" i="31" a="1"/>
  <c r="AL281" i="31" s="1"/>
  <c r="AK281" i="31"/>
  <c r="AJ281" i="31"/>
  <c r="AI281" i="31"/>
  <c r="AG281" i="31"/>
  <c r="AF281" i="31"/>
  <c r="AC281" i="31"/>
  <c r="AD281" i="31" s="1"/>
  <c r="AB281" i="31"/>
  <c r="Y281" i="31"/>
  <c r="AE281" i="31" s="1"/>
  <c r="W281" i="31"/>
  <c r="U281" i="31"/>
  <c r="R281" i="31"/>
  <c r="L281" i="31"/>
  <c r="K281" i="31"/>
  <c r="AG279" i="31"/>
  <c r="AF279" i="31"/>
  <c r="AA279" i="31"/>
  <c r="AB279" i="31" s="1"/>
  <c r="W279" i="31"/>
  <c r="U279" i="31"/>
  <c r="R279" i="31"/>
  <c r="L279" i="31"/>
  <c r="K279" i="31"/>
  <c r="AY278" i="31"/>
  <c r="AX278" i="31"/>
  <c r="AW278" i="31"/>
  <c r="AV278" i="31"/>
  <c r="AG277" i="31"/>
  <c r="AF277" i="31"/>
  <c r="AA277" i="31"/>
  <c r="AB277" i="31" s="1"/>
  <c r="W277" i="31"/>
  <c r="U277" i="31"/>
  <c r="R277" i="31"/>
  <c r="L277" i="31"/>
  <c r="K277" i="31"/>
  <c r="AY276" i="31"/>
  <c r="AX276" i="31"/>
  <c r="AW276" i="31"/>
  <c r="AV276" i="31"/>
  <c r="Y277" i="31" s="1"/>
  <c r="AG275" i="31"/>
  <c r="AF275" i="31"/>
  <c r="AA275" i="31"/>
  <c r="B275" i="32" s="1"/>
  <c r="C275" i="32" s="1"/>
  <c r="W275" i="31"/>
  <c r="U275" i="31"/>
  <c r="R275" i="31"/>
  <c r="L275" i="31"/>
  <c r="K275" i="31"/>
  <c r="AY274" i="31"/>
  <c r="AX274" i="31"/>
  <c r="AW274" i="31"/>
  <c r="AV274" i="31"/>
  <c r="Y275" i="31" s="1"/>
  <c r="AG273" i="31"/>
  <c r="AF273" i="31"/>
  <c r="AA273" i="31"/>
  <c r="AB273" i="31" s="1"/>
  <c r="W273" i="31"/>
  <c r="U273" i="31"/>
  <c r="R273" i="31"/>
  <c r="L273" i="31"/>
  <c r="K273" i="31"/>
  <c r="AY272" i="31"/>
  <c r="AX272" i="31"/>
  <c r="AW272" i="31"/>
  <c r="AV272" i="31"/>
  <c r="AG271" i="31"/>
  <c r="AF271" i="31"/>
  <c r="AA271" i="31"/>
  <c r="AB271" i="31" s="1"/>
  <c r="W271" i="31"/>
  <c r="U271" i="31"/>
  <c r="R271" i="31"/>
  <c r="L271" i="31"/>
  <c r="K271" i="31"/>
  <c r="AY270" i="31"/>
  <c r="AX270" i="31"/>
  <c r="AW270" i="31"/>
  <c r="AV270" i="31"/>
  <c r="Y271" i="31" s="1"/>
  <c r="AT269" i="31"/>
  <c r="AS269" i="31"/>
  <c r="AR269" i="31"/>
  <c r="AQ269" i="31"/>
  <c r="AP269" i="31"/>
  <c r="AO269" i="31"/>
  <c r="AN269" i="31"/>
  <c r="AM269" i="31"/>
  <c r="D269" i="32" s="1"/>
  <c r="AL269" i="31"/>
  <c r="AK269" i="31"/>
  <c r="AJ269" i="31"/>
  <c r="AI269" i="31"/>
  <c r="AG269" i="31"/>
  <c r="AF269" i="31"/>
  <c r="AC269" i="31"/>
  <c r="AD269" i="31" s="1"/>
  <c r="AB269" i="31"/>
  <c r="Y269" i="31"/>
  <c r="AE269" i="31" s="1"/>
  <c r="W269" i="31"/>
  <c r="U269" i="31"/>
  <c r="R269" i="31"/>
  <c r="L269" i="31"/>
  <c r="K269" i="31"/>
  <c r="AT267" i="31"/>
  <c r="AS267" i="31"/>
  <c r="AR267" i="31"/>
  <c r="AQ267" i="31"/>
  <c r="AP267" i="31"/>
  <c r="AO267" i="31"/>
  <c r="AN267" i="31"/>
  <c r="AM267" i="31"/>
  <c r="D267" i="32" s="1"/>
  <c r="AL267" i="31"/>
  <c r="AK267" i="31"/>
  <c r="AJ267" i="31"/>
  <c r="AI267" i="31"/>
  <c r="AG267" i="31"/>
  <c r="AF267" i="31"/>
  <c r="AC267" i="31"/>
  <c r="AD267" i="31" s="1"/>
  <c r="AB267" i="31"/>
  <c r="Y267" i="31"/>
  <c r="AE267" i="31" s="1"/>
  <c r="W267" i="31"/>
  <c r="U267" i="31"/>
  <c r="R267" i="31"/>
  <c r="L267" i="31"/>
  <c r="K267" i="31"/>
  <c r="AG261" i="31"/>
  <c r="AF261" i="31"/>
  <c r="AB261" i="31"/>
  <c r="W261" i="31"/>
  <c r="U261" i="31"/>
  <c r="R261" i="31"/>
  <c r="L261" i="31"/>
  <c r="K261" i="31"/>
  <c r="AY260" i="31"/>
  <c r="AX260" i="31"/>
  <c r="AW260" i="31"/>
  <c r="AV260" i="31"/>
  <c r="AG259" i="31"/>
  <c r="AF259" i="31"/>
  <c r="AB259" i="31"/>
  <c r="W259" i="31"/>
  <c r="U259" i="31"/>
  <c r="R259" i="31"/>
  <c r="L259" i="31"/>
  <c r="K259" i="31"/>
  <c r="AY258" i="31"/>
  <c r="AX258" i="31"/>
  <c r="AW258" i="31"/>
  <c r="AV258" i="31"/>
  <c r="Y259" i="31" s="1"/>
  <c r="AE259" i="31" s="1"/>
  <c r="AG257" i="31"/>
  <c r="AF257" i="31"/>
  <c r="AB257" i="31"/>
  <c r="W257" i="31"/>
  <c r="U257" i="31"/>
  <c r="R257" i="31"/>
  <c r="L257" i="31"/>
  <c r="K257" i="31"/>
  <c r="AY256" i="31"/>
  <c r="AX256" i="31"/>
  <c r="AW256" i="31"/>
  <c r="AV256" i="31"/>
  <c r="AG255" i="31"/>
  <c r="AF255" i="31"/>
  <c r="AB255" i="31"/>
  <c r="W255" i="31"/>
  <c r="U255" i="31"/>
  <c r="R255" i="31"/>
  <c r="L255" i="31"/>
  <c r="K255" i="31"/>
  <c r="AY254" i="31"/>
  <c r="AX254" i="31"/>
  <c r="AW254" i="31"/>
  <c r="AV254" i="31"/>
  <c r="Y255" i="31" s="1"/>
  <c r="AE255" i="31" s="1"/>
  <c r="AG253" i="31"/>
  <c r="AF253" i="31"/>
  <c r="AA253" i="31"/>
  <c r="B253" i="32" s="1"/>
  <c r="C253" i="32" s="1"/>
  <c r="W253" i="31"/>
  <c r="U253" i="31"/>
  <c r="R253" i="31"/>
  <c r="L253" i="31"/>
  <c r="K253" i="31"/>
  <c r="AZ252" i="31"/>
  <c r="AY252" i="31"/>
  <c r="AX252" i="31"/>
  <c r="AW252" i="31"/>
  <c r="AV252" i="31"/>
  <c r="AG251" i="31"/>
  <c r="AF251" i="31"/>
  <c r="AA251" i="31"/>
  <c r="AB251" i="31" s="1"/>
  <c r="W251" i="31"/>
  <c r="U251" i="31"/>
  <c r="R251" i="31"/>
  <c r="L251" i="31"/>
  <c r="K251" i="31"/>
  <c r="AY250" i="31"/>
  <c r="AX250" i="31"/>
  <c r="AW250" i="31"/>
  <c r="AV250" i="31"/>
  <c r="AG249" i="31"/>
  <c r="AF249" i="31"/>
  <c r="AA249" i="31"/>
  <c r="AB249" i="31" s="1"/>
  <c r="W249" i="31"/>
  <c r="U249" i="31"/>
  <c r="R249" i="31"/>
  <c r="L249" i="31"/>
  <c r="K249" i="31"/>
  <c r="AX248" i="31"/>
  <c r="AW248" i="31"/>
  <c r="AV248" i="31"/>
  <c r="AG247" i="31"/>
  <c r="AF247" i="31"/>
  <c r="AA247" i="31"/>
  <c r="B247" i="32" s="1"/>
  <c r="C247" i="32" s="1"/>
  <c r="W247" i="31"/>
  <c r="U247" i="31"/>
  <c r="R247" i="31"/>
  <c r="L247" i="31"/>
  <c r="K247" i="31"/>
  <c r="AX246" i="31"/>
  <c r="AW246" i="31"/>
  <c r="AV246" i="31"/>
  <c r="AG245" i="31"/>
  <c r="AF245" i="31"/>
  <c r="AA245" i="31"/>
  <c r="B245" i="32" s="1"/>
  <c r="C245" i="32" s="1"/>
  <c r="W245" i="31"/>
  <c r="U245" i="31"/>
  <c r="R245" i="31"/>
  <c r="L245" i="31"/>
  <c r="K245" i="31"/>
  <c r="AX244" i="31"/>
  <c r="AW244" i="31"/>
  <c r="AV244" i="31"/>
  <c r="AG243" i="31"/>
  <c r="AF243" i="31"/>
  <c r="AA243" i="31"/>
  <c r="B243" i="32" s="1"/>
  <c r="C243" i="32" s="1"/>
  <c r="Y243" i="31"/>
  <c r="W243" i="31"/>
  <c r="U243" i="31"/>
  <c r="R243" i="31"/>
  <c r="L243" i="31"/>
  <c r="K243" i="31"/>
  <c r="AY242" i="31"/>
  <c r="AX242" i="31"/>
  <c r="AW242" i="31"/>
  <c r="AG241" i="31"/>
  <c r="AF241" i="31"/>
  <c r="AA241" i="31"/>
  <c r="B241" i="32" s="1"/>
  <c r="C241" i="32" s="1"/>
  <c r="Y241" i="31"/>
  <c r="W241" i="31"/>
  <c r="U241" i="31"/>
  <c r="R241" i="31"/>
  <c r="L241" i="31"/>
  <c r="K241" i="31"/>
  <c r="AX240" i="31"/>
  <c r="AW240" i="31"/>
  <c r="AG239" i="31"/>
  <c r="AF239" i="31"/>
  <c r="AB239" i="31"/>
  <c r="W239" i="31"/>
  <c r="U239" i="31"/>
  <c r="R239" i="31"/>
  <c r="L239" i="31"/>
  <c r="K239" i="31"/>
  <c r="BA238" i="31"/>
  <c r="AZ238" i="31"/>
  <c r="AY238" i="31"/>
  <c r="AX238" i="31"/>
  <c r="AW238" i="31"/>
  <c r="AV238" i="31"/>
  <c r="Y239" i="31" s="1"/>
  <c r="AE239" i="31" s="1"/>
  <c r="AG237" i="31"/>
  <c r="AF237" i="31"/>
  <c r="AB237" i="31"/>
  <c r="W237" i="31"/>
  <c r="U237" i="31"/>
  <c r="R237" i="31"/>
  <c r="L237" i="31"/>
  <c r="K237" i="31"/>
  <c r="BA236" i="31"/>
  <c r="AZ236" i="31"/>
  <c r="AY236" i="31"/>
  <c r="AX236" i="31"/>
  <c r="AW236" i="31"/>
  <c r="AV236" i="31"/>
  <c r="AG235" i="31"/>
  <c r="AF235" i="31"/>
  <c r="AB235" i="31"/>
  <c r="W235" i="31"/>
  <c r="U235" i="31"/>
  <c r="R235" i="31"/>
  <c r="L235" i="31"/>
  <c r="K235" i="31"/>
  <c r="BG234" i="31"/>
  <c r="BF234" i="31"/>
  <c r="BE234" i="31"/>
  <c r="BD234" i="31"/>
  <c r="BC234" i="31"/>
  <c r="BB234" i="31"/>
  <c r="BA234" i="31"/>
  <c r="AZ234" i="31"/>
  <c r="AY234" i="31"/>
  <c r="AX234" i="31"/>
  <c r="AW234" i="31"/>
  <c r="AV234" i="31"/>
  <c r="AG233" i="31"/>
  <c r="AF233" i="31"/>
  <c r="AB233" i="31"/>
  <c r="W233" i="31"/>
  <c r="U233" i="31"/>
  <c r="R233" i="31"/>
  <c r="L233" i="31"/>
  <c r="K233" i="31"/>
  <c r="BG232" i="31"/>
  <c r="BF232" i="31"/>
  <c r="BE232" i="31"/>
  <c r="BD232" i="31"/>
  <c r="BC232" i="31"/>
  <c r="BB232" i="31"/>
  <c r="BA232" i="31"/>
  <c r="AZ232" i="31"/>
  <c r="AY232" i="31"/>
  <c r="AX232" i="31"/>
  <c r="AW232" i="31"/>
  <c r="AV232" i="31"/>
  <c r="AG231" i="31"/>
  <c r="AF231" i="31"/>
  <c r="AB231" i="31"/>
  <c r="W231" i="31"/>
  <c r="U231" i="31"/>
  <c r="R231" i="31"/>
  <c r="L231" i="31"/>
  <c r="K231" i="31"/>
  <c r="BG230" i="31"/>
  <c r="BF230" i="31"/>
  <c r="BE230" i="31"/>
  <c r="BD230" i="31"/>
  <c r="BC230" i="31"/>
  <c r="BB230" i="31"/>
  <c r="BA230" i="31"/>
  <c r="AZ230" i="31"/>
  <c r="AY230" i="31"/>
  <c r="AX230" i="31"/>
  <c r="AW230" i="31"/>
  <c r="AV230" i="31"/>
  <c r="AG229" i="31"/>
  <c r="AF229" i="31"/>
  <c r="AB229" i="31"/>
  <c r="W229" i="31"/>
  <c r="U229" i="31"/>
  <c r="R229" i="31"/>
  <c r="L229" i="31"/>
  <c r="K229" i="31"/>
  <c r="BG228" i="31"/>
  <c r="BF228" i="31"/>
  <c r="BE228" i="31"/>
  <c r="BD228" i="31"/>
  <c r="BC228" i="31"/>
  <c r="BB228" i="31"/>
  <c r="BA228" i="31"/>
  <c r="AZ228" i="31"/>
  <c r="AY228" i="31"/>
  <c r="AX228" i="31"/>
  <c r="AW228" i="31"/>
  <c r="AV228" i="31"/>
  <c r="AG227" i="31"/>
  <c r="AF227" i="31"/>
  <c r="AB227" i="31"/>
  <c r="W227" i="31"/>
  <c r="U227" i="31"/>
  <c r="R227" i="31"/>
  <c r="L227" i="31"/>
  <c r="K227" i="31"/>
  <c r="BG226" i="31"/>
  <c r="BF226" i="31"/>
  <c r="BE226" i="31"/>
  <c r="BD226" i="31"/>
  <c r="BC226" i="31"/>
  <c r="BB226" i="31"/>
  <c r="BA226" i="31"/>
  <c r="AZ226" i="31"/>
  <c r="AY226" i="31"/>
  <c r="AX226" i="31"/>
  <c r="AW226" i="31"/>
  <c r="AV226" i="31"/>
  <c r="AG225" i="31"/>
  <c r="AF225" i="31"/>
  <c r="AB225" i="31"/>
  <c r="W225" i="31"/>
  <c r="U225" i="31"/>
  <c r="R225" i="31"/>
  <c r="L225" i="31"/>
  <c r="K225" i="31"/>
  <c r="BG224" i="31"/>
  <c r="BF224" i="31"/>
  <c r="BE224" i="31"/>
  <c r="BD224" i="31"/>
  <c r="BC224" i="31"/>
  <c r="BB224" i="31"/>
  <c r="BA224" i="31"/>
  <c r="AZ224" i="31"/>
  <c r="AY224" i="31"/>
  <c r="AX224" i="31"/>
  <c r="AW224" i="31"/>
  <c r="AV224" i="31"/>
  <c r="AG223" i="31"/>
  <c r="AF223" i="31"/>
  <c r="AB223" i="31"/>
  <c r="Y223" i="31"/>
  <c r="AE223" i="31" s="1"/>
  <c r="W223" i="31"/>
  <c r="U223" i="31"/>
  <c r="R223" i="31"/>
  <c r="L223" i="31"/>
  <c r="K223" i="31"/>
  <c r="AY222" i="31"/>
  <c r="AX222" i="31"/>
  <c r="AW222" i="31"/>
  <c r="AG221" i="31"/>
  <c r="AF221" i="31"/>
  <c r="AB221" i="31"/>
  <c r="Y221" i="31"/>
  <c r="AE221" i="31" s="1"/>
  <c r="W221" i="31"/>
  <c r="U221" i="31"/>
  <c r="R221" i="31"/>
  <c r="L221" i="31"/>
  <c r="K221" i="31"/>
  <c r="AY220" i="31"/>
  <c r="AX220" i="31"/>
  <c r="AW220" i="31"/>
  <c r="AG191" i="31"/>
  <c r="AF191" i="31"/>
  <c r="AA191" i="31"/>
  <c r="AB191" i="31" s="1"/>
  <c r="W191" i="31"/>
  <c r="U191" i="31"/>
  <c r="R191" i="31"/>
  <c r="L191" i="31"/>
  <c r="K191" i="31"/>
  <c r="CU190" i="31"/>
  <c r="CT190" i="31"/>
  <c r="CS190" i="31"/>
  <c r="CR190" i="31"/>
  <c r="CQ190" i="31"/>
  <c r="CP190" i="31"/>
  <c r="CO190" i="31"/>
  <c r="CN190" i="31"/>
  <c r="CM190" i="31"/>
  <c r="CL190" i="31"/>
  <c r="CK190" i="31"/>
  <c r="CJ190" i="31"/>
  <c r="CI190" i="31"/>
  <c r="CH190" i="31"/>
  <c r="CG190" i="31"/>
  <c r="CF190" i="31"/>
  <c r="CE190" i="31"/>
  <c r="CD190" i="31"/>
  <c r="CC190" i="31"/>
  <c r="CB190" i="31"/>
  <c r="CA190" i="31"/>
  <c r="BZ190" i="31"/>
  <c r="BY190" i="31"/>
  <c r="BX190" i="31"/>
  <c r="BW190" i="31"/>
  <c r="BV190" i="31"/>
  <c r="BU190" i="31"/>
  <c r="BT190" i="31"/>
  <c r="BS190" i="31"/>
  <c r="BR190" i="31"/>
  <c r="BQ190" i="31"/>
  <c r="BP190" i="31"/>
  <c r="BO190" i="31"/>
  <c r="BN190" i="31"/>
  <c r="BM190" i="31"/>
  <c r="BL190" i="31"/>
  <c r="BK190" i="31"/>
  <c r="BJ190" i="31"/>
  <c r="BI190" i="31"/>
  <c r="BH190" i="31"/>
  <c r="BG190" i="31"/>
  <c r="BF190" i="31"/>
  <c r="BE190" i="31"/>
  <c r="BD190" i="31"/>
  <c r="BC190" i="31"/>
  <c r="BB190" i="31"/>
  <c r="BA190" i="31"/>
  <c r="AZ190" i="31"/>
  <c r="AY190" i="31"/>
  <c r="AX190" i="31"/>
  <c r="AW190" i="31"/>
  <c r="AV190" i="31"/>
  <c r="AG189" i="31"/>
  <c r="AF189" i="31"/>
  <c r="AA189" i="31"/>
  <c r="AB189" i="31" s="1"/>
  <c r="W189" i="31"/>
  <c r="U189" i="31"/>
  <c r="R189" i="31"/>
  <c r="L189" i="31"/>
  <c r="K189" i="31"/>
  <c r="CU188" i="31"/>
  <c r="CT188" i="31"/>
  <c r="CS188" i="31"/>
  <c r="CR188" i="31"/>
  <c r="CQ188" i="31"/>
  <c r="CP188" i="31"/>
  <c r="CO188" i="31"/>
  <c r="CN188" i="31"/>
  <c r="CM188" i="31"/>
  <c r="CL188" i="31"/>
  <c r="CK188" i="31"/>
  <c r="CJ188" i="31"/>
  <c r="CI188" i="31"/>
  <c r="CH188" i="31"/>
  <c r="CG188" i="31"/>
  <c r="CF188" i="31"/>
  <c r="CE188" i="31"/>
  <c r="CD188" i="31"/>
  <c r="CC188" i="31"/>
  <c r="CB188" i="31"/>
  <c r="CA188" i="31"/>
  <c r="BZ188" i="31"/>
  <c r="BY188" i="31"/>
  <c r="BX188" i="31"/>
  <c r="BW188" i="31"/>
  <c r="BV188" i="31"/>
  <c r="BU188" i="31"/>
  <c r="BT188" i="31"/>
  <c r="BS188" i="31"/>
  <c r="BR188" i="31"/>
  <c r="BQ188" i="31"/>
  <c r="BP188" i="31"/>
  <c r="BO188" i="31"/>
  <c r="BN188" i="31"/>
  <c r="BM188" i="31"/>
  <c r="BL188" i="31"/>
  <c r="BK188" i="31"/>
  <c r="BJ188" i="31"/>
  <c r="BI188" i="31"/>
  <c r="BH188" i="31"/>
  <c r="BG188" i="31"/>
  <c r="BF188" i="31"/>
  <c r="BE188" i="31"/>
  <c r="BD188" i="31"/>
  <c r="BC188" i="31"/>
  <c r="BB188" i="31"/>
  <c r="BA188" i="31"/>
  <c r="AZ188" i="31"/>
  <c r="AY188" i="31"/>
  <c r="AX188" i="31"/>
  <c r="AW188" i="31"/>
  <c r="AV188" i="31"/>
  <c r="AG171" i="31"/>
  <c r="AF171" i="31"/>
  <c r="AA171" i="31"/>
  <c r="B171" i="32" s="1"/>
  <c r="C171" i="32" s="1"/>
  <c r="W171" i="31"/>
  <c r="U171" i="31"/>
  <c r="R171" i="31"/>
  <c r="L171" i="31"/>
  <c r="K171" i="31"/>
  <c r="AY170" i="31"/>
  <c r="AX170" i="31"/>
  <c r="AW170" i="31"/>
  <c r="AV170" i="31"/>
  <c r="AG169" i="31"/>
  <c r="AF169" i="31"/>
  <c r="AA169" i="31"/>
  <c r="AB169" i="31" s="1"/>
  <c r="W169" i="31"/>
  <c r="U169" i="31"/>
  <c r="R169" i="31"/>
  <c r="L169" i="31"/>
  <c r="K169" i="31"/>
  <c r="AY168" i="31"/>
  <c r="AX168" i="31"/>
  <c r="AW168" i="31"/>
  <c r="AV168" i="31"/>
  <c r="AG167" i="31"/>
  <c r="AF167" i="31"/>
  <c r="AA167" i="31"/>
  <c r="AB167" i="31" s="1"/>
  <c r="W167" i="31"/>
  <c r="U167" i="31"/>
  <c r="R167" i="31"/>
  <c r="L167" i="31"/>
  <c r="K167" i="31"/>
  <c r="AY166" i="31"/>
  <c r="AX166" i="31"/>
  <c r="AW166" i="31"/>
  <c r="AV166" i="31"/>
  <c r="AZ165" i="31"/>
  <c r="AY165" i="31"/>
  <c r="AX165" i="31"/>
  <c r="AW165" i="31"/>
  <c r="AV165" i="31"/>
  <c r="AF165" i="31" s="1"/>
  <c r="AB165" i="31"/>
  <c r="W165" i="31"/>
  <c r="U165" i="31"/>
  <c r="R165" i="31"/>
  <c r="L165" i="31"/>
  <c r="K165" i="31"/>
  <c r="AZ164" i="31"/>
  <c r="AY164" i="31"/>
  <c r="AX164" i="31"/>
  <c r="AW164" i="31"/>
  <c r="AV164" i="31"/>
  <c r="Y165" i="31" s="1"/>
  <c r="AE165" i="31" s="1"/>
  <c r="AG163" i="31"/>
  <c r="AF163" i="31"/>
  <c r="AB163" i="31"/>
  <c r="W163" i="31"/>
  <c r="U163" i="31"/>
  <c r="R163" i="31"/>
  <c r="L163" i="31"/>
  <c r="K163" i="31"/>
  <c r="AZ162" i="31"/>
  <c r="AY162" i="31"/>
  <c r="AX162" i="31"/>
  <c r="AW162" i="31"/>
  <c r="AV162" i="31"/>
  <c r="Y163" i="31" s="1"/>
  <c r="AE163" i="31" s="1"/>
  <c r="AG161" i="31"/>
  <c r="AF161" i="31"/>
  <c r="AB161" i="31"/>
  <c r="W161" i="31"/>
  <c r="U161" i="31"/>
  <c r="R161" i="31"/>
  <c r="L161" i="31"/>
  <c r="K161" i="31"/>
  <c r="AZ160" i="31"/>
  <c r="AY160" i="31"/>
  <c r="AX160" i="31"/>
  <c r="AW160" i="31"/>
  <c r="AV160" i="31"/>
  <c r="Y161" i="31" s="1"/>
  <c r="AE161" i="31" s="1"/>
  <c r="AG159" i="31"/>
  <c r="AF159" i="31"/>
  <c r="AB159" i="31"/>
  <c r="W159" i="31"/>
  <c r="U159" i="31"/>
  <c r="R159" i="31"/>
  <c r="L159" i="31"/>
  <c r="K159" i="31"/>
  <c r="AZ158" i="31"/>
  <c r="AY158" i="31"/>
  <c r="AX158" i="31"/>
  <c r="AW158" i="31"/>
  <c r="AV158" i="31"/>
  <c r="AG157" i="31"/>
  <c r="AF157" i="31"/>
  <c r="AB157" i="31"/>
  <c r="W157" i="31"/>
  <c r="U157" i="31"/>
  <c r="R157" i="31"/>
  <c r="L157" i="31"/>
  <c r="K157" i="31"/>
  <c r="AZ156" i="31"/>
  <c r="AY156" i="31"/>
  <c r="AX156" i="31"/>
  <c r="AW156" i="31"/>
  <c r="AV156" i="31"/>
  <c r="AG155" i="31"/>
  <c r="AF155" i="31"/>
  <c r="AB155" i="31"/>
  <c r="W155" i="31"/>
  <c r="U155" i="31"/>
  <c r="R155" i="31"/>
  <c r="L155" i="31"/>
  <c r="K155" i="31"/>
  <c r="AZ154" i="31"/>
  <c r="AY154" i="31"/>
  <c r="AX154" i="31"/>
  <c r="AW154" i="31"/>
  <c r="AV154" i="31"/>
  <c r="Y155" i="31" s="1"/>
  <c r="AE155" i="31" s="1"/>
  <c r="AG153" i="31"/>
  <c r="AF153" i="31"/>
  <c r="AB153" i="31"/>
  <c r="W153" i="31"/>
  <c r="U153" i="31"/>
  <c r="R153" i="31"/>
  <c r="L153" i="31"/>
  <c r="K153" i="31"/>
  <c r="AZ152" i="31"/>
  <c r="AY152" i="31"/>
  <c r="AX152" i="31"/>
  <c r="AW152" i="31"/>
  <c r="AV152" i="31"/>
  <c r="Y153" i="31" s="1"/>
  <c r="AE153" i="31" s="1"/>
  <c r="AG151" i="31"/>
  <c r="AF151" i="31"/>
  <c r="AB151" i="31"/>
  <c r="W151" i="31"/>
  <c r="U151" i="31"/>
  <c r="R151" i="31"/>
  <c r="L151" i="31"/>
  <c r="K151" i="31"/>
  <c r="AZ150" i="31"/>
  <c r="AY150" i="31"/>
  <c r="AX150" i="31"/>
  <c r="AW150" i="31"/>
  <c r="AV150" i="31"/>
  <c r="AG149" i="31"/>
  <c r="AF149" i="31"/>
  <c r="AB149" i="31"/>
  <c r="W149" i="31"/>
  <c r="U149" i="31"/>
  <c r="R149" i="31"/>
  <c r="L149" i="31"/>
  <c r="K149" i="31"/>
  <c r="AZ148" i="31"/>
  <c r="AY148" i="31"/>
  <c r="AX148" i="31"/>
  <c r="AW148" i="31"/>
  <c r="AV148" i="31"/>
  <c r="AG147" i="31"/>
  <c r="AF147" i="31"/>
  <c r="AB147" i="31"/>
  <c r="W147" i="31"/>
  <c r="U147" i="31"/>
  <c r="R147" i="31"/>
  <c r="L147" i="31"/>
  <c r="K147" i="31"/>
  <c r="AZ146" i="31"/>
  <c r="AY146" i="31"/>
  <c r="AX146" i="31"/>
  <c r="AW146" i="31"/>
  <c r="AV146" i="31"/>
  <c r="AG145" i="31"/>
  <c r="AF145" i="31"/>
  <c r="AA145" i="31"/>
  <c r="AB145" i="31" s="1"/>
  <c r="W145" i="31"/>
  <c r="U145" i="31"/>
  <c r="R145" i="31"/>
  <c r="L145" i="31"/>
  <c r="K145" i="31"/>
  <c r="AX144" i="31"/>
  <c r="AW144" i="31"/>
  <c r="AV144" i="31"/>
  <c r="AG143" i="31"/>
  <c r="AF143" i="31"/>
  <c r="AA143" i="31"/>
  <c r="AB143" i="31" s="1"/>
  <c r="W143" i="31"/>
  <c r="U143" i="31"/>
  <c r="R143" i="31"/>
  <c r="L143" i="31"/>
  <c r="K143" i="31"/>
  <c r="AX142" i="31"/>
  <c r="AW142" i="31"/>
  <c r="AV142" i="31"/>
  <c r="AG141" i="31"/>
  <c r="AF141" i="31"/>
  <c r="AA141" i="31"/>
  <c r="AB141" i="31" s="1"/>
  <c r="W141" i="31"/>
  <c r="U141" i="31"/>
  <c r="R141" i="31"/>
  <c r="L141" i="31"/>
  <c r="K141" i="31"/>
  <c r="AX140" i="31"/>
  <c r="AW140" i="31"/>
  <c r="AV140" i="31"/>
  <c r="AG135" i="31"/>
  <c r="AF135" i="31"/>
  <c r="AA135" i="31"/>
  <c r="B135" i="32" s="1"/>
  <c r="C135" i="32" s="1"/>
  <c r="W135" i="31"/>
  <c r="U135" i="31"/>
  <c r="R135" i="31"/>
  <c r="L135" i="31"/>
  <c r="K135" i="31"/>
  <c r="AZ134" i="31"/>
  <c r="AY134" i="31"/>
  <c r="AX134" i="31"/>
  <c r="AW134" i="31"/>
  <c r="AV134" i="31"/>
  <c r="Y135" i="31" s="1"/>
  <c r="AG133" i="31"/>
  <c r="AF133" i="31"/>
  <c r="AA133" i="31"/>
  <c r="B133" i="32" s="1"/>
  <c r="C133" i="32" s="1"/>
  <c r="W133" i="31"/>
  <c r="U133" i="31"/>
  <c r="R133" i="31"/>
  <c r="L133" i="31"/>
  <c r="K133" i="31"/>
  <c r="AY132" i="31"/>
  <c r="AX132" i="31"/>
  <c r="AW132" i="31"/>
  <c r="AV132" i="31"/>
  <c r="AG131" i="31"/>
  <c r="AF131" i="31"/>
  <c r="AA131" i="31"/>
  <c r="AB131" i="31" s="1"/>
  <c r="W131" i="31"/>
  <c r="U131" i="31"/>
  <c r="R131" i="31"/>
  <c r="L131" i="31"/>
  <c r="K131" i="31"/>
  <c r="AY130" i="31"/>
  <c r="AX130" i="31"/>
  <c r="AW130" i="31"/>
  <c r="AV130" i="31"/>
  <c r="AG129" i="31"/>
  <c r="AF129" i="31"/>
  <c r="AA129" i="31"/>
  <c r="B129" i="32" s="1"/>
  <c r="C129" i="32" s="1"/>
  <c r="W129" i="31"/>
  <c r="U129" i="31"/>
  <c r="R129" i="31"/>
  <c r="L129" i="31"/>
  <c r="K129" i="31"/>
  <c r="AY128" i="31"/>
  <c r="AX128" i="31"/>
  <c r="AW128" i="31"/>
  <c r="AV128" i="31"/>
  <c r="Y129" i="31" s="1"/>
  <c r="AG127" i="31"/>
  <c r="AF127" i="31"/>
  <c r="AA127" i="31"/>
  <c r="B127" i="32" s="1"/>
  <c r="C127" i="32" s="1"/>
  <c r="W127" i="31"/>
  <c r="U127" i="31"/>
  <c r="R127" i="31"/>
  <c r="L127" i="31"/>
  <c r="K127" i="31"/>
  <c r="AY126" i="31"/>
  <c r="AX126" i="31"/>
  <c r="AW126" i="31"/>
  <c r="AV126" i="31"/>
  <c r="Y127" i="31" s="1"/>
  <c r="AG125" i="31"/>
  <c r="AF125" i="31"/>
  <c r="AA125" i="31"/>
  <c r="AB125" i="31" s="1"/>
  <c r="W125" i="31"/>
  <c r="U125" i="31"/>
  <c r="R125" i="31"/>
  <c r="L125" i="31"/>
  <c r="K125" i="31"/>
  <c r="AY124" i="31"/>
  <c r="AX124" i="31"/>
  <c r="AW124" i="31"/>
  <c r="AV124" i="31"/>
  <c r="AG123" i="31"/>
  <c r="AF123" i="31"/>
  <c r="AA123" i="31"/>
  <c r="B123" i="32" s="1"/>
  <c r="C123" i="32" s="1"/>
  <c r="W123" i="31"/>
  <c r="U123" i="31"/>
  <c r="R123" i="31"/>
  <c r="L123" i="31"/>
  <c r="K123" i="31"/>
  <c r="AY122" i="31"/>
  <c r="AX122" i="31"/>
  <c r="AW122" i="31"/>
  <c r="AV122" i="31"/>
  <c r="AG113" i="31"/>
  <c r="AF113" i="31"/>
  <c r="AA113" i="31"/>
  <c r="B113" i="32" s="1"/>
  <c r="C113" i="32" s="1"/>
  <c r="Y113" i="31"/>
  <c r="W113" i="31"/>
  <c r="U113" i="31"/>
  <c r="R113" i="31"/>
  <c r="L113" i="31"/>
  <c r="K113" i="31"/>
  <c r="AY112" i="31"/>
  <c r="AX112" i="31"/>
  <c r="AW112" i="31"/>
  <c r="AT111" i="31"/>
  <c r="AS111" i="31"/>
  <c r="AR111" i="31"/>
  <c r="AQ111" i="31"/>
  <c r="AP111" i="31"/>
  <c r="AO111" i="31"/>
  <c r="AN111" i="31"/>
  <c r="AM111" i="31"/>
  <c r="D111" i="32" s="1"/>
  <c r="AL111" i="31"/>
  <c r="AK111" i="31"/>
  <c r="AJ111" i="31"/>
  <c r="AI111" i="31"/>
  <c r="AG111" i="31"/>
  <c r="AF111" i="31"/>
  <c r="AC111" i="31"/>
  <c r="AD111" i="31" s="1"/>
  <c r="AB111" i="31"/>
  <c r="Y111" i="31"/>
  <c r="AE111" i="31" s="1"/>
  <c r="W111" i="31"/>
  <c r="U111" i="31"/>
  <c r="R111" i="31"/>
  <c r="L111" i="31"/>
  <c r="K111" i="31"/>
  <c r="AT109" i="31"/>
  <c r="AS109" i="31"/>
  <c r="AR109" i="31"/>
  <c r="AQ109" i="31"/>
  <c r="AP109" i="31"/>
  <c r="AO109" i="31"/>
  <c r="AN109" i="31"/>
  <c r="AM109" i="31"/>
  <c r="D109" i="32" s="1"/>
  <c r="AL109" i="31"/>
  <c r="AK109" i="31"/>
  <c r="AJ109" i="31"/>
  <c r="AI109" i="31"/>
  <c r="AG109" i="31"/>
  <c r="AF109" i="31"/>
  <c r="AC109" i="31"/>
  <c r="AD109" i="31" s="1"/>
  <c r="AB109" i="31"/>
  <c r="Y109" i="31"/>
  <c r="AE109" i="31" s="1"/>
  <c r="W109" i="31"/>
  <c r="U109" i="31"/>
  <c r="R109" i="31"/>
  <c r="L109" i="31"/>
  <c r="K109" i="31"/>
  <c r="AG107" i="31"/>
  <c r="AF107" i="31"/>
  <c r="AB107" i="31"/>
  <c r="W107" i="31"/>
  <c r="U107" i="31"/>
  <c r="R107" i="31"/>
  <c r="L107" i="31"/>
  <c r="K107" i="31"/>
  <c r="BA106" i="31"/>
  <c r="AZ106" i="31"/>
  <c r="AY106" i="31"/>
  <c r="AX106" i="31"/>
  <c r="AW106" i="31"/>
  <c r="AV106" i="31"/>
  <c r="AG105" i="31"/>
  <c r="AF105" i="31"/>
  <c r="AB105" i="31"/>
  <c r="W105" i="31"/>
  <c r="U105" i="31"/>
  <c r="R105" i="31"/>
  <c r="L105" i="31"/>
  <c r="K105" i="31"/>
  <c r="BA104" i="31"/>
  <c r="AZ104" i="31"/>
  <c r="AY104" i="31"/>
  <c r="AX104" i="31"/>
  <c r="AW104" i="31"/>
  <c r="AV104" i="31"/>
  <c r="AT103" i="31"/>
  <c r="AS103" i="31"/>
  <c r="AR103" i="31"/>
  <c r="AQ103" i="31"/>
  <c r="AP103" i="31"/>
  <c r="AO103" i="31"/>
  <c r="AN103" i="31"/>
  <c r="AM103" i="31"/>
  <c r="D103" i="32" s="1"/>
  <c r="AL103" i="31"/>
  <c r="AK103" i="31"/>
  <c r="AJ103" i="31"/>
  <c r="AI103" i="31"/>
  <c r="AG103" i="31"/>
  <c r="AF103" i="31"/>
  <c r="AC103" i="31"/>
  <c r="AD103" i="31" s="1"/>
  <c r="AB103" i="31"/>
  <c r="Y103" i="31"/>
  <c r="AE103" i="31" s="1"/>
  <c r="W103" i="31"/>
  <c r="U103" i="31"/>
  <c r="R103" i="31"/>
  <c r="L103" i="31"/>
  <c r="K103" i="31"/>
  <c r="AT101" i="31"/>
  <c r="AS101" i="31"/>
  <c r="AR101" i="31"/>
  <c r="AQ101" i="31"/>
  <c r="AP101" i="31"/>
  <c r="AO101" i="31"/>
  <c r="AN101" i="31"/>
  <c r="AM101" i="31"/>
  <c r="D101" i="32" s="1"/>
  <c r="AL101" i="31"/>
  <c r="AK101" i="31"/>
  <c r="AJ101" i="31"/>
  <c r="AI101" i="31"/>
  <c r="AG101" i="31"/>
  <c r="AF101" i="31"/>
  <c r="AC101" i="31"/>
  <c r="AD101" i="31" s="1"/>
  <c r="AB101" i="31"/>
  <c r="Y101" i="31"/>
  <c r="AE101" i="31" s="1"/>
  <c r="W101" i="31"/>
  <c r="U101" i="31"/>
  <c r="R101" i="31"/>
  <c r="L101" i="31"/>
  <c r="K101" i="31"/>
  <c r="AT99" i="31"/>
  <c r="AS99" i="31"/>
  <c r="AR99" i="31"/>
  <c r="AQ99" i="31"/>
  <c r="AP99" i="31"/>
  <c r="AO99" i="31"/>
  <c r="AN99" i="31"/>
  <c r="AM99" i="31"/>
  <c r="D99" i="32" s="1"/>
  <c r="AL99" i="31"/>
  <c r="AK99" i="31"/>
  <c r="AJ99" i="31"/>
  <c r="AI99" i="31"/>
  <c r="AG99" i="31"/>
  <c r="AF99" i="31"/>
  <c r="AC99" i="31"/>
  <c r="AD99" i="31" s="1"/>
  <c r="AB99" i="31"/>
  <c r="Y99" i="31"/>
  <c r="AE99" i="31" s="1"/>
  <c r="W99" i="31"/>
  <c r="U99" i="31"/>
  <c r="R99" i="31"/>
  <c r="L99" i="31"/>
  <c r="K99" i="31"/>
  <c r="AT97" i="31"/>
  <c r="AS97" i="31"/>
  <c r="AR97" i="31"/>
  <c r="AQ97" i="31"/>
  <c r="AP97" i="31"/>
  <c r="AO97" i="31"/>
  <c r="AN97" i="31"/>
  <c r="AM97" i="31"/>
  <c r="D97" i="32" s="1"/>
  <c r="AL97" i="31"/>
  <c r="AK97" i="31"/>
  <c r="AJ97" i="31"/>
  <c r="AI97" i="31"/>
  <c r="AG97" i="31"/>
  <c r="AF97" i="31"/>
  <c r="AC97" i="31"/>
  <c r="AD97" i="31" s="1"/>
  <c r="AB97" i="31"/>
  <c r="Y97" i="31"/>
  <c r="AE97" i="31" s="1"/>
  <c r="W97" i="31"/>
  <c r="U97" i="31"/>
  <c r="R97" i="31"/>
  <c r="L97" i="31"/>
  <c r="K97" i="31"/>
  <c r="AT95" i="31"/>
  <c r="AS95" i="31"/>
  <c r="AR95" i="31"/>
  <c r="AQ95" i="31"/>
  <c r="AP95" i="31"/>
  <c r="AO95" i="31"/>
  <c r="AN95" i="31"/>
  <c r="AM95" i="31"/>
  <c r="D95" i="32" s="1"/>
  <c r="AL95" i="31"/>
  <c r="AK95" i="31"/>
  <c r="AJ95" i="31"/>
  <c r="AI95" i="31"/>
  <c r="AG95" i="31"/>
  <c r="AF95" i="31"/>
  <c r="AC95" i="31"/>
  <c r="AD95" i="31" s="1"/>
  <c r="AB95" i="31"/>
  <c r="Y95" i="31"/>
  <c r="AE95" i="31" s="1"/>
  <c r="W95" i="31"/>
  <c r="U95" i="31"/>
  <c r="R95" i="31"/>
  <c r="L95" i="31"/>
  <c r="K95" i="31"/>
  <c r="AT93" i="31"/>
  <c r="AS93" i="31"/>
  <c r="AR93" i="31"/>
  <c r="AQ93" i="31"/>
  <c r="AP93" i="31"/>
  <c r="AO93" i="31"/>
  <c r="AN93" i="31"/>
  <c r="AM93" i="31"/>
  <c r="D93" i="32" s="1"/>
  <c r="AL93" i="31"/>
  <c r="AK93" i="31"/>
  <c r="AJ93" i="31"/>
  <c r="AI93" i="31"/>
  <c r="AG93" i="31"/>
  <c r="AF93" i="31"/>
  <c r="AC93" i="31"/>
  <c r="AD93" i="31" s="1"/>
  <c r="AB93" i="31"/>
  <c r="Y93" i="31"/>
  <c r="AE93" i="31" s="1"/>
  <c r="W93" i="31"/>
  <c r="U93" i="31"/>
  <c r="R93" i="31"/>
  <c r="L93" i="31"/>
  <c r="K93" i="31"/>
  <c r="AT91" i="31"/>
  <c r="AS91" i="31"/>
  <c r="AR91" i="31"/>
  <c r="AQ91" i="31"/>
  <c r="AP91" i="31"/>
  <c r="AO91" i="31"/>
  <c r="AN91" i="31"/>
  <c r="AM91" i="31"/>
  <c r="D91" i="32" s="1"/>
  <c r="AL91" i="31"/>
  <c r="AK91" i="31"/>
  <c r="AJ91" i="31"/>
  <c r="AI91" i="31"/>
  <c r="AG91" i="31"/>
  <c r="AF91" i="31"/>
  <c r="AC91" i="31"/>
  <c r="AD91" i="31" s="1"/>
  <c r="AB91" i="31"/>
  <c r="Y91" i="31"/>
  <c r="AE91" i="31" s="1"/>
  <c r="W91" i="31"/>
  <c r="U91" i="31"/>
  <c r="R91" i="31"/>
  <c r="L91" i="31"/>
  <c r="K91" i="31"/>
  <c r="AG89" i="31"/>
  <c r="AF89" i="31"/>
  <c r="AA89" i="31"/>
  <c r="AB89" i="31" s="1"/>
  <c r="W89" i="31"/>
  <c r="U89" i="31"/>
  <c r="R89" i="31"/>
  <c r="L89" i="31"/>
  <c r="K89" i="31"/>
  <c r="BI88" i="31"/>
  <c r="BH88" i="31"/>
  <c r="BG88" i="31"/>
  <c r="BF88" i="31"/>
  <c r="BE88" i="31"/>
  <c r="BD88" i="31"/>
  <c r="BC88" i="31"/>
  <c r="BB88" i="31"/>
  <c r="BA88" i="31"/>
  <c r="AZ88" i="31"/>
  <c r="AY88" i="31"/>
  <c r="AX88" i="31"/>
  <c r="AW88" i="31"/>
  <c r="AV88" i="31"/>
  <c r="AG87" i="31"/>
  <c r="AF87" i="31"/>
  <c r="AA87" i="31"/>
  <c r="AB87" i="31" s="1"/>
  <c r="W87" i="31"/>
  <c r="U87" i="31"/>
  <c r="R87" i="31"/>
  <c r="L87" i="31"/>
  <c r="K87" i="31"/>
  <c r="BI86" i="31"/>
  <c r="BH86" i="31"/>
  <c r="BG86" i="31"/>
  <c r="BF86" i="31"/>
  <c r="BE86" i="31"/>
  <c r="BD86" i="31"/>
  <c r="BC86" i="31"/>
  <c r="BB86" i="31"/>
  <c r="BA86" i="31"/>
  <c r="AZ86" i="31"/>
  <c r="AY86" i="31"/>
  <c r="AX86" i="31"/>
  <c r="AW86" i="31"/>
  <c r="AV86" i="31"/>
  <c r="AG69" i="31"/>
  <c r="AF69" i="31"/>
  <c r="AA69" i="31"/>
  <c r="AB69" i="31" s="1"/>
  <c r="Y69" i="31"/>
  <c r="W69" i="31"/>
  <c r="U69" i="31"/>
  <c r="R69" i="31"/>
  <c r="L69" i="31"/>
  <c r="K69" i="31"/>
  <c r="AW68" i="31"/>
  <c r="AX68" i="31" s="1"/>
  <c r="AY68" i="31" s="1"/>
  <c r="AZ68" i="31" s="1"/>
  <c r="BA68" i="31" s="1"/>
  <c r="BB68" i="31" s="1"/>
  <c r="BC68" i="31" s="1"/>
  <c r="AG67" i="31"/>
  <c r="AF67" i="31"/>
  <c r="AA67" i="31"/>
  <c r="AB67" i="31" s="1"/>
  <c r="Y67" i="31"/>
  <c r="W67" i="31"/>
  <c r="U67" i="31"/>
  <c r="R67" i="31"/>
  <c r="L67" i="31"/>
  <c r="K67" i="31"/>
  <c r="AW66" i="31"/>
  <c r="AX66" i="31" s="1"/>
  <c r="AY66" i="31" s="1"/>
  <c r="AZ66" i="31" s="1"/>
  <c r="BA66" i="31" s="1"/>
  <c r="BB66" i="31" s="1"/>
  <c r="BC66" i="31" s="1"/>
  <c r="AG65" i="31"/>
  <c r="AF65" i="31"/>
  <c r="AA65" i="31"/>
  <c r="AB65" i="31" s="1"/>
  <c r="Y65" i="31"/>
  <c r="W65" i="31"/>
  <c r="U65" i="31"/>
  <c r="R65" i="31"/>
  <c r="L65" i="31"/>
  <c r="K65" i="31"/>
  <c r="AW64" i="31"/>
  <c r="AX64" i="31" s="1"/>
  <c r="AY64" i="31" s="1"/>
  <c r="AZ64" i="31" s="1"/>
  <c r="BA64" i="31" s="1"/>
  <c r="BB64" i="31" s="1"/>
  <c r="BC64" i="31" s="1"/>
  <c r="AG63" i="31"/>
  <c r="AF63" i="31"/>
  <c r="AA63" i="31"/>
  <c r="AB63" i="31" s="1"/>
  <c r="Y63" i="31"/>
  <c r="W63" i="31"/>
  <c r="U63" i="31"/>
  <c r="R63" i="31"/>
  <c r="L63" i="31"/>
  <c r="K63" i="31"/>
  <c r="AW62" i="31"/>
  <c r="AX62" i="31" s="1"/>
  <c r="AY62" i="31" s="1"/>
  <c r="AZ62" i="31" s="1"/>
  <c r="BA62" i="31" s="1"/>
  <c r="BB62" i="31" s="1"/>
  <c r="BC62" i="31" s="1"/>
  <c r="AG61" i="31"/>
  <c r="AF61" i="31"/>
  <c r="AA61" i="31"/>
  <c r="AB61" i="31" s="1"/>
  <c r="Y61" i="31"/>
  <c r="W61" i="31"/>
  <c r="U61" i="31"/>
  <c r="R61" i="31"/>
  <c r="L61" i="31"/>
  <c r="K61" i="31"/>
  <c r="AW60" i="31"/>
  <c r="AX60" i="31" s="1"/>
  <c r="AY60" i="31" s="1"/>
  <c r="AZ60" i="31" s="1"/>
  <c r="BA60" i="31" s="1"/>
  <c r="BB60" i="31" s="1"/>
  <c r="BC60" i="31" s="1"/>
  <c r="AG59" i="31"/>
  <c r="AF59" i="31"/>
  <c r="AA59" i="31"/>
  <c r="AB59" i="31" s="1"/>
  <c r="Y59" i="31"/>
  <c r="W59" i="31"/>
  <c r="U59" i="31"/>
  <c r="R59" i="31"/>
  <c r="L59" i="31"/>
  <c r="K59" i="31"/>
  <c r="AW58" i="31"/>
  <c r="AX58" i="31" s="1"/>
  <c r="AY58" i="31" s="1"/>
  <c r="AZ58" i="31" s="1"/>
  <c r="BA58" i="31" s="1"/>
  <c r="BB58" i="31" s="1"/>
  <c r="BC58" i="31" s="1"/>
  <c r="AG57" i="31"/>
  <c r="AF57" i="31"/>
  <c r="AA57" i="31"/>
  <c r="B57" i="32" s="1"/>
  <c r="C57" i="32" s="1"/>
  <c r="Y57" i="31"/>
  <c r="W57" i="31"/>
  <c r="U57" i="31"/>
  <c r="R57" i="31"/>
  <c r="L57" i="31"/>
  <c r="K57" i="31"/>
  <c r="AW56" i="31"/>
  <c r="AX56" i="31" s="1"/>
  <c r="AY56" i="31" s="1"/>
  <c r="AZ56" i="31" s="1"/>
  <c r="BA56" i="31" s="1"/>
  <c r="BB56" i="31" s="1"/>
  <c r="BC56" i="31" s="1"/>
  <c r="AG51" i="31"/>
  <c r="AF51" i="31"/>
  <c r="AA51" i="31"/>
  <c r="B51" i="32" s="1"/>
  <c r="C51" i="32" s="1"/>
  <c r="Y51" i="31"/>
  <c r="W51" i="31"/>
  <c r="U51" i="31"/>
  <c r="R51" i="31"/>
  <c r="L51" i="31"/>
  <c r="K51" i="31"/>
  <c r="AX50" i="31"/>
  <c r="AW50" i="31"/>
  <c r="AG49" i="31"/>
  <c r="AF49" i="31"/>
  <c r="AA49" i="31"/>
  <c r="AB49" i="31" s="1"/>
  <c r="Y49" i="31"/>
  <c r="W49" i="31"/>
  <c r="U49" i="31"/>
  <c r="R49" i="31"/>
  <c r="L49" i="31"/>
  <c r="K49" i="31"/>
  <c r="AX48" i="31"/>
  <c r="AW48" i="31"/>
  <c r="AG47" i="31"/>
  <c r="AF47" i="31"/>
  <c r="AA47" i="31"/>
  <c r="B47" i="32" s="1"/>
  <c r="C47" i="32" s="1"/>
  <c r="Y47" i="31"/>
  <c r="W47" i="31"/>
  <c r="U47" i="31"/>
  <c r="R47" i="31"/>
  <c r="L47" i="31"/>
  <c r="K47" i="31"/>
  <c r="AX46" i="31"/>
  <c r="AW46" i="31"/>
  <c r="AG45" i="31"/>
  <c r="AF45" i="31"/>
  <c r="AA45" i="31"/>
  <c r="AB45" i="31" s="1"/>
  <c r="Y45" i="31"/>
  <c r="W45" i="31"/>
  <c r="U45" i="31"/>
  <c r="R45" i="31"/>
  <c r="L45" i="31"/>
  <c r="K45" i="31"/>
  <c r="AX44" i="31"/>
  <c r="AW44" i="31"/>
  <c r="BE43" i="31"/>
  <c r="BD43" i="31"/>
  <c r="BC43" i="31"/>
  <c r="BB43" i="31"/>
  <c r="BA43" i="31"/>
  <c r="AZ43" i="31"/>
  <c r="AY43" i="31"/>
  <c r="AX43" i="31"/>
  <c r="AW43" i="31"/>
  <c r="AV43" i="31"/>
  <c r="AA43" i="31"/>
  <c r="AB43" i="31" s="1"/>
  <c r="W43" i="31"/>
  <c r="U43" i="31"/>
  <c r="R43" i="31"/>
  <c r="L43" i="31"/>
  <c r="K43" i="31"/>
  <c r="BE42" i="31"/>
  <c r="BD42" i="31"/>
  <c r="BC42" i="31"/>
  <c r="BB42" i="31"/>
  <c r="BA42" i="31"/>
  <c r="AZ42" i="31"/>
  <c r="AY42" i="31"/>
  <c r="AX42" i="31"/>
  <c r="AW42" i="31"/>
  <c r="AV42" i="31"/>
  <c r="BE41" i="31"/>
  <c r="BD41" i="31"/>
  <c r="BC41" i="31"/>
  <c r="BB41" i="31"/>
  <c r="BA41" i="31"/>
  <c r="AZ41" i="31"/>
  <c r="AY41" i="31"/>
  <c r="AX41" i="31"/>
  <c r="AW41" i="31"/>
  <c r="AV41" i="31"/>
  <c r="AF41" i="31" s="1"/>
  <c r="AA41" i="31"/>
  <c r="AB41" i="31" s="1"/>
  <c r="W41" i="31"/>
  <c r="U41" i="31"/>
  <c r="R41" i="31"/>
  <c r="L41" i="31"/>
  <c r="K41" i="31"/>
  <c r="BE40" i="31"/>
  <c r="BD40" i="31"/>
  <c r="BC40" i="31"/>
  <c r="BB40" i="31"/>
  <c r="BA40" i="31"/>
  <c r="AZ40" i="31"/>
  <c r="AY40" i="31"/>
  <c r="AX40" i="31"/>
  <c r="AW40" i="31"/>
  <c r="AV40" i="31"/>
  <c r="AG39" i="31"/>
  <c r="AF39" i="31"/>
  <c r="AA39" i="31"/>
  <c r="AB39" i="31" s="1"/>
  <c r="W39" i="31"/>
  <c r="U39" i="31"/>
  <c r="R39" i="31"/>
  <c r="L39" i="31"/>
  <c r="K39" i="31"/>
  <c r="BE38" i="31"/>
  <c r="BD38" i="31"/>
  <c r="BC38" i="31"/>
  <c r="BB38" i="31"/>
  <c r="BA38" i="31"/>
  <c r="AZ38" i="31"/>
  <c r="AY38" i="31"/>
  <c r="AX38" i="31"/>
  <c r="AW38" i="31"/>
  <c r="AV38" i="31"/>
  <c r="Y39" i="31" s="1"/>
  <c r="AG35" i="31"/>
  <c r="AF35" i="31"/>
  <c r="AA35" i="31"/>
  <c r="AB35" i="31" s="1"/>
  <c r="W35" i="31"/>
  <c r="U35" i="31"/>
  <c r="R35" i="31"/>
  <c r="L35" i="31"/>
  <c r="K35" i="31"/>
  <c r="BA34" i="31"/>
  <c r="AZ34" i="31"/>
  <c r="AY34" i="31"/>
  <c r="AX34" i="31"/>
  <c r="AW34" i="31"/>
  <c r="AV34" i="31"/>
  <c r="Y35" i="31" s="1"/>
  <c r="BA33" i="31"/>
  <c r="AZ33" i="31"/>
  <c r="AY33" i="31"/>
  <c r="AX33" i="31"/>
  <c r="AW33" i="31"/>
  <c r="AV33" i="31"/>
  <c r="AF33" i="31" s="1"/>
  <c r="AA33" i="31"/>
  <c r="AB33" i="31" s="1"/>
  <c r="W33" i="31"/>
  <c r="U33" i="31"/>
  <c r="R33" i="31"/>
  <c r="L33" i="31"/>
  <c r="K33" i="31"/>
  <c r="BA32" i="31"/>
  <c r="AZ32" i="31"/>
  <c r="AY32" i="31"/>
  <c r="AX32" i="31"/>
  <c r="AW32" i="31"/>
  <c r="AV32" i="31"/>
  <c r="AG31" i="31"/>
  <c r="AF31" i="31"/>
  <c r="AA31" i="31"/>
  <c r="AB31" i="31" s="1"/>
  <c r="W31" i="31"/>
  <c r="U31" i="31"/>
  <c r="R31" i="31"/>
  <c r="L31" i="31"/>
  <c r="K31" i="31"/>
  <c r="AX30" i="31"/>
  <c r="AW30" i="31"/>
  <c r="AV30" i="31"/>
  <c r="AG29" i="31"/>
  <c r="AF29" i="31"/>
  <c r="AA29" i="31"/>
  <c r="AB29" i="31" s="1"/>
  <c r="W29" i="31"/>
  <c r="U29" i="31"/>
  <c r="R29" i="31"/>
  <c r="L29" i="31"/>
  <c r="K29" i="31"/>
  <c r="AX28" i="31"/>
  <c r="AW28" i="31"/>
  <c r="AV28" i="31"/>
  <c r="AG27" i="31"/>
  <c r="AF27" i="31"/>
  <c r="AA27" i="31"/>
  <c r="B27" i="32" s="1"/>
  <c r="C27" i="32" s="1"/>
  <c r="W27" i="31"/>
  <c r="U27" i="31"/>
  <c r="R27" i="31"/>
  <c r="L27" i="31"/>
  <c r="K27" i="31"/>
  <c r="AX26" i="31"/>
  <c r="AW26" i="31"/>
  <c r="AV26" i="31"/>
  <c r="AG25" i="31"/>
  <c r="AF25" i="31"/>
  <c r="AA25" i="31"/>
  <c r="AB25" i="31" s="1"/>
  <c r="W25" i="31"/>
  <c r="U25" i="31"/>
  <c r="R25" i="31"/>
  <c r="L25" i="31"/>
  <c r="K25" i="31"/>
  <c r="AX24" i="31"/>
  <c r="AW24" i="31"/>
  <c r="AV24" i="31"/>
  <c r="AG23" i="31"/>
  <c r="AF23" i="31"/>
  <c r="AA23" i="31"/>
  <c r="AB23" i="31" s="1"/>
  <c r="W23" i="31"/>
  <c r="U23" i="31"/>
  <c r="R23" i="31"/>
  <c r="L23" i="31"/>
  <c r="K23" i="31"/>
  <c r="AX22" i="31"/>
  <c r="AW22" i="31"/>
  <c r="AV22" i="31"/>
  <c r="AG21" i="31"/>
  <c r="AF21" i="31"/>
  <c r="AA21" i="31"/>
  <c r="AB21" i="31" s="1"/>
  <c r="W21" i="31"/>
  <c r="U21" i="31"/>
  <c r="R21" i="31"/>
  <c r="L21" i="31"/>
  <c r="K21" i="31"/>
  <c r="AX20" i="31"/>
  <c r="AW20" i="31"/>
  <c r="AV20" i="31"/>
  <c r="AG19" i="31"/>
  <c r="AF19" i="31"/>
  <c r="AA19" i="31"/>
  <c r="B19" i="32" s="1"/>
  <c r="C19" i="32" s="1"/>
  <c r="W19" i="31"/>
  <c r="U19" i="31"/>
  <c r="R19" i="31"/>
  <c r="L19" i="31"/>
  <c r="K19" i="31"/>
  <c r="AX18" i="31"/>
  <c r="AW18" i="31"/>
  <c r="AV18" i="31"/>
  <c r="AG17" i="31"/>
  <c r="AF17" i="31"/>
  <c r="AA17" i="31"/>
  <c r="AB17" i="31" s="1"/>
  <c r="W17" i="31"/>
  <c r="U17" i="31"/>
  <c r="R17" i="31"/>
  <c r="L17" i="31"/>
  <c r="K17" i="31"/>
  <c r="AX16" i="31"/>
  <c r="AW16" i="31"/>
  <c r="AV16" i="31"/>
  <c r="AG15" i="31"/>
  <c r="AF15" i="31"/>
  <c r="AA15" i="31"/>
  <c r="B15" i="32" s="1"/>
  <c r="C15" i="32" s="1"/>
  <c r="W15" i="31"/>
  <c r="U15" i="31"/>
  <c r="R15" i="31"/>
  <c r="L15" i="31"/>
  <c r="K15" i="31"/>
  <c r="AX14" i="31"/>
  <c r="AW14" i="31"/>
  <c r="AV14" i="31"/>
  <c r="AG13" i="31"/>
  <c r="AF13" i="31"/>
  <c r="AA13" i="31"/>
  <c r="AB13" i="31" s="1"/>
  <c r="W13" i="31"/>
  <c r="U13" i="31"/>
  <c r="R13" i="31"/>
  <c r="L13" i="31"/>
  <c r="K13" i="31"/>
  <c r="AX12" i="31"/>
  <c r="AW12" i="31"/>
  <c r="AV12" i="31"/>
  <c r="AG11" i="31"/>
  <c r="AF11" i="31"/>
  <c r="AA11" i="31"/>
  <c r="B11" i="32" s="1"/>
  <c r="C11" i="32" s="1"/>
  <c r="W11" i="31"/>
  <c r="U11" i="31"/>
  <c r="R11" i="31"/>
  <c r="L11" i="31"/>
  <c r="K11" i="31"/>
  <c r="AX10" i="31"/>
  <c r="AW10" i="31"/>
  <c r="AV10" i="31"/>
  <c r="AG9" i="31"/>
  <c r="AF9" i="31"/>
  <c r="AA9" i="31"/>
  <c r="AB9" i="31" s="1"/>
  <c r="W9" i="31"/>
  <c r="U9" i="31"/>
  <c r="R9" i="31"/>
  <c r="L9" i="31"/>
  <c r="K9" i="31"/>
  <c r="AZ8" i="31"/>
  <c r="AY8" i="31"/>
  <c r="AX8" i="31"/>
  <c r="AW8" i="31"/>
  <c r="AV8" i="31"/>
  <c r="AG7" i="31"/>
  <c r="AF7" i="31"/>
  <c r="AA7" i="31"/>
  <c r="AB7" i="31" s="1"/>
  <c r="W7" i="31"/>
  <c r="U7" i="31"/>
  <c r="R7" i="31"/>
  <c r="L7" i="31"/>
  <c r="K7" i="31"/>
  <c r="AZ6" i="31"/>
  <c r="AY6" i="31"/>
  <c r="AX6" i="31"/>
  <c r="AW6" i="31"/>
  <c r="AV6" i="31"/>
  <c r="AG5" i="31"/>
  <c r="AF5" i="31"/>
  <c r="AB5" i="31"/>
  <c r="W5" i="31"/>
  <c r="U5" i="31"/>
  <c r="R5" i="31"/>
  <c r="L5" i="31"/>
  <c r="K5" i="31"/>
  <c r="BC4" i="31"/>
  <c r="BD4" i="31" s="1"/>
  <c r="BE4" i="31" s="1"/>
  <c r="BB4" i="31"/>
  <c r="BA4" i="31"/>
  <c r="AZ4" i="31"/>
  <c r="AY4" i="31"/>
  <c r="AX4" i="31"/>
  <c r="AW4" i="31"/>
  <c r="AV4" i="31"/>
  <c r="AG3" i="31"/>
  <c r="AF3" i="31"/>
  <c r="AB3" i="31"/>
  <c r="W3" i="31"/>
  <c r="U3" i="31"/>
  <c r="R3" i="31"/>
  <c r="L3" i="31"/>
  <c r="K3" i="31"/>
  <c r="BC2" i="31"/>
  <c r="BD2" i="31" s="1"/>
  <c r="BE2" i="31" s="1"/>
  <c r="BB2" i="31"/>
  <c r="BA2" i="31"/>
  <c r="AZ2" i="31"/>
  <c r="AY2" i="31"/>
  <c r="AX2" i="31"/>
  <c r="AW2" i="31"/>
  <c r="AV2" i="31"/>
  <c r="B713" i="30"/>
  <c r="C713" i="30" s="1"/>
  <c r="A713" i="30"/>
  <c r="A707" i="30"/>
  <c r="A705" i="30"/>
  <c r="A703" i="30"/>
  <c r="A701" i="30"/>
  <c r="A699" i="30"/>
  <c r="A697" i="30"/>
  <c r="B695" i="30"/>
  <c r="C695" i="30" s="1"/>
  <c r="A695" i="30"/>
  <c r="A691" i="30"/>
  <c r="A689" i="30"/>
  <c r="A687" i="30"/>
  <c r="A685" i="30"/>
  <c r="A683" i="30"/>
  <c r="A681" i="30"/>
  <c r="A679" i="30"/>
  <c r="A677" i="30"/>
  <c r="A675" i="30"/>
  <c r="A673" i="30"/>
  <c r="A671" i="30"/>
  <c r="B669" i="30"/>
  <c r="C669" i="30" s="1"/>
  <c r="A669" i="30"/>
  <c r="A667" i="30"/>
  <c r="A665" i="30"/>
  <c r="A663" i="30"/>
  <c r="A661" i="30"/>
  <c r="A659" i="30"/>
  <c r="B657" i="30"/>
  <c r="C657" i="30" s="1"/>
  <c r="A657" i="30"/>
  <c r="B655" i="30"/>
  <c r="C655" i="30" s="1"/>
  <c r="A655" i="30"/>
  <c r="B653" i="30"/>
  <c r="C653" i="30" s="1"/>
  <c r="A653" i="30"/>
  <c r="B651" i="30"/>
  <c r="C651" i="30" s="1"/>
  <c r="A651" i="30"/>
  <c r="A649" i="30"/>
  <c r="A647" i="30"/>
  <c r="A645" i="30"/>
  <c r="A643" i="30"/>
  <c r="A641" i="30"/>
  <c r="A639" i="30"/>
  <c r="A637" i="30"/>
  <c r="A635" i="30"/>
  <c r="B633" i="30"/>
  <c r="C633" i="30" s="1"/>
  <c r="A633" i="30"/>
  <c r="B627" i="30"/>
  <c r="C627" i="30" s="1"/>
  <c r="A627" i="30"/>
  <c r="B625" i="30"/>
  <c r="C625" i="30" s="1"/>
  <c r="A625" i="30"/>
  <c r="B623" i="30"/>
  <c r="C623" i="30" s="1"/>
  <c r="A623" i="30"/>
  <c r="B621" i="30"/>
  <c r="C621" i="30" s="1"/>
  <c r="A621" i="30"/>
  <c r="A619" i="30"/>
  <c r="A613" i="30"/>
  <c r="A611" i="30"/>
  <c r="A609" i="30"/>
  <c r="A607" i="30"/>
  <c r="A605" i="30"/>
  <c r="A603" i="30"/>
  <c r="A601" i="30"/>
  <c r="A599" i="30"/>
  <c r="A597" i="30"/>
  <c r="A595" i="30"/>
  <c r="A593" i="30"/>
  <c r="A591" i="30"/>
  <c r="A589" i="30"/>
  <c r="A587" i="30"/>
  <c r="A585" i="30"/>
  <c r="A583" i="30"/>
  <c r="A581" i="30"/>
  <c r="B579" i="30"/>
  <c r="C579" i="30" s="1"/>
  <c r="A579" i="30"/>
  <c r="B577" i="30"/>
  <c r="C577" i="30" s="1"/>
  <c r="A577" i="30"/>
  <c r="B575" i="30"/>
  <c r="C575" i="30" s="1"/>
  <c r="A575" i="30"/>
  <c r="B573" i="30"/>
  <c r="C573" i="30" s="1"/>
  <c r="A573" i="30"/>
  <c r="A571" i="30"/>
  <c r="A569" i="30"/>
  <c r="A567" i="30"/>
  <c r="A565" i="30"/>
  <c r="A563" i="30"/>
  <c r="A561" i="30"/>
  <c r="A559" i="30"/>
  <c r="A557" i="30"/>
  <c r="A555" i="30"/>
  <c r="A553" i="30"/>
  <c r="A551" i="30"/>
  <c r="A549" i="30"/>
  <c r="A547" i="30"/>
  <c r="A545" i="30"/>
  <c r="A543" i="30"/>
  <c r="B541" i="30"/>
  <c r="C541" i="30" s="1"/>
  <c r="A541" i="30"/>
  <c r="A539" i="30"/>
  <c r="A537" i="30"/>
  <c r="A535" i="30"/>
  <c r="A533" i="30"/>
  <c r="A531" i="30"/>
  <c r="B529" i="30"/>
  <c r="C529" i="30" s="1"/>
  <c r="A529" i="30"/>
  <c r="B527" i="30"/>
  <c r="C527" i="30" s="1"/>
  <c r="A527" i="30"/>
  <c r="B525" i="30"/>
  <c r="C525" i="30" s="1"/>
  <c r="A525" i="30"/>
  <c r="B523" i="30"/>
  <c r="C523" i="30" s="1"/>
  <c r="A523" i="30"/>
  <c r="B521" i="30"/>
  <c r="C521" i="30" s="1"/>
  <c r="A521" i="30"/>
  <c r="B519" i="30"/>
  <c r="C519" i="30" s="1"/>
  <c r="A519" i="30"/>
  <c r="B515" i="30"/>
  <c r="C515" i="30" s="1"/>
  <c r="A515" i="30"/>
  <c r="B513" i="30"/>
  <c r="C513" i="30" s="1"/>
  <c r="A513" i="30"/>
  <c r="B511" i="30"/>
  <c r="C511" i="30" s="1"/>
  <c r="A511" i="30"/>
  <c r="B509" i="30"/>
  <c r="C509" i="30" s="1"/>
  <c r="A509" i="30"/>
  <c r="A507" i="30"/>
  <c r="B505" i="30"/>
  <c r="C505" i="30" s="1"/>
  <c r="A505" i="30"/>
  <c r="A503" i="30"/>
  <c r="A501" i="30"/>
  <c r="A499" i="30"/>
  <c r="A467" i="30"/>
  <c r="A465" i="30"/>
  <c r="A463" i="30"/>
  <c r="A461" i="30"/>
  <c r="A459" i="30"/>
  <c r="A457" i="30"/>
  <c r="A455" i="30"/>
  <c r="A453" i="30"/>
  <c r="A451" i="30"/>
  <c r="A437" i="30"/>
  <c r="A435" i="30"/>
  <c r="A433" i="30"/>
  <c r="A421" i="30"/>
  <c r="A415" i="30"/>
  <c r="A413" i="30"/>
  <c r="A411" i="30"/>
  <c r="B409" i="30"/>
  <c r="C409" i="30" s="1"/>
  <c r="A409" i="30"/>
  <c r="B407" i="30"/>
  <c r="C407" i="30" s="1"/>
  <c r="A407" i="30"/>
  <c r="B405" i="30"/>
  <c r="C405" i="30" s="1"/>
  <c r="A405" i="30"/>
  <c r="B403" i="30"/>
  <c r="C403" i="30" s="1"/>
  <c r="A403" i="30"/>
  <c r="B401" i="30"/>
  <c r="C401" i="30" s="1"/>
  <c r="A401" i="30"/>
  <c r="B399" i="30"/>
  <c r="C399" i="30" s="1"/>
  <c r="A399" i="30"/>
  <c r="B397" i="30"/>
  <c r="C397" i="30" s="1"/>
  <c r="A397" i="30"/>
  <c r="B395" i="30"/>
  <c r="C395" i="30" s="1"/>
  <c r="A395" i="30"/>
  <c r="B393" i="30"/>
  <c r="C393" i="30" s="1"/>
  <c r="A393" i="30"/>
  <c r="B391" i="30"/>
  <c r="C391" i="30" s="1"/>
  <c r="A391" i="30"/>
  <c r="B389" i="30"/>
  <c r="C389" i="30" s="1"/>
  <c r="A389" i="30"/>
  <c r="B387" i="30"/>
  <c r="C387" i="30" s="1"/>
  <c r="A387" i="30"/>
  <c r="B385" i="30"/>
  <c r="C385" i="30" s="1"/>
  <c r="A385" i="30"/>
  <c r="A383" i="30"/>
  <c r="A381" i="30"/>
  <c r="A379" i="30"/>
  <c r="A377" i="30"/>
  <c r="A375" i="30"/>
  <c r="A373" i="30"/>
  <c r="A371" i="30"/>
  <c r="A369" i="30"/>
  <c r="A357" i="30"/>
  <c r="A355" i="30"/>
  <c r="A353" i="30"/>
  <c r="A351" i="30"/>
  <c r="A343" i="30"/>
  <c r="A341" i="30"/>
  <c r="A339" i="30"/>
  <c r="A337" i="30"/>
  <c r="A335" i="30"/>
  <c r="A333" i="30"/>
  <c r="A331" i="30"/>
  <c r="A329" i="30"/>
  <c r="A327" i="30"/>
  <c r="A325" i="30"/>
  <c r="A323" i="30"/>
  <c r="A313" i="30"/>
  <c r="A311" i="30"/>
  <c r="A309" i="30"/>
  <c r="A307" i="30"/>
  <c r="A305" i="30"/>
  <c r="B303" i="30"/>
  <c r="C303" i="30" s="1"/>
  <c r="A303" i="30"/>
  <c r="A301" i="30"/>
  <c r="A299" i="30"/>
  <c r="B297" i="30"/>
  <c r="C297" i="30" s="1"/>
  <c r="A297" i="30"/>
  <c r="B295" i="30"/>
  <c r="C295" i="30" s="1"/>
  <c r="A295" i="30"/>
  <c r="B293" i="30"/>
  <c r="C293" i="30" s="1"/>
  <c r="A293" i="30"/>
  <c r="B291" i="30"/>
  <c r="C291" i="30" s="1"/>
  <c r="A291" i="30"/>
  <c r="B289" i="30"/>
  <c r="C289" i="30" s="1"/>
  <c r="A289" i="30"/>
  <c r="A285" i="30"/>
  <c r="B283" i="30"/>
  <c r="C283" i="30" s="1"/>
  <c r="A283" i="30"/>
  <c r="B281" i="30"/>
  <c r="C281" i="30" s="1"/>
  <c r="A281" i="30"/>
  <c r="B279" i="30"/>
  <c r="C279" i="30" s="1"/>
  <c r="A279" i="30"/>
  <c r="B277" i="30"/>
  <c r="C277" i="30" s="1"/>
  <c r="A277" i="30"/>
  <c r="A275" i="30"/>
  <c r="B273" i="30"/>
  <c r="C273" i="30" s="1"/>
  <c r="A273" i="30"/>
  <c r="B271" i="30"/>
  <c r="C271" i="30" s="1"/>
  <c r="A271" i="30"/>
  <c r="B269" i="30"/>
  <c r="C269" i="30" s="1"/>
  <c r="A269" i="30"/>
  <c r="B267" i="30"/>
  <c r="C267" i="30" s="1"/>
  <c r="A267" i="30"/>
  <c r="B265" i="30"/>
  <c r="C265" i="30" s="1"/>
  <c r="A265" i="30"/>
  <c r="B263" i="30"/>
  <c r="C263" i="30" s="1"/>
  <c r="A263" i="30"/>
  <c r="B261" i="30"/>
  <c r="C261" i="30" s="1"/>
  <c r="A261" i="30"/>
  <c r="B259" i="30"/>
  <c r="C259" i="30" s="1"/>
  <c r="A259" i="30"/>
  <c r="B257" i="30"/>
  <c r="C257" i="30" s="1"/>
  <c r="A257" i="30"/>
  <c r="B255" i="30"/>
  <c r="C255" i="30" s="1"/>
  <c r="A255" i="30"/>
  <c r="B253" i="30"/>
  <c r="C253" i="30" s="1"/>
  <c r="A253" i="30"/>
  <c r="B251" i="30"/>
  <c r="C251" i="30" s="1"/>
  <c r="A251" i="30"/>
  <c r="A249" i="30"/>
  <c r="A247" i="30"/>
  <c r="B245" i="30"/>
  <c r="C245" i="30" s="1"/>
  <c r="A245" i="30"/>
  <c r="A235" i="30"/>
  <c r="A233" i="30"/>
  <c r="A231" i="30"/>
  <c r="A229" i="30"/>
  <c r="A227" i="30"/>
  <c r="A225" i="30"/>
  <c r="A223" i="30"/>
  <c r="A221" i="30"/>
  <c r="A219" i="30"/>
  <c r="A217" i="30"/>
  <c r="A215" i="30"/>
  <c r="B203" i="30"/>
  <c r="C203" i="30" s="1"/>
  <c r="A203" i="30"/>
  <c r="B201" i="30"/>
  <c r="C201" i="30" s="1"/>
  <c r="A201" i="30"/>
  <c r="B199" i="30"/>
  <c r="C199" i="30" s="1"/>
  <c r="A199" i="30"/>
  <c r="A197" i="30"/>
  <c r="A195" i="30"/>
  <c r="A193" i="30"/>
  <c r="A191" i="30"/>
  <c r="A189" i="30"/>
  <c r="A187" i="30"/>
  <c r="A185" i="30"/>
  <c r="A183" i="30"/>
  <c r="A181" i="30"/>
  <c r="A179" i="30"/>
  <c r="A177" i="30"/>
  <c r="A175" i="30"/>
  <c r="A173" i="30"/>
  <c r="A171" i="30"/>
  <c r="A169" i="30"/>
  <c r="B167" i="30"/>
  <c r="C167" i="30" s="1"/>
  <c r="A167" i="30"/>
  <c r="B165" i="30"/>
  <c r="C165" i="30" s="1"/>
  <c r="A165" i="30"/>
  <c r="B163" i="30"/>
  <c r="C163" i="30" s="1"/>
  <c r="A163" i="30"/>
  <c r="B161" i="30"/>
  <c r="C161" i="30" s="1"/>
  <c r="A161" i="30"/>
  <c r="B159" i="30"/>
  <c r="C159" i="30" s="1"/>
  <c r="A159" i="30"/>
  <c r="B157" i="30"/>
  <c r="C157" i="30" s="1"/>
  <c r="A157" i="30"/>
  <c r="B155" i="30"/>
  <c r="C155" i="30" s="1"/>
  <c r="A155" i="30"/>
  <c r="B153" i="30"/>
  <c r="C153" i="30" s="1"/>
  <c r="A153" i="30"/>
  <c r="B151" i="30"/>
  <c r="C151" i="30" s="1"/>
  <c r="A151" i="30"/>
  <c r="B149" i="30"/>
  <c r="C149" i="30" s="1"/>
  <c r="A149" i="30"/>
  <c r="A147" i="30"/>
  <c r="A145" i="30"/>
  <c r="A143" i="30"/>
  <c r="A141" i="30"/>
  <c r="A139" i="30"/>
  <c r="A137" i="30"/>
  <c r="A135" i="30"/>
  <c r="A133" i="30"/>
  <c r="B127" i="30"/>
  <c r="C127" i="30" s="1"/>
  <c r="A127" i="30"/>
  <c r="B125" i="30"/>
  <c r="C125" i="30" s="1"/>
  <c r="A125" i="30"/>
  <c r="B123" i="30"/>
  <c r="C123" i="30" s="1"/>
  <c r="A123" i="30"/>
  <c r="B121" i="30"/>
  <c r="C121" i="30" s="1"/>
  <c r="A121" i="30"/>
  <c r="B119" i="30"/>
  <c r="C119" i="30" s="1"/>
  <c r="A119" i="30"/>
  <c r="B117" i="30"/>
  <c r="C117" i="30" s="1"/>
  <c r="A117" i="30"/>
  <c r="B115" i="30"/>
  <c r="C115" i="30" s="1"/>
  <c r="A115" i="30"/>
  <c r="B113" i="30"/>
  <c r="C113" i="30" s="1"/>
  <c r="A113" i="30"/>
  <c r="B111" i="30"/>
  <c r="C111" i="30" s="1"/>
  <c r="A111" i="30"/>
  <c r="A109" i="30"/>
  <c r="A103" i="30"/>
  <c r="A101" i="30"/>
  <c r="A99" i="30"/>
  <c r="A97" i="30"/>
  <c r="A95" i="30"/>
  <c r="A93" i="30"/>
  <c r="A91" i="30"/>
  <c r="A89" i="30"/>
  <c r="A87" i="30"/>
  <c r="A85" i="30"/>
  <c r="A83" i="30"/>
  <c r="A81" i="30"/>
  <c r="A79" i="30"/>
  <c r="A77" i="30"/>
  <c r="A75" i="30"/>
  <c r="A73" i="30"/>
  <c r="A71" i="30"/>
  <c r="A69" i="30"/>
  <c r="A67" i="30"/>
  <c r="A65" i="30"/>
  <c r="A63" i="30"/>
  <c r="A61" i="30"/>
  <c r="B59" i="30"/>
  <c r="C59" i="30" s="1"/>
  <c r="A59" i="30"/>
  <c r="B57" i="30"/>
  <c r="C57" i="30" s="1"/>
  <c r="A57" i="30"/>
  <c r="B55" i="30"/>
  <c r="C55" i="30" s="1"/>
  <c r="A55" i="30"/>
  <c r="B53" i="30"/>
  <c r="C53" i="30" s="1"/>
  <c r="A53" i="30"/>
  <c r="B51" i="30"/>
  <c r="C51" i="30" s="1"/>
  <c r="A51" i="30"/>
  <c r="B49" i="30"/>
  <c r="C49" i="30" s="1"/>
  <c r="A49" i="30"/>
  <c r="B47" i="30"/>
  <c r="C47" i="30" s="1"/>
  <c r="A47" i="30"/>
  <c r="B45" i="30"/>
  <c r="C45" i="30" s="1"/>
  <c r="A45" i="30"/>
  <c r="B43" i="30"/>
  <c r="C43" i="30" s="1"/>
  <c r="A43" i="30"/>
  <c r="B41" i="30"/>
  <c r="C41" i="30" s="1"/>
  <c r="A41" i="30"/>
  <c r="B39" i="30"/>
  <c r="C39" i="30" s="1"/>
  <c r="A39" i="30"/>
  <c r="B37" i="30"/>
  <c r="C37" i="30" s="1"/>
  <c r="A37" i="30"/>
  <c r="B35" i="30"/>
  <c r="C35" i="30" s="1"/>
  <c r="A35" i="30"/>
  <c r="B33" i="30"/>
  <c r="C33" i="30" s="1"/>
  <c r="A33" i="30"/>
  <c r="B31" i="30"/>
  <c r="C31" i="30" s="1"/>
  <c r="A31" i="30"/>
  <c r="B29" i="30"/>
  <c r="C29" i="30" s="1"/>
  <c r="A29" i="30"/>
  <c r="B27" i="30"/>
  <c r="C27" i="30" s="1"/>
  <c r="A27" i="30"/>
  <c r="B25" i="30"/>
  <c r="C25" i="30" s="1"/>
  <c r="A25" i="30"/>
  <c r="B23" i="30"/>
  <c r="C23" i="30" s="1"/>
  <c r="A23" i="30"/>
  <c r="B21" i="30"/>
  <c r="C21" i="30" s="1"/>
  <c r="A21" i="30"/>
  <c r="B19" i="30"/>
  <c r="C19" i="30" s="1"/>
  <c r="A19" i="30"/>
  <c r="B17" i="30"/>
  <c r="C17" i="30" s="1"/>
  <c r="A17" i="30"/>
  <c r="B15" i="30"/>
  <c r="C15" i="30" s="1"/>
  <c r="A15" i="30"/>
  <c r="A13" i="30"/>
  <c r="A11" i="30"/>
  <c r="A9" i="30"/>
  <c r="A7" i="30"/>
  <c r="A3" i="30"/>
  <c r="A5" i="30"/>
  <c r="K251" i="29"/>
  <c r="L251" i="29"/>
  <c r="R251" i="29"/>
  <c r="U251" i="29"/>
  <c r="W251" i="29"/>
  <c r="Y251" i="29"/>
  <c r="AE251" i="29" s="1"/>
  <c r="AB251" i="29"/>
  <c r="AC251" i="29"/>
  <c r="AD251" i="29" s="1"/>
  <c r="AF251" i="29"/>
  <c r="AG251" i="29"/>
  <c r="AI251" i="29"/>
  <c r="AJ251" i="29"/>
  <c r="AK251" i="29"/>
  <c r="AL251" i="29"/>
  <c r="AM251" i="29"/>
  <c r="D251" i="30" s="1"/>
  <c r="AN251" i="29"/>
  <c r="AO251" i="29"/>
  <c r="AP251" i="29"/>
  <c r="AQ251" i="29"/>
  <c r="AR251" i="29"/>
  <c r="AS251" i="29"/>
  <c r="AT251" i="29"/>
  <c r="K253" i="29"/>
  <c r="L253" i="29"/>
  <c r="R253" i="29"/>
  <c r="U253" i="29"/>
  <c r="W253" i="29"/>
  <c r="Y253" i="29"/>
  <c r="AE253" i="29" s="1"/>
  <c r="AB253" i="29"/>
  <c r="AC253" i="29"/>
  <c r="AD253" i="29" s="1"/>
  <c r="AF253" i="29"/>
  <c r="AG253" i="29"/>
  <c r="AI253" i="29"/>
  <c r="AJ253" i="29"/>
  <c r="AK253" i="29"/>
  <c r="AL253" i="29"/>
  <c r="AM253" i="29"/>
  <c r="D253" i="30" s="1"/>
  <c r="AN253" i="29"/>
  <c r="AO253" i="29"/>
  <c r="AP253" i="29"/>
  <c r="AQ253" i="29"/>
  <c r="AR253" i="29"/>
  <c r="AS253" i="29"/>
  <c r="AT253" i="29"/>
  <c r="K255" i="29"/>
  <c r="L255" i="29"/>
  <c r="R255" i="29"/>
  <c r="U255" i="29"/>
  <c r="W255" i="29"/>
  <c r="Y255" i="29"/>
  <c r="AE255" i="29" s="1"/>
  <c r="AB255" i="29"/>
  <c r="AC255" i="29"/>
  <c r="AD255" i="29" s="1"/>
  <c r="AF255" i="29"/>
  <c r="AG255" i="29"/>
  <c r="AI255" i="29"/>
  <c r="AJ255" i="29"/>
  <c r="AK255" i="29"/>
  <c r="AL255" i="29"/>
  <c r="AM255" i="29"/>
  <c r="D255" i="30" s="1"/>
  <c r="AN255" i="29"/>
  <c r="AO255" i="29"/>
  <c r="AP255" i="29"/>
  <c r="AQ255" i="29"/>
  <c r="AR255" i="29"/>
  <c r="AS255" i="29"/>
  <c r="AT255" i="29"/>
  <c r="K257" i="29"/>
  <c r="L257" i="29"/>
  <c r="R257" i="29"/>
  <c r="U257" i="29"/>
  <c r="W257" i="29"/>
  <c r="Y257" i="29"/>
  <c r="AE257" i="29" s="1"/>
  <c r="AB257" i="29"/>
  <c r="AC257" i="29"/>
  <c r="AD257" i="29" s="1"/>
  <c r="AF257" i="29"/>
  <c r="AG257" i="29"/>
  <c r="AI257" i="29"/>
  <c r="AJ257" i="29"/>
  <c r="AK257" i="29"/>
  <c r="AL257" i="29"/>
  <c r="AM257" i="29"/>
  <c r="D257" i="30" s="1"/>
  <c r="AN257" i="29"/>
  <c r="AO257" i="29"/>
  <c r="AP257" i="29"/>
  <c r="AQ257" i="29"/>
  <c r="AR257" i="29"/>
  <c r="AS257" i="29"/>
  <c r="AT257" i="29"/>
  <c r="K259" i="29"/>
  <c r="L259" i="29"/>
  <c r="R259" i="29"/>
  <c r="U259" i="29"/>
  <c r="W259" i="29"/>
  <c r="Y259" i="29"/>
  <c r="AE259" i="29" s="1"/>
  <c r="AB259" i="29"/>
  <c r="AC259" i="29"/>
  <c r="AD259" i="29" s="1"/>
  <c r="AF259" i="29"/>
  <c r="AG259" i="29"/>
  <c r="AI259" i="29"/>
  <c r="AJ259" i="29"/>
  <c r="AK259" i="29"/>
  <c r="AL259" i="29"/>
  <c r="AM259" i="29"/>
  <c r="D259" i="30" s="1"/>
  <c r="AN259" i="29"/>
  <c r="AO259" i="29"/>
  <c r="AP259" i="29"/>
  <c r="AQ259" i="29"/>
  <c r="AR259" i="29"/>
  <c r="AS259" i="29"/>
  <c r="AT259" i="29"/>
  <c r="K261" i="29"/>
  <c r="L261" i="29"/>
  <c r="R261" i="29"/>
  <c r="U261" i="29"/>
  <c r="W261" i="29"/>
  <c r="Y261" i="29"/>
  <c r="AE261" i="29" s="1"/>
  <c r="AB261" i="29"/>
  <c r="AC261" i="29"/>
  <c r="AD261" i="29" s="1"/>
  <c r="AF261" i="29"/>
  <c r="AG261" i="29"/>
  <c r="AI261" i="29"/>
  <c r="AJ261" i="29"/>
  <c r="AK261" i="29"/>
  <c r="AL261" i="29"/>
  <c r="AM261" i="29"/>
  <c r="D261" i="30" s="1"/>
  <c r="AN261" i="29"/>
  <c r="AO261" i="29"/>
  <c r="AP261" i="29"/>
  <c r="AQ261" i="29"/>
  <c r="AR261" i="29"/>
  <c r="AS261" i="29"/>
  <c r="AT261" i="29"/>
  <c r="K263" i="29"/>
  <c r="L263" i="29"/>
  <c r="R263" i="29"/>
  <c r="U263" i="29"/>
  <c r="W263" i="29"/>
  <c r="Y263" i="29"/>
  <c r="AE263" i="29" s="1"/>
  <c r="AB263" i="29"/>
  <c r="AC263" i="29"/>
  <c r="AD263" i="29" s="1"/>
  <c r="AF263" i="29"/>
  <c r="AG263" i="29"/>
  <c r="AI263" i="29"/>
  <c r="AJ263" i="29"/>
  <c r="AK263" i="29"/>
  <c r="AL263" i="29"/>
  <c r="AM263" i="29"/>
  <c r="D263" i="30" s="1"/>
  <c r="AN263" i="29"/>
  <c r="AO263" i="29"/>
  <c r="AP263" i="29"/>
  <c r="AQ263" i="29"/>
  <c r="AR263" i="29"/>
  <c r="AS263" i="29"/>
  <c r="AT263" i="29"/>
  <c r="K265" i="29"/>
  <c r="L265" i="29"/>
  <c r="R265" i="29"/>
  <c r="U265" i="29"/>
  <c r="W265" i="29"/>
  <c r="Y265" i="29"/>
  <c r="AE265" i="29" s="1"/>
  <c r="AB265" i="29"/>
  <c r="AC265" i="29"/>
  <c r="AD265" i="29" s="1"/>
  <c r="AF265" i="29"/>
  <c r="AG265" i="29"/>
  <c r="AI265" i="29"/>
  <c r="AJ265" i="29"/>
  <c r="AK265" i="29"/>
  <c r="AL265" i="29"/>
  <c r="AM265" i="29"/>
  <c r="D265" i="30" s="1"/>
  <c r="AN265" i="29"/>
  <c r="AO265" i="29"/>
  <c r="AP265" i="29"/>
  <c r="AQ265" i="29"/>
  <c r="AR265" i="29"/>
  <c r="AS265" i="29"/>
  <c r="AT265" i="29"/>
  <c r="K267" i="29"/>
  <c r="L267" i="29"/>
  <c r="R267" i="29"/>
  <c r="U267" i="29"/>
  <c r="W267" i="29"/>
  <c r="Y267" i="29"/>
  <c r="AE267" i="29" s="1"/>
  <c r="AB267" i="29"/>
  <c r="AC267" i="29"/>
  <c r="AD267" i="29" s="1"/>
  <c r="AF267" i="29"/>
  <c r="AG267" i="29"/>
  <c r="AI267" i="29"/>
  <c r="AJ267" i="29"/>
  <c r="AK267" i="29"/>
  <c r="AL267" i="29"/>
  <c r="AM267" i="29"/>
  <c r="D267" i="30" s="1"/>
  <c r="AN267" i="29"/>
  <c r="AO267" i="29"/>
  <c r="AP267" i="29"/>
  <c r="AQ267" i="29"/>
  <c r="AR267" i="29"/>
  <c r="AS267" i="29"/>
  <c r="AT267" i="29"/>
  <c r="K269" i="29"/>
  <c r="L269" i="29"/>
  <c r="R269" i="29"/>
  <c r="U269" i="29"/>
  <c r="W269" i="29"/>
  <c r="Y269" i="29"/>
  <c r="AE269" i="29" s="1"/>
  <c r="AB269" i="29"/>
  <c r="AC269" i="29"/>
  <c r="AD269" i="29" s="1"/>
  <c r="AF269" i="29"/>
  <c r="AG269" i="29"/>
  <c r="AI269" i="29"/>
  <c r="AJ269" i="29"/>
  <c r="AK269" i="29"/>
  <c r="AL269" i="29"/>
  <c r="AM269" i="29"/>
  <c r="D269" i="30" s="1"/>
  <c r="AN269" i="29"/>
  <c r="AO269" i="29"/>
  <c r="AP269" i="29"/>
  <c r="AQ269" i="29"/>
  <c r="AR269" i="29"/>
  <c r="AS269" i="29"/>
  <c r="AT269" i="29"/>
  <c r="K275" i="29"/>
  <c r="L275" i="29"/>
  <c r="R275" i="29"/>
  <c r="U275" i="29"/>
  <c r="W275" i="29"/>
  <c r="Y275" i="29"/>
  <c r="AA275" i="29"/>
  <c r="AB275" i="29" s="1"/>
  <c r="AC275" i="29"/>
  <c r="AD275" i="29" s="1"/>
  <c r="AF275" i="29"/>
  <c r="AG275" i="29"/>
  <c r="AI275" i="29"/>
  <c r="AJ275" i="29"/>
  <c r="AK275" i="29"/>
  <c r="AL275" i="29"/>
  <c r="AM275" i="29"/>
  <c r="D275" i="30" s="1"/>
  <c r="AN275" i="29"/>
  <c r="AO275" i="29"/>
  <c r="AP275" i="29"/>
  <c r="AQ275" i="29"/>
  <c r="AR275" i="29"/>
  <c r="AS275" i="29"/>
  <c r="AT275" i="29"/>
  <c r="AG713" i="29"/>
  <c r="AF713" i="29"/>
  <c r="AB713" i="29"/>
  <c r="W713" i="29"/>
  <c r="U713" i="29"/>
  <c r="R713" i="29"/>
  <c r="L713" i="29"/>
  <c r="K713" i="29"/>
  <c r="AY712" i="29"/>
  <c r="AX712" i="29"/>
  <c r="AW712" i="29"/>
  <c r="AV712" i="29"/>
  <c r="AG707" i="29"/>
  <c r="AF707" i="29"/>
  <c r="AA707" i="29"/>
  <c r="AB707" i="29" s="1"/>
  <c r="W707" i="29"/>
  <c r="U707" i="29"/>
  <c r="R707" i="29"/>
  <c r="L707" i="29"/>
  <c r="K707" i="29"/>
  <c r="AZ706" i="29"/>
  <c r="AY706" i="29"/>
  <c r="AX706" i="29"/>
  <c r="AW706" i="29"/>
  <c r="AV706" i="29"/>
  <c r="AG705" i="29"/>
  <c r="AF705" i="29"/>
  <c r="AA705" i="29"/>
  <c r="AB705" i="29" s="1"/>
  <c r="W705" i="29"/>
  <c r="U705" i="29"/>
  <c r="R705" i="29"/>
  <c r="L705" i="29"/>
  <c r="K705" i="29"/>
  <c r="BE704" i="29"/>
  <c r="BD704" i="29"/>
  <c r="BC704" i="29"/>
  <c r="BB704" i="29"/>
  <c r="BA704" i="29"/>
  <c r="AZ704" i="29"/>
  <c r="AY704" i="29"/>
  <c r="AX704" i="29"/>
  <c r="AW704" i="29"/>
  <c r="AV704" i="29"/>
  <c r="AT703" i="29"/>
  <c r="AS703" i="29"/>
  <c r="AR703" i="29"/>
  <c r="AQ703" i="29"/>
  <c r="AP703" i="29"/>
  <c r="AO703" i="29"/>
  <c r="AN703" i="29"/>
  <c r="AM703" i="29"/>
  <c r="D703" i="30" s="1"/>
  <c r="AL703" i="29"/>
  <c r="AK703" i="29"/>
  <c r="AJ703" i="29"/>
  <c r="AI703" i="29"/>
  <c r="AG703" i="29"/>
  <c r="AF703" i="29"/>
  <c r="AC703" i="29"/>
  <c r="AD703" i="29" s="1"/>
  <c r="AA703" i="29"/>
  <c r="AB703" i="29" s="1"/>
  <c r="Y703" i="29"/>
  <c r="W703" i="29"/>
  <c r="U703" i="29"/>
  <c r="R703" i="29"/>
  <c r="L703" i="29"/>
  <c r="K703" i="29"/>
  <c r="AT701" i="29"/>
  <c r="AS701" i="29"/>
  <c r="AR701" i="29"/>
  <c r="AQ701" i="29"/>
  <c r="AP701" i="29"/>
  <c r="AO701" i="29"/>
  <c r="AN701" i="29"/>
  <c r="AM701" i="29"/>
  <c r="D701" i="30" s="1"/>
  <c r="AL701" i="29"/>
  <c r="AK701" i="29"/>
  <c r="AJ701" i="29"/>
  <c r="AI701" i="29"/>
  <c r="AG701" i="29"/>
  <c r="AF701" i="29"/>
  <c r="AC701" i="29"/>
  <c r="AD701" i="29" s="1"/>
  <c r="AA701" i="29"/>
  <c r="B701" i="30" s="1"/>
  <c r="C701" i="30" s="1"/>
  <c r="Y701" i="29"/>
  <c r="W701" i="29"/>
  <c r="U701" i="29"/>
  <c r="R701" i="29"/>
  <c r="L701" i="29"/>
  <c r="K701" i="29"/>
  <c r="AT699" i="29"/>
  <c r="AS699" i="29"/>
  <c r="AR699" i="29"/>
  <c r="AQ699" i="29"/>
  <c r="AP699" i="29"/>
  <c r="AO699" i="29"/>
  <c r="AN699" i="29"/>
  <c r="AM699" i="29"/>
  <c r="D699" i="30" s="1"/>
  <c r="AL699" i="29"/>
  <c r="AK699" i="29"/>
  <c r="AJ699" i="29"/>
  <c r="AI699" i="29"/>
  <c r="AG699" i="29"/>
  <c r="AF699" i="29"/>
  <c r="AC699" i="29"/>
  <c r="AD699" i="29" s="1"/>
  <c r="AA699" i="29"/>
  <c r="B699" i="30" s="1"/>
  <c r="C699" i="30" s="1"/>
  <c r="Y699" i="29"/>
  <c r="W699" i="29"/>
  <c r="U699" i="29"/>
  <c r="R699" i="29"/>
  <c r="L699" i="29"/>
  <c r="K699" i="29"/>
  <c r="AT697" i="29"/>
  <c r="AS697" i="29"/>
  <c r="AR697" i="29"/>
  <c r="AQ697" i="29"/>
  <c r="AP697" i="29"/>
  <c r="AO697" i="29"/>
  <c r="AN697" i="29"/>
  <c r="AM697" i="29"/>
  <c r="D697" i="30" s="1"/>
  <c r="AL697" i="29"/>
  <c r="AK697" i="29"/>
  <c r="AJ697" i="29"/>
  <c r="AI697" i="29"/>
  <c r="AG697" i="29"/>
  <c r="AF697" i="29"/>
  <c r="AC697" i="29"/>
  <c r="AD697" i="29" s="1"/>
  <c r="AA697" i="29"/>
  <c r="AB697" i="29" s="1"/>
  <c r="Y697" i="29"/>
  <c r="W697" i="29"/>
  <c r="U697" i="29"/>
  <c r="R697" i="29"/>
  <c r="L697" i="29"/>
  <c r="K697" i="29"/>
  <c r="AG695" i="29"/>
  <c r="AF695" i="29"/>
  <c r="AB695" i="29"/>
  <c r="Y695" i="29"/>
  <c r="AE695" i="29" s="1"/>
  <c r="W695" i="29"/>
  <c r="U695" i="29"/>
  <c r="R695" i="29"/>
  <c r="L695" i="29"/>
  <c r="K695" i="29"/>
  <c r="AX694" i="29"/>
  <c r="AW694" i="29"/>
  <c r="AG691" i="29"/>
  <c r="AF691" i="29"/>
  <c r="AA691" i="29"/>
  <c r="AB691" i="29" s="1"/>
  <c r="W691" i="29"/>
  <c r="U691" i="29"/>
  <c r="R691" i="29"/>
  <c r="L691" i="29"/>
  <c r="K691" i="29"/>
  <c r="BD690" i="29"/>
  <c r="BC690" i="29"/>
  <c r="BB690" i="29"/>
  <c r="BA690" i="29"/>
  <c r="AZ690" i="29"/>
  <c r="AY690" i="29"/>
  <c r="AX690" i="29"/>
  <c r="AW690" i="29"/>
  <c r="AV690" i="29"/>
  <c r="AG689" i="29"/>
  <c r="AF689" i="29"/>
  <c r="AA689" i="29"/>
  <c r="AB689" i="29" s="1"/>
  <c r="W689" i="29"/>
  <c r="U689" i="29"/>
  <c r="R689" i="29"/>
  <c r="L689" i="29"/>
  <c r="K689" i="29"/>
  <c r="BD688" i="29"/>
  <c r="BC688" i="29"/>
  <c r="BB688" i="29"/>
  <c r="BA688" i="29"/>
  <c r="AZ688" i="29"/>
  <c r="AY688" i="29"/>
  <c r="AX688" i="29"/>
  <c r="AW688" i="29"/>
  <c r="AV688" i="29"/>
  <c r="Y689" i="29" s="1"/>
  <c r="AT687" i="29"/>
  <c r="AS687" i="29"/>
  <c r="AR687" i="29"/>
  <c r="AQ687" i="29"/>
  <c r="AP687" i="29"/>
  <c r="AO687" i="29"/>
  <c r="AN687" i="29"/>
  <c r="AM687" i="29"/>
  <c r="D687" i="30" s="1"/>
  <c r="AL687" i="29"/>
  <c r="AK687" i="29"/>
  <c r="AJ687" i="29"/>
  <c r="AI687" i="29"/>
  <c r="AG687" i="29"/>
  <c r="AF687" i="29"/>
  <c r="AC687" i="29"/>
  <c r="AD687" i="29" s="1"/>
  <c r="AA687" i="29"/>
  <c r="B687" i="30" s="1"/>
  <c r="C687" i="30" s="1"/>
  <c r="Y687" i="29"/>
  <c r="W687" i="29"/>
  <c r="U687" i="29"/>
  <c r="R687" i="29"/>
  <c r="L687" i="29"/>
  <c r="K687" i="29"/>
  <c r="AT685" i="29"/>
  <c r="AS685" i="29"/>
  <c r="AR685" i="29"/>
  <c r="AQ685" i="29"/>
  <c r="AP685" i="29"/>
  <c r="AO685" i="29"/>
  <c r="AN685" i="29"/>
  <c r="AM685" i="29"/>
  <c r="D685" i="30" s="1"/>
  <c r="AL685" i="29"/>
  <c r="AK685" i="29"/>
  <c r="AJ685" i="29"/>
  <c r="AI685" i="29"/>
  <c r="AG685" i="29"/>
  <c r="AF685" i="29"/>
  <c r="AC685" i="29"/>
  <c r="AD685" i="29" s="1"/>
  <c r="AA685" i="29"/>
  <c r="AB685" i="29" s="1"/>
  <c r="Y685" i="29"/>
  <c r="W685" i="29"/>
  <c r="U685" i="29"/>
  <c r="R685" i="29"/>
  <c r="L685" i="29"/>
  <c r="K685" i="29"/>
  <c r="AT683" i="29"/>
  <c r="AS683" i="29"/>
  <c r="AR683" i="29"/>
  <c r="AQ683" i="29"/>
  <c r="AP683" i="29"/>
  <c r="AO683" i="29"/>
  <c r="AN683" i="29"/>
  <c r="AM683" i="29"/>
  <c r="D683" i="30" s="1"/>
  <c r="AL683" i="29"/>
  <c r="AK683" i="29"/>
  <c r="AJ683" i="29"/>
  <c r="AI683" i="29"/>
  <c r="AG683" i="29"/>
  <c r="AF683" i="29"/>
  <c r="AC683" i="29"/>
  <c r="AD683" i="29" s="1"/>
  <c r="AA683" i="29"/>
  <c r="AB683" i="29" s="1"/>
  <c r="Y683" i="29"/>
  <c r="W683" i="29"/>
  <c r="U683" i="29"/>
  <c r="R683" i="29"/>
  <c r="L683" i="29"/>
  <c r="K683" i="29"/>
  <c r="AT681" i="29"/>
  <c r="AS681" i="29"/>
  <c r="AR681" i="29"/>
  <c r="AQ681" i="29"/>
  <c r="AP681" i="29"/>
  <c r="AO681" i="29"/>
  <c r="AN681" i="29"/>
  <c r="AM681" i="29"/>
  <c r="D681" i="30" s="1"/>
  <c r="AL681" i="29"/>
  <c r="AK681" i="29"/>
  <c r="AJ681" i="29"/>
  <c r="AI681" i="29"/>
  <c r="AG681" i="29"/>
  <c r="AF681" i="29"/>
  <c r="AC681" i="29"/>
  <c r="AD681" i="29" s="1"/>
  <c r="AA681" i="29"/>
  <c r="AB681" i="29" s="1"/>
  <c r="Y681" i="29"/>
  <c r="W681" i="29"/>
  <c r="U681" i="29"/>
  <c r="R681" i="29"/>
  <c r="L681" i="29"/>
  <c r="K681" i="29"/>
  <c r="AT679" i="29"/>
  <c r="AS679" i="29"/>
  <c r="AR679" i="29"/>
  <c r="AQ679" i="29"/>
  <c r="AP679" i="29"/>
  <c r="AO679" i="29"/>
  <c r="AN679" i="29"/>
  <c r="AM679" i="29"/>
  <c r="D679" i="30" s="1"/>
  <c r="AL679" i="29"/>
  <c r="AK679" i="29"/>
  <c r="AJ679" i="29"/>
  <c r="AI679" i="29"/>
  <c r="AG679" i="29"/>
  <c r="AF679" i="29"/>
  <c r="AC679" i="29"/>
  <c r="AD679" i="29" s="1"/>
  <c r="AA679" i="29"/>
  <c r="AB679" i="29" s="1"/>
  <c r="Y679" i="29"/>
  <c r="W679" i="29"/>
  <c r="U679" i="29"/>
  <c r="R679" i="29"/>
  <c r="L679" i="29"/>
  <c r="K679" i="29"/>
  <c r="AT677" i="29"/>
  <c r="AS677" i="29"/>
  <c r="AR677" i="29"/>
  <c r="AQ677" i="29"/>
  <c r="AP677" i="29"/>
  <c r="AO677" i="29"/>
  <c r="AN677" i="29"/>
  <c r="AM677" i="29"/>
  <c r="D677" i="30" s="1"/>
  <c r="AL677" i="29"/>
  <c r="AK677" i="29"/>
  <c r="AJ677" i="29"/>
  <c r="AI677" i="29"/>
  <c r="AG677" i="29"/>
  <c r="AF677" i="29"/>
  <c r="AC677" i="29"/>
  <c r="AD677" i="29" s="1"/>
  <c r="AA677" i="29"/>
  <c r="AB677" i="29" s="1"/>
  <c r="Y677" i="29"/>
  <c r="W677" i="29"/>
  <c r="U677" i="29"/>
  <c r="R677" i="29"/>
  <c r="L677" i="29"/>
  <c r="K677" i="29"/>
  <c r="AT675" i="29"/>
  <c r="AS675" i="29"/>
  <c r="AR675" i="29"/>
  <c r="AQ675" i="29"/>
  <c r="AP675" i="29"/>
  <c r="AO675" i="29"/>
  <c r="AN675" i="29"/>
  <c r="AM675" i="29"/>
  <c r="D675" i="30" s="1"/>
  <c r="AL675" i="29"/>
  <c r="AK675" i="29"/>
  <c r="AJ675" i="29"/>
  <c r="AI675" i="29"/>
  <c r="AG675" i="29"/>
  <c r="AF675" i="29"/>
  <c r="AC675" i="29"/>
  <c r="AD675" i="29" s="1"/>
  <c r="AA675" i="29"/>
  <c r="AB675" i="29" s="1"/>
  <c r="Y675" i="29"/>
  <c r="W675" i="29"/>
  <c r="U675" i="29"/>
  <c r="R675" i="29"/>
  <c r="L675" i="29"/>
  <c r="K675" i="29"/>
  <c r="AG673" i="29"/>
  <c r="AF673" i="29"/>
  <c r="AA673" i="29"/>
  <c r="B673" i="30" s="1"/>
  <c r="C673" i="30" s="1"/>
  <c r="W673" i="29"/>
  <c r="U673" i="29"/>
  <c r="R673" i="29"/>
  <c r="L673" i="29"/>
  <c r="K673" i="29"/>
  <c r="AY672" i="29"/>
  <c r="AX672" i="29"/>
  <c r="AW672" i="29"/>
  <c r="AV672" i="29"/>
  <c r="AG671" i="29"/>
  <c r="AF671" i="29"/>
  <c r="AA671" i="29"/>
  <c r="AB671" i="29" s="1"/>
  <c r="W671" i="29"/>
  <c r="U671" i="29"/>
  <c r="R671" i="29"/>
  <c r="L671" i="29"/>
  <c r="K671" i="29"/>
  <c r="AY670" i="29"/>
  <c r="AX670" i="29"/>
  <c r="AW670" i="29"/>
  <c r="AV670" i="29"/>
  <c r="AT669" i="29" a="1"/>
  <c r="AT669" i="29" s="1"/>
  <c r="AS669" i="29" a="1"/>
  <c r="AS669" i="29" s="1"/>
  <c r="AR669" i="29" a="1"/>
  <c r="AR669" i="29" s="1"/>
  <c r="AQ669" i="29" a="1"/>
  <c r="AQ669" i="29" s="1"/>
  <c r="AP669" i="29" a="1"/>
  <c r="AP669" i="29" s="1"/>
  <c r="AO669" i="29" a="1"/>
  <c r="AO669" i="29" s="1"/>
  <c r="AN669" i="29" a="1"/>
  <c r="AN669" i="29" s="1"/>
  <c r="AM669" i="29" a="1"/>
  <c r="AM669" i="29" s="1"/>
  <c r="D669" i="30" s="1"/>
  <c r="AL669" i="29" a="1"/>
  <c r="AL669" i="29" s="1"/>
  <c r="AK669" i="29"/>
  <c r="AJ669" i="29"/>
  <c r="AI669" i="29"/>
  <c r="AG669" i="29"/>
  <c r="AF669" i="29"/>
  <c r="AC669" i="29"/>
  <c r="AD669" i="29" s="1"/>
  <c r="AB669" i="29"/>
  <c r="Y669" i="29"/>
  <c r="AE669" i="29" s="1"/>
  <c r="W669" i="29"/>
  <c r="U669" i="29"/>
  <c r="R669" i="29"/>
  <c r="L669" i="29"/>
  <c r="K669" i="29"/>
  <c r="AG667" i="29"/>
  <c r="AF667" i="29"/>
  <c r="AA667" i="29"/>
  <c r="AB667" i="29" s="1"/>
  <c r="W667" i="29"/>
  <c r="U667" i="29"/>
  <c r="R667" i="29"/>
  <c r="L667" i="29"/>
  <c r="K667" i="29"/>
  <c r="AY666" i="29"/>
  <c r="AX666" i="29"/>
  <c r="AW666" i="29"/>
  <c r="AV666" i="29"/>
  <c r="AG665" i="29"/>
  <c r="AF665" i="29"/>
  <c r="AA665" i="29"/>
  <c r="AB665" i="29" s="1"/>
  <c r="W665" i="29"/>
  <c r="U665" i="29"/>
  <c r="R665" i="29"/>
  <c r="L665" i="29"/>
  <c r="K665" i="29"/>
  <c r="AY664" i="29"/>
  <c r="AX664" i="29"/>
  <c r="AW664" i="29"/>
  <c r="AV664" i="29"/>
  <c r="AG663" i="29"/>
  <c r="AF663" i="29"/>
  <c r="AA663" i="29"/>
  <c r="B663" i="30" s="1"/>
  <c r="C663" i="30" s="1"/>
  <c r="W663" i="29"/>
  <c r="U663" i="29"/>
  <c r="R663" i="29"/>
  <c r="L663" i="29"/>
  <c r="K663" i="29"/>
  <c r="AY662" i="29"/>
  <c r="AX662" i="29"/>
  <c r="AW662" i="29"/>
  <c r="AV662" i="29"/>
  <c r="AG661" i="29"/>
  <c r="AF661" i="29"/>
  <c r="AA661" i="29"/>
  <c r="AB661" i="29" s="1"/>
  <c r="W661" i="29"/>
  <c r="U661" i="29"/>
  <c r="R661" i="29"/>
  <c r="L661" i="29"/>
  <c r="K661" i="29"/>
  <c r="AY660" i="29"/>
  <c r="AX660" i="29"/>
  <c r="AW660" i="29"/>
  <c r="AV660" i="29"/>
  <c r="AG659" i="29"/>
  <c r="AF659" i="29"/>
  <c r="AA659" i="29"/>
  <c r="AB659" i="29" s="1"/>
  <c r="W659" i="29"/>
  <c r="U659" i="29"/>
  <c r="R659" i="29"/>
  <c r="L659" i="29"/>
  <c r="K659" i="29"/>
  <c r="AY658" i="29"/>
  <c r="AX658" i="29"/>
  <c r="AW658" i="29"/>
  <c r="AV658" i="29"/>
  <c r="AZ657" i="29"/>
  <c r="AY657" i="29"/>
  <c r="AX657" i="29"/>
  <c r="AW657" i="29"/>
  <c r="AV657" i="29"/>
  <c r="AB657" i="29"/>
  <c r="Y657" i="29"/>
  <c r="AE657" i="29" s="1"/>
  <c r="W657" i="29"/>
  <c r="U657" i="29"/>
  <c r="R657" i="29"/>
  <c r="L657" i="29"/>
  <c r="K657" i="29"/>
  <c r="AZ656" i="29"/>
  <c r="AY656" i="29"/>
  <c r="AX656" i="29"/>
  <c r="AW656" i="29"/>
  <c r="AZ655" i="29"/>
  <c r="AY655" i="29"/>
  <c r="AX655" i="29"/>
  <c r="AW655" i="29"/>
  <c r="AV655" i="29"/>
  <c r="AF655" i="29" s="1"/>
  <c r="AB655" i="29"/>
  <c r="Y655" i="29"/>
  <c r="AE655" i="29" s="1"/>
  <c r="W655" i="29"/>
  <c r="U655" i="29"/>
  <c r="R655" i="29"/>
  <c r="L655" i="29"/>
  <c r="K655" i="29"/>
  <c r="AZ654" i="29"/>
  <c r="AY654" i="29"/>
  <c r="AX654" i="29"/>
  <c r="AW654" i="29"/>
  <c r="AT653" i="29"/>
  <c r="AS653" i="29"/>
  <c r="AR653" i="29"/>
  <c r="AQ653" i="29"/>
  <c r="AP653" i="29"/>
  <c r="AO653" i="29"/>
  <c r="AN653" i="29"/>
  <c r="AM653" i="29"/>
  <c r="D653" i="30" s="1"/>
  <c r="AL653" i="29"/>
  <c r="AK653" i="29"/>
  <c r="AJ653" i="29"/>
  <c r="AI653" i="29"/>
  <c r="AG653" i="29"/>
  <c r="AF653" i="29"/>
  <c r="AC653" i="29"/>
  <c r="AD653" i="29" s="1"/>
  <c r="AB653" i="29"/>
  <c r="Y653" i="29"/>
  <c r="AE653" i="29" s="1"/>
  <c r="W653" i="29"/>
  <c r="U653" i="29"/>
  <c r="R653" i="29"/>
  <c r="L653" i="29"/>
  <c r="K653" i="29"/>
  <c r="AT651" i="29"/>
  <c r="AS651" i="29"/>
  <c r="AR651" i="29"/>
  <c r="AQ651" i="29"/>
  <c r="AP651" i="29"/>
  <c r="AO651" i="29"/>
  <c r="AN651" i="29"/>
  <c r="AM651" i="29"/>
  <c r="D651" i="30" s="1"/>
  <c r="AL651" i="29"/>
  <c r="AK651" i="29"/>
  <c r="AJ651" i="29"/>
  <c r="AI651" i="29"/>
  <c r="AG651" i="29"/>
  <c r="AF651" i="29"/>
  <c r="AC651" i="29"/>
  <c r="AD651" i="29" s="1"/>
  <c r="AB651" i="29"/>
  <c r="Y651" i="29"/>
  <c r="AE651" i="29" s="1"/>
  <c r="W651" i="29"/>
  <c r="U651" i="29"/>
  <c r="R651" i="29"/>
  <c r="L651" i="29"/>
  <c r="K651" i="29"/>
  <c r="AT649" i="29"/>
  <c r="AS649" i="29"/>
  <c r="AR649" i="29"/>
  <c r="AQ649" i="29"/>
  <c r="AP649" i="29"/>
  <c r="AO649" i="29"/>
  <c r="AN649" i="29"/>
  <c r="AM649" i="29"/>
  <c r="D649" i="30" s="1"/>
  <c r="AL649" i="29"/>
  <c r="AK649" i="29"/>
  <c r="AJ649" i="29"/>
  <c r="AI649" i="29"/>
  <c r="AG649" i="29"/>
  <c r="AF649" i="29"/>
  <c r="AC649" i="29"/>
  <c r="AD649" i="29" s="1"/>
  <c r="AA649" i="29"/>
  <c r="AB649" i="29" s="1"/>
  <c r="Y649" i="29"/>
  <c r="W649" i="29"/>
  <c r="U649" i="29"/>
  <c r="R649" i="29"/>
  <c r="L649" i="29"/>
  <c r="K649" i="29"/>
  <c r="AT647" i="29"/>
  <c r="AS647" i="29"/>
  <c r="AR647" i="29"/>
  <c r="AQ647" i="29"/>
  <c r="AP647" i="29"/>
  <c r="AO647" i="29"/>
  <c r="AN647" i="29"/>
  <c r="AM647" i="29"/>
  <c r="D647" i="30" s="1"/>
  <c r="AL647" i="29"/>
  <c r="AK647" i="29"/>
  <c r="AJ647" i="29"/>
  <c r="AI647" i="29"/>
  <c r="AG647" i="29"/>
  <c r="AF647" i="29"/>
  <c r="AC647" i="29"/>
  <c r="AD647" i="29" s="1"/>
  <c r="AA647" i="29"/>
  <c r="AB647" i="29" s="1"/>
  <c r="Y647" i="29"/>
  <c r="W647" i="29"/>
  <c r="U647" i="29"/>
  <c r="R647" i="29"/>
  <c r="L647" i="29"/>
  <c r="K647" i="29"/>
  <c r="AT645" i="29"/>
  <c r="AS645" i="29"/>
  <c r="AR645" i="29"/>
  <c r="AQ645" i="29"/>
  <c r="AP645" i="29"/>
  <c r="AO645" i="29"/>
  <c r="AN645" i="29"/>
  <c r="AM645" i="29"/>
  <c r="D645" i="30" s="1"/>
  <c r="AL645" i="29"/>
  <c r="AK645" i="29"/>
  <c r="AJ645" i="29"/>
  <c r="AI645" i="29"/>
  <c r="AG645" i="29"/>
  <c r="AF645" i="29"/>
  <c r="AC645" i="29"/>
  <c r="AD645" i="29" s="1"/>
  <c r="AA645" i="29"/>
  <c r="B645" i="30" s="1"/>
  <c r="C645" i="30" s="1"/>
  <c r="Y645" i="29"/>
  <c r="W645" i="29"/>
  <c r="U645" i="29"/>
  <c r="R645" i="29"/>
  <c r="L645" i="29"/>
  <c r="K645" i="29"/>
  <c r="AT643" i="29"/>
  <c r="AS643" i="29"/>
  <c r="AR643" i="29"/>
  <c r="AQ643" i="29"/>
  <c r="AP643" i="29"/>
  <c r="AO643" i="29"/>
  <c r="AN643" i="29"/>
  <c r="AM643" i="29"/>
  <c r="D643" i="30" s="1"/>
  <c r="AL643" i="29"/>
  <c r="AK643" i="29"/>
  <c r="AJ643" i="29"/>
  <c r="AI643" i="29"/>
  <c r="AG643" i="29"/>
  <c r="AF643" i="29"/>
  <c r="AC643" i="29"/>
  <c r="AD643" i="29" s="1"/>
  <c r="AA643" i="29"/>
  <c r="B643" i="30" s="1"/>
  <c r="C643" i="30" s="1"/>
  <c r="Y643" i="29"/>
  <c r="W643" i="29"/>
  <c r="U643" i="29"/>
  <c r="R643" i="29"/>
  <c r="L643" i="29"/>
  <c r="K643" i="29"/>
  <c r="AT641" i="29"/>
  <c r="AS641" i="29"/>
  <c r="AR641" i="29"/>
  <c r="AQ641" i="29"/>
  <c r="AP641" i="29"/>
  <c r="AO641" i="29"/>
  <c r="AN641" i="29"/>
  <c r="AM641" i="29"/>
  <c r="D641" i="30" s="1"/>
  <c r="AL641" i="29"/>
  <c r="AK641" i="29"/>
  <c r="AJ641" i="29"/>
  <c r="AI641" i="29"/>
  <c r="AG641" i="29"/>
  <c r="AF641" i="29"/>
  <c r="AC641" i="29"/>
  <c r="AD641" i="29" s="1"/>
  <c r="AA641" i="29"/>
  <c r="AB641" i="29" s="1"/>
  <c r="Y641" i="29"/>
  <c r="W641" i="29"/>
  <c r="U641" i="29"/>
  <c r="R641" i="29"/>
  <c r="L641" i="29"/>
  <c r="K641" i="29"/>
  <c r="AT639" i="29"/>
  <c r="AS639" i="29"/>
  <c r="AR639" i="29"/>
  <c r="AQ639" i="29"/>
  <c r="AP639" i="29"/>
  <c r="AO639" i="29"/>
  <c r="AN639" i="29"/>
  <c r="AM639" i="29"/>
  <c r="D639" i="30" s="1"/>
  <c r="AL639" i="29"/>
  <c r="AK639" i="29"/>
  <c r="AJ639" i="29"/>
  <c r="AI639" i="29"/>
  <c r="AG639" i="29"/>
  <c r="AF639" i="29"/>
  <c r="AC639" i="29"/>
  <c r="AD639" i="29" s="1"/>
  <c r="AA639" i="29"/>
  <c r="B639" i="30" s="1"/>
  <c r="C639" i="30" s="1"/>
  <c r="Y639" i="29"/>
  <c r="W639" i="29"/>
  <c r="U639" i="29"/>
  <c r="R639" i="29"/>
  <c r="L639" i="29"/>
  <c r="K639" i="29"/>
  <c r="AT637" i="29"/>
  <c r="AS637" i="29"/>
  <c r="AR637" i="29"/>
  <c r="AQ637" i="29"/>
  <c r="AP637" i="29"/>
  <c r="AO637" i="29"/>
  <c r="AN637" i="29"/>
  <c r="AM637" i="29"/>
  <c r="D637" i="30" s="1"/>
  <c r="AL637" i="29"/>
  <c r="AK637" i="29"/>
  <c r="AJ637" i="29"/>
  <c r="AI637" i="29"/>
  <c r="AG637" i="29"/>
  <c r="AF637" i="29"/>
  <c r="AC637" i="29"/>
  <c r="AD637" i="29" s="1"/>
  <c r="AA637" i="29"/>
  <c r="AB637" i="29" s="1"/>
  <c r="Y637" i="29"/>
  <c r="W637" i="29"/>
  <c r="U637" i="29"/>
  <c r="R637" i="29"/>
  <c r="L637" i="29"/>
  <c r="K637" i="29"/>
  <c r="AT635" i="29"/>
  <c r="AS635" i="29"/>
  <c r="AR635" i="29"/>
  <c r="AQ635" i="29"/>
  <c r="AP635" i="29"/>
  <c r="AO635" i="29"/>
  <c r="AN635" i="29"/>
  <c r="AM635" i="29"/>
  <c r="D635" i="30" s="1"/>
  <c r="AL635" i="29"/>
  <c r="AK635" i="29"/>
  <c r="AJ635" i="29"/>
  <c r="AI635" i="29"/>
  <c r="AG635" i="29"/>
  <c r="AF635" i="29"/>
  <c r="AC635" i="29"/>
  <c r="AD635" i="29" s="1"/>
  <c r="AA635" i="29"/>
  <c r="B635" i="30" s="1"/>
  <c r="C635" i="30" s="1"/>
  <c r="Y635" i="29"/>
  <c r="W635" i="29"/>
  <c r="U635" i="29"/>
  <c r="R635" i="29"/>
  <c r="L635" i="29"/>
  <c r="K635" i="29"/>
  <c r="AG633" i="29"/>
  <c r="AF633" i="29"/>
  <c r="AB633" i="29"/>
  <c r="W633" i="29"/>
  <c r="U633" i="29"/>
  <c r="R633" i="29"/>
  <c r="L633" i="29"/>
  <c r="K633" i="29"/>
  <c r="BJ632" i="29"/>
  <c r="BI632" i="29"/>
  <c r="BH632" i="29"/>
  <c r="BG632" i="29"/>
  <c r="BF632" i="29"/>
  <c r="BE632" i="29"/>
  <c r="BD632" i="29"/>
  <c r="BC632" i="29"/>
  <c r="BB632" i="29"/>
  <c r="BA632" i="29"/>
  <c r="AZ632" i="29"/>
  <c r="AY632" i="29"/>
  <c r="AX632" i="29"/>
  <c r="AW632" i="29"/>
  <c r="AV632" i="29"/>
  <c r="Y633" i="29" s="1"/>
  <c r="AE633" i="29" s="1"/>
  <c r="AG627" i="29"/>
  <c r="AF627" i="29"/>
  <c r="AB627" i="29"/>
  <c r="W627" i="29"/>
  <c r="U627" i="29"/>
  <c r="R627" i="29"/>
  <c r="L627" i="29"/>
  <c r="K627" i="29"/>
  <c r="AY626" i="29"/>
  <c r="AX626" i="29"/>
  <c r="AW626" i="29"/>
  <c r="AV626" i="29"/>
  <c r="AG625" i="29"/>
  <c r="AF625" i="29"/>
  <c r="AB625" i="29"/>
  <c r="W625" i="29"/>
  <c r="U625" i="29"/>
  <c r="R625" i="29"/>
  <c r="L625" i="29"/>
  <c r="K625" i="29"/>
  <c r="AY624" i="29"/>
  <c r="AX624" i="29"/>
  <c r="AW624" i="29"/>
  <c r="AV624" i="29"/>
  <c r="AG623" i="29"/>
  <c r="AF623" i="29"/>
  <c r="AB623" i="29"/>
  <c r="W623" i="29"/>
  <c r="U623" i="29"/>
  <c r="R623" i="29"/>
  <c r="L623" i="29"/>
  <c r="K623" i="29"/>
  <c r="AY622" i="29"/>
  <c r="AX622" i="29"/>
  <c r="AW622" i="29"/>
  <c r="AV622" i="29"/>
  <c r="AG621" i="29"/>
  <c r="AF621" i="29"/>
  <c r="AB621" i="29"/>
  <c r="W621" i="29"/>
  <c r="U621" i="29"/>
  <c r="R621" i="29"/>
  <c r="L621" i="29"/>
  <c r="K621" i="29"/>
  <c r="AY620" i="29"/>
  <c r="AX620" i="29"/>
  <c r="AW620" i="29"/>
  <c r="AV620" i="29"/>
  <c r="AG619" i="29"/>
  <c r="AF619" i="29"/>
  <c r="AA619" i="29"/>
  <c r="AB619" i="29" s="1"/>
  <c r="W619" i="29"/>
  <c r="U619" i="29"/>
  <c r="R619" i="29"/>
  <c r="L619" i="29"/>
  <c r="K619" i="29"/>
  <c r="AZ618" i="29"/>
  <c r="AY618" i="29"/>
  <c r="AX618" i="29"/>
  <c r="AW618" i="29"/>
  <c r="AV618" i="29"/>
  <c r="AG613" i="29"/>
  <c r="AF613" i="29"/>
  <c r="AA613" i="29"/>
  <c r="AB613" i="29" s="1"/>
  <c r="W613" i="29"/>
  <c r="U613" i="29"/>
  <c r="R613" i="29"/>
  <c r="L613" i="29"/>
  <c r="K613" i="29"/>
  <c r="AY612" i="29"/>
  <c r="AX612" i="29"/>
  <c r="AW612" i="29"/>
  <c r="AV612" i="29"/>
  <c r="Y613" i="29" s="1"/>
  <c r="AG611" i="29"/>
  <c r="AF611" i="29"/>
  <c r="AA611" i="29"/>
  <c r="AB611" i="29" s="1"/>
  <c r="W611" i="29"/>
  <c r="U611" i="29"/>
  <c r="R611" i="29"/>
  <c r="L611" i="29"/>
  <c r="K611" i="29"/>
  <c r="AX610" i="29"/>
  <c r="AW610" i="29"/>
  <c r="AV610" i="29"/>
  <c r="AG609" i="29"/>
  <c r="AF609" i="29"/>
  <c r="AA609" i="29"/>
  <c r="AB609" i="29" s="1"/>
  <c r="W609" i="29"/>
  <c r="U609" i="29"/>
  <c r="R609" i="29"/>
  <c r="L609" i="29"/>
  <c r="K609" i="29"/>
  <c r="AX608" i="29"/>
  <c r="AW608" i="29"/>
  <c r="AV608" i="29"/>
  <c r="AG607" i="29"/>
  <c r="AF607" i="29"/>
  <c r="AA607" i="29"/>
  <c r="AB607" i="29" s="1"/>
  <c r="W607" i="29"/>
  <c r="U607" i="29"/>
  <c r="R607" i="29"/>
  <c r="L607" i="29"/>
  <c r="K607" i="29"/>
  <c r="AX606" i="29"/>
  <c r="AW606" i="29"/>
  <c r="AV606" i="29"/>
  <c r="AG605" i="29"/>
  <c r="AF605" i="29"/>
  <c r="AA605" i="29"/>
  <c r="AB605" i="29" s="1"/>
  <c r="W605" i="29"/>
  <c r="U605" i="29"/>
  <c r="R605" i="29"/>
  <c r="L605" i="29"/>
  <c r="K605" i="29"/>
  <c r="AX604" i="29"/>
  <c r="AW604" i="29"/>
  <c r="AV604" i="29"/>
  <c r="AG603" i="29"/>
  <c r="AF603" i="29"/>
  <c r="AA603" i="29"/>
  <c r="B603" i="30" s="1"/>
  <c r="C603" i="30" s="1"/>
  <c r="W603" i="29"/>
  <c r="U603" i="29"/>
  <c r="R603" i="29"/>
  <c r="L603" i="29"/>
  <c r="K603" i="29"/>
  <c r="AX602" i="29"/>
  <c r="AW602" i="29"/>
  <c r="AV602" i="29"/>
  <c r="AG601" i="29"/>
  <c r="AF601" i="29"/>
  <c r="AA601" i="29"/>
  <c r="AB601" i="29" s="1"/>
  <c r="W601" i="29"/>
  <c r="U601" i="29"/>
  <c r="R601" i="29"/>
  <c r="L601" i="29"/>
  <c r="K601" i="29"/>
  <c r="AX600" i="29"/>
  <c r="AW600" i="29"/>
  <c r="AV600" i="29"/>
  <c r="AG599" i="29"/>
  <c r="AF599" i="29"/>
  <c r="AA599" i="29"/>
  <c r="B599" i="30" s="1"/>
  <c r="C599" i="30" s="1"/>
  <c r="W599" i="29"/>
  <c r="U599" i="29"/>
  <c r="R599" i="29"/>
  <c r="L599" i="29"/>
  <c r="K599" i="29"/>
  <c r="AX598" i="29"/>
  <c r="AW598" i="29"/>
  <c r="AV598" i="29"/>
  <c r="AG597" i="29"/>
  <c r="AF597" i="29"/>
  <c r="AA597" i="29"/>
  <c r="AB597" i="29" s="1"/>
  <c r="W597" i="29"/>
  <c r="U597" i="29"/>
  <c r="R597" i="29"/>
  <c r="L597" i="29"/>
  <c r="K597" i="29"/>
  <c r="AX596" i="29"/>
  <c r="AW596" i="29"/>
  <c r="AV596" i="29"/>
  <c r="AG595" i="29"/>
  <c r="AF595" i="29"/>
  <c r="AA595" i="29"/>
  <c r="B595" i="30" s="1"/>
  <c r="C595" i="30" s="1"/>
  <c r="W595" i="29"/>
  <c r="U595" i="29"/>
  <c r="R595" i="29"/>
  <c r="L595" i="29"/>
  <c r="K595" i="29"/>
  <c r="AX594" i="29"/>
  <c r="AW594" i="29"/>
  <c r="AV594" i="29"/>
  <c r="AG593" i="29"/>
  <c r="AF593" i="29"/>
  <c r="AA593" i="29"/>
  <c r="AB593" i="29" s="1"/>
  <c r="W593" i="29"/>
  <c r="U593" i="29"/>
  <c r="R593" i="29"/>
  <c r="L593" i="29"/>
  <c r="K593" i="29"/>
  <c r="AX592" i="29"/>
  <c r="AW592" i="29"/>
  <c r="AV592" i="29"/>
  <c r="AG591" i="29"/>
  <c r="AF591" i="29"/>
  <c r="AA591" i="29"/>
  <c r="AB591" i="29" s="1"/>
  <c r="W591" i="29"/>
  <c r="U591" i="29"/>
  <c r="R591" i="29"/>
  <c r="L591" i="29"/>
  <c r="K591" i="29"/>
  <c r="AX590" i="29"/>
  <c r="AW590" i="29"/>
  <c r="AV590" i="29"/>
  <c r="AG589" i="29"/>
  <c r="AF589" i="29"/>
  <c r="AA589" i="29"/>
  <c r="AB589" i="29" s="1"/>
  <c r="Y589" i="29"/>
  <c r="W589" i="29"/>
  <c r="U589" i="29"/>
  <c r="R589" i="29"/>
  <c r="L589" i="29"/>
  <c r="K589" i="29"/>
  <c r="AY588" i="29"/>
  <c r="AX588" i="29"/>
  <c r="AW588" i="29"/>
  <c r="AG587" i="29"/>
  <c r="AF587" i="29"/>
  <c r="AA587" i="29"/>
  <c r="B587" i="30" s="1"/>
  <c r="C587" i="30" s="1"/>
  <c r="Y587" i="29"/>
  <c r="W587" i="29"/>
  <c r="U587" i="29"/>
  <c r="R587" i="29"/>
  <c r="L587" i="29"/>
  <c r="K587" i="29"/>
  <c r="AX586" i="29"/>
  <c r="AW586" i="29"/>
  <c r="AT585" i="29"/>
  <c r="AS585" i="29"/>
  <c r="AR585" i="29"/>
  <c r="AQ585" i="29"/>
  <c r="AP585" i="29"/>
  <c r="AO585" i="29"/>
  <c r="AN585" i="29"/>
  <c r="AM585" i="29"/>
  <c r="D585" i="30" s="1"/>
  <c r="AL585" i="29"/>
  <c r="AK585" i="29"/>
  <c r="AJ585" i="29"/>
  <c r="AI585" i="29"/>
  <c r="AG585" i="29"/>
  <c r="AF585" i="29"/>
  <c r="AC585" i="29"/>
  <c r="AD585" i="29" s="1"/>
  <c r="AA585" i="29"/>
  <c r="B585" i="30" s="1"/>
  <c r="C585" i="30" s="1"/>
  <c r="Y585" i="29"/>
  <c r="W585" i="29"/>
  <c r="U585" i="29"/>
  <c r="R585" i="29"/>
  <c r="L585" i="29"/>
  <c r="K585" i="29"/>
  <c r="AT583" i="29"/>
  <c r="AS583" i="29"/>
  <c r="AR583" i="29"/>
  <c r="AQ583" i="29"/>
  <c r="AP583" i="29"/>
  <c r="AO583" i="29"/>
  <c r="AN583" i="29"/>
  <c r="AM583" i="29"/>
  <c r="D583" i="30" s="1"/>
  <c r="AL583" i="29"/>
  <c r="AK583" i="29"/>
  <c r="AJ583" i="29"/>
  <c r="AI583" i="29"/>
  <c r="AG583" i="29"/>
  <c r="AF583" i="29"/>
  <c r="AC583" i="29"/>
  <c r="AD583" i="29" s="1"/>
  <c r="AA583" i="29"/>
  <c r="B583" i="30" s="1"/>
  <c r="C583" i="30" s="1"/>
  <c r="Y583" i="29"/>
  <c r="W583" i="29"/>
  <c r="U583" i="29"/>
  <c r="R583" i="29"/>
  <c r="L583" i="29"/>
  <c r="K583" i="29"/>
  <c r="AT581" i="29"/>
  <c r="AS581" i="29"/>
  <c r="AR581" i="29"/>
  <c r="AQ581" i="29"/>
  <c r="AP581" i="29"/>
  <c r="AO581" i="29"/>
  <c r="AN581" i="29"/>
  <c r="AM581" i="29"/>
  <c r="D581" i="30" s="1"/>
  <c r="AL581" i="29"/>
  <c r="AK581" i="29"/>
  <c r="AJ581" i="29"/>
  <c r="AI581" i="29"/>
  <c r="AG581" i="29"/>
  <c r="AF581" i="29"/>
  <c r="AC581" i="29"/>
  <c r="AD581" i="29" s="1"/>
  <c r="AA581" i="29"/>
  <c r="B581" i="30" s="1"/>
  <c r="C581" i="30" s="1"/>
  <c r="Y581" i="29"/>
  <c r="W581" i="29"/>
  <c r="U581" i="29"/>
  <c r="R581" i="29"/>
  <c r="L581" i="29"/>
  <c r="K581" i="29"/>
  <c r="AG579" i="29"/>
  <c r="AF579" i="29"/>
  <c r="AB579" i="29"/>
  <c r="W579" i="29"/>
  <c r="U579" i="29"/>
  <c r="R579" i="29"/>
  <c r="L579" i="29"/>
  <c r="K579" i="29"/>
  <c r="BA578" i="29"/>
  <c r="AZ578" i="29"/>
  <c r="AY578" i="29"/>
  <c r="AX578" i="29"/>
  <c r="AW578" i="29"/>
  <c r="AV578" i="29"/>
  <c r="Y579" i="29" s="1"/>
  <c r="AE579" i="29" s="1"/>
  <c r="AG577" i="29"/>
  <c r="AF577" i="29"/>
  <c r="AB577" i="29"/>
  <c r="W577" i="29"/>
  <c r="U577" i="29"/>
  <c r="R577" i="29"/>
  <c r="L577" i="29"/>
  <c r="K577" i="29"/>
  <c r="BA576" i="29"/>
  <c r="AZ576" i="29"/>
  <c r="AY576" i="29"/>
  <c r="AX576" i="29"/>
  <c r="AW576" i="29"/>
  <c r="AV576" i="29"/>
  <c r="Y577" i="29" s="1"/>
  <c r="AE577" i="29" s="1"/>
  <c r="AG575" i="29"/>
  <c r="AF575" i="29"/>
  <c r="AB575" i="29"/>
  <c r="W575" i="29"/>
  <c r="U575" i="29"/>
  <c r="R575" i="29"/>
  <c r="L575" i="29"/>
  <c r="K575" i="29"/>
  <c r="BA574" i="29"/>
  <c r="AZ574" i="29"/>
  <c r="AY574" i="29"/>
  <c r="AX574" i="29"/>
  <c r="AW574" i="29"/>
  <c r="AV574" i="29"/>
  <c r="AG573" i="29"/>
  <c r="AF573" i="29"/>
  <c r="AB573" i="29"/>
  <c r="W573" i="29"/>
  <c r="U573" i="29"/>
  <c r="R573" i="29"/>
  <c r="L573" i="29"/>
  <c r="K573" i="29"/>
  <c r="BA572" i="29"/>
  <c r="AZ572" i="29"/>
  <c r="AY572" i="29"/>
  <c r="AX572" i="29"/>
  <c r="AW572" i="29"/>
  <c r="AV572" i="29"/>
  <c r="AG571" i="29"/>
  <c r="AF571" i="29"/>
  <c r="AA571" i="29"/>
  <c r="AB571" i="29" s="1"/>
  <c r="Y571" i="29"/>
  <c r="W571" i="29"/>
  <c r="U571" i="29"/>
  <c r="R571" i="29"/>
  <c r="L571" i="29"/>
  <c r="K571" i="29"/>
  <c r="AY570" i="29"/>
  <c r="AX570" i="29"/>
  <c r="AG569" i="29"/>
  <c r="AF569" i="29"/>
  <c r="AA569" i="29"/>
  <c r="AB569" i="29" s="1"/>
  <c r="Y569" i="29"/>
  <c r="W569" i="29"/>
  <c r="U569" i="29"/>
  <c r="R569" i="29"/>
  <c r="L569" i="29"/>
  <c r="K569" i="29"/>
  <c r="AY568" i="29"/>
  <c r="AX568" i="29"/>
  <c r="AG567" i="29"/>
  <c r="AF567" i="29"/>
  <c r="AA567" i="29"/>
  <c r="AB567" i="29" s="1"/>
  <c r="Y567" i="29"/>
  <c r="W567" i="29"/>
  <c r="U567" i="29"/>
  <c r="R567" i="29"/>
  <c r="L567" i="29"/>
  <c r="K567" i="29"/>
  <c r="AX566" i="29"/>
  <c r="AW566" i="29"/>
  <c r="AG565" i="29"/>
  <c r="AF565" i="29"/>
  <c r="AA565" i="29"/>
  <c r="B565" i="30" s="1"/>
  <c r="C565" i="30" s="1"/>
  <c r="Y565" i="29"/>
  <c r="W565" i="29"/>
  <c r="U565" i="29"/>
  <c r="R565" i="29"/>
  <c r="L565" i="29"/>
  <c r="K565" i="29"/>
  <c r="AX564" i="29"/>
  <c r="AW564" i="29"/>
  <c r="AG563" i="29"/>
  <c r="AF563" i="29"/>
  <c r="AA563" i="29"/>
  <c r="AB563" i="29" s="1"/>
  <c r="Y563" i="29"/>
  <c r="W563" i="29"/>
  <c r="U563" i="29"/>
  <c r="R563" i="29"/>
  <c r="L563" i="29"/>
  <c r="K563" i="29"/>
  <c r="AX562" i="29"/>
  <c r="AW562" i="29"/>
  <c r="AG561" i="29"/>
  <c r="AF561" i="29"/>
  <c r="AA561" i="29"/>
  <c r="AB561" i="29" s="1"/>
  <c r="Y561" i="29"/>
  <c r="W561" i="29"/>
  <c r="U561" i="29"/>
  <c r="R561" i="29"/>
  <c r="L561" i="29"/>
  <c r="K561" i="29"/>
  <c r="AX560" i="29"/>
  <c r="AW560" i="29"/>
  <c r="AG559" i="29"/>
  <c r="AF559" i="29"/>
  <c r="AA559" i="29"/>
  <c r="AB559" i="29" s="1"/>
  <c r="W559" i="29"/>
  <c r="U559" i="29"/>
  <c r="R559" i="29"/>
  <c r="L559" i="29"/>
  <c r="K559" i="29"/>
  <c r="AX558" i="29"/>
  <c r="AW558" i="29"/>
  <c r="AV558" i="29"/>
  <c r="AG557" i="29"/>
  <c r="AF557" i="29"/>
  <c r="AA557" i="29"/>
  <c r="AB557" i="29" s="1"/>
  <c r="W557" i="29"/>
  <c r="U557" i="29"/>
  <c r="R557" i="29"/>
  <c r="L557" i="29"/>
  <c r="K557" i="29"/>
  <c r="AX556" i="29"/>
  <c r="AW556" i="29"/>
  <c r="AV556" i="29"/>
  <c r="AG555" i="29"/>
  <c r="AF555" i="29"/>
  <c r="AA555" i="29"/>
  <c r="AB555" i="29" s="1"/>
  <c r="W555" i="29"/>
  <c r="U555" i="29"/>
  <c r="R555" i="29"/>
  <c r="L555" i="29"/>
  <c r="K555" i="29"/>
  <c r="AY554" i="29"/>
  <c r="AX554" i="29"/>
  <c r="AW554" i="29"/>
  <c r="AV554" i="29"/>
  <c r="AG553" i="29"/>
  <c r="AF553" i="29"/>
  <c r="AA553" i="29"/>
  <c r="AB553" i="29" s="1"/>
  <c r="W553" i="29"/>
  <c r="U553" i="29"/>
  <c r="R553" i="29"/>
  <c r="L553" i="29"/>
  <c r="K553" i="29"/>
  <c r="AY552" i="29"/>
  <c r="AX552" i="29"/>
  <c r="AW552" i="29"/>
  <c r="AV552" i="29"/>
  <c r="AT551" i="29"/>
  <c r="AS551" i="29"/>
  <c r="AR551" i="29"/>
  <c r="AQ551" i="29"/>
  <c r="AP551" i="29"/>
  <c r="AO551" i="29"/>
  <c r="AN551" i="29"/>
  <c r="AM551" i="29"/>
  <c r="D551" i="30" s="1"/>
  <c r="AL551" i="29"/>
  <c r="AK551" i="29"/>
  <c r="AJ551" i="29"/>
  <c r="AI551" i="29"/>
  <c r="AG551" i="29"/>
  <c r="AF551" i="29"/>
  <c r="AC551" i="29"/>
  <c r="AD551" i="29" s="1"/>
  <c r="AA551" i="29"/>
  <c r="B551" i="30" s="1"/>
  <c r="C551" i="30" s="1"/>
  <c r="Y551" i="29"/>
  <c r="W551" i="29"/>
  <c r="U551" i="29"/>
  <c r="R551" i="29"/>
  <c r="L551" i="29"/>
  <c r="K551" i="29"/>
  <c r="AT549" i="29"/>
  <c r="AS549" i="29"/>
  <c r="AR549" i="29"/>
  <c r="AQ549" i="29"/>
  <c r="AP549" i="29"/>
  <c r="AO549" i="29"/>
  <c r="AN549" i="29"/>
  <c r="AM549" i="29"/>
  <c r="D549" i="30" s="1"/>
  <c r="AL549" i="29"/>
  <c r="AK549" i="29"/>
  <c r="AJ549" i="29"/>
  <c r="AI549" i="29"/>
  <c r="AG549" i="29"/>
  <c r="AF549" i="29"/>
  <c r="AC549" i="29"/>
  <c r="AD549" i="29" s="1"/>
  <c r="AA549" i="29"/>
  <c r="B549" i="30" s="1"/>
  <c r="C549" i="30" s="1"/>
  <c r="Y549" i="29"/>
  <c r="W549" i="29"/>
  <c r="U549" i="29"/>
  <c r="R549" i="29"/>
  <c r="L549" i="29"/>
  <c r="K549" i="29"/>
  <c r="AT547" i="29"/>
  <c r="AS547" i="29"/>
  <c r="AR547" i="29"/>
  <c r="AQ547" i="29"/>
  <c r="AP547" i="29"/>
  <c r="AO547" i="29"/>
  <c r="AN547" i="29"/>
  <c r="AM547" i="29"/>
  <c r="D547" i="30" s="1"/>
  <c r="AL547" i="29"/>
  <c r="AK547" i="29"/>
  <c r="AJ547" i="29"/>
  <c r="AI547" i="29"/>
  <c r="AG547" i="29"/>
  <c r="AF547" i="29"/>
  <c r="AC547" i="29"/>
  <c r="AD547" i="29" s="1"/>
  <c r="AA547" i="29"/>
  <c r="AB547" i="29" s="1"/>
  <c r="Y547" i="29"/>
  <c r="W547" i="29"/>
  <c r="U547" i="29"/>
  <c r="R547" i="29"/>
  <c r="L547" i="29"/>
  <c r="K547" i="29"/>
  <c r="AT545" i="29"/>
  <c r="AS545" i="29"/>
  <c r="AR545" i="29"/>
  <c r="AQ545" i="29"/>
  <c r="AP545" i="29"/>
  <c r="AO545" i="29"/>
  <c r="AN545" i="29"/>
  <c r="AM545" i="29"/>
  <c r="D545" i="30" s="1"/>
  <c r="AL545" i="29"/>
  <c r="AK545" i="29"/>
  <c r="AJ545" i="29"/>
  <c r="AI545" i="29"/>
  <c r="AG545" i="29"/>
  <c r="AF545" i="29"/>
  <c r="AC545" i="29"/>
  <c r="AD545" i="29" s="1"/>
  <c r="AA545" i="29"/>
  <c r="B545" i="30" s="1"/>
  <c r="C545" i="30" s="1"/>
  <c r="Y545" i="29"/>
  <c r="W545" i="29"/>
  <c r="U545" i="29"/>
  <c r="R545" i="29"/>
  <c r="L545" i="29"/>
  <c r="K545" i="29"/>
  <c r="AT543" i="29"/>
  <c r="AS543" i="29"/>
  <c r="AR543" i="29"/>
  <c r="AQ543" i="29"/>
  <c r="AP543" i="29"/>
  <c r="AO543" i="29"/>
  <c r="AN543" i="29"/>
  <c r="AM543" i="29"/>
  <c r="D543" i="30" s="1"/>
  <c r="AL543" i="29"/>
  <c r="AK543" i="29"/>
  <c r="AJ543" i="29"/>
  <c r="AI543" i="29"/>
  <c r="AG543" i="29"/>
  <c r="AF543" i="29"/>
  <c r="AC543" i="29"/>
  <c r="AD543" i="29" s="1"/>
  <c r="AA543" i="29"/>
  <c r="B543" i="30" s="1"/>
  <c r="C543" i="30" s="1"/>
  <c r="Y543" i="29"/>
  <c r="W543" i="29"/>
  <c r="U543" i="29"/>
  <c r="R543" i="29"/>
  <c r="L543" i="29"/>
  <c r="K543" i="29"/>
  <c r="AG541" i="29"/>
  <c r="AF541" i="29"/>
  <c r="AB541" i="29"/>
  <c r="W541" i="29"/>
  <c r="U541" i="29"/>
  <c r="R541" i="29"/>
  <c r="L541" i="29"/>
  <c r="K541" i="29"/>
  <c r="AZ540" i="29"/>
  <c r="AY540" i="29"/>
  <c r="AX540" i="29"/>
  <c r="AW540" i="29"/>
  <c r="AV540" i="29"/>
  <c r="Y541" i="29" s="1"/>
  <c r="AE541" i="29" s="1"/>
  <c r="BI539" i="29"/>
  <c r="BH539" i="29"/>
  <c r="BG539" i="29"/>
  <c r="BF539" i="29"/>
  <c r="BE539" i="29"/>
  <c r="BD539" i="29"/>
  <c r="BC539" i="29"/>
  <c r="BB539" i="29"/>
  <c r="BA539" i="29"/>
  <c r="AZ539" i="29"/>
  <c r="AY539" i="29"/>
  <c r="AX539" i="29"/>
  <c r="AW539" i="29"/>
  <c r="AF539" i="29"/>
  <c r="AA539" i="29"/>
  <c r="AB539" i="29" s="1"/>
  <c r="Y539" i="29"/>
  <c r="W539" i="29"/>
  <c r="U539" i="29"/>
  <c r="R539" i="29"/>
  <c r="L539" i="29"/>
  <c r="K539" i="29"/>
  <c r="BI538" i="29"/>
  <c r="BH538" i="29"/>
  <c r="BG538" i="29"/>
  <c r="BF538" i="29"/>
  <c r="BE538" i="29"/>
  <c r="BD538" i="29"/>
  <c r="BC538" i="29"/>
  <c r="BB538" i="29"/>
  <c r="BA538" i="29"/>
  <c r="AZ538" i="29"/>
  <c r="AY538" i="29"/>
  <c r="AX538" i="29"/>
  <c r="AW538" i="29"/>
  <c r="BG537" i="29"/>
  <c r="BF537" i="29"/>
  <c r="BE537" i="29"/>
  <c r="BD537" i="29"/>
  <c r="BC537" i="29"/>
  <c r="BB537" i="29"/>
  <c r="BA537" i="29"/>
  <c r="AZ537" i="29"/>
  <c r="AY537" i="29"/>
  <c r="AX537" i="29"/>
  <c r="AW537" i="29"/>
  <c r="AF537" i="29"/>
  <c r="AA537" i="29"/>
  <c r="B537" i="30" s="1"/>
  <c r="C537" i="30" s="1"/>
  <c r="Y537" i="29"/>
  <c r="W537" i="29"/>
  <c r="U537" i="29"/>
  <c r="R537" i="29"/>
  <c r="L537" i="29"/>
  <c r="K537" i="29"/>
  <c r="BG536" i="29"/>
  <c r="BF536" i="29"/>
  <c r="BE536" i="29"/>
  <c r="BD536" i="29"/>
  <c r="BC536" i="29"/>
  <c r="BB536" i="29"/>
  <c r="BA536" i="29"/>
  <c r="AZ536" i="29"/>
  <c r="AY536" i="29"/>
  <c r="AX536" i="29"/>
  <c r="AW536" i="29"/>
  <c r="AT535" i="29"/>
  <c r="AS535" i="29"/>
  <c r="AR535" i="29"/>
  <c r="AQ535" i="29"/>
  <c r="AP535" i="29"/>
  <c r="AO535" i="29"/>
  <c r="AN535" i="29"/>
  <c r="AM535" i="29"/>
  <c r="D535" i="30" s="1"/>
  <c r="AL535" i="29"/>
  <c r="AK535" i="29"/>
  <c r="AJ535" i="29"/>
  <c r="AI535" i="29"/>
  <c r="AG535" i="29"/>
  <c r="AF535" i="29"/>
  <c r="AC535" i="29"/>
  <c r="AD535" i="29" s="1"/>
  <c r="AA535" i="29"/>
  <c r="AB535" i="29" s="1"/>
  <c r="Y535" i="29"/>
  <c r="W535" i="29"/>
  <c r="U535" i="29"/>
  <c r="R535" i="29"/>
  <c r="L535" i="29"/>
  <c r="K535" i="29"/>
  <c r="AT533" i="29"/>
  <c r="AS533" i="29"/>
  <c r="AR533" i="29"/>
  <c r="AQ533" i="29"/>
  <c r="AP533" i="29"/>
  <c r="AO533" i="29"/>
  <c r="AN533" i="29"/>
  <c r="AM533" i="29"/>
  <c r="D533" i="30" s="1"/>
  <c r="AL533" i="29"/>
  <c r="AK533" i="29"/>
  <c r="AJ533" i="29"/>
  <c r="AI533" i="29"/>
  <c r="AG533" i="29"/>
  <c r="AF533" i="29"/>
  <c r="AC533" i="29"/>
  <c r="AD533" i="29" s="1"/>
  <c r="AA533" i="29"/>
  <c r="AB533" i="29" s="1"/>
  <c r="Y533" i="29"/>
  <c r="W533" i="29"/>
  <c r="U533" i="29"/>
  <c r="R533" i="29"/>
  <c r="L533" i="29"/>
  <c r="K533" i="29"/>
  <c r="AT531" i="29"/>
  <c r="AS531" i="29"/>
  <c r="AR531" i="29"/>
  <c r="AQ531" i="29"/>
  <c r="AP531" i="29"/>
  <c r="AO531" i="29"/>
  <c r="AN531" i="29"/>
  <c r="AM531" i="29"/>
  <c r="D531" i="30" s="1"/>
  <c r="AL531" i="29"/>
  <c r="AK531" i="29"/>
  <c r="AJ531" i="29"/>
  <c r="AI531" i="29"/>
  <c r="AG531" i="29"/>
  <c r="AF531" i="29"/>
  <c r="AC531" i="29"/>
  <c r="AD531" i="29" s="1"/>
  <c r="AA531" i="29"/>
  <c r="B531" i="30" s="1"/>
  <c r="C531" i="30" s="1"/>
  <c r="Y531" i="29"/>
  <c r="W531" i="29"/>
  <c r="U531" i="29"/>
  <c r="R531" i="29"/>
  <c r="L531" i="29"/>
  <c r="K531" i="29"/>
  <c r="AG529" i="29"/>
  <c r="AF529" i="29"/>
  <c r="AB529" i="29"/>
  <c r="W529" i="29"/>
  <c r="U529" i="29"/>
  <c r="R529" i="29"/>
  <c r="L529" i="29"/>
  <c r="K529" i="29"/>
  <c r="BG528" i="29"/>
  <c r="BF528" i="29"/>
  <c r="BE528" i="29"/>
  <c r="BD528" i="29"/>
  <c r="BC528" i="29"/>
  <c r="BB528" i="29"/>
  <c r="BA528" i="29"/>
  <c r="AZ528" i="29"/>
  <c r="AY528" i="29"/>
  <c r="AX528" i="29"/>
  <c r="AW528" i="29"/>
  <c r="AV528" i="29"/>
  <c r="Y529" i="29" s="1"/>
  <c r="AE529" i="29" s="1"/>
  <c r="AG527" i="29"/>
  <c r="AF527" i="29"/>
  <c r="AB527" i="29"/>
  <c r="W527" i="29"/>
  <c r="U527" i="29"/>
  <c r="R527" i="29"/>
  <c r="L527" i="29"/>
  <c r="K527" i="29"/>
  <c r="BG526" i="29"/>
  <c r="BF526" i="29"/>
  <c r="BE526" i="29"/>
  <c r="BD526" i="29"/>
  <c r="BC526" i="29"/>
  <c r="BB526" i="29"/>
  <c r="BA526" i="29"/>
  <c r="AZ526" i="29"/>
  <c r="AY526" i="29"/>
  <c r="AX526" i="29"/>
  <c r="AW526" i="29"/>
  <c r="AV526" i="29"/>
  <c r="Y527" i="29" s="1"/>
  <c r="AE527" i="29" s="1"/>
  <c r="AG525" i="29"/>
  <c r="AF525" i="29"/>
  <c r="AB525" i="29"/>
  <c r="W525" i="29"/>
  <c r="U525" i="29"/>
  <c r="R525" i="29"/>
  <c r="L525" i="29"/>
  <c r="K525" i="29"/>
  <c r="BG524" i="29"/>
  <c r="BF524" i="29"/>
  <c r="BE524" i="29"/>
  <c r="BD524" i="29"/>
  <c r="BC524" i="29"/>
  <c r="BB524" i="29"/>
  <c r="BA524" i="29"/>
  <c r="AZ524" i="29"/>
  <c r="AY524" i="29"/>
  <c r="AX524" i="29"/>
  <c r="AW524" i="29"/>
  <c r="AV524" i="29"/>
  <c r="Y525" i="29" s="1"/>
  <c r="AE525" i="29" s="1"/>
  <c r="AG523" i="29"/>
  <c r="AF523" i="29"/>
  <c r="AB523" i="29"/>
  <c r="W523" i="29"/>
  <c r="U523" i="29"/>
  <c r="R523" i="29"/>
  <c r="L523" i="29"/>
  <c r="K523" i="29"/>
  <c r="BG522" i="29"/>
  <c r="BF522" i="29"/>
  <c r="BE522" i="29"/>
  <c r="BD522" i="29"/>
  <c r="BC522" i="29"/>
  <c r="BB522" i="29"/>
  <c r="BA522" i="29"/>
  <c r="AZ522" i="29"/>
  <c r="AY522" i="29"/>
  <c r="AX522" i="29"/>
  <c r="AW522" i="29"/>
  <c r="AV522" i="29"/>
  <c r="AG521" i="29"/>
  <c r="AF521" i="29"/>
  <c r="AB521" i="29"/>
  <c r="W521" i="29"/>
  <c r="U521" i="29"/>
  <c r="R521" i="29"/>
  <c r="L521" i="29"/>
  <c r="K521" i="29"/>
  <c r="BG520" i="29"/>
  <c r="BF520" i="29"/>
  <c r="BE520" i="29"/>
  <c r="BD520" i="29"/>
  <c r="BC520" i="29"/>
  <c r="BB520" i="29"/>
  <c r="BA520" i="29"/>
  <c r="AZ520" i="29"/>
  <c r="AY520" i="29"/>
  <c r="AX520" i="29"/>
  <c r="AW520" i="29"/>
  <c r="AV520" i="29"/>
  <c r="Y521" i="29" s="1"/>
  <c r="AE521" i="29" s="1"/>
  <c r="AG519" i="29"/>
  <c r="AF519" i="29"/>
  <c r="AB519" i="29"/>
  <c r="W519" i="29"/>
  <c r="U519" i="29"/>
  <c r="R519" i="29"/>
  <c r="L519" i="29"/>
  <c r="K519" i="29"/>
  <c r="BG518" i="29"/>
  <c r="BF518" i="29"/>
  <c r="BE518" i="29"/>
  <c r="BD518" i="29"/>
  <c r="BC518" i="29"/>
  <c r="BB518" i="29"/>
  <c r="BA518" i="29"/>
  <c r="AZ518" i="29"/>
  <c r="AY518" i="29"/>
  <c r="AX518" i="29"/>
  <c r="AW518" i="29"/>
  <c r="AV518" i="29"/>
  <c r="Y519" i="29" s="1"/>
  <c r="AE519" i="29" s="1"/>
  <c r="AG515" i="29"/>
  <c r="AF515" i="29"/>
  <c r="AB515" i="29"/>
  <c r="Y515" i="29"/>
  <c r="AE515" i="29" s="1"/>
  <c r="W515" i="29"/>
  <c r="U515" i="29"/>
  <c r="R515" i="29"/>
  <c r="L515" i="29"/>
  <c r="K515" i="29"/>
  <c r="AY514" i="29"/>
  <c r="AX514" i="29"/>
  <c r="AW514" i="29"/>
  <c r="AG513" i="29"/>
  <c r="AF513" i="29"/>
  <c r="AB513" i="29"/>
  <c r="Y513" i="29"/>
  <c r="AE513" i="29" s="1"/>
  <c r="W513" i="29"/>
  <c r="U513" i="29"/>
  <c r="R513" i="29"/>
  <c r="L513" i="29"/>
  <c r="K513" i="29"/>
  <c r="AY512" i="29"/>
  <c r="AX512" i="29"/>
  <c r="AW512" i="29"/>
  <c r="AG511" i="29"/>
  <c r="AF511" i="29"/>
  <c r="AB511" i="29"/>
  <c r="Y511" i="29"/>
  <c r="AE511" i="29" s="1"/>
  <c r="W511" i="29"/>
  <c r="U511" i="29"/>
  <c r="R511" i="29"/>
  <c r="L511" i="29"/>
  <c r="K511" i="29"/>
  <c r="AY510" i="29"/>
  <c r="AX510" i="29"/>
  <c r="AW510" i="29"/>
  <c r="AG509" i="29"/>
  <c r="AF509" i="29"/>
  <c r="AB509" i="29"/>
  <c r="Y509" i="29"/>
  <c r="AE509" i="29" s="1"/>
  <c r="W509" i="29"/>
  <c r="U509" i="29"/>
  <c r="R509" i="29"/>
  <c r="L509" i="29"/>
  <c r="K509" i="29"/>
  <c r="AY508" i="29"/>
  <c r="AX508" i="29"/>
  <c r="AW508" i="29"/>
  <c r="AG507" i="29"/>
  <c r="AF507" i="29"/>
  <c r="AA507" i="29"/>
  <c r="B507" i="30" s="1"/>
  <c r="C507" i="30" s="1"/>
  <c r="W507" i="29"/>
  <c r="U507" i="29"/>
  <c r="R507" i="29"/>
  <c r="L507" i="29"/>
  <c r="K507" i="29"/>
  <c r="AX506" i="29"/>
  <c r="AW506" i="29"/>
  <c r="AV506" i="29"/>
  <c r="AG505" i="29"/>
  <c r="AF505" i="29"/>
  <c r="AB505" i="29"/>
  <c r="W505" i="29"/>
  <c r="U505" i="29"/>
  <c r="R505" i="29"/>
  <c r="L505" i="29"/>
  <c r="K505" i="29"/>
  <c r="AZ504" i="29"/>
  <c r="AY504" i="29"/>
  <c r="AX504" i="29"/>
  <c r="AW504" i="29"/>
  <c r="AV504" i="29"/>
  <c r="AG503" i="29"/>
  <c r="AF503" i="29"/>
  <c r="AA503" i="29"/>
  <c r="AB503" i="29" s="1"/>
  <c r="Y503" i="29"/>
  <c r="W503" i="29"/>
  <c r="U503" i="29"/>
  <c r="R503" i="29"/>
  <c r="L503" i="29"/>
  <c r="K503" i="29"/>
  <c r="BC502" i="29"/>
  <c r="BB502" i="29"/>
  <c r="BA502" i="29"/>
  <c r="AZ502" i="29"/>
  <c r="AY502" i="29"/>
  <c r="AX502" i="29"/>
  <c r="AW502" i="29"/>
  <c r="AG501" i="29"/>
  <c r="AF501" i="29"/>
  <c r="AA501" i="29"/>
  <c r="AB501" i="29" s="1"/>
  <c r="Y501" i="29"/>
  <c r="W501" i="29"/>
  <c r="U501" i="29"/>
  <c r="R501" i="29"/>
  <c r="L501" i="29"/>
  <c r="K501" i="29"/>
  <c r="BC500" i="29"/>
  <c r="BB500" i="29"/>
  <c r="BA500" i="29"/>
  <c r="AZ500" i="29"/>
  <c r="AY500" i="29"/>
  <c r="AX500" i="29"/>
  <c r="AW500" i="29"/>
  <c r="AG499" i="29"/>
  <c r="AF499" i="29"/>
  <c r="AA499" i="29"/>
  <c r="AB499" i="29" s="1"/>
  <c r="Y499" i="29"/>
  <c r="W499" i="29"/>
  <c r="U499" i="29"/>
  <c r="R499" i="29"/>
  <c r="L499" i="29"/>
  <c r="K499" i="29"/>
  <c r="BC498" i="29"/>
  <c r="BB498" i="29"/>
  <c r="BA498" i="29"/>
  <c r="AZ498" i="29"/>
  <c r="AY498" i="29"/>
  <c r="AX498" i="29"/>
  <c r="AW498" i="29"/>
  <c r="AT467" i="29"/>
  <c r="AS467" i="29"/>
  <c r="AR467" i="29"/>
  <c r="AQ467" i="29"/>
  <c r="AP467" i="29"/>
  <c r="AO467" i="29"/>
  <c r="AN467" i="29"/>
  <c r="AM467" i="29"/>
  <c r="D467" i="30" s="1"/>
  <c r="AL467" i="29"/>
  <c r="AK467" i="29"/>
  <c r="AJ467" i="29"/>
  <c r="AI467" i="29"/>
  <c r="AG467" i="29"/>
  <c r="AF467" i="29"/>
  <c r="AC467" i="29"/>
  <c r="AD467" i="29" s="1"/>
  <c r="AA467" i="29"/>
  <c r="AB467" i="29" s="1"/>
  <c r="Y467" i="29"/>
  <c r="W467" i="29"/>
  <c r="U467" i="29"/>
  <c r="R467" i="29"/>
  <c r="L467" i="29"/>
  <c r="K467" i="29"/>
  <c r="AT465" i="29"/>
  <c r="AS465" i="29"/>
  <c r="AR465" i="29"/>
  <c r="AQ465" i="29"/>
  <c r="AP465" i="29"/>
  <c r="AO465" i="29"/>
  <c r="AN465" i="29"/>
  <c r="AM465" i="29"/>
  <c r="D465" i="30" s="1"/>
  <c r="AL465" i="29"/>
  <c r="AK465" i="29"/>
  <c r="AJ465" i="29"/>
  <c r="AI465" i="29"/>
  <c r="AG465" i="29"/>
  <c r="AF465" i="29"/>
  <c r="AC465" i="29"/>
  <c r="AD465" i="29" s="1"/>
  <c r="AA465" i="29"/>
  <c r="AB465" i="29" s="1"/>
  <c r="Y465" i="29"/>
  <c r="W465" i="29"/>
  <c r="U465" i="29"/>
  <c r="R465" i="29"/>
  <c r="L465" i="29"/>
  <c r="K465" i="29"/>
  <c r="AT463" i="29"/>
  <c r="AS463" i="29"/>
  <c r="AR463" i="29"/>
  <c r="AQ463" i="29"/>
  <c r="AP463" i="29"/>
  <c r="AO463" i="29"/>
  <c r="AN463" i="29"/>
  <c r="AM463" i="29"/>
  <c r="D463" i="30" s="1"/>
  <c r="AL463" i="29"/>
  <c r="AK463" i="29"/>
  <c r="AJ463" i="29"/>
  <c r="AI463" i="29"/>
  <c r="AG463" i="29"/>
  <c r="AF463" i="29"/>
  <c r="AC463" i="29"/>
  <c r="AD463" i="29" s="1"/>
  <c r="AA463" i="29"/>
  <c r="AB463" i="29" s="1"/>
  <c r="Y463" i="29"/>
  <c r="W463" i="29"/>
  <c r="U463" i="29"/>
  <c r="R463" i="29"/>
  <c r="L463" i="29"/>
  <c r="K463" i="29"/>
  <c r="AG461" i="29"/>
  <c r="AF461" i="29"/>
  <c r="AA461" i="29"/>
  <c r="B461" i="30" s="1"/>
  <c r="C461" i="30" s="1"/>
  <c r="W461" i="29"/>
  <c r="U461" i="29"/>
  <c r="R461" i="29"/>
  <c r="L461" i="29"/>
  <c r="K461" i="29"/>
  <c r="CU460" i="29"/>
  <c r="CT460" i="29"/>
  <c r="CS460" i="29"/>
  <c r="CR460" i="29"/>
  <c r="CQ460" i="29"/>
  <c r="CP460" i="29"/>
  <c r="CO460" i="29"/>
  <c r="CN460" i="29"/>
  <c r="CM460" i="29"/>
  <c r="CL460" i="29"/>
  <c r="CK460" i="29"/>
  <c r="CJ460" i="29"/>
  <c r="CI460" i="29"/>
  <c r="CH460" i="29"/>
  <c r="CG460" i="29"/>
  <c r="CF460" i="29"/>
  <c r="CE460" i="29"/>
  <c r="CD460" i="29"/>
  <c r="CC460" i="29"/>
  <c r="CB460" i="29"/>
  <c r="CA460" i="29"/>
  <c r="BZ460" i="29"/>
  <c r="BY460" i="29"/>
  <c r="BX460" i="29"/>
  <c r="BW460" i="29"/>
  <c r="BV460" i="29"/>
  <c r="BU460" i="29"/>
  <c r="BT460" i="29"/>
  <c r="BS460" i="29"/>
  <c r="BR460" i="29"/>
  <c r="BQ460" i="29"/>
  <c r="BP460" i="29"/>
  <c r="BO460" i="29"/>
  <c r="BN460" i="29"/>
  <c r="BM460" i="29"/>
  <c r="BL460" i="29"/>
  <c r="BK460" i="29"/>
  <c r="BJ460" i="29"/>
  <c r="BI460" i="29"/>
  <c r="BH460" i="29"/>
  <c r="BG460" i="29"/>
  <c r="BF460" i="29"/>
  <c r="BE460" i="29"/>
  <c r="BD460" i="29"/>
  <c r="BC460" i="29"/>
  <c r="BB460" i="29"/>
  <c r="BA460" i="29"/>
  <c r="AZ460" i="29"/>
  <c r="AY460" i="29"/>
  <c r="AX460" i="29"/>
  <c r="AW460" i="29"/>
  <c r="AV460" i="29"/>
  <c r="Y461" i="29" s="1"/>
  <c r="AG459" i="29"/>
  <c r="AF459" i="29"/>
  <c r="AA459" i="29"/>
  <c r="AB459" i="29" s="1"/>
  <c r="W459" i="29"/>
  <c r="U459" i="29"/>
  <c r="R459" i="29"/>
  <c r="L459" i="29"/>
  <c r="K459" i="29"/>
  <c r="CU458" i="29"/>
  <c r="CT458" i="29"/>
  <c r="CS458" i="29"/>
  <c r="CR458" i="29"/>
  <c r="CQ458" i="29"/>
  <c r="CP458" i="29"/>
  <c r="CO458" i="29"/>
  <c r="CN458" i="29"/>
  <c r="CM458" i="29"/>
  <c r="CL458" i="29"/>
  <c r="CK458" i="29"/>
  <c r="CJ458" i="29"/>
  <c r="CI458" i="29"/>
  <c r="CH458" i="29"/>
  <c r="CG458" i="29"/>
  <c r="CF458" i="29"/>
  <c r="CE458" i="29"/>
  <c r="CD458" i="29"/>
  <c r="CC458" i="29"/>
  <c r="CB458" i="29"/>
  <c r="CA458" i="29"/>
  <c r="BZ458" i="29"/>
  <c r="BY458" i="29"/>
  <c r="BX458" i="29"/>
  <c r="BW458" i="29"/>
  <c r="BV458" i="29"/>
  <c r="BU458" i="29"/>
  <c r="BT458" i="29"/>
  <c r="BS458" i="29"/>
  <c r="BR458" i="29"/>
  <c r="BQ458" i="29"/>
  <c r="BP458" i="29"/>
  <c r="BO458" i="29"/>
  <c r="BN458" i="29"/>
  <c r="BM458" i="29"/>
  <c r="BL458" i="29"/>
  <c r="BK458" i="29"/>
  <c r="BJ458" i="29"/>
  <c r="BI458" i="29"/>
  <c r="BH458" i="29"/>
  <c r="BG458" i="29"/>
  <c r="BF458" i="29"/>
  <c r="BE458" i="29"/>
  <c r="BD458" i="29"/>
  <c r="BC458" i="29"/>
  <c r="BB458" i="29"/>
  <c r="BA458" i="29"/>
  <c r="AZ458" i="29"/>
  <c r="AY458" i="29"/>
  <c r="AX458" i="29"/>
  <c r="AW458" i="29"/>
  <c r="AV458" i="29"/>
  <c r="AT457" i="29"/>
  <c r="AS457" i="29"/>
  <c r="AR457" i="29"/>
  <c r="AQ457" i="29"/>
  <c r="AP457" i="29"/>
  <c r="AO457" i="29"/>
  <c r="AN457" i="29"/>
  <c r="AM457" i="29"/>
  <c r="D457" i="30" s="1"/>
  <c r="AL457" i="29"/>
  <c r="AK457" i="29"/>
  <c r="AJ457" i="29"/>
  <c r="AI457" i="29"/>
  <c r="AG457" i="29"/>
  <c r="AF457" i="29"/>
  <c r="AC457" i="29"/>
  <c r="AD457" i="29" s="1"/>
  <c r="AA457" i="29"/>
  <c r="AB457" i="29" s="1"/>
  <c r="Y457" i="29"/>
  <c r="W457" i="29"/>
  <c r="U457" i="29"/>
  <c r="R457" i="29"/>
  <c r="L457" i="29"/>
  <c r="K457" i="29"/>
  <c r="AT455" i="29"/>
  <c r="AS455" i="29"/>
  <c r="AR455" i="29"/>
  <c r="AQ455" i="29"/>
  <c r="AP455" i="29"/>
  <c r="AO455" i="29"/>
  <c r="AN455" i="29"/>
  <c r="AM455" i="29"/>
  <c r="D455" i="30" s="1"/>
  <c r="AL455" i="29"/>
  <c r="AK455" i="29"/>
  <c r="AJ455" i="29"/>
  <c r="AI455" i="29"/>
  <c r="AG455" i="29"/>
  <c r="AF455" i="29"/>
  <c r="AC455" i="29"/>
  <c r="AD455" i="29" s="1"/>
  <c r="AA455" i="29"/>
  <c r="B455" i="30" s="1"/>
  <c r="C455" i="30" s="1"/>
  <c r="Y455" i="29"/>
  <c r="W455" i="29"/>
  <c r="U455" i="29"/>
  <c r="R455" i="29"/>
  <c r="L455" i="29"/>
  <c r="K455" i="29"/>
  <c r="AT453" i="29"/>
  <c r="AS453" i="29"/>
  <c r="AR453" i="29"/>
  <c r="AQ453" i="29"/>
  <c r="AP453" i="29"/>
  <c r="AO453" i="29"/>
  <c r="AN453" i="29"/>
  <c r="AM453" i="29"/>
  <c r="D453" i="30" s="1"/>
  <c r="AL453" i="29"/>
  <c r="AK453" i="29"/>
  <c r="AJ453" i="29"/>
  <c r="AI453" i="29"/>
  <c r="AG453" i="29"/>
  <c r="AF453" i="29"/>
  <c r="AC453" i="29"/>
  <c r="AD453" i="29" s="1"/>
  <c r="AA453" i="29"/>
  <c r="B453" i="30" s="1"/>
  <c r="C453" i="30" s="1"/>
  <c r="Y453" i="29"/>
  <c r="W453" i="29"/>
  <c r="U453" i="29"/>
  <c r="R453" i="29"/>
  <c r="L453" i="29"/>
  <c r="K453" i="29"/>
  <c r="AT451" i="29"/>
  <c r="AS451" i="29"/>
  <c r="AR451" i="29"/>
  <c r="AQ451" i="29"/>
  <c r="AP451" i="29"/>
  <c r="AO451" i="29"/>
  <c r="AN451" i="29"/>
  <c r="AM451" i="29"/>
  <c r="D451" i="30" s="1"/>
  <c r="AL451" i="29"/>
  <c r="AK451" i="29"/>
  <c r="AJ451" i="29"/>
  <c r="AI451" i="29"/>
  <c r="AG451" i="29"/>
  <c r="AF451" i="29"/>
  <c r="AC451" i="29"/>
  <c r="AD451" i="29" s="1"/>
  <c r="AA451" i="29"/>
  <c r="AB451" i="29" s="1"/>
  <c r="Y451" i="29"/>
  <c r="W451" i="29"/>
  <c r="U451" i="29"/>
  <c r="R451" i="29"/>
  <c r="L451" i="29"/>
  <c r="K451" i="29"/>
  <c r="AT437" i="29"/>
  <c r="AS437" i="29"/>
  <c r="AR437" i="29"/>
  <c r="AQ437" i="29"/>
  <c r="AP437" i="29"/>
  <c r="AO437" i="29"/>
  <c r="AN437" i="29"/>
  <c r="AM437" i="29"/>
  <c r="D437" i="30" s="1"/>
  <c r="AL437" i="29"/>
  <c r="AK437" i="29"/>
  <c r="AJ437" i="29"/>
  <c r="AI437" i="29"/>
  <c r="AG437" i="29"/>
  <c r="AF437" i="29"/>
  <c r="AC437" i="29"/>
  <c r="AD437" i="29" s="1"/>
  <c r="AA437" i="29"/>
  <c r="B437" i="30" s="1"/>
  <c r="C437" i="30" s="1"/>
  <c r="Y437" i="29"/>
  <c r="W437" i="29"/>
  <c r="U437" i="29"/>
  <c r="R437" i="29"/>
  <c r="L437" i="29"/>
  <c r="K437" i="29"/>
  <c r="AT435" i="29"/>
  <c r="AS435" i="29"/>
  <c r="AR435" i="29"/>
  <c r="AQ435" i="29"/>
  <c r="AP435" i="29"/>
  <c r="AO435" i="29"/>
  <c r="AN435" i="29"/>
  <c r="AM435" i="29"/>
  <c r="D435" i="30" s="1"/>
  <c r="AL435" i="29"/>
  <c r="AK435" i="29"/>
  <c r="AJ435" i="29"/>
  <c r="AI435" i="29"/>
  <c r="AG435" i="29"/>
  <c r="AF435" i="29"/>
  <c r="AC435" i="29"/>
  <c r="AD435" i="29" s="1"/>
  <c r="AA435" i="29"/>
  <c r="B435" i="30" s="1"/>
  <c r="C435" i="30" s="1"/>
  <c r="Y435" i="29"/>
  <c r="W435" i="29"/>
  <c r="U435" i="29"/>
  <c r="R435" i="29"/>
  <c r="L435" i="29"/>
  <c r="K435" i="29"/>
  <c r="AT433" i="29"/>
  <c r="AS433" i="29"/>
  <c r="AR433" i="29"/>
  <c r="AQ433" i="29"/>
  <c r="AP433" i="29"/>
  <c r="AO433" i="29"/>
  <c r="AN433" i="29"/>
  <c r="AM433" i="29"/>
  <c r="D433" i="30" s="1"/>
  <c r="AL433" i="29"/>
  <c r="AK433" i="29"/>
  <c r="AJ433" i="29"/>
  <c r="AI433" i="29"/>
  <c r="AG433" i="29"/>
  <c r="AF433" i="29"/>
  <c r="AC433" i="29"/>
  <c r="AD433" i="29" s="1"/>
  <c r="AA433" i="29"/>
  <c r="B433" i="30" s="1"/>
  <c r="C433" i="30" s="1"/>
  <c r="Y433" i="29"/>
  <c r="W433" i="29"/>
  <c r="U433" i="29"/>
  <c r="R433" i="29"/>
  <c r="L433" i="29"/>
  <c r="K433" i="29"/>
  <c r="AG421" i="29"/>
  <c r="AF421" i="29"/>
  <c r="AA421" i="29"/>
  <c r="AB421" i="29" s="1"/>
  <c r="W421" i="29"/>
  <c r="U421" i="29"/>
  <c r="R421" i="29"/>
  <c r="L421" i="29"/>
  <c r="K421" i="29"/>
  <c r="AZ420" i="29"/>
  <c r="AY420" i="29"/>
  <c r="AX420" i="29"/>
  <c r="AW420" i="29"/>
  <c r="AV420" i="29"/>
  <c r="Y421" i="29" s="1"/>
  <c r="AG415" i="29"/>
  <c r="AF415" i="29"/>
  <c r="AA415" i="29"/>
  <c r="B415" i="30" s="1"/>
  <c r="C415" i="30" s="1"/>
  <c r="W415" i="29"/>
  <c r="U415" i="29"/>
  <c r="R415" i="29"/>
  <c r="L415" i="29"/>
  <c r="K415" i="29"/>
  <c r="AY414" i="29"/>
  <c r="AX414" i="29"/>
  <c r="AW414" i="29"/>
  <c r="AV414" i="29"/>
  <c r="Y415" i="29" s="1"/>
  <c r="AG413" i="29"/>
  <c r="AF413" i="29"/>
  <c r="AA413" i="29"/>
  <c r="AB413" i="29" s="1"/>
  <c r="W413" i="29"/>
  <c r="U413" i="29"/>
  <c r="R413" i="29"/>
  <c r="L413" i="29"/>
  <c r="K413" i="29"/>
  <c r="AY412" i="29"/>
  <c r="AX412" i="29"/>
  <c r="AW412" i="29"/>
  <c r="AV412" i="29"/>
  <c r="AG411" i="29"/>
  <c r="AF411" i="29"/>
  <c r="AA411" i="29"/>
  <c r="AB411" i="29" s="1"/>
  <c r="W411" i="29"/>
  <c r="U411" i="29"/>
  <c r="R411" i="29"/>
  <c r="L411" i="29"/>
  <c r="K411" i="29"/>
  <c r="AY410" i="29"/>
  <c r="AX410" i="29"/>
  <c r="AW410" i="29"/>
  <c r="AV410" i="29"/>
  <c r="AZ409" i="29"/>
  <c r="AY409" i="29"/>
  <c r="AX409" i="29"/>
  <c r="AW409" i="29"/>
  <c r="AV409" i="29"/>
  <c r="AB409" i="29"/>
  <c r="W409" i="29"/>
  <c r="U409" i="29"/>
  <c r="R409" i="29"/>
  <c r="L409" i="29"/>
  <c r="K409" i="29"/>
  <c r="AZ408" i="29"/>
  <c r="AY408" i="29"/>
  <c r="AX408" i="29"/>
  <c r="AW408" i="29"/>
  <c r="AV408" i="29"/>
  <c r="AG407" i="29"/>
  <c r="AF407" i="29"/>
  <c r="AB407" i="29"/>
  <c r="W407" i="29"/>
  <c r="U407" i="29"/>
  <c r="R407" i="29"/>
  <c r="L407" i="29"/>
  <c r="K407" i="29"/>
  <c r="BA406" i="29"/>
  <c r="AZ406" i="29"/>
  <c r="AY406" i="29"/>
  <c r="AX406" i="29"/>
  <c r="AW406" i="29"/>
  <c r="AV406" i="29"/>
  <c r="AG405" i="29"/>
  <c r="AF405" i="29"/>
  <c r="AB405" i="29"/>
  <c r="W405" i="29"/>
  <c r="U405" i="29"/>
  <c r="R405" i="29"/>
  <c r="L405" i="29"/>
  <c r="K405" i="29"/>
  <c r="BA404" i="29"/>
  <c r="AZ404" i="29"/>
  <c r="AY404" i="29"/>
  <c r="AX404" i="29"/>
  <c r="AW404" i="29"/>
  <c r="AV404" i="29"/>
  <c r="Y405" i="29" s="1"/>
  <c r="AE405" i="29" s="1"/>
  <c r="AG403" i="29"/>
  <c r="AF403" i="29"/>
  <c r="AB403" i="29"/>
  <c r="W403" i="29"/>
  <c r="U403" i="29"/>
  <c r="R403" i="29"/>
  <c r="L403" i="29"/>
  <c r="K403" i="29"/>
  <c r="BA402" i="29"/>
  <c r="AZ402" i="29"/>
  <c r="AY402" i="29"/>
  <c r="AX402" i="29"/>
  <c r="AW402" i="29"/>
  <c r="AV402" i="29"/>
  <c r="Y403" i="29" s="1"/>
  <c r="AE403" i="29" s="1"/>
  <c r="AG401" i="29"/>
  <c r="AF401" i="29"/>
  <c r="AB401" i="29"/>
  <c r="W401" i="29"/>
  <c r="U401" i="29"/>
  <c r="R401" i="29"/>
  <c r="L401" i="29"/>
  <c r="K401" i="29"/>
  <c r="AZ400" i="29"/>
  <c r="AY400" i="29"/>
  <c r="AX400" i="29"/>
  <c r="AW400" i="29"/>
  <c r="AV400" i="29"/>
  <c r="Y401" i="29" s="1"/>
  <c r="AE401" i="29" s="1"/>
  <c r="AG399" i="29"/>
  <c r="AF399" i="29"/>
  <c r="AB399" i="29"/>
  <c r="W399" i="29"/>
  <c r="U399" i="29"/>
  <c r="R399" i="29"/>
  <c r="L399" i="29"/>
  <c r="K399" i="29"/>
  <c r="AZ398" i="29"/>
  <c r="AY398" i="29"/>
  <c r="AX398" i="29"/>
  <c r="AW398" i="29"/>
  <c r="AV398" i="29"/>
  <c r="AG397" i="29"/>
  <c r="AF397" i="29"/>
  <c r="AB397" i="29"/>
  <c r="W397" i="29"/>
  <c r="U397" i="29"/>
  <c r="R397" i="29"/>
  <c r="L397" i="29"/>
  <c r="K397" i="29"/>
  <c r="AZ396" i="29"/>
  <c r="AY396" i="29"/>
  <c r="AX396" i="29"/>
  <c r="AW396" i="29"/>
  <c r="AV396" i="29"/>
  <c r="Y397" i="29" s="1"/>
  <c r="AE397" i="29" s="1"/>
  <c r="AG395" i="29"/>
  <c r="AF395" i="29"/>
  <c r="AB395" i="29"/>
  <c r="W395" i="29"/>
  <c r="U395" i="29"/>
  <c r="R395" i="29"/>
  <c r="L395" i="29"/>
  <c r="K395" i="29"/>
  <c r="AZ394" i="29"/>
  <c r="AY394" i="29"/>
  <c r="AX394" i="29"/>
  <c r="AW394" i="29"/>
  <c r="AV394" i="29"/>
  <c r="AG393" i="29"/>
  <c r="AF393" i="29"/>
  <c r="AB393" i="29"/>
  <c r="W393" i="29"/>
  <c r="U393" i="29"/>
  <c r="R393" i="29"/>
  <c r="L393" i="29"/>
  <c r="K393" i="29"/>
  <c r="AZ392" i="29"/>
  <c r="AY392" i="29"/>
  <c r="AX392" i="29"/>
  <c r="AW392" i="29"/>
  <c r="AV392" i="29"/>
  <c r="AG391" i="29"/>
  <c r="AF391" i="29"/>
  <c r="AB391" i="29"/>
  <c r="W391" i="29"/>
  <c r="U391" i="29"/>
  <c r="R391" i="29"/>
  <c r="L391" i="29"/>
  <c r="K391" i="29"/>
  <c r="AZ390" i="29"/>
  <c r="AY390" i="29"/>
  <c r="AX390" i="29"/>
  <c r="AW390" i="29"/>
  <c r="AV390" i="29"/>
  <c r="Y391" i="29" s="1"/>
  <c r="AE391" i="29" s="1"/>
  <c r="AG389" i="29"/>
  <c r="AF389" i="29"/>
  <c r="AB389" i="29"/>
  <c r="W389" i="29"/>
  <c r="U389" i="29"/>
  <c r="R389" i="29"/>
  <c r="L389" i="29"/>
  <c r="K389" i="29"/>
  <c r="AZ388" i="29"/>
  <c r="AY388" i="29"/>
  <c r="AX388" i="29"/>
  <c r="AW388" i="29"/>
  <c r="AV388" i="29"/>
  <c r="AG387" i="29"/>
  <c r="AF387" i="29"/>
  <c r="AB387" i="29"/>
  <c r="W387" i="29"/>
  <c r="U387" i="29"/>
  <c r="R387" i="29"/>
  <c r="L387" i="29"/>
  <c r="K387" i="29"/>
  <c r="AZ386" i="29"/>
  <c r="AY386" i="29"/>
  <c r="AX386" i="29"/>
  <c r="AW386" i="29"/>
  <c r="AV386" i="29"/>
  <c r="AG385" i="29"/>
  <c r="AF385" i="29"/>
  <c r="AB385" i="29"/>
  <c r="W385" i="29"/>
  <c r="U385" i="29"/>
  <c r="R385" i="29"/>
  <c r="L385" i="29"/>
  <c r="K385" i="29"/>
  <c r="AZ384" i="29"/>
  <c r="AY384" i="29"/>
  <c r="AX384" i="29"/>
  <c r="AW384" i="29"/>
  <c r="AV384" i="29"/>
  <c r="Y385" i="29" s="1"/>
  <c r="AE385" i="29" s="1"/>
  <c r="AT383" i="29"/>
  <c r="AS383" i="29"/>
  <c r="AR383" i="29"/>
  <c r="AQ383" i="29"/>
  <c r="AP383" i="29"/>
  <c r="AO383" i="29"/>
  <c r="AN383" i="29"/>
  <c r="AM383" i="29"/>
  <c r="D383" i="30" s="1"/>
  <c r="AL383" i="29"/>
  <c r="AK383" i="29"/>
  <c r="AJ383" i="29"/>
  <c r="AI383" i="29"/>
  <c r="AG383" i="29"/>
  <c r="AF383" i="29"/>
  <c r="AC383" i="29"/>
  <c r="AD383" i="29" s="1"/>
  <c r="AA383" i="29"/>
  <c r="AB383" i="29" s="1"/>
  <c r="Y383" i="29"/>
  <c r="W383" i="29"/>
  <c r="U383" i="29"/>
  <c r="R383" i="29"/>
  <c r="L383" i="29"/>
  <c r="K383" i="29"/>
  <c r="AT381" i="29"/>
  <c r="AS381" i="29"/>
  <c r="AR381" i="29"/>
  <c r="AQ381" i="29"/>
  <c r="AP381" i="29"/>
  <c r="AO381" i="29"/>
  <c r="AN381" i="29"/>
  <c r="AM381" i="29"/>
  <c r="D381" i="30" s="1"/>
  <c r="AL381" i="29"/>
  <c r="AK381" i="29"/>
  <c r="AJ381" i="29"/>
  <c r="AI381" i="29"/>
  <c r="AG381" i="29"/>
  <c r="AF381" i="29"/>
  <c r="AC381" i="29"/>
  <c r="AD381" i="29" s="1"/>
  <c r="AA381" i="29"/>
  <c r="AB381" i="29" s="1"/>
  <c r="Y381" i="29"/>
  <c r="W381" i="29"/>
  <c r="U381" i="29"/>
  <c r="R381" i="29"/>
  <c r="L381" i="29"/>
  <c r="K381" i="29"/>
  <c r="AT379" i="29"/>
  <c r="AS379" i="29"/>
  <c r="AR379" i="29"/>
  <c r="AQ379" i="29"/>
  <c r="AP379" i="29"/>
  <c r="AO379" i="29"/>
  <c r="AN379" i="29"/>
  <c r="AM379" i="29"/>
  <c r="D379" i="30" s="1"/>
  <c r="AL379" i="29"/>
  <c r="AK379" i="29"/>
  <c r="AJ379" i="29"/>
  <c r="AI379" i="29"/>
  <c r="AG379" i="29"/>
  <c r="AF379" i="29"/>
  <c r="AC379" i="29"/>
  <c r="AD379" i="29" s="1"/>
  <c r="AA379" i="29"/>
  <c r="B379" i="30" s="1"/>
  <c r="C379" i="30" s="1"/>
  <c r="Y379" i="29"/>
  <c r="W379" i="29"/>
  <c r="U379" i="29"/>
  <c r="R379" i="29"/>
  <c r="L379" i="29"/>
  <c r="K379" i="29"/>
  <c r="B377" i="30"/>
  <c r="C377" i="30" s="1"/>
  <c r="B373" i="30"/>
  <c r="C373" i="30" s="1"/>
  <c r="AT357" i="29"/>
  <c r="AS357" i="29"/>
  <c r="AR357" i="29"/>
  <c r="AQ357" i="29"/>
  <c r="AP357" i="29"/>
  <c r="AO357" i="29"/>
  <c r="AN357" i="29"/>
  <c r="AM357" i="29"/>
  <c r="D357" i="30" s="1"/>
  <c r="AL357" i="29"/>
  <c r="AK357" i="29"/>
  <c r="AJ357" i="29"/>
  <c r="AI357" i="29"/>
  <c r="AG357" i="29"/>
  <c r="AF357" i="29"/>
  <c r="AC357" i="29"/>
  <c r="AD357" i="29" s="1"/>
  <c r="AA357" i="29"/>
  <c r="AB357" i="29" s="1"/>
  <c r="Y357" i="29"/>
  <c r="W357" i="29"/>
  <c r="U357" i="29"/>
  <c r="R357" i="29"/>
  <c r="L357" i="29"/>
  <c r="K357" i="29"/>
  <c r="AT355" i="29"/>
  <c r="AS355" i="29"/>
  <c r="AR355" i="29"/>
  <c r="AQ355" i="29"/>
  <c r="AP355" i="29"/>
  <c r="AO355" i="29"/>
  <c r="AN355" i="29"/>
  <c r="AM355" i="29"/>
  <c r="D355" i="30" s="1"/>
  <c r="AL355" i="29"/>
  <c r="AK355" i="29"/>
  <c r="AJ355" i="29"/>
  <c r="AI355" i="29"/>
  <c r="AG355" i="29"/>
  <c r="AF355" i="29"/>
  <c r="AC355" i="29"/>
  <c r="AD355" i="29" s="1"/>
  <c r="AA355" i="29"/>
  <c r="B355" i="30" s="1"/>
  <c r="C355" i="30" s="1"/>
  <c r="Y355" i="29"/>
  <c r="W355" i="29"/>
  <c r="U355" i="29"/>
  <c r="R355" i="29"/>
  <c r="L355" i="29"/>
  <c r="K355" i="29"/>
  <c r="AT353" i="29"/>
  <c r="AS353" i="29"/>
  <c r="AR353" i="29"/>
  <c r="AQ353" i="29"/>
  <c r="AP353" i="29"/>
  <c r="AO353" i="29"/>
  <c r="AN353" i="29"/>
  <c r="AM353" i="29"/>
  <c r="D353" i="30" s="1"/>
  <c r="AL353" i="29"/>
  <c r="AK353" i="29"/>
  <c r="AJ353" i="29"/>
  <c r="AI353" i="29"/>
  <c r="AG353" i="29"/>
  <c r="AF353" i="29"/>
  <c r="AC353" i="29"/>
  <c r="AD353" i="29" s="1"/>
  <c r="AA353" i="29"/>
  <c r="AB353" i="29" s="1"/>
  <c r="Y353" i="29"/>
  <c r="W353" i="29"/>
  <c r="U353" i="29"/>
  <c r="R353" i="29"/>
  <c r="L353" i="29"/>
  <c r="K353" i="29"/>
  <c r="AT351" i="29"/>
  <c r="AS351" i="29"/>
  <c r="AR351" i="29"/>
  <c r="AQ351" i="29"/>
  <c r="AP351" i="29"/>
  <c r="AO351" i="29"/>
  <c r="AN351" i="29"/>
  <c r="AM351" i="29"/>
  <c r="D351" i="30" s="1"/>
  <c r="AL351" i="29"/>
  <c r="AK351" i="29"/>
  <c r="AJ351" i="29"/>
  <c r="AI351" i="29"/>
  <c r="AG351" i="29"/>
  <c r="AF351" i="29"/>
  <c r="AC351" i="29"/>
  <c r="AD351" i="29" s="1"/>
  <c r="AA351" i="29"/>
  <c r="AB351" i="29" s="1"/>
  <c r="Y351" i="29"/>
  <c r="W351" i="29"/>
  <c r="U351" i="29"/>
  <c r="R351" i="29"/>
  <c r="L351" i="29"/>
  <c r="K351" i="29"/>
  <c r="AT343" i="29"/>
  <c r="AS343" i="29"/>
  <c r="AR343" i="29"/>
  <c r="AQ343" i="29"/>
  <c r="AP343" i="29"/>
  <c r="AO343" i="29"/>
  <c r="AN343" i="29"/>
  <c r="AM343" i="29"/>
  <c r="D343" i="30" s="1"/>
  <c r="AL343" i="29"/>
  <c r="AK343" i="29"/>
  <c r="AJ343" i="29"/>
  <c r="AI343" i="29"/>
  <c r="AG343" i="29"/>
  <c r="AF343" i="29"/>
  <c r="AC343" i="29"/>
  <c r="AD343" i="29" s="1"/>
  <c r="AA343" i="29"/>
  <c r="AB343" i="29" s="1"/>
  <c r="Y343" i="29"/>
  <c r="W343" i="29"/>
  <c r="U343" i="29"/>
  <c r="R343" i="29"/>
  <c r="L343" i="29"/>
  <c r="K343" i="29"/>
  <c r="AT341" i="29"/>
  <c r="AS341" i="29"/>
  <c r="AR341" i="29"/>
  <c r="AQ341" i="29"/>
  <c r="AP341" i="29"/>
  <c r="AO341" i="29"/>
  <c r="AN341" i="29"/>
  <c r="AM341" i="29"/>
  <c r="D341" i="30" s="1"/>
  <c r="AL341" i="29"/>
  <c r="AK341" i="29"/>
  <c r="AJ341" i="29"/>
  <c r="AI341" i="29"/>
  <c r="AG341" i="29"/>
  <c r="AF341" i="29"/>
  <c r="AC341" i="29"/>
  <c r="AD341" i="29" s="1"/>
  <c r="AA341" i="29"/>
  <c r="B341" i="30" s="1"/>
  <c r="C341" i="30" s="1"/>
  <c r="Y341" i="29"/>
  <c r="W341" i="29"/>
  <c r="U341" i="29"/>
  <c r="R341" i="29"/>
  <c r="L341" i="29"/>
  <c r="K341" i="29"/>
  <c r="AT339" i="29"/>
  <c r="AS339" i="29"/>
  <c r="AR339" i="29"/>
  <c r="AQ339" i="29"/>
  <c r="AP339" i="29"/>
  <c r="AO339" i="29"/>
  <c r="AN339" i="29"/>
  <c r="AM339" i="29"/>
  <c r="D339" i="30" s="1"/>
  <c r="AL339" i="29"/>
  <c r="AK339" i="29"/>
  <c r="AJ339" i="29"/>
  <c r="AI339" i="29"/>
  <c r="AG339" i="29"/>
  <c r="AF339" i="29"/>
  <c r="AC339" i="29"/>
  <c r="AD339" i="29" s="1"/>
  <c r="AA339" i="29"/>
  <c r="B339" i="30" s="1"/>
  <c r="C339" i="30" s="1"/>
  <c r="Y339" i="29"/>
  <c r="W339" i="29"/>
  <c r="U339" i="29"/>
  <c r="R339" i="29"/>
  <c r="L339" i="29"/>
  <c r="K339" i="29"/>
  <c r="AT337" i="29"/>
  <c r="AS337" i="29"/>
  <c r="AR337" i="29"/>
  <c r="AQ337" i="29"/>
  <c r="AP337" i="29"/>
  <c r="AO337" i="29"/>
  <c r="AN337" i="29"/>
  <c r="AM337" i="29"/>
  <c r="D337" i="30" s="1"/>
  <c r="AL337" i="29"/>
  <c r="AK337" i="29"/>
  <c r="AJ337" i="29"/>
  <c r="AI337" i="29"/>
  <c r="AG337" i="29"/>
  <c r="AF337" i="29"/>
  <c r="AC337" i="29"/>
  <c r="AD337" i="29" s="1"/>
  <c r="AA337" i="29"/>
  <c r="B337" i="30" s="1"/>
  <c r="C337" i="30" s="1"/>
  <c r="Y337" i="29"/>
  <c r="W337" i="29"/>
  <c r="U337" i="29"/>
  <c r="R337" i="29"/>
  <c r="L337" i="29"/>
  <c r="K337" i="29"/>
  <c r="AG335" i="29"/>
  <c r="AF335" i="29"/>
  <c r="AA335" i="29"/>
  <c r="AB335" i="29" s="1"/>
  <c r="W335" i="29"/>
  <c r="U335" i="29"/>
  <c r="R335" i="29"/>
  <c r="L335" i="29"/>
  <c r="K335" i="29"/>
  <c r="AZ334" i="29"/>
  <c r="AY334" i="29"/>
  <c r="AX334" i="29"/>
  <c r="AW334" i="29"/>
  <c r="AV334" i="29"/>
  <c r="AG333" i="29"/>
  <c r="AF333" i="29"/>
  <c r="AA333" i="29"/>
  <c r="B333" i="30" s="1"/>
  <c r="C333" i="30" s="1"/>
  <c r="W333" i="29"/>
  <c r="U333" i="29"/>
  <c r="R333" i="29"/>
  <c r="L333" i="29"/>
  <c r="K333" i="29"/>
  <c r="AY332" i="29"/>
  <c r="AX332" i="29"/>
  <c r="AW332" i="29"/>
  <c r="AV332" i="29"/>
  <c r="AG331" i="29"/>
  <c r="AF331" i="29"/>
  <c r="AA331" i="29"/>
  <c r="B331" i="30" s="1"/>
  <c r="C331" i="30" s="1"/>
  <c r="W331" i="29"/>
  <c r="U331" i="29"/>
  <c r="R331" i="29"/>
  <c r="L331" i="29"/>
  <c r="K331" i="29"/>
  <c r="AY330" i="29"/>
  <c r="AX330" i="29"/>
  <c r="AW330" i="29"/>
  <c r="AV330" i="29"/>
  <c r="AG329" i="29"/>
  <c r="AF329" i="29"/>
  <c r="AA329" i="29"/>
  <c r="AB329" i="29" s="1"/>
  <c r="W329" i="29"/>
  <c r="U329" i="29"/>
  <c r="R329" i="29"/>
  <c r="L329" i="29"/>
  <c r="K329" i="29"/>
  <c r="AY328" i="29"/>
  <c r="AX328" i="29"/>
  <c r="AW328" i="29"/>
  <c r="AV328" i="29"/>
  <c r="AG327" i="29"/>
  <c r="AF327" i="29"/>
  <c r="AA327" i="29"/>
  <c r="B327" i="30" s="1"/>
  <c r="C327" i="30" s="1"/>
  <c r="W327" i="29"/>
  <c r="U327" i="29"/>
  <c r="R327" i="29"/>
  <c r="L327" i="29"/>
  <c r="K327" i="29"/>
  <c r="AY326" i="29"/>
  <c r="AX326" i="29"/>
  <c r="AW326" i="29"/>
  <c r="AV326" i="29"/>
  <c r="AG325" i="29"/>
  <c r="AF325" i="29"/>
  <c r="AA325" i="29"/>
  <c r="AB325" i="29" s="1"/>
  <c r="W325" i="29"/>
  <c r="U325" i="29"/>
  <c r="R325" i="29"/>
  <c r="L325" i="29"/>
  <c r="K325" i="29"/>
  <c r="AY324" i="29"/>
  <c r="AX324" i="29"/>
  <c r="AW324" i="29"/>
  <c r="AV324" i="29"/>
  <c r="AG323" i="29"/>
  <c r="AF323" i="29"/>
  <c r="AA323" i="29"/>
  <c r="B323" i="30" s="1"/>
  <c r="C323" i="30" s="1"/>
  <c r="W323" i="29"/>
  <c r="U323" i="29"/>
  <c r="R323" i="29"/>
  <c r="L323" i="29"/>
  <c r="K323" i="29"/>
  <c r="AY322" i="29"/>
  <c r="AX322" i="29"/>
  <c r="AW322" i="29"/>
  <c r="AV322" i="29"/>
  <c r="Y323" i="29" s="1"/>
  <c r="AT313" i="29"/>
  <c r="AS313" i="29"/>
  <c r="AR313" i="29"/>
  <c r="AQ313" i="29"/>
  <c r="AP313" i="29"/>
  <c r="AO313" i="29"/>
  <c r="AN313" i="29"/>
  <c r="AM313" i="29"/>
  <c r="D313" i="30" s="1"/>
  <c r="AL313" i="29"/>
  <c r="AK313" i="29"/>
  <c r="AJ313" i="29"/>
  <c r="AI313" i="29"/>
  <c r="AG313" i="29"/>
  <c r="AF313" i="29"/>
  <c r="AC313" i="29"/>
  <c r="AD313" i="29" s="1"/>
  <c r="AA313" i="29"/>
  <c r="B313" i="30" s="1"/>
  <c r="C313" i="30" s="1"/>
  <c r="Y313" i="29"/>
  <c r="W313" i="29"/>
  <c r="U313" i="29"/>
  <c r="R313" i="29"/>
  <c r="L313" i="29"/>
  <c r="K313" i="29"/>
  <c r="AT311" i="29"/>
  <c r="AS311" i="29"/>
  <c r="AR311" i="29"/>
  <c r="AQ311" i="29"/>
  <c r="AP311" i="29"/>
  <c r="AO311" i="29"/>
  <c r="AN311" i="29"/>
  <c r="AM311" i="29"/>
  <c r="D311" i="30" s="1"/>
  <c r="AL311" i="29"/>
  <c r="AK311" i="29"/>
  <c r="AJ311" i="29"/>
  <c r="AI311" i="29"/>
  <c r="AG311" i="29"/>
  <c r="AF311" i="29"/>
  <c r="AC311" i="29"/>
  <c r="AD311" i="29" s="1"/>
  <c r="AA311" i="29"/>
  <c r="AB311" i="29" s="1"/>
  <c r="Y311" i="29"/>
  <c r="W311" i="29"/>
  <c r="U311" i="29"/>
  <c r="R311" i="29"/>
  <c r="L311" i="29"/>
  <c r="K311" i="29"/>
  <c r="AT309" i="29"/>
  <c r="AS309" i="29"/>
  <c r="AR309" i="29"/>
  <c r="AQ309" i="29"/>
  <c r="AP309" i="29"/>
  <c r="AO309" i="29"/>
  <c r="AN309" i="29"/>
  <c r="AM309" i="29"/>
  <c r="D309" i="30" s="1"/>
  <c r="AL309" i="29"/>
  <c r="AK309" i="29"/>
  <c r="AJ309" i="29"/>
  <c r="AI309" i="29"/>
  <c r="AG309" i="29"/>
  <c r="AF309" i="29"/>
  <c r="AC309" i="29"/>
  <c r="AD309" i="29" s="1"/>
  <c r="AA309" i="29"/>
  <c r="B309" i="30" s="1"/>
  <c r="C309" i="30" s="1"/>
  <c r="Y309" i="29"/>
  <c r="W309" i="29"/>
  <c r="U309" i="29"/>
  <c r="R309" i="29"/>
  <c r="L309" i="29"/>
  <c r="K309" i="29"/>
  <c r="AT307" i="29"/>
  <c r="AS307" i="29"/>
  <c r="AR307" i="29"/>
  <c r="AQ307" i="29"/>
  <c r="AP307" i="29"/>
  <c r="AO307" i="29"/>
  <c r="AN307" i="29"/>
  <c r="AM307" i="29"/>
  <c r="D307" i="30" s="1"/>
  <c r="AL307" i="29"/>
  <c r="AK307" i="29"/>
  <c r="AJ307" i="29"/>
  <c r="AI307" i="29"/>
  <c r="AG307" i="29"/>
  <c r="AF307" i="29"/>
  <c r="AC307" i="29"/>
  <c r="AD307" i="29" s="1"/>
  <c r="AA307" i="29"/>
  <c r="B307" i="30" s="1"/>
  <c r="C307" i="30" s="1"/>
  <c r="Y307" i="29"/>
  <c r="W307" i="29"/>
  <c r="U307" i="29"/>
  <c r="R307" i="29"/>
  <c r="L307" i="29"/>
  <c r="K307" i="29"/>
  <c r="AT305" i="29"/>
  <c r="AS305" i="29"/>
  <c r="AR305" i="29"/>
  <c r="AQ305" i="29"/>
  <c r="AP305" i="29"/>
  <c r="AO305" i="29"/>
  <c r="AN305" i="29"/>
  <c r="AM305" i="29"/>
  <c r="D305" i="30" s="1"/>
  <c r="AL305" i="29"/>
  <c r="AK305" i="29"/>
  <c r="AJ305" i="29"/>
  <c r="AI305" i="29"/>
  <c r="AG305" i="29"/>
  <c r="AF305" i="29"/>
  <c r="AC305" i="29"/>
  <c r="AD305" i="29" s="1"/>
  <c r="AA305" i="29"/>
  <c r="AB305" i="29" s="1"/>
  <c r="Y305" i="29"/>
  <c r="W305" i="29"/>
  <c r="U305" i="29"/>
  <c r="R305" i="29"/>
  <c r="L305" i="29"/>
  <c r="K305" i="29"/>
  <c r="AG303" i="29"/>
  <c r="AF303" i="29"/>
  <c r="AB303" i="29"/>
  <c r="W303" i="29"/>
  <c r="U303" i="29"/>
  <c r="R303" i="29"/>
  <c r="L303" i="29"/>
  <c r="K303" i="29"/>
  <c r="AY302" i="29"/>
  <c r="AX302" i="29"/>
  <c r="AW302" i="29"/>
  <c r="AV302" i="29"/>
  <c r="AT301" i="29"/>
  <c r="AS301" i="29"/>
  <c r="AR301" i="29"/>
  <c r="AQ301" i="29"/>
  <c r="AP301" i="29"/>
  <c r="AO301" i="29"/>
  <c r="AN301" i="29"/>
  <c r="AM301" i="29"/>
  <c r="D301" i="30" s="1"/>
  <c r="AL301" i="29"/>
  <c r="AK301" i="29"/>
  <c r="AJ301" i="29"/>
  <c r="AI301" i="29"/>
  <c r="AG301" i="29"/>
  <c r="AF301" i="29"/>
  <c r="AC301" i="29"/>
  <c r="AD301" i="29" s="1"/>
  <c r="AA301" i="29"/>
  <c r="B301" i="30" s="1"/>
  <c r="C301" i="30" s="1"/>
  <c r="Y301" i="29"/>
  <c r="W301" i="29"/>
  <c r="U301" i="29"/>
  <c r="R301" i="29"/>
  <c r="L301" i="29"/>
  <c r="K301" i="29"/>
  <c r="AT299" i="29"/>
  <c r="AS299" i="29"/>
  <c r="AR299" i="29"/>
  <c r="AQ299" i="29"/>
  <c r="AP299" i="29"/>
  <c r="AO299" i="29"/>
  <c r="AN299" i="29"/>
  <c r="AM299" i="29"/>
  <c r="D299" i="30" s="1"/>
  <c r="AL299" i="29"/>
  <c r="AK299" i="29"/>
  <c r="AJ299" i="29"/>
  <c r="AI299" i="29"/>
  <c r="AG299" i="29"/>
  <c r="AF299" i="29"/>
  <c r="AC299" i="29"/>
  <c r="AD299" i="29" s="1"/>
  <c r="AA299" i="29"/>
  <c r="B299" i="30" s="1"/>
  <c r="C299" i="30" s="1"/>
  <c r="Y299" i="29"/>
  <c r="W299" i="29"/>
  <c r="U299" i="29"/>
  <c r="R299" i="29"/>
  <c r="L299" i="29"/>
  <c r="K299" i="29"/>
  <c r="AG297" i="29"/>
  <c r="AF297" i="29"/>
  <c r="AB297" i="29"/>
  <c r="W297" i="29"/>
  <c r="U297" i="29"/>
  <c r="R297" i="29"/>
  <c r="L297" i="29"/>
  <c r="K297" i="29"/>
  <c r="AZ296" i="29"/>
  <c r="AY296" i="29"/>
  <c r="AX296" i="29"/>
  <c r="AW296" i="29"/>
  <c r="AV296" i="29"/>
  <c r="Y297" i="29" s="1"/>
  <c r="AE297" i="29" s="1"/>
  <c r="AG295" i="29"/>
  <c r="AF295" i="29"/>
  <c r="AB295" i="29"/>
  <c r="W295" i="29"/>
  <c r="U295" i="29"/>
  <c r="R295" i="29"/>
  <c r="L295" i="29"/>
  <c r="K295" i="29"/>
  <c r="AZ294" i="29"/>
  <c r="AY294" i="29"/>
  <c r="AX294" i="29"/>
  <c r="AW294" i="29"/>
  <c r="AV294" i="29"/>
  <c r="AG293" i="29"/>
  <c r="AF293" i="29"/>
  <c r="AB293" i="29"/>
  <c r="W293" i="29"/>
  <c r="U293" i="29"/>
  <c r="R293" i="29"/>
  <c r="L293" i="29"/>
  <c r="K293" i="29"/>
  <c r="AZ292" i="29"/>
  <c r="AY292" i="29"/>
  <c r="AX292" i="29"/>
  <c r="AW292" i="29"/>
  <c r="AV292" i="29"/>
  <c r="AG291" i="29"/>
  <c r="AF291" i="29"/>
  <c r="AB291" i="29"/>
  <c r="W291" i="29"/>
  <c r="U291" i="29"/>
  <c r="R291" i="29"/>
  <c r="L291" i="29"/>
  <c r="K291" i="29"/>
  <c r="AZ290" i="29"/>
  <c r="AY290" i="29"/>
  <c r="AX290" i="29"/>
  <c r="AW290" i="29"/>
  <c r="AV290" i="29"/>
  <c r="AG289" i="29"/>
  <c r="AF289" i="29"/>
  <c r="AB289" i="29"/>
  <c r="W289" i="29"/>
  <c r="U289" i="29"/>
  <c r="R289" i="29"/>
  <c r="L289" i="29"/>
  <c r="K289" i="29"/>
  <c r="AZ288" i="29"/>
  <c r="AY288" i="29"/>
  <c r="AX288" i="29"/>
  <c r="AW288" i="29"/>
  <c r="AV288" i="29"/>
  <c r="AG285" i="29"/>
  <c r="AF285" i="29"/>
  <c r="AA285" i="29"/>
  <c r="B285" i="30" s="1"/>
  <c r="C285" i="30" s="1"/>
  <c r="Y285" i="29"/>
  <c r="W285" i="29"/>
  <c r="U285" i="29"/>
  <c r="R285" i="29"/>
  <c r="L285" i="29"/>
  <c r="K285" i="29"/>
  <c r="AY284" i="29"/>
  <c r="AX284" i="29"/>
  <c r="AW284" i="29"/>
  <c r="AT283" i="29"/>
  <c r="AS283" i="29"/>
  <c r="AR283" i="29"/>
  <c r="AQ283" i="29"/>
  <c r="AP283" i="29"/>
  <c r="AO283" i="29"/>
  <c r="AN283" i="29"/>
  <c r="AM283" i="29"/>
  <c r="D283" i="30" s="1"/>
  <c r="AL283" i="29"/>
  <c r="AK283" i="29"/>
  <c r="AJ283" i="29"/>
  <c r="AI283" i="29"/>
  <c r="AG283" i="29"/>
  <c r="AF283" i="29"/>
  <c r="AC283" i="29"/>
  <c r="AD283" i="29" s="1"/>
  <c r="AB283" i="29"/>
  <c r="Y283" i="29"/>
  <c r="AE283" i="29" s="1"/>
  <c r="W283" i="29"/>
  <c r="U283" i="29"/>
  <c r="R283" i="29"/>
  <c r="L283" i="29"/>
  <c r="K283" i="29"/>
  <c r="AT281" i="29"/>
  <c r="AS281" i="29"/>
  <c r="AR281" i="29"/>
  <c r="AQ281" i="29"/>
  <c r="AP281" i="29"/>
  <c r="AO281" i="29"/>
  <c r="AN281" i="29"/>
  <c r="AM281" i="29"/>
  <c r="D281" i="30" s="1"/>
  <c r="AL281" i="29"/>
  <c r="AK281" i="29"/>
  <c r="AJ281" i="29"/>
  <c r="AI281" i="29"/>
  <c r="AG281" i="29"/>
  <c r="AF281" i="29"/>
  <c r="AC281" i="29"/>
  <c r="AD281" i="29" s="1"/>
  <c r="AB281" i="29"/>
  <c r="Y281" i="29"/>
  <c r="AE281" i="29" s="1"/>
  <c r="W281" i="29"/>
  <c r="U281" i="29"/>
  <c r="R281" i="29"/>
  <c r="L281" i="29"/>
  <c r="K281" i="29"/>
  <c r="AG279" i="29"/>
  <c r="AF279" i="29"/>
  <c r="AB279" i="29"/>
  <c r="W279" i="29"/>
  <c r="U279" i="29"/>
  <c r="R279" i="29"/>
  <c r="L279" i="29"/>
  <c r="K279" i="29"/>
  <c r="BA278" i="29"/>
  <c r="AZ278" i="29"/>
  <c r="AY278" i="29"/>
  <c r="AX278" i="29"/>
  <c r="AW278" i="29"/>
  <c r="AV278" i="29"/>
  <c r="AG277" i="29"/>
  <c r="AF277" i="29"/>
  <c r="AB277" i="29"/>
  <c r="W277" i="29"/>
  <c r="U277" i="29"/>
  <c r="R277" i="29"/>
  <c r="L277" i="29"/>
  <c r="K277" i="29"/>
  <c r="BA276" i="29"/>
  <c r="AZ276" i="29"/>
  <c r="AY276" i="29"/>
  <c r="AX276" i="29"/>
  <c r="AW276" i="29"/>
  <c r="AV276" i="29"/>
  <c r="Y277" i="29" s="1"/>
  <c r="AE277" i="29" s="1"/>
  <c r="AT273" i="29"/>
  <c r="AS273" i="29"/>
  <c r="AR273" i="29"/>
  <c r="AQ273" i="29"/>
  <c r="AP273" i="29"/>
  <c r="AO273" i="29"/>
  <c r="AN273" i="29"/>
  <c r="AM273" i="29"/>
  <c r="D273" i="30" s="1"/>
  <c r="AL273" i="29"/>
  <c r="AK273" i="29"/>
  <c r="AJ273" i="29"/>
  <c r="AI273" i="29"/>
  <c r="AG273" i="29"/>
  <c r="AF273" i="29"/>
  <c r="AC273" i="29"/>
  <c r="AD273" i="29" s="1"/>
  <c r="AB273" i="29"/>
  <c r="Y273" i="29"/>
  <c r="AE273" i="29" s="1"/>
  <c r="W273" i="29"/>
  <c r="U273" i="29"/>
  <c r="R273" i="29"/>
  <c r="L273" i="29"/>
  <c r="K273" i="29"/>
  <c r="AT271" i="29"/>
  <c r="AS271" i="29"/>
  <c r="AR271" i="29"/>
  <c r="AQ271" i="29"/>
  <c r="AP271" i="29"/>
  <c r="AO271" i="29"/>
  <c r="AN271" i="29"/>
  <c r="AM271" i="29"/>
  <c r="D271" i="30" s="1"/>
  <c r="AL271" i="29"/>
  <c r="AK271" i="29"/>
  <c r="AJ271" i="29"/>
  <c r="AI271" i="29"/>
  <c r="AG271" i="29"/>
  <c r="AF271" i="29"/>
  <c r="AC271" i="29"/>
  <c r="AD271" i="29" s="1"/>
  <c r="AB271" i="29"/>
  <c r="Y271" i="29"/>
  <c r="AE271" i="29" s="1"/>
  <c r="W271" i="29"/>
  <c r="U271" i="29"/>
  <c r="R271" i="29"/>
  <c r="L271" i="29"/>
  <c r="K271" i="29"/>
  <c r="AG249" i="29"/>
  <c r="AF249" i="29"/>
  <c r="AA249" i="29"/>
  <c r="AB249" i="29" s="1"/>
  <c r="W249" i="29"/>
  <c r="U249" i="29"/>
  <c r="R249" i="29"/>
  <c r="L249" i="29"/>
  <c r="K249" i="29"/>
  <c r="BI248" i="29"/>
  <c r="BH248" i="29"/>
  <c r="BG248" i="29"/>
  <c r="BF248" i="29"/>
  <c r="BE248" i="29"/>
  <c r="BD248" i="29"/>
  <c r="BC248" i="29"/>
  <c r="BB248" i="29"/>
  <c r="BA248" i="29"/>
  <c r="AZ248" i="29"/>
  <c r="AY248" i="29"/>
  <c r="AX248" i="29"/>
  <c r="AW248" i="29"/>
  <c r="AV248" i="29"/>
  <c r="AG247" i="29"/>
  <c r="AF247" i="29"/>
  <c r="AA247" i="29"/>
  <c r="AB247" i="29" s="1"/>
  <c r="W247" i="29"/>
  <c r="U247" i="29"/>
  <c r="R247" i="29"/>
  <c r="L247" i="29"/>
  <c r="K247" i="29"/>
  <c r="BI246" i="29"/>
  <c r="BH246" i="29"/>
  <c r="BG246" i="29"/>
  <c r="BF246" i="29"/>
  <c r="BE246" i="29"/>
  <c r="BD246" i="29"/>
  <c r="BC246" i="29"/>
  <c r="BB246" i="29"/>
  <c r="BA246" i="29"/>
  <c r="AZ246" i="29"/>
  <c r="AY246" i="29"/>
  <c r="AX246" i="29"/>
  <c r="AW246" i="29"/>
  <c r="AV246" i="29"/>
  <c r="AG245" i="29"/>
  <c r="AF245" i="29"/>
  <c r="AB245" i="29"/>
  <c r="Y245" i="29"/>
  <c r="AE245" i="29" s="1"/>
  <c r="W245" i="29"/>
  <c r="U245" i="29"/>
  <c r="R245" i="29"/>
  <c r="L245" i="29"/>
  <c r="K245" i="29"/>
  <c r="BC244" i="29"/>
  <c r="BB244" i="29"/>
  <c r="BA244" i="29"/>
  <c r="AZ244" i="29"/>
  <c r="AY244" i="29"/>
  <c r="AX244" i="29"/>
  <c r="AW244" i="29"/>
  <c r="AG227" i="29"/>
  <c r="AF227" i="29"/>
  <c r="AA227" i="29"/>
  <c r="AB227" i="29" s="1"/>
  <c r="Y227" i="29"/>
  <c r="W227" i="29"/>
  <c r="U227" i="29"/>
  <c r="R227" i="29"/>
  <c r="L227" i="29"/>
  <c r="K227" i="29"/>
  <c r="AW226" i="29"/>
  <c r="AX226" i="29" s="1"/>
  <c r="AG225" i="29"/>
  <c r="AF225" i="29"/>
  <c r="AA225" i="29"/>
  <c r="B225" i="30" s="1"/>
  <c r="C225" i="30" s="1"/>
  <c r="Y225" i="29"/>
  <c r="W225" i="29"/>
  <c r="U225" i="29"/>
  <c r="R225" i="29"/>
  <c r="L225" i="29"/>
  <c r="K225" i="29"/>
  <c r="AW224" i="29"/>
  <c r="AX224" i="29" s="1"/>
  <c r="AG223" i="29"/>
  <c r="AF223" i="29"/>
  <c r="AA223" i="29"/>
  <c r="AB223" i="29" s="1"/>
  <c r="Y223" i="29"/>
  <c r="W223" i="29"/>
  <c r="U223" i="29"/>
  <c r="R223" i="29"/>
  <c r="L223" i="29"/>
  <c r="K223" i="29"/>
  <c r="AW222" i="29"/>
  <c r="AX222" i="29" s="1"/>
  <c r="AG221" i="29"/>
  <c r="AF221" i="29"/>
  <c r="AA221" i="29"/>
  <c r="AB221" i="29" s="1"/>
  <c r="Y221" i="29"/>
  <c r="W221" i="29"/>
  <c r="U221" i="29"/>
  <c r="R221" i="29"/>
  <c r="L221" i="29"/>
  <c r="K221" i="29"/>
  <c r="AW220" i="29"/>
  <c r="AX220" i="29" s="1"/>
  <c r="AG219" i="29"/>
  <c r="AF219" i="29"/>
  <c r="AA219" i="29"/>
  <c r="B219" i="30" s="1"/>
  <c r="C219" i="30" s="1"/>
  <c r="Y219" i="29"/>
  <c r="W219" i="29"/>
  <c r="U219" i="29"/>
  <c r="R219" i="29"/>
  <c r="L219" i="29"/>
  <c r="K219" i="29"/>
  <c r="AW218" i="29"/>
  <c r="AX218" i="29" s="1"/>
  <c r="AG217" i="29"/>
  <c r="AF217" i="29"/>
  <c r="AA217" i="29"/>
  <c r="B217" i="30" s="1"/>
  <c r="C217" i="30" s="1"/>
  <c r="Y217" i="29"/>
  <c r="W217" i="29"/>
  <c r="U217" i="29"/>
  <c r="R217" i="29"/>
  <c r="L217" i="29"/>
  <c r="K217" i="29"/>
  <c r="AW216" i="29"/>
  <c r="AX216" i="29" s="1"/>
  <c r="AG215" i="29"/>
  <c r="AF215" i="29"/>
  <c r="AA215" i="29"/>
  <c r="AB215" i="29" s="1"/>
  <c r="Y215" i="29"/>
  <c r="W215" i="29"/>
  <c r="U215" i="29"/>
  <c r="R215" i="29"/>
  <c r="L215" i="29"/>
  <c r="K215" i="29"/>
  <c r="AW214" i="29"/>
  <c r="AX214" i="29" s="1"/>
  <c r="AG203" i="29"/>
  <c r="AF203" i="29"/>
  <c r="AB203" i="29"/>
  <c r="Y203" i="29"/>
  <c r="AE203" i="29" s="1"/>
  <c r="W203" i="29"/>
  <c r="U203" i="29"/>
  <c r="R203" i="29"/>
  <c r="L203" i="29"/>
  <c r="K203" i="29"/>
  <c r="AY202" i="29"/>
  <c r="AX202" i="29"/>
  <c r="AW202" i="29"/>
  <c r="AG201" i="29"/>
  <c r="AF201" i="29"/>
  <c r="AB201" i="29"/>
  <c r="Y201" i="29"/>
  <c r="AE201" i="29" s="1"/>
  <c r="W201" i="29"/>
  <c r="U201" i="29"/>
  <c r="R201" i="29"/>
  <c r="L201" i="29"/>
  <c r="K201" i="29"/>
  <c r="AY200" i="29"/>
  <c r="AX200" i="29"/>
  <c r="AW200" i="29"/>
  <c r="AG199" i="29"/>
  <c r="AF199" i="29"/>
  <c r="AB199" i="29"/>
  <c r="Y199" i="29"/>
  <c r="AE199" i="29" s="1"/>
  <c r="W199" i="29"/>
  <c r="U199" i="29"/>
  <c r="R199" i="29"/>
  <c r="L199" i="29"/>
  <c r="K199" i="29"/>
  <c r="AY198" i="29"/>
  <c r="AX198" i="29"/>
  <c r="AW198" i="29"/>
  <c r="AG197" i="29"/>
  <c r="AF197" i="29"/>
  <c r="AA197" i="29"/>
  <c r="AB197" i="29" s="1"/>
  <c r="Y197" i="29"/>
  <c r="W197" i="29"/>
  <c r="U197" i="29"/>
  <c r="R197" i="29"/>
  <c r="L197" i="29"/>
  <c r="K197" i="29"/>
  <c r="AX196" i="29"/>
  <c r="AW196" i="29"/>
  <c r="AG195" i="29"/>
  <c r="AF195" i="29"/>
  <c r="AA195" i="29"/>
  <c r="B195" i="30" s="1"/>
  <c r="C195" i="30" s="1"/>
  <c r="Y195" i="29"/>
  <c r="W195" i="29"/>
  <c r="U195" i="29"/>
  <c r="R195" i="29"/>
  <c r="L195" i="29"/>
  <c r="K195" i="29"/>
  <c r="AX194" i="29"/>
  <c r="AW194" i="29"/>
  <c r="AG193" i="29"/>
  <c r="AF193" i="29"/>
  <c r="AA193" i="29"/>
  <c r="B193" i="30" s="1"/>
  <c r="C193" i="30" s="1"/>
  <c r="Y193" i="29"/>
  <c r="W193" i="29"/>
  <c r="U193" i="29"/>
  <c r="R193" i="29"/>
  <c r="L193" i="29"/>
  <c r="K193" i="29"/>
  <c r="AX192" i="29"/>
  <c r="AW192" i="29"/>
  <c r="AG191" i="29"/>
  <c r="AF191" i="29"/>
  <c r="AA191" i="29"/>
  <c r="AB191" i="29" s="1"/>
  <c r="Y191" i="29"/>
  <c r="W191" i="29"/>
  <c r="U191" i="29"/>
  <c r="R191" i="29"/>
  <c r="L191" i="29"/>
  <c r="K191" i="29"/>
  <c r="AX190" i="29"/>
  <c r="AW190" i="29"/>
  <c r="AG189" i="29"/>
  <c r="AF189" i="29"/>
  <c r="AA189" i="29"/>
  <c r="AB189" i="29" s="1"/>
  <c r="W189" i="29"/>
  <c r="U189" i="29"/>
  <c r="R189" i="29"/>
  <c r="L189" i="29"/>
  <c r="K189" i="29"/>
  <c r="BG188" i="29"/>
  <c r="BF188" i="29"/>
  <c r="BE188" i="29"/>
  <c r="BD188" i="29"/>
  <c r="BC188" i="29"/>
  <c r="BB188" i="29"/>
  <c r="BA188" i="29"/>
  <c r="AZ188" i="29"/>
  <c r="AY188" i="29"/>
  <c r="AX188" i="29"/>
  <c r="AW188" i="29"/>
  <c r="AV188" i="29"/>
  <c r="AG187" i="29"/>
  <c r="AF187" i="29"/>
  <c r="AA187" i="29"/>
  <c r="AB187" i="29" s="1"/>
  <c r="W187" i="29"/>
  <c r="U187" i="29"/>
  <c r="R187" i="29"/>
  <c r="L187" i="29"/>
  <c r="K187" i="29"/>
  <c r="BG186" i="29"/>
  <c r="BF186" i="29"/>
  <c r="BE186" i="29"/>
  <c r="BD186" i="29"/>
  <c r="BC186" i="29"/>
  <c r="BB186" i="29"/>
  <c r="BA186" i="29"/>
  <c r="AZ186" i="29"/>
  <c r="AY186" i="29"/>
  <c r="AX186" i="29"/>
  <c r="AW186" i="29"/>
  <c r="AV186" i="29"/>
  <c r="AG185" i="29"/>
  <c r="AF185" i="29"/>
  <c r="AA185" i="29"/>
  <c r="B185" i="30" s="1"/>
  <c r="C185" i="30" s="1"/>
  <c r="W185" i="29"/>
  <c r="U185" i="29"/>
  <c r="R185" i="29"/>
  <c r="L185" i="29"/>
  <c r="K185" i="29"/>
  <c r="BG184" i="29"/>
  <c r="BF184" i="29"/>
  <c r="BE184" i="29"/>
  <c r="BD184" i="29"/>
  <c r="BC184" i="29"/>
  <c r="BB184" i="29"/>
  <c r="BA184" i="29"/>
  <c r="AZ184" i="29"/>
  <c r="AY184" i="29"/>
  <c r="AX184" i="29"/>
  <c r="AW184" i="29"/>
  <c r="AV184" i="29"/>
  <c r="AG183" i="29"/>
  <c r="AF183" i="29"/>
  <c r="AA183" i="29"/>
  <c r="B183" i="30" s="1"/>
  <c r="C183" i="30" s="1"/>
  <c r="W183" i="29"/>
  <c r="U183" i="29"/>
  <c r="R183" i="29"/>
  <c r="L183" i="29"/>
  <c r="K183" i="29"/>
  <c r="BG182" i="29"/>
  <c r="BF182" i="29"/>
  <c r="BE182" i="29"/>
  <c r="BD182" i="29"/>
  <c r="BC182" i="29"/>
  <c r="BB182" i="29"/>
  <c r="BA182" i="29"/>
  <c r="AZ182" i="29"/>
  <c r="AY182" i="29"/>
  <c r="AX182" i="29"/>
  <c r="AW182" i="29"/>
  <c r="AV182" i="29"/>
  <c r="AT181" i="29"/>
  <c r="AS181" i="29"/>
  <c r="AR181" i="29"/>
  <c r="AQ181" i="29"/>
  <c r="AP181" i="29"/>
  <c r="AO181" i="29"/>
  <c r="AN181" i="29"/>
  <c r="AM181" i="29"/>
  <c r="D181" i="30" s="1"/>
  <c r="AL181" i="29"/>
  <c r="AK181" i="29"/>
  <c r="AJ181" i="29"/>
  <c r="AI181" i="29"/>
  <c r="AG181" i="29"/>
  <c r="AF181" i="29"/>
  <c r="AC181" i="29"/>
  <c r="AD181" i="29" s="1"/>
  <c r="AA181" i="29"/>
  <c r="B181" i="30" s="1"/>
  <c r="C181" i="30" s="1"/>
  <c r="Y181" i="29"/>
  <c r="W181" i="29"/>
  <c r="U181" i="29"/>
  <c r="R181" i="29"/>
  <c r="L181" i="29"/>
  <c r="K181" i="29"/>
  <c r="AT179" i="29"/>
  <c r="AS179" i="29"/>
  <c r="AR179" i="29"/>
  <c r="AQ179" i="29"/>
  <c r="AP179" i="29"/>
  <c r="AO179" i="29"/>
  <c r="AN179" i="29"/>
  <c r="AM179" i="29"/>
  <c r="D179" i="30" s="1"/>
  <c r="AL179" i="29"/>
  <c r="AK179" i="29"/>
  <c r="AJ179" i="29"/>
  <c r="AI179" i="29"/>
  <c r="AG179" i="29"/>
  <c r="AF179" i="29"/>
  <c r="AC179" i="29"/>
  <c r="AD179" i="29" s="1"/>
  <c r="AA179" i="29"/>
  <c r="B179" i="30" s="1"/>
  <c r="C179" i="30" s="1"/>
  <c r="Y179" i="29"/>
  <c r="W179" i="29"/>
  <c r="U179" i="29"/>
  <c r="R179" i="29"/>
  <c r="L179" i="29"/>
  <c r="K179" i="29"/>
  <c r="AT177" i="29"/>
  <c r="AS177" i="29"/>
  <c r="AR177" i="29"/>
  <c r="AQ177" i="29"/>
  <c r="AP177" i="29"/>
  <c r="AO177" i="29"/>
  <c r="AN177" i="29"/>
  <c r="AM177" i="29"/>
  <c r="D177" i="30" s="1"/>
  <c r="AL177" i="29"/>
  <c r="AK177" i="29"/>
  <c r="AJ177" i="29"/>
  <c r="AI177" i="29"/>
  <c r="AG177" i="29"/>
  <c r="AF177" i="29"/>
  <c r="AC177" i="29"/>
  <c r="AD177" i="29" s="1"/>
  <c r="AA177" i="29"/>
  <c r="AB177" i="29" s="1"/>
  <c r="Y177" i="29"/>
  <c r="W177" i="29"/>
  <c r="U177" i="29"/>
  <c r="R177" i="29"/>
  <c r="L177" i="29"/>
  <c r="K177" i="29"/>
  <c r="AT175" i="29"/>
  <c r="AS175" i="29"/>
  <c r="AR175" i="29"/>
  <c r="AQ175" i="29"/>
  <c r="AP175" i="29"/>
  <c r="AO175" i="29"/>
  <c r="AN175" i="29"/>
  <c r="AM175" i="29"/>
  <c r="AL175" i="29"/>
  <c r="AK175" i="29"/>
  <c r="AJ175" i="29"/>
  <c r="AI175" i="29"/>
  <c r="AG175" i="29"/>
  <c r="AF175" i="29"/>
  <c r="AC175" i="29"/>
  <c r="AD175" i="29" s="1"/>
  <c r="AA175" i="29"/>
  <c r="B175" i="30" s="1"/>
  <c r="C175" i="30" s="1"/>
  <c r="Y175" i="29"/>
  <c r="W175" i="29"/>
  <c r="U175" i="29"/>
  <c r="R175" i="29"/>
  <c r="L175" i="29"/>
  <c r="K175" i="29"/>
  <c r="AG173" i="29"/>
  <c r="AF173" i="29"/>
  <c r="AA173" i="29"/>
  <c r="B173" i="30" s="1"/>
  <c r="C173" i="30" s="1"/>
  <c r="Y173" i="29"/>
  <c r="W173" i="29"/>
  <c r="U173" i="29"/>
  <c r="R173" i="29"/>
  <c r="L173" i="29"/>
  <c r="K173" i="29"/>
  <c r="AW172" i="29"/>
  <c r="AY172" i="29" s="1"/>
  <c r="AG171" i="29"/>
  <c r="AF171" i="29"/>
  <c r="AA171" i="29"/>
  <c r="AB171" i="29" s="1"/>
  <c r="Y171" i="29"/>
  <c r="W171" i="29"/>
  <c r="U171" i="29"/>
  <c r="R171" i="29"/>
  <c r="L171" i="29"/>
  <c r="K171" i="29"/>
  <c r="AW170" i="29"/>
  <c r="AG169" i="29"/>
  <c r="AF169" i="29"/>
  <c r="AA169" i="29"/>
  <c r="B169" i="30" s="1"/>
  <c r="C169" i="30" s="1"/>
  <c r="Y169" i="29"/>
  <c r="W169" i="29"/>
  <c r="U169" i="29"/>
  <c r="R169" i="29"/>
  <c r="L169" i="29"/>
  <c r="K169" i="29"/>
  <c r="AW168" i="29"/>
  <c r="BA168" i="29" s="1"/>
  <c r="AG167" i="29"/>
  <c r="AF167" i="29"/>
  <c r="AB167" i="29"/>
  <c r="W167" i="29"/>
  <c r="U167" i="29"/>
  <c r="R167" i="29"/>
  <c r="L167" i="29"/>
  <c r="K167" i="29"/>
  <c r="AY166" i="29"/>
  <c r="AX166" i="29"/>
  <c r="AW166" i="29"/>
  <c r="AV166" i="29"/>
  <c r="AG165" i="29"/>
  <c r="AF165" i="29"/>
  <c r="AB165" i="29"/>
  <c r="W165" i="29"/>
  <c r="U165" i="29"/>
  <c r="R165" i="29"/>
  <c r="L165" i="29"/>
  <c r="K165" i="29"/>
  <c r="AY164" i="29"/>
  <c r="AX164" i="29"/>
  <c r="AW164" i="29"/>
  <c r="AV164" i="29"/>
  <c r="Y165" i="29" s="1"/>
  <c r="AE165" i="29" s="1"/>
  <c r="AG163" i="29"/>
  <c r="AF163" i="29"/>
  <c r="AB163" i="29"/>
  <c r="W163" i="29"/>
  <c r="U163" i="29"/>
  <c r="R163" i="29"/>
  <c r="L163" i="29"/>
  <c r="K163" i="29"/>
  <c r="AY162" i="29"/>
  <c r="AX162" i="29"/>
  <c r="AW162" i="29"/>
  <c r="AV162" i="29"/>
  <c r="AG161" i="29"/>
  <c r="AF161" i="29"/>
  <c r="AB161" i="29"/>
  <c r="W161" i="29"/>
  <c r="U161" i="29"/>
  <c r="R161" i="29"/>
  <c r="L161" i="29"/>
  <c r="K161" i="29"/>
  <c r="AY160" i="29"/>
  <c r="AX160" i="29"/>
  <c r="AW160" i="29"/>
  <c r="AV160" i="29"/>
  <c r="AG159" i="29"/>
  <c r="AF159" i="29"/>
  <c r="AB159" i="29"/>
  <c r="W159" i="29"/>
  <c r="U159" i="29"/>
  <c r="R159" i="29"/>
  <c r="L159" i="29"/>
  <c r="K159" i="29"/>
  <c r="AY158" i="29"/>
  <c r="AX158" i="29"/>
  <c r="AW158" i="29"/>
  <c r="AV158" i="29"/>
  <c r="AG157" i="29"/>
  <c r="AF157" i="29"/>
  <c r="AB157" i="29"/>
  <c r="W157" i="29"/>
  <c r="U157" i="29"/>
  <c r="R157" i="29"/>
  <c r="L157" i="29"/>
  <c r="K157" i="29"/>
  <c r="AY156" i="29"/>
  <c r="AX156" i="29"/>
  <c r="AW156" i="29"/>
  <c r="AV156" i="29"/>
  <c r="AG155" i="29"/>
  <c r="AF155" i="29"/>
  <c r="AB155" i="29"/>
  <c r="W155" i="29"/>
  <c r="U155" i="29"/>
  <c r="R155" i="29"/>
  <c r="L155" i="29"/>
  <c r="K155" i="29"/>
  <c r="AY154" i="29"/>
  <c r="AX154" i="29"/>
  <c r="AW154" i="29"/>
  <c r="AV154" i="29"/>
  <c r="AG153" i="29"/>
  <c r="AF153" i="29"/>
  <c r="AB153" i="29"/>
  <c r="W153" i="29"/>
  <c r="U153" i="29"/>
  <c r="R153" i="29"/>
  <c r="L153" i="29"/>
  <c r="K153" i="29"/>
  <c r="AY152" i="29"/>
  <c r="AX152" i="29"/>
  <c r="AW152" i="29"/>
  <c r="AV152" i="29"/>
  <c r="AG151" i="29"/>
  <c r="AF151" i="29"/>
  <c r="AB151" i="29"/>
  <c r="W151" i="29"/>
  <c r="U151" i="29"/>
  <c r="R151" i="29"/>
  <c r="L151" i="29"/>
  <c r="K151" i="29"/>
  <c r="AY150" i="29"/>
  <c r="AX150" i="29"/>
  <c r="AW150" i="29"/>
  <c r="AV150" i="29"/>
  <c r="AG149" i="29"/>
  <c r="AF149" i="29"/>
  <c r="AB149" i="29"/>
  <c r="W149" i="29"/>
  <c r="U149" i="29"/>
  <c r="R149" i="29"/>
  <c r="L149" i="29"/>
  <c r="K149" i="29"/>
  <c r="AY148" i="29"/>
  <c r="AX148" i="29"/>
  <c r="AW148" i="29"/>
  <c r="AV148" i="29"/>
  <c r="Y149" i="29" s="1"/>
  <c r="AE149" i="29" s="1"/>
  <c r="BE147" i="29"/>
  <c r="BD147" i="29"/>
  <c r="BC147" i="29"/>
  <c r="BB147" i="29"/>
  <c r="BA147" i="29"/>
  <c r="AZ147" i="29"/>
  <c r="AY147" i="29"/>
  <c r="AX147" i="29"/>
  <c r="AW147" i="29"/>
  <c r="AV147" i="29"/>
  <c r="AF147" i="29" s="1"/>
  <c r="AA147" i="29"/>
  <c r="AB147" i="29" s="1"/>
  <c r="W147" i="29"/>
  <c r="U147" i="29"/>
  <c r="R147" i="29"/>
  <c r="L147" i="29"/>
  <c r="K147" i="29"/>
  <c r="BE146" i="29"/>
  <c r="BD146" i="29"/>
  <c r="BC146" i="29"/>
  <c r="BB146" i="29"/>
  <c r="BA146" i="29"/>
  <c r="AZ146" i="29"/>
  <c r="AY146" i="29"/>
  <c r="AX146" i="29"/>
  <c r="AW146" i="29"/>
  <c r="AV146" i="29"/>
  <c r="Y147" i="29" s="1"/>
  <c r="BE145" i="29"/>
  <c r="BD145" i="29"/>
  <c r="BC145" i="29"/>
  <c r="BB145" i="29"/>
  <c r="BA145" i="29"/>
  <c r="AZ145" i="29"/>
  <c r="AY145" i="29"/>
  <c r="AX145" i="29"/>
  <c r="AW145" i="29"/>
  <c r="AV145" i="29"/>
  <c r="AF145" i="29" s="1"/>
  <c r="AA145" i="29"/>
  <c r="AB145" i="29" s="1"/>
  <c r="W145" i="29"/>
  <c r="U145" i="29"/>
  <c r="R145" i="29"/>
  <c r="L145" i="29"/>
  <c r="K145" i="29"/>
  <c r="BE144" i="29"/>
  <c r="BD144" i="29"/>
  <c r="BC144" i="29"/>
  <c r="BB144" i="29"/>
  <c r="BA144" i="29"/>
  <c r="AZ144" i="29"/>
  <c r="AY144" i="29"/>
  <c r="AX144" i="29"/>
  <c r="AW144" i="29"/>
  <c r="AV144" i="29"/>
  <c r="Y145" i="29" s="1"/>
  <c r="AG143" i="29"/>
  <c r="AF143" i="29"/>
  <c r="AA143" i="29"/>
  <c r="AB143" i="29" s="1"/>
  <c r="W143" i="29"/>
  <c r="U143" i="29"/>
  <c r="R143" i="29"/>
  <c r="L143" i="29"/>
  <c r="K143" i="29"/>
  <c r="BA142" i="29"/>
  <c r="AZ142" i="29"/>
  <c r="AY142" i="29"/>
  <c r="AX142" i="29"/>
  <c r="AW142" i="29"/>
  <c r="AV142" i="29"/>
  <c r="Y143" i="29" s="1"/>
  <c r="AG141" i="29"/>
  <c r="AF141" i="29"/>
  <c r="AA141" i="29"/>
  <c r="AB141" i="29" s="1"/>
  <c r="W141" i="29"/>
  <c r="U141" i="29"/>
  <c r="R141" i="29"/>
  <c r="L141" i="29"/>
  <c r="K141" i="29"/>
  <c r="BA140" i="29"/>
  <c r="AZ140" i="29"/>
  <c r="AY140" i="29"/>
  <c r="AX140" i="29"/>
  <c r="AW140" i="29"/>
  <c r="AV140" i="29"/>
  <c r="Y141" i="29" s="1"/>
  <c r="AG139" i="29"/>
  <c r="AF139" i="29"/>
  <c r="AA139" i="29"/>
  <c r="AB139" i="29" s="1"/>
  <c r="W139" i="29"/>
  <c r="U139" i="29"/>
  <c r="R139" i="29"/>
  <c r="L139" i="29"/>
  <c r="K139" i="29"/>
  <c r="BA138" i="29"/>
  <c r="AZ138" i="29"/>
  <c r="AY138" i="29"/>
  <c r="AX138" i="29"/>
  <c r="AW138" i="29"/>
  <c r="AV138" i="29"/>
  <c r="AG137" i="29"/>
  <c r="AF137" i="29"/>
  <c r="AA137" i="29"/>
  <c r="B137" i="30" s="1"/>
  <c r="C137" i="30" s="1"/>
  <c r="W137" i="29"/>
  <c r="U137" i="29"/>
  <c r="R137" i="29"/>
  <c r="L137" i="29"/>
  <c r="K137" i="29"/>
  <c r="BA136" i="29"/>
  <c r="AZ136" i="29"/>
  <c r="AY136" i="29"/>
  <c r="AX136" i="29"/>
  <c r="AW136" i="29"/>
  <c r="AV136" i="29"/>
  <c r="AG135" i="29"/>
  <c r="AF135" i="29"/>
  <c r="AA135" i="29"/>
  <c r="AB135" i="29" s="1"/>
  <c r="W135" i="29"/>
  <c r="U135" i="29"/>
  <c r="R135" i="29"/>
  <c r="L135" i="29"/>
  <c r="K135" i="29"/>
  <c r="BA134" i="29"/>
  <c r="AZ134" i="29"/>
  <c r="AY134" i="29"/>
  <c r="AX134" i="29"/>
  <c r="AW134" i="29"/>
  <c r="AV134" i="29"/>
  <c r="AG133" i="29"/>
  <c r="AF133" i="29"/>
  <c r="AA133" i="29"/>
  <c r="AB133" i="29" s="1"/>
  <c r="W133" i="29"/>
  <c r="U133" i="29"/>
  <c r="R133" i="29"/>
  <c r="L133" i="29"/>
  <c r="K133" i="29"/>
  <c r="BA132" i="29"/>
  <c r="AZ132" i="29"/>
  <c r="AY132" i="29"/>
  <c r="AX132" i="29"/>
  <c r="AW132" i="29"/>
  <c r="AV132" i="29"/>
  <c r="AG127" i="29"/>
  <c r="AF127" i="29"/>
  <c r="AB127" i="29"/>
  <c r="W127" i="29"/>
  <c r="U127" i="29"/>
  <c r="R127" i="29"/>
  <c r="L127" i="29"/>
  <c r="K127" i="29"/>
  <c r="AX126" i="29"/>
  <c r="AW126" i="29"/>
  <c r="AV126" i="29"/>
  <c r="AG125" i="29"/>
  <c r="AF125" i="29"/>
  <c r="AB125" i="29"/>
  <c r="W125" i="29"/>
  <c r="U125" i="29"/>
  <c r="R125" i="29"/>
  <c r="L125" i="29"/>
  <c r="K125" i="29"/>
  <c r="AY124" i="29"/>
  <c r="AX124" i="29"/>
  <c r="AW124" i="29"/>
  <c r="AV124" i="29"/>
  <c r="AG123" i="29"/>
  <c r="AF123" i="29"/>
  <c r="AB123" i="29"/>
  <c r="W123" i="29"/>
  <c r="U123" i="29"/>
  <c r="R123" i="29"/>
  <c r="L123" i="29"/>
  <c r="K123" i="29"/>
  <c r="AX122" i="29"/>
  <c r="AW122" i="29"/>
  <c r="AV122" i="29"/>
  <c r="AG121" i="29"/>
  <c r="AF121" i="29"/>
  <c r="AB121" i="29"/>
  <c r="W121" i="29"/>
  <c r="U121" i="29"/>
  <c r="R121" i="29"/>
  <c r="L121" i="29"/>
  <c r="K121" i="29"/>
  <c r="AY120" i="29"/>
  <c r="AX120" i="29"/>
  <c r="AW120" i="29"/>
  <c r="AV120" i="29"/>
  <c r="AG119" i="29"/>
  <c r="AF119" i="29"/>
  <c r="AB119" i="29"/>
  <c r="W119" i="29"/>
  <c r="U119" i="29"/>
  <c r="R119" i="29"/>
  <c r="L119" i="29"/>
  <c r="K119" i="29"/>
  <c r="AY118" i="29"/>
  <c r="AX118" i="29"/>
  <c r="AW118" i="29"/>
  <c r="AV118" i="29"/>
  <c r="AG117" i="29"/>
  <c r="AF117" i="29"/>
  <c r="AB117" i="29"/>
  <c r="W117" i="29"/>
  <c r="U117" i="29"/>
  <c r="R117" i="29"/>
  <c r="L117" i="29"/>
  <c r="K117" i="29"/>
  <c r="AX116" i="29"/>
  <c r="AW116" i="29"/>
  <c r="AV116" i="29"/>
  <c r="AG115" i="29"/>
  <c r="AF115" i="29"/>
  <c r="AB115" i="29"/>
  <c r="W115" i="29"/>
  <c r="U115" i="29"/>
  <c r="R115" i="29"/>
  <c r="L115" i="29"/>
  <c r="K115" i="29"/>
  <c r="AY114" i="29"/>
  <c r="AX114" i="29"/>
  <c r="AW114" i="29"/>
  <c r="AV114" i="29"/>
  <c r="Y115" i="29" s="1"/>
  <c r="AE115" i="29" s="1"/>
  <c r="AG113" i="29"/>
  <c r="AF113" i="29"/>
  <c r="AB113" i="29"/>
  <c r="W113" i="29"/>
  <c r="U113" i="29"/>
  <c r="R113" i="29"/>
  <c r="L113" i="29"/>
  <c r="K113" i="29"/>
  <c r="AZ112" i="29"/>
  <c r="AY112" i="29"/>
  <c r="AX112" i="29"/>
  <c r="AW112" i="29"/>
  <c r="AV112" i="29"/>
  <c r="AG111" i="29"/>
  <c r="AF111" i="29"/>
  <c r="AB111" i="29"/>
  <c r="W111" i="29"/>
  <c r="U111" i="29"/>
  <c r="R111" i="29"/>
  <c r="L111" i="29"/>
  <c r="K111" i="29"/>
  <c r="AZ110" i="29"/>
  <c r="AY110" i="29"/>
  <c r="AX110" i="29"/>
  <c r="AW110" i="29"/>
  <c r="AV110" i="29"/>
  <c r="AG109" i="29"/>
  <c r="AF109" i="29"/>
  <c r="AA109" i="29"/>
  <c r="B109" i="30" s="1"/>
  <c r="C109" i="30" s="1"/>
  <c r="W109" i="29"/>
  <c r="U109" i="29"/>
  <c r="R109" i="29"/>
  <c r="L109" i="29"/>
  <c r="K109" i="29"/>
  <c r="BE108" i="29"/>
  <c r="BD108" i="29"/>
  <c r="BC108" i="29"/>
  <c r="BB108" i="29"/>
  <c r="BA108" i="29"/>
  <c r="AZ108" i="29"/>
  <c r="AY108" i="29"/>
  <c r="AX108" i="29"/>
  <c r="AW108" i="29"/>
  <c r="AV108" i="29"/>
  <c r="AT103" i="29"/>
  <c r="AS103" i="29"/>
  <c r="AR103" i="29"/>
  <c r="AQ103" i="29"/>
  <c r="AP103" i="29"/>
  <c r="AO103" i="29"/>
  <c r="AN103" i="29"/>
  <c r="AM103" i="29"/>
  <c r="D103" i="30" s="1"/>
  <c r="AL103" i="29"/>
  <c r="AK103" i="29"/>
  <c r="AJ103" i="29"/>
  <c r="AI103" i="29"/>
  <c r="AG103" i="29"/>
  <c r="AF103" i="29"/>
  <c r="AC103" i="29"/>
  <c r="AD103" i="29" s="1"/>
  <c r="AA103" i="29"/>
  <c r="B103" i="30" s="1"/>
  <c r="C103" i="30" s="1"/>
  <c r="Y103" i="29"/>
  <c r="W103" i="29"/>
  <c r="U103" i="29"/>
  <c r="R103" i="29"/>
  <c r="L103" i="29"/>
  <c r="K103" i="29"/>
  <c r="AT101" i="29"/>
  <c r="AS101" i="29"/>
  <c r="AR101" i="29"/>
  <c r="AQ101" i="29"/>
  <c r="AP101" i="29"/>
  <c r="AO101" i="29"/>
  <c r="AN101" i="29"/>
  <c r="AM101" i="29"/>
  <c r="D101" i="30" s="1"/>
  <c r="AL101" i="29"/>
  <c r="AK101" i="29"/>
  <c r="AJ101" i="29"/>
  <c r="AI101" i="29"/>
  <c r="AG101" i="29"/>
  <c r="AF101" i="29"/>
  <c r="AC101" i="29"/>
  <c r="AD101" i="29" s="1"/>
  <c r="AA101" i="29"/>
  <c r="B101" i="30" s="1"/>
  <c r="C101" i="30" s="1"/>
  <c r="Y101" i="29"/>
  <c r="W101" i="29"/>
  <c r="U101" i="29"/>
  <c r="R101" i="29"/>
  <c r="L101" i="29"/>
  <c r="K101" i="29"/>
  <c r="AT99" i="29"/>
  <c r="AS99" i="29"/>
  <c r="AR99" i="29"/>
  <c r="AQ99" i="29"/>
  <c r="AP99" i="29"/>
  <c r="AO99" i="29"/>
  <c r="AN99" i="29"/>
  <c r="AM99" i="29"/>
  <c r="D99" i="30" s="1"/>
  <c r="AL99" i="29"/>
  <c r="AK99" i="29"/>
  <c r="AJ99" i="29"/>
  <c r="AI99" i="29"/>
  <c r="AG99" i="29"/>
  <c r="AF99" i="29"/>
  <c r="AC99" i="29"/>
  <c r="AD99" i="29" s="1"/>
  <c r="AA99" i="29"/>
  <c r="B99" i="30" s="1"/>
  <c r="C99" i="30" s="1"/>
  <c r="Y99" i="29"/>
  <c r="W99" i="29"/>
  <c r="U99" i="29"/>
  <c r="R99" i="29"/>
  <c r="L99" i="29"/>
  <c r="K99" i="29"/>
  <c r="AT97" i="29"/>
  <c r="AS97" i="29"/>
  <c r="AR97" i="29"/>
  <c r="AQ97" i="29"/>
  <c r="AP97" i="29"/>
  <c r="AO97" i="29"/>
  <c r="AN97" i="29"/>
  <c r="AM97" i="29"/>
  <c r="D97" i="30" s="1"/>
  <c r="AL97" i="29"/>
  <c r="AK97" i="29"/>
  <c r="AJ97" i="29"/>
  <c r="AI97" i="29"/>
  <c r="AG97" i="29"/>
  <c r="AF97" i="29"/>
  <c r="AC97" i="29"/>
  <c r="AD97" i="29" s="1"/>
  <c r="AA97" i="29"/>
  <c r="B97" i="30" s="1"/>
  <c r="C97" i="30" s="1"/>
  <c r="Y97" i="29"/>
  <c r="W97" i="29"/>
  <c r="U97" i="29"/>
  <c r="R97" i="29"/>
  <c r="L97" i="29"/>
  <c r="K97" i="29"/>
  <c r="AT95" i="29"/>
  <c r="AS95" i="29"/>
  <c r="AR95" i="29"/>
  <c r="AQ95" i="29"/>
  <c r="AP95" i="29"/>
  <c r="AO95" i="29"/>
  <c r="AN95" i="29"/>
  <c r="AM95" i="29"/>
  <c r="D95" i="30" s="1"/>
  <c r="AL95" i="29"/>
  <c r="AK95" i="29"/>
  <c r="AJ95" i="29"/>
  <c r="AI95" i="29"/>
  <c r="AG95" i="29"/>
  <c r="AF95" i="29"/>
  <c r="AC95" i="29"/>
  <c r="AD95" i="29" s="1"/>
  <c r="AA95" i="29"/>
  <c r="AB95" i="29" s="1"/>
  <c r="Y95" i="29"/>
  <c r="W95" i="29"/>
  <c r="U95" i="29"/>
  <c r="R95" i="29"/>
  <c r="L95" i="29"/>
  <c r="K95" i="29"/>
  <c r="AG93" i="29"/>
  <c r="AF93" i="29"/>
  <c r="AA93" i="29"/>
  <c r="B93" i="30" s="1"/>
  <c r="C93" i="30" s="1"/>
  <c r="W93" i="29"/>
  <c r="U93" i="29"/>
  <c r="R93" i="29"/>
  <c r="L93" i="29"/>
  <c r="K93" i="29"/>
  <c r="BA92" i="29"/>
  <c r="AZ92" i="29"/>
  <c r="AY92" i="29"/>
  <c r="AX92" i="29"/>
  <c r="AW92" i="29"/>
  <c r="AV92" i="29"/>
  <c r="Y93" i="29" s="1"/>
  <c r="BA91" i="29"/>
  <c r="AZ91" i="29"/>
  <c r="AY91" i="29"/>
  <c r="AX91" i="29"/>
  <c r="AW91" i="29"/>
  <c r="AV91" i="29"/>
  <c r="AF91" i="29" s="1"/>
  <c r="AA91" i="29"/>
  <c r="AB91" i="29" s="1"/>
  <c r="W91" i="29"/>
  <c r="U91" i="29"/>
  <c r="R91" i="29"/>
  <c r="L91" i="29"/>
  <c r="K91" i="29"/>
  <c r="BA90" i="29"/>
  <c r="AZ90" i="29"/>
  <c r="AY90" i="29"/>
  <c r="AX90" i="29"/>
  <c r="AW90" i="29"/>
  <c r="AV90" i="29"/>
  <c r="Y91" i="29" s="1"/>
  <c r="AG89" i="29"/>
  <c r="AF89" i="29"/>
  <c r="AA89" i="29"/>
  <c r="AB89" i="29" s="1"/>
  <c r="W89" i="29"/>
  <c r="U89" i="29"/>
  <c r="R89" i="29"/>
  <c r="L89" i="29"/>
  <c r="K89" i="29"/>
  <c r="AX88" i="29"/>
  <c r="AW88" i="29"/>
  <c r="AV88" i="29"/>
  <c r="AG87" i="29"/>
  <c r="AF87" i="29"/>
  <c r="AA87" i="29"/>
  <c r="B87" i="30" s="1"/>
  <c r="C87" i="30" s="1"/>
  <c r="W87" i="29"/>
  <c r="U87" i="29"/>
  <c r="R87" i="29"/>
  <c r="L87" i="29"/>
  <c r="K87" i="29"/>
  <c r="AX86" i="29"/>
  <c r="AW86" i="29"/>
  <c r="AV86" i="29"/>
  <c r="AG85" i="29"/>
  <c r="AF85" i="29"/>
  <c r="AA85" i="29"/>
  <c r="AB85" i="29" s="1"/>
  <c r="W85" i="29"/>
  <c r="U85" i="29"/>
  <c r="R85" i="29"/>
  <c r="L85" i="29"/>
  <c r="K85" i="29"/>
  <c r="AX84" i="29"/>
  <c r="AW84" i="29"/>
  <c r="AV84" i="29"/>
  <c r="AG83" i="29"/>
  <c r="AF83" i="29"/>
  <c r="AA83" i="29"/>
  <c r="AB83" i="29" s="1"/>
  <c r="W83" i="29"/>
  <c r="U83" i="29"/>
  <c r="R83" i="29"/>
  <c r="L83" i="29"/>
  <c r="K83" i="29"/>
  <c r="AX82" i="29"/>
  <c r="AW82" i="29"/>
  <c r="AV82" i="29"/>
  <c r="AG81" i="29"/>
  <c r="AF81" i="29"/>
  <c r="AA81" i="29"/>
  <c r="B81" i="30" s="1"/>
  <c r="C81" i="30" s="1"/>
  <c r="W81" i="29"/>
  <c r="U81" i="29"/>
  <c r="R81" i="29"/>
  <c r="L81" i="29"/>
  <c r="K81" i="29"/>
  <c r="AX80" i="29"/>
  <c r="AW80" i="29"/>
  <c r="AV80" i="29"/>
  <c r="AG79" i="29"/>
  <c r="AF79" i="29"/>
  <c r="AA79" i="29"/>
  <c r="AB79" i="29" s="1"/>
  <c r="W79" i="29"/>
  <c r="U79" i="29"/>
  <c r="R79" i="29"/>
  <c r="L79" i="29"/>
  <c r="K79" i="29"/>
  <c r="AX78" i="29"/>
  <c r="AW78" i="29"/>
  <c r="AV78" i="29"/>
  <c r="AG77" i="29"/>
  <c r="AF77" i="29"/>
  <c r="AA77" i="29"/>
  <c r="B77" i="30" s="1"/>
  <c r="C77" i="30" s="1"/>
  <c r="W77" i="29"/>
  <c r="U77" i="29"/>
  <c r="R77" i="29"/>
  <c r="L77" i="29"/>
  <c r="K77" i="29"/>
  <c r="AX76" i="29"/>
  <c r="AW76" i="29"/>
  <c r="AV76" i="29"/>
  <c r="AG75" i="29"/>
  <c r="AF75" i="29"/>
  <c r="AA75" i="29"/>
  <c r="AB75" i="29" s="1"/>
  <c r="W75" i="29"/>
  <c r="U75" i="29"/>
  <c r="R75" i="29"/>
  <c r="L75" i="29"/>
  <c r="K75" i="29"/>
  <c r="AX74" i="29"/>
  <c r="AW74" i="29"/>
  <c r="AV74" i="29"/>
  <c r="AG73" i="29"/>
  <c r="AF73" i="29"/>
  <c r="AA73" i="29"/>
  <c r="B73" i="30" s="1"/>
  <c r="C73" i="30" s="1"/>
  <c r="W73" i="29"/>
  <c r="U73" i="29"/>
  <c r="R73" i="29"/>
  <c r="L73" i="29"/>
  <c r="K73" i="29"/>
  <c r="AX72" i="29"/>
  <c r="AW72" i="29"/>
  <c r="AV72" i="29"/>
  <c r="AG71" i="29"/>
  <c r="AF71" i="29"/>
  <c r="AA71" i="29"/>
  <c r="AB71" i="29" s="1"/>
  <c r="W71" i="29"/>
  <c r="U71" i="29"/>
  <c r="R71" i="29"/>
  <c r="L71" i="29"/>
  <c r="K71" i="29"/>
  <c r="AX70" i="29"/>
  <c r="AW70" i="29"/>
  <c r="AV70" i="29"/>
  <c r="AG69" i="29"/>
  <c r="AF69" i="29"/>
  <c r="AA69" i="29"/>
  <c r="B69" i="30" s="1"/>
  <c r="C69" i="30" s="1"/>
  <c r="W69" i="29"/>
  <c r="U69" i="29"/>
  <c r="R69" i="29"/>
  <c r="L69" i="29"/>
  <c r="K69" i="29"/>
  <c r="AX68" i="29"/>
  <c r="AW68" i="29"/>
  <c r="AV68" i="29"/>
  <c r="AT67" i="29"/>
  <c r="AS67" i="29"/>
  <c r="AR67" i="29"/>
  <c r="AQ67" i="29"/>
  <c r="AP67" i="29"/>
  <c r="AO67" i="29"/>
  <c r="AN67" i="29"/>
  <c r="AM67" i="29"/>
  <c r="D67" i="30" s="1"/>
  <c r="AL67" i="29"/>
  <c r="AK67" i="29"/>
  <c r="AJ67" i="29"/>
  <c r="AI67" i="29"/>
  <c r="AG67" i="29"/>
  <c r="AF67" i="29"/>
  <c r="AC67" i="29"/>
  <c r="AD67" i="29" s="1"/>
  <c r="AA67" i="29"/>
  <c r="AB67" i="29" s="1"/>
  <c r="Y67" i="29"/>
  <c r="W67" i="29"/>
  <c r="U67" i="29"/>
  <c r="R67" i="29"/>
  <c r="L67" i="29"/>
  <c r="K67" i="29"/>
  <c r="AT65" i="29"/>
  <c r="AS65" i="29"/>
  <c r="AR65" i="29"/>
  <c r="AQ65" i="29"/>
  <c r="AP65" i="29"/>
  <c r="AO65" i="29"/>
  <c r="AN65" i="29"/>
  <c r="AM65" i="29"/>
  <c r="D65" i="30" s="1"/>
  <c r="AL65" i="29"/>
  <c r="AK65" i="29"/>
  <c r="AJ65" i="29"/>
  <c r="AI65" i="29"/>
  <c r="AG65" i="29"/>
  <c r="AF65" i="29"/>
  <c r="AC65" i="29"/>
  <c r="AD65" i="29" s="1"/>
  <c r="AA65" i="29"/>
  <c r="AB65" i="29" s="1"/>
  <c r="Y65" i="29"/>
  <c r="W65" i="29"/>
  <c r="U65" i="29"/>
  <c r="R65" i="29"/>
  <c r="L65" i="29"/>
  <c r="K65" i="29"/>
  <c r="AG63" i="29"/>
  <c r="AF63" i="29"/>
  <c r="AA63" i="29"/>
  <c r="B63" i="30" s="1"/>
  <c r="C63" i="30" s="1"/>
  <c r="W63" i="29"/>
  <c r="U63" i="29"/>
  <c r="R63" i="29"/>
  <c r="L63" i="29"/>
  <c r="K63" i="29"/>
  <c r="AZ62" i="29"/>
  <c r="AY62" i="29"/>
  <c r="AX62" i="29"/>
  <c r="AW62" i="29"/>
  <c r="AV62" i="29"/>
  <c r="Y63" i="29" s="1"/>
  <c r="AG61" i="29"/>
  <c r="AF61" i="29"/>
  <c r="AA61" i="29"/>
  <c r="AB61" i="29" s="1"/>
  <c r="W61" i="29"/>
  <c r="U61" i="29"/>
  <c r="R61" i="29"/>
  <c r="L61" i="29"/>
  <c r="K61" i="29"/>
  <c r="AZ60" i="29"/>
  <c r="AY60" i="29"/>
  <c r="AX60" i="29"/>
  <c r="AW60" i="29"/>
  <c r="AV60" i="29"/>
  <c r="AG59" i="29"/>
  <c r="AF59" i="29"/>
  <c r="AB59" i="29"/>
  <c r="Y59" i="29"/>
  <c r="AE59" i="29" s="1"/>
  <c r="W59" i="29"/>
  <c r="U59" i="29"/>
  <c r="R59" i="29"/>
  <c r="L59" i="29"/>
  <c r="K59" i="29"/>
  <c r="BD58" i="29"/>
  <c r="BC58" i="29"/>
  <c r="BB58" i="29"/>
  <c r="BA58" i="29"/>
  <c r="AZ58" i="29"/>
  <c r="AY58" i="29"/>
  <c r="AX58" i="29"/>
  <c r="AW58" i="29"/>
  <c r="AG57" i="29"/>
  <c r="AF57" i="29"/>
  <c r="AB57" i="29"/>
  <c r="Y57" i="29"/>
  <c r="AE57" i="29" s="1"/>
  <c r="W57" i="29"/>
  <c r="U57" i="29"/>
  <c r="R57" i="29"/>
  <c r="L57" i="29"/>
  <c r="K57" i="29"/>
  <c r="BD56" i="29"/>
  <c r="BC56" i="29"/>
  <c r="BB56" i="29"/>
  <c r="BA56" i="29"/>
  <c r="AZ56" i="29"/>
  <c r="AY56" i="29"/>
  <c r="AX56" i="29"/>
  <c r="AW56" i="29"/>
  <c r="AG55" i="29"/>
  <c r="AF55" i="29"/>
  <c r="AB55" i="29"/>
  <c r="Y55" i="29"/>
  <c r="AE55" i="29" s="1"/>
  <c r="W55" i="29"/>
  <c r="U55" i="29"/>
  <c r="R55" i="29"/>
  <c r="L55" i="29"/>
  <c r="K55" i="29"/>
  <c r="BD54" i="29"/>
  <c r="BC54" i="29"/>
  <c r="BB54" i="29"/>
  <c r="BA54" i="29"/>
  <c r="AZ54" i="29"/>
  <c r="AY54" i="29"/>
  <c r="AX54" i="29"/>
  <c r="AW54" i="29"/>
  <c r="AG53" i="29"/>
  <c r="AF53" i="29"/>
  <c r="AB53" i="29"/>
  <c r="Y53" i="29"/>
  <c r="AE53" i="29" s="1"/>
  <c r="W53" i="29"/>
  <c r="U53" i="29"/>
  <c r="R53" i="29"/>
  <c r="L53" i="29"/>
  <c r="K53" i="29"/>
  <c r="BD52" i="29"/>
  <c r="BC52" i="29"/>
  <c r="BB52" i="29"/>
  <c r="BA52" i="29"/>
  <c r="AZ52" i="29"/>
  <c r="AY52" i="29"/>
  <c r="AX52" i="29"/>
  <c r="AW52" i="29"/>
  <c r="AG51" i="29"/>
  <c r="AF51" i="29"/>
  <c r="AB51" i="29"/>
  <c r="Y51" i="29"/>
  <c r="AE51" i="29" s="1"/>
  <c r="W51" i="29"/>
  <c r="U51" i="29"/>
  <c r="R51" i="29"/>
  <c r="L51" i="29"/>
  <c r="K51" i="29"/>
  <c r="BD50" i="29"/>
  <c r="BC50" i="29"/>
  <c r="BB50" i="29"/>
  <c r="BA50" i="29"/>
  <c r="AZ50" i="29"/>
  <c r="AY50" i="29"/>
  <c r="AX50" i="29"/>
  <c r="AW50" i="29"/>
  <c r="AG49" i="29"/>
  <c r="AF49" i="29"/>
  <c r="AB49" i="29"/>
  <c r="Y49" i="29"/>
  <c r="AE49" i="29" s="1"/>
  <c r="W49" i="29"/>
  <c r="U49" i="29"/>
  <c r="R49" i="29"/>
  <c r="L49" i="29"/>
  <c r="K49" i="29"/>
  <c r="BD48" i="29"/>
  <c r="BC48" i="29"/>
  <c r="BB48" i="29"/>
  <c r="BA48" i="29"/>
  <c r="AZ48" i="29"/>
  <c r="AY48" i="29"/>
  <c r="AX48" i="29"/>
  <c r="AW48" i="29"/>
  <c r="AG47" i="29"/>
  <c r="AF47" i="29"/>
  <c r="AB47" i="29"/>
  <c r="W47" i="29"/>
  <c r="U47" i="29"/>
  <c r="R47" i="29"/>
  <c r="L47" i="29"/>
  <c r="K47" i="29"/>
  <c r="BD46" i="29"/>
  <c r="BC46" i="29"/>
  <c r="BB46" i="29"/>
  <c r="BA46" i="29"/>
  <c r="AZ46" i="29"/>
  <c r="AY46" i="29"/>
  <c r="AX46" i="29"/>
  <c r="AW46" i="29"/>
  <c r="AV46" i="29"/>
  <c r="Y47" i="29" s="1"/>
  <c r="AE47" i="29" s="1"/>
  <c r="AG45" i="29"/>
  <c r="AF45" i="29"/>
  <c r="AB45" i="29"/>
  <c r="W45" i="29"/>
  <c r="U45" i="29"/>
  <c r="R45" i="29"/>
  <c r="L45" i="29"/>
  <c r="K45" i="29"/>
  <c r="BD44" i="29"/>
  <c r="BC44" i="29"/>
  <c r="BB44" i="29"/>
  <c r="BA44" i="29"/>
  <c r="AZ44" i="29"/>
  <c r="AY44" i="29"/>
  <c r="AX44" i="29"/>
  <c r="AW44" i="29"/>
  <c r="AV44" i="29"/>
  <c r="AG43" i="29"/>
  <c r="AF43" i="29"/>
  <c r="AB43" i="29"/>
  <c r="W43" i="29"/>
  <c r="U43" i="29"/>
  <c r="R43" i="29"/>
  <c r="L43" i="29"/>
  <c r="K43" i="29"/>
  <c r="BD42" i="29"/>
  <c r="BC42" i="29"/>
  <c r="BB42" i="29"/>
  <c r="BA42" i="29"/>
  <c r="AZ42" i="29"/>
  <c r="AY42" i="29"/>
  <c r="AX42" i="29"/>
  <c r="AW42" i="29"/>
  <c r="AV42" i="29"/>
  <c r="Y43" i="29" s="1"/>
  <c r="AE43" i="29" s="1"/>
  <c r="AG41" i="29"/>
  <c r="AF41" i="29"/>
  <c r="AB41" i="29"/>
  <c r="W41" i="29"/>
  <c r="U41" i="29"/>
  <c r="R41" i="29"/>
  <c r="L41" i="29"/>
  <c r="K41" i="29"/>
  <c r="BD40" i="29"/>
  <c r="BC40" i="29"/>
  <c r="BB40" i="29"/>
  <c r="BA40" i="29"/>
  <c r="AZ40" i="29"/>
  <c r="AY40" i="29"/>
  <c r="AX40" i="29"/>
  <c r="AW40" i="29"/>
  <c r="AV40" i="29"/>
  <c r="Y41" i="29" s="1"/>
  <c r="AE41" i="29" s="1"/>
  <c r="AG39" i="29"/>
  <c r="AF39" i="29"/>
  <c r="AB39" i="29"/>
  <c r="W39" i="29"/>
  <c r="U39" i="29"/>
  <c r="R39" i="29"/>
  <c r="L39" i="29"/>
  <c r="K39" i="29"/>
  <c r="BD38" i="29"/>
  <c r="BC38" i="29"/>
  <c r="BB38" i="29"/>
  <c r="BA38" i="29"/>
  <c r="AZ38" i="29"/>
  <c r="AY38" i="29"/>
  <c r="AX38" i="29"/>
  <c r="AW38" i="29"/>
  <c r="AV38" i="29"/>
  <c r="AG37" i="29"/>
  <c r="AF37" i="29"/>
  <c r="AB37" i="29"/>
  <c r="W37" i="29"/>
  <c r="U37" i="29"/>
  <c r="R37" i="29"/>
  <c r="L37" i="29"/>
  <c r="K37" i="29"/>
  <c r="BD36" i="29"/>
  <c r="BC36" i="29"/>
  <c r="BB36" i="29"/>
  <c r="BA36" i="29"/>
  <c r="AZ36" i="29"/>
  <c r="AY36" i="29"/>
  <c r="AX36" i="29"/>
  <c r="AW36" i="29"/>
  <c r="AV36" i="29"/>
  <c r="AG35" i="29"/>
  <c r="AF35" i="29"/>
  <c r="AB35" i="29"/>
  <c r="W35" i="29"/>
  <c r="U35" i="29"/>
  <c r="R35" i="29"/>
  <c r="L35" i="29"/>
  <c r="K35" i="29"/>
  <c r="BD34" i="29"/>
  <c r="BC34" i="29"/>
  <c r="BB34" i="29"/>
  <c r="BA34" i="29"/>
  <c r="AZ34" i="29"/>
  <c r="AY34" i="29"/>
  <c r="AX34" i="29"/>
  <c r="AW34" i="29"/>
  <c r="AV34" i="29"/>
  <c r="AG33" i="29"/>
  <c r="AF33" i="29"/>
  <c r="AB33" i="29"/>
  <c r="W33" i="29"/>
  <c r="U33" i="29"/>
  <c r="R33" i="29"/>
  <c r="L33" i="29"/>
  <c r="K33" i="29"/>
  <c r="BD32" i="29"/>
  <c r="BC32" i="29"/>
  <c r="BB32" i="29"/>
  <c r="BA32" i="29"/>
  <c r="AZ32" i="29"/>
  <c r="AY32" i="29"/>
  <c r="AX32" i="29"/>
  <c r="AW32" i="29"/>
  <c r="AV32" i="29"/>
  <c r="AG31" i="29"/>
  <c r="AF31" i="29"/>
  <c r="AB31" i="29"/>
  <c r="W31" i="29"/>
  <c r="U31" i="29"/>
  <c r="R31" i="29"/>
  <c r="L31" i="29"/>
  <c r="K31" i="29"/>
  <c r="BD30" i="29"/>
  <c r="BC30" i="29"/>
  <c r="BB30" i="29"/>
  <c r="BA30" i="29"/>
  <c r="AZ30" i="29"/>
  <c r="AY30" i="29"/>
  <c r="AX30" i="29"/>
  <c r="AW30" i="29"/>
  <c r="AV30" i="29"/>
  <c r="AG29" i="29"/>
  <c r="AF29" i="29"/>
  <c r="AB29" i="29"/>
  <c r="W29" i="29"/>
  <c r="U29" i="29"/>
  <c r="R29" i="29"/>
  <c r="L29" i="29"/>
  <c r="K29" i="29"/>
  <c r="BD28" i="29"/>
  <c r="BC28" i="29"/>
  <c r="BB28" i="29"/>
  <c r="BA28" i="29"/>
  <c r="AZ28" i="29"/>
  <c r="AY28" i="29"/>
  <c r="AX28" i="29"/>
  <c r="AW28" i="29"/>
  <c r="AV28" i="29"/>
  <c r="Y29" i="29" s="1"/>
  <c r="AE29" i="29" s="1"/>
  <c r="AG27" i="29"/>
  <c r="AF27" i="29"/>
  <c r="AB27" i="29"/>
  <c r="W27" i="29"/>
  <c r="U27" i="29"/>
  <c r="R27" i="29"/>
  <c r="L27" i="29"/>
  <c r="K27" i="29"/>
  <c r="BD26" i="29"/>
  <c r="BC26" i="29"/>
  <c r="BB26" i="29"/>
  <c r="BA26" i="29"/>
  <c r="AZ26" i="29"/>
  <c r="AY26" i="29"/>
  <c r="AX26" i="29"/>
  <c r="AW26" i="29"/>
  <c r="AV26" i="29"/>
  <c r="AG25" i="29"/>
  <c r="AF25" i="29"/>
  <c r="AB25" i="29"/>
  <c r="W25" i="29"/>
  <c r="U25" i="29"/>
  <c r="R25" i="29"/>
  <c r="L25" i="29"/>
  <c r="K25" i="29"/>
  <c r="BD24" i="29"/>
  <c r="BC24" i="29"/>
  <c r="BB24" i="29"/>
  <c r="BA24" i="29"/>
  <c r="AZ24" i="29"/>
  <c r="AY24" i="29"/>
  <c r="AX24" i="29"/>
  <c r="AW24" i="29"/>
  <c r="AV24" i="29"/>
  <c r="Y25" i="29" s="1"/>
  <c r="AE25" i="29" s="1"/>
  <c r="AG23" i="29"/>
  <c r="AF23" i="29"/>
  <c r="AB23" i="29"/>
  <c r="W23" i="29"/>
  <c r="U23" i="29"/>
  <c r="R23" i="29"/>
  <c r="L23" i="29"/>
  <c r="K23" i="29"/>
  <c r="BD22" i="29"/>
  <c r="BC22" i="29"/>
  <c r="BB22" i="29"/>
  <c r="BA22" i="29"/>
  <c r="AZ22" i="29"/>
  <c r="AY22" i="29"/>
  <c r="AX22" i="29"/>
  <c r="AW22" i="29"/>
  <c r="AV22" i="29"/>
  <c r="AG21" i="29"/>
  <c r="AF21" i="29"/>
  <c r="AB21" i="29"/>
  <c r="W21" i="29"/>
  <c r="U21" i="29"/>
  <c r="R21" i="29"/>
  <c r="L21" i="29"/>
  <c r="K21" i="29"/>
  <c r="BD20" i="29"/>
  <c r="BC20" i="29"/>
  <c r="BB20" i="29"/>
  <c r="BA20" i="29"/>
  <c r="AZ20" i="29"/>
  <c r="AY20" i="29"/>
  <c r="AX20" i="29"/>
  <c r="AW20" i="29"/>
  <c r="AV20" i="29"/>
  <c r="AG19" i="29"/>
  <c r="AF19" i="29"/>
  <c r="AB19" i="29"/>
  <c r="W19" i="29"/>
  <c r="U19" i="29"/>
  <c r="R19" i="29"/>
  <c r="L19" i="29"/>
  <c r="K19" i="29"/>
  <c r="BD18" i="29"/>
  <c r="BC18" i="29"/>
  <c r="BB18" i="29"/>
  <c r="BA18" i="29"/>
  <c r="AZ18" i="29"/>
  <c r="AY18" i="29"/>
  <c r="AX18" i="29"/>
  <c r="AW18" i="29"/>
  <c r="AV18" i="29"/>
  <c r="Y19" i="29" s="1"/>
  <c r="AE19" i="29" s="1"/>
  <c r="AG17" i="29"/>
  <c r="AF17" i="29"/>
  <c r="AB17" i="29"/>
  <c r="W17" i="29"/>
  <c r="U17" i="29"/>
  <c r="R17" i="29"/>
  <c r="L17" i="29"/>
  <c r="K17" i="29"/>
  <c r="BC16" i="29"/>
  <c r="BD16" i="29" s="1"/>
  <c r="BE16" i="29" s="1"/>
  <c r="BB16" i="29"/>
  <c r="BA16" i="29"/>
  <c r="AZ16" i="29"/>
  <c r="AY16" i="29"/>
  <c r="AX16" i="29"/>
  <c r="AW16" i="29"/>
  <c r="AV16" i="29"/>
  <c r="AG15" i="29"/>
  <c r="AF15" i="29"/>
  <c r="AB15" i="29"/>
  <c r="W15" i="29"/>
  <c r="U15" i="29"/>
  <c r="R15" i="29"/>
  <c r="L15" i="29"/>
  <c r="K15" i="29"/>
  <c r="BC14" i="29"/>
  <c r="BD14" i="29" s="1"/>
  <c r="BE14" i="29" s="1"/>
  <c r="BB14" i="29"/>
  <c r="BA14" i="29"/>
  <c r="AZ14" i="29"/>
  <c r="AY14" i="29"/>
  <c r="AX14" i="29"/>
  <c r="AW14" i="29"/>
  <c r="AV14" i="29"/>
  <c r="Y15" i="29" s="1"/>
  <c r="AE15" i="29" s="1"/>
  <c r="AG13" i="29"/>
  <c r="AF13" i="29"/>
  <c r="AA13" i="29"/>
  <c r="B13" i="30" s="1"/>
  <c r="C13" i="30" s="1"/>
  <c r="W13" i="29"/>
  <c r="U13" i="29"/>
  <c r="R13" i="29"/>
  <c r="L13" i="29"/>
  <c r="K13" i="29"/>
  <c r="AX12" i="29"/>
  <c r="AW12" i="29"/>
  <c r="AV12" i="29"/>
  <c r="AG11" i="29"/>
  <c r="AF11" i="29"/>
  <c r="AA11" i="29"/>
  <c r="AB11" i="29" s="1"/>
  <c r="W11" i="29"/>
  <c r="U11" i="29"/>
  <c r="R11" i="29"/>
  <c r="L11" i="29"/>
  <c r="K11" i="29"/>
  <c r="AX10" i="29"/>
  <c r="AW10" i="29"/>
  <c r="AV10" i="29"/>
  <c r="AG9" i="29"/>
  <c r="AF9" i="29"/>
  <c r="AA9" i="29"/>
  <c r="B9" i="30" s="1"/>
  <c r="C9" i="30" s="1"/>
  <c r="W9" i="29"/>
  <c r="U9" i="29"/>
  <c r="R9" i="29"/>
  <c r="L9" i="29"/>
  <c r="K9" i="29"/>
  <c r="AX8" i="29"/>
  <c r="AW8" i="29"/>
  <c r="AV8" i="29"/>
  <c r="AG7" i="29"/>
  <c r="AF7" i="29"/>
  <c r="AA7" i="29"/>
  <c r="AB7" i="29" s="1"/>
  <c r="W7" i="29"/>
  <c r="U7" i="29"/>
  <c r="R7" i="29"/>
  <c r="L7" i="29"/>
  <c r="K7" i="29"/>
  <c r="AX6" i="29"/>
  <c r="AW6" i="29"/>
  <c r="AV6" i="29"/>
  <c r="AT5" i="29"/>
  <c r="AS5" i="29"/>
  <c r="AR5" i="29"/>
  <c r="AQ5" i="29"/>
  <c r="AP5" i="29"/>
  <c r="AO5" i="29"/>
  <c r="AN5" i="29"/>
  <c r="AM5" i="29"/>
  <c r="D5" i="30" s="1"/>
  <c r="AL5" i="29"/>
  <c r="AK5" i="29"/>
  <c r="AJ5" i="29"/>
  <c r="AI5" i="29"/>
  <c r="AG5" i="29"/>
  <c r="AF5" i="29"/>
  <c r="AC5" i="29"/>
  <c r="AD5" i="29" s="1"/>
  <c r="AA5" i="29"/>
  <c r="B5" i="30" s="1"/>
  <c r="C5" i="30" s="1"/>
  <c r="Y5" i="29"/>
  <c r="W5" i="29"/>
  <c r="U5" i="29"/>
  <c r="R5" i="29"/>
  <c r="L5" i="29"/>
  <c r="K5" i="29"/>
  <c r="AT3" i="29"/>
  <c r="AS3" i="29"/>
  <c r="AR3" i="29"/>
  <c r="AQ3" i="29"/>
  <c r="AP3" i="29"/>
  <c r="AO3" i="29"/>
  <c r="AN3" i="29"/>
  <c r="AM3" i="29"/>
  <c r="D3" i="30" s="1"/>
  <c r="AL3" i="29"/>
  <c r="AK3" i="29"/>
  <c r="AJ3" i="29"/>
  <c r="AI3" i="29"/>
  <c r="AG3" i="29"/>
  <c r="AF3" i="29"/>
  <c r="AC3" i="29"/>
  <c r="AD3" i="29" s="1"/>
  <c r="AA3" i="29"/>
  <c r="AB3" i="29" s="1"/>
  <c r="Y3" i="29"/>
  <c r="W3" i="29"/>
  <c r="U3" i="29"/>
  <c r="R3" i="29"/>
  <c r="L3" i="29"/>
  <c r="K3" i="29"/>
  <c r="B299" i="34" l="1"/>
  <c r="C299" i="34" s="1"/>
  <c r="B331" i="34"/>
  <c r="C331" i="34" s="1"/>
  <c r="B395" i="34"/>
  <c r="C395" i="34" s="1"/>
  <c r="B147" i="34"/>
  <c r="C147" i="34" s="1"/>
  <c r="B11" i="34"/>
  <c r="C11" i="34" s="1"/>
  <c r="B219" i="34"/>
  <c r="C219" i="34" s="1"/>
  <c r="B239" i="34"/>
  <c r="C239" i="34" s="1"/>
  <c r="B259" i="34"/>
  <c r="C259" i="34" s="1"/>
  <c r="B275" i="34"/>
  <c r="C275" i="34" s="1"/>
  <c r="B321" i="34"/>
  <c r="C321" i="34" s="1"/>
  <c r="B401" i="34"/>
  <c r="C401" i="34" s="1"/>
  <c r="B137" i="34"/>
  <c r="C137" i="34" s="1"/>
  <c r="B59" i="34"/>
  <c r="C59" i="34" s="1"/>
  <c r="B143" i="34"/>
  <c r="C143" i="34" s="1"/>
  <c r="B265" i="34"/>
  <c r="C265" i="34" s="1"/>
  <c r="B361" i="34"/>
  <c r="C361" i="34" s="1"/>
  <c r="B373" i="34"/>
  <c r="C373" i="34" s="1"/>
  <c r="B377" i="34"/>
  <c r="C377" i="34" s="1"/>
  <c r="B381" i="34"/>
  <c r="C381" i="34" s="1"/>
  <c r="B407" i="34"/>
  <c r="C407" i="34" s="1"/>
  <c r="B7" i="34"/>
  <c r="C7" i="34" s="1"/>
  <c r="B65" i="34"/>
  <c r="C65" i="34" s="1"/>
  <c r="B283" i="34"/>
  <c r="C283" i="34" s="1"/>
  <c r="B301" i="34"/>
  <c r="C301" i="34" s="1"/>
  <c r="B349" i="34"/>
  <c r="C349" i="34" s="1"/>
  <c r="B353" i="34"/>
  <c r="C353" i="34" s="1"/>
  <c r="B357" i="34"/>
  <c r="C357" i="34" s="1"/>
  <c r="D391" i="34"/>
  <c r="B397" i="34"/>
  <c r="C397" i="34" s="1"/>
  <c r="B13" i="34"/>
  <c r="C13" i="34" s="1"/>
  <c r="B103" i="34"/>
  <c r="C103" i="34" s="1"/>
  <c r="B203" i="34"/>
  <c r="C203" i="34" s="1"/>
  <c r="B261" i="34"/>
  <c r="C261" i="34" s="1"/>
  <c r="B277" i="34"/>
  <c r="C277" i="34" s="1"/>
  <c r="B289" i="34"/>
  <c r="C289" i="34" s="1"/>
  <c r="B323" i="34"/>
  <c r="C323" i="34" s="1"/>
  <c r="B3" i="34"/>
  <c r="C3" i="34" s="1"/>
  <c r="B61" i="34"/>
  <c r="C61" i="34" s="1"/>
  <c r="B145" i="34"/>
  <c r="C145" i="34" s="1"/>
  <c r="B231" i="34"/>
  <c r="C231" i="34" s="1"/>
  <c r="B297" i="34"/>
  <c r="C297" i="34" s="1"/>
  <c r="B313" i="34"/>
  <c r="C313" i="34" s="1"/>
  <c r="B393" i="34"/>
  <c r="C393" i="34" s="1"/>
  <c r="B409" i="34"/>
  <c r="C409" i="34" s="1"/>
  <c r="B9" i="34"/>
  <c r="C9" i="34" s="1"/>
  <c r="B67" i="34"/>
  <c r="C67" i="34" s="1"/>
  <c r="B189" i="34"/>
  <c r="C189" i="34" s="1"/>
  <c r="B217" i="34"/>
  <c r="C217" i="34" s="1"/>
  <c r="B251" i="34"/>
  <c r="C251" i="34" s="1"/>
  <c r="B273" i="34"/>
  <c r="C273" i="34" s="1"/>
  <c r="B285" i="34"/>
  <c r="C285" i="34" s="1"/>
  <c r="B335" i="34"/>
  <c r="C335" i="34" s="1"/>
  <c r="B363" i="34"/>
  <c r="C363" i="34" s="1"/>
  <c r="B375" i="34"/>
  <c r="C375" i="34" s="1"/>
  <c r="B379" i="34"/>
  <c r="C379" i="34" s="1"/>
  <c r="B399" i="34"/>
  <c r="C399" i="34" s="1"/>
  <c r="B105" i="34"/>
  <c r="C105" i="34" s="1"/>
  <c r="B131" i="34"/>
  <c r="C131" i="34" s="1"/>
  <c r="B195" i="34"/>
  <c r="C195" i="34" s="1"/>
  <c r="B205" i="34"/>
  <c r="C205" i="34" s="1"/>
  <c r="B263" i="34"/>
  <c r="C263" i="34" s="1"/>
  <c r="B279" i="34"/>
  <c r="C279" i="34" s="1"/>
  <c r="B325" i="34"/>
  <c r="C325" i="34" s="1"/>
  <c r="B351" i="34"/>
  <c r="C351" i="34" s="1"/>
  <c r="B355" i="34"/>
  <c r="C355" i="34" s="1"/>
  <c r="B359" i="34"/>
  <c r="C359" i="34" s="1"/>
  <c r="B65" i="32"/>
  <c r="C65" i="32" s="1"/>
  <c r="B21" i="32"/>
  <c r="C21" i="32" s="1"/>
  <c r="B31" i="32"/>
  <c r="C31" i="32" s="1"/>
  <c r="B43" i="32"/>
  <c r="C43" i="32" s="1"/>
  <c r="B61" i="32"/>
  <c r="C61" i="32" s="1"/>
  <c r="B273" i="32"/>
  <c r="C273" i="32" s="1"/>
  <c r="B289" i="32"/>
  <c r="C289" i="32" s="1"/>
  <c r="B39" i="32"/>
  <c r="C39" i="32" s="1"/>
  <c r="B167" i="32"/>
  <c r="C167" i="32" s="1"/>
  <c r="B251" i="32"/>
  <c r="C251" i="32" s="1"/>
  <c r="B279" i="32"/>
  <c r="C279" i="32" s="1"/>
  <c r="B7" i="32"/>
  <c r="C7" i="32" s="1"/>
  <c r="B17" i="32"/>
  <c r="C17" i="32" s="1"/>
  <c r="B49" i="32"/>
  <c r="C49" i="32" s="1"/>
  <c r="B87" i="32"/>
  <c r="C87" i="32" s="1"/>
  <c r="B125" i="32"/>
  <c r="C125" i="32" s="1"/>
  <c r="B141" i="32"/>
  <c r="C141" i="32" s="1"/>
  <c r="B145" i="32"/>
  <c r="C145" i="32" s="1"/>
  <c r="B189" i="32"/>
  <c r="C189" i="32" s="1"/>
  <c r="B285" i="32"/>
  <c r="C285" i="32" s="1"/>
  <c r="B23" i="32"/>
  <c r="C23" i="32" s="1"/>
  <c r="B33" i="32"/>
  <c r="C33" i="32" s="1"/>
  <c r="B45" i="32"/>
  <c r="C45" i="32" s="1"/>
  <c r="B67" i="32"/>
  <c r="C67" i="32" s="1"/>
  <c r="B13" i="32"/>
  <c r="C13" i="32" s="1"/>
  <c r="B29" i="32"/>
  <c r="C29" i="32" s="1"/>
  <c r="B41" i="32"/>
  <c r="C41" i="32" s="1"/>
  <c r="B63" i="32"/>
  <c r="C63" i="32" s="1"/>
  <c r="B169" i="32"/>
  <c r="C169" i="32" s="1"/>
  <c r="B9" i="32"/>
  <c r="C9" i="32" s="1"/>
  <c r="B59" i="32"/>
  <c r="C59" i="32" s="1"/>
  <c r="B89" i="32"/>
  <c r="C89" i="32" s="1"/>
  <c r="B191" i="32"/>
  <c r="C191" i="32" s="1"/>
  <c r="B249" i="32"/>
  <c r="C249" i="32" s="1"/>
  <c r="B271" i="32"/>
  <c r="C271" i="32" s="1"/>
  <c r="B25" i="32"/>
  <c r="C25" i="32" s="1"/>
  <c r="B35" i="32"/>
  <c r="C35" i="32" s="1"/>
  <c r="B69" i="32"/>
  <c r="C69" i="32" s="1"/>
  <c r="B131" i="32"/>
  <c r="C131" i="32" s="1"/>
  <c r="B143" i="32"/>
  <c r="C143" i="32" s="1"/>
  <c r="B277" i="32"/>
  <c r="C277" i="32" s="1"/>
  <c r="B295" i="32"/>
  <c r="C295" i="32" s="1"/>
  <c r="B671" i="30"/>
  <c r="C671" i="30" s="1"/>
  <c r="B689" i="30"/>
  <c r="C689" i="30" s="1"/>
  <c r="B83" i="30"/>
  <c r="C83" i="30" s="1"/>
  <c r="B589" i="30"/>
  <c r="C589" i="30" s="1"/>
  <c r="B451" i="30"/>
  <c r="C451" i="30" s="1"/>
  <c r="B553" i="30"/>
  <c r="C553" i="30" s="1"/>
  <c r="B247" i="30"/>
  <c r="C247" i="30" s="1"/>
  <c r="B465" i="30"/>
  <c r="C465" i="30" s="1"/>
  <c r="B707" i="30"/>
  <c r="C707" i="30" s="1"/>
  <c r="B147" i="30"/>
  <c r="C147" i="30" s="1"/>
  <c r="B221" i="30"/>
  <c r="C221" i="30" s="1"/>
  <c r="B335" i="30"/>
  <c r="C335" i="30" s="1"/>
  <c r="B569" i="30"/>
  <c r="C569" i="30" s="1"/>
  <c r="B11" i="30"/>
  <c r="C11" i="30" s="1"/>
  <c r="B79" i="30"/>
  <c r="C79" i="30" s="1"/>
  <c r="B133" i="30"/>
  <c r="C133" i="30" s="1"/>
  <c r="B227" i="30"/>
  <c r="C227" i="30" s="1"/>
  <c r="B275" i="30"/>
  <c r="C275" i="30" s="1"/>
  <c r="B305" i="30"/>
  <c r="C305" i="30" s="1"/>
  <c r="B351" i="30"/>
  <c r="C351" i="30" s="1"/>
  <c r="B375" i="30"/>
  <c r="C375" i="30" s="1"/>
  <c r="B539" i="30"/>
  <c r="C539" i="30" s="1"/>
  <c r="B559" i="30"/>
  <c r="C559" i="30" s="1"/>
  <c r="B667" i="30"/>
  <c r="C667" i="30" s="1"/>
  <c r="B685" i="30"/>
  <c r="C685" i="30" s="1"/>
  <c r="B697" i="30"/>
  <c r="C697" i="30" s="1"/>
  <c r="B7" i="30"/>
  <c r="C7" i="30" s="1"/>
  <c r="B65" i="30"/>
  <c r="C65" i="30" s="1"/>
  <c r="B75" i="30"/>
  <c r="C75" i="30" s="1"/>
  <c r="B89" i="30"/>
  <c r="C89" i="30" s="1"/>
  <c r="B143" i="30"/>
  <c r="C143" i="30" s="1"/>
  <c r="B191" i="30"/>
  <c r="C191" i="30" s="1"/>
  <c r="B371" i="30"/>
  <c r="C371" i="30" s="1"/>
  <c r="B411" i="30"/>
  <c r="C411" i="30" s="1"/>
  <c r="B457" i="30"/>
  <c r="C457" i="30" s="1"/>
  <c r="B535" i="30"/>
  <c r="C535" i="30" s="1"/>
  <c r="B613" i="30"/>
  <c r="C613" i="30" s="1"/>
  <c r="B649" i="30"/>
  <c r="C649" i="30" s="1"/>
  <c r="B681" i="30"/>
  <c r="C681" i="30" s="1"/>
  <c r="B703" i="30"/>
  <c r="C703" i="30" s="1"/>
  <c r="B71" i="30"/>
  <c r="C71" i="30" s="1"/>
  <c r="B85" i="30"/>
  <c r="C85" i="30" s="1"/>
  <c r="B139" i="30"/>
  <c r="C139" i="30" s="1"/>
  <c r="B197" i="30"/>
  <c r="C197" i="30" s="1"/>
  <c r="B223" i="30"/>
  <c r="C223" i="30" s="1"/>
  <c r="B357" i="30"/>
  <c r="C357" i="30" s="1"/>
  <c r="B421" i="30"/>
  <c r="C421" i="30" s="1"/>
  <c r="B501" i="30"/>
  <c r="C501" i="30" s="1"/>
  <c r="B555" i="30"/>
  <c r="C555" i="30" s="1"/>
  <c r="B571" i="30"/>
  <c r="C571" i="30" s="1"/>
  <c r="B591" i="30"/>
  <c r="C591" i="30" s="1"/>
  <c r="B609" i="30"/>
  <c r="C609" i="30" s="1"/>
  <c r="B659" i="30"/>
  <c r="C659" i="30" s="1"/>
  <c r="B677" i="30"/>
  <c r="C677" i="30" s="1"/>
  <c r="B691" i="30"/>
  <c r="C691" i="30" s="1"/>
  <c r="B61" i="30"/>
  <c r="C61" i="30" s="1"/>
  <c r="B135" i="30"/>
  <c r="C135" i="30" s="1"/>
  <c r="B171" i="30"/>
  <c r="C171" i="30" s="1"/>
  <c r="B187" i="30"/>
  <c r="C187" i="30" s="1"/>
  <c r="B249" i="30"/>
  <c r="C249" i="30" s="1"/>
  <c r="B311" i="30"/>
  <c r="C311" i="30" s="1"/>
  <c r="B353" i="30"/>
  <c r="C353" i="30" s="1"/>
  <c r="B381" i="30"/>
  <c r="C381" i="30" s="1"/>
  <c r="B467" i="30"/>
  <c r="C467" i="30" s="1"/>
  <c r="B561" i="30"/>
  <c r="C561" i="30" s="1"/>
  <c r="B605" i="30"/>
  <c r="C605" i="30" s="1"/>
  <c r="B641" i="30"/>
  <c r="C641" i="30" s="1"/>
  <c r="B67" i="30"/>
  <c r="C67" i="30" s="1"/>
  <c r="B95" i="30"/>
  <c r="C95" i="30" s="1"/>
  <c r="B145" i="30"/>
  <c r="C145" i="30" s="1"/>
  <c r="B177" i="30"/>
  <c r="C177" i="30" s="1"/>
  <c r="B329" i="30"/>
  <c r="C329" i="30" s="1"/>
  <c r="B343" i="30"/>
  <c r="C343" i="30" s="1"/>
  <c r="B413" i="30"/>
  <c r="C413" i="30" s="1"/>
  <c r="B463" i="30"/>
  <c r="C463" i="30" s="1"/>
  <c r="B567" i="30"/>
  <c r="C567" i="30" s="1"/>
  <c r="B601" i="30"/>
  <c r="C601" i="30" s="1"/>
  <c r="B619" i="30"/>
  <c r="C619" i="30" s="1"/>
  <c r="B637" i="30"/>
  <c r="C637" i="30" s="1"/>
  <c r="B683" i="30"/>
  <c r="C683" i="30" s="1"/>
  <c r="B705" i="30"/>
  <c r="C705" i="30" s="1"/>
  <c r="B91" i="30"/>
  <c r="C91" i="30" s="1"/>
  <c r="B325" i="30"/>
  <c r="C325" i="30" s="1"/>
  <c r="B459" i="30"/>
  <c r="C459" i="30" s="1"/>
  <c r="B503" i="30"/>
  <c r="C503" i="30" s="1"/>
  <c r="B557" i="30"/>
  <c r="C557" i="30" s="1"/>
  <c r="B597" i="30"/>
  <c r="C597" i="30" s="1"/>
  <c r="B611" i="30"/>
  <c r="C611" i="30" s="1"/>
  <c r="B665" i="30"/>
  <c r="C665" i="30" s="1"/>
  <c r="B679" i="30"/>
  <c r="C679" i="30" s="1"/>
  <c r="B3" i="30"/>
  <c r="C3" i="30" s="1"/>
  <c r="B141" i="30"/>
  <c r="C141" i="30" s="1"/>
  <c r="B189" i="30"/>
  <c r="C189" i="30" s="1"/>
  <c r="B215" i="30"/>
  <c r="C215" i="30" s="1"/>
  <c r="B369" i="30"/>
  <c r="C369" i="30" s="1"/>
  <c r="B383" i="30"/>
  <c r="C383" i="30" s="1"/>
  <c r="B499" i="30"/>
  <c r="C499" i="30" s="1"/>
  <c r="B533" i="30"/>
  <c r="C533" i="30" s="1"/>
  <c r="B547" i="30"/>
  <c r="C547" i="30" s="1"/>
  <c r="B563" i="30"/>
  <c r="C563" i="30" s="1"/>
  <c r="B593" i="30"/>
  <c r="C593" i="30" s="1"/>
  <c r="B607" i="30"/>
  <c r="C607" i="30" s="1"/>
  <c r="B647" i="30"/>
  <c r="C647" i="30" s="1"/>
  <c r="B661" i="30"/>
  <c r="C661" i="30" s="1"/>
  <c r="B675" i="30"/>
  <c r="C675" i="30" s="1"/>
  <c r="AE275" i="33"/>
  <c r="AX130" i="33"/>
  <c r="AE57" i="33"/>
  <c r="AX128" i="33"/>
  <c r="AE5" i="33"/>
  <c r="AJ181" i="33"/>
  <c r="AE219" i="33"/>
  <c r="AI335" i="33"/>
  <c r="AX126" i="33"/>
  <c r="AE145" i="33"/>
  <c r="AI337" i="33"/>
  <c r="AC333" i="33"/>
  <c r="AD333" i="33" s="1"/>
  <c r="AE349" i="33"/>
  <c r="AC405" i="33"/>
  <c r="AD405" i="33" s="1"/>
  <c r="AJ329" i="33"/>
  <c r="AK181" i="33"/>
  <c r="AE339" i="33"/>
  <c r="AE385" i="33"/>
  <c r="AE201" i="33"/>
  <c r="AI331" i="33"/>
  <c r="AE331" i="33"/>
  <c r="AE277" i="33"/>
  <c r="AC295" i="33"/>
  <c r="AD295" i="33" s="1"/>
  <c r="AE205" i="33"/>
  <c r="AE333" i="33"/>
  <c r="AE187" i="33"/>
  <c r="AC335" i="33"/>
  <c r="AD335" i="33" s="1"/>
  <c r="AE345" i="33"/>
  <c r="AY128" i="33"/>
  <c r="AE131" i="33"/>
  <c r="AE217" i="33"/>
  <c r="AE301" i="33"/>
  <c r="AE337" i="33"/>
  <c r="AC151" i="33"/>
  <c r="AD151" i="33" s="1"/>
  <c r="AK293" i="33"/>
  <c r="AJ51" i="33"/>
  <c r="AI53" i="33"/>
  <c r="AE195" i="33"/>
  <c r="AB201" i="33"/>
  <c r="AE319" i="33"/>
  <c r="AB339" i="33"/>
  <c r="AB385" i="33"/>
  <c r="AJ41" i="33"/>
  <c r="AE69" i="33"/>
  <c r="AC149" i="33"/>
  <c r="AD149" i="33" s="1"/>
  <c r="AC153" i="33"/>
  <c r="AD153" i="33" s="1"/>
  <c r="AE299" i="33"/>
  <c r="AI353" i="33"/>
  <c r="AJ371" i="33"/>
  <c r="AG389" i="33"/>
  <c r="AB57" i="33"/>
  <c r="AI7" i="33"/>
  <c r="AK77" i="33"/>
  <c r="AE317" i="33"/>
  <c r="AC363" i="33"/>
  <c r="AD363" i="33" s="1"/>
  <c r="AK21" i="33"/>
  <c r="AC35" i="33"/>
  <c r="AD35" i="33" s="1"/>
  <c r="AE63" i="33"/>
  <c r="AI99" i="33"/>
  <c r="AC123" i="33"/>
  <c r="AD123" i="33" s="1"/>
  <c r="AZ130" i="33"/>
  <c r="AJ161" i="33"/>
  <c r="AK177" i="33"/>
  <c r="AB187" i="33"/>
  <c r="AK191" i="33"/>
  <c r="AE265" i="33"/>
  <c r="AE303" i="33"/>
  <c r="AE335" i="33"/>
  <c r="AE381" i="33"/>
  <c r="AJ13" i="33"/>
  <c r="AE61" i="33"/>
  <c r="AB63" i="33"/>
  <c r="Y73" i="33"/>
  <c r="AE73" i="33" s="1"/>
  <c r="AC79" i="33"/>
  <c r="AD79" i="33" s="1"/>
  <c r="AE103" i="33"/>
  <c r="AK117" i="33"/>
  <c r="AK147" i="33"/>
  <c r="AE189" i="33"/>
  <c r="Y191" i="33"/>
  <c r="AE191" i="33" s="1"/>
  <c r="AI361" i="33"/>
  <c r="AE379" i="33"/>
  <c r="AE401" i="33"/>
  <c r="AC83" i="33"/>
  <c r="AD83" i="33" s="1"/>
  <c r="AP113" i="33"/>
  <c r="AE133" i="33"/>
  <c r="AE261" i="33"/>
  <c r="AC287" i="33"/>
  <c r="AD287" i="33" s="1"/>
  <c r="AK291" i="33"/>
  <c r="AE307" i="33"/>
  <c r="AC365" i="33"/>
  <c r="AD365" i="33" s="1"/>
  <c r="AE377" i="33"/>
  <c r="AE395" i="33"/>
  <c r="AE399" i="33"/>
  <c r="AE311" i="33"/>
  <c r="AB311" i="33"/>
  <c r="AE3" i="33"/>
  <c r="AI25" i="33"/>
  <c r="AC29" i="33"/>
  <c r="AD29" i="33" s="1"/>
  <c r="AK41" i="33"/>
  <c r="AJ43" i="33"/>
  <c r="AI47" i="33"/>
  <c r="AJ53" i="33"/>
  <c r="AE65" i="33"/>
  <c r="AE67" i="33"/>
  <c r="AI79" i="33"/>
  <c r="AC105" i="33"/>
  <c r="AD105" i="33" s="1"/>
  <c r="AP111" i="33"/>
  <c r="AR113" i="33"/>
  <c r="AY130" i="33"/>
  <c r="AC309" i="33"/>
  <c r="AD309" i="33" s="1"/>
  <c r="AT327" i="33"/>
  <c r="AN327" i="33"/>
  <c r="AM327" i="33"/>
  <c r="D325" i="34" s="1"/>
  <c r="AP327" i="33"/>
  <c r="AO327" i="33"/>
  <c r="AC15" i="33"/>
  <c r="AD15" i="33" s="1"/>
  <c r="AI29" i="33"/>
  <c r="AC37" i="33"/>
  <c r="AD37" i="33" s="1"/>
  <c r="AI49" i="33"/>
  <c r="AI55" i="33"/>
  <c r="AE59" i="33"/>
  <c r="AK83" i="33"/>
  <c r="AJ109" i="33"/>
  <c r="AI153" i="33"/>
  <c r="AI11" i="33"/>
  <c r="AC17" i="33"/>
  <c r="AD17" i="33" s="1"/>
  <c r="AK23" i="33"/>
  <c r="AK25" i="33"/>
  <c r="AK37" i="33"/>
  <c r="AJ49" i="33"/>
  <c r="AJ55" i="33"/>
  <c r="AK95" i="33"/>
  <c r="AC125" i="33"/>
  <c r="AD125" i="33" s="1"/>
  <c r="AE137" i="33"/>
  <c r="AE237" i="33"/>
  <c r="AB237" i="33"/>
  <c r="AE11" i="33"/>
  <c r="AE407" i="33"/>
  <c r="AB407" i="33"/>
  <c r="AK15" i="33"/>
  <c r="AJ17" i="33"/>
  <c r="AJ25" i="33"/>
  <c r="AC31" i="33"/>
  <c r="AD31" i="33" s="1"/>
  <c r="AI43" i="33"/>
  <c r="AJ73" i="33"/>
  <c r="AJ75" i="33"/>
  <c r="AI151" i="33"/>
  <c r="AK9" i="33"/>
  <c r="AC19" i="33"/>
  <c r="AD19" i="33" s="1"/>
  <c r="AP31" i="33"/>
  <c r="AK39" i="33"/>
  <c r="AI41" i="33"/>
  <c r="AR43" i="33"/>
  <c r="AI51" i="33"/>
  <c r="AJ99" i="33"/>
  <c r="Y109" i="33"/>
  <c r="AE109" i="33" s="1"/>
  <c r="AI111" i="33"/>
  <c r="AC113" i="33"/>
  <c r="AD113" i="33" s="1"/>
  <c r="AC115" i="33"/>
  <c r="AD115" i="33" s="1"/>
  <c r="Y121" i="33"/>
  <c r="AE121" i="33" s="1"/>
  <c r="AB199" i="33"/>
  <c r="AE199" i="33"/>
  <c r="AB235" i="33"/>
  <c r="AE235" i="33"/>
  <c r="AP243" i="33"/>
  <c r="Y243" i="33"/>
  <c r="AE243" i="33" s="1"/>
  <c r="AI27" i="33"/>
  <c r="AK31" i="33"/>
  <c r="AC33" i="33"/>
  <c r="AD33" i="33" s="1"/>
  <c r="AI45" i="33"/>
  <c r="AJ47" i="33"/>
  <c r="AJ95" i="33"/>
  <c r="AC107" i="33"/>
  <c r="AD107" i="33" s="1"/>
  <c r="AI119" i="33"/>
  <c r="AC147" i="33"/>
  <c r="AD147" i="33" s="1"/>
  <c r="AE271" i="33"/>
  <c r="AB271" i="33"/>
  <c r="AB5" i="33"/>
  <c r="AM9" i="33"/>
  <c r="D9" i="34" s="1"/>
  <c r="AK13" i="33"/>
  <c r="AC21" i="33"/>
  <c r="AD21" i="33" s="1"/>
  <c r="AJ27" i="33"/>
  <c r="AJ33" i="33"/>
  <c r="AT39" i="33"/>
  <c r="AJ45" i="33"/>
  <c r="AB69" i="33"/>
  <c r="AC73" i="33"/>
  <c r="AD73" i="33" s="1"/>
  <c r="AC81" i="33"/>
  <c r="AD81" i="33" s="1"/>
  <c r="AK85" i="33"/>
  <c r="AI107" i="33"/>
  <c r="Y107" i="33"/>
  <c r="AE107" i="33" s="1"/>
  <c r="AC109" i="33"/>
  <c r="AD109" i="33" s="1"/>
  <c r="AC111" i="33"/>
  <c r="AD111" i="33" s="1"/>
  <c r="AM113" i="33"/>
  <c r="D113" i="34" s="1"/>
  <c r="AC121" i="33"/>
  <c r="AD121" i="33" s="1"/>
  <c r="AJ141" i="33"/>
  <c r="AE197" i="33"/>
  <c r="AB197" i="33"/>
  <c r="AB233" i="33"/>
  <c r="AE233" i="33"/>
  <c r="AI145" i="33"/>
  <c r="AK153" i="33"/>
  <c r="AC161" i="33"/>
  <c r="AD161" i="33" s="1"/>
  <c r="AC177" i="33"/>
  <c r="AD177" i="33" s="1"/>
  <c r="AK183" i="33"/>
  <c r="AI251" i="33"/>
  <c r="AE251" i="33"/>
  <c r="AE259" i="33"/>
  <c r="AC285" i="33"/>
  <c r="AD285" i="33" s="1"/>
  <c r="AJ295" i="33"/>
  <c r="AI293" i="33"/>
  <c r="AK335" i="33"/>
  <c r="AB335" i="33"/>
  <c r="AC359" i="33"/>
  <c r="AD359" i="33" s="1"/>
  <c r="AI363" i="33"/>
  <c r="AE375" i="33"/>
  <c r="AC391" i="33"/>
  <c r="AD391" i="33" s="1"/>
  <c r="AE397" i="33"/>
  <c r="AE411" i="33"/>
  <c r="AE207" i="33"/>
  <c r="AE269" i="33"/>
  <c r="AI357" i="33"/>
  <c r="AI185" i="33"/>
  <c r="AB207" i="33"/>
  <c r="AI241" i="33"/>
  <c r="AC243" i="33"/>
  <c r="AD243" i="33" s="1"/>
  <c r="AB269" i="33"/>
  <c r="AG305" i="33"/>
  <c r="AI351" i="33"/>
  <c r="AL363" i="33"/>
  <c r="AC389" i="33"/>
  <c r="AD389" i="33" s="1"/>
  <c r="AI141" i="33"/>
  <c r="AK145" i="33"/>
  <c r="AJ177" i="33"/>
  <c r="Y177" i="33"/>
  <c r="AE177" i="33" s="1"/>
  <c r="AI183" i="33"/>
  <c r="AE231" i="33"/>
  <c r="AE239" i="33"/>
  <c r="AC251" i="33"/>
  <c r="AD251" i="33" s="1"/>
  <c r="AC293" i="33"/>
  <c r="AD293" i="33" s="1"/>
  <c r="AK333" i="33"/>
  <c r="AC337" i="33"/>
  <c r="AD337" i="33" s="1"/>
  <c r="AC361" i="33"/>
  <c r="AD361" i="33" s="1"/>
  <c r="AI365" i="33"/>
  <c r="AK371" i="33"/>
  <c r="AI115" i="33"/>
  <c r="AK125" i="33"/>
  <c r="AK141" i="33"/>
  <c r="AE141" i="33"/>
  <c r="AS145" i="33"/>
  <c r="AJ153" i="33"/>
  <c r="AK241" i="33"/>
  <c r="AK243" i="33"/>
  <c r="AC331" i="33"/>
  <c r="AD331" i="33" s="1"/>
  <c r="AI355" i="33"/>
  <c r="AI359" i="33"/>
  <c r="AE383" i="33"/>
  <c r="AK405" i="33"/>
  <c r="AC39" i="33"/>
  <c r="AD39" i="33" s="1"/>
  <c r="AJ7" i="33"/>
  <c r="AN9" i="33"/>
  <c r="AJ11" i="33"/>
  <c r="AN13" i="33"/>
  <c r="AI15" i="33"/>
  <c r="AC25" i="33"/>
  <c r="AD25" i="33" s="1"/>
  <c r="AK27" i="33"/>
  <c r="Y29" i="33"/>
  <c r="AE29" i="33" s="1"/>
  <c r="AJ29" i="33"/>
  <c r="AI31" i="33"/>
  <c r="AC41" i="33"/>
  <c r="AD41" i="33" s="1"/>
  <c r="AK43" i="33"/>
  <c r="AK45" i="33"/>
  <c r="AK47" i="33"/>
  <c r="AK49" i="33"/>
  <c r="AK51" i="33"/>
  <c r="AK53" i="33"/>
  <c r="AK55" i="33"/>
  <c r="AE99" i="33"/>
  <c r="AB99" i="33"/>
  <c r="AK7" i="33"/>
  <c r="AS7" i="33"/>
  <c r="AO9" i="33"/>
  <c r="AK11" i="33"/>
  <c r="AS11" i="33"/>
  <c r="AO13" i="33"/>
  <c r="Y15" i="33"/>
  <c r="AE15" i="33" s="1"/>
  <c r="AJ15" i="33"/>
  <c r="AR15" i="33"/>
  <c r="AI17" i="33"/>
  <c r="AQ17" i="33"/>
  <c r="AP19" i="33"/>
  <c r="AO21" i="33"/>
  <c r="AN23" i="33"/>
  <c r="AM25" i="33"/>
  <c r="D25" i="34" s="1"/>
  <c r="AC27" i="33"/>
  <c r="AD27" i="33" s="1"/>
  <c r="AL27" i="33"/>
  <c r="AK29" i="33"/>
  <c r="AS29" i="33"/>
  <c r="Y31" i="33"/>
  <c r="AE31" i="33" s="1"/>
  <c r="AJ31" i="33"/>
  <c r="AR31" i="33"/>
  <c r="AI33" i="33"/>
  <c r="AQ33" i="33"/>
  <c r="AP35" i="33"/>
  <c r="AO37" i="33"/>
  <c r="AN39" i="33"/>
  <c r="AM41" i="33"/>
  <c r="D41" i="34" s="1"/>
  <c r="AC43" i="33"/>
  <c r="AD43" i="33" s="1"/>
  <c r="AL43" i="33"/>
  <c r="AC45" i="33"/>
  <c r="AD45" i="33" s="1"/>
  <c r="AC47" i="33"/>
  <c r="AD47" i="33" s="1"/>
  <c r="AC49" i="33"/>
  <c r="AD49" i="33" s="1"/>
  <c r="AC51" i="33"/>
  <c r="AD51" i="33" s="1"/>
  <c r="AC53" i="33"/>
  <c r="AD53" i="33" s="1"/>
  <c r="AC55" i="33"/>
  <c r="AD55" i="33" s="1"/>
  <c r="AE95" i="33"/>
  <c r="AB95" i="33"/>
  <c r="AI339" i="33"/>
  <c r="AC339" i="33"/>
  <c r="AD339" i="33" s="1"/>
  <c r="AK339" i="33"/>
  <c r="AC7" i="33"/>
  <c r="AD7" i="33" s="1"/>
  <c r="AC11" i="33"/>
  <c r="AD11" i="33" s="1"/>
  <c r="AI19" i="33"/>
  <c r="AI35" i="33"/>
  <c r="AP87" i="33"/>
  <c r="AQ87" i="33"/>
  <c r="AN87" i="33"/>
  <c r="AC87" i="33"/>
  <c r="AD87" i="33" s="1"/>
  <c r="AT87" i="33"/>
  <c r="AK87" i="33"/>
  <c r="AJ87" i="33"/>
  <c r="Y87" i="33"/>
  <c r="AE87" i="33" s="1"/>
  <c r="AJ105" i="33"/>
  <c r="Y9" i="33"/>
  <c r="AE9" i="33" s="1"/>
  <c r="AI9" i="33"/>
  <c r="AQ9" i="33"/>
  <c r="Y13" i="33"/>
  <c r="AE13" i="33" s="1"/>
  <c r="AI13" i="33"/>
  <c r="AQ13" i="33"/>
  <c r="AK17" i="33"/>
  <c r="Y19" i="33"/>
  <c r="AE19" i="33" s="1"/>
  <c r="AJ19" i="33"/>
  <c r="AI21" i="33"/>
  <c r="AK33" i="33"/>
  <c r="Y35" i="33"/>
  <c r="AE35" i="33" s="1"/>
  <c r="AJ35" i="33"/>
  <c r="AI37" i="33"/>
  <c r="AK99" i="33"/>
  <c r="AC103" i="33"/>
  <c r="AD103" i="33" s="1"/>
  <c r="AC23" i="33"/>
  <c r="AD23" i="33" s="1"/>
  <c r="AJ9" i="33"/>
  <c r="AR9" i="33"/>
  <c r="AK19" i="33"/>
  <c r="AJ21" i="33"/>
  <c r="AI23" i="33"/>
  <c r="AK35" i="33"/>
  <c r="AJ37" i="33"/>
  <c r="AI39" i="33"/>
  <c r="AR77" i="33"/>
  <c r="AJ77" i="33"/>
  <c r="Y77" i="33"/>
  <c r="AE77" i="33" s="1"/>
  <c r="AI77" i="33"/>
  <c r="AC77" i="33"/>
  <c r="AD77" i="33" s="1"/>
  <c r="AQ101" i="33"/>
  <c r="AI101" i="33"/>
  <c r="Y101" i="33"/>
  <c r="AE101" i="33" s="1"/>
  <c r="AC101" i="33"/>
  <c r="AD101" i="33" s="1"/>
  <c r="AK101" i="33"/>
  <c r="AJ101" i="33"/>
  <c r="Y23" i="33"/>
  <c r="AE23" i="33" s="1"/>
  <c r="AJ23" i="33"/>
  <c r="Y39" i="33"/>
  <c r="AE39" i="33" s="1"/>
  <c r="AJ39" i="33"/>
  <c r="AT85" i="33"/>
  <c r="AL85" i="33"/>
  <c r="AC85" i="33"/>
  <c r="AD85" i="33" s="1"/>
  <c r="AJ85" i="33"/>
  <c r="AI85" i="33"/>
  <c r="Y85" i="33"/>
  <c r="AE85" i="33" s="1"/>
  <c r="AO97" i="33"/>
  <c r="AC97" i="33"/>
  <c r="AD97" i="33" s="1"/>
  <c r="AK97" i="33"/>
  <c r="AJ97" i="33"/>
  <c r="Y97" i="33"/>
  <c r="AE97" i="33" s="1"/>
  <c r="AI97" i="33"/>
  <c r="AJ123" i="33"/>
  <c r="AB127" i="33"/>
  <c r="AE127" i="33"/>
  <c r="Y7" i="33"/>
  <c r="AE7" i="33" s="1"/>
  <c r="AC9" i="33"/>
  <c r="AD9" i="33" s="1"/>
  <c r="AL9" i="33"/>
  <c r="AC13" i="33"/>
  <c r="AD13" i="33" s="1"/>
  <c r="AL13" i="33"/>
  <c r="Y25" i="33"/>
  <c r="AE25" i="33" s="1"/>
  <c r="Y41" i="33"/>
  <c r="AE41" i="33" s="1"/>
  <c r="AI87" i="33"/>
  <c r="AI103" i="33"/>
  <c r="AC75" i="33"/>
  <c r="AD75" i="33" s="1"/>
  <c r="Y79" i="33"/>
  <c r="AE79" i="33" s="1"/>
  <c r="AJ79" i="33"/>
  <c r="AI89" i="33"/>
  <c r="AM119" i="33"/>
  <c r="D119" i="34" s="1"/>
  <c r="AS119" i="33"/>
  <c r="AK119" i="33"/>
  <c r="AJ119" i="33"/>
  <c r="AK121" i="33"/>
  <c r="AE135" i="33"/>
  <c r="AB135" i="33"/>
  <c r="AJ147" i="33"/>
  <c r="AK161" i="33"/>
  <c r="AS73" i="33"/>
  <c r="AK73" i="33"/>
  <c r="AK79" i="33"/>
  <c r="AT79" i="33"/>
  <c r="AJ89" i="33"/>
  <c r="AC95" i="33"/>
  <c r="AD95" i="33" s="1"/>
  <c r="AC99" i="33"/>
  <c r="AD99" i="33" s="1"/>
  <c r="AJ117" i="33"/>
  <c r="Y119" i="33"/>
  <c r="AE119" i="33" s="1"/>
  <c r="AB133" i="33"/>
  <c r="AB141" i="33"/>
  <c r="AK149" i="33"/>
  <c r="AI73" i="33"/>
  <c r="AS81" i="33"/>
  <c r="AK81" i="33"/>
  <c r="AI81" i="33"/>
  <c r="Y89" i="33"/>
  <c r="AE89" i="33" s="1"/>
  <c r="AK89" i="33"/>
  <c r="AR103" i="33"/>
  <c r="AJ103" i="33"/>
  <c r="AM115" i="33"/>
  <c r="D115" i="34" s="1"/>
  <c r="AS115" i="33"/>
  <c r="AK115" i="33"/>
  <c r="AJ115" i="33"/>
  <c r="AI123" i="33"/>
  <c r="AE129" i="33"/>
  <c r="AB129" i="33"/>
  <c r="AC143" i="33"/>
  <c r="AD143" i="33" s="1"/>
  <c r="AK143" i="33"/>
  <c r="AJ143" i="33"/>
  <c r="AQ143" i="33"/>
  <c r="AI143" i="33"/>
  <c r="Y143" i="33"/>
  <c r="AE143" i="33" s="1"/>
  <c r="Y81" i="33"/>
  <c r="AE81" i="33" s="1"/>
  <c r="AJ81" i="33"/>
  <c r="AB101" i="33"/>
  <c r="AJ113" i="33"/>
  <c r="Y115" i="33"/>
  <c r="AE115" i="33" s="1"/>
  <c r="AC119" i="33"/>
  <c r="AD119" i="33" s="1"/>
  <c r="AT145" i="33"/>
  <c r="AL145" i="33"/>
  <c r="AC145" i="33"/>
  <c r="AD145" i="33" s="1"/>
  <c r="AJ145" i="33"/>
  <c r="AI75" i="33"/>
  <c r="AN79" i="33"/>
  <c r="AI83" i="33"/>
  <c r="AR83" i="33"/>
  <c r="AC89" i="33"/>
  <c r="AD89" i="33" s="1"/>
  <c r="AN89" i="33"/>
  <c r="AB97" i="33"/>
  <c r="AM111" i="33"/>
  <c r="D111" i="34" s="1"/>
  <c r="AS111" i="33"/>
  <c r="AK111" i="33"/>
  <c r="AJ111" i="33"/>
  <c r="AK113" i="33"/>
  <c r="AC117" i="33"/>
  <c r="AD117" i="33" s="1"/>
  <c r="AM123" i="33"/>
  <c r="D123" i="34" s="1"/>
  <c r="AS123" i="33"/>
  <c r="AK123" i="33"/>
  <c r="AI161" i="33"/>
  <c r="AJ83" i="33"/>
  <c r="AI95" i="33"/>
  <c r="Y75" i="33"/>
  <c r="AE75" i="33" s="1"/>
  <c r="AK75" i="33"/>
  <c r="AT75" i="33"/>
  <c r="AQ79" i="33"/>
  <c r="AK103" i="33"/>
  <c r="AS105" i="33"/>
  <c r="AK105" i="33"/>
  <c r="AI105" i="33"/>
  <c r="Y105" i="33"/>
  <c r="AE105" i="33" s="1"/>
  <c r="AM107" i="33"/>
  <c r="D107" i="34" s="1"/>
  <c r="AS107" i="33"/>
  <c r="AK107" i="33"/>
  <c r="AJ107" i="33"/>
  <c r="AK109" i="33"/>
  <c r="BA126" i="33"/>
  <c r="AY126" i="33"/>
  <c r="AE139" i="33"/>
  <c r="AB139" i="33"/>
  <c r="AI147" i="33"/>
  <c r="AJ151" i="33"/>
  <c r="AE193" i="33"/>
  <c r="AB193" i="33"/>
  <c r="AE209" i="33"/>
  <c r="AB209" i="33"/>
  <c r="BA128" i="33"/>
  <c r="AC141" i="33"/>
  <c r="AD141" i="33" s="1"/>
  <c r="AK151" i="33"/>
  <c r="AE173" i="33"/>
  <c r="AB173" i="33"/>
  <c r="AN179" i="33"/>
  <c r="AT179" i="33"/>
  <c r="AL179" i="33"/>
  <c r="AC179" i="33"/>
  <c r="AD179" i="33" s="1"/>
  <c r="AK179" i="33"/>
  <c r="AJ179" i="33"/>
  <c r="Y179" i="33"/>
  <c r="AE179" i="33" s="1"/>
  <c r="AI179" i="33"/>
  <c r="AI109" i="33"/>
  <c r="AI113" i="33"/>
  <c r="AI117" i="33"/>
  <c r="AI121" i="33"/>
  <c r="AI125" i="33"/>
  <c r="AO147" i="33"/>
  <c r="AJ121" i="33"/>
  <c r="AJ125" i="33"/>
  <c r="AI149" i="33"/>
  <c r="AO185" i="33"/>
  <c r="AM185" i="33"/>
  <c r="D185" i="34" s="1"/>
  <c r="AC185" i="33"/>
  <c r="AD185" i="33" s="1"/>
  <c r="AK185" i="33"/>
  <c r="AR185" i="33"/>
  <c r="AJ185" i="33"/>
  <c r="Y185" i="33"/>
  <c r="AE185" i="33" s="1"/>
  <c r="AJ191" i="33"/>
  <c r="AE215" i="33"/>
  <c r="AB215" i="33"/>
  <c r="AK283" i="33"/>
  <c r="AJ283" i="33"/>
  <c r="AI283" i="33"/>
  <c r="AO283" i="33"/>
  <c r="AC283" i="33"/>
  <c r="AD283" i="33" s="1"/>
  <c r="Y147" i="33"/>
  <c r="AE147" i="33" s="1"/>
  <c r="AJ149" i="33"/>
  <c r="AC291" i="33"/>
  <c r="AD291" i="33" s="1"/>
  <c r="AC181" i="33"/>
  <c r="AD181" i="33" s="1"/>
  <c r="AT181" i="33"/>
  <c r="AC191" i="33"/>
  <c r="AD191" i="33" s="1"/>
  <c r="AT191" i="33"/>
  <c r="AE203" i="33"/>
  <c r="AC241" i="33"/>
  <c r="AD241" i="33" s="1"/>
  <c r="AK287" i="33"/>
  <c r="AJ287" i="33"/>
  <c r="AI287" i="33"/>
  <c r="AC245" i="33"/>
  <c r="AD245" i="33" s="1"/>
  <c r="AK245" i="33"/>
  <c r="AR245" i="33"/>
  <c r="AJ245" i="33"/>
  <c r="Y245" i="33"/>
  <c r="AE245" i="33" s="1"/>
  <c r="AI245" i="33"/>
  <c r="AC307" i="33"/>
  <c r="AD307" i="33" s="1"/>
  <c r="AK307" i="33"/>
  <c r="AJ307" i="33"/>
  <c r="AI307" i="33"/>
  <c r="AI177" i="33"/>
  <c r="AQ177" i="33"/>
  <c r="AO181" i="33"/>
  <c r="Y183" i="33"/>
  <c r="AE183" i="33" s="1"/>
  <c r="AJ183" i="33"/>
  <c r="AR183" i="33"/>
  <c r="AO191" i="33"/>
  <c r="AK285" i="33"/>
  <c r="AJ285" i="33"/>
  <c r="AI285" i="33"/>
  <c r="AI181" i="33"/>
  <c r="AC183" i="33"/>
  <c r="AD183" i="33" s="1"/>
  <c r="AL183" i="33"/>
  <c r="AI191" i="33"/>
  <c r="AE273" i="33"/>
  <c r="AB273" i="33"/>
  <c r="AJ305" i="33"/>
  <c r="AE305" i="33"/>
  <c r="AB305" i="33"/>
  <c r="AC289" i="33"/>
  <c r="AD289" i="33" s="1"/>
  <c r="AK289" i="33"/>
  <c r="AR289" i="33"/>
  <c r="AJ289" i="33"/>
  <c r="Y289" i="33"/>
  <c r="AE289" i="33" s="1"/>
  <c r="AI289" i="33"/>
  <c r="AS391" i="33"/>
  <c r="AK391" i="33"/>
  <c r="AJ391" i="33"/>
  <c r="AI391" i="33"/>
  <c r="AG391" i="33"/>
  <c r="AF391" i="33"/>
  <c r="AE413" i="33"/>
  <c r="AB413" i="33"/>
  <c r="AM431" i="33"/>
  <c r="E241" i="34" s="1"/>
  <c r="AJ251" i="33"/>
  <c r="AE267" i="33"/>
  <c r="AE279" i="33"/>
  <c r="AE283" i="33"/>
  <c r="AE285" i="33"/>
  <c r="AE287" i="33"/>
  <c r="AM291" i="33"/>
  <c r="D289" i="34" s="1"/>
  <c r="AJ293" i="33"/>
  <c r="AP325" i="33"/>
  <c r="AO325" i="33"/>
  <c r="AN325" i="33"/>
  <c r="AM325" i="33"/>
  <c r="D323" i="34" s="1"/>
  <c r="AT325" i="33"/>
  <c r="AL325" i="33"/>
  <c r="AC325" i="33"/>
  <c r="AD325" i="33" s="1"/>
  <c r="AK325" i="33"/>
  <c r="AR325" i="33"/>
  <c r="AJ325" i="33"/>
  <c r="Y325" i="33"/>
  <c r="AE325" i="33" s="1"/>
  <c r="AI329" i="33"/>
  <c r="AC329" i="33"/>
  <c r="AD329" i="33" s="1"/>
  <c r="AK329" i="33"/>
  <c r="AE329" i="33"/>
  <c r="AB329" i="33"/>
  <c r="AN241" i="33"/>
  <c r="AK251" i="33"/>
  <c r="AS251" i="33"/>
  <c r="AN291" i="33"/>
  <c r="AI243" i="33"/>
  <c r="AO291" i="33"/>
  <c r="AI295" i="33"/>
  <c r="AK295" i="33"/>
  <c r="AG307" i="33"/>
  <c r="AB321" i="33"/>
  <c r="AP343" i="33"/>
  <c r="AC343" i="33"/>
  <c r="AD343" i="33" s="1"/>
  <c r="AK343" i="33"/>
  <c r="AJ343" i="33"/>
  <c r="Y343" i="33"/>
  <c r="AE343" i="33" s="1"/>
  <c r="AI343" i="33"/>
  <c r="AP241" i="33"/>
  <c r="AJ243" i="33"/>
  <c r="AP291" i="33"/>
  <c r="AE315" i="33"/>
  <c r="AC321" i="33"/>
  <c r="AD321" i="33" s="1"/>
  <c r="AK321" i="33"/>
  <c r="Y291" i="33"/>
  <c r="AE291" i="33" s="1"/>
  <c r="AI291" i="33"/>
  <c r="AT341" i="33"/>
  <c r="AL341" i="33"/>
  <c r="AO341" i="33"/>
  <c r="AN341" i="33"/>
  <c r="AM341" i="33"/>
  <c r="D339" i="34" s="1"/>
  <c r="AC341" i="33"/>
  <c r="AD341" i="33" s="1"/>
  <c r="AK341" i="33"/>
  <c r="AJ341" i="33"/>
  <c r="Y341" i="33"/>
  <c r="AE341" i="33" s="1"/>
  <c r="AI341" i="33"/>
  <c r="AJ415" i="33"/>
  <c r="AI415" i="33"/>
  <c r="Y241" i="33"/>
  <c r="AE241" i="33" s="1"/>
  <c r="AJ241" i="33"/>
  <c r="AJ291" i="33"/>
  <c r="AC305" i="33"/>
  <c r="AD305" i="33" s="1"/>
  <c r="AE313" i="33"/>
  <c r="AB313" i="33"/>
  <c r="AJ321" i="33"/>
  <c r="AI325" i="33"/>
  <c r="AJ339" i="33"/>
  <c r="AI305" i="33"/>
  <c r="AJ335" i="33"/>
  <c r="AE373" i="33"/>
  <c r="AE415" i="33"/>
  <c r="AB415" i="33"/>
  <c r="AC351" i="33"/>
  <c r="AD351" i="33" s="1"/>
  <c r="AC353" i="33"/>
  <c r="AD353" i="33" s="1"/>
  <c r="AC355" i="33"/>
  <c r="AD355" i="33" s="1"/>
  <c r="AC357" i="33"/>
  <c r="AD357" i="33" s="1"/>
  <c r="AK305" i="33"/>
  <c r="AB317" i="33"/>
  <c r="AJ331" i="33"/>
  <c r="AT389" i="33"/>
  <c r="AL389" i="33"/>
  <c r="AK389" i="33"/>
  <c r="AJ389" i="33"/>
  <c r="AI389" i="33"/>
  <c r="AF389" i="33"/>
  <c r="AB307" i="33"/>
  <c r="AB319" i="33"/>
  <c r="Y323" i="33"/>
  <c r="AE323" i="33" s="1"/>
  <c r="AI323" i="33"/>
  <c r="Y327" i="33"/>
  <c r="AE327" i="33" s="1"/>
  <c r="AI327" i="33"/>
  <c r="AB331" i="33"/>
  <c r="AK331" i="33"/>
  <c r="AJ337" i="33"/>
  <c r="AB345" i="33"/>
  <c r="AE347" i="33"/>
  <c r="AE393" i="33"/>
  <c r="AB393" i="33"/>
  <c r="AI309" i="33"/>
  <c r="AJ323" i="33"/>
  <c r="AR323" i="33"/>
  <c r="AJ327" i="33"/>
  <c r="AR327" i="33"/>
  <c r="AI333" i="33"/>
  <c r="AK337" i="33"/>
  <c r="AB347" i="33"/>
  <c r="AB349" i="33"/>
  <c r="AE387" i="33"/>
  <c r="AB387" i="33"/>
  <c r="Y309" i="33"/>
  <c r="AE309" i="33" s="1"/>
  <c r="AJ309" i="33"/>
  <c r="AK323" i="33"/>
  <c r="AK327" i="33"/>
  <c r="AJ333" i="33"/>
  <c r="AK309" i="33"/>
  <c r="Y321" i="33"/>
  <c r="AE321" i="33" s="1"/>
  <c r="AI321" i="33"/>
  <c r="AC323" i="33"/>
  <c r="AD323" i="33" s="1"/>
  <c r="AL323" i="33"/>
  <c r="AC327" i="33"/>
  <c r="AD327" i="33" s="1"/>
  <c r="AL327" i="33"/>
  <c r="AR351" i="33"/>
  <c r="AJ351" i="33"/>
  <c r="Y351" i="33"/>
  <c r="AE351" i="33" s="1"/>
  <c r="AK351" i="33"/>
  <c r="AN353" i="33"/>
  <c r="AR353" i="33"/>
  <c r="AJ353" i="33"/>
  <c r="Y353" i="33"/>
  <c r="AE353" i="33" s="1"/>
  <c r="AK353" i="33"/>
  <c r="AR355" i="33"/>
  <c r="AJ355" i="33"/>
  <c r="Y355" i="33"/>
  <c r="AE355" i="33" s="1"/>
  <c r="AK355" i="33"/>
  <c r="AN357" i="33"/>
  <c r="AR357" i="33"/>
  <c r="AJ357" i="33"/>
  <c r="Y357" i="33"/>
  <c r="AE357" i="33" s="1"/>
  <c r="AK357" i="33"/>
  <c r="AR359" i="33"/>
  <c r="AJ359" i="33"/>
  <c r="Y359" i="33"/>
  <c r="AE359" i="33" s="1"/>
  <c r="AK359" i="33"/>
  <c r="AN361" i="33"/>
  <c r="AR361" i="33"/>
  <c r="AJ361" i="33"/>
  <c r="Y361" i="33"/>
  <c r="AE361" i="33" s="1"/>
  <c r="AK361" i="33"/>
  <c r="AR363" i="33"/>
  <c r="AJ363" i="33"/>
  <c r="Y363" i="33"/>
  <c r="AE363" i="33" s="1"/>
  <c r="AK363" i="33"/>
  <c r="AN365" i="33"/>
  <c r="AR365" i="33"/>
  <c r="AJ365" i="33"/>
  <c r="Y365" i="33"/>
  <c r="AE365" i="33" s="1"/>
  <c r="AK365" i="33"/>
  <c r="AI371" i="33"/>
  <c r="AE403" i="33"/>
  <c r="AE409" i="33"/>
  <c r="AK415" i="33"/>
  <c r="AS415" i="33"/>
  <c r="AC371" i="33"/>
  <c r="AD371" i="33" s="1"/>
  <c r="AB373" i="33"/>
  <c r="AI405" i="33"/>
  <c r="AC415" i="33"/>
  <c r="AD415" i="33" s="1"/>
  <c r="AL415" i="33"/>
  <c r="AT415" i="33"/>
  <c r="AJ405" i="33"/>
  <c r="AM415" i="33"/>
  <c r="D413" i="34" s="1"/>
  <c r="AN415" i="33"/>
  <c r="AE295" i="31"/>
  <c r="AK223" i="31"/>
  <c r="AE63" i="31"/>
  <c r="AK45" i="31"/>
  <c r="AE67" i="31"/>
  <c r="AC249" i="31"/>
  <c r="AD249" i="31" s="1"/>
  <c r="AI261" i="31"/>
  <c r="AK271" i="31"/>
  <c r="AJ143" i="31"/>
  <c r="AC157" i="31"/>
  <c r="AD157" i="31" s="1"/>
  <c r="AJ161" i="31"/>
  <c r="AE59" i="31"/>
  <c r="AI129" i="31"/>
  <c r="Y169" i="31"/>
  <c r="AE169" i="31" s="1"/>
  <c r="AI21" i="31"/>
  <c r="AC45" i="31"/>
  <c r="AD45" i="31" s="1"/>
  <c r="AJ225" i="31"/>
  <c r="AJ35" i="31"/>
  <c r="AC259" i="31"/>
  <c r="AD259" i="31" s="1"/>
  <c r="AK285" i="31"/>
  <c r="AC23" i="31"/>
  <c r="AD23" i="31" s="1"/>
  <c r="AK241" i="31"/>
  <c r="AK13" i="31"/>
  <c r="AJ19" i="31"/>
  <c r="AE49" i="31"/>
  <c r="AC29" i="31"/>
  <c r="AD29" i="31" s="1"/>
  <c r="AE47" i="31"/>
  <c r="AC191" i="31"/>
  <c r="AD191" i="31" s="1"/>
  <c r="AK245" i="31"/>
  <c r="AJ15" i="31"/>
  <c r="AI29" i="31"/>
  <c r="AE45" i="31"/>
  <c r="AC47" i="31"/>
  <c r="AD47" i="31" s="1"/>
  <c r="AB47" i="31"/>
  <c r="AE65" i="31"/>
  <c r="AJ171" i="31"/>
  <c r="AI241" i="31"/>
  <c r="AJ261" i="31"/>
  <c r="AC25" i="31"/>
  <c r="AD25" i="31" s="1"/>
  <c r="AN29" i="31"/>
  <c r="AJ239" i="31"/>
  <c r="AJ11" i="31"/>
  <c r="AC51" i="31"/>
  <c r="AD51" i="31" s="1"/>
  <c r="AJ237" i="31"/>
  <c r="AK277" i="31"/>
  <c r="AC285" i="31"/>
  <c r="AD285" i="31" s="1"/>
  <c r="AJ31" i="31"/>
  <c r="AJ135" i="31"/>
  <c r="AJ163" i="31"/>
  <c r="AI221" i="31"/>
  <c r="AC243" i="31"/>
  <c r="AD243" i="31" s="1"/>
  <c r="AJ13" i="31"/>
  <c r="AJ27" i="31"/>
  <c r="AC31" i="31"/>
  <c r="AD31" i="31" s="1"/>
  <c r="AE51" i="31"/>
  <c r="AB51" i="31"/>
  <c r="AB57" i="31"/>
  <c r="AE57" i="31"/>
  <c r="AM107" i="31"/>
  <c r="D107" i="32" s="1"/>
  <c r="AJ107" i="31"/>
  <c r="AI155" i="31"/>
  <c r="AK273" i="31"/>
  <c r="Y273" i="31"/>
  <c r="AE273" i="31" s="1"/>
  <c r="AS125" i="31"/>
  <c r="AN125" i="31"/>
  <c r="AC125" i="31"/>
  <c r="AD125" i="31" s="1"/>
  <c r="AC7" i="31"/>
  <c r="AD7" i="31" s="1"/>
  <c r="AJ17" i="31"/>
  <c r="AC21" i="31"/>
  <c r="AD21" i="31" s="1"/>
  <c r="AP21" i="31"/>
  <c r="AI25" i="31"/>
  <c r="AO29" i="31"/>
  <c r="AC35" i="31"/>
  <c r="AD35" i="31" s="1"/>
  <c r="AC13" i="31"/>
  <c r="AD13" i="31" s="1"/>
  <c r="AC17" i="31"/>
  <c r="AD17" i="31" s="1"/>
  <c r="AC105" i="31"/>
  <c r="AD105" i="31" s="1"/>
  <c r="Y107" i="31"/>
  <c r="AE107" i="31" s="1"/>
  <c r="AQ143" i="31"/>
  <c r="AK143" i="31"/>
  <c r="AJ153" i="31"/>
  <c r="AK87" i="31"/>
  <c r="AN13" i="31"/>
  <c r="AN17" i="31"/>
  <c r="AI39" i="31"/>
  <c r="AJ129" i="31"/>
  <c r="AC253" i="31"/>
  <c r="AD253" i="31" s="1"/>
  <c r="Y253" i="31"/>
  <c r="AE253" i="31" s="1"/>
  <c r="AC9" i="31"/>
  <c r="AD9" i="31" s="1"/>
  <c r="AJ23" i="31"/>
  <c r="AG43" i="31"/>
  <c r="AF43" i="31"/>
  <c r="AE69" i="31"/>
  <c r="AK89" i="31"/>
  <c r="AC167" i="31"/>
  <c r="AD167" i="31" s="1"/>
  <c r="AK231" i="31"/>
  <c r="AE241" i="31"/>
  <c r="AE243" i="31"/>
  <c r="AJ253" i="31"/>
  <c r="AC273" i="31"/>
  <c r="AD273" i="31" s="1"/>
  <c r="AI275" i="31"/>
  <c r="AE277" i="31"/>
  <c r="AE287" i="31"/>
  <c r="AC299" i="31"/>
  <c r="AD299" i="31" s="1"/>
  <c r="AK51" i="31"/>
  <c r="AC141" i="31"/>
  <c r="AD141" i="31" s="1"/>
  <c r="AC143" i="31"/>
  <c r="AD143" i="31" s="1"/>
  <c r="AC221" i="31"/>
  <c r="AD221" i="31" s="1"/>
  <c r="AC223" i="31"/>
  <c r="AD223" i="31" s="1"/>
  <c r="AK229" i="31"/>
  <c r="AC241" i="31"/>
  <c r="AD241" i="31" s="1"/>
  <c r="AT259" i="31"/>
  <c r="AT261" i="31"/>
  <c r="AC277" i="31"/>
  <c r="AD277" i="31" s="1"/>
  <c r="AC291" i="31"/>
  <c r="AD291" i="31" s="1"/>
  <c r="AJ45" i="31"/>
  <c r="AK47" i="31"/>
  <c r="AI127" i="31"/>
  <c r="AJ147" i="31"/>
  <c r="AI167" i="31"/>
  <c r="AK169" i="31"/>
  <c r="AC229" i="31"/>
  <c r="AD229" i="31" s="1"/>
  <c r="AI251" i="31"/>
  <c r="AC255" i="31"/>
  <c r="AD255" i="31" s="1"/>
  <c r="AJ49" i="31"/>
  <c r="Y123" i="31"/>
  <c r="AE123" i="31" s="1"/>
  <c r="AE127" i="31"/>
  <c r="AI147" i="31"/>
  <c r="AK153" i="31"/>
  <c r="AK237" i="31"/>
  <c r="AJ247" i="31"/>
  <c r="Y251" i="31"/>
  <c r="AE251" i="31" s="1"/>
  <c r="AJ259" i="31"/>
  <c r="AE271" i="31"/>
  <c r="Y285" i="31"/>
  <c r="AE285" i="31" s="1"/>
  <c r="AI113" i="31"/>
  <c r="AC233" i="31"/>
  <c r="AD233" i="31" s="1"/>
  <c r="AC237" i="31"/>
  <c r="AD237" i="31" s="1"/>
  <c r="AC245" i="31"/>
  <c r="AD245" i="31" s="1"/>
  <c r="AC227" i="31"/>
  <c r="AD227" i="31" s="1"/>
  <c r="AJ257" i="31"/>
  <c r="AC279" i="31"/>
  <c r="AD279" i="31" s="1"/>
  <c r="AK289" i="31"/>
  <c r="AI291" i="31"/>
  <c r="AG41" i="31"/>
  <c r="AK43" i="31"/>
  <c r="AI47" i="31"/>
  <c r="AE61" i="31"/>
  <c r="AC87" i="31"/>
  <c r="AD87" i="31" s="1"/>
  <c r="AO127" i="31"/>
  <c r="AK165" i="31"/>
  <c r="AC231" i="31"/>
  <c r="AD231" i="31" s="1"/>
  <c r="AJ245" i="31"/>
  <c r="AI257" i="31"/>
  <c r="Y257" i="31"/>
  <c r="AE257" i="31" s="1"/>
  <c r="AK3" i="31"/>
  <c r="AN5" i="31"/>
  <c r="AC5" i="31"/>
  <c r="AD5" i="31" s="1"/>
  <c r="AC3" i="31"/>
  <c r="AD3" i="31" s="1"/>
  <c r="AK7" i="31"/>
  <c r="AB11" i="31"/>
  <c r="AB19" i="31"/>
  <c r="AI5" i="31"/>
  <c r="AJ5" i="31"/>
  <c r="AK5" i="31"/>
  <c r="AJ7" i="31"/>
  <c r="AI3" i="31"/>
  <c r="Y5" i="31"/>
  <c r="AE5" i="31" s="1"/>
  <c r="Y3" i="31"/>
  <c r="AE3" i="31" s="1"/>
  <c r="AJ3" i="31"/>
  <c r="AB15" i="31"/>
  <c r="Y11" i="31"/>
  <c r="AE11" i="31" s="1"/>
  <c r="AI11" i="31"/>
  <c r="Y15" i="31"/>
  <c r="AE15" i="31" s="1"/>
  <c r="AI15" i="31"/>
  <c r="Y19" i="31"/>
  <c r="AE19" i="31" s="1"/>
  <c r="AI19" i="31"/>
  <c r="Y27" i="31"/>
  <c r="AE27" i="31" s="1"/>
  <c r="AI27" i="31"/>
  <c r="AJ39" i="31"/>
  <c r="AI33" i="31"/>
  <c r="AE35" i="31"/>
  <c r="Y9" i="31"/>
  <c r="AE9" i="31" s="1"/>
  <c r="AI9" i="31"/>
  <c r="AK11" i="31"/>
  <c r="AS11" i="31"/>
  <c r="AK15" i="31"/>
  <c r="AS15" i="31"/>
  <c r="AK19" i="31"/>
  <c r="AT19" i="31"/>
  <c r="AB27" i="31"/>
  <c r="AK27" i="31"/>
  <c r="AT27" i="31"/>
  <c r="Y33" i="31"/>
  <c r="AE33" i="31" s="1"/>
  <c r="AJ33" i="31"/>
  <c r="AS35" i="31"/>
  <c r="AK35" i="31"/>
  <c r="AS39" i="31"/>
  <c r="AK39" i="31"/>
  <c r="AJ9" i="31"/>
  <c r="AC11" i="31"/>
  <c r="AD11" i="31" s="1"/>
  <c r="AL11" i="31"/>
  <c r="AT11" i="31"/>
  <c r="AC15" i="31"/>
  <c r="AD15" i="31" s="1"/>
  <c r="AL15" i="31"/>
  <c r="AT15" i="31"/>
  <c r="AC19" i="31"/>
  <c r="AD19" i="31" s="1"/>
  <c r="AL19" i="31"/>
  <c r="AS21" i="31"/>
  <c r="AK21" i="31"/>
  <c r="Y21" i="31"/>
  <c r="AE21" i="31" s="1"/>
  <c r="AJ21" i="31"/>
  <c r="AC27" i="31"/>
  <c r="AD27" i="31" s="1"/>
  <c r="AL27" i="31"/>
  <c r="AS29" i="31"/>
  <c r="AK29" i="31"/>
  <c r="Y29" i="31"/>
  <c r="AE29" i="31" s="1"/>
  <c r="AJ29" i="31"/>
  <c r="AK33" i="31"/>
  <c r="AC39" i="31"/>
  <c r="AD39" i="31" s="1"/>
  <c r="AC41" i="31"/>
  <c r="AD41" i="31" s="1"/>
  <c r="Y7" i="31"/>
  <c r="AE7" i="31" s="1"/>
  <c r="AI7" i="31"/>
  <c r="AK9" i="31"/>
  <c r="Y13" i="31"/>
  <c r="AE13" i="31" s="1"/>
  <c r="AI13" i="31"/>
  <c r="Y17" i="31"/>
  <c r="AE17" i="31" s="1"/>
  <c r="AI17" i="31"/>
  <c r="AM19" i="31"/>
  <c r="D19" i="32" s="1"/>
  <c r="Y23" i="31"/>
  <c r="AE23" i="31" s="1"/>
  <c r="AI23" i="31"/>
  <c r="AR23" i="31"/>
  <c r="AM27" i="31"/>
  <c r="D27" i="32" s="1"/>
  <c r="Y31" i="31"/>
  <c r="AE31" i="31" s="1"/>
  <c r="AI31" i="31"/>
  <c r="AR31" i="31"/>
  <c r="AI35" i="31"/>
  <c r="AE39" i="31"/>
  <c r="AC33" i="31"/>
  <c r="AD33" i="31" s="1"/>
  <c r="AG33" i="31"/>
  <c r="AK17" i="31"/>
  <c r="AK23" i="31"/>
  <c r="AK31" i="31"/>
  <c r="AS25" i="31"/>
  <c r="AK25" i="31"/>
  <c r="Y25" i="31"/>
  <c r="AE25" i="31" s="1"/>
  <c r="AJ25" i="31"/>
  <c r="AI45" i="31"/>
  <c r="AK49" i="31"/>
  <c r="AC61" i="31"/>
  <c r="AD61" i="31" s="1"/>
  <c r="AK61" i="31"/>
  <c r="AJ61" i="31"/>
  <c r="AI61" i="31"/>
  <c r="AC69" i="31"/>
  <c r="AD69" i="31" s="1"/>
  <c r="AK69" i="31"/>
  <c r="AJ69" i="31"/>
  <c r="AI69" i="31"/>
  <c r="AJ87" i="31"/>
  <c r="AR89" i="31"/>
  <c r="AJ89" i="31"/>
  <c r="AI89" i="31"/>
  <c r="Y89" i="31"/>
  <c r="AE89" i="31" s="1"/>
  <c r="AC123" i="31"/>
  <c r="AD123" i="31" s="1"/>
  <c r="AK123" i="31"/>
  <c r="AJ123" i="31"/>
  <c r="AC129" i="31"/>
  <c r="AD129" i="31" s="1"/>
  <c r="AK129" i="31"/>
  <c r="AE129" i="31"/>
  <c r="AB129" i="31"/>
  <c r="Y43" i="31"/>
  <c r="AE43" i="31" s="1"/>
  <c r="AI43" i="31"/>
  <c r="AC49" i="31"/>
  <c r="AD49" i="31" s="1"/>
  <c r="AI51" i="31"/>
  <c r="AC151" i="31"/>
  <c r="AD151" i="31" s="1"/>
  <c r="AK151" i="31"/>
  <c r="AJ43" i="31"/>
  <c r="AJ51" i="31"/>
  <c r="AC57" i="31"/>
  <c r="AD57" i="31" s="1"/>
  <c r="AK57" i="31"/>
  <c r="AC59" i="31"/>
  <c r="AD59" i="31" s="1"/>
  <c r="AK59" i="31"/>
  <c r="AJ59" i="31"/>
  <c r="AI59" i="31"/>
  <c r="AC67" i="31"/>
  <c r="AD67" i="31" s="1"/>
  <c r="AK67" i="31"/>
  <c r="AJ67" i="31"/>
  <c r="AI67" i="31"/>
  <c r="AI57" i="31"/>
  <c r="Y41" i="31"/>
  <c r="AE41" i="31" s="1"/>
  <c r="AI41" i="31"/>
  <c r="AC43" i="31"/>
  <c r="AD43" i="31" s="1"/>
  <c r="AJ47" i="31"/>
  <c r="AJ57" i="31"/>
  <c r="AC65" i="31"/>
  <c r="AD65" i="31" s="1"/>
  <c r="AK65" i="31"/>
  <c r="AJ65" i="31"/>
  <c r="AI65" i="31"/>
  <c r="AI107" i="31"/>
  <c r="AC113" i="31"/>
  <c r="AD113" i="31" s="1"/>
  <c r="AK113" i="31"/>
  <c r="AE113" i="31"/>
  <c r="AB113" i="31"/>
  <c r="AI123" i="31"/>
  <c r="AJ41" i="31"/>
  <c r="AC89" i="31"/>
  <c r="AD89" i="31" s="1"/>
  <c r="AO133" i="31"/>
  <c r="AN133" i="31"/>
  <c r="AM133" i="31"/>
  <c r="D133" i="32" s="1"/>
  <c r="AT133" i="31"/>
  <c r="AL133" i="31"/>
  <c r="AC133" i="31"/>
  <c r="AD133" i="31" s="1"/>
  <c r="AS133" i="31"/>
  <c r="AK133" i="31"/>
  <c r="AJ133" i="31"/>
  <c r="AI133" i="31"/>
  <c r="Y133" i="31"/>
  <c r="AE133" i="31" s="1"/>
  <c r="AC135" i="31"/>
  <c r="AD135" i="31" s="1"/>
  <c r="AK135" i="31"/>
  <c r="AE135" i="31"/>
  <c r="AB135" i="31"/>
  <c r="AK41" i="31"/>
  <c r="AS41" i="31"/>
  <c r="AI49" i="31"/>
  <c r="AC63" i="31"/>
  <c r="AD63" i="31" s="1"/>
  <c r="AK63" i="31"/>
  <c r="AJ63" i="31"/>
  <c r="AI63" i="31"/>
  <c r="AQ87" i="31"/>
  <c r="AI87" i="31"/>
  <c r="Y87" i="31"/>
  <c r="AE87" i="31" s="1"/>
  <c r="AJ113" i="31"/>
  <c r="AB123" i="31"/>
  <c r="AJ127" i="31"/>
  <c r="AB133" i="31"/>
  <c r="AJ165" i="31"/>
  <c r="AG165" i="31"/>
  <c r="AB127" i="31"/>
  <c r="AK127" i="31"/>
  <c r="AS127" i="31"/>
  <c r="Y131" i="31"/>
  <c r="AE131" i="31" s="1"/>
  <c r="AI131" i="31"/>
  <c r="AI157" i="31"/>
  <c r="AC161" i="31"/>
  <c r="AD161" i="31" s="1"/>
  <c r="AK161" i="31"/>
  <c r="AC189" i="31"/>
  <c r="AD189" i="31" s="1"/>
  <c r="AK189" i="31"/>
  <c r="AJ189" i="31"/>
  <c r="AI189" i="31"/>
  <c r="Y189" i="31"/>
  <c r="AE189" i="31" s="1"/>
  <c r="AO189" i="31"/>
  <c r="AJ223" i="31"/>
  <c r="AK227" i="31"/>
  <c r="AI105" i="31"/>
  <c r="AK107" i="31"/>
  <c r="Y125" i="31"/>
  <c r="AE125" i="31" s="1"/>
  <c r="AI125" i="31"/>
  <c r="AC127" i="31"/>
  <c r="AD127" i="31" s="1"/>
  <c r="AL127" i="31"/>
  <c r="AT127" i="31"/>
  <c r="AJ131" i="31"/>
  <c r="AO135" i="31"/>
  <c r="AC155" i="31"/>
  <c r="AD155" i="31" s="1"/>
  <c r="AK155" i="31"/>
  <c r="AJ155" i="31"/>
  <c r="AK225" i="31"/>
  <c r="Y105" i="31"/>
  <c r="AE105" i="31" s="1"/>
  <c r="AJ105" i="31"/>
  <c r="AC107" i="31"/>
  <c r="AD107" i="31" s="1"/>
  <c r="AL107" i="31"/>
  <c r="AT107" i="31"/>
  <c r="AO123" i="31"/>
  <c r="AJ125" i="31"/>
  <c r="AR125" i="31"/>
  <c r="AM127" i="31"/>
  <c r="D127" i="32" s="1"/>
  <c r="AK131" i="31"/>
  <c r="AS131" i="31"/>
  <c r="AP135" i="31"/>
  <c r="AB171" i="31"/>
  <c r="AK191" i="31"/>
  <c r="AC225" i="31"/>
  <c r="AD225" i="31" s="1"/>
  <c r="AJ229" i="31"/>
  <c r="AI235" i="31"/>
  <c r="AK105" i="31"/>
  <c r="AK125" i="31"/>
  <c r="AC131" i="31"/>
  <c r="AD131" i="31" s="1"/>
  <c r="AL131" i="31"/>
  <c r="AI135" i="31"/>
  <c r="AM149" i="31"/>
  <c r="D149" i="32" s="1"/>
  <c r="AC149" i="31"/>
  <c r="AD149" i="31" s="1"/>
  <c r="AS149" i="31"/>
  <c r="AK149" i="31"/>
  <c r="AJ149" i="31"/>
  <c r="Y149" i="31"/>
  <c r="AE149" i="31" s="1"/>
  <c r="AI149" i="31"/>
  <c r="AO149" i="31"/>
  <c r="AN149" i="31"/>
  <c r="AC171" i="31"/>
  <c r="AD171" i="31" s="1"/>
  <c r="AK171" i="31"/>
  <c r="AM141" i="31"/>
  <c r="D141" i="32" s="1"/>
  <c r="Y143" i="31"/>
  <c r="AE143" i="31" s="1"/>
  <c r="AI143" i="31"/>
  <c r="AM145" i="31"/>
  <c r="D145" i="32" s="1"/>
  <c r="AK147" i="31"/>
  <c r="AI151" i="31"/>
  <c r="AC153" i="31"/>
  <c r="AD153" i="31" s="1"/>
  <c r="AL153" i="31"/>
  <c r="AT153" i="31"/>
  <c r="Y157" i="31"/>
  <c r="AE157" i="31" s="1"/>
  <c r="AJ157" i="31"/>
  <c r="AM159" i="31"/>
  <c r="D159" i="32" s="1"/>
  <c r="AK163" i="31"/>
  <c r="AC165" i="31"/>
  <c r="AD165" i="31" s="1"/>
  <c r="AL165" i="31"/>
  <c r="AT165" i="31"/>
  <c r="AJ167" i="31"/>
  <c r="AM169" i="31"/>
  <c r="D169" i="32" s="1"/>
  <c r="Y191" i="31"/>
  <c r="AE191" i="31" s="1"/>
  <c r="AI191" i="31"/>
  <c r="AI223" i="31"/>
  <c r="AM225" i="31"/>
  <c r="D225" i="32" s="1"/>
  <c r="AI227" i="31"/>
  <c r="AQ227" i="31"/>
  <c r="AM229" i="31"/>
  <c r="D229" i="32" s="1"/>
  <c r="AI231" i="31"/>
  <c r="AQ231" i="31"/>
  <c r="AM233" i="31"/>
  <c r="D233" i="32" s="1"/>
  <c r="AC235" i="31"/>
  <c r="AD235" i="31" s="1"/>
  <c r="AC147" i="31"/>
  <c r="AD147" i="31" s="1"/>
  <c r="AL147" i="31"/>
  <c r="AT147" i="31"/>
  <c r="Y151" i="31"/>
  <c r="AE151" i="31" s="1"/>
  <c r="AJ151" i="31"/>
  <c r="AM153" i="31"/>
  <c r="D153" i="32" s="1"/>
  <c r="AK157" i="31"/>
  <c r="AS157" i="31"/>
  <c r="AN159" i="31"/>
  <c r="AI161" i="31"/>
  <c r="AC163" i="31"/>
  <c r="AD163" i="31" s="1"/>
  <c r="AL163" i="31"/>
  <c r="AM165" i="31"/>
  <c r="D165" i="32" s="1"/>
  <c r="AK167" i="31"/>
  <c r="AS167" i="31"/>
  <c r="AN169" i="31"/>
  <c r="Y171" i="31"/>
  <c r="AE171" i="31" s="1"/>
  <c r="AI171" i="31"/>
  <c r="AJ191" i="31"/>
  <c r="AN225" i="31"/>
  <c r="Y227" i="31"/>
  <c r="AE227" i="31" s="1"/>
  <c r="AJ227" i="31"/>
  <c r="AN229" i="31"/>
  <c r="Y231" i="31"/>
  <c r="AE231" i="31" s="1"/>
  <c r="AJ231" i="31"/>
  <c r="AJ221" i="31"/>
  <c r="Y141" i="31"/>
  <c r="AE141" i="31" s="1"/>
  <c r="AI141" i="31"/>
  <c r="Y145" i="31"/>
  <c r="AE145" i="31" s="1"/>
  <c r="AI145" i="31"/>
  <c r="AI159" i="31"/>
  <c r="AI169" i="31"/>
  <c r="AK221" i="31"/>
  <c r="AI225" i="31"/>
  <c r="AI229" i="31"/>
  <c r="AO233" i="31"/>
  <c r="AN233" i="31"/>
  <c r="AI233" i="31"/>
  <c r="AJ141" i="31"/>
  <c r="AR141" i="31"/>
  <c r="AJ145" i="31"/>
  <c r="AR145" i="31"/>
  <c r="AI153" i="31"/>
  <c r="Y159" i="31"/>
  <c r="AE159" i="31" s="1"/>
  <c r="AJ159" i="31"/>
  <c r="AI165" i="31"/>
  <c r="AJ169" i="31"/>
  <c r="AR169" i="31"/>
  <c r="Y225" i="31"/>
  <c r="AE225" i="31" s="1"/>
  <c r="Y229" i="31"/>
  <c r="AE229" i="31" s="1"/>
  <c r="Y233" i="31"/>
  <c r="AE233" i="31" s="1"/>
  <c r="AJ233" i="31"/>
  <c r="AK141" i="31"/>
  <c r="AK145" i="31"/>
  <c r="AK159" i="31"/>
  <c r="AI163" i="31"/>
  <c r="AK233" i="31"/>
  <c r="AT235" i="31"/>
  <c r="AS235" i="31"/>
  <c r="AK235" i="31"/>
  <c r="AR235" i="31"/>
  <c r="AJ235" i="31"/>
  <c r="Y235" i="31"/>
  <c r="AE235" i="31" s="1"/>
  <c r="AC145" i="31"/>
  <c r="AD145" i="31" s="1"/>
  <c r="AL145" i="31"/>
  <c r="Y147" i="31"/>
  <c r="AE147" i="31" s="1"/>
  <c r="AC159" i="31"/>
  <c r="AD159" i="31" s="1"/>
  <c r="AL159" i="31"/>
  <c r="Y167" i="31"/>
  <c r="AE167" i="31" s="1"/>
  <c r="AC169" i="31"/>
  <c r="AD169" i="31" s="1"/>
  <c r="AL169" i="31"/>
  <c r="AJ241" i="31"/>
  <c r="AI247" i="31"/>
  <c r="AJ249" i="31"/>
  <c r="AK259" i="31"/>
  <c r="AI271" i="31"/>
  <c r="AE291" i="31"/>
  <c r="AI239" i="31"/>
  <c r="AB241" i="31"/>
  <c r="AI243" i="31"/>
  <c r="AK249" i="31"/>
  <c r="AC251" i="31"/>
  <c r="AD251" i="31" s="1"/>
  <c r="AS251" i="31"/>
  <c r="AK251" i="31"/>
  <c r="AJ251" i="31"/>
  <c r="AB253" i="31"/>
  <c r="AO257" i="31"/>
  <c r="AN257" i="31"/>
  <c r="AM312" i="31"/>
  <c r="E257" i="32" s="1"/>
  <c r="AS257" i="31"/>
  <c r="AK257" i="31"/>
  <c r="AC271" i="31"/>
  <c r="AD271" i="31" s="1"/>
  <c r="AK295" i="31"/>
  <c r="AJ243" i="31"/>
  <c r="AM247" i="31"/>
  <c r="D247" i="32" s="1"/>
  <c r="AT247" i="31"/>
  <c r="AL247" i="31"/>
  <c r="AC247" i="31"/>
  <c r="AD247" i="31" s="1"/>
  <c r="Y247" i="31"/>
  <c r="AE247" i="31" s="1"/>
  <c r="AK247" i="31"/>
  <c r="AN283" i="31"/>
  <c r="AM283" i="31"/>
  <c r="D283" i="32" s="1"/>
  <c r="AC283" i="31"/>
  <c r="AD283" i="31" s="1"/>
  <c r="AS283" i="31"/>
  <c r="AK283" i="31"/>
  <c r="AJ283" i="31"/>
  <c r="AK239" i="31"/>
  <c r="AK243" i="31"/>
  <c r="AB245" i="31"/>
  <c r="AO261" i="31"/>
  <c r="AN261" i="31"/>
  <c r="AM261" i="31"/>
  <c r="D261" i="32" s="1"/>
  <c r="AS261" i="31"/>
  <c r="AK261" i="31"/>
  <c r="AN275" i="31"/>
  <c r="AM275" i="31"/>
  <c r="D275" i="32" s="1"/>
  <c r="AC275" i="31"/>
  <c r="AD275" i="31" s="1"/>
  <c r="AS275" i="31"/>
  <c r="AK275" i="31"/>
  <c r="AJ275" i="31"/>
  <c r="Y283" i="31"/>
  <c r="AE283" i="31" s="1"/>
  <c r="AI285" i="31"/>
  <c r="AI289" i="31"/>
  <c r="Y289" i="31"/>
  <c r="AE289" i="31" s="1"/>
  <c r="AO289" i="31"/>
  <c r="AC289" i="31"/>
  <c r="AD289" i="31" s="1"/>
  <c r="AP237" i="31"/>
  <c r="AC239" i="31"/>
  <c r="AD239" i="31" s="1"/>
  <c r="AB243" i="31"/>
  <c r="AB247" i="31"/>
  <c r="AO247" i="31"/>
  <c r="AC257" i="31"/>
  <c r="AD257" i="31" s="1"/>
  <c r="Y261" i="31"/>
  <c r="AE261" i="31" s="1"/>
  <c r="AI277" i="31"/>
  <c r="AJ285" i="31"/>
  <c r="AB287" i="31"/>
  <c r="AI237" i="31"/>
  <c r="AI253" i="31"/>
  <c r="AJ255" i="31"/>
  <c r="AJ271" i="31"/>
  <c r="AE275" i="31"/>
  <c r="AJ277" i="31"/>
  <c r="AJ289" i="31"/>
  <c r="Y237" i="31"/>
  <c r="AE237" i="31" s="1"/>
  <c r="AQ247" i="31"/>
  <c r="AK255" i="31"/>
  <c r="AC261" i="31"/>
  <c r="AD261" i="31" s="1"/>
  <c r="AJ291" i="31"/>
  <c r="AT239" i="31"/>
  <c r="AL239" i="31"/>
  <c r="AI283" i="31"/>
  <c r="AI295" i="31"/>
  <c r="AK253" i="31"/>
  <c r="AS253" i="31"/>
  <c r="AB275" i="31"/>
  <c r="Y279" i="31"/>
  <c r="AE279" i="31" s="1"/>
  <c r="AI279" i="31"/>
  <c r="AB283" i="31"/>
  <c r="AB291" i="31"/>
  <c r="AK291" i="31"/>
  <c r="AJ295" i="31"/>
  <c r="AR295" i="31"/>
  <c r="AP299" i="31"/>
  <c r="AI273" i="31"/>
  <c r="AJ279" i="31"/>
  <c r="AI299" i="31"/>
  <c r="AP245" i="31"/>
  <c r="AP249" i="31"/>
  <c r="AM253" i="31"/>
  <c r="D253" i="32" s="1"/>
  <c r="AI255" i="31"/>
  <c r="AI259" i="31"/>
  <c r="AO271" i="31"/>
  <c r="AJ273" i="31"/>
  <c r="AR273" i="31"/>
  <c r="AK279" i="31"/>
  <c r="AS279" i="31"/>
  <c r="AC295" i="31"/>
  <c r="AD295" i="31" s="1"/>
  <c r="AL295" i="31"/>
  <c r="Y299" i="31"/>
  <c r="AE299" i="31" s="1"/>
  <c r="AJ299" i="31"/>
  <c r="AR299" i="31"/>
  <c r="Y245" i="31"/>
  <c r="AE245" i="31" s="1"/>
  <c r="AI245" i="31"/>
  <c r="Y249" i="31"/>
  <c r="AE249" i="31" s="1"/>
  <c r="AI249" i="31"/>
  <c r="AN253" i="31"/>
  <c r="AK299" i="31"/>
  <c r="AE275" i="29"/>
  <c r="AJ565" i="29"/>
  <c r="AE433" i="29"/>
  <c r="AC197" i="29"/>
  <c r="AD197" i="29" s="1"/>
  <c r="AE503" i="29"/>
  <c r="AI665" i="29"/>
  <c r="AE531" i="29"/>
  <c r="AC569" i="29"/>
  <c r="AD569" i="29" s="1"/>
  <c r="AE5" i="29"/>
  <c r="AE341" i="29"/>
  <c r="AC561" i="29"/>
  <c r="AD561" i="29" s="1"/>
  <c r="AE561" i="29"/>
  <c r="AE645" i="29"/>
  <c r="AE683" i="29"/>
  <c r="AE65" i="29"/>
  <c r="AI199" i="29"/>
  <c r="AE307" i="29"/>
  <c r="AK567" i="29"/>
  <c r="AE569" i="29"/>
  <c r="AK577" i="29"/>
  <c r="AI149" i="29"/>
  <c r="AI329" i="29"/>
  <c r="AC515" i="29"/>
  <c r="AD515" i="29" s="1"/>
  <c r="AE221" i="29"/>
  <c r="AE451" i="29"/>
  <c r="AE551" i="29"/>
  <c r="AC83" i="29"/>
  <c r="AD83" i="29" s="1"/>
  <c r="AE97" i="29"/>
  <c r="AB531" i="29"/>
  <c r="AC89" i="29"/>
  <c r="AD89" i="29" s="1"/>
  <c r="AI285" i="29"/>
  <c r="AK513" i="29"/>
  <c r="AE571" i="29"/>
  <c r="AE643" i="29"/>
  <c r="AC85" i="29"/>
  <c r="AD85" i="29" s="1"/>
  <c r="AE227" i="29"/>
  <c r="AJ285" i="29"/>
  <c r="AE567" i="29"/>
  <c r="AC625" i="29"/>
  <c r="AD625" i="29" s="1"/>
  <c r="AJ11" i="29"/>
  <c r="AR73" i="29"/>
  <c r="AE215" i="29"/>
  <c r="AE355" i="29"/>
  <c r="AK555" i="29"/>
  <c r="AJ587" i="29"/>
  <c r="AC655" i="29"/>
  <c r="AD655" i="29" s="1"/>
  <c r="AJ201" i="29"/>
  <c r="AE217" i="29"/>
  <c r="AE351" i="29"/>
  <c r="AC411" i="29"/>
  <c r="AD411" i="29" s="1"/>
  <c r="AI415" i="29"/>
  <c r="AE537" i="29"/>
  <c r="AE635" i="29"/>
  <c r="AC7" i="29"/>
  <c r="AD7" i="29" s="1"/>
  <c r="AK165" i="29"/>
  <c r="AJ397" i="29"/>
  <c r="AE613" i="29"/>
  <c r="AE685" i="29"/>
  <c r="AC59" i="29"/>
  <c r="AD59" i="29" s="1"/>
  <c r="AJ49" i="29"/>
  <c r="AC27" i="29"/>
  <c r="AD27" i="29" s="1"/>
  <c r="AC61" i="29"/>
  <c r="AD61" i="29" s="1"/>
  <c r="AE63" i="29"/>
  <c r="AC117" i="29"/>
  <c r="AD117" i="29" s="1"/>
  <c r="AI189" i="29"/>
  <c r="AE309" i="29"/>
  <c r="AK327" i="29"/>
  <c r="AI335" i="29"/>
  <c r="AB355" i="29"/>
  <c r="AE437" i="29"/>
  <c r="AC509" i="29"/>
  <c r="AD509" i="29" s="1"/>
  <c r="AC587" i="29"/>
  <c r="AD587" i="29" s="1"/>
  <c r="AC595" i="29"/>
  <c r="AD595" i="29" s="1"/>
  <c r="AK609" i="29"/>
  <c r="AB635" i="29"/>
  <c r="AC51" i="29"/>
  <c r="AD51" i="29" s="1"/>
  <c r="AI81" i="29"/>
  <c r="AI121" i="29"/>
  <c r="AK127" i="29"/>
  <c r="AE147" i="29"/>
  <c r="AI157" i="29"/>
  <c r="AE169" i="29"/>
  <c r="AK203" i="29"/>
  <c r="AE313" i="29"/>
  <c r="AK399" i="29"/>
  <c r="AE467" i="29"/>
  <c r="AK499" i="29"/>
  <c r="AJ525" i="29"/>
  <c r="AC605" i="29"/>
  <c r="AD605" i="29" s="1"/>
  <c r="AK661" i="29"/>
  <c r="AE675" i="29"/>
  <c r="AE701" i="29"/>
  <c r="AK707" i="29"/>
  <c r="AJ405" i="29"/>
  <c r="AK501" i="29"/>
  <c r="AI587" i="29"/>
  <c r="AC75" i="29"/>
  <c r="AD75" i="29" s="1"/>
  <c r="AI77" i="29"/>
  <c r="AJ123" i="29"/>
  <c r="AI127" i="29"/>
  <c r="AR149" i="29"/>
  <c r="AB217" i="29"/>
  <c r="Y329" i="29"/>
  <c r="AE329" i="29" s="1"/>
  <c r="AE339" i="29"/>
  <c r="AB341" i="29"/>
  <c r="AE435" i="29"/>
  <c r="AB551" i="29"/>
  <c r="AJ563" i="29"/>
  <c r="AJ571" i="29"/>
  <c r="AC15" i="29"/>
  <c r="AD15" i="29" s="1"/>
  <c r="AK85" i="29"/>
  <c r="AC91" i="29"/>
  <c r="AD91" i="29" s="1"/>
  <c r="AE223" i="29"/>
  <c r="AI401" i="29"/>
  <c r="AK667" i="29"/>
  <c r="AK43" i="29"/>
  <c r="AJ57" i="29"/>
  <c r="AC79" i="29"/>
  <c r="AD79" i="29" s="1"/>
  <c r="AI87" i="29"/>
  <c r="AI125" i="29"/>
  <c r="AK293" i="29"/>
  <c r="AE421" i="29"/>
  <c r="AE499" i="29"/>
  <c r="AE549" i="29"/>
  <c r="AK561" i="29"/>
  <c r="AK569" i="29"/>
  <c r="AE589" i="29"/>
  <c r="AK607" i="29"/>
  <c r="AE637" i="29"/>
  <c r="AC659" i="29"/>
  <c r="AD659" i="29" s="1"/>
  <c r="AE191" i="29"/>
  <c r="AI201" i="29"/>
  <c r="AC303" i="29"/>
  <c r="AD303" i="29" s="1"/>
  <c r="AJ333" i="29"/>
  <c r="AE357" i="29"/>
  <c r="AI387" i="29"/>
  <c r="AJ519" i="29"/>
  <c r="AG539" i="29"/>
  <c r="AC579" i="29"/>
  <c r="AD579" i="29" s="1"/>
  <c r="AC603" i="29"/>
  <c r="AD603" i="29" s="1"/>
  <c r="AE641" i="29"/>
  <c r="AE681" i="29"/>
  <c r="AE703" i="29"/>
  <c r="AJ15" i="29"/>
  <c r="AI53" i="29"/>
  <c r="AB97" i="29"/>
  <c r="AK133" i="29"/>
  <c r="AB453" i="29"/>
  <c r="AE453" i="29"/>
  <c r="AC17" i="29"/>
  <c r="AD17" i="29" s="1"/>
  <c r="AC45" i="29"/>
  <c r="AD45" i="29" s="1"/>
  <c r="AK27" i="29"/>
  <c r="AJ37" i="29"/>
  <c r="AK45" i="29"/>
  <c r="AJ47" i="29"/>
  <c r="AB63" i="29"/>
  <c r="AI69" i="29"/>
  <c r="AC71" i="29"/>
  <c r="AD71" i="29" s="1"/>
  <c r="AC73" i="29"/>
  <c r="AD73" i="29" s="1"/>
  <c r="AT73" i="29"/>
  <c r="AQ75" i="29"/>
  <c r="AQ85" i="29"/>
  <c r="AK89" i="29"/>
  <c r="AE91" i="29"/>
  <c r="AK157" i="29"/>
  <c r="Y157" i="29"/>
  <c r="AE157" i="29" s="1"/>
  <c r="AE219" i="29"/>
  <c r="AB219" i="29"/>
  <c r="AK25" i="29"/>
  <c r="AK19" i="29"/>
  <c r="AC29" i="29"/>
  <c r="AD29" i="29" s="1"/>
  <c r="AC39" i="29"/>
  <c r="AD39" i="29" s="1"/>
  <c r="AC49" i="29"/>
  <c r="AD49" i="29" s="1"/>
  <c r="AJ55" i="29"/>
  <c r="AC57" i="29"/>
  <c r="AD57" i="29" s="1"/>
  <c r="AJ69" i="29"/>
  <c r="AJ91" i="29"/>
  <c r="AE95" i="29"/>
  <c r="AJ115" i="29"/>
  <c r="AI135" i="29"/>
  <c r="AC185" i="29"/>
  <c r="AD185" i="29" s="1"/>
  <c r="AC249" i="29"/>
  <c r="AD249" i="29" s="1"/>
  <c r="AE301" i="29"/>
  <c r="AB301" i="29"/>
  <c r="AI601" i="29"/>
  <c r="AQ601" i="29"/>
  <c r="AC601" i="29"/>
  <c r="AD601" i="29" s="1"/>
  <c r="AK11" i="29"/>
  <c r="AK23" i="29"/>
  <c r="AJ9" i="29"/>
  <c r="AI21" i="29"/>
  <c r="AJ29" i="29"/>
  <c r="AC41" i="29"/>
  <c r="AD41" i="29" s="1"/>
  <c r="AJ77" i="29"/>
  <c r="AK83" i="29"/>
  <c r="AJ87" i="29"/>
  <c r="AK111" i="29"/>
  <c r="AC119" i="29"/>
  <c r="AD119" i="29" s="1"/>
  <c r="AC125" i="29"/>
  <c r="AD125" i="29" s="1"/>
  <c r="AC145" i="29"/>
  <c r="AD145" i="29" s="1"/>
  <c r="AK149" i="29"/>
  <c r="AI165" i="29"/>
  <c r="AB169" i="29"/>
  <c r="AB181" i="29"/>
  <c r="AE181" i="29"/>
  <c r="AP393" i="29"/>
  <c r="AM393" i="29"/>
  <c r="D393" i="30" s="1"/>
  <c r="Y393" i="29"/>
  <c r="AE393" i="29" s="1"/>
  <c r="AE225" i="29"/>
  <c r="AB225" i="29"/>
  <c r="AI35" i="29"/>
  <c r="AK57" i="29"/>
  <c r="AC13" i="29"/>
  <c r="AD13" i="29" s="1"/>
  <c r="AI23" i="29"/>
  <c r="AK47" i="29"/>
  <c r="AC55" i="29"/>
  <c r="AD55" i="29" s="1"/>
  <c r="AI73" i="29"/>
  <c r="AC77" i="29"/>
  <c r="AD77" i="29" s="1"/>
  <c r="AC87" i="29"/>
  <c r="AD87" i="29" s="1"/>
  <c r="AJ137" i="29"/>
  <c r="AI161" i="29"/>
  <c r="AC163" i="29"/>
  <c r="AD163" i="29" s="1"/>
  <c r="AK197" i="29"/>
  <c r="AI197" i="29"/>
  <c r="AK201" i="29"/>
  <c r="AE455" i="29"/>
  <c r="AB455" i="29"/>
  <c r="AC25" i="29"/>
  <c r="AD25" i="29" s="1"/>
  <c r="AJ35" i="29"/>
  <c r="AJ73" i="29"/>
  <c r="AJ81" i="29"/>
  <c r="AI93" i="29"/>
  <c r="AB179" i="29"/>
  <c r="AE179" i="29"/>
  <c r="AK409" i="29"/>
  <c r="Y27" i="29"/>
  <c r="AE27" i="29" s="1"/>
  <c r="AC31" i="29"/>
  <c r="AD31" i="29" s="1"/>
  <c r="AK33" i="29"/>
  <c r="Y35" i="29"/>
  <c r="AE35" i="29" s="1"/>
  <c r="AC43" i="29"/>
  <c r="AD43" i="29" s="1"/>
  <c r="AJ7" i="29"/>
  <c r="AK15" i="29"/>
  <c r="AC33" i="29"/>
  <c r="AD33" i="29" s="1"/>
  <c r="AI37" i="29"/>
  <c r="AK39" i="29"/>
  <c r="AK41" i="29"/>
  <c r="AC63" i="29"/>
  <c r="AD63" i="29" s="1"/>
  <c r="AC69" i="29"/>
  <c r="AD69" i="29" s="1"/>
  <c r="AC81" i="29"/>
  <c r="AD81" i="29" s="1"/>
  <c r="AI91" i="29"/>
  <c r="AE99" i="29"/>
  <c r="AK115" i="29"/>
  <c r="AI117" i="29"/>
  <c r="AC127" i="29"/>
  <c r="AD127" i="29" s="1"/>
  <c r="AC135" i="29"/>
  <c r="AD135" i="29" s="1"/>
  <c r="AJ145" i="29"/>
  <c r="AC147" i="29"/>
  <c r="AD147" i="29" s="1"/>
  <c r="AI153" i="29"/>
  <c r="AC155" i="29"/>
  <c r="AD155" i="29" s="1"/>
  <c r="AE177" i="29"/>
  <c r="AE197" i="29"/>
  <c r="AC191" i="29"/>
  <c r="AD191" i="29" s="1"/>
  <c r="AJ193" i="29"/>
  <c r="AE311" i="29"/>
  <c r="AE337" i="29"/>
  <c r="AI393" i="29"/>
  <c r="AK397" i="29"/>
  <c r="AJ401" i="29"/>
  <c r="AF409" i="29"/>
  <c r="AJ411" i="29"/>
  <c r="AJ415" i="29"/>
  <c r="AC421" i="29"/>
  <c r="AD421" i="29" s="1"/>
  <c r="AE457" i="29"/>
  <c r="AC459" i="29"/>
  <c r="AD459" i="29" s="1"/>
  <c r="AJ509" i="29"/>
  <c r="AI509" i="29"/>
  <c r="AI277" i="29"/>
  <c r="AC293" i="29"/>
  <c r="AD293" i="29" s="1"/>
  <c r="AJ385" i="29"/>
  <c r="AJ393" i="29"/>
  <c r="AI395" i="29"/>
  <c r="AC397" i="29"/>
  <c r="AD397" i="29" s="1"/>
  <c r="AC405" i="29"/>
  <c r="AD405" i="29" s="1"/>
  <c r="AK411" i="29"/>
  <c r="AK413" i="29"/>
  <c r="AI421" i="29"/>
  <c r="AJ461" i="29"/>
  <c r="AC619" i="29"/>
  <c r="AD619" i="29" s="1"/>
  <c r="AB307" i="29"/>
  <c r="AB309" i="29"/>
  <c r="AI327" i="29"/>
  <c r="Y327" i="29"/>
  <c r="AE327" i="29" s="1"/>
  <c r="AK331" i="29"/>
  <c r="Y331" i="29"/>
  <c r="AE331" i="29" s="1"/>
  <c r="AE379" i="29"/>
  <c r="AC403" i="29"/>
  <c r="AD403" i="29" s="1"/>
  <c r="AB433" i="29"/>
  <c r="AB435" i="29"/>
  <c r="AE461" i="29"/>
  <c r="AE463" i="29"/>
  <c r="AC513" i="29"/>
  <c r="AD513" i="29" s="1"/>
  <c r="AI513" i="29"/>
  <c r="AG537" i="29"/>
  <c r="AJ537" i="29"/>
  <c r="AI295" i="29"/>
  <c r="AC393" i="29"/>
  <c r="AD393" i="29" s="1"/>
  <c r="AC195" i="29"/>
  <c r="AD195" i="29" s="1"/>
  <c r="AE195" i="29"/>
  <c r="AC199" i="29"/>
  <c r="AD199" i="29" s="1"/>
  <c r="AC201" i="29"/>
  <c r="AD201" i="29" s="1"/>
  <c r="AK285" i="29"/>
  <c r="AB327" i="29"/>
  <c r="AB331" i="29"/>
  <c r="AT331" i="29"/>
  <c r="AI385" i="29"/>
  <c r="Y387" i="29"/>
  <c r="AE387" i="29" s="1"/>
  <c r="AB437" i="29"/>
  <c r="AC279" i="29"/>
  <c r="AD279" i="29" s="1"/>
  <c r="AC331" i="29"/>
  <c r="AD331" i="29" s="1"/>
  <c r="Y335" i="29"/>
  <c r="AE335" i="29" s="1"/>
  <c r="AK387" i="29"/>
  <c r="AG409" i="29"/>
  <c r="AJ245" i="29"/>
  <c r="AC295" i="29"/>
  <c r="AD295" i="29" s="1"/>
  <c r="AC333" i="29"/>
  <c r="AD333" i="29" s="1"/>
  <c r="Y333" i="29"/>
  <c r="AE333" i="29" s="1"/>
  <c r="AE383" i="29"/>
  <c r="AC387" i="29"/>
  <c r="AD387" i="29" s="1"/>
  <c r="AJ399" i="29"/>
  <c r="Y399" i="29"/>
  <c r="AE399" i="29" s="1"/>
  <c r="AI405" i="29"/>
  <c r="AJ409" i="29"/>
  <c r="Y409" i="29"/>
  <c r="AE409" i="29" s="1"/>
  <c r="AJ413" i="29"/>
  <c r="AC621" i="29"/>
  <c r="AD621" i="29" s="1"/>
  <c r="AC563" i="29"/>
  <c r="AD563" i="29" s="1"/>
  <c r="AE585" i="29"/>
  <c r="AK621" i="29"/>
  <c r="AC633" i="29"/>
  <c r="AD633" i="29" s="1"/>
  <c r="AJ695" i="29"/>
  <c r="AC511" i="29"/>
  <c r="AD511" i="29" s="1"/>
  <c r="Y523" i="29"/>
  <c r="AE523" i="29" s="1"/>
  <c r="AJ555" i="29"/>
  <c r="Y555" i="29"/>
  <c r="AE555" i="29" s="1"/>
  <c r="AJ557" i="29"/>
  <c r="AK559" i="29"/>
  <c r="AC571" i="29"/>
  <c r="AD571" i="29" s="1"/>
  <c r="AI573" i="29"/>
  <c r="AB585" i="29"/>
  <c r="AI593" i="29"/>
  <c r="AI595" i="29"/>
  <c r="AI599" i="29"/>
  <c r="AC611" i="29"/>
  <c r="AD611" i="29" s="1"/>
  <c r="AK613" i="29"/>
  <c r="AI633" i="29"/>
  <c r="AB643" i="29"/>
  <c r="AB645" i="29"/>
  <c r="AC657" i="29"/>
  <c r="AD657" i="29" s="1"/>
  <c r="AE689" i="29"/>
  <c r="AK507" i="29"/>
  <c r="AK521" i="29"/>
  <c r="AK557" i="29"/>
  <c r="AC567" i="29"/>
  <c r="AD567" i="29" s="1"/>
  <c r="AK587" i="29"/>
  <c r="AJ595" i="29"/>
  <c r="AC599" i="29"/>
  <c r="AD599" i="29" s="1"/>
  <c r="AK611" i="29"/>
  <c r="AK627" i="29"/>
  <c r="AC627" i="29"/>
  <c r="AD627" i="29" s="1"/>
  <c r="AC673" i="29"/>
  <c r="AD673" i="29" s="1"/>
  <c r="AE501" i="29"/>
  <c r="AK515" i="29"/>
  <c r="AC539" i="29"/>
  <c r="AD539" i="29" s="1"/>
  <c r="AQ541" i="29"/>
  <c r="AC573" i="29"/>
  <c r="AD573" i="29" s="1"/>
  <c r="AP595" i="29"/>
  <c r="AC609" i="29"/>
  <c r="AD609" i="29" s="1"/>
  <c r="AE647" i="29"/>
  <c r="AK659" i="29"/>
  <c r="AE677" i="29"/>
  <c r="AC521" i="29"/>
  <c r="AD521" i="29" s="1"/>
  <c r="AE535" i="29"/>
  <c r="AJ561" i="29"/>
  <c r="AR595" i="29"/>
  <c r="AJ599" i="29"/>
  <c r="AK625" i="29"/>
  <c r="AC661" i="29"/>
  <c r="AD661" i="29" s="1"/>
  <c r="Y661" i="29"/>
  <c r="AE661" i="29" s="1"/>
  <c r="Y663" i="29"/>
  <c r="AE663" i="29" s="1"/>
  <c r="AI689" i="29"/>
  <c r="AE699" i="29"/>
  <c r="AC707" i="29"/>
  <c r="AD707" i="29" s="1"/>
  <c r="AJ523" i="29"/>
  <c r="AC529" i="29"/>
  <c r="AD529" i="29" s="1"/>
  <c r="AI541" i="29"/>
  <c r="AE547" i="29"/>
  <c r="AJ569" i="29"/>
  <c r="AK579" i="29"/>
  <c r="AC607" i="29"/>
  <c r="AD607" i="29" s="1"/>
  <c r="AJ661" i="29"/>
  <c r="AE697" i="29"/>
  <c r="AB699" i="29"/>
  <c r="AC705" i="29"/>
  <c r="AD705" i="29" s="1"/>
  <c r="AE563" i="29"/>
  <c r="AI579" i="29"/>
  <c r="AI603" i="29"/>
  <c r="AK619" i="29"/>
  <c r="AK623" i="29"/>
  <c r="AC623" i="29"/>
  <c r="AD623" i="29" s="1"/>
  <c r="AK655" i="29"/>
  <c r="AK657" i="29"/>
  <c r="AC691" i="29"/>
  <c r="AD691" i="29" s="1"/>
  <c r="AK17" i="29"/>
  <c r="AC11" i="29"/>
  <c r="AD11" i="29" s="1"/>
  <c r="Y21" i="29"/>
  <c r="AE21" i="29" s="1"/>
  <c r="AJ21" i="29"/>
  <c r="AK35" i="29"/>
  <c r="AI39" i="29"/>
  <c r="AK49" i="29"/>
  <c r="AM7" i="29"/>
  <c r="D7" i="30" s="1"/>
  <c r="Y9" i="29"/>
  <c r="AE9" i="29" s="1"/>
  <c r="AI9" i="29"/>
  <c r="AM11" i="29"/>
  <c r="D11" i="30" s="1"/>
  <c r="Y13" i="29"/>
  <c r="AE13" i="29" s="1"/>
  <c r="AI13" i="29"/>
  <c r="AO15" i="29"/>
  <c r="AM17" i="29"/>
  <c r="D17" i="30" s="1"/>
  <c r="AC19" i="29"/>
  <c r="AD19" i="29" s="1"/>
  <c r="AL19" i="29"/>
  <c r="AK21" i="29"/>
  <c r="AS21" i="29"/>
  <c r="Y23" i="29"/>
  <c r="AE23" i="29" s="1"/>
  <c r="AJ23" i="29"/>
  <c r="AR23" i="29"/>
  <c r="AI25" i="29"/>
  <c r="AQ25" i="29"/>
  <c r="AP27" i="29"/>
  <c r="AO29" i="29"/>
  <c r="AN31" i="29"/>
  <c r="AM33" i="29"/>
  <c r="D33" i="30" s="1"/>
  <c r="AC35" i="29"/>
  <c r="AD35" i="29" s="1"/>
  <c r="AL35" i="29"/>
  <c r="AK37" i="29"/>
  <c r="AS37" i="29"/>
  <c r="Y39" i="29"/>
  <c r="AE39" i="29" s="1"/>
  <c r="AJ39" i="29"/>
  <c r="AR39" i="29"/>
  <c r="AI41" i="29"/>
  <c r="AQ41" i="29"/>
  <c r="AP43" i="29"/>
  <c r="AQ45" i="29"/>
  <c r="AI51" i="29"/>
  <c r="AI59" i="29"/>
  <c r="Y61" i="29"/>
  <c r="AE61" i="29" s="1"/>
  <c r="AJ61" i="29"/>
  <c r="AR63" i="29"/>
  <c r="AJ63" i="29"/>
  <c r="AM63" i="29"/>
  <c r="D63" i="30" s="1"/>
  <c r="AC93" i="29"/>
  <c r="AD93" i="29" s="1"/>
  <c r="AK113" i="29"/>
  <c r="AR113" i="29"/>
  <c r="AJ113" i="29"/>
  <c r="Y113" i="29"/>
  <c r="AE113" i="29" s="1"/>
  <c r="AI113" i="29"/>
  <c r="AM113" i="29"/>
  <c r="D113" i="30" s="1"/>
  <c r="AC113" i="29"/>
  <c r="AD113" i="29" s="1"/>
  <c r="AC121" i="29"/>
  <c r="AD121" i="29" s="1"/>
  <c r="AS121" i="29"/>
  <c r="AK121" i="29"/>
  <c r="AJ121" i="29"/>
  <c r="Y121" i="29"/>
  <c r="AE121" i="29" s="1"/>
  <c r="AN121" i="29"/>
  <c r="AC141" i="29"/>
  <c r="AD141" i="29" s="1"/>
  <c r="AK141" i="29"/>
  <c r="AJ141" i="29"/>
  <c r="AI141" i="29"/>
  <c r="AG145" i="29"/>
  <c r="BA170" i="29"/>
  <c r="AZ170" i="29"/>
  <c r="AY170" i="29"/>
  <c r="AX170" i="29"/>
  <c r="AC247" i="29"/>
  <c r="AD247" i="29" s="1"/>
  <c r="AK247" i="29"/>
  <c r="AJ13" i="29"/>
  <c r="AC21" i="29"/>
  <c r="AD21" i="29" s="1"/>
  <c r="AJ25" i="29"/>
  <c r="AI27" i="29"/>
  <c r="AC37" i="29"/>
  <c r="AD37" i="29" s="1"/>
  <c r="AJ41" i="29"/>
  <c r="AI43" i="29"/>
  <c r="AI45" i="29"/>
  <c r="AK55" i="29"/>
  <c r="AI63" i="29"/>
  <c r="AB101" i="29"/>
  <c r="AE101" i="29"/>
  <c r="AB109" i="29"/>
  <c r="AK143" i="29"/>
  <c r="AI143" i="29"/>
  <c r="AB175" i="29"/>
  <c r="AE175" i="29"/>
  <c r="AB5" i="29"/>
  <c r="AB9" i="29"/>
  <c r="AK9" i="29"/>
  <c r="AB13" i="29"/>
  <c r="AK13" i="29"/>
  <c r="AI15" i="29"/>
  <c r="AC23" i="29"/>
  <c r="AD23" i="29" s="1"/>
  <c r="AJ27" i="29"/>
  <c r="AI29" i="29"/>
  <c r="AJ43" i="29"/>
  <c r="AI49" i="29"/>
  <c r="AJ53" i="29"/>
  <c r="AI57" i="29"/>
  <c r="AK63" i="29"/>
  <c r="AB99" i="29"/>
  <c r="AC109" i="29"/>
  <c r="AD109" i="29" s="1"/>
  <c r="AK109" i="29"/>
  <c r="AI109" i="29"/>
  <c r="Y109" i="29"/>
  <c r="AE109" i="29" s="1"/>
  <c r="AO109" i="29"/>
  <c r="AC9" i="29"/>
  <c r="AD9" i="29" s="1"/>
  <c r="AI31" i="29"/>
  <c r="AQ47" i="29"/>
  <c r="AI47" i="29"/>
  <c r="AC47" i="29"/>
  <c r="AD47" i="29" s="1"/>
  <c r="AK53" i="29"/>
  <c r="AR71" i="29"/>
  <c r="AJ71" i="29"/>
  <c r="Y71" i="29"/>
  <c r="AE71" i="29" s="1"/>
  <c r="AI71" i="29"/>
  <c r="AR75" i="29"/>
  <c r="AJ75" i="29"/>
  <c r="Y75" i="29"/>
  <c r="AE75" i="29" s="1"/>
  <c r="AI75" i="29"/>
  <c r="AR79" i="29"/>
  <c r="AJ79" i="29"/>
  <c r="Y79" i="29"/>
  <c r="AE79" i="29" s="1"/>
  <c r="AI79" i="29"/>
  <c r="AR83" i="29"/>
  <c r="AJ83" i="29"/>
  <c r="Y83" i="29"/>
  <c r="AE83" i="29" s="1"/>
  <c r="AI83" i="29"/>
  <c r="AR85" i="29"/>
  <c r="AJ85" i="29"/>
  <c r="Y85" i="29"/>
  <c r="AE85" i="29" s="1"/>
  <c r="AI85" i="29"/>
  <c r="AR89" i="29"/>
  <c r="AJ89" i="29"/>
  <c r="Y89" i="29"/>
  <c r="AE89" i="29" s="1"/>
  <c r="AI89" i="29"/>
  <c r="AC115" i="29"/>
  <c r="AD115" i="29" s="1"/>
  <c r="AI147" i="29"/>
  <c r="AG147" i="29"/>
  <c r="AK147" i="29"/>
  <c r="AK155" i="29"/>
  <c r="Y7" i="29"/>
  <c r="AE7" i="29" s="1"/>
  <c r="AI7" i="29"/>
  <c r="Y11" i="29"/>
  <c r="AE11" i="29" s="1"/>
  <c r="AI11" i="29"/>
  <c r="AI17" i="29"/>
  <c r="AK29" i="29"/>
  <c r="Y31" i="29"/>
  <c r="AE31" i="29" s="1"/>
  <c r="AJ31" i="29"/>
  <c r="AI33" i="29"/>
  <c r="AJ51" i="29"/>
  <c r="AI55" i="29"/>
  <c r="AJ59" i="29"/>
  <c r="AE67" i="29"/>
  <c r="AS69" i="29"/>
  <c r="AK69" i="29"/>
  <c r="AN69" i="29"/>
  <c r="Y69" i="29"/>
  <c r="AE69" i="29" s="1"/>
  <c r="AK71" i="29"/>
  <c r="AS73" i="29"/>
  <c r="AK73" i="29"/>
  <c r="AN73" i="29"/>
  <c r="Y73" i="29"/>
  <c r="AE73" i="29" s="1"/>
  <c r="AK75" i="29"/>
  <c r="AS77" i="29"/>
  <c r="AK77" i="29"/>
  <c r="AN77" i="29"/>
  <c r="Y77" i="29"/>
  <c r="AE77" i="29" s="1"/>
  <c r="AK79" i="29"/>
  <c r="AS81" i="29"/>
  <c r="AK81" i="29"/>
  <c r="AN81" i="29"/>
  <c r="Y81" i="29"/>
  <c r="AE81" i="29" s="1"/>
  <c r="AS87" i="29"/>
  <c r="AK87" i="29"/>
  <c r="AN87" i="29"/>
  <c r="Y87" i="29"/>
  <c r="AE87" i="29" s="1"/>
  <c r="AK93" i="29"/>
  <c r="AJ93" i="29"/>
  <c r="AJ109" i="29"/>
  <c r="AC133" i="29"/>
  <c r="AD133" i="29" s="1"/>
  <c r="AK163" i="29"/>
  <c r="AE3" i="29"/>
  <c r="Y17" i="29"/>
  <c r="AE17" i="29" s="1"/>
  <c r="AJ17" i="29"/>
  <c r="AI19" i="29"/>
  <c r="AK31" i="29"/>
  <c r="Y33" i="29"/>
  <c r="AE33" i="29" s="1"/>
  <c r="AJ33" i="29"/>
  <c r="AR45" i="29"/>
  <c r="AJ45" i="29"/>
  <c r="Y45" i="29"/>
  <c r="AE45" i="29" s="1"/>
  <c r="AK51" i="29"/>
  <c r="AC53" i="29"/>
  <c r="AD53" i="29" s="1"/>
  <c r="AK59" i="29"/>
  <c r="AB69" i="29"/>
  <c r="AB73" i="29"/>
  <c r="AB77" i="29"/>
  <c r="AB81" i="29"/>
  <c r="AB87" i="29"/>
  <c r="AS91" i="29"/>
  <c r="AK91" i="29"/>
  <c r="AK119" i="29"/>
  <c r="AI297" i="29"/>
  <c r="AC297" i="29"/>
  <c r="AD297" i="29" s="1"/>
  <c r="AK297" i="29"/>
  <c r="AJ19" i="29"/>
  <c r="AS61" i="29"/>
  <c r="AK61" i="29"/>
  <c r="AG91" i="29"/>
  <c r="AK139" i="29"/>
  <c r="AR139" i="29"/>
  <c r="AJ139" i="29"/>
  <c r="AI139" i="29"/>
  <c r="Y139" i="29"/>
  <c r="AE139" i="29" s="1"/>
  <c r="AM139" i="29"/>
  <c r="D139" i="30" s="1"/>
  <c r="AC139" i="29"/>
  <c r="AD139" i="29" s="1"/>
  <c r="AK7" i="29"/>
  <c r="Y37" i="29"/>
  <c r="AE37" i="29" s="1"/>
  <c r="AI61" i="29"/>
  <c r="AB93" i="29"/>
  <c r="AE93" i="29"/>
  <c r="AE103" i="29"/>
  <c r="AB103" i="29"/>
  <c r="AC111" i="29"/>
  <c r="AD111" i="29" s="1"/>
  <c r="AT123" i="29"/>
  <c r="AL123" i="29"/>
  <c r="AC123" i="29"/>
  <c r="AD123" i="29" s="1"/>
  <c r="AK123" i="29"/>
  <c r="AI123" i="29"/>
  <c r="AO123" i="29"/>
  <c r="Y123" i="29"/>
  <c r="AE123" i="29" s="1"/>
  <c r="AI145" i="29"/>
  <c r="AI111" i="29"/>
  <c r="AI119" i="29"/>
  <c r="Y125" i="29"/>
  <c r="AE125" i="29" s="1"/>
  <c r="AJ125" i="29"/>
  <c r="AO127" i="29"/>
  <c r="Y133" i="29"/>
  <c r="AE133" i="29" s="1"/>
  <c r="AI133" i="29"/>
  <c r="AJ135" i="29"/>
  <c r="AB137" i="29"/>
  <c r="AK137" i="29"/>
  <c r="AR143" i="29"/>
  <c r="AJ143" i="29"/>
  <c r="AE143" i="29"/>
  <c r="AM151" i="29"/>
  <c r="D151" i="30" s="1"/>
  <c r="Y153" i="29"/>
  <c r="AE153" i="29" s="1"/>
  <c r="AK153" i="29"/>
  <c r="AI155" i="29"/>
  <c r="AM159" i="29"/>
  <c r="D159" i="30" s="1"/>
  <c r="Y161" i="29"/>
  <c r="AE161" i="29" s="1"/>
  <c r="AK161" i="29"/>
  <c r="AI163" i="29"/>
  <c r="AM167" i="29"/>
  <c r="D167" i="30" s="1"/>
  <c r="AX168" i="29"/>
  <c r="AE171" i="29"/>
  <c r="AZ172" i="29"/>
  <c r="AE173" i="29"/>
  <c r="AJ185" i="29"/>
  <c r="Y111" i="29"/>
  <c r="AE111" i="29" s="1"/>
  <c r="AJ111" i="29"/>
  <c r="AR111" i="29"/>
  <c r="AI115" i="29"/>
  <c r="AN117" i="29"/>
  <c r="Y119" i="29"/>
  <c r="AE119" i="29" s="1"/>
  <c r="AJ119" i="29"/>
  <c r="AK125" i="29"/>
  <c r="AS125" i="29"/>
  <c r="AP127" i="29"/>
  <c r="AJ133" i="29"/>
  <c r="AR133" i="29"/>
  <c r="AK135" i="29"/>
  <c r="AS135" i="29"/>
  <c r="AC137" i="29"/>
  <c r="AD137" i="29" s="1"/>
  <c r="AL137" i="29"/>
  <c r="AT137" i="29"/>
  <c r="AE141" i="29"/>
  <c r="AP143" i="29"/>
  <c r="AE145" i="29"/>
  <c r="AN151" i="29"/>
  <c r="Y155" i="29"/>
  <c r="AE155" i="29" s="1"/>
  <c r="AJ155" i="29"/>
  <c r="AS155" i="29"/>
  <c r="AN159" i="29"/>
  <c r="Y163" i="29"/>
  <c r="AE163" i="29" s="1"/>
  <c r="AJ163" i="29"/>
  <c r="AS163" i="29"/>
  <c r="AN167" i="29"/>
  <c r="AY168" i="29"/>
  <c r="BA172" i="29"/>
  <c r="AB173" i="29"/>
  <c r="AK185" i="29"/>
  <c r="AY220" i="29"/>
  <c r="AZ220" i="29" s="1"/>
  <c r="BA220" i="29" s="1"/>
  <c r="BB220" i="29" s="1"/>
  <c r="BC220" i="29" s="1"/>
  <c r="AY226" i="29"/>
  <c r="AZ226" i="29" s="1"/>
  <c r="BA226" i="29" s="1"/>
  <c r="BB226" i="29" s="1"/>
  <c r="BC226" i="29" s="1"/>
  <c r="AJ297" i="29"/>
  <c r="Y127" i="29"/>
  <c r="AE127" i="29" s="1"/>
  <c r="AJ127" i="29"/>
  <c r="AR127" i="29"/>
  <c r="AT149" i="29"/>
  <c r="AL149" i="29"/>
  <c r="AC149" i="29"/>
  <c r="AD149" i="29" s="1"/>
  <c r="AJ149" i="29"/>
  <c r="AT157" i="29"/>
  <c r="AL157" i="29"/>
  <c r="AC157" i="29"/>
  <c r="AD157" i="29" s="1"/>
  <c r="AJ157" i="29"/>
  <c r="AT165" i="29"/>
  <c r="AL165" i="29"/>
  <c r="AC165" i="29"/>
  <c r="AD165" i="29" s="1"/>
  <c r="AJ165" i="29"/>
  <c r="AI185" i="29"/>
  <c r="AJ203" i="29"/>
  <c r="AY218" i="29"/>
  <c r="AZ218" i="29" s="1"/>
  <c r="BA218" i="29" s="1"/>
  <c r="BB218" i="29" s="1"/>
  <c r="BC218" i="29" s="1"/>
  <c r="AY224" i="29"/>
  <c r="AZ224" i="29" s="1"/>
  <c r="BA224" i="29" s="1"/>
  <c r="BB224" i="29" s="1"/>
  <c r="BC224" i="29" s="1"/>
  <c r="AI245" i="29"/>
  <c r="AC323" i="29"/>
  <c r="AD323" i="29" s="1"/>
  <c r="AJ323" i="29"/>
  <c r="AE323" i="29"/>
  <c r="AB323" i="29"/>
  <c r="AI151" i="29"/>
  <c r="AI159" i="29"/>
  <c r="AI167" i="29"/>
  <c r="AC187" i="29"/>
  <c r="AD187" i="29" s="1"/>
  <c r="AT189" i="29"/>
  <c r="AL189" i="29"/>
  <c r="AC189" i="29"/>
  <c r="AD189" i="29" s="1"/>
  <c r="AK189" i="29"/>
  <c r="AJ189" i="29"/>
  <c r="AI203" i="29"/>
  <c r="AC203" i="29"/>
  <c r="AD203" i="29" s="1"/>
  <c r="Y117" i="29"/>
  <c r="AE117" i="29" s="1"/>
  <c r="AJ117" i="29"/>
  <c r="AK145" i="29"/>
  <c r="Y151" i="29"/>
  <c r="AE151" i="29" s="1"/>
  <c r="AJ151" i="29"/>
  <c r="Y159" i="29"/>
  <c r="AE159" i="29" s="1"/>
  <c r="AJ159" i="29"/>
  <c r="Y167" i="29"/>
  <c r="AE167" i="29" s="1"/>
  <c r="AJ167" i="29"/>
  <c r="AC183" i="29"/>
  <c r="AD183" i="29" s="1"/>
  <c r="AS183" i="29"/>
  <c r="AK183" i="29"/>
  <c r="AJ183" i="29"/>
  <c r="AI183" i="29"/>
  <c r="Y183" i="29"/>
  <c r="AE183" i="29" s="1"/>
  <c r="AB185" i="29"/>
  <c r="Y189" i="29"/>
  <c r="AE189" i="29" s="1"/>
  <c r="AY216" i="29"/>
  <c r="AZ216" i="29" s="1"/>
  <c r="BA216" i="29" s="1"/>
  <c r="BB216" i="29" s="1"/>
  <c r="BC216" i="29" s="1"/>
  <c r="AC277" i="29"/>
  <c r="AD277" i="29" s="1"/>
  <c r="AK277" i="29"/>
  <c r="AJ277" i="29"/>
  <c r="AK117" i="29"/>
  <c r="Y137" i="29"/>
  <c r="AE137" i="29" s="1"/>
  <c r="AI137" i="29"/>
  <c r="AC143" i="29"/>
  <c r="AD143" i="29" s="1"/>
  <c r="AK151" i="29"/>
  <c r="AT151" i="29"/>
  <c r="AK159" i="29"/>
  <c r="AT159" i="29"/>
  <c r="AK167" i="29"/>
  <c r="AT167" i="29"/>
  <c r="AX172" i="29"/>
  <c r="AI193" i="29"/>
  <c r="AC193" i="29"/>
  <c r="AD193" i="29" s="1"/>
  <c r="AK193" i="29"/>
  <c r="AE193" i="29"/>
  <c r="AB193" i="29"/>
  <c r="Y135" i="29"/>
  <c r="AE135" i="29" s="1"/>
  <c r="AC151" i="29"/>
  <c r="AD151" i="29" s="1"/>
  <c r="AT153" i="29"/>
  <c r="AL153" i="29"/>
  <c r="AC153" i="29"/>
  <c r="AD153" i="29" s="1"/>
  <c r="AJ153" i="29"/>
  <c r="AC159" i="29"/>
  <c r="AD159" i="29" s="1"/>
  <c r="AT161" i="29"/>
  <c r="AL161" i="29"/>
  <c r="AC161" i="29"/>
  <c r="AD161" i="29" s="1"/>
  <c r="AJ161" i="29"/>
  <c r="AC167" i="29"/>
  <c r="AD167" i="29" s="1"/>
  <c r="AZ168" i="29"/>
  <c r="AY214" i="29"/>
  <c r="AZ214" i="29" s="1"/>
  <c r="BA214" i="29" s="1"/>
  <c r="BB214" i="29" s="1"/>
  <c r="BC214" i="29" s="1"/>
  <c r="AY222" i="29"/>
  <c r="AZ222" i="29" s="1"/>
  <c r="BA222" i="29" s="1"/>
  <c r="BB222" i="29" s="1"/>
  <c r="BC222" i="29" s="1"/>
  <c r="AC245" i="29"/>
  <c r="AD245" i="29" s="1"/>
  <c r="AK245" i="29"/>
  <c r="AJ199" i="29"/>
  <c r="AI195" i="29"/>
  <c r="AK199" i="29"/>
  <c r="AJ195" i="29"/>
  <c r="AQ289" i="29"/>
  <c r="AI289" i="29"/>
  <c r="AN289" i="29"/>
  <c r="AJ289" i="29"/>
  <c r="AJ147" i="29"/>
  <c r="AB183" i="29"/>
  <c r="AN185" i="29"/>
  <c r="Y187" i="29"/>
  <c r="AE187" i="29" s="1"/>
  <c r="AI187" i="29"/>
  <c r="AQ187" i="29"/>
  <c r="AI191" i="29"/>
  <c r="AB195" i="29"/>
  <c r="AK195" i="29"/>
  <c r="AK289" i="29"/>
  <c r="AC291" i="29"/>
  <c r="AD291" i="29" s="1"/>
  <c r="AQ291" i="29"/>
  <c r="AI291" i="29"/>
  <c r="AJ291" i="29"/>
  <c r="AC325" i="29"/>
  <c r="AD325" i="29" s="1"/>
  <c r="AK325" i="29"/>
  <c r="AJ325" i="29"/>
  <c r="AQ325" i="29"/>
  <c r="AI325" i="29"/>
  <c r="Y325" i="29"/>
  <c r="AE325" i="29" s="1"/>
  <c r="AC329" i="29"/>
  <c r="AD329" i="29" s="1"/>
  <c r="AK329" i="29"/>
  <c r="AK391" i="29"/>
  <c r="AJ391" i="29"/>
  <c r="AJ187" i="29"/>
  <c r="AJ191" i="29"/>
  <c r="Y249" i="29"/>
  <c r="AE249" i="29" s="1"/>
  <c r="AI249" i="29"/>
  <c r="AI279" i="29"/>
  <c r="AE285" i="29"/>
  <c r="AB285" i="29"/>
  <c r="Y289" i="29"/>
  <c r="AE289" i="29" s="1"/>
  <c r="AK291" i="29"/>
  <c r="AR293" i="29"/>
  <c r="AJ293" i="29"/>
  <c r="Y293" i="29"/>
  <c r="AE293" i="29" s="1"/>
  <c r="AO293" i="29"/>
  <c r="AI293" i="29"/>
  <c r="AE299" i="29"/>
  <c r="AB299" i="29"/>
  <c r="AK187" i="29"/>
  <c r="AK191" i="29"/>
  <c r="AJ197" i="29"/>
  <c r="Y247" i="29"/>
  <c r="AE247" i="29" s="1"/>
  <c r="AI247" i="29"/>
  <c r="AJ249" i="29"/>
  <c r="Y279" i="29"/>
  <c r="AE279" i="29" s="1"/>
  <c r="AJ279" i="29"/>
  <c r="AC285" i="29"/>
  <c r="AD285" i="29" s="1"/>
  <c r="Y291" i="29"/>
  <c r="AE291" i="29" s="1"/>
  <c r="AR295" i="29"/>
  <c r="AJ295" i="29"/>
  <c r="Y295" i="29"/>
  <c r="AE295" i="29" s="1"/>
  <c r="AK295" i="29"/>
  <c r="Y185" i="29"/>
  <c r="AE185" i="29" s="1"/>
  <c r="AJ247" i="29"/>
  <c r="AK249" i="29"/>
  <c r="AQ277" i="29"/>
  <c r="AK279" i="29"/>
  <c r="AC289" i="29"/>
  <c r="AD289" i="29" s="1"/>
  <c r="AI323" i="29"/>
  <c r="AC335" i="29"/>
  <c r="AD335" i="29" s="1"/>
  <c r="AK335" i="29"/>
  <c r="AM297" i="29"/>
  <c r="D297" i="30" s="1"/>
  <c r="AO303" i="29"/>
  <c r="AE305" i="29"/>
  <c r="AK323" i="29"/>
  <c r="AC327" i="29"/>
  <c r="AD327" i="29" s="1"/>
  <c r="AL327" i="29"/>
  <c r="AT327" i="29"/>
  <c r="AJ329" i="29"/>
  <c r="AM331" i="29"/>
  <c r="D331" i="30" s="1"/>
  <c r="AJ335" i="29"/>
  <c r="AE343" i="29"/>
  <c r="AC395" i="29"/>
  <c r="AD395" i="29" s="1"/>
  <c r="AS395" i="29"/>
  <c r="AK395" i="29"/>
  <c r="AJ395" i="29"/>
  <c r="Y395" i="29"/>
  <c r="AE395" i="29" s="1"/>
  <c r="AI333" i="29"/>
  <c r="AI303" i="29"/>
  <c r="AB337" i="29"/>
  <c r="AE415" i="29"/>
  <c r="AB415" i="29"/>
  <c r="Y303" i="29"/>
  <c r="AE303" i="29" s="1"/>
  <c r="AJ303" i="29"/>
  <c r="AR303" i="29"/>
  <c r="AB313" i="29"/>
  <c r="AO327" i="29"/>
  <c r="AB333" i="29"/>
  <c r="AK333" i="29"/>
  <c r="AB339" i="29"/>
  <c r="AB379" i="29"/>
  <c r="AI403" i="29"/>
  <c r="AK303" i="29"/>
  <c r="AP327" i="29"/>
  <c r="AI331" i="29"/>
  <c r="AJ331" i="29"/>
  <c r="AE381" i="29"/>
  <c r="AC389" i="29"/>
  <c r="AD389" i="29" s="1"/>
  <c r="AK389" i="29"/>
  <c r="AR389" i="29"/>
  <c r="AJ389" i="29"/>
  <c r="Y389" i="29"/>
  <c r="AE389" i="29" s="1"/>
  <c r="AI389" i="29"/>
  <c r="AI391" i="29"/>
  <c r="AJ403" i="29"/>
  <c r="AJ327" i="29"/>
  <c r="AE353" i="29"/>
  <c r="AK403" i="29"/>
  <c r="AC407" i="29"/>
  <c r="AD407" i="29" s="1"/>
  <c r="AI409" i="29"/>
  <c r="AJ387" i="29"/>
  <c r="AK393" i="29"/>
  <c r="AI397" i="29"/>
  <c r="AQ397" i="29"/>
  <c r="AC399" i="29"/>
  <c r="AD399" i="29" s="1"/>
  <c r="AK405" i="29"/>
  <c r="Y411" i="29"/>
  <c r="AE411" i="29" s="1"/>
  <c r="AI411" i="29"/>
  <c r="AQ411" i="29"/>
  <c r="AC413" i="29"/>
  <c r="AD413" i="29" s="1"/>
  <c r="AK385" i="29"/>
  <c r="AN387" i="29"/>
  <c r="AC391" i="29"/>
  <c r="AD391" i="29" s="1"/>
  <c r="AL391" i="29"/>
  <c r="AT391" i="29"/>
  <c r="AM397" i="29"/>
  <c r="D397" i="30" s="1"/>
  <c r="AK401" i="29"/>
  <c r="AM403" i="29"/>
  <c r="D403" i="30" s="1"/>
  <c r="AI407" i="29"/>
  <c r="AC409" i="29"/>
  <c r="AD409" i="29" s="1"/>
  <c r="AL409" i="29"/>
  <c r="AT409" i="29"/>
  <c r="AM411" i="29"/>
  <c r="D411" i="30" s="1"/>
  <c r="AK415" i="29"/>
  <c r="AS415" i="29"/>
  <c r="AJ421" i="29"/>
  <c r="AC385" i="29"/>
  <c r="AD385" i="29" s="1"/>
  <c r="AL385" i="29"/>
  <c r="AO387" i="29"/>
  <c r="AN397" i="29"/>
  <c r="AI399" i="29"/>
  <c r="AC401" i="29"/>
  <c r="AD401" i="29" s="1"/>
  <c r="AL401" i="29"/>
  <c r="AN403" i="29"/>
  <c r="Y407" i="29"/>
  <c r="AE407" i="29" s="1"/>
  <c r="AJ407" i="29"/>
  <c r="AR407" i="29"/>
  <c r="AM409" i="29"/>
  <c r="D409" i="30" s="1"/>
  <c r="AN411" i="29"/>
  <c r="Y413" i="29"/>
  <c r="AE413" i="29" s="1"/>
  <c r="AI413" i="29"/>
  <c r="AQ413" i="29"/>
  <c r="AC415" i="29"/>
  <c r="AD415" i="29" s="1"/>
  <c r="AL415" i="29"/>
  <c r="AT415" i="29"/>
  <c r="AK421" i="29"/>
  <c r="AK407" i="29"/>
  <c r="AK461" i="29"/>
  <c r="AM505" i="29"/>
  <c r="D505" i="30" s="1"/>
  <c r="AC505" i="29"/>
  <c r="AD505" i="29" s="1"/>
  <c r="AS505" i="29"/>
  <c r="AK505" i="29"/>
  <c r="AJ505" i="29"/>
  <c r="Y505" i="29"/>
  <c r="AE505" i="29" s="1"/>
  <c r="AQ505" i="29"/>
  <c r="AI505" i="29"/>
  <c r="AB507" i="29"/>
  <c r="AK511" i="29"/>
  <c r="AB461" i="29"/>
  <c r="AR499" i="29"/>
  <c r="AJ499" i="29"/>
  <c r="AI499" i="29"/>
  <c r="AC499" i="29"/>
  <c r="AD499" i="29" s="1"/>
  <c r="AC507" i="29"/>
  <c r="AD507" i="29" s="1"/>
  <c r="AJ529" i="29"/>
  <c r="AC461" i="29"/>
  <c r="AD461" i="29" s="1"/>
  <c r="AE465" i="29"/>
  <c r="AC527" i="29"/>
  <c r="AD527" i="29" s="1"/>
  <c r="AK527" i="29"/>
  <c r="AR459" i="29"/>
  <c r="AJ459" i="29"/>
  <c r="AJ503" i="29"/>
  <c r="AI503" i="29"/>
  <c r="AC503" i="29"/>
  <c r="AD503" i="29" s="1"/>
  <c r="Y459" i="29"/>
  <c r="AE459" i="29" s="1"/>
  <c r="AI459" i="29"/>
  <c r="AJ507" i="29"/>
  <c r="AC523" i="29"/>
  <c r="AD523" i="29" s="1"/>
  <c r="AK523" i="29"/>
  <c r="AK459" i="29"/>
  <c r="AK503" i="29"/>
  <c r="AC525" i="29"/>
  <c r="AD525" i="29" s="1"/>
  <c r="AI461" i="29"/>
  <c r="AJ501" i="29"/>
  <c r="AI501" i="29"/>
  <c r="AC501" i="29"/>
  <c r="AD501" i="29" s="1"/>
  <c r="AC519" i="29"/>
  <c r="AD519" i="29" s="1"/>
  <c r="AK519" i="29"/>
  <c r="AJ527" i="29"/>
  <c r="AJ513" i="29"/>
  <c r="AC537" i="29"/>
  <c r="AD537" i="29" s="1"/>
  <c r="AK537" i="29"/>
  <c r="AE539" i="29"/>
  <c r="AE533" i="29"/>
  <c r="AC541" i="29"/>
  <c r="AD541" i="29" s="1"/>
  <c r="AJ541" i="29"/>
  <c r="AI565" i="29"/>
  <c r="AC565" i="29"/>
  <c r="AD565" i="29" s="1"/>
  <c r="AK565" i="29"/>
  <c r="AE565" i="29"/>
  <c r="AB565" i="29"/>
  <c r="AI515" i="29"/>
  <c r="AI521" i="29"/>
  <c r="AI525" i="29"/>
  <c r="AI529" i="29"/>
  <c r="AB537" i="29"/>
  <c r="AK541" i="29"/>
  <c r="AB549" i="29"/>
  <c r="AE583" i="29"/>
  <c r="AB583" i="29"/>
  <c r="AK589" i="29"/>
  <c r="AJ589" i="29"/>
  <c r="AI589" i="29"/>
  <c r="AC589" i="29"/>
  <c r="AD589" i="29" s="1"/>
  <c r="AS591" i="29"/>
  <c r="AK591" i="29"/>
  <c r="AJ591" i="29"/>
  <c r="AO591" i="29"/>
  <c r="AI591" i="29"/>
  <c r="AC591" i="29"/>
  <c r="AD591" i="29" s="1"/>
  <c r="Y591" i="29"/>
  <c r="AE591" i="29" s="1"/>
  <c r="AS597" i="29"/>
  <c r="AK597" i="29"/>
  <c r="AJ597" i="29"/>
  <c r="AO597" i="29"/>
  <c r="AI597" i="29"/>
  <c r="AC597" i="29"/>
  <c r="AD597" i="29" s="1"/>
  <c r="Y597" i="29"/>
  <c r="AE597" i="29" s="1"/>
  <c r="AK509" i="29"/>
  <c r="AJ515" i="29"/>
  <c r="AJ521" i="29"/>
  <c r="AI539" i="29"/>
  <c r="AK539" i="29"/>
  <c r="AS575" i="29"/>
  <c r="AL575" i="29"/>
  <c r="AC575" i="29"/>
  <c r="AD575" i="29" s="1"/>
  <c r="AK575" i="29"/>
  <c r="AJ575" i="29"/>
  <c r="Y575" i="29"/>
  <c r="AE575" i="29" s="1"/>
  <c r="AI575" i="29"/>
  <c r="AJ577" i="29"/>
  <c r="AI511" i="29"/>
  <c r="AK525" i="29"/>
  <c r="AK529" i="29"/>
  <c r="AJ539" i="29"/>
  <c r="AE545" i="29"/>
  <c r="AE581" i="29"/>
  <c r="AB581" i="29"/>
  <c r="AJ511" i="29"/>
  <c r="AE543" i="29"/>
  <c r="AB543" i="29"/>
  <c r="AM553" i="29"/>
  <c r="D553" i="30" s="1"/>
  <c r="AC553" i="29"/>
  <c r="AD553" i="29" s="1"/>
  <c r="AK553" i="29"/>
  <c r="AR553" i="29"/>
  <c r="AJ553" i="29"/>
  <c r="AQ553" i="29"/>
  <c r="AI553" i="29"/>
  <c r="Y553" i="29"/>
  <c r="AE553" i="29" s="1"/>
  <c r="AB603" i="29"/>
  <c r="Y507" i="29"/>
  <c r="AE507" i="29" s="1"/>
  <c r="AI507" i="29"/>
  <c r="AI519" i="29"/>
  <c r="AI523" i="29"/>
  <c r="AI527" i="29"/>
  <c r="AI537" i="29"/>
  <c r="AC555" i="29"/>
  <c r="AD555" i="29" s="1"/>
  <c r="AP557" i="29"/>
  <c r="AC559" i="29"/>
  <c r="AD559" i="29" s="1"/>
  <c r="AL559" i="29"/>
  <c r="AT559" i="29"/>
  <c r="AI561" i="29"/>
  <c r="AI569" i="29"/>
  <c r="AB545" i="29"/>
  <c r="Y557" i="29"/>
  <c r="AE557" i="29" s="1"/>
  <c r="AI557" i="29"/>
  <c r="AQ557" i="29"/>
  <c r="AM559" i="29"/>
  <c r="D559" i="30" s="1"/>
  <c r="AI567" i="29"/>
  <c r="AC577" i="29"/>
  <c r="AD577" i="29" s="1"/>
  <c r="AS595" i="29"/>
  <c r="AK595" i="29"/>
  <c r="Y595" i="29"/>
  <c r="AE595" i="29" s="1"/>
  <c r="AJ613" i="29"/>
  <c r="AN559" i="29"/>
  <c r="AJ567" i="29"/>
  <c r="AE587" i="29"/>
  <c r="AB587" i="29"/>
  <c r="AB595" i="29"/>
  <c r="AJ603" i="29"/>
  <c r="AO559" i="29"/>
  <c r="AI563" i="29"/>
  <c r="AI571" i="29"/>
  <c r="AJ579" i="29"/>
  <c r="AS593" i="29"/>
  <c r="AK593" i="29"/>
  <c r="AJ593" i="29"/>
  <c r="AO593" i="29"/>
  <c r="Y593" i="29"/>
  <c r="AE593" i="29" s="1"/>
  <c r="AB599" i="29"/>
  <c r="AC557" i="29"/>
  <c r="AD557" i="29" s="1"/>
  <c r="AL557" i="29"/>
  <c r="AP559" i="29"/>
  <c r="Y573" i="29"/>
  <c r="AE573" i="29" s="1"/>
  <c r="AJ573" i="29"/>
  <c r="AQ577" i="29"/>
  <c r="AS601" i="29"/>
  <c r="AK601" i="29"/>
  <c r="AJ601" i="29"/>
  <c r="AO601" i="29"/>
  <c r="Y601" i="29"/>
  <c r="AE601" i="29" s="1"/>
  <c r="AI555" i="29"/>
  <c r="Y559" i="29"/>
  <c r="AE559" i="29" s="1"/>
  <c r="AI559" i="29"/>
  <c r="AK563" i="29"/>
  <c r="AK571" i="29"/>
  <c r="AK573" i="29"/>
  <c r="AI577" i="29"/>
  <c r="AC593" i="29"/>
  <c r="AD593" i="29" s="1"/>
  <c r="AJ559" i="29"/>
  <c r="AK599" i="29"/>
  <c r="AS599" i="29"/>
  <c r="AK603" i="29"/>
  <c r="AS603" i="29"/>
  <c r="AO605" i="29"/>
  <c r="Y607" i="29"/>
  <c r="AE607" i="29" s="1"/>
  <c r="AI607" i="29"/>
  <c r="AM609" i="29"/>
  <c r="D609" i="30" s="1"/>
  <c r="Y611" i="29"/>
  <c r="AE611" i="29" s="1"/>
  <c r="AI611" i="29"/>
  <c r="AC613" i="29"/>
  <c r="AD613" i="29" s="1"/>
  <c r="AL613" i="29"/>
  <c r="AT613" i="29"/>
  <c r="AJ663" i="29"/>
  <c r="AJ607" i="29"/>
  <c r="AJ611" i="29"/>
  <c r="AJ655" i="29"/>
  <c r="AB663" i="29"/>
  <c r="Y605" i="29"/>
  <c r="AE605" i="29" s="1"/>
  <c r="AI605" i="29"/>
  <c r="AJ605" i="29"/>
  <c r="AP609" i="29"/>
  <c r="AO613" i="29"/>
  <c r="AJ657" i="29"/>
  <c r="AG657" i="29"/>
  <c r="AK605" i="29"/>
  <c r="Y609" i="29"/>
  <c r="AE609" i="29" s="1"/>
  <c r="AI609" i="29"/>
  <c r="AJ609" i="29"/>
  <c r="AI613" i="29"/>
  <c r="AN665" i="29"/>
  <c r="AC665" i="29"/>
  <c r="AD665" i="29" s="1"/>
  <c r="AK665" i="29"/>
  <c r="AS665" i="29"/>
  <c r="AJ665" i="29"/>
  <c r="Y665" i="29"/>
  <c r="AE665" i="29" s="1"/>
  <c r="Y599" i="29"/>
  <c r="AE599" i="29" s="1"/>
  <c r="Y603" i="29"/>
  <c r="AE603" i="29" s="1"/>
  <c r="AE639" i="29"/>
  <c r="AB639" i="29"/>
  <c r="AM619" i="29"/>
  <c r="D619" i="30" s="1"/>
  <c r="AI621" i="29"/>
  <c r="AQ621" i="29"/>
  <c r="AM623" i="29"/>
  <c r="D623" i="30" s="1"/>
  <c r="AI625" i="29"/>
  <c r="AQ625" i="29"/>
  <c r="AM627" i="29"/>
  <c r="D627" i="30" s="1"/>
  <c r="AN633" i="29"/>
  <c r="AE649" i="29"/>
  <c r="AG655" i="29"/>
  <c r="AF657" i="29"/>
  <c r="AM659" i="29"/>
  <c r="D659" i="30" s="1"/>
  <c r="AC663" i="29"/>
  <c r="AD663" i="29" s="1"/>
  <c r="AC695" i="29"/>
  <c r="AD695" i="29" s="1"/>
  <c r="AN619" i="29"/>
  <c r="Y621" i="29"/>
  <c r="AE621" i="29" s="1"/>
  <c r="AJ621" i="29"/>
  <c r="AN623" i="29"/>
  <c r="Y625" i="29"/>
  <c r="AE625" i="29" s="1"/>
  <c r="AJ625" i="29"/>
  <c r="AN627" i="29"/>
  <c r="AI655" i="29"/>
  <c r="AI661" i="29"/>
  <c r="AE679" i="29"/>
  <c r="AB687" i="29"/>
  <c r="AE687" i="29"/>
  <c r="AC689" i="29"/>
  <c r="AD689" i="29" s="1"/>
  <c r="AI657" i="29"/>
  <c r="AQ667" i="29"/>
  <c r="AI667" i="29"/>
  <c r="Y667" i="29"/>
  <c r="AE667" i="29" s="1"/>
  <c r="AJ667" i="29"/>
  <c r="AS671" i="29"/>
  <c r="AK671" i="29"/>
  <c r="AI671" i="29"/>
  <c r="AJ689" i="29"/>
  <c r="AK705" i="29"/>
  <c r="Y671" i="29"/>
  <c r="AE671" i="29" s="1"/>
  <c r="AJ671" i="29"/>
  <c r="Y619" i="29"/>
  <c r="AE619" i="29" s="1"/>
  <c r="AI619" i="29"/>
  <c r="AI623" i="29"/>
  <c r="AI627" i="29"/>
  <c r="AJ633" i="29"/>
  <c r="Y659" i="29"/>
  <c r="AE659" i="29" s="1"/>
  <c r="AI659" i="29"/>
  <c r="AI673" i="29"/>
  <c r="AJ619" i="29"/>
  <c r="AR619" i="29"/>
  <c r="Y623" i="29"/>
  <c r="AE623" i="29" s="1"/>
  <c r="AJ623" i="29"/>
  <c r="Y627" i="29"/>
  <c r="AE627" i="29" s="1"/>
  <c r="AJ627" i="29"/>
  <c r="AK633" i="29"/>
  <c r="AJ659" i="29"/>
  <c r="AR659" i="29"/>
  <c r="AS663" i="29"/>
  <c r="AK663" i="29"/>
  <c r="AI663" i="29"/>
  <c r="AC667" i="29"/>
  <c r="AD667" i="29" s="1"/>
  <c r="AC671" i="29"/>
  <c r="AD671" i="29" s="1"/>
  <c r="Y673" i="29"/>
  <c r="AE673" i="29" s="1"/>
  <c r="AJ673" i="29"/>
  <c r="AS673" i="29"/>
  <c r="AK673" i="29"/>
  <c r="AB673" i="29"/>
  <c r="AK691" i="29"/>
  <c r="AK695" i="29"/>
  <c r="AJ705" i="29"/>
  <c r="AI713" i="29"/>
  <c r="AB701" i="29"/>
  <c r="Y713" i="29"/>
  <c r="AE713" i="29" s="1"/>
  <c r="AJ713" i="29"/>
  <c r="AK689" i="29"/>
  <c r="Y691" i="29"/>
  <c r="AE691" i="29" s="1"/>
  <c r="AI691" i="29"/>
  <c r="AQ691" i="29"/>
  <c r="AP705" i="29"/>
  <c r="Y707" i="29"/>
  <c r="AE707" i="29" s="1"/>
  <c r="AI707" i="29"/>
  <c r="AQ707" i="29"/>
  <c r="AK713" i="29"/>
  <c r="AS713" i="29"/>
  <c r="AJ691" i="29"/>
  <c r="Y705" i="29"/>
  <c r="AE705" i="29" s="1"/>
  <c r="AI705" i="29"/>
  <c r="AJ707" i="29"/>
  <c r="AC713" i="29"/>
  <c r="AD713" i="29" s="1"/>
  <c r="AI695" i="29"/>
  <c r="AW376" i="1"/>
  <c r="AW374" i="1"/>
  <c r="AX374" i="1" s="1"/>
  <c r="AW372" i="1"/>
  <c r="AX372" i="1" s="1"/>
  <c r="AW370" i="1"/>
  <c r="AX370" i="1" s="1"/>
  <c r="AW368" i="1"/>
  <c r="AX368" i="1" s="1"/>
  <c r="AW366" i="1"/>
  <c r="AX366" i="1" s="1"/>
  <c r="AW364" i="1"/>
  <c r="AX364" i="1" s="1"/>
  <c r="AW362" i="1"/>
  <c r="AX362" i="1" s="1"/>
  <c r="AG377" i="1"/>
  <c r="AF377" i="1"/>
  <c r="AA377" i="1"/>
  <c r="AB377" i="1" s="1"/>
  <c r="Y377" i="1"/>
  <c r="AG375" i="1"/>
  <c r="AF375" i="1"/>
  <c r="AA375" i="1"/>
  <c r="AB375" i="1" s="1"/>
  <c r="Y375" i="1"/>
  <c r="AG373" i="1"/>
  <c r="AF373" i="1"/>
  <c r="AA373" i="1"/>
  <c r="Y373" i="1"/>
  <c r="AG371" i="1"/>
  <c r="AF371" i="1"/>
  <c r="AA371" i="1"/>
  <c r="Y371" i="1"/>
  <c r="AG369" i="1"/>
  <c r="AF369" i="1"/>
  <c r="AA369" i="1"/>
  <c r="Y369" i="1"/>
  <c r="AG367" i="1"/>
  <c r="AF367" i="1"/>
  <c r="AA367" i="1"/>
  <c r="AB367" i="1" s="1"/>
  <c r="Y367" i="1"/>
  <c r="AG365" i="1"/>
  <c r="AF365" i="1"/>
  <c r="AA365" i="1"/>
  <c r="AB365" i="1" s="1"/>
  <c r="Y365" i="1"/>
  <c r="AG363" i="1"/>
  <c r="AF363" i="1"/>
  <c r="AA363" i="1"/>
  <c r="AB363" i="1" s="1"/>
  <c r="Y363" i="1"/>
  <c r="W377" i="1"/>
  <c r="U377" i="1"/>
  <c r="R377" i="1"/>
  <c r="L377" i="1"/>
  <c r="K377" i="1"/>
  <c r="W375" i="1"/>
  <c r="U375" i="1"/>
  <c r="R375" i="1"/>
  <c r="L375" i="1"/>
  <c r="K375" i="1"/>
  <c r="W373" i="1"/>
  <c r="U373" i="1"/>
  <c r="R373" i="1"/>
  <c r="L373" i="1"/>
  <c r="K373" i="1"/>
  <c r="W371" i="1"/>
  <c r="U371" i="1"/>
  <c r="R371" i="1"/>
  <c r="L371" i="1"/>
  <c r="K371" i="1"/>
  <c r="W369" i="1"/>
  <c r="U369" i="1"/>
  <c r="R369" i="1"/>
  <c r="L369" i="1"/>
  <c r="K369" i="1"/>
  <c r="W367" i="1"/>
  <c r="U367" i="1"/>
  <c r="R367" i="1"/>
  <c r="L367" i="1"/>
  <c r="K367" i="1"/>
  <c r="W365" i="1"/>
  <c r="U365" i="1"/>
  <c r="R365" i="1"/>
  <c r="L365" i="1"/>
  <c r="K365" i="1"/>
  <c r="W363" i="1"/>
  <c r="U363" i="1"/>
  <c r="R363" i="1"/>
  <c r="L363" i="1"/>
  <c r="K363" i="1"/>
  <c r="AE363" i="1" l="1"/>
  <c r="AE369" i="1"/>
  <c r="AJ129" i="33"/>
  <c r="AC131" i="33"/>
  <c r="AD131" i="33" s="1"/>
  <c r="AC127" i="33"/>
  <c r="AD127" i="33" s="1"/>
  <c r="AJ131" i="33"/>
  <c r="AI131" i="33"/>
  <c r="AK131" i="33"/>
  <c r="AJ127" i="33"/>
  <c r="AI127" i="33"/>
  <c r="AK127" i="33"/>
  <c r="AC129" i="33"/>
  <c r="AD129" i="33" s="1"/>
  <c r="AK129" i="33"/>
  <c r="AI129" i="33"/>
  <c r="AJ221" i="29"/>
  <c r="AJ169" i="29"/>
  <c r="AC221" i="29"/>
  <c r="AD221" i="29" s="1"/>
  <c r="AC171" i="29"/>
  <c r="AD171" i="29" s="1"/>
  <c r="AI221" i="29"/>
  <c r="AC217" i="29"/>
  <c r="AD217" i="29" s="1"/>
  <c r="AC169" i="29"/>
  <c r="AD169" i="29" s="1"/>
  <c r="AK221" i="29"/>
  <c r="AI173" i="29"/>
  <c r="AK217" i="29"/>
  <c r="AK169" i="29"/>
  <c r="AK171" i="29"/>
  <c r="AI169" i="29"/>
  <c r="AJ223" i="29"/>
  <c r="AI217" i="29"/>
  <c r="AJ225" i="29"/>
  <c r="AK173" i="29"/>
  <c r="AI171" i="29"/>
  <c r="AK223" i="29"/>
  <c r="AJ217" i="29"/>
  <c r="AK225" i="29"/>
  <c r="AC223" i="29"/>
  <c r="AD223" i="29" s="1"/>
  <c r="AC225" i="29"/>
  <c r="AD225" i="29" s="1"/>
  <c r="AJ171" i="29"/>
  <c r="AI215" i="29"/>
  <c r="AI219" i="29"/>
  <c r="AI227" i="29"/>
  <c r="AJ215" i="29"/>
  <c r="AJ173" i="29"/>
  <c r="AC173" i="29"/>
  <c r="AD173" i="29" s="1"/>
  <c r="AJ219" i="29"/>
  <c r="AJ227" i="29"/>
  <c r="AK215" i="29"/>
  <c r="AK219" i="29"/>
  <c r="AK227" i="29"/>
  <c r="AI223" i="29"/>
  <c r="AC215" i="29"/>
  <c r="AD215" i="29" s="1"/>
  <c r="AI225" i="29"/>
  <c r="AC219" i="29"/>
  <c r="AD219" i="29" s="1"/>
  <c r="AC227" i="29"/>
  <c r="AD227" i="29" s="1"/>
  <c r="AB369" i="1"/>
  <c r="AE377" i="1"/>
  <c r="AX376" i="1"/>
  <c r="AE375" i="1"/>
  <c r="AY374" i="1"/>
  <c r="AY372" i="1"/>
  <c r="AZ372" i="1" s="1"/>
  <c r="BA372" i="1" s="1"/>
  <c r="BB372" i="1" s="1"/>
  <c r="BC372" i="1" s="1"/>
  <c r="AE373" i="1"/>
  <c r="AY370" i="1"/>
  <c r="AZ370" i="1" s="1"/>
  <c r="BA370" i="1" s="1"/>
  <c r="BB370" i="1" s="1"/>
  <c r="BC370" i="1" s="1"/>
  <c r="AE371" i="1"/>
  <c r="AY368" i="1"/>
  <c r="AE367" i="1"/>
  <c r="AY366" i="1"/>
  <c r="AE365" i="1"/>
  <c r="AY364" i="1"/>
  <c r="AZ364" i="1" s="1"/>
  <c r="BA364" i="1" s="1"/>
  <c r="BB364" i="1" s="1"/>
  <c r="BC364" i="1" s="1"/>
  <c r="AY362" i="1"/>
  <c r="AZ362" i="1" s="1"/>
  <c r="BA362" i="1" s="1"/>
  <c r="BB362" i="1" s="1"/>
  <c r="BC362" i="1" s="1"/>
  <c r="AC363" i="1"/>
  <c r="AD363" i="1" s="1"/>
  <c r="AB373" i="1"/>
  <c r="AB371" i="1"/>
  <c r="AJ363" i="1" l="1"/>
  <c r="AI371" i="1"/>
  <c r="AK371" i="1"/>
  <c r="AI373" i="1"/>
  <c r="AJ373" i="1"/>
  <c r="AK373" i="1"/>
  <c r="AY376" i="1"/>
  <c r="AZ374" i="1"/>
  <c r="AC373" i="1"/>
  <c r="AD373" i="1" s="1"/>
  <c r="AJ371" i="1"/>
  <c r="AC371" i="1"/>
  <c r="AD371" i="1" s="1"/>
  <c r="AZ368" i="1"/>
  <c r="BA368" i="1" s="1"/>
  <c r="BB368" i="1" s="1"/>
  <c r="BC368" i="1" s="1"/>
  <c r="AZ366" i="1"/>
  <c r="AC365" i="1"/>
  <c r="AD365" i="1" s="1"/>
  <c r="AI365" i="1"/>
  <c r="AJ365" i="1"/>
  <c r="AK365" i="1"/>
  <c r="AK363" i="1"/>
  <c r="AI363" i="1"/>
  <c r="AK369" i="1" l="1"/>
  <c r="AZ376" i="1"/>
  <c r="BA374" i="1"/>
  <c r="AJ369" i="1"/>
  <c r="AI369" i="1"/>
  <c r="AC369" i="1"/>
  <c r="AD369" i="1" s="1"/>
  <c r="BA366" i="1"/>
  <c r="BB366" i="1" s="1"/>
  <c r="BC366" i="1" s="1"/>
  <c r="AI367" i="1" l="1"/>
  <c r="AC367" i="1"/>
  <c r="AD367" i="1" s="1"/>
  <c r="AK367" i="1"/>
  <c r="AJ367" i="1"/>
  <c r="BA376" i="1"/>
  <c r="BB374" i="1"/>
  <c r="BC374" i="1" s="1"/>
  <c r="AI375" i="1" s="1"/>
  <c r="AJ375" i="1"/>
  <c r="AK375" i="1" l="1"/>
  <c r="AC375" i="1"/>
  <c r="AD375" i="1" s="1"/>
  <c r="BB376" i="1"/>
  <c r="BC376" i="1" l="1"/>
  <c r="AJ377" i="1"/>
  <c r="AK377" i="1" l="1"/>
  <c r="AI377" i="1"/>
  <c r="AC377" i="1"/>
  <c r="AD377" i="1" s="1"/>
  <c r="A143" i="28" l="1"/>
  <c r="B141" i="28"/>
  <c r="C141" i="28" s="1"/>
  <c r="A141" i="28"/>
  <c r="B139" i="28"/>
  <c r="C139" i="28" s="1"/>
  <c r="A139" i="28"/>
  <c r="B137" i="28"/>
  <c r="C137" i="28" s="1"/>
  <c r="A137" i="28"/>
  <c r="B135" i="28"/>
  <c r="C135" i="28" s="1"/>
  <c r="A135" i="28"/>
  <c r="B133" i="28"/>
  <c r="C133" i="28" s="1"/>
  <c r="A133" i="28"/>
  <c r="B131" i="28"/>
  <c r="C131" i="28" s="1"/>
  <c r="A131" i="28"/>
  <c r="B129" i="28"/>
  <c r="C129" i="28" s="1"/>
  <c r="A129" i="28"/>
  <c r="B127" i="28"/>
  <c r="C127" i="28" s="1"/>
  <c r="A127" i="28"/>
  <c r="B125" i="28"/>
  <c r="C125" i="28" s="1"/>
  <c r="A125" i="28"/>
  <c r="B123" i="28"/>
  <c r="C123" i="28" s="1"/>
  <c r="A123" i="28"/>
  <c r="B121" i="28"/>
  <c r="C121" i="28" s="1"/>
  <c r="A121" i="28"/>
  <c r="B119" i="28"/>
  <c r="C119" i="28" s="1"/>
  <c r="A119" i="28"/>
  <c r="B117" i="28"/>
  <c r="C117" i="28" s="1"/>
  <c r="A117" i="28"/>
  <c r="B115" i="28"/>
  <c r="C115" i="28" s="1"/>
  <c r="A115" i="28"/>
  <c r="B113" i="28"/>
  <c r="C113" i="28" s="1"/>
  <c r="A113" i="28"/>
  <c r="B111" i="28"/>
  <c r="C111" i="28" s="1"/>
  <c r="A111" i="28"/>
  <c r="B109" i="28"/>
  <c r="C109" i="28" s="1"/>
  <c r="A109" i="28"/>
  <c r="B107" i="28"/>
  <c r="C107" i="28" s="1"/>
  <c r="A107" i="28"/>
  <c r="B105" i="28"/>
  <c r="C105" i="28" s="1"/>
  <c r="A105" i="28"/>
  <c r="B103" i="28"/>
  <c r="C103" i="28" s="1"/>
  <c r="A103" i="28"/>
  <c r="B101" i="28"/>
  <c r="C101" i="28" s="1"/>
  <c r="A101" i="28"/>
  <c r="B99" i="28"/>
  <c r="C99" i="28" s="1"/>
  <c r="A99" i="28"/>
  <c r="B97" i="28"/>
  <c r="C97" i="28" s="1"/>
  <c r="A97" i="28"/>
  <c r="B95" i="28"/>
  <c r="C95" i="28" s="1"/>
  <c r="A95" i="28"/>
  <c r="B93" i="28"/>
  <c r="C93" i="28" s="1"/>
  <c r="A93" i="28"/>
  <c r="B91" i="28"/>
  <c r="C91" i="28" s="1"/>
  <c r="A91" i="28"/>
  <c r="B89" i="28"/>
  <c r="C89" i="28" s="1"/>
  <c r="A89" i="28"/>
  <c r="B83" i="28"/>
  <c r="C83" i="28" s="1"/>
  <c r="A83" i="28"/>
  <c r="B81" i="28"/>
  <c r="C81" i="28" s="1"/>
  <c r="A81" i="28"/>
  <c r="B79" i="28"/>
  <c r="C79" i="28" s="1"/>
  <c r="A79" i="28"/>
  <c r="B77" i="28"/>
  <c r="C77" i="28" s="1"/>
  <c r="A77" i="28"/>
  <c r="B75" i="28"/>
  <c r="C75" i="28" s="1"/>
  <c r="A75" i="28"/>
  <c r="B73" i="28"/>
  <c r="C73" i="28" s="1"/>
  <c r="A73" i="28"/>
  <c r="B71" i="28"/>
  <c r="C71" i="28" s="1"/>
  <c r="A71" i="28"/>
  <c r="B69" i="28"/>
  <c r="C69" i="28" s="1"/>
  <c r="A69" i="28"/>
  <c r="B67" i="28"/>
  <c r="C67" i="28" s="1"/>
  <c r="A67" i="28"/>
  <c r="B65" i="28"/>
  <c r="C65" i="28" s="1"/>
  <c r="A65" i="28"/>
  <c r="B63" i="28"/>
  <c r="C63" i="28" s="1"/>
  <c r="A63" i="28"/>
  <c r="B61" i="28"/>
  <c r="C61" i="28" s="1"/>
  <c r="A61" i="28"/>
  <c r="B59" i="28"/>
  <c r="C59" i="28" s="1"/>
  <c r="A59" i="28"/>
  <c r="B57" i="28"/>
  <c r="C57" i="28" s="1"/>
  <c r="A57" i="28"/>
  <c r="B55" i="28"/>
  <c r="C55" i="28" s="1"/>
  <c r="A55" i="28"/>
  <c r="B53" i="28"/>
  <c r="C53" i="28" s="1"/>
  <c r="A53" i="28"/>
  <c r="B51" i="28"/>
  <c r="C51" i="28" s="1"/>
  <c r="A51" i="28"/>
  <c r="B49" i="28"/>
  <c r="C49" i="28" s="1"/>
  <c r="A49" i="28"/>
  <c r="B43" i="28"/>
  <c r="C43" i="28" s="1"/>
  <c r="A43" i="28"/>
  <c r="B41" i="28"/>
  <c r="C41" i="28" s="1"/>
  <c r="A41" i="28"/>
  <c r="A39" i="28"/>
  <c r="B29" i="28"/>
  <c r="C29" i="28" s="1"/>
  <c r="A29" i="28"/>
  <c r="B27" i="28"/>
  <c r="C27" i="28" s="1"/>
  <c r="A27" i="28"/>
  <c r="B25" i="28"/>
  <c r="C25" i="28" s="1"/>
  <c r="A25" i="28"/>
  <c r="B23" i="28"/>
  <c r="C23" i="28" s="1"/>
  <c r="A23" i="28"/>
  <c r="B21" i="28"/>
  <c r="C21" i="28" s="1"/>
  <c r="A21" i="28"/>
  <c r="B19" i="28"/>
  <c r="C19" i="28" s="1"/>
  <c r="A19" i="28"/>
  <c r="A15" i="28"/>
  <c r="A9" i="28"/>
  <c r="A7" i="28"/>
  <c r="A5" i="28"/>
  <c r="A3" i="28"/>
  <c r="AG141" i="27"/>
  <c r="AF141" i="27"/>
  <c r="AB141" i="27"/>
  <c r="Y141" i="27"/>
  <c r="AE141" i="27" s="1"/>
  <c r="W141" i="27"/>
  <c r="U141" i="27"/>
  <c r="R141" i="27"/>
  <c r="L141" i="27"/>
  <c r="K141" i="27"/>
  <c r="AX140" i="27"/>
  <c r="AW140" i="27"/>
  <c r="AG139" i="27"/>
  <c r="AF139" i="27"/>
  <c r="AB139" i="27"/>
  <c r="Y139" i="27"/>
  <c r="AE139" i="27" s="1"/>
  <c r="W139" i="27"/>
  <c r="U139" i="27"/>
  <c r="R139" i="27"/>
  <c r="L139" i="27"/>
  <c r="K139" i="27"/>
  <c r="AX138" i="27"/>
  <c r="AW138" i="27"/>
  <c r="AG137" i="27"/>
  <c r="AF137" i="27"/>
  <c r="AB137" i="27"/>
  <c r="Y137" i="27"/>
  <c r="AE137" i="27" s="1"/>
  <c r="W137" i="27"/>
  <c r="U137" i="27"/>
  <c r="R137" i="27"/>
  <c r="L137" i="27"/>
  <c r="K137" i="27"/>
  <c r="AX136" i="27"/>
  <c r="AW136" i="27"/>
  <c r="AG135" i="27"/>
  <c r="AF135" i="27"/>
  <c r="AB135" i="27"/>
  <c r="Y135" i="27"/>
  <c r="AE135" i="27" s="1"/>
  <c r="W135" i="27"/>
  <c r="U135" i="27"/>
  <c r="R135" i="27"/>
  <c r="L135" i="27"/>
  <c r="K135" i="27"/>
  <c r="AX134" i="27"/>
  <c r="AW134" i="27"/>
  <c r="AG133" i="27"/>
  <c r="AF133" i="27"/>
  <c r="AB133" i="27"/>
  <c r="Y133" i="27"/>
  <c r="AE133" i="27" s="1"/>
  <c r="W133" i="27"/>
  <c r="U133" i="27"/>
  <c r="R133" i="27"/>
  <c r="L133" i="27"/>
  <c r="K133" i="27"/>
  <c r="AX132" i="27"/>
  <c r="AW132" i="27"/>
  <c r="AG131" i="27"/>
  <c r="AF131" i="27"/>
  <c r="AB131" i="27"/>
  <c r="Y131" i="27"/>
  <c r="AE131" i="27" s="1"/>
  <c r="W131" i="27"/>
  <c r="U131" i="27"/>
  <c r="R131" i="27"/>
  <c r="L131" i="27"/>
  <c r="K131" i="27"/>
  <c r="AX130" i="27"/>
  <c r="AW130" i="27"/>
  <c r="AG129" i="27"/>
  <c r="AF129" i="27"/>
  <c r="AB129" i="27"/>
  <c r="Y129" i="27"/>
  <c r="AE129" i="27" s="1"/>
  <c r="W129" i="27"/>
  <c r="U129" i="27"/>
  <c r="R129" i="27"/>
  <c r="L129" i="27"/>
  <c r="K129" i="27"/>
  <c r="AX128" i="27"/>
  <c r="AW128" i="27"/>
  <c r="AG127" i="27"/>
  <c r="AF127" i="27"/>
  <c r="AB127" i="27"/>
  <c r="Y127" i="27"/>
  <c r="AE127" i="27" s="1"/>
  <c r="W127" i="27"/>
  <c r="U127" i="27"/>
  <c r="R127" i="27"/>
  <c r="L127" i="27"/>
  <c r="K127" i="27"/>
  <c r="AX126" i="27"/>
  <c r="AW126" i="27"/>
  <c r="AG125" i="27"/>
  <c r="AF125" i="27"/>
  <c r="AB125" i="27"/>
  <c r="Y125" i="27"/>
  <c r="AE125" i="27" s="1"/>
  <c r="W125" i="27"/>
  <c r="U125" i="27"/>
  <c r="R125" i="27"/>
  <c r="L125" i="27"/>
  <c r="K125" i="27"/>
  <c r="AX124" i="27"/>
  <c r="AW124" i="27"/>
  <c r="AG123" i="27"/>
  <c r="AF123" i="27"/>
  <c r="AB123" i="27"/>
  <c r="Y123" i="27"/>
  <c r="AE123" i="27" s="1"/>
  <c r="W123" i="27"/>
  <c r="U123" i="27"/>
  <c r="R123" i="27"/>
  <c r="L123" i="27"/>
  <c r="K123" i="27"/>
  <c r="AX122" i="27"/>
  <c r="AW122" i="27"/>
  <c r="AG121" i="27"/>
  <c r="AF121" i="27"/>
  <c r="AB121" i="27"/>
  <c r="Y121" i="27"/>
  <c r="AE121" i="27" s="1"/>
  <c r="W121" i="27"/>
  <c r="U121" i="27"/>
  <c r="R121" i="27"/>
  <c r="L121" i="27"/>
  <c r="K121" i="27"/>
  <c r="AX120" i="27"/>
  <c r="AW120" i="27"/>
  <c r="AG119" i="27"/>
  <c r="AF119" i="27"/>
  <c r="AB119" i="27"/>
  <c r="Y119" i="27"/>
  <c r="AE119" i="27" s="1"/>
  <c r="W119" i="27"/>
  <c r="U119" i="27"/>
  <c r="R119" i="27"/>
  <c r="L119" i="27"/>
  <c r="K119" i="27"/>
  <c r="AX118" i="27"/>
  <c r="AW118" i="27"/>
  <c r="AG117" i="27"/>
  <c r="AF117" i="27"/>
  <c r="AB117" i="27"/>
  <c r="Y117" i="27"/>
  <c r="AE117" i="27" s="1"/>
  <c r="W117" i="27"/>
  <c r="U117" i="27"/>
  <c r="R117" i="27"/>
  <c r="L117" i="27"/>
  <c r="K117" i="27"/>
  <c r="AX116" i="27"/>
  <c r="AW116" i="27"/>
  <c r="AG115" i="27"/>
  <c r="AF115" i="27"/>
  <c r="AB115" i="27"/>
  <c r="Y115" i="27"/>
  <c r="AE115" i="27" s="1"/>
  <c r="W115" i="27"/>
  <c r="U115" i="27"/>
  <c r="R115" i="27"/>
  <c r="L115" i="27"/>
  <c r="K115" i="27"/>
  <c r="AX114" i="27"/>
  <c r="AW114" i="27"/>
  <c r="AG113" i="27"/>
  <c r="AF113" i="27"/>
  <c r="AB113" i="27"/>
  <c r="Y113" i="27"/>
  <c r="AE113" i="27" s="1"/>
  <c r="W113" i="27"/>
  <c r="U113" i="27"/>
  <c r="R113" i="27"/>
  <c r="L113" i="27"/>
  <c r="K113" i="27"/>
  <c r="AX112" i="27"/>
  <c r="AW112" i="27"/>
  <c r="AG111" i="27"/>
  <c r="AF111" i="27"/>
  <c r="AB111" i="27"/>
  <c r="Y111" i="27"/>
  <c r="AE111" i="27" s="1"/>
  <c r="W111" i="27"/>
  <c r="U111" i="27"/>
  <c r="R111" i="27"/>
  <c r="L111" i="27"/>
  <c r="K111" i="27"/>
  <c r="AX110" i="27"/>
  <c r="AW110" i="27"/>
  <c r="AG109" i="27"/>
  <c r="AF109" i="27"/>
  <c r="AB109" i="27"/>
  <c r="Y109" i="27"/>
  <c r="AE109" i="27" s="1"/>
  <c r="W109" i="27"/>
  <c r="U109" i="27"/>
  <c r="R109" i="27"/>
  <c r="L109" i="27"/>
  <c r="K109" i="27"/>
  <c r="AX108" i="27"/>
  <c r="AW108" i="27"/>
  <c r="AG107" i="27"/>
  <c r="AF107" i="27"/>
  <c r="AB107" i="27"/>
  <c r="Y107" i="27"/>
  <c r="AE107" i="27" s="1"/>
  <c r="W107" i="27"/>
  <c r="U107" i="27"/>
  <c r="R107" i="27"/>
  <c r="L107" i="27"/>
  <c r="K107" i="27"/>
  <c r="AX106" i="27"/>
  <c r="AW106" i="27"/>
  <c r="AG105" i="27"/>
  <c r="AF105" i="27"/>
  <c r="AB105" i="27"/>
  <c r="W105" i="27"/>
  <c r="U105" i="27"/>
  <c r="R105" i="27"/>
  <c r="L105" i="27"/>
  <c r="K105" i="27"/>
  <c r="AY104" i="27"/>
  <c r="AX104" i="27"/>
  <c r="AW104" i="27"/>
  <c r="AV104" i="27"/>
  <c r="Y105" i="27" s="1"/>
  <c r="AE105" i="27" s="1"/>
  <c r="AG103" i="27"/>
  <c r="AF103" i="27"/>
  <c r="AB103" i="27"/>
  <c r="W103" i="27"/>
  <c r="U103" i="27"/>
  <c r="R103" i="27"/>
  <c r="L103" i="27"/>
  <c r="K103" i="27"/>
  <c r="AY102" i="27"/>
  <c r="AX102" i="27"/>
  <c r="AW102" i="27"/>
  <c r="AV102" i="27"/>
  <c r="AG101" i="27"/>
  <c r="AF101" i="27"/>
  <c r="AB101" i="27"/>
  <c r="W101" i="27"/>
  <c r="U101" i="27"/>
  <c r="R101" i="27"/>
  <c r="L101" i="27"/>
  <c r="K101" i="27"/>
  <c r="AY100" i="27"/>
  <c r="AX100" i="27"/>
  <c r="AW100" i="27"/>
  <c r="AV100" i="27"/>
  <c r="AG99" i="27"/>
  <c r="AF99" i="27"/>
  <c r="AB99" i="27"/>
  <c r="W99" i="27"/>
  <c r="U99" i="27"/>
  <c r="R99" i="27"/>
  <c r="L99" i="27"/>
  <c r="K99" i="27"/>
  <c r="AY98" i="27"/>
  <c r="AX98" i="27"/>
  <c r="AW98" i="27"/>
  <c r="AV98" i="27"/>
  <c r="Y99" i="27" s="1"/>
  <c r="AE99" i="27" s="1"/>
  <c r="AG97" i="27"/>
  <c r="AF97" i="27"/>
  <c r="AB97" i="27"/>
  <c r="W97" i="27"/>
  <c r="U97" i="27"/>
  <c r="R97" i="27"/>
  <c r="L97" i="27"/>
  <c r="K97" i="27"/>
  <c r="AX96" i="27"/>
  <c r="AW96" i="27"/>
  <c r="AV96" i="27"/>
  <c r="AG95" i="27"/>
  <c r="AF95" i="27"/>
  <c r="AB95" i="27"/>
  <c r="W95" i="27"/>
  <c r="U95" i="27"/>
  <c r="R95" i="27"/>
  <c r="L95" i="27"/>
  <c r="K95" i="27"/>
  <c r="AX94" i="27"/>
  <c r="AW94" i="27"/>
  <c r="AV94" i="27"/>
  <c r="AG93" i="27"/>
  <c r="AF93" i="27"/>
  <c r="AB93" i="27"/>
  <c r="W93" i="27"/>
  <c r="U93" i="27"/>
  <c r="R93" i="27"/>
  <c r="L93" i="27"/>
  <c r="K93" i="27"/>
  <c r="AX92" i="27"/>
  <c r="AW92" i="27"/>
  <c r="AV92" i="27"/>
  <c r="AG91" i="27"/>
  <c r="AF91" i="27"/>
  <c r="AB91" i="27"/>
  <c r="W91" i="27"/>
  <c r="U91" i="27"/>
  <c r="R91" i="27"/>
  <c r="L91" i="27"/>
  <c r="K91" i="27"/>
  <c r="AX90" i="27"/>
  <c r="AW90" i="27"/>
  <c r="AV90" i="27"/>
  <c r="AG89" i="27"/>
  <c r="AF89" i="27"/>
  <c r="AB89" i="27"/>
  <c r="W89" i="27"/>
  <c r="U89" i="27"/>
  <c r="R89" i="27"/>
  <c r="L89" i="27"/>
  <c r="K89" i="27"/>
  <c r="AX88" i="27"/>
  <c r="AW88" i="27"/>
  <c r="AV88" i="27"/>
  <c r="AG83" i="27"/>
  <c r="AF83" i="27"/>
  <c r="AB83" i="27"/>
  <c r="W83" i="27"/>
  <c r="U83" i="27"/>
  <c r="R83" i="27"/>
  <c r="L83" i="27"/>
  <c r="K83" i="27"/>
  <c r="AZ82" i="27"/>
  <c r="AY82" i="27"/>
  <c r="AX82" i="27"/>
  <c r="AW82" i="27"/>
  <c r="AV82" i="27"/>
  <c r="AG81" i="27"/>
  <c r="AF81" i="27"/>
  <c r="AB81" i="27"/>
  <c r="W81" i="27"/>
  <c r="U81" i="27"/>
  <c r="R81" i="27"/>
  <c r="L81" i="27"/>
  <c r="K81" i="27"/>
  <c r="AZ80" i="27"/>
  <c r="AY80" i="27"/>
  <c r="AX80" i="27"/>
  <c r="AW80" i="27"/>
  <c r="AV80" i="27"/>
  <c r="AG79" i="27"/>
  <c r="AF79" i="27"/>
  <c r="AB79" i="27"/>
  <c r="W79" i="27"/>
  <c r="U79" i="27"/>
  <c r="R79" i="27"/>
  <c r="L79" i="27"/>
  <c r="K79" i="27"/>
  <c r="AZ78" i="27"/>
  <c r="AY78" i="27"/>
  <c r="AX78" i="27"/>
  <c r="AW78" i="27"/>
  <c r="AV78" i="27"/>
  <c r="Y79" i="27" s="1"/>
  <c r="AE79" i="27" s="1"/>
  <c r="AG77" i="27"/>
  <c r="AF77" i="27"/>
  <c r="AB77" i="27"/>
  <c r="W77" i="27"/>
  <c r="U77" i="27"/>
  <c r="R77" i="27"/>
  <c r="L77" i="27"/>
  <c r="K77" i="27"/>
  <c r="BB76" i="27"/>
  <c r="BA76" i="27"/>
  <c r="AZ76" i="27"/>
  <c r="AY76" i="27"/>
  <c r="AX76" i="27"/>
  <c r="AW76" i="27"/>
  <c r="AV76" i="27"/>
  <c r="Y77" i="27" s="1"/>
  <c r="AE77" i="27" s="1"/>
  <c r="AG75" i="27"/>
  <c r="AF75" i="27"/>
  <c r="AB75" i="27"/>
  <c r="W75" i="27"/>
  <c r="U75" i="27"/>
  <c r="R75" i="27"/>
  <c r="L75" i="27"/>
  <c r="K75" i="27"/>
  <c r="AZ74" i="27"/>
  <c r="AY74" i="27"/>
  <c r="AX74" i="27"/>
  <c r="AW74" i="27"/>
  <c r="AV74" i="27"/>
  <c r="Y75" i="27" s="1"/>
  <c r="AE75" i="27" s="1"/>
  <c r="AG73" i="27"/>
  <c r="AF73" i="27"/>
  <c r="AB73" i="27"/>
  <c r="W73" i="27"/>
  <c r="U73" i="27"/>
  <c r="R73" i="27"/>
  <c r="L73" i="27"/>
  <c r="K73" i="27"/>
  <c r="AZ72" i="27"/>
  <c r="AY72" i="27"/>
  <c r="AX72" i="27"/>
  <c r="AW72" i="27"/>
  <c r="AV72" i="27"/>
  <c r="Y73" i="27" s="1"/>
  <c r="AE73" i="27" s="1"/>
  <c r="AG71" i="27"/>
  <c r="AF71" i="27"/>
  <c r="AB71" i="27"/>
  <c r="W71" i="27"/>
  <c r="U71" i="27"/>
  <c r="R71" i="27"/>
  <c r="L71" i="27"/>
  <c r="K71" i="27"/>
  <c r="AZ70" i="27"/>
  <c r="AY70" i="27"/>
  <c r="AX70" i="27"/>
  <c r="AW70" i="27"/>
  <c r="AV70" i="27"/>
  <c r="AG69" i="27"/>
  <c r="AF69" i="27"/>
  <c r="AB69" i="27"/>
  <c r="W69" i="27"/>
  <c r="U69" i="27"/>
  <c r="R69" i="27"/>
  <c r="L69" i="27"/>
  <c r="K69" i="27"/>
  <c r="BB68" i="27"/>
  <c r="BA68" i="27"/>
  <c r="AZ68" i="27"/>
  <c r="AY68" i="27"/>
  <c r="AX68" i="27"/>
  <c r="AW68" i="27"/>
  <c r="AV68" i="27"/>
  <c r="Y69" i="27" s="1"/>
  <c r="AE69" i="27" s="1"/>
  <c r="AG67" i="27"/>
  <c r="AF67" i="27"/>
  <c r="AB67" i="27"/>
  <c r="W67" i="27"/>
  <c r="U67" i="27"/>
  <c r="R67" i="27"/>
  <c r="L67" i="27"/>
  <c r="K67" i="27"/>
  <c r="AZ66" i="27"/>
  <c r="AY66" i="27"/>
  <c r="AX66" i="27"/>
  <c r="AW66" i="27"/>
  <c r="AV66" i="27"/>
  <c r="AG65" i="27"/>
  <c r="AF65" i="27"/>
  <c r="AB65" i="27"/>
  <c r="W65" i="27"/>
  <c r="U65" i="27"/>
  <c r="R65" i="27"/>
  <c r="L65" i="27"/>
  <c r="K65" i="27"/>
  <c r="AZ64" i="27"/>
  <c r="AY64" i="27"/>
  <c r="AX64" i="27"/>
  <c r="AW64" i="27"/>
  <c r="AV64" i="27"/>
  <c r="AG63" i="27"/>
  <c r="AF63" i="27"/>
  <c r="AB63" i="27"/>
  <c r="Y63" i="27"/>
  <c r="AE63" i="27" s="1"/>
  <c r="W63" i="27"/>
  <c r="U63" i="27"/>
  <c r="R63" i="27"/>
  <c r="L63" i="27"/>
  <c r="K63" i="27"/>
  <c r="BB62" i="27"/>
  <c r="BA62" i="27"/>
  <c r="AZ62" i="27"/>
  <c r="AY62" i="27"/>
  <c r="AX62" i="27"/>
  <c r="AW62" i="27"/>
  <c r="AG61" i="27"/>
  <c r="AF61" i="27"/>
  <c r="AB61" i="27"/>
  <c r="Y61" i="27"/>
  <c r="AE61" i="27" s="1"/>
  <c r="W61" i="27"/>
  <c r="U61" i="27"/>
  <c r="R61" i="27"/>
  <c r="L61" i="27"/>
  <c r="K61" i="27"/>
  <c r="BB60" i="27"/>
  <c r="BA60" i="27"/>
  <c r="AZ60" i="27"/>
  <c r="AY60" i="27"/>
  <c r="AX60" i="27"/>
  <c r="AW60" i="27"/>
  <c r="AG59" i="27"/>
  <c r="AF59" i="27"/>
  <c r="AB59" i="27"/>
  <c r="Y59" i="27"/>
  <c r="AE59" i="27" s="1"/>
  <c r="W59" i="27"/>
  <c r="U59" i="27"/>
  <c r="R59" i="27"/>
  <c r="L59" i="27"/>
  <c r="K59" i="27"/>
  <c r="BB58" i="27"/>
  <c r="BA58" i="27"/>
  <c r="AZ58" i="27"/>
  <c r="AY58" i="27"/>
  <c r="AX58" i="27"/>
  <c r="AW58" i="27"/>
  <c r="AG57" i="27"/>
  <c r="AF57" i="27"/>
  <c r="AB57" i="27"/>
  <c r="Y57" i="27"/>
  <c r="AE57" i="27" s="1"/>
  <c r="W57" i="27"/>
  <c r="U57" i="27"/>
  <c r="R57" i="27"/>
  <c r="L57" i="27"/>
  <c r="K57" i="27"/>
  <c r="BA56" i="27"/>
  <c r="AZ56" i="27"/>
  <c r="AY56" i="27"/>
  <c r="AX56" i="27"/>
  <c r="AW56" i="27"/>
  <c r="AG55" i="27"/>
  <c r="AF55" i="27"/>
  <c r="AB55" i="27"/>
  <c r="Y55" i="27"/>
  <c r="AE55" i="27" s="1"/>
  <c r="W55" i="27"/>
  <c r="U55" i="27"/>
  <c r="R55" i="27"/>
  <c r="L55" i="27"/>
  <c r="K55" i="27"/>
  <c r="BA54" i="27"/>
  <c r="AZ54" i="27"/>
  <c r="AY54" i="27"/>
  <c r="AX54" i="27"/>
  <c r="AW54" i="27"/>
  <c r="AG53" i="27"/>
  <c r="AF53" i="27"/>
  <c r="AB53" i="27"/>
  <c r="W53" i="27"/>
  <c r="U53" i="27"/>
  <c r="R53" i="27"/>
  <c r="L53" i="27"/>
  <c r="K53" i="27"/>
  <c r="AX52" i="27"/>
  <c r="AW52" i="27"/>
  <c r="AV52" i="27"/>
  <c r="AG51" i="27"/>
  <c r="AF51" i="27"/>
  <c r="AB51" i="27"/>
  <c r="W51" i="27"/>
  <c r="U51" i="27"/>
  <c r="R51" i="27"/>
  <c r="L51" i="27"/>
  <c r="K51" i="27"/>
  <c r="AX50" i="27"/>
  <c r="AW50" i="27"/>
  <c r="AV50" i="27"/>
  <c r="AG49" i="27"/>
  <c r="AF49" i="27"/>
  <c r="AB49" i="27"/>
  <c r="W49" i="27"/>
  <c r="U49" i="27"/>
  <c r="R49" i="27"/>
  <c r="L49" i="27"/>
  <c r="K49" i="27"/>
  <c r="AX48" i="27"/>
  <c r="AW48" i="27"/>
  <c r="AV48" i="27"/>
  <c r="AG43" i="27"/>
  <c r="AF43" i="27"/>
  <c r="AB43" i="27"/>
  <c r="Y43" i="27"/>
  <c r="AE43" i="27" s="1"/>
  <c r="W43" i="27"/>
  <c r="U43" i="27"/>
  <c r="R43" i="27"/>
  <c r="L43" i="27"/>
  <c r="K43" i="27"/>
  <c r="BB42" i="27"/>
  <c r="BA42" i="27"/>
  <c r="AZ42" i="27"/>
  <c r="AY42" i="27"/>
  <c r="AX42" i="27"/>
  <c r="AW42" i="27"/>
  <c r="AG41" i="27"/>
  <c r="AF41" i="27"/>
  <c r="AB41" i="27"/>
  <c r="Y41" i="27"/>
  <c r="AE41" i="27" s="1"/>
  <c r="W41" i="27"/>
  <c r="U41" i="27"/>
  <c r="R41" i="27"/>
  <c r="L41" i="27"/>
  <c r="K41" i="27"/>
  <c r="BB40" i="27"/>
  <c r="BA40" i="27"/>
  <c r="AZ40" i="27"/>
  <c r="AY40" i="27"/>
  <c r="AX40" i="27"/>
  <c r="AW40" i="27"/>
  <c r="AG39" i="27"/>
  <c r="AF39" i="27"/>
  <c r="AA39" i="27"/>
  <c r="AB39" i="27" s="1"/>
  <c r="W39" i="27"/>
  <c r="U39" i="27"/>
  <c r="R39" i="27"/>
  <c r="L39" i="27"/>
  <c r="K39" i="27"/>
  <c r="BE38" i="27"/>
  <c r="BD38" i="27"/>
  <c r="BC38" i="27"/>
  <c r="BB38" i="27"/>
  <c r="BA38" i="27"/>
  <c r="AZ38" i="27"/>
  <c r="AY38" i="27"/>
  <c r="AX38" i="27"/>
  <c r="AW38" i="27"/>
  <c r="AV38" i="27"/>
  <c r="AG29" i="27"/>
  <c r="AF29" i="27"/>
  <c r="AB29" i="27"/>
  <c r="Y29" i="27"/>
  <c r="AE29" i="27" s="1"/>
  <c r="W29" i="27"/>
  <c r="U29" i="27"/>
  <c r="R29" i="27"/>
  <c r="L29" i="27"/>
  <c r="K29" i="27"/>
  <c r="AX28" i="27"/>
  <c r="AW28" i="27"/>
  <c r="AG27" i="27"/>
  <c r="AF27" i="27"/>
  <c r="AB27" i="27"/>
  <c r="Y27" i="27"/>
  <c r="AE27" i="27" s="1"/>
  <c r="W27" i="27"/>
  <c r="U27" i="27"/>
  <c r="R27" i="27"/>
  <c r="L27" i="27"/>
  <c r="K27" i="27"/>
  <c r="AX26" i="27"/>
  <c r="AW26" i="27"/>
  <c r="AG25" i="27"/>
  <c r="AF25" i="27"/>
  <c r="AB25" i="27"/>
  <c r="Y25" i="27"/>
  <c r="AE25" i="27" s="1"/>
  <c r="W25" i="27"/>
  <c r="U25" i="27"/>
  <c r="R25" i="27"/>
  <c r="L25" i="27"/>
  <c r="K25" i="27"/>
  <c r="AX24" i="27"/>
  <c r="AW24" i="27"/>
  <c r="AG23" i="27"/>
  <c r="AF23" i="27"/>
  <c r="AB23" i="27"/>
  <c r="Y23" i="27"/>
  <c r="AE23" i="27" s="1"/>
  <c r="W23" i="27"/>
  <c r="U23" i="27"/>
  <c r="R23" i="27"/>
  <c r="L23" i="27"/>
  <c r="K23" i="27"/>
  <c r="AX22" i="27"/>
  <c r="AW22" i="27"/>
  <c r="AG21" i="27"/>
  <c r="AF21" i="27"/>
  <c r="AB21" i="27"/>
  <c r="Y21" i="27"/>
  <c r="AE21" i="27" s="1"/>
  <c r="W21" i="27"/>
  <c r="U21" i="27"/>
  <c r="R21" i="27"/>
  <c r="L21" i="27"/>
  <c r="K21" i="27"/>
  <c r="AX20" i="27"/>
  <c r="AW20" i="27"/>
  <c r="AG19" i="27"/>
  <c r="AF19" i="27"/>
  <c r="AB19" i="27"/>
  <c r="Y19" i="27"/>
  <c r="AE19" i="27" s="1"/>
  <c r="W19" i="27"/>
  <c r="U19" i="27"/>
  <c r="R19" i="27"/>
  <c r="L19" i="27"/>
  <c r="K19" i="27"/>
  <c r="AX18" i="27"/>
  <c r="AW18" i="27"/>
  <c r="B15" i="28"/>
  <c r="C15" i="28" s="1"/>
  <c r="AG9" i="27"/>
  <c r="AF9" i="27"/>
  <c r="AA9" i="27"/>
  <c r="B9" i="28" s="1"/>
  <c r="C9" i="28" s="1"/>
  <c r="Y9" i="27"/>
  <c r="W9" i="27"/>
  <c r="U9" i="27"/>
  <c r="R9" i="27"/>
  <c r="L9" i="27"/>
  <c r="K9" i="27"/>
  <c r="AX8" i="27"/>
  <c r="AW8" i="27"/>
  <c r="AG7" i="27"/>
  <c r="AF7" i="27"/>
  <c r="AA7" i="27"/>
  <c r="B7" i="28" s="1"/>
  <c r="C7" i="28" s="1"/>
  <c r="Y7" i="27"/>
  <c r="W7" i="27"/>
  <c r="U7" i="27"/>
  <c r="R7" i="27"/>
  <c r="L7" i="27"/>
  <c r="K7" i="27"/>
  <c r="AX6" i="27"/>
  <c r="AW6" i="27"/>
  <c r="AG5" i="27"/>
  <c r="AF5" i="27"/>
  <c r="AA5" i="27"/>
  <c r="B5" i="28" s="1"/>
  <c r="C5" i="28" s="1"/>
  <c r="Y5" i="27"/>
  <c r="W5" i="27"/>
  <c r="U5" i="27"/>
  <c r="R5" i="27"/>
  <c r="L5" i="27"/>
  <c r="K5" i="27"/>
  <c r="AX4" i="27"/>
  <c r="AW4" i="27"/>
  <c r="AG3" i="27"/>
  <c r="AF3" i="27"/>
  <c r="AA3" i="27"/>
  <c r="AB3" i="27" s="1"/>
  <c r="Y3" i="27"/>
  <c r="W3" i="27"/>
  <c r="U3" i="27"/>
  <c r="R3" i="27"/>
  <c r="L3" i="27"/>
  <c r="K3" i="27"/>
  <c r="AX2" i="27"/>
  <c r="AW2" i="27"/>
  <c r="A191" i="26"/>
  <c r="A189" i="26"/>
  <c r="A187" i="26"/>
  <c r="A185" i="26"/>
  <c r="A183" i="26"/>
  <c r="A181" i="26"/>
  <c r="A179" i="26"/>
  <c r="A177" i="26"/>
  <c r="B175" i="26"/>
  <c r="C175" i="26" s="1"/>
  <c r="A175" i="26"/>
  <c r="B173" i="26"/>
  <c r="C173" i="26" s="1"/>
  <c r="A173" i="26"/>
  <c r="B171" i="26"/>
  <c r="C171" i="26" s="1"/>
  <c r="A171" i="26"/>
  <c r="B167" i="26"/>
  <c r="C167" i="26" s="1"/>
  <c r="A167" i="26"/>
  <c r="B165" i="26"/>
  <c r="C165" i="26" s="1"/>
  <c r="A165" i="26"/>
  <c r="B163" i="26"/>
  <c r="C163" i="26" s="1"/>
  <c r="A163" i="26"/>
  <c r="A161" i="26"/>
  <c r="A159" i="26"/>
  <c r="A157" i="26"/>
  <c r="A155" i="26"/>
  <c r="B153" i="26"/>
  <c r="C153" i="26" s="1"/>
  <c r="A153" i="26"/>
  <c r="B151" i="26"/>
  <c r="C151" i="26" s="1"/>
  <c r="A151" i="26"/>
  <c r="B149" i="26"/>
  <c r="C149" i="26" s="1"/>
  <c r="A149" i="26"/>
  <c r="B147" i="26"/>
  <c r="C147" i="26" s="1"/>
  <c r="A147" i="26"/>
  <c r="B145" i="26"/>
  <c r="C145" i="26" s="1"/>
  <c r="A145" i="26"/>
  <c r="B143" i="26"/>
  <c r="C143" i="26" s="1"/>
  <c r="A143" i="26"/>
  <c r="B139" i="26"/>
  <c r="C139" i="26" s="1"/>
  <c r="A139" i="26"/>
  <c r="B137" i="26"/>
  <c r="C137" i="26" s="1"/>
  <c r="A137" i="26"/>
  <c r="B135" i="26"/>
  <c r="C135" i="26" s="1"/>
  <c r="A135" i="26"/>
  <c r="B133" i="26"/>
  <c r="C133" i="26" s="1"/>
  <c r="A133" i="26"/>
  <c r="B131" i="26"/>
  <c r="C131" i="26" s="1"/>
  <c r="A131" i="26"/>
  <c r="B129" i="26"/>
  <c r="C129" i="26" s="1"/>
  <c r="A129" i="26"/>
  <c r="B127" i="26"/>
  <c r="C127" i="26" s="1"/>
  <c r="A127" i="26"/>
  <c r="B125" i="26"/>
  <c r="C125" i="26" s="1"/>
  <c r="A125" i="26"/>
  <c r="B121" i="26"/>
  <c r="C121" i="26" s="1"/>
  <c r="A121" i="26"/>
  <c r="B119" i="26"/>
  <c r="C119" i="26" s="1"/>
  <c r="A119" i="26"/>
  <c r="B117" i="26"/>
  <c r="C117" i="26" s="1"/>
  <c r="A117" i="26"/>
  <c r="B115" i="26"/>
  <c r="C115" i="26" s="1"/>
  <c r="A115" i="26"/>
  <c r="B111" i="26"/>
  <c r="C111" i="26" s="1"/>
  <c r="A111" i="26"/>
  <c r="B109" i="26"/>
  <c r="C109" i="26" s="1"/>
  <c r="A109" i="26"/>
  <c r="B107" i="26"/>
  <c r="C107" i="26" s="1"/>
  <c r="A107" i="26"/>
  <c r="B105" i="26"/>
  <c r="C105" i="26" s="1"/>
  <c r="A105" i="26"/>
  <c r="B103" i="26"/>
  <c r="C103" i="26" s="1"/>
  <c r="A103" i="26"/>
  <c r="B101" i="26"/>
  <c r="C101" i="26" s="1"/>
  <c r="A101" i="26"/>
  <c r="B99" i="26"/>
  <c r="C99" i="26" s="1"/>
  <c r="A99" i="26"/>
  <c r="B97" i="26"/>
  <c r="C97" i="26" s="1"/>
  <c r="A97" i="26"/>
  <c r="B95" i="26"/>
  <c r="C95" i="26" s="1"/>
  <c r="A95" i="26"/>
  <c r="A93" i="26"/>
  <c r="A91" i="26"/>
  <c r="B89" i="26"/>
  <c r="C89" i="26" s="1"/>
  <c r="A89" i="26"/>
  <c r="B87" i="26"/>
  <c r="C87" i="26" s="1"/>
  <c r="A87" i="26"/>
  <c r="B85" i="26"/>
  <c r="C85" i="26" s="1"/>
  <c r="A85" i="26"/>
  <c r="B83" i="26"/>
  <c r="C83" i="26" s="1"/>
  <c r="A83" i="26"/>
  <c r="A81" i="26"/>
  <c r="A79" i="26"/>
  <c r="A77" i="26"/>
  <c r="B71" i="26"/>
  <c r="C71" i="26" s="1"/>
  <c r="A71" i="26"/>
  <c r="B69" i="26"/>
  <c r="C69" i="26" s="1"/>
  <c r="A69" i="26"/>
  <c r="B67" i="26"/>
  <c r="C67" i="26" s="1"/>
  <c r="A67" i="26"/>
  <c r="B65" i="26"/>
  <c r="C65" i="26" s="1"/>
  <c r="A65" i="26"/>
  <c r="B63" i="26"/>
  <c r="C63" i="26" s="1"/>
  <c r="A63" i="26"/>
  <c r="B61" i="26"/>
  <c r="C61" i="26" s="1"/>
  <c r="A61" i="26"/>
  <c r="B59" i="26"/>
  <c r="C59" i="26" s="1"/>
  <c r="A59" i="26"/>
  <c r="B57" i="26"/>
  <c r="C57" i="26" s="1"/>
  <c r="A57" i="26"/>
  <c r="B55" i="26"/>
  <c r="C55" i="26" s="1"/>
  <c r="A55" i="26"/>
  <c r="B37" i="26"/>
  <c r="C37" i="26" s="1"/>
  <c r="A37" i="26"/>
  <c r="B35" i="26"/>
  <c r="C35" i="26" s="1"/>
  <c r="A35" i="26"/>
  <c r="B33" i="26"/>
  <c r="C33" i="26" s="1"/>
  <c r="A33" i="26"/>
  <c r="B31" i="26"/>
  <c r="C31" i="26" s="1"/>
  <c r="A31" i="26"/>
  <c r="B29" i="26"/>
  <c r="C29" i="26" s="1"/>
  <c r="A29" i="26"/>
  <c r="B27" i="26"/>
  <c r="C27" i="26" s="1"/>
  <c r="A27" i="26"/>
  <c r="B25" i="26"/>
  <c r="C25" i="26" s="1"/>
  <c r="A25" i="26"/>
  <c r="B23" i="26"/>
  <c r="C23" i="26" s="1"/>
  <c r="A23" i="26"/>
  <c r="B21" i="26"/>
  <c r="C21" i="26" s="1"/>
  <c r="A21" i="26"/>
  <c r="B19" i="26"/>
  <c r="C19" i="26" s="1"/>
  <c r="A19" i="26"/>
  <c r="B17" i="26"/>
  <c r="C17" i="26" s="1"/>
  <c r="A17" i="26"/>
  <c r="A15" i="26"/>
  <c r="B13" i="26"/>
  <c r="C13" i="26" s="1"/>
  <c r="A13" i="26"/>
  <c r="B11" i="26"/>
  <c r="C11" i="26" s="1"/>
  <c r="A11" i="26"/>
  <c r="B9" i="26"/>
  <c r="C9" i="26" s="1"/>
  <c r="A9" i="26"/>
  <c r="B5" i="26"/>
  <c r="C5" i="26" s="1"/>
  <c r="A5" i="26"/>
  <c r="B3" i="26"/>
  <c r="C3" i="26" s="1"/>
  <c r="A3" i="26"/>
  <c r="B39" i="28" l="1"/>
  <c r="C39" i="28" s="1"/>
  <c r="B3" i="28"/>
  <c r="C3" i="28" s="1"/>
  <c r="B143" i="28"/>
  <c r="C143" i="28" s="1"/>
  <c r="AJ101" i="27"/>
  <c r="AI89" i="27"/>
  <c r="AC127" i="27"/>
  <c r="AD127" i="27" s="1"/>
  <c r="AK29" i="27"/>
  <c r="AJ25" i="27"/>
  <c r="AK135" i="27"/>
  <c r="AC23" i="27"/>
  <c r="AD23" i="27" s="1"/>
  <c r="AC81" i="27"/>
  <c r="AD81" i="27" s="1"/>
  <c r="AJ129" i="27"/>
  <c r="AK3" i="27"/>
  <c r="AI7" i="27"/>
  <c r="AJ113" i="27"/>
  <c r="AI95" i="27"/>
  <c r="AE7" i="27"/>
  <c r="AK21" i="27"/>
  <c r="AC97" i="27"/>
  <c r="AD97" i="27" s="1"/>
  <c r="AI119" i="27"/>
  <c r="AJ9" i="27"/>
  <c r="AK27" i="27"/>
  <c r="AJ105" i="27"/>
  <c r="AJ115" i="27"/>
  <c r="AK109" i="27"/>
  <c r="AK121" i="27"/>
  <c r="AJ137" i="27"/>
  <c r="AK59" i="27"/>
  <c r="AJ61" i="27"/>
  <c r="AJ77" i="27"/>
  <c r="AK101" i="27"/>
  <c r="Y101" i="27"/>
  <c r="AE101" i="27" s="1"/>
  <c r="AK113" i="27"/>
  <c r="AI5" i="27"/>
  <c r="AJ27" i="27"/>
  <c r="AI69" i="27"/>
  <c r="AC67" i="27"/>
  <c r="AD67" i="27" s="1"/>
  <c r="AI75" i="27"/>
  <c r="AC89" i="27"/>
  <c r="AD89" i="27" s="1"/>
  <c r="AJ97" i="27"/>
  <c r="AK105" i="27"/>
  <c r="AI123" i="27"/>
  <c r="AI127" i="27"/>
  <c r="AC43" i="27"/>
  <c r="AD43" i="27" s="1"/>
  <c r="AC19" i="27"/>
  <c r="AD19" i="27" s="1"/>
  <c r="AC63" i="27"/>
  <c r="AD63" i="27" s="1"/>
  <c r="AK83" i="27"/>
  <c r="AJ103" i="27"/>
  <c r="AI109" i="27"/>
  <c r="AC119" i="27"/>
  <c r="AD119" i="27" s="1"/>
  <c r="AC139" i="27"/>
  <c r="AD139" i="27" s="1"/>
  <c r="AK7" i="27"/>
  <c r="AB7" i="27"/>
  <c r="AC7" i="27"/>
  <c r="AD7" i="27" s="1"/>
  <c r="AI111" i="27"/>
  <c r="AC5" i="27"/>
  <c r="AD5" i="27" s="1"/>
  <c r="AE5" i="27"/>
  <c r="AK19" i="27"/>
  <c r="AK69" i="27"/>
  <c r="AJ95" i="27"/>
  <c r="Y103" i="27"/>
  <c r="AE103" i="27" s="1"/>
  <c r="AC137" i="27"/>
  <c r="AD137" i="27" s="1"/>
  <c r="AK139" i="27"/>
  <c r="AJ39" i="27"/>
  <c r="AI59" i="27"/>
  <c r="AC61" i="27"/>
  <c r="AD61" i="27" s="1"/>
  <c r="AC101" i="27"/>
  <c r="AD101" i="27" s="1"/>
  <c r="AC3" i="27"/>
  <c r="AD3" i="27" s="1"/>
  <c r="AE9" i="27"/>
  <c r="AC21" i="27"/>
  <c r="AD21" i="27" s="1"/>
  <c r="AC39" i="27"/>
  <c r="AD39" i="27" s="1"/>
  <c r="AI61" i="27"/>
  <c r="AJ75" i="27"/>
  <c r="AC91" i="27"/>
  <c r="AD91" i="27" s="1"/>
  <c r="AJ121" i="27"/>
  <c r="AK9" i="27"/>
  <c r="AB9" i="27"/>
  <c r="AI19" i="27"/>
  <c r="AC27" i="27"/>
  <c r="AD27" i="27" s="1"/>
  <c r="AK73" i="27"/>
  <c r="AR95" i="27"/>
  <c r="AC105" i="27"/>
  <c r="AD105" i="27" s="1"/>
  <c r="AJ109" i="27"/>
  <c r="AC129" i="27"/>
  <c r="AD129" i="27" s="1"/>
  <c r="AC135" i="27"/>
  <c r="AD135" i="27" s="1"/>
  <c r="AJ19" i="27"/>
  <c r="AJ57" i="27"/>
  <c r="AC59" i="27"/>
  <c r="AD59" i="27" s="1"/>
  <c r="AK89" i="27"/>
  <c r="AJ43" i="27"/>
  <c r="AJ7" i="27"/>
  <c r="AI27" i="27"/>
  <c r="AC29" i="27"/>
  <c r="AD29" i="27" s="1"/>
  <c r="AI41" i="27"/>
  <c r="AC51" i="27"/>
  <c r="AD51" i="27" s="1"/>
  <c r="AI55" i="27"/>
  <c r="AK57" i="27"/>
  <c r="AK71" i="27"/>
  <c r="AI81" i="27"/>
  <c r="AI103" i="27"/>
  <c r="AK115" i="27"/>
  <c r="AJ123" i="27"/>
  <c r="AK127" i="27"/>
  <c r="AI135" i="27"/>
  <c r="AI43" i="27"/>
  <c r="AJ79" i="27"/>
  <c r="AJ107" i="27"/>
  <c r="AK107" i="27"/>
  <c r="AI107" i="27"/>
  <c r="AC107" i="27"/>
  <c r="AD107" i="27" s="1"/>
  <c r="AE3" i="27"/>
  <c r="AB5" i="27"/>
  <c r="AK5" i="27"/>
  <c r="AI21" i="27"/>
  <c r="AI29" i="27"/>
  <c r="AC41" i="27"/>
  <c r="AD41" i="27" s="1"/>
  <c r="AK41" i="27"/>
  <c r="AJ41" i="27"/>
  <c r="AK43" i="27"/>
  <c r="AC57" i="27"/>
  <c r="AD57" i="27" s="1"/>
  <c r="AK25" i="27"/>
  <c r="AO53" i="27"/>
  <c r="AN53" i="27"/>
  <c r="AM53" i="27"/>
  <c r="D53" i="28" s="1"/>
  <c r="AC53" i="27"/>
  <c r="AD53" i="27" s="1"/>
  <c r="AS53" i="27"/>
  <c r="AK53" i="27"/>
  <c r="AJ21" i="27"/>
  <c r="AJ29" i="27"/>
  <c r="AK39" i="27"/>
  <c r="AK51" i="27"/>
  <c r="AK99" i="27"/>
  <c r="AI125" i="27"/>
  <c r="AC125" i="27"/>
  <c r="AD125" i="27" s="1"/>
  <c r="AK125" i="27"/>
  <c r="AJ125" i="27"/>
  <c r="AJ5" i="27"/>
  <c r="AI23" i="27"/>
  <c r="AI39" i="27"/>
  <c r="Y39" i="27"/>
  <c r="AE39" i="27" s="1"/>
  <c r="AI53" i="27"/>
  <c r="AJ63" i="27"/>
  <c r="AI133" i="27"/>
  <c r="AC133" i="27"/>
  <c r="AD133" i="27" s="1"/>
  <c r="AK133" i="27"/>
  <c r="AJ133" i="27"/>
  <c r="AC9" i="27"/>
  <c r="AD9" i="27" s="1"/>
  <c r="AI3" i="27"/>
  <c r="AJ23" i="27"/>
  <c r="AJ53" i="27"/>
  <c r="AC55" i="27"/>
  <c r="AD55" i="27" s="1"/>
  <c r="AK55" i="27"/>
  <c r="AJ55" i="27"/>
  <c r="AI65" i="27"/>
  <c r="Y53" i="27"/>
  <c r="AE53" i="27" s="1"/>
  <c r="AJ71" i="27"/>
  <c r="AQ71" i="27"/>
  <c r="AI71" i="27"/>
  <c r="AC71" i="27"/>
  <c r="AD71" i="27" s="1"/>
  <c r="Y71" i="27"/>
  <c r="AE71" i="27" s="1"/>
  <c r="AJ73" i="27"/>
  <c r="AI73" i="27"/>
  <c r="AC25" i="27"/>
  <c r="AD25" i="27" s="1"/>
  <c r="AI9" i="27"/>
  <c r="AK23" i="27"/>
  <c r="AI25" i="27"/>
  <c r="AI79" i="27"/>
  <c r="AJ3" i="27"/>
  <c r="AI57" i="27"/>
  <c r="AK63" i="27"/>
  <c r="AC79" i="27"/>
  <c r="AD79" i="27" s="1"/>
  <c r="AI49" i="27"/>
  <c r="AK61" i="27"/>
  <c r="AC75" i="27"/>
  <c r="AD75" i="27" s="1"/>
  <c r="AK77" i="27"/>
  <c r="Y49" i="27"/>
  <c r="AE49" i="27" s="1"/>
  <c r="AJ49" i="27"/>
  <c r="AC69" i="27"/>
  <c r="AD69" i="27" s="1"/>
  <c r="AJ83" i="27"/>
  <c r="Y83" i="27"/>
  <c r="AE83" i="27" s="1"/>
  <c r="AQ83" i="27"/>
  <c r="AI83" i="27"/>
  <c r="AJ131" i="27"/>
  <c r="AI131" i="27"/>
  <c r="AC131" i="27"/>
  <c r="AD131" i="27" s="1"/>
  <c r="AK49" i="27"/>
  <c r="AS49" i="27"/>
  <c r="AP51" i="27"/>
  <c r="AR65" i="27"/>
  <c r="AJ65" i="27"/>
  <c r="Y65" i="27"/>
  <c r="AE65" i="27" s="1"/>
  <c r="AK65" i="27"/>
  <c r="AQ67" i="27"/>
  <c r="AI67" i="27"/>
  <c r="AM67" i="27"/>
  <c r="D67" i="28" s="1"/>
  <c r="AJ67" i="27"/>
  <c r="AC111" i="27"/>
  <c r="AD111" i="27" s="1"/>
  <c r="AC49" i="27"/>
  <c r="AD49" i="27" s="1"/>
  <c r="AL49" i="27"/>
  <c r="AI51" i="27"/>
  <c r="AQ51" i="27"/>
  <c r="AJ59" i="27"/>
  <c r="AI63" i="27"/>
  <c r="AK67" i="27"/>
  <c r="Y51" i="27"/>
  <c r="AE51" i="27" s="1"/>
  <c r="AJ51" i="27"/>
  <c r="Y67" i="27"/>
  <c r="AE67" i="27" s="1"/>
  <c r="AJ69" i="27"/>
  <c r="AK81" i="27"/>
  <c r="AR81" i="27"/>
  <c r="AJ81" i="27"/>
  <c r="Y81" i="27"/>
  <c r="AE81" i="27" s="1"/>
  <c r="AN81" i="27"/>
  <c r="AC83" i="27"/>
  <c r="AD83" i="27" s="1"/>
  <c r="AC65" i="27"/>
  <c r="AD65" i="27" s="1"/>
  <c r="AC77" i="27"/>
  <c r="AD77" i="27" s="1"/>
  <c r="AI77" i="27"/>
  <c r="AP77" i="27"/>
  <c r="AI99" i="27"/>
  <c r="AI117" i="27"/>
  <c r="AC117" i="27"/>
  <c r="AD117" i="27" s="1"/>
  <c r="AK117" i="27"/>
  <c r="AJ117" i="27"/>
  <c r="AC73" i="27"/>
  <c r="AD73" i="27" s="1"/>
  <c r="AL73" i="27"/>
  <c r="AO75" i="27"/>
  <c r="AK79" i="27"/>
  <c r="AS79" i="27"/>
  <c r="Y89" i="27"/>
  <c r="AE89" i="27" s="1"/>
  <c r="AJ89" i="27"/>
  <c r="AS89" i="27"/>
  <c r="AI91" i="27"/>
  <c r="AQ93" i="27"/>
  <c r="AO97" i="27"/>
  <c r="AC99" i="27"/>
  <c r="AD99" i="27" s="1"/>
  <c r="AN99" i="27"/>
  <c r="AM103" i="27"/>
  <c r="D103" i="28" s="1"/>
  <c r="AT103" i="27"/>
  <c r="AL103" i="27"/>
  <c r="AC103" i="27"/>
  <c r="AD103" i="27" s="1"/>
  <c r="AK103" i="27"/>
  <c r="AC109" i="27"/>
  <c r="AD109" i="27" s="1"/>
  <c r="AC113" i="27"/>
  <c r="AD113" i="27" s="1"/>
  <c r="AI113" i="27"/>
  <c r="AI115" i="27"/>
  <c r="AK119" i="27"/>
  <c r="AK91" i="27"/>
  <c r="AI93" i="27"/>
  <c r="AR93" i="27"/>
  <c r="AJ141" i="27"/>
  <c r="AI141" i="27"/>
  <c r="AC141" i="27"/>
  <c r="AD141" i="27" s="1"/>
  <c r="Y93" i="27"/>
  <c r="AE93" i="27" s="1"/>
  <c r="AJ93" i="27"/>
  <c r="AK93" i="27"/>
  <c r="AC115" i="27"/>
  <c r="AD115" i="27" s="1"/>
  <c r="AC121" i="27"/>
  <c r="AD121" i="27" s="1"/>
  <c r="AI121" i="27"/>
  <c r="AK75" i="27"/>
  <c r="AC93" i="27"/>
  <c r="AD93" i="27" s="1"/>
  <c r="AL93" i="27"/>
  <c r="AT95" i="27"/>
  <c r="AL95" i="27"/>
  <c r="AC95" i="27"/>
  <c r="AD95" i="27" s="1"/>
  <c r="Y95" i="27"/>
  <c r="AE95" i="27" s="1"/>
  <c r="AK95" i="27"/>
  <c r="AQ97" i="27"/>
  <c r="AI97" i="27"/>
  <c r="Y97" i="27"/>
  <c r="AE97" i="27" s="1"/>
  <c r="AK97" i="27"/>
  <c r="AT97" i="27"/>
  <c r="AK123" i="27"/>
  <c r="AK141" i="27"/>
  <c r="AJ99" i="27"/>
  <c r="AK111" i="27"/>
  <c r="AC123" i="27"/>
  <c r="AD123" i="27" s="1"/>
  <c r="AK131" i="27"/>
  <c r="AJ111" i="27"/>
  <c r="AJ119" i="27"/>
  <c r="AJ127" i="27"/>
  <c r="AJ135" i="27"/>
  <c r="AI129" i="27"/>
  <c r="AI137" i="27"/>
  <c r="AK129" i="27"/>
  <c r="AK137" i="27"/>
  <c r="AI139" i="27"/>
  <c r="AJ139" i="27"/>
  <c r="Y91" i="27"/>
  <c r="AE91" i="27" s="1"/>
  <c r="AJ91" i="27"/>
  <c r="AI101" i="27"/>
  <c r="AI105" i="27"/>
  <c r="AG191" i="25"/>
  <c r="AF191" i="25"/>
  <c r="AA191" i="25"/>
  <c r="B191" i="26" s="1"/>
  <c r="C191" i="26" s="1"/>
  <c r="Y191" i="25"/>
  <c r="W191" i="25"/>
  <c r="U191" i="25"/>
  <c r="R191" i="25"/>
  <c r="L191" i="25"/>
  <c r="K191" i="25"/>
  <c r="AY190" i="25"/>
  <c r="AX190" i="25"/>
  <c r="AW190" i="25"/>
  <c r="AG189" i="25"/>
  <c r="AF189" i="25"/>
  <c r="AA189" i="25"/>
  <c r="Y189" i="25"/>
  <c r="W189" i="25"/>
  <c r="U189" i="25"/>
  <c r="R189" i="25"/>
  <c r="L189" i="25"/>
  <c r="K189" i="25"/>
  <c r="AY188" i="25"/>
  <c r="AX188" i="25"/>
  <c r="AW188" i="25"/>
  <c r="AG187" i="25"/>
  <c r="AF187" i="25"/>
  <c r="AA187" i="25"/>
  <c r="B187" i="26" s="1"/>
  <c r="C187" i="26" s="1"/>
  <c r="Y187" i="25"/>
  <c r="W187" i="25"/>
  <c r="U187" i="25"/>
  <c r="R187" i="25"/>
  <c r="L187" i="25"/>
  <c r="K187" i="25"/>
  <c r="AY186" i="25"/>
  <c r="AX186" i="25"/>
  <c r="AW186" i="25"/>
  <c r="AG185" i="25"/>
  <c r="AF185" i="25"/>
  <c r="AA185" i="25"/>
  <c r="Y185" i="25"/>
  <c r="W185" i="25"/>
  <c r="U185" i="25"/>
  <c r="R185" i="25"/>
  <c r="L185" i="25"/>
  <c r="K185" i="25"/>
  <c r="AY184" i="25"/>
  <c r="AX184" i="25"/>
  <c r="AW184" i="25"/>
  <c r="AT183" i="25"/>
  <c r="AS183" i="25"/>
  <c r="AR183" i="25"/>
  <c r="AQ183" i="25"/>
  <c r="AP183" i="25"/>
  <c r="AO183" i="25"/>
  <c r="AN183" i="25"/>
  <c r="AM183" i="25"/>
  <c r="D183" i="26" s="1"/>
  <c r="AL183" i="25"/>
  <c r="AK183" i="25"/>
  <c r="AJ183" i="25"/>
  <c r="AI183" i="25"/>
  <c r="AG183" i="25"/>
  <c r="AF183" i="25"/>
  <c r="AC183" i="25"/>
  <c r="AD183" i="25" s="1"/>
  <c r="AA183" i="25"/>
  <c r="B183" i="26" s="1"/>
  <c r="C183" i="26" s="1"/>
  <c r="Y183" i="25"/>
  <c r="W183" i="25"/>
  <c r="U183" i="25"/>
  <c r="R183" i="25"/>
  <c r="L183" i="25"/>
  <c r="K183" i="25"/>
  <c r="AT181" i="25"/>
  <c r="AS181" i="25"/>
  <c r="AR181" i="25"/>
  <c r="AQ181" i="25"/>
  <c r="AP181" i="25"/>
  <c r="AO181" i="25"/>
  <c r="AN181" i="25"/>
  <c r="AM181" i="25"/>
  <c r="D181" i="26" s="1"/>
  <c r="AL181" i="25"/>
  <c r="AK181" i="25"/>
  <c r="AJ181" i="25"/>
  <c r="AI181" i="25"/>
  <c r="AG181" i="25"/>
  <c r="AF181" i="25"/>
  <c r="AC181" i="25"/>
  <c r="AD181" i="25" s="1"/>
  <c r="AA181" i="25"/>
  <c r="Y181" i="25"/>
  <c r="W181" i="25"/>
  <c r="U181" i="25"/>
  <c r="R181" i="25"/>
  <c r="L181" i="25"/>
  <c r="K181" i="25"/>
  <c r="AT179" i="25"/>
  <c r="AS179" i="25"/>
  <c r="AR179" i="25"/>
  <c r="AQ179" i="25"/>
  <c r="AP179" i="25"/>
  <c r="AO179" i="25"/>
  <c r="AN179" i="25"/>
  <c r="AM179" i="25"/>
  <c r="D179" i="26" s="1"/>
  <c r="AL179" i="25"/>
  <c r="AK179" i="25"/>
  <c r="AJ179" i="25"/>
  <c r="AI179" i="25"/>
  <c r="AG179" i="25"/>
  <c r="AF179" i="25"/>
  <c r="AC179" i="25"/>
  <c r="AD179" i="25" s="1"/>
  <c r="AA179" i="25"/>
  <c r="Y179" i="25"/>
  <c r="W179" i="25"/>
  <c r="U179" i="25"/>
  <c r="R179" i="25"/>
  <c r="L179" i="25"/>
  <c r="K179" i="25"/>
  <c r="AT177" i="25"/>
  <c r="AS177" i="25"/>
  <c r="AR177" i="25"/>
  <c r="AQ177" i="25"/>
  <c r="AP177" i="25"/>
  <c r="AO177" i="25"/>
  <c r="AN177" i="25"/>
  <c r="AM177" i="25"/>
  <c r="D177" i="26" s="1"/>
  <c r="AL177" i="25"/>
  <c r="AK177" i="25"/>
  <c r="AJ177" i="25"/>
  <c r="AI177" i="25"/>
  <c r="AG177" i="25"/>
  <c r="AF177" i="25"/>
  <c r="AC177" i="25"/>
  <c r="AD177" i="25" s="1"/>
  <c r="AA177" i="25"/>
  <c r="Y177" i="25"/>
  <c r="W177" i="25"/>
  <c r="U177" i="25"/>
  <c r="R177" i="25"/>
  <c r="L177" i="25"/>
  <c r="K177" i="25"/>
  <c r="AG175" i="25"/>
  <c r="AF175" i="25"/>
  <c r="AB175" i="25"/>
  <c r="W175" i="25"/>
  <c r="U175" i="25"/>
  <c r="R175" i="25"/>
  <c r="L175" i="25"/>
  <c r="K175" i="25"/>
  <c r="AX174" i="25"/>
  <c r="AW174" i="25"/>
  <c r="AV174" i="25"/>
  <c r="AG173" i="25"/>
  <c r="AF173" i="25"/>
  <c r="AB173" i="25"/>
  <c r="W173" i="25"/>
  <c r="U173" i="25"/>
  <c r="R173" i="25"/>
  <c r="L173" i="25"/>
  <c r="K173" i="25"/>
  <c r="AX172" i="25"/>
  <c r="AW172" i="25"/>
  <c r="AV172" i="25"/>
  <c r="AG171" i="25"/>
  <c r="AF171" i="25"/>
  <c r="AB171" i="25"/>
  <c r="W171" i="25"/>
  <c r="U171" i="25"/>
  <c r="R171" i="25"/>
  <c r="L171" i="25"/>
  <c r="K171" i="25"/>
  <c r="AX170" i="25"/>
  <c r="AW170" i="25"/>
  <c r="AV170" i="25"/>
  <c r="AG167" i="25"/>
  <c r="AF167" i="25"/>
  <c r="AB167" i="25"/>
  <c r="Y167" i="25"/>
  <c r="AE167" i="25" s="1"/>
  <c r="W167" i="25"/>
  <c r="U167" i="25"/>
  <c r="R167" i="25"/>
  <c r="L167" i="25"/>
  <c r="K167" i="25"/>
  <c r="AX166" i="25"/>
  <c r="AW166" i="25"/>
  <c r="AG165" i="25"/>
  <c r="AF165" i="25"/>
  <c r="AB165" i="25"/>
  <c r="Y165" i="25"/>
  <c r="AE165" i="25" s="1"/>
  <c r="W165" i="25"/>
  <c r="U165" i="25"/>
  <c r="R165" i="25"/>
  <c r="L165" i="25"/>
  <c r="K165" i="25"/>
  <c r="AX164" i="25"/>
  <c r="AW164" i="25"/>
  <c r="AG163" i="25"/>
  <c r="AF163" i="25"/>
  <c r="AB163" i="25"/>
  <c r="Y163" i="25"/>
  <c r="AE163" i="25" s="1"/>
  <c r="W163" i="25"/>
  <c r="U163" i="25"/>
  <c r="R163" i="25"/>
  <c r="L163" i="25"/>
  <c r="K163" i="25"/>
  <c r="AX162" i="25"/>
  <c r="AW162" i="25"/>
  <c r="AG161" i="25"/>
  <c r="AF161" i="25"/>
  <c r="AA161" i="25"/>
  <c r="B161" i="26" s="1"/>
  <c r="C161" i="26" s="1"/>
  <c r="Y161" i="25"/>
  <c r="W161" i="25"/>
  <c r="U161" i="25"/>
  <c r="R161" i="25"/>
  <c r="L161" i="25"/>
  <c r="K161" i="25"/>
  <c r="AY160" i="25"/>
  <c r="AX160" i="25"/>
  <c r="AW160" i="25"/>
  <c r="AG159" i="25"/>
  <c r="AF159" i="25"/>
  <c r="AA159" i="25"/>
  <c r="Y159" i="25"/>
  <c r="W159" i="25"/>
  <c r="U159" i="25"/>
  <c r="R159" i="25"/>
  <c r="L159" i="25"/>
  <c r="K159" i="25"/>
  <c r="AY158" i="25"/>
  <c r="AX158" i="25"/>
  <c r="AW158" i="25"/>
  <c r="AG157" i="25"/>
  <c r="AF157" i="25"/>
  <c r="AA157" i="25"/>
  <c r="B157" i="26" s="1"/>
  <c r="C157" i="26" s="1"/>
  <c r="Y157" i="25"/>
  <c r="W157" i="25"/>
  <c r="U157" i="25"/>
  <c r="R157" i="25"/>
  <c r="L157" i="25"/>
  <c r="K157" i="25"/>
  <c r="AX156" i="25"/>
  <c r="AW156" i="25"/>
  <c r="AG155" i="25"/>
  <c r="AF155" i="25"/>
  <c r="AA155" i="25"/>
  <c r="Y155" i="25"/>
  <c r="W155" i="25"/>
  <c r="U155" i="25"/>
  <c r="R155" i="25"/>
  <c r="L155" i="25"/>
  <c r="K155" i="25"/>
  <c r="AX154" i="25"/>
  <c r="AW154" i="25"/>
  <c r="AG153" i="25"/>
  <c r="AF153" i="25"/>
  <c r="AB153" i="25"/>
  <c r="Y153" i="25"/>
  <c r="AE153" i="25" s="1"/>
  <c r="W153" i="25"/>
  <c r="U153" i="25"/>
  <c r="R153" i="25"/>
  <c r="L153" i="25"/>
  <c r="K153" i="25"/>
  <c r="AX152" i="25"/>
  <c r="AW152" i="25"/>
  <c r="AG151" i="25"/>
  <c r="AF151" i="25"/>
  <c r="AB151" i="25"/>
  <c r="Y151" i="25"/>
  <c r="AE151" i="25" s="1"/>
  <c r="W151" i="25"/>
  <c r="U151" i="25"/>
  <c r="R151" i="25"/>
  <c r="L151" i="25"/>
  <c r="K151" i="25"/>
  <c r="AX150" i="25"/>
  <c r="AW150" i="25"/>
  <c r="AG149" i="25"/>
  <c r="AF149" i="25"/>
  <c r="AB149" i="25"/>
  <c r="Y149" i="25"/>
  <c r="AE149" i="25" s="1"/>
  <c r="W149" i="25"/>
  <c r="U149" i="25"/>
  <c r="R149" i="25"/>
  <c r="L149" i="25"/>
  <c r="K149" i="25"/>
  <c r="AX148" i="25"/>
  <c r="AW148" i="25"/>
  <c r="AG147" i="25"/>
  <c r="AF147" i="25"/>
  <c r="AB147" i="25"/>
  <c r="Y147" i="25"/>
  <c r="AE147" i="25" s="1"/>
  <c r="W147" i="25"/>
  <c r="U147" i="25"/>
  <c r="R147" i="25"/>
  <c r="L147" i="25"/>
  <c r="K147" i="25"/>
  <c r="AX146" i="25"/>
  <c r="AW146" i="25"/>
  <c r="AG145" i="25"/>
  <c r="AF145" i="25"/>
  <c r="AB145" i="25"/>
  <c r="Y145" i="25"/>
  <c r="AE145" i="25" s="1"/>
  <c r="W145" i="25"/>
  <c r="U145" i="25"/>
  <c r="R145" i="25"/>
  <c r="L145" i="25"/>
  <c r="K145" i="25"/>
  <c r="AX144" i="25"/>
  <c r="AW144" i="25"/>
  <c r="AG143" i="25"/>
  <c r="AF143" i="25"/>
  <c r="AB143" i="25"/>
  <c r="Y143" i="25"/>
  <c r="AE143" i="25" s="1"/>
  <c r="W143" i="25"/>
  <c r="U143" i="25"/>
  <c r="R143" i="25"/>
  <c r="L143" i="25"/>
  <c r="K143" i="25"/>
  <c r="AX142" i="25"/>
  <c r="AW142" i="25"/>
  <c r="AG139" i="25"/>
  <c r="AF139" i="25"/>
  <c r="AB139" i="25"/>
  <c r="Y139" i="25"/>
  <c r="AE139" i="25" s="1"/>
  <c r="W139" i="25"/>
  <c r="U139" i="25"/>
  <c r="R139" i="25"/>
  <c r="L139" i="25"/>
  <c r="K139" i="25"/>
  <c r="AX138" i="25"/>
  <c r="AW138" i="25"/>
  <c r="AG137" i="25"/>
  <c r="AF137" i="25"/>
  <c r="AB137" i="25"/>
  <c r="Y137" i="25"/>
  <c r="AE137" i="25" s="1"/>
  <c r="W137" i="25"/>
  <c r="U137" i="25"/>
  <c r="R137" i="25"/>
  <c r="L137" i="25"/>
  <c r="K137" i="25"/>
  <c r="AX136" i="25"/>
  <c r="AW136" i="25"/>
  <c r="AG135" i="25"/>
  <c r="AF135" i="25"/>
  <c r="AB135" i="25"/>
  <c r="Y135" i="25"/>
  <c r="AE135" i="25" s="1"/>
  <c r="W135" i="25"/>
  <c r="U135" i="25"/>
  <c r="R135" i="25"/>
  <c r="L135" i="25"/>
  <c r="K135" i="25"/>
  <c r="AX134" i="25"/>
  <c r="AW134" i="25"/>
  <c r="AG133" i="25"/>
  <c r="AF133" i="25"/>
  <c r="AB133" i="25"/>
  <c r="Y133" i="25"/>
  <c r="AE133" i="25" s="1"/>
  <c r="W133" i="25"/>
  <c r="U133" i="25"/>
  <c r="R133" i="25"/>
  <c r="L133" i="25"/>
  <c r="K133" i="25"/>
  <c r="AX132" i="25"/>
  <c r="AW132" i="25"/>
  <c r="AG131" i="25"/>
  <c r="AF131" i="25"/>
  <c r="AB131" i="25"/>
  <c r="W131" i="25"/>
  <c r="U131" i="25"/>
  <c r="R131" i="25"/>
  <c r="L131" i="25"/>
  <c r="K131" i="25"/>
  <c r="AX130" i="25"/>
  <c r="AW130" i="25"/>
  <c r="AV130" i="25"/>
  <c r="AG129" i="25"/>
  <c r="AF129" i="25"/>
  <c r="AB129" i="25"/>
  <c r="W129" i="25"/>
  <c r="U129" i="25"/>
  <c r="R129" i="25"/>
  <c r="L129" i="25"/>
  <c r="K129" i="25"/>
  <c r="AX128" i="25"/>
  <c r="AW128" i="25"/>
  <c r="AV128" i="25"/>
  <c r="AG127" i="25"/>
  <c r="AF127" i="25"/>
  <c r="AB127" i="25"/>
  <c r="W127" i="25"/>
  <c r="U127" i="25"/>
  <c r="R127" i="25"/>
  <c r="L127" i="25"/>
  <c r="K127" i="25"/>
  <c r="AX126" i="25"/>
  <c r="AW126" i="25"/>
  <c r="AV126" i="25"/>
  <c r="AG125" i="25"/>
  <c r="AF125" i="25"/>
  <c r="AB125" i="25"/>
  <c r="W125" i="25"/>
  <c r="U125" i="25"/>
  <c r="R125" i="25"/>
  <c r="L125" i="25"/>
  <c r="K125" i="25"/>
  <c r="AX124" i="25"/>
  <c r="AW124" i="25"/>
  <c r="AV124" i="25"/>
  <c r="AG121" i="25"/>
  <c r="AF121" i="25"/>
  <c r="AB121" i="25"/>
  <c r="Y121" i="25"/>
  <c r="AE121" i="25" s="1"/>
  <c r="W121" i="25"/>
  <c r="U121" i="25"/>
  <c r="R121" i="25"/>
  <c r="L121" i="25"/>
  <c r="K121" i="25"/>
  <c r="AX120" i="25"/>
  <c r="AW120" i="25"/>
  <c r="AG119" i="25"/>
  <c r="AF119" i="25"/>
  <c r="AB119" i="25"/>
  <c r="Y119" i="25"/>
  <c r="AE119" i="25" s="1"/>
  <c r="W119" i="25"/>
  <c r="U119" i="25"/>
  <c r="R119" i="25"/>
  <c r="L119" i="25"/>
  <c r="K119" i="25"/>
  <c r="AX118" i="25"/>
  <c r="AW118" i="25"/>
  <c r="AG117" i="25"/>
  <c r="AF117" i="25"/>
  <c r="AB117" i="25"/>
  <c r="Y117" i="25"/>
  <c r="AE117" i="25" s="1"/>
  <c r="W117" i="25"/>
  <c r="U117" i="25"/>
  <c r="R117" i="25"/>
  <c r="L117" i="25"/>
  <c r="K117" i="25"/>
  <c r="AX116" i="25"/>
  <c r="AW116" i="25"/>
  <c r="AG115" i="25"/>
  <c r="AF115" i="25"/>
  <c r="AB115" i="25"/>
  <c r="Y115" i="25"/>
  <c r="AE115" i="25" s="1"/>
  <c r="W115" i="25"/>
  <c r="U115" i="25"/>
  <c r="R115" i="25"/>
  <c r="L115" i="25"/>
  <c r="K115" i="25"/>
  <c r="AX114" i="25"/>
  <c r="AW114" i="25"/>
  <c r="AG111" i="25"/>
  <c r="AF111" i="25"/>
  <c r="AB111" i="25"/>
  <c r="W111" i="25"/>
  <c r="U111" i="25"/>
  <c r="R111" i="25"/>
  <c r="L111" i="25"/>
  <c r="K111" i="25"/>
  <c r="AX110" i="25"/>
  <c r="AW110" i="25"/>
  <c r="AV110" i="25"/>
  <c r="AG109" i="25"/>
  <c r="AF109" i="25"/>
  <c r="AB109" i="25"/>
  <c r="W109" i="25"/>
  <c r="U109" i="25"/>
  <c r="R109" i="25"/>
  <c r="L109" i="25"/>
  <c r="K109" i="25"/>
  <c r="AZ108" i="25"/>
  <c r="AY108" i="25"/>
  <c r="AX108" i="25"/>
  <c r="AW108" i="25"/>
  <c r="AV108" i="25"/>
  <c r="AG107" i="25"/>
  <c r="AF107" i="25"/>
  <c r="AB107" i="25"/>
  <c r="W107" i="25"/>
  <c r="U107" i="25"/>
  <c r="R107" i="25"/>
  <c r="L107" i="25"/>
  <c r="K107" i="25"/>
  <c r="AY106" i="25"/>
  <c r="AX106" i="25"/>
  <c r="AW106" i="25"/>
  <c r="AV106" i="25"/>
  <c r="Y107" i="25" s="1"/>
  <c r="AE107" i="25" s="1"/>
  <c r="AG105" i="25"/>
  <c r="AF105" i="25"/>
  <c r="AB105" i="25"/>
  <c r="W105" i="25"/>
  <c r="U105" i="25"/>
  <c r="R105" i="25"/>
  <c r="L105" i="25"/>
  <c r="K105" i="25"/>
  <c r="AY104" i="25"/>
  <c r="AX104" i="25"/>
  <c r="AW104" i="25"/>
  <c r="AV104" i="25"/>
  <c r="AT103" i="25"/>
  <c r="AS103" i="25"/>
  <c r="AR103" i="25"/>
  <c r="AQ103" i="25"/>
  <c r="AP103" i="25"/>
  <c r="AO103" i="25"/>
  <c r="AN103" i="25"/>
  <c r="AM103" i="25"/>
  <c r="D103" i="26" s="1"/>
  <c r="AL103" i="25"/>
  <c r="AK103" i="25"/>
  <c r="AJ103" i="25"/>
  <c r="AI103" i="25"/>
  <c r="AG103" i="25"/>
  <c r="AF103" i="25"/>
  <c r="AC103" i="25"/>
  <c r="AD103" i="25" s="1"/>
  <c r="AB103" i="25"/>
  <c r="Y103" i="25"/>
  <c r="AE103" i="25" s="1"/>
  <c r="W103" i="25"/>
  <c r="U103" i="25"/>
  <c r="R103" i="25"/>
  <c r="L103" i="25"/>
  <c r="K103" i="25"/>
  <c r="AT101" i="25"/>
  <c r="AS101" i="25"/>
  <c r="AR101" i="25"/>
  <c r="AQ101" i="25"/>
  <c r="AP101" i="25"/>
  <c r="AO101" i="25"/>
  <c r="AN101" i="25"/>
  <c r="AM101" i="25"/>
  <c r="D101" i="26" s="1"/>
  <c r="AL101" i="25"/>
  <c r="AK101" i="25"/>
  <c r="AJ101" i="25"/>
  <c r="AI101" i="25"/>
  <c r="AG101" i="25"/>
  <c r="AF101" i="25"/>
  <c r="AC101" i="25"/>
  <c r="AD101" i="25" s="1"/>
  <c r="AB101" i="25"/>
  <c r="Y101" i="25"/>
  <c r="AE101" i="25" s="1"/>
  <c r="W101" i="25"/>
  <c r="U101" i="25"/>
  <c r="R101" i="25"/>
  <c r="L101" i="25"/>
  <c r="K101" i="25"/>
  <c r="AG99" i="25"/>
  <c r="AF99" i="25"/>
  <c r="AB99" i="25"/>
  <c r="Y99" i="25"/>
  <c r="AE99" i="25" s="1"/>
  <c r="W99" i="25"/>
  <c r="U99" i="25"/>
  <c r="R99" i="25"/>
  <c r="L99" i="25"/>
  <c r="K99" i="25"/>
  <c r="AZ98" i="25"/>
  <c r="AY98" i="25"/>
  <c r="AX98" i="25"/>
  <c r="AW98" i="25"/>
  <c r="AG97" i="25"/>
  <c r="AF97" i="25"/>
  <c r="AB97" i="25"/>
  <c r="Y97" i="25"/>
  <c r="AE97" i="25" s="1"/>
  <c r="W97" i="25"/>
  <c r="U97" i="25"/>
  <c r="R97" i="25"/>
  <c r="L97" i="25"/>
  <c r="K97" i="25"/>
  <c r="AX96" i="25"/>
  <c r="AW96" i="25"/>
  <c r="AG95" i="25"/>
  <c r="AF95" i="25"/>
  <c r="AB95" i="25"/>
  <c r="Y95" i="25"/>
  <c r="AE95" i="25" s="1"/>
  <c r="W95" i="25"/>
  <c r="U95" i="25"/>
  <c r="R95" i="25"/>
  <c r="L95" i="25"/>
  <c r="K95" i="25"/>
  <c r="AX94" i="25"/>
  <c r="AW94" i="25"/>
  <c r="AG93" i="25"/>
  <c r="AF93" i="25"/>
  <c r="AA93" i="25"/>
  <c r="B93" i="26" s="1"/>
  <c r="C93" i="26" s="1"/>
  <c r="W93" i="25"/>
  <c r="U93" i="25"/>
  <c r="R93" i="25"/>
  <c r="L93" i="25"/>
  <c r="K93" i="25"/>
  <c r="AX92" i="25"/>
  <c r="AW92" i="25"/>
  <c r="AV92" i="25"/>
  <c r="AG91" i="25"/>
  <c r="AF91" i="25"/>
  <c r="AA91" i="25"/>
  <c r="W91" i="25"/>
  <c r="U91" i="25"/>
  <c r="R91" i="25"/>
  <c r="L91" i="25"/>
  <c r="K91" i="25"/>
  <c r="AX90" i="25"/>
  <c r="AW90" i="25"/>
  <c r="AV90" i="25"/>
  <c r="AG89" i="25"/>
  <c r="AF89" i="25"/>
  <c r="AB89" i="25"/>
  <c r="W89" i="25"/>
  <c r="U89" i="25"/>
  <c r="R89" i="25"/>
  <c r="L89" i="25"/>
  <c r="K89" i="25"/>
  <c r="AX88" i="25"/>
  <c r="AW88" i="25"/>
  <c r="AV88" i="25"/>
  <c r="AG87" i="25"/>
  <c r="AF87" i="25"/>
  <c r="AB87" i="25"/>
  <c r="W87" i="25"/>
  <c r="U87" i="25"/>
  <c r="R87" i="25"/>
  <c r="L87" i="25"/>
  <c r="K87" i="25"/>
  <c r="AX86" i="25"/>
  <c r="AW86" i="25"/>
  <c r="AV86" i="25"/>
  <c r="AG85" i="25"/>
  <c r="AF85" i="25"/>
  <c r="AB85" i="25"/>
  <c r="W85" i="25"/>
  <c r="U85" i="25"/>
  <c r="R85" i="25"/>
  <c r="L85" i="25"/>
  <c r="K85" i="25"/>
  <c r="AX84" i="25"/>
  <c r="AW84" i="25"/>
  <c r="AV84" i="25"/>
  <c r="AG83" i="25"/>
  <c r="AF83" i="25"/>
  <c r="AB83" i="25"/>
  <c r="W83" i="25"/>
  <c r="U83" i="25"/>
  <c r="R83" i="25"/>
  <c r="L83" i="25"/>
  <c r="K83" i="25"/>
  <c r="AX82" i="25"/>
  <c r="AW82" i="25"/>
  <c r="AV82" i="25"/>
  <c r="AT81" i="25"/>
  <c r="AS81" i="25"/>
  <c r="AR81" i="25"/>
  <c r="AQ81" i="25"/>
  <c r="AP81" i="25"/>
  <c r="AO81" i="25"/>
  <c r="AN81" i="25"/>
  <c r="AM81" i="25"/>
  <c r="D81" i="26" s="1"/>
  <c r="AL81" i="25"/>
  <c r="AK81" i="25"/>
  <c r="AJ81" i="25"/>
  <c r="AI81" i="25"/>
  <c r="AG81" i="25"/>
  <c r="AF81" i="25"/>
  <c r="AC81" i="25"/>
  <c r="AD81" i="25" s="1"/>
  <c r="AA81" i="25"/>
  <c r="Y81" i="25"/>
  <c r="W81" i="25"/>
  <c r="U81" i="25"/>
  <c r="R81" i="25"/>
  <c r="K81" i="25"/>
  <c r="AT79" i="25"/>
  <c r="AS79" i="25"/>
  <c r="AR79" i="25"/>
  <c r="AQ79" i="25"/>
  <c r="AP79" i="25"/>
  <c r="AO79" i="25"/>
  <c r="AN79" i="25"/>
  <c r="AM79" i="25"/>
  <c r="D79" i="26" s="1"/>
  <c r="AL79" i="25"/>
  <c r="AK79" i="25"/>
  <c r="AJ79" i="25"/>
  <c r="AI79" i="25"/>
  <c r="AG79" i="25"/>
  <c r="AF79" i="25"/>
  <c r="AC79" i="25"/>
  <c r="AD79" i="25" s="1"/>
  <c r="AA79" i="25"/>
  <c r="B79" i="26" s="1"/>
  <c r="C79" i="26" s="1"/>
  <c r="Y79" i="25"/>
  <c r="W79" i="25"/>
  <c r="U79" i="25"/>
  <c r="R79" i="25"/>
  <c r="K79" i="25"/>
  <c r="AT77" i="25"/>
  <c r="AS77" i="25"/>
  <c r="AR77" i="25"/>
  <c r="AQ77" i="25"/>
  <c r="AP77" i="25"/>
  <c r="AO77" i="25"/>
  <c r="AN77" i="25"/>
  <c r="AM77" i="25"/>
  <c r="D77" i="26" s="1"/>
  <c r="AL77" i="25"/>
  <c r="AK77" i="25"/>
  <c r="AJ77" i="25"/>
  <c r="AI77" i="25"/>
  <c r="AG77" i="25"/>
  <c r="AF77" i="25"/>
  <c r="AC77" i="25"/>
  <c r="AD77" i="25" s="1"/>
  <c r="AA77" i="25"/>
  <c r="Y77" i="25"/>
  <c r="W77" i="25"/>
  <c r="U77" i="25"/>
  <c r="R77" i="25"/>
  <c r="K77" i="25"/>
  <c r="AT71" i="25"/>
  <c r="AS71" i="25"/>
  <c r="AR71" i="25"/>
  <c r="AQ71" i="25"/>
  <c r="AP71" i="25"/>
  <c r="AO71" i="25"/>
  <c r="AN71" i="25"/>
  <c r="AM71" i="25"/>
  <c r="D71" i="26" s="1"/>
  <c r="AL71" i="25"/>
  <c r="AK71" i="25"/>
  <c r="AJ71" i="25"/>
  <c r="AI71" i="25"/>
  <c r="AG71" i="25"/>
  <c r="AF71" i="25"/>
  <c r="AC71" i="25"/>
  <c r="AD71" i="25" s="1"/>
  <c r="AB71" i="25"/>
  <c r="Y71" i="25"/>
  <c r="AE71" i="25" s="1"/>
  <c r="W71" i="25"/>
  <c r="U71" i="25"/>
  <c r="R71" i="25"/>
  <c r="L71" i="25"/>
  <c r="K71" i="25"/>
  <c r="AT69" i="25"/>
  <c r="AS69" i="25"/>
  <c r="AR69" i="25"/>
  <c r="AQ69" i="25"/>
  <c r="AP69" i="25"/>
  <c r="AO69" i="25"/>
  <c r="AN69" i="25"/>
  <c r="AM69" i="25"/>
  <c r="D69" i="26" s="1"/>
  <c r="AL69" i="25"/>
  <c r="AK69" i="25"/>
  <c r="AJ69" i="25"/>
  <c r="AI69" i="25"/>
  <c r="AG69" i="25"/>
  <c r="AF69" i="25"/>
  <c r="AC69" i="25"/>
  <c r="AD69" i="25" s="1"/>
  <c r="AB69" i="25"/>
  <c r="Y69" i="25"/>
  <c r="AE69" i="25" s="1"/>
  <c r="W69" i="25"/>
  <c r="U69" i="25"/>
  <c r="R69" i="25"/>
  <c r="L69" i="25"/>
  <c r="K69" i="25"/>
  <c r="AT67" i="25"/>
  <c r="AS67" i="25"/>
  <c r="AR67" i="25"/>
  <c r="AQ67" i="25"/>
  <c r="AP67" i="25"/>
  <c r="AO67" i="25"/>
  <c r="AN67" i="25"/>
  <c r="AM67" i="25"/>
  <c r="D67" i="26" s="1"/>
  <c r="AL67" i="25"/>
  <c r="AK67" i="25"/>
  <c r="AJ67" i="25"/>
  <c r="AI67" i="25"/>
  <c r="AG67" i="25"/>
  <c r="AF67" i="25"/>
  <c r="AC67" i="25"/>
  <c r="AD67" i="25" s="1"/>
  <c r="AB67" i="25"/>
  <c r="Y67" i="25"/>
  <c r="AE67" i="25" s="1"/>
  <c r="W67" i="25"/>
  <c r="U67" i="25"/>
  <c r="R67" i="25"/>
  <c r="L67" i="25"/>
  <c r="K67" i="25"/>
  <c r="AT65" i="25"/>
  <c r="AS65" i="25"/>
  <c r="AR65" i="25"/>
  <c r="AQ65" i="25"/>
  <c r="AP65" i="25"/>
  <c r="AO65" i="25"/>
  <c r="AN65" i="25"/>
  <c r="AM65" i="25"/>
  <c r="D65" i="26" s="1"/>
  <c r="AL65" i="25"/>
  <c r="AK65" i="25"/>
  <c r="AJ65" i="25"/>
  <c r="AI65" i="25"/>
  <c r="AG65" i="25"/>
  <c r="AF65" i="25"/>
  <c r="AC65" i="25"/>
  <c r="AD65" i="25" s="1"/>
  <c r="AB65" i="25"/>
  <c r="Y65" i="25"/>
  <c r="AE65" i="25" s="1"/>
  <c r="W65" i="25"/>
  <c r="U65" i="25"/>
  <c r="R65" i="25"/>
  <c r="L65" i="25"/>
  <c r="K65" i="25"/>
  <c r="AT63" i="25"/>
  <c r="AS63" i="25"/>
  <c r="AR63" i="25"/>
  <c r="AQ63" i="25"/>
  <c r="AP63" i="25"/>
  <c r="AO63" i="25"/>
  <c r="AN63" i="25"/>
  <c r="AM63" i="25"/>
  <c r="D63" i="26" s="1"/>
  <c r="AL63" i="25"/>
  <c r="AK63" i="25"/>
  <c r="AJ63" i="25"/>
  <c r="AI63" i="25"/>
  <c r="AG63" i="25"/>
  <c r="AF63" i="25"/>
  <c r="AC63" i="25"/>
  <c r="AD63" i="25" s="1"/>
  <c r="AB63" i="25"/>
  <c r="Y63" i="25"/>
  <c r="AE63" i="25" s="1"/>
  <c r="W63" i="25"/>
  <c r="U63" i="25"/>
  <c r="R63" i="25"/>
  <c r="L63" i="25"/>
  <c r="K63" i="25"/>
  <c r="AT61" i="25"/>
  <c r="AS61" i="25"/>
  <c r="AR61" i="25"/>
  <c r="AQ61" i="25"/>
  <c r="AP61" i="25"/>
  <c r="AO61" i="25"/>
  <c r="AN61" i="25"/>
  <c r="AM61" i="25"/>
  <c r="D61" i="26" s="1"/>
  <c r="AL61" i="25"/>
  <c r="AK61" i="25"/>
  <c r="AJ61" i="25"/>
  <c r="AI61" i="25"/>
  <c r="AG61" i="25"/>
  <c r="AF61" i="25"/>
  <c r="AC61" i="25"/>
  <c r="AD61" i="25" s="1"/>
  <c r="AB61" i="25"/>
  <c r="Y61" i="25"/>
  <c r="AE61" i="25" s="1"/>
  <c r="W61" i="25"/>
  <c r="U61" i="25"/>
  <c r="R61" i="25"/>
  <c r="L61" i="25"/>
  <c r="K61" i="25"/>
  <c r="AT59" i="25"/>
  <c r="AS59" i="25"/>
  <c r="AR59" i="25"/>
  <c r="AQ59" i="25"/>
  <c r="AP59" i="25"/>
  <c r="AO59" i="25"/>
  <c r="AN59" i="25"/>
  <c r="AM59" i="25"/>
  <c r="D59" i="26" s="1"/>
  <c r="AL59" i="25"/>
  <c r="AK59" i="25"/>
  <c r="AJ59" i="25"/>
  <c r="AI59" i="25"/>
  <c r="AG59" i="25"/>
  <c r="AF59" i="25"/>
  <c r="AC59" i="25"/>
  <c r="AD59" i="25" s="1"/>
  <c r="AB59" i="25"/>
  <c r="Y59" i="25"/>
  <c r="AE59" i="25" s="1"/>
  <c r="W59" i="25"/>
  <c r="U59" i="25"/>
  <c r="R59" i="25"/>
  <c r="L59" i="25"/>
  <c r="K59" i="25"/>
  <c r="AT57" i="25"/>
  <c r="AS57" i="25"/>
  <c r="AR57" i="25"/>
  <c r="AQ57" i="25"/>
  <c r="AP57" i="25"/>
  <c r="AO57" i="25"/>
  <c r="AN57" i="25"/>
  <c r="AM57" i="25"/>
  <c r="D57" i="26" s="1"/>
  <c r="AL57" i="25"/>
  <c r="AK57" i="25"/>
  <c r="AJ57" i="25"/>
  <c r="AI57" i="25"/>
  <c r="AG57" i="25"/>
  <c r="AF57" i="25"/>
  <c r="AC57" i="25"/>
  <c r="AD57" i="25" s="1"/>
  <c r="AB57" i="25"/>
  <c r="Y57" i="25"/>
  <c r="AE57" i="25" s="1"/>
  <c r="W57" i="25"/>
  <c r="U57" i="25"/>
  <c r="R57" i="25"/>
  <c r="L57" i="25"/>
  <c r="K57" i="25"/>
  <c r="AG55" i="25"/>
  <c r="AF55" i="25"/>
  <c r="AB55" i="25"/>
  <c r="W55" i="25"/>
  <c r="U55" i="25"/>
  <c r="R55" i="25"/>
  <c r="L55" i="25"/>
  <c r="K55" i="25"/>
  <c r="BA54" i="25"/>
  <c r="AZ54" i="25"/>
  <c r="AY54" i="25"/>
  <c r="AX54" i="25"/>
  <c r="AW54" i="25"/>
  <c r="AV54" i="25"/>
  <c r="Y55" i="25" s="1"/>
  <c r="AE55" i="25" s="1"/>
  <c r="AG37" i="25"/>
  <c r="AF37" i="25"/>
  <c r="AB37" i="25"/>
  <c r="Y37" i="25"/>
  <c r="AE37" i="25" s="1"/>
  <c r="W37" i="25"/>
  <c r="U37" i="25"/>
  <c r="R37" i="25"/>
  <c r="L37" i="25"/>
  <c r="K37" i="25"/>
  <c r="AX36" i="25"/>
  <c r="AW36" i="25"/>
  <c r="AG35" i="25"/>
  <c r="AF35" i="25"/>
  <c r="AB35" i="25"/>
  <c r="Y35" i="25"/>
  <c r="AE35" i="25" s="1"/>
  <c r="W35" i="25"/>
  <c r="U35" i="25"/>
  <c r="R35" i="25"/>
  <c r="L35" i="25"/>
  <c r="K35" i="25"/>
  <c r="AX34" i="25"/>
  <c r="AW34" i="25"/>
  <c r="AT33" i="25"/>
  <c r="AS33" i="25"/>
  <c r="AR33" i="25"/>
  <c r="AQ33" i="25"/>
  <c r="AP33" i="25"/>
  <c r="AO33" i="25"/>
  <c r="AN33" i="25"/>
  <c r="AM33" i="25"/>
  <c r="D33" i="26" s="1"/>
  <c r="AL33" i="25"/>
  <c r="AK33" i="25"/>
  <c r="AJ33" i="25"/>
  <c r="AI33" i="25"/>
  <c r="AG33" i="25"/>
  <c r="AF33" i="25"/>
  <c r="AC33" i="25"/>
  <c r="AD33" i="25" s="1"/>
  <c r="AB33" i="25"/>
  <c r="Y33" i="25"/>
  <c r="AE33" i="25" s="1"/>
  <c r="W33" i="25"/>
  <c r="U33" i="25"/>
  <c r="R33" i="25"/>
  <c r="L33" i="25"/>
  <c r="K33" i="25"/>
  <c r="AT31" i="25"/>
  <c r="AS31" i="25"/>
  <c r="AR31" i="25"/>
  <c r="AQ31" i="25"/>
  <c r="AP31" i="25"/>
  <c r="AO31" i="25"/>
  <c r="AN31" i="25"/>
  <c r="AM31" i="25"/>
  <c r="D31" i="26" s="1"/>
  <c r="AL31" i="25"/>
  <c r="AK31" i="25"/>
  <c r="AJ31" i="25"/>
  <c r="AI31" i="25"/>
  <c r="AG31" i="25"/>
  <c r="AF31" i="25"/>
  <c r="AC31" i="25"/>
  <c r="AD31" i="25" s="1"/>
  <c r="AB31" i="25"/>
  <c r="Y31" i="25"/>
  <c r="AE31" i="25" s="1"/>
  <c r="W31" i="25"/>
  <c r="U31" i="25"/>
  <c r="R31" i="25"/>
  <c r="L31" i="25"/>
  <c r="K31" i="25"/>
  <c r="AT29" i="25"/>
  <c r="AS29" i="25"/>
  <c r="AR29" i="25"/>
  <c r="AQ29" i="25"/>
  <c r="AP29" i="25"/>
  <c r="AO29" i="25"/>
  <c r="AN29" i="25"/>
  <c r="AM29" i="25"/>
  <c r="D29" i="26" s="1"/>
  <c r="AL29" i="25"/>
  <c r="AK29" i="25"/>
  <c r="AJ29" i="25"/>
  <c r="AI29" i="25"/>
  <c r="AG29" i="25"/>
  <c r="AF29" i="25"/>
  <c r="AC29" i="25"/>
  <c r="AD29" i="25" s="1"/>
  <c r="AB29" i="25"/>
  <c r="Y29" i="25"/>
  <c r="AE29" i="25" s="1"/>
  <c r="W29" i="25"/>
  <c r="U29" i="25"/>
  <c r="R29" i="25"/>
  <c r="L29" i="25"/>
  <c r="K29" i="25"/>
  <c r="AT27" i="25"/>
  <c r="AS27" i="25"/>
  <c r="AR27" i="25"/>
  <c r="AQ27" i="25"/>
  <c r="AP27" i="25"/>
  <c r="AO27" i="25"/>
  <c r="AN27" i="25"/>
  <c r="AM27" i="25"/>
  <c r="D27" i="26" s="1"/>
  <c r="AL27" i="25"/>
  <c r="AK27" i="25"/>
  <c r="AJ27" i="25"/>
  <c r="AI27" i="25"/>
  <c r="AG27" i="25"/>
  <c r="AF27" i="25"/>
  <c r="AC27" i="25"/>
  <c r="AD27" i="25" s="1"/>
  <c r="AB27" i="25"/>
  <c r="Y27" i="25"/>
  <c r="AE27" i="25" s="1"/>
  <c r="W27" i="25"/>
  <c r="U27" i="25"/>
  <c r="R27" i="25"/>
  <c r="L27" i="25"/>
  <c r="K27" i="25"/>
  <c r="AT25" i="25"/>
  <c r="AS25" i="25"/>
  <c r="AR25" i="25"/>
  <c r="AQ25" i="25"/>
  <c r="AP25" i="25"/>
  <c r="AO25" i="25"/>
  <c r="AN25" i="25"/>
  <c r="AM25" i="25"/>
  <c r="D25" i="26" s="1"/>
  <c r="AL25" i="25"/>
  <c r="AK25" i="25"/>
  <c r="AJ25" i="25"/>
  <c r="AI25" i="25"/>
  <c r="AG25" i="25"/>
  <c r="AF25" i="25"/>
  <c r="AC25" i="25"/>
  <c r="AD25" i="25" s="1"/>
  <c r="AB25" i="25"/>
  <c r="Y25" i="25"/>
  <c r="AE25" i="25" s="1"/>
  <c r="W25" i="25"/>
  <c r="U25" i="25"/>
  <c r="R25" i="25"/>
  <c r="L25" i="25"/>
  <c r="K25" i="25"/>
  <c r="AT23" i="25"/>
  <c r="AS23" i="25"/>
  <c r="AR23" i="25"/>
  <c r="AQ23" i="25"/>
  <c r="AP23" i="25"/>
  <c r="AO23" i="25"/>
  <c r="AN23" i="25"/>
  <c r="AM23" i="25"/>
  <c r="D23" i="26" s="1"/>
  <c r="AL23" i="25"/>
  <c r="AK23" i="25"/>
  <c r="AJ23" i="25"/>
  <c r="AI23" i="25"/>
  <c r="AG23" i="25"/>
  <c r="AF23" i="25"/>
  <c r="AC23" i="25"/>
  <c r="AD23" i="25" s="1"/>
  <c r="AB23" i="25"/>
  <c r="Y23" i="25"/>
  <c r="AE23" i="25" s="1"/>
  <c r="W23" i="25"/>
  <c r="U23" i="25"/>
  <c r="R23" i="25"/>
  <c r="L23" i="25"/>
  <c r="K23" i="25"/>
  <c r="AT21" i="25"/>
  <c r="AS21" i="25"/>
  <c r="AR21" i="25"/>
  <c r="AQ21" i="25"/>
  <c r="AP21" i="25"/>
  <c r="AO21" i="25"/>
  <c r="AN21" i="25"/>
  <c r="AM21" i="25"/>
  <c r="D21" i="26" s="1"/>
  <c r="AL21" i="25"/>
  <c r="AK21" i="25"/>
  <c r="AJ21" i="25"/>
  <c r="AI21" i="25"/>
  <c r="AG21" i="25"/>
  <c r="AF21" i="25"/>
  <c r="AC21" i="25"/>
  <c r="AD21" i="25" s="1"/>
  <c r="AB21" i="25"/>
  <c r="Y21" i="25"/>
  <c r="AE21" i="25" s="1"/>
  <c r="W21" i="25"/>
  <c r="U21" i="25"/>
  <c r="R21" i="25"/>
  <c r="L21" i="25"/>
  <c r="K21" i="25"/>
  <c r="AT19" i="25"/>
  <c r="AS19" i="25"/>
  <c r="AR19" i="25"/>
  <c r="AQ19" i="25"/>
  <c r="AP19" i="25"/>
  <c r="AO19" i="25"/>
  <c r="AN19" i="25"/>
  <c r="AM19" i="25"/>
  <c r="D19" i="26" s="1"/>
  <c r="AL19" i="25"/>
  <c r="AK19" i="25"/>
  <c r="AJ19" i="25"/>
  <c r="AI19" i="25"/>
  <c r="AG19" i="25"/>
  <c r="AF19" i="25"/>
  <c r="AC19" i="25"/>
  <c r="AD19" i="25" s="1"/>
  <c r="AB19" i="25"/>
  <c r="Y19" i="25"/>
  <c r="AE19" i="25" s="1"/>
  <c r="W19" i="25"/>
  <c r="U19" i="25"/>
  <c r="R19" i="25"/>
  <c r="L19" i="25"/>
  <c r="K19" i="25"/>
  <c r="AT17" i="25"/>
  <c r="AS17" i="25"/>
  <c r="AR17" i="25"/>
  <c r="AQ17" i="25"/>
  <c r="AP17" i="25"/>
  <c r="AO17" i="25"/>
  <c r="AN17" i="25"/>
  <c r="AM17" i="25"/>
  <c r="D17" i="26" s="1"/>
  <c r="AL17" i="25"/>
  <c r="AK17" i="25"/>
  <c r="AJ17" i="25"/>
  <c r="AI17" i="25"/>
  <c r="AG17" i="25"/>
  <c r="AF17" i="25"/>
  <c r="AC17" i="25"/>
  <c r="AD17" i="25" s="1"/>
  <c r="AB17" i="25"/>
  <c r="Y17" i="25"/>
  <c r="AE17" i="25" s="1"/>
  <c r="W17" i="25"/>
  <c r="U17" i="25"/>
  <c r="R17" i="25"/>
  <c r="L17" i="25"/>
  <c r="K17" i="25"/>
  <c r="AG15" i="25"/>
  <c r="AF15" i="25"/>
  <c r="AA15" i="25"/>
  <c r="Y15" i="25"/>
  <c r="W15" i="25"/>
  <c r="U15" i="25"/>
  <c r="R15" i="25"/>
  <c r="L15" i="25"/>
  <c r="K15" i="25"/>
  <c r="AX14" i="25"/>
  <c r="AW14" i="25"/>
  <c r="AG13" i="25"/>
  <c r="AF13" i="25"/>
  <c r="AB13" i="25"/>
  <c r="W13" i="25"/>
  <c r="U13" i="25"/>
  <c r="R13" i="25"/>
  <c r="L13" i="25"/>
  <c r="K13" i="25"/>
  <c r="AX12" i="25"/>
  <c r="AW12" i="25"/>
  <c r="AV12" i="25"/>
  <c r="AG11" i="25"/>
  <c r="AF11" i="25"/>
  <c r="AB11" i="25"/>
  <c r="W11" i="25"/>
  <c r="U11" i="25"/>
  <c r="R11" i="25"/>
  <c r="L11" i="25"/>
  <c r="K11" i="25"/>
  <c r="AX10" i="25"/>
  <c r="AW10" i="25"/>
  <c r="AV10" i="25"/>
  <c r="AG9" i="25"/>
  <c r="AF9" i="25"/>
  <c r="AB9" i="25"/>
  <c r="W9" i="25"/>
  <c r="U9" i="25"/>
  <c r="R9" i="25"/>
  <c r="L9" i="25"/>
  <c r="K9" i="25"/>
  <c r="AX8" i="25"/>
  <c r="AW8" i="25"/>
  <c r="AV8" i="25"/>
  <c r="AG5" i="25"/>
  <c r="AF5" i="25"/>
  <c r="AB5" i="25"/>
  <c r="W5" i="25"/>
  <c r="U5" i="25"/>
  <c r="R5" i="25"/>
  <c r="L5" i="25"/>
  <c r="K5" i="25"/>
  <c r="AX4" i="25"/>
  <c r="AW4" i="25"/>
  <c r="AV4" i="25"/>
  <c r="AG3" i="25"/>
  <c r="AF3" i="25"/>
  <c r="AB3" i="25"/>
  <c r="W3" i="25"/>
  <c r="U3" i="25"/>
  <c r="R3" i="25"/>
  <c r="L3" i="25"/>
  <c r="K3" i="25"/>
  <c r="AX2" i="25"/>
  <c r="AW2" i="25"/>
  <c r="AV2" i="25"/>
  <c r="AB77" i="25" l="1"/>
  <c r="B77" i="26"/>
  <c r="C77" i="26" s="1"/>
  <c r="AB159" i="25"/>
  <c r="B159" i="26"/>
  <c r="C159" i="26" s="1"/>
  <c r="AB155" i="25"/>
  <c r="B155" i="26"/>
  <c r="C155" i="26" s="1"/>
  <c r="AB81" i="25"/>
  <c r="B81" i="26"/>
  <c r="C81" i="26" s="1"/>
  <c r="AB185" i="25"/>
  <c r="B185" i="26"/>
  <c r="C185" i="26" s="1"/>
  <c r="AB189" i="25"/>
  <c r="B189" i="26"/>
  <c r="C189" i="26" s="1"/>
  <c r="AB177" i="25"/>
  <c r="B177" i="26"/>
  <c r="C177" i="26" s="1"/>
  <c r="AB181" i="25"/>
  <c r="B181" i="26"/>
  <c r="C181" i="26" s="1"/>
  <c r="AB179" i="25"/>
  <c r="B179" i="26"/>
  <c r="C179" i="26" s="1"/>
  <c r="AB15" i="25"/>
  <c r="B15" i="26"/>
  <c r="C15" i="26" s="1"/>
  <c r="AB91" i="25"/>
  <c r="B91" i="26"/>
  <c r="C91" i="26" s="1"/>
  <c r="AI37" i="25"/>
  <c r="AK15" i="25"/>
  <c r="AE179" i="25"/>
  <c r="AE177" i="25"/>
  <c r="AC153" i="25"/>
  <c r="AD153" i="25" s="1"/>
  <c r="AC167" i="25"/>
  <c r="AD167" i="25" s="1"/>
  <c r="AC191" i="25"/>
  <c r="AD191" i="25" s="1"/>
  <c r="AE77" i="25"/>
  <c r="AE157" i="25"/>
  <c r="AJ87" i="25"/>
  <c r="AK147" i="25"/>
  <c r="AK125" i="25"/>
  <c r="AC143" i="25"/>
  <c r="AD143" i="25" s="1"/>
  <c r="AK89" i="25"/>
  <c r="AK95" i="25"/>
  <c r="AK173" i="25"/>
  <c r="AJ135" i="25"/>
  <c r="AE185" i="25"/>
  <c r="AI15" i="25"/>
  <c r="AK139" i="25"/>
  <c r="AJ35" i="25"/>
  <c r="AK133" i="25"/>
  <c r="AI151" i="25"/>
  <c r="AK161" i="25"/>
  <c r="AJ55" i="25"/>
  <c r="AE81" i="25"/>
  <c r="AI133" i="25"/>
  <c r="AJ161" i="25"/>
  <c r="AE161" i="25"/>
  <c r="AI173" i="25"/>
  <c r="AJ85" i="25"/>
  <c r="AJ133" i="25"/>
  <c r="AK137" i="25"/>
  <c r="AK159" i="25"/>
  <c r="AJ173" i="25"/>
  <c r="AC35" i="25"/>
  <c r="AD35" i="25" s="1"/>
  <c r="AM91" i="25"/>
  <c r="D91" i="26" s="1"/>
  <c r="AK145" i="25"/>
  <c r="AK187" i="25"/>
  <c r="AE15" i="25"/>
  <c r="AE79" i="25"/>
  <c r="AQ91" i="25"/>
  <c r="AJ137" i="25"/>
  <c r="AK151" i="25"/>
  <c r="AI105" i="25"/>
  <c r="AI127" i="25"/>
  <c r="AC133" i="25"/>
  <c r="AD133" i="25" s="1"/>
  <c r="AJ157" i="25"/>
  <c r="AK163" i="25"/>
  <c r="AI167" i="25"/>
  <c r="AC185" i="25"/>
  <c r="AD185" i="25" s="1"/>
  <c r="AC13" i="25"/>
  <c r="AD13" i="25" s="1"/>
  <c r="AK83" i="25"/>
  <c r="AI85" i="25"/>
  <c r="AC105" i="25"/>
  <c r="AD105" i="25" s="1"/>
  <c r="AK109" i="25"/>
  <c r="AC147" i="25"/>
  <c r="AD147" i="25" s="1"/>
  <c r="AC157" i="25"/>
  <c r="AD157" i="25" s="1"/>
  <c r="AB157" i="25"/>
  <c r="AI161" i="25"/>
  <c r="AJ171" i="25"/>
  <c r="AI187" i="25"/>
  <c r="AK189" i="25"/>
  <c r="AI11" i="25"/>
  <c r="AI3" i="25"/>
  <c r="AI5" i="25"/>
  <c r="AJ89" i="25"/>
  <c r="AC91" i="25"/>
  <c r="AD91" i="25" s="1"/>
  <c r="AI125" i="25"/>
  <c r="AJ127" i="25"/>
  <c r="AK131" i="25"/>
  <c r="AJ145" i="25"/>
  <c r="AE155" i="25"/>
  <c r="AE159" i="25"/>
  <c r="AC161" i="25"/>
  <c r="AD161" i="25" s="1"/>
  <c r="AB161" i="25"/>
  <c r="AC171" i="25"/>
  <c r="AD171" i="25" s="1"/>
  <c r="AC189" i="25"/>
  <c r="AD189" i="25" s="1"/>
  <c r="AK13" i="25"/>
  <c r="AC125" i="25"/>
  <c r="AD125" i="25" s="1"/>
  <c r="AJ5" i="25"/>
  <c r="AK11" i="25"/>
  <c r="AC15" i="25"/>
  <c r="AD15" i="25" s="1"/>
  <c r="AC37" i="25"/>
  <c r="AD37" i="25" s="1"/>
  <c r="AC89" i="25"/>
  <c r="AD89" i="25" s="1"/>
  <c r="AC109" i="25"/>
  <c r="AD109" i="25" s="1"/>
  <c r="AK127" i="25"/>
  <c r="AJ147" i="25"/>
  <c r="AE189" i="25"/>
  <c r="AB79" i="25"/>
  <c r="AC121" i="25"/>
  <c r="AD121" i="25" s="1"/>
  <c r="AC151" i="25"/>
  <c r="AD151" i="25" s="1"/>
  <c r="AI153" i="25"/>
  <c r="AC163" i="25"/>
  <c r="AD163" i="25" s="1"/>
  <c r="AE181" i="25"/>
  <c r="AK185" i="25"/>
  <c r="AJ187" i="25"/>
  <c r="AI191" i="25"/>
  <c r="AC3" i="25"/>
  <c r="AD3" i="25" s="1"/>
  <c r="AJ9" i="25"/>
  <c r="AS109" i="25"/>
  <c r="AC117" i="25"/>
  <c r="AD117" i="25" s="1"/>
  <c r="AK135" i="25"/>
  <c r="AC137" i="25"/>
  <c r="AD137" i="25" s="1"/>
  <c r="AC139" i="25"/>
  <c r="AD139" i="25" s="1"/>
  <c r="AK157" i="25"/>
  <c r="AC175" i="25"/>
  <c r="AD175" i="25" s="1"/>
  <c r="AK191" i="25"/>
  <c r="AK55" i="25"/>
  <c r="AC55" i="25"/>
  <c r="AD55" i="25" s="1"/>
  <c r="AI55" i="25"/>
  <c r="AC87" i="25"/>
  <c r="AD87" i="25" s="1"/>
  <c r="AC97" i="25"/>
  <c r="AD97" i="25" s="1"/>
  <c r="AK115" i="25"/>
  <c r="AI143" i="25"/>
  <c r="AI159" i="25"/>
  <c r="AI163" i="25"/>
  <c r="AK167" i="25"/>
  <c r="AC111" i="25"/>
  <c r="AD111" i="25" s="1"/>
  <c r="AS111" i="25"/>
  <c r="AK111" i="25"/>
  <c r="AI111" i="25"/>
  <c r="AJ111" i="25"/>
  <c r="Y111" i="25"/>
  <c r="AE111" i="25" s="1"/>
  <c r="AJ119" i="25"/>
  <c r="AI119" i="25"/>
  <c r="AC119" i="25"/>
  <c r="AD119" i="25" s="1"/>
  <c r="AM9" i="25"/>
  <c r="D9" i="26" s="1"/>
  <c r="AC9" i="25"/>
  <c r="AD9" i="25" s="1"/>
  <c r="AS9" i="25"/>
  <c r="AK9" i="25"/>
  <c r="AP9" i="25"/>
  <c r="Y9" i="25"/>
  <c r="AE9" i="25" s="1"/>
  <c r="AC93" i="25"/>
  <c r="AD93" i="25" s="1"/>
  <c r="AS93" i="25"/>
  <c r="AK93" i="25"/>
  <c r="AI93" i="25"/>
  <c r="AJ93" i="25"/>
  <c r="Y93" i="25"/>
  <c r="AE93" i="25" s="1"/>
  <c r="AI13" i="25"/>
  <c r="AP5" i="25"/>
  <c r="AS5" i="25"/>
  <c r="AK5" i="25"/>
  <c r="Y5" i="25"/>
  <c r="AE5" i="25" s="1"/>
  <c r="AI107" i="25"/>
  <c r="AJ107" i="25"/>
  <c r="AC11" i="25"/>
  <c r="AD11" i="25" s="1"/>
  <c r="AC99" i="25"/>
  <c r="AD99" i="25" s="1"/>
  <c r="AK99" i="25"/>
  <c r="AJ99" i="25"/>
  <c r="AI99" i="25"/>
  <c r="AC5" i="25"/>
  <c r="AD5" i="25" s="1"/>
  <c r="AI9" i="25"/>
  <c r="AC131" i="25"/>
  <c r="AD131" i="25" s="1"/>
  <c r="Y13" i="25"/>
  <c r="AE13" i="25" s="1"/>
  <c r="AJ13" i="25"/>
  <c r="AR13" i="25"/>
  <c r="AI35" i="25"/>
  <c r="AC83" i="25"/>
  <c r="AD83" i="25" s="1"/>
  <c r="AP83" i="25"/>
  <c r="AI87" i="25"/>
  <c r="AP87" i="25"/>
  <c r="AS87" i="25"/>
  <c r="AK87" i="25"/>
  <c r="Y87" i="25"/>
  <c r="AE87" i="25" s="1"/>
  <c r="AC107" i="25"/>
  <c r="AD107" i="25" s="1"/>
  <c r="AS107" i="25"/>
  <c r="AK107" i="25"/>
  <c r="AI115" i="25"/>
  <c r="AJ115" i="25"/>
  <c r="AC115" i="25"/>
  <c r="AD115" i="25" s="1"/>
  <c r="AI117" i="25"/>
  <c r="AK117" i="25"/>
  <c r="AJ117" i="25"/>
  <c r="AK119" i="25"/>
  <c r="AI121" i="25"/>
  <c r="AK121" i="25"/>
  <c r="AJ121" i="25"/>
  <c r="AK35" i="25"/>
  <c r="AB93" i="25"/>
  <c r="AJ15" i="25"/>
  <c r="AJ37" i="25"/>
  <c r="AT83" i="25"/>
  <c r="AP91" i="25"/>
  <c r="AO91" i="25"/>
  <c r="AK91" i="25"/>
  <c r="AR91" i="25"/>
  <c r="AJ91" i="25"/>
  <c r="Y91" i="25"/>
  <c r="AE91" i="25" s="1"/>
  <c r="AI91" i="25"/>
  <c r="AI97" i="25"/>
  <c r="AP105" i="25"/>
  <c r="AO105" i="25"/>
  <c r="AK105" i="25"/>
  <c r="AR105" i="25"/>
  <c r="AJ105" i="25"/>
  <c r="Y105" i="25"/>
  <c r="AE105" i="25" s="1"/>
  <c r="AC129" i="25"/>
  <c r="AD129" i="25" s="1"/>
  <c r="AI129" i="25"/>
  <c r="AK129" i="25"/>
  <c r="Y3" i="25"/>
  <c r="AE3" i="25" s="1"/>
  <c r="AK37" i="25"/>
  <c r="AJ83" i="25"/>
  <c r="AC85" i="25"/>
  <c r="AD85" i="25" s="1"/>
  <c r="AS85" i="25"/>
  <c r="AK85" i="25"/>
  <c r="Y85" i="25"/>
  <c r="AE85" i="25" s="1"/>
  <c r="AJ95" i="25"/>
  <c r="AI95" i="25"/>
  <c r="AC95" i="25"/>
  <c r="AD95" i="25" s="1"/>
  <c r="AO109" i="25"/>
  <c r="AN109" i="25"/>
  <c r="AJ109" i="25"/>
  <c r="Y109" i="25"/>
  <c r="AE109" i="25" s="1"/>
  <c r="AQ109" i="25"/>
  <c r="AI109" i="25"/>
  <c r="AJ3" i="25"/>
  <c r="AK3" i="25"/>
  <c r="Y11" i="25"/>
  <c r="AE11" i="25" s="1"/>
  <c r="AJ11" i="25"/>
  <c r="AN89" i="25"/>
  <c r="AM89" i="25"/>
  <c r="D89" i="26" s="1"/>
  <c r="AQ89" i="25"/>
  <c r="AI89" i="25"/>
  <c r="AP89" i="25"/>
  <c r="Y89" i="25"/>
  <c r="AE89" i="25" s="1"/>
  <c r="AO89" i="25"/>
  <c r="AK97" i="25"/>
  <c r="AO83" i="25"/>
  <c r="AN83" i="25"/>
  <c r="AQ83" i="25"/>
  <c r="AI83" i="25"/>
  <c r="Y83" i="25"/>
  <c r="AE83" i="25" s="1"/>
  <c r="AJ97" i="25"/>
  <c r="AI145" i="25"/>
  <c r="AJ149" i="25"/>
  <c r="AI149" i="25"/>
  <c r="AC135" i="25"/>
  <c r="AD135" i="25" s="1"/>
  <c r="AC149" i="25"/>
  <c r="AD149" i="25" s="1"/>
  <c r="AC145" i="25"/>
  <c r="AD145" i="25" s="1"/>
  <c r="AO127" i="25"/>
  <c r="AM127" i="25"/>
  <c r="D127" i="26" s="1"/>
  <c r="AT127" i="25"/>
  <c r="AL127" i="25"/>
  <c r="AC127" i="25"/>
  <c r="AD127" i="25" s="1"/>
  <c r="Y127" i="25"/>
  <c r="AE127" i="25" s="1"/>
  <c r="AI135" i="25"/>
  <c r="AJ139" i="25"/>
  <c r="AI139" i="25"/>
  <c r="AJ143" i="25"/>
  <c r="AK149" i="25"/>
  <c r="AC155" i="25"/>
  <c r="AD155" i="25" s="1"/>
  <c r="AK155" i="25"/>
  <c r="AJ155" i="25"/>
  <c r="AI155" i="25"/>
  <c r="AC165" i="25"/>
  <c r="AD165" i="25" s="1"/>
  <c r="AK165" i="25"/>
  <c r="AJ165" i="25"/>
  <c r="AI165" i="25"/>
  <c r="AK143" i="25"/>
  <c r="AE187" i="25"/>
  <c r="AB187" i="25"/>
  <c r="AO125" i="25"/>
  <c r="AN131" i="25"/>
  <c r="AJ153" i="25"/>
  <c r="AJ159" i="25"/>
  <c r="AM173" i="25"/>
  <c r="D173" i="26" s="1"/>
  <c r="AT173" i="25"/>
  <c r="AL173" i="25"/>
  <c r="AC173" i="25"/>
  <c r="AD173" i="25" s="1"/>
  <c r="Y173" i="25"/>
  <c r="AE173" i="25" s="1"/>
  <c r="AC187" i="25"/>
  <c r="AD187" i="25" s="1"/>
  <c r="AJ191" i="25"/>
  <c r="AP125" i="25"/>
  <c r="Y129" i="25"/>
  <c r="AE129" i="25" s="1"/>
  <c r="AJ129" i="25"/>
  <c r="AO131" i="25"/>
  <c r="AI137" i="25"/>
  <c r="AI147" i="25"/>
  <c r="AK153" i="25"/>
  <c r="AC159" i="25"/>
  <c r="AD159" i="25" s="1"/>
  <c r="AJ163" i="25"/>
  <c r="AE183" i="25"/>
  <c r="AB183" i="25"/>
  <c r="Y125" i="25"/>
  <c r="AE125" i="25" s="1"/>
  <c r="AJ125" i="25"/>
  <c r="AI131" i="25"/>
  <c r="AQ131" i="25"/>
  <c r="AS171" i="25"/>
  <c r="AK171" i="25"/>
  <c r="AQ171" i="25"/>
  <c r="AI171" i="25"/>
  <c r="AP171" i="25"/>
  <c r="AO171" i="25"/>
  <c r="Y171" i="25"/>
  <c r="AE171" i="25" s="1"/>
  <c r="Y131" i="25"/>
  <c r="AE131" i="25" s="1"/>
  <c r="AJ131" i="25"/>
  <c r="AE191" i="25"/>
  <c r="AB191" i="25"/>
  <c r="AJ151" i="25"/>
  <c r="AJ167" i="25"/>
  <c r="AI175" i="25"/>
  <c r="AQ175" i="25"/>
  <c r="AI185" i="25"/>
  <c r="AI189" i="25"/>
  <c r="AI157" i="25"/>
  <c r="Y175" i="25"/>
  <c r="AE175" i="25" s="1"/>
  <c r="AJ175" i="25"/>
  <c r="AR175" i="25"/>
  <c r="AJ185" i="25"/>
  <c r="AJ189" i="25"/>
  <c r="AK175" i="25"/>
  <c r="A331" i="24"/>
  <c r="A329" i="24"/>
  <c r="A327" i="24"/>
  <c r="A325" i="24"/>
  <c r="A323" i="24"/>
  <c r="A321" i="24"/>
  <c r="A319" i="24"/>
  <c r="A317" i="24"/>
  <c r="A315" i="24"/>
  <c r="B313" i="24"/>
  <c r="C313" i="24" s="1"/>
  <c r="A313" i="24"/>
  <c r="B311" i="24"/>
  <c r="C311" i="24" s="1"/>
  <c r="A311" i="24"/>
  <c r="B309" i="24"/>
  <c r="C309" i="24" s="1"/>
  <c r="A309" i="24"/>
  <c r="B305" i="24"/>
  <c r="C305" i="24" s="1"/>
  <c r="A305" i="24"/>
  <c r="B303" i="24"/>
  <c r="C303" i="24" s="1"/>
  <c r="A303" i="24"/>
  <c r="B301" i="24"/>
  <c r="C301" i="24" s="1"/>
  <c r="A301" i="24"/>
  <c r="A299" i="24"/>
  <c r="A297" i="24"/>
  <c r="A295" i="24"/>
  <c r="A293" i="24"/>
  <c r="B291" i="24"/>
  <c r="C291" i="24" s="1"/>
  <c r="A291" i="24"/>
  <c r="B289" i="24"/>
  <c r="C289" i="24" s="1"/>
  <c r="A289" i="24"/>
  <c r="B287" i="24"/>
  <c r="C287" i="24" s="1"/>
  <c r="A287" i="24"/>
  <c r="B285" i="24"/>
  <c r="C285" i="24" s="1"/>
  <c r="A285" i="24"/>
  <c r="B283" i="24"/>
  <c r="C283" i="24" s="1"/>
  <c r="A283" i="24"/>
  <c r="B281" i="24"/>
  <c r="C281" i="24" s="1"/>
  <c r="A281" i="24"/>
  <c r="B279" i="24"/>
  <c r="C279" i="24" s="1"/>
  <c r="A279" i="24"/>
  <c r="B277" i="24"/>
  <c r="C277" i="24" s="1"/>
  <c r="A277" i="24"/>
  <c r="B275" i="24"/>
  <c r="C275" i="24" s="1"/>
  <c r="A275" i="24"/>
  <c r="B273" i="24"/>
  <c r="C273" i="24" s="1"/>
  <c r="A273" i="24"/>
  <c r="B271" i="24"/>
  <c r="C271" i="24" s="1"/>
  <c r="A271" i="24"/>
  <c r="B269" i="24"/>
  <c r="C269" i="24" s="1"/>
  <c r="A269" i="24"/>
  <c r="B267" i="24"/>
  <c r="C267" i="24" s="1"/>
  <c r="A267" i="24"/>
  <c r="B265" i="24"/>
  <c r="C265" i="24" s="1"/>
  <c r="A265" i="24"/>
  <c r="B263" i="24"/>
  <c r="C263" i="24" s="1"/>
  <c r="A263" i="24"/>
  <c r="B261" i="24"/>
  <c r="C261" i="24" s="1"/>
  <c r="A261" i="24"/>
  <c r="B259" i="24"/>
  <c r="C259" i="24" s="1"/>
  <c r="A259" i="24"/>
  <c r="B257" i="24"/>
  <c r="C257" i="24" s="1"/>
  <c r="A257" i="24"/>
  <c r="B255" i="24"/>
  <c r="C255" i="24" s="1"/>
  <c r="A255" i="24"/>
  <c r="B253" i="24"/>
  <c r="C253" i="24" s="1"/>
  <c r="A253" i="24"/>
  <c r="B251" i="24"/>
  <c r="C251" i="24" s="1"/>
  <c r="A251" i="24"/>
  <c r="B249" i="24"/>
  <c r="C249" i="24" s="1"/>
  <c r="A249" i="24"/>
  <c r="B247" i="24"/>
  <c r="C247" i="24" s="1"/>
  <c r="A247" i="24"/>
  <c r="B245" i="24"/>
  <c r="C245" i="24" s="1"/>
  <c r="A245" i="24"/>
  <c r="B243" i="24"/>
  <c r="C243" i="24" s="1"/>
  <c r="A243" i="24"/>
  <c r="B241" i="24"/>
  <c r="C241" i="24" s="1"/>
  <c r="A241" i="24"/>
  <c r="B239" i="24"/>
  <c r="C239" i="24" s="1"/>
  <c r="A239" i="24"/>
  <c r="B237" i="24"/>
  <c r="C237" i="24" s="1"/>
  <c r="A237" i="24"/>
  <c r="B235" i="24"/>
  <c r="C235" i="24" s="1"/>
  <c r="A235" i="24"/>
  <c r="B233" i="24"/>
  <c r="C233" i="24" s="1"/>
  <c r="A233" i="24"/>
  <c r="B231" i="24"/>
  <c r="C231" i="24" s="1"/>
  <c r="A231" i="24"/>
  <c r="B229" i="24"/>
  <c r="C229" i="24" s="1"/>
  <c r="A229" i="24"/>
  <c r="B227" i="24"/>
  <c r="C227" i="24" s="1"/>
  <c r="A227" i="24"/>
  <c r="B221" i="24"/>
  <c r="C221" i="24" s="1"/>
  <c r="A221" i="24"/>
  <c r="B219" i="24"/>
  <c r="C219" i="24" s="1"/>
  <c r="A219" i="24"/>
  <c r="B217" i="24"/>
  <c r="C217" i="24" s="1"/>
  <c r="A217" i="24"/>
  <c r="B215" i="24"/>
  <c r="C215" i="24" s="1"/>
  <c r="A215" i="24"/>
  <c r="B211" i="24"/>
  <c r="C211" i="24" s="1"/>
  <c r="A211" i="24"/>
  <c r="B209" i="24"/>
  <c r="C209" i="24" s="1"/>
  <c r="A209" i="24"/>
  <c r="B207" i="24"/>
  <c r="C207" i="24" s="1"/>
  <c r="A207" i="24"/>
  <c r="B205" i="24"/>
  <c r="C205" i="24" s="1"/>
  <c r="A205" i="24"/>
  <c r="B203" i="24"/>
  <c r="C203" i="24" s="1"/>
  <c r="A203" i="24"/>
  <c r="B201" i="24"/>
  <c r="C201" i="24" s="1"/>
  <c r="A201" i="24"/>
  <c r="B199" i="24"/>
  <c r="C199" i="24" s="1"/>
  <c r="A199" i="24"/>
  <c r="B197" i="24"/>
  <c r="C197" i="24" s="1"/>
  <c r="A197" i="24"/>
  <c r="B195" i="24"/>
  <c r="C195" i="24" s="1"/>
  <c r="A195" i="24"/>
  <c r="B193" i="24"/>
  <c r="C193" i="24" s="1"/>
  <c r="A193" i="24"/>
  <c r="B191" i="24"/>
  <c r="C191" i="24" s="1"/>
  <c r="A191" i="24"/>
  <c r="B189" i="24"/>
  <c r="C189" i="24" s="1"/>
  <c r="A189" i="24"/>
  <c r="B187" i="24"/>
  <c r="C187" i="24" s="1"/>
  <c r="A187" i="24"/>
  <c r="B185" i="24"/>
  <c r="C185" i="24" s="1"/>
  <c r="A185" i="24"/>
  <c r="B183" i="24"/>
  <c r="C183" i="24" s="1"/>
  <c r="A183" i="24"/>
  <c r="B181" i="24"/>
  <c r="C181" i="24" s="1"/>
  <c r="A181" i="24"/>
  <c r="B179" i="24"/>
  <c r="C179" i="24" s="1"/>
  <c r="A179" i="24"/>
  <c r="B177" i="24"/>
  <c r="C177" i="24" s="1"/>
  <c r="A177" i="24"/>
  <c r="B175" i="24"/>
  <c r="C175" i="24" s="1"/>
  <c r="A175" i="24"/>
  <c r="B173" i="24"/>
  <c r="C173" i="24" s="1"/>
  <c r="A173" i="24"/>
  <c r="B171" i="24"/>
  <c r="C171" i="24" s="1"/>
  <c r="A171" i="24"/>
  <c r="B167" i="24"/>
  <c r="C167" i="24" s="1"/>
  <c r="A167" i="24"/>
  <c r="B165" i="24"/>
  <c r="C165" i="24" s="1"/>
  <c r="A165" i="24"/>
  <c r="B163" i="24"/>
  <c r="C163" i="24" s="1"/>
  <c r="A163" i="24"/>
  <c r="B161" i="24"/>
  <c r="C161" i="24" s="1"/>
  <c r="A161" i="24"/>
  <c r="B159" i="24"/>
  <c r="C159" i="24" s="1"/>
  <c r="A159" i="24"/>
  <c r="B157" i="24"/>
  <c r="C157" i="24" s="1"/>
  <c r="A157" i="24"/>
  <c r="B155" i="24"/>
  <c r="C155" i="24" s="1"/>
  <c r="A155" i="24"/>
  <c r="B153" i="24"/>
  <c r="C153" i="24" s="1"/>
  <c r="A153" i="24"/>
  <c r="B151" i="24"/>
  <c r="C151" i="24" s="1"/>
  <c r="A151" i="24"/>
  <c r="A149" i="24"/>
  <c r="A147" i="24"/>
  <c r="B145" i="24"/>
  <c r="C145" i="24" s="1"/>
  <c r="A145" i="24"/>
  <c r="B143" i="24"/>
  <c r="C143" i="24" s="1"/>
  <c r="A143" i="24"/>
  <c r="B141" i="24"/>
  <c r="C141" i="24" s="1"/>
  <c r="A141" i="24"/>
  <c r="B139" i="24"/>
  <c r="C139" i="24" s="1"/>
  <c r="A139" i="24"/>
  <c r="B137" i="24"/>
  <c r="C137" i="24" s="1"/>
  <c r="A137" i="24"/>
  <c r="B135" i="24"/>
  <c r="C135" i="24" s="1"/>
  <c r="A135" i="24"/>
  <c r="B133" i="24"/>
  <c r="C133" i="24" s="1"/>
  <c r="A133" i="24"/>
  <c r="B131" i="24"/>
  <c r="C131" i="24" s="1"/>
  <c r="A131" i="24"/>
  <c r="B129" i="24"/>
  <c r="C129" i="24" s="1"/>
  <c r="A129" i="24"/>
  <c r="A123" i="24"/>
  <c r="A121" i="24"/>
  <c r="A119" i="24"/>
  <c r="B113" i="24"/>
  <c r="C113" i="24" s="1"/>
  <c r="A113" i="24"/>
  <c r="B111" i="24"/>
  <c r="C111" i="24" s="1"/>
  <c r="A111" i="24"/>
  <c r="B109" i="24"/>
  <c r="C109" i="24" s="1"/>
  <c r="A109" i="24"/>
  <c r="B107" i="24"/>
  <c r="C107" i="24" s="1"/>
  <c r="A107" i="24"/>
  <c r="B105" i="24"/>
  <c r="C105" i="24" s="1"/>
  <c r="A105" i="24"/>
  <c r="B103" i="24"/>
  <c r="C103" i="24" s="1"/>
  <c r="A103" i="24"/>
  <c r="B101" i="24"/>
  <c r="C101" i="24" s="1"/>
  <c r="A101" i="24"/>
  <c r="B99" i="24"/>
  <c r="C99" i="24" s="1"/>
  <c r="A99" i="24"/>
  <c r="B97" i="24"/>
  <c r="C97" i="24" s="1"/>
  <c r="A97" i="24"/>
  <c r="B95" i="24"/>
  <c r="C95" i="24" s="1"/>
  <c r="A95" i="24"/>
  <c r="B93" i="24"/>
  <c r="C93" i="24" s="1"/>
  <c r="A93" i="24"/>
  <c r="A91" i="24"/>
  <c r="B65" i="24"/>
  <c r="C65" i="24" s="1"/>
  <c r="A65" i="24"/>
  <c r="B63" i="24"/>
  <c r="C63" i="24" s="1"/>
  <c r="A63" i="24"/>
  <c r="B61" i="24"/>
  <c r="C61" i="24" s="1"/>
  <c r="A61" i="24"/>
  <c r="B59" i="24"/>
  <c r="C59" i="24" s="1"/>
  <c r="A59" i="24"/>
  <c r="B57" i="24"/>
  <c r="C57" i="24" s="1"/>
  <c r="A57" i="24"/>
  <c r="B55" i="24"/>
  <c r="C55" i="24" s="1"/>
  <c r="A55" i="24"/>
  <c r="B53" i="24"/>
  <c r="C53" i="24" s="1"/>
  <c r="A53" i="24"/>
  <c r="B51" i="24"/>
  <c r="C51" i="24" s="1"/>
  <c r="A51" i="24"/>
  <c r="B49" i="24"/>
  <c r="C49" i="24" s="1"/>
  <c r="A49" i="24"/>
  <c r="B47" i="24"/>
  <c r="C47" i="24" s="1"/>
  <c r="A47" i="24"/>
  <c r="B45" i="24"/>
  <c r="C45" i="24" s="1"/>
  <c r="A45" i="24"/>
  <c r="B43" i="24"/>
  <c r="C43" i="24" s="1"/>
  <c r="A43" i="24"/>
  <c r="B41" i="24"/>
  <c r="C41" i="24" s="1"/>
  <c r="A41" i="24"/>
  <c r="B39" i="24"/>
  <c r="C39" i="24" s="1"/>
  <c r="A39" i="24"/>
  <c r="B37" i="24"/>
  <c r="C37" i="24" s="1"/>
  <c r="A37" i="24"/>
  <c r="B35" i="24"/>
  <c r="C35" i="24" s="1"/>
  <c r="A35" i="24"/>
  <c r="B33" i="24"/>
  <c r="C33" i="24" s="1"/>
  <c r="A33" i="24"/>
  <c r="A31" i="24"/>
  <c r="B29" i="24"/>
  <c r="C29" i="24" s="1"/>
  <c r="A29" i="24"/>
  <c r="B27" i="24"/>
  <c r="C27" i="24" s="1"/>
  <c r="A27" i="24"/>
  <c r="B25" i="24"/>
  <c r="C25" i="24" s="1"/>
  <c r="A25" i="24"/>
  <c r="B21" i="24"/>
  <c r="C21" i="24" s="1"/>
  <c r="A21" i="24"/>
  <c r="B19" i="24"/>
  <c r="C19" i="24" s="1"/>
  <c r="A19" i="24"/>
  <c r="A15" i="24"/>
  <c r="A9" i="24"/>
  <c r="A7" i="24"/>
  <c r="A5" i="24"/>
  <c r="A3" i="24"/>
  <c r="AG329" i="23" l="1"/>
  <c r="AF329" i="23"/>
  <c r="AA329" i="23"/>
  <c r="Y329" i="23"/>
  <c r="W329" i="23"/>
  <c r="U329" i="23"/>
  <c r="R329" i="23"/>
  <c r="L329" i="23"/>
  <c r="K329" i="23"/>
  <c r="AY328" i="23"/>
  <c r="AX328" i="23"/>
  <c r="AW328" i="23"/>
  <c r="AG327" i="23"/>
  <c r="AF327" i="23"/>
  <c r="AA327" i="23"/>
  <c r="Y327" i="23"/>
  <c r="W327" i="23"/>
  <c r="U327" i="23"/>
  <c r="R327" i="23"/>
  <c r="L327" i="23"/>
  <c r="K327" i="23"/>
  <c r="AY326" i="23"/>
  <c r="AX326" i="23"/>
  <c r="AW326" i="23"/>
  <c r="AG325" i="23"/>
  <c r="AF325" i="23"/>
  <c r="AA325" i="23"/>
  <c r="Y325" i="23"/>
  <c r="W325" i="23"/>
  <c r="U325" i="23"/>
  <c r="R325" i="23"/>
  <c r="L325" i="23"/>
  <c r="K325" i="23"/>
  <c r="AY324" i="23"/>
  <c r="AX324" i="23"/>
  <c r="AW324" i="23"/>
  <c r="AG323" i="23"/>
  <c r="AF323" i="23"/>
  <c r="AA323" i="23"/>
  <c r="B323" i="24" s="1"/>
  <c r="C323" i="24" s="1"/>
  <c r="Y323" i="23"/>
  <c r="W323" i="23"/>
  <c r="U323" i="23"/>
  <c r="R323" i="23"/>
  <c r="L323" i="23"/>
  <c r="K323" i="23"/>
  <c r="AY322" i="23"/>
  <c r="AX322" i="23"/>
  <c r="AW322" i="23"/>
  <c r="AT321" i="23"/>
  <c r="AS321" i="23"/>
  <c r="AR321" i="23"/>
  <c r="AQ321" i="23"/>
  <c r="AP321" i="23"/>
  <c r="AO321" i="23"/>
  <c r="AN321" i="23"/>
  <c r="AM321" i="23"/>
  <c r="D321" i="24" s="1"/>
  <c r="AL321" i="23"/>
  <c r="AK321" i="23"/>
  <c r="AJ321" i="23"/>
  <c r="AI321" i="23"/>
  <c r="AG321" i="23"/>
  <c r="AF321" i="23"/>
  <c r="AC321" i="23"/>
  <c r="AD321" i="23" s="1"/>
  <c r="AA321" i="23"/>
  <c r="Y321" i="23"/>
  <c r="W321" i="23"/>
  <c r="U321" i="23"/>
  <c r="R321" i="23"/>
  <c r="L321" i="23"/>
  <c r="K321" i="23"/>
  <c r="AT319" i="23"/>
  <c r="AS319" i="23"/>
  <c r="AR319" i="23"/>
  <c r="AQ319" i="23"/>
  <c r="AP319" i="23"/>
  <c r="AO319" i="23"/>
  <c r="AN319" i="23"/>
  <c r="AM319" i="23"/>
  <c r="D319" i="24" s="1"/>
  <c r="AL319" i="23"/>
  <c r="AK319" i="23"/>
  <c r="AJ319" i="23"/>
  <c r="AI319" i="23"/>
  <c r="AG319" i="23"/>
  <c r="AF319" i="23"/>
  <c r="AC319" i="23"/>
  <c r="AD319" i="23" s="1"/>
  <c r="AA319" i="23"/>
  <c r="Y319" i="23"/>
  <c r="W319" i="23"/>
  <c r="U319" i="23"/>
  <c r="R319" i="23"/>
  <c r="L319" i="23"/>
  <c r="K319" i="23"/>
  <c r="AT317" i="23"/>
  <c r="AS317" i="23"/>
  <c r="AR317" i="23"/>
  <c r="AQ317" i="23"/>
  <c r="AP317" i="23"/>
  <c r="AO317" i="23"/>
  <c r="AN317" i="23"/>
  <c r="AM317" i="23"/>
  <c r="D317" i="24" s="1"/>
  <c r="AL317" i="23"/>
  <c r="AK317" i="23"/>
  <c r="AJ317" i="23"/>
  <c r="AI317" i="23"/>
  <c r="AG317" i="23"/>
  <c r="AF317" i="23"/>
  <c r="AC317" i="23"/>
  <c r="AD317" i="23" s="1"/>
  <c r="AA317" i="23"/>
  <c r="Y317" i="23"/>
  <c r="W317" i="23"/>
  <c r="U317" i="23"/>
  <c r="R317" i="23"/>
  <c r="L317" i="23"/>
  <c r="K317" i="23"/>
  <c r="AT315" i="23"/>
  <c r="AS315" i="23"/>
  <c r="AR315" i="23"/>
  <c r="AQ315" i="23"/>
  <c r="AP315" i="23"/>
  <c r="AO315" i="23"/>
  <c r="AN315" i="23"/>
  <c r="AM315" i="23"/>
  <c r="D315" i="24" s="1"/>
  <c r="AL315" i="23"/>
  <c r="AK315" i="23"/>
  <c r="AJ315" i="23"/>
  <c r="AI315" i="23"/>
  <c r="AG315" i="23"/>
  <c r="AF315" i="23"/>
  <c r="AC315" i="23"/>
  <c r="AD315" i="23" s="1"/>
  <c r="AA315" i="23"/>
  <c r="B315" i="24" s="1"/>
  <c r="C315" i="24" s="1"/>
  <c r="Y315" i="23"/>
  <c r="W315" i="23"/>
  <c r="U315" i="23"/>
  <c r="R315" i="23"/>
  <c r="L315" i="23"/>
  <c r="K315" i="23"/>
  <c r="AG313" i="23"/>
  <c r="AF313" i="23"/>
  <c r="AB313" i="23"/>
  <c r="W313" i="23"/>
  <c r="U313" i="23"/>
  <c r="R313" i="23"/>
  <c r="L313" i="23"/>
  <c r="K313" i="23"/>
  <c r="AX312" i="23"/>
  <c r="AW312" i="23"/>
  <c r="AV312" i="23"/>
  <c r="AG311" i="23"/>
  <c r="AF311" i="23"/>
  <c r="AB311" i="23"/>
  <c r="W311" i="23"/>
  <c r="U311" i="23"/>
  <c r="R311" i="23"/>
  <c r="L311" i="23"/>
  <c r="K311" i="23"/>
  <c r="AX310" i="23"/>
  <c r="AW310" i="23"/>
  <c r="AV310" i="23"/>
  <c r="AG309" i="23"/>
  <c r="AF309" i="23"/>
  <c r="AB309" i="23"/>
  <c r="W309" i="23"/>
  <c r="U309" i="23"/>
  <c r="R309" i="23"/>
  <c r="L309" i="23"/>
  <c r="K309" i="23"/>
  <c r="AX308" i="23"/>
  <c r="AW308" i="23"/>
  <c r="AV308" i="23"/>
  <c r="AG305" i="23"/>
  <c r="AF305" i="23"/>
  <c r="AB305" i="23"/>
  <c r="Y305" i="23"/>
  <c r="AE305" i="23" s="1"/>
  <c r="W305" i="23"/>
  <c r="U305" i="23"/>
  <c r="R305" i="23"/>
  <c r="L305" i="23"/>
  <c r="K305" i="23"/>
  <c r="AX304" i="23"/>
  <c r="AW304" i="23"/>
  <c r="AG303" i="23"/>
  <c r="AF303" i="23"/>
  <c r="AB303" i="23"/>
  <c r="Y303" i="23"/>
  <c r="AE303" i="23" s="1"/>
  <c r="W303" i="23"/>
  <c r="U303" i="23"/>
  <c r="R303" i="23"/>
  <c r="L303" i="23"/>
  <c r="K303" i="23"/>
  <c r="AX302" i="23"/>
  <c r="AW302" i="23"/>
  <c r="AG301" i="23"/>
  <c r="AF301" i="23"/>
  <c r="AB301" i="23"/>
  <c r="Y301" i="23"/>
  <c r="AE301" i="23" s="1"/>
  <c r="W301" i="23"/>
  <c r="U301" i="23"/>
  <c r="R301" i="23"/>
  <c r="L301" i="23"/>
  <c r="K301" i="23"/>
  <c r="AX300" i="23"/>
  <c r="AW300" i="23"/>
  <c r="AG299" i="23"/>
  <c r="AF299" i="23"/>
  <c r="AA299" i="23"/>
  <c r="Y299" i="23"/>
  <c r="W299" i="23"/>
  <c r="U299" i="23"/>
  <c r="R299" i="23"/>
  <c r="L299" i="23"/>
  <c r="K299" i="23"/>
  <c r="AY298" i="23"/>
  <c r="AX298" i="23"/>
  <c r="AW298" i="23"/>
  <c r="AG297" i="23"/>
  <c r="AF297" i="23"/>
  <c r="AA297" i="23"/>
  <c r="B297" i="24" s="1"/>
  <c r="C297" i="24" s="1"/>
  <c r="Y297" i="23"/>
  <c r="W297" i="23"/>
  <c r="U297" i="23"/>
  <c r="R297" i="23"/>
  <c r="L297" i="23"/>
  <c r="K297" i="23"/>
  <c r="AY296" i="23"/>
  <c r="AX296" i="23"/>
  <c r="AW296" i="23"/>
  <c r="AG295" i="23"/>
  <c r="AF295" i="23"/>
  <c r="AA295" i="23"/>
  <c r="Y295" i="23"/>
  <c r="W295" i="23"/>
  <c r="U295" i="23"/>
  <c r="R295" i="23"/>
  <c r="L295" i="23"/>
  <c r="K295" i="23"/>
  <c r="AX294" i="23"/>
  <c r="AW294" i="23"/>
  <c r="AG293" i="23"/>
  <c r="AF293" i="23"/>
  <c r="AA293" i="23"/>
  <c r="Y293" i="23"/>
  <c r="W293" i="23"/>
  <c r="U293" i="23"/>
  <c r="R293" i="23"/>
  <c r="L293" i="23"/>
  <c r="K293" i="23"/>
  <c r="AX292" i="23"/>
  <c r="AW292" i="23"/>
  <c r="AG291" i="23"/>
  <c r="AF291" i="23"/>
  <c r="AB291" i="23"/>
  <c r="Y291" i="23"/>
  <c r="AE291" i="23" s="1"/>
  <c r="W291" i="23"/>
  <c r="U291" i="23"/>
  <c r="R291" i="23"/>
  <c r="L291" i="23"/>
  <c r="K291" i="23"/>
  <c r="AX290" i="23"/>
  <c r="AW290" i="23"/>
  <c r="AG289" i="23"/>
  <c r="AF289" i="23"/>
  <c r="AB289" i="23"/>
  <c r="Y289" i="23"/>
  <c r="AE289" i="23" s="1"/>
  <c r="W289" i="23"/>
  <c r="U289" i="23"/>
  <c r="R289" i="23"/>
  <c r="L289" i="23"/>
  <c r="K289" i="23"/>
  <c r="AX288" i="23"/>
  <c r="AW288" i="23"/>
  <c r="AG287" i="23"/>
  <c r="AF287" i="23"/>
  <c r="AB287" i="23"/>
  <c r="Y287" i="23"/>
  <c r="AE287" i="23" s="1"/>
  <c r="W287" i="23"/>
  <c r="U287" i="23"/>
  <c r="R287" i="23"/>
  <c r="L287" i="23"/>
  <c r="K287" i="23"/>
  <c r="AX286" i="23"/>
  <c r="AW286" i="23"/>
  <c r="AG285" i="23"/>
  <c r="AF285" i="23"/>
  <c r="AB285" i="23"/>
  <c r="Y285" i="23"/>
  <c r="AE285" i="23" s="1"/>
  <c r="W285" i="23"/>
  <c r="U285" i="23"/>
  <c r="R285" i="23"/>
  <c r="L285" i="23"/>
  <c r="K285" i="23"/>
  <c r="AX284" i="23"/>
  <c r="AW284" i="23"/>
  <c r="AG283" i="23"/>
  <c r="AF283" i="23"/>
  <c r="AB283" i="23"/>
  <c r="Y283" i="23"/>
  <c r="AE283" i="23" s="1"/>
  <c r="W283" i="23"/>
  <c r="U283" i="23"/>
  <c r="R283" i="23"/>
  <c r="L283" i="23"/>
  <c r="K283" i="23"/>
  <c r="AX282" i="23"/>
  <c r="AW282" i="23"/>
  <c r="AG281" i="23"/>
  <c r="AF281" i="23"/>
  <c r="AB281" i="23"/>
  <c r="Y281" i="23"/>
  <c r="AE281" i="23" s="1"/>
  <c r="W281" i="23"/>
  <c r="U281" i="23"/>
  <c r="R281" i="23"/>
  <c r="L281" i="23"/>
  <c r="K281" i="23"/>
  <c r="AX280" i="23"/>
  <c r="AW280" i="23"/>
  <c r="AG279" i="23"/>
  <c r="AF279" i="23"/>
  <c r="AB279" i="23"/>
  <c r="Y279" i="23"/>
  <c r="AE279" i="23" s="1"/>
  <c r="W279" i="23"/>
  <c r="U279" i="23"/>
  <c r="R279" i="23"/>
  <c r="L279" i="23"/>
  <c r="K279" i="23"/>
  <c r="AX278" i="23"/>
  <c r="AW278" i="23"/>
  <c r="AG277" i="23"/>
  <c r="AF277" i="23"/>
  <c r="AB277" i="23"/>
  <c r="Y277" i="23"/>
  <c r="AE277" i="23" s="1"/>
  <c r="W277" i="23"/>
  <c r="U277" i="23"/>
  <c r="R277" i="23"/>
  <c r="L277" i="23"/>
  <c r="K277" i="23"/>
  <c r="AX276" i="23"/>
  <c r="AW276" i="23"/>
  <c r="AG275" i="23"/>
  <c r="AF275" i="23"/>
  <c r="AB275" i="23"/>
  <c r="Y275" i="23"/>
  <c r="AE275" i="23" s="1"/>
  <c r="W275" i="23"/>
  <c r="U275" i="23"/>
  <c r="R275" i="23"/>
  <c r="L275" i="23"/>
  <c r="K275" i="23"/>
  <c r="AX274" i="23"/>
  <c r="AW274" i="23"/>
  <c r="AG273" i="23"/>
  <c r="AF273" i="23"/>
  <c r="AB273" i="23"/>
  <c r="Y273" i="23"/>
  <c r="AE273" i="23" s="1"/>
  <c r="W273" i="23"/>
  <c r="U273" i="23"/>
  <c r="R273" i="23"/>
  <c r="L273" i="23"/>
  <c r="K273" i="23"/>
  <c r="AX272" i="23"/>
  <c r="AW272" i="23"/>
  <c r="AG271" i="23"/>
  <c r="AF271" i="23"/>
  <c r="AB271" i="23"/>
  <c r="Y271" i="23"/>
  <c r="AE271" i="23" s="1"/>
  <c r="W271" i="23"/>
  <c r="U271" i="23"/>
  <c r="R271" i="23"/>
  <c r="L271" i="23"/>
  <c r="K271" i="23"/>
  <c r="AX270" i="23"/>
  <c r="AW270" i="23"/>
  <c r="AG269" i="23"/>
  <c r="AF269" i="23"/>
  <c r="AB269" i="23"/>
  <c r="Y269" i="23"/>
  <c r="AE269" i="23" s="1"/>
  <c r="W269" i="23"/>
  <c r="U269" i="23"/>
  <c r="R269" i="23"/>
  <c r="L269" i="23"/>
  <c r="K269" i="23"/>
  <c r="AX268" i="23"/>
  <c r="AW268" i="23"/>
  <c r="AG267" i="23"/>
  <c r="AF267" i="23"/>
  <c r="AB267" i="23"/>
  <c r="Y267" i="23"/>
  <c r="AE267" i="23" s="1"/>
  <c r="W267" i="23"/>
  <c r="U267" i="23"/>
  <c r="R267" i="23"/>
  <c r="L267" i="23"/>
  <c r="K267" i="23"/>
  <c r="AX266" i="23"/>
  <c r="AW266" i="23"/>
  <c r="AG265" i="23"/>
  <c r="AF265" i="23"/>
  <c r="AB265" i="23"/>
  <c r="Y265" i="23"/>
  <c r="AE265" i="23" s="1"/>
  <c r="W265" i="23"/>
  <c r="U265" i="23"/>
  <c r="R265" i="23"/>
  <c r="L265" i="23"/>
  <c r="K265" i="23"/>
  <c r="AX264" i="23"/>
  <c r="AW264" i="23"/>
  <c r="AG263" i="23"/>
  <c r="AF263" i="23"/>
  <c r="AB263" i="23"/>
  <c r="Y263" i="23"/>
  <c r="AE263" i="23" s="1"/>
  <c r="W263" i="23"/>
  <c r="U263" i="23"/>
  <c r="R263" i="23"/>
  <c r="L263" i="23"/>
  <c r="K263" i="23"/>
  <c r="AX262" i="23"/>
  <c r="AW262" i="23"/>
  <c r="AG261" i="23"/>
  <c r="AF261" i="23"/>
  <c r="AB261" i="23"/>
  <c r="Y261" i="23"/>
  <c r="AE261" i="23" s="1"/>
  <c r="W261" i="23"/>
  <c r="U261" i="23"/>
  <c r="R261" i="23"/>
  <c r="L261" i="23"/>
  <c r="K261" i="23"/>
  <c r="AX260" i="23"/>
  <c r="AW260" i="23"/>
  <c r="AG259" i="23"/>
  <c r="AF259" i="23"/>
  <c r="AB259" i="23"/>
  <c r="Y259" i="23"/>
  <c r="AE259" i="23" s="1"/>
  <c r="W259" i="23"/>
  <c r="U259" i="23"/>
  <c r="R259" i="23"/>
  <c r="L259" i="23"/>
  <c r="K259" i="23"/>
  <c r="AX258" i="23"/>
  <c r="AW258" i="23"/>
  <c r="AG257" i="23"/>
  <c r="AF257" i="23"/>
  <c r="AB257" i="23"/>
  <c r="Y257" i="23"/>
  <c r="AE257" i="23" s="1"/>
  <c r="W257" i="23"/>
  <c r="U257" i="23"/>
  <c r="R257" i="23"/>
  <c r="L257" i="23"/>
  <c r="K257" i="23"/>
  <c r="AX256" i="23"/>
  <c r="AW256" i="23"/>
  <c r="AG255" i="23"/>
  <c r="AF255" i="23"/>
  <c r="AB255" i="23"/>
  <c r="Y255" i="23"/>
  <c r="AE255" i="23" s="1"/>
  <c r="W255" i="23"/>
  <c r="U255" i="23"/>
  <c r="R255" i="23"/>
  <c r="L255" i="23"/>
  <c r="K255" i="23"/>
  <c r="AX254" i="23"/>
  <c r="AW254" i="23"/>
  <c r="AG253" i="23"/>
  <c r="AF253" i="23"/>
  <c r="AB253" i="23"/>
  <c r="Y253" i="23"/>
  <c r="AE253" i="23" s="1"/>
  <c r="W253" i="23"/>
  <c r="U253" i="23"/>
  <c r="R253" i="23"/>
  <c r="L253" i="23"/>
  <c r="K253" i="23"/>
  <c r="AX252" i="23"/>
  <c r="AW252" i="23"/>
  <c r="AG251" i="23"/>
  <c r="AF251" i="23"/>
  <c r="AB251" i="23"/>
  <c r="W251" i="23"/>
  <c r="U251" i="23"/>
  <c r="R251" i="23"/>
  <c r="L251" i="23"/>
  <c r="K251" i="23"/>
  <c r="AY250" i="23"/>
  <c r="AX250" i="23"/>
  <c r="AW250" i="23"/>
  <c r="AV250" i="23"/>
  <c r="AG249" i="23"/>
  <c r="AF249" i="23"/>
  <c r="AB249" i="23"/>
  <c r="W249" i="23"/>
  <c r="U249" i="23"/>
  <c r="R249" i="23"/>
  <c r="L249" i="23"/>
  <c r="K249" i="23"/>
  <c r="AY248" i="23"/>
  <c r="AX248" i="23"/>
  <c r="AW248" i="23"/>
  <c r="AV248" i="23"/>
  <c r="Y249" i="23" s="1"/>
  <c r="AE249" i="23" s="1"/>
  <c r="AG247" i="23"/>
  <c r="AF247" i="23"/>
  <c r="AB247" i="23"/>
  <c r="W247" i="23"/>
  <c r="U247" i="23"/>
  <c r="R247" i="23"/>
  <c r="L247" i="23"/>
  <c r="K247" i="23"/>
  <c r="AY246" i="23"/>
  <c r="AX246" i="23"/>
  <c r="AW246" i="23"/>
  <c r="AV246" i="23"/>
  <c r="AG245" i="23"/>
  <c r="AF245" i="23"/>
  <c r="AB245" i="23"/>
  <c r="W245" i="23"/>
  <c r="U245" i="23"/>
  <c r="R245" i="23"/>
  <c r="L245" i="23"/>
  <c r="K245" i="23"/>
  <c r="AY244" i="23"/>
  <c r="AX244" i="23"/>
  <c r="AW244" i="23"/>
  <c r="AV244" i="23"/>
  <c r="AG243" i="23"/>
  <c r="AF243" i="23"/>
  <c r="AB243" i="23"/>
  <c r="W243" i="23"/>
  <c r="U243" i="23"/>
  <c r="R243" i="23"/>
  <c r="L243" i="23"/>
  <c r="K243" i="23"/>
  <c r="AX242" i="23"/>
  <c r="AW242" i="23"/>
  <c r="AV242" i="23"/>
  <c r="AG241" i="23"/>
  <c r="AF241" i="23"/>
  <c r="AB241" i="23"/>
  <c r="W241" i="23"/>
  <c r="U241" i="23"/>
  <c r="R241" i="23"/>
  <c r="L241" i="23"/>
  <c r="K241" i="23"/>
  <c r="AX240" i="23"/>
  <c r="AW240" i="23"/>
  <c r="AV240" i="23"/>
  <c r="AG239" i="23"/>
  <c r="AF239" i="23"/>
  <c r="AB239" i="23"/>
  <c r="W239" i="23"/>
  <c r="U239" i="23"/>
  <c r="R239" i="23"/>
  <c r="L239" i="23"/>
  <c r="K239" i="23"/>
  <c r="AX238" i="23"/>
  <c r="AW238" i="23"/>
  <c r="AV238" i="23"/>
  <c r="AG237" i="23"/>
  <c r="AF237" i="23"/>
  <c r="AB237" i="23"/>
  <c r="W237" i="23"/>
  <c r="U237" i="23"/>
  <c r="R237" i="23"/>
  <c r="L237" i="23"/>
  <c r="K237" i="23"/>
  <c r="AX236" i="23"/>
  <c r="AW236" i="23"/>
  <c r="AV236" i="23"/>
  <c r="AG235" i="23"/>
  <c r="AF235" i="23"/>
  <c r="AB235" i="23"/>
  <c r="W235" i="23"/>
  <c r="U235" i="23"/>
  <c r="R235" i="23"/>
  <c r="L235" i="23"/>
  <c r="K235" i="23"/>
  <c r="AX234" i="23"/>
  <c r="AW234" i="23"/>
  <c r="AV234" i="23"/>
  <c r="AG233" i="23"/>
  <c r="AF233" i="23"/>
  <c r="AB233" i="23"/>
  <c r="Y233" i="23"/>
  <c r="AE233" i="23" s="1"/>
  <c r="W233" i="23"/>
  <c r="U233" i="23"/>
  <c r="R233" i="23"/>
  <c r="L233" i="23"/>
  <c r="K233" i="23"/>
  <c r="AX232" i="23"/>
  <c r="AW232" i="23"/>
  <c r="AG231" i="23"/>
  <c r="AF231" i="23"/>
  <c r="AB231" i="23"/>
  <c r="Y231" i="23"/>
  <c r="AE231" i="23" s="1"/>
  <c r="W231" i="23"/>
  <c r="U231" i="23"/>
  <c r="R231" i="23"/>
  <c r="L231" i="23"/>
  <c r="K231" i="23"/>
  <c r="AX230" i="23"/>
  <c r="AW230" i="23"/>
  <c r="AG229" i="23"/>
  <c r="AF229" i="23"/>
  <c r="AB229" i="23"/>
  <c r="Y229" i="23"/>
  <c r="AE229" i="23" s="1"/>
  <c r="W229" i="23"/>
  <c r="U229" i="23"/>
  <c r="R229" i="23"/>
  <c r="L229" i="23"/>
  <c r="K229" i="23"/>
  <c r="AX228" i="23"/>
  <c r="AW228" i="23"/>
  <c r="AG227" i="23"/>
  <c r="AF227" i="23"/>
  <c r="AB227" i="23"/>
  <c r="Y227" i="23"/>
  <c r="AE227" i="23" s="1"/>
  <c r="W227" i="23"/>
  <c r="U227" i="23"/>
  <c r="R227" i="23"/>
  <c r="L227" i="23"/>
  <c r="K227" i="23"/>
  <c r="AX226" i="23"/>
  <c r="AW226" i="23"/>
  <c r="AG221" i="23"/>
  <c r="AF221" i="23"/>
  <c r="AB221" i="23"/>
  <c r="Y221" i="23"/>
  <c r="AE221" i="23" s="1"/>
  <c r="W221" i="23"/>
  <c r="U221" i="23"/>
  <c r="R221" i="23"/>
  <c r="L221" i="23"/>
  <c r="K221" i="23"/>
  <c r="AX220" i="23"/>
  <c r="AW220" i="23"/>
  <c r="AG219" i="23"/>
  <c r="AF219" i="23"/>
  <c r="AB219" i="23"/>
  <c r="Y219" i="23"/>
  <c r="AE219" i="23" s="1"/>
  <c r="W219" i="23"/>
  <c r="U219" i="23"/>
  <c r="R219" i="23"/>
  <c r="L219" i="23"/>
  <c r="K219" i="23"/>
  <c r="AX218" i="23"/>
  <c r="AW218" i="23"/>
  <c r="AG217" i="23"/>
  <c r="AF217" i="23"/>
  <c r="AB217" i="23"/>
  <c r="Y217" i="23"/>
  <c r="AE217" i="23" s="1"/>
  <c r="W217" i="23"/>
  <c r="U217" i="23"/>
  <c r="R217" i="23"/>
  <c r="L217" i="23"/>
  <c r="K217" i="23"/>
  <c r="AX216" i="23"/>
  <c r="AW216" i="23"/>
  <c r="AG215" i="23"/>
  <c r="AF215" i="23"/>
  <c r="AB215" i="23"/>
  <c r="Y215" i="23"/>
  <c r="AE215" i="23" s="1"/>
  <c r="W215" i="23"/>
  <c r="U215" i="23"/>
  <c r="R215" i="23"/>
  <c r="L215" i="23"/>
  <c r="K215" i="23"/>
  <c r="AX214" i="23"/>
  <c r="AW214" i="23"/>
  <c r="AG211" i="23"/>
  <c r="AF211" i="23"/>
  <c r="AB211" i="23"/>
  <c r="W211" i="23"/>
  <c r="U211" i="23"/>
  <c r="R211" i="23"/>
  <c r="L211" i="23"/>
  <c r="K211" i="23"/>
  <c r="AX210" i="23"/>
  <c r="AW210" i="23"/>
  <c r="AV210" i="23"/>
  <c r="AG209" i="23"/>
  <c r="AF209" i="23"/>
  <c r="AB209" i="23"/>
  <c r="W209" i="23"/>
  <c r="U209" i="23"/>
  <c r="R209" i="23"/>
  <c r="L209" i="23"/>
  <c r="K209" i="23"/>
  <c r="AX208" i="23"/>
  <c r="AW208" i="23"/>
  <c r="AV208" i="23"/>
  <c r="AG207" i="23"/>
  <c r="AF207" i="23"/>
  <c r="AB207" i="23"/>
  <c r="W207" i="23"/>
  <c r="U207" i="23"/>
  <c r="R207" i="23"/>
  <c r="L207" i="23"/>
  <c r="K207" i="23"/>
  <c r="AX206" i="23"/>
  <c r="AW206" i="23"/>
  <c r="AV206" i="23"/>
  <c r="AG205" i="23"/>
  <c r="AF205" i="23"/>
  <c r="AB205" i="23"/>
  <c r="W205" i="23"/>
  <c r="U205" i="23"/>
  <c r="R205" i="23"/>
  <c r="L205" i="23"/>
  <c r="K205" i="23"/>
  <c r="AX204" i="23"/>
  <c r="AW204" i="23"/>
  <c r="AV204" i="23"/>
  <c r="AG203" i="23"/>
  <c r="AF203" i="23"/>
  <c r="AB203" i="23"/>
  <c r="W203" i="23"/>
  <c r="U203" i="23"/>
  <c r="R203" i="23"/>
  <c r="L203" i="23"/>
  <c r="K203" i="23"/>
  <c r="AZ202" i="23"/>
  <c r="AY202" i="23"/>
  <c r="AX202" i="23"/>
  <c r="AW202" i="23"/>
  <c r="AV202" i="23"/>
  <c r="AG201" i="23"/>
  <c r="AF201" i="23"/>
  <c r="AB201" i="23"/>
  <c r="W201" i="23"/>
  <c r="U201" i="23"/>
  <c r="R201" i="23"/>
  <c r="L201" i="23"/>
  <c r="K201" i="23"/>
  <c r="AZ200" i="23"/>
  <c r="AY200" i="23"/>
  <c r="AX200" i="23"/>
  <c r="AW200" i="23"/>
  <c r="AV200" i="23"/>
  <c r="AG199" i="23"/>
  <c r="AF199" i="23"/>
  <c r="AB199" i="23"/>
  <c r="W199" i="23"/>
  <c r="U199" i="23"/>
  <c r="R199" i="23"/>
  <c r="L199" i="23"/>
  <c r="K199" i="23"/>
  <c r="AZ198" i="23"/>
  <c r="AY198" i="23"/>
  <c r="AX198" i="23"/>
  <c r="AW198" i="23"/>
  <c r="AV198" i="23"/>
  <c r="AG197" i="23"/>
  <c r="AF197" i="23"/>
  <c r="AB197" i="23"/>
  <c r="W197" i="23"/>
  <c r="U197" i="23"/>
  <c r="R197" i="23"/>
  <c r="L197" i="23"/>
  <c r="K197" i="23"/>
  <c r="BB196" i="23"/>
  <c r="BA196" i="23"/>
  <c r="AZ196" i="23"/>
  <c r="AY196" i="23"/>
  <c r="AX196" i="23"/>
  <c r="AW196" i="23"/>
  <c r="AV196" i="23"/>
  <c r="Y197" i="23" s="1"/>
  <c r="AE197" i="23" s="1"/>
  <c r="AG195" i="23"/>
  <c r="AF195" i="23"/>
  <c r="AB195" i="23"/>
  <c r="W195" i="23"/>
  <c r="U195" i="23"/>
  <c r="R195" i="23"/>
  <c r="L195" i="23"/>
  <c r="K195" i="23"/>
  <c r="AZ194" i="23"/>
  <c r="AY194" i="23"/>
  <c r="AX194" i="23"/>
  <c r="AW194" i="23"/>
  <c r="AV194" i="23"/>
  <c r="AG193" i="23"/>
  <c r="AF193" i="23"/>
  <c r="AB193" i="23"/>
  <c r="W193" i="23"/>
  <c r="U193" i="23"/>
  <c r="R193" i="23"/>
  <c r="L193" i="23"/>
  <c r="K193" i="23"/>
  <c r="AZ192" i="23"/>
  <c r="AY192" i="23"/>
  <c r="AX192" i="23"/>
  <c r="AW192" i="23"/>
  <c r="AV192" i="23"/>
  <c r="AG191" i="23"/>
  <c r="AF191" i="23"/>
  <c r="AB191" i="23"/>
  <c r="W191" i="23"/>
  <c r="U191" i="23"/>
  <c r="R191" i="23"/>
  <c r="L191" i="23"/>
  <c r="K191" i="23"/>
  <c r="AZ190" i="23"/>
  <c r="AY190" i="23"/>
  <c r="AX190" i="23"/>
  <c r="AW190" i="23"/>
  <c r="AV190" i="23"/>
  <c r="Y191" i="23" s="1"/>
  <c r="AE191" i="23" s="1"/>
  <c r="AG189" i="23"/>
  <c r="AF189" i="23"/>
  <c r="AB189" i="23"/>
  <c r="W189" i="23"/>
  <c r="U189" i="23"/>
  <c r="R189" i="23"/>
  <c r="L189" i="23"/>
  <c r="K189" i="23"/>
  <c r="BB188" i="23"/>
  <c r="BA188" i="23"/>
  <c r="AZ188" i="23"/>
  <c r="AY188" i="23"/>
  <c r="AX188" i="23"/>
  <c r="AW188" i="23"/>
  <c r="AV188" i="23"/>
  <c r="AG187" i="23"/>
  <c r="AF187" i="23"/>
  <c r="AB187" i="23"/>
  <c r="W187" i="23"/>
  <c r="U187" i="23"/>
  <c r="R187" i="23"/>
  <c r="L187" i="23"/>
  <c r="K187" i="23"/>
  <c r="AZ186" i="23"/>
  <c r="AY186" i="23"/>
  <c r="AX186" i="23"/>
  <c r="AW186" i="23"/>
  <c r="AV186" i="23"/>
  <c r="AG183" i="23"/>
  <c r="AF183" i="23"/>
  <c r="AB183" i="23"/>
  <c r="Y183" i="23"/>
  <c r="AE183" i="23" s="1"/>
  <c r="W183" i="23"/>
  <c r="U183" i="23"/>
  <c r="R183" i="23"/>
  <c r="L183" i="23"/>
  <c r="K183" i="23"/>
  <c r="AX182" i="23"/>
  <c r="AW182" i="23"/>
  <c r="AG181" i="23"/>
  <c r="AF181" i="23"/>
  <c r="AB181" i="23"/>
  <c r="Y181" i="23"/>
  <c r="AE181" i="23" s="1"/>
  <c r="W181" i="23"/>
  <c r="U181" i="23"/>
  <c r="R181" i="23"/>
  <c r="L181" i="23"/>
  <c r="K181" i="23"/>
  <c r="AX180" i="23"/>
  <c r="AW180" i="23"/>
  <c r="AG179" i="23"/>
  <c r="AF179" i="23"/>
  <c r="AB179" i="23"/>
  <c r="Y179" i="23"/>
  <c r="AE179" i="23" s="1"/>
  <c r="W179" i="23"/>
  <c r="U179" i="23"/>
  <c r="R179" i="23"/>
  <c r="L179" i="23"/>
  <c r="K179" i="23"/>
  <c r="AX178" i="23"/>
  <c r="AW178" i="23"/>
  <c r="AG177" i="23"/>
  <c r="AF177" i="23"/>
  <c r="AB177" i="23"/>
  <c r="Y177" i="23"/>
  <c r="AE177" i="23" s="1"/>
  <c r="W177" i="23"/>
  <c r="U177" i="23"/>
  <c r="R177" i="23"/>
  <c r="L177" i="23"/>
  <c r="K177" i="23"/>
  <c r="AX176" i="23"/>
  <c r="AW176" i="23"/>
  <c r="AG175" i="23"/>
  <c r="AF175" i="23"/>
  <c r="AB175" i="23"/>
  <c r="Y175" i="23"/>
  <c r="AE175" i="23" s="1"/>
  <c r="W175" i="23"/>
  <c r="U175" i="23"/>
  <c r="R175" i="23"/>
  <c r="L175" i="23"/>
  <c r="K175" i="23"/>
  <c r="BB174" i="23"/>
  <c r="BA174" i="23"/>
  <c r="AZ174" i="23"/>
  <c r="AY174" i="23"/>
  <c r="AX174" i="23"/>
  <c r="AW174" i="23"/>
  <c r="AG173" i="23"/>
  <c r="AF173" i="23"/>
  <c r="AB173" i="23"/>
  <c r="Y173" i="23"/>
  <c r="AE173" i="23" s="1"/>
  <c r="W173" i="23"/>
  <c r="U173" i="23"/>
  <c r="R173" i="23"/>
  <c r="L173" i="23"/>
  <c r="K173" i="23"/>
  <c r="BB172" i="23"/>
  <c r="BA172" i="23"/>
  <c r="AZ172" i="23"/>
  <c r="AY172" i="23"/>
  <c r="AX172" i="23"/>
  <c r="AW172" i="23"/>
  <c r="AG171" i="23"/>
  <c r="AF171" i="23"/>
  <c r="AB171" i="23"/>
  <c r="Y171" i="23"/>
  <c r="AE171" i="23" s="1"/>
  <c r="W171" i="23"/>
  <c r="U171" i="23"/>
  <c r="R171" i="23"/>
  <c r="L171" i="23"/>
  <c r="K171" i="23"/>
  <c r="BB170" i="23"/>
  <c r="BA170" i="23"/>
  <c r="AZ170" i="23"/>
  <c r="AY170" i="23"/>
  <c r="AX170" i="23"/>
  <c r="AW170" i="23"/>
  <c r="AG167" i="23"/>
  <c r="AF167" i="23"/>
  <c r="AB167" i="23"/>
  <c r="W167" i="23"/>
  <c r="U167" i="23"/>
  <c r="R167" i="23"/>
  <c r="L167" i="23"/>
  <c r="K167" i="23"/>
  <c r="AX166" i="23"/>
  <c r="AW166" i="23"/>
  <c r="AV166" i="23"/>
  <c r="AG165" i="23"/>
  <c r="AF165" i="23"/>
  <c r="AB165" i="23"/>
  <c r="W165" i="23"/>
  <c r="U165" i="23"/>
  <c r="R165" i="23"/>
  <c r="L165" i="23"/>
  <c r="K165" i="23"/>
  <c r="AZ164" i="23"/>
  <c r="AY164" i="23"/>
  <c r="AX164" i="23"/>
  <c r="AW164" i="23"/>
  <c r="AV164" i="23"/>
  <c r="AG163" i="23"/>
  <c r="AF163" i="23"/>
  <c r="AB163" i="23"/>
  <c r="W163" i="23"/>
  <c r="U163" i="23"/>
  <c r="R163" i="23"/>
  <c r="L163" i="23"/>
  <c r="K163" i="23"/>
  <c r="AY162" i="23"/>
  <c r="AX162" i="23"/>
  <c r="AW162" i="23"/>
  <c r="AV162" i="23"/>
  <c r="Y163" i="23" s="1"/>
  <c r="AE163" i="23" s="1"/>
  <c r="AG161" i="23"/>
  <c r="AF161" i="23"/>
  <c r="AB161" i="23"/>
  <c r="W161" i="23"/>
  <c r="U161" i="23"/>
  <c r="R161" i="23"/>
  <c r="L161" i="23"/>
  <c r="K161" i="23"/>
  <c r="AY160" i="23"/>
  <c r="AX160" i="23"/>
  <c r="AW160" i="23"/>
  <c r="AV160" i="23"/>
  <c r="AT159" i="23"/>
  <c r="AS159" i="23"/>
  <c r="AR159" i="23"/>
  <c r="AQ159" i="23"/>
  <c r="AP159" i="23"/>
  <c r="AO159" i="23"/>
  <c r="AN159" i="23"/>
  <c r="AM159" i="23"/>
  <c r="D159" i="24" s="1"/>
  <c r="AL159" i="23"/>
  <c r="AK159" i="23"/>
  <c r="AJ159" i="23"/>
  <c r="AI159" i="23"/>
  <c r="AG159" i="23"/>
  <c r="AF159" i="23"/>
  <c r="AC159" i="23"/>
  <c r="AD159" i="23" s="1"/>
  <c r="AB159" i="23"/>
  <c r="Y159" i="23"/>
  <c r="AE159" i="23" s="1"/>
  <c r="W159" i="23"/>
  <c r="U159" i="23"/>
  <c r="R159" i="23"/>
  <c r="L159" i="23"/>
  <c r="K159" i="23"/>
  <c r="AT157" i="23"/>
  <c r="AS157" i="23"/>
  <c r="AR157" i="23"/>
  <c r="AQ157" i="23"/>
  <c r="AP157" i="23"/>
  <c r="AO157" i="23"/>
  <c r="AN157" i="23"/>
  <c r="AM157" i="23"/>
  <c r="D157" i="24" s="1"/>
  <c r="AL157" i="23"/>
  <c r="AK157" i="23"/>
  <c r="AJ157" i="23"/>
  <c r="AI157" i="23"/>
  <c r="AG157" i="23"/>
  <c r="AF157" i="23"/>
  <c r="AC157" i="23"/>
  <c r="AD157" i="23" s="1"/>
  <c r="AB157" i="23"/>
  <c r="Y157" i="23"/>
  <c r="AE157" i="23" s="1"/>
  <c r="W157" i="23"/>
  <c r="U157" i="23"/>
  <c r="R157" i="23"/>
  <c r="L157" i="23"/>
  <c r="K157" i="23"/>
  <c r="AG155" i="23"/>
  <c r="AF155" i="23"/>
  <c r="AB155" i="23"/>
  <c r="Y155" i="23"/>
  <c r="AE155" i="23" s="1"/>
  <c r="W155" i="23"/>
  <c r="U155" i="23"/>
  <c r="R155" i="23"/>
  <c r="L155" i="23"/>
  <c r="K155" i="23"/>
  <c r="AZ154" i="23"/>
  <c r="AY154" i="23"/>
  <c r="AX154" i="23"/>
  <c r="AW154" i="23"/>
  <c r="AG153" i="23"/>
  <c r="AF153" i="23"/>
  <c r="AB153" i="23"/>
  <c r="Y153" i="23"/>
  <c r="AE153" i="23" s="1"/>
  <c r="W153" i="23"/>
  <c r="U153" i="23"/>
  <c r="R153" i="23"/>
  <c r="L153" i="23"/>
  <c r="K153" i="23"/>
  <c r="AX152" i="23"/>
  <c r="AW152" i="23"/>
  <c r="AG151" i="23"/>
  <c r="AF151" i="23"/>
  <c r="AB151" i="23"/>
  <c r="Y151" i="23"/>
  <c r="AE151" i="23" s="1"/>
  <c r="W151" i="23"/>
  <c r="U151" i="23"/>
  <c r="R151" i="23"/>
  <c r="L151" i="23"/>
  <c r="K151" i="23"/>
  <c r="AX150" i="23"/>
  <c r="AW150" i="23"/>
  <c r="AG149" i="23"/>
  <c r="AF149" i="23"/>
  <c r="AA149" i="23"/>
  <c r="W149" i="23"/>
  <c r="U149" i="23"/>
  <c r="R149" i="23"/>
  <c r="L149" i="23"/>
  <c r="K149" i="23"/>
  <c r="AX148" i="23"/>
  <c r="AW148" i="23"/>
  <c r="AV148" i="23"/>
  <c r="AG147" i="23"/>
  <c r="AF147" i="23"/>
  <c r="AA147" i="23"/>
  <c r="W147" i="23"/>
  <c r="U147" i="23"/>
  <c r="R147" i="23"/>
  <c r="L147" i="23"/>
  <c r="K147" i="23"/>
  <c r="AX146" i="23"/>
  <c r="AW146" i="23"/>
  <c r="AV146" i="23"/>
  <c r="AG145" i="23"/>
  <c r="AF145" i="23"/>
  <c r="AB145" i="23"/>
  <c r="Y145" i="23"/>
  <c r="AE145" i="23" s="1"/>
  <c r="W145" i="23"/>
  <c r="U145" i="23"/>
  <c r="R145" i="23"/>
  <c r="L145" i="23"/>
  <c r="K145" i="23"/>
  <c r="BA144" i="23"/>
  <c r="AZ144" i="23"/>
  <c r="AY144" i="23"/>
  <c r="AX144" i="23"/>
  <c r="AW144" i="23"/>
  <c r="AG143" i="23"/>
  <c r="AF143" i="23"/>
  <c r="AB143" i="23"/>
  <c r="Y143" i="23"/>
  <c r="AE143" i="23" s="1"/>
  <c r="W143" i="23"/>
  <c r="U143" i="23"/>
  <c r="R143" i="23"/>
  <c r="L143" i="23"/>
  <c r="K143" i="23"/>
  <c r="BA142" i="23"/>
  <c r="AZ142" i="23"/>
  <c r="AY142" i="23"/>
  <c r="AX142" i="23"/>
  <c r="AW142" i="23"/>
  <c r="AG141" i="23"/>
  <c r="AF141" i="23"/>
  <c r="AB141" i="23"/>
  <c r="W141" i="23"/>
  <c r="U141" i="23"/>
  <c r="R141" i="23"/>
  <c r="L141" i="23"/>
  <c r="K141" i="23"/>
  <c r="AX140" i="23"/>
  <c r="AW140" i="23"/>
  <c r="AV140" i="23"/>
  <c r="AG139" i="23"/>
  <c r="AF139" i="23"/>
  <c r="AB139" i="23"/>
  <c r="W139" i="23"/>
  <c r="U139" i="23"/>
  <c r="R139" i="23"/>
  <c r="L139" i="23"/>
  <c r="K139" i="23"/>
  <c r="AX138" i="23"/>
  <c r="AW138" i="23"/>
  <c r="AV138" i="23"/>
  <c r="AG137" i="23"/>
  <c r="AF137" i="23"/>
  <c r="AB137" i="23"/>
  <c r="W137" i="23"/>
  <c r="U137" i="23"/>
  <c r="R137" i="23"/>
  <c r="L137" i="23"/>
  <c r="K137" i="23"/>
  <c r="AX136" i="23"/>
  <c r="AW136" i="23"/>
  <c r="AV136" i="23"/>
  <c r="AG135" i="23"/>
  <c r="AF135" i="23"/>
  <c r="AB135" i="23"/>
  <c r="W135" i="23"/>
  <c r="U135" i="23"/>
  <c r="R135" i="23"/>
  <c r="L135" i="23"/>
  <c r="K135" i="23"/>
  <c r="AX134" i="23"/>
  <c r="AW134" i="23"/>
  <c r="AV134" i="23"/>
  <c r="AG133" i="23"/>
  <c r="AF133" i="23"/>
  <c r="AB133" i="23"/>
  <c r="W133" i="23"/>
  <c r="U133" i="23"/>
  <c r="R133" i="23"/>
  <c r="L133" i="23"/>
  <c r="K133" i="23"/>
  <c r="AX132" i="23"/>
  <c r="AW132" i="23"/>
  <c r="AV132" i="23"/>
  <c r="AG131" i="23"/>
  <c r="AF131" i="23"/>
  <c r="AB131" i="23"/>
  <c r="W131" i="23"/>
  <c r="U131" i="23"/>
  <c r="R131" i="23"/>
  <c r="L131" i="23"/>
  <c r="K131" i="23"/>
  <c r="AX130" i="23"/>
  <c r="AW130" i="23"/>
  <c r="AV130" i="23"/>
  <c r="AG129" i="23"/>
  <c r="AF129" i="23"/>
  <c r="AB129" i="23"/>
  <c r="W129" i="23"/>
  <c r="U129" i="23"/>
  <c r="R129" i="23"/>
  <c r="L129" i="23"/>
  <c r="K129" i="23"/>
  <c r="AX128" i="23"/>
  <c r="AW128" i="23"/>
  <c r="AV128" i="23"/>
  <c r="AT123" i="23"/>
  <c r="AS123" i="23"/>
  <c r="AR123" i="23"/>
  <c r="AQ123" i="23"/>
  <c r="AP123" i="23"/>
  <c r="AO123" i="23"/>
  <c r="AN123" i="23"/>
  <c r="AM123" i="23"/>
  <c r="D123" i="24" s="1"/>
  <c r="AL123" i="23"/>
  <c r="AK123" i="23"/>
  <c r="AJ123" i="23"/>
  <c r="AI123" i="23"/>
  <c r="AG123" i="23"/>
  <c r="AF123" i="23"/>
  <c r="AC123" i="23"/>
  <c r="AD123" i="23" s="1"/>
  <c r="AA123" i="23"/>
  <c r="Y123" i="23"/>
  <c r="W123" i="23"/>
  <c r="U123" i="23"/>
  <c r="R123" i="23"/>
  <c r="K123" i="23"/>
  <c r="AT121" i="23"/>
  <c r="AS121" i="23"/>
  <c r="AR121" i="23"/>
  <c r="AQ121" i="23"/>
  <c r="AP121" i="23"/>
  <c r="AO121" i="23"/>
  <c r="AN121" i="23"/>
  <c r="AM121" i="23"/>
  <c r="D121" i="24" s="1"/>
  <c r="AL121" i="23"/>
  <c r="AK121" i="23"/>
  <c r="AJ121" i="23"/>
  <c r="AI121" i="23"/>
  <c r="AG121" i="23"/>
  <c r="AF121" i="23"/>
  <c r="AC121" i="23"/>
  <c r="AD121" i="23" s="1"/>
  <c r="AA121" i="23"/>
  <c r="Y121" i="23"/>
  <c r="W121" i="23"/>
  <c r="U121" i="23"/>
  <c r="R121" i="23"/>
  <c r="K121" i="23"/>
  <c r="AT119" i="23"/>
  <c r="AS119" i="23"/>
  <c r="AR119" i="23"/>
  <c r="AQ119" i="23"/>
  <c r="AP119" i="23"/>
  <c r="AO119" i="23"/>
  <c r="AN119" i="23"/>
  <c r="AM119" i="23"/>
  <c r="D119" i="24" s="1"/>
  <c r="AL119" i="23"/>
  <c r="AK119" i="23"/>
  <c r="AJ119" i="23"/>
  <c r="AI119" i="23"/>
  <c r="AG119" i="23"/>
  <c r="AF119" i="23"/>
  <c r="AC119" i="23"/>
  <c r="AD119" i="23" s="1"/>
  <c r="AA119" i="23"/>
  <c r="Y119" i="23"/>
  <c r="W119" i="23"/>
  <c r="U119" i="23"/>
  <c r="R119" i="23"/>
  <c r="K119" i="23"/>
  <c r="AT113" i="23"/>
  <c r="AS113" i="23"/>
  <c r="AR113" i="23"/>
  <c r="AQ113" i="23"/>
  <c r="AP113" i="23"/>
  <c r="AO113" i="23"/>
  <c r="AN113" i="23"/>
  <c r="AM113" i="23"/>
  <c r="D113" i="24" s="1"/>
  <c r="AL113" i="23"/>
  <c r="AK113" i="23"/>
  <c r="AJ113" i="23"/>
  <c r="AI113" i="23"/>
  <c r="AG113" i="23"/>
  <c r="AF113" i="23"/>
  <c r="AC113" i="23"/>
  <c r="AD113" i="23" s="1"/>
  <c r="AB113" i="23"/>
  <c r="Y113" i="23"/>
  <c r="AE113" i="23" s="1"/>
  <c r="W113" i="23"/>
  <c r="U113" i="23"/>
  <c r="R113" i="23"/>
  <c r="L113" i="23"/>
  <c r="K113" i="23"/>
  <c r="AT111" i="23"/>
  <c r="AS111" i="23"/>
  <c r="AR111" i="23"/>
  <c r="AQ111" i="23"/>
  <c r="AP111" i="23"/>
  <c r="AO111" i="23"/>
  <c r="AN111" i="23"/>
  <c r="AM111" i="23"/>
  <c r="D111" i="24" s="1"/>
  <c r="AL111" i="23"/>
  <c r="AK111" i="23"/>
  <c r="AJ111" i="23"/>
  <c r="AI111" i="23"/>
  <c r="AG111" i="23"/>
  <c r="AF111" i="23"/>
  <c r="AC111" i="23"/>
  <c r="AD111" i="23" s="1"/>
  <c r="AB111" i="23"/>
  <c r="Y111" i="23"/>
  <c r="AE111" i="23" s="1"/>
  <c r="W111" i="23"/>
  <c r="U111" i="23"/>
  <c r="R111" i="23"/>
  <c r="L111" i="23"/>
  <c r="K111" i="23"/>
  <c r="AT109" i="23"/>
  <c r="AS109" i="23"/>
  <c r="AR109" i="23"/>
  <c r="AQ109" i="23"/>
  <c r="AP109" i="23"/>
  <c r="AO109" i="23"/>
  <c r="AN109" i="23"/>
  <c r="AM109" i="23"/>
  <c r="D109" i="24" s="1"/>
  <c r="AL109" i="23"/>
  <c r="AK109" i="23"/>
  <c r="AJ109" i="23"/>
  <c r="AI109" i="23"/>
  <c r="AG109" i="23"/>
  <c r="AF109" i="23"/>
  <c r="AC109" i="23"/>
  <c r="AD109" i="23" s="1"/>
  <c r="AB109" i="23"/>
  <c r="Y109" i="23"/>
  <c r="AE109" i="23" s="1"/>
  <c r="W109" i="23"/>
  <c r="U109" i="23"/>
  <c r="R109" i="23"/>
  <c r="L109" i="23"/>
  <c r="K109" i="23"/>
  <c r="AT107" i="23"/>
  <c r="AS107" i="23"/>
  <c r="AR107" i="23"/>
  <c r="AQ107" i="23"/>
  <c r="AP107" i="23"/>
  <c r="AO107" i="23"/>
  <c r="AN107" i="23"/>
  <c r="AM107" i="23"/>
  <c r="D107" i="24" s="1"/>
  <c r="AL107" i="23"/>
  <c r="AK107" i="23"/>
  <c r="AJ107" i="23"/>
  <c r="AI107" i="23"/>
  <c r="AG107" i="23"/>
  <c r="AF107" i="23"/>
  <c r="AC107" i="23"/>
  <c r="AD107" i="23" s="1"/>
  <c r="AB107" i="23"/>
  <c r="Y107" i="23"/>
  <c r="AE107" i="23" s="1"/>
  <c r="W107" i="23"/>
  <c r="U107" i="23"/>
  <c r="R107" i="23"/>
  <c r="L107" i="23"/>
  <c r="K107" i="23"/>
  <c r="AT105" i="23"/>
  <c r="AS105" i="23"/>
  <c r="AR105" i="23"/>
  <c r="AQ105" i="23"/>
  <c r="AP105" i="23"/>
  <c r="AO105" i="23"/>
  <c r="AN105" i="23"/>
  <c r="AM105" i="23"/>
  <c r="D105" i="24" s="1"/>
  <c r="AL105" i="23"/>
  <c r="AK105" i="23"/>
  <c r="AJ105" i="23"/>
  <c r="AI105" i="23"/>
  <c r="AG105" i="23"/>
  <c r="AF105" i="23"/>
  <c r="AC105" i="23"/>
  <c r="AD105" i="23" s="1"/>
  <c r="AB105" i="23"/>
  <c r="Y105" i="23"/>
  <c r="AE105" i="23" s="1"/>
  <c r="W105" i="23"/>
  <c r="U105" i="23"/>
  <c r="R105" i="23"/>
  <c r="L105" i="23"/>
  <c r="K105" i="23"/>
  <c r="AT103" i="23"/>
  <c r="AS103" i="23"/>
  <c r="AR103" i="23"/>
  <c r="AQ103" i="23"/>
  <c r="AP103" i="23"/>
  <c r="AO103" i="23"/>
  <c r="AN103" i="23"/>
  <c r="AM103" i="23"/>
  <c r="D103" i="24" s="1"/>
  <c r="AL103" i="23"/>
  <c r="AK103" i="23"/>
  <c r="AJ103" i="23"/>
  <c r="AI103" i="23"/>
  <c r="AG103" i="23"/>
  <c r="AF103" i="23"/>
  <c r="AC103" i="23"/>
  <c r="AD103" i="23" s="1"/>
  <c r="AB103" i="23"/>
  <c r="Y103" i="23"/>
  <c r="AE103" i="23" s="1"/>
  <c r="W103" i="23"/>
  <c r="U103" i="23"/>
  <c r="R103" i="23"/>
  <c r="L103" i="23"/>
  <c r="K103" i="23"/>
  <c r="AT101" i="23"/>
  <c r="AS101" i="23"/>
  <c r="AR101" i="23"/>
  <c r="AQ101" i="23"/>
  <c r="AP101" i="23"/>
  <c r="AO101" i="23"/>
  <c r="AN101" i="23"/>
  <c r="AM101" i="23"/>
  <c r="D101" i="24" s="1"/>
  <c r="AL101" i="23"/>
  <c r="AK101" i="23"/>
  <c r="AJ101" i="23"/>
  <c r="AI101" i="23"/>
  <c r="AG101" i="23"/>
  <c r="AF101" i="23"/>
  <c r="AC101" i="23"/>
  <c r="AD101" i="23" s="1"/>
  <c r="AB101" i="23"/>
  <c r="Y101" i="23"/>
  <c r="AE101" i="23" s="1"/>
  <c r="W101" i="23"/>
  <c r="U101" i="23"/>
  <c r="R101" i="23"/>
  <c r="L101" i="23"/>
  <c r="K101" i="23"/>
  <c r="AT99" i="23"/>
  <c r="AS99" i="23"/>
  <c r="AR99" i="23"/>
  <c r="AQ99" i="23"/>
  <c r="AP99" i="23"/>
  <c r="AO99" i="23"/>
  <c r="AN99" i="23"/>
  <c r="AM99" i="23"/>
  <c r="D99" i="24" s="1"/>
  <c r="AL99" i="23"/>
  <c r="AK99" i="23"/>
  <c r="AJ99" i="23"/>
  <c r="AI99" i="23"/>
  <c r="AG99" i="23"/>
  <c r="AF99" i="23"/>
  <c r="AC99" i="23"/>
  <c r="AD99" i="23" s="1"/>
  <c r="AB99" i="23"/>
  <c r="Y99" i="23"/>
  <c r="AE99" i="23" s="1"/>
  <c r="W99" i="23"/>
  <c r="U99" i="23"/>
  <c r="R99" i="23"/>
  <c r="L99" i="23"/>
  <c r="K99" i="23"/>
  <c r="AG97" i="23"/>
  <c r="AF97" i="23"/>
  <c r="AB97" i="23"/>
  <c r="W97" i="23"/>
  <c r="U97" i="23"/>
  <c r="R97" i="23"/>
  <c r="L97" i="23"/>
  <c r="K97" i="23"/>
  <c r="BA96" i="23"/>
  <c r="AZ96" i="23"/>
  <c r="AY96" i="23"/>
  <c r="AX96" i="23"/>
  <c r="AW96" i="23"/>
  <c r="AV96" i="23"/>
  <c r="Y97" i="23" s="1"/>
  <c r="AE97" i="23" s="1"/>
  <c r="AG95" i="23"/>
  <c r="AF95" i="23"/>
  <c r="AB95" i="23"/>
  <c r="Y95" i="23"/>
  <c r="AE95" i="23" s="1"/>
  <c r="W95" i="23"/>
  <c r="U95" i="23"/>
  <c r="R95" i="23"/>
  <c r="L95" i="23"/>
  <c r="K95" i="23"/>
  <c r="BB94" i="23"/>
  <c r="BA94" i="23"/>
  <c r="AZ94" i="23"/>
  <c r="AY94" i="23"/>
  <c r="AX94" i="23"/>
  <c r="AW94" i="23"/>
  <c r="AG93" i="23"/>
  <c r="AF93" i="23"/>
  <c r="AB93" i="23"/>
  <c r="Y93" i="23"/>
  <c r="AE93" i="23" s="1"/>
  <c r="W93" i="23"/>
  <c r="U93" i="23"/>
  <c r="R93" i="23"/>
  <c r="L93" i="23"/>
  <c r="K93" i="23"/>
  <c r="BB92" i="23"/>
  <c r="BA92" i="23"/>
  <c r="AZ92" i="23"/>
  <c r="AY92" i="23"/>
  <c r="AX92" i="23"/>
  <c r="AW92" i="23"/>
  <c r="AG91" i="23"/>
  <c r="AF91" i="23"/>
  <c r="AA91" i="23"/>
  <c r="W91" i="23"/>
  <c r="U91" i="23"/>
  <c r="R91" i="23"/>
  <c r="L91" i="23"/>
  <c r="K91" i="23"/>
  <c r="BE90" i="23"/>
  <c r="BD90" i="23"/>
  <c r="BC90" i="23"/>
  <c r="BB90" i="23"/>
  <c r="BA90" i="23"/>
  <c r="AZ90" i="23"/>
  <c r="AY90" i="23"/>
  <c r="AX90" i="23"/>
  <c r="AW90" i="23"/>
  <c r="AV90" i="23"/>
  <c r="AG65" i="23"/>
  <c r="AF65" i="23"/>
  <c r="AB65" i="23"/>
  <c r="Y65" i="23"/>
  <c r="AE65" i="23" s="1"/>
  <c r="W65" i="23"/>
  <c r="U65" i="23"/>
  <c r="R65" i="23"/>
  <c r="L65" i="23"/>
  <c r="K65" i="23"/>
  <c r="AX64" i="23"/>
  <c r="AW64" i="23"/>
  <c r="AG63" i="23"/>
  <c r="AF63" i="23"/>
  <c r="AB63" i="23"/>
  <c r="Y63" i="23"/>
  <c r="AE63" i="23" s="1"/>
  <c r="W63" i="23"/>
  <c r="U63" i="23"/>
  <c r="R63" i="23"/>
  <c r="L63" i="23"/>
  <c r="K63" i="23"/>
  <c r="AX62" i="23"/>
  <c r="AW62" i="23"/>
  <c r="AT61" i="23"/>
  <c r="AS61" i="23"/>
  <c r="AR61" i="23"/>
  <c r="AQ61" i="23"/>
  <c r="AP61" i="23"/>
  <c r="AO61" i="23"/>
  <c r="AN61" i="23"/>
  <c r="AM61" i="23"/>
  <c r="D61" i="24" s="1"/>
  <c r="AL61" i="23"/>
  <c r="AK61" i="23"/>
  <c r="AJ61" i="23"/>
  <c r="AI61" i="23"/>
  <c r="AG61" i="23"/>
  <c r="AF61" i="23"/>
  <c r="AC61" i="23"/>
  <c r="AD61" i="23" s="1"/>
  <c r="AB61" i="23"/>
  <c r="Y61" i="23"/>
  <c r="AE61" i="23" s="1"/>
  <c r="W61" i="23"/>
  <c r="U61" i="23"/>
  <c r="R61" i="23"/>
  <c r="L61" i="23"/>
  <c r="K61" i="23"/>
  <c r="AT59" i="23"/>
  <c r="AS59" i="23"/>
  <c r="AR59" i="23"/>
  <c r="AQ59" i="23"/>
  <c r="AP59" i="23"/>
  <c r="AO59" i="23"/>
  <c r="AN59" i="23"/>
  <c r="AM59" i="23"/>
  <c r="D59" i="24" s="1"/>
  <c r="AL59" i="23"/>
  <c r="AK59" i="23"/>
  <c r="AJ59" i="23"/>
  <c r="AI59" i="23"/>
  <c r="AG59" i="23"/>
  <c r="AF59" i="23"/>
  <c r="AC59" i="23"/>
  <c r="AD59" i="23" s="1"/>
  <c r="AB59" i="23"/>
  <c r="Y59" i="23"/>
  <c r="AE59" i="23" s="1"/>
  <c r="W59" i="23"/>
  <c r="U59" i="23"/>
  <c r="R59" i="23"/>
  <c r="L59" i="23"/>
  <c r="K59" i="23"/>
  <c r="AT57" i="23"/>
  <c r="AS57" i="23"/>
  <c r="AR57" i="23"/>
  <c r="AQ57" i="23"/>
  <c r="AP57" i="23"/>
  <c r="AO57" i="23"/>
  <c r="AN57" i="23"/>
  <c r="AM57" i="23"/>
  <c r="D57" i="24" s="1"/>
  <c r="AL57" i="23"/>
  <c r="AK57" i="23"/>
  <c r="AJ57" i="23"/>
  <c r="AI57" i="23"/>
  <c r="AG57" i="23"/>
  <c r="AF57" i="23"/>
  <c r="AC57" i="23"/>
  <c r="AD57" i="23" s="1"/>
  <c r="AB57" i="23"/>
  <c r="Y57" i="23"/>
  <c r="AE57" i="23" s="1"/>
  <c r="W57" i="23"/>
  <c r="U57" i="23"/>
  <c r="R57" i="23"/>
  <c r="L57" i="23"/>
  <c r="K57" i="23"/>
  <c r="AT55" i="23"/>
  <c r="AS55" i="23"/>
  <c r="AR55" i="23"/>
  <c r="AQ55" i="23"/>
  <c r="AP55" i="23"/>
  <c r="AO55" i="23"/>
  <c r="AN55" i="23"/>
  <c r="AM55" i="23"/>
  <c r="D55" i="24" s="1"/>
  <c r="AL55" i="23"/>
  <c r="AK55" i="23"/>
  <c r="AJ55" i="23"/>
  <c r="AI55" i="23"/>
  <c r="AG55" i="23"/>
  <c r="AF55" i="23"/>
  <c r="AC55" i="23"/>
  <c r="AD55" i="23" s="1"/>
  <c r="AB55" i="23"/>
  <c r="Y55" i="23"/>
  <c r="AE55" i="23" s="1"/>
  <c r="W55" i="23"/>
  <c r="U55" i="23"/>
  <c r="R55" i="23"/>
  <c r="L55" i="23"/>
  <c r="K55" i="23"/>
  <c r="AT53" i="23"/>
  <c r="AS53" i="23"/>
  <c r="AR53" i="23"/>
  <c r="AQ53" i="23"/>
  <c r="AP53" i="23"/>
  <c r="AO53" i="23"/>
  <c r="AN53" i="23"/>
  <c r="AM53" i="23"/>
  <c r="D53" i="24" s="1"/>
  <c r="AL53" i="23"/>
  <c r="AK53" i="23"/>
  <c r="AJ53" i="23"/>
  <c r="AI53" i="23"/>
  <c r="AG53" i="23"/>
  <c r="AF53" i="23"/>
  <c r="AC53" i="23"/>
  <c r="AD53" i="23" s="1"/>
  <c r="AB53" i="23"/>
  <c r="Y53" i="23"/>
  <c r="AE53" i="23" s="1"/>
  <c r="W53" i="23"/>
  <c r="U53" i="23"/>
  <c r="R53" i="23"/>
  <c r="L53" i="23"/>
  <c r="K53" i="23"/>
  <c r="AT51" i="23"/>
  <c r="AS51" i="23"/>
  <c r="AR51" i="23"/>
  <c r="AQ51" i="23"/>
  <c r="AP51" i="23"/>
  <c r="AO51" i="23"/>
  <c r="AN51" i="23"/>
  <c r="AM51" i="23"/>
  <c r="D51" i="24" s="1"/>
  <c r="AL51" i="23"/>
  <c r="AK51" i="23"/>
  <c r="AJ51" i="23"/>
  <c r="AI51" i="23"/>
  <c r="AG51" i="23"/>
  <c r="AF51" i="23"/>
  <c r="AC51" i="23"/>
  <c r="AD51" i="23" s="1"/>
  <c r="AB51" i="23"/>
  <c r="Y51" i="23"/>
  <c r="AE51" i="23" s="1"/>
  <c r="W51" i="23"/>
  <c r="U51" i="23"/>
  <c r="R51" i="23"/>
  <c r="L51" i="23"/>
  <c r="K51" i="23"/>
  <c r="AT49" i="23"/>
  <c r="AS49" i="23"/>
  <c r="AR49" i="23"/>
  <c r="AQ49" i="23"/>
  <c r="AP49" i="23"/>
  <c r="AO49" i="23"/>
  <c r="AN49" i="23"/>
  <c r="AM49" i="23"/>
  <c r="D49" i="24" s="1"/>
  <c r="AL49" i="23"/>
  <c r="AK49" i="23"/>
  <c r="AJ49" i="23"/>
  <c r="AI49" i="23"/>
  <c r="AG49" i="23"/>
  <c r="AF49" i="23"/>
  <c r="AC49" i="23"/>
  <c r="AD49" i="23" s="1"/>
  <c r="AB49" i="23"/>
  <c r="Y49" i="23"/>
  <c r="AE49" i="23" s="1"/>
  <c r="W49" i="23"/>
  <c r="U49" i="23"/>
  <c r="R49" i="23"/>
  <c r="L49" i="23"/>
  <c r="K49" i="23"/>
  <c r="AT47" i="23"/>
  <c r="AS47" i="23"/>
  <c r="AR47" i="23"/>
  <c r="AQ47" i="23"/>
  <c r="AP47" i="23"/>
  <c r="AO47" i="23"/>
  <c r="AN47" i="23"/>
  <c r="AM47" i="23"/>
  <c r="D47" i="24" s="1"/>
  <c r="AL47" i="23"/>
  <c r="AK47" i="23"/>
  <c r="AJ47" i="23"/>
  <c r="AI47" i="23"/>
  <c r="AG47" i="23"/>
  <c r="AF47" i="23"/>
  <c r="AC47" i="23"/>
  <c r="AD47" i="23" s="1"/>
  <c r="AB47" i="23"/>
  <c r="Y47" i="23"/>
  <c r="AE47" i="23" s="1"/>
  <c r="W47" i="23"/>
  <c r="U47" i="23"/>
  <c r="R47" i="23"/>
  <c r="L47" i="23"/>
  <c r="K47" i="23"/>
  <c r="AT45" i="23"/>
  <c r="AS45" i="23"/>
  <c r="AR45" i="23"/>
  <c r="AQ45" i="23"/>
  <c r="AP45" i="23"/>
  <c r="AO45" i="23"/>
  <c r="AN45" i="23"/>
  <c r="AM45" i="23"/>
  <c r="D45" i="24" s="1"/>
  <c r="AL45" i="23"/>
  <c r="AK45" i="23"/>
  <c r="AJ45" i="23"/>
  <c r="AI45" i="23"/>
  <c r="AG45" i="23"/>
  <c r="AF45" i="23"/>
  <c r="AC45" i="23"/>
  <c r="AD45" i="23" s="1"/>
  <c r="AB45" i="23"/>
  <c r="Y45" i="23"/>
  <c r="AE45" i="23" s="1"/>
  <c r="W45" i="23"/>
  <c r="U45" i="23"/>
  <c r="R45" i="23"/>
  <c r="L45" i="23"/>
  <c r="K45" i="23"/>
  <c r="AG43" i="23"/>
  <c r="AF43" i="23"/>
  <c r="AB43" i="23"/>
  <c r="Y43" i="23"/>
  <c r="AE43" i="23" s="1"/>
  <c r="W43" i="23"/>
  <c r="U43" i="23"/>
  <c r="R43" i="23"/>
  <c r="L43" i="23"/>
  <c r="K43" i="23"/>
  <c r="AX42" i="23"/>
  <c r="AW42" i="23"/>
  <c r="AG41" i="23"/>
  <c r="AF41" i="23"/>
  <c r="AB41" i="23"/>
  <c r="Y41" i="23"/>
  <c r="AE41" i="23" s="1"/>
  <c r="W41" i="23"/>
  <c r="U41" i="23"/>
  <c r="R41" i="23"/>
  <c r="L41" i="23"/>
  <c r="K41" i="23"/>
  <c r="AX40" i="23"/>
  <c r="AW40" i="23"/>
  <c r="AG39" i="23"/>
  <c r="AF39" i="23"/>
  <c r="AB39" i="23"/>
  <c r="Y39" i="23"/>
  <c r="AE39" i="23" s="1"/>
  <c r="W39" i="23"/>
  <c r="U39" i="23"/>
  <c r="R39" i="23"/>
  <c r="L39" i="23"/>
  <c r="K39" i="23"/>
  <c r="AX38" i="23"/>
  <c r="AW38" i="23"/>
  <c r="AG37" i="23"/>
  <c r="AF37" i="23"/>
  <c r="AB37" i="23"/>
  <c r="Y37" i="23"/>
  <c r="AE37" i="23" s="1"/>
  <c r="W37" i="23"/>
  <c r="U37" i="23"/>
  <c r="R37" i="23"/>
  <c r="L37" i="23"/>
  <c r="K37" i="23"/>
  <c r="AX36" i="23"/>
  <c r="AW36" i="23"/>
  <c r="AG35" i="23"/>
  <c r="AF35" i="23"/>
  <c r="AB35" i="23"/>
  <c r="Y35" i="23"/>
  <c r="AE35" i="23" s="1"/>
  <c r="W35" i="23"/>
  <c r="U35" i="23"/>
  <c r="R35" i="23"/>
  <c r="L35" i="23"/>
  <c r="K35" i="23"/>
  <c r="AX34" i="23"/>
  <c r="AW34" i="23"/>
  <c r="AG33" i="23"/>
  <c r="AF33" i="23"/>
  <c r="AB33" i="23"/>
  <c r="Y33" i="23"/>
  <c r="AE33" i="23" s="1"/>
  <c r="W33" i="23"/>
  <c r="U33" i="23"/>
  <c r="R33" i="23"/>
  <c r="L33" i="23"/>
  <c r="K33" i="23"/>
  <c r="AX32" i="23"/>
  <c r="AW32" i="23"/>
  <c r="AG31" i="23"/>
  <c r="AF31" i="23"/>
  <c r="AA31" i="23"/>
  <c r="B31" i="24" s="1"/>
  <c r="C31" i="24" s="1"/>
  <c r="Y31" i="23"/>
  <c r="W31" i="23"/>
  <c r="U31" i="23"/>
  <c r="R31" i="23"/>
  <c r="L31" i="23"/>
  <c r="K31" i="23"/>
  <c r="AX30" i="23"/>
  <c r="AW30" i="23"/>
  <c r="AG29" i="23"/>
  <c r="AF29" i="23"/>
  <c r="AB29" i="23"/>
  <c r="W29" i="23"/>
  <c r="U29" i="23"/>
  <c r="R29" i="23"/>
  <c r="L29" i="23"/>
  <c r="K29" i="23"/>
  <c r="AX28" i="23"/>
  <c r="AW28" i="23"/>
  <c r="AV28" i="23"/>
  <c r="AG27" i="23"/>
  <c r="AF27" i="23"/>
  <c r="AB27" i="23"/>
  <c r="W27" i="23"/>
  <c r="U27" i="23"/>
  <c r="R27" i="23"/>
  <c r="L27" i="23"/>
  <c r="K27" i="23"/>
  <c r="AX26" i="23"/>
  <c r="AW26" i="23"/>
  <c r="AV26" i="23"/>
  <c r="AG25" i="23"/>
  <c r="AF25" i="23"/>
  <c r="AB25" i="23"/>
  <c r="W25" i="23"/>
  <c r="U25" i="23"/>
  <c r="R25" i="23"/>
  <c r="L25" i="23"/>
  <c r="K25" i="23"/>
  <c r="AX24" i="23"/>
  <c r="AW24" i="23"/>
  <c r="AV24" i="23"/>
  <c r="AG21" i="23"/>
  <c r="AF21" i="23"/>
  <c r="AB21" i="23"/>
  <c r="W21" i="23"/>
  <c r="U21" i="23"/>
  <c r="R21" i="23"/>
  <c r="L21" i="23"/>
  <c r="K21" i="23"/>
  <c r="AX20" i="23"/>
  <c r="AW20" i="23"/>
  <c r="AV20" i="23"/>
  <c r="AG19" i="23"/>
  <c r="AF19" i="23"/>
  <c r="AB19" i="23"/>
  <c r="W19" i="23"/>
  <c r="U19" i="23"/>
  <c r="R19" i="23"/>
  <c r="L19" i="23"/>
  <c r="K19" i="23"/>
  <c r="AX18" i="23"/>
  <c r="AW18" i="23"/>
  <c r="AV18" i="23"/>
  <c r="AG15" i="23"/>
  <c r="AF15" i="23"/>
  <c r="AA15" i="23"/>
  <c r="Y15" i="23"/>
  <c r="W15" i="23"/>
  <c r="U15" i="23"/>
  <c r="R15" i="23"/>
  <c r="L15" i="23"/>
  <c r="K15" i="23"/>
  <c r="AZ14" i="23"/>
  <c r="AY14" i="23"/>
  <c r="AX14" i="23"/>
  <c r="AW14" i="23"/>
  <c r="AV14" i="23"/>
  <c r="AG9" i="23"/>
  <c r="AF9" i="23"/>
  <c r="AA9" i="23"/>
  <c r="Y9" i="23"/>
  <c r="W9" i="23"/>
  <c r="U9" i="23"/>
  <c r="R9" i="23"/>
  <c r="L9" i="23"/>
  <c r="K9" i="23"/>
  <c r="AX8" i="23"/>
  <c r="AW8" i="23"/>
  <c r="AG7" i="23"/>
  <c r="AF7" i="23"/>
  <c r="AA7" i="23"/>
  <c r="Y7" i="23"/>
  <c r="W7" i="23"/>
  <c r="U7" i="23"/>
  <c r="R7" i="23"/>
  <c r="L7" i="23"/>
  <c r="K7" i="23"/>
  <c r="AX6" i="23"/>
  <c r="AW6" i="23"/>
  <c r="AG5" i="23"/>
  <c r="AF5" i="23"/>
  <c r="AA5" i="23"/>
  <c r="B5" i="24" s="1"/>
  <c r="C5" i="24" s="1"/>
  <c r="Y5" i="23"/>
  <c r="W5" i="23"/>
  <c r="U5" i="23"/>
  <c r="R5" i="23"/>
  <c r="L5" i="23"/>
  <c r="K5" i="23"/>
  <c r="AX4" i="23"/>
  <c r="AW4" i="23"/>
  <c r="AG3" i="23"/>
  <c r="AF3" i="23"/>
  <c r="AA3" i="23"/>
  <c r="B3" i="24" s="1"/>
  <c r="C3" i="24" s="1"/>
  <c r="Y3" i="23"/>
  <c r="W3" i="23"/>
  <c r="U3" i="23"/>
  <c r="R3" i="23"/>
  <c r="L3" i="23"/>
  <c r="K3" i="23"/>
  <c r="AX2" i="23"/>
  <c r="AW2" i="23"/>
  <c r="B7" i="24" l="1"/>
  <c r="C7" i="24" s="1"/>
  <c r="B7" i="26"/>
  <c r="C7" i="26" s="1"/>
  <c r="AB147" i="23"/>
  <c r="B147" i="24"/>
  <c r="C147" i="24" s="1"/>
  <c r="AB325" i="23"/>
  <c r="B325" i="24"/>
  <c r="C325" i="24" s="1"/>
  <c r="AB329" i="23"/>
  <c r="B329" i="24"/>
  <c r="C329" i="24" s="1"/>
  <c r="AB9" i="23"/>
  <c r="B9" i="24"/>
  <c r="C9" i="24" s="1"/>
  <c r="AB91" i="23"/>
  <c r="B91" i="24"/>
  <c r="C91" i="24" s="1"/>
  <c r="AB121" i="23"/>
  <c r="B121" i="24"/>
  <c r="C121" i="24" s="1"/>
  <c r="AB149" i="23"/>
  <c r="B149" i="24"/>
  <c r="C149" i="24" s="1"/>
  <c r="AB293" i="23"/>
  <c r="B293" i="24"/>
  <c r="C293" i="24" s="1"/>
  <c r="AB321" i="23"/>
  <c r="B321" i="24"/>
  <c r="C321" i="24" s="1"/>
  <c r="AB327" i="23"/>
  <c r="B327" i="24"/>
  <c r="C327" i="24" s="1"/>
  <c r="AB119" i="23"/>
  <c r="B119" i="24"/>
  <c r="C119" i="24" s="1"/>
  <c r="AB319" i="23"/>
  <c r="B319" i="24"/>
  <c r="C319" i="24" s="1"/>
  <c r="AB295" i="23"/>
  <c r="B295" i="24"/>
  <c r="C295" i="24" s="1"/>
  <c r="AB299" i="23"/>
  <c r="B299" i="24"/>
  <c r="C299" i="24" s="1"/>
  <c r="AB15" i="23"/>
  <c r="B15" i="24"/>
  <c r="C15" i="24" s="1"/>
  <c r="AB123" i="23"/>
  <c r="B123" i="24"/>
  <c r="C123" i="24" s="1"/>
  <c r="AB317" i="23"/>
  <c r="B317" i="24"/>
  <c r="C317" i="24" s="1"/>
  <c r="B331" i="24"/>
  <c r="C331" i="24" s="1"/>
  <c r="AI65" i="23"/>
  <c r="AJ279" i="23"/>
  <c r="AI229" i="23"/>
  <c r="AE293" i="23"/>
  <c r="AJ283" i="23"/>
  <c r="AJ295" i="23"/>
  <c r="AC271" i="23"/>
  <c r="AD271" i="23" s="1"/>
  <c r="AJ277" i="23"/>
  <c r="AC283" i="23"/>
  <c r="AD283" i="23" s="1"/>
  <c r="AI181" i="23"/>
  <c r="AI259" i="23"/>
  <c r="AI43" i="23"/>
  <c r="AI253" i="23"/>
  <c r="AE315" i="23"/>
  <c r="AI165" i="23"/>
  <c r="AK167" i="23"/>
  <c r="AK163" i="23"/>
  <c r="AE5" i="23"/>
  <c r="AI273" i="23"/>
  <c r="AI293" i="23"/>
  <c r="AJ33" i="23"/>
  <c r="AJ179" i="23"/>
  <c r="AK227" i="23"/>
  <c r="AJ263" i="23"/>
  <c r="AJ39" i="23"/>
  <c r="AJ217" i="23"/>
  <c r="AC249" i="23"/>
  <c r="AD249" i="23" s="1"/>
  <c r="AI263" i="23"/>
  <c r="AC241" i="23"/>
  <c r="AD241" i="23" s="1"/>
  <c r="AK291" i="23"/>
  <c r="AK5" i="23"/>
  <c r="AK219" i="23"/>
  <c r="AB5" i="23"/>
  <c r="AC323" i="23"/>
  <c r="AD323" i="23" s="1"/>
  <c r="AE323" i="23"/>
  <c r="AC327" i="23"/>
  <c r="AD327" i="23" s="1"/>
  <c r="AE327" i="23"/>
  <c r="AC37" i="23"/>
  <c r="AD37" i="23" s="1"/>
  <c r="AI177" i="23"/>
  <c r="AK279" i="23"/>
  <c r="AC9" i="23"/>
  <c r="AD9" i="23" s="1"/>
  <c r="AJ63" i="23"/>
  <c r="AJ135" i="23"/>
  <c r="AK289" i="23"/>
  <c r="AC7" i="23"/>
  <c r="AD7" i="23" s="1"/>
  <c r="AK25" i="23"/>
  <c r="AI25" i="23"/>
  <c r="AJ163" i="23"/>
  <c r="AJ155" i="23"/>
  <c r="AI153" i="23"/>
  <c r="AK153" i="23"/>
  <c r="AJ153" i="23"/>
  <c r="AI183" i="23"/>
  <c r="AI9" i="23"/>
  <c r="AJ275" i="23"/>
  <c r="AI275" i="23"/>
  <c r="AC275" i="23"/>
  <c r="AD275" i="23" s="1"/>
  <c r="AC177" i="23"/>
  <c r="AD177" i="23" s="1"/>
  <c r="AI247" i="23"/>
  <c r="AM249" i="23"/>
  <c r="D249" i="24" s="1"/>
  <c r="AC261" i="23"/>
  <c r="AD261" i="23" s="1"/>
  <c r="AK285" i="23"/>
  <c r="AI299" i="23"/>
  <c r="AE299" i="23"/>
  <c r="AK311" i="23"/>
  <c r="AI325" i="23"/>
  <c r="AE15" i="23"/>
  <c r="AK43" i="23"/>
  <c r="AK65" i="23"/>
  <c r="AC91" i="23"/>
  <c r="AD91" i="23" s="1"/>
  <c r="AC221" i="23"/>
  <c r="AD221" i="23" s="1"/>
  <c r="AC239" i="23"/>
  <c r="AD239" i="23" s="1"/>
  <c r="AI251" i="23"/>
  <c r="AC5" i="23"/>
  <c r="AD5" i="23" s="1"/>
  <c r="AJ97" i="23"/>
  <c r="AC131" i="23"/>
  <c r="AD131" i="23" s="1"/>
  <c r="AJ149" i="23"/>
  <c r="AK161" i="23"/>
  <c r="AC181" i="23"/>
  <c r="AD181" i="23" s="1"/>
  <c r="AC229" i="23"/>
  <c r="AD229" i="23" s="1"/>
  <c r="AQ243" i="23"/>
  <c r="AK265" i="23"/>
  <c r="AK35" i="23"/>
  <c r="AC187" i="23"/>
  <c r="AD187" i="23" s="1"/>
  <c r="AC197" i="23"/>
  <c r="AD197" i="23" s="1"/>
  <c r="AJ297" i="23"/>
  <c r="AE297" i="23"/>
  <c r="AK303" i="23"/>
  <c r="AJ327" i="23"/>
  <c r="AJ65" i="23"/>
  <c r="AI129" i="23"/>
  <c r="AK147" i="23"/>
  <c r="AK155" i="23"/>
  <c r="AC175" i="23"/>
  <c r="AD175" i="23" s="1"/>
  <c r="AC179" i="23"/>
  <c r="AD179" i="23" s="1"/>
  <c r="AC183" i="23"/>
  <c r="AD183" i="23" s="1"/>
  <c r="AC215" i="23"/>
  <c r="AD215" i="23" s="1"/>
  <c r="AI283" i="23"/>
  <c r="AJ309" i="23"/>
  <c r="AE317" i="23"/>
  <c r="AJ151" i="23"/>
  <c r="AI151" i="23"/>
  <c r="AK199" i="23"/>
  <c r="Y199" i="23"/>
  <c r="AE199" i="23" s="1"/>
  <c r="AC231" i="23"/>
  <c r="AD231" i="23" s="1"/>
  <c r="AJ231" i="23"/>
  <c r="AC3" i="23"/>
  <c r="AD3" i="23" s="1"/>
  <c r="AK7" i="23"/>
  <c r="AE7" i="23"/>
  <c r="AC21" i="23"/>
  <c r="AD21" i="23" s="1"/>
  <c r="AJ31" i="23"/>
  <c r="AB31" i="23"/>
  <c r="AE31" i="23"/>
  <c r="AI37" i="23"/>
  <c r="AJ209" i="23"/>
  <c r="AK209" i="23"/>
  <c r="AJ3" i="23"/>
  <c r="AE9" i="23"/>
  <c r="AI35" i="23"/>
  <c r="AI7" i="23"/>
  <c r="AI33" i="23"/>
  <c r="AJ35" i="23"/>
  <c r="AJ5" i="23"/>
  <c r="AI15" i="23"/>
  <c r="AK37" i="23"/>
  <c r="AJ37" i="23"/>
  <c r="AC137" i="23"/>
  <c r="AD137" i="23" s="1"/>
  <c r="AC145" i="23"/>
  <c r="AD145" i="23" s="1"/>
  <c r="AC147" i="23"/>
  <c r="AD147" i="23" s="1"/>
  <c r="AC151" i="23"/>
  <c r="AD151" i="23" s="1"/>
  <c r="AK179" i="23"/>
  <c r="AC233" i="23"/>
  <c r="AD233" i="23" s="1"/>
  <c r="AJ301" i="23"/>
  <c r="AC25" i="23"/>
  <c r="AD25" i="23" s="1"/>
  <c r="AJ43" i="23"/>
  <c r="AC93" i="23"/>
  <c r="AD93" i="23" s="1"/>
  <c r="AI135" i="23"/>
  <c r="AN137" i="23"/>
  <c r="AI195" i="23"/>
  <c r="AC199" i="23"/>
  <c r="AD199" i="23" s="1"/>
  <c r="AI215" i="23"/>
  <c r="AK229" i="23"/>
  <c r="AC301" i="23"/>
  <c r="AD301" i="23" s="1"/>
  <c r="AI301" i="23"/>
  <c r="AK29" i="23"/>
  <c r="AI155" i="23"/>
  <c r="AK175" i="23"/>
  <c r="AJ215" i="23"/>
  <c r="AK63" i="23"/>
  <c r="AJ95" i="23"/>
  <c r="AK129" i="23"/>
  <c r="AC155" i="23"/>
  <c r="AD155" i="23" s="1"/>
  <c r="AK173" i="23"/>
  <c r="AI205" i="23"/>
  <c r="AK215" i="23"/>
  <c r="AK145" i="23"/>
  <c r="AC171" i="23"/>
  <c r="AD171" i="23" s="1"/>
  <c r="AC193" i="23"/>
  <c r="AD193" i="23" s="1"/>
  <c r="AC255" i="23"/>
  <c r="AD255" i="23" s="1"/>
  <c r="AJ255" i="23"/>
  <c r="AI255" i="23"/>
  <c r="AI329" i="23"/>
  <c r="AC329" i="23"/>
  <c r="AD329" i="23" s="1"/>
  <c r="AC97" i="23"/>
  <c r="AD97" i="23" s="1"/>
  <c r="AK139" i="23"/>
  <c r="AC143" i="23"/>
  <c r="AD143" i="23" s="1"/>
  <c r="AK171" i="23"/>
  <c r="AC173" i="23"/>
  <c r="AD173" i="23" s="1"/>
  <c r="AK189" i="23"/>
  <c r="AC191" i="23"/>
  <c r="AD191" i="23" s="1"/>
  <c r="AK193" i="23"/>
  <c r="AC41" i="23"/>
  <c r="AD41" i="23" s="1"/>
  <c r="AJ91" i="23"/>
  <c r="AI137" i="23"/>
  <c r="AC139" i="23"/>
  <c r="AD139" i="23" s="1"/>
  <c r="AJ145" i="23"/>
  <c r="Y161" i="23"/>
  <c r="AE161" i="23" s="1"/>
  <c r="AJ173" i="23"/>
  <c r="AK181" i="23"/>
  <c r="AI189" i="23"/>
  <c r="AC207" i="23"/>
  <c r="AD207" i="23" s="1"/>
  <c r="AK211" i="23"/>
  <c r="AC265" i="23"/>
  <c r="AD265" i="23" s="1"/>
  <c r="AJ285" i="23"/>
  <c r="AK329" i="23"/>
  <c r="AK245" i="23"/>
  <c r="Y245" i="23"/>
  <c r="AE245" i="23" s="1"/>
  <c r="AK257" i="23"/>
  <c r="AC291" i="23"/>
  <c r="AD291" i="23" s="1"/>
  <c r="AJ293" i="23"/>
  <c r="AE295" i="23"/>
  <c r="AC313" i="23"/>
  <c r="AD313" i="23" s="1"/>
  <c r="AJ323" i="23"/>
  <c r="AC235" i="23"/>
  <c r="AD235" i="23" s="1"/>
  <c r="AN239" i="23"/>
  <c r="AK243" i="23"/>
  <c r="AC245" i="23"/>
  <c r="AD245" i="23" s="1"/>
  <c r="AK275" i="23"/>
  <c r="AJ289" i="23"/>
  <c r="AI291" i="23"/>
  <c r="AC293" i="23"/>
  <c r="AD293" i="23" s="1"/>
  <c r="AC295" i="23"/>
  <c r="AD295" i="23" s="1"/>
  <c r="AI297" i="23"/>
  <c r="AC303" i="23"/>
  <c r="AD303" i="23" s="1"/>
  <c r="AB315" i="23"/>
  <c r="AK323" i="23"/>
  <c r="AB323" i="23"/>
  <c r="AO239" i="23"/>
  <c r="AC243" i="23"/>
  <c r="AD243" i="23" s="1"/>
  <c r="AK249" i="23"/>
  <c r="AC263" i="23"/>
  <c r="AD263" i="23" s="1"/>
  <c r="AJ291" i="23"/>
  <c r="AI243" i="23"/>
  <c r="AC259" i="23"/>
  <c r="AD259" i="23" s="1"/>
  <c r="AJ273" i="23"/>
  <c r="AK277" i="23"/>
  <c r="AK283" i="23"/>
  <c r="AC297" i="23"/>
  <c r="AD297" i="23" s="1"/>
  <c r="AK325" i="23"/>
  <c r="AK293" i="23"/>
  <c r="AI295" i="23"/>
  <c r="AK301" i="23"/>
  <c r="AC325" i="23"/>
  <c r="AD325" i="23" s="1"/>
  <c r="AK327" i="23"/>
  <c r="AJ7" i="23"/>
  <c r="AI3" i="23"/>
  <c r="AB7" i="23"/>
  <c r="AB3" i="23"/>
  <c r="AJ9" i="23"/>
  <c r="AK3" i="23"/>
  <c r="AI5" i="23"/>
  <c r="AK9" i="23"/>
  <c r="AE3" i="23"/>
  <c r="AC15" i="23"/>
  <c r="AD15" i="23" s="1"/>
  <c r="AN19" i="23"/>
  <c r="AP21" i="23"/>
  <c r="AP27" i="23"/>
  <c r="AC35" i="23"/>
  <c r="AD35" i="23" s="1"/>
  <c r="AC39" i="23"/>
  <c r="AD39" i="23" s="1"/>
  <c r="AO19" i="23"/>
  <c r="AI21" i="23"/>
  <c r="AQ21" i="23"/>
  <c r="AR27" i="23"/>
  <c r="AI29" i="23"/>
  <c r="AC33" i="23"/>
  <c r="AD33" i="23" s="1"/>
  <c r="AJ41" i="23"/>
  <c r="Y21" i="23"/>
  <c r="AE21" i="23" s="1"/>
  <c r="AJ21" i="23"/>
  <c r="AJ29" i="23"/>
  <c r="AK31" i="23"/>
  <c r="AI31" i="23"/>
  <c r="AK41" i="23"/>
  <c r="AC43" i="23"/>
  <c r="AD43" i="23" s="1"/>
  <c r="AI19" i="23"/>
  <c r="AK21" i="23"/>
  <c r="AS21" i="23"/>
  <c r="AJ27" i="23"/>
  <c r="AC31" i="23"/>
  <c r="AD31" i="23" s="1"/>
  <c r="AI41" i="23"/>
  <c r="Y19" i="23"/>
  <c r="AE19" i="23" s="1"/>
  <c r="AJ19" i="23"/>
  <c r="AQ27" i="23"/>
  <c r="AI27" i="23"/>
  <c r="AO27" i="23"/>
  <c r="Y27" i="23"/>
  <c r="AE27" i="23" s="1"/>
  <c r="AK27" i="23"/>
  <c r="AT29" i="23"/>
  <c r="AL29" i="23"/>
  <c r="AC29" i="23"/>
  <c r="AD29" i="23" s="1"/>
  <c r="Y29" i="23"/>
  <c r="AE29" i="23" s="1"/>
  <c r="AK19" i="23"/>
  <c r="AC63" i="23"/>
  <c r="AD63" i="23" s="1"/>
  <c r="AI63" i="23"/>
  <c r="AJ15" i="23"/>
  <c r="AC19" i="23"/>
  <c r="AD19" i="23" s="1"/>
  <c r="AL19" i="23"/>
  <c r="AT19" i="23"/>
  <c r="AN21" i="23"/>
  <c r="AC27" i="23"/>
  <c r="AD27" i="23" s="1"/>
  <c r="AM27" i="23"/>
  <c r="D27" i="24" s="1"/>
  <c r="AK15" i="23"/>
  <c r="AN27" i="23"/>
  <c r="AK33" i="23"/>
  <c r="AK39" i="23"/>
  <c r="Y25" i="23"/>
  <c r="AE25" i="23" s="1"/>
  <c r="AJ25" i="23"/>
  <c r="AI39" i="23"/>
  <c r="AC65" i="23"/>
  <c r="AD65" i="23" s="1"/>
  <c r="AI93" i="23"/>
  <c r="AK95" i="23"/>
  <c r="AE119" i="23"/>
  <c r="AE121" i="23"/>
  <c r="AE123" i="23"/>
  <c r="AC129" i="23"/>
  <c r="AD129" i="23" s="1"/>
  <c r="AL129" i="23"/>
  <c r="AT129" i="23"/>
  <c r="AI131" i="23"/>
  <c r="AN133" i="23"/>
  <c r="Y135" i="23"/>
  <c r="AE135" i="23" s="1"/>
  <c r="AK135" i="23"/>
  <c r="AP141" i="23"/>
  <c r="AI145" i="23"/>
  <c r="AJ147" i="23"/>
  <c r="AK149" i="23"/>
  <c r="AK151" i="23"/>
  <c r="AC153" i="23"/>
  <c r="AD153" i="23" s="1"/>
  <c r="AJ161" i="23"/>
  <c r="AI163" i="23"/>
  <c r="AJ93" i="23"/>
  <c r="AC95" i="23"/>
  <c r="AD95" i="23" s="1"/>
  <c r="Y131" i="23"/>
  <c r="AE131" i="23" s="1"/>
  <c r="AJ131" i="23"/>
  <c r="AO133" i="23"/>
  <c r="AS137" i="23"/>
  <c r="AK137" i="23"/>
  <c r="Y137" i="23"/>
  <c r="AE137" i="23" s="1"/>
  <c r="AJ137" i="23"/>
  <c r="AI139" i="23"/>
  <c r="AQ141" i="23"/>
  <c r="Y91" i="23"/>
  <c r="AE91" i="23" s="1"/>
  <c r="AI91" i="23"/>
  <c r="AK93" i="23"/>
  <c r="AI97" i="23"/>
  <c r="AN129" i="23"/>
  <c r="AK131" i="23"/>
  <c r="AP133" i="23"/>
  <c r="AC135" i="23"/>
  <c r="AD135" i="23" s="1"/>
  <c r="AM135" i="23"/>
  <c r="D135" i="24" s="1"/>
  <c r="Y139" i="23"/>
  <c r="AE139" i="23" s="1"/>
  <c r="AJ139" i="23"/>
  <c r="AS139" i="23"/>
  <c r="AI141" i="23"/>
  <c r="AR141" i="23"/>
  <c r="AI133" i="23"/>
  <c r="AQ133" i="23"/>
  <c r="AJ141" i="23"/>
  <c r="AS141" i="23"/>
  <c r="AC149" i="23"/>
  <c r="AD149" i="23" s="1"/>
  <c r="AK91" i="23"/>
  <c r="AK97" i="23"/>
  <c r="Y133" i="23"/>
  <c r="AE133" i="23" s="1"/>
  <c r="AJ133" i="23"/>
  <c r="Y141" i="23"/>
  <c r="AE141" i="23" s="1"/>
  <c r="AK141" i="23"/>
  <c r="AK133" i="23"/>
  <c r="AS133" i="23"/>
  <c r="AI143" i="23"/>
  <c r="AI95" i="23"/>
  <c r="Y129" i="23"/>
  <c r="AE129" i="23" s="1"/>
  <c r="AJ129" i="23"/>
  <c r="AC133" i="23"/>
  <c r="AD133" i="23" s="1"/>
  <c r="AL133" i="23"/>
  <c r="AT133" i="23"/>
  <c r="AC141" i="23"/>
  <c r="AD141" i="23" s="1"/>
  <c r="AN141" i="23"/>
  <c r="AJ143" i="23"/>
  <c r="AO141" i="23"/>
  <c r="AK143" i="23"/>
  <c r="Y149" i="23"/>
  <c r="AE149" i="23" s="1"/>
  <c r="AI149" i="23"/>
  <c r="AQ149" i="23"/>
  <c r="AC163" i="23"/>
  <c r="AD163" i="23" s="1"/>
  <c r="AL163" i="23"/>
  <c r="AT163" i="23"/>
  <c r="Y165" i="23"/>
  <c r="AE165" i="23" s="1"/>
  <c r="AJ165" i="23"/>
  <c r="AR165" i="23"/>
  <c r="AC167" i="23"/>
  <c r="AD167" i="23" s="1"/>
  <c r="AL167" i="23"/>
  <c r="AT167" i="23"/>
  <c r="AI175" i="23"/>
  <c r="AJ189" i="23"/>
  <c r="AI197" i="23"/>
  <c r="AI209" i="23"/>
  <c r="AK217" i="23"/>
  <c r="AI161" i="23"/>
  <c r="AK165" i="23"/>
  <c r="AJ175" i="23"/>
  <c r="Y189" i="23"/>
  <c r="AE189" i="23" s="1"/>
  <c r="AC195" i="23"/>
  <c r="AD195" i="23" s="1"/>
  <c r="AJ197" i="23"/>
  <c r="AQ199" i="23"/>
  <c r="AI199" i="23"/>
  <c r="AJ199" i="23"/>
  <c r="AC205" i="23"/>
  <c r="AD205" i="23" s="1"/>
  <c r="AI211" i="23"/>
  <c r="AC211" i="23"/>
  <c r="AD211" i="23" s="1"/>
  <c r="AC217" i="23"/>
  <c r="AD217" i="23" s="1"/>
  <c r="AC165" i="23"/>
  <c r="AD165" i="23" s="1"/>
  <c r="AI173" i="23"/>
  <c r="AS187" i="23"/>
  <c r="AK187" i="23"/>
  <c r="AI191" i="23"/>
  <c r="AT201" i="23"/>
  <c r="AL201" i="23"/>
  <c r="AC201" i="23"/>
  <c r="AD201" i="23" s="1"/>
  <c r="AI201" i="23"/>
  <c r="AJ201" i="23"/>
  <c r="AO203" i="23"/>
  <c r="AT203" i="23"/>
  <c r="AL203" i="23"/>
  <c r="AC203" i="23"/>
  <c r="AD203" i="23" s="1"/>
  <c r="AK203" i="23"/>
  <c r="AI203" i="23"/>
  <c r="AI187" i="23"/>
  <c r="AJ191" i="23"/>
  <c r="AK201" i="23"/>
  <c r="AJ203" i="23"/>
  <c r="AI207" i="23"/>
  <c r="AP209" i="23"/>
  <c r="AM209" i="23"/>
  <c r="D209" i="24" s="1"/>
  <c r="AT209" i="23"/>
  <c r="AL209" i="23"/>
  <c r="AC209" i="23"/>
  <c r="AD209" i="23" s="1"/>
  <c r="Y209" i="23"/>
  <c r="AE209" i="23" s="1"/>
  <c r="AC219" i="23"/>
  <c r="AD219" i="23" s="1"/>
  <c r="AI219" i="23"/>
  <c r="AI221" i="23"/>
  <c r="Y147" i="23"/>
  <c r="AE147" i="23" s="1"/>
  <c r="AI147" i="23"/>
  <c r="AC161" i="23"/>
  <c r="AD161" i="23" s="1"/>
  <c r="AL161" i="23"/>
  <c r="AP163" i="23"/>
  <c r="AN165" i="23"/>
  <c r="AP167" i="23"/>
  <c r="AI171" i="23"/>
  <c r="AJ177" i="23"/>
  <c r="AJ181" i="23"/>
  <c r="AJ183" i="23"/>
  <c r="Y187" i="23"/>
  <c r="AE187" i="23" s="1"/>
  <c r="AJ187" i="23"/>
  <c r="AK191" i="23"/>
  <c r="AT191" i="23"/>
  <c r="Y201" i="23"/>
  <c r="AE201" i="23" s="1"/>
  <c r="Y203" i="23"/>
  <c r="AE203" i="23" s="1"/>
  <c r="AS207" i="23"/>
  <c r="AK207" i="23"/>
  <c r="Y207" i="23"/>
  <c r="AE207" i="23" s="1"/>
  <c r="AJ207" i="23"/>
  <c r="AI167" i="23"/>
  <c r="AJ171" i="23"/>
  <c r="AK177" i="23"/>
  <c r="AI179" i="23"/>
  <c r="AK183" i="23"/>
  <c r="AT189" i="23"/>
  <c r="AL189" i="23"/>
  <c r="AC189" i="23"/>
  <c r="AD189" i="23" s="1"/>
  <c r="AR193" i="23"/>
  <c r="AJ193" i="23"/>
  <c r="Y193" i="23"/>
  <c r="AE193" i="23" s="1"/>
  <c r="AI193" i="23"/>
  <c r="AI217" i="23"/>
  <c r="AK221" i="23"/>
  <c r="Y167" i="23"/>
  <c r="AE167" i="23" s="1"/>
  <c r="AJ167" i="23"/>
  <c r="AM195" i="23"/>
  <c r="D195" i="24" s="1"/>
  <c r="AR195" i="23"/>
  <c r="AJ195" i="23"/>
  <c r="Y195" i="23"/>
  <c r="AE195" i="23" s="1"/>
  <c r="AK195" i="23"/>
  <c r="AK197" i="23"/>
  <c r="AJ219" i="23"/>
  <c r="Y205" i="23"/>
  <c r="AE205" i="23" s="1"/>
  <c r="AJ205" i="23"/>
  <c r="AK205" i="23"/>
  <c r="AS205" i="23"/>
  <c r="Y211" i="23"/>
  <c r="AE211" i="23" s="1"/>
  <c r="AJ211" i="23"/>
  <c r="AR211" i="23"/>
  <c r="AJ221" i="23"/>
  <c r="AJ227" i="23"/>
  <c r="AI227" i="23"/>
  <c r="AC227" i="23"/>
  <c r="AD227" i="23" s="1"/>
  <c r="AJ229" i="23"/>
  <c r="AI237" i="23"/>
  <c r="AN237" i="23"/>
  <c r="AC237" i="23"/>
  <c r="AD237" i="23" s="1"/>
  <c r="AS237" i="23"/>
  <c r="AK237" i="23"/>
  <c r="Y237" i="23"/>
  <c r="AE237" i="23" s="1"/>
  <c r="AI231" i="23"/>
  <c r="AK231" i="23"/>
  <c r="AI233" i="23"/>
  <c r="AM251" i="23"/>
  <c r="D251" i="24" s="1"/>
  <c r="AC251" i="23"/>
  <c r="AD251" i="23" s="1"/>
  <c r="AK251" i="23"/>
  <c r="AR251" i="23"/>
  <c r="AJ251" i="23"/>
  <c r="Y251" i="23"/>
  <c r="AE251" i="23" s="1"/>
  <c r="AJ233" i="23"/>
  <c r="AJ237" i="23"/>
  <c r="AK241" i="23"/>
  <c r="AK233" i="23"/>
  <c r="AM247" i="23"/>
  <c r="D247" i="24" s="1"/>
  <c r="AC247" i="23"/>
  <c r="AD247" i="23" s="1"/>
  <c r="AK247" i="23"/>
  <c r="AR247" i="23"/>
  <c r="AJ247" i="23"/>
  <c r="Y247" i="23"/>
  <c r="AE247" i="23" s="1"/>
  <c r="AN235" i="23"/>
  <c r="AM241" i="23"/>
  <c r="D241" i="24" s="1"/>
  <c r="Y243" i="23"/>
  <c r="AE243" i="23" s="1"/>
  <c r="AJ243" i="23"/>
  <c r="AR243" i="23"/>
  <c r="AI239" i="23"/>
  <c r="Y239" i="23"/>
  <c r="AE239" i="23" s="1"/>
  <c r="AJ239" i="23"/>
  <c r="AI235" i="23"/>
  <c r="AQ235" i="23"/>
  <c r="AK239" i="23"/>
  <c r="AS239" i="23"/>
  <c r="AP241" i="23"/>
  <c r="AI245" i="23"/>
  <c r="AI249" i="23"/>
  <c r="Y235" i="23"/>
  <c r="AE235" i="23" s="1"/>
  <c r="AJ235" i="23"/>
  <c r="AI241" i="23"/>
  <c r="AJ245" i="23"/>
  <c r="AJ249" i="23"/>
  <c r="AK235" i="23"/>
  <c r="Y241" i="23"/>
  <c r="AE241" i="23" s="1"/>
  <c r="AJ241" i="23"/>
  <c r="AC257" i="23"/>
  <c r="AD257" i="23" s="1"/>
  <c r="AJ259" i="23"/>
  <c r="AJ271" i="23"/>
  <c r="AI271" i="23"/>
  <c r="AK253" i="23"/>
  <c r="AK259" i="23"/>
  <c r="AI267" i="23"/>
  <c r="AC267" i="23"/>
  <c r="AD267" i="23" s="1"/>
  <c r="AC269" i="23"/>
  <c r="AD269" i="23" s="1"/>
  <c r="AI269" i="23"/>
  <c r="AC253" i="23"/>
  <c r="AD253" i="23" s="1"/>
  <c r="AI261" i="23"/>
  <c r="AJ267" i="23"/>
  <c r="AJ269" i="23"/>
  <c r="AJ265" i="23"/>
  <c r="AI265" i="23"/>
  <c r="AK267" i="23"/>
  <c r="AK269" i="23"/>
  <c r="AK271" i="23"/>
  <c r="AI287" i="23"/>
  <c r="AC287" i="23"/>
  <c r="AD287" i="23" s="1"/>
  <c r="AK287" i="23"/>
  <c r="AJ287" i="23"/>
  <c r="AK261" i="23"/>
  <c r="AJ281" i="23"/>
  <c r="AK281" i="23"/>
  <c r="AI281" i="23"/>
  <c r="AC281" i="23"/>
  <c r="AD281" i="23" s="1"/>
  <c r="AJ257" i="23"/>
  <c r="AI257" i="23"/>
  <c r="AK305" i="23"/>
  <c r="AJ305" i="23"/>
  <c r="AI305" i="23"/>
  <c r="AC305" i="23"/>
  <c r="AD305" i="23" s="1"/>
  <c r="AJ253" i="23"/>
  <c r="AJ261" i="23"/>
  <c r="AK273" i="23"/>
  <c r="AC289" i="23"/>
  <c r="AD289" i="23" s="1"/>
  <c r="AC277" i="23"/>
  <c r="AD277" i="23" s="1"/>
  <c r="AI279" i="23"/>
  <c r="AC279" i="23"/>
  <c r="AD279" i="23" s="1"/>
  <c r="AK255" i="23"/>
  <c r="AK263" i="23"/>
  <c r="AC273" i="23"/>
  <c r="AD273" i="23" s="1"/>
  <c r="AC299" i="23"/>
  <c r="AD299" i="23" s="1"/>
  <c r="AK299" i="23"/>
  <c r="AJ299" i="23"/>
  <c r="AC285" i="23"/>
  <c r="AD285" i="23" s="1"/>
  <c r="AI289" i="23"/>
  <c r="AB297" i="23"/>
  <c r="AK297" i="23"/>
  <c r="AI277" i="23"/>
  <c r="AI285" i="23"/>
  <c r="AE319" i="23"/>
  <c r="AK295" i="23"/>
  <c r="AJ303" i="23"/>
  <c r="AI303" i="23"/>
  <c r="AI309" i="23"/>
  <c r="AC309" i="23"/>
  <c r="AD309" i="23" s="1"/>
  <c r="AS309" i="23"/>
  <c r="AK309" i="23"/>
  <c r="Y309" i="23"/>
  <c r="AE309" i="23" s="1"/>
  <c r="AP311" i="23"/>
  <c r="AM313" i="23"/>
  <c r="D313" i="24" s="1"/>
  <c r="AI323" i="23"/>
  <c r="AI327" i="23"/>
  <c r="AI311" i="23"/>
  <c r="AQ311" i="23"/>
  <c r="AN313" i="23"/>
  <c r="AE321" i="23"/>
  <c r="AE325" i="23"/>
  <c r="AE329" i="23"/>
  <c r="Y311" i="23"/>
  <c r="AE311" i="23" s="1"/>
  <c r="AJ311" i="23"/>
  <c r="AC311" i="23"/>
  <c r="AD311" i="23" s="1"/>
  <c r="AL311" i="23"/>
  <c r="AI313" i="23"/>
  <c r="AQ313" i="23"/>
  <c r="Y313" i="23"/>
  <c r="AE313" i="23" s="1"/>
  <c r="AJ313" i="23"/>
  <c r="AJ325" i="23"/>
  <c r="AJ329" i="23"/>
  <c r="AK313" i="23"/>
  <c r="A25" i="21" l="1"/>
  <c r="A23" i="21"/>
  <c r="B21" i="21"/>
  <c r="C21" i="21" s="1"/>
  <c r="A21" i="21"/>
  <c r="B19" i="21"/>
  <c r="C19" i="21" s="1"/>
  <c r="A19" i="21"/>
  <c r="B17" i="21"/>
  <c r="C17" i="21" s="1"/>
  <c r="A17" i="21"/>
  <c r="B15" i="21"/>
  <c r="C15" i="21" s="1"/>
  <c r="A15" i="21"/>
  <c r="A13" i="21"/>
  <c r="A11" i="21"/>
  <c r="B9" i="21"/>
  <c r="C9" i="21" s="1"/>
  <c r="A9" i="21"/>
  <c r="B7" i="21"/>
  <c r="C7" i="21" s="1"/>
  <c r="A7" i="21"/>
  <c r="B5" i="21"/>
  <c r="C5" i="21" s="1"/>
  <c r="A5" i="21"/>
  <c r="B3" i="21"/>
  <c r="A3" i="21"/>
  <c r="B75" i="22"/>
  <c r="C75" i="22" s="1"/>
  <c r="A75" i="22"/>
  <c r="B73" i="22"/>
  <c r="C73" i="22" s="1"/>
  <c r="A73" i="22"/>
  <c r="A71" i="22"/>
  <c r="A69" i="22"/>
  <c r="A67" i="22"/>
  <c r="B65" i="22"/>
  <c r="C65" i="22" s="1"/>
  <c r="A65" i="22"/>
  <c r="B63" i="22"/>
  <c r="C63" i="22" s="1"/>
  <c r="A63" i="22"/>
  <c r="B59" i="22"/>
  <c r="C59" i="22" s="1"/>
  <c r="A59" i="22"/>
  <c r="B57" i="22"/>
  <c r="C57" i="22" s="1"/>
  <c r="A57" i="22"/>
  <c r="B55" i="22"/>
  <c r="C55" i="22" s="1"/>
  <c r="A55" i="22"/>
  <c r="B53" i="22"/>
  <c r="C53" i="22" s="1"/>
  <c r="A53" i="22"/>
  <c r="B51" i="22"/>
  <c r="C51" i="22" s="1"/>
  <c r="A51" i="22"/>
  <c r="B49" i="22"/>
  <c r="C49" i="22" s="1"/>
  <c r="A49" i="22"/>
  <c r="B47" i="22"/>
  <c r="C47" i="22" s="1"/>
  <c r="A47" i="22"/>
  <c r="B45" i="22"/>
  <c r="C45" i="22" s="1"/>
  <c r="A45" i="22"/>
  <c r="B43" i="22"/>
  <c r="C43" i="22" s="1"/>
  <c r="A43" i="22"/>
  <c r="B41" i="22"/>
  <c r="C41" i="22" s="1"/>
  <c r="A41" i="22"/>
  <c r="B39" i="22"/>
  <c r="C39" i="22" s="1"/>
  <c r="A39" i="22"/>
  <c r="B37" i="22"/>
  <c r="C37" i="22" s="1"/>
  <c r="A37" i="22"/>
  <c r="B35" i="22"/>
  <c r="C35" i="22" s="1"/>
  <c r="A35" i="22"/>
  <c r="B33" i="22"/>
  <c r="C33" i="22" s="1"/>
  <c r="A33" i="22"/>
  <c r="B31" i="22"/>
  <c r="C31" i="22" s="1"/>
  <c r="A31" i="22"/>
  <c r="B29" i="22"/>
  <c r="C29" i="22" s="1"/>
  <c r="A29" i="22"/>
  <c r="B27" i="22"/>
  <c r="C27" i="22" s="1"/>
  <c r="A27" i="22"/>
  <c r="B25" i="22"/>
  <c r="C25" i="22" s="1"/>
  <c r="A25" i="22"/>
  <c r="B23" i="22"/>
  <c r="C23" i="22" s="1"/>
  <c r="A23" i="22"/>
  <c r="B21" i="22"/>
  <c r="C21" i="22" s="1"/>
  <c r="A21" i="22"/>
  <c r="B19" i="22"/>
  <c r="C19" i="22" s="1"/>
  <c r="A19" i="22"/>
  <c r="B17" i="22"/>
  <c r="C17" i="22" s="1"/>
  <c r="A17" i="22"/>
  <c r="B15" i="22"/>
  <c r="C15" i="22" s="1"/>
  <c r="A15" i="22"/>
  <c r="B13" i="22"/>
  <c r="C13" i="22" s="1"/>
  <c r="A13" i="22"/>
  <c r="B11" i="22"/>
  <c r="C11" i="22" s="1"/>
  <c r="A11" i="22"/>
  <c r="B9" i="22"/>
  <c r="C9" i="22" s="1"/>
  <c r="A9" i="22"/>
  <c r="B7" i="22"/>
  <c r="C7" i="22" s="1"/>
  <c r="A7" i="22"/>
  <c r="B5" i="22"/>
  <c r="C5" i="22" s="1"/>
  <c r="A5" i="22"/>
  <c r="B3" i="22"/>
  <c r="C3" i="22" s="1"/>
  <c r="A3" i="22"/>
  <c r="C3" i="21"/>
  <c r="AZ25" i="20"/>
  <c r="AY25" i="20"/>
  <c r="AX25" i="20"/>
  <c r="AW25" i="20"/>
  <c r="AV25" i="20"/>
  <c r="AF25" i="20" s="1"/>
  <c r="AA25" i="20"/>
  <c r="B25" i="21" s="1"/>
  <c r="C25" i="21" s="1"/>
  <c r="Y25" i="20"/>
  <c r="W25" i="20"/>
  <c r="U25" i="20"/>
  <c r="R25" i="20"/>
  <c r="L25" i="20"/>
  <c r="K25" i="20"/>
  <c r="AZ24" i="20"/>
  <c r="AY24" i="20"/>
  <c r="AX24" i="20"/>
  <c r="AW24" i="20"/>
  <c r="AZ23" i="20"/>
  <c r="AY23" i="20"/>
  <c r="AX23" i="20"/>
  <c r="AW23" i="20"/>
  <c r="AV23" i="20"/>
  <c r="AA23" i="20"/>
  <c r="AB23" i="20" s="1"/>
  <c r="Y23" i="20"/>
  <c r="W23" i="20"/>
  <c r="U23" i="20"/>
  <c r="R23" i="20"/>
  <c r="L23" i="20"/>
  <c r="K23" i="20"/>
  <c r="AZ22" i="20"/>
  <c r="AY22" i="20"/>
  <c r="AX22" i="20"/>
  <c r="AW22" i="20"/>
  <c r="AG21" i="20"/>
  <c r="AF21" i="20"/>
  <c r="AB21" i="20"/>
  <c r="Y21" i="20"/>
  <c r="AE21" i="20" s="1"/>
  <c r="W21" i="20"/>
  <c r="U21" i="20"/>
  <c r="R21" i="20"/>
  <c r="L21" i="20"/>
  <c r="K21" i="20"/>
  <c r="AZ20" i="20"/>
  <c r="AY20" i="20"/>
  <c r="AX20" i="20"/>
  <c r="AW20" i="20"/>
  <c r="AG19" i="20"/>
  <c r="AF19" i="20"/>
  <c r="AB19" i="20"/>
  <c r="Y19" i="20"/>
  <c r="AE19" i="20" s="1"/>
  <c r="W19" i="20"/>
  <c r="U19" i="20"/>
  <c r="R19" i="20"/>
  <c r="L19" i="20"/>
  <c r="K19" i="20"/>
  <c r="AZ18" i="20"/>
  <c r="AY18" i="20"/>
  <c r="AX18" i="20"/>
  <c r="AW18" i="20"/>
  <c r="AG17" i="20"/>
  <c r="AF17" i="20"/>
  <c r="AB17" i="20"/>
  <c r="W17" i="20"/>
  <c r="U17" i="20"/>
  <c r="R17" i="20"/>
  <c r="L17" i="20"/>
  <c r="K17" i="20"/>
  <c r="AX16" i="20"/>
  <c r="AW16" i="20"/>
  <c r="AV16" i="20"/>
  <c r="AG15" i="20"/>
  <c r="AF15" i="20"/>
  <c r="AB15" i="20"/>
  <c r="W15" i="20"/>
  <c r="U15" i="20"/>
  <c r="R15" i="20"/>
  <c r="L15" i="20"/>
  <c r="K15" i="20"/>
  <c r="AX14" i="20"/>
  <c r="AW14" i="20"/>
  <c r="AV14" i="20"/>
  <c r="AG13" i="20"/>
  <c r="AF13" i="20"/>
  <c r="AA13" i="20"/>
  <c r="B13" i="21" s="1"/>
  <c r="C13" i="21" s="1"/>
  <c r="U13" i="20"/>
  <c r="R13" i="20"/>
  <c r="F13" i="20"/>
  <c r="W13" i="20" s="1"/>
  <c r="L13" i="20"/>
  <c r="K13" i="20"/>
  <c r="AX12" i="20"/>
  <c r="AW12" i="20"/>
  <c r="AV12" i="20"/>
  <c r="Y13" i="20" s="1"/>
  <c r="AG11" i="20"/>
  <c r="AF11" i="20"/>
  <c r="AA11" i="20"/>
  <c r="AB11" i="20" s="1"/>
  <c r="U11" i="20"/>
  <c r="R11" i="20"/>
  <c r="F11" i="20"/>
  <c r="W11" i="20" s="1"/>
  <c r="L11" i="20"/>
  <c r="K11" i="20"/>
  <c r="AX10" i="20"/>
  <c r="AW10" i="20"/>
  <c r="AV10" i="20"/>
  <c r="AG9" i="20"/>
  <c r="AF9" i="20"/>
  <c r="AB9" i="20"/>
  <c r="Y9" i="20"/>
  <c r="AE9" i="20" s="1"/>
  <c r="W9" i="20"/>
  <c r="U9" i="20"/>
  <c r="R9" i="20"/>
  <c r="L9" i="20"/>
  <c r="K9" i="20"/>
  <c r="AZ8" i="20"/>
  <c r="AY8" i="20"/>
  <c r="AX8" i="20"/>
  <c r="AW8" i="20"/>
  <c r="AG7" i="20"/>
  <c r="AF7" i="20"/>
  <c r="AB7" i="20"/>
  <c r="Y7" i="20"/>
  <c r="AE7" i="20" s="1"/>
  <c r="W7" i="20"/>
  <c r="U7" i="20"/>
  <c r="R7" i="20"/>
  <c r="L7" i="20"/>
  <c r="K7" i="20"/>
  <c r="AZ6" i="20"/>
  <c r="AY6" i="20"/>
  <c r="AX6" i="20"/>
  <c r="AW6" i="20"/>
  <c r="AG5" i="20"/>
  <c r="AF5" i="20"/>
  <c r="AB5" i="20"/>
  <c r="Y5" i="20"/>
  <c r="AE5" i="20" s="1"/>
  <c r="W5" i="20"/>
  <c r="U5" i="20"/>
  <c r="R5" i="20"/>
  <c r="L5" i="20"/>
  <c r="K5" i="20"/>
  <c r="AX4" i="20"/>
  <c r="AW4" i="20"/>
  <c r="AG3" i="20"/>
  <c r="AF3" i="20"/>
  <c r="AB3" i="20"/>
  <c r="Y3" i="20"/>
  <c r="AE3" i="20" s="1"/>
  <c r="W3" i="20"/>
  <c r="U3" i="20"/>
  <c r="R3" i="20"/>
  <c r="L3" i="20"/>
  <c r="K3" i="20"/>
  <c r="AX2" i="20"/>
  <c r="AW2" i="20"/>
  <c r="AT75" i="19"/>
  <c r="AS75" i="19"/>
  <c r="AR75" i="19"/>
  <c r="AQ75" i="19"/>
  <c r="AP75" i="19"/>
  <c r="AO75" i="19"/>
  <c r="AN75" i="19"/>
  <c r="AM75" i="19"/>
  <c r="D75" i="22" s="1"/>
  <c r="AL75" i="19"/>
  <c r="AK75" i="19"/>
  <c r="AJ75" i="19"/>
  <c r="AI75" i="19"/>
  <c r="AG75" i="19"/>
  <c r="AF75" i="19"/>
  <c r="AC75" i="19"/>
  <c r="AD75" i="19" s="1"/>
  <c r="AB75" i="19"/>
  <c r="Y75" i="19"/>
  <c r="AE75" i="19" s="1"/>
  <c r="W75" i="19"/>
  <c r="U75" i="19"/>
  <c r="R75" i="19"/>
  <c r="L75" i="19"/>
  <c r="K75" i="19"/>
  <c r="AT73" i="19"/>
  <c r="AS73" i="19"/>
  <c r="AR73" i="19"/>
  <c r="AQ73" i="19"/>
  <c r="AP73" i="19"/>
  <c r="AO73" i="19"/>
  <c r="AN73" i="19"/>
  <c r="AM73" i="19"/>
  <c r="D73" i="22" s="1"/>
  <c r="AL73" i="19"/>
  <c r="AK73" i="19"/>
  <c r="AJ73" i="19"/>
  <c r="AI73" i="19"/>
  <c r="AG73" i="19"/>
  <c r="AF73" i="19"/>
  <c r="AC73" i="19"/>
  <c r="AD73" i="19" s="1"/>
  <c r="AB73" i="19"/>
  <c r="Y73" i="19"/>
  <c r="AE73" i="19" s="1"/>
  <c r="W73" i="19"/>
  <c r="U73" i="19"/>
  <c r="R73" i="19"/>
  <c r="L73" i="19"/>
  <c r="K73" i="19"/>
  <c r="AG71" i="19"/>
  <c r="AF71" i="19"/>
  <c r="AA71" i="19"/>
  <c r="AB71" i="19" s="1"/>
  <c r="Y71" i="19"/>
  <c r="W71" i="19"/>
  <c r="U71" i="19"/>
  <c r="R71" i="19"/>
  <c r="L71" i="19"/>
  <c r="K71" i="19"/>
  <c r="AX70" i="19"/>
  <c r="AW70" i="19"/>
  <c r="AG69" i="19"/>
  <c r="AF69" i="19"/>
  <c r="AA69" i="19"/>
  <c r="AB69" i="19" s="1"/>
  <c r="Y69" i="19"/>
  <c r="W69" i="19"/>
  <c r="U69" i="19"/>
  <c r="R69" i="19"/>
  <c r="L69" i="19"/>
  <c r="K69" i="19"/>
  <c r="AX68" i="19"/>
  <c r="AW68" i="19"/>
  <c r="AG67" i="19"/>
  <c r="AF67" i="19"/>
  <c r="AA67" i="19"/>
  <c r="B67" i="22" s="1"/>
  <c r="C67" i="22" s="1"/>
  <c r="Y67" i="19"/>
  <c r="W67" i="19"/>
  <c r="U67" i="19"/>
  <c r="R67" i="19"/>
  <c r="L67" i="19"/>
  <c r="K67" i="19"/>
  <c r="AX66" i="19"/>
  <c r="AW66" i="19"/>
  <c r="AG65" i="19"/>
  <c r="AF65" i="19"/>
  <c r="AB65" i="19"/>
  <c r="W65" i="19"/>
  <c r="U65" i="19"/>
  <c r="R65" i="19"/>
  <c r="L65" i="19"/>
  <c r="K65" i="19"/>
  <c r="AX64" i="19"/>
  <c r="AW64" i="19"/>
  <c r="AV64" i="19"/>
  <c r="AG63" i="19"/>
  <c r="AF63" i="19"/>
  <c r="AB63" i="19"/>
  <c r="W63" i="19"/>
  <c r="U63" i="19"/>
  <c r="R63" i="19"/>
  <c r="L63" i="19"/>
  <c r="K63" i="19"/>
  <c r="AX62" i="19"/>
  <c r="AW62" i="19"/>
  <c r="AV62" i="19"/>
  <c r="AG59" i="19"/>
  <c r="AF59" i="19"/>
  <c r="AB59" i="19"/>
  <c r="W59" i="19"/>
  <c r="U59" i="19"/>
  <c r="R59" i="19"/>
  <c r="L59" i="19"/>
  <c r="K59" i="19"/>
  <c r="BA58" i="19"/>
  <c r="AZ58" i="19"/>
  <c r="AY58" i="19"/>
  <c r="AX58" i="19"/>
  <c r="AW58" i="19"/>
  <c r="AV58" i="19"/>
  <c r="AG57" i="19"/>
  <c r="AF57" i="19"/>
  <c r="AB57" i="19"/>
  <c r="W57" i="19"/>
  <c r="U57" i="19"/>
  <c r="R57" i="19"/>
  <c r="L57" i="19"/>
  <c r="K57" i="19"/>
  <c r="BA56" i="19"/>
  <c r="AZ56" i="19"/>
  <c r="AY56" i="19"/>
  <c r="AX56" i="19"/>
  <c r="AW56" i="19"/>
  <c r="AV56" i="19"/>
  <c r="AG55" i="19"/>
  <c r="AF55" i="19"/>
  <c r="AB55" i="19"/>
  <c r="W55" i="19"/>
  <c r="U55" i="19"/>
  <c r="R55" i="19"/>
  <c r="L55" i="19"/>
  <c r="K55" i="19"/>
  <c r="BA54" i="19"/>
  <c r="AZ54" i="19"/>
  <c r="AY54" i="19"/>
  <c r="AX54" i="19"/>
  <c r="AW54" i="19"/>
  <c r="AV54" i="19"/>
  <c r="AG53" i="19"/>
  <c r="AF53" i="19"/>
  <c r="AB53" i="19"/>
  <c r="W53" i="19"/>
  <c r="U53" i="19"/>
  <c r="R53" i="19"/>
  <c r="L53" i="19"/>
  <c r="K53" i="19"/>
  <c r="BA52" i="19"/>
  <c r="AZ52" i="19"/>
  <c r="AY52" i="19"/>
  <c r="AX52" i="19"/>
  <c r="AW52" i="19"/>
  <c r="AV52" i="19"/>
  <c r="AG51" i="19"/>
  <c r="AF51" i="19"/>
  <c r="AB51" i="19"/>
  <c r="W51" i="19"/>
  <c r="U51" i="19"/>
  <c r="R51" i="19"/>
  <c r="L51" i="19"/>
  <c r="K51" i="19"/>
  <c r="BD50" i="19"/>
  <c r="BC50" i="19"/>
  <c r="BB50" i="19"/>
  <c r="BA50" i="19"/>
  <c r="AZ50" i="19"/>
  <c r="AY50" i="19"/>
  <c r="AX50" i="19"/>
  <c r="AW50" i="19"/>
  <c r="AV50" i="19"/>
  <c r="Y51" i="19" s="1"/>
  <c r="AE51" i="19" s="1"/>
  <c r="AG49" i="19"/>
  <c r="AF49" i="19"/>
  <c r="AB49" i="19"/>
  <c r="W49" i="19"/>
  <c r="U49" i="19"/>
  <c r="R49" i="19"/>
  <c r="L49" i="19"/>
  <c r="K49" i="19"/>
  <c r="BD48" i="19"/>
  <c r="BC48" i="19"/>
  <c r="BB48" i="19"/>
  <c r="BA48" i="19"/>
  <c r="AZ48" i="19"/>
  <c r="AY48" i="19"/>
  <c r="AX48" i="19"/>
  <c r="AW48" i="19"/>
  <c r="AV48" i="19"/>
  <c r="Y49" i="19" s="1"/>
  <c r="AE49" i="19" s="1"/>
  <c r="AG47" i="19"/>
  <c r="AF47" i="19"/>
  <c r="AB47" i="19"/>
  <c r="W47" i="19"/>
  <c r="U47" i="19"/>
  <c r="R47" i="19"/>
  <c r="L47" i="19"/>
  <c r="K47" i="19"/>
  <c r="BD46" i="19"/>
  <c r="BC46" i="19"/>
  <c r="BB46" i="19"/>
  <c r="BA46" i="19"/>
  <c r="AZ46" i="19"/>
  <c r="AY46" i="19"/>
  <c r="AX46" i="19"/>
  <c r="AW46" i="19"/>
  <c r="AV46" i="19"/>
  <c r="AG45" i="19"/>
  <c r="AF45" i="19"/>
  <c r="AB45" i="19"/>
  <c r="W45" i="19"/>
  <c r="U45" i="19"/>
  <c r="R45" i="19"/>
  <c r="L45" i="19"/>
  <c r="K45" i="19"/>
  <c r="BD44" i="19"/>
  <c r="BC44" i="19"/>
  <c r="BB44" i="19"/>
  <c r="BA44" i="19"/>
  <c r="AZ44" i="19"/>
  <c r="AY44" i="19"/>
  <c r="AX44" i="19"/>
  <c r="AW44" i="19"/>
  <c r="AV44" i="19"/>
  <c r="AG43" i="19"/>
  <c r="AF43" i="19"/>
  <c r="AB43" i="19"/>
  <c r="W43" i="19"/>
  <c r="U43" i="19"/>
  <c r="R43" i="19"/>
  <c r="L43" i="19"/>
  <c r="K43" i="19"/>
  <c r="BD42" i="19"/>
  <c r="BC42" i="19"/>
  <c r="BB42" i="19"/>
  <c r="BA42" i="19"/>
  <c r="AZ42" i="19"/>
  <c r="AY42" i="19"/>
  <c r="AX42" i="19"/>
  <c r="AW42" i="19"/>
  <c r="AV42" i="19"/>
  <c r="Y43" i="19" s="1"/>
  <c r="AE43" i="19" s="1"/>
  <c r="AG41" i="19"/>
  <c r="AF41" i="19"/>
  <c r="AB41" i="19"/>
  <c r="W41" i="19"/>
  <c r="U41" i="19"/>
  <c r="R41" i="19"/>
  <c r="L41" i="19"/>
  <c r="K41" i="19"/>
  <c r="BD40" i="19"/>
  <c r="BC40" i="19"/>
  <c r="BB40" i="19"/>
  <c r="BA40" i="19"/>
  <c r="AZ40" i="19"/>
  <c r="AY40" i="19"/>
  <c r="AX40" i="19"/>
  <c r="AW40" i="19"/>
  <c r="AV40" i="19"/>
  <c r="Y41" i="19" s="1"/>
  <c r="AE41" i="19" s="1"/>
  <c r="AG39" i="19"/>
  <c r="AF39" i="19"/>
  <c r="AB39" i="19"/>
  <c r="W39" i="19"/>
  <c r="U39" i="19"/>
  <c r="R39" i="19"/>
  <c r="L39" i="19"/>
  <c r="K39" i="19"/>
  <c r="BD38" i="19"/>
  <c r="BC38" i="19"/>
  <c r="BB38" i="19"/>
  <c r="BA38" i="19"/>
  <c r="AZ38" i="19"/>
  <c r="AY38" i="19"/>
  <c r="AX38" i="19"/>
  <c r="AW38" i="19"/>
  <c r="AV38" i="19"/>
  <c r="AG37" i="19"/>
  <c r="AF37" i="19"/>
  <c r="AB37" i="19"/>
  <c r="W37" i="19"/>
  <c r="U37" i="19"/>
  <c r="R37" i="19"/>
  <c r="L37" i="19"/>
  <c r="K37" i="19"/>
  <c r="BD36" i="19"/>
  <c r="BC36" i="19"/>
  <c r="BB36" i="19"/>
  <c r="BA36" i="19"/>
  <c r="AZ36" i="19"/>
  <c r="AY36" i="19"/>
  <c r="AX36" i="19"/>
  <c r="AW36" i="19"/>
  <c r="AV36" i="19"/>
  <c r="AG35" i="19"/>
  <c r="AF35" i="19"/>
  <c r="AB35" i="19"/>
  <c r="W35" i="19"/>
  <c r="U35" i="19"/>
  <c r="R35" i="19"/>
  <c r="L35" i="19"/>
  <c r="K35" i="19"/>
  <c r="BD34" i="19"/>
  <c r="BC34" i="19"/>
  <c r="BB34" i="19"/>
  <c r="BA34" i="19"/>
  <c r="AZ34" i="19"/>
  <c r="AY34" i="19"/>
  <c r="AX34" i="19"/>
  <c r="AW34" i="19"/>
  <c r="AV34" i="19"/>
  <c r="Y35" i="19" s="1"/>
  <c r="AE35" i="19" s="1"/>
  <c r="AG33" i="19"/>
  <c r="AF33" i="19"/>
  <c r="AB33" i="19"/>
  <c r="W33" i="19"/>
  <c r="U33" i="19"/>
  <c r="R33" i="19"/>
  <c r="L33" i="19"/>
  <c r="K33" i="19"/>
  <c r="BD32" i="19"/>
  <c r="BC32" i="19"/>
  <c r="BB32" i="19"/>
  <c r="BA32" i="19"/>
  <c r="AZ32" i="19"/>
  <c r="AY32" i="19"/>
  <c r="AX32" i="19"/>
  <c r="AW32" i="19"/>
  <c r="AV32" i="19"/>
  <c r="AG31" i="19"/>
  <c r="AF31" i="19"/>
  <c r="AB31" i="19"/>
  <c r="W31" i="19"/>
  <c r="U31" i="19"/>
  <c r="R31" i="19"/>
  <c r="L31" i="19"/>
  <c r="K31" i="19"/>
  <c r="BB30" i="19"/>
  <c r="BA30" i="19"/>
  <c r="AZ30" i="19"/>
  <c r="AY30" i="19"/>
  <c r="AX30" i="19"/>
  <c r="AW30" i="19"/>
  <c r="AV30" i="19"/>
  <c r="Y31" i="19" s="1"/>
  <c r="AE31" i="19" s="1"/>
  <c r="AG29" i="19"/>
  <c r="AF29" i="19"/>
  <c r="AB29" i="19"/>
  <c r="W29" i="19"/>
  <c r="U29" i="19"/>
  <c r="R29" i="19"/>
  <c r="L29" i="19"/>
  <c r="K29" i="19"/>
  <c r="BB28" i="19"/>
  <c r="BA28" i="19"/>
  <c r="AZ28" i="19"/>
  <c r="AY28" i="19"/>
  <c r="AX28" i="19"/>
  <c r="AW28" i="19"/>
  <c r="AV28" i="19"/>
  <c r="AG27" i="19"/>
  <c r="AF27" i="19"/>
  <c r="AB27" i="19"/>
  <c r="W27" i="19"/>
  <c r="U27" i="19"/>
  <c r="R27" i="19"/>
  <c r="L27" i="19"/>
  <c r="K27" i="19"/>
  <c r="BB26" i="19"/>
  <c r="BA26" i="19"/>
  <c r="AZ26" i="19"/>
  <c r="AY26" i="19"/>
  <c r="AX26" i="19"/>
  <c r="AW26" i="19"/>
  <c r="AV26" i="19"/>
  <c r="AG25" i="19"/>
  <c r="AF25" i="19"/>
  <c r="AB25" i="19"/>
  <c r="W25" i="19"/>
  <c r="U25" i="19"/>
  <c r="R25" i="19"/>
  <c r="L25" i="19"/>
  <c r="K25" i="19"/>
  <c r="BB24" i="19"/>
  <c r="BA24" i="19"/>
  <c r="AZ24" i="19"/>
  <c r="AY24" i="19"/>
  <c r="AX24" i="19"/>
  <c r="AW24" i="19"/>
  <c r="AV24" i="19"/>
  <c r="Y25" i="19" s="1"/>
  <c r="AE25" i="19" s="1"/>
  <c r="AX23" i="19"/>
  <c r="AW23" i="19"/>
  <c r="AV23" i="19"/>
  <c r="AF23" i="19" s="1"/>
  <c r="AB23" i="19"/>
  <c r="Y23" i="19"/>
  <c r="AE23" i="19" s="1"/>
  <c r="W23" i="19"/>
  <c r="U23" i="19"/>
  <c r="R23" i="19"/>
  <c r="L23" i="19"/>
  <c r="K23" i="19"/>
  <c r="AX22" i="19"/>
  <c r="AW22" i="19"/>
  <c r="AG21" i="19"/>
  <c r="AF21" i="19"/>
  <c r="AB21" i="19"/>
  <c r="Y21" i="19"/>
  <c r="AE21" i="19" s="1"/>
  <c r="W21" i="19"/>
  <c r="U21" i="19"/>
  <c r="R21" i="19"/>
  <c r="L21" i="19"/>
  <c r="K21" i="19"/>
  <c r="AZ20" i="19"/>
  <c r="AY20" i="19"/>
  <c r="AX20" i="19"/>
  <c r="AW20" i="19"/>
  <c r="AG19" i="19"/>
  <c r="AF19" i="19"/>
  <c r="AB19" i="19"/>
  <c r="W19" i="19"/>
  <c r="U19" i="19"/>
  <c r="R19" i="19"/>
  <c r="L19" i="19"/>
  <c r="K19" i="19"/>
  <c r="BC18" i="19"/>
  <c r="BB18" i="19"/>
  <c r="BA18" i="19"/>
  <c r="AZ18" i="19"/>
  <c r="AY18" i="19"/>
  <c r="AX18" i="19"/>
  <c r="AW18" i="19"/>
  <c r="AV18" i="19"/>
  <c r="AG17" i="19"/>
  <c r="AF17" i="19"/>
  <c r="AB17" i="19"/>
  <c r="W17" i="19"/>
  <c r="U17" i="19"/>
  <c r="R17" i="19"/>
  <c r="L17" i="19"/>
  <c r="K17" i="19"/>
  <c r="BC16" i="19"/>
  <c r="BB16" i="19"/>
  <c r="BA16" i="19"/>
  <c r="AZ16" i="19"/>
  <c r="AY16" i="19"/>
  <c r="AX16" i="19"/>
  <c r="AW16" i="19"/>
  <c r="AV16" i="19"/>
  <c r="AG15" i="19"/>
  <c r="AF15" i="19"/>
  <c r="AB15" i="19"/>
  <c r="W15" i="19"/>
  <c r="U15" i="19"/>
  <c r="R15" i="19"/>
  <c r="L15" i="19"/>
  <c r="K15" i="19"/>
  <c r="BC14" i="19"/>
  <c r="BB14" i="19"/>
  <c r="BA14" i="19"/>
  <c r="AZ14" i="19"/>
  <c r="AY14" i="19"/>
  <c r="AX14" i="19"/>
  <c r="AW14" i="19"/>
  <c r="AV14" i="19"/>
  <c r="AG13" i="19"/>
  <c r="AF13" i="19"/>
  <c r="AB13" i="19"/>
  <c r="W13" i="19"/>
  <c r="U13" i="19"/>
  <c r="R13" i="19"/>
  <c r="L13" i="19"/>
  <c r="K13" i="19"/>
  <c r="BC12" i="19"/>
  <c r="BB12" i="19"/>
  <c r="BA12" i="19"/>
  <c r="AZ12" i="19"/>
  <c r="AY12" i="19"/>
  <c r="AX12" i="19"/>
  <c r="AW12" i="19"/>
  <c r="AV12" i="19"/>
  <c r="AG11" i="19"/>
  <c r="AF11" i="19"/>
  <c r="AB11" i="19"/>
  <c r="W11" i="19"/>
  <c r="U11" i="19"/>
  <c r="R11" i="19"/>
  <c r="L11" i="19"/>
  <c r="K11" i="19"/>
  <c r="BC10" i="19"/>
  <c r="BB10" i="19"/>
  <c r="BA10" i="19"/>
  <c r="AZ10" i="19"/>
  <c r="AY10" i="19"/>
  <c r="AX10" i="19"/>
  <c r="AW10" i="19"/>
  <c r="AV10" i="19"/>
  <c r="Y11" i="19" s="1"/>
  <c r="AE11" i="19" s="1"/>
  <c r="AG9" i="19"/>
  <c r="AF9" i="19"/>
  <c r="AB9" i="19"/>
  <c r="W9" i="19"/>
  <c r="U9" i="19"/>
  <c r="R9" i="19"/>
  <c r="L9" i="19"/>
  <c r="K9" i="19"/>
  <c r="BC8" i="19"/>
  <c r="BB8" i="19"/>
  <c r="BA8" i="19"/>
  <c r="AZ8" i="19"/>
  <c r="AY8" i="19"/>
  <c r="AX8" i="19"/>
  <c r="AW8" i="19"/>
  <c r="AV8" i="19"/>
  <c r="Y9" i="19" s="1"/>
  <c r="AE9" i="19" s="1"/>
  <c r="AG7" i="19"/>
  <c r="AF7" i="19"/>
  <c r="AB7" i="19"/>
  <c r="W7" i="19"/>
  <c r="U7" i="19"/>
  <c r="R7" i="19"/>
  <c r="L7" i="19"/>
  <c r="K7" i="19"/>
  <c r="BC6" i="19"/>
  <c r="BB6" i="19"/>
  <c r="BA6" i="19"/>
  <c r="AZ6" i="19"/>
  <c r="AY6" i="19"/>
  <c r="AX6" i="19"/>
  <c r="AW6" i="19"/>
  <c r="AV6" i="19"/>
  <c r="Y7" i="19" s="1"/>
  <c r="AE7" i="19" s="1"/>
  <c r="AG5" i="19"/>
  <c r="AF5" i="19"/>
  <c r="AB5" i="19"/>
  <c r="W5" i="19"/>
  <c r="U5" i="19"/>
  <c r="R5" i="19"/>
  <c r="L5" i="19"/>
  <c r="K5" i="19"/>
  <c r="BC4" i="19"/>
  <c r="BB4" i="19"/>
  <c r="BA4" i="19"/>
  <c r="AZ4" i="19"/>
  <c r="AY4" i="19"/>
  <c r="AX4" i="19"/>
  <c r="AW4" i="19"/>
  <c r="AV4" i="19"/>
  <c r="Y5" i="19" s="1"/>
  <c r="AE5" i="19" s="1"/>
  <c r="AT3" i="19"/>
  <c r="AS3" i="19"/>
  <c r="AR3" i="19"/>
  <c r="AQ3" i="19"/>
  <c r="AP3" i="19"/>
  <c r="AO3" i="19"/>
  <c r="AN3" i="19"/>
  <c r="AM3" i="19"/>
  <c r="AL3" i="19"/>
  <c r="AK3" i="19"/>
  <c r="AJ3" i="19"/>
  <c r="AI3" i="19"/>
  <c r="AG3" i="19"/>
  <c r="AF3" i="19"/>
  <c r="AC3" i="19"/>
  <c r="AD3" i="19" s="1"/>
  <c r="AB3" i="19"/>
  <c r="Y3" i="19"/>
  <c r="AE3" i="19" s="1"/>
  <c r="W3" i="19"/>
  <c r="U3" i="19"/>
  <c r="R3" i="19"/>
  <c r="L3" i="19"/>
  <c r="K3" i="19"/>
  <c r="A99" i="18"/>
  <c r="A97" i="18"/>
  <c r="B95" i="18"/>
  <c r="C95" i="18" s="1"/>
  <c r="A95" i="18"/>
  <c r="B93" i="18"/>
  <c r="C93" i="18" s="1"/>
  <c r="A93" i="18"/>
  <c r="B91" i="18"/>
  <c r="C91" i="18" s="1"/>
  <c r="A91" i="18"/>
  <c r="B89" i="18"/>
  <c r="C89" i="18" s="1"/>
  <c r="A89" i="18"/>
  <c r="A87" i="18"/>
  <c r="A85" i="18"/>
  <c r="A83" i="18"/>
  <c r="B81" i="18"/>
  <c r="C81" i="18" s="1"/>
  <c r="A81" i="18"/>
  <c r="B79" i="18"/>
  <c r="C79" i="18" s="1"/>
  <c r="A79" i="18"/>
  <c r="B77" i="18"/>
  <c r="C77" i="18" s="1"/>
  <c r="A77" i="18"/>
  <c r="B75" i="18"/>
  <c r="C75" i="18" s="1"/>
  <c r="A75" i="18"/>
  <c r="A73" i="18"/>
  <c r="A71" i="18"/>
  <c r="B67" i="18"/>
  <c r="C67" i="18" s="1"/>
  <c r="A67" i="18"/>
  <c r="B65" i="18"/>
  <c r="C65" i="18" s="1"/>
  <c r="A65" i="18"/>
  <c r="B63" i="18"/>
  <c r="C63" i="18" s="1"/>
  <c r="A63" i="18"/>
  <c r="B61" i="18"/>
  <c r="C61" i="18" s="1"/>
  <c r="A61" i="18"/>
  <c r="B59" i="18"/>
  <c r="C59" i="18" s="1"/>
  <c r="A59" i="18"/>
  <c r="B57" i="18"/>
  <c r="C57" i="18" s="1"/>
  <c r="A57" i="18"/>
  <c r="B55" i="18"/>
  <c r="C55" i="18" s="1"/>
  <c r="A55" i="18"/>
  <c r="B53" i="18"/>
  <c r="C53" i="18" s="1"/>
  <c r="A53" i="18"/>
  <c r="B51" i="18"/>
  <c r="C51" i="18" s="1"/>
  <c r="A51" i="18"/>
  <c r="B49" i="18"/>
  <c r="C49" i="18" s="1"/>
  <c r="A49" i="18"/>
  <c r="B47" i="18"/>
  <c r="C47" i="18" s="1"/>
  <c r="A47" i="18"/>
  <c r="B45" i="18"/>
  <c r="C45" i="18" s="1"/>
  <c r="A45" i="18"/>
  <c r="B43" i="18"/>
  <c r="C43" i="18" s="1"/>
  <c r="A43" i="18"/>
  <c r="B41" i="18"/>
  <c r="C41" i="18" s="1"/>
  <c r="A41" i="18"/>
  <c r="B39" i="18"/>
  <c r="C39" i="18" s="1"/>
  <c r="A39" i="18"/>
  <c r="B37" i="18"/>
  <c r="C37" i="18" s="1"/>
  <c r="A37" i="18"/>
  <c r="B35" i="18"/>
  <c r="C35" i="18" s="1"/>
  <c r="A35" i="18"/>
  <c r="B33" i="18"/>
  <c r="C33" i="18" s="1"/>
  <c r="A33" i="18"/>
  <c r="B31" i="18"/>
  <c r="C31" i="18" s="1"/>
  <c r="A31" i="18"/>
  <c r="B29" i="18"/>
  <c r="C29" i="18" s="1"/>
  <c r="A29" i="18"/>
  <c r="B27" i="18"/>
  <c r="C27" i="18" s="1"/>
  <c r="A27" i="18"/>
  <c r="B25" i="18"/>
  <c r="C25" i="18" s="1"/>
  <c r="A25" i="18"/>
  <c r="B23" i="18"/>
  <c r="C23" i="18" s="1"/>
  <c r="A23" i="18"/>
  <c r="B21" i="18"/>
  <c r="C21" i="18" s="1"/>
  <c r="A21" i="18"/>
  <c r="B19" i="18"/>
  <c r="C19" i="18" s="1"/>
  <c r="A19" i="18"/>
  <c r="B17" i="18"/>
  <c r="C17" i="18" s="1"/>
  <c r="A17" i="18"/>
  <c r="B15" i="18"/>
  <c r="C15" i="18" s="1"/>
  <c r="A15" i="18"/>
  <c r="B13" i="18"/>
  <c r="C13" i="18" s="1"/>
  <c r="A13" i="18"/>
  <c r="B11" i="18"/>
  <c r="C11" i="18" s="1"/>
  <c r="A11" i="18"/>
  <c r="B9" i="18"/>
  <c r="C9" i="18" s="1"/>
  <c r="A9" i="18"/>
  <c r="B7" i="18"/>
  <c r="C7" i="18" s="1"/>
  <c r="A7" i="18"/>
  <c r="B5" i="18"/>
  <c r="C5" i="18" s="1"/>
  <c r="A5" i="18"/>
  <c r="B3" i="18"/>
  <c r="C3" i="18" s="1"/>
  <c r="A3" i="18"/>
  <c r="AV70" i="17"/>
  <c r="AW70" i="17"/>
  <c r="AX70" i="17"/>
  <c r="K71" i="17"/>
  <c r="L71" i="17"/>
  <c r="F71" i="17"/>
  <c r="W71" i="17" s="1"/>
  <c r="R71" i="17"/>
  <c r="U71" i="17"/>
  <c r="Y71" i="17"/>
  <c r="AA71" i="17"/>
  <c r="AB71" i="17" s="1"/>
  <c r="AF71" i="17"/>
  <c r="AG71" i="17"/>
  <c r="AZ99" i="17"/>
  <c r="AY99" i="17"/>
  <c r="AX99" i="17"/>
  <c r="AW99" i="17"/>
  <c r="AV99" i="17"/>
  <c r="AF99" i="17" s="1"/>
  <c r="AA99" i="17"/>
  <c r="AB99" i="17" s="1"/>
  <c r="Y99" i="17"/>
  <c r="W99" i="17"/>
  <c r="U99" i="17"/>
  <c r="R99" i="17"/>
  <c r="L99" i="17"/>
  <c r="K99" i="17"/>
  <c r="AZ98" i="17"/>
  <c r="AY98" i="17"/>
  <c r="AX98" i="17"/>
  <c r="AW98" i="17"/>
  <c r="AZ97" i="17"/>
  <c r="AY97" i="17"/>
  <c r="AX97" i="17"/>
  <c r="AW97" i="17"/>
  <c r="AV97" i="17"/>
  <c r="AF97" i="17" s="1"/>
  <c r="AA97" i="17"/>
  <c r="B97" i="18" s="1"/>
  <c r="C97" i="18" s="1"/>
  <c r="Y97" i="17"/>
  <c r="W97" i="17"/>
  <c r="U97" i="17"/>
  <c r="R97" i="17"/>
  <c r="L97" i="17"/>
  <c r="K97" i="17"/>
  <c r="AZ96" i="17"/>
  <c r="AY96" i="17"/>
  <c r="AX96" i="17"/>
  <c r="AW96" i="17"/>
  <c r="AT95" i="17"/>
  <c r="AS95" i="17"/>
  <c r="AR95" i="17"/>
  <c r="AQ95" i="17"/>
  <c r="AP95" i="17"/>
  <c r="AO95" i="17"/>
  <c r="AN95" i="17"/>
  <c r="AM95" i="17"/>
  <c r="D95" i="18" s="1"/>
  <c r="AL95" i="17"/>
  <c r="AK95" i="17"/>
  <c r="AJ95" i="17"/>
  <c r="AI95" i="17"/>
  <c r="AG95" i="17"/>
  <c r="AF95" i="17"/>
  <c r="AC95" i="17"/>
  <c r="AD95" i="17" s="1"/>
  <c r="AB95" i="17"/>
  <c r="Y95" i="17"/>
  <c r="AE95" i="17" s="1"/>
  <c r="W95" i="17"/>
  <c r="U95" i="17"/>
  <c r="R95" i="17"/>
  <c r="L95" i="17"/>
  <c r="K95" i="17"/>
  <c r="AT93" i="17"/>
  <c r="AS93" i="17"/>
  <c r="AR93" i="17"/>
  <c r="AQ93" i="17"/>
  <c r="AP93" i="17"/>
  <c r="AO93" i="17"/>
  <c r="AN93" i="17"/>
  <c r="AM93" i="17"/>
  <c r="D93" i="18" s="1"/>
  <c r="AL93" i="17"/>
  <c r="AK93" i="17"/>
  <c r="AJ93" i="17"/>
  <c r="AI93" i="17"/>
  <c r="AG93" i="17"/>
  <c r="AF93" i="17"/>
  <c r="AC93" i="17"/>
  <c r="AD93" i="17" s="1"/>
  <c r="AB93" i="17"/>
  <c r="Y93" i="17"/>
  <c r="AE93" i="17" s="1"/>
  <c r="W93" i="17"/>
  <c r="U93" i="17"/>
  <c r="R93" i="17"/>
  <c r="L93" i="17"/>
  <c r="K93" i="17"/>
  <c r="AG91" i="17"/>
  <c r="AF91" i="17"/>
  <c r="AB91" i="17"/>
  <c r="Y91" i="17"/>
  <c r="AE91" i="17" s="1"/>
  <c r="W91" i="17"/>
  <c r="U91" i="17"/>
  <c r="R91" i="17"/>
  <c r="L91" i="17"/>
  <c r="K91" i="17"/>
  <c r="AZ90" i="17"/>
  <c r="AY90" i="17"/>
  <c r="AX90" i="17"/>
  <c r="AW90" i="17"/>
  <c r="AG89" i="17"/>
  <c r="AF89" i="17"/>
  <c r="AB89" i="17"/>
  <c r="Y89" i="17"/>
  <c r="AE89" i="17" s="1"/>
  <c r="W89" i="17"/>
  <c r="U89" i="17"/>
  <c r="R89" i="17"/>
  <c r="L89" i="17"/>
  <c r="K89" i="17"/>
  <c r="AZ88" i="17"/>
  <c r="AY88" i="17"/>
  <c r="AX88" i="17"/>
  <c r="AW88" i="17"/>
  <c r="AG87" i="17"/>
  <c r="AF87" i="17"/>
  <c r="AA87" i="17"/>
  <c r="AB87" i="17" s="1"/>
  <c r="Y87" i="17"/>
  <c r="W87" i="17"/>
  <c r="U87" i="17"/>
  <c r="R87" i="17"/>
  <c r="L87" i="17"/>
  <c r="K87" i="17"/>
  <c r="AX86" i="17"/>
  <c r="AW86" i="17"/>
  <c r="AG85" i="17"/>
  <c r="AF85" i="17"/>
  <c r="AA85" i="17"/>
  <c r="AB85" i="17" s="1"/>
  <c r="Y85" i="17"/>
  <c r="W85" i="17"/>
  <c r="U85" i="17"/>
  <c r="R85" i="17"/>
  <c r="L85" i="17"/>
  <c r="K85" i="17"/>
  <c r="AX84" i="17"/>
  <c r="AW84" i="17"/>
  <c r="AG83" i="17"/>
  <c r="AF83" i="17"/>
  <c r="AA83" i="17"/>
  <c r="AB83" i="17" s="1"/>
  <c r="Y83" i="17"/>
  <c r="W83" i="17"/>
  <c r="U83" i="17"/>
  <c r="R83" i="17"/>
  <c r="L83" i="17"/>
  <c r="K83" i="17"/>
  <c r="AX82" i="17"/>
  <c r="AW82" i="17"/>
  <c r="AG81" i="17"/>
  <c r="AF81" i="17"/>
  <c r="AB81" i="17"/>
  <c r="W81" i="17"/>
  <c r="U81" i="17"/>
  <c r="R81" i="17"/>
  <c r="L81" i="17"/>
  <c r="K81" i="17"/>
  <c r="AX80" i="17"/>
  <c r="AW80" i="17"/>
  <c r="AV80" i="17"/>
  <c r="AG79" i="17"/>
  <c r="AF79" i="17"/>
  <c r="AB79" i="17"/>
  <c r="W79" i="17"/>
  <c r="U79" i="17"/>
  <c r="R79" i="17"/>
  <c r="L79" i="17"/>
  <c r="K79" i="17"/>
  <c r="AX78" i="17"/>
  <c r="AW78" i="17"/>
  <c r="AV78" i="17"/>
  <c r="AG77" i="17"/>
  <c r="AF77" i="17"/>
  <c r="AB77" i="17"/>
  <c r="W77" i="17"/>
  <c r="U77" i="17"/>
  <c r="R77" i="17"/>
  <c r="L77" i="17"/>
  <c r="K77" i="17"/>
  <c r="AX76" i="17"/>
  <c r="AW76" i="17"/>
  <c r="AV76" i="17"/>
  <c r="AG75" i="17"/>
  <c r="AF75" i="17"/>
  <c r="AB75" i="17"/>
  <c r="W75" i="17"/>
  <c r="U75" i="17"/>
  <c r="R75" i="17"/>
  <c r="L75" i="17"/>
  <c r="K75" i="17"/>
  <c r="AX74" i="17"/>
  <c r="AW74" i="17"/>
  <c r="AV74" i="17"/>
  <c r="AG73" i="17"/>
  <c r="AF73" i="17"/>
  <c r="AA73" i="17"/>
  <c r="B73" i="18" s="1"/>
  <c r="C73" i="18" s="1"/>
  <c r="U73" i="17"/>
  <c r="R73" i="17"/>
  <c r="F73" i="17"/>
  <c r="W73" i="17" s="1"/>
  <c r="L73" i="17"/>
  <c r="K73" i="17"/>
  <c r="AX72" i="17"/>
  <c r="AW72" i="17"/>
  <c r="AV72" i="17"/>
  <c r="AG67" i="17"/>
  <c r="AF67" i="17"/>
  <c r="AB67" i="17"/>
  <c r="W67" i="17"/>
  <c r="U67" i="17"/>
  <c r="R67" i="17"/>
  <c r="L67" i="17"/>
  <c r="K67" i="17"/>
  <c r="BA66" i="17"/>
  <c r="AZ66" i="17"/>
  <c r="AY66" i="17"/>
  <c r="AX66" i="17"/>
  <c r="AW66" i="17"/>
  <c r="AV66" i="17"/>
  <c r="Y67" i="17" s="1"/>
  <c r="AE67" i="17" s="1"/>
  <c r="AG65" i="17"/>
  <c r="AF65" i="17"/>
  <c r="AB65" i="17"/>
  <c r="W65" i="17"/>
  <c r="U65" i="17"/>
  <c r="R65" i="17"/>
  <c r="L65" i="17"/>
  <c r="K65" i="17"/>
  <c r="BA64" i="17"/>
  <c r="AZ64" i="17"/>
  <c r="AY64" i="17"/>
  <c r="AX64" i="17"/>
  <c r="AW64" i="17"/>
  <c r="AV64" i="17"/>
  <c r="AG63" i="17"/>
  <c r="AF63" i="17"/>
  <c r="AB63" i="17"/>
  <c r="W63" i="17"/>
  <c r="U63" i="17"/>
  <c r="R63" i="17"/>
  <c r="L63" i="17"/>
  <c r="K63" i="17"/>
  <c r="BA62" i="17"/>
  <c r="AZ62" i="17"/>
  <c r="AY62" i="17"/>
  <c r="AX62" i="17"/>
  <c r="AW62" i="17"/>
  <c r="AV62" i="17"/>
  <c r="AG61" i="17"/>
  <c r="AF61" i="17"/>
  <c r="AB61" i="17"/>
  <c r="W61" i="17"/>
  <c r="U61" i="17"/>
  <c r="R61" i="17"/>
  <c r="L61" i="17"/>
  <c r="K61" i="17"/>
  <c r="BA60" i="17"/>
  <c r="AZ60" i="17"/>
  <c r="AY60" i="17"/>
  <c r="AX60" i="17"/>
  <c r="AW60" i="17"/>
  <c r="AV60" i="17"/>
  <c r="Y61" i="17" s="1"/>
  <c r="AE61" i="17" s="1"/>
  <c r="AG59" i="17"/>
  <c r="AF59" i="17"/>
  <c r="AB59" i="17"/>
  <c r="W59" i="17"/>
  <c r="U59" i="17"/>
  <c r="R59" i="17"/>
  <c r="L59" i="17"/>
  <c r="K59" i="17"/>
  <c r="BD58" i="17"/>
  <c r="BC58" i="17"/>
  <c r="BB58" i="17"/>
  <c r="BA58" i="17"/>
  <c r="AZ58" i="17"/>
  <c r="AY58" i="17"/>
  <c r="AX58" i="17"/>
  <c r="AW58" i="17"/>
  <c r="AV58" i="17"/>
  <c r="AG57" i="17"/>
  <c r="AF57" i="17"/>
  <c r="AB57" i="17"/>
  <c r="W57" i="17"/>
  <c r="U57" i="17"/>
  <c r="R57" i="17"/>
  <c r="L57" i="17"/>
  <c r="K57" i="17"/>
  <c r="BD56" i="17"/>
  <c r="BC56" i="17"/>
  <c r="BB56" i="17"/>
  <c r="BA56" i="17"/>
  <c r="AZ56" i="17"/>
  <c r="AY56" i="17"/>
  <c r="AX56" i="17"/>
  <c r="AW56" i="17"/>
  <c r="AV56" i="17"/>
  <c r="Y57" i="17" s="1"/>
  <c r="AE57" i="17" s="1"/>
  <c r="AG55" i="17"/>
  <c r="AF55" i="17"/>
  <c r="AB55" i="17"/>
  <c r="W55" i="17"/>
  <c r="U55" i="17"/>
  <c r="R55" i="17"/>
  <c r="L55" i="17"/>
  <c r="K55" i="17"/>
  <c r="BD54" i="17"/>
  <c r="BC54" i="17"/>
  <c r="BB54" i="17"/>
  <c r="BA54" i="17"/>
  <c r="AZ54" i="17"/>
  <c r="AY54" i="17"/>
  <c r="AX54" i="17"/>
  <c r="AW54" i="17"/>
  <c r="AV54" i="17"/>
  <c r="AG53" i="17"/>
  <c r="AF53" i="17"/>
  <c r="AB53" i="17"/>
  <c r="W53" i="17"/>
  <c r="U53" i="17"/>
  <c r="R53" i="17"/>
  <c r="L53" i="17"/>
  <c r="K53" i="17"/>
  <c r="BD52" i="17"/>
  <c r="BC52" i="17"/>
  <c r="BB52" i="17"/>
  <c r="BA52" i="17"/>
  <c r="AZ52" i="17"/>
  <c r="AY52" i="17"/>
  <c r="AX52" i="17"/>
  <c r="AW52" i="17"/>
  <c r="AV52" i="17"/>
  <c r="AG51" i="17"/>
  <c r="AF51" i="17"/>
  <c r="AB51" i="17"/>
  <c r="W51" i="17"/>
  <c r="U51" i="17"/>
  <c r="R51" i="17"/>
  <c r="L51" i="17"/>
  <c r="K51" i="17"/>
  <c r="BD50" i="17"/>
  <c r="BC50" i="17"/>
  <c r="BB50" i="17"/>
  <c r="BA50" i="17"/>
  <c r="AZ50" i="17"/>
  <c r="AY50" i="17"/>
  <c r="AX50" i="17"/>
  <c r="AW50" i="17"/>
  <c r="AV50" i="17"/>
  <c r="Y51" i="17" s="1"/>
  <c r="AE51" i="17" s="1"/>
  <c r="AG49" i="17"/>
  <c r="AF49" i="17"/>
  <c r="AB49" i="17"/>
  <c r="W49" i="17"/>
  <c r="U49" i="17"/>
  <c r="R49" i="17"/>
  <c r="L49" i="17"/>
  <c r="K49" i="17"/>
  <c r="BD48" i="17"/>
  <c r="BC48" i="17"/>
  <c r="BB48" i="17"/>
  <c r="BA48" i="17"/>
  <c r="AZ48" i="17"/>
  <c r="AY48" i="17"/>
  <c r="AX48" i="17"/>
  <c r="AW48" i="17"/>
  <c r="AV48" i="17"/>
  <c r="Y49" i="17" s="1"/>
  <c r="AE49" i="17" s="1"/>
  <c r="AG47" i="17"/>
  <c r="AF47" i="17"/>
  <c r="AB47" i="17"/>
  <c r="W47" i="17"/>
  <c r="U47" i="17"/>
  <c r="R47" i="17"/>
  <c r="L47" i="17"/>
  <c r="K47" i="17"/>
  <c r="BD46" i="17"/>
  <c r="BC46" i="17"/>
  <c r="BB46" i="17"/>
  <c r="BA46" i="17"/>
  <c r="AZ46" i="17"/>
  <c r="AY46" i="17"/>
  <c r="AX46" i="17"/>
  <c r="AW46" i="17"/>
  <c r="AV46" i="17"/>
  <c r="AG45" i="17"/>
  <c r="AF45" i="17"/>
  <c r="AB45" i="17"/>
  <c r="W45" i="17"/>
  <c r="U45" i="17"/>
  <c r="R45" i="17"/>
  <c r="L45" i="17"/>
  <c r="K45" i="17"/>
  <c r="BD44" i="17"/>
  <c r="BC44" i="17"/>
  <c r="BB44" i="17"/>
  <c r="BA44" i="17"/>
  <c r="AZ44" i="17"/>
  <c r="AY44" i="17"/>
  <c r="AX44" i="17"/>
  <c r="AW44" i="17"/>
  <c r="AV44" i="17"/>
  <c r="AG43" i="17"/>
  <c r="AF43" i="17"/>
  <c r="AB43" i="17"/>
  <c r="W43" i="17"/>
  <c r="U43" i="17"/>
  <c r="R43" i="17"/>
  <c r="L43" i="17"/>
  <c r="K43" i="17"/>
  <c r="BD42" i="17"/>
  <c r="BC42" i="17"/>
  <c r="BB42" i="17"/>
  <c r="BA42" i="17"/>
  <c r="AZ42" i="17"/>
  <c r="AY42" i="17"/>
  <c r="AX42" i="17"/>
  <c r="AW42" i="17"/>
  <c r="AV42" i="17"/>
  <c r="AG41" i="17"/>
  <c r="AF41" i="17"/>
  <c r="AB41" i="17"/>
  <c r="W41" i="17"/>
  <c r="U41" i="17"/>
  <c r="R41" i="17"/>
  <c r="L41" i="17"/>
  <c r="K41" i="17"/>
  <c r="BD40" i="17"/>
  <c r="BC40" i="17"/>
  <c r="BB40" i="17"/>
  <c r="BA40" i="17"/>
  <c r="AZ40" i="17"/>
  <c r="AY40" i="17"/>
  <c r="AX40" i="17"/>
  <c r="AW40" i="17"/>
  <c r="AV40" i="17"/>
  <c r="Y41" i="17" s="1"/>
  <c r="AE41" i="17" s="1"/>
  <c r="AG39" i="17"/>
  <c r="AF39" i="17"/>
  <c r="AB39" i="17"/>
  <c r="W39" i="17"/>
  <c r="U39" i="17"/>
  <c r="R39" i="17"/>
  <c r="L39" i="17"/>
  <c r="K39" i="17"/>
  <c r="BB38" i="17"/>
  <c r="BA38" i="17"/>
  <c r="AZ38" i="17"/>
  <c r="AY38" i="17"/>
  <c r="AX38" i="17"/>
  <c r="AW38" i="17"/>
  <c r="AV38" i="17"/>
  <c r="AG37" i="17"/>
  <c r="AF37" i="17"/>
  <c r="AB37" i="17"/>
  <c r="W37" i="17"/>
  <c r="U37" i="17"/>
  <c r="R37" i="17"/>
  <c r="L37" i="17"/>
  <c r="K37" i="17"/>
  <c r="BB36" i="17"/>
  <c r="BA36" i="17"/>
  <c r="AZ36" i="17"/>
  <c r="AY36" i="17"/>
  <c r="AX36" i="17"/>
  <c r="AW36" i="17"/>
  <c r="AV36" i="17"/>
  <c r="Y37" i="17" s="1"/>
  <c r="AE37" i="17" s="1"/>
  <c r="AG35" i="17"/>
  <c r="AF35" i="17"/>
  <c r="AB35" i="17"/>
  <c r="W35" i="17"/>
  <c r="U35" i="17"/>
  <c r="R35" i="17"/>
  <c r="L35" i="17"/>
  <c r="K35" i="17"/>
  <c r="BB34" i="17"/>
  <c r="BA34" i="17"/>
  <c r="AZ34" i="17"/>
  <c r="AY34" i="17"/>
  <c r="AX34" i="17"/>
  <c r="AW34" i="17"/>
  <c r="AV34" i="17"/>
  <c r="AG33" i="17"/>
  <c r="AF33" i="17"/>
  <c r="AB33" i="17"/>
  <c r="W33" i="17"/>
  <c r="U33" i="17"/>
  <c r="R33" i="17"/>
  <c r="L33" i="17"/>
  <c r="K33" i="17"/>
  <c r="BB32" i="17"/>
  <c r="BA32" i="17"/>
  <c r="AZ32" i="17"/>
  <c r="AY32" i="17"/>
  <c r="AX32" i="17"/>
  <c r="AW32" i="17"/>
  <c r="AV32" i="17"/>
  <c r="AG31" i="17"/>
  <c r="AF31" i="17"/>
  <c r="AB31" i="17"/>
  <c r="Y31" i="17"/>
  <c r="AE31" i="17" s="1"/>
  <c r="W31" i="17"/>
  <c r="U31" i="17"/>
  <c r="R31" i="17"/>
  <c r="L31" i="17"/>
  <c r="K31" i="17"/>
  <c r="AZ30" i="17"/>
  <c r="AY30" i="17"/>
  <c r="AX30" i="17"/>
  <c r="AW30" i="17"/>
  <c r="AG29" i="17"/>
  <c r="AF29" i="17"/>
  <c r="AB29" i="17"/>
  <c r="Y29" i="17"/>
  <c r="AE29" i="17" s="1"/>
  <c r="W29" i="17"/>
  <c r="U29" i="17"/>
  <c r="R29" i="17"/>
  <c r="L29" i="17"/>
  <c r="K29" i="17"/>
  <c r="AZ28" i="17"/>
  <c r="AY28" i="17"/>
  <c r="AX28" i="17"/>
  <c r="AW28" i="17"/>
  <c r="AX27" i="17"/>
  <c r="AW27" i="17"/>
  <c r="AV27" i="17"/>
  <c r="AB27" i="17"/>
  <c r="Y27" i="17"/>
  <c r="AE27" i="17" s="1"/>
  <c r="W27" i="17"/>
  <c r="U27" i="17"/>
  <c r="R27" i="17"/>
  <c r="L27" i="17"/>
  <c r="K27" i="17"/>
  <c r="AX26" i="17"/>
  <c r="AW26" i="17"/>
  <c r="AG25" i="17"/>
  <c r="AF25" i="17"/>
  <c r="AB25" i="17"/>
  <c r="Y25" i="17"/>
  <c r="AE25" i="17" s="1"/>
  <c r="W25" i="17"/>
  <c r="U25" i="17"/>
  <c r="R25" i="17"/>
  <c r="L25" i="17"/>
  <c r="K25" i="17"/>
  <c r="AZ24" i="17"/>
  <c r="AY24" i="17"/>
  <c r="AX24" i="17"/>
  <c r="AW24" i="17"/>
  <c r="AG23" i="17"/>
  <c r="AF23" i="17"/>
  <c r="AB23" i="17"/>
  <c r="Y23" i="17"/>
  <c r="AE23" i="17" s="1"/>
  <c r="W23" i="17"/>
  <c r="U23" i="17"/>
  <c r="R23" i="17"/>
  <c r="L23" i="17"/>
  <c r="K23" i="17"/>
  <c r="AX22" i="17"/>
  <c r="AW22" i="17"/>
  <c r="AG21" i="17"/>
  <c r="AF21" i="17"/>
  <c r="AB21" i="17"/>
  <c r="Y21" i="17"/>
  <c r="AE21" i="17" s="1"/>
  <c r="W21" i="17"/>
  <c r="U21" i="17"/>
  <c r="R21" i="17"/>
  <c r="L21" i="17"/>
  <c r="K21" i="17"/>
  <c r="AX20" i="17"/>
  <c r="AW20" i="17"/>
  <c r="AG19" i="17"/>
  <c r="AF19" i="17"/>
  <c r="AB19" i="17"/>
  <c r="W19" i="17"/>
  <c r="U19" i="17"/>
  <c r="R19" i="17"/>
  <c r="L19" i="17"/>
  <c r="K19" i="17"/>
  <c r="BC18" i="17"/>
  <c r="BB18" i="17"/>
  <c r="BA18" i="17"/>
  <c r="AZ18" i="17"/>
  <c r="AY18" i="17"/>
  <c r="AX18" i="17"/>
  <c r="AW18" i="17"/>
  <c r="AV18" i="17"/>
  <c r="Y19" i="17" s="1"/>
  <c r="AE19" i="17" s="1"/>
  <c r="AG17" i="17"/>
  <c r="AF17" i="17"/>
  <c r="AB17" i="17"/>
  <c r="W17" i="17"/>
  <c r="U17" i="17"/>
  <c r="R17" i="17"/>
  <c r="L17" i="17"/>
  <c r="K17" i="17"/>
  <c r="BC16" i="17"/>
  <c r="BB16" i="17"/>
  <c r="BA16" i="17"/>
  <c r="AZ16" i="17"/>
  <c r="AY16" i="17"/>
  <c r="AX16" i="17"/>
  <c r="AW16" i="17"/>
  <c r="AV16" i="17"/>
  <c r="Y17" i="17" s="1"/>
  <c r="AE17" i="17" s="1"/>
  <c r="AG15" i="17"/>
  <c r="AF15" i="17"/>
  <c r="AB15" i="17"/>
  <c r="W15" i="17"/>
  <c r="U15" i="17"/>
  <c r="R15" i="17"/>
  <c r="L15" i="17"/>
  <c r="K15" i="17"/>
  <c r="BC14" i="17"/>
  <c r="BB14" i="17"/>
  <c r="BA14" i="17"/>
  <c r="AZ14" i="17"/>
  <c r="AY14" i="17"/>
  <c r="AX14" i="17"/>
  <c r="AW14" i="17"/>
  <c r="AV14" i="17"/>
  <c r="Y15" i="17" s="1"/>
  <c r="AE15" i="17" s="1"/>
  <c r="AG13" i="17"/>
  <c r="AF13" i="17"/>
  <c r="AB13" i="17"/>
  <c r="W13" i="17"/>
  <c r="U13" i="17"/>
  <c r="R13" i="17"/>
  <c r="L13" i="17"/>
  <c r="K13" i="17"/>
  <c r="BC12" i="17"/>
  <c r="BB12" i="17"/>
  <c r="BA12" i="17"/>
  <c r="AZ12" i="17"/>
  <c r="AY12" i="17"/>
  <c r="AX12" i="17"/>
  <c r="AW12" i="17"/>
  <c r="AV12" i="17"/>
  <c r="Y13" i="17" s="1"/>
  <c r="AE13" i="17" s="1"/>
  <c r="AG11" i="17"/>
  <c r="AF11" i="17"/>
  <c r="AB11" i="17"/>
  <c r="W11" i="17"/>
  <c r="U11" i="17"/>
  <c r="R11" i="17"/>
  <c r="L11" i="17"/>
  <c r="K11" i="17"/>
  <c r="BC10" i="17"/>
  <c r="BB10" i="17"/>
  <c r="BA10" i="17"/>
  <c r="AZ10" i="17"/>
  <c r="AY10" i="17"/>
  <c r="AX10" i="17"/>
  <c r="AW10" i="17"/>
  <c r="AV10" i="17"/>
  <c r="Y11" i="17" s="1"/>
  <c r="AE11" i="17" s="1"/>
  <c r="AG9" i="17"/>
  <c r="AF9" i="17"/>
  <c r="AB9" i="17"/>
  <c r="W9" i="17"/>
  <c r="U9" i="17"/>
  <c r="R9" i="17"/>
  <c r="L9" i="17"/>
  <c r="K9" i="17"/>
  <c r="BC8" i="17"/>
  <c r="BB8" i="17"/>
  <c r="BA8" i="17"/>
  <c r="AZ8" i="17"/>
  <c r="AY8" i="17"/>
  <c r="AX8" i="17"/>
  <c r="AW8" i="17"/>
  <c r="AV8" i="17"/>
  <c r="Y9" i="17" s="1"/>
  <c r="AE9" i="17" s="1"/>
  <c r="AG7" i="17"/>
  <c r="AF7" i="17"/>
  <c r="AB7" i="17"/>
  <c r="W7" i="17"/>
  <c r="U7" i="17"/>
  <c r="R7" i="17"/>
  <c r="L7" i="17"/>
  <c r="K7" i="17"/>
  <c r="BC6" i="17"/>
  <c r="BB6" i="17"/>
  <c r="BA6" i="17"/>
  <c r="AZ6" i="17"/>
  <c r="AY6" i="17"/>
  <c r="AX6" i="17"/>
  <c r="AW6" i="17"/>
  <c r="AV6" i="17"/>
  <c r="Y7" i="17" s="1"/>
  <c r="AE7" i="17" s="1"/>
  <c r="AG5" i="17"/>
  <c r="AF5" i="17"/>
  <c r="AB5" i="17"/>
  <c r="W5" i="17"/>
  <c r="U5" i="17"/>
  <c r="R5" i="17"/>
  <c r="L5" i="17"/>
  <c r="K5" i="17"/>
  <c r="BC4" i="17"/>
  <c r="BB4" i="17"/>
  <c r="BA4" i="17"/>
  <c r="AZ4" i="17"/>
  <c r="AY4" i="17"/>
  <c r="AX4" i="17"/>
  <c r="AW4" i="17"/>
  <c r="AV4" i="17"/>
  <c r="Y5" i="17" s="1"/>
  <c r="AE5" i="17" s="1"/>
  <c r="AT3" i="17"/>
  <c r="AS3" i="17"/>
  <c r="AR3" i="17"/>
  <c r="AQ3" i="17"/>
  <c r="AP3" i="17"/>
  <c r="AO3" i="17"/>
  <c r="AN3" i="17"/>
  <c r="AM3" i="17"/>
  <c r="AL3" i="17"/>
  <c r="AK3" i="17"/>
  <c r="AJ3" i="17"/>
  <c r="AI3" i="17"/>
  <c r="AG3" i="17"/>
  <c r="AF3" i="17"/>
  <c r="AC3" i="17"/>
  <c r="AD3" i="17" s="1"/>
  <c r="AB3" i="17"/>
  <c r="Y3" i="17"/>
  <c r="AE3" i="17" s="1"/>
  <c r="W3" i="17"/>
  <c r="U3" i="17"/>
  <c r="R3" i="17"/>
  <c r="L3" i="17"/>
  <c r="K3" i="17"/>
  <c r="D3" i="18" l="1"/>
  <c r="B23" i="21"/>
  <c r="C23" i="21" s="1"/>
  <c r="B11" i="21"/>
  <c r="C11" i="21" s="1"/>
  <c r="D3" i="22"/>
  <c r="B69" i="22"/>
  <c r="C69" i="22" s="1"/>
  <c r="B71" i="22"/>
  <c r="C71" i="22" s="1"/>
  <c r="B83" i="18"/>
  <c r="C83" i="18" s="1"/>
  <c r="B87" i="18"/>
  <c r="C87" i="18" s="1"/>
  <c r="B99" i="18"/>
  <c r="C99" i="18" s="1"/>
  <c r="B71" i="18"/>
  <c r="C71" i="18" s="1"/>
  <c r="B85" i="18"/>
  <c r="C85" i="18" s="1"/>
  <c r="AC17" i="20"/>
  <c r="AD17" i="20" s="1"/>
  <c r="AJ5" i="20"/>
  <c r="AI17" i="20"/>
  <c r="AK5" i="20"/>
  <c r="AJ3" i="20"/>
  <c r="AE25" i="20"/>
  <c r="AK9" i="20"/>
  <c r="AK25" i="20"/>
  <c r="AJ13" i="20"/>
  <c r="AC19" i="20"/>
  <c r="AD19" i="20" s="1"/>
  <c r="AC23" i="20"/>
  <c r="AD23" i="20" s="1"/>
  <c r="AI7" i="20"/>
  <c r="AE23" i="20"/>
  <c r="AC3" i="20"/>
  <c r="AD3" i="20" s="1"/>
  <c r="AJ11" i="20"/>
  <c r="Y11" i="20"/>
  <c r="AE11" i="20" s="1"/>
  <c r="AO11" i="20"/>
  <c r="AI3" i="20"/>
  <c r="AC5" i="20"/>
  <c r="AD5" i="20" s="1"/>
  <c r="AJ9" i="20"/>
  <c r="AC11" i="20"/>
  <c r="AD11" i="20" s="1"/>
  <c r="AC15" i="20"/>
  <c r="AD15" i="20" s="1"/>
  <c r="AJ21" i="20"/>
  <c r="AL23" i="20"/>
  <c r="AI9" i="20"/>
  <c r="AK17" i="20"/>
  <c r="AM23" i="20"/>
  <c r="D23" i="21" s="1"/>
  <c r="AC25" i="20"/>
  <c r="AD25" i="20" s="1"/>
  <c r="AK3" i="20"/>
  <c r="AI5" i="20"/>
  <c r="AC9" i="20"/>
  <c r="AD9" i="20" s="1"/>
  <c r="AI21" i="20"/>
  <c r="AK7" i="20"/>
  <c r="AC13" i="20"/>
  <c r="AD13" i="20" s="1"/>
  <c r="AK13" i="20"/>
  <c r="AE13" i="20"/>
  <c r="AB13" i="20"/>
  <c r="AI25" i="20"/>
  <c r="AC21" i="20"/>
  <c r="AD21" i="20" s="1"/>
  <c r="AK21" i="20"/>
  <c r="AK23" i="20"/>
  <c r="AR23" i="20"/>
  <c r="AJ23" i="20"/>
  <c r="AI23" i="20"/>
  <c r="AG23" i="20"/>
  <c r="AF23" i="20"/>
  <c r="AB25" i="20"/>
  <c r="AC7" i="20"/>
  <c r="AD7" i="20" s="1"/>
  <c r="AJ7" i="20"/>
  <c r="AI13" i="20"/>
  <c r="AJ25" i="20"/>
  <c r="AP11" i="20"/>
  <c r="Y17" i="20"/>
  <c r="AE17" i="20" s="1"/>
  <c r="AJ17" i="20"/>
  <c r="AR17" i="20"/>
  <c r="AI11" i="20"/>
  <c r="AI15" i="20"/>
  <c r="Y15" i="20"/>
  <c r="AE15" i="20" s="1"/>
  <c r="AJ15" i="20"/>
  <c r="AI19" i="20"/>
  <c r="AK11" i="20"/>
  <c r="AS11" i="20"/>
  <c r="AN13" i="20"/>
  <c r="AK15" i="20"/>
  <c r="AM17" i="20"/>
  <c r="D17" i="21" s="1"/>
  <c r="AJ19" i="20"/>
  <c r="AN17" i="20"/>
  <c r="AK19" i="20"/>
  <c r="AG25" i="20"/>
  <c r="AC23" i="19"/>
  <c r="AD23" i="19" s="1"/>
  <c r="AK71" i="19"/>
  <c r="AI39" i="19"/>
  <c r="AK69" i="19"/>
  <c r="AI57" i="19"/>
  <c r="AC5" i="19"/>
  <c r="AD5" i="19" s="1"/>
  <c r="AJ35" i="19"/>
  <c r="AK45" i="19"/>
  <c r="AJ59" i="19"/>
  <c r="AJ43" i="19"/>
  <c r="AI49" i="19"/>
  <c r="AK53" i="19"/>
  <c r="AI63" i="19"/>
  <c r="AC9" i="19"/>
  <c r="AD9" i="19" s="1"/>
  <c r="AJ25" i="19"/>
  <c r="AI19" i="19"/>
  <c r="AC21" i="19"/>
  <c r="AD21" i="19" s="1"/>
  <c r="AJ7" i="19"/>
  <c r="AC13" i="19"/>
  <c r="AD13" i="19" s="1"/>
  <c r="AK21" i="19"/>
  <c r="AC25" i="19"/>
  <c r="AD25" i="19" s="1"/>
  <c r="AC29" i="19"/>
  <c r="AD29" i="19" s="1"/>
  <c r="AI29" i="19"/>
  <c r="AC31" i="19"/>
  <c r="AD31" i="19" s="1"/>
  <c r="Y33" i="19"/>
  <c r="AE33" i="19" s="1"/>
  <c r="AJ37" i="19"/>
  <c r="AJ49" i="19"/>
  <c r="AE71" i="19"/>
  <c r="AK5" i="19"/>
  <c r="AK9" i="19"/>
  <c r="AC17" i="19"/>
  <c r="AD17" i="19" s="1"/>
  <c r="AK23" i="19"/>
  <c r="AI25" i="19"/>
  <c r="AK29" i="19"/>
  <c r="AI35" i="19"/>
  <c r="AC39" i="19"/>
  <c r="AD39" i="19" s="1"/>
  <c r="AI43" i="19"/>
  <c r="AI59" i="19"/>
  <c r="AJ71" i="19"/>
  <c r="AI13" i="19"/>
  <c r="AK31" i="19"/>
  <c r="AK39" i="19"/>
  <c r="AJ51" i="19"/>
  <c r="AC71" i="19"/>
  <c r="AD71" i="19" s="1"/>
  <c r="AJ5" i="19"/>
  <c r="AJ9" i="19"/>
  <c r="AK11" i="19"/>
  <c r="AK15" i="19"/>
  <c r="AI17" i="19"/>
  <c r="Y29" i="19"/>
  <c r="AE29" i="19" s="1"/>
  <c r="AJ33" i="19"/>
  <c r="Y59" i="19"/>
  <c r="AE59" i="19" s="1"/>
  <c r="AK63" i="19"/>
  <c r="AK65" i="19"/>
  <c r="AC69" i="19"/>
  <c r="AD69" i="19" s="1"/>
  <c r="AK7" i="19"/>
  <c r="AL9" i="19"/>
  <c r="AC11" i="19"/>
  <c r="AD11" i="19" s="1"/>
  <c r="AK19" i="19"/>
  <c r="AJ23" i="19"/>
  <c r="AK33" i="19"/>
  <c r="AK41" i="19"/>
  <c r="AC53" i="19"/>
  <c r="AD53" i="19" s="1"/>
  <c r="AC45" i="19"/>
  <c r="AD45" i="19" s="1"/>
  <c r="AK59" i="19"/>
  <c r="AC7" i="19"/>
  <c r="AD7" i="19" s="1"/>
  <c r="AI15" i="19"/>
  <c r="AI71" i="19"/>
  <c r="AJ11" i="19"/>
  <c r="AC19" i="19"/>
  <c r="AD19" i="19" s="1"/>
  <c r="AR13" i="19"/>
  <c r="AJ13" i="19"/>
  <c r="Y13" i="19"/>
  <c r="AE13" i="19" s="1"/>
  <c r="AO13" i="19"/>
  <c r="AR17" i="19"/>
  <c r="AJ17" i="19"/>
  <c r="Y17" i="19"/>
  <c r="AE17" i="19" s="1"/>
  <c r="AJ29" i="19"/>
  <c r="AI33" i="19"/>
  <c r="AK35" i="19"/>
  <c r="AC37" i="19"/>
  <c r="AD37" i="19" s="1"/>
  <c r="AI23" i="19"/>
  <c r="AO27" i="19"/>
  <c r="AT27" i="19"/>
  <c r="AL27" i="19"/>
  <c r="AC27" i="19"/>
  <c r="AD27" i="19" s="1"/>
  <c r="AR45" i="19"/>
  <c r="AJ45" i="19"/>
  <c r="Y45" i="19"/>
  <c r="AE45" i="19" s="1"/>
  <c r="AO45" i="19"/>
  <c r="AI51" i="19"/>
  <c r="AC55" i="19"/>
  <c r="AD55" i="19" s="1"/>
  <c r="AS55" i="19"/>
  <c r="AK55" i="19"/>
  <c r="AI55" i="19"/>
  <c r="AP55" i="19"/>
  <c r="AJ55" i="19"/>
  <c r="AI67" i="19"/>
  <c r="AC67" i="19"/>
  <c r="AD67" i="19" s="1"/>
  <c r="AK67" i="19"/>
  <c r="AE67" i="19"/>
  <c r="AB67" i="19"/>
  <c r="AQ47" i="19"/>
  <c r="AI47" i="19"/>
  <c r="AN47" i="19"/>
  <c r="AJ31" i="19"/>
  <c r="AI37" i="19"/>
  <c r="AJ47" i="19"/>
  <c r="AK49" i="19"/>
  <c r="AP49" i="19"/>
  <c r="AM49" i="19"/>
  <c r="D49" i="22" s="1"/>
  <c r="AC49" i="19"/>
  <c r="AD49" i="19" s="1"/>
  <c r="AK51" i="19"/>
  <c r="AJ63" i="19"/>
  <c r="AC15" i="19"/>
  <c r="AD15" i="19" s="1"/>
  <c r="AI5" i="19"/>
  <c r="AI7" i="19"/>
  <c r="AI9" i="19"/>
  <c r="AI11" i="19"/>
  <c r="AK13" i="19"/>
  <c r="AR15" i="19"/>
  <c r="AJ15" i="19"/>
  <c r="Y15" i="19"/>
  <c r="AE15" i="19" s="1"/>
  <c r="AO15" i="19"/>
  <c r="AK17" i="19"/>
  <c r="AR19" i="19"/>
  <c r="AJ19" i="19"/>
  <c r="Y19" i="19"/>
  <c r="AE19" i="19" s="1"/>
  <c r="AI27" i="19"/>
  <c r="AP33" i="19"/>
  <c r="AM33" i="19"/>
  <c r="D33" i="22" s="1"/>
  <c r="AC33" i="19"/>
  <c r="AD33" i="19" s="1"/>
  <c r="AM39" i="19"/>
  <c r="D39" i="22" s="1"/>
  <c r="AR39" i="19"/>
  <c r="AJ39" i="19"/>
  <c r="Y39" i="19"/>
  <c r="AE39" i="19" s="1"/>
  <c r="AJ41" i="19"/>
  <c r="AS43" i="19"/>
  <c r="AK43" i="19"/>
  <c r="AP43" i="19"/>
  <c r="AC43" i="19"/>
  <c r="AD43" i="19" s="1"/>
  <c r="AK47" i="19"/>
  <c r="AN37" i="19"/>
  <c r="AS37" i="19"/>
  <c r="AK37" i="19"/>
  <c r="AC47" i="19"/>
  <c r="AD47" i="19" s="1"/>
  <c r="AJ21" i="19"/>
  <c r="AI21" i="19"/>
  <c r="AG23" i="19"/>
  <c r="AJ27" i="19"/>
  <c r="AP29" i="19"/>
  <c r="AM29" i="19"/>
  <c r="D29" i="22" s="1"/>
  <c r="Y37" i="19"/>
  <c r="AE37" i="19" s="1"/>
  <c r="Y47" i="19"/>
  <c r="AE47" i="19" s="1"/>
  <c r="Y55" i="19"/>
  <c r="AE55" i="19" s="1"/>
  <c r="AJ67" i="19"/>
  <c r="Y27" i="19"/>
  <c r="AE27" i="19" s="1"/>
  <c r="AK27" i="19"/>
  <c r="AI45" i="19"/>
  <c r="AM57" i="19"/>
  <c r="D57" i="22" s="1"/>
  <c r="AC57" i="19"/>
  <c r="AD57" i="19" s="1"/>
  <c r="AK57" i="19"/>
  <c r="AR57" i="19"/>
  <c r="AJ57" i="19"/>
  <c r="Y57" i="19"/>
  <c r="AE57" i="19" s="1"/>
  <c r="AK25" i="19"/>
  <c r="AS25" i="19"/>
  <c r="AN31" i="19"/>
  <c r="AC35" i="19"/>
  <c r="AD35" i="19" s="1"/>
  <c r="AL35" i="19"/>
  <c r="AT35" i="19"/>
  <c r="AI41" i="19"/>
  <c r="AQ41" i="19"/>
  <c r="AC51" i="19"/>
  <c r="AD51" i="19" s="1"/>
  <c r="AL51" i="19"/>
  <c r="AT51" i="19"/>
  <c r="AN53" i="19"/>
  <c r="AC59" i="19"/>
  <c r="AD59" i="19" s="1"/>
  <c r="AL59" i="19"/>
  <c r="AT59" i="19"/>
  <c r="AC63" i="19"/>
  <c r="AD63" i="19" s="1"/>
  <c r="AL63" i="19"/>
  <c r="AT63" i="19"/>
  <c r="AN65" i="19"/>
  <c r="AO65" i="19"/>
  <c r="AE69" i="19"/>
  <c r="AP65" i="19"/>
  <c r="AI31" i="19"/>
  <c r="AC41" i="19"/>
  <c r="AD41" i="19" s="1"/>
  <c r="AL41" i="19"/>
  <c r="AI53" i="19"/>
  <c r="AQ53" i="19"/>
  <c r="AO63" i="19"/>
  <c r="AI65" i="19"/>
  <c r="AQ65" i="19"/>
  <c r="Y53" i="19"/>
  <c r="AE53" i="19" s="1"/>
  <c r="AJ53" i="19"/>
  <c r="Y65" i="19"/>
  <c r="AE65" i="19" s="1"/>
  <c r="AJ65" i="19"/>
  <c r="AI69" i="19"/>
  <c r="AJ69" i="19"/>
  <c r="Y63" i="19"/>
  <c r="AE63" i="19" s="1"/>
  <c r="AC65" i="19"/>
  <c r="AD65" i="19" s="1"/>
  <c r="AL65" i="19"/>
  <c r="AJ71" i="17"/>
  <c r="AI71" i="17"/>
  <c r="AK71" i="17"/>
  <c r="AE71" i="17"/>
  <c r="AC71" i="17"/>
  <c r="AD71" i="17" s="1"/>
  <c r="AC99" i="17"/>
  <c r="AD99" i="17" s="1"/>
  <c r="AI85" i="17"/>
  <c r="AK37" i="17"/>
  <c r="AC81" i="17"/>
  <c r="AD81" i="17" s="1"/>
  <c r="AI89" i="17"/>
  <c r="AK29" i="17"/>
  <c r="AJ57" i="17"/>
  <c r="AJ73" i="17"/>
  <c r="AC85" i="17"/>
  <c r="AD85" i="17" s="1"/>
  <c r="AK21" i="17"/>
  <c r="AJ67" i="17"/>
  <c r="AK79" i="17"/>
  <c r="AG99" i="17"/>
  <c r="AC47" i="17"/>
  <c r="AD47" i="17" s="1"/>
  <c r="AC59" i="17"/>
  <c r="AD59" i="17" s="1"/>
  <c r="AI91" i="17"/>
  <c r="AK15" i="17"/>
  <c r="AE83" i="17"/>
  <c r="AK87" i="17"/>
  <c r="AK9" i="17"/>
  <c r="AI23" i="17"/>
  <c r="AJ23" i="17"/>
  <c r="AQ27" i="17"/>
  <c r="AF27" i="17"/>
  <c r="AG27" i="17"/>
  <c r="AI57" i="17"/>
  <c r="AK11" i="17"/>
  <c r="AJ75" i="17"/>
  <c r="AR75" i="17"/>
  <c r="AK75" i="17"/>
  <c r="AK13" i="17"/>
  <c r="AC55" i="17"/>
  <c r="AD55" i="17" s="1"/>
  <c r="AK73" i="17"/>
  <c r="AJ31" i="17"/>
  <c r="AK45" i="17"/>
  <c r="AJ37" i="17"/>
  <c r="AJ43" i="17"/>
  <c r="AC53" i="17"/>
  <c r="AD53" i="17" s="1"/>
  <c r="AK31" i="17"/>
  <c r="AI43" i="17"/>
  <c r="AI49" i="17"/>
  <c r="AK57" i="17"/>
  <c r="AC65" i="17"/>
  <c r="AD65" i="17" s="1"/>
  <c r="AJ65" i="17"/>
  <c r="AC21" i="17"/>
  <c r="AD21" i="17" s="1"/>
  <c r="AK25" i="17"/>
  <c r="AK27" i="17"/>
  <c r="AC29" i="17"/>
  <c r="AD29" i="17" s="1"/>
  <c r="AC31" i="17"/>
  <c r="AD31" i="17" s="1"/>
  <c r="Y63" i="17"/>
  <c r="AE63" i="17" s="1"/>
  <c r="AK65" i="17"/>
  <c r="AI81" i="17"/>
  <c r="AC25" i="17"/>
  <c r="AD25" i="17" s="1"/>
  <c r="AC83" i="17"/>
  <c r="AD83" i="17" s="1"/>
  <c r="AI83" i="17"/>
  <c r="AC33" i="17"/>
  <c r="AD33" i="17" s="1"/>
  <c r="Y65" i="17"/>
  <c r="AE65" i="17" s="1"/>
  <c r="AR79" i="17"/>
  <c r="AT79" i="17"/>
  <c r="AM79" i="17"/>
  <c r="D79" i="18" s="1"/>
  <c r="AK91" i="17"/>
  <c r="AC97" i="17"/>
  <c r="AD97" i="17" s="1"/>
  <c r="AJ97" i="17"/>
  <c r="AC79" i="17"/>
  <c r="AD79" i="17" s="1"/>
  <c r="AC87" i="17"/>
  <c r="AD87" i="17" s="1"/>
  <c r="AC91" i="17"/>
  <c r="AD91" i="17" s="1"/>
  <c r="AK85" i="17"/>
  <c r="AE87" i="17"/>
  <c r="AG97" i="17"/>
  <c r="AJ81" i="17"/>
  <c r="AK5" i="17"/>
  <c r="AK17" i="17"/>
  <c r="AK7" i="17"/>
  <c r="AK19" i="17"/>
  <c r="AC5" i="17"/>
  <c r="AD5" i="17" s="1"/>
  <c r="AC7" i="17"/>
  <c r="AD7" i="17" s="1"/>
  <c r="AC9" i="17"/>
  <c r="AD9" i="17" s="1"/>
  <c r="AC11" i="17"/>
  <c r="AD11" i="17" s="1"/>
  <c r="AC13" i="17"/>
  <c r="AD13" i="17" s="1"/>
  <c r="AC15" i="17"/>
  <c r="AD15" i="17" s="1"/>
  <c r="AC17" i="17"/>
  <c r="AD17" i="17" s="1"/>
  <c r="AC19" i="17"/>
  <c r="AD19" i="17" s="1"/>
  <c r="AI5" i="17"/>
  <c r="AI7" i="17"/>
  <c r="AI9" i="17"/>
  <c r="AI11" i="17"/>
  <c r="AI13" i="17"/>
  <c r="AI15" i="17"/>
  <c r="AI17" i="17"/>
  <c r="AI19" i="17"/>
  <c r="AJ5" i="17"/>
  <c r="AJ7" i="17"/>
  <c r="AJ9" i="17"/>
  <c r="AJ11" i="17"/>
  <c r="AJ13" i="17"/>
  <c r="AJ15" i="17"/>
  <c r="AJ17" i="17"/>
  <c r="AJ19" i="17"/>
  <c r="AI29" i="17"/>
  <c r="AJ27" i="17"/>
  <c r="AC27" i="17"/>
  <c r="AD27" i="17" s="1"/>
  <c r="AJ29" i="17"/>
  <c r="AK23" i="17"/>
  <c r="AC23" i="17"/>
  <c r="AD23" i="17" s="1"/>
  <c r="AI31" i="17"/>
  <c r="AM39" i="17"/>
  <c r="D39" i="18" s="1"/>
  <c r="AN39" i="17"/>
  <c r="AC39" i="17"/>
  <c r="AD39" i="17" s="1"/>
  <c r="AK39" i="17"/>
  <c r="Y39" i="17"/>
  <c r="AE39" i="17" s="1"/>
  <c r="AJ39" i="17"/>
  <c r="AI39" i="17"/>
  <c r="AI25" i="17"/>
  <c r="AI21" i="17"/>
  <c r="AJ25" i="17"/>
  <c r="AJ21" i="17"/>
  <c r="AI27" i="17"/>
  <c r="AS35" i="17"/>
  <c r="AK35" i="17"/>
  <c r="AC35" i="17"/>
  <c r="AD35" i="17" s="1"/>
  <c r="AJ35" i="17"/>
  <c r="Y35" i="17"/>
  <c r="AE35" i="17" s="1"/>
  <c r="AI35" i="17"/>
  <c r="AC45" i="17"/>
  <c r="AD45" i="17" s="1"/>
  <c r="AK49" i="17"/>
  <c r="AI59" i="17"/>
  <c r="AS59" i="17"/>
  <c r="AK59" i="17"/>
  <c r="Y59" i="17"/>
  <c r="AE59" i="17" s="1"/>
  <c r="AJ59" i="17"/>
  <c r="AK41" i="17"/>
  <c r="AJ41" i="17"/>
  <c r="AI41" i="17"/>
  <c r="AI55" i="17"/>
  <c r="AM55" i="17"/>
  <c r="D55" i="18" s="1"/>
  <c r="Y55" i="17"/>
  <c r="AE55" i="17" s="1"/>
  <c r="AK55" i="17"/>
  <c r="AJ55" i="17"/>
  <c r="AQ47" i="17"/>
  <c r="AI47" i="17"/>
  <c r="Y47" i="17"/>
  <c r="AE47" i="17" s="1"/>
  <c r="AK47" i="17"/>
  <c r="AJ47" i="17"/>
  <c r="AK53" i="17"/>
  <c r="Y43" i="17"/>
  <c r="AE43" i="17" s="1"/>
  <c r="AJ49" i="17"/>
  <c r="AK51" i="17"/>
  <c r="AJ51" i="17"/>
  <c r="AO51" i="17"/>
  <c r="AC51" i="17"/>
  <c r="AD51" i="17" s="1"/>
  <c r="AK61" i="17"/>
  <c r="AQ61" i="17"/>
  <c r="AI61" i="17"/>
  <c r="AM61" i="17"/>
  <c r="D61" i="18" s="1"/>
  <c r="AK63" i="17"/>
  <c r="AJ63" i="17"/>
  <c r="AI63" i="17"/>
  <c r="AR45" i="17"/>
  <c r="AJ45" i="17"/>
  <c r="Y45" i="17"/>
  <c r="AE45" i="17" s="1"/>
  <c r="AJ61" i="17"/>
  <c r="AC67" i="17"/>
  <c r="AD67" i="17" s="1"/>
  <c r="AR33" i="17"/>
  <c r="AJ33" i="17"/>
  <c r="Y33" i="17"/>
  <c r="AE33" i="17" s="1"/>
  <c r="AS43" i="17"/>
  <c r="AK43" i="17"/>
  <c r="AC43" i="17"/>
  <c r="AD43" i="17" s="1"/>
  <c r="AT37" i="17"/>
  <c r="AL37" i="17"/>
  <c r="AC37" i="17"/>
  <c r="AD37" i="17" s="1"/>
  <c r="AC49" i="17"/>
  <c r="AD49" i="17" s="1"/>
  <c r="AI33" i="17"/>
  <c r="AJ53" i="17"/>
  <c r="Y53" i="17"/>
  <c r="AE53" i="17" s="1"/>
  <c r="AI53" i="17"/>
  <c r="AN53" i="17"/>
  <c r="AC63" i="17"/>
  <c r="AD63" i="17" s="1"/>
  <c r="AK33" i="17"/>
  <c r="AI37" i="17"/>
  <c r="AI45" i="17"/>
  <c r="AI51" i="17"/>
  <c r="AC61" i="17"/>
  <c r="AD61" i="17" s="1"/>
  <c r="AI67" i="17"/>
  <c r="AC41" i="17"/>
  <c r="AD41" i="17" s="1"/>
  <c r="AL41" i="17"/>
  <c r="AP49" i="17"/>
  <c r="AC57" i="17"/>
  <c r="AD57" i="17" s="1"/>
  <c r="AL57" i="17"/>
  <c r="AI65" i="17"/>
  <c r="AQ65" i="17"/>
  <c r="AK67" i="17"/>
  <c r="AB73" i="17"/>
  <c r="AC73" i="17"/>
  <c r="AD73" i="17" s="1"/>
  <c r="AE85" i="17"/>
  <c r="AM77" i="17"/>
  <c r="D77" i="18" s="1"/>
  <c r="AT77" i="17"/>
  <c r="AL77" i="17"/>
  <c r="AC77" i="17"/>
  <c r="AD77" i="17" s="1"/>
  <c r="AS77" i="17"/>
  <c r="AK77" i="17"/>
  <c r="AI77" i="17"/>
  <c r="Y77" i="17"/>
  <c r="AE77" i="17" s="1"/>
  <c r="AI75" i="17"/>
  <c r="AO81" i="17"/>
  <c r="AN81" i="17"/>
  <c r="AM81" i="17"/>
  <c r="D81" i="18" s="1"/>
  <c r="AS81" i="17"/>
  <c r="AK81" i="17"/>
  <c r="Y81" i="17"/>
  <c r="AE81" i="17" s="1"/>
  <c r="AP75" i="17"/>
  <c r="AO75" i="17"/>
  <c r="AN75" i="17"/>
  <c r="AT75" i="17"/>
  <c r="AL75" i="17"/>
  <c r="AC75" i="17"/>
  <c r="AD75" i="17" s="1"/>
  <c r="Y75" i="17"/>
  <c r="AE75" i="17" s="1"/>
  <c r="AJ77" i="17"/>
  <c r="Y73" i="17"/>
  <c r="AE73" i="17" s="1"/>
  <c r="AI73" i="17"/>
  <c r="AJ85" i="17"/>
  <c r="AP79" i="17"/>
  <c r="AJ83" i="17"/>
  <c r="AI87" i="17"/>
  <c r="AI79" i="17"/>
  <c r="AQ79" i="17"/>
  <c r="AK83" i="17"/>
  <c r="AJ87" i="17"/>
  <c r="Y79" i="17"/>
  <c r="AE79" i="17" s="1"/>
  <c r="AJ79" i="17"/>
  <c r="AK99" i="17"/>
  <c r="AB97" i="17"/>
  <c r="AE97" i="17"/>
  <c r="AC89" i="17"/>
  <c r="AD89" i="17" s="1"/>
  <c r="AK89" i="17"/>
  <c r="AJ89" i="17"/>
  <c r="AJ91" i="17"/>
  <c r="AE99" i="17"/>
  <c r="AI97" i="17"/>
  <c r="AK97" i="17"/>
  <c r="AI99" i="17"/>
  <c r="AJ99" i="17"/>
  <c r="B7" i="16"/>
  <c r="C7" i="16" s="1"/>
  <c r="A7" i="16"/>
  <c r="B5" i="16"/>
  <c r="C5" i="16" s="1"/>
  <c r="A5" i="16"/>
  <c r="B3" i="16"/>
  <c r="A3" i="16"/>
  <c r="C3" i="16"/>
  <c r="AT7" i="15"/>
  <c r="AS7" i="15"/>
  <c r="AR7" i="15"/>
  <c r="AQ7" i="15"/>
  <c r="AP7" i="15"/>
  <c r="AO7" i="15"/>
  <c r="AN7" i="15"/>
  <c r="AM7" i="15"/>
  <c r="D7" i="16" s="1"/>
  <c r="AL7" i="15"/>
  <c r="AK7" i="15"/>
  <c r="AJ7" i="15"/>
  <c r="AI7" i="15"/>
  <c r="AG7" i="15"/>
  <c r="AF7" i="15"/>
  <c r="AC7" i="15"/>
  <c r="AD7" i="15" s="1"/>
  <c r="AB7" i="15"/>
  <c r="Y7" i="15"/>
  <c r="AE7" i="15" s="1"/>
  <c r="W7" i="15"/>
  <c r="U7" i="15"/>
  <c r="R7" i="15"/>
  <c r="L7" i="15"/>
  <c r="K7" i="15"/>
  <c r="AT5" i="15"/>
  <c r="AS5" i="15"/>
  <c r="AR5" i="15"/>
  <c r="AQ5" i="15"/>
  <c r="AP5" i="15"/>
  <c r="AO5" i="15"/>
  <c r="AN5" i="15"/>
  <c r="AM5" i="15"/>
  <c r="D5" i="16" s="1"/>
  <c r="AL5" i="15"/>
  <c r="AK5" i="15"/>
  <c r="AJ5" i="15"/>
  <c r="AI5" i="15"/>
  <c r="AG5" i="15"/>
  <c r="AF5" i="15"/>
  <c r="AC5" i="15"/>
  <c r="AD5" i="15" s="1"/>
  <c r="AB5" i="15"/>
  <c r="Y5" i="15"/>
  <c r="AE5" i="15" s="1"/>
  <c r="W5" i="15"/>
  <c r="U5" i="15"/>
  <c r="R5" i="15"/>
  <c r="L5" i="15"/>
  <c r="K5" i="15"/>
  <c r="AT3" i="15"/>
  <c r="AS3" i="15"/>
  <c r="AR3" i="15"/>
  <c r="AQ3" i="15"/>
  <c r="AP3" i="15"/>
  <c r="AO3" i="15"/>
  <c r="AN3" i="15"/>
  <c r="AM3" i="15"/>
  <c r="D3" i="16" s="1"/>
  <c r="H18" i="16" s="1"/>
  <c r="AL3" i="15"/>
  <c r="AK3" i="15"/>
  <c r="AJ3" i="15"/>
  <c r="AI3" i="15"/>
  <c r="AG3" i="15"/>
  <c r="AF3" i="15"/>
  <c r="AC3" i="15"/>
  <c r="AD3" i="15" s="1"/>
  <c r="AB3" i="15"/>
  <c r="Y3" i="15"/>
  <c r="AE3" i="15" s="1"/>
  <c r="W3" i="15"/>
  <c r="U3" i="15"/>
  <c r="R3" i="15"/>
  <c r="L3" i="15"/>
  <c r="K3" i="15"/>
  <c r="B175" i="14"/>
  <c r="C175" i="14" s="1"/>
  <c r="A175" i="14"/>
  <c r="B173" i="14"/>
  <c r="C173" i="14" s="1"/>
  <c r="A173" i="14"/>
  <c r="B171" i="14"/>
  <c r="C171" i="14" s="1"/>
  <c r="A171" i="14"/>
  <c r="B169" i="14"/>
  <c r="C169" i="14" s="1"/>
  <c r="A169" i="14"/>
  <c r="B167" i="14"/>
  <c r="C167" i="14" s="1"/>
  <c r="A167" i="14"/>
  <c r="B165" i="14"/>
  <c r="C165" i="14" s="1"/>
  <c r="A165" i="14"/>
  <c r="B163" i="14"/>
  <c r="C163" i="14" s="1"/>
  <c r="A163" i="14"/>
  <c r="B161" i="14"/>
  <c r="C161" i="14" s="1"/>
  <c r="A161" i="14"/>
  <c r="B159" i="14"/>
  <c r="C159" i="14" s="1"/>
  <c r="A159" i="14"/>
  <c r="B157" i="14"/>
  <c r="C157" i="14" s="1"/>
  <c r="A157" i="14"/>
  <c r="B155" i="14"/>
  <c r="C155" i="14" s="1"/>
  <c r="A155" i="14"/>
  <c r="B153" i="14"/>
  <c r="C153" i="14" s="1"/>
  <c r="A153" i="14"/>
  <c r="B151" i="14"/>
  <c r="C151" i="14" s="1"/>
  <c r="A151" i="14"/>
  <c r="B149" i="14"/>
  <c r="C149" i="14" s="1"/>
  <c r="A149" i="14"/>
  <c r="B147" i="14"/>
  <c r="C147" i="14" s="1"/>
  <c r="A147" i="14"/>
  <c r="B145" i="14"/>
  <c r="C145" i="14" s="1"/>
  <c r="A145" i="14"/>
  <c r="B143" i="14"/>
  <c r="C143" i="14" s="1"/>
  <c r="A143" i="14"/>
  <c r="B141" i="14"/>
  <c r="C141" i="14" s="1"/>
  <c r="A141" i="14"/>
  <c r="B139" i="14"/>
  <c r="C139" i="14" s="1"/>
  <c r="A139" i="14"/>
  <c r="B137" i="14"/>
  <c r="C137" i="14" s="1"/>
  <c r="A137" i="14"/>
  <c r="B135" i="14"/>
  <c r="C135" i="14" s="1"/>
  <c r="A135" i="14"/>
  <c r="B133" i="14"/>
  <c r="C133" i="14" s="1"/>
  <c r="A133" i="14"/>
  <c r="B131" i="14"/>
  <c r="C131" i="14" s="1"/>
  <c r="A131" i="14"/>
  <c r="B129" i="14"/>
  <c r="C129" i="14" s="1"/>
  <c r="A129" i="14"/>
  <c r="B127" i="14"/>
  <c r="C127" i="14" s="1"/>
  <c r="A127" i="14"/>
  <c r="B125" i="14"/>
  <c r="C125" i="14" s="1"/>
  <c r="A125" i="14"/>
  <c r="B123" i="14"/>
  <c r="C123" i="14" s="1"/>
  <c r="A123" i="14"/>
  <c r="B121" i="14"/>
  <c r="C121" i="14" s="1"/>
  <c r="A121" i="14"/>
  <c r="B119" i="14"/>
  <c r="C119" i="14" s="1"/>
  <c r="A119" i="14"/>
  <c r="B117" i="14"/>
  <c r="C117" i="14" s="1"/>
  <c r="A117" i="14"/>
  <c r="B115" i="14"/>
  <c r="C115" i="14" s="1"/>
  <c r="A115" i="14"/>
  <c r="B113" i="14"/>
  <c r="C113" i="14" s="1"/>
  <c r="A113" i="14"/>
  <c r="B111" i="14"/>
  <c r="C111" i="14" s="1"/>
  <c r="A111" i="14"/>
  <c r="B109" i="14"/>
  <c r="C109" i="14" s="1"/>
  <c r="A109" i="14"/>
  <c r="B107" i="14"/>
  <c r="C107" i="14" s="1"/>
  <c r="A107" i="14"/>
  <c r="B105" i="14"/>
  <c r="C105" i="14" s="1"/>
  <c r="A105" i="14"/>
  <c r="B103" i="14"/>
  <c r="C103" i="14" s="1"/>
  <c r="A103" i="14"/>
  <c r="B101" i="14"/>
  <c r="C101" i="14" s="1"/>
  <c r="A101" i="14"/>
  <c r="B99" i="14"/>
  <c r="C99" i="14" s="1"/>
  <c r="A99" i="14"/>
  <c r="B97" i="14"/>
  <c r="C97" i="14" s="1"/>
  <c r="A97" i="14"/>
  <c r="B95" i="14"/>
  <c r="C95" i="14" s="1"/>
  <c r="A95" i="14"/>
  <c r="B93" i="14"/>
  <c r="C93" i="14" s="1"/>
  <c r="A93" i="14"/>
  <c r="B91" i="14"/>
  <c r="C91" i="14" s="1"/>
  <c r="A91" i="14"/>
  <c r="B89" i="14"/>
  <c r="C89" i="14" s="1"/>
  <c r="A89" i="14"/>
  <c r="B87" i="14"/>
  <c r="C87" i="14" s="1"/>
  <c r="A87" i="14"/>
  <c r="B85" i="14"/>
  <c r="C85" i="14" s="1"/>
  <c r="A85" i="14"/>
  <c r="B83" i="14"/>
  <c r="C83" i="14" s="1"/>
  <c r="A83" i="14"/>
  <c r="B81" i="14"/>
  <c r="C81" i="14" s="1"/>
  <c r="A81" i="14"/>
  <c r="B79" i="14"/>
  <c r="C79" i="14" s="1"/>
  <c r="A79" i="14"/>
  <c r="B77" i="14"/>
  <c r="C77" i="14" s="1"/>
  <c r="A77" i="14"/>
  <c r="B75" i="14"/>
  <c r="C75" i="14" s="1"/>
  <c r="A75" i="14"/>
  <c r="B73" i="14"/>
  <c r="C73" i="14" s="1"/>
  <c r="A73" i="14"/>
  <c r="B71" i="14"/>
  <c r="C71" i="14" s="1"/>
  <c r="A71" i="14"/>
  <c r="B69" i="14"/>
  <c r="C69" i="14" s="1"/>
  <c r="A69" i="14"/>
  <c r="B67" i="14"/>
  <c r="C67" i="14" s="1"/>
  <c r="A67" i="14"/>
  <c r="B65" i="14"/>
  <c r="C65" i="14" s="1"/>
  <c r="A65" i="14"/>
  <c r="B63" i="14"/>
  <c r="C63" i="14" s="1"/>
  <c r="A63" i="14"/>
  <c r="B61" i="14"/>
  <c r="C61" i="14" s="1"/>
  <c r="A61" i="14"/>
  <c r="B59" i="14"/>
  <c r="C59" i="14" s="1"/>
  <c r="A59" i="14"/>
  <c r="B57" i="14"/>
  <c r="C57" i="14" s="1"/>
  <c r="A57" i="14"/>
  <c r="B55" i="14"/>
  <c r="C55" i="14" s="1"/>
  <c r="A55" i="14"/>
  <c r="B53" i="14"/>
  <c r="C53" i="14" s="1"/>
  <c r="A53" i="14"/>
  <c r="B51" i="14"/>
  <c r="C51" i="14" s="1"/>
  <c r="A51" i="14"/>
  <c r="B49" i="14"/>
  <c r="C49" i="14" s="1"/>
  <c r="A49" i="14"/>
  <c r="B47" i="14"/>
  <c r="C47" i="14" s="1"/>
  <c r="A47" i="14"/>
  <c r="B45" i="14"/>
  <c r="C45" i="14" s="1"/>
  <c r="A45" i="14"/>
  <c r="B43" i="14"/>
  <c r="C43" i="14" s="1"/>
  <c r="A43" i="14"/>
  <c r="B41" i="14"/>
  <c r="C41" i="14" s="1"/>
  <c r="A41" i="14"/>
  <c r="B39" i="14"/>
  <c r="C39" i="14" s="1"/>
  <c r="A39" i="14"/>
  <c r="B37" i="14"/>
  <c r="C37" i="14" s="1"/>
  <c r="A37" i="14"/>
  <c r="B35" i="14"/>
  <c r="C35" i="14" s="1"/>
  <c r="A35" i="14"/>
  <c r="B33" i="14"/>
  <c r="C33" i="14" s="1"/>
  <c r="A33" i="14"/>
  <c r="B31" i="14"/>
  <c r="C31" i="14" s="1"/>
  <c r="A31" i="14"/>
  <c r="B29" i="14"/>
  <c r="C29" i="14" s="1"/>
  <c r="A29" i="14"/>
  <c r="B27" i="14"/>
  <c r="C27" i="14" s="1"/>
  <c r="A27" i="14"/>
  <c r="B25" i="14"/>
  <c r="C25" i="14" s="1"/>
  <c r="A25" i="14"/>
  <c r="B23" i="14"/>
  <c r="C23" i="14" s="1"/>
  <c r="A23" i="14"/>
  <c r="B19" i="14"/>
  <c r="C19" i="14" s="1"/>
  <c r="A19" i="14"/>
  <c r="B17" i="14"/>
  <c r="C17" i="14" s="1"/>
  <c r="A17" i="14"/>
  <c r="B15" i="14"/>
  <c r="C15" i="14" s="1"/>
  <c r="A15" i="14"/>
  <c r="B13" i="14"/>
  <c r="C13" i="14" s="1"/>
  <c r="A13" i="14"/>
  <c r="B11" i="14"/>
  <c r="C11" i="14" s="1"/>
  <c r="A11" i="14"/>
  <c r="B9" i="14"/>
  <c r="C9" i="14" s="1"/>
  <c r="A9" i="14"/>
  <c r="B7" i="14"/>
  <c r="C7" i="14" s="1"/>
  <c r="A7" i="14"/>
  <c r="B5" i="14"/>
  <c r="C5" i="14" s="1"/>
  <c r="A5" i="14"/>
  <c r="B3" i="14"/>
  <c r="C3" i="14" s="1"/>
  <c r="A3" i="14"/>
  <c r="AX175" i="13"/>
  <c r="AW175" i="13"/>
  <c r="AI175" i="13" s="1"/>
  <c r="AV175" i="13"/>
  <c r="AC175" i="13"/>
  <c r="AD175" i="13" s="1"/>
  <c r="AB175" i="13"/>
  <c r="Y175" i="13"/>
  <c r="AE175" i="13" s="1"/>
  <c r="W175" i="13"/>
  <c r="U175" i="13"/>
  <c r="R175" i="13"/>
  <c r="L175" i="13"/>
  <c r="K175" i="13"/>
  <c r="AX173" i="13"/>
  <c r="AW173" i="13"/>
  <c r="AV173" i="13"/>
  <c r="AC173" i="13"/>
  <c r="AD173" i="13" s="1"/>
  <c r="AB173" i="13"/>
  <c r="Y173" i="13"/>
  <c r="AE173" i="13" s="1"/>
  <c r="W173" i="13"/>
  <c r="U173" i="13"/>
  <c r="R173" i="13"/>
  <c r="L173" i="13"/>
  <c r="K173" i="13"/>
  <c r="AT171" i="13"/>
  <c r="AS171" i="13"/>
  <c r="AR171" i="13"/>
  <c r="AQ171" i="13"/>
  <c r="AP171" i="13"/>
  <c r="AO171" i="13"/>
  <c r="AN171" i="13"/>
  <c r="AM171" i="13"/>
  <c r="D171" i="14" s="1"/>
  <c r="AL171" i="13"/>
  <c r="AK171" i="13"/>
  <c r="AJ171" i="13"/>
  <c r="AI171" i="13"/>
  <c r="AG171" i="13"/>
  <c r="AF171" i="13"/>
  <c r="AC171" i="13"/>
  <c r="AD171" i="13" s="1"/>
  <c r="AB171" i="13"/>
  <c r="Y171" i="13"/>
  <c r="AE171" i="13" s="1"/>
  <c r="W171" i="13"/>
  <c r="U171" i="13"/>
  <c r="R171" i="13"/>
  <c r="L171" i="13"/>
  <c r="K171" i="13"/>
  <c r="AT169" i="13"/>
  <c r="AS169" i="13"/>
  <c r="AR169" i="13"/>
  <c r="AQ169" i="13"/>
  <c r="AP169" i="13"/>
  <c r="AO169" i="13"/>
  <c r="AN169" i="13"/>
  <c r="AM169" i="13"/>
  <c r="D169" i="14" s="1"/>
  <c r="AL169" i="13"/>
  <c r="AK169" i="13"/>
  <c r="AJ169" i="13"/>
  <c r="AI169" i="13"/>
  <c r="AG169" i="13"/>
  <c r="AF169" i="13"/>
  <c r="AC169" i="13"/>
  <c r="AD169" i="13" s="1"/>
  <c r="AB169" i="13"/>
  <c r="Y169" i="13"/>
  <c r="AE169" i="13" s="1"/>
  <c r="W169" i="13"/>
  <c r="U169" i="13"/>
  <c r="R169" i="13"/>
  <c r="L169" i="13"/>
  <c r="K169" i="13"/>
  <c r="AT167" i="13"/>
  <c r="AS167" i="13"/>
  <c r="AR167" i="13"/>
  <c r="AQ167" i="13"/>
  <c r="AP167" i="13"/>
  <c r="AO167" i="13"/>
  <c r="AN167" i="13"/>
  <c r="AM167" i="13"/>
  <c r="D167" i="14" s="1"/>
  <c r="AL167" i="13"/>
  <c r="AK167" i="13"/>
  <c r="AJ167" i="13"/>
  <c r="AI167" i="13"/>
  <c r="AG167" i="13"/>
  <c r="AF167" i="13"/>
  <c r="AC167" i="13"/>
  <c r="AD167" i="13" s="1"/>
  <c r="AB167" i="13"/>
  <c r="Y167" i="13"/>
  <c r="AE167" i="13" s="1"/>
  <c r="W167" i="13"/>
  <c r="U167" i="13"/>
  <c r="R167" i="13"/>
  <c r="L167" i="13"/>
  <c r="K167" i="13"/>
  <c r="AT165" i="13"/>
  <c r="AS165" i="13"/>
  <c r="AR165" i="13"/>
  <c r="AQ165" i="13"/>
  <c r="AP165" i="13"/>
  <c r="AO165" i="13"/>
  <c r="AN165" i="13"/>
  <c r="AM165" i="13"/>
  <c r="D165" i="14" s="1"/>
  <c r="AL165" i="13"/>
  <c r="AK165" i="13"/>
  <c r="AJ165" i="13"/>
  <c r="AI165" i="13"/>
  <c r="AG165" i="13"/>
  <c r="AF165" i="13"/>
  <c r="AC165" i="13"/>
  <c r="AD165" i="13" s="1"/>
  <c r="AB165" i="13"/>
  <c r="Y165" i="13"/>
  <c r="AE165" i="13" s="1"/>
  <c r="W165" i="13"/>
  <c r="U165" i="13"/>
  <c r="R165" i="13"/>
  <c r="L165" i="13"/>
  <c r="K165" i="13"/>
  <c r="AT163" i="13"/>
  <c r="AS163" i="13"/>
  <c r="AR163" i="13"/>
  <c r="AQ163" i="13"/>
  <c r="AP163" i="13"/>
  <c r="AO163" i="13"/>
  <c r="AN163" i="13"/>
  <c r="AM163" i="13"/>
  <c r="D163" i="14" s="1"/>
  <c r="AL163" i="13"/>
  <c r="AK163" i="13"/>
  <c r="AJ163" i="13"/>
  <c r="AI163" i="13"/>
  <c r="AG163" i="13"/>
  <c r="AF163" i="13"/>
  <c r="AC163" i="13"/>
  <c r="AD163" i="13" s="1"/>
  <c r="AB163" i="13"/>
  <c r="Y163" i="13"/>
  <c r="AE163" i="13" s="1"/>
  <c r="W163" i="13"/>
  <c r="U163" i="13"/>
  <c r="R163" i="13"/>
  <c r="L163" i="13"/>
  <c r="K163" i="13"/>
  <c r="AT161" i="13"/>
  <c r="AS161" i="13"/>
  <c r="AR161" i="13"/>
  <c r="AQ161" i="13"/>
  <c r="AP161" i="13"/>
  <c r="AO161" i="13"/>
  <c r="AN161" i="13"/>
  <c r="AM161" i="13"/>
  <c r="D161" i="14" s="1"/>
  <c r="AL161" i="13"/>
  <c r="AK161" i="13"/>
  <c r="AJ161" i="13"/>
  <c r="AI161" i="13"/>
  <c r="AG161" i="13"/>
  <c r="AF161" i="13"/>
  <c r="AC161" i="13"/>
  <c r="AD161" i="13" s="1"/>
  <c r="AB161" i="13"/>
  <c r="Y161" i="13"/>
  <c r="AE161" i="13" s="1"/>
  <c r="W161" i="13"/>
  <c r="U161" i="13"/>
  <c r="R161" i="13"/>
  <c r="L161" i="13"/>
  <c r="K161" i="13"/>
  <c r="AT159" i="13"/>
  <c r="AS159" i="13"/>
  <c r="AR159" i="13"/>
  <c r="AQ159" i="13"/>
  <c r="AP159" i="13"/>
  <c r="AO159" i="13"/>
  <c r="AN159" i="13"/>
  <c r="AM159" i="13"/>
  <c r="D159" i="14" s="1"/>
  <c r="AL159" i="13"/>
  <c r="AK159" i="13"/>
  <c r="AJ159" i="13"/>
  <c r="AI159" i="13"/>
  <c r="AG159" i="13"/>
  <c r="AF159" i="13"/>
  <c r="AC159" i="13"/>
  <c r="AD159" i="13" s="1"/>
  <c r="AB159" i="13"/>
  <c r="Y159" i="13"/>
  <c r="AE159" i="13" s="1"/>
  <c r="W159" i="13"/>
  <c r="U159" i="13"/>
  <c r="R159" i="13"/>
  <c r="L159" i="13"/>
  <c r="K159" i="13"/>
  <c r="AT157" i="13"/>
  <c r="AS157" i="13"/>
  <c r="AR157" i="13"/>
  <c r="AQ157" i="13"/>
  <c r="AP157" i="13"/>
  <c r="AO157" i="13"/>
  <c r="AN157" i="13"/>
  <c r="AM157" i="13"/>
  <c r="D157" i="14" s="1"/>
  <c r="AL157" i="13"/>
  <c r="AK157" i="13"/>
  <c r="AJ157" i="13"/>
  <c r="AI157" i="13"/>
  <c r="AG157" i="13"/>
  <c r="AF157" i="13"/>
  <c r="AC157" i="13"/>
  <c r="AD157" i="13" s="1"/>
  <c r="AB157" i="13"/>
  <c r="Y157" i="13"/>
  <c r="AE157" i="13" s="1"/>
  <c r="W157" i="13"/>
  <c r="U157" i="13"/>
  <c r="R157" i="13"/>
  <c r="L157" i="13"/>
  <c r="K157" i="13"/>
  <c r="AT155" i="13"/>
  <c r="AS155" i="13"/>
  <c r="AR155" i="13"/>
  <c r="AQ155" i="13"/>
  <c r="AP155" i="13"/>
  <c r="AO155" i="13"/>
  <c r="AN155" i="13"/>
  <c r="AM155" i="13"/>
  <c r="D155" i="14" s="1"/>
  <c r="AL155" i="13"/>
  <c r="AK155" i="13"/>
  <c r="AJ155" i="13"/>
  <c r="AI155" i="13"/>
  <c r="AG155" i="13"/>
  <c r="AF155" i="13"/>
  <c r="AC155" i="13"/>
  <c r="AD155" i="13" s="1"/>
  <c r="AB155" i="13"/>
  <c r="Y155" i="13"/>
  <c r="AE155" i="13" s="1"/>
  <c r="W155" i="13"/>
  <c r="U155" i="13"/>
  <c r="R155" i="13"/>
  <c r="L155" i="13"/>
  <c r="K155" i="13"/>
  <c r="AT153" i="13"/>
  <c r="AS153" i="13"/>
  <c r="AR153" i="13"/>
  <c r="AQ153" i="13"/>
  <c r="AP153" i="13"/>
  <c r="AO153" i="13"/>
  <c r="AN153" i="13"/>
  <c r="AM153" i="13"/>
  <c r="D153" i="14" s="1"/>
  <c r="AL153" i="13"/>
  <c r="AK153" i="13"/>
  <c r="AJ153" i="13"/>
  <c r="AI153" i="13"/>
  <c r="AG153" i="13"/>
  <c r="AF153" i="13"/>
  <c r="AC153" i="13"/>
  <c r="AD153" i="13" s="1"/>
  <c r="AB153" i="13"/>
  <c r="Y153" i="13"/>
  <c r="AE153" i="13" s="1"/>
  <c r="W153" i="13"/>
  <c r="U153" i="13"/>
  <c r="R153" i="13"/>
  <c r="L153" i="13"/>
  <c r="K153" i="13"/>
  <c r="AT151" i="13"/>
  <c r="AS151" i="13"/>
  <c r="AR151" i="13"/>
  <c r="AQ151" i="13"/>
  <c r="AP151" i="13"/>
  <c r="AO151" i="13"/>
  <c r="AN151" i="13"/>
  <c r="AM151" i="13"/>
  <c r="D151" i="14" s="1"/>
  <c r="AL151" i="13"/>
  <c r="AK151" i="13"/>
  <c r="AJ151" i="13"/>
  <c r="AI151" i="13"/>
  <c r="AG151" i="13"/>
  <c r="AF151" i="13"/>
  <c r="AC151" i="13"/>
  <c r="AD151" i="13" s="1"/>
  <c r="AB151" i="13"/>
  <c r="Y151" i="13"/>
  <c r="AE151" i="13" s="1"/>
  <c r="W151" i="13"/>
  <c r="U151" i="13"/>
  <c r="R151" i="13"/>
  <c r="L151" i="13"/>
  <c r="K151" i="13"/>
  <c r="AT149" i="13"/>
  <c r="AS149" i="13"/>
  <c r="AR149" i="13"/>
  <c r="AQ149" i="13"/>
  <c r="AP149" i="13"/>
  <c r="AO149" i="13"/>
  <c r="AN149" i="13"/>
  <c r="AM149" i="13"/>
  <c r="D149" i="14" s="1"/>
  <c r="AL149" i="13"/>
  <c r="AK149" i="13"/>
  <c r="AJ149" i="13"/>
  <c r="AI149" i="13"/>
  <c r="AG149" i="13"/>
  <c r="AF149" i="13"/>
  <c r="AC149" i="13"/>
  <c r="AD149" i="13" s="1"/>
  <c r="AB149" i="13"/>
  <c r="Y149" i="13"/>
  <c r="AE149" i="13" s="1"/>
  <c r="W149" i="13"/>
  <c r="U149" i="13"/>
  <c r="R149" i="13"/>
  <c r="L149" i="13"/>
  <c r="K149" i="13"/>
  <c r="AT147" i="13"/>
  <c r="AS147" i="13"/>
  <c r="AR147" i="13"/>
  <c r="AQ147" i="13"/>
  <c r="AP147" i="13"/>
  <c r="AO147" i="13"/>
  <c r="AN147" i="13"/>
  <c r="AM147" i="13"/>
  <c r="D147" i="14" s="1"/>
  <c r="AL147" i="13"/>
  <c r="AK147" i="13"/>
  <c r="AJ147" i="13"/>
  <c r="AI147" i="13"/>
  <c r="AG147" i="13"/>
  <c r="AF147" i="13"/>
  <c r="AC147" i="13"/>
  <c r="AD147" i="13" s="1"/>
  <c r="AB147" i="13"/>
  <c r="Y147" i="13"/>
  <c r="AE147" i="13" s="1"/>
  <c r="W147" i="13"/>
  <c r="U147" i="13"/>
  <c r="R147" i="13"/>
  <c r="L147" i="13"/>
  <c r="K147" i="13"/>
  <c r="AT145" i="13"/>
  <c r="AS145" i="13"/>
  <c r="AR145" i="13"/>
  <c r="AQ145" i="13"/>
  <c r="AP145" i="13"/>
  <c r="AO145" i="13"/>
  <c r="AN145" i="13"/>
  <c r="E145" i="14"/>
  <c r="AL145" i="13"/>
  <c r="AK145" i="13"/>
  <c r="AJ145" i="13"/>
  <c r="AI145" i="13"/>
  <c r="AG145" i="13"/>
  <c r="AF145" i="13"/>
  <c r="AC145" i="13"/>
  <c r="AD145" i="13" s="1"/>
  <c r="AB145" i="13"/>
  <c r="Y145" i="13"/>
  <c r="AE145" i="13" s="1"/>
  <c r="W145" i="13"/>
  <c r="U145" i="13"/>
  <c r="R145" i="13"/>
  <c r="L145" i="13"/>
  <c r="K145" i="13"/>
  <c r="AT143" i="13"/>
  <c r="AS143" i="13"/>
  <c r="AR143" i="13"/>
  <c r="AQ143" i="13"/>
  <c r="AP143" i="13"/>
  <c r="AO143" i="13"/>
  <c r="AN143" i="13"/>
  <c r="AM143" i="13"/>
  <c r="D143" i="14" s="1"/>
  <c r="AL143" i="13"/>
  <c r="AK143" i="13"/>
  <c r="AJ143" i="13"/>
  <c r="AI143" i="13"/>
  <c r="AG143" i="13"/>
  <c r="AF143" i="13"/>
  <c r="AC143" i="13"/>
  <c r="AD143" i="13" s="1"/>
  <c r="AB143" i="13"/>
  <c r="Y143" i="13"/>
  <c r="AE143" i="13" s="1"/>
  <c r="W143" i="13"/>
  <c r="U143" i="13"/>
  <c r="R143" i="13"/>
  <c r="L143" i="13"/>
  <c r="K143" i="13"/>
  <c r="AT141" i="13"/>
  <c r="AS141" i="13"/>
  <c r="AR141" i="13"/>
  <c r="AQ141" i="13"/>
  <c r="AP141" i="13"/>
  <c r="AO141" i="13"/>
  <c r="AN141" i="13"/>
  <c r="AM141" i="13"/>
  <c r="D141" i="14" s="1"/>
  <c r="AL141" i="13"/>
  <c r="AK141" i="13"/>
  <c r="AJ141" i="13"/>
  <c r="AI141" i="13"/>
  <c r="AG141" i="13"/>
  <c r="AF141" i="13"/>
  <c r="AC141" i="13"/>
  <c r="AD141" i="13" s="1"/>
  <c r="AB141" i="13"/>
  <c r="Y141" i="13"/>
  <c r="AE141" i="13" s="1"/>
  <c r="W141" i="13"/>
  <c r="U141" i="13"/>
  <c r="R141" i="13"/>
  <c r="L141" i="13"/>
  <c r="K141" i="13"/>
  <c r="AT139" i="13"/>
  <c r="AS139" i="13"/>
  <c r="AR139" i="13"/>
  <c r="AQ139" i="13"/>
  <c r="AP139" i="13"/>
  <c r="AO139" i="13"/>
  <c r="AN139" i="13"/>
  <c r="AM139" i="13"/>
  <c r="D139" i="14" s="1"/>
  <c r="AL139" i="13"/>
  <c r="AK139" i="13"/>
  <c r="AJ139" i="13"/>
  <c r="AI139" i="13"/>
  <c r="AG139" i="13"/>
  <c r="AF139" i="13"/>
  <c r="AC139" i="13"/>
  <c r="AD139" i="13" s="1"/>
  <c r="AB139" i="13"/>
  <c r="Y139" i="13"/>
  <c r="AE139" i="13" s="1"/>
  <c r="W139" i="13"/>
  <c r="U139" i="13"/>
  <c r="R139" i="13"/>
  <c r="L139" i="13"/>
  <c r="K139" i="13"/>
  <c r="AT137" i="13"/>
  <c r="AS137" i="13"/>
  <c r="AR137" i="13"/>
  <c r="AQ137" i="13"/>
  <c r="AP137" i="13"/>
  <c r="AO137" i="13"/>
  <c r="AN137" i="13"/>
  <c r="AM137" i="13"/>
  <c r="D137" i="14" s="1"/>
  <c r="AL137" i="13"/>
  <c r="AK137" i="13"/>
  <c r="AJ137" i="13"/>
  <c r="AI137" i="13"/>
  <c r="AG137" i="13"/>
  <c r="AF137" i="13"/>
  <c r="AC137" i="13"/>
  <c r="AD137" i="13" s="1"/>
  <c r="AB137" i="13"/>
  <c r="Y137" i="13"/>
  <c r="AE137" i="13" s="1"/>
  <c r="W137" i="13"/>
  <c r="U137" i="13"/>
  <c r="R137" i="13"/>
  <c r="L137" i="13"/>
  <c r="K137" i="13"/>
  <c r="AT135" i="13"/>
  <c r="AS135" i="13"/>
  <c r="AR135" i="13"/>
  <c r="AQ135" i="13"/>
  <c r="AP135" i="13"/>
  <c r="AO135" i="13"/>
  <c r="AN135" i="13"/>
  <c r="AM135" i="13"/>
  <c r="D135" i="14" s="1"/>
  <c r="AL135" i="13"/>
  <c r="AK135" i="13"/>
  <c r="AJ135" i="13"/>
  <c r="AI135" i="13"/>
  <c r="AG135" i="13"/>
  <c r="AF135" i="13"/>
  <c r="AC135" i="13"/>
  <c r="AD135" i="13" s="1"/>
  <c r="AB135" i="13"/>
  <c r="Y135" i="13"/>
  <c r="AE135" i="13" s="1"/>
  <c r="W135" i="13"/>
  <c r="U135" i="13"/>
  <c r="R135" i="13"/>
  <c r="L135" i="13"/>
  <c r="K135" i="13"/>
  <c r="AT133" i="13"/>
  <c r="AS133" i="13"/>
  <c r="AR133" i="13"/>
  <c r="AQ133" i="13"/>
  <c r="AP133" i="13"/>
  <c r="AO133" i="13"/>
  <c r="AN133" i="13"/>
  <c r="AM133" i="13"/>
  <c r="D133" i="14" s="1"/>
  <c r="AL133" i="13"/>
  <c r="AK133" i="13"/>
  <c r="AJ133" i="13"/>
  <c r="AI133" i="13"/>
  <c r="AG133" i="13"/>
  <c r="AF133" i="13"/>
  <c r="AC133" i="13"/>
  <c r="AD133" i="13" s="1"/>
  <c r="AB133" i="13"/>
  <c r="Y133" i="13"/>
  <c r="AE133" i="13" s="1"/>
  <c r="W133" i="13"/>
  <c r="U133" i="13"/>
  <c r="R133" i="13"/>
  <c r="L133" i="13"/>
  <c r="K133" i="13"/>
  <c r="AT131" i="13"/>
  <c r="AS131" i="13"/>
  <c r="AR131" i="13"/>
  <c r="AQ131" i="13"/>
  <c r="AP131" i="13"/>
  <c r="AO131" i="13"/>
  <c r="AN131" i="13"/>
  <c r="AM131" i="13"/>
  <c r="D131" i="14" s="1"/>
  <c r="AL131" i="13"/>
  <c r="AK131" i="13"/>
  <c r="AJ131" i="13"/>
  <c r="AI131" i="13"/>
  <c r="AG131" i="13"/>
  <c r="AF131" i="13"/>
  <c r="AC131" i="13"/>
  <c r="AD131" i="13" s="1"/>
  <c r="AB131" i="13"/>
  <c r="Y131" i="13"/>
  <c r="AE131" i="13" s="1"/>
  <c r="W131" i="13"/>
  <c r="U131" i="13"/>
  <c r="R131" i="13"/>
  <c r="L131" i="13"/>
  <c r="K131" i="13"/>
  <c r="AT129" i="13"/>
  <c r="AS129" i="13"/>
  <c r="AR129" i="13"/>
  <c r="AQ129" i="13"/>
  <c r="AP129" i="13"/>
  <c r="AO129" i="13"/>
  <c r="AN129" i="13"/>
  <c r="AM129" i="13"/>
  <c r="D129" i="14" s="1"/>
  <c r="AL129" i="13"/>
  <c r="AK129" i="13"/>
  <c r="AJ129" i="13"/>
  <c r="AI129" i="13"/>
  <c r="AG129" i="13"/>
  <c r="AF129" i="13"/>
  <c r="AC129" i="13"/>
  <c r="AD129" i="13" s="1"/>
  <c r="AB129" i="13"/>
  <c r="Y129" i="13"/>
  <c r="AE129" i="13" s="1"/>
  <c r="W129" i="13"/>
  <c r="U129" i="13"/>
  <c r="R129" i="13"/>
  <c r="L129" i="13"/>
  <c r="K129" i="13"/>
  <c r="AT127" i="13"/>
  <c r="AS127" i="13"/>
  <c r="AR127" i="13"/>
  <c r="AQ127" i="13"/>
  <c r="AP127" i="13"/>
  <c r="AO127" i="13"/>
  <c r="AN127" i="13"/>
  <c r="AM127" i="13"/>
  <c r="D127" i="14" s="1"/>
  <c r="AL127" i="13"/>
  <c r="AK127" i="13"/>
  <c r="AJ127" i="13"/>
  <c r="AI127" i="13"/>
  <c r="AG127" i="13"/>
  <c r="AF127" i="13"/>
  <c r="AC127" i="13"/>
  <c r="AD127" i="13" s="1"/>
  <c r="AB127" i="13"/>
  <c r="Y127" i="13"/>
  <c r="AE127" i="13" s="1"/>
  <c r="W127" i="13"/>
  <c r="U127" i="13"/>
  <c r="R127" i="13"/>
  <c r="L127" i="13"/>
  <c r="K127" i="13"/>
  <c r="AT125" i="13"/>
  <c r="AS125" i="13"/>
  <c r="AR125" i="13"/>
  <c r="AQ125" i="13"/>
  <c r="AP125" i="13"/>
  <c r="AO125" i="13"/>
  <c r="AN125" i="13"/>
  <c r="AM125" i="13"/>
  <c r="D125" i="14" s="1"/>
  <c r="AL125" i="13"/>
  <c r="AK125" i="13"/>
  <c r="AJ125" i="13"/>
  <c r="AI125" i="13"/>
  <c r="AG125" i="13"/>
  <c r="AF125" i="13"/>
  <c r="AC125" i="13"/>
  <c r="AD125" i="13" s="1"/>
  <c r="AB125" i="13"/>
  <c r="Y125" i="13"/>
  <c r="AE125" i="13" s="1"/>
  <c r="W125" i="13"/>
  <c r="U125" i="13"/>
  <c r="R125" i="13"/>
  <c r="L125" i="13"/>
  <c r="K125" i="13"/>
  <c r="AT123" i="13"/>
  <c r="AS123" i="13"/>
  <c r="AR123" i="13"/>
  <c r="AQ123" i="13"/>
  <c r="AP123" i="13"/>
  <c r="AO123" i="13"/>
  <c r="AN123" i="13"/>
  <c r="AM123" i="13"/>
  <c r="D123" i="14" s="1"/>
  <c r="AL123" i="13"/>
  <c r="AK123" i="13"/>
  <c r="AJ123" i="13"/>
  <c r="AI123" i="13"/>
  <c r="AG123" i="13"/>
  <c r="AF123" i="13"/>
  <c r="AC123" i="13"/>
  <c r="AD123" i="13" s="1"/>
  <c r="AB123" i="13"/>
  <c r="Y123" i="13"/>
  <c r="AE123" i="13" s="1"/>
  <c r="W123" i="13"/>
  <c r="U123" i="13"/>
  <c r="R123" i="13"/>
  <c r="L123" i="13"/>
  <c r="K123" i="13"/>
  <c r="AT121" i="13"/>
  <c r="AS121" i="13"/>
  <c r="AR121" i="13"/>
  <c r="AQ121" i="13"/>
  <c r="AP121" i="13"/>
  <c r="AO121" i="13"/>
  <c r="AN121" i="13"/>
  <c r="AM121" i="13"/>
  <c r="D121" i="14" s="1"/>
  <c r="AL121" i="13"/>
  <c r="AK121" i="13"/>
  <c r="AJ121" i="13"/>
  <c r="AI121" i="13"/>
  <c r="AG121" i="13"/>
  <c r="AF121" i="13"/>
  <c r="AC121" i="13"/>
  <c r="AD121" i="13" s="1"/>
  <c r="AB121" i="13"/>
  <c r="Y121" i="13"/>
  <c r="AE121" i="13" s="1"/>
  <c r="W121" i="13"/>
  <c r="U121" i="13"/>
  <c r="R121" i="13"/>
  <c r="L121" i="13"/>
  <c r="K121" i="13"/>
  <c r="AT119" i="13"/>
  <c r="AS119" i="13"/>
  <c r="AR119" i="13"/>
  <c r="AQ119" i="13"/>
  <c r="AP119" i="13"/>
  <c r="AO119" i="13"/>
  <c r="AN119" i="13"/>
  <c r="AM119" i="13"/>
  <c r="D119" i="14" s="1"/>
  <c r="AL119" i="13"/>
  <c r="AK119" i="13"/>
  <c r="AJ119" i="13"/>
  <c r="AI119" i="13"/>
  <c r="AG119" i="13"/>
  <c r="AF119" i="13"/>
  <c r="AC119" i="13"/>
  <c r="AD119" i="13" s="1"/>
  <c r="AB119" i="13"/>
  <c r="Y119" i="13"/>
  <c r="AE119" i="13" s="1"/>
  <c r="W119" i="13"/>
  <c r="U119" i="13"/>
  <c r="R119" i="13"/>
  <c r="L119" i="13"/>
  <c r="K119" i="13"/>
  <c r="AT117" i="13"/>
  <c r="AS117" i="13"/>
  <c r="AR117" i="13"/>
  <c r="AQ117" i="13"/>
  <c r="AP117" i="13"/>
  <c r="AO117" i="13"/>
  <c r="AN117" i="13"/>
  <c r="AM117" i="13"/>
  <c r="D117" i="14" s="1"/>
  <c r="AL117" i="13"/>
  <c r="AK117" i="13"/>
  <c r="AJ117" i="13"/>
  <c r="AI117" i="13"/>
  <c r="AG117" i="13"/>
  <c r="AF117" i="13"/>
  <c r="AC117" i="13"/>
  <c r="AD117" i="13" s="1"/>
  <c r="AB117" i="13"/>
  <c r="Y117" i="13"/>
  <c r="AE117" i="13" s="1"/>
  <c r="W117" i="13"/>
  <c r="U117" i="13"/>
  <c r="R117" i="13"/>
  <c r="L117" i="13"/>
  <c r="K117" i="13"/>
  <c r="AT115" i="13"/>
  <c r="AS115" i="13"/>
  <c r="AR115" i="13"/>
  <c r="AQ115" i="13"/>
  <c r="AP115" i="13"/>
  <c r="AO115" i="13"/>
  <c r="AN115" i="13"/>
  <c r="AM115" i="13"/>
  <c r="D115" i="14" s="1"/>
  <c r="AL115" i="13"/>
  <c r="AK115" i="13"/>
  <c r="AJ115" i="13"/>
  <c r="AI115" i="13"/>
  <c r="AG115" i="13"/>
  <c r="AF115" i="13"/>
  <c r="AC115" i="13"/>
  <c r="AD115" i="13" s="1"/>
  <c r="AB115" i="13"/>
  <c r="Y115" i="13"/>
  <c r="AE115" i="13" s="1"/>
  <c r="W115" i="13"/>
  <c r="U115" i="13"/>
  <c r="R115" i="13"/>
  <c r="L115" i="13"/>
  <c r="K115" i="13"/>
  <c r="AT113" i="13"/>
  <c r="AS113" i="13"/>
  <c r="AR113" i="13"/>
  <c r="AQ113" i="13"/>
  <c r="AP113" i="13"/>
  <c r="AO113" i="13"/>
  <c r="AN113" i="13"/>
  <c r="AM113" i="13"/>
  <c r="D113" i="14" s="1"/>
  <c r="AL113" i="13"/>
  <c r="AK113" i="13"/>
  <c r="AJ113" i="13"/>
  <c r="AI113" i="13"/>
  <c r="AG113" i="13"/>
  <c r="AF113" i="13"/>
  <c r="AC113" i="13"/>
  <c r="AD113" i="13" s="1"/>
  <c r="AB113" i="13"/>
  <c r="Y113" i="13"/>
  <c r="AE113" i="13" s="1"/>
  <c r="W113" i="13"/>
  <c r="U113" i="13"/>
  <c r="R113" i="13"/>
  <c r="L113" i="13"/>
  <c r="K113" i="13"/>
  <c r="AT111" i="13"/>
  <c r="AS111" i="13"/>
  <c r="AR111" i="13"/>
  <c r="AQ111" i="13"/>
  <c r="AP111" i="13"/>
  <c r="AO111" i="13"/>
  <c r="AN111" i="13"/>
  <c r="AM111" i="13"/>
  <c r="D111" i="14" s="1"/>
  <c r="AL111" i="13"/>
  <c r="AK111" i="13"/>
  <c r="AJ111" i="13"/>
  <c r="AI111" i="13"/>
  <c r="AG111" i="13"/>
  <c r="AF111" i="13"/>
  <c r="AD111" i="13"/>
  <c r="AC111" i="13"/>
  <c r="AB111" i="13"/>
  <c r="Y111" i="13"/>
  <c r="AE111" i="13" s="1"/>
  <c r="W111" i="13"/>
  <c r="U111" i="13"/>
  <c r="R111" i="13"/>
  <c r="L111" i="13"/>
  <c r="K111" i="13"/>
  <c r="AT109" i="13"/>
  <c r="AS109" i="13"/>
  <c r="AR109" i="13"/>
  <c r="AQ109" i="13"/>
  <c r="AP109" i="13"/>
  <c r="AO109" i="13"/>
  <c r="AN109" i="13"/>
  <c r="AM109" i="13"/>
  <c r="D109" i="14" s="1"/>
  <c r="AL109" i="13"/>
  <c r="AK109" i="13"/>
  <c r="AJ109" i="13"/>
  <c r="AI109" i="13"/>
  <c r="AG109" i="13"/>
  <c r="AF109" i="13"/>
  <c r="AC109" i="13"/>
  <c r="AD109" i="13" s="1"/>
  <c r="AB109" i="13"/>
  <c r="Y109" i="13"/>
  <c r="AE109" i="13" s="1"/>
  <c r="W109" i="13"/>
  <c r="U109" i="13"/>
  <c r="R109" i="13"/>
  <c r="L109" i="13"/>
  <c r="K109" i="13"/>
  <c r="AT107" i="13"/>
  <c r="AS107" i="13"/>
  <c r="AR107" i="13"/>
  <c r="AQ107" i="13"/>
  <c r="AP107" i="13"/>
  <c r="AO107" i="13"/>
  <c r="AN107" i="13"/>
  <c r="AM107" i="13"/>
  <c r="D107" i="14" s="1"/>
  <c r="AL107" i="13"/>
  <c r="AK107" i="13"/>
  <c r="AJ107" i="13"/>
  <c r="AI107" i="13"/>
  <c r="AG107" i="13"/>
  <c r="AF107" i="13"/>
  <c r="AC107" i="13"/>
  <c r="AD107" i="13" s="1"/>
  <c r="AB107" i="13"/>
  <c r="Y107" i="13"/>
  <c r="AE107" i="13" s="1"/>
  <c r="W107" i="13"/>
  <c r="U107" i="13"/>
  <c r="R107" i="13"/>
  <c r="L107" i="13"/>
  <c r="K107" i="13"/>
  <c r="AT105" i="13"/>
  <c r="AS105" i="13"/>
  <c r="AR105" i="13"/>
  <c r="AQ105" i="13"/>
  <c r="AP105" i="13"/>
  <c r="AO105" i="13"/>
  <c r="AN105" i="13"/>
  <c r="AM105" i="13"/>
  <c r="D105" i="14" s="1"/>
  <c r="AL105" i="13"/>
  <c r="AK105" i="13"/>
  <c r="AJ105" i="13"/>
  <c r="AI105" i="13"/>
  <c r="AG105" i="13"/>
  <c r="AF105" i="13"/>
  <c r="AC105" i="13"/>
  <c r="AD105" i="13" s="1"/>
  <c r="AB105" i="13"/>
  <c r="Y105" i="13"/>
  <c r="AE105" i="13" s="1"/>
  <c r="W105" i="13"/>
  <c r="U105" i="13"/>
  <c r="R105" i="13"/>
  <c r="L105" i="13"/>
  <c r="K105" i="13"/>
  <c r="AT103" i="13"/>
  <c r="AS103" i="13"/>
  <c r="AR103" i="13"/>
  <c r="AQ103" i="13"/>
  <c r="AP103" i="13"/>
  <c r="AO103" i="13"/>
  <c r="AN103" i="13"/>
  <c r="AM103" i="13"/>
  <c r="D103" i="14" s="1"/>
  <c r="AL103" i="13"/>
  <c r="AK103" i="13"/>
  <c r="AJ103" i="13"/>
  <c r="AI103" i="13"/>
  <c r="AG103" i="13"/>
  <c r="AF103" i="13"/>
  <c r="AC103" i="13"/>
  <c r="AD103" i="13" s="1"/>
  <c r="AB103" i="13"/>
  <c r="Y103" i="13"/>
  <c r="AE103" i="13" s="1"/>
  <c r="W103" i="13"/>
  <c r="U103" i="13"/>
  <c r="R103" i="13"/>
  <c r="L103" i="13"/>
  <c r="K103" i="13"/>
  <c r="AT101" i="13"/>
  <c r="AS101" i="13"/>
  <c r="AR101" i="13"/>
  <c r="AQ101" i="13"/>
  <c r="AP101" i="13"/>
  <c r="AO101" i="13"/>
  <c r="AN101" i="13"/>
  <c r="AM101" i="13"/>
  <c r="D101" i="14" s="1"/>
  <c r="AL101" i="13"/>
  <c r="AK101" i="13"/>
  <c r="AJ101" i="13"/>
  <c r="AI101" i="13"/>
  <c r="AG101" i="13"/>
  <c r="AF101" i="13"/>
  <c r="AC101" i="13"/>
  <c r="AD101" i="13" s="1"/>
  <c r="AB101" i="13"/>
  <c r="Y101" i="13"/>
  <c r="AE101" i="13" s="1"/>
  <c r="W101" i="13"/>
  <c r="U101" i="13"/>
  <c r="R101" i="13"/>
  <c r="L101" i="13"/>
  <c r="K101" i="13"/>
  <c r="AT99" i="13"/>
  <c r="AS99" i="13"/>
  <c r="AR99" i="13"/>
  <c r="AQ99" i="13"/>
  <c r="AP99" i="13"/>
  <c r="AO99" i="13"/>
  <c r="AN99" i="13"/>
  <c r="AM99" i="13"/>
  <c r="D99" i="14" s="1"/>
  <c r="AL99" i="13"/>
  <c r="AK99" i="13"/>
  <c r="AJ99" i="13"/>
  <c r="AI99" i="13"/>
  <c r="AG99" i="13"/>
  <c r="AF99" i="13"/>
  <c r="AC99" i="13"/>
  <c r="AD99" i="13" s="1"/>
  <c r="AB99" i="13"/>
  <c r="Y99" i="13"/>
  <c r="AE99" i="13" s="1"/>
  <c r="W99" i="13"/>
  <c r="U99" i="13"/>
  <c r="R99" i="13"/>
  <c r="L99" i="13"/>
  <c r="K99" i="13"/>
  <c r="AT97" i="13"/>
  <c r="AS97" i="13"/>
  <c r="AR97" i="13"/>
  <c r="AQ97" i="13"/>
  <c r="AP97" i="13"/>
  <c r="AO97" i="13"/>
  <c r="AN97" i="13"/>
  <c r="AM97" i="13"/>
  <c r="D97" i="14" s="1"/>
  <c r="AL97" i="13"/>
  <c r="AK97" i="13"/>
  <c r="AJ97" i="13"/>
  <c r="AI97" i="13"/>
  <c r="AG97" i="13"/>
  <c r="AF97" i="13"/>
  <c r="AC97" i="13"/>
  <c r="AD97" i="13" s="1"/>
  <c r="AB97" i="13"/>
  <c r="Y97" i="13"/>
  <c r="AE97" i="13" s="1"/>
  <c r="W97" i="13"/>
  <c r="U97" i="13"/>
  <c r="R97" i="13"/>
  <c r="L97" i="13"/>
  <c r="K97" i="13"/>
  <c r="AT95" i="13"/>
  <c r="AS95" i="13"/>
  <c r="AR95" i="13"/>
  <c r="AQ95" i="13"/>
  <c r="AP95" i="13"/>
  <c r="AO95" i="13"/>
  <c r="AN95" i="13"/>
  <c r="AM95" i="13"/>
  <c r="D95" i="14" s="1"/>
  <c r="AL95" i="13"/>
  <c r="AK95" i="13"/>
  <c r="AJ95" i="13"/>
  <c r="AI95" i="13"/>
  <c r="AG95" i="13"/>
  <c r="AF95" i="13"/>
  <c r="AC95" i="13"/>
  <c r="AD95" i="13" s="1"/>
  <c r="AB95" i="13"/>
  <c r="Y95" i="13"/>
  <c r="AE95" i="13" s="1"/>
  <c r="W95" i="13"/>
  <c r="U95" i="13"/>
  <c r="R95" i="13"/>
  <c r="L95" i="13"/>
  <c r="K95" i="13"/>
  <c r="AT93" i="13"/>
  <c r="AS93" i="13"/>
  <c r="AR93" i="13"/>
  <c r="AQ93" i="13"/>
  <c r="AP93" i="13"/>
  <c r="AO93" i="13"/>
  <c r="AN93" i="13"/>
  <c r="AM93" i="13"/>
  <c r="D93" i="14" s="1"/>
  <c r="AL93" i="13"/>
  <c r="AK93" i="13"/>
  <c r="AJ93" i="13"/>
  <c r="AI93" i="13"/>
  <c r="AG93" i="13"/>
  <c r="AF93" i="13"/>
  <c r="AC93" i="13"/>
  <c r="AD93" i="13" s="1"/>
  <c r="AB93" i="13"/>
  <c r="Y93" i="13"/>
  <c r="AE93" i="13" s="1"/>
  <c r="W93" i="13"/>
  <c r="U93" i="13"/>
  <c r="R93" i="13"/>
  <c r="L93" i="13"/>
  <c r="K93" i="13"/>
  <c r="AT91" i="13"/>
  <c r="AS91" i="13"/>
  <c r="AR91" i="13"/>
  <c r="AQ91" i="13"/>
  <c r="AP91" i="13"/>
  <c r="AO91" i="13"/>
  <c r="AN91" i="13"/>
  <c r="AM91" i="13"/>
  <c r="D91" i="14" s="1"/>
  <c r="AL91" i="13"/>
  <c r="AK91" i="13"/>
  <c r="AJ91" i="13"/>
  <c r="AI91" i="13"/>
  <c r="AG91" i="13"/>
  <c r="AF91" i="13"/>
  <c r="AC91" i="13"/>
  <c r="AD91" i="13" s="1"/>
  <c r="AB91" i="13"/>
  <c r="Y91" i="13"/>
  <c r="AE91" i="13" s="1"/>
  <c r="W91" i="13"/>
  <c r="U91" i="13"/>
  <c r="R91" i="13"/>
  <c r="L91" i="13"/>
  <c r="K91" i="13"/>
  <c r="AT89" i="13"/>
  <c r="AS89" i="13"/>
  <c r="AR89" i="13"/>
  <c r="AQ89" i="13"/>
  <c r="AP89" i="13"/>
  <c r="AO89" i="13"/>
  <c r="AN89" i="13"/>
  <c r="AM89" i="13"/>
  <c r="D89" i="14" s="1"/>
  <c r="AL89" i="13"/>
  <c r="AK89" i="13"/>
  <c r="AJ89" i="13"/>
  <c r="AI89" i="13"/>
  <c r="AG89" i="13"/>
  <c r="AF89" i="13"/>
  <c r="AC89" i="13"/>
  <c r="AD89" i="13" s="1"/>
  <c r="AB89" i="13"/>
  <c r="Y89" i="13"/>
  <c r="AE89" i="13" s="1"/>
  <c r="W89" i="13"/>
  <c r="U89" i="13"/>
  <c r="R89" i="13"/>
  <c r="L89" i="13"/>
  <c r="K89" i="13"/>
  <c r="AT87" i="13"/>
  <c r="AS87" i="13"/>
  <c r="AR87" i="13"/>
  <c r="AQ87" i="13"/>
  <c r="AP87" i="13"/>
  <c r="AO87" i="13"/>
  <c r="AN87" i="13"/>
  <c r="AM87" i="13"/>
  <c r="D87" i="14" s="1"/>
  <c r="AL87" i="13"/>
  <c r="AK87" i="13"/>
  <c r="AJ87" i="13"/>
  <c r="AI87" i="13"/>
  <c r="AG87" i="13"/>
  <c r="AF87" i="13"/>
  <c r="AC87" i="13"/>
  <c r="AD87" i="13" s="1"/>
  <c r="AB87" i="13"/>
  <c r="Y87" i="13"/>
  <c r="AE87" i="13" s="1"/>
  <c r="W87" i="13"/>
  <c r="U87" i="13"/>
  <c r="R87" i="13"/>
  <c r="L87" i="13"/>
  <c r="K87" i="13"/>
  <c r="AT85" i="13"/>
  <c r="AS85" i="13"/>
  <c r="AR85" i="13"/>
  <c r="AQ85" i="13"/>
  <c r="AP85" i="13"/>
  <c r="AO85" i="13"/>
  <c r="AN85" i="13"/>
  <c r="AM85" i="13"/>
  <c r="D85" i="14" s="1"/>
  <c r="AL85" i="13"/>
  <c r="AK85" i="13"/>
  <c r="AJ85" i="13"/>
  <c r="AI85" i="13"/>
  <c r="AG85" i="13"/>
  <c r="AF85" i="13"/>
  <c r="AC85" i="13"/>
  <c r="AD85" i="13" s="1"/>
  <c r="AB85" i="13"/>
  <c r="Y85" i="13"/>
  <c r="AE85" i="13" s="1"/>
  <c r="W85" i="13"/>
  <c r="U85" i="13"/>
  <c r="R85" i="13"/>
  <c r="L85" i="13"/>
  <c r="K85" i="13"/>
  <c r="AT83" i="13"/>
  <c r="AS83" i="13"/>
  <c r="AR83" i="13"/>
  <c r="AQ83" i="13"/>
  <c r="AP83" i="13"/>
  <c r="AO83" i="13"/>
  <c r="AN83" i="13"/>
  <c r="AM83" i="13"/>
  <c r="D83" i="14" s="1"/>
  <c r="AL83" i="13"/>
  <c r="AK83" i="13"/>
  <c r="AJ83" i="13"/>
  <c r="AI83" i="13"/>
  <c r="AG83" i="13"/>
  <c r="AF83" i="13"/>
  <c r="AC83" i="13"/>
  <c r="AD83" i="13" s="1"/>
  <c r="AB83" i="13"/>
  <c r="Y83" i="13"/>
  <c r="AE83" i="13" s="1"/>
  <c r="W83" i="13"/>
  <c r="U83" i="13"/>
  <c r="R83" i="13"/>
  <c r="L83" i="13"/>
  <c r="K83" i="13"/>
  <c r="AT81" i="13"/>
  <c r="AS81" i="13"/>
  <c r="AR81" i="13"/>
  <c r="AQ81" i="13"/>
  <c r="AP81" i="13"/>
  <c r="AO81" i="13"/>
  <c r="AN81" i="13"/>
  <c r="AM81" i="13"/>
  <c r="D81" i="14" s="1"/>
  <c r="AL81" i="13"/>
  <c r="AK81" i="13"/>
  <c r="AJ81" i="13"/>
  <c r="AI81" i="13"/>
  <c r="AG81" i="13"/>
  <c r="AF81" i="13"/>
  <c r="AC81" i="13"/>
  <c r="AD81" i="13" s="1"/>
  <c r="AB81" i="13"/>
  <c r="Y81" i="13"/>
  <c r="AE81" i="13" s="1"/>
  <c r="W81" i="13"/>
  <c r="U81" i="13"/>
  <c r="R81" i="13"/>
  <c r="L81" i="13"/>
  <c r="K81" i="13"/>
  <c r="AT79" i="13"/>
  <c r="AS79" i="13"/>
  <c r="AR79" i="13"/>
  <c r="AQ79" i="13"/>
  <c r="AP79" i="13"/>
  <c r="AO79" i="13"/>
  <c r="AN79" i="13"/>
  <c r="AM79" i="13"/>
  <c r="D79" i="14" s="1"/>
  <c r="AL79" i="13"/>
  <c r="AK79" i="13"/>
  <c r="AJ79" i="13"/>
  <c r="AI79" i="13"/>
  <c r="AG79" i="13"/>
  <c r="AF79" i="13"/>
  <c r="AC79" i="13"/>
  <c r="AD79" i="13" s="1"/>
  <c r="AB79" i="13"/>
  <c r="Y79" i="13"/>
  <c r="AE79" i="13" s="1"/>
  <c r="W79" i="13"/>
  <c r="U79" i="13"/>
  <c r="R79" i="13"/>
  <c r="L79" i="13"/>
  <c r="K79" i="13"/>
  <c r="AT77" i="13"/>
  <c r="AS77" i="13"/>
  <c r="AR77" i="13"/>
  <c r="AQ77" i="13"/>
  <c r="AP77" i="13"/>
  <c r="AO77" i="13"/>
  <c r="AN77" i="13"/>
  <c r="AM77" i="13"/>
  <c r="D77" i="14" s="1"/>
  <c r="AL77" i="13"/>
  <c r="AK77" i="13"/>
  <c r="AJ77" i="13"/>
  <c r="AI77" i="13"/>
  <c r="AG77" i="13"/>
  <c r="AF77" i="13"/>
  <c r="AC77" i="13"/>
  <c r="AD77" i="13" s="1"/>
  <c r="AB77" i="13"/>
  <c r="Y77" i="13"/>
  <c r="AE77" i="13" s="1"/>
  <c r="W77" i="13"/>
  <c r="U77" i="13"/>
  <c r="R77" i="13"/>
  <c r="L77" i="13"/>
  <c r="K77" i="13"/>
  <c r="AT75" i="13"/>
  <c r="AS75" i="13"/>
  <c r="AR75" i="13"/>
  <c r="AQ75" i="13"/>
  <c r="AP75" i="13"/>
  <c r="AO75" i="13"/>
  <c r="AN75" i="13"/>
  <c r="AM75" i="13"/>
  <c r="D75" i="14" s="1"/>
  <c r="AL75" i="13"/>
  <c r="AK75" i="13"/>
  <c r="AJ75" i="13"/>
  <c r="AI75" i="13"/>
  <c r="AG75" i="13"/>
  <c r="AF75" i="13"/>
  <c r="AC75" i="13"/>
  <c r="AD75" i="13" s="1"/>
  <c r="AB75" i="13"/>
  <c r="Y75" i="13"/>
  <c r="AE75" i="13" s="1"/>
  <c r="W75" i="13"/>
  <c r="U75" i="13"/>
  <c r="R75" i="13"/>
  <c r="L75" i="13"/>
  <c r="K75" i="13"/>
  <c r="AT73" i="13"/>
  <c r="AS73" i="13"/>
  <c r="AR73" i="13"/>
  <c r="AQ73" i="13"/>
  <c r="AP73" i="13"/>
  <c r="AO73" i="13"/>
  <c r="AN73" i="13"/>
  <c r="AM73" i="13"/>
  <c r="D73" i="14" s="1"/>
  <c r="AL73" i="13"/>
  <c r="AK73" i="13"/>
  <c r="AJ73" i="13"/>
  <c r="AI73" i="13"/>
  <c r="AG73" i="13"/>
  <c r="AF73" i="13"/>
  <c r="AC73" i="13"/>
  <c r="AD73" i="13" s="1"/>
  <c r="AB73" i="13"/>
  <c r="Y73" i="13"/>
  <c r="AE73" i="13" s="1"/>
  <c r="W73" i="13"/>
  <c r="U73" i="13"/>
  <c r="R73" i="13"/>
  <c r="L73" i="13"/>
  <c r="K73" i="13"/>
  <c r="AT71" i="13"/>
  <c r="AS71" i="13"/>
  <c r="AR71" i="13"/>
  <c r="AQ71" i="13"/>
  <c r="AP71" i="13"/>
  <c r="AO71" i="13"/>
  <c r="AN71" i="13"/>
  <c r="AM71" i="13"/>
  <c r="D71" i="14" s="1"/>
  <c r="AL71" i="13"/>
  <c r="AK71" i="13"/>
  <c r="AJ71" i="13"/>
  <c r="AI71" i="13"/>
  <c r="AG71" i="13"/>
  <c r="AF71" i="13"/>
  <c r="AC71" i="13"/>
  <c r="AD71" i="13" s="1"/>
  <c r="AB71" i="13"/>
  <c r="Y71" i="13"/>
  <c r="AE71" i="13" s="1"/>
  <c r="W71" i="13"/>
  <c r="U71" i="13"/>
  <c r="R71" i="13"/>
  <c r="L71" i="13"/>
  <c r="K71" i="13"/>
  <c r="AT69" i="13"/>
  <c r="AS69" i="13"/>
  <c r="AR69" i="13"/>
  <c r="AQ69" i="13"/>
  <c r="AP69" i="13"/>
  <c r="AO69" i="13"/>
  <c r="AN69" i="13"/>
  <c r="AM69" i="13"/>
  <c r="D69" i="14" s="1"/>
  <c r="AL69" i="13"/>
  <c r="AK69" i="13"/>
  <c r="AJ69" i="13"/>
  <c r="AI69" i="13"/>
  <c r="AG69" i="13"/>
  <c r="AF69" i="13"/>
  <c r="AC69" i="13"/>
  <c r="AD69" i="13" s="1"/>
  <c r="AB69" i="13"/>
  <c r="Y69" i="13"/>
  <c r="AE69" i="13" s="1"/>
  <c r="W69" i="13"/>
  <c r="U69" i="13"/>
  <c r="R69" i="13"/>
  <c r="L69" i="13"/>
  <c r="K69" i="13"/>
  <c r="AT67" i="13"/>
  <c r="AS67" i="13"/>
  <c r="AR67" i="13"/>
  <c r="AQ67" i="13"/>
  <c r="AP67" i="13"/>
  <c r="AO67" i="13"/>
  <c r="AN67" i="13"/>
  <c r="AM67" i="13"/>
  <c r="D67" i="14" s="1"/>
  <c r="AL67" i="13"/>
  <c r="AK67" i="13"/>
  <c r="AJ67" i="13"/>
  <c r="AI67" i="13"/>
  <c r="AG67" i="13"/>
  <c r="AF67" i="13"/>
  <c r="AC67" i="13"/>
  <c r="AD67" i="13" s="1"/>
  <c r="AB67" i="13"/>
  <c r="Y67" i="13"/>
  <c r="AE67" i="13" s="1"/>
  <c r="W67" i="13"/>
  <c r="U67" i="13"/>
  <c r="R67" i="13"/>
  <c r="L67" i="13"/>
  <c r="K67" i="13"/>
  <c r="AT65" i="13"/>
  <c r="AS65" i="13"/>
  <c r="AR65" i="13"/>
  <c r="AQ65" i="13"/>
  <c r="AP65" i="13"/>
  <c r="AO65" i="13"/>
  <c r="AN65" i="13"/>
  <c r="AM65" i="13"/>
  <c r="D65" i="14" s="1"/>
  <c r="AL65" i="13"/>
  <c r="AK65" i="13"/>
  <c r="AJ65" i="13"/>
  <c r="AI65" i="13"/>
  <c r="AG65" i="13"/>
  <c r="AF65" i="13"/>
  <c r="AC65" i="13"/>
  <c r="AD65" i="13" s="1"/>
  <c r="AB65" i="13"/>
  <c r="Y65" i="13"/>
  <c r="AE65" i="13" s="1"/>
  <c r="W65" i="13"/>
  <c r="U65" i="13"/>
  <c r="R65" i="13"/>
  <c r="L65" i="13"/>
  <c r="K65" i="13"/>
  <c r="AT63" i="13"/>
  <c r="AS63" i="13"/>
  <c r="AR63" i="13"/>
  <c r="AQ63" i="13"/>
  <c r="AP63" i="13"/>
  <c r="AO63" i="13"/>
  <c r="AN63" i="13"/>
  <c r="AM63" i="13"/>
  <c r="D63" i="14" s="1"/>
  <c r="AL63" i="13"/>
  <c r="AK63" i="13"/>
  <c r="AJ63" i="13"/>
  <c r="AI63" i="13"/>
  <c r="AG63" i="13"/>
  <c r="AF63" i="13"/>
  <c r="AC63" i="13"/>
  <c r="AD63" i="13" s="1"/>
  <c r="AB63" i="13"/>
  <c r="Y63" i="13"/>
  <c r="AE63" i="13" s="1"/>
  <c r="W63" i="13"/>
  <c r="U63" i="13"/>
  <c r="R63" i="13"/>
  <c r="L63" i="13"/>
  <c r="K63" i="13"/>
  <c r="AT61" i="13"/>
  <c r="AS61" i="13"/>
  <c r="AR61" i="13"/>
  <c r="AQ61" i="13"/>
  <c r="AP61" i="13"/>
  <c r="AO61" i="13"/>
  <c r="AN61" i="13"/>
  <c r="AM61" i="13"/>
  <c r="D61" i="14" s="1"/>
  <c r="AL61" i="13"/>
  <c r="AK61" i="13"/>
  <c r="AJ61" i="13"/>
  <c r="AI61" i="13"/>
  <c r="AG61" i="13"/>
  <c r="AF61" i="13"/>
  <c r="AC61" i="13"/>
  <c r="AD61" i="13" s="1"/>
  <c r="AB61" i="13"/>
  <c r="Y61" i="13"/>
  <c r="AE61" i="13" s="1"/>
  <c r="W61" i="13"/>
  <c r="U61" i="13"/>
  <c r="R61" i="13"/>
  <c r="L61" i="13"/>
  <c r="K61" i="13"/>
  <c r="AT59" i="13"/>
  <c r="AS59" i="13"/>
  <c r="AR59" i="13"/>
  <c r="AQ59" i="13"/>
  <c r="AP59" i="13"/>
  <c r="AO59" i="13"/>
  <c r="AN59" i="13"/>
  <c r="AM59" i="13"/>
  <c r="D59" i="14" s="1"/>
  <c r="AL59" i="13"/>
  <c r="AK59" i="13"/>
  <c r="AJ59" i="13"/>
  <c r="AI59" i="13"/>
  <c r="AG59" i="13"/>
  <c r="AF59" i="13"/>
  <c r="AC59" i="13"/>
  <c r="AD59" i="13" s="1"/>
  <c r="AB59" i="13"/>
  <c r="Y59" i="13"/>
  <c r="AE59" i="13" s="1"/>
  <c r="W59" i="13"/>
  <c r="U59" i="13"/>
  <c r="R59" i="13"/>
  <c r="L59" i="13"/>
  <c r="K59" i="13"/>
  <c r="AT57" i="13"/>
  <c r="AS57" i="13"/>
  <c r="AR57" i="13"/>
  <c r="AQ57" i="13"/>
  <c r="AP57" i="13"/>
  <c r="AO57" i="13"/>
  <c r="AN57" i="13"/>
  <c r="AM57" i="13"/>
  <c r="D57" i="14" s="1"/>
  <c r="AL57" i="13"/>
  <c r="AK57" i="13"/>
  <c r="AJ57" i="13"/>
  <c r="AI57" i="13"/>
  <c r="AG57" i="13"/>
  <c r="AF57" i="13"/>
  <c r="AC57" i="13"/>
  <c r="AD57" i="13" s="1"/>
  <c r="AB57" i="13"/>
  <c r="Y57" i="13"/>
  <c r="AE57" i="13" s="1"/>
  <c r="W57" i="13"/>
  <c r="U57" i="13"/>
  <c r="R57" i="13"/>
  <c r="L57" i="13"/>
  <c r="K57" i="13"/>
  <c r="AT55" i="13"/>
  <c r="AS55" i="13"/>
  <c r="AR55" i="13"/>
  <c r="AQ55" i="13"/>
  <c r="AP55" i="13"/>
  <c r="AO55" i="13"/>
  <c r="AN55" i="13"/>
  <c r="AM55" i="13"/>
  <c r="D55" i="14" s="1"/>
  <c r="AL55" i="13"/>
  <c r="AK55" i="13"/>
  <c r="AJ55" i="13"/>
  <c r="AI55" i="13"/>
  <c r="AG55" i="13"/>
  <c r="AF55" i="13"/>
  <c r="AC55" i="13"/>
  <c r="AD55" i="13" s="1"/>
  <c r="AB55" i="13"/>
  <c r="Y55" i="13"/>
  <c r="AE55" i="13" s="1"/>
  <c r="W55" i="13"/>
  <c r="U55" i="13"/>
  <c r="R55" i="13"/>
  <c r="L55" i="13"/>
  <c r="K55" i="13"/>
  <c r="AT53" i="13"/>
  <c r="AS53" i="13"/>
  <c r="AR53" i="13"/>
  <c r="AQ53" i="13"/>
  <c r="AP53" i="13"/>
  <c r="AO53" i="13"/>
  <c r="AN53" i="13"/>
  <c r="AM53" i="13"/>
  <c r="D53" i="14" s="1"/>
  <c r="AL53" i="13"/>
  <c r="AK53" i="13"/>
  <c r="AJ53" i="13"/>
  <c r="AI53" i="13"/>
  <c r="AG53" i="13"/>
  <c r="AF53" i="13"/>
  <c r="AC53" i="13"/>
  <c r="AD53" i="13" s="1"/>
  <c r="AB53" i="13"/>
  <c r="Y53" i="13"/>
  <c r="AE53" i="13" s="1"/>
  <c r="W53" i="13"/>
  <c r="U53" i="13"/>
  <c r="R53" i="13"/>
  <c r="L53" i="13"/>
  <c r="K53" i="13"/>
  <c r="AT51" i="13"/>
  <c r="AS51" i="13"/>
  <c r="AR51" i="13"/>
  <c r="AQ51" i="13"/>
  <c r="AP51" i="13"/>
  <c r="AO51" i="13"/>
  <c r="AN51" i="13"/>
  <c r="AM51" i="13"/>
  <c r="D51" i="14" s="1"/>
  <c r="AL51" i="13"/>
  <c r="AK51" i="13"/>
  <c r="AJ51" i="13"/>
  <c r="AI51" i="13"/>
  <c r="AG51" i="13"/>
  <c r="AF51" i="13"/>
  <c r="AC51" i="13"/>
  <c r="AD51" i="13" s="1"/>
  <c r="AB51" i="13"/>
  <c r="Y51" i="13"/>
  <c r="AE51" i="13" s="1"/>
  <c r="W51" i="13"/>
  <c r="U51" i="13"/>
  <c r="R51" i="13"/>
  <c r="L51" i="13"/>
  <c r="K51" i="13"/>
  <c r="AT49" i="13"/>
  <c r="AS49" i="13"/>
  <c r="AR49" i="13"/>
  <c r="AQ49" i="13"/>
  <c r="AP49" i="13"/>
  <c r="AO49" i="13"/>
  <c r="AN49" i="13"/>
  <c r="AM49" i="13"/>
  <c r="D49" i="14" s="1"/>
  <c r="AL49" i="13"/>
  <c r="AK49" i="13"/>
  <c r="AJ49" i="13"/>
  <c r="AI49" i="13"/>
  <c r="AG49" i="13"/>
  <c r="AF49" i="13"/>
  <c r="AC49" i="13"/>
  <c r="AD49" i="13" s="1"/>
  <c r="AB49" i="13"/>
  <c r="Y49" i="13"/>
  <c r="AE49" i="13" s="1"/>
  <c r="W49" i="13"/>
  <c r="U49" i="13"/>
  <c r="R49" i="13"/>
  <c r="L49" i="13"/>
  <c r="K49" i="13"/>
  <c r="AT47" i="13"/>
  <c r="AS47" i="13"/>
  <c r="AR47" i="13"/>
  <c r="AQ47" i="13"/>
  <c r="AP47" i="13"/>
  <c r="AO47" i="13"/>
  <c r="AN47" i="13"/>
  <c r="AM47" i="13"/>
  <c r="D47" i="14" s="1"/>
  <c r="AL47" i="13"/>
  <c r="AK47" i="13"/>
  <c r="AJ47" i="13"/>
  <c r="AI47" i="13"/>
  <c r="AG47" i="13"/>
  <c r="AF47" i="13"/>
  <c r="AC47" i="13"/>
  <c r="AD47" i="13" s="1"/>
  <c r="AB47" i="13"/>
  <c r="Y47" i="13"/>
  <c r="AE47" i="13" s="1"/>
  <c r="W47" i="13"/>
  <c r="U47" i="13"/>
  <c r="R47" i="13"/>
  <c r="L47" i="13"/>
  <c r="K47" i="13"/>
  <c r="AT45" i="13"/>
  <c r="AS45" i="13"/>
  <c r="AR45" i="13"/>
  <c r="AQ45" i="13"/>
  <c r="AP45" i="13"/>
  <c r="AO45" i="13"/>
  <c r="AN45" i="13"/>
  <c r="AM45" i="13"/>
  <c r="D45" i="14" s="1"/>
  <c r="AL45" i="13"/>
  <c r="AK45" i="13"/>
  <c r="AJ45" i="13"/>
  <c r="AI45" i="13"/>
  <c r="AG45" i="13"/>
  <c r="AF45" i="13"/>
  <c r="AC45" i="13"/>
  <c r="AD45" i="13" s="1"/>
  <c r="AB45" i="13"/>
  <c r="Y45" i="13"/>
  <c r="AE45" i="13" s="1"/>
  <c r="W45" i="13"/>
  <c r="U45" i="13"/>
  <c r="R45" i="13"/>
  <c r="L45" i="13"/>
  <c r="K45" i="13"/>
  <c r="AT43" i="13"/>
  <c r="AS43" i="13"/>
  <c r="AR43" i="13"/>
  <c r="AQ43" i="13"/>
  <c r="AP43" i="13"/>
  <c r="AO43" i="13"/>
  <c r="AN43" i="13"/>
  <c r="AM43" i="13"/>
  <c r="D43" i="14" s="1"/>
  <c r="AL43" i="13"/>
  <c r="AK43" i="13"/>
  <c r="AJ43" i="13"/>
  <c r="AI43" i="13"/>
  <c r="AG43" i="13"/>
  <c r="AF43" i="13"/>
  <c r="AC43" i="13"/>
  <c r="AD43" i="13" s="1"/>
  <c r="AB43" i="13"/>
  <c r="Y43" i="13"/>
  <c r="AE43" i="13" s="1"/>
  <c r="W43" i="13"/>
  <c r="U43" i="13"/>
  <c r="R43" i="13"/>
  <c r="L43" i="13"/>
  <c r="K43" i="13"/>
  <c r="AT41" i="13"/>
  <c r="AS41" i="13"/>
  <c r="AR41" i="13"/>
  <c r="AQ41" i="13"/>
  <c r="AP41" i="13"/>
  <c r="AO41" i="13"/>
  <c r="AN41" i="13"/>
  <c r="AM188" i="13"/>
  <c r="E41" i="14" s="1"/>
  <c r="AL41" i="13"/>
  <c r="AK41" i="13"/>
  <c r="AJ41" i="13"/>
  <c r="AI41" i="13"/>
  <c r="AG41" i="13"/>
  <c r="AF41" i="13"/>
  <c r="AC41" i="13"/>
  <c r="AD41" i="13" s="1"/>
  <c r="AB41" i="13"/>
  <c r="Y41" i="13"/>
  <c r="AE41" i="13" s="1"/>
  <c r="W41" i="13"/>
  <c r="U41" i="13"/>
  <c r="R41" i="13"/>
  <c r="L41" i="13"/>
  <c r="K41" i="13"/>
  <c r="AT39" i="13"/>
  <c r="AS39" i="13"/>
  <c r="AR39" i="13"/>
  <c r="AQ39" i="13"/>
  <c r="AP39" i="13"/>
  <c r="AO39" i="13"/>
  <c r="AN39" i="13"/>
  <c r="AM39" i="13"/>
  <c r="D39" i="14" s="1"/>
  <c r="AL39" i="13"/>
  <c r="AK39" i="13"/>
  <c r="AJ39" i="13"/>
  <c r="AI39" i="13"/>
  <c r="AG39" i="13"/>
  <c r="AF39" i="13"/>
  <c r="AC39" i="13"/>
  <c r="AD39" i="13" s="1"/>
  <c r="AB39" i="13"/>
  <c r="Y39" i="13"/>
  <c r="AE39" i="13" s="1"/>
  <c r="W39" i="13"/>
  <c r="U39" i="13"/>
  <c r="R39" i="13"/>
  <c r="L39" i="13"/>
  <c r="K39" i="13"/>
  <c r="AT37" i="13"/>
  <c r="AS37" i="13"/>
  <c r="AR37" i="13"/>
  <c r="AQ37" i="13"/>
  <c r="AP37" i="13"/>
  <c r="AO37" i="13"/>
  <c r="AN37" i="13"/>
  <c r="AM37" i="13"/>
  <c r="D37" i="14" s="1"/>
  <c r="AL37" i="13"/>
  <c r="AK37" i="13"/>
  <c r="AJ37" i="13"/>
  <c r="AI37" i="13"/>
  <c r="AG37" i="13"/>
  <c r="AF37" i="13"/>
  <c r="AC37" i="13"/>
  <c r="AD37" i="13" s="1"/>
  <c r="AB37" i="13"/>
  <c r="Y37" i="13"/>
  <c r="AE37" i="13" s="1"/>
  <c r="W37" i="13"/>
  <c r="U37" i="13"/>
  <c r="R37" i="13"/>
  <c r="L37" i="13"/>
  <c r="K37" i="13"/>
  <c r="AT35" i="13"/>
  <c r="AS35" i="13"/>
  <c r="AR35" i="13"/>
  <c r="AQ35" i="13"/>
  <c r="AP35" i="13"/>
  <c r="AO35" i="13"/>
  <c r="AN35" i="13"/>
  <c r="AM35" i="13"/>
  <c r="D35" i="14" s="1"/>
  <c r="AL35" i="13"/>
  <c r="AK35" i="13"/>
  <c r="AJ35" i="13"/>
  <c r="AI35" i="13"/>
  <c r="AG35" i="13"/>
  <c r="AF35" i="13"/>
  <c r="AC35" i="13"/>
  <c r="AD35" i="13" s="1"/>
  <c r="AB35" i="13"/>
  <c r="Y35" i="13"/>
  <c r="AE35" i="13" s="1"/>
  <c r="W35" i="13"/>
  <c r="U35" i="13"/>
  <c r="R35" i="13"/>
  <c r="L35" i="13"/>
  <c r="K35" i="13"/>
  <c r="AT33" i="13"/>
  <c r="AS33" i="13"/>
  <c r="AR33" i="13"/>
  <c r="AQ33" i="13"/>
  <c r="AP33" i="13"/>
  <c r="AO33" i="13"/>
  <c r="AN33" i="13"/>
  <c r="AM33" i="13"/>
  <c r="D33" i="14" s="1"/>
  <c r="AL33" i="13"/>
  <c r="AK33" i="13"/>
  <c r="AJ33" i="13"/>
  <c r="AI33" i="13"/>
  <c r="AG33" i="13"/>
  <c r="AF33" i="13"/>
  <c r="AC33" i="13"/>
  <c r="AD33" i="13" s="1"/>
  <c r="AB33" i="13"/>
  <c r="Y33" i="13"/>
  <c r="AE33" i="13" s="1"/>
  <c r="W33" i="13"/>
  <c r="U33" i="13"/>
  <c r="R33" i="13"/>
  <c r="L33" i="13"/>
  <c r="K33" i="13"/>
  <c r="AT31" i="13"/>
  <c r="AS31" i="13"/>
  <c r="AR31" i="13"/>
  <c r="AQ31" i="13"/>
  <c r="AP31" i="13"/>
  <c r="AO31" i="13"/>
  <c r="AN31" i="13"/>
  <c r="AM31" i="13"/>
  <c r="D31" i="14" s="1"/>
  <c r="AL31" i="13"/>
  <c r="AK31" i="13"/>
  <c r="AJ31" i="13"/>
  <c r="AI31" i="13"/>
  <c r="AG31" i="13"/>
  <c r="AF31" i="13"/>
  <c r="AC31" i="13"/>
  <c r="AD31" i="13" s="1"/>
  <c r="AB31" i="13"/>
  <c r="Y31" i="13"/>
  <c r="AE31" i="13" s="1"/>
  <c r="W31" i="13"/>
  <c r="U31" i="13"/>
  <c r="R31" i="13"/>
  <c r="L31" i="13"/>
  <c r="K31" i="13"/>
  <c r="AT29" i="13"/>
  <c r="AS29" i="13"/>
  <c r="AR29" i="13"/>
  <c r="AQ29" i="13"/>
  <c r="AP29" i="13"/>
  <c r="AO29" i="13"/>
  <c r="AN29" i="13"/>
  <c r="AM29" i="13"/>
  <c r="D29" i="14" s="1"/>
  <c r="AL29" i="13"/>
  <c r="AK29" i="13"/>
  <c r="AJ29" i="13"/>
  <c r="AI29" i="13"/>
  <c r="AG29" i="13"/>
  <c r="AF29" i="13"/>
  <c r="AC29" i="13"/>
  <c r="AD29" i="13" s="1"/>
  <c r="AB29" i="13"/>
  <c r="Y29" i="13"/>
  <c r="AE29" i="13" s="1"/>
  <c r="W29" i="13"/>
  <c r="U29" i="13"/>
  <c r="R29" i="13"/>
  <c r="L29" i="13"/>
  <c r="K29" i="13"/>
  <c r="AT27" i="13"/>
  <c r="AS27" i="13"/>
  <c r="AR27" i="13"/>
  <c r="AQ27" i="13"/>
  <c r="AP27" i="13"/>
  <c r="AO27" i="13"/>
  <c r="AN27" i="13"/>
  <c r="AM27" i="13"/>
  <c r="D27" i="14" s="1"/>
  <c r="AL27" i="13"/>
  <c r="AK27" i="13"/>
  <c r="AJ27" i="13"/>
  <c r="AI27" i="13"/>
  <c r="AG27" i="13"/>
  <c r="AF27" i="13"/>
  <c r="AC27" i="13"/>
  <c r="AD27" i="13" s="1"/>
  <c r="AB27" i="13"/>
  <c r="Y27" i="13"/>
  <c r="AE27" i="13" s="1"/>
  <c r="W27" i="13"/>
  <c r="U27" i="13"/>
  <c r="R27" i="13"/>
  <c r="L27" i="13"/>
  <c r="K27" i="13"/>
  <c r="AT25" i="13"/>
  <c r="AS25" i="13"/>
  <c r="AR25" i="13"/>
  <c r="AQ25" i="13"/>
  <c r="AP25" i="13"/>
  <c r="AO25" i="13"/>
  <c r="AN25" i="13"/>
  <c r="AM25" i="13"/>
  <c r="D25" i="14" s="1"/>
  <c r="AL25" i="13"/>
  <c r="AK25" i="13"/>
  <c r="AJ25" i="13"/>
  <c r="AI25" i="13"/>
  <c r="AG25" i="13"/>
  <c r="AF25" i="13"/>
  <c r="AC25" i="13"/>
  <c r="AD25" i="13" s="1"/>
  <c r="AB25" i="13"/>
  <c r="Y25" i="13"/>
  <c r="AE25" i="13" s="1"/>
  <c r="W25" i="13"/>
  <c r="U25" i="13"/>
  <c r="R25" i="13"/>
  <c r="L25" i="13"/>
  <c r="K25" i="13"/>
  <c r="AT23" i="13"/>
  <c r="AS23" i="13"/>
  <c r="AR23" i="13"/>
  <c r="AQ23" i="13"/>
  <c r="AP23" i="13"/>
  <c r="AO23" i="13"/>
  <c r="AN23" i="13"/>
  <c r="AM23" i="13"/>
  <c r="D23" i="14" s="1"/>
  <c r="AL23" i="13"/>
  <c r="AK23" i="13"/>
  <c r="AJ23" i="13"/>
  <c r="AI23" i="13"/>
  <c r="AG23" i="13"/>
  <c r="AF23" i="13"/>
  <c r="AC23" i="13"/>
  <c r="AD23" i="13" s="1"/>
  <c r="AB23" i="13"/>
  <c r="Y23" i="13"/>
  <c r="AE23" i="13" s="1"/>
  <c r="W23" i="13"/>
  <c r="U23" i="13"/>
  <c r="R23" i="13"/>
  <c r="L23" i="13"/>
  <c r="K23" i="13"/>
  <c r="AT19" i="13"/>
  <c r="AS19" i="13"/>
  <c r="AR19" i="13"/>
  <c r="AQ19" i="13"/>
  <c r="AP19" i="13"/>
  <c r="AO19" i="13"/>
  <c r="AN19" i="13"/>
  <c r="AM19" i="13"/>
  <c r="D19" i="14" s="1"/>
  <c r="AL19" i="13"/>
  <c r="AK19" i="13"/>
  <c r="AJ19" i="13"/>
  <c r="AI19" i="13"/>
  <c r="AG19" i="13"/>
  <c r="AF19" i="13"/>
  <c r="AC19" i="13"/>
  <c r="AD19" i="13" s="1"/>
  <c r="AB19" i="13"/>
  <c r="Y19" i="13"/>
  <c r="AE19" i="13" s="1"/>
  <c r="W19" i="13"/>
  <c r="U19" i="13"/>
  <c r="R19" i="13"/>
  <c r="L19" i="13"/>
  <c r="K19" i="13"/>
  <c r="AT17" i="13"/>
  <c r="AS17" i="13"/>
  <c r="AR17" i="13"/>
  <c r="AQ17" i="13"/>
  <c r="AP17" i="13"/>
  <c r="AO17" i="13"/>
  <c r="AN17" i="13"/>
  <c r="AM17" i="13"/>
  <c r="D17" i="14" s="1"/>
  <c r="AL17" i="13"/>
  <c r="AK17" i="13"/>
  <c r="AJ17" i="13"/>
  <c r="AI17" i="13"/>
  <c r="AG17" i="13"/>
  <c r="AF17" i="13"/>
  <c r="AC17" i="13"/>
  <c r="AD17" i="13" s="1"/>
  <c r="AB17" i="13"/>
  <c r="Y17" i="13"/>
  <c r="AE17" i="13" s="1"/>
  <c r="W17" i="13"/>
  <c r="U17" i="13"/>
  <c r="R17" i="13"/>
  <c r="L17" i="13"/>
  <c r="K17" i="13"/>
  <c r="AT15" i="13"/>
  <c r="AS15" i="13"/>
  <c r="AR15" i="13"/>
  <c r="AQ15" i="13"/>
  <c r="AP15" i="13"/>
  <c r="AO15" i="13"/>
  <c r="AN15" i="13"/>
  <c r="AM15" i="13"/>
  <c r="D15" i="14" s="1"/>
  <c r="AL15" i="13"/>
  <c r="AK15" i="13"/>
  <c r="AJ15" i="13"/>
  <c r="AI15" i="13"/>
  <c r="AG15" i="13"/>
  <c r="AF15" i="13"/>
  <c r="AC15" i="13"/>
  <c r="AD15" i="13" s="1"/>
  <c r="AB15" i="13"/>
  <c r="Y15" i="13"/>
  <c r="AE15" i="13" s="1"/>
  <c r="W15" i="13"/>
  <c r="U15" i="13"/>
  <c r="R15" i="13"/>
  <c r="L15" i="13"/>
  <c r="K15" i="13"/>
  <c r="AT13" i="13"/>
  <c r="AS13" i="13"/>
  <c r="AR13" i="13"/>
  <c r="AQ13" i="13"/>
  <c r="AP13" i="13"/>
  <c r="AO13" i="13"/>
  <c r="AN13" i="13"/>
  <c r="AM13" i="13"/>
  <c r="D13" i="14" s="1"/>
  <c r="AL13" i="13"/>
  <c r="AK13" i="13"/>
  <c r="AJ13" i="13"/>
  <c r="AI13" i="13"/>
  <c r="AG13" i="13"/>
  <c r="AF13" i="13"/>
  <c r="AC13" i="13"/>
  <c r="AD13" i="13" s="1"/>
  <c r="AB13" i="13"/>
  <c r="Y13" i="13"/>
  <c r="AE13" i="13" s="1"/>
  <c r="W13" i="13"/>
  <c r="U13" i="13"/>
  <c r="R13" i="13"/>
  <c r="L13" i="13"/>
  <c r="K13" i="13"/>
  <c r="AT11" i="13"/>
  <c r="AS11" i="13"/>
  <c r="AR11" i="13"/>
  <c r="AQ11" i="13"/>
  <c r="AP11" i="13"/>
  <c r="AO11" i="13"/>
  <c r="AN11" i="13"/>
  <c r="AM11" i="13"/>
  <c r="D11" i="14" s="1"/>
  <c r="AL11" i="13"/>
  <c r="AK11" i="13"/>
  <c r="AJ11" i="13"/>
  <c r="AI11" i="13"/>
  <c r="AG11" i="13"/>
  <c r="AF11" i="13"/>
  <c r="AC11" i="13"/>
  <c r="AD11" i="13" s="1"/>
  <c r="AB11" i="13"/>
  <c r="Y11" i="13"/>
  <c r="AE11" i="13" s="1"/>
  <c r="W11" i="13"/>
  <c r="U11" i="13"/>
  <c r="R11" i="13"/>
  <c r="L11" i="13"/>
  <c r="K11" i="13"/>
  <c r="AT9" i="13"/>
  <c r="AS9" i="13"/>
  <c r="AR9" i="13"/>
  <c r="AQ9" i="13"/>
  <c r="AP9" i="13"/>
  <c r="AO9" i="13"/>
  <c r="AN9" i="13"/>
  <c r="AM9" i="13"/>
  <c r="D9" i="14" s="1"/>
  <c r="AL9" i="13"/>
  <c r="AK9" i="13"/>
  <c r="AJ9" i="13"/>
  <c r="AI9" i="13"/>
  <c r="AG9" i="13"/>
  <c r="AF9" i="13"/>
  <c r="AC9" i="13"/>
  <c r="AD9" i="13" s="1"/>
  <c r="AB9" i="13"/>
  <c r="Y9" i="13"/>
  <c r="AE9" i="13" s="1"/>
  <c r="W9" i="13"/>
  <c r="U9" i="13"/>
  <c r="R9" i="13"/>
  <c r="L9" i="13"/>
  <c r="K9" i="13"/>
  <c r="AT7" i="13"/>
  <c r="AS7" i="13"/>
  <c r="AR7" i="13"/>
  <c r="AQ7" i="13"/>
  <c r="AP7" i="13"/>
  <c r="AO7" i="13"/>
  <c r="AN7" i="13"/>
  <c r="AM7" i="13"/>
  <c r="D7" i="14" s="1"/>
  <c r="AL7" i="13"/>
  <c r="AK7" i="13"/>
  <c r="AJ7" i="13"/>
  <c r="AI7" i="13"/>
  <c r="AG7" i="13"/>
  <c r="AF7" i="13"/>
  <c r="AC7" i="13"/>
  <c r="AD7" i="13" s="1"/>
  <c r="AB7" i="13"/>
  <c r="Y7" i="13"/>
  <c r="AE7" i="13" s="1"/>
  <c r="W7" i="13"/>
  <c r="U7" i="13"/>
  <c r="R7" i="13"/>
  <c r="L7" i="13"/>
  <c r="K7" i="13"/>
  <c r="AT5" i="13"/>
  <c r="AS5" i="13"/>
  <c r="AR5" i="13"/>
  <c r="AQ5" i="13"/>
  <c r="AP5" i="13"/>
  <c r="AO5" i="13"/>
  <c r="AN5" i="13"/>
  <c r="AM5" i="13"/>
  <c r="AL5" i="13"/>
  <c r="AK5" i="13"/>
  <c r="AJ5" i="13"/>
  <c r="AI5" i="13"/>
  <c r="AG5" i="13"/>
  <c r="AF5" i="13"/>
  <c r="AC5" i="13"/>
  <c r="AD5" i="13" s="1"/>
  <c r="AB5" i="13"/>
  <c r="Y5" i="13"/>
  <c r="AE5" i="13" s="1"/>
  <c r="W5" i="13"/>
  <c r="U5" i="13"/>
  <c r="R5" i="13"/>
  <c r="L5" i="13"/>
  <c r="K5" i="13"/>
  <c r="AT3" i="13"/>
  <c r="AS3" i="13"/>
  <c r="AR3" i="13"/>
  <c r="AQ3" i="13"/>
  <c r="AP3" i="13"/>
  <c r="AO3" i="13"/>
  <c r="AN3" i="13"/>
  <c r="AM3" i="13"/>
  <c r="AL3" i="13"/>
  <c r="AK3" i="13"/>
  <c r="AJ3" i="13"/>
  <c r="AI3" i="13"/>
  <c r="AG3" i="13"/>
  <c r="AF3" i="13"/>
  <c r="AC3" i="13"/>
  <c r="AD3" i="13" s="1"/>
  <c r="AB3" i="13"/>
  <c r="Y3" i="13"/>
  <c r="AE3" i="13" s="1"/>
  <c r="W3" i="13"/>
  <c r="U3" i="13"/>
  <c r="R3" i="13"/>
  <c r="L3" i="13"/>
  <c r="K3" i="13"/>
  <c r="B183" i="12"/>
  <c r="C183" i="12" s="1"/>
  <c r="A183" i="12"/>
  <c r="B181" i="12"/>
  <c r="C181" i="12" s="1"/>
  <c r="A181" i="12"/>
  <c r="B179" i="12"/>
  <c r="C179" i="12" s="1"/>
  <c r="A179" i="12"/>
  <c r="B177" i="12"/>
  <c r="C177" i="12" s="1"/>
  <c r="A177" i="12"/>
  <c r="B175" i="12"/>
  <c r="C175" i="12" s="1"/>
  <c r="A175" i="12"/>
  <c r="B173" i="12"/>
  <c r="C173" i="12" s="1"/>
  <c r="A173" i="12"/>
  <c r="B171" i="12"/>
  <c r="C171" i="12" s="1"/>
  <c r="A171" i="12"/>
  <c r="B169" i="12"/>
  <c r="C169" i="12" s="1"/>
  <c r="A169" i="12"/>
  <c r="B167" i="12"/>
  <c r="C167" i="12" s="1"/>
  <c r="A167" i="12"/>
  <c r="B165" i="12"/>
  <c r="C165" i="12" s="1"/>
  <c r="A165" i="12"/>
  <c r="B163" i="12"/>
  <c r="C163" i="12" s="1"/>
  <c r="A163" i="12"/>
  <c r="B161" i="12"/>
  <c r="C161" i="12" s="1"/>
  <c r="A161" i="12"/>
  <c r="B159" i="12"/>
  <c r="C159" i="12" s="1"/>
  <c r="A159" i="12"/>
  <c r="B157" i="12"/>
  <c r="C157" i="12" s="1"/>
  <c r="A157" i="12"/>
  <c r="B155" i="12"/>
  <c r="C155" i="12" s="1"/>
  <c r="A155" i="12"/>
  <c r="B153" i="12"/>
  <c r="C153" i="12" s="1"/>
  <c r="A153" i="12"/>
  <c r="B151" i="12"/>
  <c r="C151" i="12" s="1"/>
  <c r="A151" i="12"/>
  <c r="B149" i="12"/>
  <c r="C149" i="12" s="1"/>
  <c r="A149" i="12"/>
  <c r="B147" i="12"/>
  <c r="C147" i="12" s="1"/>
  <c r="A147" i="12"/>
  <c r="B145" i="12"/>
  <c r="C145" i="12" s="1"/>
  <c r="A145" i="12"/>
  <c r="B143" i="12"/>
  <c r="C143" i="12" s="1"/>
  <c r="A143" i="12"/>
  <c r="B141" i="12"/>
  <c r="C141" i="12" s="1"/>
  <c r="A141" i="12"/>
  <c r="B139" i="12"/>
  <c r="C139" i="12" s="1"/>
  <c r="A139" i="12"/>
  <c r="B137" i="12"/>
  <c r="C137" i="12" s="1"/>
  <c r="A137" i="12"/>
  <c r="B135" i="12"/>
  <c r="C135" i="12" s="1"/>
  <c r="A135" i="12"/>
  <c r="B133" i="12"/>
  <c r="C133" i="12" s="1"/>
  <c r="A133" i="12"/>
  <c r="B131" i="12"/>
  <c r="C131" i="12" s="1"/>
  <c r="A131" i="12"/>
  <c r="B129" i="12"/>
  <c r="C129" i="12" s="1"/>
  <c r="A129" i="12"/>
  <c r="B127" i="12"/>
  <c r="C127" i="12" s="1"/>
  <c r="A127" i="12"/>
  <c r="B125" i="12"/>
  <c r="C125" i="12" s="1"/>
  <c r="A125" i="12"/>
  <c r="B123" i="12"/>
  <c r="C123" i="12" s="1"/>
  <c r="A123" i="12"/>
  <c r="B121" i="12"/>
  <c r="C121" i="12" s="1"/>
  <c r="A121" i="12"/>
  <c r="B119" i="12"/>
  <c r="C119" i="12" s="1"/>
  <c r="A119" i="12"/>
  <c r="B117" i="12"/>
  <c r="C117" i="12" s="1"/>
  <c r="A117" i="12"/>
  <c r="B115" i="12"/>
  <c r="C115" i="12" s="1"/>
  <c r="A115" i="12"/>
  <c r="B113" i="12"/>
  <c r="C113" i="12" s="1"/>
  <c r="A113" i="12"/>
  <c r="B111" i="12"/>
  <c r="C111" i="12" s="1"/>
  <c r="A111" i="12"/>
  <c r="B109" i="12"/>
  <c r="C109" i="12" s="1"/>
  <c r="A109" i="12"/>
  <c r="B107" i="12"/>
  <c r="C107" i="12" s="1"/>
  <c r="A107" i="12"/>
  <c r="B105" i="12"/>
  <c r="C105" i="12" s="1"/>
  <c r="A105" i="12"/>
  <c r="B103" i="12"/>
  <c r="C103" i="12" s="1"/>
  <c r="A103" i="12"/>
  <c r="B101" i="12"/>
  <c r="C101" i="12" s="1"/>
  <c r="A101" i="12"/>
  <c r="B99" i="12"/>
  <c r="C99" i="12" s="1"/>
  <c r="A99" i="12"/>
  <c r="B97" i="12"/>
  <c r="C97" i="12" s="1"/>
  <c r="A97" i="12"/>
  <c r="B95" i="12"/>
  <c r="C95" i="12" s="1"/>
  <c r="A95" i="12"/>
  <c r="B93" i="12"/>
  <c r="C93" i="12" s="1"/>
  <c r="A93" i="12"/>
  <c r="B91" i="12"/>
  <c r="C91" i="12" s="1"/>
  <c r="A91" i="12"/>
  <c r="B89" i="12"/>
  <c r="C89" i="12" s="1"/>
  <c r="A89" i="12"/>
  <c r="B87" i="12"/>
  <c r="C87" i="12" s="1"/>
  <c r="A87" i="12"/>
  <c r="B85" i="12"/>
  <c r="C85" i="12" s="1"/>
  <c r="A85" i="12"/>
  <c r="B83" i="12"/>
  <c r="C83" i="12" s="1"/>
  <c r="A83" i="12"/>
  <c r="B81" i="12"/>
  <c r="C81" i="12" s="1"/>
  <c r="A81" i="12"/>
  <c r="B79" i="12"/>
  <c r="C79" i="12" s="1"/>
  <c r="A79" i="12"/>
  <c r="B77" i="12"/>
  <c r="C77" i="12" s="1"/>
  <c r="A77" i="12"/>
  <c r="B75" i="12"/>
  <c r="C75" i="12" s="1"/>
  <c r="A75" i="12"/>
  <c r="B73" i="12"/>
  <c r="C73" i="12" s="1"/>
  <c r="A73" i="12"/>
  <c r="B71" i="12"/>
  <c r="C71" i="12" s="1"/>
  <c r="A71" i="12"/>
  <c r="B69" i="12"/>
  <c r="C69" i="12" s="1"/>
  <c r="A69" i="12"/>
  <c r="B67" i="12"/>
  <c r="C67" i="12" s="1"/>
  <c r="A67" i="12"/>
  <c r="B65" i="12"/>
  <c r="C65" i="12" s="1"/>
  <c r="A65" i="12"/>
  <c r="B63" i="12"/>
  <c r="C63" i="12" s="1"/>
  <c r="A63" i="12"/>
  <c r="B61" i="12"/>
  <c r="C61" i="12" s="1"/>
  <c r="A61" i="12"/>
  <c r="B59" i="12"/>
  <c r="C59" i="12" s="1"/>
  <c r="A59" i="12"/>
  <c r="B57" i="12"/>
  <c r="C57" i="12" s="1"/>
  <c r="A57" i="12"/>
  <c r="B55" i="12"/>
  <c r="C55" i="12" s="1"/>
  <c r="A55" i="12"/>
  <c r="B53" i="12"/>
  <c r="C53" i="12" s="1"/>
  <c r="A53" i="12"/>
  <c r="B51" i="12"/>
  <c r="C51" i="12" s="1"/>
  <c r="A51" i="12"/>
  <c r="B49" i="12"/>
  <c r="C49" i="12" s="1"/>
  <c r="A49" i="12"/>
  <c r="B47" i="12"/>
  <c r="C47" i="12" s="1"/>
  <c r="A47" i="12"/>
  <c r="B45" i="12"/>
  <c r="C45" i="12" s="1"/>
  <c r="A45" i="12"/>
  <c r="B43" i="12"/>
  <c r="C43" i="12" s="1"/>
  <c r="A43" i="12"/>
  <c r="B41" i="12"/>
  <c r="C41" i="12" s="1"/>
  <c r="A41" i="12"/>
  <c r="B39" i="12"/>
  <c r="C39" i="12" s="1"/>
  <c r="A39" i="12"/>
  <c r="B37" i="12"/>
  <c r="C37" i="12" s="1"/>
  <c r="A37" i="12"/>
  <c r="B35" i="12"/>
  <c r="C35" i="12" s="1"/>
  <c r="A35" i="12"/>
  <c r="B33" i="12"/>
  <c r="C33" i="12" s="1"/>
  <c r="A33" i="12"/>
  <c r="B31" i="12"/>
  <c r="C31" i="12" s="1"/>
  <c r="A31" i="12"/>
  <c r="B27" i="12"/>
  <c r="C27" i="12" s="1"/>
  <c r="A27" i="12"/>
  <c r="B25" i="12"/>
  <c r="C25" i="12" s="1"/>
  <c r="A25" i="12"/>
  <c r="B23" i="12"/>
  <c r="C23" i="12" s="1"/>
  <c r="A23" i="12"/>
  <c r="B21" i="12"/>
  <c r="C21" i="12" s="1"/>
  <c r="A21" i="12"/>
  <c r="B19" i="12"/>
  <c r="C19" i="12" s="1"/>
  <c r="A19" i="12"/>
  <c r="B17" i="12"/>
  <c r="C17" i="12" s="1"/>
  <c r="A17" i="12"/>
  <c r="B15" i="12"/>
  <c r="C15" i="12" s="1"/>
  <c r="A15" i="12"/>
  <c r="B13" i="12"/>
  <c r="C13" i="12" s="1"/>
  <c r="A13" i="12"/>
  <c r="B11" i="12"/>
  <c r="C11" i="12" s="1"/>
  <c r="A11" i="12"/>
  <c r="B9" i="12"/>
  <c r="C9" i="12" s="1"/>
  <c r="A9" i="12"/>
  <c r="B7" i="12"/>
  <c r="C7" i="12" s="1"/>
  <c r="A7" i="12"/>
  <c r="B5" i="12"/>
  <c r="C5" i="12" s="1"/>
  <c r="A5" i="12"/>
  <c r="B3" i="12"/>
  <c r="C3" i="12" s="1"/>
  <c r="A3" i="12"/>
  <c r="AX183" i="11"/>
  <c r="AW183" i="11"/>
  <c r="AV183" i="11"/>
  <c r="AC183" i="11"/>
  <c r="AD183" i="11" s="1"/>
  <c r="AB183" i="11"/>
  <c r="Y183" i="11"/>
  <c r="AE183" i="11" s="1"/>
  <c r="W183" i="11"/>
  <c r="U183" i="11"/>
  <c r="R183" i="11"/>
  <c r="L183" i="11"/>
  <c r="K183" i="11"/>
  <c r="AX181" i="11"/>
  <c r="AW181" i="11"/>
  <c r="AV181" i="11"/>
  <c r="AF181" i="11" s="1"/>
  <c r="AC181" i="11"/>
  <c r="AD181" i="11" s="1"/>
  <c r="AB181" i="11"/>
  <c r="Y181" i="11"/>
  <c r="AE181" i="11" s="1"/>
  <c r="W181" i="11"/>
  <c r="U181" i="11"/>
  <c r="R181" i="11"/>
  <c r="L181" i="11"/>
  <c r="K181" i="11"/>
  <c r="AT179" i="11"/>
  <c r="AS179" i="11"/>
  <c r="AR179" i="11"/>
  <c r="AQ179" i="11"/>
  <c r="AP179" i="11"/>
  <c r="AO179" i="11"/>
  <c r="AN179" i="11"/>
  <c r="AM179" i="11"/>
  <c r="D179" i="12" s="1"/>
  <c r="AL179" i="11"/>
  <c r="AK179" i="11"/>
  <c r="AJ179" i="11"/>
  <c r="AI179" i="11"/>
  <c r="AG179" i="11"/>
  <c r="AF179" i="11"/>
  <c r="AC179" i="11"/>
  <c r="AD179" i="11" s="1"/>
  <c r="AB179" i="11"/>
  <c r="Y179" i="11"/>
  <c r="AE179" i="11" s="1"/>
  <c r="W179" i="11"/>
  <c r="U179" i="11"/>
  <c r="R179" i="11"/>
  <c r="L179" i="11"/>
  <c r="K179" i="11"/>
  <c r="AT177" i="11"/>
  <c r="AS177" i="11"/>
  <c r="AR177" i="11"/>
  <c r="AQ177" i="11"/>
  <c r="AP177" i="11"/>
  <c r="AO177" i="11"/>
  <c r="AN177" i="11"/>
  <c r="AM177" i="11"/>
  <c r="D177" i="12" s="1"/>
  <c r="AL177" i="11"/>
  <c r="AK177" i="11"/>
  <c r="AJ177" i="11"/>
  <c r="AI177" i="11"/>
  <c r="AG177" i="11"/>
  <c r="AF177" i="11"/>
  <c r="AC177" i="11"/>
  <c r="AD177" i="11" s="1"/>
  <c r="AB177" i="11"/>
  <c r="Y177" i="11"/>
  <c r="AE177" i="11" s="1"/>
  <c r="W177" i="11"/>
  <c r="U177" i="11"/>
  <c r="R177" i="11"/>
  <c r="L177" i="11"/>
  <c r="K177" i="11"/>
  <c r="AT175" i="11"/>
  <c r="AS175" i="11"/>
  <c r="AR175" i="11"/>
  <c r="AQ175" i="11"/>
  <c r="AP175" i="11"/>
  <c r="AO175" i="11"/>
  <c r="AN175" i="11"/>
  <c r="AM175" i="11"/>
  <c r="D175" i="12" s="1"/>
  <c r="AL175" i="11"/>
  <c r="AK175" i="11"/>
  <c r="AJ175" i="11"/>
  <c r="AI175" i="11"/>
  <c r="AG175" i="11"/>
  <c r="AF175" i="11"/>
  <c r="AC175" i="11"/>
  <c r="AD175" i="11" s="1"/>
  <c r="AB175" i="11"/>
  <c r="Y175" i="11"/>
  <c r="AE175" i="11" s="1"/>
  <c r="W175" i="11"/>
  <c r="U175" i="11"/>
  <c r="R175" i="11"/>
  <c r="L175" i="11"/>
  <c r="K175" i="11"/>
  <c r="AT173" i="11"/>
  <c r="AS173" i="11"/>
  <c r="AR173" i="11"/>
  <c r="AQ173" i="11"/>
  <c r="AP173" i="11"/>
  <c r="AO173" i="11"/>
  <c r="AN173" i="11"/>
  <c r="AM173" i="11"/>
  <c r="D173" i="12" s="1"/>
  <c r="AL173" i="11"/>
  <c r="AK173" i="11"/>
  <c r="AJ173" i="11"/>
  <c r="AI173" i="11"/>
  <c r="AG173" i="11"/>
  <c r="AF173" i="11"/>
  <c r="AC173" i="11"/>
  <c r="AD173" i="11" s="1"/>
  <c r="AB173" i="11"/>
  <c r="Y173" i="11"/>
  <c r="AE173" i="11" s="1"/>
  <c r="W173" i="11"/>
  <c r="U173" i="11"/>
  <c r="R173" i="11"/>
  <c r="L173" i="11"/>
  <c r="K173" i="11"/>
  <c r="AT171" i="11"/>
  <c r="AS171" i="11"/>
  <c r="AR171" i="11"/>
  <c r="AQ171" i="11"/>
  <c r="AP171" i="11"/>
  <c r="AO171" i="11"/>
  <c r="AN171" i="11"/>
  <c r="AM171" i="11"/>
  <c r="D171" i="12" s="1"/>
  <c r="AL171" i="11"/>
  <c r="AK171" i="11"/>
  <c r="AJ171" i="11"/>
  <c r="AI171" i="11"/>
  <c r="AG171" i="11"/>
  <c r="AF171" i="11"/>
  <c r="AC171" i="11"/>
  <c r="AD171" i="11" s="1"/>
  <c r="AB171" i="11"/>
  <c r="Y171" i="11"/>
  <c r="AE171" i="11" s="1"/>
  <c r="W171" i="11"/>
  <c r="U171" i="11"/>
  <c r="R171" i="11"/>
  <c r="L171" i="11"/>
  <c r="K171" i="11"/>
  <c r="AT169" i="11"/>
  <c r="AS169" i="11"/>
  <c r="AR169" i="11"/>
  <c r="AQ169" i="11"/>
  <c r="AP169" i="11"/>
  <c r="AO169" i="11"/>
  <c r="AN169" i="11"/>
  <c r="AM169" i="11"/>
  <c r="D169" i="12" s="1"/>
  <c r="AL169" i="11"/>
  <c r="AK169" i="11"/>
  <c r="AJ169" i="11"/>
  <c r="AI169" i="11"/>
  <c r="AG169" i="11"/>
  <c r="AF169" i="11"/>
  <c r="AC169" i="11"/>
  <c r="AD169" i="11" s="1"/>
  <c r="AB169" i="11"/>
  <c r="Y169" i="11"/>
  <c r="AE169" i="11" s="1"/>
  <c r="W169" i="11"/>
  <c r="U169" i="11"/>
  <c r="R169" i="11"/>
  <c r="L169" i="11"/>
  <c r="K169" i="11"/>
  <c r="AT167" i="11"/>
  <c r="AS167" i="11"/>
  <c r="AR167" i="11"/>
  <c r="AQ167" i="11"/>
  <c r="AP167" i="11"/>
  <c r="AO167" i="11"/>
  <c r="AN167" i="11"/>
  <c r="AM167" i="11"/>
  <c r="D167" i="12" s="1"/>
  <c r="AL167" i="11"/>
  <c r="AK167" i="11"/>
  <c r="AJ167" i="11"/>
  <c r="AI167" i="11"/>
  <c r="AG167" i="11"/>
  <c r="AF167" i="11"/>
  <c r="AC167" i="11"/>
  <c r="AD167" i="11" s="1"/>
  <c r="AB167" i="11"/>
  <c r="Y167" i="11"/>
  <c r="AE167" i="11" s="1"/>
  <c r="W167" i="11"/>
  <c r="U167" i="11"/>
  <c r="R167" i="11"/>
  <c r="L167" i="11"/>
  <c r="K167" i="11"/>
  <c r="AT165" i="11"/>
  <c r="AS165" i="11"/>
  <c r="AR165" i="11"/>
  <c r="AQ165" i="11"/>
  <c r="AP165" i="11"/>
  <c r="AO165" i="11"/>
  <c r="AN165" i="11"/>
  <c r="AM165" i="11"/>
  <c r="D165" i="12" s="1"/>
  <c r="AL165" i="11"/>
  <c r="AK165" i="11"/>
  <c r="AJ165" i="11"/>
  <c r="AI165" i="11"/>
  <c r="AG165" i="11"/>
  <c r="AF165" i="11"/>
  <c r="AC165" i="11"/>
  <c r="AD165" i="11" s="1"/>
  <c r="AB165" i="11"/>
  <c r="Y165" i="11"/>
  <c r="AE165" i="11" s="1"/>
  <c r="W165" i="11"/>
  <c r="U165" i="11"/>
  <c r="R165" i="11"/>
  <c r="L165" i="11"/>
  <c r="K165" i="11"/>
  <c r="AT163" i="11"/>
  <c r="AS163" i="11"/>
  <c r="AR163" i="11"/>
  <c r="AQ163" i="11"/>
  <c r="AP163" i="11"/>
  <c r="AO163" i="11"/>
  <c r="AN163" i="11"/>
  <c r="AM163" i="11"/>
  <c r="D163" i="12" s="1"/>
  <c r="AL163" i="11"/>
  <c r="AK163" i="11"/>
  <c r="AJ163" i="11"/>
  <c r="AI163" i="11"/>
  <c r="AG163" i="11"/>
  <c r="AF163" i="11"/>
  <c r="AC163" i="11"/>
  <c r="AD163" i="11" s="1"/>
  <c r="AB163" i="11"/>
  <c r="Y163" i="11"/>
  <c r="AE163" i="11" s="1"/>
  <c r="W163" i="11"/>
  <c r="U163" i="11"/>
  <c r="R163" i="11"/>
  <c r="L163" i="11"/>
  <c r="K163" i="11"/>
  <c r="AT161" i="11"/>
  <c r="AS161" i="11"/>
  <c r="AR161" i="11"/>
  <c r="AQ161" i="11"/>
  <c r="AP161" i="11"/>
  <c r="AO161" i="11"/>
  <c r="AN161" i="11"/>
  <c r="AM161" i="11"/>
  <c r="D161" i="12" s="1"/>
  <c r="AL161" i="11"/>
  <c r="AK161" i="11"/>
  <c r="AJ161" i="11"/>
  <c r="AI161" i="11"/>
  <c r="AG161" i="11"/>
  <c r="AF161" i="11"/>
  <c r="AC161" i="11"/>
  <c r="AD161" i="11" s="1"/>
  <c r="AB161" i="11"/>
  <c r="Y161" i="11"/>
  <c r="AE161" i="11" s="1"/>
  <c r="W161" i="11"/>
  <c r="U161" i="11"/>
  <c r="R161" i="11"/>
  <c r="L161" i="11"/>
  <c r="K161" i="11"/>
  <c r="AT159" i="11"/>
  <c r="AS159" i="11"/>
  <c r="AR159" i="11"/>
  <c r="AQ159" i="11"/>
  <c r="AP159" i="11"/>
  <c r="AO159" i="11"/>
  <c r="AN159" i="11"/>
  <c r="AM159" i="11"/>
  <c r="D159" i="12" s="1"/>
  <c r="AL159" i="11"/>
  <c r="AK159" i="11"/>
  <c r="AJ159" i="11"/>
  <c r="AI159" i="11"/>
  <c r="AG159" i="11"/>
  <c r="AF159" i="11"/>
  <c r="AC159" i="11"/>
  <c r="AD159" i="11" s="1"/>
  <c r="AB159" i="11"/>
  <c r="Y159" i="11"/>
  <c r="AE159" i="11" s="1"/>
  <c r="W159" i="11"/>
  <c r="U159" i="11"/>
  <c r="R159" i="11"/>
  <c r="L159" i="11"/>
  <c r="K159" i="11"/>
  <c r="AT157" i="11"/>
  <c r="AS157" i="11"/>
  <c r="AR157" i="11"/>
  <c r="AQ157" i="11"/>
  <c r="AP157" i="11"/>
  <c r="AO157" i="11"/>
  <c r="AN157" i="11"/>
  <c r="AM157" i="11"/>
  <c r="D157" i="12" s="1"/>
  <c r="AL157" i="11"/>
  <c r="AK157" i="11"/>
  <c r="AJ157" i="11"/>
  <c r="AI157" i="11"/>
  <c r="AG157" i="11"/>
  <c r="AF157" i="11"/>
  <c r="AC157" i="11"/>
  <c r="AD157" i="11" s="1"/>
  <c r="AB157" i="11"/>
  <c r="Y157" i="11"/>
  <c r="AE157" i="11" s="1"/>
  <c r="W157" i="11"/>
  <c r="U157" i="11"/>
  <c r="R157" i="11"/>
  <c r="L157" i="11"/>
  <c r="K157" i="11"/>
  <c r="AT155" i="11"/>
  <c r="AS155" i="11"/>
  <c r="AR155" i="11"/>
  <c r="AQ155" i="11"/>
  <c r="AP155" i="11"/>
  <c r="AO155" i="11"/>
  <c r="AN155" i="11"/>
  <c r="AM155" i="11"/>
  <c r="D155" i="12" s="1"/>
  <c r="AL155" i="11"/>
  <c r="AK155" i="11"/>
  <c r="AJ155" i="11"/>
  <c r="AI155" i="11"/>
  <c r="AG155" i="11"/>
  <c r="AF155" i="11"/>
  <c r="AC155" i="11"/>
  <c r="AD155" i="11" s="1"/>
  <c r="AB155" i="11"/>
  <c r="Y155" i="11"/>
  <c r="AE155" i="11" s="1"/>
  <c r="W155" i="11"/>
  <c r="U155" i="11"/>
  <c r="R155" i="11"/>
  <c r="L155" i="11"/>
  <c r="K155" i="11"/>
  <c r="AT153" i="11"/>
  <c r="AS153" i="11"/>
  <c r="AR153" i="11"/>
  <c r="AQ153" i="11"/>
  <c r="AP153" i="11"/>
  <c r="AO153" i="11"/>
  <c r="AN153" i="11"/>
  <c r="AM153" i="11"/>
  <c r="D153" i="12" s="1"/>
  <c r="AL153" i="11"/>
  <c r="AK153" i="11"/>
  <c r="AJ153" i="11"/>
  <c r="AI153" i="11"/>
  <c r="AG153" i="11"/>
  <c r="AF153" i="11"/>
  <c r="AC153" i="11"/>
  <c r="AD153" i="11" s="1"/>
  <c r="AB153" i="11"/>
  <c r="Y153" i="11"/>
  <c r="AE153" i="11" s="1"/>
  <c r="W153" i="11"/>
  <c r="U153" i="11"/>
  <c r="R153" i="11"/>
  <c r="L153" i="11"/>
  <c r="K153" i="11"/>
  <c r="AT151" i="11"/>
  <c r="AS151" i="11"/>
  <c r="AR151" i="11"/>
  <c r="AQ151" i="11"/>
  <c r="AP151" i="11"/>
  <c r="AO151" i="11"/>
  <c r="AN151" i="11"/>
  <c r="AM151" i="11"/>
  <c r="D151" i="12" s="1"/>
  <c r="AL151" i="11"/>
  <c r="AK151" i="11"/>
  <c r="AJ151" i="11"/>
  <c r="AI151" i="11"/>
  <c r="AG151" i="11"/>
  <c r="AF151" i="11"/>
  <c r="AC151" i="11"/>
  <c r="AD151" i="11" s="1"/>
  <c r="AB151" i="11"/>
  <c r="Y151" i="11"/>
  <c r="AE151" i="11" s="1"/>
  <c r="W151" i="11"/>
  <c r="U151" i="11"/>
  <c r="R151" i="11"/>
  <c r="L151" i="11"/>
  <c r="K151" i="11"/>
  <c r="AT149" i="11"/>
  <c r="AS149" i="11"/>
  <c r="AR149" i="11"/>
  <c r="AQ149" i="11"/>
  <c r="AP149" i="11"/>
  <c r="AO149" i="11"/>
  <c r="AN149" i="11"/>
  <c r="AM149" i="11"/>
  <c r="D149" i="12" s="1"/>
  <c r="AL149" i="11"/>
  <c r="AK149" i="11"/>
  <c r="AJ149" i="11"/>
  <c r="AI149" i="11"/>
  <c r="AG149" i="11"/>
  <c r="AF149" i="11"/>
  <c r="AC149" i="11"/>
  <c r="AD149" i="11" s="1"/>
  <c r="AB149" i="11"/>
  <c r="Y149" i="11"/>
  <c r="AE149" i="11" s="1"/>
  <c r="W149" i="11"/>
  <c r="U149" i="11"/>
  <c r="R149" i="11"/>
  <c r="L149" i="11"/>
  <c r="K149" i="11"/>
  <c r="AT147" i="11"/>
  <c r="AS147" i="11"/>
  <c r="AR147" i="11"/>
  <c r="AQ147" i="11"/>
  <c r="AP147" i="11"/>
  <c r="AO147" i="11"/>
  <c r="AN147" i="11"/>
  <c r="AM147" i="11"/>
  <c r="D147" i="12" s="1"/>
  <c r="AL147" i="11"/>
  <c r="AK147" i="11"/>
  <c r="AJ147" i="11"/>
  <c r="AI147" i="11"/>
  <c r="AG147" i="11"/>
  <c r="AF147" i="11"/>
  <c r="AC147" i="11"/>
  <c r="AD147" i="11" s="1"/>
  <c r="AB147" i="11"/>
  <c r="Y147" i="11"/>
  <c r="AE147" i="11" s="1"/>
  <c r="W147" i="11"/>
  <c r="U147" i="11"/>
  <c r="R147" i="11"/>
  <c r="L147" i="11"/>
  <c r="K147" i="11"/>
  <c r="AT145" i="11"/>
  <c r="AS145" i="11"/>
  <c r="AR145" i="11"/>
  <c r="AQ145" i="11"/>
  <c r="AP145" i="11"/>
  <c r="AO145" i="11"/>
  <c r="AN145" i="11"/>
  <c r="AM145" i="11"/>
  <c r="D145" i="12" s="1"/>
  <c r="AL145" i="11"/>
  <c r="AK145" i="11"/>
  <c r="AJ145" i="11"/>
  <c r="AI145" i="11"/>
  <c r="AG145" i="11"/>
  <c r="AF145" i="11"/>
  <c r="AC145" i="11"/>
  <c r="AD145" i="11" s="1"/>
  <c r="AB145" i="11"/>
  <c r="Y145" i="11"/>
  <c r="AE145" i="11" s="1"/>
  <c r="W145" i="11"/>
  <c r="U145" i="11"/>
  <c r="R145" i="11"/>
  <c r="L145" i="11"/>
  <c r="K145" i="11"/>
  <c r="AT143" i="11"/>
  <c r="AS143" i="11"/>
  <c r="AR143" i="11"/>
  <c r="AQ143" i="11"/>
  <c r="AP143" i="11"/>
  <c r="AO143" i="11"/>
  <c r="AN143" i="11"/>
  <c r="AM143" i="11"/>
  <c r="D143" i="12" s="1"/>
  <c r="AL143" i="11"/>
  <c r="AK143" i="11"/>
  <c r="AJ143" i="11"/>
  <c r="AI143" i="11"/>
  <c r="AG143" i="11"/>
  <c r="AF143" i="11"/>
  <c r="AC143" i="11"/>
  <c r="AD143" i="11" s="1"/>
  <c r="AB143" i="11"/>
  <c r="Y143" i="11"/>
  <c r="AE143" i="11" s="1"/>
  <c r="W143" i="11"/>
  <c r="U143" i="11"/>
  <c r="R143" i="11"/>
  <c r="L143" i="11"/>
  <c r="K143" i="11"/>
  <c r="AT141" i="11"/>
  <c r="AS141" i="11"/>
  <c r="AR141" i="11"/>
  <c r="AQ141" i="11"/>
  <c r="AP141" i="11"/>
  <c r="AO141" i="11"/>
  <c r="AN141" i="11"/>
  <c r="AM141" i="11"/>
  <c r="D141" i="12" s="1"/>
  <c r="AL141" i="11"/>
  <c r="AK141" i="11"/>
  <c r="AJ141" i="11"/>
  <c r="AI141" i="11"/>
  <c r="AG141" i="11"/>
  <c r="AF141" i="11"/>
  <c r="AC141" i="11"/>
  <c r="AD141" i="11" s="1"/>
  <c r="AB141" i="11"/>
  <c r="Y141" i="11"/>
  <c r="AE141" i="11" s="1"/>
  <c r="W141" i="11"/>
  <c r="U141" i="11"/>
  <c r="R141" i="11"/>
  <c r="L141" i="11"/>
  <c r="K141" i="11"/>
  <c r="AT139" i="11"/>
  <c r="AS139" i="11"/>
  <c r="AR139" i="11"/>
  <c r="AQ139" i="11"/>
  <c r="AP139" i="11"/>
  <c r="AO139" i="11"/>
  <c r="AN139" i="11"/>
  <c r="AM139" i="11"/>
  <c r="D139" i="12" s="1"/>
  <c r="AL139" i="11"/>
  <c r="AK139" i="11"/>
  <c r="AJ139" i="11"/>
  <c r="AI139" i="11"/>
  <c r="AG139" i="11"/>
  <c r="AF139" i="11"/>
  <c r="AC139" i="11"/>
  <c r="AD139" i="11" s="1"/>
  <c r="AB139" i="11"/>
  <c r="Y139" i="11"/>
  <c r="AE139" i="11" s="1"/>
  <c r="W139" i="11"/>
  <c r="U139" i="11"/>
  <c r="R139" i="11"/>
  <c r="L139" i="11"/>
  <c r="K139" i="11"/>
  <c r="AT137" i="11"/>
  <c r="AS137" i="11"/>
  <c r="AR137" i="11"/>
  <c r="AQ137" i="11"/>
  <c r="AP137" i="11"/>
  <c r="AO137" i="11"/>
  <c r="AN137" i="11"/>
  <c r="AM137" i="11"/>
  <c r="D137" i="12" s="1"/>
  <c r="AL137" i="11"/>
  <c r="AK137" i="11"/>
  <c r="AJ137" i="11"/>
  <c r="AI137" i="11"/>
  <c r="AG137" i="11"/>
  <c r="AF137" i="11"/>
  <c r="AC137" i="11"/>
  <c r="AD137" i="11" s="1"/>
  <c r="AB137" i="11"/>
  <c r="Y137" i="11"/>
  <c r="AE137" i="11" s="1"/>
  <c r="W137" i="11"/>
  <c r="U137" i="11"/>
  <c r="R137" i="11"/>
  <c r="L137" i="11"/>
  <c r="K137" i="11"/>
  <c r="AT135" i="11"/>
  <c r="AS135" i="11"/>
  <c r="AR135" i="11"/>
  <c r="AQ135" i="11"/>
  <c r="AP135" i="11"/>
  <c r="AO135" i="11"/>
  <c r="AN135" i="11"/>
  <c r="AM135" i="11"/>
  <c r="D135" i="12" s="1"/>
  <c r="AL135" i="11"/>
  <c r="AK135" i="11"/>
  <c r="AJ135" i="11"/>
  <c r="AI135" i="11"/>
  <c r="AG135" i="11"/>
  <c r="AF135" i="11"/>
  <c r="AC135" i="11"/>
  <c r="AD135" i="11" s="1"/>
  <c r="AB135" i="11"/>
  <c r="Y135" i="11"/>
  <c r="AE135" i="11" s="1"/>
  <c r="W135" i="11"/>
  <c r="U135" i="11"/>
  <c r="R135" i="11"/>
  <c r="L135" i="11"/>
  <c r="K135" i="11"/>
  <c r="AT133" i="11"/>
  <c r="AS133" i="11"/>
  <c r="AR133" i="11"/>
  <c r="AQ133" i="11"/>
  <c r="AP133" i="11"/>
  <c r="AO133" i="11"/>
  <c r="AN133" i="11"/>
  <c r="AM133" i="11"/>
  <c r="D133" i="12" s="1"/>
  <c r="AL133" i="11"/>
  <c r="AK133" i="11"/>
  <c r="AJ133" i="11"/>
  <c r="AI133" i="11"/>
  <c r="AG133" i="11"/>
  <c r="AF133" i="11"/>
  <c r="AC133" i="11"/>
  <c r="AD133" i="11" s="1"/>
  <c r="AB133" i="11"/>
  <c r="Y133" i="11"/>
  <c r="AE133" i="11" s="1"/>
  <c r="W133" i="11"/>
  <c r="U133" i="11"/>
  <c r="R133" i="11"/>
  <c r="L133" i="11"/>
  <c r="K133" i="11"/>
  <c r="AT131" i="11"/>
  <c r="AS131" i="11"/>
  <c r="AR131" i="11"/>
  <c r="AQ131" i="11"/>
  <c r="AP131" i="11"/>
  <c r="AO131" i="11"/>
  <c r="AN131" i="11"/>
  <c r="AM131" i="11"/>
  <c r="D131" i="12" s="1"/>
  <c r="AL131" i="11"/>
  <c r="AK131" i="11"/>
  <c r="AJ131" i="11"/>
  <c r="AI131" i="11"/>
  <c r="AG131" i="11"/>
  <c r="AF131" i="11"/>
  <c r="AC131" i="11"/>
  <c r="AD131" i="11" s="1"/>
  <c r="AB131" i="11"/>
  <c r="Y131" i="11"/>
  <c r="AE131" i="11" s="1"/>
  <c r="W131" i="11"/>
  <c r="U131" i="11"/>
  <c r="R131" i="11"/>
  <c r="L131" i="11"/>
  <c r="K131" i="11"/>
  <c r="AT129" i="11"/>
  <c r="AS129" i="11"/>
  <c r="AR129" i="11"/>
  <c r="AQ129" i="11"/>
  <c r="AP129" i="11"/>
  <c r="AO129" i="11"/>
  <c r="AN129" i="11"/>
  <c r="AM129" i="11"/>
  <c r="D129" i="12" s="1"/>
  <c r="AL129" i="11"/>
  <c r="AK129" i="11"/>
  <c r="AJ129" i="11"/>
  <c r="AI129" i="11"/>
  <c r="AG129" i="11"/>
  <c r="AF129" i="11"/>
  <c r="AC129" i="11"/>
  <c r="AD129" i="11" s="1"/>
  <c r="AB129" i="11"/>
  <c r="Y129" i="11"/>
  <c r="AE129" i="11" s="1"/>
  <c r="W129" i="11"/>
  <c r="U129" i="11"/>
  <c r="R129" i="11"/>
  <c r="L129" i="11"/>
  <c r="K129" i="11"/>
  <c r="AT127" i="11"/>
  <c r="AS127" i="11"/>
  <c r="AR127" i="11"/>
  <c r="AQ127" i="11"/>
  <c r="AP127" i="11"/>
  <c r="AO127" i="11"/>
  <c r="AN127" i="11"/>
  <c r="AM127" i="11"/>
  <c r="D127" i="12" s="1"/>
  <c r="AL127" i="11"/>
  <c r="AK127" i="11"/>
  <c r="AJ127" i="11"/>
  <c r="AI127" i="11"/>
  <c r="AG127" i="11"/>
  <c r="AF127" i="11"/>
  <c r="AC127" i="11"/>
  <c r="AD127" i="11" s="1"/>
  <c r="AB127" i="11"/>
  <c r="Y127" i="11"/>
  <c r="AE127" i="11" s="1"/>
  <c r="W127" i="11"/>
  <c r="U127" i="11"/>
  <c r="R127" i="11"/>
  <c r="L127" i="11"/>
  <c r="K127" i="11"/>
  <c r="AT125" i="11"/>
  <c r="AS125" i="11"/>
  <c r="AR125" i="11"/>
  <c r="AQ125" i="11"/>
  <c r="AP125" i="11"/>
  <c r="AO125" i="11"/>
  <c r="AN125" i="11"/>
  <c r="AM125" i="11"/>
  <c r="D125" i="12" s="1"/>
  <c r="AL125" i="11"/>
  <c r="AK125" i="11"/>
  <c r="AJ125" i="11"/>
  <c r="AI125" i="11"/>
  <c r="AG125" i="11"/>
  <c r="AF125" i="11"/>
  <c r="AC125" i="11"/>
  <c r="AD125" i="11" s="1"/>
  <c r="AB125" i="11"/>
  <c r="Y125" i="11"/>
  <c r="AE125" i="11" s="1"/>
  <c r="W125" i="11"/>
  <c r="U125" i="11"/>
  <c r="R125" i="11"/>
  <c r="L125" i="11"/>
  <c r="K125" i="11"/>
  <c r="AT123" i="11"/>
  <c r="AS123" i="11"/>
  <c r="AR123" i="11"/>
  <c r="AQ123" i="11"/>
  <c r="AP123" i="11"/>
  <c r="AO123" i="11"/>
  <c r="AN123" i="11"/>
  <c r="AM123" i="11"/>
  <c r="D123" i="12" s="1"/>
  <c r="AL123" i="11"/>
  <c r="AK123" i="11"/>
  <c r="AJ123" i="11"/>
  <c r="AI123" i="11"/>
  <c r="AG123" i="11"/>
  <c r="AF123" i="11"/>
  <c r="AC123" i="11"/>
  <c r="AD123" i="11" s="1"/>
  <c r="AB123" i="11"/>
  <c r="Y123" i="11"/>
  <c r="AE123" i="11" s="1"/>
  <c r="W123" i="11"/>
  <c r="U123" i="11"/>
  <c r="R123" i="11"/>
  <c r="L123" i="11"/>
  <c r="K123" i="11"/>
  <c r="AT121" i="11"/>
  <c r="AS121" i="11"/>
  <c r="AR121" i="11"/>
  <c r="AQ121" i="11"/>
  <c r="AP121" i="11"/>
  <c r="AO121" i="11"/>
  <c r="AN121" i="11"/>
  <c r="AM121" i="11"/>
  <c r="D121" i="12" s="1"/>
  <c r="AL121" i="11"/>
  <c r="AK121" i="11"/>
  <c r="AJ121" i="11"/>
  <c r="AI121" i="11"/>
  <c r="AG121" i="11"/>
  <c r="AF121" i="11"/>
  <c r="AC121" i="11"/>
  <c r="AD121" i="11" s="1"/>
  <c r="AB121" i="11"/>
  <c r="Y121" i="11"/>
  <c r="AE121" i="11" s="1"/>
  <c r="W121" i="11"/>
  <c r="U121" i="11"/>
  <c r="R121" i="11"/>
  <c r="L121" i="11"/>
  <c r="K121" i="11"/>
  <c r="AT119" i="11"/>
  <c r="AS119" i="11"/>
  <c r="AR119" i="11"/>
  <c r="AQ119" i="11"/>
  <c r="AP119" i="11"/>
  <c r="AO119" i="11"/>
  <c r="AN119" i="11"/>
  <c r="AM119" i="11"/>
  <c r="D119" i="12" s="1"/>
  <c r="AL119" i="11"/>
  <c r="AK119" i="11"/>
  <c r="AJ119" i="11"/>
  <c r="AI119" i="11"/>
  <c r="AG119" i="11"/>
  <c r="AF119" i="11"/>
  <c r="AC119" i="11"/>
  <c r="AD119" i="11" s="1"/>
  <c r="AB119" i="11"/>
  <c r="Y119" i="11"/>
  <c r="AE119" i="11" s="1"/>
  <c r="W119" i="11"/>
  <c r="U119" i="11"/>
  <c r="R119" i="11"/>
  <c r="L119" i="11"/>
  <c r="K119" i="11"/>
  <c r="AT117" i="11"/>
  <c r="AS117" i="11"/>
  <c r="AR117" i="11"/>
  <c r="AQ117" i="11"/>
  <c r="AP117" i="11"/>
  <c r="AO117" i="11"/>
  <c r="AN117" i="11"/>
  <c r="AM117" i="11"/>
  <c r="D117" i="12" s="1"/>
  <c r="AL117" i="11"/>
  <c r="AK117" i="11"/>
  <c r="AJ117" i="11"/>
  <c r="AI117" i="11"/>
  <c r="AG117" i="11"/>
  <c r="AF117" i="11"/>
  <c r="AC117" i="11"/>
  <c r="AD117" i="11" s="1"/>
  <c r="AB117" i="11"/>
  <c r="Y117" i="11"/>
  <c r="AE117" i="11" s="1"/>
  <c r="W117" i="11"/>
  <c r="U117" i="11"/>
  <c r="R117" i="11"/>
  <c r="L117" i="11"/>
  <c r="K117" i="11"/>
  <c r="AT115" i="11"/>
  <c r="AS115" i="11"/>
  <c r="AR115" i="11"/>
  <c r="AQ115" i="11"/>
  <c r="AP115" i="11"/>
  <c r="AO115" i="11"/>
  <c r="AN115" i="11"/>
  <c r="AM115" i="11"/>
  <c r="D115" i="12" s="1"/>
  <c r="AL115" i="11"/>
  <c r="AK115" i="11"/>
  <c r="AJ115" i="11"/>
  <c r="AI115" i="11"/>
  <c r="AG115" i="11"/>
  <c r="AF115" i="11"/>
  <c r="AC115" i="11"/>
  <c r="AD115" i="11" s="1"/>
  <c r="AB115" i="11"/>
  <c r="Y115" i="11"/>
  <c r="AE115" i="11" s="1"/>
  <c r="W115" i="11"/>
  <c r="U115" i="11"/>
  <c r="R115" i="11"/>
  <c r="L115" i="11"/>
  <c r="K115" i="11"/>
  <c r="AT113" i="11"/>
  <c r="AS113" i="11"/>
  <c r="AR113" i="11"/>
  <c r="AQ113" i="11"/>
  <c r="AP113" i="11"/>
  <c r="AO113" i="11"/>
  <c r="AN113" i="11"/>
  <c r="AM113" i="11"/>
  <c r="D113" i="12" s="1"/>
  <c r="AL113" i="11"/>
  <c r="AK113" i="11"/>
  <c r="AJ113" i="11"/>
  <c r="AI113" i="11"/>
  <c r="AG113" i="11"/>
  <c r="AF113" i="11"/>
  <c r="AC113" i="11"/>
  <c r="AD113" i="11" s="1"/>
  <c r="AB113" i="11"/>
  <c r="Y113" i="11"/>
  <c r="AE113" i="11" s="1"/>
  <c r="W113" i="11"/>
  <c r="U113" i="11"/>
  <c r="R113" i="11"/>
  <c r="L113" i="11"/>
  <c r="K113" i="11"/>
  <c r="AT111" i="11"/>
  <c r="AS111" i="11"/>
  <c r="AR111" i="11"/>
  <c r="AQ111" i="11"/>
  <c r="AP111" i="11"/>
  <c r="AO111" i="11"/>
  <c r="AN111" i="11"/>
  <c r="AM111" i="11"/>
  <c r="D111" i="12" s="1"/>
  <c r="AL111" i="11"/>
  <c r="AK111" i="11"/>
  <c r="AJ111" i="11"/>
  <c r="AI111" i="11"/>
  <c r="AG111" i="11"/>
  <c r="AF111" i="11"/>
  <c r="AC111" i="11"/>
  <c r="AD111" i="11" s="1"/>
  <c r="AB111" i="11"/>
  <c r="Y111" i="11"/>
  <c r="AE111" i="11" s="1"/>
  <c r="W111" i="11"/>
  <c r="U111" i="11"/>
  <c r="R111" i="11"/>
  <c r="L111" i="11"/>
  <c r="K111" i="11"/>
  <c r="AT109" i="11"/>
  <c r="AS109" i="11"/>
  <c r="AR109" i="11"/>
  <c r="AQ109" i="11"/>
  <c r="AP109" i="11"/>
  <c r="AO109" i="11"/>
  <c r="AN109" i="11"/>
  <c r="AM109" i="11"/>
  <c r="D109" i="12" s="1"/>
  <c r="AL109" i="11"/>
  <c r="AK109" i="11"/>
  <c r="AJ109" i="11"/>
  <c r="AI109" i="11"/>
  <c r="AG109" i="11"/>
  <c r="AF109" i="11"/>
  <c r="AC109" i="11"/>
  <c r="AD109" i="11" s="1"/>
  <c r="AB109" i="11"/>
  <c r="Y109" i="11"/>
  <c r="AE109" i="11" s="1"/>
  <c r="W109" i="11"/>
  <c r="U109" i="11"/>
  <c r="R109" i="11"/>
  <c r="L109" i="11"/>
  <c r="K109" i="11"/>
  <c r="AT107" i="11"/>
  <c r="AS107" i="11"/>
  <c r="AR107" i="11"/>
  <c r="AQ107" i="11"/>
  <c r="AP107" i="11"/>
  <c r="AO107" i="11"/>
  <c r="AN107" i="11"/>
  <c r="AM107" i="11"/>
  <c r="D107" i="12" s="1"/>
  <c r="AL107" i="11"/>
  <c r="AK107" i="11"/>
  <c r="AJ107" i="11"/>
  <c r="AI107" i="11"/>
  <c r="AG107" i="11"/>
  <c r="AF107" i="11"/>
  <c r="AC107" i="11"/>
  <c r="AD107" i="11" s="1"/>
  <c r="AB107" i="11"/>
  <c r="Y107" i="11"/>
  <c r="AE107" i="11" s="1"/>
  <c r="W107" i="11"/>
  <c r="U107" i="11"/>
  <c r="R107" i="11"/>
  <c r="L107" i="11"/>
  <c r="K107" i="11"/>
  <c r="AT105" i="11"/>
  <c r="AS105" i="11"/>
  <c r="AR105" i="11"/>
  <c r="AQ105" i="11"/>
  <c r="AP105" i="11"/>
  <c r="AO105" i="11"/>
  <c r="AN105" i="11"/>
  <c r="AM105" i="11"/>
  <c r="D105" i="12" s="1"/>
  <c r="AL105" i="11"/>
  <c r="AK105" i="11"/>
  <c r="AJ105" i="11"/>
  <c r="AI105" i="11"/>
  <c r="AG105" i="11"/>
  <c r="AF105" i="11"/>
  <c r="AC105" i="11"/>
  <c r="AD105" i="11" s="1"/>
  <c r="AB105" i="11"/>
  <c r="Y105" i="11"/>
  <c r="AE105" i="11" s="1"/>
  <c r="W105" i="11"/>
  <c r="U105" i="11"/>
  <c r="R105" i="11"/>
  <c r="L105" i="11"/>
  <c r="K105" i="11"/>
  <c r="AT103" i="11"/>
  <c r="AS103" i="11"/>
  <c r="AR103" i="11"/>
  <c r="AQ103" i="11"/>
  <c r="AP103" i="11"/>
  <c r="AO103" i="11"/>
  <c r="AN103" i="11"/>
  <c r="AM103" i="11"/>
  <c r="D103" i="12" s="1"/>
  <c r="AL103" i="11"/>
  <c r="AK103" i="11"/>
  <c r="AJ103" i="11"/>
  <c r="AI103" i="11"/>
  <c r="AG103" i="11"/>
  <c r="AF103" i="11"/>
  <c r="AC103" i="11"/>
  <c r="AD103" i="11" s="1"/>
  <c r="AB103" i="11"/>
  <c r="Y103" i="11"/>
  <c r="AE103" i="11" s="1"/>
  <c r="W103" i="11"/>
  <c r="U103" i="11"/>
  <c r="R103" i="11"/>
  <c r="L103" i="11"/>
  <c r="K103" i="11"/>
  <c r="AT101" i="11"/>
  <c r="AS101" i="11"/>
  <c r="AR101" i="11"/>
  <c r="AQ101" i="11"/>
  <c r="AP101" i="11"/>
  <c r="AO101" i="11"/>
  <c r="AN101" i="11"/>
  <c r="AM101" i="11"/>
  <c r="D101" i="12" s="1"/>
  <c r="AL101" i="11"/>
  <c r="AK101" i="11"/>
  <c r="AJ101" i="11"/>
  <c r="AI101" i="11"/>
  <c r="AG101" i="11"/>
  <c r="AF101" i="11"/>
  <c r="AC101" i="11"/>
  <c r="AD101" i="11" s="1"/>
  <c r="AB101" i="11"/>
  <c r="Y101" i="11"/>
  <c r="AE101" i="11" s="1"/>
  <c r="W101" i="11"/>
  <c r="U101" i="11"/>
  <c r="R101" i="11"/>
  <c r="L101" i="11"/>
  <c r="K101" i="11"/>
  <c r="AT99" i="11"/>
  <c r="AS99" i="11"/>
  <c r="AR99" i="11"/>
  <c r="AQ99" i="11"/>
  <c r="AP99" i="11"/>
  <c r="AO99" i="11"/>
  <c r="AN99" i="11"/>
  <c r="AM99" i="11"/>
  <c r="D99" i="12" s="1"/>
  <c r="AL99" i="11"/>
  <c r="AK99" i="11"/>
  <c r="AJ99" i="11"/>
  <c r="AI99" i="11"/>
  <c r="AG99" i="11"/>
  <c r="AF99" i="11"/>
  <c r="AC99" i="11"/>
  <c r="AD99" i="11" s="1"/>
  <c r="AB99" i="11"/>
  <c r="Y99" i="11"/>
  <c r="AE99" i="11" s="1"/>
  <c r="W99" i="11"/>
  <c r="U99" i="11"/>
  <c r="R99" i="11"/>
  <c r="L99" i="11"/>
  <c r="K99" i="11"/>
  <c r="AT97" i="11"/>
  <c r="AS97" i="11"/>
  <c r="AR97" i="11"/>
  <c r="AQ97" i="11"/>
  <c r="AP97" i="11"/>
  <c r="AO97" i="11"/>
  <c r="AN97" i="11"/>
  <c r="AM97" i="11"/>
  <c r="D97" i="12" s="1"/>
  <c r="AL97" i="11"/>
  <c r="AK97" i="11"/>
  <c r="AJ97" i="11"/>
  <c r="AI97" i="11"/>
  <c r="AG97" i="11"/>
  <c r="AF97" i="11"/>
  <c r="AC97" i="11"/>
  <c r="AD97" i="11" s="1"/>
  <c r="AB97" i="11"/>
  <c r="Y97" i="11"/>
  <c r="AE97" i="11" s="1"/>
  <c r="W97" i="11"/>
  <c r="U97" i="11"/>
  <c r="R97" i="11"/>
  <c r="L97" i="11"/>
  <c r="K97" i="11"/>
  <c r="AT95" i="11"/>
  <c r="AS95" i="11"/>
  <c r="AR95" i="11"/>
  <c r="AQ95" i="11"/>
  <c r="AP95" i="11"/>
  <c r="AO95" i="11"/>
  <c r="AN95" i="11"/>
  <c r="AM95" i="11"/>
  <c r="D95" i="12" s="1"/>
  <c r="AL95" i="11"/>
  <c r="AK95" i="11"/>
  <c r="AJ95" i="11"/>
  <c r="AI95" i="11"/>
  <c r="AG95" i="11"/>
  <c r="AF95" i="11"/>
  <c r="AC95" i="11"/>
  <c r="AD95" i="11" s="1"/>
  <c r="AB95" i="11"/>
  <c r="Y95" i="11"/>
  <c r="AE95" i="11" s="1"/>
  <c r="W95" i="11"/>
  <c r="U95" i="11"/>
  <c r="R95" i="11"/>
  <c r="L95" i="11"/>
  <c r="K95" i="11"/>
  <c r="AT93" i="11"/>
  <c r="AS93" i="11"/>
  <c r="AR93" i="11"/>
  <c r="AQ93" i="11"/>
  <c r="AP93" i="11"/>
  <c r="AO93" i="11"/>
  <c r="AN93" i="11"/>
  <c r="AM93" i="11"/>
  <c r="D93" i="12" s="1"/>
  <c r="AL93" i="11"/>
  <c r="AK93" i="11"/>
  <c r="AJ93" i="11"/>
  <c r="AI93" i="11"/>
  <c r="AG93" i="11"/>
  <c r="AF93" i="11"/>
  <c r="AC93" i="11"/>
  <c r="AD93" i="11" s="1"/>
  <c r="AB93" i="11"/>
  <c r="Y93" i="11"/>
  <c r="AE93" i="11" s="1"/>
  <c r="W93" i="11"/>
  <c r="U93" i="11"/>
  <c r="R93" i="11"/>
  <c r="L93" i="11"/>
  <c r="K93" i="11"/>
  <c r="AT91" i="11"/>
  <c r="AS91" i="11"/>
  <c r="AR91" i="11"/>
  <c r="AQ91" i="11"/>
  <c r="AP91" i="11"/>
  <c r="AO91" i="11"/>
  <c r="AN91" i="11"/>
  <c r="AM91" i="11"/>
  <c r="D91" i="12" s="1"/>
  <c r="AL91" i="11"/>
  <c r="AK91" i="11"/>
  <c r="AJ91" i="11"/>
  <c r="AI91" i="11"/>
  <c r="AG91" i="11"/>
  <c r="AF91" i="11"/>
  <c r="AC91" i="11"/>
  <c r="AD91" i="11" s="1"/>
  <c r="AB91" i="11"/>
  <c r="Y91" i="11"/>
  <c r="AE91" i="11" s="1"/>
  <c r="W91" i="11"/>
  <c r="U91" i="11"/>
  <c r="R91" i="11"/>
  <c r="L91" i="11"/>
  <c r="K91" i="11"/>
  <c r="AT89" i="11"/>
  <c r="AS89" i="11"/>
  <c r="AR89" i="11"/>
  <c r="AQ89" i="11"/>
  <c r="AP89" i="11"/>
  <c r="AO89" i="11"/>
  <c r="AN89" i="11"/>
  <c r="AM89" i="11"/>
  <c r="D89" i="12" s="1"/>
  <c r="AL89" i="11"/>
  <c r="AK89" i="11"/>
  <c r="AJ89" i="11"/>
  <c r="AI89" i="11"/>
  <c r="AG89" i="11"/>
  <c r="AF89" i="11"/>
  <c r="AC89" i="11"/>
  <c r="AD89" i="11" s="1"/>
  <c r="AB89" i="11"/>
  <c r="Y89" i="11"/>
  <c r="AE89" i="11" s="1"/>
  <c r="W89" i="11"/>
  <c r="U89" i="11"/>
  <c r="R89" i="11"/>
  <c r="L89" i="11"/>
  <c r="K89" i="11"/>
  <c r="AT87" i="11"/>
  <c r="AS87" i="11"/>
  <c r="AR87" i="11"/>
  <c r="AQ87" i="11"/>
  <c r="AP87" i="11"/>
  <c r="AO87" i="11"/>
  <c r="AN87" i="11"/>
  <c r="AM87" i="11"/>
  <c r="D87" i="12" s="1"/>
  <c r="AL87" i="11"/>
  <c r="AK87" i="11"/>
  <c r="AJ87" i="11"/>
  <c r="AI87" i="11"/>
  <c r="AG87" i="11"/>
  <c r="AF87" i="11"/>
  <c r="AC87" i="11"/>
  <c r="AD87" i="11" s="1"/>
  <c r="AB87" i="11"/>
  <c r="Y87" i="11"/>
  <c r="AE87" i="11" s="1"/>
  <c r="W87" i="11"/>
  <c r="U87" i="11"/>
  <c r="R87" i="11"/>
  <c r="L87" i="11"/>
  <c r="K87" i="11"/>
  <c r="AT85" i="11"/>
  <c r="AS85" i="11"/>
  <c r="AR85" i="11"/>
  <c r="AQ85" i="11"/>
  <c r="AP85" i="11"/>
  <c r="AO85" i="11"/>
  <c r="AN85" i="11"/>
  <c r="AM85" i="11"/>
  <c r="D85" i="12" s="1"/>
  <c r="AL85" i="11"/>
  <c r="AK85" i="11"/>
  <c r="AJ85" i="11"/>
  <c r="AI85" i="11"/>
  <c r="AG85" i="11"/>
  <c r="AF85" i="11"/>
  <c r="AC85" i="11"/>
  <c r="AD85" i="11" s="1"/>
  <c r="AB85" i="11"/>
  <c r="Y85" i="11"/>
  <c r="AE85" i="11" s="1"/>
  <c r="W85" i="11"/>
  <c r="U85" i="11"/>
  <c r="R85" i="11"/>
  <c r="L85" i="11"/>
  <c r="K85" i="11"/>
  <c r="AT83" i="11"/>
  <c r="AS83" i="11"/>
  <c r="AR83" i="11"/>
  <c r="AQ83" i="11"/>
  <c r="AP83" i="11"/>
  <c r="AO83" i="11"/>
  <c r="AN83" i="11"/>
  <c r="AM83" i="11"/>
  <c r="D83" i="12" s="1"/>
  <c r="AL83" i="11"/>
  <c r="AK83" i="11"/>
  <c r="AJ83" i="11"/>
  <c r="AI83" i="11"/>
  <c r="AG83" i="11"/>
  <c r="AF83" i="11"/>
  <c r="AC83" i="11"/>
  <c r="AD83" i="11" s="1"/>
  <c r="AB83" i="11"/>
  <c r="Y83" i="11"/>
  <c r="AE83" i="11" s="1"/>
  <c r="W83" i="11"/>
  <c r="U83" i="11"/>
  <c r="R83" i="11"/>
  <c r="L83" i="11"/>
  <c r="K83" i="11"/>
  <c r="AT81" i="11"/>
  <c r="AS81" i="11"/>
  <c r="AR81" i="11"/>
  <c r="AQ81" i="11"/>
  <c r="AP81" i="11"/>
  <c r="AO81" i="11"/>
  <c r="AN81" i="11"/>
  <c r="AM81" i="11"/>
  <c r="D81" i="12" s="1"/>
  <c r="AL81" i="11"/>
  <c r="AK81" i="11"/>
  <c r="AJ81" i="11"/>
  <c r="AI81" i="11"/>
  <c r="AG81" i="11"/>
  <c r="AF81" i="11"/>
  <c r="AC81" i="11"/>
  <c r="AD81" i="11" s="1"/>
  <c r="AB81" i="11"/>
  <c r="Y81" i="11"/>
  <c r="AE81" i="11" s="1"/>
  <c r="W81" i="11"/>
  <c r="U81" i="11"/>
  <c r="R81" i="11"/>
  <c r="L81" i="11"/>
  <c r="K81" i="11"/>
  <c r="AT79" i="11"/>
  <c r="AS79" i="11"/>
  <c r="AR79" i="11"/>
  <c r="AQ79" i="11"/>
  <c r="AP79" i="11"/>
  <c r="AO79" i="11"/>
  <c r="AN79" i="11"/>
  <c r="AM79" i="11"/>
  <c r="D79" i="12" s="1"/>
  <c r="AL79" i="11"/>
  <c r="AK79" i="11"/>
  <c r="AJ79" i="11"/>
  <c r="AI79" i="11"/>
  <c r="AG79" i="11"/>
  <c r="AF79" i="11"/>
  <c r="AC79" i="11"/>
  <c r="AD79" i="11" s="1"/>
  <c r="AB79" i="11"/>
  <c r="Y79" i="11"/>
  <c r="AE79" i="11" s="1"/>
  <c r="W79" i="11"/>
  <c r="U79" i="11"/>
  <c r="R79" i="11"/>
  <c r="L79" i="11"/>
  <c r="K79" i="11"/>
  <c r="AT77" i="11"/>
  <c r="AS77" i="11"/>
  <c r="AR77" i="11"/>
  <c r="AQ77" i="11"/>
  <c r="AP77" i="11"/>
  <c r="AO77" i="11"/>
  <c r="AN77" i="11"/>
  <c r="AM77" i="11"/>
  <c r="D77" i="12" s="1"/>
  <c r="AL77" i="11"/>
  <c r="AK77" i="11"/>
  <c r="AJ77" i="11"/>
  <c r="AI77" i="11"/>
  <c r="AG77" i="11"/>
  <c r="AF77" i="11"/>
  <c r="AC77" i="11"/>
  <c r="AD77" i="11" s="1"/>
  <c r="AB77" i="11"/>
  <c r="Y77" i="11"/>
  <c r="AE77" i="11" s="1"/>
  <c r="W77" i="11"/>
  <c r="U77" i="11"/>
  <c r="R77" i="11"/>
  <c r="L77" i="11"/>
  <c r="K77" i="11"/>
  <c r="AT75" i="11"/>
  <c r="AS75" i="11"/>
  <c r="AR75" i="11"/>
  <c r="AQ75" i="11"/>
  <c r="AP75" i="11"/>
  <c r="AO75" i="11"/>
  <c r="AN75" i="11"/>
  <c r="AM75" i="11"/>
  <c r="D75" i="12" s="1"/>
  <c r="AL75" i="11"/>
  <c r="AK75" i="11"/>
  <c r="AJ75" i="11"/>
  <c r="AI75" i="11"/>
  <c r="AG75" i="11"/>
  <c r="AF75" i="11"/>
  <c r="AC75" i="11"/>
  <c r="AD75" i="11" s="1"/>
  <c r="AB75" i="11"/>
  <c r="Y75" i="11"/>
  <c r="AE75" i="11" s="1"/>
  <c r="W75" i="11"/>
  <c r="U75" i="11"/>
  <c r="R75" i="11"/>
  <c r="L75" i="11"/>
  <c r="K75" i="11"/>
  <c r="AT73" i="11"/>
  <c r="AS73" i="11"/>
  <c r="AR73" i="11"/>
  <c r="AQ73" i="11"/>
  <c r="AP73" i="11"/>
  <c r="AO73" i="11"/>
  <c r="AN73" i="11"/>
  <c r="AM73" i="11"/>
  <c r="D73" i="12" s="1"/>
  <c r="AL73" i="11"/>
  <c r="AK73" i="11"/>
  <c r="AJ73" i="11"/>
  <c r="AI73" i="11"/>
  <c r="AG73" i="11"/>
  <c r="AF73" i="11"/>
  <c r="AC73" i="11"/>
  <c r="AD73" i="11" s="1"/>
  <c r="AB73" i="11"/>
  <c r="Y73" i="11"/>
  <c r="AE73" i="11" s="1"/>
  <c r="W73" i="11"/>
  <c r="U73" i="11"/>
  <c r="R73" i="11"/>
  <c r="L73" i="11"/>
  <c r="K73" i="11"/>
  <c r="AT71" i="11"/>
  <c r="AS71" i="11"/>
  <c r="AR71" i="11"/>
  <c r="AQ71" i="11"/>
  <c r="AP71" i="11"/>
  <c r="AO71" i="11"/>
  <c r="AN71" i="11"/>
  <c r="AM71" i="11"/>
  <c r="D71" i="12" s="1"/>
  <c r="AL71" i="11"/>
  <c r="AK71" i="11"/>
  <c r="AJ71" i="11"/>
  <c r="AI71" i="11"/>
  <c r="AG71" i="11"/>
  <c r="AF71" i="11"/>
  <c r="AC71" i="11"/>
  <c r="AD71" i="11" s="1"/>
  <c r="AB71" i="11"/>
  <c r="Y71" i="11"/>
  <c r="AE71" i="11" s="1"/>
  <c r="W71" i="11"/>
  <c r="U71" i="11"/>
  <c r="R71" i="11"/>
  <c r="L71" i="11"/>
  <c r="K71" i="11"/>
  <c r="AT69" i="11"/>
  <c r="AS69" i="11"/>
  <c r="AR69" i="11"/>
  <c r="AQ69" i="11"/>
  <c r="AP69" i="11"/>
  <c r="AO69" i="11"/>
  <c r="AN69" i="11"/>
  <c r="AM69" i="11"/>
  <c r="D69" i="12" s="1"/>
  <c r="AL69" i="11"/>
  <c r="AK69" i="11"/>
  <c r="AJ69" i="11"/>
  <c r="AI69" i="11"/>
  <c r="AG69" i="11"/>
  <c r="AF69" i="11"/>
  <c r="AC69" i="11"/>
  <c r="AD69" i="11" s="1"/>
  <c r="AB69" i="11"/>
  <c r="Y69" i="11"/>
  <c r="AE69" i="11" s="1"/>
  <c r="W69" i="11"/>
  <c r="U69" i="11"/>
  <c r="R69" i="11"/>
  <c r="L69" i="11"/>
  <c r="K69" i="11"/>
  <c r="AT67" i="11"/>
  <c r="AS67" i="11"/>
  <c r="AR67" i="11"/>
  <c r="AQ67" i="11"/>
  <c r="AP67" i="11"/>
  <c r="AO67" i="11"/>
  <c r="AN67" i="11"/>
  <c r="AM67" i="11"/>
  <c r="D67" i="12" s="1"/>
  <c r="AL67" i="11"/>
  <c r="AK67" i="11"/>
  <c r="AJ67" i="11"/>
  <c r="AI67" i="11"/>
  <c r="AG67" i="11"/>
  <c r="AF67" i="11"/>
  <c r="AC67" i="11"/>
  <c r="AD67" i="11" s="1"/>
  <c r="AB67" i="11"/>
  <c r="Y67" i="11"/>
  <c r="AE67" i="11" s="1"/>
  <c r="W67" i="11"/>
  <c r="U67" i="11"/>
  <c r="R67" i="11"/>
  <c r="L67" i="11"/>
  <c r="K67" i="11"/>
  <c r="AT65" i="11"/>
  <c r="AS65" i="11"/>
  <c r="AR65" i="11"/>
  <c r="AQ65" i="11"/>
  <c r="AP65" i="11"/>
  <c r="AO65" i="11"/>
  <c r="AN65" i="11"/>
  <c r="AM65" i="11"/>
  <c r="D65" i="12" s="1"/>
  <c r="AL65" i="11"/>
  <c r="AK65" i="11"/>
  <c r="AJ65" i="11"/>
  <c r="AI65" i="11"/>
  <c r="AG65" i="11"/>
  <c r="AF65" i="11"/>
  <c r="AC65" i="11"/>
  <c r="AD65" i="11" s="1"/>
  <c r="AB65" i="11"/>
  <c r="Y65" i="11"/>
  <c r="AE65" i="11" s="1"/>
  <c r="W65" i="11"/>
  <c r="U65" i="11"/>
  <c r="R65" i="11"/>
  <c r="L65" i="11"/>
  <c r="K65" i="11"/>
  <c r="AT63" i="11"/>
  <c r="AS63" i="11"/>
  <c r="AR63" i="11"/>
  <c r="AQ63" i="11"/>
  <c r="AP63" i="11"/>
  <c r="AO63" i="11"/>
  <c r="AN63" i="11"/>
  <c r="AM63" i="11"/>
  <c r="D63" i="12" s="1"/>
  <c r="AL63" i="11"/>
  <c r="AK63" i="11"/>
  <c r="AJ63" i="11"/>
  <c r="AI63" i="11"/>
  <c r="AG63" i="11"/>
  <c r="AF63" i="11"/>
  <c r="AC63" i="11"/>
  <c r="AD63" i="11" s="1"/>
  <c r="AB63" i="11"/>
  <c r="Y63" i="11"/>
  <c r="AE63" i="11" s="1"/>
  <c r="W63" i="11"/>
  <c r="U63" i="11"/>
  <c r="R63" i="11"/>
  <c r="L63" i="11"/>
  <c r="K63" i="11"/>
  <c r="AT61" i="11"/>
  <c r="AS61" i="11"/>
  <c r="AR61" i="11"/>
  <c r="AQ61" i="11"/>
  <c r="AP61" i="11"/>
  <c r="AO61" i="11"/>
  <c r="AN61" i="11"/>
  <c r="AM61" i="11"/>
  <c r="D61" i="12" s="1"/>
  <c r="AL61" i="11"/>
  <c r="AK61" i="11"/>
  <c r="AJ61" i="11"/>
  <c r="AI61" i="11"/>
  <c r="AG61" i="11"/>
  <c r="AF61" i="11"/>
  <c r="AC61" i="11"/>
  <c r="AD61" i="11" s="1"/>
  <c r="AB61" i="11"/>
  <c r="Y61" i="11"/>
  <c r="AE61" i="11" s="1"/>
  <c r="W61" i="11"/>
  <c r="U61" i="11"/>
  <c r="R61" i="11"/>
  <c r="L61" i="11"/>
  <c r="K61" i="11"/>
  <c r="AT59" i="11"/>
  <c r="AS59" i="11"/>
  <c r="AR59" i="11"/>
  <c r="AQ59" i="11"/>
  <c r="AP59" i="11"/>
  <c r="AO59" i="11"/>
  <c r="AN59" i="11"/>
  <c r="AM59" i="11"/>
  <c r="D59" i="12" s="1"/>
  <c r="AL59" i="11"/>
  <c r="AK59" i="11"/>
  <c r="AJ59" i="11"/>
  <c r="AI59" i="11"/>
  <c r="AG59" i="11"/>
  <c r="AF59" i="11"/>
  <c r="AC59" i="11"/>
  <c r="AD59" i="11" s="1"/>
  <c r="AB59" i="11"/>
  <c r="Y59" i="11"/>
  <c r="AE59" i="11" s="1"/>
  <c r="W59" i="11"/>
  <c r="U59" i="11"/>
  <c r="R59" i="11"/>
  <c r="L59" i="11"/>
  <c r="K59" i="11"/>
  <c r="AT57" i="11"/>
  <c r="AS57" i="11"/>
  <c r="AR57" i="11"/>
  <c r="AQ57" i="11"/>
  <c r="AP57" i="11"/>
  <c r="AO57" i="11"/>
  <c r="AN57" i="11"/>
  <c r="AM57" i="11"/>
  <c r="D57" i="12" s="1"/>
  <c r="AL57" i="11"/>
  <c r="AK57" i="11"/>
  <c r="AJ57" i="11"/>
  <c r="AI57" i="11"/>
  <c r="AG57" i="11"/>
  <c r="AF57" i="11"/>
  <c r="AC57" i="11"/>
  <c r="AD57" i="11" s="1"/>
  <c r="AB57" i="11"/>
  <c r="Y57" i="11"/>
  <c r="AE57" i="11" s="1"/>
  <c r="W57" i="11"/>
  <c r="U57" i="11"/>
  <c r="R57" i="11"/>
  <c r="L57" i="11"/>
  <c r="K57" i="11"/>
  <c r="AT55" i="11"/>
  <c r="AS55" i="11"/>
  <c r="AR55" i="11"/>
  <c r="AQ55" i="11"/>
  <c r="AP55" i="11"/>
  <c r="AO55" i="11"/>
  <c r="AN55" i="11"/>
  <c r="AM55" i="11"/>
  <c r="D55" i="12" s="1"/>
  <c r="AL55" i="11"/>
  <c r="AK55" i="11"/>
  <c r="AJ55" i="11"/>
  <c r="AI55" i="11"/>
  <c r="AG55" i="11"/>
  <c r="AF55" i="11"/>
  <c r="AC55" i="11"/>
  <c r="AD55" i="11" s="1"/>
  <c r="AB55" i="11"/>
  <c r="Y55" i="11"/>
  <c r="AE55" i="11" s="1"/>
  <c r="W55" i="11"/>
  <c r="U55" i="11"/>
  <c r="R55" i="11"/>
  <c r="L55" i="11"/>
  <c r="K55" i="11"/>
  <c r="AT53" i="11"/>
  <c r="AS53" i="11"/>
  <c r="AR53" i="11"/>
  <c r="AQ53" i="11"/>
  <c r="AP53" i="11"/>
  <c r="AO53" i="11"/>
  <c r="AN53" i="11"/>
  <c r="AM53" i="11"/>
  <c r="D53" i="12" s="1"/>
  <c r="AL53" i="11"/>
  <c r="AK53" i="11"/>
  <c r="AJ53" i="11"/>
  <c r="AI53" i="11"/>
  <c r="AG53" i="11"/>
  <c r="AF53" i="11"/>
  <c r="AC53" i="11"/>
  <c r="AD53" i="11" s="1"/>
  <c r="AB53" i="11"/>
  <c r="Y53" i="11"/>
  <c r="AE53" i="11" s="1"/>
  <c r="W53" i="11"/>
  <c r="U53" i="11"/>
  <c r="R53" i="11"/>
  <c r="L53" i="11"/>
  <c r="K53" i="11"/>
  <c r="AT51" i="11"/>
  <c r="AS51" i="11"/>
  <c r="AR51" i="11"/>
  <c r="AQ51" i="11"/>
  <c r="AP51" i="11"/>
  <c r="AO51" i="11"/>
  <c r="AN51" i="11"/>
  <c r="AM51" i="11"/>
  <c r="D51" i="12" s="1"/>
  <c r="AL51" i="11"/>
  <c r="AK51" i="11"/>
  <c r="AJ51" i="11"/>
  <c r="AI51" i="11"/>
  <c r="AG51" i="11"/>
  <c r="AF51" i="11"/>
  <c r="AC51" i="11"/>
  <c r="AD51" i="11" s="1"/>
  <c r="AB51" i="11"/>
  <c r="Y51" i="11"/>
  <c r="AE51" i="11" s="1"/>
  <c r="W51" i="11"/>
  <c r="U51" i="11"/>
  <c r="R51" i="11"/>
  <c r="L51" i="11"/>
  <c r="K51" i="11"/>
  <c r="AT49" i="11"/>
  <c r="AS49" i="11"/>
  <c r="AR49" i="11"/>
  <c r="AQ49" i="11"/>
  <c r="AP49" i="11"/>
  <c r="AO49" i="11"/>
  <c r="AN49" i="11"/>
  <c r="AM49" i="11"/>
  <c r="D49" i="12" s="1"/>
  <c r="AL49" i="11"/>
  <c r="AK49" i="11"/>
  <c r="AJ49" i="11"/>
  <c r="AI49" i="11"/>
  <c r="AG49" i="11"/>
  <c r="AF49" i="11"/>
  <c r="AC49" i="11"/>
  <c r="AD49" i="11" s="1"/>
  <c r="AB49" i="11"/>
  <c r="Y49" i="11"/>
  <c r="AE49" i="11" s="1"/>
  <c r="W49" i="11"/>
  <c r="U49" i="11"/>
  <c r="R49" i="11"/>
  <c r="L49" i="11"/>
  <c r="K49" i="11"/>
  <c r="AT47" i="11"/>
  <c r="AS47" i="11"/>
  <c r="AR47" i="11"/>
  <c r="AQ47" i="11"/>
  <c r="AP47" i="11"/>
  <c r="AO47" i="11"/>
  <c r="AN47" i="11"/>
  <c r="AM47" i="11"/>
  <c r="D47" i="12" s="1"/>
  <c r="AL47" i="11"/>
  <c r="AK47" i="11"/>
  <c r="AJ47" i="11"/>
  <c r="AI47" i="11"/>
  <c r="AG47" i="11"/>
  <c r="AF47" i="11"/>
  <c r="AC47" i="11"/>
  <c r="AD47" i="11" s="1"/>
  <c r="AB47" i="11"/>
  <c r="Y47" i="11"/>
  <c r="AE47" i="11" s="1"/>
  <c r="W47" i="11"/>
  <c r="U47" i="11"/>
  <c r="R47" i="11"/>
  <c r="L47" i="11"/>
  <c r="K47" i="11"/>
  <c r="AT45" i="11"/>
  <c r="AS45" i="11"/>
  <c r="AR45" i="11"/>
  <c r="AQ45" i="11"/>
  <c r="AP45" i="11"/>
  <c r="AO45" i="11"/>
  <c r="AN45" i="11"/>
  <c r="AM45" i="11"/>
  <c r="D45" i="12" s="1"/>
  <c r="AL45" i="11"/>
  <c r="AK45" i="11"/>
  <c r="AJ45" i="11"/>
  <c r="AI45" i="11"/>
  <c r="AG45" i="11"/>
  <c r="AF45" i="11"/>
  <c r="AC45" i="11"/>
  <c r="AD45" i="11" s="1"/>
  <c r="AB45" i="11"/>
  <c r="Y45" i="11"/>
  <c r="AE45" i="11" s="1"/>
  <c r="W45" i="11"/>
  <c r="U45" i="11"/>
  <c r="R45" i="11"/>
  <c r="L45" i="11"/>
  <c r="K45" i="11"/>
  <c r="AT43" i="11"/>
  <c r="AS43" i="11"/>
  <c r="AR43" i="11"/>
  <c r="AQ43" i="11"/>
  <c r="AP43" i="11"/>
  <c r="AO43" i="11"/>
  <c r="AN43" i="11"/>
  <c r="AM43" i="11"/>
  <c r="D43" i="12" s="1"/>
  <c r="AL43" i="11"/>
  <c r="AK43" i="11"/>
  <c r="AJ43" i="11"/>
  <c r="AI43" i="11"/>
  <c r="AG43" i="11"/>
  <c r="AF43" i="11"/>
  <c r="AC43" i="11"/>
  <c r="AD43" i="11" s="1"/>
  <c r="AB43" i="11"/>
  <c r="Y43" i="11"/>
  <c r="AE43" i="11" s="1"/>
  <c r="W43" i="11"/>
  <c r="U43" i="11"/>
  <c r="R43" i="11"/>
  <c r="L43" i="11"/>
  <c r="K43" i="11"/>
  <c r="AT41" i="11"/>
  <c r="AS41" i="11"/>
  <c r="AR41" i="11"/>
  <c r="AQ41" i="11"/>
  <c r="AP41" i="11"/>
  <c r="AO41" i="11"/>
  <c r="AN41" i="11"/>
  <c r="AM41" i="11"/>
  <c r="D41" i="12" s="1"/>
  <c r="AL41" i="11"/>
  <c r="AK41" i="11"/>
  <c r="AJ41" i="11"/>
  <c r="AI41" i="11"/>
  <c r="AG41" i="11"/>
  <c r="AF41" i="11"/>
  <c r="AC41" i="11"/>
  <c r="AD41" i="11" s="1"/>
  <c r="AB41" i="11"/>
  <c r="Y41" i="11"/>
  <c r="AE41" i="11" s="1"/>
  <c r="W41" i="11"/>
  <c r="U41" i="11"/>
  <c r="R41" i="11"/>
  <c r="L41" i="11"/>
  <c r="K41" i="11"/>
  <c r="AT39" i="11"/>
  <c r="AS39" i="11"/>
  <c r="AR39" i="11"/>
  <c r="AQ39" i="11"/>
  <c r="AP39" i="11"/>
  <c r="AO39" i="11"/>
  <c r="AN39" i="11"/>
  <c r="AM39" i="11"/>
  <c r="D39" i="12" s="1"/>
  <c r="AL39" i="11"/>
  <c r="AK39" i="11"/>
  <c r="AJ39" i="11"/>
  <c r="AI39" i="11"/>
  <c r="AG39" i="11"/>
  <c r="AF39" i="11"/>
  <c r="AC39" i="11"/>
  <c r="AD39" i="11" s="1"/>
  <c r="AB39" i="11"/>
  <c r="Y39" i="11"/>
  <c r="AE39" i="11" s="1"/>
  <c r="W39" i="11"/>
  <c r="U39" i="11"/>
  <c r="R39" i="11"/>
  <c r="L39" i="11"/>
  <c r="K39" i="11"/>
  <c r="AT37" i="11"/>
  <c r="AS37" i="11"/>
  <c r="AR37" i="11"/>
  <c r="AQ37" i="11"/>
  <c r="AP37" i="11"/>
  <c r="AO37" i="11"/>
  <c r="AN37" i="11"/>
  <c r="AM37" i="11"/>
  <c r="D37" i="12" s="1"/>
  <c r="AL37" i="11"/>
  <c r="AK37" i="11"/>
  <c r="AJ37" i="11"/>
  <c r="AI37" i="11"/>
  <c r="AG37" i="11"/>
  <c r="AF37" i="11"/>
  <c r="AC37" i="11"/>
  <c r="AD37" i="11" s="1"/>
  <c r="AB37" i="11"/>
  <c r="Y37" i="11"/>
  <c r="AE37" i="11" s="1"/>
  <c r="W37" i="11"/>
  <c r="U37" i="11"/>
  <c r="R37" i="11"/>
  <c r="L37" i="11"/>
  <c r="K37" i="11"/>
  <c r="AT35" i="11"/>
  <c r="AS35" i="11"/>
  <c r="AR35" i="11"/>
  <c r="AQ35" i="11"/>
  <c r="AP35" i="11"/>
  <c r="AO35" i="11"/>
  <c r="AN35" i="11"/>
  <c r="AM35" i="11"/>
  <c r="D35" i="12" s="1"/>
  <c r="AL35" i="11"/>
  <c r="AK35" i="11"/>
  <c r="AJ35" i="11"/>
  <c r="AI35" i="11"/>
  <c r="AG35" i="11"/>
  <c r="AF35" i="11"/>
  <c r="AC35" i="11"/>
  <c r="AD35" i="11" s="1"/>
  <c r="AB35" i="11"/>
  <c r="Y35" i="11"/>
  <c r="AE35" i="11" s="1"/>
  <c r="W35" i="11"/>
  <c r="U35" i="11"/>
  <c r="R35" i="11"/>
  <c r="L35" i="11"/>
  <c r="K35" i="11"/>
  <c r="AT33" i="11"/>
  <c r="AS33" i="11"/>
  <c r="AR33" i="11"/>
  <c r="AQ33" i="11"/>
  <c r="AP33" i="11"/>
  <c r="AO33" i="11"/>
  <c r="AN33" i="11"/>
  <c r="AM33" i="11"/>
  <c r="D33" i="12" s="1"/>
  <c r="AL33" i="11"/>
  <c r="AK33" i="11"/>
  <c r="AJ33" i="11"/>
  <c r="AI33" i="11"/>
  <c r="AG33" i="11"/>
  <c r="AF33" i="11"/>
  <c r="AC33" i="11"/>
  <c r="AD33" i="11" s="1"/>
  <c r="AB33" i="11"/>
  <c r="Y33" i="11"/>
  <c r="AE33" i="11" s="1"/>
  <c r="W33" i="11"/>
  <c r="U33" i="11"/>
  <c r="R33" i="11"/>
  <c r="L33" i="11"/>
  <c r="K33" i="11"/>
  <c r="AT31" i="11"/>
  <c r="AS31" i="11"/>
  <c r="AR31" i="11"/>
  <c r="AQ31" i="11"/>
  <c r="AP31" i="11"/>
  <c r="AO31" i="11"/>
  <c r="AN31" i="11"/>
  <c r="AM31" i="11"/>
  <c r="D31" i="12" s="1"/>
  <c r="AL31" i="11"/>
  <c r="AK31" i="11"/>
  <c r="AJ31" i="11"/>
  <c r="AI31" i="11"/>
  <c r="AG31" i="11"/>
  <c r="AF31" i="11"/>
  <c r="AC31" i="11"/>
  <c r="AD31" i="11" s="1"/>
  <c r="AB31" i="11"/>
  <c r="Y31" i="11"/>
  <c r="AE31" i="11" s="1"/>
  <c r="W31" i="11"/>
  <c r="U31" i="11"/>
  <c r="R31" i="11"/>
  <c r="L31" i="11"/>
  <c r="K31" i="11"/>
  <c r="AT27" i="11"/>
  <c r="AS27" i="11"/>
  <c r="AR27" i="11"/>
  <c r="AQ27" i="11"/>
  <c r="AP27" i="11"/>
  <c r="AO27" i="11"/>
  <c r="AN27" i="11"/>
  <c r="AM27" i="11"/>
  <c r="D27" i="12" s="1"/>
  <c r="AL27" i="11"/>
  <c r="AK27" i="11"/>
  <c r="AJ27" i="11"/>
  <c r="AI27" i="11"/>
  <c r="AG27" i="11"/>
  <c r="AF27" i="11"/>
  <c r="AC27" i="11"/>
  <c r="AD27" i="11" s="1"/>
  <c r="AB27" i="11"/>
  <c r="Y27" i="11"/>
  <c r="AE27" i="11" s="1"/>
  <c r="W27" i="11"/>
  <c r="U27" i="11"/>
  <c r="R27" i="11"/>
  <c r="L27" i="11"/>
  <c r="K27" i="11"/>
  <c r="AT25" i="11"/>
  <c r="AS25" i="11"/>
  <c r="AR25" i="11"/>
  <c r="AQ25" i="11"/>
  <c r="AP25" i="11"/>
  <c r="AO25" i="11"/>
  <c r="AN25" i="11"/>
  <c r="AM25" i="11"/>
  <c r="D25" i="12" s="1"/>
  <c r="AL25" i="11"/>
  <c r="AK25" i="11"/>
  <c r="AJ25" i="11"/>
  <c r="AI25" i="11"/>
  <c r="AG25" i="11"/>
  <c r="AF25" i="11"/>
  <c r="AC25" i="11"/>
  <c r="AD25" i="11" s="1"/>
  <c r="AB25" i="11"/>
  <c r="Y25" i="11"/>
  <c r="AE25" i="11" s="1"/>
  <c r="W25" i="11"/>
  <c r="U25" i="11"/>
  <c r="R25" i="11"/>
  <c r="L25" i="11"/>
  <c r="K25" i="11"/>
  <c r="AT23" i="11"/>
  <c r="AS23" i="11"/>
  <c r="AR23" i="11"/>
  <c r="AQ23" i="11"/>
  <c r="AP23" i="11"/>
  <c r="AO23" i="11"/>
  <c r="AN23" i="11"/>
  <c r="AM23" i="11"/>
  <c r="D23" i="12" s="1"/>
  <c r="AL23" i="11"/>
  <c r="AK23" i="11"/>
  <c r="AJ23" i="11"/>
  <c r="AI23" i="11"/>
  <c r="AG23" i="11"/>
  <c r="AF23" i="11"/>
  <c r="AC23" i="11"/>
  <c r="AD23" i="11" s="1"/>
  <c r="AB23" i="11"/>
  <c r="Y23" i="11"/>
  <c r="AE23" i="11" s="1"/>
  <c r="W23" i="11"/>
  <c r="U23" i="11"/>
  <c r="R23" i="11"/>
  <c r="L23" i="11"/>
  <c r="K23" i="11"/>
  <c r="AT21" i="11"/>
  <c r="AS21" i="11"/>
  <c r="AR21" i="11"/>
  <c r="AQ21" i="11"/>
  <c r="AP21" i="11"/>
  <c r="AO21" i="11"/>
  <c r="AN21" i="11"/>
  <c r="AM21" i="11"/>
  <c r="AL21" i="11"/>
  <c r="AK21" i="11"/>
  <c r="AJ21" i="11"/>
  <c r="AI21" i="11"/>
  <c r="AG21" i="11"/>
  <c r="AF21" i="11"/>
  <c r="AC21" i="11"/>
  <c r="AD21" i="11" s="1"/>
  <c r="AB21" i="11"/>
  <c r="Y21" i="11"/>
  <c r="AE21" i="11" s="1"/>
  <c r="W21" i="11"/>
  <c r="U21" i="11"/>
  <c r="R21" i="11"/>
  <c r="L21" i="11"/>
  <c r="K21" i="11"/>
  <c r="AT19" i="11"/>
  <c r="AS19" i="11"/>
  <c r="AR19" i="11"/>
  <c r="AQ19" i="11"/>
  <c r="AP19" i="11"/>
  <c r="AO19" i="11"/>
  <c r="AN19" i="11"/>
  <c r="AM19" i="11"/>
  <c r="D19" i="12" s="1"/>
  <c r="AL19" i="11"/>
  <c r="AK19" i="11"/>
  <c r="AJ19" i="11"/>
  <c r="AI19" i="11"/>
  <c r="AG19" i="11"/>
  <c r="AF19" i="11"/>
  <c r="AC19" i="11"/>
  <c r="AD19" i="11" s="1"/>
  <c r="AB19" i="11"/>
  <c r="Y19" i="11"/>
  <c r="AE19" i="11" s="1"/>
  <c r="W19" i="11"/>
  <c r="U19" i="11"/>
  <c r="R19" i="11"/>
  <c r="L19" i="11"/>
  <c r="K19" i="11"/>
  <c r="AT17" i="11"/>
  <c r="AS17" i="11"/>
  <c r="AR17" i="11"/>
  <c r="AQ17" i="11"/>
  <c r="AP17" i="11"/>
  <c r="AO17" i="11"/>
  <c r="AN17" i="11"/>
  <c r="AM17" i="11"/>
  <c r="D17" i="12" s="1"/>
  <c r="AL17" i="11"/>
  <c r="AK17" i="11"/>
  <c r="AJ17" i="11"/>
  <c r="AI17" i="11"/>
  <c r="AG17" i="11"/>
  <c r="AF17" i="11"/>
  <c r="AC17" i="11"/>
  <c r="AD17" i="11" s="1"/>
  <c r="AB17" i="11"/>
  <c r="Y17" i="11"/>
  <c r="AE17" i="11" s="1"/>
  <c r="W17" i="11"/>
  <c r="U17" i="11"/>
  <c r="R17" i="11"/>
  <c r="L17" i="11"/>
  <c r="K17" i="11"/>
  <c r="AT15" i="11"/>
  <c r="AS15" i="11"/>
  <c r="AR15" i="11"/>
  <c r="AQ15" i="11"/>
  <c r="AP15" i="11"/>
  <c r="AO15" i="11"/>
  <c r="AN15" i="11"/>
  <c r="AM15" i="11"/>
  <c r="D15" i="12" s="1"/>
  <c r="AL15" i="11"/>
  <c r="AK15" i="11"/>
  <c r="AJ15" i="11"/>
  <c r="AI15" i="11"/>
  <c r="AG15" i="11"/>
  <c r="AF15" i="11"/>
  <c r="AC15" i="11"/>
  <c r="AD15" i="11" s="1"/>
  <c r="AB15" i="11"/>
  <c r="Y15" i="11"/>
  <c r="AE15" i="11" s="1"/>
  <c r="W15" i="11"/>
  <c r="U15" i="11"/>
  <c r="R15" i="11"/>
  <c r="L15" i="11"/>
  <c r="K15" i="11"/>
  <c r="AT13" i="11"/>
  <c r="AS13" i="11"/>
  <c r="AR13" i="11"/>
  <c r="AQ13" i="11"/>
  <c r="AP13" i="11"/>
  <c r="AO13" i="11"/>
  <c r="AN13" i="11"/>
  <c r="AM13" i="11"/>
  <c r="D13" i="12" s="1"/>
  <c r="AL13" i="11"/>
  <c r="AK13" i="11"/>
  <c r="AJ13" i="11"/>
  <c r="AI13" i="11"/>
  <c r="AG13" i="11"/>
  <c r="AF13" i="11"/>
  <c r="AC13" i="11"/>
  <c r="AD13" i="11" s="1"/>
  <c r="AB13" i="11"/>
  <c r="Y13" i="11"/>
  <c r="AE13" i="11" s="1"/>
  <c r="W13" i="11"/>
  <c r="U13" i="11"/>
  <c r="R13" i="11"/>
  <c r="L13" i="11"/>
  <c r="K13" i="11"/>
  <c r="AT11" i="11"/>
  <c r="AS11" i="11"/>
  <c r="AR11" i="11"/>
  <c r="AQ11" i="11"/>
  <c r="AP11" i="11"/>
  <c r="AO11" i="11"/>
  <c r="AN11" i="11"/>
  <c r="AM11" i="11"/>
  <c r="D11" i="12" s="1"/>
  <c r="AL11" i="11"/>
  <c r="AK11" i="11"/>
  <c r="AJ11" i="11"/>
  <c r="AI11" i="11"/>
  <c r="AG11" i="11"/>
  <c r="AF11" i="11"/>
  <c r="AC11" i="11"/>
  <c r="AD11" i="11" s="1"/>
  <c r="AB11" i="11"/>
  <c r="Y11" i="11"/>
  <c r="AE11" i="11" s="1"/>
  <c r="W11" i="11"/>
  <c r="U11" i="11"/>
  <c r="R11" i="11"/>
  <c r="L11" i="11"/>
  <c r="K11" i="11"/>
  <c r="AT9" i="11"/>
  <c r="AS9" i="11"/>
  <c r="AR9" i="11"/>
  <c r="AQ9" i="11"/>
  <c r="AP9" i="11"/>
  <c r="AO9" i="11"/>
  <c r="AN9" i="11"/>
  <c r="AM9" i="11"/>
  <c r="D9" i="12" s="1"/>
  <c r="AL9" i="11"/>
  <c r="AK9" i="11"/>
  <c r="AJ9" i="11"/>
  <c r="AI9" i="11"/>
  <c r="AG9" i="11"/>
  <c r="AF9" i="11"/>
  <c r="AC9" i="11"/>
  <c r="AD9" i="11" s="1"/>
  <c r="AB9" i="11"/>
  <c r="Y9" i="11"/>
  <c r="AE9" i="11" s="1"/>
  <c r="W9" i="11"/>
  <c r="U9" i="11"/>
  <c r="R9" i="11"/>
  <c r="L9" i="11"/>
  <c r="K9" i="11"/>
  <c r="AT7" i="11"/>
  <c r="AS7" i="11"/>
  <c r="AR7" i="11"/>
  <c r="AQ7" i="11"/>
  <c r="AP7" i="11"/>
  <c r="AO7" i="11"/>
  <c r="AN7" i="11"/>
  <c r="AM7" i="11"/>
  <c r="D7" i="12" s="1"/>
  <c r="AL7" i="11"/>
  <c r="AK7" i="11"/>
  <c r="AJ7" i="11"/>
  <c r="AI7" i="11"/>
  <c r="AG7" i="11"/>
  <c r="AF7" i="11"/>
  <c r="AC7" i="11"/>
  <c r="AD7" i="11" s="1"/>
  <c r="AB7" i="11"/>
  <c r="Y7" i="11"/>
  <c r="AE7" i="11" s="1"/>
  <c r="W7" i="11"/>
  <c r="U7" i="11"/>
  <c r="R7" i="11"/>
  <c r="L7" i="11"/>
  <c r="K7" i="11"/>
  <c r="AT5" i="11"/>
  <c r="AS5" i="11"/>
  <c r="AR5" i="11"/>
  <c r="AQ5" i="11"/>
  <c r="AP5" i="11"/>
  <c r="AO5" i="11"/>
  <c r="AN5" i="11"/>
  <c r="AM5" i="11"/>
  <c r="D5" i="12" s="1"/>
  <c r="AL5" i="11"/>
  <c r="AK5" i="11"/>
  <c r="AJ5" i="11"/>
  <c r="AI5" i="11"/>
  <c r="AG5" i="11"/>
  <c r="AF5" i="11"/>
  <c r="AC5" i="11"/>
  <c r="AD5" i="11" s="1"/>
  <c r="AB5" i="11"/>
  <c r="Y5" i="11"/>
  <c r="AE5" i="11" s="1"/>
  <c r="W5" i="11"/>
  <c r="U5" i="11"/>
  <c r="R5" i="11"/>
  <c r="L5" i="11"/>
  <c r="K5" i="11"/>
  <c r="AT3" i="11"/>
  <c r="AS3" i="11"/>
  <c r="AR3" i="11"/>
  <c r="AQ3" i="11"/>
  <c r="AP3" i="11"/>
  <c r="AO3" i="11"/>
  <c r="AN3" i="11"/>
  <c r="AM3" i="11"/>
  <c r="AL3" i="11"/>
  <c r="AK3" i="11"/>
  <c r="AJ3" i="11"/>
  <c r="AI3" i="11"/>
  <c r="AG3" i="11"/>
  <c r="AF3" i="11"/>
  <c r="AC3" i="11"/>
  <c r="AD3" i="11" s="1"/>
  <c r="AB3" i="11"/>
  <c r="Y3" i="11"/>
  <c r="AE3" i="11" s="1"/>
  <c r="W3" i="11"/>
  <c r="U3" i="11"/>
  <c r="R3" i="11"/>
  <c r="L3" i="11"/>
  <c r="K3" i="11"/>
  <c r="D3" i="14" l="1"/>
  <c r="D3" i="12"/>
  <c r="AP175" i="13"/>
  <c r="D5" i="14"/>
  <c r="D21" i="12"/>
  <c r="D21" i="14"/>
  <c r="G18" i="16"/>
  <c r="AO175" i="13"/>
  <c r="AK173" i="13"/>
  <c r="AK175" i="13"/>
  <c r="AF175" i="13"/>
  <c r="AG175" i="13"/>
  <c r="AM173" i="13"/>
  <c r="D173" i="14" s="1"/>
  <c r="AJ175" i="13"/>
  <c r="AG173" i="13"/>
  <c r="AF173" i="13"/>
  <c r="AO173" i="13"/>
  <c r="AP173" i="13"/>
  <c r="AI173" i="13"/>
  <c r="AQ173" i="13"/>
  <c r="AJ173" i="13"/>
  <c r="AK183" i="11"/>
  <c r="AF183" i="11"/>
  <c r="AO183" i="11"/>
  <c r="AJ181" i="11"/>
  <c r="AP181" i="11"/>
  <c r="AG181" i="11"/>
  <c r="AO181" i="11"/>
  <c r="AI181" i="11"/>
  <c r="AQ181" i="11"/>
  <c r="AK181" i="11"/>
  <c r="AS181" i="11"/>
  <c r="AG183" i="11"/>
  <c r="AP183" i="11"/>
  <c r="AL181" i="11"/>
  <c r="AI183" i="11"/>
  <c r="AJ183" i="11"/>
  <c r="AT485" i="1" l="1"/>
  <c r="AS485" i="1"/>
  <c r="AR485" i="1"/>
  <c r="AQ485" i="1"/>
  <c r="AP485" i="1"/>
  <c r="AO485" i="1"/>
  <c r="AN485" i="1"/>
  <c r="AM485" i="1"/>
  <c r="AL485" i="1"/>
  <c r="AK485" i="1"/>
  <c r="AJ485" i="1"/>
  <c r="AI485" i="1"/>
  <c r="AT483" i="1"/>
  <c r="AS483" i="1"/>
  <c r="AR483" i="1"/>
  <c r="AQ483" i="1"/>
  <c r="AP483" i="1"/>
  <c r="AO483" i="1"/>
  <c r="AN483" i="1"/>
  <c r="AM483" i="1"/>
  <c r="AL483" i="1"/>
  <c r="AK483" i="1"/>
  <c r="AJ483" i="1"/>
  <c r="AI483" i="1"/>
  <c r="AT481" i="1"/>
  <c r="AS481" i="1"/>
  <c r="AR481" i="1"/>
  <c r="AQ481" i="1"/>
  <c r="AP481" i="1"/>
  <c r="AO481" i="1"/>
  <c r="AN481" i="1"/>
  <c r="AM481" i="1"/>
  <c r="AL481" i="1"/>
  <c r="AK481" i="1"/>
  <c r="AJ481" i="1"/>
  <c r="AI481" i="1"/>
  <c r="AG485" i="1"/>
  <c r="AF485" i="1"/>
  <c r="AC485" i="1"/>
  <c r="AD485" i="1" s="1"/>
  <c r="AG483" i="1"/>
  <c r="AF483" i="1"/>
  <c r="AC483" i="1"/>
  <c r="AD483" i="1" s="1"/>
  <c r="AG481" i="1"/>
  <c r="AF481" i="1"/>
  <c r="AC481" i="1"/>
  <c r="AD481" i="1" s="1"/>
  <c r="AA485" i="1"/>
  <c r="AB485" i="1" s="1"/>
  <c r="AA483" i="1"/>
  <c r="AB483" i="1" s="1"/>
  <c r="AA481" i="1"/>
  <c r="AB481" i="1" s="1"/>
  <c r="Y485" i="1"/>
  <c r="Y483" i="1"/>
  <c r="Y481" i="1"/>
  <c r="W485" i="1"/>
  <c r="W483" i="1"/>
  <c r="W481" i="1"/>
  <c r="U485" i="1"/>
  <c r="R485" i="1"/>
  <c r="R481" i="1"/>
  <c r="U481" i="1"/>
  <c r="R483" i="1"/>
  <c r="U483" i="1"/>
  <c r="K485" i="1"/>
  <c r="K483" i="1"/>
  <c r="K481" i="1"/>
  <c r="AE481" i="1" l="1"/>
  <c r="AE483" i="1"/>
  <c r="AE485" i="1"/>
  <c r="U1501" i="1"/>
  <c r="U1499" i="1"/>
  <c r="U1497" i="1"/>
  <c r="U1495" i="1"/>
  <c r="U1493" i="1"/>
  <c r="U1491" i="1"/>
  <c r="U1489" i="1"/>
  <c r="U1487" i="1"/>
  <c r="U1485" i="1"/>
  <c r="U1483" i="1"/>
  <c r="U1481" i="1"/>
  <c r="U1479" i="1"/>
  <c r="U1477" i="1"/>
  <c r="U1475" i="1"/>
  <c r="U1473" i="1"/>
  <c r="U1471" i="1"/>
  <c r="U1469" i="1"/>
  <c r="U1467" i="1"/>
  <c r="U1461" i="1"/>
  <c r="U1459" i="1"/>
  <c r="U1457" i="1"/>
  <c r="U1455" i="1"/>
  <c r="U1453" i="1"/>
  <c r="U1451" i="1"/>
  <c r="U1449" i="1"/>
  <c r="U1447" i="1"/>
  <c r="U1445" i="1"/>
  <c r="U1443" i="1"/>
  <c r="U1441" i="1"/>
  <c r="U1439" i="1"/>
  <c r="U1437" i="1"/>
  <c r="U1435" i="1"/>
  <c r="U1433" i="1"/>
  <c r="U1431" i="1"/>
  <c r="U1429" i="1"/>
  <c r="U1427" i="1"/>
  <c r="U1425" i="1"/>
  <c r="U1423" i="1"/>
  <c r="U1419" i="1"/>
  <c r="U1417" i="1"/>
  <c r="U1415" i="1"/>
  <c r="U1413" i="1"/>
  <c r="U1411" i="1"/>
  <c r="U1409" i="1"/>
  <c r="U1407" i="1"/>
  <c r="U1405" i="1"/>
  <c r="U1403" i="1"/>
  <c r="U1401" i="1"/>
  <c r="U1399" i="1"/>
  <c r="U1397" i="1"/>
  <c r="U1395" i="1"/>
  <c r="U1393" i="1"/>
  <c r="U1391" i="1"/>
  <c r="U1387" i="1"/>
  <c r="U1385" i="1"/>
  <c r="U1383" i="1"/>
  <c r="U1381" i="1"/>
  <c r="U1379" i="1"/>
  <c r="U1377" i="1"/>
  <c r="U1375" i="1"/>
  <c r="U1373" i="1"/>
  <c r="U1371" i="1"/>
  <c r="U1369" i="1"/>
  <c r="U1367" i="1"/>
  <c r="U1365" i="1"/>
  <c r="U1363" i="1"/>
  <c r="U1361" i="1"/>
  <c r="U1359" i="1"/>
  <c r="U1357" i="1"/>
  <c r="U1355" i="1"/>
  <c r="U1353" i="1"/>
  <c r="U1351" i="1"/>
  <c r="U1349" i="1"/>
  <c r="U1347" i="1"/>
  <c r="U1345" i="1"/>
  <c r="U1343" i="1"/>
  <c r="U1341" i="1"/>
  <c r="U1339" i="1"/>
  <c r="U1337" i="1"/>
  <c r="U1335" i="1"/>
  <c r="U1333" i="1"/>
  <c r="U1331" i="1"/>
  <c r="U1329" i="1"/>
  <c r="U1327" i="1"/>
  <c r="U1325" i="1"/>
  <c r="U1323" i="1"/>
  <c r="U1321" i="1"/>
  <c r="U1319" i="1"/>
  <c r="U1317" i="1"/>
  <c r="U1315" i="1"/>
  <c r="U1313" i="1"/>
  <c r="U1311" i="1"/>
  <c r="U1309" i="1"/>
  <c r="U1307" i="1"/>
  <c r="U1305" i="1"/>
  <c r="U1303" i="1"/>
  <c r="U1301" i="1"/>
  <c r="U1299" i="1"/>
  <c r="U1297" i="1"/>
  <c r="U1295" i="1"/>
  <c r="U1293" i="1"/>
  <c r="U1291" i="1"/>
  <c r="U1289" i="1"/>
  <c r="U1287" i="1"/>
  <c r="U1285" i="1"/>
  <c r="U1283" i="1"/>
  <c r="U1281" i="1"/>
  <c r="U1279" i="1"/>
  <c r="U1277" i="1"/>
  <c r="U1275" i="1"/>
  <c r="U1273" i="1"/>
  <c r="U1267" i="1"/>
  <c r="U1265" i="1"/>
  <c r="U1263" i="1"/>
  <c r="U1261" i="1"/>
  <c r="U1259" i="1"/>
  <c r="U1257" i="1"/>
  <c r="U1255" i="1"/>
  <c r="U1253" i="1"/>
  <c r="U1251" i="1"/>
  <c r="U1249" i="1"/>
  <c r="U1247" i="1"/>
  <c r="U1245" i="1"/>
  <c r="U1243" i="1"/>
  <c r="U1241" i="1"/>
  <c r="U1239" i="1"/>
  <c r="U1237" i="1"/>
  <c r="U1231" i="1"/>
  <c r="U1229" i="1"/>
  <c r="U1227" i="1"/>
  <c r="U1225" i="1"/>
  <c r="U1223" i="1"/>
  <c r="U1221" i="1"/>
  <c r="U1219" i="1"/>
  <c r="U1217" i="1"/>
  <c r="U1215" i="1"/>
  <c r="U1213" i="1"/>
  <c r="U1211" i="1"/>
  <c r="U1209" i="1"/>
  <c r="U1207" i="1"/>
  <c r="U1205" i="1"/>
  <c r="U1203" i="1"/>
  <c r="U1201" i="1"/>
  <c r="U1199" i="1"/>
  <c r="U1197" i="1"/>
  <c r="U1195" i="1"/>
  <c r="U1193" i="1"/>
  <c r="U1191" i="1"/>
  <c r="U1189" i="1"/>
  <c r="U1187" i="1"/>
  <c r="U1185" i="1"/>
  <c r="U1183" i="1"/>
  <c r="U1181" i="1"/>
  <c r="U1179" i="1"/>
  <c r="U1177" i="1"/>
  <c r="U1175" i="1"/>
  <c r="U1173" i="1"/>
  <c r="U1171" i="1"/>
  <c r="U1169" i="1"/>
  <c r="U1167" i="1"/>
  <c r="U1165" i="1"/>
  <c r="U1163" i="1"/>
  <c r="U1161" i="1"/>
  <c r="U1159" i="1"/>
  <c r="U1157" i="1"/>
  <c r="U1155" i="1"/>
  <c r="U1153" i="1"/>
  <c r="U1151" i="1"/>
  <c r="U1149" i="1"/>
  <c r="U1147" i="1"/>
  <c r="U1145" i="1"/>
  <c r="U1143" i="1"/>
  <c r="U1141" i="1"/>
  <c r="U1139" i="1"/>
  <c r="U1137" i="1"/>
  <c r="U1135" i="1"/>
  <c r="U1133" i="1"/>
  <c r="U1131" i="1"/>
  <c r="U1129" i="1"/>
  <c r="U1127" i="1"/>
  <c r="U1125" i="1"/>
  <c r="U1123" i="1"/>
  <c r="U1121" i="1"/>
  <c r="U1119" i="1"/>
  <c r="U1117" i="1"/>
  <c r="U1115" i="1"/>
  <c r="U1113" i="1"/>
  <c r="U1111" i="1"/>
  <c r="U1109" i="1"/>
  <c r="U1107" i="1"/>
  <c r="U1105" i="1"/>
  <c r="U1103" i="1"/>
  <c r="U1101" i="1"/>
  <c r="U1099" i="1"/>
  <c r="U1097" i="1"/>
  <c r="U1095" i="1"/>
  <c r="U1093" i="1"/>
  <c r="U1091" i="1"/>
  <c r="U1089" i="1"/>
  <c r="U1087" i="1"/>
  <c r="U1085" i="1"/>
  <c r="U1083" i="1"/>
  <c r="U1081" i="1"/>
  <c r="U1079" i="1"/>
  <c r="U1077" i="1"/>
  <c r="U1075" i="1"/>
  <c r="U1073" i="1"/>
  <c r="U1071" i="1"/>
  <c r="U1069" i="1"/>
  <c r="U1067" i="1"/>
  <c r="U1065" i="1"/>
  <c r="U1063" i="1"/>
  <c r="U1061" i="1"/>
  <c r="U1059" i="1"/>
  <c r="U1057" i="1"/>
  <c r="U1055" i="1"/>
  <c r="U1053" i="1"/>
  <c r="U1051" i="1"/>
  <c r="U1049" i="1"/>
  <c r="U1047" i="1"/>
  <c r="U1045" i="1"/>
  <c r="U1043" i="1"/>
  <c r="U1041" i="1"/>
  <c r="U1039" i="1"/>
  <c r="U1037" i="1"/>
  <c r="U1035" i="1"/>
  <c r="U1033" i="1"/>
  <c r="U1031" i="1"/>
  <c r="U1029" i="1"/>
  <c r="U1027" i="1"/>
  <c r="U1025" i="1"/>
  <c r="U1023" i="1"/>
  <c r="U1021" i="1"/>
  <c r="U1019" i="1"/>
  <c r="U1017" i="1"/>
  <c r="U1015" i="1"/>
  <c r="U1013" i="1"/>
  <c r="U1011" i="1"/>
  <c r="U1009" i="1"/>
  <c r="U1007" i="1"/>
  <c r="U1005" i="1"/>
  <c r="U1003" i="1"/>
  <c r="U1001" i="1"/>
  <c r="U999" i="1"/>
  <c r="U997" i="1"/>
  <c r="U995" i="1"/>
  <c r="U993" i="1"/>
  <c r="U991" i="1"/>
  <c r="U989" i="1"/>
  <c r="U987" i="1"/>
  <c r="U985" i="1"/>
  <c r="U983" i="1"/>
  <c r="U981" i="1"/>
  <c r="U979" i="1"/>
  <c r="U977" i="1"/>
  <c r="U975" i="1"/>
  <c r="U973" i="1"/>
  <c r="U971" i="1"/>
  <c r="U969" i="1"/>
  <c r="U967" i="1"/>
  <c r="U965" i="1"/>
  <c r="U963" i="1"/>
  <c r="U961" i="1"/>
  <c r="U959" i="1"/>
  <c r="U957" i="1"/>
  <c r="U955" i="1"/>
  <c r="U953" i="1"/>
  <c r="U947" i="1"/>
  <c r="U945" i="1"/>
  <c r="U943" i="1"/>
  <c r="U941" i="1"/>
  <c r="U939" i="1"/>
  <c r="U937" i="1"/>
  <c r="U935" i="1"/>
  <c r="U933" i="1"/>
  <c r="U931" i="1"/>
  <c r="U929" i="1"/>
  <c r="U927" i="1"/>
  <c r="U925" i="1"/>
  <c r="U923" i="1"/>
  <c r="U921" i="1"/>
  <c r="U919" i="1"/>
  <c r="U917" i="1"/>
  <c r="U915" i="1"/>
  <c r="U879" i="1"/>
  <c r="U877" i="1"/>
  <c r="U875" i="1"/>
  <c r="U873" i="1"/>
  <c r="U871" i="1"/>
  <c r="U865" i="1"/>
  <c r="U863" i="1"/>
  <c r="U861" i="1"/>
  <c r="U859" i="1"/>
  <c r="U857" i="1"/>
  <c r="U855" i="1"/>
  <c r="U853" i="1"/>
  <c r="U851" i="1"/>
  <c r="U849" i="1"/>
  <c r="U847" i="1"/>
  <c r="U845" i="1"/>
  <c r="U843" i="1"/>
  <c r="U841" i="1"/>
  <c r="U839" i="1"/>
  <c r="U837" i="1"/>
  <c r="U835" i="1"/>
  <c r="U833" i="1"/>
  <c r="U831" i="1"/>
  <c r="U829" i="1"/>
  <c r="U827" i="1"/>
  <c r="U825" i="1"/>
  <c r="U823" i="1"/>
  <c r="U821" i="1"/>
  <c r="U807" i="1"/>
  <c r="U805" i="1"/>
  <c r="U803" i="1"/>
  <c r="U801" i="1"/>
  <c r="U799" i="1"/>
  <c r="U797" i="1"/>
  <c r="U795" i="1"/>
  <c r="U791" i="1"/>
  <c r="U789" i="1"/>
  <c r="U787" i="1"/>
  <c r="U781" i="1"/>
  <c r="U779" i="1"/>
  <c r="U777" i="1"/>
  <c r="U775" i="1"/>
  <c r="U767" i="1"/>
  <c r="U765" i="1"/>
  <c r="U763" i="1"/>
  <c r="U761" i="1"/>
  <c r="U759" i="1"/>
  <c r="U757" i="1"/>
  <c r="U755" i="1"/>
  <c r="U753" i="1"/>
  <c r="U751" i="1"/>
  <c r="U749" i="1"/>
  <c r="U747" i="1"/>
  <c r="U737" i="1"/>
  <c r="U735" i="1"/>
  <c r="U733" i="1"/>
  <c r="U731" i="1"/>
  <c r="U729" i="1"/>
  <c r="U727" i="1"/>
  <c r="U725" i="1"/>
  <c r="U723" i="1"/>
  <c r="U721" i="1"/>
  <c r="U719" i="1"/>
  <c r="U717" i="1"/>
  <c r="U715" i="1"/>
  <c r="U713" i="1"/>
  <c r="U711" i="1"/>
  <c r="U709" i="1"/>
  <c r="U707" i="1"/>
  <c r="U705" i="1"/>
  <c r="U703" i="1"/>
  <c r="U701" i="1"/>
  <c r="U699" i="1"/>
  <c r="U697" i="1"/>
  <c r="U695" i="1"/>
  <c r="U693" i="1"/>
  <c r="U691" i="1"/>
  <c r="U689" i="1"/>
  <c r="U687" i="1"/>
  <c r="U685" i="1"/>
  <c r="U683" i="1"/>
  <c r="U681" i="1"/>
  <c r="U675" i="1"/>
  <c r="U673" i="1"/>
  <c r="U671" i="1"/>
  <c r="U669" i="1"/>
  <c r="U667" i="1"/>
  <c r="U665" i="1"/>
  <c r="U663" i="1"/>
  <c r="U651" i="1"/>
  <c r="U649" i="1"/>
  <c r="U647" i="1"/>
  <c r="U645" i="1"/>
  <c r="U643" i="1"/>
  <c r="U635" i="1"/>
  <c r="U633" i="1"/>
  <c r="U631" i="1"/>
  <c r="U629" i="1"/>
  <c r="U627" i="1"/>
  <c r="U625" i="1"/>
  <c r="U623" i="1"/>
  <c r="U621" i="1"/>
  <c r="U619" i="1"/>
  <c r="U617" i="1"/>
  <c r="U615" i="1"/>
  <c r="U613" i="1"/>
  <c r="U611" i="1"/>
  <c r="U609" i="1"/>
  <c r="U607" i="1"/>
  <c r="U605" i="1"/>
  <c r="U603" i="1"/>
  <c r="U593" i="1"/>
  <c r="U591" i="1"/>
  <c r="U589" i="1"/>
  <c r="U587" i="1"/>
  <c r="U585" i="1"/>
  <c r="U583" i="1"/>
  <c r="U581" i="1"/>
  <c r="U579" i="1"/>
  <c r="U577" i="1"/>
  <c r="U575" i="1"/>
  <c r="U573" i="1"/>
  <c r="U571" i="1"/>
  <c r="U569" i="1"/>
  <c r="U567" i="1"/>
  <c r="U565" i="1"/>
  <c r="U563" i="1"/>
  <c r="U561" i="1"/>
  <c r="U559" i="1"/>
  <c r="U557" i="1"/>
  <c r="U555" i="1"/>
  <c r="U553" i="1"/>
  <c r="U551" i="1"/>
  <c r="U549" i="1"/>
  <c r="U547" i="1"/>
  <c r="U545" i="1"/>
  <c r="U543" i="1"/>
  <c r="U541" i="1"/>
  <c r="U539" i="1"/>
  <c r="U537" i="1"/>
  <c r="U535" i="1"/>
  <c r="U533" i="1"/>
  <c r="U531" i="1"/>
  <c r="U529" i="1"/>
  <c r="U527" i="1"/>
  <c r="U525" i="1"/>
  <c r="U523" i="1"/>
  <c r="U521" i="1"/>
  <c r="U519" i="1"/>
  <c r="U517" i="1"/>
  <c r="U515" i="1"/>
  <c r="U511" i="1"/>
  <c r="U509" i="1"/>
  <c r="U507" i="1"/>
  <c r="U505" i="1"/>
  <c r="U503" i="1"/>
  <c r="U501" i="1"/>
  <c r="U499" i="1"/>
  <c r="U497" i="1"/>
  <c r="U491" i="1"/>
  <c r="U489" i="1"/>
  <c r="U487" i="1"/>
  <c r="U475" i="1"/>
  <c r="U473" i="1"/>
  <c r="U471" i="1"/>
  <c r="U469" i="1"/>
  <c r="U467" i="1"/>
  <c r="U465" i="1"/>
  <c r="U463" i="1"/>
  <c r="U461" i="1"/>
  <c r="U459" i="1"/>
  <c r="U457" i="1"/>
  <c r="U455" i="1"/>
  <c r="U453" i="1"/>
  <c r="U451" i="1"/>
  <c r="U449" i="1"/>
  <c r="U447" i="1"/>
  <c r="U445" i="1"/>
  <c r="U443" i="1"/>
  <c r="U441" i="1"/>
  <c r="U439" i="1"/>
  <c r="U437" i="1"/>
  <c r="U435" i="1"/>
  <c r="U433" i="1"/>
  <c r="U407" i="1"/>
  <c r="U405" i="1"/>
  <c r="U403" i="1"/>
  <c r="U401" i="1"/>
  <c r="U399" i="1"/>
  <c r="U397" i="1"/>
  <c r="U395" i="1"/>
  <c r="U361" i="1"/>
  <c r="U359" i="1"/>
  <c r="U357" i="1"/>
  <c r="U355" i="1"/>
  <c r="U353" i="1"/>
  <c r="U351" i="1"/>
  <c r="U349" i="1"/>
  <c r="U347" i="1"/>
  <c r="U345" i="1"/>
  <c r="U343" i="1"/>
  <c r="U341" i="1"/>
  <c r="U339" i="1"/>
  <c r="U327" i="1"/>
  <c r="U325" i="1"/>
  <c r="U323" i="1"/>
  <c r="U321" i="1"/>
  <c r="U319" i="1"/>
  <c r="U317" i="1"/>
  <c r="U315" i="1"/>
  <c r="U313" i="1"/>
  <c r="U311" i="1"/>
  <c r="U309" i="1"/>
  <c r="U307" i="1"/>
  <c r="U305" i="1"/>
  <c r="U303" i="1"/>
  <c r="U301" i="1"/>
  <c r="U299" i="1"/>
  <c r="U297" i="1"/>
  <c r="U295" i="1"/>
  <c r="U293" i="1"/>
  <c r="U291" i="1"/>
  <c r="U289" i="1"/>
  <c r="U287" i="1"/>
  <c r="U285" i="1"/>
  <c r="U283" i="1"/>
  <c r="U281" i="1"/>
  <c r="U279" i="1"/>
  <c r="U277" i="1"/>
  <c r="U275" i="1"/>
  <c r="U273" i="1"/>
  <c r="U271" i="1"/>
  <c r="U269" i="1"/>
  <c r="U267" i="1"/>
  <c r="U265" i="1"/>
  <c r="U263" i="1"/>
  <c r="U261" i="1"/>
  <c r="U259" i="1"/>
  <c r="U257" i="1"/>
  <c r="U255" i="1"/>
  <c r="U253" i="1"/>
  <c r="U251" i="1"/>
  <c r="U249" i="1"/>
  <c r="U247" i="1"/>
  <c r="U245" i="1"/>
  <c r="U243" i="1"/>
  <c r="U241" i="1"/>
  <c r="U239" i="1"/>
  <c r="U237" i="1"/>
  <c r="U235" i="1"/>
  <c r="U233" i="1"/>
  <c r="U231" i="1"/>
  <c r="U229" i="1"/>
  <c r="U225" i="1"/>
  <c r="U223" i="1"/>
  <c r="U221" i="1"/>
  <c r="U219" i="1"/>
  <c r="U217" i="1"/>
  <c r="U215" i="1"/>
  <c r="U213" i="1"/>
  <c r="U211" i="1"/>
  <c r="U209" i="1"/>
  <c r="U207" i="1"/>
  <c r="U205" i="1"/>
  <c r="U203" i="1"/>
  <c r="U201" i="1"/>
  <c r="U193" i="1"/>
  <c r="U191" i="1"/>
  <c r="U189" i="1"/>
  <c r="U187" i="1"/>
  <c r="U185" i="1"/>
  <c r="U183" i="1"/>
  <c r="U181" i="1"/>
  <c r="U179" i="1"/>
  <c r="U177" i="1"/>
  <c r="U175" i="1"/>
  <c r="U173" i="1"/>
  <c r="U171" i="1"/>
  <c r="U169" i="1"/>
  <c r="U167" i="1"/>
  <c r="U165" i="1"/>
  <c r="U163" i="1"/>
  <c r="U161" i="1"/>
  <c r="U159" i="1"/>
  <c r="U157" i="1"/>
  <c r="U155" i="1"/>
  <c r="U153" i="1"/>
  <c r="U151" i="1"/>
  <c r="U141" i="1"/>
  <c r="U139" i="1"/>
  <c r="U137" i="1"/>
  <c r="U135" i="1"/>
  <c r="U133" i="1"/>
  <c r="U131" i="1"/>
  <c r="U129" i="1"/>
  <c r="U127" i="1"/>
  <c r="U125" i="1"/>
  <c r="U123" i="1"/>
  <c r="U121" i="1"/>
  <c r="U119" i="1"/>
  <c r="U117" i="1"/>
  <c r="U115" i="1"/>
  <c r="U113" i="1"/>
  <c r="U111" i="1"/>
  <c r="U109" i="1"/>
  <c r="U107" i="1"/>
  <c r="U105" i="1"/>
  <c r="U103" i="1"/>
  <c r="U101" i="1"/>
  <c r="U99" i="1"/>
  <c r="U97" i="1"/>
  <c r="U95" i="1"/>
  <c r="U93" i="1"/>
  <c r="U91" i="1"/>
  <c r="U89" i="1"/>
  <c r="U87" i="1"/>
  <c r="U85" i="1"/>
  <c r="U83" i="1"/>
  <c r="U81" i="1"/>
  <c r="U79" i="1"/>
  <c r="U77" i="1"/>
  <c r="U75" i="1"/>
  <c r="U73" i="1"/>
  <c r="U71" i="1"/>
  <c r="U69" i="1"/>
  <c r="U67" i="1"/>
  <c r="U65" i="1"/>
  <c r="U63" i="1"/>
  <c r="U61" i="1"/>
  <c r="U59" i="1"/>
  <c r="U57" i="1"/>
  <c r="U55" i="1"/>
  <c r="U53" i="1"/>
  <c r="U51" i="1"/>
  <c r="U49" i="1"/>
  <c r="U47" i="1"/>
  <c r="U45" i="1"/>
  <c r="U43" i="1"/>
  <c r="U41" i="1"/>
  <c r="U39" i="1"/>
  <c r="U37" i="1"/>
  <c r="U35" i="1"/>
  <c r="U33" i="1"/>
  <c r="U31" i="1"/>
  <c r="U29" i="1"/>
  <c r="U27" i="1"/>
  <c r="U25" i="1"/>
  <c r="U23" i="1"/>
  <c r="U21" i="1"/>
  <c r="U19" i="1"/>
  <c r="U17" i="1"/>
  <c r="U15" i="1"/>
  <c r="U13" i="1"/>
  <c r="U11" i="1"/>
  <c r="U9" i="1"/>
  <c r="U7" i="1"/>
  <c r="U5" i="1"/>
  <c r="U3" i="1"/>
  <c r="AT1037" i="1" l="1"/>
  <c r="AS1037" i="1"/>
  <c r="AR1037" i="1"/>
  <c r="AQ1037" i="1"/>
  <c r="AP1037" i="1"/>
  <c r="AO1037" i="1"/>
  <c r="AN1037" i="1"/>
  <c r="AM1037" i="1"/>
  <c r="AL1037" i="1"/>
  <c r="AK1037" i="1"/>
  <c r="AJ1037" i="1"/>
  <c r="AI1037" i="1"/>
  <c r="AG939" i="1" l="1"/>
  <c r="AA939" i="1"/>
  <c r="AB939" i="1" s="1"/>
  <c r="AX938" i="1"/>
  <c r="AW938" i="1"/>
  <c r="AV938" i="1"/>
  <c r="AF939" i="1"/>
  <c r="W939" i="1"/>
  <c r="R939" i="1"/>
  <c r="L939" i="1"/>
  <c r="K939" i="1"/>
  <c r="Y939" i="1" l="1"/>
  <c r="AE939" i="1" s="1"/>
  <c r="AI939" i="1"/>
  <c r="AJ939" i="1"/>
  <c r="AC939" i="1"/>
  <c r="AD939" i="1" s="1"/>
  <c r="AM939" i="1"/>
  <c r="AK939" i="1"/>
  <c r="AT1351" i="1" a="1"/>
  <c r="AT1351" i="1" s="1"/>
  <c r="AS1351" i="1" a="1"/>
  <c r="AS1351" i="1" s="1"/>
  <c r="AR1351" i="1" a="1"/>
  <c r="AR1351" i="1" s="1"/>
  <c r="AQ1351" i="1" a="1"/>
  <c r="AQ1351" i="1" s="1"/>
  <c r="AP1351" i="1" a="1"/>
  <c r="AP1351" i="1" s="1"/>
  <c r="AO1351" i="1" a="1"/>
  <c r="AO1351" i="1" s="1"/>
  <c r="AN1351" i="1" a="1"/>
  <c r="AN1351" i="1" s="1"/>
  <c r="AM1351" i="1" a="1"/>
  <c r="AM1351" i="1" s="1"/>
  <c r="AL1351" i="1" a="1"/>
  <c r="AL1351" i="1" s="1"/>
  <c r="AK1351" i="1"/>
  <c r="AJ1351" i="1"/>
  <c r="AI1351" i="1"/>
  <c r="AT651" i="1" l="1"/>
  <c r="AS651" i="1"/>
  <c r="AR651" i="1"/>
  <c r="AQ651" i="1"/>
  <c r="AP651" i="1"/>
  <c r="AO651" i="1"/>
  <c r="AN651" i="1"/>
  <c r="AM651" i="1"/>
  <c r="AL651" i="1"/>
  <c r="AK651" i="1"/>
  <c r="AJ651" i="1"/>
  <c r="AI651" i="1"/>
  <c r="AG651" i="1"/>
  <c r="AF689" i="1" l="1"/>
  <c r="AF687" i="1"/>
  <c r="AF685" i="1"/>
  <c r="Y689" i="1"/>
  <c r="Y687" i="1"/>
  <c r="Y685" i="1"/>
  <c r="L689" i="1"/>
  <c r="L687" i="1"/>
  <c r="L685" i="1"/>
  <c r="K689" i="1"/>
  <c r="K687" i="1"/>
  <c r="K685" i="1"/>
  <c r="W689" i="1"/>
  <c r="W687" i="1"/>
  <c r="W685" i="1"/>
  <c r="R689" i="1" l="1"/>
  <c r="R687" i="1"/>
  <c r="R685" i="1"/>
  <c r="AT689" i="1"/>
  <c r="AS689" i="1"/>
  <c r="AR689" i="1"/>
  <c r="AQ689" i="1"/>
  <c r="AP689" i="1"/>
  <c r="AO689" i="1"/>
  <c r="AN689" i="1"/>
  <c r="AM689" i="1"/>
  <c r="AL689" i="1"/>
  <c r="AK689" i="1"/>
  <c r="AJ689" i="1"/>
  <c r="AI689" i="1"/>
  <c r="AG689" i="1"/>
  <c r="AC689" i="1"/>
  <c r="AD689" i="1" s="1"/>
  <c r="AA689" i="1"/>
  <c r="AE689" i="1" s="1"/>
  <c r="AT687" i="1"/>
  <c r="AS687" i="1"/>
  <c r="AR687" i="1"/>
  <c r="AQ687" i="1"/>
  <c r="AP687" i="1"/>
  <c r="AO687" i="1"/>
  <c r="AN687" i="1"/>
  <c r="AM687" i="1"/>
  <c r="AL687" i="1"/>
  <c r="AK687" i="1"/>
  <c r="AJ687" i="1"/>
  <c r="AI687" i="1"/>
  <c r="AG687" i="1"/>
  <c r="AC687" i="1"/>
  <c r="AD687" i="1" s="1"/>
  <c r="AA687" i="1"/>
  <c r="AB687" i="1" s="1"/>
  <c r="AT685" i="1"/>
  <c r="AS685" i="1"/>
  <c r="AR685" i="1"/>
  <c r="AQ685" i="1"/>
  <c r="AP685" i="1"/>
  <c r="AO685" i="1"/>
  <c r="AN685" i="1"/>
  <c r="AM685" i="1"/>
  <c r="AL685" i="1"/>
  <c r="AK685" i="1"/>
  <c r="AJ685" i="1"/>
  <c r="AI685" i="1"/>
  <c r="AG685" i="1"/>
  <c r="AC685" i="1"/>
  <c r="AD685" i="1" s="1"/>
  <c r="AA685" i="1"/>
  <c r="AE687" i="1" l="1"/>
  <c r="AB689" i="1"/>
  <c r="AB685" i="1"/>
  <c r="AE685" i="1"/>
  <c r="X1507" i="1"/>
  <c r="X1506" i="1"/>
  <c r="X1505" i="1"/>
  <c r="X1504" i="1"/>
  <c r="X1503" i="1"/>
  <c r="N1506" i="1"/>
  <c r="N1505" i="1"/>
  <c r="N1504" i="1"/>
  <c r="N1503" i="1"/>
  <c r="V1507" i="1" l="1"/>
  <c r="V1506" i="1"/>
  <c r="V1505" i="1"/>
  <c r="V1504" i="1"/>
  <c r="V1503" i="1"/>
  <c r="T1504" i="1" l="1"/>
  <c r="T1503" i="1"/>
  <c r="G1507" i="1"/>
  <c r="G1506" i="1"/>
  <c r="G1505" i="1"/>
  <c r="G1504" i="1"/>
  <c r="G1503" i="1"/>
  <c r="W1471" i="1"/>
  <c r="W1473" i="1"/>
  <c r="W1475" i="1"/>
  <c r="W1477" i="1"/>
  <c r="W1479" i="1"/>
  <c r="W1481" i="1"/>
  <c r="O1504" i="1"/>
  <c r="O1503" i="1"/>
  <c r="AG1429" i="1" l="1"/>
  <c r="AG1431" i="1"/>
  <c r="AT1431" i="1"/>
  <c r="AS1431" i="1"/>
  <c r="AR1431" i="1"/>
  <c r="AQ1431" i="1"/>
  <c r="AP1431" i="1"/>
  <c r="AO1431" i="1"/>
  <c r="AN1431" i="1"/>
  <c r="AM1431" i="1"/>
  <c r="AL1431" i="1"/>
  <c r="AK1431" i="1"/>
  <c r="AJ1431" i="1"/>
  <c r="AI1431" i="1"/>
  <c r="AT1429" i="1"/>
  <c r="AS1429" i="1"/>
  <c r="AR1429" i="1"/>
  <c r="AQ1429" i="1"/>
  <c r="AP1429" i="1"/>
  <c r="AO1429" i="1"/>
  <c r="AN1429" i="1"/>
  <c r="AM1429" i="1"/>
  <c r="AL1429" i="1"/>
  <c r="AK1429" i="1"/>
  <c r="AJ1429" i="1"/>
  <c r="AI1429" i="1"/>
  <c r="AT1433" i="1"/>
  <c r="AS1433" i="1"/>
  <c r="AR1433" i="1"/>
  <c r="AQ1433" i="1"/>
  <c r="AP1433" i="1"/>
  <c r="AO1433" i="1"/>
  <c r="AN1433" i="1"/>
  <c r="AM1433" i="1"/>
  <c r="AL1433" i="1"/>
  <c r="AK1433" i="1"/>
  <c r="AJ1433" i="1"/>
  <c r="AI1433" i="1"/>
  <c r="M1504" i="1" l="1"/>
  <c r="M1503" i="1"/>
  <c r="Q1513" i="1" l="1"/>
  <c r="Q1512" i="1"/>
  <c r="Q1510" i="1"/>
  <c r="Q1511" i="1"/>
  <c r="Q1509" i="1"/>
  <c r="Q1508" i="1"/>
  <c r="Q1507" i="1"/>
  <c r="Q1506" i="1"/>
  <c r="Q1505" i="1"/>
  <c r="Q1504" i="1"/>
  <c r="Q1503" i="1"/>
  <c r="D1507" i="1"/>
  <c r="D1506" i="1"/>
  <c r="D1504" i="1"/>
  <c r="D1505" i="1"/>
  <c r="D1503" i="1"/>
  <c r="AS11" i="1" l="1"/>
  <c r="AS13" i="1"/>
  <c r="AS15" i="1"/>
  <c r="AS17" i="1"/>
  <c r="AS19" i="1"/>
  <c r="AS21" i="1"/>
  <c r="AS23" i="1"/>
  <c r="AS25" i="1"/>
  <c r="AS27" i="1"/>
  <c r="AS87" i="1"/>
  <c r="AS89" i="1"/>
  <c r="AS91" i="1"/>
  <c r="AS121" i="1"/>
  <c r="AS123" i="1"/>
  <c r="AS125" i="1"/>
  <c r="AS127" i="1"/>
  <c r="AS129" i="1"/>
  <c r="AS131" i="1"/>
  <c r="AS133" i="1"/>
  <c r="AS135" i="1"/>
  <c r="AS137" i="1"/>
  <c r="AS139" i="1"/>
  <c r="AS141" i="1"/>
  <c r="AS209" i="1"/>
  <c r="AS211" i="1"/>
  <c r="AS213" i="1"/>
  <c r="AS215" i="1"/>
  <c r="AS217" i="1"/>
  <c r="AS219" i="1"/>
  <c r="AS221" i="1"/>
  <c r="AS223" i="1"/>
  <c r="AS225" i="1"/>
  <c r="AS271" i="1"/>
  <c r="AS273" i="1"/>
  <c r="AS275" i="1"/>
  <c r="AS277" i="1"/>
  <c r="AS279" i="1"/>
  <c r="AS301" i="1"/>
  <c r="AS303" i="1"/>
  <c r="AS305" i="1"/>
  <c r="AS339" i="1"/>
  <c r="AS341" i="1"/>
  <c r="AS343" i="1"/>
  <c r="AS345" i="1"/>
  <c r="AS347" i="1"/>
  <c r="AS349" i="1"/>
  <c r="AS351" i="1"/>
  <c r="AS353" i="1"/>
  <c r="AS355" i="1"/>
  <c r="AS357" i="1"/>
  <c r="AS401" i="1"/>
  <c r="AS403" i="1"/>
  <c r="AS405" i="1"/>
  <c r="AS407" i="1"/>
  <c r="AS443" i="1"/>
  <c r="AS445" i="1"/>
  <c r="AS447" i="1"/>
  <c r="AS449" i="1"/>
  <c r="AS451" i="1"/>
  <c r="AS453" i="1"/>
  <c r="AS455" i="1"/>
  <c r="AS457" i="1"/>
  <c r="AS459" i="1"/>
  <c r="AS461" i="1"/>
  <c r="AS463" i="1"/>
  <c r="AS465" i="1"/>
  <c r="AS467" i="1"/>
  <c r="AS469" i="1"/>
  <c r="AS471" i="1"/>
  <c r="AS473" i="1"/>
  <c r="AS475" i="1"/>
  <c r="AS487" i="1"/>
  <c r="AS489" i="1"/>
  <c r="AS491" i="1"/>
  <c r="AS501" i="1"/>
  <c r="AS503" i="1"/>
  <c r="AS547" i="1"/>
  <c r="AS549" i="1"/>
  <c r="AS559" i="1"/>
  <c r="AS561" i="1"/>
  <c r="AS563" i="1"/>
  <c r="AS565" i="1"/>
  <c r="AS573" i="1"/>
  <c r="AS575" i="1"/>
  <c r="AS577" i="1"/>
  <c r="AS579" i="1"/>
  <c r="AS581" i="1"/>
  <c r="AS583" i="1"/>
  <c r="AS585" i="1"/>
  <c r="AS591" i="1"/>
  <c r="AS593" i="1"/>
  <c r="AS629" i="1"/>
  <c r="AS631" i="1"/>
  <c r="AS633" i="1"/>
  <c r="AS635" i="1"/>
  <c r="AS643" i="1"/>
  <c r="AS645" i="1"/>
  <c r="AS647" i="1"/>
  <c r="AS649" i="1"/>
  <c r="AS681" i="1"/>
  <c r="AS683" i="1"/>
  <c r="AS787" i="1"/>
  <c r="AS789" i="1"/>
  <c r="AS791" i="1"/>
  <c r="AS803" i="1"/>
  <c r="AS805" i="1"/>
  <c r="AS807" i="1"/>
  <c r="AS821" i="1"/>
  <c r="AS823" i="1"/>
  <c r="AS825" i="1"/>
  <c r="AS827" i="1"/>
  <c r="AS829" i="1"/>
  <c r="AS875" i="1"/>
  <c r="AS877" i="1"/>
  <c r="AS879" i="1"/>
  <c r="AS915" i="1"/>
  <c r="AS917" i="1"/>
  <c r="AS919" i="1"/>
  <c r="AS921" i="1"/>
  <c r="AS923" i="1"/>
  <c r="AS925" i="1"/>
  <c r="AS927" i="1"/>
  <c r="AS929" i="1"/>
  <c r="AS965" i="1"/>
  <c r="AS967" i="1"/>
  <c r="AS969" i="1"/>
  <c r="AS971" i="1"/>
  <c r="AS973" i="1"/>
  <c r="AS975" i="1"/>
  <c r="AS977" i="1"/>
  <c r="AS979" i="1"/>
  <c r="AS981" i="1"/>
  <c r="AS983" i="1"/>
  <c r="AS985" i="1"/>
  <c r="AS987" i="1"/>
  <c r="AS989" i="1"/>
  <c r="AS1009" i="1"/>
  <c r="AS1011" i="1"/>
  <c r="AS1013" i="1"/>
  <c r="AS1015" i="1"/>
  <c r="AS1017" i="1"/>
  <c r="AS1019" i="1"/>
  <c r="AS1021" i="1"/>
  <c r="AS1023" i="1"/>
  <c r="AS1025" i="1"/>
  <c r="AS1027" i="1"/>
  <c r="AS1029" i="1"/>
  <c r="AS1031" i="1"/>
  <c r="AS1033" i="1"/>
  <c r="AS1035" i="1"/>
  <c r="AS1039" i="1"/>
  <c r="AS1041" i="1"/>
  <c r="AS1043" i="1"/>
  <c r="AS1045" i="1"/>
  <c r="AS1047" i="1"/>
  <c r="AS1049" i="1"/>
  <c r="AS1051" i="1"/>
  <c r="AS1053" i="1"/>
  <c r="AS1055" i="1"/>
  <c r="AS1057" i="1"/>
  <c r="AS1059" i="1"/>
  <c r="AS1061" i="1"/>
  <c r="AS1063" i="1"/>
  <c r="AS1065" i="1"/>
  <c r="AS1067" i="1"/>
  <c r="AS1069" i="1"/>
  <c r="AS1071" i="1"/>
  <c r="AS1073" i="1"/>
  <c r="AS1075" i="1"/>
  <c r="AS1077" i="1"/>
  <c r="AS1079" i="1"/>
  <c r="AS1081" i="1"/>
  <c r="AS1083" i="1"/>
  <c r="AS1085" i="1"/>
  <c r="AS1087" i="1"/>
  <c r="AS1089" i="1"/>
  <c r="AS1091" i="1"/>
  <c r="AS1093" i="1"/>
  <c r="AS1095" i="1"/>
  <c r="AS1097" i="1"/>
  <c r="AS1099" i="1"/>
  <c r="AS1101" i="1"/>
  <c r="AS1103" i="1"/>
  <c r="AS1105" i="1"/>
  <c r="AS1107" i="1"/>
  <c r="AS1109" i="1"/>
  <c r="AS1175" i="1"/>
  <c r="AS1177" i="1"/>
  <c r="AS1179" i="1"/>
  <c r="AS1181" i="1"/>
  <c r="AS1183" i="1"/>
  <c r="AS1257" i="1"/>
  <c r="AS1275" i="1"/>
  <c r="AS1277" i="1"/>
  <c r="AS1279" i="1"/>
  <c r="AS1281" i="1"/>
  <c r="AS1283" i="1"/>
  <c r="AS1285" i="1"/>
  <c r="AS1307" i="1"/>
  <c r="AS1309" i="1"/>
  <c r="AS1311" i="1"/>
  <c r="AS1313" i="1"/>
  <c r="AS1315" i="1"/>
  <c r="AS1317" i="1"/>
  <c r="AS1319" i="1"/>
  <c r="AS1321" i="1"/>
  <c r="AS1323" i="1"/>
  <c r="AS1325" i="1"/>
  <c r="AS1327" i="1"/>
  <c r="AS1353" i="1"/>
  <c r="AS1355" i="1"/>
  <c r="AS1361" i="1"/>
  <c r="AS1363" i="1"/>
  <c r="AS1365" i="1"/>
  <c r="AS1367" i="1"/>
  <c r="AS1369" i="1"/>
  <c r="AS1371" i="1"/>
  <c r="AS1373" i="1"/>
  <c r="AS1393" i="1"/>
  <c r="AS1395" i="1"/>
  <c r="AS1397" i="1"/>
  <c r="AS1399" i="1"/>
  <c r="AS1401" i="1"/>
  <c r="AS1403" i="1"/>
  <c r="AS1405" i="1"/>
  <c r="AS1407" i="1"/>
  <c r="AS1409" i="1"/>
  <c r="AS1411" i="1"/>
  <c r="AS1413" i="1"/>
  <c r="AS1415" i="1"/>
  <c r="AS1417" i="1"/>
  <c r="AS1419" i="1"/>
  <c r="AS1427" i="1"/>
  <c r="AS1443" i="1"/>
  <c r="AS1445" i="1"/>
  <c r="AS1449" i="1"/>
  <c r="AS1451" i="1"/>
  <c r="AS1453" i="1"/>
  <c r="AS1455" i="1"/>
  <c r="AS1457" i="1"/>
  <c r="AS1459" i="1"/>
  <c r="AS1461" i="1"/>
  <c r="AS1467" i="1"/>
  <c r="AS1469" i="1"/>
  <c r="AS1471" i="1"/>
  <c r="AS1473" i="1"/>
  <c r="AS1477" i="1"/>
  <c r="AS1479" i="1"/>
  <c r="AS1481" i="1"/>
  <c r="AS1483" i="1"/>
  <c r="AG1123" i="1" l="1"/>
  <c r="Y931" i="1"/>
  <c r="BC934" i="1"/>
  <c r="BB934" i="1"/>
  <c r="BA934" i="1"/>
  <c r="AZ934" i="1"/>
  <c r="AY934" i="1"/>
  <c r="AX934" i="1"/>
  <c r="AW934" i="1"/>
  <c r="BC932" i="1"/>
  <c r="BB932" i="1"/>
  <c r="BA932" i="1"/>
  <c r="AZ932" i="1"/>
  <c r="AY932" i="1"/>
  <c r="AX932" i="1"/>
  <c r="AW932" i="1"/>
  <c r="AG935" i="1"/>
  <c r="AF935" i="1"/>
  <c r="AA935" i="1"/>
  <c r="AB935" i="1" s="1"/>
  <c r="Y935" i="1"/>
  <c r="L935" i="1"/>
  <c r="K935" i="1"/>
  <c r="W935" i="1"/>
  <c r="R935" i="1"/>
  <c r="AG933" i="1"/>
  <c r="AF933" i="1"/>
  <c r="AA933" i="1"/>
  <c r="Y933" i="1"/>
  <c r="L933" i="1"/>
  <c r="K933" i="1"/>
  <c r="W933" i="1"/>
  <c r="R933" i="1"/>
  <c r="AJ935" i="1" l="1"/>
  <c r="AE933" i="1"/>
  <c r="AI935" i="1"/>
  <c r="AR935" i="1"/>
  <c r="AK935" i="1"/>
  <c r="AM935" i="1"/>
  <c r="AC935" i="1"/>
  <c r="AD935" i="1" s="1"/>
  <c r="AE935" i="1"/>
  <c r="AN935" i="1"/>
  <c r="AO935" i="1"/>
  <c r="AP935" i="1"/>
  <c r="AI933" i="1"/>
  <c r="AB933" i="1"/>
  <c r="AK933" i="1"/>
  <c r="AQ933" i="1"/>
  <c r="AJ933" i="1"/>
  <c r="AC933" i="1"/>
  <c r="AD933" i="1" s="1"/>
  <c r="AL933" i="1"/>
  <c r="AR933" i="1"/>
  <c r="AO933" i="1"/>
  <c r="AP933" i="1"/>
  <c r="AG1435" i="1" l="1"/>
  <c r="AF1435" i="1"/>
  <c r="AG1433" i="1"/>
  <c r="AA993" i="1"/>
  <c r="AA991" i="1"/>
  <c r="AT989" i="1" l="1"/>
  <c r="AR989" i="1"/>
  <c r="AQ989" i="1"/>
  <c r="AP989" i="1"/>
  <c r="AO989" i="1"/>
  <c r="AN989" i="1"/>
  <c r="AM989" i="1"/>
  <c r="AL989" i="1"/>
  <c r="AK989" i="1"/>
  <c r="AJ989" i="1"/>
  <c r="AI989" i="1"/>
  <c r="AG989" i="1"/>
  <c r="AF989" i="1"/>
  <c r="AC989" i="1"/>
  <c r="AD989" i="1" s="1"/>
  <c r="AB989" i="1"/>
  <c r="Y989" i="1"/>
  <c r="AE989" i="1" s="1"/>
  <c r="L989" i="1"/>
  <c r="K989" i="1"/>
  <c r="W989" i="1"/>
  <c r="R989" i="1"/>
  <c r="AT987" i="1"/>
  <c r="AR987" i="1"/>
  <c r="AQ987" i="1"/>
  <c r="AP987" i="1"/>
  <c r="AO987" i="1"/>
  <c r="AN987" i="1"/>
  <c r="AM987" i="1"/>
  <c r="AL987" i="1"/>
  <c r="AK987" i="1"/>
  <c r="AJ987" i="1"/>
  <c r="AI987" i="1"/>
  <c r="AG987" i="1"/>
  <c r="AF987" i="1"/>
  <c r="AC987" i="1"/>
  <c r="AD987" i="1" s="1"/>
  <c r="AB987" i="1"/>
  <c r="Y987" i="1"/>
  <c r="AE987" i="1" s="1"/>
  <c r="L987" i="1"/>
  <c r="K987" i="1"/>
  <c r="W987" i="1"/>
  <c r="R987" i="1"/>
  <c r="AT985" i="1"/>
  <c r="AR985" i="1"/>
  <c r="AQ985" i="1"/>
  <c r="AP985" i="1"/>
  <c r="AO985" i="1"/>
  <c r="AN985" i="1"/>
  <c r="AM985" i="1"/>
  <c r="AL985" i="1"/>
  <c r="AK985" i="1"/>
  <c r="AJ985" i="1"/>
  <c r="AI985" i="1"/>
  <c r="AG985" i="1"/>
  <c r="AF985" i="1"/>
  <c r="AC985" i="1"/>
  <c r="AD985" i="1" s="1"/>
  <c r="AB985" i="1"/>
  <c r="Y985" i="1"/>
  <c r="AE985" i="1" s="1"/>
  <c r="L985" i="1"/>
  <c r="K985" i="1"/>
  <c r="W985" i="1"/>
  <c r="R985" i="1"/>
  <c r="AG993" i="1"/>
  <c r="AF993" i="1"/>
  <c r="AB993" i="1"/>
  <c r="L993" i="1"/>
  <c r="K993" i="1"/>
  <c r="F993" i="1"/>
  <c r="W993" i="1" s="1"/>
  <c r="R993" i="1"/>
  <c r="AX992" i="1"/>
  <c r="AW992" i="1"/>
  <c r="AV992" i="1"/>
  <c r="AX990" i="1"/>
  <c r="AW990" i="1"/>
  <c r="AV990" i="1"/>
  <c r="AG991" i="1"/>
  <c r="AF991" i="1"/>
  <c r="AB991" i="1"/>
  <c r="F991" i="1"/>
  <c r="L991" i="1"/>
  <c r="K991" i="1"/>
  <c r="R991" i="1"/>
  <c r="AG695" i="1"/>
  <c r="AF695" i="1"/>
  <c r="AB695" i="1"/>
  <c r="Y695" i="1"/>
  <c r="AE695" i="1" s="1"/>
  <c r="L695" i="1"/>
  <c r="K695" i="1"/>
  <c r="W695" i="1"/>
  <c r="R695" i="1"/>
  <c r="BB694" i="1"/>
  <c r="BA694" i="1"/>
  <c r="AZ694" i="1"/>
  <c r="AY694" i="1"/>
  <c r="AX694" i="1"/>
  <c r="AW694" i="1"/>
  <c r="AG693" i="1"/>
  <c r="AF693" i="1"/>
  <c r="AB693" i="1"/>
  <c r="Y693" i="1"/>
  <c r="AE693" i="1" s="1"/>
  <c r="L693" i="1"/>
  <c r="K693" i="1"/>
  <c r="W693" i="1"/>
  <c r="R693" i="1"/>
  <c r="BB692" i="1"/>
  <c r="BA692" i="1"/>
  <c r="AZ692" i="1"/>
  <c r="AY692" i="1"/>
  <c r="AX692" i="1"/>
  <c r="AW692" i="1"/>
  <c r="AG691" i="1"/>
  <c r="AF691" i="1"/>
  <c r="AB691" i="1"/>
  <c r="AA553" i="1"/>
  <c r="Y691" i="1"/>
  <c r="AE691" i="1" s="1"/>
  <c r="BB690" i="1"/>
  <c r="BA690" i="1"/>
  <c r="AZ690" i="1"/>
  <c r="AY690" i="1"/>
  <c r="AX690" i="1"/>
  <c r="AW690" i="1"/>
  <c r="L691" i="1"/>
  <c r="K691" i="1"/>
  <c r="W691" i="1"/>
  <c r="R691" i="1"/>
  <c r="AG171" i="1"/>
  <c r="AF171" i="1"/>
  <c r="AG169" i="1"/>
  <c r="AF169" i="1"/>
  <c r="AG167" i="1"/>
  <c r="AF167" i="1"/>
  <c r="AA171" i="1"/>
  <c r="AB171" i="1" s="1"/>
  <c r="Y171" i="1"/>
  <c r="L171" i="1"/>
  <c r="K171" i="1"/>
  <c r="W171" i="1"/>
  <c r="R171" i="1"/>
  <c r="AZ170" i="1"/>
  <c r="AY170" i="1"/>
  <c r="AX170" i="1"/>
  <c r="AW170" i="1"/>
  <c r="AV170" i="1"/>
  <c r="AA169" i="1"/>
  <c r="AB169" i="1" s="1"/>
  <c r="Y169" i="1"/>
  <c r="L169" i="1"/>
  <c r="K169" i="1"/>
  <c r="W169" i="1"/>
  <c r="R169" i="1"/>
  <c r="AZ168" i="1"/>
  <c r="AY168" i="1"/>
  <c r="AX168" i="1"/>
  <c r="AW168" i="1"/>
  <c r="AV168" i="1"/>
  <c r="AZ166" i="1"/>
  <c r="AY166" i="1"/>
  <c r="AX166" i="1"/>
  <c r="AW166" i="1"/>
  <c r="AV166" i="1"/>
  <c r="AA167" i="1"/>
  <c r="Y167" i="1"/>
  <c r="L167" i="1"/>
  <c r="K167" i="1"/>
  <c r="W167" i="1"/>
  <c r="R167" i="1"/>
  <c r="AE171" i="1" l="1"/>
  <c r="W991" i="1"/>
  <c r="F1505" i="1"/>
  <c r="F1504" i="1"/>
  <c r="F1503" i="1"/>
  <c r="F1507" i="1"/>
  <c r="F1506" i="1"/>
  <c r="AE167" i="1"/>
  <c r="AI993" i="1"/>
  <c r="AJ171" i="1"/>
  <c r="AB167" i="1"/>
  <c r="AK169" i="1"/>
  <c r="AP167" i="1"/>
  <c r="AI695" i="1"/>
  <c r="AI693" i="1"/>
  <c r="AK691" i="1"/>
  <c r="AT991" i="1"/>
  <c r="AC171" i="1"/>
  <c r="AD171" i="1" s="1"/>
  <c r="AO167" i="1"/>
  <c r="AI169" i="1"/>
  <c r="AK171" i="1"/>
  <c r="AR171" i="1"/>
  <c r="AK167" i="1"/>
  <c r="AC167" i="1"/>
  <c r="AD167" i="1" s="1"/>
  <c r="AI171" i="1"/>
  <c r="AJ691" i="1"/>
  <c r="AJ169" i="1"/>
  <c r="AQ169" i="1"/>
  <c r="AL171" i="1"/>
  <c r="AC691" i="1"/>
  <c r="AD691" i="1" s="1"/>
  <c r="AI167" i="1"/>
  <c r="AC169" i="1"/>
  <c r="AD169" i="1" s="1"/>
  <c r="AE169" i="1"/>
  <c r="AJ167" i="1"/>
  <c r="AQ167" i="1"/>
  <c r="AL169" i="1"/>
  <c r="AN171" i="1"/>
  <c r="AT171" i="1"/>
  <c r="AC693" i="1"/>
  <c r="AD693" i="1" s="1"/>
  <c r="AL167" i="1"/>
  <c r="AN169" i="1"/>
  <c r="AT169" i="1"/>
  <c r="AP171" i="1"/>
  <c r="AI691" i="1"/>
  <c r="Y993" i="1"/>
  <c r="AE993" i="1" s="1"/>
  <c r="AJ993" i="1"/>
  <c r="AC993" i="1"/>
  <c r="AD993" i="1" s="1"/>
  <c r="AL993" i="1"/>
  <c r="AR993" i="1"/>
  <c r="AM993" i="1"/>
  <c r="AK993" i="1"/>
  <c r="AN993" i="1"/>
  <c r="AC991" i="1"/>
  <c r="AD991" i="1" s="1"/>
  <c r="AI991" i="1"/>
  <c r="AJ991" i="1"/>
  <c r="Y991" i="1"/>
  <c r="AE991" i="1" s="1"/>
  <c r="AK991" i="1"/>
  <c r="AJ695" i="1"/>
  <c r="AK695" i="1"/>
  <c r="AC695" i="1"/>
  <c r="AD695" i="1" s="1"/>
  <c r="AJ693" i="1"/>
  <c r="AK693" i="1"/>
  <c r="L1501" i="1"/>
  <c r="L1499" i="1"/>
  <c r="L1497" i="1"/>
  <c r="L1495" i="1"/>
  <c r="L1493" i="1"/>
  <c r="L1491" i="1"/>
  <c r="L1489" i="1"/>
  <c r="L1487" i="1"/>
  <c r="L1485" i="1"/>
  <c r="L1483" i="1"/>
  <c r="L1481" i="1"/>
  <c r="L1479" i="1"/>
  <c r="L1477" i="1"/>
  <c r="L1475" i="1"/>
  <c r="L1473" i="1"/>
  <c r="L1471" i="1"/>
  <c r="L1469" i="1"/>
  <c r="L1467" i="1"/>
  <c r="L1461" i="1"/>
  <c r="L1459" i="1"/>
  <c r="L1457" i="1"/>
  <c r="L1455" i="1"/>
  <c r="L1453" i="1"/>
  <c r="L1451" i="1"/>
  <c r="L1449" i="1"/>
  <c r="L1447" i="1"/>
  <c r="L1445" i="1"/>
  <c r="L1443" i="1"/>
  <c r="L1441" i="1"/>
  <c r="L1439" i="1"/>
  <c r="L1437" i="1"/>
  <c r="L1435" i="1"/>
  <c r="L1433" i="1"/>
  <c r="L1431" i="1"/>
  <c r="L1429" i="1"/>
  <c r="L1427" i="1"/>
  <c r="L1425" i="1"/>
  <c r="L1423" i="1"/>
  <c r="L1419" i="1"/>
  <c r="L1417" i="1"/>
  <c r="L1415" i="1"/>
  <c r="L1413" i="1"/>
  <c r="L1411" i="1"/>
  <c r="L1409" i="1"/>
  <c r="L1407" i="1"/>
  <c r="L1405" i="1"/>
  <c r="L1403" i="1"/>
  <c r="L1401" i="1"/>
  <c r="L1399" i="1"/>
  <c r="L1397" i="1"/>
  <c r="L1395" i="1"/>
  <c r="L1393" i="1"/>
  <c r="L1391" i="1"/>
  <c r="L1387" i="1"/>
  <c r="L1385" i="1"/>
  <c r="L1383" i="1"/>
  <c r="L1381" i="1"/>
  <c r="L1379" i="1"/>
  <c r="L1377" i="1"/>
  <c r="L1375" i="1"/>
  <c r="L1373" i="1"/>
  <c r="L1371" i="1"/>
  <c r="L1369" i="1"/>
  <c r="L1367" i="1"/>
  <c r="L1365" i="1"/>
  <c r="L1363" i="1"/>
  <c r="L1361" i="1"/>
  <c r="L1359" i="1"/>
  <c r="L1357" i="1"/>
  <c r="L1355" i="1"/>
  <c r="L1353" i="1"/>
  <c r="L1351" i="1"/>
  <c r="L1349" i="1"/>
  <c r="L1347" i="1"/>
  <c r="L1345" i="1"/>
  <c r="L1343" i="1"/>
  <c r="L1341" i="1"/>
  <c r="L1339" i="1"/>
  <c r="L1337" i="1"/>
  <c r="L1335" i="1"/>
  <c r="L1333" i="1"/>
  <c r="L1331" i="1"/>
  <c r="L1329" i="1"/>
  <c r="L1327" i="1"/>
  <c r="L1325" i="1"/>
  <c r="L1323" i="1"/>
  <c r="L1321" i="1"/>
  <c r="L1319" i="1"/>
  <c r="L1317" i="1"/>
  <c r="L1315" i="1"/>
  <c r="L1313" i="1"/>
  <c r="L1311" i="1"/>
  <c r="L1309" i="1"/>
  <c r="L1307" i="1"/>
  <c r="L1305" i="1"/>
  <c r="L1303" i="1"/>
  <c r="L1301" i="1"/>
  <c r="L1299" i="1"/>
  <c r="L1297" i="1"/>
  <c r="L1295" i="1"/>
  <c r="L1293" i="1"/>
  <c r="L1291" i="1"/>
  <c r="L1289" i="1"/>
  <c r="L1287" i="1"/>
  <c r="L1285" i="1"/>
  <c r="L1283" i="1"/>
  <c r="L1281" i="1"/>
  <c r="L1279" i="1"/>
  <c r="L1277" i="1"/>
  <c r="L1275" i="1"/>
  <c r="L1273" i="1"/>
  <c r="L1267" i="1"/>
  <c r="L1265" i="1"/>
  <c r="L1263" i="1"/>
  <c r="L1261" i="1"/>
  <c r="L1259" i="1"/>
  <c r="L1257" i="1"/>
  <c r="L1255" i="1"/>
  <c r="L1253" i="1"/>
  <c r="L1251" i="1"/>
  <c r="L1249" i="1"/>
  <c r="L1247" i="1"/>
  <c r="L1245" i="1"/>
  <c r="L1243" i="1"/>
  <c r="L1241" i="1"/>
  <c r="L1239" i="1"/>
  <c r="L1237" i="1"/>
  <c r="L1231" i="1"/>
  <c r="L1229" i="1"/>
  <c r="L1227" i="1"/>
  <c r="L1225" i="1"/>
  <c r="L1223" i="1"/>
  <c r="L1221" i="1"/>
  <c r="L1219" i="1"/>
  <c r="L1217" i="1"/>
  <c r="L1215" i="1"/>
  <c r="L1213" i="1"/>
  <c r="L1211" i="1"/>
  <c r="L1209" i="1"/>
  <c r="L1207" i="1"/>
  <c r="L1205" i="1"/>
  <c r="L1203" i="1"/>
  <c r="L1201" i="1"/>
  <c r="L1199" i="1"/>
  <c r="L1197" i="1"/>
  <c r="L1195" i="1"/>
  <c r="L1193" i="1"/>
  <c r="L1191" i="1"/>
  <c r="L1189" i="1"/>
  <c r="L1187" i="1"/>
  <c r="L1185" i="1"/>
  <c r="L1183" i="1"/>
  <c r="L1181" i="1"/>
  <c r="L1179" i="1"/>
  <c r="L1177" i="1"/>
  <c r="L1175" i="1"/>
  <c r="L1173" i="1"/>
  <c r="L1171" i="1"/>
  <c r="L1169" i="1"/>
  <c r="L1167" i="1"/>
  <c r="L1165" i="1"/>
  <c r="L1163" i="1"/>
  <c r="L1161" i="1"/>
  <c r="L1159" i="1"/>
  <c r="L1157" i="1"/>
  <c r="L1155" i="1"/>
  <c r="L1153" i="1"/>
  <c r="L1151" i="1"/>
  <c r="L1149" i="1"/>
  <c r="L1147" i="1"/>
  <c r="L1145" i="1"/>
  <c r="L1143" i="1"/>
  <c r="L1141" i="1"/>
  <c r="L1139" i="1"/>
  <c r="L1137" i="1"/>
  <c r="L1135" i="1"/>
  <c r="L1133" i="1"/>
  <c r="L1131" i="1"/>
  <c r="L1129" i="1"/>
  <c r="L1127" i="1"/>
  <c r="L1125" i="1"/>
  <c r="L1123" i="1"/>
  <c r="L1121" i="1"/>
  <c r="L1119" i="1"/>
  <c r="L1117" i="1"/>
  <c r="L1115" i="1"/>
  <c r="L1113" i="1"/>
  <c r="L1111" i="1"/>
  <c r="L1109" i="1"/>
  <c r="L1107" i="1"/>
  <c r="L1105" i="1"/>
  <c r="L1103" i="1"/>
  <c r="L1101" i="1"/>
  <c r="L1099" i="1"/>
  <c r="L1097" i="1"/>
  <c r="L1095" i="1"/>
  <c r="L1093" i="1"/>
  <c r="L1091" i="1"/>
  <c r="L1089" i="1"/>
  <c r="L1087" i="1"/>
  <c r="L1085" i="1"/>
  <c r="L1083" i="1"/>
  <c r="L1081" i="1"/>
  <c r="L1079" i="1"/>
  <c r="L1077" i="1"/>
  <c r="L1075" i="1"/>
  <c r="L1073" i="1"/>
  <c r="L1071" i="1"/>
  <c r="L1069" i="1"/>
  <c r="L1067" i="1"/>
  <c r="L1065" i="1"/>
  <c r="L1063" i="1"/>
  <c r="L1061" i="1"/>
  <c r="L1059" i="1"/>
  <c r="L1057" i="1"/>
  <c r="L1055" i="1"/>
  <c r="L1053" i="1"/>
  <c r="L1051" i="1"/>
  <c r="L1049" i="1"/>
  <c r="L1047" i="1"/>
  <c r="L1045" i="1"/>
  <c r="L1043" i="1"/>
  <c r="L1041" i="1"/>
  <c r="L1039" i="1"/>
  <c r="L1037" i="1"/>
  <c r="L1035" i="1"/>
  <c r="L1033" i="1"/>
  <c r="L1031" i="1"/>
  <c r="L1029" i="1"/>
  <c r="L1027" i="1"/>
  <c r="L1025" i="1"/>
  <c r="L1023" i="1"/>
  <c r="L1021" i="1"/>
  <c r="L1019" i="1"/>
  <c r="L1017" i="1"/>
  <c r="L1015" i="1"/>
  <c r="L1013" i="1"/>
  <c r="L1011" i="1"/>
  <c r="L1009" i="1"/>
  <c r="L1007" i="1"/>
  <c r="L1005" i="1"/>
  <c r="L1003" i="1"/>
  <c r="L1001" i="1"/>
  <c r="L999" i="1"/>
  <c r="L997" i="1"/>
  <c r="L995" i="1"/>
  <c r="L983" i="1"/>
  <c r="L981" i="1"/>
  <c r="L979" i="1"/>
  <c r="L977" i="1"/>
  <c r="L975" i="1"/>
  <c r="L973" i="1"/>
  <c r="L971" i="1"/>
  <c r="L969" i="1"/>
  <c r="L967" i="1"/>
  <c r="L965" i="1"/>
  <c r="L963" i="1"/>
  <c r="L961" i="1"/>
  <c r="L959" i="1"/>
  <c r="L957" i="1"/>
  <c r="L955" i="1"/>
  <c r="L953" i="1"/>
  <c r="L947" i="1"/>
  <c r="L945" i="1"/>
  <c r="L943" i="1"/>
  <c r="L941" i="1"/>
  <c r="L937" i="1"/>
  <c r="L931" i="1"/>
  <c r="L929" i="1"/>
  <c r="L927" i="1"/>
  <c r="L925" i="1"/>
  <c r="L923" i="1"/>
  <c r="L921" i="1"/>
  <c r="L919" i="1"/>
  <c r="L917" i="1"/>
  <c r="L915" i="1"/>
  <c r="L879" i="1"/>
  <c r="L877" i="1"/>
  <c r="L875" i="1"/>
  <c r="L873" i="1"/>
  <c r="L871" i="1"/>
  <c r="L865" i="1"/>
  <c r="L863" i="1"/>
  <c r="L861" i="1"/>
  <c r="L859" i="1"/>
  <c r="L857" i="1"/>
  <c r="L855" i="1"/>
  <c r="L853" i="1"/>
  <c r="L851" i="1"/>
  <c r="L849" i="1"/>
  <c r="L847" i="1"/>
  <c r="L845" i="1"/>
  <c r="L843" i="1"/>
  <c r="L841" i="1"/>
  <c r="L839" i="1"/>
  <c r="L837" i="1"/>
  <c r="L835" i="1"/>
  <c r="L833" i="1"/>
  <c r="L831" i="1"/>
  <c r="L829" i="1"/>
  <c r="L827" i="1"/>
  <c r="L825" i="1"/>
  <c r="L823" i="1"/>
  <c r="L821" i="1"/>
  <c r="L807" i="1"/>
  <c r="L805" i="1"/>
  <c r="L803" i="1"/>
  <c r="L801" i="1"/>
  <c r="L799" i="1"/>
  <c r="L797" i="1"/>
  <c r="L795" i="1"/>
  <c r="L791" i="1"/>
  <c r="L789" i="1"/>
  <c r="L787" i="1"/>
  <c r="L781" i="1"/>
  <c r="L779" i="1"/>
  <c r="L777" i="1"/>
  <c r="L775" i="1"/>
  <c r="L767" i="1"/>
  <c r="L765" i="1"/>
  <c r="L763" i="1"/>
  <c r="L761" i="1"/>
  <c r="L759" i="1"/>
  <c r="L757" i="1"/>
  <c r="L755" i="1"/>
  <c r="L753" i="1"/>
  <c r="L751" i="1"/>
  <c r="L749" i="1"/>
  <c r="L747" i="1"/>
  <c r="L737" i="1"/>
  <c r="L735" i="1"/>
  <c r="L733" i="1"/>
  <c r="L731" i="1"/>
  <c r="L729" i="1"/>
  <c r="L727" i="1"/>
  <c r="L725" i="1"/>
  <c r="L723" i="1"/>
  <c r="L721" i="1"/>
  <c r="L719" i="1"/>
  <c r="L717" i="1"/>
  <c r="L715" i="1"/>
  <c r="L713" i="1"/>
  <c r="L711" i="1"/>
  <c r="L709" i="1"/>
  <c r="L707" i="1"/>
  <c r="L705" i="1"/>
  <c r="L703" i="1"/>
  <c r="L701" i="1"/>
  <c r="L699" i="1"/>
  <c r="L697" i="1"/>
  <c r="L683" i="1"/>
  <c r="L681" i="1"/>
  <c r="L675" i="1"/>
  <c r="L673" i="1"/>
  <c r="L671" i="1"/>
  <c r="L669" i="1"/>
  <c r="L667" i="1"/>
  <c r="L665" i="1"/>
  <c r="L663" i="1"/>
  <c r="L651" i="1"/>
  <c r="L649" i="1"/>
  <c r="L647" i="1"/>
  <c r="L645" i="1"/>
  <c r="L643" i="1"/>
  <c r="L635" i="1"/>
  <c r="L633" i="1"/>
  <c r="L631" i="1"/>
  <c r="L629" i="1"/>
  <c r="L627" i="1"/>
  <c r="L625" i="1"/>
  <c r="L623" i="1"/>
  <c r="L621" i="1"/>
  <c r="L619" i="1"/>
  <c r="L617" i="1"/>
  <c r="L615" i="1"/>
  <c r="L613" i="1"/>
  <c r="L611" i="1"/>
  <c r="L609" i="1"/>
  <c r="L607" i="1"/>
  <c r="L605" i="1"/>
  <c r="L603" i="1"/>
  <c r="L593" i="1"/>
  <c r="L591" i="1"/>
  <c r="L589" i="1"/>
  <c r="L587" i="1"/>
  <c r="L585" i="1"/>
  <c r="L583" i="1"/>
  <c r="L581" i="1"/>
  <c r="L579" i="1"/>
  <c r="L577" i="1"/>
  <c r="L575" i="1"/>
  <c r="L573" i="1"/>
  <c r="L571" i="1"/>
  <c r="L569" i="1"/>
  <c r="L567" i="1"/>
  <c r="L565" i="1"/>
  <c r="L563" i="1"/>
  <c r="L561" i="1"/>
  <c r="L559" i="1"/>
  <c r="L557" i="1"/>
  <c r="L555" i="1"/>
  <c r="L553" i="1"/>
  <c r="L551" i="1"/>
  <c r="L549" i="1"/>
  <c r="L547" i="1"/>
  <c r="L545" i="1"/>
  <c r="L543" i="1"/>
  <c r="L541" i="1"/>
  <c r="L539" i="1"/>
  <c r="L537" i="1"/>
  <c r="L535" i="1"/>
  <c r="L533" i="1"/>
  <c r="L531" i="1"/>
  <c r="L529" i="1"/>
  <c r="L527" i="1"/>
  <c r="L525" i="1"/>
  <c r="L523" i="1"/>
  <c r="L521" i="1"/>
  <c r="L519" i="1"/>
  <c r="L517" i="1"/>
  <c r="L515" i="1"/>
  <c r="L511" i="1"/>
  <c r="L509" i="1"/>
  <c r="L507" i="1"/>
  <c r="L505" i="1"/>
  <c r="L503" i="1"/>
  <c r="L501" i="1"/>
  <c r="L499" i="1"/>
  <c r="L497" i="1"/>
  <c r="L491" i="1"/>
  <c r="L489" i="1"/>
  <c r="L487" i="1"/>
  <c r="L475" i="1"/>
  <c r="L473" i="1"/>
  <c r="L471" i="1"/>
  <c r="L469" i="1"/>
  <c r="L467" i="1"/>
  <c r="L465" i="1"/>
  <c r="L463" i="1"/>
  <c r="L461" i="1"/>
  <c r="L459" i="1"/>
  <c r="L457" i="1"/>
  <c r="L455" i="1"/>
  <c r="L453" i="1"/>
  <c r="L451" i="1"/>
  <c r="L449" i="1"/>
  <c r="L447" i="1"/>
  <c r="L445" i="1"/>
  <c r="L443" i="1"/>
  <c r="L441" i="1"/>
  <c r="L439" i="1"/>
  <c r="L437" i="1"/>
  <c r="L435" i="1"/>
  <c r="L433" i="1"/>
  <c r="L407" i="1"/>
  <c r="L405" i="1"/>
  <c r="L403" i="1"/>
  <c r="L401" i="1"/>
  <c r="L399" i="1"/>
  <c r="L397" i="1"/>
  <c r="L395" i="1"/>
  <c r="L379" i="1"/>
  <c r="L361" i="1"/>
  <c r="L359" i="1"/>
  <c r="L357" i="1"/>
  <c r="L355" i="1"/>
  <c r="L353" i="1"/>
  <c r="L351" i="1"/>
  <c r="L349" i="1"/>
  <c r="L347" i="1"/>
  <c r="L345" i="1"/>
  <c r="L343" i="1"/>
  <c r="L341" i="1"/>
  <c r="L339" i="1"/>
  <c r="L327" i="1"/>
  <c r="L325" i="1"/>
  <c r="L323" i="1"/>
  <c r="L321" i="1"/>
  <c r="L319" i="1"/>
  <c r="L317" i="1"/>
  <c r="L315" i="1"/>
  <c r="L313" i="1"/>
  <c r="L311" i="1"/>
  <c r="L309" i="1"/>
  <c r="L307" i="1"/>
  <c r="L305" i="1"/>
  <c r="L303" i="1"/>
  <c r="L301" i="1"/>
  <c r="L299" i="1"/>
  <c r="L297" i="1"/>
  <c r="L295" i="1"/>
  <c r="L293" i="1"/>
  <c r="L291" i="1"/>
  <c r="L289" i="1"/>
  <c r="L287" i="1"/>
  <c r="L285" i="1"/>
  <c r="L283" i="1"/>
  <c r="L281" i="1"/>
  <c r="L279" i="1"/>
  <c r="L277" i="1"/>
  <c r="L275" i="1"/>
  <c r="L273" i="1"/>
  <c r="L271" i="1"/>
  <c r="L269" i="1"/>
  <c r="L267" i="1"/>
  <c r="L265" i="1"/>
  <c r="L263" i="1"/>
  <c r="L261" i="1"/>
  <c r="L259" i="1"/>
  <c r="L257" i="1"/>
  <c r="L255" i="1"/>
  <c r="L253" i="1"/>
  <c r="L251" i="1"/>
  <c r="L249" i="1"/>
  <c r="L247" i="1"/>
  <c r="L245" i="1"/>
  <c r="L243" i="1"/>
  <c r="L241" i="1"/>
  <c r="L239" i="1"/>
  <c r="L237" i="1"/>
  <c r="L235" i="1"/>
  <c r="L233" i="1"/>
  <c r="L231" i="1"/>
  <c r="L229" i="1"/>
  <c r="L225" i="1"/>
  <c r="L223" i="1"/>
  <c r="L221" i="1"/>
  <c r="L219" i="1"/>
  <c r="L217" i="1"/>
  <c r="L215" i="1"/>
  <c r="L213" i="1"/>
  <c r="L211" i="1"/>
  <c r="L209" i="1"/>
  <c r="L207" i="1"/>
  <c r="L205" i="1"/>
  <c r="L203" i="1"/>
  <c r="L201" i="1"/>
  <c r="L193" i="1"/>
  <c r="L191" i="1"/>
  <c r="L189" i="1"/>
  <c r="L187" i="1"/>
  <c r="L185" i="1"/>
  <c r="L183" i="1"/>
  <c r="L181" i="1"/>
  <c r="L179" i="1"/>
  <c r="L177" i="1"/>
  <c r="L175" i="1"/>
  <c r="L173" i="1"/>
  <c r="L165" i="1"/>
  <c r="L163" i="1"/>
  <c r="L161" i="1"/>
  <c r="L159" i="1"/>
  <c r="L157" i="1"/>
  <c r="L155" i="1"/>
  <c r="L153" i="1"/>
  <c r="L151" i="1"/>
  <c r="L141" i="1"/>
  <c r="L139" i="1"/>
  <c r="L137" i="1"/>
  <c r="L135" i="1"/>
  <c r="L133" i="1"/>
  <c r="L131" i="1"/>
  <c r="L129" i="1"/>
  <c r="L127" i="1"/>
  <c r="L125" i="1"/>
  <c r="L123" i="1"/>
  <c r="L121" i="1"/>
  <c r="L119" i="1"/>
  <c r="L117" i="1"/>
  <c r="L115" i="1"/>
  <c r="L113" i="1"/>
  <c r="L111" i="1"/>
  <c r="L109" i="1"/>
  <c r="L107" i="1"/>
  <c r="L105" i="1"/>
  <c r="L103" i="1"/>
  <c r="L101" i="1"/>
  <c r="L99" i="1"/>
  <c r="L97" i="1"/>
  <c r="L95" i="1"/>
  <c r="L93" i="1"/>
  <c r="L91" i="1"/>
  <c r="L89" i="1"/>
  <c r="L87" i="1"/>
  <c r="L85" i="1"/>
  <c r="L83" i="1"/>
  <c r="L81" i="1"/>
  <c r="L79" i="1"/>
  <c r="L77" i="1"/>
  <c r="L75" i="1"/>
  <c r="L73" i="1"/>
  <c r="L71" i="1"/>
  <c r="L69" i="1"/>
  <c r="L67" i="1"/>
  <c r="L65" i="1"/>
  <c r="L63" i="1"/>
  <c r="L61" i="1"/>
  <c r="L59" i="1"/>
  <c r="L57" i="1"/>
  <c r="L55" i="1"/>
  <c r="L53" i="1"/>
  <c r="L51" i="1"/>
  <c r="L49" i="1"/>
  <c r="L47" i="1"/>
  <c r="L45" i="1"/>
  <c r="L43" i="1"/>
  <c r="L41" i="1"/>
  <c r="L39" i="1"/>
  <c r="L37" i="1"/>
  <c r="L35" i="1"/>
  <c r="L33" i="1"/>
  <c r="L31" i="1"/>
  <c r="L29" i="1"/>
  <c r="L27" i="1"/>
  <c r="L25" i="1"/>
  <c r="L23" i="1"/>
  <c r="L21" i="1"/>
  <c r="L19" i="1"/>
  <c r="L17" i="1"/>
  <c r="L15" i="1"/>
  <c r="L13" i="1"/>
  <c r="L11" i="1"/>
  <c r="L9" i="1"/>
  <c r="L7" i="1"/>
  <c r="L5" i="1"/>
  <c r="L3" i="1"/>
  <c r="K1501" i="1"/>
  <c r="K1499" i="1"/>
  <c r="K1497" i="1"/>
  <c r="K1495" i="1"/>
  <c r="K1493" i="1"/>
  <c r="K1491" i="1"/>
  <c r="K1489" i="1"/>
  <c r="K1487" i="1"/>
  <c r="K1485" i="1"/>
  <c r="K1483" i="1"/>
  <c r="K1481" i="1"/>
  <c r="K1479" i="1"/>
  <c r="K1477" i="1"/>
  <c r="K1475" i="1"/>
  <c r="K1473" i="1"/>
  <c r="K1471" i="1"/>
  <c r="K1469" i="1"/>
  <c r="K1467" i="1"/>
  <c r="K1461" i="1"/>
  <c r="K1459" i="1"/>
  <c r="K1457" i="1"/>
  <c r="K1455" i="1"/>
  <c r="K1453" i="1"/>
  <c r="K1451" i="1"/>
  <c r="K1449" i="1"/>
  <c r="K1447" i="1"/>
  <c r="K1445" i="1"/>
  <c r="K1443" i="1"/>
  <c r="K1441" i="1"/>
  <c r="K1439" i="1"/>
  <c r="K1437" i="1"/>
  <c r="K1435" i="1"/>
  <c r="K1433" i="1"/>
  <c r="K1431" i="1"/>
  <c r="K1429" i="1"/>
  <c r="K1427" i="1"/>
  <c r="K1425" i="1"/>
  <c r="K1423" i="1"/>
  <c r="K1419" i="1"/>
  <c r="K1417" i="1"/>
  <c r="K1415" i="1"/>
  <c r="K1413" i="1"/>
  <c r="K1411" i="1"/>
  <c r="K1409" i="1"/>
  <c r="K1407" i="1"/>
  <c r="K1405" i="1"/>
  <c r="K1403" i="1"/>
  <c r="K1401" i="1"/>
  <c r="K1399" i="1"/>
  <c r="K1397" i="1"/>
  <c r="K1395" i="1"/>
  <c r="K1393" i="1"/>
  <c r="K1391" i="1"/>
  <c r="K1387" i="1"/>
  <c r="K1385" i="1"/>
  <c r="K1383" i="1"/>
  <c r="K1381" i="1"/>
  <c r="K1379" i="1"/>
  <c r="K1377" i="1"/>
  <c r="K1375" i="1"/>
  <c r="K1373" i="1"/>
  <c r="K1371" i="1"/>
  <c r="K1369" i="1"/>
  <c r="K1367" i="1"/>
  <c r="K1365" i="1"/>
  <c r="K1363" i="1"/>
  <c r="K1361" i="1"/>
  <c r="K1359" i="1"/>
  <c r="K1357" i="1"/>
  <c r="K1355" i="1"/>
  <c r="K1353" i="1"/>
  <c r="K1351" i="1"/>
  <c r="K1349" i="1"/>
  <c r="K1347" i="1"/>
  <c r="K1345" i="1"/>
  <c r="K1343" i="1"/>
  <c r="K1341" i="1"/>
  <c r="K1339" i="1"/>
  <c r="K1337" i="1"/>
  <c r="K1335" i="1"/>
  <c r="K1333" i="1"/>
  <c r="K1331" i="1"/>
  <c r="K1329" i="1"/>
  <c r="K1327" i="1"/>
  <c r="K1325" i="1"/>
  <c r="K1323" i="1"/>
  <c r="K1321" i="1"/>
  <c r="K1319" i="1"/>
  <c r="K1317" i="1"/>
  <c r="K1315" i="1"/>
  <c r="K1313" i="1"/>
  <c r="K1311" i="1"/>
  <c r="K1309" i="1"/>
  <c r="K1307" i="1"/>
  <c r="K1305" i="1"/>
  <c r="K1303" i="1"/>
  <c r="K1301" i="1"/>
  <c r="K1299" i="1"/>
  <c r="K1297" i="1"/>
  <c r="K1295" i="1"/>
  <c r="K1293" i="1"/>
  <c r="K1291" i="1"/>
  <c r="K1289" i="1"/>
  <c r="K1287" i="1"/>
  <c r="K1285" i="1"/>
  <c r="K1283" i="1"/>
  <c r="K1281" i="1"/>
  <c r="K1279" i="1"/>
  <c r="K1277" i="1"/>
  <c r="K1275" i="1"/>
  <c r="K1273" i="1"/>
  <c r="K1267" i="1"/>
  <c r="K1265" i="1"/>
  <c r="K1263" i="1"/>
  <c r="K1261" i="1"/>
  <c r="K1259" i="1"/>
  <c r="K1257" i="1"/>
  <c r="K1255" i="1"/>
  <c r="K1253" i="1"/>
  <c r="K1251" i="1"/>
  <c r="K1249" i="1"/>
  <c r="K1247" i="1"/>
  <c r="K1245" i="1"/>
  <c r="K1243" i="1"/>
  <c r="K1241" i="1"/>
  <c r="K1239" i="1"/>
  <c r="K1237" i="1"/>
  <c r="K1231" i="1"/>
  <c r="K1229" i="1"/>
  <c r="K1227" i="1"/>
  <c r="K1225" i="1"/>
  <c r="K1223" i="1"/>
  <c r="K1221" i="1"/>
  <c r="K1219" i="1"/>
  <c r="K1217" i="1"/>
  <c r="K1215" i="1"/>
  <c r="K1213" i="1"/>
  <c r="K1211" i="1"/>
  <c r="K1209" i="1"/>
  <c r="K1207" i="1"/>
  <c r="K1205" i="1"/>
  <c r="K1203" i="1"/>
  <c r="K1201" i="1"/>
  <c r="K1199" i="1"/>
  <c r="K1197" i="1"/>
  <c r="K1195" i="1"/>
  <c r="K1193" i="1"/>
  <c r="K1191" i="1"/>
  <c r="K1189" i="1"/>
  <c r="K1187" i="1"/>
  <c r="K1185" i="1"/>
  <c r="K1183" i="1"/>
  <c r="K1181" i="1"/>
  <c r="K1179" i="1"/>
  <c r="K1177" i="1"/>
  <c r="K1175" i="1"/>
  <c r="K1173" i="1"/>
  <c r="K1171" i="1"/>
  <c r="K1169" i="1"/>
  <c r="K1167" i="1"/>
  <c r="K1165" i="1"/>
  <c r="K1163" i="1"/>
  <c r="K1161" i="1"/>
  <c r="K1159" i="1"/>
  <c r="K1157" i="1"/>
  <c r="K1155" i="1"/>
  <c r="K1153" i="1"/>
  <c r="K1151" i="1"/>
  <c r="K1149" i="1"/>
  <c r="K1147" i="1"/>
  <c r="K1145" i="1"/>
  <c r="K1143" i="1"/>
  <c r="K1141" i="1"/>
  <c r="K1139" i="1"/>
  <c r="K1137" i="1"/>
  <c r="K1135" i="1"/>
  <c r="K1133" i="1"/>
  <c r="K1131" i="1"/>
  <c r="K1129" i="1"/>
  <c r="K1127" i="1"/>
  <c r="K1125" i="1"/>
  <c r="K1123" i="1"/>
  <c r="K1121" i="1"/>
  <c r="K1119" i="1"/>
  <c r="K1117" i="1"/>
  <c r="K1115" i="1"/>
  <c r="K1113" i="1"/>
  <c r="K1111" i="1"/>
  <c r="K1109" i="1"/>
  <c r="K1107" i="1"/>
  <c r="K1105" i="1"/>
  <c r="K1103" i="1"/>
  <c r="K1101" i="1"/>
  <c r="K1099" i="1"/>
  <c r="K1097" i="1"/>
  <c r="K1095" i="1"/>
  <c r="K1093" i="1"/>
  <c r="K1091" i="1"/>
  <c r="K1089" i="1"/>
  <c r="K1087" i="1"/>
  <c r="K1085" i="1"/>
  <c r="K1083" i="1"/>
  <c r="K1081" i="1"/>
  <c r="K1079" i="1"/>
  <c r="K1077" i="1"/>
  <c r="K1075" i="1"/>
  <c r="K1073" i="1"/>
  <c r="K1071" i="1"/>
  <c r="K1069" i="1"/>
  <c r="K1067" i="1"/>
  <c r="K1065" i="1"/>
  <c r="K1063" i="1"/>
  <c r="K1061" i="1"/>
  <c r="K1059" i="1"/>
  <c r="K1057" i="1"/>
  <c r="K1055" i="1"/>
  <c r="K1053" i="1"/>
  <c r="K1051" i="1"/>
  <c r="K1049" i="1"/>
  <c r="K1047" i="1"/>
  <c r="K1045" i="1"/>
  <c r="K1043" i="1"/>
  <c r="K1041" i="1"/>
  <c r="K1039" i="1"/>
  <c r="K1037" i="1"/>
  <c r="K1035" i="1"/>
  <c r="K1033" i="1"/>
  <c r="K1031" i="1"/>
  <c r="K1029" i="1"/>
  <c r="K1027" i="1"/>
  <c r="K1025" i="1"/>
  <c r="K1023" i="1"/>
  <c r="K1021" i="1"/>
  <c r="K1019" i="1"/>
  <c r="K1017" i="1"/>
  <c r="K1015" i="1"/>
  <c r="K1013" i="1"/>
  <c r="K1011" i="1"/>
  <c r="K1009" i="1"/>
  <c r="K1007" i="1"/>
  <c r="K1005" i="1"/>
  <c r="K1003" i="1"/>
  <c r="K1001" i="1"/>
  <c r="K999" i="1"/>
  <c r="K997" i="1"/>
  <c r="K995" i="1"/>
  <c r="K983" i="1"/>
  <c r="K981" i="1"/>
  <c r="K979" i="1"/>
  <c r="K977" i="1"/>
  <c r="K975" i="1"/>
  <c r="K973" i="1"/>
  <c r="K971" i="1"/>
  <c r="K969" i="1"/>
  <c r="K967" i="1"/>
  <c r="K965" i="1"/>
  <c r="K963" i="1"/>
  <c r="K961" i="1"/>
  <c r="K959" i="1"/>
  <c r="K957" i="1"/>
  <c r="K955" i="1"/>
  <c r="K953" i="1"/>
  <c r="K947" i="1"/>
  <c r="K945" i="1"/>
  <c r="K943" i="1"/>
  <c r="K941" i="1"/>
  <c r="K937" i="1"/>
  <c r="K931" i="1"/>
  <c r="K929" i="1"/>
  <c r="K927" i="1"/>
  <c r="K925" i="1"/>
  <c r="K923" i="1"/>
  <c r="K921" i="1"/>
  <c r="K919" i="1"/>
  <c r="K917" i="1"/>
  <c r="K915" i="1"/>
  <c r="K879" i="1"/>
  <c r="K877" i="1"/>
  <c r="K875" i="1"/>
  <c r="K873" i="1"/>
  <c r="K871" i="1"/>
  <c r="K865" i="1"/>
  <c r="K863" i="1"/>
  <c r="K861" i="1"/>
  <c r="K859" i="1"/>
  <c r="K857" i="1"/>
  <c r="K855" i="1"/>
  <c r="K853" i="1"/>
  <c r="K851" i="1"/>
  <c r="K849" i="1"/>
  <c r="K847" i="1"/>
  <c r="K845" i="1"/>
  <c r="K843" i="1"/>
  <c r="K841" i="1"/>
  <c r="K839" i="1"/>
  <c r="K837" i="1"/>
  <c r="K835" i="1"/>
  <c r="K833" i="1"/>
  <c r="K831" i="1"/>
  <c r="K829" i="1"/>
  <c r="K827" i="1"/>
  <c r="K825" i="1"/>
  <c r="K823" i="1"/>
  <c r="K821" i="1"/>
  <c r="K807" i="1"/>
  <c r="K805" i="1"/>
  <c r="K803" i="1"/>
  <c r="K801" i="1"/>
  <c r="K799" i="1"/>
  <c r="K797" i="1"/>
  <c r="K795" i="1"/>
  <c r="K791" i="1"/>
  <c r="K789" i="1"/>
  <c r="K787" i="1"/>
  <c r="K781" i="1"/>
  <c r="K779" i="1"/>
  <c r="K777" i="1"/>
  <c r="K775" i="1"/>
  <c r="K767" i="1"/>
  <c r="K765" i="1"/>
  <c r="K763" i="1"/>
  <c r="K761" i="1"/>
  <c r="K759" i="1"/>
  <c r="K757" i="1"/>
  <c r="K755" i="1"/>
  <c r="K753" i="1"/>
  <c r="K751" i="1"/>
  <c r="K749" i="1"/>
  <c r="K747" i="1"/>
  <c r="K737" i="1"/>
  <c r="K735" i="1"/>
  <c r="K733" i="1"/>
  <c r="K731" i="1"/>
  <c r="K729" i="1"/>
  <c r="K727" i="1"/>
  <c r="K725" i="1"/>
  <c r="K723" i="1"/>
  <c r="K721" i="1"/>
  <c r="K719" i="1"/>
  <c r="K717" i="1"/>
  <c r="K715" i="1"/>
  <c r="K713" i="1"/>
  <c r="K711" i="1"/>
  <c r="K709" i="1"/>
  <c r="K707" i="1"/>
  <c r="K705" i="1"/>
  <c r="K703" i="1"/>
  <c r="K701" i="1"/>
  <c r="K699" i="1"/>
  <c r="K697" i="1"/>
  <c r="K683" i="1"/>
  <c r="K681" i="1"/>
  <c r="K675" i="1"/>
  <c r="K673" i="1"/>
  <c r="K671" i="1"/>
  <c r="K669" i="1"/>
  <c r="K667" i="1"/>
  <c r="K665" i="1"/>
  <c r="K663" i="1"/>
  <c r="K651" i="1"/>
  <c r="K649" i="1"/>
  <c r="K647" i="1"/>
  <c r="K645" i="1"/>
  <c r="K643" i="1"/>
  <c r="K635" i="1"/>
  <c r="K633" i="1"/>
  <c r="K631" i="1"/>
  <c r="K629" i="1"/>
  <c r="K627" i="1"/>
  <c r="K625" i="1"/>
  <c r="K623" i="1"/>
  <c r="K621" i="1"/>
  <c r="K619" i="1"/>
  <c r="K617" i="1"/>
  <c r="K615" i="1"/>
  <c r="K613" i="1"/>
  <c r="K611" i="1"/>
  <c r="K609" i="1"/>
  <c r="K607" i="1"/>
  <c r="K605" i="1"/>
  <c r="K603" i="1"/>
  <c r="K593" i="1"/>
  <c r="K591" i="1"/>
  <c r="K589" i="1"/>
  <c r="K587" i="1"/>
  <c r="K585" i="1"/>
  <c r="K583" i="1"/>
  <c r="K581" i="1"/>
  <c r="K579" i="1"/>
  <c r="K577" i="1"/>
  <c r="K575" i="1"/>
  <c r="K573" i="1"/>
  <c r="K571" i="1"/>
  <c r="K569" i="1"/>
  <c r="K567" i="1"/>
  <c r="K565" i="1"/>
  <c r="K563" i="1"/>
  <c r="K561" i="1"/>
  <c r="K559" i="1"/>
  <c r="K557" i="1"/>
  <c r="K555" i="1"/>
  <c r="K553" i="1"/>
  <c r="K551" i="1"/>
  <c r="K549" i="1"/>
  <c r="K547" i="1"/>
  <c r="K545" i="1"/>
  <c r="K543" i="1"/>
  <c r="K541" i="1"/>
  <c r="K539" i="1"/>
  <c r="K537" i="1"/>
  <c r="K535" i="1"/>
  <c r="K533" i="1"/>
  <c r="K531" i="1"/>
  <c r="K529" i="1"/>
  <c r="K527" i="1"/>
  <c r="K525" i="1"/>
  <c r="K523" i="1"/>
  <c r="K521" i="1"/>
  <c r="K519" i="1"/>
  <c r="K517" i="1"/>
  <c r="K515" i="1"/>
  <c r="K511" i="1"/>
  <c r="K509" i="1"/>
  <c r="K507" i="1"/>
  <c r="K505" i="1"/>
  <c r="K503" i="1"/>
  <c r="K501" i="1"/>
  <c r="K499" i="1"/>
  <c r="K497" i="1"/>
  <c r="K491" i="1"/>
  <c r="K489" i="1"/>
  <c r="K487" i="1"/>
  <c r="K475" i="1"/>
  <c r="K473" i="1"/>
  <c r="K471" i="1"/>
  <c r="K469" i="1"/>
  <c r="K467" i="1"/>
  <c r="K465" i="1"/>
  <c r="K463" i="1"/>
  <c r="K461" i="1"/>
  <c r="K459" i="1"/>
  <c r="K457" i="1"/>
  <c r="K455" i="1"/>
  <c r="K453" i="1"/>
  <c r="K451" i="1"/>
  <c r="K449" i="1"/>
  <c r="K447" i="1"/>
  <c r="K445" i="1"/>
  <c r="K443" i="1"/>
  <c r="K441" i="1"/>
  <c r="K439" i="1"/>
  <c r="K437" i="1"/>
  <c r="K435" i="1"/>
  <c r="K433" i="1"/>
  <c r="K407" i="1"/>
  <c r="K405" i="1"/>
  <c r="K403" i="1"/>
  <c r="K401" i="1"/>
  <c r="K399" i="1"/>
  <c r="K397" i="1"/>
  <c r="K395" i="1"/>
  <c r="K379" i="1"/>
  <c r="K361" i="1"/>
  <c r="K359" i="1"/>
  <c r="K357" i="1"/>
  <c r="K355" i="1"/>
  <c r="K353" i="1"/>
  <c r="K351" i="1"/>
  <c r="K349" i="1"/>
  <c r="K347" i="1"/>
  <c r="K345" i="1"/>
  <c r="K343" i="1"/>
  <c r="K341" i="1"/>
  <c r="K339" i="1"/>
  <c r="K327" i="1"/>
  <c r="K325" i="1"/>
  <c r="K323" i="1"/>
  <c r="K321" i="1"/>
  <c r="K319" i="1"/>
  <c r="K317" i="1"/>
  <c r="K315" i="1"/>
  <c r="K313" i="1"/>
  <c r="K311" i="1"/>
  <c r="K309" i="1"/>
  <c r="K307" i="1"/>
  <c r="K305" i="1"/>
  <c r="K303" i="1"/>
  <c r="K301" i="1"/>
  <c r="K299" i="1"/>
  <c r="K297" i="1"/>
  <c r="K295" i="1"/>
  <c r="K293" i="1"/>
  <c r="K291" i="1"/>
  <c r="K289" i="1"/>
  <c r="K287" i="1"/>
  <c r="K285" i="1"/>
  <c r="K283" i="1"/>
  <c r="K281" i="1"/>
  <c r="K279" i="1"/>
  <c r="K277" i="1"/>
  <c r="K275" i="1"/>
  <c r="K273" i="1"/>
  <c r="K271" i="1"/>
  <c r="K269" i="1"/>
  <c r="K267" i="1"/>
  <c r="K265" i="1"/>
  <c r="K263" i="1"/>
  <c r="K261" i="1"/>
  <c r="K259" i="1"/>
  <c r="K257" i="1"/>
  <c r="K255" i="1"/>
  <c r="K253" i="1"/>
  <c r="K251" i="1"/>
  <c r="K249" i="1"/>
  <c r="K247" i="1"/>
  <c r="K245" i="1"/>
  <c r="K243" i="1"/>
  <c r="K241" i="1"/>
  <c r="K239" i="1"/>
  <c r="K237" i="1"/>
  <c r="K235" i="1"/>
  <c r="K233" i="1"/>
  <c r="K231" i="1"/>
  <c r="K229" i="1"/>
  <c r="K225" i="1"/>
  <c r="K223" i="1"/>
  <c r="K221" i="1"/>
  <c r="K219" i="1"/>
  <c r="K217" i="1"/>
  <c r="K215" i="1"/>
  <c r="K213" i="1"/>
  <c r="K211" i="1"/>
  <c r="K209" i="1"/>
  <c r="K207" i="1"/>
  <c r="K205" i="1"/>
  <c r="K203" i="1"/>
  <c r="K201" i="1"/>
  <c r="K193" i="1"/>
  <c r="K191" i="1"/>
  <c r="K189" i="1"/>
  <c r="K187" i="1"/>
  <c r="K185" i="1"/>
  <c r="K183" i="1"/>
  <c r="K181" i="1"/>
  <c r="K179" i="1"/>
  <c r="K177" i="1"/>
  <c r="K175" i="1"/>
  <c r="K173" i="1"/>
  <c r="K165" i="1"/>
  <c r="K163" i="1"/>
  <c r="K161" i="1"/>
  <c r="K159" i="1"/>
  <c r="K157" i="1"/>
  <c r="K155" i="1"/>
  <c r="K153" i="1"/>
  <c r="K151" i="1"/>
  <c r="K141" i="1"/>
  <c r="K139" i="1"/>
  <c r="K137" i="1"/>
  <c r="K135" i="1"/>
  <c r="K133" i="1"/>
  <c r="K131" i="1"/>
  <c r="K129" i="1"/>
  <c r="K127" i="1"/>
  <c r="K125" i="1"/>
  <c r="K123" i="1"/>
  <c r="K121" i="1"/>
  <c r="K119" i="1"/>
  <c r="K117" i="1"/>
  <c r="K115" i="1"/>
  <c r="K113" i="1"/>
  <c r="K111" i="1"/>
  <c r="K109" i="1"/>
  <c r="K107" i="1"/>
  <c r="K105" i="1"/>
  <c r="K103" i="1"/>
  <c r="K101" i="1"/>
  <c r="K99" i="1"/>
  <c r="K97" i="1"/>
  <c r="K95" i="1"/>
  <c r="K93" i="1"/>
  <c r="K91" i="1"/>
  <c r="K89" i="1"/>
  <c r="K87" i="1"/>
  <c r="K85" i="1"/>
  <c r="K83" i="1"/>
  <c r="K81" i="1"/>
  <c r="K79" i="1"/>
  <c r="K77" i="1"/>
  <c r="K75" i="1"/>
  <c r="K73" i="1"/>
  <c r="K71" i="1"/>
  <c r="K69" i="1"/>
  <c r="K67" i="1"/>
  <c r="K65" i="1"/>
  <c r="K63" i="1"/>
  <c r="K61" i="1"/>
  <c r="K59" i="1"/>
  <c r="K57" i="1"/>
  <c r="K55" i="1"/>
  <c r="K53" i="1"/>
  <c r="K51" i="1"/>
  <c r="K49" i="1"/>
  <c r="K47" i="1"/>
  <c r="K45" i="1"/>
  <c r="K43" i="1"/>
  <c r="K41" i="1"/>
  <c r="K39" i="1"/>
  <c r="K37" i="1"/>
  <c r="K35" i="1"/>
  <c r="K33" i="1"/>
  <c r="K31" i="1"/>
  <c r="K29" i="1"/>
  <c r="K27" i="1"/>
  <c r="K25" i="1"/>
  <c r="K23" i="1"/>
  <c r="K21" i="1"/>
  <c r="K19" i="1"/>
  <c r="K17" i="1"/>
  <c r="K15" i="1"/>
  <c r="K13" i="1"/>
  <c r="K11" i="1"/>
  <c r="K9" i="1"/>
  <c r="K7" i="1"/>
  <c r="K5" i="1"/>
  <c r="K3" i="1"/>
  <c r="R1501" i="1"/>
  <c r="R1499" i="1"/>
  <c r="R1497" i="1"/>
  <c r="R1495" i="1"/>
  <c r="R1493" i="1"/>
  <c r="R1491" i="1"/>
  <c r="R1489" i="1"/>
  <c r="R1487" i="1"/>
  <c r="R1485" i="1"/>
  <c r="R1483" i="1"/>
  <c r="R1481" i="1"/>
  <c r="R1479" i="1"/>
  <c r="R1477" i="1"/>
  <c r="R1475" i="1"/>
  <c r="R1473" i="1"/>
  <c r="R1471" i="1"/>
  <c r="R1469" i="1"/>
  <c r="R1467" i="1"/>
  <c r="R1461" i="1"/>
  <c r="R1459" i="1"/>
  <c r="R1457" i="1"/>
  <c r="R1455" i="1"/>
  <c r="R1453" i="1"/>
  <c r="R1451" i="1"/>
  <c r="R1449" i="1"/>
  <c r="R1447" i="1"/>
  <c r="R1445" i="1"/>
  <c r="R1443" i="1"/>
  <c r="R1441" i="1"/>
  <c r="R1439" i="1"/>
  <c r="R1437" i="1"/>
  <c r="R1435" i="1"/>
  <c r="R1433" i="1"/>
  <c r="R1431" i="1"/>
  <c r="R1429" i="1"/>
  <c r="R1427" i="1"/>
  <c r="R1425" i="1"/>
  <c r="R1423" i="1"/>
  <c r="R1419" i="1"/>
  <c r="R1417" i="1"/>
  <c r="R1415" i="1"/>
  <c r="R1413" i="1"/>
  <c r="R1411" i="1"/>
  <c r="R1409" i="1"/>
  <c r="R1407" i="1"/>
  <c r="R1405" i="1"/>
  <c r="R1403" i="1"/>
  <c r="R1401" i="1"/>
  <c r="R1399" i="1"/>
  <c r="R1397" i="1"/>
  <c r="R1395" i="1"/>
  <c r="R1393" i="1"/>
  <c r="R1391" i="1"/>
  <c r="R1387" i="1"/>
  <c r="R1385" i="1"/>
  <c r="R1383" i="1"/>
  <c r="R1381" i="1"/>
  <c r="R1379" i="1"/>
  <c r="R1377" i="1"/>
  <c r="R1375" i="1"/>
  <c r="R1373" i="1"/>
  <c r="R1371" i="1"/>
  <c r="R1369" i="1"/>
  <c r="R1367" i="1"/>
  <c r="R1365" i="1"/>
  <c r="R1363" i="1"/>
  <c r="R1361" i="1"/>
  <c r="R1359" i="1"/>
  <c r="R1357" i="1"/>
  <c r="R1355" i="1"/>
  <c r="R1353" i="1"/>
  <c r="R1351" i="1"/>
  <c r="R1349" i="1"/>
  <c r="R1347" i="1"/>
  <c r="R1345" i="1"/>
  <c r="R1343" i="1"/>
  <c r="R1341" i="1"/>
  <c r="R1339" i="1"/>
  <c r="R1337" i="1"/>
  <c r="R1335" i="1"/>
  <c r="R1333" i="1"/>
  <c r="R1331" i="1"/>
  <c r="R1329" i="1"/>
  <c r="R1327" i="1"/>
  <c r="R1325" i="1"/>
  <c r="R1323" i="1"/>
  <c r="R1321" i="1"/>
  <c r="R1319" i="1"/>
  <c r="R1317" i="1"/>
  <c r="R1315" i="1"/>
  <c r="R1313" i="1"/>
  <c r="R1311" i="1"/>
  <c r="R1309" i="1"/>
  <c r="R1307" i="1"/>
  <c r="R1305" i="1"/>
  <c r="R1303" i="1"/>
  <c r="R1301" i="1"/>
  <c r="R1299" i="1"/>
  <c r="R1297" i="1"/>
  <c r="R1295" i="1"/>
  <c r="R1293" i="1"/>
  <c r="R1291" i="1"/>
  <c r="R1289" i="1"/>
  <c r="R1287" i="1"/>
  <c r="R1285" i="1"/>
  <c r="R1283" i="1"/>
  <c r="R1281" i="1"/>
  <c r="R1279" i="1"/>
  <c r="R1277" i="1"/>
  <c r="R1275" i="1"/>
  <c r="R1273" i="1"/>
  <c r="R1267" i="1"/>
  <c r="R1265" i="1"/>
  <c r="R1263" i="1"/>
  <c r="R1261" i="1"/>
  <c r="R1259" i="1"/>
  <c r="R1257" i="1"/>
  <c r="R1255" i="1"/>
  <c r="R1253" i="1"/>
  <c r="R1251" i="1"/>
  <c r="R1249" i="1"/>
  <c r="R1247" i="1"/>
  <c r="R1245" i="1"/>
  <c r="R1243" i="1"/>
  <c r="R1241" i="1"/>
  <c r="R1239" i="1"/>
  <c r="R1237" i="1"/>
  <c r="R1231" i="1"/>
  <c r="R1229" i="1"/>
  <c r="R1227" i="1"/>
  <c r="R1225" i="1"/>
  <c r="R1223" i="1"/>
  <c r="R1221" i="1"/>
  <c r="R1219" i="1"/>
  <c r="R1217" i="1"/>
  <c r="R1215" i="1"/>
  <c r="R1213" i="1"/>
  <c r="R1211" i="1"/>
  <c r="R1209" i="1"/>
  <c r="R1207" i="1"/>
  <c r="R1205" i="1"/>
  <c r="R1203" i="1"/>
  <c r="R1201" i="1"/>
  <c r="R1199" i="1"/>
  <c r="R1197" i="1"/>
  <c r="R1195" i="1"/>
  <c r="R1193" i="1"/>
  <c r="R1191" i="1"/>
  <c r="R1189" i="1"/>
  <c r="R1187" i="1"/>
  <c r="R1185" i="1"/>
  <c r="R1183" i="1"/>
  <c r="R1181" i="1"/>
  <c r="R1179" i="1"/>
  <c r="R1177" i="1"/>
  <c r="R1175" i="1"/>
  <c r="R1173" i="1"/>
  <c r="R1171" i="1"/>
  <c r="R1169" i="1"/>
  <c r="R1167" i="1"/>
  <c r="R1165" i="1"/>
  <c r="R1163" i="1"/>
  <c r="R1161" i="1"/>
  <c r="R1159" i="1"/>
  <c r="R1157" i="1"/>
  <c r="R1155" i="1"/>
  <c r="R1153" i="1"/>
  <c r="R1151" i="1"/>
  <c r="R1149" i="1"/>
  <c r="R1147" i="1"/>
  <c r="R1145" i="1"/>
  <c r="R1143" i="1"/>
  <c r="R1141" i="1"/>
  <c r="R1139" i="1"/>
  <c r="R1137" i="1"/>
  <c r="R1135" i="1"/>
  <c r="R1133" i="1"/>
  <c r="R1131" i="1"/>
  <c r="R1129" i="1"/>
  <c r="R1127" i="1"/>
  <c r="R1125" i="1"/>
  <c r="R1123" i="1"/>
  <c r="R1121" i="1"/>
  <c r="R1119" i="1"/>
  <c r="R1117" i="1"/>
  <c r="R1115" i="1"/>
  <c r="R1113" i="1"/>
  <c r="R1111" i="1"/>
  <c r="R1109" i="1"/>
  <c r="R1107" i="1"/>
  <c r="R1105" i="1"/>
  <c r="R1103" i="1"/>
  <c r="R1101" i="1"/>
  <c r="R1099" i="1"/>
  <c r="R1097" i="1"/>
  <c r="R1095" i="1"/>
  <c r="R1093" i="1"/>
  <c r="R1091" i="1"/>
  <c r="R1089" i="1"/>
  <c r="R1087" i="1"/>
  <c r="R1085" i="1"/>
  <c r="R1083" i="1"/>
  <c r="R1081" i="1"/>
  <c r="R1079" i="1"/>
  <c r="R1077" i="1"/>
  <c r="R1075" i="1"/>
  <c r="R1073" i="1"/>
  <c r="R1071" i="1"/>
  <c r="R1069" i="1"/>
  <c r="R1067" i="1"/>
  <c r="R1065" i="1"/>
  <c r="R1063" i="1"/>
  <c r="R1061" i="1"/>
  <c r="R1059" i="1"/>
  <c r="R1057" i="1"/>
  <c r="R1055" i="1"/>
  <c r="R1053" i="1"/>
  <c r="R1051" i="1"/>
  <c r="R1049" i="1"/>
  <c r="R1047" i="1"/>
  <c r="R1045" i="1"/>
  <c r="R1043" i="1"/>
  <c r="R1041" i="1"/>
  <c r="R1039" i="1"/>
  <c r="R1037" i="1"/>
  <c r="R1035" i="1"/>
  <c r="R1033" i="1"/>
  <c r="R1031" i="1"/>
  <c r="R1029" i="1"/>
  <c r="R1027" i="1"/>
  <c r="R1025" i="1"/>
  <c r="R1023" i="1"/>
  <c r="R1021" i="1"/>
  <c r="R1019" i="1"/>
  <c r="R1017" i="1"/>
  <c r="R1015" i="1"/>
  <c r="R1013" i="1"/>
  <c r="R1011" i="1"/>
  <c r="R1009" i="1"/>
  <c r="R1007" i="1"/>
  <c r="R1005" i="1"/>
  <c r="R1003" i="1"/>
  <c r="R1001" i="1"/>
  <c r="R999" i="1"/>
  <c r="R997" i="1"/>
  <c r="R995" i="1"/>
  <c r="R983" i="1"/>
  <c r="R981" i="1"/>
  <c r="R979" i="1"/>
  <c r="R977" i="1"/>
  <c r="R975" i="1"/>
  <c r="R973" i="1"/>
  <c r="R971" i="1"/>
  <c r="R969" i="1"/>
  <c r="R967" i="1"/>
  <c r="R965" i="1"/>
  <c r="R963" i="1"/>
  <c r="R961" i="1"/>
  <c r="R959" i="1"/>
  <c r="R957" i="1"/>
  <c r="R955" i="1"/>
  <c r="R953" i="1"/>
  <c r="R947" i="1"/>
  <c r="R945" i="1"/>
  <c r="R943" i="1"/>
  <c r="R941" i="1"/>
  <c r="R937" i="1"/>
  <c r="R931" i="1"/>
  <c r="R929" i="1"/>
  <c r="R927" i="1"/>
  <c r="R925" i="1"/>
  <c r="R923" i="1"/>
  <c r="R921" i="1"/>
  <c r="R919" i="1"/>
  <c r="R917" i="1"/>
  <c r="R915" i="1"/>
  <c r="R879" i="1"/>
  <c r="R877" i="1"/>
  <c r="R875" i="1"/>
  <c r="R873" i="1"/>
  <c r="R871" i="1"/>
  <c r="R865" i="1"/>
  <c r="R863" i="1"/>
  <c r="R861" i="1"/>
  <c r="R859" i="1"/>
  <c r="R857" i="1"/>
  <c r="R855" i="1"/>
  <c r="R853" i="1"/>
  <c r="R851" i="1"/>
  <c r="R849" i="1"/>
  <c r="R847" i="1"/>
  <c r="R845" i="1"/>
  <c r="R843" i="1"/>
  <c r="R841" i="1"/>
  <c r="R839" i="1"/>
  <c r="R837" i="1"/>
  <c r="R835" i="1"/>
  <c r="R833" i="1"/>
  <c r="R831" i="1"/>
  <c r="R829" i="1"/>
  <c r="R827" i="1"/>
  <c r="R825" i="1"/>
  <c r="R823" i="1"/>
  <c r="R821" i="1"/>
  <c r="R807" i="1"/>
  <c r="R805" i="1"/>
  <c r="R803" i="1"/>
  <c r="R801" i="1"/>
  <c r="R799" i="1"/>
  <c r="R797" i="1"/>
  <c r="R795" i="1"/>
  <c r="R791" i="1"/>
  <c r="R789" i="1"/>
  <c r="R787" i="1"/>
  <c r="R781" i="1"/>
  <c r="R779" i="1"/>
  <c r="R777" i="1"/>
  <c r="R775" i="1"/>
  <c r="R767" i="1"/>
  <c r="R765" i="1"/>
  <c r="R763" i="1"/>
  <c r="R761" i="1"/>
  <c r="R759" i="1"/>
  <c r="R757" i="1"/>
  <c r="R755" i="1"/>
  <c r="R753" i="1"/>
  <c r="R751" i="1"/>
  <c r="R749" i="1"/>
  <c r="R747" i="1"/>
  <c r="R737" i="1"/>
  <c r="R735" i="1"/>
  <c r="R733" i="1"/>
  <c r="R731" i="1"/>
  <c r="R729" i="1"/>
  <c r="R727" i="1"/>
  <c r="R725" i="1"/>
  <c r="R723" i="1"/>
  <c r="R721" i="1"/>
  <c r="R719" i="1"/>
  <c r="R717" i="1"/>
  <c r="R715" i="1"/>
  <c r="R713" i="1"/>
  <c r="R711" i="1"/>
  <c r="R709" i="1"/>
  <c r="R707" i="1"/>
  <c r="R705" i="1"/>
  <c r="R703" i="1"/>
  <c r="R701" i="1"/>
  <c r="R699" i="1"/>
  <c r="R697" i="1"/>
  <c r="R683" i="1"/>
  <c r="R681" i="1"/>
  <c r="R675" i="1"/>
  <c r="R673" i="1"/>
  <c r="R671" i="1"/>
  <c r="R669" i="1"/>
  <c r="R667" i="1"/>
  <c r="R665" i="1"/>
  <c r="R663" i="1"/>
  <c r="R651" i="1"/>
  <c r="R649" i="1"/>
  <c r="R647" i="1"/>
  <c r="R645" i="1"/>
  <c r="R643" i="1"/>
  <c r="R635" i="1"/>
  <c r="R633" i="1"/>
  <c r="R631" i="1"/>
  <c r="R629" i="1"/>
  <c r="R627" i="1"/>
  <c r="R625" i="1"/>
  <c r="R623" i="1"/>
  <c r="R621" i="1"/>
  <c r="R619" i="1"/>
  <c r="R617" i="1"/>
  <c r="R615" i="1"/>
  <c r="R613" i="1"/>
  <c r="R611" i="1"/>
  <c r="R609" i="1"/>
  <c r="R607" i="1"/>
  <c r="R605" i="1"/>
  <c r="R603" i="1"/>
  <c r="R593" i="1"/>
  <c r="R591" i="1"/>
  <c r="R589" i="1"/>
  <c r="R587" i="1"/>
  <c r="R585" i="1"/>
  <c r="R583" i="1"/>
  <c r="R581" i="1"/>
  <c r="R579" i="1"/>
  <c r="R577" i="1"/>
  <c r="R575" i="1"/>
  <c r="R573" i="1"/>
  <c r="R571" i="1"/>
  <c r="R569" i="1"/>
  <c r="R567" i="1"/>
  <c r="R565" i="1"/>
  <c r="R563" i="1"/>
  <c r="R561" i="1"/>
  <c r="R559" i="1"/>
  <c r="R557" i="1"/>
  <c r="R555" i="1"/>
  <c r="R553" i="1"/>
  <c r="R551" i="1"/>
  <c r="R549" i="1"/>
  <c r="R547" i="1"/>
  <c r="R545" i="1"/>
  <c r="R543" i="1"/>
  <c r="R541" i="1"/>
  <c r="R539" i="1"/>
  <c r="R537" i="1"/>
  <c r="R535" i="1"/>
  <c r="R533" i="1"/>
  <c r="R531" i="1"/>
  <c r="R529" i="1"/>
  <c r="R527" i="1"/>
  <c r="R525" i="1"/>
  <c r="R523" i="1"/>
  <c r="R521" i="1"/>
  <c r="R519" i="1"/>
  <c r="R517" i="1"/>
  <c r="R515" i="1"/>
  <c r="R511" i="1"/>
  <c r="R509" i="1"/>
  <c r="R507" i="1"/>
  <c r="R505" i="1"/>
  <c r="R503" i="1"/>
  <c r="R501" i="1"/>
  <c r="R499" i="1"/>
  <c r="R497" i="1"/>
  <c r="R491" i="1"/>
  <c r="R489" i="1"/>
  <c r="R487" i="1"/>
  <c r="R475" i="1"/>
  <c r="R473" i="1"/>
  <c r="R471" i="1"/>
  <c r="R469" i="1"/>
  <c r="R467" i="1"/>
  <c r="R465" i="1"/>
  <c r="R463" i="1"/>
  <c r="R461" i="1"/>
  <c r="R459" i="1"/>
  <c r="R457" i="1"/>
  <c r="R455" i="1"/>
  <c r="R453" i="1"/>
  <c r="R451" i="1"/>
  <c r="R449" i="1"/>
  <c r="R447" i="1"/>
  <c r="R445" i="1"/>
  <c r="R443" i="1"/>
  <c r="R441" i="1"/>
  <c r="R439" i="1"/>
  <c r="R437" i="1"/>
  <c r="R435" i="1"/>
  <c r="R433" i="1"/>
  <c r="R407" i="1"/>
  <c r="R405" i="1"/>
  <c r="R403" i="1"/>
  <c r="R401" i="1"/>
  <c r="R399" i="1"/>
  <c r="R397" i="1"/>
  <c r="R395" i="1"/>
  <c r="R379" i="1"/>
  <c r="R361" i="1"/>
  <c r="R359" i="1"/>
  <c r="R357" i="1"/>
  <c r="R355" i="1"/>
  <c r="R353" i="1"/>
  <c r="R351" i="1"/>
  <c r="R349" i="1"/>
  <c r="R347" i="1"/>
  <c r="R345" i="1"/>
  <c r="R343" i="1"/>
  <c r="R341" i="1"/>
  <c r="R339" i="1"/>
  <c r="R327" i="1"/>
  <c r="R325" i="1"/>
  <c r="R323" i="1"/>
  <c r="R321" i="1"/>
  <c r="R319" i="1"/>
  <c r="R317" i="1"/>
  <c r="R315" i="1"/>
  <c r="R313" i="1"/>
  <c r="R311" i="1"/>
  <c r="R309" i="1"/>
  <c r="R307" i="1"/>
  <c r="R305" i="1"/>
  <c r="R303" i="1"/>
  <c r="R301" i="1"/>
  <c r="R299" i="1"/>
  <c r="R297" i="1"/>
  <c r="R295" i="1"/>
  <c r="R293" i="1"/>
  <c r="R291" i="1"/>
  <c r="R289" i="1"/>
  <c r="R287" i="1"/>
  <c r="R285" i="1"/>
  <c r="R283" i="1"/>
  <c r="R281" i="1"/>
  <c r="R279" i="1"/>
  <c r="R277" i="1"/>
  <c r="R275" i="1"/>
  <c r="R273" i="1"/>
  <c r="R271" i="1"/>
  <c r="R269" i="1"/>
  <c r="R267" i="1"/>
  <c r="R265" i="1"/>
  <c r="R263" i="1"/>
  <c r="R261" i="1"/>
  <c r="R259" i="1"/>
  <c r="R257" i="1"/>
  <c r="R255" i="1"/>
  <c r="R253" i="1"/>
  <c r="R251" i="1"/>
  <c r="R249" i="1"/>
  <c r="R247" i="1"/>
  <c r="R245" i="1"/>
  <c r="R243" i="1"/>
  <c r="R241" i="1"/>
  <c r="R239" i="1"/>
  <c r="R237" i="1"/>
  <c r="R235" i="1"/>
  <c r="R233" i="1"/>
  <c r="R231" i="1"/>
  <c r="R229" i="1"/>
  <c r="R225" i="1"/>
  <c r="R223" i="1"/>
  <c r="R221" i="1"/>
  <c r="R219" i="1"/>
  <c r="R217" i="1"/>
  <c r="R215" i="1"/>
  <c r="R213" i="1"/>
  <c r="R211" i="1"/>
  <c r="R209" i="1"/>
  <c r="R207" i="1"/>
  <c r="R205" i="1"/>
  <c r="R203" i="1"/>
  <c r="R201" i="1"/>
  <c r="R193" i="1"/>
  <c r="R191" i="1"/>
  <c r="R189" i="1"/>
  <c r="R187" i="1"/>
  <c r="R185" i="1"/>
  <c r="R183" i="1"/>
  <c r="R181" i="1"/>
  <c r="R179" i="1"/>
  <c r="R177" i="1"/>
  <c r="R175" i="1"/>
  <c r="R173" i="1"/>
  <c r="R165" i="1"/>
  <c r="R163" i="1"/>
  <c r="R161" i="1"/>
  <c r="R159" i="1"/>
  <c r="R157" i="1"/>
  <c r="R155" i="1"/>
  <c r="R153" i="1"/>
  <c r="R151" i="1"/>
  <c r="R141" i="1"/>
  <c r="R139" i="1"/>
  <c r="R137" i="1"/>
  <c r="R135" i="1"/>
  <c r="R133" i="1"/>
  <c r="R131" i="1"/>
  <c r="R129" i="1"/>
  <c r="R127" i="1"/>
  <c r="R125" i="1"/>
  <c r="R123" i="1"/>
  <c r="R121" i="1"/>
  <c r="R119" i="1"/>
  <c r="R117" i="1"/>
  <c r="R115" i="1"/>
  <c r="R113" i="1"/>
  <c r="R111" i="1"/>
  <c r="R109" i="1"/>
  <c r="R107" i="1"/>
  <c r="R105" i="1"/>
  <c r="R103" i="1"/>
  <c r="R101" i="1"/>
  <c r="R99" i="1"/>
  <c r="R97" i="1"/>
  <c r="R95" i="1"/>
  <c r="R93" i="1"/>
  <c r="R91" i="1"/>
  <c r="R89" i="1"/>
  <c r="R87" i="1"/>
  <c r="R85" i="1"/>
  <c r="R83" i="1"/>
  <c r="R81" i="1"/>
  <c r="R79" i="1"/>
  <c r="R77" i="1"/>
  <c r="R75" i="1"/>
  <c r="R73" i="1"/>
  <c r="R71" i="1"/>
  <c r="R69" i="1"/>
  <c r="R67" i="1"/>
  <c r="R65" i="1"/>
  <c r="R63" i="1"/>
  <c r="R61" i="1"/>
  <c r="R59" i="1"/>
  <c r="R57" i="1"/>
  <c r="R55" i="1"/>
  <c r="R53" i="1"/>
  <c r="R51" i="1"/>
  <c r="R49" i="1"/>
  <c r="R47" i="1"/>
  <c r="R45" i="1"/>
  <c r="R43" i="1"/>
  <c r="R41" i="1"/>
  <c r="R39" i="1"/>
  <c r="R37" i="1"/>
  <c r="R35" i="1"/>
  <c r="R33" i="1"/>
  <c r="R31" i="1"/>
  <c r="R29" i="1"/>
  <c r="R27" i="1"/>
  <c r="R25" i="1"/>
  <c r="R23" i="1"/>
  <c r="R21" i="1"/>
  <c r="R19" i="1"/>
  <c r="R17" i="1"/>
  <c r="R15" i="1"/>
  <c r="R13" i="1"/>
  <c r="R11" i="1"/>
  <c r="R9" i="1"/>
  <c r="R7" i="1"/>
  <c r="R5" i="1"/>
  <c r="R3" i="1"/>
  <c r="L1509" i="1" l="1"/>
  <c r="L1505" i="1"/>
  <c r="L1508" i="1"/>
  <c r="L1506" i="1"/>
  <c r="L1504" i="1"/>
  <c r="L1503" i="1"/>
  <c r="L1507" i="1"/>
  <c r="AG765" i="1" l="1"/>
  <c r="AG763" i="1"/>
  <c r="AG761" i="1"/>
  <c r="AG757" i="1"/>
  <c r="AG755" i="1"/>
  <c r="AG753" i="1"/>
  <c r="AG749" i="1"/>
  <c r="AT1355" i="1" l="1"/>
  <c r="AR1355" i="1"/>
  <c r="AQ1355" i="1"/>
  <c r="AP1355" i="1"/>
  <c r="AO1355" i="1"/>
  <c r="AN1355" i="1"/>
  <c r="AM1355" i="1"/>
  <c r="AL1355" i="1"/>
  <c r="AK1355" i="1"/>
  <c r="AJ1355" i="1"/>
  <c r="AI1355" i="1"/>
  <c r="AG1355" i="1"/>
  <c r="AF1355" i="1"/>
  <c r="AC1355" i="1"/>
  <c r="AD1355" i="1" s="1"/>
  <c r="AA1355" i="1"/>
  <c r="AB1355" i="1" s="1"/>
  <c r="Y1355" i="1"/>
  <c r="W1355" i="1"/>
  <c r="AE1355" i="1" l="1"/>
  <c r="W215" i="1"/>
  <c r="Y215" i="1"/>
  <c r="AA215" i="1"/>
  <c r="AC215" i="1"/>
  <c r="AD215" i="1" s="1"/>
  <c r="AF215" i="1"/>
  <c r="AG215" i="1"/>
  <c r="AI215" i="1"/>
  <c r="AJ215" i="1"/>
  <c r="AK215" i="1"/>
  <c r="AL215" i="1"/>
  <c r="AM215" i="1"/>
  <c r="AN215" i="1"/>
  <c r="AO215" i="1"/>
  <c r="AP215" i="1"/>
  <c r="AQ215" i="1"/>
  <c r="AR215" i="1"/>
  <c r="AT215" i="1"/>
  <c r="AE215" i="1" l="1"/>
  <c r="AB215" i="1"/>
  <c r="AG963" i="1" l="1"/>
  <c r="AF963" i="1"/>
  <c r="AB963" i="1"/>
  <c r="W963" i="1"/>
  <c r="BG962" i="1"/>
  <c r="BF962" i="1"/>
  <c r="BE962" i="1"/>
  <c r="BD962" i="1"/>
  <c r="BC962" i="1"/>
  <c r="BB962" i="1"/>
  <c r="BA962" i="1"/>
  <c r="AZ962" i="1"/>
  <c r="AY962" i="1"/>
  <c r="AX962" i="1"/>
  <c r="AW962" i="1"/>
  <c r="AV962" i="1"/>
  <c r="AG961" i="1"/>
  <c r="AF961" i="1"/>
  <c r="AB961" i="1"/>
  <c r="W961" i="1"/>
  <c r="BG960" i="1"/>
  <c r="BF960" i="1"/>
  <c r="BE960" i="1"/>
  <c r="BD960" i="1"/>
  <c r="BC960" i="1"/>
  <c r="BB960" i="1"/>
  <c r="BA960" i="1"/>
  <c r="AZ960" i="1"/>
  <c r="AY960" i="1"/>
  <c r="AX960" i="1"/>
  <c r="AW960" i="1"/>
  <c r="AV960" i="1"/>
  <c r="AG959" i="1"/>
  <c r="AF959" i="1"/>
  <c r="AB959" i="1"/>
  <c r="W959" i="1"/>
  <c r="BG958" i="1"/>
  <c r="BF958" i="1"/>
  <c r="BE958" i="1"/>
  <c r="BD958" i="1"/>
  <c r="BC958" i="1"/>
  <c r="BB958" i="1"/>
  <c r="BA958" i="1"/>
  <c r="AZ958" i="1"/>
  <c r="AY958" i="1"/>
  <c r="AX958" i="1"/>
  <c r="AW958" i="1"/>
  <c r="AV958" i="1"/>
  <c r="AG957" i="1"/>
  <c r="AF957" i="1"/>
  <c r="AB957" i="1"/>
  <c r="W957" i="1"/>
  <c r="BG956" i="1"/>
  <c r="BF956" i="1"/>
  <c r="BE956" i="1"/>
  <c r="BD956" i="1"/>
  <c r="BC956" i="1"/>
  <c r="BB956" i="1"/>
  <c r="BA956" i="1"/>
  <c r="AZ956" i="1"/>
  <c r="AY956" i="1"/>
  <c r="AX956" i="1"/>
  <c r="AW956" i="1"/>
  <c r="AV956" i="1"/>
  <c r="AG955" i="1"/>
  <c r="AF955" i="1"/>
  <c r="AB955" i="1"/>
  <c r="W955" i="1"/>
  <c r="BG954" i="1"/>
  <c r="BF954" i="1"/>
  <c r="BE954" i="1"/>
  <c r="BD954" i="1"/>
  <c r="BC954" i="1"/>
  <c r="BB954" i="1"/>
  <c r="BA954" i="1"/>
  <c r="AZ954" i="1"/>
  <c r="AY954" i="1"/>
  <c r="AX954" i="1"/>
  <c r="AW954" i="1"/>
  <c r="AV954" i="1"/>
  <c r="AG953" i="1"/>
  <c r="BG952" i="1"/>
  <c r="BF952" i="1"/>
  <c r="BE952" i="1"/>
  <c r="BD952" i="1"/>
  <c r="BC952" i="1"/>
  <c r="BB952" i="1"/>
  <c r="BA952" i="1"/>
  <c r="AZ952" i="1"/>
  <c r="AY952" i="1"/>
  <c r="AX952" i="1"/>
  <c r="AW952" i="1"/>
  <c r="AV952" i="1"/>
  <c r="AI957" i="1" l="1"/>
  <c r="AI953" i="1"/>
  <c r="AK959" i="1"/>
  <c r="AJ953" i="1"/>
  <c r="AK953" i="1"/>
  <c r="AQ953" i="1"/>
  <c r="AK957" i="1"/>
  <c r="AI963" i="1"/>
  <c r="AN953" i="1"/>
  <c r="AJ961" i="1"/>
  <c r="AP953" i="1"/>
  <c r="AK963" i="1"/>
  <c r="AQ963" i="1"/>
  <c r="Y963" i="1"/>
  <c r="AE963" i="1" s="1"/>
  <c r="AJ963" i="1"/>
  <c r="AC963" i="1"/>
  <c r="AD963" i="1" s="1"/>
  <c r="AL963" i="1"/>
  <c r="AR963" i="1"/>
  <c r="AN963" i="1"/>
  <c r="AO963" i="1"/>
  <c r="AP963" i="1"/>
  <c r="Y961" i="1"/>
  <c r="AE961" i="1" s="1"/>
  <c r="AK961" i="1"/>
  <c r="AQ961" i="1"/>
  <c r="AC961" i="1"/>
  <c r="AD961" i="1" s="1"/>
  <c r="AL961" i="1"/>
  <c r="AR961" i="1"/>
  <c r="AI961" i="1"/>
  <c r="AM961" i="1"/>
  <c r="AO961" i="1"/>
  <c r="AP961" i="1"/>
  <c r="AI959" i="1"/>
  <c r="Y959" i="1"/>
  <c r="AE959" i="1" s="1"/>
  <c r="AJ959" i="1"/>
  <c r="AM959" i="1"/>
  <c r="AC959" i="1"/>
  <c r="AD959" i="1" s="1"/>
  <c r="AN959" i="1"/>
  <c r="AO959" i="1"/>
  <c r="Y957" i="1"/>
  <c r="AE957" i="1" s="1"/>
  <c r="AJ957" i="1"/>
  <c r="AR957" i="1"/>
  <c r="AC957" i="1"/>
  <c r="AD957" i="1" s="1"/>
  <c r="AM957" i="1"/>
  <c r="AN957" i="1"/>
  <c r="AP957" i="1"/>
  <c r="AI955" i="1"/>
  <c r="AJ955" i="1"/>
  <c r="AK955" i="1"/>
  <c r="AQ955" i="1"/>
  <c r="Y955" i="1"/>
  <c r="AE955" i="1" s="1"/>
  <c r="AC955" i="1"/>
  <c r="AD955" i="1" s="1"/>
  <c r="AL955" i="1"/>
  <c r="AR955" i="1"/>
  <c r="AM955" i="1"/>
  <c r="AG713" i="1" l="1"/>
  <c r="AF713" i="1"/>
  <c r="AB713" i="1"/>
  <c r="W713" i="1"/>
  <c r="AZ712" i="1"/>
  <c r="AY712" i="1"/>
  <c r="AX712" i="1"/>
  <c r="AW712" i="1"/>
  <c r="AV712" i="1"/>
  <c r="AG711" i="1"/>
  <c r="AF711" i="1"/>
  <c r="AB711" i="1"/>
  <c r="W711" i="1"/>
  <c r="AZ710" i="1"/>
  <c r="AY710" i="1"/>
  <c r="AX710" i="1"/>
  <c r="AW710" i="1"/>
  <c r="AV710" i="1"/>
  <c r="AG709" i="1"/>
  <c r="AF709" i="1"/>
  <c r="AB709" i="1"/>
  <c r="W709" i="1"/>
  <c r="AZ708" i="1"/>
  <c r="AY708" i="1"/>
  <c r="AX708" i="1"/>
  <c r="AW708" i="1"/>
  <c r="AV708" i="1"/>
  <c r="AV714" i="1"/>
  <c r="AW714" i="1"/>
  <c r="AX714" i="1"/>
  <c r="AY714" i="1"/>
  <c r="AZ714" i="1"/>
  <c r="BA714" i="1"/>
  <c r="W715" i="1"/>
  <c r="AB715" i="1"/>
  <c r="AF715" i="1"/>
  <c r="AG715" i="1"/>
  <c r="AG707" i="1"/>
  <c r="AF707" i="1"/>
  <c r="AB707" i="1"/>
  <c r="W707" i="1"/>
  <c r="AZ706" i="1"/>
  <c r="AY706" i="1"/>
  <c r="AX706" i="1"/>
  <c r="AW706" i="1"/>
  <c r="AV706" i="1"/>
  <c r="AG705" i="1"/>
  <c r="AF705" i="1"/>
  <c r="AB705" i="1"/>
  <c r="W705" i="1"/>
  <c r="AZ704" i="1"/>
  <c r="AY704" i="1"/>
  <c r="AX704" i="1"/>
  <c r="AW704" i="1"/>
  <c r="AV704" i="1"/>
  <c r="AG703" i="1"/>
  <c r="AF703" i="1"/>
  <c r="AB703" i="1"/>
  <c r="W703" i="1"/>
  <c r="AZ702" i="1"/>
  <c r="AY702" i="1"/>
  <c r="AX702" i="1"/>
  <c r="AW702" i="1"/>
  <c r="AV702" i="1"/>
  <c r="AG701" i="1"/>
  <c r="AF701" i="1"/>
  <c r="AB701" i="1"/>
  <c r="W701" i="1"/>
  <c r="AZ700" i="1"/>
  <c r="AY700" i="1"/>
  <c r="AX700" i="1"/>
  <c r="AW700" i="1"/>
  <c r="AV700" i="1"/>
  <c r="AG699" i="1"/>
  <c r="AF699" i="1"/>
  <c r="AB699" i="1"/>
  <c r="W699" i="1"/>
  <c r="AZ698" i="1"/>
  <c r="AY698" i="1"/>
  <c r="AX698" i="1"/>
  <c r="AW698" i="1"/>
  <c r="AV698" i="1"/>
  <c r="Y715" i="1" l="1"/>
  <c r="AE715" i="1" s="1"/>
  <c r="AC707" i="1"/>
  <c r="AD707" i="1" s="1"/>
  <c r="AJ703" i="1"/>
  <c r="AO701" i="1"/>
  <c r="AN707" i="1"/>
  <c r="AK715" i="1"/>
  <c r="Y703" i="1"/>
  <c r="AE703" i="1" s="1"/>
  <c r="AN701" i="1"/>
  <c r="AC705" i="1"/>
  <c r="AD705" i="1" s="1"/>
  <c r="AO699" i="1"/>
  <c r="AN703" i="1"/>
  <c r="AO707" i="1"/>
  <c r="AI715" i="1"/>
  <c r="Y713" i="1"/>
  <c r="AE713" i="1" s="1"/>
  <c r="AJ713" i="1"/>
  <c r="AI713" i="1"/>
  <c r="AK713" i="1"/>
  <c r="AQ713" i="1"/>
  <c r="AC713" i="1"/>
  <c r="AD713" i="1" s="1"/>
  <c r="AL713" i="1"/>
  <c r="AR713" i="1"/>
  <c r="AM713" i="1"/>
  <c r="AN713" i="1"/>
  <c r="AP713" i="1"/>
  <c r="Y711" i="1"/>
  <c r="AE711" i="1" s="1"/>
  <c r="AC711" i="1"/>
  <c r="AD711" i="1" s="1"/>
  <c r="AL711" i="1"/>
  <c r="AR711" i="1"/>
  <c r="AI711" i="1"/>
  <c r="AK711" i="1"/>
  <c r="AM711" i="1"/>
  <c r="AJ711" i="1"/>
  <c r="AN711" i="1"/>
  <c r="AO711" i="1"/>
  <c r="AP711" i="1"/>
  <c r="AI709" i="1"/>
  <c r="Y709" i="1"/>
  <c r="AE709" i="1" s="1"/>
  <c r="AJ709" i="1"/>
  <c r="AC709" i="1"/>
  <c r="AD709" i="1" s="1"/>
  <c r="AL709" i="1"/>
  <c r="AR709" i="1"/>
  <c r="AM709" i="1"/>
  <c r="AK709" i="1"/>
  <c r="AN709" i="1"/>
  <c r="AO709" i="1"/>
  <c r="AP709" i="1"/>
  <c r="AC715" i="1"/>
  <c r="AD715" i="1" s="1"/>
  <c r="AJ715" i="1"/>
  <c r="AI707" i="1"/>
  <c r="Y707" i="1"/>
  <c r="AE707" i="1" s="1"/>
  <c r="AJ707" i="1"/>
  <c r="AK707" i="1"/>
  <c r="AM707" i="1"/>
  <c r="Y705" i="1"/>
  <c r="AE705" i="1" s="1"/>
  <c r="AI705" i="1"/>
  <c r="AJ705" i="1"/>
  <c r="AK705" i="1"/>
  <c r="AQ705" i="1"/>
  <c r="AM705" i="1"/>
  <c r="AN705" i="1"/>
  <c r="AI703" i="1"/>
  <c r="AK703" i="1"/>
  <c r="AC703" i="1"/>
  <c r="AD703" i="1" s="1"/>
  <c r="AM703" i="1"/>
  <c r="AI701" i="1"/>
  <c r="Y701" i="1"/>
  <c r="AE701" i="1" s="1"/>
  <c r="AJ701" i="1"/>
  <c r="AK701" i="1"/>
  <c r="AC701" i="1"/>
  <c r="AD701" i="1" s="1"/>
  <c r="AM701" i="1"/>
  <c r="AI699" i="1"/>
  <c r="Y699" i="1"/>
  <c r="AE699" i="1" s="1"/>
  <c r="AJ699" i="1"/>
  <c r="AK699" i="1"/>
  <c r="AQ699" i="1"/>
  <c r="AC699" i="1"/>
  <c r="AD699" i="1" s="1"/>
  <c r="AM699" i="1"/>
  <c r="AN699" i="1"/>
  <c r="AP699" i="1"/>
  <c r="BE1434" i="1" l="1"/>
  <c r="BD1434" i="1"/>
  <c r="BC1434" i="1"/>
  <c r="BB1434" i="1"/>
  <c r="BA1434" i="1"/>
  <c r="AZ1434" i="1"/>
  <c r="AY1434" i="1"/>
  <c r="AX1434" i="1"/>
  <c r="AW1434" i="1"/>
  <c r="AV1434" i="1"/>
  <c r="AA1435" i="1"/>
  <c r="AG1409" i="1"/>
  <c r="AG1407" i="1"/>
  <c r="AG1405" i="1"/>
  <c r="AG1403" i="1"/>
  <c r="AT1409" i="1"/>
  <c r="AR1409" i="1"/>
  <c r="AQ1409" i="1"/>
  <c r="AP1409" i="1"/>
  <c r="AO1409" i="1"/>
  <c r="AN1409" i="1"/>
  <c r="AM1409" i="1"/>
  <c r="AL1409" i="1"/>
  <c r="AK1409" i="1"/>
  <c r="AJ1409" i="1"/>
  <c r="AI1409" i="1"/>
  <c r="AT1407" i="1"/>
  <c r="AR1407" i="1"/>
  <c r="AQ1407" i="1"/>
  <c r="AP1407" i="1"/>
  <c r="AO1407" i="1"/>
  <c r="AN1407" i="1"/>
  <c r="AM1407" i="1"/>
  <c r="AL1407" i="1"/>
  <c r="AK1407" i="1"/>
  <c r="AJ1407" i="1"/>
  <c r="AI1407" i="1"/>
  <c r="AT1405" i="1"/>
  <c r="AR1405" i="1"/>
  <c r="AQ1405" i="1"/>
  <c r="AP1405" i="1"/>
  <c r="AO1405" i="1"/>
  <c r="AN1405" i="1"/>
  <c r="AM1405" i="1"/>
  <c r="AL1405" i="1"/>
  <c r="AK1405" i="1"/>
  <c r="AJ1405" i="1"/>
  <c r="AI1405" i="1"/>
  <c r="AT1403" i="1"/>
  <c r="AR1403" i="1"/>
  <c r="AQ1403" i="1"/>
  <c r="AP1403" i="1"/>
  <c r="AO1403" i="1"/>
  <c r="AN1403" i="1"/>
  <c r="AM1403" i="1"/>
  <c r="AL1403" i="1"/>
  <c r="AK1403" i="1"/>
  <c r="AJ1403" i="1"/>
  <c r="AI1403" i="1"/>
  <c r="AF1409" i="1"/>
  <c r="AC1409" i="1"/>
  <c r="AD1409" i="1" s="1"/>
  <c r="AB1409" i="1"/>
  <c r="Y1409" i="1"/>
  <c r="AE1409" i="1" s="1"/>
  <c r="W1409" i="1"/>
  <c r="AF1407" i="1"/>
  <c r="AC1407" i="1"/>
  <c r="AD1407" i="1" s="1"/>
  <c r="AB1407" i="1"/>
  <c r="Y1407" i="1"/>
  <c r="AE1407" i="1" s="1"/>
  <c r="W1407" i="1"/>
  <c r="AF1405" i="1"/>
  <c r="AC1405" i="1"/>
  <c r="AD1405" i="1" s="1"/>
  <c r="AB1405" i="1"/>
  <c r="Y1405" i="1"/>
  <c r="AE1405" i="1" s="1"/>
  <c r="W1405" i="1"/>
  <c r="AF1403" i="1"/>
  <c r="AC1403" i="1"/>
  <c r="AD1403" i="1" s="1"/>
  <c r="AB1403" i="1"/>
  <c r="Y1403" i="1"/>
  <c r="AE1403" i="1" s="1"/>
  <c r="W1403" i="1"/>
  <c r="W1411" i="1"/>
  <c r="Y1411" i="1"/>
  <c r="AE1411" i="1" s="1"/>
  <c r="AB1411" i="1"/>
  <c r="AC1411" i="1"/>
  <c r="AD1411" i="1" s="1"/>
  <c r="AF1411" i="1"/>
  <c r="AG1411" i="1"/>
  <c r="AI1411" i="1"/>
  <c r="AJ1411" i="1"/>
  <c r="AK1411" i="1"/>
  <c r="AL1411" i="1"/>
  <c r="AM1411" i="1"/>
  <c r="AN1411" i="1"/>
  <c r="AO1411" i="1"/>
  <c r="AP1411" i="1"/>
  <c r="AQ1411" i="1"/>
  <c r="AR1411" i="1"/>
  <c r="AT1411" i="1"/>
  <c r="W1413" i="1"/>
  <c r="Y1413" i="1"/>
  <c r="AE1413" i="1" s="1"/>
  <c r="AB1413" i="1"/>
  <c r="AC1413" i="1"/>
  <c r="AD1413" i="1" s="1"/>
  <c r="AF1413" i="1"/>
  <c r="AG1413" i="1"/>
  <c r="AI1413" i="1"/>
  <c r="AJ1413" i="1"/>
  <c r="AK1413" i="1"/>
  <c r="AL1413" i="1"/>
  <c r="AM1413" i="1"/>
  <c r="AN1413" i="1"/>
  <c r="AO1413" i="1"/>
  <c r="AP1413" i="1"/>
  <c r="AQ1413" i="1"/>
  <c r="AR1413" i="1"/>
  <c r="AT1413" i="1"/>
  <c r="W1415" i="1"/>
  <c r="Y1415" i="1"/>
  <c r="AE1415" i="1" s="1"/>
  <c r="AB1415" i="1"/>
  <c r="AC1415" i="1"/>
  <c r="AD1415" i="1" s="1"/>
  <c r="AF1415" i="1"/>
  <c r="AG1415" i="1"/>
  <c r="AI1415" i="1"/>
  <c r="AJ1415" i="1"/>
  <c r="AK1415" i="1"/>
  <c r="AL1415" i="1"/>
  <c r="AM1415" i="1"/>
  <c r="AN1415" i="1"/>
  <c r="AO1415" i="1"/>
  <c r="AP1415" i="1"/>
  <c r="AQ1415" i="1"/>
  <c r="AR1415" i="1"/>
  <c r="AT1415" i="1"/>
  <c r="W1417" i="1"/>
  <c r="Y1417" i="1"/>
  <c r="AE1417" i="1" s="1"/>
  <c r="AB1417" i="1"/>
  <c r="AC1417" i="1"/>
  <c r="AD1417" i="1" s="1"/>
  <c r="AF1417" i="1"/>
  <c r="AG1417" i="1"/>
  <c r="AI1417" i="1"/>
  <c r="AJ1417" i="1"/>
  <c r="AK1417" i="1"/>
  <c r="AL1417" i="1"/>
  <c r="AM1417" i="1"/>
  <c r="AN1417" i="1"/>
  <c r="AO1417" i="1"/>
  <c r="AP1417" i="1"/>
  <c r="AQ1417" i="1"/>
  <c r="AR1417" i="1"/>
  <c r="AT1417" i="1"/>
  <c r="AT1397" i="1"/>
  <c r="AR1397" i="1"/>
  <c r="AQ1397" i="1"/>
  <c r="AP1397" i="1"/>
  <c r="AO1397" i="1"/>
  <c r="AN1397" i="1"/>
  <c r="AM1397" i="1"/>
  <c r="AL1397" i="1"/>
  <c r="AK1397" i="1"/>
  <c r="AJ1397" i="1"/>
  <c r="AI1397" i="1"/>
  <c r="AG1397" i="1"/>
  <c r="AF1397" i="1"/>
  <c r="AC1397" i="1"/>
  <c r="AD1397" i="1" s="1"/>
  <c r="AB1397" i="1"/>
  <c r="Y1397" i="1"/>
  <c r="AE1397" i="1" s="1"/>
  <c r="W1397" i="1"/>
  <c r="AT1395" i="1"/>
  <c r="AR1395" i="1"/>
  <c r="AQ1395" i="1"/>
  <c r="AP1395" i="1"/>
  <c r="AO1395" i="1"/>
  <c r="AN1395" i="1"/>
  <c r="AM1395" i="1"/>
  <c r="AL1395" i="1"/>
  <c r="AK1395" i="1"/>
  <c r="AJ1395" i="1"/>
  <c r="AI1395" i="1"/>
  <c r="AG1395" i="1"/>
  <c r="AF1395" i="1"/>
  <c r="AC1395" i="1"/>
  <c r="AD1395" i="1" s="1"/>
  <c r="AB1395" i="1"/>
  <c r="Y1395" i="1"/>
  <c r="AE1395" i="1" s="1"/>
  <c r="W1395" i="1"/>
  <c r="AM1435" i="1" l="1"/>
  <c r="AL1435" i="1"/>
  <c r="AJ1435" i="1"/>
  <c r="AR1435" i="1"/>
  <c r="AK1435" i="1"/>
  <c r="AQ1435" i="1"/>
  <c r="AO1435" i="1"/>
  <c r="AI1435" i="1"/>
  <c r="AP1435" i="1"/>
  <c r="AT1435" i="1"/>
  <c r="AN1435" i="1"/>
  <c r="AG1229" i="1" l="1"/>
  <c r="AA1229" i="1"/>
  <c r="W1229" i="1"/>
  <c r="AX1228" i="1"/>
  <c r="AW1228" i="1"/>
  <c r="AV1228" i="1"/>
  <c r="AG1227" i="1"/>
  <c r="AA1227" i="1"/>
  <c r="AB1227" i="1" s="1"/>
  <c r="W1227" i="1"/>
  <c r="AX1226" i="1"/>
  <c r="AW1226" i="1"/>
  <c r="AV1226" i="1"/>
  <c r="AV1230" i="1"/>
  <c r="AW1230" i="1"/>
  <c r="AX1230" i="1"/>
  <c r="AY1230" i="1"/>
  <c r="W1231" i="1"/>
  <c r="AA1231" i="1"/>
  <c r="AB1231" i="1" s="1"/>
  <c r="AF1231" i="1"/>
  <c r="AG1231" i="1"/>
  <c r="AM1231" i="1" l="1"/>
  <c r="AR1231" i="1"/>
  <c r="AL1231" i="1"/>
  <c r="AS1231" i="1"/>
  <c r="AQ1231" i="1"/>
  <c r="AK1231" i="1"/>
  <c r="AJ1231" i="1"/>
  <c r="AT1231" i="1"/>
  <c r="AI1231" i="1"/>
  <c r="AP1231" i="1"/>
  <c r="AO1231" i="1"/>
  <c r="AN1231" i="1"/>
  <c r="Y1227" i="1"/>
  <c r="AE1227" i="1" s="1"/>
  <c r="Y1231" i="1"/>
  <c r="AE1231" i="1" s="1"/>
  <c r="AJ1227" i="1"/>
  <c r="Y1229" i="1"/>
  <c r="AE1229" i="1" s="1"/>
  <c r="AI1229" i="1"/>
  <c r="AP1229" i="1"/>
  <c r="AT1229" i="1"/>
  <c r="AJ1229" i="1"/>
  <c r="AB1229" i="1"/>
  <c r="AK1229" i="1"/>
  <c r="AC1229" i="1"/>
  <c r="AD1229" i="1" s="1"/>
  <c r="AL1229" i="1"/>
  <c r="AR1229" i="1"/>
  <c r="AN1229" i="1"/>
  <c r="AF1229" i="1"/>
  <c r="AC1231" i="1"/>
  <c r="AD1231" i="1" s="1"/>
  <c r="AF1227" i="1"/>
  <c r="AC1227" i="1"/>
  <c r="AD1227" i="1" s="1"/>
  <c r="AN1227" i="1"/>
  <c r="AO1227" i="1"/>
  <c r="AI1227" i="1"/>
  <c r="AK1227" i="1"/>
  <c r="AA1143" i="1" l="1"/>
  <c r="Y1143" i="1"/>
  <c r="AA1141" i="1"/>
  <c r="Y1141" i="1"/>
  <c r="AA1139" i="1"/>
  <c r="Y1139" i="1"/>
  <c r="AT1067" i="1" l="1"/>
  <c r="AR1067" i="1"/>
  <c r="AQ1067" i="1"/>
  <c r="AP1067" i="1"/>
  <c r="AO1067" i="1"/>
  <c r="AN1067" i="1"/>
  <c r="AM1067" i="1"/>
  <c r="AL1067" i="1"/>
  <c r="AK1067" i="1"/>
  <c r="AJ1067" i="1"/>
  <c r="AI1067" i="1"/>
  <c r="AG1067" i="1"/>
  <c r="AF1067" i="1"/>
  <c r="AC1067" i="1"/>
  <c r="AD1067" i="1" s="1"/>
  <c r="AB1067" i="1"/>
  <c r="Y1067" i="1"/>
  <c r="AE1067" i="1" s="1"/>
  <c r="W1067" i="1"/>
  <c r="AG737" i="1" l="1"/>
  <c r="AF737" i="1"/>
  <c r="AB737" i="1"/>
  <c r="Y737" i="1"/>
  <c r="AE737" i="1" s="1"/>
  <c r="W737" i="1"/>
  <c r="AX736" i="1"/>
  <c r="AW736" i="1"/>
  <c r="AG735" i="1"/>
  <c r="AF735" i="1"/>
  <c r="AB735" i="1"/>
  <c r="Y735" i="1"/>
  <c r="AE735" i="1" s="1"/>
  <c r="W735" i="1"/>
  <c r="AX734" i="1"/>
  <c r="AW734" i="1"/>
  <c r="AA729" i="1"/>
  <c r="AA727" i="1"/>
  <c r="AG723" i="1"/>
  <c r="AF723" i="1"/>
  <c r="AB723" i="1"/>
  <c r="W723" i="1"/>
  <c r="AZ722" i="1"/>
  <c r="AY722" i="1"/>
  <c r="AX722" i="1"/>
  <c r="AW722" i="1"/>
  <c r="AV722" i="1"/>
  <c r="AC737" i="1" l="1"/>
  <c r="AD737" i="1" s="1"/>
  <c r="AK735" i="1"/>
  <c r="AJ735" i="1"/>
  <c r="AI723" i="1"/>
  <c r="AC735" i="1"/>
  <c r="AD735" i="1" s="1"/>
  <c r="AJ737" i="1"/>
  <c r="AI737" i="1"/>
  <c r="AK737" i="1"/>
  <c r="AI735" i="1"/>
  <c r="AO723" i="1"/>
  <c r="AP723" i="1"/>
  <c r="AT723" i="1"/>
  <c r="AJ723" i="1"/>
  <c r="AK723" i="1"/>
  <c r="AC723" i="1"/>
  <c r="AD723" i="1" s="1"/>
  <c r="AL723" i="1"/>
  <c r="AR723" i="1"/>
  <c r="Y723" i="1"/>
  <c r="AE723" i="1" s="1"/>
  <c r="AM723" i="1"/>
  <c r="AA243" i="1" l="1"/>
  <c r="AT139" i="1" l="1"/>
  <c r="AR139" i="1"/>
  <c r="AQ139" i="1"/>
  <c r="AP139" i="1"/>
  <c r="AO139" i="1"/>
  <c r="AN139" i="1"/>
  <c r="AM139" i="1"/>
  <c r="AL139" i="1"/>
  <c r="AK139" i="1"/>
  <c r="AJ139" i="1"/>
  <c r="AI139" i="1"/>
  <c r="AT137" i="1"/>
  <c r="AR137" i="1"/>
  <c r="AQ137" i="1"/>
  <c r="AP137" i="1"/>
  <c r="AO137" i="1"/>
  <c r="AN137" i="1"/>
  <c r="AM137" i="1"/>
  <c r="AL137" i="1"/>
  <c r="AK137" i="1"/>
  <c r="AJ137" i="1"/>
  <c r="AI137" i="1"/>
  <c r="AT135" i="1"/>
  <c r="AR135" i="1"/>
  <c r="AQ135" i="1"/>
  <c r="AP135" i="1"/>
  <c r="AO135" i="1"/>
  <c r="AN135" i="1"/>
  <c r="AM135" i="1"/>
  <c r="AL135" i="1"/>
  <c r="AK135" i="1"/>
  <c r="AJ135" i="1"/>
  <c r="AI135" i="1"/>
  <c r="AT133" i="1"/>
  <c r="AR133" i="1"/>
  <c r="AQ133" i="1"/>
  <c r="AP133" i="1"/>
  <c r="AO133" i="1"/>
  <c r="AN133" i="1"/>
  <c r="AM133" i="1"/>
  <c r="AL133" i="1"/>
  <c r="AK133" i="1"/>
  <c r="AJ133" i="1"/>
  <c r="AI133" i="1"/>
  <c r="AT141" i="1"/>
  <c r="AR141" i="1"/>
  <c r="AQ141" i="1"/>
  <c r="AP141" i="1"/>
  <c r="AO141" i="1"/>
  <c r="AN141" i="1"/>
  <c r="AM141" i="1"/>
  <c r="AL141" i="1"/>
  <c r="AK141" i="1"/>
  <c r="AJ141" i="1"/>
  <c r="AI141" i="1"/>
  <c r="AG141" i="1"/>
  <c r="AC141" i="1"/>
  <c r="AA21" i="1" l="1"/>
  <c r="AA27" i="1"/>
  <c r="AA25" i="1"/>
  <c r="AA23" i="1"/>
  <c r="AA19" i="1"/>
  <c r="AA17" i="1"/>
  <c r="AA15" i="1"/>
  <c r="AA13" i="1"/>
  <c r="AA11" i="1"/>
  <c r="AA9" i="1"/>
  <c r="AA7" i="1"/>
  <c r="AA5" i="1"/>
  <c r="W1501" i="1" l="1"/>
  <c r="W1499" i="1"/>
  <c r="W1497" i="1"/>
  <c r="W1495" i="1"/>
  <c r="W1493" i="1"/>
  <c r="W1491" i="1"/>
  <c r="W1489" i="1"/>
  <c r="W1487" i="1"/>
  <c r="W1485" i="1"/>
  <c r="W1483" i="1"/>
  <c r="W1469" i="1"/>
  <c r="W1467" i="1"/>
  <c r="W1461" i="1"/>
  <c r="W1459" i="1"/>
  <c r="W1457" i="1"/>
  <c r="W1455" i="1"/>
  <c r="W1453" i="1"/>
  <c r="W1451" i="1"/>
  <c r="W1449" i="1"/>
  <c r="W1447" i="1"/>
  <c r="W1445" i="1"/>
  <c r="W1443" i="1"/>
  <c r="W1441" i="1"/>
  <c r="W1439" i="1"/>
  <c r="W1437" i="1"/>
  <c r="W1435" i="1"/>
  <c r="W1433" i="1"/>
  <c r="W1431" i="1"/>
  <c r="W1429" i="1"/>
  <c r="W1427" i="1"/>
  <c r="W1425" i="1"/>
  <c r="W1423" i="1"/>
  <c r="W1419" i="1"/>
  <c r="W1401" i="1"/>
  <c r="W1399" i="1"/>
  <c r="W1393" i="1"/>
  <c r="W1391" i="1"/>
  <c r="W1387" i="1"/>
  <c r="W1385" i="1"/>
  <c r="W1383" i="1"/>
  <c r="W1381" i="1"/>
  <c r="W1379" i="1"/>
  <c r="W1377" i="1"/>
  <c r="W1375" i="1"/>
  <c r="W1373" i="1"/>
  <c r="W1371" i="1"/>
  <c r="W1369" i="1"/>
  <c r="W1367" i="1"/>
  <c r="W1365" i="1"/>
  <c r="W1363" i="1"/>
  <c r="W1361" i="1"/>
  <c r="W1359" i="1"/>
  <c r="W1357" i="1"/>
  <c r="W1353" i="1"/>
  <c r="W1351" i="1"/>
  <c r="W1349" i="1"/>
  <c r="W1347" i="1"/>
  <c r="W1345" i="1"/>
  <c r="W1343" i="1"/>
  <c r="W1341" i="1"/>
  <c r="W1339" i="1"/>
  <c r="W1337" i="1"/>
  <c r="W1335" i="1"/>
  <c r="W1333" i="1"/>
  <c r="W1331" i="1"/>
  <c r="W1329" i="1"/>
  <c r="W1327" i="1"/>
  <c r="W1325" i="1"/>
  <c r="W1323" i="1"/>
  <c r="W1321" i="1"/>
  <c r="W1319" i="1"/>
  <c r="W1317" i="1"/>
  <c r="W1315" i="1"/>
  <c r="W1313" i="1"/>
  <c r="W1311" i="1"/>
  <c r="W1309" i="1"/>
  <c r="W1307" i="1"/>
  <c r="W1305" i="1"/>
  <c r="W1297" i="1"/>
  <c r="W1303" i="1"/>
  <c r="W1295" i="1"/>
  <c r="W1289" i="1"/>
  <c r="W1301" i="1"/>
  <c r="W1293" i="1"/>
  <c r="W1299" i="1"/>
  <c r="W1291" i="1"/>
  <c r="W1287" i="1"/>
  <c r="W1285" i="1"/>
  <c r="W1283" i="1"/>
  <c r="W1281" i="1"/>
  <c r="W1279" i="1"/>
  <c r="W1277" i="1"/>
  <c r="W1275" i="1"/>
  <c r="W1273" i="1"/>
  <c r="W1267" i="1"/>
  <c r="W1265" i="1"/>
  <c r="W1263" i="1"/>
  <c r="W1261" i="1"/>
  <c r="W1259" i="1"/>
  <c r="W1257" i="1"/>
  <c r="W1255" i="1"/>
  <c r="W1253" i="1"/>
  <c r="W1251" i="1"/>
  <c r="W1249" i="1"/>
  <c r="W1247" i="1"/>
  <c r="W1245" i="1"/>
  <c r="W1243" i="1"/>
  <c r="W1241" i="1"/>
  <c r="W1239" i="1"/>
  <c r="W1237" i="1"/>
  <c r="W1225" i="1"/>
  <c r="W1223" i="1"/>
  <c r="W1221" i="1"/>
  <c r="W1219" i="1"/>
  <c r="W1217" i="1"/>
  <c r="W1215" i="1"/>
  <c r="W1213" i="1"/>
  <c r="W1211" i="1"/>
  <c r="W1209" i="1"/>
  <c r="W1207" i="1"/>
  <c r="W1205" i="1"/>
  <c r="W1203" i="1"/>
  <c r="W1201" i="1"/>
  <c r="W1199" i="1"/>
  <c r="W1197" i="1"/>
  <c r="W1195" i="1"/>
  <c r="W1193" i="1"/>
  <c r="W1191" i="1"/>
  <c r="W1189" i="1"/>
  <c r="W1187" i="1"/>
  <c r="W1185" i="1"/>
  <c r="W1183" i="1"/>
  <c r="W1181" i="1"/>
  <c r="W1179" i="1"/>
  <c r="W1177" i="1"/>
  <c r="W1175" i="1"/>
  <c r="W1173" i="1"/>
  <c r="W1171" i="1"/>
  <c r="W1169" i="1"/>
  <c r="W1167" i="1"/>
  <c r="W1165" i="1"/>
  <c r="W1163" i="1"/>
  <c r="W1161" i="1"/>
  <c r="W1159" i="1"/>
  <c r="W1157" i="1"/>
  <c r="W1155" i="1"/>
  <c r="W1153" i="1"/>
  <c r="W1151" i="1"/>
  <c r="W1149" i="1"/>
  <c r="W1147" i="1"/>
  <c r="W1145" i="1"/>
  <c r="W1143" i="1"/>
  <c r="W1141" i="1"/>
  <c r="W1139" i="1"/>
  <c r="W1137" i="1"/>
  <c r="W1135" i="1"/>
  <c r="W1133" i="1"/>
  <c r="W1131" i="1"/>
  <c r="W1129" i="1"/>
  <c r="W1127" i="1"/>
  <c r="W1125" i="1"/>
  <c r="W1123" i="1"/>
  <c r="W1121" i="1"/>
  <c r="W1119" i="1"/>
  <c r="W1117" i="1"/>
  <c r="W1115" i="1"/>
  <c r="W1113" i="1"/>
  <c r="W1111" i="1"/>
  <c r="W1109" i="1"/>
  <c r="W1107" i="1"/>
  <c r="W1105" i="1"/>
  <c r="W1103" i="1"/>
  <c r="W1101" i="1"/>
  <c r="W1099" i="1"/>
  <c r="W1097" i="1"/>
  <c r="W1095" i="1"/>
  <c r="W1093" i="1"/>
  <c r="W1091" i="1"/>
  <c r="W1089" i="1"/>
  <c r="W1087" i="1"/>
  <c r="W1085" i="1"/>
  <c r="W1083" i="1"/>
  <c r="W1081" i="1"/>
  <c r="W1079" i="1"/>
  <c r="W1077" i="1"/>
  <c r="W1075" i="1"/>
  <c r="W1073" i="1"/>
  <c r="W1071" i="1"/>
  <c r="W1069" i="1"/>
  <c r="W1065" i="1"/>
  <c r="W1063" i="1"/>
  <c r="W1061" i="1"/>
  <c r="W1059" i="1"/>
  <c r="W1057" i="1"/>
  <c r="W1055" i="1"/>
  <c r="W1053" i="1"/>
  <c r="W1051" i="1"/>
  <c r="W1049" i="1"/>
  <c r="W1047" i="1"/>
  <c r="W1045" i="1"/>
  <c r="W1043" i="1"/>
  <c r="W1041" i="1"/>
  <c r="W1039" i="1"/>
  <c r="W1037" i="1"/>
  <c r="W1035" i="1"/>
  <c r="W1019" i="1"/>
  <c r="W1033" i="1"/>
  <c r="W1017" i="1"/>
  <c r="W1031" i="1"/>
  <c r="W1015" i="1"/>
  <c r="W1029" i="1"/>
  <c r="W1013" i="1"/>
  <c r="W1027" i="1"/>
  <c r="W1011" i="1"/>
  <c r="W1025" i="1"/>
  <c r="W1009" i="1"/>
  <c r="W1023" i="1"/>
  <c r="W1021" i="1"/>
  <c r="W1007" i="1"/>
  <c r="W1005" i="1"/>
  <c r="W1003" i="1"/>
  <c r="W1001" i="1"/>
  <c r="W999" i="1"/>
  <c r="W997" i="1"/>
  <c r="W995" i="1"/>
  <c r="W983" i="1"/>
  <c r="W981" i="1"/>
  <c r="W979" i="1"/>
  <c r="W977" i="1"/>
  <c r="W975" i="1"/>
  <c r="W973" i="1"/>
  <c r="W971" i="1"/>
  <c r="W969" i="1"/>
  <c r="W967" i="1"/>
  <c r="W965" i="1"/>
  <c r="W953" i="1"/>
  <c r="W947" i="1"/>
  <c r="W945" i="1"/>
  <c r="W943" i="1"/>
  <c r="W941" i="1"/>
  <c r="W937" i="1"/>
  <c r="W931" i="1"/>
  <c r="W929" i="1"/>
  <c r="W927" i="1"/>
  <c r="W925" i="1"/>
  <c r="W923" i="1"/>
  <c r="W921" i="1"/>
  <c r="W919" i="1"/>
  <c r="W917" i="1"/>
  <c r="W915" i="1"/>
  <c r="W879" i="1"/>
  <c r="W877" i="1"/>
  <c r="W875" i="1"/>
  <c r="W873" i="1"/>
  <c r="W871" i="1"/>
  <c r="W865" i="1"/>
  <c r="W863" i="1"/>
  <c r="W861" i="1"/>
  <c r="W859" i="1"/>
  <c r="W857" i="1"/>
  <c r="W855" i="1"/>
  <c r="W853" i="1"/>
  <c r="W851" i="1"/>
  <c r="W849" i="1"/>
  <c r="W847" i="1"/>
  <c r="W845" i="1"/>
  <c r="W843" i="1"/>
  <c r="W841" i="1"/>
  <c r="W839" i="1"/>
  <c r="W837" i="1"/>
  <c r="W835" i="1"/>
  <c r="W833" i="1"/>
  <c r="W831" i="1"/>
  <c r="W829" i="1"/>
  <c r="W827" i="1"/>
  <c r="W825" i="1"/>
  <c r="W823" i="1"/>
  <c r="W821" i="1"/>
  <c r="W807" i="1"/>
  <c r="W805" i="1"/>
  <c r="W803" i="1"/>
  <c r="W801" i="1"/>
  <c r="W799" i="1"/>
  <c r="W797" i="1"/>
  <c r="W795" i="1"/>
  <c r="W791" i="1"/>
  <c r="W789" i="1"/>
  <c r="W787" i="1"/>
  <c r="W781" i="1"/>
  <c r="W779" i="1"/>
  <c r="W777" i="1"/>
  <c r="W775" i="1"/>
  <c r="W767" i="1"/>
  <c r="W765" i="1"/>
  <c r="W763" i="1"/>
  <c r="W761" i="1"/>
  <c r="W759" i="1"/>
  <c r="W757" i="1"/>
  <c r="W755" i="1"/>
  <c r="W753" i="1"/>
  <c r="W751" i="1"/>
  <c r="W749" i="1"/>
  <c r="W747" i="1"/>
  <c r="W733" i="1"/>
  <c r="W731" i="1"/>
  <c r="W729" i="1"/>
  <c r="W727" i="1"/>
  <c r="W725" i="1"/>
  <c r="W721" i="1"/>
  <c r="W719" i="1"/>
  <c r="W717" i="1"/>
  <c r="W697" i="1"/>
  <c r="W675" i="1"/>
  <c r="W673" i="1"/>
  <c r="W671" i="1"/>
  <c r="W683" i="1"/>
  <c r="W681" i="1"/>
  <c r="W669" i="1"/>
  <c r="W667" i="1"/>
  <c r="W665" i="1"/>
  <c r="W663" i="1"/>
  <c r="W651" i="1"/>
  <c r="W649" i="1"/>
  <c r="W647" i="1"/>
  <c r="W645" i="1"/>
  <c r="W643" i="1"/>
  <c r="W635" i="1"/>
  <c r="W633" i="1"/>
  <c r="W631" i="1"/>
  <c r="W629" i="1"/>
  <c r="W627" i="1"/>
  <c r="W625" i="1"/>
  <c r="W623" i="1"/>
  <c r="W621" i="1"/>
  <c r="W619" i="1"/>
  <c r="W617" i="1"/>
  <c r="W615" i="1"/>
  <c r="W613" i="1"/>
  <c r="W611" i="1"/>
  <c r="W609" i="1"/>
  <c r="W607" i="1"/>
  <c r="W605" i="1"/>
  <c r="W603" i="1"/>
  <c r="W593" i="1"/>
  <c r="W591" i="1"/>
  <c r="W589" i="1"/>
  <c r="W587" i="1"/>
  <c r="W581" i="1"/>
  <c r="W579" i="1"/>
  <c r="W577" i="1"/>
  <c r="W575" i="1"/>
  <c r="W573" i="1"/>
  <c r="W583" i="1"/>
  <c r="W585" i="1"/>
  <c r="W571" i="1"/>
  <c r="W569" i="1"/>
  <c r="W567" i="1"/>
  <c r="W565" i="1"/>
  <c r="W563" i="1"/>
  <c r="W561" i="1"/>
  <c r="W559" i="1"/>
  <c r="W557" i="1"/>
  <c r="W555" i="1"/>
  <c r="W553" i="1"/>
  <c r="W551" i="1"/>
  <c r="W549" i="1"/>
  <c r="W547" i="1"/>
  <c r="W545" i="1"/>
  <c r="W543" i="1"/>
  <c r="W541" i="1"/>
  <c r="W539" i="1"/>
  <c r="W537" i="1"/>
  <c r="W535" i="1"/>
  <c r="W533" i="1"/>
  <c r="W531" i="1"/>
  <c r="W529" i="1"/>
  <c r="W527" i="1"/>
  <c r="W525" i="1"/>
  <c r="W523" i="1"/>
  <c r="W521" i="1"/>
  <c r="W519" i="1"/>
  <c r="W517" i="1"/>
  <c r="W515" i="1"/>
  <c r="W511" i="1"/>
  <c r="W509" i="1"/>
  <c r="W507" i="1"/>
  <c r="W505" i="1"/>
  <c r="W503" i="1"/>
  <c r="W501" i="1"/>
  <c r="W499" i="1"/>
  <c r="W497" i="1"/>
  <c r="W491" i="1"/>
  <c r="W489" i="1"/>
  <c r="W487" i="1"/>
  <c r="W471" i="1"/>
  <c r="W475" i="1"/>
  <c r="W473" i="1"/>
  <c r="W469" i="1"/>
  <c r="W467" i="1"/>
  <c r="W465" i="1"/>
  <c r="W463" i="1"/>
  <c r="W461" i="1"/>
  <c r="W459" i="1"/>
  <c r="W457" i="1"/>
  <c r="W455" i="1"/>
  <c r="W453" i="1"/>
  <c r="W451" i="1"/>
  <c r="W449" i="1"/>
  <c r="W447" i="1"/>
  <c r="W445" i="1"/>
  <c r="W443" i="1"/>
  <c r="W441" i="1"/>
  <c r="W439" i="1"/>
  <c r="W437" i="1"/>
  <c r="W435" i="1"/>
  <c r="W433" i="1"/>
  <c r="W407" i="1"/>
  <c r="W405" i="1"/>
  <c r="W403" i="1"/>
  <c r="W401" i="1"/>
  <c r="W399" i="1"/>
  <c r="W397" i="1"/>
  <c r="W395" i="1"/>
  <c r="W361" i="1"/>
  <c r="W359" i="1"/>
  <c r="W357" i="1"/>
  <c r="W355" i="1"/>
  <c r="W353" i="1"/>
  <c r="W351" i="1"/>
  <c r="W349" i="1"/>
  <c r="W347" i="1"/>
  <c r="W345" i="1"/>
  <c r="W343" i="1"/>
  <c r="W341" i="1"/>
  <c r="W339" i="1"/>
  <c r="W327" i="1"/>
  <c r="W325" i="1"/>
  <c r="W323" i="1"/>
  <c r="W321" i="1"/>
  <c r="W319" i="1"/>
  <c r="W317" i="1"/>
  <c r="W315" i="1"/>
  <c r="W313" i="1"/>
  <c r="W311" i="1"/>
  <c r="W309" i="1"/>
  <c r="W307" i="1"/>
  <c r="W305" i="1"/>
  <c r="W303" i="1"/>
  <c r="W301" i="1"/>
  <c r="W299" i="1"/>
  <c r="W297" i="1"/>
  <c r="W295" i="1"/>
  <c r="W293" i="1"/>
  <c r="W291" i="1"/>
  <c r="W289" i="1"/>
  <c r="W287" i="1"/>
  <c r="W285" i="1"/>
  <c r="W283" i="1"/>
  <c r="W281" i="1"/>
  <c r="W279" i="1"/>
  <c r="W277" i="1"/>
  <c r="W275" i="1"/>
  <c r="W273" i="1"/>
  <c r="W271" i="1"/>
  <c r="W269" i="1"/>
  <c r="W267" i="1"/>
  <c r="W265" i="1"/>
  <c r="W263" i="1"/>
  <c r="W261" i="1"/>
  <c r="W259" i="1"/>
  <c r="W257" i="1"/>
  <c r="W255" i="1"/>
  <c r="W253" i="1"/>
  <c r="W251" i="1"/>
  <c r="W249" i="1"/>
  <c r="W247" i="1"/>
  <c r="W245" i="1"/>
  <c r="W243" i="1"/>
  <c r="W241" i="1"/>
  <c r="W239" i="1"/>
  <c r="W237" i="1"/>
  <c r="W235" i="1"/>
  <c r="W233" i="1"/>
  <c r="W231" i="1"/>
  <c r="W229" i="1"/>
  <c r="W225" i="1"/>
  <c r="W223" i="1"/>
  <c r="W221" i="1"/>
  <c r="W219" i="1"/>
  <c r="W217" i="1"/>
  <c r="W213" i="1"/>
  <c r="W211" i="1"/>
  <c r="W209" i="1"/>
  <c r="W207" i="1"/>
  <c r="W205" i="1"/>
  <c r="W203" i="1"/>
  <c r="W201" i="1"/>
  <c r="W193" i="1"/>
  <c r="W191" i="1"/>
  <c r="W189" i="1"/>
  <c r="W187" i="1"/>
  <c r="W185" i="1"/>
  <c r="W183" i="1"/>
  <c r="W181" i="1"/>
  <c r="W179" i="1"/>
  <c r="W177" i="1"/>
  <c r="W175" i="1"/>
  <c r="W173" i="1"/>
  <c r="W165" i="1"/>
  <c r="W163" i="1"/>
  <c r="W161" i="1"/>
  <c r="W159" i="1"/>
  <c r="W157" i="1"/>
  <c r="W155" i="1"/>
  <c r="W153" i="1"/>
  <c r="W151" i="1"/>
  <c r="W141" i="1"/>
  <c r="W139" i="1"/>
  <c r="W137" i="1"/>
  <c r="W135" i="1"/>
  <c r="W133" i="1"/>
  <c r="W131" i="1"/>
  <c r="W129" i="1"/>
  <c r="W127" i="1"/>
  <c r="W125" i="1"/>
  <c r="W123" i="1"/>
  <c r="W121" i="1"/>
  <c r="W119" i="1"/>
  <c r="W117" i="1"/>
  <c r="W115" i="1"/>
  <c r="W113" i="1"/>
  <c r="W111" i="1"/>
  <c r="W109" i="1"/>
  <c r="W107" i="1"/>
  <c r="W105" i="1"/>
  <c r="W103" i="1"/>
  <c r="W101" i="1"/>
  <c r="W99" i="1"/>
  <c r="W97" i="1"/>
  <c r="W95" i="1"/>
  <c r="W93" i="1"/>
  <c r="W91" i="1"/>
  <c r="W89" i="1"/>
  <c r="W87" i="1"/>
  <c r="W85" i="1"/>
  <c r="W83" i="1"/>
  <c r="W73" i="1"/>
  <c r="W71" i="1"/>
  <c r="W81" i="1"/>
  <c r="W79" i="1"/>
  <c r="W77" i="1"/>
  <c r="W75" i="1"/>
  <c r="W69" i="1"/>
  <c r="W67" i="1"/>
  <c r="W65" i="1"/>
  <c r="W63" i="1"/>
  <c r="W61" i="1"/>
  <c r="W59" i="1"/>
  <c r="W57" i="1"/>
  <c r="W55" i="1"/>
  <c r="W53" i="1"/>
  <c r="W51" i="1"/>
  <c r="W47" i="1"/>
  <c r="W45" i="1"/>
  <c r="W43" i="1"/>
  <c r="W49" i="1"/>
  <c r="W41" i="1"/>
  <c r="W39" i="1"/>
  <c r="W37" i="1"/>
  <c r="W35" i="1"/>
  <c r="W33" i="1"/>
  <c r="W31" i="1"/>
  <c r="W29" i="1"/>
  <c r="W27" i="1"/>
  <c r="W25" i="1"/>
  <c r="W23" i="1"/>
  <c r="W21" i="1"/>
  <c r="W19" i="1"/>
  <c r="W17" i="1"/>
  <c r="W15" i="1"/>
  <c r="W13" i="1"/>
  <c r="W11" i="1"/>
  <c r="W9" i="1"/>
  <c r="W7" i="1"/>
  <c r="W5" i="1"/>
  <c r="W3" i="1"/>
  <c r="W1507" i="1" l="1"/>
  <c r="W1506" i="1"/>
  <c r="W1505" i="1"/>
  <c r="W1504" i="1"/>
  <c r="W1503" i="1"/>
  <c r="AF1491" i="1" l="1"/>
  <c r="AF1489" i="1"/>
  <c r="AF1487" i="1"/>
  <c r="AF1485" i="1"/>
  <c r="AF1483" i="1"/>
  <c r="AF1481" i="1"/>
  <c r="AF1479" i="1"/>
  <c r="AF1477" i="1"/>
  <c r="AF1475" i="1"/>
  <c r="AF1473" i="1"/>
  <c r="AF1471" i="1"/>
  <c r="AF1469" i="1"/>
  <c r="AF1467" i="1"/>
  <c r="AF1461" i="1"/>
  <c r="AF1459" i="1"/>
  <c r="AF1457" i="1"/>
  <c r="AF1455" i="1"/>
  <c r="AF1453" i="1"/>
  <c r="AF1451" i="1"/>
  <c r="AF1449" i="1"/>
  <c r="AF1447" i="1"/>
  <c r="AF1445" i="1"/>
  <c r="AF1443" i="1"/>
  <c r="AF1441" i="1"/>
  <c r="AF1439" i="1"/>
  <c r="AF1437" i="1"/>
  <c r="AF1433" i="1"/>
  <c r="AF1431" i="1"/>
  <c r="AF1429" i="1"/>
  <c r="AF1427" i="1"/>
  <c r="AF1425" i="1"/>
  <c r="AF1423" i="1"/>
  <c r="AF1419" i="1"/>
  <c r="AF1401" i="1"/>
  <c r="AF1399" i="1"/>
  <c r="AF1393" i="1"/>
  <c r="AF1391" i="1"/>
  <c r="AF1387" i="1"/>
  <c r="AF1385" i="1"/>
  <c r="AF1383" i="1"/>
  <c r="AF1381" i="1"/>
  <c r="AF1379" i="1"/>
  <c r="AF1377" i="1"/>
  <c r="AF1375" i="1"/>
  <c r="AF1373" i="1"/>
  <c r="AF1371" i="1"/>
  <c r="AF1369" i="1"/>
  <c r="AF1367" i="1"/>
  <c r="AF1365" i="1"/>
  <c r="AF1363" i="1"/>
  <c r="AF1361" i="1"/>
  <c r="AF1359" i="1"/>
  <c r="AF1357" i="1"/>
  <c r="AF1353" i="1"/>
  <c r="AF1351" i="1"/>
  <c r="AF1349" i="1"/>
  <c r="AF1347" i="1"/>
  <c r="AF1345" i="1"/>
  <c r="AF1343" i="1"/>
  <c r="AF1341" i="1"/>
  <c r="AF1339" i="1"/>
  <c r="AF1337" i="1"/>
  <c r="AF1335" i="1"/>
  <c r="AF1333" i="1"/>
  <c r="AF1327" i="1"/>
  <c r="AF1325" i="1"/>
  <c r="AF1323" i="1"/>
  <c r="AF1321" i="1"/>
  <c r="AF1319" i="1"/>
  <c r="AF1317" i="1"/>
  <c r="AF1315" i="1"/>
  <c r="AF1313" i="1"/>
  <c r="AF1311" i="1"/>
  <c r="AF1309" i="1"/>
  <c r="AF1307" i="1"/>
  <c r="AF1305" i="1"/>
  <c r="AF1297" i="1"/>
  <c r="AF1303" i="1"/>
  <c r="AF1295" i="1"/>
  <c r="AF1289" i="1"/>
  <c r="AF1301" i="1"/>
  <c r="AF1293" i="1"/>
  <c r="AF1299" i="1"/>
  <c r="AF1291" i="1"/>
  <c r="AF1287" i="1"/>
  <c r="AF1285" i="1"/>
  <c r="AF1283" i="1"/>
  <c r="AF1281" i="1"/>
  <c r="AF1279" i="1"/>
  <c r="AF1277" i="1"/>
  <c r="AF1275" i="1"/>
  <c r="AF1273" i="1"/>
  <c r="AF1267" i="1"/>
  <c r="AF1265" i="1"/>
  <c r="AF1263" i="1"/>
  <c r="AF1261" i="1"/>
  <c r="AF1259" i="1"/>
  <c r="AF1257" i="1"/>
  <c r="AF1255" i="1"/>
  <c r="AF1253" i="1"/>
  <c r="AF1251" i="1"/>
  <c r="AF1249" i="1"/>
  <c r="AF1247" i="1"/>
  <c r="AF1245" i="1"/>
  <c r="AF1243" i="1"/>
  <c r="AF1241" i="1"/>
  <c r="AF1239" i="1"/>
  <c r="AF1237" i="1"/>
  <c r="AF1223" i="1"/>
  <c r="AF1221" i="1"/>
  <c r="AF1219" i="1"/>
  <c r="AF1217" i="1"/>
  <c r="AF1215" i="1"/>
  <c r="AF1213" i="1"/>
  <c r="AF1211" i="1"/>
  <c r="AF1209" i="1"/>
  <c r="AF1207" i="1"/>
  <c r="AF1205" i="1"/>
  <c r="AF1203" i="1"/>
  <c r="AF1201" i="1"/>
  <c r="AF1199" i="1"/>
  <c r="AF1197" i="1"/>
  <c r="AF1195" i="1"/>
  <c r="AF1193" i="1"/>
  <c r="AF1191" i="1"/>
  <c r="AF1189" i="1"/>
  <c r="AF1187" i="1"/>
  <c r="AF1185" i="1"/>
  <c r="AF1183" i="1"/>
  <c r="AF1181" i="1"/>
  <c r="AF1179" i="1"/>
  <c r="AF1177" i="1"/>
  <c r="AF1175" i="1"/>
  <c r="AF1173" i="1"/>
  <c r="AF1171" i="1"/>
  <c r="AF1169" i="1"/>
  <c r="AF1167" i="1"/>
  <c r="AF1165" i="1"/>
  <c r="AF1163" i="1"/>
  <c r="AF1161" i="1"/>
  <c r="AF1159" i="1"/>
  <c r="AF1157" i="1"/>
  <c r="AF1155" i="1"/>
  <c r="AF1153" i="1"/>
  <c r="AF1151" i="1"/>
  <c r="AF1149" i="1"/>
  <c r="AF1147" i="1"/>
  <c r="AF1145" i="1"/>
  <c r="AF1143" i="1"/>
  <c r="AF1141" i="1"/>
  <c r="AF1139" i="1"/>
  <c r="AF1137" i="1"/>
  <c r="AF1135" i="1"/>
  <c r="AF1133" i="1"/>
  <c r="AF1131" i="1"/>
  <c r="AF1129" i="1"/>
  <c r="AF1127" i="1"/>
  <c r="AF1125" i="1"/>
  <c r="AF1123" i="1"/>
  <c r="AF1121" i="1"/>
  <c r="AF1119" i="1"/>
  <c r="AF1117" i="1"/>
  <c r="AF1115" i="1"/>
  <c r="AF1113" i="1"/>
  <c r="AF1111" i="1"/>
  <c r="AF1109" i="1"/>
  <c r="AF1107" i="1"/>
  <c r="AF1105" i="1"/>
  <c r="AF1103" i="1"/>
  <c r="AF1101" i="1"/>
  <c r="AF1099" i="1"/>
  <c r="AF1097" i="1"/>
  <c r="AF1095" i="1"/>
  <c r="AF1093" i="1"/>
  <c r="AF1091" i="1"/>
  <c r="AF1089" i="1"/>
  <c r="AF1087" i="1"/>
  <c r="AF1085" i="1"/>
  <c r="AF1083" i="1"/>
  <c r="AF1081" i="1"/>
  <c r="AF1079" i="1"/>
  <c r="AF1077" i="1"/>
  <c r="AF1075" i="1"/>
  <c r="AF1073" i="1"/>
  <c r="AF1071" i="1"/>
  <c r="AF1069" i="1"/>
  <c r="AF1065" i="1"/>
  <c r="AF1063" i="1"/>
  <c r="AF1061" i="1"/>
  <c r="AF1059" i="1"/>
  <c r="AF1057" i="1"/>
  <c r="AF1055" i="1"/>
  <c r="AF1053" i="1"/>
  <c r="AF1051" i="1"/>
  <c r="AF1049" i="1"/>
  <c r="AF1047" i="1"/>
  <c r="AF1045" i="1"/>
  <c r="AF1043" i="1"/>
  <c r="AF1041" i="1"/>
  <c r="AF1039" i="1"/>
  <c r="AF1037" i="1"/>
  <c r="AF1035" i="1"/>
  <c r="AF1019" i="1"/>
  <c r="AF1033" i="1"/>
  <c r="AF1017" i="1"/>
  <c r="AF1031" i="1"/>
  <c r="AF1015" i="1"/>
  <c r="AF1029" i="1"/>
  <c r="AF1013" i="1"/>
  <c r="AF1027" i="1"/>
  <c r="AF1011" i="1"/>
  <c r="AF1025" i="1"/>
  <c r="AF1009" i="1"/>
  <c r="AF1023" i="1"/>
  <c r="AF1021" i="1"/>
  <c r="AF1007" i="1"/>
  <c r="AF1005" i="1"/>
  <c r="AF1003" i="1"/>
  <c r="AF1001" i="1"/>
  <c r="AF999" i="1"/>
  <c r="AF997" i="1"/>
  <c r="AF995" i="1"/>
  <c r="AF983" i="1"/>
  <c r="AF981" i="1"/>
  <c r="AF979" i="1"/>
  <c r="AF977" i="1"/>
  <c r="AF975" i="1"/>
  <c r="AF973" i="1"/>
  <c r="AF971" i="1"/>
  <c r="AF969" i="1"/>
  <c r="AF967" i="1"/>
  <c r="AF965" i="1"/>
  <c r="AF953" i="1"/>
  <c r="AF947" i="1"/>
  <c r="AF945" i="1"/>
  <c r="AF943" i="1"/>
  <c r="AF941" i="1"/>
  <c r="AF937" i="1"/>
  <c r="AF931" i="1"/>
  <c r="AF929" i="1"/>
  <c r="AF927" i="1"/>
  <c r="AF925" i="1"/>
  <c r="AF923" i="1"/>
  <c r="AF921" i="1"/>
  <c r="AF919" i="1"/>
  <c r="AF917" i="1"/>
  <c r="AF915" i="1"/>
  <c r="AF879" i="1"/>
  <c r="AF877" i="1"/>
  <c r="AF875" i="1"/>
  <c r="AF873" i="1"/>
  <c r="AF871" i="1"/>
  <c r="AF865" i="1"/>
  <c r="AF863" i="1"/>
  <c r="AF861" i="1"/>
  <c r="AF859" i="1"/>
  <c r="AF857" i="1"/>
  <c r="AF855" i="1"/>
  <c r="AF853" i="1"/>
  <c r="AF851" i="1"/>
  <c r="AF849" i="1"/>
  <c r="AF847" i="1"/>
  <c r="AF845" i="1"/>
  <c r="AF843" i="1"/>
  <c r="AF841" i="1"/>
  <c r="AF839" i="1"/>
  <c r="AF837" i="1"/>
  <c r="AF835" i="1"/>
  <c r="AF833" i="1"/>
  <c r="AF831" i="1"/>
  <c r="AF829" i="1"/>
  <c r="AF827" i="1"/>
  <c r="AF825" i="1"/>
  <c r="AF823" i="1"/>
  <c r="AF821" i="1"/>
  <c r="AF807" i="1"/>
  <c r="AF805" i="1"/>
  <c r="AF803" i="1"/>
  <c r="AF801" i="1"/>
  <c r="AF799" i="1"/>
  <c r="AF797" i="1"/>
  <c r="AF795" i="1"/>
  <c r="AF791" i="1"/>
  <c r="AF789" i="1"/>
  <c r="AF787" i="1"/>
  <c r="AF781" i="1"/>
  <c r="AF779" i="1"/>
  <c r="AF777" i="1"/>
  <c r="AF775" i="1"/>
  <c r="AF767" i="1"/>
  <c r="AF765" i="1"/>
  <c r="AF763" i="1"/>
  <c r="AF761" i="1"/>
  <c r="AF759" i="1"/>
  <c r="AF757" i="1"/>
  <c r="AF755" i="1"/>
  <c r="AF753" i="1"/>
  <c r="AF751" i="1"/>
  <c r="AF749" i="1"/>
  <c r="AF747" i="1"/>
  <c r="AF733" i="1"/>
  <c r="AF731" i="1"/>
  <c r="AF729" i="1"/>
  <c r="AF727" i="1"/>
  <c r="AF725" i="1"/>
  <c r="AF719" i="1"/>
  <c r="AF717" i="1"/>
  <c r="AF697" i="1"/>
  <c r="AF675" i="1"/>
  <c r="AF673" i="1"/>
  <c r="AF671" i="1"/>
  <c r="AF683" i="1"/>
  <c r="AF681" i="1"/>
  <c r="AF669" i="1"/>
  <c r="AF667" i="1"/>
  <c r="AF665" i="1"/>
  <c r="AF663" i="1"/>
  <c r="AF651" i="1"/>
  <c r="AF649" i="1"/>
  <c r="AF647" i="1"/>
  <c r="AF645" i="1"/>
  <c r="AF643" i="1"/>
  <c r="AF635" i="1"/>
  <c r="AF633" i="1"/>
  <c r="AF631" i="1"/>
  <c r="AF629" i="1"/>
  <c r="AF627" i="1"/>
  <c r="AF625" i="1"/>
  <c r="AF623" i="1"/>
  <c r="AF621" i="1"/>
  <c r="AF619" i="1"/>
  <c r="AF617" i="1"/>
  <c r="AF615" i="1"/>
  <c r="AF613" i="1"/>
  <c r="AF611" i="1"/>
  <c r="AF609" i="1"/>
  <c r="AF607" i="1"/>
  <c r="AF605" i="1"/>
  <c r="AF603" i="1"/>
  <c r="AF593" i="1"/>
  <c r="AF591" i="1"/>
  <c r="AF587" i="1"/>
  <c r="AF581" i="1"/>
  <c r="AF579" i="1"/>
  <c r="AF577" i="1"/>
  <c r="AF575" i="1"/>
  <c r="AF573" i="1"/>
  <c r="AF583" i="1"/>
  <c r="AF585" i="1"/>
  <c r="AF571" i="1"/>
  <c r="AF569" i="1"/>
  <c r="AF567" i="1"/>
  <c r="AF565" i="1"/>
  <c r="AF563" i="1"/>
  <c r="AF561" i="1"/>
  <c r="AF559" i="1"/>
  <c r="AF557" i="1"/>
  <c r="AF555" i="1"/>
  <c r="AF553" i="1"/>
  <c r="AF551" i="1"/>
  <c r="AF549" i="1"/>
  <c r="AF547" i="1"/>
  <c r="AF545" i="1"/>
  <c r="AF543" i="1"/>
  <c r="AF541" i="1"/>
  <c r="AF539" i="1"/>
  <c r="AF537" i="1"/>
  <c r="AF535" i="1"/>
  <c r="AF533" i="1"/>
  <c r="AF531" i="1"/>
  <c r="AF529" i="1"/>
  <c r="AF527" i="1"/>
  <c r="AF525" i="1"/>
  <c r="AF523" i="1"/>
  <c r="AF521" i="1"/>
  <c r="AF519" i="1"/>
  <c r="AF517" i="1"/>
  <c r="AF515" i="1"/>
  <c r="AF511" i="1"/>
  <c r="AF509" i="1"/>
  <c r="AF507" i="1"/>
  <c r="AF505" i="1"/>
  <c r="AF503" i="1"/>
  <c r="AF501" i="1"/>
  <c r="AF499" i="1"/>
  <c r="AF497" i="1"/>
  <c r="AF491" i="1"/>
  <c r="AF489" i="1"/>
  <c r="AF487" i="1"/>
  <c r="AF471" i="1"/>
  <c r="AF475" i="1"/>
  <c r="AF473" i="1"/>
  <c r="AF469" i="1"/>
  <c r="AF467" i="1"/>
  <c r="AF465" i="1"/>
  <c r="AF463" i="1"/>
  <c r="AF461" i="1"/>
  <c r="AF459" i="1"/>
  <c r="AF457" i="1"/>
  <c r="AF455" i="1"/>
  <c r="AF453" i="1"/>
  <c r="AF451" i="1"/>
  <c r="AF449" i="1"/>
  <c r="AF447" i="1"/>
  <c r="AF445" i="1"/>
  <c r="AF443" i="1"/>
  <c r="AF441" i="1"/>
  <c r="AF439" i="1"/>
  <c r="AF437" i="1"/>
  <c r="AF435" i="1"/>
  <c r="AF433" i="1"/>
  <c r="AF407" i="1"/>
  <c r="AF405" i="1"/>
  <c r="AF403" i="1"/>
  <c r="AF401" i="1"/>
  <c r="AF399" i="1"/>
  <c r="AF397" i="1"/>
  <c r="AF395" i="1"/>
  <c r="AF361" i="1"/>
  <c r="AF359" i="1"/>
  <c r="AF357" i="1"/>
  <c r="AF355" i="1"/>
  <c r="AF353" i="1"/>
  <c r="AF351" i="1"/>
  <c r="AF349" i="1"/>
  <c r="AF347" i="1"/>
  <c r="AF345" i="1"/>
  <c r="AF343" i="1"/>
  <c r="AF341" i="1"/>
  <c r="AF339" i="1"/>
  <c r="AF327" i="1"/>
  <c r="AF325" i="1"/>
  <c r="AF323" i="1"/>
  <c r="AF321" i="1"/>
  <c r="AF319" i="1"/>
  <c r="AF317" i="1"/>
  <c r="AF315" i="1"/>
  <c r="AF313" i="1"/>
  <c r="AF311" i="1"/>
  <c r="AF309" i="1"/>
  <c r="AF307" i="1"/>
  <c r="AF305" i="1"/>
  <c r="AF303" i="1"/>
  <c r="AF301" i="1"/>
  <c r="AF299" i="1"/>
  <c r="AF297" i="1"/>
  <c r="AF295" i="1"/>
  <c r="AF293" i="1"/>
  <c r="AF291" i="1"/>
  <c r="AF289" i="1"/>
  <c r="AF287" i="1"/>
  <c r="AF285" i="1"/>
  <c r="AF283" i="1"/>
  <c r="AF281" i="1"/>
  <c r="AF279" i="1"/>
  <c r="AF277" i="1"/>
  <c r="AF275" i="1"/>
  <c r="AF273" i="1"/>
  <c r="AF271" i="1"/>
  <c r="AF269" i="1"/>
  <c r="AF267" i="1"/>
  <c r="AF265" i="1"/>
  <c r="AF263" i="1"/>
  <c r="AF261" i="1"/>
  <c r="AF259" i="1"/>
  <c r="AF257" i="1"/>
  <c r="AF255" i="1"/>
  <c r="AF253" i="1"/>
  <c r="AF251" i="1"/>
  <c r="AF249" i="1"/>
  <c r="AF247" i="1"/>
  <c r="AF245" i="1"/>
  <c r="AF239" i="1"/>
  <c r="AF237" i="1"/>
  <c r="AF235" i="1"/>
  <c r="AF233" i="1"/>
  <c r="AF231" i="1"/>
  <c r="AF229" i="1"/>
  <c r="AF225" i="1"/>
  <c r="AF223" i="1"/>
  <c r="AF221" i="1"/>
  <c r="AF219" i="1"/>
  <c r="AF217" i="1"/>
  <c r="AF213" i="1"/>
  <c r="AF211" i="1"/>
  <c r="AF209" i="1"/>
  <c r="AF207" i="1"/>
  <c r="AF205" i="1"/>
  <c r="AF203" i="1"/>
  <c r="AF201" i="1"/>
  <c r="AF193" i="1"/>
  <c r="AF191" i="1"/>
  <c r="AF189" i="1"/>
  <c r="AF187" i="1"/>
  <c r="AF185" i="1"/>
  <c r="AF183" i="1"/>
  <c r="AF181" i="1"/>
  <c r="AF179" i="1"/>
  <c r="AF177" i="1"/>
  <c r="AF175" i="1"/>
  <c r="AF173" i="1"/>
  <c r="AF165" i="1"/>
  <c r="AF163" i="1"/>
  <c r="AF161" i="1"/>
  <c r="AF159" i="1"/>
  <c r="AF157" i="1"/>
  <c r="AF155" i="1"/>
  <c r="AF153" i="1"/>
  <c r="AF151" i="1"/>
  <c r="AF141" i="1"/>
  <c r="AF139" i="1"/>
  <c r="AF137" i="1"/>
  <c r="AF135" i="1"/>
  <c r="AF133" i="1"/>
  <c r="AF131" i="1"/>
  <c r="AF129" i="1"/>
  <c r="AF127" i="1"/>
  <c r="AF125" i="1"/>
  <c r="AF123" i="1"/>
  <c r="AF121" i="1"/>
  <c r="AF119" i="1"/>
  <c r="AF115" i="1"/>
  <c r="AF113" i="1"/>
  <c r="AF111" i="1"/>
  <c r="AF109" i="1"/>
  <c r="AF107" i="1"/>
  <c r="AF105" i="1"/>
  <c r="AF103" i="1"/>
  <c r="AF101" i="1"/>
  <c r="AF99" i="1"/>
  <c r="AF97" i="1"/>
  <c r="AF95" i="1"/>
  <c r="AF93" i="1"/>
  <c r="AF91" i="1"/>
  <c r="AF89" i="1"/>
  <c r="AF87" i="1"/>
  <c r="AF85" i="1"/>
  <c r="AF83" i="1"/>
  <c r="AF73" i="1"/>
  <c r="AF71" i="1"/>
  <c r="AF81" i="1"/>
  <c r="AF79" i="1"/>
  <c r="AF77" i="1"/>
  <c r="AF75" i="1"/>
  <c r="AF69" i="1"/>
  <c r="AF67" i="1"/>
  <c r="AF65" i="1"/>
  <c r="AF63" i="1"/>
  <c r="AF61" i="1"/>
  <c r="AF59" i="1"/>
  <c r="AF57" i="1"/>
  <c r="AF55" i="1"/>
  <c r="AF53" i="1"/>
  <c r="AF51" i="1"/>
  <c r="AF47" i="1"/>
  <c r="AF45" i="1"/>
  <c r="AF43" i="1"/>
  <c r="AF49" i="1"/>
  <c r="AF41" i="1"/>
  <c r="AF39" i="1"/>
  <c r="AF37" i="1"/>
  <c r="AF35" i="1"/>
  <c r="AF33" i="1"/>
  <c r="AF31" i="1"/>
  <c r="AF29" i="1"/>
  <c r="AF27" i="1"/>
  <c r="AF25" i="1"/>
  <c r="AF23" i="1"/>
  <c r="AF21" i="1"/>
  <c r="AF19" i="1"/>
  <c r="AF17" i="1"/>
  <c r="AF15" i="1"/>
  <c r="AF13" i="1"/>
  <c r="AF11" i="1"/>
  <c r="AF9" i="1"/>
  <c r="AF7" i="1"/>
  <c r="AF5" i="1"/>
  <c r="AF3" i="1"/>
  <c r="Y1501" i="1"/>
  <c r="AE1501" i="1" s="1"/>
  <c r="Y1499" i="1"/>
  <c r="AE1499" i="1" s="1"/>
  <c r="Y1497" i="1"/>
  <c r="Y1495" i="1"/>
  <c r="Y1493" i="1"/>
  <c r="Y1491" i="1"/>
  <c r="Y1489" i="1"/>
  <c r="Y1487" i="1"/>
  <c r="Y1485" i="1"/>
  <c r="Y1483" i="1"/>
  <c r="Y1481" i="1"/>
  <c r="Y1479" i="1"/>
  <c r="Y1477" i="1"/>
  <c r="Y1473" i="1"/>
  <c r="AE1473" i="1" s="1"/>
  <c r="Y1471" i="1"/>
  <c r="AE1471" i="1" s="1"/>
  <c r="Y1469" i="1"/>
  <c r="Y1467" i="1"/>
  <c r="Y1461" i="1"/>
  <c r="AE1461" i="1" s="1"/>
  <c r="Y1459" i="1"/>
  <c r="AE1459" i="1" s="1"/>
  <c r="Y1457" i="1"/>
  <c r="AE1457" i="1" s="1"/>
  <c r="Y1455" i="1"/>
  <c r="AE1455" i="1" s="1"/>
  <c r="Y1453" i="1"/>
  <c r="AE1453" i="1" s="1"/>
  <c r="Y1451" i="1"/>
  <c r="AE1451" i="1" s="1"/>
  <c r="Y1449" i="1"/>
  <c r="AE1449" i="1" s="1"/>
  <c r="Y1445" i="1"/>
  <c r="AE1445" i="1" s="1"/>
  <c r="Y1443" i="1"/>
  <c r="AE1443" i="1" s="1"/>
  <c r="Y1433" i="1"/>
  <c r="Y1431" i="1"/>
  <c r="Y1429" i="1"/>
  <c r="Y1427" i="1"/>
  <c r="Y1425" i="1"/>
  <c r="AE1425" i="1" s="1"/>
  <c r="Y1423" i="1"/>
  <c r="AE1423" i="1" s="1"/>
  <c r="Y1419" i="1"/>
  <c r="AE1419" i="1" s="1"/>
  <c r="Y1401" i="1"/>
  <c r="AE1401" i="1" s="1"/>
  <c r="Y1399" i="1"/>
  <c r="AE1399" i="1" s="1"/>
  <c r="Y1393" i="1"/>
  <c r="AE1393" i="1" s="1"/>
  <c r="Y1391" i="1"/>
  <c r="AE1391" i="1" s="1"/>
  <c r="Y1383" i="1"/>
  <c r="AE1383" i="1" s="1"/>
  <c r="Y1381" i="1"/>
  <c r="AE1381" i="1" s="1"/>
  <c r="Y1379" i="1"/>
  <c r="AE1379" i="1" s="1"/>
  <c r="Y1377" i="1"/>
  <c r="AE1377" i="1" s="1"/>
  <c r="Y1375" i="1"/>
  <c r="AE1375" i="1" s="1"/>
  <c r="Y1373" i="1"/>
  <c r="Y1371" i="1"/>
  <c r="Y1369" i="1"/>
  <c r="Y1367" i="1"/>
  <c r="Y1365" i="1"/>
  <c r="Y1363" i="1"/>
  <c r="Y1361" i="1"/>
  <c r="Y1353" i="1"/>
  <c r="Y1351" i="1"/>
  <c r="AE1351" i="1" s="1"/>
  <c r="Y1349" i="1"/>
  <c r="Y1347" i="1"/>
  <c r="Y1345" i="1"/>
  <c r="Y1343" i="1"/>
  <c r="Y1331" i="1"/>
  <c r="AE1331" i="1" s="1"/>
  <c r="Y1329" i="1"/>
  <c r="AE1329" i="1" s="1"/>
  <c r="Y1327" i="1"/>
  <c r="Y1325" i="1"/>
  <c r="Y1323" i="1"/>
  <c r="AE1323" i="1" s="1"/>
  <c r="Y1321" i="1"/>
  <c r="AE1321" i="1" s="1"/>
  <c r="Y1319" i="1"/>
  <c r="Y1317" i="1"/>
  <c r="Y1315" i="1"/>
  <c r="Y1313" i="1"/>
  <c r="Y1311" i="1"/>
  <c r="AE1311" i="1" s="1"/>
  <c r="Y1309" i="1"/>
  <c r="Y1307" i="1"/>
  <c r="Y1305" i="1"/>
  <c r="AE1305" i="1" s="1"/>
  <c r="Y1297" i="1"/>
  <c r="AE1297" i="1" s="1"/>
  <c r="Y1303" i="1"/>
  <c r="AE1303" i="1" s="1"/>
  <c r="Y1295" i="1"/>
  <c r="AE1295" i="1" s="1"/>
  <c r="Y1289" i="1"/>
  <c r="AE1289" i="1" s="1"/>
  <c r="Y1301" i="1"/>
  <c r="AE1301" i="1" s="1"/>
  <c r="Y1293" i="1"/>
  <c r="AE1293" i="1" s="1"/>
  <c r="Y1299" i="1"/>
  <c r="AE1299" i="1" s="1"/>
  <c r="Y1291" i="1"/>
  <c r="AE1291" i="1" s="1"/>
  <c r="Y1287" i="1"/>
  <c r="AE1287" i="1" s="1"/>
  <c r="Y1285" i="1"/>
  <c r="Y1283" i="1"/>
  <c r="Y1281" i="1"/>
  <c r="Y1279" i="1"/>
  <c r="Y1277" i="1"/>
  <c r="Y1275" i="1"/>
  <c r="Y1257" i="1"/>
  <c r="AE1257" i="1" s="1"/>
  <c r="Y1255" i="1"/>
  <c r="AE1255" i="1" s="1"/>
  <c r="Y1253" i="1"/>
  <c r="AE1253" i="1" s="1"/>
  <c r="Y1251" i="1"/>
  <c r="AE1251" i="1" s="1"/>
  <c r="Y1249" i="1"/>
  <c r="AE1249" i="1" s="1"/>
  <c r="Y1247" i="1"/>
  <c r="AE1247" i="1" s="1"/>
  <c r="Y1245" i="1"/>
  <c r="AE1245" i="1" s="1"/>
  <c r="Y1243" i="1"/>
  <c r="AE1243" i="1" s="1"/>
  <c r="Y1241" i="1"/>
  <c r="AE1241" i="1" s="1"/>
  <c r="Y1239" i="1"/>
  <c r="AE1239" i="1" s="1"/>
  <c r="Y1237" i="1"/>
  <c r="AE1237" i="1" s="1"/>
  <c r="Y1187" i="1"/>
  <c r="Y1185" i="1"/>
  <c r="Y1183" i="1"/>
  <c r="Y1181" i="1"/>
  <c r="Y1179" i="1"/>
  <c r="Y1177" i="1"/>
  <c r="Y1175" i="1"/>
  <c r="Y1173" i="1"/>
  <c r="Y1171" i="1"/>
  <c r="Y1169" i="1"/>
  <c r="Y1167" i="1"/>
  <c r="Y1155" i="1"/>
  <c r="Y1153" i="1"/>
  <c r="Y1137" i="1"/>
  <c r="Y1109" i="1"/>
  <c r="AE1109" i="1" s="1"/>
  <c r="Y1107" i="1"/>
  <c r="AE1107" i="1" s="1"/>
  <c r="Y1105" i="1"/>
  <c r="AE1105" i="1" s="1"/>
  <c r="Y1103" i="1"/>
  <c r="AE1103" i="1" s="1"/>
  <c r="Y1101" i="1"/>
  <c r="AE1101" i="1" s="1"/>
  <c r="Y1099" i="1"/>
  <c r="AE1099" i="1" s="1"/>
  <c r="Y1097" i="1"/>
  <c r="AE1097" i="1" s="1"/>
  <c r="Y1095" i="1"/>
  <c r="AE1095" i="1" s="1"/>
  <c r="Y1093" i="1"/>
  <c r="AE1093" i="1" s="1"/>
  <c r="Y1091" i="1"/>
  <c r="AE1091" i="1" s="1"/>
  <c r="Y1089" i="1"/>
  <c r="AE1089" i="1" s="1"/>
  <c r="Y1087" i="1"/>
  <c r="AE1087" i="1" s="1"/>
  <c r="Y1085" i="1"/>
  <c r="AE1085" i="1" s="1"/>
  <c r="Y1083" i="1"/>
  <c r="AE1083" i="1" s="1"/>
  <c r="Y1081" i="1"/>
  <c r="AE1081" i="1" s="1"/>
  <c r="Y1079" i="1"/>
  <c r="AE1079" i="1" s="1"/>
  <c r="Y1077" i="1"/>
  <c r="AE1077" i="1" s="1"/>
  <c r="Y1075" i="1"/>
  <c r="AE1075" i="1" s="1"/>
  <c r="Y1073" i="1"/>
  <c r="AE1073" i="1" s="1"/>
  <c r="Y1071" i="1"/>
  <c r="AE1071" i="1" s="1"/>
  <c r="Y1069" i="1"/>
  <c r="AE1069" i="1" s="1"/>
  <c r="Y1065" i="1"/>
  <c r="AE1065" i="1" s="1"/>
  <c r="Y1063" i="1"/>
  <c r="AE1063" i="1" s="1"/>
  <c r="Y1061" i="1"/>
  <c r="AE1061" i="1" s="1"/>
  <c r="Y1059" i="1"/>
  <c r="AE1059" i="1" s="1"/>
  <c r="Y1057" i="1"/>
  <c r="AE1057" i="1" s="1"/>
  <c r="Y1055" i="1"/>
  <c r="AE1055" i="1" s="1"/>
  <c r="Y1053" i="1"/>
  <c r="AE1053" i="1" s="1"/>
  <c r="Y1051" i="1"/>
  <c r="AE1051" i="1" s="1"/>
  <c r="Y1049" i="1"/>
  <c r="AE1049" i="1" s="1"/>
  <c r="Y1047" i="1"/>
  <c r="AE1047" i="1" s="1"/>
  <c r="Y1045" i="1"/>
  <c r="AE1045" i="1" s="1"/>
  <c r="Y1043" i="1"/>
  <c r="AE1043" i="1" s="1"/>
  <c r="Y1041" i="1"/>
  <c r="AE1041" i="1" s="1"/>
  <c r="Y1039" i="1"/>
  <c r="AE1039" i="1" s="1"/>
  <c r="Y1037" i="1"/>
  <c r="Y1035" i="1"/>
  <c r="Y1019" i="1"/>
  <c r="Y1033" i="1"/>
  <c r="Y1017" i="1"/>
  <c r="Y1031" i="1"/>
  <c r="Y1015" i="1"/>
  <c r="Y1029" i="1"/>
  <c r="Y1013" i="1"/>
  <c r="Y1027" i="1"/>
  <c r="Y1011" i="1"/>
  <c r="Y1025" i="1"/>
  <c r="Y1009" i="1"/>
  <c r="Y1023" i="1"/>
  <c r="Y1021" i="1"/>
  <c r="Y1007" i="1"/>
  <c r="AE1007" i="1" s="1"/>
  <c r="Y1005" i="1"/>
  <c r="AE1005" i="1" s="1"/>
  <c r="Y1003" i="1"/>
  <c r="AE1003" i="1" s="1"/>
  <c r="Y1001" i="1"/>
  <c r="AE1001" i="1" s="1"/>
  <c r="Y997" i="1"/>
  <c r="Y995" i="1"/>
  <c r="Y983" i="1"/>
  <c r="AE983" i="1" s="1"/>
  <c r="Y981" i="1"/>
  <c r="AE981" i="1" s="1"/>
  <c r="Y979" i="1"/>
  <c r="AE979" i="1" s="1"/>
  <c r="Y977" i="1"/>
  <c r="AE977" i="1" s="1"/>
  <c r="Y975" i="1"/>
  <c r="AE975" i="1" s="1"/>
  <c r="Y973" i="1"/>
  <c r="AE973" i="1" s="1"/>
  <c r="Y971" i="1"/>
  <c r="AE971" i="1" s="1"/>
  <c r="Y969" i="1"/>
  <c r="Y967" i="1"/>
  <c r="Y965" i="1"/>
  <c r="Y953" i="1"/>
  <c r="AE953" i="1" s="1"/>
  <c r="Y947" i="1"/>
  <c r="AE947" i="1" s="1"/>
  <c r="Y945" i="1"/>
  <c r="AE945" i="1" s="1"/>
  <c r="Y943" i="1"/>
  <c r="AE943" i="1" s="1"/>
  <c r="Y941" i="1"/>
  <c r="AE941" i="1" s="1"/>
  <c r="Y929" i="1"/>
  <c r="AE929" i="1" s="1"/>
  <c r="Y927" i="1"/>
  <c r="AE927" i="1" s="1"/>
  <c r="Y925" i="1"/>
  <c r="AE925" i="1" s="1"/>
  <c r="Y923" i="1"/>
  <c r="AE923" i="1" s="1"/>
  <c r="Y921" i="1"/>
  <c r="AE921" i="1" s="1"/>
  <c r="Y919" i="1"/>
  <c r="AE919" i="1" s="1"/>
  <c r="Y917" i="1"/>
  <c r="AE917" i="1" s="1"/>
  <c r="Y915" i="1"/>
  <c r="AE915" i="1" s="1"/>
  <c r="Y879" i="1"/>
  <c r="Y877" i="1"/>
  <c r="Y875" i="1"/>
  <c r="Y829" i="1"/>
  <c r="Y827" i="1"/>
  <c r="Y825" i="1"/>
  <c r="Y823" i="1"/>
  <c r="Y821" i="1"/>
  <c r="AE821" i="1" s="1"/>
  <c r="Y807" i="1"/>
  <c r="Y805" i="1"/>
  <c r="Y803" i="1"/>
  <c r="Y801" i="1"/>
  <c r="AE801" i="1" s="1"/>
  <c r="Y799" i="1"/>
  <c r="AE799" i="1" s="1"/>
  <c r="Y797" i="1"/>
  <c r="AE797" i="1" s="1"/>
  <c r="Y795" i="1"/>
  <c r="AE795" i="1" s="1"/>
  <c r="Y791" i="1"/>
  <c r="Y789" i="1"/>
  <c r="Y787" i="1"/>
  <c r="Y733" i="1"/>
  <c r="AE733" i="1" s="1"/>
  <c r="Y731" i="1"/>
  <c r="AE731" i="1" s="1"/>
  <c r="Y683" i="1"/>
  <c r="Y681" i="1"/>
  <c r="Y651" i="1"/>
  <c r="AE651" i="1" s="1"/>
  <c r="Y649" i="1"/>
  <c r="Y647" i="1"/>
  <c r="Y645" i="1"/>
  <c r="Y643" i="1"/>
  <c r="Y635" i="1"/>
  <c r="Y633" i="1"/>
  <c r="Y631" i="1"/>
  <c r="Y629" i="1"/>
  <c r="Y605" i="1"/>
  <c r="AE605" i="1" s="1"/>
  <c r="Y603" i="1"/>
  <c r="AE603" i="1" s="1"/>
  <c r="Y593" i="1"/>
  <c r="AE593" i="1" s="1"/>
  <c r="Y591" i="1"/>
  <c r="Y589" i="1"/>
  <c r="AE589" i="1" s="1"/>
  <c r="Y587" i="1"/>
  <c r="AE587" i="1" s="1"/>
  <c r="Y581" i="1"/>
  <c r="Y579" i="1"/>
  <c r="Y577" i="1"/>
  <c r="Y575" i="1"/>
  <c r="Y573" i="1"/>
  <c r="Y583" i="1"/>
  <c r="AE583" i="1" s="1"/>
  <c r="Y585" i="1"/>
  <c r="AE585" i="1" s="1"/>
  <c r="Y571" i="1"/>
  <c r="AE571" i="1" s="1"/>
  <c r="Y569" i="1"/>
  <c r="AE569" i="1" s="1"/>
  <c r="Y565" i="1"/>
  <c r="AE565" i="1" s="1"/>
  <c r="Y563" i="1"/>
  <c r="AE563" i="1" s="1"/>
  <c r="Y561" i="1"/>
  <c r="AE561" i="1" s="1"/>
  <c r="Y559" i="1"/>
  <c r="AE559" i="1" s="1"/>
  <c r="Y557" i="1"/>
  <c r="AE557" i="1" s="1"/>
  <c r="Y555" i="1"/>
  <c r="AE555" i="1" s="1"/>
  <c r="Y549" i="1"/>
  <c r="Y547" i="1"/>
  <c r="Y545" i="1"/>
  <c r="AE545" i="1" s="1"/>
  <c r="Y543" i="1"/>
  <c r="AE543" i="1" s="1"/>
  <c r="Y541" i="1"/>
  <c r="AE541" i="1" s="1"/>
  <c r="Y539" i="1"/>
  <c r="AE539" i="1" s="1"/>
  <c r="Y511" i="1"/>
  <c r="Y503" i="1"/>
  <c r="AE503" i="1" s="1"/>
  <c r="Y501" i="1"/>
  <c r="AE501" i="1" s="1"/>
  <c r="Y491" i="1"/>
  <c r="Y489" i="1"/>
  <c r="Y487" i="1"/>
  <c r="Y471" i="1"/>
  <c r="AE471" i="1" s="1"/>
  <c r="Y475" i="1"/>
  <c r="Y473" i="1"/>
  <c r="AE473" i="1" s="1"/>
  <c r="Y469" i="1"/>
  <c r="AE469" i="1" s="1"/>
  <c r="Y467" i="1"/>
  <c r="AE467" i="1" s="1"/>
  <c r="Y465" i="1"/>
  <c r="AE465" i="1" s="1"/>
  <c r="Y463" i="1"/>
  <c r="AE463" i="1" s="1"/>
  <c r="Y461" i="1"/>
  <c r="AE461" i="1" s="1"/>
  <c r="Y459" i="1"/>
  <c r="AE459" i="1" s="1"/>
  <c r="Y457" i="1"/>
  <c r="AE457" i="1" s="1"/>
  <c r="Y455" i="1"/>
  <c r="AE455" i="1" s="1"/>
  <c r="Y453" i="1"/>
  <c r="AE453" i="1" s="1"/>
  <c r="Y451" i="1"/>
  <c r="AE451" i="1" s="1"/>
  <c r="Y449" i="1"/>
  <c r="AE449" i="1" s="1"/>
  <c r="Y447" i="1"/>
  <c r="AE447" i="1" s="1"/>
  <c r="Y445" i="1"/>
  <c r="AE445" i="1" s="1"/>
  <c r="Y443" i="1"/>
  <c r="AE443" i="1" s="1"/>
  <c r="Y439" i="1"/>
  <c r="AE439" i="1" s="1"/>
  <c r="Y437" i="1"/>
  <c r="AE437" i="1" s="1"/>
  <c r="Y435" i="1"/>
  <c r="AE435" i="1" s="1"/>
  <c r="Y407" i="1"/>
  <c r="AE407" i="1" s="1"/>
  <c r="Y405" i="1"/>
  <c r="AE405" i="1" s="1"/>
  <c r="Y403" i="1"/>
  <c r="AE403" i="1" s="1"/>
  <c r="Y401" i="1"/>
  <c r="AE401" i="1" s="1"/>
  <c r="Y395" i="1"/>
  <c r="AE395" i="1" s="1"/>
  <c r="Y361" i="1"/>
  <c r="AE361" i="1" s="1"/>
  <c r="Y359" i="1"/>
  <c r="AE359" i="1" s="1"/>
  <c r="Y357" i="1"/>
  <c r="Y355" i="1"/>
  <c r="AE355" i="1" s="1"/>
  <c r="Y353" i="1"/>
  <c r="AE353" i="1" s="1"/>
  <c r="Y351" i="1"/>
  <c r="AE351" i="1" s="1"/>
  <c r="Y349" i="1"/>
  <c r="AE349" i="1" s="1"/>
  <c r="Y347" i="1"/>
  <c r="AE347" i="1" s="1"/>
  <c r="Y345" i="1"/>
  <c r="AE345" i="1" s="1"/>
  <c r="Y343" i="1"/>
  <c r="AE343" i="1" s="1"/>
  <c r="Y341" i="1"/>
  <c r="AE341" i="1" s="1"/>
  <c r="Y339" i="1"/>
  <c r="AE339" i="1" s="1"/>
  <c r="Y327" i="1"/>
  <c r="AE327" i="1" s="1"/>
  <c r="Y325" i="1"/>
  <c r="AE325" i="1" s="1"/>
  <c r="Y323" i="1"/>
  <c r="AE323" i="1" s="1"/>
  <c r="Y321" i="1"/>
  <c r="Y319" i="1"/>
  <c r="Y317" i="1"/>
  <c r="Y315" i="1"/>
  <c r="Y305" i="1"/>
  <c r="Y303" i="1"/>
  <c r="Y301" i="1"/>
  <c r="Y299" i="1"/>
  <c r="AE299" i="1" s="1"/>
  <c r="Y297" i="1"/>
  <c r="AE297" i="1" s="1"/>
  <c r="Y295" i="1"/>
  <c r="AE295" i="1" s="1"/>
  <c r="Y293" i="1"/>
  <c r="AE293" i="1" s="1"/>
  <c r="Y291" i="1"/>
  <c r="AE291" i="1" s="1"/>
  <c r="Y289" i="1"/>
  <c r="AE289" i="1" s="1"/>
  <c r="Y287" i="1"/>
  <c r="Y279" i="1"/>
  <c r="Y277" i="1"/>
  <c r="Y275" i="1"/>
  <c r="Y273" i="1"/>
  <c r="AE273" i="1" s="1"/>
  <c r="Y271" i="1"/>
  <c r="AE271" i="1" s="1"/>
  <c r="Y269" i="1"/>
  <c r="Y267" i="1"/>
  <c r="Y265" i="1"/>
  <c r="Y225" i="1"/>
  <c r="AE225" i="1" s="1"/>
  <c r="Y223" i="1"/>
  <c r="AE223" i="1" s="1"/>
  <c r="Y221" i="1"/>
  <c r="AE221" i="1" s="1"/>
  <c r="Y219" i="1"/>
  <c r="AE219" i="1" s="1"/>
  <c r="Y217" i="1"/>
  <c r="Y213" i="1"/>
  <c r="Y211" i="1"/>
  <c r="AE211" i="1" s="1"/>
  <c r="Y209" i="1"/>
  <c r="AE209" i="1" s="1"/>
  <c r="Y141" i="1"/>
  <c r="AE141" i="1" s="1"/>
  <c r="Y139" i="1"/>
  <c r="Y137" i="1"/>
  <c r="Y135" i="1"/>
  <c r="Y133" i="1"/>
  <c r="Y131" i="1"/>
  <c r="Y129" i="1"/>
  <c r="Y127" i="1"/>
  <c r="Y125" i="1"/>
  <c r="Y123" i="1"/>
  <c r="Y121" i="1"/>
  <c r="Y91" i="1"/>
  <c r="Y89" i="1"/>
  <c r="Y87" i="1"/>
  <c r="Y27" i="1"/>
  <c r="Y25" i="1"/>
  <c r="Y23" i="1"/>
  <c r="Y21" i="1"/>
  <c r="Y19" i="1"/>
  <c r="Y17" i="1"/>
  <c r="Y15" i="1"/>
  <c r="Y13" i="1"/>
  <c r="Y11" i="1"/>
  <c r="Y9" i="1"/>
  <c r="Y7" i="1"/>
  <c r="Y5" i="1"/>
  <c r="Y3" i="1"/>
  <c r="AB1501" i="1" l="1"/>
  <c r="AB1499" i="1"/>
  <c r="AB1475" i="1"/>
  <c r="AB1473" i="1"/>
  <c r="AB1471" i="1"/>
  <c r="AB1461" i="1"/>
  <c r="AB1459" i="1"/>
  <c r="AB1457" i="1"/>
  <c r="AB1455" i="1"/>
  <c r="AB1453" i="1"/>
  <c r="AB1451" i="1"/>
  <c r="AB1449" i="1"/>
  <c r="AB1445" i="1"/>
  <c r="AB1443" i="1"/>
  <c r="AB1441" i="1"/>
  <c r="AB1439" i="1"/>
  <c r="AB1437" i="1"/>
  <c r="AB1435" i="1"/>
  <c r="AB1425" i="1"/>
  <c r="AB1423" i="1"/>
  <c r="AB1419" i="1"/>
  <c r="AB1401" i="1"/>
  <c r="AB1399" i="1"/>
  <c r="AB1393" i="1"/>
  <c r="AB1391" i="1"/>
  <c r="AB1383" i="1"/>
  <c r="AB1381" i="1"/>
  <c r="AB1379" i="1"/>
  <c r="AB1377" i="1"/>
  <c r="AB1375" i="1"/>
  <c r="AB1351" i="1"/>
  <c r="AB1331" i="1"/>
  <c r="AB1329" i="1"/>
  <c r="AB1323" i="1"/>
  <c r="AB1321" i="1"/>
  <c r="AB1311" i="1"/>
  <c r="AB1305" i="1"/>
  <c r="AB1297" i="1"/>
  <c r="AB1303" i="1"/>
  <c r="AB1295" i="1"/>
  <c r="AB1289" i="1"/>
  <c r="AB1301" i="1"/>
  <c r="AB1293" i="1"/>
  <c r="AB1299" i="1"/>
  <c r="AB1291" i="1"/>
  <c r="AB1287" i="1"/>
  <c r="AB1273" i="1"/>
  <c r="AB1267" i="1"/>
  <c r="AB1265" i="1"/>
  <c r="AB1263" i="1"/>
  <c r="AB1261" i="1"/>
  <c r="AB1257" i="1"/>
  <c r="AB1255" i="1"/>
  <c r="AB1253" i="1"/>
  <c r="AB1251" i="1"/>
  <c r="AB1249" i="1"/>
  <c r="AB1247" i="1"/>
  <c r="AB1245" i="1"/>
  <c r="AB1243" i="1"/>
  <c r="AB1241" i="1"/>
  <c r="AB1239" i="1"/>
  <c r="AB1237" i="1"/>
  <c r="AB1223" i="1"/>
  <c r="AB1221" i="1"/>
  <c r="AB1219" i="1"/>
  <c r="AB1217" i="1"/>
  <c r="AB1215" i="1"/>
  <c r="AB1213" i="1"/>
  <c r="AB1165" i="1"/>
  <c r="AB1163" i="1"/>
  <c r="AB1161" i="1"/>
  <c r="AB1159" i="1"/>
  <c r="AB1157" i="1"/>
  <c r="AB1151" i="1"/>
  <c r="AB1149" i="1"/>
  <c r="AB1147" i="1"/>
  <c r="AB1145" i="1"/>
  <c r="AB1127" i="1"/>
  <c r="AB1125" i="1"/>
  <c r="AB1123" i="1"/>
  <c r="AB1121" i="1"/>
  <c r="AB1119" i="1"/>
  <c r="AB1117" i="1"/>
  <c r="AB1115" i="1"/>
  <c r="AB1113" i="1"/>
  <c r="AB1111" i="1"/>
  <c r="AB1109" i="1"/>
  <c r="AB1107" i="1"/>
  <c r="AB1105" i="1"/>
  <c r="AB1103" i="1"/>
  <c r="AB1101" i="1"/>
  <c r="AB1099" i="1"/>
  <c r="AB1097" i="1"/>
  <c r="AB1095" i="1"/>
  <c r="AB1093" i="1"/>
  <c r="AB1091" i="1"/>
  <c r="AB1089" i="1"/>
  <c r="AB1087" i="1"/>
  <c r="AB1085" i="1"/>
  <c r="AB1083" i="1"/>
  <c r="AB1081" i="1"/>
  <c r="AB1079" i="1"/>
  <c r="AB1077" i="1"/>
  <c r="AB1075" i="1"/>
  <c r="AB1073" i="1"/>
  <c r="AB1071" i="1"/>
  <c r="AB1069" i="1"/>
  <c r="AB1065" i="1"/>
  <c r="AB1063" i="1"/>
  <c r="AB1061" i="1"/>
  <c r="AB1059" i="1"/>
  <c r="AB1057" i="1"/>
  <c r="AB1055" i="1"/>
  <c r="AB1053" i="1"/>
  <c r="AB1051" i="1"/>
  <c r="AB1049" i="1"/>
  <c r="AB1047" i="1"/>
  <c r="AB1045" i="1"/>
  <c r="AB1043" i="1"/>
  <c r="AB1041" i="1"/>
  <c r="AB1039" i="1"/>
  <c r="AB1007" i="1"/>
  <c r="AB1005" i="1"/>
  <c r="AB1003" i="1"/>
  <c r="AB1001" i="1"/>
  <c r="AB999" i="1"/>
  <c r="AB983" i="1"/>
  <c r="AB981" i="1"/>
  <c r="AB979" i="1"/>
  <c r="AB977" i="1"/>
  <c r="AB975" i="1"/>
  <c r="AB973" i="1"/>
  <c r="AB971" i="1"/>
  <c r="AB953" i="1"/>
  <c r="AB947" i="1"/>
  <c r="AB945" i="1"/>
  <c r="AB943" i="1"/>
  <c r="AB941" i="1"/>
  <c r="AB937" i="1"/>
  <c r="AB929" i="1"/>
  <c r="AB927" i="1"/>
  <c r="AB925" i="1"/>
  <c r="AB923" i="1"/>
  <c r="AB921" i="1"/>
  <c r="AB919" i="1"/>
  <c r="AB917" i="1"/>
  <c r="AB915" i="1"/>
  <c r="AB865" i="1"/>
  <c r="AB863" i="1"/>
  <c r="AB861" i="1"/>
  <c r="AB859" i="1"/>
  <c r="AB857" i="1"/>
  <c r="AB855" i="1"/>
  <c r="AB853" i="1"/>
  <c r="AB851" i="1"/>
  <c r="AB849" i="1"/>
  <c r="AB847" i="1"/>
  <c r="AB845" i="1"/>
  <c r="AB843" i="1"/>
  <c r="AB841" i="1"/>
  <c r="AB839" i="1"/>
  <c r="AB837" i="1"/>
  <c r="AB835" i="1"/>
  <c r="AB833" i="1"/>
  <c r="AB831" i="1"/>
  <c r="AB821" i="1"/>
  <c r="AB801" i="1"/>
  <c r="AB799" i="1"/>
  <c r="AB797" i="1"/>
  <c r="AB795" i="1"/>
  <c r="AB781" i="1"/>
  <c r="AB779" i="1"/>
  <c r="AB777" i="1"/>
  <c r="AB775" i="1"/>
  <c r="AB765" i="1"/>
  <c r="AB763" i="1"/>
  <c r="AB761" i="1"/>
  <c r="AB759" i="1"/>
  <c r="AB757" i="1"/>
  <c r="AB755" i="1"/>
  <c r="AB753" i="1"/>
  <c r="AB751" i="1"/>
  <c r="AB749" i="1"/>
  <c r="AB747" i="1"/>
  <c r="AB733" i="1"/>
  <c r="AB731" i="1"/>
  <c r="AB721" i="1"/>
  <c r="AB719" i="1"/>
  <c r="AB717" i="1"/>
  <c r="AB697" i="1"/>
  <c r="AB669" i="1"/>
  <c r="AB667" i="1"/>
  <c r="AB665" i="1"/>
  <c r="AB663" i="1"/>
  <c r="AB651" i="1"/>
  <c r="AB627" i="1"/>
  <c r="AB625" i="1"/>
  <c r="AB605" i="1"/>
  <c r="AB603" i="1"/>
  <c r="AB593" i="1"/>
  <c r="AB589" i="1"/>
  <c r="AB587" i="1"/>
  <c r="AB583" i="1"/>
  <c r="AB585" i="1"/>
  <c r="AB571" i="1"/>
  <c r="AB569" i="1"/>
  <c r="AB567" i="1"/>
  <c r="AB565" i="1"/>
  <c r="AB563" i="1"/>
  <c r="AB561" i="1"/>
  <c r="AB559" i="1"/>
  <c r="AB557" i="1"/>
  <c r="AB555" i="1"/>
  <c r="AB545" i="1"/>
  <c r="AB543" i="1"/>
  <c r="AB541" i="1"/>
  <c r="AB539" i="1"/>
  <c r="AB537" i="1"/>
  <c r="AB535" i="1"/>
  <c r="AB533" i="1"/>
  <c r="AB531" i="1"/>
  <c r="AB529" i="1"/>
  <c r="AB527" i="1"/>
  <c r="AB525" i="1"/>
  <c r="AB523" i="1"/>
  <c r="AB521" i="1"/>
  <c r="AB519" i="1"/>
  <c r="AB517" i="1"/>
  <c r="AB515" i="1"/>
  <c r="AB509" i="1"/>
  <c r="AB507" i="1"/>
  <c r="AB505" i="1"/>
  <c r="AB503" i="1"/>
  <c r="AB501" i="1"/>
  <c r="AB499" i="1"/>
  <c r="AB497" i="1"/>
  <c r="AB471" i="1"/>
  <c r="AB473" i="1"/>
  <c r="AB469" i="1"/>
  <c r="AB467" i="1"/>
  <c r="AB465" i="1"/>
  <c r="AB463" i="1"/>
  <c r="AB461" i="1"/>
  <c r="AB459" i="1"/>
  <c r="AB457" i="1"/>
  <c r="AB455" i="1"/>
  <c r="AB453" i="1"/>
  <c r="AB451" i="1"/>
  <c r="AB449" i="1"/>
  <c r="AB447" i="1"/>
  <c r="AB445" i="1"/>
  <c r="AB443" i="1"/>
  <c r="AB441" i="1"/>
  <c r="AB439" i="1"/>
  <c r="AB437" i="1"/>
  <c r="AB435" i="1"/>
  <c r="AB407" i="1"/>
  <c r="AB405" i="1"/>
  <c r="AB403" i="1"/>
  <c r="AB401" i="1"/>
  <c r="AB395" i="1"/>
  <c r="AB361" i="1"/>
  <c r="AB359" i="1"/>
  <c r="AB355" i="1"/>
  <c r="AB353" i="1"/>
  <c r="AB351" i="1"/>
  <c r="AB349" i="1"/>
  <c r="AB347" i="1"/>
  <c r="AB345" i="1"/>
  <c r="AB343" i="1"/>
  <c r="AB341" i="1"/>
  <c r="AB339" i="1"/>
  <c r="AB327" i="1"/>
  <c r="AB325" i="1"/>
  <c r="AB323" i="1"/>
  <c r="AB299" i="1"/>
  <c r="AB297" i="1"/>
  <c r="AB295" i="1"/>
  <c r="AB293" i="1"/>
  <c r="AB291" i="1"/>
  <c r="AB289" i="1"/>
  <c r="AB285" i="1"/>
  <c r="AB283" i="1"/>
  <c r="AB281" i="1"/>
  <c r="AB273" i="1"/>
  <c r="AB271" i="1"/>
  <c r="AB263" i="1"/>
  <c r="AB261" i="1"/>
  <c r="AB259" i="1"/>
  <c r="AB257" i="1"/>
  <c r="AB255" i="1"/>
  <c r="AB253" i="1"/>
  <c r="AB251" i="1"/>
  <c r="AB249" i="1"/>
  <c r="AB247" i="1"/>
  <c r="AB245" i="1"/>
  <c r="AB225" i="1"/>
  <c r="AB223" i="1"/>
  <c r="AB221" i="1"/>
  <c r="AB219" i="1"/>
  <c r="AB211" i="1"/>
  <c r="AB209" i="1"/>
  <c r="AB207" i="1"/>
  <c r="AB205" i="1"/>
  <c r="AB203" i="1"/>
  <c r="AB201" i="1"/>
  <c r="AB193" i="1"/>
  <c r="AB191" i="1"/>
  <c r="AB189" i="1"/>
  <c r="AB187" i="1"/>
  <c r="AB185" i="1"/>
  <c r="AB183" i="1"/>
  <c r="AB181" i="1"/>
  <c r="AB179" i="1"/>
  <c r="AB177" i="1"/>
  <c r="AB175" i="1"/>
  <c r="AB165" i="1"/>
  <c r="AB163" i="1"/>
  <c r="AB161" i="1"/>
  <c r="AB159" i="1"/>
  <c r="AB157" i="1"/>
  <c r="AB155" i="1"/>
  <c r="AB153" i="1"/>
  <c r="AB151" i="1"/>
  <c r="AB141" i="1"/>
  <c r="AB73" i="1"/>
  <c r="AB71" i="1"/>
  <c r="AB81" i="1"/>
  <c r="AB79" i="1"/>
  <c r="AB77" i="1"/>
  <c r="AB75" i="1"/>
  <c r="AB69" i="1"/>
  <c r="AB67" i="1"/>
  <c r="AB65" i="1"/>
  <c r="AB63" i="1"/>
  <c r="AB61" i="1"/>
  <c r="AB59" i="1"/>
  <c r="AB57" i="1"/>
  <c r="AB55" i="1"/>
  <c r="AB53" i="1"/>
  <c r="AB51" i="1"/>
  <c r="AB47" i="1"/>
  <c r="AB45" i="1"/>
  <c r="AB43" i="1"/>
  <c r="AB49" i="1"/>
  <c r="AB41" i="1"/>
  <c r="AB39" i="1"/>
  <c r="AB37" i="1"/>
  <c r="AT1109" i="1" l="1"/>
  <c r="AR1109" i="1"/>
  <c r="AQ1109" i="1"/>
  <c r="AP1109" i="1"/>
  <c r="AO1109" i="1"/>
  <c r="AN1109" i="1"/>
  <c r="AM1109" i="1"/>
  <c r="AL1109" i="1"/>
  <c r="AK1109" i="1"/>
  <c r="AJ1109" i="1"/>
  <c r="AI1109" i="1"/>
  <c r="AG1109" i="1"/>
  <c r="AC1109" i="1"/>
  <c r="AD1109" i="1" s="1"/>
  <c r="AT1107" i="1"/>
  <c r="AR1107" i="1"/>
  <c r="AQ1107" i="1"/>
  <c r="AP1107" i="1"/>
  <c r="AO1107" i="1"/>
  <c r="AN1107" i="1"/>
  <c r="AM1107" i="1"/>
  <c r="AL1107" i="1"/>
  <c r="AK1107" i="1"/>
  <c r="AJ1107" i="1"/>
  <c r="AI1107" i="1"/>
  <c r="AG1107" i="1"/>
  <c r="AC1107" i="1"/>
  <c r="AD1107" i="1" s="1"/>
  <c r="AT1105" i="1"/>
  <c r="AR1105" i="1"/>
  <c r="AQ1105" i="1"/>
  <c r="AP1105" i="1"/>
  <c r="AO1105" i="1"/>
  <c r="AN1105" i="1"/>
  <c r="AM1105" i="1"/>
  <c r="AL1105" i="1"/>
  <c r="AK1105" i="1"/>
  <c r="AJ1105" i="1"/>
  <c r="AI1105" i="1"/>
  <c r="AG1105" i="1"/>
  <c r="AC1105" i="1"/>
  <c r="AD1105" i="1" s="1"/>
  <c r="AT1103" i="1"/>
  <c r="AR1103" i="1"/>
  <c r="AQ1103" i="1"/>
  <c r="AP1103" i="1"/>
  <c r="AO1103" i="1"/>
  <c r="AN1103" i="1"/>
  <c r="AM1103" i="1"/>
  <c r="AL1103" i="1"/>
  <c r="AK1103" i="1"/>
  <c r="AJ1103" i="1"/>
  <c r="AI1103" i="1"/>
  <c r="AG1103" i="1"/>
  <c r="AC1103" i="1"/>
  <c r="AD1103" i="1" s="1"/>
  <c r="AT1101" i="1"/>
  <c r="AR1101" i="1"/>
  <c r="AQ1101" i="1"/>
  <c r="AP1101" i="1"/>
  <c r="AO1101" i="1"/>
  <c r="AN1101" i="1"/>
  <c r="AM1101" i="1"/>
  <c r="AL1101" i="1"/>
  <c r="AK1101" i="1"/>
  <c r="AJ1101" i="1"/>
  <c r="AI1101" i="1"/>
  <c r="AG1101" i="1"/>
  <c r="AC1101" i="1"/>
  <c r="AD1101" i="1" s="1"/>
  <c r="AT1099" i="1"/>
  <c r="AR1099" i="1"/>
  <c r="AQ1099" i="1"/>
  <c r="AP1099" i="1"/>
  <c r="AO1099" i="1"/>
  <c r="AN1099" i="1"/>
  <c r="AM1099" i="1"/>
  <c r="AL1099" i="1"/>
  <c r="AK1099" i="1"/>
  <c r="AJ1099" i="1"/>
  <c r="AI1099" i="1"/>
  <c r="AG1099" i="1"/>
  <c r="AC1099" i="1"/>
  <c r="AD1099" i="1" s="1"/>
  <c r="AT1097" i="1"/>
  <c r="AR1097" i="1"/>
  <c r="AQ1097" i="1"/>
  <c r="AP1097" i="1"/>
  <c r="AO1097" i="1"/>
  <c r="AN1097" i="1"/>
  <c r="AM1097" i="1"/>
  <c r="AL1097" i="1"/>
  <c r="AK1097" i="1"/>
  <c r="AJ1097" i="1"/>
  <c r="AI1097" i="1"/>
  <c r="AG1097" i="1"/>
  <c r="AC1097" i="1"/>
  <c r="AD1097" i="1" s="1"/>
  <c r="AT1095" i="1"/>
  <c r="AR1095" i="1"/>
  <c r="AQ1095" i="1"/>
  <c r="AP1095" i="1"/>
  <c r="AO1095" i="1"/>
  <c r="AN1095" i="1"/>
  <c r="AM1095" i="1"/>
  <c r="AL1095" i="1"/>
  <c r="AK1095" i="1"/>
  <c r="AJ1095" i="1"/>
  <c r="AI1095" i="1"/>
  <c r="AG1095" i="1"/>
  <c r="AC1095" i="1"/>
  <c r="AD1095" i="1" s="1"/>
  <c r="AT1093" i="1"/>
  <c r="AR1093" i="1"/>
  <c r="AQ1093" i="1"/>
  <c r="AP1093" i="1"/>
  <c r="AO1093" i="1"/>
  <c r="AN1093" i="1"/>
  <c r="AM1093" i="1"/>
  <c r="AL1093" i="1"/>
  <c r="AK1093" i="1"/>
  <c r="AJ1093" i="1"/>
  <c r="AI1093" i="1"/>
  <c r="AG1093" i="1"/>
  <c r="AC1093" i="1"/>
  <c r="AD1093" i="1" s="1"/>
  <c r="AT1091" i="1"/>
  <c r="AR1091" i="1"/>
  <c r="AQ1091" i="1"/>
  <c r="AP1091" i="1"/>
  <c r="AO1091" i="1"/>
  <c r="AN1091" i="1"/>
  <c r="AM1091" i="1"/>
  <c r="AL1091" i="1"/>
  <c r="AK1091" i="1"/>
  <c r="AJ1091" i="1"/>
  <c r="AI1091" i="1"/>
  <c r="AG1091" i="1"/>
  <c r="AC1091" i="1"/>
  <c r="AD1091" i="1" s="1"/>
  <c r="AT1089" i="1"/>
  <c r="AR1089" i="1"/>
  <c r="AQ1089" i="1"/>
  <c r="AP1089" i="1"/>
  <c r="AO1089" i="1"/>
  <c r="AN1089" i="1"/>
  <c r="AM1089" i="1"/>
  <c r="AL1089" i="1"/>
  <c r="AK1089" i="1"/>
  <c r="AJ1089" i="1"/>
  <c r="AI1089" i="1"/>
  <c r="AG1089" i="1"/>
  <c r="AC1089" i="1"/>
  <c r="AD1089" i="1" s="1"/>
  <c r="AT1087" i="1"/>
  <c r="AR1087" i="1"/>
  <c r="AQ1087" i="1"/>
  <c r="AP1087" i="1"/>
  <c r="AO1087" i="1"/>
  <c r="AN1087" i="1"/>
  <c r="AM1087" i="1"/>
  <c r="AL1087" i="1"/>
  <c r="AK1087" i="1"/>
  <c r="AJ1087" i="1"/>
  <c r="AI1087" i="1"/>
  <c r="AG1087" i="1"/>
  <c r="AC1087" i="1"/>
  <c r="AD1087" i="1" s="1"/>
  <c r="AT1085" i="1"/>
  <c r="AR1085" i="1"/>
  <c r="AQ1085" i="1"/>
  <c r="AP1085" i="1"/>
  <c r="AO1085" i="1"/>
  <c r="AN1085" i="1"/>
  <c r="AM1085" i="1"/>
  <c r="AL1085" i="1"/>
  <c r="AK1085" i="1"/>
  <c r="AJ1085" i="1"/>
  <c r="AI1085" i="1"/>
  <c r="AG1085" i="1"/>
  <c r="AC1085" i="1"/>
  <c r="AD1085" i="1" s="1"/>
  <c r="AT1083" i="1"/>
  <c r="AR1083" i="1"/>
  <c r="AQ1083" i="1"/>
  <c r="AP1083" i="1"/>
  <c r="AO1083" i="1"/>
  <c r="AN1083" i="1"/>
  <c r="AM1083" i="1"/>
  <c r="AL1083" i="1"/>
  <c r="AK1083" i="1"/>
  <c r="AJ1083" i="1"/>
  <c r="AI1083" i="1"/>
  <c r="AG1083" i="1"/>
  <c r="AC1083" i="1"/>
  <c r="AD1083" i="1" s="1"/>
  <c r="AT1081" i="1"/>
  <c r="AR1081" i="1"/>
  <c r="AQ1081" i="1"/>
  <c r="AP1081" i="1"/>
  <c r="AO1081" i="1"/>
  <c r="AN1081" i="1"/>
  <c r="AM1081" i="1"/>
  <c r="AL1081" i="1"/>
  <c r="AK1081" i="1"/>
  <c r="AJ1081" i="1"/>
  <c r="AI1081" i="1"/>
  <c r="AG1081" i="1"/>
  <c r="AC1081" i="1"/>
  <c r="AD1081" i="1" s="1"/>
  <c r="AX1501" i="1"/>
  <c r="AW1501" i="1"/>
  <c r="AV1501" i="1"/>
  <c r="AC1501" i="1"/>
  <c r="AD1501" i="1" s="1"/>
  <c r="AX1499" i="1"/>
  <c r="AW1499" i="1"/>
  <c r="AV1499" i="1"/>
  <c r="AC1499" i="1"/>
  <c r="AD1499" i="1" s="1"/>
  <c r="AK1499" i="1" l="1"/>
  <c r="AJ1499" i="1"/>
  <c r="AO1501" i="1"/>
  <c r="AI1499" i="1"/>
  <c r="AF1499" i="1"/>
  <c r="AJ1501" i="1"/>
  <c r="AF1501" i="1"/>
  <c r="AI1501" i="1"/>
  <c r="AP1501" i="1"/>
  <c r="AP1499" i="1"/>
  <c r="AK1501" i="1"/>
  <c r="AG1501" i="1"/>
  <c r="AO1499" i="1"/>
  <c r="AG1499" i="1"/>
  <c r="AT1419" i="1" l="1"/>
  <c r="AR1419" i="1"/>
  <c r="AQ1419" i="1"/>
  <c r="AP1419" i="1"/>
  <c r="AO1419" i="1"/>
  <c r="AN1419" i="1"/>
  <c r="AM1419" i="1"/>
  <c r="AL1419" i="1"/>
  <c r="AK1419" i="1"/>
  <c r="AJ1419" i="1"/>
  <c r="AI1419" i="1"/>
  <c r="AG1419" i="1"/>
  <c r="AC1419" i="1"/>
  <c r="AD1419" i="1" s="1"/>
  <c r="AG1351" i="1" l="1"/>
  <c r="AG1311" i="1"/>
  <c r="AG1273" i="1"/>
  <c r="AG1257" i="1"/>
  <c r="AG873" i="1"/>
  <c r="AG871" i="1"/>
  <c r="AG645" i="1"/>
  <c r="AG931" i="1"/>
  <c r="AG837" i="1"/>
  <c r="AG835" i="1"/>
  <c r="AG833" i="1"/>
  <c r="AG831" i="1"/>
  <c r="AG759" i="1"/>
  <c r="AG751" i="1"/>
  <c r="AG439" i="1"/>
  <c r="AG437" i="1"/>
  <c r="AG435" i="1"/>
  <c r="AG399" i="1"/>
  <c r="AG397" i="1"/>
  <c r="AG275" i="1"/>
  <c r="AG1365" i="1"/>
  <c r="AG1363" i="1"/>
  <c r="AG1309" i="1"/>
  <c r="AG1307" i="1"/>
  <c r="AG395" i="1"/>
  <c r="AG165" i="1"/>
  <c r="AG163" i="1"/>
  <c r="AG161" i="1"/>
  <c r="AG159" i="1"/>
  <c r="AG157" i="1"/>
  <c r="AG155" i="1"/>
  <c r="AG153" i="1"/>
  <c r="AG151" i="1"/>
  <c r="AG433" i="1"/>
  <c r="AG313" i="1"/>
  <c r="AG311" i="1"/>
  <c r="AG309" i="1"/>
  <c r="AG307" i="1"/>
  <c r="AG1387" i="1"/>
  <c r="AG1385" i="1"/>
  <c r="AG857" i="1"/>
  <c r="AG855" i="1"/>
  <c r="AG853" i="1"/>
  <c r="AG851" i="1"/>
  <c r="AG849" i="1"/>
  <c r="AG847" i="1"/>
  <c r="AG845" i="1"/>
  <c r="AG843" i="1"/>
  <c r="AG841" i="1"/>
  <c r="AG839" i="1"/>
  <c r="AG491" i="1"/>
  <c r="AG489" i="1"/>
  <c r="AG473" i="1"/>
  <c r="AG73" i="1"/>
  <c r="AG71" i="1"/>
  <c r="AG81" i="1"/>
  <c r="AG79" i="1"/>
  <c r="AG77" i="1"/>
  <c r="AG75" i="1"/>
  <c r="AG69" i="1"/>
  <c r="AG67" i="1"/>
  <c r="AG65" i="1"/>
  <c r="AG63" i="1"/>
  <c r="AG61" i="1"/>
  <c r="AG59" i="1"/>
  <c r="AG57" i="1"/>
  <c r="AG55" i="1"/>
  <c r="AG53" i="1"/>
  <c r="AG51" i="1"/>
  <c r="AG47" i="1"/>
  <c r="AG45" i="1"/>
  <c r="AG43" i="1"/>
  <c r="AG49" i="1"/>
  <c r="AG41" i="1"/>
  <c r="AG1157" i="1"/>
  <c r="AG173" i="1"/>
  <c r="AG39" i="1"/>
  <c r="AG37" i="1"/>
  <c r="AG1393" i="1"/>
  <c r="AG1323" i="1"/>
  <c r="AG1321" i="1"/>
  <c r="AG1165" i="1"/>
  <c r="AG1163" i="1"/>
  <c r="AG1161" i="1"/>
  <c r="AG1159" i="1"/>
  <c r="AG971" i="1"/>
  <c r="AG965" i="1"/>
  <c r="AG929" i="1"/>
  <c r="AG927" i="1"/>
  <c r="AG925" i="1"/>
  <c r="AG923" i="1"/>
  <c r="AG921" i="1"/>
  <c r="AG919" i="1"/>
  <c r="AG917" i="1"/>
  <c r="AG915" i="1"/>
  <c r="AG865" i="1"/>
  <c r="AG863" i="1"/>
  <c r="AG861" i="1"/>
  <c r="AG859" i="1"/>
  <c r="AG719" i="1"/>
  <c r="AG717" i="1"/>
  <c r="AG649" i="1"/>
  <c r="AG647" i="1"/>
  <c r="AG631" i="1"/>
  <c r="AG629" i="1"/>
  <c r="AG579" i="1"/>
  <c r="AG577" i="1"/>
  <c r="AG575" i="1"/>
  <c r="AG573" i="1"/>
  <c r="AG549" i="1"/>
  <c r="AG547" i="1"/>
  <c r="AG545" i="1"/>
  <c r="AG543" i="1"/>
  <c r="AG499" i="1"/>
  <c r="AG497" i="1"/>
  <c r="AG471" i="1"/>
  <c r="AG475" i="1"/>
  <c r="AG453" i="1"/>
  <c r="AG451" i="1"/>
  <c r="AG449" i="1"/>
  <c r="AG447" i="1"/>
  <c r="AG445" i="1"/>
  <c r="AG443" i="1"/>
  <c r="AG441" i="1"/>
  <c r="AG269" i="1"/>
  <c r="AG267" i="1"/>
  <c r="AG265" i="1"/>
  <c r="AG239" i="1"/>
  <c r="AG237" i="1"/>
  <c r="AG235" i="1"/>
  <c r="AG233" i="1"/>
  <c r="AG231" i="1"/>
  <c r="AG229" i="1"/>
  <c r="AG119" i="1"/>
  <c r="AG21" i="1"/>
  <c r="AG1473" i="1"/>
  <c r="AG1471" i="1"/>
  <c r="AG1469" i="1"/>
  <c r="AG1467" i="1"/>
  <c r="AG1461" i="1"/>
  <c r="AG1459" i="1"/>
  <c r="AG1457" i="1"/>
  <c r="AG1455" i="1"/>
  <c r="AG1453" i="1"/>
  <c r="AG1451" i="1"/>
  <c r="AG1449" i="1"/>
  <c r="AG1447" i="1"/>
  <c r="AG1445" i="1"/>
  <c r="AG1443" i="1"/>
  <c r="AG1427" i="1"/>
  <c r="AG1425" i="1"/>
  <c r="AG1423" i="1"/>
  <c r="AG1401" i="1"/>
  <c r="AG1399" i="1"/>
  <c r="AG1361" i="1"/>
  <c r="AG1353" i="1"/>
  <c r="AG1327" i="1"/>
  <c r="AG1325" i="1"/>
  <c r="AG1281" i="1"/>
  <c r="AG1279" i="1"/>
  <c r="AG1277" i="1"/>
  <c r="AG1275" i="1"/>
  <c r="AG1259" i="1"/>
  <c r="AG1183" i="1"/>
  <c r="AG1181" i="1"/>
  <c r="AG1177" i="1"/>
  <c r="AG1175" i="1"/>
  <c r="AG999" i="1"/>
  <c r="AG969" i="1"/>
  <c r="AG967" i="1"/>
  <c r="AG937" i="1"/>
  <c r="AG879" i="1"/>
  <c r="AG877" i="1"/>
  <c r="AG875" i="1"/>
  <c r="AG829" i="1"/>
  <c r="AG827" i="1"/>
  <c r="AG825" i="1"/>
  <c r="AG823" i="1"/>
  <c r="AG821" i="1"/>
  <c r="AG791" i="1"/>
  <c r="AG787" i="1"/>
  <c r="AG767" i="1"/>
  <c r="AG747" i="1"/>
  <c r="AG697" i="1"/>
  <c r="AG683" i="1"/>
  <c r="AG681" i="1"/>
  <c r="AG665" i="1"/>
  <c r="AG663" i="1"/>
  <c r="AG635" i="1"/>
  <c r="AG633" i="1"/>
  <c r="AG623" i="1"/>
  <c r="AG605" i="1"/>
  <c r="AG603" i="1"/>
  <c r="AG587" i="1"/>
  <c r="AG571" i="1"/>
  <c r="AG569" i="1"/>
  <c r="AG529" i="1"/>
  <c r="AG527" i="1"/>
  <c r="AG525" i="1"/>
  <c r="AG523" i="1"/>
  <c r="AG521" i="1"/>
  <c r="AG519" i="1"/>
  <c r="AG517" i="1"/>
  <c r="AG515" i="1"/>
  <c r="AG305" i="1"/>
  <c r="AG279" i="1"/>
  <c r="AG277" i="1"/>
  <c r="AG217" i="1"/>
  <c r="AG213" i="1"/>
  <c r="AG177" i="1"/>
  <c r="AG175" i="1"/>
  <c r="AG139" i="1"/>
  <c r="AG137" i="1"/>
  <c r="AG135" i="1"/>
  <c r="AG133" i="1"/>
  <c r="AG131" i="1"/>
  <c r="AG129" i="1"/>
  <c r="AG127" i="1"/>
  <c r="AG125" i="1"/>
  <c r="AG89" i="1"/>
  <c r="AG85" i="1"/>
  <c r="AG83" i="1"/>
  <c r="AG27" i="1"/>
  <c r="AG25" i="1"/>
  <c r="AG23" i="1"/>
  <c r="AG19" i="1"/>
  <c r="AG17" i="1"/>
  <c r="AG15" i="1"/>
  <c r="AG13" i="1"/>
  <c r="AG11" i="1"/>
  <c r="AG1475" i="1"/>
  <c r="AG1491" i="1"/>
  <c r="AG1489" i="1"/>
  <c r="AG1487" i="1"/>
  <c r="AG1485" i="1"/>
  <c r="AG1373" i="1"/>
  <c r="AG1371" i="1"/>
  <c r="AG1369" i="1"/>
  <c r="AG1367" i="1"/>
  <c r="AG1359" i="1"/>
  <c r="AG1357" i="1"/>
  <c r="AG1349" i="1"/>
  <c r="AG1347" i="1"/>
  <c r="AG1341" i="1"/>
  <c r="AG1339" i="1"/>
  <c r="AG1337" i="1"/>
  <c r="AG1335" i="1"/>
  <c r="AG1333" i="1"/>
  <c r="AG1285" i="1"/>
  <c r="AG1283" i="1"/>
  <c r="AG1267" i="1"/>
  <c r="AG1265" i="1"/>
  <c r="AG1263" i="1"/>
  <c r="AG1261" i="1"/>
  <c r="AG1187" i="1"/>
  <c r="AG1179" i="1"/>
  <c r="AG1155" i="1"/>
  <c r="AG1153" i="1"/>
  <c r="AG1131" i="1"/>
  <c r="AG1129" i="1"/>
  <c r="AG1127" i="1"/>
  <c r="AG1125" i="1"/>
  <c r="AG1121" i="1"/>
  <c r="AG1037" i="1"/>
  <c r="AG1035" i="1"/>
  <c r="AG1033" i="1"/>
  <c r="AG1031" i="1"/>
  <c r="AG1029" i="1"/>
  <c r="AG1027" i="1"/>
  <c r="AG1025" i="1"/>
  <c r="AG1023" i="1"/>
  <c r="AG1021" i="1"/>
  <c r="AG947" i="1"/>
  <c r="AG945" i="1"/>
  <c r="AG943" i="1"/>
  <c r="AG941" i="1"/>
  <c r="AG803" i="1"/>
  <c r="AG729" i="1"/>
  <c r="AG727" i="1"/>
  <c r="AG725" i="1"/>
  <c r="AG627" i="1"/>
  <c r="AG625" i="1"/>
  <c r="AG621" i="1"/>
  <c r="AG619" i="1"/>
  <c r="AG617" i="1"/>
  <c r="AG615" i="1"/>
  <c r="AG613" i="1"/>
  <c r="AG611" i="1"/>
  <c r="AG609" i="1"/>
  <c r="AG607" i="1"/>
  <c r="AG593" i="1"/>
  <c r="AG591" i="1"/>
  <c r="AG567" i="1"/>
  <c r="AG565" i="1"/>
  <c r="AG563" i="1"/>
  <c r="AG561" i="1"/>
  <c r="AG559" i="1"/>
  <c r="AG511" i="1"/>
  <c r="AG487" i="1"/>
  <c r="AG469" i="1"/>
  <c r="AG467" i="1"/>
  <c r="AG465" i="1"/>
  <c r="AG463" i="1"/>
  <c r="AG461" i="1"/>
  <c r="AG459" i="1"/>
  <c r="AG457" i="1"/>
  <c r="AG455" i="1"/>
  <c r="AG357" i="1"/>
  <c r="AG327" i="1"/>
  <c r="AG325" i="1"/>
  <c r="AG323" i="1"/>
  <c r="AG303" i="1"/>
  <c r="AG301" i="1"/>
  <c r="AG263" i="1"/>
  <c r="AG261" i="1"/>
  <c r="AG259" i="1"/>
  <c r="AG257" i="1"/>
  <c r="AG255" i="1"/>
  <c r="AG253" i="1"/>
  <c r="AG251" i="1"/>
  <c r="AG249" i="1"/>
  <c r="AG247" i="1"/>
  <c r="AG245" i="1"/>
  <c r="AG225" i="1"/>
  <c r="AG223" i="1"/>
  <c r="AG221" i="1"/>
  <c r="AG219" i="1"/>
  <c r="AG211" i="1"/>
  <c r="AG209" i="1"/>
  <c r="AG191" i="1"/>
  <c r="AG187" i="1"/>
  <c r="AG185" i="1"/>
  <c r="AG183" i="1"/>
  <c r="AG179" i="1"/>
  <c r="AG123" i="1"/>
  <c r="AG121" i="1"/>
  <c r="AG91" i="1"/>
  <c r="AG87" i="1"/>
  <c r="AG1441" i="1"/>
  <c r="AG1439" i="1"/>
  <c r="AG1437" i="1"/>
  <c r="AG1391" i="1"/>
  <c r="AG1383" i="1"/>
  <c r="AG1381" i="1"/>
  <c r="AG1379" i="1"/>
  <c r="AG1377" i="1"/>
  <c r="AG1375" i="1"/>
  <c r="AG1345" i="1"/>
  <c r="AG1343" i="1"/>
  <c r="AG1319" i="1"/>
  <c r="AG1317" i="1"/>
  <c r="AG1315" i="1"/>
  <c r="AG1313" i="1"/>
  <c r="AG1305" i="1"/>
  <c r="AG1297" i="1"/>
  <c r="AG1303" i="1"/>
  <c r="AG1295" i="1"/>
  <c r="AG1289" i="1"/>
  <c r="AG1301" i="1"/>
  <c r="AG1293" i="1"/>
  <c r="AG1299" i="1"/>
  <c r="AG1291" i="1"/>
  <c r="AG1287" i="1"/>
  <c r="AG1255" i="1"/>
  <c r="AG1253" i="1"/>
  <c r="AG1251" i="1"/>
  <c r="AG1249" i="1"/>
  <c r="AG1247" i="1"/>
  <c r="AG1245" i="1"/>
  <c r="AG1243" i="1"/>
  <c r="AG1241" i="1"/>
  <c r="AG1239" i="1"/>
  <c r="AG1237" i="1"/>
  <c r="AG1223" i="1"/>
  <c r="AG1221" i="1"/>
  <c r="AG1219" i="1"/>
  <c r="AG1217" i="1"/>
  <c r="AG1215" i="1"/>
  <c r="AG1213" i="1"/>
  <c r="AG1211" i="1"/>
  <c r="AG1209" i="1"/>
  <c r="AG1207" i="1"/>
  <c r="AG1205" i="1"/>
  <c r="AG1203" i="1"/>
  <c r="AG1201" i="1"/>
  <c r="AG1199" i="1"/>
  <c r="AG1197" i="1"/>
  <c r="AG1195" i="1"/>
  <c r="AG1193" i="1"/>
  <c r="AG1191" i="1"/>
  <c r="AG1189" i="1"/>
  <c r="AG1185" i="1"/>
  <c r="AG1173" i="1"/>
  <c r="AG1171" i="1"/>
  <c r="AG1169" i="1"/>
  <c r="AG1167" i="1"/>
  <c r="AG1151" i="1"/>
  <c r="AG1149" i="1"/>
  <c r="AG1147" i="1"/>
  <c r="AG1145" i="1"/>
  <c r="AG1143" i="1"/>
  <c r="AG1141" i="1"/>
  <c r="AG1139" i="1"/>
  <c r="AG1137" i="1"/>
  <c r="AG1135" i="1"/>
  <c r="AG1133" i="1"/>
  <c r="AG1119" i="1"/>
  <c r="AG1117" i="1"/>
  <c r="AG1115" i="1"/>
  <c r="AG1113" i="1"/>
  <c r="AG1111" i="1"/>
  <c r="AG1079" i="1"/>
  <c r="AG1077" i="1"/>
  <c r="AG1075" i="1"/>
  <c r="AG1073" i="1"/>
  <c r="AG1071" i="1"/>
  <c r="AG1069" i="1"/>
  <c r="AG1065" i="1"/>
  <c r="AG1063" i="1"/>
  <c r="AG1061" i="1"/>
  <c r="AG1059" i="1"/>
  <c r="AG1057" i="1"/>
  <c r="AG1055" i="1"/>
  <c r="AG1053" i="1"/>
  <c r="AG1051" i="1"/>
  <c r="AG1049" i="1"/>
  <c r="AG1047" i="1"/>
  <c r="AG1045" i="1"/>
  <c r="AG1043" i="1"/>
  <c r="AG1041" i="1"/>
  <c r="AG1039" i="1"/>
  <c r="AG1019" i="1"/>
  <c r="AG1017" i="1"/>
  <c r="AG1015" i="1"/>
  <c r="AG1013" i="1"/>
  <c r="AG1011" i="1"/>
  <c r="AG1009" i="1"/>
  <c r="AG1007" i="1"/>
  <c r="AG1005" i="1"/>
  <c r="AG1003" i="1"/>
  <c r="AG1001" i="1"/>
  <c r="AG983" i="1"/>
  <c r="AG981" i="1"/>
  <c r="AG979" i="1"/>
  <c r="AG977" i="1"/>
  <c r="AG975" i="1"/>
  <c r="AG973" i="1"/>
  <c r="AG807" i="1"/>
  <c r="AG805" i="1"/>
  <c r="AG801" i="1"/>
  <c r="AG799" i="1"/>
  <c r="AG797" i="1"/>
  <c r="AG795" i="1"/>
  <c r="AG789" i="1"/>
  <c r="AG781" i="1"/>
  <c r="AG779" i="1"/>
  <c r="AG777" i="1"/>
  <c r="AG775" i="1"/>
  <c r="AG733" i="1"/>
  <c r="AG731" i="1"/>
  <c r="AG675" i="1"/>
  <c r="AG673" i="1"/>
  <c r="AG671" i="1"/>
  <c r="AG669" i="1"/>
  <c r="AG667" i="1"/>
  <c r="AG643" i="1"/>
  <c r="AG581" i="1"/>
  <c r="AG583" i="1"/>
  <c r="AG585" i="1"/>
  <c r="AG557" i="1"/>
  <c r="AG555" i="1"/>
  <c r="AG553" i="1"/>
  <c r="AG551" i="1"/>
  <c r="AG541" i="1"/>
  <c r="AG539" i="1"/>
  <c r="AG537" i="1"/>
  <c r="AG535" i="1"/>
  <c r="AG533" i="1"/>
  <c r="AG531" i="1"/>
  <c r="AG509" i="1"/>
  <c r="AG507" i="1"/>
  <c r="AG505" i="1"/>
  <c r="AG503" i="1"/>
  <c r="AG501" i="1"/>
  <c r="AG407" i="1"/>
  <c r="AG405" i="1"/>
  <c r="AG403" i="1"/>
  <c r="AG401" i="1"/>
  <c r="AG361" i="1"/>
  <c r="AG359" i="1"/>
  <c r="AG355" i="1"/>
  <c r="AG353" i="1"/>
  <c r="AG351" i="1"/>
  <c r="AG349" i="1"/>
  <c r="AG347" i="1"/>
  <c r="AG345" i="1"/>
  <c r="AG343" i="1"/>
  <c r="AG341" i="1"/>
  <c r="AG339" i="1"/>
  <c r="AG321" i="1"/>
  <c r="AG319" i="1"/>
  <c r="AG317" i="1"/>
  <c r="AG315" i="1"/>
  <c r="AG299" i="1"/>
  <c r="AG297" i="1"/>
  <c r="AG295" i="1"/>
  <c r="AG293" i="1"/>
  <c r="AG291" i="1"/>
  <c r="AG289" i="1"/>
  <c r="AG287" i="1"/>
  <c r="AG285" i="1"/>
  <c r="AG283" i="1"/>
  <c r="AG281" i="1"/>
  <c r="AG273" i="1"/>
  <c r="AG271" i="1"/>
  <c r="AG207" i="1"/>
  <c r="AG205" i="1"/>
  <c r="AG203" i="1"/>
  <c r="AG201" i="1"/>
  <c r="AG193" i="1"/>
  <c r="AG189" i="1"/>
  <c r="AG181" i="1"/>
  <c r="AG115" i="1"/>
  <c r="AG113" i="1"/>
  <c r="AG111" i="1"/>
  <c r="AG109" i="1"/>
  <c r="AG107" i="1"/>
  <c r="AG105" i="1"/>
  <c r="AG103" i="1"/>
  <c r="AG101" i="1"/>
  <c r="AG99" i="1"/>
  <c r="AG97" i="1"/>
  <c r="AG95" i="1"/>
  <c r="AG93" i="1"/>
  <c r="AG35" i="1"/>
  <c r="AG33" i="1"/>
  <c r="AG31" i="1"/>
  <c r="AG29" i="1"/>
  <c r="AG9" i="1"/>
  <c r="AG7" i="1"/>
  <c r="AG5" i="1"/>
  <c r="AG3" i="1"/>
  <c r="BC394" i="1"/>
  <c r="BB394" i="1"/>
  <c r="BA394" i="1"/>
  <c r="AZ394" i="1"/>
  <c r="AW394" i="1"/>
  <c r="AX394" i="1"/>
  <c r="AY394" i="1"/>
  <c r="AA1173" i="1" l="1"/>
  <c r="AX1172" i="1"/>
  <c r="AW1172" i="1"/>
  <c r="AA1171" i="1"/>
  <c r="AX1170" i="1"/>
  <c r="AW1170" i="1"/>
  <c r="AA1169" i="1"/>
  <c r="AX1168" i="1"/>
  <c r="AW1168" i="1"/>
  <c r="AA1167" i="1"/>
  <c r="AW1166" i="1"/>
  <c r="AX1166" i="1"/>
  <c r="AW1474" i="1"/>
  <c r="AV1474" i="1"/>
  <c r="AA1447" i="1"/>
  <c r="AZ1446" i="1"/>
  <c r="AX1446" i="1"/>
  <c r="AY1446" i="1"/>
  <c r="AW1446" i="1"/>
  <c r="AV1446" i="1"/>
  <c r="AX1440" i="1"/>
  <c r="AW1440" i="1"/>
  <c r="AV1440" i="1"/>
  <c r="AX1438" i="1"/>
  <c r="AW1438" i="1"/>
  <c r="AV1438" i="1"/>
  <c r="AW1436" i="1"/>
  <c r="AV1436" i="1"/>
  <c r="AY1358" i="1"/>
  <c r="AX1358" i="1"/>
  <c r="AW1358" i="1"/>
  <c r="AV1358" i="1"/>
  <c r="AY1356" i="1"/>
  <c r="AX1356" i="1"/>
  <c r="AW1356" i="1"/>
  <c r="AV1356" i="1"/>
  <c r="AX1304" i="1"/>
  <c r="AW1304" i="1"/>
  <c r="AX1296" i="1"/>
  <c r="AW1296" i="1"/>
  <c r="AX1302" i="1"/>
  <c r="AW1302" i="1"/>
  <c r="AX1294" i="1"/>
  <c r="AW1294" i="1"/>
  <c r="AX1288" i="1"/>
  <c r="AW1288" i="1"/>
  <c r="AX1300" i="1"/>
  <c r="AW1300" i="1"/>
  <c r="AX1292" i="1"/>
  <c r="AW1292" i="1"/>
  <c r="AX1298" i="1"/>
  <c r="AW1298" i="1"/>
  <c r="AX1290" i="1"/>
  <c r="AW1290" i="1"/>
  <c r="AW1286" i="1"/>
  <c r="AA1259" i="1"/>
  <c r="AZ1258" i="1"/>
  <c r="AY1258" i="1"/>
  <c r="AX1258" i="1"/>
  <c r="AW1258" i="1"/>
  <c r="AV1258" i="1"/>
  <c r="AX1254" i="1"/>
  <c r="AW1254" i="1"/>
  <c r="AX1252" i="1"/>
  <c r="AW1252" i="1"/>
  <c r="AX1250" i="1"/>
  <c r="AW1250" i="1"/>
  <c r="AX1248" i="1"/>
  <c r="AW1248" i="1"/>
  <c r="AX1246" i="1"/>
  <c r="AW1246" i="1"/>
  <c r="AX1244" i="1"/>
  <c r="AW1244" i="1"/>
  <c r="AX1242" i="1"/>
  <c r="AW1242" i="1"/>
  <c r="AX1240" i="1"/>
  <c r="AW1240" i="1"/>
  <c r="AA1211" i="1"/>
  <c r="AA1209" i="1"/>
  <c r="AA1207" i="1"/>
  <c r="AA1205" i="1"/>
  <c r="AA1203" i="1"/>
  <c r="AA1201" i="1"/>
  <c r="AA1199" i="1"/>
  <c r="AA1197" i="1"/>
  <c r="AA1195" i="1"/>
  <c r="AA1193" i="1"/>
  <c r="AA1191" i="1"/>
  <c r="AA1189" i="1"/>
  <c r="AX1210" i="1"/>
  <c r="AX1208" i="1"/>
  <c r="AX1206" i="1"/>
  <c r="AX1204" i="1"/>
  <c r="AX1202" i="1"/>
  <c r="AX1200" i="1"/>
  <c r="AX1198" i="1"/>
  <c r="AX1196" i="1"/>
  <c r="AX1194" i="1"/>
  <c r="AX1192" i="1"/>
  <c r="AX1190" i="1"/>
  <c r="AX1188" i="1"/>
  <c r="AV1210" i="1"/>
  <c r="AV1208" i="1"/>
  <c r="AV1206" i="1"/>
  <c r="AV1204" i="1"/>
  <c r="AV1202" i="1"/>
  <c r="AV1200" i="1"/>
  <c r="AV1198" i="1"/>
  <c r="AV1196" i="1"/>
  <c r="AV1194" i="1"/>
  <c r="AV1192" i="1"/>
  <c r="AV1190" i="1"/>
  <c r="AV1188" i="1"/>
  <c r="AX1184" i="1"/>
  <c r="AA1185" i="1"/>
  <c r="AA1187" i="1"/>
  <c r="AY1186" i="1"/>
  <c r="AX1186" i="1"/>
  <c r="AW1186" i="1"/>
  <c r="AW1184" i="1"/>
  <c r="BA1164" i="1"/>
  <c r="AZ1164" i="1"/>
  <c r="AY1164" i="1"/>
  <c r="AX1164" i="1"/>
  <c r="AW1164" i="1"/>
  <c r="AV1164" i="1"/>
  <c r="BA1162" i="1"/>
  <c r="AZ1162" i="1"/>
  <c r="AY1162" i="1"/>
  <c r="AX1162" i="1"/>
  <c r="AW1162" i="1"/>
  <c r="AV1162" i="1"/>
  <c r="BA1160" i="1"/>
  <c r="AZ1160" i="1"/>
  <c r="AY1160" i="1"/>
  <c r="AX1160" i="1"/>
  <c r="AW1160" i="1"/>
  <c r="AV1160" i="1"/>
  <c r="BA1158" i="1"/>
  <c r="AZ1158" i="1"/>
  <c r="AY1158" i="1"/>
  <c r="AX1158" i="1"/>
  <c r="AW1158" i="1"/>
  <c r="AV1158" i="1"/>
  <c r="AV1134" i="1"/>
  <c r="AV1130" i="1"/>
  <c r="AV1132" i="1"/>
  <c r="AV1128" i="1"/>
  <c r="AY1126" i="1"/>
  <c r="AX1126" i="1"/>
  <c r="AW1126" i="1"/>
  <c r="AV1126" i="1"/>
  <c r="AY1124" i="1"/>
  <c r="AX1124" i="1"/>
  <c r="AW1124" i="1"/>
  <c r="AV1124" i="1"/>
  <c r="AY1122" i="1"/>
  <c r="AX1122" i="1"/>
  <c r="AW1122" i="1"/>
  <c r="AV1122" i="1"/>
  <c r="AV1120" i="1"/>
  <c r="AW1120" i="1"/>
  <c r="AX1120" i="1"/>
  <c r="AX1118" i="1"/>
  <c r="AW1118" i="1"/>
  <c r="AV1118" i="1"/>
  <c r="AX1116" i="1"/>
  <c r="AW1116" i="1"/>
  <c r="AV1116" i="1"/>
  <c r="AW1114" i="1"/>
  <c r="AV1114" i="1"/>
  <c r="AV1112" i="1"/>
  <c r="AV1110" i="1"/>
  <c r="AV998" i="1"/>
  <c r="AW998" i="1"/>
  <c r="AX998" i="1"/>
  <c r="AY998" i="1"/>
  <c r="AZ998" i="1"/>
  <c r="BI997" i="1"/>
  <c r="BH997" i="1"/>
  <c r="BG997" i="1"/>
  <c r="BF997" i="1"/>
  <c r="BE997" i="1"/>
  <c r="BD997" i="1"/>
  <c r="BC997" i="1"/>
  <c r="BB997" i="1"/>
  <c r="BA997" i="1"/>
  <c r="AZ997" i="1"/>
  <c r="AY997" i="1"/>
  <c r="AX997" i="1"/>
  <c r="AW997" i="1"/>
  <c r="AA997" i="1"/>
  <c r="BI996" i="1"/>
  <c r="BH996" i="1"/>
  <c r="BG996" i="1"/>
  <c r="BF996" i="1"/>
  <c r="BE996" i="1"/>
  <c r="BD996" i="1"/>
  <c r="BC996" i="1"/>
  <c r="BB996" i="1"/>
  <c r="BA996" i="1"/>
  <c r="AZ996" i="1"/>
  <c r="AY996" i="1"/>
  <c r="AX996" i="1"/>
  <c r="AW996" i="1"/>
  <c r="BG994" i="1"/>
  <c r="AA995" i="1"/>
  <c r="BG995" i="1"/>
  <c r="BF995" i="1"/>
  <c r="BE995" i="1"/>
  <c r="BD995" i="1"/>
  <c r="BC995" i="1"/>
  <c r="BB995" i="1"/>
  <c r="BA995" i="1"/>
  <c r="AZ995" i="1"/>
  <c r="AY995" i="1"/>
  <c r="AW995" i="1"/>
  <c r="AX995" i="1"/>
  <c r="BF994" i="1"/>
  <c r="BE994" i="1"/>
  <c r="BD994" i="1"/>
  <c r="BC994" i="1"/>
  <c r="BB994" i="1"/>
  <c r="BA994" i="1"/>
  <c r="AZ994" i="1"/>
  <c r="AY994" i="1"/>
  <c r="AX994" i="1"/>
  <c r="AW994" i="1"/>
  <c r="AY946" i="1"/>
  <c r="AX946" i="1"/>
  <c r="AW946" i="1"/>
  <c r="AY944" i="1"/>
  <c r="AX944" i="1"/>
  <c r="AW944" i="1"/>
  <c r="AY942" i="1"/>
  <c r="AX942" i="1"/>
  <c r="AW942" i="1"/>
  <c r="Y1441" i="1" l="1"/>
  <c r="AE1441" i="1" s="1"/>
  <c r="Y999" i="1"/>
  <c r="AE999" i="1" s="1"/>
  <c r="Y1119" i="1"/>
  <c r="AE1119" i="1" s="1"/>
  <c r="Y1165" i="1"/>
  <c r="AE1165" i="1" s="1"/>
  <c r="Y1195" i="1"/>
  <c r="AE1195" i="1" s="1"/>
  <c r="Y1211" i="1"/>
  <c r="AE1211" i="1" s="1"/>
  <c r="Y1475" i="1"/>
  <c r="AE1475" i="1" s="1"/>
  <c r="Y1209" i="1"/>
  <c r="AE1209" i="1" s="1"/>
  <c r="Y1113" i="1"/>
  <c r="AE1113" i="1" s="1"/>
  <c r="Y1125" i="1"/>
  <c r="AE1125" i="1" s="1"/>
  <c r="Y1129" i="1"/>
  <c r="Y1163" i="1"/>
  <c r="AE1163" i="1" s="1"/>
  <c r="Y1199" i="1"/>
  <c r="AE1199" i="1" s="1"/>
  <c r="Y1357" i="1"/>
  <c r="Y1437" i="1"/>
  <c r="AE1437" i="1" s="1"/>
  <c r="Y1447" i="1"/>
  <c r="AE1447" i="1" s="1"/>
  <c r="Y1193" i="1"/>
  <c r="AE1193" i="1" s="1"/>
  <c r="Y1197" i="1"/>
  <c r="AE1197" i="1" s="1"/>
  <c r="Y1111" i="1"/>
  <c r="AE1111" i="1" s="1"/>
  <c r="Y1259" i="1"/>
  <c r="Y1115" i="1"/>
  <c r="AE1115" i="1" s="1"/>
  <c r="Y1133" i="1"/>
  <c r="Y1201" i="1"/>
  <c r="AE1201" i="1" s="1"/>
  <c r="Y1161" i="1"/>
  <c r="AE1161" i="1" s="1"/>
  <c r="Y1203" i="1"/>
  <c r="AE1203" i="1" s="1"/>
  <c r="Y1439" i="1"/>
  <c r="AE1439" i="1" s="1"/>
  <c r="Y1131" i="1"/>
  <c r="Y1117" i="1"/>
  <c r="AE1117" i="1" s="1"/>
  <c r="Y1121" i="1"/>
  <c r="AE1121" i="1" s="1"/>
  <c r="Y1135" i="1"/>
  <c r="Y1189" i="1"/>
  <c r="AE1189" i="1" s="1"/>
  <c r="Y1205" i="1"/>
  <c r="AE1205" i="1" s="1"/>
  <c r="Y1123" i="1"/>
  <c r="AE1123" i="1" s="1"/>
  <c r="Y1127" i="1"/>
  <c r="AE1127" i="1" s="1"/>
  <c r="Y1159" i="1"/>
  <c r="AE1159" i="1" s="1"/>
  <c r="Y1191" i="1"/>
  <c r="AE1191" i="1" s="1"/>
  <c r="Y1207" i="1"/>
  <c r="AE1207" i="1" s="1"/>
  <c r="Y1359" i="1"/>
  <c r="AI1169" i="1"/>
  <c r="AK1171" i="1"/>
  <c r="AE995" i="1"/>
  <c r="AB995" i="1"/>
  <c r="AB1203" i="1"/>
  <c r="AE1169" i="1"/>
  <c r="AB1169" i="1"/>
  <c r="AE1185" i="1"/>
  <c r="AB1185" i="1"/>
  <c r="AB1189" i="1"/>
  <c r="AB1205" i="1"/>
  <c r="AB1201" i="1"/>
  <c r="AB1447" i="1"/>
  <c r="AB1191" i="1"/>
  <c r="AB1207" i="1"/>
  <c r="AB1193" i="1"/>
  <c r="AB1209" i="1"/>
  <c r="AE1171" i="1"/>
  <c r="AB1171" i="1"/>
  <c r="AB1195" i="1"/>
  <c r="AB1211" i="1"/>
  <c r="AB1197" i="1"/>
  <c r="AE1167" i="1"/>
  <c r="AB1167" i="1"/>
  <c r="AE997" i="1"/>
  <c r="AB997" i="1"/>
  <c r="AE1187" i="1"/>
  <c r="AB1187" i="1"/>
  <c r="AB1199" i="1"/>
  <c r="AE1259" i="1"/>
  <c r="AB1259" i="1"/>
  <c r="AE1173" i="1"/>
  <c r="AB1173" i="1"/>
  <c r="AC1169" i="1"/>
  <c r="AD1169" i="1" s="1"/>
  <c r="AG995" i="1"/>
  <c r="AI1173" i="1"/>
  <c r="AG997" i="1"/>
  <c r="AK1173" i="1"/>
  <c r="AC1173" i="1"/>
  <c r="AD1173" i="1" s="1"/>
  <c r="AC1167" i="1"/>
  <c r="AD1167" i="1" s="1"/>
  <c r="AK997" i="1"/>
  <c r="AJ1173" i="1"/>
  <c r="AI1171" i="1"/>
  <c r="AC1171" i="1"/>
  <c r="AD1171" i="1" s="1"/>
  <c r="AJ1171" i="1"/>
  <c r="AJ1169" i="1"/>
  <c r="AK1169" i="1"/>
  <c r="AI1167" i="1"/>
  <c r="AJ1167" i="1"/>
  <c r="AK1167" i="1"/>
  <c r="AQ1167" i="1"/>
  <c r="AL1167" i="1"/>
  <c r="AR1167" i="1"/>
  <c r="AM1167" i="1"/>
  <c r="AN1167" i="1"/>
  <c r="AO1167" i="1"/>
  <c r="AP1167" i="1"/>
  <c r="AI997" i="1"/>
  <c r="AJ997" i="1"/>
  <c r="AI1127" i="1"/>
  <c r="AI1125" i="1"/>
  <c r="AJ1127" i="1"/>
  <c r="AK1127" i="1"/>
  <c r="AK1125" i="1"/>
  <c r="AQ1125" i="1"/>
  <c r="AL1127" i="1"/>
  <c r="AR1127" i="1"/>
  <c r="AJ1125" i="1"/>
  <c r="AL1125" i="1"/>
  <c r="AR1125" i="1"/>
  <c r="AM1127" i="1"/>
  <c r="AN1127" i="1"/>
  <c r="AC1127" i="1"/>
  <c r="AD1127" i="1" s="1"/>
  <c r="AO1127" i="1"/>
  <c r="AC1125" i="1"/>
  <c r="AD1125" i="1" s="1"/>
  <c r="AO1125" i="1"/>
  <c r="AP1127" i="1"/>
  <c r="AC997" i="1"/>
  <c r="AD997" i="1" s="1"/>
  <c r="AW940" i="1"/>
  <c r="AT457" i="1"/>
  <c r="AR457" i="1"/>
  <c r="AQ457" i="1"/>
  <c r="AP457" i="1"/>
  <c r="AO457" i="1"/>
  <c r="AN457" i="1"/>
  <c r="AM457" i="1"/>
  <c r="AL457" i="1"/>
  <c r="AK457" i="1"/>
  <c r="AJ457" i="1"/>
  <c r="AI457" i="1"/>
  <c r="AC457" i="1"/>
  <c r="AD457" i="1" s="1"/>
  <c r="AT455" i="1"/>
  <c r="AR455" i="1"/>
  <c r="AQ455" i="1"/>
  <c r="AP455" i="1"/>
  <c r="AO455" i="1"/>
  <c r="AN455" i="1"/>
  <c r="AM455" i="1"/>
  <c r="AL455" i="1"/>
  <c r="AK455" i="1"/>
  <c r="AJ455" i="1"/>
  <c r="AI455" i="1"/>
  <c r="AC455" i="1"/>
  <c r="AD455" i="1" s="1"/>
  <c r="AA873" i="1" l="1"/>
  <c r="AA871" i="1"/>
  <c r="CU872" i="1"/>
  <c r="CT872" i="1"/>
  <c r="CS872" i="1"/>
  <c r="CR872" i="1"/>
  <c r="CQ872" i="1"/>
  <c r="CP872" i="1"/>
  <c r="CO872" i="1"/>
  <c r="CN872" i="1"/>
  <c r="CM872" i="1"/>
  <c r="CL872" i="1"/>
  <c r="CK872" i="1"/>
  <c r="CJ872" i="1"/>
  <c r="CI872" i="1"/>
  <c r="CH872" i="1"/>
  <c r="CG872" i="1"/>
  <c r="CF872" i="1"/>
  <c r="CE872" i="1"/>
  <c r="CD872" i="1"/>
  <c r="CC872" i="1"/>
  <c r="CB872" i="1"/>
  <c r="CA872" i="1"/>
  <c r="BZ872" i="1"/>
  <c r="BY872" i="1"/>
  <c r="BX872" i="1"/>
  <c r="BW872" i="1"/>
  <c r="BV872" i="1"/>
  <c r="BU872" i="1"/>
  <c r="BT872" i="1"/>
  <c r="BS872" i="1"/>
  <c r="BR872" i="1"/>
  <c r="BQ872" i="1"/>
  <c r="BP872" i="1"/>
  <c r="BO872" i="1"/>
  <c r="BN872" i="1"/>
  <c r="BM872" i="1"/>
  <c r="BL872" i="1"/>
  <c r="BK872" i="1"/>
  <c r="BJ872" i="1"/>
  <c r="BI872" i="1"/>
  <c r="BH872" i="1"/>
  <c r="BG872" i="1"/>
  <c r="BF872" i="1"/>
  <c r="BE872" i="1"/>
  <c r="BD872" i="1"/>
  <c r="BC872" i="1"/>
  <c r="BB872" i="1"/>
  <c r="BA872" i="1"/>
  <c r="AZ872" i="1"/>
  <c r="AY872" i="1"/>
  <c r="AX872" i="1"/>
  <c r="AW872" i="1"/>
  <c r="AV872" i="1"/>
  <c r="CU870" i="1"/>
  <c r="CT870" i="1"/>
  <c r="CS870" i="1"/>
  <c r="CR870" i="1"/>
  <c r="CQ870" i="1"/>
  <c r="CP870" i="1"/>
  <c r="CO870" i="1"/>
  <c r="CN870" i="1"/>
  <c r="CM870" i="1"/>
  <c r="CL870" i="1"/>
  <c r="CK870" i="1"/>
  <c r="CJ870" i="1"/>
  <c r="CI870" i="1"/>
  <c r="CH870" i="1"/>
  <c r="CG870" i="1"/>
  <c r="CF870" i="1"/>
  <c r="CE870" i="1"/>
  <c r="CD870" i="1"/>
  <c r="CC870" i="1"/>
  <c r="CB870" i="1"/>
  <c r="CA870" i="1"/>
  <c r="BZ870" i="1"/>
  <c r="BY870" i="1"/>
  <c r="BX870" i="1"/>
  <c r="BW870" i="1"/>
  <c r="BV870" i="1"/>
  <c r="BU870" i="1"/>
  <c r="BT870" i="1"/>
  <c r="BS870" i="1"/>
  <c r="BR870" i="1"/>
  <c r="BQ870" i="1"/>
  <c r="BP870" i="1"/>
  <c r="BO870" i="1"/>
  <c r="BN870" i="1"/>
  <c r="BM870" i="1"/>
  <c r="BL870" i="1"/>
  <c r="BK870" i="1"/>
  <c r="BJ870" i="1"/>
  <c r="BI870" i="1"/>
  <c r="BH870" i="1"/>
  <c r="BG870" i="1"/>
  <c r="BF870" i="1"/>
  <c r="BE870" i="1"/>
  <c r="BD870" i="1"/>
  <c r="BC870" i="1"/>
  <c r="BB870" i="1"/>
  <c r="BA870" i="1"/>
  <c r="AZ870" i="1"/>
  <c r="AY870" i="1"/>
  <c r="AX870" i="1"/>
  <c r="AW870" i="1"/>
  <c r="AV870" i="1"/>
  <c r="AX800" i="1"/>
  <c r="AW800" i="1"/>
  <c r="AX798" i="1"/>
  <c r="AW798" i="1"/>
  <c r="AX796" i="1"/>
  <c r="AW796" i="1"/>
  <c r="AW794" i="1"/>
  <c r="AX794" i="1"/>
  <c r="AX780" i="1"/>
  <c r="AW780" i="1"/>
  <c r="AV780" i="1"/>
  <c r="AX778" i="1"/>
  <c r="AW778" i="1"/>
  <c r="AV778" i="1"/>
  <c r="AX776" i="1"/>
  <c r="AW776" i="1"/>
  <c r="AV776" i="1"/>
  <c r="AW774" i="1"/>
  <c r="AV774" i="1"/>
  <c r="AZ764" i="1"/>
  <c r="AY764" i="1"/>
  <c r="AX764" i="1"/>
  <c r="AW764" i="1"/>
  <c r="AV764" i="1"/>
  <c r="AZ762" i="1"/>
  <c r="AY762" i="1"/>
  <c r="AX762" i="1"/>
  <c r="AW762" i="1"/>
  <c r="AV762" i="1"/>
  <c r="AZ760" i="1"/>
  <c r="AY760" i="1"/>
  <c r="AX760" i="1"/>
  <c r="AW760" i="1"/>
  <c r="AV760" i="1"/>
  <c r="BB758" i="1"/>
  <c r="BA758" i="1"/>
  <c r="AZ758" i="1"/>
  <c r="AY758" i="1"/>
  <c r="AX758" i="1"/>
  <c r="AW758" i="1"/>
  <c r="AV758" i="1"/>
  <c r="AZ756" i="1"/>
  <c r="AY756" i="1"/>
  <c r="AX756" i="1"/>
  <c r="AW756" i="1"/>
  <c r="AV756" i="1"/>
  <c r="AZ754" i="1"/>
  <c r="AY754" i="1"/>
  <c r="AX754" i="1"/>
  <c r="AW754" i="1"/>
  <c r="AV754" i="1"/>
  <c r="AZ752" i="1"/>
  <c r="AY752" i="1"/>
  <c r="AX752" i="1"/>
  <c r="AW752" i="1"/>
  <c r="AV752" i="1"/>
  <c r="BB750" i="1"/>
  <c r="BA750" i="1"/>
  <c r="AZ750" i="1"/>
  <c r="AY750" i="1"/>
  <c r="AX750" i="1"/>
  <c r="AW750" i="1"/>
  <c r="AV750" i="1"/>
  <c r="AZ748" i="1"/>
  <c r="AY748" i="1"/>
  <c r="AX748" i="1"/>
  <c r="AW748" i="1"/>
  <c r="AV748" i="1"/>
  <c r="AY746" i="1"/>
  <c r="AX746" i="1"/>
  <c r="AW746" i="1"/>
  <c r="AV746" i="1"/>
  <c r="AW730" i="1"/>
  <c r="AX730" i="1"/>
  <c r="Y747" i="1" l="1"/>
  <c r="AE747" i="1" s="1"/>
  <c r="Y753" i="1"/>
  <c r="AE753" i="1" s="1"/>
  <c r="Y765" i="1"/>
  <c r="AE765" i="1" s="1"/>
  <c r="Y871" i="1"/>
  <c r="AE871" i="1" s="1"/>
  <c r="Y779" i="1"/>
  <c r="AE779" i="1" s="1"/>
  <c r="Y763" i="1"/>
  <c r="AE763" i="1" s="1"/>
  <c r="Y759" i="1"/>
  <c r="AE759" i="1" s="1"/>
  <c r="Y873" i="1"/>
  <c r="AE873" i="1" s="1"/>
  <c r="Y777" i="1"/>
  <c r="AE777" i="1" s="1"/>
  <c r="Y751" i="1"/>
  <c r="AE751" i="1" s="1"/>
  <c r="Y757" i="1"/>
  <c r="AE757" i="1" s="1"/>
  <c r="Y755" i="1"/>
  <c r="AE755" i="1" s="1"/>
  <c r="Y775" i="1"/>
  <c r="AE775" i="1" s="1"/>
  <c r="Y781" i="1"/>
  <c r="AE781" i="1" s="1"/>
  <c r="Y749" i="1"/>
  <c r="AE749" i="1" s="1"/>
  <c r="Y761" i="1"/>
  <c r="AE761" i="1" s="1"/>
  <c r="AB871" i="1"/>
  <c r="AB873" i="1"/>
  <c r="AC755" i="1"/>
  <c r="AD755" i="1" s="1"/>
  <c r="AI751" i="1"/>
  <c r="AI765" i="1"/>
  <c r="AI763" i="1"/>
  <c r="AJ751" i="1"/>
  <c r="AI755" i="1"/>
  <c r="AK757" i="1"/>
  <c r="AI753" i="1"/>
  <c r="AC753" i="1"/>
  <c r="AD753" i="1" s="1"/>
  <c r="AI759" i="1"/>
  <c r="AC751" i="1"/>
  <c r="AD751" i="1" s="1"/>
  <c r="AK759" i="1"/>
  <c r="AK751" i="1"/>
  <c r="AJ759" i="1"/>
  <c r="AK761" i="1"/>
  <c r="AK763" i="1"/>
  <c r="AK765" i="1"/>
  <c r="AR759" i="1"/>
  <c r="AL761" i="1"/>
  <c r="AR761" i="1"/>
  <c r="AL763" i="1"/>
  <c r="AR763" i="1"/>
  <c r="AL765" i="1"/>
  <c r="AR765" i="1"/>
  <c r="AI761" i="1"/>
  <c r="AJ761" i="1"/>
  <c r="AJ763" i="1"/>
  <c r="AJ765" i="1"/>
  <c r="AM759" i="1"/>
  <c r="AM761" i="1"/>
  <c r="AM763" i="1"/>
  <c r="AM765" i="1"/>
  <c r="AC763" i="1"/>
  <c r="AD763" i="1" s="1"/>
  <c r="AC765" i="1"/>
  <c r="AD765" i="1" s="1"/>
  <c r="AO765" i="1"/>
  <c r="AC759" i="1"/>
  <c r="AD759" i="1" s="1"/>
  <c r="AC761" i="1"/>
  <c r="AD761" i="1" s="1"/>
  <c r="AP759" i="1"/>
  <c r="AP761" i="1"/>
  <c r="AP763" i="1"/>
  <c r="AP765" i="1"/>
  <c r="AI757" i="1"/>
  <c r="AL757" i="1"/>
  <c r="AR757" i="1"/>
  <c r="AJ757" i="1"/>
  <c r="AC757" i="1"/>
  <c r="AD757" i="1" s="1"/>
  <c r="AM757" i="1"/>
  <c r="AN757" i="1"/>
  <c r="AJ755" i="1"/>
  <c r="AK755" i="1"/>
  <c r="AQ755" i="1"/>
  <c r="AR755" i="1"/>
  <c r="AM755" i="1"/>
  <c r="AN755" i="1"/>
  <c r="AO755" i="1"/>
  <c r="AP755" i="1"/>
  <c r="AJ753" i="1"/>
  <c r="AK753" i="1"/>
  <c r="AQ753" i="1"/>
  <c r="AL753" i="1"/>
  <c r="AR753" i="1"/>
  <c r="AM753" i="1"/>
  <c r="AN753" i="1"/>
  <c r="AL751" i="1"/>
  <c r="AR751" i="1"/>
  <c r="AM751" i="1"/>
  <c r="AN751" i="1"/>
  <c r="AO751" i="1"/>
  <c r="AP751" i="1"/>
  <c r="BA718" i="1"/>
  <c r="AZ718" i="1"/>
  <c r="AY718" i="1"/>
  <c r="AX718" i="1"/>
  <c r="AW718" i="1"/>
  <c r="AV718" i="1"/>
  <c r="BA716" i="1"/>
  <c r="AZ716" i="1"/>
  <c r="AY716" i="1"/>
  <c r="AX716" i="1"/>
  <c r="AW716" i="1"/>
  <c r="AV716" i="1"/>
  <c r="AV696" i="1"/>
  <c r="AW668" i="1"/>
  <c r="AV668" i="1"/>
  <c r="AW666" i="1"/>
  <c r="AV666" i="1"/>
  <c r="AZ664" i="1"/>
  <c r="AY664" i="1"/>
  <c r="AX664" i="1"/>
  <c r="AW664" i="1"/>
  <c r="AV664" i="1"/>
  <c r="AX662" i="1"/>
  <c r="AW662" i="1"/>
  <c r="AV662" i="1"/>
  <c r="AY626" i="1"/>
  <c r="AX626" i="1"/>
  <c r="AW626" i="1"/>
  <c r="AV626" i="1"/>
  <c r="AX624" i="1"/>
  <c r="AW624" i="1"/>
  <c r="AV624" i="1"/>
  <c r="AV620" i="1"/>
  <c r="AV618" i="1"/>
  <c r="AV616" i="1"/>
  <c r="AV614" i="1"/>
  <c r="AV612" i="1"/>
  <c r="AV610" i="1"/>
  <c r="AV608" i="1"/>
  <c r="AV622" i="1"/>
  <c r="AV606" i="1"/>
  <c r="AZ570" i="1"/>
  <c r="AY570" i="1"/>
  <c r="AX570" i="1"/>
  <c r="AW570" i="1"/>
  <c r="AY568" i="1"/>
  <c r="AX568" i="1"/>
  <c r="AW568" i="1"/>
  <c r="AV536" i="1"/>
  <c r="AV534" i="1"/>
  <c r="AV532" i="1"/>
  <c r="AV530" i="1"/>
  <c r="AW530" i="1"/>
  <c r="AV508" i="1"/>
  <c r="AV506" i="1"/>
  <c r="AV504" i="1"/>
  <c r="BA498" i="1"/>
  <c r="AZ498" i="1"/>
  <c r="AY498" i="1"/>
  <c r="AX498" i="1"/>
  <c r="AW498" i="1"/>
  <c r="AV498" i="1"/>
  <c r="AV496" i="1"/>
  <c r="AW496" i="1"/>
  <c r="AX496" i="1"/>
  <c r="AY496" i="1"/>
  <c r="BA440" i="1"/>
  <c r="AZ440" i="1"/>
  <c r="AY440" i="1"/>
  <c r="AX440" i="1"/>
  <c r="AW440" i="1"/>
  <c r="AV440" i="1"/>
  <c r="BB438" i="1"/>
  <c r="BA438" i="1"/>
  <c r="AZ438" i="1"/>
  <c r="AY438" i="1"/>
  <c r="AX438" i="1"/>
  <c r="AW438" i="1"/>
  <c r="BB436" i="1"/>
  <c r="BA436" i="1"/>
  <c r="AZ436" i="1"/>
  <c r="AY436" i="1"/>
  <c r="AX436" i="1"/>
  <c r="AW436" i="1"/>
  <c r="AZ434" i="1"/>
  <c r="AY434" i="1"/>
  <c r="AX434" i="1"/>
  <c r="AW434" i="1"/>
  <c r="AA433" i="1"/>
  <c r="BE432" i="1"/>
  <c r="BD432" i="1"/>
  <c r="BC432" i="1"/>
  <c r="BB432" i="1"/>
  <c r="BA432" i="1"/>
  <c r="AZ432" i="1"/>
  <c r="AY432" i="1"/>
  <c r="AX432" i="1"/>
  <c r="AW432" i="1"/>
  <c r="AV432" i="1"/>
  <c r="AX360" i="1"/>
  <c r="AW360" i="1"/>
  <c r="AW358" i="1"/>
  <c r="BG312" i="1"/>
  <c r="BF312" i="1"/>
  <c r="BE312" i="1"/>
  <c r="BD312" i="1"/>
  <c r="BC312" i="1"/>
  <c r="BB312" i="1"/>
  <c r="BA312" i="1"/>
  <c r="AZ312" i="1"/>
  <c r="AY312" i="1"/>
  <c r="AX312" i="1"/>
  <c r="AW312" i="1"/>
  <c r="AV312" i="1"/>
  <c r="BG310" i="1"/>
  <c r="BF310" i="1"/>
  <c r="BE310" i="1"/>
  <c r="BD310" i="1"/>
  <c r="BC310" i="1"/>
  <c r="BB310" i="1"/>
  <c r="BA310" i="1"/>
  <c r="AZ310" i="1"/>
  <c r="AY310" i="1"/>
  <c r="AX310" i="1"/>
  <c r="AW310" i="1"/>
  <c r="AV310" i="1"/>
  <c r="BG308" i="1"/>
  <c r="BF308" i="1"/>
  <c r="BE308" i="1"/>
  <c r="BD308" i="1"/>
  <c r="BC308" i="1"/>
  <c r="BB308" i="1"/>
  <c r="BA308" i="1"/>
  <c r="AZ308" i="1"/>
  <c r="AY308" i="1"/>
  <c r="AX308" i="1"/>
  <c r="AW308" i="1"/>
  <c r="AV308" i="1"/>
  <c r="AA313" i="1"/>
  <c r="AA311" i="1"/>
  <c r="AA309" i="1"/>
  <c r="AA307" i="1"/>
  <c r="BG306" i="1"/>
  <c r="BF306" i="1"/>
  <c r="BE306" i="1"/>
  <c r="BD306" i="1"/>
  <c r="BC306" i="1"/>
  <c r="BB306" i="1"/>
  <c r="BA306" i="1"/>
  <c r="AZ306" i="1"/>
  <c r="AY306" i="1"/>
  <c r="AX306" i="1"/>
  <c r="AW306" i="1"/>
  <c r="AV306" i="1"/>
  <c r="AV284" i="1"/>
  <c r="AV282" i="1"/>
  <c r="AV280" i="1"/>
  <c r="AV238" i="1"/>
  <c r="AV236" i="1"/>
  <c r="AV234" i="1"/>
  <c r="AV232" i="1"/>
  <c r="AV230" i="1"/>
  <c r="AV228" i="1"/>
  <c r="AX206" i="1"/>
  <c r="AW206" i="1"/>
  <c r="AV206" i="1"/>
  <c r="AX204" i="1"/>
  <c r="AW204" i="1"/>
  <c r="AV204" i="1"/>
  <c r="AX202" i="1"/>
  <c r="AW202" i="1"/>
  <c r="AV202" i="1"/>
  <c r="AW200" i="1"/>
  <c r="AV200" i="1"/>
  <c r="AV190" i="1"/>
  <c r="AV186" i="1"/>
  <c r="AV182" i="1"/>
  <c r="AV178" i="1"/>
  <c r="AV176" i="1"/>
  <c r="AV174" i="1"/>
  <c r="BC164" i="1"/>
  <c r="BB164" i="1"/>
  <c r="BA164" i="1"/>
  <c r="AZ164" i="1"/>
  <c r="AY164" i="1"/>
  <c r="AX164" i="1"/>
  <c r="AW164" i="1"/>
  <c r="AV164" i="1"/>
  <c r="BC162" i="1"/>
  <c r="BB162" i="1"/>
  <c r="BA162" i="1"/>
  <c r="AZ162" i="1"/>
  <c r="AY162" i="1"/>
  <c r="AX162" i="1"/>
  <c r="AW162" i="1"/>
  <c r="AV162" i="1"/>
  <c r="BC160" i="1"/>
  <c r="BB160" i="1"/>
  <c r="BA160" i="1"/>
  <c r="AZ160" i="1"/>
  <c r="AY160" i="1"/>
  <c r="AX160" i="1"/>
  <c r="AW160" i="1"/>
  <c r="AV160" i="1"/>
  <c r="BC158" i="1"/>
  <c r="BB158" i="1"/>
  <c r="BA158" i="1"/>
  <c r="AZ158" i="1"/>
  <c r="AY158" i="1"/>
  <c r="AX158" i="1"/>
  <c r="AW158" i="1"/>
  <c r="AV158" i="1"/>
  <c r="BC156" i="1"/>
  <c r="BB156" i="1"/>
  <c r="BA156" i="1"/>
  <c r="AZ156" i="1"/>
  <c r="AY156" i="1"/>
  <c r="AX156" i="1"/>
  <c r="AW156" i="1"/>
  <c r="AV156" i="1"/>
  <c r="BC154" i="1"/>
  <c r="BB154" i="1"/>
  <c r="BA154" i="1"/>
  <c r="AZ154" i="1"/>
  <c r="AY154" i="1"/>
  <c r="AX154" i="1"/>
  <c r="AW154" i="1"/>
  <c r="AV154" i="1"/>
  <c r="BC152" i="1"/>
  <c r="BB152" i="1"/>
  <c r="BA152" i="1"/>
  <c r="AZ152" i="1"/>
  <c r="AY152" i="1"/>
  <c r="AX152" i="1"/>
  <c r="AW152" i="1"/>
  <c r="AV152" i="1"/>
  <c r="BC150" i="1"/>
  <c r="BB150" i="1"/>
  <c r="BA150" i="1"/>
  <c r="AZ150" i="1"/>
  <c r="AY150" i="1"/>
  <c r="AX150" i="1"/>
  <c r="AW150" i="1"/>
  <c r="AV150" i="1"/>
  <c r="AV114" i="1"/>
  <c r="AV112" i="1"/>
  <c r="AV110" i="1"/>
  <c r="AV108" i="1"/>
  <c r="AV92" i="1"/>
  <c r="AV68" i="1"/>
  <c r="AV66" i="1"/>
  <c r="AV64" i="1"/>
  <c r="AV62" i="1"/>
  <c r="AV60" i="1"/>
  <c r="AV58" i="1"/>
  <c r="AV56" i="1"/>
  <c r="AV54" i="1"/>
  <c r="AV52" i="1"/>
  <c r="Y67" i="1" l="1"/>
  <c r="AE67" i="1" s="1"/>
  <c r="Y177" i="1"/>
  <c r="AE177" i="1" s="1"/>
  <c r="Y229" i="1"/>
  <c r="Y285" i="1"/>
  <c r="AE285" i="1" s="1"/>
  <c r="Y433" i="1"/>
  <c r="AE433" i="1" s="1"/>
  <c r="Y533" i="1"/>
  <c r="AE533" i="1" s="1"/>
  <c r="Y617" i="1"/>
  <c r="Y69" i="1"/>
  <c r="AE69" i="1" s="1"/>
  <c r="Y307" i="1"/>
  <c r="AE307" i="1" s="1"/>
  <c r="Y309" i="1"/>
  <c r="AE309" i="1" s="1"/>
  <c r="Y313" i="1"/>
  <c r="AE313" i="1" s="1"/>
  <c r="Y535" i="1"/>
  <c r="AE535" i="1" s="1"/>
  <c r="Y619" i="1"/>
  <c r="Y53" i="1"/>
  <c r="AE53" i="1" s="1"/>
  <c r="Y179" i="1"/>
  <c r="AE179" i="1" s="1"/>
  <c r="Y231" i="1"/>
  <c r="Y55" i="1"/>
  <c r="AE55" i="1" s="1"/>
  <c r="Y93" i="1"/>
  <c r="Y183" i="1"/>
  <c r="AE183" i="1" s="1"/>
  <c r="Y205" i="1"/>
  <c r="AE205" i="1" s="1"/>
  <c r="Y233" i="1"/>
  <c r="Y537" i="1"/>
  <c r="AE537" i="1" s="1"/>
  <c r="Y607" i="1"/>
  <c r="Y621" i="1"/>
  <c r="Y663" i="1"/>
  <c r="AE663" i="1" s="1"/>
  <c r="Y667" i="1"/>
  <c r="AE667" i="1" s="1"/>
  <c r="Y65" i="1"/>
  <c r="AE65" i="1" s="1"/>
  <c r="Y153" i="1"/>
  <c r="AE153" i="1" s="1"/>
  <c r="Y159" i="1"/>
  <c r="AE159" i="1" s="1"/>
  <c r="Y163" i="1"/>
  <c r="AE163" i="1" s="1"/>
  <c r="Y175" i="1"/>
  <c r="AE175" i="1" s="1"/>
  <c r="Y531" i="1"/>
  <c r="AE531" i="1" s="1"/>
  <c r="Y615" i="1"/>
  <c r="Y623" i="1"/>
  <c r="Y625" i="1"/>
  <c r="AE625" i="1" s="1"/>
  <c r="Y155" i="1"/>
  <c r="AE155" i="1" s="1"/>
  <c r="Y283" i="1"/>
  <c r="AE283" i="1" s="1"/>
  <c r="Y187" i="1"/>
  <c r="AE187" i="1" s="1"/>
  <c r="Y505" i="1"/>
  <c r="AE505" i="1" s="1"/>
  <c r="Y59" i="1"/>
  <c r="AE59" i="1" s="1"/>
  <c r="Y111" i="1"/>
  <c r="Y191" i="1"/>
  <c r="AE191" i="1" s="1"/>
  <c r="Y237" i="1"/>
  <c r="Y497" i="1"/>
  <c r="AE497" i="1" s="1"/>
  <c r="Y507" i="1"/>
  <c r="AE507" i="1" s="1"/>
  <c r="Y609" i="1"/>
  <c r="Y669" i="1"/>
  <c r="AE669" i="1" s="1"/>
  <c r="Y109" i="1"/>
  <c r="Y235" i="1"/>
  <c r="Y441" i="1"/>
  <c r="AE441" i="1" s="1"/>
  <c r="Y61" i="1"/>
  <c r="AE61" i="1" s="1"/>
  <c r="Y113" i="1"/>
  <c r="Y201" i="1"/>
  <c r="AE201" i="1" s="1"/>
  <c r="Y207" i="1"/>
  <c r="AE207" i="1" s="1"/>
  <c r="Y239" i="1"/>
  <c r="Y311" i="1"/>
  <c r="AE311" i="1" s="1"/>
  <c r="Y499" i="1"/>
  <c r="AE499" i="1" s="1"/>
  <c r="Y509" i="1"/>
  <c r="AE509" i="1" s="1"/>
  <c r="Y611" i="1"/>
  <c r="Y665" i="1"/>
  <c r="AE665" i="1" s="1"/>
  <c r="Y719" i="1"/>
  <c r="AE719" i="1" s="1"/>
  <c r="Y151" i="1"/>
  <c r="AE151" i="1" s="1"/>
  <c r="Y157" i="1"/>
  <c r="AE157" i="1" s="1"/>
  <c r="Y161" i="1"/>
  <c r="AE161" i="1" s="1"/>
  <c r="Y165" i="1"/>
  <c r="AE165" i="1" s="1"/>
  <c r="Y203" i="1"/>
  <c r="AE203" i="1" s="1"/>
  <c r="Y717" i="1"/>
  <c r="AE717" i="1" s="1"/>
  <c r="Y57" i="1"/>
  <c r="AE57" i="1" s="1"/>
  <c r="Y63" i="1"/>
  <c r="AE63" i="1" s="1"/>
  <c r="Y115" i="1"/>
  <c r="Y281" i="1"/>
  <c r="AE281" i="1" s="1"/>
  <c r="Y613" i="1"/>
  <c r="Y627" i="1"/>
  <c r="AE627" i="1" s="1"/>
  <c r="Y697" i="1"/>
  <c r="AE697" i="1" s="1"/>
  <c r="AB307" i="1"/>
  <c r="AB309" i="1"/>
  <c r="AB313" i="1"/>
  <c r="AB311" i="1"/>
  <c r="AB433" i="1"/>
  <c r="AY1490" i="1"/>
  <c r="AX1490" i="1"/>
  <c r="AW1490" i="1"/>
  <c r="AY1488" i="1"/>
  <c r="AX1488" i="1"/>
  <c r="AW1488" i="1"/>
  <c r="AY1486" i="1"/>
  <c r="AX1486" i="1"/>
  <c r="AW1486" i="1"/>
  <c r="AZ1424" i="1"/>
  <c r="AY1424" i="1"/>
  <c r="AX1424" i="1"/>
  <c r="AW1424" i="1"/>
  <c r="BD1386" i="1"/>
  <c r="BC1386" i="1"/>
  <c r="BB1386" i="1"/>
  <c r="BA1386" i="1"/>
  <c r="AZ1386" i="1"/>
  <c r="AY1386" i="1"/>
  <c r="AX1386" i="1"/>
  <c r="AW1386" i="1"/>
  <c r="AV1386" i="1"/>
  <c r="AX1382" i="1"/>
  <c r="AW1382" i="1"/>
  <c r="AX1380" i="1"/>
  <c r="AW1380" i="1"/>
  <c r="AX1378" i="1"/>
  <c r="AW1378" i="1"/>
  <c r="AX1376" i="1"/>
  <c r="AW1376" i="1"/>
  <c r="AY1348" i="1"/>
  <c r="AX1348" i="1"/>
  <c r="AW1348" i="1"/>
  <c r="AX1344" i="1"/>
  <c r="AW1344" i="1"/>
  <c r="AY1340" i="1"/>
  <c r="AX1340" i="1"/>
  <c r="AW1340" i="1"/>
  <c r="AV1340" i="1"/>
  <c r="AY1338" i="1"/>
  <c r="AX1338" i="1"/>
  <c r="AW1338" i="1"/>
  <c r="AV1338" i="1"/>
  <c r="AY1336" i="1"/>
  <c r="AX1336" i="1"/>
  <c r="AW1336" i="1"/>
  <c r="AV1336" i="1"/>
  <c r="AY1334" i="1"/>
  <c r="AX1334" i="1"/>
  <c r="AW1334" i="1"/>
  <c r="AV1334" i="1"/>
  <c r="AZ1330" i="1"/>
  <c r="AY1330" i="1"/>
  <c r="AX1330" i="1"/>
  <c r="AW1330" i="1"/>
  <c r="AX1238" i="1"/>
  <c r="AW1238" i="1"/>
  <c r="AX1222" i="1"/>
  <c r="AW1222" i="1"/>
  <c r="AV1222" i="1"/>
  <c r="AX1220" i="1"/>
  <c r="AW1220" i="1"/>
  <c r="AV1220" i="1"/>
  <c r="AX1218" i="1"/>
  <c r="AW1218" i="1"/>
  <c r="AV1218" i="1"/>
  <c r="AX1216" i="1"/>
  <c r="AW1216" i="1"/>
  <c r="AV1216" i="1"/>
  <c r="AX1214" i="1"/>
  <c r="AW1214" i="1"/>
  <c r="AV1214" i="1"/>
  <c r="AW1210" i="1"/>
  <c r="AW1208" i="1"/>
  <c r="AW1206" i="1"/>
  <c r="AW1204" i="1"/>
  <c r="AW1202" i="1"/>
  <c r="AW1198" i="1"/>
  <c r="AW1196" i="1"/>
  <c r="AW1194" i="1"/>
  <c r="AW1192" i="1"/>
  <c r="AW1190" i="1"/>
  <c r="AY1154" i="1"/>
  <c r="AX1154" i="1"/>
  <c r="AX1150" i="1"/>
  <c r="AW1150" i="1"/>
  <c r="AV1150" i="1"/>
  <c r="AX1146" i="1"/>
  <c r="AW1146" i="1"/>
  <c r="AV1146" i="1"/>
  <c r="AX1134" i="1"/>
  <c r="AW1134" i="1"/>
  <c r="AY1130" i="1"/>
  <c r="AX1130" i="1"/>
  <c r="AW1130" i="1"/>
  <c r="AX1112" i="1"/>
  <c r="AW1112" i="1"/>
  <c r="AX1006" i="1"/>
  <c r="AW1006" i="1"/>
  <c r="AX1004" i="1"/>
  <c r="AW1004" i="1"/>
  <c r="AX1002" i="1"/>
  <c r="AW1002" i="1"/>
  <c r="BA864" i="1"/>
  <c r="AZ864" i="1"/>
  <c r="AY864" i="1"/>
  <c r="AX864" i="1"/>
  <c r="AW864" i="1"/>
  <c r="AV864" i="1"/>
  <c r="BA862" i="1"/>
  <c r="AZ862" i="1"/>
  <c r="AY862" i="1"/>
  <c r="AX862" i="1"/>
  <c r="AW862" i="1"/>
  <c r="AV862" i="1"/>
  <c r="BA860" i="1"/>
  <c r="AZ860" i="1"/>
  <c r="AY860" i="1"/>
  <c r="AX860" i="1"/>
  <c r="AW860" i="1"/>
  <c r="AV860" i="1"/>
  <c r="BD856" i="1"/>
  <c r="BC856" i="1"/>
  <c r="BB856" i="1"/>
  <c r="BA856" i="1"/>
  <c r="AZ856" i="1"/>
  <c r="AY856" i="1"/>
  <c r="AX856" i="1"/>
  <c r="AW856" i="1"/>
  <c r="AV856" i="1"/>
  <c r="BD854" i="1"/>
  <c r="BC854" i="1"/>
  <c r="BB854" i="1"/>
  <c r="BA854" i="1"/>
  <c r="AZ854" i="1"/>
  <c r="AY854" i="1"/>
  <c r="AX854" i="1"/>
  <c r="AW854" i="1"/>
  <c r="AV854" i="1"/>
  <c r="BD852" i="1"/>
  <c r="BC852" i="1"/>
  <c r="BB852" i="1"/>
  <c r="BA852" i="1"/>
  <c r="AZ852" i="1"/>
  <c r="AY852" i="1"/>
  <c r="AX852" i="1"/>
  <c r="AW852" i="1"/>
  <c r="AV852" i="1"/>
  <c r="BD848" i="1"/>
  <c r="BC848" i="1"/>
  <c r="BB848" i="1"/>
  <c r="BA848" i="1"/>
  <c r="AZ848" i="1"/>
  <c r="AY848" i="1"/>
  <c r="AX848" i="1"/>
  <c r="AW848" i="1"/>
  <c r="AV848" i="1"/>
  <c r="BD846" i="1"/>
  <c r="BC846" i="1"/>
  <c r="BB846" i="1"/>
  <c r="BA846" i="1"/>
  <c r="AZ846" i="1"/>
  <c r="AY846" i="1"/>
  <c r="AX846" i="1"/>
  <c r="AW846" i="1"/>
  <c r="AV846" i="1"/>
  <c r="BD844" i="1"/>
  <c r="BC844" i="1"/>
  <c r="BB844" i="1"/>
  <c r="BA844" i="1"/>
  <c r="AZ844" i="1"/>
  <c r="AY844" i="1"/>
  <c r="AX844" i="1"/>
  <c r="AW844" i="1"/>
  <c r="AV844" i="1"/>
  <c r="BD842" i="1"/>
  <c r="BC842" i="1"/>
  <c r="BB842" i="1"/>
  <c r="BA842" i="1"/>
  <c r="AZ842" i="1"/>
  <c r="AY842" i="1"/>
  <c r="AX842" i="1"/>
  <c r="AW842" i="1"/>
  <c r="AV842" i="1"/>
  <c r="BD840" i="1"/>
  <c r="BC840" i="1"/>
  <c r="BB840" i="1"/>
  <c r="BA840" i="1"/>
  <c r="AZ840" i="1"/>
  <c r="AY840" i="1"/>
  <c r="AX840" i="1"/>
  <c r="AW840" i="1"/>
  <c r="AV840" i="1"/>
  <c r="BB836" i="1"/>
  <c r="BA836" i="1"/>
  <c r="AZ836" i="1"/>
  <c r="AY836" i="1"/>
  <c r="AX836" i="1"/>
  <c r="AW836" i="1"/>
  <c r="AV836" i="1"/>
  <c r="BB834" i="1"/>
  <c r="BA834" i="1"/>
  <c r="AZ834" i="1"/>
  <c r="AY834" i="1"/>
  <c r="AX834" i="1"/>
  <c r="AW834" i="1"/>
  <c r="AV834" i="1"/>
  <c r="BB832" i="1"/>
  <c r="BA832" i="1"/>
  <c r="AZ832" i="1"/>
  <c r="AY832" i="1"/>
  <c r="AX832" i="1"/>
  <c r="AW832" i="1"/>
  <c r="AV832" i="1"/>
  <c r="AX732" i="1"/>
  <c r="AW732" i="1"/>
  <c r="AY728" i="1"/>
  <c r="AX728" i="1"/>
  <c r="AW728" i="1"/>
  <c r="AV728" i="1"/>
  <c r="AY726" i="1"/>
  <c r="AX726" i="1"/>
  <c r="AW726" i="1"/>
  <c r="AV726" i="1"/>
  <c r="AX674" i="1"/>
  <c r="AW674" i="1"/>
  <c r="AV674" i="1"/>
  <c r="AX672" i="1"/>
  <c r="AW672" i="1"/>
  <c r="AV672" i="1"/>
  <c r="AX668" i="1"/>
  <c r="AY620" i="1"/>
  <c r="AX620" i="1"/>
  <c r="AW620" i="1"/>
  <c r="AY618" i="1"/>
  <c r="AX618" i="1"/>
  <c r="AW618" i="1"/>
  <c r="AY616" i="1"/>
  <c r="AX616" i="1"/>
  <c r="AW616" i="1"/>
  <c r="AY614" i="1"/>
  <c r="AX614" i="1"/>
  <c r="AW614" i="1"/>
  <c r="AY612" i="1"/>
  <c r="AX612" i="1"/>
  <c r="AW612" i="1"/>
  <c r="AY610" i="1"/>
  <c r="AX610" i="1"/>
  <c r="AW610" i="1"/>
  <c r="AY608" i="1"/>
  <c r="AX608" i="1"/>
  <c r="AW608" i="1"/>
  <c r="AZ604" i="1"/>
  <c r="AY604" i="1"/>
  <c r="AX604" i="1"/>
  <c r="AW604" i="1"/>
  <c r="AX556" i="1"/>
  <c r="AW556" i="1"/>
  <c r="AX552" i="1"/>
  <c r="AW552" i="1"/>
  <c r="AV552" i="1"/>
  <c r="BA544" i="1"/>
  <c r="AZ544" i="1"/>
  <c r="AY544" i="1"/>
  <c r="AX544" i="1"/>
  <c r="AW544" i="1"/>
  <c r="AX540" i="1"/>
  <c r="AW540" i="1"/>
  <c r="AX536" i="1"/>
  <c r="AW536" i="1"/>
  <c r="AX534" i="1"/>
  <c r="AW534" i="1"/>
  <c r="AZ528" i="1"/>
  <c r="AY528" i="1"/>
  <c r="AX528" i="1"/>
  <c r="AW528" i="1"/>
  <c r="AV528" i="1"/>
  <c r="AZ526" i="1"/>
  <c r="AY526" i="1"/>
  <c r="AX526" i="1"/>
  <c r="AW526" i="1"/>
  <c r="AV526" i="1"/>
  <c r="AZ524" i="1"/>
  <c r="AY524" i="1"/>
  <c r="AX524" i="1"/>
  <c r="AW524" i="1"/>
  <c r="AV524" i="1"/>
  <c r="AZ522" i="1"/>
  <c r="AY522" i="1"/>
  <c r="AX522" i="1"/>
  <c r="AW522" i="1"/>
  <c r="AV522" i="1"/>
  <c r="AZ520" i="1"/>
  <c r="AY520" i="1"/>
  <c r="AX520" i="1"/>
  <c r="AW520" i="1"/>
  <c r="AV520" i="1"/>
  <c r="AZ518" i="1"/>
  <c r="AY518" i="1"/>
  <c r="AX518" i="1"/>
  <c r="AW518" i="1"/>
  <c r="AV518" i="1"/>
  <c r="AZ516" i="1"/>
  <c r="AY516" i="1"/>
  <c r="AX516" i="1"/>
  <c r="AW516" i="1"/>
  <c r="AV516" i="1"/>
  <c r="AX508" i="1"/>
  <c r="AW508" i="1"/>
  <c r="AX506" i="1"/>
  <c r="AW506" i="1"/>
  <c r="AY326" i="1"/>
  <c r="AX326" i="1"/>
  <c r="AW326" i="1"/>
  <c r="AY324" i="1"/>
  <c r="AX324" i="1"/>
  <c r="AW324" i="1"/>
  <c r="AX320" i="1"/>
  <c r="AW320" i="1"/>
  <c r="AX318" i="1"/>
  <c r="AW318" i="1"/>
  <c r="AX316" i="1"/>
  <c r="AW316" i="1"/>
  <c r="AX298" i="1"/>
  <c r="AW298" i="1"/>
  <c r="AX296" i="1"/>
  <c r="AW296" i="1"/>
  <c r="AX294" i="1"/>
  <c r="AW294" i="1"/>
  <c r="AX292" i="1"/>
  <c r="AW292" i="1"/>
  <c r="AX290" i="1"/>
  <c r="AW290" i="1"/>
  <c r="AX284" i="1"/>
  <c r="AW284" i="1"/>
  <c r="AX282" i="1"/>
  <c r="AW282" i="1"/>
  <c r="AW268" i="1"/>
  <c r="AW266" i="1"/>
  <c r="AY262" i="1"/>
  <c r="AX262" i="1"/>
  <c r="AW262" i="1"/>
  <c r="AV262" i="1"/>
  <c r="AY260" i="1"/>
  <c r="AX260" i="1"/>
  <c r="AW260" i="1"/>
  <c r="AV260" i="1"/>
  <c r="AY258" i="1"/>
  <c r="AX258" i="1"/>
  <c r="AW258" i="1"/>
  <c r="AV258" i="1"/>
  <c r="AY256" i="1"/>
  <c r="AX256" i="1"/>
  <c r="AW256" i="1"/>
  <c r="AV256" i="1"/>
  <c r="AY254" i="1"/>
  <c r="AX254" i="1"/>
  <c r="AW254" i="1"/>
  <c r="AV254" i="1"/>
  <c r="AY252" i="1"/>
  <c r="AX252" i="1"/>
  <c r="AW252" i="1"/>
  <c r="AV252" i="1"/>
  <c r="AY250" i="1"/>
  <c r="AX250" i="1"/>
  <c r="AW250" i="1"/>
  <c r="AV250" i="1"/>
  <c r="AY248" i="1"/>
  <c r="AX248" i="1"/>
  <c r="AW248" i="1"/>
  <c r="AV248" i="1"/>
  <c r="AY246" i="1"/>
  <c r="AX246" i="1"/>
  <c r="AW246" i="1"/>
  <c r="AV246" i="1"/>
  <c r="BA238" i="1"/>
  <c r="AZ238" i="1"/>
  <c r="AY238" i="1"/>
  <c r="AX238" i="1"/>
  <c r="AW238" i="1"/>
  <c r="BA236" i="1"/>
  <c r="AZ236" i="1"/>
  <c r="AY236" i="1"/>
  <c r="AX236" i="1"/>
  <c r="AW236" i="1"/>
  <c r="BA234" i="1"/>
  <c r="AZ234" i="1"/>
  <c r="AY234" i="1"/>
  <c r="AX234" i="1"/>
  <c r="AW234" i="1"/>
  <c r="BA232" i="1"/>
  <c r="AZ232" i="1"/>
  <c r="AY232" i="1"/>
  <c r="AX232" i="1"/>
  <c r="AW232" i="1"/>
  <c r="BA230" i="1"/>
  <c r="AZ230" i="1"/>
  <c r="AY230" i="1"/>
  <c r="AX230" i="1"/>
  <c r="AW230" i="1"/>
  <c r="AZ176" i="1"/>
  <c r="AY176" i="1"/>
  <c r="AX176" i="1"/>
  <c r="AW176" i="1"/>
  <c r="AX114" i="1"/>
  <c r="AW114" i="1"/>
  <c r="AX112" i="1"/>
  <c r="AW112" i="1"/>
  <c r="AX110" i="1"/>
  <c r="AW110" i="1"/>
  <c r="AX106" i="1"/>
  <c r="AW106" i="1"/>
  <c r="AV106" i="1"/>
  <c r="AX104" i="1"/>
  <c r="AW104" i="1"/>
  <c r="AV104" i="1"/>
  <c r="AX102" i="1"/>
  <c r="AW102" i="1"/>
  <c r="AV102" i="1"/>
  <c r="AX100" i="1"/>
  <c r="AW100" i="1"/>
  <c r="AV100" i="1"/>
  <c r="AX98" i="1"/>
  <c r="AW98" i="1"/>
  <c r="AV98" i="1"/>
  <c r="AX96" i="1"/>
  <c r="AW96" i="1"/>
  <c r="AV96" i="1"/>
  <c r="AZ84" i="1"/>
  <c r="AY84" i="1"/>
  <c r="AX84" i="1"/>
  <c r="AW84" i="1"/>
  <c r="AV84" i="1"/>
  <c r="AZ82" i="1"/>
  <c r="AY82" i="1"/>
  <c r="AX82" i="1"/>
  <c r="AW82" i="1"/>
  <c r="AV82" i="1"/>
  <c r="BD72" i="1"/>
  <c r="BC72" i="1"/>
  <c r="BB72" i="1"/>
  <c r="BA72" i="1"/>
  <c r="AZ72" i="1"/>
  <c r="AY72" i="1"/>
  <c r="AX72" i="1"/>
  <c r="AW72" i="1"/>
  <c r="Y73" i="1"/>
  <c r="AE73" i="1" s="1"/>
  <c r="BD70" i="1"/>
  <c r="BC70" i="1"/>
  <c r="BB70" i="1"/>
  <c r="BA70" i="1"/>
  <c r="AZ70" i="1"/>
  <c r="AY70" i="1"/>
  <c r="AX70" i="1"/>
  <c r="AW70" i="1"/>
  <c r="Y71" i="1"/>
  <c r="AE71" i="1" s="1"/>
  <c r="BD80" i="1"/>
  <c r="BC80" i="1"/>
  <c r="BB80" i="1"/>
  <c r="BA80" i="1"/>
  <c r="AZ80" i="1"/>
  <c r="AY80" i="1"/>
  <c r="AX80" i="1"/>
  <c r="AW80" i="1"/>
  <c r="Y81" i="1"/>
  <c r="AE81" i="1" s="1"/>
  <c r="BD78" i="1"/>
  <c r="BC78" i="1"/>
  <c r="BB78" i="1"/>
  <c r="BA78" i="1"/>
  <c r="AZ78" i="1"/>
  <c r="AY78" i="1"/>
  <c r="AX78" i="1"/>
  <c r="AW78" i="1"/>
  <c r="Y79" i="1"/>
  <c r="AE79" i="1" s="1"/>
  <c r="BD76" i="1"/>
  <c r="BC76" i="1"/>
  <c r="BB76" i="1"/>
  <c r="BA76" i="1"/>
  <c r="AZ76" i="1"/>
  <c r="AY76" i="1"/>
  <c r="AX76" i="1"/>
  <c r="AW76" i="1"/>
  <c r="Y77" i="1"/>
  <c r="AE77" i="1" s="1"/>
  <c r="BD74" i="1"/>
  <c r="BC74" i="1"/>
  <c r="BB74" i="1"/>
  <c r="BA74" i="1"/>
  <c r="AZ74" i="1"/>
  <c r="AY74" i="1"/>
  <c r="AX74" i="1"/>
  <c r="AW74" i="1"/>
  <c r="Y75" i="1"/>
  <c r="AE75" i="1" s="1"/>
  <c r="BD68" i="1"/>
  <c r="BC68" i="1"/>
  <c r="BB68" i="1"/>
  <c r="BA68" i="1"/>
  <c r="AZ68" i="1"/>
  <c r="AY68" i="1"/>
  <c r="AX68" i="1"/>
  <c r="AW68" i="1"/>
  <c r="BD66" i="1"/>
  <c r="BC66" i="1"/>
  <c r="BB66" i="1"/>
  <c r="BA66" i="1"/>
  <c r="AZ66" i="1"/>
  <c r="AY66" i="1"/>
  <c r="AX66" i="1"/>
  <c r="AW66" i="1"/>
  <c r="BD64" i="1"/>
  <c r="BC64" i="1"/>
  <c r="BB64" i="1"/>
  <c r="BA64" i="1"/>
  <c r="AZ64" i="1"/>
  <c r="AY64" i="1"/>
  <c r="AX64" i="1"/>
  <c r="AW64" i="1"/>
  <c r="BD62" i="1"/>
  <c r="BC62" i="1"/>
  <c r="BB62" i="1"/>
  <c r="BA62" i="1"/>
  <c r="AZ62" i="1"/>
  <c r="AY62" i="1"/>
  <c r="AX62" i="1"/>
  <c r="AW62" i="1"/>
  <c r="BD60" i="1"/>
  <c r="BC60" i="1"/>
  <c r="BB60" i="1"/>
  <c r="BA60" i="1"/>
  <c r="AZ60" i="1"/>
  <c r="AY60" i="1"/>
  <c r="AX60" i="1"/>
  <c r="AW60" i="1"/>
  <c r="BD58" i="1"/>
  <c r="BC58" i="1"/>
  <c r="BB58" i="1"/>
  <c r="BA58" i="1"/>
  <c r="AZ58" i="1"/>
  <c r="AY58" i="1"/>
  <c r="AX58" i="1"/>
  <c r="AW58" i="1"/>
  <c r="BD56" i="1"/>
  <c r="BC56" i="1"/>
  <c r="BB56" i="1"/>
  <c r="BA56" i="1"/>
  <c r="AZ56" i="1"/>
  <c r="AY56" i="1"/>
  <c r="AX56" i="1"/>
  <c r="AW56" i="1"/>
  <c r="BD54" i="1"/>
  <c r="BC54" i="1"/>
  <c r="BB54" i="1"/>
  <c r="BA54" i="1"/>
  <c r="AZ54" i="1"/>
  <c r="AY54" i="1"/>
  <c r="AX54" i="1"/>
  <c r="AW54" i="1"/>
  <c r="Y103" i="1" l="1"/>
  <c r="Y249" i="1"/>
  <c r="AE249" i="1" s="1"/>
  <c r="Y257" i="1"/>
  <c r="AE257" i="1" s="1"/>
  <c r="AX266" i="1"/>
  <c r="Y517" i="1"/>
  <c r="AE517" i="1" s="1"/>
  <c r="Y675" i="1"/>
  <c r="Y855" i="1"/>
  <c r="AE855" i="1" s="1"/>
  <c r="Y863" i="1"/>
  <c r="AE863" i="1" s="1"/>
  <c r="Y1335" i="1"/>
  <c r="Y527" i="1"/>
  <c r="AE527" i="1" s="1"/>
  <c r="Y857" i="1"/>
  <c r="AE857" i="1" s="1"/>
  <c r="Y1147" i="1"/>
  <c r="AE1147" i="1" s="1"/>
  <c r="Y1219" i="1"/>
  <c r="AE1219" i="1" s="1"/>
  <c r="Y523" i="1"/>
  <c r="AE523" i="1" s="1"/>
  <c r="Y729" i="1"/>
  <c r="Y253" i="1"/>
  <c r="AE253" i="1" s="1"/>
  <c r="Y261" i="1"/>
  <c r="AE261" i="1" s="1"/>
  <c r="Y1339" i="1"/>
  <c r="BA268" i="1"/>
  <c r="Y85" i="1"/>
  <c r="Y99" i="1"/>
  <c r="Y521" i="1"/>
  <c r="AE521" i="1" s="1"/>
  <c r="Y841" i="1"/>
  <c r="AE841" i="1" s="1"/>
  <c r="Y861" i="1"/>
  <c r="AE861" i="1" s="1"/>
  <c r="Y1223" i="1"/>
  <c r="AE1223" i="1" s="1"/>
  <c r="Y837" i="1"/>
  <c r="AE837" i="1" s="1"/>
  <c r="Y843" i="1"/>
  <c r="AE843" i="1" s="1"/>
  <c r="Y247" i="1"/>
  <c r="AE247" i="1" s="1"/>
  <c r="Y251" i="1"/>
  <c r="AE251" i="1" s="1"/>
  <c r="Y255" i="1"/>
  <c r="AE255" i="1" s="1"/>
  <c r="Y259" i="1"/>
  <c r="AE259" i="1" s="1"/>
  <c r="Y263" i="1"/>
  <c r="AE263" i="1" s="1"/>
  <c r="Y525" i="1"/>
  <c r="AE525" i="1" s="1"/>
  <c r="Y835" i="1"/>
  <c r="AE835" i="1" s="1"/>
  <c r="Y845" i="1"/>
  <c r="AE845" i="1" s="1"/>
  <c r="Y1151" i="1"/>
  <c r="AE1151" i="1" s="1"/>
  <c r="Y1221" i="1"/>
  <c r="AE1221" i="1" s="1"/>
  <c r="Y1337" i="1"/>
  <c r="Y1341" i="1"/>
  <c r="Y105" i="1"/>
  <c r="Y673" i="1"/>
  <c r="Y97" i="1"/>
  <c r="Y853" i="1"/>
  <c r="AE853" i="1" s="1"/>
  <c r="Y727" i="1"/>
  <c r="Y1215" i="1"/>
  <c r="AE1215" i="1" s="1"/>
  <c r="Y83" i="1"/>
  <c r="Y101" i="1"/>
  <c r="Y519" i="1"/>
  <c r="AE519" i="1" s="1"/>
  <c r="Y833" i="1"/>
  <c r="AE833" i="1" s="1"/>
  <c r="Y847" i="1"/>
  <c r="AE847" i="1" s="1"/>
  <c r="Y1387" i="1"/>
  <c r="Y107" i="1"/>
  <c r="Y529" i="1"/>
  <c r="AE529" i="1" s="1"/>
  <c r="Y553" i="1"/>
  <c r="Y849" i="1"/>
  <c r="AE849" i="1" s="1"/>
  <c r="Y865" i="1"/>
  <c r="AE865" i="1" s="1"/>
  <c r="Y1217" i="1"/>
  <c r="AE1217" i="1" s="1"/>
  <c r="AZ266" i="1"/>
  <c r="BA266" i="1"/>
  <c r="AX268" i="1"/>
  <c r="AY268" i="1"/>
  <c r="AZ268" i="1"/>
  <c r="AY266" i="1"/>
  <c r="BD50" i="1"/>
  <c r="BC50" i="1"/>
  <c r="BB50" i="1"/>
  <c r="BA50" i="1"/>
  <c r="AZ50" i="1"/>
  <c r="AY50" i="1"/>
  <c r="AX50" i="1"/>
  <c r="AW50" i="1"/>
  <c r="AV50" i="1"/>
  <c r="BD46" i="1"/>
  <c r="BC46" i="1"/>
  <c r="BB46" i="1"/>
  <c r="BA46" i="1"/>
  <c r="AZ46" i="1"/>
  <c r="AY46" i="1"/>
  <c r="AX46" i="1"/>
  <c r="AW46" i="1"/>
  <c r="AV46" i="1"/>
  <c r="BD44" i="1"/>
  <c r="BC44" i="1"/>
  <c r="BB44" i="1"/>
  <c r="BA44" i="1"/>
  <c r="AZ44" i="1"/>
  <c r="AY44" i="1"/>
  <c r="AX44" i="1"/>
  <c r="AW44" i="1"/>
  <c r="AV44" i="1"/>
  <c r="BD42" i="1"/>
  <c r="BC42" i="1"/>
  <c r="BB42" i="1"/>
  <c r="BA42" i="1"/>
  <c r="AZ42" i="1"/>
  <c r="AY42" i="1"/>
  <c r="AX42" i="1"/>
  <c r="AW42" i="1"/>
  <c r="AV42" i="1"/>
  <c r="BD48" i="1"/>
  <c r="BC48" i="1"/>
  <c r="BB48" i="1"/>
  <c r="BA48" i="1"/>
  <c r="AZ48" i="1"/>
  <c r="AY48" i="1"/>
  <c r="AX48" i="1"/>
  <c r="AW48" i="1"/>
  <c r="AV48" i="1"/>
  <c r="BC38" i="1"/>
  <c r="BD38" i="1" s="1"/>
  <c r="BE38" i="1" s="1"/>
  <c r="BB38" i="1"/>
  <c r="BA38" i="1"/>
  <c r="AZ38" i="1"/>
  <c r="AY38" i="1"/>
  <c r="AX38" i="1"/>
  <c r="AW38" i="1"/>
  <c r="AV38" i="1"/>
  <c r="AX34" i="1"/>
  <c r="AW34" i="1"/>
  <c r="AV34" i="1"/>
  <c r="AX32" i="1"/>
  <c r="AW32" i="1"/>
  <c r="AV32" i="1"/>
  <c r="AX30" i="1"/>
  <c r="AW30" i="1"/>
  <c r="AV30" i="1"/>
  <c r="AX8" i="1"/>
  <c r="AW8" i="1"/>
  <c r="AX6" i="1"/>
  <c r="AW6" i="1"/>
  <c r="AX4" i="1"/>
  <c r="AW4" i="1"/>
  <c r="Y35" i="1" l="1"/>
  <c r="Y31" i="1"/>
  <c r="Y39" i="1"/>
  <c r="AE39" i="1" s="1"/>
  <c r="Y49" i="1"/>
  <c r="AE49" i="1" s="1"/>
  <c r="Y43" i="1"/>
  <c r="AE43" i="1" s="1"/>
  <c r="Y33" i="1"/>
  <c r="Y45" i="1"/>
  <c r="AE45" i="1" s="1"/>
  <c r="Y47" i="1"/>
  <c r="AE47" i="1" s="1"/>
  <c r="Y51" i="1"/>
  <c r="AE51" i="1" s="1"/>
  <c r="BE242" i="1"/>
  <c r="BD242" i="1"/>
  <c r="BC242" i="1"/>
  <c r="BB242" i="1"/>
  <c r="BA242" i="1"/>
  <c r="AZ242" i="1"/>
  <c r="AY242" i="1"/>
  <c r="AX242" i="1"/>
  <c r="AW242" i="1"/>
  <c r="AV242" i="1"/>
  <c r="Y243" i="1" s="1"/>
  <c r="BI398" i="1" l="1"/>
  <c r="BH398" i="1"/>
  <c r="BG398" i="1"/>
  <c r="BF398" i="1"/>
  <c r="BE398" i="1"/>
  <c r="BD398" i="1"/>
  <c r="BC398" i="1"/>
  <c r="BB398" i="1"/>
  <c r="BA398" i="1"/>
  <c r="AZ398" i="1"/>
  <c r="AY398" i="1"/>
  <c r="AX398" i="1"/>
  <c r="AW398" i="1"/>
  <c r="AV398" i="1"/>
  <c r="AY1266" i="1"/>
  <c r="AX1266" i="1"/>
  <c r="AW1266" i="1"/>
  <c r="AV1266" i="1"/>
  <c r="AY1264" i="1"/>
  <c r="AX1264" i="1"/>
  <c r="AW1264" i="1"/>
  <c r="AV1264" i="1"/>
  <c r="AY1262" i="1"/>
  <c r="AX1262" i="1"/>
  <c r="AW1262" i="1"/>
  <c r="AV1262" i="1"/>
  <c r="AY1260" i="1"/>
  <c r="AX1260" i="1"/>
  <c r="AW1260" i="1"/>
  <c r="AV1260" i="1"/>
  <c r="BA117" i="1"/>
  <c r="AZ117" i="1"/>
  <c r="AY117" i="1"/>
  <c r="AX117" i="1"/>
  <c r="AW117" i="1"/>
  <c r="AV117" i="1"/>
  <c r="AA119" i="1"/>
  <c r="BA118" i="1"/>
  <c r="AZ118" i="1"/>
  <c r="AY118" i="1"/>
  <c r="AX118" i="1"/>
  <c r="AW118" i="1"/>
  <c r="AV118" i="1"/>
  <c r="AW116" i="1"/>
  <c r="AX116" i="1"/>
  <c r="AY116" i="1"/>
  <c r="AZ116" i="1"/>
  <c r="AV116" i="1"/>
  <c r="Y117" i="1" s="1"/>
  <c r="BA116" i="1"/>
  <c r="AA117" i="1"/>
  <c r="AS1261" i="1" l="1"/>
  <c r="AS1265" i="1"/>
  <c r="Y1263" i="1"/>
  <c r="AE1263" i="1" s="1"/>
  <c r="Y1261" i="1"/>
  <c r="AE1261" i="1" s="1"/>
  <c r="Y1265" i="1"/>
  <c r="AE1265" i="1" s="1"/>
  <c r="Y399" i="1"/>
  <c r="Y1267" i="1"/>
  <c r="AE1267" i="1" s="1"/>
  <c r="AF117" i="1"/>
  <c r="Y119" i="1"/>
  <c r="AE119" i="1" s="1"/>
  <c r="AB119" i="1"/>
  <c r="AE117" i="1"/>
  <c r="AB117" i="1"/>
  <c r="AG117" i="1"/>
  <c r="AC117" i="1"/>
  <c r="AD117" i="1" s="1"/>
  <c r="AC119" i="1"/>
  <c r="AD119" i="1" s="1"/>
  <c r="AK117" i="1"/>
  <c r="AI119" i="1"/>
  <c r="AP117" i="1"/>
  <c r="AJ117" i="1"/>
  <c r="AN119" i="1"/>
  <c r="AJ119" i="1"/>
  <c r="AK119" i="1"/>
  <c r="AO119" i="1"/>
  <c r="AP119" i="1"/>
  <c r="AI117" i="1"/>
  <c r="AA675" i="1" l="1"/>
  <c r="AA673" i="1"/>
  <c r="AW670" i="1"/>
  <c r="AV670" i="1"/>
  <c r="AX670" i="1"/>
  <c r="AA671" i="1"/>
  <c r="Y671" i="1" l="1"/>
  <c r="AE671" i="1" s="1"/>
  <c r="AE673" i="1"/>
  <c r="AB673" i="1"/>
  <c r="AE675" i="1"/>
  <c r="AB675" i="1"/>
  <c r="AB671" i="1"/>
  <c r="AI671" i="1"/>
  <c r="AJ671" i="1"/>
  <c r="AK671" i="1"/>
  <c r="AL671" i="1"/>
  <c r="AR671" i="1"/>
  <c r="AN671" i="1"/>
  <c r="AM671" i="1"/>
  <c r="AO671" i="1"/>
  <c r="AI675" i="1"/>
  <c r="AC671" i="1"/>
  <c r="AD671" i="1" s="1"/>
  <c r="AP671" i="1"/>
  <c r="AI673" i="1"/>
  <c r="AK675" i="1"/>
  <c r="AJ675" i="1"/>
  <c r="AR675" i="1"/>
  <c r="AC675" i="1"/>
  <c r="AD675" i="1" s="1"/>
  <c r="AO675" i="1"/>
  <c r="AL675" i="1"/>
  <c r="AM675" i="1"/>
  <c r="AN675" i="1"/>
  <c r="AP675" i="1"/>
  <c r="AQ673" i="1"/>
  <c r="AR673" i="1"/>
  <c r="AJ673" i="1"/>
  <c r="AK673" i="1"/>
  <c r="AL673" i="1"/>
  <c r="AM673" i="1"/>
  <c r="AN673" i="1"/>
  <c r="AC673" i="1"/>
  <c r="AD673" i="1" s="1"/>
  <c r="AO673" i="1"/>
  <c r="AP673" i="1"/>
  <c r="AA1491" i="1"/>
  <c r="AA1489" i="1"/>
  <c r="AA1487" i="1"/>
  <c r="AY1484" i="1"/>
  <c r="AX1484" i="1"/>
  <c r="AW1484" i="1"/>
  <c r="AA1485" i="1"/>
  <c r="AA269" i="1"/>
  <c r="AA267" i="1"/>
  <c r="AW264" i="1"/>
  <c r="AA265" i="1"/>
  <c r="AY264" i="1" l="1"/>
  <c r="AE265" i="1"/>
  <c r="AB265" i="1"/>
  <c r="AE1487" i="1"/>
  <c r="AB1487" i="1"/>
  <c r="AE1489" i="1"/>
  <c r="AB1489" i="1"/>
  <c r="AE267" i="1"/>
  <c r="AB267" i="1"/>
  <c r="AE1491" i="1"/>
  <c r="AB1491" i="1"/>
  <c r="AE269" i="1"/>
  <c r="AB269" i="1"/>
  <c r="AE1485" i="1"/>
  <c r="AB1485" i="1"/>
  <c r="AC1487" i="1"/>
  <c r="AD1487" i="1" s="1"/>
  <c r="AK1491" i="1"/>
  <c r="AZ264" i="1"/>
  <c r="BA264" i="1"/>
  <c r="AC1491" i="1"/>
  <c r="AD1491" i="1" s="1"/>
  <c r="AX264" i="1"/>
  <c r="AI1487" i="1"/>
  <c r="AJ1487" i="1"/>
  <c r="AI1491" i="1"/>
  <c r="AK1489" i="1"/>
  <c r="AC1489" i="1"/>
  <c r="AD1489" i="1" s="1"/>
  <c r="AI1489" i="1"/>
  <c r="AJ1491" i="1"/>
  <c r="AJ1489" i="1"/>
  <c r="AK1487" i="1"/>
  <c r="AC1373" i="1"/>
  <c r="AD1373" i="1" s="1"/>
  <c r="AC1371" i="1"/>
  <c r="AD1371" i="1" s="1"/>
  <c r="AC1369" i="1"/>
  <c r="AD1369" i="1" s="1"/>
  <c r="AC1367" i="1"/>
  <c r="AD1367" i="1" s="1"/>
  <c r="AC1365" i="1"/>
  <c r="AD1365" i="1" s="1"/>
  <c r="AC1363" i="1"/>
  <c r="AD1363" i="1" s="1"/>
  <c r="AC969" i="1"/>
  <c r="AD969" i="1" s="1"/>
  <c r="AC967" i="1"/>
  <c r="AD967" i="1" s="1"/>
  <c r="AC965" i="1"/>
  <c r="AD965" i="1" s="1"/>
  <c r="AC305" i="1"/>
  <c r="AD305" i="1" s="1"/>
  <c r="AC303" i="1"/>
  <c r="AD303" i="1" s="1"/>
  <c r="AC301" i="1"/>
  <c r="AD301" i="1" s="1"/>
  <c r="AI267" i="1" l="1"/>
  <c r="AC265" i="1"/>
  <c r="AD265" i="1" s="1"/>
  <c r="AC269" i="1"/>
  <c r="AD269" i="1" s="1"/>
  <c r="AJ265" i="1"/>
  <c r="AK265" i="1"/>
  <c r="AI265" i="1"/>
  <c r="AJ269" i="1"/>
  <c r="AI269" i="1"/>
  <c r="AK269" i="1"/>
  <c r="AC267" i="1"/>
  <c r="AD267" i="1" s="1"/>
  <c r="AJ267" i="1"/>
  <c r="AK267" i="1"/>
  <c r="AC1445" i="1"/>
  <c r="AD1445" i="1" s="1"/>
  <c r="AC1443" i="1"/>
  <c r="AD1443" i="1" s="1"/>
  <c r="AC1433" i="1"/>
  <c r="AD1433" i="1" s="1"/>
  <c r="AC1431" i="1"/>
  <c r="AD1431" i="1" s="1"/>
  <c r="AC1429" i="1"/>
  <c r="AD1429" i="1" s="1"/>
  <c r="AC1427" i="1"/>
  <c r="AD1427" i="1" s="1"/>
  <c r="AA1433" i="1"/>
  <c r="AA1431" i="1"/>
  <c r="AA1429" i="1"/>
  <c r="AA1427" i="1"/>
  <c r="AA1373" i="1"/>
  <c r="AA1371" i="1"/>
  <c r="AA1369" i="1"/>
  <c r="AA1367" i="1"/>
  <c r="AA1365" i="1"/>
  <c r="AA1363" i="1"/>
  <c r="AA1361" i="1"/>
  <c r="AC1361" i="1"/>
  <c r="AD1361" i="1" s="1"/>
  <c r="AA1353" i="1"/>
  <c r="AC1353" i="1"/>
  <c r="AD1353" i="1" s="1"/>
  <c r="AW1346" i="1"/>
  <c r="AX1346" i="1"/>
  <c r="AY1346" i="1"/>
  <c r="AW1342" i="1"/>
  <c r="AX1342" i="1"/>
  <c r="AA1349" i="1"/>
  <c r="AA1347" i="1"/>
  <c r="AA1345" i="1"/>
  <c r="AA1343" i="1"/>
  <c r="AA1327" i="1"/>
  <c r="AA1325" i="1"/>
  <c r="AA1319" i="1"/>
  <c r="AA1317" i="1"/>
  <c r="AA1315" i="1"/>
  <c r="AA1313" i="1"/>
  <c r="AA1309" i="1"/>
  <c r="AA1307" i="1"/>
  <c r="AC1327" i="1"/>
  <c r="AD1327" i="1" s="1"/>
  <c r="AC1325" i="1"/>
  <c r="AD1325" i="1" s="1"/>
  <c r="AC1323" i="1"/>
  <c r="AD1323" i="1" s="1"/>
  <c r="AC1321" i="1"/>
  <c r="AD1321" i="1" s="1"/>
  <c r="AC1319" i="1"/>
  <c r="AD1319" i="1" s="1"/>
  <c r="AC1317" i="1"/>
  <c r="AD1317" i="1" s="1"/>
  <c r="AC1315" i="1"/>
  <c r="AD1315" i="1" s="1"/>
  <c r="AC1313" i="1"/>
  <c r="AD1313" i="1" s="1"/>
  <c r="AC1311" i="1"/>
  <c r="AD1311" i="1" s="1"/>
  <c r="AC1309" i="1"/>
  <c r="AD1309" i="1" s="1"/>
  <c r="AC1307" i="1"/>
  <c r="AD1307" i="1" s="1"/>
  <c r="AA1285" i="1"/>
  <c r="AA1283" i="1"/>
  <c r="AA1281" i="1"/>
  <c r="AA1279" i="1"/>
  <c r="AA1275" i="1"/>
  <c r="AA1277" i="1"/>
  <c r="AC1285" i="1"/>
  <c r="AD1285" i="1" s="1"/>
  <c r="AC1283" i="1"/>
  <c r="AD1283" i="1" s="1"/>
  <c r="AC1281" i="1"/>
  <c r="AD1281" i="1" s="1"/>
  <c r="AC1279" i="1"/>
  <c r="AD1279" i="1" s="1"/>
  <c r="AC1277" i="1"/>
  <c r="AD1277" i="1" s="1"/>
  <c r="AC1275" i="1"/>
  <c r="AD1275" i="1" s="1"/>
  <c r="AA1179" i="1"/>
  <c r="AA1177" i="1"/>
  <c r="AA1175" i="1"/>
  <c r="AC1183" i="1"/>
  <c r="AD1183" i="1" s="1"/>
  <c r="AC1181" i="1"/>
  <c r="AD1181" i="1" s="1"/>
  <c r="AC1179" i="1"/>
  <c r="AD1179" i="1" s="1"/>
  <c r="AC1177" i="1"/>
  <c r="AD1177" i="1" s="1"/>
  <c r="AC1175" i="1"/>
  <c r="AD1175" i="1" s="1"/>
  <c r="AA1019" i="1"/>
  <c r="AA1017" i="1"/>
  <c r="AA1015" i="1"/>
  <c r="AA1013" i="1"/>
  <c r="AA1011" i="1"/>
  <c r="AA1009" i="1"/>
  <c r="AA1037" i="1"/>
  <c r="AA1035" i="1"/>
  <c r="AA1033" i="1"/>
  <c r="AA1031" i="1"/>
  <c r="AA1029" i="1"/>
  <c r="AA1027" i="1"/>
  <c r="AA1025" i="1"/>
  <c r="AA1023" i="1"/>
  <c r="AA1021" i="1"/>
  <c r="AC1037" i="1"/>
  <c r="AD1037" i="1" s="1"/>
  <c r="AC1035" i="1"/>
  <c r="AD1035" i="1" s="1"/>
  <c r="AC1019" i="1"/>
  <c r="AD1019" i="1" s="1"/>
  <c r="AC1033" i="1"/>
  <c r="AD1033" i="1" s="1"/>
  <c r="AC1017" i="1"/>
  <c r="AD1017" i="1" s="1"/>
  <c r="AC1031" i="1"/>
  <c r="AD1031" i="1" s="1"/>
  <c r="AC1015" i="1"/>
  <c r="AD1015" i="1" s="1"/>
  <c r="AC1029" i="1"/>
  <c r="AD1029" i="1" s="1"/>
  <c r="AC1013" i="1"/>
  <c r="AD1013" i="1" s="1"/>
  <c r="AC1027" i="1"/>
  <c r="AD1027" i="1" s="1"/>
  <c r="AC1011" i="1"/>
  <c r="AD1011" i="1" s="1"/>
  <c r="AC1025" i="1"/>
  <c r="AD1025" i="1" s="1"/>
  <c r="AC1009" i="1"/>
  <c r="AD1009" i="1" s="1"/>
  <c r="AC1023" i="1"/>
  <c r="AD1023" i="1" s="1"/>
  <c r="AC1021" i="1"/>
  <c r="AD1021" i="1" s="1"/>
  <c r="AA969" i="1"/>
  <c r="AA965" i="1"/>
  <c r="AA967" i="1"/>
  <c r="AA879" i="1"/>
  <c r="AA877" i="1"/>
  <c r="AA875" i="1"/>
  <c r="AC879" i="1"/>
  <c r="AD879" i="1" s="1"/>
  <c r="AC877" i="1"/>
  <c r="AD877" i="1" s="1"/>
  <c r="AC875" i="1"/>
  <c r="AD875" i="1" s="1"/>
  <c r="AA807" i="1"/>
  <c r="AA805" i="1"/>
  <c r="AA803" i="1"/>
  <c r="AA829" i="1"/>
  <c r="AA827" i="1"/>
  <c r="AA825" i="1"/>
  <c r="AA823" i="1"/>
  <c r="AA791" i="1"/>
  <c r="AA789" i="1"/>
  <c r="AA787" i="1"/>
  <c r="AC829" i="1"/>
  <c r="AD829" i="1" s="1"/>
  <c r="AC827" i="1"/>
  <c r="AD827" i="1" s="1"/>
  <c r="AC825" i="1"/>
  <c r="AD825" i="1" s="1"/>
  <c r="AC823" i="1"/>
  <c r="AD823" i="1" s="1"/>
  <c r="AC821" i="1"/>
  <c r="AD821" i="1" s="1"/>
  <c r="AC807" i="1"/>
  <c r="AD807" i="1" s="1"/>
  <c r="AC805" i="1"/>
  <c r="AD805" i="1" s="1"/>
  <c r="AC803" i="1"/>
  <c r="AD803" i="1" s="1"/>
  <c r="AC801" i="1"/>
  <c r="AD801" i="1" s="1"/>
  <c r="AC799" i="1"/>
  <c r="AD799" i="1" s="1"/>
  <c r="AC797" i="1"/>
  <c r="AD797" i="1" s="1"/>
  <c r="AC795" i="1"/>
  <c r="AD795" i="1" s="1"/>
  <c r="AC791" i="1"/>
  <c r="AD791" i="1" s="1"/>
  <c r="AC789" i="1"/>
  <c r="AD789" i="1" s="1"/>
  <c r="AC787" i="1"/>
  <c r="AD787" i="1" s="1"/>
  <c r="AE1031" i="1" l="1"/>
  <c r="AB1031" i="1"/>
  <c r="AE1177" i="1"/>
  <c r="AB1177" i="1"/>
  <c r="AE1315" i="1"/>
  <c r="AB1315" i="1"/>
  <c r="AE787" i="1"/>
  <c r="AB787" i="1"/>
  <c r="AE805" i="1"/>
  <c r="AB805" i="1"/>
  <c r="AE967" i="1"/>
  <c r="AB967" i="1"/>
  <c r="AE1033" i="1"/>
  <c r="AB1033" i="1"/>
  <c r="AE1019" i="1"/>
  <c r="AB1019" i="1"/>
  <c r="AE1179" i="1"/>
  <c r="AB1179" i="1"/>
  <c r="AE1317" i="1"/>
  <c r="AB1317" i="1"/>
  <c r="AE1347" i="1"/>
  <c r="AB1347" i="1"/>
  <c r="AE1369" i="1"/>
  <c r="AB1369" i="1"/>
  <c r="AE879" i="1"/>
  <c r="AB879" i="1"/>
  <c r="AE1367" i="1"/>
  <c r="AB1367" i="1"/>
  <c r="AE789" i="1"/>
  <c r="AB789" i="1"/>
  <c r="AE807" i="1"/>
  <c r="AB807" i="1"/>
  <c r="AE965" i="1"/>
  <c r="AB965" i="1"/>
  <c r="AE1035" i="1"/>
  <c r="AB1035" i="1"/>
  <c r="AE1181" i="1"/>
  <c r="AB1181" i="1"/>
  <c r="AE1277" i="1"/>
  <c r="AB1277" i="1"/>
  <c r="AE1319" i="1"/>
  <c r="AB1319" i="1"/>
  <c r="AE1349" i="1"/>
  <c r="AB1349" i="1"/>
  <c r="AE1353" i="1"/>
  <c r="AB1353" i="1"/>
  <c r="AE1371" i="1"/>
  <c r="AB1371" i="1"/>
  <c r="AE791" i="1"/>
  <c r="AB791" i="1"/>
  <c r="AE969" i="1"/>
  <c r="AB969" i="1"/>
  <c r="AE1021" i="1"/>
  <c r="AB1021" i="1"/>
  <c r="AE1037" i="1"/>
  <c r="AB1037" i="1"/>
  <c r="AE1183" i="1"/>
  <c r="AB1183" i="1"/>
  <c r="AE1275" i="1"/>
  <c r="AB1275" i="1"/>
  <c r="AE1373" i="1"/>
  <c r="AB1373" i="1"/>
  <c r="AE803" i="1"/>
  <c r="AB803" i="1"/>
  <c r="AE1017" i="1"/>
  <c r="AB1017" i="1"/>
  <c r="AE823" i="1"/>
  <c r="AB823" i="1"/>
  <c r="AE1023" i="1"/>
  <c r="AB1023" i="1"/>
  <c r="AE1009" i="1"/>
  <c r="AB1009" i="1"/>
  <c r="AE1279" i="1"/>
  <c r="AB1279" i="1"/>
  <c r="AE1427" i="1"/>
  <c r="AB1427" i="1"/>
  <c r="AE825" i="1"/>
  <c r="AB825" i="1"/>
  <c r="AE1025" i="1"/>
  <c r="AB1025" i="1"/>
  <c r="AE1011" i="1"/>
  <c r="AB1011" i="1"/>
  <c r="AE1281" i="1"/>
  <c r="AB1281" i="1"/>
  <c r="AE1307" i="1"/>
  <c r="AB1307" i="1"/>
  <c r="AE1325" i="1"/>
  <c r="AB1325" i="1"/>
  <c r="AE1361" i="1"/>
  <c r="AB1361" i="1"/>
  <c r="AE1429" i="1"/>
  <c r="AB1429" i="1"/>
  <c r="AE827" i="1"/>
  <c r="AB827" i="1"/>
  <c r="AE875" i="1"/>
  <c r="AB875" i="1"/>
  <c r="AE1027" i="1"/>
  <c r="AB1027" i="1"/>
  <c r="AE1013" i="1"/>
  <c r="AB1013" i="1"/>
  <c r="AE1283" i="1"/>
  <c r="AB1283" i="1"/>
  <c r="AE1309" i="1"/>
  <c r="AB1309" i="1"/>
  <c r="AE1327" i="1"/>
  <c r="AB1327" i="1"/>
  <c r="AE1363" i="1"/>
  <c r="AB1363" i="1"/>
  <c r="AE1431" i="1"/>
  <c r="AB1431" i="1"/>
  <c r="AE1345" i="1"/>
  <c r="AB1345" i="1"/>
  <c r="AE829" i="1"/>
  <c r="AB829" i="1"/>
  <c r="AE877" i="1"/>
  <c r="AB877" i="1"/>
  <c r="AE1029" i="1"/>
  <c r="AB1029" i="1"/>
  <c r="AE1015" i="1"/>
  <c r="AB1015" i="1"/>
  <c r="AE1175" i="1"/>
  <c r="AB1175" i="1"/>
  <c r="AE1285" i="1"/>
  <c r="AB1285" i="1"/>
  <c r="AE1313" i="1"/>
  <c r="AB1313" i="1"/>
  <c r="AE1343" i="1"/>
  <c r="AB1343" i="1"/>
  <c r="AE1365" i="1"/>
  <c r="AB1365" i="1"/>
  <c r="AE1433" i="1"/>
  <c r="AB1433" i="1"/>
  <c r="AC1347" i="1"/>
  <c r="AD1347" i="1" s="1"/>
  <c r="AC1345" i="1"/>
  <c r="AD1345" i="1" s="1"/>
  <c r="AC1349" i="1"/>
  <c r="AD1349" i="1" s="1"/>
  <c r="AK1383" i="1"/>
  <c r="AI1383" i="1"/>
  <c r="AM1383" i="1"/>
  <c r="AC1383" i="1"/>
  <c r="AD1383" i="1" s="1"/>
  <c r="AJ1383" i="1"/>
  <c r="AN1383" i="1"/>
  <c r="AC1343" i="1"/>
  <c r="AD1343" i="1" s="1"/>
  <c r="AA683" i="1"/>
  <c r="AA681" i="1"/>
  <c r="AC683" i="1"/>
  <c r="AD683" i="1" s="1"/>
  <c r="AC681" i="1"/>
  <c r="AD681" i="1" s="1"/>
  <c r="AA645" i="1"/>
  <c r="AA643" i="1"/>
  <c r="AA649" i="1"/>
  <c r="AA647" i="1"/>
  <c r="AA635" i="1"/>
  <c r="AA633" i="1"/>
  <c r="AA631" i="1"/>
  <c r="AA629" i="1"/>
  <c r="AC651" i="1"/>
  <c r="AD651" i="1" s="1"/>
  <c r="AC649" i="1"/>
  <c r="AD649" i="1" s="1"/>
  <c r="AC647" i="1"/>
  <c r="AD647" i="1" s="1"/>
  <c r="AC645" i="1"/>
  <c r="AD645" i="1" s="1"/>
  <c r="AC643" i="1"/>
  <c r="AD643" i="1" s="1"/>
  <c r="AC635" i="1"/>
  <c r="AD635" i="1" s="1"/>
  <c r="AC633" i="1"/>
  <c r="AD633" i="1" s="1"/>
  <c r="AC631" i="1"/>
  <c r="AD631" i="1" s="1"/>
  <c r="AC629" i="1"/>
  <c r="AD629" i="1" s="1"/>
  <c r="AE633" i="1" l="1"/>
  <c r="AB633" i="1"/>
  <c r="AE631" i="1"/>
  <c r="AB631" i="1"/>
  <c r="AE647" i="1"/>
  <c r="AB647" i="1"/>
  <c r="AE649" i="1"/>
  <c r="AB649" i="1"/>
  <c r="AE681" i="1"/>
  <c r="AB681" i="1"/>
  <c r="AE635" i="1"/>
  <c r="AB635" i="1"/>
  <c r="AE643" i="1"/>
  <c r="AB643" i="1"/>
  <c r="AE683" i="1"/>
  <c r="AB683" i="1"/>
  <c r="AE645" i="1"/>
  <c r="AB645" i="1"/>
  <c r="AE629" i="1"/>
  <c r="AB629" i="1"/>
  <c r="AA591" i="1"/>
  <c r="AC593" i="1"/>
  <c r="AD593" i="1" s="1"/>
  <c r="AC591" i="1"/>
  <c r="AD591" i="1" s="1"/>
  <c r="AA581" i="1"/>
  <c r="AA579" i="1"/>
  <c r="AA577" i="1"/>
  <c r="AA575" i="1"/>
  <c r="AA573" i="1"/>
  <c r="AC581" i="1"/>
  <c r="AD581" i="1" s="1"/>
  <c r="AC579" i="1"/>
  <c r="AD579" i="1" s="1"/>
  <c r="AC577" i="1"/>
  <c r="AD577" i="1" s="1"/>
  <c r="AC575" i="1"/>
  <c r="AD575" i="1" s="1"/>
  <c r="AC573" i="1"/>
  <c r="AD573" i="1" s="1"/>
  <c r="AC583" i="1"/>
  <c r="AD583" i="1" s="1"/>
  <c r="AC585" i="1"/>
  <c r="AD585" i="1" s="1"/>
  <c r="AA549" i="1"/>
  <c r="AA547" i="1"/>
  <c r="AA491" i="1"/>
  <c r="AC549" i="1"/>
  <c r="AD549" i="1" s="1"/>
  <c r="AC547" i="1"/>
  <c r="AD547" i="1" s="1"/>
  <c r="AT503" i="1"/>
  <c r="AR503" i="1"/>
  <c r="AQ503" i="1"/>
  <c r="AP503" i="1"/>
  <c r="AO503" i="1"/>
  <c r="AN503" i="1"/>
  <c r="AM503" i="1"/>
  <c r="AL503" i="1"/>
  <c r="AK503" i="1"/>
  <c r="AJ503" i="1"/>
  <c r="AI503" i="1"/>
  <c r="AT501" i="1"/>
  <c r="AR501" i="1"/>
  <c r="AQ501" i="1"/>
  <c r="AP501" i="1"/>
  <c r="AO501" i="1"/>
  <c r="AN501" i="1"/>
  <c r="AM501" i="1"/>
  <c r="AL501" i="1"/>
  <c r="AK501" i="1"/>
  <c r="AJ501" i="1"/>
  <c r="AI501" i="1"/>
  <c r="AC503" i="1"/>
  <c r="AD503" i="1" s="1"/>
  <c r="AC501" i="1"/>
  <c r="AD501" i="1" s="1"/>
  <c r="AE579" i="1" l="1"/>
  <c r="AB579" i="1"/>
  <c r="AE577" i="1"/>
  <c r="AB577" i="1"/>
  <c r="AE581" i="1"/>
  <c r="AB581" i="1"/>
  <c r="AE491" i="1"/>
  <c r="AB491" i="1"/>
  <c r="AE547" i="1"/>
  <c r="AB547" i="1"/>
  <c r="AE591" i="1"/>
  <c r="AB591" i="1"/>
  <c r="AE549" i="1"/>
  <c r="AB549" i="1"/>
  <c r="AE573" i="1"/>
  <c r="AB573" i="1"/>
  <c r="AE575" i="1"/>
  <c r="AB575" i="1"/>
  <c r="AC521" i="1"/>
  <c r="AD521" i="1" s="1"/>
  <c r="AJ557" i="1"/>
  <c r="AC557" i="1"/>
  <c r="AD557" i="1" s="1"/>
  <c r="AK557" i="1"/>
  <c r="AO557" i="1"/>
  <c r="AQ557" i="1"/>
  <c r="AI557" i="1"/>
  <c r="AL557" i="1"/>
  <c r="AP557" i="1"/>
  <c r="AR557" i="1"/>
  <c r="AJ527" i="1"/>
  <c r="AC523" i="1"/>
  <c r="AD523" i="1" s="1"/>
  <c r="AK525" i="1"/>
  <c r="AK527" i="1"/>
  <c r="AK529" i="1"/>
  <c r="AI523" i="1"/>
  <c r="AI525" i="1"/>
  <c r="AI527" i="1"/>
  <c r="AI529" i="1"/>
  <c r="AJ523" i="1"/>
  <c r="AJ525" i="1"/>
  <c r="AJ529" i="1"/>
  <c r="AK523" i="1"/>
  <c r="AC525" i="1"/>
  <c r="AD525" i="1" s="1"/>
  <c r="AC527" i="1"/>
  <c r="AD527" i="1" s="1"/>
  <c r="AC529" i="1"/>
  <c r="AD529" i="1" s="1"/>
  <c r="AL523" i="1"/>
  <c r="AP523" i="1"/>
  <c r="AR523" i="1"/>
  <c r="AL525" i="1"/>
  <c r="AP525" i="1"/>
  <c r="AR525" i="1"/>
  <c r="AL527" i="1"/>
  <c r="AP527" i="1"/>
  <c r="AR527" i="1"/>
  <c r="AL529" i="1"/>
  <c r="AP529" i="1"/>
  <c r="AR529" i="1"/>
  <c r="AI521" i="1"/>
  <c r="AJ521" i="1"/>
  <c r="AK521" i="1"/>
  <c r="AO521" i="1"/>
  <c r="AQ521" i="1"/>
  <c r="AL521" i="1"/>
  <c r="AP521" i="1"/>
  <c r="AR521" i="1"/>
  <c r="AA489" i="1"/>
  <c r="AA487" i="1"/>
  <c r="AC491" i="1"/>
  <c r="AD491" i="1" s="1"/>
  <c r="AC489" i="1"/>
  <c r="AD489" i="1" s="1"/>
  <c r="AC487" i="1"/>
  <c r="AD487" i="1" s="1"/>
  <c r="AC469" i="1"/>
  <c r="AD469" i="1" s="1"/>
  <c r="AC467" i="1"/>
  <c r="AD467" i="1" s="1"/>
  <c r="AC465" i="1"/>
  <c r="AD465" i="1" s="1"/>
  <c r="AC463" i="1"/>
  <c r="AD463" i="1" s="1"/>
  <c r="AC461" i="1"/>
  <c r="AD461" i="1" s="1"/>
  <c r="AC459" i="1"/>
  <c r="AD459" i="1" s="1"/>
  <c r="AC453" i="1"/>
  <c r="AD453" i="1" s="1"/>
  <c r="AC451" i="1"/>
  <c r="AD451" i="1" s="1"/>
  <c r="AC449" i="1"/>
  <c r="AD449" i="1" s="1"/>
  <c r="AC447" i="1"/>
  <c r="AD447" i="1" s="1"/>
  <c r="AC445" i="1"/>
  <c r="AD445" i="1" s="1"/>
  <c r="AC443" i="1"/>
  <c r="AD443" i="1" s="1"/>
  <c r="AC407" i="1"/>
  <c r="AD407" i="1" s="1"/>
  <c r="AC405" i="1"/>
  <c r="AD405" i="1" s="1"/>
  <c r="AC403" i="1"/>
  <c r="AD403" i="1" s="1"/>
  <c r="AC401" i="1"/>
  <c r="AD401" i="1" s="1"/>
  <c r="AA399" i="1"/>
  <c r="AA397" i="1"/>
  <c r="AA357" i="1"/>
  <c r="AA303" i="1"/>
  <c r="AA301" i="1"/>
  <c r="AA305" i="1"/>
  <c r="AA279" i="1"/>
  <c r="AA277" i="1"/>
  <c r="AA275" i="1"/>
  <c r="AC357" i="1"/>
  <c r="AD357" i="1" s="1"/>
  <c r="AC355" i="1"/>
  <c r="AD355" i="1" s="1"/>
  <c r="AC353" i="1"/>
  <c r="AD353" i="1" s="1"/>
  <c r="AC351" i="1"/>
  <c r="AD351" i="1" s="1"/>
  <c r="AC349" i="1"/>
  <c r="AD349" i="1" s="1"/>
  <c r="AC347" i="1"/>
  <c r="AD347" i="1" s="1"/>
  <c r="AC345" i="1"/>
  <c r="AD345" i="1" s="1"/>
  <c r="AC343" i="1"/>
  <c r="AD343" i="1" s="1"/>
  <c r="AC341" i="1"/>
  <c r="AD341" i="1" s="1"/>
  <c r="AC339" i="1"/>
  <c r="AD339" i="1" s="1"/>
  <c r="AC279" i="1"/>
  <c r="AD279" i="1" s="1"/>
  <c r="AC277" i="1"/>
  <c r="AD277" i="1" s="1"/>
  <c r="AC275" i="1"/>
  <c r="AD275" i="1" s="1"/>
  <c r="AC273" i="1"/>
  <c r="AD273" i="1" s="1"/>
  <c r="AC271" i="1"/>
  <c r="AD271" i="1" s="1"/>
  <c r="AA239" i="1"/>
  <c r="AA237" i="1"/>
  <c r="AA235" i="1"/>
  <c r="AA233" i="1"/>
  <c r="AA231" i="1"/>
  <c r="AA229" i="1"/>
  <c r="AE231" i="1" l="1"/>
  <c r="AB231" i="1"/>
  <c r="AE301" i="1"/>
  <c r="AB301" i="1"/>
  <c r="AE489" i="1"/>
  <c r="AB489" i="1"/>
  <c r="AE229" i="1"/>
  <c r="AB229" i="1"/>
  <c r="AE233" i="1"/>
  <c r="AB233" i="1"/>
  <c r="AE303" i="1"/>
  <c r="AB303" i="1"/>
  <c r="AE487" i="1"/>
  <c r="AB487" i="1"/>
  <c r="AE235" i="1"/>
  <c r="AB235" i="1"/>
  <c r="AE357" i="1"/>
  <c r="AB357" i="1"/>
  <c r="AE237" i="1"/>
  <c r="AB237" i="1"/>
  <c r="AB397" i="1"/>
  <c r="AE239" i="1"/>
  <c r="AB239" i="1"/>
  <c r="AE275" i="1"/>
  <c r="AB275" i="1"/>
  <c r="AE277" i="1"/>
  <c r="AB277" i="1"/>
  <c r="AE399" i="1"/>
  <c r="AB399" i="1"/>
  <c r="AE305" i="1"/>
  <c r="AB305" i="1"/>
  <c r="AE279" i="1"/>
  <c r="AB279" i="1"/>
  <c r="AT1469" i="1"/>
  <c r="AR1469" i="1"/>
  <c r="AQ1469" i="1"/>
  <c r="AP1469" i="1"/>
  <c r="AO1469" i="1"/>
  <c r="AN1469" i="1"/>
  <c r="AM1469" i="1"/>
  <c r="AL1469" i="1"/>
  <c r="AK1469" i="1"/>
  <c r="AJ1469" i="1"/>
  <c r="AI1469" i="1"/>
  <c r="AC1469" i="1"/>
  <c r="AD1469" i="1" s="1"/>
  <c r="AA1469" i="1"/>
  <c r="AT1467" i="1"/>
  <c r="AR1467" i="1"/>
  <c r="AQ1467" i="1"/>
  <c r="AP1467" i="1"/>
  <c r="AO1467" i="1"/>
  <c r="AN1467" i="1"/>
  <c r="AM1467" i="1"/>
  <c r="AL1467" i="1"/>
  <c r="AK1467" i="1"/>
  <c r="AJ1467" i="1"/>
  <c r="AI1467" i="1"/>
  <c r="AC1467" i="1"/>
  <c r="AD1467" i="1" s="1"/>
  <c r="AA1467" i="1"/>
  <c r="AT583" i="1"/>
  <c r="AR583" i="1"/>
  <c r="AQ583" i="1"/>
  <c r="AP583" i="1"/>
  <c r="AO583" i="1"/>
  <c r="AN583" i="1"/>
  <c r="AM583" i="1"/>
  <c r="AL583" i="1"/>
  <c r="AK583" i="1"/>
  <c r="AJ583" i="1"/>
  <c r="AI583" i="1"/>
  <c r="AA217" i="1"/>
  <c r="AA213" i="1"/>
  <c r="AA139" i="1"/>
  <c r="AA137" i="1"/>
  <c r="AA135" i="1"/>
  <c r="AA133" i="1"/>
  <c r="AA131" i="1"/>
  <c r="AA129" i="1"/>
  <c r="AA127" i="1"/>
  <c r="AA125" i="1"/>
  <c r="AA123" i="1"/>
  <c r="AA121" i="1"/>
  <c r="AC91" i="1"/>
  <c r="AD91" i="1" s="1"/>
  <c r="AC89" i="1"/>
  <c r="AD89" i="1" s="1"/>
  <c r="AC87" i="1"/>
  <c r="AD87" i="1" s="1"/>
  <c r="AA91" i="1"/>
  <c r="AA89" i="1"/>
  <c r="AA87" i="1"/>
  <c r="AE13" i="1" l="1"/>
  <c r="AB13" i="1"/>
  <c r="AE15" i="1"/>
  <c r="AB15" i="1"/>
  <c r="AE89" i="1"/>
  <c r="AB89" i="1"/>
  <c r="AE127" i="1"/>
  <c r="AB127" i="1"/>
  <c r="AE17" i="1"/>
  <c r="AB17" i="1"/>
  <c r="AE91" i="1"/>
  <c r="AB91" i="1"/>
  <c r="AE129" i="1"/>
  <c r="AB129" i="1"/>
  <c r="AE87" i="1"/>
  <c r="AB87" i="1"/>
  <c r="AE125" i="1"/>
  <c r="AB125" i="1"/>
  <c r="AE213" i="1"/>
  <c r="AB213" i="1"/>
  <c r="AE19" i="1"/>
  <c r="AB19" i="1"/>
  <c r="AE131" i="1"/>
  <c r="AB131" i="1"/>
  <c r="AE217" i="1"/>
  <c r="AB217" i="1"/>
  <c r="AE1467" i="1"/>
  <c r="AB1467" i="1"/>
  <c r="AE23" i="1"/>
  <c r="AB23" i="1"/>
  <c r="AE133" i="1"/>
  <c r="AB133" i="1"/>
  <c r="AE25" i="1"/>
  <c r="AB25" i="1"/>
  <c r="AE135" i="1"/>
  <c r="AB135" i="1"/>
  <c r="AE1469" i="1"/>
  <c r="AB1469" i="1"/>
  <c r="AE27" i="1"/>
  <c r="AB27" i="1"/>
  <c r="AE121" i="1"/>
  <c r="AB121" i="1"/>
  <c r="AE137" i="1"/>
  <c r="AB137" i="1"/>
  <c r="AE11" i="1"/>
  <c r="AB11" i="1"/>
  <c r="AE21" i="1"/>
  <c r="AB21" i="1"/>
  <c r="AE123" i="1"/>
  <c r="AB123" i="1"/>
  <c r="AE139" i="1"/>
  <c r="AB139" i="1"/>
  <c r="AT469" i="1" l="1"/>
  <c r="AR469" i="1"/>
  <c r="AQ469" i="1"/>
  <c r="AP469" i="1"/>
  <c r="AO469" i="1"/>
  <c r="AN469" i="1"/>
  <c r="AM469" i="1"/>
  <c r="AL469" i="1"/>
  <c r="AK469" i="1"/>
  <c r="AJ469" i="1"/>
  <c r="AI469" i="1"/>
  <c r="AT467" i="1"/>
  <c r="AR467" i="1"/>
  <c r="AQ467" i="1"/>
  <c r="AP467" i="1"/>
  <c r="AO467" i="1"/>
  <c r="AN467" i="1"/>
  <c r="AM467" i="1"/>
  <c r="AL467" i="1"/>
  <c r="AK467" i="1"/>
  <c r="AJ467" i="1"/>
  <c r="AI467" i="1"/>
  <c r="AT465" i="1"/>
  <c r="AR465" i="1"/>
  <c r="AQ465" i="1"/>
  <c r="AP465" i="1"/>
  <c r="AO465" i="1"/>
  <c r="AN465" i="1"/>
  <c r="AM465" i="1"/>
  <c r="AL465" i="1"/>
  <c r="AK465" i="1"/>
  <c r="AJ465" i="1"/>
  <c r="AI465" i="1"/>
  <c r="AT463" i="1"/>
  <c r="AR463" i="1"/>
  <c r="AQ463" i="1"/>
  <c r="AP463" i="1"/>
  <c r="AO463" i="1"/>
  <c r="AN463" i="1"/>
  <c r="AM463" i="1"/>
  <c r="AL463" i="1"/>
  <c r="AK463" i="1"/>
  <c r="AJ463" i="1"/>
  <c r="AI463" i="1"/>
  <c r="AT461" i="1" l="1"/>
  <c r="AR461" i="1"/>
  <c r="AQ461" i="1"/>
  <c r="AP461" i="1"/>
  <c r="AO461" i="1"/>
  <c r="AN461" i="1"/>
  <c r="AM461" i="1"/>
  <c r="AL461" i="1"/>
  <c r="AK461" i="1"/>
  <c r="AJ461" i="1"/>
  <c r="AI461" i="1"/>
  <c r="AT459" i="1"/>
  <c r="AR459" i="1"/>
  <c r="AQ459" i="1"/>
  <c r="AP459" i="1"/>
  <c r="AO459" i="1"/>
  <c r="AN459" i="1"/>
  <c r="AM459" i="1"/>
  <c r="AL459" i="1"/>
  <c r="AK459" i="1"/>
  <c r="AJ459" i="1"/>
  <c r="AI459" i="1"/>
  <c r="AT453" i="1" l="1"/>
  <c r="AR453" i="1"/>
  <c r="AQ453" i="1"/>
  <c r="AP453" i="1"/>
  <c r="AO453" i="1"/>
  <c r="AN453" i="1"/>
  <c r="AM453" i="1"/>
  <c r="AL453" i="1"/>
  <c r="AK453" i="1"/>
  <c r="AJ453" i="1"/>
  <c r="AI453" i="1"/>
  <c r="AT451" i="1"/>
  <c r="AR451" i="1"/>
  <c r="AQ451" i="1"/>
  <c r="AP451" i="1"/>
  <c r="AO451" i="1"/>
  <c r="AN451" i="1"/>
  <c r="AM451" i="1"/>
  <c r="AL451" i="1"/>
  <c r="AK451" i="1"/>
  <c r="AJ451" i="1"/>
  <c r="AI451" i="1"/>
  <c r="AT449" i="1"/>
  <c r="AR449" i="1"/>
  <c r="AQ449" i="1"/>
  <c r="AP449" i="1"/>
  <c r="AO449" i="1"/>
  <c r="AN449" i="1"/>
  <c r="AM449" i="1"/>
  <c r="AL449" i="1"/>
  <c r="AK449" i="1"/>
  <c r="AJ449" i="1"/>
  <c r="AI449" i="1"/>
  <c r="AT447" i="1" l="1"/>
  <c r="AR447" i="1"/>
  <c r="AQ447" i="1"/>
  <c r="AP447" i="1"/>
  <c r="AO447" i="1"/>
  <c r="AN447" i="1"/>
  <c r="AM447" i="1"/>
  <c r="AL447" i="1"/>
  <c r="AK447" i="1"/>
  <c r="AJ447" i="1"/>
  <c r="AI447" i="1"/>
  <c r="AT445" i="1"/>
  <c r="AR445" i="1"/>
  <c r="AQ445" i="1"/>
  <c r="AP445" i="1"/>
  <c r="AO445" i="1"/>
  <c r="AN445" i="1"/>
  <c r="AM445" i="1"/>
  <c r="AL445" i="1"/>
  <c r="AK445" i="1"/>
  <c r="AJ445" i="1"/>
  <c r="AI445" i="1"/>
  <c r="AT443" i="1"/>
  <c r="AR443" i="1"/>
  <c r="AQ443" i="1"/>
  <c r="AP443" i="1"/>
  <c r="AO443" i="1"/>
  <c r="AN443" i="1"/>
  <c r="AM443" i="1"/>
  <c r="AL443" i="1"/>
  <c r="AK443" i="1"/>
  <c r="AJ443" i="1"/>
  <c r="AI443" i="1"/>
  <c r="AC27" i="1" l="1"/>
  <c r="AD27" i="1" s="1"/>
  <c r="AC25" i="1"/>
  <c r="AD25" i="1" s="1"/>
  <c r="AC23" i="1"/>
  <c r="AD23" i="1" s="1"/>
  <c r="AC21" i="1"/>
  <c r="AD21" i="1" s="1"/>
  <c r="AC19" i="1"/>
  <c r="AD19" i="1" s="1"/>
  <c r="AC17" i="1"/>
  <c r="AD17" i="1" s="1"/>
  <c r="AC15" i="1"/>
  <c r="AD15" i="1" s="1"/>
  <c r="AC13" i="1"/>
  <c r="AD13" i="1" s="1"/>
  <c r="AC11" i="1"/>
  <c r="AD11" i="1" s="1"/>
  <c r="AT225" i="1"/>
  <c r="AR225" i="1"/>
  <c r="AQ225" i="1"/>
  <c r="AP225" i="1"/>
  <c r="AO225" i="1"/>
  <c r="AN225" i="1"/>
  <c r="AM225" i="1"/>
  <c r="AL225" i="1"/>
  <c r="AK225" i="1"/>
  <c r="AJ225" i="1"/>
  <c r="AI225" i="1"/>
  <c r="AC225" i="1"/>
  <c r="AD225" i="1" s="1"/>
  <c r="AT223" i="1"/>
  <c r="AR223" i="1"/>
  <c r="AQ223" i="1"/>
  <c r="AP223" i="1"/>
  <c r="AO223" i="1"/>
  <c r="AN223" i="1"/>
  <c r="AM223" i="1"/>
  <c r="AL223" i="1"/>
  <c r="AK223" i="1"/>
  <c r="AJ223" i="1"/>
  <c r="AI223" i="1"/>
  <c r="AC223" i="1"/>
  <c r="AD223" i="1" s="1"/>
  <c r="AT221" i="1"/>
  <c r="AR221" i="1"/>
  <c r="AQ221" i="1"/>
  <c r="AP221" i="1"/>
  <c r="AO221" i="1"/>
  <c r="AN221" i="1"/>
  <c r="AM221" i="1"/>
  <c r="AL221" i="1"/>
  <c r="AK221" i="1"/>
  <c r="AJ221" i="1"/>
  <c r="AI221" i="1"/>
  <c r="AC221" i="1"/>
  <c r="AD221" i="1" s="1"/>
  <c r="AT219" i="1"/>
  <c r="AR219" i="1"/>
  <c r="AQ219" i="1"/>
  <c r="AP219" i="1"/>
  <c r="AO219" i="1"/>
  <c r="AN219" i="1"/>
  <c r="AM219" i="1"/>
  <c r="AL219" i="1"/>
  <c r="AK219" i="1"/>
  <c r="AJ219" i="1"/>
  <c r="AI219" i="1"/>
  <c r="AC219" i="1"/>
  <c r="AD219" i="1" s="1"/>
  <c r="AT585" i="1"/>
  <c r="AR585" i="1"/>
  <c r="AQ585" i="1"/>
  <c r="AP585" i="1"/>
  <c r="AO585" i="1"/>
  <c r="AN585" i="1"/>
  <c r="AM585" i="1"/>
  <c r="AL585" i="1"/>
  <c r="AK585" i="1"/>
  <c r="AJ585" i="1"/>
  <c r="AI585" i="1"/>
  <c r="AT217" i="1" l="1"/>
  <c r="AR217" i="1"/>
  <c r="AQ217" i="1"/>
  <c r="AP217" i="1"/>
  <c r="AO217" i="1"/>
  <c r="AN217" i="1"/>
  <c r="AM217" i="1"/>
  <c r="AL217" i="1"/>
  <c r="AK217" i="1"/>
  <c r="AJ217" i="1"/>
  <c r="AI217" i="1"/>
  <c r="AC217" i="1"/>
  <c r="AD217" i="1" s="1"/>
  <c r="AT1445" i="1" l="1"/>
  <c r="AR1445" i="1"/>
  <c r="AQ1445" i="1"/>
  <c r="AP1445" i="1"/>
  <c r="AO1445" i="1"/>
  <c r="AN1445" i="1"/>
  <c r="AM1445" i="1"/>
  <c r="AL1445" i="1"/>
  <c r="AK1445" i="1"/>
  <c r="AJ1445" i="1"/>
  <c r="AI1445" i="1"/>
  <c r="AT1443" i="1"/>
  <c r="AR1443" i="1"/>
  <c r="AQ1443" i="1"/>
  <c r="AP1443" i="1"/>
  <c r="AO1443" i="1"/>
  <c r="AN1443" i="1"/>
  <c r="AM1443" i="1"/>
  <c r="AL1443" i="1"/>
  <c r="AK1443" i="1"/>
  <c r="AJ1443" i="1"/>
  <c r="AI1443" i="1"/>
  <c r="AK1447" i="1" l="1"/>
  <c r="AC1447" i="1"/>
  <c r="AD1447" i="1" s="1"/>
  <c r="AI1447" i="1"/>
  <c r="AJ1447" i="1"/>
  <c r="AT879" i="1"/>
  <c r="AR879" i="1"/>
  <c r="AQ879" i="1"/>
  <c r="AP879" i="1"/>
  <c r="AO879" i="1"/>
  <c r="AN879" i="1"/>
  <c r="AM879" i="1"/>
  <c r="AL879" i="1"/>
  <c r="AK879" i="1"/>
  <c r="AJ879" i="1"/>
  <c r="AI879" i="1"/>
  <c r="AT577" i="1" l="1"/>
  <c r="AR577" i="1"/>
  <c r="AQ577" i="1"/>
  <c r="AP577" i="1"/>
  <c r="AO577" i="1"/>
  <c r="AN577" i="1"/>
  <c r="AM577" i="1"/>
  <c r="AL577" i="1"/>
  <c r="AK577" i="1"/>
  <c r="AJ577" i="1"/>
  <c r="AI577" i="1"/>
  <c r="AT575" i="1"/>
  <c r="AR575" i="1"/>
  <c r="AQ575" i="1"/>
  <c r="AP575" i="1"/>
  <c r="AO575" i="1"/>
  <c r="AN575" i="1"/>
  <c r="AM575" i="1"/>
  <c r="AL575" i="1"/>
  <c r="AK575" i="1"/>
  <c r="AJ575" i="1"/>
  <c r="AI575" i="1"/>
  <c r="AT573" i="1"/>
  <c r="AR573" i="1"/>
  <c r="AQ573" i="1"/>
  <c r="AP573" i="1"/>
  <c r="AO573" i="1"/>
  <c r="AN573" i="1"/>
  <c r="AM573" i="1"/>
  <c r="AL573" i="1"/>
  <c r="AK573" i="1"/>
  <c r="AJ573" i="1"/>
  <c r="AI573" i="1"/>
  <c r="AT127" i="1"/>
  <c r="AR127" i="1"/>
  <c r="AQ127" i="1"/>
  <c r="AP127" i="1"/>
  <c r="AO127" i="1"/>
  <c r="AN127" i="1"/>
  <c r="AM127" i="1"/>
  <c r="AL127" i="1"/>
  <c r="AK127" i="1"/>
  <c r="AJ127" i="1"/>
  <c r="AI127" i="1"/>
  <c r="AC127" i="1"/>
  <c r="AD127" i="1" s="1"/>
  <c r="AT125" i="1"/>
  <c r="AR125" i="1"/>
  <c r="AQ125" i="1"/>
  <c r="AP125" i="1"/>
  <c r="AO125" i="1"/>
  <c r="AN125" i="1"/>
  <c r="AM125" i="1"/>
  <c r="AL125" i="1"/>
  <c r="AK125" i="1"/>
  <c r="AJ125" i="1"/>
  <c r="AI125" i="1"/>
  <c r="AC139" i="1"/>
  <c r="AD139" i="1" s="1"/>
  <c r="AC137" i="1"/>
  <c r="AD137" i="1" s="1"/>
  <c r="AC135" i="1"/>
  <c r="AD135" i="1" s="1"/>
  <c r="AC133" i="1"/>
  <c r="AD133" i="1" s="1"/>
  <c r="AC131" i="1"/>
  <c r="AD131" i="1" s="1"/>
  <c r="AC129" i="1"/>
  <c r="AD129" i="1" s="1"/>
  <c r="AC125" i="1"/>
  <c r="AD125" i="1" s="1"/>
  <c r="AT829" i="1"/>
  <c r="AR829" i="1"/>
  <c r="AQ829" i="1"/>
  <c r="AP829" i="1"/>
  <c r="AO829" i="1"/>
  <c r="AN829" i="1"/>
  <c r="AM829" i="1"/>
  <c r="AL829" i="1"/>
  <c r="AK829" i="1"/>
  <c r="AJ829" i="1"/>
  <c r="AI829" i="1"/>
  <c r="AT827" i="1"/>
  <c r="AR827" i="1"/>
  <c r="AQ827" i="1"/>
  <c r="AP827" i="1"/>
  <c r="AO827" i="1"/>
  <c r="AN827" i="1"/>
  <c r="AM827" i="1"/>
  <c r="AL827" i="1"/>
  <c r="AK827" i="1"/>
  <c r="AJ827" i="1"/>
  <c r="AI827" i="1"/>
  <c r="AT825" i="1"/>
  <c r="AR825" i="1"/>
  <c r="AQ825" i="1"/>
  <c r="AP825" i="1"/>
  <c r="AO825" i="1"/>
  <c r="AN825" i="1"/>
  <c r="AM825" i="1"/>
  <c r="AL825" i="1"/>
  <c r="AK825" i="1"/>
  <c r="AJ825" i="1"/>
  <c r="AI825" i="1"/>
  <c r="AT823" i="1"/>
  <c r="AR823" i="1"/>
  <c r="AQ823" i="1"/>
  <c r="AP823" i="1"/>
  <c r="AO823" i="1"/>
  <c r="AN823" i="1"/>
  <c r="AM823" i="1"/>
  <c r="AL823" i="1"/>
  <c r="AK823" i="1"/>
  <c r="AJ823" i="1"/>
  <c r="AI823" i="1"/>
  <c r="AT821" i="1"/>
  <c r="AR821" i="1"/>
  <c r="AQ821" i="1"/>
  <c r="AP821" i="1"/>
  <c r="AO821" i="1"/>
  <c r="AN821" i="1"/>
  <c r="AM821" i="1"/>
  <c r="AL821" i="1"/>
  <c r="AK821" i="1"/>
  <c r="AJ821" i="1"/>
  <c r="AI821" i="1"/>
  <c r="AT1365" i="1" l="1"/>
  <c r="AR1365" i="1"/>
  <c r="AQ1365" i="1"/>
  <c r="AP1365" i="1"/>
  <c r="AO1365" i="1"/>
  <c r="AN1365" i="1"/>
  <c r="AM1365" i="1"/>
  <c r="AL1365" i="1"/>
  <c r="AK1365" i="1"/>
  <c r="AJ1365" i="1"/>
  <c r="AI1365" i="1"/>
  <c r="AT1363" i="1"/>
  <c r="AR1363" i="1"/>
  <c r="AQ1363" i="1"/>
  <c r="AP1363" i="1"/>
  <c r="AO1363" i="1"/>
  <c r="AN1363" i="1"/>
  <c r="AM1363" i="1"/>
  <c r="AL1363" i="1"/>
  <c r="AK1363" i="1"/>
  <c r="AJ1363" i="1"/>
  <c r="AI1363" i="1"/>
  <c r="AT123" i="1"/>
  <c r="AR123" i="1"/>
  <c r="AQ123" i="1"/>
  <c r="AP123" i="1"/>
  <c r="AO123" i="1"/>
  <c r="AN123" i="1"/>
  <c r="AM123" i="1"/>
  <c r="AL123" i="1"/>
  <c r="AK123" i="1"/>
  <c r="AJ123" i="1"/>
  <c r="AI123" i="1"/>
  <c r="AC123" i="1"/>
  <c r="AD123" i="1" s="1"/>
  <c r="AT121" i="1"/>
  <c r="AR121" i="1"/>
  <c r="AQ121" i="1"/>
  <c r="AP121" i="1"/>
  <c r="AO121" i="1"/>
  <c r="AN121" i="1"/>
  <c r="AM121" i="1"/>
  <c r="AL121" i="1"/>
  <c r="AK121" i="1"/>
  <c r="AJ121" i="1"/>
  <c r="AI121" i="1"/>
  <c r="AC121" i="1"/>
  <c r="AD121" i="1" s="1"/>
  <c r="AC953" i="1" l="1"/>
  <c r="AD953" i="1" s="1"/>
  <c r="AT1323" i="1"/>
  <c r="AR1323" i="1"/>
  <c r="AQ1323" i="1"/>
  <c r="AP1323" i="1"/>
  <c r="AO1323" i="1"/>
  <c r="AN1323" i="1"/>
  <c r="AM1323" i="1"/>
  <c r="AL1323" i="1"/>
  <c r="AK1323" i="1"/>
  <c r="AJ1323" i="1"/>
  <c r="AI1323" i="1"/>
  <c r="AT1321" i="1"/>
  <c r="AR1321" i="1"/>
  <c r="AQ1321" i="1"/>
  <c r="AP1321" i="1"/>
  <c r="AO1321" i="1"/>
  <c r="AN1321" i="1"/>
  <c r="AM1321" i="1"/>
  <c r="AL1321" i="1"/>
  <c r="AK1321" i="1"/>
  <c r="AJ1321" i="1"/>
  <c r="AI1321" i="1"/>
  <c r="AT1311" i="1"/>
  <c r="AR1311" i="1"/>
  <c r="AQ1311" i="1"/>
  <c r="AP1311" i="1"/>
  <c r="AO1311" i="1"/>
  <c r="AN1311" i="1"/>
  <c r="AM1311" i="1"/>
  <c r="AL1311" i="1"/>
  <c r="AK1311" i="1"/>
  <c r="AJ1311" i="1"/>
  <c r="AI1311" i="1"/>
  <c r="AT1361" i="1" l="1"/>
  <c r="AR1361" i="1"/>
  <c r="AQ1361" i="1"/>
  <c r="AP1361" i="1"/>
  <c r="AO1361" i="1"/>
  <c r="AN1361" i="1"/>
  <c r="AM1361" i="1"/>
  <c r="AL1361" i="1"/>
  <c r="AK1361" i="1"/>
  <c r="AJ1361" i="1"/>
  <c r="AI1361" i="1"/>
  <c r="AT965" i="1"/>
  <c r="AR965" i="1"/>
  <c r="AQ965" i="1"/>
  <c r="AP965" i="1"/>
  <c r="AO965" i="1"/>
  <c r="AN965" i="1"/>
  <c r="AM965" i="1"/>
  <c r="AL965" i="1"/>
  <c r="AK965" i="1"/>
  <c r="AJ965" i="1"/>
  <c r="AI965" i="1"/>
  <c r="AC213" i="1"/>
  <c r="AD213" i="1" s="1"/>
  <c r="AT213" i="1"/>
  <c r="AR213" i="1"/>
  <c r="AQ213" i="1"/>
  <c r="AP213" i="1"/>
  <c r="AO213" i="1"/>
  <c r="AN213" i="1"/>
  <c r="AM213" i="1"/>
  <c r="AL213" i="1"/>
  <c r="AK213" i="1"/>
  <c r="AJ213" i="1"/>
  <c r="AI213" i="1"/>
  <c r="AC211" i="1"/>
  <c r="AD211" i="1" s="1"/>
  <c r="AC209" i="1"/>
  <c r="AD209" i="1" s="1"/>
  <c r="AT211" i="1"/>
  <c r="AR211" i="1"/>
  <c r="AQ211" i="1"/>
  <c r="AP211" i="1"/>
  <c r="AO211" i="1"/>
  <c r="AN211" i="1"/>
  <c r="AM211" i="1"/>
  <c r="AL211" i="1"/>
  <c r="AK211" i="1"/>
  <c r="AJ211" i="1"/>
  <c r="AI211" i="1"/>
  <c r="AT209" i="1"/>
  <c r="AR209" i="1"/>
  <c r="AQ209" i="1"/>
  <c r="AP209" i="1"/>
  <c r="AO209" i="1"/>
  <c r="AN209" i="1"/>
  <c r="AM209" i="1"/>
  <c r="AL209" i="1"/>
  <c r="AK209" i="1"/>
  <c r="AJ209" i="1"/>
  <c r="AI209" i="1"/>
  <c r="AT803" i="1"/>
  <c r="AR803" i="1"/>
  <c r="AQ803" i="1"/>
  <c r="AP803" i="1"/>
  <c r="AO803" i="1"/>
  <c r="AN803" i="1"/>
  <c r="AM803" i="1"/>
  <c r="AL803" i="1"/>
  <c r="AK803" i="1"/>
  <c r="AJ803" i="1"/>
  <c r="AI803" i="1"/>
  <c r="AT1349" i="1"/>
  <c r="AR1349" i="1"/>
  <c r="AQ1349" i="1"/>
  <c r="AP1349" i="1"/>
  <c r="AO1349" i="1"/>
  <c r="AN1349" i="1"/>
  <c r="AM1349" i="1"/>
  <c r="AL1349" i="1"/>
  <c r="AK1349" i="1"/>
  <c r="AJ1349" i="1"/>
  <c r="AI1349" i="1"/>
  <c r="AT1347" i="1"/>
  <c r="AR1347" i="1"/>
  <c r="AQ1347" i="1"/>
  <c r="AP1347" i="1"/>
  <c r="AO1347" i="1"/>
  <c r="AN1347" i="1"/>
  <c r="AM1347" i="1"/>
  <c r="AL1347" i="1"/>
  <c r="AK1347" i="1"/>
  <c r="AJ1347" i="1"/>
  <c r="AI1347" i="1"/>
  <c r="AT1345" i="1"/>
  <c r="AR1345" i="1"/>
  <c r="AQ1345" i="1"/>
  <c r="AP1345" i="1"/>
  <c r="AO1345" i="1"/>
  <c r="AN1345" i="1"/>
  <c r="AM1345" i="1"/>
  <c r="AL1345" i="1"/>
  <c r="AK1345" i="1"/>
  <c r="AJ1345" i="1"/>
  <c r="AI1345" i="1"/>
  <c r="AT1343" i="1"/>
  <c r="AR1343" i="1"/>
  <c r="AQ1343" i="1"/>
  <c r="AP1343" i="1"/>
  <c r="AO1343" i="1"/>
  <c r="AN1343" i="1"/>
  <c r="AM1343" i="1"/>
  <c r="AL1343" i="1"/>
  <c r="AK1343" i="1"/>
  <c r="AJ1343" i="1"/>
  <c r="AI1343" i="1"/>
  <c r="AT27" i="1" l="1"/>
  <c r="AR27" i="1"/>
  <c r="AQ27" i="1"/>
  <c r="AP27" i="1"/>
  <c r="AO27" i="1"/>
  <c r="AN27" i="1"/>
  <c r="AM27" i="1"/>
  <c r="AL27" i="1"/>
  <c r="AK27" i="1"/>
  <c r="AJ27" i="1"/>
  <c r="AI27" i="1"/>
  <c r="AT25" i="1"/>
  <c r="AR25" i="1"/>
  <c r="AQ25" i="1"/>
  <c r="AP25" i="1"/>
  <c r="AO25" i="1"/>
  <c r="AN25" i="1"/>
  <c r="AM25" i="1"/>
  <c r="AL25" i="1"/>
  <c r="AK25" i="1"/>
  <c r="AJ25" i="1"/>
  <c r="AI25" i="1"/>
  <c r="AT23" i="1"/>
  <c r="AR23" i="1"/>
  <c r="AQ23" i="1"/>
  <c r="AP23" i="1"/>
  <c r="AO23" i="1"/>
  <c r="AN23" i="1"/>
  <c r="AM23" i="1"/>
  <c r="AL23" i="1"/>
  <c r="AK23" i="1"/>
  <c r="AJ23" i="1"/>
  <c r="AI23" i="1"/>
  <c r="AT787" i="1"/>
  <c r="AR787" i="1"/>
  <c r="AQ787" i="1"/>
  <c r="AP787" i="1"/>
  <c r="AO787" i="1"/>
  <c r="AN787" i="1"/>
  <c r="AM787" i="1"/>
  <c r="AL787" i="1"/>
  <c r="AK787" i="1"/>
  <c r="AJ787" i="1"/>
  <c r="AI787" i="1"/>
  <c r="AT15" i="1" l="1"/>
  <c r="AR15" i="1"/>
  <c r="AQ15" i="1"/>
  <c r="AP15" i="1"/>
  <c r="AO15" i="1"/>
  <c r="AN15" i="1"/>
  <c r="AM15" i="1"/>
  <c r="AL15" i="1"/>
  <c r="AK15" i="1"/>
  <c r="AJ15" i="1"/>
  <c r="AI15" i="1"/>
  <c r="AT13" i="1"/>
  <c r="AR13" i="1"/>
  <c r="AQ13" i="1"/>
  <c r="AP13" i="1"/>
  <c r="AO13" i="1"/>
  <c r="AN13" i="1"/>
  <c r="AM13" i="1"/>
  <c r="AL13" i="1"/>
  <c r="AK13" i="1"/>
  <c r="AJ13" i="1"/>
  <c r="AI13" i="1"/>
  <c r="AT11" i="1"/>
  <c r="AR11" i="1"/>
  <c r="AQ11" i="1"/>
  <c r="AP11" i="1"/>
  <c r="AO11" i="1"/>
  <c r="AN11" i="1"/>
  <c r="AM11" i="1"/>
  <c r="AL11" i="1"/>
  <c r="AK11" i="1"/>
  <c r="AJ11" i="1"/>
  <c r="AI11" i="1"/>
  <c r="AT1309" i="1" l="1"/>
  <c r="AR1309" i="1"/>
  <c r="AQ1309" i="1"/>
  <c r="AP1309" i="1"/>
  <c r="AO1309" i="1"/>
  <c r="AN1309" i="1"/>
  <c r="AM1309" i="1"/>
  <c r="AL1309" i="1"/>
  <c r="AK1309" i="1"/>
  <c r="AJ1309" i="1"/>
  <c r="AI1309" i="1"/>
  <c r="AT1307" i="1"/>
  <c r="AR1307" i="1"/>
  <c r="AQ1307" i="1"/>
  <c r="AP1307" i="1"/>
  <c r="AO1307" i="1"/>
  <c r="AN1307" i="1"/>
  <c r="AM1307" i="1"/>
  <c r="AL1307" i="1"/>
  <c r="AK1307" i="1"/>
  <c r="AJ1307" i="1"/>
  <c r="AI1307" i="1"/>
  <c r="AT579" i="1"/>
  <c r="AR579" i="1"/>
  <c r="AQ579" i="1"/>
  <c r="AP579" i="1"/>
  <c r="AO579" i="1"/>
  <c r="AN579" i="1"/>
  <c r="AM579" i="1"/>
  <c r="AL579" i="1"/>
  <c r="AK579" i="1"/>
  <c r="AJ579" i="1"/>
  <c r="AI579" i="1"/>
  <c r="AT801" i="1"/>
  <c r="AR801" i="1"/>
  <c r="AQ801" i="1"/>
  <c r="AP801" i="1"/>
  <c r="AO801" i="1"/>
  <c r="AN801" i="1"/>
  <c r="AM801" i="1"/>
  <c r="AL801" i="1"/>
  <c r="AK801" i="1"/>
  <c r="AJ801" i="1"/>
  <c r="AI801" i="1"/>
  <c r="AT799" i="1"/>
  <c r="AR799" i="1"/>
  <c r="AQ799" i="1"/>
  <c r="AP799" i="1"/>
  <c r="AO799" i="1"/>
  <c r="AN799" i="1"/>
  <c r="AM799" i="1"/>
  <c r="AL799" i="1"/>
  <c r="AK799" i="1"/>
  <c r="AJ799" i="1"/>
  <c r="AI799" i="1"/>
  <c r="AT797" i="1"/>
  <c r="AR797" i="1"/>
  <c r="AQ797" i="1"/>
  <c r="AP797" i="1"/>
  <c r="AO797" i="1"/>
  <c r="AN797" i="1"/>
  <c r="AM797" i="1"/>
  <c r="AL797" i="1"/>
  <c r="AK797" i="1"/>
  <c r="AJ797" i="1"/>
  <c r="AI797" i="1"/>
  <c r="AT795" i="1"/>
  <c r="AR795" i="1"/>
  <c r="AQ795" i="1"/>
  <c r="AP795" i="1"/>
  <c r="AO795" i="1"/>
  <c r="AN795" i="1"/>
  <c r="AM795" i="1"/>
  <c r="AL795" i="1"/>
  <c r="AK795" i="1"/>
  <c r="AJ795" i="1"/>
  <c r="AI795" i="1"/>
  <c r="AT1373" i="1"/>
  <c r="AR1373" i="1"/>
  <c r="AQ1373" i="1"/>
  <c r="AP1373" i="1"/>
  <c r="AO1373" i="1"/>
  <c r="AN1373" i="1"/>
  <c r="AM1373" i="1"/>
  <c r="AL1373" i="1"/>
  <c r="AK1373" i="1"/>
  <c r="AJ1373" i="1"/>
  <c r="AI1373" i="1"/>
  <c r="AT1371" i="1"/>
  <c r="AR1371" i="1"/>
  <c r="AQ1371" i="1"/>
  <c r="AP1371" i="1"/>
  <c r="AO1371" i="1"/>
  <c r="AN1371" i="1"/>
  <c r="AM1371" i="1"/>
  <c r="AL1371" i="1"/>
  <c r="AK1371" i="1"/>
  <c r="AJ1371" i="1"/>
  <c r="AI1371" i="1"/>
  <c r="AT1369" i="1"/>
  <c r="AR1369" i="1"/>
  <c r="AQ1369" i="1"/>
  <c r="AP1369" i="1"/>
  <c r="AO1369" i="1"/>
  <c r="AN1369" i="1"/>
  <c r="AM1369" i="1"/>
  <c r="AL1369" i="1"/>
  <c r="AK1369" i="1"/>
  <c r="AJ1369" i="1"/>
  <c r="AI1369" i="1"/>
  <c r="AT1367" i="1"/>
  <c r="AR1367" i="1"/>
  <c r="AQ1367" i="1"/>
  <c r="AP1367" i="1"/>
  <c r="AO1367" i="1"/>
  <c r="AN1367" i="1"/>
  <c r="AM1367" i="1"/>
  <c r="AL1367" i="1"/>
  <c r="AK1367" i="1"/>
  <c r="AJ1367" i="1"/>
  <c r="AI1367" i="1"/>
  <c r="AT1353" i="1"/>
  <c r="AR1353" i="1"/>
  <c r="AQ1353" i="1"/>
  <c r="AP1353" i="1"/>
  <c r="AO1353" i="1"/>
  <c r="AN1353" i="1"/>
  <c r="AM1353" i="1"/>
  <c r="AL1353" i="1"/>
  <c r="AK1353" i="1"/>
  <c r="AJ1353" i="1"/>
  <c r="AI1353" i="1"/>
  <c r="AT1327" i="1"/>
  <c r="AR1327" i="1"/>
  <c r="AQ1327" i="1"/>
  <c r="AP1327" i="1"/>
  <c r="AO1327" i="1"/>
  <c r="AN1327" i="1"/>
  <c r="AM1327" i="1"/>
  <c r="AL1327" i="1"/>
  <c r="AK1327" i="1"/>
  <c r="AJ1327" i="1"/>
  <c r="AI1327" i="1"/>
  <c r="AT1325" i="1"/>
  <c r="AR1325" i="1"/>
  <c r="AQ1325" i="1"/>
  <c r="AP1325" i="1"/>
  <c r="AO1325" i="1"/>
  <c r="AN1325" i="1"/>
  <c r="AM1325" i="1"/>
  <c r="AL1325" i="1"/>
  <c r="AK1325" i="1"/>
  <c r="AJ1325" i="1"/>
  <c r="AI1325" i="1"/>
  <c r="AT1319" i="1"/>
  <c r="AR1319" i="1"/>
  <c r="AQ1319" i="1"/>
  <c r="AP1319" i="1"/>
  <c r="AO1319" i="1"/>
  <c r="AN1319" i="1"/>
  <c r="AM1319" i="1"/>
  <c r="AL1319" i="1"/>
  <c r="AK1319" i="1"/>
  <c r="AJ1319" i="1"/>
  <c r="AI1319" i="1"/>
  <c r="AT1317" i="1"/>
  <c r="AR1317" i="1"/>
  <c r="AQ1317" i="1"/>
  <c r="AP1317" i="1"/>
  <c r="AO1317" i="1"/>
  <c r="AN1317" i="1"/>
  <c r="AM1317" i="1"/>
  <c r="AL1317" i="1"/>
  <c r="AK1317" i="1"/>
  <c r="AJ1317" i="1"/>
  <c r="AI1317" i="1"/>
  <c r="AT1315" i="1"/>
  <c r="AR1315" i="1"/>
  <c r="AQ1315" i="1"/>
  <c r="AP1315" i="1"/>
  <c r="AO1315" i="1"/>
  <c r="AN1315" i="1"/>
  <c r="AM1315" i="1"/>
  <c r="AL1315" i="1"/>
  <c r="AK1315" i="1"/>
  <c r="AJ1315" i="1"/>
  <c r="AI1315" i="1"/>
  <c r="AT1313" i="1"/>
  <c r="AR1313" i="1"/>
  <c r="AQ1313" i="1"/>
  <c r="AP1313" i="1"/>
  <c r="AO1313" i="1"/>
  <c r="AN1313" i="1"/>
  <c r="AM1313" i="1"/>
  <c r="AL1313" i="1"/>
  <c r="AK1313" i="1"/>
  <c r="AJ1313" i="1"/>
  <c r="AI1313" i="1"/>
  <c r="AT1285" i="1"/>
  <c r="AR1285" i="1"/>
  <c r="AQ1285" i="1"/>
  <c r="AP1285" i="1"/>
  <c r="AO1285" i="1"/>
  <c r="AN1285" i="1"/>
  <c r="AM1285" i="1"/>
  <c r="AL1285" i="1"/>
  <c r="AK1285" i="1"/>
  <c r="AJ1285" i="1"/>
  <c r="AI1285" i="1"/>
  <c r="AT1283" i="1"/>
  <c r="AR1283" i="1"/>
  <c r="AQ1283" i="1"/>
  <c r="AP1283" i="1"/>
  <c r="AO1283" i="1"/>
  <c r="AN1283" i="1"/>
  <c r="AM1283" i="1"/>
  <c r="AL1283" i="1"/>
  <c r="AK1283" i="1"/>
  <c r="AJ1283" i="1"/>
  <c r="AI1283" i="1"/>
  <c r="AT1281" i="1"/>
  <c r="AR1281" i="1"/>
  <c r="AQ1281" i="1"/>
  <c r="AP1281" i="1"/>
  <c r="AO1281" i="1"/>
  <c r="AN1281" i="1"/>
  <c r="AM1281" i="1"/>
  <c r="AL1281" i="1"/>
  <c r="AK1281" i="1"/>
  <c r="AJ1281" i="1"/>
  <c r="AI1281" i="1"/>
  <c r="AT1279" i="1"/>
  <c r="AR1279" i="1"/>
  <c r="AQ1279" i="1"/>
  <c r="AP1279" i="1"/>
  <c r="AO1279" i="1"/>
  <c r="AN1279" i="1"/>
  <c r="AM1279" i="1"/>
  <c r="AL1279" i="1"/>
  <c r="AK1279" i="1"/>
  <c r="AJ1279" i="1"/>
  <c r="AI1279" i="1"/>
  <c r="AT1277" i="1"/>
  <c r="AR1277" i="1"/>
  <c r="AQ1277" i="1"/>
  <c r="AP1277" i="1"/>
  <c r="AO1277" i="1"/>
  <c r="AN1277" i="1"/>
  <c r="AM1277" i="1"/>
  <c r="AL1277" i="1"/>
  <c r="AK1277" i="1"/>
  <c r="AJ1277" i="1"/>
  <c r="AI1277" i="1"/>
  <c r="AT1275" i="1"/>
  <c r="AR1275" i="1"/>
  <c r="AQ1275" i="1"/>
  <c r="AP1275" i="1"/>
  <c r="AO1275" i="1"/>
  <c r="AN1275" i="1"/>
  <c r="AM1275" i="1"/>
  <c r="AL1275" i="1"/>
  <c r="AK1275" i="1"/>
  <c r="AJ1275" i="1"/>
  <c r="AI1275" i="1"/>
  <c r="AT1183" i="1"/>
  <c r="AR1183" i="1"/>
  <c r="AQ1183" i="1"/>
  <c r="AP1183" i="1"/>
  <c r="AO1183" i="1"/>
  <c r="AN1183" i="1"/>
  <c r="AM1183" i="1"/>
  <c r="AL1183" i="1"/>
  <c r="AK1183" i="1"/>
  <c r="AJ1183" i="1"/>
  <c r="AI1183" i="1"/>
  <c r="AT1181" i="1"/>
  <c r="AR1181" i="1"/>
  <c r="AQ1181" i="1"/>
  <c r="AP1181" i="1"/>
  <c r="AO1181" i="1"/>
  <c r="AN1181" i="1"/>
  <c r="AM1181" i="1"/>
  <c r="AL1181" i="1"/>
  <c r="AK1181" i="1"/>
  <c r="AJ1181" i="1"/>
  <c r="AI1181" i="1"/>
  <c r="AT1179" i="1"/>
  <c r="AR1179" i="1"/>
  <c r="AQ1179" i="1"/>
  <c r="AP1179" i="1"/>
  <c r="AO1179" i="1"/>
  <c r="AN1179" i="1"/>
  <c r="AM1179" i="1"/>
  <c r="AL1179" i="1"/>
  <c r="AK1179" i="1"/>
  <c r="AJ1179" i="1"/>
  <c r="AI1179" i="1"/>
  <c r="AT1177" i="1"/>
  <c r="AR1177" i="1"/>
  <c r="AQ1177" i="1"/>
  <c r="AP1177" i="1"/>
  <c r="AO1177" i="1"/>
  <c r="AN1177" i="1"/>
  <c r="AM1177" i="1"/>
  <c r="AL1177" i="1"/>
  <c r="AK1177" i="1"/>
  <c r="AJ1177" i="1"/>
  <c r="AI1177" i="1"/>
  <c r="AT1175" i="1"/>
  <c r="AR1175" i="1"/>
  <c r="AQ1175" i="1"/>
  <c r="AP1175" i="1"/>
  <c r="AO1175" i="1"/>
  <c r="AN1175" i="1"/>
  <c r="AM1175" i="1"/>
  <c r="AL1175" i="1"/>
  <c r="AK1175" i="1"/>
  <c r="AJ1175" i="1"/>
  <c r="AI1175" i="1"/>
  <c r="AT1035" i="1"/>
  <c r="AR1035" i="1"/>
  <c r="AQ1035" i="1"/>
  <c r="AP1035" i="1"/>
  <c r="AO1035" i="1"/>
  <c r="AN1035" i="1"/>
  <c r="AM1035" i="1"/>
  <c r="AL1035" i="1"/>
  <c r="AK1035" i="1"/>
  <c r="AJ1035" i="1"/>
  <c r="AI1035" i="1"/>
  <c r="AT1019" i="1"/>
  <c r="AR1019" i="1"/>
  <c r="AQ1019" i="1"/>
  <c r="AP1019" i="1"/>
  <c r="AO1019" i="1"/>
  <c r="AN1019" i="1"/>
  <c r="AM1019" i="1"/>
  <c r="AL1019" i="1"/>
  <c r="AK1019" i="1"/>
  <c r="AJ1019" i="1"/>
  <c r="AI1019" i="1"/>
  <c r="AT1033" i="1"/>
  <c r="AR1033" i="1"/>
  <c r="AQ1033" i="1"/>
  <c r="AP1033" i="1"/>
  <c r="AO1033" i="1"/>
  <c r="AN1033" i="1"/>
  <c r="AM1033" i="1"/>
  <c r="AL1033" i="1"/>
  <c r="AK1033" i="1"/>
  <c r="AJ1033" i="1"/>
  <c r="AI1033" i="1"/>
  <c r="AT1017" i="1"/>
  <c r="AR1017" i="1"/>
  <c r="AQ1017" i="1"/>
  <c r="AP1017" i="1"/>
  <c r="AO1017" i="1"/>
  <c r="AN1017" i="1"/>
  <c r="AM1017" i="1"/>
  <c r="AL1017" i="1"/>
  <c r="AK1017" i="1"/>
  <c r="AJ1017" i="1"/>
  <c r="AI1017" i="1"/>
  <c r="AT1031" i="1"/>
  <c r="AR1031" i="1"/>
  <c r="AQ1031" i="1"/>
  <c r="AP1031" i="1"/>
  <c r="AO1031" i="1"/>
  <c r="AN1031" i="1"/>
  <c r="AM1031" i="1"/>
  <c r="AL1031" i="1"/>
  <c r="AK1031" i="1"/>
  <c r="AJ1031" i="1"/>
  <c r="AI1031" i="1"/>
  <c r="AT1015" i="1"/>
  <c r="AR1015" i="1"/>
  <c r="AQ1015" i="1"/>
  <c r="AP1015" i="1"/>
  <c r="AO1015" i="1"/>
  <c r="AN1015" i="1"/>
  <c r="AM1015" i="1"/>
  <c r="AL1015" i="1"/>
  <c r="AK1015" i="1"/>
  <c r="AJ1015" i="1"/>
  <c r="AI1015" i="1"/>
  <c r="AT1029" i="1"/>
  <c r="AR1029" i="1"/>
  <c r="AQ1029" i="1"/>
  <c r="AP1029" i="1"/>
  <c r="AO1029" i="1"/>
  <c r="AN1029" i="1"/>
  <c r="AM1029" i="1"/>
  <c r="AL1029" i="1"/>
  <c r="AK1029" i="1"/>
  <c r="AJ1029" i="1"/>
  <c r="AI1029" i="1"/>
  <c r="AT1013" i="1"/>
  <c r="AR1013" i="1"/>
  <c r="AQ1013" i="1"/>
  <c r="AP1013" i="1"/>
  <c r="AO1013" i="1"/>
  <c r="AN1013" i="1"/>
  <c r="AM1013" i="1"/>
  <c r="AL1013" i="1"/>
  <c r="AK1013" i="1"/>
  <c r="AJ1013" i="1"/>
  <c r="AI1013" i="1"/>
  <c r="AT1027" i="1"/>
  <c r="AR1027" i="1"/>
  <c r="AQ1027" i="1"/>
  <c r="AP1027" i="1"/>
  <c r="AO1027" i="1"/>
  <c r="AN1027" i="1"/>
  <c r="AM1027" i="1"/>
  <c r="AL1027" i="1"/>
  <c r="AK1027" i="1"/>
  <c r="AJ1027" i="1"/>
  <c r="AI1027" i="1"/>
  <c r="AT1011" i="1"/>
  <c r="AR1011" i="1"/>
  <c r="AQ1011" i="1"/>
  <c r="AP1011" i="1"/>
  <c r="AO1011" i="1"/>
  <c r="AN1011" i="1"/>
  <c r="AM1011" i="1"/>
  <c r="AL1011" i="1"/>
  <c r="AK1011" i="1"/>
  <c r="AJ1011" i="1"/>
  <c r="AI1011" i="1"/>
  <c r="AT1025" i="1"/>
  <c r="AR1025" i="1"/>
  <c r="AQ1025" i="1"/>
  <c r="AP1025" i="1"/>
  <c r="AO1025" i="1"/>
  <c r="AN1025" i="1"/>
  <c r="AM1025" i="1"/>
  <c r="AL1025" i="1"/>
  <c r="AK1025" i="1"/>
  <c r="AJ1025" i="1"/>
  <c r="AI1025" i="1"/>
  <c r="AT1009" i="1"/>
  <c r="AR1009" i="1"/>
  <c r="AQ1009" i="1"/>
  <c r="AP1009" i="1"/>
  <c r="AO1009" i="1"/>
  <c r="AN1009" i="1"/>
  <c r="AM1009" i="1"/>
  <c r="AL1009" i="1"/>
  <c r="AK1009" i="1"/>
  <c r="AJ1009" i="1"/>
  <c r="AI1009" i="1"/>
  <c r="AT1023" i="1"/>
  <c r="AR1023" i="1"/>
  <c r="AQ1023" i="1"/>
  <c r="AP1023" i="1"/>
  <c r="AO1023" i="1"/>
  <c r="AN1023" i="1"/>
  <c r="AM1023" i="1"/>
  <c r="AL1023" i="1"/>
  <c r="AK1023" i="1"/>
  <c r="AJ1023" i="1"/>
  <c r="AI1023" i="1"/>
  <c r="AT1021" i="1"/>
  <c r="AR1021" i="1"/>
  <c r="AQ1021" i="1"/>
  <c r="AP1021" i="1"/>
  <c r="AO1021" i="1"/>
  <c r="AN1021" i="1"/>
  <c r="AM1021" i="1"/>
  <c r="AL1021" i="1"/>
  <c r="AK1021" i="1"/>
  <c r="AJ1021" i="1"/>
  <c r="AI1021" i="1"/>
  <c r="AT491" i="1"/>
  <c r="AR491" i="1"/>
  <c r="AQ491" i="1"/>
  <c r="AP491" i="1"/>
  <c r="AO491" i="1"/>
  <c r="AN491" i="1"/>
  <c r="AM491" i="1"/>
  <c r="AL491" i="1"/>
  <c r="AK491" i="1"/>
  <c r="AJ491" i="1"/>
  <c r="AI491" i="1"/>
  <c r="AT489" i="1"/>
  <c r="AR489" i="1"/>
  <c r="AQ489" i="1"/>
  <c r="AP489" i="1"/>
  <c r="AO489" i="1"/>
  <c r="AN489" i="1"/>
  <c r="AM489" i="1"/>
  <c r="AL489" i="1"/>
  <c r="AK489" i="1"/>
  <c r="AJ489" i="1"/>
  <c r="AI489" i="1"/>
  <c r="AT549" i="1" l="1"/>
  <c r="AR549" i="1"/>
  <c r="AQ549" i="1"/>
  <c r="AP549" i="1"/>
  <c r="AO549" i="1"/>
  <c r="AN549" i="1"/>
  <c r="AM549" i="1"/>
  <c r="AL549" i="1"/>
  <c r="AK549" i="1"/>
  <c r="AJ549" i="1"/>
  <c r="AI549" i="1"/>
  <c r="AT547" i="1"/>
  <c r="AR547" i="1"/>
  <c r="AQ547" i="1"/>
  <c r="AP547" i="1"/>
  <c r="AO547" i="1"/>
  <c r="AN547" i="1"/>
  <c r="AM547" i="1"/>
  <c r="AL547" i="1"/>
  <c r="AK547" i="1"/>
  <c r="AJ547" i="1"/>
  <c r="AI547" i="1"/>
  <c r="AT593" i="1"/>
  <c r="AR593" i="1"/>
  <c r="AQ593" i="1"/>
  <c r="AP593" i="1"/>
  <c r="AO593" i="1"/>
  <c r="AN593" i="1"/>
  <c r="AM593" i="1"/>
  <c r="AL593" i="1"/>
  <c r="AK593" i="1"/>
  <c r="AJ593" i="1"/>
  <c r="AI593" i="1"/>
  <c r="AT407" i="1"/>
  <c r="AR407" i="1"/>
  <c r="AQ407" i="1"/>
  <c r="AP407" i="1"/>
  <c r="AO407" i="1"/>
  <c r="AN407" i="1"/>
  <c r="AM407" i="1"/>
  <c r="AL407" i="1"/>
  <c r="AK407" i="1"/>
  <c r="AJ407" i="1"/>
  <c r="AI407" i="1"/>
  <c r="AT405" i="1"/>
  <c r="AR405" i="1"/>
  <c r="AQ405" i="1"/>
  <c r="AP405" i="1"/>
  <c r="AO405" i="1"/>
  <c r="AN405" i="1"/>
  <c r="AM405" i="1"/>
  <c r="AL405" i="1"/>
  <c r="AK405" i="1"/>
  <c r="AJ405" i="1"/>
  <c r="AI405" i="1"/>
  <c r="AT403" i="1"/>
  <c r="AR403" i="1"/>
  <c r="AQ403" i="1"/>
  <c r="AP403" i="1"/>
  <c r="AO403" i="1"/>
  <c r="AN403" i="1"/>
  <c r="AM403" i="1"/>
  <c r="AL403" i="1"/>
  <c r="AK403" i="1"/>
  <c r="AJ403" i="1"/>
  <c r="AI403" i="1"/>
  <c r="AT401" i="1"/>
  <c r="AR401" i="1"/>
  <c r="AQ401" i="1"/>
  <c r="AP401" i="1"/>
  <c r="AO401" i="1"/>
  <c r="AN401" i="1"/>
  <c r="AM401" i="1"/>
  <c r="AL401" i="1"/>
  <c r="AK401" i="1"/>
  <c r="AJ401" i="1"/>
  <c r="AI401" i="1"/>
  <c r="AC1267" i="1"/>
  <c r="AD1267" i="1" s="1"/>
  <c r="AC1265" i="1"/>
  <c r="AD1265" i="1" s="1"/>
  <c r="AC1263" i="1"/>
  <c r="AD1263" i="1" s="1"/>
  <c r="AT1267" i="1"/>
  <c r="AR1267" i="1"/>
  <c r="AQ1267" i="1"/>
  <c r="AP1267" i="1"/>
  <c r="AO1267" i="1"/>
  <c r="AN1267" i="1"/>
  <c r="AM1267" i="1"/>
  <c r="AL1267" i="1"/>
  <c r="AK1267" i="1"/>
  <c r="AJ1267" i="1"/>
  <c r="AI1267" i="1"/>
  <c r="AT1265" i="1"/>
  <c r="AR1265" i="1"/>
  <c r="AQ1265" i="1"/>
  <c r="AP1265" i="1"/>
  <c r="AO1265" i="1"/>
  <c r="AN1265" i="1"/>
  <c r="AM1265" i="1"/>
  <c r="AL1265" i="1"/>
  <c r="AK1265" i="1"/>
  <c r="AJ1265" i="1"/>
  <c r="AI1265" i="1"/>
  <c r="AT1263" i="1"/>
  <c r="AR1263" i="1"/>
  <c r="AQ1263" i="1"/>
  <c r="AP1263" i="1"/>
  <c r="AO1263" i="1"/>
  <c r="AN1263" i="1"/>
  <c r="AM1263" i="1"/>
  <c r="AL1263" i="1"/>
  <c r="AK1263" i="1"/>
  <c r="AJ1263" i="1"/>
  <c r="AI1263" i="1"/>
  <c r="AT1261" i="1"/>
  <c r="AR1261" i="1"/>
  <c r="AQ1261" i="1"/>
  <c r="AP1261" i="1"/>
  <c r="AO1261" i="1"/>
  <c r="AN1261" i="1"/>
  <c r="AM1261" i="1"/>
  <c r="AL1261" i="1"/>
  <c r="AK1261" i="1"/>
  <c r="AJ1261" i="1"/>
  <c r="AI1261" i="1"/>
  <c r="AC1261" i="1"/>
  <c r="AD1261" i="1" s="1"/>
  <c r="AT273" i="1"/>
  <c r="AR273" i="1"/>
  <c r="AQ273" i="1"/>
  <c r="AP273" i="1"/>
  <c r="AO273" i="1"/>
  <c r="AN273" i="1"/>
  <c r="AM273" i="1"/>
  <c r="AL273" i="1"/>
  <c r="AK273" i="1"/>
  <c r="AJ273" i="1"/>
  <c r="AI273" i="1"/>
  <c r="AT271" i="1"/>
  <c r="AR271" i="1"/>
  <c r="AQ271" i="1"/>
  <c r="AP271" i="1"/>
  <c r="AO271" i="1"/>
  <c r="AN271" i="1"/>
  <c r="AM271" i="1"/>
  <c r="AL271" i="1"/>
  <c r="AK271" i="1"/>
  <c r="AJ271" i="1"/>
  <c r="AI271" i="1"/>
  <c r="AT355" i="1"/>
  <c r="AR355" i="1"/>
  <c r="AQ355" i="1"/>
  <c r="AP355" i="1"/>
  <c r="AO355" i="1"/>
  <c r="AN355" i="1"/>
  <c r="AM355" i="1"/>
  <c r="AL355" i="1"/>
  <c r="AK355" i="1"/>
  <c r="AJ355" i="1"/>
  <c r="AI355" i="1"/>
  <c r="AT353" i="1"/>
  <c r="AR353" i="1"/>
  <c r="AQ353" i="1"/>
  <c r="AP353" i="1"/>
  <c r="AO353" i="1"/>
  <c r="AN353" i="1"/>
  <c r="AM353" i="1"/>
  <c r="AL353" i="1"/>
  <c r="AK353" i="1"/>
  <c r="AJ353" i="1"/>
  <c r="AI353" i="1"/>
  <c r="AT351" i="1"/>
  <c r="AR351" i="1"/>
  <c r="AQ351" i="1"/>
  <c r="AP351" i="1"/>
  <c r="AO351" i="1"/>
  <c r="AN351" i="1"/>
  <c r="AM351" i="1"/>
  <c r="AL351" i="1"/>
  <c r="AK351" i="1"/>
  <c r="AJ351" i="1"/>
  <c r="AI351" i="1"/>
  <c r="AT349" i="1"/>
  <c r="AR349" i="1"/>
  <c r="AQ349" i="1"/>
  <c r="AP349" i="1"/>
  <c r="AO349" i="1"/>
  <c r="AN349" i="1"/>
  <c r="AM349" i="1"/>
  <c r="AL349" i="1"/>
  <c r="AK349" i="1"/>
  <c r="AJ349" i="1"/>
  <c r="AI349" i="1"/>
  <c r="AT347" i="1"/>
  <c r="AR347" i="1"/>
  <c r="AQ347" i="1"/>
  <c r="AP347" i="1"/>
  <c r="AO347" i="1"/>
  <c r="AN347" i="1"/>
  <c r="AM347" i="1"/>
  <c r="AL347" i="1"/>
  <c r="AK347" i="1"/>
  <c r="AJ347" i="1"/>
  <c r="AI347" i="1"/>
  <c r="AT345" i="1"/>
  <c r="AR345" i="1"/>
  <c r="AQ345" i="1"/>
  <c r="AP345" i="1"/>
  <c r="AO345" i="1"/>
  <c r="AN345" i="1"/>
  <c r="AM345" i="1"/>
  <c r="AL345" i="1"/>
  <c r="AK345" i="1"/>
  <c r="AJ345" i="1"/>
  <c r="AI345" i="1"/>
  <c r="AT343" i="1"/>
  <c r="AR343" i="1"/>
  <c r="AQ343" i="1"/>
  <c r="AP343" i="1"/>
  <c r="AO343" i="1"/>
  <c r="AN343" i="1"/>
  <c r="AM343" i="1"/>
  <c r="AL343" i="1"/>
  <c r="AK343" i="1"/>
  <c r="AJ343" i="1"/>
  <c r="AI343" i="1"/>
  <c r="AT341" i="1"/>
  <c r="AR341" i="1"/>
  <c r="AQ341" i="1"/>
  <c r="AP341" i="1"/>
  <c r="AO341" i="1"/>
  <c r="AN341" i="1"/>
  <c r="AM341" i="1"/>
  <c r="AL341" i="1"/>
  <c r="AK341" i="1"/>
  <c r="AJ341" i="1"/>
  <c r="AI341" i="1"/>
  <c r="AT339" i="1"/>
  <c r="AR339" i="1"/>
  <c r="AQ339" i="1"/>
  <c r="AP339" i="1"/>
  <c r="AO339" i="1"/>
  <c r="AN339" i="1"/>
  <c r="AM339" i="1"/>
  <c r="AL339" i="1"/>
  <c r="AK339" i="1"/>
  <c r="AJ339" i="1"/>
  <c r="AI339" i="1"/>
  <c r="AT89" i="1" l="1"/>
  <c r="AR89" i="1"/>
  <c r="AQ89" i="1"/>
  <c r="AP89" i="1"/>
  <c r="AO89" i="1"/>
  <c r="AN89" i="1"/>
  <c r="AM89" i="1"/>
  <c r="AL89" i="1"/>
  <c r="AK89" i="1"/>
  <c r="AJ89" i="1"/>
  <c r="AI89" i="1"/>
  <c r="AT969" i="1" l="1"/>
  <c r="AR969" i="1"/>
  <c r="AQ969" i="1"/>
  <c r="AP969" i="1"/>
  <c r="AO969" i="1"/>
  <c r="AN969" i="1"/>
  <c r="AM969" i="1"/>
  <c r="AL969" i="1"/>
  <c r="AK969" i="1"/>
  <c r="AJ969" i="1"/>
  <c r="AI969" i="1"/>
  <c r="AT967" i="1"/>
  <c r="AR967" i="1"/>
  <c r="AQ967" i="1"/>
  <c r="AP967" i="1"/>
  <c r="AO967" i="1"/>
  <c r="AN967" i="1"/>
  <c r="AM967" i="1"/>
  <c r="AL967" i="1"/>
  <c r="AK967" i="1"/>
  <c r="AJ967" i="1"/>
  <c r="AI967" i="1"/>
  <c r="AT877" i="1"/>
  <c r="AR877" i="1"/>
  <c r="AQ877" i="1"/>
  <c r="AP877" i="1"/>
  <c r="AO877" i="1"/>
  <c r="AN877" i="1"/>
  <c r="AM877" i="1"/>
  <c r="AL877" i="1"/>
  <c r="AK877" i="1"/>
  <c r="AJ877" i="1"/>
  <c r="AI877" i="1"/>
  <c r="AT875" i="1"/>
  <c r="AR875" i="1"/>
  <c r="AQ875" i="1"/>
  <c r="AP875" i="1"/>
  <c r="AO875" i="1"/>
  <c r="AN875" i="1"/>
  <c r="AM875" i="1"/>
  <c r="AL875" i="1"/>
  <c r="AK875" i="1"/>
  <c r="AJ875" i="1"/>
  <c r="AI875" i="1"/>
  <c r="AT807" i="1"/>
  <c r="AR807" i="1"/>
  <c r="AQ807" i="1"/>
  <c r="AP807" i="1"/>
  <c r="AO807" i="1"/>
  <c r="AN807" i="1"/>
  <c r="AM807" i="1"/>
  <c r="AL807" i="1"/>
  <c r="AK807" i="1"/>
  <c r="AJ807" i="1"/>
  <c r="AI807" i="1"/>
  <c r="AT805" i="1"/>
  <c r="AR805" i="1"/>
  <c r="AQ805" i="1"/>
  <c r="AP805" i="1"/>
  <c r="AO805" i="1"/>
  <c r="AN805" i="1"/>
  <c r="AM805" i="1"/>
  <c r="AL805" i="1"/>
  <c r="AK805" i="1"/>
  <c r="AJ805" i="1"/>
  <c r="AI805" i="1"/>
  <c r="AT791" i="1" l="1"/>
  <c r="AR791" i="1"/>
  <c r="AQ791" i="1"/>
  <c r="AP791" i="1"/>
  <c r="AO791" i="1"/>
  <c r="AN791" i="1"/>
  <c r="AM791" i="1"/>
  <c r="AL791" i="1"/>
  <c r="AK791" i="1"/>
  <c r="AJ791" i="1"/>
  <c r="AI791" i="1"/>
  <c r="AT1427" i="1"/>
  <c r="AR1427" i="1"/>
  <c r="AQ1427" i="1"/>
  <c r="AP1427" i="1"/>
  <c r="AO1427" i="1"/>
  <c r="AN1427" i="1"/>
  <c r="AM1427" i="1"/>
  <c r="AL1427" i="1"/>
  <c r="AK1427" i="1"/>
  <c r="AJ1427" i="1"/>
  <c r="AI1427" i="1"/>
  <c r="AT683" i="1"/>
  <c r="AR683" i="1"/>
  <c r="AQ683" i="1"/>
  <c r="AP683" i="1"/>
  <c r="AO683" i="1"/>
  <c r="AN683" i="1"/>
  <c r="AM683" i="1"/>
  <c r="AL683" i="1"/>
  <c r="AK683" i="1"/>
  <c r="AJ683" i="1"/>
  <c r="AI683" i="1"/>
  <c r="AT681" i="1"/>
  <c r="AR681" i="1"/>
  <c r="AQ681" i="1"/>
  <c r="AP681" i="1"/>
  <c r="AO681" i="1"/>
  <c r="AN681" i="1"/>
  <c r="AM681" i="1"/>
  <c r="AL681" i="1"/>
  <c r="AK681" i="1"/>
  <c r="AJ681" i="1"/>
  <c r="AI681" i="1"/>
  <c r="AT649" i="1" l="1"/>
  <c r="AR649" i="1"/>
  <c r="AQ649" i="1"/>
  <c r="AP649" i="1"/>
  <c r="AO649" i="1"/>
  <c r="AN649" i="1"/>
  <c r="AM649" i="1"/>
  <c r="AL649" i="1"/>
  <c r="AK649" i="1"/>
  <c r="AJ649" i="1"/>
  <c r="AI649" i="1"/>
  <c r="AT647" i="1"/>
  <c r="AR647" i="1"/>
  <c r="AQ647" i="1"/>
  <c r="AP647" i="1"/>
  <c r="AO647" i="1"/>
  <c r="AN647" i="1"/>
  <c r="AM647" i="1"/>
  <c r="AL647" i="1"/>
  <c r="AK647" i="1"/>
  <c r="AJ647" i="1"/>
  <c r="AI647" i="1"/>
  <c r="AT645" i="1"/>
  <c r="AR645" i="1"/>
  <c r="AQ645" i="1"/>
  <c r="AP645" i="1"/>
  <c r="AO645" i="1"/>
  <c r="AN645" i="1"/>
  <c r="AM645" i="1"/>
  <c r="AL645" i="1"/>
  <c r="AK645" i="1"/>
  <c r="AJ645" i="1"/>
  <c r="AI645" i="1"/>
  <c r="AT643" i="1"/>
  <c r="AR643" i="1"/>
  <c r="AQ643" i="1"/>
  <c r="AP643" i="1"/>
  <c r="AO643" i="1"/>
  <c r="AN643" i="1"/>
  <c r="AM643" i="1"/>
  <c r="AL643" i="1"/>
  <c r="AK643" i="1"/>
  <c r="AJ643" i="1"/>
  <c r="AI643" i="1"/>
  <c r="AT631" i="1"/>
  <c r="AR631" i="1"/>
  <c r="AQ631" i="1"/>
  <c r="AP631" i="1"/>
  <c r="AO631" i="1"/>
  <c r="AN631" i="1"/>
  <c r="AM631" i="1"/>
  <c r="AL631" i="1"/>
  <c r="AK631" i="1"/>
  <c r="AJ631" i="1"/>
  <c r="AI631" i="1"/>
  <c r="AT629" i="1"/>
  <c r="AR629" i="1"/>
  <c r="AQ629" i="1"/>
  <c r="AP629" i="1"/>
  <c r="AO629" i="1"/>
  <c r="AN629" i="1"/>
  <c r="AM629" i="1"/>
  <c r="AL629" i="1"/>
  <c r="AK629" i="1"/>
  <c r="AJ629" i="1"/>
  <c r="AI629" i="1"/>
  <c r="AT635" i="1"/>
  <c r="AR635" i="1"/>
  <c r="AQ635" i="1"/>
  <c r="AP635" i="1"/>
  <c r="AO635" i="1"/>
  <c r="AN635" i="1"/>
  <c r="AM635" i="1"/>
  <c r="AL635" i="1"/>
  <c r="AK635" i="1"/>
  <c r="AJ635" i="1"/>
  <c r="AI635" i="1"/>
  <c r="AT633" i="1"/>
  <c r="AR633" i="1"/>
  <c r="AQ633" i="1"/>
  <c r="AP633" i="1"/>
  <c r="AO633" i="1"/>
  <c r="AN633" i="1"/>
  <c r="AM633" i="1"/>
  <c r="AL633" i="1"/>
  <c r="AK633" i="1"/>
  <c r="AJ633" i="1"/>
  <c r="AI633" i="1"/>
  <c r="AT789" i="1" l="1"/>
  <c r="AR789" i="1"/>
  <c r="AQ789" i="1"/>
  <c r="AP789" i="1"/>
  <c r="AO789" i="1"/>
  <c r="AN789" i="1"/>
  <c r="AM789" i="1"/>
  <c r="AL789" i="1"/>
  <c r="AK789" i="1"/>
  <c r="AJ789" i="1"/>
  <c r="AI789" i="1"/>
  <c r="AT591" i="1"/>
  <c r="AR591" i="1"/>
  <c r="AQ591" i="1"/>
  <c r="AP591" i="1"/>
  <c r="AO591" i="1"/>
  <c r="AN591" i="1"/>
  <c r="AM591" i="1"/>
  <c r="AL591" i="1"/>
  <c r="AK591" i="1"/>
  <c r="AJ591" i="1"/>
  <c r="AI591" i="1"/>
  <c r="AI581" i="1" l="1"/>
  <c r="AT487" i="1"/>
  <c r="AR487" i="1"/>
  <c r="AQ487" i="1"/>
  <c r="AP487" i="1"/>
  <c r="AO487" i="1"/>
  <c r="AN487" i="1"/>
  <c r="AM487" i="1"/>
  <c r="AL487" i="1"/>
  <c r="AK487" i="1"/>
  <c r="AJ487" i="1"/>
  <c r="AI487" i="1"/>
  <c r="AT357" i="1"/>
  <c r="AR357" i="1"/>
  <c r="AQ357" i="1"/>
  <c r="AP357" i="1"/>
  <c r="AO357" i="1"/>
  <c r="AN357" i="1"/>
  <c r="AM357" i="1"/>
  <c r="AL357" i="1"/>
  <c r="AK357" i="1"/>
  <c r="AJ357" i="1"/>
  <c r="AI357" i="1"/>
  <c r="AT305" i="1"/>
  <c r="AR305" i="1"/>
  <c r="AQ305" i="1"/>
  <c r="AP305" i="1"/>
  <c r="AO305" i="1"/>
  <c r="AN305" i="1"/>
  <c r="AM305" i="1"/>
  <c r="AL305" i="1"/>
  <c r="AK305" i="1"/>
  <c r="AJ305" i="1"/>
  <c r="AI305" i="1"/>
  <c r="AT303" i="1"/>
  <c r="AR303" i="1"/>
  <c r="AQ303" i="1"/>
  <c r="AP303" i="1"/>
  <c r="AO303" i="1"/>
  <c r="AN303" i="1"/>
  <c r="AM303" i="1"/>
  <c r="AL303" i="1"/>
  <c r="AK303" i="1"/>
  <c r="AJ303" i="1"/>
  <c r="AI303" i="1"/>
  <c r="AT301" i="1"/>
  <c r="AR301" i="1"/>
  <c r="AQ301" i="1"/>
  <c r="AP301" i="1"/>
  <c r="AO301" i="1"/>
  <c r="AN301" i="1"/>
  <c r="AM301" i="1"/>
  <c r="AL301" i="1"/>
  <c r="AK301" i="1"/>
  <c r="AJ301" i="1"/>
  <c r="AI301" i="1"/>
  <c r="AT279" i="1"/>
  <c r="AR279" i="1"/>
  <c r="AQ279" i="1"/>
  <c r="AP279" i="1"/>
  <c r="AO279" i="1"/>
  <c r="AN279" i="1"/>
  <c r="AM279" i="1"/>
  <c r="AL279" i="1"/>
  <c r="AK279" i="1"/>
  <c r="AJ279" i="1"/>
  <c r="AI279" i="1"/>
  <c r="AT277" i="1"/>
  <c r="AR277" i="1"/>
  <c r="AQ277" i="1"/>
  <c r="AP277" i="1"/>
  <c r="AO277" i="1"/>
  <c r="AN277" i="1"/>
  <c r="AM277" i="1"/>
  <c r="AL277" i="1"/>
  <c r="AK277" i="1"/>
  <c r="AJ277" i="1"/>
  <c r="AI277" i="1"/>
  <c r="AT275" i="1"/>
  <c r="AR275" i="1"/>
  <c r="AQ275" i="1"/>
  <c r="AP275" i="1"/>
  <c r="AO275" i="1"/>
  <c r="AN275" i="1"/>
  <c r="AM275" i="1"/>
  <c r="AL275" i="1"/>
  <c r="AK275" i="1"/>
  <c r="AJ275" i="1"/>
  <c r="AI275" i="1"/>
  <c r="AT131" i="1"/>
  <c r="AR131" i="1"/>
  <c r="AQ131" i="1"/>
  <c r="AP131" i="1"/>
  <c r="AO131" i="1"/>
  <c r="AN131" i="1"/>
  <c r="AM131" i="1"/>
  <c r="AL131" i="1"/>
  <c r="AK131" i="1"/>
  <c r="AJ131" i="1"/>
  <c r="AI131" i="1"/>
  <c r="AT129" i="1"/>
  <c r="AR129" i="1"/>
  <c r="AQ129" i="1"/>
  <c r="AP129" i="1"/>
  <c r="AO129" i="1"/>
  <c r="AN129" i="1"/>
  <c r="AM129" i="1"/>
  <c r="AL129" i="1"/>
  <c r="AK129" i="1"/>
  <c r="AJ129" i="1"/>
  <c r="AI129" i="1"/>
  <c r="AT91" i="1"/>
  <c r="AR91" i="1"/>
  <c r="AQ91" i="1"/>
  <c r="AP91" i="1"/>
  <c r="AO91" i="1"/>
  <c r="AN91" i="1"/>
  <c r="AM91" i="1"/>
  <c r="AL91" i="1"/>
  <c r="AK91" i="1"/>
  <c r="AJ91" i="1"/>
  <c r="AI91" i="1"/>
  <c r="AT87" i="1"/>
  <c r="AR87" i="1"/>
  <c r="AQ87" i="1"/>
  <c r="AP87" i="1"/>
  <c r="AO87" i="1"/>
  <c r="AN87" i="1"/>
  <c r="AM87" i="1"/>
  <c r="AL87" i="1"/>
  <c r="AK87" i="1"/>
  <c r="AJ87" i="1"/>
  <c r="AI87" i="1"/>
  <c r="AT21" i="1"/>
  <c r="AR21" i="1"/>
  <c r="AQ21" i="1"/>
  <c r="AP21" i="1"/>
  <c r="AO21" i="1"/>
  <c r="AN21" i="1"/>
  <c r="AM21" i="1"/>
  <c r="AL21" i="1"/>
  <c r="AK21" i="1"/>
  <c r="AJ21" i="1"/>
  <c r="AI21" i="1"/>
  <c r="AT19" i="1"/>
  <c r="AR19" i="1"/>
  <c r="AQ19" i="1"/>
  <c r="AP19" i="1"/>
  <c r="AO19" i="1"/>
  <c r="AN19" i="1"/>
  <c r="AM19" i="1"/>
  <c r="AL19" i="1"/>
  <c r="AK19" i="1"/>
  <c r="AJ19" i="1"/>
  <c r="AI19" i="1"/>
  <c r="AT17" i="1"/>
  <c r="AR17" i="1"/>
  <c r="AQ17" i="1"/>
  <c r="AP17" i="1"/>
  <c r="AO17" i="1"/>
  <c r="AN17" i="1"/>
  <c r="AM17" i="1"/>
  <c r="AL17" i="1"/>
  <c r="AK17" i="1"/>
  <c r="AJ17" i="1"/>
  <c r="AI17" i="1"/>
  <c r="AJ581" i="1" l="1"/>
  <c r="AK581" i="1"/>
  <c r="AQ581" i="1"/>
  <c r="AR581" i="1"/>
  <c r="AM581" i="1"/>
  <c r="AO581" i="1"/>
  <c r="AA3" i="1"/>
  <c r="AA29" i="1"/>
  <c r="AC395" i="1"/>
  <c r="AD395" i="1" s="1"/>
  <c r="AC433" i="1"/>
  <c r="AD433" i="1" s="1"/>
  <c r="AC473" i="1"/>
  <c r="AD473" i="1" s="1"/>
  <c r="AC475" i="1"/>
  <c r="AD475" i="1" s="1"/>
  <c r="AC471" i="1"/>
  <c r="AD471" i="1" s="1"/>
  <c r="AC559" i="1"/>
  <c r="AD559" i="1" s="1"/>
  <c r="AC561" i="1"/>
  <c r="AD561" i="1" s="1"/>
  <c r="AC563" i="1"/>
  <c r="AD563" i="1" s="1"/>
  <c r="AC565" i="1"/>
  <c r="AD565" i="1" s="1"/>
  <c r="AC915" i="1"/>
  <c r="AD915" i="1" s="1"/>
  <c r="AC917" i="1"/>
  <c r="AD917" i="1" s="1"/>
  <c r="AC919" i="1"/>
  <c r="AD919" i="1" s="1"/>
  <c r="AC921" i="1"/>
  <c r="AD921" i="1" s="1"/>
  <c r="AC923" i="1"/>
  <c r="AD923" i="1" s="1"/>
  <c r="AC925" i="1"/>
  <c r="AD925" i="1" s="1"/>
  <c r="AC927" i="1"/>
  <c r="AD927" i="1" s="1"/>
  <c r="AC929" i="1"/>
  <c r="AD929" i="1" s="1"/>
  <c r="AC971" i="1"/>
  <c r="AD971" i="1" s="1"/>
  <c r="AC973" i="1"/>
  <c r="AD973" i="1" s="1"/>
  <c r="AC975" i="1"/>
  <c r="AD975" i="1" s="1"/>
  <c r="AC977" i="1"/>
  <c r="AD977" i="1" s="1"/>
  <c r="AC979" i="1"/>
  <c r="AD979" i="1" s="1"/>
  <c r="AC981" i="1"/>
  <c r="AD981" i="1" s="1"/>
  <c r="AC983" i="1"/>
  <c r="AD983" i="1" s="1"/>
  <c r="AC1039" i="1"/>
  <c r="AD1039" i="1" s="1"/>
  <c r="AC1041" i="1"/>
  <c r="AD1041" i="1" s="1"/>
  <c r="AC1043" i="1"/>
  <c r="AD1043" i="1" s="1"/>
  <c r="AC1045" i="1"/>
  <c r="AD1045" i="1" s="1"/>
  <c r="AC1047" i="1"/>
  <c r="AD1047" i="1" s="1"/>
  <c r="AC1049" i="1"/>
  <c r="AD1049" i="1" s="1"/>
  <c r="AC1051" i="1"/>
  <c r="AD1051" i="1" s="1"/>
  <c r="AC1053" i="1"/>
  <c r="AD1053" i="1" s="1"/>
  <c r="AC1055" i="1"/>
  <c r="AD1055" i="1" s="1"/>
  <c r="AC1057" i="1"/>
  <c r="AD1057" i="1" s="1"/>
  <c r="AC1059" i="1"/>
  <c r="AD1059" i="1" s="1"/>
  <c r="AC1061" i="1"/>
  <c r="AD1061" i="1" s="1"/>
  <c r="AC1063" i="1"/>
  <c r="AD1063" i="1" s="1"/>
  <c r="AC1065" i="1"/>
  <c r="AD1065" i="1" s="1"/>
  <c r="AC1069" i="1"/>
  <c r="AD1069" i="1" s="1"/>
  <c r="AC1071" i="1"/>
  <c r="AD1071" i="1" s="1"/>
  <c r="AC1073" i="1"/>
  <c r="AD1073" i="1" s="1"/>
  <c r="AC1075" i="1"/>
  <c r="AD1075" i="1" s="1"/>
  <c r="AC1077" i="1"/>
  <c r="AD1077" i="1" s="1"/>
  <c r="AC1079" i="1"/>
  <c r="AD1079" i="1" s="1"/>
  <c r="AC1257" i="1"/>
  <c r="AD1257" i="1" s="1"/>
  <c r="AC1393" i="1"/>
  <c r="AD1393" i="1" s="1"/>
  <c r="AC1399" i="1"/>
  <c r="AD1399" i="1" s="1"/>
  <c r="AC1401" i="1"/>
  <c r="AD1401" i="1" s="1"/>
  <c r="AC1449" i="1"/>
  <c r="AD1449" i="1" s="1"/>
  <c r="AC1451" i="1"/>
  <c r="AD1451" i="1" s="1"/>
  <c r="AC1453" i="1"/>
  <c r="AD1453" i="1" s="1"/>
  <c r="AC1455" i="1"/>
  <c r="AD1455" i="1" s="1"/>
  <c r="AC1457" i="1"/>
  <c r="AD1457" i="1" s="1"/>
  <c r="AC1459" i="1"/>
  <c r="AD1459" i="1" s="1"/>
  <c r="AC1461" i="1"/>
  <c r="AD1461" i="1" s="1"/>
  <c r="AC1471" i="1"/>
  <c r="AD1471" i="1" s="1"/>
  <c r="AC1473" i="1"/>
  <c r="AD1473" i="1" s="1"/>
  <c r="AB3" i="1" l="1"/>
  <c r="AB29" i="1"/>
  <c r="AE9" i="1"/>
  <c r="AB9" i="1"/>
  <c r="AE7" i="1"/>
  <c r="AB7" i="1"/>
  <c r="AE5" i="1"/>
  <c r="AB5" i="1"/>
  <c r="AE3" i="1"/>
  <c r="AT1257" i="1"/>
  <c r="AR1257" i="1"/>
  <c r="AQ1257" i="1"/>
  <c r="AT1393" i="1"/>
  <c r="AR1393" i="1"/>
  <c r="AQ1393" i="1"/>
  <c r="AT971" i="1"/>
  <c r="AR971" i="1"/>
  <c r="AQ971" i="1"/>
  <c r="AT929" i="1"/>
  <c r="AR929" i="1"/>
  <c r="AQ929" i="1"/>
  <c r="AT927" i="1"/>
  <c r="AR927" i="1"/>
  <c r="AQ927" i="1"/>
  <c r="AT925" i="1"/>
  <c r="AR925" i="1"/>
  <c r="AQ925" i="1"/>
  <c r="AT923" i="1"/>
  <c r="AR923" i="1"/>
  <c r="AQ923" i="1"/>
  <c r="AT921" i="1"/>
  <c r="AR921" i="1"/>
  <c r="AQ921" i="1"/>
  <c r="AT919" i="1"/>
  <c r="AR919" i="1"/>
  <c r="AQ919" i="1"/>
  <c r="AT917" i="1"/>
  <c r="AR917" i="1"/>
  <c r="AQ917" i="1"/>
  <c r="AT915" i="1"/>
  <c r="AR915" i="1"/>
  <c r="AQ915" i="1"/>
  <c r="AT471" i="1"/>
  <c r="AR471" i="1"/>
  <c r="AQ471" i="1"/>
  <c r="AT475" i="1"/>
  <c r="AR475" i="1"/>
  <c r="AQ475" i="1"/>
  <c r="AT565" i="1"/>
  <c r="AR565" i="1"/>
  <c r="AQ565" i="1"/>
  <c r="AT563" i="1"/>
  <c r="AR563" i="1"/>
  <c r="AQ563" i="1"/>
  <c r="AT561" i="1"/>
  <c r="AR561" i="1"/>
  <c r="AQ561" i="1"/>
  <c r="AT559" i="1"/>
  <c r="AR559" i="1"/>
  <c r="AQ559" i="1"/>
  <c r="AT395" i="1"/>
  <c r="AR395" i="1"/>
  <c r="AQ395" i="1"/>
  <c r="AT433" i="1"/>
  <c r="AR433" i="1"/>
  <c r="AQ433" i="1"/>
  <c r="AT1473" i="1"/>
  <c r="AR1473" i="1"/>
  <c r="AQ1473" i="1"/>
  <c r="AT1471" i="1"/>
  <c r="AR1471" i="1"/>
  <c r="AQ1471" i="1"/>
  <c r="AT1461" i="1"/>
  <c r="AR1461" i="1"/>
  <c r="AQ1461" i="1"/>
  <c r="AT1459" i="1"/>
  <c r="AR1459" i="1"/>
  <c r="AQ1459" i="1"/>
  <c r="AT1457" i="1"/>
  <c r="AR1457" i="1"/>
  <c r="AQ1457" i="1"/>
  <c r="AT1455" i="1"/>
  <c r="AR1455" i="1"/>
  <c r="AQ1455" i="1"/>
  <c r="AT1453" i="1"/>
  <c r="AR1453" i="1"/>
  <c r="AQ1453" i="1"/>
  <c r="AT1451" i="1"/>
  <c r="AR1451" i="1"/>
  <c r="AQ1451" i="1"/>
  <c r="AT1449" i="1"/>
  <c r="AR1449" i="1"/>
  <c r="AQ1449" i="1"/>
  <c r="AT1401" i="1"/>
  <c r="AR1401" i="1"/>
  <c r="AQ1401" i="1"/>
  <c r="AT1399" i="1"/>
  <c r="AR1399" i="1"/>
  <c r="AQ1399" i="1"/>
  <c r="AT473" i="1"/>
  <c r="AR473" i="1"/>
  <c r="AQ473" i="1"/>
  <c r="AT1079" i="1"/>
  <c r="AR1079" i="1"/>
  <c r="AQ1079" i="1"/>
  <c r="AT1077" i="1"/>
  <c r="AR1077" i="1"/>
  <c r="AQ1077" i="1"/>
  <c r="AT1075" i="1"/>
  <c r="AR1075" i="1"/>
  <c r="AQ1075" i="1"/>
  <c r="AT1073" i="1"/>
  <c r="AR1073" i="1"/>
  <c r="AQ1073" i="1"/>
  <c r="AT1071" i="1"/>
  <c r="AR1071" i="1"/>
  <c r="AQ1071" i="1"/>
  <c r="AT1069" i="1"/>
  <c r="AR1069" i="1"/>
  <c r="AQ1069" i="1"/>
  <c r="AT1065" i="1"/>
  <c r="AR1065" i="1"/>
  <c r="AQ1065" i="1"/>
  <c r="AQ1063" i="1"/>
  <c r="AR1063" i="1"/>
  <c r="AT1063" i="1"/>
  <c r="AT1061" i="1"/>
  <c r="AR1061" i="1"/>
  <c r="AQ1061" i="1"/>
  <c r="AT1059" i="1"/>
  <c r="AR1059" i="1"/>
  <c r="AQ1059" i="1"/>
  <c r="AT1057" i="1"/>
  <c r="AR1057" i="1"/>
  <c r="AQ1057" i="1"/>
  <c r="AT1055" i="1"/>
  <c r="AR1055" i="1"/>
  <c r="AQ1055" i="1"/>
  <c r="AT1053" i="1"/>
  <c r="AR1053" i="1"/>
  <c r="AQ1053" i="1"/>
  <c r="AT1051" i="1"/>
  <c r="AR1051" i="1"/>
  <c r="AQ1051" i="1"/>
  <c r="AT1049" i="1"/>
  <c r="AR1049" i="1"/>
  <c r="AQ1049" i="1"/>
  <c r="AT1047" i="1"/>
  <c r="AR1047" i="1"/>
  <c r="AQ1047" i="1"/>
  <c r="AT1045" i="1"/>
  <c r="AR1045" i="1"/>
  <c r="AQ1045" i="1"/>
  <c r="AT1043" i="1"/>
  <c r="AR1043" i="1"/>
  <c r="AQ1043" i="1"/>
  <c r="AT1041" i="1"/>
  <c r="AR1041" i="1"/>
  <c r="AQ1041" i="1"/>
  <c r="AT1039" i="1"/>
  <c r="AR1039" i="1"/>
  <c r="AQ1039" i="1"/>
  <c r="AT983" i="1"/>
  <c r="AR983" i="1"/>
  <c r="AQ983" i="1"/>
  <c r="AT981" i="1"/>
  <c r="AR981" i="1"/>
  <c r="AQ981" i="1"/>
  <c r="AT979" i="1"/>
  <c r="AR979" i="1"/>
  <c r="AQ979" i="1"/>
  <c r="AT977" i="1"/>
  <c r="AR977" i="1"/>
  <c r="AQ977" i="1"/>
  <c r="AT975" i="1"/>
  <c r="AR975" i="1"/>
  <c r="AQ975" i="1"/>
  <c r="AT973" i="1"/>
  <c r="AR973" i="1"/>
  <c r="AQ973" i="1"/>
  <c r="AW2" i="1" l="1"/>
  <c r="AX2" i="1"/>
  <c r="BE172" i="1"/>
  <c r="BD172" i="1"/>
  <c r="BC172" i="1"/>
  <c r="BB172" i="1"/>
  <c r="BA172" i="1"/>
  <c r="AZ172" i="1"/>
  <c r="AY172" i="1"/>
  <c r="AX172" i="1"/>
  <c r="AW172" i="1"/>
  <c r="AV172" i="1"/>
  <c r="AA173" i="1"/>
  <c r="BE243" i="1"/>
  <c r="BD243" i="1"/>
  <c r="BC243" i="1"/>
  <c r="BB243" i="1"/>
  <c r="BA243" i="1"/>
  <c r="AZ243" i="1"/>
  <c r="AY243" i="1"/>
  <c r="AX243" i="1"/>
  <c r="AW243" i="1"/>
  <c r="AV243" i="1"/>
  <c r="BE241" i="1"/>
  <c r="BD241" i="1"/>
  <c r="BC241" i="1"/>
  <c r="BB241" i="1"/>
  <c r="BA241" i="1"/>
  <c r="AZ241" i="1"/>
  <c r="AY241" i="1"/>
  <c r="AX241" i="1"/>
  <c r="AW241" i="1"/>
  <c r="AV241" i="1"/>
  <c r="BE240" i="1"/>
  <c r="BD240" i="1"/>
  <c r="BC240" i="1"/>
  <c r="BB240" i="1"/>
  <c r="BA240" i="1"/>
  <c r="AZ240" i="1"/>
  <c r="AY240" i="1"/>
  <c r="AX240" i="1"/>
  <c r="AW240" i="1"/>
  <c r="AV240" i="1"/>
  <c r="Y241" i="1" s="1"/>
  <c r="AA241" i="1"/>
  <c r="AX724" i="1"/>
  <c r="AW724" i="1"/>
  <c r="AV724" i="1"/>
  <c r="AY724" i="1"/>
  <c r="AA725" i="1"/>
  <c r="AW550" i="1"/>
  <c r="AV550" i="1"/>
  <c r="AX550" i="1"/>
  <c r="AA551" i="1"/>
  <c r="AX1142" i="1"/>
  <c r="AW1142" i="1"/>
  <c r="AX1140" i="1"/>
  <c r="AW1140" i="1"/>
  <c r="AX1138" i="1"/>
  <c r="AW1138" i="1"/>
  <c r="AA1137" i="1"/>
  <c r="AX1136" i="1"/>
  <c r="AW1136" i="1"/>
  <c r="AA1135" i="1"/>
  <c r="AA1133" i="1"/>
  <c r="AA1131" i="1"/>
  <c r="AX1132" i="1"/>
  <c r="AW1132" i="1"/>
  <c r="AY1128" i="1"/>
  <c r="AX1128" i="1"/>
  <c r="AW1128" i="1"/>
  <c r="AA1129" i="1"/>
  <c r="Y725" i="1" l="1"/>
  <c r="AE725" i="1" s="1"/>
  <c r="AF243" i="1"/>
  <c r="Y173" i="1"/>
  <c r="AE173" i="1" s="1"/>
  <c r="Y551" i="1"/>
  <c r="AE551" i="1" s="1"/>
  <c r="AF241" i="1"/>
  <c r="AJ3" i="1"/>
  <c r="AE1135" i="1"/>
  <c r="AB1135" i="1"/>
  <c r="AE727" i="1"/>
  <c r="AB727" i="1"/>
  <c r="AE553" i="1"/>
  <c r="AB553" i="1"/>
  <c r="AE729" i="1"/>
  <c r="AB729" i="1"/>
  <c r="AE243" i="1"/>
  <c r="AB243" i="1"/>
  <c r="AE1139" i="1"/>
  <c r="AB1139" i="1"/>
  <c r="AE241" i="1"/>
  <c r="AB241" i="1"/>
  <c r="AB173" i="1"/>
  <c r="AE1133" i="1"/>
  <c r="AB1133" i="1"/>
  <c r="AE1137" i="1"/>
  <c r="AB1137" i="1"/>
  <c r="AE1141" i="1"/>
  <c r="AB1141" i="1"/>
  <c r="AB725" i="1"/>
  <c r="AE1143" i="1"/>
  <c r="AB1143" i="1"/>
  <c r="AE1129" i="1"/>
  <c r="AB1129" i="1"/>
  <c r="AB551" i="1"/>
  <c r="AE1131" i="1"/>
  <c r="AB1131" i="1"/>
  <c r="AG243" i="1"/>
  <c r="AG241" i="1"/>
  <c r="AC1135" i="1"/>
  <c r="AD1135" i="1" s="1"/>
  <c r="AC9" i="1"/>
  <c r="AD9" i="1" s="1"/>
  <c r="AC1133" i="1"/>
  <c r="AD1133" i="1" s="1"/>
  <c r="AC1129" i="1"/>
  <c r="AD1129" i="1" s="1"/>
  <c r="AC1139" i="1"/>
  <c r="AD1139" i="1" s="1"/>
  <c r="AC729" i="1"/>
  <c r="AD729" i="1" s="1"/>
  <c r="AC551" i="1"/>
  <c r="AD551" i="1" s="1"/>
  <c r="AC5" i="1"/>
  <c r="AD5" i="1" s="1"/>
  <c r="AC553" i="1"/>
  <c r="AD553" i="1" s="1"/>
  <c r="AC241" i="1"/>
  <c r="AD241" i="1" s="1"/>
  <c r="AC7" i="1"/>
  <c r="AD7" i="1" s="1"/>
  <c r="AC725" i="1"/>
  <c r="AD725" i="1" s="1"/>
  <c r="AC173" i="1"/>
  <c r="AD173" i="1" s="1"/>
  <c r="AC243" i="1"/>
  <c r="AD243" i="1" s="1"/>
  <c r="AC1141" i="1"/>
  <c r="AD1141" i="1" s="1"/>
  <c r="AC727" i="1"/>
  <c r="AD727" i="1" s="1"/>
  <c r="AC3" i="1"/>
  <c r="AC1131" i="1"/>
  <c r="AD1131" i="1" s="1"/>
  <c r="AC1143" i="1"/>
  <c r="AD1143" i="1" s="1"/>
  <c r="AT727" i="1"/>
  <c r="AR727" i="1"/>
  <c r="AQ727" i="1"/>
  <c r="AR551" i="1"/>
  <c r="AT551" i="1"/>
  <c r="AQ551" i="1"/>
  <c r="AR725" i="1"/>
  <c r="AQ725" i="1"/>
  <c r="AT725" i="1"/>
  <c r="AT241" i="1"/>
  <c r="AR241" i="1"/>
  <c r="AQ241" i="1"/>
  <c r="AT243" i="1"/>
  <c r="AQ243" i="1"/>
  <c r="AR243" i="1"/>
  <c r="AT173" i="1"/>
  <c r="AQ173" i="1"/>
  <c r="AR173" i="1"/>
  <c r="AT729" i="1"/>
  <c r="AR729" i="1"/>
  <c r="AQ729" i="1"/>
  <c r="AT553" i="1"/>
  <c r="AR553" i="1"/>
  <c r="AQ553" i="1"/>
  <c r="AN551" i="1"/>
  <c r="AJ551" i="1"/>
  <c r="AO551" i="1"/>
  <c r="AM551" i="1"/>
  <c r="AI551" i="1"/>
  <c r="AP551" i="1"/>
  <c r="AL551" i="1"/>
  <c r="AK551" i="1"/>
  <c r="AN725" i="1"/>
  <c r="AJ725" i="1"/>
  <c r="AM725" i="1"/>
  <c r="AI725" i="1"/>
  <c r="AO725" i="1"/>
  <c r="AP725" i="1"/>
  <c r="AL725" i="1"/>
  <c r="AK725" i="1"/>
  <c r="AM173" i="1"/>
  <c r="AJ173" i="1"/>
  <c r="AP173" i="1"/>
  <c r="AL173" i="1"/>
  <c r="AN173" i="1"/>
  <c r="AI173" i="1"/>
  <c r="AO173" i="1"/>
  <c r="AK173" i="1"/>
  <c r="AK3" i="1"/>
  <c r="AI3" i="1"/>
  <c r="AI1129" i="1"/>
  <c r="AK1129" i="1"/>
  <c r="AJ1129" i="1"/>
  <c r="AJ1135" i="1"/>
  <c r="AI1135" i="1"/>
  <c r="AK1135" i="1"/>
  <c r="AJ1139" i="1"/>
  <c r="AI1139" i="1"/>
  <c r="AK1139" i="1"/>
  <c r="AJ1143" i="1"/>
  <c r="AK1143" i="1"/>
  <c r="AI1143" i="1"/>
  <c r="AK5" i="1"/>
  <c r="AJ5" i="1"/>
  <c r="AI5" i="1"/>
  <c r="AK9" i="1"/>
  <c r="AJ9" i="1"/>
  <c r="AI9" i="1"/>
  <c r="AP553" i="1"/>
  <c r="AL553" i="1"/>
  <c r="AO553" i="1"/>
  <c r="AK553" i="1"/>
  <c r="AI553" i="1"/>
  <c r="AN553" i="1"/>
  <c r="AJ553" i="1"/>
  <c r="AM553" i="1"/>
  <c r="AO241" i="1"/>
  <c r="AP241" i="1"/>
  <c r="AP243" i="1"/>
  <c r="AO243" i="1"/>
  <c r="AJ1131" i="1"/>
  <c r="AI1131" i="1"/>
  <c r="AK1131" i="1"/>
  <c r="AN241" i="1"/>
  <c r="AJ241" i="1"/>
  <c r="AM241" i="1"/>
  <c r="AI241" i="1"/>
  <c r="AK241" i="1"/>
  <c r="AL241" i="1"/>
  <c r="AL243" i="1"/>
  <c r="AK243" i="1"/>
  <c r="AM243" i="1"/>
  <c r="AN243" i="1"/>
  <c r="AJ243" i="1"/>
  <c r="AI243" i="1"/>
  <c r="AI1137" i="1"/>
  <c r="AK1137" i="1"/>
  <c r="AJ1137" i="1"/>
  <c r="AI1133" i="1"/>
  <c r="AK1133" i="1"/>
  <c r="AJ1133" i="1"/>
  <c r="AI1141" i="1"/>
  <c r="AK1141" i="1"/>
  <c r="AJ1141" i="1"/>
  <c r="AP727" i="1"/>
  <c r="AL727" i="1"/>
  <c r="AO727" i="1"/>
  <c r="AK727" i="1"/>
  <c r="AM727" i="1"/>
  <c r="AN727" i="1"/>
  <c r="AJ727" i="1"/>
  <c r="AI727" i="1"/>
  <c r="AN729" i="1"/>
  <c r="AJ729" i="1"/>
  <c r="AO729" i="1"/>
  <c r="AM729" i="1"/>
  <c r="AI729" i="1"/>
  <c r="AP729" i="1"/>
  <c r="AL729" i="1"/>
  <c r="AK729" i="1"/>
  <c r="AJ7" i="1"/>
  <c r="AI7" i="1"/>
  <c r="AK7" i="1"/>
  <c r="AD3" i="1" l="1"/>
  <c r="AG1477" i="1"/>
  <c r="AG1481" i="1"/>
  <c r="AG1483" i="1"/>
  <c r="AG1479" i="1"/>
  <c r="AW1331" i="1"/>
  <c r="AZ1331" i="1"/>
  <c r="AY1331" i="1"/>
  <c r="AX1331" i="1"/>
  <c r="AV1331" i="1"/>
  <c r="AZ1329" i="1"/>
  <c r="AY1329" i="1"/>
  <c r="AX1329" i="1"/>
  <c r="AW1329" i="1"/>
  <c r="AV1329" i="1"/>
  <c r="AF1329" i="1" l="1"/>
  <c r="AF1331" i="1"/>
  <c r="AG1331" i="1"/>
  <c r="AG1329" i="1"/>
  <c r="AV28" i="1"/>
  <c r="Y29" i="1" l="1"/>
  <c r="AY1152" i="1"/>
  <c r="AX1152" i="1"/>
  <c r="AA1155" i="1"/>
  <c r="AA1153" i="1"/>
  <c r="AE29" i="1" l="1"/>
  <c r="AE1155" i="1"/>
  <c r="AB1155" i="1"/>
  <c r="AE1153" i="1"/>
  <c r="AB1153" i="1"/>
  <c r="AC1153" i="1"/>
  <c r="AD1153" i="1" s="1"/>
  <c r="AK1155" i="1"/>
  <c r="AC1155" i="1"/>
  <c r="AD1155" i="1" s="1"/>
  <c r="AK1153" i="1"/>
  <c r="AI1153" i="1"/>
  <c r="AJ1153" i="1"/>
  <c r="AI1155" i="1"/>
  <c r="AJ1155" i="1"/>
  <c r="AA1493" i="1"/>
  <c r="BB1492" i="1"/>
  <c r="AA1495" i="1"/>
  <c r="AA1497" i="1"/>
  <c r="AZ1496" i="1"/>
  <c r="AY1496" i="1"/>
  <c r="AX1496" i="1"/>
  <c r="AW1496" i="1"/>
  <c r="AZ1494" i="1"/>
  <c r="AY1494" i="1"/>
  <c r="AX1494" i="1"/>
  <c r="AW1494" i="1"/>
  <c r="BA1492" i="1"/>
  <c r="AZ1492" i="1"/>
  <c r="AY1492" i="1"/>
  <c r="AX1492" i="1"/>
  <c r="AW1492" i="1"/>
  <c r="AZ1497" i="1"/>
  <c r="AY1497" i="1"/>
  <c r="AX1497" i="1"/>
  <c r="AW1497" i="1"/>
  <c r="AV1497" i="1"/>
  <c r="AZ1495" i="1"/>
  <c r="AY1495" i="1"/>
  <c r="AX1495" i="1"/>
  <c r="AW1495" i="1"/>
  <c r="AV1495" i="1"/>
  <c r="BB1493" i="1"/>
  <c r="BA1493" i="1"/>
  <c r="AZ1493" i="1"/>
  <c r="AY1493" i="1"/>
  <c r="AX1493" i="1"/>
  <c r="AW1493" i="1"/>
  <c r="AV1493" i="1"/>
  <c r="AN1497" i="1" l="1"/>
  <c r="AM1497" i="1"/>
  <c r="AT1497" i="1"/>
  <c r="AL1497" i="1"/>
  <c r="AS1497" i="1"/>
  <c r="AK1497" i="1"/>
  <c r="AR1497" i="1"/>
  <c r="AJ1497" i="1"/>
  <c r="AQ1497" i="1"/>
  <c r="AI1497" i="1"/>
  <c r="AS1495" i="1"/>
  <c r="AK1495" i="1"/>
  <c r="AR1495" i="1"/>
  <c r="AJ1495" i="1"/>
  <c r="AQ1495" i="1"/>
  <c r="AI1495" i="1"/>
  <c r="AN1495" i="1"/>
  <c r="AM1495" i="1"/>
  <c r="AT1495" i="1"/>
  <c r="AL1495" i="1"/>
  <c r="AS1493" i="1"/>
  <c r="AK1493" i="1"/>
  <c r="AR1493" i="1"/>
  <c r="AJ1493" i="1"/>
  <c r="AQ1493" i="1"/>
  <c r="AI1493" i="1"/>
  <c r="AN1493" i="1"/>
  <c r="AM1493" i="1"/>
  <c r="AT1493" i="1"/>
  <c r="AL1493" i="1"/>
  <c r="AF1497" i="1"/>
  <c r="AF1495" i="1"/>
  <c r="AF1493" i="1"/>
  <c r="AE1497" i="1"/>
  <c r="AB1497" i="1"/>
  <c r="AE1495" i="1"/>
  <c r="AB1495" i="1"/>
  <c r="AE1493" i="1"/>
  <c r="AB1493" i="1"/>
  <c r="AG1497" i="1"/>
  <c r="AG1495" i="1"/>
  <c r="AG1493" i="1"/>
  <c r="AC1495" i="1"/>
  <c r="AD1495" i="1" s="1"/>
  <c r="AC1493" i="1"/>
  <c r="AD1493" i="1" s="1"/>
  <c r="AC1497" i="1"/>
  <c r="AD1497" i="1" s="1"/>
  <c r="AP475" i="1" l="1"/>
  <c r="AO475" i="1"/>
  <c r="AN475" i="1"/>
  <c r="AM475" i="1"/>
  <c r="AL475" i="1"/>
  <c r="AK475" i="1"/>
  <c r="AJ475" i="1"/>
  <c r="AI475" i="1"/>
  <c r="AA475" i="1"/>
  <c r="AE475" i="1" l="1"/>
  <c r="AB475" i="1"/>
  <c r="AC999" i="1"/>
  <c r="AD999" i="1" s="1"/>
  <c r="AQ999" i="1"/>
  <c r="AR999" i="1"/>
  <c r="AT999" i="1"/>
  <c r="AP395" i="1"/>
  <c r="AO395" i="1"/>
  <c r="AN395" i="1"/>
  <c r="AM395" i="1"/>
  <c r="AL395" i="1"/>
  <c r="AK395" i="1"/>
  <c r="AJ395" i="1"/>
  <c r="AI395" i="1"/>
  <c r="AP1257" i="1"/>
  <c r="AO1257" i="1"/>
  <c r="AN1257" i="1"/>
  <c r="AM1257" i="1"/>
  <c r="AL1257" i="1"/>
  <c r="AK1257" i="1"/>
  <c r="AJ1257" i="1"/>
  <c r="AI1257" i="1"/>
  <c r="AP433" i="1"/>
  <c r="AO433" i="1"/>
  <c r="AN433" i="1"/>
  <c r="AM433" i="1"/>
  <c r="AL433" i="1"/>
  <c r="AK433" i="1"/>
  <c r="AJ433" i="1"/>
  <c r="AI433" i="1"/>
  <c r="AP565" i="1"/>
  <c r="AO565" i="1"/>
  <c r="AN565" i="1"/>
  <c r="AM565" i="1"/>
  <c r="AL565" i="1"/>
  <c r="AK565" i="1"/>
  <c r="AJ565" i="1"/>
  <c r="AI565" i="1"/>
  <c r="AP563" i="1"/>
  <c r="AO563" i="1"/>
  <c r="AN563" i="1"/>
  <c r="AM563" i="1"/>
  <c r="AL563" i="1"/>
  <c r="AK563" i="1"/>
  <c r="AJ563" i="1"/>
  <c r="AI563" i="1"/>
  <c r="AP561" i="1"/>
  <c r="AO561" i="1"/>
  <c r="AN561" i="1"/>
  <c r="AM561" i="1"/>
  <c r="AL561" i="1"/>
  <c r="AK561" i="1"/>
  <c r="AJ561" i="1"/>
  <c r="AI561" i="1"/>
  <c r="AP559" i="1"/>
  <c r="AO559" i="1"/>
  <c r="AN559" i="1"/>
  <c r="AM559" i="1"/>
  <c r="AL559" i="1"/>
  <c r="AK559" i="1"/>
  <c r="AJ559" i="1"/>
  <c r="AI559" i="1"/>
  <c r="AP1393" i="1"/>
  <c r="AO1393" i="1"/>
  <c r="AN1393" i="1"/>
  <c r="AM1393" i="1"/>
  <c r="AL1393" i="1"/>
  <c r="AK1393" i="1"/>
  <c r="AJ1393" i="1"/>
  <c r="AI1393" i="1"/>
  <c r="AP971" i="1"/>
  <c r="AO971" i="1"/>
  <c r="AN971" i="1"/>
  <c r="AM971" i="1"/>
  <c r="AL971" i="1"/>
  <c r="AK971" i="1"/>
  <c r="AJ971" i="1"/>
  <c r="AI971" i="1"/>
  <c r="AP929" i="1"/>
  <c r="AO929" i="1"/>
  <c r="AN929" i="1"/>
  <c r="AM929" i="1"/>
  <c r="AL929" i="1"/>
  <c r="AK929" i="1"/>
  <c r="AJ929" i="1"/>
  <c r="AI929" i="1"/>
  <c r="AP927" i="1"/>
  <c r="AO927" i="1"/>
  <c r="AN927" i="1"/>
  <c r="AM927" i="1"/>
  <c r="AL927" i="1"/>
  <c r="AK927" i="1"/>
  <c r="AJ927" i="1"/>
  <c r="AI927" i="1"/>
  <c r="AP925" i="1"/>
  <c r="AO925" i="1"/>
  <c r="AN925" i="1"/>
  <c r="AM925" i="1"/>
  <c r="AL925" i="1"/>
  <c r="AK925" i="1"/>
  <c r="AJ925" i="1"/>
  <c r="AI925" i="1"/>
  <c r="AP923" i="1"/>
  <c r="AO923" i="1"/>
  <c r="AN923" i="1"/>
  <c r="AM923" i="1"/>
  <c r="AL923" i="1"/>
  <c r="AK923" i="1"/>
  <c r="AJ923" i="1"/>
  <c r="AI923" i="1"/>
  <c r="AP921" i="1"/>
  <c r="AO921" i="1"/>
  <c r="AN921" i="1"/>
  <c r="AM921" i="1"/>
  <c r="AL921" i="1"/>
  <c r="AK921" i="1"/>
  <c r="AJ921" i="1"/>
  <c r="AI921" i="1"/>
  <c r="AP919" i="1"/>
  <c r="AO919" i="1"/>
  <c r="AN919" i="1"/>
  <c r="AM919" i="1"/>
  <c r="AL919" i="1"/>
  <c r="AK919" i="1"/>
  <c r="AJ919" i="1"/>
  <c r="AI919" i="1"/>
  <c r="AP917" i="1"/>
  <c r="AO917" i="1"/>
  <c r="AN917" i="1"/>
  <c r="AM917" i="1"/>
  <c r="AL917" i="1"/>
  <c r="AK917" i="1"/>
  <c r="AJ917" i="1"/>
  <c r="AI917" i="1"/>
  <c r="AP915" i="1"/>
  <c r="AO915" i="1"/>
  <c r="AN915" i="1"/>
  <c r="AM915" i="1"/>
  <c r="AL915" i="1"/>
  <c r="AK915" i="1"/>
  <c r="AJ915" i="1"/>
  <c r="AI915" i="1"/>
  <c r="AP471" i="1"/>
  <c r="AO471" i="1"/>
  <c r="AN471" i="1"/>
  <c r="AM471" i="1"/>
  <c r="AL471" i="1"/>
  <c r="AK471" i="1"/>
  <c r="AJ471" i="1"/>
  <c r="AI471" i="1"/>
  <c r="AP1473" i="1"/>
  <c r="AO1473" i="1"/>
  <c r="AN1473" i="1"/>
  <c r="AM1473" i="1"/>
  <c r="AL1473" i="1"/>
  <c r="AK1473" i="1"/>
  <c r="AJ1473" i="1"/>
  <c r="AI1473" i="1"/>
  <c r="AP1471" i="1"/>
  <c r="AO1471" i="1"/>
  <c r="AN1471" i="1"/>
  <c r="AM1471" i="1"/>
  <c r="AL1471" i="1"/>
  <c r="AK1471" i="1"/>
  <c r="AJ1471" i="1"/>
  <c r="AI1471" i="1"/>
  <c r="AP1461" i="1"/>
  <c r="AO1461" i="1"/>
  <c r="AN1461" i="1"/>
  <c r="AM1461" i="1"/>
  <c r="AL1461" i="1"/>
  <c r="AK1461" i="1"/>
  <c r="AJ1461" i="1"/>
  <c r="AI1461" i="1"/>
  <c r="AP1459" i="1"/>
  <c r="AO1459" i="1"/>
  <c r="AN1459" i="1"/>
  <c r="AM1459" i="1"/>
  <c r="AL1459" i="1"/>
  <c r="AK1459" i="1"/>
  <c r="AJ1459" i="1"/>
  <c r="AI1459" i="1"/>
  <c r="AP1457" i="1"/>
  <c r="AO1457" i="1"/>
  <c r="AN1457" i="1"/>
  <c r="AM1457" i="1"/>
  <c r="AL1457" i="1"/>
  <c r="AK1457" i="1"/>
  <c r="AJ1457" i="1"/>
  <c r="AI1457" i="1"/>
  <c r="AP1455" i="1"/>
  <c r="AO1455" i="1"/>
  <c r="AN1455" i="1"/>
  <c r="AM1455" i="1"/>
  <c r="AL1455" i="1"/>
  <c r="AK1455" i="1"/>
  <c r="AJ1455" i="1"/>
  <c r="AI1455" i="1"/>
  <c r="AP1453" i="1"/>
  <c r="AO1453" i="1"/>
  <c r="AN1453" i="1"/>
  <c r="AM1453" i="1"/>
  <c r="AL1453" i="1"/>
  <c r="AK1453" i="1"/>
  <c r="AJ1453" i="1"/>
  <c r="AI1453" i="1"/>
  <c r="AP1451" i="1"/>
  <c r="AO1451" i="1"/>
  <c r="AN1451" i="1"/>
  <c r="AM1451" i="1"/>
  <c r="AL1451" i="1"/>
  <c r="AK1451" i="1"/>
  <c r="AJ1451" i="1"/>
  <c r="AI1451" i="1"/>
  <c r="AP1449" i="1"/>
  <c r="AO1449" i="1"/>
  <c r="AN1449" i="1"/>
  <c r="AM1449" i="1"/>
  <c r="AL1449" i="1"/>
  <c r="AK1449" i="1"/>
  <c r="AJ1449" i="1"/>
  <c r="AI1449" i="1"/>
  <c r="AP1401" i="1"/>
  <c r="AO1401" i="1"/>
  <c r="AN1401" i="1"/>
  <c r="AM1401" i="1"/>
  <c r="AL1401" i="1"/>
  <c r="AK1401" i="1"/>
  <c r="AJ1401" i="1"/>
  <c r="AI1401" i="1"/>
  <c r="AP1399" i="1"/>
  <c r="AO1399" i="1"/>
  <c r="AN1399" i="1"/>
  <c r="AM1399" i="1"/>
  <c r="AL1399" i="1"/>
  <c r="AK1399" i="1"/>
  <c r="AJ1399" i="1"/>
  <c r="AI1399" i="1"/>
  <c r="AP999" i="1"/>
  <c r="AO999" i="1"/>
  <c r="AN999" i="1"/>
  <c r="AM999" i="1"/>
  <c r="AL999" i="1"/>
  <c r="AK999" i="1"/>
  <c r="AJ999" i="1"/>
  <c r="AI999" i="1"/>
  <c r="AP473" i="1"/>
  <c r="AO473" i="1"/>
  <c r="AN473" i="1"/>
  <c r="AM473" i="1"/>
  <c r="AL473" i="1"/>
  <c r="AK473" i="1"/>
  <c r="AJ473" i="1"/>
  <c r="AI473" i="1"/>
  <c r="AP1079" i="1"/>
  <c r="AO1079" i="1"/>
  <c r="AN1079" i="1"/>
  <c r="AM1079" i="1"/>
  <c r="AL1079" i="1"/>
  <c r="AK1079" i="1"/>
  <c r="AJ1079" i="1"/>
  <c r="AI1079" i="1"/>
  <c r="AP1077" i="1"/>
  <c r="AO1077" i="1"/>
  <c r="AN1077" i="1"/>
  <c r="AM1077" i="1"/>
  <c r="AL1077" i="1"/>
  <c r="AK1077" i="1"/>
  <c r="AJ1077" i="1"/>
  <c r="AI1077" i="1"/>
  <c r="AP1075" i="1"/>
  <c r="AO1075" i="1"/>
  <c r="AN1075" i="1"/>
  <c r="AM1075" i="1"/>
  <c r="AL1075" i="1"/>
  <c r="AK1075" i="1"/>
  <c r="AJ1075" i="1"/>
  <c r="AI1075" i="1"/>
  <c r="AP1073" i="1"/>
  <c r="AO1073" i="1"/>
  <c r="AN1073" i="1"/>
  <c r="AM1073" i="1"/>
  <c r="AL1073" i="1"/>
  <c r="AK1073" i="1"/>
  <c r="AJ1073" i="1"/>
  <c r="AI1073" i="1"/>
  <c r="AP1071" i="1"/>
  <c r="AO1071" i="1"/>
  <c r="AN1071" i="1"/>
  <c r="AM1071" i="1"/>
  <c r="AL1071" i="1"/>
  <c r="AK1071" i="1"/>
  <c r="AJ1071" i="1"/>
  <c r="AI1071" i="1"/>
  <c r="AP1069" i="1"/>
  <c r="AO1069" i="1"/>
  <c r="AN1069" i="1"/>
  <c r="AM1069" i="1"/>
  <c r="AL1069" i="1"/>
  <c r="AK1069" i="1"/>
  <c r="AJ1069" i="1"/>
  <c r="AI1069" i="1"/>
  <c r="AP1065" i="1"/>
  <c r="AO1065" i="1"/>
  <c r="AN1065" i="1"/>
  <c r="AM1065" i="1"/>
  <c r="AL1065" i="1"/>
  <c r="AK1065" i="1"/>
  <c r="AJ1065" i="1"/>
  <c r="AI1065" i="1"/>
  <c r="AP1063" i="1"/>
  <c r="AO1063" i="1"/>
  <c r="AN1063" i="1"/>
  <c r="AM1063" i="1"/>
  <c r="AL1063" i="1"/>
  <c r="AK1063" i="1"/>
  <c r="AJ1063" i="1"/>
  <c r="AI1063" i="1"/>
  <c r="AP1061" i="1"/>
  <c r="AO1061" i="1"/>
  <c r="AN1061" i="1"/>
  <c r="AM1061" i="1"/>
  <c r="AL1061" i="1"/>
  <c r="AK1061" i="1"/>
  <c r="AJ1061" i="1"/>
  <c r="AI1061" i="1"/>
  <c r="AP1059" i="1"/>
  <c r="AO1059" i="1"/>
  <c r="AN1059" i="1"/>
  <c r="AM1059" i="1"/>
  <c r="AL1059" i="1"/>
  <c r="AK1059" i="1"/>
  <c r="AJ1059" i="1"/>
  <c r="AI1059" i="1"/>
  <c r="AP1057" i="1"/>
  <c r="AO1057" i="1"/>
  <c r="AN1057" i="1"/>
  <c r="AM1057" i="1"/>
  <c r="AL1057" i="1"/>
  <c r="AK1057" i="1"/>
  <c r="AJ1057" i="1"/>
  <c r="AI1057" i="1"/>
  <c r="AP1055" i="1"/>
  <c r="AO1055" i="1"/>
  <c r="AN1055" i="1"/>
  <c r="AM1055" i="1"/>
  <c r="AL1055" i="1"/>
  <c r="AK1055" i="1"/>
  <c r="AJ1055" i="1"/>
  <c r="AI1055" i="1"/>
  <c r="AP1053" i="1"/>
  <c r="AO1053" i="1"/>
  <c r="AN1053" i="1"/>
  <c r="AM1053" i="1"/>
  <c r="AL1053" i="1"/>
  <c r="AK1053" i="1"/>
  <c r="AJ1053" i="1"/>
  <c r="AI1053" i="1"/>
  <c r="AP1051" i="1"/>
  <c r="AO1051" i="1"/>
  <c r="AN1051" i="1"/>
  <c r="AM1051" i="1"/>
  <c r="AL1051" i="1"/>
  <c r="AK1051" i="1"/>
  <c r="AJ1051" i="1"/>
  <c r="AI1051" i="1"/>
  <c r="AP1049" i="1"/>
  <c r="AO1049" i="1"/>
  <c r="AN1049" i="1"/>
  <c r="AM1049" i="1"/>
  <c r="AL1049" i="1"/>
  <c r="AK1049" i="1"/>
  <c r="AJ1049" i="1"/>
  <c r="AI1049" i="1"/>
  <c r="AP1047" i="1"/>
  <c r="AO1047" i="1"/>
  <c r="AN1047" i="1"/>
  <c r="AM1047" i="1"/>
  <c r="AL1047" i="1"/>
  <c r="AK1047" i="1"/>
  <c r="AJ1047" i="1"/>
  <c r="AI1047" i="1"/>
  <c r="AP1045" i="1"/>
  <c r="AO1045" i="1"/>
  <c r="AN1045" i="1"/>
  <c r="AM1045" i="1"/>
  <c r="AL1045" i="1"/>
  <c r="AK1045" i="1"/>
  <c r="AJ1045" i="1"/>
  <c r="AI1045" i="1"/>
  <c r="AP1043" i="1"/>
  <c r="AO1043" i="1"/>
  <c r="AN1043" i="1"/>
  <c r="AM1043" i="1"/>
  <c r="AL1043" i="1"/>
  <c r="AK1043" i="1"/>
  <c r="AJ1043" i="1"/>
  <c r="AI1043" i="1"/>
  <c r="AP1041" i="1"/>
  <c r="AO1041" i="1"/>
  <c r="AN1041" i="1"/>
  <c r="AM1041" i="1"/>
  <c r="AL1041" i="1"/>
  <c r="AK1041" i="1"/>
  <c r="AJ1041" i="1"/>
  <c r="AI1041" i="1"/>
  <c r="AP1039" i="1"/>
  <c r="AO1039" i="1"/>
  <c r="AN1039" i="1"/>
  <c r="AM1039" i="1"/>
  <c r="AL1039" i="1"/>
  <c r="AK1039" i="1"/>
  <c r="AJ1039" i="1"/>
  <c r="AI1039" i="1"/>
  <c r="AP983" i="1"/>
  <c r="AO983" i="1"/>
  <c r="AN983" i="1"/>
  <c r="AM983" i="1"/>
  <c r="AL983" i="1"/>
  <c r="AK983" i="1"/>
  <c r="AJ983" i="1"/>
  <c r="AI983" i="1"/>
  <c r="AP981" i="1"/>
  <c r="AO981" i="1"/>
  <c r="AN981" i="1"/>
  <c r="AM981" i="1"/>
  <c r="AL981" i="1"/>
  <c r="AK981" i="1"/>
  <c r="AJ981" i="1"/>
  <c r="AI981" i="1"/>
  <c r="AP979" i="1"/>
  <c r="AO979" i="1"/>
  <c r="AN979" i="1"/>
  <c r="AM979" i="1"/>
  <c r="AL979" i="1"/>
  <c r="AK979" i="1"/>
  <c r="AJ979" i="1"/>
  <c r="AI979" i="1"/>
  <c r="AP977" i="1"/>
  <c r="AO977" i="1"/>
  <c r="AN977" i="1"/>
  <c r="AM977" i="1"/>
  <c r="AL977" i="1"/>
  <c r="AK977" i="1"/>
  <c r="AJ977" i="1"/>
  <c r="AI977" i="1"/>
  <c r="AP975" i="1"/>
  <c r="AO975" i="1"/>
  <c r="AN975" i="1"/>
  <c r="AM975" i="1"/>
  <c r="AL975" i="1"/>
  <c r="AK975" i="1"/>
  <c r="AJ975" i="1"/>
  <c r="AI975" i="1"/>
  <c r="AP973" i="1"/>
  <c r="AO973" i="1"/>
  <c r="AN973" i="1"/>
  <c r="AM973" i="1"/>
  <c r="AL973" i="1"/>
  <c r="AK973" i="1"/>
  <c r="AJ973" i="1"/>
  <c r="AI973" i="1"/>
  <c r="AA621" i="1"/>
  <c r="AA619" i="1"/>
  <c r="AA617" i="1"/>
  <c r="AA615" i="1"/>
  <c r="AA613" i="1"/>
  <c r="AA611" i="1"/>
  <c r="AA609" i="1"/>
  <c r="AA607" i="1"/>
  <c r="AY606" i="1"/>
  <c r="AX606" i="1"/>
  <c r="AW606" i="1"/>
  <c r="AY510" i="1"/>
  <c r="AX510" i="1"/>
  <c r="AW510" i="1"/>
  <c r="AA511" i="1"/>
  <c r="AE511" i="1" l="1"/>
  <c r="AB511" i="1"/>
  <c r="AE615" i="1"/>
  <c r="AB615" i="1"/>
  <c r="AE611" i="1"/>
  <c r="AB611" i="1"/>
  <c r="AE613" i="1"/>
  <c r="AB613" i="1"/>
  <c r="AE617" i="1"/>
  <c r="AB617" i="1"/>
  <c r="AE619" i="1"/>
  <c r="AB619" i="1"/>
  <c r="AE621" i="1"/>
  <c r="AB621" i="1"/>
  <c r="AE607" i="1"/>
  <c r="AB607" i="1"/>
  <c r="AE609" i="1"/>
  <c r="AB609" i="1"/>
  <c r="AC511" i="1"/>
  <c r="AD511" i="1" s="1"/>
  <c r="AC607" i="1"/>
  <c r="AD607" i="1" s="1"/>
  <c r="AC611" i="1"/>
  <c r="AD611" i="1" s="1"/>
  <c r="AC615" i="1"/>
  <c r="AD615" i="1" s="1"/>
  <c r="AC619" i="1"/>
  <c r="AD619" i="1" s="1"/>
  <c r="AC609" i="1"/>
  <c r="AD609" i="1" s="1"/>
  <c r="AC613" i="1"/>
  <c r="AD613" i="1" s="1"/>
  <c r="AC617" i="1"/>
  <c r="AD617" i="1" s="1"/>
  <c r="AC621" i="1"/>
  <c r="AD621" i="1" s="1"/>
  <c r="AK615" i="1"/>
  <c r="AJ615" i="1"/>
  <c r="AI615" i="1"/>
  <c r="AK607" i="1"/>
  <c r="AJ607" i="1"/>
  <c r="AI607" i="1"/>
  <c r="AJ609" i="1"/>
  <c r="AI609" i="1"/>
  <c r="AK609" i="1"/>
  <c r="AK611" i="1"/>
  <c r="AJ611" i="1"/>
  <c r="AI611" i="1"/>
  <c r="AJ613" i="1"/>
  <c r="AI613" i="1"/>
  <c r="AK613" i="1"/>
  <c r="AJ617" i="1"/>
  <c r="AI617" i="1"/>
  <c r="AK617" i="1"/>
  <c r="AK619" i="1"/>
  <c r="AJ619" i="1"/>
  <c r="AI619" i="1"/>
  <c r="AJ621" i="1"/>
  <c r="AI621" i="1"/>
  <c r="AK621" i="1"/>
  <c r="AI511" i="1"/>
  <c r="AK511" i="1"/>
  <c r="AJ511" i="1"/>
  <c r="AA1341" i="1"/>
  <c r="AA1339" i="1"/>
  <c r="AA1337" i="1"/>
  <c r="AA1335" i="1"/>
  <c r="AY1332" i="1"/>
  <c r="AX1332" i="1"/>
  <c r="AW1332" i="1"/>
  <c r="AV1332" i="1"/>
  <c r="AA1333" i="1"/>
  <c r="AW930" i="1"/>
  <c r="AX930" i="1"/>
  <c r="AY930" i="1"/>
  <c r="AZ930" i="1"/>
  <c r="BA930" i="1"/>
  <c r="BB930" i="1"/>
  <c r="BC930" i="1"/>
  <c r="AA931" i="1"/>
  <c r="Y1333" i="1" l="1"/>
  <c r="AE1333" i="1" s="1"/>
  <c r="AE1337" i="1"/>
  <c r="AB1337" i="1"/>
  <c r="AE1335" i="1"/>
  <c r="AB1335" i="1"/>
  <c r="AE1339" i="1"/>
  <c r="AB1339" i="1"/>
  <c r="AE931" i="1"/>
  <c r="AB931" i="1"/>
  <c r="AB1333" i="1"/>
  <c r="AE1341" i="1"/>
  <c r="AB1341" i="1"/>
  <c r="AC931" i="1"/>
  <c r="AD931" i="1" s="1"/>
  <c r="AC1339" i="1"/>
  <c r="AD1339" i="1" s="1"/>
  <c r="AC1333" i="1"/>
  <c r="AD1333" i="1" s="1"/>
  <c r="AC1337" i="1"/>
  <c r="AD1337" i="1" s="1"/>
  <c r="AC1341" i="1"/>
  <c r="AD1341" i="1" s="1"/>
  <c r="AC1335" i="1"/>
  <c r="AD1335" i="1" s="1"/>
  <c r="AT931" i="1"/>
  <c r="AR931" i="1"/>
  <c r="AQ931" i="1"/>
  <c r="AT1339" i="1"/>
  <c r="AR1339" i="1"/>
  <c r="AQ1339" i="1"/>
  <c r="AR1337" i="1"/>
  <c r="AQ1337" i="1"/>
  <c r="AT1337" i="1"/>
  <c r="AT1341" i="1"/>
  <c r="AR1341" i="1"/>
  <c r="AQ1341" i="1"/>
  <c r="AT1333" i="1"/>
  <c r="AR1333" i="1"/>
  <c r="AQ1333" i="1"/>
  <c r="AT1335" i="1"/>
  <c r="AR1335" i="1"/>
  <c r="AQ1335" i="1"/>
  <c r="AM931" i="1"/>
  <c r="AI931" i="1"/>
  <c r="AP931" i="1"/>
  <c r="AL931" i="1"/>
  <c r="AO931" i="1"/>
  <c r="AK931" i="1"/>
  <c r="AN931" i="1"/>
  <c r="AJ931" i="1"/>
  <c r="AP1341" i="1"/>
  <c r="AL1341" i="1"/>
  <c r="AO1341" i="1"/>
  <c r="AK1341" i="1"/>
  <c r="AN1341" i="1"/>
  <c r="AJ1341" i="1"/>
  <c r="AM1341" i="1"/>
  <c r="AI1341" i="1"/>
  <c r="AN1339" i="1"/>
  <c r="AJ1339" i="1"/>
  <c r="AM1339" i="1"/>
  <c r="AI1339" i="1"/>
  <c r="AP1339" i="1"/>
  <c r="AL1339" i="1"/>
  <c r="AO1339" i="1"/>
  <c r="AK1339" i="1"/>
  <c r="AO1333" i="1"/>
  <c r="AK1333" i="1"/>
  <c r="AN1333" i="1"/>
  <c r="AJ1333" i="1"/>
  <c r="AM1333" i="1"/>
  <c r="AI1333" i="1"/>
  <c r="AP1333" i="1"/>
  <c r="AL1333" i="1"/>
  <c r="AN1335" i="1"/>
  <c r="AM1335" i="1"/>
  <c r="AI1335" i="1"/>
  <c r="AP1335" i="1"/>
  <c r="AL1335" i="1"/>
  <c r="AO1335" i="1"/>
  <c r="AK1335" i="1"/>
  <c r="AJ1335" i="1"/>
  <c r="AP1337" i="1"/>
  <c r="AL1337" i="1"/>
  <c r="AO1337" i="1"/>
  <c r="AK1337" i="1"/>
  <c r="AN1337" i="1"/>
  <c r="AJ1337" i="1"/>
  <c r="AM1337" i="1"/>
  <c r="AI1337" i="1"/>
  <c r="AZ622" i="1"/>
  <c r="AY622" i="1"/>
  <c r="AX622" i="1"/>
  <c r="AW622" i="1"/>
  <c r="AA623" i="1"/>
  <c r="AE623" i="1" l="1"/>
  <c r="AB623" i="1"/>
  <c r="AC623" i="1"/>
  <c r="AD623" i="1" s="1"/>
  <c r="AJ623" i="1"/>
  <c r="AI623" i="1"/>
  <c r="AK623" i="1"/>
  <c r="AA35" i="1"/>
  <c r="AA33" i="1"/>
  <c r="AA31" i="1"/>
  <c r="AX28" i="1"/>
  <c r="AW28" i="1"/>
  <c r="AF1225" i="1"/>
  <c r="AA1225" i="1"/>
  <c r="AX1224" i="1"/>
  <c r="AW1224" i="1"/>
  <c r="AV1224" i="1"/>
  <c r="Y1225" i="1" l="1"/>
  <c r="AE1225" i="1" s="1"/>
  <c r="AE31" i="1"/>
  <c r="AB31" i="1"/>
  <c r="AE33" i="1"/>
  <c r="AB33" i="1"/>
  <c r="AB1225" i="1"/>
  <c r="AE35" i="1"/>
  <c r="AB35" i="1"/>
  <c r="AG1225" i="1"/>
  <c r="AC31" i="1"/>
  <c r="AD31" i="1" s="1"/>
  <c r="AC35" i="1"/>
  <c r="AD35" i="1" s="1"/>
  <c r="AC33" i="1"/>
  <c r="AD33" i="1" s="1"/>
  <c r="AC1225" i="1"/>
  <c r="AD1225" i="1" s="1"/>
  <c r="AC1485" i="1"/>
  <c r="AD1485" i="1" s="1"/>
  <c r="AC29" i="1"/>
  <c r="AT1225" i="1"/>
  <c r="AR1225" i="1"/>
  <c r="AQ1225" i="1"/>
  <c r="AR31" i="1"/>
  <c r="AT31" i="1"/>
  <c r="AQ31" i="1"/>
  <c r="AT33" i="1"/>
  <c r="AR33" i="1"/>
  <c r="AQ33" i="1"/>
  <c r="AR35" i="1"/>
  <c r="AT35" i="1"/>
  <c r="AQ35" i="1"/>
  <c r="AT1485" i="1"/>
  <c r="AR1485" i="1"/>
  <c r="AQ1485" i="1"/>
  <c r="AN1485" i="1"/>
  <c r="AJ1485" i="1"/>
  <c r="AM1485" i="1"/>
  <c r="AI1485" i="1"/>
  <c r="AP1485" i="1"/>
  <c r="AL1485" i="1"/>
  <c r="AO1485" i="1"/>
  <c r="AK1485" i="1"/>
  <c r="AO31" i="1"/>
  <c r="AM31" i="1"/>
  <c r="AK31" i="1"/>
  <c r="AI31" i="1"/>
  <c r="AP31" i="1"/>
  <c r="AN31" i="1"/>
  <c r="AL31" i="1"/>
  <c r="AJ31" i="1"/>
  <c r="AN33" i="1"/>
  <c r="AJ33" i="1"/>
  <c r="AM33" i="1"/>
  <c r="AI33" i="1"/>
  <c r="AK33" i="1"/>
  <c r="AP33" i="1"/>
  <c r="AL33" i="1"/>
  <c r="AO33" i="1"/>
  <c r="AP35" i="1"/>
  <c r="AL35" i="1"/>
  <c r="AO35" i="1"/>
  <c r="AK35" i="1"/>
  <c r="AM35" i="1"/>
  <c r="AN35" i="1"/>
  <c r="AJ35" i="1"/>
  <c r="AI35" i="1"/>
  <c r="AP1225" i="1"/>
  <c r="AO1225" i="1"/>
  <c r="AL1225" i="1"/>
  <c r="AK1225" i="1"/>
  <c r="AI1225" i="1"/>
  <c r="AN1225" i="1"/>
  <c r="AM1225" i="1"/>
  <c r="AJ1225" i="1"/>
  <c r="AK29" i="1"/>
  <c r="AL29" i="1"/>
  <c r="AO29" i="1"/>
  <c r="AM29" i="1"/>
  <c r="AI29" i="1"/>
  <c r="AN29" i="1"/>
  <c r="AJ29" i="1"/>
  <c r="AP29" i="1"/>
  <c r="AA321" i="1"/>
  <c r="AA319" i="1"/>
  <c r="AA317" i="1"/>
  <c r="AA315" i="1"/>
  <c r="AX314" i="1"/>
  <c r="AW314" i="1"/>
  <c r="AX286" i="1"/>
  <c r="AW286" i="1"/>
  <c r="AA287" i="1"/>
  <c r="AD29" i="1" l="1"/>
  <c r="AE319" i="1"/>
  <c r="AB319" i="1"/>
  <c r="AE287" i="1"/>
  <c r="AB287" i="1"/>
  <c r="AE321" i="1"/>
  <c r="AB321" i="1"/>
  <c r="AE315" i="1"/>
  <c r="AB315" i="1"/>
  <c r="AE317" i="1"/>
  <c r="AB317" i="1"/>
  <c r="AC317" i="1"/>
  <c r="AD317" i="1" s="1"/>
  <c r="AC287" i="1"/>
  <c r="AD287" i="1" s="1"/>
  <c r="AC319" i="1"/>
  <c r="AD319" i="1" s="1"/>
  <c r="AC315" i="1"/>
  <c r="AD315" i="1" s="1"/>
  <c r="AC321" i="1"/>
  <c r="AD321" i="1" s="1"/>
  <c r="AK321" i="1"/>
  <c r="AI321" i="1"/>
  <c r="AJ321" i="1"/>
  <c r="AI287" i="1"/>
  <c r="AK287" i="1"/>
  <c r="AJ287" i="1"/>
  <c r="AJ319" i="1"/>
  <c r="AI319" i="1"/>
  <c r="AK319" i="1"/>
  <c r="AK317" i="1"/>
  <c r="AJ317" i="1"/>
  <c r="AI317" i="1"/>
  <c r="AJ315" i="1"/>
  <c r="AI315" i="1"/>
  <c r="AK315" i="1"/>
  <c r="AA1483" i="1"/>
  <c r="AA1481" i="1"/>
  <c r="AA1479" i="1"/>
  <c r="AA1477" i="1"/>
  <c r="AE1481" i="1" l="1"/>
  <c r="AB1481" i="1"/>
  <c r="AE1483" i="1"/>
  <c r="AB1483" i="1"/>
  <c r="AE1477" i="1"/>
  <c r="AB1477" i="1"/>
  <c r="AE1479" i="1"/>
  <c r="AB1479" i="1"/>
  <c r="AC1483" i="1"/>
  <c r="AD1483" i="1" s="1"/>
  <c r="AC1477" i="1"/>
  <c r="AD1477" i="1" s="1"/>
  <c r="AC1481" i="1"/>
  <c r="AD1481" i="1" s="1"/>
  <c r="AC1479" i="1"/>
  <c r="AD1479" i="1" s="1"/>
  <c r="AQ1477" i="1"/>
  <c r="AR1477" i="1"/>
  <c r="AT1477" i="1"/>
  <c r="AR1479" i="1"/>
  <c r="AQ1479" i="1"/>
  <c r="AT1479" i="1"/>
  <c r="AR1483" i="1"/>
  <c r="AQ1483" i="1"/>
  <c r="AT1483" i="1"/>
  <c r="AQ1481" i="1"/>
  <c r="AT1481" i="1"/>
  <c r="AR1481" i="1"/>
  <c r="AO1481" i="1"/>
  <c r="AK1481" i="1"/>
  <c r="AN1481" i="1"/>
  <c r="AJ1481" i="1"/>
  <c r="AI1481" i="1"/>
  <c r="AM1481" i="1"/>
  <c r="AP1481" i="1"/>
  <c r="AL1481" i="1"/>
  <c r="AN1477" i="1"/>
  <c r="AP1477" i="1"/>
  <c r="AL1477" i="1"/>
  <c r="AM1477" i="1"/>
  <c r="AK1477" i="1"/>
  <c r="AJ1477" i="1"/>
  <c r="AO1477" i="1"/>
  <c r="AI1477" i="1"/>
  <c r="AP1479" i="1"/>
  <c r="AL1479" i="1"/>
  <c r="AO1479" i="1"/>
  <c r="AK1479" i="1"/>
  <c r="AN1479" i="1"/>
  <c r="AJ1479" i="1"/>
  <c r="AM1479" i="1"/>
  <c r="AI1479" i="1"/>
  <c r="AM1483" i="1"/>
  <c r="AI1483" i="1"/>
  <c r="AP1483" i="1"/>
  <c r="AL1483" i="1"/>
  <c r="AO1483" i="1"/>
  <c r="AK1483" i="1"/>
  <c r="AJ1483" i="1"/>
  <c r="AN1483" i="1"/>
  <c r="BD1384" i="1" l="1"/>
  <c r="BC1384" i="1"/>
  <c r="BB1384" i="1"/>
  <c r="BA1384" i="1"/>
  <c r="AZ1384" i="1"/>
  <c r="AY1384" i="1"/>
  <c r="AX1384" i="1"/>
  <c r="AW1384" i="1"/>
  <c r="AV1384" i="1"/>
  <c r="AA1387" i="1"/>
  <c r="AA1385" i="1"/>
  <c r="Y1385" i="1" l="1"/>
  <c r="AE1385" i="1" s="1"/>
  <c r="AE1387" i="1"/>
  <c r="AB1387" i="1"/>
  <c r="AB1385" i="1"/>
  <c r="AC1385" i="1"/>
  <c r="AD1385" i="1" s="1"/>
  <c r="AC1387" i="1"/>
  <c r="AD1387" i="1" s="1"/>
  <c r="AT1385" i="1"/>
  <c r="AR1385" i="1"/>
  <c r="AQ1385" i="1"/>
  <c r="AQ1387" i="1"/>
  <c r="AT1387" i="1"/>
  <c r="AR1387" i="1"/>
  <c r="AN1385" i="1"/>
  <c r="AJ1385" i="1"/>
  <c r="AM1385" i="1"/>
  <c r="AI1385" i="1"/>
  <c r="AP1385" i="1"/>
  <c r="AL1385" i="1"/>
  <c r="AK1385" i="1"/>
  <c r="AO1385" i="1"/>
  <c r="AP1387" i="1"/>
  <c r="AL1387" i="1"/>
  <c r="AO1387" i="1"/>
  <c r="AK1387" i="1"/>
  <c r="AN1387" i="1"/>
  <c r="AJ1387" i="1"/>
  <c r="AM1387" i="1"/>
  <c r="AI1387" i="1"/>
  <c r="AY244" i="1"/>
  <c r="AX244" i="1"/>
  <c r="AW244" i="1"/>
  <c r="AV244" i="1"/>
  <c r="Y245" i="1" l="1"/>
  <c r="AE245" i="1" s="1"/>
  <c r="AC251" i="1"/>
  <c r="AD251" i="1" s="1"/>
  <c r="AC247" i="1"/>
  <c r="AD247" i="1" s="1"/>
  <c r="AC255" i="1"/>
  <c r="AD255" i="1" s="1"/>
  <c r="AC259" i="1"/>
  <c r="AD259" i="1" s="1"/>
  <c r="AC263" i="1"/>
  <c r="AD263" i="1" s="1"/>
  <c r="AC249" i="1"/>
  <c r="AD249" i="1" s="1"/>
  <c r="AC257" i="1"/>
  <c r="AD257" i="1" s="1"/>
  <c r="AC245" i="1"/>
  <c r="AD245" i="1" s="1"/>
  <c r="AC253" i="1"/>
  <c r="AD253" i="1" s="1"/>
  <c r="AC261" i="1"/>
  <c r="AD261" i="1" s="1"/>
  <c r="AT245" i="1"/>
  <c r="AR245" i="1"/>
  <c r="AQ245" i="1"/>
  <c r="AQ247" i="1"/>
  <c r="AR247" i="1"/>
  <c r="AT247" i="1"/>
  <c r="AT249" i="1"/>
  <c r="AR249" i="1"/>
  <c r="AQ249" i="1"/>
  <c r="AQ251" i="1"/>
  <c r="AT251" i="1"/>
  <c r="AR251" i="1"/>
  <c r="AT253" i="1"/>
  <c r="AR253" i="1"/>
  <c r="AQ253" i="1"/>
  <c r="AQ255" i="1"/>
  <c r="AR255" i="1"/>
  <c r="AT255" i="1"/>
  <c r="AT257" i="1"/>
  <c r="AR257" i="1"/>
  <c r="AQ257" i="1"/>
  <c r="AQ259" i="1"/>
  <c r="AT259" i="1"/>
  <c r="AR259" i="1"/>
  <c r="AT261" i="1"/>
  <c r="AR261" i="1"/>
  <c r="AQ261" i="1"/>
  <c r="AQ263" i="1"/>
  <c r="AR263" i="1"/>
  <c r="AT263" i="1"/>
  <c r="AN245" i="1"/>
  <c r="AJ245" i="1"/>
  <c r="AM245" i="1"/>
  <c r="AI245" i="1"/>
  <c r="AP245" i="1"/>
  <c r="AL245" i="1"/>
  <c r="AO245" i="1"/>
  <c r="AK245" i="1"/>
  <c r="AO247" i="1"/>
  <c r="AK247" i="1"/>
  <c r="AM247" i="1"/>
  <c r="AL247" i="1"/>
  <c r="AP247" i="1"/>
  <c r="AJ247" i="1"/>
  <c r="AN247" i="1"/>
  <c r="AI247" i="1"/>
  <c r="AO249" i="1"/>
  <c r="AK249" i="1"/>
  <c r="AM249" i="1"/>
  <c r="AI249" i="1"/>
  <c r="AJ249" i="1"/>
  <c r="AP249" i="1"/>
  <c r="AN249" i="1"/>
  <c r="AL249" i="1"/>
  <c r="AM251" i="1"/>
  <c r="AI251" i="1"/>
  <c r="AO251" i="1"/>
  <c r="AK251" i="1"/>
  <c r="AP251" i="1"/>
  <c r="AN251" i="1"/>
  <c r="AL251" i="1"/>
  <c r="AJ251" i="1"/>
  <c r="AO253" i="1"/>
  <c r="AK253" i="1"/>
  <c r="AM253" i="1"/>
  <c r="AI253" i="1"/>
  <c r="AN253" i="1"/>
  <c r="AL253" i="1"/>
  <c r="AJ253" i="1"/>
  <c r="AP253" i="1"/>
  <c r="AM255" i="1"/>
  <c r="AI255" i="1"/>
  <c r="AO255" i="1"/>
  <c r="AK255" i="1"/>
  <c r="AL255" i="1"/>
  <c r="AJ255" i="1"/>
  <c r="AP255" i="1"/>
  <c r="AN255" i="1"/>
  <c r="AO257" i="1"/>
  <c r="AK257" i="1"/>
  <c r="AM257" i="1"/>
  <c r="AI257" i="1"/>
  <c r="AJ257" i="1"/>
  <c r="AP257" i="1"/>
  <c r="AN257" i="1"/>
  <c r="AL257" i="1"/>
  <c r="AM259" i="1"/>
  <c r="AI259" i="1"/>
  <c r="AO259" i="1"/>
  <c r="AK259" i="1"/>
  <c r="AP259" i="1"/>
  <c r="AN259" i="1"/>
  <c r="AL259" i="1"/>
  <c r="AJ259" i="1"/>
  <c r="AO261" i="1"/>
  <c r="AK261" i="1"/>
  <c r="AM261" i="1"/>
  <c r="AI261" i="1"/>
  <c r="AN261" i="1"/>
  <c r="AL261" i="1"/>
  <c r="AJ261" i="1"/>
  <c r="AP261" i="1"/>
  <c r="AM263" i="1"/>
  <c r="AI263" i="1"/>
  <c r="AO263" i="1"/>
  <c r="AK263" i="1"/>
  <c r="AL263" i="1"/>
  <c r="AJ263" i="1"/>
  <c r="AP263" i="1"/>
  <c r="AN263" i="1"/>
  <c r="AX184" i="1"/>
  <c r="AW184" i="1"/>
  <c r="AV184" i="1"/>
  <c r="Y185" i="1" l="1"/>
  <c r="AE185" i="1" s="1"/>
  <c r="AZ746" i="1"/>
  <c r="AV36" i="1"/>
  <c r="AW36" i="1"/>
  <c r="AX36" i="1"/>
  <c r="AY36" i="1"/>
  <c r="AZ36" i="1"/>
  <c r="BA36" i="1"/>
  <c r="BB36" i="1"/>
  <c r="BC36" i="1"/>
  <c r="BD36" i="1" s="1"/>
  <c r="AV40" i="1"/>
  <c r="AW40" i="1"/>
  <c r="AX40" i="1"/>
  <c r="AY40" i="1"/>
  <c r="AZ40" i="1"/>
  <c r="BA40" i="1"/>
  <c r="BB40" i="1"/>
  <c r="BC40" i="1"/>
  <c r="BD40" i="1"/>
  <c r="AW52" i="1"/>
  <c r="AX52" i="1"/>
  <c r="AY52" i="1"/>
  <c r="AZ52" i="1"/>
  <c r="BA52" i="1"/>
  <c r="BB52" i="1"/>
  <c r="BC52" i="1"/>
  <c r="BD52" i="1"/>
  <c r="AA83" i="1"/>
  <c r="AA85" i="1"/>
  <c r="AW92" i="1"/>
  <c r="AX92" i="1"/>
  <c r="AA93" i="1"/>
  <c r="AV94" i="1"/>
  <c r="AW94" i="1"/>
  <c r="AX94" i="1"/>
  <c r="AA95" i="1"/>
  <c r="AA97" i="1"/>
  <c r="AA99" i="1"/>
  <c r="AA101" i="1"/>
  <c r="AA103" i="1"/>
  <c r="AA105" i="1"/>
  <c r="AA107" i="1"/>
  <c r="AW108" i="1"/>
  <c r="AX108" i="1"/>
  <c r="AA109" i="1"/>
  <c r="AA111" i="1"/>
  <c r="AA113" i="1"/>
  <c r="AA115" i="1"/>
  <c r="AW174" i="1"/>
  <c r="AX174" i="1"/>
  <c r="AY174" i="1"/>
  <c r="AZ174" i="1"/>
  <c r="AW178" i="1"/>
  <c r="AX178" i="1"/>
  <c r="AY178" i="1"/>
  <c r="AV180" i="1"/>
  <c r="AW180" i="1"/>
  <c r="AX180" i="1"/>
  <c r="AW182" i="1"/>
  <c r="AX182" i="1"/>
  <c r="AY182" i="1"/>
  <c r="AY184" i="1"/>
  <c r="AW186" i="1"/>
  <c r="AX186" i="1"/>
  <c r="AY186" i="1"/>
  <c r="AV188" i="1"/>
  <c r="AW188" i="1"/>
  <c r="AX188" i="1"/>
  <c r="AW190" i="1"/>
  <c r="AX190" i="1"/>
  <c r="AY190" i="1"/>
  <c r="AV192" i="1"/>
  <c r="AW192" i="1"/>
  <c r="AX192" i="1"/>
  <c r="AX200" i="1"/>
  <c r="AW228" i="1"/>
  <c r="AX228" i="1"/>
  <c r="AY228" i="1"/>
  <c r="AZ228" i="1"/>
  <c r="BA228" i="1"/>
  <c r="AW280" i="1"/>
  <c r="AX280" i="1"/>
  <c r="AW288" i="1"/>
  <c r="AX288" i="1"/>
  <c r="AW322" i="1"/>
  <c r="AX322" i="1"/>
  <c r="AY322" i="1"/>
  <c r="AX358" i="1"/>
  <c r="AV396" i="1"/>
  <c r="AW396" i="1"/>
  <c r="AX396" i="1"/>
  <c r="AY396" i="1"/>
  <c r="AZ396" i="1"/>
  <c r="BA396" i="1"/>
  <c r="BB396" i="1"/>
  <c r="BC396" i="1"/>
  <c r="BD396" i="1"/>
  <c r="BE396" i="1"/>
  <c r="BF396" i="1"/>
  <c r="BG396" i="1"/>
  <c r="BH396" i="1"/>
  <c r="BI396" i="1"/>
  <c r="BA434" i="1"/>
  <c r="BB434" i="1"/>
  <c r="AZ496" i="1"/>
  <c r="BA496" i="1"/>
  <c r="AW504" i="1"/>
  <c r="AX504" i="1"/>
  <c r="AV514" i="1"/>
  <c r="AW514" i="1"/>
  <c r="AX514" i="1"/>
  <c r="AY514" i="1"/>
  <c r="AZ514" i="1"/>
  <c r="AX530" i="1"/>
  <c r="AW532" i="1"/>
  <c r="AX532" i="1"/>
  <c r="AW538" i="1"/>
  <c r="AX538" i="1"/>
  <c r="AW542" i="1"/>
  <c r="AX542" i="1"/>
  <c r="AY542" i="1"/>
  <c r="AZ542" i="1"/>
  <c r="BA542" i="1"/>
  <c r="AW554" i="1"/>
  <c r="AX554" i="1"/>
  <c r="AV566" i="1"/>
  <c r="AW566" i="1"/>
  <c r="AX566" i="1"/>
  <c r="AY566" i="1"/>
  <c r="AZ568" i="1"/>
  <c r="AW586" i="1"/>
  <c r="AX586" i="1"/>
  <c r="AY586" i="1"/>
  <c r="AZ586" i="1"/>
  <c r="AW588" i="1"/>
  <c r="AX588" i="1"/>
  <c r="AV589" i="1"/>
  <c r="AW589" i="1"/>
  <c r="AX589" i="1"/>
  <c r="AW602" i="1"/>
  <c r="AX602" i="1"/>
  <c r="AY602" i="1"/>
  <c r="AZ602" i="1"/>
  <c r="AY624" i="1"/>
  <c r="AY662" i="1"/>
  <c r="AZ662" i="1"/>
  <c r="AX666" i="1"/>
  <c r="AW696" i="1"/>
  <c r="AX696" i="1"/>
  <c r="AY696" i="1"/>
  <c r="AZ696" i="1"/>
  <c r="AV720" i="1"/>
  <c r="Y721" i="1" s="1"/>
  <c r="AE721" i="1" s="1"/>
  <c r="AW720" i="1"/>
  <c r="AX720" i="1"/>
  <c r="AY720" i="1"/>
  <c r="AZ720" i="1"/>
  <c r="AV721" i="1"/>
  <c r="AW721" i="1"/>
  <c r="AX721" i="1"/>
  <c r="AY721" i="1"/>
  <c r="AZ721" i="1"/>
  <c r="AV766" i="1"/>
  <c r="AW766" i="1"/>
  <c r="AX766" i="1"/>
  <c r="AY766" i="1"/>
  <c r="AZ766" i="1"/>
  <c r="AA767" i="1"/>
  <c r="AX774" i="1"/>
  <c r="AV830" i="1"/>
  <c r="AW830" i="1"/>
  <c r="AX830" i="1"/>
  <c r="AY830" i="1"/>
  <c r="AZ830" i="1"/>
  <c r="BA830" i="1"/>
  <c r="BB830" i="1"/>
  <c r="AV838" i="1"/>
  <c r="AW838" i="1"/>
  <c r="AX838" i="1"/>
  <c r="AY838" i="1"/>
  <c r="AZ838" i="1"/>
  <c r="BA838" i="1"/>
  <c r="BB838" i="1"/>
  <c r="BC838" i="1"/>
  <c r="BD838" i="1"/>
  <c r="AV850" i="1"/>
  <c r="AW850" i="1"/>
  <c r="AX850" i="1"/>
  <c r="AY850" i="1"/>
  <c r="AZ850" i="1"/>
  <c r="BA850" i="1"/>
  <c r="BB850" i="1"/>
  <c r="BC850" i="1"/>
  <c r="BD850" i="1"/>
  <c r="AV858" i="1"/>
  <c r="AW858" i="1"/>
  <c r="AX858" i="1"/>
  <c r="AY858" i="1"/>
  <c r="AZ858" i="1"/>
  <c r="BA858" i="1"/>
  <c r="AV936" i="1"/>
  <c r="AW936" i="1"/>
  <c r="AX936" i="1"/>
  <c r="AY936" i="1"/>
  <c r="AZ936" i="1"/>
  <c r="AX940" i="1"/>
  <c r="AY940" i="1"/>
  <c r="AW1000" i="1"/>
  <c r="AX1000" i="1"/>
  <c r="AW1110" i="1"/>
  <c r="AX1110" i="1"/>
  <c r="AV1144" i="1"/>
  <c r="AW1144" i="1"/>
  <c r="AX1144" i="1"/>
  <c r="AV1148" i="1"/>
  <c r="AW1148" i="1"/>
  <c r="AX1148" i="1"/>
  <c r="AW1188" i="1"/>
  <c r="AW1200" i="1"/>
  <c r="AV1212" i="1"/>
  <c r="AW1212" i="1"/>
  <c r="AX1212" i="1"/>
  <c r="AW1236" i="1"/>
  <c r="AX1236" i="1"/>
  <c r="AX1286" i="1"/>
  <c r="AX1114" i="1"/>
  <c r="AY1120" i="1"/>
  <c r="AV1156" i="1"/>
  <c r="AW1156" i="1"/>
  <c r="AX1156" i="1"/>
  <c r="AY1156" i="1"/>
  <c r="AZ1156" i="1"/>
  <c r="BA1156" i="1"/>
  <c r="BB1156" i="1"/>
  <c r="BC1156" i="1"/>
  <c r="BD1156" i="1"/>
  <c r="BE1156" i="1"/>
  <c r="AW1328" i="1"/>
  <c r="AX1328" i="1"/>
  <c r="AY1328" i="1"/>
  <c r="AZ1328" i="1"/>
  <c r="AV1272" i="1"/>
  <c r="AW1272" i="1"/>
  <c r="AX1272" i="1"/>
  <c r="AY1272" i="1"/>
  <c r="AZ1272" i="1"/>
  <c r="BA1272" i="1"/>
  <c r="BB1272" i="1"/>
  <c r="BC1272" i="1"/>
  <c r="BD1272" i="1"/>
  <c r="BE1272" i="1"/>
  <c r="BF1272" i="1"/>
  <c r="BG1272" i="1"/>
  <c r="BH1272" i="1"/>
  <c r="BI1272" i="1"/>
  <c r="BJ1272" i="1"/>
  <c r="AA1357" i="1"/>
  <c r="AA1359" i="1"/>
  <c r="AW1374" i="1"/>
  <c r="AX1374" i="1"/>
  <c r="AW1390" i="1"/>
  <c r="AX1390" i="1"/>
  <c r="AW1422" i="1"/>
  <c r="AX1422" i="1"/>
  <c r="AY1422" i="1"/>
  <c r="AZ1422" i="1"/>
  <c r="Y1435" i="1"/>
  <c r="AE1435" i="1" s="1"/>
  <c r="AX1436" i="1"/>
  <c r="AX1474" i="1"/>
  <c r="AY1474" i="1"/>
  <c r="AA1507" i="1" l="1"/>
  <c r="AA1506" i="1"/>
  <c r="AA1505" i="1"/>
  <c r="AA1504" i="1"/>
  <c r="AA1503" i="1"/>
  <c r="Y937" i="1"/>
  <c r="AE937" i="1" s="1"/>
  <c r="Y839" i="1"/>
  <c r="AE839" i="1" s="1"/>
  <c r="AF721" i="1"/>
  <c r="Y181" i="1"/>
  <c r="AE181" i="1" s="1"/>
  <c r="Y1149" i="1"/>
  <c r="AE1149" i="1" s="1"/>
  <c r="Y567" i="1"/>
  <c r="AE567" i="1" s="1"/>
  <c r="Y1157" i="1"/>
  <c r="AE1157" i="1" s="1"/>
  <c r="Y1213" i="1"/>
  <c r="AE1213" i="1" s="1"/>
  <c r="Y1145" i="1"/>
  <c r="AE1145" i="1" s="1"/>
  <c r="Y41" i="1"/>
  <c r="AE41" i="1" s="1"/>
  <c r="Y37" i="1"/>
  <c r="AE37" i="1" s="1"/>
  <c r="Y859" i="1"/>
  <c r="AE859" i="1" s="1"/>
  <c r="Y767" i="1"/>
  <c r="Y189" i="1"/>
  <c r="AE189" i="1" s="1"/>
  <c r="Y1273" i="1"/>
  <c r="AE1273" i="1" s="1"/>
  <c r="Y851" i="1"/>
  <c r="AE851" i="1" s="1"/>
  <c r="Y831" i="1"/>
  <c r="AE831" i="1" s="1"/>
  <c r="AF589" i="1"/>
  <c r="Y397" i="1"/>
  <c r="AE397" i="1" s="1"/>
  <c r="Y95" i="1"/>
  <c r="AE95" i="1" s="1"/>
  <c r="Y515" i="1"/>
  <c r="AE515" i="1" s="1"/>
  <c r="Y193" i="1"/>
  <c r="AE193" i="1" s="1"/>
  <c r="AG589" i="1"/>
  <c r="AE115" i="1"/>
  <c r="AB115" i="1"/>
  <c r="AE103" i="1"/>
  <c r="AB103" i="1"/>
  <c r="AE1359" i="1"/>
  <c r="AB1359" i="1"/>
  <c r="AE1357" i="1"/>
  <c r="AB1357" i="1"/>
  <c r="AE113" i="1"/>
  <c r="AB113" i="1"/>
  <c r="AE93" i="1"/>
  <c r="AB93" i="1"/>
  <c r="AB767" i="1"/>
  <c r="AE111" i="1"/>
  <c r="AB111" i="1"/>
  <c r="AE101" i="1"/>
  <c r="AB101" i="1"/>
  <c r="AE109" i="1"/>
  <c r="AB109" i="1"/>
  <c r="AE99" i="1"/>
  <c r="AB99" i="1"/>
  <c r="AE105" i="1"/>
  <c r="AB105" i="1"/>
  <c r="AE97" i="1"/>
  <c r="AB97" i="1"/>
  <c r="AE85" i="1"/>
  <c r="AB85" i="1"/>
  <c r="AB95" i="1"/>
  <c r="AE83" i="1"/>
  <c r="AB83" i="1"/>
  <c r="AE107" i="1"/>
  <c r="AB107" i="1"/>
  <c r="AG721" i="1"/>
  <c r="BE36" i="1"/>
  <c r="AC1137" i="1" s="1"/>
  <c r="AD1137" i="1" s="1"/>
  <c r="AC1305" i="1"/>
  <c r="AD1305" i="1" s="1"/>
  <c r="AC1291" i="1"/>
  <c r="AD1291" i="1" s="1"/>
  <c r="AC1215" i="1"/>
  <c r="AD1215" i="1" s="1"/>
  <c r="AC1007" i="1"/>
  <c r="AD1007" i="1" s="1"/>
  <c r="AC533" i="1"/>
  <c r="AD533" i="1" s="1"/>
  <c r="AC507" i="1"/>
  <c r="AD507" i="1" s="1"/>
  <c r="AC327" i="1"/>
  <c r="AD327" i="1" s="1"/>
  <c r="AC323" i="1"/>
  <c r="AD323" i="1" s="1"/>
  <c r="AC1151" i="1"/>
  <c r="AD1151" i="1" s="1"/>
  <c r="AC767" i="1"/>
  <c r="AD767" i="1" s="1"/>
  <c r="AC721" i="1"/>
  <c r="AD721" i="1" s="1"/>
  <c r="AC605" i="1"/>
  <c r="AD605" i="1" s="1"/>
  <c r="AC587" i="1"/>
  <c r="AD587" i="1" s="1"/>
  <c r="AC283" i="1"/>
  <c r="AD283" i="1" s="1"/>
  <c r="AC203" i="1"/>
  <c r="AD203" i="1" s="1"/>
  <c r="AC1357" i="1"/>
  <c r="AD1357" i="1" s="1"/>
  <c r="AC1205" i="1"/>
  <c r="AD1205" i="1" s="1"/>
  <c r="AC1201" i="1"/>
  <c r="AD1201" i="1" s="1"/>
  <c r="AC1189" i="1"/>
  <c r="AD1189" i="1" s="1"/>
  <c r="AC1187" i="1"/>
  <c r="AD1187" i="1" s="1"/>
  <c r="AC1185" i="1"/>
  <c r="AD1185" i="1" s="1"/>
  <c r="AC1159" i="1"/>
  <c r="AD1159" i="1" s="1"/>
  <c r="AC1005" i="1"/>
  <c r="AD1005" i="1" s="1"/>
  <c r="AC873" i="1"/>
  <c r="AD873" i="1" s="1"/>
  <c r="AC853" i="1"/>
  <c r="AD853" i="1" s="1"/>
  <c r="AC733" i="1"/>
  <c r="AD733" i="1" s="1"/>
  <c r="AC625" i="1"/>
  <c r="AD625" i="1" s="1"/>
  <c r="AC589" i="1"/>
  <c r="AD589" i="1" s="1"/>
  <c r="AC545" i="1"/>
  <c r="AD545" i="1" s="1"/>
  <c r="AC531" i="1"/>
  <c r="AD531" i="1" s="1"/>
  <c r="AC505" i="1"/>
  <c r="AD505" i="1" s="1"/>
  <c r="AC437" i="1"/>
  <c r="AD437" i="1" s="1"/>
  <c r="AC299" i="1"/>
  <c r="AD299" i="1" s="1"/>
  <c r="AC281" i="1"/>
  <c r="AD281" i="1" s="1"/>
  <c r="AC233" i="1"/>
  <c r="AD233" i="1" s="1"/>
  <c r="AC201" i="1"/>
  <c r="AD201" i="1" s="1"/>
  <c r="AD141" i="1"/>
  <c r="AC113" i="1"/>
  <c r="AD113" i="1" s="1"/>
  <c r="AC109" i="1"/>
  <c r="AD109" i="1" s="1"/>
  <c r="AC105" i="1"/>
  <c r="AD105" i="1" s="1"/>
  <c r="AC99" i="1"/>
  <c r="AD99" i="1" s="1"/>
  <c r="AC95" i="1"/>
  <c r="AD95" i="1" s="1"/>
  <c r="AC83" i="1"/>
  <c r="AD83" i="1" s="1"/>
  <c r="AC81" i="1"/>
  <c r="AD81" i="1" s="1"/>
  <c r="AC57" i="1"/>
  <c r="AD57" i="1" s="1"/>
  <c r="AC1193" i="1"/>
  <c r="AD1193" i="1" s="1"/>
  <c r="AC1197" i="1"/>
  <c r="AD1197" i="1" s="1"/>
  <c r="AC1381" i="1"/>
  <c r="AD1381" i="1" s="1"/>
  <c r="AC1297" i="1"/>
  <c r="AD1297" i="1" s="1"/>
  <c r="AC1287" i="1"/>
  <c r="AD1287" i="1" s="1"/>
  <c r="AC1209" i="1"/>
  <c r="AD1209" i="1" s="1"/>
  <c r="AC1303" i="1"/>
  <c r="AD1303" i="1" s="1"/>
  <c r="AC1247" i="1"/>
  <c r="AD1247" i="1" s="1"/>
  <c r="AC1239" i="1"/>
  <c r="AD1239" i="1" s="1"/>
  <c r="AC1003" i="1"/>
  <c r="AD1003" i="1" s="1"/>
  <c r="AC731" i="1"/>
  <c r="AD731" i="1" s="1"/>
  <c r="AC1213" i="1"/>
  <c r="AD1213" i="1" s="1"/>
  <c r="AC519" i="1"/>
  <c r="AD519" i="1" s="1"/>
  <c r="AC1425" i="1"/>
  <c r="AD1425" i="1" s="1"/>
  <c r="AC1115" i="1"/>
  <c r="AD1115" i="1" s="1"/>
  <c r="AC1293" i="1"/>
  <c r="AD1293" i="1" s="1"/>
  <c r="AC1251" i="1"/>
  <c r="AD1251" i="1" s="1"/>
  <c r="AC1243" i="1"/>
  <c r="AD1243" i="1" s="1"/>
  <c r="AC1219" i="1"/>
  <c r="AD1219" i="1" s="1"/>
  <c r="AC1113" i="1"/>
  <c r="AD1113" i="1" s="1"/>
  <c r="AC861" i="1"/>
  <c r="AD861" i="1" s="1"/>
  <c r="AC855" i="1"/>
  <c r="AD855" i="1" s="1"/>
  <c r="AC839" i="1"/>
  <c r="AD839" i="1" s="1"/>
  <c r="AC775" i="1"/>
  <c r="AD775" i="1" s="1"/>
  <c r="AC669" i="1"/>
  <c r="AD669" i="1" s="1"/>
  <c r="AC665" i="1"/>
  <c r="AD665" i="1" s="1"/>
  <c r="AC569" i="1"/>
  <c r="AD569" i="1" s="1"/>
  <c r="AC567" i="1"/>
  <c r="AD567" i="1" s="1"/>
  <c r="AC537" i="1"/>
  <c r="AD537" i="1" s="1"/>
  <c r="AC515" i="1"/>
  <c r="AD515" i="1" s="1"/>
  <c r="AC435" i="1"/>
  <c r="AD435" i="1" s="1"/>
  <c r="AC289" i="1"/>
  <c r="AD289" i="1" s="1"/>
  <c r="AC207" i="1"/>
  <c r="AD207" i="1" s="1"/>
  <c r="AC191" i="1"/>
  <c r="AD191" i="1" s="1"/>
  <c r="AC177" i="1"/>
  <c r="AD177" i="1" s="1"/>
  <c r="AC59" i="1"/>
  <c r="AD59" i="1" s="1"/>
  <c r="AC1119" i="1"/>
  <c r="AD1119" i="1" s="1"/>
  <c r="AC1289" i="1"/>
  <c r="AD1289" i="1" s="1"/>
  <c r="AC1255" i="1"/>
  <c r="AD1255" i="1" s="1"/>
  <c r="AC1223" i="1"/>
  <c r="AD1223" i="1" s="1"/>
  <c r="AC1147" i="1"/>
  <c r="AD1147" i="1" s="1"/>
  <c r="AC863" i="1"/>
  <c r="AD863" i="1" s="1"/>
  <c r="AC851" i="1"/>
  <c r="AD851" i="1" s="1"/>
  <c r="AC779" i="1"/>
  <c r="AD779" i="1" s="1"/>
  <c r="AC717" i="1"/>
  <c r="AD717" i="1" s="1"/>
  <c r="AC541" i="1"/>
  <c r="AD541" i="1" s="1"/>
  <c r="AC439" i="1"/>
  <c r="AD439" i="1" s="1"/>
  <c r="AC359" i="1"/>
  <c r="AD359" i="1" s="1"/>
  <c r="AC325" i="1"/>
  <c r="AD325" i="1" s="1"/>
  <c r="AC313" i="1"/>
  <c r="AD313" i="1" s="1"/>
  <c r="AC309" i="1"/>
  <c r="AD309" i="1" s="1"/>
  <c r="AC293" i="1"/>
  <c r="AD293" i="1" s="1"/>
  <c r="AC79" i="1"/>
  <c r="AD79" i="1" s="1"/>
  <c r="AC55" i="1"/>
  <c r="AD55" i="1" s="1"/>
  <c r="AC47" i="1"/>
  <c r="AD47" i="1" s="1"/>
  <c r="AC1435" i="1"/>
  <c r="AD1435" i="1" s="1"/>
  <c r="AC1391" i="1"/>
  <c r="AD1391" i="1" s="1"/>
  <c r="AC1375" i="1"/>
  <c r="AD1375" i="1" s="1"/>
  <c r="AC1273" i="1"/>
  <c r="AD1273" i="1" s="1"/>
  <c r="AC1331" i="1"/>
  <c r="AD1331" i="1" s="1"/>
  <c r="AC1123" i="1"/>
  <c r="AD1123" i="1" s="1"/>
  <c r="AC995" i="1"/>
  <c r="AD995" i="1" s="1"/>
  <c r="AC1299" i="1"/>
  <c r="AD1299" i="1" s="1"/>
  <c r="AC1249" i="1"/>
  <c r="AD1249" i="1" s="1"/>
  <c r="AC1241" i="1"/>
  <c r="AD1241" i="1" s="1"/>
  <c r="AC1217" i="1"/>
  <c r="AD1217" i="1" s="1"/>
  <c r="AC1161" i="1"/>
  <c r="AD1161" i="1" s="1"/>
  <c r="AC1111" i="1"/>
  <c r="AD1111" i="1" s="1"/>
  <c r="AC947" i="1"/>
  <c r="AD947" i="1" s="1"/>
  <c r="AC943" i="1"/>
  <c r="AD943" i="1" s="1"/>
  <c r="AC849" i="1"/>
  <c r="AD849" i="1" s="1"/>
  <c r="AC667" i="1"/>
  <c r="AD667" i="1" s="1"/>
  <c r="AC603" i="1"/>
  <c r="AD603" i="1" s="1"/>
  <c r="AC571" i="1"/>
  <c r="AD571" i="1" s="1"/>
  <c r="AC555" i="1"/>
  <c r="AD555" i="1" s="1"/>
  <c r="AC535" i="1"/>
  <c r="AD535" i="1" s="1"/>
  <c r="AC517" i="1"/>
  <c r="AD517" i="1" s="1"/>
  <c r="AC509" i="1"/>
  <c r="AD509" i="1" s="1"/>
  <c r="AC441" i="1"/>
  <c r="AD441" i="1" s="1"/>
  <c r="AC285" i="1"/>
  <c r="AD285" i="1" s="1"/>
  <c r="AC235" i="1"/>
  <c r="AD235" i="1" s="1"/>
  <c r="AC205" i="1"/>
  <c r="AD205" i="1" s="1"/>
  <c r="AC189" i="1"/>
  <c r="AD189" i="1" s="1"/>
  <c r="AC179" i="1"/>
  <c r="AD179" i="1" s="1"/>
  <c r="AC85" i="1"/>
  <c r="AD85" i="1" s="1"/>
  <c r="AC77" i="1"/>
  <c r="AD77" i="1" s="1"/>
  <c r="AC69" i="1"/>
  <c r="AD69" i="1" s="1"/>
  <c r="AC53" i="1"/>
  <c r="AD53" i="1" s="1"/>
  <c r="AC45" i="1"/>
  <c r="AD45" i="1" s="1"/>
  <c r="AC1441" i="1"/>
  <c r="AD1441" i="1" s="1"/>
  <c r="AC1359" i="1"/>
  <c r="AD1359" i="1" s="1"/>
  <c r="AC1351" i="1"/>
  <c r="AD1351" i="1" s="1"/>
  <c r="AC937" i="1"/>
  <c r="AD937" i="1" s="1"/>
  <c r="AC865" i="1"/>
  <c r="AD865" i="1" s="1"/>
  <c r="AC847" i="1"/>
  <c r="AD847" i="1" s="1"/>
  <c r="AC831" i="1"/>
  <c r="AD831" i="1" s="1"/>
  <c r="AC719" i="1"/>
  <c r="AD719" i="1" s="1"/>
  <c r="AC397" i="1"/>
  <c r="AD397" i="1" s="1"/>
  <c r="AC297" i="1"/>
  <c r="AD297" i="1" s="1"/>
  <c r="AC193" i="1"/>
  <c r="AD193" i="1" s="1"/>
  <c r="AC183" i="1"/>
  <c r="AD183" i="1" s="1"/>
  <c r="AC75" i="1"/>
  <c r="AD75" i="1" s="1"/>
  <c r="AC67" i="1"/>
  <c r="AD67" i="1" s="1"/>
  <c r="AC51" i="1"/>
  <c r="AD51" i="1" s="1"/>
  <c r="AC43" i="1"/>
  <c r="AD43" i="1" s="1"/>
  <c r="AC747" i="1"/>
  <c r="AD747" i="1" s="1"/>
  <c r="AC1423" i="1"/>
  <c r="AD1423" i="1" s="1"/>
  <c r="AC1377" i="1"/>
  <c r="AD1377" i="1" s="1"/>
  <c r="AC1117" i="1"/>
  <c r="AD1117" i="1" s="1"/>
  <c r="AC1301" i="1"/>
  <c r="AD1301" i="1" s="1"/>
  <c r="AC1253" i="1"/>
  <c r="AD1253" i="1" s="1"/>
  <c r="AC1221" i="1"/>
  <c r="AD1221" i="1" s="1"/>
  <c r="AC1211" i="1"/>
  <c r="AD1211" i="1" s="1"/>
  <c r="AC1207" i="1"/>
  <c r="AD1207" i="1" s="1"/>
  <c r="AC1203" i="1"/>
  <c r="AD1203" i="1" s="1"/>
  <c r="AC1199" i="1"/>
  <c r="AD1199" i="1" s="1"/>
  <c r="AC1195" i="1"/>
  <c r="AD1195" i="1" s="1"/>
  <c r="AC1191" i="1"/>
  <c r="AD1191" i="1" s="1"/>
  <c r="AC1163" i="1"/>
  <c r="AD1163" i="1" s="1"/>
  <c r="AC1145" i="1"/>
  <c r="AD1145" i="1" s="1"/>
  <c r="AC845" i="1"/>
  <c r="AD845" i="1" s="1"/>
  <c r="AC833" i="1"/>
  <c r="AD833" i="1" s="1"/>
  <c r="AC777" i="1"/>
  <c r="AD777" i="1" s="1"/>
  <c r="AC697" i="1"/>
  <c r="AD697" i="1" s="1"/>
  <c r="AC663" i="1"/>
  <c r="AD663" i="1" s="1"/>
  <c r="AC627" i="1"/>
  <c r="AD627" i="1" s="1"/>
  <c r="AC539" i="1"/>
  <c r="AD539" i="1" s="1"/>
  <c r="AC497" i="1"/>
  <c r="AD497" i="1" s="1"/>
  <c r="AC291" i="1"/>
  <c r="AD291" i="1" s="1"/>
  <c r="AC237" i="1"/>
  <c r="AD237" i="1" s="1"/>
  <c r="AC229" i="1"/>
  <c r="AD229" i="1" s="1"/>
  <c r="AC175" i="1"/>
  <c r="AD175" i="1" s="1"/>
  <c r="AC165" i="1"/>
  <c r="AD165" i="1" s="1"/>
  <c r="AC163" i="1"/>
  <c r="AD163" i="1" s="1"/>
  <c r="AC161" i="1"/>
  <c r="AD161" i="1" s="1"/>
  <c r="AC159" i="1"/>
  <c r="AD159" i="1" s="1"/>
  <c r="AC157" i="1"/>
  <c r="AD157" i="1" s="1"/>
  <c r="AC155" i="1"/>
  <c r="AD155" i="1" s="1"/>
  <c r="AC153" i="1"/>
  <c r="AD153" i="1" s="1"/>
  <c r="AC151" i="1"/>
  <c r="AD151" i="1" s="1"/>
  <c r="AC115" i="1"/>
  <c r="AD115" i="1" s="1"/>
  <c r="AC111" i="1"/>
  <c r="AD111" i="1" s="1"/>
  <c r="AC107" i="1"/>
  <c r="AD107" i="1" s="1"/>
  <c r="AC103" i="1"/>
  <c r="AD103" i="1" s="1"/>
  <c r="AC101" i="1"/>
  <c r="AD101" i="1" s="1"/>
  <c r="AC97" i="1"/>
  <c r="AD97" i="1" s="1"/>
  <c r="AC93" i="1"/>
  <c r="AD93" i="1" s="1"/>
  <c r="AC73" i="1"/>
  <c r="AD73" i="1" s="1"/>
  <c r="AC65" i="1"/>
  <c r="AD65" i="1" s="1"/>
  <c r="AC49" i="1"/>
  <c r="AD49" i="1" s="1"/>
  <c r="AC749" i="1"/>
  <c r="AD749" i="1" s="1"/>
  <c r="AC871" i="1"/>
  <c r="AD871" i="1" s="1"/>
  <c r="AC859" i="1"/>
  <c r="AD859" i="1" s="1"/>
  <c r="AC843" i="1"/>
  <c r="AD843" i="1" s="1"/>
  <c r="AC835" i="1"/>
  <c r="AD835" i="1" s="1"/>
  <c r="AC399" i="1"/>
  <c r="AD399" i="1" s="1"/>
  <c r="AC311" i="1"/>
  <c r="AD311" i="1" s="1"/>
  <c r="AC307" i="1"/>
  <c r="AD307" i="1" s="1"/>
  <c r="AC71" i="1"/>
  <c r="AD71" i="1" s="1"/>
  <c r="AC63" i="1"/>
  <c r="AD63" i="1" s="1"/>
  <c r="AC41" i="1"/>
  <c r="AD41" i="1" s="1"/>
  <c r="AC39" i="1"/>
  <c r="AD39" i="1" s="1"/>
  <c r="AC1475" i="1"/>
  <c r="AD1475" i="1" s="1"/>
  <c r="AC1439" i="1"/>
  <c r="AD1439" i="1" s="1"/>
  <c r="AC1379" i="1"/>
  <c r="AD1379" i="1" s="1"/>
  <c r="AC1329" i="1"/>
  <c r="AD1329" i="1" s="1"/>
  <c r="AC1157" i="1"/>
  <c r="AD1157" i="1" s="1"/>
  <c r="AC1121" i="1"/>
  <c r="AD1121" i="1" s="1"/>
  <c r="AC1295" i="1"/>
  <c r="AD1295" i="1" s="1"/>
  <c r="AC1259" i="1"/>
  <c r="AD1259" i="1" s="1"/>
  <c r="AC1245" i="1"/>
  <c r="AD1245" i="1" s="1"/>
  <c r="AC1237" i="1"/>
  <c r="AD1237" i="1" s="1"/>
  <c r="AC1165" i="1"/>
  <c r="AD1165" i="1" s="1"/>
  <c r="AC1149" i="1"/>
  <c r="AD1149" i="1" s="1"/>
  <c r="AC1001" i="1"/>
  <c r="AD1001" i="1" s="1"/>
  <c r="AC945" i="1"/>
  <c r="AD945" i="1" s="1"/>
  <c r="AC941" i="1"/>
  <c r="AD941" i="1" s="1"/>
  <c r="AC857" i="1"/>
  <c r="AD857" i="1" s="1"/>
  <c r="AC841" i="1"/>
  <c r="AD841" i="1" s="1"/>
  <c r="AC837" i="1"/>
  <c r="AD837" i="1" s="1"/>
  <c r="AC781" i="1"/>
  <c r="AD781" i="1" s="1"/>
  <c r="AC543" i="1"/>
  <c r="AD543" i="1" s="1"/>
  <c r="AC499" i="1"/>
  <c r="AD499" i="1" s="1"/>
  <c r="AC361" i="1"/>
  <c r="AD361" i="1" s="1"/>
  <c r="AC295" i="1"/>
  <c r="AD295" i="1" s="1"/>
  <c r="AC239" i="1"/>
  <c r="AD239" i="1" s="1"/>
  <c r="AC231" i="1"/>
  <c r="AD231" i="1" s="1"/>
  <c r="AC187" i="1"/>
  <c r="AD187" i="1" s="1"/>
  <c r="AC181" i="1"/>
  <c r="AD181" i="1" s="1"/>
  <c r="AC61" i="1"/>
  <c r="AD61" i="1" s="1"/>
  <c r="AC1437" i="1"/>
  <c r="AD1437" i="1" s="1"/>
  <c r="AC185" i="1"/>
  <c r="AD185" i="1" s="1"/>
  <c r="AQ83" i="1"/>
  <c r="AT83" i="1"/>
  <c r="AR83" i="1"/>
  <c r="AT1297" i="1"/>
  <c r="AR1297" i="1"/>
  <c r="AQ1297" i="1"/>
  <c r="AT1287" i="1"/>
  <c r="AR1287" i="1"/>
  <c r="AQ1287" i="1"/>
  <c r="AT1221" i="1"/>
  <c r="AR1221" i="1"/>
  <c r="AQ1221" i="1"/>
  <c r="AT1213" i="1"/>
  <c r="AR1213" i="1"/>
  <c r="AQ1213" i="1"/>
  <c r="AT1209" i="1"/>
  <c r="AR1209" i="1"/>
  <c r="AQ1209" i="1"/>
  <c r="AR1203" i="1"/>
  <c r="AT1203" i="1"/>
  <c r="AQ1203" i="1"/>
  <c r="AR1199" i="1"/>
  <c r="AQ1199" i="1"/>
  <c r="AT1199" i="1"/>
  <c r="AT1193" i="1"/>
  <c r="AR1193" i="1"/>
  <c r="AQ1193" i="1"/>
  <c r="AT1189" i="1"/>
  <c r="AR1189" i="1"/>
  <c r="AQ1189" i="1"/>
  <c r="AT1185" i="1"/>
  <c r="AR1185" i="1"/>
  <c r="AQ1185" i="1"/>
  <c r="AT1163" i="1"/>
  <c r="AR1163" i="1"/>
  <c r="AQ1163" i="1"/>
  <c r="AT1145" i="1"/>
  <c r="AR1145" i="1"/>
  <c r="AQ1145" i="1"/>
  <c r="AR1005" i="1"/>
  <c r="AQ1005" i="1"/>
  <c r="AT1005" i="1"/>
  <c r="AT777" i="1"/>
  <c r="AR777" i="1"/>
  <c r="AQ777" i="1"/>
  <c r="AR81" i="1"/>
  <c r="AQ81" i="1"/>
  <c r="AT81" i="1"/>
  <c r="AR65" i="1"/>
  <c r="AT65" i="1"/>
  <c r="AQ65" i="1"/>
  <c r="AR57" i="1"/>
  <c r="AQ57" i="1"/>
  <c r="AT57" i="1"/>
  <c r="AT49" i="1"/>
  <c r="AR49" i="1"/>
  <c r="AQ49" i="1"/>
  <c r="AT749" i="1"/>
  <c r="AR749" i="1"/>
  <c r="AQ749" i="1"/>
  <c r="AT1119" i="1"/>
  <c r="AR1119" i="1"/>
  <c r="AQ1119" i="1"/>
  <c r="AR1305" i="1"/>
  <c r="AT1305" i="1"/>
  <c r="AQ1305" i="1"/>
  <c r="AT1289" i="1"/>
  <c r="AQ1289" i="1"/>
  <c r="AR1289" i="1"/>
  <c r="AR1291" i="1"/>
  <c r="AQ1291" i="1"/>
  <c r="AT1291" i="1"/>
  <c r="AT1255" i="1"/>
  <c r="AQ1255" i="1"/>
  <c r="AR1255" i="1"/>
  <c r="AT1223" i="1"/>
  <c r="AQ1223" i="1"/>
  <c r="AR1223" i="1"/>
  <c r="AR1215" i="1"/>
  <c r="AT1215" i="1"/>
  <c r="AQ1215" i="1"/>
  <c r="AQ1147" i="1"/>
  <c r="AT1147" i="1"/>
  <c r="AR1147" i="1"/>
  <c r="AT1007" i="1"/>
  <c r="AR1007" i="1"/>
  <c r="AQ1007" i="1"/>
  <c r="AR871" i="1"/>
  <c r="AQ871" i="1"/>
  <c r="AT871" i="1"/>
  <c r="AT863" i="1"/>
  <c r="AR863" i="1"/>
  <c r="AQ863" i="1"/>
  <c r="AR859" i="1"/>
  <c r="AQ859" i="1"/>
  <c r="AT859" i="1"/>
  <c r="AT851" i="1"/>
  <c r="AR851" i="1"/>
  <c r="AQ851" i="1"/>
  <c r="AT843" i="1"/>
  <c r="AR843" i="1"/>
  <c r="AQ843" i="1"/>
  <c r="AT835" i="1"/>
  <c r="AR835" i="1"/>
  <c r="AQ835" i="1"/>
  <c r="AR779" i="1"/>
  <c r="AT779" i="1"/>
  <c r="AQ779" i="1"/>
  <c r="AQ767" i="1"/>
  <c r="AT767" i="1"/>
  <c r="AR767" i="1"/>
  <c r="AT717" i="1"/>
  <c r="AR717" i="1"/>
  <c r="AQ717" i="1"/>
  <c r="AQ605" i="1"/>
  <c r="AT605" i="1"/>
  <c r="AR605" i="1"/>
  <c r="AT589" i="1"/>
  <c r="AR589" i="1"/>
  <c r="AQ589" i="1"/>
  <c r="AR587" i="1"/>
  <c r="AT587" i="1"/>
  <c r="AQ587" i="1"/>
  <c r="AT541" i="1"/>
  <c r="AR541" i="1"/>
  <c r="AQ541" i="1"/>
  <c r="AT533" i="1"/>
  <c r="AR533" i="1"/>
  <c r="AQ533" i="1"/>
  <c r="AT519" i="1"/>
  <c r="AR519" i="1"/>
  <c r="AQ519" i="1"/>
  <c r="AR507" i="1"/>
  <c r="AT507" i="1"/>
  <c r="AQ507" i="1"/>
  <c r="AT439" i="1"/>
  <c r="AR439" i="1"/>
  <c r="AQ439" i="1"/>
  <c r="AT399" i="1"/>
  <c r="AR399" i="1"/>
  <c r="AQ399" i="1"/>
  <c r="AT359" i="1"/>
  <c r="AR359" i="1"/>
  <c r="AQ359" i="1"/>
  <c r="AT327" i="1"/>
  <c r="AR327" i="1"/>
  <c r="AQ327" i="1"/>
  <c r="AQ325" i="1"/>
  <c r="AT325" i="1"/>
  <c r="AR325" i="1"/>
  <c r="AT323" i="1"/>
  <c r="AR323" i="1"/>
  <c r="AQ323" i="1"/>
  <c r="AT313" i="1"/>
  <c r="AR313" i="1"/>
  <c r="AQ313" i="1"/>
  <c r="AQ311" i="1"/>
  <c r="AT311" i="1"/>
  <c r="AR311" i="1"/>
  <c r="AT309" i="1"/>
  <c r="AR309" i="1"/>
  <c r="AQ309" i="1"/>
  <c r="AQ307" i="1"/>
  <c r="AR307" i="1"/>
  <c r="AT307" i="1"/>
  <c r="AQ293" i="1"/>
  <c r="AT293" i="1"/>
  <c r="AR293" i="1"/>
  <c r="AT283" i="1"/>
  <c r="AR283" i="1"/>
  <c r="AQ283" i="1"/>
  <c r="AQ203" i="1"/>
  <c r="AT203" i="1"/>
  <c r="AR203" i="1"/>
  <c r="AT71" i="1"/>
  <c r="AR71" i="1"/>
  <c r="AQ71" i="1"/>
  <c r="AT79" i="1"/>
  <c r="AR79" i="1"/>
  <c r="AQ79" i="1"/>
  <c r="AT63" i="1"/>
  <c r="AR63" i="1"/>
  <c r="AQ63" i="1"/>
  <c r="AT55" i="1"/>
  <c r="AR55" i="1"/>
  <c r="AQ55" i="1"/>
  <c r="AT41" i="1"/>
  <c r="AR41" i="1"/>
  <c r="AQ41" i="1"/>
  <c r="AT1475" i="1"/>
  <c r="AR1475" i="1"/>
  <c r="AQ1475" i="1"/>
  <c r="AT1377" i="1"/>
  <c r="AR1377" i="1"/>
  <c r="AQ1377" i="1"/>
  <c r="AT1301" i="1"/>
  <c r="AR1301" i="1"/>
  <c r="AQ1301" i="1"/>
  <c r="AT1205" i="1"/>
  <c r="AR1205" i="1"/>
  <c r="AQ1205" i="1"/>
  <c r="AR1195" i="1"/>
  <c r="AQ1195" i="1"/>
  <c r="AT1195" i="1"/>
  <c r="AT1187" i="1"/>
  <c r="AR1187" i="1"/>
  <c r="AQ1187" i="1"/>
  <c r="AT1159" i="1"/>
  <c r="AR1159" i="1"/>
  <c r="AQ1159" i="1"/>
  <c r="AT873" i="1"/>
  <c r="AR873" i="1"/>
  <c r="AQ873" i="1"/>
  <c r="AQ853" i="1"/>
  <c r="AT853" i="1"/>
  <c r="AR853" i="1"/>
  <c r="AQ845" i="1"/>
  <c r="AT845" i="1"/>
  <c r="AR845" i="1"/>
  <c r="AT833" i="1"/>
  <c r="AR833" i="1"/>
  <c r="AQ833" i="1"/>
  <c r="AT733" i="1"/>
  <c r="AR733" i="1"/>
  <c r="AQ733" i="1"/>
  <c r="AQ721" i="1"/>
  <c r="AR721" i="1"/>
  <c r="AT721" i="1"/>
  <c r="AR697" i="1"/>
  <c r="AT697" i="1"/>
  <c r="AQ697" i="1"/>
  <c r="AT627" i="1"/>
  <c r="AR627" i="1"/>
  <c r="AQ627" i="1"/>
  <c r="AT625" i="1"/>
  <c r="AR625" i="1"/>
  <c r="AQ625" i="1"/>
  <c r="AR545" i="1"/>
  <c r="AQ545" i="1"/>
  <c r="AT545" i="1"/>
  <c r="AT539" i="1"/>
  <c r="AQ539" i="1"/>
  <c r="AR539" i="1"/>
  <c r="AR531" i="1"/>
  <c r="AT531" i="1"/>
  <c r="AQ531" i="1"/>
  <c r="AT505" i="1"/>
  <c r="AR505" i="1"/>
  <c r="AQ505" i="1"/>
  <c r="AT497" i="1"/>
  <c r="AR497" i="1"/>
  <c r="AQ497" i="1"/>
  <c r="AT437" i="1"/>
  <c r="AR437" i="1"/>
  <c r="AQ437" i="1"/>
  <c r="AT299" i="1"/>
  <c r="AR299" i="1"/>
  <c r="AQ299" i="1"/>
  <c r="AT291" i="1"/>
  <c r="AR291" i="1"/>
  <c r="AQ291" i="1"/>
  <c r="AR281" i="1"/>
  <c r="AT281" i="1"/>
  <c r="AQ281" i="1"/>
  <c r="AT237" i="1"/>
  <c r="AR237" i="1"/>
  <c r="AQ237" i="1"/>
  <c r="AT233" i="1"/>
  <c r="AR233" i="1"/>
  <c r="AQ233" i="1"/>
  <c r="AT229" i="1"/>
  <c r="AR229" i="1"/>
  <c r="AQ229" i="1"/>
  <c r="AT201" i="1"/>
  <c r="AR201" i="1"/>
  <c r="AQ201" i="1"/>
  <c r="AR175" i="1"/>
  <c r="AT175" i="1"/>
  <c r="AQ175" i="1"/>
  <c r="AT165" i="1"/>
  <c r="AR165" i="1"/>
  <c r="AQ165" i="1"/>
  <c r="AQ163" i="1"/>
  <c r="AT163" i="1"/>
  <c r="AR163" i="1"/>
  <c r="AT161" i="1"/>
  <c r="AR161" i="1"/>
  <c r="AQ161" i="1"/>
  <c r="AQ159" i="1"/>
  <c r="AR159" i="1"/>
  <c r="AT159" i="1"/>
  <c r="AT157" i="1"/>
  <c r="AR157" i="1"/>
  <c r="AQ157" i="1"/>
  <c r="AQ155" i="1"/>
  <c r="AT155" i="1"/>
  <c r="AR155" i="1"/>
  <c r="AT153" i="1"/>
  <c r="AR153" i="1"/>
  <c r="AQ153" i="1"/>
  <c r="AQ151" i="1"/>
  <c r="AR151" i="1"/>
  <c r="AT151" i="1"/>
  <c r="AT115" i="1"/>
  <c r="AR115" i="1"/>
  <c r="AQ115" i="1"/>
  <c r="AT113" i="1"/>
  <c r="AR113" i="1"/>
  <c r="AQ113" i="1"/>
  <c r="AT111" i="1"/>
  <c r="AR111" i="1"/>
  <c r="AQ111" i="1"/>
  <c r="AT109" i="1"/>
  <c r="AQ109" i="1"/>
  <c r="AR109" i="1"/>
  <c r="AT107" i="1"/>
  <c r="AR107" i="1"/>
  <c r="AQ107" i="1"/>
  <c r="AT105" i="1"/>
  <c r="AQ105" i="1"/>
  <c r="AR105" i="1"/>
  <c r="AT103" i="1"/>
  <c r="AR103" i="1"/>
  <c r="AQ103" i="1"/>
  <c r="AT101" i="1"/>
  <c r="AR101" i="1"/>
  <c r="AQ101" i="1"/>
  <c r="AR99" i="1"/>
  <c r="AT99" i="1"/>
  <c r="AQ99" i="1"/>
  <c r="AT97" i="1"/>
  <c r="AR97" i="1"/>
  <c r="AQ97" i="1"/>
  <c r="AT95" i="1"/>
  <c r="AQ95" i="1"/>
  <c r="AR95" i="1"/>
  <c r="AT93" i="1"/>
  <c r="AR93" i="1"/>
  <c r="AQ93" i="1"/>
  <c r="AQ73" i="1"/>
  <c r="AT73" i="1"/>
  <c r="AR73" i="1"/>
  <c r="AT1439" i="1"/>
  <c r="AQ1439" i="1"/>
  <c r="AR1439" i="1"/>
  <c r="AT1391" i="1"/>
  <c r="AR1391" i="1"/>
  <c r="AQ1391" i="1"/>
  <c r="AT1379" i="1"/>
  <c r="AR1379" i="1"/>
  <c r="AQ1379" i="1"/>
  <c r="AT1375" i="1"/>
  <c r="AR1375" i="1"/>
  <c r="AQ1375" i="1"/>
  <c r="AR1273" i="1"/>
  <c r="AQ1273" i="1"/>
  <c r="AT1273" i="1"/>
  <c r="AT1157" i="1"/>
  <c r="AR1157" i="1"/>
  <c r="AQ1157" i="1"/>
  <c r="AR1123" i="1"/>
  <c r="AQ1123" i="1"/>
  <c r="AT1123" i="1"/>
  <c r="AT1121" i="1"/>
  <c r="AR1121" i="1"/>
  <c r="AQ1121" i="1"/>
  <c r="AT1295" i="1"/>
  <c r="AR1295" i="1"/>
  <c r="AQ1295" i="1"/>
  <c r="AT1299" i="1"/>
  <c r="AR1299" i="1"/>
  <c r="AQ1299" i="1"/>
  <c r="AT1259" i="1"/>
  <c r="AR1259" i="1"/>
  <c r="AQ1259" i="1"/>
  <c r="AT1249" i="1"/>
  <c r="AR1249" i="1"/>
  <c r="AQ1249" i="1"/>
  <c r="AT1245" i="1"/>
  <c r="AR1245" i="1"/>
  <c r="AQ1245" i="1"/>
  <c r="AT1241" i="1"/>
  <c r="AR1241" i="1"/>
  <c r="AQ1241" i="1"/>
  <c r="AT1237" i="1"/>
  <c r="AR1237" i="1"/>
  <c r="AQ1237" i="1"/>
  <c r="AT1217" i="1"/>
  <c r="AR1217" i="1"/>
  <c r="AQ1217" i="1"/>
  <c r="AT1165" i="1"/>
  <c r="AR1165" i="1"/>
  <c r="AQ1165" i="1"/>
  <c r="AR1161" i="1"/>
  <c r="AQ1161" i="1"/>
  <c r="AT1161" i="1"/>
  <c r="AT1149" i="1"/>
  <c r="AR1149" i="1"/>
  <c r="AQ1149" i="1"/>
  <c r="AR1111" i="1"/>
  <c r="AT1111" i="1"/>
  <c r="AQ1111" i="1"/>
  <c r="AT1001" i="1"/>
  <c r="AQ1001" i="1"/>
  <c r="AR1001" i="1"/>
  <c r="AT947" i="1"/>
  <c r="AR947" i="1"/>
  <c r="AQ947" i="1"/>
  <c r="AT945" i="1"/>
  <c r="AR945" i="1"/>
  <c r="AQ945" i="1"/>
  <c r="AR943" i="1"/>
  <c r="AQ943" i="1"/>
  <c r="AT943" i="1"/>
  <c r="AT941" i="1"/>
  <c r="AR941" i="1"/>
  <c r="AQ941" i="1"/>
  <c r="AR857" i="1"/>
  <c r="AT857" i="1"/>
  <c r="AQ857" i="1"/>
  <c r="AR849" i="1"/>
  <c r="AT849" i="1"/>
  <c r="AQ849" i="1"/>
  <c r="AR841" i="1"/>
  <c r="AT841" i="1"/>
  <c r="AQ841" i="1"/>
  <c r="AT837" i="1"/>
  <c r="AR837" i="1"/>
  <c r="AQ837" i="1"/>
  <c r="AT781" i="1"/>
  <c r="AR781" i="1"/>
  <c r="AQ781" i="1"/>
  <c r="AT667" i="1"/>
  <c r="AQ667" i="1"/>
  <c r="AR667" i="1"/>
  <c r="AQ603" i="1"/>
  <c r="AT603" i="1"/>
  <c r="AR603" i="1"/>
  <c r="AT571" i="1"/>
  <c r="AR571" i="1"/>
  <c r="AQ571" i="1"/>
  <c r="AT555" i="1"/>
  <c r="AR555" i="1"/>
  <c r="AQ555" i="1"/>
  <c r="AT543" i="1"/>
  <c r="AR543" i="1"/>
  <c r="AQ543" i="1"/>
  <c r="AR535" i="1"/>
  <c r="AT535" i="1"/>
  <c r="AQ535" i="1"/>
  <c r="AR517" i="1"/>
  <c r="AT517" i="1"/>
  <c r="AQ517" i="1"/>
  <c r="AT509" i="1"/>
  <c r="AR509" i="1"/>
  <c r="AQ509" i="1"/>
  <c r="AT499" i="1"/>
  <c r="AR499" i="1"/>
  <c r="AQ499" i="1"/>
  <c r="AT441" i="1"/>
  <c r="AR441" i="1"/>
  <c r="AQ441" i="1"/>
  <c r="AR361" i="1"/>
  <c r="AT361" i="1"/>
  <c r="AQ361" i="1"/>
  <c r="AT295" i="1"/>
  <c r="AR295" i="1"/>
  <c r="AQ295" i="1"/>
  <c r="AQ285" i="1"/>
  <c r="AR285" i="1"/>
  <c r="AT285" i="1"/>
  <c r="AR239" i="1"/>
  <c r="AQ239" i="1"/>
  <c r="AT239" i="1"/>
  <c r="AT235" i="1"/>
  <c r="AR235" i="1"/>
  <c r="AQ235" i="1"/>
  <c r="AR231" i="1"/>
  <c r="AQ231" i="1"/>
  <c r="AT231" i="1"/>
  <c r="AT205" i="1"/>
  <c r="AR205" i="1"/>
  <c r="AQ205" i="1"/>
  <c r="AT189" i="1"/>
  <c r="AR189" i="1"/>
  <c r="AQ189" i="1"/>
  <c r="AQ187" i="1"/>
  <c r="AR187" i="1"/>
  <c r="AT187" i="1"/>
  <c r="AQ181" i="1"/>
  <c r="AT181" i="1"/>
  <c r="AR181" i="1"/>
  <c r="AT179" i="1"/>
  <c r="AR179" i="1"/>
  <c r="AQ179" i="1"/>
  <c r="AT85" i="1"/>
  <c r="AR85" i="1"/>
  <c r="AQ85" i="1"/>
  <c r="AT77" i="1"/>
  <c r="AQ77" i="1"/>
  <c r="AR77" i="1"/>
  <c r="AT69" i="1"/>
  <c r="AQ69" i="1"/>
  <c r="AR69" i="1"/>
  <c r="AR61" i="1"/>
  <c r="AQ61" i="1"/>
  <c r="AT61" i="1"/>
  <c r="AT53" i="1"/>
  <c r="AQ53" i="1"/>
  <c r="AR53" i="1"/>
  <c r="AT45" i="1"/>
  <c r="AR45" i="1"/>
  <c r="AQ45" i="1"/>
  <c r="AT1437" i="1"/>
  <c r="AR1437" i="1"/>
  <c r="AQ1437" i="1"/>
  <c r="AQ1423" i="1"/>
  <c r="AT1423" i="1"/>
  <c r="AR1423" i="1"/>
  <c r="AT1381" i="1"/>
  <c r="AR1381" i="1"/>
  <c r="AQ1381" i="1"/>
  <c r="AT1357" i="1"/>
  <c r="AR1357" i="1"/>
  <c r="AQ1357" i="1"/>
  <c r="AT1117" i="1"/>
  <c r="AR1117" i="1"/>
  <c r="AQ1117" i="1"/>
  <c r="AT1253" i="1"/>
  <c r="AR1253" i="1"/>
  <c r="AQ1253" i="1"/>
  <c r="AT1211" i="1"/>
  <c r="AR1211" i="1"/>
  <c r="AQ1211" i="1"/>
  <c r="AT1207" i="1"/>
  <c r="AQ1207" i="1"/>
  <c r="AR1207" i="1"/>
  <c r="AT1201" i="1"/>
  <c r="AR1201" i="1"/>
  <c r="AQ1201" i="1"/>
  <c r="AT1197" i="1"/>
  <c r="AR1197" i="1"/>
  <c r="AQ1197" i="1"/>
  <c r="AT1191" i="1"/>
  <c r="AQ1191" i="1"/>
  <c r="AR1191" i="1"/>
  <c r="AR663" i="1"/>
  <c r="AT663" i="1"/>
  <c r="AQ663" i="1"/>
  <c r="AT1441" i="1"/>
  <c r="AR1441" i="1"/>
  <c r="AQ1441" i="1"/>
  <c r="AT1425" i="1"/>
  <c r="AR1425" i="1"/>
  <c r="AQ1425" i="1"/>
  <c r="AR1359" i="1"/>
  <c r="AQ1359" i="1"/>
  <c r="AT1359" i="1"/>
  <c r="AT1115" i="1"/>
  <c r="AQ1115" i="1"/>
  <c r="AR1115" i="1"/>
  <c r="AT1303" i="1"/>
  <c r="AR1303" i="1"/>
  <c r="AQ1303" i="1"/>
  <c r="AR1293" i="1"/>
  <c r="AT1293" i="1"/>
  <c r="AQ1293" i="1"/>
  <c r="AR1251" i="1"/>
  <c r="AT1251" i="1"/>
  <c r="AQ1251" i="1"/>
  <c r="AT1247" i="1"/>
  <c r="AR1247" i="1"/>
  <c r="AQ1247" i="1"/>
  <c r="AR1243" i="1"/>
  <c r="AT1243" i="1"/>
  <c r="AQ1243" i="1"/>
  <c r="AR1239" i="1"/>
  <c r="AQ1239" i="1"/>
  <c r="AT1239" i="1"/>
  <c r="AR1219" i="1"/>
  <c r="AT1219" i="1"/>
  <c r="AQ1219" i="1"/>
  <c r="AR1151" i="1"/>
  <c r="AT1151" i="1"/>
  <c r="AQ1151" i="1"/>
  <c r="AT1113" i="1"/>
  <c r="AR1113" i="1"/>
  <c r="AQ1113" i="1"/>
  <c r="AT1003" i="1"/>
  <c r="AR1003" i="1"/>
  <c r="AQ1003" i="1"/>
  <c r="AT937" i="1"/>
  <c r="AR937" i="1"/>
  <c r="AQ937" i="1"/>
  <c r="AT865" i="1"/>
  <c r="AR865" i="1"/>
  <c r="AQ865" i="1"/>
  <c r="AT861" i="1"/>
  <c r="AR861" i="1"/>
  <c r="AQ861" i="1"/>
  <c r="AT855" i="1"/>
  <c r="AR855" i="1"/>
  <c r="AQ855" i="1"/>
  <c r="AT847" i="1"/>
  <c r="AR847" i="1"/>
  <c r="AQ847" i="1"/>
  <c r="AT839" i="1"/>
  <c r="AR839" i="1"/>
  <c r="AQ839" i="1"/>
  <c r="AR831" i="1"/>
  <c r="AQ831" i="1"/>
  <c r="AT831" i="1"/>
  <c r="AR775" i="1"/>
  <c r="AQ775" i="1"/>
  <c r="AT775" i="1"/>
  <c r="AR731" i="1"/>
  <c r="AT731" i="1"/>
  <c r="AQ731" i="1"/>
  <c r="AT719" i="1"/>
  <c r="AR719" i="1"/>
  <c r="AQ719" i="1"/>
  <c r="AT669" i="1"/>
  <c r="AR669" i="1"/>
  <c r="AQ669" i="1"/>
  <c r="AQ665" i="1"/>
  <c r="AR665" i="1"/>
  <c r="AT665" i="1"/>
  <c r="AQ569" i="1"/>
  <c r="AT569" i="1"/>
  <c r="AR569" i="1"/>
  <c r="AT567" i="1"/>
  <c r="AR567" i="1"/>
  <c r="AQ567" i="1"/>
  <c r="AT537" i="1"/>
  <c r="AR537" i="1"/>
  <c r="AQ537" i="1"/>
  <c r="AT515" i="1"/>
  <c r="AR515" i="1"/>
  <c r="AQ515" i="1"/>
  <c r="AT435" i="1"/>
  <c r="AR435" i="1"/>
  <c r="AQ435" i="1"/>
  <c r="AT397" i="1"/>
  <c r="AR397" i="1"/>
  <c r="AQ397" i="1"/>
  <c r="AQ297" i="1"/>
  <c r="AR297" i="1"/>
  <c r="AT297" i="1"/>
  <c r="AQ289" i="1"/>
  <c r="AR289" i="1"/>
  <c r="AT289" i="1"/>
  <c r="AQ207" i="1"/>
  <c r="AT207" i="1"/>
  <c r="AR207" i="1"/>
  <c r="AQ193" i="1"/>
  <c r="AR193" i="1"/>
  <c r="AT193" i="1"/>
  <c r="AT191" i="1"/>
  <c r="AR191" i="1"/>
  <c r="AQ191" i="1"/>
  <c r="AQ183" i="1"/>
  <c r="AT183" i="1"/>
  <c r="AR183" i="1"/>
  <c r="AT177" i="1"/>
  <c r="AR177" i="1"/>
  <c r="AQ177" i="1"/>
  <c r="AT75" i="1"/>
  <c r="AR75" i="1"/>
  <c r="AQ75" i="1"/>
  <c r="AT67" i="1"/>
  <c r="AR67" i="1"/>
  <c r="AQ67" i="1"/>
  <c r="AT59" i="1"/>
  <c r="AR59" i="1"/>
  <c r="AQ59" i="1"/>
  <c r="AT51" i="1"/>
  <c r="AR51" i="1"/>
  <c r="AQ51" i="1"/>
  <c r="AR43" i="1"/>
  <c r="AT43" i="1"/>
  <c r="AQ43" i="1"/>
  <c r="AT747" i="1"/>
  <c r="AQ747" i="1"/>
  <c r="AR747" i="1"/>
  <c r="AQ39" i="1"/>
  <c r="AR39" i="1"/>
  <c r="AT39" i="1"/>
  <c r="AM193" i="1"/>
  <c r="AI193" i="1"/>
  <c r="AL193" i="1"/>
  <c r="AJ193" i="1"/>
  <c r="AP193" i="1"/>
  <c r="AK193" i="1"/>
  <c r="AN193" i="1"/>
  <c r="AO193" i="1"/>
  <c r="AO189" i="1"/>
  <c r="AK189" i="1"/>
  <c r="AP189" i="1"/>
  <c r="AL189" i="1"/>
  <c r="AN189" i="1"/>
  <c r="AJ189" i="1"/>
  <c r="AM189" i="1"/>
  <c r="AI189" i="1"/>
  <c r="AM1441" i="1"/>
  <c r="AI1441" i="1"/>
  <c r="AP1441" i="1"/>
  <c r="AL1441" i="1"/>
  <c r="AO1441" i="1"/>
  <c r="AK1441" i="1"/>
  <c r="AN1441" i="1"/>
  <c r="AJ1441" i="1"/>
  <c r="AN1293" i="1"/>
  <c r="AJ1293" i="1"/>
  <c r="AM1293" i="1"/>
  <c r="AI1293" i="1"/>
  <c r="AO1293" i="1"/>
  <c r="AL1293" i="1"/>
  <c r="AK1293" i="1"/>
  <c r="AP1293" i="1"/>
  <c r="AN1251" i="1"/>
  <c r="AJ1251" i="1"/>
  <c r="AP1251" i="1"/>
  <c r="AK1251" i="1"/>
  <c r="AO1251" i="1"/>
  <c r="AI1251" i="1"/>
  <c r="AM1251" i="1"/>
  <c r="AL1251" i="1"/>
  <c r="AN1243" i="1"/>
  <c r="AJ1243" i="1"/>
  <c r="AM1243" i="1"/>
  <c r="AI1243" i="1"/>
  <c r="AP1243" i="1"/>
  <c r="AL1243" i="1"/>
  <c r="AK1243" i="1"/>
  <c r="AO1243" i="1"/>
  <c r="AP719" i="1"/>
  <c r="AL719" i="1"/>
  <c r="AO719" i="1"/>
  <c r="AK719" i="1"/>
  <c r="AN719" i="1"/>
  <c r="AJ719" i="1"/>
  <c r="AM719" i="1"/>
  <c r="AI719" i="1"/>
  <c r="AN669" i="1"/>
  <c r="AJ669" i="1"/>
  <c r="AO669" i="1"/>
  <c r="AM669" i="1"/>
  <c r="AI669" i="1"/>
  <c r="AK669" i="1"/>
  <c r="AP669" i="1"/>
  <c r="AL669" i="1"/>
  <c r="AN665" i="1"/>
  <c r="AJ665" i="1"/>
  <c r="AM665" i="1"/>
  <c r="AI665" i="1"/>
  <c r="AP665" i="1"/>
  <c r="AL665" i="1"/>
  <c r="AO665" i="1"/>
  <c r="AK665" i="1"/>
  <c r="AP569" i="1"/>
  <c r="AL569" i="1"/>
  <c r="AO569" i="1"/>
  <c r="AK569" i="1"/>
  <c r="AN569" i="1"/>
  <c r="AJ569" i="1"/>
  <c r="AI569" i="1"/>
  <c r="AM569" i="1"/>
  <c r="AP567" i="1"/>
  <c r="AL567" i="1"/>
  <c r="AO567" i="1"/>
  <c r="AK567" i="1"/>
  <c r="AN567" i="1"/>
  <c r="AJ567" i="1"/>
  <c r="AM567" i="1"/>
  <c r="AI567" i="1"/>
  <c r="AN515" i="1"/>
  <c r="AJ515" i="1"/>
  <c r="AM515" i="1"/>
  <c r="AI515" i="1"/>
  <c r="AP515" i="1"/>
  <c r="AL515" i="1"/>
  <c r="AO515" i="1"/>
  <c r="AK515" i="1"/>
  <c r="AP435" i="1"/>
  <c r="AL435" i="1"/>
  <c r="AO435" i="1"/>
  <c r="AK435" i="1"/>
  <c r="AN435" i="1"/>
  <c r="AJ435" i="1"/>
  <c r="AM435" i="1"/>
  <c r="AI435" i="1"/>
  <c r="AM397" i="1"/>
  <c r="AI397" i="1"/>
  <c r="AL397" i="1"/>
  <c r="AO397" i="1"/>
  <c r="AK397" i="1"/>
  <c r="AP397" i="1"/>
  <c r="AN397" i="1"/>
  <c r="AJ397" i="1"/>
  <c r="AN297" i="1"/>
  <c r="AJ297" i="1"/>
  <c r="AM297" i="1"/>
  <c r="AK297" i="1"/>
  <c r="AI297" i="1"/>
  <c r="AO297" i="1"/>
  <c r="AP297" i="1"/>
  <c r="AL297" i="1"/>
  <c r="AN289" i="1"/>
  <c r="AJ289" i="1"/>
  <c r="AM289" i="1"/>
  <c r="AI289" i="1"/>
  <c r="AO289" i="1"/>
  <c r="AP289" i="1"/>
  <c r="AL289" i="1"/>
  <c r="AK289" i="1"/>
  <c r="AN191" i="1"/>
  <c r="AJ191" i="1"/>
  <c r="AM191" i="1"/>
  <c r="AI191" i="1"/>
  <c r="AP191" i="1"/>
  <c r="AL191" i="1"/>
  <c r="AO191" i="1"/>
  <c r="AK191" i="1"/>
  <c r="AN183" i="1"/>
  <c r="AJ183" i="1"/>
  <c r="AM183" i="1"/>
  <c r="AI183" i="1"/>
  <c r="AP183" i="1"/>
  <c r="AL183" i="1"/>
  <c r="AO183" i="1"/>
  <c r="AK183" i="1"/>
  <c r="AN177" i="1"/>
  <c r="AJ177" i="1"/>
  <c r="AM177" i="1"/>
  <c r="AI177" i="1"/>
  <c r="AP177" i="1"/>
  <c r="AL177" i="1"/>
  <c r="AK177" i="1"/>
  <c r="AO177" i="1"/>
  <c r="AN75" i="1"/>
  <c r="AJ75" i="1"/>
  <c r="AM75" i="1"/>
  <c r="AI75" i="1"/>
  <c r="AO75" i="1"/>
  <c r="AL75" i="1"/>
  <c r="AK75" i="1"/>
  <c r="AP75" i="1"/>
  <c r="AM67" i="1"/>
  <c r="AI67" i="1"/>
  <c r="AP67" i="1"/>
  <c r="AL67" i="1"/>
  <c r="AO67" i="1"/>
  <c r="AK67" i="1"/>
  <c r="AJ67" i="1"/>
  <c r="AN67" i="1"/>
  <c r="AM59" i="1"/>
  <c r="AI59" i="1"/>
  <c r="AP59" i="1"/>
  <c r="AL59" i="1"/>
  <c r="AO59" i="1"/>
  <c r="AK59" i="1"/>
  <c r="AN59" i="1"/>
  <c r="AJ59" i="1"/>
  <c r="AM49" i="1"/>
  <c r="AI49" i="1"/>
  <c r="AP49" i="1"/>
  <c r="AL49" i="1"/>
  <c r="AO49" i="1"/>
  <c r="AK49" i="1"/>
  <c r="AN49" i="1"/>
  <c r="AJ49" i="1"/>
  <c r="AK185" i="1"/>
  <c r="AP1423" i="1"/>
  <c r="AL1423" i="1"/>
  <c r="AO1423" i="1"/>
  <c r="AK1423" i="1"/>
  <c r="AN1423" i="1"/>
  <c r="AJ1423" i="1"/>
  <c r="AM1423" i="1"/>
  <c r="AI1423" i="1"/>
  <c r="AM1381" i="1"/>
  <c r="AI1381" i="1"/>
  <c r="AP1381" i="1"/>
  <c r="AL1381" i="1"/>
  <c r="AO1381" i="1"/>
  <c r="AK1381" i="1"/>
  <c r="AN1381" i="1"/>
  <c r="AJ1381" i="1"/>
  <c r="AM1377" i="1"/>
  <c r="AI1377" i="1"/>
  <c r="AP1377" i="1"/>
  <c r="AL1377" i="1"/>
  <c r="AO1377" i="1"/>
  <c r="AK1377" i="1"/>
  <c r="AN1377" i="1"/>
  <c r="AJ1377" i="1"/>
  <c r="AN1357" i="1"/>
  <c r="AJ1357" i="1"/>
  <c r="AM1357" i="1"/>
  <c r="AI1357" i="1"/>
  <c r="AP1357" i="1"/>
  <c r="AL1357" i="1"/>
  <c r="AO1357" i="1"/>
  <c r="AK1357" i="1"/>
  <c r="AP1117" i="1"/>
  <c r="AL1117" i="1"/>
  <c r="AN1117" i="1"/>
  <c r="AJ1117" i="1"/>
  <c r="AI1117" i="1"/>
  <c r="AO1117" i="1"/>
  <c r="AM1117" i="1"/>
  <c r="AK1117" i="1"/>
  <c r="AM1297" i="1"/>
  <c r="AI1297" i="1"/>
  <c r="AP1297" i="1"/>
  <c r="AL1297" i="1"/>
  <c r="AO1297" i="1"/>
  <c r="AK1297" i="1"/>
  <c r="AN1297" i="1"/>
  <c r="AJ1297" i="1"/>
  <c r="AP1301" i="1"/>
  <c r="AL1301" i="1"/>
  <c r="AO1301" i="1"/>
  <c r="AK1301" i="1"/>
  <c r="AM1301" i="1"/>
  <c r="AJ1301" i="1"/>
  <c r="AI1301" i="1"/>
  <c r="AN1301" i="1"/>
  <c r="AP1287" i="1"/>
  <c r="AL1287" i="1"/>
  <c r="AO1287" i="1"/>
  <c r="AK1287" i="1"/>
  <c r="AM1287" i="1"/>
  <c r="AJ1287" i="1"/>
  <c r="AI1287" i="1"/>
  <c r="AN1287" i="1"/>
  <c r="AP1253" i="1"/>
  <c r="AL1253" i="1"/>
  <c r="AK1253" i="1"/>
  <c r="AO1253" i="1"/>
  <c r="AJ1253" i="1"/>
  <c r="AN1253" i="1"/>
  <c r="AI1253" i="1"/>
  <c r="AM1253" i="1"/>
  <c r="AP1221" i="1"/>
  <c r="AL1221" i="1"/>
  <c r="AO1221" i="1"/>
  <c r="AK1221" i="1"/>
  <c r="AN1221" i="1"/>
  <c r="AJ1221" i="1"/>
  <c r="AM1221" i="1"/>
  <c r="AI1221" i="1"/>
  <c r="AP1213" i="1"/>
  <c r="AL1213" i="1"/>
  <c r="AO1213" i="1"/>
  <c r="AK1213" i="1"/>
  <c r="AN1213" i="1"/>
  <c r="AJ1213" i="1"/>
  <c r="AI1213" i="1"/>
  <c r="AM1213" i="1"/>
  <c r="AN1211" i="1"/>
  <c r="AJ1211" i="1"/>
  <c r="AM1211" i="1"/>
  <c r="AI1211" i="1"/>
  <c r="AP1211" i="1"/>
  <c r="AL1211" i="1"/>
  <c r="AO1211" i="1"/>
  <c r="AK1211" i="1"/>
  <c r="AP1209" i="1"/>
  <c r="AL1209" i="1"/>
  <c r="AO1209" i="1"/>
  <c r="AK1209" i="1"/>
  <c r="AN1209" i="1"/>
  <c r="AJ1209" i="1"/>
  <c r="AM1209" i="1"/>
  <c r="AI1209" i="1"/>
  <c r="AN1207" i="1"/>
  <c r="AJ1207" i="1"/>
  <c r="AM1207" i="1"/>
  <c r="AI1207" i="1"/>
  <c r="AP1207" i="1"/>
  <c r="AL1207" i="1"/>
  <c r="AO1207" i="1"/>
  <c r="AK1207" i="1"/>
  <c r="AP1205" i="1"/>
  <c r="AL1205" i="1"/>
  <c r="AO1205" i="1"/>
  <c r="AK1205" i="1"/>
  <c r="AN1205" i="1"/>
  <c r="AJ1205" i="1"/>
  <c r="AM1205" i="1"/>
  <c r="AI1205" i="1"/>
  <c r="AN1203" i="1"/>
  <c r="AJ1203" i="1"/>
  <c r="AM1203" i="1"/>
  <c r="AI1203" i="1"/>
  <c r="AP1203" i="1"/>
  <c r="AL1203" i="1"/>
  <c r="AK1203" i="1"/>
  <c r="AO1203" i="1"/>
  <c r="AP1201" i="1"/>
  <c r="AL1201" i="1"/>
  <c r="AO1201" i="1"/>
  <c r="AK1201" i="1"/>
  <c r="AN1201" i="1"/>
  <c r="AJ1201" i="1"/>
  <c r="AM1201" i="1"/>
  <c r="AI1201" i="1"/>
  <c r="AN1199" i="1"/>
  <c r="AJ1199" i="1"/>
  <c r="AP1199" i="1"/>
  <c r="AL1199" i="1"/>
  <c r="AO1199" i="1"/>
  <c r="AM1199" i="1"/>
  <c r="AK1199" i="1"/>
  <c r="AI1199" i="1"/>
  <c r="AP1197" i="1"/>
  <c r="AL1197" i="1"/>
  <c r="AN1197" i="1"/>
  <c r="AJ1197" i="1"/>
  <c r="AI1197" i="1"/>
  <c r="AO1197" i="1"/>
  <c r="AM1197" i="1"/>
  <c r="AK1197" i="1"/>
  <c r="AN1195" i="1"/>
  <c r="AJ1195" i="1"/>
  <c r="AP1195" i="1"/>
  <c r="AL1195" i="1"/>
  <c r="AK1195" i="1"/>
  <c r="AI1195" i="1"/>
  <c r="AO1195" i="1"/>
  <c r="AM1195" i="1"/>
  <c r="AP1193" i="1"/>
  <c r="AL1193" i="1"/>
  <c r="AN1193" i="1"/>
  <c r="AJ1193" i="1"/>
  <c r="AM1193" i="1"/>
  <c r="AK1193" i="1"/>
  <c r="AI1193" i="1"/>
  <c r="AO1193" i="1"/>
  <c r="AN1191" i="1"/>
  <c r="AJ1191" i="1"/>
  <c r="AP1191" i="1"/>
  <c r="AL1191" i="1"/>
  <c r="AO1191" i="1"/>
  <c r="AM1191" i="1"/>
  <c r="AK1191" i="1"/>
  <c r="AI1191" i="1"/>
  <c r="AP1189" i="1"/>
  <c r="AL1189" i="1"/>
  <c r="AN1189" i="1"/>
  <c r="AJ1189" i="1"/>
  <c r="AI1189" i="1"/>
  <c r="AO1189" i="1"/>
  <c r="AM1189" i="1"/>
  <c r="AK1189" i="1"/>
  <c r="AM1187" i="1"/>
  <c r="AI1187" i="1"/>
  <c r="AL1187" i="1"/>
  <c r="AP1187" i="1"/>
  <c r="AK1187" i="1"/>
  <c r="AO1187" i="1"/>
  <c r="AJ1187" i="1"/>
  <c r="AN1187" i="1"/>
  <c r="AP1185" i="1"/>
  <c r="AL1185" i="1"/>
  <c r="AN1185" i="1"/>
  <c r="AJ1185" i="1"/>
  <c r="AM1185" i="1"/>
  <c r="AK1185" i="1"/>
  <c r="AI1185" i="1"/>
  <c r="AO1185" i="1"/>
  <c r="AP1163" i="1"/>
  <c r="AL1163" i="1"/>
  <c r="AO1163" i="1"/>
  <c r="AK1163" i="1"/>
  <c r="AN1163" i="1"/>
  <c r="AJ1163" i="1"/>
  <c r="AM1163" i="1"/>
  <c r="AI1163" i="1"/>
  <c r="AP1159" i="1"/>
  <c r="AL1159" i="1"/>
  <c r="AO1159" i="1"/>
  <c r="AK1159" i="1"/>
  <c r="AN1159" i="1"/>
  <c r="AJ1159" i="1"/>
  <c r="AM1159" i="1"/>
  <c r="AI1159" i="1"/>
  <c r="AP1145" i="1"/>
  <c r="AL1145" i="1"/>
  <c r="AN1145" i="1"/>
  <c r="AJ1145" i="1"/>
  <c r="AM1145" i="1"/>
  <c r="AK1145" i="1"/>
  <c r="AI1145" i="1"/>
  <c r="AO1145" i="1"/>
  <c r="AN1005" i="1"/>
  <c r="AJ1005" i="1"/>
  <c r="AM1005" i="1"/>
  <c r="AO1005" i="1"/>
  <c r="AL1005" i="1"/>
  <c r="AI1005" i="1"/>
  <c r="AP1005" i="1"/>
  <c r="AK1005" i="1"/>
  <c r="AO873" i="1"/>
  <c r="AK873" i="1"/>
  <c r="AN873" i="1"/>
  <c r="AJ873" i="1"/>
  <c r="AM873" i="1"/>
  <c r="AI873" i="1"/>
  <c r="AP873" i="1"/>
  <c r="AL873" i="1"/>
  <c r="AP853" i="1"/>
  <c r="AL853" i="1"/>
  <c r="AO853" i="1"/>
  <c r="AK853" i="1"/>
  <c r="AN853" i="1"/>
  <c r="AJ853" i="1"/>
  <c r="AI853" i="1"/>
  <c r="AM853" i="1"/>
  <c r="AP845" i="1"/>
  <c r="AL845" i="1"/>
  <c r="AO845" i="1"/>
  <c r="AK845" i="1"/>
  <c r="AN845" i="1"/>
  <c r="AJ845" i="1"/>
  <c r="AM845" i="1"/>
  <c r="AI845" i="1"/>
  <c r="AO833" i="1"/>
  <c r="AK833" i="1"/>
  <c r="AN833" i="1"/>
  <c r="AJ833" i="1"/>
  <c r="AM833" i="1"/>
  <c r="AI833" i="1"/>
  <c r="AP833" i="1"/>
  <c r="AL833" i="1"/>
  <c r="AN777" i="1"/>
  <c r="AJ777" i="1"/>
  <c r="AK777" i="1"/>
  <c r="AM777" i="1"/>
  <c r="AI777" i="1"/>
  <c r="AO777" i="1"/>
  <c r="AP777" i="1"/>
  <c r="AL777" i="1"/>
  <c r="AN733" i="1"/>
  <c r="AJ733" i="1"/>
  <c r="AK733" i="1"/>
  <c r="AM733" i="1"/>
  <c r="AI733" i="1"/>
  <c r="AO733" i="1"/>
  <c r="AP733" i="1"/>
  <c r="AL733" i="1"/>
  <c r="AN721" i="1"/>
  <c r="AJ721" i="1"/>
  <c r="AM721" i="1"/>
  <c r="AI721" i="1"/>
  <c r="AL721" i="1"/>
  <c r="AK721" i="1"/>
  <c r="AP697" i="1"/>
  <c r="AL697" i="1"/>
  <c r="AO697" i="1"/>
  <c r="AK697" i="1"/>
  <c r="AN697" i="1"/>
  <c r="AJ697" i="1"/>
  <c r="AI697" i="1"/>
  <c r="AM697" i="1"/>
  <c r="AP663" i="1"/>
  <c r="AL663" i="1"/>
  <c r="AO663" i="1"/>
  <c r="AK663" i="1"/>
  <c r="AN663" i="1"/>
  <c r="AJ663" i="1"/>
  <c r="AM663" i="1"/>
  <c r="AI663" i="1"/>
  <c r="AN627" i="1"/>
  <c r="AJ627" i="1"/>
  <c r="AM627" i="1"/>
  <c r="AI627" i="1"/>
  <c r="AP627" i="1"/>
  <c r="AL627" i="1"/>
  <c r="AO627" i="1"/>
  <c r="AK627" i="1"/>
  <c r="AP625" i="1"/>
  <c r="AL625" i="1"/>
  <c r="AO625" i="1"/>
  <c r="AK625" i="1"/>
  <c r="AN625" i="1"/>
  <c r="AJ625" i="1"/>
  <c r="AM625" i="1"/>
  <c r="AI625" i="1"/>
  <c r="AP589" i="1"/>
  <c r="AO589" i="1"/>
  <c r="AN545" i="1"/>
  <c r="AJ545" i="1"/>
  <c r="AM545" i="1"/>
  <c r="AI545" i="1"/>
  <c r="AP545" i="1"/>
  <c r="AL545" i="1"/>
  <c r="AO545" i="1"/>
  <c r="AK545" i="1"/>
  <c r="AP539" i="1"/>
  <c r="AL539" i="1"/>
  <c r="AO539" i="1"/>
  <c r="AK539" i="1"/>
  <c r="AM539" i="1"/>
  <c r="AN539" i="1"/>
  <c r="AJ539" i="1"/>
  <c r="AI539" i="1"/>
  <c r="AP531" i="1"/>
  <c r="AL531" i="1"/>
  <c r="AO531" i="1"/>
  <c r="AK531" i="1"/>
  <c r="AN531" i="1"/>
  <c r="AJ531" i="1"/>
  <c r="AI531" i="1"/>
  <c r="AM531" i="1"/>
  <c r="AN505" i="1"/>
  <c r="AJ505" i="1"/>
  <c r="AM505" i="1"/>
  <c r="AI505" i="1"/>
  <c r="AK505" i="1"/>
  <c r="AP505" i="1"/>
  <c r="AL505" i="1"/>
  <c r="AO505" i="1"/>
  <c r="AP497" i="1"/>
  <c r="AL497" i="1"/>
  <c r="AO497" i="1"/>
  <c r="AK497" i="1"/>
  <c r="AN497" i="1"/>
  <c r="AJ497" i="1"/>
  <c r="AM497" i="1"/>
  <c r="AI497" i="1"/>
  <c r="AP437" i="1"/>
  <c r="AL437" i="1"/>
  <c r="AN437" i="1"/>
  <c r="AJ437" i="1"/>
  <c r="AO437" i="1"/>
  <c r="AM437" i="1"/>
  <c r="AK437" i="1"/>
  <c r="AI437" i="1"/>
  <c r="AP299" i="1"/>
  <c r="AL299" i="1"/>
  <c r="AO299" i="1"/>
  <c r="AM299" i="1"/>
  <c r="AK299" i="1"/>
  <c r="AN299" i="1"/>
  <c r="AJ299" i="1"/>
  <c r="AI299" i="1"/>
  <c r="AP291" i="1"/>
  <c r="AL291" i="1"/>
  <c r="AO291" i="1"/>
  <c r="AK291" i="1"/>
  <c r="AN291" i="1"/>
  <c r="AJ291" i="1"/>
  <c r="AM291" i="1"/>
  <c r="AI291" i="1"/>
  <c r="AN281" i="1"/>
  <c r="AJ281" i="1"/>
  <c r="AK281" i="1"/>
  <c r="AM281" i="1"/>
  <c r="AI281" i="1"/>
  <c r="AP281" i="1"/>
  <c r="AL281" i="1"/>
  <c r="AO281" i="1"/>
  <c r="AP237" i="1"/>
  <c r="AL237" i="1"/>
  <c r="AO237" i="1"/>
  <c r="AK237" i="1"/>
  <c r="AN237" i="1"/>
  <c r="AJ237" i="1"/>
  <c r="AM237" i="1"/>
  <c r="AI237" i="1"/>
  <c r="AP233" i="1"/>
  <c r="AL233" i="1"/>
  <c r="AO233" i="1"/>
  <c r="AK233" i="1"/>
  <c r="AN233" i="1"/>
  <c r="AJ233" i="1"/>
  <c r="AM233" i="1"/>
  <c r="AI233" i="1"/>
  <c r="AP229" i="1"/>
  <c r="AL229" i="1"/>
  <c r="AO229" i="1"/>
  <c r="AK229" i="1"/>
  <c r="AN229" i="1"/>
  <c r="AJ229" i="1"/>
  <c r="AM229" i="1"/>
  <c r="AI229" i="1"/>
  <c r="AN201" i="1"/>
  <c r="AJ201" i="1"/>
  <c r="AM201" i="1"/>
  <c r="AI201" i="1"/>
  <c r="AK201" i="1"/>
  <c r="AP201" i="1"/>
  <c r="AL201" i="1"/>
  <c r="AO201" i="1"/>
  <c r="AP175" i="1"/>
  <c r="AL175" i="1"/>
  <c r="AO175" i="1"/>
  <c r="AK175" i="1"/>
  <c r="AN175" i="1"/>
  <c r="AJ175" i="1"/>
  <c r="AM175" i="1"/>
  <c r="AI175" i="1"/>
  <c r="AM165" i="1"/>
  <c r="AI165" i="1"/>
  <c r="AP165" i="1"/>
  <c r="AL165" i="1"/>
  <c r="AO165" i="1"/>
  <c r="AK165" i="1"/>
  <c r="AN165" i="1"/>
  <c r="AJ165" i="1"/>
  <c r="AO163" i="1"/>
  <c r="AK163" i="1"/>
  <c r="AN163" i="1"/>
  <c r="AJ163" i="1"/>
  <c r="AM163" i="1"/>
  <c r="AI163" i="1"/>
  <c r="AP163" i="1"/>
  <c r="AL163" i="1"/>
  <c r="AM161" i="1"/>
  <c r="AI161" i="1"/>
  <c r="AP161" i="1"/>
  <c r="AL161" i="1"/>
  <c r="AO161" i="1"/>
  <c r="AK161" i="1"/>
  <c r="AN161" i="1"/>
  <c r="AJ161" i="1"/>
  <c r="AO159" i="1"/>
  <c r="AK159" i="1"/>
  <c r="AN159" i="1"/>
  <c r="AJ159" i="1"/>
  <c r="AM159" i="1"/>
  <c r="AI159" i="1"/>
  <c r="AP159" i="1"/>
  <c r="AL159" i="1"/>
  <c r="AM157" i="1"/>
  <c r="AI157" i="1"/>
  <c r="AP157" i="1"/>
  <c r="AL157" i="1"/>
  <c r="AO157" i="1"/>
  <c r="AK157" i="1"/>
  <c r="AN157" i="1"/>
  <c r="AJ157" i="1"/>
  <c r="AO155" i="1"/>
  <c r="AK155" i="1"/>
  <c r="AN155" i="1"/>
  <c r="AJ155" i="1"/>
  <c r="AM155" i="1"/>
  <c r="AI155" i="1"/>
  <c r="AP155" i="1"/>
  <c r="AL155" i="1"/>
  <c r="AM153" i="1"/>
  <c r="AI153" i="1"/>
  <c r="AP153" i="1"/>
  <c r="AL153" i="1"/>
  <c r="AO153" i="1"/>
  <c r="AK153" i="1"/>
  <c r="AN153" i="1"/>
  <c r="AJ153" i="1"/>
  <c r="AO151" i="1"/>
  <c r="AK151" i="1"/>
  <c r="AN151" i="1"/>
  <c r="AJ151" i="1"/>
  <c r="AM151" i="1"/>
  <c r="AI151" i="1"/>
  <c r="AP151" i="1"/>
  <c r="AL151" i="1"/>
  <c r="AN115" i="1"/>
  <c r="AJ115" i="1"/>
  <c r="AM115" i="1"/>
  <c r="AI115" i="1"/>
  <c r="AP115" i="1"/>
  <c r="AL115" i="1"/>
  <c r="AO115" i="1"/>
  <c r="AK115" i="1"/>
  <c r="AN113" i="1"/>
  <c r="AJ113" i="1"/>
  <c r="AM113" i="1"/>
  <c r="AK113" i="1"/>
  <c r="AI113" i="1"/>
  <c r="AP113" i="1"/>
  <c r="AL113" i="1"/>
  <c r="AO113" i="1"/>
  <c r="AP111" i="1"/>
  <c r="AL111" i="1"/>
  <c r="AO111" i="1"/>
  <c r="AK111" i="1"/>
  <c r="AI111" i="1"/>
  <c r="AN111" i="1"/>
  <c r="AJ111" i="1"/>
  <c r="AM111" i="1"/>
  <c r="AN109" i="1"/>
  <c r="AJ109" i="1"/>
  <c r="AM109" i="1"/>
  <c r="AI109" i="1"/>
  <c r="AO109" i="1"/>
  <c r="AK109" i="1"/>
  <c r="AP109" i="1"/>
  <c r="AL109" i="1"/>
  <c r="AP107" i="1"/>
  <c r="AL107" i="1"/>
  <c r="AO107" i="1"/>
  <c r="AK107" i="1"/>
  <c r="AI107" i="1"/>
  <c r="AN107" i="1"/>
  <c r="AJ107" i="1"/>
  <c r="AM107" i="1"/>
  <c r="AM105" i="1"/>
  <c r="AK105" i="1"/>
  <c r="AP105" i="1"/>
  <c r="AI105" i="1"/>
  <c r="AJ105" i="1"/>
  <c r="AO105" i="1"/>
  <c r="AN105" i="1"/>
  <c r="AL105" i="1"/>
  <c r="AN103" i="1"/>
  <c r="AJ103" i="1"/>
  <c r="AO103" i="1"/>
  <c r="AM103" i="1"/>
  <c r="AI103" i="1"/>
  <c r="AP103" i="1"/>
  <c r="AL103" i="1"/>
  <c r="AK103" i="1"/>
  <c r="AN101" i="1"/>
  <c r="AJ101" i="1"/>
  <c r="AM101" i="1"/>
  <c r="AI101" i="1"/>
  <c r="AK101" i="1"/>
  <c r="AP101" i="1"/>
  <c r="AL101" i="1"/>
  <c r="AO101" i="1"/>
  <c r="AP99" i="1"/>
  <c r="AL99" i="1"/>
  <c r="AK99" i="1"/>
  <c r="AO99" i="1"/>
  <c r="AI99" i="1"/>
  <c r="AN99" i="1"/>
  <c r="AJ99" i="1"/>
  <c r="AM99" i="1"/>
  <c r="AN97" i="1"/>
  <c r="AJ97" i="1"/>
  <c r="AM97" i="1"/>
  <c r="AO97" i="1"/>
  <c r="AI97" i="1"/>
  <c r="AP97" i="1"/>
  <c r="AL97" i="1"/>
  <c r="AK97" i="1"/>
  <c r="AP95" i="1"/>
  <c r="AL95" i="1"/>
  <c r="AO95" i="1"/>
  <c r="AK95" i="1"/>
  <c r="AM95" i="1"/>
  <c r="AN95" i="1"/>
  <c r="AJ95" i="1"/>
  <c r="AI95" i="1"/>
  <c r="AN93" i="1"/>
  <c r="AJ93" i="1"/>
  <c r="AM93" i="1"/>
  <c r="AI93" i="1"/>
  <c r="AK93" i="1"/>
  <c r="AP93" i="1"/>
  <c r="AL93" i="1"/>
  <c r="AO93" i="1"/>
  <c r="AP83" i="1"/>
  <c r="AL83" i="1"/>
  <c r="AO83" i="1"/>
  <c r="AK83" i="1"/>
  <c r="AN83" i="1"/>
  <c r="AJ83" i="1"/>
  <c r="AI83" i="1"/>
  <c r="AM83" i="1"/>
  <c r="AP73" i="1"/>
  <c r="AL73" i="1"/>
  <c r="AO73" i="1"/>
  <c r="AK73" i="1"/>
  <c r="AI73" i="1"/>
  <c r="AN73" i="1"/>
  <c r="AM73" i="1"/>
  <c r="AJ73" i="1"/>
  <c r="AP81" i="1"/>
  <c r="AL81" i="1"/>
  <c r="AO81" i="1"/>
  <c r="AK81" i="1"/>
  <c r="AI81" i="1"/>
  <c r="AN81" i="1"/>
  <c r="AM81" i="1"/>
  <c r="AJ81" i="1"/>
  <c r="AO65" i="1"/>
  <c r="AK65" i="1"/>
  <c r="AN65" i="1"/>
  <c r="AJ65" i="1"/>
  <c r="AM65" i="1"/>
  <c r="AI65" i="1"/>
  <c r="AP65" i="1"/>
  <c r="AL65" i="1"/>
  <c r="AO57" i="1"/>
  <c r="AK57" i="1"/>
  <c r="AN57" i="1"/>
  <c r="AJ57" i="1"/>
  <c r="AM57" i="1"/>
  <c r="AI57" i="1"/>
  <c r="AL57" i="1"/>
  <c r="AP57" i="1"/>
  <c r="AO47" i="1"/>
  <c r="AK47" i="1"/>
  <c r="AN47" i="1"/>
  <c r="AJ47" i="1"/>
  <c r="AM47" i="1"/>
  <c r="AI47" i="1"/>
  <c r="AP47" i="1"/>
  <c r="AL47" i="1"/>
  <c r="AO41" i="1"/>
  <c r="AK41" i="1"/>
  <c r="AN41" i="1"/>
  <c r="AJ41" i="1"/>
  <c r="AM41" i="1"/>
  <c r="AI41" i="1"/>
  <c r="AL41" i="1"/>
  <c r="AP41" i="1"/>
  <c r="AM39" i="1"/>
  <c r="AI39" i="1"/>
  <c r="AP39" i="1"/>
  <c r="AL39" i="1"/>
  <c r="AO39" i="1"/>
  <c r="AK39" i="1"/>
  <c r="AN39" i="1"/>
  <c r="AJ39" i="1"/>
  <c r="AJ185" i="1"/>
  <c r="AN1151" i="1"/>
  <c r="AJ1151" i="1"/>
  <c r="AP1151" i="1"/>
  <c r="AL1151" i="1"/>
  <c r="AO1151" i="1"/>
  <c r="AM1151" i="1"/>
  <c r="AK1151" i="1"/>
  <c r="AI1151" i="1"/>
  <c r="AP1113" i="1"/>
  <c r="AL1113" i="1"/>
  <c r="AO1113" i="1"/>
  <c r="AJ1113" i="1"/>
  <c r="AN1113" i="1"/>
  <c r="AI1113" i="1"/>
  <c r="AK1113" i="1"/>
  <c r="AM1113" i="1"/>
  <c r="AN937" i="1"/>
  <c r="AJ937" i="1"/>
  <c r="AM937" i="1"/>
  <c r="AI937" i="1"/>
  <c r="AP937" i="1"/>
  <c r="AL937" i="1"/>
  <c r="AO937" i="1"/>
  <c r="AK937" i="1"/>
  <c r="AP861" i="1"/>
  <c r="AL861" i="1"/>
  <c r="AO861" i="1"/>
  <c r="AK861" i="1"/>
  <c r="AN861" i="1"/>
  <c r="AJ861" i="1"/>
  <c r="AM861" i="1"/>
  <c r="AI861" i="1"/>
  <c r="AN855" i="1"/>
  <c r="AJ855" i="1"/>
  <c r="AM855" i="1"/>
  <c r="AI855" i="1"/>
  <c r="AP855" i="1"/>
  <c r="AL855" i="1"/>
  <c r="AO855" i="1"/>
  <c r="AK855" i="1"/>
  <c r="AN847" i="1"/>
  <c r="AJ847" i="1"/>
  <c r="AM847" i="1"/>
  <c r="AI847" i="1"/>
  <c r="AP847" i="1"/>
  <c r="AL847" i="1"/>
  <c r="AO847" i="1"/>
  <c r="AK847" i="1"/>
  <c r="AN839" i="1"/>
  <c r="AJ839" i="1"/>
  <c r="AM839" i="1"/>
  <c r="AI839" i="1"/>
  <c r="AP839" i="1"/>
  <c r="AL839" i="1"/>
  <c r="AO839" i="1"/>
  <c r="AK839" i="1"/>
  <c r="AN537" i="1"/>
  <c r="AJ537" i="1"/>
  <c r="AM537" i="1"/>
  <c r="AI537" i="1"/>
  <c r="AK537" i="1"/>
  <c r="AP537" i="1"/>
  <c r="AL537" i="1"/>
  <c r="AO537" i="1"/>
  <c r="AP207" i="1"/>
  <c r="AL207" i="1"/>
  <c r="AK207" i="1"/>
  <c r="AI207" i="1"/>
  <c r="AO207" i="1"/>
  <c r="AN207" i="1"/>
  <c r="AJ207" i="1"/>
  <c r="AM207" i="1"/>
  <c r="AM51" i="1"/>
  <c r="AI51" i="1"/>
  <c r="AP51" i="1"/>
  <c r="AL51" i="1"/>
  <c r="AO51" i="1"/>
  <c r="AK51" i="1"/>
  <c r="AJ51" i="1"/>
  <c r="AN51" i="1"/>
  <c r="AP749" i="1"/>
  <c r="AL749" i="1"/>
  <c r="AO749" i="1"/>
  <c r="AK749" i="1"/>
  <c r="AN749" i="1"/>
  <c r="AJ749" i="1"/>
  <c r="AM749" i="1"/>
  <c r="AI749" i="1"/>
  <c r="AN1119" i="1"/>
  <c r="AJ1119" i="1"/>
  <c r="AP1119" i="1"/>
  <c r="AL1119" i="1"/>
  <c r="AO1119" i="1"/>
  <c r="AM1119" i="1"/>
  <c r="AK1119" i="1"/>
  <c r="AI1119" i="1"/>
  <c r="AO1305" i="1"/>
  <c r="AK1305" i="1"/>
  <c r="AN1305" i="1"/>
  <c r="AJ1305" i="1"/>
  <c r="AM1305" i="1"/>
  <c r="AI1305" i="1"/>
  <c r="AP1305" i="1"/>
  <c r="AL1305" i="1"/>
  <c r="AN1289" i="1"/>
  <c r="AJ1289" i="1"/>
  <c r="AM1289" i="1"/>
  <c r="AI1289" i="1"/>
  <c r="AK1289" i="1"/>
  <c r="AP1289" i="1"/>
  <c r="AO1289" i="1"/>
  <c r="AL1289" i="1"/>
  <c r="AN1291" i="1"/>
  <c r="AJ1291" i="1"/>
  <c r="AM1291" i="1"/>
  <c r="AI1291" i="1"/>
  <c r="AK1291" i="1"/>
  <c r="AP1291" i="1"/>
  <c r="AO1291" i="1"/>
  <c r="AL1291" i="1"/>
  <c r="AN1255" i="1"/>
  <c r="AJ1255" i="1"/>
  <c r="AL1255" i="1"/>
  <c r="AP1255" i="1"/>
  <c r="AK1255" i="1"/>
  <c r="AO1255" i="1"/>
  <c r="AI1255" i="1"/>
  <c r="AM1255" i="1"/>
  <c r="AN1223" i="1"/>
  <c r="AJ1223" i="1"/>
  <c r="AM1223" i="1"/>
  <c r="AI1223" i="1"/>
  <c r="AP1223" i="1"/>
  <c r="AL1223" i="1"/>
  <c r="AO1223" i="1"/>
  <c r="AK1223" i="1"/>
  <c r="AN1215" i="1"/>
  <c r="AJ1215" i="1"/>
  <c r="AM1215" i="1"/>
  <c r="AI1215" i="1"/>
  <c r="AP1215" i="1"/>
  <c r="AL1215" i="1"/>
  <c r="AO1215" i="1"/>
  <c r="AK1215" i="1"/>
  <c r="AN1147" i="1"/>
  <c r="AJ1147" i="1"/>
  <c r="AP1147" i="1"/>
  <c r="AL1147" i="1"/>
  <c r="AK1147" i="1"/>
  <c r="AI1147" i="1"/>
  <c r="AO1147" i="1"/>
  <c r="AM1147" i="1"/>
  <c r="AP1007" i="1"/>
  <c r="AL1007" i="1"/>
  <c r="AN1007" i="1"/>
  <c r="AI1007" i="1"/>
  <c r="AM1007" i="1"/>
  <c r="AO1007" i="1"/>
  <c r="AJ1007" i="1"/>
  <c r="AK1007" i="1"/>
  <c r="AM871" i="1"/>
  <c r="AI871" i="1"/>
  <c r="AP871" i="1"/>
  <c r="AL871" i="1"/>
  <c r="AO871" i="1"/>
  <c r="AK871" i="1"/>
  <c r="AN871" i="1"/>
  <c r="AJ871" i="1"/>
  <c r="AN863" i="1"/>
  <c r="AJ863" i="1"/>
  <c r="AM863" i="1"/>
  <c r="AI863" i="1"/>
  <c r="AP863" i="1"/>
  <c r="AL863" i="1"/>
  <c r="AO863" i="1"/>
  <c r="AK863" i="1"/>
  <c r="AN859" i="1"/>
  <c r="AJ859" i="1"/>
  <c r="AM859" i="1"/>
  <c r="AI859" i="1"/>
  <c r="AP859" i="1"/>
  <c r="AL859" i="1"/>
  <c r="AO859" i="1"/>
  <c r="AK859" i="1"/>
  <c r="AN851" i="1"/>
  <c r="AJ851" i="1"/>
  <c r="AM851" i="1"/>
  <c r="AI851" i="1"/>
  <c r="AP851" i="1"/>
  <c r="AL851" i="1"/>
  <c r="AO851" i="1"/>
  <c r="AK851" i="1"/>
  <c r="AN843" i="1"/>
  <c r="AJ843" i="1"/>
  <c r="AM843" i="1"/>
  <c r="AI843" i="1"/>
  <c r="AP843" i="1"/>
  <c r="AL843" i="1"/>
  <c r="AK843" i="1"/>
  <c r="AO843" i="1"/>
  <c r="AM835" i="1"/>
  <c r="AI835" i="1"/>
  <c r="AP835" i="1"/>
  <c r="AL835" i="1"/>
  <c r="AO835" i="1"/>
  <c r="AK835" i="1"/>
  <c r="AN835" i="1"/>
  <c r="AJ835" i="1"/>
  <c r="AP779" i="1"/>
  <c r="AL779" i="1"/>
  <c r="AO779" i="1"/>
  <c r="AK779" i="1"/>
  <c r="AM779" i="1"/>
  <c r="AN779" i="1"/>
  <c r="AJ779" i="1"/>
  <c r="AI779" i="1"/>
  <c r="AP767" i="1"/>
  <c r="AL767" i="1"/>
  <c r="AO767" i="1"/>
  <c r="AK767" i="1"/>
  <c r="AN767" i="1"/>
  <c r="AJ767" i="1"/>
  <c r="AM767" i="1"/>
  <c r="AI767" i="1"/>
  <c r="AP721" i="1"/>
  <c r="AO721" i="1"/>
  <c r="AN717" i="1"/>
  <c r="AJ717" i="1"/>
  <c r="AM717" i="1"/>
  <c r="AI717" i="1"/>
  <c r="AP717" i="1"/>
  <c r="AL717" i="1"/>
  <c r="AO717" i="1"/>
  <c r="AK717" i="1"/>
  <c r="AP605" i="1"/>
  <c r="AL605" i="1"/>
  <c r="AO605" i="1"/>
  <c r="AK605" i="1"/>
  <c r="AN605" i="1"/>
  <c r="AJ605" i="1"/>
  <c r="AM605" i="1"/>
  <c r="AI605" i="1"/>
  <c r="AN589" i="1"/>
  <c r="AJ589" i="1"/>
  <c r="AM589" i="1"/>
  <c r="AI589" i="1"/>
  <c r="AK589" i="1"/>
  <c r="AL589" i="1"/>
  <c r="AP587" i="1"/>
  <c r="AL587" i="1"/>
  <c r="AO587" i="1"/>
  <c r="AK587" i="1"/>
  <c r="AN587" i="1"/>
  <c r="AJ587" i="1"/>
  <c r="AM587" i="1"/>
  <c r="AI587" i="1"/>
  <c r="AN541" i="1"/>
  <c r="AJ541" i="1"/>
  <c r="AM541" i="1"/>
  <c r="AI541" i="1"/>
  <c r="AO541" i="1"/>
  <c r="AP541" i="1"/>
  <c r="AL541" i="1"/>
  <c r="AK541" i="1"/>
  <c r="AN533" i="1"/>
  <c r="AJ533" i="1"/>
  <c r="AM533" i="1"/>
  <c r="AI533" i="1"/>
  <c r="AO533" i="1"/>
  <c r="AK533" i="1"/>
  <c r="AP533" i="1"/>
  <c r="AL533" i="1"/>
  <c r="AN519" i="1"/>
  <c r="AJ519" i="1"/>
  <c r="AM519" i="1"/>
  <c r="AI519" i="1"/>
  <c r="AP519" i="1"/>
  <c r="AL519" i="1"/>
  <c r="AO519" i="1"/>
  <c r="AK519" i="1"/>
  <c r="AP507" i="1"/>
  <c r="AL507" i="1"/>
  <c r="AI507" i="1"/>
  <c r="AO507" i="1"/>
  <c r="AK507" i="1"/>
  <c r="AM507" i="1"/>
  <c r="AN507" i="1"/>
  <c r="AJ507" i="1"/>
  <c r="AN439" i="1"/>
  <c r="AJ439" i="1"/>
  <c r="AP439" i="1"/>
  <c r="AL439" i="1"/>
  <c r="AM439" i="1"/>
  <c r="AK439" i="1"/>
  <c r="AI439" i="1"/>
  <c r="AO439" i="1"/>
  <c r="AO399" i="1"/>
  <c r="AK399" i="1"/>
  <c r="AN399" i="1"/>
  <c r="AJ399" i="1"/>
  <c r="AM399" i="1"/>
  <c r="AI399" i="1"/>
  <c r="AP399" i="1"/>
  <c r="AL399" i="1"/>
  <c r="AN359" i="1"/>
  <c r="AJ359" i="1"/>
  <c r="AK359" i="1"/>
  <c r="AM359" i="1"/>
  <c r="AI359" i="1"/>
  <c r="AO359" i="1"/>
  <c r="AP359" i="1"/>
  <c r="AL359" i="1"/>
  <c r="AO327" i="1"/>
  <c r="AK327" i="1"/>
  <c r="AM327" i="1"/>
  <c r="AI327" i="1"/>
  <c r="AN327" i="1"/>
  <c r="AL327" i="1"/>
  <c r="AJ327" i="1"/>
  <c r="AP327" i="1"/>
  <c r="AM325" i="1"/>
  <c r="AI325" i="1"/>
  <c r="AO325" i="1"/>
  <c r="AK325" i="1"/>
  <c r="AP325" i="1"/>
  <c r="AN325" i="1"/>
  <c r="AL325" i="1"/>
  <c r="AJ325" i="1"/>
  <c r="AO323" i="1"/>
  <c r="AK323" i="1"/>
  <c r="AM323" i="1"/>
  <c r="AI323" i="1"/>
  <c r="AJ323" i="1"/>
  <c r="AP323" i="1"/>
  <c r="AN323" i="1"/>
  <c r="AL323" i="1"/>
  <c r="AP313" i="1"/>
  <c r="AL313" i="1"/>
  <c r="AO313" i="1"/>
  <c r="AK313" i="1"/>
  <c r="AN313" i="1"/>
  <c r="AJ313" i="1"/>
  <c r="AM313" i="1"/>
  <c r="AI313" i="1"/>
  <c r="AN311" i="1"/>
  <c r="AJ311" i="1"/>
  <c r="AM311" i="1"/>
  <c r="AI311" i="1"/>
  <c r="AP311" i="1"/>
  <c r="AL311" i="1"/>
  <c r="AO311" i="1"/>
  <c r="AK311" i="1"/>
  <c r="AP309" i="1"/>
  <c r="AL309" i="1"/>
  <c r="AO309" i="1"/>
  <c r="AK309" i="1"/>
  <c r="AN309" i="1"/>
  <c r="AJ309" i="1"/>
  <c r="AM309" i="1"/>
  <c r="AI309" i="1"/>
  <c r="AN307" i="1"/>
  <c r="AJ307" i="1"/>
  <c r="AM307" i="1"/>
  <c r="AI307" i="1"/>
  <c r="AP307" i="1"/>
  <c r="AL307" i="1"/>
  <c r="AO307" i="1"/>
  <c r="AK307" i="1"/>
  <c r="AN293" i="1"/>
  <c r="AJ293" i="1"/>
  <c r="AO293" i="1"/>
  <c r="AM293" i="1"/>
  <c r="AI293" i="1"/>
  <c r="AK293" i="1"/>
  <c r="AP293" i="1"/>
  <c r="AL293" i="1"/>
  <c r="AP283" i="1"/>
  <c r="AL283" i="1"/>
  <c r="AO283" i="1"/>
  <c r="AI283" i="1"/>
  <c r="AK283" i="1"/>
  <c r="AN283" i="1"/>
  <c r="AJ283" i="1"/>
  <c r="AM283" i="1"/>
  <c r="AP203" i="1"/>
  <c r="AL203" i="1"/>
  <c r="AK203" i="1"/>
  <c r="AM203" i="1"/>
  <c r="AO203" i="1"/>
  <c r="AI203" i="1"/>
  <c r="AN203" i="1"/>
  <c r="AJ203" i="1"/>
  <c r="AN71" i="1"/>
  <c r="AJ71" i="1"/>
  <c r="AM71" i="1"/>
  <c r="AI71" i="1"/>
  <c r="AK71" i="1"/>
  <c r="AP71" i="1"/>
  <c r="AO71" i="1"/>
  <c r="AL71" i="1"/>
  <c r="AN79" i="1"/>
  <c r="AJ79" i="1"/>
  <c r="AM79" i="1"/>
  <c r="AI79" i="1"/>
  <c r="AK79" i="1"/>
  <c r="AP79" i="1"/>
  <c r="AO79" i="1"/>
  <c r="AL79" i="1"/>
  <c r="AM63" i="1"/>
  <c r="AI63" i="1"/>
  <c r="AP63" i="1"/>
  <c r="AL63" i="1"/>
  <c r="AO63" i="1"/>
  <c r="AK63" i="1"/>
  <c r="AN63" i="1"/>
  <c r="AJ63" i="1"/>
  <c r="AM55" i="1"/>
  <c r="AI55" i="1"/>
  <c r="AP55" i="1"/>
  <c r="AL55" i="1"/>
  <c r="AO55" i="1"/>
  <c r="AK55" i="1"/>
  <c r="AN55" i="1"/>
  <c r="AJ55" i="1"/>
  <c r="AM45" i="1"/>
  <c r="AI45" i="1"/>
  <c r="AP45" i="1"/>
  <c r="AL45" i="1"/>
  <c r="AO45" i="1"/>
  <c r="AK45" i="1"/>
  <c r="AN45" i="1"/>
  <c r="AJ45" i="1"/>
  <c r="AM1437" i="1"/>
  <c r="AI1437" i="1"/>
  <c r="AP1437" i="1"/>
  <c r="AL1437" i="1"/>
  <c r="AO1437" i="1"/>
  <c r="AK1437" i="1"/>
  <c r="AN1437" i="1"/>
  <c r="AJ1437" i="1"/>
  <c r="AI185" i="1"/>
  <c r="AN1425" i="1"/>
  <c r="AJ1425" i="1"/>
  <c r="AM1425" i="1"/>
  <c r="AI1425" i="1"/>
  <c r="AP1425" i="1"/>
  <c r="AL1425" i="1"/>
  <c r="AO1425" i="1"/>
  <c r="AK1425" i="1"/>
  <c r="AP1359" i="1"/>
  <c r="AL1359" i="1"/>
  <c r="AO1359" i="1"/>
  <c r="AK1359" i="1"/>
  <c r="AN1359" i="1"/>
  <c r="AJ1359" i="1"/>
  <c r="AM1359" i="1"/>
  <c r="AI1359" i="1"/>
  <c r="AN1115" i="1"/>
  <c r="AJ1115" i="1"/>
  <c r="AP1115" i="1"/>
  <c r="AL1115" i="1"/>
  <c r="AK1115" i="1"/>
  <c r="AI1115" i="1"/>
  <c r="AO1115" i="1"/>
  <c r="AM1115" i="1"/>
  <c r="AO1303" i="1"/>
  <c r="AK1303" i="1"/>
  <c r="AN1303" i="1"/>
  <c r="AJ1303" i="1"/>
  <c r="AM1303" i="1"/>
  <c r="AI1303" i="1"/>
  <c r="AP1303" i="1"/>
  <c r="AL1303" i="1"/>
  <c r="AN1247" i="1"/>
  <c r="AJ1247" i="1"/>
  <c r="AM1247" i="1"/>
  <c r="AI1247" i="1"/>
  <c r="AP1247" i="1"/>
  <c r="AL1247" i="1"/>
  <c r="AO1247" i="1"/>
  <c r="AK1247" i="1"/>
  <c r="AN1239" i="1"/>
  <c r="AJ1239" i="1"/>
  <c r="AM1239" i="1"/>
  <c r="AI1239" i="1"/>
  <c r="AP1239" i="1"/>
  <c r="AL1239" i="1"/>
  <c r="AO1239" i="1"/>
  <c r="AK1239" i="1"/>
  <c r="AN1219" i="1"/>
  <c r="AJ1219" i="1"/>
  <c r="AM1219" i="1"/>
  <c r="AI1219" i="1"/>
  <c r="AP1219" i="1"/>
  <c r="AL1219" i="1"/>
  <c r="AK1219" i="1"/>
  <c r="AO1219" i="1"/>
  <c r="AN1003" i="1"/>
  <c r="AJ1003" i="1"/>
  <c r="AO1003" i="1"/>
  <c r="AM1003" i="1"/>
  <c r="AI1003" i="1"/>
  <c r="AK1003" i="1"/>
  <c r="AP1003" i="1"/>
  <c r="AL1003" i="1"/>
  <c r="AP865" i="1"/>
  <c r="AL865" i="1"/>
  <c r="AO865" i="1"/>
  <c r="AK865" i="1"/>
  <c r="AN865" i="1"/>
  <c r="AJ865" i="1"/>
  <c r="AM865" i="1"/>
  <c r="AI865" i="1"/>
  <c r="AM831" i="1"/>
  <c r="AI831" i="1"/>
  <c r="AP831" i="1"/>
  <c r="AL831" i="1"/>
  <c r="AO831" i="1"/>
  <c r="AK831" i="1"/>
  <c r="AN831" i="1"/>
  <c r="AJ831" i="1"/>
  <c r="AP775" i="1"/>
  <c r="AL775" i="1"/>
  <c r="AI775" i="1"/>
  <c r="AO775" i="1"/>
  <c r="AK775" i="1"/>
  <c r="AM775" i="1"/>
  <c r="AN775" i="1"/>
  <c r="AJ775" i="1"/>
  <c r="AP731" i="1"/>
  <c r="AL731" i="1"/>
  <c r="AO731" i="1"/>
  <c r="AK731" i="1"/>
  <c r="AM731" i="1"/>
  <c r="AN731" i="1"/>
  <c r="AJ731" i="1"/>
  <c r="AI731" i="1"/>
  <c r="AO1439" i="1"/>
  <c r="AK1439" i="1"/>
  <c r="AN1439" i="1"/>
  <c r="AJ1439" i="1"/>
  <c r="AM1439" i="1"/>
  <c r="AI1439" i="1"/>
  <c r="AL1439" i="1"/>
  <c r="AP1439" i="1"/>
  <c r="AM1391" i="1"/>
  <c r="AI1391" i="1"/>
  <c r="AP1391" i="1"/>
  <c r="AL1391" i="1"/>
  <c r="AO1391" i="1"/>
  <c r="AK1391" i="1"/>
  <c r="AJ1391" i="1"/>
  <c r="AN1391" i="1"/>
  <c r="AM1379" i="1"/>
  <c r="AI1379" i="1"/>
  <c r="AP1379" i="1"/>
  <c r="AL1379" i="1"/>
  <c r="AO1379" i="1"/>
  <c r="AK1379" i="1"/>
  <c r="AN1379" i="1"/>
  <c r="AJ1379" i="1"/>
  <c r="AM1375" i="1"/>
  <c r="AI1375" i="1"/>
  <c r="AP1375" i="1"/>
  <c r="AL1375" i="1"/>
  <c r="AO1375" i="1"/>
  <c r="AK1375" i="1"/>
  <c r="AJ1375" i="1"/>
  <c r="AN1375" i="1"/>
  <c r="AP1273" i="1"/>
  <c r="AL1273" i="1"/>
  <c r="AO1273" i="1"/>
  <c r="AK1273" i="1"/>
  <c r="AN1273" i="1"/>
  <c r="AJ1273" i="1"/>
  <c r="AM1273" i="1"/>
  <c r="AI1273" i="1"/>
  <c r="AK1329" i="1"/>
  <c r="AJ1329" i="1"/>
  <c r="AI1329" i="1"/>
  <c r="AJ1331" i="1"/>
  <c r="AI1331" i="1"/>
  <c r="AK1331" i="1"/>
  <c r="AO1157" i="1"/>
  <c r="AK1157" i="1"/>
  <c r="AN1157" i="1"/>
  <c r="AJ1157" i="1"/>
  <c r="AM1157" i="1"/>
  <c r="AI1157" i="1"/>
  <c r="AP1157" i="1"/>
  <c r="AL1157" i="1"/>
  <c r="AO1123" i="1"/>
  <c r="AK1123" i="1"/>
  <c r="AL1123" i="1"/>
  <c r="AP1123" i="1"/>
  <c r="AJ1123" i="1"/>
  <c r="AN1123" i="1"/>
  <c r="AI1123" i="1"/>
  <c r="AM1123" i="1"/>
  <c r="AM1121" i="1"/>
  <c r="AI1121" i="1"/>
  <c r="AP1121" i="1"/>
  <c r="AK1121" i="1"/>
  <c r="AO1121" i="1"/>
  <c r="AJ1121" i="1"/>
  <c r="AN1121" i="1"/>
  <c r="AL1121" i="1"/>
  <c r="AK995" i="1"/>
  <c r="AJ995" i="1"/>
  <c r="AI995" i="1"/>
  <c r="AP1295" i="1"/>
  <c r="AL1295" i="1"/>
  <c r="AO1295" i="1"/>
  <c r="AK1295" i="1"/>
  <c r="AI1295" i="1"/>
  <c r="AN1295" i="1"/>
  <c r="AM1295" i="1"/>
  <c r="AJ1295" i="1"/>
  <c r="AP1299" i="1"/>
  <c r="AL1299" i="1"/>
  <c r="AO1299" i="1"/>
  <c r="AK1299" i="1"/>
  <c r="AI1299" i="1"/>
  <c r="AN1299" i="1"/>
  <c r="AM1299" i="1"/>
  <c r="AJ1299" i="1"/>
  <c r="AN1259" i="1"/>
  <c r="AJ1259" i="1"/>
  <c r="AM1259" i="1"/>
  <c r="AI1259" i="1"/>
  <c r="AP1259" i="1"/>
  <c r="AL1259" i="1"/>
  <c r="AO1259" i="1"/>
  <c r="AK1259" i="1"/>
  <c r="AP1249" i="1"/>
  <c r="AL1249" i="1"/>
  <c r="AO1249" i="1"/>
  <c r="AJ1249" i="1"/>
  <c r="AN1249" i="1"/>
  <c r="AI1249" i="1"/>
  <c r="AM1249" i="1"/>
  <c r="AK1249" i="1"/>
  <c r="AP1245" i="1"/>
  <c r="AL1245" i="1"/>
  <c r="AO1245" i="1"/>
  <c r="AK1245" i="1"/>
  <c r="AN1245" i="1"/>
  <c r="AJ1245" i="1"/>
  <c r="AM1245" i="1"/>
  <c r="AI1245" i="1"/>
  <c r="AP1241" i="1"/>
  <c r="AL1241" i="1"/>
  <c r="AO1241" i="1"/>
  <c r="AK1241" i="1"/>
  <c r="AN1241" i="1"/>
  <c r="AJ1241" i="1"/>
  <c r="AM1241" i="1"/>
  <c r="AI1241" i="1"/>
  <c r="AP1237" i="1"/>
  <c r="AL1237" i="1"/>
  <c r="AO1237" i="1"/>
  <c r="AK1237" i="1"/>
  <c r="AN1237" i="1"/>
  <c r="AJ1237" i="1"/>
  <c r="AM1237" i="1"/>
  <c r="AI1237" i="1"/>
  <c r="AP1217" i="1"/>
  <c r="AL1217" i="1"/>
  <c r="AO1217" i="1"/>
  <c r="AK1217" i="1"/>
  <c r="AN1217" i="1"/>
  <c r="AJ1217" i="1"/>
  <c r="AM1217" i="1"/>
  <c r="AI1217" i="1"/>
  <c r="AN1165" i="1"/>
  <c r="AJ1165" i="1"/>
  <c r="AM1165" i="1"/>
  <c r="AI1165" i="1"/>
  <c r="AP1165" i="1"/>
  <c r="AL1165" i="1"/>
  <c r="AO1165" i="1"/>
  <c r="AK1165" i="1"/>
  <c r="AN1161" i="1"/>
  <c r="AJ1161" i="1"/>
  <c r="AM1161" i="1"/>
  <c r="AI1161" i="1"/>
  <c r="AP1161" i="1"/>
  <c r="AL1161" i="1"/>
  <c r="AO1161" i="1"/>
  <c r="AK1161" i="1"/>
  <c r="AP1149" i="1"/>
  <c r="AL1149" i="1"/>
  <c r="AN1149" i="1"/>
  <c r="AJ1149" i="1"/>
  <c r="AI1149" i="1"/>
  <c r="AO1149" i="1"/>
  <c r="AM1149" i="1"/>
  <c r="AK1149" i="1"/>
  <c r="AN1111" i="1"/>
  <c r="AJ1111" i="1"/>
  <c r="AO1111" i="1"/>
  <c r="AI1111" i="1"/>
  <c r="AK1111" i="1"/>
  <c r="AM1111" i="1"/>
  <c r="AP1111" i="1"/>
  <c r="AL1111" i="1"/>
  <c r="AP1001" i="1"/>
  <c r="AL1001" i="1"/>
  <c r="AO1001" i="1"/>
  <c r="AK1001" i="1"/>
  <c r="AM1001" i="1"/>
  <c r="AI1001" i="1"/>
  <c r="AN1001" i="1"/>
  <c r="AJ1001" i="1"/>
  <c r="AO947" i="1"/>
  <c r="AK947" i="1"/>
  <c r="AP947" i="1"/>
  <c r="AJ947" i="1"/>
  <c r="AN947" i="1"/>
  <c r="AI947" i="1"/>
  <c r="AM947" i="1"/>
  <c r="AL947" i="1"/>
  <c r="AP945" i="1"/>
  <c r="AL945" i="1"/>
  <c r="AO945" i="1"/>
  <c r="AK945" i="1"/>
  <c r="AN945" i="1"/>
  <c r="AJ945" i="1"/>
  <c r="AM945" i="1"/>
  <c r="AI945" i="1"/>
  <c r="AN943" i="1"/>
  <c r="AJ943" i="1"/>
  <c r="AM943" i="1"/>
  <c r="AI943" i="1"/>
  <c r="AP943" i="1"/>
  <c r="AL943" i="1"/>
  <c r="AO943" i="1"/>
  <c r="AK943" i="1"/>
  <c r="AP941" i="1"/>
  <c r="AL941" i="1"/>
  <c r="AO941" i="1"/>
  <c r="AK941" i="1"/>
  <c r="AN941" i="1"/>
  <c r="AJ941" i="1"/>
  <c r="AM941" i="1"/>
  <c r="AI941" i="1"/>
  <c r="AP857" i="1"/>
  <c r="AL857" i="1"/>
  <c r="AO857" i="1"/>
  <c r="AK857" i="1"/>
  <c r="AN857" i="1"/>
  <c r="AJ857" i="1"/>
  <c r="AM857" i="1"/>
  <c r="AI857" i="1"/>
  <c r="AP849" i="1"/>
  <c r="AL849" i="1"/>
  <c r="AO849" i="1"/>
  <c r="AK849" i="1"/>
  <c r="AN849" i="1"/>
  <c r="AJ849" i="1"/>
  <c r="AM849" i="1"/>
  <c r="AI849" i="1"/>
  <c r="AP841" i="1"/>
  <c r="AL841" i="1"/>
  <c r="AO841" i="1"/>
  <c r="AK841" i="1"/>
  <c r="AN841" i="1"/>
  <c r="AJ841" i="1"/>
  <c r="AM841" i="1"/>
  <c r="AI841" i="1"/>
  <c r="AO837" i="1"/>
  <c r="AK837" i="1"/>
  <c r="AN837" i="1"/>
  <c r="AJ837" i="1"/>
  <c r="AM837" i="1"/>
  <c r="AI837" i="1"/>
  <c r="AP837" i="1"/>
  <c r="AL837" i="1"/>
  <c r="AN781" i="1"/>
  <c r="AJ781" i="1"/>
  <c r="AO781" i="1"/>
  <c r="AM781" i="1"/>
  <c r="AI781" i="1"/>
  <c r="AK781" i="1"/>
  <c r="AP781" i="1"/>
  <c r="AL781" i="1"/>
  <c r="AP667" i="1"/>
  <c r="AL667" i="1"/>
  <c r="AO667" i="1"/>
  <c r="AK667" i="1"/>
  <c r="AI667" i="1"/>
  <c r="AN667" i="1"/>
  <c r="AJ667" i="1"/>
  <c r="AM667" i="1"/>
  <c r="AN603" i="1"/>
  <c r="AJ603" i="1"/>
  <c r="AM603" i="1"/>
  <c r="AI603" i="1"/>
  <c r="AP603" i="1"/>
  <c r="AL603" i="1"/>
  <c r="AK603" i="1"/>
  <c r="AO603" i="1"/>
  <c r="AN571" i="1"/>
  <c r="AJ571" i="1"/>
  <c r="AM571" i="1"/>
  <c r="AI571" i="1"/>
  <c r="AP571" i="1"/>
  <c r="AL571" i="1"/>
  <c r="AO571" i="1"/>
  <c r="AK571" i="1"/>
  <c r="AP555" i="1"/>
  <c r="AL555" i="1"/>
  <c r="AI555" i="1"/>
  <c r="AO555" i="1"/>
  <c r="AK555" i="1"/>
  <c r="AN555" i="1"/>
  <c r="AJ555" i="1"/>
  <c r="AM555" i="1"/>
  <c r="AP543" i="1"/>
  <c r="AL543" i="1"/>
  <c r="AO543" i="1"/>
  <c r="AK543" i="1"/>
  <c r="AN543" i="1"/>
  <c r="AJ543" i="1"/>
  <c r="AM543" i="1"/>
  <c r="AI543" i="1"/>
  <c r="AP535" i="1"/>
  <c r="AL535" i="1"/>
  <c r="AM535" i="1"/>
  <c r="AO535" i="1"/>
  <c r="AK535" i="1"/>
  <c r="AN535" i="1"/>
  <c r="AJ535" i="1"/>
  <c r="AI535" i="1"/>
  <c r="AP517" i="1"/>
  <c r="AL517" i="1"/>
  <c r="AO517" i="1"/>
  <c r="AK517" i="1"/>
  <c r="AN517" i="1"/>
  <c r="AJ517" i="1"/>
  <c r="AM517" i="1"/>
  <c r="AI517" i="1"/>
  <c r="AN509" i="1"/>
  <c r="AJ509" i="1"/>
  <c r="AM509" i="1"/>
  <c r="AI509" i="1"/>
  <c r="AO509" i="1"/>
  <c r="AP509" i="1"/>
  <c r="AL509" i="1"/>
  <c r="AK509" i="1"/>
  <c r="AN499" i="1"/>
  <c r="AJ499" i="1"/>
  <c r="AM499" i="1"/>
  <c r="AI499" i="1"/>
  <c r="AP499" i="1"/>
  <c r="AL499" i="1"/>
  <c r="AO499" i="1"/>
  <c r="AK499" i="1"/>
  <c r="AM441" i="1"/>
  <c r="AI441" i="1"/>
  <c r="AP441" i="1"/>
  <c r="AL441" i="1"/>
  <c r="AO441" i="1"/>
  <c r="AK441" i="1"/>
  <c r="AN441" i="1"/>
  <c r="AJ441" i="1"/>
  <c r="AP361" i="1"/>
  <c r="AL361" i="1"/>
  <c r="AO361" i="1"/>
  <c r="AK361" i="1"/>
  <c r="AN361" i="1"/>
  <c r="AJ361" i="1"/>
  <c r="AI361" i="1"/>
  <c r="AM361" i="1"/>
  <c r="AP295" i="1"/>
  <c r="AL295" i="1"/>
  <c r="AO295" i="1"/>
  <c r="AK295" i="1"/>
  <c r="AM295" i="1"/>
  <c r="AN295" i="1"/>
  <c r="AJ295" i="1"/>
  <c r="AI295" i="1"/>
  <c r="AN285" i="1"/>
  <c r="AJ285" i="1"/>
  <c r="AM285" i="1"/>
  <c r="AI285" i="1"/>
  <c r="AP285" i="1"/>
  <c r="AL285" i="1"/>
  <c r="AO285" i="1"/>
  <c r="AK285" i="1"/>
  <c r="AN239" i="1"/>
  <c r="AJ239" i="1"/>
  <c r="AM239" i="1"/>
  <c r="AI239" i="1"/>
  <c r="AP239" i="1"/>
  <c r="AL239" i="1"/>
  <c r="AO239" i="1"/>
  <c r="AK239" i="1"/>
  <c r="AN235" i="1"/>
  <c r="AJ235" i="1"/>
  <c r="AM235" i="1"/>
  <c r="AI235" i="1"/>
  <c r="AP235" i="1"/>
  <c r="AL235" i="1"/>
  <c r="AO235" i="1"/>
  <c r="AK235" i="1"/>
  <c r="AN231" i="1"/>
  <c r="AJ231" i="1"/>
  <c r="AM231" i="1"/>
  <c r="AI231" i="1"/>
  <c r="AP231" i="1"/>
  <c r="AL231" i="1"/>
  <c r="AK231" i="1"/>
  <c r="AO231" i="1"/>
  <c r="AN205" i="1"/>
  <c r="AJ205" i="1"/>
  <c r="AM205" i="1"/>
  <c r="AI205" i="1"/>
  <c r="AP205" i="1"/>
  <c r="AL205" i="1"/>
  <c r="AK205" i="1"/>
  <c r="AO205" i="1"/>
  <c r="AN187" i="1"/>
  <c r="AJ187" i="1"/>
  <c r="AM187" i="1"/>
  <c r="AI187" i="1"/>
  <c r="AP187" i="1"/>
  <c r="AL187" i="1"/>
  <c r="AO187" i="1"/>
  <c r="AK187" i="1"/>
  <c r="AM181" i="1"/>
  <c r="AL181" i="1"/>
  <c r="AJ181" i="1"/>
  <c r="AP181" i="1"/>
  <c r="AN181" i="1"/>
  <c r="AI181" i="1"/>
  <c r="AO181" i="1"/>
  <c r="AK181" i="1"/>
  <c r="AP179" i="1"/>
  <c r="AL179" i="1"/>
  <c r="AO179" i="1"/>
  <c r="AK179" i="1"/>
  <c r="AN179" i="1"/>
  <c r="AJ179" i="1"/>
  <c r="AM179" i="1"/>
  <c r="AI179" i="1"/>
  <c r="AN85" i="1"/>
  <c r="AJ85" i="1"/>
  <c r="AM85" i="1"/>
  <c r="AI85" i="1"/>
  <c r="AP85" i="1"/>
  <c r="AL85" i="1"/>
  <c r="AO85" i="1"/>
  <c r="AK85" i="1"/>
  <c r="AP77" i="1"/>
  <c r="AL77" i="1"/>
  <c r="AO77" i="1"/>
  <c r="AK77" i="1"/>
  <c r="AM77" i="1"/>
  <c r="AJ77" i="1"/>
  <c r="AI77" i="1"/>
  <c r="AN77" i="1"/>
  <c r="AO69" i="1"/>
  <c r="AK69" i="1"/>
  <c r="AN69" i="1"/>
  <c r="AJ69" i="1"/>
  <c r="AM69" i="1"/>
  <c r="AI69" i="1"/>
  <c r="AP69" i="1"/>
  <c r="AL69" i="1"/>
  <c r="AO61" i="1"/>
  <c r="AK61" i="1"/>
  <c r="AN61" i="1"/>
  <c r="AJ61" i="1"/>
  <c r="AM61" i="1"/>
  <c r="AI61" i="1"/>
  <c r="AP61" i="1"/>
  <c r="AL61" i="1"/>
  <c r="AO53" i="1"/>
  <c r="AK53" i="1"/>
  <c r="AN53" i="1"/>
  <c r="AJ53" i="1"/>
  <c r="AM53" i="1"/>
  <c r="AI53" i="1"/>
  <c r="AP53" i="1"/>
  <c r="AL53" i="1"/>
  <c r="AO43" i="1"/>
  <c r="AK43" i="1"/>
  <c r="AN43" i="1"/>
  <c r="AJ43" i="1"/>
  <c r="AM43" i="1"/>
  <c r="AI43" i="1"/>
  <c r="AP43" i="1"/>
  <c r="AL43" i="1"/>
  <c r="AP747" i="1"/>
  <c r="AL747" i="1"/>
  <c r="AO747" i="1"/>
  <c r="AK747" i="1"/>
  <c r="AN747" i="1"/>
  <c r="AJ747" i="1"/>
  <c r="AM747" i="1"/>
  <c r="AI747" i="1"/>
  <c r="AN1475" i="1"/>
  <c r="AJ1475" i="1"/>
  <c r="AM1475" i="1"/>
  <c r="AI1475" i="1"/>
  <c r="AP1475" i="1"/>
  <c r="AL1475" i="1"/>
  <c r="AO1475" i="1"/>
  <c r="AK1475" i="1"/>
  <c r="AG1507" i="1" l="1"/>
  <c r="AG1505" i="1"/>
  <c r="AG1504" i="1"/>
  <c r="AG1503" i="1"/>
  <c r="AG1506" i="1"/>
  <c r="AF1507" i="1"/>
  <c r="AF1505" i="1"/>
  <c r="AF1504" i="1"/>
  <c r="AF1503" i="1"/>
  <c r="AF1506" i="1"/>
  <c r="Y1505" i="1"/>
  <c r="Y1504" i="1"/>
  <c r="Y1503" i="1"/>
  <c r="Y1507" i="1"/>
  <c r="Y1506" i="1"/>
  <c r="AE767" i="1"/>
  <c r="AE1507" i="1" s="1"/>
  <c r="AJ37" i="1"/>
  <c r="AK37" i="1"/>
  <c r="AI37" i="1"/>
  <c r="AC37" i="1"/>
  <c r="AP995" i="1"/>
  <c r="AL995" i="1"/>
  <c r="AO995" i="1"/>
  <c r="AN995" i="1"/>
  <c r="AM995" i="1"/>
  <c r="AN1331" i="1"/>
  <c r="AP1329" i="1"/>
  <c r="AL1329" i="1"/>
  <c r="AM1331" i="1"/>
  <c r="AO1329" i="1"/>
  <c r="AP1331" i="1"/>
  <c r="AL1331" i="1"/>
  <c r="AN1329" i="1"/>
  <c r="AO1331" i="1"/>
  <c r="AM1329" i="1"/>
  <c r="AP321" i="1"/>
  <c r="AL321" i="1"/>
  <c r="AN319" i="1"/>
  <c r="AP317" i="1"/>
  <c r="AL317" i="1"/>
  <c r="AN315" i="1"/>
  <c r="AO319" i="1"/>
  <c r="AM317" i="1"/>
  <c r="AO321" i="1"/>
  <c r="AM319" i="1"/>
  <c r="AO317" i="1"/>
  <c r="AM315" i="1"/>
  <c r="AN321" i="1"/>
  <c r="AP319" i="1"/>
  <c r="AL319" i="1"/>
  <c r="AN317" i="1"/>
  <c r="AP315" i="1"/>
  <c r="AL315" i="1"/>
  <c r="AM321" i="1"/>
  <c r="AO315" i="1"/>
  <c r="AP185" i="1"/>
  <c r="AM185" i="1"/>
  <c r="AL185" i="1"/>
  <c r="AN185" i="1"/>
  <c r="AO185" i="1"/>
  <c r="AN1155" i="1"/>
  <c r="AP1153" i="1"/>
  <c r="AL1153" i="1"/>
  <c r="AM1155" i="1"/>
  <c r="AO1153" i="1"/>
  <c r="AP1155" i="1"/>
  <c r="AN1153" i="1"/>
  <c r="AM1153" i="1"/>
  <c r="AL1155" i="1"/>
  <c r="AL287" i="1"/>
  <c r="AO621" i="1"/>
  <c r="AP619" i="1"/>
  <c r="AL619" i="1"/>
  <c r="AM617" i="1"/>
  <c r="AN615" i="1"/>
  <c r="AO613" i="1"/>
  <c r="AP611" i="1"/>
  <c r="AL611" i="1"/>
  <c r="AM609" i="1"/>
  <c r="AN607" i="1"/>
  <c r="AO511" i="1"/>
  <c r="AM623" i="1"/>
  <c r="AM287" i="1"/>
  <c r="AN617" i="1"/>
  <c r="AM611" i="1"/>
  <c r="AP511" i="1"/>
  <c r="AN287" i="1"/>
  <c r="AN621" i="1"/>
  <c r="AO619" i="1"/>
  <c r="AP617" i="1"/>
  <c r="AL617" i="1"/>
  <c r="AM615" i="1"/>
  <c r="AN613" i="1"/>
  <c r="AO611" i="1"/>
  <c r="AP609" i="1"/>
  <c r="AL609" i="1"/>
  <c r="AM607" i="1"/>
  <c r="AN511" i="1"/>
  <c r="AP623" i="1"/>
  <c r="AL623" i="1"/>
  <c r="AP287" i="1"/>
  <c r="AP613" i="1"/>
  <c r="AO607" i="1"/>
  <c r="AL511" i="1"/>
  <c r="AM621" i="1"/>
  <c r="AN619" i="1"/>
  <c r="AO617" i="1"/>
  <c r="AP615" i="1"/>
  <c r="AL615" i="1"/>
  <c r="AM613" i="1"/>
  <c r="AN611" i="1"/>
  <c r="AO609" i="1"/>
  <c r="AP607" i="1"/>
  <c r="AL607" i="1"/>
  <c r="AM511" i="1"/>
  <c r="AO623" i="1"/>
  <c r="AO287" i="1"/>
  <c r="AP621" i="1"/>
  <c r="AL621" i="1"/>
  <c r="AM619" i="1"/>
  <c r="AO615" i="1"/>
  <c r="AL613" i="1"/>
  <c r="AN609" i="1"/>
  <c r="AN623" i="1"/>
  <c r="AE1503" i="1" l="1"/>
  <c r="AE1504" i="1"/>
  <c r="AE1505" i="1"/>
  <c r="AC1504" i="1"/>
  <c r="AC1503" i="1"/>
  <c r="AC1507" i="1"/>
  <c r="AC1506" i="1"/>
  <c r="AC1505" i="1"/>
  <c r="AE1506" i="1"/>
  <c r="AD37" i="1"/>
  <c r="AO1155" i="1"/>
  <c r="AN1131" i="1"/>
  <c r="AP1129" i="1"/>
  <c r="AL1129" i="1"/>
  <c r="AN1143" i="1"/>
  <c r="AP1141" i="1"/>
  <c r="AL1141" i="1"/>
  <c r="AN1139" i="1"/>
  <c r="AP1137" i="1"/>
  <c r="AL1137" i="1"/>
  <c r="AN1135" i="1"/>
  <c r="AP1133" i="1"/>
  <c r="AL1133" i="1"/>
  <c r="AN3" i="1"/>
  <c r="AP9" i="1"/>
  <c r="AL9" i="1"/>
  <c r="AN7" i="1"/>
  <c r="AP5" i="1"/>
  <c r="AL5" i="1"/>
  <c r="AO1139" i="1"/>
  <c r="AO1135" i="1"/>
  <c r="AM9" i="1"/>
  <c r="AM1131" i="1"/>
  <c r="AO1129" i="1"/>
  <c r="AM1143" i="1"/>
  <c r="AO1141" i="1"/>
  <c r="AM1139" i="1"/>
  <c r="AO1137" i="1"/>
  <c r="AM1135" i="1"/>
  <c r="AO1133" i="1"/>
  <c r="AM3" i="1"/>
  <c r="AO9" i="1"/>
  <c r="AM7" i="1"/>
  <c r="AO5" i="1"/>
  <c r="AN5" i="1"/>
  <c r="AO1131" i="1"/>
  <c r="AO1143" i="1"/>
  <c r="AM1141" i="1"/>
  <c r="AM1133" i="1"/>
  <c r="AO7" i="1"/>
  <c r="AM5" i="1"/>
  <c r="AP1131" i="1"/>
  <c r="AL1131" i="1"/>
  <c r="AN1129" i="1"/>
  <c r="AP1143" i="1"/>
  <c r="AL1143" i="1"/>
  <c r="AN1141" i="1"/>
  <c r="AP1139" i="1"/>
  <c r="AL1139" i="1"/>
  <c r="AN1137" i="1"/>
  <c r="AP1135" i="1"/>
  <c r="AL1135" i="1"/>
  <c r="AN1133" i="1"/>
  <c r="AP3" i="1"/>
  <c r="AN9" i="1"/>
  <c r="AP7" i="1"/>
  <c r="AL7" i="1"/>
  <c r="AM1129" i="1"/>
  <c r="AM1137" i="1"/>
  <c r="AO3" i="1"/>
  <c r="AL37" i="1"/>
  <c r="AT1153" i="1" l="1"/>
  <c r="AR1153" i="1"/>
  <c r="AT1129" i="1"/>
  <c r="AR1129" i="1"/>
  <c r="AQ1153" i="1"/>
  <c r="AQ1129" i="1"/>
  <c r="AR1155" i="1"/>
  <c r="AT1131" i="1"/>
  <c r="AT621" i="1"/>
  <c r="AQ621" i="1"/>
  <c r="AQ617" i="1"/>
  <c r="AQ613" i="1"/>
  <c r="AQ609" i="1"/>
  <c r="AQ511" i="1"/>
  <c r="AQ623" i="1"/>
  <c r="AQ1155" i="1"/>
  <c r="AT619" i="1"/>
  <c r="AR619" i="1"/>
  <c r="AT615" i="1"/>
  <c r="AR615" i="1"/>
  <c r="AT611" i="1"/>
  <c r="AR611" i="1"/>
  <c r="AT607" i="1"/>
  <c r="AR607" i="1"/>
  <c r="AT995" i="1"/>
  <c r="AR995" i="1"/>
  <c r="AT1155" i="1"/>
  <c r="AR1131" i="1"/>
  <c r="AQ615" i="1"/>
  <c r="AQ607" i="1"/>
  <c r="AT1141" i="1"/>
  <c r="AR1141" i="1"/>
  <c r="AT1137" i="1"/>
  <c r="AR1137" i="1"/>
  <c r="AT1133" i="1"/>
  <c r="AR1133" i="1"/>
  <c r="AT319" i="1"/>
  <c r="AQ1131" i="1"/>
  <c r="AR617" i="1"/>
  <c r="AT613" i="1"/>
  <c r="AR609" i="1"/>
  <c r="AR511" i="1"/>
  <c r="AQ611" i="1"/>
  <c r="AQ995" i="1"/>
  <c r="AT623" i="1"/>
  <c r="AT1143" i="1"/>
  <c r="AQ1143" i="1"/>
  <c r="AQ1141" i="1"/>
  <c r="AR1139" i="1"/>
  <c r="AR621" i="1"/>
  <c r="AT609" i="1"/>
  <c r="AR623" i="1"/>
  <c r="AQ1137" i="1"/>
  <c r="AQ1135" i="1"/>
  <c r="AQ319" i="1"/>
  <c r="AQ315" i="1"/>
  <c r="AR613" i="1"/>
  <c r="AT511" i="1"/>
  <c r="AQ1139" i="1"/>
  <c r="AT1135" i="1"/>
  <c r="AT317" i="1"/>
  <c r="AR317" i="1"/>
  <c r="AT287" i="1"/>
  <c r="AR287" i="1"/>
  <c r="AT7" i="1"/>
  <c r="AR7" i="1"/>
  <c r="AT3" i="1"/>
  <c r="AR3" i="1"/>
  <c r="AR1143" i="1"/>
  <c r="AQ619" i="1"/>
  <c r="AT1139" i="1"/>
  <c r="AT617" i="1"/>
  <c r="AR1135" i="1"/>
  <c r="AQ317" i="1"/>
  <c r="AQ287" i="1"/>
  <c r="AT5" i="1"/>
  <c r="AQ5" i="1"/>
  <c r="AQ3" i="1"/>
  <c r="AR319" i="1"/>
  <c r="AR315" i="1"/>
  <c r="AT9" i="1"/>
  <c r="AQ7" i="1"/>
  <c r="AQ1133" i="1"/>
  <c r="AT321" i="1"/>
  <c r="AT315" i="1"/>
  <c r="AQ9" i="1"/>
  <c r="AR5" i="1"/>
  <c r="AR321" i="1"/>
  <c r="AR9" i="1"/>
  <c r="AQ321" i="1"/>
  <c r="AR47" i="1"/>
  <c r="AQ47" i="1"/>
  <c r="AT47" i="1"/>
  <c r="AR1331" i="1"/>
  <c r="AT1331" i="1"/>
  <c r="AQ1329" i="1"/>
  <c r="AR1329" i="1"/>
  <c r="AQ1331" i="1"/>
  <c r="AT1329" i="1"/>
  <c r="AT29" i="1"/>
  <c r="AR29" i="1"/>
  <c r="AQ29" i="1"/>
  <c r="AT185" i="1"/>
  <c r="AR185" i="1"/>
  <c r="AQ185" i="1"/>
  <c r="AT581" i="1" l="1"/>
  <c r="AP581" i="1"/>
  <c r="AN581" i="1"/>
  <c r="AL581" i="1"/>
  <c r="AP1447" i="1" l="1"/>
  <c r="AT1447" i="1"/>
  <c r="AL1447" i="1"/>
  <c r="AM1447" i="1"/>
  <c r="AN1447" i="1"/>
  <c r="AO1447" i="1"/>
  <c r="AQ1447" i="1"/>
  <c r="AR1447" i="1"/>
  <c r="AN521" i="1" l="1"/>
  <c r="AM521" i="1"/>
  <c r="AQ529" i="1"/>
  <c r="AO529" i="1"/>
  <c r="AO527" i="1"/>
  <c r="AO525" i="1"/>
  <c r="AN527" i="1"/>
  <c r="AN525" i="1"/>
  <c r="AN523" i="1"/>
  <c r="AM529" i="1"/>
  <c r="AM527" i="1"/>
  <c r="AM525" i="1"/>
  <c r="AM523" i="1"/>
  <c r="AQ527" i="1"/>
  <c r="AQ525" i="1"/>
  <c r="AQ523" i="1"/>
  <c r="AO523" i="1"/>
  <c r="AN529" i="1"/>
  <c r="AN557" i="1"/>
  <c r="AM557" i="1"/>
  <c r="AT557" i="1"/>
  <c r="AT529" i="1"/>
  <c r="AT525" i="1"/>
  <c r="AT521" i="1"/>
  <c r="AT527" i="1"/>
  <c r="AT523" i="1"/>
  <c r="AP1383" i="1"/>
  <c r="AQ1383" i="1"/>
  <c r="AR1383" i="1"/>
  <c r="AT1383" i="1"/>
  <c r="AL1383" i="1"/>
  <c r="AO1383" i="1"/>
  <c r="AT265" i="1" l="1"/>
  <c r="AP265" i="1"/>
  <c r="AO265" i="1"/>
  <c r="AM265" i="1"/>
  <c r="AR265" i="1"/>
  <c r="AL265" i="1"/>
  <c r="AQ265" i="1"/>
  <c r="AN265" i="1"/>
  <c r="AT267" i="1"/>
  <c r="AN267" i="1"/>
  <c r="AM267" i="1"/>
  <c r="AR267" i="1"/>
  <c r="AQ267" i="1"/>
  <c r="AP267" i="1"/>
  <c r="AO267" i="1"/>
  <c r="AL267" i="1"/>
  <c r="AT269" i="1"/>
  <c r="AP269" i="1"/>
  <c r="AO269" i="1"/>
  <c r="AN269" i="1"/>
  <c r="AM269" i="1"/>
  <c r="AR269" i="1"/>
  <c r="AL269" i="1"/>
  <c r="AQ269" i="1"/>
  <c r="AT1487" i="1"/>
  <c r="AP1487" i="1"/>
  <c r="AO1487" i="1"/>
  <c r="AN1487" i="1"/>
  <c r="AM1487" i="1"/>
  <c r="AR1487" i="1"/>
  <c r="AL1487" i="1"/>
  <c r="AQ1487" i="1"/>
  <c r="AT1491" i="1"/>
  <c r="AP1491" i="1"/>
  <c r="AO1489" i="1"/>
  <c r="AN1491" i="1"/>
  <c r="AM1489" i="1"/>
  <c r="AM1491" i="1"/>
  <c r="AL1489" i="1"/>
  <c r="AQ1489" i="1"/>
  <c r="AR1489" i="1"/>
  <c r="AQ1491" i="1"/>
  <c r="AP1489" i="1"/>
  <c r="AN1489" i="1"/>
  <c r="AT1489" i="1"/>
  <c r="AQ675" i="1"/>
  <c r="AQ671" i="1"/>
  <c r="AT673" i="1"/>
  <c r="AL1491" i="1"/>
  <c r="AR1491" i="1"/>
  <c r="AO1491" i="1"/>
  <c r="AT671" i="1"/>
  <c r="AT675" i="1"/>
  <c r="AQ117" i="1" l="1"/>
  <c r="AL119" i="1"/>
  <c r="AM119" i="1"/>
  <c r="AR119" i="1"/>
  <c r="AQ119" i="1"/>
  <c r="AN117" i="1"/>
  <c r="AT117" i="1"/>
  <c r="AR117" i="1"/>
  <c r="AO117" i="1"/>
  <c r="AM117" i="1"/>
  <c r="AL117" i="1"/>
  <c r="AT753" i="1" l="1"/>
  <c r="AP753" i="1"/>
  <c r="AO753" i="1"/>
  <c r="AP757" i="1"/>
  <c r="AQ757" i="1"/>
  <c r="AT757" i="1"/>
  <c r="AO757" i="1"/>
  <c r="AO763" i="1"/>
  <c r="AO761" i="1"/>
  <c r="AO759" i="1"/>
  <c r="AN765" i="1"/>
  <c r="AN761" i="1"/>
  <c r="AN759" i="1"/>
  <c r="AN763" i="1"/>
  <c r="AQ765" i="1"/>
  <c r="AQ763" i="1"/>
  <c r="AQ761" i="1"/>
  <c r="AL759" i="1"/>
  <c r="AQ759" i="1"/>
  <c r="AN1125" i="1"/>
  <c r="AM1125" i="1"/>
  <c r="AQ1127" i="1"/>
  <c r="AR997" i="1" a="1"/>
  <c r="AR997" i="1" s="1"/>
  <c r="AL997" i="1" a="1"/>
  <c r="AL997" i="1" s="1"/>
  <c r="AQ997" i="1" a="1"/>
  <c r="AQ997" i="1" s="1"/>
  <c r="AN997" i="1" a="1"/>
  <c r="AN997" i="1" s="1"/>
  <c r="AT997" i="1" a="1"/>
  <c r="AT997" i="1" s="1"/>
  <c r="AP997" i="1" a="1"/>
  <c r="AP997" i="1" s="1"/>
  <c r="AM997" i="1" a="1"/>
  <c r="AM997" i="1" s="1"/>
  <c r="AO997" i="1" a="1"/>
  <c r="AO997" i="1" s="1"/>
  <c r="AT751" i="1"/>
  <c r="AT761" i="1"/>
  <c r="AT755" i="1"/>
  <c r="AT765" i="1"/>
  <c r="AT763" i="1"/>
  <c r="AT759" i="1"/>
  <c r="AL755" i="1"/>
  <c r="AQ751" i="1"/>
  <c r="AT1125" i="1"/>
  <c r="AP1125" i="1"/>
  <c r="AT119" i="1"/>
  <c r="AT1169" i="1"/>
  <c r="AP1169" i="1"/>
  <c r="AO1169" i="1"/>
  <c r="AN1169" i="1"/>
  <c r="AM1169" i="1"/>
  <c r="AR1169" i="1"/>
  <c r="AL1169" i="1"/>
  <c r="AQ1169" i="1"/>
  <c r="AT1171" i="1"/>
  <c r="AP1171" i="1"/>
  <c r="AO1171" i="1"/>
  <c r="AN1171" i="1"/>
  <c r="AR1171" i="1"/>
  <c r="AM1171" i="1"/>
  <c r="AL1171" i="1"/>
  <c r="AT1173" i="1"/>
  <c r="AP1173" i="1"/>
  <c r="AO1173" i="1"/>
  <c r="AN1173" i="1"/>
  <c r="AM1173" i="1"/>
  <c r="AR1173" i="1"/>
  <c r="AL1173" i="1"/>
  <c r="AQ1173" i="1" l="1"/>
  <c r="AT1167" i="1"/>
  <c r="AQ1171" i="1"/>
  <c r="AT1127" i="1" l="1"/>
  <c r="AT1499" i="1" l="1"/>
  <c r="AM1499" i="1"/>
  <c r="AT1501" i="1"/>
  <c r="AR1501" i="1"/>
  <c r="AL1501" i="1"/>
  <c r="AQ1501" i="1"/>
  <c r="AM1501" i="1"/>
  <c r="AN1499" i="1"/>
  <c r="AL1499" i="1"/>
  <c r="AN1501" i="1"/>
  <c r="AR1499" i="1"/>
  <c r="AQ1499" i="1"/>
  <c r="AM37" i="1" l="1"/>
  <c r="AT37" i="1"/>
  <c r="AO37" i="1"/>
  <c r="AP37" i="1"/>
  <c r="AR37" i="1"/>
  <c r="AQ37" i="1"/>
  <c r="AN37" i="1"/>
  <c r="AQ723" i="1" l="1"/>
  <c r="AN723" i="1"/>
  <c r="AT737" i="1"/>
  <c r="AP737" i="1"/>
  <c r="AO737" i="1"/>
  <c r="AQ735" i="1"/>
  <c r="AN737" i="1"/>
  <c r="AM737" i="1"/>
  <c r="AM735" i="1"/>
  <c r="AR737" i="1"/>
  <c r="AL737" i="1"/>
  <c r="AT735" i="1"/>
  <c r="AP735" i="1"/>
  <c r="AQ737" i="1"/>
  <c r="AO735" i="1"/>
  <c r="AN735" i="1"/>
  <c r="AR735" i="1" l="1"/>
  <c r="AL735" i="1"/>
  <c r="AT1227" i="1" l="1"/>
  <c r="AP1227" i="1"/>
  <c r="AL1227" i="1"/>
  <c r="AR1227" i="1"/>
  <c r="AM1227" i="1"/>
  <c r="AM1229" i="1"/>
  <c r="AQ1229" i="1"/>
  <c r="AQ1227" i="1" l="1"/>
  <c r="AO1229" i="1"/>
  <c r="AL699" i="1" l="1"/>
  <c r="AR699" i="1"/>
  <c r="AT701" i="1"/>
  <c r="AP701" i="1"/>
  <c r="AR701" i="1"/>
  <c r="AL701" i="1"/>
  <c r="AQ701" i="1"/>
  <c r="AT703" i="1"/>
  <c r="AR703" i="1"/>
  <c r="AL703" i="1"/>
  <c r="AQ703" i="1"/>
  <c r="AP703" i="1"/>
  <c r="AO705" i="1" l="1"/>
  <c r="AT705" i="1"/>
  <c r="AP705" i="1"/>
  <c r="AR707" i="1" l="1"/>
  <c r="AL707" i="1"/>
  <c r="AQ707" i="1"/>
  <c r="AT707" i="1"/>
  <c r="AP707" i="1"/>
  <c r="AP715" i="1"/>
  <c r="AT715" i="1"/>
  <c r="AL715" i="1"/>
  <c r="AR715" i="1"/>
  <c r="AN715" i="1"/>
  <c r="AO715" i="1"/>
  <c r="AQ709" i="1" l="1"/>
  <c r="AQ711" i="1"/>
  <c r="AO713" i="1"/>
  <c r="AT711" i="1"/>
  <c r="AO703" i="1"/>
  <c r="AT709" i="1"/>
  <c r="AT713" i="1"/>
  <c r="AQ715" i="1"/>
  <c r="AM715" i="1"/>
  <c r="AR705" i="1"/>
  <c r="AL705" i="1"/>
  <c r="AT699" i="1" l="1"/>
  <c r="AP955" i="1"/>
  <c r="AT955" i="1"/>
  <c r="AN955" i="1"/>
  <c r="AO955" i="1"/>
  <c r="AO957" i="1" l="1"/>
  <c r="AQ957" i="1"/>
  <c r="AL957" i="1"/>
  <c r="AL959" i="1"/>
  <c r="AP959" i="1"/>
  <c r="AQ959" i="1"/>
  <c r="AR959" i="1"/>
  <c r="AT959" i="1"/>
  <c r="AN961" i="1" l="1"/>
  <c r="AM963" i="1"/>
  <c r="AO953" i="1"/>
  <c r="AT963" i="1"/>
  <c r="AR953" i="1"/>
  <c r="AM953" i="1"/>
  <c r="AT957" i="1"/>
  <c r="AL953" i="1"/>
  <c r="AT961" i="1"/>
  <c r="AT953" i="1" l="1"/>
  <c r="AT693" i="1" l="1"/>
  <c r="AP693" i="1"/>
  <c r="AO693" i="1"/>
  <c r="AN693" i="1"/>
  <c r="AM693" i="1"/>
  <c r="AR693" i="1"/>
  <c r="AL693" i="1"/>
  <c r="AQ693" i="1"/>
  <c r="AT695" i="1"/>
  <c r="AP695" i="1"/>
  <c r="AO695" i="1"/>
  <c r="AN695" i="1"/>
  <c r="AM695" i="1"/>
  <c r="AQ695" i="1"/>
  <c r="AR695" i="1"/>
  <c r="AL695" i="1"/>
  <c r="AN991" i="1" l="1"/>
  <c r="AR991" i="1"/>
  <c r="AM991" i="1"/>
  <c r="AL991" i="1"/>
  <c r="AQ991" i="1"/>
  <c r="AP991" i="1" l="1"/>
  <c r="AO991" i="1"/>
  <c r="AT993" i="1" l="1"/>
  <c r="AQ993" i="1"/>
  <c r="AN933" i="1" l="1"/>
  <c r="AM933" i="1"/>
  <c r="AQ935" i="1"/>
  <c r="AL935" i="1"/>
  <c r="AT935" i="1" l="1"/>
  <c r="AT933" i="1"/>
  <c r="AR167" i="1"/>
  <c r="AO691" i="1"/>
  <c r="AR691" i="1"/>
  <c r="AP169" i="1"/>
  <c r="AQ691" i="1"/>
  <c r="AM167" i="1"/>
  <c r="AP993" i="1"/>
  <c r="AT691" i="1"/>
  <c r="AN691" i="1"/>
  <c r="AM171" i="1"/>
  <c r="AR169" i="1"/>
  <c r="AT167" i="1"/>
  <c r="AO993" i="1"/>
  <c r="AM691" i="1"/>
  <c r="AQ171" i="1"/>
  <c r="AN167" i="1"/>
  <c r="AM169" i="1"/>
  <c r="AL691" i="1"/>
  <c r="AO169" i="1"/>
  <c r="AO171" i="1"/>
  <c r="AS3" i="1" l="1"/>
  <c r="AS269" i="1"/>
  <c r="AS317" i="1"/>
  <c r="AS359" i="1"/>
  <c r="AS541" i="1"/>
  <c r="AS557" i="1"/>
  <c r="AS737" i="1"/>
  <c r="AS935" i="1"/>
  <c r="AS1003" i="1"/>
  <c r="AS1247" i="1"/>
  <c r="AS1299" i="1"/>
  <c r="AS1347" i="1"/>
  <c r="AS1379" i="1"/>
  <c r="AS1423" i="1"/>
  <c r="AS5" i="1"/>
  <c r="AS287" i="1"/>
  <c r="AS319" i="1"/>
  <c r="AS361" i="1"/>
  <c r="AS543" i="1"/>
  <c r="AS691" i="1"/>
  <c r="AS1005" i="1"/>
  <c r="AS1249" i="1"/>
  <c r="AS1301" i="1"/>
  <c r="AS1349" i="1"/>
  <c r="AS1381" i="1"/>
  <c r="AS1489" i="1"/>
  <c r="AS7" i="1"/>
  <c r="AS71" i="1"/>
  <c r="AS289" i="1"/>
  <c r="AS321" i="1"/>
  <c r="AS433" i="1"/>
  <c r="AS511" i="1"/>
  <c r="AS545" i="1"/>
  <c r="AS693" i="1"/>
  <c r="AS941" i="1"/>
  <c r="AS1007" i="1"/>
  <c r="AS1167" i="1"/>
  <c r="AS1251" i="1"/>
  <c r="AS1287" i="1"/>
  <c r="AS1303" i="1"/>
  <c r="AS1383" i="1"/>
  <c r="AS9" i="1"/>
  <c r="AS73" i="1"/>
  <c r="AS291" i="1"/>
  <c r="AS323" i="1"/>
  <c r="AS395" i="1"/>
  <c r="AS435" i="1"/>
  <c r="AS603" i="1"/>
  <c r="AS695" i="1"/>
  <c r="AS795" i="1"/>
  <c r="AS943" i="1"/>
  <c r="AS995" i="1"/>
  <c r="AS1137" i="1"/>
  <c r="AS1153" i="1"/>
  <c r="AS1169" i="1"/>
  <c r="AS1185" i="1"/>
  <c r="AS1237" i="1"/>
  <c r="AS1253" i="1"/>
  <c r="AS1289" i="1"/>
  <c r="AS1305" i="1"/>
  <c r="AS1485" i="1"/>
  <c r="AS1487" i="1"/>
  <c r="AS75" i="1"/>
  <c r="AS293" i="1"/>
  <c r="AS325" i="1"/>
  <c r="AS437" i="1"/>
  <c r="AS605" i="1"/>
  <c r="AS797" i="1"/>
  <c r="AS945" i="1"/>
  <c r="AS997" i="1" a="1"/>
  <c r="AS997" i="1" s="1"/>
  <c r="AS1139" i="1"/>
  <c r="AS1155" i="1"/>
  <c r="AS1171" i="1"/>
  <c r="AS1187" i="1"/>
  <c r="AS1239" i="1"/>
  <c r="AS1255" i="1"/>
  <c r="AS1291" i="1"/>
  <c r="AS77" i="1"/>
  <c r="AS295" i="1"/>
  <c r="AS327" i="1"/>
  <c r="AS439" i="1"/>
  <c r="AS731" i="1"/>
  <c r="AS799" i="1"/>
  <c r="AS1141" i="1"/>
  <c r="AS1173" i="1"/>
  <c r="AS1241" i="1"/>
  <c r="AS1293" i="1"/>
  <c r="AS1391" i="1"/>
  <c r="AS1425" i="1"/>
  <c r="AS79" i="1"/>
  <c r="AS265" i="1"/>
  <c r="AS297" i="1"/>
  <c r="AS569" i="1"/>
  <c r="AS733" i="1"/>
  <c r="AS801" i="1"/>
  <c r="AS1143" i="1"/>
  <c r="AS1243" i="1"/>
  <c r="AS1295" i="1"/>
  <c r="AS1343" i="1"/>
  <c r="AS1375" i="1"/>
  <c r="AS1491" i="1"/>
  <c r="AS81" i="1"/>
  <c r="AS267" i="1"/>
  <c r="AS299" i="1"/>
  <c r="AS315" i="1"/>
  <c r="AS539" i="1"/>
  <c r="AS555" i="1"/>
  <c r="AS571" i="1"/>
  <c r="AS587" i="1"/>
  <c r="AS735" i="1"/>
  <c r="AS933" i="1"/>
  <c r="AS1001" i="1"/>
  <c r="AS1245" i="1"/>
  <c r="AS1297" i="1"/>
  <c r="AS1345" i="1"/>
  <c r="AS1377" i="1"/>
  <c r="AS991" i="1"/>
  <c r="AP691" i="1"/>
  <c r="AS169" i="1"/>
  <c r="AS953" i="1"/>
  <c r="AS713" i="1"/>
  <c r="AS701" i="1"/>
  <c r="AS711" i="1"/>
  <c r="AS709" i="1"/>
  <c r="AS715" i="1"/>
  <c r="AS707" i="1"/>
  <c r="AS705" i="1"/>
  <c r="AS703" i="1"/>
  <c r="AS1499" i="1"/>
  <c r="AS1359" i="1"/>
  <c r="AS1207" i="1"/>
  <c r="AS1191" i="1"/>
  <c r="AS1159" i="1"/>
  <c r="AS1127" i="1"/>
  <c r="AS1123" i="1"/>
  <c r="AS1205" i="1"/>
  <c r="AS1189" i="1"/>
  <c r="AS1135" i="1"/>
  <c r="AS1121" i="1"/>
  <c r="AS1117" i="1"/>
  <c r="AS1193" i="1"/>
  <c r="AS1439" i="1"/>
  <c r="AS1203" i="1"/>
  <c r="AS1161" i="1"/>
  <c r="AS1131" i="1"/>
  <c r="AS1201" i="1"/>
  <c r="AS1133" i="1"/>
  <c r="AS1115" i="1"/>
  <c r="AS1113" i="1"/>
  <c r="AS1209" i="1"/>
  <c r="AS1447" i="1"/>
  <c r="AS1437" i="1"/>
  <c r="AS1357" i="1"/>
  <c r="AS1199" i="1"/>
  <c r="AS1163" i="1"/>
  <c r="AS1129" i="1"/>
  <c r="AS1259" i="1"/>
  <c r="AS1197" i="1"/>
  <c r="AS1111" i="1"/>
  <c r="AS1475" i="1"/>
  <c r="AS1211" i="1"/>
  <c r="AS1195" i="1"/>
  <c r="AS1165" i="1"/>
  <c r="AS1119" i="1"/>
  <c r="AS999" i="1"/>
  <c r="AS751" i="1"/>
  <c r="AS765" i="1"/>
  <c r="AS871" i="1"/>
  <c r="AS747" i="1"/>
  <c r="AS777" i="1"/>
  <c r="AS759" i="1"/>
  <c r="AS761" i="1"/>
  <c r="AS755" i="1"/>
  <c r="AS775" i="1"/>
  <c r="AS763" i="1"/>
  <c r="AS753" i="1"/>
  <c r="AS779" i="1"/>
  <c r="AS757" i="1"/>
  <c r="AS697" i="1"/>
  <c r="AS719" i="1"/>
  <c r="AS665" i="1"/>
  <c r="AS611" i="1"/>
  <c r="AS509" i="1"/>
  <c r="AS499" i="1"/>
  <c r="AS311" i="1"/>
  <c r="AS239" i="1"/>
  <c r="AS207" i="1"/>
  <c r="AS201" i="1"/>
  <c r="AS113" i="1"/>
  <c r="AS61" i="1"/>
  <c r="AS613" i="1"/>
  <c r="AS669" i="1"/>
  <c r="AS609" i="1"/>
  <c r="AS507" i="1"/>
  <c r="AS497" i="1"/>
  <c r="AS237" i="1"/>
  <c r="AS191" i="1"/>
  <c r="AS111" i="1"/>
  <c r="AS59" i="1"/>
  <c r="AS53" i="1"/>
  <c r="AS115" i="1"/>
  <c r="AS625" i="1"/>
  <c r="AS623" i="1"/>
  <c r="AS505" i="1"/>
  <c r="AS441" i="1"/>
  <c r="AS235" i="1"/>
  <c r="AS187" i="1"/>
  <c r="AS109" i="1"/>
  <c r="AS57" i="1"/>
  <c r="AS93" i="1"/>
  <c r="AS65" i="1"/>
  <c r="AS667" i="1"/>
  <c r="AS663" i="1"/>
  <c r="AS621" i="1"/>
  <c r="AS607" i="1"/>
  <c r="AS537" i="1"/>
  <c r="AS233" i="1"/>
  <c r="AS183" i="1"/>
  <c r="AS55" i="1"/>
  <c r="AS281" i="1"/>
  <c r="AS619" i="1"/>
  <c r="AS535" i="1"/>
  <c r="AS313" i="1"/>
  <c r="AS309" i="1"/>
  <c r="AS307" i="1"/>
  <c r="AS231" i="1"/>
  <c r="AS179" i="1"/>
  <c r="AS69" i="1"/>
  <c r="AS617" i="1"/>
  <c r="AS533" i="1"/>
  <c r="AS285" i="1"/>
  <c r="AS229" i="1"/>
  <c r="AS177" i="1"/>
  <c r="AS67" i="1"/>
  <c r="AS151" i="1"/>
  <c r="AS63" i="1"/>
  <c r="AS717" i="1"/>
  <c r="AS615" i="1"/>
  <c r="AS531" i="1"/>
  <c r="AS283" i="1"/>
  <c r="AS203" i="1"/>
  <c r="AS175" i="1"/>
  <c r="AS165" i="1"/>
  <c r="AS163" i="1"/>
  <c r="AS161" i="1"/>
  <c r="AS159" i="1"/>
  <c r="AS157" i="1"/>
  <c r="AS155" i="1"/>
  <c r="AS153" i="1"/>
  <c r="AS1215" i="1"/>
  <c r="AS843" i="1"/>
  <c r="AS837" i="1"/>
  <c r="AS727" i="1"/>
  <c r="AS105" i="1"/>
  <c r="AS861" i="1"/>
  <c r="AS841" i="1"/>
  <c r="AS521" i="1"/>
  <c r="AS99" i="1"/>
  <c r="AS85" i="1"/>
  <c r="AS1219" i="1"/>
  <c r="AS1147" i="1"/>
  <c r="AS857" i="1"/>
  <c r="AS527" i="1"/>
  <c r="AS1223" i="1"/>
  <c r="AS853" i="1"/>
  <c r="AS729" i="1"/>
  <c r="AS523" i="1"/>
  <c r="AS97" i="1"/>
  <c r="AS107" i="1"/>
  <c r="AS1217" i="1"/>
  <c r="AS865" i="1"/>
  <c r="AS849" i="1"/>
  <c r="AS553" i="1"/>
  <c r="AS529" i="1"/>
  <c r="AS1387" i="1"/>
  <c r="AS847" i="1"/>
  <c r="AS833" i="1"/>
  <c r="AS673" i="1"/>
  <c r="AS519" i="1"/>
  <c r="AS101" i="1"/>
  <c r="AS83" i="1"/>
  <c r="AS1341" i="1"/>
  <c r="AS1337" i="1"/>
  <c r="AS845" i="1"/>
  <c r="AS835" i="1"/>
  <c r="AS525" i="1"/>
  <c r="AS31" i="1"/>
  <c r="AS51" i="1"/>
  <c r="AS45" i="1"/>
  <c r="AS43" i="1"/>
  <c r="AS49" i="1"/>
  <c r="AS39" i="1"/>
  <c r="AS1263" i="1"/>
  <c r="AS1267" i="1"/>
  <c r="AS241" i="1"/>
  <c r="AS551" i="1"/>
  <c r="AS173" i="1"/>
  <c r="AS725" i="1"/>
  <c r="AS243" i="1"/>
  <c r="AS1329" i="1"/>
  <c r="AS29" i="1"/>
  <c r="AS1333" i="1"/>
  <c r="AS931" i="1"/>
  <c r="AS1225" i="1"/>
  <c r="AS185" i="1"/>
  <c r="AS95" i="1"/>
  <c r="AS397" i="1"/>
  <c r="AS589" i="1"/>
  <c r="AS831" i="1"/>
  <c r="AS189" i="1"/>
  <c r="AS767" i="1"/>
  <c r="AS859" i="1"/>
  <c r="AS37" i="1"/>
  <c r="AS41" i="1"/>
  <c r="AS515" i="1"/>
  <c r="AS721" i="1"/>
  <c r="AS937" i="1"/>
  <c r="AS851" i="1"/>
  <c r="AS1157" i="1"/>
  <c r="AS181" i="1"/>
  <c r="AS193" i="1"/>
  <c r="AS839" i="1"/>
  <c r="AS1273" i="1"/>
  <c r="AS167" i="1" l="1"/>
  <c r="AS1435" i="1"/>
  <c r="AS723" i="1"/>
  <c r="AS1125" i="1"/>
  <c r="AS873" i="1"/>
  <c r="AS855" i="1"/>
  <c r="AS517" i="1"/>
  <c r="AS257" i="1"/>
  <c r="AS249" i="1"/>
  <c r="AS1339" i="1"/>
  <c r="AS1335" i="1"/>
  <c r="AS863" i="1"/>
  <c r="AS675" i="1"/>
  <c r="AS261" i="1"/>
  <c r="AS253" i="1"/>
  <c r="AS47" i="1"/>
  <c r="AS33" i="1"/>
  <c r="AS117" i="1"/>
  <c r="AS1331" i="1"/>
  <c r="AS1385" i="1"/>
  <c r="AS567" i="1"/>
  <c r="AS1149" i="1"/>
  <c r="AS171" i="1" l="1"/>
  <c r="AS957" i="1"/>
  <c r="AS959" i="1"/>
  <c r="AS961" i="1"/>
  <c r="AS955" i="1"/>
  <c r="AS963" i="1"/>
  <c r="AS699" i="1"/>
  <c r="AS255" i="1"/>
  <c r="AS263" i="1"/>
  <c r="AS251" i="1"/>
  <c r="AS1221" i="1"/>
  <c r="AS259" i="1"/>
  <c r="AS247" i="1"/>
  <c r="AS103" i="1"/>
  <c r="AS35" i="1"/>
  <c r="AS1501" i="1" l="1"/>
  <c r="AS1441" i="1"/>
  <c r="AS627" i="1"/>
  <c r="AS205" i="1"/>
  <c r="AS1151" i="1"/>
  <c r="AS1145" i="1"/>
  <c r="AS1213" i="1"/>
  <c r="AS993" i="1" l="1"/>
  <c r="AS1227" i="1" l="1"/>
  <c r="AS749" i="1"/>
  <c r="AS119" i="1"/>
  <c r="AS781" i="1" l="1"/>
  <c r="AS671" i="1" l="1"/>
  <c r="AS245" i="1" l="1"/>
  <c r="AS1229" i="1" l="1"/>
  <c r="AS399" i="1" l="1"/>
  <c r="AS947" i="1" l="1"/>
  <c r="AT939" i="1"/>
  <c r="AP939" i="1"/>
  <c r="AS939" i="1"/>
  <c r="AO939" i="1"/>
  <c r="AQ939" i="1"/>
  <c r="AN939" i="1"/>
  <c r="AR939" i="1"/>
  <c r="AL939" i="1"/>
  <c r="AS183" i="11" l="1"/>
  <c r="AN181" i="11"/>
  <c r="AR183" i="11"/>
  <c r="AM181" i="11"/>
  <c r="AQ183" i="11"/>
  <c r="AR181" i="11"/>
  <c r="AN183" i="11"/>
  <c r="AM183" i="11"/>
  <c r="D183" i="12" s="1"/>
  <c r="AT181" i="11"/>
  <c r="AT183" i="11"/>
  <c r="AL183" i="11"/>
  <c r="AM175" i="13"/>
  <c r="AN173" i="13"/>
  <c r="AT173" i="13"/>
  <c r="AL173" i="13"/>
  <c r="AN175" i="13"/>
  <c r="AL175" i="13"/>
  <c r="AR173" i="13"/>
  <c r="AT175" i="13"/>
  <c r="AS175" i="13"/>
  <c r="AQ175" i="13"/>
  <c r="AS173" i="13"/>
  <c r="AR175" i="13"/>
  <c r="AM180" i="13" l="1"/>
  <c r="AM182" i="13"/>
  <c r="AM177" i="13"/>
  <c r="AM178" i="13"/>
  <c r="AM179" i="13"/>
  <c r="D181" i="12"/>
  <c r="AM188" i="11"/>
  <c r="AM187" i="11"/>
  <c r="AM186" i="11"/>
  <c r="AM185" i="11"/>
  <c r="B2" i="35" s="1"/>
  <c r="AM190" i="11"/>
  <c r="C2" i="35" s="1"/>
  <c r="D175" i="14"/>
  <c r="H18" i="12"/>
  <c r="G18" i="12"/>
  <c r="AS99" i="17"/>
  <c r="AM97" i="17"/>
  <c r="D97" i="18" s="1"/>
  <c r="AP91" i="17"/>
  <c r="AT89" i="17"/>
  <c r="AL89" i="17"/>
  <c r="AR99" i="17"/>
  <c r="AT97" i="17"/>
  <c r="AL97" i="17"/>
  <c r="AO91" i="17"/>
  <c r="AS89" i="17"/>
  <c r="AQ99" i="17"/>
  <c r="AN91" i="17"/>
  <c r="AR89" i="17"/>
  <c r="AO99" i="17"/>
  <c r="AQ97" i="17"/>
  <c r="AT91" i="17"/>
  <c r="AL91" i="17"/>
  <c r="AP89" i="17"/>
  <c r="AN99" i="17"/>
  <c r="AP97" i="17"/>
  <c r="AS91" i="17"/>
  <c r="AO89" i="17"/>
  <c r="AM99" i="17"/>
  <c r="D99" i="18" s="1"/>
  <c r="AO97" i="17"/>
  <c r="AR91" i="17"/>
  <c r="AN89" i="17"/>
  <c r="AT99" i="17"/>
  <c r="AL99" i="17"/>
  <c r="AN97" i="17"/>
  <c r="AQ91" i="17"/>
  <c r="AM89" i="17"/>
  <c r="D89" i="18" s="1"/>
  <c r="AP99" i="17"/>
  <c r="AS97" i="17"/>
  <c r="AQ89" i="17"/>
  <c r="AR97" i="17"/>
  <c r="AS87" i="17"/>
  <c r="AN85" i="17"/>
  <c r="AT83" i="17"/>
  <c r="AL83" i="17"/>
  <c r="AR87" i="17"/>
  <c r="AM85" i="17"/>
  <c r="D85" i="18" s="1"/>
  <c r="AS83" i="17"/>
  <c r="AQ87" i="17"/>
  <c r="AT85" i="17"/>
  <c r="AL85" i="17"/>
  <c r="AR83" i="17"/>
  <c r="AS85" i="17"/>
  <c r="AR85" i="17"/>
  <c r="AN79" i="17"/>
  <c r="AQ77" i="17"/>
  <c r="AP85" i="17"/>
  <c r="AO85" i="17"/>
  <c r="AP81" i="17"/>
  <c r="AS79" i="17"/>
  <c r="AN77" i="17"/>
  <c r="AL79" i="17"/>
  <c r="AO77" i="17"/>
  <c r="AQ75" i="17"/>
  <c r="AM75" i="17"/>
  <c r="D75" i="18" s="1"/>
  <c r="AP73" i="17"/>
  <c r="AT81" i="17"/>
  <c r="AO73" i="17"/>
  <c r="AR81" i="17"/>
  <c r="AN73" i="17"/>
  <c r="AQ81" i="17"/>
  <c r="AM73" i="17"/>
  <c r="D73" i="18" s="1"/>
  <c r="AO79" i="17"/>
  <c r="AR77" i="17"/>
  <c r="AS75" i="17"/>
  <c r="AS73" i="17"/>
  <c r="AQ67" i="17"/>
  <c r="AO65" i="17"/>
  <c r="AM63" i="17"/>
  <c r="D63" i="18" s="1"/>
  <c r="AS61" i="17"/>
  <c r="AQ59" i="17"/>
  <c r="AP67" i="17"/>
  <c r="AO67" i="17"/>
  <c r="AM65" i="17"/>
  <c r="D65" i="18" s="1"/>
  <c r="AS63" i="17"/>
  <c r="AO59" i="17"/>
  <c r="AP57" i="17"/>
  <c r="AQ55" i="17"/>
  <c r="AR53" i="17"/>
  <c r="AS51" i="17"/>
  <c r="AT49" i="17"/>
  <c r="AL49" i="17"/>
  <c r="AM47" i="17"/>
  <c r="D47" i="18" s="1"/>
  <c r="AN45" i="17"/>
  <c r="AQ73" i="17"/>
  <c r="AN67" i="17"/>
  <c r="AT65" i="17"/>
  <c r="AL65" i="17"/>
  <c r="AR63" i="17"/>
  <c r="AP61" i="17"/>
  <c r="AN59" i="17"/>
  <c r="AO57" i="17"/>
  <c r="AP55" i="17"/>
  <c r="AQ53" i="17"/>
  <c r="AR51" i="17"/>
  <c r="AL73" i="17"/>
  <c r="AT63" i="17"/>
  <c r="AR61" i="17"/>
  <c r="AP59" i="17"/>
  <c r="AS57" i="17"/>
  <c r="AN55" i="17"/>
  <c r="AT53" i="17"/>
  <c r="AQ49" i="17"/>
  <c r="AN47" i="17"/>
  <c r="AT45" i="17"/>
  <c r="AP43" i="17"/>
  <c r="AO41" i="17"/>
  <c r="AR37" i="17"/>
  <c r="AN35" i="17"/>
  <c r="AT33" i="17"/>
  <c r="AS67" i="17"/>
  <c r="AQ63" i="17"/>
  <c r="AO61" i="17"/>
  <c r="AM59" i="17"/>
  <c r="D59" i="18" s="1"/>
  <c r="AR57" i="17"/>
  <c r="AL55" i="17"/>
  <c r="AS53" i="17"/>
  <c r="AO49" i="17"/>
  <c r="AL47" i="17"/>
  <c r="AS45" i="17"/>
  <c r="AO43" i="17"/>
  <c r="AN41" i="17"/>
  <c r="AT41" i="17"/>
  <c r="AL39" i="17"/>
  <c r="AQ37" i="17"/>
  <c r="AM35" i="17"/>
  <c r="D35" i="18" s="1"/>
  <c r="AS33" i="17"/>
  <c r="AS65" i="17"/>
  <c r="AN61" i="17"/>
  <c r="AL59" i="17"/>
  <c r="AQ57" i="17"/>
  <c r="AP53" i="17"/>
  <c r="AT51" i="17"/>
  <c r="AN49" i="17"/>
  <c r="AQ45" i="17"/>
  <c r="AN43" i="17"/>
  <c r="AM41" i="17"/>
  <c r="D41" i="18" s="1"/>
  <c r="AT39" i="17"/>
  <c r="AP37" i="17"/>
  <c r="AL35" i="17"/>
  <c r="AQ33" i="17"/>
  <c r="AR65" i="17"/>
  <c r="AL61" i="17"/>
  <c r="AN57" i="17"/>
  <c r="AT57" i="17"/>
  <c r="AO53" i="17"/>
  <c r="AQ51" i="17"/>
  <c r="AM49" i="17"/>
  <c r="D49" i="18" s="1"/>
  <c r="AT47" i="17"/>
  <c r="AP45" i="17"/>
  <c r="AM43" i="17"/>
  <c r="D43" i="18" s="1"/>
  <c r="AS39" i="17"/>
  <c r="AO37" i="17"/>
  <c r="AT35" i="17"/>
  <c r="AP33" i="17"/>
  <c r="AT67" i="17"/>
  <c r="AP65" i="17"/>
  <c r="AL63" i="17"/>
  <c r="AM57" i="17"/>
  <c r="D57" i="18" s="1"/>
  <c r="AT55" i="17"/>
  <c r="AM53" i="17"/>
  <c r="D53" i="18" s="1"/>
  <c r="AP51" i="17"/>
  <c r="AS47" i="17"/>
  <c r="AO45" i="17"/>
  <c r="AL43" i="17"/>
  <c r="AS41" i="17"/>
  <c r="AR39" i="17"/>
  <c r="AN37" i="17"/>
  <c r="AR35" i="17"/>
  <c r="AO33" i="17"/>
  <c r="AR67" i="17"/>
  <c r="AN65" i="17"/>
  <c r="AS55" i="17"/>
  <c r="AL53" i="17"/>
  <c r="AN51" i="17"/>
  <c r="AR47" i="17"/>
  <c r="AM45" i="17"/>
  <c r="D45" i="18" s="1"/>
  <c r="AT43" i="17"/>
  <c r="AR41" i="17"/>
  <c r="AQ39" i="17"/>
  <c r="AM37" i="17"/>
  <c r="D37" i="18" s="1"/>
  <c r="AQ35" i="17"/>
  <c r="AN33" i="17"/>
  <c r="AM67" i="17"/>
  <c r="D67" i="18" s="1"/>
  <c r="AT59" i="17"/>
  <c r="AR55" i="17"/>
  <c r="AM51" i="17"/>
  <c r="D51" i="18" s="1"/>
  <c r="AR59" i="17"/>
  <c r="AQ41" i="17"/>
  <c r="AP41" i="17"/>
  <c r="AP35" i="17"/>
  <c r="AR29" i="17"/>
  <c r="AR27" i="17"/>
  <c r="AT25" i="17"/>
  <c r="AL25" i="17"/>
  <c r="AQ23" i="17"/>
  <c r="AS21" i="17"/>
  <c r="AO35" i="17"/>
  <c r="AM31" i="17"/>
  <c r="D31" i="18" s="1"/>
  <c r="AQ29" i="17"/>
  <c r="AS25" i="17"/>
  <c r="AP23" i="17"/>
  <c r="AR21" i="17"/>
  <c r="AL51" i="17"/>
  <c r="AM33" i="17"/>
  <c r="D33" i="18" s="1"/>
  <c r="AT31" i="17"/>
  <c r="AL31" i="17"/>
  <c r="AP29" i="17"/>
  <c r="AP27" i="17"/>
  <c r="AR25" i="17"/>
  <c r="AO23" i="17"/>
  <c r="AQ21" i="17"/>
  <c r="AP47" i="17"/>
  <c r="AR43" i="17"/>
  <c r="AP39" i="17"/>
  <c r="AL33" i="17"/>
  <c r="AS31" i="17"/>
  <c r="AO29" i="17"/>
  <c r="AO27" i="17"/>
  <c r="AQ25" i="17"/>
  <c r="AN23" i="17"/>
  <c r="AP21" i="17"/>
  <c r="AO47" i="17"/>
  <c r="AQ43" i="17"/>
  <c r="AO39" i="17"/>
  <c r="AR31" i="17"/>
  <c r="AN29" i="17"/>
  <c r="AN27" i="17"/>
  <c r="AP25" i="17"/>
  <c r="AM23" i="17"/>
  <c r="D23" i="18" s="1"/>
  <c r="AO21" i="17"/>
  <c r="AQ31" i="17"/>
  <c r="AM29" i="17"/>
  <c r="D29" i="18" s="1"/>
  <c r="AM27" i="17"/>
  <c r="D27" i="18" s="1"/>
  <c r="AO25" i="17"/>
  <c r="AT23" i="17"/>
  <c r="AL23" i="17"/>
  <c r="AN21" i="17"/>
  <c r="AT29" i="17"/>
  <c r="AL29" i="17"/>
  <c r="AT27" i="17"/>
  <c r="AL27" i="17"/>
  <c r="AS23" i="17"/>
  <c r="AM21" i="17"/>
  <c r="D21" i="18" s="1"/>
  <c r="AS19" i="17"/>
  <c r="AS17" i="17"/>
  <c r="AS15" i="17"/>
  <c r="AS13" i="17"/>
  <c r="AS11" i="17"/>
  <c r="AS9" i="17"/>
  <c r="AS7" i="17"/>
  <c r="AS5" i="17"/>
  <c r="AR19" i="17"/>
  <c r="AR17" i="17"/>
  <c r="AR15" i="17"/>
  <c r="AR13" i="17"/>
  <c r="AR11" i="17"/>
  <c r="AR9" i="17"/>
  <c r="AR7" i="17"/>
  <c r="AR5" i="17"/>
  <c r="AP19" i="17"/>
  <c r="AP17" i="17"/>
  <c r="AP15" i="17"/>
  <c r="AP13" i="17"/>
  <c r="AP11" i="17"/>
  <c r="AP9" i="17"/>
  <c r="AP7" i="17"/>
  <c r="AP5" i="17"/>
  <c r="AN19" i="17"/>
  <c r="AN17" i="17"/>
  <c r="AN15" i="17"/>
  <c r="AN13" i="17"/>
  <c r="AN11" i="17"/>
  <c r="AN9" i="17"/>
  <c r="AN7" i="17"/>
  <c r="AN5" i="17"/>
  <c r="AM19" i="17"/>
  <c r="D19" i="18" s="1"/>
  <c r="AM17" i="17"/>
  <c r="D17" i="18" s="1"/>
  <c r="AM15" i="17"/>
  <c r="D15" i="18" s="1"/>
  <c r="AM13" i="17"/>
  <c r="D13" i="18" s="1"/>
  <c r="AM11" i="17"/>
  <c r="D11" i="18" s="1"/>
  <c r="AM9" i="17"/>
  <c r="D9" i="18" s="1"/>
  <c r="AM7" i="17"/>
  <c r="D7" i="18" s="1"/>
  <c r="AM5" i="17"/>
  <c r="AT19" i="17"/>
  <c r="AL19" i="17"/>
  <c r="AT17" i="17"/>
  <c r="AL17" i="17"/>
  <c r="AT15" i="17"/>
  <c r="AL15" i="17"/>
  <c r="AT13" i="17"/>
  <c r="AL13" i="17"/>
  <c r="AT11" i="17"/>
  <c r="AL11" i="17"/>
  <c r="AT9" i="17"/>
  <c r="AL9" i="17"/>
  <c r="AT7" i="17"/>
  <c r="AL7" i="17"/>
  <c r="AT5" i="17"/>
  <c r="AL5" i="17"/>
  <c r="AO9" i="17"/>
  <c r="AQ5" i="17"/>
  <c r="AO19" i="17"/>
  <c r="AO13" i="17"/>
  <c r="AQ19" i="17"/>
  <c r="AO7" i="17"/>
  <c r="AO17" i="17"/>
  <c r="AO11" i="17"/>
  <c r="AQ7" i="17"/>
  <c r="AQ17" i="17"/>
  <c r="AO5" i="17"/>
  <c r="AO15" i="17"/>
  <c r="AN83" i="17"/>
  <c r="AM83" i="17"/>
  <c r="D83" i="18" s="1"/>
  <c r="AM91" i="17"/>
  <c r="D91" i="18" s="1"/>
  <c r="AT87" i="17"/>
  <c r="AP87" i="17"/>
  <c r="AO87" i="17"/>
  <c r="AN87" i="17"/>
  <c r="AQ83" i="17"/>
  <c r="AL81" i="17"/>
  <c r="AR23" i="17"/>
  <c r="AS49" i="17"/>
  <c r="AT73" i="17"/>
  <c r="AL67" i="17"/>
  <c r="AR49" i="17"/>
  <c r="AN25" i="17"/>
  <c r="AR73" i="17"/>
  <c r="AP63" i="17"/>
  <c r="AN63" i="17"/>
  <c r="AO63" i="17"/>
  <c r="AO55" i="17"/>
  <c r="AP31" i="17"/>
  <c r="AT61" i="17"/>
  <c r="AS37" i="17"/>
  <c r="AM25" i="17"/>
  <c r="D25" i="18" s="1"/>
  <c r="AQ15" i="17"/>
  <c r="AQ13" i="17"/>
  <c r="AQ11" i="17"/>
  <c r="AT21" i="17"/>
  <c r="AQ9" i="17"/>
  <c r="AL21" i="17"/>
  <c r="AS27" i="17"/>
  <c r="AL45" i="17"/>
  <c r="AS29" i="17"/>
  <c r="AP83" i="17"/>
  <c r="AO31" i="17"/>
  <c r="AM87" i="17"/>
  <c r="D87" i="18" s="1"/>
  <c r="AO83" i="17"/>
  <c r="AN31" i="17"/>
  <c r="AL87" i="17"/>
  <c r="AP77" i="17"/>
  <c r="AQ85" i="17"/>
  <c r="AP71" i="17"/>
  <c r="AR71" i="17"/>
  <c r="AS71" i="17"/>
  <c r="AL71" i="17"/>
  <c r="AT71" i="17"/>
  <c r="AN71" i="17"/>
  <c r="AM71" i="17"/>
  <c r="D71" i="18" s="1"/>
  <c r="AO71" i="17"/>
  <c r="AQ71" i="17"/>
  <c r="AS69" i="19"/>
  <c r="AQ67" i="19"/>
  <c r="AR63" i="19"/>
  <c r="AR59" i="19"/>
  <c r="AP57" i="19"/>
  <c r="AN55" i="19"/>
  <c r="AT53" i="19"/>
  <c r="AL53" i="19"/>
  <c r="AR51" i="19"/>
  <c r="AS49" i="19"/>
  <c r="AT47" i="19"/>
  <c r="AR69" i="19"/>
  <c r="AP67" i="19"/>
  <c r="AS65" i="19"/>
  <c r="AQ63" i="19"/>
  <c r="AQ69" i="19"/>
  <c r="AO67" i="19"/>
  <c r="AR65" i="19"/>
  <c r="AP63" i="19"/>
  <c r="AP59" i="19"/>
  <c r="AN57" i="19"/>
  <c r="AT55" i="19"/>
  <c r="AL55" i="19"/>
  <c r="AR53" i="19"/>
  <c r="AP51" i="19"/>
  <c r="AQ49" i="19"/>
  <c r="AM71" i="19"/>
  <c r="D71" i="22" s="1"/>
  <c r="AP69" i="19"/>
  <c r="AN67" i="19"/>
  <c r="AP23" i="19"/>
  <c r="AR21" i="19"/>
  <c r="AO69" i="19"/>
  <c r="AM67" i="19"/>
  <c r="D67" i="22" s="1"/>
  <c r="AN63" i="19"/>
  <c r="AN59" i="19"/>
  <c r="AT57" i="19"/>
  <c r="AL57" i="19"/>
  <c r="AS71" i="19"/>
  <c r="AN69" i="19"/>
  <c r="AT67" i="19"/>
  <c r="AL67" i="19"/>
  <c r="AM63" i="19"/>
  <c r="D63" i="22" s="1"/>
  <c r="AM59" i="19"/>
  <c r="D59" i="22" s="1"/>
  <c r="AS57" i="19"/>
  <c r="AQ55" i="19"/>
  <c r="AO53" i="19"/>
  <c r="AM51" i="19"/>
  <c r="D51" i="22" s="1"/>
  <c r="AR71" i="19"/>
  <c r="AM69" i="19"/>
  <c r="D69" i="22" s="1"/>
  <c r="AS67" i="19"/>
  <c r="AM23" i="19"/>
  <c r="D23" i="22" s="1"/>
  <c r="AO21" i="19"/>
  <c r="AO19" i="19"/>
  <c r="AO17" i="19"/>
  <c r="AR67" i="19"/>
  <c r="AQ57" i="19"/>
  <c r="AS51" i="19"/>
  <c r="AO51" i="19"/>
  <c r="AM47" i="19"/>
  <c r="D47" i="22" s="1"/>
  <c r="AT45" i="19"/>
  <c r="AO43" i="19"/>
  <c r="AM41" i="19"/>
  <c r="D41" i="22" s="1"/>
  <c r="AS39" i="19"/>
  <c r="AM37" i="19"/>
  <c r="D37" i="22" s="1"/>
  <c r="AS35" i="19"/>
  <c r="AQ33" i="19"/>
  <c r="AM31" i="19"/>
  <c r="D31" i="22" s="1"/>
  <c r="AR29" i="19"/>
  <c r="AP25" i="19"/>
  <c r="AN23" i="19"/>
  <c r="AS19" i="19"/>
  <c r="AM17" i="19"/>
  <c r="D17" i="22" s="1"/>
  <c r="AS15" i="19"/>
  <c r="AM13" i="19"/>
  <c r="D13" i="22" s="1"/>
  <c r="AS11" i="19"/>
  <c r="AS9" i="19"/>
  <c r="AS7" i="19"/>
  <c r="AS5" i="19"/>
  <c r="AO57" i="19"/>
  <c r="AR55" i="19"/>
  <c r="AQ51" i="19"/>
  <c r="AT49" i="19"/>
  <c r="AL47" i="19"/>
  <c r="AS45" i="19"/>
  <c r="AN43" i="19"/>
  <c r="AQ39" i="19"/>
  <c r="AL37" i="19"/>
  <c r="AR35" i="19"/>
  <c r="AO33" i="19"/>
  <c r="AL31" i="19"/>
  <c r="AQ29" i="19"/>
  <c r="AO25" i="19"/>
  <c r="AL23" i="19"/>
  <c r="AT21" i="19"/>
  <c r="AQ19" i="19"/>
  <c r="AL17" i="19"/>
  <c r="AQ15" i="19"/>
  <c r="AL13" i="19"/>
  <c r="AR11" i="19"/>
  <c r="AR9" i="19"/>
  <c r="AR7" i="19"/>
  <c r="AR5" i="19"/>
  <c r="AO31" i="19"/>
  <c r="AO55" i="19"/>
  <c r="AN51" i="19"/>
  <c r="AR49" i="19"/>
  <c r="AQ45" i="19"/>
  <c r="AM43" i="19"/>
  <c r="D43" i="22" s="1"/>
  <c r="AP39" i="19"/>
  <c r="AQ35" i="19"/>
  <c r="AN33" i="19"/>
  <c r="AO29" i="19"/>
  <c r="AS27" i="19"/>
  <c r="AM25" i="19"/>
  <c r="D25" i="22" s="1"/>
  <c r="AS21" i="19"/>
  <c r="AP19" i="19"/>
  <c r="AP15" i="19"/>
  <c r="AS13" i="19"/>
  <c r="AO7" i="19"/>
  <c r="AM55" i="19"/>
  <c r="D55" i="22" s="1"/>
  <c r="AO49" i="19"/>
  <c r="AP45" i="19"/>
  <c r="AL43" i="19"/>
  <c r="AS41" i="19"/>
  <c r="AO39" i="19"/>
  <c r="AT37" i="19"/>
  <c r="AP35" i="19"/>
  <c r="AL33" i="19"/>
  <c r="AT31" i="19"/>
  <c r="AN29" i="19"/>
  <c r="AR27" i="19"/>
  <c r="AL25" i="19"/>
  <c r="AT23" i="19"/>
  <c r="AQ21" i="19"/>
  <c r="AN19" i="19"/>
  <c r="AT17" i="19"/>
  <c r="AN15" i="19"/>
  <c r="AT13" i="19"/>
  <c r="AP11" i="19"/>
  <c r="AP9" i="19"/>
  <c r="AP7" i="19"/>
  <c r="AP5" i="19"/>
  <c r="AO11" i="19"/>
  <c r="AO5" i="19"/>
  <c r="AS47" i="19"/>
  <c r="AN45" i="19"/>
  <c r="AR41" i="19"/>
  <c r="AN39" i="19"/>
  <c r="AR37" i="19"/>
  <c r="AN35" i="19"/>
  <c r="AO35" i="19"/>
  <c r="AS31" i="19"/>
  <c r="AL29" i="19"/>
  <c r="AQ27" i="19"/>
  <c r="AS23" i="19"/>
  <c r="AP21" i="19"/>
  <c r="AM19" i="19"/>
  <c r="D19" i="22" s="1"/>
  <c r="AS17" i="19"/>
  <c r="AM15" i="19"/>
  <c r="D15" i="22" s="1"/>
  <c r="AO9" i="19"/>
  <c r="AQ59" i="19"/>
  <c r="AS53" i="19"/>
  <c r="AL49" i="19"/>
  <c r="AR47" i="19"/>
  <c r="AM45" i="19"/>
  <c r="D45" i="22" s="1"/>
  <c r="AT43" i="19"/>
  <c r="AP41" i="19"/>
  <c r="AL39" i="19"/>
  <c r="AQ37" i="19"/>
  <c r="AM35" i="19"/>
  <c r="D35" i="22" s="1"/>
  <c r="AT33" i="19"/>
  <c r="AR31" i="19"/>
  <c r="AQ31" i="19"/>
  <c r="AP27" i="19"/>
  <c r="AT25" i="19"/>
  <c r="AR23" i="19"/>
  <c r="AN21" i="19"/>
  <c r="AL19" i="19"/>
  <c r="AQ17" i="19"/>
  <c r="AL15" i="19"/>
  <c r="AQ13" i="19"/>
  <c r="AN11" i="19"/>
  <c r="AN9" i="19"/>
  <c r="AN7" i="19"/>
  <c r="AN5" i="19"/>
  <c r="AP53" i="19"/>
  <c r="AP47" i="19"/>
  <c r="AL45" i="19"/>
  <c r="AR43" i="19"/>
  <c r="AO41" i="19"/>
  <c r="AT41" i="19"/>
  <c r="AP37" i="19"/>
  <c r="AS33" i="19"/>
  <c r="AP31" i="19"/>
  <c r="AT29" i="19"/>
  <c r="AN27" i="19"/>
  <c r="AR25" i="19"/>
  <c r="AQ23" i="19"/>
  <c r="AM21" i="19"/>
  <c r="D21" i="22" s="1"/>
  <c r="AP17" i="19"/>
  <c r="AP13" i="19"/>
  <c r="AM11" i="19"/>
  <c r="D11" i="22" s="1"/>
  <c r="AM9" i="19"/>
  <c r="D9" i="22" s="1"/>
  <c r="AM7" i="19"/>
  <c r="D7" i="22" s="1"/>
  <c r="AM5" i="19"/>
  <c r="AO47" i="19"/>
  <c r="AO37" i="19"/>
  <c r="AO23" i="19"/>
  <c r="AT15" i="19"/>
  <c r="AT9" i="19"/>
  <c r="AT5" i="19"/>
  <c r="AL71" i="19"/>
  <c r="AM27" i="19"/>
  <c r="D27" i="22" s="1"/>
  <c r="AQ25" i="19"/>
  <c r="AN25" i="19"/>
  <c r="AQ7" i="19"/>
  <c r="AM65" i="19"/>
  <c r="D65" i="22" s="1"/>
  <c r="AN41" i="19"/>
  <c r="AQ11" i="19"/>
  <c r="AL5" i="19"/>
  <c r="AT19" i="19"/>
  <c r="AT71" i="19"/>
  <c r="AL21" i="19"/>
  <c r="AQ71" i="19"/>
  <c r="AS59" i="19"/>
  <c r="AT39" i="19"/>
  <c r="AN17" i="19"/>
  <c r="AQ9" i="19"/>
  <c r="AQ5" i="19"/>
  <c r="AO71" i="19"/>
  <c r="AO59" i="19"/>
  <c r="AN49" i="19"/>
  <c r="AQ43" i="19"/>
  <c r="AS29" i="19"/>
  <c r="AT11" i="19"/>
  <c r="AL7" i="19"/>
  <c r="AP71" i="19"/>
  <c r="AN71" i="19"/>
  <c r="AT69" i="19"/>
  <c r="AL11" i="19"/>
  <c r="AM53" i="19"/>
  <c r="D53" i="22" s="1"/>
  <c r="AN13" i="19"/>
  <c r="AL69" i="19"/>
  <c r="AT7" i="19"/>
  <c r="AT65" i="19"/>
  <c r="AR33" i="19"/>
  <c r="AS63" i="19"/>
  <c r="AQ25" i="20"/>
  <c r="AS23" i="20"/>
  <c r="AP21" i="20"/>
  <c r="AT19" i="20"/>
  <c r="AL19" i="20"/>
  <c r="AM15" i="20"/>
  <c r="D15" i="21" s="1"/>
  <c r="AP9" i="20"/>
  <c r="AT7" i="20"/>
  <c r="AL7" i="20"/>
  <c r="AQ5" i="20"/>
  <c r="AS3" i="20"/>
  <c r="AP25" i="20"/>
  <c r="AO21" i="20"/>
  <c r="AS19" i="20"/>
  <c r="AT15" i="20"/>
  <c r="AL15" i="20"/>
  <c r="AO13" i="20"/>
  <c r="AO25" i="20"/>
  <c r="AQ23" i="20"/>
  <c r="AN21" i="20"/>
  <c r="AR19" i="20"/>
  <c r="AN9" i="20"/>
  <c r="AR7" i="20"/>
  <c r="AN25" i="20"/>
  <c r="AP23" i="20"/>
  <c r="AM21" i="20"/>
  <c r="D21" i="21" s="1"/>
  <c r="AQ19" i="20"/>
  <c r="AT17" i="20"/>
  <c r="AL17" i="20"/>
  <c r="AR15" i="20"/>
  <c r="AM13" i="20"/>
  <c r="D13" i="21" s="1"/>
  <c r="AR11" i="20"/>
  <c r="AM25" i="20"/>
  <c r="D25" i="21" s="1"/>
  <c r="AO23" i="20"/>
  <c r="AT21" i="20"/>
  <c r="AL21" i="20"/>
  <c r="AP19" i="20"/>
  <c r="AS17" i="20"/>
  <c r="AQ15" i="20"/>
  <c r="AT13" i="20"/>
  <c r="AL13" i="20"/>
  <c r="AQ11" i="20"/>
  <c r="AT25" i="20"/>
  <c r="AL25" i="20"/>
  <c r="AN23" i="20"/>
  <c r="AS21" i="20"/>
  <c r="AO19" i="20"/>
  <c r="AP15" i="20"/>
  <c r="AS13" i="20"/>
  <c r="AT9" i="20"/>
  <c r="AS9" i="20"/>
  <c r="AS7" i="20"/>
  <c r="AR21" i="20"/>
  <c r="AR9" i="20"/>
  <c r="AQ7" i="20"/>
  <c r="AO5" i="20"/>
  <c r="AO3" i="20"/>
  <c r="AQ9" i="20"/>
  <c r="AP7" i="20"/>
  <c r="AP13" i="20"/>
  <c r="AO9" i="20"/>
  <c r="AO7" i="20"/>
  <c r="AM5" i="20"/>
  <c r="D5" i="21" s="1"/>
  <c r="AM3" i="20"/>
  <c r="AL9" i="20"/>
  <c r="AS25" i="20"/>
  <c r="AR13" i="20"/>
  <c r="AM9" i="20"/>
  <c r="D9" i="21" s="1"/>
  <c r="AN7" i="20"/>
  <c r="AL5" i="20"/>
  <c r="AL3" i="20"/>
  <c r="AM7" i="20"/>
  <c r="D7" i="21" s="1"/>
  <c r="AO15" i="20"/>
  <c r="AN3" i="20"/>
  <c r="AN15" i="20"/>
  <c r="AR3" i="20"/>
  <c r="AO17" i="20"/>
  <c r="AT5" i="20"/>
  <c r="AS5" i="20"/>
  <c r="AT11" i="20"/>
  <c r="AN19" i="20"/>
  <c r="AS15" i="20"/>
  <c r="AT3" i="20"/>
  <c r="AR25" i="20"/>
  <c r="AN11" i="20"/>
  <c r="AQ21" i="20"/>
  <c r="AL11" i="20"/>
  <c r="AQ3" i="20"/>
  <c r="AP5" i="20"/>
  <c r="AQ13" i="20"/>
  <c r="AM11" i="20"/>
  <c r="D11" i="21" s="1"/>
  <c r="AM19" i="20"/>
  <c r="D19" i="21" s="1"/>
  <c r="AT23" i="20"/>
  <c r="AN5" i="20"/>
  <c r="AQ17" i="20"/>
  <c r="AP17" i="20"/>
  <c r="AR5" i="20"/>
  <c r="AP3" i="20"/>
  <c r="AM78" i="19" l="1"/>
  <c r="AM77" i="19"/>
  <c r="AM79" i="19"/>
  <c r="AM80" i="19"/>
  <c r="AM82" i="19"/>
  <c r="C3" i="36" s="1"/>
  <c r="AM81" i="19"/>
  <c r="D5" i="18"/>
  <c r="AM102" i="17"/>
  <c r="AM101" i="17"/>
  <c r="AM103" i="17"/>
  <c r="AM106" i="17"/>
  <c r="C3" i="35" s="1"/>
  <c r="AM105" i="17"/>
  <c r="AM104" i="17"/>
  <c r="G18" i="14"/>
  <c r="H18" i="14"/>
  <c r="D3" i="21"/>
  <c r="D5" i="22"/>
  <c r="H18" i="18"/>
  <c r="G18" i="18"/>
  <c r="B3" i="36" l="1"/>
  <c r="AM84" i="19"/>
  <c r="AM85" i="19"/>
  <c r="B3" i="35"/>
  <c r="AM109" i="17"/>
  <c r="AM108" i="17"/>
  <c r="H18" i="21"/>
  <c r="G18" i="21"/>
  <c r="H18" i="22"/>
  <c r="G18" i="22"/>
  <c r="AS329" i="23" l="1"/>
  <c r="AO327" i="23"/>
  <c r="AS325" i="23"/>
  <c r="AO323" i="23"/>
  <c r="AN311" i="23"/>
  <c r="AQ309" i="23"/>
  <c r="AR329" i="23"/>
  <c r="AR325" i="23"/>
  <c r="AR313" i="23"/>
  <c r="AM311" i="23"/>
  <c r="D311" i="24" s="1"/>
  <c r="AP309" i="23"/>
  <c r="AQ329" i="23"/>
  <c r="AM327" i="23"/>
  <c r="D327" i="24" s="1"/>
  <c r="AQ325" i="23"/>
  <c r="AM323" i="23"/>
  <c r="D323" i="24" s="1"/>
  <c r="AO309" i="23"/>
  <c r="AS305" i="23"/>
  <c r="AM303" i="23"/>
  <c r="D303" i="24" s="1"/>
  <c r="AO329" i="23"/>
  <c r="AS327" i="23"/>
  <c r="AO325" i="23"/>
  <c r="AS323" i="23"/>
  <c r="AO313" i="23"/>
  <c r="AR311" i="23"/>
  <c r="AM309" i="23"/>
  <c r="D309" i="24" s="1"/>
  <c r="AN329" i="23"/>
  <c r="AR327" i="23"/>
  <c r="AN325" i="23"/>
  <c r="AR323" i="23"/>
  <c r="AT309" i="23"/>
  <c r="AL309" i="23"/>
  <c r="AP305" i="23"/>
  <c r="AR303" i="23"/>
  <c r="AT301" i="23"/>
  <c r="AL301" i="23"/>
  <c r="AM329" i="23"/>
  <c r="D329" i="24" s="1"/>
  <c r="AQ327" i="23"/>
  <c r="AM325" i="23"/>
  <c r="D325" i="24" s="1"/>
  <c r="AQ323" i="23"/>
  <c r="AO305" i="23"/>
  <c r="AQ303" i="23"/>
  <c r="AS301" i="23"/>
  <c r="AT311" i="23"/>
  <c r="AT305" i="23"/>
  <c r="AP303" i="23"/>
  <c r="AM299" i="23"/>
  <c r="D299" i="24" s="1"/>
  <c r="AQ297" i="23"/>
  <c r="AP293" i="23"/>
  <c r="AP289" i="23"/>
  <c r="AR287" i="23"/>
  <c r="AR309" i="23"/>
  <c r="AR305" i="23"/>
  <c r="AO303" i="23"/>
  <c r="AT299" i="23"/>
  <c r="AL299" i="23"/>
  <c r="AP297" i="23"/>
  <c r="AT295" i="23"/>
  <c r="AL295" i="23"/>
  <c r="AO293" i="23"/>
  <c r="AM291" i="23"/>
  <c r="D291" i="24" s="1"/>
  <c r="AO289" i="23"/>
  <c r="AQ287" i="23"/>
  <c r="AS285" i="23"/>
  <c r="AM283" i="23"/>
  <c r="D283" i="24" s="1"/>
  <c r="AO281" i="23"/>
  <c r="AQ279" i="23"/>
  <c r="AS277" i="23"/>
  <c r="AM275" i="23"/>
  <c r="D275" i="24" s="1"/>
  <c r="AO273" i="23"/>
  <c r="AS313" i="23"/>
  <c r="AN309" i="23"/>
  <c r="AQ305" i="23"/>
  <c r="AN303" i="23"/>
  <c r="AS299" i="23"/>
  <c r="AO297" i="23"/>
  <c r="AS295" i="23"/>
  <c r="AN293" i="23"/>
  <c r="AT291" i="23"/>
  <c r="AL291" i="23"/>
  <c r="AN289" i="23"/>
  <c r="AP287" i="23"/>
  <c r="AR285" i="23"/>
  <c r="AT283" i="23"/>
  <c r="AL283" i="23"/>
  <c r="AN281" i="23"/>
  <c r="AP279" i="23"/>
  <c r="AR277" i="23"/>
  <c r="AT275" i="23"/>
  <c r="AL275" i="23"/>
  <c r="AN273" i="23"/>
  <c r="AS311" i="23"/>
  <c r="AN305" i="23"/>
  <c r="AL303" i="23"/>
  <c r="AR299" i="23"/>
  <c r="AN297" i="23"/>
  <c r="AR295" i="23"/>
  <c r="AM293" i="23"/>
  <c r="D293" i="24" s="1"/>
  <c r="AS291" i="23"/>
  <c r="AM289" i="23"/>
  <c r="D289" i="24" s="1"/>
  <c r="AO287" i="23"/>
  <c r="AQ285" i="23"/>
  <c r="AS283" i="23"/>
  <c r="AM281" i="23"/>
  <c r="D281" i="24" s="1"/>
  <c r="AO279" i="23"/>
  <c r="AQ277" i="23"/>
  <c r="AS275" i="23"/>
  <c r="AM273" i="23"/>
  <c r="D273" i="24" s="1"/>
  <c r="AR271" i="23"/>
  <c r="AT269" i="23"/>
  <c r="AL269" i="23"/>
  <c r="AN267" i="23"/>
  <c r="AL313" i="23"/>
  <c r="AT303" i="23"/>
  <c r="AO299" i="23"/>
  <c r="AS297" i="23"/>
  <c r="AO295" i="23"/>
  <c r="AR293" i="23"/>
  <c r="AP291" i="23"/>
  <c r="AR289" i="23"/>
  <c r="AT287" i="23"/>
  <c r="AL287" i="23"/>
  <c r="AN285" i="23"/>
  <c r="AP283" i="23"/>
  <c r="AR281" i="23"/>
  <c r="AT279" i="23"/>
  <c r="AL279" i="23"/>
  <c r="AN277" i="23"/>
  <c r="AP275" i="23"/>
  <c r="AR273" i="23"/>
  <c r="AS303" i="23"/>
  <c r="AN299" i="23"/>
  <c r="AR297" i="23"/>
  <c r="AQ293" i="23"/>
  <c r="AM305" i="23"/>
  <c r="D305" i="24" s="1"/>
  <c r="AM287" i="23"/>
  <c r="D287" i="24" s="1"/>
  <c r="AT285" i="23"/>
  <c r="AL281" i="23"/>
  <c r="AS279" i="23"/>
  <c r="AS273" i="23"/>
  <c r="AS271" i="23"/>
  <c r="AR269" i="23"/>
  <c r="AR267" i="23"/>
  <c r="AR265" i="23"/>
  <c r="AT263" i="23"/>
  <c r="AL263" i="23"/>
  <c r="AN261" i="23"/>
  <c r="AP259" i="23"/>
  <c r="AR257" i="23"/>
  <c r="AT255" i="23"/>
  <c r="AL255" i="23"/>
  <c r="AN253" i="23"/>
  <c r="AL305" i="23"/>
  <c r="AR279" i="23"/>
  <c r="AQ273" i="23"/>
  <c r="AQ271" i="23"/>
  <c r="AQ269" i="23"/>
  <c r="AQ267" i="23"/>
  <c r="AQ265" i="23"/>
  <c r="AS263" i="23"/>
  <c r="AM261" i="23"/>
  <c r="D261" i="24" s="1"/>
  <c r="AO259" i="23"/>
  <c r="AQ257" i="23"/>
  <c r="AS255" i="23"/>
  <c r="AM253" i="23"/>
  <c r="D253" i="24" s="1"/>
  <c r="AQ299" i="23"/>
  <c r="AN279" i="23"/>
  <c r="AP273" i="23"/>
  <c r="AP271" i="23"/>
  <c r="AP269" i="23"/>
  <c r="AP267" i="23"/>
  <c r="AP299" i="23"/>
  <c r="AT289" i="23"/>
  <c r="AM279" i="23"/>
  <c r="D279" i="24" s="1"/>
  <c r="AT277" i="23"/>
  <c r="AL273" i="23"/>
  <c r="AO271" i="23"/>
  <c r="AO269" i="23"/>
  <c r="AO267" i="23"/>
  <c r="AO265" i="23"/>
  <c r="AS261" i="23"/>
  <c r="AM259" i="23"/>
  <c r="D259" i="24" s="1"/>
  <c r="AO257" i="23"/>
  <c r="AS253" i="23"/>
  <c r="AS289" i="23"/>
  <c r="AT281" i="23"/>
  <c r="AN271" i="23"/>
  <c r="AN269" i="23"/>
  <c r="AM267" i="23"/>
  <c r="D267" i="24" s="1"/>
  <c r="AN265" i="23"/>
  <c r="AR261" i="23"/>
  <c r="AT259" i="23"/>
  <c r="AL259" i="23"/>
  <c r="AN257" i="23"/>
  <c r="AP255" i="23"/>
  <c r="AR253" i="23"/>
  <c r="AQ289" i="23"/>
  <c r="AS281" i="23"/>
  <c r="AL289" i="23"/>
  <c r="AS287" i="23"/>
  <c r="AQ281" i="23"/>
  <c r="AT261" i="23"/>
  <c r="AM257" i="23"/>
  <c r="D257" i="24" s="1"/>
  <c r="AL271" i="23"/>
  <c r="AM269" i="23"/>
  <c r="D269" i="24" s="1"/>
  <c r="AL267" i="23"/>
  <c r="AP265" i="23"/>
  <c r="AQ261" i="23"/>
  <c r="AL257" i="23"/>
  <c r="AL253" i="23"/>
  <c r="AM265" i="23"/>
  <c r="D265" i="24" s="1"/>
  <c r="AP261" i="23"/>
  <c r="AS259" i="23"/>
  <c r="AL265" i="23"/>
  <c r="AO261" i="23"/>
  <c r="AR259" i="23"/>
  <c r="AL261" i="23"/>
  <c r="AQ259" i="23"/>
  <c r="AN259" i="23"/>
  <c r="AT257" i="23"/>
  <c r="AT253" i="23"/>
  <c r="AS257" i="23"/>
  <c r="AQ253" i="23"/>
  <c r="AT271" i="23"/>
  <c r="AT267" i="23"/>
  <c r="AP257" i="23"/>
  <c r="AP253" i="23"/>
  <c r="AP251" i="23"/>
  <c r="AT249" i="23"/>
  <c r="AL249" i="23"/>
  <c r="AP247" i="23"/>
  <c r="AT245" i="23"/>
  <c r="AL245" i="23"/>
  <c r="AS241" i="23"/>
  <c r="AQ237" i="23"/>
  <c r="AT235" i="23"/>
  <c r="AL235" i="23"/>
  <c r="AO251" i="23"/>
  <c r="AS249" i="23"/>
  <c r="AO247" i="23"/>
  <c r="AS245" i="23"/>
  <c r="AO243" i="23"/>
  <c r="AM239" i="23"/>
  <c r="D239" i="24" s="1"/>
  <c r="AP237" i="23"/>
  <c r="AN251" i="23"/>
  <c r="AR249" i="23"/>
  <c r="AN247" i="23"/>
  <c r="AR245" i="23"/>
  <c r="AN243" i="23"/>
  <c r="AQ241" i="23"/>
  <c r="AT239" i="23"/>
  <c r="AL239" i="23"/>
  <c r="AO237" i="23"/>
  <c r="AR235" i="23"/>
  <c r="AT251" i="23"/>
  <c r="AL251" i="23"/>
  <c r="AP249" i="23"/>
  <c r="AT247" i="23"/>
  <c r="AL247" i="23"/>
  <c r="AP245" i="23"/>
  <c r="AT243" i="23"/>
  <c r="AL243" i="23"/>
  <c r="AO241" i="23"/>
  <c r="AR239" i="23"/>
  <c r="AM237" i="23"/>
  <c r="D237" i="24" s="1"/>
  <c r="AP235" i="23"/>
  <c r="AS251" i="23"/>
  <c r="AO249" i="23"/>
  <c r="AS247" i="23"/>
  <c r="AO245" i="23"/>
  <c r="AS243" i="23"/>
  <c r="AN241" i="23"/>
  <c r="AQ239" i="23"/>
  <c r="AT237" i="23"/>
  <c r="AL237" i="23"/>
  <c r="AO235" i="23"/>
  <c r="AN249" i="23"/>
  <c r="AN245" i="23"/>
  <c r="AP239" i="23"/>
  <c r="AT233" i="23"/>
  <c r="AL233" i="23"/>
  <c r="AP229" i="23"/>
  <c r="AR227" i="23"/>
  <c r="AR237" i="23"/>
  <c r="AS233" i="23"/>
  <c r="AQ227" i="23"/>
  <c r="AR233" i="23"/>
  <c r="AT231" i="23"/>
  <c r="AL231" i="23"/>
  <c r="AN229" i="23"/>
  <c r="AP227" i="23"/>
  <c r="AQ247" i="23"/>
  <c r="AR241" i="23"/>
  <c r="AQ233" i="23"/>
  <c r="AS231" i="23"/>
  <c r="AM229" i="23"/>
  <c r="D229" i="24" s="1"/>
  <c r="AO227" i="23"/>
  <c r="AP233" i="23"/>
  <c r="AT229" i="23"/>
  <c r="AL229" i="23"/>
  <c r="AN227" i="23"/>
  <c r="AO233" i="23"/>
  <c r="AQ231" i="23"/>
  <c r="AS229" i="23"/>
  <c r="AM227" i="23"/>
  <c r="D227" i="24" s="1"/>
  <c r="AN233" i="23"/>
  <c r="AR229" i="23"/>
  <c r="AT227" i="23"/>
  <c r="AL227" i="23"/>
  <c r="AS221" i="23"/>
  <c r="AM219" i="23"/>
  <c r="D219" i="24" s="1"/>
  <c r="AO217" i="23"/>
  <c r="AQ215" i="23"/>
  <c r="AR221" i="23"/>
  <c r="AT219" i="23"/>
  <c r="AL219" i="23"/>
  <c r="AN217" i="23"/>
  <c r="AP215" i="23"/>
  <c r="AM183" i="23"/>
  <c r="D183" i="24" s="1"/>
  <c r="AO181" i="23"/>
  <c r="AQ179" i="23"/>
  <c r="AS177" i="23"/>
  <c r="AO221" i="23"/>
  <c r="AQ219" i="23"/>
  <c r="AS217" i="23"/>
  <c r="AM215" i="23"/>
  <c r="D215" i="24" s="1"/>
  <c r="AP207" i="23"/>
  <c r="AQ201" i="23"/>
  <c r="AN199" i="23"/>
  <c r="AS197" i="23"/>
  <c r="AO193" i="23"/>
  <c r="AN221" i="23"/>
  <c r="AP219" i="23"/>
  <c r="AR217" i="23"/>
  <c r="AT215" i="23"/>
  <c r="AL215" i="23"/>
  <c r="AQ211" i="23"/>
  <c r="AO207" i="23"/>
  <c r="AR205" i="23"/>
  <c r="AS203" i="23"/>
  <c r="AQ221" i="23"/>
  <c r="AN211" i="23"/>
  <c r="AS209" i="23"/>
  <c r="AN207" i="23"/>
  <c r="AM205" i="23"/>
  <c r="D205" i="24" s="1"/>
  <c r="AQ203" i="23"/>
  <c r="AP201" i="23"/>
  <c r="AR197" i="23"/>
  <c r="AL195" i="23"/>
  <c r="AL193" i="23"/>
  <c r="AN191" i="23"/>
  <c r="AR189" i="23"/>
  <c r="AN187" i="23"/>
  <c r="AN183" i="23"/>
  <c r="AM181" i="23"/>
  <c r="D181" i="24" s="1"/>
  <c r="AN179" i="23"/>
  <c r="AN177" i="23"/>
  <c r="AP175" i="23"/>
  <c r="AN173" i="23"/>
  <c r="AT171" i="23"/>
  <c r="AL171" i="23"/>
  <c r="AS167" i="23"/>
  <c r="AQ165" i="23"/>
  <c r="AS163" i="23"/>
  <c r="AO161" i="23"/>
  <c r="AP221" i="23"/>
  <c r="AL211" i="23"/>
  <c r="AM207" i="23"/>
  <c r="D207" i="24" s="1"/>
  <c r="AL205" i="23"/>
  <c r="AQ189" i="23"/>
  <c r="AM187" i="23"/>
  <c r="D187" i="24" s="1"/>
  <c r="AL183" i="23"/>
  <c r="AL181" i="23"/>
  <c r="AM179" i="23"/>
  <c r="D179" i="24" s="1"/>
  <c r="AM177" i="23"/>
  <c r="D177" i="24" s="1"/>
  <c r="AO175" i="23"/>
  <c r="AM173" i="23"/>
  <c r="D173" i="24" s="1"/>
  <c r="AS171" i="23"/>
  <c r="AR167" i="23"/>
  <c r="AP165" i="23"/>
  <c r="AM221" i="23"/>
  <c r="D221" i="24" s="1"/>
  <c r="AO215" i="23"/>
  <c r="AQ209" i="23"/>
  <c r="AL207" i="23"/>
  <c r="AN203" i="23"/>
  <c r="AN201" i="23"/>
  <c r="AO199" i="23"/>
  <c r="AP197" i="23"/>
  <c r="AT195" i="23"/>
  <c r="AT193" i="23"/>
  <c r="AL191" i="23"/>
  <c r="AP189" i="23"/>
  <c r="AL187" i="23"/>
  <c r="AT183" i="23"/>
  <c r="AT181" i="23"/>
  <c r="AL179" i="23"/>
  <c r="AL177" i="23"/>
  <c r="AN175" i="23"/>
  <c r="AT173" i="23"/>
  <c r="AL173" i="23"/>
  <c r="AR171" i="23"/>
  <c r="AQ167" i="23"/>
  <c r="AO165" i="23"/>
  <c r="AQ163" i="23"/>
  <c r="AM161" i="23"/>
  <c r="D161" i="24" s="1"/>
  <c r="AL221" i="23"/>
  <c r="AS219" i="23"/>
  <c r="AN215" i="23"/>
  <c r="AO209" i="23"/>
  <c r="AM203" i="23"/>
  <c r="D203" i="24" s="1"/>
  <c r="AM201" i="23"/>
  <c r="D201" i="24" s="1"/>
  <c r="AM199" i="23"/>
  <c r="D199" i="24" s="1"/>
  <c r="AO197" i="23"/>
  <c r="AS195" i="23"/>
  <c r="AS193" i="23"/>
  <c r="AO189" i="23"/>
  <c r="AT187" i="23"/>
  <c r="AS183" i="23"/>
  <c r="AS181" i="23"/>
  <c r="AT179" i="23"/>
  <c r="AT177" i="23"/>
  <c r="AM175" i="23"/>
  <c r="D175" i="24" s="1"/>
  <c r="AS173" i="23"/>
  <c r="AQ171" i="23"/>
  <c r="AQ155" i="23"/>
  <c r="AQ153" i="23"/>
  <c r="AS151" i="23"/>
  <c r="AO145" i="23"/>
  <c r="AT143" i="23"/>
  <c r="AL143" i="23"/>
  <c r="AR219" i="23"/>
  <c r="AT211" i="23"/>
  <c r="AN209" i="23"/>
  <c r="AT205" i="23"/>
  <c r="AL199" i="23"/>
  <c r="AM197" i="23"/>
  <c r="D197" i="24" s="1"/>
  <c r="AQ195" i="23"/>
  <c r="AQ193" i="23"/>
  <c r="AS191" i="23"/>
  <c r="AN189" i="23"/>
  <c r="AR187" i="23"/>
  <c r="AT175" i="23"/>
  <c r="AL175" i="23"/>
  <c r="AR173" i="23"/>
  <c r="AP171" i="23"/>
  <c r="AS211" i="23"/>
  <c r="AT207" i="23"/>
  <c r="AQ205" i="23"/>
  <c r="AL197" i="23"/>
  <c r="AP195" i="23"/>
  <c r="AP193" i="23"/>
  <c r="AR191" i="23"/>
  <c r="AM189" i="23"/>
  <c r="D189" i="24" s="1"/>
  <c r="AQ187" i="23"/>
  <c r="AQ183" i="23"/>
  <c r="AQ181" i="23"/>
  <c r="AR179" i="23"/>
  <c r="AQ177" i="23"/>
  <c r="AS175" i="23"/>
  <c r="AQ173" i="23"/>
  <c r="AO171" i="23"/>
  <c r="AN167" i="23"/>
  <c r="AT165" i="23"/>
  <c r="AL165" i="23"/>
  <c r="AN163" i="23"/>
  <c r="AR161" i="23"/>
  <c r="AN219" i="23"/>
  <c r="AQ217" i="23"/>
  <c r="AP211" i="23"/>
  <c r="AR207" i="23"/>
  <c r="AP205" i="23"/>
  <c r="AS201" i="23"/>
  <c r="AT199" i="23"/>
  <c r="AO195" i="23"/>
  <c r="AN193" i="23"/>
  <c r="AQ191" i="23"/>
  <c r="AO191" i="23"/>
  <c r="AP187" i="23"/>
  <c r="AP183" i="23"/>
  <c r="AP181" i="23"/>
  <c r="AP179" i="23"/>
  <c r="AP177" i="23"/>
  <c r="AR175" i="23"/>
  <c r="AP173" i="23"/>
  <c r="AN171" i="23"/>
  <c r="AM167" i="23"/>
  <c r="D167" i="24" s="1"/>
  <c r="AS165" i="23"/>
  <c r="AM163" i="23"/>
  <c r="D163" i="24" s="1"/>
  <c r="AQ161" i="23"/>
  <c r="AN155" i="23"/>
  <c r="AT221" i="23"/>
  <c r="AP217" i="23"/>
  <c r="AO211" i="23"/>
  <c r="AM211" i="23"/>
  <c r="D211" i="24" s="1"/>
  <c r="AQ207" i="23"/>
  <c r="AO205" i="23"/>
  <c r="AN205" i="23"/>
  <c r="AR203" i="23"/>
  <c r="AR201" i="23"/>
  <c r="AS199" i="23"/>
  <c r="AT197" i="23"/>
  <c r="AN195" i="23"/>
  <c r="AM193" i="23"/>
  <c r="D193" i="24" s="1"/>
  <c r="AP191" i="23"/>
  <c r="AS189" i="23"/>
  <c r="AO187" i="23"/>
  <c r="AO183" i="23"/>
  <c r="AN181" i="23"/>
  <c r="AO179" i="23"/>
  <c r="AO177" i="23"/>
  <c r="AQ175" i="23"/>
  <c r="AO173" i="23"/>
  <c r="AM171" i="23"/>
  <c r="D171" i="24" s="1"/>
  <c r="AP161" i="23"/>
  <c r="AM155" i="23"/>
  <c r="D155" i="24" s="1"/>
  <c r="AM153" i="23"/>
  <c r="D153" i="24" s="1"/>
  <c r="AO151" i="23"/>
  <c r="AM147" i="23"/>
  <c r="D147" i="24" s="1"/>
  <c r="AS145" i="23"/>
  <c r="AN153" i="23"/>
  <c r="AT149" i="23"/>
  <c r="AS147" i="23"/>
  <c r="AQ145" i="23"/>
  <c r="AO139" i="23"/>
  <c r="AQ137" i="23"/>
  <c r="AS135" i="23"/>
  <c r="AP131" i="23"/>
  <c r="AS129" i="23"/>
  <c r="AN97" i="23"/>
  <c r="AR95" i="23"/>
  <c r="AP93" i="23"/>
  <c r="AN91" i="23"/>
  <c r="AS65" i="23"/>
  <c r="AM63" i="23"/>
  <c r="D63" i="24" s="1"/>
  <c r="AR147" i="23"/>
  <c r="AS143" i="23"/>
  <c r="AN139" i="23"/>
  <c r="AR129" i="23"/>
  <c r="AM97" i="23"/>
  <c r="D97" i="24" s="1"/>
  <c r="AQ95" i="23"/>
  <c r="AO93" i="23"/>
  <c r="AM91" i="23"/>
  <c r="D91" i="24" s="1"/>
  <c r="AT63" i="23"/>
  <c r="AL63" i="23"/>
  <c r="AR149" i="23"/>
  <c r="AP147" i="23"/>
  <c r="AR143" i="23"/>
  <c r="AL141" i="23"/>
  <c r="AM139" i="23"/>
  <c r="D139" i="24" s="1"/>
  <c r="AT97" i="23"/>
  <c r="AL97" i="23"/>
  <c r="AP95" i="23"/>
  <c r="AT91" i="23"/>
  <c r="AL91" i="23"/>
  <c r="AO147" i="23"/>
  <c r="AT141" i="23"/>
  <c r="AL139" i="23"/>
  <c r="AR133" i="23"/>
  <c r="AS97" i="23"/>
  <c r="AO95" i="23"/>
  <c r="AS91" i="23"/>
  <c r="AO149" i="23"/>
  <c r="AN147" i="23"/>
  <c r="AL145" i="23"/>
  <c r="AP143" i="23"/>
  <c r="AT139" i="23"/>
  <c r="AM137" i="23"/>
  <c r="D137" i="24" s="1"/>
  <c r="AT131" i="23"/>
  <c r="AL131" i="23"/>
  <c r="AO129" i="23"/>
  <c r="AR97" i="23"/>
  <c r="AN95" i="23"/>
  <c r="AT93" i="23"/>
  <c r="AL93" i="23"/>
  <c r="AR91" i="23"/>
  <c r="AO65" i="23"/>
  <c r="AQ63" i="23"/>
  <c r="AR155" i="23"/>
  <c r="AR153" i="23"/>
  <c r="AN151" i="23"/>
  <c r="AN149" i="23"/>
  <c r="AL147" i="23"/>
  <c r="AQ147" i="23"/>
  <c r="AO143" i="23"/>
  <c r="AP139" i="23"/>
  <c r="AL137" i="23"/>
  <c r="AM95" i="23"/>
  <c r="D95" i="24" s="1"/>
  <c r="AS93" i="23"/>
  <c r="AQ91" i="23"/>
  <c r="AN65" i="23"/>
  <c r="AP63" i="23"/>
  <c r="AO43" i="23"/>
  <c r="AQ41" i="23"/>
  <c r="AS39" i="23"/>
  <c r="AM37" i="23"/>
  <c r="D37" i="24" s="1"/>
  <c r="AO35" i="23"/>
  <c r="AQ33" i="23"/>
  <c r="AS31" i="23"/>
  <c r="AN29" i="23"/>
  <c r="AT25" i="23"/>
  <c r="AL25" i="23"/>
  <c r="AP155" i="23"/>
  <c r="AP153" i="23"/>
  <c r="AM151" i="23"/>
  <c r="D151" i="24" s="1"/>
  <c r="AL149" i="23"/>
  <c r="AM149" i="23"/>
  <c r="D149" i="24" s="1"/>
  <c r="AT145" i="23"/>
  <c r="AN143" i="23"/>
  <c r="AR139" i="23"/>
  <c r="AT137" i="23"/>
  <c r="AL135" i="23"/>
  <c r="AR131" i="23"/>
  <c r="AM129" i="23"/>
  <c r="D129" i="24" s="1"/>
  <c r="AP97" i="23"/>
  <c r="AT95" i="23"/>
  <c r="AL95" i="23"/>
  <c r="AR93" i="23"/>
  <c r="AP91" i="23"/>
  <c r="AM65" i="23"/>
  <c r="D65" i="24" s="1"/>
  <c r="AO63" i="23"/>
  <c r="AN43" i="23"/>
  <c r="AP41" i="23"/>
  <c r="AR39" i="23"/>
  <c r="AT37" i="23"/>
  <c r="AL37" i="23"/>
  <c r="AN35" i="23"/>
  <c r="AO155" i="23"/>
  <c r="AO153" i="23"/>
  <c r="AL151" i="23"/>
  <c r="AT147" i="23"/>
  <c r="AR145" i="23"/>
  <c r="AM143" i="23"/>
  <c r="D143" i="24" s="1"/>
  <c r="AQ139" i="23"/>
  <c r="AR137" i="23"/>
  <c r="AT135" i="23"/>
  <c r="AN135" i="23"/>
  <c r="AQ131" i="23"/>
  <c r="AO97" i="23"/>
  <c r="AS95" i="23"/>
  <c r="AQ93" i="23"/>
  <c r="AO91" i="23"/>
  <c r="AT65" i="23"/>
  <c r="AL65" i="23"/>
  <c r="AN63" i="23"/>
  <c r="AM43" i="23"/>
  <c r="D43" i="24" s="1"/>
  <c r="AO41" i="23"/>
  <c r="AQ39" i="23"/>
  <c r="AS37" i="23"/>
  <c r="AM35" i="23"/>
  <c r="D35" i="24" s="1"/>
  <c r="AO33" i="23"/>
  <c r="AQ31" i="23"/>
  <c r="AS41" i="23"/>
  <c r="AN39" i="23"/>
  <c r="AP35" i="23"/>
  <c r="AT31" i="23"/>
  <c r="AQ29" i="23"/>
  <c r="AN25" i="23"/>
  <c r="AR41" i="23"/>
  <c r="AR31" i="23"/>
  <c r="AP29" i="23"/>
  <c r="AR15" i="23"/>
  <c r="AN41" i="23"/>
  <c r="AO29" i="23"/>
  <c r="AL27" i="23"/>
  <c r="AM21" i="23"/>
  <c r="D21" i="24" s="1"/>
  <c r="AS19" i="23"/>
  <c r="AQ15" i="23"/>
  <c r="AM41" i="23"/>
  <c r="D41" i="24" s="1"/>
  <c r="AM29" i="23"/>
  <c r="D29" i="24" s="1"/>
  <c r="AT21" i="23"/>
  <c r="AL21" i="23"/>
  <c r="AR19" i="23"/>
  <c r="AP15" i="23"/>
  <c r="AR43" i="23"/>
  <c r="AL41" i="23"/>
  <c r="AT35" i="23"/>
  <c r="AP33" i="23"/>
  <c r="AN31" i="23"/>
  <c r="AS25" i="23"/>
  <c r="AQ19" i="23"/>
  <c r="AO15" i="23"/>
  <c r="AQ43" i="23"/>
  <c r="AM31" i="23"/>
  <c r="D31" i="24" s="1"/>
  <c r="AS27" i="23"/>
  <c r="AR21" i="23"/>
  <c r="AP19" i="23"/>
  <c r="AN15" i="23"/>
  <c r="AP43" i="23"/>
  <c r="AP39" i="23"/>
  <c r="AR35" i="23"/>
  <c r="AM33" i="23"/>
  <c r="D33" i="24" s="1"/>
  <c r="AL31" i="23"/>
  <c r="AS29" i="23"/>
  <c r="AP25" i="23"/>
  <c r="AM15" i="23"/>
  <c r="D15" i="24" s="1"/>
  <c r="AL43" i="23"/>
  <c r="AT41" i="23"/>
  <c r="AO39" i="23"/>
  <c r="AQ35" i="23"/>
  <c r="AL33" i="23"/>
  <c r="AR29" i="23"/>
  <c r="AO25" i="23"/>
  <c r="AT15" i="23"/>
  <c r="AL15" i="23"/>
  <c r="AM9" i="23"/>
  <c r="D9" i="24" s="1"/>
  <c r="AS5" i="23"/>
  <c r="AN3" i="23"/>
  <c r="AR9" i="23"/>
  <c r="AS3" i="23"/>
  <c r="AT9" i="23"/>
  <c r="AL9" i="23"/>
  <c r="AO7" i="23"/>
  <c r="AR5" i="23"/>
  <c r="AM3" i="23"/>
  <c r="D3" i="24" s="1"/>
  <c r="AS9" i="23"/>
  <c r="AT3" i="23"/>
  <c r="AN7" i="23"/>
  <c r="AQ5" i="23"/>
  <c r="AL3" i="23"/>
  <c r="AP9" i="23"/>
  <c r="AS7" i="23"/>
  <c r="AN5" i="23"/>
  <c r="AQ3" i="23"/>
  <c r="AO9" i="23"/>
  <c r="AM5" i="23"/>
  <c r="D5" i="24" s="1"/>
  <c r="AP3" i="23"/>
  <c r="AR7" i="23"/>
  <c r="AT329" i="23"/>
  <c r="AT327" i="23"/>
  <c r="AO311" i="23"/>
  <c r="AO301" i="23"/>
  <c r="AO291" i="23"/>
  <c r="AR283" i="23"/>
  <c r="AO255" i="23"/>
  <c r="AQ251" i="23"/>
  <c r="AP243" i="23"/>
  <c r="AP329" i="23"/>
  <c r="AP327" i="23"/>
  <c r="AN301" i="23"/>
  <c r="AN291" i="23"/>
  <c r="AP285" i="23"/>
  <c r="AQ283" i="23"/>
  <c r="AS269" i="23"/>
  <c r="AT265" i="23"/>
  <c r="AQ263" i="23"/>
  <c r="AN255" i="23"/>
  <c r="AM245" i="23"/>
  <c r="D245" i="24" s="1"/>
  <c r="AL329" i="23"/>
  <c r="AN327" i="23"/>
  <c r="AM301" i="23"/>
  <c r="D301" i="24" s="1"/>
  <c r="AO285" i="23"/>
  <c r="AP281" i="23"/>
  <c r="AR275" i="23"/>
  <c r="AS265" i="23"/>
  <c r="AP263" i="23"/>
  <c r="AM255" i="23"/>
  <c r="D255" i="24" s="1"/>
  <c r="AM235" i="23"/>
  <c r="D235" i="24" s="1"/>
  <c r="AL327" i="23"/>
  <c r="AT325" i="23"/>
  <c r="AT323" i="23"/>
  <c r="AT297" i="23"/>
  <c r="AM285" i="23"/>
  <c r="D285" i="24" s="1"/>
  <c r="AN283" i="23"/>
  <c r="AP277" i="23"/>
  <c r="AQ275" i="23"/>
  <c r="AO263" i="23"/>
  <c r="AQ249" i="23"/>
  <c r="AP325" i="23"/>
  <c r="AP323" i="23"/>
  <c r="AP313" i="23"/>
  <c r="AQ295" i="23"/>
  <c r="AN287" i="23"/>
  <c r="AL285" i="23"/>
  <c r="AM271" i="23"/>
  <c r="D271" i="24" s="1"/>
  <c r="AL325" i="23"/>
  <c r="AN323" i="23"/>
  <c r="AR301" i="23"/>
  <c r="AL297" i="23"/>
  <c r="AP295" i="23"/>
  <c r="AT293" i="23"/>
  <c r="AS267" i="23"/>
  <c r="AT241" i="23"/>
  <c r="AQ301" i="23"/>
  <c r="AR291" i="23"/>
  <c r="AR255" i="23"/>
  <c r="AL241" i="23"/>
  <c r="AP231" i="23"/>
  <c r="AP199" i="23"/>
  <c r="AQ197" i="23"/>
  <c r="AN197" i="23"/>
  <c r="AQ151" i="23"/>
  <c r="AS149" i="23"/>
  <c r="AO231" i="23"/>
  <c r="AS215" i="23"/>
  <c r="AO201" i="23"/>
  <c r="AR163" i="23"/>
  <c r="AS161" i="23"/>
  <c r="AT161" i="23"/>
  <c r="AP151" i="23"/>
  <c r="AP149" i="23"/>
  <c r="AP145" i="23"/>
  <c r="AR135" i="23"/>
  <c r="AN231" i="23"/>
  <c r="AM165" i="23"/>
  <c r="D165" i="24" s="1"/>
  <c r="AO163" i="23"/>
  <c r="AN161" i="23"/>
  <c r="AN145" i="23"/>
  <c r="AQ135" i="23"/>
  <c r="AM231" i="23"/>
  <c r="D231" i="24" s="1"/>
  <c r="AT217" i="23"/>
  <c r="AR209" i="23"/>
  <c r="AP203" i="23"/>
  <c r="AM191" i="23"/>
  <c r="D191" i="24" s="1"/>
  <c r="AR181" i="23"/>
  <c r="AO167" i="23"/>
  <c r="AT155" i="23"/>
  <c r="AM145" i="23"/>
  <c r="D145" i="24" s="1"/>
  <c r="AQ143" i="23"/>
  <c r="AP137" i="23"/>
  <c r="AP135" i="23"/>
  <c r="AM217" i="23"/>
  <c r="D217" i="24" s="1"/>
  <c r="AS155" i="23"/>
  <c r="AN93" i="23"/>
  <c r="AL39" i="23"/>
  <c r="AO37" i="23"/>
  <c r="AS35" i="23"/>
  <c r="AS33" i="23"/>
  <c r="AP31" i="23"/>
  <c r="AL217" i="23"/>
  <c r="AL155" i="23"/>
  <c r="AS131" i="23"/>
  <c r="AQ97" i="23"/>
  <c r="AM93" i="23"/>
  <c r="D93" i="24" s="1"/>
  <c r="AN37" i="23"/>
  <c r="AL35" i="23"/>
  <c r="AR33" i="23"/>
  <c r="AO31" i="23"/>
  <c r="AS227" i="23"/>
  <c r="AR183" i="23"/>
  <c r="AT151" i="23"/>
  <c r="AR65" i="23"/>
  <c r="AS63" i="23"/>
  <c r="AN33" i="23"/>
  <c r="AR25" i="23"/>
  <c r="AO21" i="23"/>
  <c r="AP5" i="23"/>
  <c r="AR37" i="23"/>
  <c r="AS15" i="23"/>
  <c r="AO5" i="23"/>
  <c r="AR199" i="23"/>
  <c r="AQ37" i="23"/>
  <c r="AL5" i="23"/>
  <c r="AO3" i="23"/>
  <c r="AT5" i="23"/>
  <c r="AT39" i="23"/>
  <c r="AP37" i="23"/>
  <c r="AR231" i="23"/>
  <c r="AR151" i="23"/>
  <c r="AM39" i="23"/>
  <c r="D39" i="24" s="1"/>
  <c r="AT33" i="23"/>
  <c r="AT7" i="23"/>
  <c r="AQ9" i="23"/>
  <c r="AQ7" i="23"/>
  <c r="AM233" i="23"/>
  <c r="D233" i="24" s="1"/>
  <c r="AT153" i="23"/>
  <c r="AO131" i="23"/>
  <c r="AQ25" i="23"/>
  <c r="AL293" i="23"/>
  <c r="AO275" i="23"/>
  <c r="AS153" i="23"/>
  <c r="AM141" i="23"/>
  <c r="D141" i="24" s="1"/>
  <c r="AQ129" i="23"/>
  <c r="AM25" i="23"/>
  <c r="D25" i="24" s="1"/>
  <c r="AN275" i="23"/>
  <c r="AQ245" i="23"/>
  <c r="AR177" i="23"/>
  <c r="AL153" i="23"/>
  <c r="AO135" i="23"/>
  <c r="AN295" i="23"/>
  <c r="AO277" i="23"/>
  <c r="AM7" i="23"/>
  <c r="D7" i="24" s="1"/>
  <c r="AM295" i="23"/>
  <c r="D295" i="24" s="1"/>
  <c r="AM277" i="23"/>
  <c r="D277" i="24" s="1"/>
  <c r="AR263" i="23"/>
  <c r="AL7" i="23"/>
  <c r="AR3" i="23"/>
  <c r="AL277" i="23"/>
  <c r="AN263" i="23"/>
  <c r="AR215" i="23"/>
  <c r="AS179" i="23"/>
  <c r="AR63" i="23"/>
  <c r="AN9" i="23"/>
  <c r="AL323" i="23"/>
  <c r="AM297" i="23"/>
  <c r="D297" i="24" s="1"/>
  <c r="AO283" i="23"/>
  <c r="AM263" i="23"/>
  <c r="D263" i="24" s="1"/>
  <c r="AQ255" i="23"/>
  <c r="AM243" i="23"/>
  <c r="D243" i="24" s="1"/>
  <c r="AT27" i="23"/>
  <c r="AP7" i="23"/>
  <c r="AP129" i="23"/>
  <c r="AS235" i="23"/>
  <c r="AP301" i="23"/>
  <c r="AT273" i="23"/>
  <c r="AQ65" i="23"/>
  <c r="AT313" i="23"/>
  <c r="AQ291" i="23"/>
  <c r="AP65" i="23"/>
  <c r="AM19" i="23"/>
  <c r="D19" i="24" s="1"/>
  <c r="AM133" i="23"/>
  <c r="D133" i="24" s="1"/>
  <c r="AT43" i="23"/>
  <c r="AS43" i="23"/>
  <c r="AS293" i="23"/>
  <c r="AO253" i="23"/>
  <c r="AM131" i="23"/>
  <c r="D131" i="24" s="1"/>
  <c r="AQ229" i="23"/>
  <c r="AN131" i="23"/>
  <c r="AO137" i="23"/>
  <c r="AO219" i="23"/>
  <c r="AO229" i="23"/>
  <c r="AQ191" i="25"/>
  <c r="AQ187" i="25"/>
  <c r="AM175" i="25"/>
  <c r="D175" i="26" s="1"/>
  <c r="AP173" i="25"/>
  <c r="AP165" i="25"/>
  <c r="AR163" i="25"/>
  <c r="AT161" i="25"/>
  <c r="AL161" i="25"/>
  <c r="AP159" i="25"/>
  <c r="AT157" i="25"/>
  <c r="AL157" i="25"/>
  <c r="AO155" i="25"/>
  <c r="AP191" i="25"/>
  <c r="AP187" i="25"/>
  <c r="AT175" i="25"/>
  <c r="AO191" i="25"/>
  <c r="AS189" i="25"/>
  <c r="AO187" i="25"/>
  <c r="AS185" i="25"/>
  <c r="AN173" i="25"/>
  <c r="AT167" i="25"/>
  <c r="AL167" i="25"/>
  <c r="AN165" i="25"/>
  <c r="AP163" i="25"/>
  <c r="AR161" i="25"/>
  <c r="AN159" i="25"/>
  <c r="AR157" i="25"/>
  <c r="AM155" i="25"/>
  <c r="D155" i="26" s="1"/>
  <c r="AP153" i="25"/>
  <c r="AT151" i="25"/>
  <c r="AL151" i="25"/>
  <c r="AN191" i="25"/>
  <c r="AR189" i="25"/>
  <c r="AN187" i="25"/>
  <c r="AR185" i="25"/>
  <c r="AS167" i="25"/>
  <c r="AM165" i="25"/>
  <c r="D165" i="26" s="1"/>
  <c r="AO163" i="25"/>
  <c r="AQ161" i="25"/>
  <c r="AM159" i="25"/>
  <c r="D159" i="26" s="1"/>
  <c r="AQ157" i="25"/>
  <c r="AT155" i="25"/>
  <c r="AL155" i="25"/>
  <c r="AO153" i="25"/>
  <c r="AS151" i="25"/>
  <c r="AM191" i="25"/>
  <c r="D191" i="26" s="1"/>
  <c r="AQ189" i="25"/>
  <c r="AM187" i="25"/>
  <c r="D187" i="26" s="1"/>
  <c r="AQ185" i="25"/>
  <c r="AR167" i="25"/>
  <c r="AT165" i="25"/>
  <c r="AL165" i="25"/>
  <c r="AN163" i="25"/>
  <c r="AP161" i="25"/>
  <c r="AT159" i="25"/>
  <c r="AL159" i="25"/>
  <c r="AP157" i="25"/>
  <c r="AS155" i="25"/>
  <c r="AN153" i="25"/>
  <c r="AR151" i="25"/>
  <c r="AS191" i="25"/>
  <c r="AS187" i="25"/>
  <c r="AM171" i="25"/>
  <c r="D171" i="26" s="1"/>
  <c r="AO165" i="25"/>
  <c r="AR159" i="25"/>
  <c r="AP155" i="25"/>
  <c r="AQ153" i="25"/>
  <c r="AR149" i="25"/>
  <c r="AT147" i="25"/>
  <c r="AL147" i="25"/>
  <c r="AN145" i="25"/>
  <c r="AP143" i="25"/>
  <c r="AR139" i="25"/>
  <c r="AT137" i="25"/>
  <c r="AL137" i="25"/>
  <c r="AN135" i="25"/>
  <c r="AP133" i="25"/>
  <c r="AM129" i="25"/>
  <c r="D129" i="26" s="1"/>
  <c r="AP127" i="25"/>
  <c r="AS125" i="25"/>
  <c r="AP175" i="25"/>
  <c r="AS175" i="25"/>
  <c r="AL171" i="25"/>
  <c r="AQ163" i="25"/>
  <c r="AQ159" i="25"/>
  <c r="AN155" i="25"/>
  <c r="AM153" i="25"/>
  <c r="D153" i="26" s="1"/>
  <c r="AQ149" i="25"/>
  <c r="AS147" i="25"/>
  <c r="AM145" i="25"/>
  <c r="D145" i="26" s="1"/>
  <c r="AO143" i="25"/>
  <c r="AQ139" i="25"/>
  <c r="AS137" i="25"/>
  <c r="AM135" i="25"/>
  <c r="D135" i="26" s="1"/>
  <c r="AO133" i="25"/>
  <c r="AT129" i="25"/>
  <c r="AL129" i="25"/>
  <c r="AR191" i="25"/>
  <c r="AO175" i="25"/>
  <c r="AS173" i="25"/>
  <c r="AM163" i="25"/>
  <c r="D163" i="26" s="1"/>
  <c r="AO159" i="25"/>
  <c r="AL153" i="25"/>
  <c r="AL191" i="25"/>
  <c r="AN175" i="25"/>
  <c r="AR173" i="25"/>
  <c r="AL163" i="25"/>
  <c r="AO149" i="25"/>
  <c r="AQ147" i="25"/>
  <c r="AS145" i="25"/>
  <c r="AM143" i="25"/>
  <c r="D143" i="26" s="1"/>
  <c r="AO139" i="25"/>
  <c r="AQ137" i="25"/>
  <c r="AS135" i="25"/>
  <c r="AM133" i="25"/>
  <c r="D133" i="26" s="1"/>
  <c r="AQ121" i="25"/>
  <c r="AS119" i="25"/>
  <c r="AM117" i="25"/>
  <c r="D117" i="26" s="1"/>
  <c r="AO115" i="25"/>
  <c r="AL175" i="25"/>
  <c r="AQ173" i="25"/>
  <c r="AO161" i="25"/>
  <c r="AO157" i="25"/>
  <c r="AN149" i="25"/>
  <c r="AP147" i="25"/>
  <c r="AR145" i="25"/>
  <c r="AT143" i="25"/>
  <c r="AL143" i="25"/>
  <c r="AN139" i="25"/>
  <c r="AP137" i="25"/>
  <c r="AR135" i="25"/>
  <c r="AT133" i="25"/>
  <c r="AL133" i="25"/>
  <c r="AQ129" i="25"/>
  <c r="AT171" i="25"/>
  <c r="AS165" i="25"/>
  <c r="AO129" i="25"/>
  <c r="AR121" i="25"/>
  <c r="AQ119" i="25"/>
  <c r="AR117" i="25"/>
  <c r="AR115" i="25"/>
  <c r="AL149" i="25"/>
  <c r="AS139" i="25"/>
  <c r="AL135" i="25"/>
  <c r="AN129" i="25"/>
  <c r="AQ127" i="25"/>
  <c r="AP121" i="25"/>
  <c r="AP119" i="25"/>
  <c r="AQ117" i="25"/>
  <c r="AQ115" i="25"/>
  <c r="AT111" i="25"/>
  <c r="AL111" i="25"/>
  <c r="AT107" i="25"/>
  <c r="AL107" i="25"/>
  <c r="AT99" i="25"/>
  <c r="AL99" i="25"/>
  <c r="AP97" i="25"/>
  <c r="AR95" i="25"/>
  <c r="AT93" i="25"/>
  <c r="AL93" i="25"/>
  <c r="AQ87" i="25"/>
  <c r="AT85" i="25"/>
  <c r="AL85" i="25"/>
  <c r="AT145" i="25"/>
  <c r="AP139" i="25"/>
  <c r="AQ133" i="25"/>
  <c r="AN127" i="25"/>
  <c r="AO121" i="25"/>
  <c r="AO119" i="25"/>
  <c r="AP117" i="25"/>
  <c r="AP115" i="25"/>
  <c r="AS99" i="25"/>
  <c r="AO97" i="25"/>
  <c r="AQ95" i="25"/>
  <c r="AQ145" i="25"/>
  <c r="AT131" i="25"/>
  <c r="AN171" i="25"/>
  <c r="AS149" i="25"/>
  <c r="AL145" i="25"/>
  <c r="AR143" i="25"/>
  <c r="AQ135" i="25"/>
  <c r="AM131" i="25"/>
  <c r="D131" i="26" s="1"/>
  <c r="AS129" i="25"/>
  <c r="AR129" i="25"/>
  <c r="AM125" i="25"/>
  <c r="D125" i="26" s="1"/>
  <c r="AR125" i="25"/>
  <c r="AT121" i="25"/>
  <c r="AT119" i="25"/>
  <c r="AT117" i="25"/>
  <c r="AT115" i="25"/>
  <c r="AO111" i="25"/>
  <c r="AR109" i="25"/>
  <c r="AO107" i="25"/>
  <c r="AS105" i="25"/>
  <c r="AO99" i="25"/>
  <c r="AS97" i="25"/>
  <c r="AM95" i="25"/>
  <c r="D95" i="26" s="1"/>
  <c r="AO93" i="25"/>
  <c r="AS91" i="25"/>
  <c r="AT87" i="25"/>
  <c r="AP149" i="25"/>
  <c r="AQ143" i="25"/>
  <c r="AL131" i="25"/>
  <c r="AP129" i="25"/>
  <c r="AL125" i="25"/>
  <c r="AS121" i="25"/>
  <c r="AR119" i="25"/>
  <c r="AS117" i="25"/>
  <c r="AS115" i="25"/>
  <c r="AN111" i="25"/>
  <c r="AN107" i="25"/>
  <c r="AN99" i="25"/>
  <c r="AR97" i="25"/>
  <c r="AT95" i="25"/>
  <c r="AL95" i="25"/>
  <c r="AN93" i="25"/>
  <c r="AN85" i="25"/>
  <c r="AR131" i="25"/>
  <c r="AM121" i="25"/>
  <c r="D121" i="26" s="1"/>
  <c r="AM119" i="25"/>
  <c r="D119" i="26" s="1"/>
  <c r="AN117" i="25"/>
  <c r="AP109" i="25"/>
  <c r="AQ105" i="25"/>
  <c r="AN97" i="25"/>
  <c r="AR89" i="25"/>
  <c r="AL83" i="25"/>
  <c r="AP55" i="25"/>
  <c r="AM37" i="25"/>
  <c r="D37" i="26" s="1"/>
  <c r="AO35" i="25"/>
  <c r="AL121" i="25"/>
  <c r="AL119" i="25"/>
  <c r="AL117" i="25"/>
  <c r="AL115" i="25"/>
  <c r="AM204" i="25"/>
  <c r="E109" i="26" s="1"/>
  <c r="AN105" i="25"/>
  <c r="AM97" i="25"/>
  <c r="D97" i="26" s="1"/>
  <c r="AP85" i="25"/>
  <c r="AT37" i="25"/>
  <c r="AL37" i="25"/>
  <c r="AN35" i="25"/>
  <c r="AT15" i="25"/>
  <c r="AL15" i="25"/>
  <c r="AL9" i="25"/>
  <c r="AO5" i="25"/>
  <c r="AS131" i="25"/>
  <c r="AL109" i="25"/>
  <c r="AM105" i="25"/>
  <c r="D105" i="26" s="1"/>
  <c r="AR99" i="25"/>
  <c r="AL97" i="25"/>
  <c r="AS95" i="25"/>
  <c r="AL89" i="25"/>
  <c r="AR87" i="25"/>
  <c r="AO85" i="25"/>
  <c r="AN55" i="25"/>
  <c r="AS37" i="25"/>
  <c r="AM35" i="25"/>
  <c r="D35" i="26" s="1"/>
  <c r="AS15" i="25"/>
  <c r="AN13" i="25"/>
  <c r="AQ11" i="25"/>
  <c r="AT9" i="25"/>
  <c r="AR3" i="25"/>
  <c r="AP131" i="25"/>
  <c r="AR111" i="25"/>
  <c r="AR107" i="25"/>
  <c r="AL105" i="25"/>
  <c r="AQ99" i="25"/>
  <c r="AP95" i="25"/>
  <c r="AR93" i="25"/>
  <c r="AO87" i="25"/>
  <c r="AM85" i="25"/>
  <c r="D85" i="26" s="1"/>
  <c r="AM55" i="25"/>
  <c r="D55" i="26" s="1"/>
  <c r="AR37" i="25"/>
  <c r="AT35" i="25"/>
  <c r="AL35" i="25"/>
  <c r="AR15" i="25"/>
  <c r="AM13" i="25"/>
  <c r="D13" i="26" s="1"/>
  <c r="AP11" i="25"/>
  <c r="AN5" i="25"/>
  <c r="AQ3" i="25"/>
  <c r="AQ111" i="25"/>
  <c r="AQ107" i="25"/>
  <c r="AP99" i="25"/>
  <c r="AQ93" i="25"/>
  <c r="AN87" i="25"/>
  <c r="AS83" i="25"/>
  <c r="AT55" i="25"/>
  <c r="AL55" i="25"/>
  <c r="AS35" i="25"/>
  <c r="AQ125" i="25"/>
  <c r="AM111" i="25"/>
  <c r="D111" i="26" s="1"/>
  <c r="AT109" i="25"/>
  <c r="AM107" i="25"/>
  <c r="D107" i="26" s="1"/>
  <c r="AT97" i="25"/>
  <c r="AM93" i="25"/>
  <c r="D93" i="26" s="1"/>
  <c r="AT89" i="25"/>
  <c r="AL87" i="25"/>
  <c r="AR55" i="25"/>
  <c r="AO37" i="25"/>
  <c r="AQ35" i="25"/>
  <c r="AO15" i="25"/>
  <c r="AM11" i="25"/>
  <c r="D11" i="26" s="1"/>
  <c r="AN3" i="25"/>
  <c r="AN121" i="25"/>
  <c r="AN119" i="25"/>
  <c r="AO117" i="25"/>
  <c r="AM99" i="25"/>
  <c r="D99" i="26" s="1"/>
  <c r="AS55" i="25"/>
  <c r="AP13" i="25"/>
  <c r="AT11" i="25"/>
  <c r="AQ5" i="25"/>
  <c r="AO9" i="25"/>
  <c r="AQ55" i="25"/>
  <c r="AL13" i="25"/>
  <c r="AP93" i="25"/>
  <c r="AO11" i="25"/>
  <c r="AR11" i="25"/>
  <c r="AL5" i="25"/>
  <c r="AR9" i="25"/>
  <c r="AP107" i="25"/>
  <c r="AS13" i="25"/>
  <c r="AN9" i="25"/>
  <c r="AT5" i="25"/>
  <c r="AM3" i="25"/>
  <c r="D3" i="26" s="1"/>
  <c r="AQ13" i="25"/>
  <c r="AO13" i="25"/>
  <c r="AR5" i="25"/>
  <c r="AL3" i="25"/>
  <c r="AQ9" i="25"/>
  <c r="AL189" i="25"/>
  <c r="AR187" i="25"/>
  <c r="AP185" i="25"/>
  <c r="AP167" i="25"/>
  <c r="AM157" i="25"/>
  <c r="D157" i="26" s="1"/>
  <c r="AR155" i="25"/>
  <c r="AS153" i="25"/>
  <c r="AO147" i="25"/>
  <c r="AP145" i="25"/>
  <c r="AL91" i="25"/>
  <c r="AO55" i="25"/>
  <c r="AS11" i="25"/>
  <c r="AT3" i="25"/>
  <c r="AP111" i="25"/>
  <c r="AL187" i="25"/>
  <c r="AO185" i="25"/>
  <c r="AO167" i="25"/>
  <c r="AR165" i="25"/>
  <c r="AQ155" i="25"/>
  <c r="AR153" i="25"/>
  <c r="AN147" i="25"/>
  <c r="AO145" i="25"/>
  <c r="AN11" i="25"/>
  <c r="AP3" i="25"/>
  <c r="AN185" i="25"/>
  <c r="AN167" i="25"/>
  <c r="AQ165" i="25"/>
  <c r="AQ151" i="25"/>
  <c r="AT149" i="25"/>
  <c r="AM147" i="25"/>
  <c r="D147" i="26" s="1"/>
  <c r="AS133" i="25"/>
  <c r="AR127" i="25"/>
  <c r="AN125" i="25"/>
  <c r="AO95" i="25"/>
  <c r="AS89" i="25"/>
  <c r="AR83" i="25"/>
  <c r="AO3" i="25"/>
  <c r="AO189" i="25"/>
  <c r="AT189" i="25"/>
  <c r="AM185" i="25"/>
  <c r="D185" i="26" s="1"/>
  <c r="AR171" i="25"/>
  <c r="AM167" i="25"/>
  <c r="AP151" i="25"/>
  <c r="AM149" i="25"/>
  <c r="D149" i="26" s="1"/>
  <c r="AN115" i="25"/>
  <c r="AN95" i="25"/>
  <c r="AR85" i="25"/>
  <c r="AM83" i="25"/>
  <c r="D83" i="26" s="1"/>
  <c r="AQ15" i="25"/>
  <c r="AP189" i="25"/>
  <c r="AL185" i="25"/>
  <c r="AS161" i="25"/>
  <c r="AO151" i="25"/>
  <c r="AT139" i="25"/>
  <c r="AO137" i="25"/>
  <c r="AP135" i="25"/>
  <c r="AN133" i="25"/>
  <c r="AM115" i="25"/>
  <c r="D115" i="26" s="1"/>
  <c r="AQ37" i="25"/>
  <c r="AR35" i="25"/>
  <c r="AP15" i="25"/>
  <c r="AN189" i="25"/>
  <c r="AM161" i="25"/>
  <c r="D161" i="26" s="1"/>
  <c r="AS157" i="25"/>
  <c r="AN91" i="25"/>
  <c r="AO173" i="25"/>
  <c r="AP37" i="25"/>
  <c r="AN161" i="25"/>
  <c r="AL139" i="25"/>
  <c r="AS127" i="25"/>
  <c r="AN37" i="25"/>
  <c r="AM189" i="25"/>
  <c r="D189" i="26" s="1"/>
  <c r="AR133" i="25"/>
  <c r="AT105" i="25"/>
  <c r="AN15" i="25"/>
  <c r="AT153" i="25"/>
  <c r="AN151" i="25"/>
  <c r="AR147" i="25"/>
  <c r="AS143" i="25"/>
  <c r="AM15" i="25"/>
  <c r="D15" i="26" s="1"/>
  <c r="AT13" i="25"/>
  <c r="AT185" i="25"/>
  <c r="AQ167" i="25"/>
  <c r="AT163" i="25"/>
  <c r="AM151" i="25"/>
  <c r="D151" i="26" s="1"/>
  <c r="AN143" i="25"/>
  <c r="AT125" i="25"/>
  <c r="AM5" i="25"/>
  <c r="D5" i="26" s="1"/>
  <c r="AT191" i="25"/>
  <c r="AS163" i="25"/>
  <c r="AN157" i="25"/>
  <c r="AT135" i="25"/>
  <c r="AM139" i="25"/>
  <c r="D139" i="26" s="1"/>
  <c r="AS159" i="25"/>
  <c r="AO135" i="25"/>
  <c r="AS3" i="25"/>
  <c r="AR137" i="25"/>
  <c r="AM137" i="25"/>
  <c r="D137" i="26" s="1"/>
  <c r="AM87" i="25"/>
  <c r="D87" i="26" s="1"/>
  <c r="AP35" i="25"/>
  <c r="AT91" i="25"/>
  <c r="AT187" i="25"/>
  <c r="AN137" i="25"/>
  <c r="AQ97" i="25"/>
  <c r="AQ85" i="25"/>
  <c r="AL11" i="25"/>
  <c r="AR141" i="27"/>
  <c r="AT139" i="27"/>
  <c r="AL139" i="27"/>
  <c r="AQ141" i="27"/>
  <c r="AS139" i="27"/>
  <c r="AM137" i="27"/>
  <c r="D137" i="28" s="1"/>
  <c r="AO135" i="27"/>
  <c r="AQ133" i="27"/>
  <c r="AS131" i="27"/>
  <c r="AM129" i="27"/>
  <c r="D129" i="28" s="1"/>
  <c r="AO127" i="27"/>
  <c r="AQ125" i="27"/>
  <c r="AS123" i="27"/>
  <c r="AM121" i="27"/>
  <c r="AO119" i="27"/>
  <c r="AQ117" i="27"/>
  <c r="AS115" i="27"/>
  <c r="AM113" i="27"/>
  <c r="D113" i="28" s="1"/>
  <c r="AO111" i="27"/>
  <c r="AS109" i="27"/>
  <c r="AO107" i="27"/>
  <c r="AP141" i="27"/>
  <c r="AR139" i="27"/>
  <c r="AT137" i="27"/>
  <c r="AL137" i="27"/>
  <c r="AN135" i="27"/>
  <c r="AP133" i="27"/>
  <c r="AR131" i="27"/>
  <c r="AT129" i="27"/>
  <c r="AL129" i="27"/>
  <c r="AN127" i="27"/>
  <c r="AP125" i="27"/>
  <c r="AR123" i="27"/>
  <c r="AT121" i="27"/>
  <c r="AL121" i="27"/>
  <c r="AN119" i="27"/>
  <c r="AP117" i="27"/>
  <c r="AR115" i="27"/>
  <c r="AT113" i="27"/>
  <c r="AL113" i="27"/>
  <c r="AN111" i="27"/>
  <c r="AR109" i="27"/>
  <c r="AN107" i="27"/>
  <c r="AP105" i="27"/>
  <c r="AP101" i="27"/>
  <c r="AO141" i="27"/>
  <c r="AQ139" i="27"/>
  <c r="AS137" i="27"/>
  <c r="AM135" i="27"/>
  <c r="D135" i="28" s="1"/>
  <c r="AO133" i="27"/>
  <c r="AQ131" i="27"/>
  <c r="AS129" i="27"/>
  <c r="AM127" i="27"/>
  <c r="D127" i="28" s="1"/>
  <c r="AN141" i="27"/>
  <c r="AP139" i="27"/>
  <c r="AT135" i="27"/>
  <c r="AL135" i="27"/>
  <c r="AN133" i="27"/>
  <c r="AP131" i="27"/>
  <c r="AT127" i="27"/>
  <c r="AL127" i="27"/>
  <c r="AN125" i="27"/>
  <c r="AP123" i="27"/>
  <c r="AR121" i="27"/>
  <c r="AM141" i="27"/>
  <c r="D141" i="28" s="1"/>
  <c r="AO139" i="27"/>
  <c r="AQ137" i="27"/>
  <c r="AS135" i="27"/>
  <c r="AM133" i="27"/>
  <c r="D133" i="28" s="1"/>
  <c r="AO131" i="27"/>
  <c r="AQ129" i="27"/>
  <c r="AS127" i="27"/>
  <c r="AM125" i="27"/>
  <c r="D125" i="28" s="1"/>
  <c r="AO123" i="27"/>
  <c r="AQ121" i="27"/>
  <c r="AS119" i="27"/>
  <c r="AM117" i="27"/>
  <c r="D117" i="28" s="1"/>
  <c r="AO115" i="27"/>
  <c r="AQ113" i="27"/>
  <c r="AS111" i="27"/>
  <c r="AO109" i="27"/>
  <c r="AT141" i="27"/>
  <c r="AL141" i="27"/>
  <c r="AN139" i="27"/>
  <c r="AP137" i="27"/>
  <c r="AR135" i="27"/>
  <c r="AT133" i="27"/>
  <c r="AL133" i="27"/>
  <c r="AN131" i="27"/>
  <c r="AP129" i="27"/>
  <c r="AR127" i="27"/>
  <c r="AT125" i="27"/>
  <c r="AL125" i="27"/>
  <c r="AN123" i="27"/>
  <c r="AP121" i="27"/>
  <c r="AR119" i="27"/>
  <c r="AT117" i="27"/>
  <c r="AL117" i="27"/>
  <c r="AN115" i="27"/>
  <c r="AP113" i="27"/>
  <c r="AR111" i="27"/>
  <c r="AN109" i="27"/>
  <c r="AR107" i="27"/>
  <c r="AT105" i="27"/>
  <c r="AT131" i="27"/>
  <c r="AR125" i="27"/>
  <c r="AQ123" i="27"/>
  <c r="AO117" i="27"/>
  <c r="AT115" i="27"/>
  <c r="AP111" i="27"/>
  <c r="AR105" i="27"/>
  <c r="AR103" i="27"/>
  <c r="AR101" i="27"/>
  <c r="AS99" i="27"/>
  <c r="AM99" i="27"/>
  <c r="D99" i="28" s="1"/>
  <c r="AL97" i="27"/>
  <c r="AM95" i="27"/>
  <c r="D95" i="28" s="1"/>
  <c r="AM93" i="27"/>
  <c r="D93" i="28" s="1"/>
  <c r="AO91" i="27"/>
  <c r="AP89" i="27"/>
  <c r="AN83" i="27"/>
  <c r="AS81" i="27"/>
  <c r="AP79" i="27"/>
  <c r="AS133" i="27"/>
  <c r="AM131" i="27"/>
  <c r="D131" i="28" s="1"/>
  <c r="AO125" i="27"/>
  <c r="AM123" i="27"/>
  <c r="D123" i="28" s="1"/>
  <c r="AN117" i="27"/>
  <c r="AQ115" i="27"/>
  <c r="AM111" i="27"/>
  <c r="D111" i="28" s="1"/>
  <c r="AO105" i="27"/>
  <c r="AQ103" i="27"/>
  <c r="AO101" i="27"/>
  <c r="AR99" i="27"/>
  <c r="AN91" i="27"/>
  <c r="AO89" i="27"/>
  <c r="AM83" i="27"/>
  <c r="D83" i="28" s="1"/>
  <c r="AO79" i="27"/>
  <c r="AT77" i="27"/>
  <c r="AL77" i="27"/>
  <c r="AP73" i="27"/>
  <c r="AM71" i="27"/>
  <c r="D71" i="28" s="1"/>
  <c r="AR69" i="27"/>
  <c r="AN65" i="27"/>
  <c r="AR133" i="27"/>
  <c r="AL131" i="27"/>
  <c r="AL123" i="27"/>
  <c r="AS121" i="27"/>
  <c r="AP115" i="27"/>
  <c r="AL111" i="27"/>
  <c r="AT107" i="27"/>
  <c r="AN105" i="27"/>
  <c r="AP103" i="27"/>
  <c r="AN101" i="27"/>
  <c r="AQ99" i="27"/>
  <c r="AS97" i="27"/>
  <c r="AT93" i="27"/>
  <c r="AM91" i="27"/>
  <c r="D91" i="28" s="1"/>
  <c r="AN89" i="27"/>
  <c r="AS107" i="27"/>
  <c r="AM105" i="27"/>
  <c r="D105" i="28" s="1"/>
  <c r="AO103" i="27"/>
  <c r="AM101" i="27"/>
  <c r="D101" i="28" s="1"/>
  <c r="AP99" i="27"/>
  <c r="AR97" i="27"/>
  <c r="AS93" i="27"/>
  <c r="AL89" i="27"/>
  <c r="AN121" i="27"/>
  <c r="AQ119" i="27"/>
  <c r="AL115" i="27"/>
  <c r="AQ107" i="27"/>
  <c r="AL105" i="27"/>
  <c r="AN103" i="27"/>
  <c r="AL101" i="27"/>
  <c r="AO99" i="27"/>
  <c r="AQ95" i="27"/>
  <c r="AT91" i="27"/>
  <c r="AT89" i="27"/>
  <c r="AR83" i="27"/>
  <c r="AO81" i="27"/>
  <c r="AT79" i="27"/>
  <c r="AL79" i="27"/>
  <c r="AQ77" i="27"/>
  <c r="AP75" i="27"/>
  <c r="AM73" i="27"/>
  <c r="D73" i="28" s="1"/>
  <c r="AR71" i="27"/>
  <c r="AP119" i="27"/>
  <c r="AR113" i="27"/>
  <c r="AP109" i="27"/>
  <c r="AP107" i="27"/>
  <c r="AP95" i="27"/>
  <c r="AS91" i="27"/>
  <c r="AM89" i="27"/>
  <c r="D89" i="28" s="1"/>
  <c r="AO63" i="27"/>
  <c r="AM61" i="27"/>
  <c r="D61" i="28" s="1"/>
  <c r="AS59" i="27"/>
  <c r="AM81" i="27"/>
  <c r="D81" i="28" s="1"/>
  <c r="AS77" i="27"/>
  <c r="AT73" i="27"/>
  <c r="AT69" i="27"/>
  <c r="AN67" i="27"/>
  <c r="AO65" i="27"/>
  <c r="AT63" i="27"/>
  <c r="AQ61" i="27"/>
  <c r="AL59" i="27"/>
  <c r="AR57" i="27"/>
  <c r="AO55" i="27"/>
  <c r="AT99" i="27"/>
  <c r="AN97" i="27"/>
  <c r="AT83" i="27"/>
  <c r="AL81" i="27"/>
  <c r="AR77" i="27"/>
  <c r="AT75" i="27"/>
  <c r="AS75" i="27"/>
  <c r="AT71" i="27"/>
  <c r="AS69" i="27"/>
  <c r="AL67" i="27"/>
  <c r="AM65" i="27"/>
  <c r="D65" i="28" s="1"/>
  <c r="AS63" i="27"/>
  <c r="AP61" i="27"/>
  <c r="AT59" i="27"/>
  <c r="AQ57" i="27"/>
  <c r="AN55" i="27"/>
  <c r="AM49" i="27"/>
  <c r="D49" i="28" s="1"/>
  <c r="AN43" i="27"/>
  <c r="AT41" i="27"/>
  <c r="AL41" i="27"/>
  <c r="AR39" i="27"/>
  <c r="AM107" i="27"/>
  <c r="D107" i="28" s="1"/>
  <c r="AL99" i="27"/>
  <c r="AM97" i="27"/>
  <c r="D97" i="28" s="1"/>
  <c r="AS83" i="27"/>
  <c r="AR79" i="27"/>
  <c r="AO77" i="27"/>
  <c r="AR75" i="27"/>
  <c r="AS73" i="27"/>
  <c r="AS71" i="27"/>
  <c r="AQ69" i="27"/>
  <c r="AN69" i="27"/>
  <c r="AL65" i="27"/>
  <c r="AR63" i="27"/>
  <c r="AO61" i="27"/>
  <c r="AR59" i="27"/>
  <c r="AP57" i="27"/>
  <c r="AM55" i="27"/>
  <c r="D55" i="28" s="1"/>
  <c r="AM43" i="27"/>
  <c r="D43" i="28" s="1"/>
  <c r="AS41" i="27"/>
  <c r="AQ39" i="27"/>
  <c r="AL107" i="27"/>
  <c r="AQ79" i="27"/>
  <c r="AN77" i="27"/>
  <c r="AQ75" i="27"/>
  <c r="AR73" i="27"/>
  <c r="AP71" i="27"/>
  <c r="AP69" i="27"/>
  <c r="AT67" i="27"/>
  <c r="AQ63" i="27"/>
  <c r="AN61" i="27"/>
  <c r="AQ59" i="27"/>
  <c r="AO57" i="27"/>
  <c r="AT55" i="27"/>
  <c r="AL55" i="27"/>
  <c r="AT43" i="27"/>
  <c r="AL43" i="27"/>
  <c r="AR41" i="27"/>
  <c r="AP39" i="27"/>
  <c r="AS125" i="27"/>
  <c r="AO83" i="27"/>
  <c r="AN79" i="27"/>
  <c r="AM77" i="27"/>
  <c r="D77" i="28" s="1"/>
  <c r="AN75" i="27"/>
  <c r="AQ73" i="27"/>
  <c r="AO71" i="27"/>
  <c r="AO69" i="27"/>
  <c r="AS67" i="27"/>
  <c r="AT65" i="27"/>
  <c r="AP63" i="27"/>
  <c r="AL61" i="27"/>
  <c r="AP59" i="27"/>
  <c r="AN57" i="27"/>
  <c r="AS55" i="27"/>
  <c r="AT53" i="27"/>
  <c r="AL53" i="27"/>
  <c r="AO51" i="27"/>
  <c r="AR49" i="27"/>
  <c r="AL83" i="27"/>
  <c r="AT81" i="27"/>
  <c r="AM79" i="27"/>
  <c r="D79" i="28" s="1"/>
  <c r="AM157" i="27"/>
  <c r="E75" i="28" s="1"/>
  <c r="AO73" i="27"/>
  <c r="AN71" i="27"/>
  <c r="AM156" i="27"/>
  <c r="E69" i="28" s="1"/>
  <c r="AR67" i="27"/>
  <c r="AS65" i="27"/>
  <c r="AN63" i="27"/>
  <c r="AT61" i="27"/>
  <c r="AO59" i="27"/>
  <c r="AM57" i="27"/>
  <c r="D57" i="28" s="1"/>
  <c r="AR55" i="27"/>
  <c r="AN51" i="27"/>
  <c r="AQ49" i="27"/>
  <c r="AL69" i="27"/>
  <c r="AS57" i="27"/>
  <c r="AQ53" i="27"/>
  <c r="AT51" i="27"/>
  <c r="AS43" i="27"/>
  <c r="AO39" i="27"/>
  <c r="AR25" i="27"/>
  <c r="AT23" i="27"/>
  <c r="AL23" i="27"/>
  <c r="AR9" i="27"/>
  <c r="AP5" i="27"/>
  <c r="AS3" i="27"/>
  <c r="AL75" i="27"/>
  <c r="AN73" i="27"/>
  <c r="AL71" i="27"/>
  <c r="AM63" i="27"/>
  <c r="D63" i="28" s="1"/>
  <c r="AL57" i="27"/>
  <c r="AP53" i="27"/>
  <c r="AS51" i="27"/>
  <c r="AR51" i="27"/>
  <c r="AR43" i="27"/>
  <c r="AN39" i="27"/>
  <c r="AQ25" i="27"/>
  <c r="AS23" i="27"/>
  <c r="AQ9" i="27"/>
  <c r="AO5" i="27"/>
  <c r="AR3" i="27"/>
  <c r="AL9" i="27"/>
  <c r="AR5" i="27"/>
  <c r="AP67" i="27"/>
  <c r="AL63" i="27"/>
  <c r="AQ55" i="27"/>
  <c r="AM51" i="27"/>
  <c r="D51" i="28" s="1"/>
  <c r="AQ43" i="27"/>
  <c r="AN41" i="27"/>
  <c r="AM39" i="27"/>
  <c r="D39" i="28" s="1"/>
  <c r="AT29" i="27"/>
  <c r="AL29" i="27"/>
  <c r="AP25" i="27"/>
  <c r="AR23" i="27"/>
  <c r="AT21" i="27"/>
  <c r="AL21" i="27"/>
  <c r="AN19" i="27"/>
  <c r="AP9" i="27"/>
  <c r="AS7" i="27"/>
  <c r="AN5" i="27"/>
  <c r="AQ3" i="27"/>
  <c r="AT5" i="27"/>
  <c r="AT39" i="27"/>
  <c r="AL25" i="27"/>
  <c r="AO67" i="27"/>
  <c r="AQ65" i="27"/>
  <c r="AP55" i="27"/>
  <c r="AL51" i="27"/>
  <c r="AP43" i="27"/>
  <c r="AM41" i="27"/>
  <c r="D41" i="28" s="1"/>
  <c r="AL39" i="27"/>
  <c r="AS29" i="27"/>
  <c r="AM27" i="27"/>
  <c r="D27" i="28" s="1"/>
  <c r="AO25" i="27"/>
  <c r="AQ23" i="27"/>
  <c r="AS21" i="27"/>
  <c r="AM19" i="27"/>
  <c r="D19" i="28" s="1"/>
  <c r="AO9" i="27"/>
  <c r="AR7" i="27"/>
  <c r="AM5" i="27"/>
  <c r="D5" i="28" s="1"/>
  <c r="AP3" i="27"/>
  <c r="AN9" i="27"/>
  <c r="AL5" i="27"/>
  <c r="AO3" i="27"/>
  <c r="AT25" i="27"/>
  <c r="AT9" i="27"/>
  <c r="AS25" i="27"/>
  <c r="AP65" i="27"/>
  <c r="AO43" i="27"/>
  <c r="AR29" i="27"/>
  <c r="AT27" i="27"/>
  <c r="AL27" i="27"/>
  <c r="AN25" i="27"/>
  <c r="AP23" i="27"/>
  <c r="AR21" i="27"/>
  <c r="AT19" i="27"/>
  <c r="AL19" i="27"/>
  <c r="AS61" i="27"/>
  <c r="AQ29" i="27"/>
  <c r="AS27" i="27"/>
  <c r="AM25" i="27"/>
  <c r="D25" i="28" s="1"/>
  <c r="AO23" i="27"/>
  <c r="AQ21" i="27"/>
  <c r="AS19" i="27"/>
  <c r="AM9" i="27"/>
  <c r="D9" i="28" s="1"/>
  <c r="AP7" i="27"/>
  <c r="AS5" i="27"/>
  <c r="AN3" i="27"/>
  <c r="AR61" i="27"/>
  <c r="AS9" i="27"/>
  <c r="AT101" i="27"/>
  <c r="AQ101" i="27"/>
  <c r="AT49" i="27"/>
  <c r="AQ41" i="27"/>
  <c r="AN7" i="27"/>
  <c r="AN137" i="27"/>
  <c r="AM119" i="27"/>
  <c r="D119" i="28" s="1"/>
  <c r="AS101" i="27"/>
  <c r="AP97" i="27"/>
  <c r="AP91" i="27"/>
  <c r="AP41" i="27"/>
  <c r="AM23" i="27"/>
  <c r="D23" i="28" s="1"/>
  <c r="AM21" i="27"/>
  <c r="D21" i="28" s="1"/>
  <c r="AO19" i="27"/>
  <c r="AM7" i="27"/>
  <c r="D7" i="28" s="1"/>
  <c r="AL3" i="27"/>
  <c r="AL7" i="27"/>
  <c r="AT7" i="27"/>
  <c r="AM139" i="27"/>
  <c r="D139" i="28" s="1"/>
  <c r="AL119" i="27"/>
  <c r="AS113" i="27"/>
  <c r="AT111" i="27"/>
  <c r="AL91" i="27"/>
  <c r="AO41" i="27"/>
  <c r="AQ5" i="27"/>
  <c r="AO121" i="27"/>
  <c r="AO113" i="27"/>
  <c r="AQ111" i="27"/>
  <c r="AP93" i="27"/>
  <c r="AQ81" i="27"/>
  <c r="AS39" i="27"/>
  <c r="AP29" i="27"/>
  <c r="AR27" i="27"/>
  <c r="AQ127" i="27"/>
  <c r="AN113" i="27"/>
  <c r="AT109" i="27"/>
  <c r="AO95" i="27"/>
  <c r="AN93" i="27"/>
  <c r="AP83" i="27"/>
  <c r="AP81" i="27"/>
  <c r="AR53" i="27"/>
  <c r="AO49" i="27"/>
  <c r="AQ27" i="27"/>
  <c r="AP127" i="27"/>
  <c r="AM115" i="27"/>
  <c r="D115" i="28" s="1"/>
  <c r="AN95" i="27"/>
  <c r="AN49" i="27"/>
  <c r="AS141" i="27"/>
  <c r="AN129" i="27"/>
  <c r="AM109" i="27"/>
  <c r="D109" i="28" s="1"/>
  <c r="AQ105" i="27"/>
  <c r="AN59" i="27"/>
  <c r="AT57" i="27"/>
  <c r="AM29" i="27"/>
  <c r="D29" i="28" s="1"/>
  <c r="AO27" i="27"/>
  <c r="AP21" i="27"/>
  <c r="AR19" i="27"/>
  <c r="AQ7" i="27"/>
  <c r="AQ135" i="27"/>
  <c r="AL109" i="27"/>
  <c r="AR91" i="27"/>
  <c r="AO21" i="27"/>
  <c r="AS95" i="27"/>
  <c r="AQ89" i="27"/>
  <c r="AN21" i="27"/>
  <c r="AP27" i="27"/>
  <c r="AR137" i="27"/>
  <c r="AR129" i="27"/>
  <c r="AS117" i="27"/>
  <c r="AN27" i="27"/>
  <c r="AN23" i="27"/>
  <c r="AO137" i="27"/>
  <c r="AO129" i="27"/>
  <c r="AR117" i="27"/>
  <c r="AO93" i="27"/>
  <c r="AP49" i="27"/>
  <c r="AO29" i="27"/>
  <c r="AQ91" i="27"/>
  <c r="AR89" i="27"/>
  <c r="AN29" i="27"/>
  <c r="AO7" i="27"/>
  <c r="AS105" i="27"/>
  <c r="AS103" i="27"/>
  <c r="AM59" i="27"/>
  <c r="D59" i="28" s="1"/>
  <c r="AP19" i="27"/>
  <c r="AQ109" i="27"/>
  <c r="AQ19" i="27"/>
  <c r="AP135" i="27"/>
  <c r="AT119" i="27"/>
  <c r="AM3" i="27"/>
  <c r="D3" i="28" s="1"/>
  <c r="AT123" i="27"/>
  <c r="AT3" i="27"/>
  <c r="AO363" i="1"/>
  <c r="AN363" i="1"/>
  <c r="AM363" i="1"/>
  <c r="AT363" i="1"/>
  <c r="AL363" i="1"/>
  <c r="AS363" i="1"/>
  <c r="AR363" i="1"/>
  <c r="AP363" i="1"/>
  <c r="AQ363" i="1"/>
  <c r="AT365" i="1"/>
  <c r="AL365" i="1"/>
  <c r="AS365" i="1"/>
  <c r="AR365" i="1"/>
  <c r="AQ365" i="1"/>
  <c r="AP365" i="1"/>
  <c r="AN365" i="1"/>
  <c r="AO365" i="1"/>
  <c r="AM365" i="1"/>
  <c r="AQ367" i="1"/>
  <c r="AP367" i="1"/>
  <c r="AM367" i="1"/>
  <c r="AO367" i="1"/>
  <c r="AR367" i="1"/>
  <c r="AN367" i="1"/>
  <c r="AT367" i="1"/>
  <c r="AL367" i="1"/>
  <c r="AS367" i="1"/>
  <c r="AP369" i="1"/>
  <c r="AO369" i="1"/>
  <c r="AN369" i="1"/>
  <c r="AS369" i="1"/>
  <c r="AM369" i="1"/>
  <c r="AL369" i="1"/>
  <c r="AT369" i="1"/>
  <c r="AR369" i="1"/>
  <c r="AQ369" i="1"/>
  <c r="AM371" i="1"/>
  <c r="AR371" i="1"/>
  <c r="AQ371" i="1"/>
  <c r="AT371" i="1"/>
  <c r="AL371" i="1"/>
  <c r="AS371" i="1"/>
  <c r="AP371" i="1"/>
  <c r="AO371" i="1"/>
  <c r="AN371" i="1"/>
  <c r="AT373" i="1"/>
  <c r="AS373" i="1"/>
  <c r="AR373" i="1"/>
  <c r="AQ373" i="1"/>
  <c r="AP373" i="1"/>
  <c r="AL373" i="1"/>
  <c r="AO373" i="1"/>
  <c r="AN373" i="1"/>
  <c r="AM373" i="1"/>
  <c r="AP375" i="1"/>
  <c r="AL375" i="1"/>
  <c r="AO375" i="1"/>
  <c r="AN375" i="1"/>
  <c r="AT375" i="1"/>
  <c r="AQ375" i="1"/>
  <c r="AM375" i="1"/>
  <c r="AS375" i="1"/>
  <c r="AR375" i="1"/>
  <c r="AN377" i="1"/>
  <c r="AM377" i="1"/>
  <c r="AT377" i="1"/>
  <c r="AL377" i="1"/>
  <c r="AO377" i="1"/>
  <c r="AS377" i="1"/>
  <c r="AQ377" i="1"/>
  <c r="AR377" i="1"/>
  <c r="AP377" i="1"/>
  <c r="D121" i="28" l="1"/>
  <c r="D167" i="26"/>
  <c r="AP713" i="29" l="1"/>
  <c r="AM705" i="29"/>
  <c r="D705" i="30" s="1"/>
  <c r="AM707" i="29"/>
  <c r="D707" i="30" s="1"/>
  <c r="AT705" i="29"/>
  <c r="AL705" i="29"/>
  <c r="AS695" i="29"/>
  <c r="AM691" i="29"/>
  <c r="D691" i="30" s="1"/>
  <c r="AO689" i="29"/>
  <c r="AM713" i="29"/>
  <c r="D713" i="30" s="1"/>
  <c r="AS707" i="29"/>
  <c r="AR705" i="29"/>
  <c r="AQ695" i="29"/>
  <c r="AS691" i="29"/>
  <c r="AM689" i="29"/>
  <c r="D689" i="30" s="1"/>
  <c r="AT713" i="29"/>
  <c r="AL713" i="29"/>
  <c r="AR707" i="29"/>
  <c r="AQ705" i="29"/>
  <c r="AP695" i="29"/>
  <c r="AR691" i="29"/>
  <c r="AT689" i="29"/>
  <c r="AL689" i="29"/>
  <c r="AO695" i="29"/>
  <c r="AR713" i="29"/>
  <c r="AP707" i="29"/>
  <c r="AO705" i="29"/>
  <c r="AN695" i="29"/>
  <c r="AP691" i="29"/>
  <c r="AR689" i="29"/>
  <c r="AQ713" i="29"/>
  <c r="AO707" i="29"/>
  <c r="AN705" i="29"/>
  <c r="AR695" i="29"/>
  <c r="AL673" i="29"/>
  <c r="AO671" i="29"/>
  <c r="AM695" i="29"/>
  <c r="D695" i="30" s="1"/>
  <c r="AT691" i="29"/>
  <c r="AQ689" i="29"/>
  <c r="AT673" i="29"/>
  <c r="AN671" i="29"/>
  <c r="AQ665" i="29"/>
  <c r="AT663" i="29"/>
  <c r="AN661" i="29"/>
  <c r="AS659" i="29"/>
  <c r="AM657" i="29"/>
  <c r="D657" i="30" s="1"/>
  <c r="AN655" i="29"/>
  <c r="AT633" i="29"/>
  <c r="AL633" i="29"/>
  <c r="AS627" i="29"/>
  <c r="AO625" i="29"/>
  <c r="AS623" i="29"/>
  <c r="AO621" i="29"/>
  <c r="AS619" i="29"/>
  <c r="AL695" i="29"/>
  <c r="AO691" i="29"/>
  <c r="AP689" i="29"/>
  <c r="AM671" i="29"/>
  <c r="D671" i="30" s="1"/>
  <c r="AM667" i="29"/>
  <c r="D667" i="30" s="1"/>
  <c r="AP665" i="29"/>
  <c r="AR663" i="29"/>
  <c r="AM661" i="29"/>
  <c r="D661" i="30" s="1"/>
  <c r="AT657" i="29"/>
  <c r="AL657" i="29"/>
  <c r="AM655" i="29"/>
  <c r="D655" i="30" s="1"/>
  <c r="AS633" i="29"/>
  <c r="AN625" i="29"/>
  <c r="AN621" i="29"/>
  <c r="AN691" i="29"/>
  <c r="AR673" i="29"/>
  <c r="AL671" i="29"/>
  <c r="AL667" i="29"/>
  <c r="AO665" i="29"/>
  <c r="AQ663" i="29"/>
  <c r="AT661" i="29"/>
  <c r="AL661" i="29"/>
  <c r="AQ659" i="29"/>
  <c r="AS657" i="29"/>
  <c r="AT655" i="29"/>
  <c r="AL655" i="29"/>
  <c r="AR633" i="29"/>
  <c r="AQ627" i="29"/>
  <c r="AM625" i="29"/>
  <c r="D625" i="30" s="1"/>
  <c r="AQ623" i="29"/>
  <c r="AM621" i="29"/>
  <c r="D621" i="30" s="1"/>
  <c r="AQ619" i="29"/>
  <c r="AS705" i="29"/>
  <c r="AL691" i="29"/>
  <c r="AQ673" i="29"/>
  <c r="AT671" i="29"/>
  <c r="AM665" i="29"/>
  <c r="D665" i="30" s="1"/>
  <c r="AP663" i="29"/>
  <c r="AS661" i="29"/>
  <c r="AP659" i="29"/>
  <c r="AR657" i="29"/>
  <c r="AS655" i="29"/>
  <c r="AP673" i="29"/>
  <c r="AR671" i="29"/>
  <c r="AS667" i="29"/>
  <c r="AL665" i="29"/>
  <c r="AO663" i="29"/>
  <c r="AR661" i="29"/>
  <c r="AO659" i="29"/>
  <c r="AQ657" i="29"/>
  <c r="AR655" i="29"/>
  <c r="AP633" i="29"/>
  <c r="AO627" i="29"/>
  <c r="AS625" i="29"/>
  <c r="AO623" i="29"/>
  <c r="AS621" i="29"/>
  <c r="AO619" i="29"/>
  <c r="AO673" i="29"/>
  <c r="AQ671" i="29"/>
  <c r="AR667" i="29"/>
  <c r="AT665" i="29"/>
  <c r="AN663" i="29"/>
  <c r="AQ661" i="29"/>
  <c r="AN659" i="29"/>
  <c r="AP657" i="29"/>
  <c r="AQ655" i="29"/>
  <c r="AT695" i="29"/>
  <c r="AP667" i="29"/>
  <c r="AO657" i="29"/>
  <c r="AP655" i="29"/>
  <c r="AT627" i="29"/>
  <c r="AT625" i="29"/>
  <c r="AT623" i="29"/>
  <c r="AT621" i="29"/>
  <c r="AT619" i="29"/>
  <c r="AR613" i="29"/>
  <c r="AO611" i="29"/>
  <c r="AS609" i="29"/>
  <c r="AO607" i="29"/>
  <c r="AM605" i="29"/>
  <c r="D605" i="30" s="1"/>
  <c r="AQ603" i="29"/>
  <c r="AM601" i="29"/>
  <c r="D601" i="30" s="1"/>
  <c r="AQ599" i="29"/>
  <c r="AM597" i="29"/>
  <c r="D597" i="30" s="1"/>
  <c r="AQ613" i="29"/>
  <c r="AR609" i="29"/>
  <c r="AL663" i="29"/>
  <c r="AL627" i="29"/>
  <c r="AL625" i="29"/>
  <c r="AL623" i="29"/>
  <c r="AL621" i="29"/>
  <c r="AL619" i="29"/>
  <c r="AM611" i="29"/>
  <c r="D611" i="30" s="1"/>
  <c r="AM607" i="29"/>
  <c r="D607" i="30" s="1"/>
  <c r="AO603" i="29"/>
  <c r="AO599" i="29"/>
  <c r="AO595" i="29"/>
  <c r="AS589" i="29"/>
  <c r="AO587" i="29"/>
  <c r="AR665" i="29"/>
  <c r="AT611" i="29"/>
  <c r="AL611" i="29"/>
  <c r="AT607" i="29"/>
  <c r="AL607" i="29"/>
  <c r="AR605" i="29"/>
  <c r="AN603" i="29"/>
  <c r="AR601" i="29"/>
  <c r="AN599" i="29"/>
  <c r="AR597" i="29"/>
  <c r="AN595" i="29"/>
  <c r="AR593" i="29"/>
  <c r="AR591" i="29"/>
  <c r="AR589" i="29"/>
  <c r="AN587" i="29"/>
  <c r="AQ633" i="29"/>
  <c r="AN613" i="29"/>
  <c r="AS611" i="29"/>
  <c r="AO609" i="29"/>
  <c r="AS607" i="29"/>
  <c r="AQ605" i="29"/>
  <c r="AM603" i="29"/>
  <c r="D603" i="30" s="1"/>
  <c r="AM633" i="29"/>
  <c r="D633" i="30" s="1"/>
  <c r="AM613" i="29"/>
  <c r="D613" i="30" s="1"/>
  <c r="AR611" i="29"/>
  <c r="AN609" i="29"/>
  <c r="AR607" i="29"/>
  <c r="AP605" i="29"/>
  <c r="AT603" i="29"/>
  <c r="AL603" i="29"/>
  <c r="AP601" i="29"/>
  <c r="AT599" i="29"/>
  <c r="AL599" i="29"/>
  <c r="AO589" i="29"/>
  <c r="AS587" i="29"/>
  <c r="AL597" i="29"/>
  <c r="AP593" i="29"/>
  <c r="AM579" i="29"/>
  <c r="D579" i="30" s="1"/>
  <c r="AS577" i="29"/>
  <c r="AN575" i="29"/>
  <c r="AT573" i="29"/>
  <c r="AL573" i="29"/>
  <c r="AT571" i="29"/>
  <c r="AL571" i="29"/>
  <c r="AQ565" i="29"/>
  <c r="AT563" i="29"/>
  <c r="AL563" i="29"/>
  <c r="AR555" i="29"/>
  <c r="AO553" i="29"/>
  <c r="AN593" i="29"/>
  <c r="AL579" i="29"/>
  <c r="AR577" i="29"/>
  <c r="AM575" i="29"/>
  <c r="D575" i="30" s="1"/>
  <c r="AS573" i="29"/>
  <c r="AS571" i="29"/>
  <c r="AP565" i="29"/>
  <c r="AS563" i="29"/>
  <c r="AQ559" i="29"/>
  <c r="AQ555" i="29"/>
  <c r="AN553" i="29"/>
  <c r="AR603" i="29"/>
  <c r="AN601" i="29"/>
  <c r="AQ595" i="29"/>
  <c r="AM593" i="29"/>
  <c r="D593" i="30" s="1"/>
  <c r="AT591" i="29"/>
  <c r="AT589" i="29"/>
  <c r="AQ587" i="29"/>
  <c r="AT579" i="29"/>
  <c r="AM577" i="29"/>
  <c r="D577" i="30" s="1"/>
  <c r="AR571" i="29"/>
  <c r="AM569" i="29"/>
  <c r="D569" i="30" s="1"/>
  <c r="AT567" i="29"/>
  <c r="AL567" i="29"/>
  <c r="AO565" i="29"/>
  <c r="AR563" i="29"/>
  <c r="AM561" i="29"/>
  <c r="D561" i="30" s="1"/>
  <c r="AT537" i="29"/>
  <c r="AL537" i="29"/>
  <c r="AL593" i="29"/>
  <c r="AQ591" i="29"/>
  <c r="AQ589" i="29"/>
  <c r="AS579" i="29"/>
  <c r="AP577" i="29"/>
  <c r="AT575" i="29"/>
  <c r="AQ573" i="29"/>
  <c r="AQ571" i="29"/>
  <c r="AS567" i="29"/>
  <c r="AN565" i="29"/>
  <c r="AQ563" i="29"/>
  <c r="AS557" i="29"/>
  <c r="AO555" i="29"/>
  <c r="AT553" i="29"/>
  <c r="AL553" i="29"/>
  <c r="AO541" i="29"/>
  <c r="AP599" i="29"/>
  <c r="AT597" i="29"/>
  <c r="AM595" i="29"/>
  <c r="D595" i="30" s="1"/>
  <c r="AP591" i="29"/>
  <c r="AP589" i="29"/>
  <c r="AM587" i="29"/>
  <c r="D587" i="30" s="1"/>
  <c r="AR579" i="29"/>
  <c r="AO577" i="29"/>
  <c r="AR575" i="29"/>
  <c r="AP573" i="29"/>
  <c r="AP571" i="29"/>
  <c r="AS569" i="29"/>
  <c r="AR567" i="29"/>
  <c r="AM565" i="29"/>
  <c r="D565" i="30" s="1"/>
  <c r="AP563" i="29"/>
  <c r="AS561" i="29"/>
  <c r="AR557" i="29"/>
  <c r="AN555" i="29"/>
  <c r="AS553" i="29"/>
  <c r="AQ597" i="29"/>
  <c r="AL595" i="29"/>
  <c r="AN591" i="29"/>
  <c r="AN589" i="29"/>
  <c r="AL587" i="29"/>
  <c r="AQ579" i="29"/>
  <c r="AN577" i="29"/>
  <c r="AQ575" i="29"/>
  <c r="AO573" i="29"/>
  <c r="AO571" i="29"/>
  <c r="AR569" i="29"/>
  <c r="AQ567" i="29"/>
  <c r="AT565" i="29"/>
  <c r="AL565" i="29"/>
  <c r="AO563" i="29"/>
  <c r="AR561" i="29"/>
  <c r="AM555" i="29"/>
  <c r="D555" i="30" s="1"/>
  <c r="AP613" i="29"/>
  <c r="AP597" i="29"/>
  <c r="AT593" i="29"/>
  <c r="AM591" i="29"/>
  <c r="D591" i="30" s="1"/>
  <c r="AM589" i="29"/>
  <c r="D589" i="30" s="1"/>
  <c r="AP579" i="29"/>
  <c r="AO579" i="29"/>
  <c r="AL577" i="29"/>
  <c r="AP575" i="29"/>
  <c r="AN573" i="29"/>
  <c r="AN571" i="29"/>
  <c r="AQ569" i="29"/>
  <c r="AP567" i="29"/>
  <c r="AS565" i="29"/>
  <c r="AN563" i="29"/>
  <c r="AQ561" i="29"/>
  <c r="AT555" i="29"/>
  <c r="AL555" i="29"/>
  <c r="AT541" i="29"/>
  <c r="AL541" i="29"/>
  <c r="AP537" i="29"/>
  <c r="AN597" i="29"/>
  <c r="AL591" i="29"/>
  <c r="AL589" i="29"/>
  <c r="AR541" i="29"/>
  <c r="AR539" i="29" a="1"/>
  <c r="AR539" i="29" s="1"/>
  <c r="AS537" i="29"/>
  <c r="AM515" i="29"/>
  <c r="D515" i="30" s="1"/>
  <c r="AP513" i="29"/>
  <c r="AS511" i="29"/>
  <c r="AN509" i="29"/>
  <c r="AR503" i="29"/>
  <c r="AR501" i="29"/>
  <c r="AQ539" i="29" a="1"/>
  <c r="AQ539" i="29" s="1"/>
  <c r="AL539" i="29" a="1"/>
  <c r="AL539" i="29" s="1"/>
  <c r="AR537" i="29"/>
  <c r="AT529" i="29"/>
  <c r="AL529" i="29"/>
  <c r="AP527" i="29"/>
  <c r="AT525" i="29"/>
  <c r="AL525" i="29"/>
  <c r="AP523" i="29"/>
  <c r="AT521" i="29"/>
  <c r="AL521" i="29"/>
  <c r="AP519" i="29"/>
  <c r="AT515" i="29"/>
  <c r="AL515" i="29"/>
  <c r="AO513" i="29"/>
  <c r="AR511" i="29"/>
  <c r="AP507" i="29"/>
  <c r="AT505" i="29"/>
  <c r="AL505" i="29"/>
  <c r="AQ503" i="29"/>
  <c r="AQ501" i="29"/>
  <c r="AQ499" i="29"/>
  <c r="AN541" i="29"/>
  <c r="AQ537" i="29"/>
  <c r="AS529" i="29"/>
  <c r="AO527" i="29"/>
  <c r="AS525" i="29"/>
  <c r="AO523" i="29"/>
  <c r="AS521" i="29"/>
  <c r="AO519" i="29"/>
  <c r="AS515" i="29"/>
  <c r="AN513" i="29"/>
  <c r="AQ511" i="29"/>
  <c r="AT509" i="29"/>
  <c r="AL509" i="29"/>
  <c r="AO507" i="29"/>
  <c r="AP503" i="29"/>
  <c r="AP501" i="29"/>
  <c r="AP499" i="29"/>
  <c r="AM541" i="29"/>
  <c r="D541" i="30" s="1"/>
  <c r="AP539" i="29" a="1"/>
  <c r="AP539" i="29" s="1"/>
  <c r="AO537" i="29"/>
  <c r="AR529" i="29"/>
  <c r="AN527" i="29"/>
  <c r="AR525" i="29"/>
  <c r="AN523" i="29"/>
  <c r="AR521" i="29"/>
  <c r="AN519" i="29"/>
  <c r="AR515" i="29"/>
  <c r="AM513" i="29"/>
  <c r="D513" i="30" s="1"/>
  <c r="AP511" i="29"/>
  <c r="AS509" i="29"/>
  <c r="AN507" i="29"/>
  <c r="AR505" i="29"/>
  <c r="AO503" i="29"/>
  <c r="AO501" i="29"/>
  <c r="AO499" i="29"/>
  <c r="AO539" i="29" a="1"/>
  <c r="AO539" i="29" s="1"/>
  <c r="AN537" i="29"/>
  <c r="AQ529" i="29"/>
  <c r="AM527" i="29"/>
  <c r="D527" i="30" s="1"/>
  <c r="AQ525" i="29"/>
  <c r="AM523" i="29"/>
  <c r="D523" i="30" s="1"/>
  <c r="AQ521" i="29"/>
  <c r="AM519" i="29"/>
  <c r="D519" i="30" s="1"/>
  <c r="AQ515" i="29"/>
  <c r="AT513" i="29"/>
  <c r="AL513" i="29"/>
  <c r="AO511" i="29"/>
  <c r="AR509" i="29"/>
  <c r="AM507" i="29"/>
  <c r="D507" i="30" s="1"/>
  <c r="AN503" i="29"/>
  <c r="AN501" i="29"/>
  <c r="AN499" i="29"/>
  <c r="AQ461" i="29"/>
  <c r="AO575" i="29"/>
  <c r="AT539" i="29" a="1"/>
  <c r="AT539" i="29" s="1"/>
  <c r="AM537" i="29"/>
  <c r="D537" i="30" s="1"/>
  <c r="AP529" i="29"/>
  <c r="AT527" i="29"/>
  <c r="AL527" i="29"/>
  <c r="AP525" i="29"/>
  <c r="AT523" i="29"/>
  <c r="AL523" i="29"/>
  <c r="AP521" i="29"/>
  <c r="AT519" i="29"/>
  <c r="AL519" i="29"/>
  <c r="AS513" i="29"/>
  <c r="AN511" i="29"/>
  <c r="AP541" i="29"/>
  <c r="AS539" i="29" a="1"/>
  <c r="AS539" i="29" s="1"/>
  <c r="AN539" i="29" a="1"/>
  <c r="AN539" i="29" s="1"/>
  <c r="AO529" i="29"/>
  <c r="AS527" i="29"/>
  <c r="AO525" i="29"/>
  <c r="AS523" i="29"/>
  <c r="AO521" i="29"/>
  <c r="AS519" i="29"/>
  <c r="AO515" i="29"/>
  <c r="AR513" i="29"/>
  <c r="AM511" i="29"/>
  <c r="D511" i="30" s="1"/>
  <c r="AP509" i="29"/>
  <c r="AS507" i="29"/>
  <c r="AO505" i="29"/>
  <c r="AT503" i="29"/>
  <c r="AL503" i="29"/>
  <c r="AT501" i="29"/>
  <c r="AL501" i="29"/>
  <c r="AT499" i="29"/>
  <c r="AL499" i="29"/>
  <c r="AM539" i="29" a="1"/>
  <c r="AM539" i="29" s="1"/>
  <c r="D539" i="30" s="1"/>
  <c r="AS503" i="29"/>
  <c r="AT461" i="29"/>
  <c r="AM459" i="29"/>
  <c r="D459" i="30" s="1"/>
  <c r="AN529" i="29"/>
  <c r="AL511" i="29"/>
  <c r="AN505" i="29"/>
  <c r="AM503" i="29"/>
  <c r="D503" i="30" s="1"/>
  <c r="AS461" i="29"/>
  <c r="AM461" i="29"/>
  <c r="D461" i="30" s="1"/>
  <c r="AL459" i="29"/>
  <c r="AS499" i="29"/>
  <c r="AR461" i="29"/>
  <c r="AT459" i="29"/>
  <c r="AM521" i="29"/>
  <c r="D521" i="30" s="1"/>
  <c r="AM499" i="29"/>
  <c r="D499" i="30" s="1"/>
  <c r="AP461" i="29"/>
  <c r="AS459" i="29"/>
  <c r="AO461" i="29"/>
  <c r="AQ459" i="29"/>
  <c r="AM525" i="29"/>
  <c r="D525" i="30" s="1"/>
  <c r="AN461" i="29"/>
  <c r="AP459" i="29"/>
  <c r="AQ527" i="29"/>
  <c r="AR523" i="29"/>
  <c r="AM501" i="29"/>
  <c r="D501" i="30" s="1"/>
  <c r="AL461" i="29"/>
  <c r="AO459" i="29"/>
  <c r="AN525" i="29"/>
  <c r="AN459" i="29"/>
  <c r="AM421" i="29"/>
  <c r="D421" i="30" s="1"/>
  <c r="AN415" i="29"/>
  <c r="AS413" i="29"/>
  <c r="AP411" i="29"/>
  <c r="AO409" i="29"/>
  <c r="AT407" i="29"/>
  <c r="AL407" i="29"/>
  <c r="AR405" i="29"/>
  <c r="AP403" i="29"/>
  <c r="AN401" i="29"/>
  <c r="AS399" i="29"/>
  <c r="AP397" i="29"/>
  <c r="AM395" i="29"/>
  <c r="D395" i="30" s="1"/>
  <c r="AR393" i="29"/>
  <c r="AO391" i="29"/>
  <c r="AT389" i="29"/>
  <c r="AL389" i="29"/>
  <c r="AQ387" i="29"/>
  <c r="AN385" i="29"/>
  <c r="AL421" i="29"/>
  <c r="AR413" i="29"/>
  <c r="AS407" i="29"/>
  <c r="AQ405" i="29"/>
  <c r="AM401" i="29"/>
  <c r="D401" i="30" s="1"/>
  <c r="AR399" i="29"/>
  <c r="AT395" i="29"/>
  <c r="AL395" i="29"/>
  <c r="AQ393" i="29"/>
  <c r="AN391" i="29"/>
  <c r="AS389" i="29"/>
  <c r="AM385" i="29"/>
  <c r="D385" i="30" s="1"/>
  <c r="AT421" i="29"/>
  <c r="AS421" i="29"/>
  <c r="AP413" i="29"/>
  <c r="AQ407" i="29"/>
  <c r="AO405" i="29"/>
  <c r="AS401" i="29"/>
  <c r="AP399" i="29"/>
  <c r="AR395" i="29"/>
  <c r="AO393" i="29"/>
  <c r="AQ389" i="29"/>
  <c r="AS385" i="29"/>
  <c r="AR421" i="29"/>
  <c r="AQ421" i="29"/>
  <c r="AQ415" i="29"/>
  <c r="AS411" i="29"/>
  <c r="AR409" i="29"/>
  <c r="AO407" i="29"/>
  <c r="AS403" i="29"/>
  <c r="AQ401" i="29"/>
  <c r="AS397" i="29"/>
  <c r="AP395" i="29"/>
  <c r="AP421" i="29"/>
  <c r="AO421" i="29"/>
  <c r="AP415" i="29"/>
  <c r="AR411" i="29"/>
  <c r="AQ409" i="29"/>
  <c r="AN407" i="29"/>
  <c r="AT405" i="29"/>
  <c r="AL405" i="29"/>
  <c r="AR403" i="29"/>
  <c r="AP401" i="29"/>
  <c r="AR397" i="29"/>
  <c r="AO395" i="29"/>
  <c r="AT393" i="29"/>
  <c r="AL393" i="29"/>
  <c r="AQ391" i="29"/>
  <c r="AN389" i="29"/>
  <c r="AS387" i="29"/>
  <c r="AP385" i="29"/>
  <c r="AN421" i="29"/>
  <c r="AO415" i="29"/>
  <c r="AT413" i="29"/>
  <c r="AL413" i="29"/>
  <c r="AP409" i="29"/>
  <c r="AM407" i="29"/>
  <c r="D407" i="30" s="1"/>
  <c r="AS405" i="29"/>
  <c r="AQ403" i="29"/>
  <c r="AO401" i="29"/>
  <c r="AT399" i="29"/>
  <c r="AL399" i="29"/>
  <c r="AN395" i="29"/>
  <c r="AS393" i="29"/>
  <c r="AP391" i="29"/>
  <c r="AM389" i="29"/>
  <c r="D389" i="30" s="1"/>
  <c r="AR387" i="29"/>
  <c r="AO385" i="29"/>
  <c r="AR415" i="29"/>
  <c r="AL397" i="29"/>
  <c r="AQ395" i="29"/>
  <c r="AP335" i="29"/>
  <c r="AN333" i="29"/>
  <c r="AS331" i="29"/>
  <c r="AP329" i="29"/>
  <c r="AO325" i="29"/>
  <c r="AQ323" i="29"/>
  <c r="AM303" i="29"/>
  <c r="D303" i="30" s="1"/>
  <c r="AS391" i="29"/>
  <c r="AO335" i="29"/>
  <c r="AM333" i="29"/>
  <c r="D333" i="30" s="1"/>
  <c r="AR331" i="29"/>
  <c r="AO329" i="29"/>
  <c r="AQ327" i="29"/>
  <c r="AN325" i="29"/>
  <c r="AP323" i="29"/>
  <c r="AT303" i="29"/>
  <c r="AL303" i="29"/>
  <c r="AP407" i="29"/>
  <c r="AR391" i="29"/>
  <c r="AM391" i="29"/>
  <c r="D391" i="30" s="1"/>
  <c r="AN335" i="29"/>
  <c r="AT333" i="29"/>
  <c r="AL333" i="29"/>
  <c r="AQ331" i="29"/>
  <c r="AN329" i="29"/>
  <c r="AM325" i="29"/>
  <c r="D325" i="30" s="1"/>
  <c r="AO323" i="29"/>
  <c r="AS303" i="29"/>
  <c r="AT403" i="29"/>
  <c r="AP389" i="29"/>
  <c r="AM335" i="29"/>
  <c r="D335" i="30" s="1"/>
  <c r="AS333" i="29"/>
  <c r="AM329" i="29"/>
  <c r="D329" i="30" s="1"/>
  <c r="AT325" i="29"/>
  <c r="AL325" i="29"/>
  <c r="AN323" i="29"/>
  <c r="AM295" i="29"/>
  <c r="D295" i="30" s="1"/>
  <c r="AT291" i="29"/>
  <c r="AL291" i="29"/>
  <c r="AN285" i="29"/>
  <c r="AS279" i="29"/>
  <c r="AL403" i="29"/>
  <c r="AO403" i="29"/>
  <c r="AT335" i="29"/>
  <c r="AL335" i="29"/>
  <c r="AR333" i="29"/>
  <c r="AT329" i="29"/>
  <c r="AL329" i="29"/>
  <c r="AN327" i="29"/>
  <c r="AS325" i="29"/>
  <c r="AM323" i="29"/>
  <c r="D323" i="30" s="1"/>
  <c r="AQ303" i="29"/>
  <c r="AR385" i="29"/>
  <c r="AS335" i="29"/>
  <c r="AQ333" i="29"/>
  <c r="AS329" i="29"/>
  <c r="AM327" i="29"/>
  <c r="D327" i="30" s="1"/>
  <c r="AR325" i="29"/>
  <c r="AT323" i="29"/>
  <c r="AL323" i="29"/>
  <c r="AP303" i="29"/>
  <c r="AM415" i="29"/>
  <c r="D415" i="30" s="1"/>
  <c r="AQ385" i="29"/>
  <c r="AT385" i="29"/>
  <c r="AS285" i="29"/>
  <c r="AT297" i="29"/>
  <c r="AL295" i="29"/>
  <c r="AL293" i="29"/>
  <c r="AN291" i="29"/>
  <c r="AO289" i="29"/>
  <c r="AP285" i="29"/>
  <c r="AN277" i="29"/>
  <c r="AQ245" i="29"/>
  <c r="AM227" i="29"/>
  <c r="D227" i="30" s="1"/>
  <c r="AM225" i="29"/>
  <c r="D225" i="30" s="1"/>
  <c r="AM223" i="29"/>
  <c r="D223" i="30" s="1"/>
  <c r="AM221" i="29"/>
  <c r="D221" i="30" s="1"/>
  <c r="AM219" i="29"/>
  <c r="D219" i="30" s="1"/>
  <c r="AM217" i="29"/>
  <c r="D217" i="30" s="1"/>
  <c r="AM215" i="29"/>
  <c r="D215" i="30" s="1"/>
  <c r="AR203" i="29"/>
  <c r="AM201" i="29"/>
  <c r="D201" i="30" s="1"/>
  <c r="AP199" i="29"/>
  <c r="AS197" i="29"/>
  <c r="AN195" i="29"/>
  <c r="AQ193" i="29"/>
  <c r="AT191" i="29"/>
  <c r="AL191" i="29"/>
  <c r="AO189" i="29"/>
  <c r="AT187" i="29"/>
  <c r="AL187" i="29"/>
  <c r="AQ185" i="29"/>
  <c r="AN183" i="29"/>
  <c r="AS323" i="29"/>
  <c r="AS297" i="29"/>
  <c r="AP297" i="29"/>
  <c r="AM291" i="29"/>
  <c r="D291" i="30" s="1"/>
  <c r="AM289" i="29"/>
  <c r="D289" i="30" s="1"/>
  <c r="AO285" i="29"/>
  <c r="AT279" i="29"/>
  <c r="AP277" i="29"/>
  <c r="AR249" i="29"/>
  <c r="AQ247" i="29"/>
  <c r="AP245" i="29"/>
  <c r="AT227" i="29"/>
  <c r="AL227" i="29"/>
  <c r="AT225" i="29"/>
  <c r="AL225" i="29"/>
  <c r="AT223" i="29"/>
  <c r="AL223" i="29"/>
  <c r="AT221" i="29"/>
  <c r="AL221" i="29"/>
  <c r="AT219" i="29"/>
  <c r="AL219" i="29"/>
  <c r="AT217" i="29"/>
  <c r="AL217" i="29"/>
  <c r="AT215" i="29"/>
  <c r="AL215" i="29"/>
  <c r="AQ203" i="29"/>
  <c r="AT201" i="29"/>
  <c r="AL201" i="29"/>
  <c r="AO199" i="29"/>
  <c r="AR197" i="29"/>
  <c r="AM195" i="29"/>
  <c r="D195" i="30" s="1"/>
  <c r="AP193" i="29"/>
  <c r="AS191" i="29"/>
  <c r="AN189" i="29"/>
  <c r="AS187" i="29"/>
  <c r="AP185" i="29"/>
  <c r="AM183" i="29"/>
  <c r="D183" i="30" s="1"/>
  <c r="AP173" i="29"/>
  <c r="AR297" i="29"/>
  <c r="AT295" i="29"/>
  <c r="AT293" i="29"/>
  <c r="AL289" i="29"/>
  <c r="AM285" i="29"/>
  <c r="D285" i="30" s="1"/>
  <c r="AR279" i="29"/>
  <c r="AQ249" i="29"/>
  <c r="AP247" i="29"/>
  <c r="AO245" i="29"/>
  <c r="AS227" i="29"/>
  <c r="AS225" i="29"/>
  <c r="AS223" i="29"/>
  <c r="AS221" i="29"/>
  <c r="AS219" i="29"/>
  <c r="AS217" i="29"/>
  <c r="AS215" i="29"/>
  <c r="AP203" i="29"/>
  <c r="AS201" i="29"/>
  <c r="AN199" i="29"/>
  <c r="AQ197" i="29"/>
  <c r="AT195" i="29"/>
  <c r="AL195" i="29"/>
  <c r="AO193" i="29"/>
  <c r="AR191" i="29"/>
  <c r="AM189" i="29"/>
  <c r="D189" i="30" s="1"/>
  <c r="AR187" i="29"/>
  <c r="AO185" i="29"/>
  <c r="AT183" i="29"/>
  <c r="AL183" i="29"/>
  <c r="AO173" i="29"/>
  <c r="AR323" i="29"/>
  <c r="AQ297" i="29"/>
  <c r="AS295" i="29"/>
  <c r="AS293" i="29"/>
  <c r="AL285" i="29"/>
  <c r="AQ279" i="29"/>
  <c r="AM277" i="29"/>
  <c r="D277" i="30" s="1"/>
  <c r="AP249" i="29"/>
  <c r="AO247" i="29"/>
  <c r="AN245" i="29"/>
  <c r="AR227" i="29"/>
  <c r="AR225" i="29"/>
  <c r="AR223" i="29"/>
  <c r="AR221" i="29"/>
  <c r="AR219" i="29"/>
  <c r="AR217" i="29"/>
  <c r="AR215" i="29"/>
  <c r="AO203" i="29"/>
  <c r="AR201" i="29"/>
  <c r="AM199" i="29"/>
  <c r="D199" i="30" s="1"/>
  <c r="AP197" i="29"/>
  <c r="AS195" i="29"/>
  <c r="AN193" i="29"/>
  <c r="AQ191" i="29"/>
  <c r="AN173" i="29"/>
  <c r="AT171" i="29"/>
  <c r="AL171" i="29"/>
  <c r="AR169" i="29"/>
  <c r="AO297" i="29"/>
  <c r="AQ295" i="29"/>
  <c r="AQ293" i="29"/>
  <c r="AT289" i="29"/>
  <c r="AO279" i="29"/>
  <c r="AP279" i="29"/>
  <c r="AL277" i="29"/>
  <c r="AO249" i="29"/>
  <c r="AN247" i="29"/>
  <c r="AM245" i="29"/>
  <c r="D245" i="30" s="1"/>
  <c r="AQ227" i="29"/>
  <c r="AQ225" i="29"/>
  <c r="AQ223" i="29"/>
  <c r="AQ221" i="29"/>
  <c r="AQ219" i="29"/>
  <c r="AQ217" i="29"/>
  <c r="AQ215" i="29"/>
  <c r="AN203" i="29"/>
  <c r="AT199" i="29"/>
  <c r="AL199" i="29"/>
  <c r="AR195" i="29"/>
  <c r="AM193" i="29"/>
  <c r="D193" i="30" s="1"/>
  <c r="AS189" i="29"/>
  <c r="AP187" i="29"/>
  <c r="AM185" i="29"/>
  <c r="D185" i="30" s="1"/>
  <c r="AR183" i="29"/>
  <c r="AQ329" i="29"/>
  <c r="AN297" i="29"/>
  <c r="AP295" i="29"/>
  <c r="AP293" i="29"/>
  <c r="AS289" i="29"/>
  <c r="AN279" i="29"/>
  <c r="AT277" i="29"/>
  <c r="AN249" i="29"/>
  <c r="AM247" i="29"/>
  <c r="D247" i="30" s="1"/>
  <c r="AT245" i="29"/>
  <c r="AL245" i="29"/>
  <c r="AP227" i="29"/>
  <c r="AP225" i="29"/>
  <c r="AP223" i="29"/>
  <c r="AP221" i="29"/>
  <c r="AP219" i="29"/>
  <c r="AP217" i="29"/>
  <c r="AP215" i="29"/>
  <c r="AM203" i="29"/>
  <c r="D203" i="30" s="1"/>
  <c r="AS199" i="29"/>
  <c r="AQ195" i="29"/>
  <c r="AT193" i="29"/>
  <c r="AL193" i="29"/>
  <c r="AR189" i="29"/>
  <c r="AO187" i="29"/>
  <c r="AT185" i="29"/>
  <c r="AL185" i="29"/>
  <c r="AQ183" i="29"/>
  <c r="AL297" i="29"/>
  <c r="AO295" i="29"/>
  <c r="AN293" i="29"/>
  <c r="AM279" i="29"/>
  <c r="D279" i="30" s="1"/>
  <c r="AS277" i="29"/>
  <c r="AM249" i="29"/>
  <c r="D249" i="30" s="1"/>
  <c r="AT247" i="29"/>
  <c r="AL247" i="29"/>
  <c r="AS245" i="29"/>
  <c r="AO227" i="29"/>
  <c r="AO225" i="29"/>
  <c r="AO223" i="29"/>
  <c r="AO221" i="29"/>
  <c r="AO219" i="29"/>
  <c r="AO217" i="29"/>
  <c r="AO215" i="29"/>
  <c r="AT203" i="29"/>
  <c r="AL203" i="29"/>
  <c r="AR199" i="29"/>
  <c r="AS193" i="29"/>
  <c r="AN225" i="29"/>
  <c r="AN219" i="29"/>
  <c r="AN171" i="29"/>
  <c r="AQ169" i="29"/>
  <c r="AL167" i="29"/>
  <c r="AO165" i="29"/>
  <c r="AQ163" i="29"/>
  <c r="AS161" i="29"/>
  <c r="AL159" i="29"/>
  <c r="AO157" i="29"/>
  <c r="AQ155" i="29"/>
  <c r="AS153" i="29"/>
  <c r="AL151" i="29"/>
  <c r="AO149" i="29"/>
  <c r="AS147" i="29"/>
  <c r="AM145" i="29"/>
  <c r="D145" i="30" s="1"/>
  <c r="AN143" i="29"/>
  <c r="AT141" i="29"/>
  <c r="AL141" i="29"/>
  <c r="AS139" i="29"/>
  <c r="AR137" i="29"/>
  <c r="AQ135" i="29"/>
  <c r="AP133" i="29"/>
  <c r="AN127" i="29"/>
  <c r="AQ125" i="29"/>
  <c r="AM123" i="29"/>
  <c r="D123" i="30" s="1"/>
  <c r="AT121" i="29"/>
  <c r="AL121" i="29"/>
  <c r="AP119" i="29"/>
  <c r="AT117" i="29"/>
  <c r="AL117" i="29"/>
  <c r="AO115" i="29"/>
  <c r="AS113" i="29"/>
  <c r="AP111" i="29"/>
  <c r="AM109" i="29"/>
  <c r="D109" i="30" s="1"/>
  <c r="AT249" i="29"/>
  <c r="AS249" i="29"/>
  <c r="AT173" i="29"/>
  <c r="AM171" i="29"/>
  <c r="D171" i="30" s="1"/>
  <c r="AP169" i="29"/>
  <c r="AN165" i="29"/>
  <c r="AO163" i="29"/>
  <c r="AR161" i="29"/>
  <c r="AN157" i="29"/>
  <c r="AO155" i="29"/>
  <c r="AR153" i="29"/>
  <c r="AN149" i="29"/>
  <c r="AQ147" i="29"/>
  <c r="AL145" i="29"/>
  <c r="AM143" i="29"/>
  <c r="D143" i="30" s="1"/>
  <c r="AS141" i="29"/>
  <c r="AP135" i="29"/>
  <c r="AO133" i="29"/>
  <c r="AP125" i="29"/>
  <c r="AO119" i="29"/>
  <c r="AN115" i="29"/>
  <c r="AO111" i="29"/>
  <c r="AT109" i="29"/>
  <c r="AL109" i="29"/>
  <c r="AS93" i="29"/>
  <c r="AP91" i="29"/>
  <c r="AO89" i="29"/>
  <c r="AO85" i="29"/>
  <c r="AO83" i="29"/>
  <c r="AO79" i="29"/>
  <c r="AO75" i="29"/>
  <c r="AO71" i="29"/>
  <c r="AP61" i="29"/>
  <c r="AL249" i="29"/>
  <c r="AS247" i="29"/>
  <c r="AR247" i="29"/>
  <c r="AN227" i="29"/>
  <c r="AN221" i="29"/>
  <c r="AS173" i="29"/>
  <c r="AO169" i="29"/>
  <c r="AS167" i="29"/>
  <c r="AM165" i="29"/>
  <c r="D165" i="30" s="1"/>
  <c r="AN163" i="29"/>
  <c r="AQ161" i="29"/>
  <c r="AS159" i="29"/>
  <c r="AM157" i="29"/>
  <c r="D157" i="30" s="1"/>
  <c r="AN155" i="29"/>
  <c r="AQ153" i="29"/>
  <c r="AS151" i="29"/>
  <c r="AM149" i="29"/>
  <c r="D149" i="30" s="1"/>
  <c r="AP147" i="29"/>
  <c r="AT145" i="29"/>
  <c r="AO145" i="29"/>
  <c r="AL143" i="29"/>
  <c r="AR141" i="29"/>
  <c r="AQ139" i="29"/>
  <c r="AP137" i="29"/>
  <c r="AO135" i="29"/>
  <c r="AN133" i="29"/>
  <c r="AT127" i="29"/>
  <c r="AL127" i="29"/>
  <c r="AO125" i="29"/>
  <c r="AS123" i="29"/>
  <c r="AR121" i="29"/>
  <c r="AN119" i="29"/>
  <c r="AR117" i="29"/>
  <c r="AM115" i="29"/>
  <c r="D115" i="30" s="1"/>
  <c r="AQ113" i="29"/>
  <c r="AN111" i="29"/>
  <c r="AS109" i="29"/>
  <c r="AL279" i="29"/>
  <c r="AQ189" i="29"/>
  <c r="AR173" i="29"/>
  <c r="AS171" i="29"/>
  <c r="AN169" i="29"/>
  <c r="AR167" i="29"/>
  <c r="AM163" i="29"/>
  <c r="D163" i="30" s="1"/>
  <c r="AR159" i="29"/>
  <c r="AM155" i="29"/>
  <c r="D155" i="30" s="1"/>
  <c r="AR151" i="29"/>
  <c r="AO147" i="29"/>
  <c r="AS145" i="29"/>
  <c r="AT143" i="29"/>
  <c r="AQ141" i="29"/>
  <c r="AP139" i="29"/>
  <c r="AO137" i="29"/>
  <c r="AN135" i="29"/>
  <c r="AM133" i="29"/>
  <c r="D133" i="30" s="1"/>
  <c r="AN223" i="29"/>
  <c r="AN215" i="29"/>
  <c r="AP189" i="29"/>
  <c r="AN187" i="29"/>
  <c r="AS185" i="29"/>
  <c r="AQ173" i="29"/>
  <c r="AR171" i="29"/>
  <c r="AM169" i="29"/>
  <c r="D169" i="30" s="1"/>
  <c r="AQ167" i="29"/>
  <c r="AS165" i="29"/>
  <c r="AL163" i="29"/>
  <c r="AO161" i="29"/>
  <c r="AQ159" i="29"/>
  <c r="AS157" i="29"/>
  <c r="AL155" i="29"/>
  <c r="AO153" i="29"/>
  <c r="AQ151" i="29"/>
  <c r="AS149" i="29"/>
  <c r="AN147" i="29"/>
  <c r="AR145" i="29"/>
  <c r="AS143" i="29"/>
  <c r="AP141" i="29"/>
  <c r="AO139" i="29"/>
  <c r="AN137" i="29"/>
  <c r="AM135" i="29"/>
  <c r="D135" i="30" s="1"/>
  <c r="AT133" i="29"/>
  <c r="AL133" i="29"/>
  <c r="AM125" i="29"/>
  <c r="D125" i="30" s="1"/>
  <c r="AQ123" i="29"/>
  <c r="AP121" i="29"/>
  <c r="AT119" i="29"/>
  <c r="AL119" i="29"/>
  <c r="AP117" i="29"/>
  <c r="AS115" i="29"/>
  <c r="AO113" i="29"/>
  <c r="AT111" i="29"/>
  <c r="AL111" i="29"/>
  <c r="AQ109" i="29"/>
  <c r="AM293" i="29"/>
  <c r="D293" i="30" s="1"/>
  <c r="AN217" i="29"/>
  <c r="AS203" i="29"/>
  <c r="AO183" i="29"/>
  <c r="AL173" i="29"/>
  <c r="AP171" i="29"/>
  <c r="AT169" i="29"/>
  <c r="AQ165" i="29"/>
  <c r="AM161" i="29"/>
  <c r="D161" i="30" s="1"/>
  <c r="AQ157" i="29"/>
  <c r="AM153" i="29"/>
  <c r="D153" i="30" s="1"/>
  <c r="AQ149" i="29"/>
  <c r="AL147" i="29"/>
  <c r="AP145" i="29"/>
  <c r="AQ59" i="29"/>
  <c r="AQ57" i="29"/>
  <c r="AQ55" i="29"/>
  <c r="AQ53" i="29"/>
  <c r="AQ51" i="29"/>
  <c r="AQ49" i="29"/>
  <c r="AO171" i="29"/>
  <c r="AS169" i="29"/>
  <c r="AP165" i="29"/>
  <c r="AR163" i="29"/>
  <c r="AP163" i="29"/>
  <c r="AP157" i="29"/>
  <c r="AR155" i="29"/>
  <c r="AP155" i="29"/>
  <c r="AP149" i="29"/>
  <c r="AT147" i="29"/>
  <c r="AR147" i="29"/>
  <c r="AN145" i="29"/>
  <c r="AO143" i="29"/>
  <c r="AM141" i="29"/>
  <c r="D141" i="30" s="1"/>
  <c r="AT139" i="29"/>
  <c r="AL139" i="29"/>
  <c r="AS137" i="29"/>
  <c r="AR135" i="29"/>
  <c r="AQ133" i="29"/>
  <c r="AR125" i="29"/>
  <c r="AN123" i="29"/>
  <c r="AM121" i="29"/>
  <c r="D121" i="30" s="1"/>
  <c r="AQ119" i="29"/>
  <c r="AM117" i="29"/>
  <c r="D117" i="30" s="1"/>
  <c r="AP115" i="29"/>
  <c r="AT113" i="29"/>
  <c r="AL113" i="29"/>
  <c r="AQ111" i="29"/>
  <c r="AN109" i="29"/>
  <c r="AM93" i="29"/>
  <c r="D93" i="30" s="1"/>
  <c r="AR91" i="29"/>
  <c r="AM173" i="29"/>
  <c r="D173" i="30" s="1"/>
  <c r="AL169" i="29"/>
  <c r="AS119" i="29"/>
  <c r="AL115" i="29"/>
  <c r="AS111" i="29"/>
  <c r="AP93" i="29"/>
  <c r="AL91" i="29"/>
  <c r="AQ63" i="29"/>
  <c r="AT61" i="29"/>
  <c r="AM59" i="29"/>
  <c r="D59" i="30" s="1"/>
  <c r="AT57" i="29"/>
  <c r="AR55" i="29"/>
  <c r="AO53" i="29"/>
  <c r="AM51" i="29"/>
  <c r="D51" i="30" s="1"/>
  <c r="AT49" i="29"/>
  <c r="AR47" i="29"/>
  <c r="AO43" i="29"/>
  <c r="AQ39" i="29"/>
  <c r="AS35" i="29"/>
  <c r="AT33" i="29"/>
  <c r="AN29" i="29"/>
  <c r="AP25" i="29"/>
  <c r="AR21" i="29"/>
  <c r="AT17" i="29"/>
  <c r="AN15" i="29"/>
  <c r="AL11" i="29"/>
  <c r="AO13" i="29"/>
  <c r="AN139" i="29"/>
  <c r="AO93" i="29"/>
  <c r="AR61" i="29"/>
  <c r="AL59" i="29"/>
  <c r="AP55" i="29"/>
  <c r="AN53" i="29"/>
  <c r="AL51" i="29"/>
  <c r="AP47" i="29"/>
  <c r="AO45" i="29"/>
  <c r="AN43" i="29"/>
  <c r="AO41" i="29"/>
  <c r="AP39" i="29"/>
  <c r="AQ37" i="29"/>
  <c r="AR35" i="29"/>
  <c r="AS33" i="29"/>
  <c r="AT31" i="29"/>
  <c r="AL31" i="29"/>
  <c r="AM29" i="29"/>
  <c r="D29" i="30" s="1"/>
  <c r="AN27" i="29"/>
  <c r="AO25" i="29"/>
  <c r="AP23" i="29"/>
  <c r="AQ21" i="29"/>
  <c r="AR19" i="29"/>
  <c r="AS17" i="29"/>
  <c r="AM15" i="29"/>
  <c r="D15" i="30" s="1"/>
  <c r="AO9" i="29"/>
  <c r="AT163" i="29"/>
  <c r="AN125" i="29"/>
  <c r="AP109" i="29"/>
  <c r="AL93" i="29"/>
  <c r="AL89" i="29"/>
  <c r="AM87" i="29"/>
  <c r="D87" i="30" s="1"/>
  <c r="AL85" i="29"/>
  <c r="AL83" i="29"/>
  <c r="AM81" i="29"/>
  <c r="D81" i="30" s="1"/>
  <c r="AL79" i="29"/>
  <c r="AM77" i="29"/>
  <c r="D77" i="30" s="1"/>
  <c r="AL75" i="29"/>
  <c r="AM73" i="29"/>
  <c r="D73" i="30" s="1"/>
  <c r="AL71" i="29"/>
  <c r="AM69" i="29"/>
  <c r="D69" i="30" s="1"/>
  <c r="AO63" i="29"/>
  <c r="AQ61" i="29"/>
  <c r="AT59" i="29"/>
  <c r="AR57" i="29"/>
  <c r="AO55" i="29"/>
  <c r="AM53" i="29"/>
  <c r="D53" i="30" s="1"/>
  <c r="AT51" i="29"/>
  <c r="AR49" i="29"/>
  <c r="AO47" i="29"/>
  <c r="AN45" i="29"/>
  <c r="AM43" i="29"/>
  <c r="D43" i="30" s="1"/>
  <c r="AN41" i="29"/>
  <c r="AO39" i="29"/>
  <c r="AP37" i="29"/>
  <c r="AQ35" i="29"/>
  <c r="AR33" i="29"/>
  <c r="AS31" i="29"/>
  <c r="AT29" i="29"/>
  <c r="AL29" i="29"/>
  <c r="AM27" i="29"/>
  <c r="D27" i="30" s="1"/>
  <c r="AN25" i="29"/>
  <c r="AO23" i="29"/>
  <c r="AP21" i="29"/>
  <c r="AQ19" i="29"/>
  <c r="AR17" i="29"/>
  <c r="AT15" i="29"/>
  <c r="AL15" i="29"/>
  <c r="AN13" i="29"/>
  <c r="AR11" i="29"/>
  <c r="AN9" i="29"/>
  <c r="AR7" i="29"/>
  <c r="AT155" i="29"/>
  <c r="AS133" i="29"/>
  <c r="AL125" i="29"/>
  <c r="AT91" i="29"/>
  <c r="AL87" i="29"/>
  <c r="AL81" i="29"/>
  <c r="AL77" i="29"/>
  <c r="AL73" i="29"/>
  <c r="AL69" i="29"/>
  <c r="AN63" i="29"/>
  <c r="AO61" i="29"/>
  <c r="AS59" i="29"/>
  <c r="AP57" i="29"/>
  <c r="AN55" i="29"/>
  <c r="AL53" i="29"/>
  <c r="AS51" i="29"/>
  <c r="AP49" i="29"/>
  <c r="AN47" i="29"/>
  <c r="AM45" i="29"/>
  <c r="D45" i="30" s="1"/>
  <c r="AT43" i="29"/>
  <c r="AL43" i="29"/>
  <c r="AM41" i="29"/>
  <c r="D41" i="30" s="1"/>
  <c r="AN39" i="29"/>
  <c r="AO37" i="29"/>
  <c r="AP35" i="29"/>
  <c r="AQ33" i="29"/>
  <c r="AR31" i="29"/>
  <c r="AS29" i="29"/>
  <c r="AT27" i="29"/>
  <c r="AL27" i="29"/>
  <c r="AM25" i="29"/>
  <c r="D25" i="30" s="1"/>
  <c r="AN23" i="29"/>
  <c r="AO21" i="29"/>
  <c r="AP19" i="29"/>
  <c r="AQ17" i="29"/>
  <c r="AS15" i="29"/>
  <c r="AM13" i="29"/>
  <c r="D13" i="30" s="1"/>
  <c r="AM9" i="29"/>
  <c r="D9" i="30" s="1"/>
  <c r="AN93" i="29"/>
  <c r="AQ91" i="29"/>
  <c r="AT89" i="29"/>
  <c r="AT85" i="29"/>
  <c r="AT83" i="29"/>
  <c r="AT79" i="29"/>
  <c r="AT75" i="29"/>
  <c r="AT71" i="29"/>
  <c r="AL63" i="29"/>
  <c r="AN61" i="29"/>
  <c r="AR59" i="29"/>
  <c r="AO57" i="29"/>
  <c r="AM55" i="29"/>
  <c r="D55" i="30" s="1"/>
  <c r="AT53" i="29"/>
  <c r="AR51" i="29"/>
  <c r="AO49" i="29"/>
  <c r="AM47" i="29"/>
  <c r="D47" i="30" s="1"/>
  <c r="AL45" i="29"/>
  <c r="AS43" i="29"/>
  <c r="AT41" i="29"/>
  <c r="AL41" i="29"/>
  <c r="AM39" i="29"/>
  <c r="D39" i="30" s="1"/>
  <c r="AN37" i="29"/>
  <c r="AO35" i="29"/>
  <c r="AP33" i="29"/>
  <c r="AQ31" i="29"/>
  <c r="AR29" i="29"/>
  <c r="AS27" i="29"/>
  <c r="AT25" i="29"/>
  <c r="AL25" i="29"/>
  <c r="AM23" i="29"/>
  <c r="D23" i="30" s="1"/>
  <c r="AN21" i="29"/>
  <c r="AO19" i="29"/>
  <c r="AP17" i="29"/>
  <c r="AR15" i="29"/>
  <c r="AT13" i="29"/>
  <c r="AL13" i="29"/>
  <c r="AP11" i="29"/>
  <c r="AT9" i="29"/>
  <c r="AL9" i="29"/>
  <c r="AP7" i="29"/>
  <c r="AQ171" i="29"/>
  <c r="AT93" i="29"/>
  <c r="AO91" i="29"/>
  <c r="AM61" i="29"/>
  <c r="D61" i="30" s="1"/>
  <c r="AP59" i="29"/>
  <c r="AN57" i="29"/>
  <c r="AL55" i="29"/>
  <c r="AS53" i="29"/>
  <c r="AP51" i="29"/>
  <c r="AN49" i="29"/>
  <c r="AL47" i="29"/>
  <c r="AT45" i="29"/>
  <c r="AR43" i="29"/>
  <c r="AS41" i="29"/>
  <c r="AT39" i="29"/>
  <c r="AL39" i="29"/>
  <c r="AM37" i="29"/>
  <c r="D37" i="30" s="1"/>
  <c r="AN35" i="29"/>
  <c r="AO33" i="29"/>
  <c r="AP31" i="29"/>
  <c r="AQ29" i="29"/>
  <c r="AR27" i="29"/>
  <c r="AS25" i="29"/>
  <c r="AT23" i="29"/>
  <c r="AL23" i="29"/>
  <c r="AM21" i="29"/>
  <c r="D21" i="30" s="1"/>
  <c r="AN19" i="29"/>
  <c r="AO17" i="29"/>
  <c r="AQ15" i="29"/>
  <c r="AS13" i="29"/>
  <c r="AO11" i="29"/>
  <c r="AS9" i="29"/>
  <c r="AO7" i="29"/>
  <c r="AM147" i="29"/>
  <c r="D147" i="30" s="1"/>
  <c r="AQ145" i="29"/>
  <c r="AT115" i="29"/>
  <c r="AR93" i="29"/>
  <c r="AT63" i="29"/>
  <c r="AL61" i="29"/>
  <c r="AO59" i="29"/>
  <c r="AM57" i="29"/>
  <c r="D57" i="30" s="1"/>
  <c r="AT55" i="29"/>
  <c r="AR53" i="29"/>
  <c r="AO51" i="29"/>
  <c r="AM49" i="29"/>
  <c r="D49" i="30" s="1"/>
  <c r="AT47" i="29"/>
  <c r="AS45" i="29"/>
  <c r="AQ43" i="29"/>
  <c r="AR41" i="29"/>
  <c r="AS39" i="29"/>
  <c r="AT37" i="29"/>
  <c r="AL37" i="29"/>
  <c r="AM35" i="29"/>
  <c r="D35" i="30" s="1"/>
  <c r="AN33" i="29"/>
  <c r="AO31" i="29"/>
  <c r="AP29" i="29"/>
  <c r="AQ27" i="29"/>
  <c r="AR25" i="29"/>
  <c r="AS23" i="29"/>
  <c r="AT21" i="29"/>
  <c r="AL21" i="29"/>
  <c r="AM19" i="29"/>
  <c r="D19" i="30" s="1"/>
  <c r="AN17" i="29"/>
  <c r="AP15" i="29"/>
  <c r="AR13" i="29"/>
  <c r="AR119" i="29"/>
  <c r="AR115" i="29"/>
  <c r="AQ115" i="29"/>
  <c r="AQ93" i="29"/>
  <c r="AM91" i="29"/>
  <c r="D91" i="30" s="1"/>
  <c r="AP89" i="29"/>
  <c r="AQ87" i="29"/>
  <c r="AP85" i="29"/>
  <c r="AP83" i="29"/>
  <c r="AQ81" i="29"/>
  <c r="AP79" i="29"/>
  <c r="AQ77" i="29"/>
  <c r="AP75" i="29"/>
  <c r="AQ73" i="29"/>
  <c r="AP71" i="29"/>
  <c r="AQ69" i="29"/>
  <c r="AS63" i="29"/>
  <c r="AN59" i="29"/>
  <c r="AL57" i="29"/>
  <c r="AS55" i="29"/>
  <c r="AP53" i="29"/>
  <c r="AN51" i="29"/>
  <c r="AL49" i="29"/>
  <c r="AS47" i="29"/>
  <c r="AP45" i="29"/>
  <c r="AP41" i="29"/>
  <c r="AR37" i="29"/>
  <c r="AL33" i="29"/>
  <c r="AM31" i="29"/>
  <c r="D31" i="30" s="1"/>
  <c r="AO27" i="29"/>
  <c r="AQ23" i="29"/>
  <c r="AS19" i="29"/>
  <c r="AL17" i="29"/>
  <c r="AP13" i="29"/>
  <c r="AT11" i="29"/>
  <c r="AP9" i="29"/>
  <c r="AT7" i="29"/>
  <c r="AL7" i="29"/>
  <c r="AS11" i="29"/>
  <c r="AS7" i="29"/>
  <c r="AO633" i="29"/>
  <c r="AR621" i="29"/>
  <c r="AP569" i="29"/>
  <c r="AN713" i="29"/>
  <c r="AM673" i="29"/>
  <c r="D673" i="30" s="1"/>
  <c r="AN657" i="29"/>
  <c r="AP627" i="29"/>
  <c r="AP619" i="29"/>
  <c r="AP611" i="29"/>
  <c r="AT601" i="29"/>
  <c r="AM573" i="29"/>
  <c r="D573" i="30" s="1"/>
  <c r="AO569" i="29"/>
  <c r="AP561" i="29"/>
  <c r="AN557" i="29"/>
  <c r="AN689" i="29"/>
  <c r="AT667" i="29"/>
  <c r="AR623" i="29"/>
  <c r="AN611" i="29"/>
  <c r="AQ607" i="29"/>
  <c r="AQ593" i="29"/>
  <c r="AN579" i="29"/>
  <c r="AM571" i="29"/>
  <c r="D571" i="30" s="1"/>
  <c r="AN569" i="29"/>
  <c r="AM563" i="29"/>
  <c r="D563" i="30" s="1"/>
  <c r="AO561" i="29"/>
  <c r="AM557" i="29"/>
  <c r="D557" i="30" s="1"/>
  <c r="AT511" i="29"/>
  <c r="AM509" i="29"/>
  <c r="D509" i="30" s="1"/>
  <c r="AO667" i="29"/>
  <c r="AM663" i="29"/>
  <c r="D663" i="30" s="1"/>
  <c r="AP661" i="29"/>
  <c r="AO655" i="29"/>
  <c r="AP621" i="29"/>
  <c r="AL601" i="29"/>
  <c r="AT577" i="29"/>
  <c r="AL569" i="29"/>
  <c r="AN561" i="29"/>
  <c r="AS559" i="29"/>
  <c r="AR625" i="29"/>
  <c r="AQ609" i="29"/>
  <c r="AS605" i="29"/>
  <c r="AT587" i="29"/>
  <c r="AL561" i="29"/>
  <c r="AM529" i="29"/>
  <c r="D529" i="30" s="1"/>
  <c r="AQ519" i="29"/>
  <c r="AQ513" i="29"/>
  <c r="AT707" i="29"/>
  <c r="AS689" i="29"/>
  <c r="AL659" i="29"/>
  <c r="AP607" i="29"/>
  <c r="AR587" i="29"/>
  <c r="AO567" i="29"/>
  <c r="AR565" i="29"/>
  <c r="AR527" i="29"/>
  <c r="AP515" i="29"/>
  <c r="AQ507" i="29"/>
  <c r="AS501" i="29"/>
  <c r="AN707" i="29"/>
  <c r="AN607" i="29"/>
  <c r="AQ523" i="29"/>
  <c r="AO411" i="29"/>
  <c r="AT401" i="29"/>
  <c r="AO191" i="29"/>
  <c r="AO413" i="29"/>
  <c r="AT411" i="29"/>
  <c r="AN405" i="29"/>
  <c r="AO399" i="29"/>
  <c r="AO397" i="29"/>
  <c r="AP333" i="29"/>
  <c r="AN191" i="29"/>
  <c r="AS613" i="29"/>
  <c r="AN413" i="29"/>
  <c r="AL411" i="29"/>
  <c r="AN409" i="29"/>
  <c r="AM405" i="29"/>
  <c r="D405" i="30" s="1"/>
  <c r="AP405" i="29"/>
  <c r="AR401" i="29"/>
  <c r="AN399" i="29"/>
  <c r="AQ399" i="29"/>
  <c r="AT285" i="29"/>
  <c r="AM191" i="29"/>
  <c r="D191" i="30" s="1"/>
  <c r="AM413" i="29"/>
  <c r="D413" i="30" s="1"/>
  <c r="AM399" i="29"/>
  <c r="D399" i="30" s="1"/>
  <c r="AT397" i="29"/>
  <c r="AQ335" i="29"/>
  <c r="AR335" i="29"/>
  <c r="AO331" i="29"/>
  <c r="AR291" i="29"/>
  <c r="AR289" i="29"/>
  <c r="AP623" i="29"/>
  <c r="AR519" i="29"/>
  <c r="AS409" i="29"/>
  <c r="AT387" i="29"/>
  <c r="AP387" i="29"/>
  <c r="AO333" i="29"/>
  <c r="AN331" i="29"/>
  <c r="AR329" i="29"/>
  <c r="AP291" i="29"/>
  <c r="AP289" i="29"/>
  <c r="AR245" i="29"/>
  <c r="AN667" i="29"/>
  <c r="AP505" i="29"/>
  <c r="AM387" i="29"/>
  <c r="D387" i="30" s="1"/>
  <c r="AL331" i="29"/>
  <c r="AP331" i="29"/>
  <c r="AS327" i="29"/>
  <c r="AR327" i="29"/>
  <c r="AO291" i="29"/>
  <c r="AL387" i="29"/>
  <c r="AP325" i="29"/>
  <c r="AN295" i="29"/>
  <c r="AO277" i="29"/>
  <c r="AN201" i="29"/>
  <c r="AM197" i="29"/>
  <c r="D197" i="30" s="1"/>
  <c r="AR193" i="29"/>
  <c r="AR157" i="29"/>
  <c r="AQ11" i="29"/>
  <c r="AN71" i="29"/>
  <c r="AS57" i="29"/>
  <c r="AP183" i="29"/>
  <c r="AS83" i="29"/>
  <c r="AP167" i="29"/>
  <c r="AM127" i="29"/>
  <c r="D127" i="30" s="1"/>
  <c r="AM111" i="29"/>
  <c r="D111" i="30" s="1"/>
  <c r="AN91" i="29"/>
  <c r="AS89" i="29"/>
  <c r="AN83" i="29"/>
  <c r="AT81" i="29"/>
  <c r="AR69" i="29"/>
  <c r="AP63" i="29"/>
  <c r="AS49" i="29"/>
  <c r="AQ7" i="29"/>
  <c r="AS71" i="29"/>
  <c r="AT197" i="29"/>
  <c r="AR165" i="29"/>
  <c r="AT125" i="29"/>
  <c r="AQ121" i="29"/>
  <c r="AP113" i="29"/>
  <c r="AQ89" i="29"/>
  <c r="AM83" i="29"/>
  <c r="D83" i="30" s="1"/>
  <c r="AR81" i="29"/>
  <c r="AS79" i="29"/>
  <c r="AM71" i="29"/>
  <c r="D71" i="30" s="1"/>
  <c r="AP69" i="29"/>
  <c r="AN521" i="29"/>
  <c r="AO197" i="29"/>
  <c r="AO159" i="29"/>
  <c r="AP153" i="29"/>
  <c r="AQ137" i="29"/>
  <c r="AS127" i="29"/>
  <c r="AO121" i="29"/>
  <c r="AS117" i="29"/>
  <c r="AN113" i="29"/>
  <c r="AN89" i="29"/>
  <c r="AT87" i="29"/>
  <c r="AP81" i="29"/>
  <c r="AQ79" i="29"/>
  <c r="AT77" i="29"/>
  <c r="AO69" i="29"/>
  <c r="AQ13" i="29"/>
  <c r="AQ201" i="29"/>
  <c r="AN197" i="29"/>
  <c r="AP191" i="29"/>
  <c r="AN153" i="29"/>
  <c r="AT135" i="29"/>
  <c r="AQ127" i="29"/>
  <c r="AM89" i="29"/>
  <c r="D89" i="30" s="1"/>
  <c r="AR87" i="29"/>
  <c r="AS85" i="29"/>
  <c r="AO81" i="29"/>
  <c r="AN79" i="29"/>
  <c r="AR77" i="29"/>
  <c r="AS75" i="29"/>
  <c r="AN11" i="29"/>
  <c r="AP201" i="29"/>
  <c r="AL197" i="29"/>
  <c r="AP151" i="29"/>
  <c r="AN141" i="29"/>
  <c r="AM79" i="29"/>
  <c r="D79" i="30" s="1"/>
  <c r="AT19" i="29"/>
  <c r="AM187" i="29"/>
  <c r="D187" i="30" s="1"/>
  <c r="AR185" i="29"/>
  <c r="AN161" i="29"/>
  <c r="AO661" i="29"/>
  <c r="AR627" i="29"/>
  <c r="AM567" i="29"/>
  <c r="D567" i="30" s="1"/>
  <c r="AP555" i="29"/>
  <c r="AT507" i="29"/>
  <c r="AO167" i="29"/>
  <c r="AO87" i="29"/>
  <c r="AM75" i="29"/>
  <c r="D75" i="30" s="1"/>
  <c r="AO73" i="29"/>
  <c r="AN673" i="29"/>
  <c r="AP625" i="29"/>
  <c r="AT605" i="29"/>
  <c r="AP603" i="29"/>
  <c r="AT557" i="29"/>
  <c r="AP553" i="29"/>
  <c r="AR507" i="29"/>
  <c r="AP159" i="29"/>
  <c r="AQ143" i="29"/>
  <c r="AO141" i="29"/>
  <c r="AN7" i="29"/>
  <c r="AP671" i="29"/>
  <c r="AQ611" i="29"/>
  <c r="AN605" i="29"/>
  <c r="AP587" i="29"/>
  <c r="AS555" i="29"/>
  <c r="AQ509" i="29"/>
  <c r="AL507" i="29"/>
  <c r="AR285" i="29"/>
  <c r="AL135" i="29"/>
  <c r="AR123" i="29"/>
  <c r="AQ83" i="29"/>
  <c r="AO77" i="29"/>
  <c r="AT609" i="29"/>
  <c r="AL605" i="29"/>
  <c r="AS541" i="29"/>
  <c r="AO509" i="29"/>
  <c r="AQ285" i="29"/>
  <c r="AQ71" i="29"/>
  <c r="AR9" i="29"/>
  <c r="AL609" i="29"/>
  <c r="AN515" i="29"/>
  <c r="AN393" i="29"/>
  <c r="AN303" i="29"/>
  <c r="AO713" i="29"/>
  <c r="AR559" i="29"/>
  <c r="AQ199" i="29"/>
  <c r="AP161" i="29"/>
  <c r="AO117" i="29"/>
  <c r="AM599" i="29"/>
  <c r="D599" i="30" s="1"/>
  <c r="AR573" i="29"/>
  <c r="AR277" i="29"/>
  <c r="AP195" i="29"/>
  <c r="AO151" i="29"/>
  <c r="AP123" i="29"/>
  <c r="AM85" i="29"/>
  <c r="D85" i="30" s="1"/>
  <c r="AP77" i="29"/>
  <c r="AT69" i="29"/>
  <c r="AQ9" i="29"/>
  <c r="AR109" i="29"/>
  <c r="AL707" i="29"/>
  <c r="AQ117" i="29"/>
  <c r="AT595" i="29"/>
  <c r="AN567" i="29"/>
  <c r="AO195" i="29"/>
  <c r="AM137" i="29"/>
  <c r="D137" i="30" s="1"/>
  <c r="AT659" i="29"/>
  <c r="AR599" i="29"/>
  <c r="AT35" i="29"/>
  <c r="AT561" i="29"/>
  <c r="AO201" i="29"/>
  <c r="AO389" i="29"/>
  <c r="AS291" i="29"/>
  <c r="AN75" i="29"/>
  <c r="AP73" i="29"/>
  <c r="AT569" i="29"/>
  <c r="AM119" i="29"/>
  <c r="D119" i="30" s="1"/>
  <c r="AN85" i="29"/>
  <c r="AP87" i="29"/>
  <c r="AO557" i="29"/>
  <c r="AT299" i="31"/>
  <c r="AL299" i="31"/>
  <c r="AN295" i="31"/>
  <c r="AO291" i="31"/>
  <c r="AQ289" i="31"/>
  <c r="AR285" i="31"/>
  <c r="AO283" i="31"/>
  <c r="AM279" i="31"/>
  <c r="D279" i="32" s="1"/>
  <c r="AR277" i="31"/>
  <c r="AO275" i="31"/>
  <c r="AT273" i="31"/>
  <c r="AL273" i="31"/>
  <c r="AQ271" i="31"/>
  <c r="AS259" i="31"/>
  <c r="AS255" i="31"/>
  <c r="AM251" i="31"/>
  <c r="D251" i="32" s="1"/>
  <c r="AS299" i="31"/>
  <c r="AM295" i="31"/>
  <c r="D295" i="32" s="1"/>
  <c r="AN291" i="31"/>
  <c r="AP289" i="31"/>
  <c r="AQ285" i="31"/>
  <c r="AT279" i="31"/>
  <c r="AL279" i="31"/>
  <c r="AQ277" i="31"/>
  <c r="AS273" i="31"/>
  <c r="AR259" i="31"/>
  <c r="AR255" i="31"/>
  <c r="AT251" i="31"/>
  <c r="AL251" i="31"/>
  <c r="AT243" i="31"/>
  <c r="AL243" i="31"/>
  <c r="AP241" i="31"/>
  <c r="AQ299" i="31"/>
  <c r="AS295" i="31"/>
  <c r="AT291" i="31"/>
  <c r="AL291" i="31"/>
  <c r="AN289" i="31"/>
  <c r="AO285" i="31"/>
  <c r="AT283" i="31"/>
  <c r="AL283" i="31"/>
  <c r="AR279" i="31"/>
  <c r="AO277" i="31"/>
  <c r="AT275" i="31"/>
  <c r="AL275" i="31"/>
  <c r="AQ273" i="31"/>
  <c r="AN271" i="31"/>
  <c r="AS291" i="31"/>
  <c r="AM289" i="31"/>
  <c r="D289" i="32" s="1"/>
  <c r="AN285" i="31"/>
  <c r="AQ279" i="31"/>
  <c r="AN277" i="31"/>
  <c r="AP273" i="31"/>
  <c r="AM271" i="31"/>
  <c r="D271" i="32" s="1"/>
  <c r="AO259" i="31"/>
  <c r="AO255" i="31"/>
  <c r="AQ251" i="31"/>
  <c r="AO299" i="31"/>
  <c r="AQ295" i="31"/>
  <c r="AR291" i="31"/>
  <c r="AT289" i="31"/>
  <c r="AL289" i="31"/>
  <c r="AM285" i="31"/>
  <c r="D285" i="32" s="1"/>
  <c r="AR283" i="31"/>
  <c r="AP279" i="31"/>
  <c r="AM277" i="31"/>
  <c r="D277" i="32" s="1"/>
  <c r="AR275" i="31"/>
  <c r="AO273" i="31"/>
  <c r="AT271" i="31"/>
  <c r="AL271" i="31"/>
  <c r="AR289" i="31"/>
  <c r="AR271" i="31"/>
  <c r="AP271" i="31"/>
  <c r="AP255" i="31"/>
  <c r="AL253" i="31"/>
  <c r="AS249" i="31"/>
  <c r="AR247" i="31"/>
  <c r="AP243" i="31"/>
  <c r="AP239" i="31"/>
  <c r="AS237" i="31"/>
  <c r="AR261" i="31"/>
  <c r="AL259" i="31"/>
  <c r="AQ259" i="31"/>
  <c r="AN255" i="31"/>
  <c r="AO253" i="31"/>
  <c r="AR249" i="31"/>
  <c r="AO245" i="31"/>
  <c r="AO243" i="31"/>
  <c r="AQ241" i="31"/>
  <c r="AO239" i="31"/>
  <c r="AR237" i="31"/>
  <c r="AL235" i="31"/>
  <c r="AP295" i="31"/>
  <c r="AQ291" i="31"/>
  <c r="AT277" i="31"/>
  <c r="AT257" i="31"/>
  <c r="AM255" i="31"/>
  <c r="D255" i="32" s="1"/>
  <c r="AR251" i="31"/>
  <c r="AO249" i="31"/>
  <c r="AP247" i="31"/>
  <c r="AN245" i="31"/>
  <c r="AN243" i="31"/>
  <c r="AO241" i="31"/>
  <c r="AN239" i="31"/>
  <c r="AQ237" i="31"/>
  <c r="AO295" i="31"/>
  <c r="AP291" i="31"/>
  <c r="AT285" i="31"/>
  <c r="AS277" i="31"/>
  <c r="AP261" i="31"/>
  <c r="AR257" i="31"/>
  <c r="AL255" i="31"/>
  <c r="AQ255" i="31"/>
  <c r="AP251" i="31"/>
  <c r="AN249" i="31"/>
  <c r="AM245" i="31"/>
  <c r="D245" i="32" s="1"/>
  <c r="AM243" i="31"/>
  <c r="D243" i="32" s="1"/>
  <c r="AN241" i="31"/>
  <c r="AS285" i="31"/>
  <c r="AL277" i="31"/>
  <c r="AP277" i="31"/>
  <c r="AL261" i="31"/>
  <c r="AQ257" i="31"/>
  <c r="AT253" i="31"/>
  <c r="AO251" i="31"/>
  <c r="AM249" i="31"/>
  <c r="D249" i="32" s="1"/>
  <c r="AN247" i="31"/>
  <c r="AL245" i="31"/>
  <c r="AM241" i="31"/>
  <c r="D241" i="32" s="1"/>
  <c r="AO237" i="31"/>
  <c r="AP257" i="31"/>
  <c r="AN251" i="31"/>
  <c r="AL249" i="31"/>
  <c r="AS243" i="31"/>
  <c r="AS239" i="31"/>
  <c r="AQ283" i="31"/>
  <c r="AP275" i="31"/>
  <c r="AP259" i="31"/>
  <c r="AL257" i="31"/>
  <c r="AQ253" i="31"/>
  <c r="AQ249" i="31"/>
  <c r="AR243" i="31"/>
  <c r="AT241" i="31"/>
  <c r="AR239" i="31"/>
  <c r="AM237" i="31"/>
  <c r="D237" i="32" s="1"/>
  <c r="AO235" i="31"/>
  <c r="AT295" i="31"/>
  <c r="AS289" i="31"/>
  <c r="AP283" i="31"/>
  <c r="AS271" i="31"/>
  <c r="AN259" i="31"/>
  <c r="AT255" i="31"/>
  <c r="AP253" i="31"/>
  <c r="AT249" i="31"/>
  <c r="AS247" i="31"/>
  <c r="AQ243" i="31"/>
  <c r="AS241" i="31"/>
  <c r="AQ239" i="31"/>
  <c r="AT237" i="31"/>
  <c r="AL237" i="31"/>
  <c r="AN235" i="31"/>
  <c r="AL233" i="31"/>
  <c r="AP231" i="31"/>
  <c r="AT229" i="31"/>
  <c r="AL229" i="31"/>
  <c r="AP227" i="31"/>
  <c r="AT225" i="31"/>
  <c r="AL225" i="31"/>
  <c r="AP223" i="31"/>
  <c r="AP191" i="31"/>
  <c r="AM189" i="31"/>
  <c r="D189" i="32" s="1"/>
  <c r="AO171" i="31"/>
  <c r="AQ167" i="31"/>
  <c r="AS165" i="31"/>
  <c r="AR163" i="31"/>
  <c r="AO161" i="31"/>
  <c r="AQ157" i="31"/>
  <c r="AN155" i="31"/>
  <c r="AS153" i="31"/>
  <c r="AP151" i="31"/>
  <c r="AR147" i="31"/>
  <c r="AP143" i="31"/>
  <c r="AT141" i="31"/>
  <c r="AL141" i="31"/>
  <c r="AM235" i="31"/>
  <c r="D235" i="32" s="1"/>
  <c r="AO231" i="31"/>
  <c r="AS229" i="31"/>
  <c r="AO227" i="31"/>
  <c r="AS225" i="31"/>
  <c r="AO223" i="31"/>
  <c r="AO191" i="31"/>
  <c r="AT189" i="31"/>
  <c r="AL189" i="31"/>
  <c r="AN171" i="31"/>
  <c r="AS169" i="31"/>
  <c r="AP167" i="31"/>
  <c r="AR165" i="31"/>
  <c r="AQ163" i="31"/>
  <c r="AN161" i="31"/>
  <c r="AS159" i="31"/>
  <c r="AP157" i="31"/>
  <c r="AM155" i="31"/>
  <c r="D155" i="32" s="1"/>
  <c r="AR153" i="31"/>
  <c r="AO151" i="31"/>
  <c r="AT149" i="31"/>
  <c r="AL149" i="31"/>
  <c r="AQ147" i="31"/>
  <c r="AS145" i="31"/>
  <c r="AO143" i="31"/>
  <c r="AS141" i="31"/>
  <c r="AT233" i="31"/>
  <c r="AN231" i="31"/>
  <c r="AR229" i="31"/>
  <c r="AN227" i="31"/>
  <c r="AR225" i="31"/>
  <c r="AN223" i="31"/>
  <c r="AT221" i="31"/>
  <c r="AL221" i="31"/>
  <c r="AN191" i="31"/>
  <c r="AS189" i="31"/>
  <c r="AM171" i="31"/>
  <c r="D171" i="32" s="1"/>
  <c r="AO167" i="31"/>
  <c r="AQ165" i="31"/>
  <c r="AP163" i="31"/>
  <c r="AM161" i="31"/>
  <c r="D161" i="32" s="1"/>
  <c r="AR159" i="31"/>
  <c r="AO157" i="31"/>
  <c r="AT155" i="31"/>
  <c r="AL155" i="31"/>
  <c r="AQ153" i="31"/>
  <c r="AN151" i="31"/>
  <c r="AP147" i="31"/>
  <c r="AN143" i="31"/>
  <c r="AS233" i="31"/>
  <c r="AM231" i="31"/>
  <c r="D231" i="32" s="1"/>
  <c r="AQ229" i="31"/>
  <c r="AM227" i="31"/>
  <c r="D227" i="32" s="1"/>
  <c r="AQ225" i="31"/>
  <c r="AM223" i="31"/>
  <c r="D223" i="32" s="1"/>
  <c r="AS221" i="31"/>
  <c r="AM191" i="31"/>
  <c r="D191" i="32" s="1"/>
  <c r="AR189" i="31"/>
  <c r="AT171" i="31"/>
  <c r="AL171" i="31"/>
  <c r="AQ169" i="31"/>
  <c r="AN167" i="31"/>
  <c r="AP165" i="31"/>
  <c r="AO163" i="31"/>
  <c r="AT161" i="31"/>
  <c r="AL161" i="31"/>
  <c r="AQ159" i="31"/>
  <c r="AN157" i="31"/>
  <c r="AS155" i="31"/>
  <c r="AP153" i="31"/>
  <c r="AM151" i="31"/>
  <c r="D151" i="32" s="1"/>
  <c r="AR149" i="31"/>
  <c r="AO147" i="31"/>
  <c r="AQ145" i="31"/>
  <c r="AM143" i="31"/>
  <c r="D143" i="32" s="1"/>
  <c r="AQ141" i="31"/>
  <c r="AR233" i="31"/>
  <c r="AT231" i="31"/>
  <c r="AL231" i="31"/>
  <c r="AP229" i="31"/>
  <c r="AT227" i="31"/>
  <c r="AL227" i="31"/>
  <c r="AP225" i="31"/>
  <c r="AT223" i="31"/>
  <c r="AL223" i="31"/>
  <c r="AR221" i="31"/>
  <c r="AT191" i="31"/>
  <c r="AL191" i="31"/>
  <c r="AQ189" i="31"/>
  <c r="AS171" i="31"/>
  <c r="AP169" i="31"/>
  <c r="AM167" i="31"/>
  <c r="D167" i="32" s="1"/>
  <c r="AO165" i="31"/>
  <c r="AN163" i="31"/>
  <c r="AS161" i="31"/>
  <c r="AP159" i="31"/>
  <c r="AM157" i="31"/>
  <c r="D157" i="32" s="1"/>
  <c r="AR155" i="31"/>
  <c r="AO153" i="31"/>
  <c r="AT151" i="31"/>
  <c r="AL151" i="31"/>
  <c r="AQ149" i="31"/>
  <c r="AN147" i="31"/>
  <c r="AT143" i="31"/>
  <c r="AQ235" i="31"/>
  <c r="AR223" i="31"/>
  <c r="AP221" i="31"/>
  <c r="AN145" i="31"/>
  <c r="AR143" i="31"/>
  <c r="AN141" i="31"/>
  <c r="AP235" i="31"/>
  <c r="AQ223" i="31"/>
  <c r="AO221" i="31"/>
  <c r="AQ191" i="31"/>
  <c r="AN189" i="31"/>
  <c r="AP171" i="31"/>
  <c r="AR167" i="31"/>
  <c r="AS163" i="31"/>
  <c r="AP161" i="31"/>
  <c r="AR157" i="31"/>
  <c r="AO155" i="31"/>
  <c r="AQ151" i="31"/>
  <c r="AS147" i="31"/>
  <c r="AO225" i="31"/>
  <c r="AS191" i="31"/>
  <c r="AQ129" i="31"/>
  <c r="AQ113" i="31"/>
  <c r="AT69" i="31"/>
  <c r="AL69" i="31"/>
  <c r="AT67" i="31"/>
  <c r="AL67" i="31"/>
  <c r="AT65" i="31"/>
  <c r="AL65" i="31"/>
  <c r="AT63" i="31"/>
  <c r="AL63" i="31"/>
  <c r="AT61" i="31"/>
  <c r="AL61" i="31"/>
  <c r="AT59" i="31"/>
  <c r="AL59" i="31"/>
  <c r="AT57" i="31"/>
  <c r="AL57" i="31"/>
  <c r="AP113" i="31"/>
  <c r="AR105" i="31"/>
  <c r="AQ89" i="31"/>
  <c r="AP87" i="31"/>
  <c r="AS69" i="31"/>
  <c r="AS67" i="31"/>
  <c r="AS65" i="31"/>
  <c r="AS63" i="31"/>
  <c r="AS61" i="31"/>
  <c r="AS59" i="31"/>
  <c r="AS57" i="31"/>
  <c r="AQ233" i="31"/>
  <c r="AS227" i="31"/>
  <c r="AQ171" i="31"/>
  <c r="AR151" i="31"/>
  <c r="AR131" i="31"/>
  <c r="AO129" i="31"/>
  <c r="AQ125" i="31"/>
  <c r="AN123" i="31"/>
  <c r="AO113" i="31"/>
  <c r="AS107" i="31"/>
  <c r="AQ105" i="31"/>
  <c r="AP89" i="31"/>
  <c r="AO87" i="31"/>
  <c r="AR69" i="31"/>
  <c r="AR67" i="31"/>
  <c r="AR65" i="31"/>
  <c r="AR63" i="31"/>
  <c r="AR61" i="31"/>
  <c r="AR59" i="31"/>
  <c r="AR57" i="31"/>
  <c r="AN135" i="31"/>
  <c r="AQ131" i="31"/>
  <c r="AN129" i="31"/>
  <c r="AP125" i="31"/>
  <c r="AM123" i="31"/>
  <c r="D123" i="32" s="1"/>
  <c r="AN113" i="31"/>
  <c r="AT157" i="31"/>
  <c r="AS151" i="31"/>
  <c r="AM135" i="31"/>
  <c r="D135" i="32" s="1"/>
  <c r="AP131" i="31"/>
  <c r="AM129" i="31"/>
  <c r="D129" i="32" s="1"/>
  <c r="AR127" i="31"/>
  <c r="AT123" i="31"/>
  <c r="AL123" i="31"/>
  <c r="AM113" i="31"/>
  <c r="D113" i="32" s="1"/>
  <c r="AQ107" i="31"/>
  <c r="AO105" i="31"/>
  <c r="AL157" i="31"/>
  <c r="AT135" i="31"/>
  <c r="AL135" i="31"/>
  <c r="AR133" i="31"/>
  <c r="AT129" i="31"/>
  <c r="AL129" i="31"/>
  <c r="AQ127" i="31"/>
  <c r="AS123" i="31"/>
  <c r="AT113" i="31"/>
  <c r="AL113" i="31"/>
  <c r="AP107" i="31"/>
  <c r="AN105" i="31"/>
  <c r="AS135" i="31"/>
  <c r="AQ133" i="31"/>
  <c r="AS129" i="31"/>
  <c r="AP127" i="31"/>
  <c r="AR123" i="31"/>
  <c r="AS113" i="31"/>
  <c r="AO107" i="31"/>
  <c r="AM105" i="31"/>
  <c r="D105" i="32" s="1"/>
  <c r="AL105" i="31"/>
  <c r="AS89" i="31"/>
  <c r="AT87" i="31"/>
  <c r="AQ67" i="31"/>
  <c r="AO65" i="31"/>
  <c r="AM63" i="31"/>
  <c r="D63" i="32" s="1"/>
  <c r="AQ59" i="31"/>
  <c r="AO57" i="31"/>
  <c r="AO51" i="31"/>
  <c r="AR49" i="31"/>
  <c r="AO43" i="31"/>
  <c r="AT41" i="31"/>
  <c r="AL41" i="31"/>
  <c r="AP129" i="31"/>
  <c r="AO89" i="31"/>
  <c r="AS87" i="31"/>
  <c r="AP67" i="31"/>
  <c r="AN65" i="31"/>
  <c r="AP59" i="31"/>
  <c r="AN57" i="31"/>
  <c r="AN51" i="31"/>
  <c r="AQ49" i="31"/>
  <c r="AT47" i="31"/>
  <c r="AL47" i="31"/>
  <c r="AO45" i="31"/>
  <c r="AQ123" i="31"/>
  <c r="AN89" i="31"/>
  <c r="AR87" i="31"/>
  <c r="AQ69" i="31"/>
  <c r="AO67" i="31"/>
  <c r="AM65" i="31"/>
  <c r="D65" i="32" s="1"/>
  <c r="AQ61" i="31"/>
  <c r="AO59" i="31"/>
  <c r="AM57" i="31"/>
  <c r="D57" i="32" s="1"/>
  <c r="AM51" i="31"/>
  <c r="D51" i="32" s="1"/>
  <c r="AP49" i="31"/>
  <c r="AS47" i="31"/>
  <c r="AN45" i="31"/>
  <c r="AM43" i="31"/>
  <c r="D43" i="32" s="1"/>
  <c r="AR41" i="31"/>
  <c r="AR107" i="31"/>
  <c r="AM89" i="31"/>
  <c r="D89" i="32" s="1"/>
  <c r="AN87" i="31"/>
  <c r="AP69" i="31"/>
  <c r="AN67" i="31"/>
  <c r="AP61" i="31"/>
  <c r="AN59" i="31"/>
  <c r="AT51" i="31"/>
  <c r="AL51" i="31"/>
  <c r="AO49" i="31"/>
  <c r="AR47" i="31"/>
  <c r="AM45" i="31"/>
  <c r="D45" i="32" s="1"/>
  <c r="AT43" i="31"/>
  <c r="AL43" i="31"/>
  <c r="AQ41" i="31"/>
  <c r="AM87" i="31"/>
  <c r="D87" i="32" s="1"/>
  <c r="AO69" i="31"/>
  <c r="AM67" i="31"/>
  <c r="D67" i="32" s="1"/>
  <c r="AQ63" i="31"/>
  <c r="AO61" i="31"/>
  <c r="AM59" i="31"/>
  <c r="D59" i="32" s="1"/>
  <c r="AS51" i="31"/>
  <c r="AL87" i="31"/>
  <c r="AN69" i="31"/>
  <c r="AP63" i="31"/>
  <c r="AN61" i="31"/>
  <c r="AR51" i="31"/>
  <c r="AM49" i="31"/>
  <c r="D49" i="32" s="1"/>
  <c r="AS45" i="31"/>
  <c r="AR43" i="31"/>
  <c r="AO41" i="31"/>
  <c r="AT105" i="31"/>
  <c r="AM69" i="31"/>
  <c r="D69" i="32" s="1"/>
  <c r="AQ65" i="31"/>
  <c r="AO63" i="31"/>
  <c r="AM61" i="31"/>
  <c r="D61" i="32" s="1"/>
  <c r="AQ57" i="31"/>
  <c r="AQ51" i="31"/>
  <c r="AT49" i="31"/>
  <c r="AL49" i="31"/>
  <c r="AR45" i="31"/>
  <c r="AQ43" i="31"/>
  <c r="AN41" i="31"/>
  <c r="AP105" i="31"/>
  <c r="AS105" i="31"/>
  <c r="AT89" i="31"/>
  <c r="AP65" i="31"/>
  <c r="AN63" i="31"/>
  <c r="AP57" i="31"/>
  <c r="AP51" i="31"/>
  <c r="AS49" i="31"/>
  <c r="AN47" i="31"/>
  <c r="AQ45" i="31"/>
  <c r="AP43" i="31"/>
  <c r="AM41" i="31"/>
  <c r="D41" i="32" s="1"/>
  <c r="AM39" i="31"/>
  <c r="D39" i="32" s="1"/>
  <c r="AT39" i="31"/>
  <c r="AM35" i="31"/>
  <c r="D35" i="32" s="1"/>
  <c r="AO33" i="31"/>
  <c r="AL31" i="31"/>
  <c r="AQ27" i="31"/>
  <c r="AT25" i="31"/>
  <c r="AL23" i="31"/>
  <c r="AQ19" i="31"/>
  <c r="AT17" i="31"/>
  <c r="AL17" i="31"/>
  <c r="AP15" i="31"/>
  <c r="AT13" i="31"/>
  <c r="AP11" i="31"/>
  <c r="AR39" i="31"/>
  <c r="AL35" i="31"/>
  <c r="AT31" i="31"/>
  <c r="AP27" i="31"/>
  <c r="AR25" i="31"/>
  <c r="AT23" i="31"/>
  <c r="AP19" i="31"/>
  <c r="AS17" i="31"/>
  <c r="AO15" i="31"/>
  <c r="AS13" i="31"/>
  <c r="AO11" i="31"/>
  <c r="AP41" i="31"/>
  <c r="AQ39" i="31"/>
  <c r="AT35" i="31"/>
  <c r="AM33" i="31"/>
  <c r="D33" i="32" s="1"/>
  <c r="AS31" i="31"/>
  <c r="AN27" i="31"/>
  <c r="AQ25" i="31"/>
  <c r="AS23" i="31"/>
  <c r="AN19" i="31"/>
  <c r="AR17" i="31"/>
  <c r="AN15" i="31"/>
  <c r="AR13" i="31"/>
  <c r="AN11" i="31"/>
  <c r="AT9" i="31"/>
  <c r="AL9" i="31"/>
  <c r="AR7" i="31"/>
  <c r="AP39" i="31"/>
  <c r="AR35" i="31"/>
  <c r="AL33" i="31"/>
  <c r="AO31" i="31"/>
  <c r="AL29" i="31"/>
  <c r="AP25" i="31"/>
  <c r="AO23" i="31"/>
  <c r="AL21" i="31"/>
  <c r="AS43" i="31"/>
  <c r="AO39" i="31"/>
  <c r="AQ35" i="31"/>
  <c r="AT33" i="31"/>
  <c r="AQ31" i="31"/>
  <c r="AT29" i="31"/>
  <c r="AO25" i="31"/>
  <c r="AQ23" i="31"/>
  <c r="AT21" i="31"/>
  <c r="AP17" i="31"/>
  <c r="AP13" i="31"/>
  <c r="AR9" i="31"/>
  <c r="AP7" i="31"/>
  <c r="AN39" i="31"/>
  <c r="AP35" i="31"/>
  <c r="AS33" i="31"/>
  <c r="AP31" i="31"/>
  <c r="AN25" i="31"/>
  <c r="AP23" i="31"/>
  <c r="AO17" i="31"/>
  <c r="AO13" i="31"/>
  <c r="AQ9" i="31"/>
  <c r="AO7" i="31"/>
  <c r="AT5" i="31"/>
  <c r="AL5" i="31"/>
  <c r="AN3" i="31"/>
  <c r="AL39" i="31"/>
  <c r="AO35" i="31"/>
  <c r="AR33" i="31"/>
  <c r="AN31" i="31"/>
  <c r="AS27" i="31"/>
  <c r="AN43" i="31"/>
  <c r="AN35" i="31"/>
  <c r="AQ33" i="31"/>
  <c r="AM31" i="31"/>
  <c r="D31" i="32" s="1"/>
  <c r="AR27" i="31"/>
  <c r="AO27" i="31"/>
  <c r="AL25" i="31"/>
  <c r="AM23" i="31"/>
  <c r="D23" i="32" s="1"/>
  <c r="AR19" i="31"/>
  <c r="AO19" i="31"/>
  <c r="AM17" i="31"/>
  <c r="D17" i="32" s="1"/>
  <c r="AQ15" i="31"/>
  <c r="AM311" i="31"/>
  <c r="E13" i="32" s="1"/>
  <c r="AQ11" i="31"/>
  <c r="AO9" i="31"/>
  <c r="AM7" i="31"/>
  <c r="D7" i="32" s="1"/>
  <c r="AM15" i="31"/>
  <c r="D15" i="32" s="1"/>
  <c r="AN9" i="31"/>
  <c r="AS9" i="31"/>
  <c r="AO5" i="31"/>
  <c r="AT3" i="31"/>
  <c r="AS19" i="31"/>
  <c r="AM9" i="31"/>
  <c r="D9" i="32" s="1"/>
  <c r="AT7" i="31"/>
  <c r="AM5" i="31"/>
  <c r="D5" i="32" s="1"/>
  <c r="AS3" i="31"/>
  <c r="AS7" i="31"/>
  <c r="AR3" i="31"/>
  <c r="AQ3" i="31"/>
  <c r="AR15" i="31"/>
  <c r="AL7" i="31"/>
  <c r="AS5" i="31"/>
  <c r="AO3" i="31"/>
  <c r="AM11" i="31"/>
  <c r="D11" i="32" s="1"/>
  <c r="AQ7" i="31"/>
  <c r="AR5" i="31"/>
  <c r="AM3" i="31"/>
  <c r="AQ5" i="31"/>
  <c r="AL3" i="31"/>
  <c r="AP9" i="31"/>
  <c r="AP5" i="31"/>
  <c r="AP3" i="31"/>
  <c r="AN299" i="31"/>
  <c r="AM273" i="31"/>
  <c r="AR253" i="31"/>
  <c r="AS223" i="31"/>
  <c r="AT163" i="31"/>
  <c r="AQ161" i="31"/>
  <c r="AT145" i="31"/>
  <c r="AP141" i="31"/>
  <c r="AT131" i="31"/>
  <c r="AN237" i="31"/>
  <c r="AM239" i="31"/>
  <c r="D239" i="32" s="1"/>
  <c r="AR231" i="31"/>
  <c r="AR191" i="31"/>
  <c r="AN165" i="31"/>
  <c r="AL143" i="31"/>
  <c r="AO131" i="31"/>
  <c r="AL125" i="31"/>
  <c r="AQ245" i="31"/>
  <c r="AO229" i="31"/>
  <c r="AR227" i="31"/>
  <c r="AP189" i="31"/>
  <c r="AP155" i="31"/>
  <c r="AP145" i="31"/>
  <c r="AN131" i="31"/>
  <c r="AP285" i="31"/>
  <c r="AO279" i="31"/>
  <c r="AT245" i="31"/>
  <c r="AP233" i="31"/>
  <c r="AQ155" i="31"/>
  <c r="AN153" i="31"/>
  <c r="AO145" i="31"/>
  <c r="AQ135" i="31"/>
  <c r="AM131" i="31"/>
  <c r="D131" i="32" s="1"/>
  <c r="AP123" i="31"/>
  <c r="AQ47" i="31"/>
  <c r="AQ221" i="31"/>
  <c r="AT169" i="31"/>
  <c r="AR135" i="31"/>
  <c r="AP133" i="31"/>
  <c r="AN127" i="31"/>
  <c r="AP47" i="31"/>
  <c r="AT45" i="31"/>
  <c r="AM291" i="31"/>
  <c r="D291" i="32" s="1"/>
  <c r="AQ261" i="31"/>
  <c r="AM259" i="31"/>
  <c r="D259" i="32" s="1"/>
  <c r="AR245" i="31"/>
  <c r="AN221" i="31"/>
  <c r="AT167" i="31"/>
  <c r="AL89" i="31"/>
  <c r="AM25" i="31"/>
  <c r="D25" i="32" s="1"/>
  <c r="AR11" i="31"/>
  <c r="AN273" i="31"/>
  <c r="AM147" i="31"/>
  <c r="D147" i="32" s="1"/>
  <c r="AQ29" i="31"/>
  <c r="AR21" i="31"/>
  <c r="AL13" i="31"/>
  <c r="AN7" i="31"/>
  <c r="AP149" i="31"/>
  <c r="AP29" i="31"/>
  <c r="AQ21" i="31"/>
  <c r="AN279" i="31"/>
  <c r="AR129" i="31"/>
  <c r="AP33" i="31"/>
  <c r="AO21" i="31"/>
  <c r="AS231" i="31"/>
  <c r="AR113" i="31"/>
  <c r="AL167" i="31"/>
  <c r="AM29" i="31"/>
  <c r="D29" i="32" s="1"/>
  <c r="AN21" i="31"/>
  <c r="AN33" i="31"/>
  <c r="AM21" i="31"/>
  <c r="D21" i="32" s="1"/>
  <c r="AQ13" i="31"/>
  <c r="AR241" i="31"/>
  <c r="AQ17" i="31"/>
  <c r="AL241" i="31"/>
  <c r="AR161" i="31"/>
  <c r="AN49" i="31"/>
  <c r="AM163" i="31"/>
  <c r="D163" i="32" s="1"/>
  <c r="AL285" i="31"/>
  <c r="AM221" i="31"/>
  <c r="D221" i="32" s="1"/>
  <c r="AN107" i="31"/>
  <c r="AT159" i="31"/>
  <c r="AT125" i="31"/>
  <c r="AM299" i="31"/>
  <c r="D299" i="32" s="1"/>
  <c r="AO159" i="31"/>
  <c r="AS143" i="31"/>
  <c r="AO47" i="31"/>
  <c r="AQ275" i="31"/>
  <c r="AM125" i="31"/>
  <c r="D125" i="32" s="1"/>
  <c r="AR29" i="31"/>
  <c r="AO169" i="31"/>
  <c r="AP45" i="31"/>
  <c r="AS245" i="31"/>
  <c r="AL45" i="31"/>
  <c r="AN23" i="31"/>
  <c r="AO141" i="31"/>
  <c r="AR171" i="31"/>
  <c r="AO125" i="31"/>
  <c r="AM47" i="31"/>
  <c r="D47" i="32" s="1"/>
  <c r="AM405" i="33"/>
  <c r="AO415" i="33"/>
  <c r="AT405" i="33"/>
  <c r="AL405" i="33"/>
  <c r="AR391" i="33"/>
  <c r="AS389" i="33"/>
  <c r="AO371" i="33"/>
  <c r="AS405" i="33"/>
  <c r="AQ391" i="33"/>
  <c r="AR389" i="33"/>
  <c r="AN371" i="33"/>
  <c r="AR405" i="33"/>
  <c r="AP391" i="33"/>
  <c r="AQ389" i="33"/>
  <c r="AM371" i="33"/>
  <c r="D369" i="34" s="1"/>
  <c r="AQ405" i="33"/>
  <c r="AO391" i="33"/>
  <c r="AP389" i="33"/>
  <c r="AT371" i="33"/>
  <c r="AL371" i="33"/>
  <c r="AN363" i="33"/>
  <c r="AN359" i="33"/>
  <c r="AN355" i="33"/>
  <c r="AN351" i="33"/>
  <c r="AP405" i="33"/>
  <c r="AN391" i="33"/>
  <c r="AO389" i="33"/>
  <c r="AS371" i="33"/>
  <c r="AR415" i="33"/>
  <c r="AT391" i="33"/>
  <c r="AP371" i="33"/>
  <c r="AN343" i="33"/>
  <c r="AR339" i="33"/>
  <c r="AM337" i="33"/>
  <c r="D335" i="34" s="1"/>
  <c r="AP335" i="33"/>
  <c r="AS333" i="33"/>
  <c r="AN331" i="33"/>
  <c r="AQ329" i="33"/>
  <c r="AQ307" i="33" a="1"/>
  <c r="AQ307" i="33" s="1"/>
  <c r="AM307" i="33" a="1"/>
  <c r="AM307" i="33" s="1"/>
  <c r="D305" i="34" s="1"/>
  <c r="AO305" i="33"/>
  <c r="AQ295" i="33"/>
  <c r="AO293" i="33"/>
  <c r="AQ415" i="33"/>
  <c r="AP415" i="33"/>
  <c r="AM391" i="33"/>
  <c r="D389" i="34" s="1"/>
  <c r="AT365" i="33"/>
  <c r="AT363" i="33"/>
  <c r="AT361" i="33"/>
  <c r="AT359" i="33"/>
  <c r="AT357" i="33"/>
  <c r="AT355" i="33"/>
  <c r="AT353" i="33"/>
  <c r="AT351" i="33"/>
  <c r="AM343" i="33"/>
  <c r="D341" i="34" s="1"/>
  <c r="AQ339" i="33"/>
  <c r="AT337" i="33"/>
  <c r="AL337" i="33"/>
  <c r="AO335" i="33"/>
  <c r="AR333" i="33"/>
  <c r="AM331" i="33"/>
  <c r="D329" i="34" s="1"/>
  <c r="AP329" i="33"/>
  <c r="AS327" i="33"/>
  <c r="AS323" i="33"/>
  <c r="AP321" i="33"/>
  <c r="AR309" i="33"/>
  <c r="AN305" i="33"/>
  <c r="AL391" i="33"/>
  <c r="AS365" i="33"/>
  <c r="AS363" i="33"/>
  <c r="AS361" i="33"/>
  <c r="AS359" i="33"/>
  <c r="AS357" i="33"/>
  <c r="AS355" i="33"/>
  <c r="AS353" i="33"/>
  <c r="AS351" i="33"/>
  <c r="AL343" i="33"/>
  <c r="AP339" i="33"/>
  <c r="AS337" i="33"/>
  <c r="AN335" i="33"/>
  <c r="AQ333" i="33"/>
  <c r="AT331" i="33"/>
  <c r="AL331" i="33"/>
  <c r="AO329" i="33"/>
  <c r="AO321" i="33"/>
  <c r="AQ309" i="33"/>
  <c r="AT307" i="33" a="1"/>
  <c r="AT307" i="33" s="1"/>
  <c r="AP307" i="33" a="1"/>
  <c r="AP307" i="33" s="1"/>
  <c r="AL307" i="33" a="1"/>
  <c r="AL307" i="33" s="1"/>
  <c r="AM305" i="33"/>
  <c r="D303" i="34" s="1"/>
  <c r="AQ365" i="33"/>
  <c r="AQ363" i="33"/>
  <c r="AQ361" i="33"/>
  <c r="AQ359" i="33"/>
  <c r="AQ357" i="33"/>
  <c r="AQ355" i="33"/>
  <c r="AQ353" i="33"/>
  <c r="AQ351" i="33"/>
  <c r="AT343" i="33"/>
  <c r="AO339" i="33"/>
  <c r="AR337" i="33"/>
  <c r="AM335" i="33"/>
  <c r="D333" i="34" s="1"/>
  <c r="AP333" i="33"/>
  <c r="AS331" i="33"/>
  <c r="AN329" i="33"/>
  <c r="AQ327" i="33"/>
  <c r="AQ323" i="33"/>
  <c r="AN321" i="33"/>
  <c r="AP309" i="33"/>
  <c r="AT305" i="33"/>
  <c r="AL305" i="33"/>
  <c r="AP365" i="33"/>
  <c r="AP363" i="33"/>
  <c r="AP361" i="33"/>
  <c r="AP359" i="33"/>
  <c r="AP357" i="33"/>
  <c r="AP355" i="33"/>
  <c r="AP353" i="33"/>
  <c r="AP351" i="33"/>
  <c r="AS343" i="33"/>
  <c r="AS341" i="33"/>
  <c r="AN339" i="33"/>
  <c r="AT335" i="33"/>
  <c r="AL335" i="33"/>
  <c r="AR331" i="33"/>
  <c r="AM329" i="33"/>
  <c r="D327" i="34" s="1"/>
  <c r="AP323" i="33"/>
  <c r="AM321" i="33"/>
  <c r="D319" i="34" s="1"/>
  <c r="AO309" i="33"/>
  <c r="AS307" i="33" a="1"/>
  <c r="AS307" i="33" s="1"/>
  <c r="AO307" i="33" a="1"/>
  <c r="AO307" i="33" s="1"/>
  <c r="AS305" i="33"/>
  <c r="AN389" i="33"/>
  <c r="AR371" i="33"/>
  <c r="AO365" i="33"/>
  <c r="AO363" i="33"/>
  <c r="AO361" i="33"/>
  <c r="AO359" i="33"/>
  <c r="AO357" i="33"/>
  <c r="AO355" i="33"/>
  <c r="AO353" i="33"/>
  <c r="AO351" i="33"/>
  <c r="AR343" i="33"/>
  <c r="AR341" i="33"/>
  <c r="AM339" i="33"/>
  <c r="D337" i="34" s="1"/>
  <c r="AS335" i="33"/>
  <c r="AT329" i="33"/>
  <c r="AL329" i="33"/>
  <c r="AS325" i="33"/>
  <c r="AT321" i="33"/>
  <c r="AL321" i="33"/>
  <c r="AN309" i="33"/>
  <c r="AM389" i="33"/>
  <c r="D387" i="34" s="1"/>
  <c r="AM365" i="33"/>
  <c r="D363" i="34" s="1"/>
  <c r="AM363" i="33"/>
  <c r="D361" i="34" s="1"/>
  <c r="AM361" i="33"/>
  <c r="D359" i="34" s="1"/>
  <c r="AM359" i="33"/>
  <c r="D357" i="34" s="1"/>
  <c r="AM357" i="33"/>
  <c r="D355" i="34" s="1"/>
  <c r="AM355" i="33"/>
  <c r="D353" i="34" s="1"/>
  <c r="AM353" i="33"/>
  <c r="D351" i="34" s="1"/>
  <c r="AM351" i="33"/>
  <c r="D349" i="34" s="1"/>
  <c r="AQ343" i="33"/>
  <c r="AQ341" i="33"/>
  <c r="AT339" i="33"/>
  <c r="AL339" i="33"/>
  <c r="AR335" i="33"/>
  <c r="AS329" i="33"/>
  <c r="AS321" i="33"/>
  <c r="AM309" i="33"/>
  <c r="D307" i="34" s="1"/>
  <c r="AR307" i="33" a="1"/>
  <c r="AR307" i="33" s="1"/>
  <c r="AN307" i="33" a="1"/>
  <c r="AN307" i="33" s="1"/>
  <c r="AQ305" i="33"/>
  <c r="AT309" i="33"/>
  <c r="AN295" i="33"/>
  <c r="AN289" i="33"/>
  <c r="AS287" i="33"/>
  <c r="AS285" i="33"/>
  <c r="AS283" i="33"/>
  <c r="AO251" i="33"/>
  <c r="AN245" i="33"/>
  <c r="AT243" i="33"/>
  <c r="AL243" i="33"/>
  <c r="AM295" i="33"/>
  <c r="D293" i="34" s="1"/>
  <c r="AQ291" i="33"/>
  <c r="AM289" i="33"/>
  <c r="D287" i="34" s="1"/>
  <c r="AR287" i="33"/>
  <c r="AR285" i="33"/>
  <c r="AR283" i="33"/>
  <c r="AN251" i="33"/>
  <c r="AM245" i="33"/>
  <c r="D245" i="34" s="1"/>
  <c r="AS243" i="33"/>
  <c r="AQ241" i="33"/>
  <c r="AS339" i="33"/>
  <c r="AR305" i="33"/>
  <c r="AL295" i="33"/>
  <c r="AM293" i="33"/>
  <c r="D291" i="34" s="1"/>
  <c r="AT289" i="33"/>
  <c r="AL289" i="33"/>
  <c r="AQ287" i="33"/>
  <c r="AQ285" i="33"/>
  <c r="AQ283" i="33"/>
  <c r="AM251" i="33"/>
  <c r="D251" i="34" s="1"/>
  <c r="AT245" i="33"/>
  <c r="AL245" i="33"/>
  <c r="AR243" i="33"/>
  <c r="AP341" i="33"/>
  <c r="AP305" i="33"/>
  <c r="AT295" i="33"/>
  <c r="AL293" i="33"/>
  <c r="AS289" i="33"/>
  <c r="AP287" i="33"/>
  <c r="AP285" i="33"/>
  <c r="AP283" i="33"/>
  <c r="AT251" i="33"/>
  <c r="AL251" i="33"/>
  <c r="AS245" i="33"/>
  <c r="AQ243" i="33"/>
  <c r="AO241" i="33"/>
  <c r="AQ321" i="33"/>
  <c r="AS295" i="33"/>
  <c r="AT293" i="33"/>
  <c r="AO287" i="33"/>
  <c r="AO285" i="33"/>
  <c r="AO343" i="33"/>
  <c r="AR295" i="33"/>
  <c r="AS293" i="33"/>
  <c r="AQ289" i="33"/>
  <c r="AN287" i="33"/>
  <c r="AN285" i="33"/>
  <c r="AN283" i="33"/>
  <c r="AR251" i="33"/>
  <c r="AQ245" i="33"/>
  <c r="AO243" i="33"/>
  <c r="AL285" i="33"/>
  <c r="AR191" i="33"/>
  <c r="AT291" i="33"/>
  <c r="AR291" i="33"/>
  <c r="AT287" i="33"/>
  <c r="AS241" i="33"/>
  <c r="AS177" i="33"/>
  <c r="AO161" i="33"/>
  <c r="AS291" i="33"/>
  <c r="AP289" i="33"/>
  <c r="AP191" i="33"/>
  <c r="AN185" i="33"/>
  <c r="AS183" i="33"/>
  <c r="AP181" i="33"/>
  <c r="AM179" i="33"/>
  <c r="D179" i="34" s="1"/>
  <c r="AR177" i="33"/>
  <c r="AL291" i="33"/>
  <c r="AO289" i="33"/>
  <c r="AL287" i="33"/>
  <c r="AT283" i="33"/>
  <c r="AM161" i="33"/>
  <c r="D161" i="34" s="1"/>
  <c r="AM283" i="33"/>
  <c r="D279" i="34" s="1"/>
  <c r="AN191" i="33"/>
  <c r="AT185" i="33"/>
  <c r="AL185" i="33"/>
  <c r="AQ183" i="33"/>
  <c r="AN181" i="33"/>
  <c r="AS179" i="33"/>
  <c r="AP177" i="33"/>
  <c r="AL283" i="33"/>
  <c r="AM191" i="33"/>
  <c r="D191" i="34" s="1"/>
  <c r="AS185" i="33"/>
  <c r="AP183" i="33"/>
  <c r="AM181" i="33"/>
  <c r="D181" i="34" s="1"/>
  <c r="AR179" i="33"/>
  <c r="AO177" i="33"/>
  <c r="AT285" i="33"/>
  <c r="AO245" i="33"/>
  <c r="AL191" i="33"/>
  <c r="AO183" i="33"/>
  <c r="AL181" i="33"/>
  <c r="AQ179" i="33"/>
  <c r="AN177" i="33"/>
  <c r="AL161" i="33"/>
  <c r="AM153" i="33"/>
  <c r="D153" i="34" s="1"/>
  <c r="AP151" i="33"/>
  <c r="AS149" i="33"/>
  <c r="AR147" i="33"/>
  <c r="AO145" i="33"/>
  <c r="AT143" i="33"/>
  <c r="AL143" i="33"/>
  <c r="AQ141" i="33"/>
  <c r="AR131" i="33"/>
  <c r="AP129" i="33"/>
  <c r="AT153" i="33"/>
  <c r="AL153" i="33"/>
  <c r="AO151" i="33"/>
  <c r="AR149" i="33"/>
  <c r="AQ147" i="33"/>
  <c r="AN145" i="33"/>
  <c r="AS143" i="33"/>
  <c r="AP141" i="33"/>
  <c r="AQ131" i="33"/>
  <c r="AO129" i="33"/>
  <c r="AM127" i="33"/>
  <c r="D127" i="34" s="1"/>
  <c r="AS125" i="33"/>
  <c r="AO123" i="33"/>
  <c r="AS121" i="33"/>
  <c r="AO119" i="33"/>
  <c r="AS117" i="33"/>
  <c r="AO115" i="33"/>
  <c r="AS113" i="33"/>
  <c r="AO111" i="33"/>
  <c r="AS109" i="33"/>
  <c r="AO107" i="33"/>
  <c r="AT161" i="33"/>
  <c r="AS153" i="33"/>
  <c r="AN151" i="33"/>
  <c r="AQ149" i="33"/>
  <c r="AP147" i="33"/>
  <c r="AM145" i="33"/>
  <c r="D145" i="34" s="1"/>
  <c r="AR143" i="33"/>
  <c r="AO141" i="33"/>
  <c r="AP131" i="33"/>
  <c r="AN129" i="33"/>
  <c r="AT127" i="33"/>
  <c r="AL127" i="33"/>
  <c r="AR125" i="33"/>
  <c r="AN123" i="33"/>
  <c r="AR121" i="33"/>
  <c r="AQ191" i="33"/>
  <c r="AQ185" i="33"/>
  <c r="AS161" i="33"/>
  <c r="AR153" i="33"/>
  <c r="AM151" i="33"/>
  <c r="D151" i="34" s="1"/>
  <c r="AP149" i="33"/>
  <c r="AO131" i="33"/>
  <c r="AM129" i="33"/>
  <c r="D129" i="34" s="1"/>
  <c r="AS127" i="33"/>
  <c r="AR161" i="33"/>
  <c r="AT151" i="33"/>
  <c r="AL151" i="33"/>
  <c r="AO149" i="33"/>
  <c r="AS191" i="33"/>
  <c r="AR181" i="33"/>
  <c r="AQ181" i="33"/>
  <c r="AQ161" i="33"/>
  <c r="AP153" i="33"/>
  <c r="AS151" i="33"/>
  <c r="AN149" i="33"/>
  <c r="AM147" i="33"/>
  <c r="D147" i="34" s="1"/>
  <c r="AR145" i="33"/>
  <c r="AO143" i="33"/>
  <c r="AT141" i="33"/>
  <c r="AL141" i="33"/>
  <c r="AM131" i="33"/>
  <c r="D131" i="34" s="1"/>
  <c r="AS129" i="33"/>
  <c r="AQ127" i="33"/>
  <c r="AO125" i="33"/>
  <c r="AO121" i="33"/>
  <c r="AO117" i="33"/>
  <c r="AO113" i="33"/>
  <c r="AO109" i="33"/>
  <c r="AQ105" i="33"/>
  <c r="AP103" i="33"/>
  <c r="AO101" i="33"/>
  <c r="AN99" i="33"/>
  <c r="AM97" i="33"/>
  <c r="D97" i="34" s="1"/>
  <c r="AT95" i="33"/>
  <c r="AP161" i="33"/>
  <c r="AR151" i="33"/>
  <c r="AM149" i="33"/>
  <c r="D149" i="34" s="1"/>
  <c r="AN161" i="33"/>
  <c r="AL147" i="33"/>
  <c r="AN141" i="33"/>
  <c r="AL131" i="33"/>
  <c r="AP127" i="33"/>
  <c r="AQ123" i="33"/>
  <c r="AT119" i="33"/>
  <c r="AR117" i="33"/>
  <c r="AQ115" i="33"/>
  <c r="AN113" i="33"/>
  <c r="AN111" i="33"/>
  <c r="AL109" i="33"/>
  <c r="AT105" i="33"/>
  <c r="AP101" i="33"/>
  <c r="AT99" i="33"/>
  <c r="AP97" i="33"/>
  <c r="AS95" i="33"/>
  <c r="AP89" i="33"/>
  <c r="AS85" i="33"/>
  <c r="AT83" i="33"/>
  <c r="AN81" i="33"/>
  <c r="AS77" i="33"/>
  <c r="AN73" i="33"/>
  <c r="AO127" i="33"/>
  <c r="AP123" i="33"/>
  <c r="AP115" i="33"/>
  <c r="AL111" i="33"/>
  <c r="AR105" i="33"/>
  <c r="AT103" i="33"/>
  <c r="AN101" i="33"/>
  <c r="AS99" i="33"/>
  <c r="AN97" i="33"/>
  <c r="AR95" i="33"/>
  <c r="AO87" i="33"/>
  <c r="AR85" i="33"/>
  <c r="AS83" i="33"/>
  <c r="AM81" i="33"/>
  <c r="D81" i="34" s="1"/>
  <c r="AQ77" i="33"/>
  <c r="AS75" i="33"/>
  <c r="AM73" i="33"/>
  <c r="D73" i="34" s="1"/>
  <c r="AQ145" i="33"/>
  <c r="AN127" i="33"/>
  <c r="AP125" i="33"/>
  <c r="AL123" i="33"/>
  <c r="AQ119" i="33"/>
  <c r="AN117" i="33"/>
  <c r="AN115" i="33"/>
  <c r="AL113" i="33"/>
  <c r="AT107" i="33"/>
  <c r="AP105" i="33"/>
  <c r="AS103" i="33"/>
  <c r="AM101" i="33"/>
  <c r="D101" i="34" s="1"/>
  <c r="AR99" i="33"/>
  <c r="AL97" i="33"/>
  <c r="AQ95" i="33"/>
  <c r="AQ85" i="33"/>
  <c r="AO83" i="33"/>
  <c r="AL81" i="33"/>
  <c r="AP77" i="33"/>
  <c r="AR75" i="33"/>
  <c r="AN75" i="33"/>
  <c r="AL73" i="33"/>
  <c r="AP145" i="33"/>
  <c r="AT129" i="33"/>
  <c r="AT121" i="33"/>
  <c r="AP119" i="33"/>
  <c r="AM117" i="33"/>
  <c r="D117" i="34" s="1"/>
  <c r="AL115" i="33"/>
  <c r="AQ113" i="33"/>
  <c r="AT109" i="33"/>
  <c r="AR107" i="33"/>
  <c r="AO105" i="33"/>
  <c r="AQ103" i="33"/>
  <c r="AL101" i="33"/>
  <c r="AQ99" i="33"/>
  <c r="AP99" i="33"/>
  <c r="AP95" i="33"/>
  <c r="AN95" i="33"/>
  <c r="AL89" i="33"/>
  <c r="AM87" i="33"/>
  <c r="D87" i="34" s="1"/>
  <c r="AP85" i="33"/>
  <c r="AQ83" i="33"/>
  <c r="AT81" i="33"/>
  <c r="AM430" i="33"/>
  <c r="E79" i="34" s="1"/>
  <c r="AO77" i="33"/>
  <c r="AQ75" i="33"/>
  <c r="AT73" i="33"/>
  <c r="AP143" i="33"/>
  <c r="AR129" i="33"/>
  <c r="AP121" i="33"/>
  <c r="AL117" i="33"/>
  <c r="AT111" i="33"/>
  <c r="AR109" i="33"/>
  <c r="AQ107" i="33"/>
  <c r="AN105" i="33"/>
  <c r="AO103" i="33"/>
  <c r="AO99" i="33"/>
  <c r="AT97" i="33"/>
  <c r="AO95" i="33"/>
  <c r="AT89" i="33"/>
  <c r="AL87" i="33"/>
  <c r="AO85" i="33"/>
  <c r="AP83" i="33"/>
  <c r="AR81" i="33"/>
  <c r="AL79" i="33"/>
  <c r="AN77" i="33"/>
  <c r="AP75" i="33"/>
  <c r="AR73" i="33"/>
  <c r="AT147" i="33"/>
  <c r="AN143" i="33"/>
  <c r="AS141" i="33"/>
  <c r="AT131" i="33"/>
  <c r="AQ129" i="33"/>
  <c r="AL125" i="33"/>
  <c r="AQ125" i="33"/>
  <c r="AN121" i="33"/>
  <c r="AL119" i="33"/>
  <c r="AQ117" i="33"/>
  <c r="AT113" i="33"/>
  <c r="AR111" i="33"/>
  <c r="AP109" i="33"/>
  <c r="AP107" i="33"/>
  <c r="AM105" i="33"/>
  <c r="D105" i="34" s="1"/>
  <c r="AN103" i="33"/>
  <c r="AT101" i="33"/>
  <c r="AM99" i="33"/>
  <c r="D99" i="34" s="1"/>
  <c r="AS97" i="33"/>
  <c r="AM95" i="33"/>
  <c r="D95" i="34" s="1"/>
  <c r="AS89" i="33"/>
  <c r="AN85" i="33"/>
  <c r="AN83" i="33"/>
  <c r="AQ81" i="33"/>
  <c r="AM77" i="33"/>
  <c r="D77" i="34" s="1"/>
  <c r="AQ73" i="33"/>
  <c r="AS147" i="33"/>
  <c r="AM143" i="33"/>
  <c r="D143" i="34" s="1"/>
  <c r="AR141" i="33"/>
  <c r="AS131" i="33"/>
  <c r="AL129" i="33"/>
  <c r="AT123" i="33"/>
  <c r="AM121" i="33"/>
  <c r="D121" i="34" s="1"/>
  <c r="AT115" i="33"/>
  <c r="AQ111" i="33"/>
  <c r="AN109" i="33"/>
  <c r="AN107" i="33"/>
  <c r="AL105" i="33"/>
  <c r="AM103" i="33"/>
  <c r="D103" i="34" s="1"/>
  <c r="AS101" i="33"/>
  <c r="AL99" i="33"/>
  <c r="AR97" i="33"/>
  <c r="AL95" i="33"/>
  <c r="AR89" i="33"/>
  <c r="AS87" i="33"/>
  <c r="AM85" i="33"/>
  <c r="D85" i="34" s="1"/>
  <c r="AM83" i="33"/>
  <c r="D83" i="34" s="1"/>
  <c r="AP81" i="33"/>
  <c r="AS79" i="33"/>
  <c r="AO79" i="33"/>
  <c r="AL77" i="33"/>
  <c r="AM75" i="33"/>
  <c r="D75" i="34" s="1"/>
  <c r="AP73" i="33"/>
  <c r="AQ55" i="33"/>
  <c r="AQ53" i="33"/>
  <c r="AQ51" i="33"/>
  <c r="AQ49" i="33"/>
  <c r="AQ47" i="33"/>
  <c r="AQ45" i="33"/>
  <c r="AQ43" i="33"/>
  <c r="AR41" i="33"/>
  <c r="AS39" i="33"/>
  <c r="AT37" i="33"/>
  <c r="AL37" i="33"/>
  <c r="AM35" i="33"/>
  <c r="D35" i="34" s="1"/>
  <c r="AN33" i="33"/>
  <c r="AO31" i="33"/>
  <c r="AP29" i="33"/>
  <c r="AQ27" i="33"/>
  <c r="AR25" i="33"/>
  <c r="AS23" i="33"/>
  <c r="AT21" i="33"/>
  <c r="AL21" i="33"/>
  <c r="AM19" i="33"/>
  <c r="D19" i="34" s="1"/>
  <c r="AN17" i="33"/>
  <c r="AO15" i="33"/>
  <c r="AP11" i="33"/>
  <c r="AP7" i="33"/>
  <c r="AR47" i="33"/>
  <c r="AO33" i="33"/>
  <c r="AP55" i="33"/>
  <c r="AP53" i="33"/>
  <c r="AP51" i="33"/>
  <c r="AP49" i="33"/>
  <c r="AP47" i="33"/>
  <c r="AP45" i="33"/>
  <c r="AP43" i="33"/>
  <c r="AQ41" i="33"/>
  <c r="AR39" i="33"/>
  <c r="AS37" i="33"/>
  <c r="AT35" i="33"/>
  <c r="AL35" i="33"/>
  <c r="AM33" i="33"/>
  <c r="D33" i="34" s="1"/>
  <c r="AN31" i="33"/>
  <c r="AO29" i="33"/>
  <c r="AP27" i="33"/>
  <c r="AQ25" i="33"/>
  <c r="AR23" i="33"/>
  <c r="AS21" i="33"/>
  <c r="AT19" i="33"/>
  <c r="AL19" i="33"/>
  <c r="AM17" i="33"/>
  <c r="D17" i="34" s="1"/>
  <c r="AN15" i="33"/>
  <c r="AS13" i="33"/>
  <c r="AO11" i="33"/>
  <c r="AS9" i="33"/>
  <c r="AO7" i="33"/>
  <c r="AL23" i="33"/>
  <c r="AP15" i="33"/>
  <c r="AO55" i="33"/>
  <c r="AO53" i="33"/>
  <c r="AO51" i="33"/>
  <c r="AO49" i="33"/>
  <c r="AO47" i="33"/>
  <c r="AO45" i="33"/>
  <c r="AO43" i="33"/>
  <c r="AP41" i="33"/>
  <c r="AQ39" i="33"/>
  <c r="AR37" i="33"/>
  <c r="AS35" i="33"/>
  <c r="AT33" i="33"/>
  <c r="AL33" i="33"/>
  <c r="AM31" i="33"/>
  <c r="D31" i="34" s="1"/>
  <c r="AN29" i="33"/>
  <c r="AO27" i="33"/>
  <c r="AP25" i="33"/>
  <c r="AQ23" i="33"/>
  <c r="AR21" i="33"/>
  <c r="AS19" i="33"/>
  <c r="AT17" i="33"/>
  <c r="AL17" i="33"/>
  <c r="AM15" i="33"/>
  <c r="D15" i="34" s="1"/>
  <c r="AR13" i="33"/>
  <c r="AN11" i="33"/>
  <c r="AN7" i="33"/>
  <c r="AL103" i="33"/>
  <c r="AQ97" i="33"/>
  <c r="AN55" i="33"/>
  <c r="AN53" i="33"/>
  <c r="AN51" i="33"/>
  <c r="AN49" i="33"/>
  <c r="AN47" i="33"/>
  <c r="AN45" i="33"/>
  <c r="AN43" i="33"/>
  <c r="AO41" i="33"/>
  <c r="AP39" i="33"/>
  <c r="AQ37" i="33"/>
  <c r="AR35" i="33"/>
  <c r="AS33" i="33"/>
  <c r="AT31" i="33"/>
  <c r="AL31" i="33"/>
  <c r="AM29" i="33"/>
  <c r="D29" i="34" s="1"/>
  <c r="AN27" i="33"/>
  <c r="AO25" i="33"/>
  <c r="AP23" i="33"/>
  <c r="AQ21" i="33"/>
  <c r="AR19" i="33"/>
  <c r="AS17" i="33"/>
  <c r="AT15" i="33"/>
  <c r="AL15" i="33"/>
  <c r="AM11" i="33"/>
  <c r="D11" i="34" s="1"/>
  <c r="AM7" i="33"/>
  <c r="D7" i="34" s="1"/>
  <c r="AR53" i="33"/>
  <c r="AQ7" i="33"/>
  <c r="AR123" i="33"/>
  <c r="AM55" i="33"/>
  <c r="D55" i="34" s="1"/>
  <c r="AM53" i="33"/>
  <c r="D53" i="34" s="1"/>
  <c r="AM51" i="33"/>
  <c r="D51" i="34" s="1"/>
  <c r="AM49" i="33"/>
  <c r="D49" i="34" s="1"/>
  <c r="AM47" i="33"/>
  <c r="D47" i="34" s="1"/>
  <c r="AM45" i="33"/>
  <c r="D45" i="34" s="1"/>
  <c r="AM43" i="33"/>
  <c r="D43" i="34" s="1"/>
  <c r="AN41" i="33"/>
  <c r="AO39" i="33"/>
  <c r="AP37" i="33"/>
  <c r="AQ35" i="33"/>
  <c r="AR33" i="33"/>
  <c r="AS31" i="33"/>
  <c r="AT29" i="33"/>
  <c r="AL29" i="33"/>
  <c r="AM27" i="33"/>
  <c r="D27" i="34" s="1"/>
  <c r="AN25" i="33"/>
  <c r="AO23" i="33"/>
  <c r="AP21" i="33"/>
  <c r="AQ19" i="33"/>
  <c r="AR17" i="33"/>
  <c r="AS15" i="33"/>
  <c r="AP13" i="33"/>
  <c r="AT11" i="33"/>
  <c r="AL11" i="33"/>
  <c r="AP9" i="33"/>
  <c r="AT7" i="33"/>
  <c r="AL7" i="33"/>
  <c r="AO17" i="33"/>
  <c r="AT77" i="33"/>
  <c r="AT55" i="33"/>
  <c r="AL55" i="33"/>
  <c r="AT53" i="33"/>
  <c r="AL53" i="33"/>
  <c r="AT51" i="33"/>
  <c r="AL51" i="33"/>
  <c r="AT49" i="33"/>
  <c r="AL49" i="33"/>
  <c r="AT47" i="33"/>
  <c r="AL47" i="33"/>
  <c r="AT45" i="33"/>
  <c r="AL45" i="33"/>
  <c r="AT23" i="33"/>
  <c r="AR127" i="33"/>
  <c r="AS55" i="33"/>
  <c r="AS53" i="33"/>
  <c r="AS51" i="33"/>
  <c r="AS49" i="33"/>
  <c r="AS47" i="33"/>
  <c r="AS45" i="33"/>
  <c r="AS43" i="33"/>
  <c r="AT41" i="33"/>
  <c r="AL41" i="33"/>
  <c r="AM39" i="33"/>
  <c r="D39" i="34" s="1"/>
  <c r="AN37" i="33"/>
  <c r="AO35" i="33"/>
  <c r="AP33" i="33"/>
  <c r="AQ31" i="33"/>
  <c r="AR29" i="33"/>
  <c r="AS27" i="33"/>
  <c r="AT25" i="33"/>
  <c r="AL25" i="33"/>
  <c r="AM23" i="33"/>
  <c r="D23" i="34" s="1"/>
  <c r="AN21" i="33"/>
  <c r="AO19" i="33"/>
  <c r="AP17" i="33"/>
  <c r="AQ15" i="33"/>
  <c r="AR11" i="33"/>
  <c r="AR7" i="33"/>
  <c r="AM37" i="33"/>
  <c r="D37" i="34" s="1"/>
  <c r="AS25" i="33"/>
  <c r="AT333" i="33"/>
  <c r="AS309" i="33"/>
  <c r="AQ153" i="33"/>
  <c r="AL149" i="33"/>
  <c r="AQ337" i="33"/>
  <c r="AO333" i="33"/>
  <c r="AR329" i="33"/>
  <c r="AP295" i="33"/>
  <c r="AO153" i="33"/>
  <c r="AQ151" i="33"/>
  <c r="AN147" i="33"/>
  <c r="AT125" i="33"/>
  <c r="AQ335" i="33"/>
  <c r="AQ331" i="33"/>
  <c r="AT323" i="33"/>
  <c r="AO295" i="33"/>
  <c r="AR293" i="33"/>
  <c r="AQ251" i="33"/>
  <c r="AN243" i="33"/>
  <c r="AT183" i="33"/>
  <c r="AQ371" i="33"/>
  <c r="AL353" i="33"/>
  <c r="AR321" i="33"/>
  <c r="AL309" i="33"/>
  <c r="AQ293" i="33"/>
  <c r="AP251" i="33"/>
  <c r="AP245" i="33"/>
  <c r="AM243" i="33"/>
  <c r="D243" i="34" s="1"/>
  <c r="AS181" i="33"/>
  <c r="AT177" i="33"/>
  <c r="AL355" i="33"/>
  <c r="AL241" i="33"/>
  <c r="AP185" i="33"/>
  <c r="AL361" i="33"/>
  <c r="AM285" i="33"/>
  <c r="D283" i="34" s="1"/>
  <c r="AT149" i="33"/>
  <c r="AR101" i="33"/>
  <c r="AM89" i="33"/>
  <c r="D89" i="34" s="1"/>
  <c r="AR51" i="33"/>
  <c r="AN125" i="33"/>
  <c r="AL39" i="33"/>
  <c r="AN19" i="33"/>
  <c r="AM125" i="33"/>
  <c r="D125" i="34" s="1"/>
  <c r="AT117" i="33"/>
  <c r="AT27" i="33"/>
  <c r="AT13" i="33"/>
  <c r="AQ121" i="33"/>
  <c r="AP117" i="33"/>
  <c r="AQ109" i="33"/>
  <c r="AR55" i="33"/>
  <c r="AR49" i="33"/>
  <c r="AQ11" i="33"/>
  <c r="AN153" i="33"/>
  <c r="AR119" i="33"/>
  <c r="AL107" i="33"/>
  <c r="AQ89" i="33"/>
  <c r="AR79" i="33"/>
  <c r="AO75" i="33"/>
  <c r="AT43" i="33"/>
  <c r="AQ29" i="33"/>
  <c r="AT9" i="33"/>
  <c r="AL121" i="33"/>
  <c r="AN119" i="33"/>
  <c r="AO89" i="33"/>
  <c r="AS41" i="33"/>
  <c r="AM21" i="33"/>
  <c r="D21" i="34" s="1"/>
  <c r="AN131" i="33"/>
  <c r="AN35" i="33"/>
  <c r="AP337" i="33"/>
  <c r="AM287" i="33"/>
  <c r="D285" i="34" s="1"/>
  <c r="AT241" i="33"/>
  <c r="AM183" i="33"/>
  <c r="D183" i="34" s="1"/>
  <c r="AL75" i="33"/>
  <c r="AL357" i="33"/>
  <c r="AO337" i="33"/>
  <c r="AP293" i="33"/>
  <c r="AM141" i="33"/>
  <c r="D141" i="34" s="1"/>
  <c r="AL351" i="33"/>
  <c r="AN337" i="33"/>
  <c r="AP331" i="33"/>
  <c r="AN293" i="33"/>
  <c r="AR115" i="33"/>
  <c r="AO331" i="33"/>
  <c r="AO323" i="33"/>
  <c r="AO73" i="33"/>
  <c r="AR45" i="33"/>
  <c r="AR87" i="33"/>
  <c r="AN323" i="33"/>
  <c r="AM177" i="33"/>
  <c r="D177" i="34" s="1"/>
  <c r="AO81" i="33"/>
  <c r="AM323" i="33"/>
  <c r="D321" i="34" s="1"/>
  <c r="AP179" i="33"/>
  <c r="AL177" i="33"/>
  <c r="AM109" i="33"/>
  <c r="D109" i="34" s="1"/>
  <c r="AR27" i="33"/>
  <c r="AO179" i="33"/>
  <c r="AM13" i="33"/>
  <c r="D13" i="34" s="1"/>
  <c r="AL365" i="33"/>
  <c r="AN183" i="33"/>
  <c r="AP79" i="33"/>
  <c r="AN405" i="33"/>
  <c r="AN333" i="33"/>
  <c r="AL359" i="33"/>
  <c r="AM333" i="33"/>
  <c r="D331" i="34" s="1"/>
  <c r="AO405" i="33"/>
  <c r="AL333" i="33"/>
  <c r="AL83" i="33"/>
  <c r="AR241" i="33"/>
  <c r="AQ325" i="33"/>
  <c r="AT379" i="1"/>
  <c r="AS379" i="1"/>
  <c r="AR379" i="1"/>
  <c r="AQ379" i="1"/>
  <c r="AP379" i="1"/>
  <c r="AO379" i="1"/>
  <c r="AL379" i="1"/>
  <c r="AN379" i="1"/>
  <c r="AM379" i="1"/>
  <c r="AT381" i="1"/>
  <c r="AL381" i="1"/>
  <c r="AN381" i="1"/>
  <c r="AS381" i="1"/>
  <c r="AM381" i="1"/>
  <c r="AR381" i="1"/>
  <c r="AQ381" i="1"/>
  <c r="AP381" i="1"/>
  <c r="AO381" i="1"/>
  <c r="AT383" i="1"/>
  <c r="AL383" i="1"/>
  <c r="AS383" i="1"/>
  <c r="AR383" i="1"/>
  <c r="AQ383" i="1"/>
  <c r="AP383" i="1"/>
  <c r="AO383" i="1"/>
  <c r="AN383" i="1"/>
  <c r="AM383" i="1"/>
  <c r="AT385" i="1"/>
  <c r="AL385" i="1"/>
  <c r="AS385" i="1"/>
  <c r="AR385" i="1"/>
  <c r="AQ385" i="1"/>
  <c r="AO385" i="1"/>
  <c r="AP385" i="1"/>
  <c r="AN385" i="1"/>
  <c r="AM385" i="1"/>
  <c r="AT387" i="1"/>
  <c r="AL387" i="1"/>
  <c r="AS387" i="1"/>
  <c r="AR387" i="1"/>
  <c r="AQ387" i="1"/>
  <c r="AO387" i="1"/>
  <c r="AP387" i="1"/>
  <c r="AN387" i="1"/>
  <c r="AM387" i="1"/>
  <c r="AT389" i="1"/>
  <c r="AL389" i="1"/>
  <c r="AS389" i="1"/>
  <c r="AR389" i="1"/>
  <c r="AO389" i="1"/>
  <c r="AQ389" i="1"/>
  <c r="AP389" i="1"/>
  <c r="AN389" i="1"/>
  <c r="AM389" i="1"/>
  <c r="AS391" i="1"/>
  <c r="AR391" i="1"/>
  <c r="AQ391" i="1"/>
  <c r="AT391" i="1"/>
  <c r="AP391" i="1"/>
  <c r="AO391" i="1"/>
  <c r="AN391" i="1"/>
  <c r="AM391" i="1"/>
  <c r="AL391" i="1"/>
  <c r="AT393" i="1"/>
  <c r="AS393" i="1"/>
  <c r="AR393" i="1"/>
  <c r="AQ393" i="1"/>
  <c r="AP393" i="1"/>
  <c r="AO393" i="1"/>
  <c r="AN393" i="1"/>
  <c r="AM393" i="1"/>
  <c r="AL393" i="1"/>
  <c r="D3" i="32" l="1"/>
  <c r="D403" i="34"/>
  <c r="D273" i="32"/>
  <c r="D231" i="30" l="1"/>
  <c r="D229" i="30"/>
  <c r="D235" i="30"/>
  <c r="D233" i="30"/>
  <c r="AP493" i="1" l="1"/>
  <c r="AL493" i="1"/>
  <c r="AO493" i="1"/>
  <c r="AN493" i="1"/>
  <c r="AM493" i="1"/>
  <c r="AT493" i="1"/>
  <c r="AS493" i="1"/>
  <c r="AR493" i="1"/>
  <c r="AT495" i="1"/>
  <c r="AL495" i="1"/>
  <c r="AS495" i="1"/>
  <c r="AQ495" i="1"/>
  <c r="AP495" i="1"/>
  <c r="AO495" i="1"/>
  <c r="AN495" i="1"/>
  <c r="AM495" i="1"/>
  <c r="AT23" i="23"/>
  <c r="AL23" i="23"/>
  <c r="AR23" i="23"/>
  <c r="AQ23" i="23"/>
  <c r="AP23" i="23"/>
  <c r="AM23" i="23"/>
  <c r="AO23" i="23"/>
  <c r="AN23" i="23"/>
  <c r="AS23" i="23"/>
  <c r="AS7" i="25"/>
  <c r="AR7" i="25"/>
  <c r="AQ7" i="25"/>
  <c r="AP7" i="25"/>
  <c r="AO7" i="25"/>
  <c r="AN7" i="25"/>
  <c r="AM7" i="25"/>
  <c r="AT7" i="25"/>
  <c r="AM679" i="1" l="1"/>
  <c r="AR679" i="1"/>
  <c r="AT679" i="1"/>
  <c r="AL679" i="1"/>
  <c r="AS679" i="1"/>
  <c r="AP679" i="1"/>
  <c r="AO679" i="1"/>
  <c r="AS739" i="1"/>
  <c r="AO739" i="1"/>
  <c r="AM739" i="1" l="1"/>
  <c r="AL739" i="1"/>
  <c r="AR739" i="1"/>
  <c r="AT739" i="1"/>
  <c r="AQ739" i="1"/>
  <c r="AP739" i="1"/>
  <c r="AS169" i="23" l="1"/>
  <c r="AL169" i="23"/>
  <c r="AQ169" i="23"/>
  <c r="AR169" i="23"/>
  <c r="AT185" i="23"/>
  <c r="AS185" i="23"/>
  <c r="AR185" i="23"/>
  <c r="AO185" i="23"/>
  <c r="AL185" i="23"/>
  <c r="AM185" i="23"/>
  <c r="D185" i="24" s="1"/>
  <c r="AQ185" i="23" l="1"/>
  <c r="AS123" i="25"/>
  <c r="AR123" i="25"/>
  <c r="AP123" i="25"/>
  <c r="AO123" i="25"/>
  <c r="AM123" i="25"/>
  <c r="D123" i="26" s="1"/>
  <c r="AT123" i="25"/>
  <c r="G18" i="26" l="1"/>
  <c r="H18" i="26"/>
  <c r="AR143" i="1" l="1"/>
  <c r="AQ143" i="1"/>
  <c r="AN145" i="1"/>
  <c r="AO145" i="1"/>
  <c r="AM145" i="1"/>
  <c r="AT145" i="1"/>
  <c r="AL145" i="1"/>
  <c r="AS145" i="1"/>
  <c r="AP145" i="1"/>
  <c r="AR145" i="1"/>
  <c r="AQ145" i="1"/>
  <c r="AM147" i="1"/>
  <c r="AT147" i="1"/>
  <c r="AQ147" i="1"/>
  <c r="AN147" i="1" l="1"/>
  <c r="AS147" i="1"/>
  <c r="AS105" i="29"/>
  <c r="AR105" i="29"/>
  <c r="AQ105" i="29"/>
  <c r="AN105" i="29"/>
  <c r="AM105" i="29"/>
  <c r="D105" i="30" s="1"/>
  <c r="AL105" i="29"/>
  <c r="AP105" i="29"/>
  <c r="AO105" i="29"/>
  <c r="AT105" i="29"/>
  <c r="AT37" i="31"/>
  <c r="AL37" i="31"/>
  <c r="AS37" i="31"/>
  <c r="AR37" i="31"/>
  <c r="AQ37" i="31"/>
  <c r="AP37" i="31"/>
  <c r="AO37" i="31"/>
  <c r="AN37" i="31"/>
  <c r="AM37" i="31"/>
  <c r="AM149" i="1"/>
  <c r="AT149" i="1"/>
  <c r="AL149" i="1"/>
  <c r="AS149" i="1"/>
  <c r="AP149" i="1"/>
  <c r="AR149" i="1"/>
  <c r="AQ149" i="1"/>
  <c r="AO149" i="1"/>
  <c r="AN149" i="1"/>
  <c r="AT195" i="1"/>
  <c r="AL195" i="1"/>
  <c r="AP195" i="1"/>
  <c r="AS195" i="1"/>
  <c r="AR195" i="1"/>
  <c r="AQ195" i="1"/>
  <c r="AO195" i="1"/>
  <c r="D37" i="32" l="1"/>
  <c r="AS107" i="29"/>
  <c r="AR107" i="29"/>
  <c r="AQ107" i="29"/>
  <c r="AO107" i="29"/>
  <c r="AN107" i="29"/>
  <c r="AL107" i="29"/>
  <c r="AP107" i="29"/>
  <c r="AM107" i="29"/>
  <c r="D107" i="30" s="1"/>
  <c r="AT107" i="29"/>
  <c r="AT71" i="33"/>
  <c r="AL71" i="33"/>
  <c r="AR71" i="33"/>
  <c r="AQ71" i="33"/>
  <c r="AS71" i="33"/>
  <c r="AP71" i="33"/>
  <c r="AO71" i="33"/>
  <c r="AN71" i="33"/>
  <c r="AM71" i="33"/>
  <c r="D71" i="34" s="1"/>
  <c r="AQ123" i="25"/>
  <c r="AT113" i="25"/>
  <c r="AL123" i="25"/>
  <c r="AL7" i="25"/>
  <c r="AN199" i="1"/>
  <c r="AT199" i="1"/>
  <c r="AL199" i="1"/>
  <c r="AS199" i="1"/>
  <c r="AR199" i="1"/>
  <c r="AQ199" i="1"/>
  <c r="AQ197" i="1"/>
  <c r="AP143" i="1"/>
  <c r="AP197" i="1"/>
  <c r="AN195" i="1"/>
  <c r="AO197" i="1"/>
  <c r="AM195" i="1"/>
  <c r="AN143" i="1"/>
  <c r="AO199" i="1"/>
  <c r="AM197" i="1"/>
  <c r="AP199" i="1"/>
  <c r="AN197" i="1"/>
  <c r="AP147" i="1"/>
  <c r="AM143" i="1"/>
  <c r="AO147" i="1"/>
  <c r="AM199" i="1"/>
  <c r="AT197" i="1"/>
  <c r="AL197" i="1"/>
  <c r="AL147" i="1"/>
  <c r="AS197" i="1"/>
  <c r="AQ679" i="1"/>
  <c r="AN679" i="1"/>
  <c r="AQ493" i="1"/>
  <c r="AO227" i="1"/>
  <c r="AN227" i="1"/>
  <c r="AM227" i="1"/>
  <c r="AL227" i="1"/>
  <c r="AT227" i="1"/>
  <c r="AS227" i="1"/>
  <c r="AR227" i="1"/>
  <c r="AQ227" i="1"/>
  <c r="AP331" i="1"/>
  <c r="AO331" i="1"/>
  <c r="AN331" i="1"/>
  <c r="AM331" i="1"/>
  <c r="AT331" i="1"/>
  <c r="AL331" i="1"/>
  <c r="AS331" i="1"/>
  <c r="AR331" i="1"/>
  <c r="AP333" i="1"/>
  <c r="AO333" i="1"/>
  <c r="AN333" i="1"/>
  <c r="AM333" i="1"/>
  <c r="AT333" i="1"/>
  <c r="AL333" i="1"/>
  <c r="AS333" i="1"/>
  <c r="AR333" i="1"/>
  <c r="AO335" i="1"/>
  <c r="AN335" i="1"/>
  <c r="AM335" i="1"/>
  <c r="AS335" i="1"/>
  <c r="AT335" i="1"/>
  <c r="AL335" i="1"/>
  <c r="AR335" i="1"/>
  <c r="AQ335" i="1"/>
  <c r="AM337" i="1"/>
  <c r="AS337" i="1"/>
  <c r="AT337" i="1"/>
  <c r="AL337" i="1"/>
  <c r="AR337" i="1"/>
  <c r="AQ337" i="1"/>
  <c r="AQ331" i="1" l="1"/>
  <c r="AQ333" i="1"/>
  <c r="AP335" i="1"/>
  <c r="AN337" i="1" l="1"/>
  <c r="AQ17" i="23"/>
  <c r="AP17" i="23"/>
  <c r="AO17" i="23"/>
  <c r="AL17" i="23"/>
  <c r="AS17" i="23"/>
  <c r="AN17" i="23"/>
  <c r="AM17" i="23"/>
  <c r="D17" i="24" s="1"/>
  <c r="AT17" i="23"/>
  <c r="AR17" i="23"/>
  <c r="AP15" i="27"/>
  <c r="AQ15" i="27"/>
  <c r="AR15" i="27"/>
  <c r="AL15" i="27"/>
  <c r="AT15" i="27"/>
  <c r="AS15" i="27"/>
  <c r="AM15" i="27"/>
  <c r="AN15" i="27"/>
  <c r="D15" i="28"/>
  <c r="AS17" i="27"/>
  <c r="AR17" i="27"/>
  <c r="AQ17" i="27"/>
  <c r="AO17" i="27"/>
  <c r="AN17" i="27"/>
  <c r="AM409" i="1" l="1"/>
  <c r="AL409" i="1"/>
  <c r="AT409" i="1"/>
  <c r="AS409" i="1"/>
  <c r="AP409" i="1"/>
  <c r="AS411" i="1"/>
  <c r="AR411" i="1"/>
  <c r="AQ411" i="1"/>
  <c r="AP411" i="1"/>
  <c r="AO411" i="1"/>
  <c r="AN411" i="1"/>
  <c r="AR415" i="1"/>
  <c r="AM413" i="1"/>
  <c r="AO415" i="1"/>
  <c r="AL415" i="1"/>
  <c r="AS415" i="1"/>
  <c r="AQ415" i="1"/>
  <c r="AT413" i="1"/>
  <c r="AL413" i="1"/>
  <c r="AP415" i="1"/>
  <c r="AS413" i="1"/>
  <c r="AR413" i="1"/>
  <c r="AT415" i="1"/>
  <c r="AN415" i="1"/>
  <c r="AQ413" i="1"/>
  <c r="AM415" i="1"/>
  <c r="AT419" i="1" l="1"/>
  <c r="AS419" i="1"/>
  <c r="AN417" i="1"/>
  <c r="AM417" i="1"/>
  <c r="AR419" i="1"/>
  <c r="AQ419" i="1"/>
  <c r="AT417" i="1"/>
  <c r="AL417" i="1"/>
  <c r="AR417" i="1"/>
  <c r="AP419" i="1"/>
  <c r="AS417" i="1"/>
  <c r="AN419" i="1"/>
  <c r="AQ417" i="1"/>
  <c r="AM419" i="1"/>
  <c r="AP417" i="1"/>
  <c r="AT423" i="1"/>
  <c r="AL423" i="1"/>
  <c r="AP421" i="1"/>
  <c r="AS423" i="1"/>
  <c r="AO421" i="1"/>
  <c r="AR423" i="1"/>
  <c r="AN421" i="1"/>
  <c r="AM421" i="1"/>
  <c r="AQ423" i="1"/>
  <c r="AP423" i="1"/>
  <c r="AT421" i="1"/>
  <c r="AL421" i="1"/>
  <c r="AR421" i="1"/>
  <c r="AO423" i="1"/>
  <c r="AS421" i="1"/>
  <c r="AN423" i="1"/>
  <c r="AQ421" i="1"/>
  <c r="AR427" i="1"/>
  <c r="AM425" i="1"/>
  <c r="AQ427" i="1"/>
  <c r="AP427" i="1"/>
  <c r="AS425" i="1"/>
  <c r="AS427" i="1"/>
  <c r="AO427" i="1"/>
  <c r="AR425" i="1"/>
  <c r="AM427" i="1"/>
  <c r="AT427" i="1"/>
  <c r="AN427" i="1"/>
  <c r="AQ425" i="1"/>
  <c r="AL427" i="1"/>
  <c r="AT431" i="1"/>
  <c r="AL431" i="1"/>
  <c r="AO429" i="1"/>
  <c r="AS431" i="1"/>
  <c r="AN429" i="1"/>
  <c r="AM429" i="1"/>
  <c r="AR431" i="1"/>
  <c r="AQ431" i="1"/>
  <c r="AT429" i="1"/>
  <c r="AL429" i="1"/>
  <c r="AR429" i="1"/>
  <c r="AP431" i="1"/>
  <c r="AS429" i="1"/>
  <c r="AO431" i="1"/>
  <c r="AN431" i="1"/>
  <c r="AQ429" i="1"/>
  <c r="AM431" i="1"/>
  <c r="AT477" i="1"/>
  <c r="AL477" i="1"/>
  <c r="AS477" i="1"/>
  <c r="AR477" i="1"/>
  <c r="AQ477" i="1"/>
  <c r="AP477" i="1"/>
  <c r="AO477" i="1"/>
  <c r="AN477" i="1"/>
  <c r="AT89" i="23" l="1"/>
  <c r="AL89" i="23"/>
  <c r="AR85" i="23"/>
  <c r="AM83" i="23"/>
  <c r="D83" i="24" s="1"/>
  <c r="AP81" i="23"/>
  <c r="AS79" i="23"/>
  <c r="AR75" i="23"/>
  <c r="AR71" i="23"/>
  <c r="AR67" i="23"/>
  <c r="AS85" i="23"/>
  <c r="AS89" i="23"/>
  <c r="AN87" i="23"/>
  <c r="AQ85" i="23"/>
  <c r="AT83" i="23"/>
  <c r="AL83" i="23"/>
  <c r="AO81" i="23"/>
  <c r="AR79" i="23"/>
  <c r="AM77" i="23"/>
  <c r="D77" i="24" s="1"/>
  <c r="AQ75" i="23"/>
  <c r="AM73" i="23"/>
  <c r="D73" i="24" s="1"/>
  <c r="AQ71" i="23"/>
  <c r="AM69" i="23"/>
  <c r="D69" i="24" s="1"/>
  <c r="AQ67" i="23"/>
  <c r="AN81" i="23"/>
  <c r="AR89" i="23"/>
  <c r="AM87" i="23"/>
  <c r="D87" i="24" s="1"/>
  <c r="AP85" i="23"/>
  <c r="AS83" i="23"/>
  <c r="AQ89" i="23"/>
  <c r="AT87" i="23"/>
  <c r="AL87" i="23"/>
  <c r="AO85" i="23"/>
  <c r="AR83" i="23"/>
  <c r="AM81" i="23"/>
  <c r="D81" i="24" s="1"/>
  <c r="AP79" i="23"/>
  <c r="AS77" i="23"/>
  <c r="AO75" i="23"/>
  <c r="AO71" i="23"/>
  <c r="AP89" i="23"/>
  <c r="AS87" i="23"/>
  <c r="AN85" i="23"/>
  <c r="AQ83" i="23"/>
  <c r="AT81" i="23"/>
  <c r="AL81" i="23"/>
  <c r="AO79" i="23"/>
  <c r="AR77" i="23"/>
  <c r="AN75" i="23"/>
  <c r="AR73" i="23"/>
  <c r="AN71" i="23"/>
  <c r="AR69" i="23"/>
  <c r="AN67" i="23"/>
  <c r="AL85" i="23"/>
  <c r="AR81" i="23"/>
  <c r="AO89" i="23"/>
  <c r="AR87" i="23"/>
  <c r="AM85" i="23"/>
  <c r="D85" i="24" s="1"/>
  <c r="AP83" i="23"/>
  <c r="AS81" i="23"/>
  <c r="AN79" i="23"/>
  <c r="AQ77" i="23"/>
  <c r="AM75" i="23"/>
  <c r="D75" i="24" s="1"/>
  <c r="AQ73" i="23"/>
  <c r="AM71" i="23"/>
  <c r="D71" i="24" s="1"/>
  <c r="AQ69" i="23"/>
  <c r="AM67" i="23"/>
  <c r="D67" i="24" s="1"/>
  <c r="AT85" i="23"/>
  <c r="AT53" i="25"/>
  <c r="AL53" i="25"/>
  <c r="AO51" i="25"/>
  <c r="AR49" i="25"/>
  <c r="AN47" i="25"/>
  <c r="AR45" i="25"/>
  <c r="AN43" i="25"/>
  <c r="AR41" i="25"/>
  <c r="AN39" i="25"/>
  <c r="AS53" i="25"/>
  <c r="AQ49" i="25"/>
  <c r="AQ45" i="25"/>
  <c r="AQ41" i="25"/>
  <c r="AR53" i="25"/>
  <c r="AQ53" i="25"/>
  <c r="AT51" i="25"/>
  <c r="AL51" i="25"/>
  <c r="AO49" i="25"/>
  <c r="AO45" i="25"/>
  <c r="AO41" i="25"/>
  <c r="AP53" i="25"/>
  <c r="AS51" i="25"/>
  <c r="AN49" i="25"/>
  <c r="AR47" i="25"/>
  <c r="AN45" i="25"/>
  <c r="AR43" i="25"/>
  <c r="AN41" i="25"/>
  <c r="AR39" i="25"/>
  <c r="AS45" i="25"/>
  <c r="AO53" i="25"/>
  <c r="AR51" i="25"/>
  <c r="AM49" i="25"/>
  <c r="AQ47" i="25"/>
  <c r="AM45" i="25"/>
  <c r="AQ43" i="25"/>
  <c r="AM41" i="25"/>
  <c r="AQ39" i="25"/>
  <c r="AM53" i="25"/>
  <c r="AS49" i="25"/>
  <c r="AN53" i="25"/>
  <c r="AQ51" i="25"/>
  <c r="AT49" i="25"/>
  <c r="AL49" i="25"/>
  <c r="AP47" i="25"/>
  <c r="AT45" i="25"/>
  <c r="AL45" i="25"/>
  <c r="AP43" i="25"/>
  <c r="AT41" i="25"/>
  <c r="AL41" i="25"/>
  <c r="AS41" i="25"/>
  <c r="AT37" i="27"/>
  <c r="AO35" i="27"/>
  <c r="AR33" i="27"/>
  <c r="AM31" i="27"/>
  <c r="AS37" i="27"/>
  <c r="AN35" i="27"/>
  <c r="AQ33" i="27"/>
  <c r="AT31" i="27"/>
  <c r="AL31" i="27"/>
  <c r="AR37" i="27"/>
  <c r="AM35" i="27"/>
  <c r="AP33" i="27"/>
  <c r="AS31" i="27"/>
  <c r="AR35" i="27"/>
  <c r="AQ37" i="27"/>
  <c r="AT35" i="27"/>
  <c r="AL35" i="27"/>
  <c r="AO33" i="27"/>
  <c r="AR31" i="27"/>
  <c r="AS35" i="27"/>
  <c r="AN33" i="27"/>
  <c r="AQ31" i="27"/>
  <c r="AM37" i="27"/>
  <c r="AP35" i="27"/>
  <c r="AS33" i="27"/>
  <c r="AN31" i="27"/>
  <c r="AO83" i="23"/>
  <c r="AO77" i="23"/>
  <c r="AN73" i="23"/>
  <c r="AN69" i="23"/>
  <c r="AP73" i="23"/>
  <c r="AP69" i="23"/>
  <c r="AN83" i="23"/>
  <c r="AN77" i="23"/>
  <c r="AT75" i="23"/>
  <c r="AL73" i="23"/>
  <c r="AT71" i="23"/>
  <c r="AL69" i="23"/>
  <c r="AT67" i="23"/>
  <c r="AT73" i="23"/>
  <c r="AL77" i="23"/>
  <c r="AS75" i="23"/>
  <c r="AS71" i="23"/>
  <c r="AS67" i="23"/>
  <c r="AP67" i="23"/>
  <c r="AT79" i="23"/>
  <c r="AP75" i="23"/>
  <c r="AP71" i="23"/>
  <c r="AT69" i="23"/>
  <c r="AO73" i="23"/>
  <c r="AN89" i="23"/>
  <c r="AQ87" i="23"/>
  <c r="AQ79" i="23"/>
  <c r="AS73" i="23"/>
  <c r="AS69" i="23"/>
  <c r="AL67" i="23"/>
  <c r="AM89" i="23"/>
  <c r="D89" i="24"/>
  <c r="AT77" i="23"/>
  <c r="AP77" i="23"/>
  <c r="AO69" i="23"/>
  <c r="AS117" i="23"/>
  <c r="AR117" i="23"/>
  <c r="AO117" i="23"/>
  <c r="AS115" i="23"/>
  <c r="AM117" i="23"/>
  <c r="AQ115" i="23"/>
  <c r="AR73" i="25"/>
  <c r="AM513" i="1"/>
  <c r="AT513" i="1"/>
  <c r="AL513" i="1"/>
  <c r="AS513" i="1"/>
  <c r="AQ513" i="1"/>
  <c r="AO513" i="1"/>
  <c r="AP513" i="1"/>
  <c r="H18" i="24" l="1"/>
  <c r="G18" i="24"/>
  <c r="AN513" i="1"/>
  <c r="AR513" i="1"/>
  <c r="AS595" i="1"/>
  <c r="AR595" i="1"/>
  <c r="AP595" i="1"/>
  <c r="AO595" i="1"/>
  <c r="AT595" i="1" l="1"/>
  <c r="AN595" i="1"/>
  <c r="AL595" i="1"/>
  <c r="AM595" i="1"/>
  <c r="AQ595" i="1"/>
  <c r="AR597" i="1" l="1"/>
  <c r="AQ597" i="1"/>
  <c r="AM597" i="1"/>
  <c r="AN597" i="1"/>
  <c r="AR287" i="29" l="1"/>
  <c r="AO287" i="29"/>
  <c r="AP287" i="29"/>
  <c r="AN287" i="29"/>
  <c r="AT175" i="33"/>
  <c r="AL175" i="33"/>
  <c r="AS175" i="33"/>
  <c r="AO175" i="33"/>
  <c r="AP175" i="33"/>
  <c r="AM175" i="33"/>
  <c r="D175" i="34" s="1"/>
  <c r="AT637" i="1"/>
  <c r="AL637" i="1"/>
  <c r="AS637" i="1"/>
  <c r="AQ637" i="1"/>
  <c r="AM637" i="1"/>
  <c r="AR637" i="1"/>
  <c r="AN637" i="1"/>
  <c r="AO639" i="1"/>
  <c r="AN639" i="1"/>
  <c r="AR639" i="1"/>
  <c r="AM639" i="1"/>
  <c r="AT639" i="1"/>
  <c r="AL639" i="1"/>
  <c r="AS639" i="1"/>
  <c r="AQ639" i="1"/>
  <c r="AP639" i="1"/>
  <c r="AM641" i="1"/>
  <c r="AT641" i="1"/>
  <c r="AL641" i="1"/>
  <c r="AS641" i="1"/>
  <c r="AR641" i="1"/>
  <c r="AQ641" i="1"/>
  <c r="AP641" i="1"/>
  <c r="AO641" i="1"/>
  <c r="AN641" i="1" l="1"/>
  <c r="AM653" i="1"/>
  <c r="AT653" i="1"/>
  <c r="AL653" i="1"/>
  <c r="AR653" i="1"/>
  <c r="AN653" i="1" l="1"/>
  <c r="AQ653" i="1"/>
  <c r="AS653" i="1"/>
  <c r="AQ655" i="1"/>
  <c r="AP655" i="1"/>
  <c r="AO655" i="1"/>
  <c r="AN655" i="1"/>
  <c r="AM655" i="1"/>
  <c r="AT655" i="1"/>
  <c r="AL655" i="1"/>
  <c r="AS655" i="1"/>
  <c r="AR655" i="1"/>
  <c r="AS659" i="1" l="1"/>
  <c r="AR659" i="1"/>
  <c r="AQ659" i="1"/>
  <c r="AN659" i="1"/>
  <c r="AT659" i="1"/>
  <c r="AM659" i="1"/>
  <c r="AL659" i="1"/>
  <c r="AS349" i="29" l="1"/>
  <c r="AT347" i="29"/>
  <c r="AL347" i="29"/>
  <c r="AR345" i="29"/>
  <c r="AR349" i="29"/>
  <c r="AS347" i="29"/>
  <c r="AQ345" i="29"/>
  <c r="AP345" i="29"/>
  <c r="AP349" i="29"/>
  <c r="AQ347" i="29"/>
  <c r="AO345" i="29"/>
  <c r="AO349" i="29"/>
  <c r="AP347" i="29"/>
  <c r="AN345" i="29"/>
  <c r="AS345" i="29"/>
  <c r="AO347" i="29"/>
  <c r="AM345" i="29"/>
  <c r="D345" i="30" s="1"/>
  <c r="AM349" i="29"/>
  <c r="D349" i="30" s="1"/>
  <c r="AN347" i="29"/>
  <c r="AT345" i="29"/>
  <c r="AL345" i="29"/>
  <c r="AL349" i="29"/>
  <c r="AO139" i="31"/>
  <c r="AN139" i="31"/>
  <c r="AM139" i="31"/>
  <c r="D139" i="32" s="1"/>
  <c r="AS137" i="31"/>
  <c r="AT139" i="31"/>
  <c r="AL139" i="31"/>
  <c r="AR137" i="31"/>
  <c r="AS139" i="31"/>
  <c r="AQ137" i="31"/>
  <c r="AQ139" i="31"/>
  <c r="AO137" i="31"/>
  <c r="AP139" i="31"/>
  <c r="AN137" i="31"/>
  <c r="D375" i="30"/>
  <c r="D377" i="30"/>
  <c r="AM371" i="29"/>
  <c r="D371" i="30" s="1"/>
  <c r="AN371" i="29"/>
  <c r="AO371" i="29"/>
  <c r="AQ371" i="29"/>
  <c r="AR371" i="29"/>
  <c r="AT367" i="29"/>
  <c r="AL367" i="29"/>
  <c r="AN365" i="29"/>
  <c r="AS363" i="29"/>
  <c r="AP361" i="29"/>
  <c r="AR359" i="29"/>
  <c r="AS367" i="29"/>
  <c r="AM365" i="29"/>
  <c r="D365" i="30" s="1"/>
  <c r="AR363" i="29"/>
  <c r="AO361" i="29"/>
  <c r="AQ359" i="29"/>
  <c r="AR367" i="29"/>
  <c r="AT365" i="29"/>
  <c r="AL365" i="29"/>
  <c r="AQ363" i="29"/>
  <c r="AN361" i="29"/>
  <c r="AP359" i="29"/>
  <c r="AQ365" i="29"/>
  <c r="AS361" i="29"/>
  <c r="AM359" i="29"/>
  <c r="D359" i="30" s="1"/>
  <c r="AQ367" i="29"/>
  <c r="AS365" i="29"/>
  <c r="AP363" i="29"/>
  <c r="AM361" i="29"/>
  <c r="D361" i="30" s="1"/>
  <c r="AO359" i="29"/>
  <c r="AP367" i="29"/>
  <c r="AR365" i="29"/>
  <c r="AO363" i="29"/>
  <c r="AT361" i="29"/>
  <c r="AL361" i="29"/>
  <c r="AN359" i="29"/>
  <c r="AN367" i="29"/>
  <c r="AP365" i="29"/>
  <c r="AM363" i="29"/>
  <c r="D363" i="30" s="1"/>
  <c r="AR361" i="29"/>
  <c r="AO365" i="29"/>
  <c r="AQ361" i="29"/>
  <c r="AS359" i="29"/>
  <c r="AT229" i="33"/>
  <c r="AL229" i="33"/>
  <c r="AN227" i="33"/>
  <c r="AS225" i="33"/>
  <c r="AP223" i="33"/>
  <c r="AR221" i="33"/>
  <c r="AS221" i="33"/>
  <c r="AS229" i="33"/>
  <c r="AM227" i="33"/>
  <c r="D227" i="34" s="1"/>
  <c r="AR225" i="33"/>
  <c r="AO223" i="33"/>
  <c r="AQ221" i="33"/>
  <c r="AR229" i="33"/>
  <c r="AQ225" i="33"/>
  <c r="AN223" i="33"/>
  <c r="AP221" i="33"/>
  <c r="AQ229" i="33"/>
  <c r="AS227" i="33"/>
  <c r="AP225" i="33"/>
  <c r="AM223" i="33"/>
  <c r="D223" i="34" s="1"/>
  <c r="AO221" i="33"/>
  <c r="AP229" i="33"/>
  <c r="AO225" i="33"/>
  <c r="AT223" i="33"/>
  <c r="AL223" i="33"/>
  <c r="AN221" i="33"/>
  <c r="AQ223" i="33"/>
  <c r="AO229" i="33"/>
  <c r="AQ227" i="33"/>
  <c r="AN225" i="33"/>
  <c r="AS223" i="33"/>
  <c r="AM221" i="33"/>
  <c r="D221" i="34" s="1"/>
  <c r="AN229" i="33"/>
  <c r="AP227" i="33"/>
  <c r="AM225" i="33"/>
  <c r="D225" i="34" s="1"/>
  <c r="AR223" i="33"/>
  <c r="AO741" i="1"/>
  <c r="AN741" i="1"/>
  <c r="AM741" i="1"/>
  <c r="AT741" i="1"/>
  <c r="AL741" i="1"/>
  <c r="AR741" i="1"/>
  <c r="AQ741" i="1"/>
  <c r="AS741" i="1"/>
  <c r="AP741" i="1"/>
  <c r="AR743" i="1"/>
  <c r="AQ743" i="1"/>
  <c r="AP743" i="1"/>
  <c r="AO743" i="1"/>
  <c r="AN743" i="1"/>
  <c r="AM743" i="1"/>
  <c r="AT743" i="1"/>
  <c r="AL743" i="1"/>
  <c r="AS743" i="1"/>
  <c r="AT745" i="1" l="1"/>
  <c r="AL745" i="1"/>
  <c r="AS745" i="1"/>
  <c r="AR745" i="1"/>
  <c r="AP745" i="1"/>
  <c r="AM745" i="1" l="1"/>
  <c r="AQ745" i="1"/>
  <c r="AO745" i="1"/>
  <c r="AN745" i="1"/>
  <c r="AS125" i="23" l="1"/>
  <c r="AT47" i="27"/>
  <c r="AS47" i="27"/>
  <c r="AR47" i="27"/>
  <c r="AP47" i="27"/>
  <c r="AL45" i="27"/>
  <c r="AO47" i="27"/>
  <c r="AT45" i="27"/>
  <c r="AS45" i="27"/>
  <c r="AM47" i="27"/>
  <c r="AQ45" i="27"/>
  <c r="AL47" i="27"/>
  <c r="AM769" i="1"/>
  <c r="AS769" i="1"/>
  <c r="AR769" i="1"/>
  <c r="AQ769" i="1"/>
  <c r="AL769" i="1" l="1"/>
  <c r="AT769" i="1"/>
  <c r="AN769" i="1"/>
  <c r="AO771" i="1"/>
  <c r="AN771" i="1"/>
  <c r="AM771" i="1"/>
  <c r="AT771" i="1"/>
  <c r="AL771" i="1"/>
  <c r="AS771" i="1"/>
  <c r="AR771" i="1"/>
  <c r="AQ771" i="1"/>
  <c r="AO773" i="1"/>
  <c r="AM773" i="1"/>
  <c r="AN773" i="1"/>
  <c r="AT773" i="1"/>
  <c r="AL773" i="1"/>
  <c r="AS773" i="1"/>
  <c r="AR773" i="1"/>
  <c r="AQ773" i="1"/>
  <c r="AS321" i="29" l="1"/>
  <c r="AP319" i="29"/>
  <c r="AM317" i="29"/>
  <c r="D317" i="30" s="1"/>
  <c r="AS315" i="29"/>
  <c r="AR321" i="29"/>
  <c r="AO319" i="29"/>
  <c r="AT317" i="29"/>
  <c r="AL317" i="29"/>
  <c r="AR315" i="29"/>
  <c r="AQ321" i="29"/>
  <c r="AN319" i="29"/>
  <c r="AS317" i="29"/>
  <c r="AQ315" i="29"/>
  <c r="AM319" i="29"/>
  <c r="D319" i="30" s="1"/>
  <c r="AO321" i="29"/>
  <c r="AT319" i="29"/>
  <c r="AL319" i="29"/>
  <c r="AQ317" i="29"/>
  <c r="AO315" i="29"/>
  <c r="AN321" i="29"/>
  <c r="AS319" i="29"/>
  <c r="AP317" i="29"/>
  <c r="AN315" i="29"/>
  <c r="AM321" i="29"/>
  <c r="D321" i="30" s="1"/>
  <c r="AR319" i="29"/>
  <c r="AO317" i="29"/>
  <c r="AM315" i="29"/>
  <c r="D315" i="30" s="1"/>
  <c r="AT121" i="31"/>
  <c r="AL121" i="31"/>
  <c r="AQ119" i="31"/>
  <c r="AS121" i="31"/>
  <c r="AP119" i="31"/>
  <c r="AR121" i="31"/>
  <c r="AO119" i="31"/>
  <c r="AR115" i="31"/>
  <c r="AN119" i="31"/>
  <c r="AP115" i="31"/>
  <c r="AT119" i="31"/>
  <c r="AQ117" i="31"/>
  <c r="AL115" i="31"/>
  <c r="AS115" i="31"/>
  <c r="AP121" i="31"/>
  <c r="AM119" i="31"/>
  <c r="D119" i="32" s="1"/>
  <c r="AR117" i="31"/>
  <c r="AO121" i="31"/>
  <c r="AL119" i="31"/>
  <c r="AO115" i="31"/>
  <c r="AS119" i="31"/>
  <c r="AM121" i="31"/>
  <c r="D121" i="32" s="1"/>
  <c r="AR119" i="31"/>
  <c r="AO117" i="31"/>
  <c r="AM115" i="31"/>
  <c r="D115" i="32" s="1"/>
  <c r="AT115" i="31"/>
  <c r="AT221" i="33"/>
  <c r="AM229" i="33"/>
  <c r="D229" i="34" s="1"/>
  <c r="AT211" i="33"/>
  <c r="AT227" i="33"/>
  <c r="AT225" i="33"/>
  <c r="AS371" i="29"/>
  <c r="AS373" i="29"/>
  <c r="AR347" i="29"/>
  <c r="AT321" i="29"/>
  <c r="AP321" i="29"/>
  <c r="AN317" i="29"/>
  <c r="AO367" i="29"/>
  <c r="AT371" i="29"/>
  <c r="AL373" i="29"/>
  <c r="AT373" i="29"/>
  <c r="AM347" i="29"/>
  <c r="AT287" i="29"/>
  <c r="AS287" i="29"/>
  <c r="AL321" i="29"/>
  <c r="AQ319" i="29"/>
  <c r="AT315" i="29"/>
  <c r="AM367" i="29"/>
  <c r="D367" i="30" s="1"/>
  <c r="AM373" i="29"/>
  <c r="D347" i="30"/>
  <c r="AM287" i="29"/>
  <c r="D287" i="30" s="1"/>
  <c r="AL315" i="29"/>
  <c r="AT363" i="29"/>
  <c r="AR369" i="29"/>
  <c r="AL287" i="29"/>
  <c r="AN363" i="29"/>
  <c r="AS369" i="29"/>
  <c r="AM369" i="29"/>
  <c r="D369" i="30" s="1"/>
  <c r="AL371" i="29"/>
  <c r="D373" i="30"/>
  <c r="AP419" i="29"/>
  <c r="AT417" i="29"/>
  <c r="AL417" i="29"/>
  <c r="AO419" i="29"/>
  <c r="AS417" i="29"/>
  <c r="AN419" i="29"/>
  <c r="AR417" i="29"/>
  <c r="AR419" i="29"/>
  <c r="AM419" i="29"/>
  <c r="D419" i="30" s="1"/>
  <c r="AQ417" i="29"/>
  <c r="AL419" i="29"/>
  <c r="AP417" i="29"/>
  <c r="AQ419" i="29"/>
  <c r="AO417" i="29"/>
  <c r="AN417" i="29"/>
  <c r="AL369" i="29"/>
  <c r="AP373" i="29"/>
  <c r="AN369" i="29"/>
  <c r="AQ373" i="29"/>
  <c r="AT369" i="29"/>
  <c r="AM417" i="29"/>
  <c r="D417" i="30" s="1"/>
  <c r="AO369" i="29"/>
  <c r="AR249" i="33"/>
  <c r="AN247" i="33"/>
  <c r="AQ249" i="33"/>
  <c r="AM247" i="33"/>
  <c r="D247" i="34" s="1"/>
  <c r="AP249" i="33"/>
  <c r="AO249" i="33"/>
  <c r="AN249" i="33"/>
  <c r="AR247" i="33"/>
  <c r="AT249" i="33"/>
  <c r="AL249" i="33"/>
  <c r="AP247" i="33"/>
  <c r="AS249" i="33"/>
  <c r="AO247" i="33"/>
  <c r="AO427" i="29"/>
  <c r="AM425" i="29"/>
  <c r="D425" i="30" s="1"/>
  <c r="AS423" i="29"/>
  <c r="AN427" i="29"/>
  <c r="AR423" i="29"/>
  <c r="AM427" i="29"/>
  <c r="D427" i="30" s="1"/>
  <c r="AS425" i="29"/>
  <c r="AQ423" i="29"/>
  <c r="AT427" i="29"/>
  <c r="AL427" i="29"/>
  <c r="AR425" i="29"/>
  <c r="AP423" i="29"/>
  <c r="AS427" i="29"/>
  <c r="AQ425" i="29"/>
  <c r="AO423" i="29"/>
  <c r="AR427" i="29"/>
  <c r="AP425" i="29"/>
  <c r="AN423" i="29"/>
  <c r="AQ427" i="29"/>
  <c r="AO425" i="29"/>
  <c r="AM423" i="29"/>
  <c r="D423" i="30" s="1"/>
  <c r="AN257" i="33"/>
  <c r="AT255" i="33"/>
  <c r="AL255" i="33"/>
  <c r="AR253" i="33"/>
  <c r="AM257" i="33"/>
  <c r="D257" i="34" s="1"/>
  <c r="AS255" i="33"/>
  <c r="AQ253" i="33"/>
  <c r="AR255" i="33"/>
  <c r="AP253" i="33"/>
  <c r="AP255" i="33"/>
  <c r="AN253" i="33"/>
  <c r="AQ255" i="33"/>
  <c r="AO253" i="33"/>
  <c r="AO255" i="33"/>
  <c r="AM253" i="33"/>
  <c r="D253" i="34" s="1"/>
  <c r="AP257" i="33"/>
  <c r="AN255" i="33"/>
  <c r="AT253" i="33"/>
  <c r="AL253" i="33"/>
  <c r="AM255" i="33"/>
  <c r="D255" i="34" s="1"/>
  <c r="AS253" i="33"/>
  <c r="AT263" i="33"/>
  <c r="AL263" i="33"/>
  <c r="AS263" i="33"/>
  <c r="AQ263" i="33"/>
  <c r="AL137" i="31"/>
  <c r="AT117" i="31"/>
  <c r="AM117" i="31"/>
  <c r="D117" i="32" s="1"/>
  <c r="AR139" i="31"/>
  <c r="AL117" i="31"/>
  <c r="AS117" i="31"/>
  <c r="AT425" i="29" l="1"/>
  <c r="AT423" i="29"/>
  <c r="AP371" i="29"/>
  <c r="AP427" i="29"/>
  <c r="AN425" i="29"/>
  <c r="AL423" i="29"/>
  <c r="AR373" i="29"/>
  <c r="AT419" i="29"/>
  <c r="AS661" i="1"/>
  <c r="AO657" i="1"/>
  <c r="AO599" i="1"/>
  <c r="AP479" i="1"/>
  <c r="AO419" i="1"/>
  <c r="AN409" i="1"/>
  <c r="AR661" i="1"/>
  <c r="AN657" i="1"/>
  <c r="AM599" i="1"/>
  <c r="AT597" i="1"/>
  <c r="AP429" i="1"/>
  <c r="AT425" i="1"/>
  <c r="AL419" i="1"/>
  <c r="AP769" i="1"/>
  <c r="AQ661" i="1"/>
  <c r="AM657" i="1"/>
  <c r="AN479" i="1"/>
  <c r="AP425" i="1"/>
  <c r="AM423" i="1"/>
  <c r="AT411" i="1"/>
  <c r="AR601" i="1"/>
  <c r="AP661" i="1"/>
  <c r="AT657" i="1"/>
  <c r="AL657" i="1"/>
  <c r="AT599" i="1"/>
  <c r="AO425" i="1"/>
  <c r="AO661" i="1"/>
  <c r="AS657" i="1"/>
  <c r="AN661" i="1"/>
  <c r="AR657" i="1"/>
  <c r="AM661" i="1"/>
  <c r="AQ657" i="1"/>
  <c r="AP601" i="1"/>
  <c r="AO417" i="1"/>
  <c r="AS329" i="1"/>
  <c r="AR329" i="1"/>
  <c r="AO329" i="1"/>
  <c r="AQ329" i="1"/>
  <c r="AR147" i="1"/>
  <c r="AN329" i="1"/>
  <c r="AO337" i="1"/>
  <c r="AP329" i="1"/>
  <c r="AR197" i="1"/>
  <c r="AP227" i="1"/>
  <c r="AR495" i="1"/>
  <c r="AL479" i="1" l="1"/>
  <c r="AR409" i="1"/>
  <c r="AQ409" i="1"/>
  <c r="AM411" i="1"/>
  <c r="AN425" i="1"/>
  <c r="AT661" i="1"/>
  <c r="AT479" i="1"/>
  <c r="AL411" i="1"/>
  <c r="AO409" i="1"/>
  <c r="AL661" i="1"/>
  <c r="AP657" i="1"/>
  <c r="AQ601" i="1"/>
  <c r="AL425" i="1"/>
  <c r="AT329" i="1"/>
  <c r="AL329" i="1"/>
  <c r="AN739" i="1"/>
  <c r="AO785" i="1"/>
  <c r="AN783" i="1"/>
  <c r="AN785" i="1"/>
  <c r="AM783" i="1"/>
  <c r="AM785" i="1"/>
  <c r="AL783" i="1"/>
  <c r="AQ783" i="1"/>
  <c r="AT785" i="1"/>
  <c r="AL785" i="1"/>
  <c r="AS783" i="1"/>
  <c r="AS785" i="1"/>
  <c r="AR783" i="1"/>
  <c r="AQ785" i="1"/>
  <c r="AT793" i="1"/>
  <c r="AL793" i="1"/>
  <c r="AS793" i="1"/>
  <c r="AR793" i="1"/>
  <c r="AQ793" i="1"/>
  <c r="AP793" i="1"/>
  <c r="AO793" i="1"/>
  <c r="AN793" i="1"/>
  <c r="AM793" i="1"/>
  <c r="AN431" i="29"/>
  <c r="AM429" i="29"/>
  <c r="D429" i="30" s="1"/>
  <c r="AP429" i="29"/>
  <c r="AN173" i="31"/>
  <c r="AN175" i="31"/>
  <c r="AM173" i="31"/>
  <c r="D173" i="32" s="1"/>
  <c r="AT173" i="31"/>
  <c r="AL173" i="31"/>
  <c r="AT175" i="31"/>
  <c r="AL175" i="31"/>
  <c r="AS173" i="31"/>
  <c r="AS175" i="31"/>
  <c r="AR173" i="31"/>
  <c r="AR175" i="31"/>
  <c r="AQ175" i="31"/>
  <c r="AP173" i="31"/>
  <c r="AT257" i="33"/>
  <c r="AM249" i="33"/>
  <c r="D249" i="34" s="1"/>
  <c r="AT247" i="33"/>
  <c r="AL225" i="33"/>
  <c r="AR263" i="33"/>
  <c r="AQ247" i="33"/>
  <c r="AO227" i="33"/>
  <c r="AP263" i="33"/>
  <c r="AO263" i="33"/>
  <c r="AT213" i="23"/>
  <c r="AL213" i="23"/>
  <c r="AS213" i="23"/>
  <c r="AR213" i="23"/>
  <c r="AQ213" i="23"/>
  <c r="AP213" i="23"/>
  <c r="AO213" i="23"/>
  <c r="AS85" i="27"/>
  <c r="AR85" i="27"/>
  <c r="AQ85" i="27"/>
  <c r="AP85" i="27"/>
  <c r="AO13" i="23" l="1"/>
  <c r="AQ11" i="23"/>
  <c r="AN13" i="23"/>
  <c r="AT11" i="23"/>
  <c r="AL11" i="23"/>
  <c r="AM13" i="23"/>
  <c r="AS11" i="23"/>
  <c r="AT13" i="23"/>
  <c r="AL13" i="23"/>
  <c r="AR11" i="23"/>
  <c r="AS13" i="23"/>
  <c r="AR13" i="23"/>
  <c r="AQ13" i="23"/>
  <c r="AP13" i="23"/>
  <c r="AN11" i="23"/>
  <c r="AM11" i="23"/>
  <c r="AO13" i="27"/>
  <c r="AM11" i="27"/>
  <c r="AL11" i="27"/>
  <c r="AN13" i="27"/>
  <c r="AT11" i="27"/>
  <c r="AM13" i="27"/>
  <c r="AS11" i="27"/>
  <c r="AT13" i="27"/>
  <c r="AL13" i="27"/>
  <c r="AR11" i="27"/>
  <c r="AS13" i="27"/>
  <c r="AR13" i="27"/>
  <c r="AP11" i="27"/>
  <c r="AT811" i="1"/>
  <c r="AL811" i="1"/>
  <c r="AS811" i="1"/>
  <c r="AR811" i="1"/>
  <c r="AQ811" i="1"/>
  <c r="AP811" i="1"/>
  <c r="AO811" i="1"/>
  <c r="AN811" i="1"/>
  <c r="AO815" i="1"/>
  <c r="AR813" i="1"/>
  <c r="AN815" i="1"/>
  <c r="AQ813" i="1"/>
  <c r="AT815" i="1"/>
  <c r="AL815" i="1"/>
  <c r="AS815" i="1"/>
  <c r="AN813" i="1"/>
  <c r="AR815" i="1"/>
  <c r="AP815" i="1"/>
  <c r="AS813" i="1"/>
  <c r="AT813" i="1"/>
  <c r="AL813" i="1"/>
  <c r="AO817" i="1" l="1"/>
  <c r="AN817" i="1"/>
  <c r="AM817" i="1"/>
  <c r="AT817" i="1"/>
  <c r="AL817" i="1"/>
  <c r="AS817" i="1"/>
  <c r="AQ817" i="1"/>
  <c r="AP817" i="1"/>
  <c r="AR817" i="1"/>
  <c r="AO819" i="1" l="1"/>
  <c r="AN819" i="1"/>
  <c r="AM819" i="1"/>
  <c r="AT819" i="1"/>
  <c r="AL819" i="1"/>
  <c r="AS819" i="1"/>
  <c r="AR819" i="1"/>
  <c r="AQ819" i="1"/>
  <c r="AT131" i="29" l="1"/>
  <c r="AL131" i="29"/>
  <c r="AP129" i="29"/>
  <c r="AS131" i="29"/>
  <c r="AO129" i="29"/>
  <c r="AL129" i="29"/>
  <c r="AR131" i="29"/>
  <c r="AN129" i="29"/>
  <c r="AQ131" i="29"/>
  <c r="AM129" i="29"/>
  <c r="D129" i="30" s="1"/>
  <c r="AP131" i="29"/>
  <c r="AT129" i="29"/>
  <c r="AO131" i="29"/>
  <c r="AS129" i="29"/>
  <c r="AM131" i="29"/>
  <c r="D131" i="30" s="1"/>
  <c r="AQ129" i="29"/>
  <c r="AS93" i="33"/>
  <c r="AO91" i="33"/>
  <c r="AR93" i="33"/>
  <c r="AN91" i="33"/>
  <c r="AQ93" i="33"/>
  <c r="AM91" i="33"/>
  <c r="D91" i="34" s="1"/>
  <c r="AR91" i="33"/>
  <c r="AP93" i="33"/>
  <c r="AT91" i="33"/>
  <c r="AL91" i="33"/>
  <c r="AS91" i="33"/>
  <c r="AQ91" i="33"/>
  <c r="AN93" i="33"/>
  <c r="AM867" i="1"/>
  <c r="AT867" i="1"/>
  <c r="AL867" i="1"/>
  <c r="AS867" i="1"/>
  <c r="AP867" i="1"/>
  <c r="AO867" i="1"/>
  <c r="AO213" i="29" l="1"/>
  <c r="AP211" i="29"/>
  <c r="AP209" i="29"/>
  <c r="AP207" i="29"/>
  <c r="AN209" i="29"/>
  <c r="AR213" i="29"/>
  <c r="AQ213" i="29"/>
  <c r="AN213" i="29"/>
  <c r="AO211" i="29"/>
  <c r="AO209" i="29"/>
  <c r="AP205" i="29"/>
  <c r="AM213" i="29"/>
  <c r="D213" i="30" s="1"/>
  <c r="AN211" i="29"/>
  <c r="AO207" i="29"/>
  <c r="AN205" i="29"/>
  <c r="AS209" i="29"/>
  <c r="AT213" i="29"/>
  <c r="AL213" i="29"/>
  <c r="AM211" i="29"/>
  <c r="D211" i="30" s="1"/>
  <c r="AM209" i="29"/>
  <c r="D209" i="30" s="1"/>
  <c r="AN207" i="29"/>
  <c r="AO205" i="29"/>
  <c r="AS211" i="29"/>
  <c r="AS213" i="29"/>
  <c r="AT211" i="29"/>
  <c r="AL211" i="29"/>
  <c r="AT209" i="29"/>
  <c r="AL209" i="29"/>
  <c r="AP213" i="29"/>
  <c r="AQ211" i="29"/>
  <c r="AQ209" i="29"/>
  <c r="AR207" i="29"/>
  <c r="AS205" i="29"/>
  <c r="AO55" i="31"/>
  <c r="AQ53" i="31"/>
  <c r="AN55" i="31"/>
  <c r="AP53" i="31"/>
  <c r="AN53" i="31"/>
  <c r="AL53" i="31"/>
  <c r="AM55" i="31"/>
  <c r="D55" i="32" s="1"/>
  <c r="AO53" i="31"/>
  <c r="AT55" i="31"/>
  <c r="AL55" i="31"/>
  <c r="AM53" i="31"/>
  <c r="AT53" i="31"/>
  <c r="AQ55" i="31"/>
  <c r="AS55" i="31"/>
  <c r="AR53" i="31"/>
  <c r="AR55" i="31"/>
  <c r="AS53" i="31"/>
  <c r="AP55" i="31"/>
  <c r="AP175" i="31"/>
  <c r="AO175" i="31"/>
  <c r="AT137" i="31"/>
  <c r="AM175" i="31"/>
  <c r="D175" i="32" s="1"/>
  <c r="AM137" i="31"/>
  <c r="D137" i="32" s="1"/>
  <c r="AQ121" i="31"/>
  <c r="AQ173" i="31"/>
  <c r="AO173" i="31"/>
  <c r="D53" i="32" l="1"/>
  <c r="AQ115" i="31"/>
  <c r="AN117" i="31"/>
  <c r="AP159" i="33"/>
  <c r="AP157" i="33"/>
  <c r="AR159" i="33"/>
  <c r="AO159" i="33"/>
  <c r="AO157" i="33"/>
  <c r="AT155" i="33"/>
  <c r="AN159" i="33"/>
  <c r="AN157" i="33"/>
  <c r="AP155" i="33"/>
  <c r="AM155" i="33"/>
  <c r="AL155" i="33"/>
  <c r="AM159" i="33"/>
  <c r="AM157" i="33"/>
  <c r="AO155" i="33"/>
  <c r="AT159" i="33"/>
  <c r="AL159" i="33"/>
  <c r="AT157" i="33"/>
  <c r="AL157" i="33"/>
  <c r="AN155" i="33"/>
  <c r="AS159" i="33"/>
  <c r="AS157" i="33"/>
  <c r="AR157" i="33"/>
  <c r="AS155" i="33"/>
  <c r="AO93" i="33"/>
  <c r="AM93" i="33"/>
  <c r="D93" i="34" s="1"/>
  <c r="AP91" i="33"/>
  <c r="AR155" i="33"/>
  <c r="AL93" i="33"/>
  <c r="AQ157" i="33"/>
  <c r="AQ159" i="33"/>
  <c r="AT93" i="33"/>
  <c r="AN263" i="33"/>
  <c r="AO257" i="33"/>
  <c r="AM263" i="33"/>
  <c r="AM211" i="33"/>
  <c r="D211" i="34"/>
  <c r="AN449" i="29"/>
  <c r="AT447" i="29"/>
  <c r="AL447" i="29"/>
  <c r="AR445" i="29"/>
  <c r="AP443" i="29"/>
  <c r="AN441" i="29"/>
  <c r="AQ439" i="29"/>
  <c r="AM441" i="29"/>
  <c r="D441" i="30" s="1"/>
  <c r="AP439" i="29"/>
  <c r="AM449" i="29"/>
  <c r="D449" i="30" s="1"/>
  <c r="AS447" i="29"/>
  <c r="AQ445" i="29"/>
  <c r="AO443" i="29"/>
  <c r="AS441" i="29"/>
  <c r="AN439" i="29"/>
  <c r="AT449" i="29"/>
  <c r="AL449" i="29"/>
  <c r="AR447" i="29"/>
  <c r="AP445" i="29"/>
  <c r="AN443" i="29"/>
  <c r="AT441" i="29"/>
  <c r="AL441" i="29"/>
  <c r="AO439" i="29"/>
  <c r="AO445" i="29"/>
  <c r="AS449" i="29"/>
  <c r="AR449" i="29"/>
  <c r="AP447" i="29"/>
  <c r="AN445" i="29"/>
  <c r="AM439" i="29"/>
  <c r="D439" i="30" s="1"/>
  <c r="AS443" i="29"/>
  <c r="AL439" i="29"/>
  <c r="AQ449" i="29"/>
  <c r="AO447" i="29"/>
  <c r="AM445" i="29"/>
  <c r="D445" i="30" s="1"/>
  <c r="AQ441" i="29"/>
  <c r="AT439" i="29"/>
  <c r="AS445" i="29"/>
  <c r="AR439" i="29"/>
  <c r="AP449" i="29"/>
  <c r="AN447" i="29"/>
  <c r="AT445" i="29"/>
  <c r="AL445" i="29"/>
  <c r="AP441" i="29"/>
  <c r="AS439" i="29"/>
  <c r="AO449" i="29"/>
  <c r="AO187" i="31"/>
  <c r="AM185" i="31"/>
  <c r="D185" i="32" s="1"/>
  <c r="AS183" i="31"/>
  <c r="AO179" i="31"/>
  <c r="AN187" i="31"/>
  <c r="AN179" i="31"/>
  <c r="AM187" i="31"/>
  <c r="D187" i="32" s="1"/>
  <c r="AS185" i="31"/>
  <c r="AQ183" i="31"/>
  <c r="AM179" i="31"/>
  <c r="D179" i="32" s="1"/>
  <c r="AP177" i="31"/>
  <c r="AR179" i="31"/>
  <c r="AT187" i="31"/>
  <c r="AL187" i="31"/>
  <c r="AR185" i="31"/>
  <c r="AP183" i="31"/>
  <c r="AN181" i="31"/>
  <c r="AO177" i="31"/>
  <c r="AR187" i="31"/>
  <c r="AN183" i="31"/>
  <c r="AS187" i="31"/>
  <c r="AQ185" i="31"/>
  <c r="AO183" i="31"/>
  <c r="AS179" i="31"/>
  <c r="AN177" i="31"/>
  <c r="AQ187" i="31"/>
  <c r="AO185" i="31"/>
  <c r="AM183" i="31"/>
  <c r="D183" i="32" s="1"/>
  <c r="AT177" i="31"/>
  <c r="AL177" i="31"/>
  <c r="AP187" i="31"/>
  <c r="AN185" i="31"/>
  <c r="AL183" i="31"/>
  <c r="AP179" i="31"/>
  <c r="AS177" i="31"/>
  <c r="AR177" i="31"/>
  <c r="AR183" i="31"/>
  <c r="AQ69" i="17"/>
  <c r="AO69" i="17"/>
  <c r="AP61" i="19"/>
  <c r="AO61" i="19"/>
  <c r="AL61" i="19"/>
  <c r="AT61" i="19"/>
  <c r="AS61" i="19"/>
  <c r="AP869" i="1"/>
  <c r="AO869" i="1"/>
  <c r="AN869" i="1"/>
  <c r="AM869" i="1"/>
  <c r="AT869" i="1"/>
  <c r="AL869" i="1"/>
  <c r="AS869" i="1"/>
  <c r="AR869" i="1"/>
  <c r="AQ869" i="1"/>
  <c r="AN867" i="1"/>
  <c r="AQ809" i="1"/>
  <c r="AP819" i="1"/>
  <c r="AM813" i="1"/>
  <c r="AN881" i="1"/>
  <c r="AN809" i="1"/>
  <c r="AP813" i="1"/>
  <c r="AM809" i="1"/>
  <c r="AS881" i="1"/>
  <c r="AR867" i="1"/>
  <c r="AO813" i="1"/>
  <c r="AM811" i="1"/>
  <c r="AS809" i="1"/>
  <c r="AQ867" i="1"/>
  <c r="AO601" i="1"/>
  <c r="AO479" i="1"/>
  <c r="AO413" i="1"/>
  <c r="AM479" i="1"/>
  <c r="AP785" i="1"/>
  <c r="AT783" i="1"/>
  <c r="AS479" i="1"/>
  <c r="AP413" i="1"/>
  <c r="AR479" i="1"/>
  <c r="AQ479" i="1"/>
  <c r="AM329" i="1"/>
  <c r="AT143" i="1"/>
  <c r="AO143" i="1"/>
  <c r="AT887" i="1"/>
  <c r="AL887" i="1"/>
  <c r="AS887" i="1"/>
  <c r="AN885" i="1"/>
  <c r="AR887" i="1"/>
  <c r="AM885" i="1"/>
  <c r="AQ887" i="1"/>
  <c r="AT885" i="1"/>
  <c r="AL885" i="1"/>
  <c r="AP887" i="1"/>
  <c r="AS885" i="1"/>
  <c r="AO887" i="1"/>
  <c r="AR885" i="1"/>
  <c r="AT891" i="1"/>
  <c r="AL891" i="1"/>
  <c r="AS891" i="1"/>
  <c r="AR891" i="1"/>
  <c r="AQ891" i="1"/>
  <c r="AT889" i="1"/>
  <c r="AP891" i="1"/>
  <c r="AS889" i="1"/>
  <c r="AO891" i="1"/>
  <c r="AR889" i="1"/>
  <c r="AN891" i="1"/>
  <c r="AQ889" i="1"/>
  <c r="AM891" i="1"/>
  <c r="AT903" i="1"/>
  <c r="AL903" i="1"/>
  <c r="AP901" i="1"/>
  <c r="AT899" i="1"/>
  <c r="AL899" i="1"/>
  <c r="AO897" i="1"/>
  <c r="AR895" i="1"/>
  <c r="AS903" i="1"/>
  <c r="AO901" i="1"/>
  <c r="AS899" i="1"/>
  <c r="AN897" i="1"/>
  <c r="AQ895" i="1"/>
  <c r="AT893" i="1"/>
  <c r="AR903" i="1"/>
  <c r="AN901" i="1"/>
  <c r="AR899" i="1"/>
  <c r="AM897" i="1"/>
  <c r="AP895" i="1"/>
  <c r="AS893" i="1"/>
  <c r="AQ903" i="1"/>
  <c r="AM901" i="1"/>
  <c r="AQ899" i="1"/>
  <c r="AT897" i="1"/>
  <c r="AL897" i="1"/>
  <c r="AO895" i="1"/>
  <c r="AR893" i="1"/>
  <c r="AP903" i="1"/>
  <c r="AT901" i="1"/>
  <c r="AL901" i="1"/>
  <c r="AP899" i="1"/>
  <c r="AS897" i="1"/>
  <c r="AN895" i="1"/>
  <c r="AQ893" i="1"/>
  <c r="AS901" i="1"/>
  <c r="AR897" i="1"/>
  <c r="AM895" i="1"/>
  <c r="AS895" i="1"/>
  <c r="AN903" i="1"/>
  <c r="AR901" i="1"/>
  <c r="AN899" i="1"/>
  <c r="AQ897" i="1"/>
  <c r="AT895" i="1"/>
  <c r="AL895" i="1"/>
  <c r="AO893" i="1"/>
  <c r="G18" i="34" l="1"/>
  <c r="H18" i="34"/>
  <c r="AT491" i="29"/>
  <c r="AL491" i="29"/>
  <c r="AT487" i="29"/>
  <c r="AL487" i="29"/>
  <c r="AT483" i="29"/>
  <c r="AR479" i="29"/>
  <c r="AP471" i="29"/>
  <c r="AS491" i="29"/>
  <c r="AS487" i="29"/>
  <c r="AS483" i="29"/>
  <c r="AN481" i="29"/>
  <c r="AQ479" i="29"/>
  <c r="AM477" i="29"/>
  <c r="D477" i="30" s="1"/>
  <c r="AQ475" i="29"/>
  <c r="AT473" i="29"/>
  <c r="AL473" i="29"/>
  <c r="AR491" i="29"/>
  <c r="AN489" i="29"/>
  <c r="AR487" i="29"/>
  <c r="AN485" i="29"/>
  <c r="AR483" i="29"/>
  <c r="AM481" i="29"/>
  <c r="D481" i="30" s="1"/>
  <c r="AP479" i="29"/>
  <c r="AT477" i="29"/>
  <c r="AL477" i="29"/>
  <c r="AP475" i="29"/>
  <c r="AS473" i="29"/>
  <c r="AN471" i="29"/>
  <c r="AQ469" i="29"/>
  <c r="AQ491" i="29"/>
  <c r="AP491" i="29"/>
  <c r="AT489" i="29"/>
  <c r="AL489" i="29"/>
  <c r="AP487" i="29"/>
  <c r="AP483" i="29"/>
  <c r="AS481" i="29"/>
  <c r="AN479" i="29"/>
  <c r="AR477" i="29"/>
  <c r="AN475" i="29"/>
  <c r="AQ473" i="29"/>
  <c r="AT471" i="29"/>
  <c r="AO491" i="29"/>
  <c r="AS489" i="29"/>
  <c r="AO487" i="29"/>
  <c r="AO483" i="29"/>
  <c r="AR481" i="29"/>
  <c r="AM479" i="29"/>
  <c r="D479" i="30" s="1"/>
  <c r="AQ477" i="29"/>
  <c r="AM475" i="29"/>
  <c r="D475" i="30" s="1"/>
  <c r="AP473" i="29"/>
  <c r="AS471" i="29"/>
  <c r="AN469" i="29"/>
  <c r="AN491" i="29"/>
  <c r="AR489" i="29"/>
  <c r="AN487" i="29"/>
  <c r="AR485" i="29"/>
  <c r="AN483" i="29"/>
  <c r="AQ481" i="29"/>
  <c r="AT479" i="29"/>
  <c r="AL479" i="29"/>
  <c r="AP477" i="29"/>
  <c r="AT475" i="29"/>
  <c r="AL475" i="29"/>
  <c r="AO473" i="29"/>
  <c r="AR471" i="29"/>
  <c r="AM469" i="29"/>
  <c r="D469" i="30" s="1"/>
  <c r="AR475" i="29"/>
  <c r="AQ487" i="29"/>
  <c r="AM491" i="29"/>
  <c r="D491" i="30" s="1"/>
  <c r="AQ489" i="29"/>
  <c r="AM487" i="29"/>
  <c r="D487" i="30" s="1"/>
  <c r="AQ485" i="29"/>
  <c r="AM483" i="29"/>
  <c r="D483" i="30" s="1"/>
  <c r="AP481" i="29"/>
  <c r="AS479" i="29"/>
  <c r="AO477" i="29"/>
  <c r="AS475" i="29"/>
  <c r="AN473" i="29"/>
  <c r="AQ471" i="29"/>
  <c r="AT469" i="29"/>
  <c r="AL469" i="29"/>
  <c r="AM473" i="29"/>
  <c r="D473" i="30" s="1"/>
  <c r="AS469" i="29"/>
  <c r="AT215" i="31"/>
  <c r="AL215" i="31"/>
  <c r="AP213" i="31"/>
  <c r="AT211" i="31"/>
  <c r="AL211" i="31"/>
  <c r="AP209" i="31"/>
  <c r="AT207" i="31"/>
  <c r="AL207" i="31"/>
  <c r="AO205" i="31"/>
  <c r="AR203" i="31"/>
  <c r="AN201" i="31"/>
  <c r="AR199" i="31"/>
  <c r="AM197" i="31"/>
  <c r="D197" i="32" s="1"/>
  <c r="AP195" i="31"/>
  <c r="AS193" i="31"/>
  <c r="AR193" i="31"/>
  <c r="AS215" i="31"/>
  <c r="AO213" i="31"/>
  <c r="AO209" i="31"/>
  <c r="AS207" i="31"/>
  <c r="AN205" i="31"/>
  <c r="AQ203" i="31"/>
  <c r="AM201" i="31"/>
  <c r="D201" i="32" s="1"/>
  <c r="AQ199" i="31"/>
  <c r="AR215" i="31"/>
  <c r="AN213" i="31"/>
  <c r="AR211" i="31"/>
  <c r="AN209" i="31"/>
  <c r="AR207" i="31"/>
  <c r="AM205" i="31"/>
  <c r="D205" i="32" s="1"/>
  <c r="AP203" i="31"/>
  <c r="AT201" i="31"/>
  <c r="AL201" i="31"/>
  <c r="AP199" i="31"/>
  <c r="AS197" i="31"/>
  <c r="AQ193" i="31"/>
  <c r="AQ215" i="31"/>
  <c r="AM213" i="31"/>
  <c r="D213" i="32" s="1"/>
  <c r="AQ211" i="31"/>
  <c r="AM209" i="31"/>
  <c r="D209" i="32" s="1"/>
  <c r="AQ207" i="31"/>
  <c r="AT205" i="31"/>
  <c r="AL205" i="31"/>
  <c r="AO203" i="31"/>
  <c r="AS201" i="31"/>
  <c r="AO199" i="31"/>
  <c r="AR197" i="31"/>
  <c r="AM195" i="31"/>
  <c r="D195" i="32" s="1"/>
  <c r="AP193" i="31"/>
  <c r="AP215" i="31"/>
  <c r="AT213" i="31"/>
  <c r="AL213" i="31"/>
  <c r="AP211" i="31"/>
  <c r="AT209" i="31"/>
  <c r="AL209" i="31"/>
  <c r="AP207" i="31"/>
  <c r="AS205" i="31"/>
  <c r="AN203" i="31"/>
  <c r="AR201" i="31"/>
  <c r="AN199" i="31"/>
  <c r="AO215" i="31"/>
  <c r="AS213" i="31"/>
  <c r="AO211" i="31"/>
  <c r="AS209" i="31"/>
  <c r="AO207" i="31"/>
  <c r="AR205" i="31"/>
  <c r="AM203" i="31"/>
  <c r="D203" i="32" s="1"/>
  <c r="AQ201" i="31"/>
  <c r="AM199" i="31"/>
  <c r="D199" i="32" s="1"/>
  <c r="AP197" i="31"/>
  <c r="AS195" i="31"/>
  <c r="AN193" i="31"/>
  <c r="AS199" i="31"/>
  <c r="AN215" i="31"/>
  <c r="AR213" i="31"/>
  <c r="AN211" i="31"/>
  <c r="AR209" i="31"/>
  <c r="AN207" i="31"/>
  <c r="AQ205" i="31"/>
  <c r="AT203" i="31"/>
  <c r="AL203" i="31"/>
  <c r="AP201" i="31"/>
  <c r="AT199" i="31"/>
  <c r="AL199" i="31"/>
  <c r="AO197" i="31"/>
  <c r="AR195" i="31"/>
  <c r="AM193" i="31"/>
  <c r="D193" i="32" s="1"/>
  <c r="AQ213" i="31"/>
  <c r="AQ209" i="31"/>
  <c r="AT905" i="1"/>
  <c r="AL905" i="1"/>
  <c r="AS905" i="1"/>
  <c r="AR905" i="1"/>
  <c r="AQ905" i="1"/>
  <c r="AP905" i="1"/>
  <c r="AO905" i="1"/>
  <c r="AN905" i="1"/>
  <c r="AM905" i="1"/>
  <c r="AQ911" i="1" l="1"/>
  <c r="AT911" i="1"/>
  <c r="AO911" i="1"/>
  <c r="AL911" i="1"/>
  <c r="AS911" i="1"/>
  <c r="AM911" i="1"/>
  <c r="AO913" i="1"/>
  <c r="AN913" i="1"/>
  <c r="AM913" i="1"/>
  <c r="AR913" i="1"/>
  <c r="AT949" i="1" l="1"/>
  <c r="AL949" i="1"/>
  <c r="AS949" i="1"/>
  <c r="AR949" i="1"/>
  <c r="AO949" i="1"/>
  <c r="AQ949" i="1"/>
  <c r="AM949" i="1"/>
  <c r="AP949" i="1" l="1"/>
  <c r="AN949" i="1" l="1"/>
  <c r="AO889" i="1"/>
  <c r="AQ913" i="1"/>
  <c r="AT907" i="1"/>
  <c r="AM903" i="1"/>
  <c r="AN889" i="1"/>
  <c r="AN887" i="1"/>
  <c r="AQ885" i="1"/>
  <c r="AS883" i="1"/>
  <c r="AP913" i="1"/>
  <c r="AP897" i="1"/>
  <c r="AM889" i="1"/>
  <c r="AM887" i="1"/>
  <c r="AP885" i="1"/>
  <c r="AR883" i="1"/>
  <c r="AT881" i="1"/>
  <c r="AQ815" i="1"/>
  <c r="AL913" i="1"/>
  <c r="AT909" i="1"/>
  <c r="AP893" i="1"/>
  <c r="AL889" i="1"/>
  <c r="AO885" i="1"/>
  <c r="AQ883" i="1"/>
  <c r="AR881" i="1"/>
  <c r="AM815" i="1"/>
  <c r="AO899" i="1"/>
  <c r="AN893" i="1"/>
  <c r="AP883" i="1"/>
  <c r="AQ881" i="1"/>
  <c r="AM907" i="1"/>
  <c r="AO883" i="1"/>
  <c r="AM881" i="1"/>
  <c r="AM899" i="1"/>
  <c r="AP881" i="1"/>
  <c r="AQ901" i="1"/>
  <c r="AL893" i="1"/>
  <c r="AN883" i="1"/>
  <c r="AO881" i="1"/>
  <c r="AR809" i="1"/>
  <c r="AP889" i="1"/>
  <c r="AL143" i="1"/>
  <c r="AM951" i="1"/>
  <c r="AT951" i="1"/>
  <c r="AL951" i="1"/>
  <c r="AS951" i="1"/>
  <c r="AR951" i="1"/>
  <c r="AQ951" i="1"/>
  <c r="AP951" i="1"/>
  <c r="AO951" i="1"/>
  <c r="AN951" i="1"/>
  <c r="AT497" i="29" l="1"/>
  <c r="AL497" i="29"/>
  <c r="AN495" i="29"/>
  <c r="AS493" i="29"/>
  <c r="AR495" i="29"/>
  <c r="AS497" i="29"/>
  <c r="AM495" i="29"/>
  <c r="D495" i="30" s="1"/>
  <c r="AR493" i="29"/>
  <c r="AR497" i="29"/>
  <c r="AT495" i="29"/>
  <c r="AL495" i="29"/>
  <c r="AQ493" i="29"/>
  <c r="AQ497" i="29"/>
  <c r="AS495" i="29"/>
  <c r="AP497" i="29"/>
  <c r="AN497" i="29"/>
  <c r="AM497" i="29"/>
  <c r="D497" i="30" s="1"/>
  <c r="AQ219" i="31"/>
  <c r="AT219" i="31"/>
  <c r="AQ217" i="31"/>
  <c r="AR217" i="31"/>
  <c r="AO219" i="31"/>
  <c r="AN219" i="31"/>
  <c r="AL219" i="31"/>
  <c r="AM219" i="31"/>
  <c r="D219" i="32" s="1"/>
  <c r="AS219" i="31"/>
  <c r="AR219" i="31"/>
  <c r="AP219" i="31"/>
  <c r="AM207" i="31"/>
  <c r="D207" i="32" s="1"/>
  <c r="AO195" i="31"/>
  <c r="AL181" i="31"/>
  <c r="AT179" i="31"/>
  <c r="AN195" i="31"/>
  <c r="AT193" i="31"/>
  <c r="AP181" i="31"/>
  <c r="AO201" i="31"/>
  <c r="AL195" i="31"/>
  <c r="AO193" i="31"/>
  <c r="AS181" i="31"/>
  <c r="AQ181" i="31"/>
  <c r="AS203" i="31"/>
  <c r="AT197" i="31"/>
  <c r="AL193" i="31"/>
  <c r="AT181" i="31"/>
  <c r="AQ197" i="31"/>
  <c r="AL197" i="31"/>
  <c r="AT195" i="31"/>
  <c r="AL185" i="31"/>
  <c r="AO181" i="31"/>
  <c r="AM181" i="31"/>
  <c r="D181" i="32" s="1"/>
  <c r="AN217" i="31"/>
  <c r="AQ195" i="31"/>
  <c r="AT185" i="31"/>
  <c r="AP205" i="31"/>
  <c r="AT183" i="31"/>
  <c r="AQ177" i="31"/>
  <c r="AS211" i="31"/>
  <c r="AN197" i="31"/>
  <c r="AM177" i="31"/>
  <c r="D177" i="32" s="1"/>
  <c r="AM215" i="31"/>
  <c r="D215" i="32" s="1"/>
  <c r="AM211" i="31"/>
  <c r="D211" i="32" s="1"/>
  <c r="AN493" i="29"/>
  <c r="AL483" i="29"/>
  <c r="AO481" i="29"/>
  <c r="AO479" i="29"/>
  <c r="AP469" i="29"/>
  <c r="AR129" i="29"/>
  <c r="AO497" i="29"/>
  <c r="AQ495" i="29"/>
  <c r="AT485" i="29"/>
  <c r="AO469" i="29"/>
  <c r="AS207" i="29"/>
  <c r="AS485" i="29"/>
  <c r="AN131" i="29"/>
  <c r="AP485" i="29"/>
  <c r="AR441" i="29"/>
  <c r="AR205" i="29"/>
  <c r="AM485" i="29"/>
  <c r="D485" i="30" s="1"/>
  <c r="AO471" i="29"/>
  <c r="AP489" i="29"/>
  <c r="AO485" i="29"/>
  <c r="AQ443" i="29"/>
  <c r="AO441" i="29"/>
  <c r="AP495" i="29"/>
  <c r="AP493" i="29"/>
  <c r="AM489" i="29"/>
  <c r="D489" i="30" s="1"/>
  <c r="AL485" i="29"/>
  <c r="AN477" i="29"/>
  <c r="AM471" i="29"/>
  <c r="D471" i="30" s="1"/>
  <c r="AQ447" i="29"/>
  <c r="AM205" i="29"/>
  <c r="D205" i="30" s="1"/>
  <c r="AQ207" i="29"/>
  <c r="AQ483" i="29"/>
  <c r="AT481" i="29"/>
  <c r="AL471" i="29"/>
  <c r="AR469" i="29"/>
  <c r="AM447" i="29"/>
  <c r="D447" i="30" s="1"/>
  <c r="H18" i="30" s="1"/>
  <c r="AR211" i="29"/>
  <c r="AL205" i="29"/>
  <c r="AN429" i="29"/>
  <c r="AL363" i="29"/>
  <c r="AL429" i="29"/>
  <c r="AT431" i="29"/>
  <c r="AP431" i="29"/>
  <c r="AO431" i="29"/>
  <c r="AO429" i="29"/>
  <c r="AR209" i="29"/>
  <c r="AO489" i="29"/>
  <c r="AO475" i="29"/>
  <c r="AM443" i="29"/>
  <c r="D443" i="30"/>
  <c r="AS429" i="29"/>
  <c r="AT429" i="29"/>
  <c r="AM431" i="29"/>
  <c r="D431" i="30" s="1"/>
  <c r="G18" i="30" l="1"/>
  <c r="AT281" i="33"/>
  <c r="AL281" i="33"/>
  <c r="AS281" i="33"/>
  <c r="AR281" i="33"/>
  <c r="AQ281" i="33"/>
  <c r="AP281" i="33"/>
  <c r="AO281" i="33"/>
  <c r="AN281" i="33"/>
  <c r="AR517" i="29"/>
  <c r="AQ517" i="29"/>
  <c r="AP517" i="29"/>
  <c r="AT225" i="23"/>
  <c r="AL225" i="23"/>
  <c r="AS225" i="23"/>
  <c r="AR87" i="27"/>
  <c r="AO87" i="27"/>
  <c r="AN87" i="27"/>
  <c r="AT297" i="33"/>
  <c r="AL297" i="33"/>
  <c r="AS297" i="33"/>
  <c r="AO297" i="33"/>
  <c r="AP297" i="33"/>
  <c r="AM432" i="33"/>
  <c r="AM1233" i="1"/>
  <c r="AS1233" i="1"/>
  <c r="AR1233" i="1"/>
  <c r="AQ1233" i="1"/>
  <c r="AP1233" i="1"/>
  <c r="AT1233" i="1"/>
  <c r="AO1233" i="1"/>
  <c r="AN1233" i="1"/>
  <c r="AL1233" i="1"/>
  <c r="AT1235" i="1" l="1"/>
  <c r="AL1235" i="1"/>
  <c r="AS1235" i="1"/>
  <c r="AR1235" i="1"/>
  <c r="AQ1235" i="1"/>
  <c r="AP1235" i="1"/>
  <c r="AO1235" i="1"/>
  <c r="AT1269" i="1"/>
  <c r="AL1269" i="1"/>
  <c r="AS1269" i="1"/>
  <c r="AR1269" i="1"/>
  <c r="AQ1269" i="1"/>
  <c r="AP1269" i="1"/>
  <c r="AO1269" i="1"/>
  <c r="AN1269" i="1" l="1"/>
  <c r="AM1269" i="1"/>
  <c r="AS1271" i="1" l="1"/>
  <c r="AP1271" i="1"/>
  <c r="AM1271" i="1"/>
  <c r="AT517" i="29" l="1"/>
  <c r="AL481" i="29"/>
  <c r="AR473" i="29"/>
  <c r="AS477" i="29"/>
  <c r="AT205" i="29"/>
  <c r="AS517" i="29"/>
  <c r="AQ349" i="29"/>
  <c r="AT617" i="29"/>
  <c r="AL617" i="29"/>
  <c r="AP615" i="29"/>
  <c r="AS617" i="29"/>
  <c r="AO615" i="29"/>
  <c r="AR617" i="29"/>
  <c r="AN615" i="29"/>
  <c r="AQ617" i="29"/>
  <c r="AM615" i="29"/>
  <c r="AQ615" i="29"/>
  <c r="AP617" i="29"/>
  <c r="AT615" i="29"/>
  <c r="AL615" i="29"/>
  <c r="AO617" i="29"/>
  <c r="AS615" i="29"/>
  <c r="AN617" i="29"/>
  <c r="AR615" i="29"/>
  <c r="AT369" i="33"/>
  <c r="AL369" i="33"/>
  <c r="AP367" i="33"/>
  <c r="AS369" i="33"/>
  <c r="AO367" i="33"/>
  <c r="AR369" i="33"/>
  <c r="AN367" i="33"/>
  <c r="AQ369" i="33"/>
  <c r="AM367" i="33"/>
  <c r="AP369" i="33"/>
  <c r="AT367" i="33"/>
  <c r="AL367" i="33"/>
  <c r="AO369" i="33"/>
  <c r="AS367" i="33"/>
  <c r="AN369" i="33"/>
  <c r="AR367" i="33"/>
  <c r="AT631" i="29"/>
  <c r="AL631" i="29"/>
  <c r="AR629" i="29"/>
  <c r="AS631" i="29"/>
  <c r="AQ629" i="29"/>
  <c r="AR631" i="29"/>
  <c r="AP629" i="29"/>
  <c r="AP631" i="29"/>
  <c r="AN629" i="29"/>
  <c r="AO631" i="29"/>
  <c r="AM629" i="29"/>
  <c r="AT629" i="29"/>
  <c r="AL629" i="29"/>
  <c r="AT265" i="31"/>
  <c r="AL265" i="31"/>
  <c r="AR263" i="31"/>
  <c r="AP263" i="31"/>
  <c r="AO265" i="31"/>
  <c r="AP265" i="31"/>
  <c r="AN263" i="31"/>
  <c r="AT263" i="31"/>
  <c r="AL263" i="31"/>
  <c r="AS263" i="31"/>
  <c r="AR1389" i="1"/>
  <c r="AO1389" i="1" l="1"/>
  <c r="AN1389" i="1"/>
  <c r="AT1389" i="1"/>
  <c r="AS1389" i="1"/>
  <c r="AT693" i="29" l="1"/>
  <c r="AL693" i="29"/>
  <c r="AS693" i="29"/>
  <c r="AR693" i="29"/>
  <c r="AP693" i="29"/>
  <c r="AO693" i="29"/>
  <c r="AM693" i="29"/>
  <c r="AR293" i="31"/>
  <c r="AQ293" i="31"/>
  <c r="AN293" i="31"/>
  <c r="AS307" i="23"/>
  <c r="AR307" i="23"/>
  <c r="AO307" i="23"/>
  <c r="AP709" i="29"/>
  <c r="AO709" i="29"/>
  <c r="AR711" i="29"/>
  <c r="AN709" i="29"/>
  <c r="AQ711" i="29"/>
  <c r="AM709" i="29"/>
  <c r="AT709" i="29"/>
  <c r="AL709" i="29"/>
  <c r="AN711" i="29"/>
  <c r="AR709" i="29"/>
  <c r="AQ709" i="29"/>
  <c r="AT417" i="33"/>
  <c r="AL417" i="33"/>
  <c r="AS417" i="33"/>
  <c r="AR417" i="33"/>
  <c r="AQ417" i="33"/>
  <c r="AN417" i="33"/>
  <c r="AM417" i="33"/>
  <c r="AR297" i="31"/>
  <c r="AQ297" i="31"/>
  <c r="AN297" i="31"/>
  <c r="AS331" i="23"/>
  <c r="AR331" i="23"/>
  <c r="AQ331" i="23"/>
  <c r="AP331" i="23"/>
  <c r="AO331" i="23"/>
  <c r="AN331" i="23"/>
  <c r="AM331" i="23"/>
  <c r="D331" i="24"/>
  <c r="AS143" i="27"/>
  <c r="AR143" i="27"/>
  <c r="AQ143" i="27"/>
  <c r="AP143" i="27"/>
  <c r="AN143" i="27"/>
  <c r="AO143" i="27"/>
  <c r="AT143" i="27"/>
  <c r="AL143" i="27"/>
  <c r="AM143" i="27"/>
  <c r="D143" i="28"/>
  <c r="G18" i="28"/>
  <c r="H18" i="28"/>
  <c r="AP297" i="31" l="1"/>
  <c r="AO297" i="31"/>
  <c r="AQ263" i="31"/>
  <c r="AM297" i="31"/>
  <c r="D297" i="32" s="1"/>
  <c r="AL297" i="31"/>
  <c r="AT293" i="31"/>
  <c r="AM263" i="31"/>
  <c r="D263" i="32" s="1"/>
  <c r="AS297" i="31"/>
  <c r="AM293" i="31"/>
  <c r="D293" i="32"/>
  <c r="AT297" i="31"/>
  <c r="AM305" i="31"/>
  <c r="AM304" i="31"/>
  <c r="AM302" i="31"/>
  <c r="AM301" i="31"/>
  <c r="AM309" i="31" s="1"/>
  <c r="AM303" i="31"/>
  <c r="AM306" i="31"/>
  <c r="H18" i="32"/>
  <c r="G18" i="32"/>
  <c r="AM308" i="31" l="1"/>
  <c r="AL3" i="1" l="1" a="1"/>
  <c r="AL3" i="1" s="1"/>
  <c r="AO1497" i="1"/>
  <c r="AN1465" i="1"/>
  <c r="AQ1463" i="1"/>
  <c r="AS913" i="1"/>
  <c r="AR911" i="1"/>
  <c r="AT883" i="1"/>
  <c r="AP809" i="1"/>
  <c r="AO809" i="1"/>
  <c r="AM1465" i="1"/>
  <c r="AP1463" i="1"/>
  <c r="AM909" i="1"/>
  <c r="AP907" i="1"/>
  <c r="AM883" i="1"/>
  <c r="AL881" i="1"/>
  <c r="AT809" i="1"/>
  <c r="AO1463" i="1"/>
  <c r="AP1421" i="1"/>
  <c r="AL883" i="1"/>
  <c r="AP1493" i="1"/>
  <c r="AP1495" i="1"/>
  <c r="AM1389" i="1"/>
  <c r="AO1493" i="1"/>
  <c r="AO1495" i="1"/>
  <c r="AR1465" i="1"/>
  <c r="AN1421" i="1"/>
  <c r="AL1389" i="1"/>
  <c r="AN1235" i="1"/>
  <c r="AO903" i="1"/>
  <c r="AL809" i="1"/>
  <c r="AQ1465" i="1"/>
  <c r="AM1421" i="1"/>
  <c r="AT1271" i="1"/>
  <c r="AM1235" i="1"/>
  <c r="AN909" i="1"/>
  <c r="AP1465" i="1"/>
  <c r="AT1421" i="1"/>
  <c r="AL1421" i="1"/>
  <c r="AP1497" i="1"/>
  <c r="AO1465" i="1"/>
  <c r="AM893" i="1"/>
  <c r="AN601" i="1"/>
  <c r="AR785" i="1"/>
  <c r="AS143" i="1"/>
  <c r="AS1463" i="1" l="1"/>
  <c r="AR1463" i="1"/>
  <c r="AN1463" i="1"/>
  <c r="AT913" i="1"/>
  <c r="AT1463" i="1"/>
  <c r="AT6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H141" authorId="0" shapeId="0" xr:uid="{00000000-0006-0000-0000-000001000000}">
      <text>
        <r>
          <rPr>
            <sz val="11"/>
            <color rgb="FF000000"/>
            <rFont val="Calibri"/>
            <family val="2"/>
          </rPr>
          <t>Check These. Especially Last column with 2 hours. Think you switched the same/paraphrase data around
	-Abigail Csik</t>
        </r>
      </text>
    </comment>
    <comment ref="H603" authorId="0" shapeId="0" xr:uid="{00000000-0006-0000-0000-000002000000}">
      <text>
        <r>
          <rPr>
            <sz val="11"/>
            <color rgb="FF000000"/>
            <rFont val="Calibri"/>
            <family val="2"/>
          </rPr>
          <t>Maybe?
	-Abigail Csik</t>
        </r>
      </text>
    </comment>
    <comment ref="H605" authorId="0" shapeId="0" xr:uid="{00000000-0006-0000-0000-000003000000}">
      <text>
        <r>
          <rPr>
            <sz val="11"/>
            <color rgb="FF000000"/>
            <rFont val="Calibri"/>
            <family val="2"/>
          </rPr>
          <t>Maybe?
	-Abigail Csik</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H3" authorId="0" shapeId="0" xr:uid="{00000000-0006-0000-0700-000001000000}">
      <text>
        <r>
          <rPr>
            <sz val="11"/>
            <color rgb="FF000000"/>
            <rFont val="Calibri"/>
            <family val="2"/>
          </rPr>
          <t>Check These. Especially Last column with 2 hours. Think you switched the same/paraphrase data around
	-Abigail Csik</t>
        </r>
      </text>
    </comment>
    <comment ref="H29" authorId="0" shapeId="0" xr:uid="{00000000-0006-0000-0700-000002000000}">
      <text>
        <r>
          <rPr>
            <sz val="11"/>
            <color rgb="FF000000"/>
            <rFont val="Calibri"/>
            <family val="2"/>
          </rPr>
          <t>Maybe?
	-Abigail Csik</t>
        </r>
      </text>
    </comment>
    <comment ref="H31" authorId="0" shapeId="0" xr:uid="{00000000-0006-0000-0700-000003000000}">
      <text>
        <r>
          <rPr>
            <sz val="11"/>
            <color rgb="FF000000"/>
            <rFont val="Calibri"/>
            <family val="2"/>
          </rPr>
          <t>Maybe?
	-Abigail Csik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H3" authorId="0" shapeId="0" xr:uid="{00000000-0006-0000-0900-000001000000}">
      <text>
        <r>
          <rPr>
            <sz val="11"/>
            <color rgb="FF000000"/>
            <rFont val="Calibri"/>
            <family val="2"/>
          </rPr>
          <t>Check These. Especially Last column with 2 hours. Think you switched the same/paraphrase data around
	-Abigail Csik</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H7" authorId="0" shapeId="0" xr:uid="{00000000-0006-0000-0B00-000001000000}">
      <text>
        <r>
          <rPr>
            <sz val="11"/>
            <color rgb="FF000000"/>
            <rFont val="Calibri"/>
            <family val="2"/>
          </rPr>
          <t>Maybe?
	-Abigail Csik</t>
        </r>
      </text>
    </comment>
    <comment ref="H9" authorId="0" shapeId="0" xr:uid="{00000000-0006-0000-0B00-000002000000}">
      <text>
        <r>
          <rPr>
            <sz val="11"/>
            <color rgb="FF000000"/>
            <rFont val="Calibri"/>
            <family val="2"/>
          </rPr>
          <t>Maybe?
	-Abigail Csik</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<sst xmlns="http://schemas.openxmlformats.org/spreadsheetml/2006/main" count="19632" uniqueCount="1034">
  <si>
    <t>APA citation</t>
  </si>
  <si>
    <t>Source</t>
  </si>
  <si>
    <t>Year</t>
  </si>
  <si>
    <t>Memory test</t>
  </si>
  <si>
    <t>Measure</t>
  </si>
  <si>
    <t>Distractor</t>
  </si>
  <si>
    <t>Sample Size</t>
  </si>
  <si>
    <t>Memoranda</t>
  </si>
  <si>
    <t>Additional info</t>
  </si>
  <si>
    <t>Intercept Linear</t>
  </si>
  <si>
    <t>Exponent Power</t>
  </si>
  <si>
    <t>Constant Power</t>
  </si>
  <si>
    <t>Averell, L., &amp; Heathcote, A. (2009). Long term implicit and explicit memory for briefly studied words. In A. Taatgen, &amp; H. van Rijn (Eds.), Proceedings of the 31st annual conference of the cognitive science society (pp. 267–281). Austin, TX: Cognitive Science Society.</t>
  </si>
  <si>
    <t xml:space="preserve">Proceedings of the Annual Meeting of the Cognitive Science Society </t>
  </si>
  <si>
    <t>Stem Completion</t>
  </si>
  <si>
    <t>% correct</t>
  </si>
  <si>
    <t>words</t>
  </si>
  <si>
    <t>Figure 5</t>
  </si>
  <si>
    <t>28 days</t>
  </si>
  <si>
    <t>JEP</t>
  </si>
  <si>
    <t>% Recalled</t>
  </si>
  <si>
    <t>8 presentations</t>
  </si>
  <si>
    <t>Table 1</t>
  </si>
  <si>
    <t>27 seconds</t>
  </si>
  <si>
    <t>4 presentations</t>
  </si>
  <si>
    <t>2 presentations</t>
  </si>
  <si>
    <t>1 presentation</t>
  </si>
  <si>
    <t>counting backwards</t>
  </si>
  <si>
    <t>18 seconds</t>
  </si>
  <si>
    <t>Words</t>
  </si>
  <si>
    <t>Table 3</t>
  </si>
  <si>
    <t>Peterson, L. R., &amp; Peterson, M. J. (1959). Short-term retention of individual verbal items. Journal of Experimental Psychology, 58(3), 193-198.</t>
  </si>
  <si>
    <t>Figure 3</t>
  </si>
  <si>
    <t xml:space="preserve">JEPLMC </t>
  </si>
  <si>
    <t>Recognition</t>
  </si>
  <si>
    <t>repetition/subtraction</t>
  </si>
  <si>
    <t>5.9 seconds</t>
  </si>
  <si>
    <t>odd/even</t>
  </si>
  <si>
    <t>Table 2</t>
  </si>
  <si>
    <t>6 seconds</t>
  </si>
  <si>
    <t>% Correct</t>
  </si>
  <si>
    <t>Figure 2</t>
  </si>
  <si>
    <t>12 seconds</t>
  </si>
  <si>
    <t>Figure 4</t>
  </si>
  <si>
    <t>Figure 8</t>
  </si>
  <si>
    <t>JEPLMC</t>
  </si>
  <si>
    <t>Fragment Completion</t>
  </si>
  <si>
    <t>32 seconds</t>
  </si>
  <si>
    <t>QJEP</t>
  </si>
  <si>
    <t>% recalled</t>
  </si>
  <si>
    <t>Figure 1</t>
  </si>
  <si>
    <t>25 seconds</t>
  </si>
  <si>
    <t>30 seconds</t>
  </si>
  <si>
    <t>arithmetic</t>
  </si>
  <si>
    <t>Neuropsychologia</t>
  </si>
  <si>
    <t>Psych Sci</t>
  </si>
  <si>
    <t>40 seconds</t>
  </si>
  <si>
    <t>4.8 minutes</t>
  </si>
  <si>
    <t>JVLVB</t>
  </si>
  <si>
    <t>90 minutes</t>
  </si>
  <si>
    <t>count backwards</t>
  </si>
  <si>
    <t>Stories</t>
  </si>
  <si>
    <t>10 minutes</t>
  </si>
  <si>
    <t>60 minutes</t>
  </si>
  <si>
    <t>stem completion</t>
  </si>
  <si>
    <t>Cued Recall</t>
  </si>
  <si>
    <t>62.8 Minutes</t>
  </si>
  <si>
    <t>Figure 10</t>
  </si>
  <si>
    <t>70.4 minutes</t>
  </si>
  <si>
    <t>12.75 minutes</t>
  </si>
  <si>
    <t>Memory</t>
  </si>
  <si>
    <t>math</t>
  </si>
  <si>
    <t>8 Minutes</t>
  </si>
  <si>
    <t>4 minutes</t>
  </si>
  <si>
    <t>Memory and Cognition</t>
  </si>
  <si>
    <t>M&amp;C</t>
  </si>
  <si>
    <t>2 hours</t>
  </si>
  <si>
    <t>Chen, K., &amp; Squire, S. (1990). Strength and duration of word-completion priming as a function of word repetition and spacing. Bulletin of the Psychonomic Society, 28(2), 97-100.</t>
  </si>
  <si>
    <t>Bull Psych Soc</t>
  </si>
  <si>
    <t>24 hours</t>
  </si>
  <si>
    <t>Hashtroudi, S., Ferguson, S., Rappold, V., Chrosniak, L., &amp; Roediger, Henry L. (1988). Data-Driven and Conceptually Driven Processes in Partial-Word Identification and Recognition. Journal of Experimental Psychology: Learning, Memory, and Cognition, 14(4), 749-757.</t>
  </si>
  <si>
    <t>Howarth, E., &amp; Eysenck, H. J. (1969). Extraversion, Arousal, and Paired-Associate REcall. Journal of Experimental Research in Personality, 3, 114-116.</t>
  </si>
  <si>
    <t>J of Exp Res in Personality</t>
  </si>
  <si>
    <t>word game</t>
  </si>
  <si>
    <t>AJP</t>
  </si>
  <si>
    <t>8 hours</t>
  </si>
  <si>
    <t>Archives of Psychology</t>
  </si>
  <si>
    <t>Savings</t>
  </si>
  <si>
    <t>2 days</t>
  </si>
  <si>
    <t>Butter, M. J. (1970). Differential recall of paired associates as a function of arousal and concreteness-imagery levels. Journal of Experimental Psychology, 84(2), 252-256.</t>
  </si>
  <si>
    <t>word-digit pairs</t>
  </si>
  <si>
    <t>Chan, J. C. K. (2010). Long-term effects of testing on the recall of nontested materials. Memory, 18(1), 49-57.</t>
  </si>
  <si>
    <t>OSPAN, mental arithmetic</t>
  </si>
  <si>
    <t>Concepts</t>
  </si>
  <si>
    <t xml:space="preserve">Dewar, M., Alber, J., Butler, C., Cowan, N., &amp; Della Salla, S. (2012). Brief wakeful resting boosts new memories over the long term. Psychological Science, 23(9), 955-960.
</t>
  </si>
  <si>
    <t>Psych Science</t>
  </si>
  <si>
    <t>spot the difference task</t>
  </si>
  <si>
    <t>7 days</t>
  </si>
  <si>
    <t>Finkenbinder, E. O. (1913). The curve of forgetting. The American Journal of Psychology, 24(1), 8-32.</t>
  </si>
  <si>
    <t>savings</t>
  </si>
  <si>
    <t>3 days</t>
  </si>
  <si>
    <t xml:space="preserve">Fioravanti, M., &amp; Di Cesare, F. (1992). Forgetting curves in long-term memory: Evidence for a multistage model of retention. Brain and Cognition, 18, 116-124.
</t>
  </si>
  <si>
    <t>B&amp;C</t>
  </si>
  <si>
    <t>next task in procedure</t>
  </si>
  <si>
    <t>Gilbert, T. (1957). Overlearning and the Retention of Meaningful Prose. The Journal of General Psychology, 56(2), 281-289.</t>
  </si>
  <si>
    <t>J of General Psych</t>
  </si>
  <si>
    <t xml:space="preserve">Goldsmith, M., Koriat, A., &amp; Pansky, A. (2005). Strategic regulation of grain size in memory reporting over time. Journal of Memory and Language, 52, 505-525.
</t>
  </si>
  <si>
    <t>JML</t>
  </si>
  <si>
    <t>asked opinions on politics</t>
  </si>
  <si>
    <t xml:space="preserve">Graves, E. A. (1936). The effect of sleep upon retention. Journal of Experimental Psychology, 19(3), 316-322.
</t>
  </si>
  <si>
    <t>6 days</t>
  </si>
  <si>
    <t>Roediger, H., &amp; Karpicke, J. (2006). Test-Enhanced Learning: Taking Memory Tests Improves Long-Term Retention. Psychological Science, 17(3), 249-255.</t>
  </si>
  <si>
    <t>multiplication</t>
  </si>
  <si>
    <t xml:space="preserve">Kaplan, R., &amp; Kaplan, S. (1969). The arousal-retention interval interaction revisited: The effects of some procedural changes. Psychonomic Science, 15, 84-85.
</t>
  </si>
  <si>
    <t>Psychonomic Science</t>
  </si>
  <si>
    <t>4 days</t>
  </si>
  <si>
    <t xml:space="preserve">Kleinsmith, L. J., &amp; Kaplan, S. (1963). Paired-associate learning as a function of arousal and interpolated interval. Journal of Experimental Psychology, 65(2), 190-193.
</t>
  </si>
  <si>
    <t xml:space="preserve">Kleinsmith, L. J., &amp; Kaplan, S. (1964). Interaction of arousal and recall interval in nonsense syllable paired-associate learning. Journal of Experimental Psychology, 67(2), 124-126.
</t>
  </si>
  <si>
    <t>Luh, C. W. (1922). The conditions of retention. Psychological Monographs, 31(3).</t>
  </si>
  <si>
    <t>Psych Mono</t>
  </si>
  <si>
    <t xml:space="preserve">Mammarella, N., Farifield, B., &amp; Cornoldi, C. (2007). Reality monitoring and resistance to forgetting under short delay intervals. The Quarterly Journal of Experimental Psychology, 60(4), 551-570.
</t>
  </si>
  <si>
    <t>Source Monitoring</t>
  </si>
  <si>
    <t>Raymaekers, L., Otgaar, H., &amp; Smeets, T. (2014). The longevity of adaptive memory: Evidence for mnemonic advantages of survival processing 24 and 48 hours later. Memory, 22(1), 19-25.</t>
  </si>
  <si>
    <t>Tetris</t>
  </si>
  <si>
    <t>Roediger, H., Weldon, M., Stadler, M., Riegler, G., &amp; Rayner, Keith. (1992). Direct Comparison of Two Implicit Memory Tests: Word Fragment and Word Stem Completion. Journal of Experimental Psychology: Learning, Memory, and Cognition, 18(6), 1251-1269.</t>
  </si>
  <si>
    <t>Fragment completion</t>
  </si>
  <si>
    <t>Stem completion</t>
  </si>
  <si>
    <t>Anagram solution</t>
  </si>
  <si>
    <t>Slamecka, Norman J., &amp; McElree, Brian. (1983). Normal Forgetting of Verbal Lists as a Function of Their Degree of Learning. Journal of Experimental Psychology: Learning, Memory, and Cognition, 9(3), 384-97.</t>
  </si>
  <si>
    <t>digit subtraction</t>
  </si>
  <si>
    <t>high</t>
  </si>
  <si>
    <t>5 days</t>
  </si>
  <si>
    <t>low</t>
  </si>
  <si>
    <t>Matching</t>
  </si>
  <si>
    <t>Strong, E. K., (1913). The effect of time-interval upon recognition memory. The Psychological Review, 20(5), 339-372.</t>
  </si>
  <si>
    <t>Psych Review</t>
  </si>
  <si>
    <t xml:space="preserve">mental arithmetic </t>
  </si>
  <si>
    <t>Thapar, A., &amp; McDermott, K. (2001). False recall and false recognition induced by presentation of associated words: Effects of retention interval and level of processing. Memory &amp; Cognition, 29(3), 424-432.</t>
  </si>
  <si>
    <t xml:space="preserve">Walker, E. L., &amp; Tarte, R. D. (1963). Memory storage as a function of arousal and time with homogeneous and heterogeneous lists. Journal of Verbal Learning and Verbal Behavior, 2, 113-119.
</t>
  </si>
  <si>
    <t>Book</t>
  </si>
  <si>
    <t>4 weeks</t>
  </si>
  <si>
    <t>Burtt, H., &amp; Dobell, E. (1925). The Curve of Forgetting for Advertising Material. Journal of Applied Psychology, 9, 5.</t>
  </si>
  <si>
    <t>J of Applied Psych</t>
  </si>
  <si>
    <t xml:space="preserve">Carpenter, S. K., Pashler, H., Wixted, J. T., &amp; Vul, E. (2008). The effects of tests on learning and forgetting. Memory and Cognition, 36(2), 438-448.
</t>
  </si>
  <si>
    <t>42 days</t>
  </si>
  <si>
    <t>Craig, C., Sternthal, B., &amp; Olshan, K. (1972). The effect of overlearning on retention. Journal of General Psychology, 87, 85.</t>
  </si>
  <si>
    <t>Ad slides</t>
  </si>
  <si>
    <t>Ebbinghaus, H. (1885/1913). Memory: A contribution to experimental psychology (H. A. Ruger &amp; C. E. Bussenius, Trans.). New York: Columbia University, Teacher’s College. (Reprinted 1964, New York: Dover).</t>
  </si>
  <si>
    <t>4.429 weeks</t>
  </si>
  <si>
    <t>Goetschalckx, L., Moors, P., &amp; Wagemans, J. (2018). Image memorability across longer time intervals. Memory, 26(5), 581-588.</t>
  </si>
  <si>
    <t>1 week</t>
  </si>
  <si>
    <t xml:space="preserve">Kristo, G., Janssen, S. M., &amp; Murre, J. M. (2009). Retention of autobiographical memories: An Internet-based diary study. Memory, 17(8), 816-829.
</t>
  </si>
  <si>
    <t>6.571 weeks</t>
  </si>
  <si>
    <t>Krueger, W., &amp; Bentley, Madison. (1929). The effect of overlearning on retention. Journal of Experimental Psychology, 12(1), 71-78.</t>
  </si>
  <si>
    <t xml:space="preserve">Legenfelder, J., Chiaravalloti, N. D., DeLuca, J. (2007). The efficacy of the generation effect in improving new learning in persons with traumatic brain injury. Rehabilitation Psychology, 52(3), 290-296.
</t>
  </si>
  <si>
    <t>Rehabilitation Psychology</t>
  </si>
  <si>
    <t>BRM</t>
  </si>
  <si>
    <t>7 weeks</t>
  </si>
  <si>
    <t>Nunoi, M., &amp; Yoshikawa, S. (2016). Deep processing makes stimuli more preferable over long durations. Journal of Cognitive Psychology, 28(6), 756-763.</t>
  </si>
  <si>
    <t>J of Cog Psy 2016</t>
  </si>
  <si>
    <t>6 weeks</t>
  </si>
  <si>
    <t>Radvansky, G., O’Rear, A., &amp; Fisher, A. (2017). Event models and the fan effect. Memory &amp; Cognition, 45(6), 1028-1044.</t>
  </si>
  <si>
    <t>2 Weeks</t>
  </si>
  <si>
    <t xml:space="preserve">Runquist, W. N. (1983). Some effects of remembering on forgetting. Memory and Cognition, 11(6), 641-650.
</t>
  </si>
  <si>
    <t>math problems</t>
  </si>
  <si>
    <t>3 weeks</t>
  </si>
  <si>
    <t xml:space="preserve">Staats, A.W., Minke, K. A., &amp; Stalling, R. B. (1970). Long-term Retention of Conditioned Attitudes (No. TR-6). Hawaii University Honolulu, Department of Psychology.
</t>
  </si>
  <si>
    <t>ERIC</t>
  </si>
  <si>
    <t>Tunney, &amp; Bezzina. (2007). Effects of retention intervals on receiver operating characteristics in artificial grammar learning. Acta Psychologica, 125(1), 37-50.</t>
  </si>
  <si>
    <t>Acta Psych</t>
  </si>
  <si>
    <t>2 weeks</t>
  </si>
  <si>
    <t>Wixted, J. T., &amp; Ebbesen, E. B. (1991). On the form of forgetting. Psychological Science, 2(6), 409-415.</t>
  </si>
  <si>
    <t>Faces</t>
  </si>
  <si>
    <t>12 Weeks</t>
  </si>
  <si>
    <t>Free Recall</t>
  </si>
  <si>
    <t>Spatial position</t>
  </si>
  <si>
    <t>Cepeda, N., Vul, E., Rohrer, D., Wixted, J., &amp; Pashler, H. (2008). Spacing Effects in Learning: A Temporal Ridgeline of Optimal Retention. Psychological Science, 19(11), 1095-1102.</t>
  </si>
  <si>
    <t>350 days</t>
  </si>
  <si>
    <t xml:space="preserve">Gehring, R. E., Toglia, M. P., &amp; Kimble, G. A. (1976). Recognition memory for words and pictures at short and long retention intervals. Memory &amp; Cognition, 4(3), 256-260.
</t>
  </si>
  <si>
    <t>3 months</t>
  </si>
  <si>
    <t xml:space="preserve">Glasnapp, D. R., Poggio, J. P. and Ory, J. C. (1978). End-of-Course and Long-Term Retention Outcomes for Mastery and Nonmastery Learning Paradigms. Psychology in the Schools, 15(4), 595-603.
</t>
  </si>
  <si>
    <t>Psych in the Schools</t>
  </si>
  <si>
    <t>Multiple Choice</t>
  </si>
  <si>
    <t>16 months</t>
  </si>
  <si>
    <t xml:space="preserve">Lavach, J. F. (1971). The effects of emotional arousal on short vs. long term retention of continuously presented information. Final report. Williamsburg, VA: College of William and Mary.
</t>
  </si>
  <si>
    <t>1 month</t>
  </si>
  <si>
    <t>2.5 months</t>
  </si>
  <si>
    <t xml:space="preserve">Meeter, M., Murre, J. M., &amp; Janssen, S. M. (2005). Remembering the news: Modeling retention data from a study with 14,000 participants. Memory &amp; Cognition, 33(5), 793-810.
</t>
  </si>
  <si>
    <t xml:space="preserve">M&amp;C </t>
  </si>
  <si>
    <t>12 months</t>
  </si>
  <si>
    <t>Radosavljevich, P. R. (1907). Das Behalten und Vergessen bei Kindern und Erwachsenen nach experimentellen Untersuchungen:(Das Fortschreiten des Vergessens mit der Zeit) (Vol. 1). O. Nemnich.</t>
  </si>
  <si>
    <t>Nemnich</t>
  </si>
  <si>
    <t>Applied Cog Psych</t>
  </si>
  <si>
    <t>2 months</t>
  </si>
  <si>
    <t xml:space="preserve">Seamon, J. G., Luo, C. R., Kopecky, J. J., Price, C. A., Rothschild, L., Fung, N. S., &amp; Schwartz, M. A. (2002). Are false memories more difficult to forget than accurate memories? The effect of retention interval on recall and recognition. Memory and Cognition, 30(7), 1054-1064.
</t>
  </si>
  <si>
    <t>studied</t>
  </si>
  <si>
    <t>Shapiro, L. (2006). Remembering September 11th: The role of retention interval and rehearsal on flashbulb and event memory. Memory, 14(2), 129-147.</t>
  </si>
  <si>
    <t xml:space="preserve">Sloman, S. A., Hayman, C. A. G., Ohta, N., Law, J., &amp; Tulving, E. (1988). Forgetting in primed fragment completion. Journal of Experimental Psychology: Learning, Memory, and Cognition, 14(2), 223-239.
</t>
  </si>
  <si>
    <t xml:space="preserve">Takashima, A., Petersson, K. M., Rutters, F., Tendolkar, I., Jensen, O., Zwarts, M. J., McNaughton, B.L., &amp; Fernandez, G. (2006). Declarative memory consolidation in humans: A prospective functional magnetic resonance imaging study. Proceedings of the National Academy of Sciences of the United States of America, 103(3), 756-761.
</t>
  </si>
  <si>
    <t>PNAS</t>
  </si>
  <si>
    <t>Weaver III, C. A., &amp; Krug, K. S. (2004). Consolidation-like effects in flashbulb memories: Evidence from September 11, 2001. American Journal of Psychology, 517-530.</t>
  </si>
  <si>
    <t xml:space="preserve">Bahrick, H. P., Bahrick, P. O., &amp; Wittlinger, R. P. (1975). Fifty years of memory for names and faces: A cross-sectional approach. Journal of Experimental Psychology: General, 104(1), 54-75.
</t>
  </si>
  <si>
    <t>JEP:G</t>
  </si>
  <si>
    <t>Names</t>
  </si>
  <si>
    <t>48 years</t>
  </si>
  <si>
    <t xml:space="preserve">Bahrick, H. P. (1983). The cognitive map of a city: Fifty years of learning and memory. Psychology of Learning and Motivation, 17, 125-163.
</t>
  </si>
  <si>
    <t>PL&amp;M</t>
  </si>
  <si>
    <t>46 years</t>
  </si>
  <si>
    <t xml:space="preserve">Bahrick, H. P. (1984). Semantic memory content in permastore: Fifty years of memory for Spanish learned in school. Journal of Experimental Psychology: General, 113(1), 1-29.
</t>
  </si>
  <si>
    <t>50 years</t>
  </si>
  <si>
    <t xml:space="preserve">Bahrick, H. P., Hall, L. K., &amp; Da Costa, L. A. (2008). Fifty years of memory of college grades: Accuracy and distortions. Emotion, 8(1), 13-22.
</t>
  </si>
  <si>
    <t>Emotion</t>
  </si>
  <si>
    <t>Bauer, P. J., &amp; Larkina, M. (2016). Predicting remembering and forgetting of autobiographical memories in children and adults: a 4-year prospective study. Memory, 24(10), 1345-1368.</t>
  </si>
  <si>
    <t xml:space="preserve">Conway, M. A., Cohen, G., &amp; Stanhope, N. (1991). On the very long-term retention of knowledge acquired through formal education: Twelve years of cognitive psychology. Journal of Experimental Psychology: General, 120(4), 395-409.
</t>
  </si>
  <si>
    <t xml:space="preserve">Ellis, J. A., Semb, G. B., &amp; Cole, B. (1998). Very long-term memory for information taught in school. Contemporary Educational Psychology, 23(4), 419-433.
</t>
  </si>
  <si>
    <t>Contemporary Ed Psych</t>
  </si>
  <si>
    <t>Figure 1-A</t>
  </si>
  <si>
    <t>16 years</t>
  </si>
  <si>
    <t>Hirst, W., Phelps, E. A., Meksin, R., Vaidya, C. J., Johnson, M. K., Mitchell, K. J., &amp; ... Olsson, A. (2015). A ten-year follow-up of a study of memory for the attack of September 11, 2001: Flashbulb memories and memories for flashbulb events. Journal Of Experimental Psychology: General, 144(3), 604-623. doi:10.1037/xge0000055</t>
  </si>
  <si>
    <t>9.907 years</t>
  </si>
  <si>
    <t xml:space="preserve">Shapiro, L. (2006). Remembering September 11th: The role of retention interval and rehearsal on flashbulb and event memory. Memory, 14(2), 129-147.
</t>
  </si>
  <si>
    <t>2 years</t>
  </si>
  <si>
    <t xml:space="preserve">Squire, L. R. (1989). On the course of forgetting in very long-term memory. Journal of Experimental Psychology: Learning, Memory, and Cognition, 15(2), 241-245.
</t>
  </si>
  <si>
    <t>JEP LMC</t>
  </si>
  <si>
    <t>15 years</t>
  </si>
  <si>
    <t xml:space="preserve">Wagenaar, W. A. (1986). My memory: A study of autobiographical memory over six years. Cognitive Psychology, 18(2), 225-252.
</t>
  </si>
  <si>
    <t>Cog Psy</t>
  </si>
  <si>
    <t>Table 4</t>
  </si>
  <si>
    <t>% recall</t>
  </si>
  <si>
    <t>mean correct</t>
  </si>
  <si>
    <t>3 years</t>
  </si>
  <si>
    <t>47.25 years</t>
  </si>
  <si>
    <t>Figure 9</t>
  </si>
  <si>
    <t>% saved</t>
  </si>
  <si>
    <t>% retention</t>
  </si>
  <si>
    <t>30.87 months</t>
  </si>
  <si>
    <t>6.17 months</t>
  </si>
  <si>
    <t>Design</t>
  </si>
  <si>
    <t>Section 28, I-VII</t>
  </si>
  <si>
    <t>J  General Psych</t>
  </si>
  <si>
    <r>
      <t xml:space="preserve">Bauer, P. J., Stweart, R., Sirkin, R. E., Larkina, M. (2017). Robust memory of where from way back when: evidence from behaviour and visual attention. </t>
    </r>
    <r>
      <rPr>
        <i/>
        <sz val="10"/>
        <rFont val="Calibri Light"/>
        <family val="2"/>
        <scheme val="major"/>
      </rPr>
      <t>Memory 25</t>
    </r>
    <r>
      <rPr>
        <sz val="10"/>
        <rFont val="Calibri Light"/>
        <family val="2"/>
        <scheme val="major"/>
      </rPr>
      <t>(8), 1089-1109.</t>
    </r>
  </si>
  <si>
    <r>
      <t xml:space="preserve">Bregman, A. S. (1968). Forgetting curves with semantic, phonetic, graphic, and contiguity cues. </t>
    </r>
    <r>
      <rPr>
        <i/>
        <sz val="10"/>
        <rFont val="Calibri Light"/>
        <family val="2"/>
        <scheme val="major"/>
      </rPr>
      <t>Journal of Experimental Psychology, 78</t>
    </r>
    <r>
      <rPr>
        <sz val="10"/>
        <rFont val="Calibri Light"/>
        <family val="2"/>
        <scheme val="major"/>
      </rPr>
      <t>, 539-546.</t>
    </r>
  </si>
  <si>
    <r>
      <t>Graf, P., &amp; Mandler, G. (1984). Activation Makes Words More Accessible, but Not Necessarily More Retrievable. </t>
    </r>
    <r>
      <rPr>
        <i/>
        <sz val="10"/>
        <rFont val="Calibri Light"/>
        <family val="2"/>
        <scheme val="major"/>
      </rPr>
      <t>Journal of Verbal Learning and Verbal Behavior,</t>
    </r>
    <r>
      <rPr>
        <sz val="10"/>
        <rFont val="Calibri Light"/>
        <family val="2"/>
        <scheme val="major"/>
      </rPr>
      <t> </t>
    </r>
    <r>
      <rPr>
        <i/>
        <sz val="10"/>
        <rFont val="Calibri Light"/>
        <family val="2"/>
        <scheme val="major"/>
      </rPr>
      <t>23</t>
    </r>
    <r>
      <rPr>
        <sz val="10"/>
        <rFont val="Calibri Light"/>
        <family val="2"/>
        <scheme val="major"/>
      </rPr>
      <t>(5), 553-568.</t>
    </r>
  </si>
  <si>
    <r>
      <t xml:space="preserve">Hellyer, S. (1962). Supplementary report: Frequency of stimulus presentation and short-term decrement in recall. </t>
    </r>
    <r>
      <rPr>
        <i/>
        <sz val="10"/>
        <rFont val="Calibri Light"/>
        <family val="2"/>
        <scheme val="major"/>
      </rPr>
      <t>Journal of Experimental Psychology, 64</t>
    </r>
    <r>
      <rPr>
        <sz val="10"/>
        <rFont val="Calibri Light"/>
        <family val="2"/>
        <scheme val="major"/>
      </rPr>
      <t>(6), 650.</t>
    </r>
  </si>
  <si>
    <r>
      <t xml:space="preserve">Isaac, C. L., &amp; Mayes, A. R. (1999).Rate of Forgetting in Amnesia: </t>
    </r>
    <r>
      <rPr>
        <i/>
        <sz val="10"/>
        <rFont val="Calibri Light"/>
        <family val="2"/>
        <scheme val="major"/>
      </rPr>
      <t>I. Recall and recognition of prose</t>
    </r>
    <r>
      <rPr>
        <sz val="10"/>
        <rFont val="Calibri Light"/>
        <family val="2"/>
        <scheme val="major"/>
      </rPr>
      <t>. </t>
    </r>
    <r>
      <rPr>
        <i/>
        <sz val="10"/>
        <rFont val="Calibri Light"/>
        <family val="2"/>
        <scheme val="major"/>
      </rPr>
      <t>Journal of Experimental Psychology: Learning, Memory and Cognition,</t>
    </r>
    <r>
      <rPr>
        <sz val="10"/>
        <rFont val="Calibri Light"/>
        <family val="2"/>
        <scheme val="major"/>
      </rPr>
      <t> </t>
    </r>
    <r>
      <rPr>
        <i/>
        <sz val="10"/>
        <rFont val="Calibri Light"/>
        <family val="2"/>
        <scheme val="major"/>
      </rPr>
      <t>25</t>
    </r>
    <r>
      <rPr>
        <sz val="10"/>
        <rFont val="Calibri Light"/>
        <family val="2"/>
        <scheme val="major"/>
      </rPr>
      <t>(4), 942.</t>
    </r>
  </si>
  <si>
    <r>
      <t xml:space="preserve">Jenkins, J. G., &amp; Dallenbach, K. M. (1924). Minor studies from the psychological laboratory of Cornell university: Obliviance during sleep and waking. </t>
    </r>
    <r>
      <rPr>
        <i/>
        <sz val="10"/>
        <rFont val="Calibri Light"/>
        <family val="2"/>
        <scheme val="major"/>
      </rPr>
      <t>American Journal of Psychology, 35</t>
    </r>
    <r>
      <rPr>
        <sz val="10"/>
        <rFont val="Calibri Light"/>
        <family val="2"/>
        <scheme val="major"/>
      </rPr>
      <t>, 605-612.</t>
    </r>
  </si>
  <si>
    <r>
      <t xml:space="preserve">McBride, D. M., &amp; Dosher, B. A. (1997). A comparison of forgetting in an implicit and explicit memory task. </t>
    </r>
    <r>
      <rPr>
        <i/>
        <sz val="10"/>
        <rFont val="Calibri Light"/>
        <family val="2"/>
        <scheme val="major"/>
      </rPr>
      <t>Journal of Experimental Psychology: General, 126</t>
    </r>
    <r>
      <rPr>
        <sz val="10"/>
        <rFont val="Calibri Light"/>
        <family val="2"/>
        <scheme val="major"/>
      </rPr>
      <t>(4), 371.</t>
    </r>
  </si>
  <si>
    <r>
      <t xml:space="preserve">McBride, D. M., &amp; Dosher, B. A. (1999). Forgetting rates are comparable in conscious and automatic memory: A process-dissociation study. </t>
    </r>
    <r>
      <rPr>
        <i/>
        <sz val="10"/>
        <rFont val="Calibri Light"/>
        <family val="2"/>
        <scheme val="major"/>
      </rPr>
      <t>Journal of Experimental Psychology: Learning, Memory, and Cognition, 25</t>
    </r>
    <r>
      <rPr>
        <sz val="10"/>
        <rFont val="Calibri Light"/>
        <family val="2"/>
        <scheme val="major"/>
      </rPr>
      <t>(3), 583-607.</t>
    </r>
  </si>
  <si>
    <r>
      <t xml:space="preserve">Murdock, B. B. (1961). The retention of individual items. </t>
    </r>
    <r>
      <rPr>
        <i/>
        <sz val="10"/>
        <rFont val="Calibri Light"/>
        <family val="2"/>
        <scheme val="major"/>
      </rPr>
      <t>Journal of Experimental Psychology, 62</t>
    </r>
    <r>
      <rPr>
        <sz val="10"/>
        <rFont val="Calibri Light"/>
        <family val="2"/>
        <scheme val="major"/>
      </rPr>
      <t>(6), 618-625.</t>
    </r>
  </si>
  <si>
    <r>
      <t xml:space="preserve">Nelson, T. O., Shimamura, A. P., &amp; Leonesio, R J. (1980). Large effects on long-term retention after standard list learning vs. adjusted learning. </t>
    </r>
    <r>
      <rPr>
        <i/>
        <sz val="10"/>
        <rFont val="Calibri Light"/>
        <family val="2"/>
        <scheme val="major"/>
      </rPr>
      <t>Behavior Research Methods &amp; Instrumentation, 12</t>
    </r>
    <r>
      <rPr>
        <sz val="10"/>
        <rFont val="Calibri Light"/>
        <family val="2"/>
        <scheme val="major"/>
      </rPr>
      <t>(1), 42-44.</t>
    </r>
  </si>
  <si>
    <r>
      <t>Ricker, T. J., &amp; Cowan, N. (2010). Loss of visual working memory within seconds: The combined use of refreshable and non-refreshable features.</t>
    </r>
    <r>
      <rPr>
        <i/>
        <sz val="10"/>
        <rFont val="Calibri Light"/>
        <family val="2"/>
        <scheme val="major"/>
      </rPr>
      <t xml:space="preserve"> Journal of Experimental Psychology: Learning, Memory, and Cognition, 36</t>
    </r>
    <r>
      <rPr>
        <sz val="10"/>
        <rFont val="Calibri Light"/>
        <family val="2"/>
        <scheme val="major"/>
      </rPr>
      <t>(6), 1355-1368.</t>
    </r>
  </si>
  <si>
    <r>
      <t xml:space="preserve">Ricker, T. J., &amp; Cowan, N. (2014). Differences between presentation methods in working memory procedures: a matter of working memory consolidation. </t>
    </r>
    <r>
      <rPr>
        <i/>
        <sz val="10"/>
        <rFont val="Calibri Light"/>
        <family val="2"/>
        <scheme val="major"/>
      </rPr>
      <t>Journal of Experimental Psychology: Learning, Memory, and Cognition, 40</t>
    </r>
    <r>
      <rPr>
        <sz val="10"/>
        <rFont val="Calibri Light"/>
        <family val="2"/>
        <scheme val="major"/>
      </rPr>
      <t>(2), 417-428.</t>
    </r>
  </si>
  <si>
    <r>
      <t>Ricker, T. J., Spiegel, L. R., &amp; Cowan, N. (2014). Time-based loss in visual short-term memory is from trace decay, not temporal distinctiveness</t>
    </r>
    <r>
      <rPr>
        <i/>
        <sz val="10"/>
        <rFont val="Calibri Light"/>
        <family val="2"/>
        <scheme val="major"/>
      </rPr>
      <t>. Journal of Experimental Psychology: Learning, Memory, and Cognition, 40</t>
    </r>
    <r>
      <rPr>
        <sz val="10"/>
        <rFont val="Calibri Light"/>
        <family val="2"/>
        <scheme val="major"/>
      </rPr>
      <t>(6), 1510-1523.</t>
    </r>
  </si>
  <si>
    <r>
      <t>Rowland, C., &amp; Delosh, E. (2014). Mnemonic benefits of retrieval practice at short retention intervals. </t>
    </r>
    <r>
      <rPr>
        <i/>
        <sz val="10"/>
        <rFont val="Calibri Light"/>
        <family val="2"/>
        <scheme val="major"/>
      </rPr>
      <t>Memory,</t>
    </r>
    <r>
      <rPr>
        <sz val="10"/>
        <rFont val="Calibri Light"/>
        <family val="2"/>
        <scheme val="major"/>
      </rPr>
      <t> </t>
    </r>
    <r>
      <rPr>
        <i/>
        <sz val="10"/>
        <rFont val="Calibri Light"/>
        <family val="2"/>
        <scheme val="major"/>
      </rPr>
      <t>23</t>
    </r>
    <r>
      <rPr>
        <sz val="10"/>
        <rFont val="Calibri Light"/>
        <family val="2"/>
        <scheme val="major"/>
      </rPr>
      <t>(3), 1-17.</t>
    </r>
  </si>
  <si>
    <r>
      <t xml:space="preserve">Sloman, S. A., Hayman, C. A. G., Ohta, N., Law, J., &amp; Tulving, E. (1988). Forgetting in primed fragment completion. </t>
    </r>
    <r>
      <rPr>
        <i/>
        <sz val="10"/>
        <rFont val="Calibri Light"/>
        <family val="2"/>
        <scheme val="major"/>
      </rPr>
      <t>Journal of Experimental Psychology: Learning, Memory, and Cognition, 14</t>
    </r>
    <r>
      <rPr>
        <sz val="10"/>
        <rFont val="Calibri Light"/>
        <family val="2"/>
        <scheme val="major"/>
      </rPr>
      <t>(2), 223-239.</t>
    </r>
  </si>
  <si>
    <r>
      <t xml:space="preserve">Rubin, D. C., Hinton, S., &amp; Wenzel, A. (1999). The precise time course of retention. </t>
    </r>
    <r>
      <rPr>
        <i/>
        <sz val="10"/>
        <rFont val="Calibri Light"/>
        <family val="2"/>
        <scheme val="major"/>
      </rPr>
      <t>Journal of Experimental Psychology: Learning, Memory, and Cognition, 25</t>
    </r>
    <r>
      <rPr>
        <sz val="10"/>
        <rFont val="Calibri Light"/>
        <family val="2"/>
        <scheme val="major"/>
      </rPr>
      <t>(5), 1161-176.</t>
    </r>
  </si>
  <si>
    <r>
      <t xml:space="preserve">Turvey, M. T. &amp; Weeks, R. A. (1979). Effects of proactive interference and rehearsal on the primary and secondary components of short-term retention. </t>
    </r>
    <r>
      <rPr>
        <i/>
        <sz val="10"/>
        <rFont val="Calibri Light"/>
        <family val="2"/>
        <scheme val="major"/>
      </rPr>
      <t>Quarterly Journal of Experimental Psychology, 27</t>
    </r>
    <r>
      <rPr>
        <sz val="10"/>
        <rFont val="Calibri Light"/>
        <family val="2"/>
        <scheme val="major"/>
      </rPr>
      <t>(1), 47-62.</t>
    </r>
  </si>
  <si>
    <r>
      <t xml:space="preserve">Van Ormer, E. B. (1932). Sleep and Retention. </t>
    </r>
    <r>
      <rPr>
        <i/>
        <sz val="10"/>
        <rFont val="Calibri Light"/>
        <family val="2"/>
        <scheme val="major"/>
      </rPr>
      <t>Archives of Psychology, 137,</t>
    </r>
    <r>
      <rPr>
        <sz val="10"/>
        <rFont val="Calibri Light"/>
        <family val="2"/>
        <scheme val="major"/>
      </rPr>
      <t> 49.</t>
    </r>
  </si>
  <si>
    <r>
      <t xml:space="preserve">White, K. G. (2012). Dissociation of short-term forgetting from the passage of time. </t>
    </r>
    <r>
      <rPr>
        <i/>
        <sz val="10"/>
        <rFont val="Calibri Light"/>
        <family val="2"/>
        <scheme val="major"/>
      </rPr>
      <t>Journal of Experimental Psychology: Learning, Memory, and Cognition, 38</t>
    </r>
    <r>
      <rPr>
        <sz val="10"/>
        <rFont val="Calibri Light"/>
        <family val="2"/>
        <scheme val="major"/>
      </rPr>
      <t>(1), 255-259.</t>
    </r>
  </si>
  <si>
    <r>
      <t xml:space="preserve">Wixted, J. T., &amp; Ebbesen, E. B. (1991). On the form of forgetting. </t>
    </r>
    <r>
      <rPr>
        <i/>
        <sz val="10"/>
        <rFont val="Calibri Light"/>
        <family val="2"/>
        <scheme val="major"/>
      </rPr>
      <t>Psychological Science</t>
    </r>
    <r>
      <rPr>
        <sz val="10"/>
        <rFont val="Calibri Light"/>
        <family val="2"/>
        <scheme val="major"/>
      </rPr>
      <t xml:space="preserve">, </t>
    </r>
    <r>
      <rPr>
        <i/>
        <sz val="10"/>
        <rFont val="Calibri Light"/>
        <family val="2"/>
        <scheme val="major"/>
      </rPr>
      <t>2</t>
    </r>
    <r>
      <rPr>
        <sz val="10"/>
        <rFont val="Calibri Light"/>
        <family val="2"/>
        <scheme val="major"/>
      </rPr>
      <t>(6), 409-415.</t>
    </r>
  </si>
  <si>
    <r>
      <t xml:space="preserve">Begg, I. &amp; Wickelgren, W. A. (1974). Retention functions for syntactic and lexical vs semantic information in sentence recognition memory. </t>
    </r>
    <r>
      <rPr>
        <i/>
        <sz val="10"/>
        <color theme="1"/>
        <rFont val="Calibri Light"/>
        <family val="2"/>
        <scheme val="major"/>
      </rPr>
      <t>Memory &amp; Cognition, 2</t>
    </r>
    <r>
      <rPr>
        <sz val="10"/>
        <color theme="1"/>
        <rFont val="Calibri Light"/>
        <family val="2"/>
        <scheme val="major"/>
      </rPr>
      <t>(2), 353-359.</t>
    </r>
  </si>
  <si>
    <t>between</t>
  </si>
  <si>
    <t>Unpublished</t>
  </si>
  <si>
    <t xml:space="preserve">Thompson, C. P., Skowronski, J. J., Larsen, S. F., &amp; Beltz, A. L. (1996). Autobiographical Memory: Remembering what and remembering when. New Jersey: Lawrence Erlbaum Associates, Inc. </t>
  </si>
  <si>
    <t>900 days</t>
  </si>
  <si>
    <r>
      <t xml:space="preserve">Austin, S. D. M. (1921). A Study in Logical Memory. </t>
    </r>
    <r>
      <rPr>
        <i/>
        <sz val="10"/>
        <color rgb="FF000000"/>
        <rFont val="Calibri Light"/>
        <family val="2"/>
        <scheme val="major"/>
      </rPr>
      <t>The American Journal of Psychology, 32</t>
    </r>
    <r>
      <rPr>
        <sz val="10"/>
        <color rgb="FF000000"/>
        <rFont val="Calibri Light"/>
        <family val="2"/>
        <scheme val="major"/>
      </rPr>
      <t>(3), 370-403.</t>
    </r>
  </si>
  <si>
    <r>
      <t xml:space="preserve">Chance, J. E., &amp; Goldstein, A. G. (1987). Retention interval and face recognition: Response latency measures. </t>
    </r>
    <r>
      <rPr>
        <i/>
        <sz val="10"/>
        <color rgb="FF000000"/>
        <rFont val="Calibri Light"/>
        <family val="2"/>
        <scheme val="major"/>
      </rPr>
      <t>Bulletin of the Psychonomic Society, 25</t>
    </r>
    <r>
      <rPr>
        <sz val="10"/>
        <color rgb="FF000000"/>
        <rFont val="Calibri Light"/>
        <family val="2"/>
        <scheme val="major"/>
      </rPr>
      <t>(6), 415-418.</t>
    </r>
  </si>
  <si>
    <r>
      <t xml:space="preserve">Courtois, M. R., &amp; Mueller, J. H. (1981). Target and distractor typicality in facial recognition. </t>
    </r>
    <r>
      <rPr>
        <i/>
        <sz val="10"/>
        <color rgb="FF000000"/>
        <rFont val="Calibri Light"/>
        <family val="2"/>
        <scheme val="major"/>
      </rPr>
      <t>Journal of Applied Psychology, 66</t>
    </r>
    <r>
      <rPr>
        <sz val="10"/>
        <color rgb="FF000000"/>
        <rFont val="Calibri Light"/>
        <family val="2"/>
        <scheme val="major"/>
      </rPr>
      <t>(5), 639-645.</t>
    </r>
  </si>
  <si>
    <t>J of Ed Psych</t>
  </si>
  <si>
    <r>
      <t xml:space="preserve">Shepherd, J. W., &amp; Ellis, H. D. (1973). The effect of attractiveness on recognition memory for faces. </t>
    </r>
    <r>
      <rPr>
        <i/>
        <sz val="10"/>
        <color rgb="FF000000"/>
        <rFont val="Calibri Light"/>
        <family val="2"/>
        <scheme val="major"/>
      </rPr>
      <t>American Journal of Psychology, 86</t>
    </r>
    <r>
      <rPr>
        <sz val="10"/>
        <color rgb="FF000000"/>
        <rFont val="Calibri Light"/>
        <family val="2"/>
        <scheme val="major"/>
      </rPr>
      <t>(3), 627-633.</t>
    </r>
  </si>
  <si>
    <t>35 days</t>
  </si>
  <si>
    <t>Shepherd, J. W., Ellis, H. D., &amp; Davies, G. M. (1982). Identification evidence: A psychological evaluation. Aberdeen, Scotland: Aberdeen University Press</t>
  </si>
  <si>
    <t>Yarmey, A. D., Yarmey, M. J., &amp; Yarmey, A. L. (1996). Accuracy of eyewitness identifications in showups and lineups. Law and Human Behavior, 20, 459–477</t>
  </si>
  <si>
    <t>30 days</t>
  </si>
  <si>
    <t>% retained</t>
  </si>
  <si>
    <t>Table 9</t>
  </si>
  <si>
    <t>8 weeks</t>
  </si>
  <si>
    <t>Archives of Psych</t>
  </si>
  <si>
    <r>
      <t xml:space="preserve">Jones, H. E. (1923). Experimental studies of college teaching: The effect of examination on the permanance of forgetting. </t>
    </r>
    <r>
      <rPr>
        <i/>
        <sz val="10"/>
        <color rgb="FF000000"/>
        <rFont val="Calibri Light"/>
        <family val="2"/>
        <scheme val="major"/>
      </rPr>
      <t>Archives of Psychology, 68</t>
    </r>
    <r>
      <rPr>
        <sz val="10"/>
        <color rgb="FF000000"/>
        <rFont val="Calibri Light"/>
        <family val="2"/>
        <scheme val="major"/>
      </rPr>
      <t>.</t>
    </r>
  </si>
  <si>
    <t>Mure, J. M. J., &amp; Dross, J. (2015). Replication and analysis of Ebinghaus' Forgetting curve. PLoS ONE, 10(7). 1-23.</t>
  </si>
  <si>
    <t>PLOS</t>
  </si>
  <si>
    <t>syllables</t>
  </si>
  <si>
    <t>31 days</t>
  </si>
  <si>
    <r>
      <t xml:space="preserve">Stanhope, N., Cohen, G., &amp; Conway, M. (1993). Very long-term retention of a novel. </t>
    </r>
    <r>
      <rPr>
        <i/>
        <sz val="10"/>
        <color rgb="FF000000"/>
        <rFont val="Calibri Light"/>
        <family val="2"/>
        <scheme val="major"/>
      </rPr>
      <t>Applied Cognitive Psychology, 7</t>
    </r>
    <r>
      <rPr>
        <sz val="10"/>
        <color rgb="FF000000"/>
        <rFont val="Calibri Light"/>
        <family val="2"/>
        <scheme val="major"/>
      </rPr>
      <t>, 239-256.</t>
    </r>
  </si>
  <si>
    <t>39 months</t>
  </si>
  <si>
    <r>
      <t xml:space="preserve">Gilliland, A. R. (1948). The rate of forgetting. </t>
    </r>
    <r>
      <rPr>
        <i/>
        <sz val="10"/>
        <color rgb="FF000000"/>
        <rFont val="Calibri Light"/>
        <family val="2"/>
        <scheme val="major"/>
      </rPr>
      <t>Journal of Educational Psychology, 39</t>
    </r>
    <r>
      <rPr>
        <sz val="10"/>
        <color rgb="FF000000"/>
        <rFont val="Calibri Light"/>
        <family val="2"/>
        <scheme val="major"/>
      </rPr>
      <t>(1), 19-26.</t>
    </r>
  </si>
  <si>
    <t>pg 22</t>
  </si>
  <si>
    <r>
      <t xml:space="preserve">Jeunehomme, O., Folville, A., Stawarczyk, D., Van der Linden, M., &amp; D'Argembeau, A. (2018). Temporal compression in episodic memory for real-life events. </t>
    </r>
    <r>
      <rPr>
        <i/>
        <sz val="10"/>
        <color rgb="FF000000"/>
        <rFont val="Calibri Light"/>
        <family val="2"/>
        <scheme val="major"/>
      </rPr>
      <t>Memory, 26(</t>
    </r>
    <r>
      <rPr>
        <sz val="10"/>
        <color rgb="FF000000"/>
        <rFont val="Calibri Light"/>
        <family val="2"/>
        <scheme val="major"/>
      </rPr>
      <t>6), 759-770.</t>
    </r>
  </si>
  <si>
    <t>Psych mono</t>
  </si>
  <si>
    <t>B Linear</t>
  </si>
  <si>
    <t>reading the narratives</t>
  </si>
  <si>
    <r>
      <t>Fisher, J. S., &amp; Radvansky, G. A. (2018). Patterns of forgetting. </t>
    </r>
    <r>
      <rPr>
        <i/>
        <sz val="10"/>
        <rFont val="Calibri Light"/>
        <family val="2"/>
        <scheme val="major"/>
      </rPr>
      <t>Journal of Memory and Language</t>
    </r>
    <r>
      <rPr>
        <sz val="10"/>
        <rFont val="Calibri Light"/>
        <family val="2"/>
        <scheme val="major"/>
      </rPr>
      <t>, </t>
    </r>
    <r>
      <rPr>
        <i/>
        <sz val="10"/>
        <rFont val="Calibri Light"/>
        <family val="2"/>
        <scheme val="major"/>
      </rPr>
      <t>102</t>
    </r>
    <r>
      <rPr>
        <sz val="10"/>
        <rFont val="Calibri Light"/>
        <family val="2"/>
        <scheme val="major"/>
      </rPr>
      <t>, 130-141.</t>
    </r>
  </si>
  <si>
    <t>Memory Data</t>
  </si>
  <si>
    <t>read magazines</t>
  </si>
  <si>
    <t>1 hr</t>
  </si>
  <si>
    <t>%recalled</t>
  </si>
  <si>
    <r>
      <t xml:space="preserve">Youtz, A. C. (1941). An experimental evaluation of Jost's laws. </t>
    </r>
    <r>
      <rPr>
        <i/>
        <sz val="10"/>
        <rFont val="Calibri Light"/>
        <family val="2"/>
        <scheme val="major"/>
      </rPr>
      <t xml:space="preserve">The psychological monographs, 238, </t>
    </r>
    <r>
      <rPr>
        <sz val="10"/>
        <rFont val="Calibri Light"/>
        <family val="2"/>
        <scheme val="major"/>
      </rPr>
      <t>1-54.</t>
    </r>
  </si>
  <si>
    <r>
      <t>Linear R</t>
    </r>
    <r>
      <rPr>
        <vertAlign val="superscript"/>
        <sz val="10"/>
        <color rgb="FF000000"/>
        <rFont val="Calibri Light"/>
        <family val="2"/>
        <scheme val="major"/>
      </rPr>
      <t>2</t>
    </r>
  </si>
  <si>
    <r>
      <t>Power R</t>
    </r>
    <r>
      <rPr>
        <vertAlign val="superscript"/>
        <sz val="10"/>
        <color rgb="FF000000"/>
        <rFont val="Calibri Light"/>
        <family val="2"/>
        <scheme val="major"/>
      </rPr>
      <t>2</t>
    </r>
  </si>
  <si>
    <r>
      <t xml:space="preserve">Rubin, D. C. (1978). A unit of analysis of prose memory. </t>
    </r>
    <r>
      <rPr>
        <i/>
        <sz val="10"/>
        <color rgb="FF000000"/>
        <rFont val="Calibri Light"/>
        <family val="2"/>
        <scheme val="major"/>
      </rPr>
      <t>Journal of Verbal Learning and Verbal Behavior,17</t>
    </r>
    <r>
      <rPr>
        <sz val="10"/>
        <color rgb="FF000000"/>
        <rFont val="Calibri Light"/>
        <family val="2"/>
        <scheme val="major"/>
      </rPr>
      <t xml:space="preserve">,599-620. </t>
    </r>
  </si>
  <si>
    <t>generated words</t>
  </si>
  <si>
    <t>exp sqrt(t)</t>
  </si>
  <si>
    <t>hyperbolic sqrt(t)</t>
  </si>
  <si>
    <t>Log Exponent</t>
  </si>
  <si>
    <t>Date Updated</t>
  </si>
  <si>
    <r>
      <t xml:space="preserve">Hasher, L. &amp; Griffin, M. (1978). Reconstructive and reproductive processes in memory. </t>
    </r>
    <r>
      <rPr>
        <i/>
        <sz val="10"/>
        <color rgb="FF000000"/>
        <rFont val="Calibri Light"/>
        <family val="2"/>
        <scheme val="major"/>
      </rPr>
      <t>Journal of Experimental Psychology: Human Learning and Memory. 4</t>
    </r>
    <r>
      <rPr>
        <sz val="10"/>
        <color rgb="FF000000"/>
        <rFont val="Calibri Light"/>
        <family val="2"/>
        <scheme val="major"/>
      </rPr>
      <t>(4), 318-330.</t>
    </r>
  </si>
  <si>
    <r>
      <t xml:space="preserve">Lawless, H. T. (1978)Recognition of common odors, pictures, and simple shapes. </t>
    </r>
    <r>
      <rPr>
        <i/>
        <sz val="10"/>
        <color rgb="FF000000"/>
        <rFont val="Calibri Light"/>
        <family val="2"/>
        <scheme val="major"/>
      </rPr>
      <t>Perception &amp; Psychophysics, 24</t>
    </r>
    <r>
      <rPr>
        <sz val="10"/>
        <color rgb="FF000000"/>
        <rFont val="Calibri Light"/>
        <family val="2"/>
        <scheme val="major"/>
      </rPr>
      <t>(6), 493-495.</t>
    </r>
  </si>
  <si>
    <t>ACP</t>
  </si>
  <si>
    <t>P&amp;P</t>
  </si>
  <si>
    <t>odors</t>
  </si>
  <si>
    <t>% Recall</t>
  </si>
  <si>
    <t>9 weeks</t>
  </si>
  <si>
    <t>Problem Solving</t>
  </si>
  <si>
    <t>pictures</t>
  </si>
  <si>
    <t>% Idea units</t>
  </si>
  <si>
    <t>recognition</t>
  </si>
  <si>
    <t>4 months</t>
  </si>
  <si>
    <t>free forms</t>
  </si>
  <si>
    <t>19 yrs</t>
  </si>
  <si>
    <t>5 years</t>
  </si>
  <si>
    <t>word pairs</t>
  </si>
  <si>
    <r>
      <t xml:space="preserve">Abel, M., Haller, V., Kock, H., Potshke, S., Hieb, D., Schabus, M., &amp; Bauml, K. (2019). Sleep reduces the testing effect -- but not after corrective feedback and prolonged retention interval. </t>
    </r>
    <r>
      <rPr>
        <i/>
        <sz val="10"/>
        <rFont val="Calibri Light"/>
        <family val="2"/>
        <scheme val="major"/>
      </rPr>
      <t>Journal of Experimental Psychology: Learning, Memory, and Cognition, 45(2),</t>
    </r>
    <r>
      <rPr>
        <sz val="10"/>
        <rFont val="Calibri Light"/>
        <family val="2"/>
        <scheme val="major"/>
      </rPr>
      <t>272-287.</t>
    </r>
  </si>
  <si>
    <r>
      <t xml:space="preserve">Burt, C. D. B. (1992). Retrieval characteristics of autobiographical memories: event and date informatino. </t>
    </r>
    <r>
      <rPr>
        <i/>
        <sz val="10"/>
        <rFont val="Calibri Light"/>
        <family val="2"/>
        <scheme val="major"/>
      </rPr>
      <t>Applied Cognitive Psychology, 6</t>
    </r>
    <r>
      <rPr>
        <sz val="10"/>
        <rFont val="Calibri Light"/>
        <family val="2"/>
        <scheme val="major"/>
      </rPr>
      <t>, 389-404.</t>
    </r>
  </si>
  <si>
    <r>
      <t xml:space="preserve">Catal, L. L. &amp; Fitzgerald, J. M. (2004). Autobiographical memories in two older adults over a twenty-year retention interval. </t>
    </r>
    <r>
      <rPr>
        <i/>
        <sz val="10"/>
        <rFont val="Calibri Light"/>
        <family val="2"/>
        <scheme val="major"/>
      </rPr>
      <t>Memory &amp; Cognition, 32</t>
    </r>
    <r>
      <rPr>
        <sz val="10"/>
        <rFont val="Calibri Light"/>
        <family val="2"/>
        <scheme val="major"/>
      </rPr>
      <t>(2), 311-323.</t>
    </r>
  </si>
  <si>
    <r>
      <t xml:space="preserve">Rohrer, D., Taylor, K., Pashler, H., Wixted, J. T., &amp; Cepeda, N. J. (2005). The effect of overlearning on long-term retention. </t>
    </r>
    <r>
      <rPr>
        <i/>
        <sz val="10"/>
        <rFont val="Calibri Light"/>
        <family val="2"/>
        <scheme val="major"/>
      </rPr>
      <t>Applied Cognitive Psychology, 19</t>
    </r>
    <r>
      <rPr>
        <sz val="10"/>
        <rFont val="Calibri Light"/>
        <family val="2"/>
        <scheme val="major"/>
      </rPr>
      <t>, 361-374.</t>
    </r>
  </si>
  <si>
    <t>Phase by Longest RI</t>
  </si>
  <si>
    <t>Avg RI</t>
  </si>
  <si>
    <t>Longest RI</t>
  </si>
  <si>
    <t>faces</t>
  </si>
  <si>
    <t>40 years</t>
  </si>
  <si>
    <t>controls</t>
  </si>
  <si>
    <t>Barr, W. B., Goldberg, E., Wasserstein, J., &amp; Novelly, R. A. (1990). Retrograde amnesia following unilateral temporal lobectomy. Neuropsychologia, 28(3), 243-255.</t>
  </si>
  <si>
    <t>30 years</t>
  </si>
  <si>
    <t>20 years</t>
  </si>
  <si>
    <t>Beatty, W. W., Salmon, D. P., Bernstein, N., &amp; Butters, N. (1987). Remote memory in a patient with amnesia due to hypoxia. Psychological medicine, 17(3), 657-665.</t>
  </si>
  <si>
    <t>Psychological Medicine</t>
  </si>
  <si>
    <t>faces and events</t>
  </si>
  <si>
    <t>Beatty, W. W., Salmon, D. P., Butters, N., Heindel, W. C., &amp; Granholm, E. L. (1988). Retrograde amnesia in patients with Alzheimer's disease or Huntington's disease. Neurobiology of aging, 9, 181-186.</t>
  </si>
  <si>
    <t>Neurobiology of Aging</t>
  </si>
  <si>
    <t>Cermak, L. S., &amp; O'Connor, M. (1983). The anterograde and retrograde retrieval ability of a patient with amnesia due to encephalitis. Neuropsychologia, 21(3), 213-234.</t>
  </si>
  <si>
    <t>public events</t>
  </si>
  <si>
    <t>Figure 7</t>
  </si>
  <si>
    <t>famous faces</t>
  </si>
  <si>
    <t>Cohen, N. J., &amp; Squire, L. R. (1981). Retrograde amnesia and remote memory impairment. Neuropsychologia, 19(3), 337-356.</t>
  </si>
  <si>
    <t xml:space="preserve"> Neuropsychologia</t>
  </si>
  <si>
    <t>D'Esposito, M., Alexander, M. P., Fischer, R., Mcglinchey-Berroth, R., &amp; O'connor, M. (1996). Recovery of memory and executive function following anterior communicating artery aneurysm rupture. Journal of the International Neuropsychological Society, 2(6), 565-570.</t>
  </si>
  <si>
    <t>Journal of the International Neuropsychological Society</t>
  </si>
  <si>
    <t>Freedman, M., Rivoira, P., Butters, N., Sax, D. S., &amp; Feldman, R. G. (1984). Retrograde amnesia in Parkinson’s disease. Canadian Journal of Neurological Sciences, 11(2), 297-301.</t>
  </si>
  <si>
    <t>Canadian Journal of Neurological Sciences</t>
  </si>
  <si>
    <t>Hunkin, N. M., Parkin, A. J., Bradley, V. A., Burrows, E. H., Aldrich, F. K., Jansari, A., &amp; Burdon-Cooper, C. (1995). Focal retrograde amnesia following closed head injury: A case study and theoretical account. Neuropsychologia, 33(4), 509-523.</t>
  </si>
  <si>
    <t>Jackson, H. F., &amp; Bentall, R. P. (1991). Operant conditioning in amnesic subjects: Response patterning and sensitivity to schedule changes. Neuropsychology, 5(2), 89.</t>
  </si>
  <si>
    <t>Markowitsch, H. J., Weber-Luxemburger, G., Ewald, K., Kessler, J., &amp; Heiss, W. D. (1997). Patients with heart attacks are not valid models for medial temporal lobe amnesia. A neuropsychological and FDG-PET study with consequences for memory research. European Journal of Neurology, 4(2), 178-184.</t>
  </si>
  <si>
    <t>Kapur, N., Heath, P., Meudell, P., &amp; Kennedy, P. (1986). Amnesia can facilitate memory performance: evidence from a patient with dissociated retrograde amnesia. Neuropsychologia, 24(2), 215-221.</t>
  </si>
  <si>
    <t>famous voices</t>
  </si>
  <si>
    <t>Kapur, N., Scholey, K., Moore, E., Barker, S., Brice, J., Thompson, S., ... &amp; Fleming, J. (1996). Long-term retention deficits in two cases of disproportionate retrograde amnesia. Journal of Cognitive Neuroscience, 8(5), 416-434.</t>
  </si>
  <si>
    <t>Journal of Cognitive Neuroscience</t>
  </si>
  <si>
    <t>Kapur, N., Young, A., Bateman, D., &amp; Kennedy, P. (1989). Focal retrograde amnesia: a long term clinical and neuropsychological follow-up. Cortex, 25(3), 387-402.</t>
  </si>
  <si>
    <t>Cortex</t>
  </si>
  <si>
    <t>Kopelman, M. D. (1989). Remote and autobiographical memory, temporal context memory and frontal atrophy in Korsakoff and Alzheimer patients. Neuropsychologia, 27(4), 437-460.</t>
  </si>
  <si>
    <t>Markowitsch, H. J., Calabrese, P., Liess, J., Haupts, M., Durwen, H. F., &amp; Gehlen, W. (1993). Retrograde amnesia after traumatic injury of the fronto-temporal cortex. Journal of Neurology, Neurosurgery &amp; Psychiatry, 56(9), 988-992.</t>
  </si>
  <si>
    <t>Journal of Neurology, Neurosurgery &amp; Psychiatry</t>
  </si>
  <si>
    <t>European Journal of Neurology</t>
  </si>
  <si>
    <t>Von Cramon, D. Y., Markowitsch, H. J., &amp; Schuri, U. (1993). The possible contribution of the septal region to memory. Neuropsychologia, 31(11), 1159-1180.</t>
  </si>
  <si>
    <t>Table 6</t>
  </si>
  <si>
    <t>Marslen-Wilson, W. D., &amp; Teuber, H. L. (1975). Memory for remote events in anterograde amnesia: recognition of public figures from newsphotographs. Neuropsychologia, 13(3), 353-364.</t>
  </si>
  <si>
    <t>Table 1A</t>
  </si>
  <si>
    <t>Mayes, A. R., Daum, I., Markowisch, H. J., &amp; Sauter, B. (1997). The relationship between retrograde and anterograde amnesia in patients with typical global amnesia. Cortex, 33(2), 197-217.</t>
  </si>
  <si>
    <t>famous names</t>
  </si>
  <si>
    <t>Meudell, P. R., Northen, B., Snowden, J. S., &amp; Neary, D. (1980). Long term memory for famous voices in amnesic and normal subjects. Neuropsychologia, 18(2), 133-139.</t>
  </si>
  <si>
    <t>Parkin, A. J., &amp; Hunkin, N. M. (1991). Memory loss following radiotherapy for nasal pharyngeal carcinoma—an unusual presentation of amnesia. British journal of clinical psychology, 30(4), 349-357.</t>
  </si>
  <si>
    <t>British journal of clinical psychology</t>
  </si>
  <si>
    <t>Parkin, A. J., Montaldi, D., Leng, N. R., &amp; Hunkin, N. M. (1990). Contextual cueing effects in the remote memory of alcoholic Korsakoff patients and normal subjects. Quarterly Journal of Experimental Psychology, 42(3), 585-596.</t>
  </si>
  <si>
    <t>Quarterly Journal of Experimental Psychology</t>
  </si>
  <si>
    <t>45 years</t>
  </si>
  <si>
    <t>55 years</t>
  </si>
  <si>
    <t>35 years</t>
  </si>
  <si>
    <t>television programs</t>
  </si>
  <si>
    <t>18 years</t>
  </si>
  <si>
    <t>Davidson, D. (1994). Recognition and recall of irrelevant and interruptive atypical actions in script-based stories. Journal of Memory and Language, 33(6), 757-775.</t>
  </si>
  <si>
    <t>script</t>
  </si>
  <si>
    <t>irrelevant</t>
  </si>
  <si>
    <t>interruptive</t>
  </si>
  <si>
    <t>Smith, D. A., &amp; Graesser, A. C. (1981). Memory for actions in scripted activities as a function of typicality, retention interval, and retrieval task. Memory &amp; Cognition, 9(6), 550-559.</t>
  </si>
  <si>
    <t>Memory &amp; Cognition</t>
  </si>
  <si>
    <t>typical</t>
  </si>
  <si>
    <t>atypical</t>
  </si>
  <si>
    <t>Epstein, M. L., &amp; Phillips, W. D. (1976). Delayed recall of paired associates as a function of processing level. The Journal of General Psychology, 95(1), 127-132.</t>
  </si>
  <si>
    <t>Journal of General Psychology</t>
  </si>
  <si>
    <t>related difference</t>
  </si>
  <si>
    <t>21 days</t>
  </si>
  <si>
    <t>related similarity</t>
  </si>
  <si>
    <t>unrelated difference</t>
  </si>
  <si>
    <t>unrelated similarity</t>
  </si>
  <si>
    <t>Neuropsychology</t>
  </si>
  <si>
    <t>Haist, F., Gore, J. B., &amp; Mao, H. (2001). Consolidation of human memory over decades revealed by functional magnetic resonance imaging. Nature neuroscience, 4(11), 1139-1145.</t>
  </si>
  <si>
    <t>Nature Neuroscience</t>
  </si>
  <si>
    <t>young controls</t>
  </si>
  <si>
    <t>Gade, A., &amp; Mortensen, E. L. (1990). Temporal gradient in the remote memory impairment of amnesic patients with lesions in the basal forebrain. Neuropsychologia, 28(9), 985-1001.</t>
  </si>
  <si>
    <t>Table 5</t>
  </si>
  <si>
    <t>33 years</t>
  </si>
  <si>
    <t>Reed, J. M., &amp; Squire, L. R. (1998). Retrograde amnesia for facts and events: findings from four new cases. Journal of Neuroscience, 18(10), 3943-3954.</t>
  </si>
  <si>
    <t>Journal of Neuroscience</t>
  </si>
  <si>
    <t>Reinvang, I., &amp; Gjerstad, L. (1998). Focal retrograde amnesia associated with vascular headache. Neuropsychologia, 36(12), 1335-1341.</t>
  </si>
  <si>
    <t>events and names</t>
  </si>
  <si>
    <t>Sagar, H. J., Cohen, N. J., Sullivan, E. V., Corkin, S., &amp; Growdon, J. H. (1988). Remote memory function in Alzheimer's disease and Parkinson's disease. Brain, 111(1), 185-206.</t>
  </si>
  <si>
    <t>Brain</t>
  </si>
  <si>
    <t>famous scenes</t>
  </si>
  <si>
    <t>Salmon, D. P., Lasker, B. R., Butters, N., &amp; Beatty, W. W. (1988). Remote memory in a patient with circumscribed amnesia. Brain and cognition, 7(2), 201-211.</t>
  </si>
  <si>
    <t>Brain and Cognition</t>
  </si>
  <si>
    <t>Squire, L. R., &amp; Cohen, N. J. (1982). Remote memory, retrograde amnesia, and the neuropsychology of memory. Human memory and amnesia, 275-303.</t>
  </si>
  <si>
    <t>Squire, L. R., Haist, F., &amp; Shimamura, A. P. (1989). The neurology of memory: Quantitative assessment of retrograde amnesia in two groups of amnesic patients. Journal of Neuroscience, 9(3), 828-839.</t>
  </si>
  <si>
    <t>Squire, L. R., &amp; Slater, P. C. (1978). Anterograde and retrograde memory impairment in chronic amnesia. Neuropsychologia, 16(3), 313-322.</t>
  </si>
  <si>
    <t>Squire, L. R., Zola-Morgan, S., Cave, C. B., Haist, F., Musen, G., &amp; Suzuki, W. A. (1990, January). Memory: organization of brain systems and cognition. In Cold Spring Harbor symposia on quantitative biology (Vol. 55, pp. 1007-1023). Cold Spring Harbor Laboratory Press.</t>
  </si>
  <si>
    <t>Figure 17.5</t>
  </si>
  <si>
    <t>Stuss, D. T., Guberman, A., Nelson, R., &amp; Larochelle, S. (1988). The neuropsychology of paramedian thalamic infarction. Brain and Cognition, 8(3), 348-378.</t>
  </si>
  <si>
    <t>Tanaka, Y., Miyazawa, Y., Hashimoto, R., Nakano, I., &amp; Obayashi, T. (1999). Postencephalitic focal retrograde amnesia after bilateral anterior temporal lobe damage. Neurology, 53(2), 344-344.</t>
  </si>
  <si>
    <t>Neurology</t>
  </si>
  <si>
    <t>Martini, M., Martini, C., Maran, T., &amp; Sachse, P. (2018). Effects of post-encoding wakeful rest and study time on long-term memory performance. Journal of Cognitive Psychology, 30(5-6), 558-569.</t>
  </si>
  <si>
    <t>Journal of Cognitive Psychology</t>
  </si>
  <si>
    <t>60 years</t>
  </si>
  <si>
    <t>Squire, L. R., &amp; Slater, P. C. (1975). Forgetting in very long-term memory as assessed by an improved questionnaire technique. Journal of Experimental Psychology: Human Learning and Memory, 1(1), 50-54.</t>
  </si>
  <si>
    <t>JEP:HLM</t>
  </si>
  <si>
    <t>adults</t>
  </si>
  <si>
    <t>race horses</t>
  </si>
  <si>
    <t>Albert, M. S., Butters, N., &amp; Brandt, J. (1981). Patterns of remote memory in amnesic and demented patients. Archives of Neurology, 38(8), 495-500.</t>
  </si>
  <si>
    <t>Archives of Neurology</t>
  </si>
  <si>
    <t>43 years</t>
  </si>
  <si>
    <t>Albert, M. S., Butters, N., &amp; Levin, J. (1979). Temporal gradients in the retrograde amnesia of patients with alcoholic Korsakoff's disease. Archives of Neurology, 36(4), 211-216.</t>
  </si>
  <si>
    <t>25 years</t>
  </si>
  <si>
    <t>Staugaard, S. R., &amp; Berntsen, D. (2019). Retrieval intentionality and forgetting: How retention time and cue distinctiveness affect involuntary and voluntary retrieval of episodic memories. Memory &amp; Cognition, 47(5), 893-905.</t>
  </si>
  <si>
    <t>involuntary</t>
  </si>
  <si>
    <t>voluntary</t>
  </si>
  <si>
    <t>23 years</t>
  </si>
  <si>
    <t>Butters, N. (1984). Alcoholic Korsakoff's syndrome: An update. Seminars in Neurology, 4(2), 226-244.</t>
  </si>
  <si>
    <t>Seminars in Neurology</t>
  </si>
  <si>
    <t>28 years</t>
  </si>
  <si>
    <t>Talamini, L. M., &amp; Gorree, E. (2012). Aging memories: Differential decay of episodic memory components. Learning &amp; Memory, 19(6), 239-246.</t>
  </si>
  <si>
    <t>Learning &amp; Memory</t>
  </si>
  <si>
    <t>object memory</t>
  </si>
  <si>
    <t>Figures 2-3</t>
  </si>
  <si>
    <t>91 days</t>
  </si>
  <si>
    <t>Figure 14.2</t>
  </si>
  <si>
    <t>Figure 14.5</t>
  </si>
  <si>
    <t>trigrams</t>
  </si>
  <si>
    <t>Figure 17.2</t>
  </si>
  <si>
    <t>33years</t>
  </si>
  <si>
    <t>Beatty, W. W., Bailly, R. C., &amp; Fisher, L. (1989). Korsakoff-like amnesic syndrome in a patient with anorexia and vomiting. International Journal of Clinical Neuropsychology, 11, 55-65.</t>
  </si>
  <si>
    <t>International Journal of Clinical Neuropsychology</t>
  </si>
  <si>
    <t>Mayes, A. R., Meudell, P. R., Mann, D., &amp; Pickering, A. (1988). Location of lesions in Korsakoff's syndrome: neuropsychological and neuropathological data on two patients. Cortex, 24(3), 367-388.</t>
  </si>
  <si>
    <t>1 day</t>
  </si>
  <si>
    <t>Table V</t>
  </si>
  <si>
    <t>Table VI</t>
  </si>
  <si>
    <t>Table VII</t>
  </si>
  <si>
    <t>Beatty, W. W., Goodkin, D. E., Monson, N., Beatty, P. A., &amp; Hertsgaard, D. (1988). Anterograde and retrograde amnesia in patients with chronic progressive multiple sclerosis. Archives of Neurology, 45(6), 611-619.</t>
  </si>
  <si>
    <t>Huber, S. J., Shuttleworth, E. C., &amp; Paulson, G. W. (1986). Dementia in Parkinson's disease. Archives of Neurology, 43(10), 987-990.</t>
  </si>
  <si>
    <t>Montaldi, D., &amp; Parkin, A. J. (1989). Retrograde amnesia in Korsakoff’s syndrome: An experimental and theoretical analysis. In Developments in clinical and experimental neuropsychology (pp. 213-218). Springer, Boston, MA.</t>
  </si>
  <si>
    <t>Warrington, E. K. (1982). The double dissociation of short- and long-term memory deficits. Cermak, L. S. (Ed.), Human Memory and Amnesia, (pp. 61-76). Erlbaum, Hillsdale, NJ.</t>
  </si>
  <si>
    <t>Figure 4.1a</t>
  </si>
  <si>
    <t>60 seconds</t>
  </si>
  <si>
    <t>Figure 4.2a</t>
  </si>
  <si>
    <t>Butters, N., &amp; Albert, M. S. (1982). Processes underlying failures to recall remote events. In Cermak, L. S. (Ed.), Human Memory and Amnesia, (pp. 257-274). Erlbaum, Hillsdale, NJ.</t>
  </si>
  <si>
    <t>Figure 13.7</t>
  </si>
  <si>
    <t>Huppert, F. A., &amp; Piercy, M. (1978). Dissociation between learning and remembering in organic amnesia. Nature, 275(5678), 317-318.</t>
  </si>
  <si>
    <t>Nature</t>
  </si>
  <si>
    <t>Butters, N., Cermak, L. S., Montgomery, K., &amp; Adinolfi, A. (1977). Some comparisons of the memory and visuoperceptive deficits of chronic alcoholics and patients with Korsakoff's disease. Alcoholism: Clinical and Experimental Research, 1(1), 73-80.</t>
  </si>
  <si>
    <t>Alcoholism: Clinical and Experimental Research</t>
  </si>
  <si>
    <t>Figure 3A</t>
  </si>
  <si>
    <t>Figure 3B</t>
  </si>
  <si>
    <t>Figure 6A</t>
  </si>
  <si>
    <t>Figure 6B</t>
  </si>
  <si>
    <t>36 seconds</t>
  </si>
  <si>
    <t>Fisher, J. S., &amp; Radvansky, G. A. (2019). Linear forgetting. Journal of Memory and Language, 108, 104035.</t>
  </si>
  <si>
    <t>O'Rear,A. E. &amp; Radvansky, G. A. (2020) Diary Study</t>
  </si>
  <si>
    <t>Fisher, J. S. (2020). Dissertation</t>
  </si>
  <si>
    <t>Dissertation</t>
  </si>
  <si>
    <t>sentences</t>
  </si>
  <si>
    <t>14 days</t>
  </si>
  <si>
    <t>sensible</t>
  </si>
  <si>
    <t>nonsensible</t>
  </si>
  <si>
    <t>control</t>
  </si>
  <si>
    <t>story</t>
  </si>
  <si>
    <t>Doolen &amp; Radvansky (2020). Novel 1</t>
  </si>
  <si>
    <t>%correct</t>
  </si>
  <si>
    <t>novels</t>
  </si>
  <si>
    <t>7.5 years</t>
  </si>
  <si>
    <t>Group Size</t>
  </si>
  <si>
    <t>Huppert, F. A., &amp; Piercy, M. (1979). Normal and abnormal forgetting in organic amnesia: effect of locus of lesion. Cortex, 15(3), 385-390.</t>
  </si>
  <si>
    <t>Wilson, R. S., Kaszniak, A. W., &amp; Fox, J. H. (1981). Remote memory in senile dementia. Cortex, 17(1), 41-48.</t>
  </si>
  <si>
    <t>Experimental Psychology</t>
  </si>
  <si>
    <t>Cepeda, N. J., Coburn, N., Rohrer, D., Wixted, J. T., Mozer, M. C., &amp; Pashler, H. (2009). Optimizing distributed practice: Theoretical analysis and practical implications. Experimental Psychology, 56(4), 236-246.</t>
  </si>
  <si>
    <t>English-Swahili pairs</t>
  </si>
  <si>
    <t>Unpublished data</t>
  </si>
  <si>
    <t>6 months</t>
  </si>
  <si>
    <t>show up</t>
  </si>
  <si>
    <t>line up</t>
  </si>
  <si>
    <t>Law and Human Behavior</t>
  </si>
  <si>
    <t>same clothing</t>
  </si>
  <si>
    <t>different clothing</t>
  </si>
  <si>
    <t>Komatsu, S. I., &amp; Ohta, N. (1985). Priming effects in word-fragment completion for short-and long-term retention intervals. Japanese Psychological Research, 26(4), 194-200.</t>
  </si>
  <si>
    <t>Japanese Psychological Research</t>
  </si>
  <si>
    <t>5 weeks</t>
  </si>
  <si>
    <t>11 months</t>
  </si>
  <si>
    <t>Table 9.1</t>
  </si>
  <si>
    <t>Bean, C. H. (1912). The Curve of Forgetting. Press of the New era printing Company.</t>
  </si>
  <si>
    <t>Delay 1  = 5 minutes + ((6 seconds per pair * 32 pairs) / 2)</t>
  </si>
  <si>
    <t>delays based on midpoint of decade</t>
  </si>
  <si>
    <t>Initial delay set to 1 day</t>
  </si>
  <si>
    <t>initial delay  = (4 seconds * 10 items) / 2 to get an average time</t>
  </si>
  <si>
    <t>Initial delay = (32 faces * 6 seconds) + (5 words * 6 seconds) +time for word recog trials and instructions</t>
  </si>
  <si>
    <t>Initial delay = (570 words * 2.5 seconds)/2 + time for word recog trials and instructions</t>
  </si>
  <si>
    <t>125 months</t>
  </si>
  <si>
    <t>initial delay = (12 slides * 5 seconds)/2 since last viewing</t>
  </si>
  <si>
    <t>initial delay 60 s for instructions</t>
  </si>
  <si>
    <t>initial delay = 60 seconds for instruction</t>
  </si>
  <si>
    <t>initial delay = (31 words 8 4 seconds)/2</t>
  </si>
  <si>
    <t>initial delay = (7 pairs * 3 sec + 18 sec ISI)/2</t>
  </si>
  <si>
    <t>initial delay = 10 minutes for split time of walk</t>
  </si>
  <si>
    <t>initial delay = 10 minutes for mid lecture time</t>
  </si>
  <si>
    <t>initial delay = (40 stimuli X 2 seconds display and ISI)/2</t>
  </si>
  <si>
    <t>initial delay = (32 words * 5 seconds)/2</t>
  </si>
  <si>
    <t>initial delay = (68 words * 7 second)/2 + 6 minutes</t>
  </si>
  <si>
    <t>initial delay = (80 words * 7 second)/2 + 6 minutes</t>
  </si>
  <si>
    <t>High</t>
  </si>
  <si>
    <t>Low</t>
  </si>
  <si>
    <t>initial delay = (10 pairs * 1 minute)/2</t>
  </si>
  <si>
    <t>initial delay = (10 pairs * 30 seconds)/2</t>
  </si>
  <si>
    <t>initial delay = (20 pairs * 30 seconds)/2</t>
  </si>
  <si>
    <t>initial delay = (10 items * 60 seconds)/2</t>
  </si>
  <si>
    <t>initial delay = 60 seconds for instrucitons</t>
  </si>
  <si>
    <t>initial delay = (8 lists * 15 words * 1.5 seconds)/2</t>
  </si>
  <si>
    <t>11 weeks</t>
  </si>
  <si>
    <t>initial delay = (14 lists * 4 words * 2 seconds)/2 + 30 seconds of distraction</t>
  </si>
  <si>
    <t>initial delay = (20 pairs * 4 seconds)/2+ 30 seconds of distraction</t>
  </si>
  <si>
    <t>initial delay = (48 cards * 5 seconds)/2+ 30 seconds of distraction</t>
  </si>
  <si>
    <t>23 weeks</t>
  </si>
  <si>
    <t>initial delay = (18 words * 5 seconds) / 2</t>
  </si>
  <si>
    <t>initial delay = (10 pairs * 2 seconds) / 2 + instructions</t>
  </si>
  <si>
    <t>initial delay = (24 lists * 12 items * 4 seconds)/2</t>
  </si>
  <si>
    <t>initial delay = (3 lists * 63 items * 5 seconds)/2</t>
  </si>
  <si>
    <t>1 year</t>
  </si>
  <si>
    <t>Ryback, R. S., Weinert, J., &amp; Fozard, J. L. (1970). Disruption of short-term memory in man following consumption of ethanol. Psychonomic Science, 20(6), 353-354.</t>
  </si>
  <si>
    <t>45 minutes</t>
  </si>
  <si>
    <t>24.5 (sober)</t>
  </si>
  <si>
    <t>48.5 (sober)</t>
  </si>
  <si>
    <t>96.5 (sober)</t>
  </si>
  <si>
    <t>192.5 (sober)</t>
  </si>
  <si>
    <t>Avg Change</t>
  </si>
  <si>
    <t>Tables I &amp; II</t>
  </si>
  <si>
    <t>Vallar, G., &amp; Baddeley, A. D. (1982). Short-term forgetting and the articulatory loop.  Quarterly Journal of Experimental Psychology Section A, 34(1), 53-60.</t>
  </si>
  <si>
    <t>15 seconds</t>
  </si>
  <si>
    <t>articulatory suppression</t>
  </si>
  <si>
    <t>Psychological Science</t>
  </si>
  <si>
    <t>Zhang, W., &amp; Luck, S. J. (2009). Sudden death and gradual decay in visual working memory. Psychological Science, 20(4), 423-428.</t>
  </si>
  <si>
    <t>Figure 3a</t>
  </si>
  <si>
    <t>10 seconds</t>
  </si>
  <si>
    <t>color</t>
  </si>
  <si>
    <t>shape</t>
  </si>
  <si>
    <t>Figure 3b</t>
  </si>
  <si>
    <t>Shortest RI</t>
  </si>
  <si>
    <t>Range</t>
  </si>
  <si>
    <t>Initial Memory</t>
  </si>
  <si>
    <t>Albert, M. S., Butters, N., &amp; Brandt, J. (1981). Development of remote memory loss in patients with Huntington's disease. Journal of Clinical Neuropsychology, 3(1), 1-12.</t>
  </si>
  <si>
    <t>Journal of Clinical Neuropsychology</t>
  </si>
  <si>
    <t>Obs /person</t>
  </si>
  <si>
    <t xml:space="preserve"> Data Amount</t>
  </si>
  <si>
    <t>Complexity</t>
  </si>
  <si>
    <t>Learning Degree</t>
  </si>
  <si>
    <t>Ricker, T. J., Sandry, J., Vergauwe, E., &amp; Cowan, N. (2020). Do familiar memory items decay?. Journal of Experimental Psychology: Learning, Memory, and Cognition, 46(1), 60-76.</t>
  </si>
  <si>
    <t>Test Code</t>
  </si>
  <si>
    <t>Studied &gt; 1</t>
  </si>
  <si>
    <t>Distractor Type</t>
  </si>
  <si>
    <t>Mem Code</t>
  </si>
  <si>
    <t xml:space="preserve"> Restudy-wake</t>
  </si>
  <si>
    <t xml:space="preserve"> Restudy-sleep</t>
  </si>
  <si>
    <t xml:space="preserve"> RP-sleep</t>
  </si>
  <si>
    <t>Curve 1.1</t>
  </si>
  <si>
    <t>Num RI's</t>
  </si>
  <si>
    <t>Longest RI (paper)</t>
  </si>
  <si>
    <t>Phase by Avg RI</t>
  </si>
  <si>
    <t>Exp.</t>
  </si>
  <si>
    <t>2a</t>
  </si>
  <si>
    <t>within</t>
  </si>
  <si>
    <t>Curve 1.2</t>
  </si>
  <si>
    <t>Curve 1.3</t>
  </si>
  <si>
    <t>Curve 1.4</t>
  </si>
  <si>
    <t>course material</t>
  </si>
  <si>
    <t>5 days; Question recall</t>
  </si>
  <si>
    <t>5 days; Free recall</t>
  </si>
  <si>
    <t>1 day; Question recall</t>
  </si>
  <si>
    <t>1 day; Free recall</t>
  </si>
  <si>
    <t xml:space="preserve"> RP-wake</t>
  </si>
  <si>
    <t>Explicit</t>
  </si>
  <si>
    <t>Implicit</t>
  </si>
  <si>
    <t>Free Recall-Adjusted</t>
  </si>
  <si>
    <t>Name Matching-Adjusted</t>
  </si>
  <si>
    <t>Name Recognition-Adjusted</t>
  </si>
  <si>
    <t>Picture Recognition-Adjusted</t>
  </si>
  <si>
    <t>Picture Matching-Adjusted</t>
  </si>
  <si>
    <t>Picture Cuing-Adjusted</t>
  </si>
  <si>
    <t>names</t>
  </si>
  <si>
    <t>Street names - Recall</t>
  </si>
  <si>
    <t>Street names - Matching</t>
  </si>
  <si>
    <t>Street names - Cued</t>
  </si>
  <si>
    <t>Campus Landmarks - Recall</t>
  </si>
  <si>
    <t>Campus Landmarks - Matching</t>
  </si>
  <si>
    <t>Campus Landmarks - Cued</t>
  </si>
  <si>
    <t>City Landmarks - Recall</t>
  </si>
  <si>
    <t>City Landmarks - Matching</t>
  </si>
  <si>
    <t>City Landmarks - Cued</t>
  </si>
  <si>
    <t>Spanish-English Recognition</t>
  </si>
  <si>
    <t>Spanish-English Recall</t>
  </si>
  <si>
    <t>English - Spanish Recognition</t>
  </si>
  <si>
    <t>English - Spanish Recall</t>
  </si>
  <si>
    <t>Idiom Recall</t>
  </si>
  <si>
    <t>Idiom Recognition</t>
  </si>
  <si>
    <t xml:space="preserve">Figure 3 </t>
  </si>
  <si>
    <t>idioms</t>
  </si>
  <si>
    <t>grades</t>
  </si>
  <si>
    <t>Major</t>
  </si>
  <si>
    <t>NonMajor</t>
  </si>
  <si>
    <t>sleep</t>
  </si>
  <si>
    <t>wake</t>
  </si>
  <si>
    <t>autobiographical</t>
  </si>
  <si>
    <t>exact location</t>
  </si>
  <si>
    <t>approximate location</t>
  </si>
  <si>
    <t>number accuracy</t>
  </si>
  <si>
    <t>within number accuracy</t>
  </si>
  <si>
    <t>day of the week</t>
  </si>
  <si>
    <t>toast</t>
  </si>
  <si>
    <t>songfest</t>
  </si>
  <si>
    <t>letters</t>
  </si>
  <si>
    <t>old controls</t>
  </si>
  <si>
    <t>Same</t>
  </si>
  <si>
    <t>contiguity; one-cue</t>
  </si>
  <si>
    <t>phonetic; one-cue</t>
  </si>
  <si>
    <t>graphic; one-cue</t>
  </si>
  <si>
    <t>semantic; one-cue</t>
  </si>
  <si>
    <t>contiguity; mixed-cue</t>
  </si>
  <si>
    <t>phonetic; mixed-cue</t>
  </si>
  <si>
    <t>graphic; mixed-cue</t>
  </si>
  <si>
    <t>semantic; mixed-cue</t>
  </si>
  <si>
    <t>Initial</t>
  </si>
  <si>
    <t>at 3 days</t>
  </si>
  <si>
    <t>High arousal</t>
  </si>
  <si>
    <t>Low arousal</t>
  </si>
  <si>
    <t>Concrete</t>
  </si>
  <si>
    <t>Abstract</t>
  </si>
  <si>
    <t>Table III</t>
  </si>
  <si>
    <t>Test - Study</t>
  </si>
  <si>
    <t>Study</t>
  </si>
  <si>
    <t>Female</t>
  </si>
  <si>
    <t>Male</t>
  </si>
  <si>
    <t>(a)-gap 0</t>
  </si>
  <si>
    <t>(a)-gap 1</t>
  </si>
  <si>
    <t>(a)-gap 7</t>
  </si>
  <si>
    <t>(a)-gap-21</t>
  </si>
  <si>
    <t>(a)-gap-105</t>
  </si>
  <si>
    <t>(b)-gap 0</t>
  </si>
  <si>
    <t>(b)-gap 1</t>
  </si>
  <si>
    <t>(b)-gap 7</t>
  </si>
  <si>
    <t>(b)-gap 21</t>
  </si>
  <si>
    <t>(b)-gap 105</t>
  </si>
  <si>
    <t>Testing</t>
  </si>
  <si>
    <t>Related</t>
  </si>
  <si>
    <t>Control</t>
  </si>
  <si>
    <t>4x</t>
  </si>
  <si>
    <t>16x</t>
  </si>
  <si>
    <t>32x</t>
  </si>
  <si>
    <t>Typical-Typical</t>
  </si>
  <si>
    <t>Typical-Atypical</t>
  </si>
  <si>
    <t>Atypical-Typical</t>
  </si>
  <si>
    <t>Atypical-Atypical</t>
  </si>
  <si>
    <t>resting</t>
  </si>
  <si>
    <t>active</t>
  </si>
  <si>
    <t>A</t>
  </si>
  <si>
    <t>B or below</t>
  </si>
  <si>
    <t>object pictures</t>
  </si>
  <si>
    <t>stories</t>
  </si>
  <si>
    <t>Rote learning</t>
  </si>
  <si>
    <t>Serial learning</t>
  </si>
  <si>
    <t>Paired learning</t>
  </si>
  <si>
    <t>Visuolinguistic transfer</t>
  </si>
  <si>
    <t>Study-Test</t>
  </si>
  <si>
    <t>Study-Test-Study-Test</t>
  </si>
  <si>
    <t>Study-Study-Study</t>
  </si>
  <si>
    <t>Study-Study</t>
  </si>
  <si>
    <t>scenes</t>
  </si>
  <si>
    <t>Mastery-knowledge</t>
  </si>
  <si>
    <t>Mastery-comprehension</t>
  </si>
  <si>
    <t>Mastery-application</t>
  </si>
  <si>
    <t>Mastery-higher</t>
  </si>
  <si>
    <t>Non-Mastery-knowledge</t>
  </si>
  <si>
    <t>Non-Mastery-comprehension</t>
  </si>
  <si>
    <t>Non-Mastery-application</t>
  </si>
  <si>
    <t>Non-Mastery-higher</t>
  </si>
  <si>
    <t>Mean</t>
  </si>
  <si>
    <t>coarse grain</t>
  </si>
  <si>
    <t>chosen grain</t>
  </si>
  <si>
    <t>precise grain</t>
  </si>
  <si>
    <t>Wake after Learning</t>
  </si>
  <si>
    <t>Sleep After Learning</t>
  </si>
  <si>
    <t>Different</t>
  </si>
  <si>
    <t>partial</t>
  </si>
  <si>
    <t>whole</t>
  </si>
  <si>
    <t>flashbulb</t>
  </si>
  <si>
    <t>Total Accuracy Score</t>
  </si>
  <si>
    <t>extroverts</t>
  </si>
  <si>
    <t>introverts</t>
  </si>
  <si>
    <t>people</t>
  </si>
  <si>
    <t>object</t>
  </si>
  <si>
    <t>thoughts</t>
  </si>
  <si>
    <t>spatial movements</t>
  </si>
  <si>
    <t>perceptual details</t>
  </si>
  <si>
    <t>spatial details</t>
  </si>
  <si>
    <t>comments</t>
  </si>
  <si>
    <t>walk</t>
  </si>
  <si>
    <t>III B</t>
  </si>
  <si>
    <t>high arousal</t>
  </si>
  <si>
    <t>low arousal</t>
  </si>
  <si>
    <t>location</t>
  </si>
  <si>
    <t>who with</t>
  </si>
  <si>
    <t>syllable-digit Pairs</t>
  </si>
  <si>
    <t>fragment</t>
  </si>
  <si>
    <t>controls-provided</t>
  </si>
  <si>
    <t>controls-generation</t>
  </si>
  <si>
    <t>Table 11</t>
  </si>
  <si>
    <t>Table 15</t>
  </si>
  <si>
    <t>enacted</t>
  </si>
  <si>
    <t>imagined</t>
  </si>
  <si>
    <t>fixed pace / rest</t>
  </si>
  <si>
    <t>fixed pace / problem solving</t>
  </si>
  <si>
    <t>self pace / rest</t>
  </si>
  <si>
    <t>self pace / problem solving</t>
  </si>
  <si>
    <t>semantic</t>
  </si>
  <si>
    <t>graphemic</t>
  </si>
  <si>
    <t>inclusion / semantic</t>
  </si>
  <si>
    <t>inclusion / graphemic</t>
  </si>
  <si>
    <t>exclusion / semantic</t>
  </si>
  <si>
    <t>exclusion / graphemic</t>
  </si>
  <si>
    <t>4  AFC</t>
  </si>
  <si>
    <t>Open</t>
  </si>
  <si>
    <t>word triads</t>
  </si>
  <si>
    <t>deep 5x</t>
  </si>
  <si>
    <t>deep 1x</t>
  </si>
  <si>
    <t>shallow 5x</t>
  </si>
  <si>
    <t>shallow 1x</t>
  </si>
  <si>
    <t>from authors</t>
  </si>
  <si>
    <t>unpublished</t>
  </si>
  <si>
    <t>vocal 3</t>
  </si>
  <si>
    <t>vocal 1</t>
  </si>
  <si>
    <t>vocal 0</t>
  </si>
  <si>
    <t>silent 3</t>
  </si>
  <si>
    <t>silent 1</t>
  </si>
  <si>
    <t>silent 0</t>
  </si>
  <si>
    <t>page 81</t>
  </si>
  <si>
    <t>page 106</t>
  </si>
  <si>
    <t>free recall, survival</t>
  </si>
  <si>
    <t>free recall, moving</t>
  </si>
  <si>
    <t>recognition, survival</t>
  </si>
  <si>
    <t>recognition, moving</t>
  </si>
  <si>
    <t>new vocabulary</t>
  </si>
  <si>
    <t>no load</t>
  </si>
  <si>
    <t>repeat</t>
  </si>
  <si>
    <t>subtract</t>
  </si>
  <si>
    <t>visual array</t>
  </si>
  <si>
    <t>characters</t>
  </si>
  <si>
    <t>parity</t>
  </si>
  <si>
    <t>sequential</t>
  </si>
  <si>
    <t>simultaneous</t>
  </si>
  <si>
    <t>Figure 6</t>
  </si>
  <si>
    <t>12s ITI</t>
  </si>
  <si>
    <t>6s ITI</t>
  </si>
  <si>
    <t>1s ITI</t>
  </si>
  <si>
    <t>none</t>
  </si>
  <si>
    <t>maintenance</t>
  </si>
  <si>
    <t>full trial</t>
  </si>
  <si>
    <t>750 ISI</t>
  </si>
  <si>
    <t>400 ISI</t>
  </si>
  <si>
    <t>550 ISI</t>
  </si>
  <si>
    <t>220 ISI</t>
  </si>
  <si>
    <t>750 ISI set size 3</t>
  </si>
  <si>
    <t>400 ISI set size 3</t>
  </si>
  <si>
    <t>750 ISI set size 6</t>
  </si>
  <si>
    <t>400 ISI set size 6</t>
  </si>
  <si>
    <t>study</t>
  </si>
  <si>
    <t>test</t>
  </si>
  <si>
    <t>fragment completion</t>
  </si>
  <si>
    <t>anagram solution</t>
  </si>
  <si>
    <t>Hi Learners- Time 0  from Fig1A</t>
  </si>
  <si>
    <t>Lo Learners- Time 0  from Fig1A</t>
  </si>
  <si>
    <t>Hi Learners- Time 0  from Fig2A</t>
  </si>
  <si>
    <t>Lo Learners- Time 0  from Fig2A</t>
  </si>
  <si>
    <t>Figure 1B</t>
  </si>
  <si>
    <t>Figure 2B</t>
  </si>
  <si>
    <t>word definition pairs</t>
  </si>
  <si>
    <t>Rohrer, D. &amp; Taylor, K. (2006). The effects of overlearning and distributed practise on the retention of mathematics knowledge. Applied Cognitive Psychology, 20, 1209-1224.</t>
  </si>
  <si>
    <t>spacers - time 0 from practice set</t>
  </si>
  <si>
    <t>massers - time 0 from practice set</t>
  </si>
  <si>
    <t>hi massers - time 0 from practice set</t>
  </si>
  <si>
    <t>lo massers - time 0 from practice set</t>
  </si>
  <si>
    <t>Figure 1D</t>
  </si>
  <si>
    <t>free recall</t>
  </si>
  <si>
    <t>prompted recall</t>
  </si>
  <si>
    <t>1 - tested</t>
  </si>
  <si>
    <t>3 - tested</t>
  </si>
  <si>
    <t>1 - not tested</t>
  </si>
  <si>
    <t>3 - not tested</t>
  </si>
  <si>
    <t>unadjusted</t>
  </si>
  <si>
    <t>total - main events - group 1</t>
  </si>
  <si>
    <t>total - attackers - group 1</t>
  </si>
  <si>
    <t>total - aftermath - group 1</t>
  </si>
  <si>
    <t>elaborated - main events - group 1</t>
  </si>
  <si>
    <t>total - main events - group 2</t>
  </si>
  <si>
    <t>total - attackers - group 2</t>
  </si>
  <si>
    <t>total - aftermath - group 2</t>
  </si>
  <si>
    <t>elaborated - main events - group 2</t>
  </si>
  <si>
    <t>total - attackers - group 1/2</t>
  </si>
  <si>
    <t>total - main events - group 1/2</t>
  </si>
  <si>
    <t>total - aftermath - group 1/2</t>
  </si>
  <si>
    <t>elaborated - main events - group 1/2</t>
  </si>
  <si>
    <t>elaborated - attackers - group 1/2</t>
  </si>
  <si>
    <t>elaborated - aftermath - group 1/2</t>
  </si>
  <si>
    <t>medium</t>
  </si>
  <si>
    <t>studied M</t>
  </si>
  <si>
    <t>liking - controls</t>
  </si>
  <si>
    <t>vowel - controls</t>
  </si>
  <si>
    <t>positive</t>
  </si>
  <si>
    <t>negative</t>
  </si>
  <si>
    <t>trigram-word pairs</t>
  </si>
  <si>
    <t>roles</t>
  </si>
  <si>
    <t>recent</t>
  </si>
  <si>
    <t>remote</t>
  </si>
  <si>
    <t>Supplement</t>
  </si>
  <si>
    <t>deep</t>
  </si>
  <si>
    <t>shallow</t>
  </si>
  <si>
    <t>pleasantness</t>
  </si>
  <si>
    <t>vowel</t>
  </si>
  <si>
    <t>Figure 1.1</t>
  </si>
  <si>
    <t>strings</t>
  </si>
  <si>
    <t>0 ITI</t>
  </si>
  <si>
    <t>70 ITI</t>
  </si>
  <si>
    <t>40 ITI</t>
  </si>
  <si>
    <t>EE</t>
  </si>
  <si>
    <t>ED</t>
  </si>
  <si>
    <t>DD</t>
  </si>
  <si>
    <t>DE</t>
  </si>
  <si>
    <t>suppression</t>
  </si>
  <si>
    <t>counting</t>
  </si>
  <si>
    <t>suppression at retention</t>
  </si>
  <si>
    <t>total suppression</t>
  </si>
  <si>
    <t>mixed arousal</t>
  </si>
  <si>
    <t>Easy</t>
  </si>
  <si>
    <t>Hard</t>
  </si>
  <si>
    <t>Easy to Hard</t>
  </si>
  <si>
    <t>Easy to Hard 8</t>
  </si>
  <si>
    <t>Easy to Hard 16</t>
  </si>
  <si>
    <t>5s study</t>
  </si>
  <si>
    <t>1s study</t>
  </si>
  <si>
    <t>1917-18</t>
  </si>
  <si>
    <t>1923-24 trained</t>
  </si>
  <si>
    <t>1923-24 untrained</t>
  </si>
  <si>
    <t>Learning 1</t>
  </si>
  <si>
    <t>Learning 2</t>
  </si>
  <si>
    <t>Learning 3</t>
  </si>
  <si>
    <t>what</t>
  </si>
  <si>
    <t>who</t>
  </si>
  <si>
    <t>where</t>
  </si>
  <si>
    <t>day of week</t>
  </si>
  <si>
    <t>time of day</t>
  </si>
  <si>
    <t>day of month</t>
  </si>
  <si>
    <t>month</t>
  </si>
  <si>
    <t>important details</t>
  </si>
  <si>
    <t>unimportant details</t>
  </si>
  <si>
    <t>date</t>
  </si>
  <si>
    <t>12 weeks</t>
  </si>
  <si>
    <t>time</t>
  </si>
  <si>
    <t>why</t>
  </si>
  <si>
    <t>JEPHLM</t>
  </si>
  <si>
    <t>MacLeod, C. (1988). Forgotten but Not Gone: Savings for Pictures and Words in Long-Term Memory. Journal of Experimental Psychology: Learning, Memory, and Cognition, 14(2), 195-212.</t>
  </si>
  <si>
    <t>Briggs, G. E. (1954). Acquisition, extinction, and recovery functions in retroactive inhibition. Journal of Experimental Psychology, 47(5), 285-293.</t>
  </si>
  <si>
    <t>R1</t>
  </si>
  <si>
    <t>72 hours</t>
  </si>
  <si>
    <t>R2</t>
  </si>
  <si>
    <t>Koppenaal, R. J. (1963). Time changes in the strengths of A–B, A–C lists; spontaneous recovery?. Journal of Verbal Learning and Verbal Behavior, 2(4), 310-319.</t>
  </si>
  <si>
    <t>Koppenaal (1963)</t>
  </si>
  <si>
    <t>1st list</t>
  </si>
  <si>
    <t>2nd list</t>
  </si>
  <si>
    <t>Postman, L., Stark, K., &amp; Fraser, J. (1968). Temporal changes in interference. Journal of Verbal Learning and Verbal Behavior, 7(3), 672-694.</t>
  </si>
  <si>
    <t>list 2</t>
  </si>
  <si>
    <t>26 minutes</t>
  </si>
  <si>
    <t>Postman, L., &amp; Phillips, L. W. (1965). Short-term temporal changes in free recall. Quarterly journal of experimental psychology, 17(2), 132-138.</t>
  </si>
  <si>
    <t>10 items</t>
  </si>
  <si>
    <t>initial delay = .01 for zero delay</t>
  </si>
  <si>
    <t>20 items</t>
  </si>
  <si>
    <t>30 items</t>
  </si>
  <si>
    <t>Mack</t>
  </si>
  <si>
    <t>Seitz</t>
  </si>
  <si>
    <t>Dros</t>
  </si>
  <si>
    <t>initial = 30 seconds to start</t>
  </si>
  <si>
    <t>recall U.S. states &amp; capitals</t>
  </si>
  <si>
    <t>converging</t>
  </si>
  <si>
    <t>rehearsing 5  words</t>
  </si>
  <si>
    <t>Kopelman, M. D., Stanhope, N., &amp; Kingsley, D. (1999). Retrograde amnesia in patients with diencephalic, temporal lobe or frontal lesions. Neuropsychologia, 37(8), 939-958.</t>
  </si>
  <si>
    <t>adjusted learning</t>
  </si>
  <si>
    <t>standard learning</t>
  </si>
  <si>
    <t>Wylie, M. (1926). Recognition of Chinese Symbols. The American Journal of Psychology, 37(2), 224-232.</t>
  </si>
  <si>
    <t>Squire, Shimamura, &amp; Graf. (1987). Strength and duration of priming effects in normal subjects and amnesic patients. Neuropsychologia, 25(1), 195-210.</t>
  </si>
  <si>
    <r>
      <t>Log R</t>
    </r>
    <r>
      <rPr>
        <vertAlign val="superscript"/>
        <sz val="10"/>
        <color rgb="FF000000"/>
        <rFont val="Calibri Light"/>
        <family val="2"/>
        <scheme val="major"/>
      </rPr>
      <t>2</t>
    </r>
  </si>
  <si>
    <r>
      <t>Exp sqrt(t) R</t>
    </r>
    <r>
      <rPr>
        <vertAlign val="superscript"/>
        <sz val="10"/>
        <color rgb="FF000000"/>
        <rFont val="Calibri Light"/>
        <family val="2"/>
        <scheme val="major"/>
      </rPr>
      <t>2</t>
    </r>
  </si>
  <si>
    <r>
      <t>Hyperbolic sqrt(t) R</t>
    </r>
    <r>
      <rPr>
        <vertAlign val="superscript"/>
        <sz val="10"/>
        <color rgb="FF000000"/>
        <rFont val="Calibri Light"/>
        <family val="2"/>
        <scheme val="major"/>
      </rPr>
      <t>2</t>
    </r>
  </si>
  <si>
    <t>Design code</t>
  </si>
  <si>
    <t>Flores, S., Bailey, H. R., Eisenberg, M. L., &amp; Zacks, J. M. (2017). Event segmentation improves event memory up to one month later. Journal of Experimental Psychology: Learning, Memory, and Cognition, 43(8), 1183-1202.</t>
  </si>
  <si>
    <t>video activities</t>
  </si>
  <si>
    <t>segmentaion</t>
  </si>
  <si>
    <t>intentional</t>
  </si>
  <si>
    <t>timing</t>
  </si>
  <si>
    <t>actions with interaction</t>
  </si>
  <si>
    <t>Max</t>
  </si>
  <si>
    <t>Min</t>
  </si>
  <si>
    <t>SD</t>
  </si>
  <si>
    <t>person</t>
  </si>
  <si>
    <t>absolute time</t>
  </si>
  <si>
    <t>relative time</t>
  </si>
  <si>
    <t>how</t>
  </si>
  <si>
    <t>Carlesimo, G. A., Sabbadini, M., Fadda, L., &amp; Caltagirone, C. (1995). Forgetting from long-term memory in dementia and pure amnesia: Role of task, delay of assessment and aetiology of cerebral damage. Cortex, 31(2), 285-300.</t>
  </si>
  <si>
    <t>Gaudino, E. A., Chiaravalloti, N. D., DeLuca, J., &amp; Diamond, B. J. (2001). A comparison of memory performance in relapsing–remitting, primary progressive and secondary progressive, multiple sclerosis. Cognitive and Behavioral Neurology, 14(1), 32-44.</t>
  </si>
  <si>
    <t>Cognitive and Behavioral Neurology</t>
  </si>
  <si>
    <t>text</t>
  </si>
  <si>
    <t>Kopelman, M. D. (1985). Rates of forgetting in Alzheimer-type dementia and Korsakoff's syndrome. Neuropsychologia, 23(5), 623-638.</t>
  </si>
  <si>
    <t>20 seconds</t>
  </si>
  <si>
    <t>Levin, H. S., High, W. M., &amp; Eisenberg, H. M. (1988). Learning and forgetting during posttraumatic amnesia in head injured patients. Journal of Neurology, Neurosurgery &amp; Psychiatry, 51(1), 14-20.</t>
  </si>
  <si>
    <t>32 hours</t>
  </si>
  <si>
    <t>5/26.2020</t>
  </si>
  <si>
    <t>Bell, B. D. (2006). WMS-III logical memory performance after a two-week delay in temporal lobe epilepsy and control groups. Journal of Clinical and Experimental Neuropsychology, 28(8), 1435-1443.</t>
  </si>
  <si>
    <t>Journal of Clinical and Experimental Neuropsychology</t>
  </si>
  <si>
    <t>initial delay  = 30 s for instructions</t>
  </si>
  <si>
    <t>Bell, B. D., Fine, J., Dow, C., Seidenberg, M., &amp; Hermann, B. P. (2005). Temporal lobe epilepsy and the selective reminding test: the conventional 30-minute delay suffices. Psychological Assessment, 17(1), 103-109.</t>
  </si>
  <si>
    <t>Psychological Assessment</t>
  </si>
  <si>
    <t>controls - auditory</t>
  </si>
  <si>
    <t>controls - visual</t>
  </si>
  <si>
    <t>Blake, R. V., Wroe, S. J., Breen, E. K., &amp; McCarthy, R. A. (2000). Accelerated forgetting in patients with epilepsy: evidence for an impairment in memory consolidation. Brain, 123(3), 472-483.</t>
  </si>
  <si>
    <t>Butler, C. R., Graham, K. S., Hodges, J. R., Kapur, N., Wardlaw, J. M., &amp; Zeman, A. Z. (2007). The syndrome of transient epileptic amnesia. Annals of Neurology, 61(6), 587-598.</t>
  </si>
  <si>
    <t>Annals of Neurology</t>
  </si>
  <si>
    <t>Butler, C., Kapur, N., Zeman, A., Weller, R., &amp; Connelly, A. (2012). Epilepsy-related long-term amnesia: anatomical perspectives. Neuropsychologia, 50(13), 2973-2980.</t>
  </si>
  <si>
    <r>
      <t>Cronel-Ohayon, S., Zesiger, P., Davidoff, V., Boni, A., Roulet, E., &amp; Deonna, T. (2006). Deficit in memory consolidation (abnormal forgetting rate) in childhood temporal lobe epilepsy. Pre and postoperative long-term observation. </t>
    </r>
    <r>
      <rPr>
        <i/>
        <sz val="10"/>
        <color rgb="FF222222"/>
        <rFont val="Arial"/>
        <family val="2"/>
      </rPr>
      <t>Neuropediatrics</t>
    </r>
    <r>
      <rPr>
        <sz val="10"/>
        <color rgb="FF222222"/>
        <rFont val="Arial"/>
        <family val="2"/>
      </rPr>
      <t>, </t>
    </r>
    <r>
      <rPr>
        <i/>
        <sz val="10"/>
        <color rgb="FF222222"/>
        <rFont val="Arial"/>
        <family val="2"/>
      </rPr>
      <t>37</t>
    </r>
    <r>
      <rPr>
        <sz val="10"/>
        <color rgb="FF222222"/>
        <rFont val="Arial"/>
        <family val="2"/>
      </rPr>
      <t>(06), 317-324.</t>
    </r>
  </si>
  <si>
    <t>Neuropediatrics</t>
  </si>
  <si>
    <t>29 days</t>
  </si>
  <si>
    <t>initial delay = 30 s for instructions</t>
  </si>
  <si>
    <t>Evans, S. J., Elliott, G., Reynders, H., &amp; Isaac, C. L. (2014). Can temporal lobe epilepsy surgery ameliorate accelerated long-term forgetting?. Neuropsychologia, 53, 64-74.</t>
  </si>
  <si>
    <t>control -pre item recall</t>
  </si>
  <si>
    <t>initial delay 30 s for instructions</t>
  </si>
  <si>
    <t>control -post item recall</t>
  </si>
  <si>
    <t>control -pre spatial recall</t>
  </si>
  <si>
    <t>control -post spatial recall</t>
  </si>
  <si>
    <t>control -pre descriptive recall</t>
  </si>
  <si>
    <t>control -post descriptive recall</t>
  </si>
  <si>
    <t>control -pre image recognition</t>
  </si>
  <si>
    <t>control -post image recogntion</t>
  </si>
  <si>
    <t>control -pre repeated verbal recall</t>
  </si>
  <si>
    <t>control -post repeated verbal recall</t>
  </si>
  <si>
    <t/>
  </si>
  <si>
    <t>control -pre verbal recognition</t>
  </si>
  <si>
    <t>control -post verbal recogntion</t>
  </si>
  <si>
    <t>Fitzgerald, Z., Thayer, Z., Mohamed, A., &amp; Miller, L. A. (2013). Examining factors related to accelerated long‐term forgetting in epilepsy using ambulatory EEG monitoring. Epilepsia, 54(5), 819-827.</t>
  </si>
  <si>
    <t>Epilepsia</t>
  </si>
  <si>
    <t>Giovagnoli, A. R., Casazza, M., &amp; Avanzini, G. (1995). Visual learning on a selective reminding procedure and delayed recall in patients with temporal lobe epilepsy. Epilepsia, 36(7), 704-711.</t>
  </si>
  <si>
    <t>13 days</t>
  </si>
  <si>
    <t>Jansari, A. S., Davis, K., McGibbon, T., Firminger, S., &amp; Kapur, N. (2010). When “long-term memory” no longer means “forever”: Analysis of accelerated long-term forgetting in a patient with temporal lobe epilepsy. Neuropsychologia, 48(6), 1707-1715.</t>
  </si>
  <si>
    <t>Kapur, N., Millar, J., Colbourn, C., Abbott, P., Kennedy, P., &amp; Docherty, T. (1997). Very long-term amnesia in association with temporal lobe epilepsy: evidence for multiple-stage consolidation processes. Brain and Cognition, 35(1), 58-70.</t>
  </si>
  <si>
    <t>Kemp, S., Illman, N. A., Moulin, C. J., &amp; Baddeley, A. D. (2012). Accelerated long-term forgetting (ALF) and transient epileptic amnesia (TEA): Two cases of epilepsy‐related memory disorder. Epilepsy &amp; Behavior, 24(3), 382-388.</t>
  </si>
  <si>
    <t> Epilepsy &amp; Behavior</t>
  </si>
  <si>
    <t>Lucchelli, F., &amp; Spinnler, H. (1998). Ephemeral new traces and evaporated remote engrams: A form of neocortical temporal lobe amnesia? A preliminary case report. Neurocase, 4(6), 447-459.</t>
  </si>
  <si>
    <t>Neurocase</t>
  </si>
  <si>
    <t>41 days</t>
  </si>
  <si>
    <t>27 years</t>
  </si>
  <si>
    <t>Mameniskiene, R., Jatuzis, D., Kaubrys, G., &amp; Budrys, V. (2006). The decay of memory between delayed and long-term recall in patients with temporal lobe epilepsy. Epilepsy &amp; Behavior, 8(1), 278-288.</t>
  </si>
  <si>
    <t>Epilepsy and Behavior</t>
  </si>
  <si>
    <t>Manes, F., Graham, K. S., Zeman, A., de Lujan Calcagno, M., &amp; Hodges, J. R. (2005). Autobiographical amnesia and accelerated forgetting in transient epileptic amnesia. Journal of Neurology, Neurosurgery &amp; Psychiatry, 76(10), 1387-1391.</t>
  </si>
  <si>
    <t>Martin, R. C., Loring, D. W., Meador, K. J., Lee, G. P., Thrash, N., &amp; Arena, J. G. (1991). Impaired long-term retention despite normal verbal learning in patients with temporal lobe dysfunction. Neuropsychology, 5(1), 3.</t>
  </si>
  <si>
    <t>Mayes, A. R., Isaac, C. L., Holdstock, J. S., Cariga, P., Gummer, A., &amp; Roberts, N. (2003). Long-term amnesia: a review and detailed illustrative case study. Cortex, 39(4-5), 567-603.</t>
  </si>
  <si>
    <t>McGibbon, T., &amp; Jansari, A. S. (2013). Detecting the onset of accelerated long-term forgetting: evidence from temporal lobe epilepsy. Neuropsychologia, 51(1), 114-122.</t>
  </si>
  <si>
    <t>Neuropsycholgia</t>
  </si>
  <si>
    <t>4 hours</t>
  </si>
  <si>
    <t>McKee, R. D., &amp; Squire, L. R. (1992). Equivalent forgetting rates in long-term memory for diencephalic and medial temporal lobe amnesia. Journal of Neuroscience, 12(10), 3765-3772.</t>
  </si>
  <si>
    <t>J of Neuroscience</t>
  </si>
  <si>
    <t>31 hours</t>
  </si>
  <si>
    <t>Muhlert, N., Grünewald, R. A., Hunkin, N. M., Reuber, M., Howell, S., Reynders, H., &amp; Isaac, C. L. (2011). Accelerated long-term forgetting in temporal lobe but not idiopathic generalised epilepsy. Neuropsychologia, 49(9), 2417-2426.</t>
  </si>
  <si>
    <t>controls - item</t>
  </si>
  <si>
    <t>CON - item</t>
  </si>
  <si>
    <t>controls - spatial</t>
  </si>
  <si>
    <t>CON - spatial</t>
  </si>
  <si>
    <t>controls - descriptive</t>
  </si>
  <si>
    <t>CON - descriptive</t>
  </si>
  <si>
    <t xml:space="preserve"> </t>
  </si>
  <si>
    <t>controls - scenes</t>
  </si>
  <si>
    <t>CON - scenes</t>
  </si>
  <si>
    <t>Muhlert, N., Milton, F., Butler, C. R., Kapur, N., &amp; Zeman, A. Z. (2010). Accelerated forgetting of real-life events in Transient Epileptic Amnesia. Neuropsychologia, 48(11), 3235-3244.</t>
  </si>
  <si>
    <t>controls - events</t>
  </si>
  <si>
    <t>controls - contiguous events</t>
  </si>
  <si>
    <t>controls - thougts</t>
  </si>
  <si>
    <t>controls - sensory</t>
  </si>
  <si>
    <t>O'Connor, M., Sieggreen, M. A., Ahern, G., Schomer, D., &amp; Mesulam, M. (1997). Accelerated forgetting in association with temporal lobe epilepsy and paraneoplastic encephalitis. Brain and Cognition, 35(1), 71-84.</t>
  </si>
  <si>
    <t>Siler, J., &amp; Benjamin, A. S. (2019). Long-term inference and memory following retrieval practice. Memory &amp; Cognition, 48, 645-654.</t>
  </si>
  <si>
    <t>supplement</t>
  </si>
  <si>
    <t>restudy</t>
  </si>
  <si>
    <t>25 days</t>
  </si>
  <si>
    <t>initial delay = 60 s for instructions</t>
  </si>
  <si>
    <t>Spikman, J. M., Berg, I. J., &amp; Deelman, B. G. (1995). Spared recognition capacity in elderly and closed-head-injury subjects with clinical memory deficits. Journal of clinical and experimental neuropsychology, 17(1), 29-34.</t>
  </si>
  <si>
    <t>J of Clinical and Exp Neuropsychology</t>
  </si>
  <si>
    <t>younger adults</t>
  </si>
  <si>
    <t>27 weeks</t>
  </si>
  <si>
    <t>initial delay = halfway through a 10 minute presentation period on average</t>
  </si>
  <si>
    <t>older adults</t>
  </si>
  <si>
    <t>Tramoni, E., Felician, O., Barbeau, E. J., Guedj, E., Guye, M., Bartolomei, F., &amp; Ceccaldi, M. (2011). Long-term consolidation of declarative memory: insight from temporal lobe epilepsy. Brain, 134(3), 816-831.</t>
  </si>
  <si>
    <t>22 years</t>
  </si>
  <si>
    <t>van der Werf, S. P., Geurts, S., &amp; de Werd, M. M. (2016). Subjective memory ability and long-term forgetting in patients referred for neuropsychological assessment. Frontiers in psychology, 7, 605.</t>
  </si>
  <si>
    <t>Frontiers</t>
  </si>
  <si>
    <t>Wilkinson, H., Holdstock, J. S., Baker, G., Herbert, A., Clague, F., &amp; Downes, J. J. (2012). Long-term accelerated forgetting of verbal and non-verbal information in temporal lobe epilepsy. Cortex, 48(3), 317-332.</t>
  </si>
  <si>
    <r>
      <t>Linear R</t>
    </r>
    <r>
      <rPr>
        <b/>
        <vertAlign val="superscript"/>
        <sz val="10"/>
        <color rgb="FF000000"/>
        <rFont val="Calibri Light"/>
        <family val="2"/>
        <scheme val="major"/>
      </rPr>
      <t>2</t>
    </r>
  </si>
  <si>
    <r>
      <t>Power R</t>
    </r>
    <r>
      <rPr>
        <b/>
        <vertAlign val="superscript"/>
        <sz val="10"/>
        <color rgb="FF000000"/>
        <rFont val="Calibri Light"/>
        <family val="2"/>
        <scheme val="major"/>
      </rPr>
      <t>2</t>
    </r>
  </si>
  <si>
    <r>
      <t>Log R</t>
    </r>
    <r>
      <rPr>
        <b/>
        <vertAlign val="superscript"/>
        <sz val="10"/>
        <color rgb="FF000000"/>
        <rFont val="Calibri Light"/>
        <family val="2"/>
        <scheme val="major"/>
      </rPr>
      <t>2</t>
    </r>
  </si>
  <si>
    <r>
      <t>Exp sqrt(t) R</t>
    </r>
    <r>
      <rPr>
        <b/>
        <vertAlign val="superscript"/>
        <sz val="10"/>
        <color rgb="FF000000"/>
        <rFont val="Calibri Light"/>
        <family val="2"/>
        <scheme val="major"/>
      </rPr>
      <t>2</t>
    </r>
  </si>
  <si>
    <r>
      <t>Hyperbolic sqrt(t) R</t>
    </r>
    <r>
      <rPr>
        <b/>
        <vertAlign val="superscript"/>
        <sz val="10"/>
        <color rgb="FF000000"/>
        <rFont val="Calibri Light"/>
        <family val="2"/>
        <scheme val="major"/>
      </rPr>
      <t>2</t>
    </r>
  </si>
  <si>
    <t>WM</t>
  </si>
  <si>
    <t>LLM</t>
  </si>
  <si>
    <t>SE</t>
  </si>
  <si>
    <t>Median</t>
  </si>
  <si>
    <t>ELTM</t>
  </si>
  <si>
    <t>TLTM</t>
  </si>
  <si>
    <t>Counting Backwards</t>
  </si>
  <si>
    <t>structure</t>
  </si>
  <si>
    <t>e-LTM</t>
  </si>
  <si>
    <t>t-LTM</t>
  </si>
  <si>
    <t>Memory Data (in proportion correct)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</si>
</sst>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0.0"/>
    <numFmt numFmtId="166" formatCode="0.00000"/>
    <numFmt numFmtId="167" formatCode="0.0000"/>
    <numFmt numFmtId="168" formatCode="0.000000"/>
  </numFmts>
  <fonts count="18" x14ac:knownFonts="1">
    <font>
      <sz val="11"/>
      <color rgb="FF000000"/>
      <name val="Calibri"/>
    </font>
    <font>
      <sz val="11"/>
      <color theme="1"/>
      <name val="Calibri"/>
      <family val="2"/>
      <scheme val="minor"/>
    </font>
    <font>
      <sz val="11"/>
      <color rgb="FF000000"/>
      <name val="Calibri"/>
      <family val="2"/>
    </font>
    <font>
      <sz val="10"/>
      <color rgb="FF000000"/>
      <name val="Calibri Light"/>
      <family val="2"/>
      <scheme val="major"/>
    </font>
    <font>
      <sz val="10"/>
      <name val="Calibri Light"/>
      <family val="2"/>
      <scheme val="major"/>
    </font>
    <font>
      <i/>
      <sz val="10"/>
      <name val="Calibri Light"/>
      <family val="2"/>
      <scheme val="major"/>
    </font>
    <font>
      <sz val="10"/>
      <color theme="1"/>
      <name val="Calibri Light"/>
      <family val="2"/>
      <scheme val="major"/>
    </font>
    <font>
      <i/>
      <sz val="10"/>
      <color theme="1"/>
      <name val="Calibri Light"/>
      <family val="2"/>
      <scheme val="major"/>
    </font>
    <font>
      <i/>
      <sz val="10"/>
      <color rgb="FF000000"/>
      <name val="Calibri Light"/>
      <family val="2"/>
      <scheme val="major"/>
    </font>
    <font>
      <vertAlign val="superscript"/>
      <sz val="10"/>
      <color rgb="FF000000"/>
      <name val="Calibri Light"/>
      <family val="2"/>
      <scheme val="major"/>
    </font>
    <font>
      <sz val="10"/>
      <color rgb="FF000000"/>
      <name val="Calibri"/>
      <family val="2"/>
    </font>
    <font>
      <sz val="10"/>
      <color rgb="FFFF0000"/>
      <name val="Calibri Light"/>
      <family val="2"/>
      <scheme val="major"/>
    </font>
    <font>
      <sz val="11"/>
      <color rgb="FF222222"/>
      <name val="Calibri"/>
      <family val="2"/>
      <scheme val="minor"/>
    </font>
    <font>
      <sz val="10"/>
      <color rgb="FF222222"/>
      <name val="Arial"/>
      <family val="2"/>
    </font>
    <font>
      <i/>
      <sz val="10"/>
      <color rgb="FF222222"/>
      <name val="Arial"/>
      <family val="2"/>
    </font>
    <font>
      <b/>
      <sz val="10"/>
      <name val="Calibri Light"/>
      <family val="2"/>
      <scheme val="major"/>
    </font>
    <font>
      <b/>
      <sz val="10"/>
      <color rgb="FF000000"/>
      <name val="Calibri Light"/>
      <family val="2"/>
      <scheme val="major"/>
    </font>
    <font>
      <b/>
      <vertAlign val="superscript"/>
      <sz val="10"/>
      <color rgb="FF000000"/>
      <name val="Calibri Light"/>
      <family val="2"/>
      <scheme val="major"/>
    </font>
  </fonts>
  <fills count="6">
    <fill>
      <patternFill patternType="none"/>
    </fill>
    <fill>
      <patternFill patternType="gray125"/>
    </fill>
    <fill>
      <patternFill patternType="solid">
        <fgColor theme="1"/>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4" tint="0.79998168889431442"/>
        <bgColor indexed="64"/>
      </patternFill>
    </fill>
  </fills>
  <borders count="1">
    <border>
      <left/>
      <right/>
      <top/>
      <bottom/>
      <diagonal/>
    </border>
  </borders>
  <cellStyleXfs count="3">
    <xf numFmtId="0" fontId="0" fillId="0" borderId="0"/>
    <xf numFmtId="0" fontId="2" fillId="0" borderId="0"/>
    <xf numFmtId="0" fontId="1" fillId="0" borderId="0"/>
  </cellStyleXfs>
  <cellXfs count="208">
    <xf numFmtId="0" fontId="0" fillId="0" borderId="0" xfId="0" applyFont="1" applyAlignment="1"/>
    <xf numFmtId="0" fontId="4" fillId="0" borderId="0" xfId="0" applyFont="1" applyFill="1" applyBorder="1" applyAlignment="1">
      <alignment horizontal="left" vertical="center"/>
    </xf>
    <xf numFmtId="2" fontId="4" fillId="0" borderId="0" xfId="0" applyNumberFormat="1" applyFont="1" applyFill="1" applyBorder="1" applyAlignment="1">
      <alignment horizontal="left" vertical="center"/>
    </xf>
    <xf numFmtId="0" fontId="4" fillId="2" borderId="0" xfId="0" applyFont="1" applyFill="1" applyBorder="1"/>
    <xf numFmtId="0" fontId="4" fillId="2" borderId="0" xfId="0" applyFont="1" applyFill="1" applyBorder="1" applyAlignment="1">
      <alignment horizontal="left" vertical="center"/>
    </xf>
    <xf numFmtId="164" fontId="4" fillId="2" borderId="0" xfId="0" applyNumberFormat="1" applyFont="1" applyFill="1" applyBorder="1" applyAlignment="1">
      <alignment horizontal="left" vertical="center"/>
    </xf>
    <xf numFmtId="165" fontId="4" fillId="2" borderId="0" xfId="0" applyNumberFormat="1" applyFont="1" applyFill="1" applyBorder="1" applyAlignment="1">
      <alignment horizontal="left" vertical="center"/>
    </xf>
    <xf numFmtId="166" fontId="4" fillId="2" borderId="0" xfId="0" applyNumberFormat="1" applyFont="1" applyFill="1" applyBorder="1" applyAlignment="1">
      <alignment horizontal="left" vertical="center"/>
    </xf>
    <xf numFmtId="2" fontId="4" fillId="2" borderId="0" xfId="0" applyNumberFormat="1" applyFont="1" applyFill="1" applyBorder="1" applyAlignment="1">
      <alignment horizontal="left" vertical="center"/>
    </xf>
    <xf numFmtId="1" fontId="4" fillId="2" borderId="0" xfId="0" applyNumberFormat="1" applyFont="1" applyFill="1" applyBorder="1" applyAlignment="1">
      <alignment horizontal="left" vertical="center"/>
    </xf>
    <xf numFmtId="2" fontId="3" fillId="0" borderId="0" xfId="0" applyNumberFormat="1" applyFont="1" applyFill="1" applyBorder="1" applyAlignment="1">
      <alignment vertical="center"/>
    </xf>
    <xf numFmtId="2" fontId="3" fillId="0" borderId="0" xfId="0" applyNumberFormat="1" applyFont="1" applyFill="1" applyBorder="1" applyAlignment="1">
      <alignment horizontal="left" vertical="center"/>
    </xf>
    <xf numFmtId="0" fontId="4" fillId="2" borderId="0" xfId="0" applyFont="1" applyFill="1" applyBorder="1" applyAlignment="1"/>
    <xf numFmtId="0" fontId="4" fillId="0" borderId="0" xfId="0" applyFont="1" applyFill="1" applyBorder="1" applyAlignment="1"/>
    <xf numFmtId="0" fontId="3" fillId="0" borderId="0" xfId="0" applyFont="1" applyFill="1" applyBorder="1" applyAlignment="1"/>
    <xf numFmtId="0" fontId="3" fillId="0" borderId="0" xfId="0" applyFont="1" applyFill="1" applyBorder="1" applyAlignment="1">
      <alignment horizontal="left" vertical="center"/>
    </xf>
    <xf numFmtId="164" fontId="4" fillId="0" borderId="0" xfId="0" applyNumberFormat="1" applyFont="1" applyFill="1" applyBorder="1" applyAlignment="1">
      <alignment horizontal="left" vertical="center"/>
    </xf>
    <xf numFmtId="0" fontId="6" fillId="0" borderId="0" xfId="0" applyFont="1" applyFill="1" applyBorder="1" applyAlignment="1">
      <alignment horizontal="left" vertical="center"/>
    </xf>
    <xf numFmtId="2" fontId="6" fillId="0" borderId="0" xfId="0" applyNumberFormat="1" applyFont="1" applyFill="1" applyBorder="1" applyAlignment="1">
      <alignment horizontal="left" vertical="center"/>
    </xf>
    <xf numFmtId="0" fontId="6" fillId="0" borderId="0" xfId="0" applyFont="1" applyFill="1" applyBorder="1" applyAlignment="1"/>
    <xf numFmtId="2" fontId="3" fillId="0" borderId="0" xfId="0" applyNumberFormat="1" applyFont="1" applyFill="1" applyBorder="1" applyAlignment="1"/>
    <xf numFmtId="167" fontId="4" fillId="2" borderId="0" xfId="0" applyNumberFormat="1" applyFont="1" applyFill="1" applyBorder="1" applyAlignment="1">
      <alignment horizontal="left" vertical="center"/>
    </xf>
    <xf numFmtId="0" fontId="4" fillId="0" borderId="0" xfId="0" applyFont="1" applyFill="1" applyBorder="1" applyAlignment="1">
      <alignment horizontal="left" vertical="center" wrapText="1"/>
    </xf>
    <xf numFmtId="2" fontId="4" fillId="0" borderId="0" xfId="0" applyNumberFormat="1" applyFont="1" applyFill="1" applyBorder="1" applyAlignment="1">
      <alignment horizontal="left" vertical="center"/>
    </xf>
    <xf numFmtId="2" fontId="4" fillId="0" borderId="0" xfId="0" applyNumberFormat="1" applyFont="1" applyFill="1" applyBorder="1" applyAlignment="1">
      <alignment horizontal="left" vertical="center"/>
    </xf>
    <xf numFmtId="1" fontId="4" fillId="0" borderId="0" xfId="0" applyNumberFormat="1" applyFont="1" applyFill="1" applyBorder="1" applyAlignment="1">
      <alignment horizontal="left" vertical="center"/>
    </xf>
    <xf numFmtId="0" fontId="4" fillId="0" borderId="0" xfId="0" applyFont="1" applyFill="1" applyBorder="1" applyAlignment="1">
      <alignment horizontal="left"/>
    </xf>
    <xf numFmtId="4" fontId="10" fillId="0" borderId="0" xfId="0" applyNumberFormat="1" applyFont="1" applyFill="1" applyAlignment="1">
      <alignment horizontal="left"/>
    </xf>
    <xf numFmtId="2" fontId="4" fillId="0" borderId="0" xfId="0" applyNumberFormat="1" applyFont="1" applyFill="1" applyBorder="1" applyAlignment="1">
      <alignment horizontal="left" vertical="center"/>
    </xf>
    <xf numFmtId="2" fontId="4" fillId="0" borderId="0" xfId="0" applyNumberFormat="1" applyFont="1" applyFill="1" applyBorder="1" applyAlignment="1">
      <alignment horizontal="left" vertical="center"/>
    </xf>
    <xf numFmtId="2" fontId="4" fillId="0" borderId="0" xfId="0" applyNumberFormat="1" applyFont="1" applyFill="1" applyBorder="1" applyAlignment="1">
      <alignment horizontal="left" vertical="center"/>
    </xf>
    <xf numFmtId="0" fontId="0" fillId="0" borderId="0" xfId="0"/>
    <xf numFmtId="2" fontId="4" fillId="0" borderId="0" xfId="0" applyNumberFormat="1" applyFont="1" applyFill="1" applyBorder="1" applyAlignment="1">
      <alignment horizontal="left" vertical="center"/>
    </xf>
    <xf numFmtId="2" fontId="4" fillId="0" borderId="0" xfId="0" applyNumberFormat="1" applyFont="1" applyFill="1" applyBorder="1" applyAlignment="1">
      <alignment horizontal="left" vertical="center"/>
    </xf>
    <xf numFmtId="2" fontId="4" fillId="0" borderId="0" xfId="0" applyNumberFormat="1" applyFont="1" applyFill="1" applyBorder="1" applyAlignment="1">
      <alignment horizontal="left" vertical="center"/>
    </xf>
    <xf numFmtId="2" fontId="4" fillId="0" borderId="0" xfId="0" applyNumberFormat="1" applyFont="1" applyFill="1" applyBorder="1" applyAlignment="1">
      <alignment horizontal="left" vertical="center"/>
    </xf>
    <xf numFmtId="2" fontId="4" fillId="0" borderId="0" xfId="0" applyNumberFormat="1" applyFont="1" applyFill="1" applyBorder="1" applyAlignment="1">
      <alignment horizontal="left" vertical="center"/>
    </xf>
    <xf numFmtId="2" fontId="4" fillId="0" borderId="0" xfId="0" applyNumberFormat="1" applyFont="1" applyFill="1" applyBorder="1" applyAlignment="1">
      <alignment horizontal="left" vertical="center"/>
    </xf>
    <xf numFmtId="2" fontId="4" fillId="0" borderId="0" xfId="0" applyNumberFormat="1" applyFont="1" applyFill="1" applyBorder="1" applyAlignment="1">
      <alignment horizontal="left" vertical="center"/>
    </xf>
    <xf numFmtId="2" fontId="4" fillId="0" borderId="0" xfId="0" applyNumberFormat="1" applyFont="1" applyFill="1" applyBorder="1" applyAlignment="1">
      <alignment horizontal="left" vertical="center"/>
    </xf>
    <xf numFmtId="2" fontId="4" fillId="0" borderId="0" xfId="0" applyNumberFormat="1" applyFont="1" applyFill="1" applyBorder="1" applyAlignment="1">
      <alignment horizontal="left" vertical="center"/>
    </xf>
    <xf numFmtId="2" fontId="4" fillId="0" borderId="0" xfId="0" applyNumberFormat="1" applyFont="1" applyFill="1" applyBorder="1" applyAlignment="1">
      <alignment horizontal="left" vertical="center"/>
    </xf>
    <xf numFmtId="2" fontId="4" fillId="0" borderId="0" xfId="0" applyNumberFormat="1" applyFont="1" applyFill="1" applyBorder="1" applyAlignment="1">
      <alignment horizontal="left" vertical="center"/>
    </xf>
    <xf numFmtId="2" fontId="4" fillId="0" borderId="0" xfId="0" applyNumberFormat="1" applyFont="1" applyFill="1" applyBorder="1" applyAlignment="1">
      <alignment horizontal="left"/>
    </xf>
    <xf numFmtId="0" fontId="0" fillId="0" borderId="0" xfId="0" applyAlignment="1">
      <alignment horizontal="left"/>
    </xf>
    <xf numFmtId="2" fontId="3" fillId="0" borderId="0" xfId="0" applyNumberFormat="1" applyFont="1" applyFill="1" applyBorder="1" applyAlignment="1">
      <alignment horizontal="left"/>
    </xf>
    <xf numFmtId="2" fontId="4" fillId="0" borderId="0" xfId="0" applyNumberFormat="1" applyFont="1" applyFill="1" applyBorder="1" applyAlignment="1">
      <alignment horizontal="left" vertical="center"/>
    </xf>
    <xf numFmtId="1" fontId="3" fillId="0" borderId="0" xfId="0" applyNumberFormat="1" applyFont="1" applyFill="1" applyBorder="1" applyAlignment="1">
      <alignment horizontal="left" vertical="center"/>
    </xf>
    <xf numFmtId="2" fontId="4" fillId="0" borderId="0" xfId="0" applyNumberFormat="1" applyFont="1" applyFill="1" applyBorder="1" applyAlignment="1">
      <alignment horizontal="left" vertical="center"/>
    </xf>
    <xf numFmtId="1" fontId="10" fillId="0" borderId="0" xfId="0" applyNumberFormat="1" applyFont="1" applyFill="1" applyAlignment="1">
      <alignment horizontal="left"/>
    </xf>
    <xf numFmtId="1" fontId="3" fillId="0" borderId="0" xfId="0" applyNumberFormat="1" applyFont="1" applyFill="1" applyBorder="1" applyAlignment="1">
      <alignment horizontal="left"/>
    </xf>
    <xf numFmtId="2" fontId="4" fillId="0" borderId="0" xfId="0" applyNumberFormat="1" applyFont="1" applyFill="1" applyBorder="1" applyAlignment="1">
      <alignment horizontal="left" vertical="center"/>
    </xf>
    <xf numFmtId="2" fontId="4" fillId="0" borderId="0" xfId="0" applyNumberFormat="1" applyFont="1" applyFill="1" applyBorder="1" applyAlignment="1">
      <alignment horizontal="left" vertical="center"/>
    </xf>
    <xf numFmtId="2" fontId="4" fillId="0" borderId="0" xfId="0" applyNumberFormat="1" applyFont="1" applyFill="1" applyBorder="1" applyAlignment="1">
      <alignment horizontal="left" vertical="center"/>
    </xf>
    <xf numFmtId="165" fontId="4" fillId="0" borderId="0" xfId="0" applyNumberFormat="1" applyFont="1" applyFill="1" applyBorder="1" applyAlignment="1">
      <alignment horizontal="left" vertical="center"/>
    </xf>
    <xf numFmtId="2" fontId="3" fillId="0" borderId="0" xfId="0" applyNumberFormat="1" applyFont="1" applyFill="1" applyBorder="1" applyAlignment="1">
      <alignment horizontal="center" vertical="center"/>
    </xf>
    <xf numFmtId="2" fontId="4" fillId="0" borderId="0" xfId="0" applyNumberFormat="1" applyFont="1" applyFill="1" applyBorder="1" applyAlignment="1">
      <alignment horizontal="center" vertical="center"/>
    </xf>
    <xf numFmtId="2" fontId="3" fillId="0" borderId="0" xfId="0" applyNumberFormat="1" applyFont="1" applyFill="1" applyBorder="1" applyAlignment="1">
      <alignment horizontal="center"/>
    </xf>
    <xf numFmtId="164" fontId="4" fillId="0" borderId="0" xfId="0" applyNumberFormat="1" applyFont="1" applyFill="1" applyBorder="1" applyAlignment="1">
      <alignment horizontal="center" vertical="center"/>
    </xf>
    <xf numFmtId="0" fontId="3"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Border="1" applyAlignment="1">
      <alignment horizontal="center"/>
    </xf>
    <xf numFmtId="0" fontId="6" fillId="0" borderId="0" xfId="0" applyFont="1" applyFill="1" applyBorder="1" applyAlignment="1">
      <alignment horizontal="center" vertical="center"/>
    </xf>
    <xf numFmtId="2" fontId="0" fillId="0" borderId="0" xfId="0" applyNumberFormat="1" applyFont="1" applyAlignment="1"/>
    <xf numFmtId="0" fontId="3" fillId="0" borderId="0" xfId="0" applyFont="1" applyFill="1" applyBorder="1" applyAlignment="1">
      <alignment horizontal="center"/>
    </xf>
    <xf numFmtId="14" fontId="4" fillId="0" borderId="0" xfId="0" applyNumberFormat="1" applyFont="1" applyFill="1" applyBorder="1" applyAlignment="1">
      <alignment horizontal="center"/>
    </xf>
    <xf numFmtId="0" fontId="4" fillId="0" borderId="0" xfId="0" applyFont="1" applyFill="1" applyBorder="1" applyAlignment="1">
      <alignment horizontal="center" vertical="center" wrapText="1"/>
    </xf>
    <xf numFmtId="0" fontId="4" fillId="4" borderId="0" xfId="0" applyFont="1" applyFill="1" applyBorder="1" applyAlignment="1"/>
    <xf numFmtId="14" fontId="4" fillId="4" borderId="0" xfId="0" applyNumberFormat="1" applyFont="1" applyFill="1" applyBorder="1" applyAlignment="1">
      <alignment horizontal="center"/>
    </xf>
    <xf numFmtId="0" fontId="4" fillId="4" borderId="0" xfId="0" applyFont="1" applyFill="1" applyBorder="1" applyAlignment="1">
      <alignment horizontal="center" vertical="center"/>
    </xf>
    <xf numFmtId="0" fontId="4" fillId="4" borderId="0" xfId="0" applyFont="1" applyFill="1" applyBorder="1" applyAlignment="1">
      <alignment horizontal="left" vertical="center"/>
    </xf>
    <xf numFmtId="1" fontId="4" fillId="4" borderId="0" xfId="0" applyNumberFormat="1" applyFont="1" applyFill="1" applyBorder="1" applyAlignment="1">
      <alignment horizontal="left" vertical="center"/>
    </xf>
    <xf numFmtId="2" fontId="4" fillId="4" borderId="0" xfId="0" applyNumberFormat="1" applyFont="1" applyFill="1" applyBorder="1" applyAlignment="1">
      <alignment horizontal="center" vertical="center"/>
    </xf>
    <xf numFmtId="2" fontId="4" fillId="4" borderId="0" xfId="0" applyNumberFormat="1" applyFont="1" applyFill="1" applyBorder="1" applyAlignment="1">
      <alignment horizontal="left" vertical="center"/>
    </xf>
    <xf numFmtId="9" fontId="4" fillId="0" borderId="0" xfId="0" applyNumberFormat="1" applyFont="1" applyFill="1" applyBorder="1" applyAlignment="1">
      <alignment horizontal="center" vertical="center"/>
    </xf>
    <xf numFmtId="1" fontId="3" fillId="0" borderId="0" xfId="0" applyNumberFormat="1" applyFont="1" applyFill="1" applyBorder="1" applyAlignment="1">
      <alignment horizontal="center" vertical="center"/>
    </xf>
    <xf numFmtId="1" fontId="4" fillId="0" borderId="0" xfId="0" applyNumberFormat="1" applyFont="1" applyFill="1" applyBorder="1" applyAlignment="1">
      <alignment horizontal="center" vertical="center"/>
    </xf>
    <xf numFmtId="1" fontId="3" fillId="0" borderId="0" xfId="0" applyNumberFormat="1" applyFont="1" applyFill="1" applyBorder="1" applyAlignment="1">
      <alignment horizontal="center"/>
    </xf>
    <xf numFmtId="1" fontId="6" fillId="0" borderId="0" xfId="0" applyNumberFormat="1" applyFont="1" applyFill="1" applyBorder="1" applyAlignment="1">
      <alignment horizontal="center" vertical="center"/>
    </xf>
    <xf numFmtId="4" fontId="3" fillId="0" borderId="0" xfId="0" applyNumberFormat="1" applyFont="1" applyFill="1" applyBorder="1" applyAlignment="1">
      <alignment horizontal="center" vertical="center"/>
    </xf>
    <xf numFmtId="4" fontId="4" fillId="0" borderId="0" xfId="0" applyNumberFormat="1" applyFont="1" applyFill="1" applyBorder="1" applyAlignment="1">
      <alignment horizontal="center" vertical="center"/>
    </xf>
    <xf numFmtId="4" fontId="3" fillId="0" borderId="0" xfId="0" applyNumberFormat="1" applyFont="1" applyFill="1" applyBorder="1" applyAlignment="1">
      <alignment horizontal="center"/>
    </xf>
    <xf numFmtId="2" fontId="4" fillId="0" borderId="0" xfId="0" applyNumberFormat="1" applyFont="1" applyFill="1" applyBorder="1" applyAlignment="1">
      <alignment horizontal="center"/>
    </xf>
    <xf numFmtId="2" fontId="3" fillId="0" borderId="0" xfId="0" applyNumberFormat="1" applyFont="1" applyFill="1" applyAlignment="1">
      <alignment horizontal="center"/>
    </xf>
    <xf numFmtId="2" fontId="3" fillId="0" borderId="0" xfId="0" applyNumberFormat="1" applyFont="1" applyFill="1" applyAlignment="1">
      <alignment horizontal="center" vertical="center"/>
    </xf>
    <xf numFmtId="2" fontId="6" fillId="0" borderId="0" xfId="0" applyNumberFormat="1" applyFont="1" applyFill="1" applyBorder="1" applyAlignment="1">
      <alignment horizontal="center" vertical="center"/>
    </xf>
    <xf numFmtId="0" fontId="4" fillId="4" borderId="0" xfId="0" applyFont="1" applyFill="1" applyBorder="1" applyAlignment="1">
      <alignment horizontal="center"/>
    </xf>
    <xf numFmtId="1" fontId="4" fillId="4" borderId="0" xfId="0" applyNumberFormat="1" applyFont="1" applyFill="1" applyBorder="1" applyAlignment="1">
      <alignment horizontal="center" vertical="center"/>
    </xf>
    <xf numFmtId="4" fontId="4" fillId="4" borderId="0" xfId="0" applyNumberFormat="1" applyFont="1" applyFill="1" applyBorder="1" applyAlignment="1">
      <alignment horizontal="center" vertical="center"/>
    </xf>
    <xf numFmtId="2" fontId="4" fillId="4" borderId="0" xfId="0" applyNumberFormat="1" applyFont="1" applyFill="1" applyBorder="1" applyAlignment="1">
      <alignment horizontal="center"/>
    </xf>
    <xf numFmtId="2" fontId="3" fillId="4" borderId="0" xfId="0" applyNumberFormat="1" applyFont="1" applyFill="1" applyAlignment="1">
      <alignment horizontal="center"/>
    </xf>
    <xf numFmtId="2" fontId="3" fillId="4" borderId="0" xfId="0" applyNumberFormat="1" applyFont="1" applyFill="1" applyAlignment="1">
      <alignment horizontal="center" vertical="center"/>
    </xf>
    <xf numFmtId="0" fontId="3" fillId="4" borderId="0" xfId="0" applyFont="1" applyFill="1" applyBorder="1" applyAlignment="1">
      <alignment horizontal="center" vertical="center"/>
    </xf>
    <xf numFmtId="164" fontId="4" fillId="4" borderId="0" xfId="0" applyNumberFormat="1" applyFont="1" applyFill="1" applyBorder="1" applyAlignment="1">
      <alignment horizontal="center" vertical="center"/>
    </xf>
    <xf numFmtId="0" fontId="3" fillId="4" borderId="0" xfId="0" applyFont="1" applyFill="1" applyBorder="1" applyAlignment="1">
      <alignment horizontal="left" vertical="center"/>
    </xf>
    <xf numFmtId="4" fontId="10" fillId="4" borderId="0" xfId="0" applyNumberFormat="1" applyFont="1" applyFill="1" applyAlignment="1">
      <alignment horizontal="left"/>
    </xf>
    <xf numFmtId="1" fontId="10" fillId="4" borderId="0" xfId="0" applyNumberFormat="1" applyFont="1" applyFill="1" applyAlignment="1">
      <alignment horizontal="left"/>
    </xf>
    <xf numFmtId="2" fontId="3" fillId="4" borderId="0" xfId="0" applyNumberFormat="1" applyFont="1" applyFill="1" applyBorder="1" applyAlignment="1">
      <alignment horizontal="left" vertical="center"/>
    </xf>
    <xf numFmtId="1" fontId="3" fillId="4" borderId="0" xfId="0" applyNumberFormat="1" applyFont="1" applyFill="1" applyBorder="1" applyAlignment="1">
      <alignment horizontal="left" vertical="center"/>
    </xf>
    <xf numFmtId="0" fontId="6" fillId="4" borderId="0" xfId="0" applyFont="1" applyFill="1" applyBorder="1" applyAlignment="1">
      <alignment horizontal="center" vertical="center"/>
    </xf>
    <xf numFmtId="0" fontId="6" fillId="4" borderId="0" xfId="0" applyFont="1" applyFill="1" applyBorder="1" applyAlignment="1">
      <alignment horizontal="left" vertical="center"/>
    </xf>
    <xf numFmtId="2" fontId="6" fillId="4" borderId="0" xfId="0" applyNumberFormat="1" applyFont="1" applyFill="1" applyBorder="1" applyAlignment="1">
      <alignment horizontal="left" vertical="center"/>
    </xf>
    <xf numFmtId="2" fontId="4" fillId="4" borderId="0" xfId="0" applyNumberFormat="1" applyFont="1" applyFill="1" applyBorder="1" applyAlignment="1">
      <alignment horizontal="left"/>
    </xf>
    <xf numFmtId="0" fontId="4" fillId="4" borderId="0" xfId="0" applyFont="1" applyFill="1" applyBorder="1" applyAlignment="1">
      <alignment horizontal="left" vertical="center" wrapText="1"/>
    </xf>
    <xf numFmtId="9" fontId="4" fillId="4" borderId="0" xfId="0" applyNumberFormat="1" applyFont="1" applyFill="1" applyBorder="1" applyAlignment="1">
      <alignment horizontal="center" vertical="center"/>
    </xf>
    <xf numFmtId="1" fontId="3" fillId="4" borderId="0" xfId="0" applyNumberFormat="1" applyFont="1" applyFill="1" applyBorder="1" applyAlignment="1">
      <alignment horizontal="center" vertical="center"/>
    </xf>
    <xf numFmtId="1" fontId="6" fillId="4" borderId="0" xfId="0" applyNumberFormat="1" applyFont="1" applyFill="1" applyBorder="1" applyAlignment="1">
      <alignment horizontal="center" vertical="center"/>
    </xf>
    <xf numFmtId="0" fontId="3" fillId="4" borderId="0" xfId="0" applyFont="1" applyFill="1" applyBorder="1" applyAlignment="1">
      <alignment horizontal="center"/>
    </xf>
    <xf numFmtId="2" fontId="3" fillId="4" borderId="0" xfId="0" applyNumberFormat="1" applyFont="1" applyFill="1" applyBorder="1" applyAlignment="1">
      <alignment horizontal="center" vertical="center"/>
    </xf>
    <xf numFmtId="11" fontId="4" fillId="0" borderId="0" xfId="0" applyNumberFormat="1" applyFont="1" applyFill="1" applyBorder="1" applyAlignment="1">
      <alignment horizontal="center" vertical="center"/>
    </xf>
    <xf numFmtId="11" fontId="4" fillId="4" borderId="0" xfId="0" applyNumberFormat="1" applyFont="1" applyFill="1" applyBorder="1" applyAlignment="1">
      <alignment horizontal="center" vertical="center"/>
    </xf>
    <xf numFmtId="11" fontId="3" fillId="0" borderId="0" xfId="0" applyNumberFormat="1" applyFont="1" applyFill="1" applyBorder="1" applyAlignment="1">
      <alignment horizontal="center" vertical="center"/>
    </xf>
    <xf numFmtId="11" fontId="6" fillId="0" borderId="0" xfId="0" applyNumberFormat="1" applyFont="1" applyFill="1" applyBorder="1" applyAlignment="1">
      <alignment horizontal="center" vertical="center"/>
    </xf>
    <xf numFmtId="11" fontId="3" fillId="4" borderId="0" xfId="0" applyNumberFormat="1" applyFont="1" applyFill="1" applyBorder="1" applyAlignment="1">
      <alignment horizontal="center" vertical="center"/>
    </xf>
    <xf numFmtId="11" fontId="3" fillId="0" borderId="0" xfId="0" applyNumberFormat="1" applyFont="1" applyFill="1" applyBorder="1" applyAlignment="1">
      <alignment horizontal="center"/>
    </xf>
    <xf numFmtId="11" fontId="4" fillId="0" borderId="0" xfId="0" applyNumberFormat="1" applyFont="1" applyFill="1" applyBorder="1" applyAlignment="1">
      <alignment horizontal="center"/>
    </xf>
    <xf numFmtId="11" fontId="3" fillId="0" borderId="0" xfId="0" applyNumberFormat="1" applyFont="1" applyFill="1" applyAlignment="1">
      <alignment horizontal="center" vertical="center"/>
    </xf>
    <xf numFmtId="11" fontId="3" fillId="4" borderId="0" xfId="0" applyNumberFormat="1" applyFont="1" applyFill="1" applyAlignment="1">
      <alignment horizontal="center" vertical="center"/>
    </xf>
    <xf numFmtId="11" fontId="4" fillId="4" borderId="0" xfId="0" applyNumberFormat="1" applyFont="1" applyFill="1" applyBorder="1" applyAlignment="1">
      <alignment horizontal="center"/>
    </xf>
    <xf numFmtId="2" fontId="3" fillId="4" borderId="0" xfId="0" applyNumberFormat="1" applyFont="1" applyFill="1" applyBorder="1" applyAlignment="1">
      <alignment horizontal="center"/>
    </xf>
    <xf numFmtId="11" fontId="3" fillId="4" borderId="0" xfId="0" applyNumberFormat="1" applyFont="1" applyFill="1" applyBorder="1" applyAlignment="1">
      <alignment horizontal="center"/>
    </xf>
    <xf numFmtId="2" fontId="3" fillId="4" borderId="0" xfId="0" applyNumberFormat="1" applyFont="1" applyFill="1" applyBorder="1" applyAlignment="1">
      <alignment horizontal="left"/>
    </xf>
    <xf numFmtId="1" fontId="3" fillId="4" borderId="0" xfId="0" applyNumberFormat="1" applyFont="1" applyFill="1" applyBorder="1" applyAlignment="1">
      <alignment horizontal="left"/>
    </xf>
    <xf numFmtId="2" fontId="6" fillId="4" borderId="0" xfId="0" applyNumberFormat="1" applyFont="1" applyFill="1" applyBorder="1" applyAlignment="1">
      <alignment horizontal="center" vertical="center"/>
    </xf>
    <xf numFmtId="11" fontId="6" fillId="4" borderId="0" xfId="0" applyNumberFormat="1" applyFont="1" applyFill="1" applyBorder="1" applyAlignment="1">
      <alignment horizontal="center" vertical="center"/>
    </xf>
    <xf numFmtId="165" fontId="4" fillId="4" borderId="0" xfId="0" applyNumberFormat="1" applyFont="1" applyFill="1" applyBorder="1" applyAlignment="1">
      <alignment horizontal="left" vertical="center"/>
    </xf>
    <xf numFmtId="0" fontId="4" fillId="4" borderId="0" xfId="0" applyFont="1" applyFill="1" applyBorder="1" applyAlignment="1">
      <alignment horizontal="center" vertical="center" wrapText="1"/>
    </xf>
    <xf numFmtId="0" fontId="3" fillId="4" borderId="0" xfId="0" applyFont="1" applyFill="1" applyBorder="1" applyAlignment="1"/>
    <xf numFmtId="1" fontId="4" fillId="4" borderId="0" xfId="0" applyNumberFormat="1" applyFont="1" applyFill="1" applyBorder="1" applyAlignment="1">
      <alignment horizontal="center"/>
    </xf>
    <xf numFmtId="164" fontId="4" fillId="2" borderId="0" xfId="0" applyNumberFormat="1" applyFont="1" applyFill="1" applyBorder="1"/>
    <xf numFmtId="1" fontId="4" fillId="4" borderId="0" xfId="0" applyNumberFormat="1" applyFont="1" applyFill="1" applyAlignment="1">
      <alignment horizontal="left" vertical="center"/>
    </xf>
    <xf numFmtId="2" fontId="4" fillId="4" borderId="0" xfId="0" applyNumberFormat="1" applyFont="1" applyFill="1" applyAlignment="1">
      <alignment horizontal="left" vertical="center"/>
    </xf>
    <xf numFmtId="3" fontId="10" fillId="4" borderId="0" xfId="0" applyNumberFormat="1" applyFont="1" applyFill="1" applyAlignment="1">
      <alignment horizontal="left"/>
    </xf>
    <xf numFmtId="168" fontId="4" fillId="4" borderId="0" xfId="0" applyNumberFormat="1" applyFont="1" applyFill="1" applyBorder="1" applyAlignment="1">
      <alignment horizontal="center" vertical="center"/>
    </xf>
    <xf numFmtId="0" fontId="0" fillId="0" borderId="0" xfId="0" applyFill="1" applyAlignment="1">
      <alignment horizontal="left"/>
    </xf>
    <xf numFmtId="2" fontId="0" fillId="0" borderId="0" xfId="0" applyNumberFormat="1" applyFill="1" applyAlignment="1">
      <alignment horizontal="left"/>
    </xf>
    <xf numFmtId="2" fontId="4" fillId="0" borderId="0" xfId="0" applyNumberFormat="1" applyFont="1" applyFill="1" applyBorder="1" applyAlignment="1"/>
    <xf numFmtId="1" fontId="6" fillId="0" borderId="0" xfId="0" applyNumberFormat="1" applyFont="1" applyFill="1" applyBorder="1" applyAlignment="1">
      <alignment horizontal="left" vertical="center"/>
    </xf>
    <xf numFmtId="2" fontId="4" fillId="4" borderId="0" xfId="0" applyNumberFormat="1" applyFont="1" applyFill="1" applyAlignment="1">
      <alignment horizontal="center" vertical="center"/>
    </xf>
    <xf numFmtId="2" fontId="3" fillId="5" borderId="0" xfId="0" applyNumberFormat="1" applyFont="1" applyFill="1" applyBorder="1" applyAlignment="1">
      <alignment horizontal="center" vertical="center"/>
    </xf>
    <xf numFmtId="0" fontId="3" fillId="4" borderId="0" xfId="0" applyFont="1" applyFill="1" applyBorder="1" applyAlignment="1">
      <alignment horizontal="left"/>
    </xf>
    <xf numFmtId="2" fontId="6" fillId="0" borderId="0" xfId="0" applyNumberFormat="1" applyFont="1" applyFill="1" applyBorder="1" applyAlignment="1">
      <alignment horizontal="left"/>
    </xf>
    <xf numFmtId="0" fontId="3" fillId="0" borderId="0" xfId="0" applyFont="1" applyFill="1" applyBorder="1" applyAlignment="1">
      <alignment horizontal="left"/>
    </xf>
    <xf numFmtId="1" fontId="3" fillId="4" borderId="0" xfId="0" applyNumberFormat="1" applyFont="1" applyFill="1" applyBorder="1" applyAlignment="1">
      <alignment horizontal="center"/>
    </xf>
    <xf numFmtId="0" fontId="4" fillId="0" borderId="0" xfId="0" applyFont="1" applyAlignment="1">
      <alignment horizontal="left" vertical="center"/>
    </xf>
    <xf numFmtId="0" fontId="4" fillId="0" borderId="0" xfId="0" applyFont="1"/>
    <xf numFmtId="2" fontId="4" fillId="0" borderId="0" xfId="0" applyNumberFormat="1" applyFont="1" applyAlignment="1">
      <alignment horizontal="left" vertical="center"/>
    </xf>
    <xf numFmtId="0" fontId="4" fillId="2" borderId="0" xfId="0" applyFont="1" applyFill="1" applyAlignment="1">
      <alignment horizontal="left" vertical="center"/>
    </xf>
    <xf numFmtId="164" fontId="4" fillId="2" borderId="0" xfId="0" applyNumberFormat="1" applyFont="1" applyFill="1" applyAlignment="1">
      <alignment horizontal="left" vertical="center"/>
    </xf>
    <xf numFmtId="0" fontId="4" fillId="2" borderId="0" xfId="0" applyFont="1" applyFill="1"/>
    <xf numFmtId="14" fontId="4" fillId="4" borderId="0" xfId="0" applyNumberFormat="1" applyFont="1" applyFill="1" applyAlignment="1">
      <alignment horizontal="center"/>
    </xf>
    <xf numFmtId="0" fontId="4" fillId="4" borderId="0" xfId="0" applyFont="1" applyFill="1" applyAlignment="1">
      <alignment horizontal="left" vertical="center"/>
    </xf>
    <xf numFmtId="0" fontId="3" fillId="4" borderId="0" xfId="0" applyFont="1" applyFill="1" applyAlignment="1">
      <alignment horizontal="left" vertical="center"/>
    </xf>
    <xf numFmtId="0" fontId="4" fillId="4" borderId="0" xfId="0" applyFont="1" applyFill="1" applyAlignment="1">
      <alignment horizontal="center" vertical="center"/>
    </xf>
    <xf numFmtId="0" fontId="3" fillId="4" borderId="0" xfId="0" applyFont="1" applyFill="1" applyAlignment="1">
      <alignment horizontal="center" vertical="center"/>
    </xf>
    <xf numFmtId="2" fontId="4" fillId="4" borderId="0" xfId="0" applyNumberFormat="1" applyFont="1" applyFill="1" applyAlignment="1">
      <alignment horizontal="center"/>
    </xf>
    <xf numFmtId="164" fontId="4" fillId="4" borderId="0" xfId="0" applyNumberFormat="1" applyFont="1" applyFill="1" applyBorder="1" applyAlignment="1">
      <alignment horizontal="left" vertical="center"/>
    </xf>
    <xf numFmtId="2" fontId="6" fillId="4" borderId="0" xfId="0" applyNumberFormat="1" applyFont="1" applyFill="1" applyBorder="1" applyAlignment="1">
      <alignment horizontal="left"/>
    </xf>
    <xf numFmtId="1" fontId="6" fillId="4" borderId="0" xfId="0" applyNumberFormat="1" applyFont="1" applyFill="1" applyBorder="1" applyAlignment="1">
      <alignment horizontal="left" vertical="center"/>
    </xf>
    <xf numFmtId="0" fontId="11" fillId="4" borderId="0" xfId="0" applyFont="1" applyFill="1" applyBorder="1" applyAlignment="1">
      <alignment horizontal="left" vertical="center"/>
    </xf>
    <xf numFmtId="2" fontId="10" fillId="4" borderId="0" xfId="0" applyNumberFormat="1" applyFont="1" applyFill="1" applyAlignment="1">
      <alignment horizontal="left"/>
    </xf>
    <xf numFmtId="0" fontId="10" fillId="4" borderId="0" xfId="0" applyFont="1" applyFill="1" applyAlignment="1">
      <alignment horizontal="left"/>
    </xf>
    <xf numFmtId="1" fontId="4" fillId="0" borderId="0" xfId="0" applyNumberFormat="1" applyFont="1" applyFill="1" applyAlignment="1">
      <alignment horizontal="left" vertical="center"/>
    </xf>
    <xf numFmtId="2" fontId="4" fillId="0" borderId="0" xfId="0" applyNumberFormat="1" applyFont="1" applyFill="1" applyAlignment="1">
      <alignment horizontal="left" vertical="center"/>
    </xf>
    <xf numFmtId="0" fontId="4" fillId="4" borderId="0" xfId="0" applyFont="1" applyFill="1" applyAlignment="1"/>
    <xf numFmtId="0" fontId="12" fillId="0" borderId="0" xfId="0" applyFont="1"/>
    <xf numFmtId="2" fontId="0" fillId="0" borderId="0" xfId="0" applyNumberFormat="1"/>
    <xf numFmtId="0" fontId="3" fillId="0" borderId="0" xfId="0" applyFont="1"/>
    <xf numFmtId="2" fontId="3" fillId="0" borderId="0" xfId="0" applyNumberFormat="1" applyFont="1"/>
    <xf numFmtId="2" fontId="3" fillId="0" borderId="0" xfId="0" applyNumberFormat="1" applyFont="1" applyAlignment="1">
      <alignment horizontal="center"/>
    </xf>
    <xf numFmtId="0" fontId="4" fillId="3" borderId="0" xfId="0" applyFont="1" applyFill="1" applyBorder="1" applyAlignment="1"/>
    <xf numFmtId="0" fontId="0" fillId="3" borderId="0" xfId="0" applyFont="1" applyFill="1" applyAlignment="1"/>
    <xf numFmtId="165" fontId="0" fillId="0" borderId="0" xfId="0" applyNumberFormat="1" applyFont="1" applyAlignment="1"/>
    <xf numFmtId="1" fontId="0" fillId="0" borderId="0" xfId="0" applyNumberFormat="1" applyFont="1" applyAlignment="1"/>
    <xf numFmtId="164" fontId="3" fillId="0" borderId="0" xfId="0" applyNumberFormat="1" applyFont="1" applyFill="1" applyBorder="1" applyAlignment="1">
      <alignment horizontal="center"/>
    </xf>
    <xf numFmtId="2" fontId="10" fillId="0" borderId="0" xfId="0" applyNumberFormat="1" applyFont="1" applyFill="1" applyAlignment="1">
      <alignment horizontal="left"/>
    </xf>
    <xf numFmtId="0" fontId="10" fillId="0" borderId="0" xfId="0" applyFont="1" applyFill="1" applyAlignment="1">
      <alignment horizontal="left"/>
    </xf>
    <xf numFmtId="2" fontId="3" fillId="4" borderId="0" xfId="0" applyNumberFormat="1" applyFont="1" applyFill="1" applyBorder="1" applyAlignment="1"/>
    <xf numFmtId="0" fontId="4" fillId="0" borderId="0" xfId="0" applyFont="1" applyFill="1" applyAlignment="1">
      <alignment horizontal="center" vertical="center"/>
    </xf>
    <xf numFmtId="14" fontId="4" fillId="0" borderId="0" xfId="0" applyNumberFormat="1" applyFont="1" applyFill="1" applyAlignment="1">
      <alignment horizontal="center"/>
    </xf>
    <xf numFmtId="0" fontId="4" fillId="0" borderId="0" xfId="0" applyFont="1" applyFill="1" applyAlignment="1">
      <alignment horizontal="left" vertical="center"/>
    </xf>
    <xf numFmtId="0" fontId="3" fillId="0" borderId="0" xfId="0" applyFont="1" applyFill="1" applyAlignment="1">
      <alignment horizontal="left" vertical="center"/>
    </xf>
    <xf numFmtId="2" fontId="4" fillId="0" borderId="0" xfId="0" applyNumberFormat="1" applyFont="1" applyFill="1" applyAlignment="1">
      <alignment horizontal="center" vertical="center"/>
    </xf>
    <xf numFmtId="0" fontId="3" fillId="0" borderId="0" xfId="0" applyFont="1" applyFill="1" applyAlignment="1">
      <alignment horizontal="center" vertical="center"/>
    </xf>
    <xf numFmtId="2" fontId="4" fillId="0" borderId="0" xfId="0" applyNumberFormat="1" applyFont="1" applyFill="1" applyAlignment="1">
      <alignment horizontal="center"/>
    </xf>
    <xf numFmtId="0" fontId="11" fillId="0" borderId="0" xfId="0" applyFont="1" applyFill="1" applyBorder="1" applyAlignment="1">
      <alignment horizontal="left" vertical="center"/>
    </xf>
    <xf numFmtId="0" fontId="13" fillId="4" borderId="0" xfId="0" applyFont="1" applyFill="1" applyAlignment="1"/>
    <xf numFmtId="11" fontId="4" fillId="4" borderId="0" xfId="0" applyNumberFormat="1" applyFont="1" applyFill="1" applyAlignment="1">
      <alignment horizontal="center" vertical="center"/>
    </xf>
    <xf numFmtId="0" fontId="3" fillId="4" borderId="0" xfId="0" quotePrefix="1" applyFont="1" applyFill="1" applyBorder="1" applyAlignment="1">
      <alignment horizontal="center" vertical="center"/>
    </xf>
    <xf numFmtId="167" fontId="4" fillId="4" borderId="0" xfId="0" applyNumberFormat="1" applyFont="1" applyFill="1" applyBorder="1" applyAlignment="1">
      <alignment horizontal="center" vertical="center"/>
    </xf>
    <xf numFmtId="1" fontId="4" fillId="0" borderId="0" xfId="0" applyNumberFormat="1" applyFont="1" applyFill="1" applyBorder="1" applyAlignment="1">
      <alignment horizontal="center"/>
    </xf>
    <xf numFmtId="3" fontId="10" fillId="0" borderId="0" xfId="0" applyNumberFormat="1" applyFont="1" applyFill="1" applyAlignment="1">
      <alignment horizontal="left"/>
    </xf>
    <xf numFmtId="167" fontId="4" fillId="0" borderId="0" xfId="0" applyNumberFormat="1" applyFont="1" applyFill="1" applyBorder="1" applyAlignment="1">
      <alignment horizontal="center" vertical="center"/>
    </xf>
    <xf numFmtId="0" fontId="4" fillId="4" borderId="0" xfId="0" applyFont="1" applyFill="1" applyBorder="1" applyAlignment="1">
      <alignment horizontal="left"/>
    </xf>
    <xf numFmtId="0" fontId="15" fillId="0" borderId="0" xfId="0" applyFont="1" applyFill="1" applyBorder="1" applyAlignment="1">
      <alignment horizontal="center"/>
    </xf>
    <xf numFmtId="0" fontId="16" fillId="0" borderId="0" xfId="0" applyFont="1" applyFill="1" applyBorder="1" applyAlignment="1">
      <alignment horizontal="left" vertical="center"/>
    </xf>
    <xf numFmtId="0" fontId="16" fillId="0" borderId="0" xfId="0" applyFont="1" applyFill="1" applyBorder="1" applyAlignment="1">
      <alignment horizontal="center" vertical="center"/>
    </xf>
    <xf numFmtId="1" fontId="16" fillId="0" borderId="0" xfId="0" applyNumberFormat="1" applyFont="1" applyFill="1" applyBorder="1" applyAlignment="1">
      <alignment horizontal="center" vertical="center"/>
    </xf>
    <xf numFmtId="4" fontId="16" fillId="0" borderId="0" xfId="0" applyNumberFormat="1" applyFont="1" applyFill="1" applyBorder="1" applyAlignment="1">
      <alignment horizontal="center" vertical="center"/>
    </xf>
    <xf numFmtId="2" fontId="16" fillId="0" borderId="0" xfId="0" applyNumberFormat="1" applyFont="1" applyFill="1" applyBorder="1" applyAlignment="1">
      <alignment horizontal="center" vertical="center"/>
    </xf>
    <xf numFmtId="0" fontId="15" fillId="2" borderId="0" xfId="0" applyFont="1" applyFill="1" applyBorder="1" applyAlignment="1">
      <alignment horizontal="left" vertical="center"/>
    </xf>
    <xf numFmtId="2" fontId="16" fillId="5" borderId="0" xfId="0" applyNumberFormat="1" applyFont="1" applyFill="1" applyBorder="1" applyAlignment="1">
      <alignment horizontal="center" vertical="center"/>
    </xf>
    <xf numFmtId="11" fontId="16" fillId="0" borderId="0" xfId="0" applyNumberFormat="1" applyFont="1" applyFill="1" applyBorder="1" applyAlignment="1">
      <alignment horizontal="center" vertical="center"/>
    </xf>
    <xf numFmtId="2" fontId="16" fillId="0" borderId="0" xfId="0" applyNumberFormat="1" applyFont="1" applyFill="1" applyBorder="1" applyAlignment="1">
      <alignment horizontal="left" vertical="center"/>
    </xf>
    <xf numFmtId="2" fontId="16" fillId="0" borderId="0" xfId="0" applyNumberFormat="1" applyFont="1" applyFill="1" applyBorder="1" applyAlignment="1">
      <alignment vertical="center"/>
    </xf>
    <xf numFmtId="0" fontId="16" fillId="0" borderId="0" xfId="0" applyFont="1" applyFill="1" applyBorder="1" applyAlignment="1"/>
    <xf numFmtId="0" fontId="2" fillId="0" borderId="0" xfId="0" applyFont="1" applyAlignment="1"/>
    <xf numFmtId="164" fontId="3" fillId="0" borderId="0" xfId="0" applyNumberFormat="1" applyFont="1" applyAlignment="1">
      <alignment horizontal="center"/>
    </xf>
  </cellXfs>
  <cellStyles count="3">
    <cellStyle name="Normal" xfId="0" builtinId="0"/>
    <cellStyle name="Normal 2" xfId="1" xr:uid="{00000000-0005-0000-0000-000001000000}"/>
    <cellStyle name="Normal 3" xfId="2" xr:uid="{00000000-0005-0000-0000-000002000000}"/>
  </cellStyles>
  <dxfs count="3292">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1.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2.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3.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4.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5.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Ex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Ex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Ex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rgbClr val="0070C0"/>
              </a:solidFill>
              <a:ln w="9525">
                <a:solidFill>
                  <a:srgbClr val="0070C0"/>
                </a:solidFill>
              </a:ln>
              <a:effectLst/>
            </c:spPr>
          </c:marker>
          <c:trendline>
            <c:spPr>
              <a:ln w="19050" cap="rnd">
                <a:solidFill>
                  <a:schemeClr val="accent1"/>
                </a:solidFill>
                <a:prstDash val="sysDot"/>
              </a:ln>
              <a:effectLst/>
            </c:spPr>
            <c:trendlineType val="log"/>
            <c:dispRSqr val="1"/>
            <c:dispEq val="1"/>
            <c:trendlineLbl>
              <c:layout>
                <c:manualLayout>
                  <c:x val="0.21453740157480314"/>
                  <c:y val="0.47252333041703126"/>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'WM graph'!$C$3:$C$193</c:f>
              <c:numCache>
                <c:formatCode>General</c:formatCode>
                <c:ptCount val="191"/>
                <c:pt idx="0">
                  <c:v>0.3</c:v>
                </c:pt>
                <c:pt idx="2">
                  <c:v>0.3</c:v>
                </c:pt>
                <c:pt idx="4">
                  <c:v>0.3</c:v>
                </c:pt>
                <c:pt idx="6">
                  <c:v>0.3</c:v>
                </c:pt>
                <c:pt idx="8">
                  <c:v>0.6</c:v>
                </c:pt>
                <c:pt idx="10">
                  <c:v>0.6</c:v>
                </c:pt>
                <c:pt idx="12">
                  <c:v>0.3</c:v>
                </c:pt>
                <c:pt idx="14">
                  <c:v>0.3</c:v>
                </c:pt>
                <c:pt idx="16">
                  <c:v>0.45</c:v>
                </c:pt>
                <c:pt idx="18">
                  <c:v>0.45</c:v>
                </c:pt>
                <c:pt idx="20">
                  <c:v>0.45</c:v>
                </c:pt>
                <c:pt idx="22">
                  <c:v>0.45</c:v>
                </c:pt>
                <c:pt idx="24">
                  <c:v>0.3</c:v>
                </c:pt>
                <c:pt idx="26">
                  <c:v>0.33333333333333331</c:v>
                </c:pt>
                <c:pt idx="28">
                  <c:v>0.5</c:v>
                </c:pt>
                <c:pt idx="30">
                  <c:v>0.3</c:v>
                </c:pt>
                <c:pt idx="32">
                  <c:v>0.3</c:v>
                </c:pt>
                <c:pt idx="34">
                  <c:v>0.3</c:v>
                </c:pt>
                <c:pt idx="36">
                  <c:v>0.3</c:v>
                </c:pt>
                <c:pt idx="38">
                  <c:v>0.3</c:v>
                </c:pt>
                <c:pt idx="40">
                  <c:v>0.3</c:v>
                </c:pt>
                <c:pt idx="42">
                  <c:v>0.3</c:v>
                </c:pt>
                <c:pt idx="44">
                  <c:v>0.3</c:v>
                </c:pt>
                <c:pt idx="46">
                  <c:v>0.3</c:v>
                </c:pt>
                <c:pt idx="48">
                  <c:v>0.3</c:v>
                </c:pt>
                <c:pt idx="50">
                  <c:v>0.3</c:v>
                </c:pt>
                <c:pt idx="52">
                  <c:v>0.3</c:v>
                </c:pt>
                <c:pt idx="54">
                  <c:v>0.3</c:v>
                </c:pt>
                <c:pt idx="56">
                  <c:v>0.3</c:v>
                </c:pt>
                <c:pt idx="58">
                  <c:v>0.3</c:v>
                </c:pt>
                <c:pt idx="60">
                  <c:v>0.3</c:v>
                </c:pt>
                <c:pt idx="62">
                  <c:v>0.3</c:v>
                </c:pt>
                <c:pt idx="64">
                  <c:v>0.3</c:v>
                </c:pt>
                <c:pt idx="66">
                  <c:v>9.8333333333333342E-2</c:v>
                </c:pt>
                <c:pt idx="68">
                  <c:v>9.8333333333333342E-2</c:v>
                </c:pt>
                <c:pt idx="70">
                  <c:v>9.8333333333333342E-2</c:v>
                </c:pt>
                <c:pt idx="72">
                  <c:v>0.1</c:v>
                </c:pt>
                <c:pt idx="74">
                  <c:v>0.1</c:v>
                </c:pt>
                <c:pt idx="76">
                  <c:v>0.1</c:v>
                </c:pt>
                <c:pt idx="78">
                  <c:v>0.2</c:v>
                </c:pt>
                <c:pt idx="80">
                  <c:v>0.2</c:v>
                </c:pt>
                <c:pt idx="82">
                  <c:v>0.2</c:v>
                </c:pt>
                <c:pt idx="84">
                  <c:v>0.2</c:v>
                </c:pt>
                <c:pt idx="86">
                  <c:v>0.2</c:v>
                </c:pt>
                <c:pt idx="88">
                  <c:v>0.2</c:v>
                </c:pt>
                <c:pt idx="90">
                  <c:v>0.2</c:v>
                </c:pt>
                <c:pt idx="92">
                  <c:v>0.2</c:v>
                </c:pt>
                <c:pt idx="94">
                  <c:v>0.2</c:v>
                </c:pt>
                <c:pt idx="96">
                  <c:v>0.2</c:v>
                </c:pt>
                <c:pt idx="98">
                  <c:v>0.2</c:v>
                </c:pt>
                <c:pt idx="100">
                  <c:v>0.2</c:v>
                </c:pt>
                <c:pt idx="102">
                  <c:v>0.2</c:v>
                </c:pt>
                <c:pt idx="104">
                  <c:v>0.2</c:v>
                </c:pt>
                <c:pt idx="106">
                  <c:v>0.1</c:v>
                </c:pt>
                <c:pt idx="108">
                  <c:v>0.1</c:v>
                </c:pt>
                <c:pt idx="110">
                  <c:v>0.1</c:v>
                </c:pt>
                <c:pt idx="112">
                  <c:v>0.1</c:v>
                </c:pt>
                <c:pt idx="114">
                  <c:v>0.1</c:v>
                </c:pt>
                <c:pt idx="116">
                  <c:v>0.1</c:v>
                </c:pt>
                <c:pt idx="118">
                  <c:v>0.1</c:v>
                </c:pt>
                <c:pt idx="120">
                  <c:v>0.1</c:v>
                </c:pt>
                <c:pt idx="122">
                  <c:v>0.1</c:v>
                </c:pt>
                <c:pt idx="124">
                  <c:v>0.1</c:v>
                </c:pt>
                <c:pt idx="126">
                  <c:v>0.1</c:v>
                </c:pt>
                <c:pt idx="128">
                  <c:v>0.1</c:v>
                </c:pt>
                <c:pt idx="130">
                  <c:v>0.1</c:v>
                </c:pt>
                <c:pt idx="132">
                  <c:v>0.1</c:v>
                </c:pt>
                <c:pt idx="134">
                  <c:v>0.1</c:v>
                </c:pt>
                <c:pt idx="136">
                  <c:v>0.3</c:v>
                </c:pt>
                <c:pt idx="138">
                  <c:v>0.41666666666666669</c:v>
                </c:pt>
                <c:pt idx="140">
                  <c:v>0.5</c:v>
                </c:pt>
                <c:pt idx="142">
                  <c:v>0.5</c:v>
                </c:pt>
                <c:pt idx="144">
                  <c:v>0.5</c:v>
                </c:pt>
                <c:pt idx="146">
                  <c:v>0.5</c:v>
                </c:pt>
                <c:pt idx="148">
                  <c:v>0.45</c:v>
                </c:pt>
                <c:pt idx="150">
                  <c:v>0.45</c:v>
                </c:pt>
                <c:pt idx="152">
                  <c:v>0.45</c:v>
                </c:pt>
                <c:pt idx="154">
                  <c:v>0.45</c:v>
                </c:pt>
                <c:pt idx="156">
                  <c:v>0.25</c:v>
                </c:pt>
                <c:pt idx="158">
                  <c:v>0.25</c:v>
                </c:pt>
                <c:pt idx="160">
                  <c:v>0.53333333333333333</c:v>
                </c:pt>
                <c:pt idx="162">
                  <c:v>0.53333333333333333</c:v>
                </c:pt>
                <c:pt idx="164">
                  <c:v>0.53333333333333333</c:v>
                </c:pt>
                <c:pt idx="166">
                  <c:v>0.53333333333333333</c:v>
                </c:pt>
                <c:pt idx="168">
                  <c:v>0.53333333333333333</c:v>
                </c:pt>
                <c:pt idx="170">
                  <c:v>0.53333333333333333</c:v>
                </c:pt>
                <c:pt idx="172">
                  <c:v>0.53333333333333333</c:v>
                </c:pt>
                <c:pt idx="174">
                  <c:v>0.66666666666666663</c:v>
                </c:pt>
                <c:pt idx="176">
                  <c:v>0.66666666666666663</c:v>
                </c:pt>
                <c:pt idx="178">
                  <c:v>0.16666666666666666</c:v>
                </c:pt>
                <c:pt idx="180">
                  <c:v>0.16666666666666666</c:v>
                </c:pt>
              </c:numCache>
            </c:numRef>
          </c:xVal>
          <c:yVal>
            <c:numRef>
              <c:f>'WM graph'!$D$3:$D$193</c:f>
              <c:numCache>
                <c:formatCode>General</c:formatCode>
                <c:ptCount val="191"/>
                <c:pt idx="0" formatCode="0.00">
                  <c:v>-7.1981039274917696E-2</c:v>
                </c:pt>
                <c:pt idx="2" formatCode="0.00">
                  <c:v>-8.496760624742665E-2</c:v>
                </c:pt>
                <c:pt idx="4" formatCode="0.00">
                  <c:v>-8.1454200435717647E-2</c:v>
                </c:pt>
                <c:pt idx="6" formatCode="0.00">
                  <c:v>-4.2214846046604866E-2</c:v>
                </c:pt>
                <c:pt idx="8" formatCode="0.00">
                  <c:v>-5.6151992204423705E-2</c:v>
                </c:pt>
                <c:pt idx="10" formatCode="0.00">
                  <c:v>-7.2500610318961697E-2</c:v>
                </c:pt>
                <c:pt idx="12" formatCode="0.00">
                  <c:v>-4.475429350804095E-2</c:v>
                </c:pt>
                <c:pt idx="14" formatCode="0.00">
                  <c:v>-0.26180973805269198</c:v>
                </c:pt>
                <c:pt idx="16" formatCode="0.00">
                  <c:v>-0.18312881467046671</c:v>
                </c:pt>
                <c:pt idx="18" formatCode="0.00">
                  <c:v>-0.31963089242931408</c:v>
                </c:pt>
                <c:pt idx="20" formatCode="0.00">
                  <c:v>-0.6477753243400316</c:v>
                </c:pt>
                <c:pt idx="22" formatCode="0.00">
                  <c:v>-0.83436416244001388</c:v>
                </c:pt>
                <c:pt idx="24" formatCode="0.00">
                  <c:v>-7.0109010367673946E-2</c:v>
                </c:pt>
                <c:pt idx="26" formatCode="0.00">
                  <c:v>-0.10987631838539494</c:v>
                </c:pt>
                <c:pt idx="28" formatCode="0.00">
                  <c:v>-6.737198421982793E-2</c:v>
                </c:pt>
                <c:pt idx="30" formatCode="0.00">
                  <c:v>-0.19711267967239077</c:v>
                </c:pt>
                <c:pt idx="32" formatCode="0.00">
                  <c:v>-1.523492902687193E-2</c:v>
                </c:pt>
                <c:pt idx="34" formatCode="0.00">
                  <c:v>-0.16430871566677174</c:v>
                </c:pt>
                <c:pt idx="36" formatCode="0.00">
                  <c:v>-9.9646101051534958E-3</c:v>
                </c:pt>
                <c:pt idx="38" formatCode="0.00">
                  <c:v>-2.9136088762513113E-2</c:v>
                </c:pt>
                <c:pt idx="40" formatCode="0.00">
                  <c:v>-2.3713541347856918E-2</c:v>
                </c:pt>
                <c:pt idx="42" formatCode="0.00">
                  <c:v>-2.2682002573009813E-2</c:v>
                </c:pt>
                <c:pt idx="44" formatCode="0.00">
                  <c:v>-1.8102259245743782E-2</c:v>
                </c:pt>
                <c:pt idx="46" formatCode="0.00">
                  <c:v>-1.3114119812826739</c:v>
                </c:pt>
                <c:pt idx="48" formatCode="0.00">
                  <c:v>-0.47641195682701493</c:v>
                </c:pt>
                <c:pt idx="50" formatCode="0.00">
                  <c:v>-0.65351241503468982</c:v>
                </c:pt>
                <c:pt idx="52" formatCode="0.00">
                  <c:v>-0.81081745451120035</c:v>
                </c:pt>
                <c:pt idx="54" formatCode="0.00">
                  <c:v>-0.47830135006197272</c:v>
                </c:pt>
                <c:pt idx="56" formatCode="0.00">
                  <c:v>-0.67741107574387727</c:v>
                </c:pt>
                <c:pt idx="58" formatCode="0.00">
                  <c:v>-0.84874543272433944</c:v>
                </c:pt>
                <c:pt idx="60" formatCode="0.00">
                  <c:v>-4.992105720321207E-2</c:v>
                </c:pt>
                <c:pt idx="62" formatCode="0.00">
                  <c:v>-4.1055678758485072E-2</c:v>
                </c:pt>
                <c:pt idx="64" formatCode="0.00">
                  <c:v>-7.1413414462206712E-2</c:v>
                </c:pt>
                <c:pt idx="66" formatCode="0.00">
                  <c:v>-4.5316916582784965E-2</c:v>
                </c:pt>
                <c:pt idx="68" formatCode="0.00">
                  <c:v>-6.8403789113543001E-2</c:v>
                </c:pt>
                <c:pt idx="70" formatCode="0.00">
                  <c:v>-8.8078477576913547E-2</c:v>
                </c:pt>
                <c:pt idx="72" formatCode="0.00">
                  <c:v>-6.6469415909064036E-2</c:v>
                </c:pt>
                <c:pt idx="74" formatCode="0.00">
                  <c:v>-7.075829312827922E-2</c:v>
                </c:pt>
                <c:pt idx="76" formatCode="0.00">
                  <c:v>-0.10974334508051847</c:v>
                </c:pt>
                <c:pt idx="78" formatCode="0.00">
                  <c:v>-2.1795320311497328E-2</c:v>
                </c:pt>
                <c:pt idx="80" formatCode="0.00">
                  <c:v>-5.2337604154915944E-2</c:v>
                </c:pt>
                <c:pt idx="82" formatCode="0.00">
                  <c:v>-2.5711993139676571E-2</c:v>
                </c:pt>
                <c:pt idx="84" formatCode="0.00">
                  <c:v>-7.0308179214797345E-2</c:v>
                </c:pt>
                <c:pt idx="86" formatCode="0.00">
                  <c:v>-6.2054385278598211E-2</c:v>
                </c:pt>
                <c:pt idx="88" formatCode="0.00">
                  <c:v>-5.0236304116639673E-2</c:v>
                </c:pt>
                <c:pt idx="90" formatCode="0.00">
                  <c:v>-2.2452493576509889E-2</c:v>
                </c:pt>
                <c:pt idx="92" formatCode="0.00">
                  <c:v>-2.531134236455454E-2</c:v>
                </c:pt>
                <c:pt idx="94" formatCode="0.00">
                  <c:v>-6.5951793787283552E-2</c:v>
                </c:pt>
                <c:pt idx="96" formatCode="0.00">
                  <c:v>-4.14745068316828E-2</c:v>
                </c:pt>
                <c:pt idx="98" formatCode="0.00">
                  <c:v>-4.4189783838361953E-2</c:v>
                </c:pt>
                <c:pt idx="100" formatCode="0.00">
                  <c:v>-4.3772747934243385E-2</c:v>
                </c:pt>
                <c:pt idx="102" formatCode="0.00">
                  <c:v>-4.0645091178574962E-2</c:v>
                </c:pt>
                <c:pt idx="104" formatCode="0.00">
                  <c:v>-4.3063479772511619E-2</c:v>
                </c:pt>
                <c:pt idx="106" formatCode="0.00">
                  <c:v>-5.280509398029936E-2</c:v>
                </c:pt>
                <c:pt idx="108" formatCode="0.00">
                  <c:v>-7.7016814336210507E-2</c:v>
                </c:pt>
                <c:pt idx="110" formatCode="0.00">
                  <c:v>-6.7827549678783197E-2</c:v>
                </c:pt>
                <c:pt idx="112" formatCode="0.00">
                  <c:v>-4.2196093645186297E-2</c:v>
                </c:pt>
                <c:pt idx="114" formatCode="0.00">
                  <c:v>-3.5194663945698895E-2</c:v>
                </c:pt>
                <c:pt idx="116" formatCode="0.00">
                  <c:v>-3.6531731094861727E-2</c:v>
                </c:pt>
                <c:pt idx="118" formatCode="0.00">
                  <c:v>-3.9001256000636579E-2</c:v>
                </c:pt>
                <c:pt idx="120" formatCode="0.00">
                  <c:v>-3.4356375042007142E-2</c:v>
                </c:pt>
                <c:pt idx="122" formatCode="0.00">
                  <c:v>-2.6233709947067696E-2</c:v>
                </c:pt>
                <c:pt idx="124" formatCode="0.00">
                  <c:v>-2.2197059679226718E-2</c:v>
                </c:pt>
                <c:pt idx="126" formatCode="0.00">
                  <c:v>-4.5098904485789126E-2</c:v>
                </c:pt>
                <c:pt idx="128" formatCode="0.00">
                  <c:v>-5.1546746482051729E-2</c:v>
                </c:pt>
                <c:pt idx="130" formatCode="0.00">
                  <c:v>-4.3731420625169652E-2</c:v>
                </c:pt>
                <c:pt idx="132" formatCode="0.00">
                  <c:v>-6.6633265431732133E-2</c:v>
                </c:pt>
                <c:pt idx="134" formatCode="0.00">
                  <c:v>-4.5098904485789126E-2</c:v>
                </c:pt>
                <c:pt idx="136" formatCode="0.00">
                  <c:v>-2.6987568669954182E-2</c:v>
                </c:pt>
                <c:pt idx="138" formatCode="0.00">
                  <c:v>-0.44661079519385649</c:v>
                </c:pt>
                <c:pt idx="140" formatCode="0.00">
                  <c:v>-1.1666319730806457E-2</c:v>
                </c:pt>
                <c:pt idx="142" formatCode="0.00">
                  <c:v>-6.7870112661232732E-2</c:v>
                </c:pt>
                <c:pt idx="144" formatCode="0.00">
                  <c:v>-8.2331852575010564E-2</c:v>
                </c:pt>
                <c:pt idx="146" formatCode="0.00">
                  <c:v>-0.29384836738253917</c:v>
                </c:pt>
                <c:pt idx="148" formatCode="0.00">
                  <c:v>-0.18527236101789452</c:v>
                </c:pt>
                <c:pt idx="150" formatCode="0.00">
                  <c:v>-1.0788080782104132</c:v>
                </c:pt>
                <c:pt idx="152" formatCode="0.00">
                  <c:v>-0.76804153859349633</c:v>
                </c:pt>
                <c:pt idx="154" formatCode="0.00">
                  <c:v>-0.45455704407487479</c:v>
                </c:pt>
                <c:pt idx="156" formatCode="0.00">
                  <c:v>-3.9743751452330058E-3</c:v>
                </c:pt>
                <c:pt idx="158" formatCode="0.00">
                  <c:v>-3.9743751452330058E-3</c:v>
                </c:pt>
                <c:pt idx="160" formatCode="0.00">
                  <c:v>-4.3570999372430294E-2</c:v>
                </c:pt>
                <c:pt idx="162" formatCode="0.00">
                  <c:v>-8.8431452888231274E-2</c:v>
                </c:pt>
                <c:pt idx="164" formatCode="0.00">
                  <c:v>-2.212633693321656E-2</c:v>
                </c:pt>
                <c:pt idx="166" formatCode="0.00">
                  <c:v>-6.953808288736657E-2</c:v>
                </c:pt>
                <c:pt idx="168" formatCode="0.00">
                  <c:v>-0.24168381202492392</c:v>
                </c:pt>
                <c:pt idx="170" formatCode="0.00">
                  <c:v>-6.8650399587453712E-2</c:v>
                </c:pt>
                <c:pt idx="172" formatCode="0.00">
                  <c:v>-0.12311677041685908</c:v>
                </c:pt>
                <c:pt idx="174" formatCode="0.00">
                  <c:v>-0.11908193382823912</c:v>
                </c:pt>
                <c:pt idx="176" formatCode="0.00">
                  <c:v>-0.13685662436313883</c:v>
                </c:pt>
                <c:pt idx="178" formatCode="0.00">
                  <c:v>-5.7956782843279799E-2</c:v>
                </c:pt>
                <c:pt idx="180" formatCode="0.00">
                  <c:v>-0.10804502759734136</c:v>
                </c:pt>
              </c:numCache>
            </c:numRef>
          </c:yVal>
          <c:smooth val="0"/>
          <c:extLst>
            <c:ext xmlns:c16="http://schemas.microsoft.com/office/drawing/2014/chart" uri="{C3380CC4-5D6E-409C-BE32-E72D297353CC}">
              <c16:uniqueId val="{00000000-6F62-45D3-85CE-DAF707EEC3DD}"/>
            </c:ext>
          </c:extLst>
        </c:ser>
        <c:dLbls>
          <c:showLegendKey val="0"/>
          <c:showVal val="0"/>
          <c:showCatName val="0"/>
          <c:showSerName val="0"/>
          <c:showPercent val="0"/>
          <c:showBubbleSize val="0"/>
        </c:dLbls>
        <c:axId val="1710000639"/>
        <c:axId val="1804425839"/>
      </c:scatterChart>
      <c:valAx>
        <c:axId val="1710000639"/>
        <c:scaling>
          <c:logBase val="10"/>
          <c:orientation val="minMax"/>
          <c:min val="0.1"/>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Delay (in log minutes)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804425839"/>
        <c:crosses val="autoZero"/>
        <c:crossBetween val="midCat"/>
      </c:valAx>
      <c:valAx>
        <c:axId val="1804425839"/>
        <c:scaling>
          <c:orientation val="minMax"/>
          <c:max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Memory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10000639"/>
        <c:crossesAt val="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LLM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rgbClr val="0070C0"/>
              </a:solidFill>
              <a:ln w="9525">
                <a:solidFill>
                  <a:srgbClr val="0070C0"/>
                </a:solidFill>
              </a:ln>
              <a:effectLst/>
            </c:spPr>
          </c:marker>
          <c:xVal>
            <c:numRef>
              <c:f>'LLM graph'!$C$3:$C$713</c:f>
              <c:numCache>
                <c:formatCode>0.00</c:formatCode>
                <c:ptCount val="711"/>
                <c:pt idx="0">
                  <c:v>55</c:v>
                </c:pt>
                <c:pt idx="2">
                  <c:v>45</c:v>
                </c:pt>
                <c:pt idx="4">
                  <c:v>8.4931506849315067E-2</c:v>
                </c:pt>
                <c:pt idx="6">
                  <c:v>8.4931506849315067E-2</c:v>
                </c:pt>
                <c:pt idx="8">
                  <c:v>8.4931506849315067E-2</c:v>
                </c:pt>
                <c:pt idx="10">
                  <c:v>8.4931506849315067E-2</c:v>
                </c:pt>
                <c:pt idx="12">
                  <c:v>7.6712328767123292E-2</c:v>
                </c:pt>
                <c:pt idx="14">
                  <c:v>7.6712328767123292E-2</c:v>
                </c:pt>
                <c:pt idx="16">
                  <c:v>48</c:v>
                </c:pt>
                <c:pt idx="18">
                  <c:v>48</c:v>
                </c:pt>
                <c:pt idx="20">
                  <c:v>48</c:v>
                </c:pt>
                <c:pt idx="22">
                  <c:v>48</c:v>
                </c:pt>
                <c:pt idx="24">
                  <c:v>48</c:v>
                </c:pt>
                <c:pt idx="26">
                  <c:v>48</c:v>
                </c:pt>
                <c:pt idx="28">
                  <c:v>46</c:v>
                </c:pt>
                <c:pt idx="30">
                  <c:v>46</c:v>
                </c:pt>
                <c:pt idx="32">
                  <c:v>46</c:v>
                </c:pt>
                <c:pt idx="34">
                  <c:v>46</c:v>
                </c:pt>
                <c:pt idx="36">
                  <c:v>46</c:v>
                </c:pt>
                <c:pt idx="38">
                  <c:v>46</c:v>
                </c:pt>
                <c:pt idx="40">
                  <c:v>46</c:v>
                </c:pt>
                <c:pt idx="42">
                  <c:v>46</c:v>
                </c:pt>
                <c:pt idx="44">
                  <c:v>46</c:v>
                </c:pt>
                <c:pt idx="46">
                  <c:v>50</c:v>
                </c:pt>
                <c:pt idx="48">
                  <c:v>50</c:v>
                </c:pt>
                <c:pt idx="50">
                  <c:v>50</c:v>
                </c:pt>
                <c:pt idx="52">
                  <c:v>50</c:v>
                </c:pt>
                <c:pt idx="54">
                  <c:v>50</c:v>
                </c:pt>
                <c:pt idx="56">
                  <c:v>50</c:v>
                </c:pt>
                <c:pt idx="58">
                  <c:v>47.25</c:v>
                </c:pt>
                <c:pt idx="60">
                  <c:v>47.25</c:v>
                </c:pt>
                <c:pt idx="62">
                  <c:v>35</c:v>
                </c:pt>
                <c:pt idx="64">
                  <c:v>18</c:v>
                </c:pt>
                <c:pt idx="66">
                  <c:v>3</c:v>
                </c:pt>
                <c:pt idx="68">
                  <c:v>2.5372602739726027</c:v>
                </c:pt>
                <c:pt idx="70">
                  <c:v>2.5372602739726027</c:v>
                </c:pt>
                <c:pt idx="72">
                  <c:v>2.5372602739726027</c:v>
                </c:pt>
                <c:pt idx="74">
                  <c:v>2.5372602739726027</c:v>
                </c:pt>
                <c:pt idx="76">
                  <c:v>2.5372602739726027</c:v>
                </c:pt>
                <c:pt idx="78">
                  <c:v>2.5372602739726027</c:v>
                </c:pt>
                <c:pt idx="80">
                  <c:v>2.5372602739726027</c:v>
                </c:pt>
                <c:pt idx="82">
                  <c:v>0.50712328767123283</c:v>
                </c:pt>
                <c:pt idx="84">
                  <c:v>0.50712328767123283</c:v>
                </c:pt>
                <c:pt idx="86">
                  <c:v>0.50712328767123283</c:v>
                </c:pt>
                <c:pt idx="88">
                  <c:v>7.6712328767123292E-2</c:v>
                </c:pt>
                <c:pt idx="90">
                  <c:v>7.6712328767123292E-2</c:v>
                </c:pt>
                <c:pt idx="92">
                  <c:v>43</c:v>
                </c:pt>
                <c:pt idx="94">
                  <c:v>43</c:v>
                </c:pt>
                <c:pt idx="96">
                  <c:v>45</c:v>
                </c:pt>
                <c:pt idx="98">
                  <c:v>45</c:v>
                </c:pt>
                <c:pt idx="100">
                  <c:v>45</c:v>
                </c:pt>
                <c:pt idx="102">
                  <c:v>3.8356164383561646E-2</c:v>
                </c:pt>
                <c:pt idx="104">
                  <c:v>0.15342465753424658</c:v>
                </c:pt>
                <c:pt idx="106">
                  <c:v>5</c:v>
                </c:pt>
                <c:pt idx="108">
                  <c:v>7.6712328767123292E-2</c:v>
                </c:pt>
                <c:pt idx="110">
                  <c:v>7.6712328767123292E-2</c:v>
                </c:pt>
                <c:pt idx="112">
                  <c:v>7.6712328767123292E-2</c:v>
                </c:pt>
                <c:pt idx="114">
                  <c:v>7.6712328767123292E-2</c:v>
                </c:pt>
                <c:pt idx="116">
                  <c:v>7.6712328767123292E-2</c:v>
                </c:pt>
                <c:pt idx="118">
                  <c:v>7.6712328767123292E-2</c:v>
                </c:pt>
                <c:pt idx="120">
                  <c:v>7.6712328767123292E-2</c:v>
                </c:pt>
                <c:pt idx="122">
                  <c:v>7.6712328767123292E-2</c:v>
                </c:pt>
                <c:pt idx="124">
                  <c:v>7.6712328767123292E-2</c:v>
                </c:pt>
                <c:pt idx="126">
                  <c:v>5.7534246575342465E-2</c:v>
                </c:pt>
                <c:pt idx="128">
                  <c:v>5.7534246575342465E-2</c:v>
                </c:pt>
                <c:pt idx="130">
                  <c:v>0.11506849315068493</c:v>
                </c:pt>
                <c:pt idx="132">
                  <c:v>0.11506849315068493</c:v>
                </c:pt>
                <c:pt idx="134">
                  <c:v>0.11506849315068493</c:v>
                </c:pt>
                <c:pt idx="136">
                  <c:v>0.11506849315068493</c:v>
                </c:pt>
                <c:pt idx="138">
                  <c:v>0.11506849315068493</c:v>
                </c:pt>
                <c:pt idx="140">
                  <c:v>0.11506849315068493</c:v>
                </c:pt>
                <c:pt idx="142">
                  <c:v>19</c:v>
                </c:pt>
                <c:pt idx="144">
                  <c:v>19</c:v>
                </c:pt>
                <c:pt idx="146">
                  <c:v>0.95890410958904104</c:v>
                </c:pt>
                <c:pt idx="148">
                  <c:v>0.95890410958904104</c:v>
                </c:pt>
                <c:pt idx="150">
                  <c:v>0.95890410958904104</c:v>
                </c:pt>
                <c:pt idx="152">
                  <c:v>0.95890410958904104</c:v>
                </c:pt>
                <c:pt idx="154">
                  <c:v>0.95890410958904104</c:v>
                </c:pt>
                <c:pt idx="156">
                  <c:v>0.95890410958904104</c:v>
                </c:pt>
                <c:pt idx="158">
                  <c:v>0.95890410958904104</c:v>
                </c:pt>
                <c:pt idx="160">
                  <c:v>0.95890410958904104</c:v>
                </c:pt>
                <c:pt idx="162">
                  <c:v>0.95890410958904104</c:v>
                </c:pt>
                <c:pt idx="164">
                  <c:v>0.95890410958904104</c:v>
                </c:pt>
                <c:pt idx="166">
                  <c:v>3.8356164383561646E-2</c:v>
                </c:pt>
                <c:pt idx="168">
                  <c:v>0.46027397260273972</c:v>
                </c:pt>
                <c:pt idx="170">
                  <c:v>0.46027397260273972</c:v>
                </c:pt>
                <c:pt idx="172">
                  <c:v>45</c:v>
                </c:pt>
                <c:pt idx="174">
                  <c:v>35</c:v>
                </c:pt>
                <c:pt idx="176">
                  <c:v>35</c:v>
                </c:pt>
                <c:pt idx="178">
                  <c:v>45</c:v>
                </c:pt>
                <c:pt idx="180">
                  <c:v>10.493150684931507</c:v>
                </c:pt>
                <c:pt idx="182">
                  <c:v>10.493150684931507</c:v>
                </c:pt>
                <c:pt idx="184">
                  <c:v>10.493150684931507</c:v>
                </c:pt>
                <c:pt idx="186">
                  <c:v>10.493150684931507</c:v>
                </c:pt>
                <c:pt idx="188">
                  <c:v>7.6712328767123292E-2</c:v>
                </c:pt>
                <c:pt idx="190">
                  <c:v>7.6712328767123292E-2</c:v>
                </c:pt>
                <c:pt idx="192">
                  <c:v>7.6712328767123292E-2</c:v>
                </c:pt>
                <c:pt idx="194">
                  <c:v>7.6712328767123292E-2</c:v>
                </c:pt>
                <c:pt idx="196">
                  <c:v>7.6712328767123292E-2</c:v>
                </c:pt>
                <c:pt idx="198">
                  <c:v>7.6712328767123292E-2</c:v>
                </c:pt>
                <c:pt idx="200">
                  <c:v>7.6712328767123292E-2</c:v>
                </c:pt>
                <c:pt idx="202">
                  <c:v>7.9452054794520555E-2</c:v>
                </c:pt>
                <c:pt idx="204">
                  <c:v>7.9452054794520555E-2</c:v>
                </c:pt>
                <c:pt idx="206">
                  <c:v>7.9452054794520555E-2</c:v>
                </c:pt>
                <c:pt idx="208">
                  <c:v>7.9452054794520555E-2</c:v>
                </c:pt>
                <c:pt idx="210">
                  <c:v>7.9452054794520555E-2</c:v>
                </c:pt>
                <c:pt idx="212">
                  <c:v>7.5</c:v>
                </c:pt>
                <c:pt idx="214">
                  <c:v>7.5</c:v>
                </c:pt>
                <c:pt idx="216">
                  <c:v>7.5</c:v>
                </c:pt>
                <c:pt idx="218">
                  <c:v>7.5</c:v>
                </c:pt>
                <c:pt idx="220">
                  <c:v>7.5</c:v>
                </c:pt>
                <c:pt idx="222">
                  <c:v>7.5</c:v>
                </c:pt>
                <c:pt idx="224">
                  <c:v>7.5</c:v>
                </c:pt>
                <c:pt idx="226">
                  <c:v>7.5</c:v>
                </c:pt>
                <c:pt idx="228">
                  <c:v>7.5</c:v>
                </c:pt>
                <c:pt idx="230">
                  <c:v>7.5</c:v>
                </c:pt>
                <c:pt idx="232">
                  <c:v>7.5</c:v>
                </c:pt>
                <c:pt idx="234">
                  <c:v>7.5</c:v>
                </c:pt>
                <c:pt idx="236">
                  <c:v>7.5</c:v>
                </c:pt>
                <c:pt idx="238">
                  <c:v>7.5</c:v>
                </c:pt>
                <c:pt idx="240">
                  <c:v>7.5</c:v>
                </c:pt>
                <c:pt idx="242">
                  <c:v>8.4939726027397272E-2</c:v>
                </c:pt>
                <c:pt idx="244">
                  <c:v>16</c:v>
                </c:pt>
                <c:pt idx="246">
                  <c:v>16</c:v>
                </c:pt>
                <c:pt idx="248">
                  <c:v>5.7534246575342465E-2</c:v>
                </c:pt>
                <c:pt idx="250">
                  <c:v>5.7534246575342465E-2</c:v>
                </c:pt>
                <c:pt idx="252">
                  <c:v>5.7534246575342465E-2</c:v>
                </c:pt>
                <c:pt idx="254">
                  <c:v>5.7534246575342465E-2</c:v>
                </c:pt>
                <c:pt idx="256">
                  <c:v>3.8356164383561646E-2</c:v>
                </c:pt>
                <c:pt idx="258">
                  <c:v>3.8356164383561646E-2</c:v>
                </c:pt>
                <c:pt idx="260">
                  <c:v>3.8356164383561646E-2</c:v>
                </c:pt>
                <c:pt idx="262">
                  <c:v>3.8356164383561646E-2</c:v>
                </c:pt>
                <c:pt idx="264">
                  <c:v>3.8356164383561646E-2</c:v>
                </c:pt>
                <c:pt idx="266">
                  <c:v>3.8356164383561646E-2</c:v>
                </c:pt>
                <c:pt idx="268">
                  <c:v>0.23013698630136986</c:v>
                </c:pt>
                <c:pt idx="270">
                  <c:v>0.23013698630136986</c:v>
                </c:pt>
                <c:pt idx="272">
                  <c:v>2.7701674277016742E-2</c:v>
                </c:pt>
                <c:pt idx="274">
                  <c:v>0.24657534246575341</c:v>
                </c:pt>
                <c:pt idx="276">
                  <c:v>0.24657534246575341</c:v>
                </c:pt>
                <c:pt idx="278">
                  <c:v>0.16712328767123288</c:v>
                </c:pt>
                <c:pt idx="280">
                  <c:v>0.16712328767123288</c:v>
                </c:pt>
                <c:pt idx="282">
                  <c:v>8.2191780821917804E-2</c:v>
                </c:pt>
                <c:pt idx="284">
                  <c:v>3.5616438356164383E-2</c:v>
                </c:pt>
                <c:pt idx="286">
                  <c:v>1.3150684931506849</c:v>
                </c:pt>
                <c:pt idx="288">
                  <c:v>1.3150684931506849</c:v>
                </c:pt>
                <c:pt idx="290">
                  <c:v>1.3150684931506849</c:v>
                </c:pt>
                <c:pt idx="292">
                  <c:v>1.3150684931506849</c:v>
                </c:pt>
                <c:pt idx="294">
                  <c:v>1.3150684931506849</c:v>
                </c:pt>
                <c:pt idx="296">
                  <c:v>55</c:v>
                </c:pt>
                <c:pt idx="298">
                  <c:v>55</c:v>
                </c:pt>
                <c:pt idx="300">
                  <c:v>9.907</c:v>
                </c:pt>
                <c:pt idx="302">
                  <c:v>60</c:v>
                </c:pt>
                <c:pt idx="304">
                  <c:v>60</c:v>
                </c:pt>
                <c:pt idx="306">
                  <c:v>60</c:v>
                </c:pt>
                <c:pt idx="308">
                  <c:v>20</c:v>
                </c:pt>
                <c:pt idx="310">
                  <c:v>40</c:v>
                </c:pt>
                <c:pt idx="312">
                  <c:v>7.6712328767123292E-2</c:v>
                </c:pt>
                <c:pt idx="314">
                  <c:v>7.6712328767123292E-2</c:v>
                </c:pt>
                <c:pt idx="316">
                  <c:v>7.6712328767123292E-2</c:v>
                </c:pt>
                <c:pt idx="318">
                  <c:v>7.6712328767123292E-2</c:v>
                </c:pt>
                <c:pt idx="320">
                  <c:v>8.2191780821917804E-2</c:v>
                </c:pt>
                <c:pt idx="322">
                  <c:v>8.2191780821917804E-2</c:v>
                </c:pt>
                <c:pt idx="324">
                  <c:v>8.2191780821917804E-2</c:v>
                </c:pt>
                <c:pt idx="326">
                  <c:v>8.2191780821917804E-2</c:v>
                </c:pt>
                <c:pt idx="328">
                  <c:v>8.2191780821917804E-2</c:v>
                </c:pt>
                <c:pt idx="330">
                  <c:v>8.2191780821917804E-2</c:v>
                </c:pt>
                <c:pt idx="332">
                  <c:v>0.15342465753424658</c:v>
                </c:pt>
                <c:pt idx="334">
                  <c:v>60</c:v>
                </c:pt>
                <c:pt idx="336">
                  <c:v>60</c:v>
                </c:pt>
                <c:pt idx="338">
                  <c:v>50</c:v>
                </c:pt>
                <c:pt idx="340">
                  <c:v>50</c:v>
                </c:pt>
                <c:pt idx="342">
                  <c:v>0.11506849315068493</c:v>
                </c:pt>
                <c:pt idx="344">
                  <c:v>0.11506849315068493</c:v>
                </c:pt>
                <c:pt idx="346">
                  <c:v>45</c:v>
                </c:pt>
                <c:pt idx="348">
                  <c:v>30</c:v>
                </c:pt>
                <c:pt idx="350">
                  <c:v>30</c:v>
                </c:pt>
                <c:pt idx="352">
                  <c:v>50</c:v>
                </c:pt>
                <c:pt idx="354">
                  <c:v>50</c:v>
                </c:pt>
                <c:pt idx="356">
                  <c:v>8.2191780821917804E-2</c:v>
                </c:pt>
                <c:pt idx="358">
                  <c:v>8.2191780821917804E-2</c:v>
                </c:pt>
                <c:pt idx="360">
                  <c:v>8.2191780821917804E-2</c:v>
                </c:pt>
                <c:pt idx="362">
                  <c:v>8.2191780821917804E-2</c:v>
                </c:pt>
                <c:pt idx="364">
                  <c:v>8.2191780821917804E-2</c:v>
                </c:pt>
                <c:pt idx="366">
                  <c:v>9.5890410958904104E-2</c:v>
                </c:pt>
                <c:pt idx="368">
                  <c:v>9.5890410958904104E-2</c:v>
                </c:pt>
                <c:pt idx="370">
                  <c:v>9.5890410958904104E-2</c:v>
                </c:pt>
                <c:pt idx="372">
                  <c:v>50</c:v>
                </c:pt>
                <c:pt idx="374">
                  <c:v>50</c:v>
                </c:pt>
                <c:pt idx="376">
                  <c:v>30</c:v>
                </c:pt>
                <c:pt idx="378">
                  <c:v>30</c:v>
                </c:pt>
                <c:pt idx="380">
                  <c:v>30</c:v>
                </c:pt>
                <c:pt idx="382">
                  <c:v>0.12601917808219176</c:v>
                </c:pt>
                <c:pt idx="384">
                  <c:v>0.12601917808219176</c:v>
                </c:pt>
                <c:pt idx="386">
                  <c:v>0.12601917808219176</c:v>
                </c:pt>
                <c:pt idx="388">
                  <c:v>0.12601917808219176</c:v>
                </c:pt>
                <c:pt idx="390">
                  <c:v>0.12601917808219176</c:v>
                </c:pt>
                <c:pt idx="392">
                  <c:v>0.12601917808219176</c:v>
                </c:pt>
                <c:pt idx="394">
                  <c:v>0.12601917808219176</c:v>
                </c:pt>
                <c:pt idx="396">
                  <c:v>0.12601917808219176</c:v>
                </c:pt>
                <c:pt idx="398">
                  <c:v>0.12601917808219176</c:v>
                </c:pt>
                <c:pt idx="400">
                  <c:v>7.6712328767123292E-2</c:v>
                </c:pt>
                <c:pt idx="402">
                  <c:v>7.6712328767123292E-2</c:v>
                </c:pt>
                <c:pt idx="404">
                  <c:v>7.6712328767123292E-2</c:v>
                </c:pt>
                <c:pt idx="406">
                  <c:v>8.3333424657534239E-2</c:v>
                </c:pt>
                <c:pt idx="408">
                  <c:v>0.32876712328767121</c:v>
                </c:pt>
                <c:pt idx="410">
                  <c:v>0.32876712328767121</c:v>
                </c:pt>
                <c:pt idx="412">
                  <c:v>0.32876712328767121</c:v>
                </c:pt>
                <c:pt idx="414">
                  <c:v>0.11232876712328767</c:v>
                </c:pt>
                <c:pt idx="416">
                  <c:v>0.11232876712328767</c:v>
                </c:pt>
                <c:pt idx="418">
                  <c:v>0.20547945205479451</c:v>
                </c:pt>
                <c:pt idx="420">
                  <c:v>7.6712328767123292E-2</c:v>
                </c:pt>
                <c:pt idx="422">
                  <c:v>7.6712328767123292E-2</c:v>
                </c:pt>
                <c:pt idx="424">
                  <c:v>7.6712328767123292E-2</c:v>
                </c:pt>
                <c:pt idx="426">
                  <c:v>0.11506849315068493</c:v>
                </c:pt>
                <c:pt idx="428">
                  <c:v>0.11506849315068493</c:v>
                </c:pt>
                <c:pt idx="430">
                  <c:v>25</c:v>
                </c:pt>
                <c:pt idx="432">
                  <c:v>50</c:v>
                </c:pt>
                <c:pt idx="434">
                  <c:v>18</c:v>
                </c:pt>
                <c:pt idx="436">
                  <c:v>5.7534246575342465E-2</c:v>
                </c:pt>
                <c:pt idx="438">
                  <c:v>5.7534246575342465E-2</c:v>
                </c:pt>
                <c:pt idx="440">
                  <c:v>5.7534246575342465E-2</c:v>
                </c:pt>
                <c:pt idx="442">
                  <c:v>5.7534246575342465E-2</c:v>
                </c:pt>
                <c:pt idx="444">
                  <c:v>5.7534246575342465E-2</c:v>
                </c:pt>
                <c:pt idx="446">
                  <c:v>5.7534246575342465E-2</c:v>
                </c:pt>
                <c:pt idx="448">
                  <c:v>50</c:v>
                </c:pt>
                <c:pt idx="450">
                  <c:v>50</c:v>
                </c:pt>
                <c:pt idx="452">
                  <c:v>50</c:v>
                </c:pt>
                <c:pt idx="454">
                  <c:v>50</c:v>
                </c:pt>
                <c:pt idx="456">
                  <c:v>1.026027397260274</c:v>
                </c:pt>
                <c:pt idx="458">
                  <c:v>1.026027397260274</c:v>
                </c:pt>
                <c:pt idx="460">
                  <c:v>45</c:v>
                </c:pt>
                <c:pt idx="462">
                  <c:v>45</c:v>
                </c:pt>
                <c:pt idx="464">
                  <c:v>45</c:v>
                </c:pt>
                <c:pt idx="466">
                  <c:v>5.7534246575342465E-2</c:v>
                </c:pt>
                <c:pt idx="468">
                  <c:v>5.7534246575342465E-2</c:v>
                </c:pt>
                <c:pt idx="470">
                  <c:v>5.7534246575342465E-2</c:v>
                </c:pt>
                <c:pt idx="472">
                  <c:v>5.7534246575342465E-2</c:v>
                </c:pt>
                <c:pt idx="474">
                  <c:v>5.7534246575342465E-2</c:v>
                </c:pt>
                <c:pt idx="476">
                  <c:v>5.7534246575342465E-2</c:v>
                </c:pt>
                <c:pt idx="478">
                  <c:v>5.7534246575342465E-2</c:v>
                </c:pt>
                <c:pt idx="480">
                  <c:v>5.7534246575342465E-2</c:v>
                </c:pt>
                <c:pt idx="482">
                  <c:v>5.7534246575342465E-2</c:v>
                </c:pt>
                <c:pt idx="484">
                  <c:v>5.7534246575342465E-2</c:v>
                </c:pt>
                <c:pt idx="486">
                  <c:v>5.7534246575342465E-2</c:v>
                </c:pt>
                <c:pt idx="488">
                  <c:v>5.7534246575342465E-2</c:v>
                </c:pt>
                <c:pt idx="490">
                  <c:v>5.7534246575342465E-2</c:v>
                </c:pt>
                <c:pt idx="492">
                  <c:v>5.7534246575342465E-2</c:v>
                </c:pt>
                <c:pt idx="494">
                  <c:v>5.7534246575342465E-2</c:v>
                </c:pt>
                <c:pt idx="496">
                  <c:v>8.4931506849315067E-2</c:v>
                </c:pt>
                <c:pt idx="498">
                  <c:v>8.4931506849315067E-2</c:v>
                </c:pt>
                <c:pt idx="500">
                  <c:v>8.4931506849315067E-2</c:v>
                </c:pt>
                <c:pt idx="502">
                  <c:v>0.13424657534246576</c:v>
                </c:pt>
                <c:pt idx="504">
                  <c:v>7.6712328767123292E-2</c:v>
                </c:pt>
                <c:pt idx="506">
                  <c:v>0.11506849315068493</c:v>
                </c:pt>
                <c:pt idx="508">
                  <c:v>0.11506849315068493</c:v>
                </c:pt>
                <c:pt idx="510">
                  <c:v>0.11506849315068493</c:v>
                </c:pt>
                <c:pt idx="512">
                  <c:v>0.11506849315068493</c:v>
                </c:pt>
                <c:pt idx="514">
                  <c:v>43</c:v>
                </c:pt>
                <c:pt idx="516">
                  <c:v>0.23561643835616439</c:v>
                </c:pt>
                <c:pt idx="518">
                  <c:v>0.23561643835616439</c:v>
                </c:pt>
                <c:pt idx="520">
                  <c:v>0.23561643835616439</c:v>
                </c:pt>
                <c:pt idx="522">
                  <c:v>0.23561643835616439</c:v>
                </c:pt>
                <c:pt idx="524">
                  <c:v>0.23561643835616439</c:v>
                </c:pt>
                <c:pt idx="526">
                  <c:v>0.23561643835616439</c:v>
                </c:pt>
                <c:pt idx="528">
                  <c:v>28</c:v>
                </c:pt>
                <c:pt idx="530">
                  <c:v>45</c:v>
                </c:pt>
                <c:pt idx="532">
                  <c:v>50</c:v>
                </c:pt>
                <c:pt idx="534">
                  <c:v>0.32876712328767121</c:v>
                </c:pt>
                <c:pt idx="536">
                  <c:v>8.2191780821917804E-2</c:v>
                </c:pt>
                <c:pt idx="538">
                  <c:v>3.8356164383561646E-2</c:v>
                </c:pt>
                <c:pt idx="540">
                  <c:v>25</c:v>
                </c:pt>
                <c:pt idx="542">
                  <c:v>25</c:v>
                </c:pt>
                <c:pt idx="544">
                  <c:v>25</c:v>
                </c:pt>
                <c:pt idx="546">
                  <c:v>35</c:v>
                </c:pt>
                <c:pt idx="548">
                  <c:v>35</c:v>
                </c:pt>
                <c:pt idx="550">
                  <c:v>0.17260273972602741</c:v>
                </c:pt>
                <c:pt idx="552">
                  <c:v>0.17260273972602741</c:v>
                </c:pt>
                <c:pt idx="554">
                  <c:v>7.6712328767123292E-2</c:v>
                </c:pt>
                <c:pt idx="556">
                  <c:v>7.6712328767123292E-2</c:v>
                </c:pt>
                <c:pt idx="558">
                  <c:v>7.6712328767123292E-2</c:v>
                </c:pt>
                <c:pt idx="560">
                  <c:v>7.6712328767123292E-2</c:v>
                </c:pt>
                <c:pt idx="562">
                  <c:v>7.6712328767123292E-2</c:v>
                </c:pt>
                <c:pt idx="564">
                  <c:v>7.6712328767123292E-2</c:v>
                </c:pt>
                <c:pt idx="566">
                  <c:v>8.2191780821917804E-2</c:v>
                </c:pt>
                <c:pt idx="568">
                  <c:v>8.2191780821917804E-2</c:v>
                </c:pt>
                <c:pt idx="570">
                  <c:v>5.7534246575342465E-2</c:v>
                </c:pt>
                <c:pt idx="572">
                  <c:v>5.7534246575342465E-2</c:v>
                </c:pt>
                <c:pt idx="574">
                  <c:v>5.7534246575342465E-2</c:v>
                </c:pt>
                <c:pt idx="576">
                  <c:v>5.7534246575342465E-2</c:v>
                </c:pt>
                <c:pt idx="578">
                  <c:v>43</c:v>
                </c:pt>
                <c:pt idx="580">
                  <c:v>43</c:v>
                </c:pt>
                <c:pt idx="582">
                  <c:v>40</c:v>
                </c:pt>
                <c:pt idx="584">
                  <c:v>0.16712328767123288</c:v>
                </c:pt>
                <c:pt idx="586">
                  <c:v>0.16712328767123288</c:v>
                </c:pt>
                <c:pt idx="588">
                  <c:v>0.21095890410958903</c:v>
                </c:pt>
                <c:pt idx="590">
                  <c:v>0.21095890410958903</c:v>
                </c:pt>
                <c:pt idx="592">
                  <c:v>0.21095890410958903</c:v>
                </c:pt>
                <c:pt idx="594">
                  <c:v>0.21095890410958903</c:v>
                </c:pt>
                <c:pt idx="596">
                  <c:v>0.21095890410958903</c:v>
                </c:pt>
                <c:pt idx="598">
                  <c:v>0.21095890410958903</c:v>
                </c:pt>
                <c:pt idx="600">
                  <c:v>0.21095890410958903</c:v>
                </c:pt>
                <c:pt idx="602">
                  <c:v>0.21095890410958903</c:v>
                </c:pt>
                <c:pt idx="604">
                  <c:v>9.5890410958904104E-2</c:v>
                </c:pt>
                <c:pt idx="606">
                  <c:v>9.5890410958904104E-2</c:v>
                </c:pt>
                <c:pt idx="608">
                  <c:v>9.5890410958904104E-2</c:v>
                </c:pt>
                <c:pt idx="610">
                  <c:v>0.90410958904109584</c:v>
                </c:pt>
                <c:pt idx="612">
                  <c:v>6.8493150684931503E-2</c:v>
                </c:pt>
                <c:pt idx="614">
                  <c:v>6.8493150684931503E-2</c:v>
                </c:pt>
                <c:pt idx="616">
                  <c:v>0.44109589041095892</c:v>
                </c:pt>
                <c:pt idx="618">
                  <c:v>5.7534246575342465E-2</c:v>
                </c:pt>
                <c:pt idx="620">
                  <c:v>5.7534246575342465E-2</c:v>
                </c:pt>
                <c:pt idx="622">
                  <c:v>5.7534246575342465E-2</c:v>
                </c:pt>
                <c:pt idx="624">
                  <c:v>5.7534246575342465E-2</c:v>
                </c:pt>
                <c:pt idx="626">
                  <c:v>0.51780821917808217</c:v>
                </c:pt>
                <c:pt idx="628">
                  <c:v>0.51780821917808217</c:v>
                </c:pt>
                <c:pt idx="630">
                  <c:v>15</c:v>
                </c:pt>
                <c:pt idx="632">
                  <c:v>45</c:v>
                </c:pt>
                <c:pt idx="634">
                  <c:v>43</c:v>
                </c:pt>
                <c:pt idx="636">
                  <c:v>16</c:v>
                </c:pt>
                <c:pt idx="638">
                  <c:v>16</c:v>
                </c:pt>
                <c:pt idx="640">
                  <c:v>23</c:v>
                </c:pt>
                <c:pt idx="642">
                  <c:v>23</c:v>
                </c:pt>
                <c:pt idx="644">
                  <c:v>23</c:v>
                </c:pt>
                <c:pt idx="646">
                  <c:v>23</c:v>
                </c:pt>
                <c:pt idx="648">
                  <c:v>0.15342465753424658</c:v>
                </c:pt>
                <c:pt idx="650">
                  <c:v>0.15342465753424658</c:v>
                </c:pt>
                <c:pt idx="652">
                  <c:v>7.6712328767123292E-2</c:v>
                </c:pt>
                <c:pt idx="654">
                  <c:v>7.6712328767123292E-2</c:v>
                </c:pt>
                <c:pt idx="656">
                  <c:v>3.2054794520547945</c:v>
                </c:pt>
                <c:pt idx="658">
                  <c:v>3.2054794520547945</c:v>
                </c:pt>
                <c:pt idx="660">
                  <c:v>3.2054794520547945</c:v>
                </c:pt>
                <c:pt idx="662">
                  <c:v>3.2054794520547945</c:v>
                </c:pt>
                <c:pt idx="664">
                  <c:v>3.2054794520547945</c:v>
                </c:pt>
                <c:pt idx="666">
                  <c:v>0.11506849315068493</c:v>
                </c:pt>
                <c:pt idx="668">
                  <c:v>0.24657534246575341</c:v>
                </c:pt>
                <c:pt idx="670">
                  <c:v>0.24657534246575341</c:v>
                </c:pt>
                <c:pt idx="672">
                  <c:v>0.24931506849315069</c:v>
                </c:pt>
                <c:pt idx="674">
                  <c:v>40</c:v>
                </c:pt>
                <c:pt idx="676">
                  <c:v>40</c:v>
                </c:pt>
                <c:pt idx="678">
                  <c:v>40</c:v>
                </c:pt>
                <c:pt idx="680">
                  <c:v>40</c:v>
                </c:pt>
                <c:pt idx="682">
                  <c:v>40</c:v>
                </c:pt>
                <c:pt idx="684">
                  <c:v>40</c:v>
                </c:pt>
                <c:pt idx="686">
                  <c:v>2.4657534246575343</c:v>
                </c:pt>
                <c:pt idx="688">
                  <c:v>2.4657534246575343</c:v>
                </c:pt>
                <c:pt idx="690">
                  <c:v>15.972602739726028</c:v>
                </c:pt>
                <c:pt idx="692">
                  <c:v>3.8356164383561646E-2</c:v>
                </c:pt>
                <c:pt idx="694">
                  <c:v>55</c:v>
                </c:pt>
                <c:pt idx="696">
                  <c:v>50</c:v>
                </c:pt>
                <c:pt idx="698">
                  <c:v>50</c:v>
                </c:pt>
                <c:pt idx="700">
                  <c:v>50</c:v>
                </c:pt>
                <c:pt idx="702">
                  <c:v>5</c:v>
                </c:pt>
                <c:pt idx="704">
                  <c:v>1</c:v>
                </c:pt>
                <c:pt idx="706">
                  <c:v>0.11506849315068493</c:v>
                </c:pt>
                <c:pt idx="708">
                  <c:v>0.11506849315068493</c:v>
                </c:pt>
                <c:pt idx="710">
                  <c:v>3.8356164383561646E-2</c:v>
                </c:pt>
              </c:numCache>
            </c:numRef>
          </c:xVal>
          <c:yVal>
            <c:numRef>
              <c:f>'LLM graph'!$D$3:$D$713</c:f>
              <c:numCache>
                <c:formatCode>General</c:formatCode>
                <c:ptCount val="711"/>
                <c:pt idx="0" formatCode="0.00">
                  <c:v>-2.7360457951633936E-2</c:v>
                </c:pt>
                <c:pt idx="2" formatCode="0.00">
                  <c:v>-2.8936119196109365E-2</c:v>
                </c:pt>
                <c:pt idx="4" formatCode="0.00">
                  <c:v>-0.14879170498863489</c:v>
                </c:pt>
                <c:pt idx="6" formatCode="0.00">
                  <c:v>-0.22017882796682423</c:v>
                </c:pt>
                <c:pt idx="8" formatCode="0.00">
                  <c:v>-0.32864028094881648</c:v>
                </c:pt>
                <c:pt idx="10" formatCode="0.00">
                  <c:v>-0.53809101988255281</c:v>
                </c:pt>
                <c:pt idx="12" formatCode="0.00">
                  <c:v>-9.1845072529178631E-2</c:v>
                </c:pt>
                <c:pt idx="14" formatCode="0.00">
                  <c:v>-6.1582042770250908E-2</c:v>
                </c:pt>
                <c:pt idx="16" formatCode="0.00">
                  <c:v>-0.12391683411031684</c:v>
                </c:pt>
                <c:pt idx="18" formatCode="0.00">
                  <c:v>-3.1298120737212873E-2</c:v>
                </c:pt>
                <c:pt idx="20" formatCode="0.00">
                  <c:v>-8.5133962084087255E-3</c:v>
                </c:pt>
                <c:pt idx="22" formatCode="0.00">
                  <c:v>-2.101185512065248E-2</c:v>
                </c:pt>
                <c:pt idx="24" formatCode="0.00">
                  <c:v>-6.1910155377298333E-2</c:v>
                </c:pt>
                <c:pt idx="26" formatCode="0.00">
                  <c:v>-0.13119101181828052</c:v>
                </c:pt>
                <c:pt idx="28" formatCode="0.00">
                  <c:v>-0.15126571288944954</c:v>
                </c:pt>
                <c:pt idx="30" formatCode="0.00">
                  <c:v>-0.17438629115214344</c:v>
                </c:pt>
                <c:pt idx="32" formatCode="0.00">
                  <c:v>-0.26139512516214641</c:v>
                </c:pt>
                <c:pt idx="34" formatCode="0.00">
                  <c:v>-9.2441845506879464E-2</c:v>
                </c:pt>
                <c:pt idx="36" formatCode="0.00">
                  <c:v>-4.7938234961320811E-2</c:v>
                </c:pt>
                <c:pt idx="38" formatCode="0.00">
                  <c:v>-0.13542522044117383</c:v>
                </c:pt>
                <c:pt idx="40" formatCode="0.00">
                  <c:v>-0.1519162661259072</c:v>
                </c:pt>
                <c:pt idx="42" formatCode="0.00">
                  <c:v>-8.7656895894171291E-2</c:v>
                </c:pt>
                <c:pt idx="44" formatCode="0.00">
                  <c:v>-0.33010491176757845</c:v>
                </c:pt>
                <c:pt idx="46" formatCode="0.00">
                  <c:v>-3.4286545603981373E-2</c:v>
                </c:pt>
                <c:pt idx="48" formatCode="0.00">
                  <c:v>-4.2337376341122862E-2</c:v>
                </c:pt>
                <c:pt idx="50" formatCode="0.00">
                  <c:v>-5.3559106996117975E-2</c:v>
                </c:pt>
                <c:pt idx="52" formatCode="0.00">
                  <c:v>-2.1493974579724399E-2</c:v>
                </c:pt>
                <c:pt idx="54" formatCode="0.00">
                  <c:v>-6.4877870240526714E-2</c:v>
                </c:pt>
                <c:pt idx="56" formatCode="0.00">
                  <c:v>-2.1813466443657538E-2</c:v>
                </c:pt>
                <c:pt idx="58" formatCode="0.00">
                  <c:v>-0.16166396883374459</c:v>
                </c:pt>
                <c:pt idx="60" formatCode="0.00">
                  <c:v>-0.12214566922916996</c:v>
                </c:pt>
                <c:pt idx="62" formatCode="0.00">
                  <c:v>5.9924734840943851E-3</c:v>
                </c:pt>
                <c:pt idx="64" formatCode="0.00">
                  <c:v>-6.8036294754760432E-2</c:v>
                </c:pt>
                <c:pt idx="66" formatCode="0.00">
                  <c:v>-0.41421029776418783</c:v>
                </c:pt>
                <c:pt idx="68" formatCode="0.00">
                  <c:v>-0.44220536145469269</c:v>
                </c:pt>
                <c:pt idx="70" formatCode="0.00">
                  <c:v>-0.39308731788945506</c:v>
                </c:pt>
                <c:pt idx="72" formatCode="0.00">
                  <c:v>-0.10955062355742998</c:v>
                </c:pt>
                <c:pt idx="74" formatCode="0.00">
                  <c:v>-2.4988556565272876E-2</c:v>
                </c:pt>
                <c:pt idx="76" formatCode="0.00">
                  <c:v>-0.41544136809419413</c:v>
                </c:pt>
                <c:pt idx="78" formatCode="0.00">
                  <c:v>-0.17084918671938898</c:v>
                </c:pt>
                <c:pt idx="80" formatCode="0.00">
                  <c:v>-0.17899844858944491</c:v>
                </c:pt>
                <c:pt idx="82" formatCode="0.00">
                  <c:v>-2.4885337409498599E-2</c:v>
                </c:pt>
                <c:pt idx="84" formatCode="0.00">
                  <c:v>-0.23299301160884989</c:v>
                </c:pt>
                <c:pt idx="86" formatCode="0.00">
                  <c:v>-2.9353553163112629E-2</c:v>
                </c:pt>
                <c:pt idx="88" formatCode="0.00">
                  <c:v>-5.4609784021250732E-2</c:v>
                </c:pt>
                <c:pt idx="90" formatCode="0.00">
                  <c:v>-4.801418031946577E-2</c:v>
                </c:pt>
                <c:pt idx="92" formatCode="0.00">
                  <c:v>-4.1465481467406064E-2</c:v>
                </c:pt>
                <c:pt idx="94" formatCode="0.00">
                  <c:v>-3.7468316457231234E-2</c:v>
                </c:pt>
                <c:pt idx="96" formatCode="0.00">
                  <c:v>-2.2348868169555933E-2</c:v>
                </c:pt>
                <c:pt idx="98" formatCode="0.00">
                  <c:v>-4.2420096194482636E-2</c:v>
                </c:pt>
                <c:pt idx="100" formatCode="0.00">
                  <c:v>-4.0101943635617227E-2</c:v>
                </c:pt>
                <c:pt idx="102" formatCode="0.00">
                  <c:v>-5.2178222224896535E-2</c:v>
                </c:pt>
                <c:pt idx="104" formatCode="0.00">
                  <c:v>-4.5378230455479424E-2</c:v>
                </c:pt>
                <c:pt idx="106" formatCode="0.00">
                  <c:v>-0.13838251656515202</c:v>
                </c:pt>
                <c:pt idx="108" formatCode="0.00">
                  <c:v>-0.32312839514614783</c:v>
                </c:pt>
                <c:pt idx="110" formatCode="0.00">
                  <c:v>-5.1742685667533234E-2</c:v>
                </c:pt>
                <c:pt idx="112" formatCode="0.00">
                  <c:v>-2.837347748746365E-2</c:v>
                </c:pt>
                <c:pt idx="114" formatCode="0.00">
                  <c:v>-0.76522659005749616</c:v>
                </c:pt>
                <c:pt idx="116" formatCode="0.00">
                  <c:v>-4.13109173593613E-2</c:v>
                </c:pt>
                <c:pt idx="118" formatCode="0.00">
                  <c:v>-0.1252567951266868</c:v>
                </c:pt>
                <c:pt idx="120" formatCode="0.00">
                  <c:v>-0.66848613975194271</c:v>
                </c:pt>
                <c:pt idx="122" formatCode="0.00">
                  <c:v>-3.2653784473412759E-2</c:v>
                </c:pt>
                <c:pt idx="124" formatCode="0.00">
                  <c:v>-0.11001941854743814</c:v>
                </c:pt>
                <c:pt idx="126" formatCode="0.00">
                  <c:v>-4.2949077420221644E-2</c:v>
                </c:pt>
                <c:pt idx="128" formatCode="0.00">
                  <c:v>-3.2331142164548875E-2</c:v>
                </c:pt>
                <c:pt idx="130" formatCode="0.00">
                  <c:v>-9.1587453005604905E-2</c:v>
                </c:pt>
                <c:pt idx="132" formatCode="0.00">
                  <c:v>-0.10246268954207854</c:v>
                </c:pt>
                <c:pt idx="134" formatCode="0.00">
                  <c:v>-6.7845954926792254E-2</c:v>
                </c:pt>
                <c:pt idx="136" formatCode="0.00">
                  <c:v>-8.297968446750012E-2</c:v>
                </c:pt>
                <c:pt idx="138" formatCode="0.00">
                  <c:v>-0.11189128699965727</c:v>
                </c:pt>
                <c:pt idx="140" formatCode="0.00">
                  <c:v>-0.12166290531877358</c:v>
                </c:pt>
                <c:pt idx="142" formatCode="0.00">
                  <c:v>-0.11051762327997081</c:v>
                </c:pt>
                <c:pt idx="144" formatCode="0.00">
                  <c:v>-0.16375524329559488</c:v>
                </c:pt>
                <c:pt idx="146" formatCode="0.00">
                  <c:v>-0.52076175220920773</c:v>
                </c:pt>
                <c:pt idx="148" formatCode="0.00">
                  <c:v>-0.5214112085031487</c:v>
                </c:pt>
                <c:pt idx="150" formatCode="0.00">
                  <c:v>-0.46937964364704871</c:v>
                </c:pt>
                <c:pt idx="152" formatCode="0.00">
                  <c:v>-0.3585661426719528</c:v>
                </c:pt>
                <c:pt idx="154" formatCode="0.00">
                  <c:v>-0.45072171241934289</c:v>
                </c:pt>
                <c:pt idx="156" formatCode="0.00">
                  <c:v>-0.21610621913419623</c:v>
                </c:pt>
                <c:pt idx="158" formatCode="0.00">
                  <c:v>-0.19642734384411326</c:v>
                </c:pt>
                <c:pt idx="160" formatCode="0.00">
                  <c:v>-0.14161603336344145</c:v>
                </c:pt>
                <c:pt idx="162" formatCode="0.00">
                  <c:v>-9.134301524438973E-2</c:v>
                </c:pt>
                <c:pt idx="164" formatCode="0.00">
                  <c:v>-0.15656389100607182</c:v>
                </c:pt>
                <c:pt idx="166" formatCode="0.00">
                  <c:v>-0.11253363439233544</c:v>
                </c:pt>
                <c:pt idx="168" formatCode="0.00">
                  <c:v>-0.12863423140777697</c:v>
                </c:pt>
                <c:pt idx="170" formatCode="0.00">
                  <c:v>-0.2416812154323445</c:v>
                </c:pt>
                <c:pt idx="172" formatCode="0.00">
                  <c:v>-2.6747660098469152E-2</c:v>
                </c:pt>
                <c:pt idx="174" formatCode="0.00">
                  <c:v>-9.9130471757127095E-2</c:v>
                </c:pt>
                <c:pt idx="176" formatCode="0.00">
                  <c:v>-1.3160977738390256E-2</c:v>
                </c:pt>
                <c:pt idx="178" formatCode="0.00">
                  <c:v>-0.12458176230171633</c:v>
                </c:pt>
                <c:pt idx="180" formatCode="0.00">
                  <c:v>-6.2716517678125278E-2</c:v>
                </c:pt>
                <c:pt idx="182" formatCode="0.00">
                  <c:v>-5.9485316904957383E-2</c:v>
                </c:pt>
                <c:pt idx="184" formatCode="0.00">
                  <c:v>-0.24881822357505426</c:v>
                </c:pt>
                <c:pt idx="186" formatCode="0.00">
                  <c:v>-0.15770156066902088</c:v>
                </c:pt>
                <c:pt idx="188" formatCode="0.00">
                  <c:v>-2.2743344529909733E-2</c:v>
                </c:pt>
                <c:pt idx="190" formatCode="0.00">
                  <c:v>-1.553238468963266E-2</c:v>
                </c:pt>
                <c:pt idx="192" formatCode="0.00">
                  <c:v>-1.8480787588194606E-2</c:v>
                </c:pt>
                <c:pt idx="194" formatCode="0.00">
                  <c:v>-1.0679510028953815E-2</c:v>
                </c:pt>
                <c:pt idx="196" formatCode="0.00">
                  <c:v>-0.10015218682287769</c:v>
                </c:pt>
                <c:pt idx="198" formatCode="0.00">
                  <c:v>-6.2836858409418064E-2</c:v>
                </c:pt>
                <c:pt idx="200" formatCode="0.00">
                  <c:v>-6.6866453136152262E-2</c:v>
                </c:pt>
                <c:pt idx="202" formatCode="0.00">
                  <c:v>-5.9415478397388574E-2</c:v>
                </c:pt>
                <c:pt idx="204" formatCode="0.00">
                  <c:v>-3.3316891270817953E-2</c:v>
                </c:pt>
                <c:pt idx="206" formatCode="0.00">
                  <c:v>-6.4390400558397884E-2</c:v>
                </c:pt>
                <c:pt idx="208" formatCode="0.00">
                  <c:v>-3.5254086548973502E-3</c:v>
                </c:pt>
                <c:pt idx="210" formatCode="0.00">
                  <c:v>-1.6513926157402267E-2</c:v>
                </c:pt>
                <c:pt idx="212" formatCode="0.00">
                  <c:v>-0.12632832890763682</c:v>
                </c:pt>
                <c:pt idx="214" formatCode="0.00">
                  <c:v>-0.21741765996869467</c:v>
                </c:pt>
                <c:pt idx="216" formatCode="0.00">
                  <c:v>-0.15112086460236174</c:v>
                </c:pt>
                <c:pt idx="218" formatCode="0.00">
                  <c:v>-0.21018429189648599</c:v>
                </c:pt>
                <c:pt idx="220" formatCode="0.00">
                  <c:v>-0.12162549739752275</c:v>
                </c:pt>
                <c:pt idx="222" formatCode="0.00">
                  <c:v>-0.26002428706625635</c:v>
                </c:pt>
                <c:pt idx="224" formatCode="0.00">
                  <c:v>-0.11998941029435654</c:v>
                </c:pt>
                <c:pt idx="226" formatCode="0.00">
                  <c:v>-1.4103545186359603E-2</c:v>
                </c:pt>
                <c:pt idx="228" formatCode="0.00">
                  <c:v>-0.12571446897933886</c:v>
                </c:pt>
                <c:pt idx="230" formatCode="0.00">
                  <c:v>-7.0723711191251898E-2</c:v>
                </c:pt>
                <c:pt idx="232" formatCode="0.00">
                  <c:v>-0.11173740271049858</c:v>
                </c:pt>
                <c:pt idx="234" formatCode="0.00">
                  <c:v>-0.17435575550386112</c:v>
                </c:pt>
                <c:pt idx="236" formatCode="0.00">
                  <c:v>-0.25573163049038727</c:v>
                </c:pt>
                <c:pt idx="238" formatCode="0.00">
                  <c:v>-0.13570917735172788</c:v>
                </c:pt>
                <c:pt idx="240" formatCode="0.00">
                  <c:v>-0.12802922936849193</c:v>
                </c:pt>
                <c:pt idx="242" formatCode="0.00">
                  <c:v>-0.13567423012773172</c:v>
                </c:pt>
                <c:pt idx="244" formatCode="0.00">
                  <c:v>-0.37807976225248124</c:v>
                </c:pt>
                <c:pt idx="246" formatCode="0.00">
                  <c:v>-0.3977072828056179</c:v>
                </c:pt>
                <c:pt idx="248" formatCode="0.00">
                  <c:v>-4.9707177621142622E-2</c:v>
                </c:pt>
                <c:pt idx="250" formatCode="0.00">
                  <c:v>-5.8463487871096113E-2</c:v>
                </c:pt>
                <c:pt idx="252" formatCode="0.00">
                  <c:v>-0.21530283029307667</c:v>
                </c:pt>
                <c:pt idx="254" formatCode="0.00">
                  <c:v>-0.38484057447004455</c:v>
                </c:pt>
                <c:pt idx="256" formatCode="0.00">
                  <c:v>-3.3609155370252476E-2</c:v>
                </c:pt>
                <c:pt idx="258" formatCode="0.00">
                  <c:v>-2.7351483884457073E-2</c:v>
                </c:pt>
                <c:pt idx="260" formatCode="0.00">
                  <c:v>-1.7680539009255279E-2</c:v>
                </c:pt>
                <c:pt idx="262" formatCode="0.00">
                  <c:v>-3.3739237523484067E-2</c:v>
                </c:pt>
                <c:pt idx="264" formatCode="0.00">
                  <c:v>-2.7014341730541673E-2</c:v>
                </c:pt>
                <c:pt idx="266" formatCode="0.00">
                  <c:v>-2.9843925761553459E-2</c:v>
                </c:pt>
                <c:pt idx="268" formatCode="0.00">
                  <c:v>-0.25494616483910487</c:v>
                </c:pt>
                <c:pt idx="270" formatCode="0.00">
                  <c:v>-2.515431825260913E-2</c:v>
                </c:pt>
                <c:pt idx="272" formatCode="0.00">
                  <c:v>-1.6099550602488931E-2</c:v>
                </c:pt>
                <c:pt idx="274" formatCode="0.00">
                  <c:v>-0.13643061076973123</c:v>
                </c:pt>
                <c:pt idx="276" formatCode="0.00">
                  <c:v>-0.12476404999902357</c:v>
                </c:pt>
                <c:pt idx="278" formatCode="0.00">
                  <c:v>-3.5106235397858558E-2</c:v>
                </c:pt>
                <c:pt idx="280" formatCode="0.00">
                  <c:v>-3.9377200187181965E-2</c:v>
                </c:pt>
                <c:pt idx="282" formatCode="0.00">
                  <c:v>-2.9535312735414349E-2</c:v>
                </c:pt>
                <c:pt idx="284" formatCode="0.00">
                  <c:v>-1.3408736112626381E-2</c:v>
                </c:pt>
                <c:pt idx="286" formatCode="0.00">
                  <c:v>-0.10115046335486202</c:v>
                </c:pt>
                <c:pt idx="288" formatCode="0.00">
                  <c:v>-5.5198547833092602E-2</c:v>
                </c:pt>
                <c:pt idx="290" formatCode="0.00">
                  <c:v>-5.743500690022494E-2</c:v>
                </c:pt>
                <c:pt idx="292" formatCode="0.00">
                  <c:v>-0.19913673194180401</c:v>
                </c:pt>
                <c:pt idx="294" formatCode="0.00">
                  <c:v>-0.11669377570214917</c:v>
                </c:pt>
                <c:pt idx="296" formatCode="0.00">
                  <c:v>-5.2778466108937237E-4</c:v>
                </c:pt>
                <c:pt idx="298" formatCode="0.00">
                  <c:v>2.8480854992779629E-3</c:v>
                </c:pt>
                <c:pt idx="300" formatCode="0.00">
                  <c:v>-2.054809097565808E-2</c:v>
                </c:pt>
                <c:pt idx="302" formatCode="0.00">
                  <c:v>-2.7645195459682675E-2</c:v>
                </c:pt>
                <c:pt idx="304" formatCode="0.00">
                  <c:v>-9.5086939803385256E-2</c:v>
                </c:pt>
                <c:pt idx="306" formatCode="0.00">
                  <c:v>-8.3914012528416307E-2</c:v>
                </c:pt>
                <c:pt idx="308" formatCode="0.00">
                  <c:v>-5.5722996349914955E-2</c:v>
                </c:pt>
                <c:pt idx="310" formatCode="0.00">
                  <c:v>-0.4436014153946779</c:v>
                </c:pt>
                <c:pt idx="312" formatCode="0.00">
                  <c:v>-0.23360480330926128</c:v>
                </c:pt>
                <c:pt idx="314" formatCode="0.00">
                  <c:v>-5.9748803239064709E-2</c:v>
                </c:pt>
                <c:pt idx="316" formatCode="0.00">
                  <c:v>-0.10180611561737737</c:v>
                </c:pt>
                <c:pt idx="318" formatCode="0.00">
                  <c:v>-3.0566825183116993E-2</c:v>
                </c:pt>
                <c:pt idx="320" formatCode="0.00">
                  <c:v>-4.1967432260001207E-2</c:v>
                </c:pt>
                <c:pt idx="322" formatCode="0.00">
                  <c:v>-5.5159960492932612E-2</c:v>
                </c:pt>
                <c:pt idx="324" formatCode="0.00">
                  <c:v>-6.6142744251778728E-3</c:v>
                </c:pt>
                <c:pt idx="326" formatCode="0.00">
                  <c:v>-2.8396505986087468E-2</c:v>
                </c:pt>
                <c:pt idx="328" formatCode="0.00">
                  <c:v>1.031189540628568E-2</c:v>
                </c:pt>
                <c:pt idx="330" formatCode="0.00">
                  <c:v>-3.3693994142109641E-2</c:v>
                </c:pt>
                <c:pt idx="332" formatCode="0.00">
                  <c:v>-9.7071033538941989E-2</c:v>
                </c:pt>
                <c:pt idx="334" formatCode="0.00">
                  <c:v>-0.15567545715976089</c:v>
                </c:pt>
                <c:pt idx="336" formatCode="0.00">
                  <c:v>-0.10705750353645044</c:v>
                </c:pt>
                <c:pt idx="338" formatCode="0.00">
                  <c:v>-5.4899457248047401E-2</c:v>
                </c:pt>
                <c:pt idx="340" formatCode="0.00">
                  <c:v>-1.6937645279540448E-2</c:v>
                </c:pt>
                <c:pt idx="342" formatCode="0.00">
                  <c:v>-6.9497098352175088E-2</c:v>
                </c:pt>
                <c:pt idx="344" formatCode="0.00">
                  <c:v>-0.13203417914226587</c:v>
                </c:pt>
                <c:pt idx="346" formatCode="0.00">
                  <c:v>-0.15811696857948115</c:v>
                </c:pt>
                <c:pt idx="348" formatCode="0.00">
                  <c:v>-0.15337101198759301</c:v>
                </c:pt>
                <c:pt idx="350" formatCode="0.00">
                  <c:v>-6.1980810106602814E-2</c:v>
                </c:pt>
                <c:pt idx="352" formatCode="0.00">
                  <c:v>-3.9940156449601992E-2</c:v>
                </c:pt>
                <c:pt idx="354" formatCode="0.00">
                  <c:v>-3.6025596386846631E-2</c:v>
                </c:pt>
                <c:pt idx="356" formatCode="0.00">
                  <c:v>-6.0850286552710138E-3</c:v>
                </c:pt>
                <c:pt idx="358" formatCode="0.00">
                  <c:v>-2.3720604581557066E-2</c:v>
                </c:pt>
                <c:pt idx="360" formatCode="0.00">
                  <c:v>-0.16794010933010456</c:v>
                </c:pt>
                <c:pt idx="362" formatCode="0.00">
                  <c:v>-2.2122079847556309E-2</c:v>
                </c:pt>
                <c:pt idx="364" formatCode="0.00">
                  <c:v>-6.3602407780228104E-2</c:v>
                </c:pt>
                <c:pt idx="366" formatCode="0.00">
                  <c:v>-0.12855663071896861</c:v>
                </c:pt>
                <c:pt idx="368" formatCode="0.00">
                  <c:v>-3.1738159437455275E-2</c:v>
                </c:pt>
                <c:pt idx="370" formatCode="0.00">
                  <c:v>-8.9931235466484474E-3</c:v>
                </c:pt>
                <c:pt idx="372" formatCode="0.00">
                  <c:v>-4.8463934323627805E-2</c:v>
                </c:pt>
                <c:pt idx="374" formatCode="0.00">
                  <c:v>-5.1964405657588801E-2</c:v>
                </c:pt>
                <c:pt idx="376" formatCode="0.00">
                  <c:v>-0.15720750371087649</c:v>
                </c:pt>
                <c:pt idx="378" formatCode="0.00">
                  <c:v>-3.9337551682560964E-2</c:v>
                </c:pt>
                <c:pt idx="380" formatCode="0.00">
                  <c:v>-0.14802152911127761</c:v>
                </c:pt>
                <c:pt idx="382" formatCode="0.00">
                  <c:v>-0.1257962676550925</c:v>
                </c:pt>
                <c:pt idx="384" formatCode="0.00">
                  <c:v>-0.10245942774086458</c:v>
                </c:pt>
                <c:pt idx="386" formatCode="0.00">
                  <c:v>-0.10446228159936932</c:v>
                </c:pt>
                <c:pt idx="388" formatCode="0.00">
                  <c:v>-7.7860164813678023E-2</c:v>
                </c:pt>
                <c:pt idx="390" formatCode="0.00">
                  <c:v>-4.7376859656874416E-2</c:v>
                </c:pt>
                <c:pt idx="392" formatCode="0.00">
                  <c:v>-0.40127212015301539</c:v>
                </c:pt>
                <c:pt idx="394" formatCode="0.00">
                  <c:v>-0.11567753955703121</c:v>
                </c:pt>
                <c:pt idx="396" formatCode="0.00">
                  <c:v>-0.17331820916494636</c:v>
                </c:pt>
                <c:pt idx="398" formatCode="0.00">
                  <c:v>-0.34508941196526083</c:v>
                </c:pt>
                <c:pt idx="400" formatCode="0.00">
                  <c:v>-0.87843214499940236</c:v>
                </c:pt>
                <c:pt idx="402" formatCode="0.00">
                  <c:v>-0.19437002776632611</c:v>
                </c:pt>
                <c:pt idx="404" formatCode="0.00">
                  <c:v>-0.20807610380928487</c:v>
                </c:pt>
                <c:pt idx="406" formatCode="0.00">
                  <c:v>-0.10017691213249223</c:v>
                </c:pt>
                <c:pt idx="408" formatCode="0.00">
                  <c:v>-1.6057300874033925E-2</c:v>
                </c:pt>
                <c:pt idx="410" formatCode="0.00">
                  <c:v>-2.4219616948029557E-2</c:v>
                </c:pt>
                <c:pt idx="412" formatCode="0.00">
                  <c:v>-2.116388690400554E-2</c:v>
                </c:pt>
                <c:pt idx="414" formatCode="0.00">
                  <c:v>-9.410267272012841E-3</c:v>
                </c:pt>
                <c:pt idx="416" formatCode="0.00">
                  <c:v>-0.12376574433129726</c:v>
                </c:pt>
                <c:pt idx="418" formatCode="0.00">
                  <c:v>-0.17739196345789193</c:v>
                </c:pt>
                <c:pt idx="420" formatCode="0.00">
                  <c:v>-5.3164123577759008E-2</c:v>
                </c:pt>
                <c:pt idx="422" formatCode="0.00">
                  <c:v>-3.3498580021113722E-2</c:v>
                </c:pt>
                <c:pt idx="424" formatCode="0.00">
                  <c:v>-5.4788942536359318E-2</c:v>
                </c:pt>
                <c:pt idx="426" formatCode="0.00">
                  <c:v>-7.0763197295137165E-2</c:v>
                </c:pt>
                <c:pt idx="428" formatCode="0.00">
                  <c:v>-0.193578675770681</c:v>
                </c:pt>
                <c:pt idx="430" formatCode="0.00">
                  <c:v>-0.11634709952102547</c:v>
                </c:pt>
                <c:pt idx="432" formatCode="0.00">
                  <c:v>-0.10289085895850124</c:v>
                </c:pt>
                <c:pt idx="434" formatCode="0.00">
                  <c:v>-9.5459256484472982E-2</c:v>
                </c:pt>
                <c:pt idx="436" formatCode="0.00">
                  <c:v>-3.5747405860801697E-2</c:v>
                </c:pt>
                <c:pt idx="438" formatCode="0.00">
                  <c:v>-2.2270177520680771E-2</c:v>
                </c:pt>
                <c:pt idx="440" formatCode="0.00">
                  <c:v>-3.5859183422681816E-2</c:v>
                </c:pt>
                <c:pt idx="442" formatCode="0.00">
                  <c:v>-3.1695277143817535E-2</c:v>
                </c:pt>
                <c:pt idx="444" formatCode="0.00">
                  <c:v>-3.245051501258598E-2</c:v>
                </c:pt>
                <c:pt idx="446" formatCode="0.00">
                  <c:v>-2.0269115675704209E-2</c:v>
                </c:pt>
                <c:pt idx="448" formatCode="0.00">
                  <c:v>-0.41976270112104347</c:v>
                </c:pt>
                <c:pt idx="450" formatCode="0.00">
                  <c:v>-0.28149290710271108</c:v>
                </c:pt>
                <c:pt idx="452" formatCode="0.00">
                  <c:v>-0.36659852691459716</c:v>
                </c:pt>
                <c:pt idx="454" formatCode="0.00">
                  <c:v>-0.19779592563291784</c:v>
                </c:pt>
                <c:pt idx="456" formatCode="0.00">
                  <c:v>-6.812349177381842E-2</c:v>
                </c:pt>
                <c:pt idx="458" formatCode="0.00">
                  <c:v>-0.1593494789550107</c:v>
                </c:pt>
                <c:pt idx="460" formatCode="0.00">
                  <c:v>-0.28550487306301897</c:v>
                </c:pt>
                <c:pt idx="462" formatCode="0.00">
                  <c:v>-0.182793811559819</c:v>
                </c:pt>
                <c:pt idx="464" formatCode="0.00">
                  <c:v>-7.0402760275188284E-2</c:v>
                </c:pt>
                <c:pt idx="466" formatCode="0.00">
                  <c:v>-8.0125213049529343E-3</c:v>
                </c:pt>
                <c:pt idx="468" formatCode="0.00">
                  <c:v>-1.3236682347725693E-2</c:v>
                </c:pt>
                <c:pt idx="470" formatCode="0.00">
                  <c:v>-1.7099796840932026E-2</c:v>
                </c:pt>
                <c:pt idx="472" formatCode="0.00">
                  <c:v>-2.6763552856926078E-2</c:v>
                </c:pt>
                <c:pt idx="474" formatCode="0.00">
                  <c:v>-1.9799636788292896E-3</c:v>
                </c:pt>
                <c:pt idx="476" formatCode="0.00">
                  <c:v>-1.5433919466815139E-3</c:v>
                </c:pt>
                <c:pt idx="478" formatCode="0.00">
                  <c:v>-1.4760147964970787E-2</c:v>
                </c:pt>
                <c:pt idx="480" formatCode="0.00">
                  <c:v>-1.9652187665199831E-2</c:v>
                </c:pt>
                <c:pt idx="482" formatCode="0.00">
                  <c:v>-3.6092156247544707E-2</c:v>
                </c:pt>
                <c:pt idx="484" formatCode="0.00">
                  <c:v>-4.9120702232254843E-2</c:v>
                </c:pt>
                <c:pt idx="486" formatCode="0.00">
                  <c:v>-1.2582240343330695E-2</c:v>
                </c:pt>
                <c:pt idx="488" formatCode="0.00">
                  <c:v>-1.4662416901925495E-2</c:v>
                </c:pt>
                <c:pt idx="490" formatCode="0.00">
                  <c:v>-6.1115221213029116E-3</c:v>
                </c:pt>
                <c:pt idx="492" formatCode="0.00">
                  <c:v>-2.0057967977810107E-2</c:v>
                </c:pt>
                <c:pt idx="494" formatCode="0.00">
                  <c:v>-2.3219369023365778E-2</c:v>
                </c:pt>
                <c:pt idx="496" formatCode="0.00">
                  <c:v>-0.13771605010460941</c:v>
                </c:pt>
                <c:pt idx="498" formatCode="0.00">
                  <c:v>-0.14901517490609484</c:v>
                </c:pt>
                <c:pt idx="500" formatCode="0.00">
                  <c:v>-0.18391190913912323</c:v>
                </c:pt>
                <c:pt idx="502" formatCode="0.00">
                  <c:v>-0.59517119578547173</c:v>
                </c:pt>
                <c:pt idx="504" formatCode="0.00">
                  <c:v>-0.59506142618098612</c:v>
                </c:pt>
                <c:pt idx="506" formatCode="0.00">
                  <c:v>-2.4218402444285553E-3</c:v>
                </c:pt>
                <c:pt idx="508" formatCode="0.00">
                  <c:v>-1.230302890150585E-2</c:v>
                </c:pt>
                <c:pt idx="510" formatCode="0.00">
                  <c:v>-9.4010097333786929E-3</c:v>
                </c:pt>
                <c:pt idx="512" formatCode="0.00">
                  <c:v>-8.3950381219197508E-3</c:v>
                </c:pt>
                <c:pt idx="514" formatCode="0.00">
                  <c:v>-1.0042897286851371</c:v>
                </c:pt>
                <c:pt idx="516" formatCode="0.00">
                  <c:v>-0.30272886338985389</c:v>
                </c:pt>
                <c:pt idx="518" formatCode="0.00">
                  <c:v>-0.1001762268856861</c:v>
                </c:pt>
                <c:pt idx="520" formatCode="0.00">
                  <c:v>-7.6700916801430596E-2</c:v>
                </c:pt>
                <c:pt idx="522" formatCode="0.00">
                  <c:v>-8.6888183909583347E-2</c:v>
                </c:pt>
                <c:pt idx="524" formatCode="0.00">
                  <c:v>-6.2898280047467836E-2</c:v>
                </c:pt>
                <c:pt idx="526" formatCode="0.00">
                  <c:v>-0.11060405425667763</c:v>
                </c:pt>
                <c:pt idx="528" formatCode="0.00">
                  <c:v>-2.0658322225105122E-2</c:v>
                </c:pt>
                <c:pt idx="530" formatCode="0.00">
                  <c:v>-0.21340489568808363</c:v>
                </c:pt>
                <c:pt idx="532" formatCode="0.00">
                  <c:v>-2.0033701517740796E-2</c:v>
                </c:pt>
                <c:pt idx="534" formatCode="0.00">
                  <c:v>-0.17930958726966884</c:v>
                </c:pt>
                <c:pt idx="536" formatCode="0.00">
                  <c:v>-0.10212579563002942</c:v>
                </c:pt>
                <c:pt idx="538" formatCode="0.00">
                  <c:v>-1.0711676187510158E-2</c:v>
                </c:pt>
                <c:pt idx="540" formatCode="0.00">
                  <c:v>-0.10351075710531889</c:v>
                </c:pt>
                <c:pt idx="542" formatCode="0.00">
                  <c:v>-4.5285010307737343E-2</c:v>
                </c:pt>
                <c:pt idx="544" formatCode="0.00">
                  <c:v>-5.7309495367118589E-3</c:v>
                </c:pt>
                <c:pt idx="546" formatCode="0.00">
                  <c:v>-5.5760152791762942E-3</c:v>
                </c:pt>
                <c:pt idx="548" formatCode="0.00">
                  <c:v>-1.5352684727363144E-2</c:v>
                </c:pt>
                <c:pt idx="550" formatCode="0.00">
                  <c:v>-0.12744558128548308</c:v>
                </c:pt>
                <c:pt idx="552" formatCode="0.00">
                  <c:v>-0.16428050018277732</c:v>
                </c:pt>
                <c:pt idx="554" formatCode="0.00">
                  <c:v>-0.11721782357999157</c:v>
                </c:pt>
                <c:pt idx="556" formatCode="0.00">
                  <c:v>-0.1271993749383778</c:v>
                </c:pt>
                <c:pt idx="558" formatCode="0.00">
                  <c:v>-2.9518131890255525E-2</c:v>
                </c:pt>
                <c:pt idx="560" formatCode="0.00">
                  <c:v>-8.9474583952758202E-2</c:v>
                </c:pt>
                <c:pt idx="562" formatCode="0.00">
                  <c:v>-0.10426040817463735</c:v>
                </c:pt>
                <c:pt idx="564" formatCode="0.00">
                  <c:v>-9.9213181364829386E-2</c:v>
                </c:pt>
                <c:pt idx="566" formatCode="0.00">
                  <c:v>-3.668101191133457E-2</c:v>
                </c:pt>
                <c:pt idx="568" formatCode="0.00">
                  <c:v>-2.1432060694601515E-2</c:v>
                </c:pt>
                <c:pt idx="570" formatCode="0.00">
                  <c:v>-8.6201465973200567E-2</c:v>
                </c:pt>
                <c:pt idx="572" formatCode="0.00">
                  <c:v>-0.12642838900926681</c:v>
                </c:pt>
                <c:pt idx="574" formatCode="0.00">
                  <c:v>-0.21474824186994065</c:v>
                </c:pt>
                <c:pt idx="576" formatCode="0.00">
                  <c:v>-0.22561313495541505</c:v>
                </c:pt>
                <c:pt idx="578" formatCode="0.00">
                  <c:v>-3.5834775397589336E-2</c:v>
                </c:pt>
                <c:pt idx="580" formatCode="0.00">
                  <c:v>-2.6354258413484558E-2</c:v>
                </c:pt>
                <c:pt idx="582" formatCode="0.00">
                  <c:v>-7.5328083028667666E-3</c:v>
                </c:pt>
                <c:pt idx="584" formatCode="0.00">
                  <c:v>-0.11801571386628593</c:v>
                </c:pt>
                <c:pt idx="586" formatCode="0.00">
                  <c:v>-3.8483309306141564E-2</c:v>
                </c:pt>
                <c:pt idx="588" formatCode="0.00">
                  <c:v>-2.8316122209775682E-2</c:v>
                </c:pt>
                <c:pt idx="590" formatCode="0.00">
                  <c:v>-2.0089188013380822E-2</c:v>
                </c:pt>
                <c:pt idx="592" formatCode="0.00">
                  <c:v>-1.7590767303121063E-2</c:v>
                </c:pt>
                <c:pt idx="594" formatCode="0.00">
                  <c:v>-2.4593365099385676E-2</c:v>
                </c:pt>
                <c:pt idx="596" formatCode="0.00">
                  <c:v>-7.0286212647664284E-2</c:v>
                </c:pt>
                <c:pt idx="598" formatCode="0.00">
                  <c:v>-2.1197041933143659E-2</c:v>
                </c:pt>
                <c:pt idx="600" formatCode="0.00">
                  <c:v>6.1001670878660236E-3</c:v>
                </c:pt>
                <c:pt idx="602" formatCode="0.00">
                  <c:v>-0.12114824707035662</c:v>
                </c:pt>
                <c:pt idx="604" formatCode="0.00">
                  <c:v>-2.7183433179021613E-2</c:v>
                </c:pt>
                <c:pt idx="606" formatCode="0.00">
                  <c:v>-0.16866132108640955</c:v>
                </c:pt>
                <c:pt idx="608" formatCode="0.00">
                  <c:v>-1.0025145191168542E-2</c:v>
                </c:pt>
                <c:pt idx="610" formatCode="0.00">
                  <c:v>-0.39305204447771663</c:v>
                </c:pt>
                <c:pt idx="612" formatCode="0.00">
                  <c:v>-4.2912645385226955E-3</c:v>
                </c:pt>
                <c:pt idx="614" formatCode="0.00">
                  <c:v>-8.3790614830482613E-3</c:v>
                </c:pt>
                <c:pt idx="616" formatCode="0.00">
                  <c:v>-5.8209117567300031E-2</c:v>
                </c:pt>
                <c:pt idx="618" formatCode="0.00">
                  <c:v>-6.2083523036937302E-2</c:v>
                </c:pt>
                <c:pt idx="620" formatCode="0.00">
                  <c:v>-0.4328308796194435</c:v>
                </c:pt>
                <c:pt idx="622" formatCode="0.00">
                  <c:v>-3.4681778044997398E-2</c:v>
                </c:pt>
                <c:pt idx="624" formatCode="0.00">
                  <c:v>-3.3513376224917048E-2</c:v>
                </c:pt>
                <c:pt idx="626" formatCode="0.00">
                  <c:v>-2.8799291828359688E-2</c:v>
                </c:pt>
                <c:pt idx="628" formatCode="0.00">
                  <c:v>-3.7895681646718304E-2</c:v>
                </c:pt>
                <c:pt idx="630" formatCode="0.00">
                  <c:v>-0.12310422284221159</c:v>
                </c:pt>
                <c:pt idx="632" formatCode="0.00">
                  <c:v>-0.1217517685990107</c:v>
                </c:pt>
                <c:pt idx="634" formatCode="0.00">
                  <c:v>-3.2643197617842429E-2</c:v>
                </c:pt>
                <c:pt idx="636" formatCode="0.00">
                  <c:v>-0.12062843784819145</c:v>
                </c:pt>
                <c:pt idx="638" formatCode="0.00">
                  <c:v>-5.3262785369837355E-2</c:v>
                </c:pt>
                <c:pt idx="640" formatCode="0.00">
                  <c:v>-0.32918904841306779</c:v>
                </c:pt>
                <c:pt idx="642" formatCode="0.00">
                  <c:v>-0.24238493146155224</c:v>
                </c:pt>
                <c:pt idx="644" formatCode="0.00">
                  <c:v>-1.0290427979840413</c:v>
                </c:pt>
                <c:pt idx="646" formatCode="0.00">
                  <c:v>-0.46402196313112604</c:v>
                </c:pt>
                <c:pt idx="648" formatCode="0.00">
                  <c:v>-3.7914969201065102E-2</c:v>
                </c:pt>
                <c:pt idx="650" formatCode="0.00">
                  <c:v>-0.14561903803937642</c:v>
                </c:pt>
                <c:pt idx="652" formatCode="0.00">
                  <c:v>-9.648432894161274E-2</c:v>
                </c:pt>
                <c:pt idx="654" formatCode="0.00">
                  <c:v>-9.5340603509042846E-2</c:v>
                </c:pt>
                <c:pt idx="656" formatCode="0.00">
                  <c:v>-0.28117244260117219</c:v>
                </c:pt>
                <c:pt idx="658" formatCode="0.00">
                  <c:v>-0.11573762504492044</c:v>
                </c:pt>
                <c:pt idx="660" formatCode="0.00">
                  <c:v>-1.9812609586346855E-2</c:v>
                </c:pt>
                <c:pt idx="662" formatCode="0.00">
                  <c:v>-5.2786728159439598E-2</c:v>
                </c:pt>
                <c:pt idx="664" formatCode="0.00">
                  <c:v>-1.3958932447355842E-2</c:v>
                </c:pt>
                <c:pt idx="666" formatCode="0.00">
                  <c:v>-4.1965243581902553E-2</c:v>
                </c:pt>
                <c:pt idx="668" formatCode="0.00">
                  <c:v>-1.2919749232237219E-2</c:v>
                </c:pt>
                <c:pt idx="670" formatCode="0.00">
                  <c:v>-5.1106210175642756E-2</c:v>
                </c:pt>
                <c:pt idx="672" formatCode="0.00">
                  <c:v>-4.0887134782659061E-2</c:v>
                </c:pt>
                <c:pt idx="674" formatCode="0.00">
                  <c:v>-0.12796230932131564</c:v>
                </c:pt>
                <c:pt idx="676" formatCode="0.00">
                  <c:v>-0.10881943188381434</c:v>
                </c:pt>
                <c:pt idx="678" formatCode="0.00">
                  <c:v>-0.41957082991770583</c:v>
                </c:pt>
                <c:pt idx="680" formatCode="0.00">
                  <c:v>-0.19139513571339281</c:v>
                </c:pt>
                <c:pt idx="682" formatCode="0.00">
                  <c:v>2.9727723158478062E-2</c:v>
                </c:pt>
                <c:pt idx="684" formatCode="0.00">
                  <c:v>-0.12179595993905411</c:v>
                </c:pt>
                <c:pt idx="686" formatCode="0.00">
                  <c:v>-0.10246600971556949</c:v>
                </c:pt>
                <c:pt idx="688" formatCode="0.00">
                  <c:v>-0.13558694942411967</c:v>
                </c:pt>
                <c:pt idx="690" formatCode="0.00">
                  <c:v>-0.10416239400418872</c:v>
                </c:pt>
                <c:pt idx="692" formatCode="0.00">
                  <c:v>-7.5031778390993948E-3</c:v>
                </c:pt>
                <c:pt idx="694" formatCode="0.00">
                  <c:v>-0.22062325043804715</c:v>
                </c:pt>
                <c:pt idx="696" formatCode="0.00">
                  <c:v>-0.98537928216199189</c:v>
                </c:pt>
                <c:pt idx="698" formatCode="0.00">
                  <c:v>-0.19471488254221</c:v>
                </c:pt>
                <c:pt idx="700" formatCode="0.00">
                  <c:v>-0.48077626414542657</c:v>
                </c:pt>
                <c:pt idx="702" formatCode="0.00">
                  <c:v>-0.33858002550310967</c:v>
                </c:pt>
                <c:pt idx="704" formatCode="0.00">
                  <c:v>-3.9324370675004439E-2</c:v>
                </c:pt>
                <c:pt idx="706" formatCode="0.00">
                  <c:v>-6.2219086302059662E-2</c:v>
                </c:pt>
                <c:pt idx="708" formatCode="0.00">
                  <c:v>-6.3269973440317914E-2</c:v>
                </c:pt>
                <c:pt idx="710" formatCode="0.00">
                  <c:v>-1.5417705311268558E-2</c:v>
                </c:pt>
              </c:numCache>
            </c:numRef>
          </c:yVal>
          <c:smooth val="0"/>
          <c:extLst>
            <c:ext xmlns:c16="http://schemas.microsoft.com/office/drawing/2014/chart" uri="{C3380CC4-5D6E-409C-BE32-E72D297353CC}">
              <c16:uniqueId val="{00000000-5D47-4B24-B15D-F03F64DC73CE}"/>
            </c:ext>
          </c:extLst>
        </c:ser>
        <c:dLbls>
          <c:showLegendKey val="0"/>
          <c:showVal val="0"/>
          <c:showCatName val="0"/>
          <c:showSerName val="0"/>
          <c:showPercent val="0"/>
          <c:showBubbleSize val="0"/>
        </c:dLbls>
        <c:axId val="1710000639"/>
        <c:axId val="1804425839"/>
      </c:scatterChart>
      <c:valAx>
        <c:axId val="1710000639"/>
        <c:scaling>
          <c:logBase val="10"/>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Delay (in days)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804425839"/>
        <c:crosses val="autoZero"/>
        <c:crossBetween val="midCat"/>
      </c:valAx>
      <c:valAx>
        <c:axId val="1804425839"/>
        <c:scaling>
          <c:orientation val="minMax"/>
          <c:max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Memory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10000639"/>
        <c:crossesAt val="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solidFill>
                  <a:schemeClr val="tx1"/>
                </a:solidFill>
              </a:rPr>
              <a:t>LLM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rgbClr val="0070C0"/>
              </a:solidFill>
              <a:ln w="9525">
                <a:solidFill>
                  <a:srgbClr val="0070C0"/>
                </a:solidFill>
              </a:ln>
              <a:effectLst/>
            </c:spPr>
          </c:marker>
          <c:trendline>
            <c:spPr>
              <a:ln w="19050" cap="rnd">
                <a:solidFill>
                  <a:srgbClr val="FFC000"/>
                </a:solidFill>
                <a:prstDash val="solid"/>
              </a:ln>
              <a:effectLst/>
            </c:spPr>
            <c:trendlineType val="log"/>
            <c:dispRSqr val="0"/>
            <c:dispEq val="0"/>
          </c:trendline>
          <c:xVal>
            <c:numRef>
              <c:f>'LLM Single graph'!$C$3:$C$299</c:f>
              <c:numCache>
                <c:formatCode>0.00</c:formatCode>
                <c:ptCount val="297"/>
                <c:pt idx="0">
                  <c:v>7.6712328767123292E-2</c:v>
                </c:pt>
                <c:pt idx="2">
                  <c:v>7.6712328767123292E-2</c:v>
                </c:pt>
                <c:pt idx="4">
                  <c:v>47.25</c:v>
                </c:pt>
                <c:pt idx="6">
                  <c:v>47.25</c:v>
                </c:pt>
                <c:pt idx="8">
                  <c:v>3</c:v>
                </c:pt>
                <c:pt idx="10">
                  <c:v>2.5372602739726027</c:v>
                </c:pt>
                <c:pt idx="12">
                  <c:v>2.5372602739726027</c:v>
                </c:pt>
                <c:pt idx="14">
                  <c:v>2.5372602739726027</c:v>
                </c:pt>
                <c:pt idx="16">
                  <c:v>2.5372602739726027</c:v>
                </c:pt>
                <c:pt idx="18">
                  <c:v>2.5372602739726027</c:v>
                </c:pt>
                <c:pt idx="20">
                  <c:v>2.5372602739726027</c:v>
                </c:pt>
                <c:pt idx="22">
                  <c:v>2.5372602739726027</c:v>
                </c:pt>
                <c:pt idx="24">
                  <c:v>0.50712328767123283</c:v>
                </c:pt>
                <c:pt idx="26">
                  <c:v>0.50712328767123283</c:v>
                </c:pt>
                <c:pt idx="28">
                  <c:v>0.50712328767123283</c:v>
                </c:pt>
                <c:pt idx="30">
                  <c:v>7.6712328767123292E-2</c:v>
                </c:pt>
                <c:pt idx="32">
                  <c:v>7.6712328767123292E-2</c:v>
                </c:pt>
                <c:pt idx="34">
                  <c:v>3.8356164383561646E-2</c:v>
                </c:pt>
                <c:pt idx="36">
                  <c:v>5</c:v>
                </c:pt>
                <c:pt idx="38">
                  <c:v>19</c:v>
                </c:pt>
                <c:pt idx="40">
                  <c:v>19</c:v>
                </c:pt>
                <c:pt idx="42">
                  <c:v>7.6712328767123292E-2</c:v>
                </c:pt>
                <c:pt idx="44">
                  <c:v>7.6712328767123292E-2</c:v>
                </c:pt>
                <c:pt idx="46">
                  <c:v>7.6712328767123292E-2</c:v>
                </c:pt>
                <c:pt idx="48">
                  <c:v>7.6712328767123292E-2</c:v>
                </c:pt>
                <c:pt idx="50">
                  <c:v>7.9452054794520555E-2</c:v>
                </c:pt>
                <c:pt idx="52">
                  <c:v>7.9452054794520555E-2</c:v>
                </c:pt>
                <c:pt idx="54">
                  <c:v>7.5</c:v>
                </c:pt>
                <c:pt idx="56">
                  <c:v>7.5</c:v>
                </c:pt>
                <c:pt idx="58">
                  <c:v>7.5</c:v>
                </c:pt>
                <c:pt idx="60">
                  <c:v>7.5</c:v>
                </c:pt>
                <c:pt idx="62">
                  <c:v>7.5</c:v>
                </c:pt>
                <c:pt idx="64">
                  <c:v>7.5</c:v>
                </c:pt>
                <c:pt idx="66">
                  <c:v>7.5</c:v>
                </c:pt>
                <c:pt idx="68">
                  <c:v>7.5</c:v>
                </c:pt>
                <c:pt idx="70">
                  <c:v>7.5</c:v>
                </c:pt>
                <c:pt idx="72">
                  <c:v>7.5</c:v>
                </c:pt>
                <c:pt idx="74">
                  <c:v>7.5</c:v>
                </c:pt>
                <c:pt idx="76">
                  <c:v>7.5</c:v>
                </c:pt>
                <c:pt idx="78">
                  <c:v>7.5</c:v>
                </c:pt>
                <c:pt idx="80">
                  <c:v>7.5</c:v>
                </c:pt>
                <c:pt idx="82">
                  <c:v>7.5</c:v>
                </c:pt>
                <c:pt idx="84">
                  <c:v>16</c:v>
                </c:pt>
                <c:pt idx="86">
                  <c:v>16</c:v>
                </c:pt>
                <c:pt idx="88">
                  <c:v>5.7534246575342465E-2</c:v>
                </c:pt>
                <c:pt idx="90">
                  <c:v>5.7534246575342465E-2</c:v>
                </c:pt>
                <c:pt idx="92">
                  <c:v>5.7534246575342465E-2</c:v>
                </c:pt>
                <c:pt idx="94">
                  <c:v>5.7534246575342465E-2</c:v>
                </c:pt>
                <c:pt idx="96">
                  <c:v>3.8356164383561646E-2</c:v>
                </c:pt>
                <c:pt idx="98">
                  <c:v>3.8356164383561646E-2</c:v>
                </c:pt>
                <c:pt idx="100">
                  <c:v>0.23013698630136986</c:v>
                </c:pt>
                <c:pt idx="102">
                  <c:v>0.24657534246575341</c:v>
                </c:pt>
                <c:pt idx="104">
                  <c:v>0.24657534246575341</c:v>
                </c:pt>
                <c:pt idx="106">
                  <c:v>0.16712328767123288</c:v>
                </c:pt>
                <c:pt idx="108">
                  <c:v>0.16712328767123288</c:v>
                </c:pt>
                <c:pt idx="110">
                  <c:v>8.2191780821917804E-2</c:v>
                </c:pt>
                <c:pt idx="112">
                  <c:v>7.6712328767123292E-2</c:v>
                </c:pt>
                <c:pt idx="114">
                  <c:v>7.6712328767123292E-2</c:v>
                </c:pt>
                <c:pt idx="116">
                  <c:v>7.6712328767123292E-2</c:v>
                </c:pt>
                <c:pt idx="118">
                  <c:v>7.6712328767123292E-2</c:v>
                </c:pt>
                <c:pt idx="120">
                  <c:v>8.2191780821917804E-2</c:v>
                </c:pt>
                <c:pt idx="122">
                  <c:v>8.2191780821917804E-2</c:v>
                </c:pt>
                <c:pt idx="124">
                  <c:v>8.2191780821917804E-2</c:v>
                </c:pt>
                <c:pt idx="126">
                  <c:v>8.2191780821917804E-2</c:v>
                </c:pt>
                <c:pt idx="128">
                  <c:v>8.2191780821917804E-2</c:v>
                </c:pt>
                <c:pt idx="130">
                  <c:v>8.2191780821917804E-2</c:v>
                </c:pt>
                <c:pt idx="132">
                  <c:v>0.15342465753424658</c:v>
                </c:pt>
                <c:pt idx="134">
                  <c:v>0.11506849315068493</c:v>
                </c:pt>
                <c:pt idx="136">
                  <c:v>0.11506849315068493</c:v>
                </c:pt>
                <c:pt idx="138">
                  <c:v>9.5890410958904104E-2</c:v>
                </c:pt>
                <c:pt idx="140">
                  <c:v>9.5890410958904104E-2</c:v>
                </c:pt>
                <c:pt idx="142">
                  <c:v>9.5890410958904104E-2</c:v>
                </c:pt>
                <c:pt idx="144">
                  <c:v>0.12601917808219176</c:v>
                </c:pt>
                <c:pt idx="146">
                  <c:v>0.12601917808219176</c:v>
                </c:pt>
                <c:pt idx="148">
                  <c:v>0.12601917808219176</c:v>
                </c:pt>
                <c:pt idx="150">
                  <c:v>0.12601917808219176</c:v>
                </c:pt>
                <c:pt idx="152">
                  <c:v>0.12601917808219176</c:v>
                </c:pt>
                <c:pt idx="154">
                  <c:v>0.12601917808219176</c:v>
                </c:pt>
                <c:pt idx="156">
                  <c:v>0.12601917808219176</c:v>
                </c:pt>
                <c:pt idx="158">
                  <c:v>0.12601917808219176</c:v>
                </c:pt>
                <c:pt idx="160">
                  <c:v>0.12601917808219176</c:v>
                </c:pt>
                <c:pt idx="162">
                  <c:v>8.3333424657534239E-2</c:v>
                </c:pt>
                <c:pt idx="164">
                  <c:v>0.32876712328767121</c:v>
                </c:pt>
                <c:pt idx="166">
                  <c:v>0.32876712328767121</c:v>
                </c:pt>
                <c:pt idx="168">
                  <c:v>0.32876712328767121</c:v>
                </c:pt>
                <c:pt idx="170">
                  <c:v>0.11506849315068493</c:v>
                </c:pt>
                <c:pt idx="172">
                  <c:v>0.11506849315068493</c:v>
                </c:pt>
                <c:pt idx="174">
                  <c:v>5.7534246575342465E-2</c:v>
                </c:pt>
                <c:pt idx="176">
                  <c:v>5.7534246575342465E-2</c:v>
                </c:pt>
                <c:pt idx="178">
                  <c:v>5.7534246575342465E-2</c:v>
                </c:pt>
                <c:pt idx="180">
                  <c:v>5.7534246575342465E-2</c:v>
                </c:pt>
                <c:pt idx="182">
                  <c:v>5.7534246575342465E-2</c:v>
                </c:pt>
                <c:pt idx="184">
                  <c:v>5.7534246575342465E-2</c:v>
                </c:pt>
                <c:pt idx="186">
                  <c:v>1.026027397260274</c:v>
                </c:pt>
                <c:pt idx="188">
                  <c:v>1.026027397260274</c:v>
                </c:pt>
                <c:pt idx="190">
                  <c:v>5.7534246575342465E-2</c:v>
                </c:pt>
                <c:pt idx="192">
                  <c:v>5.7534246575342465E-2</c:v>
                </c:pt>
                <c:pt idx="194">
                  <c:v>5.7534246575342465E-2</c:v>
                </c:pt>
                <c:pt idx="196">
                  <c:v>5.7534246575342465E-2</c:v>
                </c:pt>
                <c:pt idx="198">
                  <c:v>5.7534246575342465E-2</c:v>
                </c:pt>
                <c:pt idx="200">
                  <c:v>5.7534246575342465E-2</c:v>
                </c:pt>
                <c:pt idx="202">
                  <c:v>5.7534246575342465E-2</c:v>
                </c:pt>
                <c:pt idx="204">
                  <c:v>5.7534246575342465E-2</c:v>
                </c:pt>
                <c:pt idx="206">
                  <c:v>5.7534246575342465E-2</c:v>
                </c:pt>
                <c:pt idx="208">
                  <c:v>5.7534246575342465E-2</c:v>
                </c:pt>
                <c:pt idx="210">
                  <c:v>5.7534246575342465E-2</c:v>
                </c:pt>
                <c:pt idx="212">
                  <c:v>5.7534246575342465E-2</c:v>
                </c:pt>
                <c:pt idx="214">
                  <c:v>5.7534246575342465E-2</c:v>
                </c:pt>
                <c:pt idx="216">
                  <c:v>5.7534246575342465E-2</c:v>
                </c:pt>
                <c:pt idx="218">
                  <c:v>0.11506849315068493</c:v>
                </c:pt>
                <c:pt idx="220">
                  <c:v>0.11506849315068493</c:v>
                </c:pt>
                <c:pt idx="222">
                  <c:v>0.23561643835616439</c:v>
                </c:pt>
                <c:pt idx="224">
                  <c:v>0.23561643835616439</c:v>
                </c:pt>
                <c:pt idx="226">
                  <c:v>0.23561643835616439</c:v>
                </c:pt>
                <c:pt idx="228">
                  <c:v>0.23561643835616439</c:v>
                </c:pt>
                <c:pt idx="230">
                  <c:v>0.23561643835616439</c:v>
                </c:pt>
                <c:pt idx="232">
                  <c:v>0.23561643835616439</c:v>
                </c:pt>
                <c:pt idx="234">
                  <c:v>5.7534246575342465E-2</c:v>
                </c:pt>
                <c:pt idx="236">
                  <c:v>5.7534246575342465E-2</c:v>
                </c:pt>
                <c:pt idx="238">
                  <c:v>0.16712328767123288</c:v>
                </c:pt>
                <c:pt idx="240">
                  <c:v>0.16712328767123288</c:v>
                </c:pt>
                <c:pt idx="242">
                  <c:v>9.5890410958904104E-2</c:v>
                </c:pt>
                <c:pt idx="244">
                  <c:v>9.5890410958904104E-2</c:v>
                </c:pt>
                <c:pt idx="246">
                  <c:v>9.5890410958904104E-2</c:v>
                </c:pt>
                <c:pt idx="248">
                  <c:v>0.90410958904109584</c:v>
                </c:pt>
                <c:pt idx="250">
                  <c:v>0.44109589041095892</c:v>
                </c:pt>
                <c:pt idx="252">
                  <c:v>5.7534246575342465E-2</c:v>
                </c:pt>
                <c:pt idx="254">
                  <c:v>5.7534246575342465E-2</c:v>
                </c:pt>
                <c:pt idx="256">
                  <c:v>5.7534246575342465E-2</c:v>
                </c:pt>
                <c:pt idx="258">
                  <c:v>5.7534246575342465E-2</c:v>
                </c:pt>
                <c:pt idx="260">
                  <c:v>0.51780821917808217</c:v>
                </c:pt>
                <c:pt idx="262">
                  <c:v>0.51780821917808217</c:v>
                </c:pt>
                <c:pt idx="264">
                  <c:v>0.15342465753424658</c:v>
                </c:pt>
                <c:pt idx="266">
                  <c:v>0.15342465753424658</c:v>
                </c:pt>
                <c:pt idx="268">
                  <c:v>3.2054794520547945</c:v>
                </c:pt>
                <c:pt idx="270">
                  <c:v>3.2054794520547945</c:v>
                </c:pt>
                <c:pt idx="272">
                  <c:v>3.2054794520547945</c:v>
                </c:pt>
                <c:pt idx="274">
                  <c:v>3.2054794520547945</c:v>
                </c:pt>
                <c:pt idx="276">
                  <c:v>3.2054794520547945</c:v>
                </c:pt>
                <c:pt idx="278">
                  <c:v>0.11506849315068493</c:v>
                </c:pt>
                <c:pt idx="280">
                  <c:v>0.24657534246575341</c:v>
                </c:pt>
                <c:pt idx="282">
                  <c:v>0.24657534246575341</c:v>
                </c:pt>
                <c:pt idx="284">
                  <c:v>0.24931506849315069</c:v>
                </c:pt>
                <c:pt idx="286">
                  <c:v>2.4657534246575343</c:v>
                </c:pt>
                <c:pt idx="288">
                  <c:v>2.4657534246575343</c:v>
                </c:pt>
                <c:pt idx="290">
                  <c:v>15.972602739726028</c:v>
                </c:pt>
                <c:pt idx="292">
                  <c:v>5</c:v>
                </c:pt>
                <c:pt idx="294">
                  <c:v>0.11506849315068493</c:v>
                </c:pt>
                <c:pt idx="296">
                  <c:v>3.8356164383561646E-2</c:v>
                </c:pt>
              </c:numCache>
            </c:numRef>
          </c:xVal>
          <c:yVal>
            <c:numRef>
              <c:f>'LLM Single graph'!$D$3:$D$299</c:f>
              <c:numCache>
                <c:formatCode>General</c:formatCode>
                <c:ptCount val="297"/>
                <c:pt idx="0" formatCode="0.00">
                  <c:v>-9.1845072529178631E-2</c:v>
                </c:pt>
                <c:pt idx="2" formatCode="0.00">
                  <c:v>-6.1582042770250908E-2</c:v>
                </c:pt>
                <c:pt idx="4" formatCode="0.00">
                  <c:v>-0.16166396883374459</c:v>
                </c:pt>
                <c:pt idx="6" formatCode="0.00">
                  <c:v>-0.12214566922916996</c:v>
                </c:pt>
                <c:pt idx="8" formatCode="0.00">
                  <c:v>-0.41421029776418783</c:v>
                </c:pt>
                <c:pt idx="12" formatCode="0.00">
                  <c:v>-0.39308731788945506</c:v>
                </c:pt>
                <c:pt idx="14" formatCode="0.00">
                  <c:v>-0.10955062355742998</c:v>
                </c:pt>
                <c:pt idx="16" formatCode="0.00">
                  <c:v>-2.4988556565272876E-2</c:v>
                </c:pt>
                <c:pt idx="18" formatCode="0.00">
                  <c:v>-0.41544136809419413</c:v>
                </c:pt>
                <c:pt idx="20" formatCode="0.00">
                  <c:v>-0.17084918671938898</c:v>
                </c:pt>
                <c:pt idx="22" formatCode="0.00">
                  <c:v>-0.17899844858944491</c:v>
                </c:pt>
                <c:pt idx="24" formatCode="0.00">
                  <c:v>-2.4885337409498599E-2</c:v>
                </c:pt>
                <c:pt idx="26" formatCode="0.00">
                  <c:v>-0.23299301160884989</c:v>
                </c:pt>
                <c:pt idx="28" formatCode="0.00">
                  <c:v>-2.9353553163112629E-2</c:v>
                </c:pt>
                <c:pt idx="30" formatCode="0.00">
                  <c:v>-5.4609784021250732E-2</c:v>
                </c:pt>
                <c:pt idx="32" formatCode="0.00">
                  <c:v>-4.801418031946577E-2</c:v>
                </c:pt>
                <c:pt idx="34" formatCode="0.00">
                  <c:v>-5.2178222224896535E-2</c:v>
                </c:pt>
                <c:pt idx="36" formatCode="0.00">
                  <c:v>-0.13838251656515202</c:v>
                </c:pt>
                <c:pt idx="38" formatCode="0.00">
                  <c:v>-0.11051762327997081</c:v>
                </c:pt>
                <c:pt idx="40" formatCode="0.00">
                  <c:v>-0.16375524329559488</c:v>
                </c:pt>
                <c:pt idx="42" formatCode="0.00">
                  <c:v>-2.2743344529909733E-2</c:v>
                </c:pt>
                <c:pt idx="44" formatCode="0.00">
                  <c:v>-1.553238468963266E-2</c:v>
                </c:pt>
                <c:pt idx="46" formatCode="0.00">
                  <c:v>-1.8480787588194606E-2</c:v>
                </c:pt>
                <c:pt idx="48" formatCode="0.00">
                  <c:v>-1.0679510028953815E-2</c:v>
                </c:pt>
                <c:pt idx="50" formatCode="0.00">
                  <c:v>-3.3316891270817953E-2</c:v>
                </c:pt>
                <c:pt idx="52" formatCode="0.00">
                  <c:v>-1.6513926157402267E-2</c:v>
                </c:pt>
                <c:pt idx="54" formatCode="0.00">
                  <c:v>-0.12632832890763682</c:v>
                </c:pt>
                <c:pt idx="56" formatCode="0.00">
                  <c:v>-0.21741765996869467</c:v>
                </c:pt>
                <c:pt idx="58" formatCode="0.00">
                  <c:v>-0.15112086460236174</c:v>
                </c:pt>
                <c:pt idx="60" formatCode="0.00">
                  <c:v>-0.21018429189648599</c:v>
                </c:pt>
                <c:pt idx="62" formatCode="0.00">
                  <c:v>-0.12162549739752275</c:v>
                </c:pt>
                <c:pt idx="64" formatCode="0.00">
                  <c:v>-0.26002428706625635</c:v>
                </c:pt>
                <c:pt idx="66" formatCode="0.00">
                  <c:v>-0.11998941029435654</c:v>
                </c:pt>
                <c:pt idx="68" formatCode="0.00">
                  <c:v>-1.4103545186359603E-2</c:v>
                </c:pt>
                <c:pt idx="70" formatCode="0.00">
                  <c:v>-0.12571446897933886</c:v>
                </c:pt>
                <c:pt idx="72" formatCode="0.00">
                  <c:v>-7.0723711191251898E-2</c:v>
                </c:pt>
                <c:pt idx="74" formatCode="0.00">
                  <c:v>-0.11173740271049858</c:v>
                </c:pt>
                <c:pt idx="76" formatCode="0.00">
                  <c:v>-0.17435575550386112</c:v>
                </c:pt>
                <c:pt idx="78" formatCode="0.00">
                  <c:v>-0.25573163049038727</c:v>
                </c:pt>
                <c:pt idx="80" formatCode="0.00">
                  <c:v>-0.13570917735172788</c:v>
                </c:pt>
                <c:pt idx="82" formatCode="0.00">
                  <c:v>-0.12802922936849193</c:v>
                </c:pt>
                <c:pt idx="84" formatCode="0.00">
                  <c:v>-0.37807976225248124</c:v>
                </c:pt>
                <c:pt idx="86" formatCode="0.00">
                  <c:v>-0.3977072828056179</c:v>
                </c:pt>
                <c:pt idx="88" formatCode="0.00">
                  <c:v>-4.9707177621142622E-2</c:v>
                </c:pt>
                <c:pt idx="90" formatCode="0.00">
                  <c:v>-5.8463487871096113E-2</c:v>
                </c:pt>
                <c:pt idx="92" formatCode="0.00">
                  <c:v>-0.21530283029307667</c:v>
                </c:pt>
                <c:pt idx="94" formatCode="0.00">
                  <c:v>-0.38484057447004455</c:v>
                </c:pt>
                <c:pt idx="96" formatCode="0.00">
                  <c:v>-3.3609155370252476E-2</c:v>
                </c:pt>
                <c:pt idx="98" formatCode="0.00">
                  <c:v>-3.3739237523484067E-2</c:v>
                </c:pt>
                <c:pt idx="100" formatCode="0.00">
                  <c:v>-0.25494616483910487</c:v>
                </c:pt>
                <c:pt idx="102" formatCode="0.00">
                  <c:v>-0.13643061076973123</c:v>
                </c:pt>
                <c:pt idx="104" formatCode="0.00">
                  <c:v>-0.12476404999902357</c:v>
                </c:pt>
                <c:pt idx="106" formatCode="0.00">
                  <c:v>-3.5106235397858558E-2</c:v>
                </c:pt>
                <c:pt idx="108" formatCode="0.00">
                  <c:v>-3.9377200187181965E-2</c:v>
                </c:pt>
                <c:pt idx="110" formatCode="0.00">
                  <c:v>-2.9535312735414349E-2</c:v>
                </c:pt>
                <c:pt idx="112" formatCode="0.00">
                  <c:v>-0.23360480330926128</c:v>
                </c:pt>
                <c:pt idx="114" formatCode="0.00">
                  <c:v>-5.9748803239064709E-2</c:v>
                </c:pt>
                <c:pt idx="116" formatCode="0.00">
                  <c:v>-0.10180611561737737</c:v>
                </c:pt>
                <c:pt idx="118" formatCode="0.00">
                  <c:v>-3.0566825183116993E-2</c:v>
                </c:pt>
                <c:pt idx="120" formatCode="0.00">
                  <c:v>-4.1967432260001207E-2</c:v>
                </c:pt>
                <c:pt idx="122" formatCode="0.00">
                  <c:v>-5.5159960492932612E-2</c:v>
                </c:pt>
                <c:pt idx="124" formatCode="0.00">
                  <c:v>-6.6142744251778728E-3</c:v>
                </c:pt>
                <c:pt idx="126" formatCode="0.00">
                  <c:v>-2.8396505986087468E-2</c:v>
                </c:pt>
                <c:pt idx="128" formatCode="0.00">
                  <c:v>1.031189540628568E-2</c:v>
                </c:pt>
                <c:pt idx="130" formatCode="0.00">
                  <c:v>-3.3693994142109641E-2</c:v>
                </c:pt>
                <c:pt idx="132" formatCode="0.00">
                  <c:v>-9.7071033538941989E-2</c:v>
                </c:pt>
                <c:pt idx="134" formatCode="0.00">
                  <c:v>-6.9497098352175088E-2</c:v>
                </c:pt>
                <c:pt idx="136" formatCode="0.00">
                  <c:v>-0.13203417914226587</c:v>
                </c:pt>
                <c:pt idx="138" formatCode="0.00">
                  <c:v>-0.12855663071896861</c:v>
                </c:pt>
                <c:pt idx="140" formatCode="0.00">
                  <c:v>-3.1738159437455275E-2</c:v>
                </c:pt>
                <c:pt idx="142" formatCode="0.00">
                  <c:v>-8.9931235466484474E-3</c:v>
                </c:pt>
                <c:pt idx="144" formatCode="0.00">
                  <c:v>-0.1257962676550925</c:v>
                </c:pt>
                <c:pt idx="146" formatCode="0.00">
                  <c:v>-0.10245942774086458</c:v>
                </c:pt>
                <c:pt idx="148" formatCode="0.00">
                  <c:v>-0.10446228159936932</c:v>
                </c:pt>
                <c:pt idx="150" formatCode="0.00">
                  <c:v>-7.7860164813678023E-2</c:v>
                </c:pt>
                <c:pt idx="152" formatCode="0.00">
                  <c:v>-4.7376859656874416E-2</c:v>
                </c:pt>
                <c:pt idx="154" formatCode="0.00">
                  <c:v>-0.40127212015301539</c:v>
                </c:pt>
                <c:pt idx="156" formatCode="0.00">
                  <c:v>-0.11567753955703121</c:v>
                </c:pt>
                <c:pt idx="158" formatCode="0.00">
                  <c:v>-0.17331820916494636</c:v>
                </c:pt>
                <c:pt idx="160" formatCode="0.00">
                  <c:v>-0.34508941196526083</c:v>
                </c:pt>
                <c:pt idx="162" formatCode="0.00">
                  <c:v>-0.10017691213249223</c:v>
                </c:pt>
                <c:pt idx="164" formatCode="0.00">
                  <c:v>-1.6057300874033925E-2</c:v>
                </c:pt>
                <c:pt idx="166" formatCode="0.00">
                  <c:v>-2.4219616948029557E-2</c:v>
                </c:pt>
                <c:pt idx="168" formatCode="0.00">
                  <c:v>-2.116388690400554E-2</c:v>
                </c:pt>
                <c:pt idx="170" formatCode="0.00">
                  <c:v>-7.0763197295137165E-2</c:v>
                </c:pt>
                <c:pt idx="172" formatCode="0.00">
                  <c:v>-0.193578675770681</c:v>
                </c:pt>
                <c:pt idx="174" formatCode="0.00">
                  <c:v>-3.5747405860801697E-2</c:v>
                </c:pt>
                <c:pt idx="176" formatCode="0.00">
                  <c:v>-2.2270177520680771E-2</c:v>
                </c:pt>
                <c:pt idx="178" formatCode="0.00">
                  <c:v>-3.5859183422681816E-2</c:v>
                </c:pt>
                <c:pt idx="180" formatCode="0.00">
                  <c:v>-3.1695277143817535E-2</c:v>
                </c:pt>
                <c:pt idx="182" formatCode="0.00">
                  <c:v>-3.245051501258598E-2</c:v>
                </c:pt>
                <c:pt idx="184" formatCode="0.00">
                  <c:v>-2.0269115675704209E-2</c:v>
                </c:pt>
                <c:pt idx="186" formatCode="0.00">
                  <c:v>-6.812349177381842E-2</c:v>
                </c:pt>
                <c:pt idx="188" formatCode="0.00">
                  <c:v>-0.1593494789550107</c:v>
                </c:pt>
                <c:pt idx="190" formatCode="0.00">
                  <c:v>-8.0125213049529343E-3</c:v>
                </c:pt>
                <c:pt idx="192" formatCode="0.00">
                  <c:v>-1.3236682347725693E-2</c:v>
                </c:pt>
                <c:pt idx="194" formatCode="0.00">
                  <c:v>-1.7099796840932026E-2</c:v>
                </c:pt>
                <c:pt idx="196" formatCode="0.00">
                  <c:v>-2.6763552856926078E-2</c:v>
                </c:pt>
                <c:pt idx="198" formatCode="0.00">
                  <c:v>-1.9799636788292896E-3</c:v>
                </c:pt>
                <c:pt idx="200" formatCode="0.00">
                  <c:v>-1.5433919466815139E-3</c:v>
                </c:pt>
                <c:pt idx="202" formatCode="0.00">
                  <c:v>-1.4760147964970787E-2</c:v>
                </c:pt>
                <c:pt idx="204" formatCode="0.00">
                  <c:v>-1.9652187665199831E-2</c:v>
                </c:pt>
                <c:pt idx="206" formatCode="0.00">
                  <c:v>-3.6092156247544707E-2</c:v>
                </c:pt>
                <c:pt idx="208" formatCode="0.00">
                  <c:v>-4.9120702232254843E-2</c:v>
                </c:pt>
                <c:pt idx="210" formatCode="0.00">
                  <c:v>-1.2582240343330695E-2</c:v>
                </c:pt>
                <c:pt idx="212" formatCode="0.00">
                  <c:v>-1.4662416901925495E-2</c:v>
                </c:pt>
                <c:pt idx="214" formatCode="0.00">
                  <c:v>-6.1115221213029116E-3</c:v>
                </c:pt>
                <c:pt idx="216" formatCode="0.00">
                  <c:v>-2.0057967977810107E-2</c:v>
                </c:pt>
                <c:pt idx="218" formatCode="0.00">
                  <c:v>-1.230302890150585E-2</c:v>
                </c:pt>
                <c:pt idx="220" formatCode="0.00">
                  <c:v>-8.3950381219197508E-3</c:v>
                </c:pt>
                <c:pt idx="222" formatCode="0.00">
                  <c:v>-0.30272886338985389</c:v>
                </c:pt>
                <c:pt idx="224" formatCode="0.00">
                  <c:v>-0.1001762268856861</c:v>
                </c:pt>
                <c:pt idx="226" formatCode="0.00">
                  <c:v>-7.6700916801430596E-2</c:v>
                </c:pt>
                <c:pt idx="228" formatCode="0.00">
                  <c:v>-8.6888183909583347E-2</c:v>
                </c:pt>
                <c:pt idx="230" formatCode="0.00">
                  <c:v>-6.2898280047467836E-2</c:v>
                </c:pt>
                <c:pt idx="232" formatCode="0.00">
                  <c:v>-0.11060405425667763</c:v>
                </c:pt>
                <c:pt idx="234" formatCode="0.00">
                  <c:v>-8.6201465973200567E-2</c:v>
                </c:pt>
                <c:pt idx="236" formatCode="0.00">
                  <c:v>-0.21474824186994065</c:v>
                </c:pt>
                <c:pt idx="238" formatCode="0.00">
                  <c:v>-0.11801571386628593</c:v>
                </c:pt>
                <c:pt idx="240" formatCode="0.00">
                  <c:v>-3.8483309306141564E-2</c:v>
                </c:pt>
                <c:pt idx="242" formatCode="0.00">
                  <c:v>-2.7183433179021613E-2</c:v>
                </c:pt>
                <c:pt idx="244" formatCode="0.00">
                  <c:v>-0.16866132108640955</c:v>
                </c:pt>
                <c:pt idx="246" formatCode="0.00">
                  <c:v>-1.0025145191168542E-2</c:v>
                </c:pt>
                <c:pt idx="248" formatCode="0.00">
                  <c:v>-0.39305204447771663</c:v>
                </c:pt>
                <c:pt idx="250" formatCode="0.00">
                  <c:v>-5.8209117567300031E-2</c:v>
                </c:pt>
                <c:pt idx="252" formatCode="0.00">
                  <c:v>-6.2083523036937302E-2</c:v>
                </c:pt>
                <c:pt idx="256" formatCode="0.00">
                  <c:v>-3.4681778044997398E-2</c:v>
                </c:pt>
                <c:pt idx="258" formatCode="0.00">
                  <c:v>-3.3513376224917048E-2</c:v>
                </c:pt>
                <c:pt idx="260" formatCode="0.00">
                  <c:v>-2.8799291828359688E-2</c:v>
                </c:pt>
                <c:pt idx="262" formatCode="0.00">
                  <c:v>-3.7895681646718304E-2</c:v>
                </c:pt>
                <c:pt idx="264" formatCode="0.00">
                  <c:v>-3.7914969201065102E-2</c:v>
                </c:pt>
                <c:pt idx="266" formatCode="0.00">
                  <c:v>-0.14561903803937642</c:v>
                </c:pt>
                <c:pt idx="268" formatCode="0.00">
                  <c:v>-0.28117244260117219</c:v>
                </c:pt>
                <c:pt idx="270" formatCode="0.00">
                  <c:v>-0.11573762504492044</c:v>
                </c:pt>
                <c:pt idx="272" formatCode="0.00">
                  <c:v>-1.9812609586346855E-2</c:v>
                </c:pt>
                <c:pt idx="274" formatCode="0.00">
                  <c:v>-5.2786728159439598E-2</c:v>
                </c:pt>
                <c:pt idx="276" formatCode="0.00">
                  <c:v>-1.3958932447355842E-2</c:v>
                </c:pt>
                <c:pt idx="278" formatCode="0.00">
                  <c:v>-4.1965243581902553E-2</c:v>
                </c:pt>
                <c:pt idx="280" formatCode="0.00">
                  <c:v>-1.2919749232237219E-2</c:v>
                </c:pt>
                <c:pt idx="282" formatCode="0.00">
                  <c:v>-5.1106210175642756E-2</c:v>
                </c:pt>
                <c:pt idx="284" formatCode="0.00">
                  <c:v>-4.0887134782659061E-2</c:v>
                </c:pt>
                <c:pt idx="286" formatCode="0.00">
                  <c:v>-0.10246600971556949</c:v>
                </c:pt>
                <c:pt idx="288" formatCode="0.00">
                  <c:v>-0.13558694942411967</c:v>
                </c:pt>
                <c:pt idx="290" formatCode="0.00">
                  <c:v>-0.10416239400418872</c:v>
                </c:pt>
                <c:pt idx="292" formatCode="0.00">
                  <c:v>-0.33858002550310967</c:v>
                </c:pt>
                <c:pt idx="294" formatCode="0.00">
                  <c:v>-6.3269973440317914E-2</c:v>
                </c:pt>
                <c:pt idx="296" formatCode="0.00">
                  <c:v>-1.5417705311268558E-2</c:v>
                </c:pt>
              </c:numCache>
            </c:numRef>
          </c:yVal>
          <c:smooth val="0"/>
          <c:extLst>
            <c:ext xmlns:c16="http://schemas.microsoft.com/office/drawing/2014/chart" uri="{C3380CC4-5D6E-409C-BE32-E72D297353CC}">
              <c16:uniqueId val="{00000000-6505-455F-B17D-529E8745DC6E}"/>
            </c:ext>
          </c:extLst>
        </c:ser>
        <c:dLbls>
          <c:showLegendKey val="0"/>
          <c:showVal val="0"/>
          <c:showCatName val="0"/>
          <c:showSerName val="0"/>
          <c:showPercent val="0"/>
          <c:showBubbleSize val="0"/>
        </c:dLbls>
        <c:axId val="1710000639"/>
        <c:axId val="1804425839"/>
      </c:scatterChart>
      <c:valAx>
        <c:axId val="1710000639"/>
        <c:scaling>
          <c:logBase val="10"/>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Delay (in years)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804425839"/>
        <c:crossesAt val="-1"/>
        <c:crossBetween val="midCat"/>
      </c:valAx>
      <c:valAx>
        <c:axId val="1804425839"/>
        <c:scaling>
          <c:orientation val="minMax"/>
          <c:max val="0"/>
          <c:min val="-1"/>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1200">
                    <a:solidFill>
                      <a:sysClr val="windowText" lastClr="000000"/>
                    </a:solidFill>
                  </a:rPr>
                  <a:t>Exponent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710000639"/>
        <c:crossesAt val="1.0000000000000002E-2"/>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solidFill>
                  <a:schemeClr val="tx1"/>
                </a:solidFill>
              </a:rPr>
              <a:t>LLM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rgbClr val="0070C0"/>
              </a:solidFill>
              <a:ln w="9525">
                <a:solidFill>
                  <a:srgbClr val="0070C0"/>
                </a:solidFill>
              </a:ln>
              <a:effectLst/>
            </c:spPr>
          </c:marker>
          <c:trendline>
            <c:spPr>
              <a:ln w="19050" cap="rnd">
                <a:solidFill>
                  <a:srgbClr val="FFC000"/>
                </a:solidFill>
                <a:prstDash val="solid"/>
              </a:ln>
              <a:effectLst/>
            </c:spPr>
            <c:trendlineType val="log"/>
            <c:dispRSqr val="0"/>
            <c:dispEq val="0"/>
          </c:trendline>
          <c:xVal>
            <c:numRef>
              <c:f>'LLM Multiple graph'!$C$3:$C$415</c:f>
              <c:numCache>
                <c:formatCode>0.00</c:formatCode>
                <c:ptCount val="413"/>
                <c:pt idx="0">
                  <c:v>55</c:v>
                </c:pt>
                <c:pt idx="2">
                  <c:v>45</c:v>
                </c:pt>
                <c:pt idx="4">
                  <c:v>8.4931506849315067E-2</c:v>
                </c:pt>
                <c:pt idx="6">
                  <c:v>8.4931506849315067E-2</c:v>
                </c:pt>
                <c:pt idx="8">
                  <c:v>8.4931506849315067E-2</c:v>
                </c:pt>
                <c:pt idx="10">
                  <c:v>8.4931506849315067E-2</c:v>
                </c:pt>
                <c:pt idx="12">
                  <c:v>48</c:v>
                </c:pt>
                <c:pt idx="14">
                  <c:v>48</c:v>
                </c:pt>
                <c:pt idx="16">
                  <c:v>48</c:v>
                </c:pt>
                <c:pt idx="18">
                  <c:v>48</c:v>
                </c:pt>
                <c:pt idx="20">
                  <c:v>48</c:v>
                </c:pt>
                <c:pt idx="22">
                  <c:v>48</c:v>
                </c:pt>
                <c:pt idx="24">
                  <c:v>46</c:v>
                </c:pt>
                <c:pt idx="26">
                  <c:v>46</c:v>
                </c:pt>
                <c:pt idx="28">
                  <c:v>46</c:v>
                </c:pt>
                <c:pt idx="30">
                  <c:v>46</c:v>
                </c:pt>
                <c:pt idx="32">
                  <c:v>46</c:v>
                </c:pt>
                <c:pt idx="34">
                  <c:v>46</c:v>
                </c:pt>
                <c:pt idx="36">
                  <c:v>46</c:v>
                </c:pt>
                <c:pt idx="38">
                  <c:v>46</c:v>
                </c:pt>
                <c:pt idx="40">
                  <c:v>46</c:v>
                </c:pt>
                <c:pt idx="42">
                  <c:v>50</c:v>
                </c:pt>
                <c:pt idx="44">
                  <c:v>50</c:v>
                </c:pt>
                <c:pt idx="46">
                  <c:v>50</c:v>
                </c:pt>
                <c:pt idx="48">
                  <c:v>50</c:v>
                </c:pt>
                <c:pt idx="50">
                  <c:v>50</c:v>
                </c:pt>
                <c:pt idx="52">
                  <c:v>50</c:v>
                </c:pt>
                <c:pt idx="54">
                  <c:v>35</c:v>
                </c:pt>
                <c:pt idx="56">
                  <c:v>18</c:v>
                </c:pt>
                <c:pt idx="58">
                  <c:v>43</c:v>
                </c:pt>
                <c:pt idx="60">
                  <c:v>43</c:v>
                </c:pt>
                <c:pt idx="62">
                  <c:v>45</c:v>
                </c:pt>
                <c:pt idx="64">
                  <c:v>45</c:v>
                </c:pt>
                <c:pt idx="66">
                  <c:v>45</c:v>
                </c:pt>
                <c:pt idx="68">
                  <c:v>0.15342465753424658</c:v>
                </c:pt>
                <c:pt idx="70">
                  <c:v>7.6712328767123292E-2</c:v>
                </c:pt>
                <c:pt idx="72">
                  <c:v>7.6712328767123292E-2</c:v>
                </c:pt>
                <c:pt idx="74">
                  <c:v>7.6712328767123292E-2</c:v>
                </c:pt>
                <c:pt idx="76">
                  <c:v>7.6712328767123292E-2</c:v>
                </c:pt>
                <c:pt idx="78">
                  <c:v>7.6712328767123292E-2</c:v>
                </c:pt>
                <c:pt idx="80">
                  <c:v>7.6712328767123292E-2</c:v>
                </c:pt>
                <c:pt idx="82">
                  <c:v>7.6712328767123292E-2</c:v>
                </c:pt>
                <c:pt idx="84">
                  <c:v>7.6712328767123292E-2</c:v>
                </c:pt>
                <c:pt idx="86">
                  <c:v>7.6712328767123292E-2</c:v>
                </c:pt>
                <c:pt idx="88">
                  <c:v>5.7534246575342465E-2</c:v>
                </c:pt>
                <c:pt idx="90">
                  <c:v>5.7534246575342465E-2</c:v>
                </c:pt>
                <c:pt idx="92">
                  <c:v>0.11506849315068493</c:v>
                </c:pt>
                <c:pt idx="94">
                  <c:v>0.11506849315068493</c:v>
                </c:pt>
                <c:pt idx="96">
                  <c:v>0.11506849315068493</c:v>
                </c:pt>
                <c:pt idx="98">
                  <c:v>0.11506849315068493</c:v>
                </c:pt>
                <c:pt idx="100">
                  <c:v>0.11506849315068493</c:v>
                </c:pt>
                <c:pt idx="102">
                  <c:v>0.11506849315068493</c:v>
                </c:pt>
                <c:pt idx="104">
                  <c:v>0.95890410958904104</c:v>
                </c:pt>
                <c:pt idx="106">
                  <c:v>0.95890410958904104</c:v>
                </c:pt>
                <c:pt idx="108">
                  <c:v>0.95890410958904104</c:v>
                </c:pt>
                <c:pt idx="110">
                  <c:v>0.95890410958904104</c:v>
                </c:pt>
                <c:pt idx="112">
                  <c:v>0.95890410958904104</c:v>
                </c:pt>
                <c:pt idx="114">
                  <c:v>0.95890410958904104</c:v>
                </c:pt>
                <c:pt idx="116">
                  <c:v>0.95890410958904104</c:v>
                </c:pt>
                <c:pt idx="118">
                  <c:v>0.95890410958904104</c:v>
                </c:pt>
                <c:pt idx="120">
                  <c:v>0.95890410958904104</c:v>
                </c:pt>
                <c:pt idx="122">
                  <c:v>0.95890410958904104</c:v>
                </c:pt>
                <c:pt idx="124">
                  <c:v>3.8356164383561646E-2</c:v>
                </c:pt>
                <c:pt idx="126">
                  <c:v>0.46027397260273972</c:v>
                </c:pt>
                <c:pt idx="128">
                  <c:v>0.46027397260273972</c:v>
                </c:pt>
                <c:pt idx="130">
                  <c:v>45</c:v>
                </c:pt>
                <c:pt idx="132">
                  <c:v>35</c:v>
                </c:pt>
                <c:pt idx="134">
                  <c:v>35</c:v>
                </c:pt>
                <c:pt idx="136">
                  <c:v>45</c:v>
                </c:pt>
                <c:pt idx="138">
                  <c:v>10.493150684931507</c:v>
                </c:pt>
                <c:pt idx="140">
                  <c:v>10.493150684931507</c:v>
                </c:pt>
                <c:pt idx="142">
                  <c:v>10.493150684931507</c:v>
                </c:pt>
                <c:pt idx="144">
                  <c:v>10.493150684931507</c:v>
                </c:pt>
                <c:pt idx="146">
                  <c:v>7.6712328767123292E-2</c:v>
                </c:pt>
                <c:pt idx="148">
                  <c:v>7.6712328767123292E-2</c:v>
                </c:pt>
                <c:pt idx="150">
                  <c:v>7.6712328767123292E-2</c:v>
                </c:pt>
                <c:pt idx="152">
                  <c:v>7.9452054794520555E-2</c:v>
                </c:pt>
                <c:pt idx="154">
                  <c:v>7.9452054794520555E-2</c:v>
                </c:pt>
                <c:pt idx="156">
                  <c:v>7.9452054794520555E-2</c:v>
                </c:pt>
                <c:pt idx="158">
                  <c:v>8.4939726027397272E-2</c:v>
                </c:pt>
                <c:pt idx="160">
                  <c:v>3.8356164383561646E-2</c:v>
                </c:pt>
                <c:pt idx="162">
                  <c:v>3.8356164383561646E-2</c:v>
                </c:pt>
                <c:pt idx="164">
                  <c:v>3.8356164383561646E-2</c:v>
                </c:pt>
                <c:pt idx="166">
                  <c:v>3.8356164383561646E-2</c:v>
                </c:pt>
                <c:pt idx="168">
                  <c:v>0.23013698630136986</c:v>
                </c:pt>
                <c:pt idx="170">
                  <c:v>2.7701674277016742E-2</c:v>
                </c:pt>
                <c:pt idx="172">
                  <c:v>3.5616438356164383E-2</c:v>
                </c:pt>
                <c:pt idx="174">
                  <c:v>1.3150684931506849</c:v>
                </c:pt>
                <c:pt idx="176">
                  <c:v>1.3150684931506849</c:v>
                </c:pt>
                <c:pt idx="178">
                  <c:v>1.3150684931506849</c:v>
                </c:pt>
                <c:pt idx="180">
                  <c:v>1.3150684931506849</c:v>
                </c:pt>
                <c:pt idx="182">
                  <c:v>1.3150684931506849</c:v>
                </c:pt>
                <c:pt idx="184">
                  <c:v>55</c:v>
                </c:pt>
                <c:pt idx="186">
                  <c:v>55</c:v>
                </c:pt>
                <c:pt idx="188">
                  <c:v>9.907</c:v>
                </c:pt>
                <c:pt idx="190">
                  <c:v>60</c:v>
                </c:pt>
                <c:pt idx="192">
                  <c:v>60</c:v>
                </c:pt>
                <c:pt idx="194">
                  <c:v>60</c:v>
                </c:pt>
                <c:pt idx="196">
                  <c:v>20</c:v>
                </c:pt>
                <c:pt idx="198">
                  <c:v>40</c:v>
                </c:pt>
                <c:pt idx="200">
                  <c:v>60</c:v>
                </c:pt>
                <c:pt idx="202">
                  <c:v>60</c:v>
                </c:pt>
                <c:pt idx="204">
                  <c:v>50</c:v>
                </c:pt>
                <c:pt idx="206">
                  <c:v>50</c:v>
                </c:pt>
                <c:pt idx="208">
                  <c:v>45</c:v>
                </c:pt>
                <c:pt idx="210">
                  <c:v>30</c:v>
                </c:pt>
                <c:pt idx="212">
                  <c:v>30</c:v>
                </c:pt>
                <c:pt idx="214">
                  <c:v>50</c:v>
                </c:pt>
                <c:pt idx="216">
                  <c:v>50</c:v>
                </c:pt>
                <c:pt idx="218">
                  <c:v>8.2191780821917804E-2</c:v>
                </c:pt>
                <c:pt idx="220">
                  <c:v>8.2191780821917804E-2</c:v>
                </c:pt>
                <c:pt idx="222">
                  <c:v>8.2191780821917804E-2</c:v>
                </c:pt>
                <c:pt idx="224">
                  <c:v>8.2191780821917804E-2</c:v>
                </c:pt>
                <c:pt idx="226">
                  <c:v>8.2191780821917804E-2</c:v>
                </c:pt>
                <c:pt idx="228">
                  <c:v>50</c:v>
                </c:pt>
                <c:pt idx="230">
                  <c:v>50</c:v>
                </c:pt>
                <c:pt idx="232">
                  <c:v>30</c:v>
                </c:pt>
                <c:pt idx="234">
                  <c:v>30</c:v>
                </c:pt>
                <c:pt idx="236">
                  <c:v>30</c:v>
                </c:pt>
                <c:pt idx="238">
                  <c:v>7.6712328767123292E-2</c:v>
                </c:pt>
                <c:pt idx="240">
                  <c:v>7.6712328767123292E-2</c:v>
                </c:pt>
                <c:pt idx="242">
                  <c:v>7.6712328767123292E-2</c:v>
                </c:pt>
                <c:pt idx="244">
                  <c:v>0.11232876712328767</c:v>
                </c:pt>
                <c:pt idx="246">
                  <c:v>0.11232876712328767</c:v>
                </c:pt>
                <c:pt idx="248">
                  <c:v>0.20547945205479451</c:v>
                </c:pt>
                <c:pt idx="250">
                  <c:v>7.6712328767123292E-2</c:v>
                </c:pt>
                <c:pt idx="252">
                  <c:v>7.6712328767123292E-2</c:v>
                </c:pt>
                <c:pt idx="254">
                  <c:v>7.6712328767123292E-2</c:v>
                </c:pt>
                <c:pt idx="256">
                  <c:v>25</c:v>
                </c:pt>
                <c:pt idx="258">
                  <c:v>50</c:v>
                </c:pt>
                <c:pt idx="260">
                  <c:v>18</c:v>
                </c:pt>
                <c:pt idx="262">
                  <c:v>50</c:v>
                </c:pt>
                <c:pt idx="264">
                  <c:v>50</c:v>
                </c:pt>
                <c:pt idx="266">
                  <c:v>50</c:v>
                </c:pt>
                <c:pt idx="268">
                  <c:v>50</c:v>
                </c:pt>
                <c:pt idx="270">
                  <c:v>45</c:v>
                </c:pt>
                <c:pt idx="272">
                  <c:v>45</c:v>
                </c:pt>
                <c:pt idx="274">
                  <c:v>45</c:v>
                </c:pt>
                <c:pt idx="276">
                  <c:v>8.4931506849315067E-2</c:v>
                </c:pt>
                <c:pt idx="278">
                  <c:v>8.4931506849315067E-2</c:v>
                </c:pt>
                <c:pt idx="280">
                  <c:v>8.4931506849315067E-2</c:v>
                </c:pt>
                <c:pt idx="282">
                  <c:v>8.4931506849315067E-2</c:v>
                </c:pt>
                <c:pt idx="284">
                  <c:v>0.13424657534246576</c:v>
                </c:pt>
                <c:pt idx="286">
                  <c:v>7.6712328767123292E-2</c:v>
                </c:pt>
                <c:pt idx="288">
                  <c:v>0.11506849315068493</c:v>
                </c:pt>
                <c:pt idx="290">
                  <c:v>0.11506849315068493</c:v>
                </c:pt>
                <c:pt idx="292">
                  <c:v>43</c:v>
                </c:pt>
                <c:pt idx="294">
                  <c:v>28</c:v>
                </c:pt>
                <c:pt idx="296">
                  <c:v>45</c:v>
                </c:pt>
                <c:pt idx="298">
                  <c:v>50</c:v>
                </c:pt>
                <c:pt idx="300">
                  <c:v>0.32876712328767121</c:v>
                </c:pt>
                <c:pt idx="302">
                  <c:v>8.2191780821917804E-2</c:v>
                </c:pt>
                <c:pt idx="304">
                  <c:v>3.8356164383561646E-2</c:v>
                </c:pt>
                <c:pt idx="306">
                  <c:v>25</c:v>
                </c:pt>
                <c:pt idx="308">
                  <c:v>25</c:v>
                </c:pt>
                <c:pt idx="310">
                  <c:v>25</c:v>
                </c:pt>
                <c:pt idx="312">
                  <c:v>35</c:v>
                </c:pt>
                <c:pt idx="314">
                  <c:v>35</c:v>
                </c:pt>
                <c:pt idx="316">
                  <c:v>0.17260273972602741</c:v>
                </c:pt>
                <c:pt idx="318">
                  <c:v>0.17260273972602741</c:v>
                </c:pt>
                <c:pt idx="320">
                  <c:v>7.6712328767123292E-2</c:v>
                </c:pt>
                <c:pt idx="322">
                  <c:v>7.6712328767123292E-2</c:v>
                </c:pt>
                <c:pt idx="324">
                  <c:v>7.6712328767123292E-2</c:v>
                </c:pt>
                <c:pt idx="326">
                  <c:v>7.6712328767123292E-2</c:v>
                </c:pt>
                <c:pt idx="328">
                  <c:v>7.6712328767123292E-2</c:v>
                </c:pt>
                <c:pt idx="330">
                  <c:v>7.6712328767123292E-2</c:v>
                </c:pt>
                <c:pt idx="332">
                  <c:v>8.2191780821917804E-2</c:v>
                </c:pt>
                <c:pt idx="334">
                  <c:v>8.2191780821917804E-2</c:v>
                </c:pt>
                <c:pt idx="336">
                  <c:v>5.7534246575342465E-2</c:v>
                </c:pt>
                <c:pt idx="338">
                  <c:v>5.7534246575342465E-2</c:v>
                </c:pt>
                <c:pt idx="340">
                  <c:v>43</c:v>
                </c:pt>
                <c:pt idx="342">
                  <c:v>43</c:v>
                </c:pt>
                <c:pt idx="344">
                  <c:v>40</c:v>
                </c:pt>
                <c:pt idx="346">
                  <c:v>0.21095890410958903</c:v>
                </c:pt>
                <c:pt idx="348">
                  <c:v>0.21095890410958903</c:v>
                </c:pt>
                <c:pt idx="350">
                  <c:v>0.21095890410958903</c:v>
                </c:pt>
                <c:pt idx="352">
                  <c:v>0.21095890410958903</c:v>
                </c:pt>
                <c:pt idx="354">
                  <c:v>0.21095890410958903</c:v>
                </c:pt>
                <c:pt idx="356">
                  <c:v>0.21095890410958903</c:v>
                </c:pt>
                <c:pt idx="358">
                  <c:v>0.21095890410958903</c:v>
                </c:pt>
                <c:pt idx="360">
                  <c:v>0.21095890410958903</c:v>
                </c:pt>
                <c:pt idx="362">
                  <c:v>6.8493150684931503E-2</c:v>
                </c:pt>
                <c:pt idx="364">
                  <c:v>6.8493150684931503E-2</c:v>
                </c:pt>
                <c:pt idx="366">
                  <c:v>15</c:v>
                </c:pt>
                <c:pt idx="368">
                  <c:v>45</c:v>
                </c:pt>
                <c:pt idx="370">
                  <c:v>43</c:v>
                </c:pt>
                <c:pt idx="372">
                  <c:v>16</c:v>
                </c:pt>
                <c:pt idx="374">
                  <c:v>16</c:v>
                </c:pt>
                <c:pt idx="376">
                  <c:v>23</c:v>
                </c:pt>
                <c:pt idx="378">
                  <c:v>23</c:v>
                </c:pt>
                <c:pt idx="380">
                  <c:v>23</c:v>
                </c:pt>
                <c:pt idx="382">
                  <c:v>23</c:v>
                </c:pt>
                <c:pt idx="384">
                  <c:v>7.6712328767123292E-2</c:v>
                </c:pt>
                <c:pt idx="386">
                  <c:v>7.6712328767123292E-2</c:v>
                </c:pt>
                <c:pt idx="388">
                  <c:v>40</c:v>
                </c:pt>
                <c:pt idx="390">
                  <c:v>40</c:v>
                </c:pt>
                <c:pt idx="392">
                  <c:v>40</c:v>
                </c:pt>
                <c:pt idx="394">
                  <c:v>40</c:v>
                </c:pt>
                <c:pt idx="396">
                  <c:v>40</c:v>
                </c:pt>
                <c:pt idx="398">
                  <c:v>40</c:v>
                </c:pt>
                <c:pt idx="400">
                  <c:v>3.8356164383561646E-2</c:v>
                </c:pt>
                <c:pt idx="402">
                  <c:v>55</c:v>
                </c:pt>
                <c:pt idx="404">
                  <c:v>50</c:v>
                </c:pt>
                <c:pt idx="406">
                  <c:v>50</c:v>
                </c:pt>
                <c:pt idx="408">
                  <c:v>50</c:v>
                </c:pt>
                <c:pt idx="410">
                  <c:v>1</c:v>
                </c:pt>
                <c:pt idx="412">
                  <c:v>0.11506849315068493</c:v>
                </c:pt>
              </c:numCache>
            </c:numRef>
          </c:xVal>
          <c:yVal>
            <c:numRef>
              <c:f>'LLM Multiple graph'!$D$3:$D$415</c:f>
              <c:numCache>
                <c:formatCode>General</c:formatCode>
                <c:ptCount val="413"/>
                <c:pt idx="0" formatCode="0.00">
                  <c:v>-2.7360457951633936E-2</c:v>
                </c:pt>
                <c:pt idx="2" formatCode="0.00">
                  <c:v>-2.8936119196109365E-2</c:v>
                </c:pt>
                <c:pt idx="4" formatCode="0.00">
                  <c:v>-0.14879170498863489</c:v>
                </c:pt>
                <c:pt idx="6" formatCode="0.00">
                  <c:v>-0.22017882796682423</c:v>
                </c:pt>
                <c:pt idx="8" formatCode="0.00">
                  <c:v>-0.32864028094881648</c:v>
                </c:pt>
                <c:pt idx="10" formatCode="0.00">
                  <c:v>-0.53809101988255281</c:v>
                </c:pt>
                <c:pt idx="12" formatCode="0.00">
                  <c:v>-0.12391683411031684</c:v>
                </c:pt>
                <c:pt idx="14" formatCode="0.00">
                  <c:v>-3.1298120737212873E-2</c:v>
                </c:pt>
                <c:pt idx="16" formatCode="0.00">
                  <c:v>-8.5133962084087255E-3</c:v>
                </c:pt>
                <c:pt idx="18" formatCode="0.00">
                  <c:v>-2.101185512065248E-2</c:v>
                </c:pt>
                <c:pt idx="20" formatCode="0.00">
                  <c:v>-6.1910155377298333E-2</c:v>
                </c:pt>
                <c:pt idx="22" formatCode="0.00">
                  <c:v>-0.13119101181828052</c:v>
                </c:pt>
                <c:pt idx="24" formatCode="0.00">
                  <c:v>-0.15126571288944954</c:v>
                </c:pt>
                <c:pt idx="26" formatCode="0.00">
                  <c:v>-0.17438629115214344</c:v>
                </c:pt>
                <c:pt idx="28" formatCode="0.00">
                  <c:v>-0.26139512516214641</c:v>
                </c:pt>
                <c:pt idx="30" formatCode="0.00">
                  <c:v>-9.2441845506879464E-2</c:v>
                </c:pt>
                <c:pt idx="32" formatCode="0.00">
                  <c:v>-4.7938234961320811E-2</c:v>
                </c:pt>
                <c:pt idx="34" formatCode="0.00">
                  <c:v>-0.13542522044117383</c:v>
                </c:pt>
                <c:pt idx="36" formatCode="0.00">
                  <c:v>-0.1519162661259072</c:v>
                </c:pt>
                <c:pt idx="38" formatCode="0.00">
                  <c:v>-8.7656895894171291E-2</c:v>
                </c:pt>
                <c:pt idx="40" formatCode="0.00">
                  <c:v>-0.33010491176757845</c:v>
                </c:pt>
                <c:pt idx="42" formatCode="0.00">
                  <c:v>-3.4286545603981373E-2</c:v>
                </c:pt>
                <c:pt idx="44" formatCode="0.00">
                  <c:v>-4.2337376341122862E-2</c:v>
                </c:pt>
                <c:pt idx="46" formatCode="0.00">
                  <c:v>-5.3559106996117975E-2</c:v>
                </c:pt>
                <c:pt idx="48" formatCode="0.00">
                  <c:v>-2.1493974579724399E-2</c:v>
                </c:pt>
                <c:pt idx="50" formatCode="0.00">
                  <c:v>-6.4877870240526714E-2</c:v>
                </c:pt>
                <c:pt idx="52" formatCode="0.00">
                  <c:v>-2.1813466443657538E-2</c:v>
                </c:pt>
                <c:pt idx="54" formatCode="0.00">
                  <c:v>5.9924734840943851E-3</c:v>
                </c:pt>
                <c:pt idx="56" formatCode="0.00">
                  <c:v>-6.8036294754760432E-2</c:v>
                </c:pt>
                <c:pt idx="58" formatCode="0.00">
                  <c:v>-4.1465481467406064E-2</c:v>
                </c:pt>
                <c:pt idx="60" formatCode="0.00">
                  <c:v>-3.7468316457231234E-2</c:v>
                </c:pt>
                <c:pt idx="62" formatCode="0.00">
                  <c:v>-2.2348868169555933E-2</c:v>
                </c:pt>
                <c:pt idx="64" formatCode="0.00">
                  <c:v>-4.2420096194482636E-2</c:v>
                </c:pt>
                <c:pt idx="66" formatCode="0.00">
                  <c:v>-4.0101943635617227E-2</c:v>
                </c:pt>
                <c:pt idx="68" formatCode="0.00">
                  <c:v>-4.5378230455479424E-2</c:v>
                </c:pt>
                <c:pt idx="70" formatCode="0.00">
                  <c:v>-0.32312839514614783</c:v>
                </c:pt>
                <c:pt idx="72" formatCode="0.00">
                  <c:v>-5.1742685667533234E-2</c:v>
                </c:pt>
                <c:pt idx="74" formatCode="0.00">
                  <c:v>-2.837347748746365E-2</c:v>
                </c:pt>
                <c:pt idx="78" formatCode="0.00">
                  <c:v>-4.13109173593613E-2</c:v>
                </c:pt>
                <c:pt idx="80" formatCode="0.00">
                  <c:v>-0.1252567951266868</c:v>
                </c:pt>
                <c:pt idx="82" formatCode="0.00">
                  <c:v>-0.66848613975194271</c:v>
                </c:pt>
                <c:pt idx="84" formatCode="0.00">
                  <c:v>-3.2653784473412759E-2</c:v>
                </c:pt>
                <c:pt idx="86" formatCode="0.00">
                  <c:v>-0.11001941854743814</c:v>
                </c:pt>
                <c:pt idx="88" formatCode="0.00">
                  <c:v>-4.2949077420221644E-2</c:v>
                </c:pt>
                <c:pt idx="90" formatCode="0.00">
                  <c:v>-3.2331142164548875E-2</c:v>
                </c:pt>
                <c:pt idx="92" formatCode="0.00">
                  <c:v>-9.1587453005604905E-2</c:v>
                </c:pt>
                <c:pt idx="94" formatCode="0.00">
                  <c:v>-0.10246268954207854</c:v>
                </c:pt>
                <c:pt idx="96" formatCode="0.00">
                  <c:v>-6.7845954926792254E-2</c:v>
                </c:pt>
                <c:pt idx="98" formatCode="0.00">
                  <c:v>-8.297968446750012E-2</c:v>
                </c:pt>
                <c:pt idx="100" formatCode="0.00">
                  <c:v>-0.11189128699965727</c:v>
                </c:pt>
                <c:pt idx="102" formatCode="0.00">
                  <c:v>-0.12166290531877358</c:v>
                </c:pt>
                <c:pt idx="104" formatCode="0.00">
                  <c:v>-0.52076175220920773</c:v>
                </c:pt>
                <c:pt idx="106" formatCode="0.00">
                  <c:v>-0.5214112085031487</c:v>
                </c:pt>
                <c:pt idx="108" formatCode="0.00">
                  <c:v>-0.46937964364704871</c:v>
                </c:pt>
                <c:pt idx="110" formatCode="0.00">
                  <c:v>-0.3585661426719528</c:v>
                </c:pt>
                <c:pt idx="112" formatCode="0.00">
                  <c:v>-0.45072171241934289</c:v>
                </c:pt>
                <c:pt idx="114" formatCode="0.00">
                  <c:v>-0.21610621913419623</c:v>
                </c:pt>
                <c:pt idx="116" formatCode="0.00">
                  <c:v>-0.19642734384411326</c:v>
                </c:pt>
                <c:pt idx="118" formatCode="0.00">
                  <c:v>-0.14161603336344145</c:v>
                </c:pt>
                <c:pt idx="120" formatCode="0.00">
                  <c:v>-9.134301524438973E-2</c:v>
                </c:pt>
                <c:pt idx="122" formatCode="0.00">
                  <c:v>-0.15656389100607182</c:v>
                </c:pt>
                <c:pt idx="124" formatCode="0.00">
                  <c:v>-0.11253363439233544</c:v>
                </c:pt>
                <c:pt idx="126" formatCode="0.00">
                  <c:v>-0.12863423140777697</c:v>
                </c:pt>
                <c:pt idx="128" formatCode="0.00">
                  <c:v>-0.2416812154323445</c:v>
                </c:pt>
                <c:pt idx="130" formatCode="0.00">
                  <c:v>-2.6747660098469152E-2</c:v>
                </c:pt>
                <c:pt idx="132" formatCode="0.00">
                  <c:v>-9.9130471757127095E-2</c:v>
                </c:pt>
                <c:pt idx="134" formatCode="0.00">
                  <c:v>-1.3160977738390256E-2</c:v>
                </c:pt>
                <c:pt idx="136" formatCode="0.00">
                  <c:v>-0.12458176230171633</c:v>
                </c:pt>
                <c:pt idx="138" formatCode="0.00">
                  <c:v>-6.2716517678125278E-2</c:v>
                </c:pt>
                <c:pt idx="140" formatCode="0.00">
                  <c:v>-5.9485316904957383E-2</c:v>
                </c:pt>
                <c:pt idx="142" formatCode="0.00">
                  <c:v>-0.24881822357505426</c:v>
                </c:pt>
                <c:pt idx="144" formatCode="0.00">
                  <c:v>-0.15770156066902088</c:v>
                </c:pt>
                <c:pt idx="146" formatCode="0.00">
                  <c:v>-0.10015218682287769</c:v>
                </c:pt>
                <c:pt idx="148" formatCode="0.00">
                  <c:v>-6.2836858409418064E-2</c:v>
                </c:pt>
                <c:pt idx="150" formatCode="0.00">
                  <c:v>-6.6866453136152262E-2</c:v>
                </c:pt>
                <c:pt idx="152" formatCode="0.00">
                  <c:v>-5.9415478397388574E-2</c:v>
                </c:pt>
                <c:pt idx="154" formatCode="0.00">
                  <c:v>-6.4390400558397884E-2</c:v>
                </c:pt>
                <c:pt idx="156" formatCode="0.00">
                  <c:v>-3.5254086548973502E-3</c:v>
                </c:pt>
                <c:pt idx="158" formatCode="0.00">
                  <c:v>-0.13567423012773172</c:v>
                </c:pt>
                <c:pt idx="160" formatCode="0.00">
                  <c:v>-2.7351483884457073E-2</c:v>
                </c:pt>
                <c:pt idx="162" formatCode="0.00">
                  <c:v>-1.7680539009255279E-2</c:v>
                </c:pt>
                <c:pt idx="164" formatCode="0.00">
                  <c:v>-2.7014341730541673E-2</c:v>
                </c:pt>
                <c:pt idx="166" formatCode="0.00">
                  <c:v>-2.9843925761553459E-2</c:v>
                </c:pt>
                <c:pt idx="168" formatCode="0.00">
                  <c:v>-2.515431825260913E-2</c:v>
                </c:pt>
                <c:pt idx="170" formatCode="0.00">
                  <c:v>-1.6099550602488931E-2</c:v>
                </c:pt>
                <c:pt idx="172" formatCode="0.00">
                  <c:v>-1.3408736112626381E-2</c:v>
                </c:pt>
                <c:pt idx="174" formatCode="0.00">
                  <c:v>-0.10115046335486202</c:v>
                </c:pt>
                <c:pt idx="176" formatCode="0.00">
                  <c:v>-5.5198547833092602E-2</c:v>
                </c:pt>
                <c:pt idx="178" formatCode="0.00">
                  <c:v>-5.743500690022494E-2</c:v>
                </c:pt>
                <c:pt idx="180" formatCode="0.00">
                  <c:v>-0.19913673194180401</c:v>
                </c:pt>
                <c:pt idx="182" formatCode="0.00">
                  <c:v>-0.11669377570214917</c:v>
                </c:pt>
                <c:pt idx="184" formatCode="0.00">
                  <c:v>-5.2778466108937237E-4</c:v>
                </c:pt>
                <c:pt idx="186" formatCode="0.00">
                  <c:v>2.8480854992779629E-3</c:v>
                </c:pt>
                <c:pt idx="188" formatCode="0.00">
                  <c:v>-2.054809097565808E-2</c:v>
                </c:pt>
                <c:pt idx="190" formatCode="0.00">
                  <c:v>-2.7645195459682675E-2</c:v>
                </c:pt>
                <c:pt idx="192" formatCode="0.00">
                  <c:v>-9.5086939803385256E-2</c:v>
                </c:pt>
                <c:pt idx="194" formatCode="0.00">
                  <c:v>-8.3914012528416307E-2</c:v>
                </c:pt>
                <c:pt idx="196" formatCode="0.00">
                  <c:v>-5.5722996349914955E-2</c:v>
                </c:pt>
                <c:pt idx="198" formatCode="0.00">
                  <c:v>-0.4436014153946779</c:v>
                </c:pt>
                <c:pt idx="200" formatCode="0.00">
                  <c:v>-0.15567545715976089</c:v>
                </c:pt>
                <c:pt idx="202" formatCode="0.00">
                  <c:v>-0.10705750353645044</c:v>
                </c:pt>
                <c:pt idx="204" formatCode="0.00">
                  <c:v>-5.4899457248047401E-2</c:v>
                </c:pt>
                <c:pt idx="206" formatCode="0.00">
                  <c:v>-1.6937645279540448E-2</c:v>
                </c:pt>
                <c:pt idx="208" formatCode="0.00">
                  <c:v>-0.15811696857948115</c:v>
                </c:pt>
                <c:pt idx="210" formatCode="0.00">
                  <c:v>-0.15337101198759301</c:v>
                </c:pt>
                <c:pt idx="212" formatCode="0.00">
                  <c:v>-6.1980810106602814E-2</c:v>
                </c:pt>
                <c:pt idx="214" formatCode="0.00">
                  <c:v>-3.9940156449601992E-2</c:v>
                </c:pt>
                <c:pt idx="216" formatCode="0.00">
                  <c:v>-3.6025596386846631E-2</c:v>
                </c:pt>
                <c:pt idx="218" formatCode="0.00">
                  <c:v>-6.0850286552710138E-3</c:v>
                </c:pt>
                <c:pt idx="220" formatCode="0.00">
                  <c:v>-2.3720604581557066E-2</c:v>
                </c:pt>
                <c:pt idx="222" formatCode="0.00">
                  <c:v>-0.16794010933010456</c:v>
                </c:pt>
                <c:pt idx="224" formatCode="0.00">
                  <c:v>-2.2122079847556309E-2</c:v>
                </c:pt>
                <c:pt idx="226" formatCode="0.00">
                  <c:v>-6.3602407780228104E-2</c:v>
                </c:pt>
                <c:pt idx="228" formatCode="0.00">
                  <c:v>-4.8463934323627805E-2</c:v>
                </c:pt>
                <c:pt idx="230" formatCode="0.00">
                  <c:v>-5.1964405657588801E-2</c:v>
                </c:pt>
                <c:pt idx="232" formatCode="0.00">
                  <c:v>-0.15720750371087649</c:v>
                </c:pt>
                <c:pt idx="234" formatCode="0.00">
                  <c:v>-3.9337551682560964E-2</c:v>
                </c:pt>
                <c:pt idx="236" formatCode="0.00">
                  <c:v>-0.14802152911127761</c:v>
                </c:pt>
                <c:pt idx="240" formatCode="0.00">
                  <c:v>-0.19437002776632611</c:v>
                </c:pt>
                <c:pt idx="242" formatCode="0.00">
                  <c:v>-0.20807610380928487</c:v>
                </c:pt>
                <c:pt idx="244" formatCode="0.00">
                  <c:v>-9.410267272012841E-3</c:v>
                </c:pt>
                <c:pt idx="246" formatCode="0.00">
                  <c:v>-0.12376574433129726</c:v>
                </c:pt>
                <c:pt idx="248" formatCode="0.00">
                  <c:v>-0.17739196345789193</c:v>
                </c:pt>
                <c:pt idx="250" formatCode="0.00">
                  <c:v>-5.3164123577759008E-2</c:v>
                </c:pt>
                <c:pt idx="252" formatCode="0.00">
                  <c:v>-3.3498580021113722E-2</c:v>
                </c:pt>
                <c:pt idx="254" formatCode="0.00">
                  <c:v>-5.4788942536359318E-2</c:v>
                </c:pt>
                <c:pt idx="256" formatCode="0.00">
                  <c:v>-0.11634709952102547</c:v>
                </c:pt>
                <c:pt idx="258" formatCode="0.00">
                  <c:v>-0.10289085895850124</c:v>
                </c:pt>
                <c:pt idx="260" formatCode="0.00">
                  <c:v>-9.5459256484472982E-2</c:v>
                </c:pt>
                <c:pt idx="262" formatCode="0.00">
                  <c:v>-0.41976270112104347</c:v>
                </c:pt>
                <c:pt idx="264" formatCode="0.00">
                  <c:v>-0.28149290710271108</c:v>
                </c:pt>
                <c:pt idx="266" formatCode="0.00">
                  <c:v>-0.36659852691459716</c:v>
                </c:pt>
                <c:pt idx="268" formatCode="0.00">
                  <c:v>-0.19779592563291784</c:v>
                </c:pt>
                <c:pt idx="270" formatCode="0.00">
                  <c:v>-0.28550487306301897</c:v>
                </c:pt>
                <c:pt idx="272" formatCode="0.00">
                  <c:v>-0.182793811559819</c:v>
                </c:pt>
                <c:pt idx="274" formatCode="0.00">
                  <c:v>-7.0402760275188284E-2</c:v>
                </c:pt>
                <c:pt idx="276" formatCode="0.00">
                  <c:v>-0.13771605010460941</c:v>
                </c:pt>
                <c:pt idx="278" formatCode="0.00">
                  <c:v>-0.14901517490609484</c:v>
                </c:pt>
                <c:pt idx="280" formatCode="0.00">
                  <c:v>-0.14901517490609484</c:v>
                </c:pt>
                <c:pt idx="282" formatCode="0.00">
                  <c:v>-0.18391190913912323</c:v>
                </c:pt>
                <c:pt idx="284" formatCode="0.00">
                  <c:v>-0.59517119578547173</c:v>
                </c:pt>
                <c:pt idx="286" formatCode="0.00">
                  <c:v>-0.59506142618098612</c:v>
                </c:pt>
                <c:pt idx="288" formatCode="0.00">
                  <c:v>-2.4218402444285553E-3</c:v>
                </c:pt>
                <c:pt idx="290" formatCode="0.00">
                  <c:v>-9.4010097333786929E-3</c:v>
                </c:pt>
                <c:pt idx="294" formatCode="0.00">
                  <c:v>-2.0658322225105122E-2</c:v>
                </c:pt>
                <c:pt idx="296" formatCode="0.00">
                  <c:v>-0.21340489568808363</c:v>
                </c:pt>
                <c:pt idx="298" formatCode="0.00">
                  <c:v>-2.0033701517740796E-2</c:v>
                </c:pt>
                <c:pt idx="300" formatCode="0.00">
                  <c:v>-0.17930958726966884</c:v>
                </c:pt>
                <c:pt idx="302" formatCode="0.00">
                  <c:v>-0.10212579563002942</c:v>
                </c:pt>
                <c:pt idx="304" formatCode="0.00">
                  <c:v>-1.0711676187510158E-2</c:v>
                </c:pt>
                <c:pt idx="306" formatCode="0.00">
                  <c:v>-0.10351075710531889</c:v>
                </c:pt>
                <c:pt idx="308" formatCode="0.00">
                  <c:v>-4.5285010307737343E-2</c:v>
                </c:pt>
                <c:pt idx="310" formatCode="0.00">
                  <c:v>-5.7309495367118589E-3</c:v>
                </c:pt>
                <c:pt idx="312" formatCode="0.00">
                  <c:v>-5.5760152791762942E-3</c:v>
                </c:pt>
                <c:pt idx="314" formatCode="0.00">
                  <c:v>-1.5352684727363144E-2</c:v>
                </c:pt>
                <c:pt idx="316" formatCode="0.00">
                  <c:v>-0.12744558128548308</c:v>
                </c:pt>
                <c:pt idx="318" formatCode="0.00">
                  <c:v>-0.16428050018277732</c:v>
                </c:pt>
                <c:pt idx="320" formatCode="0.00">
                  <c:v>-0.11721782357999157</c:v>
                </c:pt>
                <c:pt idx="322" formatCode="0.00">
                  <c:v>-0.1271993749383778</c:v>
                </c:pt>
                <c:pt idx="324" formatCode="0.00">
                  <c:v>-2.9518131890255525E-2</c:v>
                </c:pt>
                <c:pt idx="326" formatCode="0.00">
                  <c:v>-8.9474583952758202E-2</c:v>
                </c:pt>
                <c:pt idx="328" formatCode="0.00">
                  <c:v>-0.10426040817463735</c:v>
                </c:pt>
                <c:pt idx="330" formatCode="0.00">
                  <c:v>-9.9213181364829386E-2</c:v>
                </c:pt>
                <c:pt idx="332" formatCode="0.00">
                  <c:v>-3.668101191133457E-2</c:v>
                </c:pt>
                <c:pt idx="334" formatCode="0.00">
                  <c:v>-2.1432060694601515E-2</c:v>
                </c:pt>
                <c:pt idx="336" formatCode="0.00">
                  <c:v>-0.12642838900926681</c:v>
                </c:pt>
                <c:pt idx="338" formatCode="0.00">
                  <c:v>-0.22561313495541505</c:v>
                </c:pt>
                <c:pt idx="340" formatCode="0.00">
                  <c:v>-3.5834775397589336E-2</c:v>
                </c:pt>
                <c:pt idx="342" formatCode="0.00">
                  <c:v>-2.6354258413484558E-2</c:v>
                </c:pt>
                <c:pt idx="344" formatCode="0.00">
                  <c:v>-7.5328083028667666E-3</c:v>
                </c:pt>
                <c:pt idx="346" formatCode="0.00">
                  <c:v>-2.8316122209775682E-2</c:v>
                </c:pt>
                <c:pt idx="348" formatCode="0.00">
                  <c:v>-2.0089188013380822E-2</c:v>
                </c:pt>
                <c:pt idx="350" formatCode="0.00">
                  <c:v>-1.7590767303121063E-2</c:v>
                </c:pt>
                <c:pt idx="352" formatCode="0.00">
                  <c:v>-2.4593365099385676E-2</c:v>
                </c:pt>
                <c:pt idx="354" formatCode="0.00">
                  <c:v>-7.0286212647664284E-2</c:v>
                </c:pt>
                <c:pt idx="356" formatCode="0.00">
                  <c:v>-2.1197041933143659E-2</c:v>
                </c:pt>
                <c:pt idx="358" formatCode="0.00">
                  <c:v>6.1001670878660236E-3</c:v>
                </c:pt>
                <c:pt idx="360" formatCode="0.00">
                  <c:v>-0.12114824707035662</c:v>
                </c:pt>
                <c:pt idx="362" formatCode="0.00">
                  <c:v>-4.2912645385226955E-3</c:v>
                </c:pt>
                <c:pt idx="364" formatCode="0.00">
                  <c:v>-8.3790614830482613E-3</c:v>
                </c:pt>
                <c:pt idx="366" formatCode="0.00">
                  <c:v>-0.12310422284221159</c:v>
                </c:pt>
                <c:pt idx="368" formatCode="0.00">
                  <c:v>-0.1217517685990107</c:v>
                </c:pt>
                <c:pt idx="370" formatCode="0.00">
                  <c:v>-3.2643197617842429E-2</c:v>
                </c:pt>
                <c:pt idx="372" formatCode="0.00">
                  <c:v>-0.12062843784819145</c:v>
                </c:pt>
                <c:pt idx="374" formatCode="0.00">
                  <c:v>-5.3262785369837355E-2</c:v>
                </c:pt>
                <c:pt idx="376" formatCode="0.00">
                  <c:v>-0.32918904841306779</c:v>
                </c:pt>
                <c:pt idx="378" formatCode="0.00">
                  <c:v>-0.24238493146155224</c:v>
                </c:pt>
                <c:pt idx="382" formatCode="0.00">
                  <c:v>-0.46402196313112604</c:v>
                </c:pt>
                <c:pt idx="384" formatCode="0.00">
                  <c:v>-9.648432894161274E-2</c:v>
                </c:pt>
                <c:pt idx="386" formatCode="0.00">
                  <c:v>-9.5340603509042846E-2</c:v>
                </c:pt>
                <c:pt idx="388" formatCode="0.00">
                  <c:v>-0.12796230932131564</c:v>
                </c:pt>
                <c:pt idx="390" formatCode="0.00">
                  <c:v>-0.10881943188381434</c:v>
                </c:pt>
                <c:pt idx="392" formatCode="0.00">
                  <c:v>-0.41957082991770583</c:v>
                </c:pt>
                <c:pt idx="394" formatCode="0.00">
                  <c:v>-0.19139513571339281</c:v>
                </c:pt>
                <c:pt idx="396" formatCode="0.00">
                  <c:v>2.9727723158478062E-2</c:v>
                </c:pt>
                <c:pt idx="398" formatCode="0.00">
                  <c:v>-0.12179595993905411</c:v>
                </c:pt>
                <c:pt idx="400" formatCode="0.00">
                  <c:v>-7.5031778390993948E-3</c:v>
                </c:pt>
                <c:pt idx="402" formatCode="0.00">
                  <c:v>-0.22062325043804715</c:v>
                </c:pt>
                <c:pt idx="406" formatCode="0.00">
                  <c:v>-0.19471488254221</c:v>
                </c:pt>
                <c:pt idx="408" formatCode="0.00">
                  <c:v>-0.48077626414542657</c:v>
                </c:pt>
                <c:pt idx="410" formatCode="0.00">
                  <c:v>-3.9324370675004439E-2</c:v>
                </c:pt>
                <c:pt idx="412" formatCode="0.00">
                  <c:v>-6.2219086302059662E-2</c:v>
                </c:pt>
              </c:numCache>
            </c:numRef>
          </c:yVal>
          <c:smooth val="0"/>
          <c:extLst>
            <c:ext xmlns:c16="http://schemas.microsoft.com/office/drawing/2014/chart" uri="{C3380CC4-5D6E-409C-BE32-E72D297353CC}">
              <c16:uniqueId val="{00000000-632A-403A-B375-55A9855585BC}"/>
            </c:ext>
          </c:extLst>
        </c:ser>
        <c:dLbls>
          <c:showLegendKey val="0"/>
          <c:showVal val="0"/>
          <c:showCatName val="0"/>
          <c:showSerName val="0"/>
          <c:showPercent val="0"/>
          <c:showBubbleSize val="0"/>
        </c:dLbls>
        <c:axId val="1710000639"/>
        <c:axId val="1804425839"/>
      </c:scatterChart>
      <c:valAx>
        <c:axId val="1710000639"/>
        <c:scaling>
          <c:logBase val="10"/>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Delay (in days)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804425839"/>
        <c:crossesAt val="-1"/>
        <c:crossBetween val="midCat"/>
      </c:valAx>
      <c:valAx>
        <c:axId val="1804425839"/>
        <c:scaling>
          <c:orientation val="minMax"/>
          <c:max val="0"/>
          <c:min val="-1"/>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Exponent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710000639"/>
        <c:crossesAt val="1.0000000000000002E-2"/>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Bars!$B$1</c:f>
              <c:strCache>
                <c:ptCount val="1"/>
                <c:pt idx="0">
                  <c:v>Mean</c:v>
                </c:pt>
              </c:strCache>
            </c:strRef>
          </c:tx>
          <c:spPr>
            <a:solidFill>
              <a:srgbClr val="0070C0"/>
            </a:solidFill>
            <a:ln>
              <a:noFill/>
            </a:ln>
            <a:effectLst/>
          </c:spPr>
          <c:invertIfNegative val="0"/>
          <c:errBars>
            <c:errBarType val="both"/>
            <c:errValType val="cust"/>
            <c:noEndCap val="0"/>
            <c:plus>
              <c:numRef>
                <c:f>Bars!$C$2:$C$5</c:f>
                <c:numCache>
                  <c:formatCode>General</c:formatCode>
                  <c:ptCount val="4"/>
                  <c:pt idx="0">
                    <c:v>2.688693034811428E-2</c:v>
                  </c:pt>
                  <c:pt idx="1">
                    <c:v>2.4694791051464545E-2</c:v>
                  </c:pt>
                  <c:pt idx="2">
                    <c:v>5.7814058438888771E-3</c:v>
                  </c:pt>
                  <c:pt idx="3">
                    <c:v>8.2010643957730681E-3</c:v>
                  </c:pt>
                </c:numCache>
              </c:numRef>
            </c:plus>
            <c:minus>
              <c:numRef>
                <c:f>Bars!$C$2:$C$5</c:f>
                <c:numCache>
                  <c:formatCode>General</c:formatCode>
                  <c:ptCount val="4"/>
                  <c:pt idx="0">
                    <c:v>2.688693034811428E-2</c:v>
                  </c:pt>
                  <c:pt idx="1">
                    <c:v>2.4694791051464545E-2</c:v>
                  </c:pt>
                  <c:pt idx="2">
                    <c:v>5.7814058438888771E-3</c:v>
                  </c:pt>
                  <c:pt idx="3">
                    <c:v>8.2010643957730681E-3</c:v>
                  </c:pt>
                </c:numCache>
              </c:numRef>
            </c:minus>
            <c:spPr>
              <a:noFill/>
              <a:ln w="9525" cap="flat" cmpd="sng" algn="ctr">
                <a:solidFill>
                  <a:schemeClr val="tx1">
                    <a:lumMod val="65000"/>
                    <a:lumOff val="35000"/>
                  </a:schemeClr>
                </a:solidFill>
                <a:round/>
              </a:ln>
              <a:effectLst/>
            </c:spPr>
          </c:errBars>
          <c:cat>
            <c:strRef>
              <c:f>Bars!$A$2:$A$5</c:f>
              <c:strCache>
                <c:ptCount val="4"/>
                <c:pt idx="0">
                  <c:v>WM</c:v>
                </c:pt>
                <c:pt idx="1">
                  <c:v>ELTM</c:v>
                </c:pt>
                <c:pt idx="2">
                  <c:v>TLTM</c:v>
                </c:pt>
                <c:pt idx="3">
                  <c:v>LLM</c:v>
                </c:pt>
              </c:strCache>
            </c:strRef>
          </c:cat>
          <c:val>
            <c:numRef>
              <c:f>Bars!$B$2:$B$5</c:f>
              <c:numCache>
                <c:formatCode>0.00</c:formatCode>
                <c:ptCount val="4"/>
                <c:pt idx="0">
                  <c:v>-0.16586695976753829</c:v>
                </c:pt>
                <c:pt idx="1">
                  <c:v>-0.1873177732850814</c:v>
                </c:pt>
                <c:pt idx="2">
                  <c:v>-6.899983852759721E-2</c:v>
                </c:pt>
                <c:pt idx="3">
                  <c:v>-0.12486859577214428</c:v>
                </c:pt>
              </c:numCache>
            </c:numRef>
          </c:val>
          <c:extLst>
            <c:ext xmlns:c16="http://schemas.microsoft.com/office/drawing/2014/chart" uri="{C3380CC4-5D6E-409C-BE32-E72D297353CC}">
              <c16:uniqueId val="{00000000-FA78-4A99-9CCE-35592380EA53}"/>
            </c:ext>
          </c:extLst>
        </c:ser>
        <c:dLbls>
          <c:showLegendKey val="0"/>
          <c:showVal val="0"/>
          <c:showCatName val="0"/>
          <c:showSerName val="0"/>
          <c:showPercent val="0"/>
          <c:showBubbleSize val="0"/>
        </c:dLbls>
        <c:gapWidth val="100"/>
        <c:overlap val="-27"/>
        <c:axId val="277428783"/>
        <c:axId val="68418287"/>
      </c:barChart>
      <c:catAx>
        <c:axId val="27742878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Phase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68418287"/>
        <c:crossesAt val="0"/>
        <c:auto val="1"/>
        <c:lblAlgn val="ctr"/>
        <c:lblOffset val="100"/>
        <c:noMultiLvlLbl val="0"/>
      </c:catAx>
      <c:valAx>
        <c:axId val="68418287"/>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Exponent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in"/>
        <c:minorTickMark val="none"/>
        <c:tickLblPos val="low"/>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74287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solidFill>
                  <a:schemeClr val="tx1"/>
                </a:solidFill>
              </a:rPr>
              <a:t>Single Exposure</a:t>
            </a:r>
            <a:r>
              <a:rPr lang="en-US" sz="1200" baseline="0">
                <a:solidFill>
                  <a:schemeClr val="tx1"/>
                </a:solidFill>
              </a:rPr>
              <a:t> Studies</a:t>
            </a:r>
            <a:endParaRPr lang="en-US" sz="1200">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'Bars Single'!$B$1</c:f>
              <c:strCache>
                <c:ptCount val="1"/>
                <c:pt idx="0">
                  <c:v>Mean</c:v>
                </c:pt>
              </c:strCache>
            </c:strRef>
          </c:tx>
          <c:spPr>
            <a:solidFill>
              <a:srgbClr val="0070C0"/>
            </a:solidFill>
            <a:ln>
              <a:noFill/>
            </a:ln>
            <a:effectLst/>
          </c:spPr>
          <c:invertIfNegative val="0"/>
          <c:errBars>
            <c:errBarType val="both"/>
            <c:errValType val="cust"/>
            <c:noEndCap val="0"/>
            <c:plus>
              <c:numRef>
                <c:f>'Bars Single'!$C$2:$C$5</c:f>
                <c:numCache>
                  <c:formatCode>General</c:formatCode>
                  <c:ptCount val="4"/>
                  <c:pt idx="0">
                    <c:v>2.0283046127661835E-2</c:v>
                  </c:pt>
                  <c:pt idx="1">
                    <c:v>3.102924912550617E-2</c:v>
                  </c:pt>
                  <c:pt idx="2">
                    <c:v>5.6048287877590447E-3</c:v>
                  </c:pt>
                  <c:pt idx="3">
                    <c:v>8.4527743181383157E-3</c:v>
                  </c:pt>
                </c:numCache>
              </c:numRef>
            </c:plus>
            <c:minus>
              <c:numRef>
                <c:f>'Bars Single'!$C$2:$C$5</c:f>
                <c:numCache>
                  <c:formatCode>General</c:formatCode>
                  <c:ptCount val="4"/>
                  <c:pt idx="0">
                    <c:v>2.0283046127661835E-2</c:v>
                  </c:pt>
                  <c:pt idx="1">
                    <c:v>3.102924912550617E-2</c:v>
                  </c:pt>
                  <c:pt idx="2">
                    <c:v>5.6048287877590447E-3</c:v>
                  </c:pt>
                  <c:pt idx="3">
                    <c:v>8.4527743181383157E-3</c:v>
                  </c:pt>
                </c:numCache>
              </c:numRef>
            </c:minus>
            <c:spPr>
              <a:noFill/>
              <a:ln w="9525" cap="flat" cmpd="sng" algn="ctr">
                <a:solidFill>
                  <a:schemeClr val="tx1">
                    <a:lumMod val="65000"/>
                    <a:lumOff val="35000"/>
                  </a:schemeClr>
                </a:solidFill>
                <a:round/>
              </a:ln>
              <a:effectLst/>
            </c:spPr>
          </c:errBars>
          <c:cat>
            <c:strRef>
              <c:f>'Bars Single'!$A$2:$A$5</c:f>
              <c:strCache>
                <c:ptCount val="4"/>
                <c:pt idx="0">
                  <c:v>WM</c:v>
                </c:pt>
                <c:pt idx="1">
                  <c:v>e-LTM</c:v>
                </c:pt>
                <c:pt idx="2">
                  <c:v>t-LTM</c:v>
                </c:pt>
                <c:pt idx="3">
                  <c:v>LLM</c:v>
                </c:pt>
              </c:strCache>
            </c:strRef>
          </c:cat>
          <c:val>
            <c:numRef>
              <c:f>'Bars Single'!$B$2:$B$5</c:f>
              <c:numCache>
                <c:formatCode>0.00</c:formatCode>
                <c:ptCount val="4"/>
                <c:pt idx="0">
                  <c:v>-0.12610322453497724</c:v>
                </c:pt>
                <c:pt idx="1">
                  <c:v>-0.20983089089889678</c:v>
                </c:pt>
                <c:pt idx="2">
                  <c:v>-6.2061209583553302E-2</c:v>
                </c:pt>
                <c:pt idx="3">
                  <c:v>-0.10049104625592108</c:v>
                </c:pt>
              </c:numCache>
            </c:numRef>
          </c:val>
          <c:extLst>
            <c:ext xmlns:c16="http://schemas.microsoft.com/office/drawing/2014/chart" uri="{C3380CC4-5D6E-409C-BE32-E72D297353CC}">
              <c16:uniqueId val="{00000000-AF60-4E66-8930-9336FEF46DFF}"/>
            </c:ext>
          </c:extLst>
        </c:ser>
        <c:dLbls>
          <c:showLegendKey val="0"/>
          <c:showVal val="0"/>
          <c:showCatName val="0"/>
          <c:showSerName val="0"/>
          <c:showPercent val="0"/>
          <c:showBubbleSize val="0"/>
        </c:dLbls>
        <c:gapWidth val="100"/>
        <c:overlap val="-27"/>
        <c:axId val="2061639071"/>
        <c:axId val="67302335"/>
      </c:barChart>
      <c:catAx>
        <c:axId val="20616390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Phase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67302335"/>
        <c:crosses val="autoZero"/>
        <c:auto val="1"/>
        <c:lblAlgn val="ctr"/>
        <c:lblOffset val="100"/>
        <c:noMultiLvlLbl val="0"/>
      </c:catAx>
      <c:valAx>
        <c:axId val="67302335"/>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Exponent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0616390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solidFill>
                  <a:schemeClr val="tx1"/>
                </a:solidFill>
              </a:rPr>
              <a:t>Multiple</a:t>
            </a:r>
            <a:r>
              <a:rPr lang="en-US" sz="1200" baseline="0">
                <a:solidFill>
                  <a:schemeClr val="tx1"/>
                </a:solidFill>
              </a:rPr>
              <a:t> Exposure Studies</a:t>
            </a:r>
            <a:endParaRPr lang="en-US" sz="1200">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'Bars Multiple'!$B$1</c:f>
              <c:strCache>
                <c:ptCount val="1"/>
                <c:pt idx="0">
                  <c:v>Mean</c:v>
                </c:pt>
              </c:strCache>
            </c:strRef>
          </c:tx>
          <c:spPr>
            <a:solidFill>
              <a:srgbClr val="0070C0"/>
            </a:solidFill>
            <a:ln>
              <a:noFill/>
            </a:ln>
            <a:effectLst/>
          </c:spPr>
          <c:invertIfNegative val="0"/>
          <c:errBars>
            <c:errBarType val="both"/>
            <c:errValType val="cust"/>
            <c:noEndCap val="0"/>
            <c:plus>
              <c:numRef>
                <c:f>'Bars Multiple'!$C$2:$C$5</c:f>
                <c:numCache>
                  <c:formatCode>General</c:formatCode>
                  <c:ptCount val="4"/>
                  <c:pt idx="1">
                    <c:v>2.388145060272651E-2</c:v>
                  </c:pt>
                  <c:pt idx="2">
                    <c:v>6.9364607651486625E-3</c:v>
                  </c:pt>
                  <c:pt idx="3">
                    <c:v>9.0751126512798909E-3</c:v>
                  </c:pt>
                </c:numCache>
              </c:numRef>
            </c:plus>
            <c:minus>
              <c:numRef>
                <c:f>'Bars Multiple'!$C$2:$C$5</c:f>
                <c:numCache>
                  <c:formatCode>General</c:formatCode>
                  <c:ptCount val="4"/>
                  <c:pt idx="1">
                    <c:v>2.388145060272651E-2</c:v>
                  </c:pt>
                  <c:pt idx="2">
                    <c:v>6.9364607651486625E-3</c:v>
                  </c:pt>
                  <c:pt idx="3">
                    <c:v>9.0751126512798909E-3</c:v>
                  </c:pt>
                </c:numCache>
              </c:numRef>
            </c:minus>
            <c:spPr>
              <a:noFill/>
              <a:ln w="9525" cap="flat" cmpd="sng" algn="ctr">
                <a:solidFill>
                  <a:schemeClr val="tx1">
                    <a:lumMod val="65000"/>
                    <a:lumOff val="35000"/>
                  </a:schemeClr>
                </a:solidFill>
                <a:round/>
              </a:ln>
              <a:effectLst/>
            </c:spPr>
          </c:errBars>
          <c:cat>
            <c:strRef>
              <c:f>'Bars Multiple'!$A$2:$A$5</c:f>
              <c:strCache>
                <c:ptCount val="4"/>
                <c:pt idx="0">
                  <c:v>WM</c:v>
                </c:pt>
                <c:pt idx="1">
                  <c:v>e-LTM</c:v>
                </c:pt>
                <c:pt idx="2">
                  <c:v>t-LTM</c:v>
                </c:pt>
                <c:pt idx="3">
                  <c:v>LLM</c:v>
                </c:pt>
              </c:strCache>
            </c:strRef>
          </c:cat>
          <c:val>
            <c:numRef>
              <c:f>'Bars Multiple'!$B$2:$B$5</c:f>
              <c:numCache>
                <c:formatCode>0.00</c:formatCode>
                <c:ptCount val="4"/>
                <c:pt idx="1">
                  <c:v>-0.117902327309151</c:v>
                </c:pt>
                <c:pt idx="2">
                  <c:v>-6.3616545780930359E-2</c:v>
                </c:pt>
                <c:pt idx="3">
                  <c:v>-0.1190652714247622</c:v>
                </c:pt>
              </c:numCache>
            </c:numRef>
          </c:val>
          <c:extLst>
            <c:ext xmlns:c16="http://schemas.microsoft.com/office/drawing/2014/chart" uri="{C3380CC4-5D6E-409C-BE32-E72D297353CC}">
              <c16:uniqueId val="{00000000-9733-44DE-8427-96F53BFAFF6B}"/>
            </c:ext>
          </c:extLst>
        </c:ser>
        <c:dLbls>
          <c:showLegendKey val="0"/>
          <c:showVal val="0"/>
          <c:showCatName val="0"/>
          <c:showSerName val="0"/>
          <c:showPercent val="0"/>
          <c:showBubbleSize val="0"/>
        </c:dLbls>
        <c:gapWidth val="100"/>
        <c:overlap val="-27"/>
        <c:axId val="51758831"/>
        <c:axId val="2060537615"/>
      </c:barChart>
      <c:catAx>
        <c:axId val="5175883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Phase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060537615"/>
        <c:crosses val="autoZero"/>
        <c:auto val="1"/>
        <c:lblAlgn val="ctr"/>
        <c:lblOffset val="100"/>
        <c:noMultiLvlLbl val="0"/>
      </c:catAx>
      <c:valAx>
        <c:axId val="2060537615"/>
        <c:scaling>
          <c:orientation val="minMax"/>
          <c:min val="-0.30000000000000004"/>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Exponent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517588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solidFill>
                  <a:schemeClr val="tx1"/>
                </a:solidFill>
              </a:rPr>
              <a:t>WM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rgbClr val="0070C0"/>
              </a:solidFill>
              <a:ln w="9525">
                <a:solidFill>
                  <a:srgbClr val="0070C0"/>
                </a:solidFill>
              </a:ln>
              <a:effectLst/>
            </c:spPr>
          </c:marker>
          <c:trendline>
            <c:spPr>
              <a:ln w="19050" cap="rnd">
                <a:solidFill>
                  <a:srgbClr val="FFC000"/>
                </a:solidFill>
                <a:prstDash val="solid"/>
              </a:ln>
              <a:effectLst/>
            </c:spPr>
            <c:trendlineType val="log"/>
            <c:dispRSqr val="0"/>
            <c:dispEq val="0"/>
          </c:trendline>
          <c:xVal>
            <c:numRef>
              <c:f>'WM Single graph'!$C$3:$C$193</c:f>
              <c:numCache>
                <c:formatCode>General</c:formatCode>
                <c:ptCount val="191"/>
                <c:pt idx="0">
                  <c:v>0.3</c:v>
                </c:pt>
                <c:pt idx="2">
                  <c:v>0.3</c:v>
                </c:pt>
                <c:pt idx="4">
                  <c:v>0.3</c:v>
                </c:pt>
                <c:pt idx="6">
                  <c:v>0.3</c:v>
                </c:pt>
                <c:pt idx="8">
                  <c:v>0.6</c:v>
                </c:pt>
                <c:pt idx="10">
                  <c:v>0.6</c:v>
                </c:pt>
                <c:pt idx="12">
                  <c:v>0.3</c:v>
                </c:pt>
                <c:pt idx="14">
                  <c:v>0.3</c:v>
                </c:pt>
                <c:pt idx="16">
                  <c:v>0.3</c:v>
                </c:pt>
                <c:pt idx="18">
                  <c:v>0.45</c:v>
                </c:pt>
                <c:pt idx="20">
                  <c:v>0.5</c:v>
                </c:pt>
                <c:pt idx="22">
                  <c:v>0.3</c:v>
                </c:pt>
                <c:pt idx="24">
                  <c:v>0.3</c:v>
                </c:pt>
                <c:pt idx="26">
                  <c:v>0.3</c:v>
                </c:pt>
                <c:pt idx="28">
                  <c:v>0.3</c:v>
                </c:pt>
                <c:pt idx="30">
                  <c:v>0.3</c:v>
                </c:pt>
                <c:pt idx="32">
                  <c:v>0.3</c:v>
                </c:pt>
                <c:pt idx="34">
                  <c:v>0.3</c:v>
                </c:pt>
                <c:pt idx="36">
                  <c:v>0.3</c:v>
                </c:pt>
                <c:pt idx="38">
                  <c:v>0.3</c:v>
                </c:pt>
                <c:pt idx="40">
                  <c:v>0.3</c:v>
                </c:pt>
                <c:pt idx="42">
                  <c:v>0.3</c:v>
                </c:pt>
                <c:pt idx="44">
                  <c:v>0.3</c:v>
                </c:pt>
                <c:pt idx="46">
                  <c:v>0.3</c:v>
                </c:pt>
                <c:pt idx="48">
                  <c:v>0.3</c:v>
                </c:pt>
                <c:pt idx="50">
                  <c:v>0.3</c:v>
                </c:pt>
                <c:pt idx="52">
                  <c:v>0.3</c:v>
                </c:pt>
                <c:pt idx="54">
                  <c:v>0.3</c:v>
                </c:pt>
                <c:pt idx="56">
                  <c:v>0.3</c:v>
                </c:pt>
                <c:pt idx="58">
                  <c:v>9.8333333333333342E-2</c:v>
                </c:pt>
                <c:pt idx="60">
                  <c:v>9.8333333333333342E-2</c:v>
                </c:pt>
                <c:pt idx="62">
                  <c:v>9.8333333333333342E-2</c:v>
                </c:pt>
                <c:pt idx="64">
                  <c:v>0.1</c:v>
                </c:pt>
                <c:pt idx="66">
                  <c:v>0.1</c:v>
                </c:pt>
                <c:pt idx="68">
                  <c:v>0.1</c:v>
                </c:pt>
                <c:pt idx="70">
                  <c:v>0.2</c:v>
                </c:pt>
                <c:pt idx="72">
                  <c:v>0.2</c:v>
                </c:pt>
                <c:pt idx="74">
                  <c:v>0.2</c:v>
                </c:pt>
                <c:pt idx="76">
                  <c:v>0.2</c:v>
                </c:pt>
                <c:pt idx="78">
                  <c:v>0.2</c:v>
                </c:pt>
                <c:pt idx="80">
                  <c:v>0.2</c:v>
                </c:pt>
                <c:pt idx="82">
                  <c:v>0.2</c:v>
                </c:pt>
                <c:pt idx="84">
                  <c:v>0.2</c:v>
                </c:pt>
                <c:pt idx="86">
                  <c:v>0.2</c:v>
                </c:pt>
                <c:pt idx="88">
                  <c:v>0.2</c:v>
                </c:pt>
                <c:pt idx="90">
                  <c:v>0.2</c:v>
                </c:pt>
                <c:pt idx="92">
                  <c:v>0.2</c:v>
                </c:pt>
                <c:pt idx="94">
                  <c:v>0.2</c:v>
                </c:pt>
                <c:pt idx="96">
                  <c:v>0.2</c:v>
                </c:pt>
                <c:pt idx="98">
                  <c:v>0.1</c:v>
                </c:pt>
                <c:pt idx="100">
                  <c:v>0.1</c:v>
                </c:pt>
                <c:pt idx="102">
                  <c:v>0.1</c:v>
                </c:pt>
                <c:pt idx="104">
                  <c:v>0.1</c:v>
                </c:pt>
                <c:pt idx="106">
                  <c:v>0.1</c:v>
                </c:pt>
                <c:pt idx="108">
                  <c:v>0.1</c:v>
                </c:pt>
                <c:pt idx="110">
                  <c:v>0.1</c:v>
                </c:pt>
                <c:pt idx="112">
                  <c:v>0.1</c:v>
                </c:pt>
                <c:pt idx="114">
                  <c:v>0.1</c:v>
                </c:pt>
                <c:pt idx="116">
                  <c:v>0.1</c:v>
                </c:pt>
                <c:pt idx="118">
                  <c:v>0.1</c:v>
                </c:pt>
                <c:pt idx="120">
                  <c:v>0.1</c:v>
                </c:pt>
                <c:pt idx="122">
                  <c:v>0.1</c:v>
                </c:pt>
                <c:pt idx="124">
                  <c:v>0.1</c:v>
                </c:pt>
                <c:pt idx="126">
                  <c:v>0.1</c:v>
                </c:pt>
                <c:pt idx="128">
                  <c:v>0.3</c:v>
                </c:pt>
                <c:pt idx="130">
                  <c:v>0.41666666666666669</c:v>
                </c:pt>
                <c:pt idx="132">
                  <c:v>0.5</c:v>
                </c:pt>
                <c:pt idx="134">
                  <c:v>0.5</c:v>
                </c:pt>
                <c:pt idx="136">
                  <c:v>0.5</c:v>
                </c:pt>
                <c:pt idx="138">
                  <c:v>0.5</c:v>
                </c:pt>
                <c:pt idx="140">
                  <c:v>0.45</c:v>
                </c:pt>
                <c:pt idx="142">
                  <c:v>0.45</c:v>
                </c:pt>
                <c:pt idx="144">
                  <c:v>0.45</c:v>
                </c:pt>
                <c:pt idx="146">
                  <c:v>0.45</c:v>
                </c:pt>
                <c:pt idx="148">
                  <c:v>0.25</c:v>
                </c:pt>
                <c:pt idx="150">
                  <c:v>0.25</c:v>
                </c:pt>
                <c:pt idx="152">
                  <c:v>0.53333333333333333</c:v>
                </c:pt>
                <c:pt idx="154">
                  <c:v>0.53333333333333333</c:v>
                </c:pt>
                <c:pt idx="156">
                  <c:v>0.53333333333333333</c:v>
                </c:pt>
                <c:pt idx="158">
                  <c:v>0.53333333333333333</c:v>
                </c:pt>
                <c:pt idx="160">
                  <c:v>0.53333333333333333</c:v>
                </c:pt>
                <c:pt idx="162">
                  <c:v>0.53333333333333333</c:v>
                </c:pt>
                <c:pt idx="164">
                  <c:v>0.53333333333333333</c:v>
                </c:pt>
                <c:pt idx="166">
                  <c:v>0.66666666666666663</c:v>
                </c:pt>
                <c:pt idx="168">
                  <c:v>0.66666666666666663</c:v>
                </c:pt>
                <c:pt idx="170">
                  <c:v>0.16666666666666666</c:v>
                </c:pt>
                <c:pt idx="172">
                  <c:v>0.16666666666666666</c:v>
                </c:pt>
              </c:numCache>
            </c:numRef>
          </c:xVal>
          <c:yVal>
            <c:numRef>
              <c:f>'WM Single graph'!$D$3:$D$193</c:f>
              <c:numCache>
                <c:formatCode>General</c:formatCode>
                <c:ptCount val="191"/>
                <c:pt idx="0" formatCode="0.00">
                  <c:v>-7.1981039274917696E-2</c:v>
                </c:pt>
                <c:pt idx="2" formatCode="0.00">
                  <c:v>-8.496760624742665E-2</c:v>
                </c:pt>
                <c:pt idx="4" formatCode="0.00">
                  <c:v>-8.1454200435717647E-2</c:v>
                </c:pt>
                <c:pt idx="6" formatCode="0.00">
                  <c:v>-4.2214846046604866E-2</c:v>
                </c:pt>
                <c:pt idx="8" formatCode="0.00">
                  <c:v>-5.6151992204423705E-2</c:v>
                </c:pt>
                <c:pt idx="10" formatCode="0.00">
                  <c:v>-7.2500610318961697E-2</c:v>
                </c:pt>
                <c:pt idx="12" formatCode="0.00">
                  <c:v>-4.475429350804095E-2</c:v>
                </c:pt>
                <c:pt idx="14" formatCode="0.00">
                  <c:v>-0.26180973805269198</c:v>
                </c:pt>
                <c:pt idx="16" formatCode="0.00">
                  <c:v>-7.0109010367673946E-2</c:v>
                </c:pt>
                <c:pt idx="18" formatCode="0.00">
                  <c:v>-0.31963089242931408</c:v>
                </c:pt>
                <c:pt idx="20" formatCode="0.00">
                  <c:v>-6.737198421982793E-2</c:v>
                </c:pt>
                <c:pt idx="22" formatCode="0.00">
                  <c:v>-0.19711267967239077</c:v>
                </c:pt>
                <c:pt idx="24" formatCode="0.00">
                  <c:v>-1.523492902687193E-2</c:v>
                </c:pt>
                <c:pt idx="26" formatCode="0.00">
                  <c:v>-0.16430871566677174</c:v>
                </c:pt>
                <c:pt idx="28" formatCode="0.00">
                  <c:v>-9.9646101051534958E-3</c:v>
                </c:pt>
                <c:pt idx="30" formatCode="0.00">
                  <c:v>-2.9136088762513113E-2</c:v>
                </c:pt>
                <c:pt idx="32" formatCode="0.00">
                  <c:v>-2.3713541347856918E-2</c:v>
                </c:pt>
                <c:pt idx="34" formatCode="0.00">
                  <c:v>-2.2682002573009813E-2</c:v>
                </c:pt>
                <c:pt idx="36" formatCode="0.00">
                  <c:v>-1.8102259245743782E-2</c:v>
                </c:pt>
                <c:pt idx="40" formatCode="0.00">
                  <c:v>-0.47641195682701493</c:v>
                </c:pt>
                <c:pt idx="42" formatCode="0.00">
                  <c:v>-0.65351241503468982</c:v>
                </c:pt>
                <c:pt idx="44" formatCode="0.00">
                  <c:v>-0.81081745451120035</c:v>
                </c:pt>
                <c:pt idx="46" formatCode="0.00">
                  <c:v>-0.47830135006197272</c:v>
                </c:pt>
                <c:pt idx="48" formatCode="0.00">
                  <c:v>-0.67741107574387727</c:v>
                </c:pt>
                <c:pt idx="50" formatCode="0.00">
                  <c:v>-0.84874543272433944</c:v>
                </c:pt>
                <c:pt idx="52" formatCode="0.00">
                  <c:v>-4.992105720321207E-2</c:v>
                </c:pt>
                <c:pt idx="54" formatCode="0.00">
                  <c:v>-4.1055678758485072E-2</c:v>
                </c:pt>
                <c:pt idx="56" formatCode="0.00">
                  <c:v>-7.1413414462206712E-2</c:v>
                </c:pt>
                <c:pt idx="58" formatCode="0.00">
                  <c:v>-4.5316916582784965E-2</c:v>
                </c:pt>
                <c:pt idx="60" formatCode="0.00">
                  <c:v>-6.8403789113543001E-2</c:v>
                </c:pt>
                <c:pt idx="62" formatCode="0.00">
                  <c:v>-8.8078477576913547E-2</c:v>
                </c:pt>
                <c:pt idx="64" formatCode="0.00">
                  <c:v>-6.6469415909064036E-2</c:v>
                </c:pt>
                <c:pt idx="66" formatCode="0.00">
                  <c:v>-7.075829312827922E-2</c:v>
                </c:pt>
                <c:pt idx="68" formatCode="0.00">
                  <c:v>-0.10974334508051847</c:v>
                </c:pt>
                <c:pt idx="70" formatCode="0.00">
                  <c:v>-2.1795320311497328E-2</c:v>
                </c:pt>
                <c:pt idx="72" formatCode="0.00">
                  <c:v>-5.2337604154915944E-2</c:v>
                </c:pt>
                <c:pt idx="74" formatCode="0.00">
                  <c:v>-2.5711993139676571E-2</c:v>
                </c:pt>
                <c:pt idx="76" formatCode="0.00">
                  <c:v>-7.0308179214797345E-2</c:v>
                </c:pt>
                <c:pt idx="78" formatCode="0.00">
                  <c:v>-6.2054385278598211E-2</c:v>
                </c:pt>
                <c:pt idx="80" formatCode="0.00">
                  <c:v>-5.0236304116639673E-2</c:v>
                </c:pt>
                <c:pt idx="82" formatCode="0.00">
                  <c:v>-2.2452493576509889E-2</c:v>
                </c:pt>
                <c:pt idx="84" formatCode="0.00">
                  <c:v>-2.531134236455454E-2</c:v>
                </c:pt>
                <c:pt idx="86" formatCode="0.00">
                  <c:v>-6.5951793787283552E-2</c:v>
                </c:pt>
                <c:pt idx="88" formatCode="0.00">
                  <c:v>-4.14745068316828E-2</c:v>
                </c:pt>
                <c:pt idx="90" formatCode="0.00">
                  <c:v>-4.4189783838361953E-2</c:v>
                </c:pt>
                <c:pt idx="92" formatCode="0.00">
                  <c:v>-4.3772747934243385E-2</c:v>
                </c:pt>
                <c:pt idx="94" formatCode="0.00">
                  <c:v>-4.0645091178574962E-2</c:v>
                </c:pt>
                <c:pt idx="96" formatCode="0.00">
                  <c:v>-4.3063479772511619E-2</c:v>
                </c:pt>
                <c:pt idx="98" formatCode="0.00">
                  <c:v>-5.280509398029936E-2</c:v>
                </c:pt>
                <c:pt idx="100" formatCode="0.00">
                  <c:v>-7.7016814336210507E-2</c:v>
                </c:pt>
                <c:pt idx="102" formatCode="0.00">
                  <c:v>-6.7827549678783197E-2</c:v>
                </c:pt>
                <c:pt idx="104" formatCode="0.00">
                  <c:v>-4.2196093645186297E-2</c:v>
                </c:pt>
                <c:pt idx="106" formatCode="0.00">
                  <c:v>-3.5194663945698895E-2</c:v>
                </c:pt>
                <c:pt idx="108" formatCode="0.00">
                  <c:v>-3.6531731094861727E-2</c:v>
                </c:pt>
                <c:pt idx="110" formatCode="0.00">
                  <c:v>-3.9001256000636579E-2</c:v>
                </c:pt>
                <c:pt idx="112" formatCode="0.00">
                  <c:v>-3.4356375042007142E-2</c:v>
                </c:pt>
                <c:pt idx="114" formatCode="0.00">
                  <c:v>-2.6233709947067696E-2</c:v>
                </c:pt>
                <c:pt idx="116" formatCode="0.00">
                  <c:v>-2.2197059679226718E-2</c:v>
                </c:pt>
                <c:pt idx="118" formatCode="0.00">
                  <c:v>-4.5098904485789126E-2</c:v>
                </c:pt>
                <c:pt idx="120" formatCode="0.00">
                  <c:v>-5.1546746482051729E-2</c:v>
                </c:pt>
                <c:pt idx="122" formatCode="0.00">
                  <c:v>-4.3731420625169652E-2</c:v>
                </c:pt>
                <c:pt idx="124" formatCode="0.00">
                  <c:v>-6.6633265431732133E-2</c:v>
                </c:pt>
                <c:pt idx="126" formatCode="0.00">
                  <c:v>-4.5098904485789126E-2</c:v>
                </c:pt>
                <c:pt idx="128" formatCode="0.00">
                  <c:v>-2.6987568669954182E-2</c:v>
                </c:pt>
                <c:pt idx="130" formatCode="0.00">
                  <c:v>-0.44661079519385649</c:v>
                </c:pt>
                <c:pt idx="132" formatCode="0.00">
                  <c:v>-1.1666319730806457E-2</c:v>
                </c:pt>
                <c:pt idx="134" formatCode="0.00">
                  <c:v>-6.7870112661232732E-2</c:v>
                </c:pt>
                <c:pt idx="136" formatCode="0.00">
                  <c:v>-8.2331852575010564E-2</c:v>
                </c:pt>
                <c:pt idx="138" formatCode="0.00">
                  <c:v>-0.29384836738253917</c:v>
                </c:pt>
                <c:pt idx="140" formatCode="0.00">
                  <c:v>-0.18527236101789452</c:v>
                </c:pt>
                <c:pt idx="144" formatCode="0.00">
                  <c:v>-0.76804153859349633</c:v>
                </c:pt>
                <c:pt idx="146" formatCode="0.00">
                  <c:v>-0.45455704407487479</c:v>
                </c:pt>
                <c:pt idx="148" formatCode="0.00">
                  <c:v>-3.9743751452330058E-3</c:v>
                </c:pt>
                <c:pt idx="150" formatCode="0.00">
                  <c:v>-3.9743751452330058E-3</c:v>
                </c:pt>
                <c:pt idx="152" formatCode="0.00">
                  <c:v>-4.3570999372430294E-2</c:v>
                </c:pt>
                <c:pt idx="154" formatCode="0.00">
                  <c:v>-8.8431452888231274E-2</c:v>
                </c:pt>
                <c:pt idx="156" formatCode="0.00">
                  <c:v>-2.212633693321656E-2</c:v>
                </c:pt>
                <c:pt idx="158" formatCode="0.00">
                  <c:v>-6.953808288736657E-2</c:v>
                </c:pt>
                <c:pt idx="160" formatCode="0.00">
                  <c:v>-0.24168381202492392</c:v>
                </c:pt>
                <c:pt idx="162" formatCode="0.00">
                  <c:v>-6.8650399587453712E-2</c:v>
                </c:pt>
                <c:pt idx="164" formatCode="0.00">
                  <c:v>-0.12311677041685908</c:v>
                </c:pt>
                <c:pt idx="166" formatCode="0.00">
                  <c:v>-0.11908193382823912</c:v>
                </c:pt>
                <c:pt idx="168" formatCode="0.00">
                  <c:v>-0.13685662436313883</c:v>
                </c:pt>
                <c:pt idx="170" formatCode="0.00">
                  <c:v>-5.7956782843279799E-2</c:v>
                </c:pt>
                <c:pt idx="172" formatCode="0.00">
                  <c:v>-0.10804502759734136</c:v>
                </c:pt>
              </c:numCache>
            </c:numRef>
          </c:yVal>
          <c:smooth val="0"/>
          <c:extLst>
            <c:ext xmlns:c16="http://schemas.microsoft.com/office/drawing/2014/chart" uri="{C3380CC4-5D6E-409C-BE32-E72D297353CC}">
              <c16:uniqueId val="{00000000-A455-48CA-8888-46C4BC92A655}"/>
            </c:ext>
          </c:extLst>
        </c:ser>
        <c:dLbls>
          <c:showLegendKey val="0"/>
          <c:showVal val="0"/>
          <c:showCatName val="0"/>
          <c:showSerName val="0"/>
          <c:showPercent val="0"/>
          <c:showBubbleSize val="0"/>
        </c:dLbls>
        <c:axId val="1710000639"/>
        <c:axId val="1804425839"/>
      </c:scatterChart>
      <c:valAx>
        <c:axId val="1710000639"/>
        <c:scaling>
          <c:logBase val="10"/>
          <c:orientation val="minMax"/>
          <c:min val="0.1"/>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Delay (in minutes)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804425839"/>
        <c:crossesAt val="-1"/>
        <c:crossBetween val="midCat"/>
      </c:valAx>
      <c:valAx>
        <c:axId val="1804425839"/>
        <c:scaling>
          <c:orientation val="minMax"/>
          <c:max val="0"/>
          <c:min val="-1"/>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Exponent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10000639"/>
        <c:crossesAt val="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rgbClr val="0070C0"/>
              </a:solidFill>
              <a:ln w="9525">
                <a:solidFill>
                  <a:srgbClr val="0070C0"/>
                </a:solidFill>
              </a:ln>
              <a:effectLst/>
            </c:spPr>
          </c:marker>
          <c:xVal>
            <c:numRef>
              <c:f>'WM Multiple graph'!$C$3:$C$191</c:f>
              <c:numCache>
                <c:formatCode>General</c:formatCode>
                <c:ptCount val="189"/>
                <c:pt idx="0">
                  <c:v>0.45</c:v>
                </c:pt>
                <c:pt idx="2">
                  <c:v>0.45</c:v>
                </c:pt>
                <c:pt idx="4">
                  <c:v>0.45</c:v>
                </c:pt>
              </c:numCache>
            </c:numRef>
          </c:xVal>
          <c:yVal>
            <c:numRef>
              <c:f>'WM Multiple graph'!$D$3:$D$191</c:f>
              <c:numCache>
                <c:formatCode>General</c:formatCode>
                <c:ptCount val="189"/>
                <c:pt idx="0" formatCode="0.00">
                  <c:v>-0.18312881467046671</c:v>
                </c:pt>
                <c:pt idx="2" formatCode="0.00">
                  <c:v>-0.31963089242931408</c:v>
                </c:pt>
                <c:pt idx="4" formatCode="0.00">
                  <c:v>-0.6477753243400316</c:v>
                </c:pt>
              </c:numCache>
            </c:numRef>
          </c:yVal>
          <c:smooth val="0"/>
          <c:extLst>
            <c:ext xmlns:c16="http://schemas.microsoft.com/office/drawing/2014/chart" uri="{C3380CC4-5D6E-409C-BE32-E72D297353CC}">
              <c16:uniqueId val="{00000000-91C1-4190-9B8D-2D91E1B2EBAF}"/>
            </c:ext>
          </c:extLst>
        </c:ser>
        <c:dLbls>
          <c:showLegendKey val="0"/>
          <c:showVal val="0"/>
          <c:showCatName val="0"/>
          <c:showSerName val="0"/>
          <c:showPercent val="0"/>
          <c:showBubbleSize val="0"/>
        </c:dLbls>
        <c:axId val="1710000639"/>
        <c:axId val="1804425839"/>
      </c:scatterChart>
      <c:valAx>
        <c:axId val="1710000639"/>
        <c:scaling>
          <c:logBase val="10"/>
          <c:orientation val="minMax"/>
          <c:min val="0.1"/>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Delay (in minutes)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804425839"/>
        <c:crosses val="autoZero"/>
        <c:crossBetween val="midCat"/>
      </c:valAx>
      <c:valAx>
        <c:axId val="1804425839"/>
        <c:scaling>
          <c:orientation val="minMax"/>
          <c:max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Memory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10000639"/>
        <c:crossesAt val="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ELTM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rgbClr val="0070C0"/>
              </a:solidFill>
              <a:ln w="9525">
                <a:solidFill>
                  <a:srgbClr val="0070C0"/>
                </a:solidFill>
              </a:ln>
              <a:effectLst/>
            </c:spPr>
          </c:marker>
          <c:xVal>
            <c:numRef>
              <c:f>'e-LTM graph'!$C$3:$C$189</c:f>
              <c:numCache>
                <c:formatCode>General</c:formatCode>
                <c:ptCount val="187"/>
                <c:pt idx="0">
                  <c:v>2</c:v>
                </c:pt>
                <c:pt idx="2">
                  <c:v>0.08</c:v>
                </c:pt>
                <c:pt idx="4">
                  <c:v>0.08</c:v>
                </c:pt>
                <c:pt idx="6">
                  <c:v>0.08</c:v>
                </c:pt>
                <c:pt idx="8">
                  <c:v>0.08</c:v>
                </c:pt>
                <c:pt idx="10">
                  <c:v>0.08</c:v>
                </c:pt>
                <c:pt idx="12">
                  <c:v>0.08</c:v>
                </c:pt>
                <c:pt idx="14">
                  <c:v>0.08</c:v>
                </c:pt>
                <c:pt idx="16">
                  <c:v>0.08</c:v>
                </c:pt>
                <c:pt idx="18">
                  <c:v>1.5</c:v>
                </c:pt>
                <c:pt idx="20">
                  <c:v>1.5</c:v>
                </c:pt>
                <c:pt idx="22">
                  <c:v>0.16666666666666666</c:v>
                </c:pt>
                <c:pt idx="24">
                  <c:v>1</c:v>
                </c:pt>
                <c:pt idx="26">
                  <c:v>8</c:v>
                </c:pt>
                <c:pt idx="28">
                  <c:v>8</c:v>
                </c:pt>
                <c:pt idx="30">
                  <c:v>1.5</c:v>
                </c:pt>
                <c:pt idx="32">
                  <c:v>1.5</c:v>
                </c:pt>
                <c:pt idx="34">
                  <c:v>1.5</c:v>
                </c:pt>
                <c:pt idx="36">
                  <c:v>1.5</c:v>
                </c:pt>
                <c:pt idx="38">
                  <c:v>1.0466666666666666</c:v>
                </c:pt>
                <c:pt idx="40">
                  <c:v>1.0466666666666666</c:v>
                </c:pt>
                <c:pt idx="42">
                  <c:v>1.0466666666666666</c:v>
                </c:pt>
                <c:pt idx="44">
                  <c:v>1.0466666666666666</c:v>
                </c:pt>
                <c:pt idx="46">
                  <c:v>1.0466666666666666</c:v>
                </c:pt>
                <c:pt idx="48">
                  <c:v>1.0466666666666666</c:v>
                </c:pt>
                <c:pt idx="50">
                  <c:v>1.1733333333333333</c:v>
                </c:pt>
                <c:pt idx="52">
                  <c:v>1.1733333333333333</c:v>
                </c:pt>
                <c:pt idx="54">
                  <c:v>1.1733333333333333</c:v>
                </c:pt>
                <c:pt idx="56">
                  <c:v>1.1733333333333333</c:v>
                </c:pt>
                <c:pt idx="58">
                  <c:v>0.21249999999999999</c:v>
                </c:pt>
                <c:pt idx="60">
                  <c:v>0.21249999999999999</c:v>
                </c:pt>
                <c:pt idx="62">
                  <c:v>0.21249999999999999</c:v>
                </c:pt>
                <c:pt idx="64">
                  <c:v>0.21249999999999999</c:v>
                </c:pt>
                <c:pt idx="66">
                  <c:v>4</c:v>
                </c:pt>
                <c:pt idx="68">
                  <c:v>0.43333333333333335</c:v>
                </c:pt>
                <c:pt idx="70">
                  <c:v>0.43333333333333335</c:v>
                </c:pt>
                <c:pt idx="72">
                  <c:v>0.13333333333333333</c:v>
                </c:pt>
                <c:pt idx="74">
                  <c:v>0.13333333333333333</c:v>
                </c:pt>
                <c:pt idx="76">
                  <c:v>6.6666666666666666E-2</c:v>
                </c:pt>
                <c:pt idx="78">
                  <c:v>6.6666666666666666E-2</c:v>
                </c:pt>
                <c:pt idx="80">
                  <c:v>0.75</c:v>
                </c:pt>
                <c:pt idx="82">
                  <c:v>0.75</c:v>
                </c:pt>
                <c:pt idx="84">
                  <c:v>0.75</c:v>
                </c:pt>
                <c:pt idx="86">
                  <c:v>8</c:v>
                </c:pt>
                <c:pt idx="88">
                  <c:v>8</c:v>
                </c:pt>
                <c:pt idx="90">
                  <c:v>1.6666666666666666E-2</c:v>
                </c:pt>
                <c:pt idx="92">
                  <c:v>1.6666666666666666E-2</c:v>
                </c:pt>
                <c:pt idx="94">
                  <c:v>1</c:v>
                </c:pt>
                <c:pt idx="96">
                  <c:v>1</c:v>
                </c:pt>
              </c:numCache>
            </c:numRef>
          </c:xVal>
          <c:yVal>
            <c:numRef>
              <c:f>'e-LTM graph'!$D$3:$D$189</c:f>
              <c:numCache>
                <c:formatCode>General</c:formatCode>
                <c:ptCount val="187"/>
                <c:pt idx="0" formatCode="0.00">
                  <c:v>-4.4677116287178305E-2</c:v>
                </c:pt>
                <c:pt idx="2" formatCode="0.00">
                  <c:v>-0.75462173189743664</c:v>
                </c:pt>
                <c:pt idx="4" formatCode="0.00">
                  <c:v>-0.40883666822206854</c:v>
                </c:pt>
                <c:pt idx="6" formatCode="0.00">
                  <c:v>-0.45755734351725819</c:v>
                </c:pt>
                <c:pt idx="8" formatCode="0.00">
                  <c:v>-0.29520485385500506</c:v>
                </c:pt>
                <c:pt idx="10" formatCode="0.00">
                  <c:v>-0.74934456887203515</c:v>
                </c:pt>
                <c:pt idx="12" formatCode="0.00">
                  <c:v>-0.38361945485187965</c:v>
                </c:pt>
                <c:pt idx="14" formatCode="0.00">
                  <c:v>-0.44995182923018884</c:v>
                </c:pt>
                <c:pt idx="16" formatCode="0.00">
                  <c:v>-0.37724989468313669</c:v>
                </c:pt>
                <c:pt idx="18" formatCode="0.00">
                  <c:v>-0.10049141940032545</c:v>
                </c:pt>
                <c:pt idx="20" formatCode="0.00">
                  <c:v>-7.4003112899792538E-3</c:v>
                </c:pt>
                <c:pt idx="22" formatCode="0.00">
                  <c:v>-1.9019416808138942E-2</c:v>
                </c:pt>
                <c:pt idx="24" formatCode="0.00">
                  <c:v>-3.1532453072946921E-2</c:v>
                </c:pt>
                <c:pt idx="26" formatCode="0.00">
                  <c:v>-9.1241439313960643E-2</c:v>
                </c:pt>
                <c:pt idx="28" formatCode="0.00">
                  <c:v>-0.29160475075341569</c:v>
                </c:pt>
                <c:pt idx="30" formatCode="0.00">
                  <c:v>-0.24040884614397717</c:v>
                </c:pt>
                <c:pt idx="32" formatCode="0.00">
                  <c:v>-0.2149309009739736</c:v>
                </c:pt>
                <c:pt idx="34" formatCode="0.00">
                  <c:v>-0.24951026457854411</c:v>
                </c:pt>
                <c:pt idx="36" formatCode="0.00">
                  <c:v>-0.35645670893384496</c:v>
                </c:pt>
                <c:pt idx="38" formatCode="0.00">
                  <c:v>-0.14575647814423051</c:v>
                </c:pt>
                <c:pt idx="40" formatCode="0.00">
                  <c:v>-0.14951745200006822</c:v>
                </c:pt>
                <c:pt idx="42" formatCode="0.00">
                  <c:v>-0.2265743324061473</c:v>
                </c:pt>
                <c:pt idx="44" formatCode="0.00">
                  <c:v>-0.22268948822304618</c:v>
                </c:pt>
                <c:pt idx="46" formatCode="0.00">
                  <c:v>-1.9249060332196644E-2</c:v>
                </c:pt>
                <c:pt idx="48" formatCode="0.00">
                  <c:v>-3.6593837642734404E-2</c:v>
                </c:pt>
                <c:pt idx="50" formatCode="0.00">
                  <c:v>-0.19073528606652271</c:v>
                </c:pt>
                <c:pt idx="52" formatCode="0.00">
                  <c:v>-0.15658516371995584</c:v>
                </c:pt>
                <c:pt idx="54" formatCode="0.00">
                  <c:v>-4.656993122468521E-2</c:v>
                </c:pt>
                <c:pt idx="56" formatCode="0.00">
                  <c:v>-0.14891790493837317</c:v>
                </c:pt>
                <c:pt idx="58" formatCode="0.00">
                  <c:v>-0.30475135206540238</c:v>
                </c:pt>
                <c:pt idx="60" formatCode="0.00">
                  <c:v>-0.34061755633118523</c:v>
                </c:pt>
                <c:pt idx="62" formatCode="0.00">
                  <c:v>-0.18699373208102818</c:v>
                </c:pt>
                <c:pt idx="64" formatCode="0.00">
                  <c:v>-0.14920548299381145</c:v>
                </c:pt>
                <c:pt idx="66" formatCode="0.00">
                  <c:v>-6.6320753200862073E-2</c:v>
                </c:pt>
                <c:pt idx="68" formatCode="0.00">
                  <c:v>-4.0960677745524365E-2</c:v>
                </c:pt>
                <c:pt idx="70" formatCode="0.00">
                  <c:v>-2.4166709395687224E-2</c:v>
                </c:pt>
                <c:pt idx="72" formatCode="0.00">
                  <c:v>-0.21518520993464335</c:v>
                </c:pt>
                <c:pt idx="74" formatCode="0.00">
                  <c:v>-0.10963244929778714</c:v>
                </c:pt>
                <c:pt idx="76" formatCode="0.00">
                  <c:v>-0.10117749958037014</c:v>
                </c:pt>
                <c:pt idx="78" formatCode="0.00">
                  <c:v>-3.5682854601662491E-2</c:v>
                </c:pt>
                <c:pt idx="80" formatCode="0.00">
                  <c:v>-1.9727464596118505E-2</c:v>
                </c:pt>
                <c:pt idx="82" formatCode="0.00">
                  <c:v>-3.157575331899632E-3</c:v>
                </c:pt>
                <c:pt idx="84" formatCode="0.00">
                  <c:v>-1.4077656808005854E-2</c:v>
                </c:pt>
                <c:pt idx="86" formatCode="0.00">
                  <c:v>-0.15302715566210412</c:v>
                </c:pt>
                <c:pt idx="88" formatCode="0.00">
                  <c:v>-0.19168140517604182</c:v>
                </c:pt>
                <c:pt idx="90" formatCode="0.00">
                  <c:v>-7.4822670105094274E-2</c:v>
                </c:pt>
                <c:pt idx="92" formatCode="0.00">
                  <c:v>-8.2642429220752947E-2</c:v>
                </c:pt>
                <c:pt idx="94" formatCode="0.00">
                  <c:v>-0.10339978263300202</c:v>
                </c:pt>
                <c:pt idx="96" formatCode="0.00">
                  <c:v>-9.4491566824757581E-2</c:v>
                </c:pt>
              </c:numCache>
            </c:numRef>
          </c:yVal>
          <c:smooth val="0"/>
          <c:extLst>
            <c:ext xmlns:c16="http://schemas.microsoft.com/office/drawing/2014/chart" uri="{C3380CC4-5D6E-409C-BE32-E72D297353CC}">
              <c16:uniqueId val="{00000000-F3E5-4CB1-8914-E05AE7FC277C}"/>
            </c:ext>
          </c:extLst>
        </c:ser>
        <c:dLbls>
          <c:showLegendKey val="0"/>
          <c:showVal val="0"/>
          <c:showCatName val="0"/>
          <c:showSerName val="0"/>
          <c:showPercent val="0"/>
          <c:showBubbleSize val="0"/>
        </c:dLbls>
        <c:axId val="1710000639"/>
        <c:axId val="1804425839"/>
      </c:scatterChart>
      <c:valAx>
        <c:axId val="1710000639"/>
        <c:scaling>
          <c:logBase val="10"/>
          <c:orientation val="minMax"/>
          <c:min val="0.1"/>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Delay (in hours)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804425839"/>
        <c:crosses val="autoZero"/>
        <c:crossBetween val="midCat"/>
      </c:valAx>
      <c:valAx>
        <c:axId val="1804425839"/>
        <c:scaling>
          <c:orientation val="minMax"/>
          <c:max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Memory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10000639"/>
        <c:crossesAt val="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solidFill>
                  <a:schemeClr val="tx1"/>
                </a:solidFill>
              </a:rPr>
              <a:t>e-LTM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rgbClr val="0070C0"/>
              </a:solidFill>
              <a:ln w="9525">
                <a:solidFill>
                  <a:srgbClr val="0070C0"/>
                </a:solidFill>
              </a:ln>
              <a:effectLst/>
            </c:spPr>
          </c:marker>
          <c:trendline>
            <c:spPr>
              <a:ln w="19050" cap="rnd">
                <a:solidFill>
                  <a:srgbClr val="FFC000"/>
                </a:solidFill>
                <a:prstDash val="solid"/>
              </a:ln>
              <a:effectLst/>
            </c:spPr>
            <c:trendlineType val="log"/>
            <c:dispRSqr val="0"/>
            <c:dispEq val="0"/>
          </c:trendline>
          <c:xVal>
            <c:numRef>
              <c:f>'e-LTM Single graph'!$C$3:$C$189</c:f>
              <c:numCache>
                <c:formatCode>General</c:formatCode>
                <c:ptCount val="187"/>
                <c:pt idx="0">
                  <c:v>2</c:v>
                </c:pt>
                <c:pt idx="2">
                  <c:v>0.08</c:v>
                </c:pt>
                <c:pt idx="4">
                  <c:v>0.08</c:v>
                </c:pt>
                <c:pt idx="6">
                  <c:v>0.08</c:v>
                </c:pt>
                <c:pt idx="8">
                  <c:v>0.08</c:v>
                </c:pt>
                <c:pt idx="10">
                  <c:v>0.08</c:v>
                </c:pt>
                <c:pt idx="12">
                  <c:v>0.08</c:v>
                </c:pt>
                <c:pt idx="14">
                  <c:v>0.08</c:v>
                </c:pt>
                <c:pt idx="16">
                  <c:v>0.08</c:v>
                </c:pt>
                <c:pt idx="18">
                  <c:v>0.16666666666666666</c:v>
                </c:pt>
                <c:pt idx="20">
                  <c:v>1</c:v>
                </c:pt>
                <c:pt idx="22">
                  <c:v>1.5</c:v>
                </c:pt>
                <c:pt idx="24">
                  <c:v>1.5</c:v>
                </c:pt>
                <c:pt idx="26">
                  <c:v>1.5</c:v>
                </c:pt>
                <c:pt idx="28">
                  <c:v>1.5</c:v>
                </c:pt>
                <c:pt idx="30">
                  <c:v>1.0466666666666666</c:v>
                </c:pt>
                <c:pt idx="32">
                  <c:v>1.0466666666666666</c:v>
                </c:pt>
                <c:pt idx="34">
                  <c:v>1.0466666666666666</c:v>
                </c:pt>
                <c:pt idx="36">
                  <c:v>1.0466666666666666</c:v>
                </c:pt>
                <c:pt idx="38">
                  <c:v>1.0466666666666666</c:v>
                </c:pt>
                <c:pt idx="40">
                  <c:v>1.0466666666666666</c:v>
                </c:pt>
                <c:pt idx="42">
                  <c:v>1.1733333333333333</c:v>
                </c:pt>
                <c:pt idx="44">
                  <c:v>1.1733333333333333</c:v>
                </c:pt>
                <c:pt idx="46">
                  <c:v>1.1733333333333333</c:v>
                </c:pt>
                <c:pt idx="48">
                  <c:v>1.1733333333333333</c:v>
                </c:pt>
                <c:pt idx="50">
                  <c:v>0.21249999999999999</c:v>
                </c:pt>
                <c:pt idx="52">
                  <c:v>0.21249999999999999</c:v>
                </c:pt>
                <c:pt idx="54">
                  <c:v>0.21249999999999999</c:v>
                </c:pt>
                <c:pt idx="56">
                  <c:v>0.21249999999999999</c:v>
                </c:pt>
                <c:pt idx="58">
                  <c:v>4</c:v>
                </c:pt>
                <c:pt idx="60">
                  <c:v>0.13333333333333333</c:v>
                </c:pt>
                <c:pt idx="62">
                  <c:v>6.6666666666666666E-2</c:v>
                </c:pt>
                <c:pt idx="64">
                  <c:v>0.75</c:v>
                </c:pt>
                <c:pt idx="66">
                  <c:v>0.75</c:v>
                </c:pt>
                <c:pt idx="68">
                  <c:v>0.75</c:v>
                </c:pt>
                <c:pt idx="70">
                  <c:v>1.6666666666666666E-2</c:v>
                </c:pt>
                <c:pt idx="72">
                  <c:v>1.6666666666666666E-2</c:v>
                </c:pt>
              </c:numCache>
            </c:numRef>
          </c:xVal>
          <c:yVal>
            <c:numRef>
              <c:f>'e-LTM Single graph'!$D$3:$D$189</c:f>
              <c:numCache>
                <c:formatCode>General</c:formatCode>
                <c:ptCount val="187"/>
                <c:pt idx="0" formatCode="0.00">
                  <c:v>-4.4677116287178305E-2</c:v>
                </c:pt>
                <c:pt idx="2" formatCode="0.00">
                  <c:v>-0.75462173189743664</c:v>
                </c:pt>
                <c:pt idx="4" formatCode="0.00">
                  <c:v>-0.40883666822206854</c:v>
                </c:pt>
                <c:pt idx="6" formatCode="0.00">
                  <c:v>-0.45755734351725819</c:v>
                </c:pt>
                <c:pt idx="8" formatCode="0.00">
                  <c:v>-0.29520485385500506</c:v>
                </c:pt>
                <c:pt idx="10" formatCode="0.00">
                  <c:v>-0.74934456887203515</c:v>
                </c:pt>
                <c:pt idx="12" formatCode="0.00">
                  <c:v>-0.38361945485187965</c:v>
                </c:pt>
                <c:pt idx="14" formatCode="0.00">
                  <c:v>-0.44995182923018884</c:v>
                </c:pt>
                <c:pt idx="16" formatCode="0.00">
                  <c:v>-0.37724989468313669</c:v>
                </c:pt>
                <c:pt idx="18" formatCode="0.00">
                  <c:v>-1.9019416808138942E-2</c:v>
                </c:pt>
                <c:pt idx="20" formatCode="0.00">
                  <c:v>-3.1532453072946921E-2</c:v>
                </c:pt>
                <c:pt idx="22" formatCode="0.00">
                  <c:v>-0.24040884614397717</c:v>
                </c:pt>
                <c:pt idx="24" formatCode="0.00">
                  <c:v>-0.2149309009739736</c:v>
                </c:pt>
                <c:pt idx="26" formatCode="0.00">
                  <c:v>-0.24951026457854411</c:v>
                </c:pt>
                <c:pt idx="28" formatCode="0.00">
                  <c:v>-0.35645670893384496</c:v>
                </c:pt>
                <c:pt idx="30" formatCode="0.00">
                  <c:v>-0.14575647814423051</c:v>
                </c:pt>
                <c:pt idx="32" formatCode="0.00">
                  <c:v>-0.14951745200006822</c:v>
                </c:pt>
                <c:pt idx="34" formatCode="0.00">
                  <c:v>-0.2265743324061473</c:v>
                </c:pt>
                <c:pt idx="36" formatCode="0.00">
                  <c:v>-0.22268948822304618</c:v>
                </c:pt>
                <c:pt idx="38" formatCode="0.00">
                  <c:v>-1.9249060332196644E-2</c:v>
                </c:pt>
                <c:pt idx="40" formatCode="0.00">
                  <c:v>-3.6593837642734404E-2</c:v>
                </c:pt>
                <c:pt idx="42" formatCode="0.00">
                  <c:v>-0.19073528606652271</c:v>
                </c:pt>
                <c:pt idx="44" formatCode="0.00">
                  <c:v>-0.15658516371995584</c:v>
                </c:pt>
                <c:pt idx="46" formatCode="0.00">
                  <c:v>-4.656993122468521E-2</c:v>
                </c:pt>
                <c:pt idx="48" formatCode="0.00">
                  <c:v>-0.14891790493837317</c:v>
                </c:pt>
                <c:pt idx="50" formatCode="0.00">
                  <c:v>-0.30475135206540238</c:v>
                </c:pt>
                <c:pt idx="52" formatCode="0.00">
                  <c:v>-0.34061755633118523</c:v>
                </c:pt>
                <c:pt idx="54" formatCode="0.00">
                  <c:v>-0.18699373208102818</c:v>
                </c:pt>
                <c:pt idx="56" formatCode="0.00">
                  <c:v>-0.14920548299381145</c:v>
                </c:pt>
                <c:pt idx="58" formatCode="0.00">
                  <c:v>-6.6320753200862073E-2</c:v>
                </c:pt>
                <c:pt idx="60" formatCode="0.00">
                  <c:v>-0.10963244929778714</c:v>
                </c:pt>
                <c:pt idx="62" formatCode="0.00">
                  <c:v>-3.5682854601662491E-2</c:v>
                </c:pt>
                <c:pt idx="64" formatCode="0.00">
                  <c:v>-1.9727464596118505E-2</c:v>
                </c:pt>
                <c:pt idx="66" formatCode="0.00">
                  <c:v>-3.157575331899632E-3</c:v>
                </c:pt>
                <c:pt idx="68" formatCode="0.00">
                  <c:v>-1.4077656808005854E-2</c:v>
                </c:pt>
                <c:pt idx="70" formatCode="0.00">
                  <c:v>-7.4822670105094274E-2</c:v>
                </c:pt>
                <c:pt idx="72" formatCode="0.00">
                  <c:v>-8.2642429220752947E-2</c:v>
                </c:pt>
              </c:numCache>
            </c:numRef>
          </c:yVal>
          <c:smooth val="0"/>
          <c:extLst>
            <c:ext xmlns:c16="http://schemas.microsoft.com/office/drawing/2014/chart" uri="{C3380CC4-5D6E-409C-BE32-E72D297353CC}">
              <c16:uniqueId val="{00000000-9BCC-452E-969A-F9011D165DB5}"/>
            </c:ext>
          </c:extLst>
        </c:ser>
        <c:dLbls>
          <c:showLegendKey val="0"/>
          <c:showVal val="0"/>
          <c:showCatName val="0"/>
          <c:showSerName val="0"/>
          <c:showPercent val="0"/>
          <c:showBubbleSize val="0"/>
        </c:dLbls>
        <c:axId val="1710000639"/>
        <c:axId val="1804425839"/>
      </c:scatterChart>
      <c:valAx>
        <c:axId val="1710000639"/>
        <c:scaling>
          <c:logBase val="10"/>
          <c:orientation val="minMax"/>
          <c:min val="0.1"/>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1200">
                    <a:solidFill>
                      <a:sysClr val="windowText" lastClr="000000"/>
                    </a:solidFill>
                  </a:rPr>
                  <a:t>Delay (in hours)</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804425839"/>
        <c:crossesAt val="-1"/>
        <c:crossBetween val="midCat"/>
      </c:valAx>
      <c:valAx>
        <c:axId val="1804425839"/>
        <c:scaling>
          <c:orientation val="minMax"/>
          <c:max val="0"/>
          <c:min val="-1"/>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Exponent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710000639"/>
        <c:crossesAt val="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solidFill>
                  <a:schemeClr val="tx1"/>
                </a:solidFill>
              </a:rPr>
              <a:t>e-LTM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rgbClr val="0070C0"/>
              </a:solidFill>
              <a:ln w="9525">
                <a:solidFill>
                  <a:srgbClr val="0070C0"/>
                </a:solidFill>
              </a:ln>
              <a:effectLst/>
            </c:spPr>
          </c:marker>
          <c:trendline>
            <c:spPr>
              <a:ln w="19050" cap="rnd">
                <a:solidFill>
                  <a:srgbClr val="FFC000"/>
                </a:solidFill>
                <a:prstDash val="solid"/>
              </a:ln>
              <a:effectLst/>
            </c:spPr>
            <c:trendlineType val="log"/>
            <c:dispRSqr val="0"/>
            <c:dispEq val="0"/>
          </c:trendline>
          <c:xVal>
            <c:numRef>
              <c:f>'e-LTM Multiple graph'!$C$3:$C$191</c:f>
              <c:numCache>
                <c:formatCode>General</c:formatCode>
                <c:ptCount val="189"/>
                <c:pt idx="0">
                  <c:v>1.5</c:v>
                </c:pt>
                <c:pt idx="2">
                  <c:v>1.5</c:v>
                </c:pt>
                <c:pt idx="4">
                  <c:v>8</c:v>
                </c:pt>
                <c:pt idx="6">
                  <c:v>8</c:v>
                </c:pt>
                <c:pt idx="8">
                  <c:v>0.43333333333333335</c:v>
                </c:pt>
                <c:pt idx="10">
                  <c:v>0.43333333333333335</c:v>
                </c:pt>
                <c:pt idx="12">
                  <c:v>0.13333333333333333</c:v>
                </c:pt>
                <c:pt idx="14">
                  <c:v>6.6666666666666666E-2</c:v>
                </c:pt>
                <c:pt idx="16">
                  <c:v>8</c:v>
                </c:pt>
                <c:pt idx="18">
                  <c:v>8</c:v>
                </c:pt>
                <c:pt idx="20">
                  <c:v>1</c:v>
                </c:pt>
                <c:pt idx="22">
                  <c:v>1</c:v>
                </c:pt>
              </c:numCache>
            </c:numRef>
          </c:xVal>
          <c:yVal>
            <c:numRef>
              <c:f>'e-LTM Multiple graph'!$D$3:$D$191</c:f>
              <c:numCache>
                <c:formatCode>General</c:formatCode>
                <c:ptCount val="189"/>
                <c:pt idx="0" formatCode="0.00">
                  <c:v>-0.10049141940032545</c:v>
                </c:pt>
                <c:pt idx="2" formatCode="0.00">
                  <c:v>-7.4003112899792538E-3</c:v>
                </c:pt>
                <c:pt idx="4" formatCode="0.00">
                  <c:v>-9.1241439313960643E-2</c:v>
                </c:pt>
                <c:pt idx="6" formatCode="0.00">
                  <c:v>-0.29160475075341569</c:v>
                </c:pt>
                <c:pt idx="8" formatCode="0.00">
                  <c:v>-4.0960677745524365E-2</c:v>
                </c:pt>
                <c:pt idx="10" formatCode="0.00">
                  <c:v>-2.4166709395687224E-2</c:v>
                </c:pt>
                <c:pt idx="12" formatCode="0.00">
                  <c:v>-0.21518520993464335</c:v>
                </c:pt>
                <c:pt idx="14" formatCode="0.00">
                  <c:v>-0.10117749958037014</c:v>
                </c:pt>
                <c:pt idx="16" formatCode="0.00">
                  <c:v>-0.15302715566210412</c:v>
                </c:pt>
                <c:pt idx="18" formatCode="0.00">
                  <c:v>-0.19168140517604182</c:v>
                </c:pt>
                <c:pt idx="20" formatCode="0.00">
                  <c:v>-0.10339978263300202</c:v>
                </c:pt>
                <c:pt idx="22" formatCode="0.00">
                  <c:v>-9.4491566824757581E-2</c:v>
                </c:pt>
              </c:numCache>
            </c:numRef>
          </c:yVal>
          <c:smooth val="0"/>
          <c:extLst>
            <c:ext xmlns:c16="http://schemas.microsoft.com/office/drawing/2014/chart" uri="{C3380CC4-5D6E-409C-BE32-E72D297353CC}">
              <c16:uniqueId val="{00000000-CCA5-478F-B876-59D34E03D00B}"/>
            </c:ext>
          </c:extLst>
        </c:ser>
        <c:dLbls>
          <c:showLegendKey val="0"/>
          <c:showVal val="0"/>
          <c:showCatName val="0"/>
          <c:showSerName val="0"/>
          <c:showPercent val="0"/>
          <c:showBubbleSize val="0"/>
        </c:dLbls>
        <c:axId val="1710000639"/>
        <c:axId val="1804425839"/>
      </c:scatterChart>
      <c:valAx>
        <c:axId val="1710000639"/>
        <c:scaling>
          <c:logBase val="10"/>
          <c:orientation val="minMax"/>
          <c:min val="0.1"/>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Delay (in hours)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804425839"/>
        <c:crossesAt val="-1"/>
        <c:crossBetween val="midCat"/>
      </c:valAx>
      <c:valAx>
        <c:axId val="1804425839"/>
        <c:scaling>
          <c:orientation val="minMax"/>
          <c:max val="0"/>
          <c:min val="-1"/>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Exponent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710000639"/>
        <c:crossesAt val="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TLTM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rgbClr val="0070C0"/>
              </a:solidFill>
              <a:ln w="9525">
                <a:solidFill>
                  <a:srgbClr val="0070C0"/>
                </a:solidFill>
              </a:ln>
              <a:effectLst/>
            </c:spPr>
          </c:marker>
          <c:xVal>
            <c:numRef>
              <c:f>'t-LTM graph'!$C$3:$C$266</c:f>
              <c:numCache>
                <c:formatCode>0</c:formatCode>
                <c:ptCount val="264"/>
                <c:pt idx="0">
                  <c:v>7</c:v>
                </c:pt>
                <c:pt idx="2">
                  <c:v>7</c:v>
                </c:pt>
                <c:pt idx="4">
                  <c:v>7</c:v>
                </c:pt>
                <c:pt idx="6">
                  <c:v>7</c:v>
                </c:pt>
                <c:pt idx="8">
                  <c:v>1</c:v>
                </c:pt>
                <c:pt idx="10">
                  <c:v>1</c:v>
                </c:pt>
                <c:pt idx="12">
                  <c:v>3</c:v>
                </c:pt>
                <c:pt idx="14">
                  <c:v>7</c:v>
                </c:pt>
                <c:pt idx="16">
                  <c:v>2</c:v>
                </c:pt>
                <c:pt idx="18">
                  <c:v>2</c:v>
                </c:pt>
                <c:pt idx="20">
                  <c:v>1</c:v>
                </c:pt>
                <c:pt idx="22">
                  <c:v>7</c:v>
                </c:pt>
                <c:pt idx="24">
                  <c:v>7</c:v>
                </c:pt>
                <c:pt idx="26">
                  <c:v>7</c:v>
                </c:pt>
                <c:pt idx="28">
                  <c:v>7</c:v>
                </c:pt>
                <c:pt idx="30">
                  <c:v>1</c:v>
                </c:pt>
                <c:pt idx="32">
                  <c:v>1</c:v>
                </c:pt>
                <c:pt idx="34">
                  <c:v>1</c:v>
                </c:pt>
                <c:pt idx="36">
                  <c:v>1</c:v>
                </c:pt>
                <c:pt idx="38">
                  <c:v>1</c:v>
                </c:pt>
                <c:pt idx="40">
                  <c:v>1</c:v>
                </c:pt>
                <c:pt idx="42">
                  <c:v>7</c:v>
                </c:pt>
                <c:pt idx="44">
                  <c:v>7</c:v>
                </c:pt>
                <c:pt idx="46">
                  <c:v>7</c:v>
                </c:pt>
                <c:pt idx="48">
                  <c:v>7</c:v>
                </c:pt>
                <c:pt idx="50">
                  <c:v>7</c:v>
                </c:pt>
                <c:pt idx="52">
                  <c:v>7</c:v>
                </c:pt>
                <c:pt idx="54">
                  <c:v>7</c:v>
                </c:pt>
                <c:pt idx="56">
                  <c:v>7</c:v>
                </c:pt>
                <c:pt idx="58">
                  <c:v>7</c:v>
                </c:pt>
                <c:pt idx="60">
                  <c:v>7</c:v>
                </c:pt>
                <c:pt idx="62">
                  <c:v>7</c:v>
                </c:pt>
                <c:pt idx="64">
                  <c:v>7</c:v>
                </c:pt>
                <c:pt idx="66">
                  <c:v>7</c:v>
                </c:pt>
                <c:pt idx="68">
                  <c:v>7</c:v>
                </c:pt>
                <c:pt idx="70">
                  <c:v>7</c:v>
                </c:pt>
                <c:pt idx="72">
                  <c:v>7</c:v>
                </c:pt>
                <c:pt idx="74">
                  <c:v>7</c:v>
                </c:pt>
                <c:pt idx="76">
                  <c:v>7</c:v>
                </c:pt>
                <c:pt idx="78">
                  <c:v>7</c:v>
                </c:pt>
                <c:pt idx="80">
                  <c:v>7</c:v>
                </c:pt>
                <c:pt idx="82">
                  <c:v>7</c:v>
                </c:pt>
                <c:pt idx="84">
                  <c:v>7</c:v>
                </c:pt>
                <c:pt idx="86">
                  <c:v>7</c:v>
                </c:pt>
                <c:pt idx="88">
                  <c:v>2</c:v>
                </c:pt>
                <c:pt idx="90">
                  <c:v>2</c:v>
                </c:pt>
                <c:pt idx="92">
                  <c:v>2</c:v>
                </c:pt>
                <c:pt idx="94">
                  <c:v>2</c:v>
                </c:pt>
                <c:pt idx="96">
                  <c:v>7</c:v>
                </c:pt>
                <c:pt idx="98">
                  <c:v>7</c:v>
                </c:pt>
                <c:pt idx="100">
                  <c:v>7</c:v>
                </c:pt>
                <c:pt idx="102">
                  <c:v>7</c:v>
                </c:pt>
                <c:pt idx="104">
                  <c:v>7</c:v>
                </c:pt>
                <c:pt idx="106">
                  <c:v>7</c:v>
                </c:pt>
                <c:pt idx="108">
                  <c:v>7</c:v>
                </c:pt>
                <c:pt idx="110">
                  <c:v>7</c:v>
                </c:pt>
                <c:pt idx="112">
                  <c:v>7</c:v>
                </c:pt>
                <c:pt idx="114">
                  <c:v>7</c:v>
                </c:pt>
                <c:pt idx="116">
                  <c:v>7</c:v>
                </c:pt>
                <c:pt idx="118">
                  <c:v>7</c:v>
                </c:pt>
                <c:pt idx="120">
                  <c:v>7</c:v>
                </c:pt>
                <c:pt idx="122">
                  <c:v>7</c:v>
                </c:pt>
                <c:pt idx="124">
                  <c:v>7</c:v>
                </c:pt>
                <c:pt idx="126">
                  <c:v>2</c:v>
                </c:pt>
                <c:pt idx="128">
                  <c:v>2</c:v>
                </c:pt>
                <c:pt idx="130">
                  <c:v>2</c:v>
                </c:pt>
                <c:pt idx="132">
                  <c:v>7</c:v>
                </c:pt>
                <c:pt idx="134">
                  <c:v>7</c:v>
                </c:pt>
                <c:pt idx="136">
                  <c:v>7</c:v>
                </c:pt>
                <c:pt idx="138">
                  <c:v>7</c:v>
                </c:pt>
                <c:pt idx="140">
                  <c:v>6</c:v>
                </c:pt>
                <c:pt idx="142">
                  <c:v>6</c:v>
                </c:pt>
                <c:pt idx="144">
                  <c:v>7</c:v>
                </c:pt>
                <c:pt idx="146">
                  <c:v>7</c:v>
                </c:pt>
                <c:pt idx="148">
                  <c:v>1</c:v>
                </c:pt>
                <c:pt idx="150">
                  <c:v>1</c:v>
                </c:pt>
                <c:pt idx="152">
                  <c:v>1</c:v>
                </c:pt>
                <c:pt idx="154">
                  <c:v>7</c:v>
                </c:pt>
                <c:pt idx="156">
                  <c:v>7</c:v>
                </c:pt>
                <c:pt idx="158">
                  <c:v>2</c:v>
                </c:pt>
                <c:pt idx="160">
                  <c:v>2</c:v>
                </c:pt>
                <c:pt idx="162">
                  <c:v>7</c:v>
                </c:pt>
                <c:pt idx="164">
                  <c:v>7</c:v>
                </c:pt>
                <c:pt idx="166">
                  <c:v>7</c:v>
                </c:pt>
                <c:pt idx="168">
                  <c:v>2</c:v>
                </c:pt>
                <c:pt idx="170">
                  <c:v>2</c:v>
                </c:pt>
                <c:pt idx="172">
                  <c:v>2</c:v>
                </c:pt>
                <c:pt idx="174">
                  <c:v>7</c:v>
                </c:pt>
                <c:pt idx="176">
                  <c:v>7</c:v>
                </c:pt>
                <c:pt idx="178">
                  <c:v>7</c:v>
                </c:pt>
                <c:pt idx="180">
                  <c:v>7</c:v>
                </c:pt>
                <c:pt idx="182">
                  <c:v>1.3333333333333333</c:v>
                </c:pt>
                <c:pt idx="184">
                  <c:v>2</c:v>
                </c:pt>
                <c:pt idx="186">
                  <c:v>2</c:v>
                </c:pt>
                <c:pt idx="188">
                  <c:v>2</c:v>
                </c:pt>
                <c:pt idx="190">
                  <c:v>2</c:v>
                </c:pt>
                <c:pt idx="192">
                  <c:v>2</c:v>
                </c:pt>
                <c:pt idx="194">
                  <c:v>2</c:v>
                </c:pt>
                <c:pt idx="196">
                  <c:v>2</c:v>
                </c:pt>
                <c:pt idx="198">
                  <c:v>2</c:v>
                </c:pt>
                <c:pt idx="200">
                  <c:v>2</c:v>
                </c:pt>
                <c:pt idx="202">
                  <c:v>2</c:v>
                </c:pt>
                <c:pt idx="204">
                  <c:v>2</c:v>
                </c:pt>
                <c:pt idx="206">
                  <c:v>2</c:v>
                </c:pt>
                <c:pt idx="208">
                  <c:v>2</c:v>
                </c:pt>
                <c:pt idx="210">
                  <c:v>1</c:v>
                </c:pt>
                <c:pt idx="212">
                  <c:v>7</c:v>
                </c:pt>
                <c:pt idx="214">
                  <c:v>7</c:v>
                </c:pt>
                <c:pt idx="216">
                  <c:v>7</c:v>
                </c:pt>
                <c:pt idx="218">
                  <c:v>7</c:v>
                </c:pt>
                <c:pt idx="220">
                  <c:v>1.2916666666666667</c:v>
                </c:pt>
                <c:pt idx="222">
                  <c:v>7</c:v>
                </c:pt>
                <c:pt idx="224">
                  <c:v>2</c:v>
                </c:pt>
                <c:pt idx="226">
                  <c:v>2</c:v>
                </c:pt>
                <c:pt idx="228">
                  <c:v>2</c:v>
                </c:pt>
                <c:pt idx="230">
                  <c:v>2</c:v>
                </c:pt>
                <c:pt idx="232">
                  <c:v>7</c:v>
                </c:pt>
                <c:pt idx="234">
                  <c:v>7</c:v>
                </c:pt>
                <c:pt idx="236">
                  <c:v>2</c:v>
                </c:pt>
                <c:pt idx="238">
                  <c:v>2</c:v>
                </c:pt>
                <c:pt idx="240">
                  <c:v>2</c:v>
                </c:pt>
                <c:pt idx="242">
                  <c:v>7</c:v>
                </c:pt>
                <c:pt idx="244">
                  <c:v>7</c:v>
                </c:pt>
                <c:pt idx="246">
                  <c:v>7</c:v>
                </c:pt>
                <c:pt idx="248">
                  <c:v>7</c:v>
                </c:pt>
                <c:pt idx="250">
                  <c:v>5</c:v>
                </c:pt>
                <c:pt idx="252">
                  <c:v>5</c:v>
                </c:pt>
                <c:pt idx="254">
                  <c:v>5</c:v>
                </c:pt>
                <c:pt idx="256">
                  <c:v>5</c:v>
                </c:pt>
                <c:pt idx="258">
                  <c:v>5</c:v>
                </c:pt>
                <c:pt idx="260">
                  <c:v>5</c:v>
                </c:pt>
                <c:pt idx="262">
                  <c:v>5</c:v>
                </c:pt>
              </c:numCache>
            </c:numRef>
          </c:xVal>
          <c:yVal>
            <c:numRef>
              <c:f>'t-LTM graph'!$D$3:$D$266</c:f>
              <c:numCache>
                <c:formatCode>General</c:formatCode>
                <c:ptCount val="264"/>
                <c:pt idx="0" formatCode="0.00">
                  <c:v>-0.11807393106200441</c:v>
                </c:pt>
                <c:pt idx="2" formatCode="0.00">
                  <c:v>-0.11970481241427627</c:v>
                </c:pt>
                <c:pt idx="4" formatCode="0.00">
                  <c:v>-6.8642470712818149E-2</c:v>
                </c:pt>
                <c:pt idx="6" formatCode="0.00">
                  <c:v>-7.8393965082307462E-2</c:v>
                </c:pt>
                <c:pt idx="8" formatCode="0.00">
                  <c:v>-6.4126575711424896E-2</c:v>
                </c:pt>
                <c:pt idx="10" formatCode="0.00">
                  <c:v>-1.3891845440066442E-2</c:v>
                </c:pt>
                <c:pt idx="12" formatCode="0.00">
                  <c:v>-0.10518063464026346</c:v>
                </c:pt>
                <c:pt idx="14" formatCode="0.00">
                  <c:v>-3.3247186533008365E-2</c:v>
                </c:pt>
                <c:pt idx="16" formatCode="0.00">
                  <c:v>-0.23313064757059063</c:v>
                </c:pt>
                <c:pt idx="18" formatCode="0.00">
                  <c:v>-0.15146565654909644</c:v>
                </c:pt>
                <c:pt idx="20" formatCode="0.00">
                  <c:v>-2.0682404901746009E-2</c:v>
                </c:pt>
                <c:pt idx="22" formatCode="0.00">
                  <c:v>-1.7505181395033102E-2</c:v>
                </c:pt>
                <c:pt idx="24" formatCode="0.00">
                  <c:v>-4.8656392858362589E-2</c:v>
                </c:pt>
                <c:pt idx="26" formatCode="0.00">
                  <c:v>-0.12044284994417628</c:v>
                </c:pt>
                <c:pt idx="28" formatCode="0.00">
                  <c:v>-4.623442866854223E-2</c:v>
                </c:pt>
                <c:pt idx="30" formatCode="0.00">
                  <c:v>-0.16399742349111279</c:v>
                </c:pt>
                <c:pt idx="32" formatCode="0.00">
                  <c:v>-0.24697512855560716</c:v>
                </c:pt>
                <c:pt idx="34" formatCode="0.00">
                  <c:v>-0.20334217547138236</c:v>
                </c:pt>
                <c:pt idx="36" formatCode="0.00">
                  <c:v>-7.6320243260043566E-3</c:v>
                </c:pt>
                <c:pt idx="38" formatCode="0.00">
                  <c:v>-4.9076066639987337E-3</c:v>
                </c:pt>
                <c:pt idx="40" formatCode="0.00">
                  <c:v>-8.7408600388486375E-3</c:v>
                </c:pt>
                <c:pt idx="42" formatCode="0.00">
                  <c:v>-4.2603286173484557E-2</c:v>
                </c:pt>
                <c:pt idx="44" formatCode="0.00">
                  <c:v>-3.5399228764858529E-2</c:v>
                </c:pt>
                <c:pt idx="46" formatCode="0.00">
                  <c:v>-3.2375909093925896E-2</c:v>
                </c:pt>
                <c:pt idx="48" formatCode="0.00">
                  <c:v>-0.12892801646218516</c:v>
                </c:pt>
                <c:pt idx="50" formatCode="0.00">
                  <c:v>-0.23039340924468046</c:v>
                </c:pt>
                <c:pt idx="52" formatCode="0.00">
                  <c:v>-7.5958959080907149E-2</c:v>
                </c:pt>
                <c:pt idx="54" formatCode="0.00">
                  <c:v>-0.15919993184058162</c:v>
                </c:pt>
                <c:pt idx="56" formatCode="0.00">
                  <c:v>-0.18575610221508479</c:v>
                </c:pt>
                <c:pt idx="58" formatCode="0.00">
                  <c:v>-7.3853853236332159E-2</c:v>
                </c:pt>
                <c:pt idx="60" formatCode="0.00">
                  <c:v>-3.9268388916605348E-2</c:v>
                </c:pt>
                <c:pt idx="62" formatCode="0.00">
                  <c:v>-1.9664862159056648E-2</c:v>
                </c:pt>
                <c:pt idx="64" formatCode="0.00">
                  <c:v>-4.1470120856888885E-2</c:v>
                </c:pt>
                <c:pt idx="66" formatCode="0.00">
                  <c:v>-2.040852310772337E-2</c:v>
                </c:pt>
                <c:pt idx="68" formatCode="0.00">
                  <c:v>-1.9974461330275948E-2</c:v>
                </c:pt>
                <c:pt idx="70" formatCode="0.00">
                  <c:v>-3.1732687254297863E-2</c:v>
                </c:pt>
                <c:pt idx="72" formatCode="0.00">
                  <c:v>-1.6813191845441774E-2</c:v>
                </c:pt>
                <c:pt idx="74" formatCode="0.00">
                  <c:v>-1.9148678371994979E-2</c:v>
                </c:pt>
                <c:pt idx="76" formatCode="0.00">
                  <c:v>-5.0651137425773506E-2</c:v>
                </c:pt>
                <c:pt idx="78" formatCode="0.00">
                  <c:v>-4.8660829493556233E-2</c:v>
                </c:pt>
                <c:pt idx="80" formatCode="0.00">
                  <c:v>-3.0262402091758095E-2</c:v>
                </c:pt>
                <c:pt idx="82" formatCode="0.00">
                  <c:v>-3.612848953466926E-2</c:v>
                </c:pt>
                <c:pt idx="84" formatCode="0.00">
                  <c:v>-5.2686385463934469E-3</c:v>
                </c:pt>
                <c:pt idx="86" formatCode="0.00">
                  <c:v>-6.9854909369670938E-3</c:v>
                </c:pt>
                <c:pt idx="88" formatCode="0.00">
                  <c:v>-9.8947942040260403E-2</c:v>
                </c:pt>
                <c:pt idx="90" formatCode="0.00">
                  <c:v>-2.9807273464141082E-2</c:v>
                </c:pt>
                <c:pt idx="92" formatCode="0.00">
                  <c:v>-7.5602697699415642E-3</c:v>
                </c:pt>
                <c:pt idx="94" formatCode="0.00">
                  <c:v>-1.6251198968042613E-2</c:v>
                </c:pt>
                <c:pt idx="96" formatCode="0.00">
                  <c:v>-0.10638132353925876</c:v>
                </c:pt>
                <c:pt idx="98" formatCode="0.00">
                  <c:v>-0.21977134839840412</c:v>
                </c:pt>
                <c:pt idx="100" formatCode="0.00">
                  <c:v>-2.5025125375607447E-2</c:v>
                </c:pt>
                <c:pt idx="102" formatCode="0.00">
                  <c:v>-4.8853910085287923E-2</c:v>
                </c:pt>
                <c:pt idx="104" formatCode="0.00">
                  <c:v>-0.12884593549700782</c:v>
                </c:pt>
                <c:pt idx="106" formatCode="0.00">
                  <c:v>-6.7982734725501884E-2</c:v>
                </c:pt>
                <c:pt idx="108" formatCode="0.00">
                  <c:v>-2.9406470587592642E-2</c:v>
                </c:pt>
                <c:pt idx="110" formatCode="0.00">
                  <c:v>-1.3867887696298507E-2</c:v>
                </c:pt>
                <c:pt idx="112" formatCode="0.00">
                  <c:v>-3.1927310533355263E-2</c:v>
                </c:pt>
                <c:pt idx="114" formatCode="0.00">
                  <c:v>-1.5360689594856362E-2</c:v>
                </c:pt>
                <c:pt idx="116" formatCode="0.00">
                  <c:v>-1.2135508937400896E-2</c:v>
                </c:pt>
                <c:pt idx="118" formatCode="0.00">
                  <c:v>-1.7808878466835282E-2</c:v>
                </c:pt>
                <c:pt idx="120" formatCode="0.00">
                  <c:v>-2.3146964031138736E-2</c:v>
                </c:pt>
                <c:pt idx="122" formatCode="0.00">
                  <c:v>-2.2817715052872257E-2</c:v>
                </c:pt>
                <c:pt idx="124" formatCode="0.00">
                  <c:v>-4.0362451579561136E-2</c:v>
                </c:pt>
                <c:pt idx="126" formatCode="0.00">
                  <c:v>-3.2993561655819785E-2</c:v>
                </c:pt>
                <c:pt idx="128" formatCode="0.00">
                  <c:v>-6.0244254685207492E-2</c:v>
                </c:pt>
                <c:pt idx="130" formatCode="0.00">
                  <c:v>-4.6712226118396982E-2</c:v>
                </c:pt>
                <c:pt idx="132" formatCode="0.00">
                  <c:v>-3.6145297356931498E-2</c:v>
                </c:pt>
                <c:pt idx="134" formatCode="0.00">
                  <c:v>-5.3563338424100639E-2</c:v>
                </c:pt>
                <c:pt idx="136" formatCode="0.00">
                  <c:v>-6.0378123203897564E-2</c:v>
                </c:pt>
                <c:pt idx="138" formatCode="0.00">
                  <c:v>-0.13191737937665859</c:v>
                </c:pt>
                <c:pt idx="140" formatCode="0.00">
                  <c:v>-9.8516611570544546E-2</c:v>
                </c:pt>
                <c:pt idx="142" formatCode="0.00">
                  <c:v>-7.1193197587546664E-2</c:v>
                </c:pt>
                <c:pt idx="144" formatCode="0.00">
                  <c:v>-0.10803581450967538</c:v>
                </c:pt>
                <c:pt idx="146" formatCode="0.00">
                  <c:v>-3.2578970418358659E-2</c:v>
                </c:pt>
                <c:pt idx="148" formatCode="0.00">
                  <c:v>-3.3090854239568694E-2</c:v>
                </c:pt>
                <c:pt idx="150" formatCode="0.00">
                  <c:v>-3.3182958324869442E-2</c:v>
                </c:pt>
                <c:pt idx="152" formatCode="0.00">
                  <c:v>-5.9043720295593315E-2</c:v>
                </c:pt>
                <c:pt idx="154" formatCode="0.00">
                  <c:v>-2.4619458230427545E-2</c:v>
                </c:pt>
                <c:pt idx="156" formatCode="0.00">
                  <c:v>-3.0946718045348078E-2</c:v>
                </c:pt>
                <c:pt idx="158" formatCode="0.00">
                  <c:v>-5.8187416724719776E-2</c:v>
                </c:pt>
                <c:pt idx="160" formatCode="0.00">
                  <c:v>-9.794832078783669E-2</c:v>
                </c:pt>
                <c:pt idx="162" formatCode="0.00">
                  <c:v>-0.58855774879787159</c:v>
                </c:pt>
                <c:pt idx="164" formatCode="0.00">
                  <c:v>-0.20025067487493042</c:v>
                </c:pt>
                <c:pt idx="166" formatCode="0.00">
                  <c:v>-4.1553017301313395E-2</c:v>
                </c:pt>
                <c:pt idx="168" formatCode="0.00">
                  <c:v>-2.0430453216611359E-2</c:v>
                </c:pt>
                <c:pt idx="170" formatCode="0.00">
                  <c:v>-7.2498428077765964E-2</c:v>
                </c:pt>
                <c:pt idx="172" formatCode="0.00">
                  <c:v>-4.6015031429518342E-2</c:v>
                </c:pt>
                <c:pt idx="174" formatCode="0.00">
                  <c:v>-6.5888483525902999E-2</c:v>
                </c:pt>
                <c:pt idx="176" formatCode="0.00">
                  <c:v>-6.6679408592660666E-2</c:v>
                </c:pt>
                <c:pt idx="178" formatCode="0.00">
                  <c:v>-1.1036816622011864E-2</c:v>
                </c:pt>
                <c:pt idx="180" formatCode="0.00">
                  <c:v>-1.4151289308539197E-2</c:v>
                </c:pt>
                <c:pt idx="182" formatCode="0.00">
                  <c:v>-3.0424455677092052E-2</c:v>
                </c:pt>
                <c:pt idx="184" formatCode="0.00">
                  <c:v>-0.17382893632281318</c:v>
                </c:pt>
                <c:pt idx="186" formatCode="0.00">
                  <c:v>-0.34933459289627244</c:v>
                </c:pt>
                <c:pt idx="188" formatCode="0.00">
                  <c:v>-0.1738064470786348</c:v>
                </c:pt>
                <c:pt idx="190" formatCode="0.00">
                  <c:v>-0.2237324867338856</c:v>
                </c:pt>
                <c:pt idx="192" formatCode="0.00">
                  <c:v>-0.29046769524161198</c:v>
                </c:pt>
                <c:pt idx="194" formatCode="0.00">
                  <c:v>-8.2402916796141187E-2</c:v>
                </c:pt>
                <c:pt idx="196" formatCode="0.00">
                  <c:v>-4.4339117039679361E-2</c:v>
                </c:pt>
                <c:pt idx="198" formatCode="0.00">
                  <c:v>-7.7845477423216666E-2</c:v>
                </c:pt>
                <c:pt idx="200" formatCode="0.00">
                  <c:v>-0.17511701843707009</c:v>
                </c:pt>
                <c:pt idx="202" formatCode="0.00">
                  <c:v>-3.966017765075585E-2</c:v>
                </c:pt>
                <c:pt idx="204" formatCode="0.00">
                  <c:v>-0.10469048836856661</c:v>
                </c:pt>
                <c:pt idx="206" formatCode="0.00">
                  <c:v>-9.6008187041175721E-3</c:v>
                </c:pt>
                <c:pt idx="208" formatCode="0.00">
                  <c:v>-1.7605154868915986E-2</c:v>
                </c:pt>
                <c:pt idx="210" formatCode="0.00">
                  <c:v>-2.6620588926005297E-2</c:v>
                </c:pt>
                <c:pt idx="212" formatCode="0.00">
                  <c:v>-4.7866769554813511E-2</c:v>
                </c:pt>
                <c:pt idx="214" formatCode="0.00">
                  <c:v>-2.4665227897221281E-2</c:v>
                </c:pt>
                <c:pt idx="216" formatCode="0.00">
                  <c:v>-7.551750898022197E-2</c:v>
                </c:pt>
                <c:pt idx="218" formatCode="0.00">
                  <c:v>-4.5534825890511214E-2</c:v>
                </c:pt>
                <c:pt idx="220" formatCode="0.00">
                  <c:v>-4.3690147371452458E-2</c:v>
                </c:pt>
                <c:pt idx="222" formatCode="0.00">
                  <c:v>-3.8890409761290982E-2</c:v>
                </c:pt>
                <c:pt idx="224" formatCode="0.00">
                  <c:v>-9.4484585895395296E-2</c:v>
                </c:pt>
                <c:pt idx="226" formatCode="0.00">
                  <c:v>-9.4949048251594365E-2</c:v>
                </c:pt>
                <c:pt idx="228" formatCode="0.00">
                  <c:v>-2.2398360480603421E-2</c:v>
                </c:pt>
                <c:pt idx="230" formatCode="0.00">
                  <c:v>-2.8118273124892797E-2</c:v>
                </c:pt>
                <c:pt idx="232" formatCode="0.00">
                  <c:v>-8.0944359945756023E-2</c:v>
                </c:pt>
                <c:pt idx="234" formatCode="0.00">
                  <c:v>-3.0531369288992204E-2</c:v>
                </c:pt>
                <c:pt idx="236" formatCode="0.00">
                  <c:v>-6.608223809561338E-3</c:v>
                </c:pt>
                <c:pt idx="238" formatCode="0.00">
                  <c:v>-3.1675062942645014E-2</c:v>
                </c:pt>
                <c:pt idx="240" formatCode="0.00">
                  <c:v>-1.3533791069429216E-2</c:v>
                </c:pt>
                <c:pt idx="242" formatCode="0.00">
                  <c:v>-1.3158155476526311E-3</c:v>
                </c:pt>
                <c:pt idx="244" formatCode="0.00">
                  <c:v>-3.6202616039798775E-2</c:v>
                </c:pt>
                <c:pt idx="246" formatCode="0.00">
                  <c:v>-3.5544064179208461E-2</c:v>
                </c:pt>
                <c:pt idx="248" formatCode="0.00">
                  <c:v>-6.6988517765718E-2</c:v>
                </c:pt>
                <c:pt idx="250" formatCode="0.00">
                  <c:v>-4.7047267276957058E-2</c:v>
                </c:pt>
                <c:pt idx="252" formatCode="0.00">
                  <c:v>-4.916106488143767E-2</c:v>
                </c:pt>
                <c:pt idx="254" formatCode="0.00">
                  <c:v>-2.1626797899197983E-2</c:v>
                </c:pt>
                <c:pt idx="256" formatCode="0.00">
                  <c:v>-4.5522882976467553E-2</c:v>
                </c:pt>
                <c:pt idx="258" formatCode="0.00">
                  <c:v>-7.4195209043765004E-2</c:v>
                </c:pt>
                <c:pt idx="260" formatCode="0.00">
                  <c:v>-0.11448742767495147</c:v>
                </c:pt>
                <c:pt idx="262" formatCode="0.00">
                  <c:v>-3.0297082499087184E-2</c:v>
                </c:pt>
              </c:numCache>
            </c:numRef>
          </c:yVal>
          <c:smooth val="0"/>
          <c:extLst>
            <c:ext xmlns:c16="http://schemas.microsoft.com/office/drawing/2014/chart" uri="{C3380CC4-5D6E-409C-BE32-E72D297353CC}">
              <c16:uniqueId val="{00000000-E919-4E37-BE58-80752B358980}"/>
            </c:ext>
          </c:extLst>
        </c:ser>
        <c:dLbls>
          <c:showLegendKey val="0"/>
          <c:showVal val="0"/>
          <c:showCatName val="0"/>
          <c:showSerName val="0"/>
          <c:showPercent val="0"/>
          <c:showBubbleSize val="0"/>
        </c:dLbls>
        <c:axId val="1710000639"/>
        <c:axId val="1804425839"/>
      </c:scatterChart>
      <c:valAx>
        <c:axId val="1710000639"/>
        <c:scaling>
          <c:logBase val="10"/>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Delay (in days)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804425839"/>
        <c:crosses val="autoZero"/>
        <c:crossBetween val="midCat"/>
      </c:valAx>
      <c:valAx>
        <c:axId val="1804425839"/>
        <c:scaling>
          <c:orientation val="minMax"/>
          <c:max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Memory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710000639"/>
        <c:crossesAt val="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solidFill>
                  <a:schemeClr val="tx1"/>
                </a:solidFill>
              </a:rPr>
              <a:t>t-LTM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rgbClr val="0070C0"/>
              </a:solidFill>
              <a:ln w="9525">
                <a:solidFill>
                  <a:srgbClr val="0070C0"/>
                </a:solidFill>
              </a:ln>
              <a:effectLst/>
            </c:spPr>
          </c:marker>
          <c:trendline>
            <c:spPr>
              <a:ln w="19050" cap="rnd">
                <a:solidFill>
                  <a:srgbClr val="FFC000"/>
                </a:solidFill>
                <a:prstDash val="solid"/>
              </a:ln>
              <a:effectLst/>
            </c:spPr>
            <c:trendlineType val="log"/>
            <c:dispRSqr val="0"/>
            <c:dispEq val="0"/>
          </c:trendline>
          <c:xVal>
            <c:numRef>
              <c:f>'t-LTM Single graph'!$C$3:$C$191</c:f>
              <c:numCache>
                <c:formatCode>0.0</c:formatCode>
                <c:ptCount val="189"/>
                <c:pt idx="0" formatCode="0">
                  <c:v>2</c:v>
                </c:pt>
                <c:pt idx="2" formatCode="0">
                  <c:v>2</c:v>
                </c:pt>
                <c:pt idx="4" formatCode="0">
                  <c:v>7</c:v>
                </c:pt>
                <c:pt idx="6" formatCode="0">
                  <c:v>7</c:v>
                </c:pt>
                <c:pt idx="8" formatCode="0">
                  <c:v>7</c:v>
                </c:pt>
                <c:pt idx="10" formatCode="0">
                  <c:v>7</c:v>
                </c:pt>
                <c:pt idx="12" formatCode="0">
                  <c:v>7</c:v>
                </c:pt>
                <c:pt idx="14" formatCode="0">
                  <c:v>7</c:v>
                </c:pt>
                <c:pt idx="16" formatCode="0">
                  <c:v>7</c:v>
                </c:pt>
                <c:pt idx="18" formatCode="0">
                  <c:v>7</c:v>
                </c:pt>
                <c:pt idx="20" formatCode="0">
                  <c:v>7</c:v>
                </c:pt>
                <c:pt idx="22" formatCode="0">
                  <c:v>7</c:v>
                </c:pt>
                <c:pt idx="24" formatCode="0">
                  <c:v>7</c:v>
                </c:pt>
                <c:pt idx="26" formatCode="0">
                  <c:v>7</c:v>
                </c:pt>
                <c:pt idx="28" formatCode="0">
                  <c:v>7</c:v>
                </c:pt>
                <c:pt idx="30" formatCode="0">
                  <c:v>7</c:v>
                </c:pt>
                <c:pt idx="32" formatCode="0">
                  <c:v>7</c:v>
                </c:pt>
                <c:pt idx="34" formatCode="0">
                  <c:v>7</c:v>
                </c:pt>
                <c:pt idx="36" formatCode="0">
                  <c:v>7</c:v>
                </c:pt>
                <c:pt idx="38" formatCode="0">
                  <c:v>7</c:v>
                </c:pt>
                <c:pt idx="40" formatCode="0">
                  <c:v>7</c:v>
                </c:pt>
                <c:pt idx="42" formatCode="0">
                  <c:v>7</c:v>
                </c:pt>
                <c:pt idx="44" formatCode="0">
                  <c:v>7</c:v>
                </c:pt>
                <c:pt idx="46" formatCode="0">
                  <c:v>7</c:v>
                </c:pt>
                <c:pt idx="48" formatCode="0">
                  <c:v>7</c:v>
                </c:pt>
                <c:pt idx="50" formatCode="0">
                  <c:v>7</c:v>
                </c:pt>
                <c:pt idx="52" formatCode="0">
                  <c:v>2</c:v>
                </c:pt>
                <c:pt idx="54" formatCode="0">
                  <c:v>7</c:v>
                </c:pt>
                <c:pt idx="56" formatCode="0">
                  <c:v>7</c:v>
                </c:pt>
                <c:pt idx="58" formatCode="0">
                  <c:v>7</c:v>
                </c:pt>
                <c:pt idx="60" formatCode="0">
                  <c:v>7</c:v>
                </c:pt>
                <c:pt idx="62" formatCode="0">
                  <c:v>7</c:v>
                </c:pt>
                <c:pt idx="64" formatCode="0">
                  <c:v>7</c:v>
                </c:pt>
                <c:pt idx="66" formatCode="0">
                  <c:v>7</c:v>
                </c:pt>
                <c:pt idx="68" formatCode="0">
                  <c:v>7</c:v>
                </c:pt>
                <c:pt idx="70" formatCode="0">
                  <c:v>7</c:v>
                </c:pt>
                <c:pt idx="72" formatCode="0">
                  <c:v>7</c:v>
                </c:pt>
                <c:pt idx="74" formatCode="0">
                  <c:v>7</c:v>
                </c:pt>
                <c:pt idx="76" formatCode="0">
                  <c:v>7</c:v>
                </c:pt>
                <c:pt idx="78" formatCode="0">
                  <c:v>7</c:v>
                </c:pt>
                <c:pt idx="80" formatCode="0">
                  <c:v>7</c:v>
                </c:pt>
                <c:pt idx="82" formatCode="0">
                  <c:v>7</c:v>
                </c:pt>
                <c:pt idx="84" formatCode="0">
                  <c:v>7</c:v>
                </c:pt>
                <c:pt idx="86" formatCode="0">
                  <c:v>7</c:v>
                </c:pt>
                <c:pt idx="88" formatCode="0">
                  <c:v>7</c:v>
                </c:pt>
                <c:pt idx="90" formatCode="0">
                  <c:v>7</c:v>
                </c:pt>
                <c:pt idx="92" formatCode="0">
                  <c:v>1</c:v>
                </c:pt>
                <c:pt idx="94" formatCode="0">
                  <c:v>1</c:v>
                </c:pt>
                <c:pt idx="96" formatCode="0">
                  <c:v>1</c:v>
                </c:pt>
                <c:pt idx="98" formatCode="0">
                  <c:v>7</c:v>
                </c:pt>
                <c:pt idx="100" formatCode="0">
                  <c:v>7</c:v>
                </c:pt>
                <c:pt idx="102" formatCode="0">
                  <c:v>2</c:v>
                </c:pt>
                <c:pt idx="104" formatCode="0">
                  <c:v>2</c:v>
                </c:pt>
                <c:pt idx="106" formatCode="0">
                  <c:v>7</c:v>
                </c:pt>
                <c:pt idx="108" formatCode="0">
                  <c:v>7</c:v>
                </c:pt>
                <c:pt idx="110" formatCode="0">
                  <c:v>7</c:v>
                </c:pt>
                <c:pt idx="112" formatCode="0">
                  <c:v>7</c:v>
                </c:pt>
                <c:pt idx="114" formatCode="0">
                  <c:v>7</c:v>
                </c:pt>
                <c:pt idx="116" formatCode="0">
                  <c:v>7</c:v>
                </c:pt>
                <c:pt idx="118" formatCode="0">
                  <c:v>7</c:v>
                </c:pt>
                <c:pt idx="120" formatCode="0">
                  <c:v>1.3333333333333333</c:v>
                </c:pt>
                <c:pt idx="122" formatCode="0">
                  <c:v>2</c:v>
                </c:pt>
                <c:pt idx="124" formatCode="0">
                  <c:v>2</c:v>
                </c:pt>
                <c:pt idx="126" formatCode="0">
                  <c:v>2</c:v>
                </c:pt>
                <c:pt idx="128" formatCode="0">
                  <c:v>2</c:v>
                </c:pt>
                <c:pt idx="130" formatCode="0">
                  <c:v>7</c:v>
                </c:pt>
                <c:pt idx="132" formatCode="0">
                  <c:v>7</c:v>
                </c:pt>
                <c:pt idx="134" formatCode="0">
                  <c:v>7</c:v>
                </c:pt>
                <c:pt idx="136" formatCode="0">
                  <c:v>7</c:v>
                </c:pt>
                <c:pt idx="138" formatCode="0">
                  <c:v>1.2916666666666667</c:v>
                </c:pt>
                <c:pt idx="140" formatCode="0">
                  <c:v>2</c:v>
                </c:pt>
                <c:pt idx="142" formatCode="0">
                  <c:v>2</c:v>
                </c:pt>
                <c:pt idx="144" formatCode="0">
                  <c:v>2</c:v>
                </c:pt>
                <c:pt idx="146" formatCode="0">
                  <c:v>2</c:v>
                </c:pt>
                <c:pt idx="148" formatCode="0">
                  <c:v>5</c:v>
                </c:pt>
                <c:pt idx="150" formatCode="0">
                  <c:v>5</c:v>
                </c:pt>
                <c:pt idx="152" formatCode="0">
                  <c:v>7</c:v>
                </c:pt>
                <c:pt idx="154" formatCode="0">
                  <c:v>7</c:v>
                </c:pt>
                <c:pt idx="156" formatCode="0">
                  <c:v>7</c:v>
                </c:pt>
                <c:pt idx="158" formatCode="0">
                  <c:v>7</c:v>
                </c:pt>
                <c:pt idx="160" formatCode="0">
                  <c:v>7</c:v>
                </c:pt>
                <c:pt idx="162" formatCode="0">
                  <c:v>7</c:v>
                </c:pt>
                <c:pt idx="164" formatCode="0">
                  <c:v>7</c:v>
                </c:pt>
                <c:pt idx="166" formatCode="0">
                  <c:v>7</c:v>
                </c:pt>
                <c:pt idx="168" formatCode="0">
                  <c:v>7</c:v>
                </c:pt>
                <c:pt idx="170" formatCode="0">
                  <c:v>7</c:v>
                </c:pt>
                <c:pt idx="172" formatCode="0">
                  <c:v>7</c:v>
                </c:pt>
                <c:pt idx="174" formatCode="0">
                  <c:v>2</c:v>
                </c:pt>
                <c:pt idx="176" formatCode="0">
                  <c:v>2</c:v>
                </c:pt>
                <c:pt idx="178" formatCode="0">
                  <c:v>2</c:v>
                </c:pt>
                <c:pt idx="180" formatCode="0">
                  <c:v>2</c:v>
                </c:pt>
                <c:pt idx="182" formatCode="0">
                  <c:v>1</c:v>
                </c:pt>
                <c:pt idx="184" formatCode="0">
                  <c:v>1</c:v>
                </c:pt>
                <c:pt idx="186" formatCode="0">
                  <c:v>1</c:v>
                </c:pt>
                <c:pt idx="188" formatCode="0">
                  <c:v>1</c:v>
                </c:pt>
              </c:numCache>
            </c:numRef>
          </c:xVal>
          <c:yVal>
            <c:numRef>
              <c:f>'t-LTM Single graph'!$D$3:$D$191</c:f>
              <c:numCache>
                <c:formatCode>General</c:formatCode>
                <c:ptCount val="189"/>
                <c:pt idx="0" formatCode="0.00">
                  <c:v>-0.23313064757059063</c:v>
                </c:pt>
                <c:pt idx="2" formatCode="0.00">
                  <c:v>-0.15146565654909644</c:v>
                </c:pt>
                <c:pt idx="4" formatCode="0.00">
                  <c:v>-2.0682404901746009E-2</c:v>
                </c:pt>
                <c:pt idx="6" formatCode="0.00">
                  <c:v>-1.7505181395033102E-2</c:v>
                </c:pt>
                <c:pt idx="8" formatCode="0.00">
                  <c:v>-4.8656392858362589E-2</c:v>
                </c:pt>
                <c:pt idx="10" formatCode="0.00">
                  <c:v>-0.12044284994417628</c:v>
                </c:pt>
                <c:pt idx="12" formatCode="0.00">
                  <c:v>-4.623442866854223E-2</c:v>
                </c:pt>
                <c:pt idx="14" formatCode="0.00">
                  <c:v>-4.2603286173484557E-2</c:v>
                </c:pt>
                <c:pt idx="16" formatCode="0.00">
                  <c:v>-3.5399228764858529E-2</c:v>
                </c:pt>
                <c:pt idx="18" formatCode="0.00">
                  <c:v>-3.2375909093925896E-2</c:v>
                </c:pt>
                <c:pt idx="20" formatCode="0.00">
                  <c:v>-0.12892801646218516</c:v>
                </c:pt>
                <c:pt idx="22" formatCode="0.00">
                  <c:v>-0.23039340924468046</c:v>
                </c:pt>
                <c:pt idx="24" formatCode="0.00">
                  <c:v>-7.5958959080907149E-2</c:v>
                </c:pt>
                <c:pt idx="26" formatCode="0.00">
                  <c:v>-0.15919993184058162</c:v>
                </c:pt>
                <c:pt idx="28" formatCode="0.00">
                  <c:v>-0.18575610221508479</c:v>
                </c:pt>
                <c:pt idx="30" formatCode="0.00">
                  <c:v>-7.3853853236332159E-2</c:v>
                </c:pt>
                <c:pt idx="32" formatCode="0.00">
                  <c:v>-3.9268388916605348E-2</c:v>
                </c:pt>
                <c:pt idx="34" formatCode="0.00">
                  <c:v>-1.9664862159056648E-2</c:v>
                </c:pt>
                <c:pt idx="36" formatCode="0.00">
                  <c:v>-4.1470120856888885E-2</c:v>
                </c:pt>
                <c:pt idx="38" formatCode="0.00">
                  <c:v>-2.040852310772337E-2</c:v>
                </c:pt>
                <c:pt idx="40" formatCode="0.00">
                  <c:v>-1.9974461330275948E-2</c:v>
                </c:pt>
                <c:pt idx="42" formatCode="0.00">
                  <c:v>-3.1732687254297863E-2</c:v>
                </c:pt>
                <c:pt idx="44" formatCode="0.00">
                  <c:v>-1.6813191845441774E-2</c:v>
                </c:pt>
                <c:pt idx="46" formatCode="0.00">
                  <c:v>-1.9148678371994979E-2</c:v>
                </c:pt>
                <c:pt idx="48" formatCode="0.00">
                  <c:v>-5.0651137425773506E-2</c:v>
                </c:pt>
                <c:pt idx="50" formatCode="0.00">
                  <c:v>-4.8660829493556233E-2</c:v>
                </c:pt>
                <c:pt idx="52" formatCode="0.00">
                  <c:v>-1.6251198968042613E-2</c:v>
                </c:pt>
                <c:pt idx="54" formatCode="0.00">
                  <c:v>-0.10638132353925876</c:v>
                </c:pt>
                <c:pt idx="56" formatCode="0.00">
                  <c:v>-0.21977134839840412</c:v>
                </c:pt>
                <c:pt idx="58" formatCode="0.00">
                  <c:v>-2.5025125375607447E-2</c:v>
                </c:pt>
                <c:pt idx="60" formatCode="0.00">
                  <c:v>-4.8853910085287923E-2</c:v>
                </c:pt>
                <c:pt idx="62" formatCode="0.00">
                  <c:v>-0.12884593549700782</c:v>
                </c:pt>
                <c:pt idx="64" formatCode="0.00">
                  <c:v>-6.7982734725501884E-2</c:v>
                </c:pt>
                <c:pt idx="66" formatCode="0.00">
                  <c:v>-2.9406470587592642E-2</c:v>
                </c:pt>
                <c:pt idx="68" formatCode="0.00">
                  <c:v>-1.3867887696298507E-2</c:v>
                </c:pt>
                <c:pt idx="70" formatCode="0.00">
                  <c:v>-3.1927310533355263E-2</c:v>
                </c:pt>
                <c:pt idx="72" formatCode="0.00">
                  <c:v>-1.5360689594856362E-2</c:v>
                </c:pt>
                <c:pt idx="74" formatCode="0.00">
                  <c:v>-1.2135508937400896E-2</c:v>
                </c:pt>
                <c:pt idx="76" formatCode="0.00">
                  <c:v>-1.7808878466835282E-2</c:v>
                </c:pt>
                <c:pt idx="78" formatCode="0.00">
                  <c:v>-2.3146964031138736E-2</c:v>
                </c:pt>
                <c:pt idx="80" formatCode="0.00">
                  <c:v>-3.6145297356931498E-2</c:v>
                </c:pt>
                <c:pt idx="82" formatCode="0.00">
                  <c:v>-5.3563338424100639E-2</c:v>
                </c:pt>
                <c:pt idx="84" formatCode="0.00">
                  <c:v>-6.0378123203897564E-2</c:v>
                </c:pt>
                <c:pt idx="86" formatCode="0.00">
                  <c:v>-0.13191737937665859</c:v>
                </c:pt>
                <c:pt idx="88" formatCode="0.00">
                  <c:v>-0.10803581450967538</c:v>
                </c:pt>
                <c:pt idx="90" formatCode="0.00">
                  <c:v>-3.2578970418358659E-2</c:v>
                </c:pt>
                <c:pt idx="92" formatCode="0.00">
                  <c:v>-3.3090854239568694E-2</c:v>
                </c:pt>
                <c:pt idx="94" formatCode="0.00">
                  <c:v>-3.3182958324869442E-2</c:v>
                </c:pt>
                <c:pt idx="96" formatCode="0.00">
                  <c:v>-5.9043720295593315E-2</c:v>
                </c:pt>
                <c:pt idx="98" formatCode="0.00">
                  <c:v>-2.4619458230427545E-2</c:v>
                </c:pt>
                <c:pt idx="100" formatCode="0.00">
                  <c:v>-3.0946718045348078E-2</c:v>
                </c:pt>
                <c:pt idx="102" formatCode="0.00">
                  <c:v>-5.8187416724719776E-2</c:v>
                </c:pt>
                <c:pt idx="104" formatCode="0.00">
                  <c:v>-9.794832078783669E-2</c:v>
                </c:pt>
                <c:pt idx="108" formatCode="0.00">
                  <c:v>-0.20025067487493042</c:v>
                </c:pt>
                <c:pt idx="110" formatCode="0.00">
                  <c:v>-4.1553017301313395E-2</c:v>
                </c:pt>
                <c:pt idx="112" formatCode="0.00">
                  <c:v>-6.5888483525902999E-2</c:v>
                </c:pt>
                <c:pt idx="114" formatCode="0.00">
                  <c:v>-6.6679408592660666E-2</c:v>
                </c:pt>
                <c:pt idx="116" formatCode="0.00">
                  <c:v>-1.1036816622011864E-2</c:v>
                </c:pt>
                <c:pt idx="118" formatCode="0.00">
                  <c:v>-1.4151289308539197E-2</c:v>
                </c:pt>
                <c:pt idx="120" formatCode="0.00">
                  <c:v>-3.0424455677092052E-2</c:v>
                </c:pt>
                <c:pt idx="122" formatCode="0.00">
                  <c:v>-3.966017765075585E-2</c:v>
                </c:pt>
                <c:pt idx="124" formatCode="0.00">
                  <c:v>-0.10469048836856661</c:v>
                </c:pt>
                <c:pt idx="126" formatCode="0.00">
                  <c:v>-9.6008187041175721E-3</c:v>
                </c:pt>
                <c:pt idx="128" formatCode="0.00">
                  <c:v>-1.7605154868915986E-2</c:v>
                </c:pt>
                <c:pt idx="130" formatCode="0.00">
                  <c:v>-4.7866769554813511E-2</c:v>
                </c:pt>
                <c:pt idx="132" formatCode="0.00">
                  <c:v>-2.4665227897221281E-2</c:v>
                </c:pt>
                <c:pt idx="134" formatCode="0.00">
                  <c:v>-7.551750898022197E-2</c:v>
                </c:pt>
                <c:pt idx="136" formatCode="0.00">
                  <c:v>-4.5534825890511214E-2</c:v>
                </c:pt>
                <c:pt idx="138" formatCode="0.00">
                  <c:v>-4.3690147371452458E-2</c:v>
                </c:pt>
                <c:pt idx="140" formatCode="0.00">
                  <c:v>-9.4484585895395296E-2</c:v>
                </c:pt>
                <c:pt idx="142" formatCode="0.00">
                  <c:v>-9.4949048251594365E-2</c:v>
                </c:pt>
                <c:pt idx="144" formatCode="0.00">
                  <c:v>-2.2398360480603421E-2</c:v>
                </c:pt>
                <c:pt idx="146" formatCode="0.00">
                  <c:v>-2.8118273124892797E-2</c:v>
                </c:pt>
                <c:pt idx="148" formatCode="0.00">
                  <c:v>-4.916106488143767E-2</c:v>
                </c:pt>
                <c:pt idx="150" formatCode="0.00">
                  <c:v>-4.5522882976467553E-2</c:v>
                </c:pt>
                <c:pt idx="152" formatCode="0.00">
                  <c:v>-9.8177891377105322E-2</c:v>
                </c:pt>
                <c:pt idx="154" formatCode="0.00">
                  <c:v>-7.3823643817259518E-2</c:v>
                </c:pt>
                <c:pt idx="156" formatCode="0.00">
                  <c:v>-0.11908045800848456</c:v>
                </c:pt>
                <c:pt idx="158" formatCode="0.00">
                  <c:v>-7.1014336815257609E-2</c:v>
                </c:pt>
                <c:pt idx="160" formatCode="0.00">
                  <c:v>-0.19722711496947865</c:v>
                </c:pt>
                <c:pt idx="162" formatCode="0.00">
                  <c:v>-0.16859943924419532</c:v>
                </c:pt>
                <c:pt idx="164" formatCode="0.00">
                  <c:v>-2.5176675462957005E-2</c:v>
                </c:pt>
                <c:pt idx="166" formatCode="0.00">
                  <c:v>-9.3458227671608676E-2</c:v>
                </c:pt>
                <c:pt idx="168" formatCode="0.00">
                  <c:v>-1.090706295659986E-2</c:v>
                </c:pt>
                <c:pt idx="170" formatCode="0.00">
                  <c:v>-3.0277747890690047E-2</c:v>
                </c:pt>
                <c:pt idx="172" formatCode="0.00">
                  <c:v>-0.12067418459226069</c:v>
                </c:pt>
                <c:pt idx="174" formatCode="0.00">
                  <c:v>-2.4153167525071149E-2</c:v>
                </c:pt>
                <c:pt idx="176" formatCode="0.00">
                  <c:v>-1.2359592810696339E-2</c:v>
                </c:pt>
                <c:pt idx="178" formatCode="0.00">
                  <c:v>-4.1988415964167311E-3</c:v>
                </c:pt>
                <c:pt idx="180" formatCode="0.00">
                  <c:v>-2.8441587524971786E-2</c:v>
                </c:pt>
                <c:pt idx="182" formatCode="0.00">
                  <c:v>-7.2022222805653915E-2</c:v>
                </c:pt>
                <c:pt idx="184" formatCode="0.00">
                  <c:v>-5.7039541277365886E-2</c:v>
                </c:pt>
                <c:pt idx="186" formatCode="0.00">
                  <c:v>-1.4436401050226736E-2</c:v>
                </c:pt>
                <c:pt idx="188" formatCode="0.00">
                  <c:v>-1.2453287522516739E-2</c:v>
                </c:pt>
              </c:numCache>
            </c:numRef>
          </c:yVal>
          <c:smooth val="0"/>
          <c:extLst>
            <c:ext xmlns:c16="http://schemas.microsoft.com/office/drawing/2014/chart" uri="{C3380CC4-5D6E-409C-BE32-E72D297353CC}">
              <c16:uniqueId val="{00000000-C565-4E74-93FB-F125F217E5EC}"/>
            </c:ext>
          </c:extLst>
        </c:ser>
        <c:dLbls>
          <c:showLegendKey val="0"/>
          <c:showVal val="0"/>
          <c:showCatName val="0"/>
          <c:showSerName val="0"/>
          <c:showPercent val="0"/>
          <c:showBubbleSize val="0"/>
        </c:dLbls>
        <c:axId val="1710000639"/>
        <c:axId val="1804425839"/>
      </c:scatterChart>
      <c:valAx>
        <c:axId val="1710000639"/>
        <c:scaling>
          <c:logBase val="10"/>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Delay (in days)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804425839"/>
        <c:crossesAt val="-1"/>
        <c:crossBetween val="midCat"/>
      </c:valAx>
      <c:valAx>
        <c:axId val="1804425839"/>
        <c:scaling>
          <c:orientation val="minMax"/>
          <c:max val="0"/>
          <c:min val="-1"/>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1200">
                    <a:solidFill>
                      <a:sysClr val="windowText" lastClr="000000"/>
                    </a:solidFill>
                  </a:rPr>
                  <a:t>Exponents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0"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710000639"/>
        <c:crossesAt val="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solidFill>
                  <a:schemeClr val="tx1"/>
                </a:solidFill>
              </a:rPr>
              <a:t>t-LTM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rgbClr val="0070C0"/>
              </a:solidFill>
              <a:ln w="9525">
                <a:solidFill>
                  <a:srgbClr val="0070C0"/>
                </a:solidFill>
              </a:ln>
              <a:effectLst/>
            </c:spPr>
          </c:marker>
          <c:trendline>
            <c:spPr>
              <a:ln w="19050" cap="rnd">
                <a:solidFill>
                  <a:srgbClr val="FFC000"/>
                </a:solidFill>
                <a:prstDash val="solid"/>
              </a:ln>
              <a:effectLst/>
            </c:spPr>
            <c:trendlineType val="log"/>
            <c:dispRSqr val="0"/>
            <c:dispEq val="0"/>
          </c:trendline>
          <c:xVal>
            <c:numRef>
              <c:f>'t-LTM Multiple graph'!$C$3:$C$143</c:f>
              <c:numCache>
                <c:formatCode>0.0</c:formatCode>
                <c:ptCount val="141"/>
                <c:pt idx="0" formatCode="0">
                  <c:v>7</c:v>
                </c:pt>
                <c:pt idx="2" formatCode="0">
                  <c:v>7</c:v>
                </c:pt>
                <c:pt idx="4" formatCode="0">
                  <c:v>7</c:v>
                </c:pt>
                <c:pt idx="6" formatCode="0">
                  <c:v>7</c:v>
                </c:pt>
                <c:pt idx="8" formatCode="0">
                  <c:v>1</c:v>
                </c:pt>
                <c:pt idx="10" formatCode="0">
                  <c:v>1</c:v>
                </c:pt>
                <c:pt idx="12" formatCode="0">
                  <c:v>3</c:v>
                </c:pt>
                <c:pt idx="14" formatCode="0">
                  <c:v>7</c:v>
                </c:pt>
                <c:pt idx="16" formatCode="0">
                  <c:v>1</c:v>
                </c:pt>
                <c:pt idx="18" formatCode="0">
                  <c:v>1</c:v>
                </c:pt>
                <c:pt idx="20" formatCode="0">
                  <c:v>1</c:v>
                </c:pt>
                <c:pt idx="22" formatCode="0">
                  <c:v>1</c:v>
                </c:pt>
                <c:pt idx="24" formatCode="0">
                  <c:v>1</c:v>
                </c:pt>
                <c:pt idx="26" formatCode="0">
                  <c:v>1</c:v>
                </c:pt>
                <c:pt idx="28" formatCode="0">
                  <c:v>7</c:v>
                </c:pt>
                <c:pt idx="30" formatCode="0">
                  <c:v>7</c:v>
                </c:pt>
                <c:pt idx="32" formatCode="0">
                  <c:v>7</c:v>
                </c:pt>
                <c:pt idx="34" formatCode="0">
                  <c:v>7</c:v>
                </c:pt>
                <c:pt idx="36" formatCode="0">
                  <c:v>2</c:v>
                </c:pt>
                <c:pt idx="38" formatCode="0">
                  <c:v>2</c:v>
                </c:pt>
                <c:pt idx="40" formatCode="0">
                  <c:v>2</c:v>
                </c:pt>
                <c:pt idx="42" formatCode="0">
                  <c:v>7</c:v>
                </c:pt>
                <c:pt idx="44" formatCode="0">
                  <c:v>7</c:v>
                </c:pt>
                <c:pt idx="46" formatCode="0">
                  <c:v>2</c:v>
                </c:pt>
                <c:pt idx="48" formatCode="0">
                  <c:v>2</c:v>
                </c:pt>
                <c:pt idx="50" formatCode="0">
                  <c:v>2</c:v>
                </c:pt>
                <c:pt idx="52" formatCode="0">
                  <c:v>6</c:v>
                </c:pt>
                <c:pt idx="54" formatCode="0">
                  <c:v>6</c:v>
                </c:pt>
                <c:pt idx="56" formatCode="0">
                  <c:v>2</c:v>
                </c:pt>
                <c:pt idx="58" formatCode="0">
                  <c:v>2</c:v>
                </c:pt>
                <c:pt idx="60" formatCode="0">
                  <c:v>2</c:v>
                </c:pt>
                <c:pt idx="62" formatCode="0">
                  <c:v>2</c:v>
                </c:pt>
                <c:pt idx="64" formatCode="0">
                  <c:v>2</c:v>
                </c:pt>
                <c:pt idx="66" formatCode="0">
                  <c:v>2</c:v>
                </c:pt>
                <c:pt idx="68" formatCode="0">
                  <c:v>2</c:v>
                </c:pt>
                <c:pt idx="70" formatCode="0">
                  <c:v>2</c:v>
                </c:pt>
                <c:pt idx="72" formatCode="0">
                  <c:v>2</c:v>
                </c:pt>
                <c:pt idx="74" formatCode="0">
                  <c:v>2</c:v>
                </c:pt>
                <c:pt idx="76" formatCode="0">
                  <c:v>2</c:v>
                </c:pt>
                <c:pt idx="78" formatCode="0">
                  <c:v>2</c:v>
                </c:pt>
                <c:pt idx="80" formatCode="0">
                  <c:v>2</c:v>
                </c:pt>
                <c:pt idx="82" formatCode="0">
                  <c:v>1</c:v>
                </c:pt>
                <c:pt idx="84" formatCode="0">
                  <c:v>7</c:v>
                </c:pt>
                <c:pt idx="86" formatCode="0">
                  <c:v>7</c:v>
                </c:pt>
                <c:pt idx="88" formatCode="0">
                  <c:v>7</c:v>
                </c:pt>
                <c:pt idx="90" formatCode="0">
                  <c:v>2</c:v>
                </c:pt>
                <c:pt idx="92" formatCode="0">
                  <c:v>2</c:v>
                </c:pt>
                <c:pt idx="94" formatCode="0">
                  <c:v>2</c:v>
                </c:pt>
                <c:pt idx="96" formatCode="0">
                  <c:v>7</c:v>
                </c:pt>
                <c:pt idx="98" formatCode="0">
                  <c:v>7</c:v>
                </c:pt>
                <c:pt idx="100" formatCode="0">
                  <c:v>7</c:v>
                </c:pt>
                <c:pt idx="102" formatCode="0">
                  <c:v>7</c:v>
                </c:pt>
                <c:pt idx="104" formatCode="0">
                  <c:v>5</c:v>
                </c:pt>
                <c:pt idx="106" formatCode="0">
                  <c:v>5</c:v>
                </c:pt>
                <c:pt idx="108" formatCode="0">
                  <c:v>5</c:v>
                </c:pt>
                <c:pt idx="110" formatCode="0">
                  <c:v>5</c:v>
                </c:pt>
                <c:pt idx="112" formatCode="0">
                  <c:v>5</c:v>
                </c:pt>
                <c:pt idx="114" formatCode="0">
                  <c:v>5</c:v>
                </c:pt>
                <c:pt idx="116" formatCode="0">
                  <c:v>5</c:v>
                </c:pt>
                <c:pt idx="118" formatCode="0">
                  <c:v>5</c:v>
                </c:pt>
                <c:pt idx="120" formatCode="0">
                  <c:v>4</c:v>
                </c:pt>
                <c:pt idx="122" formatCode="0">
                  <c:v>4</c:v>
                </c:pt>
                <c:pt idx="124" formatCode="0">
                  <c:v>4</c:v>
                </c:pt>
                <c:pt idx="126" formatCode="0">
                  <c:v>4</c:v>
                </c:pt>
                <c:pt idx="128" formatCode="0">
                  <c:v>4</c:v>
                </c:pt>
                <c:pt idx="130" formatCode="0">
                  <c:v>4</c:v>
                </c:pt>
                <c:pt idx="132" formatCode="0">
                  <c:v>4</c:v>
                </c:pt>
                <c:pt idx="134" formatCode="0">
                  <c:v>4</c:v>
                </c:pt>
                <c:pt idx="136" formatCode="0">
                  <c:v>4</c:v>
                </c:pt>
                <c:pt idx="138" formatCode="0">
                  <c:v>4</c:v>
                </c:pt>
                <c:pt idx="140" formatCode="0">
                  <c:v>1</c:v>
                </c:pt>
              </c:numCache>
            </c:numRef>
          </c:xVal>
          <c:yVal>
            <c:numRef>
              <c:f>'t-LTM Multiple graph'!$D$3:$D$143</c:f>
              <c:numCache>
                <c:formatCode>General</c:formatCode>
                <c:ptCount val="141"/>
                <c:pt idx="0" formatCode="0.00">
                  <c:v>-0.11807393106200441</c:v>
                </c:pt>
                <c:pt idx="2" formatCode="0.00">
                  <c:v>-0.11970481241427627</c:v>
                </c:pt>
                <c:pt idx="4" formatCode="0.00">
                  <c:v>-6.8642470712818149E-2</c:v>
                </c:pt>
                <c:pt idx="6" formatCode="0.00">
                  <c:v>-7.8393965082307462E-2</c:v>
                </c:pt>
                <c:pt idx="8" formatCode="0.00">
                  <c:v>-6.4126575711424896E-2</c:v>
                </c:pt>
                <c:pt idx="10" formatCode="0.00">
                  <c:v>-1.3891845440066442E-2</c:v>
                </c:pt>
                <c:pt idx="12" formatCode="0.00">
                  <c:v>-0.10518063464026346</c:v>
                </c:pt>
                <c:pt idx="14" formatCode="0.00">
                  <c:v>-3.3247186533008365E-2</c:v>
                </c:pt>
                <c:pt idx="16" formatCode="0.00">
                  <c:v>-0.16399742349111279</c:v>
                </c:pt>
                <c:pt idx="18" formatCode="0.00">
                  <c:v>-0.24697512855560716</c:v>
                </c:pt>
                <c:pt idx="20" formatCode="0.00">
                  <c:v>-0.20334217547138236</c:v>
                </c:pt>
                <c:pt idx="22" formatCode="0.00">
                  <c:v>-7.6320243260043566E-3</c:v>
                </c:pt>
                <c:pt idx="24" formatCode="0.00">
                  <c:v>-4.9076066639987337E-3</c:v>
                </c:pt>
                <c:pt idx="26" formatCode="0.00">
                  <c:v>-8.7408600388486375E-3</c:v>
                </c:pt>
                <c:pt idx="28" formatCode="0.00">
                  <c:v>-3.0262402091758095E-2</c:v>
                </c:pt>
                <c:pt idx="30" formatCode="0.00">
                  <c:v>-3.612848953466926E-2</c:v>
                </c:pt>
                <c:pt idx="32" formatCode="0.00">
                  <c:v>-5.2686385463934469E-3</c:v>
                </c:pt>
                <c:pt idx="34" formatCode="0.00">
                  <c:v>-6.9854909369670938E-3</c:v>
                </c:pt>
                <c:pt idx="36" formatCode="0.00">
                  <c:v>-9.8947942040260403E-2</c:v>
                </c:pt>
                <c:pt idx="38" formatCode="0.00">
                  <c:v>-2.9807273464141082E-2</c:v>
                </c:pt>
                <c:pt idx="40" formatCode="0.00">
                  <c:v>-7.5602697699415642E-3</c:v>
                </c:pt>
                <c:pt idx="42" formatCode="0.00">
                  <c:v>-2.2817715052872257E-2</c:v>
                </c:pt>
                <c:pt idx="44" formatCode="0.00">
                  <c:v>-4.0362451579561136E-2</c:v>
                </c:pt>
                <c:pt idx="46" formatCode="0.00">
                  <c:v>-3.2993561655819785E-2</c:v>
                </c:pt>
                <c:pt idx="48" formatCode="0.00">
                  <c:v>-6.0244254685207492E-2</c:v>
                </c:pt>
                <c:pt idx="50" formatCode="0.00">
                  <c:v>-4.6712226118396982E-2</c:v>
                </c:pt>
                <c:pt idx="52" formatCode="0.00">
                  <c:v>-9.8516611570544546E-2</c:v>
                </c:pt>
                <c:pt idx="54" formatCode="0.00">
                  <c:v>-7.1193197587546664E-2</c:v>
                </c:pt>
                <c:pt idx="56" formatCode="0.00">
                  <c:v>-2.0430453216611359E-2</c:v>
                </c:pt>
                <c:pt idx="58" formatCode="0.00">
                  <c:v>-7.2498428077765964E-2</c:v>
                </c:pt>
                <c:pt idx="60" formatCode="0.00">
                  <c:v>-4.6015031429518342E-2</c:v>
                </c:pt>
                <c:pt idx="62" formatCode="0.00">
                  <c:v>-6.6682039620420117E-2</c:v>
                </c:pt>
                <c:pt idx="64" formatCode="0.00">
                  <c:v>-0.17382893632281318</c:v>
                </c:pt>
                <c:pt idx="68" formatCode="0.00">
                  <c:v>-0.1738064470786348</c:v>
                </c:pt>
                <c:pt idx="70" formatCode="0.00">
                  <c:v>-0.2237324867338856</c:v>
                </c:pt>
                <c:pt idx="74" formatCode="0.00">
                  <c:v>-8.2402916796141187E-2</c:v>
                </c:pt>
                <c:pt idx="76" formatCode="0.00">
                  <c:v>-4.4339117039679361E-2</c:v>
                </c:pt>
                <c:pt idx="78" formatCode="0.00">
                  <c:v>-7.7845477423216666E-2</c:v>
                </c:pt>
                <c:pt idx="80" formatCode="0.00">
                  <c:v>-0.17511701843707009</c:v>
                </c:pt>
                <c:pt idx="82" formatCode="0.00">
                  <c:v>-2.6620588926005297E-2</c:v>
                </c:pt>
                <c:pt idx="84" formatCode="0.00">
                  <c:v>-3.8890409761290982E-2</c:v>
                </c:pt>
                <c:pt idx="86" formatCode="0.00">
                  <c:v>-8.0944359945756023E-2</c:v>
                </c:pt>
                <c:pt idx="88" formatCode="0.00">
                  <c:v>-3.0531369288992204E-2</c:v>
                </c:pt>
                <c:pt idx="90" formatCode="0.00">
                  <c:v>-6.608223809561338E-3</c:v>
                </c:pt>
                <c:pt idx="92" formatCode="0.00">
                  <c:v>-3.1675062942645014E-2</c:v>
                </c:pt>
                <c:pt idx="94" formatCode="0.00">
                  <c:v>-1.3533791069429216E-2</c:v>
                </c:pt>
                <c:pt idx="96" formatCode="0.00">
                  <c:v>-1.3158155476526311E-3</c:v>
                </c:pt>
                <c:pt idx="98" formatCode="0.00">
                  <c:v>-3.6202616039798775E-2</c:v>
                </c:pt>
                <c:pt idx="100" formatCode="0.00">
                  <c:v>-3.5544064179208461E-2</c:v>
                </c:pt>
                <c:pt idx="102" formatCode="0.00">
                  <c:v>-6.6988517765718E-2</c:v>
                </c:pt>
                <c:pt idx="104" formatCode="0.00">
                  <c:v>-4.7047267276957058E-2</c:v>
                </c:pt>
                <c:pt idx="106" formatCode="0.00">
                  <c:v>-2.1626797899197983E-2</c:v>
                </c:pt>
                <c:pt idx="108" formatCode="0.00">
                  <c:v>-7.4195209043765004E-2</c:v>
                </c:pt>
                <c:pt idx="110" formatCode="0.00">
                  <c:v>-0.11448742767495147</c:v>
                </c:pt>
                <c:pt idx="112" formatCode="0.00">
                  <c:v>-3.0297082499087184E-2</c:v>
                </c:pt>
                <c:pt idx="114" formatCode="0.00">
                  <c:v>-6.296850928148294E-2</c:v>
                </c:pt>
                <c:pt idx="116" formatCode="0.00">
                  <c:v>-0.11857085286319295</c:v>
                </c:pt>
                <c:pt idx="118" formatCode="0.00">
                  <c:v>-0.17689204805834827</c:v>
                </c:pt>
                <c:pt idx="120" formatCode="0.00">
                  <c:v>-0.12584385151476263</c:v>
                </c:pt>
                <c:pt idx="122" formatCode="0.00">
                  <c:v>-1.3421737689918316E-2</c:v>
                </c:pt>
                <c:pt idx="124" formatCode="0.00">
                  <c:v>-3.9822798515654179E-2</c:v>
                </c:pt>
                <c:pt idx="126" formatCode="0.00">
                  <c:v>-3.1740126568580003E-2</c:v>
                </c:pt>
                <c:pt idx="128" formatCode="0.00">
                  <c:v>-1.5841644314709771E-2</c:v>
                </c:pt>
                <c:pt idx="130" formatCode="0.00">
                  <c:v>-7.4565124405694197E-3</c:v>
                </c:pt>
                <c:pt idx="132" formatCode="0.00">
                  <c:v>-3.4003689699636484E-2</c:v>
                </c:pt>
                <c:pt idx="134" formatCode="0.00">
                  <c:v>-4.7770438890395409E-2</c:v>
                </c:pt>
                <c:pt idx="136" formatCode="0.00">
                  <c:v>-1.0317972422053043E-2</c:v>
                </c:pt>
                <c:pt idx="138" formatCode="0.00">
                  <c:v>-1.4681956713335026E-2</c:v>
                </c:pt>
                <c:pt idx="140" formatCode="0.00">
                  <c:v>-5.234539928858041E-2</c:v>
                </c:pt>
              </c:numCache>
            </c:numRef>
          </c:yVal>
          <c:smooth val="0"/>
          <c:extLst>
            <c:ext xmlns:c16="http://schemas.microsoft.com/office/drawing/2014/chart" uri="{C3380CC4-5D6E-409C-BE32-E72D297353CC}">
              <c16:uniqueId val="{00000000-0381-4A1F-A4F5-D404A864E300}"/>
            </c:ext>
          </c:extLst>
        </c:ser>
        <c:dLbls>
          <c:showLegendKey val="0"/>
          <c:showVal val="0"/>
          <c:showCatName val="0"/>
          <c:showSerName val="0"/>
          <c:showPercent val="0"/>
          <c:showBubbleSize val="0"/>
        </c:dLbls>
        <c:axId val="1710000639"/>
        <c:axId val="1804425839"/>
      </c:scatterChart>
      <c:valAx>
        <c:axId val="1710000639"/>
        <c:scaling>
          <c:logBase val="10"/>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Delay (in days)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804425839"/>
        <c:crossesAt val="-1"/>
        <c:crossBetween val="midCat"/>
      </c:valAx>
      <c:valAx>
        <c:axId val="1804425839"/>
        <c:scaling>
          <c:orientation val="minMax"/>
          <c:max val="0"/>
          <c:min val="-1"/>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ysClr val="windowText" lastClr="000000"/>
                    </a:solidFill>
                  </a:rPr>
                  <a:t>Memory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710000639"/>
        <c:crossesAt val="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val">
        <cx:f>_xlchart.v1.0</cx:f>
      </cx:numDim>
    </cx:data>
  </cx:chartData>
  <cx:chart>
    <cx:title pos="t" align="ctr" overlay="0"/>
    <cx:plotArea>
      <cx:plotAreaRegion>
        <cx:series layoutId="clusteredColumn" uniqueId="{D66FDA7F-7C7A-4EBE-846E-90D162BDC1CB}" formatIdx="0">
          <cx:dataId val="0"/>
          <cx:layoutPr>
            <cx:binning intervalClosed="r">
              <cx:binSize val="0.010000000000000002"/>
            </cx:binning>
          </cx:layoutPr>
        </cx:series>
      </cx:plotAreaRegion>
      <cx:axis id="0">
        <cx:catScaling gapWidth="0"/>
        <cx:tickLabels/>
      </cx:axis>
      <cx:axis id="1">
        <cx:valScaling/>
        <cx:majorGridlines/>
        <cx:tickLabels/>
      </cx:axis>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numDim type="val">
        <cx:f>_xlchart.v1.1</cx:f>
      </cx:numDim>
    </cx:data>
  </cx:chartData>
  <cx:chart>
    <cx:title pos="t" align="ctr" overlay="0"/>
    <cx:plotArea>
      <cx:plotAreaRegion>
        <cx:series layoutId="clusteredColumn" uniqueId="{D66FDA7F-7C7A-4EBE-846E-90D162BDC1CB}" formatIdx="0">
          <cx:dataId val="0"/>
          <cx:layoutPr>
            <cx:binning intervalClosed="r">
              <cx:binSize val="0.010000000000000002"/>
            </cx:binning>
          </cx:layoutPr>
        </cx:series>
      </cx:plotAreaRegion>
      <cx:axis id="0">
        <cx:catScaling gapWidth="0"/>
        <cx:tickLabels/>
      </cx:axis>
      <cx:axis id="1">
        <cx:valScaling/>
        <cx:majorGridlines/>
        <cx:tickLabels/>
      </cx:axis>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numDim type="val">
        <cx:f>_xlchart.v1.2</cx:f>
      </cx:numDim>
    </cx:data>
  </cx:chartData>
  <cx:chart>
    <cx:title pos="t" align="ctr" overlay="0"/>
    <cx:plotArea>
      <cx:plotAreaRegion>
        <cx:series layoutId="clusteredColumn" uniqueId="{D66FDA7F-7C7A-4EBE-846E-90D162BDC1CB}" formatIdx="0">
          <cx:dataId val="0"/>
          <cx:layoutPr>
            <cx:binning intervalClosed="r">
              <cx:binSize val="0.010000000000000002"/>
            </cx:binning>
          </cx:layoutPr>
        </cx:series>
      </cx:plotAreaRegion>
      <cx:axis id="0">
        <cx:catScaling gapWidth="0"/>
        <cx:tickLabels/>
      </cx:axis>
      <cx:axis id="1">
        <cx:valScaling/>
        <cx:majorGridlines/>
        <cx:tickLabels/>
      </cx:axis>
    </cx:plotArea>
  </cx:chart>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numDim type="val">
        <cx:f>_xlchart.v1.3</cx:f>
      </cx:numDim>
    </cx:data>
  </cx:chartData>
  <cx:chart>
    <cx:title pos="t" align="ctr" overlay="0"/>
    <cx:plotArea>
      <cx:plotAreaRegion>
        <cx:series layoutId="clusteredColumn" uniqueId="{D66FDA7F-7C7A-4EBE-846E-90D162BDC1CB}" formatIdx="0">
          <cx:dataId val="0"/>
          <cx:layoutPr>
            <cx:binning intervalClosed="r">
              <cx:binSize val="0.010000000000000002"/>
            </cx:binning>
          </cx:layoutPr>
        </cx:series>
      </cx:plotAreaRegion>
      <cx:axis id="0">
        <cx:catScaling gapWidth="0"/>
        <cx:tickLabels/>
      </cx:axis>
      <cx:axis id="1">
        <cx:valScaling/>
        <cx:majorGridlines/>
        <cx:tickLabels/>
      </cx:axis>
    </cx:plotArea>
  </cx:chart>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numDim type="val">
        <cx:f>_xlchart.v1.4</cx:f>
      </cx:numDim>
    </cx:data>
  </cx:chartData>
  <cx:chart>
    <cx:title pos="t" align="ctr" overlay="0"/>
    <cx:plotArea>
      <cx:plotAreaRegion>
        <cx:series layoutId="clusteredColumn" uniqueId="{D66FDA7F-7C7A-4EBE-846E-90D162BDC1CB}" formatIdx="0">
          <cx:dataId val="0"/>
          <cx:layoutPr>
            <cx:binning intervalClosed="r">
              <cx:binSize val="0.010000000000000002"/>
            </cx:binning>
          </cx:layoutPr>
        </cx:series>
      </cx:plotAreaRegion>
      <cx:axis id="0">
        <cx:catScaling gapWidth="0"/>
        <cx:tickLabels/>
      </cx:axis>
      <cx:axis id="1">
        <cx:valScaling/>
        <cx:majorGridlines/>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microsoft.com/office/2014/relationships/chartEx" Target="../charts/chartEx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microsoft.com/office/2014/relationships/chartEx" Target="../charts/chartEx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1" Type="http://schemas.microsoft.com/office/2014/relationships/chartEx" Target="../charts/chartEx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1" Type="http://schemas.microsoft.com/office/2014/relationships/chartEx" Target="../charts/chartEx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microsoft.com/office/2014/relationships/chartEx" Target="../charts/chartEx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5</xdr:col>
      <xdr:colOff>266700</xdr:colOff>
      <xdr:row>2</xdr:row>
      <xdr:rowOff>4762</xdr:rowOff>
    </xdr:from>
    <xdr:to>
      <xdr:col>12</xdr:col>
      <xdr:colOff>571500</xdr:colOff>
      <xdr:row>16</xdr:row>
      <xdr:rowOff>80962</xdr:rowOff>
    </xdr:to>
    <xdr:graphicFrame macro="">
      <xdr:nvGraphicFramePr>
        <xdr:cNvPr id="2" name="Chart 1">
          <a:extLst>
            <a:ext uri="{FF2B5EF4-FFF2-40B4-BE49-F238E27FC236}">
              <a16:creationId xmlns:a16="http://schemas.microsoft.com/office/drawing/2014/main" id="{CBF86D37-B581-406A-9917-6151060AB8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57</xdr:col>
      <xdr:colOff>508000</xdr:colOff>
      <xdr:row>4</xdr:row>
      <xdr:rowOff>51857</xdr:rowOff>
    </xdr:from>
    <xdr:to>
      <xdr:col>67</xdr:col>
      <xdr:colOff>158750</xdr:colOff>
      <xdr:row>9</xdr:row>
      <xdr:rowOff>0</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38DD68EF-31CF-4E63-BE05-9C565CA326AF}"/>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48094900" y="670982"/>
              <a:ext cx="7270750" cy="710143"/>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11.xml><?xml version="1.0" encoding="utf-8"?>
<xdr:wsDr xmlns:xdr="http://schemas.openxmlformats.org/drawingml/2006/spreadsheetDrawing" xmlns:a="http://schemas.openxmlformats.org/drawingml/2006/main">
  <xdr:twoCellAnchor>
    <xdr:from>
      <xdr:col>5</xdr:col>
      <xdr:colOff>266700</xdr:colOff>
      <xdr:row>2</xdr:row>
      <xdr:rowOff>4762</xdr:rowOff>
    </xdr:from>
    <xdr:to>
      <xdr:col>12</xdr:col>
      <xdr:colOff>571500</xdr:colOff>
      <xdr:row>16</xdr:row>
      <xdr:rowOff>80962</xdr:rowOff>
    </xdr:to>
    <xdr:graphicFrame macro="">
      <xdr:nvGraphicFramePr>
        <xdr:cNvPr id="2" name="Chart 1">
          <a:extLst>
            <a:ext uri="{FF2B5EF4-FFF2-40B4-BE49-F238E27FC236}">
              <a16:creationId xmlns:a16="http://schemas.microsoft.com/office/drawing/2014/main" id="{7FAC084D-F67B-43B6-BA36-B45E2A6CA7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57</xdr:col>
      <xdr:colOff>508000</xdr:colOff>
      <xdr:row>1</xdr:row>
      <xdr:rowOff>0</xdr:rowOff>
    </xdr:from>
    <xdr:to>
      <xdr:col>67</xdr:col>
      <xdr:colOff>158750</xdr:colOff>
      <xdr:row>16</xdr:row>
      <xdr:rowOff>127000</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276EF238-F864-4C01-ADFE-FC385234247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48094900" y="152400"/>
              <a:ext cx="7270750" cy="24130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266700</xdr:colOff>
      <xdr:row>2</xdr:row>
      <xdr:rowOff>4762</xdr:rowOff>
    </xdr:from>
    <xdr:to>
      <xdr:col>12</xdr:col>
      <xdr:colOff>571500</xdr:colOff>
      <xdr:row>16</xdr:row>
      <xdr:rowOff>80962</xdr:rowOff>
    </xdr:to>
    <xdr:graphicFrame macro="">
      <xdr:nvGraphicFramePr>
        <xdr:cNvPr id="2" name="Chart 1">
          <a:extLst>
            <a:ext uri="{FF2B5EF4-FFF2-40B4-BE49-F238E27FC236}">
              <a16:creationId xmlns:a16="http://schemas.microsoft.com/office/drawing/2014/main" id="{2975A034-07C7-4B94-B6A5-0B338934BD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57</xdr:col>
      <xdr:colOff>508000</xdr:colOff>
      <xdr:row>1</xdr:row>
      <xdr:rowOff>0</xdr:rowOff>
    </xdr:from>
    <xdr:to>
      <xdr:col>67</xdr:col>
      <xdr:colOff>158750</xdr:colOff>
      <xdr:row>4</xdr:row>
      <xdr:rowOff>127000</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5BC3027A-A743-4559-AA3D-A38A6F03F0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37817425" y="152400"/>
              <a:ext cx="7270750" cy="5842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15.xml><?xml version="1.0" encoding="utf-8"?>
<xdr:wsDr xmlns:xdr="http://schemas.openxmlformats.org/drawingml/2006/spreadsheetDrawing" xmlns:a="http://schemas.openxmlformats.org/drawingml/2006/main">
  <xdr:twoCellAnchor>
    <xdr:from>
      <xdr:col>5</xdr:col>
      <xdr:colOff>266700</xdr:colOff>
      <xdr:row>2</xdr:row>
      <xdr:rowOff>4762</xdr:rowOff>
    </xdr:from>
    <xdr:to>
      <xdr:col>12</xdr:col>
      <xdr:colOff>571500</xdr:colOff>
      <xdr:row>16</xdr:row>
      <xdr:rowOff>80962</xdr:rowOff>
    </xdr:to>
    <xdr:graphicFrame macro="">
      <xdr:nvGraphicFramePr>
        <xdr:cNvPr id="2" name="Chart 1">
          <a:extLst>
            <a:ext uri="{FF2B5EF4-FFF2-40B4-BE49-F238E27FC236}">
              <a16:creationId xmlns:a16="http://schemas.microsoft.com/office/drawing/2014/main" id="{D68234D6-EA40-4F7D-ADCC-E6BD1AF7E6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57</xdr:col>
      <xdr:colOff>508000</xdr:colOff>
      <xdr:row>1</xdr:row>
      <xdr:rowOff>0</xdr:rowOff>
    </xdr:from>
    <xdr:to>
      <xdr:col>67</xdr:col>
      <xdr:colOff>158750</xdr:colOff>
      <xdr:row>13</xdr:row>
      <xdr:rowOff>0</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A96ACA33-9FA9-49A1-8350-6DB6A9ADED9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48094900" y="152400"/>
              <a:ext cx="7270750" cy="18288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17.xml><?xml version="1.0" encoding="utf-8"?>
<xdr:wsDr xmlns:xdr="http://schemas.openxmlformats.org/drawingml/2006/spreadsheetDrawing" xmlns:a="http://schemas.openxmlformats.org/drawingml/2006/main">
  <xdr:twoCellAnchor>
    <xdr:from>
      <xdr:col>5</xdr:col>
      <xdr:colOff>266700</xdr:colOff>
      <xdr:row>2</xdr:row>
      <xdr:rowOff>4762</xdr:rowOff>
    </xdr:from>
    <xdr:to>
      <xdr:col>12</xdr:col>
      <xdr:colOff>571500</xdr:colOff>
      <xdr:row>16</xdr:row>
      <xdr:rowOff>80962</xdr:rowOff>
    </xdr:to>
    <xdr:graphicFrame macro="">
      <xdr:nvGraphicFramePr>
        <xdr:cNvPr id="2" name="Chart 1">
          <a:extLst>
            <a:ext uri="{FF2B5EF4-FFF2-40B4-BE49-F238E27FC236}">
              <a16:creationId xmlns:a16="http://schemas.microsoft.com/office/drawing/2014/main" id="{6CBC4674-F0FB-41F9-974B-EC31DB0F20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428625</xdr:colOff>
      <xdr:row>1</xdr:row>
      <xdr:rowOff>71437</xdr:rowOff>
    </xdr:from>
    <xdr:to>
      <xdr:col>12</xdr:col>
      <xdr:colOff>123825</xdr:colOff>
      <xdr:row>15</xdr:row>
      <xdr:rowOff>147637</xdr:rowOff>
    </xdr:to>
    <xdr:graphicFrame macro="">
      <xdr:nvGraphicFramePr>
        <xdr:cNvPr id="2" name="Chart 1">
          <a:extLst>
            <a:ext uri="{FF2B5EF4-FFF2-40B4-BE49-F238E27FC236}">
              <a16:creationId xmlns:a16="http://schemas.microsoft.com/office/drawing/2014/main" id="{39675FCD-182F-4700-8D1C-9D19A76417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6</xdr:col>
      <xdr:colOff>381000</xdr:colOff>
      <xdr:row>2</xdr:row>
      <xdr:rowOff>52387</xdr:rowOff>
    </xdr:from>
    <xdr:to>
      <xdr:col>14</xdr:col>
      <xdr:colOff>76200</xdr:colOff>
      <xdr:row>16</xdr:row>
      <xdr:rowOff>128587</xdr:rowOff>
    </xdr:to>
    <xdr:graphicFrame macro="">
      <xdr:nvGraphicFramePr>
        <xdr:cNvPr id="3" name="Chart 2">
          <a:extLst>
            <a:ext uri="{FF2B5EF4-FFF2-40B4-BE49-F238E27FC236}">
              <a16:creationId xmlns:a16="http://schemas.microsoft.com/office/drawing/2014/main" id="{90440197-8D9A-43DC-A950-F482B56B3A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266700</xdr:colOff>
      <xdr:row>2</xdr:row>
      <xdr:rowOff>4762</xdr:rowOff>
    </xdr:from>
    <xdr:to>
      <xdr:col>12</xdr:col>
      <xdr:colOff>571500</xdr:colOff>
      <xdr:row>16</xdr:row>
      <xdr:rowOff>80962</xdr:rowOff>
    </xdr:to>
    <xdr:graphicFrame macro="">
      <xdr:nvGraphicFramePr>
        <xdr:cNvPr id="2" name="Chart 1">
          <a:extLst>
            <a:ext uri="{FF2B5EF4-FFF2-40B4-BE49-F238E27FC236}">
              <a16:creationId xmlns:a16="http://schemas.microsoft.com/office/drawing/2014/main" id="{DE85CA36-D21A-474A-9385-5C83B82165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3</xdr:col>
      <xdr:colOff>585787</xdr:colOff>
      <xdr:row>0</xdr:row>
      <xdr:rowOff>71437</xdr:rowOff>
    </xdr:from>
    <xdr:to>
      <xdr:col>11</xdr:col>
      <xdr:colOff>280987</xdr:colOff>
      <xdr:row>14</xdr:row>
      <xdr:rowOff>147637</xdr:rowOff>
    </xdr:to>
    <xdr:graphicFrame macro="">
      <xdr:nvGraphicFramePr>
        <xdr:cNvPr id="2" name="Chart 1">
          <a:extLst>
            <a:ext uri="{FF2B5EF4-FFF2-40B4-BE49-F238E27FC236}">
              <a16:creationId xmlns:a16="http://schemas.microsoft.com/office/drawing/2014/main" id="{05E863C3-0049-455E-B191-50418F94B7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266700</xdr:colOff>
      <xdr:row>2</xdr:row>
      <xdr:rowOff>4762</xdr:rowOff>
    </xdr:from>
    <xdr:to>
      <xdr:col>12</xdr:col>
      <xdr:colOff>571500</xdr:colOff>
      <xdr:row>16</xdr:row>
      <xdr:rowOff>80962</xdr:rowOff>
    </xdr:to>
    <xdr:graphicFrame macro="">
      <xdr:nvGraphicFramePr>
        <xdr:cNvPr id="2" name="Chart 1">
          <a:extLst>
            <a:ext uri="{FF2B5EF4-FFF2-40B4-BE49-F238E27FC236}">
              <a16:creationId xmlns:a16="http://schemas.microsoft.com/office/drawing/2014/main" id="{55CEDC89-A8D8-4B75-BED8-C09B6A7607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xdr:col>
      <xdr:colOff>266700</xdr:colOff>
      <xdr:row>2</xdr:row>
      <xdr:rowOff>4762</xdr:rowOff>
    </xdr:from>
    <xdr:to>
      <xdr:col>12</xdr:col>
      <xdr:colOff>571500</xdr:colOff>
      <xdr:row>16</xdr:row>
      <xdr:rowOff>80962</xdr:rowOff>
    </xdr:to>
    <xdr:graphicFrame macro="">
      <xdr:nvGraphicFramePr>
        <xdr:cNvPr id="2" name="Chart 1">
          <a:extLst>
            <a:ext uri="{FF2B5EF4-FFF2-40B4-BE49-F238E27FC236}">
              <a16:creationId xmlns:a16="http://schemas.microsoft.com/office/drawing/2014/main" id="{4216C531-F3E9-4D8A-92C4-B0BA49AD09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xdr:col>
      <xdr:colOff>266700</xdr:colOff>
      <xdr:row>2</xdr:row>
      <xdr:rowOff>4762</xdr:rowOff>
    </xdr:from>
    <xdr:to>
      <xdr:col>12</xdr:col>
      <xdr:colOff>571500</xdr:colOff>
      <xdr:row>16</xdr:row>
      <xdr:rowOff>80962</xdr:rowOff>
    </xdr:to>
    <xdr:graphicFrame macro="">
      <xdr:nvGraphicFramePr>
        <xdr:cNvPr id="2" name="Chart 1">
          <a:extLst>
            <a:ext uri="{FF2B5EF4-FFF2-40B4-BE49-F238E27FC236}">
              <a16:creationId xmlns:a16="http://schemas.microsoft.com/office/drawing/2014/main" id="{A5880D04-A5E6-4765-A3D0-781161B56E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xdr:col>
      <xdr:colOff>266700</xdr:colOff>
      <xdr:row>2</xdr:row>
      <xdr:rowOff>4762</xdr:rowOff>
    </xdr:from>
    <xdr:to>
      <xdr:col>12</xdr:col>
      <xdr:colOff>571500</xdr:colOff>
      <xdr:row>16</xdr:row>
      <xdr:rowOff>80962</xdr:rowOff>
    </xdr:to>
    <xdr:graphicFrame macro="">
      <xdr:nvGraphicFramePr>
        <xdr:cNvPr id="2" name="Chart 1">
          <a:extLst>
            <a:ext uri="{FF2B5EF4-FFF2-40B4-BE49-F238E27FC236}">
              <a16:creationId xmlns:a16="http://schemas.microsoft.com/office/drawing/2014/main" id="{9FA63ECD-AA7B-4E73-8706-38CE3ECA2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57</xdr:col>
      <xdr:colOff>508000</xdr:colOff>
      <xdr:row>4</xdr:row>
      <xdr:rowOff>51857</xdr:rowOff>
    </xdr:from>
    <xdr:to>
      <xdr:col>67</xdr:col>
      <xdr:colOff>158750</xdr:colOff>
      <xdr:row>9</xdr:row>
      <xdr:rowOff>0</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B0AA5764-384B-4002-8666-13E83AB6A24E}"/>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48094900" y="670982"/>
              <a:ext cx="7270750" cy="710143"/>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xdr:from>
      <xdr:col>5</xdr:col>
      <xdr:colOff>266700</xdr:colOff>
      <xdr:row>2</xdr:row>
      <xdr:rowOff>4762</xdr:rowOff>
    </xdr:from>
    <xdr:to>
      <xdr:col>12</xdr:col>
      <xdr:colOff>571500</xdr:colOff>
      <xdr:row>16</xdr:row>
      <xdr:rowOff>80962</xdr:rowOff>
    </xdr:to>
    <xdr:graphicFrame macro="">
      <xdr:nvGraphicFramePr>
        <xdr:cNvPr id="2" name="Chart 1">
          <a:extLst>
            <a:ext uri="{FF2B5EF4-FFF2-40B4-BE49-F238E27FC236}">
              <a16:creationId xmlns:a16="http://schemas.microsoft.com/office/drawing/2014/main" id="{3676825D-27ED-47DD-BEA1-1A73B2C61B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5</xdr:col>
      <xdr:colOff>266700</xdr:colOff>
      <xdr:row>2</xdr:row>
      <xdr:rowOff>4762</xdr:rowOff>
    </xdr:from>
    <xdr:to>
      <xdr:col>12</xdr:col>
      <xdr:colOff>571500</xdr:colOff>
      <xdr:row>16</xdr:row>
      <xdr:rowOff>80962</xdr:rowOff>
    </xdr:to>
    <xdr:graphicFrame macro="">
      <xdr:nvGraphicFramePr>
        <xdr:cNvPr id="2" name="Chart 1">
          <a:extLst>
            <a:ext uri="{FF2B5EF4-FFF2-40B4-BE49-F238E27FC236}">
              <a16:creationId xmlns:a16="http://schemas.microsoft.com/office/drawing/2014/main" id="{C993590D-BDA0-4971-97F8-711C99972F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Right="0"/>
  </sheetPr>
  <dimension ref="A1:EC1543"/>
  <sheetViews>
    <sheetView tabSelected="1" topLeftCell="AH1" zoomScale="90" zoomScaleNormal="90" workbookViewId="0">
      <pane ySplit="1" topLeftCell="A2" activePane="bottomLeft" state="frozen"/>
      <selection activeCell="AU1" sqref="AU1"/>
      <selection pane="bottomLeft" activeCell="AV2" sqref="AV2"/>
    </sheetView>
  </sheetViews>
  <sheetFormatPr defaultColWidth="5.28515625" defaultRowHeight="12" customHeight="1" outlineLevelCol="1" x14ac:dyDescent="0.2"/>
  <cols>
    <col min="1" max="1" width="13.85546875" style="61" bestFit="1" customWidth="1"/>
    <col min="2" max="2" width="21.42578125" style="14" customWidth="1"/>
    <col min="3" max="3" width="13.85546875" style="14" customWidth="1"/>
    <col min="4" max="4" width="12" style="64" bestFit="1" customWidth="1"/>
    <col min="5" max="5" width="4.85546875" style="77" customWidth="1"/>
    <col min="6" max="7" width="12" style="64" customWidth="1"/>
    <col min="8" max="8" width="14.85546875" style="64" customWidth="1"/>
    <col min="9" max="9" width="30.5703125" style="64" customWidth="1"/>
    <col min="10" max="10" width="17.28515625" style="64" customWidth="1"/>
    <col min="11" max="11" width="10.7109375" style="64" customWidth="1"/>
    <col min="12" max="12" width="11.28515625" style="64" customWidth="1"/>
    <col min="13" max="13" width="11.42578125" style="64" customWidth="1"/>
    <col min="14" max="14" width="16.28515625" style="64" customWidth="1"/>
    <col min="15" max="15" width="10.28515625" style="64" customWidth="1"/>
    <col min="16" max="16" width="22.7109375" style="64" customWidth="1"/>
    <col min="17" max="17" width="18.28515625" style="64" customWidth="1"/>
    <col min="18" max="18" width="10.140625" style="64" customWidth="1"/>
    <col min="19" max="19" width="11.42578125" style="64" hidden="1" customWidth="1"/>
    <col min="20" max="20" width="7.7109375" style="64" hidden="1" customWidth="1"/>
    <col min="21" max="22" width="12.140625" style="64" hidden="1" customWidth="1"/>
    <col min="23" max="23" width="13.85546875" style="64" hidden="1" customWidth="1"/>
    <col min="24" max="24" width="12" style="64" customWidth="1"/>
    <col min="25" max="25" width="12" style="77" customWidth="1"/>
    <col min="26" max="26" width="18.28515625" style="64" customWidth="1"/>
    <col min="27" max="27" width="12" style="64" customWidth="1"/>
    <col min="28" max="28" width="19.7109375" style="64" customWidth="1"/>
    <col min="29" max="29" width="13.5703125" style="64" customWidth="1"/>
    <col min="30" max="30" width="15.7109375" style="64" customWidth="1"/>
    <col min="31" max="31" width="12" style="64" customWidth="1"/>
    <col min="32" max="32" width="14.85546875" style="81" customWidth="1"/>
    <col min="33" max="33" width="11.7109375" style="57" customWidth="1"/>
    <col min="34" max="34" width="10.7109375" style="12" customWidth="1"/>
    <col min="35" max="35" width="9.28515625" style="57" bestFit="1" customWidth="1"/>
    <col min="36" max="36" width="8.5703125" style="114" bestFit="1" customWidth="1"/>
    <col min="37" max="37" width="16" style="57" bestFit="1" customWidth="1"/>
    <col min="38" max="38" width="9.140625" style="57" bestFit="1" customWidth="1"/>
    <col min="39" max="39" width="15.85546875" style="57" bestFit="1" customWidth="1"/>
    <col min="40" max="40" width="15.5703125" style="57" bestFit="1" customWidth="1"/>
    <col min="41" max="41" width="6.85546875" style="57" bestFit="1" customWidth="1" outlineLevel="1"/>
    <col min="42" max="42" width="13.28515625" style="57" bestFit="1" customWidth="1" outlineLevel="1"/>
    <col min="43" max="43" width="13.42578125" style="57" bestFit="1" customWidth="1" outlineLevel="1"/>
    <col min="44" max="44" width="11" style="114" bestFit="1" customWidth="1" outlineLevel="1"/>
    <col min="45" max="45" width="20.28515625" style="57" bestFit="1" customWidth="1" outlineLevel="1"/>
    <col min="46" max="46" width="17.42578125" style="57" bestFit="1" customWidth="1" outlineLevel="1"/>
    <col min="47" max="47" width="1.5703125" style="12" bestFit="1" customWidth="1" outlineLevel="1"/>
    <col min="48" max="48" width="13.42578125" style="45" bestFit="1" customWidth="1" outlineLevel="1"/>
    <col min="49" max="49" width="10" style="45" bestFit="1" customWidth="1" outlineLevel="1"/>
    <col min="50" max="50" width="11" style="45" bestFit="1" customWidth="1" outlineLevel="1"/>
    <col min="51" max="51" width="13.140625" style="45" customWidth="1" outlineLevel="1"/>
    <col min="52" max="52" width="12.140625" style="45" customWidth="1"/>
    <col min="53" max="53" width="12" style="45" customWidth="1"/>
    <col min="54" max="54" width="13.28515625" style="45" customWidth="1"/>
    <col min="55" max="55" width="11" style="20" bestFit="1" customWidth="1"/>
    <col min="56" max="56" width="12.7109375" style="20" customWidth="1"/>
    <col min="57" max="57" width="11" style="20" bestFit="1" customWidth="1"/>
    <col min="58" max="58" width="11.85546875" style="20" customWidth="1"/>
    <col min="59" max="60" width="10" style="20" bestFit="1" customWidth="1"/>
    <col min="61" max="61" width="10.42578125" style="20" bestFit="1" customWidth="1"/>
    <col min="62" max="62" width="10" style="20" bestFit="1" customWidth="1"/>
    <col min="63" max="71" width="8" style="20" bestFit="1" customWidth="1"/>
    <col min="72" max="74" width="10.42578125" style="20" bestFit="1" customWidth="1"/>
    <col min="75" max="95" width="11.42578125" style="20" bestFit="1" customWidth="1"/>
    <col min="96" max="99" width="12.42578125" style="14" bestFit="1" customWidth="1"/>
    <col min="100" max="133" width="10.42578125" style="14" bestFit="1" customWidth="1"/>
    <col min="134" max="16384" width="5.28515625" style="14"/>
  </cols>
  <sheetData>
    <row r="1" spans="1:99" s="205" customFormat="1" ht="12" customHeight="1" x14ac:dyDescent="0.2">
      <c r="A1" s="194" t="s">
        <v>304</v>
      </c>
      <c r="B1" s="195" t="s">
        <v>0</v>
      </c>
      <c r="C1" s="195" t="s">
        <v>1</v>
      </c>
      <c r="D1" s="196" t="s">
        <v>2</v>
      </c>
      <c r="E1" s="197" t="s">
        <v>579</v>
      </c>
      <c r="F1" s="196" t="s">
        <v>6</v>
      </c>
      <c r="G1" s="196" t="s">
        <v>485</v>
      </c>
      <c r="H1" s="196" t="s">
        <v>1</v>
      </c>
      <c r="I1" s="196" t="s">
        <v>8</v>
      </c>
      <c r="J1" s="196" t="s">
        <v>7</v>
      </c>
      <c r="K1" s="196" t="s">
        <v>571</v>
      </c>
      <c r="L1" s="196" t="s">
        <v>565</v>
      </c>
      <c r="M1" s="196" t="s">
        <v>569</v>
      </c>
      <c r="N1" s="196" t="s">
        <v>566</v>
      </c>
      <c r="O1" s="196" t="s">
        <v>5</v>
      </c>
      <c r="P1" s="196" t="s">
        <v>570</v>
      </c>
      <c r="Q1" s="196" t="s">
        <v>3</v>
      </c>
      <c r="R1" s="196" t="s">
        <v>568</v>
      </c>
      <c r="S1" s="196" t="s">
        <v>4</v>
      </c>
      <c r="T1" s="196" t="s">
        <v>237</v>
      </c>
      <c r="U1" s="196" t="s">
        <v>910</v>
      </c>
      <c r="V1" s="196" t="s">
        <v>563</v>
      </c>
      <c r="W1" s="196" t="s">
        <v>564</v>
      </c>
      <c r="X1" s="196" t="s">
        <v>576</v>
      </c>
      <c r="Y1" s="197" t="s">
        <v>558</v>
      </c>
      <c r="Z1" s="196" t="s">
        <v>577</v>
      </c>
      <c r="AA1" s="196" t="s">
        <v>327</v>
      </c>
      <c r="AB1" s="196" t="s">
        <v>325</v>
      </c>
      <c r="AC1" s="196" t="s">
        <v>326</v>
      </c>
      <c r="AD1" s="196" t="s">
        <v>578</v>
      </c>
      <c r="AE1" s="196" t="s">
        <v>559</v>
      </c>
      <c r="AF1" s="198" t="s">
        <v>560</v>
      </c>
      <c r="AG1" s="199" t="s">
        <v>546</v>
      </c>
      <c r="AH1" s="200"/>
      <c r="AI1" s="201" t="s">
        <v>1018</v>
      </c>
      <c r="AJ1" s="202" t="s">
        <v>289</v>
      </c>
      <c r="AK1" s="199" t="s">
        <v>9</v>
      </c>
      <c r="AL1" s="201" t="s">
        <v>1019</v>
      </c>
      <c r="AM1" s="199" t="s">
        <v>10</v>
      </c>
      <c r="AN1" s="199" t="s">
        <v>11</v>
      </c>
      <c r="AO1" s="201" t="s">
        <v>1020</v>
      </c>
      <c r="AP1" s="199" t="s">
        <v>303</v>
      </c>
      <c r="AQ1" s="201" t="s">
        <v>1021</v>
      </c>
      <c r="AR1" s="202" t="s">
        <v>301</v>
      </c>
      <c r="AS1" s="201" t="s">
        <v>1022</v>
      </c>
      <c r="AT1" s="199" t="s">
        <v>302</v>
      </c>
      <c r="AU1" s="200"/>
      <c r="AV1" s="203" t="s">
        <v>1033</v>
      </c>
      <c r="AW1" s="203"/>
      <c r="AX1" s="203"/>
      <c r="AY1" s="203"/>
      <c r="AZ1" s="203"/>
      <c r="BA1" s="203"/>
      <c r="BB1" s="203"/>
      <c r="BC1" s="204"/>
      <c r="BD1" s="204"/>
      <c r="BE1" s="204"/>
      <c r="BF1" s="204"/>
      <c r="BG1" s="204"/>
      <c r="BH1" s="204"/>
      <c r="BI1" s="204"/>
      <c r="BJ1" s="204"/>
      <c r="BK1" s="203"/>
      <c r="BL1" s="203"/>
      <c r="BM1" s="203"/>
      <c r="BN1" s="203"/>
      <c r="BO1" s="203"/>
      <c r="BP1" s="203"/>
      <c r="BQ1" s="203"/>
      <c r="BR1" s="203"/>
      <c r="BS1" s="203"/>
      <c r="BT1" s="203"/>
      <c r="BU1" s="203"/>
      <c r="BV1" s="203"/>
      <c r="BW1" s="203"/>
      <c r="BX1" s="203"/>
      <c r="BY1" s="203"/>
      <c r="BZ1" s="203"/>
      <c r="CA1" s="203"/>
      <c r="CB1" s="203"/>
      <c r="CC1" s="203"/>
      <c r="CD1" s="203"/>
      <c r="CE1" s="203"/>
      <c r="CF1" s="203"/>
      <c r="CG1" s="203"/>
      <c r="CH1" s="203"/>
      <c r="CI1" s="203"/>
      <c r="CJ1" s="203"/>
      <c r="CK1" s="203"/>
      <c r="CL1" s="203"/>
      <c r="CM1" s="203"/>
      <c r="CN1" s="203"/>
      <c r="CO1" s="203"/>
      <c r="CP1" s="203"/>
      <c r="CQ1" s="203"/>
      <c r="CR1" s="195"/>
      <c r="CS1" s="195"/>
      <c r="CT1" s="195"/>
      <c r="CU1" s="195"/>
    </row>
    <row r="2" spans="1:99" s="13" customFormat="1" ht="12" customHeight="1" x14ac:dyDescent="0.2">
      <c r="A2" s="65">
        <v>43648</v>
      </c>
      <c r="B2" s="1"/>
      <c r="C2" s="1"/>
      <c r="D2" s="60"/>
      <c r="E2" s="76"/>
      <c r="F2" s="60"/>
      <c r="G2" s="60"/>
      <c r="H2" s="60"/>
      <c r="I2" s="60"/>
      <c r="J2" s="60"/>
      <c r="K2" s="64"/>
      <c r="L2" s="64"/>
      <c r="M2" s="60"/>
      <c r="N2" s="60"/>
      <c r="O2" s="60"/>
      <c r="P2" s="60"/>
      <c r="Q2" s="60"/>
      <c r="R2" s="60"/>
      <c r="S2" s="60"/>
      <c r="T2" s="60"/>
      <c r="U2" s="60"/>
      <c r="V2" s="60"/>
      <c r="W2" s="60"/>
      <c r="X2" s="60"/>
      <c r="Y2" s="76"/>
      <c r="Z2" s="60"/>
      <c r="AA2" s="60"/>
      <c r="AB2" s="60"/>
      <c r="AC2" s="60"/>
      <c r="AD2" s="60"/>
      <c r="AE2" s="60"/>
      <c r="AF2" s="80"/>
      <c r="AG2" s="56"/>
      <c r="AH2" s="4"/>
      <c r="AI2" s="56"/>
      <c r="AJ2" s="109"/>
      <c r="AK2" s="56"/>
      <c r="AL2" s="56"/>
      <c r="AM2" s="56"/>
      <c r="AN2" s="56"/>
      <c r="AO2" s="56"/>
      <c r="AP2" s="56"/>
      <c r="AQ2" s="56"/>
      <c r="AR2" s="109"/>
      <c r="AS2" s="56"/>
      <c r="AT2" s="56"/>
      <c r="AU2" s="4"/>
      <c r="AV2" s="42">
        <v>450</v>
      </c>
      <c r="AW2" s="25">
        <f>12*3600</f>
        <v>43200</v>
      </c>
      <c r="AX2" s="1">
        <f>7*24*3600</f>
        <v>604800</v>
      </c>
      <c r="AY2" s="42" t="s">
        <v>504</v>
      </c>
      <c r="AZ2" s="46"/>
      <c r="BA2" s="42"/>
      <c r="BB2" s="42"/>
      <c r="BC2" s="42"/>
      <c r="BD2" s="42"/>
      <c r="BE2" s="42"/>
      <c r="BF2" s="42"/>
      <c r="BG2" s="4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1"/>
      <c r="CS2" s="1"/>
      <c r="CT2" s="1"/>
      <c r="CU2" s="1"/>
    </row>
    <row r="3" spans="1:99" s="13" customFormat="1" ht="12" customHeight="1" x14ac:dyDescent="0.2">
      <c r="A3" s="65">
        <v>43648</v>
      </c>
      <c r="B3" s="1" t="s">
        <v>321</v>
      </c>
      <c r="C3" s="1" t="s">
        <v>45</v>
      </c>
      <c r="D3" s="60">
        <v>2019</v>
      </c>
      <c r="E3" s="76" t="s">
        <v>580</v>
      </c>
      <c r="F3" s="60">
        <v>160</v>
      </c>
      <c r="G3" s="60">
        <v>32</v>
      </c>
      <c r="H3" s="60" t="s">
        <v>43</v>
      </c>
      <c r="I3" s="60" t="s">
        <v>572</v>
      </c>
      <c r="J3" s="60" t="s">
        <v>320</v>
      </c>
      <c r="K3" s="60">
        <f>IF(J3="syllables",1,IF(J3="trigrams",2,IF(J3="strings",3,IF(J3="visual array",4,IF(J3="characters",5,IF(J3="letters",6,IF(J3="free forms",7,IF(J3="odors",8,IF(J3="words",9,IF(J3="pictures",10,IF(J3="object pictures",11,IF(J3="faces",12,IF(J3="names",13,IF(J3="idioms",14,IF(J3="grades",15,IF(J3="syllable-digit pairs",16,IF(J3="trigram-word pairs",17,IF(J3="word-digit pairs",18,IF(J3="English-Swahili pairs",19,IF(J3="spatial position",20,IF(J3="word pairs",21,IF(J3="word triads",22,IF(J3="generated words",23,IF(J3="word definition pairs",24,IF(J3="math problems",25,IF(J3="famous faces",26,IF(J3="famous names",27,IF(J3="famous voices",28,IF(J3="television programs",29,IF(J3="race horses",30,IF(J3="new vocabulary",31,IF(J3="sentences",32,IF(J3="concepts",33,IF(J3="ad slides",34,IF(J3="scenes",35,IF(J3="famous scenes",36,IF(J3="poems",37,IF(J3="walk",38,IF(J3="faces and events",39,IF(J3="events and names",40,IF(J3="flashbulb",41,IF(J3="stories",42,IF(J3="course material",43,IF(J3="autobiographical",44,IF(J3="novels",45,IF(J3="public events",46,"99"))))))))))))))))))))))))))))))))))))))))))))))</f>
        <v>21</v>
      </c>
      <c r="L3" s="60">
        <f>IF(J3="syllables",1,IF(J3="trigrams",1,IF(J3="strings",1,IF(J3="visual array",1,IF(J3="characters",1,IF(J3="letters",1,IF(J3="free forms",1,IF(J3="odors",2,IF(J3="words",2,IF(J3="pictures",2,IF(J3="object pictures",2,IF(J3="faces",2,IF(J3="names",2,IF(J3="idioms","2",IF(J3="grades",2,IF(J3="syllable-digit pairs",3,IF(J3="trigram-word pairs",3,IF(J3="word-digit pairs",3,IF(J3="English-Swahili pairs",3,IF(J3="spatial position",3,IF(J3="word pairs",4,IF(J3="word triads",4,IF(J3="generated words",4,IF(J3="word definition pairs",4,IF(J3="math problems",4,IF(J3="famous faces",4,IF(J3="famous names",4,IF(J3="famous voices",4,IF(J3="television programs",4,IF(J3="race horses",4,IF(J3="new vocabulary",4,IF(J3="sentences",5,IF(J3="concepts",5,IF(J3="ad slides",5,IF(J3="scenes",5,IF(J3="famous scenes",5,IF(J3="poems",6,IF(J3="walk",6,IF(J3="faces and events",6,IF(J3="events and names",6,IF(J3="flashbulb",7,IF(J3="stories",7,IF(J3="course material",7,IF(J3="autobiographical",7,IF(J3="novels",7,IF(J3="public events",7,"99"))))))))))))))))))))))))))))))))))))))))))))))</f>
        <v>4</v>
      </c>
      <c r="M3" s="60">
        <v>1</v>
      </c>
      <c r="N3" s="60">
        <v>2</v>
      </c>
      <c r="O3" s="60">
        <v>0</v>
      </c>
      <c r="P3" s="60"/>
      <c r="Q3" s="60" t="s">
        <v>65</v>
      </c>
      <c r="R3" s="60">
        <f>IF(Q3="Free Recall",1,IF(Q3="Cued Recall",2,IF(Q3="Recognition",3,IF(Q3="Multiple Choice",4,IF(Q3="Savings",5,IF(Q3="Stem Completion",6,IF(Q3="Fragment Completion",7,IF(Q3="anagram solution",8,IF(Q3="Matching",9,IF(Q3="Problem Solving",10,"99"))))))))))</f>
        <v>2</v>
      </c>
      <c r="S3" s="60" t="s">
        <v>20</v>
      </c>
      <c r="T3" s="60" t="s">
        <v>261</v>
      </c>
      <c r="U3" s="60">
        <f>IF(T3="within",1,0)</f>
        <v>0</v>
      </c>
      <c r="V3" s="60">
        <v>36</v>
      </c>
      <c r="W3" s="60">
        <f>F3*V3</f>
        <v>5760</v>
      </c>
      <c r="X3" s="60">
        <v>3</v>
      </c>
      <c r="Y3" s="76">
        <f>AV2</f>
        <v>450</v>
      </c>
      <c r="Z3" s="60" t="s">
        <v>97</v>
      </c>
      <c r="AA3" s="60">
        <f>7*24*3600</f>
        <v>604800</v>
      </c>
      <c r="AB3" s="60" t="str">
        <f>IF(AA3&lt;60,"1",IF(AA3&lt;=43200,"2",IF(AA3&lt;=777600,"3","4")))</f>
        <v>3</v>
      </c>
      <c r="AC3" s="76">
        <f>AVERAGE(AV2:DA2)</f>
        <v>216150</v>
      </c>
      <c r="AD3" s="60" t="str">
        <f>IF(AC3&lt;60,"1",IF(AC3&lt;=43200,"2",IF(AC3&lt;=777600,"3","4")))</f>
        <v>3</v>
      </c>
      <c r="AE3" s="76">
        <f>AA3-Y3</f>
        <v>604350</v>
      </c>
      <c r="AF3" s="80">
        <f>AV3</f>
        <v>0.83</v>
      </c>
      <c r="AG3" s="56">
        <f>((AW3-AV3)+(AX3-AW3))/2</f>
        <v>-0.24499999999999997</v>
      </c>
      <c r="AH3" s="4"/>
      <c r="AI3" s="56">
        <f>RSQ(AV3:AX3,AV2:AX2)</f>
        <v>0.83010847235608554</v>
      </c>
      <c r="AJ3" s="109">
        <f>SLOPE(AV3:AX3,AV2:AX2)</f>
        <v>-6.6227955912120963E-7</v>
      </c>
      <c r="AK3" s="56">
        <f>INTERCEPT(AV3:AX3,AV2:AX2)</f>
        <v>0.73315172670404949</v>
      </c>
      <c r="AL3" s="56" cm="1">
        <f t="array" ref="AL3">INDEX(LINEST(LN(AV3:AX3),LN(AV2:AX2),TRUE,TRUE),3,1)</f>
        <v>0.90732593036589027</v>
      </c>
      <c r="AM3" s="56">
        <f>INDEX(LINEST(LN(AV3:AX3),LN(AV2:AX2)),1)</f>
        <v>-0.11807393106200441</v>
      </c>
      <c r="AN3" s="56">
        <f>EXP(INDEX(LINEST(LN(AV3:AX3),LN(AV2:AX2)),1,2))</f>
        <v>1.8085213367094177</v>
      </c>
      <c r="AO3" s="82">
        <f>INDEX(LINEST((AV3:AX3),LN(AV2:AX2),TRUE,TRUE),3,1)</f>
        <v>0.96490979802952626</v>
      </c>
      <c r="AP3" s="82">
        <f>INDEX(LINEST((AV3:AX3),LN(AV2:AX2)),1)</f>
        <v>-6.6078871814430867E-2</v>
      </c>
      <c r="AQ3" s="83">
        <f>INDEX(LINEST(LN(AV3:AX3),SQRT(AV2:AX2),TRUE,TRUE),3,1)</f>
        <v>0.98362820069145551</v>
      </c>
      <c r="AR3" s="116">
        <f>INDEX(LINEST(LN(AV3:AX3),SQRT((AV2:AX2))),1)</f>
        <v>-1.1368893746585176E-3</v>
      </c>
      <c r="AS3" s="84">
        <f>INDEX(LINEST(1/(AV3:AX3),1/(SQRT(AV2:AX2)),TRUE,TRUE),3,1)</f>
        <v>0.56681924750490187</v>
      </c>
      <c r="AT3" s="84">
        <f>INDEX(LINEST(1/(AV3:AX3),1/SQRT(AV2:AX2)),1)</f>
        <v>-26.533697088006676</v>
      </c>
      <c r="AU3" s="4"/>
      <c r="AV3" s="1">
        <v>0.83</v>
      </c>
      <c r="AW3" s="1">
        <v>0.6</v>
      </c>
      <c r="AX3" s="1">
        <v>0.34</v>
      </c>
      <c r="AY3" s="1"/>
      <c r="AZ3" s="1"/>
      <c r="BA3" s="1"/>
      <c r="BB3" s="1"/>
      <c r="BC3" s="1"/>
      <c r="BD3" s="1"/>
      <c r="BE3" s="1"/>
      <c r="BF3" s="42"/>
      <c r="BG3" s="4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1"/>
      <c r="CS3" s="1"/>
      <c r="CT3" s="1"/>
      <c r="CU3" s="1"/>
    </row>
    <row r="4" spans="1:99" s="13" customFormat="1" ht="12.75" x14ac:dyDescent="0.2">
      <c r="A4" s="65">
        <v>43648</v>
      </c>
      <c r="B4" s="1"/>
      <c r="C4" s="1"/>
      <c r="D4" s="60"/>
      <c r="E4" s="76"/>
      <c r="F4" s="60"/>
      <c r="G4" s="60"/>
      <c r="H4" s="60"/>
      <c r="I4" s="60"/>
      <c r="J4" s="60"/>
      <c r="K4" s="64"/>
      <c r="L4" s="64"/>
      <c r="M4" s="60"/>
      <c r="N4" s="60"/>
      <c r="O4" s="60"/>
      <c r="P4" s="60"/>
      <c r="Q4" s="60"/>
      <c r="R4" s="60"/>
      <c r="S4" s="60"/>
      <c r="T4" s="60"/>
      <c r="U4" s="60"/>
      <c r="V4" s="60"/>
      <c r="W4" s="60"/>
      <c r="X4" s="60"/>
      <c r="Y4" s="76"/>
      <c r="Z4" s="60"/>
      <c r="AA4" s="60"/>
      <c r="AB4" s="60"/>
      <c r="AC4" s="76"/>
      <c r="AD4" s="60"/>
      <c r="AE4" s="60"/>
      <c r="AF4" s="80"/>
      <c r="AG4" s="56"/>
      <c r="AH4" s="4"/>
      <c r="AI4" s="56"/>
      <c r="AJ4" s="109"/>
      <c r="AK4" s="56"/>
      <c r="AL4" s="56"/>
      <c r="AM4" s="56"/>
      <c r="AN4" s="56"/>
      <c r="AO4" s="56"/>
      <c r="AP4" s="56"/>
      <c r="AQ4" s="56"/>
      <c r="AR4" s="109"/>
      <c r="AS4" s="56"/>
      <c r="AT4" s="56"/>
      <c r="AU4" s="4"/>
      <c r="AV4" s="48">
        <v>450</v>
      </c>
      <c r="AW4" s="25">
        <f>12*3600</f>
        <v>43200</v>
      </c>
      <c r="AX4" s="1">
        <f>7*24*3600</f>
        <v>604800</v>
      </c>
      <c r="AY4" s="26"/>
      <c r="AZ4" s="26"/>
      <c r="BA4" s="26"/>
      <c r="BB4" s="26"/>
      <c r="BF4" s="42"/>
      <c r="BG4" s="4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1"/>
      <c r="CS4" s="1"/>
      <c r="CT4" s="1"/>
      <c r="CU4" s="1"/>
    </row>
    <row r="5" spans="1:99" s="13" customFormat="1" ht="12" customHeight="1" x14ac:dyDescent="0.2">
      <c r="A5" s="65">
        <v>43648</v>
      </c>
      <c r="B5" s="1" t="s">
        <v>321</v>
      </c>
      <c r="C5" s="1" t="s">
        <v>45</v>
      </c>
      <c r="D5" s="60">
        <v>2019</v>
      </c>
      <c r="E5" s="76" t="s">
        <v>580</v>
      </c>
      <c r="F5" s="60">
        <v>160</v>
      </c>
      <c r="G5" s="60">
        <v>32</v>
      </c>
      <c r="H5" s="60" t="s">
        <v>43</v>
      </c>
      <c r="I5" s="60" t="s">
        <v>573</v>
      </c>
      <c r="J5" s="60" t="s">
        <v>320</v>
      </c>
      <c r="K5" s="60">
        <f>IF(J5="syllables",1,IF(J5="trigrams",2,IF(J5="strings",3,IF(J5="visual array",4,IF(J5="characters",5,IF(J5="letters",6,IF(J5="free forms",7,IF(J5="odors",8,IF(J5="words",9,IF(J5="pictures",10,IF(J5="object pictures",11,IF(J5="faces",12,IF(J5="names",13,IF(J5="idioms",14,IF(J5="grades",15,IF(J5="syllable-digit pairs",16,IF(J5="trigram-word pairs",17,IF(J5="word-digit pairs",18,IF(J5="English-Swahili pairs",19,IF(J5="spatial position",20,IF(J5="word pairs",21,IF(J5="word triads",22,IF(J5="generated words",23,IF(J5="word definition pairs",24,IF(J5="math problems",25,IF(J5="famous faces",26,IF(J5="famous names",27,IF(J5="famous voices",28,IF(J5="television programs",29,IF(J5="race horses",30,IF(J5="new vocabulary",31,IF(J5="sentences",32,IF(J5="concepts",33,IF(J5="ad slides",34,IF(J5="scenes",35,IF(J5="famous scenes",36,IF(J5="poems",37,IF(J5="walk",38,IF(J5="faces and events",39,IF(J5="events and names",40,IF(J5="flashbulb",41,IF(J5="stories",42,IF(J5="course material",43,IF(J5="autobiographical",44,IF(J5="novels",45,IF(J5="public events",46,"99"))))))))))))))))))))))))))))))))))))))))))))))</f>
        <v>21</v>
      </c>
      <c r="L5" s="60">
        <f>IF(J5="syllables",1,IF(J5="trigrams",1,IF(J5="strings",1,IF(J5="visual array",1,IF(J5="characters",1,IF(J5="letters",1,IF(J5="free forms",1,IF(J5="odors",2,IF(J5="words",2,IF(J5="pictures",2,IF(J5="object pictures",2,IF(J5="faces",2,IF(J5="names",2,IF(J5="idioms","2",IF(J5="grades",2,IF(J5="syllable-digit pairs",3,IF(J5="trigram-word pairs",3,IF(J5="word-digit pairs",3,IF(J5="English-Swahili pairs",3,IF(J5="spatial position",3,IF(J5="word pairs",4,IF(J5="word triads",4,IF(J5="generated words",4,IF(J5="word definition pairs",4,IF(J5="math problems",4,IF(J5="famous faces",4,IF(J5="famous names",4,IF(J5="famous voices",4,IF(J5="television programs",4,IF(J5="race horses",4,IF(J5="new vocabulary",4,IF(J5="sentences",5,IF(J5="concepts",5,IF(J5="ad slides",5,IF(J5="scenes",5,IF(J5="famous scenes",5,IF(J5="poems",6,IF(J5="walk",6,IF(J5="faces and events",6,IF(J5="events and names",6,IF(J5="flashbulb",7,IF(J5="stories",7,IF(J5="course material",7,IF(J5="autobiographical",7,IF(J5="novels",7,IF(J5="public events",7,"99"))))))))))))))))))))))))))))))))))))))))))))))</f>
        <v>4</v>
      </c>
      <c r="M5" s="60">
        <v>1</v>
      </c>
      <c r="N5" s="60">
        <v>2</v>
      </c>
      <c r="O5" s="60">
        <v>0</v>
      </c>
      <c r="P5" s="60"/>
      <c r="Q5" s="60" t="s">
        <v>65</v>
      </c>
      <c r="R5" s="60">
        <f>IF(Q5="Free Recall",1,IF(Q5="Cued Recall",2,IF(Q5="Recognition",3,IF(Q5="Multiple Choice",4,IF(Q5="Savings",5,IF(Q5="Stem Completion",6,IF(Q5="Fragment Completion",7,IF(Q5="anagram solution",8,IF(Q5="Matching",9,IF(Q5="Problem Solving",10,"99"))))))))))</f>
        <v>2</v>
      </c>
      <c r="S5" s="60" t="s">
        <v>20</v>
      </c>
      <c r="T5" s="60" t="s">
        <v>261</v>
      </c>
      <c r="U5" s="60">
        <f>IF(T5="within",1,0)</f>
        <v>0</v>
      </c>
      <c r="V5" s="60">
        <v>36</v>
      </c>
      <c r="W5" s="60">
        <f>F5*V5</f>
        <v>5760</v>
      </c>
      <c r="X5" s="60">
        <v>3</v>
      </c>
      <c r="Y5" s="76">
        <f>AV4</f>
        <v>450</v>
      </c>
      <c r="Z5" s="60" t="s">
        <v>97</v>
      </c>
      <c r="AA5" s="60">
        <f>7*24*3600</f>
        <v>604800</v>
      </c>
      <c r="AB5" s="60" t="str">
        <f>IF(AA5&lt;60,"1",IF(AA5&lt;=43200,"2",IF(AA5&lt;=777600,"3","4")))</f>
        <v>3</v>
      </c>
      <c r="AC5" s="76">
        <f>AVERAGE(AV4:DA4)</f>
        <v>216150</v>
      </c>
      <c r="AD5" s="60" t="str">
        <f>IF(AC5&lt;60,"1",IF(AC5&lt;=43200,"2",IF(AC5&lt;=777600,"3","4")))</f>
        <v>3</v>
      </c>
      <c r="AE5" s="76">
        <f>AA5-Y5</f>
        <v>604350</v>
      </c>
      <c r="AF5" s="80">
        <f>AV5</f>
        <v>0.82</v>
      </c>
      <c r="AG5" s="56">
        <f>((AW5-AV5)+(AX5-AW5))/2</f>
        <v>-0.24999999999999997</v>
      </c>
      <c r="AH5" s="4"/>
      <c r="AI5" s="56">
        <f>RSQ(AV5:AX5,AV4:AX4)</f>
        <v>0.978409943363031</v>
      </c>
      <c r="AJ5" s="109">
        <f>SLOPE(AV5:AX5,AV4:AX4)</f>
        <v>-7.7059563157923545E-7</v>
      </c>
      <c r="AK5" s="56">
        <f>INTERCEPT(AV5:AX5,AV4:AX4)</f>
        <v>0.7832309124325183</v>
      </c>
      <c r="AL5" s="56">
        <f>INDEX(LINEST(LN(AV5:AX5),LN(AV4:AX4),TRUE,TRUE),3,1)</f>
        <v>0.74082996209601903</v>
      </c>
      <c r="AM5" s="56">
        <f>INDEX(LINEST(LN(AV5:AX5),LN(AV4:AX4)),1)</f>
        <v>-0.11970481241427627</v>
      </c>
      <c r="AN5" s="56">
        <f>EXP(INDEX(LINEST(LN(AV5:AX5),LN(AV4:AX4)),1,2))</f>
        <v>1.897872285939614</v>
      </c>
      <c r="AO5" s="82">
        <f>INDEX(LINEST((AV5:AX5),LN(AV4:AX4),TRUE,TRUE),3,1)</f>
        <v>0.79826576672259952</v>
      </c>
      <c r="AP5" s="82">
        <f>INDEX(LINEST((AV5:AX5),LN(AV4:AX4)),1)</f>
        <v>-6.4414731369755077E-2</v>
      </c>
      <c r="AQ5" s="83">
        <f>INDEX(LINEST(LN(AV5:AX5),SQRT(AV4:AX4),TRUE,TRUE),3,1)</f>
        <v>0.99071924038404136</v>
      </c>
      <c r="AR5" s="116">
        <f>INDEX(LINEST(LN(AV5:AX5),SQRT((AV4:AX4))),1)</f>
        <v>-1.2801415693923029E-3</v>
      </c>
      <c r="AS5" s="84">
        <f>INDEX(LINEST(1/(AV5:AX5),1/(SQRT(AV4:AX4)),TRUE,TRUE),3,1)</f>
        <v>0.39815684419663339</v>
      </c>
      <c r="AT5" s="84">
        <f>INDEX(LINEST(1/(AV5:AX5),1/SQRT(AV4:AX4)),1)</f>
        <v>-25.960793795555773</v>
      </c>
      <c r="AU5" s="4"/>
      <c r="AV5" s="42">
        <v>0.82</v>
      </c>
      <c r="AW5" s="42">
        <v>0.71</v>
      </c>
      <c r="AX5" s="42">
        <v>0.32</v>
      </c>
      <c r="AY5" s="42"/>
      <c r="AZ5" s="46"/>
      <c r="BA5" s="42"/>
      <c r="BB5" s="42"/>
      <c r="BC5" s="42"/>
      <c r="BD5" s="42"/>
      <c r="BE5" s="42"/>
      <c r="BF5" s="42"/>
      <c r="BG5" s="4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1"/>
      <c r="CS5" s="1"/>
      <c r="CT5" s="1"/>
      <c r="CU5" s="1"/>
    </row>
    <row r="6" spans="1:99" s="13" customFormat="1" ht="12" customHeight="1" x14ac:dyDescent="0.2">
      <c r="A6" s="65">
        <v>43648</v>
      </c>
      <c r="B6" s="1"/>
      <c r="C6" s="1"/>
      <c r="D6" s="60"/>
      <c r="E6" s="76"/>
      <c r="F6" s="60"/>
      <c r="G6" s="60"/>
      <c r="H6" s="60"/>
      <c r="I6" s="60"/>
      <c r="J6" s="60"/>
      <c r="K6" s="64"/>
      <c r="L6" s="64"/>
      <c r="M6" s="60"/>
      <c r="N6" s="60"/>
      <c r="O6" s="60"/>
      <c r="P6" s="60"/>
      <c r="Q6" s="60"/>
      <c r="R6" s="60"/>
      <c r="S6" s="60"/>
      <c r="T6" s="60"/>
      <c r="U6" s="60"/>
      <c r="V6" s="60"/>
      <c r="W6" s="60"/>
      <c r="X6" s="60"/>
      <c r="Y6" s="76"/>
      <c r="Z6" s="60"/>
      <c r="AA6" s="60"/>
      <c r="AB6" s="60"/>
      <c r="AC6" s="76"/>
      <c r="AD6" s="60"/>
      <c r="AE6" s="60"/>
      <c r="AF6" s="80"/>
      <c r="AG6" s="56"/>
      <c r="AH6" s="4"/>
      <c r="AI6" s="56"/>
      <c r="AJ6" s="109"/>
      <c r="AK6" s="56"/>
      <c r="AL6" s="56"/>
      <c r="AM6" s="56"/>
      <c r="AN6" s="56"/>
      <c r="AO6" s="56"/>
      <c r="AP6" s="56"/>
      <c r="AQ6" s="56"/>
      <c r="AR6" s="109"/>
      <c r="AS6" s="56"/>
      <c r="AT6" s="56"/>
      <c r="AU6" s="4"/>
      <c r="AV6" s="48">
        <v>450</v>
      </c>
      <c r="AW6" s="25">
        <f>12*3600</f>
        <v>43200</v>
      </c>
      <c r="AX6" s="1">
        <f>7*24*3600</f>
        <v>604800</v>
      </c>
      <c r="AY6" s="42"/>
      <c r="AZ6" s="46"/>
      <c r="BA6" s="42"/>
      <c r="BB6" s="42"/>
      <c r="BC6" s="42"/>
      <c r="BD6" s="42"/>
      <c r="BE6" s="42"/>
      <c r="BF6" s="42"/>
      <c r="BG6" s="4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1"/>
      <c r="CS6" s="1"/>
      <c r="CT6" s="1"/>
      <c r="CU6" s="1"/>
    </row>
    <row r="7" spans="1:99" s="13" customFormat="1" ht="12" customHeight="1" x14ac:dyDescent="0.2">
      <c r="A7" s="65">
        <v>43648</v>
      </c>
      <c r="B7" s="1" t="s">
        <v>321</v>
      </c>
      <c r="C7" s="1" t="s">
        <v>45</v>
      </c>
      <c r="D7" s="60">
        <v>2019</v>
      </c>
      <c r="E7" s="76" t="s">
        <v>580</v>
      </c>
      <c r="F7" s="60">
        <v>160</v>
      </c>
      <c r="G7" s="60">
        <v>32</v>
      </c>
      <c r="H7" s="60" t="s">
        <v>43</v>
      </c>
      <c r="I7" s="60" t="s">
        <v>590</v>
      </c>
      <c r="J7" s="60" t="s">
        <v>320</v>
      </c>
      <c r="K7" s="60">
        <f>IF(J7="syllables",1,IF(J7="trigrams",2,IF(J7="strings",3,IF(J7="visual array",4,IF(J7="characters",5,IF(J7="letters",6,IF(J7="free forms",7,IF(J7="odors",8,IF(J7="words",9,IF(J7="pictures",10,IF(J7="object pictures",11,IF(J7="faces",12,IF(J7="names",13,IF(J7="idioms",14,IF(J7="grades",15,IF(J7="syllable-digit pairs",16,IF(J7="trigram-word pairs",17,IF(J7="word-digit pairs",18,IF(J7="English-Swahili pairs",19,IF(J7="spatial position",20,IF(J7="word pairs",21,IF(J7="word triads",22,IF(J7="generated words",23,IF(J7="word definition pairs",24,IF(J7="math problems",25,IF(J7="famous faces",26,IF(J7="famous names",27,IF(J7="famous voices",28,IF(J7="television programs",29,IF(J7="race horses",30,IF(J7="new vocabulary",31,IF(J7="sentences",32,IF(J7="concepts",33,IF(J7="ad slides",34,IF(J7="scenes",35,IF(J7="famous scenes",36,IF(J7="poems",37,IF(J7="walk",38,IF(J7="faces and events",39,IF(J7="events and names",40,IF(J7="flashbulb",41,IF(J7="stories",42,IF(J7="course material",43,IF(J7="autobiographical",44,IF(J7="novels",45,IF(J7="public events",46,"99"))))))))))))))))))))))))))))))))))))))))))))))</f>
        <v>21</v>
      </c>
      <c r="L7" s="60">
        <f>IF(J7="syllables",1,IF(J7="trigrams",1,IF(J7="strings",1,IF(J7="visual array",1,IF(J7="characters",1,IF(J7="letters",1,IF(J7="free forms",1,IF(J7="odors",2,IF(J7="words",2,IF(J7="pictures",2,IF(J7="object pictures",2,IF(J7="faces",2,IF(J7="names",2,IF(J7="idioms","2",IF(J7="grades",2,IF(J7="syllable-digit pairs",3,IF(J7="trigram-word pairs",3,IF(J7="word-digit pairs",3,IF(J7="English-Swahili pairs",3,IF(J7="spatial position",3,IF(J7="word pairs",4,IF(J7="word triads",4,IF(J7="generated words",4,IF(J7="word definition pairs",4,IF(J7="math problems",4,IF(J7="famous faces",4,IF(J7="famous names",4,IF(J7="famous voices",4,IF(J7="television programs",4,IF(J7="race horses",4,IF(J7="new vocabulary",4,IF(J7="sentences",5,IF(J7="concepts",5,IF(J7="ad slides",5,IF(J7="scenes",5,IF(J7="famous scenes",5,IF(J7="poems",6,IF(J7="walk",6,IF(J7="faces and events",6,IF(J7="events and names",6,IF(J7="flashbulb",7,IF(J7="stories",7,IF(J7="course material",7,IF(J7="autobiographical",7,IF(J7="novels",7,IF(J7="public events",7,"99"))))))))))))))))))))))))))))))))))))))))))))))</f>
        <v>4</v>
      </c>
      <c r="M7" s="60">
        <v>1</v>
      </c>
      <c r="N7" s="60">
        <v>2</v>
      </c>
      <c r="O7" s="60">
        <v>0</v>
      </c>
      <c r="P7" s="60"/>
      <c r="Q7" s="60" t="s">
        <v>65</v>
      </c>
      <c r="R7" s="60">
        <f>IF(Q7="Free Recall",1,IF(Q7="Cued Recall",2,IF(Q7="Recognition",3,IF(Q7="Multiple Choice",4,IF(Q7="Savings",5,IF(Q7="Stem Completion",6,IF(Q7="Fragment Completion",7,IF(Q7="anagram solution",8,IF(Q7="Matching",9,IF(Q7="Problem Solving",10,"99"))))))))))</f>
        <v>2</v>
      </c>
      <c r="S7" s="60" t="s">
        <v>20</v>
      </c>
      <c r="T7" s="60" t="s">
        <v>261</v>
      </c>
      <c r="U7" s="60">
        <f>IF(T7="within",1,0)</f>
        <v>0</v>
      </c>
      <c r="V7" s="60">
        <v>36</v>
      </c>
      <c r="W7" s="60">
        <f>F7*V7</f>
        <v>5760</v>
      </c>
      <c r="X7" s="60">
        <v>3</v>
      </c>
      <c r="Y7" s="76">
        <f>AV6</f>
        <v>450</v>
      </c>
      <c r="Z7" s="60" t="s">
        <v>97</v>
      </c>
      <c r="AA7" s="60">
        <f>7*24*3600</f>
        <v>604800</v>
      </c>
      <c r="AB7" s="60" t="str">
        <f>IF(AA7&lt;60,"1",IF(AA7&lt;=43200,"2",IF(AA7&lt;=777600,"3","4")))</f>
        <v>3</v>
      </c>
      <c r="AC7" s="76">
        <f>AVERAGE(AV6:DA6)</f>
        <v>216150</v>
      </c>
      <c r="AD7" s="60" t="str">
        <f>IF(AC7&lt;60,"1",IF(AC7&lt;=43200,"2",IF(AC7&lt;=777600,"3","4")))</f>
        <v>3</v>
      </c>
      <c r="AE7" s="76">
        <f>AA7-Y7</f>
        <v>604350</v>
      </c>
      <c r="AF7" s="80">
        <f>AV7</f>
        <v>0.65</v>
      </c>
      <c r="AG7" s="56">
        <f>((AW7-AV7)+(AX7-AW7))/2</f>
        <v>-0.13500000000000001</v>
      </c>
      <c r="AH7" s="4"/>
      <c r="AI7" s="56">
        <f>RSQ(AV7:AX7,AV6:AX6)</f>
        <v>0.97772896985829982</v>
      </c>
      <c r="AJ7" s="109">
        <f>SLOPE(AV7:AX7,AV6:AX6)</f>
        <v>-4.1566548314856565E-7</v>
      </c>
      <c r="AK7" s="56">
        <f>INTERCEPT(AV7:AX7,AV6:AX6)</f>
        <v>0.62984609418256254</v>
      </c>
      <c r="AL7" s="56">
        <f>INDEX(LINEST(LN(AV7:AX7),LN(AV6:AX6),TRUE,TRUE),3,1)</f>
        <v>0.76455679730142989</v>
      </c>
      <c r="AM7" s="56">
        <f>INDEX(LINEST(LN(AV7:AX7),LN(AV6:AX6)),1)</f>
        <v>-6.8642470712818149E-2</v>
      </c>
      <c r="AN7" s="56">
        <f>EXP(INDEX(LINEST(LN(AV7:AX7),LN(AV6:AX6)),1,2))</f>
        <v>1.0477131640261095</v>
      </c>
      <c r="AO7" s="82">
        <f>INDEX(LINEST((AV7:AX7),LN(AV6:AX6),TRUE,TRUE),3,1)</f>
        <v>0.80012847328930303</v>
      </c>
      <c r="AP7" s="82">
        <f>INDEX(LINEST((AV7:AX7),LN(AV6:AX6)),1)</f>
        <v>-3.4798451347550267E-2</v>
      </c>
      <c r="AQ7" s="83">
        <f>INDEX(LINEST(LN(AV7:AX7),SQRT(AV6:AX6),TRUE,TRUE),3,1)</f>
        <v>0.99524896437583044</v>
      </c>
      <c r="AR7" s="116">
        <f>INDEX(LINEST(LN(AV7:AX7),SQRT((AV6:AX6))),1)</f>
        <v>-7.2424291947413447E-4</v>
      </c>
      <c r="AS7" s="84">
        <f>INDEX(LINEST(1/(AV7:AX7),1/(SQRT(AV6:AX6)),TRUE,TRUE),3,1)</f>
        <v>0.44019742297926256</v>
      </c>
      <c r="AT7" s="84">
        <f>INDEX(LINEST(1/(AV7:AX7),1/SQRT(AV6:AX6)),1)</f>
        <v>-15.370280029580099</v>
      </c>
      <c r="AU7" s="4"/>
      <c r="AV7" s="42">
        <v>0.65</v>
      </c>
      <c r="AW7" s="42">
        <v>0.59</v>
      </c>
      <c r="AX7" s="42">
        <v>0.38</v>
      </c>
      <c r="AY7" s="42"/>
      <c r="AZ7" s="46"/>
      <c r="BA7" s="42"/>
      <c r="BB7" s="42"/>
      <c r="BC7" s="42"/>
      <c r="BD7" s="42"/>
      <c r="BE7" s="42"/>
      <c r="BF7" s="42"/>
      <c r="BG7" s="4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1"/>
      <c r="CS7" s="1"/>
      <c r="CT7" s="1"/>
      <c r="CU7" s="1"/>
    </row>
    <row r="8" spans="1:99" s="13" customFormat="1" ht="12" customHeight="1" x14ac:dyDescent="0.2">
      <c r="A8" s="65">
        <v>43648</v>
      </c>
      <c r="B8" s="1"/>
      <c r="C8" s="1"/>
      <c r="D8" s="60"/>
      <c r="E8" s="76"/>
      <c r="F8" s="60"/>
      <c r="G8" s="60"/>
      <c r="H8" s="60"/>
      <c r="I8" s="60"/>
      <c r="J8" s="60"/>
      <c r="K8" s="64"/>
      <c r="L8" s="64"/>
      <c r="M8" s="60"/>
      <c r="N8" s="60"/>
      <c r="O8" s="60"/>
      <c r="P8" s="60"/>
      <c r="Q8" s="60"/>
      <c r="R8" s="60"/>
      <c r="S8" s="60"/>
      <c r="T8" s="60"/>
      <c r="U8" s="60"/>
      <c r="V8" s="60"/>
      <c r="W8" s="60"/>
      <c r="X8" s="60"/>
      <c r="Y8" s="76"/>
      <c r="Z8" s="60"/>
      <c r="AA8" s="60"/>
      <c r="AB8" s="60"/>
      <c r="AC8" s="76"/>
      <c r="AD8" s="60"/>
      <c r="AE8" s="60"/>
      <c r="AF8" s="80"/>
      <c r="AG8" s="56"/>
      <c r="AH8" s="4"/>
      <c r="AI8" s="56"/>
      <c r="AJ8" s="109"/>
      <c r="AK8" s="56"/>
      <c r="AL8" s="56"/>
      <c r="AM8" s="56"/>
      <c r="AN8" s="56"/>
      <c r="AO8" s="56"/>
      <c r="AP8" s="56"/>
      <c r="AQ8" s="56"/>
      <c r="AR8" s="109"/>
      <c r="AS8" s="56"/>
      <c r="AT8" s="56"/>
      <c r="AU8" s="4"/>
      <c r="AV8" s="48">
        <v>450</v>
      </c>
      <c r="AW8" s="25">
        <f>12*3600</f>
        <v>43200</v>
      </c>
      <c r="AX8" s="1">
        <f>7*24*3600</f>
        <v>604800</v>
      </c>
      <c r="AY8" s="42"/>
      <c r="AZ8" s="46"/>
      <c r="BA8" s="42"/>
      <c r="BB8" s="42"/>
      <c r="BC8" s="42"/>
      <c r="BD8" s="42"/>
      <c r="BE8" s="42"/>
      <c r="BF8" s="42"/>
      <c r="BG8" s="4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1"/>
      <c r="CS8" s="1"/>
      <c r="CT8" s="1"/>
      <c r="CU8" s="1"/>
    </row>
    <row r="9" spans="1:99" s="13" customFormat="1" ht="12" customHeight="1" x14ac:dyDescent="0.2">
      <c r="A9" s="65">
        <v>43648</v>
      </c>
      <c r="B9" s="1" t="s">
        <v>321</v>
      </c>
      <c r="C9" s="1" t="s">
        <v>45</v>
      </c>
      <c r="D9" s="60">
        <v>2019</v>
      </c>
      <c r="E9" s="76" t="s">
        <v>580</v>
      </c>
      <c r="F9" s="60">
        <v>160</v>
      </c>
      <c r="G9" s="60">
        <v>32</v>
      </c>
      <c r="H9" s="60" t="s">
        <v>43</v>
      </c>
      <c r="I9" s="60" t="s">
        <v>574</v>
      </c>
      <c r="J9" s="60" t="s">
        <v>320</v>
      </c>
      <c r="K9" s="60">
        <f>IF(J9="syllables",1,IF(J9="trigrams",2,IF(J9="strings",3,IF(J9="visual array",4,IF(J9="characters",5,IF(J9="letters",6,IF(J9="free forms",7,IF(J9="odors",8,IF(J9="words",9,IF(J9="pictures",10,IF(J9="object pictures",11,IF(J9="faces",12,IF(J9="names",13,IF(J9="idioms",14,IF(J9="grades",15,IF(J9="syllable-digit pairs",16,IF(J9="trigram-word pairs",17,IF(J9="word-digit pairs",18,IF(J9="English-Swahili pairs",19,IF(J9="spatial position",20,IF(J9="word pairs",21,IF(J9="word triads",22,IF(J9="generated words",23,IF(J9="word definition pairs",24,IF(J9="math problems",25,IF(J9="famous faces",26,IF(J9="famous names",27,IF(J9="famous voices",28,IF(J9="television programs",29,IF(J9="race horses",30,IF(J9="new vocabulary",31,IF(J9="sentences",32,IF(J9="concepts",33,IF(J9="ad slides",34,IF(J9="scenes",35,IF(J9="famous scenes",36,IF(J9="poems",37,IF(J9="walk",38,IF(J9="faces and events",39,IF(J9="events and names",40,IF(J9="flashbulb",41,IF(J9="stories",42,IF(J9="course material",43,IF(J9="autobiographical",44,IF(J9="novels",45,IF(J9="public events",46,"99"))))))))))))))))))))))))))))))))))))))))))))))</f>
        <v>21</v>
      </c>
      <c r="L9" s="60">
        <f>IF(J9="syllables",1,IF(J9="trigrams",1,IF(J9="strings",1,IF(J9="visual array",1,IF(J9="characters",1,IF(J9="letters",1,IF(J9="free forms",1,IF(J9="odors",2,IF(J9="words",2,IF(J9="pictures",2,IF(J9="object pictures",2,IF(J9="faces",2,IF(J9="names",2,IF(J9="idioms","2",IF(J9="grades",2,IF(J9="syllable-digit pairs",3,IF(J9="trigram-word pairs",3,IF(J9="word-digit pairs",3,IF(J9="English-Swahili pairs",3,IF(J9="spatial position",3,IF(J9="word pairs",4,IF(J9="word triads",4,IF(J9="generated words",4,IF(J9="word definition pairs",4,IF(J9="math problems",4,IF(J9="famous faces",4,IF(J9="famous names",4,IF(J9="famous voices",4,IF(J9="television programs",4,IF(J9="race horses",4,IF(J9="new vocabulary",4,IF(J9="sentences",5,IF(J9="concepts",5,IF(J9="ad slides",5,IF(J9="scenes",5,IF(J9="famous scenes",5,IF(J9="poems",6,IF(J9="walk",6,IF(J9="faces and events",6,IF(J9="events and names",6,IF(J9="flashbulb",7,IF(J9="stories",7,IF(J9="course material",7,IF(J9="autobiographical",7,IF(J9="novels",7,IF(J9="public events",7,"99"))))))))))))))))))))))))))))))))))))))))))))))</f>
        <v>4</v>
      </c>
      <c r="M9" s="60">
        <v>1</v>
      </c>
      <c r="N9" s="60">
        <v>2</v>
      </c>
      <c r="O9" s="60">
        <v>0</v>
      </c>
      <c r="P9" s="60"/>
      <c r="Q9" s="60" t="s">
        <v>65</v>
      </c>
      <c r="R9" s="60">
        <f>IF(Q9="Free Recall",1,IF(Q9="Cued Recall",2,IF(Q9="Recognition",3,IF(Q9="Multiple Choice",4,IF(Q9="Savings",5,IF(Q9="Stem Completion",6,IF(Q9="Fragment Completion",7,IF(Q9="anagram solution",8,IF(Q9="Matching",9,IF(Q9="Problem Solving",10,"99"))))))))))</f>
        <v>2</v>
      </c>
      <c r="S9" s="60" t="s">
        <v>20</v>
      </c>
      <c r="T9" s="60" t="s">
        <v>261</v>
      </c>
      <c r="U9" s="60">
        <f>IF(T9="within",1,0)</f>
        <v>0</v>
      </c>
      <c r="V9" s="60">
        <v>36</v>
      </c>
      <c r="W9" s="60">
        <f>F9*V9</f>
        <v>5760</v>
      </c>
      <c r="X9" s="60">
        <v>3</v>
      </c>
      <c r="Y9" s="76">
        <f>AV8</f>
        <v>450</v>
      </c>
      <c r="Z9" s="60" t="s">
        <v>97</v>
      </c>
      <c r="AA9" s="60">
        <f>7*24*3600</f>
        <v>604800</v>
      </c>
      <c r="AB9" s="60" t="str">
        <f>IF(AA9&lt;60,"1",IF(AA9&lt;=43200,"2",IF(AA9&lt;=777600,"3","4")))</f>
        <v>3</v>
      </c>
      <c r="AC9" s="76">
        <f>AVERAGE(AV8:DA8)</f>
        <v>216150</v>
      </c>
      <c r="AD9" s="60" t="str">
        <f>IF(AC9&lt;60,"1",IF(AC9&lt;=43200,"2",IF(AC9&lt;=777600,"3","4")))</f>
        <v>3</v>
      </c>
      <c r="AE9" s="76">
        <f>AA9-Y9</f>
        <v>604350</v>
      </c>
      <c r="AF9" s="80">
        <f>AV9</f>
        <v>0.65</v>
      </c>
      <c r="AG9" s="56">
        <f>((AW9-AV9)+(AX9-AW9))/2</f>
        <v>-0.15000000000000002</v>
      </c>
      <c r="AH9" s="4"/>
      <c r="AI9" s="56">
        <f>RSQ(AV9:AX9,AV8:AX8)</f>
        <v>0.99142101884577383</v>
      </c>
      <c r="AJ9" s="109">
        <f>SLOPE(AV9:AX9,AV8:AX8)</f>
        <v>-4.7452158972678067E-7</v>
      </c>
      <c r="AK9" s="56">
        <f>INTERCEPT(AV9:AX9,AV8:AX8)</f>
        <v>0.63590117495277698</v>
      </c>
      <c r="AL9" s="56">
        <f>INDEX(LINEST(LN(AV9:AX9),LN(AV8:AX8),TRUE,TRUE),3,1)</f>
        <v>0.72004266197036881</v>
      </c>
      <c r="AM9" s="56">
        <f>INDEX(LINEST(LN(AV9:AX9),LN(AV8:AX8)),1)</f>
        <v>-7.8393965082307462E-2</v>
      </c>
      <c r="AN9" s="56">
        <f>EXP(INDEX(LINEST(LN(AV9:AX9),LN(AV8:AX8)),1,2))</f>
        <v>1.1304602810028144</v>
      </c>
      <c r="AO9" s="82">
        <f>INDEX(LINEST((AV9:AX9),LN(AV8:AX8),TRUE,TRUE),3,1)</f>
        <v>0.75265667736135289</v>
      </c>
      <c r="AP9" s="82">
        <f>INDEX(LINEST((AV9:AX9),LN(AV8:AX8)),1)</f>
        <v>-3.8262267944986175E-2</v>
      </c>
      <c r="AQ9" s="83">
        <f>INDEX(LINEST(LN(AV9:AX9),SQRT(AV8:AX8),TRUE,TRUE),3,1)</f>
        <v>0.98568956171028121</v>
      </c>
      <c r="AR9" s="116">
        <f>INDEX(LINEST(LN(AV9:AX9),SQRT((AV8:AX8))),1)</f>
        <v>-8.4821110906641223E-4</v>
      </c>
      <c r="AS9" s="84">
        <f>INDEX(LINEST(1/(AV9:AX9),1/(SQRT(AV8:AX8)),TRUE,TRUE),3,1)</f>
        <v>0.39635965208317386</v>
      </c>
      <c r="AT9" s="84">
        <f>INDEX(LINEST(1/(AV9:AX9),1/SQRT(AV8:AX8)),1)</f>
        <v>-17.940696750293739</v>
      </c>
      <c r="AU9" s="4"/>
      <c r="AV9" s="42">
        <v>0.65</v>
      </c>
      <c r="AW9" s="42">
        <v>0.6</v>
      </c>
      <c r="AX9" s="42">
        <v>0.35</v>
      </c>
      <c r="AY9" s="42"/>
      <c r="AZ9" s="46"/>
      <c r="BA9" s="42"/>
      <c r="BB9" s="42"/>
      <c r="BC9" s="42"/>
      <c r="BD9" s="42"/>
      <c r="BE9" s="42"/>
      <c r="BF9" s="42"/>
      <c r="BG9" s="4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1"/>
      <c r="CS9" s="1"/>
      <c r="CT9" s="1"/>
      <c r="CU9" s="1"/>
    </row>
    <row r="10" spans="1:99" s="13" customFormat="1" ht="12" customHeight="1" x14ac:dyDescent="0.2">
      <c r="A10" s="68">
        <v>43900</v>
      </c>
      <c r="B10" s="70"/>
      <c r="C10" s="70"/>
      <c r="D10" s="69"/>
      <c r="E10" s="87"/>
      <c r="F10" s="69"/>
      <c r="G10" s="69"/>
      <c r="H10" s="69"/>
      <c r="I10" s="69"/>
      <c r="J10" s="69"/>
      <c r="K10" s="107"/>
      <c r="L10" s="107"/>
      <c r="M10" s="69"/>
      <c r="N10" s="86"/>
      <c r="O10" s="69"/>
      <c r="P10" s="69"/>
      <c r="Q10" s="69"/>
      <c r="R10" s="69"/>
      <c r="S10" s="69"/>
      <c r="T10" s="69"/>
      <c r="U10" s="69"/>
      <c r="V10" s="69"/>
      <c r="W10" s="69"/>
      <c r="X10" s="69"/>
      <c r="Y10" s="87"/>
      <c r="Z10" s="69"/>
      <c r="AA10" s="69"/>
      <c r="AB10" s="69"/>
      <c r="AC10" s="72"/>
      <c r="AD10" s="69"/>
      <c r="AE10" s="69"/>
      <c r="AF10" s="88"/>
      <c r="AG10" s="72"/>
      <c r="AH10" s="4"/>
      <c r="AI10" s="72"/>
      <c r="AJ10" s="110"/>
      <c r="AK10" s="72"/>
      <c r="AL10" s="72"/>
      <c r="AM10" s="72"/>
      <c r="AN10" s="72"/>
      <c r="AO10" s="89"/>
      <c r="AP10" s="89"/>
      <c r="AQ10" s="90"/>
      <c r="AR10" s="117"/>
      <c r="AS10" s="91"/>
      <c r="AT10" s="91"/>
      <c r="AU10" s="4"/>
      <c r="AV10" s="71">
        <v>157680000</v>
      </c>
      <c r="AW10" s="71">
        <v>473040000</v>
      </c>
      <c r="AX10" s="71">
        <v>788400000</v>
      </c>
      <c r="AY10" s="71">
        <v>1103760000</v>
      </c>
      <c r="AZ10" s="71">
        <v>1419120000</v>
      </c>
      <c r="BA10" s="42"/>
      <c r="BB10" s="42" t="s">
        <v>505</v>
      </c>
      <c r="BC10" s="42"/>
      <c r="BD10" s="42"/>
      <c r="BE10" s="42"/>
      <c r="BF10" s="42"/>
      <c r="BG10" s="42"/>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1"/>
      <c r="CS10" s="1"/>
      <c r="CT10" s="1"/>
      <c r="CU10" s="1"/>
    </row>
    <row r="11" spans="1:99" s="13" customFormat="1" ht="12" customHeight="1" x14ac:dyDescent="0.2">
      <c r="A11" s="68">
        <v>43900</v>
      </c>
      <c r="B11" s="94" t="s">
        <v>424</v>
      </c>
      <c r="C11" s="94" t="s">
        <v>425</v>
      </c>
      <c r="D11" s="92">
        <v>1981</v>
      </c>
      <c r="E11" s="87">
        <v>1</v>
      </c>
      <c r="F11" s="69">
        <v>12</v>
      </c>
      <c r="G11" s="69">
        <v>12</v>
      </c>
      <c r="H11" s="69" t="s">
        <v>50</v>
      </c>
      <c r="I11" s="92" t="s">
        <v>330</v>
      </c>
      <c r="J11" s="92" t="s">
        <v>342</v>
      </c>
      <c r="K11" s="69">
        <f>IF(J11="syllables",1,IF(J11="trigrams",2,IF(J11="strings",3,IF(J11="visual array",4,IF(J11="characters",5,IF(J11="letters",6,IF(J11="free forms",7,IF(J11="odors",8,IF(J11="words",9,IF(J11="pictures",10,IF(J11="object pictures",11,IF(J11="faces",12,IF(J11="names",13,IF(J11="idioms",14,IF(J11="grades",15,IF(J11="syllable-digit pairs",16,IF(J11="trigram-word pairs",17,IF(J11="word-digit pairs",18,IF(J11="English-Swahili pairs",19,IF(J11="spatial position",20,IF(J11="word pairs",21,IF(J11="word triads",22,IF(J11="generated words",23,IF(J11="word definition pairs",24,IF(J11="math problems",25,IF(J11="famous faces",26,IF(J11="famous names",27,IF(J11="famous voices",28,IF(J11="television programs",29,IF(J11="race horses",30,IF(J11="new vocabulary",31,IF(J11="sentences",32,IF(J11="concepts",33,IF(J11="ad slides",34,IF(J11="scenes",35,IF(J11="famous scenes",36,IF(J11="poems",37,IF(J11="walk",38,IF(J11="faces and events",39,IF(J11="events and names",40,IF(J11="flashbulb",41,IF(J11="stories",42,IF(J11="course material",43,IF(J11="autobiographical",44,IF(J11="novels",45,IF(J11="public events",46,"99"))))))))))))))))))))))))))))))))))))))))))))))</f>
        <v>26</v>
      </c>
      <c r="L11" s="69">
        <f>IF(J11="syllables",1,IF(J11="trigrams",1,IF(J11="strings",1,IF(J11="visual array",1,IF(J11="characters",1,IF(J11="letters",1,IF(J11="free forms",1,IF(J11="odors",2,IF(J11="words",2,IF(J11="pictures",2,IF(J11="object pictures",2,IF(J11="faces",2,IF(J11="names",2,IF(J11="idioms","2",IF(J11="grades",2,IF(J11="syllable-digit pairs",3,IF(J11="trigram-word pairs",3,IF(J11="word-digit pairs",3,IF(J11="English-Swahili pairs",3,IF(J11="spatial position",3,IF(J11="word pairs",4,IF(J11="word triads",4,IF(J11="generated words",4,IF(J11="word definition pairs",4,IF(J11="math problems",4,IF(J11="famous faces",4,IF(J11="famous names",4,IF(J11="famous voices",4,IF(J11="television programs",4,IF(J11="race horses",4,IF(J11="new vocabulary",4,IF(J11="sentences",5,IF(J11="concepts",5,IF(J11="ad slides",5,IF(J11="scenes",5,IF(J11="famous scenes",5,IF(J11="poems",6,IF(J11="walk",6,IF(J11="faces and events",6,IF(J11="events and names",6,IF(J11="flashbulb",7,IF(J11="stories",7,IF(J11="course material",7,IF(J11="autobiographical",7,IF(J11="novels",7,IF(J11="public events",7,"99"))))))))))))))))))))))))))))))))))))))))))))))</f>
        <v>4</v>
      </c>
      <c r="M11" s="69">
        <v>1</v>
      </c>
      <c r="N11" s="86">
        <v>2</v>
      </c>
      <c r="O11" s="69">
        <v>0</v>
      </c>
      <c r="P11" s="69"/>
      <c r="Q11" s="92" t="s">
        <v>174</v>
      </c>
      <c r="R11" s="69">
        <f>IF(Q11="Free Recall",1,IF(Q11="Cued Recall",2,IF(Q11="Recognition",3,IF(Q11="Multiple Choice",4,IF(Q11="Savings",5,IF(Q11="Stem Completion",6,IF(Q11="Fragment Completion",7,IF(Q11="anagram solution",8,IF(Q11="Matching",9,IF(Q11="Problem Solving",10,"99"))))))))))</f>
        <v>1</v>
      </c>
      <c r="S11" s="69" t="s">
        <v>20</v>
      </c>
      <c r="T11" s="92" t="s">
        <v>581</v>
      </c>
      <c r="U11" s="69">
        <f>IF(T11="within",1,0)</f>
        <v>1</v>
      </c>
      <c r="V11" s="92">
        <v>180</v>
      </c>
      <c r="W11" s="69">
        <f>F11*V11</f>
        <v>2160</v>
      </c>
      <c r="X11" s="69">
        <v>5</v>
      </c>
      <c r="Y11" s="87">
        <f>AV10</f>
        <v>157680000</v>
      </c>
      <c r="Z11" s="69" t="s">
        <v>373</v>
      </c>
      <c r="AA11" s="69">
        <f>60*60*24*365*45</f>
        <v>1419120000</v>
      </c>
      <c r="AB11" s="69" t="str">
        <f>IF(AA11&lt;60,"1",IF(AA11&lt;=43200,"2",IF(AA11&lt;=777600,"3","4")))</f>
        <v>4</v>
      </c>
      <c r="AC11" s="72">
        <f>AVERAGE(AV10:DA10)</f>
        <v>788400000</v>
      </c>
      <c r="AD11" s="69" t="str">
        <f>IF(AC11&lt;60,"1",IF(AC11&lt;=43200,"2",IF(AC11&lt;=777600,"3","4")))</f>
        <v>4</v>
      </c>
      <c r="AE11" s="87">
        <f>AA11-Y11</f>
        <v>1261440000</v>
      </c>
      <c r="AF11" s="88">
        <f>AV11</f>
        <v>0.75</v>
      </c>
      <c r="AG11" s="72">
        <f>((AW11-AV11)+(AX11-AW11)+(AY11-AX11)+(AZ11-AY11))/4</f>
        <v>1.999999999999999E-2</v>
      </c>
      <c r="AH11" s="4"/>
      <c r="AI11" s="72">
        <f>RSQ(AV11:AZ11,AV10:AZ10)</f>
        <v>0.66274509803921566</v>
      </c>
      <c r="AJ11" s="110">
        <f>SLOPE(AV11:AZ11,AV10:AZ10)</f>
        <v>8.24454591577879E-11</v>
      </c>
      <c r="AK11" s="72">
        <f>INTERCEPT(AV11:AZ11,AV10:AZ10)</f>
        <v>0.71500000000000008</v>
      </c>
      <c r="AL11" s="72">
        <f>INDEX(LINEST(LN(AV11:AZ11),LN(AV10:AZ10),TRUE,TRUE),3,1)</f>
        <v>0.45010633199205968</v>
      </c>
      <c r="AM11" s="72">
        <f>INDEX(LINEST(LN(AV11:AZ11),LN(AV10:AZ10)),1)</f>
        <v>4.9437815767496188E-2</v>
      </c>
      <c r="AN11" s="72">
        <f>EXP(INDEX(LINEST(LN(AV11:AZ11),LN(AV10:AZ10)),1,2))</f>
        <v>0.28620451227865717</v>
      </c>
      <c r="AO11" s="89">
        <f>INDEX(LINEST((AV11:AZ11),LN(AV10:AZ10),TRUE,TRUE),3,1)</f>
        <v>0.45369408706176162</v>
      </c>
      <c r="AP11" s="89">
        <f>INDEX(LINEST((AV11:AZ11),LN(AV10:AZ10)),1)</f>
        <v>3.9120211909467129E-2</v>
      </c>
      <c r="AQ11" s="90">
        <f>INDEX(LINEST(LN(AV11:AZ11),SQRT(AV10:AZ10),TRUE,TRUE),3,1)</f>
        <v>0.56912914788466751</v>
      </c>
      <c r="AR11" s="117">
        <f>INDEX(LINEST(LN(AV11:AZ11),SQRT((AV10:AZ10))),1)</f>
        <v>4.8992017962444577E-6</v>
      </c>
      <c r="AS11" s="91">
        <f>INDEX(LINEST(1/(AV11:AZ11),1/(SQRT(AV10:AZ10)),TRUE,TRUE),3,1)</f>
        <v>0.33017237844169339</v>
      </c>
      <c r="AT11" s="91">
        <f>INDEX(LINEST(1/(AV11:AZ11),1/SQRT(AV10:AZ10)),1)</f>
        <v>2179.8245429748963</v>
      </c>
      <c r="AU11" s="4"/>
      <c r="AV11" s="73">
        <v>0.75</v>
      </c>
      <c r="AW11" s="73">
        <v>0.74</v>
      </c>
      <c r="AX11" s="73">
        <v>0.74</v>
      </c>
      <c r="AY11" s="73">
        <v>0.84</v>
      </c>
      <c r="AZ11" s="73">
        <v>0.83</v>
      </c>
      <c r="BA11" s="42"/>
      <c r="BB11" s="42"/>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1"/>
      <c r="CS11" s="1"/>
      <c r="CT11" s="1"/>
      <c r="CU11" s="1"/>
    </row>
    <row r="12" spans="1:99" s="13" customFormat="1" ht="12" customHeight="1" x14ac:dyDescent="0.2">
      <c r="A12" s="68">
        <v>43900</v>
      </c>
      <c r="B12" s="70"/>
      <c r="C12" s="70"/>
      <c r="D12" s="69"/>
      <c r="E12" s="87"/>
      <c r="F12" s="69"/>
      <c r="G12" s="69"/>
      <c r="H12" s="69"/>
      <c r="I12" s="69"/>
      <c r="J12" s="69"/>
      <c r="K12" s="107"/>
      <c r="L12" s="107"/>
      <c r="M12" s="69"/>
      <c r="N12" s="86"/>
      <c r="O12" s="69"/>
      <c r="P12" s="69"/>
      <c r="Q12" s="69"/>
      <c r="R12" s="69"/>
      <c r="S12" s="69"/>
      <c r="T12" s="69"/>
      <c r="U12" s="69"/>
      <c r="V12" s="69"/>
      <c r="W12" s="69"/>
      <c r="X12" s="69"/>
      <c r="Y12" s="87"/>
      <c r="Z12" s="69"/>
      <c r="AA12" s="69"/>
      <c r="AB12" s="69"/>
      <c r="AC12" s="72"/>
      <c r="AD12" s="69"/>
      <c r="AE12" s="69"/>
      <c r="AF12" s="88"/>
      <c r="AG12" s="72"/>
      <c r="AH12" s="4"/>
      <c r="AI12" s="72"/>
      <c r="AJ12" s="110"/>
      <c r="AK12" s="72"/>
      <c r="AL12" s="72"/>
      <c r="AM12" s="72"/>
      <c r="AN12" s="72"/>
      <c r="AO12" s="89"/>
      <c r="AP12" s="89"/>
      <c r="AQ12" s="90"/>
      <c r="AR12" s="117"/>
      <c r="AS12" s="91"/>
      <c r="AT12" s="91"/>
      <c r="AU12" s="4"/>
      <c r="AV12" s="71">
        <v>157680000</v>
      </c>
      <c r="AW12" s="71">
        <v>473040000</v>
      </c>
      <c r="AX12" s="71">
        <v>788400000</v>
      </c>
      <c r="AY12" s="71">
        <v>1103760000</v>
      </c>
      <c r="AZ12" s="71">
        <v>1419120000</v>
      </c>
      <c r="BA12" s="42"/>
      <c r="BB12" s="42"/>
      <c r="BC12" s="42"/>
      <c r="BD12" s="42"/>
      <c r="BE12" s="42"/>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1"/>
      <c r="CS12" s="1"/>
      <c r="CT12" s="1"/>
      <c r="CU12" s="1"/>
    </row>
    <row r="13" spans="1:99" s="13" customFormat="1" ht="12" customHeight="1" x14ac:dyDescent="0.2">
      <c r="A13" s="68">
        <v>43900</v>
      </c>
      <c r="B13" s="94" t="s">
        <v>424</v>
      </c>
      <c r="C13" s="94" t="s">
        <v>425</v>
      </c>
      <c r="D13" s="92">
        <v>1981</v>
      </c>
      <c r="E13" s="87">
        <v>1</v>
      </c>
      <c r="F13" s="69">
        <v>12</v>
      </c>
      <c r="G13" s="69">
        <v>12</v>
      </c>
      <c r="H13" s="69" t="s">
        <v>50</v>
      </c>
      <c r="I13" s="92" t="s">
        <v>330</v>
      </c>
      <c r="J13" s="92" t="s">
        <v>340</v>
      </c>
      <c r="K13" s="69">
        <f>IF(J13="syllables",1,IF(J13="trigrams",2,IF(J13="strings",3,IF(J13="visual array",4,IF(J13="characters",5,IF(J13="letters",6,IF(J13="free forms",7,IF(J13="odors",8,IF(J13="words",9,IF(J13="pictures",10,IF(J13="object pictures",11,IF(J13="faces",12,IF(J13="names",13,IF(J13="idioms",14,IF(J13="grades",15,IF(J13="syllable-digit pairs",16,IF(J13="trigram-word pairs",17,IF(J13="word-digit pairs",18,IF(J13="English-Swahili pairs",19,IF(J13="spatial position",20,IF(J13="word pairs",21,IF(J13="word triads",22,IF(J13="generated words",23,IF(J13="word definition pairs",24,IF(J13="math problems",25,IF(J13="famous faces",26,IF(J13="famous names",27,IF(J13="famous voices",28,IF(J13="television programs",29,IF(J13="race horses",30,IF(J13="new vocabulary",31,IF(J13="sentences",32,IF(J13="concepts",33,IF(J13="ad slides",34,IF(J13="scenes",35,IF(J13="famous scenes",36,IF(J13="poems",37,IF(J13="walk",38,IF(J13="faces and events",39,IF(J13="events and names",40,IF(J13="flashbulb",41,IF(J13="stories",42,IF(J13="course material",43,IF(J13="autobiographical",44,IF(J13="novels",45,IF(J13="public events",46,"99"))))))))))))))))))))))))))))))))))))))))))))))</f>
        <v>46</v>
      </c>
      <c r="L13" s="69">
        <f>IF(J13="syllables",1,IF(J13="trigrams",1,IF(J13="strings",1,IF(J13="visual array",1,IF(J13="characters",1,IF(J13="letters",1,IF(J13="free forms",1,IF(J13="odors",2,IF(J13="words",2,IF(J13="pictures",2,IF(J13="object pictures",2,IF(J13="faces",2,IF(J13="names",2,IF(J13="idioms","2",IF(J13="grades",2,IF(J13="syllable-digit pairs",3,IF(J13="trigram-word pairs",3,IF(J13="word-digit pairs",3,IF(J13="English-Swahili pairs",3,IF(J13="spatial position",3,IF(J13="word pairs",4,IF(J13="word triads",4,IF(J13="generated words",4,IF(J13="word definition pairs",4,IF(J13="math problems",4,IF(J13="famous faces",4,IF(J13="famous names",4,IF(J13="famous voices",4,IF(J13="television programs",4,IF(J13="race horses",4,IF(J13="new vocabulary",4,IF(J13="sentences",5,IF(J13="concepts",5,IF(J13="ad slides",5,IF(J13="scenes",5,IF(J13="famous scenes",5,IF(J13="poems",6,IF(J13="walk",6,IF(J13="faces and events",6,IF(J13="events and names",6,IF(J13="flashbulb",7,IF(J13="stories",7,IF(J13="course material",7,IF(J13="autobiographical",7,IF(J13="novels",7,IF(J13="public events",7,"99"))))))))))))))))))))))))))))))))))))))))))))))</f>
        <v>7</v>
      </c>
      <c r="M13" s="69">
        <v>1</v>
      </c>
      <c r="N13" s="86">
        <v>4</v>
      </c>
      <c r="O13" s="69">
        <v>0</v>
      </c>
      <c r="P13" s="69"/>
      <c r="Q13" s="92" t="s">
        <v>174</v>
      </c>
      <c r="R13" s="69">
        <f>IF(Q13="Free Recall",1,IF(Q13="Cued Recall",2,IF(Q13="Recognition",3,IF(Q13="Multiple Choice",4,IF(Q13="Savings",5,IF(Q13="Stem Completion",6,IF(Q13="Fragment Completion",7,IF(Q13="anagram solution",8,IF(Q13="Matching",9,IF(Q13="Problem Solving",10,"99"))))))))))</f>
        <v>1</v>
      </c>
      <c r="S13" s="69" t="s">
        <v>20</v>
      </c>
      <c r="T13" s="92" t="s">
        <v>581</v>
      </c>
      <c r="U13" s="69">
        <f>IF(T13="within",1,0)</f>
        <v>1</v>
      </c>
      <c r="V13" s="92">
        <v>132</v>
      </c>
      <c r="W13" s="69">
        <f>F13*V13</f>
        <v>1584</v>
      </c>
      <c r="X13" s="69">
        <v>5</v>
      </c>
      <c r="Y13" s="87">
        <f>AV12</f>
        <v>157680000</v>
      </c>
      <c r="Z13" s="69" t="s">
        <v>373</v>
      </c>
      <c r="AA13" s="69">
        <f>60*60*24*365*45</f>
        <v>1419120000</v>
      </c>
      <c r="AB13" s="69" t="str">
        <f>IF(AA13&lt;60,"1",IF(AA13&lt;=43200,"2",IF(AA13&lt;=777600,"3","4")))</f>
        <v>4</v>
      </c>
      <c r="AC13" s="72">
        <f>AVERAGE(AV12:DA12)</f>
        <v>788400000</v>
      </c>
      <c r="AD13" s="69" t="str">
        <f>IF(AC13&lt;60,"1",IF(AC13&lt;=43200,"2",IF(AC13&lt;=777600,"3","4")))</f>
        <v>4</v>
      </c>
      <c r="AE13" s="87">
        <f>AA13-Y13</f>
        <v>1261440000</v>
      </c>
      <c r="AF13" s="88">
        <f>AV13</f>
        <v>0.74468085106382975</v>
      </c>
      <c r="AG13" s="72">
        <f>((AW13-AV13)+(AX13-AW13)+(AY13-AX13)+(AZ13-AY13))/4</f>
        <v>1.491674375578167E-2</v>
      </c>
      <c r="AH13" s="4"/>
      <c r="AI13" s="72">
        <f>RSQ(AV13:AZ13,AV12:AZ12)</f>
        <v>0.36052575674104342</v>
      </c>
      <c r="AJ13" s="110">
        <f>SLOPE(AV13:AZ13,AV12:AZ12)</f>
        <v>3.8825879844945979E-11</v>
      </c>
      <c r="AK13" s="72">
        <f>INTERCEPT(AV13:AZ13,AV12:AZ12)</f>
        <v>0.75818178597110319</v>
      </c>
      <c r="AL13" s="72">
        <f>INDEX(LINEST(LN(AV13:AZ13),LN(AV12:AZ12),TRUE,TRUE),3,1)</f>
        <v>0.47737985093521562</v>
      </c>
      <c r="AM13" s="72">
        <f>INDEX(LINEST(LN(AV13:AZ13),LN(AV12:AZ12)),1)</f>
        <v>3.2799166070986409E-2</v>
      </c>
      <c r="AN13" s="72">
        <f>EXP(INDEX(LINEST(LN(AV13:AZ13),LN(AV12:AZ12)),1,2))</f>
        <v>0.40576066173107656</v>
      </c>
      <c r="AO13" s="89">
        <f>INDEX(LINEST((AV13:AZ13),LN(AV12:AZ12),TRUE,TRUE),3,1)</f>
        <v>0.46986981439273956</v>
      </c>
      <c r="AP13" s="89">
        <f>INDEX(LINEST((AV13:AZ13),LN(AV12:AZ12)),1)</f>
        <v>2.5419563614663222E-2</v>
      </c>
      <c r="AQ13" s="90">
        <f>INDEX(LINEST(LN(AV13:AZ13),SQRT(AV12:AZ12),TRUE,TRUE),3,1)</f>
        <v>0.42248950362015303</v>
      </c>
      <c r="AR13" s="117">
        <f>INDEX(LINEST(LN(AV13:AZ13),SQRT((AV12:AZ12))),1)</f>
        <v>2.7192987427232453E-6</v>
      </c>
      <c r="AS13" s="91">
        <f>INDEX(LINEST(1/(AV13:AZ13),1/(SQRT(AV12:AZ12)),TRUE,TRUE),3,1)</f>
        <v>0.52833353211526624</v>
      </c>
      <c r="AT13" s="91">
        <f>INDEX(LINEST(1/(AV13:AZ13),1/SQRT(AV12:AZ12)),1)</f>
        <v>1791.3028373286234</v>
      </c>
      <c r="AU13" s="4"/>
      <c r="AV13" s="73">
        <v>0.74468085106382975</v>
      </c>
      <c r="AW13" s="73">
        <v>0.81355932203389836</v>
      </c>
      <c r="AX13" s="73">
        <v>0.76470588235294124</v>
      </c>
      <c r="AY13" s="73">
        <v>0.81666666666666665</v>
      </c>
      <c r="AZ13" s="73">
        <v>0.80434782608695643</v>
      </c>
      <c r="BA13" s="42"/>
      <c r="BB13" s="42"/>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1"/>
      <c r="CS13" s="1"/>
      <c r="CT13" s="1"/>
      <c r="CU13" s="1"/>
    </row>
    <row r="14" spans="1:99" s="13" customFormat="1" ht="12" customHeight="1" x14ac:dyDescent="0.2">
      <c r="A14" s="68">
        <v>43900</v>
      </c>
      <c r="B14" s="70"/>
      <c r="C14" s="70"/>
      <c r="D14" s="69"/>
      <c r="E14" s="87"/>
      <c r="F14" s="69"/>
      <c r="G14" s="69"/>
      <c r="H14" s="69"/>
      <c r="I14" s="69"/>
      <c r="J14" s="69"/>
      <c r="K14" s="107"/>
      <c r="L14" s="107"/>
      <c r="M14" s="69"/>
      <c r="N14" s="86"/>
      <c r="O14" s="69"/>
      <c r="P14" s="69"/>
      <c r="Q14" s="69"/>
      <c r="R14" s="69"/>
      <c r="S14" s="69"/>
      <c r="T14" s="69"/>
      <c r="U14" s="69"/>
      <c r="V14" s="69"/>
      <c r="W14" s="69"/>
      <c r="X14" s="69"/>
      <c r="Y14" s="87"/>
      <c r="Z14" s="69"/>
      <c r="AA14" s="69"/>
      <c r="AB14" s="69"/>
      <c r="AC14" s="72"/>
      <c r="AD14" s="69"/>
      <c r="AE14" s="69"/>
      <c r="AF14" s="88"/>
      <c r="AG14" s="72"/>
      <c r="AH14" s="4"/>
      <c r="AI14" s="72"/>
      <c r="AJ14" s="110"/>
      <c r="AK14" s="72"/>
      <c r="AL14" s="72"/>
      <c r="AM14" s="72"/>
      <c r="AN14" s="72"/>
      <c r="AO14" s="89"/>
      <c r="AP14" s="89"/>
      <c r="AQ14" s="90"/>
      <c r="AR14" s="117"/>
      <c r="AS14" s="91"/>
      <c r="AT14" s="91"/>
      <c r="AU14" s="4"/>
      <c r="AV14" s="71">
        <v>157680000</v>
      </c>
      <c r="AW14" s="71">
        <v>473040000</v>
      </c>
      <c r="AX14" s="71">
        <v>788400000</v>
      </c>
      <c r="AY14" s="71">
        <v>1103760000</v>
      </c>
      <c r="AZ14" s="71">
        <v>1419120000</v>
      </c>
      <c r="BA14" s="42"/>
      <c r="BB14" s="42"/>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1"/>
      <c r="CS14" s="1"/>
      <c r="CT14" s="1"/>
      <c r="CU14" s="1"/>
    </row>
    <row r="15" spans="1:99" s="13" customFormat="1" ht="12" customHeight="1" x14ac:dyDescent="0.2">
      <c r="A15" s="68">
        <v>43900</v>
      </c>
      <c r="B15" s="94" t="s">
        <v>424</v>
      </c>
      <c r="C15" s="94" t="s">
        <v>425</v>
      </c>
      <c r="D15" s="92">
        <v>1981</v>
      </c>
      <c r="E15" s="87">
        <v>1</v>
      </c>
      <c r="F15" s="69">
        <v>12</v>
      </c>
      <c r="G15" s="69">
        <v>12</v>
      </c>
      <c r="H15" s="69" t="s">
        <v>50</v>
      </c>
      <c r="I15" s="92" t="s">
        <v>330</v>
      </c>
      <c r="J15" s="92" t="s">
        <v>340</v>
      </c>
      <c r="K15" s="69">
        <f>IF(J15="syllables",1,IF(J15="trigrams",2,IF(J15="strings",3,IF(J15="visual array",4,IF(J15="characters",5,IF(J15="letters",6,IF(J15="free forms",7,IF(J15="odors",8,IF(J15="words",9,IF(J15="pictures",10,IF(J15="object pictures",11,IF(J15="faces",12,IF(J15="names",13,IF(J15="idioms",14,IF(J15="grades",15,IF(J15="syllable-digit pairs",16,IF(J15="trigram-word pairs",17,IF(J15="word-digit pairs",18,IF(J15="English-Swahili pairs",19,IF(J15="spatial position",20,IF(J15="word pairs",21,IF(J15="word triads",22,IF(J15="generated words",23,IF(J15="word definition pairs",24,IF(J15="math problems",25,IF(J15="famous faces",26,IF(J15="famous names",27,IF(J15="famous voices",28,IF(J15="television programs",29,IF(J15="race horses",30,IF(J15="new vocabulary",31,IF(J15="sentences",32,IF(J15="concepts",33,IF(J15="ad slides",34,IF(J15="scenes",35,IF(J15="famous scenes",36,IF(J15="poems",37,IF(J15="walk",38,IF(J15="faces and events",39,IF(J15="events and names",40,IF(J15="flashbulb",41,IF(J15="stories",42,IF(J15="course material",43,IF(J15="autobiographical",44,IF(J15="novels",45,IF(J15="public events",46,"99"))))))))))))))))))))))))))))))))))))))))))))))</f>
        <v>46</v>
      </c>
      <c r="L15" s="69">
        <f>IF(J15="syllables",1,IF(J15="trigrams",1,IF(J15="strings",1,IF(J15="visual array",1,IF(J15="characters",1,IF(J15="letters",1,IF(J15="free forms",1,IF(J15="odors",2,IF(J15="words",2,IF(J15="pictures",2,IF(J15="object pictures",2,IF(J15="faces",2,IF(J15="names",2,IF(J15="idioms","2",IF(J15="grades",2,IF(J15="syllable-digit pairs",3,IF(J15="trigram-word pairs",3,IF(J15="word-digit pairs",3,IF(J15="English-Swahili pairs",3,IF(J15="spatial position",3,IF(J15="word pairs",4,IF(J15="word triads",4,IF(J15="generated words",4,IF(J15="word definition pairs",4,IF(J15="math problems",4,IF(J15="famous faces",4,IF(J15="famous names",4,IF(J15="famous voices",4,IF(J15="television programs",4,IF(J15="race horses",4,IF(J15="new vocabulary",4,IF(J15="sentences",5,IF(J15="concepts",5,IF(J15="ad slides",5,IF(J15="scenes",5,IF(J15="famous scenes",5,IF(J15="poems",6,IF(J15="walk",6,IF(J15="faces and events",6,IF(J15="events and names",6,IF(J15="flashbulb",7,IF(J15="stories",7,IF(J15="course material",7,IF(J15="autobiographical",7,IF(J15="novels",7,IF(J15="public events",7,"99"))))))))))))))))))))))))))))))))))))))))))))))</f>
        <v>7</v>
      </c>
      <c r="M15" s="69">
        <v>1</v>
      </c>
      <c r="N15" s="86">
        <v>4</v>
      </c>
      <c r="O15" s="69">
        <v>0</v>
      </c>
      <c r="P15" s="69"/>
      <c r="Q15" s="92" t="s">
        <v>182</v>
      </c>
      <c r="R15" s="69">
        <f>IF(Q15="Free Recall",1,IF(Q15="Cued Recall",2,IF(Q15="Recognition",3,IF(Q15="Multiple Choice",4,IF(Q15="Savings",5,IF(Q15="Stem Completion",6,IF(Q15="Fragment Completion",7,IF(Q15="anagram solution",8,IF(Q15="Matching",9,IF(Q15="Problem Solving",10,"99"))))))))))</f>
        <v>4</v>
      </c>
      <c r="S15" s="69" t="s">
        <v>15</v>
      </c>
      <c r="T15" s="92" t="s">
        <v>581</v>
      </c>
      <c r="U15" s="69">
        <f>IF(T15="within",1,0)</f>
        <v>1</v>
      </c>
      <c r="V15" s="92">
        <v>132</v>
      </c>
      <c r="W15" s="69">
        <f>F15*V15</f>
        <v>1584</v>
      </c>
      <c r="X15" s="69">
        <v>5</v>
      </c>
      <c r="Y15" s="87">
        <f>AV14</f>
        <v>157680000</v>
      </c>
      <c r="Z15" s="69" t="s">
        <v>373</v>
      </c>
      <c r="AA15" s="69">
        <f>60*60*24*365*45</f>
        <v>1419120000</v>
      </c>
      <c r="AB15" s="69" t="str">
        <f>IF(AA15&lt;60,"1",IF(AA15&lt;=43200,"2",IF(AA15&lt;=777600,"3","4")))</f>
        <v>4</v>
      </c>
      <c r="AC15" s="72">
        <f>AVERAGE(AV14:DA14)</f>
        <v>788400000</v>
      </c>
      <c r="AD15" s="69" t="str">
        <f>IF(AC15&lt;60,"1",IF(AC15&lt;=43200,"2",IF(AC15&lt;=777600,"3","4")))</f>
        <v>4</v>
      </c>
      <c r="AE15" s="87">
        <f>AA15-Y15</f>
        <v>1261440000</v>
      </c>
      <c r="AF15" s="88">
        <f>AV15</f>
        <v>0.75324675324675316</v>
      </c>
      <c r="AG15" s="93">
        <f>((AW15-AV15)+(AX15-AW15)+(AY15-AX15)+(AZ15-AY15))/4</f>
        <v>3.2467532467532478E-3</v>
      </c>
      <c r="AH15" s="4"/>
      <c r="AI15" s="72">
        <f>RSQ(AV15:AZ15,AV14:AZ14)</f>
        <v>0.12778657780627464</v>
      </c>
      <c r="AJ15" s="110">
        <f>SLOPE(AV15:AZ15,AV14:AZ14)</f>
        <v>-4.3795237611769304E-11</v>
      </c>
      <c r="AK15" s="72">
        <f>INTERCEPT(AV15:AZ15,AV14:AZ14)</f>
        <v>0.8087511559647782</v>
      </c>
      <c r="AL15" s="72">
        <f>INDEX(LINEST(LN(AV15:AZ15),LN(AV14:AZ14),TRUE,TRUE),3,1)</f>
        <v>3.8221309685075144E-2</v>
      </c>
      <c r="AM15" s="72">
        <f>INDEX(LINEST(LN(AV15:AZ15),LN(AV14:AZ14)),1)</f>
        <v>-1.7830823305700925E-2</v>
      </c>
      <c r="AN15" s="72">
        <f>EXP(INDEX(LINEST(LN(AV15:AZ15),LN(AV14:AZ14)),1,2))</f>
        <v>1.1080558010894765</v>
      </c>
      <c r="AO15" s="89">
        <f>INDEX(LINEST((AV15:AZ15),LN(AV14:AZ14),TRUE,TRUE),3,1)</f>
        <v>3.5938125268125051E-2</v>
      </c>
      <c r="AP15" s="89">
        <f>INDEX(LINEST((AV15:AZ15),LN(AV14:AZ14)),1)</f>
        <v>-1.3319506567012222E-2</v>
      </c>
      <c r="AQ15" s="90">
        <f>INDEX(LINEST(LN(AV15:AZ15),SQRT(AV14:AZ14),TRUE,TRUE),3,1)</f>
        <v>8.3587628120556312E-2</v>
      </c>
      <c r="AR15" s="117">
        <f>INDEX(LINEST(LN(AV15:AZ15),SQRT((AV14:AZ14))),1)</f>
        <v>-2.3238485223676713E-6</v>
      </c>
      <c r="AS15" s="91">
        <f>INDEX(LINEST(1/(AV15:AZ15),1/(SQRT(AV14:AZ14)),TRUE,TRUE),3,1)</f>
        <v>1.0791630499928298E-2</v>
      </c>
      <c r="AT15" s="91">
        <f>INDEX(LINEST(1/(AV15:AZ15),1/SQRT(AV14:AZ14)),1)</f>
        <v>-500.82999605924147</v>
      </c>
      <c r="AU15" s="4"/>
      <c r="AV15" s="73">
        <v>0.75324675324675316</v>
      </c>
      <c r="AW15" s="73">
        <v>0.85526315789473684</v>
      </c>
      <c r="AX15" s="73">
        <v>0.80519480519480513</v>
      </c>
      <c r="AY15" s="73">
        <v>0.69117647058823517</v>
      </c>
      <c r="AZ15" s="73">
        <v>0.76623376623376616</v>
      </c>
      <c r="BA15" s="42"/>
      <c r="BB15" s="42"/>
      <c r="BC15" s="42"/>
      <c r="BD15" s="42"/>
      <c r="BE15" s="42"/>
      <c r="BF15" s="42"/>
      <c r="BG15" s="42"/>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1"/>
      <c r="CS15" s="1"/>
      <c r="CT15" s="1"/>
      <c r="CU15" s="1"/>
    </row>
    <row r="16" spans="1:99" s="13" customFormat="1" ht="12" customHeight="1" x14ac:dyDescent="0.2">
      <c r="A16" s="65">
        <v>43895</v>
      </c>
      <c r="B16" s="1"/>
      <c r="C16" s="1"/>
      <c r="D16" s="60"/>
      <c r="E16" s="76"/>
      <c r="F16" s="60"/>
      <c r="G16" s="60"/>
      <c r="H16" s="60"/>
      <c r="I16" s="60"/>
      <c r="J16" s="60"/>
      <c r="K16" s="64"/>
      <c r="L16" s="64"/>
      <c r="M16" s="60"/>
      <c r="N16" s="61"/>
      <c r="O16" s="60"/>
      <c r="P16" s="60"/>
      <c r="Q16" s="60"/>
      <c r="R16" s="60"/>
      <c r="S16" s="60"/>
      <c r="T16" s="60"/>
      <c r="U16" s="60"/>
      <c r="V16" s="60"/>
      <c r="W16" s="60"/>
      <c r="X16" s="60"/>
      <c r="Y16" s="76"/>
      <c r="Z16" s="60"/>
      <c r="AA16" s="60"/>
      <c r="AB16" s="60"/>
      <c r="AC16" s="56"/>
      <c r="AD16" s="60"/>
      <c r="AE16" s="60"/>
      <c r="AF16" s="80"/>
      <c r="AG16" s="56"/>
      <c r="AH16" s="4"/>
      <c r="AI16" s="56"/>
      <c r="AJ16" s="109"/>
      <c r="AK16" s="56"/>
      <c r="AL16" s="56"/>
      <c r="AM16" s="56"/>
      <c r="AN16" s="56"/>
      <c r="AO16" s="82"/>
      <c r="AP16" s="82"/>
      <c r="AQ16" s="83"/>
      <c r="AR16" s="116"/>
      <c r="AS16" s="84"/>
      <c r="AT16" s="84"/>
      <c r="AU16" s="4"/>
      <c r="AV16" s="25">
        <v>157680000</v>
      </c>
      <c r="AW16" s="25">
        <v>473040000</v>
      </c>
      <c r="AX16" s="25">
        <v>788400000</v>
      </c>
      <c r="AY16" s="25">
        <v>1103760000</v>
      </c>
      <c r="AZ16" s="25">
        <v>1419120000</v>
      </c>
      <c r="BA16" s="42"/>
      <c r="BB16" s="48" t="s">
        <v>505</v>
      </c>
      <c r="BC16" s="42"/>
      <c r="BD16" s="42"/>
      <c r="BE16" s="42"/>
      <c r="BF16" s="42"/>
      <c r="BG16" s="42"/>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1"/>
      <c r="CS16" s="1"/>
      <c r="CT16" s="1"/>
      <c r="CU16" s="1"/>
    </row>
    <row r="17" spans="1:99" s="13" customFormat="1" ht="12" customHeight="1" x14ac:dyDescent="0.2">
      <c r="A17" s="65">
        <v>43895</v>
      </c>
      <c r="B17" s="15" t="s">
        <v>561</v>
      </c>
      <c r="C17" s="15" t="s">
        <v>562</v>
      </c>
      <c r="D17" s="59">
        <v>1981</v>
      </c>
      <c r="E17" s="76">
        <v>1</v>
      </c>
      <c r="F17" s="60">
        <v>12</v>
      </c>
      <c r="G17" s="60">
        <v>12</v>
      </c>
      <c r="H17" s="60" t="s">
        <v>50</v>
      </c>
      <c r="I17" s="59" t="s">
        <v>330</v>
      </c>
      <c r="J17" s="59" t="s">
        <v>342</v>
      </c>
      <c r="K17" s="60">
        <f>IF(J17="syllables",1,IF(J17="trigrams",2,IF(J17="strings",3,IF(J17="visual array",4,IF(J17="characters",5,IF(J17="letters",6,IF(J17="free forms",7,IF(J17="odors",8,IF(J17="words",9,IF(J17="pictures",10,IF(J17="object pictures",11,IF(J17="faces",12,IF(J17="names",13,IF(J17="idioms",14,IF(J17="grades",15,IF(J17="syllable-digit pairs",16,IF(J17="trigram-word pairs",17,IF(J17="word-digit pairs",18,IF(J17="English-Swahili pairs",19,IF(J17="spatial position",20,IF(J17="word pairs",21,IF(J17="word triads",22,IF(J17="generated words",23,IF(J17="word definition pairs",24,IF(J17="math problems",25,IF(J17="famous faces",26,IF(J17="famous names",27,IF(J17="famous voices",28,IF(J17="television programs",29,IF(J17="race horses",30,IF(J17="new vocabulary",31,IF(J17="sentences",32,IF(J17="concepts",33,IF(J17="ad slides",34,IF(J17="scenes",35,IF(J17="famous scenes",36,IF(J17="poems",37,IF(J17="walk",38,IF(J17="faces and events",39,IF(J17="events and names",40,IF(J17="flashbulb",41,IF(J17="stories",42,IF(J17="course material",43,IF(J17="autobiographical",44,IF(J17="novels",45,IF(J17="public events",46,"99"))))))))))))))))))))))))))))))))))))))))))))))</f>
        <v>26</v>
      </c>
      <c r="L17" s="60">
        <f>IF(J17="syllables",1,IF(J17="trigrams",1,IF(J17="strings",1,IF(J17="visual array",1,IF(J17="characters",1,IF(J17="letters",1,IF(J17="free forms",1,IF(J17="odors",2,IF(J17="words",2,IF(J17="pictures",2,IF(J17="object pictures",2,IF(J17="faces",2,IF(J17="names",2,IF(J17="idioms","2",IF(J17="grades",2,IF(J17="syllable-digit pairs",3,IF(J17="trigram-word pairs",3,IF(J17="word-digit pairs",3,IF(J17="English-Swahili pairs",3,IF(J17="spatial position",3,IF(J17="word pairs",4,IF(J17="word triads",4,IF(J17="generated words",4,IF(J17="word definition pairs",4,IF(J17="math problems",4,IF(J17="famous faces",4,IF(J17="famous names",4,IF(J17="famous voices",4,IF(J17="television programs",4,IF(J17="race horses",4,IF(J17="new vocabulary",4,IF(J17="sentences",5,IF(J17="concepts",5,IF(J17="ad slides",5,IF(J17="scenes",5,IF(J17="famous scenes",5,IF(J17="poems",6,IF(J17="walk",6,IF(J17="faces and events",6,IF(J17="events and names",6,IF(J17="flashbulb",7,IF(J17="stories",7,IF(J17="course material",7,IF(J17="autobiographical",7,IF(J17="novels",7,IF(J17="public events",7,"99"))))))))))))))))))))))))))))))))))))))))))))))</f>
        <v>4</v>
      </c>
      <c r="M17" s="60">
        <v>1</v>
      </c>
      <c r="N17" s="61">
        <v>2</v>
      </c>
      <c r="O17" s="60">
        <v>0</v>
      </c>
      <c r="P17" s="60"/>
      <c r="Q17" s="59" t="s">
        <v>174</v>
      </c>
      <c r="R17" s="60">
        <f>IF(Q17="Free Recall",1,IF(Q17="Cued Recall",2,IF(Q17="Recognition",3,IF(Q17="Multiple Choice",4,IF(Q17="Savings",5,IF(Q17="Stem Completion",6,IF(Q17="Fragment Completion",7,IF(Q17="anagram solution",8,IF(Q17="Matching",9,IF(Q17="Problem Solving",10,"99"))))))))))</f>
        <v>1</v>
      </c>
      <c r="S17" s="60" t="s">
        <v>20</v>
      </c>
      <c r="T17" s="59" t="s">
        <v>581</v>
      </c>
      <c r="U17" s="60">
        <f>IF(T17="within",1,0)</f>
        <v>1</v>
      </c>
      <c r="V17" s="59">
        <v>180</v>
      </c>
      <c r="W17" s="60">
        <f>F17*V17</f>
        <v>2160</v>
      </c>
      <c r="X17" s="60">
        <v>5</v>
      </c>
      <c r="Y17" s="76">
        <f>AV16</f>
        <v>157680000</v>
      </c>
      <c r="Z17" s="60" t="s">
        <v>373</v>
      </c>
      <c r="AA17" s="60">
        <f>60*60*24*365*45</f>
        <v>1419120000</v>
      </c>
      <c r="AB17" s="60" t="str">
        <f>IF(AA17&lt;60,"1",IF(AA17&lt;=43200,"2",IF(AA17&lt;=777600,"3","4")))</f>
        <v>4</v>
      </c>
      <c r="AC17" s="56">
        <f>AVERAGE(AV16:DA16)</f>
        <v>788400000</v>
      </c>
      <c r="AD17" s="60" t="str">
        <f>IF(AC17&lt;60,"1",IF(AC17&lt;=43200,"2",IF(AC17&lt;=777600,"3","4")))</f>
        <v>4</v>
      </c>
      <c r="AE17" s="76">
        <f>AA17-Y17</f>
        <v>1261440000</v>
      </c>
      <c r="AF17" s="80">
        <f>AV17</f>
        <v>0.62264150943396224</v>
      </c>
      <c r="AG17" s="56">
        <f>((AW17-AV17)+(AX17-AW17)+(AY17-AX17)+(AZ17-AY17))/4</f>
        <v>1.9871537535126493E-2</v>
      </c>
      <c r="AH17" s="4"/>
      <c r="AI17" s="56">
        <f>RSQ(AV17:AZ17,AV16:AZ16)</f>
        <v>0.46349544098480228</v>
      </c>
      <c r="AJ17" s="109">
        <f>SLOPE(AV17:AZ17,AV16:AZ16)</f>
        <v>8.4304244234330577E-11</v>
      </c>
      <c r="AK17" s="56">
        <f>INTERCEPT(AV17:AZ17,AV16:AZ16)</f>
        <v>0.57147503212336603</v>
      </c>
      <c r="AL17" s="56">
        <f>INDEX(LINEST(LN(AV17:AZ17),LN(AV16:AZ16),TRUE,TRUE),3,1)</f>
        <v>0.22262047844374935</v>
      </c>
      <c r="AM17" s="56">
        <f>INDEX(LINEST(LN(AV17:AZ17),LN(AV16:AZ16)),1)</f>
        <v>5.2447867240255734E-2</v>
      </c>
      <c r="AN17" s="56">
        <f>EXP(INDEX(LINEST(LN(AV17:AZ17),LN(AV16:AZ16)),1,2))</f>
        <v>0.21978031664536635</v>
      </c>
      <c r="AO17" s="82">
        <f>INDEX(LINEST((AV17:AZ17),LN(AV16:AZ16),TRUE,TRUE),3,1)</f>
        <v>0.24256616714828458</v>
      </c>
      <c r="AP17" s="82">
        <f>INDEX(LINEST((AV17:AZ17),LN(AV16:AZ16)),1)</f>
        <v>3.49758259484097E-2</v>
      </c>
      <c r="AQ17" s="83">
        <f>INDEX(LINEST(LN(AV17:AZ17),SQRT(AV16:AZ16),TRUE,TRUE),3,1)</f>
        <v>0.33316980432507914</v>
      </c>
      <c r="AR17" s="116">
        <f>INDEX(LINEST(LN(AV17:AZ17),SQRT((AV16:AZ16))),1)</f>
        <v>5.6545271552508405E-6</v>
      </c>
      <c r="AS17" s="84">
        <f>INDEX(LINEST(1/(AV17:AZ17),1/(SQRT(AV16:AZ16)),TRUE,TRUE),3,1)</f>
        <v>0.11829932354960219</v>
      </c>
      <c r="AT17" s="84">
        <f>INDEX(LINEST(1/(AV17:AZ17),1/SQRT(AV16:AZ16)),1)</f>
        <v>2435.092504618638</v>
      </c>
      <c r="AU17" s="4"/>
      <c r="AV17" s="42">
        <v>0.62264150943396224</v>
      </c>
      <c r="AW17" s="42">
        <v>0.59523809523809523</v>
      </c>
      <c r="AX17" s="42">
        <v>0.56756756756756754</v>
      </c>
      <c r="AY17" s="42">
        <v>0.70212765957446821</v>
      </c>
      <c r="AZ17" s="46">
        <v>0.70212765957446821</v>
      </c>
      <c r="BA17" s="42"/>
      <c r="BB17" s="42"/>
      <c r="BC17" s="42"/>
      <c r="BD17" s="42"/>
      <c r="BE17" s="42"/>
      <c r="BF17" s="42"/>
      <c r="BG17" s="42"/>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1"/>
      <c r="CS17" s="1"/>
      <c r="CT17" s="1"/>
      <c r="CU17" s="1"/>
    </row>
    <row r="18" spans="1:99" s="13" customFormat="1" ht="12" customHeight="1" x14ac:dyDescent="0.2">
      <c r="A18" s="65">
        <v>43895</v>
      </c>
      <c r="B18" s="1"/>
      <c r="C18" s="1"/>
      <c r="D18" s="60"/>
      <c r="E18" s="76"/>
      <c r="F18" s="60"/>
      <c r="G18" s="60"/>
      <c r="H18" s="60"/>
      <c r="I18" s="60"/>
      <c r="J18" s="60"/>
      <c r="K18" s="64"/>
      <c r="L18" s="64"/>
      <c r="M18" s="60"/>
      <c r="N18" s="61"/>
      <c r="O18" s="60"/>
      <c r="P18" s="60"/>
      <c r="Q18" s="60"/>
      <c r="R18" s="60"/>
      <c r="S18" s="60"/>
      <c r="T18" s="60"/>
      <c r="U18" s="60"/>
      <c r="V18" s="60"/>
      <c r="W18" s="60"/>
      <c r="X18" s="60"/>
      <c r="Y18" s="76"/>
      <c r="Z18" s="60"/>
      <c r="AA18" s="60"/>
      <c r="AB18" s="60"/>
      <c r="AC18" s="56"/>
      <c r="AD18" s="60"/>
      <c r="AE18" s="60"/>
      <c r="AF18" s="80"/>
      <c r="AG18" s="56"/>
      <c r="AH18" s="4"/>
      <c r="AI18" s="56"/>
      <c r="AJ18" s="109"/>
      <c r="AK18" s="56"/>
      <c r="AL18" s="56"/>
      <c r="AM18" s="56"/>
      <c r="AN18" s="56"/>
      <c r="AO18" s="82"/>
      <c r="AP18" s="82"/>
      <c r="AQ18" s="83"/>
      <c r="AR18" s="116"/>
      <c r="AS18" s="84"/>
      <c r="AT18" s="84"/>
      <c r="AU18" s="4"/>
      <c r="AV18" s="25">
        <v>157680000</v>
      </c>
      <c r="AW18" s="25">
        <v>473040000</v>
      </c>
      <c r="AX18" s="25">
        <v>788400000</v>
      </c>
      <c r="AY18" s="25">
        <v>1103760000</v>
      </c>
      <c r="AZ18" s="25">
        <v>1419120000</v>
      </c>
      <c r="BA18" s="42"/>
      <c r="BB18" s="42"/>
      <c r="BC18" s="42"/>
      <c r="BD18" s="42"/>
      <c r="BE18" s="42"/>
      <c r="BF18" s="42"/>
      <c r="BG18" s="42"/>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1"/>
      <c r="CS18" s="1"/>
      <c r="CT18" s="1"/>
      <c r="CU18" s="1"/>
    </row>
    <row r="19" spans="1:99" s="13" customFormat="1" ht="12" customHeight="1" x14ac:dyDescent="0.2">
      <c r="A19" s="65">
        <v>43895</v>
      </c>
      <c r="B19" s="15" t="s">
        <v>561</v>
      </c>
      <c r="C19" s="15" t="s">
        <v>562</v>
      </c>
      <c r="D19" s="59">
        <v>1981</v>
      </c>
      <c r="E19" s="76">
        <v>1</v>
      </c>
      <c r="F19" s="60">
        <v>12</v>
      </c>
      <c r="G19" s="60">
        <v>12</v>
      </c>
      <c r="H19" s="60" t="s">
        <v>41</v>
      </c>
      <c r="I19" s="59" t="s">
        <v>330</v>
      </c>
      <c r="J19" s="59" t="s">
        <v>340</v>
      </c>
      <c r="K19" s="60">
        <f>IF(J19="syllables",1,IF(J19="trigrams",2,IF(J19="strings",3,IF(J19="visual array",4,IF(J19="characters",5,IF(J19="letters",6,IF(J19="free forms",7,IF(J19="odors",8,IF(J19="words",9,IF(J19="pictures",10,IF(J19="object pictures",11,IF(J19="faces",12,IF(J19="names",13,IF(J19="idioms",14,IF(J19="grades",15,IF(J19="syllable-digit pairs",16,IF(J19="trigram-word pairs",17,IF(J19="word-digit pairs",18,IF(J19="English-Swahili pairs",19,IF(J19="spatial position",20,IF(J19="word pairs",21,IF(J19="word triads",22,IF(J19="generated words",23,IF(J19="word definition pairs",24,IF(J19="math problems",25,IF(J19="famous faces",26,IF(J19="famous names",27,IF(J19="famous voices",28,IF(J19="television programs",29,IF(J19="race horses",30,IF(J19="new vocabulary",31,IF(J19="sentences",32,IF(J19="concepts",33,IF(J19="ad slides",34,IF(J19="scenes",35,IF(J19="famous scenes",36,IF(J19="poems",37,IF(J19="walk",38,IF(J19="faces and events",39,IF(J19="events and names",40,IF(J19="flashbulb",41,IF(J19="stories",42,IF(J19="course material",43,IF(J19="autobiographical",44,IF(J19="novels",45,IF(J19="public events",46,"99"))))))))))))))))))))))))))))))))))))))))))))))</f>
        <v>46</v>
      </c>
      <c r="L19" s="60">
        <f>IF(J19="syllables",1,IF(J19="trigrams",1,IF(J19="strings",1,IF(J19="visual array",1,IF(J19="characters",1,IF(J19="letters",1,IF(J19="free forms",1,IF(J19="odors",2,IF(J19="words",2,IF(J19="pictures",2,IF(J19="object pictures",2,IF(J19="faces",2,IF(J19="names",2,IF(J19="idioms","2",IF(J19="grades",2,IF(J19="syllable-digit pairs",3,IF(J19="trigram-word pairs",3,IF(J19="word-digit pairs",3,IF(J19="English-Swahili pairs",3,IF(J19="spatial position",3,IF(J19="word pairs",4,IF(J19="word triads",4,IF(J19="generated words",4,IF(J19="word definition pairs",4,IF(J19="math problems",4,IF(J19="famous faces",4,IF(J19="famous names",4,IF(J19="famous voices",4,IF(J19="television programs",4,IF(J19="race horses",4,IF(J19="new vocabulary",4,IF(J19="sentences",5,IF(J19="concepts",5,IF(J19="ad slides",5,IF(J19="scenes",5,IF(J19="famous scenes",5,IF(J19="poems",6,IF(J19="walk",6,IF(J19="faces and events",6,IF(J19="events and names",6,IF(J19="flashbulb",7,IF(J19="stories",7,IF(J19="course material",7,IF(J19="autobiographical",7,IF(J19="novels",7,IF(J19="public events",7,"99"))))))))))))))))))))))))))))))))))))))))))))))</f>
        <v>7</v>
      </c>
      <c r="M19" s="60">
        <v>1</v>
      </c>
      <c r="N19" s="61">
        <v>4</v>
      </c>
      <c r="O19" s="60">
        <v>0</v>
      </c>
      <c r="P19" s="60"/>
      <c r="Q19" s="59" t="s">
        <v>174</v>
      </c>
      <c r="R19" s="60">
        <f>IF(Q19="Free Recall",1,IF(Q19="Cued Recall",2,IF(Q19="Recognition",3,IF(Q19="Multiple Choice",4,IF(Q19="Savings",5,IF(Q19="Stem Completion",6,IF(Q19="Fragment Completion",7,IF(Q19="anagram solution",8,IF(Q19="Matching",9,IF(Q19="Problem Solving",10,"99"))))))))))</f>
        <v>1</v>
      </c>
      <c r="S19" s="60" t="s">
        <v>20</v>
      </c>
      <c r="T19" s="59" t="s">
        <v>581</v>
      </c>
      <c r="U19" s="60">
        <f>IF(T19="within",1,0)</f>
        <v>1</v>
      </c>
      <c r="V19" s="59">
        <v>132</v>
      </c>
      <c r="W19" s="60">
        <f>F19*V19</f>
        <v>1584</v>
      </c>
      <c r="X19" s="60">
        <v>5</v>
      </c>
      <c r="Y19" s="76">
        <f>AV18</f>
        <v>157680000</v>
      </c>
      <c r="Z19" s="60" t="s">
        <v>373</v>
      </c>
      <c r="AA19" s="60">
        <f>60*60*24*365*45</f>
        <v>1419120000</v>
      </c>
      <c r="AB19" s="60" t="str">
        <f>IF(AA19&lt;60,"1",IF(AA19&lt;=43200,"2",IF(AA19&lt;=777600,"3","4")))</f>
        <v>4</v>
      </c>
      <c r="AC19" s="56">
        <f>AVERAGE(AV18:DA18)</f>
        <v>788400000</v>
      </c>
      <c r="AD19" s="60" t="str">
        <f>IF(AC19&lt;60,"1",IF(AC19&lt;=43200,"2",IF(AC19&lt;=777600,"3","4")))</f>
        <v>4</v>
      </c>
      <c r="AE19" s="76">
        <f>AA19-Y19</f>
        <v>1261440000</v>
      </c>
      <c r="AF19" s="80">
        <f>AV19</f>
        <v>0.60465116279069775</v>
      </c>
      <c r="AG19" s="56">
        <f>((AW19-AV19)+(AX19-AW19)+(AY19-AX19)+(AZ19-AY19))/4</f>
        <v>2.0265780730896993E-2</v>
      </c>
      <c r="AH19" s="4"/>
      <c r="AI19" s="56">
        <f>RSQ(AV19:AZ19,AV18:AZ18)</f>
        <v>0.28925811410503488</v>
      </c>
      <c r="AJ19" s="109">
        <f>SLOPE(AV19:AZ19,AV18:AZ18)</f>
        <v>5.9301472499755915E-11</v>
      </c>
      <c r="AK19" s="56">
        <f>INTERCEPT(AV19:AZ19,AV18:AZ18)</f>
        <v>0.62245964933379438</v>
      </c>
      <c r="AL19" s="56">
        <f>INDEX(LINEST(LN(AV19:AZ19),LN(AV18:AZ18),TRUE,TRUE),3,1)</f>
        <v>0.37528453113872801</v>
      </c>
      <c r="AM19" s="56">
        <f>INDEX(LINEST(LN(AV19:AZ19),LN(AV18:AZ18)),1)</f>
        <v>5.8429933170570429E-2</v>
      </c>
      <c r="AN19" s="56">
        <f>EXP(INDEX(LINEST(LN(AV19:AZ19),LN(AV18:AZ18)),1,2))</f>
        <v>0.20446103227180565</v>
      </c>
      <c r="AO19" s="82">
        <f>INDEX(LINEST((AV19:AZ19),LN(AV18:AZ18),TRUE,TRUE),3,1)</f>
        <v>0.36542985061692101</v>
      </c>
      <c r="AP19" s="82">
        <f>INDEX(LINEST((AV19:AZ19),LN(AV18:AZ18)),1)</f>
        <v>3.8225297352758376E-2</v>
      </c>
      <c r="AQ19" s="83">
        <f>INDEX(LINEST(LN(AV19:AZ19),SQRT(AV18:AZ18),TRUE,TRUE),3,1)</f>
        <v>0.33846003135702368</v>
      </c>
      <c r="AR19" s="116">
        <f>INDEX(LINEST(LN(AV19:AZ19),SQRT((AV18:AZ18))),1)</f>
        <v>4.8902037399512988E-6</v>
      </c>
      <c r="AS19" s="84">
        <f>INDEX(LINEST(1/(AV19:AZ19),1/(SQRT(AV18:AZ18)),TRUE,TRUE),3,1)</f>
        <v>0.412223640209118</v>
      </c>
      <c r="AT19" s="84">
        <f>INDEX(LINEST(1/(AV19:AZ19),1/SQRT(AV18:AZ18)),1)</f>
        <v>3754.0274780533587</v>
      </c>
      <c r="AU19" s="4"/>
      <c r="AV19" s="42">
        <v>0.60465116279069775</v>
      </c>
      <c r="AW19" s="42">
        <v>0.70588235294117641</v>
      </c>
      <c r="AX19" s="42">
        <v>0.61904761904761907</v>
      </c>
      <c r="AY19" s="42">
        <v>0.73076923076923073</v>
      </c>
      <c r="AZ19" s="46">
        <v>0.68571428571428572</v>
      </c>
      <c r="BA19" s="42"/>
      <c r="BB19" s="42"/>
      <c r="BC19" s="42"/>
      <c r="BD19" s="42"/>
      <c r="BE19" s="42"/>
      <c r="BF19" s="42"/>
      <c r="BG19" s="42"/>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1"/>
      <c r="CS19" s="1"/>
      <c r="CT19" s="1"/>
      <c r="CU19" s="1"/>
    </row>
    <row r="20" spans="1:99" s="13" customFormat="1" ht="12" customHeight="1" x14ac:dyDescent="0.2">
      <c r="A20" s="65">
        <v>43895</v>
      </c>
      <c r="B20" s="1"/>
      <c r="C20" s="1"/>
      <c r="D20" s="60"/>
      <c r="E20" s="76"/>
      <c r="F20" s="60"/>
      <c r="G20" s="60"/>
      <c r="H20" s="60"/>
      <c r="I20" s="60"/>
      <c r="J20" s="60"/>
      <c r="K20" s="64"/>
      <c r="L20" s="64"/>
      <c r="M20" s="60"/>
      <c r="N20" s="61"/>
      <c r="O20" s="60"/>
      <c r="P20" s="60"/>
      <c r="Q20" s="60"/>
      <c r="R20" s="60"/>
      <c r="S20" s="60"/>
      <c r="T20" s="60"/>
      <c r="U20" s="60"/>
      <c r="V20" s="60"/>
      <c r="W20" s="60"/>
      <c r="X20" s="60"/>
      <c r="Y20" s="76"/>
      <c r="Z20" s="60"/>
      <c r="AA20" s="60"/>
      <c r="AB20" s="60"/>
      <c r="AC20" s="56"/>
      <c r="AD20" s="60"/>
      <c r="AE20" s="60"/>
      <c r="AF20" s="80"/>
      <c r="AG20" s="56"/>
      <c r="AH20" s="4"/>
      <c r="AI20" s="56"/>
      <c r="AJ20" s="109"/>
      <c r="AK20" s="56"/>
      <c r="AL20" s="56"/>
      <c r="AM20" s="56"/>
      <c r="AN20" s="56"/>
      <c r="AO20" s="82"/>
      <c r="AP20" s="82"/>
      <c r="AQ20" s="83"/>
      <c r="AR20" s="116"/>
      <c r="AS20" s="84"/>
      <c r="AT20" s="84"/>
      <c r="AU20" s="4"/>
      <c r="AV20" s="25">
        <v>157680000</v>
      </c>
      <c r="AW20" s="25">
        <v>473040000</v>
      </c>
      <c r="AX20" s="25">
        <v>788400000</v>
      </c>
      <c r="AY20" s="25">
        <v>1103760000</v>
      </c>
      <c r="AZ20" s="25">
        <v>1419120000</v>
      </c>
      <c r="BA20" s="25">
        <v>1734480000</v>
      </c>
      <c r="BB20" s="42"/>
      <c r="BC20" s="42"/>
      <c r="BD20" s="42"/>
      <c r="BE20" s="42"/>
      <c r="BF20" s="42"/>
      <c r="BG20" s="42"/>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1"/>
      <c r="CS20" s="1"/>
      <c r="CT20" s="1"/>
      <c r="CU20" s="1"/>
    </row>
    <row r="21" spans="1:99" s="13" customFormat="1" ht="12" customHeight="1" x14ac:dyDescent="0.2">
      <c r="A21" s="65">
        <v>43895</v>
      </c>
      <c r="B21" s="15" t="s">
        <v>561</v>
      </c>
      <c r="C21" s="15" t="s">
        <v>562</v>
      </c>
      <c r="D21" s="59">
        <v>1981</v>
      </c>
      <c r="E21" s="76">
        <v>1</v>
      </c>
      <c r="F21" s="60">
        <v>12</v>
      </c>
      <c r="G21" s="60">
        <v>12</v>
      </c>
      <c r="H21" s="60" t="s">
        <v>32</v>
      </c>
      <c r="I21" s="59" t="s">
        <v>330</v>
      </c>
      <c r="J21" s="59" t="s">
        <v>340</v>
      </c>
      <c r="K21" s="60">
        <f>IF(J21="syllables",1,IF(J21="trigrams",2,IF(J21="strings",3,IF(J21="visual array",4,IF(J21="characters",5,IF(J21="letters",6,IF(J21="free forms",7,IF(J21="odors",8,IF(J21="words",9,IF(J21="pictures",10,IF(J21="object pictures",11,IF(J21="faces",12,IF(J21="names",13,IF(J21="idioms",14,IF(J21="grades",15,IF(J21="syllable-digit pairs",16,IF(J21="trigram-word pairs",17,IF(J21="word-digit pairs",18,IF(J21="English-Swahili pairs",19,IF(J21="spatial position",20,IF(J21="word pairs",21,IF(J21="word triads",22,IF(J21="generated words",23,IF(J21="word definition pairs",24,IF(J21="math problems",25,IF(J21="famous faces",26,IF(J21="famous names",27,IF(J21="famous voices",28,IF(J21="television programs",29,IF(J21="race horses",30,IF(J21="new vocabulary",31,IF(J21="sentences",32,IF(J21="concepts",33,IF(J21="ad slides",34,IF(J21="scenes",35,IF(J21="famous scenes",36,IF(J21="poems",37,IF(J21="walk",38,IF(J21="faces and events",39,IF(J21="events and names",40,IF(J21="flashbulb",41,IF(J21="stories",42,IF(J21="course material",43,IF(J21="autobiographical",44,IF(J21="novels",45,IF(J21="public events",46,"99"))))))))))))))))))))))))))))))))))))))))))))))</f>
        <v>46</v>
      </c>
      <c r="L21" s="60">
        <f>IF(J21="syllables",1,IF(J21="trigrams",1,IF(J21="strings",1,IF(J21="visual array",1,IF(J21="characters",1,IF(J21="letters",1,IF(J21="free forms",1,IF(J21="odors",2,IF(J21="words",2,IF(J21="pictures",2,IF(J21="object pictures",2,IF(J21="faces",2,IF(J21="names",2,IF(J21="idioms","2",IF(J21="grades",2,IF(J21="syllable-digit pairs",3,IF(J21="trigram-word pairs",3,IF(J21="word-digit pairs",3,IF(J21="English-Swahili pairs",3,IF(J21="spatial position",3,IF(J21="word pairs",4,IF(J21="word triads",4,IF(J21="generated words",4,IF(J21="word definition pairs",4,IF(J21="math problems",4,IF(J21="famous faces",4,IF(J21="famous names",4,IF(J21="famous voices",4,IF(J21="television programs",4,IF(J21="race horses",4,IF(J21="new vocabulary",4,IF(J21="sentences",5,IF(J21="concepts",5,IF(J21="ad slides",5,IF(J21="scenes",5,IF(J21="famous scenes",5,IF(J21="poems",6,IF(J21="walk",6,IF(J21="faces and events",6,IF(J21="events and names",6,IF(J21="flashbulb",7,IF(J21="stories",7,IF(J21="course material",7,IF(J21="autobiographical",7,IF(J21="novels",7,IF(J21="public events",7,"99"))))))))))))))))))))))))))))))))))))))))))))))</f>
        <v>7</v>
      </c>
      <c r="M21" s="60">
        <v>1</v>
      </c>
      <c r="N21" s="61">
        <v>4</v>
      </c>
      <c r="O21" s="60">
        <v>0</v>
      </c>
      <c r="P21" s="60"/>
      <c r="Q21" s="59" t="s">
        <v>182</v>
      </c>
      <c r="R21" s="60">
        <f>IF(Q21="Free Recall",1,IF(Q21="Cued Recall",2,IF(Q21="Recognition",3,IF(Q21="Multiple Choice",4,IF(Q21="Savings",5,IF(Q21="Stem Completion",6,IF(Q21="Fragment Completion",7,IF(Q21="anagram solution",8,IF(Q21="Matching",9,IF(Q21="Problem Solving",10,"99"))))))))))</f>
        <v>4</v>
      </c>
      <c r="S21" s="60" t="s">
        <v>15</v>
      </c>
      <c r="T21" s="59" t="s">
        <v>581</v>
      </c>
      <c r="U21" s="60">
        <f>IF(T21="within",1,0)</f>
        <v>1</v>
      </c>
      <c r="V21" s="59">
        <v>132</v>
      </c>
      <c r="W21" s="60">
        <f>F21*V21</f>
        <v>1584</v>
      </c>
      <c r="X21" s="60">
        <v>6</v>
      </c>
      <c r="Y21" s="76">
        <f>AV20</f>
        <v>157680000</v>
      </c>
      <c r="Z21" s="60" t="s">
        <v>374</v>
      </c>
      <c r="AA21" s="60">
        <f>60*60*24*365*55</f>
        <v>1734480000</v>
      </c>
      <c r="AB21" s="60" t="str">
        <f>IF(AA21&lt;60,"1",IF(AA21&lt;=43200,"2",IF(AA21&lt;=777600,"3","4")))</f>
        <v>4</v>
      </c>
      <c r="AC21" s="56">
        <f>AVERAGE(AV20:DA20)</f>
        <v>946080000</v>
      </c>
      <c r="AD21" s="60" t="str">
        <f>IF(AC21&lt;60,"1",IF(AC21&lt;=43200,"2",IF(AC21&lt;=777600,"3","4")))</f>
        <v>4</v>
      </c>
      <c r="AE21" s="76">
        <f>AA21-Y21</f>
        <v>1576800000</v>
      </c>
      <c r="AF21" s="80">
        <f>AV21</f>
        <v>0.75324675324675316</v>
      </c>
      <c r="AG21" s="56">
        <f>((AW21-AV21)+(AX21-AW21)+(AY21-AX21)+(AZ21-AY21)+(BA21-AZ21))/5</f>
        <v>-5.4438711972958354E-3</v>
      </c>
      <c r="AH21" s="4"/>
      <c r="AI21" s="56">
        <f>RSQ(AV21:BA21,AV20:BA20)</f>
        <v>0.22661558671267712</v>
      </c>
      <c r="AJ21" s="109">
        <f>SLOPE(AV21:BA21,AV20:BA20)</f>
        <v>-4.6858310640164344E-11</v>
      </c>
      <c r="AK21" s="56">
        <f>INTERCEPT(AV21:BA21,AV20:BA20)</f>
        <v>0.81052210226687516</v>
      </c>
      <c r="AL21" s="56">
        <f>INDEX(LINEST(LN(AV21:BA21),LN(AV20:BA20),TRUE,TRUE),3,1)</f>
        <v>0.10314785929385968</v>
      </c>
      <c r="AM21" s="56">
        <f>INDEX(LINEST(LN(AV21:BA21),LN(AV20:BA20)),1)</f>
        <v>-2.7360457951633936E-2</v>
      </c>
      <c r="AN21" s="56">
        <f>EXP(INDEX(LINEST(LN(AV21:BA21),LN(AV20:BA20)),1,2))</f>
        <v>1.3363457031944128</v>
      </c>
      <c r="AO21" s="82">
        <f>INDEX(LINEST((AV21:BA21),LN(AV20:BA20),TRUE,TRUE),3,1)</f>
        <v>0.101021288447529</v>
      </c>
      <c r="AP21" s="82">
        <f>INDEX(LINEST((AV21:BA21),LN(AV20:BA20)),1)</f>
        <v>-2.0889268314020912E-2</v>
      </c>
      <c r="AQ21" s="83">
        <f>INDEX(LINEST(LN(AV21:BA21),SQRT(AV20:BA20),TRUE,TRUE),3,1)</f>
        <v>0.17201686574086325</v>
      </c>
      <c r="AR21" s="116">
        <f>INDEX(LINEST(LN(AV21:BA21),SQRT((AV20:BA20))),1)</f>
        <v>-2.9072700994193713E-6</v>
      </c>
      <c r="AS21" s="84">
        <f>INDEX(LINEST(1/(AV21:BA21),1/(SQRT(AV20:BA20)),TRUE,TRUE),3,1)</f>
        <v>4.7241673476552407E-2</v>
      </c>
      <c r="AT21" s="84">
        <f>INDEX(LINEST(1/(AV21:BA21),1/SQRT(AV20:BA20)),1)</f>
        <v>-1024.8500191622115</v>
      </c>
      <c r="AU21" s="4"/>
      <c r="AV21" s="42">
        <v>0.75324675324675316</v>
      </c>
      <c r="AW21" s="42">
        <v>0.85526315789473684</v>
      </c>
      <c r="AX21" s="42">
        <v>0.80519480519480513</v>
      </c>
      <c r="AY21" s="42">
        <v>0.69117647058823517</v>
      </c>
      <c r="AZ21" s="46">
        <v>0.76623376623376616</v>
      </c>
      <c r="BA21" s="42">
        <v>0.72602739726027399</v>
      </c>
      <c r="BB21" s="42"/>
      <c r="BC21" s="42"/>
      <c r="BD21" s="42"/>
      <c r="BE21" s="42"/>
      <c r="BF21" s="42"/>
      <c r="BG21" s="42"/>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1"/>
      <c r="CS21" s="1"/>
      <c r="CT21" s="1"/>
      <c r="CU21" s="1"/>
    </row>
    <row r="22" spans="1:99" s="13" customFormat="1" ht="12" customHeight="1" x14ac:dyDescent="0.2">
      <c r="A22" s="68">
        <v>43900</v>
      </c>
      <c r="B22" s="70"/>
      <c r="C22" s="70"/>
      <c r="D22" s="69"/>
      <c r="E22" s="87"/>
      <c r="F22" s="69"/>
      <c r="G22" s="69"/>
      <c r="H22" s="69"/>
      <c r="I22" s="69"/>
      <c r="J22" s="69"/>
      <c r="K22" s="107"/>
      <c r="L22" s="107"/>
      <c r="M22" s="69"/>
      <c r="N22" s="86"/>
      <c r="O22" s="69"/>
      <c r="P22" s="69"/>
      <c r="Q22" s="69"/>
      <c r="R22" s="69"/>
      <c r="S22" s="69"/>
      <c r="T22" s="92"/>
      <c r="U22" s="69"/>
      <c r="V22" s="92"/>
      <c r="W22" s="69"/>
      <c r="X22" s="69"/>
      <c r="Y22" s="87"/>
      <c r="Z22" s="69"/>
      <c r="AA22" s="87"/>
      <c r="AB22" s="69"/>
      <c r="AC22" s="72"/>
      <c r="AD22" s="69"/>
      <c r="AE22" s="69"/>
      <c r="AF22" s="88"/>
      <c r="AG22" s="72"/>
      <c r="AH22" s="4"/>
      <c r="AI22" s="72"/>
      <c r="AJ22" s="110"/>
      <c r="AK22" s="72"/>
      <c r="AL22" s="72"/>
      <c r="AM22" s="72"/>
      <c r="AN22" s="72"/>
      <c r="AO22" s="89"/>
      <c r="AP22" s="89"/>
      <c r="AQ22" s="90"/>
      <c r="AR22" s="117"/>
      <c r="AS22" s="91"/>
      <c r="AT22" s="91"/>
      <c r="AU22" s="4"/>
      <c r="AV22" s="71">
        <v>157680000</v>
      </c>
      <c r="AW22" s="71">
        <v>473040000</v>
      </c>
      <c r="AX22" s="71">
        <v>788400000</v>
      </c>
      <c r="AY22" s="71">
        <v>1103760000</v>
      </c>
      <c r="AZ22" s="71">
        <v>1419120000</v>
      </c>
      <c r="BA22" s="42"/>
      <c r="BB22" s="48" t="s">
        <v>505</v>
      </c>
      <c r="BC22" s="42"/>
      <c r="BD22" s="42"/>
      <c r="BE22" s="42"/>
      <c r="BF22" s="42"/>
      <c r="BG22" s="42"/>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1"/>
      <c r="CS22" s="1"/>
      <c r="CT22" s="1"/>
      <c r="CU22" s="1"/>
    </row>
    <row r="23" spans="1:99" s="13" customFormat="1" ht="12" customHeight="1" x14ac:dyDescent="0.2">
      <c r="A23" s="68">
        <v>43900</v>
      </c>
      <c r="B23" s="94" t="s">
        <v>427</v>
      </c>
      <c r="C23" s="94" t="s">
        <v>425</v>
      </c>
      <c r="D23" s="92">
        <v>1979</v>
      </c>
      <c r="E23" s="87">
        <v>1</v>
      </c>
      <c r="F23" s="92">
        <v>15</v>
      </c>
      <c r="G23" s="92">
        <v>15</v>
      </c>
      <c r="H23" s="69" t="s">
        <v>50</v>
      </c>
      <c r="I23" s="92" t="s">
        <v>330</v>
      </c>
      <c r="J23" s="92" t="s">
        <v>342</v>
      </c>
      <c r="K23" s="69">
        <f>IF(J23="syllables",1,IF(J23="trigrams",2,IF(J23="strings",3,IF(J23="visual array",4,IF(J23="characters",5,IF(J23="letters",6,IF(J23="free forms",7,IF(J23="odors",8,IF(J23="words",9,IF(J23="pictures",10,IF(J23="object pictures",11,IF(J23="faces",12,IF(J23="names",13,IF(J23="idioms",14,IF(J23="grades",15,IF(J23="syllable-digit pairs",16,IF(J23="trigram-word pairs",17,IF(J23="word-digit pairs",18,IF(J23="English-Swahili pairs",19,IF(J23="spatial position",20,IF(J23="word pairs",21,IF(J23="word triads",22,IF(J23="generated words",23,IF(J23="word definition pairs",24,IF(J23="math problems",25,IF(J23="famous faces",26,IF(J23="famous names",27,IF(J23="famous voices",28,IF(J23="television programs",29,IF(J23="race horses",30,IF(J23="new vocabulary",31,IF(J23="sentences",32,IF(J23="concepts",33,IF(J23="ad slides",34,IF(J23="scenes",35,IF(J23="famous scenes",36,IF(J23="poems",37,IF(J23="walk",38,IF(J23="faces and events",39,IF(J23="events and names",40,IF(J23="flashbulb",41,IF(J23="stories",42,IF(J23="course material",43,IF(J23="autobiographical",44,IF(J23="novels",45,IF(J23="public events",46,"99"))))))))))))))))))))))))))))))))))))))))))))))</f>
        <v>26</v>
      </c>
      <c r="L23" s="69">
        <f>IF(J23="syllables",1,IF(J23="trigrams",1,IF(J23="strings",1,IF(J23="visual array",1,IF(J23="characters",1,IF(J23="letters",1,IF(J23="free forms",1,IF(J23="odors",2,IF(J23="words",2,IF(J23="pictures",2,IF(J23="object pictures",2,IF(J23="faces",2,IF(J23="names",2,IF(J23="idioms","2",IF(J23="grades",2,IF(J23="syllable-digit pairs",3,IF(J23="trigram-word pairs",3,IF(J23="word-digit pairs",3,IF(J23="English-Swahili pairs",3,IF(J23="spatial position",3,IF(J23="word pairs",4,IF(J23="word triads",4,IF(J23="generated words",4,IF(J23="word definition pairs",4,IF(J23="math problems",4,IF(J23="famous faces",4,IF(J23="famous names",4,IF(J23="famous voices",4,IF(J23="television programs",4,IF(J23="race horses",4,IF(J23="new vocabulary",4,IF(J23="sentences",5,IF(J23="concepts",5,IF(J23="ad slides",5,IF(J23="scenes",5,IF(J23="famous scenes",5,IF(J23="poems",6,IF(J23="walk",6,IF(J23="faces and events",6,IF(J23="events and names",6,IF(J23="flashbulb",7,IF(J23="stories",7,IF(J23="course material",7,IF(J23="autobiographical",7,IF(J23="novels",7,IF(J23="public events",7,"99"))))))))))))))))))))))))))))))))))))))))))))))</f>
        <v>4</v>
      </c>
      <c r="M23" s="92">
        <v>1</v>
      </c>
      <c r="N23" s="86">
        <v>2</v>
      </c>
      <c r="O23" s="69">
        <v>0</v>
      </c>
      <c r="P23" s="69"/>
      <c r="Q23" s="92" t="s">
        <v>174</v>
      </c>
      <c r="R23" s="69">
        <f>IF(Q23="Free Recall",1,IF(Q23="Cued Recall",2,IF(Q23="Recognition",3,IF(Q23="Multiple Choice",4,IF(Q23="Savings",5,IF(Q23="Stem Completion",6,IF(Q23="Fragment Completion",7,IF(Q23="anagram solution",8,IF(Q23="Matching",9,IF(Q23="Problem Solving",10,"99"))))))))))</f>
        <v>1</v>
      </c>
      <c r="S23" s="69" t="s">
        <v>20</v>
      </c>
      <c r="T23" s="92" t="s">
        <v>581</v>
      </c>
      <c r="U23" s="69">
        <f>IF(T23="within",1,0)</f>
        <v>1</v>
      </c>
      <c r="V23" s="92">
        <v>180</v>
      </c>
      <c r="W23" s="69">
        <f>F23*V23</f>
        <v>2700</v>
      </c>
      <c r="X23" s="69">
        <v>5</v>
      </c>
      <c r="Y23" s="87">
        <f>AV22</f>
        <v>157680000</v>
      </c>
      <c r="Z23" s="69" t="s">
        <v>373</v>
      </c>
      <c r="AA23" s="69">
        <f>60*60*24*365*45</f>
        <v>1419120000</v>
      </c>
      <c r="AB23" s="69" t="str">
        <f>IF(AA23&lt;60,"1",IF(AA23&lt;=43200,"2",IF(AA23&lt;=777600,"3","4")))</f>
        <v>4</v>
      </c>
      <c r="AC23" s="72">
        <f>AVERAGE(AV22:DA22)</f>
        <v>788400000</v>
      </c>
      <c r="AD23" s="69" t="str">
        <f>IF(AC23&lt;60,"1",IF(AC23&lt;=43200,"2",IF(AC23&lt;=777600,"3","4")))</f>
        <v>4</v>
      </c>
      <c r="AE23" s="87">
        <f>AA23-Y23</f>
        <v>1261440000</v>
      </c>
      <c r="AF23" s="88">
        <f>AV23</f>
        <v>0.8</v>
      </c>
      <c r="AG23" s="72">
        <f>((AW23-AV23)+(AX23-AW23)+(AY23-AX23)+(AZ23-AY23))/4</f>
        <v>2.1428571428571436E-2</v>
      </c>
      <c r="AH23" s="4"/>
      <c r="AI23" s="72">
        <f>RSQ(AV23:AZ23,AV22:AZ22)</f>
        <v>0.47996087430026207</v>
      </c>
      <c r="AJ23" s="110">
        <f>SLOPE(AV23:AZ23,AV22:AZ22)</f>
        <v>8.1221508332528606E-11</v>
      </c>
      <c r="AK23" s="72">
        <f>INTERCEPT(AV23:AZ23,AV22:AZ22)</f>
        <v>0.76622631159944599</v>
      </c>
      <c r="AL23" s="72">
        <f>INDEX(LINEST(LN(AV23:AZ23),LN(AV22:AZ22),TRUE,TRUE),3,1)</f>
        <v>0.29498470098829094</v>
      </c>
      <c r="AM23" s="72">
        <f>INDEX(LINEST(LN(AV23:AZ23),LN(AV22:AZ22)),1)</f>
        <v>4.3969603286903976E-2</v>
      </c>
      <c r="AN23" s="72">
        <f>EXP(INDEX(LINEST(LN(AV23:AZ23),LN(AV22:AZ22)),1,2))</f>
        <v>0.34020073350993957</v>
      </c>
      <c r="AO23" s="89">
        <f>INDEX(LINEST((AV23:AZ23),LN(AV22:AZ22),TRUE,TRUE),3,1)</f>
        <v>0.30997441676097864</v>
      </c>
      <c r="AP23" s="89">
        <f>INDEX(LINEST((AV23:AZ23),LN(AV22:AZ22)),1)</f>
        <v>3.7433222727329837E-2</v>
      </c>
      <c r="AQ23" s="90">
        <f>INDEX(LINEST(LN(AV23:AZ23),SQRT(AV22:AZ22),TRUE,TRUE),3,1)</f>
        <v>0.38416771417322171</v>
      </c>
      <c r="AR23" s="117">
        <f>INDEX(LINEST(LN(AV23:AZ23),SQRT((AV22:AZ22))),1)</f>
        <v>4.4221292632549149E-6</v>
      </c>
      <c r="AS23" s="91">
        <f>INDEX(LINEST(1/(AV23:AZ23),1/(SQRT(AV22:AZ22)),TRUE,TRUE),3,1)</f>
        <v>0.20271287394454962</v>
      </c>
      <c r="AT23" s="91">
        <f>INDEX(LINEST(1/(AV23:AZ23),1/SQRT(AV22:AZ22)),1)</f>
        <v>1782.9567809994437</v>
      </c>
      <c r="AU23" s="4"/>
      <c r="AV23" s="73">
        <v>0.8</v>
      </c>
      <c r="AW23" s="73">
        <v>0.81081081081081074</v>
      </c>
      <c r="AX23" s="73">
        <v>0.75925925925925919</v>
      </c>
      <c r="AY23" s="73">
        <v>0.89552238805970141</v>
      </c>
      <c r="AZ23" s="73">
        <v>0.88571428571428579</v>
      </c>
      <c r="BA23" s="42"/>
      <c r="BB23" s="42"/>
      <c r="BC23" s="42"/>
      <c r="BD23" s="42"/>
      <c r="BE23" s="42"/>
      <c r="BF23" s="42"/>
      <c r="BG23" s="42"/>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1"/>
      <c r="CS23" s="1"/>
      <c r="CT23" s="1"/>
      <c r="CU23" s="1"/>
    </row>
    <row r="24" spans="1:99" s="13" customFormat="1" ht="12" customHeight="1" x14ac:dyDescent="0.2">
      <c r="A24" s="68">
        <v>43900</v>
      </c>
      <c r="B24" s="70"/>
      <c r="C24" s="70"/>
      <c r="D24" s="69"/>
      <c r="E24" s="87"/>
      <c r="F24" s="69"/>
      <c r="G24" s="69"/>
      <c r="H24" s="69"/>
      <c r="I24" s="69"/>
      <c r="J24" s="69"/>
      <c r="K24" s="107"/>
      <c r="L24" s="107"/>
      <c r="M24" s="92"/>
      <c r="N24" s="86"/>
      <c r="O24" s="69"/>
      <c r="P24" s="69"/>
      <c r="Q24" s="69"/>
      <c r="R24" s="69"/>
      <c r="S24" s="69"/>
      <c r="T24" s="69"/>
      <c r="U24" s="69"/>
      <c r="V24" s="69"/>
      <c r="W24" s="69"/>
      <c r="X24" s="69"/>
      <c r="Y24" s="87"/>
      <c r="Z24" s="69"/>
      <c r="AA24" s="87"/>
      <c r="AB24" s="69"/>
      <c r="AC24" s="72"/>
      <c r="AD24" s="69"/>
      <c r="AE24" s="69"/>
      <c r="AF24" s="88"/>
      <c r="AG24" s="72"/>
      <c r="AH24" s="4"/>
      <c r="AI24" s="72"/>
      <c r="AJ24" s="110"/>
      <c r="AK24" s="72"/>
      <c r="AL24" s="72"/>
      <c r="AM24" s="72"/>
      <c r="AN24" s="72"/>
      <c r="AO24" s="89"/>
      <c r="AP24" s="89"/>
      <c r="AQ24" s="90"/>
      <c r="AR24" s="117"/>
      <c r="AS24" s="91"/>
      <c r="AT24" s="91"/>
      <c r="AU24" s="4"/>
      <c r="AV24" s="71">
        <v>157680000</v>
      </c>
      <c r="AW24" s="71">
        <v>473040000</v>
      </c>
      <c r="AX24" s="71">
        <v>788400000</v>
      </c>
      <c r="AY24" s="71">
        <v>1103760000</v>
      </c>
      <c r="AZ24" s="71">
        <v>1419120000</v>
      </c>
      <c r="BA24" s="42"/>
      <c r="BB24" s="42"/>
      <c r="BC24" s="42"/>
      <c r="BD24" s="42"/>
      <c r="BE24" s="42"/>
      <c r="BF24" s="42"/>
      <c r="BG24" s="42"/>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1"/>
      <c r="CS24" s="1"/>
      <c r="CT24" s="1"/>
      <c r="CU24" s="1"/>
    </row>
    <row r="25" spans="1:99" s="13" customFormat="1" ht="12" customHeight="1" x14ac:dyDescent="0.2">
      <c r="A25" s="68">
        <v>43900</v>
      </c>
      <c r="B25" s="94" t="s">
        <v>427</v>
      </c>
      <c r="C25" s="94" t="s">
        <v>425</v>
      </c>
      <c r="D25" s="92">
        <v>1979</v>
      </c>
      <c r="E25" s="87">
        <v>1</v>
      </c>
      <c r="F25" s="92">
        <v>15</v>
      </c>
      <c r="G25" s="92">
        <v>15</v>
      </c>
      <c r="H25" s="69" t="s">
        <v>50</v>
      </c>
      <c r="I25" s="92" t="s">
        <v>330</v>
      </c>
      <c r="J25" s="92" t="s">
        <v>340</v>
      </c>
      <c r="K25" s="69">
        <f>IF(J25="syllables",1,IF(J25="trigrams",2,IF(J25="strings",3,IF(J25="visual array",4,IF(J25="characters",5,IF(J25="letters",6,IF(J25="free forms",7,IF(J25="odors",8,IF(J25="words",9,IF(J25="pictures",10,IF(J25="object pictures",11,IF(J25="faces",12,IF(J25="names",13,IF(J25="idioms",14,IF(J25="grades",15,IF(J25="syllable-digit pairs",16,IF(J25="trigram-word pairs",17,IF(J25="word-digit pairs",18,IF(J25="English-Swahili pairs",19,IF(J25="spatial position",20,IF(J25="word pairs",21,IF(J25="word triads",22,IF(J25="generated words",23,IF(J25="word definition pairs",24,IF(J25="math problems",25,IF(J25="famous faces",26,IF(J25="famous names",27,IF(J25="famous voices",28,IF(J25="television programs",29,IF(J25="race horses",30,IF(J25="new vocabulary",31,IF(J25="sentences",32,IF(J25="concepts",33,IF(J25="ad slides",34,IF(J25="scenes",35,IF(J25="famous scenes",36,IF(J25="poems",37,IF(J25="walk",38,IF(J25="faces and events",39,IF(J25="events and names",40,IF(J25="flashbulb",41,IF(J25="stories",42,IF(J25="course material",43,IF(J25="autobiographical",44,IF(J25="novels",45,IF(J25="public events",46,"99"))))))))))))))))))))))))))))))))))))))))))))))</f>
        <v>46</v>
      </c>
      <c r="L25" s="69">
        <f>IF(J25="syllables",1,IF(J25="trigrams",1,IF(J25="strings",1,IF(J25="visual array",1,IF(J25="characters",1,IF(J25="letters",1,IF(J25="free forms",1,IF(J25="odors",2,IF(J25="words",2,IF(J25="pictures",2,IF(J25="object pictures",2,IF(J25="faces",2,IF(J25="names",2,IF(J25="idioms","2",IF(J25="grades",2,IF(J25="syllable-digit pairs",3,IF(J25="trigram-word pairs",3,IF(J25="word-digit pairs",3,IF(J25="English-Swahili pairs",3,IF(J25="spatial position",3,IF(J25="word pairs",4,IF(J25="word triads",4,IF(J25="generated words",4,IF(J25="word definition pairs",4,IF(J25="math problems",4,IF(J25="famous faces",4,IF(J25="famous names",4,IF(J25="famous voices",4,IF(J25="television programs",4,IF(J25="race horses",4,IF(J25="new vocabulary",4,IF(J25="sentences",5,IF(J25="concepts",5,IF(J25="ad slides",5,IF(J25="scenes",5,IF(J25="famous scenes",5,IF(J25="poems",6,IF(J25="walk",6,IF(J25="faces and events",6,IF(J25="events and names",6,IF(J25="flashbulb",7,IF(J25="stories",7,IF(J25="course material",7,IF(J25="autobiographical",7,IF(J25="novels",7,IF(J25="public events",7,"99"))))))))))))))))))))))))))))))))))))))))))))))</f>
        <v>7</v>
      </c>
      <c r="M25" s="92">
        <v>1</v>
      </c>
      <c r="N25" s="86">
        <v>4</v>
      </c>
      <c r="O25" s="69">
        <v>0</v>
      </c>
      <c r="P25" s="69"/>
      <c r="Q25" s="92" t="s">
        <v>174</v>
      </c>
      <c r="R25" s="69">
        <f>IF(Q25="Free Recall",1,IF(Q25="Cued Recall",2,IF(Q25="Recognition",3,IF(Q25="Multiple Choice",4,IF(Q25="Savings",5,IF(Q25="Stem Completion",6,IF(Q25="Fragment Completion",7,IF(Q25="anagram solution",8,IF(Q25="Matching",9,IF(Q25="Problem Solving",10,"99"))))))))))</f>
        <v>1</v>
      </c>
      <c r="S25" s="69" t="s">
        <v>20</v>
      </c>
      <c r="T25" s="92" t="s">
        <v>581</v>
      </c>
      <c r="U25" s="69">
        <f>IF(T25="within",1,0)</f>
        <v>1</v>
      </c>
      <c r="V25" s="92">
        <v>132</v>
      </c>
      <c r="W25" s="69">
        <f>F25*V25</f>
        <v>1980</v>
      </c>
      <c r="X25" s="69">
        <v>5</v>
      </c>
      <c r="Y25" s="87">
        <f>AV24</f>
        <v>157680000</v>
      </c>
      <c r="Z25" s="69" t="s">
        <v>373</v>
      </c>
      <c r="AA25" s="69">
        <f>60*60*24*365*45</f>
        <v>1419120000</v>
      </c>
      <c r="AB25" s="69" t="str">
        <f>IF(AA25&lt;60,"1",IF(AA25&lt;=43200,"2",IF(AA25&lt;=777600,"3","4")))</f>
        <v>4</v>
      </c>
      <c r="AC25" s="72">
        <f>AVERAGE(AV24:DA24)</f>
        <v>788400000</v>
      </c>
      <c r="AD25" s="69" t="str">
        <f>IF(AC25&lt;60,"1",IF(AC25&lt;=43200,"2",IF(AC25&lt;=777600,"3","4")))</f>
        <v>4</v>
      </c>
      <c r="AE25" s="87">
        <f>AA25-Y25</f>
        <v>1261440000</v>
      </c>
      <c r="AF25" s="88">
        <f>AV25</f>
        <v>0.76190476190476197</v>
      </c>
      <c r="AG25" s="72">
        <f>((AW25-AV25)+(AX25-AW25)+(AY25-AX25)+(AZ25-AY25))/4</f>
        <v>1.9841269841269826E-2</v>
      </c>
      <c r="AH25" s="4"/>
      <c r="AI25" s="72">
        <f>RSQ(AV25:AZ25,AV24:AZ24)</f>
        <v>0.66835955889648657</v>
      </c>
      <c r="AJ25" s="110">
        <f>SLOPE(AV25:AZ25,AV24:AZ24)</f>
        <v>5.3021792746099298E-11</v>
      </c>
      <c r="AK25" s="72">
        <f>INTERCEPT(AV25:AZ25,AV24:AZ24)</f>
        <v>0.77694751075191992</v>
      </c>
      <c r="AL25" s="72">
        <f>INDEX(LINEST(LN(AV25:AZ25),LN(AV24:AZ24),TRUE,TRUE),3,1)</f>
        <v>0.88513579828946665</v>
      </c>
      <c r="AM25" s="72">
        <f>INDEX(LINEST(LN(AV25:AZ25),LN(AV24:AZ24)),1)</f>
        <v>4.3833360675974577E-2</v>
      </c>
      <c r="AN25" s="72">
        <f>EXP(INDEX(LINEST(LN(AV25:AZ25),LN(AV24:AZ24)),1,2))</f>
        <v>0.33686059151140818</v>
      </c>
      <c r="AO25" s="89">
        <f>INDEX(LINEST((AV25:AZ25),LN(AV24:AZ24),TRUE,TRUE),3,1)</f>
        <v>0.88889572566676367</v>
      </c>
      <c r="AP25" s="89">
        <f>INDEX(LINEST((AV25:AZ25),LN(AV24:AZ24)),1)</f>
        <v>3.5067184228164329E-2</v>
      </c>
      <c r="AQ25" s="90">
        <f>INDEX(LINEST(LN(AV25:AZ25),SQRT(AV24:AZ24),TRUE,TRUE),3,1)</f>
        <v>0.78048846966595808</v>
      </c>
      <c r="AR25" s="117">
        <f>INDEX(LINEST(LN(AV25:AZ25),SQRT((AV24:AZ24))),1)</f>
        <v>3.6274485593334577E-6</v>
      </c>
      <c r="AS25" s="91">
        <f>INDEX(LINEST(1/(AV25:AZ25),1/(SQRT(AV24:AZ24)),TRUE,TRUE),3,1)</f>
        <v>0.95036301406734969</v>
      </c>
      <c r="AT25" s="91">
        <f>INDEX(LINEST(1/(AV25:AZ25),1/SQRT(AV24:AZ24)),1)</f>
        <v>2307.5332867863376</v>
      </c>
      <c r="AU25" s="4"/>
      <c r="AV25" s="73">
        <v>0.76190476190476197</v>
      </c>
      <c r="AW25" s="73">
        <v>0.82758620689655171</v>
      </c>
      <c r="AX25" s="73">
        <v>0.82692307692307687</v>
      </c>
      <c r="AY25" s="73">
        <v>0.83606557377049184</v>
      </c>
      <c r="AZ25" s="73">
        <v>0.84126984126984128</v>
      </c>
      <c r="BA25" s="42"/>
      <c r="BB25" s="42"/>
      <c r="BC25" s="42"/>
      <c r="BD25" s="42"/>
      <c r="BE25" s="42"/>
      <c r="BF25" s="42"/>
      <c r="BG25" s="42"/>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1"/>
      <c r="CS25" s="1"/>
      <c r="CT25" s="1"/>
      <c r="CU25" s="1"/>
    </row>
    <row r="26" spans="1:99" s="13" customFormat="1" ht="12" customHeight="1" x14ac:dyDescent="0.2">
      <c r="A26" s="68">
        <v>43900</v>
      </c>
      <c r="B26" s="70"/>
      <c r="C26" s="70"/>
      <c r="D26" s="69"/>
      <c r="E26" s="87"/>
      <c r="F26" s="69"/>
      <c r="G26" s="69"/>
      <c r="H26" s="69"/>
      <c r="I26" s="69"/>
      <c r="J26" s="69"/>
      <c r="K26" s="107"/>
      <c r="L26" s="107"/>
      <c r="M26" s="92"/>
      <c r="N26" s="86"/>
      <c r="O26" s="69"/>
      <c r="P26" s="69"/>
      <c r="Q26" s="69"/>
      <c r="R26" s="69"/>
      <c r="S26" s="69"/>
      <c r="T26" s="69"/>
      <c r="U26" s="69"/>
      <c r="V26" s="69"/>
      <c r="W26" s="69"/>
      <c r="X26" s="69"/>
      <c r="Y26" s="87"/>
      <c r="Z26" s="69"/>
      <c r="AA26" s="87"/>
      <c r="AB26" s="69"/>
      <c r="AC26" s="72"/>
      <c r="AD26" s="69"/>
      <c r="AE26" s="69"/>
      <c r="AF26" s="88"/>
      <c r="AG26" s="72"/>
      <c r="AH26" s="4"/>
      <c r="AI26" s="72"/>
      <c r="AJ26" s="110"/>
      <c r="AK26" s="72"/>
      <c r="AL26" s="72"/>
      <c r="AM26" s="72"/>
      <c r="AN26" s="72"/>
      <c r="AO26" s="89"/>
      <c r="AP26" s="89"/>
      <c r="AQ26" s="90"/>
      <c r="AR26" s="117"/>
      <c r="AS26" s="91"/>
      <c r="AT26" s="91"/>
      <c r="AU26" s="4"/>
      <c r="AV26" s="71">
        <v>157680000</v>
      </c>
      <c r="AW26" s="71">
        <v>473040000</v>
      </c>
      <c r="AX26" s="71">
        <v>788400000</v>
      </c>
      <c r="AY26" s="71">
        <v>1103760000</v>
      </c>
      <c r="AZ26" s="71">
        <v>1419120000</v>
      </c>
      <c r="BA26" s="42"/>
      <c r="BB26" s="42"/>
      <c r="BC26" s="42"/>
      <c r="BD26" s="42"/>
      <c r="BE26" s="42"/>
      <c r="BF26" s="42"/>
      <c r="BG26" s="42"/>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1"/>
      <c r="CS26" s="1"/>
      <c r="CT26" s="1"/>
      <c r="CU26" s="1"/>
    </row>
    <row r="27" spans="1:99" s="13" customFormat="1" ht="12" customHeight="1" x14ac:dyDescent="0.2">
      <c r="A27" s="68">
        <v>43900</v>
      </c>
      <c r="B27" s="94" t="s">
        <v>427</v>
      </c>
      <c r="C27" s="94" t="s">
        <v>425</v>
      </c>
      <c r="D27" s="92">
        <v>1979</v>
      </c>
      <c r="E27" s="87">
        <v>1</v>
      </c>
      <c r="F27" s="92">
        <v>15</v>
      </c>
      <c r="G27" s="92">
        <v>15</v>
      </c>
      <c r="H27" s="69" t="s">
        <v>50</v>
      </c>
      <c r="I27" s="92" t="s">
        <v>330</v>
      </c>
      <c r="J27" s="92" t="s">
        <v>340</v>
      </c>
      <c r="K27" s="69">
        <f>IF(J27="syllables",1,IF(J27="trigrams",2,IF(J27="strings",3,IF(J27="visual array",4,IF(J27="characters",5,IF(J27="letters",6,IF(J27="free forms",7,IF(J27="odors",8,IF(J27="words",9,IF(J27="pictures",10,IF(J27="object pictures",11,IF(J27="faces",12,IF(J27="names",13,IF(J27="idioms",14,IF(J27="grades",15,IF(J27="syllable-digit pairs",16,IF(J27="trigram-word pairs",17,IF(J27="word-digit pairs",18,IF(J27="English-Swahili pairs",19,IF(J27="spatial position",20,IF(J27="word pairs",21,IF(J27="word triads",22,IF(J27="generated words",23,IF(J27="word definition pairs",24,IF(J27="math problems",25,IF(J27="famous faces",26,IF(J27="famous names",27,IF(J27="famous voices",28,IF(J27="television programs",29,IF(J27="race horses",30,IF(J27="new vocabulary",31,IF(J27="sentences",32,IF(J27="concepts",33,IF(J27="ad slides",34,IF(J27="scenes",35,IF(J27="famous scenes",36,IF(J27="poems",37,IF(J27="walk",38,IF(J27="faces and events",39,IF(J27="events and names",40,IF(J27="flashbulb",41,IF(J27="stories",42,IF(J27="course material",43,IF(J27="autobiographical",44,IF(J27="novels",45,IF(J27="public events",46,"99"))))))))))))))))))))))))))))))))))))))))))))))</f>
        <v>46</v>
      </c>
      <c r="L27" s="69">
        <f>IF(J27="syllables",1,IF(J27="trigrams",1,IF(J27="strings",1,IF(J27="visual array",1,IF(J27="characters",1,IF(J27="letters",1,IF(J27="free forms",1,IF(J27="odors",2,IF(J27="words",2,IF(J27="pictures",2,IF(J27="object pictures",2,IF(J27="faces",2,IF(J27="names",2,IF(J27="idioms","2",IF(J27="grades",2,IF(J27="syllable-digit pairs",3,IF(J27="trigram-word pairs",3,IF(J27="word-digit pairs",3,IF(J27="English-Swahili pairs",3,IF(J27="spatial position",3,IF(J27="word pairs",4,IF(J27="word triads",4,IF(J27="generated words",4,IF(J27="word definition pairs",4,IF(J27="math problems",4,IF(J27="famous faces",4,IF(J27="famous names",4,IF(J27="famous voices",4,IF(J27="television programs",4,IF(J27="race horses",4,IF(J27="new vocabulary",4,IF(J27="sentences",5,IF(J27="concepts",5,IF(J27="ad slides",5,IF(J27="scenes",5,IF(J27="famous scenes",5,IF(J27="poems",6,IF(J27="walk",6,IF(J27="faces and events",6,IF(J27="events and names",6,IF(J27="flashbulb",7,IF(J27="stories",7,IF(J27="course material",7,IF(J27="autobiographical",7,IF(J27="novels",7,IF(J27="public events",7,"99"))))))))))))))))))))))))))))))))))))))))))))))</f>
        <v>7</v>
      </c>
      <c r="M27" s="92">
        <v>1</v>
      </c>
      <c r="N27" s="86">
        <v>4</v>
      </c>
      <c r="O27" s="69">
        <v>0</v>
      </c>
      <c r="P27" s="69"/>
      <c r="Q27" s="92" t="s">
        <v>182</v>
      </c>
      <c r="R27" s="69">
        <f>IF(Q27="Free Recall",1,IF(Q27="Cued Recall",2,IF(Q27="Recognition",3,IF(Q27="Multiple Choice",4,IF(Q27="Savings",5,IF(Q27="Stem Completion",6,IF(Q27="Fragment Completion",7,IF(Q27="anagram solution",8,IF(Q27="Matching",9,IF(Q27="Problem Solving",10,"99"))))))))))</f>
        <v>4</v>
      </c>
      <c r="S27" s="69" t="s">
        <v>15</v>
      </c>
      <c r="T27" s="92" t="s">
        <v>581</v>
      </c>
      <c r="U27" s="69">
        <f>IF(T27="within",1,0)</f>
        <v>1</v>
      </c>
      <c r="V27" s="92">
        <v>132</v>
      </c>
      <c r="W27" s="69">
        <f>F27*V27</f>
        <v>1980</v>
      </c>
      <c r="X27" s="69">
        <v>5</v>
      </c>
      <c r="Y27" s="87">
        <f>AV26</f>
        <v>157680000</v>
      </c>
      <c r="Z27" s="69" t="s">
        <v>373</v>
      </c>
      <c r="AA27" s="69">
        <f>60*60*24*365*45</f>
        <v>1419120000</v>
      </c>
      <c r="AB27" s="69" t="str">
        <f>IF(AA27&lt;60,"1",IF(AA27&lt;=43200,"2",IF(AA27&lt;=777600,"3","4")))</f>
        <v>4</v>
      </c>
      <c r="AC27" s="72">
        <f>AVERAGE(AV26:DA26)</f>
        <v>788400000</v>
      </c>
      <c r="AD27" s="69" t="str">
        <f>IF(AC27&lt;60,"1",IF(AC27&lt;=43200,"2",IF(AC27&lt;=777600,"3","4")))</f>
        <v>4</v>
      </c>
      <c r="AE27" s="87">
        <f>AA27-Y27</f>
        <v>1261440000</v>
      </c>
      <c r="AF27" s="88">
        <f>AV27</f>
        <v>0.79661016949152541</v>
      </c>
      <c r="AG27" s="72">
        <f>((AW27-AV27)+(AX27-AW27)+(AY27-AX27)+(AZ27-AY27))/4</f>
        <v>-7.0793716411740315E-3</v>
      </c>
      <c r="AH27" s="4"/>
      <c r="AI27" s="72">
        <f>RSQ(AV27:AZ27,AV26:AZ26)</f>
        <v>0.26454180868884225</v>
      </c>
      <c r="AJ27" s="110">
        <f>SLOPE(AV27:AZ27,AV26:AZ26)</f>
        <v>-6.4391027574189401E-11</v>
      </c>
      <c r="AK27" s="72">
        <f>INTERCEPT(AV27:AZ27,AV26:AZ26)</f>
        <v>0.85718801506472042</v>
      </c>
      <c r="AL27" s="72">
        <f>INDEX(LINEST(LN(AV27:AZ27),LN(AV26:AZ26),TRUE,TRUE),3,1)</f>
        <v>0.10491219409410404</v>
      </c>
      <c r="AM27" s="72">
        <f>INDEX(LINEST(LN(AV27:AZ27),LN(AV26:AZ26)),1)</f>
        <v>-2.8936119196109365E-2</v>
      </c>
      <c r="AN27" s="72">
        <f>EXP(INDEX(LINEST(LN(AV27:AZ27),LN(AV26:AZ26)),1,2))</f>
        <v>1.4452669171394714</v>
      </c>
      <c r="AO27" s="89">
        <f>INDEX(LINEST((AV27:AZ27),LN(AV26:AZ26),TRUE,TRUE),3,1)</f>
        <v>9.7660786115475184E-2</v>
      </c>
      <c r="AP27" s="89">
        <f>INDEX(LINEST((AV27:AZ27),LN(AV26:AZ26)),1)</f>
        <v>-2.2436983290147306E-2</v>
      </c>
      <c r="AQ27" s="90">
        <f>INDEX(LINEST(LN(AV27:AZ27),SQRT(AV26:AZ26),TRUE,TRUE),3,1)</f>
        <v>0.18842526669091003</v>
      </c>
      <c r="AR27" s="117">
        <f>INDEX(LINEST(LN(AV27:AZ27),SQRT((AV26:AZ26))),1)</f>
        <v>-3.4175515146593196E-6</v>
      </c>
      <c r="AS27" s="91">
        <f>INDEX(LINEST(1/(AV27:AZ27),1/(SQRT(AV26:AZ26)),TRUE,TRUE),3,1)</f>
        <v>5.0110538660963815E-2</v>
      </c>
      <c r="AT27" s="91">
        <f>INDEX(LINEST(1/(AV27:AZ27),1/SQRT(AV26:AZ26)),1)</f>
        <v>-1011.507725693132</v>
      </c>
      <c r="AU27" s="4"/>
      <c r="AV27" s="73">
        <v>0.79661016949152541</v>
      </c>
      <c r="AW27" s="73">
        <v>0.87500000000000011</v>
      </c>
      <c r="AX27" s="73">
        <v>0.86363636363636354</v>
      </c>
      <c r="AY27" s="73">
        <v>0.72857142857142865</v>
      </c>
      <c r="AZ27" s="73">
        <v>0.76829268292682928</v>
      </c>
      <c r="BA27" s="42"/>
      <c r="BB27" s="42"/>
      <c r="BC27" s="42"/>
      <c r="BD27" s="42"/>
      <c r="BE27" s="42"/>
      <c r="BF27" s="42"/>
      <c r="BG27" s="42"/>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1"/>
      <c r="CS27" s="1"/>
      <c r="CT27" s="1"/>
      <c r="CU27" s="1"/>
    </row>
    <row r="28" spans="1:99" ht="12" customHeight="1" x14ac:dyDescent="0.2">
      <c r="A28" s="65">
        <v>43509</v>
      </c>
      <c r="B28" s="15"/>
      <c r="C28" s="15"/>
      <c r="D28" s="59"/>
      <c r="E28" s="75"/>
      <c r="F28" s="59"/>
      <c r="G28" s="59"/>
      <c r="H28" s="59"/>
      <c r="I28" s="59"/>
      <c r="J28" s="59"/>
      <c r="M28" s="59"/>
      <c r="N28" s="59"/>
      <c r="O28" s="59"/>
      <c r="P28" s="59"/>
      <c r="Q28" s="59"/>
      <c r="R28" s="60"/>
      <c r="S28" s="59"/>
      <c r="T28" s="59"/>
      <c r="U28" s="60"/>
      <c r="V28" s="59"/>
      <c r="W28" s="60"/>
      <c r="X28" s="59"/>
      <c r="Y28" s="76"/>
      <c r="Z28" s="59"/>
      <c r="AA28" s="59"/>
      <c r="AB28" s="60"/>
      <c r="AC28" s="60"/>
      <c r="AD28" s="60"/>
      <c r="AE28" s="60"/>
      <c r="AF28" s="80"/>
      <c r="AG28" s="56"/>
      <c r="AH28" s="4"/>
      <c r="AI28" s="55"/>
      <c r="AJ28" s="111"/>
      <c r="AK28" s="55"/>
      <c r="AL28" s="55"/>
      <c r="AM28" s="55"/>
      <c r="AN28" s="55"/>
      <c r="AO28" s="55"/>
      <c r="AP28" s="55"/>
      <c r="AQ28" s="55"/>
      <c r="AR28" s="111"/>
      <c r="AS28" s="55"/>
      <c r="AT28" s="55"/>
      <c r="AU28" s="4"/>
      <c r="AV28" s="47">
        <f>24*3600</f>
        <v>86400</v>
      </c>
      <c r="AW28" s="47">
        <f>14*24*3600</f>
        <v>1209600</v>
      </c>
      <c r="AX28" s="47">
        <f>30*24*3600</f>
        <v>2592000</v>
      </c>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5"/>
      <c r="CS28" s="15"/>
      <c r="CT28" s="15"/>
      <c r="CU28" s="15"/>
    </row>
    <row r="29" spans="1:99" ht="12" customHeight="1" x14ac:dyDescent="0.2">
      <c r="A29" s="65">
        <v>43509</v>
      </c>
      <c r="B29" s="15" t="s">
        <v>265</v>
      </c>
      <c r="C29" s="15" t="s">
        <v>84</v>
      </c>
      <c r="D29" s="59">
        <v>1921</v>
      </c>
      <c r="E29" s="75">
        <v>1</v>
      </c>
      <c r="F29" s="59">
        <v>5</v>
      </c>
      <c r="G29" s="59">
        <v>5</v>
      </c>
      <c r="H29" s="59" t="s">
        <v>575</v>
      </c>
      <c r="I29" s="59" t="s">
        <v>586</v>
      </c>
      <c r="J29" s="59" t="s">
        <v>585</v>
      </c>
      <c r="K29" s="60">
        <f>IF(J29="syllables",1,IF(J29="trigrams",2,IF(J29="strings",3,IF(J29="visual array",4,IF(J29="characters",5,IF(J29="letters",6,IF(J29="free forms",7,IF(J29="odors",8,IF(J29="words",9,IF(J29="pictures",10,IF(J29="object pictures",11,IF(J29="faces",12,IF(J29="names",13,IF(J29="idioms",14,IF(J29="grades",15,IF(J29="syllable-digit pairs",16,IF(J29="trigram-word pairs",17,IF(J29="word-digit pairs",18,IF(J29="English-Swahili pairs",19,IF(J29="spatial position",20,IF(J29="word pairs",21,IF(J29="word triads",22,IF(J29="generated words",23,IF(J29="word definition pairs",24,IF(J29="math problems",25,IF(J29="famous faces",26,IF(J29="famous names",27,IF(J29="famous voices",28,IF(J29="television programs",29,IF(J29="race horses",30,IF(J29="new vocabulary",31,IF(J29="sentences",32,IF(J29="concepts",33,IF(J29="ad slides",34,IF(J29="scenes",35,IF(J29="famous scenes",36,IF(J29="poems",37,IF(J29="walk",38,IF(J29="faces and events",39,IF(J29="events and names",40,IF(J29="flashbulb",41,IF(J29="stories",42,IF(J29="course material",43,IF(J29="autobiographical",44,IF(J29="novels",45,IF(J29="public events",46,"99"))))))))))))))))))))))))))))))))))))))))))))))</f>
        <v>43</v>
      </c>
      <c r="L29" s="60">
        <f>IF(J29="syllables",1,IF(J29="trigrams",1,IF(J29="strings",1,IF(J29="visual array",1,IF(J29="characters",1,IF(J29="letters",1,IF(J29="free forms",1,IF(J29="odors",2,IF(J29="words",2,IF(J29="pictures",2,IF(J29="object pictures",2,IF(J29="faces",2,IF(J29="names",2,IF(J29="idioms","2",IF(J29="grades",2,IF(J29="syllable-digit pairs",3,IF(J29="trigram-word pairs",3,IF(J29="word-digit pairs",3,IF(J29="English-Swahili pairs",3,IF(J29="spatial position",3,IF(J29="word pairs",4,IF(J29="word triads",4,IF(J29="generated words",4,IF(J29="word definition pairs",4,IF(J29="math problems",4,IF(J29="famous faces",4,IF(J29="famous names",4,IF(J29="famous voices",4,IF(J29="television programs",4,IF(J29="race horses",4,IF(J29="new vocabulary",4,IF(J29="sentences",5,IF(J29="concepts",5,IF(J29="ad slides",5,IF(J29="scenes",5,IF(J29="famous scenes",5,IF(J29="poems",6,IF(J29="walk",6,IF(J29="faces and events",6,IF(J29="events and names",6,IF(J29="flashbulb",7,IF(J29="stories",7,IF(J29="course material",7,IF(J29="autobiographical",7,IF(J29="novels",7,IF(J29="public events",7,"99"))))))))))))))))))))))))))))))))))))))))))))))</f>
        <v>7</v>
      </c>
      <c r="M29" s="59">
        <v>1</v>
      </c>
      <c r="N29" s="59">
        <v>4</v>
      </c>
      <c r="O29" s="59">
        <v>0</v>
      </c>
      <c r="P29" s="59"/>
      <c r="Q29" s="59" t="s">
        <v>65</v>
      </c>
      <c r="R29" s="60">
        <f>IF(Q29="Free Recall",1,IF(Q29="Cued Recall",2,IF(Q29="Recognition",3,IF(Q29="Multiple Choice",4,IF(Q29="Savings",5,IF(Q29="Stem Completion",6,IF(Q29="Fragment Completion",7,IF(Q29="anagram solution",8,IF(Q29="Matching",9,IF(Q29="Problem Solving",10,"99"))))))))))</f>
        <v>2</v>
      </c>
      <c r="S29" s="59" t="s">
        <v>274</v>
      </c>
      <c r="T29" s="59" t="s">
        <v>581</v>
      </c>
      <c r="U29" s="60">
        <f>IF(T29="within",1,0)</f>
        <v>1</v>
      </c>
      <c r="V29" s="59">
        <v>2</v>
      </c>
      <c r="W29" s="60">
        <f>F29*V29</f>
        <v>10</v>
      </c>
      <c r="X29" s="59">
        <v>3</v>
      </c>
      <c r="Y29" s="76">
        <f>AV28</f>
        <v>86400</v>
      </c>
      <c r="Z29" s="59" t="s">
        <v>185</v>
      </c>
      <c r="AA29" s="59">
        <f>31*24*3600</f>
        <v>2678400</v>
      </c>
      <c r="AB29" s="60" t="str">
        <f>IF(AA29&lt;60,"1",IF(AA29&lt;=43200,"2",IF(AA29&lt;=777600,"3","4")))</f>
        <v>4</v>
      </c>
      <c r="AC29" s="56">
        <f>AVERAGE(AV28:DA28)</f>
        <v>1296000</v>
      </c>
      <c r="AD29" s="60" t="str">
        <f>IF(AC29&lt;60,"1",IF(AC29&lt;=43200,"2",IF(AC29&lt;=777600,"3","4")))</f>
        <v>4</v>
      </c>
      <c r="AE29" s="76">
        <f>AA29-Y29</f>
        <v>2592000</v>
      </c>
      <c r="AF29" s="80">
        <f>AV29</f>
        <v>0.71</v>
      </c>
      <c r="AG29" s="56">
        <f>((AW29-AV29)+(AX29-AW29))/2</f>
        <v>-0.14499999999999999</v>
      </c>
      <c r="AH29" s="4"/>
      <c r="AI29" s="56">
        <f>RSQ(AV29:AX29,AV28:AX28)</f>
        <v>0.90524143856115702</v>
      </c>
      <c r="AJ29" s="109">
        <f>SLOPE(AV29:AX29,AV28:AX28)</f>
        <v>-1.1354660347551342E-7</v>
      </c>
      <c r="AK29" s="56">
        <f>INTERCEPT(AV29:AX29,AV28:AX28)</f>
        <v>0.69048973143759873</v>
      </c>
      <c r="AL29" s="56">
        <f>INDEX(LINEST(LN(AV29:AX29),LN(AV28:AX28),TRUE,TRUE),3,1)</f>
        <v>0.98638882982357545</v>
      </c>
      <c r="AM29" s="56">
        <f>INDEX(LINEST(LN(AV29:AX29),LN(AV28:AX28)),1)</f>
        <v>-0.14879170498863489</v>
      </c>
      <c r="AN29" s="56">
        <f>EXP(INDEX(LINEST(LN(AV29:AX29),LN(AV28:AX28)),1,2))</f>
        <v>3.8824936650027446</v>
      </c>
      <c r="AO29" s="82">
        <f>INDEX(LINEST((AV29:AX29),LN(AV28:AX28),TRUE,TRUE),3,1)</f>
        <v>0.99695804436948032</v>
      </c>
      <c r="AP29" s="82">
        <f>INDEX(LINEST((AV29:AX29),LN(AV28:AX28)),1)</f>
        <v>-8.378947013623543E-2</v>
      </c>
      <c r="AQ29" s="83">
        <f>INDEX(LINEST(LN(AV29:AX29),SQRT(AV28:AX28),TRUE,TRUE),3,1)</f>
        <v>0.99610050497606895</v>
      </c>
      <c r="AR29" s="116">
        <f>INDEX(LINEST(LN(AV29:AX29),SQRT((AV28:AX28))),1)</f>
        <v>-4.0219965297991531E-4</v>
      </c>
      <c r="AS29" s="84">
        <f>INDEX(LINEST(1/(AV29:AX29),1/(SQRT(AV28:AX28)),TRUE,TRUE),3,1)</f>
        <v>0.90989548745406723</v>
      </c>
      <c r="AT29" s="84">
        <f>INDEX(LINEST(1/(AV29:AX29),1/SQRT(AV28:AX28)),1)</f>
        <v>-305.67385307077353</v>
      </c>
      <c r="AU29" s="3"/>
      <c r="AV29" s="11">
        <v>0.71</v>
      </c>
      <c r="AW29" s="11">
        <v>0.5</v>
      </c>
      <c r="AX29" s="11">
        <v>0.42</v>
      </c>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5"/>
      <c r="CS29" s="15"/>
      <c r="CT29" s="15"/>
      <c r="CU29" s="15"/>
    </row>
    <row r="30" spans="1:99" ht="12" customHeight="1" x14ac:dyDescent="0.2">
      <c r="A30" s="65">
        <v>43509</v>
      </c>
      <c r="B30" s="15"/>
      <c r="C30" s="15"/>
      <c r="D30" s="59"/>
      <c r="E30" s="75"/>
      <c r="F30" s="59"/>
      <c r="G30" s="59"/>
      <c r="H30" s="59"/>
      <c r="I30" s="59"/>
      <c r="J30" s="59"/>
      <c r="M30" s="59"/>
      <c r="N30" s="59"/>
      <c r="O30" s="59"/>
      <c r="P30" s="59"/>
      <c r="Q30" s="59"/>
      <c r="R30" s="60"/>
      <c r="S30" s="59"/>
      <c r="T30" s="59"/>
      <c r="U30" s="60"/>
      <c r="V30" s="59"/>
      <c r="W30" s="60"/>
      <c r="X30" s="59"/>
      <c r="Y30" s="76"/>
      <c r="Z30" s="59"/>
      <c r="AA30" s="59"/>
      <c r="AB30" s="60"/>
      <c r="AC30" s="60"/>
      <c r="AD30" s="60"/>
      <c r="AE30" s="60"/>
      <c r="AF30" s="80"/>
      <c r="AG30" s="56"/>
      <c r="AH30" s="4"/>
      <c r="AI30" s="55"/>
      <c r="AJ30" s="111"/>
      <c r="AK30" s="55"/>
      <c r="AL30" s="55"/>
      <c r="AM30" s="55"/>
      <c r="AN30" s="55"/>
      <c r="AO30" s="55"/>
      <c r="AP30" s="55"/>
      <c r="AQ30" s="55"/>
      <c r="AR30" s="111"/>
      <c r="AS30" s="55"/>
      <c r="AT30" s="55"/>
      <c r="AU30" s="4"/>
      <c r="AV30" s="47">
        <f>24*3600</f>
        <v>86400</v>
      </c>
      <c r="AW30" s="47">
        <f>14*24*3600</f>
        <v>1209600</v>
      </c>
      <c r="AX30" s="47">
        <f>30*24*3600</f>
        <v>2592000</v>
      </c>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5"/>
      <c r="CS30" s="15"/>
      <c r="CT30" s="15"/>
      <c r="CU30" s="15"/>
    </row>
    <row r="31" spans="1:99" ht="12" customHeight="1" x14ac:dyDescent="0.2">
      <c r="A31" s="65">
        <v>43509</v>
      </c>
      <c r="B31" s="15" t="s">
        <v>265</v>
      </c>
      <c r="C31" s="15" t="s">
        <v>84</v>
      </c>
      <c r="D31" s="59">
        <v>1921</v>
      </c>
      <c r="E31" s="75">
        <v>1</v>
      </c>
      <c r="F31" s="59">
        <v>5</v>
      </c>
      <c r="G31" s="59">
        <v>5</v>
      </c>
      <c r="H31" s="59" t="s">
        <v>582</v>
      </c>
      <c r="I31" s="59" t="s">
        <v>587</v>
      </c>
      <c r="J31" s="59" t="s">
        <v>585</v>
      </c>
      <c r="K31" s="60">
        <f>IF(J31="syllables",1,IF(J31="trigrams",2,IF(J31="strings",3,IF(J31="visual array",4,IF(J31="characters",5,IF(J31="letters",6,IF(J31="free forms",7,IF(J31="odors",8,IF(J31="words",9,IF(J31="pictures",10,IF(J31="object pictures",11,IF(J31="faces",12,IF(J31="names",13,IF(J31="idioms",14,IF(J31="grades",15,IF(J31="syllable-digit pairs",16,IF(J31="trigram-word pairs",17,IF(J31="word-digit pairs",18,IF(J31="English-Swahili pairs",19,IF(J31="spatial position",20,IF(J31="word pairs",21,IF(J31="word triads",22,IF(J31="generated words",23,IF(J31="word definition pairs",24,IF(J31="math problems",25,IF(J31="famous faces",26,IF(J31="famous names",27,IF(J31="famous voices",28,IF(J31="television programs",29,IF(J31="race horses",30,IF(J31="new vocabulary",31,IF(J31="sentences",32,IF(J31="concepts",33,IF(J31="ad slides",34,IF(J31="scenes",35,IF(J31="famous scenes",36,IF(J31="poems",37,IF(J31="walk",38,IF(J31="faces and events",39,IF(J31="events and names",40,IF(J31="flashbulb",41,IF(J31="stories",42,IF(J31="course material",43,IF(J31="autobiographical",44,IF(J31="novels",45,IF(J31="public events",46,"99"))))))))))))))))))))))))))))))))))))))))))))))</f>
        <v>43</v>
      </c>
      <c r="L31" s="60">
        <f>IF(J31="syllables",1,IF(J31="trigrams",1,IF(J31="strings",1,IF(J31="visual array",1,IF(J31="characters",1,IF(J31="letters",1,IF(J31="free forms",1,IF(J31="odors",2,IF(J31="words",2,IF(J31="pictures",2,IF(J31="object pictures",2,IF(J31="faces",2,IF(J31="names",2,IF(J31="idioms","2",IF(J31="grades",2,IF(J31="syllable-digit pairs",3,IF(J31="trigram-word pairs",3,IF(J31="word-digit pairs",3,IF(J31="English-Swahili pairs",3,IF(J31="spatial position",3,IF(J31="word pairs",4,IF(J31="word triads",4,IF(J31="generated words",4,IF(J31="word definition pairs",4,IF(J31="math problems",4,IF(J31="famous faces",4,IF(J31="famous names",4,IF(J31="famous voices",4,IF(J31="television programs",4,IF(J31="race horses",4,IF(J31="new vocabulary",4,IF(J31="sentences",5,IF(J31="concepts",5,IF(J31="ad slides",5,IF(J31="scenes",5,IF(J31="famous scenes",5,IF(J31="poems",6,IF(J31="walk",6,IF(J31="faces and events",6,IF(J31="events and names",6,IF(J31="flashbulb",7,IF(J31="stories",7,IF(J31="course material",7,IF(J31="autobiographical",7,IF(J31="novels",7,IF(J31="public events",7,"99"))))))))))))))))))))))))))))))))))))))))))))))</f>
        <v>7</v>
      </c>
      <c r="M31" s="59">
        <v>1</v>
      </c>
      <c r="N31" s="59">
        <v>4</v>
      </c>
      <c r="O31" s="59">
        <v>0</v>
      </c>
      <c r="P31" s="59"/>
      <c r="Q31" s="59" t="s">
        <v>174</v>
      </c>
      <c r="R31" s="60">
        <f>IF(Q31="Free Recall",1,IF(Q31="Cued Recall",2,IF(Q31="Recognition",3,IF(Q31="Multiple Choice",4,IF(Q31="Savings",5,IF(Q31="Stem Completion",6,IF(Q31="Fragment Completion",7,IF(Q31="anagram solution",8,IF(Q31="Matching",9,IF(Q31="Problem Solving",10,"99"))))))))))</f>
        <v>1</v>
      </c>
      <c r="S31" s="59" t="s">
        <v>274</v>
      </c>
      <c r="T31" s="59" t="s">
        <v>581</v>
      </c>
      <c r="U31" s="60">
        <f>IF(T31="within",1,0)</f>
        <v>1</v>
      </c>
      <c r="V31" s="59">
        <v>2</v>
      </c>
      <c r="W31" s="60">
        <f>F31*V31</f>
        <v>10</v>
      </c>
      <c r="X31" s="59">
        <v>3</v>
      </c>
      <c r="Y31" s="76">
        <f>AV30</f>
        <v>86400</v>
      </c>
      <c r="Z31" s="59" t="s">
        <v>185</v>
      </c>
      <c r="AA31" s="59">
        <f>31*24*3600</f>
        <v>2678400</v>
      </c>
      <c r="AB31" s="60" t="str">
        <f>IF(AA31&lt;60,"1",IF(AA31&lt;=43200,"2",IF(AA31&lt;=777600,"3","4")))</f>
        <v>4</v>
      </c>
      <c r="AC31" s="56">
        <f>AVERAGE(AV30:DA30)</f>
        <v>1296000</v>
      </c>
      <c r="AD31" s="60" t="str">
        <f>IF(AC31&lt;60,"1",IF(AC31&lt;=43200,"2",IF(AC31&lt;=777600,"3","4")))</f>
        <v>4</v>
      </c>
      <c r="AE31" s="76">
        <f>AA31-Y31</f>
        <v>2592000</v>
      </c>
      <c r="AF31" s="80">
        <f>AV31</f>
        <v>0.64410000000000001</v>
      </c>
      <c r="AG31" s="56">
        <f>((AW31-AV31)+(AX31-AW31))/2</f>
        <v>-0.17205000000000001</v>
      </c>
      <c r="AH31" s="4"/>
      <c r="AI31" s="56">
        <f>RSQ(AV31:AX31,AV30:AX30)</f>
        <v>0.86120426390791571</v>
      </c>
      <c r="AJ31" s="109">
        <f>SLOPE(AV31:AX31,AV30:AX30)</f>
        <v>-1.3411664033701948E-7</v>
      </c>
      <c r="AK31" s="56">
        <f>INTERCEPT(AV31:AX31,AV30:AX30)</f>
        <v>0.61271516587677732</v>
      </c>
      <c r="AL31" s="56">
        <f>INDEX(LINEST(LN(AV31:AX31),LN(AV30:AX30),TRUE,TRUE),3,1)</f>
        <v>0.99595796202348619</v>
      </c>
      <c r="AM31" s="56">
        <f>INDEX(LINEST(LN(AV31:AX31),LN(AV30:AX30)),1)</f>
        <v>-0.22017882796682423</v>
      </c>
      <c r="AN31" s="56">
        <f>EXP(INDEX(LINEST(LN(AV31:AX31),LN(AV30:AX30)),1,2))</f>
        <v>7.9167985903115348</v>
      </c>
      <c r="AO31" s="82">
        <f>INDEX(LINEST((AV31:AX31),LN(AV30:AX30),TRUE,TRUE),3,1)</f>
        <v>0.99981323951135725</v>
      </c>
      <c r="AP31" s="82">
        <f>INDEX(LINEST((AV31:AX31),LN(AV30:AX30)),1)</f>
        <v>-0.1016127231032585</v>
      </c>
      <c r="AQ31" s="83">
        <f>INDEX(LINEST(LN(AV31:AX31),SQRT(AV30:AX30),TRUE,TRUE),3,1)</f>
        <v>0.98665022065945795</v>
      </c>
      <c r="AR31" s="116">
        <f>INDEX(LINEST(LN(AV31:AX31),SQRT((AV30:AX30))),1)</f>
        <v>-5.894841389779506E-4</v>
      </c>
      <c r="AS31" s="84">
        <f>INDEX(LINEST(1/(AV31:AX31),1/(SQRT(AV30:AX30)),TRUE,TRUE),3,1)</f>
        <v>0.9266261466389073</v>
      </c>
      <c r="AT31" s="84">
        <f>INDEX(LINEST(1/(AV31:AX31),1/SQRT(AV30:AX30)),1)</f>
        <v>-567.28496704681595</v>
      </c>
      <c r="AU31" s="3"/>
      <c r="AV31" s="11">
        <v>0.64410000000000001</v>
      </c>
      <c r="AW31" s="11">
        <v>0.37259999999999999</v>
      </c>
      <c r="AX31" s="11">
        <v>0.3</v>
      </c>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5"/>
      <c r="CS31" s="15"/>
      <c r="CT31" s="15"/>
      <c r="CU31" s="15"/>
    </row>
    <row r="32" spans="1:99" ht="12" customHeight="1" x14ac:dyDescent="0.2">
      <c r="A32" s="65">
        <v>43509</v>
      </c>
      <c r="B32" s="15"/>
      <c r="C32" s="15"/>
      <c r="D32" s="59"/>
      <c r="E32" s="75"/>
      <c r="F32" s="59"/>
      <c r="G32" s="59"/>
      <c r="H32" s="59"/>
      <c r="I32" s="59"/>
      <c r="J32" s="59"/>
      <c r="M32" s="59"/>
      <c r="N32" s="59"/>
      <c r="O32" s="59"/>
      <c r="P32" s="59"/>
      <c r="Q32" s="59"/>
      <c r="R32" s="60"/>
      <c r="S32" s="59"/>
      <c r="T32" s="59"/>
      <c r="U32" s="60"/>
      <c r="V32" s="59"/>
      <c r="W32" s="60"/>
      <c r="X32" s="59"/>
      <c r="Y32" s="76"/>
      <c r="Z32" s="59"/>
      <c r="AA32" s="59"/>
      <c r="AB32" s="60"/>
      <c r="AC32" s="60"/>
      <c r="AD32" s="60"/>
      <c r="AE32" s="60"/>
      <c r="AF32" s="80"/>
      <c r="AG32" s="56"/>
      <c r="AH32" s="4"/>
      <c r="AI32" s="55"/>
      <c r="AJ32" s="111"/>
      <c r="AK32" s="55"/>
      <c r="AL32" s="55"/>
      <c r="AM32" s="55"/>
      <c r="AN32" s="55"/>
      <c r="AO32" s="55"/>
      <c r="AP32" s="55"/>
      <c r="AQ32" s="55"/>
      <c r="AR32" s="111"/>
      <c r="AS32" s="55"/>
      <c r="AT32" s="55"/>
      <c r="AU32" s="4"/>
      <c r="AV32" s="47">
        <f>24*3600</f>
        <v>86400</v>
      </c>
      <c r="AW32" s="47">
        <f>14*24*3600</f>
        <v>1209600</v>
      </c>
      <c r="AX32" s="47">
        <f>30*24*3600</f>
        <v>2592000</v>
      </c>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5"/>
      <c r="CS32" s="15"/>
      <c r="CT32" s="15"/>
      <c r="CU32" s="15"/>
    </row>
    <row r="33" spans="1:99" ht="12" customHeight="1" x14ac:dyDescent="0.2">
      <c r="A33" s="65">
        <v>43509</v>
      </c>
      <c r="B33" s="15" t="s">
        <v>265</v>
      </c>
      <c r="C33" s="15" t="s">
        <v>84</v>
      </c>
      <c r="D33" s="59">
        <v>1921</v>
      </c>
      <c r="E33" s="75">
        <v>1</v>
      </c>
      <c r="F33" s="59">
        <v>5</v>
      </c>
      <c r="G33" s="59">
        <v>5</v>
      </c>
      <c r="H33" s="59" t="s">
        <v>583</v>
      </c>
      <c r="I33" s="59" t="s">
        <v>588</v>
      </c>
      <c r="J33" s="59" t="s">
        <v>585</v>
      </c>
      <c r="K33" s="60">
        <f>IF(J33="syllables",1,IF(J33="trigrams",2,IF(J33="strings",3,IF(J33="visual array",4,IF(J33="characters",5,IF(J33="letters",6,IF(J33="free forms",7,IF(J33="odors",8,IF(J33="words",9,IF(J33="pictures",10,IF(J33="object pictures",11,IF(J33="faces",12,IF(J33="names",13,IF(J33="idioms",14,IF(J33="grades",15,IF(J33="syllable-digit pairs",16,IF(J33="trigram-word pairs",17,IF(J33="word-digit pairs",18,IF(J33="English-Swahili pairs",19,IF(J33="spatial position",20,IF(J33="word pairs",21,IF(J33="word triads",22,IF(J33="generated words",23,IF(J33="word definition pairs",24,IF(J33="math problems",25,IF(J33="famous faces",26,IF(J33="famous names",27,IF(J33="famous voices",28,IF(J33="television programs",29,IF(J33="race horses",30,IF(J33="new vocabulary",31,IF(J33="sentences",32,IF(J33="concepts",33,IF(J33="ad slides",34,IF(J33="scenes",35,IF(J33="famous scenes",36,IF(J33="poems",37,IF(J33="walk",38,IF(J33="faces and events",39,IF(J33="events and names",40,IF(J33="flashbulb",41,IF(J33="stories",42,IF(J33="course material",43,IF(J33="autobiographical",44,IF(J33="novels",45,IF(J33="public events",46,"99"))))))))))))))))))))))))))))))))))))))))))))))</f>
        <v>43</v>
      </c>
      <c r="L33" s="60">
        <f>IF(J33="syllables",1,IF(J33="trigrams",1,IF(J33="strings",1,IF(J33="visual array",1,IF(J33="characters",1,IF(J33="letters",1,IF(J33="free forms",1,IF(J33="odors",2,IF(J33="words",2,IF(J33="pictures",2,IF(J33="object pictures",2,IF(J33="faces",2,IF(J33="names",2,IF(J33="idioms","2",IF(J33="grades",2,IF(J33="syllable-digit pairs",3,IF(J33="trigram-word pairs",3,IF(J33="word-digit pairs",3,IF(J33="English-Swahili pairs",3,IF(J33="spatial position",3,IF(J33="word pairs",4,IF(J33="word triads",4,IF(J33="generated words",4,IF(J33="word definition pairs",4,IF(J33="math problems",4,IF(J33="famous faces",4,IF(J33="famous names",4,IF(J33="famous voices",4,IF(J33="television programs",4,IF(J33="race horses",4,IF(J33="new vocabulary",4,IF(J33="sentences",5,IF(J33="concepts",5,IF(J33="ad slides",5,IF(J33="scenes",5,IF(J33="famous scenes",5,IF(J33="poems",6,IF(J33="walk",6,IF(J33="faces and events",6,IF(J33="events and names",6,IF(J33="flashbulb",7,IF(J33="stories",7,IF(J33="course material",7,IF(J33="autobiographical",7,IF(J33="novels",7,IF(J33="public events",7,"99"))))))))))))))))))))))))))))))))))))))))))))))</f>
        <v>7</v>
      </c>
      <c r="M33" s="59">
        <v>1</v>
      </c>
      <c r="N33" s="59">
        <v>4</v>
      </c>
      <c r="O33" s="59">
        <v>0</v>
      </c>
      <c r="P33" s="59"/>
      <c r="Q33" s="59" t="s">
        <v>65</v>
      </c>
      <c r="R33" s="60">
        <f>IF(Q33="Free Recall",1,IF(Q33="Cued Recall",2,IF(Q33="Recognition",3,IF(Q33="Multiple Choice",4,IF(Q33="Savings",5,IF(Q33="Stem Completion",6,IF(Q33="Fragment Completion",7,IF(Q33="anagram solution",8,IF(Q33="Matching",9,IF(Q33="Problem Solving",10,"99"))))))))))</f>
        <v>2</v>
      </c>
      <c r="S33" s="59" t="s">
        <v>274</v>
      </c>
      <c r="T33" s="59" t="s">
        <v>581</v>
      </c>
      <c r="U33" s="60">
        <f>IF(T33="within",1,0)</f>
        <v>1</v>
      </c>
      <c r="V33" s="59">
        <v>2</v>
      </c>
      <c r="W33" s="60">
        <f>F33*V33</f>
        <v>10</v>
      </c>
      <c r="X33" s="59">
        <v>3</v>
      </c>
      <c r="Y33" s="76">
        <f>AV32</f>
        <v>86400</v>
      </c>
      <c r="Z33" s="59" t="s">
        <v>185</v>
      </c>
      <c r="AA33" s="59">
        <f>31*24*3600</f>
        <v>2678400</v>
      </c>
      <c r="AB33" s="60" t="str">
        <f>IF(AA33&lt;60,"1",IF(AA33&lt;=43200,"2",IF(AA33&lt;=777600,"3","4")))</f>
        <v>4</v>
      </c>
      <c r="AC33" s="56">
        <f>AVERAGE(AV32:DA32)</f>
        <v>1296000</v>
      </c>
      <c r="AD33" s="60" t="str">
        <f>IF(AC33&lt;60,"1",IF(AC33&lt;=43200,"2",IF(AC33&lt;=777600,"3","4")))</f>
        <v>4</v>
      </c>
      <c r="AE33" s="76">
        <f>AA33-Y33</f>
        <v>2592000</v>
      </c>
      <c r="AF33" s="80">
        <f>AV33</f>
        <v>0.69499999999999995</v>
      </c>
      <c r="AG33" s="56">
        <f>((AW33-AV33)+(AX33-AW33))/2</f>
        <v>-0.23544999999999999</v>
      </c>
      <c r="AH33" s="4"/>
      <c r="AI33" s="56">
        <f>RSQ(AV33:AX33,AV32:AX32)</f>
        <v>0.82619753966578957</v>
      </c>
      <c r="AJ33" s="109">
        <f>SLOPE(AV33:AX33,AV32:AX32)</f>
        <v>-1.8292796647358254E-7</v>
      </c>
      <c r="AK33" s="56">
        <f>INTERCEPT(AV33:AX33,AV32:AX32)</f>
        <v>0.64384131121642962</v>
      </c>
      <c r="AL33" s="56">
        <f>INDEX(LINEST(LN(AV33:AX33),LN(AV32:AX32),TRUE,TRUE),3,1)</f>
        <v>0.99844616468973013</v>
      </c>
      <c r="AM33" s="56">
        <f>INDEX(LINEST(LN(AV33:AX33),LN(AV32:AX32)),1)</f>
        <v>-0.32864028094881648</v>
      </c>
      <c r="AN33" s="56">
        <f>EXP(INDEX(LINEST(LN(AV33:AX33),LN(AV32:AX32)),1,2))</f>
        <v>29.295411364108038</v>
      </c>
      <c r="AO33" s="82">
        <f>INDEX(LINEST((AV33:AX33),LN(AV32:AX32),TRUE,TRUE),3,1)</f>
        <v>0.99616884982886345</v>
      </c>
      <c r="AP33" s="82">
        <f>INDEX(LINEST((AV33:AX33),LN(AV32:AX32)),1)</f>
        <v>-0.14124195002609072</v>
      </c>
      <c r="AQ33" s="83">
        <f>INDEX(LINEST(LN(AV33:AX33),SQRT(AV32:AX32),TRUE,TRUE),3,1)</f>
        <v>0.98053024058344407</v>
      </c>
      <c r="AR33" s="116">
        <f>INDEX(LINEST(LN(AV33:AX33),SQRT((AV32:AX32))),1)</f>
        <v>-8.7604098868357882E-4</v>
      </c>
      <c r="AS33" s="84">
        <f>INDEX(LINEST(1/(AV33:AX33),1/(SQRT(AV32:AX32)),TRUE,TRUE),3,1)</f>
        <v>0.91873987652368128</v>
      </c>
      <c r="AT33" s="84">
        <f>INDEX(LINEST(1/(AV33:AX33),1/SQRT(AV32:AX32)),1)</f>
        <v>-956.93801475936812</v>
      </c>
      <c r="AU33" s="3"/>
      <c r="AV33" s="11">
        <v>0.69499999999999995</v>
      </c>
      <c r="AW33" s="11">
        <v>0.30120000000000002</v>
      </c>
      <c r="AX33" s="11">
        <v>0.22409999999999999</v>
      </c>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5"/>
      <c r="CS33" s="15"/>
      <c r="CT33" s="15"/>
      <c r="CU33" s="15"/>
    </row>
    <row r="34" spans="1:99" ht="12" customHeight="1" x14ac:dyDescent="0.2">
      <c r="A34" s="65">
        <v>43509</v>
      </c>
      <c r="B34" s="15"/>
      <c r="C34" s="15"/>
      <c r="D34" s="59"/>
      <c r="E34" s="75"/>
      <c r="F34" s="59"/>
      <c r="G34" s="59"/>
      <c r="H34" s="59"/>
      <c r="I34" s="59"/>
      <c r="J34" s="59"/>
      <c r="M34" s="59"/>
      <c r="N34" s="59"/>
      <c r="O34" s="59"/>
      <c r="P34" s="59"/>
      <c r="Q34" s="59"/>
      <c r="R34" s="60"/>
      <c r="S34" s="59"/>
      <c r="T34" s="59"/>
      <c r="U34" s="60"/>
      <c r="V34" s="59"/>
      <c r="W34" s="60"/>
      <c r="X34" s="59"/>
      <c r="Y34" s="76"/>
      <c r="Z34" s="59"/>
      <c r="AA34" s="59"/>
      <c r="AB34" s="60"/>
      <c r="AC34" s="60"/>
      <c r="AD34" s="60"/>
      <c r="AE34" s="60"/>
      <c r="AF34" s="80"/>
      <c r="AG34" s="56"/>
      <c r="AH34" s="4"/>
      <c r="AI34" s="55"/>
      <c r="AJ34" s="111"/>
      <c r="AK34" s="55"/>
      <c r="AL34" s="55"/>
      <c r="AM34" s="55"/>
      <c r="AN34" s="55"/>
      <c r="AO34" s="55"/>
      <c r="AP34" s="55"/>
      <c r="AQ34" s="55"/>
      <c r="AR34" s="111"/>
      <c r="AS34" s="55"/>
      <c r="AT34" s="55"/>
      <c r="AU34" s="4"/>
      <c r="AV34" s="47">
        <f>24*3600</f>
        <v>86400</v>
      </c>
      <c r="AW34" s="47">
        <f>14*24*3600</f>
        <v>1209600</v>
      </c>
      <c r="AX34" s="47">
        <f>30*24*3600</f>
        <v>2592000</v>
      </c>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5"/>
      <c r="CS34" s="15"/>
      <c r="CT34" s="15"/>
      <c r="CU34" s="15"/>
    </row>
    <row r="35" spans="1:99" ht="12" customHeight="1" x14ac:dyDescent="0.2">
      <c r="A35" s="65">
        <v>43509</v>
      </c>
      <c r="B35" s="15" t="s">
        <v>265</v>
      </c>
      <c r="C35" s="15" t="s">
        <v>84</v>
      </c>
      <c r="D35" s="59">
        <v>1921</v>
      </c>
      <c r="E35" s="75">
        <v>1</v>
      </c>
      <c r="F35" s="59">
        <v>5</v>
      </c>
      <c r="G35" s="59">
        <v>5</v>
      </c>
      <c r="H35" s="59" t="s">
        <v>584</v>
      </c>
      <c r="I35" s="59" t="s">
        <v>589</v>
      </c>
      <c r="J35" s="59" t="s">
        <v>585</v>
      </c>
      <c r="K35" s="60">
        <f>IF(J35="syllables",1,IF(J35="trigrams",2,IF(J35="strings",3,IF(J35="visual array",4,IF(J35="characters",5,IF(J35="letters",6,IF(J35="free forms",7,IF(J35="odors",8,IF(J35="words",9,IF(J35="pictures",10,IF(J35="object pictures",11,IF(J35="faces",12,IF(J35="names",13,IF(J35="idioms",14,IF(J35="grades",15,IF(J35="syllable-digit pairs",16,IF(J35="trigram-word pairs",17,IF(J35="word-digit pairs",18,IF(J35="English-Swahili pairs",19,IF(J35="spatial position",20,IF(J35="word pairs",21,IF(J35="word triads",22,IF(J35="generated words",23,IF(J35="word definition pairs",24,IF(J35="math problems",25,IF(J35="famous faces",26,IF(J35="famous names",27,IF(J35="famous voices",28,IF(J35="television programs",29,IF(J35="race horses",30,IF(J35="new vocabulary",31,IF(J35="sentences",32,IF(J35="concepts",33,IF(J35="ad slides",34,IF(J35="scenes",35,IF(J35="famous scenes",36,IF(J35="poems",37,IF(J35="walk",38,IF(J35="faces and events",39,IF(J35="events and names",40,IF(J35="flashbulb",41,IF(J35="stories",42,IF(J35="course material",43,IF(J35="autobiographical",44,IF(J35="novels",45,IF(J35="public events",46,"99"))))))))))))))))))))))))))))))))))))))))))))))</f>
        <v>43</v>
      </c>
      <c r="L35" s="60">
        <f>IF(J35="syllables",1,IF(J35="trigrams",1,IF(J35="strings",1,IF(J35="visual array",1,IF(J35="characters",1,IF(J35="letters",1,IF(J35="free forms",1,IF(J35="odors",2,IF(J35="words",2,IF(J35="pictures",2,IF(J35="object pictures",2,IF(J35="faces",2,IF(J35="names",2,IF(J35="idioms","2",IF(J35="grades",2,IF(J35="syllable-digit pairs",3,IF(J35="trigram-word pairs",3,IF(J35="word-digit pairs",3,IF(J35="English-Swahili pairs",3,IF(J35="spatial position",3,IF(J35="word pairs",4,IF(J35="word triads",4,IF(J35="generated words",4,IF(J35="word definition pairs",4,IF(J35="math problems",4,IF(J35="famous faces",4,IF(J35="famous names",4,IF(J35="famous voices",4,IF(J35="television programs",4,IF(J35="race horses",4,IF(J35="new vocabulary",4,IF(J35="sentences",5,IF(J35="concepts",5,IF(J35="ad slides",5,IF(J35="scenes",5,IF(J35="famous scenes",5,IF(J35="poems",6,IF(J35="walk",6,IF(J35="faces and events",6,IF(J35="events and names",6,IF(J35="flashbulb",7,IF(J35="stories",7,IF(J35="course material",7,IF(J35="autobiographical",7,IF(J35="novels",7,IF(J35="public events",7,"99"))))))))))))))))))))))))))))))))))))))))))))))</f>
        <v>7</v>
      </c>
      <c r="M35" s="59">
        <v>1</v>
      </c>
      <c r="N35" s="59">
        <v>4</v>
      </c>
      <c r="O35" s="59">
        <v>0</v>
      </c>
      <c r="P35" s="59"/>
      <c r="Q35" s="59" t="s">
        <v>174</v>
      </c>
      <c r="R35" s="60">
        <f>IF(Q35="Free Recall",1,IF(Q35="Cued Recall",2,IF(Q35="Recognition",3,IF(Q35="Multiple Choice",4,IF(Q35="Savings",5,IF(Q35="Stem Completion",6,IF(Q35="Fragment Completion",7,IF(Q35="anagram solution",8,IF(Q35="Matching",9,IF(Q35="Problem Solving",10,"99"))))))))))</f>
        <v>1</v>
      </c>
      <c r="S35" s="59" t="s">
        <v>274</v>
      </c>
      <c r="T35" s="59" t="s">
        <v>581</v>
      </c>
      <c r="U35" s="60">
        <f>IF(T35="within",1,0)</f>
        <v>1</v>
      </c>
      <c r="V35" s="59">
        <v>2</v>
      </c>
      <c r="W35" s="60">
        <f>F35*V35</f>
        <v>10</v>
      </c>
      <c r="X35" s="59">
        <v>3</v>
      </c>
      <c r="Y35" s="76">
        <f>AV34</f>
        <v>86400</v>
      </c>
      <c r="Z35" s="59" t="s">
        <v>185</v>
      </c>
      <c r="AA35" s="59">
        <f>31*24*3600</f>
        <v>2678400</v>
      </c>
      <c r="AB35" s="60" t="str">
        <f>IF(AA35&lt;60,"1",IF(AA35&lt;=43200,"2",IF(AA35&lt;=777600,"3","4")))</f>
        <v>4</v>
      </c>
      <c r="AC35" s="56">
        <f>AVERAGE(AV34:DA34)</f>
        <v>1296000</v>
      </c>
      <c r="AD35" s="60" t="str">
        <f>IF(AC35&lt;60,"1",IF(AC35&lt;=43200,"2",IF(AC35&lt;=777600,"3","4")))</f>
        <v>4</v>
      </c>
      <c r="AE35" s="76">
        <f>AA35-Y35</f>
        <v>2592000</v>
      </c>
      <c r="AF35" s="80">
        <f>AV35</f>
        <v>0.66</v>
      </c>
      <c r="AG35" s="56">
        <f>((AW35-AV35)+(AX35-AW35))/2</f>
        <v>-0.27255000000000001</v>
      </c>
      <c r="AH35" s="4"/>
      <c r="AI35" s="56">
        <f>RSQ(AV35:AX35,AV34:AX34)</f>
        <v>0.7232078084806306</v>
      </c>
      <c r="AJ35" s="109">
        <f>SLOPE(AV35:AX35,AV34:AX34)</f>
        <v>-2.0980066262945412E-7</v>
      </c>
      <c r="AK35" s="56">
        <f>INTERCEPT(AV35:AX35,AV34:AX34)</f>
        <v>0.57453499210110592</v>
      </c>
      <c r="AL35" s="56">
        <f>INDEX(LINEST(LN(AV35:AX35),LN(AV34:AX34),TRUE,TRUE),3,1)</f>
        <v>0.9806181983528186</v>
      </c>
      <c r="AM35" s="56">
        <f>INDEX(LINEST(LN(AV35:AX35),LN(AV34:AX34)),1)</f>
        <v>-0.53809101988255281</v>
      </c>
      <c r="AN35" s="56">
        <f>EXP(INDEX(LINEST(LN(AV35:AX35),LN(AV34:AX34)),1,2))</f>
        <v>289.32183535639928</v>
      </c>
      <c r="AO35" s="82">
        <f>INDEX(LINEST((AV35:AX35),LN(AV34:AX34),TRUE,TRUE),3,1)</f>
        <v>0.96582719897646863</v>
      </c>
      <c r="AP35" s="82">
        <f>INDEX(LINEST((AV35:AX35),LN(AV34:AX34)),1)</f>
        <v>-0.17048418055012046</v>
      </c>
      <c r="AQ35" s="83">
        <f>INDEX(LINEST(LN(AV35:AX35),SQRT(AV34:AX34),TRUE,TRUE),3,1)</f>
        <v>0.9015894504354105</v>
      </c>
      <c r="AR35" s="116">
        <f>INDEX(LINEST(LN(AV35:AX35),SQRT((AV34:AX34))),1)</f>
        <v>-1.3878599534918358E-3</v>
      </c>
      <c r="AS35" s="84">
        <f>INDEX(LINEST(1/(AV35:AX35),1/(SQRT(AV34:AX34)),TRUE,TRUE),3,1)</f>
        <v>0.99641217842885987</v>
      </c>
      <c r="AT35" s="84">
        <f>INDEX(LINEST(1/(AV35:AX35),1/SQRT(AV34:AX34)),1)</f>
        <v>-2515.6675615535414</v>
      </c>
      <c r="AU35" s="3"/>
      <c r="AV35" s="11">
        <v>0.66</v>
      </c>
      <c r="AW35" s="11">
        <v>0.13300000000000001</v>
      </c>
      <c r="AX35" s="11">
        <v>0.1149</v>
      </c>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5"/>
      <c r="CS35" s="15"/>
      <c r="CT35" s="15"/>
      <c r="CU35" s="15"/>
    </row>
    <row r="36" spans="1:99" s="13" customFormat="1" ht="12" customHeight="1" x14ac:dyDescent="0.2">
      <c r="A36" s="68">
        <v>43509</v>
      </c>
      <c r="B36" s="70"/>
      <c r="C36" s="70"/>
      <c r="D36" s="69"/>
      <c r="E36" s="105"/>
      <c r="F36" s="69"/>
      <c r="G36" s="69"/>
      <c r="H36" s="69"/>
      <c r="I36" s="69"/>
      <c r="J36" s="69"/>
      <c r="K36" s="107"/>
      <c r="L36" s="107"/>
      <c r="M36" s="69"/>
      <c r="N36" s="69"/>
      <c r="O36" s="69"/>
      <c r="P36" s="69"/>
      <c r="Q36" s="69"/>
      <c r="R36" s="69"/>
      <c r="S36" s="69"/>
      <c r="T36" s="69"/>
      <c r="U36" s="69"/>
      <c r="V36" s="69"/>
      <c r="W36" s="69"/>
      <c r="X36" s="86"/>
      <c r="Y36" s="87"/>
      <c r="Z36" s="69"/>
      <c r="AA36" s="69"/>
      <c r="AB36" s="69"/>
      <c r="AC36" s="69"/>
      <c r="AD36" s="69"/>
      <c r="AE36" s="69"/>
      <c r="AF36" s="88"/>
      <c r="AG36" s="72"/>
      <c r="AH36" s="4"/>
      <c r="AI36" s="72"/>
      <c r="AJ36" s="110"/>
      <c r="AK36" s="72"/>
      <c r="AL36" s="72"/>
      <c r="AM36" s="72"/>
      <c r="AN36" s="72"/>
      <c r="AO36" s="72"/>
      <c r="AP36" s="72"/>
      <c r="AQ36" s="72"/>
      <c r="AR36" s="110"/>
      <c r="AS36" s="72"/>
      <c r="AT36" s="72"/>
      <c r="AU36" s="4"/>
      <c r="AV36" s="71">
        <f>1.2*60</f>
        <v>72</v>
      </c>
      <c r="AW36" s="71">
        <f>2.4*60</f>
        <v>144</v>
      </c>
      <c r="AX36" s="71">
        <f>5.5*60</f>
        <v>330</v>
      </c>
      <c r="AY36" s="71">
        <f>60*9.5</f>
        <v>570</v>
      </c>
      <c r="AZ36" s="71">
        <f>60*17.3</f>
        <v>1038</v>
      </c>
      <c r="BA36" s="71">
        <f>60*33.1</f>
        <v>1986</v>
      </c>
      <c r="BB36" s="71">
        <f>60*64.2</f>
        <v>3852</v>
      </c>
      <c r="BC36" s="71">
        <f>24*60*60</f>
        <v>86400</v>
      </c>
      <c r="BD36" s="71">
        <f>BC36*7</f>
        <v>604800</v>
      </c>
      <c r="BE36" s="71">
        <f>BD36*4</f>
        <v>2419200</v>
      </c>
      <c r="BF36" s="42"/>
      <c r="BG36" s="4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1"/>
      <c r="CS36" s="1"/>
      <c r="CT36" s="1"/>
      <c r="CU36" s="1"/>
    </row>
    <row r="37" spans="1:99" s="13" customFormat="1" ht="12" customHeight="1" x14ac:dyDescent="0.2">
      <c r="A37" s="68">
        <v>43509</v>
      </c>
      <c r="B37" s="70" t="s">
        <v>12</v>
      </c>
      <c r="C37" s="70" t="s">
        <v>13</v>
      </c>
      <c r="D37" s="69">
        <v>2009</v>
      </c>
      <c r="E37" s="105">
        <v>1</v>
      </c>
      <c r="F37" s="69">
        <v>16</v>
      </c>
      <c r="G37" s="69">
        <v>16</v>
      </c>
      <c r="H37" s="69" t="s">
        <v>17</v>
      </c>
      <c r="I37" s="69" t="s">
        <v>591</v>
      </c>
      <c r="J37" s="69" t="s">
        <v>16</v>
      </c>
      <c r="K37" s="69">
        <f>IF(J37="syllables",1,IF(J37="trigrams",2,IF(J37="strings",3,IF(J37="visual array",4,IF(J37="characters",5,IF(J37="letters",6,IF(J37="free forms",7,IF(J37="odors",8,IF(J37="words",9,IF(J37="pictures",10,IF(J37="object pictures",11,IF(J37="faces",12,IF(J37="names",13,IF(J37="idioms",14,IF(J37="grades",15,IF(J37="syllable-digit pairs",16,IF(J37="trigram-word pairs",17,IF(J37="word-digit pairs",18,IF(J37="English-Swahili pairs",19,IF(J37="spatial position",20,IF(J37="word pairs",21,IF(J37="word triads",22,IF(J37="generated words",23,IF(J37="word definition pairs",24,IF(J37="math problems",25,IF(J37="famous faces",26,IF(J37="famous names",27,IF(J37="famous voices",28,IF(J37="television programs",29,IF(J37="race horses",30,IF(J37="new vocabulary",31,IF(J37="sentences",32,IF(J37="concepts",33,IF(J37="ad slides",34,IF(J37="scenes",35,IF(J37="famous scenes",36,IF(J37="poems",37,IF(J37="walk",38,IF(J37="faces and events",39,IF(J37="events and names",40,IF(J37="flashbulb",41,IF(J37="stories",42,IF(J37="course material",43,IF(J37="autobiographical",44,IF(J37="novels",45,IF(J37="public events",46,"99"))))))))))))))))))))))))))))))))))))))))))))))</f>
        <v>9</v>
      </c>
      <c r="L37" s="69">
        <f>IF(J37="syllables",1,IF(J37="trigrams",1,IF(J37="strings",1,IF(J37="visual array",1,IF(J37="characters",1,IF(J37="letters",1,IF(J37="free forms",1,IF(J37="odors",2,IF(J37="words",2,IF(J37="pictures",2,IF(J37="object pictures",2,IF(J37="faces",2,IF(J37="names",2,IF(J37="idioms","2",IF(J37="grades",2,IF(J37="syllable-digit pairs",3,IF(J37="trigram-word pairs",3,IF(J37="word-digit pairs",3,IF(J37="English-Swahili pairs",3,IF(J37="spatial position",3,IF(J37="word pairs",4,IF(J37="word triads",4,IF(J37="generated words",4,IF(J37="word definition pairs",4,IF(J37="math problems",4,IF(J37="famous faces",4,IF(J37="famous names",4,IF(J37="famous voices",4,IF(J37="television programs",4,IF(J37="race horses",4,IF(J37="new vocabulary",4,IF(J37="sentences",5,IF(J37="concepts",5,IF(J37="ad slides",5,IF(J37="scenes",5,IF(J37="famous scenes",5,IF(J37="poems",6,IF(J37="walk",6,IF(J37="faces and events",6,IF(J37="events and names",6,IF(J37="flashbulb",7,IF(J37="stories",7,IF(J37="course material",7,IF(J37="autobiographical",7,IF(J37="novels",7,IF(J37="public events",7,"99"))))))))))))))))))))))))))))))))))))))))))))))</f>
        <v>2</v>
      </c>
      <c r="M37" s="69">
        <v>0</v>
      </c>
      <c r="N37" s="69">
        <v>1</v>
      </c>
      <c r="O37" s="69">
        <v>0</v>
      </c>
      <c r="P37" s="69"/>
      <c r="Q37" s="69" t="s">
        <v>14</v>
      </c>
      <c r="R37" s="69">
        <f>IF(Q37="Free Recall",1,IF(Q37="Cued Recall",2,IF(Q37="Recognition",3,IF(Q37="Multiple Choice",4,IF(Q37="Savings",5,IF(Q37="Stem Completion",6,IF(Q37="Fragment Completion",7,IF(Q37="anagram solution",8,IF(Q37="Matching",9,IF(Q37="Problem Solving",10,"99"))))))))))</f>
        <v>6</v>
      </c>
      <c r="S37" s="69" t="s">
        <v>15</v>
      </c>
      <c r="T37" s="92" t="s">
        <v>581</v>
      </c>
      <c r="U37" s="69">
        <f>IF(T37="within",1,0)</f>
        <v>1</v>
      </c>
      <c r="V37" s="69">
        <v>905</v>
      </c>
      <c r="W37" s="69">
        <f>F37*V37</f>
        <v>14480</v>
      </c>
      <c r="X37" s="69">
        <v>10</v>
      </c>
      <c r="Y37" s="87">
        <f>AV36</f>
        <v>72</v>
      </c>
      <c r="Z37" s="69" t="s">
        <v>18</v>
      </c>
      <c r="AA37" s="69">
        <v>2419200</v>
      </c>
      <c r="AB37" s="69" t="str">
        <f>IF(AA37&lt;60,"1",IF(AA37&lt;=43200,"2",IF(AA37&lt;=777600,"3","4")))</f>
        <v>4</v>
      </c>
      <c r="AC37" s="72">
        <f>AVERAGE(AV36:DA36)</f>
        <v>311839.2</v>
      </c>
      <c r="AD37" s="69" t="str">
        <f>IF(AC37&lt;60,"1",IF(AC37&lt;=43200,"2",IF(AC37&lt;=777600,"3","4")))</f>
        <v>3</v>
      </c>
      <c r="AE37" s="87">
        <f>AA37-Y37</f>
        <v>2419128</v>
      </c>
      <c r="AF37" s="88">
        <f>AV37</f>
        <v>0.62</v>
      </c>
      <c r="AG37" s="72">
        <f>((AW37-AV37)+(AX37-AW37)+(AY37-AX37)+(AZ37-AY37)+(BA37-AZ37)+(BB37-BA37)+(BC37-BB37)+(BD37-BC37)+(BE37-BD37))/9</f>
        <v>-4.6666666666666669E-2</v>
      </c>
      <c r="AH37" s="4"/>
      <c r="AI37" s="72">
        <f>RSQ(AV37:BE37,AV36:BE36)</f>
        <v>0.19780589370348969</v>
      </c>
      <c r="AJ37" s="110">
        <f>SLOPE(AV37:BE37,AV36:BE36)</f>
        <v>-7.7104254201619658E-8</v>
      </c>
      <c r="AK37" s="72">
        <f>INTERCEPT(AV37:BE37,AV36:BE36)</f>
        <v>0.35504412894682974</v>
      </c>
      <c r="AL37" s="72">
        <f>INDEX(LINEST(LN(AV37:BE37),LN(AV36:BE36),TRUE,TRUE),3,1)</f>
        <v>0.81395834531462741</v>
      </c>
      <c r="AM37" s="72">
        <f>INDEX(LINEST(LN(AV37:BE37),LN(AV36:BE36)),1)</f>
        <v>-9.1845072529178631E-2</v>
      </c>
      <c r="AN37" s="72">
        <f>EXP(INDEX(LINEST(LN(AV37:BE37),LN(AV36:BE36)),1,2))</f>
        <v>0.66952784552597988</v>
      </c>
      <c r="AO37" s="89">
        <f>INDEX(LINEST((AV37:BE37),LN(AV36:BE36),TRUE,TRUE),3,1)</f>
        <v>0.66451877735809772</v>
      </c>
      <c r="AP37" s="89">
        <f>INDEX(LINEST((AV37:BE37),LN(AV36:BE36)),1)</f>
        <v>-3.0187630450828846E-2</v>
      </c>
      <c r="AQ37" s="90">
        <f>INDEX(LINEST(LN(AV37:BE37),SQRT(AV36:BE36),TRUE,TRUE),3,1)</f>
        <v>0.44418514430868172</v>
      </c>
      <c r="AR37" s="117">
        <f>INDEX(LINEST(LN(AV37:BE37),SQRT((AV36:BE36))),1)</f>
        <v>-4.7812635369060176E-4</v>
      </c>
      <c r="AS37" s="91">
        <f>INDEX(LINEST(1/(AV37:BE37),1/(SQRT(AV36:BE36)),TRUE,TRUE),3,1)</f>
        <v>0.8645731465775881</v>
      </c>
      <c r="AT37" s="91">
        <f>INDEX(LINEST(1/(AV37:BE37),1/SQRT(AV36:BE36)),1)</f>
        <v>-27.235938261162243</v>
      </c>
      <c r="AU37" s="3"/>
      <c r="AV37" s="73">
        <v>0.62</v>
      </c>
      <c r="AW37" s="73">
        <v>0.49</v>
      </c>
      <c r="AX37" s="73">
        <v>0.36</v>
      </c>
      <c r="AY37" s="73">
        <v>0.32</v>
      </c>
      <c r="AZ37" s="73">
        <v>0.3</v>
      </c>
      <c r="BA37" s="73">
        <v>0.28999999999999998</v>
      </c>
      <c r="BB37" s="73">
        <v>0.3</v>
      </c>
      <c r="BC37" s="73">
        <v>0.23</v>
      </c>
      <c r="BD37" s="73">
        <v>0.2</v>
      </c>
      <c r="BE37" s="73">
        <v>0.2</v>
      </c>
      <c r="BF37" s="42"/>
      <c r="BG37" s="4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1"/>
      <c r="CS37" s="1"/>
      <c r="CT37" s="1"/>
      <c r="CU37" s="1"/>
    </row>
    <row r="38" spans="1:99" s="13" customFormat="1" ht="12" customHeight="1" x14ac:dyDescent="0.2">
      <c r="A38" s="68">
        <v>43509</v>
      </c>
      <c r="B38" s="70"/>
      <c r="C38" s="70"/>
      <c r="D38" s="69"/>
      <c r="E38" s="105"/>
      <c r="F38" s="69"/>
      <c r="G38" s="69"/>
      <c r="H38" s="69"/>
      <c r="I38" s="69"/>
      <c r="J38" s="69"/>
      <c r="K38" s="107"/>
      <c r="L38" s="107"/>
      <c r="M38" s="69"/>
      <c r="N38" s="69"/>
      <c r="O38" s="69"/>
      <c r="P38" s="69"/>
      <c r="Q38" s="69"/>
      <c r="R38" s="69"/>
      <c r="S38" s="69"/>
      <c r="T38" s="69"/>
      <c r="U38" s="69"/>
      <c r="V38" s="69"/>
      <c r="W38" s="69"/>
      <c r="X38" s="69"/>
      <c r="Y38" s="87"/>
      <c r="Z38" s="69"/>
      <c r="AA38" s="69"/>
      <c r="AB38" s="69"/>
      <c r="AC38" s="69"/>
      <c r="AD38" s="69"/>
      <c r="AE38" s="69"/>
      <c r="AF38" s="88"/>
      <c r="AG38" s="72"/>
      <c r="AH38" s="4"/>
      <c r="AI38" s="72"/>
      <c r="AJ38" s="110"/>
      <c r="AK38" s="72"/>
      <c r="AL38" s="72"/>
      <c r="AM38" s="72"/>
      <c r="AN38" s="72"/>
      <c r="AO38" s="89"/>
      <c r="AP38" s="89"/>
      <c r="AQ38" s="89"/>
      <c r="AR38" s="118"/>
      <c r="AS38" s="89"/>
      <c r="AT38" s="89"/>
      <c r="AU38" s="3"/>
      <c r="AV38" s="71">
        <f>1.2*60</f>
        <v>72</v>
      </c>
      <c r="AW38" s="71">
        <f>2.4*60</f>
        <v>144</v>
      </c>
      <c r="AX38" s="71">
        <f>5.5*60</f>
        <v>330</v>
      </c>
      <c r="AY38" s="71">
        <f>60*9.5</f>
        <v>570</v>
      </c>
      <c r="AZ38" s="71">
        <f>60*17.3</f>
        <v>1038</v>
      </c>
      <c r="BA38" s="71">
        <f>60*33.1</f>
        <v>1986</v>
      </c>
      <c r="BB38" s="71">
        <f>60*64.2</f>
        <v>3852</v>
      </c>
      <c r="BC38" s="71">
        <f>24*60*60</f>
        <v>86400</v>
      </c>
      <c r="BD38" s="71">
        <f>BC38*7</f>
        <v>604800</v>
      </c>
      <c r="BE38" s="71">
        <f>BD38*4</f>
        <v>2419200</v>
      </c>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1"/>
      <c r="CS38" s="1"/>
      <c r="CT38" s="1"/>
      <c r="CU38" s="1"/>
    </row>
    <row r="39" spans="1:99" s="13" customFormat="1" ht="12" customHeight="1" x14ac:dyDescent="0.2">
      <c r="A39" s="68">
        <v>43509</v>
      </c>
      <c r="B39" s="70" t="s">
        <v>12</v>
      </c>
      <c r="C39" s="70" t="s">
        <v>13</v>
      </c>
      <c r="D39" s="69">
        <v>2009</v>
      </c>
      <c r="E39" s="105">
        <v>1</v>
      </c>
      <c r="F39" s="69">
        <v>16</v>
      </c>
      <c r="G39" s="69">
        <v>16</v>
      </c>
      <c r="H39" s="69" t="s">
        <v>17</v>
      </c>
      <c r="I39" s="69" t="s">
        <v>592</v>
      </c>
      <c r="J39" s="86" t="s">
        <v>16</v>
      </c>
      <c r="K39" s="69">
        <f>IF(J39="syllables",1,IF(J39="trigrams",2,IF(J39="strings",3,IF(J39="visual array",4,IF(J39="characters",5,IF(J39="letters",6,IF(J39="free forms",7,IF(J39="odors",8,IF(J39="words",9,IF(J39="pictures",10,IF(J39="object pictures",11,IF(J39="faces",12,IF(J39="names",13,IF(J39="idioms",14,IF(J39="grades",15,IF(J39="syllable-digit pairs",16,IF(J39="trigram-word pairs",17,IF(J39="word-digit pairs",18,IF(J39="English-Swahili pairs",19,IF(J39="spatial position",20,IF(J39="word pairs",21,IF(J39="word triads",22,IF(J39="generated words",23,IF(J39="word definition pairs",24,IF(J39="math problems",25,IF(J39="famous faces",26,IF(J39="famous names",27,IF(J39="famous voices",28,IF(J39="television programs",29,IF(J39="race horses",30,IF(J39="new vocabulary",31,IF(J39="sentences",32,IF(J39="concepts",33,IF(J39="ad slides",34,IF(J39="scenes",35,IF(J39="famous scenes",36,IF(J39="poems",37,IF(J39="walk",38,IF(J39="faces and events",39,IF(J39="events and names",40,IF(J39="flashbulb",41,IF(J39="stories",42,IF(J39="course material",43,IF(J39="autobiographical",44,IF(J39="novels",45,IF(J39="public events",46,"99"))))))))))))))))))))))))))))))))))))))))))))))</f>
        <v>9</v>
      </c>
      <c r="L39" s="69">
        <f>IF(J39="syllables",1,IF(J39="trigrams",1,IF(J39="strings",1,IF(J39="visual array",1,IF(J39="characters",1,IF(J39="letters",1,IF(J39="free forms",1,IF(J39="odors",2,IF(J39="words",2,IF(J39="pictures",2,IF(J39="object pictures",2,IF(J39="faces",2,IF(J39="names",2,IF(J39="idioms","2",IF(J39="grades",2,IF(J39="syllable-digit pairs",3,IF(J39="trigram-word pairs",3,IF(J39="word-digit pairs",3,IF(J39="English-Swahili pairs",3,IF(J39="spatial position",3,IF(J39="word pairs",4,IF(J39="word triads",4,IF(J39="generated words",4,IF(J39="word definition pairs",4,IF(J39="math problems",4,IF(J39="famous faces",4,IF(J39="famous names",4,IF(J39="famous voices",4,IF(J39="television programs",4,IF(J39="race horses",4,IF(J39="new vocabulary",4,IF(J39="sentences",5,IF(J39="concepts",5,IF(J39="ad slides",5,IF(J39="scenes",5,IF(J39="famous scenes",5,IF(J39="poems",6,IF(J39="walk",6,IF(J39="faces and events",6,IF(J39="events and names",6,IF(J39="flashbulb",7,IF(J39="stories",7,IF(J39="course material",7,IF(J39="autobiographical",7,IF(J39="novels",7,IF(J39="public events",7,"99"))))))))))))))))))))))))))))))))))))))))))))))</f>
        <v>2</v>
      </c>
      <c r="M39" s="69">
        <v>0</v>
      </c>
      <c r="N39" s="86">
        <v>1</v>
      </c>
      <c r="O39" s="69">
        <v>0</v>
      </c>
      <c r="P39" s="69"/>
      <c r="Q39" s="69" t="s">
        <v>65</v>
      </c>
      <c r="R39" s="69">
        <f>IF(Q39="Free Recall",1,IF(Q39="Cued Recall",2,IF(Q39="Recognition",3,IF(Q39="Multiple Choice",4,IF(Q39="Savings",5,IF(Q39="Stem Completion",6,IF(Q39="Fragment Completion",7,IF(Q39="anagram solution",8,IF(Q39="Matching",9,IF(Q39="Problem Solving",10,"99"))))))))))</f>
        <v>2</v>
      </c>
      <c r="S39" s="69" t="s">
        <v>15</v>
      </c>
      <c r="T39" s="92" t="s">
        <v>581</v>
      </c>
      <c r="U39" s="69">
        <f>IF(T39="within",1,0)</f>
        <v>1</v>
      </c>
      <c r="V39" s="86">
        <v>905</v>
      </c>
      <c r="W39" s="69">
        <f>F39*V39</f>
        <v>14480</v>
      </c>
      <c r="X39" s="69">
        <v>10</v>
      </c>
      <c r="Y39" s="87">
        <f>AV38</f>
        <v>72</v>
      </c>
      <c r="Z39" s="69" t="s">
        <v>18</v>
      </c>
      <c r="AA39" s="69">
        <v>2419200</v>
      </c>
      <c r="AB39" s="69" t="str">
        <f>IF(AA39&lt;60,"1",IF(AA39&lt;=43200,"2",IF(AA39&lt;=777600,"3","4")))</f>
        <v>4</v>
      </c>
      <c r="AC39" s="72">
        <f>AVERAGE(AV38:DA38)</f>
        <v>311839.2</v>
      </c>
      <c r="AD39" s="69" t="str">
        <f>IF(AC39&lt;60,"1",IF(AC39&lt;=43200,"2",IF(AC39&lt;=777600,"3","4")))</f>
        <v>3</v>
      </c>
      <c r="AE39" s="87">
        <f>AA39-Y39</f>
        <v>2419128</v>
      </c>
      <c r="AF39" s="88">
        <f>AV39</f>
        <v>0.47</v>
      </c>
      <c r="AG39" s="72">
        <f>((AW39-AV39)+(AX39-AW39)+(AY39-AX39)+(AZ39-AY39)+(BA39-AZ39)+(BB39-BA39)+(BC39-BB39)+(BD39-BC39)+(BE39-BD39))/9</f>
        <v>-2.9999999999999995E-2</v>
      </c>
      <c r="AH39" s="4"/>
      <c r="AI39" s="72">
        <f>RSQ(AV39:BE39,AV38:BE38)</f>
        <v>0.18941724363781726</v>
      </c>
      <c r="AJ39" s="110">
        <f>SLOPE(AV39:BE39,AV38:BE38)</f>
        <v>-4.571464581950638E-8</v>
      </c>
      <c r="AK39" s="72">
        <f>INTERCEPT(AV39:BE39,AV38:BE38)</f>
        <v>0.29225561858063831</v>
      </c>
      <c r="AL39" s="72">
        <f>INDEX(LINEST(LN(AV39:BE39),LN(AV38:BE38),TRUE,TRUE),3,1)</f>
        <v>0.7378113241856914</v>
      </c>
      <c r="AM39" s="72">
        <f>INDEX(LINEST(LN(AV39:BE39),LN(AV38:BE38)),1)</f>
        <v>-6.1582042770250908E-2</v>
      </c>
      <c r="AN39" s="72">
        <f>EXP(INDEX(LINEST(LN(AV39:BE39),LN(AV38:BE38)),1,2))</f>
        <v>0.45051330608675066</v>
      </c>
      <c r="AO39" s="89">
        <f>INDEX(LINEST((AV39:BE39),LN(AV38:BE38),TRUE,TRUE),3,1)</f>
        <v>0.61155494123289866</v>
      </c>
      <c r="AP39" s="89">
        <f>INDEX(LINEST((AV39:BE39),LN(AV38:BE38)),1)</f>
        <v>-1.7546076234383427E-2</v>
      </c>
      <c r="AQ39" s="90">
        <f>INDEX(LINEST(LN(AV39:BE39),SQRT(AV38:BE38),TRUE,TRUE),3,1)</f>
        <v>0.39712322517585508</v>
      </c>
      <c r="AR39" s="117">
        <f>INDEX(LINEST(LN(AV39:BE39),SQRT((AV38:BE38))),1)</f>
        <v>-3.1838307441759886E-4</v>
      </c>
      <c r="AS39" s="91">
        <f>INDEX(LINEST(1/(AV39:BE39),1/(SQRT(AV38:BE38)),TRUE,TRUE),3,1)</f>
        <v>0.91832975170496534</v>
      </c>
      <c r="AT39" s="91">
        <f>INDEX(LINEST(1/(AV39:BE39),1/SQRT(AV38:BE38)),1)</f>
        <v>-21.886415331781226</v>
      </c>
      <c r="AU39" s="3"/>
      <c r="AV39" s="73">
        <v>0.47</v>
      </c>
      <c r="AW39" s="73">
        <v>0.35</v>
      </c>
      <c r="AX39" s="73">
        <v>0.28000000000000003</v>
      </c>
      <c r="AY39" s="73">
        <v>0.28000000000000003</v>
      </c>
      <c r="AZ39" s="73">
        <v>0.26</v>
      </c>
      <c r="BA39" s="73">
        <v>0.26</v>
      </c>
      <c r="BB39" s="73">
        <v>0.25</v>
      </c>
      <c r="BC39" s="73">
        <v>0.23</v>
      </c>
      <c r="BD39" s="73">
        <v>0.2</v>
      </c>
      <c r="BE39" s="73">
        <v>0.2</v>
      </c>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1"/>
      <c r="CS39" s="1"/>
      <c r="CT39" s="1"/>
      <c r="CU39" s="1"/>
    </row>
    <row r="40" spans="1:99" s="13" customFormat="1" ht="12" customHeight="1" x14ac:dyDescent="0.2">
      <c r="A40" s="65">
        <v>43509</v>
      </c>
      <c r="B40" s="1"/>
      <c r="C40" s="1"/>
      <c r="D40" s="60"/>
      <c r="E40" s="76"/>
      <c r="F40" s="60"/>
      <c r="G40" s="60"/>
      <c r="H40" s="60"/>
      <c r="I40" s="60"/>
      <c r="J40" s="60"/>
      <c r="K40" s="64"/>
      <c r="L40" s="64"/>
      <c r="M40" s="60"/>
      <c r="N40" s="60"/>
      <c r="O40" s="60"/>
      <c r="P40" s="60"/>
      <c r="Q40" s="60"/>
      <c r="R40" s="60"/>
      <c r="S40" s="60"/>
      <c r="T40" s="60"/>
      <c r="U40" s="60"/>
      <c r="V40" s="60"/>
      <c r="W40" s="60"/>
      <c r="X40" s="60"/>
      <c r="Y40" s="76"/>
      <c r="Z40" s="60"/>
      <c r="AA40" s="60"/>
      <c r="AB40" s="60"/>
      <c r="AC40" s="60"/>
      <c r="AD40" s="60"/>
      <c r="AE40" s="60"/>
      <c r="AF40" s="80"/>
      <c r="AG40" s="56"/>
      <c r="AH40" s="4"/>
      <c r="AI40" s="56"/>
      <c r="AJ40" s="109"/>
      <c r="AK40" s="56"/>
      <c r="AL40" s="56"/>
      <c r="AM40" s="56"/>
      <c r="AN40" s="56"/>
      <c r="AO40" s="56"/>
      <c r="AP40" s="56"/>
      <c r="AQ40" s="56"/>
      <c r="AR40" s="109"/>
      <c r="AS40" s="56"/>
      <c r="AT40" s="56"/>
      <c r="AU40" s="5"/>
      <c r="AV40" s="25">
        <f>365*24*60*60*3.26/12</f>
        <v>8567280</v>
      </c>
      <c r="AW40" s="25">
        <f>365*24*60*60*9.3/12</f>
        <v>24440400</v>
      </c>
      <c r="AX40" s="25">
        <f>365*24*60*60*23.18/12</f>
        <v>60917040</v>
      </c>
      <c r="AY40" s="25">
        <f>365*24*60*60*45.5/12</f>
        <v>119574000</v>
      </c>
      <c r="AZ40" s="25">
        <f>365*24*60*60*89.08/12</f>
        <v>234102240</v>
      </c>
      <c r="BA40" s="25">
        <f>365*24*60*60*173.56/12</f>
        <v>456115680</v>
      </c>
      <c r="BB40" s="25">
        <f>365*24*60*60*309.61/12</f>
        <v>813655080</v>
      </c>
      <c r="BC40" s="25">
        <f>365*24*60*60*408.89/12</f>
        <v>1074562920</v>
      </c>
      <c r="BD40" s="25">
        <f>365*24*60*60*570.73/12</f>
        <v>1499878440</v>
      </c>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1"/>
      <c r="CS40" s="1"/>
      <c r="CT40" s="1"/>
      <c r="CU40" s="1"/>
    </row>
    <row r="41" spans="1:99" s="13" customFormat="1" ht="12" customHeight="1" x14ac:dyDescent="0.2">
      <c r="A41" s="65">
        <v>43509</v>
      </c>
      <c r="B41" s="1" t="s">
        <v>201</v>
      </c>
      <c r="C41" s="1" t="s">
        <v>202</v>
      </c>
      <c r="D41" s="60">
        <v>1975</v>
      </c>
      <c r="E41" s="76">
        <v>1</v>
      </c>
      <c r="F41" s="60">
        <v>392</v>
      </c>
      <c r="G41" s="60">
        <v>43.6</v>
      </c>
      <c r="H41" s="60" t="s">
        <v>227</v>
      </c>
      <c r="I41" s="60" t="s">
        <v>593</v>
      </c>
      <c r="J41" s="60" t="s">
        <v>599</v>
      </c>
      <c r="K41" s="60">
        <f>IF(J41="syllables",1,IF(J41="trigrams",2,IF(J41="strings",3,IF(J41="visual array",4,IF(J41="characters",5,IF(J41="letters",6,IF(J41="free forms",7,IF(J41="odors",8,IF(J41="words",9,IF(J41="pictures",10,IF(J41="object pictures",11,IF(J41="faces",12,IF(J41="names",13,IF(J41="idioms",14,IF(J41="grades",15,IF(J41="syllable-digit pairs",16,IF(J41="trigram-word pairs",17,IF(J41="word-digit pairs",18,IF(J41="English-Swahili pairs",19,IF(J41="spatial position",20,IF(J41="word pairs",21,IF(J41="word triads",22,IF(J41="generated words",23,IF(J41="word definition pairs",24,IF(J41="math problems",25,IF(J41="famous faces",26,IF(J41="famous names",27,IF(J41="famous voices",28,IF(J41="television programs",29,IF(J41="race horses",30,IF(J41="new vocabulary",31,IF(J41="sentences",32,IF(J41="concepts",33,IF(J41="ad slides",34,IF(J41="scenes",35,IF(J41="famous scenes",36,IF(J41="poems",37,IF(J41="walk",38,IF(J41="faces and events",39,IF(J41="events and names",40,IF(J41="flashbulb",41,IF(J41="stories",42,IF(J41="course material",43,IF(J41="autobiographical",44,IF(J41="novels",45,IF(J41="public events",46,"99"))))))))))))))))))))))))))))))))))))))))))))))</f>
        <v>13</v>
      </c>
      <c r="L41" s="60">
        <f>IF(J41="syllables",1,IF(J41="trigrams",1,IF(J41="strings",1,IF(J41="visual array",1,IF(J41="characters",1,IF(J41="letters",1,IF(J41="free forms",1,IF(J41="odors",2,IF(J41="words",2,IF(J41="pictures",2,IF(J41="object pictures",2,IF(J41="faces",2,IF(J41="names",2,IF(J41="idioms","2",IF(J41="grades",2,IF(J41="syllable-digit pairs",3,IF(J41="trigram-word pairs",3,IF(J41="word-digit pairs",3,IF(J41="English-Swahili pairs",3,IF(J41="spatial position",3,IF(J41="word pairs",4,IF(J41="word triads",4,IF(J41="generated words",4,IF(J41="word definition pairs",4,IF(J41="math problems",4,IF(J41="famous faces",4,IF(J41="famous names",4,IF(J41="famous voices",4,IF(J41="television programs",4,IF(J41="race horses",4,IF(J41="new vocabulary",4,IF(J41="sentences",5,IF(J41="concepts",5,IF(J41="ad slides",5,IF(J41="scenes",5,IF(J41="famous scenes",5,IF(J41="poems",6,IF(J41="walk",6,IF(J41="faces and events",6,IF(J41="events and names",6,IF(J41="flashbulb",7,IF(J41="stories",7,IF(J41="course material",7,IF(J41="autobiographical",7,IF(J41="novels",7,IF(J41="public events",7,"99"))))))))))))))))))))))))))))))))))))))))))))))</f>
        <v>2</v>
      </c>
      <c r="M41" s="60">
        <v>1</v>
      </c>
      <c r="N41" s="60">
        <v>2</v>
      </c>
      <c r="O41" s="60">
        <v>0</v>
      </c>
      <c r="P41" s="60"/>
      <c r="Q41" s="59" t="s">
        <v>174</v>
      </c>
      <c r="R41" s="60">
        <f>IF(Q41="Free Recall",1,IF(Q41="Cued Recall",2,IF(Q41="Recognition",3,IF(Q41="Multiple Choice",4,IF(Q41="Savings",5,IF(Q41="Stem Completion",6,IF(Q41="Fragment Completion",7,IF(Q41="anagram solution",8,IF(Q41="Matching",9,IF(Q41="Problem Solving",10,"99"))))))))))</f>
        <v>1</v>
      </c>
      <c r="S41" s="60" t="s">
        <v>20</v>
      </c>
      <c r="T41" s="60" t="s">
        <v>261</v>
      </c>
      <c r="U41" s="60">
        <f>IF(T41="within",1,0)</f>
        <v>0</v>
      </c>
      <c r="V41" s="60">
        <v>294.2</v>
      </c>
      <c r="W41" s="60">
        <f>F41*V41</f>
        <v>115326.39999999999</v>
      </c>
      <c r="X41" s="60">
        <v>9</v>
      </c>
      <c r="Y41" s="76">
        <f>AV40</f>
        <v>8567280</v>
      </c>
      <c r="Z41" s="60" t="s">
        <v>204</v>
      </c>
      <c r="AA41" s="60">
        <v>1513728000</v>
      </c>
      <c r="AB41" s="60" t="str">
        <f>IF(AA41&lt;60,"1",IF(AA41&lt;=43200,"2",IF(AA41&lt;=777600,"3","4")))</f>
        <v>4</v>
      </c>
      <c r="AC41" s="56">
        <f>AVERAGE(AV40:DA40)</f>
        <v>476868120</v>
      </c>
      <c r="AD41" s="60" t="str">
        <f>IF(AC41&lt;60,"1",IF(AC41&lt;=43200,"2",IF(AC41&lt;=777600,"3","4")))</f>
        <v>4</v>
      </c>
      <c r="AE41" s="76">
        <f>AA41-Y41</f>
        <v>1505160720</v>
      </c>
      <c r="AF41" s="80">
        <f>AV41</f>
        <v>0.47</v>
      </c>
      <c r="AG41" s="56">
        <f>((AW41-AV41)+(AX41-AW41)+(AY41-AX41)+(AZ41-AY41)+(BA41-AZ41)+(BB41-BA41)+(BC41-BB41)+(BD41-BC41))/8</f>
        <v>-3.4374999999999996E-2</v>
      </c>
      <c r="AH41" s="4"/>
      <c r="AI41" s="56">
        <f>RSQ(AV41:BD41,AV40:BD40)</f>
        <v>0.90241199663830218</v>
      </c>
      <c r="AJ41" s="109">
        <f>SLOPE(AV41:BD41,AV40:BD40)</f>
        <v>-1.4765502706662541E-10</v>
      </c>
      <c r="AK41" s="56">
        <f>INTERCEPT(AV41:BD41,AV40:BD40)</f>
        <v>0.42118975294358857</v>
      </c>
      <c r="AL41" s="56">
        <f>INDEX(LINEST(LN(AV41:BD41),LN(AV40:BD40),TRUE,TRUE),3,1)</f>
        <v>0.68800936125085654</v>
      </c>
      <c r="AM41" s="56">
        <f>INDEX(LINEST(LN(AV41:BD41),LN(AV40:BD40)),1)</f>
        <v>-0.12391683411031684</v>
      </c>
      <c r="AN41" s="56">
        <f>EXP(INDEX(LINEST(LN(AV41:BD41),LN(AV40:BD40)),1,2))</f>
        <v>3.5958022901434026</v>
      </c>
      <c r="AO41" s="82">
        <f>INDEX(LINEST((AV41:BD41),LN(AV40:BD40),TRUE,TRUE),3,1)</f>
        <v>0.75711495998692835</v>
      </c>
      <c r="AP41" s="82">
        <f>INDEX(LINEST((AV41:BD41),LN(AV40:BD40)),1)</f>
        <v>-4.063210830879245E-2</v>
      </c>
      <c r="AQ41" s="83">
        <f>INDEX(LINEST(LN(AV41:BD41),SQRT(AV40:BD40),TRUE,TRUE),3,1)</f>
        <v>0.86074341233883944</v>
      </c>
      <c r="AR41" s="116">
        <f>INDEX(LINEST(LN(AV41:BD41),SQRT((AV40:BD40))),1)</f>
        <v>-1.9199210865646748E-5</v>
      </c>
      <c r="AS41" s="84">
        <f>INDEX(LINEST(1/(AV41:BD41),1/(SQRT(AV40:BD40)),TRUE,TRUE),3,1)</f>
        <v>0.37137543176266247</v>
      </c>
      <c r="AT41" s="84">
        <f>INDEX(LINEST(1/(AV41:BD41),1/SQRT(AV40:BD40)),1)</f>
        <v>-5321.6026544701854</v>
      </c>
      <c r="AU41" s="3"/>
      <c r="AV41" s="42">
        <v>0.47</v>
      </c>
      <c r="AW41" s="42">
        <v>0.39200000000000002</v>
      </c>
      <c r="AX41" s="42">
        <v>0.372</v>
      </c>
      <c r="AY41" s="42">
        <v>0.41599999999999998</v>
      </c>
      <c r="AZ41" s="46">
        <v>0.39600000000000002</v>
      </c>
      <c r="BA41" s="42">
        <v>0.34499999999999997</v>
      </c>
      <c r="BB41" s="42">
        <v>0.29299999999999998</v>
      </c>
      <c r="BC41" s="2">
        <v>0.27800000000000002</v>
      </c>
      <c r="BD41" s="2">
        <v>0.19500000000000001</v>
      </c>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1"/>
      <c r="CS41" s="1"/>
      <c r="CT41" s="1"/>
      <c r="CU41" s="1"/>
    </row>
    <row r="42" spans="1:99" s="13" customFormat="1" ht="12" customHeight="1" x14ac:dyDescent="0.2">
      <c r="A42" s="65">
        <v>43509</v>
      </c>
      <c r="B42" s="1"/>
      <c r="C42" s="1"/>
      <c r="D42" s="60"/>
      <c r="E42" s="76"/>
      <c r="F42" s="60"/>
      <c r="G42" s="60"/>
      <c r="H42" s="60"/>
      <c r="I42" s="60"/>
      <c r="J42" s="60"/>
      <c r="K42" s="64"/>
      <c r="L42" s="64"/>
      <c r="M42" s="60"/>
      <c r="N42" s="60"/>
      <c r="O42" s="60"/>
      <c r="P42" s="60"/>
      <c r="Q42" s="60"/>
      <c r="R42" s="60"/>
      <c r="S42" s="60"/>
      <c r="T42" s="60"/>
      <c r="U42" s="60"/>
      <c r="V42" s="60"/>
      <c r="W42" s="60"/>
      <c r="X42" s="60"/>
      <c r="Y42" s="76"/>
      <c r="Z42" s="60"/>
      <c r="AA42" s="60"/>
      <c r="AB42" s="60"/>
      <c r="AC42" s="60"/>
      <c r="AD42" s="60"/>
      <c r="AE42" s="60"/>
      <c r="AF42" s="80"/>
      <c r="AG42" s="56"/>
      <c r="AH42" s="4"/>
      <c r="AI42" s="56"/>
      <c r="AJ42" s="109"/>
      <c r="AK42" s="56"/>
      <c r="AL42" s="56"/>
      <c r="AM42" s="56"/>
      <c r="AN42" s="56"/>
      <c r="AO42" s="56"/>
      <c r="AP42" s="56"/>
      <c r="AQ42" s="82"/>
      <c r="AR42" s="115"/>
      <c r="AS42" s="82"/>
      <c r="AT42" s="82"/>
      <c r="AU42" s="3"/>
      <c r="AV42" s="25">
        <f>365*24*60*60*3.26/12</f>
        <v>8567280</v>
      </c>
      <c r="AW42" s="25">
        <f>365*24*60*60*9.3/12</f>
        <v>24440400</v>
      </c>
      <c r="AX42" s="25">
        <f>365*24*60*60*23.18/12</f>
        <v>60917040</v>
      </c>
      <c r="AY42" s="25">
        <f>365*24*60*60*45.5/12</f>
        <v>119574000</v>
      </c>
      <c r="AZ42" s="25">
        <f>365*24*60*60*89.08/12</f>
        <v>234102240</v>
      </c>
      <c r="BA42" s="25">
        <f>365*24*60*60*173.56/12</f>
        <v>456115680</v>
      </c>
      <c r="BB42" s="25">
        <f>365*24*60*60*309.61/12</f>
        <v>813655080</v>
      </c>
      <c r="BC42" s="25">
        <f>365*24*60*60*408.89/12</f>
        <v>1074562920</v>
      </c>
      <c r="BD42" s="25">
        <f>365*24*60*60*570.73/12</f>
        <v>1499878440</v>
      </c>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1"/>
      <c r="CS42" s="1"/>
      <c r="CT42" s="1"/>
      <c r="CU42" s="1"/>
    </row>
    <row r="43" spans="1:99" s="13" customFormat="1" ht="12" customHeight="1" x14ac:dyDescent="0.2">
      <c r="A43" s="65">
        <v>43509</v>
      </c>
      <c r="B43" s="1" t="s">
        <v>201</v>
      </c>
      <c r="C43" s="1" t="s">
        <v>202</v>
      </c>
      <c r="D43" s="60">
        <v>1975</v>
      </c>
      <c r="E43" s="76">
        <v>1</v>
      </c>
      <c r="F43" s="60">
        <v>392</v>
      </c>
      <c r="G43" s="60">
        <v>43.6</v>
      </c>
      <c r="H43" s="60" t="s">
        <v>227</v>
      </c>
      <c r="I43" s="60" t="s">
        <v>595</v>
      </c>
      <c r="J43" s="60" t="s">
        <v>599</v>
      </c>
      <c r="K43" s="60">
        <f>IF(J43="syllables",1,IF(J43="trigrams",2,IF(J43="strings",3,IF(J43="visual array",4,IF(J43="characters",5,IF(J43="letters",6,IF(J43="free forms",7,IF(J43="odors",8,IF(J43="words",9,IF(J43="pictures",10,IF(J43="object pictures",11,IF(J43="faces",12,IF(J43="names",13,IF(J43="idioms",14,IF(J43="grades",15,IF(J43="syllable-digit pairs",16,IF(J43="trigram-word pairs",17,IF(J43="word-digit pairs",18,IF(J43="English-Swahili pairs",19,IF(J43="spatial position",20,IF(J43="word pairs",21,IF(J43="word triads",22,IF(J43="generated words",23,IF(J43="word definition pairs",24,IF(J43="math problems",25,IF(J43="famous faces",26,IF(J43="famous names",27,IF(J43="famous voices",28,IF(J43="television programs",29,IF(J43="race horses",30,IF(J43="new vocabulary",31,IF(J43="sentences",32,IF(J43="concepts",33,IF(J43="ad slides",34,IF(J43="scenes",35,IF(J43="famous scenes",36,IF(J43="poems",37,IF(J43="walk",38,IF(J43="faces and events",39,IF(J43="events and names",40,IF(J43="flashbulb",41,IF(J43="stories",42,IF(J43="course material",43,IF(J43="autobiographical",44,IF(J43="novels",45,IF(J43="public events",46,"99"))))))))))))))))))))))))))))))))))))))))))))))</f>
        <v>13</v>
      </c>
      <c r="L43" s="60">
        <f>IF(J43="syllables",1,IF(J43="trigrams",1,IF(J43="strings",1,IF(J43="visual array",1,IF(J43="characters",1,IF(J43="letters",1,IF(J43="free forms",1,IF(J43="odors",2,IF(J43="words",2,IF(J43="pictures",2,IF(J43="object pictures",2,IF(J43="faces",2,IF(J43="names",2,IF(J43="idioms","2",IF(J43="grades",2,IF(J43="syllable-digit pairs",3,IF(J43="trigram-word pairs",3,IF(J43="word-digit pairs",3,IF(J43="English-Swahili pairs",3,IF(J43="spatial position",3,IF(J43="word pairs",4,IF(J43="word triads",4,IF(J43="generated words",4,IF(J43="word definition pairs",4,IF(J43="math problems",4,IF(J43="famous faces",4,IF(J43="famous names",4,IF(J43="famous voices",4,IF(J43="television programs",4,IF(J43="race horses",4,IF(J43="new vocabulary",4,IF(J43="sentences",5,IF(J43="concepts",5,IF(J43="ad slides",5,IF(J43="scenes",5,IF(J43="famous scenes",5,IF(J43="poems",6,IF(J43="walk",6,IF(J43="faces and events",6,IF(J43="events and names",6,IF(J43="flashbulb",7,IF(J43="stories",7,IF(J43="course material",7,IF(J43="autobiographical",7,IF(J43="novels",7,IF(J43="public events",7,"99"))))))))))))))))))))))))))))))))))))))))))))))</f>
        <v>2</v>
      </c>
      <c r="M43" s="60">
        <v>1</v>
      </c>
      <c r="N43" s="60">
        <v>2</v>
      </c>
      <c r="O43" s="60">
        <v>0</v>
      </c>
      <c r="P43" s="60"/>
      <c r="Q43" s="60" t="s">
        <v>182</v>
      </c>
      <c r="R43" s="60">
        <f>IF(Q43="Free Recall",1,IF(Q43="Cued Recall",2,IF(Q43="Recognition",3,IF(Q43="Multiple Choice",4,IF(Q43="Savings",5,IF(Q43="Stem Completion",6,IF(Q43="Fragment Completion",7,IF(Q43="anagram solution",8,IF(Q43="Matching",9,IF(Q43="Problem Solving",10,"99"))))))))))</f>
        <v>4</v>
      </c>
      <c r="S43" s="60" t="s">
        <v>15</v>
      </c>
      <c r="T43" s="60" t="s">
        <v>261</v>
      </c>
      <c r="U43" s="60">
        <f>IF(T43="within",1,0)</f>
        <v>0</v>
      </c>
      <c r="V43" s="60">
        <v>130</v>
      </c>
      <c r="W43" s="60">
        <f>F43*V43</f>
        <v>50960</v>
      </c>
      <c r="X43" s="60">
        <v>9</v>
      </c>
      <c r="Y43" s="76">
        <f>AV42</f>
        <v>8567280</v>
      </c>
      <c r="Z43" s="60" t="s">
        <v>204</v>
      </c>
      <c r="AA43" s="60">
        <v>1513728000</v>
      </c>
      <c r="AB43" s="60" t="str">
        <f>IF(AA43&lt;60,"1",IF(AA43&lt;=43200,"2",IF(AA43&lt;=777600,"3","4")))</f>
        <v>4</v>
      </c>
      <c r="AC43" s="56">
        <f>AVERAGE(AV42:DA42)</f>
        <v>476868120</v>
      </c>
      <c r="AD43" s="60" t="str">
        <f>IF(AC43&lt;60,"1",IF(AC43&lt;=43200,"2",IF(AC43&lt;=777600,"3","4")))</f>
        <v>4</v>
      </c>
      <c r="AE43" s="76">
        <f>AA43-Y43</f>
        <v>1505160720</v>
      </c>
      <c r="AF43" s="80">
        <f>AV43</f>
        <v>0.91</v>
      </c>
      <c r="AG43" s="56">
        <f>((AW43-AV43)+(AX43-AW43)+(AY43-AX43)+(AZ43-AY43)+(BA43-AZ43)+(BB43-BA43)+(BC43-BB43)+(BD43-BC43))/8</f>
        <v>-1.7500000000000002E-2</v>
      </c>
      <c r="AH43" s="4"/>
      <c r="AI43" s="56">
        <f>RSQ(AV43:BD43,AV42:BD42)</f>
        <v>0.51345650455272251</v>
      </c>
      <c r="AJ43" s="109">
        <f>SLOPE(AV43:BD43,AV42:BD42)</f>
        <v>-1.0279103918610415E-10</v>
      </c>
      <c r="AK43" s="56">
        <f>INTERCEPT(AV43:BD43,AV42:BD42)</f>
        <v>0.89679554738730172</v>
      </c>
      <c r="AL43" s="56">
        <f>INDEX(LINEST(LN(AV43:BD43),LN(AV42:BD42),TRUE,TRUE),3,1)</f>
        <v>0.37062694328995588</v>
      </c>
      <c r="AM43" s="56">
        <f>INDEX(LINEST(LN(AV43:BD43),LN(AV42:BD42)),1)</f>
        <v>-3.1298120737212873E-2</v>
      </c>
      <c r="AN43" s="56">
        <f>EXP(INDEX(LINEST(LN(AV43:BD43),LN(AV42:BD42)),1,2))</f>
        <v>1.5316308133925172</v>
      </c>
      <c r="AO43" s="82">
        <f>INDEX(LINEST((AV43:BD43),LN(AV42:BD42),TRUE,TRUE),3,1)</f>
        <v>0.36315139009192043</v>
      </c>
      <c r="AP43" s="82">
        <f>INDEX(LINEST((AV43:BD43),LN(AV42:BD42)),1)</f>
        <v>-2.5971074519629943E-2</v>
      </c>
      <c r="AQ43" s="83">
        <f>INDEX(LINEST(LN(AV43:BD43),SQRT(AV42:BD42),TRUE,TRUE),3,1)</f>
        <v>0.48091679395508696</v>
      </c>
      <c r="AR43" s="116">
        <f>INDEX(LINEST(LN(AV43:BD43),SQRT((AV42:BD42))),1)</f>
        <v>-4.9385349133153751E-6</v>
      </c>
      <c r="AS43" s="84">
        <f>INDEX(LINEST(1/(AV43:BD43),1/(SQRT(AV42:BD42)),TRUE,TRUE),3,1)</f>
        <v>0.24791411691070406</v>
      </c>
      <c r="AT43" s="84">
        <f>INDEX(LINEST(1/(AV43:BD43),1/SQRT(AV42:BD42)),1)</f>
        <v>-522.33493148958496</v>
      </c>
      <c r="AU43" s="3"/>
      <c r="AV43" s="42">
        <v>0.91</v>
      </c>
      <c r="AW43" s="42">
        <v>0.91</v>
      </c>
      <c r="AX43" s="42">
        <v>0.79</v>
      </c>
      <c r="AY43" s="42">
        <v>0.93</v>
      </c>
      <c r="AZ43" s="46">
        <v>0.87</v>
      </c>
      <c r="BA43" s="42">
        <v>0.93</v>
      </c>
      <c r="BB43" s="42">
        <v>0.78</v>
      </c>
      <c r="BC43" s="2">
        <v>0.74</v>
      </c>
      <c r="BD43" s="2">
        <v>0.77</v>
      </c>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1"/>
      <c r="CS43" s="1"/>
      <c r="CT43" s="1"/>
      <c r="CU43" s="1"/>
    </row>
    <row r="44" spans="1:99" s="13" customFormat="1" ht="12" customHeight="1" x14ac:dyDescent="0.2">
      <c r="A44" s="65">
        <v>43509</v>
      </c>
      <c r="B44" s="1"/>
      <c r="C44" s="1"/>
      <c r="D44" s="60"/>
      <c r="E44" s="76"/>
      <c r="F44" s="60"/>
      <c r="G44" s="60"/>
      <c r="H44" s="60"/>
      <c r="I44" s="60"/>
      <c r="J44" s="60"/>
      <c r="K44" s="64"/>
      <c r="L44" s="64"/>
      <c r="M44" s="60"/>
      <c r="N44" s="60"/>
      <c r="O44" s="60"/>
      <c r="P44" s="60"/>
      <c r="Q44" s="60"/>
      <c r="R44" s="60"/>
      <c r="S44" s="60"/>
      <c r="T44" s="60"/>
      <c r="U44" s="60"/>
      <c r="V44" s="60"/>
      <c r="W44" s="60"/>
      <c r="X44" s="60"/>
      <c r="Y44" s="76"/>
      <c r="Z44" s="60"/>
      <c r="AA44" s="60"/>
      <c r="AB44" s="60"/>
      <c r="AC44" s="60"/>
      <c r="AD44" s="60"/>
      <c r="AE44" s="60"/>
      <c r="AF44" s="80"/>
      <c r="AG44" s="56"/>
      <c r="AH44" s="4"/>
      <c r="AI44" s="56"/>
      <c r="AJ44" s="109"/>
      <c r="AK44" s="56"/>
      <c r="AL44" s="56"/>
      <c r="AM44" s="56"/>
      <c r="AN44" s="56"/>
      <c r="AO44" s="56"/>
      <c r="AP44" s="56"/>
      <c r="AQ44" s="82"/>
      <c r="AR44" s="115"/>
      <c r="AS44" s="82"/>
      <c r="AT44" s="82"/>
      <c r="AU44" s="3"/>
      <c r="AV44" s="25">
        <f>365*24*60*60*3.26/12</f>
        <v>8567280</v>
      </c>
      <c r="AW44" s="25">
        <f>365*24*60*60*9.3/12</f>
        <v>24440400</v>
      </c>
      <c r="AX44" s="25">
        <f>365*24*60*60*23.18/12</f>
        <v>60917040</v>
      </c>
      <c r="AY44" s="25">
        <f>365*24*60*60*45.5/12</f>
        <v>119574000</v>
      </c>
      <c r="AZ44" s="25">
        <f>365*24*60*60*89.08/12</f>
        <v>234102240</v>
      </c>
      <c r="BA44" s="25">
        <f>365*24*60*60*173.56/12</f>
        <v>456115680</v>
      </c>
      <c r="BB44" s="25">
        <f>365*24*60*60*309.61/12</f>
        <v>813655080</v>
      </c>
      <c r="BC44" s="25">
        <f>365*24*60*60*408.89/12</f>
        <v>1074562920</v>
      </c>
      <c r="BD44" s="25">
        <f>365*24*60*60*570.73/12</f>
        <v>1499878440</v>
      </c>
      <c r="BE44" s="42"/>
      <c r="BF44" s="42"/>
      <c r="BG44" s="4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1"/>
      <c r="CS44" s="1"/>
      <c r="CT44" s="1"/>
      <c r="CU44" s="1"/>
    </row>
    <row r="45" spans="1:99" s="13" customFormat="1" ht="12" customHeight="1" x14ac:dyDescent="0.2">
      <c r="A45" s="65">
        <v>43509</v>
      </c>
      <c r="B45" s="1" t="s">
        <v>201</v>
      </c>
      <c r="C45" s="1" t="s">
        <v>202</v>
      </c>
      <c r="D45" s="60">
        <v>1975</v>
      </c>
      <c r="E45" s="76">
        <v>1</v>
      </c>
      <c r="F45" s="60">
        <v>392</v>
      </c>
      <c r="G45" s="60">
        <v>43.6</v>
      </c>
      <c r="H45" s="60" t="s">
        <v>227</v>
      </c>
      <c r="I45" s="60" t="s">
        <v>596</v>
      </c>
      <c r="J45" s="60" t="s">
        <v>313</v>
      </c>
      <c r="K45" s="60">
        <f>IF(J45="syllables",1,IF(J45="trigrams",2,IF(J45="strings",3,IF(J45="visual array",4,IF(J45="characters",5,IF(J45="letters",6,IF(J45="free forms",7,IF(J45="odors",8,IF(J45="words",9,IF(J45="pictures",10,IF(J45="object pictures",11,IF(J45="faces",12,IF(J45="names",13,IF(J45="idioms",14,IF(J45="grades",15,IF(J45="syllable-digit pairs",16,IF(J45="trigram-word pairs",17,IF(J45="word-digit pairs",18,IF(J45="English-Swahili pairs",19,IF(J45="spatial position",20,IF(J45="word pairs",21,IF(J45="word triads",22,IF(J45="generated words",23,IF(J45="word definition pairs",24,IF(J45="math problems",25,IF(J45="famous faces",26,IF(J45="famous names",27,IF(J45="famous voices",28,IF(J45="television programs",29,IF(J45="race horses",30,IF(J45="new vocabulary",31,IF(J45="sentences",32,IF(J45="concepts",33,IF(J45="ad slides",34,IF(J45="scenes",35,IF(J45="famous scenes",36,IF(J45="poems",37,IF(J45="walk",38,IF(J45="faces and events",39,IF(J45="events and names",40,IF(J45="flashbulb",41,IF(J45="stories",42,IF(J45="course material",43,IF(J45="autobiographical",44,IF(J45="novels",45,IF(J45="public events",46,"99"))))))))))))))))))))))))))))))))))))))))))))))</f>
        <v>10</v>
      </c>
      <c r="L45" s="60">
        <f>IF(J45="syllables",1,IF(J45="trigrams",1,IF(J45="strings",1,IF(J45="visual array",1,IF(J45="characters",1,IF(J45="letters",1,IF(J45="free forms",1,IF(J45="odors",2,IF(J45="words",2,IF(J45="pictures",2,IF(J45="object pictures",2,IF(J45="faces",2,IF(J45="names",2,IF(J45="idioms","2",IF(J45="grades",2,IF(J45="syllable-digit pairs",3,IF(J45="trigram-word pairs",3,IF(J45="word-digit pairs",3,IF(J45="English-Swahili pairs",3,IF(J45="spatial position",3,IF(J45="word pairs",4,IF(J45="word triads",4,IF(J45="generated words",4,IF(J45="word definition pairs",4,IF(J45="math problems",4,IF(J45="famous faces",4,IF(J45="famous names",4,IF(J45="famous voices",4,IF(J45="television programs",4,IF(J45="race horses",4,IF(J45="new vocabulary",4,IF(J45="sentences",5,IF(J45="concepts",5,IF(J45="ad slides",5,IF(J45="scenes",5,IF(J45="famous scenes",5,IF(J45="poems",6,IF(J45="walk",6,IF(J45="faces and events",6,IF(J45="events and names",6,IF(J45="flashbulb",7,IF(J45="stories",7,IF(J45="course material",7,IF(J45="autobiographical",7,IF(J45="novels",7,IF(J45="public events",7,"99"))))))))))))))))))))))))))))))))))))))))))))))</f>
        <v>2</v>
      </c>
      <c r="M45" s="60">
        <v>1</v>
      </c>
      <c r="N45" s="60">
        <v>2</v>
      </c>
      <c r="O45" s="60">
        <v>0</v>
      </c>
      <c r="P45" s="60"/>
      <c r="Q45" s="60" t="s">
        <v>182</v>
      </c>
      <c r="R45" s="60">
        <f>IF(Q45="Free Recall",1,IF(Q45="Cued Recall",2,IF(Q45="Recognition",3,IF(Q45="Multiple Choice",4,IF(Q45="Savings",5,IF(Q45="Stem Completion",6,IF(Q45="Fragment Completion",7,IF(Q45="anagram solution",8,IF(Q45="Matching",9,IF(Q45="Problem Solving",10,"99"))))))))))</f>
        <v>4</v>
      </c>
      <c r="S45" s="60" t="s">
        <v>15</v>
      </c>
      <c r="T45" s="60" t="s">
        <v>261</v>
      </c>
      <c r="U45" s="60">
        <f>IF(T45="within",1,0)</f>
        <v>0</v>
      </c>
      <c r="V45" s="60">
        <v>130</v>
      </c>
      <c r="W45" s="60">
        <f>F45*V45</f>
        <v>50960</v>
      </c>
      <c r="X45" s="60">
        <v>9</v>
      </c>
      <c r="Y45" s="76">
        <f>AV44</f>
        <v>8567280</v>
      </c>
      <c r="Z45" s="60" t="s">
        <v>204</v>
      </c>
      <c r="AA45" s="60">
        <v>1513728000</v>
      </c>
      <c r="AB45" s="60" t="str">
        <f>IF(AA45&lt;60,"1",IF(AA45&lt;=43200,"2",IF(AA45&lt;=777600,"3","4")))</f>
        <v>4</v>
      </c>
      <c r="AC45" s="56">
        <f>AVERAGE(AV44:DA44)</f>
        <v>476868120</v>
      </c>
      <c r="AD45" s="60" t="str">
        <f>IF(AC45&lt;60,"1",IF(AC45&lt;=43200,"2",IF(AC45&lt;=777600,"3","4")))</f>
        <v>4</v>
      </c>
      <c r="AE45" s="76">
        <f>AA45-Y45</f>
        <v>1505160720</v>
      </c>
      <c r="AF45" s="80">
        <f>AV45</f>
        <v>0.89</v>
      </c>
      <c r="AG45" s="56">
        <f>((AW45-AV45)+(AX45-AW45)+(AY45-AX45)+(AZ45-AY45)+(BA45-AZ45)+(BB45-BA45)+(BC45-BB45)+(BD45-BC45))/8</f>
        <v>-2.0000000000000004E-2</v>
      </c>
      <c r="AH45" s="4"/>
      <c r="AI45" s="56">
        <f>RSQ(AV45:BD45,AV44:BD44)</f>
        <v>0.17872924954501196</v>
      </c>
      <c r="AJ45" s="109">
        <f>SLOPE(AV45:BD45,AV44:BD44)</f>
        <v>-5.7923880387482679E-11</v>
      </c>
      <c r="AK45" s="56">
        <f>INTERCEPT(AV45:BD45,AV44:BD44)</f>
        <v>0.90762205194348378</v>
      </c>
      <c r="AL45" s="56">
        <f>INDEX(LINEST(LN(AV45:BD45),LN(AV44:BD44),TRUE,TRUE),3,1)</f>
        <v>2.9573196367683185E-2</v>
      </c>
      <c r="AM45" s="56">
        <f>INDEX(LINEST(LN(AV45:BD45),LN(AV44:BD44)),1)</f>
        <v>-8.5133962084087255E-3</v>
      </c>
      <c r="AN45" s="56">
        <f>EXP(INDEX(LINEST(LN(AV45:BD45),LN(AV44:BD44)),1,2))</f>
        <v>1.0311969596540929</v>
      </c>
      <c r="AO45" s="82">
        <f>INDEX(LINEST((AV45:BD45),LN(AV44:BD44),TRUE,TRUE),3,1)</f>
        <v>2.4930438345216931E-2</v>
      </c>
      <c r="AP45" s="82">
        <f>INDEX(LINEST((AV45:BD45),LN(AV44:BD44)),1)</f>
        <v>-6.4993125966708613E-3</v>
      </c>
      <c r="AQ45" s="83">
        <f>INDEX(LINEST(LN(AV45:BD45),SQRT(AV44:BD44),TRUE,TRUE),3,1)</f>
        <v>9.2442512592241302E-2</v>
      </c>
      <c r="AR45" s="116">
        <f>INDEX(LINEST(LN(AV45:BD45),SQRT((AV44:BD44))),1)</f>
        <v>-2.0849851774471761E-6</v>
      </c>
      <c r="AS45" s="84">
        <f>INDEX(LINEST(1/(AV45:BD45),1/(SQRT(AV44:BD44)),TRUE,TRUE),3,1)</f>
        <v>1.2454946694497135E-2</v>
      </c>
      <c r="AT45" s="84">
        <f>INDEX(LINEST(1/(AV45:BD45),1/SQRT(AV44:BD44)),1)</f>
        <v>-113.78381406681143</v>
      </c>
      <c r="AU45" s="3"/>
      <c r="AV45" s="42">
        <v>0.89</v>
      </c>
      <c r="AW45" s="42">
        <v>0.91</v>
      </c>
      <c r="AX45" s="42">
        <v>0.78</v>
      </c>
      <c r="AY45" s="42">
        <v>0.94</v>
      </c>
      <c r="AZ45" s="46">
        <v>0.92</v>
      </c>
      <c r="BA45" s="42">
        <v>0.92</v>
      </c>
      <c r="BB45" s="42">
        <v>0.93</v>
      </c>
      <c r="BC45" s="42">
        <v>0.9</v>
      </c>
      <c r="BD45" s="42">
        <v>0.73</v>
      </c>
      <c r="BE45" s="42"/>
      <c r="BF45" s="42"/>
      <c r="BG45" s="4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1"/>
      <c r="CS45" s="1"/>
      <c r="CT45" s="1"/>
      <c r="CU45" s="1"/>
    </row>
    <row r="46" spans="1:99" s="13" customFormat="1" ht="12" customHeight="1" x14ac:dyDescent="0.2">
      <c r="A46" s="65">
        <v>43509</v>
      </c>
      <c r="B46" s="1"/>
      <c r="C46" s="1"/>
      <c r="D46" s="60"/>
      <c r="E46" s="76"/>
      <c r="F46" s="60"/>
      <c r="G46" s="60"/>
      <c r="H46" s="60"/>
      <c r="I46" s="60"/>
      <c r="J46" s="60"/>
      <c r="K46" s="64"/>
      <c r="L46" s="64"/>
      <c r="M46" s="60"/>
      <c r="N46" s="60"/>
      <c r="O46" s="60"/>
      <c r="P46" s="60"/>
      <c r="Q46" s="60"/>
      <c r="R46" s="60"/>
      <c r="S46" s="60"/>
      <c r="T46" s="60"/>
      <c r="U46" s="60"/>
      <c r="V46" s="60"/>
      <c r="W46" s="60"/>
      <c r="X46" s="60"/>
      <c r="Y46" s="76"/>
      <c r="Z46" s="60"/>
      <c r="AA46" s="60"/>
      <c r="AB46" s="60"/>
      <c r="AC46" s="60"/>
      <c r="AD46" s="60"/>
      <c r="AE46" s="60"/>
      <c r="AF46" s="80"/>
      <c r="AG46" s="56"/>
      <c r="AH46" s="4"/>
      <c r="AI46" s="56"/>
      <c r="AJ46" s="109"/>
      <c r="AK46" s="56"/>
      <c r="AL46" s="56"/>
      <c r="AM46" s="56"/>
      <c r="AN46" s="56"/>
      <c r="AO46" s="56"/>
      <c r="AP46" s="56"/>
      <c r="AQ46" s="82"/>
      <c r="AR46" s="115"/>
      <c r="AS46" s="82"/>
      <c r="AT46" s="82"/>
      <c r="AU46" s="3"/>
      <c r="AV46" s="25">
        <f>365*24*60*60*3.26/12</f>
        <v>8567280</v>
      </c>
      <c r="AW46" s="25">
        <f>365*24*60*60*9.3/12</f>
        <v>24440400</v>
      </c>
      <c r="AX46" s="25">
        <f>365*24*60*60*23.18/12</f>
        <v>60917040</v>
      </c>
      <c r="AY46" s="25">
        <f>365*24*60*60*45.5/12</f>
        <v>119574000</v>
      </c>
      <c r="AZ46" s="25">
        <f>365*24*60*60*89.08/12</f>
        <v>234102240</v>
      </c>
      <c r="BA46" s="25">
        <f>365*24*60*60*173.56/12</f>
        <v>456115680</v>
      </c>
      <c r="BB46" s="25">
        <f>365*24*60*60*309.61/12</f>
        <v>813655080</v>
      </c>
      <c r="BC46" s="25">
        <f>365*24*60*60*408.89/12</f>
        <v>1074562920</v>
      </c>
      <c r="BD46" s="25">
        <f>365*24*60*60*570.73/12</f>
        <v>1499878440</v>
      </c>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1"/>
      <c r="CS46" s="1"/>
      <c r="CT46" s="1"/>
      <c r="CU46" s="1"/>
    </row>
    <row r="47" spans="1:99" s="13" customFormat="1" ht="12" customHeight="1" x14ac:dyDescent="0.2">
      <c r="A47" s="65">
        <v>43509</v>
      </c>
      <c r="B47" s="1" t="s">
        <v>201</v>
      </c>
      <c r="C47" s="1" t="s">
        <v>202</v>
      </c>
      <c r="D47" s="60">
        <v>1975</v>
      </c>
      <c r="E47" s="76">
        <v>1</v>
      </c>
      <c r="F47" s="60">
        <v>392</v>
      </c>
      <c r="G47" s="60">
        <v>43.6</v>
      </c>
      <c r="H47" s="60" t="s">
        <v>227</v>
      </c>
      <c r="I47" s="60" t="s">
        <v>597</v>
      </c>
      <c r="J47" s="60" t="s">
        <v>313</v>
      </c>
      <c r="K47" s="60">
        <f>IF(J47="syllables",1,IF(J47="trigrams",2,IF(J47="strings",3,IF(J47="visual array",4,IF(J47="characters",5,IF(J47="letters",6,IF(J47="free forms",7,IF(J47="odors",8,IF(J47="words",9,IF(J47="pictures",10,IF(J47="object pictures",11,IF(J47="faces",12,IF(J47="names",13,IF(J47="idioms",14,IF(J47="grades",15,IF(J47="syllable-digit pairs",16,IF(J47="trigram-word pairs",17,IF(J47="word-digit pairs",18,IF(J47="English-Swahili pairs",19,IF(J47="spatial position",20,IF(J47="word pairs",21,IF(J47="word triads",22,IF(J47="generated words",23,IF(J47="word definition pairs",24,IF(J47="math problems",25,IF(J47="famous faces",26,IF(J47="famous names",27,IF(J47="famous voices",28,IF(J47="television programs",29,IF(J47="race horses",30,IF(J47="new vocabulary",31,IF(J47="sentences",32,IF(J47="concepts",33,IF(J47="ad slides",34,IF(J47="scenes",35,IF(J47="famous scenes",36,IF(J47="poems",37,IF(J47="walk",38,IF(J47="faces and events",39,IF(J47="events and names",40,IF(J47="flashbulb",41,IF(J47="stories",42,IF(J47="course material",43,IF(J47="autobiographical",44,IF(J47="novels",45,IF(J47="public events",46,"99"))))))))))))))))))))))))))))))))))))))))))))))</f>
        <v>10</v>
      </c>
      <c r="L47" s="60">
        <f>IF(J47="syllables",1,IF(J47="trigrams",1,IF(J47="strings",1,IF(J47="visual array",1,IF(J47="characters",1,IF(J47="letters",1,IF(J47="free forms",1,IF(J47="odors",2,IF(J47="words",2,IF(J47="pictures",2,IF(J47="object pictures",2,IF(J47="faces",2,IF(J47="names",2,IF(J47="idioms","2",IF(J47="grades",2,IF(J47="syllable-digit pairs",3,IF(J47="trigram-word pairs",3,IF(J47="word-digit pairs",3,IF(J47="English-Swahili pairs",3,IF(J47="spatial position",3,IF(J47="word pairs",4,IF(J47="word triads",4,IF(J47="generated words",4,IF(J47="word definition pairs",4,IF(J47="math problems",4,IF(J47="famous faces",4,IF(J47="famous names",4,IF(J47="famous voices",4,IF(J47="television programs",4,IF(J47="race horses",4,IF(J47="new vocabulary",4,IF(J47="sentences",5,IF(J47="concepts",5,IF(J47="ad slides",5,IF(J47="scenes",5,IF(J47="famous scenes",5,IF(J47="poems",6,IF(J47="walk",6,IF(J47="faces and events",6,IF(J47="events and names",6,IF(J47="flashbulb",7,IF(J47="stories",7,IF(J47="course material",7,IF(J47="autobiographical",7,IF(J47="novels",7,IF(J47="public events",7,"99"))))))))))))))))))))))))))))))))))))))))))))))</f>
        <v>2</v>
      </c>
      <c r="M47" s="60">
        <v>1</v>
      </c>
      <c r="N47" s="60">
        <v>2</v>
      </c>
      <c r="O47" s="60">
        <v>0</v>
      </c>
      <c r="P47" s="60"/>
      <c r="Q47" s="60" t="s">
        <v>133</v>
      </c>
      <c r="R47" s="60">
        <f>IF(Q47="Free Recall",1,IF(Q47="Cued Recall",2,IF(Q47="Recognition",3,IF(Q47="Multiple Choice",4,IF(Q47="Savings",5,IF(Q47="Stem Completion",6,IF(Q47="Fragment Completion",7,IF(Q47="anagram solution",8,IF(Q47="Matching",9,IF(Q47="Problem Solving",10,"99"))))))))))</f>
        <v>9</v>
      </c>
      <c r="S47" s="60" t="s">
        <v>15</v>
      </c>
      <c r="T47" s="60" t="s">
        <v>261</v>
      </c>
      <c r="U47" s="60">
        <f>IF(T47="within",1,0)</f>
        <v>0</v>
      </c>
      <c r="V47" s="60">
        <v>5</v>
      </c>
      <c r="W47" s="60">
        <f>F47*V47</f>
        <v>1960</v>
      </c>
      <c r="X47" s="60">
        <v>9</v>
      </c>
      <c r="Y47" s="76">
        <f>AV46</f>
        <v>8567280</v>
      </c>
      <c r="Z47" s="60" t="s">
        <v>204</v>
      </c>
      <c r="AA47" s="60">
        <v>1513728000</v>
      </c>
      <c r="AB47" s="60" t="str">
        <f>IF(AA47&lt;60,"1",IF(AA47&lt;=43200,"2",IF(AA47&lt;=777600,"3","4")))</f>
        <v>4</v>
      </c>
      <c r="AC47" s="56">
        <f>AVERAGE(AV46:DA46)</f>
        <v>476868120</v>
      </c>
      <c r="AD47" s="60" t="str">
        <f>IF(AC47&lt;60,"1",IF(AC47&lt;=43200,"2",IF(AC47&lt;=777600,"3","4")))</f>
        <v>4</v>
      </c>
      <c r="AE47" s="76">
        <f>AA47-Y47</f>
        <v>1505160720</v>
      </c>
      <c r="AF47" s="80">
        <f>AV47</f>
        <v>0.88</v>
      </c>
      <c r="AG47" s="56">
        <f>((AW47-AV47)+(AX47-AW47)+(AY47-AX47)+(AZ47-AY47)+(BA47-AZ47)+(BB47-BA47)+(BC47-BB47)+(BD47-BC47))/8</f>
        <v>-2.3750000000000007E-2</v>
      </c>
      <c r="AH47" s="4"/>
      <c r="AI47" s="56">
        <f>RSQ(AV47:BD47,AV46:BD46)</f>
        <v>0.39173725515018781</v>
      </c>
      <c r="AJ47" s="109">
        <f>SLOPE(AV47:BD47,AV46:BD46)</f>
        <v>-8.8190274620311761E-11</v>
      </c>
      <c r="AK47" s="56">
        <f>INTERCEPT(AV47:BD47,AV46:BD46)</f>
        <v>0.90316624157158298</v>
      </c>
      <c r="AL47" s="56">
        <f>INDEX(LINEST(LN(AV47:BD47),LN(AV46:BD46),TRUE,TRUE),3,1)</f>
        <v>0.1625545445069948</v>
      </c>
      <c r="AM47" s="56">
        <f>INDEX(LINEST(LN(AV47:BD47),LN(AV46:BD46)),1)</f>
        <v>-2.101185512065248E-2</v>
      </c>
      <c r="AN47" s="56">
        <f>EXP(INDEX(LINEST(LN(AV47:BD47),LN(AV46:BD46)),1,2))</f>
        <v>1.2793447286659043</v>
      </c>
      <c r="AO47" s="82">
        <f>INDEX(LINEST((AV47:BD47),LN(AV46:BD46),TRUE,TRUE),3,1)</f>
        <v>0.15502060230550416</v>
      </c>
      <c r="AP47" s="82">
        <f>INDEX(LINEST((AV47:BD47),LN(AV46:BD46)),1)</f>
        <v>-1.6667121570380691E-2</v>
      </c>
      <c r="AQ47" s="83">
        <f>INDEX(LINEST(LN(AV47:BD47),SQRT(AV46:BD46),TRUE,TRUE),3,1)</f>
        <v>0.29382745662737797</v>
      </c>
      <c r="AR47" s="116">
        <f>INDEX(LINEST(LN(AV47:BD47),SQRT((AV46:BD46))),1)</f>
        <v>-3.9131312695514376E-6</v>
      </c>
      <c r="AS47" s="84">
        <f>INDEX(LINEST(1/(AV47:BD47),1/(SQRT(AV46:BD46)),TRUE,TRUE),3,1)</f>
        <v>7.3883489813693887E-2</v>
      </c>
      <c r="AT47" s="84">
        <f>INDEX(LINEST(1/(AV47:BD47),1/SQRT(AV46:BD46)),1)</f>
        <v>-300.68758420624727</v>
      </c>
      <c r="AU47" s="3"/>
      <c r="AV47" s="42">
        <v>0.88</v>
      </c>
      <c r="AW47" s="42">
        <v>0.9</v>
      </c>
      <c r="AX47" s="42">
        <v>0.82</v>
      </c>
      <c r="AY47" s="42">
        <v>0.97</v>
      </c>
      <c r="AZ47" s="46">
        <v>0.86</v>
      </c>
      <c r="BA47" s="42">
        <v>0.87</v>
      </c>
      <c r="BB47" s="42">
        <v>0.87</v>
      </c>
      <c r="BC47" s="2">
        <v>0.89</v>
      </c>
      <c r="BD47" s="2">
        <v>0.69</v>
      </c>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1"/>
      <c r="CS47" s="1"/>
      <c r="CT47" s="1"/>
      <c r="CU47" s="1"/>
    </row>
    <row r="48" spans="1:99" s="13" customFormat="1" ht="12" customHeight="1" x14ac:dyDescent="0.2">
      <c r="A48" s="65">
        <v>43509</v>
      </c>
      <c r="B48" s="1"/>
      <c r="C48" s="1"/>
      <c r="D48" s="60"/>
      <c r="E48" s="76"/>
      <c r="F48" s="60"/>
      <c r="G48" s="60"/>
      <c r="H48" s="60"/>
      <c r="I48" s="60"/>
      <c r="J48" s="60"/>
      <c r="K48" s="64"/>
      <c r="L48" s="64"/>
      <c r="M48" s="60"/>
      <c r="N48" s="60"/>
      <c r="O48" s="60"/>
      <c r="P48" s="60"/>
      <c r="Q48" s="60"/>
      <c r="R48" s="60"/>
      <c r="S48" s="60"/>
      <c r="T48" s="60"/>
      <c r="U48" s="60"/>
      <c r="V48" s="60"/>
      <c r="W48" s="60"/>
      <c r="X48" s="60"/>
      <c r="Y48" s="76"/>
      <c r="Z48" s="60"/>
      <c r="AA48" s="60"/>
      <c r="AB48" s="60"/>
      <c r="AC48" s="60"/>
      <c r="AD48" s="60"/>
      <c r="AE48" s="60"/>
      <c r="AF48" s="80"/>
      <c r="AG48" s="56"/>
      <c r="AH48" s="4"/>
      <c r="AI48" s="56"/>
      <c r="AJ48" s="109"/>
      <c r="AK48" s="56"/>
      <c r="AL48" s="56"/>
      <c r="AM48" s="56"/>
      <c r="AN48" s="56"/>
      <c r="AO48" s="56"/>
      <c r="AP48" s="56"/>
      <c r="AQ48" s="82"/>
      <c r="AR48" s="115"/>
      <c r="AS48" s="82"/>
      <c r="AT48" s="82"/>
      <c r="AU48" s="3"/>
      <c r="AV48" s="25">
        <f>365*24*60*60*3.26/12</f>
        <v>8567280</v>
      </c>
      <c r="AW48" s="25">
        <f>365*24*60*60*9.3/12</f>
        <v>24440400</v>
      </c>
      <c r="AX48" s="25">
        <f>365*24*60*60*23.18/12</f>
        <v>60917040</v>
      </c>
      <c r="AY48" s="25">
        <f>365*24*60*60*45.5/12</f>
        <v>119574000</v>
      </c>
      <c r="AZ48" s="25">
        <f>365*24*60*60*89.08/12</f>
        <v>234102240</v>
      </c>
      <c r="BA48" s="25">
        <f>365*24*60*60*173.56/12</f>
        <v>456115680</v>
      </c>
      <c r="BB48" s="25">
        <f>365*24*60*60*309.61/12</f>
        <v>813655080</v>
      </c>
      <c r="BC48" s="25">
        <f>365*24*60*60*408.89/12</f>
        <v>1074562920</v>
      </c>
      <c r="BD48" s="25">
        <f>365*24*60*60*570.73/12</f>
        <v>1499878440</v>
      </c>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1"/>
      <c r="CS48" s="1"/>
      <c r="CT48" s="1"/>
      <c r="CU48" s="1"/>
    </row>
    <row r="49" spans="1:99" s="13" customFormat="1" ht="12" customHeight="1" x14ac:dyDescent="0.2">
      <c r="A49" s="65">
        <v>43509</v>
      </c>
      <c r="B49" s="1" t="s">
        <v>201</v>
      </c>
      <c r="C49" s="1" t="s">
        <v>202</v>
      </c>
      <c r="D49" s="60">
        <v>1975</v>
      </c>
      <c r="E49" s="76">
        <v>1</v>
      </c>
      <c r="F49" s="60">
        <v>392</v>
      </c>
      <c r="G49" s="60">
        <v>43.6</v>
      </c>
      <c r="H49" s="60" t="s">
        <v>227</v>
      </c>
      <c r="I49" s="60" t="s">
        <v>594</v>
      </c>
      <c r="J49" s="60" t="s">
        <v>599</v>
      </c>
      <c r="K49" s="60">
        <f>IF(J49="syllables",1,IF(J49="trigrams",2,IF(J49="strings",3,IF(J49="visual array",4,IF(J49="characters",5,IF(J49="letters",6,IF(J49="free forms",7,IF(J49="odors",8,IF(J49="words",9,IF(J49="pictures",10,IF(J49="object pictures",11,IF(J49="faces",12,IF(J49="names",13,IF(J49="idioms",14,IF(J49="grades",15,IF(J49="syllable-digit pairs",16,IF(J49="trigram-word pairs",17,IF(J49="word-digit pairs",18,IF(J49="English-Swahili pairs",19,IF(J49="spatial position",20,IF(J49="word pairs",21,IF(J49="word triads",22,IF(J49="generated words",23,IF(J49="word definition pairs",24,IF(J49="math problems",25,IF(J49="famous faces",26,IF(J49="famous names",27,IF(J49="famous voices",28,IF(J49="television programs",29,IF(J49="race horses",30,IF(J49="new vocabulary",31,IF(J49="sentences",32,IF(J49="concepts",33,IF(J49="ad slides",34,IF(J49="scenes",35,IF(J49="famous scenes",36,IF(J49="poems",37,IF(J49="walk",38,IF(J49="faces and events",39,IF(J49="events and names",40,IF(J49="flashbulb",41,IF(J49="stories",42,IF(J49="course material",43,IF(J49="autobiographical",44,IF(J49="novels",45,IF(J49="public events",46,"99"))))))))))))))))))))))))))))))))))))))))))))))</f>
        <v>13</v>
      </c>
      <c r="L49" s="60">
        <f>IF(J49="syllables",1,IF(J49="trigrams",1,IF(J49="strings",1,IF(J49="visual array",1,IF(J49="characters",1,IF(J49="letters",1,IF(J49="free forms",1,IF(J49="odors",2,IF(J49="words",2,IF(J49="pictures",2,IF(J49="object pictures",2,IF(J49="faces",2,IF(J49="names",2,IF(J49="idioms","2",IF(J49="grades",2,IF(J49="syllable-digit pairs",3,IF(J49="trigram-word pairs",3,IF(J49="word-digit pairs",3,IF(J49="English-Swahili pairs",3,IF(J49="spatial position",3,IF(J49="word pairs",4,IF(J49="word triads",4,IF(J49="generated words",4,IF(J49="word definition pairs",4,IF(J49="math problems",4,IF(J49="famous faces",4,IF(J49="famous names",4,IF(J49="famous voices",4,IF(J49="television programs",4,IF(J49="race horses",4,IF(J49="new vocabulary",4,IF(J49="sentences",5,IF(J49="concepts",5,IF(J49="ad slides",5,IF(J49="scenes",5,IF(J49="famous scenes",5,IF(J49="poems",6,IF(J49="walk",6,IF(J49="faces and events",6,IF(J49="events and names",6,IF(J49="flashbulb",7,IF(J49="stories",7,IF(J49="course material",7,IF(J49="autobiographical",7,IF(J49="novels",7,IF(J49="public events",7,"99"))))))))))))))))))))))))))))))))))))))))))))))</f>
        <v>2</v>
      </c>
      <c r="M49" s="60">
        <v>1</v>
      </c>
      <c r="N49" s="60">
        <v>2</v>
      </c>
      <c r="O49" s="60">
        <v>0</v>
      </c>
      <c r="P49" s="60"/>
      <c r="Q49" s="60" t="s">
        <v>133</v>
      </c>
      <c r="R49" s="60">
        <f>IF(Q49="Free Recall",1,IF(Q49="Cued Recall",2,IF(Q49="Recognition",3,IF(Q49="Multiple Choice",4,IF(Q49="Savings",5,IF(Q49="Stem Completion",6,IF(Q49="Fragment Completion",7,IF(Q49="anagram solution",8,IF(Q49="Matching",9,IF(Q49="Problem Solving",10,"99"))))))))))</f>
        <v>9</v>
      </c>
      <c r="S49" s="60" t="s">
        <v>15</v>
      </c>
      <c r="T49" s="60" t="s">
        <v>261</v>
      </c>
      <c r="U49" s="60">
        <f>IF(T49="within",1,0)</f>
        <v>0</v>
      </c>
      <c r="V49" s="60">
        <v>10</v>
      </c>
      <c r="W49" s="60">
        <f>F49*V49</f>
        <v>3920</v>
      </c>
      <c r="X49" s="60">
        <v>9</v>
      </c>
      <c r="Y49" s="76">
        <f>AV48</f>
        <v>8567280</v>
      </c>
      <c r="Z49" s="60" t="s">
        <v>204</v>
      </c>
      <c r="AA49" s="60">
        <v>1513728000</v>
      </c>
      <c r="AB49" s="60" t="str">
        <f>IF(AA49&lt;60,"1",IF(AA49&lt;=43200,"2",IF(AA49&lt;=777600,"3","4")))</f>
        <v>4</v>
      </c>
      <c r="AC49" s="56">
        <f>AVERAGE(AV48:DA48)</f>
        <v>476868120</v>
      </c>
      <c r="AD49" s="60" t="str">
        <f>IF(AC49&lt;60,"1",IF(AC49&lt;=43200,"2",IF(AC49&lt;=777600,"3","4")))</f>
        <v>4</v>
      </c>
      <c r="AE49" s="76">
        <f>AA49-Y49</f>
        <v>1505160720</v>
      </c>
      <c r="AF49" s="80">
        <f>AV49</f>
        <v>0.9</v>
      </c>
      <c r="AG49" s="56">
        <f>((AW49-AV49)+(AX49-AW49)+(AY49-AX49)+(AZ49-AY49)+(BA49-AZ49)+(BB49-BA49)+(BC49-BB49)+(BD49-BC49))/8</f>
        <v>-3.8750000000000007E-2</v>
      </c>
      <c r="AH49" s="4"/>
      <c r="AI49" s="56">
        <f>RSQ(AV49:BD49,AV48:BD48)</f>
        <v>0.89704057102656654</v>
      </c>
      <c r="AJ49" s="109">
        <f>SLOPE(AV49:BD49,AV48:BD48)</f>
        <v>-2.0518040336869323E-10</v>
      </c>
      <c r="AK49" s="56">
        <f>INTERCEPT(AV49:BD49,AV48:BD48)</f>
        <v>0.93784399321527034</v>
      </c>
      <c r="AL49" s="56">
        <f>INDEX(LINEST(LN(AV49:BD49),LN(AV48:BD48),TRUE,TRUE),3,1)</f>
        <v>0.5254836652462358</v>
      </c>
      <c r="AM49" s="56">
        <f>INDEX(LINEST(LN(AV49:BD49),LN(AV48:BD48)),1)</f>
        <v>-6.1910155377298333E-2</v>
      </c>
      <c r="AN49" s="56">
        <f>EXP(INDEX(LINEST(LN(AV49:BD49),LN(AV48:BD48)),1,2))</f>
        <v>2.7001343201081487</v>
      </c>
      <c r="AO49" s="82">
        <f>INDEX(LINEST((AV49:BD49),LN(AV48:BD48),TRUE,TRUE),3,1)</f>
        <v>0.55521723255639721</v>
      </c>
      <c r="AP49" s="82">
        <f>INDEX(LINEST((AV49:BD49),LN(AV48:BD48)),1)</f>
        <v>-4.8495779147293652E-2</v>
      </c>
      <c r="AQ49" s="83">
        <f>INDEX(LINEST(LN(AV49:BD49),SQRT(AV48:BD48),TRUE,TRUE),3,1)</f>
        <v>0.76201027511983987</v>
      </c>
      <c r="AR49" s="116">
        <f>INDEX(LINEST(LN(AV49:BD49),SQRT((AV48:BD48))),1)</f>
        <v>-1.0327045408208397E-5</v>
      </c>
      <c r="AS49" s="84">
        <f>INDEX(LINEST(1/(AV49:BD49),1/(SQRT(AV48:BD48)),TRUE,TRUE),3,1)</f>
        <v>0.24923498853250242</v>
      </c>
      <c r="AT49" s="84">
        <f>INDEX(LINEST(1/(AV49:BD49),1/SQRT(AV48:BD48)),1)</f>
        <v>-974.43582402973823</v>
      </c>
      <c r="AU49" s="3"/>
      <c r="AV49" s="42">
        <v>0.9</v>
      </c>
      <c r="AW49" s="42">
        <v>0.96</v>
      </c>
      <c r="AX49" s="42">
        <v>0.9</v>
      </c>
      <c r="AY49" s="42">
        <v>0.92</v>
      </c>
      <c r="AZ49" s="46">
        <v>0.85</v>
      </c>
      <c r="BA49" s="42">
        <v>0.91</v>
      </c>
      <c r="BB49" s="42">
        <v>0.79</v>
      </c>
      <c r="BC49" s="2">
        <v>0.74</v>
      </c>
      <c r="BD49" s="2">
        <v>0.59</v>
      </c>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1"/>
      <c r="CS49" s="1"/>
      <c r="CT49" s="1"/>
      <c r="CU49" s="1"/>
    </row>
    <row r="50" spans="1:99" s="13" customFormat="1" ht="12" customHeight="1" x14ac:dyDescent="0.2">
      <c r="A50" s="65">
        <v>43509</v>
      </c>
      <c r="B50" s="1"/>
      <c r="C50" s="1"/>
      <c r="D50" s="60"/>
      <c r="E50" s="76"/>
      <c r="F50" s="60"/>
      <c r="G50" s="60"/>
      <c r="H50" s="60"/>
      <c r="I50" s="60"/>
      <c r="J50" s="60"/>
      <c r="K50" s="64"/>
      <c r="L50" s="64"/>
      <c r="M50" s="60"/>
      <c r="N50" s="60"/>
      <c r="O50" s="60"/>
      <c r="P50" s="60"/>
      <c r="Q50" s="60"/>
      <c r="R50" s="60"/>
      <c r="S50" s="60"/>
      <c r="T50" s="60"/>
      <c r="U50" s="60"/>
      <c r="V50" s="60"/>
      <c r="W50" s="60"/>
      <c r="X50" s="60"/>
      <c r="Y50" s="76"/>
      <c r="Z50" s="60"/>
      <c r="AA50" s="60"/>
      <c r="AB50" s="60"/>
      <c r="AC50" s="60"/>
      <c r="AD50" s="60"/>
      <c r="AE50" s="60"/>
      <c r="AF50" s="80"/>
      <c r="AG50" s="56"/>
      <c r="AH50" s="4"/>
      <c r="AI50" s="56"/>
      <c r="AJ50" s="109"/>
      <c r="AK50" s="56"/>
      <c r="AL50" s="56"/>
      <c r="AM50" s="56"/>
      <c r="AN50" s="56"/>
      <c r="AO50" s="56"/>
      <c r="AP50" s="56"/>
      <c r="AQ50" s="82"/>
      <c r="AR50" s="115"/>
      <c r="AS50" s="82"/>
      <c r="AT50" s="82"/>
      <c r="AU50" s="3"/>
      <c r="AV50" s="25">
        <f>365*24*60*60*3.26/12</f>
        <v>8567280</v>
      </c>
      <c r="AW50" s="25">
        <f>365*24*60*60*9.3/12</f>
        <v>24440400</v>
      </c>
      <c r="AX50" s="25">
        <f>365*24*60*60*23.18/12</f>
        <v>60917040</v>
      </c>
      <c r="AY50" s="25">
        <f>365*24*60*60*45.5/12</f>
        <v>119574000</v>
      </c>
      <c r="AZ50" s="25">
        <f>365*24*60*60*89.08/12</f>
        <v>234102240</v>
      </c>
      <c r="BA50" s="25">
        <f>365*24*60*60*173.56/12</f>
        <v>456115680</v>
      </c>
      <c r="BB50" s="25">
        <f>365*24*60*60*309.61/12</f>
        <v>813655080</v>
      </c>
      <c r="BC50" s="25">
        <f>365*24*60*60*408.89/12</f>
        <v>1074562920</v>
      </c>
      <c r="BD50" s="25">
        <f>365*24*60*60*570.73/12</f>
        <v>1499878440</v>
      </c>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1"/>
      <c r="CS50" s="1"/>
      <c r="CT50" s="1"/>
      <c r="CU50" s="1"/>
    </row>
    <row r="51" spans="1:99" s="13" customFormat="1" ht="12" customHeight="1" x14ac:dyDescent="0.2">
      <c r="A51" s="65">
        <v>43509</v>
      </c>
      <c r="B51" s="1" t="s">
        <v>201</v>
      </c>
      <c r="C51" s="1" t="s">
        <v>202</v>
      </c>
      <c r="D51" s="60">
        <v>1975</v>
      </c>
      <c r="E51" s="76">
        <v>1</v>
      </c>
      <c r="F51" s="60">
        <v>392</v>
      </c>
      <c r="G51" s="60">
        <v>43.6</v>
      </c>
      <c r="H51" s="60" t="s">
        <v>227</v>
      </c>
      <c r="I51" s="60" t="s">
        <v>598</v>
      </c>
      <c r="J51" s="60" t="s">
        <v>313</v>
      </c>
      <c r="K51" s="60">
        <f>IF(J51="syllables",1,IF(J51="trigrams",2,IF(J51="strings",3,IF(J51="visual array",4,IF(J51="characters",5,IF(J51="letters",6,IF(J51="free forms",7,IF(J51="odors",8,IF(J51="words",9,IF(J51="pictures",10,IF(J51="object pictures",11,IF(J51="faces",12,IF(J51="names",13,IF(J51="idioms",14,IF(J51="grades",15,IF(J51="syllable-digit pairs",16,IF(J51="trigram-word pairs",17,IF(J51="word-digit pairs",18,IF(J51="English-Swahili pairs",19,IF(J51="spatial position",20,IF(J51="word pairs",21,IF(J51="word triads",22,IF(J51="generated words",23,IF(J51="word definition pairs",24,IF(J51="math problems",25,IF(J51="famous faces",26,IF(J51="famous names",27,IF(J51="famous voices",28,IF(J51="television programs",29,IF(J51="race horses",30,IF(J51="new vocabulary",31,IF(J51="sentences",32,IF(J51="concepts",33,IF(J51="ad slides",34,IF(J51="scenes",35,IF(J51="famous scenes",36,IF(J51="poems",37,IF(J51="walk",38,IF(J51="faces and events",39,IF(J51="events and names",40,IF(J51="flashbulb",41,IF(J51="stories",42,IF(J51="course material",43,IF(J51="autobiographical",44,IF(J51="novels",45,IF(J51="public events",46,"99"))))))))))))))))))))))))))))))))))))))))))))))</f>
        <v>10</v>
      </c>
      <c r="L51" s="60">
        <f>IF(J51="syllables",1,IF(J51="trigrams",1,IF(J51="strings",1,IF(J51="visual array",1,IF(J51="characters",1,IF(J51="letters",1,IF(J51="free forms",1,IF(J51="odors",2,IF(J51="words",2,IF(J51="pictures",2,IF(J51="object pictures",2,IF(J51="faces",2,IF(J51="names",2,IF(J51="idioms","2",IF(J51="grades",2,IF(J51="syllable-digit pairs",3,IF(J51="trigram-word pairs",3,IF(J51="word-digit pairs",3,IF(J51="English-Swahili pairs",3,IF(J51="spatial position",3,IF(J51="word pairs",4,IF(J51="word triads",4,IF(J51="generated words",4,IF(J51="word definition pairs",4,IF(J51="math problems",4,IF(J51="famous faces",4,IF(J51="famous names",4,IF(J51="famous voices",4,IF(J51="television programs",4,IF(J51="race horses",4,IF(J51="new vocabulary",4,IF(J51="sentences",5,IF(J51="concepts",5,IF(J51="ad slides",5,IF(J51="scenes",5,IF(J51="famous scenes",5,IF(J51="poems",6,IF(J51="walk",6,IF(J51="faces and events",6,IF(J51="events and names",6,IF(J51="flashbulb",7,IF(J51="stories",7,IF(J51="course material",7,IF(J51="autobiographical",7,IF(J51="novels",7,IF(J51="public events",7,"99"))))))))))))))))))))))))))))))))))))))))))))))</f>
        <v>2</v>
      </c>
      <c r="M51" s="60">
        <v>1</v>
      </c>
      <c r="N51" s="60">
        <v>2</v>
      </c>
      <c r="O51" s="60">
        <v>0</v>
      </c>
      <c r="P51" s="60"/>
      <c r="Q51" s="59" t="s">
        <v>65</v>
      </c>
      <c r="R51" s="60">
        <f>IF(Q51="Free Recall",1,IF(Q51="Cued Recall",2,IF(Q51="Recognition",3,IF(Q51="Multiple Choice",4,IF(Q51="Savings",5,IF(Q51="Stem Completion",6,IF(Q51="Fragment Completion",7,IF(Q51="anagram solution",8,IF(Q51="Matching",9,IF(Q51="Problem Solving",10,"99"))))))))))</f>
        <v>2</v>
      </c>
      <c r="S51" s="60" t="s">
        <v>20</v>
      </c>
      <c r="T51" s="60" t="s">
        <v>261</v>
      </c>
      <c r="U51" s="60">
        <f>IF(T51="within",1,0)</f>
        <v>0</v>
      </c>
      <c r="V51" s="60">
        <v>10</v>
      </c>
      <c r="W51" s="60">
        <f>F51*V51</f>
        <v>3920</v>
      </c>
      <c r="X51" s="60">
        <v>9</v>
      </c>
      <c r="Y51" s="76">
        <f>AV50</f>
        <v>8567280</v>
      </c>
      <c r="Z51" s="60" t="s">
        <v>204</v>
      </c>
      <c r="AA51" s="60">
        <v>1513728000</v>
      </c>
      <c r="AB51" s="60" t="str">
        <f>IF(AA51&lt;60,"1",IF(AA51&lt;=43200,"2",IF(AA51&lt;=777600,"3","4")))</f>
        <v>4</v>
      </c>
      <c r="AC51" s="56">
        <f>AVERAGE(AV50:DA50)</f>
        <v>476868120</v>
      </c>
      <c r="AD51" s="60" t="str">
        <f>IF(AC51&lt;60,"1",IF(AC51&lt;=43200,"2",IF(AC51&lt;=777600,"3","4")))</f>
        <v>4</v>
      </c>
      <c r="AE51" s="76">
        <f>AA51-Y51</f>
        <v>1505160720</v>
      </c>
      <c r="AF51" s="80">
        <f>AV51</f>
        <v>0.68</v>
      </c>
      <c r="AG51" s="56">
        <f>((AW51-AV51)+(AX51-AW51)+(AY51-AX51)+(AZ51-AY51)+(BA51-AZ51)+(BB51-BA51)+(BC51-BB51)+(BD51-BC51))/8</f>
        <v>-6.25E-2</v>
      </c>
      <c r="AH51" s="4"/>
      <c r="AI51" s="56">
        <f>RSQ(AV51:BD51,AV50:BD50)</f>
        <v>0.4828856041031685</v>
      </c>
      <c r="AJ51" s="109">
        <f>SLOPE(AV51:BD51,AV50:BD50)</f>
        <v>-2.0298394304099969E-10</v>
      </c>
      <c r="AK51" s="56">
        <f>INTERCEPT(AV51:BD51,AV50:BD50)</f>
        <v>0.58901879353037079</v>
      </c>
      <c r="AL51" s="56">
        <f>INDEX(LINEST(LN(AV51:BD51),LN(AV50:BD50),TRUE,TRUE),3,1)</f>
        <v>0.32657819428049367</v>
      </c>
      <c r="AM51" s="56">
        <f>INDEX(LINEST(LN(AV51:BD51),LN(AV50:BD50)),1)</f>
        <v>-0.13119101181828052</v>
      </c>
      <c r="AN51" s="56">
        <f>EXP(INDEX(LINEST(LN(AV51:BD51),LN(AV50:BD50)),1,2))</f>
        <v>5.6054800961255076</v>
      </c>
      <c r="AO51" s="82">
        <f>INDEX(LINEST((AV51:BD51),LN(AV50:BD50),TRUE,TRUE),3,1)</f>
        <v>0.38310211910932651</v>
      </c>
      <c r="AP51" s="82">
        <f>INDEX(LINEST((AV51:BD51),LN(AV50:BD50)),1)</f>
        <v>-5.431746194827871E-2</v>
      </c>
      <c r="AQ51" s="83">
        <f>INDEX(LINEST(LN(AV51:BD51),SQRT(AV50:BD50),TRUE,TRUE),3,1)</f>
        <v>0.42625862691096617</v>
      </c>
      <c r="AR51" s="116">
        <f>INDEX(LINEST(LN(AV51:BD51),SQRT((AV50:BD50))),1)</f>
        <v>-2.0761583283413699E-5</v>
      </c>
      <c r="AS51" s="84">
        <f>INDEX(LINEST(1/(AV51:BD51),1/(SQRT(AV50:BD50)),TRUE,TRUE),3,1)</f>
        <v>0.16929334276131006</v>
      </c>
      <c r="AT51" s="84">
        <f>INDEX(LINEST(1/(AV51:BD51),1/SQRT(AV50:BD50)),1)</f>
        <v>-4988.6667216331871</v>
      </c>
      <c r="AU51" s="3"/>
      <c r="AV51" s="42">
        <v>0.68</v>
      </c>
      <c r="AW51" s="42">
        <v>0.59</v>
      </c>
      <c r="AX51" s="42">
        <v>0.36</v>
      </c>
      <c r="AY51" s="42">
        <v>0.64</v>
      </c>
      <c r="AZ51" s="46">
        <v>0.56999999999999995</v>
      </c>
      <c r="BA51" s="42">
        <v>0.41</v>
      </c>
      <c r="BB51" s="42">
        <v>0.53</v>
      </c>
      <c r="BC51" s="2">
        <v>0.47</v>
      </c>
      <c r="BD51" s="2">
        <v>0.18</v>
      </c>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1"/>
      <c r="CS51" s="1"/>
      <c r="CT51" s="1"/>
      <c r="CU51" s="1"/>
    </row>
    <row r="52" spans="1:99" s="13" customFormat="1" ht="12" customHeight="1" x14ac:dyDescent="0.2">
      <c r="A52" s="68">
        <v>43509</v>
      </c>
      <c r="B52" s="70"/>
      <c r="C52" s="70"/>
      <c r="D52" s="69"/>
      <c r="E52" s="87"/>
      <c r="F52" s="69"/>
      <c r="G52" s="69"/>
      <c r="H52" s="69"/>
      <c r="I52" s="69"/>
      <c r="J52" s="69"/>
      <c r="K52" s="107"/>
      <c r="L52" s="107"/>
      <c r="M52" s="69"/>
      <c r="N52" s="69"/>
      <c r="O52" s="69"/>
      <c r="P52" s="69"/>
      <c r="Q52" s="69"/>
      <c r="R52" s="69"/>
      <c r="S52" s="69"/>
      <c r="T52" s="69"/>
      <c r="U52" s="69"/>
      <c r="V52" s="69"/>
      <c r="W52" s="69"/>
      <c r="X52" s="69"/>
      <c r="Y52" s="87"/>
      <c r="Z52" s="69"/>
      <c r="AA52" s="69"/>
      <c r="AB52" s="69"/>
      <c r="AC52" s="69"/>
      <c r="AD52" s="69"/>
      <c r="AE52" s="69"/>
      <c r="AF52" s="88"/>
      <c r="AG52" s="72"/>
      <c r="AH52" s="4"/>
      <c r="AI52" s="72"/>
      <c r="AJ52" s="110"/>
      <c r="AK52" s="72"/>
      <c r="AL52" s="72"/>
      <c r="AM52" s="72"/>
      <c r="AN52" s="72"/>
      <c r="AO52" s="72"/>
      <c r="AP52" s="72"/>
      <c r="AQ52" s="89"/>
      <c r="AR52" s="118"/>
      <c r="AS52" s="89"/>
      <c r="AT52" s="89"/>
      <c r="AU52" s="3"/>
      <c r="AV52" s="71">
        <f>24*60*60</f>
        <v>86400</v>
      </c>
      <c r="AW52" s="71">
        <f>365*24*60*60*14/12</f>
        <v>36792000</v>
      </c>
      <c r="AX52" s="71">
        <f>365*24*60*60*44/12</f>
        <v>115632000</v>
      </c>
      <c r="AY52" s="71">
        <f>365*24*60*60*76/12</f>
        <v>199728000</v>
      </c>
      <c r="AZ52" s="71">
        <f>365*24*60*60*126/12</f>
        <v>331128000</v>
      </c>
      <c r="BA52" s="71">
        <f>365*24*60*60*179/12</f>
        <v>470412000</v>
      </c>
      <c r="BB52" s="71">
        <f>365*24*60*60*249/12</f>
        <v>654372000</v>
      </c>
      <c r="BC52" s="71">
        <f>365*24*60*60*341/12</f>
        <v>896148000</v>
      </c>
      <c r="BD52" s="71">
        <f>365*24*60*60*556/12</f>
        <v>1461168000</v>
      </c>
      <c r="BE52" s="2"/>
      <c r="BF52" s="51" t="s">
        <v>506</v>
      </c>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1"/>
      <c r="CS52" s="1"/>
      <c r="CT52" s="1"/>
      <c r="CU52" s="1"/>
    </row>
    <row r="53" spans="1:99" s="13" customFormat="1" ht="12" customHeight="1" x14ac:dyDescent="0.2">
      <c r="A53" s="68">
        <v>43509</v>
      </c>
      <c r="B53" s="70" t="s">
        <v>205</v>
      </c>
      <c r="C53" s="70" t="s">
        <v>206</v>
      </c>
      <c r="D53" s="69">
        <v>1983</v>
      </c>
      <c r="E53" s="87">
        <v>1</v>
      </c>
      <c r="F53" s="69">
        <v>851</v>
      </c>
      <c r="G53" s="69">
        <v>106.4</v>
      </c>
      <c r="H53" s="69" t="s">
        <v>44</v>
      </c>
      <c r="I53" s="69" t="s">
        <v>600</v>
      </c>
      <c r="J53" s="69" t="s">
        <v>599</v>
      </c>
      <c r="K53" s="69">
        <f>IF(J53="syllables",1,IF(J53="trigrams",2,IF(J53="strings",3,IF(J53="visual array",4,IF(J53="characters",5,IF(J53="letters",6,IF(J53="free forms",7,IF(J53="odors",8,IF(J53="words",9,IF(J53="pictures",10,IF(J53="object pictures",11,IF(J53="faces",12,IF(J53="names",13,IF(J53="idioms",14,IF(J53="grades",15,IF(J53="syllable-digit pairs",16,IF(J53="trigram-word pairs",17,IF(J53="word-digit pairs",18,IF(J53="English-Swahili pairs",19,IF(J53="spatial position",20,IF(J53="word pairs",21,IF(J53="word triads",22,IF(J53="generated words",23,IF(J53="word definition pairs",24,IF(J53="math problems",25,IF(J53="famous faces",26,IF(J53="famous names",27,IF(J53="famous voices",28,IF(J53="television programs",29,IF(J53="race horses",30,IF(J53="new vocabulary",31,IF(J53="sentences",32,IF(J53="concepts",33,IF(J53="ad slides",34,IF(J53="scenes",35,IF(J53="famous scenes",36,IF(J53="poems",37,IF(J53="walk",38,IF(J53="faces and events",39,IF(J53="events and names",40,IF(J53="flashbulb",41,IF(J53="stories",42,IF(J53="course material",43,IF(J53="autobiographical",44,IF(J53="novels",45,IF(J53="public events",46,"99"))))))))))))))))))))))))))))))))))))))))))))))</f>
        <v>13</v>
      </c>
      <c r="L53" s="69">
        <f>IF(J53="syllables",1,IF(J53="trigrams",1,IF(J53="strings",1,IF(J53="visual array",1,IF(J53="characters",1,IF(J53="letters",1,IF(J53="free forms",1,IF(J53="odors",2,IF(J53="words",2,IF(J53="pictures",2,IF(J53="object pictures",2,IF(J53="faces",2,IF(J53="names",2,IF(J53="idioms","2",IF(J53="grades",2,IF(J53="syllable-digit pairs",3,IF(J53="trigram-word pairs",3,IF(J53="word-digit pairs",3,IF(J53="English-Swahili pairs",3,IF(J53="spatial position",3,IF(J53="word pairs",4,IF(J53="word triads",4,IF(J53="generated words",4,IF(J53="word definition pairs",4,IF(J53="math problems",4,IF(J53="famous faces",4,IF(J53="famous names",4,IF(J53="famous voices",4,IF(J53="television programs",4,IF(J53="race horses",4,IF(J53="new vocabulary",4,IF(J53="sentences",5,IF(J53="concepts",5,IF(J53="ad slides",5,IF(J53="scenes",5,IF(J53="famous scenes",5,IF(J53="poems",6,IF(J53="walk",6,IF(J53="faces and events",6,IF(J53="events and names",6,IF(J53="flashbulb",7,IF(J53="stories",7,IF(J53="course material",7,IF(J53="autobiographical",7,IF(J53="novels",7,IF(J53="public events",7,"99"))))))))))))))))))))))))))))))))))))))))))))))</f>
        <v>2</v>
      </c>
      <c r="M53" s="69">
        <v>1</v>
      </c>
      <c r="N53" s="69">
        <v>2</v>
      </c>
      <c r="O53" s="69">
        <v>0</v>
      </c>
      <c r="P53" s="69"/>
      <c r="Q53" s="92" t="s">
        <v>174</v>
      </c>
      <c r="R53" s="69">
        <f>IF(Q53="Free Recall",1,IF(Q53="Cued Recall",2,IF(Q53="Recognition",3,IF(Q53="Multiple Choice",4,IF(Q53="Savings",5,IF(Q53="Stem Completion",6,IF(Q53="Fragment Completion",7,IF(Q53="anagram solution",8,IF(Q53="Matching",9,IF(Q53="Problem Solving",10,"99"))))))))))</f>
        <v>1</v>
      </c>
      <c r="S53" s="69" t="s">
        <v>15</v>
      </c>
      <c r="T53" s="69" t="s">
        <v>261</v>
      </c>
      <c r="U53" s="69">
        <f>IF(T53="within",1,0)</f>
        <v>0</v>
      </c>
      <c r="V53" s="69">
        <v>30</v>
      </c>
      <c r="W53" s="69">
        <f>F53*V53</f>
        <v>25530</v>
      </c>
      <c r="X53" s="69">
        <v>9</v>
      </c>
      <c r="Y53" s="87">
        <f>AV52</f>
        <v>86400</v>
      </c>
      <c r="Z53" s="69" t="s">
        <v>207</v>
      </c>
      <c r="AA53" s="69">
        <v>1450656000</v>
      </c>
      <c r="AB53" s="69" t="str">
        <f>IF(AA53&lt;60,"1",IF(AA53&lt;=43200,"2",IF(AA53&lt;=777600,"3","4")))</f>
        <v>4</v>
      </c>
      <c r="AC53" s="72">
        <f>AVERAGE(AV52:DA52)</f>
        <v>462829600</v>
      </c>
      <c r="AD53" s="69" t="str">
        <f>IF(AC53&lt;60,"1",IF(AC53&lt;=43200,"2",IF(AC53&lt;=777600,"3","4")))</f>
        <v>4</v>
      </c>
      <c r="AE53" s="87">
        <f>AA53-Y53</f>
        <v>1450569600</v>
      </c>
      <c r="AF53" s="88">
        <f>AV53</f>
        <v>0.98699999999999999</v>
      </c>
      <c r="AG53" s="72">
        <f>((AW53-AV53)+(AX53-AW53)+(AY53-AX53)+(AZ53-AY53)+(BA53-AZ53)+(BB53-BA53)+(BC53-BB53)+(BD53-BC53))/8</f>
        <v>-8.4624999999999978E-2</v>
      </c>
      <c r="AH53" s="4"/>
      <c r="AI53" s="72">
        <f>RSQ(AV53:BD53,AV52:BD52)</f>
        <v>0.20458877223278307</v>
      </c>
      <c r="AJ53" s="110">
        <f>SLOPE(AV53:BD53,AV52:BD52)</f>
        <v>-2.4546812782017294E-10</v>
      </c>
      <c r="AK53" s="72">
        <f>INTERCEPT(AV53:BD53,AV52:BD52)</f>
        <v>0.50160991541175948</v>
      </c>
      <c r="AL53" s="72">
        <f>INDEX(LINEST(LN(AV53:BD53),LN(AV52:BD52),TRUE,TRUE),3,1)</f>
        <v>0.76396234437934052</v>
      </c>
      <c r="AM53" s="72">
        <f>INDEX(LINEST(LN(AV53:BD53),LN(AV52:BD52)),1)</f>
        <v>-0.15126571288944954</v>
      </c>
      <c r="AN53" s="72">
        <f>EXP(INDEX(LINEST(LN(AV53:BD53),LN(AV52:BD52)),1,2))</f>
        <v>5.6863915136905945</v>
      </c>
      <c r="AO53" s="89">
        <f>INDEX(LINEST((AV53:BD53),LN(AV52:BD52),TRUE,TRUE),3,1)</f>
        <v>0.86510872326203003</v>
      </c>
      <c r="AP53" s="89">
        <f>INDEX(LINEST((AV53:BD53),LN(AV52:BD52)),1)</f>
        <v>-8.1455871591126369E-2</v>
      </c>
      <c r="AQ53" s="90">
        <f>INDEX(LINEST(LN(AV53:BD53),SQRT(AV52:BD52),TRUE,TRUE),3,1)</f>
        <v>0.42130846634695546</v>
      </c>
      <c r="AR53" s="117">
        <f>INDEX(LINEST(LN(AV53:BD53),SQRT((AV52:BD52))),1)</f>
        <v>-2.7781197583420251E-5</v>
      </c>
      <c r="AS53" s="91">
        <f>INDEX(LINEST(1/(AV53:BD53),1/(SQRT(AV52:BD52)),TRUE,TRUE),3,1)</f>
        <v>0.51496226666801093</v>
      </c>
      <c r="AT53" s="91">
        <f>INDEX(LINEST(1/(AV53:BD53),1/SQRT(AV52:BD52)),1)</f>
        <v>-776.78468636958155</v>
      </c>
      <c r="AU53" s="3"/>
      <c r="AV53" s="73">
        <v>0.98699999999999999</v>
      </c>
      <c r="AW53" s="73">
        <v>0.64600000000000002</v>
      </c>
      <c r="AX53" s="73">
        <v>0.30499999999999999</v>
      </c>
      <c r="AY53" s="73">
        <v>0.23300000000000001</v>
      </c>
      <c r="AZ53" s="73">
        <v>0.22</v>
      </c>
      <c r="BA53" s="73">
        <v>0.252</v>
      </c>
      <c r="BB53" s="73">
        <v>0.26700000000000002</v>
      </c>
      <c r="BC53" s="73">
        <v>0.27200000000000002</v>
      </c>
      <c r="BD53" s="73">
        <v>0.31</v>
      </c>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1"/>
      <c r="CS53" s="1"/>
      <c r="CT53" s="1"/>
      <c r="CU53" s="1"/>
    </row>
    <row r="54" spans="1:99" s="13" customFormat="1" ht="12" customHeight="1" x14ac:dyDescent="0.2">
      <c r="A54" s="68">
        <v>43509</v>
      </c>
      <c r="B54" s="70"/>
      <c r="C54" s="70"/>
      <c r="D54" s="69"/>
      <c r="E54" s="87"/>
      <c r="F54" s="69"/>
      <c r="G54" s="69"/>
      <c r="H54" s="69"/>
      <c r="I54" s="69"/>
      <c r="J54" s="69"/>
      <c r="K54" s="107"/>
      <c r="L54" s="107"/>
      <c r="M54" s="69"/>
      <c r="N54" s="69"/>
      <c r="O54" s="69"/>
      <c r="P54" s="69"/>
      <c r="Q54" s="69"/>
      <c r="R54" s="69"/>
      <c r="S54" s="69"/>
      <c r="T54" s="69"/>
      <c r="U54" s="69"/>
      <c r="V54" s="69"/>
      <c r="W54" s="69"/>
      <c r="X54" s="69"/>
      <c r="Y54" s="87"/>
      <c r="Z54" s="69"/>
      <c r="AA54" s="69"/>
      <c r="AB54" s="69"/>
      <c r="AC54" s="69"/>
      <c r="AD54" s="69"/>
      <c r="AE54" s="69"/>
      <c r="AF54" s="88"/>
      <c r="AG54" s="72"/>
      <c r="AH54" s="4"/>
      <c r="AI54" s="72"/>
      <c r="AJ54" s="110"/>
      <c r="AK54" s="72"/>
      <c r="AL54" s="72"/>
      <c r="AM54" s="72"/>
      <c r="AN54" s="72"/>
      <c r="AO54" s="72"/>
      <c r="AP54" s="72"/>
      <c r="AQ54" s="89"/>
      <c r="AR54" s="118"/>
      <c r="AS54" s="89"/>
      <c r="AT54" s="89"/>
      <c r="AU54" s="3"/>
      <c r="AV54" s="71">
        <f>24*60*60</f>
        <v>86400</v>
      </c>
      <c r="AW54" s="71">
        <f>365*24*60*60*14/12</f>
        <v>36792000</v>
      </c>
      <c r="AX54" s="71">
        <f>365*24*60*60*44/12</f>
        <v>115632000</v>
      </c>
      <c r="AY54" s="71">
        <f>365*24*60*60*76/12</f>
        <v>199728000</v>
      </c>
      <c r="AZ54" s="71">
        <f>365*24*60*60*126/12</f>
        <v>331128000</v>
      </c>
      <c r="BA54" s="71">
        <f>365*24*60*60*179/12</f>
        <v>470412000</v>
      </c>
      <c r="BB54" s="71">
        <f>365*24*60*60*249/12</f>
        <v>654372000</v>
      </c>
      <c r="BC54" s="71">
        <f>365*24*60*60*341/12</f>
        <v>896148000</v>
      </c>
      <c r="BD54" s="71">
        <f>365*24*60*60*556/12</f>
        <v>1461168000</v>
      </c>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1"/>
      <c r="CS54" s="1"/>
      <c r="CT54" s="1"/>
      <c r="CU54" s="1"/>
    </row>
    <row r="55" spans="1:99" s="13" customFormat="1" ht="12" customHeight="1" x14ac:dyDescent="0.2">
      <c r="A55" s="68">
        <v>43509</v>
      </c>
      <c r="B55" s="70" t="s">
        <v>205</v>
      </c>
      <c r="C55" s="70" t="s">
        <v>206</v>
      </c>
      <c r="D55" s="69">
        <v>1983</v>
      </c>
      <c r="E55" s="87">
        <v>1</v>
      </c>
      <c r="F55" s="69">
        <v>851</v>
      </c>
      <c r="G55" s="69">
        <v>106.4</v>
      </c>
      <c r="H55" s="69" t="s">
        <v>44</v>
      </c>
      <c r="I55" s="69" t="s">
        <v>601</v>
      </c>
      <c r="J55" s="69" t="s">
        <v>599</v>
      </c>
      <c r="K55" s="69">
        <f>IF(J55="syllables",1,IF(J55="trigrams",2,IF(J55="strings",3,IF(J55="visual array",4,IF(J55="characters",5,IF(J55="letters",6,IF(J55="free forms",7,IF(J55="odors",8,IF(J55="words",9,IF(J55="pictures",10,IF(J55="object pictures",11,IF(J55="faces",12,IF(J55="names",13,IF(J55="idioms",14,IF(J55="grades",15,IF(J55="syllable-digit pairs",16,IF(J55="trigram-word pairs",17,IF(J55="word-digit pairs",18,IF(J55="English-Swahili pairs",19,IF(J55="spatial position",20,IF(J55="word pairs",21,IF(J55="word triads",22,IF(J55="generated words",23,IF(J55="word definition pairs",24,IF(J55="math problems",25,IF(J55="famous faces",26,IF(J55="famous names",27,IF(J55="famous voices",28,IF(J55="television programs",29,IF(J55="race horses",30,IF(J55="new vocabulary",31,IF(J55="sentences",32,IF(J55="concepts",33,IF(J55="ad slides",34,IF(J55="scenes",35,IF(J55="famous scenes",36,IF(J55="poems",37,IF(J55="walk",38,IF(J55="faces and events",39,IF(J55="events and names",40,IF(J55="flashbulb",41,IF(J55="stories",42,IF(J55="course material",43,IF(J55="autobiographical",44,IF(J55="novels",45,IF(J55="public events",46,"99"))))))))))))))))))))))))))))))))))))))))))))))</f>
        <v>13</v>
      </c>
      <c r="L55" s="69">
        <f>IF(J55="syllables",1,IF(J55="trigrams",1,IF(J55="strings",1,IF(J55="visual array",1,IF(J55="characters",1,IF(J55="letters",1,IF(J55="free forms",1,IF(J55="odors",2,IF(J55="words",2,IF(J55="pictures",2,IF(J55="object pictures",2,IF(J55="faces",2,IF(J55="names",2,IF(J55="idioms","2",IF(J55="grades",2,IF(J55="syllable-digit pairs",3,IF(J55="trigram-word pairs",3,IF(J55="word-digit pairs",3,IF(J55="English-Swahili pairs",3,IF(J55="spatial position",3,IF(J55="word pairs",4,IF(J55="word triads",4,IF(J55="generated words",4,IF(J55="word definition pairs",4,IF(J55="math problems",4,IF(J55="famous faces",4,IF(J55="famous names",4,IF(J55="famous voices",4,IF(J55="television programs",4,IF(J55="race horses",4,IF(J55="new vocabulary",4,IF(J55="sentences",5,IF(J55="concepts",5,IF(J55="ad slides",5,IF(J55="scenes",5,IF(J55="famous scenes",5,IF(J55="poems",6,IF(J55="walk",6,IF(J55="faces and events",6,IF(J55="events and names",6,IF(J55="flashbulb",7,IF(J55="stories",7,IF(J55="course material",7,IF(J55="autobiographical",7,IF(J55="novels",7,IF(J55="public events",7,"99"))))))))))))))))))))))))))))))))))))))))))))))</f>
        <v>2</v>
      </c>
      <c r="M55" s="69">
        <v>1</v>
      </c>
      <c r="N55" s="69">
        <v>2</v>
      </c>
      <c r="O55" s="69">
        <v>0</v>
      </c>
      <c r="P55" s="69"/>
      <c r="Q55" s="69" t="s">
        <v>133</v>
      </c>
      <c r="R55" s="69">
        <f>IF(Q55="Free Recall",1,IF(Q55="Cued Recall",2,IF(Q55="Recognition",3,IF(Q55="Multiple Choice",4,IF(Q55="Savings",5,IF(Q55="Stem Completion",6,IF(Q55="Fragment Completion",7,IF(Q55="anagram solution",8,IF(Q55="Matching",9,IF(Q55="Problem Solving",10,"99"))))))))))</f>
        <v>9</v>
      </c>
      <c r="S55" s="69" t="s">
        <v>15</v>
      </c>
      <c r="T55" s="69" t="s">
        <v>261</v>
      </c>
      <c r="U55" s="69">
        <f>IF(T55="within",1,0)</f>
        <v>0</v>
      </c>
      <c r="V55" s="69">
        <v>27</v>
      </c>
      <c r="W55" s="69">
        <f>F55*V55</f>
        <v>22977</v>
      </c>
      <c r="X55" s="69">
        <v>9</v>
      </c>
      <c r="Y55" s="87">
        <f>AV54</f>
        <v>86400</v>
      </c>
      <c r="Z55" s="69" t="s">
        <v>207</v>
      </c>
      <c r="AA55" s="69">
        <v>1450656000</v>
      </c>
      <c r="AB55" s="69" t="str">
        <f>IF(AA55&lt;60,"1",IF(AA55&lt;=43200,"2",IF(AA55&lt;=777600,"3","4")))</f>
        <v>4</v>
      </c>
      <c r="AC55" s="72">
        <f>AVERAGE(AV54:DA54)</f>
        <v>462829600</v>
      </c>
      <c r="AD55" s="69" t="str">
        <f>IF(AC55&lt;60,"1",IF(AC55&lt;=43200,"2",IF(AC55&lt;=777600,"3","4")))</f>
        <v>4</v>
      </c>
      <c r="AE55" s="87">
        <f>AA55-Y55</f>
        <v>1450569600</v>
      </c>
      <c r="AF55" s="88">
        <f>AV55</f>
        <v>0.98699999999999999</v>
      </c>
      <c r="AG55" s="72">
        <f>((AW55-AV55)+(AX55-AW55)+(AY55-AX55)+(AZ55-AY55)+(BA55-AZ55)+(BB55-BA55)+(BC55-BB55)+(BD55-BC55))/8</f>
        <v>-9.4375000000000014E-2</v>
      </c>
      <c r="AH55" s="4"/>
      <c r="AI55" s="72">
        <f>RSQ(AV55:BD55,AV54:BD54)</f>
        <v>0.40465320063876148</v>
      </c>
      <c r="AJ55" s="110">
        <f>SLOPE(AV55:BD55,AV54:BD54)</f>
        <v>-3.6491123716119366E-10</v>
      </c>
      <c r="AK55" s="72">
        <f>INTERCEPT(AV55:BD55,AV54:BD54)</f>
        <v>0.56811394415304262</v>
      </c>
      <c r="AL55" s="72">
        <f>INDEX(LINEST(LN(AV55:BD55),LN(AV54:BD54),TRUE,TRUE),3,1)</f>
        <v>0.80617869089388561</v>
      </c>
      <c r="AM55" s="72">
        <f>INDEX(LINEST(LN(AV55:BD55),LN(AV54:BD54)),1)</f>
        <v>-0.17438629115214344</v>
      </c>
      <c r="AN55" s="72">
        <f>EXP(INDEX(LINEST(LN(AV55:BD55),LN(AV54:BD54)),1,2))</f>
        <v>8.7815837273991804</v>
      </c>
      <c r="AO55" s="89">
        <f>INDEX(LINEST((AV55:BD55),LN(AV54:BD54),TRUE,TRUE),3,1)</f>
        <v>0.90258592740258659</v>
      </c>
      <c r="AP55" s="89">
        <f>INDEX(LINEST((AV55:BD55),LN(AV54:BD54)),1)</f>
        <v>-8.7947371396810151E-2</v>
      </c>
      <c r="AQ55" s="90">
        <f>INDEX(LINEST(LN(AV55:BD55),SQRT(AV54:BD54),TRUE,TRUE),3,1)</f>
        <v>0.76082935964823983</v>
      </c>
      <c r="AR55" s="117">
        <f>INDEX(LINEST(LN(AV55:BD55),SQRT((AV54:BD54))),1)</f>
        <v>-4.1897360479706004E-5</v>
      </c>
      <c r="AS55" s="91">
        <f>INDEX(LINEST(1/(AV55:BD55),1/(SQRT(AV54:BD54)),TRUE,TRUE),3,1)</f>
        <v>0.38454203044529994</v>
      </c>
      <c r="AT55" s="91">
        <f>INDEX(LINEST(1/(AV55:BD55),1/SQRT(AV54:BD54)),1)</f>
        <v>-821.76653242255657</v>
      </c>
      <c r="AU55" s="3"/>
      <c r="AV55" s="73">
        <v>0.98699999999999999</v>
      </c>
      <c r="AW55" s="73">
        <v>0.70799999999999996</v>
      </c>
      <c r="AX55" s="73">
        <v>0.43099999999999999</v>
      </c>
      <c r="AY55" s="73">
        <v>0.35299999999999998</v>
      </c>
      <c r="AZ55" s="73">
        <v>0.222</v>
      </c>
      <c r="BA55" s="73">
        <v>0.23799999999999999</v>
      </c>
      <c r="BB55" s="73">
        <v>0.214</v>
      </c>
      <c r="BC55" s="73">
        <v>0.20799999999999999</v>
      </c>
      <c r="BD55" s="73">
        <v>0.23200000000000001</v>
      </c>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1"/>
      <c r="CS55" s="1"/>
      <c r="CT55" s="1"/>
      <c r="CU55" s="1"/>
    </row>
    <row r="56" spans="1:99" s="13" customFormat="1" ht="12" customHeight="1" x14ac:dyDescent="0.2">
      <c r="A56" s="68">
        <v>43509</v>
      </c>
      <c r="B56" s="70"/>
      <c r="C56" s="70"/>
      <c r="D56" s="69"/>
      <c r="E56" s="87"/>
      <c r="F56" s="69"/>
      <c r="G56" s="69"/>
      <c r="H56" s="69"/>
      <c r="I56" s="69"/>
      <c r="J56" s="69"/>
      <c r="K56" s="107"/>
      <c r="L56" s="107"/>
      <c r="M56" s="69"/>
      <c r="N56" s="69"/>
      <c r="O56" s="69"/>
      <c r="P56" s="69"/>
      <c r="Q56" s="69"/>
      <c r="R56" s="69"/>
      <c r="S56" s="69"/>
      <c r="T56" s="69"/>
      <c r="U56" s="69"/>
      <c r="V56" s="69"/>
      <c r="W56" s="69"/>
      <c r="X56" s="69"/>
      <c r="Y56" s="87"/>
      <c r="Z56" s="69"/>
      <c r="AA56" s="69"/>
      <c r="AB56" s="69"/>
      <c r="AC56" s="69"/>
      <c r="AD56" s="69"/>
      <c r="AE56" s="69"/>
      <c r="AF56" s="88"/>
      <c r="AG56" s="72"/>
      <c r="AH56" s="4"/>
      <c r="AI56" s="72"/>
      <c r="AJ56" s="110"/>
      <c r="AK56" s="72"/>
      <c r="AL56" s="72"/>
      <c r="AM56" s="72"/>
      <c r="AN56" s="72"/>
      <c r="AO56" s="72"/>
      <c r="AP56" s="72"/>
      <c r="AQ56" s="89"/>
      <c r="AR56" s="118"/>
      <c r="AS56" s="89"/>
      <c r="AT56" s="89"/>
      <c r="AU56" s="3"/>
      <c r="AV56" s="71">
        <f>24*60*60</f>
        <v>86400</v>
      </c>
      <c r="AW56" s="71">
        <f>365*24*60*60*14/12</f>
        <v>36792000</v>
      </c>
      <c r="AX56" s="71">
        <f>365*24*60*60*44/12</f>
        <v>115632000</v>
      </c>
      <c r="AY56" s="71">
        <f>365*24*60*60*76/12</f>
        <v>199728000</v>
      </c>
      <c r="AZ56" s="71">
        <f>365*24*60*60*126/12</f>
        <v>331128000</v>
      </c>
      <c r="BA56" s="71">
        <f>365*24*60*60*179/12</f>
        <v>470412000</v>
      </c>
      <c r="BB56" s="71">
        <f>365*24*60*60*249/12</f>
        <v>654372000</v>
      </c>
      <c r="BC56" s="71">
        <f>365*24*60*60*341/12</f>
        <v>896148000</v>
      </c>
      <c r="BD56" s="71">
        <f>365*24*60*60*556/12</f>
        <v>1461168000</v>
      </c>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1"/>
      <c r="CS56" s="1"/>
      <c r="CT56" s="1"/>
      <c r="CU56" s="1"/>
    </row>
    <row r="57" spans="1:99" s="13" customFormat="1" ht="12" customHeight="1" x14ac:dyDescent="0.2">
      <c r="A57" s="68">
        <v>43509</v>
      </c>
      <c r="B57" s="70" t="s">
        <v>205</v>
      </c>
      <c r="C57" s="70" t="s">
        <v>206</v>
      </c>
      <c r="D57" s="69">
        <v>1983</v>
      </c>
      <c r="E57" s="87">
        <v>1</v>
      </c>
      <c r="F57" s="69">
        <v>851</v>
      </c>
      <c r="G57" s="69">
        <v>106.4</v>
      </c>
      <c r="H57" s="69" t="s">
        <v>44</v>
      </c>
      <c r="I57" s="69" t="s">
        <v>602</v>
      </c>
      <c r="J57" s="69" t="s">
        <v>599</v>
      </c>
      <c r="K57" s="69">
        <f>IF(J57="syllables",1,IF(J57="trigrams",2,IF(J57="strings",3,IF(J57="visual array",4,IF(J57="characters",5,IF(J57="letters",6,IF(J57="free forms",7,IF(J57="odors",8,IF(J57="words",9,IF(J57="pictures",10,IF(J57="object pictures",11,IF(J57="faces",12,IF(J57="names",13,IF(J57="idioms",14,IF(J57="grades",15,IF(J57="syllable-digit pairs",16,IF(J57="trigram-word pairs",17,IF(J57="word-digit pairs",18,IF(J57="English-Swahili pairs",19,IF(J57="spatial position",20,IF(J57="word pairs",21,IF(J57="word triads",22,IF(J57="generated words",23,IF(J57="word definition pairs",24,IF(J57="math problems",25,IF(J57="famous faces",26,IF(J57="famous names",27,IF(J57="famous voices",28,IF(J57="television programs",29,IF(J57="race horses",30,IF(J57="new vocabulary",31,IF(J57="sentences",32,IF(J57="concepts",33,IF(J57="ad slides",34,IF(J57="scenes",35,IF(J57="famous scenes",36,IF(J57="poems",37,IF(J57="walk",38,IF(J57="faces and events",39,IF(J57="events and names",40,IF(J57="flashbulb",41,IF(J57="stories",42,IF(J57="course material",43,IF(J57="autobiographical",44,IF(J57="novels",45,IF(J57="public events",46,"99"))))))))))))))))))))))))))))))))))))))))))))))</f>
        <v>13</v>
      </c>
      <c r="L57" s="69">
        <f>IF(J57="syllables",1,IF(J57="trigrams",1,IF(J57="strings",1,IF(J57="visual array",1,IF(J57="characters",1,IF(J57="letters",1,IF(J57="free forms",1,IF(J57="odors",2,IF(J57="words",2,IF(J57="pictures",2,IF(J57="object pictures",2,IF(J57="faces",2,IF(J57="names",2,IF(J57="idioms","2",IF(J57="grades",2,IF(J57="syllable-digit pairs",3,IF(J57="trigram-word pairs",3,IF(J57="word-digit pairs",3,IF(J57="English-Swahili pairs",3,IF(J57="spatial position",3,IF(J57="word pairs",4,IF(J57="word triads",4,IF(J57="generated words",4,IF(J57="word definition pairs",4,IF(J57="math problems",4,IF(J57="famous faces",4,IF(J57="famous names",4,IF(J57="famous voices",4,IF(J57="television programs",4,IF(J57="race horses",4,IF(J57="new vocabulary",4,IF(J57="sentences",5,IF(J57="concepts",5,IF(J57="ad slides",5,IF(J57="scenes",5,IF(J57="famous scenes",5,IF(J57="poems",6,IF(J57="walk",6,IF(J57="faces and events",6,IF(J57="events and names",6,IF(J57="flashbulb",7,IF(J57="stories",7,IF(J57="course material",7,IF(J57="autobiographical",7,IF(J57="novels",7,IF(J57="public events",7,"99"))))))))))))))))))))))))))))))))))))))))))))))</f>
        <v>2</v>
      </c>
      <c r="M57" s="69">
        <v>1</v>
      </c>
      <c r="N57" s="69">
        <v>2</v>
      </c>
      <c r="O57" s="69">
        <v>0</v>
      </c>
      <c r="P57" s="69"/>
      <c r="Q57" s="69" t="s">
        <v>65</v>
      </c>
      <c r="R57" s="69">
        <f>IF(Q57="Free Recall",1,IF(Q57="Cued Recall",2,IF(Q57="Recognition",3,IF(Q57="Multiple Choice",4,IF(Q57="Savings",5,IF(Q57="Stem Completion",6,IF(Q57="Fragment Completion",7,IF(Q57="anagram solution",8,IF(Q57="Matching",9,IF(Q57="Problem Solving",10,"99"))))))))))</f>
        <v>2</v>
      </c>
      <c r="S57" s="69" t="s">
        <v>15</v>
      </c>
      <c r="T57" s="69" t="s">
        <v>261</v>
      </c>
      <c r="U57" s="69">
        <f>IF(T57="within",1,0)</f>
        <v>0</v>
      </c>
      <c r="V57" s="69">
        <v>20</v>
      </c>
      <c r="W57" s="69">
        <f>F57*V57</f>
        <v>17020</v>
      </c>
      <c r="X57" s="69">
        <v>9</v>
      </c>
      <c r="Y57" s="87">
        <f>AV56</f>
        <v>86400</v>
      </c>
      <c r="Z57" s="69" t="s">
        <v>207</v>
      </c>
      <c r="AA57" s="69">
        <v>1450656000</v>
      </c>
      <c r="AB57" s="69" t="str">
        <f>IF(AA57&lt;60,"1",IF(AA57&lt;=43200,"2",IF(AA57&lt;=777600,"3","4")))</f>
        <v>4</v>
      </c>
      <c r="AC57" s="72">
        <f>AVERAGE(AV56:DA56)</f>
        <v>462829600</v>
      </c>
      <c r="AD57" s="69" t="str">
        <f>IF(AC57&lt;60,"1",IF(AC57&lt;=43200,"2",IF(AC57&lt;=777600,"3","4")))</f>
        <v>4</v>
      </c>
      <c r="AE57" s="87">
        <f>AA57-Y57</f>
        <v>1450569600</v>
      </c>
      <c r="AF57" s="88">
        <f>AV57</f>
        <v>0.98499999999999999</v>
      </c>
      <c r="AG57" s="72">
        <f>((AW57-AV57)+(AX57-AW57)+(AY57-AX57)+(AZ57-AY57)+(BA57-AZ57)+(BB57-BA57)+(BC57-BB57)+(BD57-BC57))/8</f>
        <v>-0.11412499999999999</v>
      </c>
      <c r="AH57" s="4"/>
      <c r="AI57" s="72">
        <f>RSQ(AV57:BD57,AV56:BD56)</f>
        <v>0.32000952625137474</v>
      </c>
      <c r="AJ57" s="110">
        <f>SLOPE(AV57:BD57,AV56:BD56)</f>
        <v>-3.5659992325411255E-10</v>
      </c>
      <c r="AK57" s="72">
        <f>INTERCEPT(AV57:BD57,AV56:BD56)</f>
        <v>0.43504499983973166</v>
      </c>
      <c r="AL57" s="72">
        <f>INDEX(LINEST(LN(AV57:BD57),LN(AV56:BD56),TRUE,TRUE),3,1)</f>
        <v>0.82433181774276076</v>
      </c>
      <c r="AM57" s="72">
        <f>INDEX(LINEST(LN(AV57:BD57),LN(AV56:BD56)),1)</f>
        <v>-0.26139512516214641</v>
      </c>
      <c r="AN57" s="72">
        <f>EXP(INDEX(LINEST(LN(AV57:BD57),LN(AV56:BD56)),1,2))</f>
        <v>24.175344597564418</v>
      </c>
      <c r="AO57" s="89">
        <f>INDEX(LINEST((AV57:BD57),LN(AV56:BD56),TRUE,TRUE),3,1)</f>
        <v>0.93948914036949649</v>
      </c>
      <c r="AP57" s="89">
        <f>INDEX(LINEST((AV57:BD57),LN(AV56:BD56)),1)</f>
        <v>-9.8600362447390122E-2</v>
      </c>
      <c r="AQ57" s="90">
        <f>INDEX(LINEST(LN(AV57:BD57),SQRT(AV56:BD56),TRUE,TRUE),3,1)</f>
        <v>0.73428733692810078</v>
      </c>
      <c r="AR57" s="117">
        <f>INDEX(LINEST(LN(AV57:BD57),SQRT((AV56:BD56))),1)</f>
        <v>-6.1013483275753766E-5</v>
      </c>
      <c r="AS57" s="91">
        <f>INDEX(LINEST(1/(AV57:BD57),1/(SQRT(AV56:BD56)),TRUE,TRUE),3,1)</f>
        <v>0.31811838256742819</v>
      </c>
      <c r="AT57" s="91">
        <f>INDEX(LINEST(1/(AV57:BD57),1/SQRT(AV56:BD56)),1)</f>
        <v>-2097.2777719735609</v>
      </c>
      <c r="AU57" s="3"/>
      <c r="AV57" s="73">
        <v>0.98499999999999999</v>
      </c>
      <c r="AW57" s="73">
        <v>0.52600000000000002</v>
      </c>
      <c r="AX57" s="73">
        <v>0.16700000000000001</v>
      </c>
      <c r="AY57" s="73">
        <v>0.20899999999999999</v>
      </c>
      <c r="AZ57" s="73">
        <v>9.6000000000000002E-2</v>
      </c>
      <c r="BA57" s="73">
        <v>0.13</v>
      </c>
      <c r="BB57" s="73">
        <v>9.9000000000000005E-2</v>
      </c>
      <c r="BC57" s="73">
        <v>0.14599999999999999</v>
      </c>
      <c r="BD57" s="73">
        <v>7.1999999999999995E-2</v>
      </c>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1"/>
      <c r="CS57" s="1"/>
      <c r="CT57" s="1"/>
      <c r="CU57" s="1"/>
    </row>
    <row r="58" spans="1:99" s="13" customFormat="1" ht="12" customHeight="1" x14ac:dyDescent="0.2">
      <c r="A58" s="68">
        <v>43509</v>
      </c>
      <c r="B58" s="70"/>
      <c r="C58" s="70"/>
      <c r="D58" s="69"/>
      <c r="E58" s="87"/>
      <c r="F58" s="69"/>
      <c r="G58" s="69"/>
      <c r="H58" s="69"/>
      <c r="I58" s="69"/>
      <c r="J58" s="69"/>
      <c r="K58" s="107"/>
      <c r="L58" s="107"/>
      <c r="M58" s="69"/>
      <c r="N58" s="69"/>
      <c r="O58" s="69"/>
      <c r="P58" s="69"/>
      <c r="Q58" s="69"/>
      <c r="R58" s="69"/>
      <c r="S58" s="69"/>
      <c r="T58" s="69"/>
      <c r="U58" s="69"/>
      <c r="V58" s="69"/>
      <c r="W58" s="69"/>
      <c r="X58" s="69"/>
      <c r="Y58" s="87"/>
      <c r="Z58" s="69"/>
      <c r="AA58" s="69"/>
      <c r="AB58" s="69"/>
      <c r="AC58" s="69"/>
      <c r="AD58" s="69"/>
      <c r="AE58" s="69"/>
      <c r="AF58" s="88"/>
      <c r="AG58" s="72"/>
      <c r="AH58" s="4"/>
      <c r="AI58" s="72"/>
      <c r="AJ58" s="110"/>
      <c r="AK58" s="72"/>
      <c r="AL58" s="72"/>
      <c r="AM58" s="72"/>
      <c r="AN58" s="72"/>
      <c r="AO58" s="72"/>
      <c r="AP58" s="72"/>
      <c r="AQ58" s="89"/>
      <c r="AR58" s="118"/>
      <c r="AS58" s="89"/>
      <c r="AT58" s="89"/>
      <c r="AU58" s="3"/>
      <c r="AV58" s="71">
        <f>24*60*60</f>
        <v>86400</v>
      </c>
      <c r="AW58" s="71">
        <f>365*24*60*60*14/12</f>
        <v>36792000</v>
      </c>
      <c r="AX58" s="71">
        <f>365*24*60*60*44/12</f>
        <v>115632000</v>
      </c>
      <c r="AY58" s="71">
        <f>365*24*60*60*76/12</f>
        <v>199728000</v>
      </c>
      <c r="AZ58" s="71">
        <f>365*24*60*60*126/12</f>
        <v>331128000</v>
      </c>
      <c r="BA58" s="71">
        <f>365*24*60*60*179/12</f>
        <v>470412000</v>
      </c>
      <c r="BB58" s="71">
        <f>365*24*60*60*249/12</f>
        <v>654372000</v>
      </c>
      <c r="BC58" s="71">
        <f>365*24*60*60*341/12</f>
        <v>896148000</v>
      </c>
      <c r="BD58" s="71">
        <f>365*24*60*60*556/12</f>
        <v>1461168000</v>
      </c>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1"/>
      <c r="CS58" s="1"/>
      <c r="CT58" s="1"/>
      <c r="CU58" s="1"/>
    </row>
    <row r="59" spans="1:99" s="13" customFormat="1" ht="12" customHeight="1" x14ac:dyDescent="0.2">
      <c r="A59" s="68">
        <v>43509</v>
      </c>
      <c r="B59" s="70" t="s">
        <v>205</v>
      </c>
      <c r="C59" s="70" t="s">
        <v>206</v>
      </c>
      <c r="D59" s="69">
        <v>1983</v>
      </c>
      <c r="E59" s="87">
        <v>1</v>
      </c>
      <c r="F59" s="69">
        <v>851</v>
      </c>
      <c r="G59" s="69">
        <v>106.4</v>
      </c>
      <c r="H59" s="69" t="s">
        <v>232</v>
      </c>
      <c r="I59" s="69" t="s">
        <v>603</v>
      </c>
      <c r="J59" s="69" t="s">
        <v>599</v>
      </c>
      <c r="K59" s="69">
        <f>IF(J59="syllables",1,IF(J59="trigrams",2,IF(J59="strings",3,IF(J59="visual array",4,IF(J59="characters",5,IF(J59="letters",6,IF(J59="free forms",7,IF(J59="odors",8,IF(J59="words",9,IF(J59="pictures",10,IF(J59="object pictures",11,IF(J59="faces",12,IF(J59="names",13,IF(J59="idioms",14,IF(J59="grades",15,IF(J59="syllable-digit pairs",16,IF(J59="trigram-word pairs",17,IF(J59="word-digit pairs",18,IF(J59="English-Swahili pairs",19,IF(J59="spatial position",20,IF(J59="word pairs",21,IF(J59="word triads",22,IF(J59="generated words",23,IF(J59="word definition pairs",24,IF(J59="math problems",25,IF(J59="famous faces",26,IF(J59="famous names",27,IF(J59="famous voices",28,IF(J59="television programs",29,IF(J59="race horses",30,IF(J59="new vocabulary",31,IF(J59="sentences",32,IF(J59="concepts",33,IF(J59="ad slides",34,IF(J59="scenes",35,IF(J59="famous scenes",36,IF(J59="poems",37,IF(J59="walk",38,IF(J59="faces and events",39,IF(J59="events and names",40,IF(J59="flashbulb",41,IF(J59="stories",42,IF(J59="course material",43,IF(J59="autobiographical",44,IF(J59="novels",45,IF(J59="public events",46,"99"))))))))))))))))))))))))))))))))))))))))))))))</f>
        <v>13</v>
      </c>
      <c r="L59" s="69">
        <f>IF(J59="syllables",1,IF(J59="trigrams",1,IF(J59="strings",1,IF(J59="visual array",1,IF(J59="characters",1,IF(J59="letters",1,IF(J59="free forms",1,IF(J59="odors",2,IF(J59="words",2,IF(J59="pictures",2,IF(J59="object pictures",2,IF(J59="faces",2,IF(J59="names",2,IF(J59="idioms","2",IF(J59="grades",2,IF(J59="syllable-digit pairs",3,IF(J59="trigram-word pairs",3,IF(J59="word-digit pairs",3,IF(J59="English-Swahili pairs",3,IF(J59="spatial position",3,IF(J59="word pairs",4,IF(J59="word triads",4,IF(J59="generated words",4,IF(J59="word definition pairs",4,IF(J59="math problems",4,IF(J59="famous faces",4,IF(J59="famous names",4,IF(J59="famous voices",4,IF(J59="television programs",4,IF(J59="race horses",4,IF(J59="new vocabulary",4,IF(J59="sentences",5,IF(J59="concepts",5,IF(J59="ad slides",5,IF(J59="scenes",5,IF(J59="famous scenes",5,IF(J59="poems",6,IF(J59="walk",6,IF(J59="faces and events",6,IF(J59="events and names",6,IF(J59="flashbulb",7,IF(J59="stories",7,IF(J59="course material",7,IF(J59="autobiographical",7,IF(J59="novels",7,IF(J59="public events",7,"99"))))))))))))))))))))))))))))))))))))))))))))))</f>
        <v>2</v>
      </c>
      <c r="M59" s="69">
        <v>1</v>
      </c>
      <c r="N59" s="69">
        <v>2</v>
      </c>
      <c r="O59" s="69">
        <v>0</v>
      </c>
      <c r="P59" s="69"/>
      <c r="Q59" s="92" t="s">
        <v>174</v>
      </c>
      <c r="R59" s="69">
        <f>IF(Q59="Free Recall",1,IF(Q59="Cued Recall",2,IF(Q59="Recognition",3,IF(Q59="Multiple Choice",4,IF(Q59="Savings",5,IF(Q59="Stem Completion",6,IF(Q59="Fragment Completion",7,IF(Q59="anagram solution",8,IF(Q59="Matching",9,IF(Q59="Problem Solving",10,"99"))))))))))</f>
        <v>1</v>
      </c>
      <c r="S59" s="69" t="s">
        <v>15</v>
      </c>
      <c r="T59" s="69" t="s">
        <v>261</v>
      </c>
      <c r="U59" s="69">
        <f>IF(T59="within",1,0)</f>
        <v>0</v>
      </c>
      <c r="V59" s="69">
        <v>30</v>
      </c>
      <c r="W59" s="69">
        <f>F59*V59</f>
        <v>25530</v>
      </c>
      <c r="X59" s="69">
        <v>9</v>
      </c>
      <c r="Y59" s="87">
        <f>AV58</f>
        <v>86400</v>
      </c>
      <c r="Z59" s="69" t="s">
        <v>207</v>
      </c>
      <c r="AA59" s="69">
        <v>1450656000</v>
      </c>
      <c r="AB59" s="69" t="str">
        <f>IF(AA59&lt;60,"1",IF(AA59&lt;=43200,"2",IF(AA59&lt;=777600,"3","4")))</f>
        <v>4</v>
      </c>
      <c r="AC59" s="72">
        <f>AVERAGE(AV58:DA58)</f>
        <v>462829600</v>
      </c>
      <c r="AD59" s="69" t="str">
        <f>IF(AC59&lt;60,"1",IF(AC59&lt;=43200,"2",IF(AC59&lt;=777600,"3","4")))</f>
        <v>4</v>
      </c>
      <c r="AE59" s="87">
        <f>AA59-Y59</f>
        <v>1450569600</v>
      </c>
      <c r="AF59" s="88">
        <f>AV59</f>
        <v>0.99399999999999999</v>
      </c>
      <c r="AG59" s="72">
        <f>((AW59-AV59)+(AX59-AW59)+(AY59-AX59)+(AZ59-AY59)+(BA59-AZ59)+(BB59-BA59)+(BC59-BB59)+(BD59-BC59))/8</f>
        <v>-7.7250000000000013E-2</v>
      </c>
      <c r="AH59" s="4"/>
      <c r="AI59" s="72">
        <f>RSQ(AV59:BD59,AV58:BD58)</f>
        <v>0.6847293458448428</v>
      </c>
      <c r="AJ59" s="110">
        <f>SLOPE(AV59:BD59,AV58:BD58)</f>
        <v>-3.5752146357956833E-10</v>
      </c>
      <c r="AK59" s="72">
        <f>INTERCEPT(AV59:BD59,AV58:BD58)</f>
        <v>0.78680484931327943</v>
      </c>
      <c r="AL59" s="72">
        <f>INDEX(LINEST(LN(AV59:BD59),LN(AV58:BD58),TRUE,TRUE),3,1)</f>
        <v>0.72399896613077253</v>
      </c>
      <c r="AM59" s="72">
        <f>INDEX(LINEST(LN(AV59:BD59),LN(AV58:BD58)),1)</f>
        <v>-9.2441845506879464E-2</v>
      </c>
      <c r="AN59" s="72">
        <f>EXP(INDEX(LINEST(LN(AV59:BD59),LN(AV58:BD58)),1,2))</f>
        <v>3.3321829699183336</v>
      </c>
      <c r="AO59" s="89">
        <f>INDEX(LINEST((AV59:BD59),LN(AV58:BD58),TRUE,TRUE),3,1)</f>
        <v>0.80871389901669877</v>
      </c>
      <c r="AP59" s="89">
        <f>INDEX(LINEST((AV59:BD59),LN(AV58:BD58)),1)</f>
        <v>-6.2700779467482787E-2</v>
      </c>
      <c r="AQ59" s="90">
        <f>INDEX(LINEST(LN(AV59:BD59),SQRT(AV58:BD58),TRUE,TRUE),3,1)</f>
        <v>0.94692767506012832</v>
      </c>
      <c r="AR59" s="117">
        <f>INDEX(LINEST(LN(AV59:BD59),SQRT((AV58:BD58))),1)</f>
        <v>-2.6145947618388683E-5</v>
      </c>
      <c r="AS59" s="91">
        <f>INDEX(LINEST(1/(AV59:BD59),1/(SQRT(AV58:BD58)),TRUE,TRUE),3,1)</f>
        <v>0.30428947035329978</v>
      </c>
      <c r="AT59" s="91">
        <f>INDEX(LINEST(1/(AV59:BD59),1/SQRT(AV58:BD58)),1)</f>
        <v>-268.51150728266498</v>
      </c>
      <c r="AU59" s="3"/>
      <c r="AV59" s="73">
        <v>0.99399999999999999</v>
      </c>
      <c r="AW59" s="73">
        <v>0.874</v>
      </c>
      <c r="AX59" s="73">
        <v>0.70299999999999996</v>
      </c>
      <c r="AY59" s="73">
        <v>0.65600000000000003</v>
      </c>
      <c r="AZ59" s="73">
        <v>0.499</v>
      </c>
      <c r="BA59" s="73">
        <v>0.56299999999999994</v>
      </c>
      <c r="BB59" s="73">
        <v>0.49099999999999999</v>
      </c>
      <c r="BC59" s="73">
        <v>0.436</v>
      </c>
      <c r="BD59" s="73">
        <v>0.376</v>
      </c>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1"/>
      <c r="CS59" s="1"/>
      <c r="CT59" s="1"/>
      <c r="CU59" s="1"/>
    </row>
    <row r="60" spans="1:99" s="13" customFormat="1" ht="12" customHeight="1" x14ac:dyDescent="0.2">
      <c r="A60" s="68">
        <v>43509</v>
      </c>
      <c r="B60" s="70"/>
      <c r="C60" s="70"/>
      <c r="D60" s="69"/>
      <c r="E60" s="87"/>
      <c r="F60" s="69"/>
      <c r="G60" s="69"/>
      <c r="H60" s="69"/>
      <c r="I60" s="69"/>
      <c r="J60" s="69"/>
      <c r="K60" s="107"/>
      <c r="L60" s="107"/>
      <c r="M60" s="69"/>
      <c r="N60" s="69"/>
      <c r="O60" s="69"/>
      <c r="P60" s="69"/>
      <c r="Q60" s="69"/>
      <c r="R60" s="69"/>
      <c r="S60" s="69"/>
      <c r="T60" s="69"/>
      <c r="U60" s="69"/>
      <c r="V60" s="69"/>
      <c r="W60" s="69"/>
      <c r="X60" s="69"/>
      <c r="Y60" s="87"/>
      <c r="Z60" s="69"/>
      <c r="AA60" s="69"/>
      <c r="AB60" s="69"/>
      <c r="AC60" s="69"/>
      <c r="AD60" s="69"/>
      <c r="AE60" s="69"/>
      <c r="AF60" s="88"/>
      <c r="AG60" s="72"/>
      <c r="AH60" s="4"/>
      <c r="AI60" s="72"/>
      <c r="AJ60" s="110"/>
      <c r="AK60" s="72"/>
      <c r="AL60" s="72"/>
      <c r="AM60" s="72"/>
      <c r="AN60" s="72"/>
      <c r="AO60" s="72"/>
      <c r="AP60" s="72"/>
      <c r="AQ60" s="89"/>
      <c r="AR60" s="118"/>
      <c r="AS60" s="89"/>
      <c r="AT60" s="89"/>
      <c r="AU60" s="3"/>
      <c r="AV60" s="71">
        <f>24*60*60</f>
        <v>86400</v>
      </c>
      <c r="AW60" s="71">
        <f>365*24*60*60*14/12</f>
        <v>36792000</v>
      </c>
      <c r="AX60" s="71">
        <f>365*24*60*60*44/12</f>
        <v>115632000</v>
      </c>
      <c r="AY60" s="71">
        <f>365*24*60*60*76/12</f>
        <v>199728000</v>
      </c>
      <c r="AZ60" s="71">
        <f>365*24*60*60*126/12</f>
        <v>331128000</v>
      </c>
      <c r="BA60" s="71">
        <f>365*24*60*60*179/12</f>
        <v>470412000</v>
      </c>
      <c r="BB60" s="71">
        <f>365*24*60*60*249/12</f>
        <v>654372000</v>
      </c>
      <c r="BC60" s="71">
        <f>365*24*60*60*341/12</f>
        <v>896148000</v>
      </c>
      <c r="BD60" s="71">
        <f>365*24*60*60*556/12</f>
        <v>1461168000</v>
      </c>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1"/>
      <c r="CS60" s="1"/>
      <c r="CT60" s="1"/>
      <c r="CU60" s="1"/>
    </row>
    <row r="61" spans="1:99" s="13" customFormat="1" ht="12" customHeight="1" x14ac:dyDescent="0.2">
      <c r="A61" s="68">
        <v>43509</v>
      </c>
      <c r="B61" s="70" t="s">
        <v>205</v>
      </c>
      <c r="C61" s="70" t="s">
        <v>206</v>
      </c>
      <c r="D61" s="69">
        <v>1983</v>
      </c>
      <c r="E61" s="87">
        <v>1</v>
      </c>
      <c r="F61" s="69">
        <v>851</v>
      </c>
      <c r="G61" s="69">
        <v>106.4</v>
      </c>
      <c r="H61" s="69" t="s">
        <v>232</v>
      </c>
      <c r="I61" s="69" t="s">
        <v>604</v>
      </c>
      <c r="J61" s="69" t="s">
        <v>599</v>
      </c>
      <c r="K61" s="69">
        <f>IF(J61="syllables",1,IF(J61="trigrams",2,IF(J61="strings",3,IF(J61="visual array",4,IF(J61="characters",5,IF(J61="letters",6,IF(J61="free forms",7,IF(J61="odors",8,IF(J61="words",9,IF(J61="pictures",10,IF(J61="object pictures",11,IF(J61="faces",12,IF(J61="names",13,IF(J61="idioms",14,IF(J61="grades",15,IF(J61="syllable-digit pairs",16,IF(J61="trigram-word pairs",17,IF(J61="word-digit pairs",18,IF(J61="English-Swahili pairs",19,IF(J61="spatial position",20,IF(J61="word pairs",21,IF(J61="word triads",22,IF(J61="generated words",23,IF(J61="word definition pairs",24,IF(J61="math problems",25,IF(J61="famous faces",26,IF(J61="famous names",27,IF(J61="famous voices",28,IF(J61="television programs",29,IF(J61="race horses",30,IF(J61="new vocabulary",31,IF(J61="sentences",32,IF(J61="concepts",33,IF(J61="ad slides",34,IF(J61="scenes",35,IF(J61="famous scenes",36,IF(J61="poems",37,IF(J61="walk",38,IF(J61="faces and events",39,IF(J61="events and names",40,IF(J61="flashbulb",41,IF(J61="stories",42,IF(J61="course material",43,IF(J61="autobiographical",44,IF(J61="novels",45,IF(J61="public events",46,"99"))))))))))))))))))))))))))))))))))))))))))))))</f>
        <v>13</v>
      </c>
      <c r="L61" s="69">
        <f>IF(J61="syllables",1,IF(J61="trigrams",1,IF(J61="strings",1,IF(J61="visual array",1,IF(J61="characters",1,IF(J61="letters",1,IF(J61="free forms",1,IF(J61="odors",2,IF(J61="words",2,IF(J61="pictures",2,IF(J61="object pictures",2,IF(J61="faces",2,IF(J61="names",2,IF(J61="idioms","2",IF(J61="grades",2,IF(J61="syllable-digit pairs",3,IF(J61="trigram-word pairs",3,IF(J61="word-digit pairs",3,IF(J61="English-Swahili pairs",3,IF(J61="spatial position",3,IF(J61="word pairs",4,IF(J61="word triads",4,IF(J61="generated words",4,IF(J61="word definition pairs",4,IF(J61="math problems",4,IF(J61="famous faces",4,IF(J61="famous names",4,IF(J61="famous voices",4,IF(J61="television programs",4,IF(J61="race horses",4,IF(J61="new vocabulary",4,IF(J61="sentences",5,IF(J61="concepts",5,IF(J61="ad slides",5,IF(J61="scenes",5,IF(J61="famous scenes",5,IF(J61="poems",6,IF(J61="walk",6,IF(J61="faces and events",6,IF(J61="events and names",6,IF(J61="flashbulb",7,IF(J61="stories",7,IF(J61="course material",7,IF(J61="autobiographical",7,IF(J61="novels",7,IF(J61="public events",7,"99"))))))))))))))))))))))))))))))))))))))))))))))</f>
        <v>2</v>
      </c>
      <c r="M61" s="69">
        <v>1</v>
      </c>
      <c r="N61" s="69">
        <v>2</v>
      </c>
      <c r="O61" s="69">
        <v>0</v>
      </c>
      <c r="P61" s="69"/>
      <c r="Q61" s="69" t="s">
        <v>133</v>
      </c>
      <c r="R61" s="69">
        <f>IF(Q61="Free Recall",1,IF(Q61="Cued Recall",2,IF(Q61="Recognition",3,IF(Q61="Multiple Choice",4,IF(Q61="Savings",5,IF(Q61="Stem Completion",6,IF(Q61="Fragment Completion",7,IF(Q61="anagram solution",8,IF(Q61="Matching",9,IF(Q61="Problem Solving",10,"99"))))))))))</f>
        <v>9</v>
      </c>
      <c r="S61" s="69" t="s">
        <v>15</v>
      </c>
      <c r="T61" s="69" t="s">
        <v>261</v>
      </c>
      <c r="U61" s="69">
        <f>IF(T61="within",1,0)</f>
        <v>0</v>
      </c>
      <c r="V61" s="69">
        <v>13</v>
      </c>
      <c r="W61" s="69">
        <f>F61*V61</f>
        <v>11063</v>
      </c>
      <c r="X61" s="69">
        <v>9</v>
      </c>
      <c r="Y61" s="87">
        <f>AV60</f>
        <v>86400</v>
      </c>
      <c r="Z61" s="69" t="s">
        <v>207</v>
      </c>
      <c r="AA61" s="69">
        <v>1450656000</v>
      </c>
      <c r="AB61" s="69" t="str">
        <f>IF(AA61&lt;60,"1",IF(AA61&lt;=43200,"2",IF(AA61&lt;=777600,"3","4")))</f>
        <v>4</v>
      </c>
      <c r="AC61" s="72">
        <f>AVERAGE(AV60:DA60)</f>
        <v>462829600</v>
      </c>
      <c r="AD61" s="69" t="str">
        <f>IF(AC61&lt;60,"1",IF(AC61&lt;=43200,"2",IF(AC61&lt;=777600,"3","4")))</f>
        <v>4</v>
      </c>
      <c r="AE61" s="87">
        <f>AA61-Y61</f>
        <v>1450569600</v>
      </c>
      <c r="AF61" s="88">
        <f>AV61</f>
        <v>0.997</v>
      </c>
      <c r="AG61" s="72">
        <f>((AW61-AV61)+(AX61-AW61)+(AY61-AX61)+(AZ61-AY61)+(BA61-AZ61)+(BB61-BA61)+(BC61-BB61)+(BD61-BC61))/8</f>
        <v>-5.1250000000000004E-2</v>
      </c>
      <c r="AH61" s="4"/>
      <c r="AI61" s="72">
        <f>RSQ(AV61:BD61,AV60:BD60)</f>
        <v>0.78786692554679372</v>
      </c>
      <c r="AJ61" s="110">
        <f>SLOPE(AV61:BD61,AV60:BD60)</f>
        <v>-2.5862197692865627E-10</v>
      </c>
      <c r="AK61" s="72">
        <f>INTERCEPT(AV61:BD61,AV60:BD60)</f>
        <v>0.90625346168865473</v>
      </c>
      <c r="AL61" s="72">
        <f>INDEX(LINEST(LN(AV61:BD61),LN(AV60:BD60),TRUE,TRUE),3,1)</f>
        <v>0.64206358255766494</v>
      </c>
      <c r="AM61" s="72">
        <f>INDEX(LINEST(LN(AV61:BD61),LN(AV60:BD60)),1)</f>
        <v>-4.7938234961320811E-2</v>
      </c>
      <c r="AN61" s="72">
        <f>EXP(INDEX(LINEST(LN(AV61:BD61),LN(AV60:BD60)),1,2))</f>
        <v>1.8987842291536425</v>
      </c>
      <c r="AO61" s="89">
        <f>INDEX(LINEST((AV61:BD61),LN(AV60:BD60),TRUE,TRUE),3,1)</f>
        <v>0.68660833014041656</v>
      </c>
      <c r="AP61" s="89">
        <f>INDEX(LINEST((AV61:BD61),LN(AV60:BD60)),1)</f>
        <v>-3.8960665250170182E-2</v>
      </c>
      <c r="AQ61" s="90">
        <f>INDEX(LINEST(LN(AV61:BD61),SQRT(AV60:BD60),TRUE,TRUE),3,1)</f>
        <v>0.95332375297028593</v>
      </c>
      <c r="AR61" s="117">
        <f>INDEX(LINEST(LN(AV61:BD61),SQRT((AV60:BD60))),1)</f>
        <v>-1.4446398006289651E-5</v>
      </c>
      <c r="AS61" s="91">
        <f>INDEX(LINEST(1/(AV61:BD61),1/(SQRT(AV60:BD60)),TRUE,TRUE),3,1)</f>
        <v>0.2734270381758922</v>
      </c>
      <c r="AT61" s="91">
        <f>INDEX(LINEST(1/(AV61:BD61),1/SQRT(AV60:BD60)),1)</f>
        <v>-108.33422041556456</v>
      </c>
      <c r="AU61" s="3"/>
      <c r="AV61" s="73">
        <v>0.997</v>
      </c>
      <c r="AW61" s="73">
        <v>0.95399999999999996</v>
      </c>
      <c r="AX61" s="73">
        <v>0.89700000000000002</v>
      </c>
      <c r="AY61" s="73">
        <v>0.82099999999999995</v>
      </c>
      <c r="AZ61" s="73">
        <v>0.73799999999999999</v>
      </c>
      <c r="BA61" s="73">
        <v>0.72399999999999998</v>
      </c>
      <c r="BB61" s="73">
        <v>0.66400000000000003</v>
      </c>
      <c r="BC61" s="73">
        <v>0.69699999999999995</v>
      </c>
      <c r="BD61" s="73">
        <v>0.58699999999999997</v>
      </c>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1"/>
      <c r="CS61" s="1"/>
      <c r="CT61" s="1"/>
      <c r="CU61" s="1"/>
    </row>
    <row r="62" spans="1:99" s="13" customFormat="1" ht="12" customHeight="1" x14ac:dyDescent="0.2">
      <c r="A62" s="68">
        <v>43509</v>
      </c>
      <c r="B62" s="70"/>
      <c r="C62" s="70"/>
      <c r="D62" s="69"/>
      <c r="E62" s="87"/>
      <c r="F62" s="69"/>
      <c r="G62" s="69"/>
      <c r="H62" s="69"/>
      <c r="I62" s="69"/>
      <c r="J62" s="69"/>
      <c r="K62" s="107"/>
      <c r="L62" s="107"/>
      <c r="M62" s="69"/>
      <c r="N62" s="69"/>
      <c r="O62" s="69"/>
      <c r="P62" s="69"/>
      <c r="Q62" s="69"/>
      <c r="R62" s="69"/>
      <c r="S62" s="69"/>
      <c r="T62" s="69"/>
      <c r="U62" s="69"/>
      <c r="V62" s="69"/>
      <c r="W62" s="69"/>
      <c r="X62" s="69"/>
      <c r="Y62" s="87"/>
      <c r="Z62" s="69"/>
      <c r="AA62" s="69"/>
      <c r="AB62" s="69"/>
      <c r="AC62" s="69"/>
      <c r="AD62" s="69"/>
      <c r="AE62" s="69"/>
      <c r="AF62" s="88"/>
      <c r="AG62" s="72"/>
      <c r="AH62" s="4"/>
      <c r="AI62" s="72"/>
      <c r="AJ62" s="110"/>
      <c r="AK62" s="72"/>
      <c r="AL62" s="72"/>
      <c r="AM62" s="72"/>
      <c r="AN62" s="72"/>
      <c r="AO62" s="72"/>
      <c r="AP62" s="72"/>
      <c r="AQ62" s="89"/>
      <c r="AR62" s="118"/>
      <c r="AS62" s="89"/>
      <c r="AT62" s="89"/>
      <c r="AU62" s="3"/>
      <c r="AV62" s="71">
        <f>24*60*60</f>
        <v>86400</v>
      </c>
      <c r="AW62" s="71">
        <f>365*24*60*60*14/12</f>
        <v>36792000</v>
      </c>
      <c r="AX62" s="71">
        <f>365*24*60*60*44/12</f>
        <v>115632000</v>
      </c>
      <c r="AY62" s="71">
        <f>365*24*60*60*76/12</f>
        <v>199728000</v>
      </c>
      <c r="AZ62" s="71">
        <f>365*24*60*60*126/12</f>
        <v>331128000</v>
      </c>
      <c r="BA62" s="71">
        <f>365*24*60*60*179/12</f>
        <v>470412000</v>
      </c>
      <c r="BB62" s="71">
        <f>365*24*60*60*249/12</f>
        <v>654372000</v>
      </c>
      <c r="BC62" s="71">
        <f>365*24*60*60*341/12</f>
        <v>896148000</v>
      </c>
      <c r="BD62" s="71">
        <f>365*24*60*60*556/12</f>
        <v>1461168000</v>
      </c>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1"/>
      <c r="CS62" s="1"/>
      <c r="CT62" s="1"/>
      <c r="CU62" s="1"/>
    </row>
    <row r="63" spans="1:99" s="13" customFormat="1" ht="12" customHeight="1" x14ac:dyDescent="0.2">
      <c r="A63" s="68">
        <v>43509</v>
      </c>
      <c r="B63" s="70" t="s">
        <v>205</v>
      </c>
      <c r="C63" s="70" t="s">
        <v>206</v>
      </c>
      <c r="D63" s="69">
        <v>1983</v>
      </c>
      <c r="E63" s="87">
        <v>1</v>
      </c>
      <c r="F63" s="69">
        <v>851</v>
      </c>
      <c r="G63" s="69">
        <v>106.4</v>
      </c>
      <c r="H63" s="69" t="s">
        <v>232</v>
      </c>
      <c r="I63" s="69" t="s">
        <v>605</v>
      </c>
      <c r="J63" s="69" t="s">
        <v>599</v>
      </c>
      <c r="K63" s="69">
        <f>IF(J63="syllables",1,IF(J63="trigrams",2,IF(J63="strings",3,IF(J63="visual array",4,IF(J63="characters",5,IF(J63="letters",6,IF(J63="free forms",7,IF(J63="odors",8,IF(J63="words",9,IF(J63="pictures",10,IF(J63="object pictures",11,IF(J63="faces",12,IF(J63="names",13,IF(J63="idioms",14,IF(J63="grades",15,IF(J63="syllable-digit pairs",16,IF(J63="trigram-word pairs",17,IF(J63="word-digit pairs",18,IF(J63="English-Swahili pairs",19,IF(J63="spatial position",20,IF(J63="word pairs",21,IF(J63="word triads",22,IF(J63="generated words",23,IF(J63="word definition pairs",24,IF(J63="math problems",25,IF(J63="famous faces",26,IF(J63="famous names",27,IF(J63="famous voices",28,IF(J63="television programs",29,IF(J63="race horses",30,IF(J63="new vocabulary",31,IF(J63="sentences",32,IF(J63="concepts",33,IF(J63="ad slides",34,IF(J63="scenes",35,IF(J63="famous scenes",36,IF(J63="poems",37,IF(J63="walk",38,IF(J63="faces and events",39,IF(J63="events and names",40,IF(J63="flashbulb",41,IF(J63="stories",42,IF(J63="course material",43,IF(J63="autobiographical",44,IF(J63="novels",45,IF(J63="public events",46,"99"))))))))))))))))))))))))))))))))))))))))))))))</f>
        <v>13</v>
      </c>
      <c r="L63" s="69">
        <f>IF(J63="syllables",1,IF(J63="trigrams",1,IF(J63="strings",1,IF(J63="visual array",1,IF(J63="characters",1,IF(J63="letters",1,IF(J63="free forms",1,IF(J63="odors",2,IF(J63="words",2,IF(J63="pictures",2,IF(J63="object pictures",2,IF(J63="faces",2,IF(J63="names",2,IF(J63="idioms","2",IF(J63="grades",2,IF(J63="syllable-digit pairs",3,IF(J63="trigram-word pairs",3,IF(J63="word-digit pairs",3,IF(J63="English-Swahili pairs",3,IF(J63="spatial position",3,IF(J63="word pairs",4,IF(J63="word triads",4,IF(J63="generated words",4,IF(J63="word definition pairs",4,IF(J63="math problems",4,IF(J63="famous faces",4,IF(J63="famous names",4,IF(J63="famous voices",4,IF(J63="television programs",4,IF(J63="race horses",4,IF(J63="new vocabulary",4,IF(J63="sentences",5,IF(J63="concepts",5,IF(J63="ad slides",5,IF(J63="scenes",5,IF(J63="famous scenes",5,IF(J63="poems",6,IF(J63="walk",6,IF(J63="faces and events",6,IF(J63="events and names",6,IF(J63="flashbulb",7,IF(J63="stories",7,IF(J63="course material",7,IF(J63="autobiographical",7,IF(J63="novels",7,IF(J63="public events",7,"99"))))))))))))))))))))))))))))))))))))))))))))))</f>
        <v>2</v>
      </c>
      <c r="M63" s="69">
        <v>1</v>
      </c>
      <c r="N63" s="69">
        <v>2</v>
      </c>
      <c r="O63" s="69">
        <v>0</v>
      </c>
      <c r="P63" s="69"/>
      <c r="Q63" s="69" t="s">
        <v>65</v>
      </c>
      <c r="R63" s="69">
        <f>IF(Q63="Free Recall",1,IF(Q63="Cued Recall",2,IF(Q63="Recognition",3,IF(Q63="Multiple Choice",4,IF(Q63="Savings",5,IF(Q63="Stem Completion",6,IF(Q63="Fragment Completion",7,IF(Q63="anagram solution",8,IF(Q63="Matching",9,IF(Q63="Problem Solving",10,"99"))))))))))</f>
        <v>2</v>
      </c>
      <c r="S63" s="69" t="s">
        <v>15</v>
      </c>
      <c r="T63" s="69" t="s">
        <v>261</v>
      </c>
      <c r="U63" s="69">
        <f>IF(T63="within",1,0)</f>
        <v>0</v>
      </c>
      <c r="V63" s="69">
        <v>13</v>
      </c>
      <c r="W63" s="69">
        <f>F63*V63</f>
        <v>11063</v>
      </c>
      <c r="X63" s="69">
        <v>9</v>
      </c>
      <c r="Y63" s="87">
        <f>AV62</f>
        <v>86400</v>
      </c>
      <c r="Z63" s="69" t="s">
        <v>207</v>
      </c>
      <c r="AA63" s="69">
        <v>1450656000</v>
      </c>
      <c r="AB63" s="69" t="str">
        <f>IF(AA63&lt;60,"1",IF(AA63&lt;=43200,"2",IF(AA63&lt;=777600,"3","4")))</f>
        <v>4</v>
      </c>
      <c r="AC63" s="72">
        <f>AVERAGE(AV62:DA62)</f>
        <v>462829600</v>
      </c>
      <c r="AD63" s="69" t="str">
        <f>IF(AC63&lt;60,"1",IF(AC63&lt;=43200,"2",IF(AC63&lt;=777600,"3","4")))</f>
        <v>4</v>
      </c>
      <c r="AE63" s="87">
        <f>AA63-Y63</f>
        <v>1450569600</v>
      </c>
      <c r="AF63" s="88">
        <f>AV63</f>
        <v>0.996</v>
      </c>
      <c r="AG63" s="72">
        <f>((AW63-AV63)+(AX63-AW63)+(AY63-AX63)+(AZ63-AY63)+(BA63-AZ63)+(BB63-BA63)+(BC63-BB63)+(BD63-BC63))/8</f>
        <v>-9.0124999999999983E-2</v>
      </c>
      <c r="AH63" s="4"/>
      <c r="AI63" s="72">
        <f>RSQ(AV63:BD63,AV62:BD62)</f>
        <v>0.57142225903063404</v>
      </c>
      <c r="AJ63" s="110">
        <f>SLOPE(AV63:BD63,AV62:BD62)</f>
        <v>-4.0303916651224E-10</v>
      </c>
      <c r="AK63" s="72">
        <f>INTERCEPT(AV63:BD63,AV62:BD62)</f>
        <v>0.69487178955452678</v>
      </c>
      <c r="AL63" s="72">
        <f>INDEX(LINEST(LN(AV63:BD63),LN(AV62:BD62),TRUE,TRUE),3,1)</f>
        <v>0.76202673095763607</v>
      </c>
      <c r="AM63" s="72">
        <f>INDEX(LINEST(LN(AV63:BD63),LN(AV62:BD62)),1)</f>
        <v>-0.13542522044117383</v>
      </c>
      <c r="AN63" s="72">
        <f>EXP(INDEX(LINEST(LN(AV63:BD63),LN(AV62:BD62)),1,2))</f>
        <v>5.7735756375403362</v>
      </c>
      <c r="AO63" s="89">
        <f>INDEX(LINEST((AV63:BD63),LN(AV62:BD62),TRUE,TRUE),3,1)</f>
        <v>0.84737693079151122</v>
      </c>
      <c r="AP63" s="89">
        <f>INDEX(LINEST((AV63:BD63),LN(AV62:BD62)),1)</f>
        <v>-7.9202671511385297E-2</v>
      </c>
      <c r="AQ63" s="90">
        <f>INDEX(LINEST(LN(AV63:BD63),SQRT(AV62:BD62),TRUE,TRUE),3,1)</f>
        <v>0.91421187326910613</v>
      </c>
      <c r="AR63" s="117">
        <f>INDEX(LINEST(LN(AV63:BD63),SQRT((AV62:BD62))),1)</f>
        <v>-3.668463688848618E-5</v>
      </c>
      <c r="AS63" s="91">
        <f>INDEX(LINEST(1/(AV63:BD63),1/(SQRT(AV62:BD62)),TRUE,TRUE),3,1)</f>
        <v>0.32043764481855663</v>
      </c>
      <c r="AT63" s="91">
        <f>INDEX(LINEST(1/(AV63:BD63),1/SQRT(AV62:BD62)),1)</f>
        <v>-483.33362682527468</v>
      </c>
      <c r="AU63" s="3"/>
      <c r="AV63" s="73">
        <v>0.996</v>
      </c>
      <c r="AW63" s="73">
        <v>0.83899999999999997</v>
      </c>
      <c r="AX63" s="73">
        <v>0.56899999999999995</v>
      </c>
      <c r="AY63" s="73">
        <v>0.51400000000000001</v>
      </c>
      <c r="AZ63" s="73">
        <v>0.376</v>
      </c>
      <c r="BA63" s="73">
        <v>0.39700000000000002</v>
      </c>
      <c r="BB63" s="73">
        <v>0.314</v>
      </c>
      <c r="BC63" s="73">
        <v>0.29499999999999998</v>
      </c>
      <c r="BD63" s="73">
        <v>0.27500000000000002</v>
      </c>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1"/>
      <c r="CS63" s="1"/>
      <c r="CT63" s="1"/>
      <c r="CU63" s="1"/>
    </row>
    <row r="64" spans="1:99" s="13" customFormat="1" ht="12" customHeight="1" x14ac:dyDescent="0.2">
      <c r="A64" s="68">
        <v>43509</v>
      </c>
      <c r="B64" s="70"/>
      <c r="C64" s="70"/>
      <c r="D64" s="69"/>
      <c r="E64" s="87"/>
      <c r="F64" s="69"/>
      <c r="G64" s="69"/>
      <c r="H64" s="69"/>
      <c r="I64" s="69"/>
      <c r="J64" s="69"/>
      <c r="K64" s="107"/>
      <c r="L64" s="107"/>
      <c r="M64" s="69"/>
      <c r="N64" s="69"/>
      <c r="O64" s="69"/>
      <c r="P64" s="69"/>
      <c r="Q64" s="69"/>
      <c r="R64" s="69"/>
      <c r="S64" s="69"/>
      <c r="T64" s="69"/>
      <c r="U64" s="69"/>
      <c r="V64" s="69"/>
      <c r="W64" s="69"/>
      <c r="X64" s="69"/>
      <c r="Y64" s="87"/>
      <c r="Z64" s="69"/>
      <c r="AA64" s="69"/>
      <c r="AB64" s="69"/>
      <c r="AC64" s="69"/>
      <c r="AD64" s="69"/>
      <c r="AE64" s="69"/>
      <c r="AF64" s="88"/>
      <c r="AG64" s="72"/>
      <c r="AH64" s="4"/>
      <c r="AI64" s="72"/>
      <c r="AJ64" s="110"/>
      <c r="AK64" s="72"/>
      <c r="AL64" s="72"/>
      <c r="AM64" s="72"/>
      <c r="AN64" s="72"/>
      <c r="AO64" s="72"/>
      <c r="AP64" s="72"/>
      <c r="AQ64" s="89"/>
      <c r="AR64" s="118"/>
      <c r="AS64" s="89"/>
      <c r="AT64" s="89"/>
      <c r="AU64" s="3"/>
      <c r="AV64" s="71">
        <f>24*60*60</f>
        <v>86400</v>
      </c>
      <c r="AW64" s="71">
        <f>365*24*60*60*14/12</f>
        <v>36792000</v>
      </c>
      <c r="AX64" s="71">
        <f>365*24*60*60*44/12</f>
        <v>115632000</v>
      </c>
      <c r="AY64" s="71">
        <f>365*24*60*60*76/12</f>
        <v>199728000</v>
      </c>
      <c r="AZ64" s="71">
        <f>365*24*60*60*126/12</f>
        <v>331128000</v>
      </c>
      <c r="BA64" s="71">
        <f>365*24*60*60*179/12</f>
        <v>470412000</v>
      </c>
      <c r="BB64" s="71">
        <f>365*24*60*60*249/12</f>
        <v>654372000</v>
      </c>
      <c r="BC64" s="71">
        <f>365*24*60*60*341/12</f>
        <v>896148000</v>
      </c>
      <c r="BD64" s="71">
        <f>365*24*60*60*556/12</f>
        <v>1461168000</v>
      </c>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1"/>
      <c r="CS64" s="1"/>
      <c r="CT64" s="1"/>
      <c r="CU64" s="1"/>
    </row>
    <row r="65" spans="1:99" s="13" customFormat="1" ht="12" customHeight="1" x14ac:dyDescent="0.2">
      <c r="A65" s="68">
        <v>43509</v>
      </c>
      <c r="B65" s="70" t="s">
        <v>205</v>
      </c>
      <c r="C65" s="70" t="s">
        <v>206</v>
      </c>
      <c r="D65" s="69">
        <v>1983</v>
      </c>
      <c r="E65" s="87">
        <v>1</v>
      </c>
      <c r="F65" s="69">
        <v>851</v>
      </c>
      <c r="G65" s="69">
        <v>106.4</v>
      </c>
      <c r="H65" s="69" t="s">
        <v>232</v>
      </c>
      <c r="I65" s="69" t="s">
        <v>606</v>
      </c>
      <c r="J65" s="69" t="s">
        <v>599</v>
      </c>
      <c r="K65" s="69">
        <f>IF(J65="syllables",1,IF(J65="trigrams",2,IF(J65="strings",3,IF(J65="visual array",4,IF(J65="characters",5,IF(J65="letters",6,IF(J65="free forms",7,IF(J65="odors",8,IF(J65="words",9,IF(J65="pictures",10,IF(J65="object pictures",11,IF(J65="faces",12,IF(J65="names",13,IF(J65="idioms",14,IF(J65="grades",15,IF(J65="syllable-digit pairs",16,IF(J65="trigram-word pairs",17,IF(J65="word-digit pairs",18,IF(J65="English-Swahili pairs",19,IF(J65="spatial position",20,IF(J65="word pairs",21,IF(J65="word triads",22,IF(J65="generated words",23,IF(J65="word definition pairs",24,IF(J65="math problems",25,IF(J65="famous faces",26,IF(J65="famous names",27,IF(J65="famous voices",28,IF(J65="television programs",29,IF(J65="race horses",30,IF(J65="new vocabulary",31,IF(J65="sentences",32,IF(J65="concepts",33,IF(J65="ad slides",34,IF(J65="scenes",35,IF(J65="famous scenes",36,IF(J65="poems",37,IF(J65="walk",38,IF(J65="faces and events",39,IF(J65="events and names",40,IF(J65="flashbulb",41,IF(J65="stories",42,IF(J65="course material",43,IF(J65="autobiographical",44,IF(J65="novels",45,IF(J65="public events",46,"99"))))))))))))))))))))))))))))))))))))))))))))))</f>
        <v>13</v>
      </c>
      <c r="L65" s="69">
        <f>IF(J65="syllables",1,IF(J65="trigrams",1,IF(J65="strings",1,IF(J65="visual array",1,IF(J65="characters",1,IF(J65="letters",1,IF(J65="free forms",1,IF(J65="odors",2,IF(J65="words",2,IF(J65="pictures",2,IF(J65="object pictures",2,IF(J65="faces",2,IF(J65="names",2,IF(J65="idioms","2",IF(J65="grades",2,IF(J65="syllable-digit pairs",3,IF(J65="trigram-word pairs",3,IF(J65="word-digit pairs",3,IF(J65="English-Swahili pairs",3,IF(J65="spatial position",3,IF(J65="word pairs",4,IF(J65="word triads",4,IF(J65="generated words",4,IF(J65="word definition pairs",4,IF(J65="math problems",4,IF(J65="famous faces",4,IF(J65="famous names",4,IF(J65="famous voices",4,IF(J65="television programs",4,IF(J65="race horses",4,IF(J65="new vocabulary",4,IF(J65="sentences",5,IF(J65="concepts",5,IF(J65="ad slides",5,IF(J65="scenes",5,IF(J65="famous scenes",5,IF(J65="poems",6,IF(J65="walk",6,IF(J65="faces and events",6,IF(J65="events and names",6,IF(J65="flashbulb",7,IF(J65="stories",7,IF(J65="course material",7,IF(J65="autobiographical",7,IF(J65="novels",7,IF(J65="public events",7,"99"))))))))))))))))))))))))))))))))))))))))))))))</f>
        <v>2</v>
      </c>
      <c r="M65" s="69">
        <v>1</v>
      </c>
      <c r="N65" s="69">
        <v>2</v>
      </c>
      <c r="O65" s="69">
        <v>0</v>
      </c>
      <c r="P65" s="69"/>
      <c r="Q65" s="92" t="s">
        <v>174</v>
      </c>
      <c r="R65" s="69">
        <f>IF(Q65="Free Recall",1,IF(Q65="Cued Recall",2,IF(Q65="Recognition",3,IF(Q65="Multiple Choice",4,IF(Q65="Savings",5,IF(Q65="Stem Completion",6,IF(Q65="Fragment Completion",7,IF(Q65="anagram solution",8,IF(Q65="Matching",9,IF(Q65="Problem Solving",10,"99"))))))))))</f>
        <v>1</v>
      </c>
      <c r="S65" s="69" t="s">
        <v>15</v>
      </c>
      <c r="T65" s="69" t="s">
        <v>261</v>
      </c>
      <c r="U65" s="69">
        <f>IF(T65="within",1,0)</f>
        <v>0</v>
      </c>
      <c r="V65" s="69">
        <v>30</v>
      </c>
      <c r="W65" s="69">
        <f>F65*V65</f>
        <v>25530</v>
      </c>
      <c r="X65" s="69">
        <v>9</v>
      </c>
      <c r="Y65" s="87">
        <f>AV64</f>
        <v>86400</v>
      </c>
      <c r="Z65" s="69" t="s">
        <v>207</v>
      </c>
      <c r="AA65" s="69">
        <v>1450656000</v>
      </c>
      <c r="AB65" s="69" t="str">
        <f>IF(AA65&lt;60,"1",IF(AA65&lt;=43200,"2",IF(AA65&lt;=777600,"3","4")))</f>
        <v>4</v>
      </c>
      <c r="AC65" s="72">
        <f>AVERAGE(AV64:DA64)</f>
        <v>462829600</v>
      </c>
      <c r="AD65" s="69" t="str">
        <f>IF(AC65&lt;60,"1",IF(AC65&lt;=43200,"2",IF(AC65&lt;=777600,"3","4")))</f>
        <v>4</v>
      </c>
      <c r="AE65" s="87">
        <f>AA65-Y65</f>
        <v>1450569600</v>
      </c>
      <c r="AF65" s="88">
        <f>AV65</f>
        <v>0.99399999999999999</v>
      </c>
      <c r="AG65" s="72">
        <f>((AW65-AV65)+(AX65-AW65)+(AY65-AX65)+(AZ65-AY65)+(BA65-AZ65)+(BB65-BA65)+(BC65-BB65)+(BD65-BC65))/8</f>
        <v>-0.104375</v>
      </c>
      <c r="AH65" s="4"/>
      <c r="AI65" s="72">
        <f>RSQ(AV65:BD65,AV64:BD64)</f>
        <v>0.69809147369778823</v>
      </c>
      <c r="AJ65" s="110">
        <f>SLOPE(AV65:BD65,AV64:BD64)</f>
        <v>-4.7111436885444136E-10</v>
      </c>
      <c r="AK65" s="72">
        <f>INTERCEPT(AV65:BD65,AV64:BD64)</f>
        <v>0.72349011933559793</v>
      </c>
      <c r="AL65" s="72">
        <f>INDEX(LINEST(LN(AV65:BD65),LN(AV64:BD64),TRUE,TRUE),3,1)</f>
        <v>0.6319618372249679</v>
      </c>
      <c r="AM65" s="72">
        <f>INDEX(LINEST(LN(AV65:BD65),LN(AV64:BD64)),1)</f>
        <v>-0.1519162661259072</v>
      </c>
      <c r="AN65" s="72">
        <f>EXP(INDEX(LINEST(LN(AV65:BD65),LN(AV64:BD64)),1,2))</f>
        <v>7.5437074359172724</v>
      </c>
      <c r="AO65" s="89">
        <f>INDEX(LINEST((AV65:BD65),LN(AV64:BD64),TRUE,TRUE),3,1)</f>
        <v>0.81049026268983804</v>
      </c>
      <c r="AP65" s="89">
        <f>INDEX(LINEST((AV65:BD65),LN(AV64:BD64)),1)</f>
        <v>-8.1917543695080433E-2</v>
      </c>
      <c r="AQ65" s="90">
        <f>INDEX(LINEST(LN(AV65:BD65),SQRT(AV64:BD64),TRUE,TRUE),3,1)</f>
        <v>0.94879896462809343</v>
      </c>
      <c r="AR65" s="117">
        <f>INDEX(LINEST(LN(AV65:BD65),SQRT((AV64:BD64))),1)</f>
        <v>-4.603544016601435E-5</v>
      </c>
      <c r="AS65" s="91">
        <f>INDEX(LINEST(1/(AV65:BD65),1/(SQRT(AV64:BD64)),TRUE,TRUE),3,1)</f>
        <v>0.16141383108260013</v>
      </c>
      <c r="AT65" s="91">
        <f>INDEX(LINEST(1/(AV65:BD65),1/SQRT(AV64:BD64)),1)</f>
        <v>-577.79907168568025</v>
      </c>
      <c r="AU65" s="3"/>
      <c r="AV65" s="73">
        <v>0.99399999999999999</v>
      </c>
      <c r="AW65" s="73">
        <v>0.80300000000000005</v>
      </c>
      <c r="AX65" s="73">
        <v>0.64900000000000002</v>
      </c>
      <c r="AY65" s="73">
        <v>0.56999999999999995</v>
      </c>
      <c r="AZ65" s="73">
        <v>0.378</v>
      </c>
      <c r="BA65" s="73">
        <v>0.35099999999999998</v>
      </c>
      <c r="BB65" s="73">
        <v>0.30199999999999999</v>
      </c>
      <c r="BC65" s="73">
        <v>0.34300000000000003</v>
      </c>
      <c r="BD65" s="73">
        <v>0.159</v>
      </c>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1"/>
      <c r="CS65" s="1"/>
      <c r="CT65" s="1"/>
      <c r="CU65" s="1"/>
    </row>
    <row r="66" spans="1:99" s="13" customFormat="1" ht="12" customHeight="1" x14ac:dyDescent="0.2">
      <c r="A66" s="68">
        <v>43509</v>
      </c>
      <c r="B66" s="70"/>
      <c r="C66" s="70"/>
      <c r="D66" s="69"/>
      <c r="E66" s="87"/>
      <c r="F66" s="69"/>
      <c r="G66" s="69"/>
      <c r="H66" s="69"/>
      <c r="I66" s="69"/>
      <c r="J66" s="69"/>
      <c r="K66" s="107"/>
      <c r="L66" s="107"/>
      <c r="M66" s="69"/>
      <c r="N66" s="69"/>
      <c r="O66" s="69"/>
      <c r="P66" s="69"/>
      <c r="Q66" s="69"/>
      <c r="R66" s="69"/>
      <c r="S66" s="69"/>
      <c r="T66" s="69"/>
      <c r="U66" s="69"/>
      <c r="V66" s="69"/>
      <c r="W66" s="69"/>
      <c r="X66" s="69"/>
      <c r="Y66" s="87"/>
      <c r="Z66" s="69"/>
      <c r="AA66" s="69"/>
      <c r="AB66" s="69"/>
      <c r="AC66" s="69"/>
      <c r="AD66" s="69"/>
      <c r="AE66" s="69"/>
      <c r="AF66" s="88"/>
      <c r="AG66" s="72"/>
      <c r="AH66" s="4"/>
      <c r="AI66" s="72"/>
      <c r="AJ66" s="110"/>
      <c r="AK66" s="72"/>
      <c r="AL66" s="72"/>
      <c r="AM66" s="72"/>
      <c r="AN66" s="72"/>
      <c r="AO66" s="72"/>
      <c r="AP66" s="72"/>
      <c r="AQ66" s="89"/>
      <c r="AR66" s="118"/>
      <c r="AS66" s="89"/>
      <c r="AT66" s="89"/>
      <c r="AU66" s="3"/>
      <c r="AV66" s="71">
        <f>24*60*60</f>
        <v>86400</v>
      </c>
      <c r="AW66" s="71">
        <f>365*24*60*60*14/12</f>
        <v>36792000</v>
      </c>
      <c r="AX66" s="71">
        <f>365*24*60*60*44/12</f>
        <v>115632000</v>
      </c>
      <c r="AY66" s="71">
        <f>365*24*60*60*76/12</f>
        <v>199728000</v>
      </c>
      <c r="AZ66" s="71">
        <f>365*24*60*60*126/12</f>
        <v>331128000</v>
      </c>
      <c r="BA66" s="71">
        <f>365*24*60*60*179/12</f>
        <v>470412000</v>
      </c>
      <c r="BB66" s="71">
        <f>365*24*60*60*249/12</f>
        <v>654372000</v>
      </c>
      <c r="BC66" s="71">
        <f>365*24*60*60*341/12</f>
        <v>896148000</v>
      </c>
      <c r="BD66" s="71">
        <f>365*24*60*60*556/12</f>
        <v>1461168000</v>
      </c>
      <c r="BE66" s="42"/>
      <c r="BF66" s="42"/>
      <c r="BG66" s="4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1"/>
      <c r="CS66" s="1"/>
      <c r="CT66" s="1"/>
      <c r="CU66" s="1"/>
    </row>
    <row r="67" spans="1:99" s="13" customFormat="1" ht="12" customHeight="1" x14ac:dyDescent="0.2">
      <c r="A67" s="68">
        <v>43509</v>
      </c>
      <c r="B67" s="70" t="s">
        <v>205</v>
      </c>
      <c r="C67" s="70" t="s">
        <v>206</v>
      </c>
      <c r="D67" s="69">
        <v>1983</v>
      </c>
      <c r="E67" s="87">
        <v>1</v>
      </c>
      <c r="F67" s="69">
        <v>851</v>
      </c>
      <c r="G67" s="69">
        <v>106.4</v>
      </c>
      <c r="H67" s="69" t="s">
        <v>232</v>
      </c>
      <c r="I67" s="69" t="s">
        <v>607</v>
      </c>
      <c r="J67" s="69" t="s">
        <v>599</v>
      </c>
      <c r="K67" s="69">
        <f>IF(J67="syllables",1,IF(J67="trigrams",2,IF(J67="strings",3,IF(J67="visual array",4,IF(J67="characters",5,IF(J67="letters",6,IF(J67="free forms",7,IF(J67="odors",8,IF(J67="words",9,IF(J67="pictures",10,IF(J67="object pictures",11,IF(J67="faces",12,IF(J67="names",13,IF(J67="idioms",14,IF(J67="grades",15,IF(J67="syllable-digit pairs",16,IF(J67="trigram-word pairs",17,IF(J67="word-digit pairs",18,IF(J67="English-Swahili pairs",19,IF(J67="spatial position",20,IF(J67="word pairs",21,IF(J67="word triads",22,IF(J67="generated words",23,IF(J67="word definition pairs",24,IF(J67="math problems",25,IF(J67="famous faces",26,IF(J67="famous names",27,IF(J67="famous voices",28,IF(J67="television programs",29,IF(J67="race horses",30,IF(J67="new vocabulary",31,IF(J67="sentences",32,IF(J67="concepts",33,IF(J67="ad slides",34,IF(J67="scenes",35,IF(J67="famous scenes",36,IF(J67="poems",37,IF(J67="walk",38,IF(J67="faces and events",39,IF(J67="events and names",40,IF(J67="flashbulb",41,IF(J67="stories",42,IF(J67="course material",43,IF(J67="autobiographical",44,IF(J67="novels",45,IF(J67="public events",46,"99"))))))))))))))))))))))))))))))))))))))))))))))</f>
        <v>13</v>
      </c>
      <c r="L67" s="69">
        <f>IF(J67="syllables",1,IF(J67="trigrams",1,IF(J67="strings",1,IF(J67="visual array",1,IF(J67="characters",1,IF(J67="letters",1,IF(J67="free forms",1,IF(J67="odors",2,IF(J67="words",2,IF(J67="pictures",2,IF(J67="object pictures",2,IF(J67="faces",2,IF(J67="names",2,IF(J67="idioms","2",IF(J67="grades",2,IF(J67="syllable-digit pairs",3,IF(J67="trigram-word pairs",3,IF(J67="word-digit pairs",3,IF(J67="English-Swahili pairs",3,IF(J67="spatial position",3,IF(J67="word pairs",4,IF(J67="word triads",4,IF(J67="generated words",4,IF(J67="word definition pairs",4,IF(J67="math problems",4,IF(J67="famous faces",4,IF(J67="famous names",4,IF(J67="famous voices",4,IF(J67="television programs",4,IF(J67="race horses",4,IF(J67="new vocabulary",4,IF(J67="sentences",5,IF(J67="concepts",5,IF(J67="ad slides",5,IF(J67="scenes",5,IF(J67="famous scenes",5,IF(J67="poems",6,IF(J67="walk",6,IF(J67="faces and events",6,IF(J67="events and names",6,IF(J67="flashbulb",7,IF(J67="stories",7,IF(J67="course material",7,IF(J67="autobiographical",7,IF(J67="novels",7,IF(J67="public events",7,"99"))))))))))))))))))))))))))))))))))))))))))))))</f>
        <v>2</v>
      </c>
      <c r="M67" s="69">
        <v>1</v>
      </c>
      <c r="N67" s="69">
        <v>2</v>
      </c>
      <c r="O67" s="69">
        <v>0</v>
      </c>
      <c r="P67" s="69"/>
      <c r="Q67" s="69" t="s">
        <v>133</v>
      </c>
      <c r="R67" s="69">
        <f>IF(Q67="Free Recall",1,IF(Q67="Cued Recall",2,IF(Q67="Recognition",3,IF(Q67="Multiple Choice",4,IF(Q67="Savings",5,IF(Q67="Stem Completion",6,IF(Q67="Fragment Completion",7,IF(Q67="anagram solution",8,IF(Q67="Matching",9,IF(Q67="Problem Solving",10,"99"))))))))))</f>
        <v>9</v>
      </c>
      <c r="S67" s="69" t="s">
        <v>15</v>
      </c>
      <c r="T67" s="69" t="s">
        <v>261</v>
      </c>
      <c r="U67" s="69">
        <f>IF(T67="within",1,0)</f>
        <v>0</v>
      </c>
      <c r="V67" s="69">
        <v>13</v>
      </c>
      <c r="W67" s="69">
        <f>F67*V67</f>
        <v>11063</v>
      </c>
      <c r="X67" s="69">
        <v>9</v>
      </c>
      <c r="Y67" s="87">
        <f>AV66</f>
        <v>86400</v>
      </c>
      <c r="Z67" s="69" t="s">
        <v>207</v>
      </c>
      <c r="AA67" s="69">
        <v>1450656000</v>
      </c>
      <c r="AB67" s="69" t="str">
        <f>IF(AA67&lt;60,"1",IF(AA67&lt;=43200,"2",IF(AA67&lt;=777600,"3","4")))</f>
        <v>4</v>
      </c>
      <c r="AC67" s="72">
        <f>AVERAGE(AV66:DA66)</f>
        <v>462829600</v>
      </c>
      <c r="AD67" s="69" t="str">
        <f>IF(AC67&lt;60,"1",IF(AC67&lt;=43200,"2",IF(AC67&lt;=777600,"3","4")))</f>
        <v>4</v>
      </c>
      <c r="AE67" s="87">
        <f>AA67-Y67</f>
        <v>1450569600</v>
      </c>
      <c r="AF67" s="88">
        <f>AV67</f>
        <v>0.999</v>
      </c>
      <c r="AG67" s="72">
        <f>((AW67-AV67)+(AX67-AW67)+(AY67-AX67)+(AZ67-AY67)+(BA67-AZ67)+(BB67-BA67)+(BC67-BB67)+(BD67-BC67))/8</f>
        <v>-6.9750000000000006E-2</v>
      </c>
      <c r="AH67" s="4"/>
      <c r="AI67" s="72">
        <f>RSQ(AV67:BD67,AV66:BD66)</f>
        <v>0.5717970906326858</v>
      </c>
      <c r="AJ67" s="110">
        <f>SLOPE(AV67:BD67,AV66:BD66)</f>
        <v>-3.4768335774492709E-10</v>
      </c>
      <c r="AK67" s="72">
        <f>INTERCEPT(AV67:BD67,AV66:BD66)</f>
        <v>0.81236259383618592</v>
      </c>
      <c r="AL67" s="72">
        <f>INDEX(LINEST(LN(AV67:BD67),LN(AV66:BD66),TRUE,TRUE),3,1)</f>
        <v>0.65346824229338407</v>
      </c>
      <c r="AM67" s="72">
        <f>INDEX(LINEST(LN(AV67:BD67),LN(AV66:BD66)),1)</f>
        <v>-8.7656895894171291E-2</v>
      </c>
      <c r="AN67" s="72">
        <f>EXP(INDEX(LINEST(LN(AV67:BD67),LN(AV66:BD66)),1,2))</f>
        <v>3.1935613057314631</v>
      </c>
      <c r="AO67" s="89">
        <f>INDEX(LINEST((AV67:BD67),LN(AV66:BD66),TRUE,TRUE),3,1)</f>
        <v>0.6979275921697965</v>
      </c>
      <c r="AP67" s="89">
        <f>INDEX(LINEST((AV67:BD67),LN(AV66:BD66)),1)</f>
        <v>-6.1987047913812286E-2</v>
      </c>
      <c r="AQ67" s="90">
        <f>INDEX(LINEST(LN(AV67:BD67),SQRT(AV66:BD66),TRUE,TRUE),3,1)</f>
        <v>0.82312011877781932</v>
      </c>
      <c r="AR67" s="117">
        <f>INDEX(LINEST(LN(AV67:BD67),SQRT((AV66:BD66))),1)</f>
        <v>-2.4330542948732228E-5</v>
      </c>
      <c r="AS67" s="91">
        <f>INDEX(LINEST(1/(AV67:BD67),1/(SQRT(AV66:BD66)),TRUE,TRUE),3,1)</f>
        <v>0.28830884230463549</v>
      </c>
      <c r="AT67" s="91">
        <f>INDEX(LINEST(1/(AV67:BD67),1/SQRT(AV66:BD66)),1)</f>
        <v>-242.06592195524317</v>
      </c>
      <c r="AU67" s="3"/>
      <c r="AV67" s="73">
        <v>0.999</v>
      </c>
      <c r="AW67" s="73">
        <v>0.99</v>
      </c>
      <c r="AX67" s="73">
        <v>0.76500000000000001</v>
      </c>
      <c r="AY67" s="73">
        <v>0.61199999999999999</v>
      </c>
      <c r="AZ67" s="73">
        <v>0.53100000000000003</v>
      </c>
      <c r="BA67" s="73">
        <v>0.59499999999999997</v>
      </c>
      <c r="BB67" s="73">
        <v>0.41899999999999998</v>
      </c>
      <c r="BC67" s="73">
        <v>0.51100000000000001</v>
      </c>
      <c r="BD67" s="73">
        <v>0.441</v>
      </c>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1"/>
      <c r="CS67" s="1"/>
      <c r="CT67" s="1"/>
      <c r="CU67" s="1"/>
    </row>
    <row r="68" spans="1:99" s="13" customFormat="1" ht="12" customHeight="1" x14ac:dyDescent="0.2">
      <c r="A68" s="68">
        <v>43509</v>
      </c>
      <c r="B68" s="70"/>
      <c r="C68" s="70"/>
      <c r="D68" s="69"/>
      <c r="E68" s="87"/>
      <c r="F68" s="69"/>
      <c r="G68" s="69"/>
      <c r="H68" s="69"/>
      <c r="I68" s="69"/>
      <c r="J68" s="69"/>
      <c r="K68" s="107"/>
      <c r="L68" s="107"/>
      <c r="M68" s="69"/>
      <c r="N68" s="69"/>
      <c r="O68" s="69"/>
      <c r="P68" s="69"/>
      <c r="Q68" s="69"/>
      <c r="R68" s="69"/>
      <c r="S68" s="69"/>
      <c r="T68" s="69"/>
      <c r="U68" s="69"/>
      <c r="V68" s="69"/>
      <c r="W68" s="69"/>
      <c r="X68" s="69"/>
      <c r="Y68" s="87"/>
      <c r="Z68" s="69"/>
      <c r="AA68" s="69"/>
      <c r="AB68" s="69"/>
      <c r="AC68" s="69"/>
      <c r="AD68" s="69"/>
      <c r="AE68" s="69"/>
      <c r="AF68" s="88"/>
      <c r="AG68" s="72"/>
      <c r="AH68" s="4"/>
      <c r="AI68" s="72"/>
      <c r="AJ68" s="110"/>
      <c r="AK68" s="72"/>
      <c r="AL68" s="72"/>
      <c r="AM68" s="72"/>
      <c r="AN68" s="72"/>
      <c r="AO68" s="72"/>
      <c r="AP68" s="72"/>
      <c r="AQ68" s="89"/>
      <c r="AR68" s="118"/>
      <c r="AS68" s="89"/>
      <c r="AT68" s="89"/>
      <c r="AU68" s="3"/>
      <c r="AV68" s="71">
        <f>24*60*60</f>
        <v>86400</v>
      </c>
      <c r="AW68" s="71">
        <f>365*24*60*60*14/12</f>
        <v>36792000</v>
      </c>
      <c r="AX68" s="71">
        <f>365*24*60*60*44/12</f>
        <v>115632000</v>
      </c>
      <c r="AY68" s="71">
        <f>365*24*60*60*76/12</f>
        <v>199728000</v>
      </c>
      <c r="AZ68" s="71">
        <f>365*24*60*60*126/12</f>
        <v>331128000</v>
      </c>
      <c r="BA68" s="71">
        <f>365*24*60*60*179/12</f>
        <v>470412000</v>
      </c>
      <c r="BB68" s="71">
        <f>365*24*60*60*249/12</f>
        <v>654372000</v>
      </c>
      <c r="BC68" s="71">
        <f>365*24*60*60*341/12</f>
        <v>896148000</v>
      </c>
      <c r="BD68" s="71">
        <f>365*24*60*60*556/12</f>
        <v>1461168000</v>
      </c>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1"/>
      <c r="CS68" s="1"/>
      <c r="CT68" s="1"/>
      <c r="CU68" s="1"/>
    </row>
    <row r="69" spans="1:99" s="13" customFormat="1" ht="12" customHeight="1" x14ac:dyDescent="0.2">
      <c r="A69" s="68">
        <v>43509</v>
      </c>
      <c r="B69" s="70" t="s">
        <v>205</v>
      </c>
      <c r="C69" s="70" t="s">
        <v>206</v>
      </c>
      <c r="D69" s="69">
        <v>1983</v>
      </c>
      <c r="E69" s="87">
        <v>1</v>
      </c>
      <c r="F69" s="69">
        <v>851</v>
      </c>
      <c r="G69" s="69">
        <v>106.4</v>
      </c>
      <c r="H69" s="69" t="s">
        <v>232</v>
      </c>
      <c r="I69" s="69" t="s">
        <v>608</v>
      </c>
      <c r="J69" s="69" t="s">
        <v>599</v>
      </c>
      <c r="K69" s="69">
        <f>IF(J69="syllables",1,IF(J69="trigrams",2,IF(J69="strings",3,IF(J69="visual array",4,IF(J69="characters",5,IF(J69="letters",6,IF(J69="free forms",7,IF(J69="odors",8,IF(J69="words",9,IF(J69="pictures",10,IF(J69="object pictures",11,IF(J69="faces",12,IF(J69="names",13,IF(J69="idioms",14,IF(J69="grades",15,IF(J69="syllable-digit pairs",16,IF(J69="trigram-word pairs",17,IF(J69="word-digit pairs",18,IF(J69="English-Swahili pairs",19,IF(J69="spatial position",20,IF(J69="word pairs",21,IF(J69="word triads",22,IF(J69="generated words",23,IF(J69="word definition pairs",24,IF(J69="math problems",25,IF(J69="famous faces",26,IF(J69="famous names",27,IF(J69="famous voices",28,IF(J69="television programs",29,IF(J69="race horses",30,IF(J69="new vocabulary",31,IF(J69="sentences",32,IF(J69="concepts",33,IF(J69="ad slides",34,IF(J69="scenes",35,IF(J69="famous scenes",36,IF(J69="poems",37,IF(J69="walk",38,IF(J69="faces and events",39,IF(J69="events and names",40,IF(J69="flashbulb",41,IF(J69="stories",42,IF(J69="course material",43,IF(J69="autobiographical",44,IF(J69="novels",45,IF(J69="public events",46,"99"))))))))))))))))))))))))))))))))))))))))))))))</f>
        <v>13</v>
      </c>
      <c r="L69" s="69">
        <f>IF(J69="syllables",1,IF(J69="trigrams",1,IF(J69="strings",1,IF(J69="visual array",1,IF(J69="characters",1,IF(J69="letters",1,IF(J69="free forms",1,IF(J69="odors",2,IF(J69="words",2,IF(J69="pictures",2,IF(J69="object pictures",2,IF(J69="faces",2,IF(J69="names",2,IF(J69="idioms","2",IF(J69="grades",2,IF(J69="syllable-digit pairs",3,IF(J69="trigram-word pairs",3,IF(J69="word-digit pairs",3,IF(J69="English-Swahili pairs",3,IF(J69="spatial position",3,IF(J69="word pairs",4,IF(J69="word triads",4,IF(J69="generated words",4,IF(J69="word definition pairs",4,IF(J69="math problems",4,IF(J69="famous faces",4,IF(J69="famous names",4,IF(J69="famous voices",4,IF(J69="television programs",4,IF(J69="race horses",4,IF(J69="new vocabulary",4,IF(J69="sentences",5,IF(J69="concepts",5,IF(J69="ad slides",5,IF(J69="scenes",5,IF(J69="famous scenes",5,IF(J69="poems",6,IF(J69="walk",6,IF(J69="faces and events",6,IF(J69="events and names",6,IF(J69="flashbulb",7,IF(J69="stories",7,IF(J69="course material",7,IF(J69="autobiographical",7,IF(J69="novels",7,IF(J69="public events",7,"99"))))))))))))))))))))))))))))))))))))))))))))))</f>
        <v>2</v>
      </c>
      <c r="M69" s="69">
        <v>1</v>
      </c>
      <c r="N69" s="69">
        <v>2</v>
      </c>
      <c r="O69" s="69">
        <v>0</v>
      </c>
      <c r="P69" s="69"/>
      <c r="Q69" s="69" t="s">
        <v>65</v>
      </c>
      <c r="R69" s="69">
        <f>IF(Q69="Free Recall",1,IF(Q69="Cued Recall",2,IF(Q69="Recognition",3,IF(Q69="Multiple Choice",4,IF(Q69="Savings",5,IF(Q69="Stem Completion",6,IF(Q69="Fragment Completion",7,IF(Q69="anagram solution",8,IF(Q69="Matching",9,IF(Q69="Problem Solving",10,"99"))))))))))</f>
        <v>2</v>
      </c>
      <c r="S69" s="69" t="s">
        <v>15</v>
      </c>
      <c r="T69" s="69" t="s">
        <v>261</v>
      </c>
      <c r="U69" s="69">
        <f>IF(T69="within",1,0)</f>
        <v>0</v>
      </c>
      <c r="V69" s="69">
        <v>13</v>
      </c>
      <c r="W69" s="69">
        <f>F69*V69</f>
        <v>11063</v>
      </c>
      <c r="X69" s="69">
        <v>9</v>
      </c>
      <c r="Y69" s="87">
        <f>AV68</f>
        <v>86400</v>
      </c>
      <c r="Z69" s="69" t="s">
        <v>207</v>
      </c>
      <c r="AA69" s="69">
        <v>1450656000</v>
      </c>
      <c r="AB69" s="69" t="str">
        <f>IF(AA69&lt;60,"1",IF(AA69&lt;=43200,"2",IF(AA69&lt;=777600,"3","4")))</f>
        <v>4</v>
      </c>
      <c r="AC69" s="72">
        <f>AVERAGE(AV68:DA68)</f>
        <v>462829600</v>
      </c>
      <c r="AD69" s="69" t="str">
        <f>IF(AC69&lt;60,"1",IF(AC69&lt;=43200,"2",IF(AC69&lt;=777600,"3","4")))</f>
        <v>4</v>
      </c>
      <c r="AE69" s="87">
        <f>AA69-Y69</f>
        <v>1450569600</v>
      </c>
      <c r="AF69" s="88">
        <f>AV69</f>
        <v>0.998</v>
      </c>
      <c r="AG69" s="72">
        <f>((AW69-AV69)+(AX69-AW69)+(AY69-AX69)+(AZ69-AY69)+(BA69-AZ69)+(BB69-BA69)+(BC69-BB69)+(BD69-BC69))/8</f>
        <v>-0.12425</v>
      </c>
      <c r="AH69" s="4"/>
      <c r="AI69" s="72">
        <f>RSQ(AV69:BD69,AV68:BD68)</f>
        <v>0.50946815917764254</v>
      </c>
      <c r="AJ69" s="110">
        <f>SLOPE(AV69:BD69,AV68:BD68)</f>
        <v>-4.5764774648214109E-10</v>
      </c>
      <c r="AK69" s="72">
        <f>INTERCEPT(AV69:BD69,AV68:BD68)</f>
        <v>0.56014625677856411</v>
      </c>
      <c r="AL69" s="72">
        <f>INDEX(LINEST(LN(AV69:BD69),LN(AV68:BD68),TRUE,TRUE),3,1)</f>
        <v>0.37029169276737128</v>
      </c>
      <c r="AM69" s="72">
        <f>INDEX(LINEST(LN(AV69:BD69),LN(AV68:BD68)),1)</f>
        <v>-0.33010491176757845</v>
      </c>
      <c r="AN69" s="72">
        <f>EXP(INDEX(LINEST(LN(AV69:BD69),LN(AV68:BD68)),1,2))</f>
        <v>90.844985452656459</v>
      </c>
      <c r="AO69" s="89">
        <f>INDEX(LINEST((AV69:BD69),LN(AV68:BD68),TRUE,TRUE),3,1)</f>
        <v>0.89301900400720668</v>
      </c>
      <c r="AP69" s="89">
        <f>INDEX(LINEST((AV69:BD69),LN(AV68:BD68)),1)</f>
        <v>-9.7776838926139517E-2</v>
      </c>
      <c r="AQ69" s="90">
        <f>INDEX(LINEST(LN(AV69:BD69),SQRT(AV68:BD68),TRUE,TRUE),3,1)</f>
        <v>0.70952494994118165</v>
      </c>
      <c r="AR69" s="117">
        <f>INDEX(LINEST(LN(AV69:BD69),SQRT((AV68:BD68))),1)</f>
        <v>-1.1300825936114278E-4</v>
      </c>
      <c r="AS69" s="91">
        <f>INDEX(LINEST(1/(AV69:BD69),1/(SQRT(AV68:BD68)),TRUE,TRUE),3,1)</f>
        <v>2.3380139711930523E-2</v>
      </c>
      <c r="AT69" s="91">
        <f>INDEX(LINEST(1/(AV69:BD69),1/SQRT(AV68:BD68)),1)</f>
        <v>-11271.085700169997</v>
      </c>
      <c r="AU69" s="3"/>
      <c r="AV69" s="73">
        <v>0.998</v>
      </c>
      <c r="AW69" s="73">
        <v>0.65800000000000003</v>
      </c>
      <c r="AX69" s="73">
        <v>0.36899999999999999</v>
      </c>
      <c r="AY69" s="73">
        <v>0.32500000000000001</v>
      </c>
      <c r="AZ69" s="73">
        <v>0.193</v>
      </c>
      <c r="BA69" s="73">
        <v>0.21099999999999999</v>
      </c>
      <c r="BB69" s="73">
        <v>9.2999999999999999E-2</v>
      </c>
      <c r="BC69" s="73">
        <v>0.28399999999999997</v>
      </c>
      <c r="BD69" s="73">
        <v>4.0000000000000001E-3</v>
      </c>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1"/>
      <c r="CS69" s="1"/>
      <c r="CT69" s="1"/>
      <c r="CU69" s="1"/>
    </row>
    <row r="70" spans="1:99" s="13" customFormat="1" ht="12" customHeight="1" x14ac:dyDescent="0.2">
      <c r="A70" s="65">
        <v>43509</v>
      </c>
      <c r="B70" s="1"/>
      <c r="C70" s="1"/>
      <c r="D70" s="60"/>
      <c r="E70" s="76"/>
      <c r="F70" s="60"/>
      <c r="G70" s="60"/>
      <c r="H70" s="60"/>
      <c r="I70" s="60"/>
      <c r="J70" s="60"/>
      <c r="K70" s="64"/>
      <c r="L70" s="64"/>
      <c r="M70" s="60"/>
      <c r="N70" s="60"/>
      <c r="O70" s="60"/>
      <c r="P70" s="60"/>
      <c r="Q70" s="60"/>
      <c r="R70" s="60"/>
      <c r="S70" s="60"/>
      <c r="T70" s="60"/>
      <c r="U70" s="60"/>
      <c r="V70" s="60"/>
      <c r="W70" s="60"/>
      <c r="X70" s="60"/>
      <c r="Y70" s="76"/>
      <c r="Z70" s="60"/>
      <c r="AA70" s="60"/>
      <c r="AB70" s="60"/>
      <c r="AC70" s="60"/>
      <c r="AD70" s="60"/>
      <c r="AE70" s="60"/>
      <c r="AF70" s="80"/>
      <c r="AG70" s="56"/>
      <c r="AH70" s="4"/>
      <c r="AI70" s="56"/>
      <c r="AJ70" s="109"/>
      <c r="AK70" s="56"/>
      <c r="AL70" s="56"/>
      <c r="AM70" s="56"/>
      <c r="AN70" s="56"/>
      <c r="AO70" s="56"/>
      <c r="AP70" s="56"/>
      <c r="AQ70" s="82"/>
      <c r="AR70" s="115"/>
      <c r="AS70" s="82"/>
      <c r="AT70" s="82"/>
      <c r="AU70" s="3"/>
      <c r="AV70" s="25">
        <v>60</v>
      </c>
      <c r="AW70" s="25">
        <f>365*24*60*60*14.5/12</f>
        <v>38106000</v>
      </c>
      <c r="AX70" s="25">
        <f>365*24*60*60*37.8/12</f>
        <v>99338400</v>
      </c>
      <c r="AY70" s="25">
        <f>365*24*60*60*69.1/12</f>
        <v>181594800</v>
      </c>
      <c r="AZ70" s="25">
        <f>365*24*60*60*114/12</f>
        <v>299592000</v>
      </c>
      <c r="BA70" s="25">
        <f>365*24*60*60*175.1/12</f>
        <v>460162800</v>
      </c>
      <c r="BB70" s="25">
        <f>365*24*60*60*300.6/12</f>
        <v>789976800</v>
      </c>
      <c r="BC70" s="25">
        <f>365*24*60*60*415.2/12</f>
        <v>1091145600</v>
      </c>
      <c r="BD70" s="25">
        <f>365*24*60*60*596.4/12</f>
        <v>1567339200</v>
      </c>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1"/>
      <c r="CS70" s="1"/>
      <c r="CT70" s="1"/>
      <c r="CU70" s="1"/>
    </row>
    <row r="71" spans="1:99" s="13" customFormat="1" ht="12" customHeight="1" x14ac:dyDescent="0.2">
      <c r="A71" s="65">
        <v>43509</v>
      </c>
      <c r="B71" s="1" t="s">
        <v>208</v>
      </c>
      <c r="C71" s="1" t="s">
        <v>202</v>
      </c>
      <c r="D71" s="60">
        <v>1984</v>
      </c>
      <c r="E71" s="76">
        <v>1</v>
      </c>
      <c r="F71" s="60">
        <v>773</v>
      </c>
      <c r="G71" s="60">
        <v>91.6</v>
      </c>
      <c r="H71" s="60" t="s">
        <v>615</v>
      </c>
      <c r="I71" s="60" t="s">
        <v>613</v>
      </c>
      <c r="J71" s="60" t="s">
        <v>616</v>
      </c>
      <c r="K71" s="60">
        <f>IF(J71="syllables",1,IF(J71="trigrams",2,IF(J71="strings",3,IF(J71="visual array",4,IF(J71="characters",5,IF(J71="letters",6,IF(J71="free forms",7,IF(J71="odors",8,IF(J71="words",9,IF(J71="pictures",10,IF(J71="object pictures",11,IF(J71="faces",12,IF(J71="names",13,IF(J71="idioms",14,IF(J71="grades",15,IF(J71="syllable-digit pairs",16,IF(J71="trigram-word pairs",17,IF(J71="word-digit pairs",18,IF(J71="English-Swahili pairs",19,IF(J71="spatial position",20,IF(J71="word pairs",21,IF(J71="word triads",22,IF(J71="generated words",23,IF(J71="word definition pairs",24,IF(J71="math problems",25,IF(J71="famous faces",26,IF(J71="famous names",27,IF(J71="famous voices",28,IF(J71="television programs",29,IF(J71="race horses",30,IF(J71="new vocabulary",31,IF(J71="sentences",32,IF(J71="concepts",33,IF(J71="ad slides",34,IF(J71="scenes",35,IF(J71="famous scenes",36,IF(J71="poems",37,IF(J71="walk",38,IF(J71="faces and events",39,IF(J71="events and names",40,IF(J71="flashbulb",41,IF(J71="stories",42,IF(J71="course material",43,IF(J71="autobiographical",44,IF(J71="novels",45,IF(J71="public events",46,"99"))))))))))))))))))))))))))))))))))))))))))))))</f>
        <v>14</v>
      </c>
      <c r="L71" s="60" t="str">
        <f>IF(J71="syllables",1,IF(J71="trigrams",1,IF(J71="strings",1,IF(J71="visual array",1,IF(J71="characters",1,IF(J71="letters",1,IF(J71="free forms",1,IF(J71="odors",2,IF(J71="words",2,IF(J71="pictures",2,IF(J71="object pictures",2,IF(J71="faces",2,IF(J71="names",2,IF(J71="idioms","2",IF(J71="grades",2,IF(J71="syllable-digit pairs",3,IF(J71="trigram-word pairs",3,IF(J71="word-digit pairs",3,IF(J71="English-Swahili pairs",3,IF(J71="spatial position",3,IF(J71="word pairs",4,IF(J71="word triads",4,IF(J71="generated words",4,IF(J71="word definition pairs",4,IF(J71="math problems",4,IF(J71="famous faces",4,IF(J71="famous names",4,IF(J71="famous voices",4,IF(J71="television programs",4,IF(J71="race horses",4,IF(J71="new vocabulary",4,IF(J71="sentences",5,IF(J71="concepts",5,IF(J71="ad slides",5,IF(J71="scenes",5,IF(J71="famous scenes",5,IF(J71="poems",6,IF(J71="walk",6,IF(J71="faces and events",6,IF(J71="events and names",6,IF(J71="flashbulb",7,IF(J71="stories",7,IF(J71="course material",7,IF(J71="autobiographical",7,IF(J71="novels",7,IF(J71="public events",7,"99"))))))))))))))))))))))))))))))))))))))))))))))</f>
        <v>2</v>
      </c>
      <c r="M71" s="60">
        <v>1</v>
      </c>
      <c r="N71" s="60">
        <v>2</v>
      </c>
      <c r="O71" s="60">
        <v>0</v>
      </c>
      <c r="P71" s="60"/>
      <c r="Q71" s="59" t="s">
        <v>174</v>
      </c>
      <c r="R71" s="60">
        <f>IF(Q71="Free Recall",1,IF(Q71="Cued Recall",2,IF(Q71="Recognition",3,IF(Q71="Multiple Choice",4,IF(Q71="Savings",5,IF(Q71="Stem Completion",6,IF(Q71="Fragment Completion",7,IF(Q71="anagram solution",8,IF(Q71="Matching",9,IF(Q71="Problem Solving",10,"99"))))))))))</f>
        <v>1</v>
      </c>
      <c r="S71" s="60" t="s">
        <v>49</v>
      </c>
      <c r="T71" s="60" t="s">
        <v>261</v>
      </c>
      <c r="U71" s="60">
        <f>IF(T71="within",1,0)</f>
        <v>0</v>
      </c>
      <c r="V71" s="60">
        <v>30</v>
      </c>
      <c r="W71" s="60">
        <f>F71*V71</f>
        <v>23190</v>
      </c>
      <c r="X71" s="60">
        <v>9</v>
      </c>
      <c r="Y71" s="76">
        <f>AV70</f>
        <v>60</v>
      </c>
      <c r="Z71" s="60" t="s">
        <v>209</v>
      </c>
      <c r="AA71" s="60">
        <v>1576800000</v>
      </c>
      <c r="AB71" s="60" t="str">
        <f>IF(AA71&lt;60,"1",IF(AA71&lt;=43200,"2",IF(AA71&lt;=777600,"3","4")))</f>
        <v>4</v>
      </c>
      <c r="AC71" s="56">
        <f>AVERAGE(AV70:DA70)</f>
        <v>503028406.66666669</v>
      </c>
      <c r="AD71" s="60" t="str">
        <f>IF(AC71&lt;60,"1",IF(AC71&lt;=43200,"2",IF(AC71&lt;=777600,"3","4")))</f>
        <v>4</v>
      </c>
      <c r="AE71" s="76">
        <f>AA71-Y71</f>
        <v>1576799940</v>
      </c>
      <c r="AF71" s="80">
        <f>AV71</f>
        <v>1</v>
      </c>
      <c r="AG71" s="58">
        <f>((AW71-AV71)+(AX71-AW71)+(AY71-AX71)+(AZ71-AY71)+(BA71-AZ71)+(BB71-BA71)+(BC71-BB71)+(BD71-BC71))/8</f>
        <v>-5.7441977447706377E-2</v>
      </c>
      <c r="AH71" s="4"/>
      <c r="AI71" s="56">
        <f>RSQ(AV71:BD71,AV70:BD70)</f>
        <v>0.26059130920828649</v>
      </c>
      <c r="AJ71" s="109">
        <f>SLOPE(AV71:BD71,AV70:BD70)</f>
        <v>-1.4498798828635417E-10</v>
      </c>
      <c r="AK71" s="56">
        <f>INTERCEPT(AV71:BD71,AV70:BD70)</f>
        <v>0.7164435090711746</v>
      </c>
      <c r="AL71" s="56">
        <f>INDEX(LINEST(LN(AV71:BD71),LN(AV70:BD70),TRUE,TRUE),3,1)</f>
        <v>0.7354548202608745</v>
      </c>
      <c r="AM71" s="56">
        <f>INDEX(LINEST(LN(AV71:BD71),LN(AV70:BD70)),1)</f>
        <v>-3.4286545603981373E-2</v>
      </c>
      <c r="AN71" s="56">
        <f>EXP(INDEX(LINEST(LN(AV71:BD71),LN(AV70:BD70)),1,2))</f>
        <v>1.1625817785484069</v>
      </c>
      <c r="AO71" s="82">
        <f>INDEX(LINEST((AV71:BD71),LN(AV70:BD70),TRUE,TRUE),3,1)</f>
        <v>0.81661169353845087</v>
      </c>
      <c r="AP71" s="82">
        <f>INDEX(LINEST((AV71:BD71),LN(AV70:BD70)),1)</f>
        <v>-2.6173347534701741E-2</v>
      </c>
      <c r="AQ71" s="83">
        <f>INDEX(LINEST(LN(AV71:BD71),SQRT(AV70:BD70),TRUE,TRUE),3,1)</f>
        <v>0.43239869410629556</v>
      </c>
      <c r="AR71" s="116">
        <f>INDEX(LINEST(LN(AV71:BD71),SQRT((AV70:BD70))),1)</f>
        <v>-1.0734062786589248E-5</v>
      </c>
      <c r="AS71" s="84">
        <f>INDEX(LINEST(1/(AV71:BD71),1/(SQRT(AV70:BD70)),TRUE,TRUE),3,1)</f>
        <v>0.5740437842326207</v>
      </c>
      <c r="AT71" s="84">
        <f>INDEX(LINEST(1/(AV71:BD71),1/SQRT(AV70:BD70)),1)</f>
        <v>-5.3854225990071267</v>
      </c>
      <c r="AU71" s="3"/>
      <c r="AV71" s="42">
        <v>1</v>
      </c>
      <c r="AW71" s="42">
        <v>0.74999650676987895</v>
      </c>
      <c r="AX71" s="42">
        <v>0.50296086184973499</v>
      </c>
      <c r="AY71" s="42">
        <v>0.59085612083781602</v>
      </c>
      <c r="AZ71" s="46">
        <v>0.61036790699624099</v>
      </c>
      <c r="BA71" s="42">
        <v>0.6773596769460779</v>
      </c>
      <c r="BB71" s="42">
        <v>0.58110302234269906</v>
      </c>
      <c r="BC71" s="2">
        <v>0.53848561487836499</v>
      </c>
      <c r="BD71" s="2">
        <v>0.54046418041834898</v>
      </c>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1"/>
      <c r="CS71" s="1"/>
      <c r="CT71" s="1"/>
      <c r="CU71" s="1"/>
    </row>
    <row r="72" spans="1:99" s="13" customFormat="1" ht="12" customHeight="1" x14ac:dyDescent="0.2">
      <c r="A72" s="65">
        <v>43509</v>
      </c>
      <c r="B72" s="1"/>
      <c r="C72" s="1"/>
      <c r="D72" s="60"/>
      <c r="E72" s="76"/>
      <c r="F72" s="60"/>
      <c r="G72" s="60"/>
      <c r="H72" s="60"/>
      <c r="I72" s="60"/>
      <c r="J72" s="60"/>
      <c r="K72" s="64"/>
      <c r="L72" s="64"/>
      <c r="M72" s="60"/>
      <c r="N72" s="60"/>
      <c r="O72" s="60"/>
      <c r="P72" s="60"/>
      <c r="Q72" s="60"/>
      <c r="R72" s="60"/>
      <c r="S72" s="60"/>
      <c r="T72" s="60"/>
      <c r="U72" s="60"/>
      <c r="V72" s="60"/>
      <c r="W72" s="60"/>
      <c r="X72" s="60"/>
      <c r="Y72" s="76"/>
      <c r="Z72" s="60"/>
      <c r="AA72" s="60"/>
      <c r="AB72" s="60"/>
      <c r="AC72" s="60"/>
      <c r="AD72" s="60"/>
      <c r="AE72" s="60"/>
      <c r="AF72" s="80"/>
      <c r="AG72" s="56"/>
      <c r="AH72" s="4"/>
      <c r="AI72" s="56"/>
      <c r="AJ72" s="109"/>
      <c r="AK72" s="56"/>
      <c r="AL72" s="56"/>
      <c r="AM72" s="56"/>
      <c r="AN72" s="56"/>
      <c r="AO72" s="56"/>
      <c r="AP72" s="56"/>
      <c r="AQ72" s="82"/>
      <c r="AR72" s="115"/>
      <c r="AS72" s="82"/>
      <c r="AT72" s="82"/>
      <c r="AU72" s="3"/>
      <c r="AV72" s="25">
        <v>60</v>
      </c>
      <c r="AW72" s="25">
        <f>365*24*60*60*14.5/12</f>
        <v>38106000</v>
      </c>
      <c r="AX72" s="25">
        <f>365*24*60*60*37.8/12</f>
        <v>99338400</v>
      </c>
      <c r="AY72" s="25">
        <f>365*24*60*60*69.1/12</f>
        <v>181594800</v>
      </c>
      <c r="AZ72" s="25">
        <f>365*24*60*60*114/12</f>
        <v>299592000</v>
      </c>
      <c r="BA72" s="25">
        <f>365*24*60*60*175.1/12</f>
        <v>460162800</v>
      </c>
      <c r="BB72" s="25">
        <f>365*24*60*60*300.6/12</f>
        <v>789976800</v>
      </c>
      <c r="BC72" s="25">
        <f>365*24*60*60*415.2/12</f>
        <v>1091145600</v>
      </c>
      <c r="BD72" s="25">
        <f>365*24*60*60*596.4/12</f>
        <v>1567339200</v>
      </c>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1"/>
      <c r="CS72" s="1"/>
      <c r="CT72" s="1"/>
      <c r="CU72" s="1"/>
    </row>
    <row r="73" spans="1:99" s="13" customFormat="1" ht="12" customHeight="1" x14ac:dyDescent="0.2">
      <c r="A73" s="65">
        <v>43509</v>
      </c>
      <c r="B73" s="1" t="s">
        <v>208</v>
      </c>
      <c r="C73" s="1" t="s">
        <v>202</v>
      </c>
      <c r="D73" s="60">
        <v>1984</v>
      </c>
      <c r="E73" s="76">
        <v>1</v>
      </c>
      <c r="F73" s="60">
        <v>773</v>
      </c>
      <c r="G73" s="60">
        <v>91.6</v>
      </c>
      <c r="H73" s="60" t="s">
        <v>615</v>
      </c>
      <c r="I73" s="60" t="s">
        <v>614</v>
      </c>
      <c r="J73" s="60" t="s">
        <v>616</v>
      </c>
      <c r="K73" s="60">
        <f>IF(J73="syllables",1,IF(J73="trigrams",2,IF(J73="strings",3,IF(J73="visual array",4,IF(J73="characters",5,IF(J73="letters",6,IF(J73="free forms",7,IF(J73="odors",8,IF(J73="words",9,IF(J73="pictures",10,IF(J73="object pictures",11,IF(J73="faces",12,IF(J73="names",13,IF(J73="idioms",14,IF(J73="grades",15,IF(J73="syllable-digit pairs",16,IF(J73="trigram-word pairs",17,IF(J73="word-digit pairs",18,IF(J73="English-Swahili pairs",19,IF(J73="spatial position",20,IF(J73="word pairs",21,IF(J73="word triads",22,IF(J73="generated words",23,IF(J73="word definition pairs",24,IF(J73="math problems",25,IF(J73="famous faces",26,IF(J73="famous names",27,IF(J73="famous voices",28,IF(J73="television programs",29,IF(J73="race horses",30,IF(J73="new vocabulary",31,IF(J73="sentences",32,IF(J73="concepts",33,IF(J73="ad slides",34,IF(J73="scenes",35,IF(J73="famous scenes",36,IF(J73="poems",37,IF(J73="walk",38,IF(J73="faces and events",39,IF(J73="events and names",40,IF(J73="flashbulb",41,IF(J73="stories",42,IF(J73="course material",43,IF(J73="autobiographical",44,IF(J73="novels",45,IF(J73="public events",46,"99"))))))))))))))))))))))))))))))))))))))))))))))</f>
        <v>14</v>
      </c>
      <c r="L73" s="60" t="str">
        <f>IF(J73="syllables",1,IF(J73="trigrams",1,IF(J73="strings",1,IF(J73="visual array",1,IF(J73="characters",1,IF(J73="letters",1,IF(J73="free forms",1,IF(J73="odors",2,IF(J73="words",2,IF(J73="pictures",2,IF(J73="object pictures",2,IF(J73="faces",2,IF(J73="names",2,IF(J73="idioms","2",IF(J73="grades",2,IF(J73="syllable-digit pairs",3,IF(J73="trigram-word pairs",3,IF(J73="word-digit pairs",3,IF(J73="English-Swahili pairs",3,IF(J73="spatial position",3,IF(J73="word pairs",4,IF(J73="word triads",4,IF(J73="generated words",4,IF(J73="word definition pairs",4,IF(J73="math problems",4,IF(J73="famous faces",4,IF(J73="famous names",4,IF(J73="famous voices",4,IF(J73="television programs",4,IF(J73="race horses",4,IF(J73="new vocabulary",4,IF(J73="sentences",5,IF(J73="concepts",5,IF(J73="ad slides",5,IF(J73="scenes",5,IF(J73="famous scenes",5,IF(J73="poems",6,IF(J73="walk",6,IF(J73="faces and events",6,IF(J73="events and names",6,IF(J73="flashbulb",7,IF(J73="stories",7,IF(J73="course material",7,IF(J73="autobiographical",7,IF(J73="novels",7,IF(J73="public events",7,"99"))))))))))))))))))))))))))))))))))))))))))))))</f>
        <v>2</v>
      </c>
      <c r="M73" s="60">
        <v>1</v>
      </c>
      <c r="N73" s="60">
        <v>2</v>
      </c>
      <c r="O73" s="60">
        <v>0</v>
      </c>
      <c r="P73" s="60"/>
      <c r="Q73" s="60" t="s">
        <v>182</v>
      </c>
      <c r="R73" s="60">
        <f>IF(Q73="Free Recall",1,IF(Q73="Cued Recall",2,IF(Q73="Recognition",3,IF(Q73="Multiple Choice",4,IF(Q73="Savings",5,IF(Q73="Stem Completion",6,IF(Q73="Fragment Completion",7,IF(Q73="anagram solution",8,IF(Q73="Matching",9,IF(Q73="Problem Solving",10,"99"))))))))))</f>
        <v>4</v>
      </c>
      <c r="S73" s="60" t="s">
        <v>15</v>
      </c>
      <c r="T73" s="60" t="s">
        <v>261</v>
      </c>
      <c r="U73" s="60">
        <f>IF(T73="within",1,0)</f>
        <v>0</v>
      </c>
      <c r="V73" s="60">
        <v>30</v>
      </c>
      <c r="W73" s="60">
        <f>F73*V73</f>
        <v>23190</v>
      </c>
      <c r="X73" s="60">
        <v>9</v>
      </c>
      <c r="Y73" s="76">
        <f>AV72</f>
        <v>60</v>
      </c>
      <c r="Z73" s="60" t="s">
        <v>209</v>
      </c>
      <c r="AA73" s="60">
        <v>1576800000</v>
      </c>
      <c r="AB73" s="60" t="str">
        <f>IF(AA73&lt;60,"1",IF(AA73&lt;=43200,"2",IF(AA73&lt;=777600,"3","4")))</f>
        <v>4</v>
      </c>
      <c r="AC73" s="56">
        <f>AVERAGE(AV72:DA72)</f>
        <v>503028406.66666669</v>
      </c>
      <c r="AD73" s="60" t="str">
        <f>IF(AC73&lt;60,"1",IF(AC73&lt;=43200,"2",IF(AC73&lt;=777600,"3","4")))</f>
        <v>4</v>
      </c>
      <c r="AE73" s="76">
        <f>AA73-Y73</f>
        <v>1576799940</v>
      </c>
      <c r="AF73" s="80">
        <f>AV73</f>
        <v>1</v>
      </c>
      <c r="AG73" s="58">
        <f>((AW73-AV73)+(AX73-AW73)+(AY73-AX73)+(AZ73-AY73)+(BA73-AZ73)+(BB73-BA73)+(BC73-BB73)+(BD73-BC73))/8</f>
        <v>-7.1332457696983265E-2</v>
      </c>
      <c r="AH73" s="4"/>
      <c r="AI73" s="56">
        <f>RSQ(AV73:BD73,AV72:BD72)</f>
        <v>0.61401155297672894</v>
      </c>
      <c r="AJ73" s="109">
        <f>SLOPE(AV73:BD73,AV72:BD72)</f>
        <v>-2.5838617013863213E-10</v>
      </c>
      <c r="AK73" s="56">
        <f>INTERCEPT(AV73:BD73,AV72:BD72)</f>
        <v>0.75355442101570669</v>
      </c>
      <c r="AL73" s="56">
        <f>INDEX(LINEST(LN(AV73:BD73),LN(AV72:BD72),TRUE,TRUE),3,1)</f>
        <v>0.70912738373758788</v>
      </c>
      <c r="AM73" s="56">
        <f>INDEX(LINEST(LN(AV73:BD73),LN(AV72:BD72)),1)</f>
        <v>-4.2337376341122862E-2</v>
      </c>
      <c r="AN73" s="56">
        <f>EXP(INDEX(LINEST(LN(AV73:BD73),LN(AV72:BD72)),1,2))</f>
        <v>1.2862931370977502</v>
      </c>
      <c r="AO73" s="82">
        <f>INDEX(LINEST((AV73:BD73),LN(AV72:BD72),TRUE,TRUE),3,1)</f>
        <v>0.8135444351165666</v>
      </c>
      <c r="AP73" s="82">
        <f>INDEX(LINEST((AV73:BD73),LN(AV72:BD72)),1)</f>
        <v>-3.0329904803266954E-2</v>
      </c>
      <c r="AQ73" s="83">
        <f>INDEX(LINEST(LN(AV73:BD73),SQRT(AV72:BD72),TRUE,TRUE),3,1)</f>
        <v>0.9048458783456752</v>
      </c>
      <c r="AR73" s="116">
        <f>INDEX(LINEST(LN(AV73:BD73),SQRT((AV72:BD72))),1)</f>
        <v>-1.9526541607767111E-5</v>
      </c>
      <c r="AS73" s="84">
        <f>INDEX(LINEST(1/(AV73:BD73),1/(SQRT(AV72:BD72)),TRUE,TRUE),3,1)</f>
        <v>0.38668539981570399</v>
      </c>
      <c r="AT73" s="84">
        <f>INDEX(LINEST(1/(AV73:BD73),1/SQRT(AV72:BD72)),1)</f>
        <v>-6.1795982890492276</v>
      </c>
      <c r="AU73" s="3"/>
      <c r="AV73" s="42">
        <v>1</v>
      </c>
      <c r="AW73" s="42">
        <v>0.79126133553173905</v>
      </c>
      <c r="AX73" s="42">
        <v>0.61409588218033395</v>
      </c>
      <c r="AY73" s="42">
        <v>0.63689409923568097</v>
      </c>
      <c r="AZ73" s="46">
        <v>0.59448349099445208</v>
      </c>
      <c r="BA73" s="42">
        <v>0.59164419355289399</v>
      </c>
      <c r="BB73" s="42">
        <v>0.50807495074545495</v>
      </c>
      <c r="BC73" s="2">
        <v>0.44641524725082699</v>
      </c>
      <c r="BD73" s="2">
        <v>0.42934033842413399</v>
      </c>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1"/>
      <c r="CS73" s="1"/>
      <c r="CT73" s="1"/>
      <c r="CU73" s="1"/>
    </row>
    <row r="74" spans="1:99" s="13" customFormat="1" ht="12" customHeight="1" x14ac:dyDescent="0.2">
      <c r="A74" s="65">
        <v>43509</v>
      </c>
      <c r="B74" s="1"/>
      <c r="C74" s="1"/>
      <c r="D74" s="60"/>
      <c r="E74" s="76"/>
      <c r="F74" s="60"/>
      <c r="G74" s="60"/>
      <c r="H74" s="60"/>
      <c r="I74" s="60"/>
      <c r="J74" s="60"/>
      <c r="K74" s="64"/>
      <c r="L74" s="64"/>
      <c r="M74" s="60"/>
      <c r="N74" s="60"/>
      <c r="O74" s="60"/>
      <c r="P74" s="60"/>
      <c r="Q74" s="60"/>
      <c r="R74" s="60"/>
      <c r="S74" s="60"/>
      <c r="T74" s="60"/>
      <c r="U74" s="60"/>
      <c r="V74" s="60"/>
      <c r="W74" s="60"/>
      <c r="X74" s="60"/>
      <c r="Y74" s="76"/>
      <c r="Z74" s="60"/>
      <c r="AA74" s="60"/>
      <c r="AB74" s="60"/>
      <c r="AC74" s="60"/>
      <c r="AD74" s="60"/>
      <c r="AE74" s="60"/>
      <c r="AF74" s="80"/>
      <c r="AG74" s="56"/>
      <c r="AH74" s="4"/>
      <c r="AI74" s="56"/>
      <c r="AJ74" s="109"/>
      <c r="AK74" s="56"/>
      <c r="AL74" s="56"/>
      <c r="AM74" s="56"/>
      <c r="AN74" s="56"/>
      <c r="AO74" s="56"/>
      <c r="AP74" s="56"/>
      <c r="AQ74" s="82"/>
      <c r="AR74" s="115"/>
      <c r="AS74" s="82"/>
      <c r="AT74" s="82"/>
      <c r="AU74" s="3"/>
      <c r="AV74" s="25">
        <v>60</v>
      </c>
      <c r="AW74" s="25">
        <f>365*24*60*60*14.5/12</f>
        <v>38106000</v>
      </c>
      <c r="AX74" s="25">
        <f>365*24*60*60*37.8/12</f>
        <v>99338400</v>
      </c>
      <c r="AY74" s="25">
        <f>365*24*60*60*69.1/12</f>
        <v>181594800</v>
      </c>
      <c r="AZ74" s="25">
        <f>365*24*60*60*114/12</f>
        <v>299592000</v>
      </c>
      <c r="BA74" s="25">
        <f>365*24*60*60*175.1/12</f>
        <v>460162800</v>
      </c>
      <c r="BB74" s="25">
        <f>365*24*60*60*300.6/12</f>
        <v>789976800</v>
      </c>
      <c r="BC74" s="25">
        <f>365*24*60*60*415.2/12</f>
        <v>1091145600</v>
      </c>
      <c r="BD74" s="25">
        <f>365*24*60*60*596.4/12</f>
        <v>1567339200</v>
      </c>
      <c r="BE74" s="42"/>
      <c r="BF74" s="42"/>
      <c r="BG74" s="4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1"/>
      <c r="CS74" s="1"/>
      <c r="CT74" s="1"/>
      <c r="CU74" s="1"/>
    </row>
    <row r="75" spans="1:99" s="13" customFormat="1" ht="12" customHeight="1" x14ac:dyDescent="0.2">
      <c r="A75" s="65">
        <v>43509</v>
      </c>
      <c r="B75" s="1" t="s">
        <v>208</v>
      </c>
      <c r="C75" s="1" t="s">
        <v>202</v>
      </c>
      <c r="D75" s="60">
        <v>1984</v>
      </c>
      <c r="E75" s="76">
        <v>1</v>
      </c>
      <c r="F75" s="60">
        <v>773</v>
      </c>
      <c r="G75" s="60">
        <v>91.6</v>
      </c>
      <c r="H75" s="60" t="s">
        <v>43</v>
      </c>
      <c r="I75" s="60" t="s">
        <v>609</v>
      </c>
      <c r="J75" s="60" t="s">
        <v>320</v>
      </c>
      <c r="K75" s="60">
        <f>IF(J75="syllables",1,IF(J75="trigrams",2,IF(J75="strings",3,IF(J75="visual array",4,IF(J75="characters",5,IF(J75="letters",6,IF(J75="free forms",7,IF(J75="odors",8,IF(J75="words",9,IF(J75="pictures",10,IF(J75="object pictures",11,IF(J75="faces",12,IF(J75="names",13,IF(J75="idioms",14,IF(J75="grades",15,IF(J75="syllable-digit pairs",16,IF(J75="trigram-word pairs",17,IF(J75="word-digit pairs",18,IF(J75="English-Swahili pairs",19,IF(J75="spatial position",20,IF(J75="word pairs",21,IF(J75="word triads",22,IF(J75="generated words",23,IF(J75="word definition pairs",24,IF(J75="math problems",25,IF(J75="famous faces",26,IF(J75="famous names",27,IF(J75="famous voices",28,IF(J75="television programs",29,IF(J75="race horses",30,IF(J75="new vocabulary",31,IF(J75="sentences",32,IF(J75="concepts",33,IF(J75="ad slides",34,IF(J75="scenes",35,IF(J75="famous scenes",36,IF(J75="poems",37,IF(J75="walk",38,IF(J75="faces and events",39,IF(J75="events and names",40,IF(J75="flashbulb",41,IF(J75="stories",42,IF(J75="course material",43,IF(J75="autobiographical",44,IF(J75="novels",45,IF(J75="public events",46,"99"))))))))))))))))))))))))))))))))))))))))))))))</f>
        <v>21</v>
      </c>
      <c r="L75" s="60">
        <f>IF(J75="syllables",1,IF(J75="trigrams",1,IF(J75="strings",1,IF(J75="visual array",1,IF(J75="characters",1,IF(J75="letters",1,IF(J75="free forms",1,IF(J75="odors",2,IF(J75="words",2,IF(J75="pictures",2,IF(J75="object pictures",2,IF(J75="faces",2,IF(J75="names",2,IF(J75="idioms","2",IF(J75="grades",2,IF(J75="syllable-digit pairs",3,IF(J75="trigram-word pairs",3,IF(J75="word-digit pairs",3,IF(J75="English-Swahili pairs",3,IF(J75="spatial position",3,IF(J75="word pairs",4,IF(J75="word triads",4,IF(J75="generated words",4,IF(J75="word definition pairs",4,IF(J75="math problems",4,IF(J75="famous faces",4,IF(J75="famous names",4,IF(J75="famous voices",4,IF(J75="television programs",4,IF(J75="race horses",4,IF(J75="new vocabulary",4,IF(J75="sentences",5,IF(J75="concepts",5,IF(J75="ad slides",5,IF(J75="scenes",5,IF(J75="famous scenes",5,IF(J75="poems",6,IF(J75="walk",6,IF(J75="faces and events",6,IF(J75="events and names",6,IF(J75="flashbulb",7,IF(J75="stories",7,IF(J75="course material",7,IF(J75="autobiographical",7,IF(J75="novels",7,IF(J75="public events",7,"99"))))))))))))))))))))))))))))))))))))))))))))))</f>
        <v>4</v>
      </c>
      <c r="M75" s="60">
        <v>1</v>
      </c>
      <c r="N75" s="60">
        <v>2</v>
      </c>
      <c r="O75" s="60">
        <v>0</v>
      </c>
      <c r="P75" s="60"/>
      <c r="Q75" s="60" t="s">
        <v>182</v>
      </c>
      <c r="R75" s="60">
        <f>IF(Q75="Free Recall",1,IF(Q75="Cued Recall",2,IF(Q75="Recognition",3,IF(Q75="Multiple Choice",4,IF(Q75="Savings",5,IF(Q75="Stem Completion",6,IF(Q75="Fragment Completion",7,IF(Q75="anagram solution",8,IF(Q75="Matching",9,IF(Q75="Problem Solving",10,"99"))))))))))</f>
        <v>4</v>
      </c>
      <c r="S75" s="60" t="s">
        <v>15</v>
      </c>
      <c r="T75" s="60" t="s">
        <v>261</v>
      </c>
      <c r="U75" s="60">
        <f>IF(T75="within",1,0)</f>
        <v>0</v>
      </c>
      <c r="V75" s="60">
        <v>30</v>
      </c>
      <c r="W75" s="60">
        <f>F75*V75</f>
        <v>23190</v>
      </c>
      <c r="X75" s="60">
        <v>9</v>
      </c>
      <c r="Y75" s="76">
        <f>AV74</f>
        <v>60</v>
      </c>
      <c r="Z75" s="60" t="s">
        <v>209</v>
      </c>
      <c r="AA75" s="60">
        <v>1576800000</v>
      </c>
      <c r="AB75" s="60" t="str">
        <f>IF(AA75&lt;60,"1",IF(AA75&lt;=43200,"2",IF(AA75&lt;=777600,"3","4")))</f>
        <v>4</v>
      </c>
      <c r="AC75" s="56">
        <f>AVERAGE(AV74:DA74)</f>
        <v>503028406.66666669</v>
      </c>
      <c r="AD75" s="60" t="str">
        <f>IF(AC75&lt;60,"1",IF(AC75&lt;=43200,"2",IF(AC75&lt;=777600,"3","4")))</f>
        <v>4</v>
      </c>
      <c r="AE75" s="76">
        <f>AA75-Y75</f>
        <v>1576799940</v>
      </c>
      <c r="AF75" s="80">
        <f>AV75</f>
        <v>1</v>
      </c>
      <c r="AG75" s="56">
        <f>((AW75-AV75)+(AX75-AW75)+(AY75-AX75)+(AZ75-AY75)+(BA75-AZ75)+(BB75-BA75)+(BC75-BB75)+(BD75-BC75))/8</f>
        <v>-7.8474505167613867E-2</v>
      </c>
      <c r="AH75" s="4"/>
      <c r="AI75" s="56">
        <f>RSQ(AV75:BD75,AV74:BD74)</f>
        <v>0.40179245946303216</v>
      </c>
      <c r="AJ75" s="109">
        <f>SLOPE(AV75:BD75,AV74:BD74)</f>
        <v>-2.4194374535953367E-10</v>
      </c>
      <c r="AK75" s="56">
        <f>INTERCEPT(AV75:BD75,AV74:BD74)</f>
        <v>0.66077495713025769</v>
      </c>
      <c r="AL75" s="56">
        <f>INDEX(LINEST(LN(AV75:BD75),LN(AV74:BD74),TRUE,TRUE),3,1)</f>
        <v>0.75874248517363851</v>
      </c>
      <c r="AM75" s="56">
        <f>INDEX(LINEST(LN(AV75:BD75),LN(AV74:BD74)),1)</f>
        <v>-5.3559106996117975E-2</v>
      </c>
      <c r="AN75" s="56">
        <f>EXP(INDEX(LINEST(LN(AV75:BD75),LN(AV74:BD74)),1,2))</f>
        <v>1.3326645931412864</v>
      </c>
      <c r="AO75" s="82">
        <f>INDEX(LINEST((AV75:BD75),LN(AV74:BD74),TRUE,TRUE),3,1)</f>
        <v>0.83992479001420617</v>
      </c>
      <c r="AP75" s="82">
        <f>INDEX(LINEST((AV75:BD75),LN(AV74:BD74)),1)</f>
        <v>-3.567246516489949E-2</v>
      </c>
      <c r="AQ75" s="83">
        <f>INDEX(LINEST(LN(AV75:BD75),SQRT(AV74:BD74),TRUE,TRUE),3,1)</f>
        <v>0.70378303672131481</v>
      </c>
      <c r="AR75" s="116">
        <f>INDEX(LINEST(LN(AV75:BD75),SQRT((AV74:BD74))),1)</f>
        <v>-2.106113322618E-5</v>
      </c>
      <c r="AS75" s="84">
        <f>INDEX(LINEST(1/(AV75:BD75),1/(SQRT(AV74:BD74)),TRUE,TRUE),3,1)</f>
        <v>0.48533025019529086</v>
      </c>
      <c r="AT75" s="84">
        <f>INDEX(LINEST(1/(AV75:BD75),1/SQRT(AV74:BD74)),1)</f>
        <v>-9.0656022562566019</v>
      </c>
      <c r="AU75" s="3"/>
      <c r="AV75" s="42">
        <v>1</v>
      </c>
      <c r="AW75" s="42">
        <v>0.75226574119980105</v>
      </c>
      <c r="AX75" s="42">
        <v>0.44158346363601603</v>
      </c>
      <c r="AY75" s="42">
        <v>0.49771862247816601</v>
      </c>
      <c r="AZ75" s="46">
        <v>0.47590709736470699</v>
      </c>
      <c r="BA75" s="42">
        <v>0.51390412264978402</v>
      </c>
      <c r="BB75" s="42">
        <v>0.40406849471797401</v>
      </c>
      <c r="BC75" s="2">
        <v>0.39398192288623596</v>
      </c>
      <c r="BD75" s="2">
        <v>0.37220395865908901</v>
      </c>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1"/>
      <c r="CS75" s="1"/>
      <c r="CT75" s="1"/>
      <c r="CU75" s="1"/>
    </row>
    <row r="76" spans="1:99" s="13" customFormat="1" ht="12" customHeight="1" x14ac:dyDescent="0.2">
      <c r="A76" s="65">
        <v>43509</v>
      </c>
      <c r="B76" s="1"/>
      <c r="C76" s="1"/>
      <c r="D76" s="60"/>
      <c r="E76" s="76"/>
      <c r="F76" s="60"/>
      <c r="G76" s="60"/>
      <c r="H76" s="60"/>
      <c r="I76" s="60"/>
      <c r="J76" s="60"/>
      <c r="K76" s="64"/>
      <c r="L76" s="64"/>
      <c r="M76" s="60"/>
      <c r="N76" s="60"/>
      <c r="O76" s="60"/>
      <c r="P76" s="60"/>
      <c r="Q76" s="60"/>
      <c r="R76" s="60"/>
      <c r="S76" s="60"/>
      <c r="T76" s="60"/>
      <c r="U76" s="60"/>
      <c r="V76" s="60"/>
      <c r="W76" s="60"/>
      <c r="X76" s="60"/>
      <c r="Y76" s="76"/>
      <c r="Z76" s="60"/>
      <c r="AA76" s="60"/>
      <c r="AB76" s="60"/>
      <c r="AC76" s="60"/>
      <c r="AD76" s="60"/>
      <c r="AE76" s="60"/>
      <c r="AF76" s="80"/>
      <c r="AG76" s="56"/>
      <c r="AH76" s="4"/>
      <c r="AI76" s="56"/>
      <c r="AJ76" s="109"/>
      <c r="AK76" s="56"/>
      <c r="AL76" s="56"/>
      <c r="AM76" s="56"/>
      <c r="AN76" s="56"/>
      <c r="AO76" s="56"/>
      <c r="AP76" s="56"/>
      <c r="AQ76" s="82"/>
      <c r="AR76" s="115"/>
      <c r="AS76" s="82"/>
      <c r="AT76" s="82"/>
      <c r="AU76" s="3"/>
      <c r="AV76" s="25">
        <v>60</v>
      </c>
      <c r="AW76" s="25">
        <f>365*24*60*60*14.5/12</f>
        <v>38106000</v>
      </c>
      <c r="AX76" s="25">
        <f>365*24*60*60*37.8/12</f>
        <v>99338400</v>
      </c>
      <c r="AY76" s="25">
        <f>365*24*60*60*69.1/12</f>
        <v>181594800</v>
      </c>
      <c r="AZ76" s="25">
        <f>365*24*60*60*114/12</f>
        <v>299592000</v>
      </c>
      <c r="BA76" s="25">
        <f>365*24*60*60*175.1/12</f>
        <v>460162800</v>
      </c>
      <c r="BB76" s="25">
        <f>365*24*60*60*300.6/12</f>
        <v>789976800</v>
      </c>
      <c r="BC76" s="25">
        <f>365*24*60*60*415.2/12</f>
        <v>1091145600</v>
      </c>
      <c r="BD76" s="25">
        <f>365*24*60*60*596.4/12</f>
        <v>1567339200</v>
      </c>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1"/>
      <c r="CS76" s="1"/>
      <c r="CT76" s="1"/>
      <c r="CU76" s="1"/>
    </row>
    <row r="77" spans="1:99" s="13" customFormat="1" ht="12" customHeight="1" x14ac:dyDescent="0.2">
      <c r="A77" s="65">
        <v>43509</v>
      </c>
      <c r="B77" s="1" t="s">
        <v>208</v>
      </c>
      <c r="C77" s="1" t="s">
        <v>202</v>
      </c>
      <c r="D77" s="60">
        <v>1984</v>
      </c>
      <c r="E77" s="76">
        <v>1</v>
      </c>
      <c r="F77" s="60">
        <v>773</v>
      </c>
      <c r="G77" s="60">
        <v>91.6</v>
      </c>
      <c r="H77" s="60" t="s">
        <v>43</v>
      </c>
      <c r="I77" s="60" t="s">
        <v>610</v>
      </c>
      <c r="J77" s="60" t="s">
        <v>320</v>
      </c>
      <c r="K77" s="60">
        <f>IF(J77="syllables",1,IF(J77="trigrams",2,IF(J77="strings",3,IF(J77="visual array",4,IF(J77="characters",5,IF(J77="letters",6,IF(J77="free forms",7,IF(J77="odors",8,IF(J77="words",9,IF(J77="pictures",10,IF(J77="object pictures",11,IF(J77="faces",12,IF(J77="names",13,IF(J77="idioms",14,IF(J77="grades",15,IF(J77="syllable-digit pairs",16,IF(J77="trigram-word pairs",17,IF(J77="word-digit pairs",18,IF(J77="English-Swahili pairs",19,IF(J77="spatial position",20,IF(J77="word pairs",21,IF(J77="word triads",22,IF(J77="generated words",23,IF(J77="word definition pairs",24,IF(J77="math problems",25,IF(J77="famous faces",26,IF(J77="famous names",27,IF(J77="famous voices",28,IF(J77="television programs",29,IF(J77="race horses",30,IF(J77="new vocabulary",31,IF(J77="sentences",32,IF(J77="concepts",33,IF(J77="ad slides",34,IF(J77="scenes",35,IF(J77="famous scenes",36,IF(J77="poems",37,IF(J77="walk",38,IF(J77="faces and events",39,IF(J77="events and names",40,IF(J77="flashbulb",41,IF(J77="stories",42,IF(J77="course material",43,IF(J77="autobiographical",44,IF(J77="novels",45,IF(J77="public events",46,"99"))))))))))))))))))))))))))))))))))))))))))))))</f>
        <v>21</v>
      </c>
      <c r="L77" s="60">
        <f>IF(J77="syllables",1,IF(J77="trigrams",1,IF(J77="strings",1,IF(J77="visual array",1,IF(J77="characters",1,IF(J77="letters",1,IF(J77="free forms",1,IF(J77="odors",2,IF(J77="words",2,IF(J77="pictures",2,IF(J77="object pictures",2,IF(J77="faces",2,IF(J77="names",2,IF(J77="idioms","2",IF(J77="grades",2,IF(J77="syllable-digit pairs",3,IF(J77="trigram-word pairs",3,IF(J77="word-digit pairs",3,IF(J77="English-Swahili pairs",3,IF(J77="spatial position",3,IF(J77="word pairs",4,IF(J77="word triads",4,IF(J77="generated words",4,IF(J77="word definition pairs",4,IF(J77="math problems",4,IF(J77="famous faces",4,IF(J77="famous names",4,IF(J77="famous voices",4,IF(J77="television programs",4,IF(J77="race horses",4,IF(J77="new vocabulary",4,IF(J77="sentences",5,IF(J77="concepts",5,IF(J77="ad slides",5,IF(J77="scenes",5,IF(J77="famous scenes",5,IF(J77="poems",6,IF(J77="walk",6,IF(J77="faces and events",6,IF(J77="events and names",6,IF(J77="flashbulb",7,IF(J77="stories",7,IF(J77="course material",7,IF(J77="autobiographical",7,IF(J77="novels",7,IF(J77="public events",7,"99"))))))))))))))))))))))))))))))))))))))))))))))</f>
        <v>4</v>
      </c>
      <c r="M77" s="60">
        <v>1</v>
      </c>
      <c r="N77" s="60">
        <v>2</v>
      </c>
      <c r="O77" s="60">
        <v>0</v>
      </c>
      <c r="P77" s="60"/>
      <c r="Q77" s="59" t="s">
        <v>174</v>
      </c>
      <c r="R77" s="60">
        <f>IF(Q77="Free Recall",1,IF(Q77="Cued Recall",2,IF(Q77="Recognition",3,IF(Q77="Multiple Choice",4,IF(Q77="Savings",5,IF(Q77="Stem Completion",6,IF(Q77="Fragment Completion",7,IF(Q77="anagram solution",8,IF(Q77="Matching",9,IF(Q77="Problem Solving",10,"99"))))))))))</f>
        <v>1</v>
      </c>
      <c r="S77" s="60" t="s">
        <v>49</v>
      </c>
      <c r="T77" s="60" t="s">
        <v>261</v>
      </c>
      <c r="U77" s="60">
        <f>IF(T77="within",1,0)</f>
        <v>0</v>
      </c>
      <c r="V77" s="60">
        <v>30</v>
      </c>
      <c r="W77" s="60">
        <f>F77*V77</f>
        <v>23190</v>
      </c>
      <c r="X77" s="60">
        <v>9</v>
      </c>
      <c r="Y77" s="76">
        <f>AV76</f>
        <v>60</v>
      </c>
      <c r="Z77" s="60" t="s">
        <v>209</v>
      </c>
      <c r="AA77" s="60">
        <v>1576800000</v>
      </c>
      <c r="AB77" s="60" t="str">
        <f>IF(AA77&lt;60,"1",IF(AA77&lt;=43200,"2",IF(AA77&lt;=777600,"3","4")))</f>
        <v>4</v>
      </c>
      <c r="AC77" s="56">
        <f>AVERAGE(AV76:DA76)</f>
        <v>503028406.66666669</v>
      </c>
      <c r="AD77" s="60" t="str">
        <f>IF(AC77&lt;60,"1",IF(AC77&lt;=43200,"2",IF(AC77&lt;=777600,"3","4")))</f>
        <v>4</v>
      </c>
      <c r="AE77" s="76">
        <f>AA77-Y77</f>
        <v>1576799940</v>
      </c>
      <c r="AF77" s="80">
        <f>AV77</f>
        <v>1</v>
      </c>
      <c r="AG77" s="58">
        <f>((AW77-AV77)+(AX77-AW77)+(AY77-AX77)+(AZ77-AY77)+(BA77-AZ77)+(BB77-BA77)+(BC77-BB77)+(BD77-BC77))/8</f>
        <v>-3.5944090614393132E-2</v>
      </c>
      <c r="AH77" s="4"/>
      <c r="AI77" s="56">
        <f>RSQ(AV77:BD77,AV76:BD76)</f>
        <v>0.23707456137914881</v>
      </c>
      <c r="AJ77" s="109">
        <f>SLOPE(AV77:BD77,AV76:BD76)</f>
        <v>-9.6411123894057521E-11</v>
      </c>
      <c r="AK77" s="56">
        <f>INTERCEPT(AV77:BD77,AV76:BD76)</f>
        <v>0.8055451930384252</v>
      </c>
      <c r="AL77" s="56">
        <f>INDEX(LINEST(LN(AV77:BD77),LN(AV76:BD76),TRUE,TRUE),3,1)</f>
        <v>0.76208958250528314</v>
      </c>
      <c r="AM77" s="56">
        <f>INDEX(LINEST(LN(AV77:BD77),LN(AV76:BD76)),1)</f>
        <v>-2.1493974579724399E-2</v>
      </c>
      <c r="AN77" s="56">
        <f>EXP(INDEX(LINEST(LN(AV77:BD77),LN(AV76:BD76)),1,2))</f>
        <v>1.1029491337776929</v>
      </c>
      <c r="AO77" s="82">
        <f>INDEX(LINEST((AV77:BD77),LN(AV76:BD76),TRUE,TRUE),3,1)</f>
        <v>0.80462782538631794</v>
      </c>
      <c r="AP77" s="82">
        <f>INDEX(LINEST((AV77:BD77),LN(AV76:BD76)),1)</f>
        <v>-1.8112633760091E-2</v>
      </c>
      <c r="AQ77" s="83">
        <f>INDEX(LINEST(LN(AV77:BD77),SQRT(AV76:BD76),TRUE,TRUE),3,1)</f>
        <v>0.44253009691505446</v>
      </c>
      <c r="AR77" s="116">
        <f>INDEX(LINEST(LN(AV77:BD77),SQRT((AV76:BD76))),1)</f>
        <v>-6.6874621472329408E-6</v>
      </c>
      <c r="AS77" s="84">
        <f>INDEX(LINEST(1/(AV77:BD77),1/(SQRT(AV76:BD76)),TRUE,TRUE),3,1)</f>
        <v>0.62784678116785797</v>
      </c>
      <c r="AT77" s="84">
        <f>INDEX(LINEST(1/(AV77:BD77),1/SQRT(AV76:BD76)),1)</f>
        <v>-2.9754575857853802</v>
      </c>
      <c r="AU77" s="3"/>
      <c r="AV77" s="42">
        <v>1</v>
      </c>
      <c r="AW77" s="42">
        <v>0.85185309484764105</v>
      </c>
      <c r="AX77" s="42">
        <v>0.67560962587239204</v>
      </c>
      <c r="AY77" s="42">
        <v>0.74004652759238698</v>
      </c>
      <c r="AZ77" s="46">
        <v>0.69332977384539107</v>
      </c>
      <c r="BA77" s="42">
        <v>0.77115746920407302</v>
      </c>
      <c r="BB77" s="42">
        <v>0.68124175279356192</v>
      </c>
      <c r="BC77" s="2">
        <v>0.68774341176919196</v>
      </c>
      <c r="BD77" s="2">
        <v>0.71244727508485495</v>
      </c>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1"/>
      <c r="CS77" s="1"/>
      <c r="CT77" s="1"/>
      <c r="CU77" s="1"/>
    </row>
    <row r="78" spans="1:99" s="13" customFormat="1" ht="12" customHeight="1" x14ac:dyDescent="0.2">
      <c r="A78" s="65">
        <v>43509</v>
      </c>
      <c r="B78" s="1"/>
      <c r="C78" s="1"/>
      <c r="D78" s="60"/>
      <c r="E78" s="76"/>
      <c r="F78" s="60"/>
      <c r="G78" s="60"/>
      <c r="H78" s="60"/>
      <c r="I78" s="60"/>
      <c r="J78" s="60"/>
      <c r="K78" s="64"/>
      <c r="L78" s="64"/>
      <c r="M78" s="60"/>
      <c r="N78" s="60"/>
      <c r="O78" s="60"/>
      <c r="P78" s="60"/>
      <c r="Q78" s="60"/>
      <c r="R78" s="60"/>
      <c r="S78" s="60"/>
      <c r="T78" s="60"/>
      <c r="U78" s="60"/>
      <c r="V78" s="60"/>
      <c r="W78" s="60"/>
      <c r="X78" s="60"/>
      <c r="Y78" s="76"/>
      <c r="Z78" s="60"/>
      <c r="AA78" s="60"/>
      <c r="AB78" s="60"/>
      <c r="AC78" s="60"/>
      <c r="AD78" s="60"/>
      <c r="AE78" s="60"/>
      <c r="AF78" s="80"/>
      <c r="AG78" s="56"/>
      <c r="AH78" s="4"/>
      <c r="AI78" s="56"/>
      <c r="AJ78" s="109"/>
      <c r="AK78" s="56"/>
      <c r="AL78" s="56"/>
      <c r="AM78" s="56"/>
      <c r="AN78" s="56"/>
      <c r="AO78" s="56"/>
      <c r="AP78" s="56"/>
      <c r="AQ78" s="82"/>
      <c r="AR78" s="115"/>
      <c r="AS78" s="82"/>
      <c r="AT78" s="82"/>
      <c r="AU78" s="3"/>
      <c r="AV78" s="25">
        <v>60</v>
      </c>
      <c r="AW78" s="25">
        <f>365*24*60*60*14.5/12</f>
        <v>38106000</v>
      </c>
      <c r="AX78" s="25">
        <f>365*24*60*60*37.8/12</f>
        <v>99338400</v>
      </c>
      <c r="AY78" s="25">
        <f>365*24*60*60*69.1/12</f>
        <v>181594800</v>
      </c>
      <c r="AZ78" s="25">
        <f>365*24*60*60*114/12</f>
        <v>299592000</v>
      </c>
      <c r="BA78" s="25">
        <f>365*24*60*60*175.1/12</f>
        <v>460162800</v>
      </c>
      <c r="BB78" s="25">
        <f>365*24*60*60*300.6/12</f>
        <v>789976800</v>
      </c>
      <c r="BC78" s="25">
        <f>365*24*60*60*415.2/12</f>
        <v>1091145600</v>
      </c>
      <c r="BD78" s="25">
        <f>365*24*60*60*596.4/12</f>
        <v>1567339200</v>
      </c>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1"/>
      <c r="CS78" s="1"/>
      <c r="CT78" s="1"/>
      <c r="CU78" s="1"/>
    </row>
    <row r="79" spans="1:99" s="13" customFormat="1" ht="12" customHeight="1" x14ac:dyDescent="0.2">
      <c r="A79" s="65">
        <v>43509</v>
      </c>
      <c r="B79" s="1" t="s">
        <v>208</v>
      </c>
      <c r="C79" s="1" t="s">
        <v>202</v>
      </c>
      <c r="D79" s="60">
        <v>1984</v>
      </c>
      <c r="E79" s="76">
        <v>1</v>
      </c>
      <c r="F79" s="60">
        <v>773</v>
      </c>
      <c r="G79" s="60">
        <v>91.6</v>
      </c>
      <c r="H79" s="60" t="s">
        <v>43</v>
      </c>
      <c r="I79" s="60" t="s">
        <v>611</v>
      </c>
      <c r="J79" s="60" t="s">
        <v>320</v>
      </c>
      <c r="K79" s="60">
        <f>IF(J79="syllables",1,IF(J79="trigrams",2,IF(J79="strings",3,IF(J79="visual array",4,IF(J79="characters",5,IF(J79="letters",6,IF(J79="free forms",7,IF(J79="odors",8,IF(J79="words",9,IF(J79="pictures",10,IF(J79="object pictures",11,IF(J79="faces",12,IF(J79="names",13,IF(J79="idioms",14,IF(J79="grades",15,IF(J79="syllable-digit pairs",16,IF(J79="trigram-word pairs",17,IF(J79="word-digit pairs",18,IF(J79="English-Swahili pairs",19,IF(J79="spatial position",20,IF(J79="word pairs",21,IF(J79="word triads",22,IF(J79="generated words",23,IF(J79="word definition pairs",24,IF(J79="math problems",25,IF(J79="famous faces",26,IF(J79="famous names",27,IF(J79="famous voices",28,IF(J79="television programs",29,IF(J79="race horses",30,IF(J79="new vocabulary",31,IF(J79="sentences",32,IF(J79="concepts",33,IF(J79="ad slides",34,IF(J79="scenes",35,IF(J79="famous scenes",36,IF(J79="poems",37,IF(J79="walk",38,IF(J79="faces and events",39,IF(J79="events and names",40,IF(J79="flashbulb",41,IF(J79="stories",42,IF(J79="course material",43,IF(J79="autobiographical",44,IF(J79="novels",45,IF(J79="public events",46,"99"))))))))))))))))))))))))))))))))))))))))))))))</f>
        <v>21</v>
      </c>
      <c r="L79" s="60">
        <f>IF(J79="syllables",1,IF(J79="trigrams",1,IF(J79="strings",1,IF(J79="visual array",1,IF(J79="characters",1,IF(J79="letters",1,IF(J79="free forms",1,IF(J79="odors",2,IF(J79="words",2,IF(J79="pictures",2,IF(J79="object pictures",2,IF(J79="faces",2,IF(J79="names",2,IF(J79="idioms","2",IF(J79="grades",2,IF(J79="syllable-digit pairs",3,IF(J79="trigram-word pairs",3,IF(J79="word-digit pairs",3,IF(J79="English-Swahili pairs",3,IF(J79="spatial position",3,IF(J79="word pairs",4,IF(J79="word triads",4,IF(J79="generated words",4,IF(J79="word definition pairs",4,IF(J79="math problems",4,IF(J79="famous faces",4,IF(J79="famous names",4,IF(J79="famous voices",4,IF(J79="television programs",4,IF(J79="race horses",4,IF(J79="new vocabulary",4,IF(J79="sentences",5,IF(J79="concepts",5,IF(J79="ad slides",5,IF(J79="scenes",5,IF(J79="famous scenes",5,IF(J79="poems",6,IF(J79="walk",6,IF(J79="faces and events",6,IF(J79="events and names",6,IF(J79="flashbulb",7,IF(J79="stories",7,IF(J79="course material",7,IF(J79="autobiographical",7,IF(J79="novels",7,IF(J79="public events",7,"99"))))))))))))))))))))))))))))))))))))))))))))))</f>
        <v>4</v>
      </c>
      <c r="M79" s="60">
        <v>1</v>
      </c>
      <c r="N79" s="60">
        <v>2</v>
      </c>
      <c r="O79" s="60">
        <v>0</v>
      </c>
      <c r="P79" s="60"/>
      <c r="Q79" s="60" t="s">
        <v>182</v>
      </c>
      <c r="R79" s="60">
        <f>IF(Q79="Free Recall",1,IF(Q79="Cued Recall",2,IF(Q79="Recognition",3,IF(Q79="Multiple Choice",4,IF(Q79="Savings",5,IF(Q79="Stem Completion",6,IF(Q79="Fragment Completion",7,IF(Q79="anagram solution",8,IF(Q79="Matching",9,IF(Q79="Problem Solving",10,"99"))))))))))</f>
        <v>4</v>
      </c>
      <c r="S79" s="60" t="s">
        <v>15</v>
      </c>
      <c r="T79" s="60" t="s">
        <v>261</v>
      </c>
      <c r="U79" s="60">
        <f>IF(T79="within",1,0)</f>
        <v>0</v>
      </c>
      <c r="V79" s="60">
        <v>30</v>
      </c>
      <c r="W79" s="60">
        <f>F79*V79</f>
        <v>23190</v>
      </c>
      <c r="X79" s="60">
        <v>9</v>
      </c>
      <c r="Y79" s="76">
        <f>AV78</f>
        <v>60</v>
      </c>
      <c r="Z79" s="60" t="s">
        <v>209</v>
      </c>
      <c r="AA79" s="60">
        <v>1576800000</v>
      </c>
      <c r="AB79" s="60" t="str">
        <f>IF(AA79&lt;60,"1",IF(AA79&lt;=43200,"2",IF(AA79&lt;=777600,"3","4")))</f>
        <v>4</v>
      </c>
      <c r="AC79" s="56">
        <f>AVERAGE(AV78:DA78)</f>
        <v>503028406.66666669</v>
      </c>
      <c r="AD79" s="60" t="str">
        <f>IF(AC79&lt;60,"1",IF(AC79&lt;=43200,"2",IF(AC79&lt;=777600,"3","4")))</f>
        <v>4</v>
      </c>
      <c r="AE79" s="76">
        <f>AA79-Y79</f>
        <v>1576799940</v>
      </c>
      <c r="AF79" s="80">
        <f>AV79</f>
        <v>1</v>
      </c>
      <c r="AG79" s="56">
        <f>((AW79-AV79)+(AX79-AW79)+(AY79-AX79)+(AZ79-AY79)+(BA79-AZ79)+(BB79-BA79)+(BC79-BB79)+(BD79-BC79))/8</f>
        <v>-8.5942183745852621E-2</v>
      </c>
      <c r="AH79" s="4"/>
      <c r="AI79" s="56">
        <f>RSQ(AV79:BD79,AV78:BD78)</f>
        <v>0.33272770963753318</v>
      </c>
      <c r="AJ79" s="109">
        <f>SLOPE(AV79:BD79,AV78:BD78)</f>
        <v>-2.4644330281607513E-10</v>
      </c>
      <c r="AK79" s="56">
        <f>INTERCEPT(AV79:BD79,AV78:BD78)</f>
        <v>0.6012615846171615</v>
      </c>
      <c r="AL79" s="56">
        <f>INDEX(LINEST(LN(AV79:BD79),LN(AV78:BD78),TRUE,TRUE),3,1)</f>
        <v>0.77000619393135439</v>
      </c>
      <c r="AM79" s="56">
        <f>INDEX(LINEST(LN(AV79:BD79),LN(AV78:BD78)),1)</f>
        <v>-6.4877870240526714E-2</v>
      </c>
      <c r="AN79" s="56">
        <f>EXP(INDEX(LINEST(LN(AV79:BD79),LN(AV78:BD78)),1,2))</f>
        <v>1.40715911030984</v>
      </c>
      <c r="AO79" s="82">
        <f>INDEX(LINEST((AV79:BD79),LN(AV78:BD78),TRUE,TRUE),3,1)</f>
        <v>0.84830371197881738</v>
      </c>
      <c r="AP79" s="82">
        <f>INDEX(LINEST((AV79:BD79),LN(AV78:BD78)),1)</f>
        <v>-4.0128010956527738E-2</v>
      </c>
      <c r="AQ79" s="83">
        <f>INDEX(LINEST(LN(AV79:BD79),SQRT(AV78:BD78),TRUE,TRUE),3,1)</f>
        <v>0.63792464675581306</v>
      </c>
      <c r="AR79" s="116">
        <f>INDEX(LINEST(LN(AV79:BD79),SQRT((AV78:BD78))),1)</f>
        <v>-2.4110731034191455E-5</v>
      </c>
      <c r="AS79" s="84">
        <f>INDEX(LINEST(1/(AV79:BD79),1/(SQRT(AV78:BD78)),TRUE,TRUE),3,1)</f>
        <v>0.50657254889960668</v>
      </c>
      <c r="AT79" s="84">
        <f>INDEX(LINEST(1/(AV79:BD79),1/SQRT(AV78:BD78)),1)</f>
        <v>-12.236647141297313</v>
      </c>
      <c r="AU79" s="3"/>
      <c r="AV79" s="42">
        <v>1</v>
      </c>
      <c r="AW79" s="42">
        <v>0.72239655238167799</v>
      </c>
      <c r="AX79" s="42">
        <v>0.405072270317684</v>
      </c>
      <c r="AY79" s="42">
        <v>0.39315510468708198</v>
      </c>
      <c r="AZ79" s="46">
        <v>0.33814881202089903</v>
      </c>
      <c r="BA79" s="42">
        <v>0.42261851187978999</v>
      </c>
      <c r="BB79" s="42">
        <v>0.35261965600091499</v>
      </c>
      <c r="BC79" s="42">
        <v>0.34916898669005697</v>
      </c>
      <c r="BD79" s="42">
        <v>0.31246253003317898</v>
      </c>
      <c r="BE79" s="42"/>
      <c r="BF79" s="42"/>
      <c r="BG79" s="4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1"/>
      <c r="CS79" s="1"/>
      <c r="CT79" s="1"/>
      <c r="CU79" s="1"/>
    </row>
    <row r="80" spans="1:99" s="13" customFormat="1" ht="12" customHeight="1" x14ac:dyDescent="0.2">
      <c r="A80" s="65">
        <v>43509</v>
      </c>
      <c r="B80" s="1"/>
      <c r="C80" s="1"/>
      <c r="D80" s="60"/>
      <c r="E80" s="76"/>
      <c r="F80" s="60"/>
      <c r="G80" s="60"/>
      <c r="H80" s="60"/>
      <c r="I80" s="60"/>
      <c r="J80" s="60"/>
      <c r="K80" s="64"/>
      <c r="L80" s="64"/>
      <c r="M80" s="60"/>
      <c r="N80" s="60"/>
      <c r="O80" s="60"/>
      <c r="P80" s="60"/>
      <c r="Q80" s="60"/>
      <c r="R80" s="60"/>
      <c r="S80" s="60"/>
      <c r="T80" s="60"/>
      <c r="U80" s="60"/>
      <c r="V80" s="60"/>
      <c r="W80" s="60"/>
      <c r="X80" s="60"/>
      <c r="Y80" s="76"/>
      <c r="Z80" s="60"/>
      <c r="AA80" s="60"/>
      <c r="AB80" s="60"/>
      <c r="AC80" s="60"/>
      <c r="AD80" s="60"/>
      <c r="AE80" s="60"/>
      <c r="AF80" s="80"/>
      <c r="AG80" s="56"/>
      <c r="AH80" s="4"/>
      <c r="AI80" s="56"/>
      <c r="AJ80" s="109"/>
      <c r="AK80" s="56"/>
      <c r="AL80" s="56"/>
      <c r="AM80" s="56"/>
      <c r="AN80" s="56"/>
      <c r="AO80" s="56"/>
      <c r="AP80" s="56"/>
      <c r="AQ80" s="82"/>
      <c r="AR80" s="115"/>
      <c r="AS80" s="82"/>
      <c r="AT80" s="82"/>
      <c r="AU80" s="3"/>
      <c r="AV80" s="25">
        <v>60</v>
      </c>
      <c r="AW80" s="25">
        <f>365*24*60*60*14.5/12</f>
        <v>38106000</v>
      </c>
      <c r="AX80" s="25">
        <f>365*24*60*60*37.8/12</f>
        <v>99338400</v>
      </c>
      <c r="AY80" s="25">
        <f>365*24*60*60*69.1/12</f>
        <v>181594800</v>
      </c>
      <c r="AZ80" s="25">
        <f>365*24*60*60*114/12</f>
        <v>299592000</v>
      </c>
      <c r="BA80" s="25">
        <f>365*24*60*60*175.1/12</f>
        <v>460162800</v>
      </c>
      <c r="BB80" s="25">
        <f>365*24*60*60*300.6/12</f>
        <v>789976800</v>
      </c>
      <c r="BC80" s="25">
        <f>365*24*60*60*415.2/12</f>
        <v>1091145600</v>
      </c>
      <c r="BD80" s="25">
        <f>365*24*60*60*596.4/12</f>
        <v>1567339200</v>
      </c>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1"/>
      <c r="CS80" s="1"/>
      <c r="CT80" s="1"/>
      <c r="CU80" s="1"/>
    </row>
    <row r="81" spans="1:99" s="13" customFormat="1" ht="12" customHeight="1" x14ac:dyDescent="0.2">
      <c r="A81" s="65">
        <v>43509</v>
      </c>
      <c r="B81" s="1" t="s">
        <v>208</v>
      </c>
      <c r="C81" s="1" t="s">
        <v>202</v>
      </c>
      <c r="D81" s="60">
        <v>1984</v>
      </c>
      <c r="E81" s="76">
        <v>1</v>
      </c>
      <c r="F81" s="60">
        <v>773</v>
      </c>
      <c r="G81" s="60">
        <v>91.6</v>
      </c>
      <c r="H81" s="60" t="s">
        <v>43</v>
      </c>
      <c r="I81" s="60" t="s">
        <v>612</v>
      </c>
      <c r="J81" s="60" t="s">
        <v>320</v>
      </c>
      <c r="K81" s="60">
        <f>IF(J81="syllables",1,IF(J81="trigrams",2,IF(J81="strings",3,IF(J81="visual array",4,IF(J81="characters",5,IF(J81="letters",6,IF(J81="free forms",7,IF(J81="odors",8,IF(J81="words",9,IF(J81="pictures",10,IF(J81="object pictures",11,IF(J81="faces",12,IF(J81="names",13,IF(J81="idioms",14,IF(J81="grades",15,IF(J81="syllable-digit pairs",16,IF(J81="trigram-word pairs",17,IF(J81="word-digit pairs",18,IF(J81="English-Swahili pairs",19,IF(J81="spatial position",20,IF(J81="word pairs",21,IF(J81="word triads",22,IF(J81="generated words",23,IF(J81="word definition pairs",24,IF(J81="math problems",25,IF(J81="famous faces",26,IF(J81="famous names",27,IF(J81="famous voices",28,IF(J81="television programs",29,IF(J81="race horses",30,IF(J81="new vocabulary",31,IF(J81="sentences",32,IF(J81="concepts",33,IF(J81="ad slides",34,IF(J81="scenes",35,IF(J81="famous scenes",36,IF(J81="poems",37,IF(J81="walk",38,IF(J81="faces and events",39,IF(J81="events and names",40,IF(J81="flashbulb",41,IF(J81="stories",42,IF(J81="course material",43,IF(J81="autobiographical",44,IF(J81="novels",45,IF(J81="public events",46,"99"))))))))))))))))))))))))))))))))))))))))))))))</f>
        <v>21</v>
      </c>
      <c r="L81" s="60">
        <f>IF(J81="syllables",1,IF(J81="trigrams",1,IF(J81="strings",1,IF(J81="visual array",1,IF(J81="characters",1,IF(J81="letters",1,IF(J81="free forms",1,IF(J81="odors",2,IF(J81="words",2,IF(J81="pictures",2,IF(J81="object pictures",2,IF(J81="faces",2,IF(J81="names",2,IF(J81="idioms","2",IF(J81="grades",2,IF(J81="syllable-digit pairs",3,IF(J81="trigram-word pairs",3,IF(J81="word-digit pairs",3,IF(J81="English-Swahili pairs",3,IF(J81="spatial position",3,IF(J81="word pairs",4,IF(J81="word triads",4,IF(J81="generated words",4,IF(J81="word definition pairs",4,IF(J81="math problems",4,IF(J81="famous faces",4,IF(J81="famous names",4,IF(J81="famous voices",4,IF(J81="television programs",4,IF(J81="race horses",4,IF(J81="new vocabulary",4,IF(J81="sentences",5,IF(J81="concepts",5,IF(J81="ad slides",5,IF(J81="scenes",5,IF(J81="famous scenes",5,IF(J81="poems",6,IF(J81="walk",6,IF(J81="faces and events",6,IF(J81="events and names",6,IF(J81="flashbulb",7,IF(J81="stories",7,IF(J81="course material",7,IF(J81="autobiographical",7,IF(J81="novels",7,IF(J81="public events",7,"99"))))))))))))))))))))))))))))))))))))))))))))))</f>
        <v>4</v>
      </c>
      <c r="M81" s="60">
        <v>1</v>
      </c>
      <c r="N81" s="60">
        <v>2</v>
      </c>
      <c r="O81" s="60">
        <v>0</v>
      </c>
      <c r="P81" s="60"/>
      <c r="Q81" s="59" t="s">
        <v>174</v>
      </c>
      <c r="R81" s="60">
        <f>IF(Q81="Free Recall",1,IF(Q81="Cued Recall",2,IF(Q81="Recognition",3,IF(Q81="Multiple Choice",4,IF(Q81="Savings",5,IF(Q81="Stem Completion",6,IF(Q81="Fragment Completion",7,IF(Q81="anagram solution",8,IF(Q81="Matching",9,IF(Q81="Problem Solving",10,"99"))))))))))</f>
        <v>1</v>
      </c>
      <c r="S81" s="60" t="s">
        <v>49</v>
      </c>
      <c r="T81" s="60" t="s">
        <v>261</v>
      </c>
      <c r="U81" s="60">
        <f>IF(T81="within",1,0)</f>
        <v>0</v>
      </c>
      <c r="V81" s="60">
        <v>30</v>
      </c>
      <c r="W81" s="60">
        <f>F81*V81</f>
        <v>23190</v>
      </c>
      <c r="X81" s="60">
        <v>9</v>
      </c>
      <c r="Y81" s="76">
        <f>AV80</f>
        <v>60</v>
      </c>
      <c r="Z81" s="60" t="s">
        <v>209</v>
      </c>
      <c r="AA81" s="60">
        <v>1576800000</v>
      </c>
      <c r="AB81" s="60" t="str">
        <f>IF(AA81&lt;60,"1",IF(AA81&lt;=43200,"2",IF(AA81&lt;=777600,"3","4")))</f>
        <v>4</v>
      </c>
      <c r="AC81" s="56">
        <f>AVERAGE(AV80:DA80)</f>
        <v>503028406.66666669</v>
      </c>
      <c r="AD81" s="60" t="str">
        <f>IF(AC81&lt;60,"1",IF(AC81&lt;=43200,"2",IF(AC81&lt;=777600,"3","4")))</f>
        <v>4</v>
      </c>
      <c r="AE81" s="76">
        <f>AA81-Y81</f>
        <v>1576799940</v>
      </c>
      <c r="AF81" s="80">
        <f>AV81</f>
        <v>1</v>
      </c>
      <c r="AG81" s="58">
        <f>((AW81-AV81)+(AX81-AW81)+(AY81-AX81)+(AZ81-AY81)+(BA81-AZ81)+(BB81-BA81)+(BC81-BB81)+(BD81-BC81))/8</f>
        <v>-3.9470271919453875E-2</v>
      </c>
      <c r="AH81" s="4"/>
      <c r="AI81" s="56">
        <f>RSQ(AV81:BD81,AV80:BD80)</f>
        <v>0.36022676046998414</v>
      </c>
      <c r="AJ81" s="109">
        <f>SLOPE(AV81:BD81,AV80:BD80)</f>
        <v>-1.2795368958834734E-10</v>
      </c>
      <c r="AK81" s="56">
        <f>INTERCEPT(AV81:BD81,AV80:BD80)</f>
        <v>0.83118635349117842</v>
      </c>
      <c r="AL81" s="56">
        <f>INDEX(LINEST(LN(AV81:BD81),LN(AV80:BD80),TRUE,TRUE),3,1)</f>
        <v>0.68451094051104722</v>
      </c>
      <c r="AM81" s="56">
        <f>INDEX(LINEST(LN(AV81:BD81),LN(AV80:BD80)),1)</f>
        <v>-2.1813466443657538E-2</v>
      </c>
      <c r="AN81" s="56">
        <f>EXP(INDEX(LINEST(LN(AV81:BD81),LN(AV80:BD80)),1,2))</f>
        <v>1.1223176172957749</v>
      </c>
      <c r="AO81" s="82">
        <f>INDEX(LINEST((AV81:BD81),LN(AV80:BD80),TRUE,TRUE),3,1)</f>
        <v>0.71348205123294317</v>
      </c>
      <c r="AP81" s="82">
        <f>INDEX(LINEST((AV81:BD81),LN(AV80:BD80)),1)</f>
        <v>-1.8363513040474677E-2</v>
      </c>
      <c r="AQ81" s="83">
        <f>INDEX(LINEST(LN(AV81:BD81),SQRT(AV80:BD80),TRUE,TRUE),3,1)</f>
        <v>0.57841092234190916</v>
      </c>
      <c r="AR81" s="116">
        <f>INDEX(LINEST(LN(AV81:BD81),SQRT((AV80:BD80))),1)</f>
        <v>-8.1870782979847235E-6</v>
      </c>
      <c r="AS81" s="84">
        <f>INDEX(LINEST(1/(AV81:BD81),1/(SQRT(AV80:BD80)),TRUE,TRUE),3,1)</f>
        <v>0.51103630534596201</v>
      </c>
      <c r="AT81" s="84">
        <f>INDEX(LINEST(1/(AV81:BD81),1/SQRT(AV80:BD80)),1)</f>
        <v>-2.8526631573695664</v>
      </c>
      <c r="AU81" s="3"/>
      <c r="AV81" s="42">
        <v>1</v>
      </c>
      <c r="AW81" s="42">
        <v>0.92156210670836303</v>
      </c>
      <c r="AX81" s="42">
        <v>0.69884596315929892</v>
      </c>
      <c r="AY81" s="42">
        <v>0.70518897067236097</v>
      </c>
      <c r="AZ81" s="46">
        <v>0.75805957057320394</v>
      </c>
      <c r="BA81" s="42">
        <v>0.757876511193318</v>
      </c>
      <c r="BB81" s="42">
        <v>0.696176347202623</v>
      </c>
      <c r="BC81" s="2">
        <v>0.67945082186034</v>
      </c>
      <c r="BD81" s="2">
        <v>0.684237824644369</v>
      </c>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1"/>
      <c r="CS81" s="1"/>
      <c r="CT81" s="1"/>
      <c r="CU81" s="1"/>
    </row>
    <row r="82" spans="1:99" s="13" customFormat="1" ht="12" customHeight="1" x14ac:dyDescent="0.2">
      <c r="A82" s="68">
        <v>43509</v>
      </c>
      <c r="B82" s="70"/>
      <c r="C82" s="70"/>
      <c r="D82" s="69"/>
      <c r="E82" s="87"/>
      <c r="F82" s="69"/>
      <c r="G82" s="69"/>
      <c r="H82" s="69"/>
      <c r="I82" s="69"/>
      <c r="J82" s="69"/>
      <c r="K82" s="107"/>
      <c r="L82" s="107"/>
      <c r="M82" s="69"/>
      <c r="N82" s="69"/>
      <c r="O82" s="69"/>
      <c r="P82" s="69"/>
      <c r="Q82" s="69"/>
      <c r="R82" s="69"/>
      <c r="S82" s="69"/>
      <c r="T82" s="69"/>
      <c r="U82" s="69"/>
      <c r="V82" s="69"/>
      <c r="W82" s="69"/>
      <c r="X82" s="69"/>
      <c r="Y82" s="87"/>
      <c r="Z82" s="69"/>
      <c r="AA82" s="69"/>
      <c r="AB82" s="69"/>
      <c r="AC82" s="69"/>
      <c r="AD82" s="69"/>
      <c r="AE82" s="69"/>
      <c r="AF82" s="88"/>
      <c r="AG82" s="72"/>
      <c r="AH82" s="4"/>
      <c r="AI82" s="72"/>
      <c r="AJ82" s="110"/>
      <c r="AK82" s="72"/>
      <c r="AL82" s="72"/>
      <c r="AM82" s="72"/>
      <c r="AN82" s="72"/>
      <c r="AO82" s="72"/>
      <c r="AP82" s="72"/>
      <c r="AQ82" s="89"/>
      <c r="AR82" s="118"/>
      <c r="AS82" s="89"/>
      <c r="AT82" s="89"/>
      <c r="AU82" s="3"/>
      <c r="AV82" s="71">
        <f>365*24*60*60*0.25</f>
        <v>7884000</v>
      </c>
      <c r="AW82" s="71">
        <f>365*24*60*60*8.5</f>
        <v>268056000</v>
      </c>
      <c r="AX82" s="71">
        <f>365*24*60*60*19</f>
        <v>599184000</v>
      </c>
      <c r="AY82" s="71">
        <f>365*24*60*60*32.5</f>
        <v>1024920000</v>
      </c>
      <c r="AZ82" s="71">
        <f>365*24*60*60*47.25</f>
        <v>1490076000</v>
      </c>
      <c r="BA82" s="42"/>
      <c r="BB82" s="4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1"/>
      <c r="CS82" s="1"/>
      <c r="CT82" s="1"/>
      <c r="CU82" s="1"/>
    </row>
    <row r="83" spans="1:99" s="13" customFormat="1" ht="12" customHeight="1" x14ac:dyDescent="0.2">
      <c r="A83" s="68">
        <v>43509</v>
      </c>
      <c r="B83" s="70" t="s">
        <v>210</v>
      </c>
      <c r="C83" s="70" t="s">
        <v>211</v>
      </c>
      <c r="D83" s="69">
        <v>2008</v>
      </c>
      <c r="E83" s="87">
        <v>1</v>
      </c>
      <c r="F83" s="69">
        <v>267</v>
      </c>
      <c r="G83" s="69">
        <v>55.2</v>
      </c>
      <c r="H83" s="69" t="s">
        <v>43</v>
      </c>
      <c r="I83" s="69" t="s">
        <v>618</v>
      </c>
      <c r="J83" s="69" t="s">
        <v>617</v>
      </c>
      <c r="K83" s="69">
        <f>IF(J83="syllables",1,IF(J83="trigrams",2,IF(J83="strings",3,IF(J83="visual array",4,IF(J83="characters",5,IF(J83="letters",6,IF(J83="free forms",7,IF(J83="odors",8,IF(J83="words",9,IF(J83="pictures",10,IF(J83="object pictures",11,IF(J83="faces",12,IF(J83="names",13,IF(J83="idioms",14,IF(J83="grades",15,IF(J83="syllable-digit pairs",16,IF(J83="trigram-word pairs",17,IF(J83="word-digit pairs",18,IF(J83="English-Swahili pairs",19,IF(J83="spatial position",20,IF(J83="word pairs",21,IF(J83="word triads",22,IF(J83="generated words",23,IF(J83="word definition pairs",24,IF(J83="math problems",25,IF(J83="famous faces",26,IF(J83="famous names",27,IF(J83="famous voices",28,IF(J83="television programs",29,IF(J83="race horses",30,IF(J83="new vocabulary",31,IF(J83="sentences",32,IF(J83="concepts",33,IF(J83="ad slides",34,IF(J83="scenes",35,IF(J83="famous scenes",36,IF(J83="poems",37,IF(J83="walk",38,IF(J83="faces and events",39,IF(J83="events and names",40,IF(J83="flashbulb",41,IF(J83="stories",42,IF(J83="course material",43,IF(J83="autobiographical",44,IF(J83="novels",45,IF(J83="public events",46,"99"))))))))))))))))))))))))))))))))))))))))))))))</f>
        <v>15</v>
      </c>
      <c r="L83" s="69">
        <f>IF(J83="syllables",1,IF(J83="trigrams",1,IF(J83="strings",1,IF(J83="visual array",1,IF(J83="characters",1,IF(J83="letters",1,IF(J83="free forms",1,IF(J83="odors",2,IF(J83="words",2,IF(J83="pictures",2,IF(J83="object pictures",2,IF(J83="faces",2,IF(J83="names",2,IF(J83="idioms","2",IF(J83="grades",2,IF(J83="syllable-digit pairs",3,IF(J83="trigram-word pairs",3,IF(J83="word-digit pairs",3,IF(J83="English-Swahili pairs",3,IF(J83="spatial position",3,IF(J83="word pairs",4,IF(J83="word triads",4,IF(J83="generated words",4,IF(J83="word definition pairs",4,IF(J83="math problems",4,IF(J83="famous faces",4,IF(J83="famous names",4,IF(J83="famous voices",4,IF(J83="television programs",4,IF(J83="race horses",4,IF(J83="new vocabulary",4,IF(J83="sentences",5,IF(J83="concepts",5,IF(J83="ad slides",5,IF(J83="scenes",5,IF(J83="famous scenes",5,IF(J83="poems",6,IF(J83="walk",6,IF(J83="faces and events",6,IF(J83="events and names",6,IF(J83="flashbulb",7,IF(J83="stories",7,IF(J83="course material",7,IF(J83="autobiographical",7,IF(J83="novels",7,IF(J83="public events",7,"99"))))))))))))))))))))))))))))))))))))))))))))))</f>
        <v>2</v>
      </c>
      <c r="M83" s="69">
        <v>0</v>
      </c>
      <c r="N83" s="69">
        <v>1</v>
      </c>
      <c r="O83" s="69">
        <v>0</v>
      </c>
      <c r="P83" s="69"/>
      <c r="Q83" s="92" t="s">
        <v>174</v>
      </c>
      <c r="R83" s="69">
        <f>IF(Q83="Free Recall",1,IF(Q83="Cued Recall",2,IF(Q83="Recognition",3,IF(Q83="Multiple Choice",4,IF(Q83="Savings",5,IF(Q83="Stem Completion",6,IF(Q83="Fragment Completion",7,IF(Q83="anagram solution",8,IF(Q83="Matching",9,IF(Q83="Problem Solving",10,"99"))))))))))</f>
        <v>1</v>
      </c>
      <c r="S83" s="69" t="s">
        <v>49</v>
      </c>
      <c r="T83" s="69" t="s">
        <v>261</v>
      </c>
      <c r="U83" s="69">
        <f>IF(T83="within",1,0)</f>
        <v>0</v>
      </c>
      <c r="V83" s="69">
        <v>14.4</v>
      </c>
      <c r="W83" s="69">
        <f>F83*V83</f>
        <v>3844.8</v>
      </c>
      <c r="X83" s="69">
        <v>5</v>
      </c>
      <c r="Y83" s="87">
        <f>AV82</f>
        <v>7884000</v>
      </c>
      <c r="Z83" s="69" t="s">
        <v>231</v>
      </c>
      <c r="AA83" s="69">
        <f>47.25*365*24*60*60</f>
        <v>1490076000</v>
      </c>
      <c r="AB83" s="69" t="str">
        <f>IF(AA83&lt;60,"1",IF(AA83&lt;=43200,"2",IF(AA83&lt;=777600,"3","4")))</f>
        <v>4</v>
      </c>
      <c r="AC83" s="72">
        <f>AVERAGE(AV82:DA82)</f>
        <v>678024000</v>
      </c>
      <c r="AD83" s="69" t="str">
        <f>IF(AC83&lt;60,"1",IF(AC83&lt;=43200,"2",IF(AC83&lt;=777600,"3","4")))</f>
        <v>4</v>
      </c>
      <c r="AE83" s="87">
        <f>AA83-Y83</f>
        <v>1482192000</v>
      </c>
      <c r="AF83" s="88">
        <f>AV83</f>
        <v>0.78100000000000003</v>
      </c>
      <c r="AG83" s="72">
        <f>((AW83-AV83)+(AX83-AW83)+(AY83-AX83)+(AZ83-AY83))/4</f>
        <v>-0.125</v>
      </c>
      <c r="AH83" s="4"/>
      <c r="AI83" s="72">
        <f>RSQ(AV83:AZ83,AV82:AZ82)</f>
        <v>0.89290269758418817</v>
      </c>
      <c r="AJ83" s="110">
        <f>SLOPE(AV83:AZ83,AV82:AZ82)</f>
        <v>-2.9820183931290055E-10</v>
      </c>
      <c r="AK83" s="72">
        <f>INTERCEPT(AV83:AZ83,AV82:AZ82)</f>
        <v>0.69958800389829012</v>
      </c>
      <c r="AL83" s="72">
        <f>INDEX(LINEST(LN(AV83:AZ83),LN(AV82:AZ82),TRUE,TRUE),3,1)</f>
        <v>0.81416582183882535</v>
      </c>
      <c r="AM83" s="72">
        <f>INDEX(LINEST(LN(AV83:AZ83),LN(AV82:AZ82)),1)</f>
        <v>-0.16166396883374459</v>
      </c>
      <c r="AN83" s="72">
        <f>EXP(INDEX(LINEST(LN(AV83:AZ83),LN(AV82:AZ82)),1,2))</f>
        <v>10.949780807215108</v>
      </c>
      <c r="AO83" s="89">
        <f>INDEX(LINEST((AV83:AZ83),LN(AV82:AZ82),TRUE,TRUE),3,1)</f>
        <v>0.92773172154452754</v>
      </c>
      <c r="AP83" s="89">
        <f>INDEX(LINEST((AV83:AZ83),LN(AV82:AZ82)),1)</f>
        <v>-8.5338767095109583E-2</v>
      </c>
      <c r="AQ83" s="90">
        <f>INDEX(LINEST(LN(AV83:AZ83),SQRT(AV82:AZ82),TRUE,TRUE),3,1)</f>
        <v>0.9648697003869694</v>
      </c>
      <c r="AR83" s="117">
        <f>INDEX(LINEST(LN(AV83:AZ83),SQRT((AV82:AZ82))),1)</f>
        <v>-2.6614326095486852E-5</v>
      </c>
      <c r="AS83" s="91">
        <f>INDEX(LINEST(1/(AV83:AZ83),1/(SQRT(AV82:AZ82)),TRUE,TRUE),3,1)</f>
        <v>0.48222906073708582</v>
      </c>
      <c r="AT83" s="91">
        <f>INDEX(LINEST(1/(AV83:AZ83),1/SQRT(AV82:AZ82)),1)</f>
        <v>-4168.8215366302329</v>
      </c>
      <c r="AU83" s="3"/>
      <c r="AV83" s="73">
        <v>0.78100000000000003</v>
      </c>
      <c r="AW83" s="73">
        <v>0.55100000000000005</v>
      </c>
      <c r="AX83" s="73">
        <v>0.47099999999999997</v>
      </c>
      <c r="AY83" s="73">
        <v>0.40300000000000002</v>
      </c>
      <c r="AZ83" s="73">
        <v>0.28100000000000003</v>
      </c>
      <c r="BA83" s="42"/>
      <c r="BB83" s="4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1"/>
      <c r="CS83" s="1"/>
      <c r="CT83" s="1"/>
      <c r="CU83" s="1"/>
    </row>
    <row r="84" spans="1:99" s="13" customFormat="1" ht="12" customHeight="1" x14ac:dyDescent="0.2">
      <c r="A84" s="68">
        <v>43509</v>
      </c>
      <c r="B84" s="70"/>
      <c r="C84" s="70"/>
      <c r="D84" s="69"/>
      <c r="E84" s="87"/>
      <c r="F84" s="69"/>
      <c r="G84" s="69"/>
      <c r="H84" s="69"/>
      <c r="I84" s="69"/>
      <c r="J84" s="69"/>
      <c r="K84" s="107"/>
      <c r="L84" s="107"/>
      <c r="M84" s="69"/>
      <c r="N84" s="69"/>
      <c r="O84" s="69"/>
      <c r="P84" s="69"/>
      <c r="Q84" s="69"/>
      <c r="R84" s="69"/>
      <c r="S84" s="69"/>
      <c r="T84" s="69"/>
      <c r="U84" s="69"/>
      <c r="V84" s="69"/>
      <c r="W84" s="69"/>
      <c r="X84" s="69"/>
      <c r="Y84" s="87"/>
      <c r="Z84" s="69"/>
      <c r="AA84" s="69"/>
      <c r="AB84" s="69"/>
      <c r="AC84" s="69"/>
      <c r="AD84" s="69"/>
      <c r="AE84" s="69"/>
      <c r="AF84" s="88"/>
      <c r="AG84" s="72"/>
      <c r="AH84" s="4"/>
      <c r="AI84" s="72"/>
      <c r="AJ84" s="110"/>
      <c r="AK84" s="72"/>
      <c r="AL84" s="72"/>
      <c r="AM84" s="72"/>
      <c r="AN84" s="72"/>
      <c r="AO84" s="72"/>
      <c r="AP84" s="72"/>
      <c r="AQ84" s="89"/>
      <c r="AR84" s="118"/>
      <c r="AS84" s="89"/>
      <c r="AT84" s="89"/>
      <c r="AU84" s="3"/>
      <c r="AV84" s="71">
        <f>365*24*60*60*0.25</f>
        <v>7884000</v>
      </c>
      <c r="AW84" s="71">
        <f>365*24*60*60*8.5</f>
        <v>268056000</v>
      </c>
      <c r="AX84" s="71">
        <f>365*24*60*60*19</f>
        <v>599184000</v>
      </c>
      <c r="AY84" s="71">
        <f>365*24*60*60*32.5</f>
        <v>1024920000</v>
      </c>
      <c r="AZ84" s="71">
        <f>365*24*60*60*47.25</f>
        <v>1490076000</v>
      </c>
      <c r="BA84" s="42"/>
      <c r="BB84" s="4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1"/>
      <c r="CS84" s="1"/>
      <c r="CT84" s="1"/>
      <c r="CU84" s="1"/>
    </row>
    <row r="85" spans="1:99" s="13" customFormat="1" ht="12" customHeight="1" x14ac:dyDescent="0.2">
      <c r="A85" s="68">
        <v>43509</v>
      </c>
      <c r="B85" s="70" t="s">
        <v>210</v>
      </c>
      <c r="C85" s="70" t="s">
        <v>211</v>
      </c>
      <c r="D85" s="69">
        <v>2008</v>
      </c>
      <c r="E85" s="87">
        <v>1</v>
      </c>
      <c r="F85" s="69">
        <v>267</v>
      </c>
      <c r="G85" s="69">
        <v>55.2</v>
      </c>
      <c r="H85" s="69" t="s">
        <v>43</v>
      </c>
      <c r="I85" s="69" t="s">
        <v>619</v>
      </c>
      <c r="J85" s="69" t="s">
        <v>617</v>
      </c>
      <c r="K85" s="69">
        <f>IF(J85="syllables",1,IF(J85="trigrams",2,IF(J85="strings",3,IF(J85="visual array",4,IF(J85="characters",5,IF(J85="letters",6,IF(J85="free forms",7,IF(J85="odors",8,IF(J85="words",9,IF(J85="pictures",10,IF(J85="object pictures",11,IF(J85="faces",12,IF(J85="names",13,IF(J85="idioms",14,IF(J85="grades",15,IF(J85="syllable-digit pairs",16,IF(J85="trigram-word pairs",17,IF(J85="word-digit pairs",18,IF(J85="English-Swahili pairs",19,IF(J85="spatial position",20,IF(J85="word pairs",21,IF(J85="word triads",22,IF(J85="generated words",23,IF(J85="word definition pairs",24,IF(J85="math problems",25,IF(J85="famous faces",26,IF(J85="famous names",27,IF(J85="famous voices",28,IF(J85="television programs",29,IF(J85="race horses",30,IF(J85="new vocabulary",31,IF(J85="sentences",32,IF(J85="concepts",33,IF(J85="ad slides",34,IF(J85="scenes",35,IF(J85="famous scenes",36,IF(J85="poems",37,IF(J85="walk",38,IF(J85="faces and events",39,IF(J85="events and names",40,IF(J85="flashbulb",41,IF(J85="stories",42,IF(J85="course material",43,IF(J85="autobiographical",44,IF(J85="novels",45,IF(J85="public events",46,"99"))))))))))))))))))))))))))))))))))))))))))))))</f>
        <v>15</v>
      </c>
      <c r="L85" s="69">
        <f>IF(J85="syllables",1,IF(J85="trigrams",1,IF(J85="strings",1,IF(J85="visual array",1,IF(J85="characters",1,IF(J85="letters",1,IF(J85="free forms",1,IF(J85="odors",2,IF(J85="words",2,IF(J85="pictures",2,IF(J85="object pictures",2,IF(J85="faces",2,IF(J85="names",2,IF(J85="idioms","2",IF(J85="grades",2,IF(J85="syllable-digit pairs",3,IF(J85="trigram-word pairs",3,IF(J85="word-digit pairs",3,IF(J85="English-Swahili pairs",3,IF(J85="spatial position",3,IF(J85="word pairs",4,IF(J85="word triads",4,IF(J85="generated words",4,IF(J85="word definition pairs",4,IF(J85="math problems",4,IF(J85="famous faces",4,IF(J85="famous names",4,IF(J85="famous voices",4,IF(J85="television programs",4,IF(J85="race horses",4,IF(J85="new vocabulary",4,IF(J85="sentences",5,IF(J85="concepts",5,IF(J85="ad slides",5,IF(J85="scenes",5,IF(J85="famous scenes",5,IF(J85="poems",6,IF(J85="walk",6,IF(J85="faces and events",6,IF(J85="events and names",6,IF(J85="flashbulb",7,IF(J85="stories",7,IF(J85="course material",7,IF(J85="autobiographical",7,IF(J85="novels",7,IF(J85="public events",7,"99"))))))))))))))))))))))))))))))))))))))))))))))</f>
        <v>2</v>
      </c>
      <c r="M85" s="69">
        <v>0</v>
      </c>
      <c r="N85" s="69">
        <v>1</v>
      </c>
      <c r="O85" s="69">
        <v>0</v>
      </c>
      <c r="P85" s="69"/>
      <c r="Q85" s="92" t="s">
        <v>174</v>
      </c>
      <c r="R85" s="69">
        <f>IF(Q85="Free Recall",1,IF(Q85="Cued Recall",2,IF(Q85="Recognition",3,IF(Q85="Multiple Choice",4,IF(Q85="Savings",5,IF(Q85="Stem Completion",6,IF(Q85="Fragment Completion",7,IF(Q85="anagram solution",8,IF(Q85="Matching",9,IF(Q85="Problem Solving",10,"99"))))))))))</f>
        <v>1</v>
      </c>
      <c r="S85" s="69" t="s">
        <v>49</v>
      </c>
      <c r="T85" s="69" t="s">
        <v>261</v>
      </c>
      <c r="U85" s="69">
        <f>IF(T85="within",1,0)</f>
        <v>0</v>
      </c>
      <c r="V85" s="69">
        <v>14.4</v>
      </c>
      <c r="W85" s="69">
        <f>F85*V85</f>
        <v>3844.8</v>
      </c>
      <c r="X85" s="69">
        <v>5</v>
      </c>
      <c r="Y85" s="87">
        <f>AV84</f>
        <v>7884000</v>
      </c>
      <c r="Z85" s="69" t="s">
        <v>231</v>
      </c>
      <c r="AA85" s="69">
        <f>47.25*365*24*60*60</f>
        <v>1490076000</v>
      </c>
      <c r="AB85" s="69" t="str">
        <f>IF(AA85&lt;60,"1",IF(AA85&lt;=43200,"2",IF(AA85&lt;=777600,"3","4")))</f>
        <v>4</v>
      </c>
      <c r="AC85" s="72">
        <f>AVERAGE(AV84:DA84)</f>
        <v>678024000</v>
      </c>
      <c r="AD85" s="69" t="str">
        <f>IF(AC85&lt;60,"1",IF(AC85&lt;=43200,"2",IF(AC85&lt;=777600,"3","4")))</f>
        <v>4</v>
      </c>
      <c r="AE85" s="87">
        <f>AA85-Y85</f>
        <v>1482192000</v>
      </c>
      <c r="AF85" s="88">
        <f>AV85</f>
        <v>0.67600000000000005</v>
      </c>
      <c r="AG85" s="72">
        <f>((AW85-AV85)+(AX85-AW85)+(AY85-AX85)+(AZ85-AY85))/4</f>
        <v>-8.975000000000001E-2</v>
      </c>
      <c r="AH85" s="4"/>
      <c r="AI85" s="72">
        <f>RSQ(AV85:AZ85,AV84:AZ84)</f>
        <v>0.93685295621320086</v>
      </c>
      <c r="AJ85" s="110">
        <f>SLOPE(AV85:AZ85,AV84:AZ84)</f>
        <v>-2.2475828637238726E-10</v>
      </c>
      <c r="AK85" s="72">
        <f>INTERCEPT(AV85:AZ85,AV84:AZ84)</f>
        <v>0.63299151235935158</v>
      </c>
      <c r="AL85" s="72">
        <f>INDEX(LINEST(LN(AV85:AZ85),LN(AV84:AZ84),TRUE,TRUE),3,1)</f>
        <v>0.79862876810717776</v>
      </c>
      <c r="AM85" s="72">
        <f>INDEX(LINEST(LN(AV85:AZ85),LN(AV84:AZ84)),1)</f>
        <v>-0.12214566922916996</v>
      </c>
      <c r="AN85" s="72">
        <f>EXP(INDEX(LINEST(LN(AV85:AZ85),LN(AV84:AZ84)),1,2))</f>
        <v>5.0173726148976696</v>
      </c>
      <c r="AO85" s="89">
        <f>INDEX(LINEST((AV85:AZ85),LN(AV84:AZ84),TRUE,TRUE),3,1)</f>
        <v>0.88138670680459918</v>
      </c>
      <c r="AP85" s="89">
        <f>INDEX(LINEST((AV85:AZ85),LN(AV84:AZ84)),1)</f>
        <v>-6.1205458433339473E-2</v>
      </c>
      <c r="AQ85" s="90">
        <f>INDEX(LINEST(LN(AV85:AZ85),SQRT(AV84:AZ84),TRUE,TRUE),3,1)</f>
        <v>0.97332851352591399</v>
      </c>
      <c r="AR85" s="117">
        <f>INDEX(LINEST(LN(AV85:AZ85),SQRT((AV84:AZ84))),1)</f>
        <v>-2.0391992271746735E-5</v>
      </c>
      <c r="AS85" s="91">
        <f>INDEX(LINEST(1/(AV85:AZ85),1/(SQRT(AV84:AZ84)),TRUE,TRUE),3,1)</f>
        <v>0.50590803973247722</v>
      </c>
      <c r="AT85" s="91">
        <f>INDEX(LINEST(1/(AV85:AZ85),1/SQRT(AV84:AZ84)),1)</f>
        <v>-3202.582161182896</v>
      </c>
      <c r="AU85" s="3"/>
      <c r="AV85" s="73">
        <v>0.67600000000000005</v>
      </c>
      <c r="AW85" s="73">
        <v>0.54800000000000004</v>
      </c>
      <c r="AX85" s="73">
        <v>0.45600000000000002</v>
      </c>
      <c r="AY85" s="73">
        <v>0.40600000000000003</v>
      </c>
      <c r="AZ85" s="73">
        <v>0.317</v>
      </c>
      <c r="BA85" s="42"/>
      <c r="BB85" s="4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1"/>
      <c r="CS85" s="1"/>
      <c r="CT85" s="1"/>
      <c r="CU85" s="1"/>
    </row>
    <row r="86" spans="1:99" ht="12" customHeight="1" x14ac:dyDescent="0.2">
      <c r="A86" s="65">
        <v>43895</v>
      </c>
      <c r="B86" s="15"/>
      <c r="C86" s="15"/>
      <c r="D86" s="59"/>
      <c r="E86" s="75"/>
      <c r="F86" s="59"/>
      <c r="G86" s="59"/>
      <c r="H86" s="59"/>
      <c r="I86" s="59"/>
      <c r="J86" s="59"/>
      <c r="M86" s="59"/>
      <c r="N86" s="59"/>
      <c r="O86" s="59"/>
      <c r="P86" s="59"/>
      <c r="Q86" s="59"/>
      <c r="R86" s="60"/>
      <c r="S86" s="59"/>
      <c r="T86" s="59"/>
      <c r="U86" s="60"/>
      <c r="V86" s="59"/>
      <c r="W86" s="60"/>
      <c r="X86" s="59"/>
      <c r="Y86" s="76"/>
      <c r="Z86" s="59"/>
      <c r="AA86" s="59"/>
      <c r="AB86" s="60"/>
      <c r="AC86" s="56"/>
      <c r="AD86" s="60"/>
      <c r="AE86" s="60"/>
      <c r="AF86" s="80"/>
      <c r="AG86" s="56"/>
      <c r="AH86" s="4"/>
      <c r="AI86" s="56"/>
      <c r="AJ86" s="109"/>
      <c r="AK86" s="56"/>
      <c r="AL86" s="56"/>
      <c r="AM86" s="56"/>
      <c r="AN86" s="56"/>
      <c r="AO86" s="82"/>
      <c r="AP86" s="82"/>
      <c r="AQ86" s="83"/>
      <c r="AR86" s="116"/>
      <c r="AS86" s="84"/>
      <c r="AT86" s="84"/>
      <c r="AU86" s="3"/>
      <c r="AV86" s="25">
        <v>157680000</v>
      </c>
      <c r="AW86" s="25">
        <v>473040000</v>
      </c>
      <c r="AX86" s="25">
        <v>788400000</v>
      </c>
      <c r="AY86" s="25">
        <v>1103760000</v>
      </c>
      <c r="AZ86" s="53"/>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5"/>
      <c r="CS86" s="15"/>
      <c r="CT86" s="15"/>
      <c r="CU86" s="15"/>
    </row>
    <row r="87" spans="1:99" ht="12" customHeight="1" x14ac:dyDescent="0.2">
      <c r="A87" s="65">
        <v>43895</v>
      </c>
      <c r="B87" s="15" t="s">
        <v>331</v>
      </c>
      <c r="C87" s="15" t="s">
        <v>54</v>
      </c>
      <c r="D87" s="59">
        <v>1990</v>
      </c>
      <c r="E87" s="75">
        <v>1</v>
      </c>
      <c r="F87" s="59">
        <v>6</v>
      </c>
      <c r="G87" s="59">
        <v>6</v>
      </c>
      <c r="H87" s="59" t="s">
        <v>50</v>
      </c>
      <c r="I87" s="59" t="s">
        <v>330</v>
      </c>
      <c r="J87" s="59" t="s">
        <v>342</v>
      </c>
      <c r="K87" s="60">
        <f>IF(J87="syllables",1,IF(J87="trigrams",2,IF(J87="strings",3,IF(J87="visual array",4,IF(J87="characters",5,IF(J87="letters",6,IF(J87="free forms",7,IF(J87="odors",8,IF(J87="words",9,IF(J87="pictures",10,IF(J87="object pictures",11,IF(J87="faces",12,IF(J87="names",13,IF(J87="idioms",14,IF(J87="grades",15,IF(J87="syllable-digit pairs",16,IF(J87="trigram-word pairs",17,IF(J87="word-digit pairs",18,IF(J87="English-Swahili pairs",19,IF(J87="spatial position",20,IF(J87="word pairs",21,IF(J87="word triads",22,IF(J87="generated words",23,IF(J87="word definition pairs",24,IF(J87="math problems",25,IF(J87="famous faces",26,IF(J87="famous names",27,IF(J87="famous voices",28,IF(J87="television programs",29,IF(J87="race horses",30,IF(J87="new vocabulary",31,IF(J87="sentences",32,IF(J87="concepts",33,IF(J87="ad slides",34,IF(J87="scenes",35,IF(J87="famous scenes",36,IF(J87="poems",37,IF(J87="walk",38,IF(J87="faces and events",39,IF(J87="events and names",40,IF(J87="flashbulb",41,IF(J87="stories",42,IF(J87="course material",43,IF(J87="autobiographical",44,IF(J87="novels",45,IF(J87="public events",46,"99"))))))))))))))))))))))))))))))))))))))))))))))</f>
        <v>26</v>
      </c>
      <c r="L87" s="60">
        <f>IF(J87="syllables",1,IF(J87="trigrams",1,IF(J87="strings",1,IF(J87="visual array",1,IF(J87="characters",1,IF(J87="letters",1,IF(J87="free forms",1,IF(J87="odors",2,IF(J87="words",2,IF(J87="pictures",2,IF(J87="object pictures",2,IF(J87="faces",2,IF(J87="names",2,IF(J87="idioms","2",IF(J87="grades",2,IF(J87="syllable-digit pairs",3,IF(J87="trigram-word pairs",3,IF(J87="word-digit pairs",3,IF(J87="English-Swahili pairs",3,IF(J87="spatial position",3,IF(J87="word pairs",4,IF(J87="word triads",4,IF(J87="generated words",4,IF(J87="word definition pairs",4,IF(J87="math problems",4,IF(J87="famous faces",4,IF(J87="famous names",4,IF(J87="famous voices",4,IF(J87="television programs",4,IF(J87="race horses",4,IF(J87="new vocabulary",4,IF(J87="sentences",5,IF(J87="concepts",5,IF(J87="ad slides",5,IF(J87="scenes",5,IF(J87="famous scenes",5,IF(J87="poems",6,IF(J87="walk",6,IF(J87="faces and events",6,IF(J87="events and names",6,IF(J87="flashbulb",7,IF(J87="stories",7,IF(J87="course material",7,IF(J87="autobiographical",7,IF(J87="novels",7,IF(J87="public events",7,"99"))))))))))))))))))))))))))))))))))))))))))))))</f>
        <v>4</v>
      </c>
      <c r="M87" s="60">
        <v>1</v>
      </c>
      <c r="N87" s="59">
        <v>2</v>
      </c>
      <c r="O87" s="60">
        <v>0</v>
      </c>
      <c r="P87" s="59"/>
      <c r="Q87" s="60" t="s">
        <v>174</v>
      </c>
      <c r="R87" s="60">
        <f>IF(Q87="Free Recall",1,IF(Q87="Cued Recall",2,IF(Q87="Recognition",3,IF(Q87="Multiple Choice",4,IF(Q87="Savings",5,IF(Q87="Stem Completion",6,IF(Q87="Fragment Completion",7,IF(Q87="anagram solution",8,IF(Q87="Matching",9,IF(Q87="Problem Solving",10,"99"))))))))))</f>
        <v>1</v>
      </c>
      <c r="S87" s="60" t="s">
        <v>49</v>
      </c>
      <c r="T87" s="59" t="s">
        <v>581</v>
      </c>
      <c r="U87" s="60">
        <f>IF(T87="within",1,0)</f>
        <v>1</v>
      </c>
      <c r="V87" s="59">
        <v>32</v>
      </c>
      <c r="W87" s="60">
        <f>F87*V87</f>
        <v>192</v>
      </c>
      <c r="X87" s="59">
        <v>4</v>
      </c>
      <c r="Y87" s="76">
        <f>AV86</f>
        <v>157680000</v>
      </c>
      <c r="Z87" s="59" t="s">
        <v>375</v>
      </c>
      <c r="AA87" s="60">
        <f>35*365*24*60*60</f>
        <v>1103760000</v>
      </c>
      <c r="AB87" s="60" t="str">
        <f>IF(AA87&lt;60,"1",IF(AA87&lt;=43200,"2",IF(AA87&lt;=777600,"3","4")))</f>
        <v>4</v>
      </c>
      <c r="AC87" s="56">
        <f>AVERAGE(AV86:DA86)</f>
        <v>630720000</v>
      </c>
      <c r="AD87" s="60" t="str">
        <f>IF(AC87&lt;60,"1",IF(AC87&lt;=43200,"2",IF(AC87&lt;=777600,"3","4")))</f>
        <v>4</v>
      </c>
      <c r="AE87" s="76">
        <f>AA87-Y87</f>
        <v>946080000</v>
      </c>
      <c r="AF87" s="80">
        <f>AV87</f>
        <v>0.92307692307692302</v>
      </c>
      <c r="AG87" s="56">
        <f>((AW87-AV87)+(AX87-AW87)+(AY87-AX87))/3</f>
        <v>-5.3667262969588165E-3</v>
      </c>
      <c r="AH87" s="4"/>
      <c r="AI87" s="56">
        <f>RSQ(AV87:AY87,AV86:AY86)</f>
        <v>4.4545890782241256E-2</v>
      </c>
      <c r="AJ87" s="109">
        <f>SLOPE(AV87:AY87,AV86:AY86)</f>
        <v>3.660216620440542E-11</v>
      </c>
      <c r="AK87" s="56">
        <f>INTERCEPT(AV87:AY87,AV86:AY86)</f>
        <v>0.87308725327828307</v>
      </c>
      <c r="AL87" s="56">
        <f>INDEX(LINEST(LN(AV87:AY87),LN(AV86:AY86),TRUE,TRUE),3,1)</f>
        <v>3.9286534295971893E-3</v>
      </c>
      <c r="AM87" s="56">
        <f>INDEX(LINEST(LN(AV87:AY87),LN(AV86:AY86)),1)</f>
        <v>5.9924734840943851E-3</v>
      </c>
      <c r="AN87" s="56">
        <f>EXP(INDEX(LINEST(LN(AV87:AY87),LN(AV86:AY86)),1,2))</f>
        <v>0.79283873138974337</v>
      </c>
      <c r="AO87" s="82">
        <f>INDEX(LINEST((AV87:AY87),LN(AV86:AY86),TRUE,TRUE),3,1)</f>
        <v>4.2813287257643376E-3</v>
      </c>
      <c r="AP87" s="82">
        <f>INDEX(LINEST((AV87:AY87),LN(AV86:AY86)),1)</f>
        <v>5.4332188162053013E-3</v>
      </c>
      <c r="AQ87" s="83">
        <f>INDEX(LINEST(LN(AV87:AY87),SQRT(AV86:AY86),TRUE,TRUE),3,1)</f>
        <v>2.1264338194641554E-2</v>
      </c>
      <c r="AR87" s="116">
        <f>INDEX(LINEST(LN(AV87:AY87),SQRT((AV86:AY86))),1)</f>
        <v>1.3318537962492323E-6</v>
      </c>
      <c r="AS87" s="84">
        <f>INDEX(LINEST(1/(AV87:AY87),1/(SQRT(AV86:AY86)),TRUE,TRUE),3,1)</f>
        <v>6.9640780536182607E-4</v>
      </c>
      <c r="AT87" s="84">
        <f>INDEX(LINEST(1/(AV87:AY87),1/SQRT(AV86:AY86)),1)</f>
        <v>-111.60521174418781</v>
      </c>
      <c r="AU87" s="3"/>
      <c r="AV87" s="27">
        <v>0.92307692307692302</v>
      </c>
      <c r="AW87" s="27">
        <v>0.79545454545454541</v>
      </c>
      <c r="AX87" s="27">
        <v>0.95918367346938771</v>
      </c>
      <c r="AY87" s="27">
        <v>0.90697674418604657</v>
      </c>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5"/>
      <c r="CS87" s="15"/>
      <c r="CT87" s="15"/>
      <c r="CU87" s="15"/>
    </row>
    <row r="88" spans="1:99" ht="12" customHeight="1" x14ac:dyDescent="0.2">
      <c r="A88" s="65">
        <v>43895</v>
      </c>
      <c r="B88" s="15"/>
      <c r="C88" s="15"/>
      <c r="D88" s="59"/>
      <c r="E88" s="76"/>
      <c r="F88" s="59"/>
      <c r="G88" s="59"/>
      <c r="H88" s="59"/>
      <c r="I88" s="60"/>
      <c r="J88" s="60"/>
      <c r="M88" s="60"/>
      <c r="N88" s="59"/>
      <c r="O88" s="60"/>
      <c r="P88" s="59"/>
      <c r="Q88" s="60"/>
      <c r="R88" s="60"/>
      <c r="S88" s="60"/>
      <c r="T88" s="59"/>
      <c r="U88" s="60"/>
      <c r="V88" s="59"/>
      <c r="W88" s="60"/>
      <c r="X88" s="59"/>
      <c r="Y88" s="76"/>
      <c r="Z88" s="59"/>
      <c r="AA88" s="59"/>
      <c r="AB88" s="60"/>
      <c r="AC88" s="56"/>
      <c r="AD88" s="60"/>
      <c r="AE88" s="60"/>
      <c r="AF88" s="80"/>
      <c r="AG88" s="56"/>
      <c r="AH88" s="4"/>
      <c r="AI88" s="56"/>
      <c r="AJ88" s="109"/>
      <c r="AK88" s="56"/>
      <c r="AL88" s="56"/>
      <c r="AM88" s="56"/>
      <c r="AN88" s="56"/>
      <c r="AO88" s="82"/>
      <c r="AP88" s="82"/>
      <c r="AQ88" s="83"/>
      <c r="AR88" s="116"/>
      <c r="AS88" s="84"/>
      <c r="AT88" s="84"/>
      <c r="AU88" s="3"/>
      <c r="AV88" s="49">
        <v>189216000</v>
      </c>
      <c r="AW88" s="49">
        <v>283824000</v>
      </c>
      <c r="AX88" s="49">
        <v>378432000</v>
      </c>
      <c r="AY88" s="49">
        <v>473040000</v>
      </c>
      <c r="AZ88" s="47">
        <v>567648000</v>
      </c>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5"/>
      <c r="CS88" s="15"/>
      <c r="CT88" s="15"/>
      <c r="CU88" s="15"/>
    </row>
    <row r="89" spans="1:99" ht="12" customHeight="1" x14ac:dyDescent="0.2">
      <c r="A89" s="65">
        <v>43895</v>
      </c>
      <c r="B89" s="15" t="s">
        <v>331</v>
      </c>
      <c r="C89" s="15" t="s">
        <v>54</v>
      </c>
      <c r="D89" s="59">
        <v>1990</v>
      </c>
      <c r="E89" s="75">
        <v>1</v>
      </c>
      <c r="F89" s="59">
        <v>6</v>
      </c>
      <c r="G89" s="59">
        <v>6</v>
      </c>
      <c r="H89" s="59" t="s">
        <v>41</v>
      </c>
      <c r="I89" s="59" t="s">
        <v>330</v>
      </c>
      <c r="J89" s="59" t="s">
        <v>376</v>
      </c>
      <c r="K89" s="60">
        <f>IF(J89="syllables",1,IF(J89="trigrams",2,IF(J89="strings",3,IF(J89="visual array",4,IF(J89="characters",5,IF(J89="letters",6,IF(J89="free forms",7,IF(J89="odors",8,IF(J89="words",9,IF(J89="pictures",10,IF(J89="object pictures",11,IF(J89="faces",12,IF(J89="names",13,IF(J89="idioms",14,IF(J89="grades",15,IF(J89="syllable-digit pairs",16,IF(J89="trigram-word pairs",17,IF(J89="word-digit pairs",18,IF(J89="English-Swahili pairs",19,IF(J89="spatial position",20,IF(J89="word pairs",21,IF(J89="word triads",22,IF(J89="generated words",23,IF(J89="word definition pairs",24,IF(J89="math problems",25,IF(J89="famous faces",26,IF(J89="famous names",27,IF(J89="famous voices",28,IF(J89="television programs",29,IF(J89="race horses",30,IF(J89="new vocabulary",31,IF(J89="sentences",32,IF(J89="concepts",33,IF(J89="ad slides",34,IF(J89="scenes",35,IF(J89="famous scenes",36,IF(J89="poems",37,IF(J89="walk",38,IF(J89="faces and events",39,IF(J89="events and names",40,IF(J89="flashbulb",41,IF(J89="stories",42,IF(J89="course material",43,IF(J89="autobiographical",44,IF(J89="novels",45,IF(J89="public events",46,"99"))))))))))))))))))))))))))))))))))))))))))))))</f>
        <v>29</v>
      </c>
      <c r="L89" s="60">
        <f>IF(J89="syllables",1,IF(J89="trigrams",1,IF(J89="strings",1,IF(J89="visual array",1,IF(J89="characters",1,IF(J89="letters",1,IF(J89="free forms",1,IF(J89="odors",2,IF(J89="words",2,IF(J89="pictures",2,IF(J89="object pictures",2,IF(J89="faces",2,IF(J89="names",2,IF(J89="idioms","2",IF(J89="grades",2,IF(J89="syllable-digit pairs",3,IF(J89="trigram-word pairs",3,IF(J89="word-digit pairs",3,IF(J89="English-Swahili pairs",3,IF(J89="spatial position",3,IF(J89="word pairs",4,IF(J89="word triads",4,IF(J89="generated words",4,IF(J89="word definition pairs",4,IF(J89="math problems",4,IF(J89="famous faces",4,IF(J89="famous names",4,IF(J89="famous voices",4,IF(J89="television programs",4,IF(J89="race horses",4,IF(J89="new vocabulary",4,IF(J89="sentences",5,IF(J89="concepts",5,IF(J89="ad slides",5,IF(J89="scenes",5,IF(J89="famous scenes",5,IF(J89="poems",6,IF(J89="walk",6,IF(J89="faces and events",6,IF(J89="events and names",6,IF(J89="flashbulb",7,IF(J89="stories",7,IF(J89="course material",7,IF(J89="autobiographical",7,IF(J89="novels",7,IF(J89="public events",7,"99"))))))))))))))))))))))))))))))))))))))))))))))</f>
        <v>4</v>
      </c>
      <c r="M89" s="60">
        <v>1</v>
      </c>
      <c r="N89" s="59">
        <v>2</v>
      </c>
      <c r="O89" s="60">
        <v>0</v>
      </c>
      <c r="P89" s="59"/>
      <c r="Q89" s="60" t="s">
        <v>182</v>
      </c>
      <c r="R89" s="60">
        <f>IF(Q89="Free Recall",1,IF(Q89="Cued Recall",2,IF(Q89="Recognition",3,IF(Q89="Multiple Choice",4,IF(Q89="Savings",5,IF(Q89="Stem Completion",6,IF(Q89="Fragment Completion",7,IF(Q89="anagram solution",8,IF(Q89="Matching",9,IF(Q89="Problem Solving",10,"99"))))))))))</f>
        <v>4</v>
      </c>
      <c r="S89" s="60" t="s">
        <v>15</v>
      </c>
      <c r="T89" s="59" t="s">
        <v>581</v>
      </c>
      <c r="U89" s="60">
        <f>IF(T89="within",1,0)</f>
        <v>1</v>
      </c>
      <c r="V89" s="59">
        <v>72</v>
      </c>
      <c r="W89" s="60">
        <f>F89*V89</f>
        <v>432</v>
      </c>
      <c r="X89" s="59">
        <v>5</v>
      </c>
      <c r="Y89" s="76">
        <f>AV88</f>
        <v>189216000</v>
      </c>
      <c r="Z89" s="59" t="s">
        <v>377</v>
      </c>
      <c r="AA89" s="60">
        <f>18*365*24*60*60</f>
        <v>567648000</v>
      </c>
      <c r="AB89" s="60" t="str">
        <f>IF(AA89&lt;60,"1",IF(AA89&lt;=43200,"2",IF(AA89&lt;=777600,"3","4")))</f>
        <v>4</v>
      </c>
      <c r="AC89" s="56">
        <f>AVERAGE(AV88:DA88)</f>
        <v>378432000</v>
      </c>
      <c r="AD89" s="60" t="str">
        <f>IF(AC89&lt;60,"1",IF(AC89&lt;=43200,"2",IF(AC89&lt;=777600,"3","4")))</f>
        <v>4</v>
      </c>
      <c r="AE89" s="76">
        <f>AA89-Y89</f>
        <v>378432000</v>
      </c>
      <c r="AF89" s="80">
        <f>AV89</f>
        <v>0.67</v>
      </c>
      <c r="AG89" s="58">
        <f>((AW89-AV89)+(AX89-AW89)+(AY89-AX89)+(AZ89-AY89))/4</f>
        <v>-2.5000000000000022E-3</v>
      </c>
      <c r="AH89" s="4"/>
      <c r="AI89" s="56">
        <f>RSQ(AV89:AZ89,AV88:AZ88)</f>
        <v>0.27067669172932324</v>
      </c>
      <c r="AJ89" s="109">
        <f>SLOPE(AV89:AZ89,AV88:AZ88)</f>
        <v>-1.2683916793505834E-10</v>
      </c>
      <c r="AK89" s="56">
        <f>INTERCEPT(AV89:AZ89,AV88:AZ88)</f>
        <v>0.70400000000000007</v>
      </c>
      <c r="AL89" s="56">
        <f>INDEX(LINEST(LN(AV89:AZ89),LN(AV88:AZ88),TRUE,TRUE),3,1)</f>
        <v>0.27353151239066303</v>
      </c>
      <c r="AM89" s="56">
        <f>INDEX(LINEST(LN(AV89:AZ89),LN(AV88:AZ88)),1)</f>
        <v>-6.8036294754760432E-2</v>
      </c>
      <c r="AN89" s="56">
        <f>EXP(INDEX(LINEST(LN(AV89:AZ89),LN(AV88:AZ88)),1,2))</f>
        <v>2.4997082248725393</v>
      </c>
      <c r="AO89" s="82">
        <f>INDEX(LINEST((AV89:AZ89),LN(AV88:AZ88),TRUE,TRUE),3,1)</f>
        <v>0.27589882765412821</v>
      </c>
      <c r="AP89" s="82">
        <f>INDEX(LINEST((AV89:AZ89),LN(AV88:AZ88)),1)</f>
        <v>-4.4162074728400176E-2</v>
      </c>
      <c r="AQ89" s="83">
        <f>INDEX(LINEST(LN(AV89:AZ89),SQRT(AV88:AZ88),TRUE,TRUE),3,1)</f>
        <v>0.27470338255471649</v>
      </c>
      <c r="AR89" s="116">
        <f>INDEX(LINEST(LN(AV89:AZ89),SQRT((AV88:AZ88))),1)</f>
        <v>-7.4457000517046645E-6</v>
      </c>
      <c r="AS89" s="84">
        <f>INDEX(LINEST(1/(AV89:AZ89),1/(SQRT(AV88:AZ88)),TRUE,TRUE),3,1)</f>
        <v>0.26148225875151665</v>
      </c>
      <c r="AT89" s="84">
        <f>INDEX(LINEST(1/(AV89:AZ89),1/SQRT(AV88:AZ88)),1)</f>
        <v>-3673.9932880418505</v>
      </c>
      <c r="AU89" s="3"/>
      <c r="AV89" s="27">
        <v>0.67</v>
      </c>
      <c r="AW89" s="27">
        <v>0.7</v>
      </c>
      <c r="AX89" s="27">
        <v>0.65</v>
      </c>
      <c r="AY89" s="27">
        <v>0.6</v>
      </c>
      <c r="AZ89" s="11">
        <v>0.66</v>
      </c>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5"/>
      <c r="CS89" s="15"/>
      <c r="CT89" s="15"/>
      <c r="CU89" s="15"/>
    </row>
    <row r="90" spans="1:99" ht="12" customHeight="1" x14ac:dyDescent="0.2">
      <c r="A90" s="65">
        <v>43895</v>
      </c>
      <c r="B90" s="15"/>
      <c r="C90" s="15"/>
      <c r="D90" s="59"/>
      <c r="E90" s="75"/>
      <c r="F90" s="59"/>
      <c r="G90" s="59"/>
      <c r="H90" s="59"/>
      <c r="I90" s="59"/>
      <c r="J90" s="60"/>
      <c r="M90" s="60"/>
      <c r="N90" s="59"/>
      <c r="O90" s="60"/>
      <c r="P90" s="59"/>
      <c r="Q90" s="59"/>
      <c r="R90" s="60"/>
      <c r="S90" s="59"/>
      <c r="T90" s="59"/>
      <c r="U90" s="60"/>
      <c r="V90" s="59"/>
      <c r="W90" s="60"/>
      <c r="X90" s="59"/>
      <c r="Y90" s="76"/>
      <c r="Z90" s="59"/>
      <c r="AA90" s="59"/>
      <c r="AB90" s="60"/>
      <c r="AC90" s="56"/>
      <c r="AD90" s="60"/>
      <c r="AE90" s="60"/>
      <c r="AF90" s="80"/>
      <c r="AG90" s="56"/>
      <c r="AH90" s="4"/>
      <c r="AI90" s="56"/>
      <c r="AJ90" s="109"/>
      <c r="AK90" s="56"/>
      <c r="AL90" s="56"/>
      <c r="AM90" s="56"/>
      <c r="AN90" s="56"/>
      <c r="AO90" s="82"/>
      <c r="AP90" s="82"/>
      <c r="AQ90" s="83"/>
      <c r="AR90" s="116"/>
      <c r="AS90" s="84"/>
      <c r="AT90" s="84"/>
      <c r="AU90" s="3"/>
      <c r="AV90" s="25">
        <v>157680000</v>
      </c>
      <c r="AW90" s="25">
        <v>473040000</v>
      </c>
      <c r="AX90" s="25">
        <v>788400000</v>
      </c>
      <c r="AY90" s="25">
        <v>1103760000</v>
      </c>
      <c r="AZ90" s="53"/>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5"/>
      <c r="CS90" s="15"/>
      <c r="CT90" s="15"/>
      <c r="CU90" s="15"/>
    </row>
    <row r="91" spans="1:99" ht="12" customHeight="1" x14ac:dyDescent="0.2">
      <c r="A91" s="65">
        <v>43895</v>
      </c>
      <c r="B91" s="15" t="s">
        <v>331</v>
      </c>
      <c r="C91" s="15" t="s">
        <v>54</v>
      </c>
      <c r="D91" s="59">
        <v>1990</v>
      </c>
      <c r="E91" s="75">
        <v>1</v>
      </c>
      <c r="F91" s="59">
        <v>6</v>
      </c>
      <c r="G91" s="59">
        <v>6</v>
      </c>
      <c r="H91" s="59" t="s">
        <v>32</v>
      </c>
      <c r="I91" s="59" t="s">
        <v>330</v>
      </c>
      <c r="J91" s="59" t="s">
        <v>340</v>
      </c>
      <c r="K91" s="60">
        <f>IF(J91="syllables",1,IF(J91="trigrams",2,IF(J91="strings",3,IF(J91="visual array",4,IF(J91="characters",5,IF(J91="letters",6,IF(J91="free forms",7,IF(J91="odors",8,IF(J91="words",9,IF(J91="pictures",10,IF(J91="object pictures",11,IF(J91="faces",12,IF(J91="names",13,IF(J91="idioms",14,IF(J91="grades",15,IF(J91="syllable-digit pairs",16,IF(J91="trigram-word pairs",17,IF(J91="word-digit pairs",18,IF(J91="English-Swahili pairs",19,IF(J91="spatial position",20,IF(J91="word pairs",21,IF(J91="word triads",22,IF(J91="generated words",23,IF(J91="word definition pairs",24,IF(J91="math problems",25,IF(J91="famous faces",26,IF(J91="famous names",27,IF(J91="famous voices",28,IF(J91="television programs",29,IF(J91="race horses",30,IF(J91="new vocabulary",31,IF(J91="sentences",32,IF(J91="concepts",33,IF(J91="ad slides",34,IF(J91="scenes",35,IF(J91="famous scenes",36,IF(J91="poems",37,IF(J91="walk",38,IF(J91="faces and events",39,IF(J91="events and names",40,IF(J91="flashbulb",41,IF(J91="stories",42,IF(J91="course material",43,IF(J91="autobiographical",44,IF(J91="novels",45,IF(J91="public events",46,"99"))))))))))))))))))))))))))))))))))))))))))))))</f>
        <v>46</v>
      </c>
      <c r="L91" s="60">
        <f>IF(J91="syllables",1,IF(J91="trigrams",1,IF(J91="strings",1,IF(J91="visual array",1,IF(J91="characters",1,IF(J91="letters",1,IF(J91="free forms",1,IF(J91="odors",2,IF(J91="words",2,IF(J91="pictures",2,IF(J91="object pictures",2,IF(J91="faces",2,IF(J91="names",2,IF(J91="idioms","2",IF(J91="grades",2,IF(J91="syllable-digit pairs",3,IF(J91="trigram-word pairs",3,IF(J91="word-digit pairs",3,IF(J91="English-Swahili pairs",3,IF(J91="spatial position",3,IF(J91="word pairs",4,IF(J91="word triads",4,IF(J91="generated words",4,IF(J91="word definition pairs",4,IF(J91="math problems",4,IF(J91="famous faces",4,IF(J91="famous names",4,IF(J91="famous voices",4,IF(J91="television programs",4,IF(J91="race horses",4,IF(J91="new vocabulary",4,IF(J91="sentences",5,IF(J91="concepts",5,IF(J91="ad slides",5,IF(J91="scenes",5,IF(J91="famous scenes",5,IF(J91="poems",6,IF(J91="walk",6,IF(J91="faces and events",6,IF(J91="events and names",6,IF(J91="flashbulb",7,IF(J91="stories",7,IF(J91="course material",7,IF(J91="autobiographical",7,IF(J91="novels",7,IF(J91="public events",7,"99"))))))))))))))))))))))))))))))))))))))))))))))</f>
        <v>7</v>
      </c>
      <c r="M91" s="60">
        <v>1</v>
      </c>
      <c r="N91" s="59">
        <v>4</v>
      </c>
      <c r="O91" s="60">
        <v>0</v>
      </c>
      <c r="P91" s="59"/>
      <c r="Q91" s="60" t="s">
        <v>174</v>
      </c>
      <c r="R91" s="60">
        <f>IF(Q91="Free Recall",1,IF(Q91="Cued Recall",2,IF(Q91="Recognition",3,IF(Q91="Multiple Choice",4,IF(Q91="Savings",5,IF(Q91="Stem Completion",6,IF(Q91="Fragment Completion",7,IF(Q91="anagram solution",8,IF(Q91="Matching",9,IF(Q91="Problem Solving",10,"99"))))))))))</f>
        <v>1</v>
      </c>
      <c r="S91" s="60" t="s">
        <v>49</v>
      </c>
      <c r="T91" s="59" t="s">
        <v>581</v>
      </c>
      <c r="U91" s="60">
        <f>IF(T91="within",1,0)</f>
        <v>1</v>
      </c>
      <c r="V91" s="59">
        <v>224</v>
      </c>
      <c r="W91" s="60">
        <f>F91*V91</f>
        <v>1344</v>
      </c>
      <c r="X91" s="59">
        <v>4</v>
      </c>
      <c r="Y91" s="76">
        <f>AV90</f>
        <v>157680000</v>
      </c>
      <c r="Z91" s="59" t="s">
        <v>375</v>
      </c>
      <c r="AA91" s="60">
        <f>35*365*24*60*60</f>
        <v>1103760000</v>
      </c>
      <c r="AB91" s="60" t="str">
        <f>IF(AA91&lt;60,"1",IF(AA91&lt;=43200,"2",IF(AA91&lt;=777600,"3","4")))</f>
        <v>4</v>
      </c>
      <c r="AC91" s="56">
        <f>AVERAGE(AV90:DA90)</f>
        <v>630720000</v>
      </c>
      <c r="AD91" s="60" t="str">
        <f>IF(AC91&lt;60,"1",IF(AC91&lt;=43200,"2",IF(AC91&lt;=777600,"3","4")))</f>
        <v>4</v>
      </c>
      <c r="AE91" s="76">
        <f>AA91-Y91</f>
        <v>946080000</v>
      </c>
      <c r="AF91" s="80">
        <f>AV91</f>
        <v>0.74999999999999989</v>
      </c>
      <c r="AG91" s="56">
        <f>((AW91-AV91)+(AX91-AW91)+(AY91-AX91))/3</f>
        <v>2.4509803921568651E-2</v>
      </c>
      <c r="AH91" s="4"/>
      <c r="AI91" s="56">
        <f>RSQ(AV91:AY91,AV90:AY90)</f>
        <v>0.16397815350483688</v>
      </c>
      <c r="AJ91" s="109">
        <f>SLOPE(AV91:AY91,AV90:AY90)</f>
        <v>5.2245585054710538E-11</v>
      </c>
      <c r="AK91" s="56">
        <f>INTERCEPT(AV91:AY91,AV90:AY90)</f>
        <v>0.78549776821297601</v>
      </c>
      <c r="AL91" s="56">
        <f>INDEX(LINEST(LN(AV91:AY91),LN(AV90:AY90),TRUE,TRUE),3,1)</f>
        <v>0.39480830436533598</v>
      </c>
      <c r="AM91" s="56">
        <f>INDEX(LINEST(LN(AV91:AY91),LN(AV90:AY90)),1)</f>
        <v>4.7925707860189369E-2</v>
      </c>
      <c r="AN91" s="56">
        <f>EXP(INDEX(LINEST(LN(AV91:AY91),LN(AV90:AY90)),1,2))</f>
        <v>0.31275990969646317</v>
      </c>
      <c r="AO91" s="82">
        <f>INDEX(LINEST((AV91:AY91),LN(AV90:AY90),TRUE,TRUE),3,1)</f>
        <v>0.36934026604184961</v>
      </c>
      <c r="AP91" s="82">
        <f>INDEX(LINEST((AV91:AY91),LN(AV90:AY90)),1)</f>
        <v>3.7543510059589925E-2</v>
      </c>
      <c r="AQ91" s="83">
        <f>INDEX(LINEST(LN(AV91:AY91),SQRT(AV90:AY90),TRUE,TRUE),3,1)</f>
        <v>0.28004807841241969</v>
      </c>
      <c r="AR91" s="116">
        <f>INDEX(LINEST(LN(AV91:AY91),SQRT((AV90:AY90))),1)</f>
        <v>3.856009107703234E-6</v>
      </c>
      <c r="AS91" s="84">
        <f>INDEX(LINEST(1/(AV91:AY91),1/(SQRT(AV90:AY90)),TRUE,TRUE),3,1)</f>
        <v>0.53249373119659704</v>
      </c>
      <c r="AT91" s="84">
        <f>INDEX(LINEST(1/(AV91:AY91),1/SQRT(AV90:AY90)),1)</f>
        <v>2639.1645899573064</v>
      </c>
      <c r="AU91" s="3"/>
      <c r="AV91" s="11">
        <v>0.74999999999999989</v>
      </c>
      <c r="AW91" s="11">
        <v>0.87804878048780488</v>
      </c>
      <c r="AX91" s="11">
        <v>0.82222222222222219</v>
      </c>
      <c r="AY91" s="11">
        <v>0.82352941176470584</v>
      </c>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5"/>
      <c r="CS91" s="15"/>
      <c r="CT91" s="15"/>
      <c r="CU91" s="15"/>
    </row>
    <row r="92" spans="1:99" s="13" customFormat="1" ht="12" customHeight="1" x14ac:dyDescent="0.2">
      <c r="A92" s="68">
        <v>43509</v>
      </c>
      <c r="B92" s="70"/>
      <c r="C92" s="70"/>
      <c r="D92" s="69"/>
      <c r="E92" s="87"/>
      <c r="F92" s="69"/>
      <c r="G92" s="69"/>
      <c r="H92" s="69"/>
      <c r="I92" s="69"/>
      <c r="J92" s="69"/>
      <c r="K92" s="107"/>
      <c r="L92" s="107"/>
      <c r="M92" s="69"/>
      <c r="N92" s="69"/>
      <c r="O92" s="69"/>
      <c r="P92" s="69"/>
      <c r="Q92" s="69"/>
      <c r="R92" s="69"/>
      <c r="S92" s="69"/>
      <c r="T92" s="69"/>
      <c r="U92" s="69"/>
      <c r="V92" s="69"/>
      <c r="W92" s="69"/>
      <c r="X92" s="69"/>
      <c r="Y92" s="87"/>
      <c r="Z92" s="69"/>
      <c r="AA92" s="69"/>
      <c r="AB92" s="69"/>
      <c r="AC92" s="69"/>
      <c r="AD92" s="69"/>
      <c r="AE92" s="69"/>
      <c r="AF92" s="88"/>
      <c r="AG92" s="72"/>
      <c r="AH92" s="4"/>
      <c r="AI92" s="72"/>
      <c r="AJ92" s="110"/>
      <c r="AK92" s="72"/>
      <c r="AL92" s="72"/>
      <c r="AM92" s="72"/>
      <c r="AN92" s="72"/>
      <c r="AO92" s="72"/>
      <c r="AP92" s="72"/>
      <c r="AQ92" s="89"/>
      <c r="AR92" s="118"/>
      <c r="AS92" s="89"/>
      <c r="AT92" s="89"/>
      <c r="AU92" s="3"/>
      <c r="AV92" s="71">
        <f>365*24*60*60</f>
        <v>31536000</v>
      </c>
      <c r="AW92" s="71">
        <f>365*24*60*60*2</f>
        <v>63072000</v>
      </c>
      <c r="AX92" s="71">
        <f>365*24*60*60*3</f>
        <v>94608000</v>
      </c>
      <c r="AY92" s="53"/>
      <c r="AZ92" s="53"/>
      <c r="BA92" s="53"/>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53"/>
      <c r="CD92" s="53"/>
      <c r="CE92" s="53"/>
      <c r="CF92" s="53"/>
      <c r="CG92" s="53"/>
      <c r="CH92" s="53"/>
      <c r="CI92" s="53"/>
      <c r="CJ92" s="53"/>
      <c r="CK92" s="53"/>
      <c r="CL92" s="53"/>
      <c r="CM92" s="53"/>
      <c r="CN92" s="53"/>
      <c r="CO92" s="53"/>
      <c r="CP92" s="53"/>
      <c r="CQ92" s="53"/>
      <c r="CR92" s="1"/>
      <c r="CS92" s="1"/>
      <c r="CT92" s="1"/>
      <c r="CU92" s="1"/>
    </row>
    <row r="93" spans="1:99" s="13" customFormat="1" ht="12" customHeight="1" x14ac:dyDescent="0.2">
      <c r="A93" s="68">
        <v>43509</v>
      </c>
      <c r="B93" s="70" t="s">
        <v>212</v>
      </c>
      <c r="C93" s="70" t="s">
        <v>70</v>
      </c>
      <c r="D93" s="69">
        <v>2016</v>
      </c>
      <c r="E93" s="87">
        <v>1</v>
      </c>
      <c r="F93" s="69">
        <v>35</v>
      </c>
      <c r="G93" s="69">
        <v>35</v>
      </c>
      <c r="H93" s="69" t="s">
        <v>41</v>
      </c>
      <c r="I93" s="69" t="s">
        <v>422</v>
      </c>
      <c r="J93" s="69" t="s">
        <v>622</v>
      </c>
      <c r="K93" s="69">
        <f>IF(J93="syllables",1,IF(J93="trigrams",2,IF(J93="strings",3,IF(J93="visual array",4,IF(J93="characters",5,IF(J93="letters",6,IF(J93="free forms",7,IF(J93="odors",8,IF(J93="words",9,IF(J93="pictures",10,IF(J93="object pictures",11,IF(J93="faces",12,IF(J93="names",13,IF(J93="idioms",14,IF(J93="grades",15,IF(J93="syllable-digit pairs",16,IF(J93="trigram-word pairs",17,IF(J93="word-digit pairs",18,IF(J93="English-Swahili pairs",19,IF(J93="spatial position",20,IF(J93="word pairs",21,IF(J93="word triads",22,IF(J93="generated words",23,IF(J93="word definition pairs",24,IF(J93="math problems",25,IF(J93="famous faces",26,IF(J93="famous names",27,IF(J93="famous voices",28,IF(J93="television programs",29,IF(J93="race horses",30,IF(J93="new vocabulary",31,IF(J93="sentences",32,IF(J93="concepts",33,IF(J93="ad slides",34,IF(J93="scenes",35,IF(J93="famous scenes",36,IF(J93="poems",37,IF(J93="walk",38,IF(J93="faces and events",39,IF(J93="events and names",40,IF(J93="flashbulb",41,IF(J93="stories",42,IF(J93="course material",43,IF(J93="autobiographical",44,IF(J93="novels",45,IF(J93="public events",46,"99"))))))))))))))))))))))))))))))))))))))))))))))</f>
        <v>44</v>
      </c>
      <c r="L93" s="69">
        <f>IF(J93="syllables",1,IF(J93="trigrams",1,IF(J93="strings",1,IF(J93="visual array",1,IF(J93="characters",1,IF(J93="letters",1,IF(J93="free forms",1,IF(J93="odors",2,IF(J93="words",2,IF(J93="pictures",2,IF(J93="object pictures",2,IF(J93="faces",2,IF(J93="names",2,IF(J93="idioms","2",IF(J93="grades",2,IF(J93="syllable-digit pairs",3,IF(J93="trigram-word pairs",3,IF(J93="word-digit pairs",3,IF(J93="English-Swahili pairs",3,IF(J93="spatial position",3,IF(J93="word pairs",4,IF(J93="word triads",4,IF(J93="generated words",4,IF(J93="word definition pairs",4,IF(J93="math problems",4,IF(J93="famous faces",4,IF(J93="famous names",4,IF(J93="famous voices",4,IF(J93="television programs",4,IF(J93="race horses",4,IF(J93="new vocabulary",4,IF(J93="sentences",5,IF(J93="concepts",5,IF(J93="ad slides",5,IF(J93="scenes",5,IF(J93="famous scenes",5,IF(J93="poems",6,IF(J93="walk",6,IF(J93="faces and events",6,IF(J93="events and names",6,IF(J93="flashbulb",7,IF(J93="stories",7,IF(J93="course material",7,IF(J93="autobiographical",7,IF(J93="novels",7,IF(J93="public events",7,"99"))))))))))))))))))))))))))))))))))))))))))))))</f>
        <v>7</v>
      </c>
      <c r="M93" s="69">
        <v>0</v>
      </c>
      <c r="N93" s="69">
        <v>3</v>
      </c>
      <c r="O93" s="69">
        <v>0</v>
      </c>
      <c r="P93" s="69"/>
      <c r="Q93" s="69" t="s">
        <v>174</v>
      </c>
      <c r="R93" s="69">
        <f>IF(Q93="Free Recall",1,IF(Q93="Cued Recall",2,IF(Q93="Recognition",3,IF(Q93="Multiple Choice",4,IF(Q93="Savings",5,IF(Q93="Stem Completion",6,IF(Q93="Fragment Completion",7,IF(Q93="anagram solution",8,IF(Q93="Matching",9,IF(Q93="Problem Solving",10,"99"))))))))))</f>
        <v>1</v>
      </c>
      <c r="S93" s="69" t="s">
        <v>49</v>
      </c>
      <c r="T93" s="92" t="s">
        <v>581</v>
      </c>
      <c r="U93" s="69">
        <f>IF(T93="within",1,0)</f>
        <v>1</v>
      </c>
      <c r="V93" s="92">
        <v>3</v>
      </c>
      <c r="W93" s="69">
        <f>F93*V93</f>
        <v>105</v>
      </c>
      <c r="X93" s="69">
        <v>3</v>
      </c>
      <c r="Y93" s="87">
        <f>AV92</f>
        <v>31536000</v>
      </c>
      <c r="Z93" s="69" t="s">
        <v>230</v>
      </c>
      <c r="AA93" s="69">
        <f>3*365*24*60*60</f>
        <v>94608000</v>
      </c>
      <c r="AB93" s="69" t="str">
        <f>IF(AA93&lt;60,"1",IF(AA93&lt;=43200,"2",IF(AA93&lt;=777600,"3","4")))</f>
        <v>4</v>
      </c>
      <c r="AC93" s="72">
        <f>AVERAGE(AV92:DA92)</f>
        <v>63072000</v>
      </c>
      <c r="AD93" s="69" t="str">
        <f>IF(AC93&lt;60,"1",IF(AC93&lt;=43200,"2",IF(AC93&lt;=777600,"3","4")))</f>
        <v>4</v>
      </c>
      <c r="AE93" s="87">
        <f>AA93-Y93</f>
        <v>63072000</v>
      </c>
      <c r="AF93" s="88">
        <f>AV93</f>
        <v>0.97</v>
      </c>
      <c r="AG93" s="72">
        <f>((AW93-AV93)+(AX93-AW93))/2</f>
        <v>-0.17499999999999999</v>
      </c>
      <c r="AH93" s="4"/>
      <c r="AI93" s="72">
        <f>RSQ(AV93:AX93,AV92:AX92)</f>
        <v>0.91055500495540165</v>
      </c>
      <c r="AJ93" s="110">
        <f>SLOPE(AV93:AX93,AV92:AX92)</f>
        <v>-5.5492135971588025E-9</v>
      </c>
      <c r="AK93" s="72">
        <f>INTERCEPT(AV93:AX93,AV92:AX92)</f>
        <v>1.1133333333333333</v>
      </c>
      <c r="AL93" s="72">
        <f>INDEX(LINEST(LN(AV93:AX93),LN(AV92:AX92),TRUE,TRUE),3,1)</f>
        <v>0.98831724454572578</v>
      </c>
      <c r="AM93" s="72">
        <f>INDEX(LINEST(LN(AV93:AX93),LN(AV92:AX92)),1)</f>
        <v>-0.41421029776418783</v>
      </c>
      <c r="AN93" s="72">
        <f>EXP(INDEX(LINEST(LN(AV93:AX93),LN(AV92:AX92)),1,2))</f>
        <v>1225.3951558345213</v>
      </c>
      <c r="AO93" s="89">
        <f>INDEX(LINEST((AV93:AX93),LN(AV92:AX92),TRUE,TRUE),3,1)</f>
        <v>0.97656983074718118</v>
      </c>
      <c r="AP93" s="89">
        <f>INDEX(LINEST((AV93:AX93),LN(AV92:AX92)),1)</f>
        <v>-0.32622311633315187</v>
      </c>
      <c r="AQ93" s="90">
        <f>INDEX(LINEST(LN(AV93:AX93),SQRT(AV92:AX92),TRUE,TRUE),3,1)</f>
        <v>0.96706795782173804</v>
      </c>
      <c r="AR93" s="117">
        <f>INDEX(LINEST(LN(AV93:AX93),SQRT((AV92:AX92))),1)</f>
        <v>-1.1042250529891421E-4</v>
      </c>
      <c r="AS93" s="91">
        <f>INDEX(LINEST(1/(AV93:AX93),1/(SQRT(AV92:AX92)),TRUE,TRUE),3,1)</f>
        <v>0.9998849555906435</v>
      </c>
      <c r="AT93" s="91">
        <f>INDEX(LINEST(1/(AV93:AX93),1/SQRT(AV92:AX92)),1)</f>
        <v>-7714.1918290721605</v>
      </c>
      <c r="AU93" s="3"/>
      <c r="AV93" s="73">
        <v>0.97</v>
      </c>
      <c r="AW93" s="73">
        <v>0.7</v>
      </c>
      <c r="AX93" s="73">
        <v>0.62</v>
      </c>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53"/>
      <c r="CD93" s="53"/>
      <c r="CE93" s="53"/>
      <c r="CF93" s="53"/>
      <c r="CG93" s="53"/>
      <c r="CH93" s="53"/>
      <c r="CI93" s="53"/>
      <c r="CJ93" s="53"/>
      <c r="CK93" s="53"/>
      <c r="CL93" s="53"/>
      <c r="CM93" s="53"/>
      <c r="CN93" s="53"/>
      <c r="CO93" s="53"/>
      <c r="CP93" s="53"/>
      <c r="CQ93" s="53"/>
      <c r="CR93" s="1"/>
      <c r="CS93" s="1"/>
      <c r="CT93" s="1"/>
      <c r="CU93" s="1"/>
    </row>
    <row r="94" spans="1:99" s="13" customFormat="1" ht="12" customHeight="1" x14ac:dyDescent="0.2">
      <c r="A94" s="65">
        <v>43509</v>
      </c>
      <c r="B94" s="1"/>
      <c r="C94" s="1"/>
      <c r="D94" s="60"/>
      <c r="E94" s="76"/>
      <c r="F94" s="60"/>
      <c r="G94" s="60"/>
      <c r="H94" s="60"/>
      <c r="I94" s="60"/>
      <c r="J94" s="60"/>
      <c r="K94" s="64"/>
      <c r="L94" s="64"/>
      <c r="M94" s="60"/>
      <c r="N94" s="60"/>
      <c r="O94" s="60"/>
      <c r="P94" s="60"/>
      <c r="Q94" s="59"/>
      <c r="R94" s="60"/>
      <c r="S94" s="60"/>
      <c r="T94" s="60"/>
      <c r="U94" s="60"/>
      <c r="V94" s="60"/>
      <c r="W94" s="60"/>
      <c r="X94" s="60"/>
      <c r="Y94" s="76"/>
      <c r="Z94" s="60"/>
      <c r="AA94" s="60"/>
      <c r="AB94" s="60"/>
      <c r="AC94" s="60"/>
      <c r="AD94" s="60"/>
      <c r="AE94" s="60"/>
      <c r="AF94" s="80"/>
      <c r="AG94" s="56"/>
      <c r="AH94" s="4"/>
      <c r="AI94" s="56"/>
      <c r="AJ94" s="109"/>
      <c r="AK94" s="56"/>
      <c r="AL94" s="56"/>
      <c r="AM94" s="56"/>
      <c r="AN94" s="56"/>
      <c r="AO94" s="56"/>
      <c r="AP94" s="56"/>
      <c r="AQ94" s="56"/>
      <c r="AR94" s="109"/>
      <c r="AS94" s="56"/>
      <c r="AT94" s="56"/>
      <c r="AU94" s="3"/>
      <c r="AV94" s="25">
        <f>30*24*60*60*6.17</f>
        <v>15992640</v>
      </c>
      <c r="AW94" s="25">
        <f>30*24*60*60*18.64</f>
        <v>48314880</v>
      </c>
      <c r="AX94" s="25">
        <f>30*24*60*60*30.87</f>
        <v>80015040</v>
      </c>
      <c r="AY94" s="53"/>
      <c r="AZ94" s="53"/>
      <c r="BA94" s="53"/>
      <c r="BB94" s="53"/>
      <c r="BC94" s="53"/>
      <c r="BD94" s="53"/>
      <c r="BE94" s="53"/>
      <c r="BF94" s="53"/>
      <c r="BG94" s="53"/>
      <c r="BH94" s="53"/>
      <c r="BI94" s="53"/>
      <c r="BJ94" s="53"/>
      <c r="BK94" s="53"/>
      <c r="BL94" s="53"/>
      <c r="BM94" s="53"/>
      <c r="BN94" s="53"/>
      <c r="BO94" s="53"/>
      <c r="BP94" s="53"/>
      <c r="BQ94" s="53"/>
      <c r="BR94" s="53"/>
      <c r="BS94" s="53"/>
      <c r="BT94" s="53"/>
      <c r="BU94" s="53"/>
      <c r="BV94" s="53"/>
      <c r="BW94" s="53"/>
      <c r="BX94" s="53"/>
      <c r="BY94" s="53"/>
      <c r="BZ94" s="53"/>
      <c r="CA94" s="53"/>
      <c r="CB94" s="53"/>
      <c r="CC94" s="53"/>
      <c r="CD94" s="53"/>
      <c r="CE94" s="53"/>
      <c r="CF94" s="53"/>
      <c r="CG94" s="53"/>
      <c r="CH94" s="53"/>
      <c r="CI94" s="53"/>
      <c r="CJ94" s="53"/>
      <c r="CK94" s="53"/>
      <c r="CL94" s="53"/>
      <c r="CM94" s="53"/>
      <c r="CN94" s="53"/>
      <c r="CO94" s="53"/>
      <c r="CP94" s="53"/>
      <c r="CQ94" s="53"/>
      <c r="CR94" s="1"/>
      <c r="CS94" s="1"/>
      <c r="CT94" s="1"/>
      <c r="CU94" s="1"/>
    </row>
    <row r="95" spans="1:99" s="13" customFormat="1" ht="12" customHeight="1" x14ac:dyDescent="0.2">
      <c r="A95" s="65">
        <v>43509</v>
      </c>
      <c r="B95" s="1" t="s">
        <v>240</v>
      </c>
      <c r="C95" s="1" t="s">
        <v>70</v>
      </c>
      <c r="D95" s="60">
        <v>2017</v>
      </c>
      <c r="E95" s="76">
        <v>1</v>
      </c>
      <c r="F95" s="60">
        <v>118</v>
      </c>
      <c r="G95" s="60">
        <v>39.299999999999997</v>
      </c>
      <c r="H95" s="60" t="s">
        <v>38</v>
      </c>
      <c r="I95" s="60" t="s">
        <v>623</v>
      </c>
      <c r="J95" s="60" t="s">
        <v>175</v>
      </c>
      <c r="K95" s="60">
        <f>IF(J95="syllables",1,IF(J95="trigrams",2,IF(J95="strings",3,IF(J95="visual array",4,IF(J95="characters",5,IF(J95="letters",6,IF(J95="free forms",7,IF(J95="odors",8,IF(J95="words",9,IF(J95="pictures",10,IF(J95="object pictures",11,IF(J95="faces",12,IF(J95="names",13,IF(J95="idioms",14,IF(J95="grades",15,IF(J95="syllable-digit pairs",16,IF(J95="trigram-word pairs",17,IF(J95="word-digit pairs",18,IF(J95="English-Swahili pairs",19,IF(J95="spatial position",20,IF(J95="word pairs",21,IF(J95="word triads",22,IF(J95="generated words",23,IF(J95="word definition pairs",24,IF(J95="math problems",25,IF(J95="famous faces",26,IF(J95="famous names",27,IF(J95="famous voices",28,IF(J95="television programs",29,IF(J95="race horses",30,IF(J95="new vocabulary",31,IF(J95="sentences",32,IF(J95="concepts",33,IF(J95="ad slides",34,IF(J95="scenes",35,IF(J95="famous scenes",36,IF(J95="poems",37,IF(J95="walk",38,IF(J95="faces and events",39,IF(J95="events and names",40,IF(J95="flashbulb",41,IF(J95="stories",42,IF(J95="course material",43,IF(J95="autobiographical",44,IF(J95="novels",45,IF(J95="public events",46,"99"))))))))))))))))))))))))))))))))))))))))))))))</f>
        <v>20</v>
      </c>
      <c r="L95" s="60">
        <f>IF(J95="syllables",1,IF(J95="trigrams",1,IF(J95="strings",1,IF(J95="visual array",1,IF(J95="characters",1,IF(J95="letters",1,IF(J95="free forms",1,IF(J95="odors",2,IF(J95="words",2,IF(J95="pictures",2,IF(J95="object pictures",2,IF(J95="faces",2,IF(J95="names",2,IF(J95="idioms","2",IF(J95="grades",2,IF(J95="syllable-digit pairs",3,IF(J95="trigram-word pairs",3,IF(J95="word-digit pairs",3,IF(J95="English-Swahili pairs",3,IF(J95="spatial position",3,IF(J95="word pairs",4,IF(J95="word triads",4,IF(J95="generated words",4,IF(J95="word definition pairs",4,IF(J95="math problems",4,IF(J95="famous faces",4,IF(J95="famous names",4,IF(J95="famous voices",4,IF(J95="television programs",4,IF(J95="race horses",4,IF(J95="new vocabulary",4,IF(J95="sentences",5,IF(J95="concepts",5,IF(J95="ad slides",5,IF(J95="scenes",5,IF(J95="famous scenes",5,IF(J95="poems",6,IF(J95="walk",6,IF(J95="faces and events",6,IF(J95="events and names",6,IF(J95="flashbulb",7,IF(J95="stories",7,IF(J95="course material",7,IF(J95="autobiographical",7,IF(J95="novels",7,IF(J95="public events",7,"99"))))))))))))))))))))))))))))))))))))))))))))))</f>
        <v>3</v>
      </c>
      <c r="M95" s="60">
        <v>0</v>
      </c>
      <c r="N95" s="60">
        <v>1</v>
      </c>
      <c r="O95" s="60">
        <v>0</v>
      </c>
      <c r="P95" s="60"/>
      <c r="Q95" s="60" t="s">
        <v>174</v>
      </c>
      <c r="R95" s="60">
        <f>IF(Q95="Free Recall",1,IF(Q95="Cued Recall",2,IF(Q95="Recognition",3,IF(Q95="Multiple Choice",4,IF(Q95="Savings",5,IF(Q95="Stem Completion",6,IF(Q95="Fragment Completion",7,IF(Q95="anagram solution",8,IF(Q95="Matching",9,IF(Q95="Problem Solving",10,"99"))))))))))</f>
        <v>1</v>
      </c>
      <c r="S95" s="60" t="s">
        <v>49</v>
      </c>
      <c r="T95" s="60" t="s">
        <v>261</v>
      </c>
      <c r="U95" s="60">
        <f>IF(T95="within",1,0)</f>
        <v>0</v>
      </c>
      <c r="V95" s="60">
        <v>1</v>
      </c>
      <c r="W95" s="60">
        <f>F95*V95</f>
        <v>118</v>
      </c>
      <c r="X95" s="60">
        <v>3</v>
      </c>
      <c r="Y95" s="76">
        <f>AV94</f>
        <v>15992640</v>
      </c>
      <c r="Z95" s="60" t="s">
        <v>235</v>
      </c>
      <c r="AA95" s="60">
        <f>30*24*60*60*30.87</f>
        <v>80015040</v>
      </c>
      <c r="AB95" s="60" t="str">
        <f>IF(AA95&lt;60,"1",IF(AA95&lt;=43200,"2",IF(AA95&lt;=777600,"3","4")))</f>
        <v>4</v>
      </c>
      <c r="AC95" s="56">
        <f>AVERAGE(AV94:DA94)</f>
        <v>48107520</v>
      </c>
      <c r="AD95" s="60" t="str">
        <f>IF(AC95&lt;60,"1",IF(AC95&lt;=43200,"2",IF(AC95&lt;=777600,"3","4")))</f>
        <v>4</v>
      </c>
      <c r="AE95" s="76">
        <f>AA95-Y95</f>
        <v>64022400</v>
      </c>
      <c r="AF95" s="80">
        <f>AV95</f>
        <v>0.05</v>
      </c>
      <c r="AG95" s="56">
        <f>((AW95-AV95)+(AX95-AW95))/2</f>
        <v>-1.2000000000000002E-2</v>
      </c>
      <c r="AH95" s="4"/>
      <c r="AI95" s="56">
        <f>RSQ(AV95:AX95,AV94:AX94)</f>
        <v>0.72383229116989811</v>
      </c>
      <c r="AJ95" s="109">
        <f>SLOPE(AV95:AX95,AV94:AX94)</f>
        <v>-3.7617228659968774E-10</v>
      </c>
      <c r="AK95" s="56">
        <f>INTERCEPT(AV95:AX95,AV94:AX94)</f>
        <v>5.1763382467706884E-2</v>
      </c>
      <c r="AL95" s="56">
        <f>INDEX(LINEST(LN(AV95:AX95),LN(AV94:AX94),TRUE,TRUE),3,1)</f>
        <v>0.87479515941362396</v>
      </c>
      <c r="AM95" s="56">
        <f>INDEX(LINEST(LN(AV95:AX95),LN(AV94:AX94)),1)</f>
        <v>-0.44220536145469269</v>
      </c>
      <c r="AN95" s="56">
        <f>EXP(INDEX(LINEST(LN(AV95:AX95),LN(AV94:AX94)),1,2))</f>
        <v>73.016448737112412</v>
      </c>
      <c r="AO95" s="82">
        <f>INDEX(LINEST((AV95:AX95),LN(AV94:AX94),TRUE,TRUE),3,1)</f>
        <v>0.88458778760218637</v>
      </c>
      <c r="AP95" s="82">
        <f>INDEX(LINEST((AV95:AX95),LN(AV94:AX94)),1)</f>
        <v>-1.6164625420508141E-2</v>
      </c>
      <c r="AQ95" s="83">
        <f>INDEX(LINEST(LN(AV95:AX95),SQRT(AV94:AX94),TRUE,TRUE),3,1)</f>
        <v>0.80078279704853605</v>
      </c>
      <c r="AR95" s="116">
        <f>INDEX(LINEST(LN(AV95:AX95),SQRT((AV94:AX94))),1)</f>
        <v>-1.4001877293769413E-4</v>
      </c>
      <c r="AS95" s="84">
        <f>INDEX(LINEST(1/(AV95:AX95),1/(SQRT(AV94:AX94)),TRUE,TRUE),3,1)</f>
        <v>0.91678513033923692</v>
      </c>
      <c r="AT95" s="84">
        <f>INDEX(LINEST(1/(AV95:AX95),1/SQRT(AV94:AX94)),1)</f>
        <v>-147253.56775595681</v>
      </c>
      <c r="AU95" s="3"/>
      <c r="AV95" s="53">
        <v>0.05</v>
      </c>
      <c r="AW95" s="53">
        <v>2.5000000000000001E-2</v>
      </c>
      <c r="AX95" s="53">
        <v>2.5999999999999999E-2</v>
      </c>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53"/>
      <c r="CD95" s="53"/>
      <c r="CE95" s="53"/>
      <c r="CF95" s="53"/>
      <c r="CG95" s="53"/>
      <c r="CH95" s="53"/>
      <c r="CI95" s="53"/>
      <c r="CJ95" s="53"/>
      <c r="CK95" s="53"/>
      <c r="CL95" s="53"/>
      <c r="CM95" s="53"/>
      <c r="CN95" s="53"/>
      <c r="CO95" s="53"/>
      <c r="CP95" s="53"/>
      <c r="CQ95" s="53"/>
      <c r="CR95" s="1"/>
      <c r="CS95" s="1"/>
      <c r="CT95" s="1"/>
      <c r="CU95" s="1"/>
    </row>
    <row r="96" spans="1:99" s="13" customFormat="1" ht="12" customHeight="1" x14ac:dyDescent="0.2">
      <c r="A96" s="65">
        <v>43509</v>
      </c>
      <c r="B96" s="1"/>
      <c r="C96" s="1"/>
      <c r="D96" s="60"/>
      <c r="E96" s="76"/>
      <c r="F96" s="60"/>
      <c r="G96" s="60"/>
      <c r="H96" s="60"/>
      <c r="I96" s="60"/>
      <c r="J96" s="60"/>
      <c r="K96" s="64"/>
      <c r="L96" s="64"/>
      <c r="M96" s="60"/>
      <c r="N96" s="60"/>
      <c r="O96" s="60"/>
      <c r="P96" s="60"/>
      <c r="Q96" s="59"/>
      <c r="R96" s="60"/>
      <c r="S96" s="60"/>
      <c r="T96" s="60"/>
      <c r="U96" s="60"/>
      <c r="V96" s="60"/>
      <c r="W96" s="60"/>
      <c r="X96" s="60"/>
      <c r="Y96" s="76"/>
      <c r="Z96" s="60"/>
      <c r="AA96" s="60"/>
      <c r="AB96" s="60"/>
      <c r="AC96" s="60"/>
      <c r="AD96" s="60"/>
      <c r="AE96" s="60"/>
      <c r="AF96" s="80"/>
      <c r="AG96" s="56"/>
      <c r="AH96" s="4"/>
      <c r="AI96" s="56"/>
      <c r="AJ96" s="109"/>
      <c r="AK96" s="56"/>
      <c r="AL96" s="56"/>
      <c r="AM96" s="56"/>
      <c r="AN96" s="56"/>
      <c r="AO96" s="56"/>
      <c r="AP96" s="56"/>
      <c r="AQ96" s="56"/>
      <c r="AR96" s="109"/>
      <c r="AS96" s="56"/>
      <c r="AT96" s="56"/>
      <c r="AU96" s="3"/>
      <c r="AV96" s="25">
        <f>30*24*60*60*6.17</f>
        <v>15992640</v>
      </c>
      <c r="AW96" s="25">
        <f>30*24*60*60*18.64</f>
        <v>48314880</v>
      </c>
      <c r="AX96" s="25">
        <f>30*24*60*60*30.87</f>
        <v>80015040</v>
      </c>
      <c r="AY96" s="53"/>
      <c r="AZ96" s="53"/>
      <c r="BA96" s="53"/>
      <c r="BB96" s="53"/>
      <c r="BC96" s="53"/>
      <c r="BD96" s="53"/>
      <c r="BE96" s="53"/>
      <c r="BF96" s="53"/>
      <c r="BG96" s="53"/>
      <c r="BH96" s="53"/>
      <c r="BI96" s="53"/>
      <c r="BJ96" s="53"/>
      <c r="BK96" s="53"/>
      <c r="BL96" s="53"/>
      <c r="BM96" s="53"/>
      <c r="BN96" s="53"/>
      <c r="BO96" s="53"/>
      <c r="BP96" s="53"/>
      <c r="BQ96" s="53"/>
      <c r="BR96" s="53"/>
      <c r="BS96" s="53"/>
      <c r="BT96" s="53"/>
      <c r="BU96" s="53"/>
      <c r="BV96" s="53"/>
      <c r="BW96" s="53"/>
      <c r="BX96" s="53"/>
      <c r="BY96" s="53"/>
      <c r="BZ96" s="53"/>
      <c r="CA96" s="53"/>
      <c r="CB96" s="53"/>
      <c r="CC96" s="53"/>
      <c r="CD96" s="53"/>
      <c r="CE96" s="53"/>
      <c r="CF96" s="53"/>
      <c r="CG96" s="53"/>
      <c r="CH96" s="53"/>
      <c r="CI96" s="53"/>
      <c r="CJ96" s="53"/>
      <c r="CK96" s="53"/>
      <c r="CL96" s="53"/>
      <c r="CM96" s="53"/>
      <c r="CN96" s="53"/>
      <c r="CO96" s="53"/>
      <c r="CP96" s="53"/>
      <c r="CQ96" s="53"/>
      <c r="CR96" s="1"/>
      <c r="CS96" s="1"/>
      <c r="CT96" s="1"/>
      <c r="CU96" s="1"/>
    </row>
    <row r="97" spans="1:99" s="13" customFormat="1" ht="12" customHeight="1" x14ac:dyDescent="0.2">
      <c r="A97" s="65">
        <v>43509</v>
      </c>
      <c r="B97" s="1" t="s">
        <v>240</v>
      </c>
      <c r="C97" s="1" t="s">
        <v>70</v>
      </c>
      <c r="D97" s="60">
        <v>2017</v>
      </c>
      <c r="E97" s="76">
        <v>1</v>
      </c>
      <c r="F97" s="60">
        <v>118</v>
      </c>
      <c r="G97" s="60">
        <v>39.299999999999997</v>
      </c>
      <c r="H97" s="60" t="s">
        <v>38</v>
      </c>
      <c r="I97" s="60" t="s">
        <v>624</v>
      </c>
      <c r="J97" s="60" t="s">
        <v>175</v>
      </c>
      <c r="K97" s="60">
        <f>IF(J97="syllables",1,IF(J97="trigrams",2,IF(J97="strings",3,IF(J97="visual array",4,IF(J97="characters",5,IF(J97="letters",6,IF(J97="free forms",7,IF(J97="odors",8,IF(J97="words",9,IF(J97="pictures",10,IF(J97="object pictures",11,IF(J97="faces",12,IF(J97="names",13,IF(J97="idioms",14,IF(J97="grades",15,IF(J97="syllable-digit pairs",16,IF(J97="trigram-word pairs",17,IF(J97="word-digit pairs",18,IF(J97="English-Swahili pairs",19,IF(J97="spatial position",20,IF(J97="word pairs",21,IF(J97="word triads",22,IF(J97="generated words",23,IF(J97="word definition pairs",24,IF(J97="math problems",25,IF(J97="famous faces",26,IF(J97="famous names",27,IF(J97="famous voices",28,IF(J97="television programs",29,IF(J97="race horses",30,IF(J97="new vocabulary",31,IF(J97="sentences",32,IF(J97="concepts",33,IF(J97="ad slides",34,IF(J97="scenes",35,IF(J97="famous scenes",36,IF(J97="poems",37,IF(J97="walk",38,IF(J97="faces and events",39,IF(J97="events and names",40,IF(J97="flashbulb",41,IF(J97="stories",42,IF(J97="course material",43,IF(J97="autobiographical",44,IF(J97="novels",45,IF(J97="public events",46,"99"))))))))))))))))))))))))))))))))))))))))))))))</f>
        <v>20</v>
      </c>
      <c r="L97" s="60">
        <f>IF(J97="syllables",1,IF(J97="trigrams",1,IF(J97="strings",1,IF(J97="visual array",1,IF(J97="characters",1,IF(J97="letters",1,IF(J97="free forms",1,IF(J97="odors",2,IF(J97="words",2,IF(J97="pictures",2,IF(J97="object pictures",2,IF(J97="faces",2,IF(J97="names",2,IF(J97="idioms","2",IF(J97="grades",2,IF(J97="syllable-digit pairs",3,IF(J97="trigram-word pairs",3,IF(J97="word-digit pairs",3,IF(J97="English-Swahili pairs",3,IF(J97="spatial position",3,IF(J97="word pairs",4,IF(J97="word triads",4,IF(J97="generated words",4,IF(J97="word definition pairs",4,IF(J97="math problems",4,IF(J97="famous faces",4,IF(J97="famous names",4,IF(J97="famous voices",4,IF(J97="television programs",4,IF(J97="race horses",4,IF(J97="new vocabulary",4,IF(J97="sentences",5,IF(J97="concepts",5,IF(J97="ad slides",5,IF(J97="scenes",5,IF(J97="famous scenes",5,IF(J97="poems",6,IF(J97="walk",6,IF(J97="faces and events",6,IF(J97="events and names",6,IF(J97="flashbulb",7,IF(J97="stories",7,IF(J97="course material",7,IF(J97="autobiographical",7,IF(J97="novels",7,IF(J97="public events",7,"99"))))))))))))))))))))))))))))))))))))))))))))))</f>
        <v>3</v>
      </c>
      <c r="M97" s="60">
        <v>0</v>
      </c>
      <c r="N97" s="60">
        <v>1</v>
      </c>
      <c r="O97" s="60">
        <v>0</v>
      </c>
      <c r="P97" s="60"/>
      <c r="Q97" s="60" t="s">
        <v>174</v>
      </c>
      <c r="R97" s="60">
        <f>IF(Q97="Free Recall",1,IF(Q97="Cued Recall",2,IF(Q97="Recognition",3,IF(Q97="Multiple Choice",4,IF(Q97="Savings",5,IF(Q97="Stem Completion",6,IF(Q97="Fragment Completion",7,IF(Q97="anagram solution",8,IF(Q97="Matching",9,IF(Q97="Problem Solving",10,"99"))))))))))</f>
        <v>1</v>
      </c>
      <c r="S97" s="60" t="s">
        <v>49</v>
      </c>
      <c r="T97" s="60" t="s">
        <v>261</v>
      </c>
      <c r="U97" s="60">
        <f>IF(T97="within",1,0)</f>
        <v>0</v>
      </c>
      <c r="V97" s="60">
        <v>1</v>
      </c>
      <c r="W97" s="60">
        <f>F97*V97</f>
        <v>118</v>
      </c>
      <c r="X97" s="60">
        <v>3</v>
      </c>
      <c r="Y97" s="76">
        <f>AV96</f>
        <v>15992640</v>
      </c>
      <c r="Z97" s="60" t="s">
        <v>235</v>
      </c>
      <c r="AA97" s="60">
        <f>30*24*60*60*30.87</f>
        <v>80015040</v>
      </c>
      <c r="AB97" s="60" t="str">
        <f>IF(AA97&lt;60,"1",IF(AA97&lt;=43200,"2",IF(AA97&lt;=777600,"3","4")))</f>
        <v>4</v>
      </c>
      <c r="AC97" s="56">
        <f>AVERAGE(AV96:DA96)</f>
        <v>48107520</v>
      </c>
      <c r="AD97" s="60" t="str">
        <f>IF(AC97&lt;60,"1",IF(AC97&lt;=43200,"2",IF(AC97&lt;=777600,"3","4")))</f>
        <v>4</v>
      </c>
      <c r="AE97" s="76">
        <f>AA97-Y97</f>
        <v>64022400</v>
      </c>
      <c r="AF97" s="80">
        <f>AV97</f>
        <v>0.15</v>
      </c>
      <c r="AG97" s="56">
        <f>((AW97-AV97)+(AX97-AW97))/2</f>
        <v>-3.5499999999999997E-2</v>
      </c>
      <c r="AH97" s="4"/>
      <c r="AI97" s="56">
        <f>RSQ(AV97:AX97,AV96:AX96)</f>
        <v>0.94979718397160551</v>
      </c>
      <c r="AJ97" s="109">
        <f>SLOPE(AV97:AX97,AV96:AX96)</f>
        <v>-1.1104190067152762E-9</v>
      </c>
      <c r="AK97" s="56">
        <f>INTERCEPT(AV97:AX97,AV96:AX96)</f>
        <v>0.16308617124060196</v>
      </c>
      <c r="AL97" s="56">
        <f>INDEX(LINEST(LN(AV97:AX97),LN(AV96:AX96),TRUE,TRUE),3,1)</f>
        <v>0.99632733902197745</v>
      </c>
      <c r="AM97" s="56">
        <f>INDEX(LINEST(LN(AV97:AX97),LN(AV96:AX96)),1)</f>
        <v>-0.39308731788945506</v>
      </c>
      <c r="AN97" s="56">
        <f>EXP(INDEX(LINEST(LN(AV97:AX97),LN(AV96:AX96)),1,2))</f>
        <v>102.53680131298032</v>
      </c>
      <c r="AO97" s="82">
        <f>INDEX(LINEST((AV97:AX97),LN(AV96:AX96),TRUE,TRUE),3,1)</f>
        <v>0.99962835945109341</v>
      </c>
      <c r="AP97" s="82">
        <f>INDEX(LINEST((AV97:AX97),LN(AV96:AX96)),1)</f>
        <v>-4.4281068084561212E-2</v>
      </c>
      <c r="AQ97" s="83">
        <f>INDEX(LINEST(LN(AV97:AX97),SQRT(AV96:AX96),TRUE,TRUE),3,1)</f>
        <v>0.99837259582809579</v>
      </c>
      <c r="AR97" s="116">
        <f>INDEX(LINEST(LN(AV97:AX97),SQRT((AV96:AX96))),1)</f>
        <v>-1.3022441536346914E-4</v>
      </c>
      <c r="AS97" s="84">
        <f>INDEX(LINEST(1/(AV97:AX97),1/(SQRT(AV96:AX96)),TRUE,TRUE),3,1)</f>
        <v>0.9457026566120359</v>
      </c>
      <c r="AT97" s="84">
        <f>INDEX(LINEST(1/(AV97:AX97),1/SQRT(AV96:AX96)),1)</f>
        <v>-40342.288517823501</v>
      </c>
      <c r="AU97" s="3"/>
      <c r="AV97" s="53">
        <v>0.15</v>
      </c>
      <c r="AW97" s="53">
        <v>0.1</v>
      </c>
      <c r="AX97" s="53">
        <v>7.9000000000000001E-2</v>
      </c>
      <c r="AY97" s="53"/>
      <c r="AZ97" s="53"/>
      <c r="BA97" s="53"/>
      <c r="BB97" s="53"/>
      <c r="BC97" s="53"/>
      <c r="BD97" s="53"/>
      <c r="BE97" s="53"/>
      <c r="BF97" s="53"/>
      <c r="BG97" s="53"/>
      <c r="BH97" s="53"/>
      <c r="BI97" s="53"/>
      <c r="BJ97" s="53"/>
      <c r="BK97" s="53"/>
      <c r="BL97" s="53"/>
      <c r="BM97" s="53"/>
      <c r="BN97" s="53"/>
      <c r="BO97" s="53"/>
      <c r="BP97" s="53"/>
      <c r="BQ97" s="53"/>
      <c r="BR97" s="53"/>
      <c r="BS97" s="53"/>
      <c r="BT97" s="53"/>
      <c r="BU97" s="53"/>
      <c r="BV97" s="53"/>
      <c r="BW97" s="53"/>
      <c r="BX97" s="53"/>
      <c r="BY97" s="53"/>
      <c r="BZ97" s="53"/>
      <c r="CA97" s="53"/>
      <c r="CB97" s="53"/>
      <c r="CC97" s="53"/>
      <c r="CD97" s="53"/>
      <c r="CE97" s="53"/>
      <c r="CF97" s="53"/>
      <c r="CG97" s="53"/>
      <c r="CH97" s="53"/>
      <c r="CI97" s="53"/>
      <c r="CJ97" s="53"/>
      <c r="CK97" s="53"/>
      <c r="CL97" s="53"/>
      <c r="CM97" s="53"/>
      <c r="CN97" s="53"/>
      <c r="CO97" s="53"/>
      <c r="CP97" s="53"/>
      <c r="CQ97" s="53"/>
      <c r="CR97" s="1"/>
      <c r="CS97" s="1"/>
      <c r="CT97" s="1"/>
      <c r="CU97" s="1"/>
    </row>
    <row r="98" spans="1:99" s="13" customFormat="1" ht="12" customHeight="1" x14ac:dyDescent="0.2">
      <c r="A98" s="65">
        <v>43509</v>
      </c>
      <c r="B98" s="1"/>
      <c r="C98" s="1"/>
      <c r="D98" s="60"/>
      <c r="E98" s="76"/>
      <c r="F98" s="60"/>
      <c r="G98" s="60"/>
      <c r="H98" s="60"/>
      <c r="I98" s="60"/>
      <c r="J98" s="60"/>
      <c r="K98" s="64"/>
      <c r="L98" s="64"/>
      <c r="M98" s="60"/>
      <c r="N98" s="60"/>
      <c r="O98" s="60"/>
      <c r="P98" s="60"/>
      <c r="Q98" s="59"/>
      <c r="R98" s="60"/>
      <c r="S98" s="60"/>
      <c r="T98" s="60"/>
      <c r="U98" s="60"/>
      <c r="V98" s="60"/>
      <c r="W98" s="60"/>
      <c r="X98" s="60"/>
      <c r="Y98" s="76"/>
      <c r="Z98" s="60"/>
      <c r="AA98" s="60"/>
      <c r="AB98" s="60"/>
      <c r="AC98" s="60"/>
      <c r="AD98" s="60"/>
      <c r="AE98" s="60"/>
      <c r="AF98" s="80"/>
      <c r="AG98" s="56"/>
      <c r="AH98" s="4"/>
      <c r="AI98" s="56"/>
      <c r="AJ98" s="109"/>
      <c r="AK98" s="56"/>
      <c r="AL98" s="56"/>
      <c r="AM98" s="56"/>
      <c r="AN98" s="56"/>
      <c r="AO98" s="56"/>
      <c r="AP98" s="56"/>
      <c r="AQ98" s="56"/>
      <c r="AR98" s="109"/>
      <c r="AS98" s="56"/>
      <c r="AT98" s="56"/>
      <c r="AU98" s="3"/>
      <c r="AV98" s="25">
        <f>30*24*60*60*6.17</f>
        <v>15992640</v>
      </c>
      <c r="AW98" s="25">
        <f>30*24*60*60*18.64</f>
        <v>48314880</v>
      </c>
      <c r="AX98" s="25">
        <f>30*24*60*60*30.87</f>
        <v>80015040</v>
      </c>
      <c r="AY98" s="53"/>
      <c r="AZ98" s="53"/>
      <c r="BA98" s="53"/>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53"/>
      <c r="CD98" s="53"/>
      <c r="CE98" s="53"/>
      <c r="CF98" s="53"/>
      <c r="CG98" s="53"/>
      <c r="CH98" s="53"/>
      <c r="CI98" s="53"/>
      <c r="CJ98" s="53"/>
      <c r="CK98" s="53"/>
      <c r="CL98" s="53"/>
      <c r="CM98" s="53"/>
      <c r="CN98" s="53"/>
      <c r="CO98" s="53"/>
      <c r="CP98" s="53"/>
      <c r="CQ98" s="53"/>
      <c r="CR98" s="1"/>
      <c r="CS98" s="1"/>
      <c r="CT98" s="1"/>
      <c r="CU98" s="1"/>
    </row>
    <row r="99" spans="1:99" s="13" customFormat="1" ht="12" customHeight="1" x14ac:dyDescent="0.2">
      <c r="A99" s="65">
        <v>43509</v>
      </c>
      <c r="B99" s="1" t="s">
        <v>240</v>
      </c>
      <c r="C99" s="1" t="s">
        <v>70</v>
      </c>
      <c r="D99" s="60">
        <v>2017</v>
      </c>
      <c r="E99" s="76">
        <v>1</v>
      </c>
      <c r="F99" s="60">
        <v>118</v>
      </c>
      <c r="G99" s="60">
        <v>39.299999999999997</v>
      </c>
      <c r="H99" s="60" t="s">
        <v>38</v>
      </c>
      <c r="I99" s="60" t="s">
        <v>625</v>
      </c>
      <c r="J99" s="60" t="s">
        <v>175</v>
      </c>
      <c r="K99" s="60">
        <f>IF(J99="syllables",1,IF(J99="trigrams",2,IF(J99="strings",3,IF(J99="visual array",4,IF(J99="characters",5,IF(J99="letters",6,IF(J99="free forms",7,IF(J99="odors",8,IF(J99="words",9,IF(J99="pictures",10,IF(J99="object pictures",11,IF(J99="faces",12,IF(J99="names",13,IF(J99="idioms",14,IF(J99="grades",15,IF(J99="syllable-digit pairs",16,IF(J99="trigram-word pairs",17,IF(J99="word-digit pairs",18,IF(J99="English-Swahili pairs",19,IF(J99="spatial position",20,IF(J99="word pairs",21,IF(J99="word triads",22,IF(J99="generated words",23,IF(J99="word definition pairs",24,IF(J99="math problems",25,IF(J99="famous faces",26,IF(J99="famous names",27,IF(J99="famous voices",28,IF(J99="television programs",29,IF(J99="race horses",30,IF(J99="new vocabulary",31,IF(J99="sentences",32,IF(J99="concepts",33,IF(J99="ad slides",34,IF(J99="scenes",35,IF(J99="famous scenes",36,IF(J99="poems",37,IF(J99="walk",38,IF(J99="faces and events",39,IF(J99="events and names",40,IF(J99="flashbulb",41,IF(J99="stories",42,IF(J99="course material",43,IF(J99="autobiographical",44,IF(J99="novels",45,IF(J99="public events",46,"99"))))))))))))))))))))))))))))))))))))))))))))))</f>
        <v>20</v>
      </c>
      <c r="L99" s="60">
        <f>IF(J99="syllables",1,IF(J99="trigrams",1,IF(J99="strings",1,IF(J99="visual array",1,IF(J99="characters",1,IF(J99="letters",1,IF(J99="free forms",1,IF(J99="odors",2,IF(J99="words",2,IF(J99="pictures",2,IF(J99="object pictures",2,IF(J99="faces",2,IF(J99="names",2,IF(J99="idioms","2",IF(J99="grades",2,IF(J99="syllable-digit pairs",3,IF(J99="trigram-word pairs",3,IF(J99="word-digit pairs",3,IF(J99="English-Swahili pairs",3,IF(J99="spatial position",3,IF(J99="word pairs",4,IF(J99="word triads",4,IF(J99="generated words",4,IF(J99="word definition pairs",4,IF(J99="math problems",4,IF(J99="famous faces",4,IF(J99="famous names",4,IF(J99="famous voices",4,IF(J99="television programs",4,IF(J99="race horses",4,IF(J99="new vocabulary",4,IF(J99="sentences",5,IF(J99="concepts",5,IF(J99="ad slides",5,IF(J99="scenes",5,IF(J99="famous scenes",5,IF(J99="poems",6,IF(J99="walk",6,IF(J99="faces and events",6,IF(J99="events and names",6,IF(J99="flashbulb",7,IF(J99="stories",7,IF(J99="course material",7,IF(J99="autobiographical",7,IF(J99="novels",7,IF(J99="public events",7,"99"))))))))))))))))))))))))))))))))))))))))))))))</f>
        <v>3</v>
      </c>
      <c r="M99" s="60">
        <v>0</v>
      </c>
      <c r="N99" s="60">
        <v>1</v>
      </c>
      <c r="O99" s="60">
        <v>0</v>
      </c>
      <c r="P99" s="60"/>
      <c r="Q99" s="60" t="s">
        <v>174</v>
      </c>
      <c r="R99" s="60">
        <f>IF(Q99="Free Recall",1,IF(Q99="Cued Recall",2,IF(Q99="Recognition",3,IF(Q99="Multiple Choice",4,IF(Q99="Savings",5,IF(Q99="Stem Completion",6,IF(Q99="Fragment Completion",7,IF(Q99="anagram solution",8,IF(Q99="Matching",9,IF(Q99="Problem Solving",10,"99"))))))))))</f>
        <v>1</v>
      </c>
      <c r="S99" s="60" t="s">
        <v>49</v>
      </c>
      <c r="T99" s="60" t="s">
        <v>261</v>
      </c>
      <c r="U99" s="60">
        <f>IF(T99="within",1,0)</f>
        <v>0</v>
      </c>
      <c r="V99" s="60">
        <v>1</v>
      </c>
      <c r="W99" s="60">
        <f>F99*V99</f>
        <v>118</v>
      </c>
      <c r="X99" s="60">
        <v>3</v>
      </c>
      <c r="Y99" s="76">
        <f>AV98</f>
        <v>15992640</v>
      </c>
      <c r="Z99" s="60" t="s">
        <v>235</v>
      </c>
      <c r="AA99" s="60">
        <f>30*24*60*60*30.87</f>
        <v>80015040</v>
      </c>
      <c r="AB99" s="60" t="str">
        <f>IF(AA99&lt;60,"1",IF(AA99&lt;=43200,"2",IF(AA99&lt;=777600,"3","4")))</f>
        <v>4</v>
      </c>
      <c r="AC99" s="56">
        <f>AVERAGE(AV98:DA98)</f>
        <v>48107520</v>
      </c>
      <c r="AD99" s="60" t="str">
        <f>IF(AC99&lt;60,"1",IF(AC99&lt;=43200,"2",IF(AC99&lt;=777600,"3","4")))</f>
        <v>4</v>
      </c>
      <c r="AE99" s="76">
        <f>AA99-Y99</f>
        <v>64022400</v>
      </c>
      <c r="AF99" s="80">
        <f>AV99</f>
        <v>0.8</v>
      </c>
      <c r="AG99" s="56">
        <f>((AW99-AV99)+(AX99-AW99))/2</f>
        <v>-0.06</v>
      </c>
      <c r="AH99" s="4"/>
      <c r="AI99" s="56">
        <f>RSQ(AV99:AX99,AV98:AX98)</f>
        <v>0.72383229116989778</v>
      </c>
      <c r="AJ99" s="109">
        <f>SLOPE(AV99:AX99,AV98:AX98)</f>
        <v>-1.8808614329984383E-9</v>
      </c>
      <c r="AK99" s="56">
        <f>INTERCEPT(AV99:AX99,AV98:AX98)</f>
        <v>0.80881691233853437</v>
      </c>
      <c r="AL99" s="56">
        <f>INDEX(LINEST(LN(AV99:AX99),LN(AV98:AX98),TRUE,TRUE),3,1)</f>
        <v>0.88259838867604767</v>
      </c>
      <c r="AM99" s="56">
        <f>INDEX(LINEST(LN(AV99:AX99),LN(AV98:AX98)),1)</f>
        <v>-0.10955062355742998</v>
      </c>
      <c r="AN99" s="56">
        <f>EXP(INDEX(LINEST(LN(AV99:AX99),LN(AV98:AX98)),1,2))</f>
        <v>4.8666481749721182</v>
      </c>
      <c r="AO99" s="82">
        <f>INDEX(LINEST((AV99:AX99),LN(AV98:AX98),TRUE,TRUE),3,1)</f>
        <v>0.88458778760218626</v>
      </c>
      <c r="AP99" s="82">
        <f>INDEX(LINEST((AV99:AX99),LN(AV98:AX98)),1)</f>
        <v>-8.0823127102540693E-2</v>
      </c>
      <c r="AQ99" s="83">
        <f>INDEX(LINEST(LN(AV99:AX99),SQRT(AV98:AX98),TRUE,TRUE),3,1)</f>
        <v>0.81024349931908379</v>
      </c>
      <c r="AR99" s="116">
        <f>INDEX(LINEST(LN(AV99:AX99),SQRT((AV98:AX98))),1)</f>
        <v>-3.4737547067067404E-5</v>
      </c>
      <c r="AS99" s="84">
        <f>INDEX(LINEST(1/(AV99:AX99),1/(SQRT(AV98:AX98)),TRUE,TRUE),3,1)</f>
        <v>0.93131815125356832</v>
      </c>
      <c r="AT99" s="84">
        <f>INDEX(LINEST(1/(AV99:AX99),1/SQRT(AV98:AX98)),1)</f>
        <v>-1741.7986551857243</v>
      </c>
      <c r="AU99" s="3"/>
      <c r="AV99" s="53">
        <v>0.8</v>
      </c>
      <c r="AW99" s="53">
        <v>0.67500000000000004</v>
      </c>
      <c r="AX99" s="53">
        <v>0.68</v>
      </c>
      <c r="AY99" s="53"/>
      <c r="AZ99" s="53"/>
      <c r="BA99" s="53"/>
      <c r="BB99" s="53"/>
      <c r="BC99" s="53"/>
      <c r="BD99" s="53"/>
      <c r="BE99" s="53"/>
      <c r="BF99" s="53"/>
      <c r="BG99" s="53"/>
      <c r="BH99" s="53"/>
      <c r="BI99" s="53"/>
      <c r="BJ99" s="53"/>
      <c r="BK99" s="53"/>
      <c r="BL99" s="53"/>
      <c r="BM99" s="53"/>
      <c r="BN99" s="53"/>
      <c r="BO99" s="53"/>
      <c r="BP99" s="53"/>
      <c r="BQ99" s="53"/>
      <c r="BR99" s="53"/>
      <c r="BS99" s="53"/>
      <c r="BT99" s="53"/>
      <c r="BU99" s="53"/>
      <c r="BV99" s="53"/>
      <c r="BW99" s="53"/>
      <c r="BX99" s="53"/>
      <c r="BY99" s="53"/>
      <c r="BZ99" s="53"/>
      <c r="CA99" s="53"/>
      <c r="CB99" s="53"/>
      <c r="CC99" s="53"/>
      <c r="CD99" s="53"/>
      <c r="CE99" s="53"/>
      <c r="CF99" s="53"/>
      <c r="CG99" s="53"/>
      <c r="CH99" s="53"/>
      <c r="CI99" s="53"/>
      <c r="CJ99" s="53"/>
      <c r="CK99" s="53"/>
      <c r="CL99" s="53"/>
      <c r="CM99" s="53"/>
      <c r="CN99" s="53"/>
      <c r="CO99" s="53"/>
      <c r="CP99" s="53"/>
      <c r="CQ99" s="53"/>
      <c r="CR99" s="1"/>
      <c r="CS99" s="1"/>
      <c r="CT99" s="1"/>
      <c r="CU99" s="1"/>
    </row>
    <row r="100" spans="1:99" s="13" customFormat="1" ht="12" customHeight="1" x14ac:dyDescent="0.2">
      <c r="A100" s="65">
        <v>43509</v>
      </c>
      <c r="B100" s="1"/>
      <c r="C100" s="1"/>
      <c r="D100" s="60"/>
      <c r="E100" s="76"/>
      <c r="F100" s="60"/>
      <c r="G100" s="60"/>
      <c r="H100" s="60"/>
      <c r="I100" s="60"/>
      <c r="J100" s="60"/>
      <c r="K100" s="64"/>
      <c r="L100" s="64"/>
      <c r="M100" s="60"/>
      <c r="N100" s="60"/>
      <c r="O100" s="60"/>
      <c r="P100" s="60"/>
      <c r="Q100" s="59"/>
      <c r="R100" s="60"/>
      <c r="S100" s="60"/>
      <c r="T100" s="60"/>
      <c r="U100" s="60"/>
      <c r="V100" s="60"/>
      <c r="W100" s="60"/>
      <c r="X100" s="60"/>
      <c r="Y100" s="76"/>
      <c r="Z100" s="60"/>
      <c r="AA100" s="60"/>
      <c r="AB100" s="60"/>
      <c r="AC100" s="60"/>
      <c r="AD100" s="60"/>
      <c r="AE100" s="60"/>
      <c r="AF100" s="80"/>
      <c r="AG100" s="56"/>
      <c r="AH100" s="4"/>
      <c r="AI100" s="56"/>
      <c r="AJ100" s="109"/>
      <c r="AK100" s="56"/>
      <c r="AL100" s="56"/>
      <c r="AM100" s="56"/>
      <c r="AN100" s="56"/>
      <c r="AO100" s="56"/>
      <c r="AP100" s="56"/>
      <c r="AQ100" s="56"/>
      <c r="AR100" s="109"/>
      <c r="AS100" s="56"/>
      <c r="AT100" s="56"/>
      <c r="AU100" s="3"/>
      <c r="AV100" s="25">
        <f>30*24*60*60*6.17</f>
        <v>15992640</v>
      </c>
      <c r="AW100" s="25">
        <f>30*24*60*60*18.64</f>
        <v>48314880</v>
      </c>
      <c r="AX100" s="25">
        <f>30*24*60*60*30.87</f>
        <v>80015040</v>
      </c>
      <c r="AY100" s="53"/>
      <c r="AZ100" s="53"/>
      <c r="BA100" s="53"/>
      <c r="BB100" s="53"/>
      <c r="BC100" s="53"/>
      <c r="BD100" s="53"/>
      <c r="BE100" s="53"/>
      <c r="BF100" s="53"/>
      <c r="BG100" s="53"/>
      <c r="BH100" s="53"/>
      <c r="BI100" s="53"/>
      <c r="BJ100" s="53"/>
      <c r="BK100" s="53"/>
      <c r="BL100" s="53"/>
      <c r="BM100" s="53"/>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1"/>
      <c r="CS100" s="1"/>
      <c r="CT100" s="1"/>
      <c r="CU100" s="1"/>
    </row>
    <row r="101" spans="1:99" s="13" customFormat="1" ht="12" customHeight="1" x14ac:dyDescent="0.2">
      <c r="A101" s="65">
        <v>43509</v>
      </c>
      <c r="B101" s="1" t="s">
        <v>240</v>
      </c>
      <c r="C101" s="1" t="s">
        <v>70</v>
      </c>
      <c r="D101" s="60">
        <v>2017</v>
      </c>
      <c r="E101" s="76">
        <v>1</v>
      </c>
      <c r="F101" s="60">
        <v>118</v>
      </c>
      <c r="G101" s="60">
        <v>39.299999999999997</v>
      </c>
      <c r="H101" s="60" t="s">
        <v>38</v>
      </c>
      <c r="I101" s="60" t="s">
        <v>626</v>
      </c>
      <c r="J101" s="60" t="s">
        <v>175</v>
      </c>
      <c r="K101" s="60">
        <f>IF(J101="syllables",1,IF(J101="trigrams",2,IF(J101="strings",3,IF(J101="visual array",4,IF(J101="characters",5,IF(J101="letters",6,IF(J101="free forms",7,IF(J101="odors",8,IF(J101="words",9,IF(J101="pictures",10,IF(J101="object pictures",11,IF(J101="faces",12,IF(J101="names",13,IF(J101="idioms",14,IF(J101="grades",15,IF(J101="syllable-digit pairs",16,IF(J101="trigram-word pairs",17,IF(J101="word-digit pairs",18,IF(J101="English-Swahili pairs",19,IF(J101="spatial position",20,IF(J101="word pairs",21,IF(J101="word triads",22,IF(J101="generated words",23,IF(J101="word definition pairs",24,IF(J101="math problems",25,IF(J101="famous faces",26,IF(J101="famous names",27,IF(J101="famous voices",28,IF(J101="television programs",29,IF(J101="race horses",30,IF(J101="new vocabulary",31,IF(J101="sentences",32,IF(J101="concepts",33,IF(J101="ad slides",34,IF(J101="scenes",35,IF(J101="famous scenes",36,IF(J101="poems",37,IF(J101="walk",38,IF(J101="faces and events",39,IF(J101="events and names",40,IF(J101="flashbulb",41,IF(J101="stories",42,IF(J101="course material",43,IF(J101="autobiographical",44,IF(J101="novels",45,IF(J101="public events",46,"99"))))))))))))))))))))))))))))))))))))))))))))))</f>
        <v>20</v>
      </c>
      <c r="L101" s="60">
        <f>IF(J101="syllables",1,IF(J101="trigrams",1,IF(J101="strings",1,IF(J101="visual array",1,IF(J101="characters",1,IF(J101="letters",1,IF(J101="free forms",1,IF(J101="odors",2,IF(J101="words",2,IF(J101="pictures",2,IF(J101="object pictures",2,IF(J101="faces",2,IF(J101="names",2,IF(J101="idioms","2",IF(J101="grades",2,IF(J101="syllable-digit pairs",3,IF(J101="trigram-word pairs",3,IF(J101="word-digit pairs",3,IF(J101="English-Swahili pairs",3,IF(J101="spatial position",3,IF(J101="word pairs",4,IF(J101="word triads",4,IF(J101="generated words",4,IF(J101="word definition pairs",4,IF(J101="math problems",4,IF(J101="famous faces",4,IF(J101="famous names",4,IF(J101="famous voices",4,IF(J101="television programs",4,IF(J101="race horses",4,IF(J101="new vocabulary",4,IF(J101="sentences",5,IF(J101="concepts",5,IF(J101="ad slides",5,IF(J101="scenes",5,IF(J101="famous scenes",5,IF(J101="poems",6,IF(J101="walk",6,IF(J101="faces and events",6,IF(J101="events and names",6,IF(J101="flashbulb",7,IF(J101="stories",7,IF(J101="course material",7,IF(J101="autobiographical",7,IF(J101="novels",7,IF(J101="public events",7,"99"))))))))))))))))))))))))))))))))))))))))))))))</f>
        <v>3</v>
      </c>
      <c r="M101" s="60">
        <v>0</v>
      </c>
      <c r="N101" s="60">
        <v>1</v>
      </c>
      <c r="O101" s="60">
        <v>0</v>
      </c>
      <c r="P101" s="60"/>
      <c r="Q101" s="60" t="s">
        <v>174</v>
      </c>
      <c r="R101" s="60">
        <f>IF(Q101="Free Recall",1,IF(Q101="Cued Recall",2,IF(Q101="Recognition",3,IF(Q101="Multiple Choice",4,IF(Q101="Savings",5,IF(Q101="Stem Completion",6,IF(Q101="Fragment Completion",7,IF(Q101="anagram solution",8,IF(Q101="Matching",9,IF(Q101="Problem Solving",10,"99"))))))))))</f>
        <v>1</v>
      </c>
      <c r="S101" s="60" t="s">
        <v>49</v>
      </c>
      <c r="T101" s="60" t="s">
        <v>261</v>
      </c>
      <c r="U101" s="60">
        <f>IF(T101="within",1,0)</f>
        <v>0</v>
      </c>
      <c r="V101" s="60">
        <v>1</v>
      </c>
      <c r="W101" s="60">
        <f>F101*V101</f>
        <v>118</v>
      </c>
      <c r="X101" s="60">
        <v>3</v>
      </c>
      <c r="Y101" s="76">
        <f>AV100</f>
        <v>15992640</v>
      </c>
      <c r="Z101" s="60" t="s">
        <v>235</v>
      </c>
      <c r="AA101" s="60">
        <f>30*24*60*60*30.87</f>
        <v>80015040</v>
      </c>
      <c r="AB101" s="60" t="str">
        <f>IF(AA101&lt;60,"1",IF(AA101&lt;=43200,"2",IF(AA101&lt;=777600,"3","4")))</f>
        <v>4</v>
      </c>
      <c r="AC101" s="56">
        <f>AVERAGE(AV100:DA100)</f>
        <v>48107520</v>
      </c>
      <c r="AD101" s="60" t="str">
        <f>IF(AC101&lt;60,"1",IF(AC101&lt;=43200,"2",IF(AC101&lt;=777600,"3","4")))</f>
        <v>4</v>
      </c>
      <c r="AE101" s="76">
        <f>AA101-Y101</f>
        <v>64022400</v>
      </c>
      <c r="AF101" s="80">
        <f>AV101</f>
        <v>0.6</v>
      </c>
      <c r="AG101" s="56">
        <f>((AW101-AV101)+(AX101-AW101))/2</f>
        <v>-2.3499999999999965E-2</v>
      </c>
      <c r="AH101" s="4"/>
      <c r="AI101" s="56">
        <f>RSQ(AV101:AX101,AV100:AX100)</f>
        <v>0.14191580330469719</v>
      </c>
      <c r="AJ101" s="109">
        <f>SLOPE(AV101:AX101,AV100:AX100)</f>
        <v>-7.2412912230494505E-10</v>
      </c>
      <c r="AK101" s="56">
        <f>INTERCEPT(AV101:AX101,AV100:AX100)</f>
        <v>0.64416938956720082</v>
      </c>
      <c r="AL101" s="56">
        <f>INDEX(LINEST(LN(AV101:AX101),LN(AV100:AX100),TRUE,TRUE),3,1)</f>
        <v>4.2160132266873804E-2</v>
      </c>
      <c r="AM101" s="56">
        <f>INDEX(LINEST(LN(AV101:AX101),LN(AV100:AX100)),1)</f>
        <v>-2.4988556565272876E-2</v>
      </c>
      <c r="AN101" s="56">
        <f>EXP(INDEX(LINEST(LN(AV101:AX101),LN(AV100:AX100)),1,2))</f>
        <v>0.94022736605303669</v>
      </c>
      <c r="AO101" s="82">
        <f>INDEX(LINEST((AV101:AX101),LN(AV100:AX100),TRUE,TRUE),3,1)</f>
        <v>3.1893502431956676E-2</v>
      </c>
      <c r="AP101" s="82">
        <f>INDEX(LINEST((AV101:AX101),LN(AV100:AX100)),1)</f>
        <v>-1.3343786868121158E-2</v>
      </c>
      <c r="AQ101" s="83">
        <f>INDEX(LINEST(LN(AV101:AX101),SQRT(AV100:AX100),TRUE,TRUE),3,1)</f>
        <v>9.1781748377920427E-2</v>
      </c>
      <c r="AR101" s="116">
        <f>INDEX(LINEST(LN(AV101:AX101),SQRT((AV100:AX100))),1)</f>
        <v>-1.2201871105409494E-5</v>
      </c>
      <c r="AS101" s="84">
        <f>INDEX(LINEST(1/(AV101:AX101),1/(SQRT(AV100:AX100)),TRUE,TRUE),3,1)</f>
        <v>2.1368912678493186E-2</v>
      </c>
      <c r="AT101" s="84">
        <f>INDEX(LINEST(1/(AV101:AX101),1/SQRT(AV100:AX100)),1)</f>
        <v>-331.0767834315057</v>
      </c>
      <c r="AU101" s="3"/>
      <c r="AV101" s="53">
        <v>0.6</v>
      </c>
      <c r="AW101" s="53">
        <v>0.67500000000000004</v>
      </c>
      <c r="AX101" s="53">
        <v>0.55300000000000005</v>
      </c>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1"/>
      <c r="CS101" s="1"/>
      <c r="CT101" s="1"/>
      <c r="CU101" s="1"/>
    </row>
    <row r="102" spans="1:99" s="13" customFormat="1" ht="12" customHeight="1" x14ac:dyDescent="0.2">
      <c r="A102" s="65">
        <v>43509</v>
      </c>
      <c r="B102" s="1"/>
      <c r="C102" s="1"/>
      <c r="D102" s="60"/>
      <c r="E102" s="76"/>
      <c r="F102" s="60"/>
      <c r="G102" s="60"/>
      <c r="H102" s="60"/>
      <c r="I102" s="60"/>
      <c r="J102" s="60"/>
      <c r="K102" s="64"/>
      <c r="L102" s="64"/>
      <c r="M102" s="60"/>
      <c r="N102" s="60"/>
      <c r="O102" s="60"/>
      <c r="P102" s="60"/>
      <c r="Q102" s="59"/>
      <c r="R102" s="60"/>
      <c r="S102" s="60"/>
      <c r="T102" s="60"/>
      <c r="U102" s="60"/>
      <c r="V102" s="60"/>
      <c r="W102" s="60"/>
      <c r="X102" s="60"/>
      <c r="Y102" s="76"/>
      <c r="Z102" s="60"/>
      <c r="AA102" s="60"/>
      <c r="AB102" s="60"/>
      <c r="AC102" s="60"/>
      <c r="AD102" s="60"/>
      <c r="AE102" s="60"/>
      <c r="AF102" s="80"/>
      <c r="AG102" s="56"/>
      <c r="AH102" s="4"/>
      <c r="AI102" s="56"/>
      <c r="AJ102" s="109"/>
      <c r="AK102" s="56"/>
      <c r="AL102" s="56"/>
      <c r="AM102" s="56"/>
      <c r="AN102" s="56"/>
      <c r="AO102" s="56"/>
      <c r="AP102" s="56"/>
      <c r="AQ102" s="56"/>
      <c r="AR102" s="109"/>
      <c r="AS102" s="56"/>
      <c r="AT102" s="56"/>
      <c r="AU102" s="3"/>
      <c r="AV102" s="25">
        <f>30*24*60*60*6.17</f>
        <v>15992640</v>
      </c>
      <c r="AW102" s="25">
        <f>30*24*60*60*18.64</f>
        <v>48314880</v>
      </c>
      <c r="AX102" s="25">
        <f>30*24*60*60*30.87</f>
        <v>80015040</v>
      </c>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1"/>
      <c r="CS102" s="1"/>
      <c r="CT102" s="1"/>
      <c r="CU102" s="1"/>
    </row>
    <row r="103" spans="1:99" s="13" customFormat="1" ht="12" customHeight="1" x14ac:dyDescent="0.2">
      <c r="A103" s="65">
        <v>43509</v>
      </c>
      <c r="B103" s="1" t="s">
        <v>240</v>
      </c>
      <c r="C103" s="1" t="s">
        <v>70</v>
      </c>
      <c r="D103" s="60">
        <v>2017</v>
      </c>
      <c r="E103" s="76">
        <v>1</v>
      </c>
      <c r="F103" s="60">
        <v>118</v>
      </c>
      <c r="G103" s="60">
        <v>39.299999999999997</v>
      </c>
      <c r="H103" s="60" t="s">
        <v>398</v>
      </c>
      <c r="I103" s="60" t="s">
        <v>627</v>
      </c>
      <c r="J103" s="60" t="s">
        <v>175</v>
      </c>
      <c r="K103" s="60">
        <f>IF(J103="syllables",1,IF(J103="trigrams",2,IF(J103="strings",3,IF(J103="visual array",4,IF(J103="characters",5,IF(J103="letters",6,IF(J103="free forms",7,IF(J103="odors",8,IF(J103="words",9,IF(J103="pictures",10,IF(J103="object pictures",11,IF(J103="faces",12,IF(J103="names",13,IF(J103="idioms",14,IF(J103="grades",15,IF(J103="syllable-digit pairs",16,IF(J103="trigram-word pairs",17,IF(J103="word-digit pairs",18,IF(J103="English-Swahili pairs",19,IF(J103="spatial position",20,IF(J103="word pairs",21,IF(J103="word triads",22,IF(J103="generated words",23,IF(J103="word definition pairs",24,IF(J103="math problems",25,IF(J103="famous faces",26,IF(J103="famous names",27,IF(J103="famous voices",28,IF(J103="television programs",29,IF(J103="race horses",30,IF(J103="new vocabulary",31,IF(J103="sentences",32,IF(J103="concepts",33,IF(J103="ad slides",34,IF(J103="scenes",35,IF(J103="famous scenes",36,IF(J103="poems",37,IF(J103="walk",38,IF(J103="faces and events",39,IF(J103="events and names",40,IF(J103="flashbulb",41,IF(J103="stories",42,IF(J103="course material",43,IF(J103="autobiographical",44,IF(J103="novels",45,IF(J103="public events",46,"99"))))))))))))))))))))))))))))))))))))))))))))))</f>
        <v>20</v>
      </c>
      <c r="L103" s="60">
        <f>IF(J103="syllables",1,IF(J103="trigrams",1,IF(J103="strings",1,IF(J103="visual array",1,IF(J103="characters",1,IF(J103="letters",1,IF(J103="free forms",1,IF(J103="odors",2,IF(J103="words",2,IF(J103="pictures",2,IF(J103="object pictures",2,IF(J103="faces",2,IF(J103="names",2,IF(J103="idioms","2",IF(J103="grades",2,IF(J103="syllable-digit pairs",3,IF(J103="trigram-word pairs",3,IF(J103="word-digit pairs",3,IF(J103="English-Swahili pairs",3,IF(J103="spatial position",3,IF(J103="word pairs",4,IF(J103="word triads",4,IF(J103="generated words",4,IF(J103="word definition pairs",4,IF(J103="math problems",4,IF(J103="famous faces",4,IF(J103="famous names",4,IF(J103="famous voices",4,IF(J103="television programs",4,IF(J103="race horses",4,IF(J103="new vocabulary",4,IF(J103="sentences",5,IF(J103="concepts",5,IF(J103="ad slides",5,IF(J103="scenes",5,IF(J103="famous scenes",5,IF(J103="poems",6,IF(J103="walk",6,IF(J103="faces and events",6,IF(J103="events and names",6,IF(J103="flashbulb",7,IF(J103="stories",7,IF(J103="course material",7,IF(J103="autobiographical",7,IF(J103="novels",7,IF(J103="public events",7,"99"))))))))))))))))))))))))))))))))))))))))))))))</f>
        <v>3</v>
      </c>
      <c r="M103" s="60">
        <v>0</v>
      </c>
      <c r="N103" s="60">
        <v>1</v>
      </c>
      <c r="O103" s="60">
        <v>0</v>
      </c>
      <c r="P103" s="60"/>
      <c r="Q103" s="60" t="s">
        <v>174</v>
      </c>
      <c r="R103" s="60">
        <f>IF(Q103="Free Recall",1,IF(Q103="Cued Recall",2,IF(Q103="Recognition",3,IF(Q103="Multiple Choice",4,IF(Q103="Savings",5,IF(Q103="Stem Completion",6,IF(Q103="Fragment Completion",7,IF(Q103="anagram solution",8,IF(Q103="Matching",9,IF(Q103="Problem Solving",10,"99"))))))))))</f>
        <v>1</v>
      </c>
      <c r="S103" s="60" t="s">
        <v>49</v>
      </c>
      <c r="T103" s="60" t="s">
        <v>261</v>
      </c>
      <c r="U103" s="60">
        <f>IF(T103="within",1,0)</f>
        <v>0</v>
      </c>
      <c r="V103" s="60">
        <v>1</v>
      </c>
      <c r="W103" s="60">
        <f>F103*V103</f>
        <v>118</v>
      </c>
      <c r="X103" s="60">
        <v>3</v>
      </c>
      <c r="Y103" s="76">
        <f>AV102</f>
        <v>15992640</v>
      </c>
      <c r="Z103" s="60" t="s">
        <v>235</v>
      </c>
      <c r="AA103" s="60">
        <f>30*24*60*60*30.87</f>
        <v>80015040</v>
      </c>
      <c r="AB103" s="60" t="str">
        <f>IF(AA103&lt;60,"1",IF(AA103&lt;=43200,"2",IF(AA103&lt;=777600,"3","4")))</f>
        <v>4</v>
      </c>
      <c r="AC103" s="56">
        <f>AVERAGE(AV102:DA102)</f>
        <v>48107520</v>
      </c>
      <c r="AD103" s="60" t="str">
        <f>IF(AC103&lt;60,"1",IF(AC103&lt;=43200,"2",IF(AC103&lt;=777600,"3","4")))</f>
        <v>4</v>
      </c>
      <c r="AE103" s="76">
        <f>AA103-Y103</f>
        <v>64022400</v>
      </c>
      <c r="AF103" s="80">
        <f>AV103</f>
        <v>0.28000000000000003</v>
      </c>
      <c r="AG103" s="56">
        <f>((AW103-AV103)+(AX103-AW103))/2</f>
        <v>-7.5000000000000011E-2</v>
      </c>
      <c r="AH103" s="4"/>
      <c r="AI103" s="56">
        <f>RSQ(AV103:AX103,AV102:AX102)</f>
        <v>0.88936231181471848</v>
      </c>
      <c r="AJ103" s="109">
        <f>SLOPE(AV103:AX103,AV102:AX102)</f>
        <v>-2.3383033240121122E-9</v>
      </c>
      <c r="AK103" s="56">
        <f>INTERCEPT(AV103:AX103,AV102:AX102)</f>
        <v>0.33248997392597918</v>
      </c>
      <c r="AL103" s="56">
        <f>INDEX(LINEST(LN(AV103:AX103),LN(AV102:AX102),TRUE,TRUE),3,1)</f>
        <v>0.68242917049548635</v>
      </c>
      <c r="AM103" s="56">
        <f>INDEX(LINEST(LN(AV103:AX103),LN(AV102:AX102)),1)</f>
        <v>-0.41544136809419413</v>
      </c>
      <c r="AN103" s="56">
        <f>EXP(INDEX(LINEST(LN(AV103:AX103),LN(AV102:AX102)),1,2))</f>
        <v>299.09727213520097</v>
      </c>
      <c r="AO103" s="82">
        <f>INDEX(LINEST((AV103:AX103),LN(AV102:AX102),TRUE,TRUE),3,1)</f>
        <v>0.73054899561479847</v>
      </c>
      <c r="AP103" s="82">
        <f>INDEX(LINEST((AV103:AX103),LN(AV102:AX102)),1)</f>
        <v>-8.2378430935811861E-2</v>
      </c>
      <c r="AQ103" s="83">
        <f>INDEX(LINEST(LN(AV103:AX103),SQRT(AV102:AX102),TRUE,TRUE),3,1)</f>
        <v>0.77211206981386749</v>
      </c>
      <c r="AR103" s="116">
        <f>INDEX(LINEST(LN(AV103:AX103),SQRT((AV102:AX102))),1)</f>
        <v>-1.4624438518726622E-4</v>
      </c>
      <c r="AS103" s="84">
        <f>INDEX(LINEST(1/(AV103:AX103),1/(SQRT(AV102:AX102)),TRUE,TRUE),3,1)</f>
        <v>0.55626079400348061</v>
      </c>
      <c r="AT103" s="84">
        <f>INDEX(LINEST(1/(AV103:AX103),1/SQRT(AV102:AX102)),1)</f>
        <v>-23349.859101473561</v>
      </c>
      <c r="AU103" s="3"/>
      <c r="AV103" s="53">
        <v>0.28000000000000003</v>
      </c>
      <c r="AW103" s="53">
        <v>0.25</v>
      </c>
      <c r="AX103" s="53">
        <v>0.13</v>
      </c>
      <c r="AY103" s="53"/>
      <c r="AZ103" s="53"/>
      <c r="BA103" s="53"/>
      <c r="BB103" s="53"/>
      <c r="BC103" s="53"/>
      <c r="BD103" s="53"/>
      <c r="BE103" s="53"/>
      <c r="BF103" s="53"/>
      <c r="BG103" s="53"/>
      <c r="BH103" s="53"/>
      <c r="BI103" s="53"/>
      <c r="BJ103" s="53"/>
      <c r="BK103" s="53"/>
      <c r="BL103" s="53"/>
      <c r="BM103" s="53"/>
      <c r="BN103" s="53"/>
      <c r="BO103" s="53"/>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53"/>
      <c r="CR103" s="1"/>
      <c r="CS103" s="1"/>
      <c r="CT103" s="1"/>
      <c r="CU103" s="1"/>
    </row>
    <row r="104" spans="1:99" s="13" customFormat="1" ht="12" customHeight="1" x14ac:dyDescent="0.2">
      <c r="A104" s="65">
        <v>43509</v>
      </c>
      <c r="B104" s="1"/>
      <c r="C104" s="1"/>
      <c r="D104" s="60"/>
      <c r="E104" s="76"/>
      <c r="F104" s="60"/>
      <c r="G104" s="60"/>
      <c r="H104" s="60"/>
      <c r="I104" s="60"/>
      <c r="J104" s="60"/>
      <c r="K104" s="64"/>
      <c r="L104" s="64"/>
      <c r="M104" s="60"/>
      <c r="N104" s="60"/>
      <c r="O104" s="60"/>
      <c r="P104" s="60"/>
      <c r="Q104" s="59"/>
      <c r="R104" s="60"/>
      <c r="S104" s="60"/>
      <c r="T104" s="60"/>
      <c r="U104" s="60"/>
      <c r="V104" s="60"/>
      <c r="W104" s="60"/>
      <c r="X104" s="60"/>
      <c r="Y104" s="76"/>
      <c r="Z104" s="60"/>
      <c r="AA104" s="60"/>
      <c r="AB104" s="60"/>
      <c r="AC104" s="60"/>
      <c r="AD104" s="60"/>
      <c r="AE104" s="60"/>
      <c r="AF104" s="80"/>
      <c r="AG104" s="56"/>
      <c r="AH104" s="4"/>
      <c r="AI104" s="56"/>
      <c r="AJ104" s="109"/>
      <c r="AK104" s="56"/>
      <c r="AL104" s="56"/>
      <c r="AM104" s="56"/>
      <c r="AN104" s="56"/>
      <c r="AO104" s="56"/>
      <c r="AP104" s="56"/>
      <c r="AQ104" s="56"/>
      <c r="AR104" s="109"/>
      <c r="AS104" s="56"/>
      <c r="AT104" s="56"/>
      <c r="AU104" s="3"/>
      <c r="AV104" s="25">
        <f>30*24*60*60*6.17</f>
        <v>15992640</v>
      </c>
      <c r="AW104" s="25">
        <f>30*24*60*60*18.64</f>
        <v>48314880</v>
      </c>
      <c r="AX104" s="25">
        <f>30*24*60*60*30.87</f>
        <v>80015040</v>
      </c>
      <c r="AY104" s="53"/>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53"/>
      <c r="CR104" s="1"/>
      <c r="CS104" s="1"/>
      <c r="CT104" s="1"/>
      <c r="CU104" s="1"/>
    </row>
    <row r="105" spans="1:99" s="13" customFormat="1" ht="12" customHeight="1" x14ac:dyDescent="0.2">
      <c r="A105" s="65">
        <v>43509</v>
      </c>
      <c r="B105" s="1" t="s">
        <v>240</v>
      </c>
      <c r="C105" s="1" t="s">
        <v>70</v>
      </c>
      <c r="D105" s="60">
        <v>2017</v>
      </c>
      <c r="E105" s="76">
        <v>1</v>
      </c>
      <c r="F105" s="60">
        <v>118</v>
      </c>
      <c r="G105" s="60">
        <v>39.299999999999997</v>
      </c>
      <c r="H105" s="60" t="s">
        <v>398</v>
      </c>
      <c r="I105" s="60" t="s">
        <v>628</v>
      </c>
      <c r="J105" s="60" t="s">
        <v>175</v>
      </c>
      <c r="K105" s="60">
        <f>IF(J105="syllables",1,IF(J105="trigrams",2,IF(J105="strings",3,IF(J105="visual array",4,IF(J105="characters",5,IF(J105="letters",6,IF(J105="free forms",7,IF(J105="odors",8,IF(J105="words",9,IF(J105="pictures",10,IF(J105="object pictures",11,IF(J105="faces",12,IF(J105="names",13,IF(J105="idioms",14,IF(J105="grades",15,IF(J105="syllable-digit pairs",16,IF(J105="trigram-word pairs",17,IF(J105="word-digit pairs",18,IF(J105="English-Swahili pairs",19,IF(J105="spatial position",20,IF(J105="word pairs",21,IF(J105="word triads",22,IF(J105="generated words",23,IF(J105="word definition pairs",24,IF(J105="math problems",25,IF(J105="famous faces",26,IF(J105="famous names",27,IF(J105="famous voices",28,IF(J105="television programs",29,IF(J105="race horses",30,IF(J105="new vocabulary",31,IF(J105="sentences",32,IF(J105="concepts",33,IF(J105="ad slides",34,IF(J105="scenes",35,IF(J105="famous scenes",36,IF(J105="poems",37,IF(J105="walk",38,IF(J105="faces and events",39,IF(J105="events and names",40,IF(J105="flashbulb",41,IF(J105="stories",42,IF(J105="course material",43,IF(J105="autobiographical",44,IF(J105="novels",45,IF(J105="public events",46,"99"))))))))))))))))))))))))))))))))))))))))))))))</f>
        <v>20</v>
      </c>
      <c r="L105" s="60">
        <f>IF(J105="syllables",1,IF(J105="trigrams",1,IF(J105="strings",1,IF(J105="visual array",1,IF(J105="characters",1,IF(J105="letters",1,IF(J105="free forms",1,IF(J105="odors",2,IF(J105="words",2,IF(J105="pictures",2,IF(J105="object pictures",2,IF(J105="faces",2,IF(J105="names",2,IF(J105="idioms","2",IF(J105="grades",2,IF(J105="syllable-digit pairs",3,IF(J105="trigram-word pairs",3,IF(J105="word-digit pairs",3,IF(J105="English-Swahili pairs",3,IF(J105="spatial position",3,IF(J105="word pairs",4,IF(J105="word triads",4,IF(J105="generated words",4,IF(J105="word definition pairs",4,IF(J105="math problems",4,IF(J105="famous faces",4,IF(J105="famous names",4,IF(J105="famous voices",4,IF(J105="television programs",4,IF(J105="race horses",4,IF(J105="new vocabulary",4,IF(J105="sentences",5,IF(J105="concepts",5,IF(J105="ad slides",5,IF(J105="scenes",5,IF(J105="famous scenes",5,IF(J105="poems",6,IF(J105="walk",6,IF(J105="faces and events",6,IF(J105="events and names",6,IF(J105="flashbulb",7,IF(J105="stories",7,IF(J105="course material",7,IF(J105="autobiographical",7,IF(J105="novels",7,IF(J105="public events",7,"99"))))))))))))))))))))))))))))))))))))))))))))))</f>
        <v>3</v>
      </c>
      <c r="M105" s="60">
        <v>0</v>
      </c>
      <c r="N105" s="60">
        <v>1</v>
      </c>
      <c r="O105" s="60">
        <v>0</v>
      </c>
      <c r="P105" s="60"/>
      <c r="Q105" s="60" t="s">
        <v>174</v>
      </c>
      <c r="R105" s="60">
        <f>IF(Q105="Free Recall",1,IF(Q105="Cued Recall",2,IF(Q105="Recognition",3,IF(Q105="Multiple Choice",4,IF(Q105="Savings",5,IF(Q105="Stem Completion",6,IF(Q105="Fragment Completion",7,IF(Q105="anagram solution",8,IF(Q105="Matching",9,IF(Q105="Problem Solving",10,"99"))))))))))</f>
        <v>1</v>
      </c>
      <c r="S105" s="60" t="s">
        <v>49</v>
      </c>
      <c r="T105" s="60" t="s">
        <v>261</v>
      </c>
      <c r="U105" s="60">
        <f>IF(T105="within",1,0)</f>
        <v>0</v>
      </c>
      <c r="V105" s="60">
        <v>1</v>
      </c>
      <c r="W105" s="60">
        <f>F105*V105</f>
        <v>118</v>
      </c>
      <c r="X105" s="60">
        <v>3</v>
      </c>
      <c r="Y105" s="76">
        <f>AV104</f>
        <v>15992640</v>
      </c>
      <c r="Z105" s="60" t="s">
        <v>235</v>
      </c>
      <c r="AA105" s="60">
        <f>30*24*60*60*30.87</f>
        <v>80015040</v>
      </c>
      <c r="AB105" s="60" t="str">
        <f>IF(AA105&lt;60,"1",IF(AA105&lt;=43200,"2",IF(AA105&lt;=777600,"3","4")))</f>
        <v>4</v>
      </c>
      <c r="AC105" s="56">
        <f>AVERAGE(AV104:DA104)</f>
        <v>48107520</v>
      </c>
      <c r="AD105" s="60" t="str">
        <f>IF(AC105&lt;60,"1",IF(AC105&lt;=43200,"2",IF(AC105&lt;=777600,"3","4")))</f>
        <v>4</v>
      </c>
      <c r="AE105" s="76">
        <f>AA105-Y105</f>
        <v>64022400</v>
      </c>
      <c r="AF105" s="80">
        <f>AV105</f>
        <v>0.8</v>
      </c>
      <c r="AG105" s="56">
        <f>((AW105-AV105)+(AX105-AW105))/2</f>
        <v>-0.11000000000000004</v>
      </c>
      <c r="AH105" s="4"/>
      <c r="AI105" s="56">
        <f>RSQ(AV105:AX105,AV104:AX104)</f>
        <v>0.81321463835069563</v>
      </c>
      <c r="AJ105" s="109">
        <f>SLOPE(AV105:AX105,AV104:AX104)</f>
        <v>-3.4270833184098772E-9</v>
      </c>
      <c r="AK105" s="56">
        <f>INTERCEPT(AV105:AX105,AV104:AX104)</f>
        <v>0.88486847928206958</v>
      </c>
      <c r="AL105" s="56">
        <f>INDEX(LINEST(LN(AV105:AX105),LN(AV104:AX104),TRUE,TRUE),3,1)</f>
        <v>0.61918780861546241</v>
      </c>
      <c r="AM105" s="56">
        <f>INDEX(LINEST(LN(AV105:AX105),LN(AV104:AX104)),1)</f>
        <v>-0.17084918671938898</v>
      </c>
      <c r="AN105" s="56">
        <f>EXP(INDEX(LINEST(LN(AV105:AX105),LN(AV104:AX104)),1,2))</f>
        <v>14.152135152307093</v>
      </c>
      <c r="AO105" s="82">
        <f>INDEX(LINEST((AV105:AX105),LN(AV104:AX104),TRUE,TRUE),3,1)</f>
        <v>0.63026236638857636</v>
      </c>
      <c r="AP105" s="82">
        <f>INDEX(LINEST((AV105:AX105),LN(AV104:AX104)),1)</f>
        <v>-0.11727626131483378</v>
      </c>
      <c r="AQ105" s="83">
        <f>INDEX(LINEST(LN(AV105:AX105),SQRT(AV104:AX104),TRUE,TRUE),3,1)</f>
        <v>0.71417965444653342</v>
      </c>
      <c r="AR105" s="116">
        <f>INDEX(LINEST(LN(AV105:AX105),SQRT((AV104:AX104))),1)</f>
        <v>-6.0724442472593724E-5</v>
      </c>
      <c r="AS105" s="84">
        <f>INDEX(LINEST(1/(AV105:AX105),1/(SQRT(AV104:AX104)),TRUE,TRUE),3,1)</f>
        <v>0.52216669361393164</v>
      </c>
      <c r="AT105" s="84">
        <f>INDEX(LINEST(1/(AV105:AX105),1/SQRT(AV104:AX104)),1)</f>
        <v>-2645.8659292436178</v>
      </c>
      <c r="AU105" s="3"/>
      <c r="AV105" s="53">
        <v>0.8</v>
      </c>
      <c r="AW105" s="53">
        <v>0.78</v>
      </c>
      <c r="AX105" s="53">
        <v>0.57999999999999996</v>
      </c>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1"/>
      <c r="CS105" s="1"/>
      <c r="CT105" s="1"/>
      <c r="CU105" s="1"/>
    </row>
    <row r="106" spans="1:99" s="13" customFormat="1" ht="12" customHeight="1" x14ac:dyDescent="0.2">
      <c r="A106" s="65">
        <v>43509</v>
      </c>
      <c r="B106" s="1"/>
      <c r="C106" s="1"/>
      <c r="D106" s="60"/>
      <c r="E106" s="76"/>
      <c r="F106" s="60"/>
      <c r="G106" s="60"/>
      <c r="H106" s="60"/>
      <c r="I106" s="60"/>
      <c r="J106" s="60"/>
      <c r="K106" s="64"/>
      <c r="L106" s="64"/>
      <c r="M106" s="60"/>
      <c r="N106" s="60"/>
      <c r="O106" s="60"/>
      <c r="P106" s="60"/>
      <c r="Q106" s="59"/>
      <c r="R106" s="60"/>
      <c r="S106" s="60"/>
      <c r="T106" s="60"/>
      <c r="U106" s="60"/>
      <c r="V106" s="60"/>
      <c r="W106" s="60"/>
      <c r="X106" s="60"/>
      <c r="Y106" s="76"/>
      <c r="Z106" s="60"/>
      <c r="AA106" s="60"/>
      <c r="AB106" s="60"/>
      <c r="AC106" s="60"/>
      <c r="AD106" s="60"/>
      <c r="AE106" s="60"/>
      <c r="AF106" s="80"/>
      <c r="AG106" s="56"/>
      <c r="AH106" s="4"/>
      <c r="AI106" s="56"/>
      <c r="AJ106" s="109"/>
      <c r="AK106" s="56"/>
      <c r="AL106" s="56"/>
      <c r="AM106" s="56"/>
      <c r="AN106" s="56"/>
      <c r="AO106" s="56"/>
      <c r="AP106" s="56"/>
      <c r="AQ106" s="56"/>
      <c r="AR106" s="109"/>
      <c r="AS106" s="56"/>
      <c r="AT106" s="56"/>
      <c r="AU106" s="4"/>
      <c r="AV106" s="25">
        <f>30*24*60*60*6.17</f>
        <v>15992640</v>
      </c>
      <c r="AW106" s="25">
        <f>30*24*60*60*18.64</f>
        <v>48314880</v>
      </c>
      <c r="AX106" s="25">
        <f>30*24*60*60*30.87</f>
        <v>80015040</v>
      </c>
      <c r="AY106" s="53"/>
      <c r="AZ106" s="53"/>
      <c r="BA106" s="53"/>
      <c r="BB106" s="53"/>
      <c r="BC106" s="53"/>
      <c r="BD106" s="53"/>
      <c r="BE106" s="53"/>
      <c r="BF106" s="53"/>
      <c r="BG106" s="53"/>
      <c r="BH106" s="53"/>
      <c r="BI106" s="53"/>
      <c r="BJ106" s="53"/>
      <c r="BK106" s="53"/>
      <c r="BL106" s="53"/>
      <c r="BM106" s="53"/>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1"/>
      <c r="CS106" s="1"/>
      <c r="CT106" s="1"/>
      <c r="CU106" s="1"/>
    </row>
    <row r="107" spans="1:99" s="13" customFormat="1" ht="12" customHeight="1" x14ac:dyDescent="0.2">
      <c r="A107" s="65">
        <v>43509</v>
      </c>
      <c r="B107" s="1" t="s">
        <v>240</v>
      </c>
      <c r="C107" s="1" t="s">
        <v>70</v>
      </c>
      <c r="D107" s="60">
        <v>2017</v>
      </c>
      <c r="E107" s="76">
        <v>1</v>
      </c>
      <c r="F107" s="60">
        <v>118</v>
      </c>
      <c r="G107" s="60">
        <v>39.299999999999997</v>
      </c>
      <c r="H107" s="60" t="s">
        <v>398</v>
      </c>
      <c r="I107" s="60" t="s">
        <v>629</v>
      </c>
      <c r="J107" s="60" t="s">
        <v>175</v>
      </c>
      <c r="K107" s="60">
        <f>IF(J107="syllables",1,IF(J107="trigrams",2,IF(J107="strings",3,IF(J107="visual array",4,IF(J107="characters",5,IF(J107="letters",6,IF(J107="free forms",7,IF(J107="odors",8,IF(J107="words",9,IF(J107="pictures",10,IF(J107="object pictures",11,IF(J107="faces",12,IF(J107="names",13,IF(J107="idioms",14,IF(J107="grades",15,IF(J107="syllable-digit pairs",16,IF(J107="trigram-word pairs",17,IF(J107="word-digit pairs",18,IF(J107="English-Swahili pairs",19,IF(J107="spatial position",20,IF(J107="word pairs",21,IF(J107="word triads",22,IF(J107="generated words",23,IF(J107="word definition pairs",24,IF(J107="math problems",25,IF(J107="famous faces",26,IF(J107="famous names",27,IF(J107="famous voices",28,IF(J107="television programs",29,IF(J107="race horses",30,IF(J107="new vocabulary",31,IF(J107="sentences",32,IF(J107="concepts",33,IF(J107="ad slides",34,IF(J107="scenes",35,IF(J107="famous scenes",36,IF(J107="poems",37,IF(J107="walk",38,IF(J107="faces and events",39,IF(J107="events and names",40,IF(J107="flashbulb",41,IF(J107="stories",42,IF(J107="course material",43,IF(J107="autobiographical",44,IF(J107="novels",45,IF(J107="public events",46,"99"))))))))))))))))))))))))))))))))))))))))))))))</f>
        <v>20</v>
      </c>
      <c r="L107" s="60">
        <f>IF(J107="syllables",1,IF(J107="trigrams",1,IF(J107="strings",1,IF(J107="visual array",1,IF(J107="characters",1,IF(J107="letters",1,IF(J107="free forms",1,IF(J107="odors",2,IF(J107="words",2,IF(J107="pictures",2,IF(J107="object pictures",2,IF(J107="faces",2,IF(J107="names",2,IF(J107="idioms","2",IF(J107="grades",2,IF(J107="syllable-digit pairs",3,IF(J107="trigram-word pairs",3,IF(J107="word-digit pairs",3,IF(J107="English-Swahili pairs",3,IF(J107="spatial position",3,IF(J107="word pairs",4,IF(J107="word triads",4,IF(J107="generated words",4,IF(J107="word definition pairs",4,IF(J107="math problems",4,IF(J107="famous faces",4,IF(J107="famous names",4,IF(J107="famous voices",4,IF(J107="television programs",4,IF(J107="race horses",4,IF(J107="new vocabulary",4,IF(J107="sentences",5,IF(J107="concepts",5,IF(J107="ad slides",5,IF(J107="scenes",5,IF(J107="famous scenes",5,IF(J107="poems",6,IF(J107="walk",6,IF(J107="faces and events",6,IF(J107="events and names",6,IF(J107="flashbulb",7,IF(J107="stories",7,IF(J107="course material",7,IF(J107="autobiographical",7,IF(J107="novels",7,IF(J107="public events",7,"99"))))))))))))))))))))))))))))))))))))))))))))))</f>
        <v>3</v>
      </c>
      <c r="M107" s="60">
        <v>0</v>
      </c>
      <c r="N107" s="60">
        <v>1</v>
      </c>
      <c r="O107" s="60">
        <v>0</v>
      </c>
      <c r="P107" s="60"/>
      <c r="Q107" s="60" t="s">
        <v>174</v>
      </c>
      <c r="R107" s="60">
        <f>IF(Q107="Free Recall",1,IF(Q107="Cued Recall",2,IF(Q107="Recognition",3,IF(Q107="Multiple Choice",4,IF(Q107="Savings",5,IF(Q107="Stem Completion",6,IF(Q107="Fragment Completion",7,IF(Q107="anagram solution",8,IF(Q107="Matching",9,IF(Q107="Problem Solving",10,"99"))))))))))</f>
        <v>1</v>
      </c>
      <c r="S107" s="60" t="s">
        <v>49</v>
      </c>
      <c r="T107" s="60" t="s">
        <v>261</v>
      </c>
      <c r="U107" s="60">
        <f>IF(T107="within",1,0)</f>
        <v>0</v>
      </c>
      <c r="V107" s="60">
        <v>1</v>
      </c>
      <c r="W107" s="60">
        <f>F107*V107</f>
        <v>118</v>
      </c>
      <c r="X107" s="60">
        <v>3</v>
      </c>
      <c r="Y107" s="76">
        <f>AV106</f>
        <v>15992640</v>
      </c>
      <c r="Z107" s="60" t="s">
        <v>235</v>
      </c>
      <c r="AA107" s="60">
        <f>30*24*60*60*30.87</f>
        <v>80015040</v>
      </c>
      <c r="AB107" s="60" t="str">
        <f>IF(AA107&lt;60,"1",IF(AA107&lt;=43200,"2",IF(AA107&lt;=777600,"3","4")))</f>
        <v>4</v>
      </c>
      <c r="AC107" s="56">
        <f>AVERAGE(AV106:DA106)</f>
        <v>48107520</v>
      </c>
      <c r="AD107" s="60" t="str">
        <f>IF(AC107&lt;60,"1",IF(AC107&lt;=43200,"2",IF(AC107&lt;=777600,"3","4")))</f>
        <v>4</v>
      </c>
      <c r="AE107" s="76">
        <f>AA107-Y107</f>
        <v>64022400</v>
      </c>
      <c r="AF107" s="80">
        <f>AV107</f>
        <v>0.83</v>
      </c>
      <c r="AG107" s="56">
        <f>((AW107-AV107)+(AX107-AW107))/2</f>
        <v>-0.10999999999999999</v>
      </c>
      <c r="AH107" s="4"/>
      <c r="AI107" s="56">
        <f>RSQ(AV107:AX107,AV106:AX106)</f>
        <v>0.99663420188450802</v>
      </c>
      <c r="AJ107" s="109">
        <f>SLOPE(AV107:AX107,AV106:AX106)</f>
        <v>-3.4351773966583902E-9</v>
      </c>
      <c r="AK107" s="56">
        <f>INTERCEPT(AV107:AX107,AV106:AX106)</f>
        <v>0.88859119864662472</v>
      </c>
      <c r="AL107" s="56">
        <f>INDEX(LINEST(LN(AV107:AX107),LN(AV106:AX106),TRUE,TRUE),3,1)</f>
        <v>0.90809260549487725</v>
      </c>
      <c r="AM107" s="56">
        <f>INDEX(LINEST(LN(AV107:AX107),LN(AV106:AX106)),1)</f>
        <v>-0.17899844858944491</v>
      </c>
      <c r="AN107" s="56">
        <f>EXP(INDEX(LINEST(LN(AV107:AX107),LN(AV106:AX106)),1,2))</f>
        <v>16.435078409070034</v>
      </c>
      <c r="AO107" s="82">
        <f>INDEX(LINEST((AV107:AX107),LN(AV106:AX106),TRUE,TRUE),3,1)</f>
        <v>0.93153129432697057</v>
      </c>
      <c r="AP107" s="82">
        <f>INDEX(LINEST((AV107:AX107),LN(AV106:AX106)),1)</f>
        <v>-0.12909438595157921</v>
      </c>
      <c r="AQ107" s="83">
        <f>INDEX(LINEST(LN(AV107:AX107),SQRT(AV106:AX106),TRUE,TRUE),3,1)</f>
        <v>0.95775239858474248</v>
      </c>
      <c r="AR107" s="116">
        <f>INDEX(LINEST(LN(AV107:AX107),SQRT((AV106:AX106))),1)</f>
        <v>-6.0837155948298959E-5</v>
      </c>
      <c r="AS107" s="84">
        <f>INDEX(LINEST(1/(AV107:AX107),1/(SQRT(AV106:AX106)),TRUE,TRUE),3,1)</f>
        <v>0.82009396037742532</v>
      </c>
      <c r="AT107" s="84">
        <f>INDEX(LINEST(1/(AV107:AX107),1/SQRT(AV106:AX106)),1)</f>
        <v>-2744.8231652032377</v>
      </c>
      <c r="AU107" s="3"/>
      <c r="AV107" s="53">
        <v>0.83</v>
      </c>
      <c r="AW107" s="53">
        <v>0.73</v>
      </c>
      <c r="AX107" s="53">
        <v>0.61</v>
      </c>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c r="CA107" s="53"/>
      <c r="CB107" s="53"/>
      <c r="CC107" s="53"/>
      <c r="CD107" s="53"/>
      <c r="CE107" s="53"/>
      <c r="CF107" s="53"/>
      <c r="CG107" s="53"/>
      <c r="CH107" s="53"/>
      <c r="CI107" s="53"/>
      <c r="CJ107" s="53"/>
      <c r="CK107" s="53"/>
      <c r="CL107" s="53"/>
      <c r="CM107" s="53"/>
      <c r="CN107" s="53"/>
      <c r="CO107" s="53"/>
      <c r="CP107" s="53"/>
      <c r="CQ107" s="53"/>
      <c r="CR107" s="1"/>
      <c r="CS107" s="1"/>
      <c r="CT107" s="1"/>
      <c r="CU107" s="1"/>
    </row>
    <row r="108" spans="1:99" s="13" customFormat="1" ht="12" customHeight="1" x14ac:dyDescent="0.2">
      <c r="A108" s="65">
        <v>43509</v>
      </c>
      <c r="B108" s="1"/>
      <c r="C108" s="1"/>
      <c r="D108" s="60"/>
      <c r="E108" s="76"/>
      <c r="F108" s="60"/>
      <c r="G108" s="60"/>
      <c r="H108" s="60"/>
      <c r="I108" s="60"/>
      <c r="J108" s="60"/>
      <c r="K108" s="64"/>
      <c r="L108" s="64"/>
      <c r="M108" s="60"/>
      <c r="N108" s="60"/>
      <c r="O108" s="60"/>
      <c r="P108" s="60"/>
      <c r="Q108" s="59"/>
      <c r="R108" s="60"/>
      <c r="S108" s="60"/>
      <c r="T108" s="60"/>
      <c r="U108" s="60"/>
      <c r="V108" s="60"/>
      <c r="W108" s="60"/>
      <c r="X108" s="60"/>
      <c r="Y108" s="76"/>
      <c r="Z108" s="60"/>
      <c r="AA108" s="60"/>
      <c r="AB108" s="60"/>
      <c r="AC108" s="60"/>
      <c r="AD108" s="60"/>
      <c r="AE108" s="60"/>
      <c r="AF108" s="80"/>
      <c r="AG108" s="56"/>
      <c r="AH108" s="4"/>
      <c r="AI108" s="56"/>
      <c r="AJ108" s="109"/>
      <c r="AK108" s="56"/>
      <c r="AL108" s="56"/>
      <c r="AM108" s="56"/>
      <c r="AN108" s="56"/>
      <c r="AO108" s="56"/>
      <c r="AP108" s="56"/>
      <c r="AQ108" s="56"/>
      <c r="AR108" s="109"/>
      <c r="AS108" s="56"/>
      <c r="AT108" s="56"/>
      <c r="AU108" s="4"/>
      <c r="AV108" s="25">
        <f>2*24*60*60</f>
        <v>172800</v>
      </c>
      <c r="AW108" s="25">
        <f>30*24*60*60*2.33</f>
        <v>6039360</v>
      </c>
      <c r="AX108" s="25">
        <f>30*24*60*60*6.17</f>
        <v>15992640</v>
      </c>
      <c r="AY108" s="53"/>
      <c r="AZ108" s="53"/>
      <c r="BA108" s="53"/>
      <c r="BB108" s="53"/>
      <c r="BC108" s="53"/>
      <c r="BD108" s="53"/>
      <c r="BE108" s="53"/>
      <c r="BF108" s="53"/>
      <c r="BG108" s="53"/>
      <c r="BH108" s="53"/>
      <c r="BI108" s="53"/>
      <c r="BJ108" s="53"/>
      <c r="BK108" s="53"/>
      <c r="BL108" s="53"/>
      <c r="BM108" s="53"/>
      <c r="BN108" s="53"/>
      <c r="BO108" s="53"/>
      <c r="BP108" s="53"/>
      <c r="BQ108" s="53"/>
      <c r="BR108" s="53"/>
      <c r="BS108" s="53"/>
      <c r="BT108" s="53"/>
      <c r="BU108" s="53"/>
      <c r="BV108" s="53"/>
      <c r="BW108" s="53"/>
      <c r="BX108" s="53"/>
      <c r="BY108" s="53"/>
      <c r="BZ108" s="53"/>
      <c r="CA108" s="53"/>
      <c r="CB108" s="53"/>
      <c r="CC108" s="53"/>
      <c r="CD108" s="53"/>
      <c r="CE108" s="53"/>
      <c r="CF108" s="53"/>
      <c r="CG108" s="53"/>
      <c r="CH108" s="53"/>
      <c r="CI108" s="53"/>
      <c r="CJ108" s="53"/>
      <c r="CK108" s="53"/>
      <c r="CL108" s="53"/>
      <c r="CM108" s="53"/>
      <c r="CN108" s="53"/>
      <c r="CO108" s="53"/>
      <c r="CP108" s="53"/>
      <c r="CQ108" s="53"/>
      <c r="CR108" s="1"/>
      <c r="CS108" s="1"/>
      <c r="CT108" s="1"/>
      <c r="CU108" s="1"/>
    </row>
    <row r="109" spans="1:99" s="13" customFormat="1" ht="12" customHeight="1" x14ac:dyDescent="0.2">
      <c r="A109" s="65">
        <v>43509</v>
      </c>
      <c r="B109" s="1" t="s">
        <v>240</v>
      </c>
      <c r="C109" s="1" t="s">
        <v>70</v>
      </c>
      <c r="D109" s="60">
        <v>2017</v>
      </c>
      <c r="E109" s="76">
        <v>2</v>
      </c>
      <c r="F109" s="60">
        <v>80</v>
      </c>
      <c r="G109" s="60">
        <v>26.7</v>
      </c>
      <c r="H109" s="60" t="s">
        <v>38</v>
      </c>
      <c r="I109" s="60" t="s">
        <v>625</v>
      </c>
      <c r="J109" s="60" t="s">
        <v>175</v>
      </c>
      <c r="K109" s="60">
        <f>IF(J109="syllables",1,IF(J109="trigrams",2,IF(J109="strings",3,IF(J109="visual array",4,IF(J109="characters",5,IF(J109="letters",6,IF(J109="free forms",7,IF(J109="odors",8,IF(J109="words",9,IF(J109="pictures",10,IF(J109="object pictures",11,IF(J109="faces",12,IF(J109="names",13,IF(J109="idioms",14,IF(J109="grades",15,IF(J109="syllable-digit pairs",16,IF(J109="trigram-word pairs",17,IF(J109="word-digit pairs",18,IF(J109="English-Swahili pairs",19,IF(J109="spatial position",20,IF(J109="word pairs",21,IF(J109="word triads",22,IF(J109="generated words",23,IF(J109="word definition pairs",24,IF(J109="math problems",25,IF(J109="famous faces",26,IF(J109="famous names",27,IF(J109="famous voices",28,IF(J109="television programs",29,IF(J109="race horses",30,IF(J109="new vocabulary",31,IF(J109="sentences",32,IF(J109="concepts",33,IF(J109="ad slides",34,IF(J109="scenes",35,IF(J109="famous scenes",36,IF(J109="poems",37,IF(J109="walk",38,IF(J109="faces and events",39,IF(J109="events and names",40,IF(J109="flashbulb",41,IF(J109="stories",42,IF(J109="course material",43,IF(J109="autobiographical",44,IF(J109="novels",45,IF(J109="public events",46,"99"))))))))))))))))))))))))))))))))))))))))))))))</f>
        <v>20</v>
      </c>
      <c r="L109" s="60">
        <f>IF(J109="syllables",1,IF(J109="trigrams",1,IF(J109="strings",1,IF(J109="visual array",1,IF(J109="characters",1,IF(J109="letters",1,IF(J109="free forms",1,IF(J109="odors",2,IF(J109="words",2,IF(J109="pictures",2,IF(J109="object pictures",2,IF(J109="faces",2,IF(J109="names",2,IF(J109="idioms","2",IF(J109="grades",2,IF(J109="syllable-digit pairs",3,IF(J109="trigram-word pairs",3,IF(J109="word-digit pairs",3,IF(J109="English-Swahili pairs",3,IF(J109="spatial position",3,IF(J109="word pairs",4,IF(J109="word triads",4,IF(J109="generated words",4,IF(J109="word definition pairs",4,IF(J109="math problems",4,IF(J109="famous faces",4,IF(J109="famous names",4,IF(J109="famous voices",4,IF(J109="television programs",4,IF(J109="race horses",4,IF(J109="new vocabulary",4,IF(J109="sentences",5,IF(J109="concepts",5,IF(J109="ad slides",5,IF(J109="scenes",5,IF(J109="famous scenes",5,IF(J109="poems",6,IF(J109="walk",6,IF(J109="faces and events",6,IF(J109="events and names",6,IF(J109="flashbulb",7,IF(J109="stories",7,IF(J109="course material",7,IF(J109="autobiographical",7,IF(J109="novels",7,IF(J109="public events",7,"99"))))))))))))))))))))))))))))))))))))))))))))))</f>
        <v>3</v>
      </c>
      <c r="M109" s="60">
        <v>0</v>
      </c>
      <c r="N109" s="60">
        <v>1</v>
      </c>
      <c r="O109" s="60">
        <v>0</v>
      </c>
      <c r="P109" s="60"/>
      <c r="Q109" s="60" t="s">
        <v>174</v>
      </c>
      <c r="R109" s="60">
        <f>IF(Q109="Free Recall",1,IF(Q109="Cued Recall",2,IF(Q109="Recognition",3,IF(Q109="Multiple Choice",4,IF(Q109="Savings",5,IF(Q109="Stem Completion",6,IF(Q109="Fragment Completion",7,IF(Q109="anagram solution",8,IF(Q109="Matching",9,IF(Q109="Problem Solving",10,"99"))))))))))</f>
        <v>1</v>
      </c>
      <c r="S109" s="60" t="s">
        <v>49</v>
      </c>
      <c r="T109" s="60" t="s">
        <v>261</v>
      </c>
      <c r="U109" s="60">
        <f>IF(T109="within",1,0)</f>
        <v>0</v>
      </c>
      <c r="V109" s="60">
        <v>1</v>
      </c>
      <c r="W109" s="60">
        <f>F109*V109</f>
        <v>80</v>
      </c>
      <c r="X109" s="60">
        <v>3</v>
      </c>
      <c r="Y109" s="76">
        <f>AV108</f>
        <v>172800</v>
      </c>
      <c r="Z109" s="60" t="s">
        <v>236</v>
      </c>
      <c r="AA109" s="60">
        <f>30*24*60*60*6.17</f>
        <v>15992640</v>
      </c>
      <c r="AB109" s="60" t="str">
        <f>IF(AA109&lt;60,"1",IF(AA109&lt;=43200,"2",IF(AA109&lt;=777600,"3","4")))</f>
        <v>4</v>
      </c>
      <c r="AC109" s="56">
        <f>AVERAGE(AV108:DA108)</f>
        <v>7401600</v>
      </c>
      <c r="AD109" s="60" t="str">
        <f>IF(AC109&lt;60,"1",IF(AC109&lt;=43200,"2",IF(AC109&lt;=777600,"3","4")))</f>
        <v>4</v>
      </c>
      <c r="AE109" s="76">
        <f>AA109-Y109</f>
        <v>15819840</v>
      </c>
      <c r="AF109" s="80">
        <f>AV109</f>
        <v>0.65</v>
      </c>
      <c r="AG109" s="56">
        <f>((AW109-AV109)+(AX109-AW109))/2</f>
        <v>7.5000000000000011E-2</v>
      </c>
      <c r="AH109" s="4"/>
      <c r="AI109" s="56">
        <f>RSQ(AV109:AX109,AV108:AX108)</f>
        <v>0.61276602863497753</v>
      </c>
      <c r="AJ109" s="109">
        <f>SLOPE(AV109:AX109,AV108:AX108)</f>
        <v>8.4767323571682366E-9</v>
      </c>
      <c r="AK109" s="56">
        <f>INTERCEPT(AV109:AX109,AV108:AX108)</f>
        <v>0.6872586177851836</v>
      </c>
      <c r="AL109" s="56">
        <f>INDEX(LINEST(LN(AV109:AX109),LN(AV108:AX108),TRUE,TRUE),3,1)</f>
        <v>0.95825843249056097</v>
      </c>
      <c r="AM109" s="56">
        <f>INDEX(LINEST(LN(AV109:AX109),LN(AV108:AX108)),1)</f>
        <v>4.9240375708646131E-2</v>
      </c>
      <c r="AN109" s="56">
        <f>EXP(INDEX(LINEST(LN(AV109:AX109),LN(AV108:AX108)),1,2))</f>
        <v>0.36101408348471747</v>
      </c>
      <c r="AO109" s="82">
        <f>INDEX(LINEST((AV109:AX109),LN(AV108:AX108),TRUE,TRUE),3,1)</f>
        <v>0.95825843249056086</v>
      </c>
      <c r="AP109" s="82">
        <f>INDEX(LINEST((AV109:AX109),LN(AV108:AX108)),1)</f>
        <v>3.5571561125632957E-2</v>
      </c>
      <c r="AQ109" s="83">
        <f>INDEX(LINEST(LN(AV109:AX109),SQRT(AV108:AX108),TRUE,TRUE),3,1)</f>
        <v>0.81612353739781118</v>
      </c>
      <c r="AR109" s="116">
        <f>INDEX(LINEST(LN(AV109:AX109),SQRT((AV108:AX108))),1)</f>
        <v>6.0250010242358157E-5</v>
      </c>
      <c r="AS109" s="84">
        <f>INDEX(LINEST(1/(AV109:AX109),1/(SQRT(AV108:AX108)),TRUE,TRUE),3,1)</f>
        <v>0.99574116081397246</v>
      </c>
      <c r="AT109" s="84">
        <f>INDEX(LINEST(1/(AV109:AX109),1/SQRT(AV108:AX108)),1)</f>
        <v>138.28297601224051</v>
      </c>
      <c r="AU109" s="3"/>
      <c r="AV109" s="53">
        <v>0.65</v>
      </c>
      <c r="AW109" s="53">
        <v>0.8</v>
      </c>
      <c r="AX109" s="53">
        <v>0.8</v>
      </c>
      <c r="AY109" s="53"/>
      <c r="AZ109" s="53"/>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c r="BY109" s="53"/>
      <c r="BZ109" s="53"/>
      <c r="CA109" s="53"/>
      <c r="CB109" s="53"/>
      <c r="CC109" s="53"/>
      <c r="CD109" s="53"/>
      <c r="CE109" s="53"/>
      <c r="CF109" s="53"/>
      <c r="CG109" s="53"/>
      <c r="CH109" s="53"/>
      <c r="CI109" s="53"/>
      <c r="CJ109" s="53"/>
      <c r="CK109" s="53"/>
      <c r="CL109" s="53"/>
      <c r="CM109" s="53"/>
      <c r="CN109" s="53"/>
      <c r="CO109" s="53"/>
      <c r="CP109" s="53"/>
      <c r="CQ109" s="53"/>
      <c r="CR109" s="1"/>
      <c r="CS109" s="1"/>
      <c r="CT109" s="1"/>
      <c r="CU109" s="1"/>
    </row>
    <row r="110" spans="1:99" s="13" customFormat="1" ht="12" customHeight="1" x14ac:dyDescent="0.2">
      <c r="A110" s="65">
        <v>43509</v>
      </c>
      <c r="B110" s="1"/>
      <c r="C110" s="1"/>
      <c r="D110" s="60"/>
      <c r="E110" s="76"/>
      <c r="F110" s="60"/>
      <c r="G110" s="60"/>
      <c r="H110" s="60"/>
      <c r="I110" s="60"/>
      <c r="J110" s="60"/>
      <c r="K110" s="64"/>
      <c r="L110" s="64"/>
      <c r="M110" s="60"/>
      <c r="N110" s="60"/>
      <c r="O110" s="60"/>
      <c r="P110" s="60"/>
      <c r="Q110" s="59"/>
      <c r="R110" s="60"/>
      <c r="S110" s="60"/>
      <c r="T110" s="60"/>
      <c r="U110" s="60"/>
      <c r="V110" s="60"/>
      <c r="W110" s="60"/>
      <c r="X110" s="60"/>
      <c r="Y110" s="76"/>
      <c r="Z110" s="60"/>
      <c r="AA110" s="60"/>
      <c r="AB110" s="60"/>
      <c r="AC110" s="60"/>
      <c r="AD110" s="60"/>
      <c r="AE110" s="60"/>
      <c r="AF110" s="80"/>
      <c r="AG110" s="56"/>
      <c r="AH110" s="4"/>
      <c r="AI110" s="56"/>
      <c r="AJ110" s="109"/>
      <c r="AK110" s="56"/>
      <c r="AL110" s="56"/>
      <c r="AM110" s="56"/>
      <c r="AN110" s="56"/>
      <c r="AO110" s="56"/>
      <c r="AP110" s="56"/>
      <c r="AQ110" s="56"/>
      <c r="AR110" s="109"/>
      <c r="AS110" s="56"/>
      <c r="AT110" s="56"/>
      <c r="AU110" s="4"/>
      <c r="AV110" s="25">
        <f>2*24*60*60</f>
        <v>172800</v>
      </c>
      <c r="AW110" s="25">
        <f>30*24*60*60*2.33</f>
        <v>6039360</v>
      </c>
      <c r="AX110" s="25">
        <f>30*24*60*60*6.17</f>
        <v>15992640</v>
      </c>
      <c r="AY110" s="53"/>
      <c r="AZ110" s="53"/>
      <c r="BA110" s="53"/>
      <c r="BB110" s="53"/>
      <c r="BC110" s="53"/>
      <c r="BD110" s="53"/>
      <c r="BE110" s="53"/>
      <c r="BF110" s="53"/>
      <c r="BG110" s="53"/>
      <c r="BH110" s="53"/>
      <c r="BI110" s="53"/>
      <c r="BJ110" s="53"/>
      <c r="BK110" s="53"/>
      <c r="BL110" s="53"/>
      <c r="BM110" s="53"/>
      <c r="BN110" s="53"/>
      <c r="BO110" s="53"/>
      <c r="BP110" s="53"/>
      <c r="BQ110" s="53"/>
      <c r="BR110" s="53"/>
      <c r="BS110" s="53"/>
      <c r="BT110" s="53"/>
      <c r="BU110" s="53"/>
      <c r="BV110" s="53"/>
      <c r="BW110" s="53"/>
      <c r="BX110" s="53"/>
      <c r="BY110" s="53"/>
      <c r="BZ110" s="53"/>
      <c r="CA110" s="53"/>
      <c r="CB110" s="53"/>
      <c r="CC110" s="53"/>
      <c r="CD110" s="53"/>
      <c r="CE110" s="53"/>
      <c r="CF110" s="53"/>
      <c r="CG110" s="53"/>
      <c r="CH110" s="53"/>
      <c r="CI110" s="53"/>
      <c r="CJ110" s="53"/>
      <c r="CK110" s="53"/>
      <c r="CL110" s="53"/>
      <c r="CM110" s="53"/>
      <c r="CN110" s="53"/>
      <c r="CO110" s="53"/>
      <c r="CP110" s="53"/>
      <c r="CQ110" s="53"/>
      <c r="CR110" s="1"/>
      <c r="CS110" s="1"/>
      <c r="CT110" s="1"/>
      <c r="CU110" s="1"/>
    </row>
    <row r="111" spans="1:99" s="13" customFormat="1" ht="12" customHeight="1" x14ac:dyDescent="0.2">
      <c r="A111" s="65">
        <v>43509</v>
      </c>
      <c r="B111" s="1" t="s">
        <v>240</v>
      </c>
      <c r="C111" s="1" t="s">
        <v>70</v>
      </c>
      <c r="D111" s="60">
        <v>2017</v>
      </c>
      <c r="E111" s="76">
        <v>2</v>
      </c>
      <c r="F111" s="60">
        <v>80</v>
      </c>
      <c r="G111" s="60">
        <v>26.7</v>
      </c>
      <c r="H111" s="60" t="s">
        <v>38</v>
      </c>
      <c r="I111" s="60" t="s">
        <v>626</v>
      </c>
      <c r="J111" s="60" t="s">
        <v>175</v>
      </c>
      <c r="K111" s="60">
        <f>IF(J111="syllables",1,IF(J111="trigrams",2,IF(J111="strings",3,IF(J111="visual array",4,IF(J111="characters",5,IF(J111="letters",6,IF(J111="free forms",7,IF(J111="odors",8,IF(J111="words",9,IF(J111="pictures",10,IF(J111="object pictures",11,IF(J111="faces",12,IF(J111="names",13,IF(J111="idioms",14,IF(J111="grades",15,IF(J111="syllable-digit pairs",16,IF(J111="trigram-word pairs",17,IF(J111="word-digit pairs",18,IF(J111="English-Swahili pairs",19,IF(J111="spatial position",20,IF(J111="word pairs",21,IF(J111="word triads",22,IF(J111="generated words",23,IF(J111="word definition pairs",24,IF(J111="math problems",25,IF(J111="famous faces",26,IF(J111="famous names",27,IF(J111="famous voices",28,IF(J111="television programs",29,IF(J111="race horses",30,IF(J111="new vocabulary",31,IF(J111="sentences",32,IF(J111="concepts",33,IF(J111="ad slides",34,IF(J111="scenes",35,IF(J111="famous scenes",36,IF(J111="poems",37,IF(J111="walk",38,IF(J111="faces and events",39,IF(J111="events and names",40,IF(J111="flashbulb",41,IF(J111="stories",42,IF(J111="course material",43,IF(J111="autobiographical",44,IF(J111="novels",45,IF(J111="public events",46,"99"))))))))))))))))))))))))))))))))))))))))))))))</f>
        <v>20</v>
      </c>
      <c r="L111" s="60">
        <f>IF(J111="syllables",1,IF(J111="trigrams",1,IF(J111="strings",1,IF(J111="visual array",1,IF(J111="characters",1,IF(J111="letters",1,IF(J111="free forms",1,IF(J111="odors",2,IF(J111="words",2,IF(J111="pictures",2,IF(J111="object pictures",2,IF(J111="faces",2,IF(J111="names",2,IF(J111="idioms","2",IF(J111="grades",2,IF(J111="syllable-digit pairs",3,IF(J111="trigram-word pairs",3,IF(J111="word-digit pairs",3,IF(J111="English-Swahili pairs",3,IF(J111="spatial position",3,IF(J111="word pairs",4,IF(J111="word triads",4,IF(J111="generated words",4,IF(J111="word definition pairs",4,IF(J111="math problems",4,IF(J111="famous faces",4,IF(J111="famous names",4,IF(J111="famous voices",4,IF(J111="television programs",4,IF(J111="race horses",4,IF(J111="new vocabulary",4,IF(J111="sentences",5,IF(J111="concepts",5,IF(J111="ad slides",5,IF(J111="scenes",5,IF(J111="famous scenes",5,IF(J111="poems",6,IF(J111="walk",6,IF(J111="faces and events",6,IF(J111="events and names",6,IF(J111="flashbulb",7,IF(J111="stories",7,IF(J111="course material",7,IF(J111="autobiographical",7,IF(J111="novels",7,IF(J111="public events",7,"99"))))))))))))))))))))))))))))))))))))))))))))))</f>
        <v>3</v>
      </c>
      <c r="M111" s="60">
        <v>0</v>
      </c>
      <c r="N111" s="60">
        <v>1</v>
      </c>
      <c r="O111" s="60">
        <v>0</v>
      </c>
      <c r="P111" s="60"/>
      <c r="Q111" s="60" t="s">
        <v>174</v>
      </c>
      <c r="R111" s="60">
        <f>IF(Q111="Free Recall",1,IF(Q111="Cued Recall",2,IF(Q111="Recognition",3,IF(Q111="Multiple Choice",4,IF(Q111="Savings",5,IF(Q111="Stem Completion",6,IF(Q111="Fragment Completion",7,IF(Q111="anagram solution",8,IF(Q111="Matching",9,IF(Q111="Problem Solving",10,"99"))))))))))</f>
        <v>1</v>
      </c>
      <c r="S111" s="60" t="s">
        <v>49</v>
      </c>
      <c r="T111" s="60" t="s">
        <v>261</v>
      </c>
      <c r="U111" s="60">
        <f>IF(T111="within",1,0)</f>
        <v>0</v>
      </c>
      <c r="V111" s="60">
        <v>1</v>
      </c>
      <c r="W111" s="60">
        <f>F111*V111</f>
        <v>80</v>
      </c>
      <c r="X111" s="60">
        <v>3</v>
      </c>
      <c r="Y111" s="76">
        <f>AV110</f>
        <v>172800</v>
      </c>
      <c r="Z111" s="60" t="s">
        <v>236</v>
      </c>
      <c r="AA111" s="60">
        <f>30*24*60*60*6.17</f>
        <v>15992640</v>
      </c>
      <c r="AB111" s="60" t="str">
        <f>IF(AA111&lt;60,"1",IF(AA111&lt;=43200,"2",IF(AA111&lt;=777600,"3","4")))</f>
        <v>4</v>
      </c>
      <c r="AC111" s="56">
        <f>AVERAGE(AV110:DA110)</f>
        <v>7401600</v>
      </c>
      <c r="AD111" s="60" t="str">
        <f>IF(AC111&lt;60,"1",IF(AC111&lt;=43200,"2",IF(AC111&lt;=777600,"3","4")))</f>
        <v>4</v>
      </c>
      <c r="AE111" s="76">
        <f>AA111-Y111</f>
        <v>15819840</v>
      </c>
      <c r="AF111" s="80">
        <f>AV111</f>
        <v>0.7</v>
      </c>
      <c r="AG111" s="56">
        <f>((AW111-AV111)+(AX111-AW111))/2</f>
        <v>-4.9999999999999989E-2</v>
      </c>
      <c r="AH111" s="4"/>
      <c r="AI111" s="56">
        <f>RSQ(AV111:AX111,AV110:AX110)</f>
        <v>0.86547343886228834</v>
      </c>
      <c r="AJ111" s="109">
        <f>SLOPE(AV111:AX111,AV110:AX110)</f>
        <v>-6.7160936577510856E-9</v>
      </c>
      <c r="AK111" s="56">
        <f>INTERCEPT(AV111:AX111,AV110:AX110)</f>
        <v>0.7163765054838771</v>
      </c>
      <c r="AL111" s="56">
        <f>INDEX(LINEST(LN(AV111:AX111),LN(AV110:AX110),TRUE,TRUE),3,1)</f>
        <v>0.4440741520489605</v>
      </c>
      <c r="AM111" s="56">
        <f>INDEX(LINEST(LN(AV111:AX111),LN(AV110:AX110)),1)</f>
        <v>-2.4885337409498599E-2</v>
      </c>
      <c r="AN111" s="56">
        <f>EXP(INDEX(LINEST(LN(AV111:AX111),LN(AV110:AX110)),1,2))</f>
        <v>0.95991961939633774</v>
      </c>
      <c r="AO111" s="82">
        <f>INDEX(LINEST((AV111:AX111),LN(AV110:AX110),TRUE,TRUE),3,1)</f>
        <v>0.44407415204896056</v>
      </c>
      <c r="AP111" s="82">
        <f>INDEX(LINEST((AV111:AX111),LN(AV110:AX110)),1)</f>
        <v>-1.6143514538752068E-2</v>
      </c>
      <c r="AQ111" s="83">
        <f>INDEX(LINEST(LN(AV111:AX111),SQRT(AV110:AX110),TRUE,TRUE),3,1)</f>
        <v>0.67742210845068385</v>
      </c>
      <c r="AR111" s="116">
        <f>INDEX(LINEST(LN(AV111:AX111),SQRT((AV110:AX110))),1)</f>
        <v>-4.0751594795036815E-5</v>
      </c>
      <c r="AS111" s="84">
        <f>INDEX(LINEST(1/(AV111:AX111),1/(SQRT(AV110:AX110)),TRUE,TRUE),3,1)</f>
        <v>0.30852557288480575</v>
      </c>
      <c r="AT111" s="84">
        <f>INDEX(LINEST(1/(AV111:AX111),1/SQRT(AV110:AX110)),1)</f>
        <v>-63.533658665369352</v>
      </c>
      <c r="AU111" s="3"/>
      <c r="AV111" s="53">
        <v>0.7</v>
      </c>
      <c r="AW111" s="53">
        <v>0.7</v>
      </c>
      <c r="AX111" s="53">
        <v>0.6</v>
      </c>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c r="BY111" s="53"/>
      <c r="BZ111" s="53"/>
      <c r="CA111" s="53"/>
      <c r="CB111" s="53"/>
      <c r="CC111" s="53"/>
      <c r="CD111" s="53"/>
      <c r="CE111" s="53"/>
      <c r="CF111" s="53"/>
      <c r="CG111" s="53"/>
      <c r="CH111" s="53"/>
      <c r="CI111" s="53"/>
      <c r="CJ111" s="53"/>
      <c r="CK111" s="53"/>
      <c r="CL111" s="53"/>
      <c r="CM111" s="53"/>
      <c r="CN111" s="53"/>
      <c r="CO111" s="53"/>
      <c r="CP111" s="53"/>
      <c r="CQ111" s="53"/>
      <c r="CR111" s="1"/>
      <c r="CS111" s="1"/>
      <c r="CT111" s="1"/>
      <c r="CU111" s="1"/>
    </row>
    <row r="112" spans="1:99" s="13" customFormat="1" ht="12" customHeight="1" x14ac:dyDescent="0.2">
      <c r="A112" s="65">
        <v>43509</v>
      </c>
      <c r="B112" s="1"/>
      <c r="C112" s="1"/>
      <c r="D112" s="60"/>
      <c r="E112" s="76"/>
      <c r="F112" s="60"/>
      <c r="G112" s="60"/>
      <c r="H112" s="60"/>
      <c r="I112" s="60"/>
      <c r="J112" s="60"/>
      <c r="K112" s="64"/>
      <c r="L112" s="64"/>
      <c r="M112" s="60"/>
      <c r="N112" s="60"/>
      <c r="O112" s="60"/>
      <c r="P112" s="60"/>
      <c r="Q112" s="59"/>
      <c r="R112" s="60"/>
      <c r="S112" s="60"/>
      <c r="T112" s="60"/>
      <c r="U112" s="60"/>
      <c r="V112" s="60"/>
      <c r="W112" s="60"/>
      <c r="X112" s="60"/>
      <c r="Y112" s="76"/>
      <c r="Z112" s="60"/>
      <c r="AA112" s="60"/>
      <c r="AB112" s="60"/>
      <c r="AC112" s="60"/>
      <c r="AD112" s="60"/>
      <c r="AE112" s="60"/>
      <c r="AF112" s="80"/>
      <c r="AG112" s="56"/>
      <c r="AH112" s="4"/>
      <c r="AI112" s="56"/>
      <c r="AJ112" s="109"/>
      <c r="AK112" s="56"/>
      <c r="AL112" s="56"/>
      <c r="AM112" s="56"/>
      <c r="AN112" s="56"/>
      <c r="AO112" s="56"/>
      <c r="AP112" s="56"/>
      <c r="AQ112" s="56"/>
      <c r="AR112" s="109"/>
      <c r="AS112" s="56"/>
      <c r="AT112" s="56"/>
      <c r="AU112" s="4"/>
      <c r="AV112" s="25">
        <f>2*24*60*60</f>
        <v>172800</v>
      </c>
      <c r="AW112" s="25">
        <f>30*24*60*60*2.33</f>
        <v>6039360</v>
      </c>
      <c r="AX112" s="25">
        <f>30*24*60*60*6.17</f>
        <v>15992640</v>
      </c>
      <c r="AY112" s="53"/>
      <c r="AZ112" s="53"/>
      <c r="BA112" s="53"/>
      <c r="BB112" s="5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1"/>
      <c r="CS112" s="1"/>
      <c r="CT112" s="1"/>
      <c r="CU112" s="1"/>
    </row>
    <row r="113" spans="1:99" s="13" customFormat="1" ht="12" customHeight="1" x14ac:dyDescent="0.2">
      <c r="A113" s="65">
        <v>43509</v>
      </c>
      <c r="B113" s="1" t="s">
        <v>240</v>
      </c>
      <c r="C113" s="1" t="s">
        <v>70</v>
      </c>
      <c r="D113" s="60">
        <v>2017</v>
      </c>
      <c r="E113" s="76">
        <v>2</v>
      </c>
      <c r="F113" s="60">
        <v>80</v>
      </c>
      <c r="G113" s="60">
        <v>26.7</v>
      </c>
      <c r="H113" s="60" t="s">
        <v>398</v>
      </c>
      <c r="I113" s="60" t="s">
        <v>627</v>
      </c>
      <c r="J113" s="60" t="s">
        <v>175</v>
      </c>
      <c r="K113" s="60">
        <f>IF(J113="syllables",1,IF(J113="trigrams",2,IF(J113="strings",3,IF(J113="visual array",4,IF(J113="characters",5,IF(J113="letters",6,IF(J113="free forms",7,IF(J113="odors",8,IF(J113="words",9,IF(J113="pictures",10,IF(J113="object pictures",11,IF(J113="faces",12,IF(J113="names",13,IF(J113="idioms",14,IF(J113="grades",15,IF(J113="syllable-digit pairs",16,IF(J113="trigram-word pairs",17,IF(J113="word-digit pairs",18,IF(J113="English-Swahili pairs",19,IF(J113="spatial position",20,IF(J113="word pairs",21,IF(J113="word triads",22,IF(J113="generated words",23,IF(J113="word definition pairs",24,IF(J113="math problems",25,IF(J113="famous faces",26,IF(J113="famous names",27,IF(J113="famous voices",28,IF(J113="television programs",29,IF(J113="race horses",30,IF(J113="new vocabulary",31,IF(J113="sentences",32,IF(J113="concepts",33,IF(J113="ad slides",34,IF(J113="scenes",35,IF(J113="famous scenes",36,IF(J113="poems",37,IF(J113="walk",38,IF(J113="faces and events",39,IF(J113="events and names",40,IF(J113="flashbulb",41,IF(J113="stories",42,IF(J113="course material",43,IF(J113="autobiographical",44,IF(J113="novels",45,IF(J113="public events",46,"99"))))))))))))))))))))))))))))))))))))))))))))))</f>
        <v>20</v>
      </c>
      <c r="L113" s="60">
        <f>IF(J113="syllables",1,IF(J113="trigrams",1,IF(J113="strings",1,IF(J113="visual array",1,IF(J113="characters",1,IF(J113="letters",1,IF(J113="free forms",1,IF(J113="odors",2,IF(J113="words",2,IF(J113="pictures",2,IF(J113="object pictures",2,IF(J113="faces",2,IF(J113="names",2,IF(J113="idioms","2",IF(J113="grades",2,IF(J113="syllable-digit pairs",3,IF(J113="trigram-word pairs",3,IF(J113="word-digit pairs",3,IF(J113="English-Swahili pairs",3,IF(J113="spatial position",3,IF(J113="word pairs",4,IF(J113="word triads",4,IF(J113="generated words",4,IF(J113="word definition pairs",4,IF(J113="math problems",4,IF(J113="famous faces",4,IF(J113="famous names",4,IF(J113="famous voices",4,IF(J113="television programs",4,IF(J113="race horses",4,IF(J113="new vocabulary",4,IF(J113="sentences",5,IF(J113="concepts",5,IF(J113="ad slides",5,IF(J113="scenes",5,IF(J113="famous scenes",5,IF(J113="poems",6,IF(J113="walk",6,IF(J113="faces and events",6,IF(J113="events and names",6,IF(J113="flashbulb",7,IF(J113="stories",7,IF(J113="course material",7,IF(J113="autobiographical",7,IF(J113="novels",7,IF(J113="public events",7,"99"))))))))))))))))))))))))))))))))))))))))))))))</f>
        <v>3</v>
      </c>
      <c r="M113" s="60">
        <v>0</v>
      </c>
      <c r="N113" s="60">
        <v>1</v>
      </c>
      <c r="O113" s="60">
        <v>0</v>
      </c>
      <c r="P113" s="60"/>
      <c r="Q113" s="60" t="s">
        <v>174</v>
      </c>
      <c r="R113" s="60">
        <f>IF(Q113="Free Recall",1,IF(Q113="Cued Recall",2,IF(Q113="Recognition",3,IF(Q113="Multiple Choice",4,IF(Q113="Savings",5,IF(Q113="Stem Completion",6,IF(Q113="Fragment Completion",7,IF(Q113="anagram solution",8,IF(Q113="Matching",9,IF(Q113="Problem Solving",10,"99"))))))))))</f>
        <v>1</v>
      </c>
      <c r="S113" s="60" t="s">
        <v>49</v>
      </c>
      <c r="T113" s="60" t="s">
        <v>261</v>
      </c>
      <c r="U113" s="60">
        <f>IF(T113="within",1,0)</f>
        <v>0</v>
      </c>
      <c r="V113" s="60">
        <v>1</v>
      </c>
      <c r="W113" s="60">
        <f>F113*V113</f>
        <v>80</v>
      </c>
      <c r="X113" s="60">
        <v>3</v>
      </c>
      <c r="Y113" s="76">
        <f>AV112</f>
        <v>172800</v>
      </c>
      <c r="Z113" s="60" t="s">
        <v>236</v>
      </c>
      <c r="AA113" s="60">
        <f>30*24*60*60*6.17</f>
        <v>15992640</v>
      </c>
      <c r="AB113" s="60" t="str">
        <f>IF(AA113&lt;60,"1",IF(AA113&lt;=43200,"2",IF(AA113&lt;=777600,"3","4")))</f>
        <v>4</v>
      </c>
      <c r="AC113" s="56">
        <f>AVERAGE(AV112:DA112)</f>
        <v>7401600</v>
      </c>
      <c r="AD113" s="60" t="str">
        <f>IF(AC113&lt;60,"1",IF(AC113&lt;=43200,"2",IF(AC113&lt;=777600,"3","4")))</f>
        <v>4</v>
      </c>
      <c r="AE113" s="76">
        <f>AA113-Y113</f>
        <v>15819840</v>
      </c>
      <c r="AF113" s="80">
        <f>AV113</f>
        <v>0.9</v>
      </c>
      <c r="AG113" s="56">
        <f>((AW113-AV113)+(AX113-AW113))/2</f>
        <v>-0.31</v>
      </c>
      <c r="AH113" s="4"/>
      <c r="AI113" s="56">
        <f>RSQ(AV113:AX113,AV112:AX112)</f>
        <v>0.90452640115401461</v>
      </c>
      <c r="AJ113" s="109">
        <f>SLOPE(AV113:AX113,AV112:AX112)</f>
        <v>-3.7380025666167682E-8</v>
      </c>
      <c r="AK113" s="56">
        <f>INTERCEPT(AV113:AX113,AV112:AX112)</f>
        <v>0.83667199797070668</v>
      </c>
      <c r="AL113" s="56">
        <f>INDEX(LINEST(LN(AV113:AX113),LN(AV112:AX112),TRUE,TRUE),3,1)</f>
        <v>0.90465937931441687</v>
      </c>
      <c r="AM113" s="56">
        <f>INDEX(LINEST(LN(AV113:AX113),LN(AV112:AX112)),1)</f>
        <v>-0.23299301160884989</v>
      </c>
      <c r="AN113" s="56">
        <f>EXP(INDEX(LINEST(LN(AV113:AX113),LN(AV112:AX112)),1,2))</f>
        <v>15.596341207671873</v>
      </c>
      <c r="AO113" s="82">
        <f>INDEX(LINEST((AV113:AX113),LN(AV112:AX112),TRUE,TRUE),3,1)</f>
        <v>0.97714262158102294</v>
      </c>
      <c r="AP113" s="82">
        <f>INDEX(LINEST((AV113:AX113),LN(AV112:AX112)),1)</f>
        <v>-0.13037322832027573</v>
      </c>
      <c r="AQ113" s="83">
        <f>INDEX(LINEST(LN(AV113:AX113),SQRT(AV112:AX112),TRUE,TRUE),3,1)</f>
        <v>0.9941613459254236</v>
      </c>
      <c r="AR113" s="116">
        <f>INDEX(LINEST(LN(AV113:AX113),SQRT((AV112:AX112))),1)</f>
        <v>-3.2383808809323313E-4</v>
      </c>
      <c r="AS113" s="84">
        <f>INDEX(LINEST(1/(AV113:AX113),1/(SQRT(AV112:AX112)),TRUE,TRUE),3,1)</f>
        <v>0.66512704742214435</v>
      </c>
      <c r="AT113" s="84">
        <f>INDEX(LINEST(1/(AV113:AX113),1/SQRT(AV112:AX112)),1)</f>
        <v>-845.43857697730459</v>
      </c>
      <c r="AU113" s="3"/>
      <c r="AV113" s="53">
        <v>0.9</v>
      </c>
      <c r="AW113" s="53">
        <v>0.5</v>
      </c>
      <c r="AX113" s="53">
        <v>0.28000000000000003</v>
      </c>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53"/>
      <c r="CD113" s="53"/>
      <c r="CE113" s="53"/>
      <c r="CF113" s="53"/>
      <c r="CG113" s="53"/>
      <c r="CH113" s="53"/>
      <c r="CI113" s="53"/>
      <c r="CJ113" s="53"/>
      <c r="CK113" s="53"/>
      <c r="CL113" s="53"/>
      <c r="CM113" s="53"/>
      <c r="CN113" s="53"/>
      <c r="CO113" s="53"/>
      <c r="CP113" s="53"/>
      <c r="CQ113" s="53"/>
      <c r="CR113" s="1"/>
      <c r="CS113" s="1"/>
      <c r="CT113" s="1"/>
      <c r="CU113" s="1"/>
    </row>
    <row r="114" spans="1:99" s="13" customFormat="1" ht="12" customHeight="1" x14ac:dyDescent="0.2">
      <c r="A114" s="65">
        <v>43509</v>
      </c>
      <c r="B114" s="1"/>
      <c r="C114" s="1"/>
      <c r="D114" s="60"/>
      <c r="E114" s="76"/>
      <c r="F114" s="60"/>
      <c r="G114" s="60"/>
      <c r="H114" s="60"/>
      <c r="I114" s="60"/>
      <c r="J114" s="60"/>
      <c r="K114" s="64"/>
      <c r="L114" s="64"/>
      <c r="M114" s="60"/>
      <c r="N114" s="60"/>
      <c r="O114" s="60"/>
      <c r="P114" s="60"/>
      <c r="Q114" s="59"/>
      <c r="R114" s="60"/>
      <c r="S114" s="60"/>
      <c r="T114" s="60"/>
      <c r="U114" s="60"/>
      <c r="V114" s="60"/>
      <c r="W114" s="60"/>
      <c r="X114" s="60"/>
      <c r="Y114" s="76"/>
      <c r="Z114" s="60"/>
      <c r="AA114" s="60"/>
      <c r="AB114" s="60"/>
      <c r="AC114" s="60"/>
      <c r="AD114" s="60"/>
      <c r="AE114" s="60"/>
      <c r="AF114" s="80"/>
      <c r="AG114" s="56"/>
      <c r="AH114" s="4"/>
      <c r="AI114" s="56"/>
      <c r="AJ114" s="109"/>
      <c r="AK114" s="56"/>
      <c r="AL114" s="56"/>
      <c r="AM114" s="56"/>
      <c r="AN114" s="56"/>
      <c r="AO114" s="56"/>
      <c r="AP114" s="56"/>
      <c r="AQ114" s="56"/>
      <c r="AR114" s="109"/>
      <c r="AS114" s="56"/>
      <c r="AT114" s="56"/>
      <c r="AU114" s="4"/>
      <c r="AV114" s="25">
        <f>2*24*60*60</f>
        <v>172800</v>
      </c>
      <c r="AW114" s="25">
        <f>30*24*60*60*2.33</f>
        <v>6039360</v>
      </c>
      <c r="AX114" s="25">
        <f>30*24*60*60*6.17</f>
        <v>15992640</v>
      </c>
      <c r="AY114" s="53"/>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53"/>
      <c r="BZ114" s="53"/>
      <c r="CA114" s="53"/>
      <c r="CB114" s="53"/>
      <c r="CC114" s="53"/>
      <c r="CD114" s="53"/>
      <c r="CE114" s="53"/>
      <c r="CF114" s="53"/>
      <c r="CG114" s="53"/>
      <c r="CH114" s="53"/>
      <c r="CI114" s="53"/>
      <c r="CJ114" s="53"/>
      <c r="CK114" s="53"/>
      <c r="CL114" s="53"/>
      <c r="CM114" s="53"/>
      <c r="CN114" s="53"/>
      <c r="CO114" s="53"/>
      <c r="CP114" s="53"/>
      <c r="CQ114" s="53"/>
      <c r="CR114" s="1"/>
      <c r="CS114" s="1"/>
      <c r="CT114" s="1"/>
      <c r="CU114" s="1"/>
    </row>
    <row r="115" spans="1:99" s="13" customFormat="1" ht="12" customHeight="1" x14ac:dyDescent="0.2">
      <c r="A115" s="65">
        <v>43509</v>
      </c>
      <c r="B115" s="1" t="s">
        <v>240</v>
      </c>
      <c r="C115" s="1" t="s">
        <v>70</v>
      </c>
      <c r="D115" s="60">
        <v>2017</v>
      </c>
      <c r="E115" s="76">
        <v>2</v>
      </c>
      <c r="F115" s="60">
        <v>80</v>
      </c>
      <c r="G115" s="60">
        <v>26.7</v>
      </c>
      <c r="H115" s="60" t="s">
        <v>398</v>
      </c>
      <c r="I115" s="60" t="s">
        <v>628</v>
      </c>
      <c r="J115" s="60" t="s">
        <v>175</v>
      </c>
      <c r="K115" s="60">
        <f>IF(J115="syllables",1,IF(J115="trigrams",2,IF(J115="strings",3,IF(J115="visual array",4,IF(J115="characters",5,IF(J115="letters",6,IF(J115="free forms",7,IF(J115="odors",8,IF(J115="words",9,IF(J115="pictures",10,IF(J115="object pictures",11,IF(J115="faces",12,IF(J115="names",13,IF(J115="idioms",14,IF(J115="grades",15,IF(J115="syllable-digit pairs",16,IF(J115="trigram-word pairs",17,IF(J115="word-digit pairs",18,IF(J115="English-Swahili pairs",19,IF(J115="spatial position",20,IF(J115="word pairs",21,IF(J115="word triads",22,IF(J115="generated words",23,IF(J115="word definition pairs",24,IF(J115="math problems",25,IF(J115="famous faces",26,IF(J115="famous names",27,IF(J115="famous voices",28,IF(J115="television programs",29,IF(J115="race horses",30,IF(J115="new vocabulary",31,IF(J115="sentences",32,IF(J115="concepts",33,IF(J115="ad slides",34,IF(J115="scenes",35,IF(J115="famous scenes",36,IF(J115="poems",37,IF(J115="walk",38,IF(J115="faces and events",39,IF(J115="events and names",40,IF(J115="flashbulb",41,IF(J115="stories",42,IF(J115="course material",43,IF(J115="autobiographical",44,IF(J115="novels",45,IF(J115="public events",46,"99"))))))))))))))))))))))))))))))))))))))))))))))</f>
        <v>20</v>
      </c>
      <c r="L115" s="60">
        <f>IF(J115="syllables",1,IF(J115="trigrams",1,IF(J115="strings",1,IF(J115="visual array",1,IF(J115="characters",1,IF(J115="letters",1,IF(J115="free forms",1,IF(J115="odors",2,IF(J115="words",2,IF(J115="pictures",2,IF(J115="object pictures",2,IF(J115="faces",2,IF(J115="names",2,IF(J115="idioms","2",IF(J115="grades",2,IF(J115="syllable-digit pairs",3,IF(J115="trigram-word pairs",3,IF(J115="word-digit pairs",3,IF(J115="English-Swahili pairs",3,IF(J115="spatial position",3,IF(J115="word pairs",4,IF(J115="word triads",4,IF(J115="generated words",4,IF(J115="word definition pairs",4,IF(J115="math problems",4,IF(J115="famous faces",4,IF(J115="famous names",4,IF(J115="famous voices",4,IF(J115="television programs",4,IF(J115="race horses",4,IF(J115="new vocabulary",4,IF(J115="sentences",5,IF(J115="concepts",5,IF(J115="ad slides",5,IF(J115="scenes",5,IF(J115="famous scenes",5,IF(J115="poems",6,IF(J115="walk",6,IF(J115="faces and events",6,IF(J115="events and names",6,IF(J115="flashbulb",7,IF(J115="stories",7,IF(J115="course material",7,IF(J115="autobiographical",7,IF(J115="novels",7,IF(J115="public events",7,"99"))))))))))))))))))))))))))))))))))))))))))))))</f>
        <v>3</v>
      </c>
      <c r="M115" s="60">
        <v>0</v>
      </c>
      <c r="N115" s="60">
        <v>1</v>
      </c>
      <c r="O115" s="60">
        <v>0</v>
      </c>
      <c r="P115" s="60"/>
      <c r="Q115" s="60" t="s">
        <v>174</v>
      </c>
      <c r="R115" s="60">
        <f>IF(Q115="Free Recall",1,IF(Q115="Cued Recall",2,IF(Q115="Recognition",3,IF(Q115="Multiple Choice",4,IF(Q115="Savings",5,IF(Q115="Stem Completion",6,IF(Q115="Fragment Completion",7,IF(Q115="anagram solution",8,IF(Q115="Matching",9,IF(Q115="Problem Solving",10,"99"))))))))))</f>
        <v>1</v>
      </c>
      <c r="S115" s="60" t="s">
        <v>49</v>
      </c>
      <c r="T115" s="60" t="s">
        <v>261</v>
      </c>
      <c r="U115" s="60">
        <f>IF(T115="within",1,0)</f>
        <v>0</v>
      </c>
      <c r="V115" s="60">
        <v>1</v>
      </c>
      <c r="W115" s="60">
        <f>F115*V115</f>
        <v>80</v>
      </c>
      <c r="X115" s="60">
        <v>3</v>
      </c>
      <c r="Y115" s="76">
        <f>AV114</f>
        <v>172800</v>
      </c>
      <c r="Z115" s="60" t="s">
        <v>236</v>
      </c>
      <c r="AA115" s="60">
        <f>30*24*60*60*6.17</f>
        <v>15992640</v>
      </c>
      <c r="AB115" s="60" t="str">
        <f>IF(AA115&lt;60,"1",IF(AA115&lt;=43200,"2",IF(AA115&lt;=777600,"3","4")))</f>
        <v>4</v>
      </c>
      <c r="AC115" s="56">
        <f>AVERAGE(AV114:DA114)</f>
        <v>7401600</v>
      </c>
      <c r="AD115" s="60" t="str">
        <f>IF(AC115&lt;60,"1",IF(AC115&lt;=43200,"2",IF(AC115&lt;=777600,"3","4")))</f>
        <v>4</v>
      </c>
      <c r="AE115" s="76">
        <f>AA115-Y115</f>
        <v>15819840</v>
      </c>
      <c r="AF115" s="80">
        <f>AV115</f>
        <v>0.95</v>
      </c>
      <c r="AG115" s="56">
        <f>((AW115-AV115)+(AX115-AW115))/2</f>
        <v>-7.4999999999999956E-2</v>
      </c>
      <c r="AH115" s="4"/>
      <c r="AI115" s="56">
        <f>RSQ(AV115:AX115,AV114:AX114)</f>
        <v>0.93761069141771081</v>
      </c>
      <c r="AJ115" s="109">
        <f>SLOPE(AV115:AX115,AV114:AX114)</f>
        <v>-9.8611527360321732E-9</v>
      </c>
      <c r="AK115" s="56">
        <f>INTERCEPT(AV115:AX115,AV114:AX114)</f>
        <v>0.96632164142434895</v>
      </c>
      <c r="AL115" s="56">
        <f>INDEX(LINEST(LN(AV115:AX115),LN(AV114:AX114),TRUE,TRUE),3,1)</f>
        <v>0.55763632833185328</v>
      </c>
      <c r="AM115" s="56">
        <f>INDEX(LINEST(LN(AV115:AX115),LN(AV114:AX114)),1)</f>
        <v>-2.9353553163112629E-2</v>
      </c>
      <c r="AN115" s="56">
        <f>EXP(INDEX(LINEST(LN(AV115:AX115),LN(AV114:AX114)),1,2))</f>
        <v>1.3735610384718755</v>
      </c>
      <c r="AO115" s="82">
        <f>INDEX(LINEST((AV115:AX115),LN(AV114:AX114),TRUE,TRUE),3,1)</f>
        <v>0.56684854182056066</v>
      </c>
      <c r="AP115" s="82">
        <f>INDEX(LINEST((AV115:AX115),LN(AV114:AX114)),1)</f>
        <v>-2.5729443717128729E-2</v>
      </c>
      <c r="AQ115" s="83">
        <f>INDEX(LINEST(LN(AV115:AX115),SQRT(AV114:AX114),TRUE,TRUE),3,1)</f>
        <v>0.77833137615729997</v>
      </c>
      <c r="AR115" s="116">
        <f>INDEX(LINEST(LN(AV115:AX115),SQRT((AV114:AX114))),1)</f>
        <v>-4.5979745033814178E-5</v>
      </c>
      <c r="AS115" s="84">
        <f>INDEX(LINEST(1/(AV115:AX115),1/(SQRT(AV114:AX114)),TRUE,TRUE),3,1)</f>
        <v>0.40900130333175416</v>
      </c>
      <c r="AT115" s="84">
        <f>INDEX(LINEST(1/(AV115:AX115),1/SQRT(AV114:AX114)),1)</f>
        <v>-57.477369108478612</v>
      </c>
      <c r="AU115" s="3"/>
      <c r="AV115" s="53">
        <v>0.95</v>
      </c>
      <c r="AW115" s="53">
        <v>0.93</v>
      </c>
      <c r="AX115" s="53">
        <v>0.8</v>
      </c>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BY115" s="53"/>
      <c r="BZ115" s="53"/>
      <c r="CA115" s="53"/>
      <c r="CB115" s="53"/>
      <c r="CC115" s="53"/>
      <c r="CD115" s="53"/>
      <c r="CE115" s="53"/>
      <c r="CF115" s="53"/>
      <c r="CG115" s="53"/>
      <c r="CH115" s="53"/>
      <c r="CI115" s="53"/>
      <c r="CJ115" s="53"/>
      <c r="CK115" s="53"/>
      <c r="CL115" s="53"/>
      <c r="CM115" s="53"/>
      <c r="CN115" s="53"/>
      <c r="CO115" s="53"/>
      <c r="CP115" s="53"/>
      <c r="CQ115" s="53"/>
      <c r="CR115" s="1"/>
      <c r="CS115" s="1"/>
      <c r="CT115" s="1"/>
      <c r="CU115" s="1"/>
    </row>
    <row r="116" spans="1:99" s="13" customFormat="1" ht="12" customHeight="1" x14ac:dyDescent="0.2">
      <c r="A116" s="68">
        <v>43909</v>
      </c>
      <c r="B116" s="70"/>
      <c r="C116" s="70"/>
      <c r="D116" s="69"/>
      <c r="E116" s="87"/>
      <c r="F116" s="69"/>
      <c r="G116" s="69"/>
      <c r="H116" s="69"/>
      <c r="I116" s="69"/>
      <c r="J116" s="69"/>
      <c r="K116" s="107"/>
      <c r="L116" s="107"/>
      <c r="M116" s="69"/>
      <c r="N116" s="86"/>
      <c r="O116" s="69"/>
      <c r="P116" s="69"/>
      <c r="Q116" s="69"/>
      <c r="R116" s="69"/>
      <c r="S116" s="69"/>
      <c r="T116" s="69"/>
      <c r="U116" s="69"/>
      <c r="V116" s="69"/>
      <c r="W116" s="69"/>
      <c r="X116" s="69"/>
      <c r="Y116" s="87"/>
      <c r="Z116" s="69"/>
      <c r="AA116" s="69"/>
      <c r="AB116" s="69"/>
      <c r="AC116" s="69"/>
      <c r="AD116" s="69"/>
      <c r="AE116" s="69"/>
      <c r="AF116" s="88"/>
      <c r="AG116" s="72"/>
      <c r="AH116" s="4"/>
      <c r="AI116" s="72"/>
      <c r="AJ116" s="110"/>
      <c r="AK116" s="72"/>
      <c r="AL116" s="72"/>
      <c r="AM116" s="72"/>
      <c r="AN116" s="72"/>
      <c r="AO116" s="72"/>
      <c r="AP116" s="72"/>
      <c r="AQ116" s="72"/>
      <c r="AR116" s="110"/>
      <c r="AS116" s="72"/>
      <c r="AT116" s="72"/>
      <c r="AU116" s="3"/>
      <c r="AV116" s="70">
        <f>24*60*60</f>
        <v>86400</v>
      </c>
      <c r="AW116" s="70">
        <f>4*24*60*60</f>
        <v>345600</v>
      </c>
      <c r="AX116" s="70">
        <f>7*24*60*60</f>
        <v>604800</v>
      </c>
      <c r="AY116" s="70">
        <f>14*24*60*60</f>
        <v>1209600</v>
      </c>
      <c r="AZ116" s="70">
        <f>21*24*60*60</f>
        <v>1814400</v>
      </c>
      <c r="BA116" s="70">
        <f>28*24*60*60</f>
        <v>2419200</v>
      </c>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53"/>
      <c r="CA116" s="53"/>
      <c r="CB116" s="53"/>
      <c r="CC116" s="53"/>
      <c r="CD116" s="53"/>
      <c r="CE116" s="53"/>
      <c r="CF116" s="53"/>
      <c r="CG116" s="53"/>
      <c r="CH116" s="53"/>
      <c r="CI116" s="53"/>
      <c r="CJ116" s="53"/>
      <c r="CK116" s="53"/>
      <c r="CL116" s="53"/>
      <c r="CM116" s="53"/>
      <c r="CN116" s="53"/>
      <c r="CO116" s="53"/>
      <c r="CP116" s="53"/>
      <c r="CQ116" s="53"/>
      <c r="CR116" s="1"/>
      <c r="CS116" s="1"/>
      <c r="CT116" s="1"/>
      <c r="CU116" s="1"/>
    </row>
    <row r="117" spans="1:99" s="13" customFormat="1" ht="12" customHeight="1" x14ac:dyDescent="0.2">
      <c r="A117" s="68">
        <v>43909</v>
      </c>
      <c r="B117" s="70" t="s">
        <v>503</v>
      </c>
      <c r="C117" s="70" t="s">
        <v>139</v>
      </c>
      <c r="D117" s="69">
        <v>1912</v>
      </c>
      <c r="E117" s="87">
        <v>1</v>
      </c>
      <c r="F117" s="69">
        <v>756</v>
      </c>
      <c r="G117" s="69">
        <v>126</v>
      </c>
      <c r="H117" s="69" t="s">
        <v>451</v>
      </c>
      <c r="I117" s="69"/>
      <c r="J117" s="69" t="s">
        <v>630</v>
      </c>
      <c r="K117" s="69">
        <f>IF(J117="syllables",1,IF(J117="trigrams",2,IF(J117="strings",3,IF(J117="visual array",4,IF(J117="characters",5,IF(J117="letters",6,IF(J117="free forms",7,IF(J117="odors",8,IF(J117="words",9,IF(J117="pictures",10,IF(J117="object pictures",11,IF(J117="faces",12,IF(J117="names",13,IF(J117="idioms",14,IF(J117="grades",15,IF(J117="syllable-digit pairs",16,IF(J117="trigram-word pairs",17,IF(J117="word-digit pairs",18,IF(J117="English-Swahili pairs",19,IF(J117="spatial position",20,IF(J117="word pairs",21,IF(J117="word triads",22,IF(J117="generated words",23,IF(J117="word definition pairs",24,IF(J117="math problems",25,IF(J117="famous faces",26,IF(J117="famous names",27,IF(J117="famous voices",28,IF(J117="television programs",29,IF(J117="race horses",30,IF(J117="new vocabulary",31,IF(J117="sentences",32,IF(J117="concepts",33,IF(J117="ad slides",34,IF(J117="scenes",35,IF(J117="famous scenes",36,IF(J117="poems",37,IF(J117="walk",38,IF(J117="faces and events",39,IF(J117="events and names",40,IF(J117="flashbulb",41,IF(J117="stories",42,IF(J117="course material",43,IF(J117="autobiographical",44,IF(J117="novels",45,IF(J117="public events",46,"99"))))))))))))))))))))))))))))))))))))))))))))))</f>
        <v>6</v>
      </c>
      <c r="L117" s="69">
        <f>IF(J117="syllables",1,IF(J117="trigrams",1,IF(J117="strings",1,IF(J117="visual array",1,IF(J117="characters",1,IF(J117="letters",1,IF(J117="free forms",1,IF(J117="odors",2,IF(J117="words",2,IF(J117="pictures",2,IF(J117="object pictures",2,IF(J117="faces",2,IF(J117="names",2,IF(J117="idioms","2",IF(J117="grades",2,IF(J117="syllable-digit pairs",3,IF(J117="trigram-word pairs",3,IF(J117="word-digit pairs",3,IF(J117="English-Swahili pairs",3,IF(J117="spatial position",3,IF(J117="word pairs",4,IF(J117="word triads",4,IF(J117="generated words",4,IF(J117="word definition pairs",4,IF(J117="math problems",4,IF(J117="famous faces",4,IF(J117="famous names",4,IF(J117="famous voices",4,IF(J117="television programs",4,IF(J117="race horses",4,IF(J117="new vocabulary",4,IF(J117="sentences",5,IF(J117="concepts",5,IF(J117="ad slides",5,IF(J117="scenes",5,IF(J117="famous scenes",5,IF(J117="poems",6,IF(J117="walk",6,IF(J117="faces and events",6,IF(J117="events and names",6,IF(J117="flashbulb",7,IF(J117="stories",7,IF(J117="course material",7,IF(J117="autobiographical",7,IF(J117="novels",7,IF(J117="public events",7,"99"))))))))))))))))))))))))))))))))))))))))))))))</f>
        <v>1</v>
      </c>
      <c r="M117" s="69">
        <v>0</v>
      </c>
      <c r="N117" s="86">
        <v>1</v>
      </c>
      <c r="O117" s="69">
        <v>0</v>
      </c>
      <c r="P117" s="69"/>
      <c r="Q117" s="69" t="s">
        <v>174</v>
      </c>
      <c r="R117" s="69">
        <f>IF(Q117="Free Recall",1,IF(Q117="Cued Recall",2,IF(Q117="Recognition",3,IF(Q117="Multiple Choice",4,IF(Q117="Savings",5,IF(Q117="Stem Completion",6,IF(Q117="Fragment Completion",7,IF(Q117="anagram solution",8,IF(Q117="Matching",9,IF(Q117="Problem Solving",10,"99"))))))))))</f>
        <v>1</v>
      </c>
      <c r="S117" s="69" t="s">
        <v>49</v>
      </c>
      <c r="T117" s="69" t="s">
        <v>261</v>
      </c>
      <c r="U117" s="69">
        <f>IF(T117="within",1,0)</f>
        <v>0</v>
      </c>
      <c r="V117" s="69">
        <v>9</v>
      </c>
      <c r="W117" s="69">
        <f>F117*V117</f>
        <v>6804</v>
      </c>
      <c r="X117" s="69">
        <v>6</v>
      </c>
      <c r="Y117" s="87">
        <f>AV116</f>
        <v>86400</v>
      </c>
      <c r="Z117" s="69" t="s">
        <v>18</v>
      </c>
      <c r="AA117" s="69">
        <f>28*24*60*60</f>
        <v>2419200</v>
      </c>
      <c r="AB117" s="69" t="str">
        <f>IF(AA117&lt;60,"1",IF(AA117&lt;=43200,"2",IF(AA117&lt;=777600,"3","4")))</f>
        <v>4</v>
      </c>
      <c r="AC117" s="72">
        <f>AVERAGE(AV116:DA116)</f>
        <v>1080000</v>
      </c>
      <c r="AD117" s="69" t="str">
        <f>IF(AC117&lt;60,"1",IF(AC117&lt;=43200,"2",IF(AC117&lt;=777600,"3","4")))</f>
        <v>4</v>
      </c>
      <c r="AE117" s="87">
        <f>AA117-Y117</f>
        <v>2332800</v>
      </c>
      <c r="AF117" s="88">
        <f>AV117</f>
        <v>0.878</v>
      </c>
      <c r="AG117" s="72">
        <f>((AW117-AV117)+(AX117-AW117)+(AY117-AX117)+(AZ117-AY117)+(BA117-AZ117))/5</f>
        <v>-1.9999999999999997E-2</v>
      </c>
      <c r="AH117" s="4"/>
      <c r="AI117" s="72">
        <f>RSQ(AV117:BA117,AV116:BA116)</f>
        <v>0.50836370327671798</v>
      </c>
      <c r="AJ117" s="110">
        <f>SLOPE(AV117:BA117,AV116:BA116)</f>
        <v>-5.3278653995214508E-8</v>
      </c>
      <c r="AK117" s="72">
        <f>INTERCEPT(AV117:BA117,AV116:BA116)</f>
        <v>0.86137427964816504</v>
      </c>
      <c r="AL117" s="72">
        <f>INDEX(LINEST(LN(AV117:BA117),LN(AV116:BA116),TRUE,TRUE),3,1)</f>
        <v>0.63385979176532581</v>
      </c>
      <c r="AM117" s="72">
        <f>INDEX(LINEST(LN(AV117:BA117),LN(AV116:BA116)),1)</f>
        <v>-5.4609784021250732E-2</v>
      </c>
      <c r="AN117" s="72">
        <f>EXP(INDEX(LINEST(LN(AV117:BA117),LN(AV116:BA116)),1,2))</f>
        <v>1.6682568034975607</v>
      </c>
      <c r="AO117" s="89">
        <f>INDEX(LINEST((AV117:BA117),LN(AV116:BA116),TRUE,TRUE),3,1)</f>
        <v>0.65547548319515347</v>
      </c>
      <c r="AP117" s="89">
        <f>INDEX(LINEST((AV117:BA117),LN(AV116:BA116)),1)</f>
        <v>-4.4348405355611298E-2</v>
      </c>
      <c r="AQ117" s="90">
        <f>INDEX(LINEST(LN(AV117:BA117),SQRT(AV116:BA116),TRUE,TRUE),3,1)</f>
        <v>0.59828417872559803</v>
      </c>
      <c r="AR117" s="117">
        <f>INDEX(LINEST(LN(AV117:BA117),SQRT((AV116:BA116))),1)</f>
        <v>-1.3743901372713691E-4</v>
      </c>
      <c r="AS117" s="91">
        <f>INDEX(LINEST(1/(AV117:BA117),1/(SQRT(AV116:BA116)),TRUE,TRUE),3,1)</f>
        <v>0.53701255966279982</v>
      </c>
      <c r="AT117" s="91">
        <f>INDEX(LINEST(1/(AV117:BA117),1/SQRT(AV116:BA116)),1)</f>
        <v>-75.538792295279194</v>
      </c>
      <c r="AU117" s="3"/>
      <c r="AV117" s="73">
        <f>1-0.122</f>
        <v>0.878</v>
      </c>
      <c r="AW117" s="73">
        <f>1-0.122</f>
        <v>0.878</v>
      </c>
      <c r="AX117" s="73">
        <f>1-0.178</f>
        <v>0.82200000000000006</v>
      </c>
      <c r="AY117" s="73">
        <f>1-0.289</f>
        <v>0.71100000000000008</v>
      </c>
      <c r="AZ117" s="73">
        <f>1-0.244</f>
        <v>0.75600000000000001</v>
      </c>
      <c r="BA117" s="73">
        <f>1-0.222</f>
        <v>0.77800000000000002</v>
      </c>
      <c r="BB117" s="53"/>
      <c r="BC117" s="53"/>
      <c r="BD117" s="53"/>
      <c r="BE117" s="53"/>
      <c r="BF117" s="53"/>
      <c r="BG117" s="53"/>
      <c r="BH117" s="53"/>
      <c r="BI117" s="53"/>
      <c r="BJ117" s="53"/>
      <c r="BK117" s="53"/>
      <c r="BL117" s="53"/>
      <c r="BM117" s="53"/>
      <c r="BN117" s="53"/>
      <c r="BO117" s="53"/>
      <c r="BP117" s="53"/>
      <c r="BQ117" s="53"/>
      <c r="BR117" s="53"/>
      <c r="BS117" s="53"/>
      <c r="BT117" s="53"/>
      <c r="BU117" s="53"/>
      <c r="BV117" s="53"/>
      <c r="BW117" s="53"/>
      <c r="BX117" s="53"/>
      <c r="BY117" s="53"/>
      <c r="BZ117" s="53"/>
      <c r="CA117" s="53"/>
      <c r="CB117" s="53"/>
      <c r="CC117" s="53"/>
      <c r="CD117" s="53"/>
      <c r="CE117" s="53"/>
      <c r="CF117" s="53"/>
      <c r="CG117" s="53"/>
      <c r="CH117" s="53"/>
      <c r="CI117" s="53"/>
      <c r="CJ117" s="53"/>
      <c r="CK117" s="53"/>
      <c r="CL117" s="53"/>
      <c r="CM117" s="53"/>
      <c r="CN117" s="53"/>
      <c r="CO117" s="53"/>
      <c r="CP117" s="53"/>
      <c r="CQ117" s="53"/>
      <c r="CR117" s="1"/>
      <c r="CS117" s="1"/>
      <c r="CT117" s="1"/>
      <c r="CU117" s="1"/>
    </row>
    <row r="118" spans="1:99" s="13" customFormat="1" ht="12" customHeight="1" x14ac:dyDescent="0.2">
      <c r="A118" s="68">
        <v>43909</v>
      </c>
      <c r="B118" s="70"/>
      <c r="C118" s="70"/>
      <c r="D118" s="69"/>
      <c r="E118" s="87"/>
      <c r="F118" s="69"/>
      <c r="G118" s="69"/>
      <c r="H118" s="69"/>
      <c r="I118" s="69"/>
      <c r="J118" s="69"/>
      <c r="K118" s="107"/>
      <c r="L118" s="107"/>
      <c r="M118" s="69"/>
      <c r="N118" s="86"/>
      <c r="O118" s="69"/>
      <c r="P118" s="69"/>
      <c r="Q118" s="69"/>
      <c r="R118" s="69"/>
      <c r="S118" s="69"/>
      <c r="T118" s="69"/>
      <c r="U118" s="69"/>
      <c r="V118" s="69"/>
      <c r="W118" s="69"/>
      <c r="X118" s="69"/>
      <c r="Y118" s="87"/>
      <c r="Z118" s="69"/>
      <c r="AA118" s="69"/>
      <c r="AB118" s="69"/>
      <c r="AC118" s="69"/>
      <c r="AD118" s="69"/>
      <c r="AE118" s="69"/>
      <c r="AF118" s="88"/>
      <c r="AG118" s="72"/>
      <c r="AH118" s="4"/>
      <c r="AI118" s="72"/>
      <c r="AJ118" s="110"/>
      <c r="AK118" s="72"/>
      <c r="AL118" s="72"/>
      <c r="AM118" s="72"/>
      <c r="AN118" s="72"/>
      <c r="AO118" s="72"/>
      <c r="AP118" s="72"/>
      <c r="AQ118" s="72"/>
      <c r="AR118" s="110"/>
      <c r="AS118" s="72"/>
      <c r="AT118" s="72"/>
      <c r="AU118" s="3"/>
      <c r="AV118" s="70">
        <f>24*60*60</f>
        <v>86400</v>
      </c>
      <c r="AW118" s="70">
        <f>4*24*60*60</f>
        <v>345600</v>
      </c>
      <c r="AX118" s="70">
        <f>7*24*60*60</f>
        <v>604800</v>
      </c>
      <c r="AY118" s="70">
        <f>14*24*60*60</f>
        <v>1209600</v>
      </c>
      <c r="AZ118" s="70">
        <f>21*24*60*60</f>
        <v>1814400</v>
      </c>
      <c r="BA118" s="70">
        <f>28*24*60*60</f>
        <v>2419200</v>
      </c>
      <c r="BB118" s="53"/>
      <c r="BC118" s="53"/>
      <c r="BD118" s="53"/>
      <c r="BE118" s="53"/>
      <c r="BF118" s="53"/>
      <c r="BG118" s="53"/>
      <c r="BH118" s="53"/>
      <c r="BI118" s="53"/>
      <c r="BJ118" s="53"/>
      <c r="BK118" s="53"/>
      <c r="BL118" s="53"/>
      <c r="BM118" s="53"/>
      <c r="BN118" s="53"/>
      <c r="BO118" s="53"/>
      <c r="BP118" s="53"/>
      <c r="BQ118" s="53"/>
      <c r="BR118" s="53"/>
      <c r="BS118" s="53"/>
      <c r="BT118" s="53"/>
      <c r="BU118" s="53"/>
      <c r="BV118" s="53"/>
      <c r="BW118" s="53"/>
      <c r="BX118" s="53"/>
      <c r="BY118" s="53"/>
      <c r="BZ118" s="53"/>
      <c r="CA118" s="53"/>
      <c r="CB118" s="53"/>
      <c r="CC118" s="53"/>
      <c r="CD118" s="53"/>
      <c r="CE118" s="53"/>
      <c r="CF118" s="53"/>
      <c r="CG118" s="53"/>
      <c r="CH118" s="53"/>
      <c r="CI118" s="53"/>
      <c r="CJ118" s="53"/>
      <c r="CK118" s="53"/>
      <c r="CL118" s="53"/>
      <c r="CM118" s="53"/>
      <c r="CN118" s="53"/>
      <c r="CO118" s="53"/>
      <c r="CP118" s="53"/>
      <c r="CQ118" s="53"/>
      <c r="CR118" s="1"/>
      <c r="CS118" s="1"/>
      <c r="CT118" s="1"/>
      <c r="CU118" s="1"/>
    </row>
    <row r="119" spans="1:99" s="13" customFormat="1" ht="12" customHeight="1" x14ac:dyDescent="0.2">
      <c r="A119" s="68">
        <v>43909</v>
      </c>
      <c r="B119" s="70" t="s">
        <v>503</v>
      </c>
      <c r="C119" s="70" t="s">
        <v>139</v>
      </c>
      <c r="D119" s="69">
        <v>1912</v>
      </c>
      <c r="E119" s="87">
        <v>1</v>
      </c>
      <c r="F119" s="69">
        <v>348</v>
      </c>
      <c r="G119" s="69">
        <v>58</v>
      </c>
      <c r="H119" s="69" t="s">
        <v>452</v>
      </c>
      <c r="I119" s="69"/>
      <c r="J119" s="69" t="s">
        <v>630</v>
      </c>
      <c r="K119" s="69">
        <f>IF(J119="syllables",1,IF(J119="trigrams",2,IF(J119="strings",3,IF(J119="visual array",4,IF(J119="characters",5,IF(J119="letters",6,IF(J119="free forms",7,IF(J119="odors",8,IF(J119="words",9,IF(J119="pictures",10,IF(J119="object pictures",11,IF(J119="faces",12,IF(J119="names",13,IF(J119="idioms",14,IF(J119="grades",15,IF(J119="syllable-digit pairs",16,IF(J119="trigram-word pairs",17,IF(J119="word-digit pairs",18,IF(J119="English-Swahili pairs",19,IF(J119="spatial position",20,IF(J119="word pairs",21,IF(J119="word triads",22,IF(J119="generated words",23,IF(J119="word definition pairs",24,IF(J119="math problems",25,IF(J119="famous faces",26,IF(J119="famous names",27,IF(J119="famous voices",28,IF(J119="television programs",29,IF(J119="race horses",30,IF(J119="new vocabulary",31,IF(J119="sentences",32,IF(J119="concepts",33,IF(J119="ad slides",34,IF(J119="scenes",35,IF(J119="famous scenes",36,IF(J119="poems",37,IF(J119="walk",38,IF(J119="faces and events",39,IF(J119="events and names",40,IF(J119="flashbulb",41,IF(J119="stories",42,IF(J119="course material",43,IF(J119="autobiographical",44,IF(J119="novels",45,IF(J119="public events",46,"99"))))))))))))))))))))))))))))))))))))))))))))))</f>
        <v>6</v>
      </c>
      <c r="L119" s="69">
        <f>IF(J119="syllables",1,IF(J119="trigrams",1,IF(J119="strings",1,IF(J119="visual array",1,IF(J119="characters",1,IF(J119="letters",1,IF(J119="free forms",1,IF(J119="odors",2,IF(J119="words",2,IF(J119="pictures",2,IF(J119="object pictures",2,IF(J119="faces",2,IF(J119="names",2,IF(J119="idioms","2",IF(J119="grades",2,IF(J119="syllable-digit pairs",3,IF(J119="trigram-word pairs",3,IF(J119="word-digit pairs",3,IF(J119="English-Swahili pairs",3,IF(J119="spatial position",3,IF(J119="word pairs",4,IF(J119="word triads",4,IF(J119="generated words",4,IF(J119="word definition pairs",4,IF(J119="math problems",4,IF(J119="famous faces",4,IF(J119="famous names",4,IF(J119="famous voices",4,IF(J119="television programs",4,IF(J119="race horses",4,IF(J119="new vocabulary",4,IF(J119="sentences",5,IF(J119="concepts",5,IF(J119="ad slides",5,IF(J119="scenes",5,IF(J119="famous scenes",5,IF(J119="poems",6,IF(J119="walk",6,IF(J119="faces and events",6,IF(J119="events and names",6,IF(J119="flashbulb",7,IF(J119="stories",7,IF(J119="course material",7,IF(J119="autobiographical",7,IF(J119="novels",7,IF(J119="public events",7,"99"))))))))))))))))))))))))))))))))))))))))))))))</f>
        <v>1</v>
      </c>
      <c r="M119" s="69">
        <v>0</v>
      </c>
      <c r="N119" s="86">
        <v>1</v>
      </c>
      <c r="O119" s="69">
        <v>0</v>
      </c>
      <c r="P119" s="69"/>
      <c r="Q119" s="69" t="s">
        <v>182</v>
      </c>
      <c r="R119" s="69">
        <f>IF(Q119="Free Recall",1,IF(Q119="Cued Recall",2,IF(Q119="Recognition",3,IF(Q119="Multiple Choice",4,IF(Q119="Savings",5,IF(Q119="Stem Completion",6,IF(Q119="Fragment Completion",7,IF(Q119="anagram solution",8,IF(Q119="Matching",9,IF(Q119="Problem Solving",10,"99"))))))))))</f>
        <v>4</v>
      </c>
      <c r="S119" s="69" t="s">
        <v>15</v>
      </c>
      <c r="T119" s="69" t="s">
        <v>261</v>
      </c>
      <c r="U119" s="69">
        <f>IF(T119="within",1,0)</f>
        <v>0</v>
      </c>
      <c r="V119" s="69">
        <v>9</v>
      </c>
      <c r="W119" s="69">
        <f>F119*V119</f>
        <v>3132</v>
      </c>
      <c r="X119" s="69">
        <v>6</v>
      </c>
      <c r="Y119" s="87">
        <f>AV118</f>
        <v>86400</v>
      </c>
      <c r="Z119" s="69" t="s">
        <v>18</v>
      </c>
      <c r="AA119" s="69">
        <f>28*24*60*60</f>
        <v>2419200</v>
      </c>
      <c r="AB119" s="69" t="str">
        <f>IF(AA119&lt;60,"1",IF(AA119&lt;=43200,"2",IF(AA119&lt;=777600,"3","4")))</f>
        <v>4</v>
      </c>
      <c r="AC119" s="72">
        <f>AVERAGE(AV118:DA118)</f>
        <v>1080000</v>
      </c>
      <c r="AD119" s="69" t="str">
        <f>IF(AC119&lt;60,"1",IF(AC119&lt;=43200,"2",IF(AC119&lt;=777600,"3","4")))</f>
        <v>4</v>
      </c>
      <c r="AE119" s="87">
        <f>AA119-Y119</f>
        <v>2332800</v>
      </c>
      <c r="AF119" s="88">
        <f>AV119</f>
        <v>0.92</v>
      </c>
      <c r="AG119" s="72">
        <f>((AW119-AV119)+(AX119-AW119)+(AY119-AX119)+(AZ119-AY119)+(BA119-AZ119))/5</f>
        <v>-2.6000000000000002E-2</v>
      </c>
      <c r="AH119" s="4"/>
      <c r="AI119" s="72">
        <f>RSQ(AV119:BA119,AV118:BA118)</f>
        <v>0.81384059784446783</v>
      </c>
      <c r="AJ119" s="110">
        <f>SLOPE(AV119:BA119,AV118:BA118)</f>
        <v>-5.3605129242071925E-8</v>
      </c>
      <c r="AK119" s="72">
        <f>INTERCEPT(AV119:BA119,AV118:BA118)</f>
        <v>0.90622687291477122</v>
      </c>
      <c r="AL119" s="72">
        <f>INDEX(LINEST(LN(AV119:BA119),LN(AV118:BA118),TRUE,TRUE),3,1)</f>
        <v>0.88375927949311928</v>
      </c>
      <c r="AM119" s="72">
        <f>INDEX(LINEST(LN(AV119:BA119),LN(AV118:BA118)),1)</f>
        <v>-4.801418031946577E-2</v>
      </c>
      <c r="AN119" s="72">
        <f>EXP(INDEX(LINEST(LN(AV119:BA119),LN(AV118:BA118)),1,2))</f>
        <v>1.6135407151810013</v>
      </c>
      <c r="AO119" s="89">
        <f>INDEX(LINEST((AV119:BA119),LN(AV118:BA118),TRUE,TRUE),3,1)</f>
        <v>0.89103597971615467</v>
      </c>
      <c r="AP119" s="89">
        <f>INDEX(LINEST((AV119:BA119),LN(AV118:BA118)),1)</f>
        <v>-4.1116685478949644E-2</v>
      </c>
      <c r="AQ119" s="90">
        <f>INDEX(LINEST(LN(AV119:BA119),SQRT(AV118:BA118),TRUE,TRUE),3,1)</f>
        <v>0.89564775714140954</v>
      </c>
      <c r="AR119" s="117">
        <f>INDEX(LINEST(LN(AV119:BA119),SQRT((AV118:BA118))),1)</f>
        <v>-1.2521419353924928E-4</v>
      </c>
      <c r="AS119" s="91">
        <f>INDEX(LINEST(1/(AV119:BA119),1/(SQRT(AV118:BA118)),TRUE,TRUE),3,1)</f>
        <v>0.74644853176931913</v>
      </c>
      <c r="AT119" s="91">
        <f>INDEX(LINEST(1/(AV119:BA119),1/SQRT(AV118:BA118)),1)</f>
        <v>-61.951388563468733</v>
      </c>
      <c r="AU119" s="3"/>
      <c r="AV119" s="73">
        <v>0.92</v>
      </c>
      <c r="AW119" s="73">
        <v>0.9</v>
      </c>
      <c r="AX119" s="73">
        <v>0.86</v>
      </c>
      <c r="AY119" s="73">
        <v>0.8</v>
      </c>
      <c r="AZ119" s="73">
        <v>0.82</v>
      </c>
      <c r="BA119" s="73">
        <v>0.79</v>
      </c>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53"/>
      <c r="CD119" s="53"/>
      <c r="CE119" s="53"/>
      <c r="CF119" s="53"/>
      <c r="CG119" s="53"/>
      <c r="CH119" s="53"/>
      <c r="CI119" s="53"/>
      <c r="CJ119" s="53"/>
      <c r="CK119" s="53"/>
      <c r="CL119" s="53"/>
      <c r="CM119" s="53"/>
      <c r="CN119" s="53"/>
      <c r="CO119" s="53"/>
      <c r="CP119" s="53"/>
      <c r="CQ119" s="53"/>
      <c r="CR119" s="1"/>
      <c r="CS119" s="1"/>
      <c r="CT119" s="1"/>
      <c r="CU119" s="1"/>
    </row>
    <row r="120" spans="1:99" s="13" customFormat="1" ht="12" customHeight="1" x14ac:dyDescent="0.2">
      <c r="A120" s="65">
        <v>43901</v>
      </c>
      <c r="D120" s="61"/>
      <c r="E120" s="76"/>
      <c r="F120" s="60"/>
      <c r="G120" s="60"/>
      <c r="H120" s="60"/>
      <c r="I120" s="60"/>
      <c r="J120" s="60"/>
      <c r="K120" s="64"/>
      <c r="L120" s="64"/>
      <c r="M120" s="60"/>
      <c r="N120" s="61"/>
      <c r="O120" s="60"/>
      <c r="P120" s="60"/>
      <c r="Q120" s="60"/>
      <c r="R120" s="60"/>
      <c r="S120" s="60"/>
      <c r="T120" s="60"/>
      <c r="U120" s="60"/>
      <c r="V120" s="60"/>
      <c r="W120" s="60"/>
      <c r="X120" s="60"/>
      <c r="Y120" s="76"/>
      <c r="Z120" s="60"/>
      <c r="AA120" s="60"/>
      <c r="AB120" s="60"/>
      <c r="AC120" s="56"/>
      <c r="AD120" s="60"/>
      <c r="AE120" s="60"/>
      <c r="AF120" s="80"/>
      <c r="AG120" s="56"/>
      <c r="AH120" s="4"/>
      <c r="AI120" s="56"/>
      <c r="AJ120" s="109"/>
      <c r="AK120" s="56"/>
      <c r="AL120" s="56"/>
      <c r="AM120" s="56"/>
      <c r="AN120" s="56"/>
      <c r="AO120" s="82"/>
      <c r="AP120" s="82"/>
      <c r="AQ120" s="83"/>
      <c r="AR120" s="116"/>
      <c r="AS120" s="84"/>
      <c r="AT120" s="84"/>
      <c r="AU120" s="3"/>
      <c r="AV120" s="25">
        <v>157680000</v>
      </c>
      <c r="AW120" s="25">
        <v>473040000</v>
      </c>
      <c r="AX120" s="25">
        <v>788400000</v>
      </c>
      <c r="AY120" s="25">
        <v>1103760000</v>
      </c>
      <c r="AZ120" s="53"/>
      <c r="BA120" s="53"/>
      <c r="BB120" s="53"/>
      <c r="BC120" s="53"/>
      <c r="BD120" s="53"/>
      <c r="BE120" s="53"/>
      <c r="BF120" s="53"/>
      <c r="BG120" s="53"/>
      <c r="BH120" s="53"/>
      <c r="BI120" s="53"/>
      <c r="BJ120" s="53"/>
      <c r="BK120" s="53"/>
      <c r="BL120" s="53"/>
      <c r="BM120" s="53"/>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53"/>
      <c r="CR120" s="1"/>
      <c r="CS120" s="1"/>
      <c r="CT120" s="1"/>
      <c r="CU120" s="1"/>
    </row>
    <row r="121" spans="1:99" s="13" customFormat="1" ht="12" customHeight="1" x14ac:dyDescent="0.2">
      <c r="A121" s="65">
        <v>43901</v>
      </c>
      <c r="B121" s="1" t="s">
        <v>446</v>
      </c>
      <c r="C121" s="1" t="s">
        <v>447</v>
      </c>
      <c r="D121" s="60">
        <v>1989</v>
      </c>
      <c r="E121" s="76">
        <v>1</v>
      </c>
      <c r="F121" s="60">
        <v>7</v>
      </c>
      <c r="G121" s="60">
        <v>7</v>
      </c>
      <c r="H121" s="60" t="s">
        <v>32</v>
      </c>
      <c r="I121" s="59" t="s">
        <v>330</v>
      </c>
      <c r="J121" s="60" t="s">
        <v>340</v>
      </c>
      <c r="K121" s="60">
        <f>IF(J121="syllables",1,IF(J121="trigrams",2,IF(J121="strings",3,IF(J121="visual array",4,IF(J121="characters",5,IF(J121="letters",6,IF(J121="free forms",7,IF(J121="odors",8,IF(J121="words",9,IF(J121="pictures",10,IF(J121="object pictures",11,IF(J121="faces",12,IF(J121="names",13,IF(J121="idioms",14,IF(J121="grades",15,IF(J121="syllable-digit pairs",16,IF(J121="trigram-word pairs",17,IF(J121="word-digit pairs",18,IF(J121="English-Swahili pairs",19,IF(J121="spatial position",20,IF(J121="word pairs",21,IF(J121="word triads",22,IF(J121="generated words",23,IF(J121="word definition pairs",24,IF(J121="math problems",25,IF(J121="famous faces",26,IF(J121="famous names",27,IF(J121="famous voices",28,IF(J121="television programs",29,IF(J121="race horses",30,IF(J121="new vocabulary",31,IF(J121="sentences",32,IF(J121="concepts",33,IF(J121="ad slides",34,IF(J121="scenes",35,IF(J121="famous scenes",36,IF(J121="poems",37,IF(J121="walk",38,IF(J121="faces and events",39,IF(J121="events and names",40,IF(J121="flashbulb",41,IF(J121="stories",42,IF(J121="course material",43,IF(J121="autobiographical",44,IF(J121="novels",45,IF(J121="public events",46,"99"))))))))))))))))))))))))))))))))))))))))))))))</f>
        <v>46</v>
      </c>
      <c r="L121" s="60">
        <f>IF(J121="syllables",1,IF(J121="trigrams",1,IF(J121="strings",1,IF(J121="visual array",1,IF(J121="characters",1,IF(J121="letters",1,IF(J121="free forms",1,IF(J121="odors",2,IF(J121="words",2,IF(J121="pictures",2,IF(J121="object pictures",2,IF(J121="faces",2,IF(J121="names",2,IF(J121="idioms","2",IF(J121="grades",2,IF(J121="syllable-digit pairs",3,IF(J121="trigram-word pairs",3,IF(J121="word-digit pairs",3,IF(J121="English-Swahili pairs",3,IF(J121="spatial position",3,IF(J121="word pairs",4,IF(J121="word triads",4,IF(J121="generated words",4,IF(J121="word definition pairs",4,IF(J121="math problems",4,IF(J121="famous faces",4,IF(J121="famous names",4,IF(J121="famous voices",4,IF(J121="television programs",4,IF(J121="race horses",4,IF(J121="new vocabulary",4,IF(J121="sentences",5,IF(J121="concepts",5,IF(J121="ad slides",5,IF(J121="scenes",5,IF(J121="famous scenes",5,IF(J121="poems",6,IF(J121="walk",6,IF(J121="faces and events",6,IF(J121="events and names",6,IF(J121="flashbulb",7,IF(J121="stories",7,IF(J121="course material",7,IF(J121="autobiographical",7,IF(J121="novels",7,IF(J121="public events",7,"99"))))))))))))))))))))))))))))))))))))))))))))))</f>
        <v>7</v>
      </c>
      <c r="M121" s="60">
        <v>1</v>
      </c>
      <c r="N121" s="61">
        <v>4</v>
      </c>
      <c r="O121" s="60">
        <v>0</v>
      </c>
      <c r="P121" s="60"/>
      <c r="Q121" s="60" t="s">
        <v>174</v>
      </c>
      <c r="R121" s="60">
        <f>IF(Q121="Free Recall",1,IF(Q121="Cued Recall",2,IF(Q121="Recognition",3,IF(Q121="Multiple Choice",4,IF(Q121="Savings",5,IF(Q121="Stem Completion",6,IF(Q121="Fragment Completion",7,IF(Q121="anagram solution",8,IF(Q121="Matching",9,IF(Q121="Problem Solving",10,"99"))))))))))</f>
        <v>1</v>
      </c>
      <c r="S121" s="60" t="s">
        <v>49</v>
      </c>
      <c r="T121" s="59" t="s">
        <v>581</v>
      </c>
      <c r="U121" s="60">
        <f>IF(T121="within",1,0)</f>
        <v>1</v>
      </c>
      <c r="V121" s="59">
        <v>60</v>
      </c>
      <c r="W121" s="60">
        <f>F121*V121</f>
        <v>420</v>
      </c>
      <c r="X121" s="60">
        <v>4</v>
      </c>
      <c r="Y121" s="76">
        <f>AV120</f>
        <v>157680000</v>
      </c>
      <c r="Z121" s="60" t="s">
        <v>375</v>
      </c>
      <c r="AA121" s="60">
        <f>35*365*24*60*60</f>
        <v>1103760000</v>
      </c>
      <c r="AB121" s="60" t="str">
        <f>IF(AA121&lt;60,"1",IF(AA121&lt;=43200,"2",IF(AA121&lt;=777600,"3","4")))</f>
        <v>4</v>
      </c>
      <c r="AC121" s="56">
        <f>AVERAGE(AV120:DA120)</f>
        <v>630720000</v>
      </c>
      <c r="AD121" s="60" t="str">
        <f>IF(AC121&lt;60,"1",IF(AC121&lt;=43200,"2",IF(AC121&lt;=777600,"3","4")))</f>
        <v>4</v>
      </c>
      <c r="AE121" s="76">
        <f>AA121-Y121</f>
        <v>946080000</v>
      </c>
      <c r="AF121" s="80">
        <f>AV121</f>
        <v>0.73</v>
      </c>
      <c r="AG121" s="56">
        <f>((AW121-AV121)+(AX121-AW121)+(AY121-AX121))/3</f>
        <v>2.3333333333333355E-2</v>
      </c>
      <c r="AH121" s="4"/>
      <c r="AI121" s="56">
        <f>RSQ(AV121:AY121,AV120:AY120)</f>
        <v>9.8768809849521313E-2</v>
      </c>
      <c r="AJ121" s="109">
        <f>SLOPE(AV121:AY121,AV120:AY120)</f>
        <v>6.0248604769152762E-11</v>
      </c>
      <c r="AK121" s="56">
        <f>INTERCEPT(AV121:AY121,AV120:AY120)</f>
        <v>0.78949999999999987</v>
      </c>
      <c r="AL121" s="56">
        <f>INDEX(LINEST(LN(AV121:AY121),LN(AV120:AY120),TRUE,TRUE),3,1)</f>
        <v>0.33339406594516235</v>
      </c>
      <c r="AM121" s="56">
        <f>INDEX(LINEST(LN(AV121:AY121),LN(AV120:AY120)),1)</f>
        <v>6.5191982916857405E-2</v>
      </c>
      <c r="AN121" s="56">
        <f>EXP(INDEX(LINEST(LN(AV121:AY121),LN(AV120:AY120)),1,2))</f>
        <v>0.2233129248633946</v>
      </c>
      <c r="AO121" s="82">
        <f>INDEX(LINEST((AV121:AY121),LN(AV120:AY120),TRUE,TRUE),3,1)</f>
        <v>0.30878313813380698</v>
      </c>
      <c r="AP121" s="82">
        <f>INDEX(LINEST((AV121:AY121),LN(AV120:AY120)),1)</f>
        <v>5.1006886643349694E-2</v>
      </c>
      <c r="AQ121" s="83">
        <f>INDEX(LINEST(LN(AV121:AY121),SQRT(AV120:AY120),TRUE,TRUE),3,1)</f>
        <v>0.213101366165175</v>
      </c>
      <c r="AR121" s="116">
        <f>INDEX(LINEST(LN(AV121:AY121),SQRT((AV120:AY120))),1)</f>
        <v>4.9791445104783468E-6</v>
      </c>
      <c r="AS121" s="84">
        <f>INDEX(LINEST(1/(AV121:AY121),1/(SQRT(AV120:AY120)),TRUE,TRUE),3,1)</f>
        <v>0.47774317757398677</v>
      </c>
      <c r="AT121" s="84">
        <f>INDEX(LINEST(1/(AV121:AY121),1/SQRT(AV120:AY120)),1)</f>
        <v>3691.2083641904651</v>
      </c>
      <c r="AU121" s="3"/>
      <c r="AV121" s="53">
        <v>0.73</v>
      </c>
      <c r="AW121" s="53">
        <v>0.9</v>
      </c>
      <c r="AX121" s="53">
        <v>0.88</v>
      </c>
      <c r="AY121" s="53">
        <v>0.8</v>
      </c>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c r="CO121" s="53"/>
      <c r="CP121" s="53"/>
      <c r="CQ121" s="53"/>
      <c r="CR121" s="1"/>
      <c r="CS121" s="1"/>
      <c r="CT121" s="1"/>
      <c r="CU121" s="1"/>
    </row>
    <row r="122" spans="1:99" s="13" customFormat="1" ht="12" customHeight="1" x14ac:dyDescent="0.2">
      <c r="A122" s="65">
        <v>43901</v>
      </c>
      <c r="D122" s="61"/>
      <c r="E122" s="76"/>
      <c r="F122" s="60"/>
      <c r="G122" s="60"/>
      <c r="H122" s="60"/>
      <c r="I122" s="60"/>
      <c r="J122" s="60"/>
      <c r="K122" s="64"/>
      <c r="L122" s="64"/>
      <c r="M122" s="60"/>
      <c r="N122" s="61"/>
      <c r="O122" s="60"/>
      <c r="P122" s="60"/>
      <c r="Q122" s="60"/>
      <c r="R122" s="60"/>
      <c r="S122" s="60"/>
      <c r="T122" s="60"/>
      <c r="U122" s="60"/>
      <c r="V122" s="60"/>
      <c r="W122" s="60"/>
      <c r="X122" s="60"/>
      <c r="Y122" s="76"/>
      <c r="Z122" s="60"/>
      <c r="AA122" s="60"/>
      <c r="AB122" s="60"/>
      <c r="AC122" s="56"/>
      <c r="AD122" s="60"/>
      <c r="AE122" s="60"/>
      <c r="AF122" s="80"/>
      <c r="AG122" s="56"/>
      <c r="AH122" s="4"/>
      <c r="AI122" s="56"/>
      <c r="AJ122" s="109"/>
      <c r="AK122" s="56"/>
      <c r="AL122" s="56"/>
      <c r="AM122" s="56"/>
      <c r="AN122" s="56"/>
      <c r="AO122" s="82"/>
      <c r="AP122" s="82"/>
      <c r="AQ122" s="83"/>
      <c r="AR122" s="116"/>
      <c r="AS122" s="84"/>
      <c r="AT122" s="84"/>
      <c r="AU122" s="3"/>
      <c r="AV122" s="25">
        <v>157680000</v>
      </c>
      <c r="AW122" s="25">
        <v>473040000</v>
      </c>
      <c r="AX122" s="25">
        <v>788400000</v>
      </c>
      <c r="AY122" s="25">
        <v>1103760000</v>
      </c>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c r="CA122" s="53"/>
      <c r="CB122" s="53"/>
      <c r="CC122" s="53"/>
      <c r="CD122" s="53"/>
      <c r="CE122" s="53"/>
      <c r="CF122" s="53"/>
      <c r="CG122" s="53"/>
      <c r="CH122" s="53"/>
      <c r="CI122" s="53"/>
      <c r="CJ122" s="53"/>
      <c r="CK122" s="53"/>
      <c r="CL122" s="53"/>
      <c r="CM122" s="53"/>
      <c r="CN122" s="53"/>
      <c r="CO122" s="53"/>
      <c r="CP122" s="53"/>
      <c r="CQ122" s="53"/>
      <c r="CR122" s="1"/>
      <c r="CS122" s="1"/>
      <c r="CT122" s="1"/>
      <c r="CU122" s="1"/>
    </row>
    <row r="123" spans="1:99" s="13" customFormat="1" ht="12" customHeight="1" x14ac:dyDescent="0.2">
      <c r="A123" s="65">
        <v>43901</v>
      </c>
      <c r="B123" s="1" t="s">
        <v>446</v>
      </c>
      <c r="C123" s="1" t="s">
        <v>447</v>
      </c>
      <c r="D123" s="60">
        <v>1989</v>
      </c>
      <c r="E123" s="76">
        <v>1</v>
      </c>
      <c r="F123" s="60">
        <v>7</v>
      </c>
      <c r="G123" s="60">
        <v>7</v>
      </c>
      <c r="H123" s="60" t="s">
        <v>32</v>
      </c>
      <c r="I123" s="59" t="s">
        <v>330</v>
      </c>
      <c r="J123" s="60" t="s">
        <v>342</v>
      </c>
      <c r="K123" s="60">
        <f>IF(J123="syllables",1,IF(J123="trigrams",2,IF(J123="strings",3,IF(J123="visual array",4,IF(J123="characters",5,IF(J123="letters",6,IF(J123="free forms",7,IF(J123="odors",8,IF(J123="words",9,IF(J123="pictures",10,IF(J123="object pictures",11,IF(J123="faces",12,IF(J123="names",13,IF(J123="idioms",14,IF(J123="grades",15,IF(J123="syllable-digit pairs",16,IF(J123="trigram-word pairs",17,IF(J123="word-digit pairs",18,IF(J123="English-Swahili pairs",19,IF(J123="spatial position",20,IF(J123="word pairs",21,IF(J123="word triads",22,IF(J123="generated words",23,IF(J123="word definition pairs",24,IF(J123="math problems",25,IF(J123="famous faces",26,IF(J123="famous names",27,IF(J123="famous voices",28,IF(J123="television programs",29,IF(J123="race horses",30,IF(J123="new vocabulary",31,IF(J123="sentences",32,IF(J123="concepts",33,IF(J123="ad slides",34,IF(J123="scenes",35,IF(J123="famous scenes",36,IF(J123="poems",37,IF(J123="walk",38,IF(J123="faces and events",39,IF(J123="events and names",40,IF(J123="flashbulb",41,IF(J123="stories",42,IF(J123="course material",43,IF(J123="autobiographical",44,IF(J123="novels",45,IF(J123="public events",46,"99"))))))))))))))))))))))))))))))))))))))))))))))</f>
        <v>26</v>
      </c>
      <c r="L123" s="60">
        <f>IF(J123="syllables",1,IF(J123="trigrams",1,IF(J123="strings",1,IF(J123="visual array",1,IF(J123="characters",1,IF(J123="letters",1,IF(J123="free forms",1,IF(J123="odors",2,IF(J123="words",2,IF(J123="pictures",2,IF(J123="object pictures",2,IF(J123="faces",2,IF(J123="names",2,IF(J123="idioms","2",IF(J123="grades",2,IF(J123="syllable-digit pairs",3,IF(J123="trigram-word pairs",3,IF(J123="word-digit pairs",3,IF(J123="English-Swahili pairs",3,IF(J123="spatial position",3,IF(J123="word pairs",4,IF(J123="word triads",4,IF(J123="generated words",4,IF(J123="word definition pairs",4,IF(J123="math problems",4,IF(J123="famous faces",4,IF(J123="famous names",4,IF(J123="famous voices",4,IF(J123="television programs",4,IF(J123="race horses",4,IF(J123="new vocabulary",4,IF(J123="sentences",5,IF(J123="concepts",5,IF(J123="ad slides",5,IF(J123="scenes",5,IF(J123="famous scenes",5,IF(J123="poems",6,IF(J123="walk",6,IF(J123="faces and events",6,IF(J123="events and names",6,IF(J123="flashbulb",7,IF(J123="stories",7,IF(J123="course material",7,IF(J123="autobiographical",7,IF(J123="novels",7,IF(J123="public events",7,"99"))))))))))))))))))))))))))))))))))))))))))))))</f>
        <v>4</v>
      </c>
      <c r="M123" s="60">
        <v>1</v>
      </c>
      <c r="N123" s="61">
        <v>2</v>
      </c>
      <c r="O123" s="60">
        <v>0</v>
      </c>
      <c r="P123" s="60"/>
      <c r="Q123" s="60" t="s">
        <v>174</v>
      </c>
      <c r="R123" s="60">
        <f>IF(Q123="Free Recall",1,IF(Q123="Cued Recall",2,IF(Q123="Recognition",3,IF(Q123="Multiple Choice",4,IF(Q123="Savings",5,IF(Q123="Stem Completion",6,IF(Q123="Fragment Completion",7,IF(Q123="anagram solution",8,IF(Q123="Matching",9,IF(Q123="Problem Solving",10,"99"))))))))))</f>
        <v>1</v>
      </c>
      <c r="S123" s="60" t="s">
        <v>49</v>
      </c>
      <c r="T123" s="59" t="s">
        <v>581</v>
      </c>
      <c r="U123" s="60">
        <f>IF(T123="within",1,0)</f>
        <v>1</v>
      </c>
      <c r="V123" s="59">
        <v>60</v>
      </c>
      <c r="W123" s="60">
        <f>F123*V123</f>
        <v>420</v>
      </c>
      <c r="X123" s="60">
        <v>4</v>
      </c>
      <c r="Y123" s="76">
        <f>AV122</f>
        <v>157680000</v>
      </c>
      <c r="Z123" s="60" t="s">
        <v>375</v>
      </c>
      <c r="AA123" s="60">
        <f>35*365*24*60*60</f>
        <v>1103760000</v>
      </c>
      <c r="AB123" s="60" t="str">
        <f>IF(AA123&lt;60,"1",IF(AA123&lt;=43200,"2",IF(AA123&lt;=777600,"3","4")))</f>
        <v>4</v>
      </c>
      <c r="AC123" s="56">
        <f>AVERAGE(AV122:DA122)</f>
        <v>630720000</v>
      </c>
      <c r="AD123" s="60" t="str">
        <f>IF(AC123&lt;60,"1",IF(AC123&lt;=43200,"2",IF(AC123&lt;=777600,"3","4")))</f>
        <v>4</v>
      </c>
      <c r="AE123" s="76">
        <f>AA123-Y123</f>
        <v>946080000</v>
      </c>
      <c r="AF123" s="80">
        <f>AV123</f>
        <v>0.81</v>
      </c>
      <c r="AG123" s="56">
        <f>((AW123-AV123)+(AX123-AW123)+(AY123-AX123))/3</f>
        <v>1.999999999999998E-2</v>
      </c>
      <c r="AH123" s="4"/>
      <c r="AI123" s="56">
        <f>RSQ(AV123:AY123,AV122:AY122)</f>
        <v>0.28985507246376774</v>
      </c>
      <c r="AJ123" s="109">
        <f>SLOPE(AV123:AY123,AV122:AY122)</f>
        <v>6.341958396752912E-11</v>
      </c>
      <c r="AK123" s="56">
        <f>INTERCEPT(AV123:AY123,AV122:AY122)</f>
        <v>0.76500000000000012</v>
      </c>
      <c r="AL123" s="56">
        <f>INDEX(LINEST(LN(AV123:AY123),LN(AV122:AY122),TRUE,TRUE),3,1)</f>
        <v>8.3064597925977313E-2</v>
      </c>
      <c r="AM123" s="56">
        <f>INDEX(LINEST(LN(AV123:AY123),LN(AV122:AY122)),1)</f>
        <v>1.9923960669602097E-2</v>
      </c>
      <c r="AN123" s="56">
        <f>EXP(INDEX(LINEST(LN(AV123:AY123),LN(AV122:AY122)),1,2))</f>
        <v>0.53929750839405977</v>
      </c>
      <c r="AO123" s="82">
        <f>INDEX(LINEST((AV123:AY123),LN(AV122:AY122),TRUE,TRUE),3,1)</f>
        <v>9.0540890382917127E-2</v>
      </c>
      <c r="AP123" s="82">
        <f>INDEX(LINEST((AV123:AY123),LN(AV122:AY122)),1)</f>
        <v>1.6971501258600186E-2</v>
      </c>
      <c r="AQ123" s="83">
        <f>INDEX(LINEST(LN(AV123:AY123),SQRT(AV122:AY122),TRUE,TRUE),3,1)</f>
        <v>0.1691850368650375</v>
      </c>
      <c r="AR123" s="116">
        <f>INDEX(LINEST(LN(AV123:AY123),SQRT((AV122:AY122))),1)</f>
        <v>2.716408140039846E-6</v>
      </c>
      <c r="AS123" s="84">
        <f>INDEX(LINEST(1/(AV123:AY123),1/(SQRT(AV122:AY122)),TRUE,TRUE),3,1)</f>
        <v>2.6267050696763574E-2</v>
      </c>
      <c r="AT123" s="84">
        <f>INDEX(LINEST(1/(AV123:AY123),1/SQRT(AV122:AY122)),1)</f>
        <v>526.86824587090393</v>
      </c>
      <c r="AU123" s="3"/>
      <c r="AV123" s="53">
        <v>0.81</v>
      </c>
      <c r="AW123" s="53">
        <v>0.76</v>
      </c>
      <c r="AX123" s="53">
        <v>0.78</v>
      </c>
      <c r="AY123" s="53">
        <v>0.87</v>
      </c>
      <c r="AZ123" s="53"/>
      <c r="BA123" s="53"/>
      <c r="BB123" s="53"/>
      <c r="BC123" s="53"/>
      <c r="BD123" s="53"/>
      <c r="BE123" s="53"/>
      <c r="BF123" s="53"/>
      <c r="BG123" s="53"/>
      <c r="BH123" s="53"/>
      <c r="BI123" s="53"/>
      <c r="BJ123" s="53"/>
      <c r="BK123" s="53"/>
      <c r="BL123" s="53"/>
      <c r="BM123" s="53"/>
      <c r="BN123" s="53"/>
      <c r="BO123" s="53"/>
      <c r="BP123" s="53"/>
      <c r="BQ123" s="53"/>
      <c r="BR123" s="53"/>
      <c r="BS123" s="53"/>
      <c r="BT123" s="53"/>
      <c r="BU123" s="53"/>
      <c r="BV123" s="53"/>
      <c r="BW123" s="53"/>
      <c r="BX123" s="53"/>
      <c r="BY123" s="53"/>
      <c r="BZ123" s="53"/>
      <c r="CA123" s="53"/>
      <c r="CB123" s="53"/>
      <c r="CC123" s="53"/>
      <c r="CD123" s="53"/>
      <c r="CE123" s="53"/>
      <c r="CF123" s="53"/>
      <c r="CG123" s="53"/>
      <c r="CH123" s="53"/>
      <c r="CI123" s="53"/>
      <c r="CJ123" s="53"/>
      <c r="CK123" s="53"/>
      <c r="CL123" s="53"/>
      <c r="CM123" s="53"/>
      <c r="CN123" s="53"/>
      <c r="CO123" s="53"/>
      <c r="CP123" s="53"/>
      <c r="CQ123" s="53"/>
      <c r="CR123" s="1"/>
      <c r="CS123" s="1"/>
      <c r="CT123" s="1"/>
      <c r="CU123" s="1"/>
    </row>
    <row r="124" spans="1:99" s="13" customFormat="1" ht="12" customHeight="1" x14ac:dyDescent="0.2">
      <c r="A124" s="68">
        <v>43902</v>
      </c>
      <c r="B124" s="70"/>
      <c r="C124" s="70"/>
      <c r="D124" s="69"/>
      <c r="E124" s="87"/>
      <c r="F124" s="69"/>
      <c r="G124" s="69"/>
      <c r="H124" s="69"/>
      <c r="I124" s="69"/>
      <c r="J124" s="69"/>
      <c r="K124" s="107"/>
      <c r="L124" s="107"/>
      <c r="M124" s="69"/>
      <c r="N124" s="86"/>
      <c r="O124" s="69"/>
      <c r="P124" s="69"/>
      <c r="Q124" s="69"/>
      <c r="R124" s="69"/>
      <c r="S124" s="69"/>
      <c r="T124" s="69"/>
      <c r="U124" s="69"/>
      <c r="V124" s="69"/>
      <c r="W124" s="69"/>
      <c r="X124" s="69"/>
      <c r="Y124" s="87"/>
      <c r="Z124" s="69"/>
      <c r="AA124" s="69"/>
      <c r="AB124" s="69"/>
      <c r="AC124" s="72"/>
      <c r="AD124" s="69"/>
      <c r="AE124" s="69"/>
      <c r="AF124" s="88"/>
      <c r="AG124" s="72"/>
      <c r="AH124" s="4"/>
      <c r="AI124" s="72"/>
      <c r="AJ124" s="110"/>
      <c r="AK124" s="72"/>
      <c r="AL124" s="72"/>
      <c r="AM124" s="72"/>
      <c r="AN124" s="72"/>
      <c r="AO124" s="89"/>
      <c r="AP124" s="89"/>
      <c r="AQ124" s="90"/>
      <c r="AR124" s="117"/>
      <c r="AS124" s="91"/>
      <c r="AT124" s="91"/>
      <c r="AU124" s="3"/>
      <c r="AV124" s="71">
        <v>94608000</v>
      </c>
      <c r="AW124" s="71">
        <v>409968000</v>
      </c>
      <c r="AX124" s="71">
        <v>725328000</v>
      </c>
      <c r="AY124" s="71">
        <v>1040688000</v>
      </c>
      <c r="AZ124" s="71">
        <v>1356048000</v>
      </c>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c r="BY124" s="53"/>
      <c r="BZ124" s="53"/>
      <c r="CA124" s="53"/>
      <c r="CB124" s="53"/>
      <c r="CC124" s="53"/>
      <c r="CD124" s="53"/>
      <c r="CE124" s="53"/>
      <c r="CF124" s="53"/>
      <c r="CG124" s="53"/>
      <c r="CH124" s="53"/>
      <c r="CI124" s="53"/>
      <c r="CJ124" s="53"/>
      <c r="CK124" s="53"/>
      <c r="CL124" s="53"/>
      <c r="CM124" s="53"/>
      <c r="CN124" s="53"/>
      <c r="CO124" s="53"/>
      <c r="CP124" s="53"/>
      <c r="CQ124" s="53"/>
      <c r="CR124" s="1"/>
      <c r="CS124" s="1"/>
      <c r="CT124" s="1"/>
      <c r="CU124" s="1"/>
    </row>
    <row r="125" spans="1:99" s="13" customFormat="1" ht="12" customHeight="1" x14ac:dyDescent="0.2">
      <c r="A125" s="68">
        <v>43902</v>
      </c>
      <c r="B125" s="70" t="s">
        <v>453</v>
      </c>
      <c r="C125" s="70" t="s">
        <v>425</v>
      </c>
      <c r="D125" s="69">
        <v>1988</v>
      </c>
      <c r="E125" s="87">
        <v>1</v>
      </c>
      <c r="F125" s="69">
        <v>26</v>
      </c>
      <c r="G125" s="69">
        <v>26</v>
      </c>
      <c r="H125" s="69" t="s">
        <v>50</v>
      </c>
      <c r="I125" s="92" t="s">
        <v>330</v>
      </c>
      <c r="J125" s="69" t="s">
        <v>336</v>
      </c>
      <c r="K125" s="69">
        <f>IF(J125="syllables",1,IF(J125="trigrams",2,IF(J125="strings",3,IF(J125="visual array",4,IF(J125="characters",5,IF(J125="letters",6,IF(J125="free forms",7,IF(J125="odors",8,IF(J125="words",9,IF(J125="pictures",10,IF(J125="object pictures",11,IF(J125="faces",12,IF(J125="names",13,IF(J125="idioms",14,IF(J125="grades",15,IF(J125="syllable-digit pairs",16,IF(J125="trigram-word pairs",17,IF(J125="word-digit pairs",18,IF(J125="English-Swahili pairs",19,IF(J125="spatial position",20,IF(J125="word pairs",21,IF(J125="word triads",22,IF(J125="generated words",23,IF(J125="word definition pairs",24,IF(J125="math problems",25,IF(J125="famous faces",26,IF(J125="famous names",27,IF(J125="famous voices",28,IF(J125="television programs",29,IF(J125="race horses",30,IF(J125="new vocabulary",31,IF(J125="sentences",32,IF(J125="concepts",33,IF(J125="ad slides",34,IF(J125="scenes",35,IF(J125="famous scenes",36,IF(J125="poems",37,IF(J125="walk",38,IF(J125="faces and events",39,IF(J125="events and names",40,IF(J125="flashbulb",41,IF(J125="stories",42,IF(J125="course material",43,IF(J125="autobiographical",44,IF(J125="novels",45,IF(J125="public events",46,"99"))))))))))))))))))))))))))))))))))))))))))))))</f>
        <v>39</v>
      </c>
      <c r="L125" s="69">
        <f>IF(J125="syllables",1,IF(J125="trigrams",1,IF(J125="strings",1,IF(J125="visual array",1,IF(J125="characters",1,IF(J125="letters",1,IF(J125="free forms",1,IF(J125="odors",2,IF(J125="words",2,IF(J125="pictures",2,IF(J125="object pictures",2,IF(J125="faces",2,IF(J125="names",2,IF(J125="idioms","2",IF(J125="grades",2,IF(J125="syllable-digit pairs",3,IF(J125="trigram-word pairs",3,IF(J125="word-digit pairs",3,IF(J125="English-Swahili pairs",3,IF(J125="spatial position",3,IF(J125="word pairs",4,IF(J125="word triads",4,IF(J125="generated words",4,IF(J125="word definition pairs",4,IF(J125="math problems",4,IF(J125="famous faces",4,IF(J125="famous names",4,IF(J125="famous voices",4,IF(J125="television programs",4,IF(J125="race horses",4,IF(J125="new vocabulary",4,IF(J125="sentences",5,IF(J125="concepts",5,IF(J125="ad slides",5,IF(J125="scenes",5,IF(J125="famous scenes",5,IF(J125="poems",6,IF(J125="walk",6,IF(J125="faces and events",6,IF(J125="events and names",6,IF(J125="flashbulb",7,IF(J125="stories",7,IF(J125="course material",7,IF(J125="autobiographical",7,IF(J125="novels",7,IF(J125="public events",7,"99"))))))))))))))))))))))))))))))))))))))))))))))</f>
        <v>6</v>
      </c>
      <c r="M125" s="69">
        <v>1</v>
      </c>
      <c r="N125" s="86">
        <v>3</v>
      </c>
      <c r="O125" s="69">
        <v>0</v>
      </c>
      <c r="P125" s="69"/>
      <c r="Q125" s="69" t="s">
        <v>174</v>
      </c>
      <c r="R125" s="69">
        <f>IF(Q125="Free Recall",1,IF(Q125="Cued Recall",2,IF(Q125="Recognition",3,IF(Q125="Multiple Choice",4,IF(Q125="Savings",5,IF(Q125="Stem Completion",6,IF(Q125="Fragment Completion",7,IF(Q125="anagram solution",8,IF(Q125="Matching",9,IF(Q125="Problem Solving",10,"99"))))))))))</f>
        <v>1</v>
      </c>
      <c r="S125" s="69" t="s">
        <v>49</v>
      </c>
      <c r="T125" s="92" t="s">
        <v>581</v>
      </c>
      <c r="U125" s="69">
        <f>IF(T125="within",1,0)</f>
        <v>1</v>
      </c>
      <c r="V125" s="92">
        <v>75</v>
      </c>
      <c r="W125" s="69">
        <f>F125*V125</f>
        <v>1950</v>
      </c>
      <c r="X125" s="69">
        <v>5</v>
      </c>
      <c r="Y125" s="87">
        <f>AV124</f>
        <v>94608000</v>
      </c>
      <c r="Z125" s="69" t="s">
        <v>426</v>
      </c>
      <c r="AA125" s="69">
        <f>43*365*24*60*60</f>
        <v>1356048000</v>
      </c>
      <c r="AB125" s="69" t="str">
        <f>IF(AA125&lt;60,"1",IF(AA125&lt;=43200,"2",IF(AA125&lt;=777600,"3","4")))</f>
        <v>4</v>
      </c>
      <c r="AC125" s="72">
        <f>AVERAGE(AV124:DA124)</f>
        <v>725328000</v>
      </c>
      <c r="AD125" s="69" t="str">
        <f>IF(AC125&lt;60,"1",IF(AC125&lt;=43200,"2",IF(AC125&lt;=777600,"3","4")))</f>
        <v>4</v>
      </c>
      <c r="AE125" s="87">
        <f>AA125-Y125</f>
        <v>1261440000</v>
      </c>
      <c r="AF125" s="88">
        <f>AV125</f>
        <v>0.57999999999999996</v>
      </c>
      <c r="AG125" s="72">
        <f>((AW125-AV125)+(AX125-AW125)+(AY125-AX125)+(AZ125-AY125))/4</f>
        <v>-2.4999999999999994E-2</v>
      </c>
      <c r="AH125" s="4"/>
      <c r="AI125" s="72">
        <f>RSQ(AV125:AZ125,AV124:AZ124)</f>
        <v>0.52083333333333348</v>
      </c>
      <c r="AJ125" s="110">
        <f>SLOPE(AV125:AZ125,AV124:AZ124)</f>
        <v>-6.3419583967529159E-11</v>
      </c>
      <c r="AK125" s="72">
        <f>INTERCEPT(AV125:AZ125,AV124:AZ124)</f>
        <v>0.60400000000000009</v>
      </c>
      <c r="AL125" s="72">
        <f>INDEX(LINEST(LN(AV125:AZ125),LN(AV124:AZ124),TRUE,TRUE),3,1)</f>
        <v>0.27876984355354839</v>
      </c>
      <c r="AM125" s="72">
        <f>INDEX(LINEST(LN(AV125:AZ125),LN(AV124:AZ124)),1)</f>
        <v>-4.1465481467406064E-2</v>
      </c>
      <c r="AN125" s="72">
        <f>EXP(INDEX(LINEST(LN(AV125:AZ125),LN(AV124:AZ124)),1,2))</f>
        <v>1.2795260339791454</v>
      </c>
      <c r="AO125" s="89">
        <f>INDEX(LINEST((AV125:AZ125),LN(AV124:AZ124),TRUE,TRUE),3,1)</f>
        <v>0.28099410716676088</v>
      </c>
      <c r="AP125" s="89">
        <f>INDEX(LINEST((AV125:AZ125),LN(AV124:AZ124)),1)</f>
        <v>-2.1970062088028489E-2</v>
      </c>
      <c r="AQ125" s="90">
        <f>INDEX(LINEST(LN(AV125:AZ125),SQRT(AV124:AZ124),TRUE,TRUE),3,1)</f>
        <v>0.39918031603574167</v>
      </c>
      <c r="AR125" s="117">
        <f>INDEX(LINEST(LN(AV125:AZ125),SQRT((AV124:AZ124))),1)</f>
        <v>-4.9353285677035235E-6</v>
      </c>
      <c r="AS125" s="91">
        <f>INDEX(LINEST(1/(AV125:AZ125),1/(SQRT(AV124:AZ124)),TRUE,TRUE),3,1)</f>
        <v>0.18459492975610362</v>
      </c>
      <c r="AT125" s="91">
        <f>INDEX(LINEST(1/(AV125:AZ125),1/SQRT(AV124:AZ124)),1)</f>
        <v>-2189.1487818446717</v>
      </c>
      <c r="AU125" s="3"/>
      <c r="AV125" s="73">
        <v>0.57999999999999996</v>
      </c>
      <c r="AW125" s="73">
        <v>0.57999999999999996</v>
      </c>
      <c r="AX125" s="73">
        <v>0.56999999999999995</v>
      </c>
      <c r="AY125" s="73">
        <v>0.57999999999999996</v>
      </c>
      <c r="AZ125" s="73">
        <v>0.48</v>
      </c>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53"/>
      <c r="CD125" s="53"/>
      <c r="CE125" s="53"/>
      <c r="CF125" s="53"/>
      <c r="CG125" s="53"/>
      <c r="CH125" s="53"/>
      <c r="CI125" s="53"/>
      <c r="CJ125" s="53"/>
      <c r="CK125" s="53"/>
      <c r="CL125" s="53"/>
      <c r="CM125" s="53"/>
      <c r="CN125" s="53"/>
      <c r="CO125" s="53"/>
      <c r="CP125" s="53"/>
      <c r="CQ125" s="53"/>
      <c r="CR125" s="1"/>
      <c r="CS125" s="1"/>
      <c r="CT125" s="1"/>
      <c r="CU125" s="1"/>
    </row>
    <row r="126" spans="1:99" s="13" customFormat="1" ht="12" customHeight="1" x14ac:dyDescent="0.2">
      <c r="A126" s="68">
        <v>43902</v>
      </c>
      <c r="B126" s="70"/>
      <c r="C126" s="70"/>
      <c r="D126" s="69"/>
      <c r="E126" s="87"/>
      <c r="F126" s="69"/>
      <c r="G126" s="69"/>
      <c r="H126" s="69"/>
      <c r="I126" s="69"/>
      <c r="J126" s="69"/>
      <c r="K126" s="107"/>
      <c r="L126" s="107"/>
      <c r="M126" s="69"/>
      <c r="N126" s="86"/>
      <c r="O126" s="69"/>
      <c r="P126" s="69"/>
      <c r="Q126" s="69"/>
      <c r="R126" s="69"/>
      <c r="S126" s="69"/>
      <c r="T126" s="69"/>
      <c r="U126" s="69"/>
      <c r="V126" s="69"/>
      <c r="W126" s="69"/>
      <c r="X126" s="69"/>
      <c r="Y126" s="87"/>
      <c r="Z126" s="69"/>
      <c r="AA126" s="69"/>
      <c r="AB126" s="69"/>
      <c r="AC126" s="72"/>
      <c r="AD126" s="69"/>
      <c r="AE126" s="69"/>
      <c r="AF126" s="88"/>
      <c r="AG126" s="72"/>
      <c r="AH126" s="4"/>
      <c r="AI126" s="72"/>
      <c r="AJ126" s="110"/>
      <c r="AK126" s="72"/>
      <c r="AL126" s="72"/>
      <c r="AM126" s="72"/>
      <c r="AN126" s="72"/>
      <c r="AO126" s="89"/>
      <c r="AP126" s="89"/>
      <c r="AQ126" s="90"/>
      <c r="AR126" s="117"/>
      <c r="AS126" s="91"/>
      <c r="AT126" s="91"/>
      <c r="AU126" s="3"/>
      <c r="AV126" s="71">
        <v>94608000</v>
      </c>
      <c r="AW126" s="71">
        <v>409968000</v>
      </c>
      <c r="AX126" s="71">
        <v>725328000</v>
      </c>
      <c r="AY126" s="71">
        <v>1040688000</v>
      </c>
      <c r="AZ126" s="71">
        <v>1356048000</v>
      </c>
      <c r="BA126" s="53"/>
      <c r="BB126" s="53"/>
      <c r="BC126" s="53"/>
      <c r="BD126" s="53"/>
      <c r="BE126" s="53"/>
      <c r="BF126" s="53"/>
      <c r="BG126" s="53"/>
      <c r="BH126" s="53"/>
      <c r="BI126" s="53"/>
      <c r="BJ126" s="53"/>
      <c r="BK126" s="53"/>
      <c r="BL126" s="53"/>
      <c r="BM126" s="53"/>
      <c r="BN126" s="53"/>
      <c r="BO126" s="53"/>
      <c r="BP126" s="53"/>
      <c r="BQ126" s="53"/>
      <c r="BR126" s="53"/>
      <c r="BS126" s="53"/>
      <c r="BT126" s="53"/>
      <c r="BU126" s="53"/>
      <c r="BV126" s="53"/>
      <c r="BW126" s="53"/>
      <c r="BX126" s="53"/>
      <c r="BY126" s="53"/>
      <c r="BZ126" s="53"/>
      <c r="CA126" s="53"/>
      <c r="CB126" s="53"/>
      <c r="CC126" s="53"/>
      <c r="CD126" s="53"/>
      <c r="CE126" s="53"/>
      <c r="CF126" s="53"/>
      <c r="CG126" s="53"/>
      <c r="CH126" s="53"/>
      <c r="CI126" s="53"/>
      <c r="CJ126" s="53"/>
      <c r="CK126" s="53"/>
      <c r="CL126" s="53"/>
      <c r="CM126" s="53"/>
      <c r="CN126" s="53"/>
      <c r="CO126" s="53"/>
      <c r="CP126" s="53"/>
      <c r="CQ126" s="53"/>
      <c r="CR126" s="1"/>
      <c r="CS126" s="1"/>
      <c r="CT126" s="1"/>
      <c r="CU126" s="1"/>
    </row>
    <row r="127" spans="1:99" s="13" customFormat="1" ht="12" customHeight="1" x14ac:dyDescent="0.2">
      <c r="A127" s="68">
        <v>43902</v>
      </c>
      <c r="B127" s="70" t="s">
        <v>453</v>
      </c>
      <c r="C127" s="70" t="s">
        <v>425</v>
      </c>
      <c r="D127" s="69">
        <v>1988</v>
      </c>
      <c r="E127" s="87">
        <v>1</v>
      </c>
      <c r="F127" s="69">
        <v>26</v>
      </c>
      <c r="G127" s="69">
        <v>26</v>
      </c>
      <c r="H127" s="69" t="s">
        <v>50</v>
      </c>
      <c r="I127" s="92" t="s">
        <v>330</v>
      </c>
      <c r="J127" s="69" t="s">
        <v>336</v>
      </c>
      <c r="K127" s="69">
        <f>IF(J127="syllables",1,IF(J127="trigrams",2,IF(J127="strings",3,IF(J127="visual array",4,IF(J127="characters",5,IF(J127="letters",6,IF(J127="free forms",7,IF(J127="odors",8,IF(J127="words",9,IF(J127="pictures",10,IF(J127="object pictures",11,IF(J127="faces",12,IF(J127="names",13,IF(J127="idioms",14,IF(J127="grades",15,IF(J127="syllable-digit pairs",16,IF(J127="trigram-word pairs",17,IF(J127="word-digit pairs",18,IF(J127="English-Swahili pairs",19,IF(J127="spatial position",20,IF(J127="word pairs",21,IF(J127="word triads",22,IF(J127="generated words",23,IF(J127="word definition pairs",24,IF(J127="math problems",25,IF(J127="famous faces",26,IF(J127="famous names",27,IF(J127="famous voices",28,IF(J127="television programs",29,IF(J127="race horses",30,IF(J127="new vocabulary",31,IF(J127="sentences",32,IF(J127="concepts",33,IF(J127="ad slides",34,IF(J127="scenes",35,IF(J127="famous scenes",36,IF(J127="poems",37,IF(J127="walk",38,IF(J127="faces and events",39,IF(J127="events and names",40,IF(J127="flashbulb",41,IF(J127="stories",42,IF(J127="course material",43,IF(J127="autobiographical",44,IF(J127="novels",45,IF(J127="public events",46,"99"))))))))))))))))))))))))))))))))))))))))))))))</f>
        <v>39</v>
      </c>
      <c r="L127" s="69">
        <f>IF(J127="syllables",1,IF(J127="trigrams",1,IF(J127="strings",1,IF(J127="visual array",1,IF(J127="characters",1,IF(J127="letters",1,IF(J127="free forms",1,IF(J127="odors",2,IF(J127="words",2,IF(J127="pictures",2,IF(J127="object pictures",2,IF(J127="faces",2,IF(J127="names",2,IF(J127="idioms","2",IF(J127="grades",2,IF(J127="syllable-digit pairs",3,IF(J127="trigram-word pairs",3,IF(J127="word-digit pairs",3,IF(J127="English-Swahili pairs",3,IF(J127="spatial position",3,IF(J127="word pairs",4,IF(J127="word triads",4,IF(J127="generated words",4,IF(J127="word definition pairs",4,IF(J127="math problems",4,IF(J127="famous faces",4,IF(J127="famous names",4,IF(J127="famous voices",4,IF(J127="television programs",4,IF(J127="race horses",4,IF(J127="new vocabulary",4,IF(J127="sentences",5,IF(J127="concepts",5,IF(J127="ad slides",5,IF(J127="scenes",5,IF(J127="famous scenes",5,IF(J127="poems",6,IF(J127="walk",6,IF(J127="faces and events",6,IF(J127="events and names",6,IF(J127="flashbulb",7,IF(J127="stories",7,IF(J127="course material",7,IF(J127="autobiographical",7,IF(J127="novels",7,IF(J127="public events",7,"99"))))))))))))))))))))))))))))))))))))))))))))))</f>
        <v>6</v>
      </c>
      <c r="M127" s="69">
        <v>1</v>
      </c>
      <c r="N127" s="86">
        <v>3</v>
      </c>
      <c r="O127" s="69">
        <v>0</v>
      </c>
      <c r="P127" s="69"/>
      <c r="Q127" s="69" t="s">
        <v>182</v>
      </c>
      <c r="R127" s="69">
        <f>IF(Q127="Free Recall",1,IF(Q127="Cued Recall",2,IF(Q127="Recognition",3,IF(Q127="Multiple Choice",4,IF(Q127="Savings",5,IF(Q127="Stem Completion",6,IF(Q127="Fragment Completion",7,IF(Q127="anagram solution",8,IF(Q127="Matching",9,IF(Q127="Problem Solving",10,"99"))))))))))</f>
        <v>4</v>
      </c>
      <c r="S127" s="69" t="s">
        <v>15</v>
      </c>
      <c r="T127" s="92" t="s">
        <v>581</v>
      </c>
      <c r="U127" s="69">
        <f>IF(T127="within",1,0)</f>
        <v>1</v>
      </c>
      <c r="V127" s="92">
        <v>75</v>
      </c>
      <c r="W127" s="69">
        <f>F127*V127</f>
        <v>1950</v>
      </c>
      <c r="X127" s="69">
        <v>5</v>
      </c>
      <c r="Y127" s="87">
        <f>AV126</f>
        <v>94608000</v>
      </c>
      <c r="Z127" s="69" t="s">
        <v>426</v>
      </c>
      <c r="AA127" s="69">
        <f>43*365*24*60*60</f>
        <v>1356048000</v>
      </c>
      <c r="AB127" s="69" t="str">
        <f>IF(AA127&lt;60,"1",IF(AA127&lt;=43200,"2",IF(AA127&lt;=777600,"3","4")))</f>
        <v>4</v>
      </c>
      <c r="AC127" s="72">
        <f>AVERAGE(AV126:DA126)</f>
        <v>725328000</v>
      </c>
      <c r="AD127" s="69" t="str">
        <f>IF(AC127&lt;60,"1",IF(AC127&lt;=43200,"2",IF(AC127&lt;=777600,"3","4")))</f>
        <v>4</v>
      </c>
      <c r="AE127" s="87">
        <f>AA127-Y127</f>
        <v>1261440000</v>
      </c>
      <c r="AF127" s="88">
        <f>AV127</f>
        <v>0.9</v>
      </c>
      <c r="AG127" s="72">
        <f>((AW127-AV127)+(AX127-AW127)+(AY127-AX127)+(AZ127-AY127))/4</f>
        <v>-2.7499999999999997E-2</v>
      </c>
      <c r="AH127" s="4"/>
      <c r="AI127" s="72">
        <f>RSQ(AV127:AZ127,AV126:AZ126)</f>
        <v>0.85786802030456866</v>
      </c>
      <c r="AJ127" s="110">
        <f>SLOPE(AV127:AZ127,AV126:AZ126)</f>
        <v>-8.2445459157787926E-11</v>
      </c>
      <c r="AK127" s="72">
        <f>INTERCEPT(AV127:AZ127,AV126:AZ126)</f>
        <v>0.92180000000000006</v>
      </c>
      <c r="AL127" s="72">
        <f>INDEX(LINEST(LN(AV127:AZ127),LN(AV126:AZ126),TRUE,TRUE),3,1)</f>
        <v>0.56503942925891548</v>
      </c>
      <c r="AM127" s="72">
        <f>INDEX(LINEST(LN(AV127:AZ127),LN(AV126:AZ126)),1)</f>
        <v>-3.7468316457231234E-2</v>
      </c>
      <c r="AN127" s="72">
        <f>EXP(INDEX(LINEST(LN(AV127:AZ127),LN(AV126:AZ126)),1,2))</f>
        <v>1.8270356733881319</v>
      </c>
      <c r="AO127" s="89">
        <f>INDEX(LINEST((AV127:AZ127),LN(AV126:AZ126),TRUE,TRUE),3,1)</f>
        <v>0.57848153616717801</v>
      </c>
      <c r="AP127" s="89">
        <f>INDEX(LINEST((AV127:AZ127),LN(AV126:AZ126)),1)</f>
        <v>-3.1930809424982776E-2</v>
      </c>
      <c r="AQ127" s="90">
        <f>INDEX(LINEST(LN(AV127:AZ127),SQRT(AV126:AZ126),TRUE,TRUE),3,1)</f>
        <v>0.72133707000506753</v>
      </c>
      <c r="AR127" s="117">
        <f>INDEX(LINEST(LN(AV127:AZ127),SQRT((AV126:AZ126))),1)</f>
        <v>-4.2107710016297187E-6</v>
      </c>
      <c r="AS127" s="91">
        <f>INDEX(LINEST(1/(AV127:AZ127),1/(SQRT(AV126:AZ126)),TRUE,TRUE),3,1)</f>
        <v>0.41136651009331671</v>
      </c>
      <c r="AT127" s="91">
        <f>INDEX(LINEST(1/(AV127:AZ127),1/SQRT(AV126:AZ126)),1)</f>
        <v>-1297.7934209038874</v>
      </c>
      <c r="AU127" s="3"/>
      <c r="AV127" s="73">
        <v>0.9</v>
      </c>
      <c r="AW127" s="73">
        <v>0.89</v>
      </c>
      <c r="AX127" s="73">
        <v>0.88</v>
      </c>
      <c r="AY127" s="73">
        <v>0.85</v>
      </c>
      <c r="AZ127" s="73">
        <v>0.79</v>
      </c>
      <c r="BA127" s="53"/>
      <c r="BB127" s="53"/>
      <c r="BC127" s="53"/>
      <c r="BD127" s="53"/>
      <c r="BE127" s="53"/>
      <c r="BF127" s="53"/>
      <c r="BG127" s="53"/>
      <c r="BH127" s="53"/>
      <c r="BI127" s="53"/>
      <c r="BJ127" s="53"/>
      <c r="BK127" s="53"/>
      <c r="BL127" s="53"/>
      <c r="BM127" s="53"/>
      <c r="BN127" s="53"/>
      <c r="BO127" s="53"/>
      <c r="BP127" s="53"/>
      <c r="BQ127" s="53"/>
      <c r="BR127" s="53"/>
      <c r="BS127" s="53"/>
      <c r="BT127" s="53"/>
      <c r="BU127" s="53"/>
      <c r="BV127" s="53"/>
      <c r="BW127" s="53"/>
      <c r="BX127" s="53"/>
      <c r="BY127" s="53"/>
      <c r="BZ127" s="53"/>
      <c r="CA127" s="53"/>
      <c r="CB127" s="53"/>
      <c r="CC127" s="53"/>
      <c r="CD127" s="53"/>
      <c r="CE127" s="53"/>
      <c r="CF127" s="53"/>
      <c r="CG127" s="53"/>
      <c r="CH127" s="53"/>
      <c r="CI127" s="53"/>
      <c r="CJ127" s="53"/>
      <c r="CK127" s="53"/>
      <c r="CL127" s="53"/>
      <c r="CM127" s="53"/>
      <c r="CN127" s="53"/>
      <c r="CO127" s="53"/>
      <c r="CP127" s="53"/>
      <c r="CQ127" s="53"/>
      <c r="CR127" s="1"/>
      <c r="CS127" s="1"/>
      <c r="CT127" s="1"/>
      <c r="CU127" s="1"/>
    </row>
    <row r="128" spans="1:99" s="13" customFormat="1" ht="12" customHeight="1" x14ac:dyDescent="0.2">
      <c r="A128" s="65">
        <v>43895</v>
      </c>
      <c r="B128" s="1"/>
      <c r="C128" s="1"/>
      <c r="D128" s="60"/>
      <c r="E128" s="76"/>
      <c r="F128" s="60"/>
      <c r="G128" s="60"/>
      <c r="H128" s="60"/>
      <c r="I128" s="60"/>
      <c r="J128" s="60"/>
      <c r="K128" s="64"/>
      <c r="L128" s="64"/>
      <c r="M128" s="60"/>
      <c r="N128" s="61"/>
      <c r="O128" s="60"/>
      <c r="P128" s="60"/>
      <c r="Q128" s="60"/>
      <c r="R128" s="60"/>
      <c r="S128" s="60"/>
      <c r="T128" s="60"/>
      <c r="U128" s="60"/>
      <c r="V128" s="60"/>
      <c r="W128" s="60"/>
      <c r="X128" s="60"/>
      <c r="Y128" s="76"/>
      <c r="Z128" s="60"/>
      <c r="AA128" s="60"/>
      <c r="AB128" s="60"/>
      <c r="AC128" s="56"/>
      <c r="AD128" s="60"/>
      <c r="AE128" s="60"/>
      <c r="AF128" s="80"/>
      <c r="AG128" s="56"/>
      <c r="AH128" s="4"/>
      <c r="AI128" s="56"/>
      <c r="AJ128" s="109"/>
      <c r="AK128" s="56"/>
      <c r="AL128" s="56"/>
      <c r="AM128" s="56"/>
      <c r="AN128" s="56"/>
      <c r="AO128" s="82"/>
      <c r="AP128" s="82"/>
      <c r="AQ128" s="83"/>
      <c r="AR128" s="116"/>
      <c r="AS128" s="84"/>
      <c r="AT128" s="84"/>
      <c r="AU128" s="3"/>
      <c r="AV128" s="25">
        <v>315360000</v>
      </c>
      <c r="AW128" s="25">
        <v>630720000</v>
      </c>
      <c r="AX128" s="25">
        <v>646080000</v>
      </c>
      <c r="AY128" s="25">
        <v>12614400000</v>
      </c>
      <c r="AZ128" s="25">
        <v>1576800000</v>
      </c>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53"/>
      <c r="CD128" s="53"/>
      <c r="CE128" s="53"/>
      <c r="CF128" s="53"/>
      <c r="CG128" s="53"/>
      <c r="CH128" s="53"/>
      <c r="CI128" s="53"/>
      <c r="CJ128" s="53"/>
      <c r="CK128" s="53"/>
      <c r="CL128" s="53"/>
      <c r="CM128" s="53"/>
      <c r="CN128" s="53"/>
      <c r="CO128" s="53"/>
      <c r="CP128" s="53"/>
      <c r="CQ128" s="53"/>
      <c r="CR128" s="1"/>
      <c r="CS128" s="1"/>
      <c r="CT128" s="1"/>
      <c r="CU128" s="1"/>
    </row>
    <row r="129" spans="1:99" s="13" customFormat="1" ht="12" customHeight="1" x14ac:dyDescent="0.2">
      <c r="A129" s="65">
        <v>43895</v>
      </c>
      <c r="B129" s="1" t="s">
        <v>334</v>
      </c>
      <c r="C129" s="1" t="s">
        <v>335</v>
      </c>
      <c r="D129" s="60">
        <v>1987</v>
      </c>
      <c r="E129" s="76">
        <v>1</v>
      </c>
      <c r="F129" s="60">
        <v>14</v>
      </c>
      <c r="G129" s="60">
        <v>14</v>
      </c>
      <c r="H129" s="60" t="s">
        <v>50</v>
      </c>
      <c r="I129" s="59" t="s">
        <v>330</v>
      </c>
      <c r="J129" s="60" t="s">
        <v>342</v>
      </c>
      <c r="K129" s="60">
        <f>IF(J129="syllables",1,IF(J129="trigrams",2,IF(J129="strings",3,IF(J129="visual array",4,IF(J129="characters",5,IF(J129="letters",6,IF(J129="free forms",7,IF(J129="odors",8,IF(J129="words",9,IF(J129="pictures",10,IF(J129="object pictures",11,IF(J129="faces",12,IF(J129="names",13,IF(J129="idioms",14,IF(J129="grades",15,IF(J129="syllable-digit pairs",16,IF(J129="trigram-word pairs",17,IF(J129="word-digit pairs",18,IF(J129="English-Swahili pairs",19,IF(J129="spatial position",20,IF(J129="word pairs",21,IF(J129="word triads",22,IF(J129="generated words",23,IF(J129="word definition pairs",24,IF(J129="math problems",25,IF(J129="famous faces",26,IF(J129="famous names",27,IF(J129="famous voices",28,IF(J129="television programs",29,IF(J129="race horses",30,IF(J129="new vocabulary",31,IF(J129="sentences",32,IF(J129="concepts",33,IF(J129="ad slides",34,IF(J129="scenes",35,IF(J129="famous scenes",36,IF(J129="poems",37,IF(J129="walk",38,IF(J129="faces and events",39,IF(J129="events and names",40,IF(J129="flashbulb",41,IF(J129="stories",42,IF(J129="course material",43,IF(J129="autobiographical",44,IF(J129="novels",45,IF(J129="public events",46,"99"))))))))))))))))))))))))))))))))))))))))))))))</f>
        <v>26</v>
      </c>
      <c r="L129" s="60">
        <f>IF(J129="syllables",1,IF(J129="trigrams",1,IF(J129="strings",1,IF(J129="visual array",1,IF(J129="characters",1,IF(J129="letters",1,IF(J129="free forms",1,IF(J129="odors",2,IF(J129="words",2,IF(J129="pictures",2,IF(J129="object pictures",2,IF(J129="faces",2,IF(J129="names",2,IF(J129="idioms","2",IF(J129="grades",2,IF(J129="syllable-digit pairs",3,IF(J129="trigram-word pairs",3,IF(J129="word-digit pairs",3,IF(J129="English-Swahili pairs",3,IF(J129="spatial position",3,IF(J129="word pairs",4,IF(J129="word triads",4,IF(J129="generated words",4,IF(J129="word definition pairs",4,IF(J129="math problems",4,IF(J129="famous faces",4,IF(J129="famous names",4,IF(J129="famous voices",4,IF(J129="television programs",4,IF(J129="race horses",4,IF(J129="new vocabulary",4,IF(J129="sentences",5,IF(J129="concepts",5,IF(J129="ad slides",5,IF(J129="scenes",5,IF(J129="famous scenes",5,IF(J129="poems",6,IF(J129="walk",6,IF(J129="faces and events",6,IF(J129="events and names",6,IF(J129="flashbulb",7,IF(J129="stories",7,IF(J129="course material",7,IF(J129="autobiographical",7,IF(J129="novels",7,IF(J129="public events",7,"99"))))))))))))))))))))))))))))))))))))))))))))))</f>
        <v>4</v>
      </c>
      <c r="M129" s="60">
        <v>1</v>
      </c>
      <c r="N129" s="61">
        <v>2</v>
      </c>
      <c r="O129" s="60">
        <v>0</v>
      </c>
      <c r="P129" s="60"/>
      <c r="Q129" s="60" t="s">
        <v>174</v>
      </c>
      <c r="R129" s="60">
        <f>IF(Q129="Free Recall",1,IF(Q129="Cued Recall",2,IF(Q129="Recognition",3,IF(Q129="Multiple Choice",4,IF(Q129="Savings",5,IF(Q129="Stem Completion",6,IF(Q129="Fragment Completion",7,IF(Q129="anagram solution",8,IF(Q129="Matching",9,IF(Q129="Problem Solving",10,"99"))))))))))</f>
        <v>1</v>
      </c>
      <c r="S129" s="60" t="s">
        <v>49</v>
      </c>
      <c r="T129" s="59" t="s">
        <v>581</v>
      </c>
      <c r="U129" s="60">
        <f>IF(T129="within",1,0)</f>
        <v>1</v>
      </c>
      <c r="V129" s="59">
        <v>75</v>
      </c>
      <c r="W129" s="60">
        <f>F129*V129</f>
        <v>1050</v>
      </c>
      <c r="X129" s="60">
        <v>5</v>
      </c>
      <c r="Y129" s="76">
        <f>AV128</f>
        <v>315360000</v>
      </c>
      <c r="Z129" s="60" t="s">
        <v>209</v>
      </c>
      <c r="AA129" s="60">
        <f>50*365*24*60*60</f>
        <v>1576800000</v>
      </c>
      <c r="AB129" s="60" t="str">
        <f>IF(AA129&lt;60,"1",IF(AA129&lt;=43200,"2",IF(AA129&lt;=777600,"3","4")))</f>
        <v>4</v>
      </c>
      <c r="AC129" s="56">
        <f>AVERAGE(AV128:DA128)</f>
        <v>3156672000</v>
      </c>
      <c r="AD129" s="60" t="str">
        <f>IF(AC129&lt;60,"1",IF(AC129&lt;=43200,"2",IF(AC129&lt;=777600,"3","4")))</f>
        <v>4</v>
      </c>
      <c r="AE129" s="76">
        <f>AA129-Y129</f>
        <v>1261440000</v>
      </c>
      <c r="AF129" s="80">
        <f>AV129</f>
        <v>0.65454545454545443</v>
      </c>
      <c r="AG129" s="56">
        <f>((AW129-AV129)+(AX129-AW129)+(AY129-AX129)+(AZ129-AY129))/4</f>
        <v>2.6363636363636395E-2</v>
      </c>
      <c r="AH129" s="4"/>
      <c r="AI129" s="56">
        <f>RSQ(AV129:AZ129,AV128:AZ128)</f>
        <v>0.39900728343812547</v>
      </c>
      <c r="AJ129" s="109">
        <f>SLOPE(AV129:AZ129,AV128:AZ128)</f>
        <v>8.6920400673541469E-12</v>
      </c>
      <c r="AK129" s="56">
        <f>INTERCEPT(AV129:AZ129,AV128:AZ128)</f>
        <v>0.65435685484184114</v>
      </c>
      <c r="AL129" s="56">
        <f>INDEX(LINEST(LN(AV129:AZ129),LN(AV128:AZ128),TRUE,TRUE),3,1)</f>
        <v>0.54572077022344678</v>
      </c>
      <c r="AM129" s="56">
        <f>INDEX(LINEST(LN(AV129:AZ129),LN(AV128:AZ128)),1)</f>
        <v>5.5168097693420848E-2</v>
      </c>
      <c r="AN129" s="56">
        <f>EXP(INDEX(LINEST(LN(AV129:AZ129),LN(AV128:AZ128)),1,2))</f>
        <v>0.21411950083897913</v>
      </c>
      <c r="AO129" s="82">
        <f>INDEX(LINEST((AV129:AZ129),LN(AV128:AZ128),TRUE,TRUE),3,1)</f>
        <v>0.56071053416326477</v>
      </c>
      <c r="AP129" s="82">
        <f>INDEX(LINEST((AV129:AZ129),LN(AV128:AZ128)),1)</f>
        <v>3.82188621490736E-2</v>
      </c>
      <c r="AQ129" s="83">
        <f>INDEX(LINEST(LN(AV129:AZ129),SQRT(AV128:AZ128),TRUE,TRUE),3,1)</f>
        <v>0.46608787222981474</v>
      </c>
      <c r="AR129" s="116">
        <f>INDEX(LINEST(LN(AV129:AZ129),SQRT((AV128:AZ128))),1)</f>
        <v>1.872076025534842E-6</v>
      </c>
      <c r="AS129" s="84">
        <f>INDEX(LINEST(1/(AV129:AZ129),1/(SQRT(AV128:AZ128)),TRUE,TRUE),3,1)</f>
        <v>0.51160781373968101</v>
      </c>
      <c r="AT129" s="84">
        <f>INDEX(LINEST(1/(AV129:AZ129),1/SQRT(AV128:AZ128)),1)</f>
        <v>6315.0284944678915</v>
      </c>
      <c r="AU129" s="3"/>
      <c r="AV129" s="53">
        <v>0.65454545454545443</v>
      </c>
      <c r="AW129" s="53">
        <v>0.64044943820224709</v>
      </c>
      <c r="AX129" s="53">
        <v>0.59722222222222221</v>
      </c>
      <c r="AY129" s="53">
        <v>0.75675675675675669</v>
      </c>
      <c r="AZ129" s="53">
        <v>0.76</v>
      </c>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53"/>
      <c r="CI129" s="53"/>
      <c r="CJ129" s="53"/>
      <c r="CK129" s="53"/>
      <c r="CL129" s="53"/>
      <c r="CM129" s="53"/>
      <c r="CN129" s="53"/>
      <c r="CO129" s="53"/>
      <c r="CP129" s="53"/>
      <c r="CQ129" s="53"/>
      <c r="CR129" s="1"/>
      <c r="CS129" s="1"/>
      <c r="CT129" s="1"/>
      <c r="CU129" s="1"/>
    </row>
    <row r="130" spans="1:99" s="13" customFormat="1" ht="12" customHeight="1" x14ac:dyDescent="0.2">
      <c r="A130" s="65">
        <v>43895</v>
      </c>
      <c r="B130" s="1"/>
      <c r="C130" s="1"/>
      <c r="D130" s="60"/>
      <c r="E130" s="76"/>
      <c r="F130" s="60"/>
      <c r="G130" s="60"/>
      <c r="H130" s="60"/>
      <c r="I130" s="60"/>
      <c r="J130" s="60"/>
      <c r="K130" s="64"/>
      <c r="L130" s="64"/>
      <c r="M130" s="60"/>
      <c r="N130" s="61"/>
      <c r="O130" s="60"/>
      <c r="P130" s="60"/>
      <c r="Q130" s="60"/>
      <c r="R130" s="60"/>
      <c r="S130" s="60"/>
      <c r="T130" s="60"/>
      <c r="U130" s="60"/>
      <c r="V130" s="60"/>
      <c r="W130" s="60"/>
      <c r="X130" s="60"/>
      <c r="Y130" s="76"/>
      <c r="Z130" s="60"/>
      <c r="AA130" s="60"/>
      <c r="AB130" s="60"/>
      <c r="AC130" s="56"/>
      <c r="AD130" s="60"/>
      <c r="AE130" s="60"/>
      <c r="AF130" s="80"/>
      <c r="AG130" s="56"/>
      <c r="AH130" s="4"/>
      <c r="AI130" s="56"/>
      <c r="AJ130" s="109"/>
      <c r="AK130" s="56"/>
      <c r="AL130" s="56"/>
      <c r="AM130" s="56"/>
      <c r="AN130" s="56"/>
      <c r="AO130" s="82"/>
      <c r="AP130" s="82"/>
      <c r="AQ130" s="83"/>
      <c r="AR130" s="116"/>
      <c r="AS130" s="84"/>
      <c r="AT130" s="84"/>
      <c r="AU130" s="3"/>
      <c r="AV130" s="25">
        <v>157680000</v>
      </c>
      <c r="AW130" s="25">
        <v>473040000</v>
      </c>
      <c r="AX130" s="25">
        <v>788400000</v>
      </c>
      <c r="AY130" s="25">
        <v>1103760000</v>
      </c>
      <c r="AZ130" s="25">
        <v>1419120000</v>
      </c>
      <c r="BA130" s="53"/>
      <c r="BB130" s="53"/>
      <c r="BC130" s="53"/>
      <c r="BD130" s="53"/>
      <c r="BE130" s="53"/>
      <c r="BF130" s="53"/>
      <c r="BG130" s="53"/>
      <c r="BH130" s="53"/>
      <c r="BI130" s="53"/>
      <c r="BJ130" s="53"/>
      <c r="BK130" s="53"/>
      <c r="BL130" s="53"/>
      <c r="BM130" s="53"/>
      <c r="BN130" s="53"/>
      <c r="BO130" s="53"/>
      <c r="BP130" s="53"/>
      <c r="BQ130" s="53"/>
      <c r="BR130" s="53"/>
      <c r="BS130" s="53"/>
      <c r="BT130" s="53"/>
      <c r="BU130" s="53"/>
      <c r="BV130" s="53"/>
      <c r="BW130" s="53"/>
      <c r="BX130" s="53"/>
      <c r="BY130" s="53"/>
      <c r="BZ130" s="53"/>
      <c r="CA130" s="53"/>
      <c r="CB130" s="53"/>
      <c r="CC130" s="53"/>
      <c r="CD130" s="53"/>
      <c r="CE130" s="53"/>
      <c r="CF130" s="53"/>
      <c r="CG130" s="53"/>
      <c r="CH130" s="53"/>
      <c r="CI130" s="53"/>
      <c r="CJ130" s="53"/>
      <c r="CK130" s="53"/>
      <c r="CL130" s="53"/>
      <c r="CM130" s="53"/>
      <c r="CN130" s="53"/>
      <c r="CO130" s="53"/>
      <c r="CP130" s="53"/>
      <c r="CQ130" s="53"/>
      <c r="CR130" s="1"/>
      <c r="CS130" s="1"/>
      <c r="CT130" s="1"/>
      <c r="CU130" s="1"/>
    </row>
    <row r="131" spans="1:99" s="13" customFormat="1" ht="12" customHeight="1" x14ac:dyDescent="0.2">
      <c r="A131" s="65">
        <v>43895</v>
      </c>
      <c r="B131" s="1" t="s">
        <v>334</v>
      </c>
      <c r="C131" s="1" t="s">
        <v>335</v>
      </c>
      <c r="D131" s="60">
        <v>1987</v>
      </c>
      <c r="E131" s="76">
        <v>1</v>
      </c>
      <c r="F131" s="60">
        <v>14</v>
      </c>
      <c r="G131" s="60">
        <v>14</v>
      </c>
      <c r="H131" s="60" t="s">
        <v>41</v>
      </c>
      <c r="I131" s="59" t="s">
        <v>330</v>
      </c>
      <c r="J131" s="60" t="s">
        <v>336</v>
      </c>
      <c r="K131" s="60">
        <f>IF(J131="syllables",1,IF(J131="trigrams",2,IF(J131="strings",3,IF(J131="visual array",4,IF(J131="characters",5,IF(J131="letters",6,IF(J131="free forms",7,IF(J131="odors",8,IF(J131="words",9,IF(J131="pictures",10,IF(J131="object pictures",11,IF(J131="faces",12,IF(J131="names",13,IF(J131="idioms",14,IF(J131="grades",15,IF(J131="syllable-digit pairs",16,IF(J131="trigram-word pairs",17,IF(J131="word-digit pairs",18,IF(J131="English-Swahili pairs",19,IF(J131="spatial position",20,IF(J131="word pairs",21,IF(J131="word triads",22,IF(J131="generated words",23,IF(J131="word definition pairs",24,IF(J131="math problems",25,IF(J131="famous faces",26,IF(J131="famous names",27,IF(J131="famous voices",28,IF(J131="television programs",29,IF(J131="race horses",30,IF(J131="new vocabulary",31,IF(J131="sentences",32,IF(J131="concepts",33,IF(J131="ad slides",34,IF(J131="scenes",35,IF(J131="famous scenes",36,IF(J131="poems",37,IF(J131="walk",38,IF(J131="faces and events",39,IF(J131="events and names",40,IF(J131="flashbulb",41,IF(J131="stories",42,IF(J131="course material",43,IF(J131="autobiographical",44,IF(J131="novels",45,IF(J131="public events",46,"99"))))))))))))))))))))))))))))))))))))))))))))))</f>
        <v>39</v>
      </c>
      <c r="L131" s="60">
        <f>IF(J131="syllables",1,IF(J131="trigrams",1,IF(J131="strings",1,IF(J131="visual array",1,IF(J131="characters",1,IF(J131="letters",1,IF(J131="free forms",1,IF(J131="odors",2,IF(J131="words",2,IF(J131="pictures",2,IF(J131="object pictures",2,IF(J131="faces",2,IF(J131="names",2,IF(J131="idioms","2",IF(J131="grades",2,IF(J131="syllable-digit pairs",3,IF(J131="trigram-word pairs",3,IF(J131="word-digit pairs",3,IF(J131="English-Swahili pairs",3,IF(J131="spatial position",3,IF(J131="word pairs",4,IF(J131="word triads",4,IF(J131="generated words",4,IF(J131="word definition pairs",4,IF(J131="math problems",4,IF(J131="famous faces",4,IF(J131="famous names",4,IF(J131="famous voices",4,IF(J131="television programs",4,IF(J131="race horses",4,IF(J131="new vocabulary",4,IF(J131="sentences",5,IF(J131="concepts",5,IF(J131="ad slides",5,IF(J131="scenes",5,IF(J131="famous scenes",5,IF(J131="poems",6,IF(J131="walk",6,IF(J131="faces and events",6,IF(J131="events and names",6,IF(J131="flashbulb",7,IF(J131="stories",7,IF(J131="course material",7,IF(J131="autobiographical",7,IF(J131="novels",7,IF(J131="public events",7,"99"))))))))))))))))))))))))))))))))))))))))))))))</f>
        <v>6</v>
      </c>
      <c r="M131" s="60">
        <v>1</v>
      </c>
      <c r="N131" s="61">
        <v>3</v>
      </c>
      <c r="O131" s="60">
        <v>0</v>
      </c>
      <c r="P131" s="60"/>
      <c r="Q131" s="60" t="s">
        <v>174</v>
      </c>
      <c r="R131" s="60">
        <f>IF(Q131="Free Recall",1,IF(Q131="Cued Recall",2,IF(Q131="Recognition",3,IF(Q131="Multiple Choice",4,IF(Q131="Savings",5,IF(Q131="Stem Completion",6,IF(Q131="Fragment Completion",7,IF(Q131="anagram solution",8,IF(Q131="Matching",9,IF(Q131="Problem Solving",10,"99"))))))))))</f>
        <v>1</v>
      </c>
      <c r="S131" s="60" t="s">
        <v>49</v>
      </c>
      <c r="T131" s="59" t="s">
        <v>581</v>
      </c>
      <c r="U131" s="60">
        <f>IF(T131="within",1,0)</f>
        <v>1</v>
      </c>
      <c r="V131" s="59">
        <v>75</v>
      </c>
      <c r="W131" s="60">
        <f>F131*V131</f>
        <v>1050</v>
      </c>
      <c r="X131" s="60">
        <v>5</v>
      </c>
      <c r="Y131" s="76">
        <f>AV130</f>
        <v>157680000</v>
      </c>
      <c r="Z131" s="60" t="s">
        <v>373</v>
      </c>
      <c r="AA131" s="60">
        <f>45*365*24*60*60</f>
        <v>1419120000</v>
      </c>
      <c r="AB131" s="60" t="str">
        <f>IF(AA131&lt;60,"1",IF(AA131&lt;=43200,"2",IF(AA131&lt;=777600,"3","4")))</f>
        <v>4</v>
      </c>
      <c r="AC131" s="56">
        <f>AVERAGE(AV130:DA130)</f>
        <v>788400000</v>
      </c>
      <c r="AD131" s="60" t="str">
        <f>IF(AC131&lt;60,"1",IF(AC131&lt;=43200,"2",IF(AC131&lt;=777600,"3","4")))</f>
        <v>4</v>
      </c>
      <c r="AE131" s="76">
        <f>AA131-Y131</f>
        <v>1261440000</v>
      </c>
      <c r="AF131" s="80">
        <f>AV131</f>
        <v>0.68</v>
      </c>
      <c r="AG131" s="56">
        <f>((AW131-AV131)+(AX131-AW131)+(AY131-AX131)+(AZ131-AY131))/4</f>
        <v>2.0677966101694922E-2</v>
      </c>
      <c r="AH131" s="4"/>
      <c r="AI131" s="56">
        <f>RSQ(AV131:AZ131,AV130:AZ130)</f>
        <v>0.44908073670170329</v>
      </c>
      <c r="AJ131" s="109">
        <f>SLOPE(AV131:AZ131,AV130:AZ130)</f>
        <v>5.5843318587430274E-11</v>
      </c>
      <c r="AK131" s="56">
        <f>INTERCEPT(AV131:AZ131,AV130:AZ130)</f>
        <v>0.66203686802839345</v>
      </c>
      <c r="AL131" s="56">
        <f>INDEX(LINEST(LN(AV131:AZ131),LN(AV130:AZ130),TRUE,TRUE),3,1)</f>
        <v>0.27832371079865809</v>
      </c>
      <c r="AM131" s="56">
        <f>INDEX(LINEST(LN(AV131:AZ131),LN(AV130:AZ130)),1)</f>
        <v>3.5686328668783018E-2</v>
      </c>
      <c r="AN131" s="56">
        <f>EXP(INDEX(LINEST(LN(AV131:AZ131),LN(AV130:AZ130)),1,2))</f>
        <v>0.34234015674850266</v>
      </c>
      <c r="AO131" s="82">
        <f>INDEX(LINEST((AV131:AZ131),LN(AV130:AZ130),TRUE,TRUE),3,1)</f>
        <v>0.29048129142572404</v>
      </c>
      <c r="AP131" s="82">
        <f>INDEX(LINEST((AV131:AZ131),LN(AV130:AZ130)),1)</f>
        <v>2.5756938994170735E-2</v>
      </c>
      <c r="AQ131" s="83">
        <f>INDEX(LINEST(LN(AV131:AZ131),SQRT(AV130:AZ130),TRUE,TRUE),3,1)</f>
        <v>0.35444478474193031</v>
      </c>
      <c r="AR131" s="116">
        <f>INDEX(LINEST(LN(AV131:AZ131),SQRT((AV130:AZ130))),1)</f>
        <v>3.5491083965382344E-6</v>
      </c>
      <c r="AS131" s="84">
        <f>INDEX(LINEST(1/(AV131:AZ131),1/(SQRT(AV130:AZ130)),TRUE,TRUE),3,1)</f>
        <v>0.20590094204791864</v>
      </c>
      <c r="AT131" s="84">
        <f>INDEX(LINEST(1/(AV131:AZ131),1/SQRT(AV130:AZ130)),1)</f>
        <v>1764.8572905888518</v>
      </c>
      <c r="AU131" s="3"/>
      <c r="AV131" s="53">
        <v>0.68</v>
      </c>
      <c r="AW131" s="53">
        <v>0.71153846153846145</v>
      </c>
      <c r="AX131" s="53">
        <v>0.65384615384615385</v>
      </c>
      <c r="AY131" s="53">
        <v>0.72222222222222221</v>
      </c>
      <c r="AZ131" s="53">
        <v>0.76271186440677974</v>
      </c>
      <c r="BA131" s="53"/>
      <c r="BB131" s="53"/>
      <c r="BC131" s="53"/>
      <c r="BD131" s="53"/>
      <c r="BE131" s="53"/>
      <c r="BF131" s="53"/>
      <c r="BG131" s="53"/>
      <c r="BH131" s="53"/>
      <c r="BI131" s="53"/>
      <c r="BJ131" s="53"/>
      <c r="BK131" s="53"/>
      <c r="BL131" s="53"/>
      <c r="BM131" s="53"/>
      <c r="BN131" s="53"/>
      <c r="BO131" s="53"/>
      <c r="BP131" s="53"/>
      <c r="BQ131" s="53"/>
      <c r="BR131" s="53"/>
      <c r="BS131" s="53"/>
      <c r="BT131" s="53"/>
      <c r="BU131" s="53"/>
      <c r="BV131" s="53"/>
      <c r="BW131" s="53"/>
      <c r="BX131" s="53"/>
      <c r="BY131" s="53"/>
      <c r="BZ131" s="53"/>
      <c r="CA131" s="53"/>
      <c r="CB131" s="53"/>
      <c r="CC131" s="53"/>
      <c r="CD131" s="53"/>
      <c r="CE131" s="53"/>
      <c r="CF131" s="53"/>
      <c r="CG131" s="53"/>
      <c r="CH131" s="53"/>
      <c r="CI131" s="53"/>
      <c r="CJ131" s="53"/>
      <c r="CK131" s="53"/>
      <c r="CL131" s="53"/>
      <c r="CM131" s="53"/>
      <c r="CN131" s="53"/>
      <c r="CO131" s="53"/>
      <c r="CP131" s="53"/>
      <c r="CQ131" s="53"/>
      <c r="CR131" s="1"/>
      <c r="CS131" s="1"/>
      <c r="CT131" s="1"/>
      <c r="CU131" s="1"/>
    </row>
    <row r="132" spans="1:99" s="13" customFormat="1" ht="12" customHeight="1" x14ac:dyDescent="0.2">
      <c r="A132" s="68">
        <v>43895</v>
      </c>
      <c r="B132" s="70"/>
      <c r="C132" s="70"/>
      <c r="D132" s="69"/>
      <c r="E132" s="87"/>
      <c r="F132" s="69"/>
      <c r="G132" s="69"/>
      <c r="H132" s="69"/>
      <c r="I132" s="69"/>
      <c r="J132" s="69"/>
      <c r="K132" s="107"/>
      <c r="L132" s="107"/>
      <c r="M132" s="69"/>
      <c r="N132" s="92"/>
      <c r="O132" s="69"/>
      <c r="P132" s="69"/>
      <c r="Q132" s="69"/>
      <c r="R132" s="69"/>
      <c r="S132" s="69"/>
      <c r="T132" s="92"/>
      <c r="U132" s="69"/>
      <c r="V132" s="92"/>
      <c r="W132" s="69"/>
      <c r="X132" s="69"/>
      <c r="Y132" s="87"/>
      <c r="Z132" s="69"/>
      <c r="AA132" s="87"/>
      <c r="AB132" s="69"/>
      <c r="AC132" s="72"/>
      <c r="AD132" s="69"/>
      <c r="AE132" s="69"/>
      <c r="AF132" s="88"/>
      <c r="AG132" s="72"/>
      <c r="AH132" s="4"/>
      <c r="AI132" s="72"/>
      <c r="AJ132" s="110"/>
      <c r="AK132" s="72"/>
      <c r="AL132" s="72"/>
      <c r="AM132" s="72"/>
      <c r="AN132" s="72"/>
      <c r="AO132" s="89"/>
      <c r="AP132" s="89"/>
      <c r="AQ132" s="90"/>
      <c r="AR132" s="117"/>
      <c r="AS132" s="91"/>
      <c r="AT132" s="91"/>
      <c r="AU132" s="3"/>
      <c r="AV132" s="71">
        <v>157680000</v>
      </c>
      <c r="AW132" s="71">
        <v>473040000</v>
      </c>
      <c r="AX132" s="71">
        <v>788400000</v>
      </c>
      <c r="AY132" s="71">
        <v>1103760000</v>
      </c>
      <c r="AZ132" s="71">
        <v>1419120000</v>
      </c>
      <c r="BA132" s="53"/>
      <c r="BB132" s="53"/>
      <c r="BC132" s="53"/>
      <c r="BD132" s="53"/>
      <c r="BE132" s="53"/>
      <c r="BF132" s="53"/>
      <c r="BG132" s="53"/>
      <c r="BH132" s="53"/>
      <c r="BI132" s="53"/>
      <c r="BJ132" s="53"/>
      <c r="BK132" s="53"/>
      <c r="BL132" s="53"/>
      <c r="BM132" s="53"/>
      <c r="BN132" s="53"/>
      <c r="BO132" s="53"/>
      <c r="BP132" s="53"/>
      <c r="BQ132" s="53"/>
      <c r="BR132" s="53"/>
      <c r="BS132" s="53"/>
      <c r="BT132" s="53"/>
      <c r="BU132" s="53"/>
      <c r="BV132" s="53"/>
      <c r="BW132" s="53"/>
      <c r="BX132" s="53"/>
      <c r="BY132" s="53"/>
      <c r="BZ132" s="53"/>
      <c r="CA132" s="53"/>
      <c r="CB132" s="53"/>
      <c r="CC132" s="53"/>
      <c r="CD132" s="53"/>
      <c r="CE132" s="53"/>
      <c r="CF132" s="53"/>
      <c r="CG132" s="53"/>
      <c r="CH132" s="53"/>
      <c r="CI132" s="53"/>
      <c r="CJ132" s="53"/>
      <c r="CK132" s="53"/>
      <c r="CL132" s="53"/>
      <c r="CM132" s="53"/>
      <c r="CN132" s="53"/>
      <c r="CO132" s="53"/>
      <c r="CP132" s="53"/>
      <c r="CQ132" s="53"/>
      <c r="CR132" s="1"/>
      <c r="CS132" s="1"/>
      <c r="CT132" s="1"/>
      <c r="CU132" s="1"/>
    </row>
    <row r="133" spans="1:99" s="13" customFormat="1" ht="12" customHeight="1" x14ac:dyDescent="0.2">
      <c r="A133" s="68">
        <v>43895</v>
      </c>
      <c r="B133" s="70" t="s">
        <v>337</v>
      </c>
      <c r="C133" s="70" t="s">
        <v>338</v>
      </c>
      <c r="D133" s="69">
        <v>1988</v>
      </c>
      <c r="E133" s="87">
        <v>1</v>
      </c>
      <c r="F133" s="69">
        <v>12</v>
      </c>
      <c r="G133" s="69">
        <v>12</v>
      </c>
      <c r="H133" s="69" t="s">
        <v>50</v>
      </c>
      <c r="I133" s="92" t="s">
        <v>396</v>
      </c>
      <c r="J133" s="69" t="s">
        <v>336</v>
      </c>
      <c r="K133" s="69">
        <f>IF(J133="syllables",1,IF(J133="trigrams",2,IF(J133="strings",3,IF(J133="visual array",4,IF(J133="characters",5,IF(J133="letters",6,IF(J133="free forms",7,IF(J133="odors",8,IF(J133="words",9,IF(J133="pictures",10,IF(J133="object pictures",11,IF(J133="faces",12,IF(J133="names",13,IF(J133="idioms",14,IF(J133="grades",15,IF(J133="syllable-digit pairs",16,IF(J133="trigram-word pairs",17,IF(J133="word-digit pairs",18,IF(J133="English-Swahili pairs",19,IF(J133="spatial position",20,IF(J133="word pairs",21,IF(J133="word triads",22,IF(J133="generated words",23,IF(J133="word definition pairs",24,IF(J133="math problems",25,IF(J133="famous faces",26,IF(J133="famous names",27,IF(J133="famous voices",28,IF(J133="television programs",29,IF(J133="race horses",30,IF(J133="new vocabulary",31,IF(J133="sentences",32,IF(J133="concepts",33,IF(J133="ad slides",34,IF(J133="scenes",35,IF(J133="famous scenes",36,IF(J133="poems",37,IF(J133="walk",38,IF(J133="faces and events",39,IF(J133="events and names",40,IF(J133="flashbulb",41,IF(J133="stories",42,IF(J133="course material",43,IF(J133="autobiographical",44,IF(J133="novels",45,IF(J133="public events",46,"99"))))))))))))))))))))))))))))))))))))))))))))))</f>
        <v>39</v>
      </c>
      <c r="L133" s="69">
        <f>IF(J133="syllables",1,IF(J133="trigrams",1,IF(J133="strings",1,IF(J133="visual array",1,IF(J133="characters",1,IF(J133="letters",1,IF(J133="free forms",1,IF(J133="odors",2,IF(J133="words",2,IF(J133="pictures",2,IF(J133="object pictures",2,IF(J133="faces",2,IF(J133="names",2,IF(J133="idioms","2",IF(J133="grades",2,IF(J133="syllable-digit pairs",3,IF(J133="trigram-word pairs",3,IF(J133="word-digit pairs",3,IF(J133="English-Swahili pairs",3,IF(J133="spatial position",3,IF(J133="word pairs",4,IF(J133="word triads",4,IF(J133="generated words",4,IF(J133="word definition pairs",4,IF(J133="math problems",4,IF(J133="famous faces",4,IF(J133="famous names",4,IF(J133="famous voices",4,IF(J133="television programs",4,IF(J133="race horses",4,IF(J133="new vocabulary",4,IF(J133="sentences",5,IF(J133="concepts",5,IF(J133="ad slides",5,IF(J133="scenes",5,IF(J133="famous scenes",5,IF(J133="poems",6,IF(J133="walk",6,IF(J133="faces and events",6,IF(J133="events and names",6,IF(J133="flashbulb",7,IF(J133="stories",7,IF(J133="course material",7,IF(J133="autobiographical",7,IF(J133="novels",7,IF(J133="public events",7,"99"))))))))))))))))))))))))))))))))))))))))))))))</f>
        <v>6</v>
      </c>
      <c r="M133" s="69">
        <v>1</v>
      </c>
      <c r="N133" s="92">
        <v>3</v>
      </c>
      <c r="O133" s="69">
        <v>0</v>
      </c>
      <c r="P133" s="69"/>
      <c r="Q133" s="69" t="s">
        <v>174</v>
      </c>
      <c r="R133" s="69">
        <f>IF(Q133="Free Recall",1,IF(Q133="Cued Recall",2,IF(Q133="Recognition",3,IF(Q133="Multiple Choice",4,IF(Q133="Savings",5,IF(Q133="Stem Completion",6,IF(Q133="Fragment Completion",7,IF(Q133="anagram solution",8,IF(Q133="Matching",9,IF(Q133="Problem Solving",10,"99"))))))))))</f>
        <v>1</v>
      </c>
      <c r="S133" s="69" t="s">
        <v>49</v>
      </c>
      <c r="T133" s="92" t="s">
        <v>581</v>
      </c>
      <c r="U133" s="69">
        <f>IF(T133="within",1,0)</f>
        <v>1</v>
      </c>
      <c r="V133" s="92">
        <v>75</v>
      </c>
      <c r="W133" s="69">
        <f>F133*V133</f>
        <v>900</v>
      </c>
      <c r="X133" s="69">
        <v>5</v>
      </c>
      <c r="Y133" s="87">
        <f>AV132</f>
        <v>157680000</v>
      </c>
      <c r="Z133" s="69" t="s">
        <v>373</v>
      </c>
      <c r="AA133" s="69">
        <f>45*365*24*60*60</f>
        <v>1419120000</v>
      </c>
      <c r="AB133" s="69" t="str">
        <f>IF(AA133&lt;60,"1",IF(AA133&lt;=43200,"2",IF(AA133&lt;=777600,"3","4")))</f>
        <v>4</v>
      </c>
      <c r="AC133" s="72">
        <f>AVERAGE(AV132:DA132)</f>
        <v>788400000</v>
      </c>
      <c r="AD133" s="69" t="str">
        <f>IF(AC133&lt;60,"1",IF(AC133&lt;=43200,"2",IF(AC133&lt;=777600,"3","4")))</f>
        <v>4</v>
      </c>
      <c r="AE133" s="87">
        <f>AA133-Y133</f>
        <v>1261440000</v>
      </c>
      <c r="AF133" s="88">
        <f>AV133</f>
        <v>0.59375</v>
      </c>
      <c r="AG133" s="93">
        <f>((AW133-AV133)+(AX133-AW133)+(AY133-AX133)+(AZ133-AY133))/4</f>
        <v>-3.43750000000001E-3</v>
      </c>
      <c r="AH133" s="4"/>
      <c r="AI133" s="72">
        <f>RSQ(AV133:AZ133,AV132:AZ132)</f>
        <v>0.17179401042027329</v>
      </c>
      <c r="AJ133" s="110">
        <f>SLOPE(AV133:AZ133,AV132:AZ132)</f>
        <v>-3.6591431012844188E-11</v>
      </c>
      <c r="AK133" s="72">
        <f>INTERCEPT(AV133:AZ133,AV132:AZ132)</f>
        <v>0.63201973684210533</v>
      </c>
      <c r="AL133" s="72">
        <f>INDEX(LINEST(LN(AV133:AZ133),LN(AV132:AZ132),TRUE,TRUE),3,1)</f>
        <v>7.6750710241200476E-2</v>
      </c>
      <c r="AM133" s="72">
        <f>INDEX(LINEST(LN(AV133:AZ133),LN(AV132:AZ132)),1)</f>
        <v>-2.2348868169555933E-2</v>
      </c>
      <c r="AN133" s="72">
        <f>EXP(INDEX(LINEST(LN(AV133:AZ133),LN(AV132:AZ132)),1,2))</f>
        <v>0.94639709083873058</v>
      </c>
      <c r="AO133" s="89">
        <f>INDEX(LINEST((AV133:AZ133),LN(AV132:AZ132),TRUE,TRUE),3,1)</f>
        <v>7.3220537919481174E-2</v>
      </c>
      <c r="AP133" s="89">
        <f>INDEX(LINEST((AV133:AZ133),LN(AV132:AZ132)),1)</f>
        <v>-1.3699919104943852E-2</v>
      </c>
      <c r="AQ133" s="90">
        <f>INDEX(LINEST(LN(AV133:AZ133),SQRT(AV132:AZ132),TRUE,TRUE),3,1)</f>
        <v>0.13048439630196418</v>
      </c>
      <c r="AR133" s="117">
        <f>INDEX(LINEST(LN(AV133:AZ133),SQRT((AV132:AZ132))),1)</f>
        <v>-2.5680993621745155E-6</v>
      </c>
      <c r="AS133" s="91">
        <f>INDEX(LINEST(1/(AV133:AZ133),1/(SQRT(AV132:AZ132)),TRUE,TRUE),3,1)</f>
        <v>3.5626311567929607E-2</v>
      </c>
      <c r="AT133" s="91">
        <f>INDEX(LINEST(1/(AV133:AZ133),1/SQRT(AV132:AZ132)),1)</f>
        <v>-985.78832194629126</v>
      </c>
      <c r="AU133" s="3"/>
      <c r="AV133" s="73">
        <v>0.59375</v>
      </c>
      <c r="AW133" s="73">
        <v>0.68</v>
      </c>
      <c r="AX133" s="73">
        <v>0.56999999999999995</v>
      </c>
      <c r="AY133" s="73">
        <v>0.59210526315789469</v>
      </c>
      <c r="AZ133" s="73">
        <v>0.57999999999999996</v>
      </c>
      <c r="BA133" s="53"/>
      <c r="BB133" s="53"/>
      <c r="BC133" s="53"/>
      <c r="BD133" s="53"/>
      <c r="BE133" s="53"/>
      <c r="BF133" s="53"/>
      <c r="BG133" s="53"/>
      <c r="BH133" s="53"/>
      <c r="BI133" s="53"/>
      <c r="BJ133" s="53"/>
      <c r="BK133" s="53"/>
      <c r="BL133" s="53"/>
      <c r="BM133" s="53"/>
      <c r="BN133" s="53"/>
      <c r="BO133" s="53"/>
      <c r="BP133" s="53"/>
      <c r="BQ133" s="53"/>
      <c r="BR133" s="53"/>
      <c r="BS133" s="53"/>
      <c r="BT133" s="53"/>
      <c r="BU133" s="53"/>
      <c r="BV133" s="53"/>
      <c r="BW133" s="53"/>
      <c r="BX133" s="53"/>
      <c r="BY133" s="53"/>
      <c r="BZ133" s="53"/>
      <c r="CA133" s="53"/>
      <c r="CB133" s="53"/>
      <c r="CC133" s="53"/>
      <c r="CD133" s="53"/>
      <c r="CE133" s="53"/>
      <c r="CF133" s="53"/>
      <c r="CG133" s="53"/>
      <c r="CH133" s="53"/>
      <c r="CI133" s="53"/>
      <c r="CJ133" s="53"/>
      <c r="CK133" s="53"/>
      <c r="CL133" s="53"/>
      <c r="CM133" s="53"/>
      <c r="CN133" s="53"/>
      <c r="CO133" s="53"/>
      <c r="CP133" s="53"/>
      <c r="CQ133" s="53"/>
      <c r="CR133" s="1"/>
      <c r="CS133" s="1"/>
      <c r="CT133" s="1"/>
      <c r="CU133" s="1"/>
    </row>
    <row r="134" spans="1:99" s="13" customFormat="1" ht="12" customHeight="1" x14ac:dyDescent="0.2">
      <c r="A134" s="68">
        <v>43895</v>
      </c>
      <c r="B134" s="70"/>
      <c r="C134" s="70"/>
      <c r="D134" s="69"/>
      <c r="E134" s="87"/>
      <c r="F134" s="69"/>
      <c r="G134" s="69"/>
      <c r="H134" s="69"/>
      <c r="I134" s="69"/>
      <c r="J134" s="69"/>
      <c r="K134" s="107"/>
      <c r="L134" s="107"/>
      <c r="M134" s="69"/>
      <c r="N134" s="92"/>
      <c r="O134" s="69"/>
      <c r="P134" s="69"/>
      <c r="Q134" s="69"/>
      <c r="R134" s="69"/>
      <c r="S134" s="69"/>
      <c r="T134" s="92"/>
      <c r="U134" s="69"/>
      <c r="V134" s="92"/>
      <c r="W134" s="69"/>
      <c r="X134" s="69"/>
      <c r="Y134" s="87"/>
      <c r="Z134" s="69"/>
      <c r="AA134" s="87"/>
      <c r="AB134" s="69"/>
      <c r="AC134" s="72"/>
      <c r="AD134" s="69"/>
      <c r="AE134" s="69"/>
      <c r="AF134" s="88"/>
      <c r="AG134" s="72"/>
      <c r="AH134" s="4"/>
      <c r="AI134" s="72"/>
      <c r="AJ134" s="110"/>
      <c r="AK134" s="72"/>
      <c r="AL134" s="72"/>
      <c r="AM134" s="72"/>
      <c r="AN134" s="72"/>
      <c r="AO134" s="89"/>
      <c r="AP134" s="89"/>
      <c r="AQ134" s="90"/>
      <c r="AR134" s="117"/>
      <c r="AS134" s="91"/>
      <c r="AT134" s="91"/>
      <c r="AU134" s="3"/>
      <c r="AV134" s="71">
        <v>157680000</v>
      </c>
      <c r="AW134" s="71">
        <v>473040000</v>
      </c>
      <c r="AX134" s="71">
        <v>788400000</v>
      </c>
      <c r="AY134" s="71">
        <v>1103760000</v>
      </c>
      <c r="AZ134" s="71">
        <v>1419120000</v>
      </c>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3"/>
      <c r="CA134" s="53"/>
      <c r="CB134" s="53"/>
      <c r="CC134" s="53"/>
      <c r="CD134" s="53"/>
      <c r="CE134" s="53"/>
      <c r="CF134" s="53"/>
      <c r="CG134" s="53"/>
      <c r="CH134" s="53"/>
      <c r="CI134" s="53"/>
      <c r="CJ134" s="53"/>
      <c r="CK134" s="53"/>
      <c r="CL134" s="53"/>
      <c r="CM134" s="53"/>
      <c r="CN134" s="53"/>
      <c r="CO134" s="53"/>
      <c r="CP134" s="53"/>
      <c r="CQ134" s="53"/>
      <c r="CR134" s="1"/>
      <c r="CS134" s="1"/>
      <c r="CT134" s="1"/>
      <c r="CU134" s="1"/>
    </row>
    <row r="135" spans="1:99" s="13" customFormat="1" ht="12" customHeight="1" x14ac:dyDescent="0.2">
      <c r="A135" s="68">
        <v>43895</v>
      </c>
      <c r="B135" s="70" t="s">
        <v>337</v>
      </c>
      <c r="C135" s="70" t="s">
        <v>338</v>
      </c>
      <c r="D135" s="69">
        <v>1988</v>
      </c>
      <c r="E135" s="87">
        <v>1</v>
      </c>
      <c r="F135" s="69">
        <v>12</v>
      </c>
      <c r="G135" s="69">
        <v>12</v>
      </c>
      <c r="H135" s="69" t="s">
        <v>50</v>
      </c>
      <c r="I135" s="92" t="s">
        <v>631</v>
      </c>
      <c r="J135" s="69" t="s">
        <v>336</v>
      </c>
      <c r="K135" s="69">
        <f>IF(J135="syllables",1,IF(J135="trigrams",2,IF(J135="strings",3,IF(J135="visual array",4,IF(J135="characters",5,IF(J135="letters",6,IF(J135="free forms",7,IF(J135="odors",8,IF(J135="words",9,IF(J135="pictures",10,IF(J135="object pictures",11,IF(J135="faces",12,IF(J135="names",13,IF(J135="idioms",14,IF(J135="grades",15,IF(J135="syllable-digit pairs",16,IF(J135="trigram-word pairs",17,IF(J135="word-digit pairs",18,IF(J135="English-Swahili pairs",19,IF(J135="spatial position",20,IF(J135="word pairs",21,IF(J135="word triads",22,IF(J135="generated words",23,IF(J135="word definition pairs",24,IF(J135="math problems",25,IF(J135="famous faces",26,IF(J135="famous names",27,IF(J135="famous voices",28,IF(J135="television programs",29,IF(J135="race horses",30,IF(J135="new vocabulary",31,IF(J135="sentences",32,IF(J135="concepts",33,IF(J135="ad slides",34,IF(J135="scenes",35,IF(J135="famous scenes",36,IF(J135="poems",37,IF(J135="walk",38,IF(J135="faces and events",39,IF(J135="events and names",40,IF(J135="flashbulb",41,IF(J135="stories",42,IF(J135="course material",43,IF(J135="autobiographical",44,IF(J135="novels",45,IF(J135="public events",46,"99"))))))))))))))))))))))))))))))))))))))))))))))</f>
        <v>39</v>
      </c>
      <c r="L135" s="69">
        <f>IF(J135="syllables",1,IF(J135="trigrams",1,IF(J135="strings",1,IF(J135="visual array",1,IF(J135="characters",1,IF(J135="letters",1,IF(J135="free forms",1,IF(J135="odors",2,IF(J135="words",2,IF(J135="pictures",2,IF(J135="object pictures",2,IF(J135="faces",2,IF(J135="names",2,IF(J135="idioms","2",IF(J135="grades",2,IF(J135="syllable-digit pairs",3,IF(J135="trigram-word pairs",3,IF(J135="word-digit pairs",3,IF(J135="English-Swahili pairs",3,IF(J135="spatial position",3,IF(J135="word pairs",4,IF(J135="word triads",4,IF(J135="generated words",4,IF(J135="word definition pairs",4,IF(J135="math problems",4,IF(J135="famous faces",4,IF(J135="famous names",4,IF(J135="famous voices",4,IF(J135="television programs",4,IF(J135="race horses",4,IF(J135="new vocabulary",4,IF(J135="sentences",5,IF(J135="concepts",5,IF(J135="ad slides",5,IF(J135="scenes",5,IF(J135="famous scenes",5,IF(J135="poems",6,IF(J135="walk",6,IF(J135="faces and events",6,IF(J135="events and names",6,IF(J135="flashbulb",7,IF(J135="stories",7,IF(J135="course material",7,IF(J135="autobiographical",7,IF(J135="novels",7,IF(J135="public events",7,"99"))))))))))))))))))))))))))))))))))))))))))))))</f>
        <v>6</v>
      </c>
      <c r="M135" s="69">
        <v>1</v>
      </c>
      <c r="N135" s="92">
        <v>3</v>
      </c>
      <c r="O135" s="69">
        <v>0</v>
      </c>
      <c r="P135" s="69"/>
      <c r="Q135" s="69" t="s">
        <v>174</v>
      </c>
      <c r="R135" s="69">
        <f>IF(Q135="Free Recall",1,IF(Q135="Cued Recall",2,IF(Q135="Recognition",3,IF(Q135="Multiple Choice",4,IF(Q135="Savings",5,IF(Q135="Stem Completion",6,IF(Q135="Fragment Completion",7,IF(Q135="anagram solution",8,IF(Q135="Matching",9,IF(Q135="Problem Solving",10,"99"))))))))))</f>
        <v>1</v>
      </c>
      <c r="S135" s="69" t="s">
        <v>49</v>
      </c>
      <c r="T135" s="92" t="s">
        <v>581</v>
      </c>
      <c r="U135" s="69">
        <f>IF(T135="within",1,0)</f>
        <v>1</v>
      </c>
      <c r="V135" s="92">
        <v>75</v>
      </c>
      <c r="W135" s="69">
        <f>F135*V135</f>
        <v>900</v>
      </c>
      <c r="X135" s="69">
        <v>5</v>
      </c>
      <c r="Y135" s="87">
        <f>AV134</f>
        <v>157680000</v>
      </c>
      <c r="Z135" s="69" t="s">
        <v>373</v>
      </c>
      <c r="AA135" s="69">
        <f>45*365*24*60*60</f>
        <v>1419120000</v>
      </c>
      <c r="AB135" s="69" t="str">
        <f>IF(AA135&lt;60,"1",IF(AA135&lt;=43200,"2",IF(AA135&lt;=777600,"3","4")))</f>
        <v>4</v>
      </c>
      <c r="AC135" s="72">
        <f>AVERAGE(AV134:DA134)</f>
        <v>788400000</v>
      </c>
      <c r="AD135" s="69" t="str">
        <f>IF(AC135&lt;60,"1",IF(AC135&lt;=43200,"2",IF(AC135&lt;=777600,"3","4")))</f>
        <v>4</v>
      </c>
      <c r="AE135" s="87">
        <f>AA135-Y135</f>
        <v>1261440000</v>
      </c>
      <c r="AF135" s="88">
        <f>AV135</f>
        <v>0.66</v>
      </c>
      <c r="AG135" s="72">
        <f>((AW135-AV135)+(AX135-AW135)+(AY135-AX135)+(AZ135-AY135))/4</f>
        <v>-1.5000000000000013E-2</v>
      </c>
      <c r="AH135" s="4"/>
      <c r="AI135" s="72">
        <f>RSQ(AV135:AZ135,AV134:AZ134)</f>
        <v>0.52688172043010761</v>
      </c>
      <c r="AJ135" s="110">
        <f>SLOPE(AV135:AZ135,AV134:AZ134)</f>
        <v>-4.4393708777270463E-11</v>
      </c>
      <c r="AK135" s="72">
        <f>INTERCEPT(AV135:AZ135,AV134:AZ134)</f>
        <v>0.66100000000000003</v>
      </c>
      <c r="AL135" s="72">
        <f>INDEX(LINEST(LN(AV135:AZ135),LN(AV134:AZ134),TRUE,TRUE),3,1)</f>
        <v>0.56940274386818346</v>
      </c>
      <c r="AM135" s="72">
        <f>INDEX(LINEST(LN(AV135:AZ135),LN(AV134:AZ134)),1)</f>
        <v>-4.2420096194482636E-2</v>
      </c>
      <c r="AN135" s="72">
        <f>EXP(INDEX(LINEST(LN(AV135:AZ135),LN(AV134:AZ134)),1,2))</f>
        <v>1.4762309756978926</v>
      </c>
      <c r="AO135" s="89">
        <f>INDEX(LINEST((AV135:AZ135),LN(AV134:AZ134),TRUE,TRUE),3,1)</f>
        <v>0.58207452531510762</v>
      </c>
      <c r="AP135" s="89">
        <f>INDEX(LINEST((AV135:AZ135),LN(AV134:AZ134)),1)</f>
        <v>-2.6759643259723576E-2</v>
      </c>
      <c r="AQ135" s="90">
        <f>INDEX(LINEST(LN(AV135:AZ135),SQRT(AV134:AZ134),TRUE,TRUE),3,1)</f>
        <v>0.55731398264522247</v>
      </c>
      <c r="AR135" s="117">
        <f>INDEX(LINEST(LN(AV135:AZ135),SQRT((AV134:AZ134))),1)</f>
        <v>-3.6985376272877465E-6</v>
      </c>
      <c r="AS135" s="91">
        <f>INDEX(LINEST(1/(AV135:AZ135),1/(SQRT(AV134:AZ134)),TRUE,TRUE),3,1)</f>
        <v>0.53606408182937182</v>
      </c>
      <c r="AT135" s="91">
        <f>INDEX(LINEST(1/(AV135:AZ135),1/SQRT(AV134:AZ134)),1)</f>
        <v>-2676.2511721455257</v>
      </c>
      <c r="AU135" s="3"/>
      <c r="AV135" s="73">
        <v>0.66</v>
      </c>
      <c r="AW135" s="73">
        <v>0.65</v>
      </c>
      <c r="AX135" s="73">
        <v>0.59</v>
      </c>
      <c r="AY135" s="73">
        <v>0.63</v>
      </c>
      <c r="AZ135" s="73">
        <v>0.6</v>
      </c>
      <c r="BA135" s="53"/>
      <c r="BB135" s="53"/>
      <c r="BC135" s="53"/>
      <c r="BD135" s="53"/>
      <c r="BE135" s="53"/>
      <c r="BF135" s="53"/>
      <c r="BG135" s="53"/>
      <c r="BH135" s="53"/>
      <c r="BI135" s="53"/>
      <c r="BJ135" s="53"/>
      <c r="BK135" s="53"/>
      <c r="BL135" s="53"/>
      <c r="BM135" s="53"/>
      <c r="BN135" s="53"/>
      <c r="BO135" s="53"/>
      <c r="BP135" s="53"/>
      <c r="BQ135" s="53"/>
      <c r="BR135" s="53"/>
      <c r="BS135" s="53"/>
      <c r="BT135" s="53"/>
      <c r="BU135" s="53"/>
      <c r="BV135" s="53"/>
      <c r="BW135" s="53"/>
      <c r="BX135" s="53"/>
      <c r="BY135" s="53"/>
      <c r="BZ135" s="53"/>
      <c r="CA135" s="53"/>
      <c r="CB135" s="53"/>
      <c r="CC135" s="53"/>
      <c r="CD135" s="53"/>
      <c r="CE135" s="53"/>
      <c r="CF135" s="53"/>
      <c r="CG135" s="53"/>
      <c r="CH135" s="53"/>
      <c r="CI135" s="53"/>
      <c r="CJ135" s="53"/>
      <c r="CK135" s="53"/>
      <c r="CL135" s="53"/>
      <c r="CM135" s="53"/>
      <c r="CN135" s="53"/>
      <c r="CO135" s="53"/>
      <c r="CP135" s="53"/>
      <c r="CQ135" s="53"/>
      <c r="CR135" s="1"/>
      <c r="CS135" s="1"/>
      <c r="CT135" s="1"/>
      <c r="CU135" s="1"/>
    </row>
    <row r="136" spans="1:99" s="13" customFormat="1" ht="12" customHeight="1" x14ac:dyDescent="0.2">
      <c r="A136" s="68">
        <v>43895</v>
      </c>
      <c r="B136" s="70"/>
      <c r="C136" s="70"/>
      <c r="D136" s="69"/>
      <c r="E136" s="87"/>
      <c r="F136" s="69"/>
      <c r="G136" s="69"/>
      <c r="H136" s="69"/>
      <c r="I136" s="69"/>
      <c r="J136" s="69"/>
      <c r="K136" s="107"/>
      <c r="L136" s="107"/>
      <c r="M136" s="69"/>
      <c r="N136" s="92"/>
      <c r="O136" s="69"/>
      <c r="P136" s="69"/>
      <c r="Q136" s="69"/>
      <c r="R136" s="69"/>
      <c r="S136" s="69"/>
      <c r="T136" s="92"/>
      <c r="U136" s="69"/>
      <c r="V136" s="92"/>
      <c r="W136" s="69"/>
      <c r="X136" s="69"/>
      <c r="Y136" s="87"/>
      <c r="Z136" s="69"/>
      <c r="AA136" s="87"/>
      <c r="AB136" s="69"/>
      <c r="AC136" s="72"/>
      <c r="AD136" s="69"/>
      <c r="AE136" s="69"/>
      <c r="AF136" s="88"/>
      <c r="AG136" s="72"/>
      <c r="AH136" s="4"/>
      <c r="AI136" s="72"/>
      <c r="AJ136" s="110"/>
      <c r="AK136" s="72"/>
      <c r="AL136" s="72"/>
      <c r="AM136" s="72"/>
      <c r="AN136" s="72"/>
      <c r="AO136" s="89"/>
      <c r="AP136" s="89"/>
      <c r="AQ136" s="90"/>
      <c r="AR136" s="117"/>
      <c r="AS136" s="91"/>
      <c r="AT136" s="91"/>
      <c r="AU136" s="3"/>
      <c r="AV136" s="71">
        <v>157680000</v>
      </c>
      <c r="AW136" s="71">
        <v>473040000</v>
      </c>
      <c r="AX136" s="71">
        <v>788400000</v>
      </c>
      <c r="AY136" s="71">
        <v>1103760000</v>
      </c>
      <c r="AZ136" s="71">
        <v>1419120000</v>
      </c>
      <c r="BA136" s="53"/>
      <c r="BB136" s="53"/>
      <c r="BC136" s="53"/>
      <c r="BD136" s="53"/>
      <c r="BE136" s="53"/>
      <c r="BF136" s="53"/>
      <c r="BG136" s="53"/>
      <c r="BH136" s="53"/>
      <c r="BI136" s="53"/>
      <c r="BJ136" s="53"/>
      <c r="BK136" s="53"/>
      <c r="BL136" s="53"/>
      <c r="BM136" s="53"/>
      <c r="BN136" s="53"/>
      <c r="BO136" s="53"/>
      <c r="BP136" s="53"/>
      <c r="BQ136" s="53"/>
      <c r="BR136" s="53"/>
      <c r="BS136" s="53"/>
      <c r="BT136" s="53"/>
      <c r="BU136" s="53"/>
      <c r="BV136" s="53"/>
      <c r="BW136" s="53"/>
      <c r="BX136" s="53"/>
      <c r="BY136" s="53"/>
      <c r="BZ136" s="53"/>
      <c r="CA136" s="53"/>
      <c r="CB136" s="53"/>
      <c r="CC136" s="53"/>
      <c r="CD136" s="53"/>
      <c r="CE136" s="53"/>
      <c r="CF136" s="53"/>
      <c r="CG136" s="53"/>
      <c r="CH136" s="53"/>
      <c r="CI136" s="53"/>
      <c r="CJ136" s="53"/>
      <c r="CK136" s="53"/>
      <c r="CL136" s="53"/>
      <c r="CM136" s="53"/>
      <c r="CN136" s="53"/>
      <c r="CO136" s="53"/>
      <c r="CP136" s="53"/>
      <c r="CQ136" s="53"/>
      <c r="CR136" s="1"/>
      <c r="CS136" s="1"/>
      <c r="CT136" s="1"/>
      <c r="CU136" s="1"/>
    </row>
    <row r="137" spans="1:99" s="13" customFormat="1" ht="12" customHeight="1" x14ac:dyDescent="0.2">
      <c r="A137" s="68">
        <v>43895</v>
      </c>
      <c r="B137" s="70" t="s">
        <v>337</v>
      </c>
      <c r="C137" s="70" t="s">
        <v>338</v>
      </c>
      <c r="D137" s="69">
        <v>1988</v>
      </c>
      <c r="E137" s="87">
        <v>1</v>
      </c>
      <c r="F137" s="69">
        <v>12</v>
      </c>
      <c r="G137" s="69">
        <v>12</v>
      </c>
      <c r="H137" s="69" t="s">
        <v>41</v>
      </c>
      <c r="I137" s="92" t="s">
        <v>396</v>
      </c>
      <c r="J137" s="69" t="s">
        <v>336</v>
      </c>
      <c r="K137" s="69">
        <f>IF(J137="syllables",1,IF(J137="trigrams",2,IF(J137="strings",3,IF(J137="visual array",4,IF(J137="characters",5,IF(J137="letters",6,IF(J137="free forms",7,IF(J137="odors",8,IF(J137="words",9,IF(J137="pictures",10,IF(J137="object pictures",11,IF(J137="faces",12,IF(J137="names",13,IF(J137="idioms",14,IF(J137="grades",15,IF(J137="syllable-digit pairs",16,IF(J137="trigram-word pairs",17,IF(J137="word-digit pairs",18,IF(J137="English-Swahili pairs",19,IF(J137="spatial position",20,IF(J137="word pairs",21,IF(J137="word triads",22,IF(J137="generated words",23,IF(J137="word definition pairs",24,IF(J137="math problems",25,IF(J137="famous faces",26,IF(J137="famous names",27,IF(J137="famous voices",28,IF(J137="television programs",29,IF(J137="race horses",30,IF(J137="new vocabulary",31,IF(J137="sentences",32,IF(J137="concepts",33,IF(J137="ad slides",34,IF(J137="scenes",35,IF(J137="famous scenes",36,IF(J137="poems",37,IF(J137="walk",38,IF(J137="faces and events",39,IF(J137="events and names",40,IF(J137="flashbulb",41,IF(J137="stories",42,IF(J137="course material",43,IF(J137="autobiographical",44,IF(J137="novels",45,IF(J137="public events",46,"99"))))))))))))))))))))))))))))))))))))))))))))))</f>
        <v>39</v>
      </c>
      <c r="L137" s="69">
        <f>IF(J137="syllables",1,IF(J137="trigrams",1,IF(J137="strings",1,IF(J137="visual array",1,IF(J137="characters",1,IF(J137="letters",1,IF(J137="free forms",1,IF(J137="odors",2,IF(J137="words",2,IF(J137="pictures",2,IF(J137="object pictures",2,IF(J137="faces",2,IF(J137="names",2,IF(J137="idioms","2",IF(J137="grades",2,IF(J137="syllable-digit pairs",3,IF(J137="trigram-word pairs",3,IF(J137="word-digit pairs",3,IF(J137="English-Swahili pairs",3,IF(J137="spatial position",3,IF(J137="word pairs",4,IF(J137="word triads",4,IF(J137="generated words",4,IF(J137="word definition pairs",4,IF(J137="math problems",4,IF(J137="famous faces",4,IF(J137="famous names",4,IF(J137="famous voices",4,IF(J137="television programs",4,IF(J137="race horses",4,IF(J137="new vocabulary",4,IF(J137="sentences",5,IF(J137="concepts",5,IF(J137="ad slides",5,IF(J137="scenes",5,IF(J137="famous scenes",5,IF(J137="poems",6,IF(J137="walk",6,IF(J137="faces and events",6,IF(J137="events and names",6,IF(J137="flashbulb",7,IF(J137="stories",7,IF(J137="course material",7,IF(J137="autobiographical",7,IF(J137="novels",7,IF(J137="public events",7,"99"))))))))))))))))))))))))))))))))))))))))))))))</f>
        <v>6</v>
      </c>
      <c r="M137" s="69">
        <v>1</v>
      </c>
      <c r="N137" s="92">
        <v>3</v>
      </c>
      <c r="O137" s="69">
        <v>0</v>
      </c>
      <c r="P137" s="69"/>
      <c r="Q137" s="69" t="s">
        <v>65</v>
      </c>
      <c r="R137" s="69">
        <f>IF(Q137="Free Recall",1,IF(Q137="Cued Recall",2,IF(Q137="Recognition",3,IF(Q137="Multiple Choice",4,IF(Q137="Savings",5,IF(Q137="Stem Completion",6,IF(Q137="Fragment Completion",7,IF(Q137="anagram solution",8,IF(Q137="Matching",9,IF(Q137="Problem Solving",10,"99"))))))))))</f>
        <v>2</v>
      </c>
      <c r="S137" s="69" t="s">
        <v>49</v>
      </c>
      <c r="T137" s="92" t="s">
        <v>581</v>
      </c>
      <c r="U137" s="69">
        <f>IF(T137="within",1,0)</f>
        <v>1</v>
      </c>
      <c r="V137" s="92">
        <v>75</v>
      </c>
      <c r="W137" s="69">
        <f>F137*V137</f>
        <v>900</v>
      </c>
      <c r="X137" s="69">
        <v>5</v>
      </c>
      <c r="Y137" s="87">
        <f>AV136</f>
        <v>157680000</v>
      </c>
      <c r="Z137" s="69" t="s">
        <v>373</v>
      </c>
      <c r="AA137" s="69">
        <f>45*365*24*60*60</f>
        <v>1419120000</v>
      </c>
      <c r="AB137" s="69" t="str">
        <f>IF(AA137&lt;60,"1",IF(AA137&lt;=43200,"2",IF(AA137&lt;=777600,"3","4")))</f>
        <v>4</v>
      </c>
      <c r="AC137" s="72">
        <f>AVERAGE(AV136:DA136)</f>
        <v>788400000</v>
      </c>
      <c r="AD137" s="69" t="str">
        <f>IF(AC137&lt;60,"1",IF(AC137&lt;=43200,"2",IF(AC137&lt;=777600,"3","4")))</f>
        <v>4</v>
      </c>
      <c r="AE137" s="87">
        <f>AA137-Y137</f>
        <v>1261440000</v>
      </c>
      <c r="AF137" s="88">
        <f>AV137</f>
        <v>0.69</v>
      </c>
      <c r="AG137" s="72">
        <f>((AW137-AV137)+(AX137-AW137)+(AY137-AX137)+(AZ137-AY137))/4</f>
        <v>2.5000000000000022E-2</v>
      </c>
      <c r="AH137" s="4"/>
      <c r="AI137" s="72">
        <f>RSQ(AV137:AZ137,AV136:AZ136)</f>
        <v>0.77880184331797253</v>
      </c>
      <c r="AJ137" s="110">
        <f>SLOPE(AV137:AZ137,AV136:AZ136)</f>
        <v>8.2445459157788003E-11</v>
      </c>
      <c r="AK137" s="72">
        <f>INTERCEPT(AV137:AZ137,AV136:AZ136)</f>
        <v>0.69699999999999984</v>
      </c>
      <c r="AL137" s="72">
        <f>INDEX(LINEST(LN(AV137:AZ137),LN(AV136:AZ136),TRUE,TRUE),3,1)</f>
        <v>0.93465529375689027</v>
      </c>
      <c r="AM137" s="72">
        <f>INDEX(LINEST(LN(AV137:AZ137),LN(AV136:AZ136)),1)</f>
        <v>6.9596787263018933E-2</v>
      </c>
      <c r="AN137" s="72">
        <f>EXP(INDEX(LINEST(LN(AV137:AZ137),LN(AV136:AZ136)),1,2))</f>
        <v>0.18592165739847138</v>
      </c>
      <c r="AO137" s="89">
        <f>INDEX(LINEST((AV137:AZ137),LN(AV136:AZ136),TRUE,TRUE),3,1)</f>
        <v>0.93149376858866495</v>
      </c>
      <c r="AP137" s="89">
        <f>INDEX(LINEST((AV137:AZ137),LN(AV136:AZ136)),1)</f>
        <v>5.1709387399749777E-2</v>
      </c>
      <c r="AQ137" s="90">
        <f>INDEX(LINEST(LN(AV137:AZ137),SQRT(AV136:AZ136),TRUE,TRUE),3,1)</f>
        <v>0.87577066807238402</v>
      </c>
      <c r="AR137" s="117">
        <f>INDEX(LINEST(LN(AV137:AZ137),SQRT((AV136:AZ136))),1)</f>
        <v>5.9371340584116199E-6</v>
      </c>
      <c r="AS137" s="91">
        <f>INDEX(LINEST(1/(AV137:AZ137),1/(SQRT(AV136:AZ136)),TRUE,TRUE),3,1)</f>
        <v>0.94623735669120035</v>
      </c>
      <c r="AT137" s="91">
        <f>INDEX(LINEST(1/(AV137:AZ137),1/SQRT(AV136:AZ136)),1)</f>
        <v>3820.611857107388</v>
      </c>
      <c r="AU137" s="3"/>
      <c r="AV137" s="73">
        <v>0.69</v>
      </c>
      <c r="AW137" s="73">
        <v>0.74</v>
      </c>
      <c r="AX137" s="73">
        <v>0.79</v>
      </c>
      <c r="AY137" s="73">
        <v>0.8</v>
      </c>
      <c r="AZ137" s="73">
        <v>0.79</v>
      </c>
      <c r="BA137" s="53"/>
      <c r="BB137" s="53"/>
      <c r="BC137" s="53"/>
      <c r="BD137" s="53"/>
      <c r="BE137" s="53"/>
      <c r="BF137" s="53"/>
      <c r="BG137" s="53"/>
      <c r="BH137" s="53"/>
      <c r="BI137" s="53"/>
      <c r="BJ137" s="53"/>
      <c r="BK137" s="53"/>
      <c r="BL137" s="53"/>
      <c r="BM137" s="53"/>
      <c r="BN137" s="53"/>
      <c r="BO137" s="53"/>
      <c r="BP137" s="53"/>
      <c r="BQ137" s="53"/>
      <c r="BR137" s="53"/>
      <c r="BS137" s="53"/>
      <c r="BT137" s="53"/>
      <c r="BU137" s="53"/>
      <c r="BV137" s="53"/>
      <c r="BW137" s="53"/>
      <c r="BX137" s="53"/>
      <c r="BY137" s="53"/>
      <c r="BZ137" s="53"/>
      <c r="CA137" s="53"/>
      <c r="CB137" s="53"/>
      <c r="CC137" s="53"/>
      <c r="CD137" s="53"/>
      <c r="CE137" s="53"/>
      <c r="CF137" s="53"/>
      <c r="CG137" s="53"/>
      <c r="CH137" s="53"/>
      <c r="CI137" s="53"/>
      <c r="CJ137" s="53"/>
      <c r="CK137" s="53"/>
      <c r="CL137" s="53"/>
      <c r="CM137" s="53"/>
      <c r="CN137" s="53"/>
      <c r="CO137" s="53"/>
      <c r="CP137" s="53"/>
      <c r="CQ137" s="53"/>
      <c r="CR137" s="1"/>
      <c r="CS137" s="1"/>
      <c r="CT137" s="1"/>
      <c r="CU137" s="1"/>
    </row>
    <row r="138" spans="1:99" s="13" customFormat="1" ht="12" customHeight="1" x14ac:dyDescent="0.2">
      <c r="A138" s="68">
        <v>43895</v>
      </c>
      <c r="B138" s="70"/>
      <c r="C138" s="70"/>
      <c r="D138" s="69"/>
      <c r="E138" s="87"/>
      <c r="F138" s="69"/>
      <c r="G138" s="69"/>
      <c r="H138" s="69"/>
      <c r="I138" s="69"/>
      <c r="J138" s="69"/>
      <c r="K138" s="107"/>
      <c r="L138" s="107"/>
      <c r="M138" s="69"/>
      <c r="N138" s="92"/>
      <c r="O138" s="69"/>
      <c r="P138" s="69"/>
      <c r="Q138" s="69"/>
      <c r="R138" s="69"/>
      <c r="S138" s="69"/>
      <c r="T138" s="92"/>
      <c r="U138" s="69"/>
      <c r="V138" s="92"/>
      <c r="W138" s="69"/>
      <c r="X138" s="69"/>
      <c r="Y138" s="87"/>
      <c r="Z138" s="69"/>
      <c r="AA138" s="87"/>
      <c r="AB138" s="69"/>
      <c r="AC138" s="72"/>
      <c r="AD138" s="69"/>
      <c r="AE138" s="69"/>
      <c r="AF138" s="88"/>
      <c r="AG138" s="72"/>
      <c r="AH138" s="4"/>
      <c r="AI138" s="72"/>
      <c r="AJ138" s="110"/>
      <c r="AK138" s="72"/>
      <c r="AL138" s="72"/>
      <c r="AM138" s="72"/>
      <c r="AN138" s="72"/>
      <c r="AO138" s="89"/>
      <c r="AP138" s="89"/>
      <c r="AQ138" s="90"/>
      <c r="AR138" s="117"/>
      <c r="AS138" s="91"/>
      <c r="AT138" s="91"/>
      <c r="AU138" s="3"/>
      <c r="AV138" s="71">
        <v>157680000</v>
      </c>
      <c r="AW138" s="71">
        <v>473040000</v>
      </c>
      <c r="AX138" s="71">
        <v>788400000</v>
      </c>
      <c r="AY138" s="71">
        <v>1103760000</v>
      </c>
      <c r="AZ138" s="71">
        <v>1419120000</v>
      </c>
      <c r="BA138" s="53"/>
      <c r="BB138" s="53"/>
      <c r="BC138" s="53"/>
      <c r="BD138" s="53"/>
      <c r="BE138" s="53"/>
      <c r="BF138" s="53"/>
      <c r="BG138" s="53"/>
      <c r="BH138" s="53"/>
      <c r="BI138" s="53"/>
      <c r="BJ138" s="53"/>
      <c r="BK138" s="53"/>
      <c r="BL138" s="53"/>
      <c r="BM138" s="53"/>
      <c r="BN138" s="53"/>
      <c r="BO138" s="53"/>
      <c r="BP138" s="53"/>
      <c r="BQ138" s="53"/>
      <c r="BR138" s="53"/>
      <c r="BS138" s="53"/>
      <c r="BT138" s="53"/>
      <c r="BU138" s="53"/>
      <c r="BV138" s="53"/>
      <c r="BW138" s="53"/>
      <c r="BX138" s="53"/>
      <c r="BY138" s="53"/>
      <c r="BZ138" s="53"/>
      <c r="CA138" s="53"/>
      <c r="CB138" s="53"/>
      <c r="CC138" s="53"/>
      <c r="CD138" s="53"/>
      <c r="CE138" s="53"/>
      <c r="CF138" s="53"/>
      <c r="CG138" s="53"/>
      <c r="CH138" s="53"/>
      <c r="CI138" s="53"/>
      <c r="CJ138" s="53"/>
      <c r="CK138" s="53"/>
      <c r="CL138" s="53"/>
      <c r="CM138" s="53"/>
      <c r="CN138" s="53"/>
      <c r="CO138" s="53"/>
      <c r="CP138" s="53"/>
      <c r="CQ138" s="53"/>
      <c r="CR138" s="1"/>
      <c r="CS138" s="1"/>
      <c r="CT138" s="1"/>
      <c r="CU138" s="1"/>
    </row>
    <row r="139" spans="1:99" s="13" customFormat="1" ht="12" customHeight="1" x14ac:dyDescent="0.2">
      <c r="A139" s="68">
        <v>43895</v>
      </c>
      <c r="B139" s="70" t="s">
        <v>337</v>
      </c>
      <c r="C139" s="70" t="s">
        <v>338</v>
      </c>
      <c r="D139" s="69">
        <v>1988</v>
      </c>
      <c r="E139" s="87">
        <v>1</v>
      </c>
      <c r="F139" s="69">
        <v>12</v>
      </c>
      <c r="G139" s="69">
        <v>12</v>
      </c>
      <c r="H139" s="69" t="s">
        <v>41</v>
      </c>
      <c r="I139" s="92" t="s">
        <v>631</v>
      </c>
      <c r="J139" s="69" t="s">
        <v>336</v>
      </c>
      <c r="K139" s="69">
        <f>IF(J139="syllables",1,IF(J139="trigrams",2,IF(J139="strings",3,IF(J139="visual array",4,IF(J139="characters",5,IF(J139="letters",6,IF(J139="free forms",7,IF(J139="odors",8,IF(J139="words",9,IF(J139="pictures",10,IF(J139="object pictures",11,IF(J139="faces",12,IF(J139="names",13,IF(J139="idioms",14,IF(J139="grades",15,IF(J139="syllable-digit pairs",16,IF(J139="trigram-word pairs",17,IF(J139="word-digit pairs",18,IF(J139="English-Swahili pairs",19,IF(J139="spatial position",20,IF(J139="word pairs",21,IF(J139="word triads",22,IF(J139="generated words",23,IF(J139="word definition pairs",24,IF(J139="math problems",25,IF(J139="famous faces",26,IF(J139="famous names",27,IF(J139="famous voices",28,IF(J139="television programs",29,IF(J139="race horses",30,IF(J139="new vocabulary",31,IF(J139="sentences",32,IF(J139="concepts",33,IF(J139="ad slides",34,IF(J139="scenes",35,IF(J139="famous scenes",36,IF(J139="poems",37,IF(J139="walk",38,IF(J139="faces and events",39,IF(J139="events and names",40,IF(J139="flashbulb",41,IF(J139="stories",42,IF(J139="course material",43,IF(J139="autobiographical",44,IF(J139="novels",45,IF(J139="public events",46,"99"))))))))))))))))))))))))))))))))))))))))))))))</f>
        <v>39</v>
      </c>
      <c r="L139" s="69">
        <f>IF(J139="syllables",1,IF(J139="trigrams",1,IF(J139="strings",1,IF(J139="visual array",1,IF(J139="characters",1,IF(J139="letters",1,IF(J139="free forms",1,IF(J139="odors",2,IF(J139="words",2,IF(J139="pictures",2,IF(J139="object pictures",2,IF(J139="faces",2,IF(J139="names",2,IF(J139="idioms","2",IF(J139="grades",2,IF(J139="syllable-digit pairs",3,IF(J139="trigram-word pairs",3,IF(J139="word-digit pairs",3,IF(J139="English-Swahili pairs",3,IF(J139="spatial position",3,IF(J139="word pairs",4,IF(J139="word triads",4,IF(J139="generated words",4,IF(J139="word definition pairs",4,IF(J139="math problems",4,IF(J139="famous faces",4,IF(J139="famous names",4,IF(J139="famous voices",4,IF(J139="television programs",4,IF(J139="race horses",4,IF(J139="new vocabulary",4,IF(J139="sentences",5,IF(J139="concepts",5,IF(J139="ad slides",5,IF(J139="scenes",5,IF(J139="famous scenes",5,IF(J139="poems",6,IF(J139="walk",6,IF(J139="faces and events",6,IF(J139="events and names",6,IF(J139="flashbulb",7,IF(J139="stories",7,IF(J139="course material",7,IF(J139="autobiographical",7,IF(J139="novels",7,IF(J139="public events",7,"99"))))))))))))))))))))))))))))))))))))))))))))))</f>
        <v>6</v>
      </c>
      <c r="M139" s="69">
        <v>1</v>
      </c>
      <c r="N139" s="92">
        <v>3</v>
      </c>
      <c r="O139" s="69">
        <v>0</v>
      </c>
      <c r="P139" s="69"/>
      <c r="Q139" s="69" t="s">
        <v>65</v>
      </c>
      <c r="R139" s="69">
        <f>IF(Q139="Free Recall",1,IF(Q139="Cued Recall",2,IF(Q139="Recognition",3,IF(Q139="Multiple Choice",4,IF(Q139="Savings",5,IF(Q139="Stem Completion",6,IF(Q139="Fragment Completion",7,IF(Q139="anagram solution",8,IF(Q139="Matching",9,IF(Q139="Problem Solving",10,"99"))))))))))</f>
        <v>2</v>
      </c>
      <c r="S139" s="69" t="s">
        <v>49</v>
      </c>
      <c r="T139" s="92" t="s">
        <v>581</v>
      </c>
      <c r="U139" s="69">
        <f>IF(T139="within",1,0)</f>
        <v>1</v>
      </c>
      <c r="V139" s="92">
        <v>75</v>
      </c>
      <c r="W139" s="69">
        <f>F139*V139</f>
        <v>900</v>
      </c>
      <c r="X139" s="69">
        <v>5</v>
      </c>
      <c r="Y139" s="87">
        <f>AV138</f>
        <v>157680000</v>
      </c>
      <c r="Z139" s="69" t="s">
        <v>373</v>
      </c>
      <c r="AA139" s="69">
        <f>45*365*24*60*60</f>
        <v>1419120000</v>
      </c>
      <c r="AB139" s="69" t="str">
        <f>IF(AA139&lt;60,"1",IF(AA139&lt;=43200,"2",IF(AA139&lt;=777600,"3","4")))</f>
        <v>4</v>
      </c>
      <c r="AC139" s="72">
        <f>AVERAGE(AV138:DA138)</f>
        <v>788400000</v>
      </c>
      <c r="AD139" s="69" t="str">
        <f>IF(AC139&lt;60,"1",IF(AC139&lt;=43200,"2",IF(AC139&lt;=777600,"3","4")))</f>
        <v>4</v>
      </c>
      <c r="AE139" s="87">
        <f>AA139-Y139</f>
        <v>1261440000</v>
      </c>
      <c r="AF139" s="88">
        <f>AV139</f>
        <v>0.77</v>
      </c>
      <c r="AG139" s="72">
        <f>((AW139-AV139)+(AX139-AW139)+(AY139-AX139)+(AZ139-AY139))/4</f>
        <v>-1.7500000000000016E-2</v>
      </c>
      <c r="AH139" s="4"/>
      <c r="AI139" s="72">
        <f>RSQ(AV139:AZ139,AV138:AZ138)</f>
        <v>0.72321428571428548</v>
      </c>
      <c r="AJ139" s="110">
        <f>SLOPE(AV139:AZ139,AV138:AZ138)</f>
        <v>-5.7077625570776301E-11</v>
      </c>
      <c r="AK139" s="72">
        <f>INTERCEPT(AV139:AZ139,AV138:AZ138)</f>
        <v>0.78700000000000003</v>
      </c>
      <c r="AL139" s="72">
        <f>INDEX(LINEST(LN(AV139:AZ139),LN(AV138:AZ138),TRUE,TRUE),3,1)</f>
        <v>0.59508986639141004</v>
      </c>
      <c r="AM139" s="72">
        <f>INDEX(LINEST(LN(AV139:AZ139),LN(AV138:AZ138)),1)</f>
        <v>-4.0101943635617227E-2</v>
      </c>
      <c r="AN139" s="72">
        <f>EXP(INDEX(LINEST(LN(AV139:AZ139),LN(AV138:AZ138)),1,2))</f>
        <v>1.6697844492734366</v>
      </c>
      <c r="AO139" s="89">
        <f>INDEX(LINEST((AV139:AZ139),LN(AV138:AZ138),TRUE,TRUE),3,1)</f>
        <v>0.59574201197950583</v>
      </c>
      <c r="AP139" s="89">
        <f>INDEX(LINEST((AV139:AZ139),LN(AV138:AZ138)),1)</f>
        <v>-2.9708975393664874E-2</v>
      </c>
      <c r="AQ139" s="90">
        <f>INDEX(LINEST(LN(AV139:AZ139),SQRT(AV138:AZ138),TRUE,TRUE),3,1)</f>
        <v>0.67890890678198335</v>
      </c>
      <c r="AR139" s="117">
        <f>INDEX(LINEST(LN(AV139:AZ139),SQRT((AV138:AZ138))),1)</f>
        <v>-3.7748360893638983E-6</v>
      </c>
      <c r="AS139" s="91">
        <f>INDEX(LINEST(1/(AV139:AZ139),1/(SQRT(AV138:AZ138)),TRUE,TRUE),3,1)</f>
        <v>0.49218849713973767</v>
      </c>
      <c r="AT139" s="91">
        <f>INDEX(LINEST(1/(AV139:AZ139),1/SQRT(AV138:AZ138)),1)</f>
        <v>-1998.2053009499716</v>
      </c>
      <c r="AU139" s="3"/>
      <c r="AV139" s="73">
        <v>0.77</v>
      </c>
      <c r="AW139" s="73">
        <v>0.78</v>
      </c>
      <c r="AX139" s="73">
        <v>0.72</v>
      </c>
      <c r="AY139" s="73">
        <v>0.74</v>
      </c>
      <c r="AZ139" s="73">
        <v>0.7</v>
      </c>
      <c r="BA139" s="53"/>
      <c r="BB139" s="53"/>
      <c r="BC139" s="53"/>
      <c r="BD139" s="53"/>
      <c r="BE139" s="53"/>
      <c r="BF139" s="53"/>
      <c r="BG139" s="53"/>
      <c r="BH139" s="53"/>
      <c r="BI139" s="53"/>
      <c r="BJ139" s="53"/>
      <c r="BK139" s="53"/>
      <c r="BL139" s="53"/>
      <c r="BM139" s="53"/>
      <c r="BN139" s="53"/>
      <c r="BO139" s="53"/>
      <c r="BP139" s="53"/>
      <c r="BQ139" s="53"/>
      <c r="BR139" s="53"/>
      <c r="BS139" s="53"/>
      <c r="BT139" s="53"/>
      <c r="BU139" s="53"/>
      <c r="BV139" s="53"/>
      <c r="BW139" s="53"/>
      <c r="BX139" s="53"/>
      <c r="BY139" s="53"/>
      <c r="BZ139" s="53"/>
      <c r="CA139" s="53"/>
      <c r="CB139" s="53"/>
      <c r="CC139" s="53"/>
      <c r="CD139" s="53"/>
      <c r="CE139" s="53"/>
      <c r="CF139" s="53"/>
      <c r="CG139" s="53"/>
      <c r="CH139" s="53"/>
      <c r="CI139" s="53"/>
      <c r="CJ139" s="53"/>
      <c r="CK139" s="53"/>
      <c r="CL139" s="53"/>
      <c r="CM139" s="53"/>
      <c r="CN139" s="53"/>
      <c r="CO139" s="53"/>
      <c r="CP139" s="53"/>
      <c r="CQ139" s="53"/>
      <c r="CR139" s="1"/>
      <c r="CS139" s="1"/>
      <c r="CT139" s="1"/>
      <c r="CU139" s="1"/>
    </row>
    <row r="140" spans="1:99" s="13" customFormat="1" ht="12" customHeight="1" x14ac:dyDescent="0.2">
      <c r="A140" s="65">
        <v>43509</v>
      </c>
      <c r="B140" s="1"/>
      <c r="C140" s="1"/>
      <c r="D140" s="60"/>
      <c r="E140" s="76"/>
      <c r="F140" s="60"/>
      <c r="G140" s="60"/>
      <c r="H140" s="60"/>
      <c r="I140" s="60"/>
      <c r="J140" s="60"/>
      <c r="K140" s="64"/>
      <c r="L140" s="64"/>
      <c r="M140" s="60"/>
      <c r="N140" s="60"/>
      <c r="O140" s="60"/>
      <c r="P140" s="60"/>
      <c r="Q140" s="60"/>
      <c r="R140" s="60"/>
      <c r="S140" s="60"/>
      <c r="T140" s="60"/>
      <c r="U140" s="60"/>
      <c r="V140" s="60"/>
      <c r="W140" s="60"/>
      <c r="X140" s="60"/>
      <c r="Y140" s="76"/>
      <c r="Z140" s="60"/>
      <c r="AA140" s="60"/>
      <c r="AB140" s="60"/>
      <c r="AC140" s="60"/>
      <c r="AD140" s="60"/>
      <c r="AE140" s="60"/>
      <c r="AF140" s="80"/>
      <c r="AG140" s="56"/>
      <c r="AH140" s="4"/>
      <c r="AI140" s="56"/>
      <c r="AJ140" s="109"/>
      <c r="AK140" s="56"/>
      <c r="AL140" s="56"/>
      <c r="AM140" s="56"/>
      <c r="AN140" s="56"/>
      <c r="AO140" s="56"/>
      <c r="AP140" s="56"/>
      <c r="AQ140" s="82"/>
      <c r="AR140" s="115"/>
      <c r="AS140" s="82"/>
      <c r="AT140" s="82"/>
      <c r="AU140" s="3"/>
      <c r="AV140" s="25">
        <v>0.5</v>
      </c>
      <c r="AW140" s="25">
        <v>7.5</v>
      </c>
      <c r="AX140" s="25">
        <v>15</v>
      </c>
      <c r="AY140" s="25">
        <v>22.5</v>
      </c>
      <c r="AZ140" s="25">
        <v>30</v>
      </c>
      <c r="BA140" s="25">
        <v>37.5</v>
      </c>
      <c r="BB140" s="25">
        <v>45</v>
      </c>
      <c r="BC140" s="25">
        <v>60</v>
      </c>
      <c r="BD140" s="25">
        <v>120</v>
      </c>
      <c r="BE140" s="25">
        <v>240</v>
      </c>
      <c r="BF140" s="25">
        <v>360</v>
      </c>
      <c r="BG140" s="25">
        <v>720</v>
      </c>
      <c r="BH140" s="25">
        <v>1500</v>
      </c>
      <c r="BI140" s="25">
        <v>3600</v>
      </c>
      <c r="BJ140" s="25">
        <v>7200</v>
      </c>
      <c r="BK140" s="53"/>
      <c r="BL140" s="53"/>
      <c r="BM140" s="53"/>
      <c r="BN140" s="53"/>
      <c r="BO140" s="53"/>
      <c r="BP140" s="53"/>
      <c r="BQ140" s="53"/>
      <c r="BR140" s="53"/>
      <c r="BS140" s="53"/>
      <c r="BT140" s="53"/>
      <c r="BU140" s="53"/>
      <c r="BV140" s="53"/>
      <c r="BW140" s="53"/>
      <c r="BX140" s="53"/>
      <c r="BY140" s="53"/>
      <c r="BZ140" s="53"/>
      <c r="CA140" s="53"/>
      <c r="CB140" s="53"/>
      <c r="CC140" s="53"/>
      <c r="CD140" s="53"/>
      <c r="CE140" s="53"/>
      <c r="CF140" s="53"/>
      <c r="CG140" s="53"/>
      <c r="CH140" s="53"/>
      <c r="CI140" s="53"/>
      <c r="CJ140" s="53"/>
      <c r="CK140" s="53"/>
      <c r="CL140" s="53"/>
      <c r="CM140" s="53"/>
      <c r="CN140" s="53"/>
      <c r="CO140" s="53"/>
      <c r="CP140" s="53"/>
      <c r="CQ140" s="53"/>
      <c r="CR140" s="1"/>
      <c r="CS140" s="1"/>
      <c r="CT140" s="1"/>
      <c r="CU140" s="1"/>
    </row>
    <row r="141" spans="1:99" s="19" customFormat="1" ht="12" customHeight="1" x14ac:dyDescent="0.2">
      <c r="A141" s="65">
        <v>43509</v>
      </c>
      <c r="B141" s="17" t="s">
        <v>260</v>
      </c>
      <c r="C141" s="17" t="s">
        <v>75</v>
      </c>
      <c r="D141" s="62">
        <v>1974</v>
      </c>
      <c r="E141" s="78">
        <v>1</v>
      </c>
      <c r="F141" s="62">
        <v>7</v>
      </c>
      <c r="G141" s="62">
        <v>7</v>
      </c>
      <c r="H141" s="62" t="s">
        <v>30</v>
      </c>
      <c r="I141" s="62" t="s">
        <v>1030</v>
      </c>
      <c r="J141" s="62" t="s">
        <v>475</v>
      </c>
      <c r="K141" s="60">
        <f>IF(J141="syllables",1,IF(J141="trigrams",2,IF(J141="strings",3,IF(J141="visual array",4,IF(J141="characters",5,IF(J141="letters",6,IF(J141="free forms",7,IF(J141="odors",8,IF(J141="words",9,IF(J141="pictures",10,IF(J141="object pictures",11,IF(J141="faces",12,IF(J141="names",13,IF(J141="idioms",14,IF(J141="grades",15,IF(J141="syllable-digit pairs",16,IF(J141="trigram-word pairs",17,IF(J141="word-digit pairs",18,IF(J141="English-Swahili pairs",19,IF(J141="spatial position",20,IF(J141="word pairs",21,IF(J141="word triads",22,IF(J141="generated words",23,IF(J141="word definition pairs",24,IF(J141="math problems",25,IF(J141="famous faces",26,IF(J141="famous names",27,IF(J141="famous voices",28,IF(J141="television programs",29,IF(J141="race horses",30,IF(J141="new vocabulary",31,IF(J141="sentences",32,IF(J141="concepts",33,IF(J141="ad slides",34,IF(J141="scenes",35,IF(J141="famous scenes",36,IF(J141="poems",37,IF(J141="walk",38,IF(J141="faces and events",39,IF(J141="events and names",40,IF(J141="flashbulb",41,IF(J141="stories",42,IF(J141="course material",43,IF(J141="autobiographical",44,IF(J141="novels",45,IF(J141="public events",46,"99"))))))))))))))))))))))))))))))))))))))))))))))</f>
        <v>32</v>
      </c>
      <c r="L141" s="60">
        <f>IF(J141="syllables",1,IF(J141="trigrams",1,IF(J141="strings",1,IF(J141="visual array",1,IF(J141="characters",1,IF(J141="letters",1,IF(J141="free forms",1,IF(J141="odors",2,IF(J141="words",2,IF(J141="pictures",2,IF(J141="object pictures",2,IF(J141="faces",2,IF(J141="names",2,IF(J141="idioms","2",IF(J141="grades",2,IF(J141="syllable-digit pairs",3,IF(J141="trigram-word pairs",3,IF(J141="word-digit pairs",3,IF(J141="English-Swahili pairs",3,IF(J141="spatial position",3,IF(J141="word pairs",4,IF(J141="word triads",4,IF(J141="generated words",4,IF(J141="word definition pairs",4,IF(J141="math problems",4,IF(J141="famous faces",4,IF(J141="famous names",4,IF(J141="famous voices",4,IF(J141="television programs",4,IF(J141="race horses",4,IF(J141="new vocabulary",4,IF(J141="sentences",5,IF(J141="concepts",5,IF(J141="ad slides",5,IF(J141="scenes",5,IF(J141="famous scenes",5,IF(J141="poems",6,IF(J141="walk",6,IF(J141="faces and events",6,IF(J141="events and names",6,IF(J141="flashbulb",7,IF(J141="stories",7,IF(J141="course material",7,IF(J141="autobiographical",7,IF(J141="novels",7,IF(J141="public events",7,"99"))))))))))))))))))))))))))))))))))))))))))))))</f>
        <v>5</v>
      </c>
      <c r="M141" s="62">
        <v>0</v>
      </c>
      <c r="N141" s="62">
        <v>2</v>
      </c>
      <c r="O141" s="62">
        <v>0</v>
      </c>
      <c r="P141" s="62"/>
      <c r="Q141" s="62" t="s">
        <v>34</v>
      </c>
      <c r="R141" s="60">
        <f>IF(Q141="Free Recall",1,IF(Q141="Cued Recall",2,IF(Q141="Recognition",3,IF(Q141="Multiple Choice",4,IF(Q141="Savings",5,IF(Q141="Stem Completion",6,IF(Q141="Fragment Completion",7,IF(Q141="anagram solution",8,IF(Q141="Matching",9,IF(Q141="Problem Solving",10,"99"))))))))))</f>
        <v>3</v>
      </c>
      <c r="S141" s="60" t="s">
        <v>15</v>
      </c>
      <c r="T141" s="59" t="s">
        <v>581</v>
      </c>
      <c r="U141" s="60">
        <f>IF(T141="within",1,0)</f>
        <v>1</v>
      </c>
      <c r="V141" s="59">
        <v>900</v>
      </c>
      <c r="W141" s="60">
        <f>F141*V141</f>
        <v>6300</v>
      </c>
      <c r="X141" s="62">
        <v>15</v>
      </c>
      <c r="Y141" s="76">
        <f>AV140</f>
        <v>0.5</v>
      </c>
      <c r="Z141" s="62" t="s">
        <v>76</v>
      </c>
      <c r="AA141" s="62">
        <v>7200</v>
      </c>
      <c r="AB141" s="60" t="str">
        <f>IF(AA141&lt;60,"1",IF(AA141&lt;=43200,"2",IF(AA141&lt;=777600,"3","4")))</f>
        <v>2</v>
      </c>
      <c r="AC141" s="56">
        <f>AVERAGE(AV140:DA140)</f>
        <v>930.5333333333333</v>
      </c>
      <c r="AD141" s="60" t="str">
        <f>IF(AC141&lt;60,"1",IF(AC141&lt;=43200,"2",IF(AC141&lt;=777600,"3","4")))</f>
        <v>2</v>
      </c>
      <c r="AE141" s="76">
        <f>AA141-Y141</f>
        <v>7199.5</v>
      </c>
      <c r="AF141" s="80">
        <f>AV141</f>
        <v>0.91</v>
      </c>
      <c r="AG141" s="56">
        <f>((AW141-AV141)+(AX141-AW141)+(AY141-AX141)+(AZ141-AY141)+(BA141-AZ141)+(BB141-BA141)+(BC141-BB141)+(BD141-BC141)+(BE141-BD141)+(BF141-BE141)+(BG141-BF141)+(BH141-BG141)+(BI141-BH141)+(BJ141-BI141))/14</f>
        <v>-2.1428571428571425E-2</v>
      </c>
      <c r="AH141" s="4"/>
      <c r="AI141" s="56">
        <f>RSQ(AV141:BJ141,AV140:BJ140)</f>
        <v>0.50802820986235508</v>
      </c>
      <c r="AJ141" s="109">
        <f>SLOPE(AV141:BJ141,AV140:BJ140)</f>
        <v>-3.0732208667737748E-5</v>
      </c>
      <c r="AK141" s="56">
        <f>INTERCEPT(AV141:BJ141,AV140:BJ140)</f>
        <v>0.77959734457228547</v>
      </c>
      <c r="AL141" s="56">
        <f>INDEX(LINEST(LN(AV141:BJ141),LN(AV140:BJ140),TRUE,TRUE),3,1)</f>
        <v>0.94307131004729372</v>
      </c>
      <c r="AM141" s="56">
        <f>INDEX(LINEST(LN(AV141:BJ141),LN(AV140:BJ140)),1)</f>
        <v>-4.4677116287178305E-2</v>
      </c>
      <c r="AN141" s="56">
        <f>EXP(INDEX(LINEST(LN(AV141:BJ141),LN(AV140:BJ140)),1,2))</f>
        <v>0.91718030102829606</v>
      </c>
      <c r="AO141" s="82">
        <f>INDEX(LINEST((AV141:BJ141),LN(AV140:BJ140),TRUE,TRUE),3,1)</f>
        <v>0.95350286391738437</v>
      </c>
      <c r="AP141" s="82">
        <f>INDEX(LINEST((AV141:BJ141),LN(AV140:BJ140)),1)</f>
        <v>-3.3087046919245071E-2</v>
      </c>
      <c r="AQ141" s="83">
        <f>INDEX(LINEST(LN(AV141:BJ141),SQRT(AV140:BJ140),TRUE,TRUE),3,1)</f>
        <v>0.78057737224556101</v>
      </c>
      <c r="AR141" s="116">
        <f>INDEX(LINEST(LN(AV141:BJ141),SQRT((AV140:BJ140))),1)</f>
        <v>-4.2284990401688597E-3</v>
      </c>
      <c r="AS141" s="84">
        <f>INDEX(LINEST(1/(AV141:BJ141),1/(SQRT(AV140:BJ140)),TRUE,TRUE),3,1)</f>
        <v>0.39411635968502312</v>
      </c>
      <c r="AT141" s="84">
        <f>INDEX(LINEST(1/(AV141:BJ141),1/SQRT(AV140:BJ140)),1)</f>
        <v>-0.28743541243290083</v>
      </c>
      <c r="AU141" s="3"/>
      <c r="AV141" s="18">
        <v>0.91</v>
      </c>
      <c r="AW141" s="18">
        <v>0.81499999999999995</v>
      </c>
      <c r="AX141" s="18">
        <v>0.82499999999999996</v>
      </c>
      <c r="AY141" s="18">
        <v>0.80500000000000005</v>
      </c>
      <c r="AZ141" s="18">
        <v>0.81499999999999995</v>
      </c>
      <c r="BA141" s="18">
        <v>0.76</v>
      </c>
      <c r="BB141" s="18">
        <v>0.78500000000000003</v>
      </c>
      <c r="BC141" s="18">
        <v>0.79</v>
      </c>
      <c r="BD141" s="18">
        <v>0.78</v>
      </c>
      <c r="BE141" s="18">
        <v>0.72499999999999998</v>
      </c>
      <c r="BF141" s="18">
        <v>0.71</v>
      </c>
      <c r="BG141" s="18">
        <v>0.65999999999999992</v>
      </c>
      <c r="BH141" s="18">
        <v>0.64500000000000002</v>
      </c>
      <c r="BI141" s="18">
        <v>0.63</v>
      </c>
      <c r="BJ141" s="18">
        <v>0.6100000000000001</v>
      </c>
      <c r="BK141" s="18"/>
      <c r="BL141" s="18"/>
      <c r="BM141" s="18"/>
      <c r="BN141" s="18"/>
      <c r="BO141" s="18"/>
      <c r="BP141" s="18"/>
      <c r="BQ141" s="18"/>
      <c r="BR141" s="18"/>
      <c r="BS141" s="18"/>
      <c r="BT141" s="18"/>
      <c r="BU141" s="18"/>
      <c r="BV141" s="18"/>
      <c r="BW141" s="18"/>
      <c r="BX141" s="18"/>
      <c r="BY141" s="18"/>
      <c r="BZ141" s="18"/>
      <c r="CA141" s="18"/>
      <c r="CB141" s="18"/>
      <c r="CC141" s="18"/>
      <c r="CD141" s="18"/>
      <c r="CE141" s="18"/>
      <c r="CF141" s="18"/>
      <c r="CG141" s="18"/>
      <c r="CH141" s="18"/>
      <c r="CI141" s="18"/>
      <c r="CJ141" s="18"/>
      <c r="CK141" s="18"/>
      <c r="CL141" s="18"/>
      <c r="CM141" s="18"/>
      <c r="CN141" s="18"/>
      <c r="CO141" s="18"/>
      <c r="CP141" s="18"/>
      <c r="CQ141" s="18"/>
      <c r="CR141" s="17"/>
      <c r="CS141" s="17"/>
      <c r="CT141" s="17"/>
      <c r="CU141" s="17"/>
    </row>
    <row r="142" spans="1:99" s="13" customFormat="1" ht="12" customHeight="1" x14ac:dyDescent="0.2">
      <c r="A142" s="68" t="s">
        <v>932</v>
      </c>
      <c r="B142" s="70"/>
      <c r="C142" s="70"/>
      <c r="D142" s="69"/>
      <c r="E142" s="87"/>
      <c r="F142" s="69"/>
      <c r="G142" s="69"/>
      <c r="H142" s="99"/>
      <c r="I142" s="69"/>
      <c r="J142" s="99"/>
      <c r="K142" s="69"/>
      <c r="L142" s="69"/>
      <c r="M142" s="69"/>
      <c r="N142" s="69"/>
      <c r="O142" s="69"/>
      <c r="P142" s="69"/>
      <c r="Q142" s="99"/>
      <c r="R142" s="69"/>
      <c r="S142" s="69"/>
      <c r="T142" s="92"/>
      <c r="U142" s="69"/>
      <c r="V142" s="92"/>
      <c r="W142" s="69"/>
      <c r="X142" s="69"/>
      <c r="Y142" s="87"/>
      <c r="Z142" s="69"/>
      <c r="AA142" s="69"/>
      <c r="AB142" s="69"/>
      <c r="AC142" s="72"/>
      <c r="AD142" s="69"/>
      <c r="AE142" s="87"/>
      <c r="AF142" s="88"/>
      <c r="AG142" s="72"/>
      <c r="AH142" s="4"/>
      <c r="AI142" s="72"/>
      <c r="AJ142" s="110"/>
      <c r="AK142" s="72"/>
      <c r="AL142" s="72"/>
      <c r="AM142" s="72"/>
      <c r="AN142" s="72"/>
      <c r="AO142" s="89"/>
      <c r="AP142" s="89"/>
      <c r="AQ142" s="90"/>
      <c r="AR142" s="117"/>
      <c r="AS142" s="91"/>
      <c r="AT142" s="91"/>
      <c r="AU142" s="3"/>
      <c r="AV142" s="71">
        <v>30</v>
      </c>
      <c r="AW142" s="71">
        <f>60*30</f>
        <v>1800</v>
      </c>
      <c r="AX142" s="71">
        <f>60*60*24*14</f>
        <v>1209600</v>
      </c>
      <c r="AY142" s="53"/>
      <c r="AZ142" s="53" t="s">
        <v>935</v>
      </c>
      <c r="BA142" s="53"/>
      <c r="BB142" s="53"/>
      <c r="BC142" s="53"/>
      <c r="BD142" s="53"/>
      <c r="BE142" s="53"/>
      <c r="BF142" s="53"/>
      <c r="BG142" s="53"/>
      <c r="BH142" s="53"/>
      <c r="BI142" s="53"/>
      <c r="BJ142" s="53"/>
      <c r="BK142" s="53"/>
      <c r="BL142" s="53"/>
      <c r="BM142" s="53"/>
      <c r="BN142" s="53"/>
      <c r="BO142" s="53"/>
      <c r="BP142" s="53"/>
      <c r="BQ142" s="53"/>
      <c r="BR142" s="53"/>
      <c r="BS142" s="53"/>
      <c r="BT142" s="53"/>
      <c r="BU142" s="53"/>
      <c r="BV142" s="53"/>
      <c r="BW142" s="53"/>
      <c r="BX142" s="53"/>
      <c r="BY142" s="53"/>
      <c r="BZ142" s="53"/>
      <c r="CA142" s="53"/>
      <c r="CB142" s="53"/>
      <c r="CC142" s="53"/>
      <c r="CD142" s="53"/>
      <c r="CE142" s="53"/>
      <c r="CF142" s="53"/>
      <c r="CG142" s="53"/>
      <c r="CH142" s="53"/>
      <c r="CI142" s="53"/>
      <c r="CJ142" s="53"/>
      <c r="CK142" s="53"/>
      <c r="CL142" s="53"/>
      <c r="CM142" s="53"/>
      <c r="CN142" s="53"/>
      <c r="CO142" s="53"/>
      <c r="CP142" s="53"/>
      <c r="CQ142" s="53"/>
      <c r="CR142" s="1"/>
      <c r="CS142" s="1"/>
      <c r="CT142" s="1"/>
      <c r="CU142" s="1"/>
    </row>
    <row r="143" spans="1:99" s="13" customFormat="1" ht="12" customHeight="1" x14ac:dyDescent="0.2">
      <c r="A143" s="68" t="s">
        <v>932</v>
      </c>
      <c r="B143" s="70" t="s">
        <v>933</v>
      </c>
      <c r="C143" s="70" t="s">
        <v>934</v>
      </c>
      <c r="D143" s="69">
        <v>2006</v>
      </c>
      <c r="E143" s="87">
        <v>1</v>
      </c>
      <c r="F143" s="69">
        <v>25</v>
      </c>
      <c r="G143" s="69">
        <v>25</v>
      </c>
      <c r="H143" s="99" t="s">
        <v>50</v>
      </c>
      <c r="I143" s="69" t="s">
        <v>330</v>
      </c>
      <c r="J143" s="69" t="s">
        <v>677</v>
      </c>
      <c r="K143" s="69">
        <f>IF(J143="syllables",1,IF(J143="trigrams",2,IF(J143="strings",3,IF(J143="visual array",4,IF(J143="characters",5,IF(J143="letters",6,IF(J143="free forms",7,IF(J143="odors",8,IF(J143="words",9,IF(J143="pictures",10,IF(J143="object pictures",11,IF(J143="faces",12,IF(J143="names",13,IF(J143="idioms",14,IF(J143="grades",15,IF(J143="syllable-digit pairs",16,IF(J143="trigram-word pairs",17,IF(J143="word-digit pairs",18,IF(J143="English-Swahili pairs",19,IF(J143="spatial position",20,IF(J143="word pairs",21,IF(J143="word triads",22,IF(J143="generated words",23,IF(J143="word definition pairs",24,IF(J143="math problems",25,IF(J143="famous faces",26,IF(J143="famous names",27,IF(J143="famous voices",28,IF(J143="television programs",29,IF(J143="race horses",30,IF(J143="new vocabulary",31,IF(J143="sentences",32,IF(J143="concepts",33,IF(J143="ad slides",34,IF(J143="scenes",35,IF(J143="famous scenes",36,IF(J143="poems",37,IF(J143="walk",38,IF(J143="faces and events",39,IF(J143="events and names",40,IF(J143="flashbulb",41,IF(J143="stories",42,IF(J143="course material",43,IF(J143="autobiographical",44,IF(J143="novels",45,IF(J143="public events",46,"99"))))))))))))))))))))))))))))))))))))))))))))))</f>
        <v>42</v>
      </c>
      <c r="L143" s="69">
        <f>IF(J143="syllables",1,IF(J143="trigrams",1,IF(J143="strings",1,IF(J143="visual array",1,IF(J143="characters",1,IF(J143="letters",1,IF(J143="free forms",1,IF(J143="odors",2,IF(J143="words",2,IF(J143="pictures",2,IF(J143="object pictures",2,IF(J143="faces",2,IF(J143="names",2,IF(J143="idioms","2",IF(J143="grades",2,IF(J143="syllable-digit pairs",3,IF(J143="trigram-word pairs",3,IF(J143="word-digit pairs",3,IF(J143="English-Swahili pairs",3,IF(J143="spatial position",3,IF(J143="word pairs",4,IF(J143="word triads",4,IF(J143="generated words",4,IF(J143="word definition pairs",4,IF(J143="math problems",4,IF(J143="famous faces",4,IF(J143="famous names",4,IF(J143="famous voices",4,IF(J143="television programs",4,IF(J143="race horses",4,IF(J143="new vocabulary",4,IF(J143="sentences",5,IF(J143="concepts",5,IF(J143="ad slides",5,IF(J143="scenes",5,IF(J143="famous scenes",5,IF(J143="poems",6,IF(J143="walk",6,IF(J143="faces and events",6,IF(J143="events and names",6,IF(J143="flashbulb",7,IF(J143="stories",7,IF(J143="course material",7,IF(J143="autobiographical",7,IF(J143="novels",7,IF(J143="public events",7,"99"))))))))))))))))))))))))))))))))))))))))))))))</f>
        <v>7</v>
      </c>
      <c r="M143" s="69">
        <v>0</v>
      </c>
      <c r="N143" s="69">
        <v>2</v>
      </c>
      <c r="O143" s="69">
        <v>0</v>
      </c>
      <c r="P143" s="69"/>
      <c r="Q143" s="99" t="s">
        <v>174</v>
      </c>
      <c r="R143" s="69">
        <f>IF(Q143="Free Recall",1,IF(Q143="Cued Recall",2,IF(Q143="Recognition",3,IF(Q143="Multiple Choice",4,IF(Q143="Savings",5,IF(Q143="Stem Completion",6,IF(Q143="Fragment Completion",7,IF(Q143="anagram solution",8,IF(Q143="Matching",9,IF(Q143="Problem Solving",10,"99"))))))))))</f>
        <v>1</v>
      </c>
      <c r="S143" s="69" t="s">
        <v>49</v>
      </c>
      <c r="T143" s="92" t="s">
        <v>581</v>
      </c>
      <c r="U143" s="69">
        <f>IF(T143="within",1,0)</f>
        <v>1</v>
      </c>
      <c r="V143" s="92">
        <v>50</v>
      </c>
      <c r="W143" s="69">
        <f>F143*V143</f>
        <v>1250</v>
      </c>
      <c r="X143" s="69">
        <v>3</v>
      </c>
      <c r="Y143" s="87">
        <f>AV142</f>
        <v>30</v>
      </c>
      <c r="Z143" s="69" t="s">
        <v>170</v>
      </c>
      <c r="AA143" s="69">
        <f>60*60*24*14</f>
        <v>1209600</v>
      </c>
      <c r="AB143" s="69" t="str">
        <f>IF(AA143&lt;60,"1",IF(AA143&lt;=43200,"2",IF(AA143&lt;=777600,"3","4")))</f>
        <v>4</v>
      </c>
      <c r="AC143" s="72">
        <f>AVERAGE(AV142:DA142)</f>
        <v>403810</v>
      </c>
      <c r="AD143" s="69" t="str">
        <f>IF(AC143&lt;60,"1",IF(AC143&lt;=43200,"2",IF(AC143&lt;=777600,"3","4")))</f>
        <v>3</v>
      </c>
      <c r="AE143" s="87">
        <f>AA143-Y143</f>
        <v>1209570</v>
      </c>
      <c r="AF143" s="88">
        <f>AV143</f>
        <v>0.98</v>
      </c>
      <c r="AG143" s="72">
        <f>((AW143-AV143)+(AX143-AW143))/2</f>
        <v>-0.2037291280148425</v>
      </c>
      <c r="AH143" s="4"/>
      <c r="AI143" s="72">
        <f>RSQ(AV143:AX143,AV142:AX142)</f>
        <v>0.95159538453396608</v>
      </c>
      <c r="AJ143" s="110">
        <f>SLOPE(AV143:AX143,AV142:AX142)</f>
        <v>-2.9815220100662671E-7</v>
      </c>
      <c r="AK143" s="72">
        <f>INTERCEPT(AV143:AX143,AV142:AX142)</f>
        <v>0.9331179287238599</v>
      </c>
      <c r="AL143" s="72">
        <f>INDEX(LINEST(LN(AV143:AX143),LN(AV142:AX142),TRUE,TRUE),3,1)</f>
        <v>0.9546515259176932</v>
      </c>
      <c r="AM143" s="72">
        <f>INDEX(LINEST(LN(AV143:AX143),LN(AV142:AX142)),1)</f>
        <v>-5.2178222224896535E-2</v>
      </c>
      <c r="AN143" s="72">
        <f>EXP(INDEX(LINEST(LN(AV143:AX143),LN(AV142:AX142)),1,2))</f>
        <v>1.2214159131336559</v>
      </c>
      <c r="AO143" s="89">
        <f>INDEX(LINEST((AV143:AX143),LN(AV142:AX142),TRUE,TRUE),3,1)</f>
        <v>0.9714687724608202</v>
      </c>
      <c r="AP143" s="89">
        <f>INDEX(LINEST((AV143:AX143),LN(AV142:AX142)),1)</f>
        <v>-3.9308831941371067E-2</v>
      </c>
      <c r="AQ143" s="90">
        <f>INDEX(LINEST(LN(AV143:AX143),SQRT(AV142:AX142),TRUE,TRUE),3,1)</f>
        <v>0.97811223176944218</v>
      </c>
      <c r="AR143" s="117">
        <f>INDEX(LINEST(LN(AV143:AX143),SQRT((AV142:AX142))),1)</f>
        <v>-4.5452782813593009E-4</v>
      </c>
      <c r="AS143" s="91">
        <f>INDEX(LINEST(1/(AV143:AX143),1/(SQRT(AV142:AX142)),TRUE,TRUE),3,1)</f>
        <v>0.49217939542439587</v>
      </c>
      <c r="AT143" s="91">
        <f>INDEX(LINEST(1/(AV143:AX143),1/SQRT(AV142:AX142)),1)</f>
        <v>-2.7757026592845087</v>
      </c>
      <c r="AU143" s="3"/>
      <c r="AV143" s="73">
        <v>0.98</v>
      </c>
      <c r="AW143" s="73">
        <v>0.88562152133580696</v>
      </c>
      <c r="AX143" s="73">
        <v>0.57254174397031499</v>
      </c>
      <c r="AY143" s="53"/>
      <c r="AZ143" s="53"/>
      <c r="BA143" s="53"/>
      <c r="BB143" s="53"/>
      <c r="BC143" s="53"/>
      <c r="BD143" s="53"/>
      <c r="BE143" s="53"/>
      <c r="BF143" s="53"/>
      <c r="BG143" s="53"/>
      <c r="BH143" s="53"/>
      <c r="BI143" s="53"/>
      <c r="BJ143" s="53"/>
      <c r="BK143" s="53"/>
      <c r="BL143" s="53"/>
      <c r="BM143" s="53"/>
      <c r="BN143" s="53"/>
      <c r="BO143" s="53"/>
      <c r="BP143" s="53"/>
      <c r="BQ143" s="53"/>
      <c r="BR143" s="53"/>
      <c r="BS143" s="53"/>
      <c r="BT143" s="53"/>
      <c r="BU143" s="53"/>
      <c r="BV143" s="53"/>
      <c r="BW143" s="53"/>
      <c r="BX143" s="53"/>
      <c r="BY143" s="53"/>
      <c r="BZ143" s="53"/>
      <c r="CA143" s="53"/>
      <c r="CB143" s="53"/>
      <c r="CC143" s="53"/>
      <c r="CD143" s="53"/>
      <c r="CE143" s="53"/>
      <c r="CF143" s="53"/>
      <c r="CG143" s="53"/>
      <c r="CH143" s="53"/>
      <c r="CI143" s="53"/>
      <c r="CJ143" s="53"/>
      <c r="CK143" s="53"/>
      <c r="CL143" s="53"/>
      <c r="CM143" s="53"/>
      <c r="CN143" s="53"/>
      <c r="CO143" s="53"/>
      <c r="CP143" s="53"/>
      <c r="CQ143" s="53"/>
      <c r="CR143" s="1"/>
      <c r="CS143" s="1"/>
      <c r="CT143" s="1"/>
      <c r="CU143" s="1"/>
    </row>
    <row r="144" spans="1:99" s="13" customFormat="1" ht="12" customHeight="1" x14ac:dyDescent="0.2">
      <c r="A144" s="65" t="s">
        <v>932</v>
      </c>
      <c r="B144" s="1"/>
      <c r="C144" s="1"/>
      <c r="D144" s="60"/>
      <c r="E144" s="76"/>
      <c r="F144" s="60"/>
      <c r="G144" s="60"/>
      <c r="H144" s="62"/>
      <c r="I144" s="60"/>
      <c r="J144" s="60"/>
      <c r="K144" s="60"/>
      <c r="L144" s="60"/>
      <c r="M144" s="60"/>
      <c r="N144" s="60"/>
      <c r="O144" s="60"/>
      <c r="P144" s="60"/>
      <c r="Q144" s="62"/>
      <c r="R144" s="60"/>
      <c r="S144" s="60"/>
      <c r="T144" s="59"/>
      <c r="U144" s="60"/>
      <c r="V144" s="59"/>
      <c r="W144" s="60"/>
      <c r="X144" s="60"/>
      <c r="Y144" s="76"/>
      <c r="Z144" s="60"/>
      <c r="AA144" s="60"/>
      <c r="AB144" s="60"/>
      <c r="AC144" s="56"/>
      <c r="AD144" s="60"/>
      <c r="AE144" s="76"/>
      <c r="AF144" s="80"/>
      <c r="AG144" s="56"/>
      <c r="AH144" s="4"/>
      <c r="AI144" s="56"/>
      <c r="AJ144" s="109"/>
      <c r="AK144" s="56"/>
      <c r="AL144" s="56"/>
      <c r="AM144" s="56"/>
      <c r="AN144" s="56"/>
      <c r="AO144" s="82"/>
      <c r="AP144" s="82"/>
      <c r="AQ144" s="83"/>
      <c r="AR144" s="116"/>
      <c r="AS144" s="84"/>
      <c r="AT144" s="84"/>
      <c r="AU144" s="3"/>
      <c r="AV144" s="25">
        <v>30</v>
      </c>
      <c r="AW144" s="25">
        <f>60*30</f>
        <v>1800</v>
      </c>
      <c r="AX144" s="25">
        <f>60*60*24</f>
        <v>86400</v>
      </c>
      <c r="AY144" s="53"/>
      <c r="AZ144" s="53" t="s">
        <v>935</v>
      </c>
      <c r="BA144" s="53"/>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53"/>
      <c r="CD144" s="53"/>
      <c r="CE144" s="53"/>
      <c r="CF144" s="53"/>
      <c r="CG144" s="53"/>
      <c r="CH144" s="53"/>
      <c r="CI144" s="53"/>
      <c r="CJ144" s="53"/>
      <c r="CK144" s="53"/>
      <c r="CL144" s="53"/>
      <c r="CM144" s="53"/>
      <c r="CN144" s="53"/>
      <c r="CO144" s="53"/>
      <c r="CP144" s="53"/>
      <c r="CQ144" s="53"/>
      <c r="CR144" s="1"/>
      <c r="CS144" s="1"/>
      <c r="CT144" s="1"/>
      <c r="CU144" s="1"/>
    </row>
    <row r="145" spans="1:99" s="13" customFormat="1" ht="12" customHeight="1" x14ac:dyDescent="0.2">
      <c r="A145" s="65" t="s">
        <v>932</v>
      </c>
      <c r="B145" s="1" t="s">
        <v>936</v>
      </c>
      <c r="C145" s="1" t="s">
        <v>937</v>
      </c>
      <c r="D145" s="60">
        <v>2005</v>
      </c>
      <c r="E145" s="76">
        <v>1</v>
      </c>
      <c r="F145" s="60">
        <v>49</v>
      </c>
      <c r="G145" s="60">
        <v>49</v>
      </c>
      <c r="H145" s="62" t="s">
        <v>38</v>
      </c>
      <c r="I145" s="60" t="s">
        <v>938</v>
      </c>
      <c r="J145" s="60" t="s">
        <v>16</v>
      </c>
      <c r="K145" s="60">
        <f>IF(J145="syllables",1,IF(J145="trigrams",2,IF(J145="strings",3,IF(J145="visual array",4,IF(J145="characters",5,IF(J145="letters",6,IF(J145="free forms",7,IF(J145="odors",8,IF(J145="words",9,IF(J145="pictures",10,IF(J145="object pictures",11,IF(J145="faces",12,IF(J145="names",13,IF(J145="idioms",14,IF(J145="grades",15,IF(J145="syllable-digit pairs",16,IF(J145="trigram-word pairs",17,IF(J145="word-digit pairs",18,IF(J145="English-Swahili pairs",19,IF(J145="spatial position",20,IF(J145="word pairs",21,IF(J145="word triads",22,IF(J145="generated words",23,IF(J145="word definition pairs",24,IF(J145="math problems",25,IF(J145="famous faces",26,IF(J145="famous names",27,IF(J145="famous voices",28,IF(J145="television programs",29,IF(J145="race horses",30,IF(J145="new vocabulary",31,IF(J145="sentences",32,IF(J145="concepts",33,IF(J145="ad slides",34,IF(J145="scenes",35,IF(J145="famous scenes",36,IF(J145="poems",37,IF(J145="walk",38,IF(J145="faces and events",39,IF(J145="events and names",40,IF(J145="flashbulb",41,IF(J145="stories",42,IF(J145="course material",43,IF(J145="autobiographical",44,IF(J145="novels",45,IF(J145="public events",46,"99"))))))))))))))))))))))))))))))))))))))))))))))</f>
        <v>9</v>
      </c>
      <c r="L145" s="60">
        <f>IF(J145="syllables",1,IF(J145="trigrams",1,IF(J145="strings",1,IF(J145="visual array",1,IF(J145="characters",1,IF(J145="letters",1,IF(J145="free forms",1,IF(J145="odors",2,IF(J145="words",2,IF(J145="pictures",2,IF(J145="object pictures",2,IF(J145="faces",2,IF(J145="names",2,IF(J145="idioms","2",IF(J145="grades",2,IF(J145="syllable-digit pairs",3,IF(J145="trigram-word pairs",3,IF(J145="word-digit pairs",3,IF(J145="English-Swahili pairs",3,IF(J145="spatial position",3,IF(J145="word pairs",4,IF(J145="word triads",4,IF(J145="generated words",4,IF(J145="word definition pairs",4,IF(J145="math problems",4,IF(J145="famous faces",4,IF(J145="famous names",4,IF(J145="famous voices",4,IF(J145="television programs",4,IF(J145="race horses",4,IF(J145="new vocabulary",4,IF(J145="sentences",5,IF(J145="concepts",5,IF(J145="ad slides",5,IF(J145="scenes",5,IF(J145="famous scenes",5,IF(J145="poems",6,IF(J145="walk",6,IF(J145="faces and events",6,IF(J145="events and names",6,IF(J145="flashbulb",7,IF(J145="stories",7,IF(J145="course material",7,IF(J145="autobiographical",7,IF(J145="novels",7,IF(J145="public events",7,"99"))))))))))))))))))))))))))))))))))))))))))))))</f>
        <v>2</v>
      </c>
      <c r="M145" s="60">
        <v>1</v>
      </c>
      <c r="N145" s="60">
        <v>2</v>
      </c>
      <c r="O145" s="60">
        <v>0</v>
      </c>
      <c r="P145" s="60"/>
      <c r="Q145" s="62" t="s">
        <v>174</v>
      </c>
      <c r="R145" s="60">
        <f>IF(Q145="Free Recall",1,IF(Q145="Cued Recall",2,IF(Q145="Recognition",3,IF(Q145="Multiple Choice",4,IF(Q145="Savings",5,IF(Q145="Stem Completion",6,IF(Q145="Fragment Completion",7,IF(Q145="anagram solution",8,IF(Q145="Matching",9,IF(Q145="Problem Solving",10,"99"))))))))))</f>
        <v>1</v>
      </c>
      <c r="S145" s="60" t="s">
        <v>49</v>
      </c>
      <c r="T145" s="59" t="s">
        <v>581</v>
      </c>
      <c r="U145" s="60">
        <f>IF(T145="within",1,0)</f>
        <v>1</v>
      </c>
      <c r="V145" s="59">
        <v>12</v>
      </c>
      <c r="W145" s="60">
        <f>F145*V145</f>
        <v>588</v>
      </c>
      <c r="X145" s="60">
        <v>3</v>
      </c>
      <c r="Y145" s="76">
        <f>AV144</f>
        <v>30</v>
      </c>
      <c r="Z145" s="60" t="s">
        <v>79</v>
      </c>
      <c r="AA145" s="60">
        <f>60*60*24</f>
        <v>86400</v>
      </c>
      <c r="AB145" s="60" t="str">
        <f>IF(AA145&lt;60,"1",IF(AA145&lt;=43200,"2",IF(AA145&lt;=777600,"3","4")))</f>
        <v>3</v>
      </c>
      <c r="AC145" s="56">
        <f>AVERAGE(AV144:DA144)</f>
        <v>29410</v>
      </c>
      <c r="AD145" s="60" t="str">
        <f>IF(AC145&lt;60,"1",IF(AC145&lt;=43200,"2",IF(AC145&lt;=777600,"3","4")))</f>
        <v>2</v>
      </c>
      <c r="AE145" s="76">
        <f>AA145-Y145</f>
        <v>86370</v>
      </c>
      <c r="AF145" s="80">
        <f>AV145</f>
        <v>0.83333333333333337</v>
      </c>
      <c r="AG145" s="56">
        <f>((AW145-AV145)+(AX145-AW145))/2</f>
        <v>-0.16666666666666669</v>
      </c>
      <c r="AH145" s="4"/>
      <c r="AI145" s="56">
        <f>RSQ(AV145:AX145,AV144:AX144)</f>
        <v>0.68855953104512446</v>
      </c>
      <c r="AJ145" s="109">
        <f>SLOPE(AV145:AX145,AV144:AX144)</f>
        <v>-2.8121787763284142E-6</v>
      </c>
      <c r="AK145" s="56">
        <f>INTERCEPT(AV145:AX145,AV144:AX144)</f>
        <v>0.74103951114515199</v>
      </c>
      <c r="AL145" s="56">
        <f>INDEX(LINEST(LN(AV145:AX145),LN(AV144:AX144),TRUE,TRUE),3,1)</f>
        <v>0.99999260754014596</v>
      </c>
      <c r="AM145" s="56">
        <f>INDEX(LINEST(LN(AV145:AX145),LN(AV144:AX144)),1)</f>
        <v>-6.4126575711424896E-2</v>
      </c>
      <c r="AN145" s="56">
        <f>EXP(INDEX(LINEST(LN(AV145:AX145),LN(AV144:AX144)),1,2))</f>
        <v>1.0368375618432171</v>
      </c>
      <c r="AO145" s="82">
        <f>INDEX(LINEST((AV145:AX145),LN(AV144:AX144),TRUE,TRUE),3,1)</f>
        <v>0.99507798447393037</v>
      </c>
      <c r="AP145" s="82">
        <f>INDEX(LINEST((AV145:AX145),LN(AV144:AX144)),1)</f>
        <v>-4.1894548022784077E-2</v>
      </c>
      <c r="AQ145" s="83">
        <f>INDEX(LINEST(LN(AV145:AX145),SQRT(AV144:AX144),TRUE,TRUE),3,1)</f>
        <v>0.83441432004265736</v>
      </c>
      <c r="AR145" s="116">
        <f>INDEX(LINEST(LN(AV145:AX145),SQRT((AV144:AX144))),1)</f>
        <v>-1.4864888339396274E-3</v>
      </c>
      <c r="AS145" s="84">
        <f>INDEX(LINEST(1/(AV145:AX145),1/(SQRT(AV144:AX144)),TRUE,TRUE),3,1)</f>
        <v>0.78628435712775191</v>
      </c>
      <c r="AT145" s="84">
        <f>INDEX(LINEST(1/(AV145:AX145),1/SQRT(AV144:AX144)),1)</f>
        <v>-3.6205351452876302</v>
      </c>
      <c r="AU145" s="3"/>
      <c r="AV145" s="53">
        <f>10/12</f>
        <v>0.83333333333333337</v>
      </c>
      <c r="AW145" s="53">
        <f>7.7/12</f>
        <v>0.64166666666666672</v>
      </c>
      <c r="AX145" s="53">
        <f>6/12</f>
        <v>0.5</v>
      </c>
      <c r="AY145" s="53"/>
      <c r="AZ145" s="53"/>
      <c r="BA145" s="53"/>
      <c r="BB145" s="53"/>
      <c r="BC145" s="53"/>
      <c r="BD145" s="53"/>
      <c r="BE145" s="53"/>
      <c r="BF145" s="53"/>
      <c r="BG145" s="53"/>
      <c r="BH145" s="53"/>
      <c r="BI145" s="53"/>
      <c r="BJ145" s="53"/>
      <c r="BK145" s="53"/>
      <c r="BL145" s="53"/>
      <c r="BM145" s="53"/>
      <c r="BN145" s="53"/>
      <c r="BO145" s="53"/>
      <c r="BP145" s="53"/>
      <c r="BQ145" s="53"/>
      <c r="BR145" s="53"/>
      <c r="BS145" s="53"/>
      <c r="BT145" s="53"/>
      <c r="BU145" s="53"/>
      <c r="BV145" s="53"/>
      <c r="BW145" s="53"/>
      <c r="BX145" s="53"/>
      <c r="BY145" s="53"/>
      <c r="BZ145" s="53"/>
      <c r="CA145" s="53"/>
      <c r="CB145" s="53"/>
      <c r="CC145" s="53"/>
      <c r="CD145" s="53"/>
      <c r="CE145" s="53"/>
      <c r="CF145" s="53"/>
      <c r="CG145" s="53"/>
      <c r="CH145" s="53"/>
      <c r="CI145" s="53"/>
      <c r="CJ145" s="53"/>
      <c r="CK145" s="53"/>
      <c r="CL145" s="53"/>
      <c r="CM145" s="53"/>
      <c r="CN145" s="53"/>
      <c r="CO145" s="53"/>
      <c r="CP145" s="53"/>
      <c r="CQ145" s="53"/>
      <c r="CR145" s="1"/>
      <c r="CS145" s="1"/>
      <c r="CT145" s="1"/>
      <c r="CU145" s="1"/>
    </row>
    <row r="146" spans="1:99" s="13" customFormat="1" ht="12" customHeight="1" x14ac:dyDescent="0.2">
      <c r="A146" s="65" t="s">
        <v>932</v>
      </c>
      <c r="B146" s="1"/>
      <c r="C146" s="1"/>
      <c r="D146" s="60"/>
      <c r="E146" s="76"/>
      <c r="F146" s="60"/>
      <c r="G146" s="60"/>
      <c r="H146" s="62"/>
      <c r="I146" s="60"/>
      <c r="J146" s="60"/>
      <c r="K146" s="60"/>
      <c r="L146" s="60"/>
      <c r="M146" s="60"/>
      <c r="N146" s="60"/>
      <c r="O146" s="60"/>
      <c r="P146" s="60"/>
      <c r="Q146" s="62"/>
      <c r="R146" s="60"/>
      <c r="S146" s="60"/>
      <c r="T146" s="59"/>
      <c r="U146" s="60"/>
      <c r="V146" s="59"/>
      <c r="W146" s="60"/>
      <c r="X146" s="60"/>
      <c r="Y146" s="76"/>
      <c r="Z146" s="60"/>
      <c r="AA146" s="60"/>
      <c r="AB146" s="60"/>
      <c r="AC146" s="56"/>
      <c r="AD146" s="60"/>
      <c r="AE146" s="76"/>
      <c r="AF146" s="80"/>
      <c r="AG146" s="56"/>
      <c r="AH146" s="4"/>
      <c r="AI146" s="56"/>
      <c r="AJ146" s="109"/>
      <c r="AK146" s="56"/>
      <c r="AL146" s="56"/>
      <c r="AM146" s="56"/>
      <c r="AN146" s="56"/>
      <c r="AO146" s="82"/>
      <c r="AP146" s="82"/>
      <c r="AQ146" s="83"/>
      <c r="AR146" s="116"/>
      <c r="AS146" s="84"/>
      <c r="AT146" s="84"/>
      <c r="AU146" s="3"/>
      <c r="AV146" s="25">
        <v>30</v>
      </c>
      <c r="AW146" s="25">
        <f>60*30</f>
        <v>1800</v>
      </c>
      <c r="AX146" s="25">
        <f>60*60*24</f>
        <v>86400</v>
      </c>
      <c r="AY146" s="53"/>
      <c r="AZ146" s="53"/>
      <c r="BA146" s="53"/>
      <c r="BB146" s="53"/>
      <c r="BC146" s="53"/>
      <c r="BD146" s="53"/>
      <c r="BE146" s="53"/>
      <c r="BF146" s="53"/>
      <c r="BG146" s="53"/>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c r="CE146" s="53"/>
      <c r="CF146" s="53"/>
      <c r="CG146" s="53"/>
      <c r="CH146" s="53"/>
      <c r="CI146" s="53"/>
      <c r="CJ146" s="53"/>
      <c r="CK146" s="53"/>
      <c r="CL146" s="53"/>
      <c r="CM146" s="53"/>
      <c r="CN146" s="53"/>
      <c r="CO146" s="53"/>
      <c r="CP146" s="53"/>
      <c r="CQ146" s="53"/>
      <c r="CR146" s="1"/>
      <c r="CS146" s="1"/>
      <c r="CT146" s="1"/>
      <c r="CU146" s="1"/>
    </row>
    <row r="147" spans="1:99" s="13" customFormat="1" ht="12" customHeight="1" x14ac:dyDescent="0.2">
      <c r="A147" s="65" t="s">
        <v>932</v>
      </c>
      <c r="B147" s="1" t="s">
        <v>936</v>
      </c>
      <c r="C147" s="1" t="s">
        <v>937</v>
      </c>
      <c r="D147" s="60">
        <v>2005</v>
      </c>
      <c r="E147" s="76">
        <v>1</v>
      </c>
      <c r="F147" s="60">
        <v>49</v>
      </c>
      <c r="G147" s="60">
        <v>49</v>
      </c>
      <c r="H147" s="62" t="s">
        <v>38</v>
      </c>
      <c r="I147" s="60" t="s">
        <v>939</v>
      </c>
      <c r="J147" s="60" t="s">
        <v>317</v>
      </c>
      <c r="K147" s="60">
        <f>IF(J147="syllables",1,IF(J147="trigrams",2,IF(J147="strings",3,IF(J147="visual array",4,IF(J147="characters",5,IF(J147="letters",6,IF(J147="free forms",7,IF(J147="odors",8,IF(J147="words",9,IF(J147="pictures",10,IF(J147="object pictures",11,IF(J147="faces",12,IF(J147="names",13,IF(J147="idioms",14,IF(J147="grades",15,IF(J147="syllable-digit pairs",16,IF(J147="trigram-word pairs",17,IF(J147="word-digit pairs",18,IF(J147="English-Swahili pairs",19,IF(J147="spatial position",20,IF(J147="word pairs",21,IF(J147="word triads",22,IF(J147="generated words",23,IF(J147="word definition pairs",24,IF(J147="math problems",25,IF(J147="famous faces",26,IF(J147="famous names",27,IF(J147="famous voices",28,IF(J147="television programs",29,IF(J147="race horses",30,IF(J147="new vocabulary",31,IF(J147="sentences",32,IF(J147="concepts",33,IF(J147="ad slides",34,IF(J147="scenes",35,IF(J147="famous scenes",36,IF(J147="poems",37,IF(J147="walk",38,IF(J147="faces and events",39,IF(J147="events and names",40,IF(J147="flashbulb",41,IF(J147="stories",42,IF(J147="course material",43,IF(J147="autobiographical",44,IF(J147="novels",45,IF(J147="public events",46,"99"))))))))))))))))))))))))))))))))))))))))))))))</f>
        <v>7</v>
      </c>
      <c r="L147" s="60">
        <f>IF(J147="syllables",1,IF(J147="trigrams",1,IF(J147="strings",1,IF(J147="visual array",1,IF(J147="characters",1,IF(J147="letters",1,IF(J147="free forms",1,IF(J147="odors",2,IF(J147="words",2,IF(J147="pictures",2,IF(J147="object pictures",2,IF(J147="faces",2,IF(J147="names",2,IF(J147="idioms","2",IF(J147="grades",2,IF(J147="syllable-digit pairs",3,IF(J147="trigram-word pairs",3,IF(J147="word-digit pairs",3,IF(J147="English-Swahili pairs",3,IF(J147="spatial position",3,IF(J147="word pairs",4,IF(J147="word triads",4,IF(J147="generated words",4,IF(J147="word definition pairs",4,IF(J147="math problems",4,IF(J147="famous faces",4,IF(J147="famous names",4,IF(J147="famous voices",4,IF(J147="television programs",4,IF(J147="race horses",4,IF(J147="new vocabulary",4,IF(J147="sentences",5,IF(J147="concepts",5,IF(J147="ad slides",5,IF(J147="scenes",5,IF(J147="famous scenes",5,IF(J147="poems",6,IF(J147="walk",6,IF(J147="faces and events",6,IF(J147="events and names",6,IF(J147="flashbulb",7,IF(J147="stories",7,IF(J147="course material",7,IF(J147="autobiographical",7,IF(J147="novels",7,IF(J147="public events",7,"99"))))))))))))))))))))))))))))))))))))))))))))))</f>
        <v>1</v>
      </c>
      <c r="M147" s="60">
        <v>1</v>
      </c>
      <c r="N147" s="60">
        <v>2</v>
      </c>
      <c r="O147" s="60">
        <v>0</v>
      </c>
      <c r="P147" s="60"/>
      <c r="Q147" s="62" t="s">
        <v>174</v>
      </c>
      <c r="R147" s="60">
        <f>IF(Q147="Free Recall",1,IF(Q147="Cued Recall",2,IF(Q147="Recognition",3,IF(Q147="Multiple Choice",4,IF(Q147="Savings",5,IF(Q147="Stem Completion",6,IF(Q147="Fragment Completion",7,IF(Q147="anagram solution",8,IF(Q147="Matching",9,IF(Q147="Problem Solving",10,"99"))))))))))</f>
        <v>1</v>
      </c>
      <c r="S147" s="60" t="s">
        <v>49</v>
      </c>
      <c r="T147" s="59" t="s">
        <v>581</v>
      </c>
      <c r="U147" s="60">
        <f>IF(T147="within",1,0)</f>
        <v>1</v>
      </c>
      <c r="V147" s="59">
        <v>12</v>
      </c>
      <c r="W147" s="60">
        <f>F147*V147</f>
        <v>588</v>
      </c>
      <c r="X147" s="60">
        <v>3</v>
      </c>
      <c r="Y147" s="76">
        <f>AV146</f>
        <v>30</v>
      </c>
      <c r="Z147" s="60" t="s">
        <v>79</v>
      </c>
      <c r="AA147" s="60">
        <f>60*60*24</f>
        <v>86400</v>
      </c>
      <c r="AB147" s="60" t="str">
        <f>IF(AA147&lt;60,"1",IF(AA147&lt;=43200,"2",IF(AA147&lt;=777600,"3","4")))</f>
        <v>3</v>
      </c>
      <c r="AC147" s="56">
        <f>AVERAGE(AV146:DA146)</f>
        <v>29410</v>
      </c>
      <c r="AD147" s="60" t="str">
        <f>IF(AC147&lt;60,"1",IF(AC147&lt;=43200,"2",IF(AC147&lt;=777600,"3","4")))</f>
        <v>2</v>
      </c>
      <c r="AE147" s="76">
        <f>AA147-Y147</f>
        <v>86370</v>
      </c>
      <c r="AF147" s="80">
        <f>AV147</f>
        <v>0.95000000000000007</v>
      </c>
      <c r="AG147" s="56">
        <f>((AW147-AV147)+(AX147-AW147))/2</f>
        <v>-5.0000000000000044E-2</v>
      </c>
      <c r="AH147" s="4"/>
      <c r="AI147" s="56">
        <f>RSQ(AV147:AX147,AV146:AX146)</f>
        <v>0.95038245224120166</v>
      </c>
      <c r="AJ147" s="109">
        <f>SLOPE(AV147:AX147,AV146:AX146)</f>
        <v>-1.0277823707791057E-6</v>
      </c>
      <c r="AK147" s="56">
        <f>INTERCEPT(AV147:AX147,AV146:AX146)</f>
        <v>0.93856041285794678</v>
      </c>
      <c r="AL147" s="56">
        <f>INDEX(LINEST(LN(AV147:AX147),LN(AV146:AX146),TRUE,TRUE),3,1)</f>
        <v>0.90805209590894242</v>
      </c>
      <c r="AM147" s="56">
        <f>INDEX(LINEST(LN(AV147:AX147),LN(AV146:AX146)),1)</f>
        <v>-1.3891845440066442E-2</v>
      </c>
      <c r="AN147" s="56">
        <f>EXP(INDEX(LINEST(LN(AV147:AX147),LN(AV146:AX146)),1,2))</f>
        <v>1.0058527573282312</v>
      </c>
      <c r="AO147" s="82">
        <f>INDEX(LINEST((AV147:AX147),LN(AV146:AX146),TRUE,TRUE),3,1)</f>
        <v>0.91423832512255532</v>
      </c>
      <c r="AP147" s="82">
        <f>INDEX(LINEST((AV147:AX147),LN(AV146:AX146)),1)</f>
        <v>-1.2492186015372671E-2</v>
      </c>
      <c r="AQ147" s="83">
        <f>INDEX(LINEST(LN(AV147:AX147),SQRT(AV146:AX146),TRUE,TRUE),3,1)</f>
        <v>0.98712306315474119</v>
      </c>
      <c r="AR147" s="116">
        <f>INDEX(LINEST(LN(AV147:AX147),SQRT((AV146:AX146))),1)</f>
        <v>-3.6755415072616232E-4</v>
      </c>
      <c r="AS147" s="84">
        <f>INDEX(LINEST(1/(AV147:AX147),1/(SQRT(AV146:AX146)),TRUE,TRUE),3,1)</f>
        <v>0.56206661686696957</v>
      </c>
      <c r="AT147" s="84">
        <f>INDEX(LINEST(1/(AV147:AX147),1/SQRT(AV146:AX146)),1)</f>
        <v>-0.49550248042978839</v>
      </c>
      <c r="AU147" s="3"/>
      <c r="AV147" s="53">
        <f>11.4/12</f>
        <v>0.95000000000000007</v>
      </c>
      <c r="AW147" s="53">
        <f>11.1/12</f>
        <v>0.92499999999999993</v>
      </c>
      <c r="AX147" s="53">
        <f>10.2/12</f>
        <v>0.85</v>
      </c>
      <c r="AY147" s="53"/>
      <c r="AZ147" s="53"/>
      <c r="BA147" s="53"/>
      <c r="BB147" s="53"/>
      <c r="BC147" s="53"/>
      <c r="BD147" s="53"/>
      <c r="BE147" s="53"/>
      <c r="BF147" s="53"/>
      <c r="BG147" s="53"/>
      <c r="BH147" s="53"/>
      <c r="BI147" s="53"/>
      <c r="BJ147" s="53"/>
      <c r="BK147" s="53"/>
      <c r="BL147" s="53"/>
      <c r="BM147" s="53"/>
      <c r="BN147" s="53"/>
      <c r="BO147" s="53"/>
      <c r="BP147" s="53"/>
      <c r="BQ147" s="53"/>
      <c r="BR147" s="53"/>
      <c r="BS147" s="53"/>
      <c r="BT147" s="53"/>
      <c r="BU147" s="53"/>
      <c r="BV147" s="53"/>
      <c r="BW147" s="53"/>
      <c r="BX147" s="53"/>
      <c r="BY147" s="53"/>
      <c r="BZ147" s="53"/>
      <c r="CA147" s="53"/>
      <c r="CB147" s="53"/>
      <c r="CC147" s="53"/>
      <c r="CD147" s="53"/>
      <c r="CE147" s="53"/>
      <c r="CF147" s="53"/>
      <c r="CG147" s="53"/>
      <c r="CH147" s="53"/>
      <c r="CI147" s="53"/>
      <c r="CJ147" s="53"/>
      <c r="CK147" s="53"/>
      <c r="CL147" s="53"/>
      <c r="CM147" s="53"/>
      <c r="CN147" s="53"/>
      <c r="CO147" s="53"/>
      <c r="CP147" s="53"/>
      <c r="CQ147" s="53"/>
      <c r="CR147" s="1"/>
      <c r="CS147" s="1"/>
      <c r="CT147" s="1"/>
      <c r="CU147" s="1"/>
    </row>
    <row r="148" spans="1:99" s="13" customFormat="1" ht="12" customHeight="1" x14ac:dyDescent="0.2">
      <c r="A148" s="68" t="s">
        <v>932</v>
      </c>
      <c r="B148" s="70"/>
      <c r="C148" s="70"/>
      <c r="D148" s="69"/>
      <c r="E148" s="87"/>
      <c r="F148" s="69"/>
      <c r="G148" s="69"/>
      <c r="H148" s="99"/>
      <c r="I148" s="69"/>
      <c r="J148" s="69"/>
      <c r="K148" s="69"/>
      <c r="L148" s="69"/>
      <c r="M148" s="69"/>
      <c r="N148" s="69"/>
      <c r="O148" s="69"/>
      <c r="P148" s="69"/>
      <c r="Q148" s="99"/>
      <c r="R148" s="69"/>
      <c r="S148" s="69"/>
      <c r="T148" s="92"/>
      <c r="U148" s="69"/>
      <c r="V148" s="92"/>
      <c r="W148" s="69"/>
      <c r="X148" s="69"/>
      <c r="Y148" s="87"/>
      <c r="Z148" s="69"/>
      <c r="AA148" s="69"/>
      <c r="AB148" s="69"/>
      <c r="AC148" s="72"/>
      <c r="AD148" s="69"/>
      <c r="AE148" s="87"/>
      <c r="AF148" s="88"/>
      <c r="AG148" s="72"/>
      <c r="AH148" s="4"/>
      <c r="AI148" s="72"/>
      <c r="AJ148" s="110"/>
      <c r="AK148" s="72"/>
      <c r="AL148" s="72"/>
      <c r="AM148" s="72"/>
      <c r="AN148" s="72"/>
      <c r="AO148" s="89"/>
      <c r="AP148" s="89"/>
      <c r="AQ148" s="90"/>
      <c r="AR148" s="117"/>
      <c r="AS148" s="91"/>
      <c r="AT148" s="91"/>
      <c r="AU148" s="3"/>
      <c r="AV148" s="71">
        <v>30</v>
      </c>
      <c r="AW148" s="71">
        <f>60*30</f>
        <v>1800</v>
      </c>
      <c r="AX148" s="71">
        <f>60*60*24*7*8</f>
        <v>4838400</v>
      </c>
      <c r="AY148" s="53"/>
      <c r="AZ148" s="53" t="s">
        <v>935</v>
      </c>
      <c r="BA148" s="53"/>
      <c r="BB148" s="53"/>
      <c r="BC148" s="53"/>
      <c r="BD148" s="53"/>
      <c r="BE148" s="53"/>
      <c r="BF148" s="53"/>
      <c r="BG148" s="53"/>
      <c r="BH148" s="53"/>
      <c r="BI148" s="53"/>
      <c r="BJ148" s="53"/>
      <c r="BK148" s="53"/>
      <c r="BL148" s="53"/>
      <c r="BM148" s="53"/>
      <c r="BN148" s="53"/>
      <c r="BO148" s="53"/>
      <c r="BP148" s="53"/>
      <c r="BQ148" s="53"/>
      <c r="BR148" s="53"/>
      <c r="BS148" s="53"/>
      <c r="BT148" s="53"/>
      <c r="BU148" s="53"/>
      <c r="BV148" s="53"/>
      <c r="BW148" s="53"/>
      <c r="BX148" s="53"/>
      <c r="BY148" s="53"/>
      <c r="BZ148" s="53"/>
      <c r="CA148" s="53"/>
      <c r="CB148" s="53"/>
      <c r="CC148" s="53"/>
      <c r="CD148" s="53"/>
      <c r="CE148" s="53"/>
      <c r="CF148" s="53"/>
      <c r="CG148" s="53"/>
      <c r="CH148" s="53"/>
      <c r="CI148" s="53"/>
      <c r="CJ148" s="53"/>
      <c r="CK148" s="53"/>
      <c r="CL148" s="53"/>
      <c r="CM148" s="53"/>
      <c r="CN148" s="53"/>
      <c r="CO148" s="53"/>
      <c r="CP148" s="53"/>
      <c r="CQ148" s="53"/>
      <c r="CR148" s="1"/>
      <c r="CS148" s="1"/>
      <c r="CT148" s="1"/>
      <c r="CU148" s="1"/>
    </row>
    <row r="149" spans="1:99" s="13" customFormat="1" ht="12" customHeight="1" x14ac:dyDescent="0.2">
      <c r="A149" s="68" t="s">
        <v>932</v>
      </c>
      <c r="B149" s="70" t="s">
        <v>940</v>
      </c>
      <c r="C149" s="70" t="s">
        <v>405</v>
      </c>
      <c r="D149" s="69">
        <v>2000</v>
      </c>
      <c r="E149" s="87">
        <v>1</v>
      </c>
      <c r="F149" s="69">
        <v>16</v>
      </c>
      <c r="G149" s="69">
        <v>16</v>
      </c>
      <c r="H149" s="99" t="s">
        <v>38</v>
      </c>
      <c r="I149" s="69" t="s">
        <v>330</v>
      </c>
      <c r="J149" s="69" t="s">
        <v>677</v>
      </c>
      <c r="K149" s="69">
        <f>IF(J149="syllables",1,IF(J149="trigrams",2,IF(J149="strings",3,IF(J149="visual array",4,IF(J149="characters",5,IF(J149="letters",6,IF(J149="free forms",7,IF(J149="odors",8,IF(J149="words",9,IF(J149="pictures",10,IF(J149="object pictures",11,IF(J149="faces",12,IF(J149="names",13,IF(J149="idioms",14,IF(J149="grades",15,IF(J149="syllable-digit pairs",16,IF(J149="trigram-word pairs",17,IF(J149="word-digit pairs",18,IF(J149="English-Swahili pairs",19,IF(J149="spatial position",20,IF(J149="word pairs",21,IF(J149="word triads",22,IF(J149="generated words",23,IF(J149="word definition pairs",24,IF(J149="math problems",25,IF(J149="famous faces",26,IF(J149="famous names",27,IF(J149="famous voices",28,IF(J149="television programs",29,IF(J149="race horses",30,IF(J149="new vocabulary",31,IF(J149="sentences",32,IF(J149="concepts",33,IF(J149="ad slides",34,IF(J149="scenes",35,IF(J149="famous scenes",36,IF(J149="poems",37,IF(J149="walk",38,IF(J149="faces and events",39,IF(J149="events and names",40,IF(J149="flashbulb",41,IF(J149="stories",42,IF(J149="course material",43,IF(J149="autobiographical",44,IF(J149="novels",45,IF(J149="public events",46,"99"))))))))))))))))))))))))))))))))))))))))))))))</f>
        <v>42</v>
      </c>
      <c r="L149" s="69">
        <f>IF(J149="syllables",1,IF(J149="trigrams",1,IF(J149="strings",1,IF(J149="visual array",1,IF(J149="characters",1,IF(J149="letters",1,IF(J149="free forms",1,IF(J149="odors",2,IF(J149="words",2,IF(J149="pictures",2,IF(J149="object pictures",2,IF(J149="faces",2,IF(J149="names",2,IF(J149="idioms","2",IF(J149="grades",2,IF(J149="syllable-digit pairs",3,IF(J149="trigram-word pairs",3,IF(J149="word-digit pairs",3,IF(J149="English-Swahili pairs",3,IF(J149="spatial position",3,IF(J149="word pairs",4,IF(J149="word triads",4,IF(J149="generated words",4,IF(J149="word definition pairs",4,IF(J149="math problems",4,IF(J149="famous faces",4,IF(J149="famous names",4,IF(J149="famous voices",4,IF(J149="television programs",4,IF(J149="race horses",4,IF(J149="new vocabulary",4,IF(J149="sentences",5,IF(J149="concepts",5,IF(J149="ad slides",5,IF(J149="scenes",5,IF(J149="famous scenes",5,IF(J149="poems",6,IF(J149="walk",6,IF(J149="faces and events",6,IF(J149="events and names",6,IF(J149="flashbulb",7,IF(J149="stories",7,IF(J149="course material",7,IF(J149="autobiographical",7,IF(J149="novels",7,IF(J149="public events",7,"99"))))))))))))))))))))))))))))))))))))))))))))))</f>
        <v>7</v>
      </c>
      <c r="M149" s="69">
        <v>1</v>
      </c>
      <c r="N149" s="69">
        <v>4</v>
      </c>
      <c r="O149" s="69">
        <v>0</v>
      </c>
      <c r="P149" s="69"/>
      <c r="Q149" s="99" t="s">
        <v>174</v>
      </c>
      <c r="R149" s="69">
        <f>IF(Q149="Free Recall",1,IF(Q149="Cued Recall",2,IF(Q149="Recognition",3,IF(Q149="Multiple Choice",4,IF(Q149="Savings",5,IF(Q149="Stem Completion",6,IF(Q149="Fragment Completion",7,IF(Q149="anagram solution",8,IF(Q149="Matching",9,IF(Q149="Problem Solving",10,"99"))))))))))</f>
        <v>1</v>
      </c>
      <c r="S149" s="69" t="s">
        <v>49</v>
      </c>
      <c r="T149" s="92" t="s">
        <v>581</v>
      </c>
      <c r="U149" s="69">
        <f>IF(T149="within",1,0)</f>
        <v>1</v>
      </c>
      <c r="V149" s="92">
        <v>20</v>
      </c>
      <c r="W149" s="69">
        <f>F149*V149</f>
        <v>320</v>
      </c>
      <c r="X149" s="69">
        <v>3</v>
      </c>
      <c r="Y149" s="87">
        <f>AV148</f>
        <v>30</v>
      </c>
      <c r="Z149" s="69" t="s">
        <v>276</v>
      </c>
      <c r="AA149" s="69">
        <f>60*60*24*7*8</f>
        <v>4838400</v>
      </c>
      <c r="AB149" s="69" t="str">
        <f>IF(AA149&lt;60,"1",IF(AA149&lt;=43200,"2",IF(AA149&lt;=777600,"3","4")))</f>
        <v>4</v>
      </c>
      <c r="AC149" s="72">
        <f>AVERAGE(AV148:DA148)</f>
        <v>1613410</v>
      </c>
      <c r="AD149" s="69" t="str">
        <f>IF(AC149&lt;60,"1",IF(AC149&lt;=43200,"2",IF(AC149&lt;=777600,"3","4")))</f>
        <v>4</v>
      </c>
      <c r="AE149" s="87">
        <f>AA149-Y149</f>
        <v>4838370</v>
      </c>
      <c r="AF149" s="88">
        <f>AV149</f>
        <v>0.85</v>
      </c>
      <c r="AG149" s="72">
        <f>((AW149-AV149)+(AX149-AW149))/2</f>
        <v>-0.16499999999999998</v>
      </c>
      <c r="AH149" s="4"/>
      <c r="AI149" s="72">
        <f>RSQ(AV149:AX149,AV148:AX148)</f>
        <v>0.96601087583598977</v>
      </c>
      <c r="AJ149" s="110">
        <f>SLOPE(AV149:AX149,AV148:AX148)</f>
        <v>-7.6481479383354035E-8</v>
      </c>
      <c r="AK149" s="72">
        <f>INTERCEPT(AV149:AX149,AV148:AX148)</f>
        <v>0.8900626503185638</v>
      </c>
      <c r="AL149" s="72">
        <f>INDEX(LINEST(LN(AV149:AX149),LN(AV148:AX148),TRUE,TRUE),3,1)</f>
        <v>0.78120401563249142</v>
      </c>
      <c r="AM149" s="72">
        <f>INDEX(LINEST(LN(AV149:AX149),LN(AV148:AX148)),1)</f>
        <v>-4.5378230455479424E-2</v>
      </c>
      <c r="AN149" s="72">
        <f>EXP(INDEX(LINEST(LN(AV149:AX149),LN(AV148:AX148)),1,2))</f>
        <v>1.1066176770287262</v>
      </c>
      <c r="AO149" s="89">
        <f>INDEX(LINEST((AV149:AX149),LN(AV148:AX148),TRUE,TRUE),3,1)</f>
        <v>0.74649521643317107</v>
      </c>
      <c r="AP149" s="89">
        <f>INDEX(LINEST((AV149:AX149),LN(AV148:AX148)),1)</f>
        <v>-3.0807581442521076E-2</v>
      </c>
      <c r="AQ149" s="90">
        <f>INDEX(LINEST(LN(AV149:AX149),SQRT(AV148:AX148),TRUE,TRUE),3,1)</f>
        <v>0.97495450259259819</v>
      </c>
      <c r="AR149" s="117">
        <f>INDEX(LINEST(LN(AV149:AX149),SQRT((AV148:AX148))),1)</f>
        <v>-2.4595488032372055E-4</v>
      </c>
      <c r="AS149" s="91">
        <f>INDEX(LINEST(1/(AV149:AX149),1/(SQRT(AV148:AX148)),TRUE,TRUE),3,1)</f>
        <v>0.25638028168728111</v>
      </c>
      <c r="AT149" s="91">
        <f>INDEX(LINEST(1/(AV149:AX149),1/SQRT(AV148:AX148)),1)</f>
        <v>-2.3646656268232311</v>
      </c>
      <c r="AU149" s="3"/>
      <c r="AV149" s="73">
        <v>0.85</v>
      </c>
      <c r="AW149" s="73">
        <v>0.93</v>
      </c>
      <c r="AX149" s="73">
        <v>0.52</v>
      </c>
      <c r="AY149" s="53"/>
      <c r="AZ149" s="53"/>
      <c r="BA149" s="53"/>
      <c r="BB149" s="53"/>
      <c r="BC149" s="53"/>
      <c r="BD149" s="53"/>
      <c r="BE149" s="53"/>
      <c r="BF149" s="53"/>
      <c r="BG149" s="53"/>
      <c r="BH149" s="53"/>
      <c r="BI149" s="53"/>
      <c r="BJ149" s="53"/>
      <c r="BK149" s="53"/>
      <c r="BL149" s="53"/>
      <c r="BM149" s="53"/>
      <c r="BN149" s="53"/>
      <c r="BO149" s="53"/>
      <c r="BP149" s="53"/>
      <c r="BQ149" s="53"/>
      <c r="BR149" s="53"/>
      <c r="BS149" s="53"/>
      <c r="BT149" s="53"/>
      <c r="BU149" s="53"/>
      <c r="BV149" s="53"/>
      <c r="BW149" s="53"/>
      <c r="BX149" s="53"/>
      <c r="BY149" s="53"/>
      <c r="BZ149" s="53"/>
      <c r="CA149" s="53"/>
      <c r="CB149" s="53"/>
      <c r="CC149" s="53"/>
      <c r="CD149" s="53"/>
      <c r="CE149" s="53"/>
      <c r="CF149" s="53"/>
      <c r="CG149" s="53"/>
      <c r="CH149" s="53"/>
      <c r="CI149" s="53"/>
      <c r="CJ149" s="53"/>
      <c r="CK149" s="53"/>
      <c r="CL149" s="53"/>
      <c r="CM149" s="53"/>
      <c r="CN149" s="53"/>
      <c r="CO149" s="53"/>
      <c r="CP149" s="53"/>
      <c r="CQ149" s="53"/>
      <c r="CR149" s="1"/>
      <c r="CS149" s="1"/>
      <c r="CT149" s="1"/>
      <c r="CU149" s="1"/>
    </row>
    <row r="150" spans="1:99" s="13" customFormat="1" ht="12" customHeight="1" x14ac:dyDescent="0.2">
      <c r="A150" s="65">
        <v>43509</v>
      </c>
      <c r="B150" s="1"/>
      <c r="C150" s="1"/>
      <c r="D150" s="60"/>
      <c r="E150" s="76"/>
      <c r="F150" s="60"/>
      <c r="G150" s="60"/>
      <c r="H150" s="60"/>
      <c r="I150" s="60"/>
      <c r="J150" s="60"/>
      <c r="K150" s="64"/>
      <c r="L150" s="64"/>
      <c r="M150" s="60"/>
      <c r="N150" s="60"/>
      <c r="O150" s="60"/>
      <c r="P150" s="60"/>
      <c r="Q150" s="60"/>
      <c r="R150" s="60"/>
      <c r="S150" s="60"/>
      <c r="T150" s="60"/>
      <c r="U150" s="60"/>
      <c r="V150" s="60"/>
      <c r="W150" s="60"/>
      <c r="X150" s="61"/>
      <c r="Y150" s="76"/>
      <c r="Z150" s="60"/>
      <c r="AA150" s="60"/>
      <c r="AB150" s="60"/>
      <c r="AC150" s="60"/>
      <c r="AD150" s="60"/>
      <c r="AE150" s="60"/>
      <c r="AF150" s="80"/>
      <c r="AG150" s="56"/>
      <c r="AH150" s="4"/>
      <c r="AI150" s="56"/>
      <c r="AJ150" s="109"/>
      <c r="AK150" s="56"/>
      <c r="AL150" s="56"/>
      <c r="AM150" s="56"/>
      <c r="AN150" s="56"/>
      <c r="AO150" s="56"/>
      <c r="AP150" s="56"/>
      <c r="AQ150" s="56"/>
      <c r="AR150" s="109"/>
      <c r="AS150" s="56"/>
      <c r="AT150" s="56"/>
      <c r="AU150" s="4"/>
      <c r="AV150" s="25">
        <f>3*1</f>
        <v>3</v>
      </c>
      <c r="AW150" s="25">
        <f>3*2</f>
        <v>6</v>
      </c>
      <c r="AX150" s="25">
        <f>3*3</f>
        <v>9</v>
      </c>
      <c r="AY150" s="25">
        <f>3*6</f>
        <v>18</v>
      </c>
      <c r="AZ150" s="25">
        <f>3*12</f>
        <v>36</v>
      </c>
      <c r="BA150" s="25">
        <f>3*24</f>
        <v>72</v>
      </c>
      <c r="BB150" s="25">
        <f>3*48</f>
        <v>144</v>
      </c>
      <c r="BC150" s="25">
        <f>3*96</f>
        <v>288</v>
      </c>
      <c r="BD150" s="53"/>
      <c r="BE150" s="53"/>
      <c r="BF150" s="53"/>
      <c r="BG150" s="53"/>
      <c r="BH150" s="53"/>
      <c r="BI150" s="53"/>
      <c r="BJ150" s="53"/>
      <c r="BK150" s="53"/>
      <c r="BL150" s="53"/>
      <c r="BM150" s="53"/>
      <c r="BN150" s="53"/>
      <c r="BO150" s="53"/>
      <c r="BP150" s="53"/>
      <c r="BQ150" s="53"/>
      <c r="BR150" s="53"/>
      <c r="BS150" s="53"/>
      <c r="BT150" s="53"/>
      <c r="BU150" s="53"/>
      <c r="BV150" s="53"/>
      <c r="BW150" s="53"/>
      <c r="BX150" s="53"/>
      <c r="BY150" s="53"/>
      <c r="BZ150" s="53"/>
      <c r="CA150" s="53"/>
      <c r="CB150" s="53"/>
      <c r="CC150" s="53"/>
      <c r="CD150" s="53"/>
      <c r="CE150" s="53"/>
      <c r="CF150" s="53"/>
      <c r="CG150" s="53"/>
      <c r="CH150" s="53"/>
      <c r="CI150" s="53"/>
      <c r="CJ150" s="53"/>
      <c r="CK150" s="53"/>
      <c r="CL150" s="53"/>
      <c r="CM150" s="53"/>
      <c r="CN150" s="53"/>
      <c r="CO150" s="53"/>
      <c r="CP150" s="53"/>
      <c r="CQ150" s="53"/>
      <c r="CR150" s="1"/>
      <c r="CS150" s="1"/>
      <c r="CT150" s="1"/>
      <c r="CU150" s="1"/>
    </row>
    <row r="151" spans="1:99" s="13" customFormat="1" ht="12" customHeight="1" x14ac:dyDescent="0.2">
      <c r="A151" s="65">
        <v>43509</v>
      </c>
      <c r="B151" s="1" t="s">
        <v>241</v>
      </c>
      <c r="C151" s="1" t="s">
        <v>19</v>
      </c>
      <c r="D151" s="60">
        <v>1968</v>
      </c>
      <c r="E151" s="76">
        <v>1</v>
      </c>
      <c r="F151" s="60">
        <v>92</v>
      </c>
      <c r="G151" s="60">
        <v>92</v>
      </c>
      <c r="H151" s="60" t="s">
        <v>50</v>
      </c>
      <c r="I151" s="60" t="s">
        <v>633</v>
      </c>
      <c r="J151" s="60" t="s">
        <v>16</v>
      </c>
      <c r="K151" s="60">
        <f>IF(J151="syllables",1,IF(J151="trigrams",2,IF(J151="strings",3,IF(J151="visual array",4,IF(J151="characters",5,IF(J151="letters",6,IF(J151="free forms",7,IF(J151="odors",8,IF(J151="words",9,IF(J151="pictures",10,IF(J151="object pictures",11,IF(J151="faces",12,IF(J151="names",13,IF(J151="idioms",14,IF(J151="grades",15,IF(J151="syllable-digit pairs",16,IF(J151="trigram-word pairs",17,IF(J151="word-digit pairs",18,IF(J151="English-Swahili pairs",19,IF(J151="spatial position",20,IF(J151="word pairs",21,IF(J151="word triads",22,IF(J151="generated words",23,IF(J151="word definition pairs",24,IF(J151="math problems",25,IF(J151="famous faces",26,IF(J151="famous names",27,IF(J151="famous voices",28,IF(J151="television programs",29,IF(J151="race horses",30,IF(J151="new vocabulary",31,IF(J151="sentences",32,IF(J151="concepts",33,IF(J151="ad slides",34,IF(J151="scenes",35,IF(J151="famous scenes",36,IF(J151="poems",37,IF(J151="walk",38,IF(J151="faces and events",39,IF(J151="events and names",40,IF(J151="flashbulb",41,IF(J151="stories",42,IF(J151="course material",43,IF(J151="autobiographical",44,IF(J151="novels",45,IF(J151="public events",46,"99"))))))))))))))))))))))))))))))))))))))))))))))</f>
        <v>9</v>
      </c>
      <c r="L151" s="60">
        <f>IF(J151="syllables",1,IF(J151="trigrams",1,IF(J151="strings",1,IF(J151="visual array",1,IF(J151="characters",1,IF(J151="letters",1,IF(J151="free forms",1,IF(J151="odors",2,IF(J151="words",2,IF(J151="pictures",2,IF(J151="object pictures",2,IF(J151="faces",2,IF(J151="names",2,IF(J151="idioms","2",IF(J151="grades",2,IF(J151="syllable-digit pairs",3,IF(J151="trigram-word pairs",3,IF(J151="word-digit pairs",3,IF(J151="English-Swahili pairs",3,IF(J151="spatial position",3,IF(J151="word pairs",4,IF(J151="word triads",4,IF(J151="generated words",4,IF(J151="word definition pairs",4,IF(J151="math problems",4,IF(J151="famous faces",4,IF(J151="famous names",4,IF(J151="famous voices",4,IF(J151="television programs",4,IF(J151="race horses",4,IF(J151="new vocabulary",4,IF(J151="sentences",5,IF(J151="concepts",5,IF(J151="ad slides",5,IF(J151="scenes",5,IF(J151="famous scenes",5,IF(J151="poems",6,IF(J151="walk",6,IF(J151="faces and events",6,IF(J151="events and names",6,IF(J151="flashbulb",7,IF(J151="stories",7,IF(J151="course material",7,IF(J151="autobiographical",7,IF(J151="novels",7,IF(J151="public events",7,"99"))))))))))))))))))))))))))))))))))))))))))))))</f>
        <v>2</v>
      </c>
      <c r="M151" s="60">
        <v>0</v>
      </c>
      <c r="N151" s="60">
        <v>1</v>
      </c>
      <c r="O151" s="60">
        <v>0</v>
      </c>
      <c r="P151" s="60"/>
      <c r="Q151" s="60" t="s">
        <v>65</v>
      </c>
      <c r="R151" s="60">
        <f>IF(Q151="Free Recall",1,IF(Q151="Cued Recall",2,IF(Q151="Recognition",3,IF(Q151="Multiple Choice",4,IF(Q151="Savings",5,IF(Q151="Stem Completion",6,IF(Q151="Fragment Completion",7,IF(Q151="anagram solution",8,IF(Q151="Matching",9,IF(Q151="Problem Solving",10,"99"))))))))))</f>
        <v>2</v>
      </c>
      <c r="S151" s="60" t="s">
        <v>15</v>
      </c>
      <c r="T151" s="59" t="s">
        <v>581</v>
      </c>
      <c r="U151" s="60">
        <f>IF(T151="within",1,0)</f>
        <v>1</v>
      </c>
      <c r="V151" s="59">
        <v>32</v>
      </c>
      <c r="W151" s="60">
        <f>F151*V151</f>
        <v>2944</v>
      </c>
      <c r="X151" s="60">
        <v>8</v>
      </c>
      <c r="Y151" s="76">
        <f>AV150</f>
        <v>3</v>
      </c>
      <c r="Z151" s="60" t="s">
        <v>57</v>
      </c>
      <c r="AA151" s="60">
        <v>288</v>
      </c>
      <c r="AB151" s="60" t="str">
        <f>IF(AA151&lt;60,"1",IF(AA151&lt;=43200,"2",IF(AA151&lt;=777600,"3","4")))</f>
        <v>2</v>
      </c>
      <c r="AC151" s="56">
        <f>AVERAGE(AV150:DA150)</f>
        <v>72</v>
      </c>
      <c r="AD151" s="60" t="str">
        <f>IF(AC151&lt;60,"1",IF(AC151&lt;=43200,"2",IF(AC151&lt;=777600,"3","4")))</f>
        <v>2</v>
      </c>
      <c r="AE151" s="76">
        <f>AA151-Y151</f>
        <v>285</v>
      </c>
      <c r="AF151" s="80">
        <f>AV151</f>
        <v>0.78582128099173498</v>
      </c>
      <c r="AG151" s="56">
        <f>((AW151-AV151)+(AX151-AW151)+(AY151-AX151)+(AZ151-AY151)+(BA151-AZ151)+(BB151-BA151)+(BC151-BB151))/7</f>
        <v>-0.10868967680047217</v>
      </c>
      <c r="AH151" s="4"/>
      <c r="AI151" s="56">
        <f>RSQ(AV151:BC151,AV150:BC150)</f>
        <v>0.41969762008778971</v>
      </c>
      <c r="AJ151" s="109">
        <f>SLOPE(AV151:BC151,AV150:BC150)</f>
        <v>-1.9942510886419738E-3</v>
      </c>
      <c r="AK151" s="56">
        <f>INTERCEPT(AV151:BC151,AV150:BC150)</f>
        <v>0.45968321810329615</v>
      </c>
      <c r="AL151" s="56">
        <f>INDEX(LINEST(LN(AV151:BC151),LN(AV150:BC150),TRUE,TRUE),3,1)</f>
        <v>0.93743283514416176</v>
      </c>
      <c r="AM151" s="56">
        <f>INDEX(LINEST(LN(AV151:BC151),LN(AV150:BC150)),1)</f>
        <v>-0.75462173189743664</v>
      </c>
      <c r="AN151" s="56">
        <f>EXP(INDEX(LINEST(LN(AV151:BC151),LN(AV150:BC150)),1,2))</f>
        <v>2.1989074079203448</v>
      </c>
      <c r="AO151" s="82">
        <f>INDEX(LINEST((AV151:BC151),LN(AV150:BC150),TRUE,TRUE),3,1)</f>
        <v>0.83456147871754716</v>
      </c>
      <c r="AP151" s="82">
        <f>INDEX(LINEST((AV151:BC151),LN(AV150:BC150)),1)</f>
        <v>-0.17472207485284422</v>
      </c>
      <c r="AQ151" s="83">
        <f>INDEX(LINEST(LN(AV151:BC151),SQRT(AV150:BC150),TRUE,TRUE),3,1)</f>
        <v>0.8855778535826665</v>
      </c>
      <c r="AR151" s="116">
        <f>INDEX(LINEST(LN(AV151:BC151),SQRT((AV150:BC150))),1)</f>
        <v>-0.2197493801033939</v>
      </c>
      <c r="AS151" s="84">
        <f>INDEX(LINEST(1/(AV151:BC151),1/(SQRT(AV150:BC150)),TRUE,TRUE),3,1)</f>
        <v>0.47730730635699359</v>
      </c>
      <c r="AT151" s="84">
        <f>INDEX(LINEST(1/(AV151:BC151),1/SQRT(AV150:BC150)),1)</f>
        <v>-50.59519299870913</v>
      </c>
      <c r="AU151" s="3"/>
      <c r="AV151" s="53">
        <v>0.78582128099173498</v>
      </c>
      <c r="AW151" s="53">
        <v>0.75088455578512303</v>
      </c>
      <c r="AX151" s="53">
        <v>0.41378486570247902</v>
      </c>
      <c r="AY151" s="53">
        <v>0.26235795454545402</v>
      </c>
      <c r="AZ151" s="53">
        <v>8.9527376033057798E-2</v>
      </c>
      <c r="BA151" s="53">
        <v>0.14638429752066101</v>
      </c>
      <c r="BB151" s="53">
        <v>5.5023243801652903E-2</v>
      </c>
      <c r="BC151" s="53">
        <v>2.4993543388429601E-2</v>
      </c>
      <c r="BD151" s="53"/>
      <c r="BE151" s="53"/>
      <c r="BF151" s="53"/>
      <c r="BG151" s="53"/>
      <c r="BH151" s="53"/>
      <c r="BI151" s="53"/>
      <c r="BJ151" s="53"/>
      <c r="BK151" s="53"/>
      <c r="BL151" s="53"/>
      <c r="BM151" s="53"/>
      <c r="BN151" s="53"/>
      <c r="BO151" s="53"/>
      <c r="BP151" s="53"/>
      <c r="BQ151" s="53"/>
      <c r="BR151" s="53"/>
      <c r="BS151" s="53"/>
      <c r="BT151" s="53"/>
      <c r="BU151" s="53"/>
      <c r="BV151" s="53"/>
      <c r="BW151" s="53"/>
      <c r="BX151" s="53"/>
      <c r="BY151" s="53"/>
      <c r="BZ151" s="53"/>
      <c r="CA151" s="53"/>
      <c r="CB151" s="53"/>
      <c r="CC151" s="53"/>
      <c r="CD151" s="53"/>
      <c r="CE151" s="53"/>
      <c r="CF151" s="53"/>
      <c r="CG151" s="53"/>
      <c r="CH151" s="53"/>
      <c r="CI151" s="53"/>
      <c r="CJ151" s="53"/>
      <c r="CK151" s="53"/>
      <c r="CL151" s="53"/>
      <c r="CM151" s="53"/>
      <c r="CN151" s="53"/>
      <c r="CO151" s="53"/>
      <c r="CP151" s="53"/>
      <c r="CQ151" s="53"/>
      <c r="CR151" s="1"/>
      <c r="CS151" s="1"/>
      <c r="CT151" s="1"/>
      <c r="CU151" s="1"/>
    </row>
    <row r="152" spans="1:99" s="13" customFormat="1" ht="12" customHeight="1" x14ac:dyDescent="0.2">
      <c r="A152" s="65">
        <v>43509</v>
      </c>
      <c r="B152" s="1"/>
      <c r="C152" s="1"/>
      <c r="D152" s="60"/>
      <c r="E152" s="76"/>
      <c r="F152" s="60"/>
      <c r="G152" s="60"/>
      <c r="H152" s="60"/>
      <c r="I152" s="60"/>
      <c r="J152" s="60"/>
      <c r="K152" s="64"/>
      <c r="L152" s="64"/>
      <c r="M152" s="60"/>
      <c r="N152" s="60"/>
      <c r="O152" s="60"/>
      <c r="P152" s="60"/>
      <c r="Q152" s="60"/>
      <c r="R152" s="60"/>
      <c r="S152" s="60"/>
      <c r="T152" s="60"/>
      <c r="U152" s="60"/>
      <c r="V152" s="60"/>
      <c r="W152" s="60"/>
      <c r="X152" s="60"/>
      <c r="Y152" s="76"/>
      <c r="Z152" s="60"/>
      <c r="AA152" s="60"/>
      <c r="AB152" s="60"/>
      <c r="AC152" s="60"/>
      <c r="AD152" s="60"/>
      <c r="AE152" s="60"/>
      <c r="AF152" s="80"/>
      <c r="AG152" s="56"/>
      <c r="AH152" s="4"/>
      <c r="AI152" s="56"/>
      <c r="AJ152" s="109"/>
      <c r="AK152" s="56"/>
      <c r="AL152" s="56"/>
      <c r="AM152" s="56"/>
      <c r="AN152" s="56"/>
      <c r="AO152" s="82"/>
      <c r="AP152" s="82"/>
      <c r="AQ152" s="82"/>
      <c r="AR152" s="115"/>
      <c r="AS152" s="82"/>
      <c r="AT152" s="82"/>
      <c r="AU152" s="129"/>
      <c r="AV152" s="25">
        <f>3*1</f>
        <v>3</v>
      </c>
      <c r="AW152" s="25">
        <f>3*2</f>
        <v>6</v>
      </c>
      <c r="AX152" s="25">
        <f>3*3</f>
        <v>9</v>
      </c>
      <c r="AY152" s="25">
        <f>3*6</f>
        <v>18</v>
      </c>
      <c r="AZ152" s="25">
        <f>3*12</f>
        <v>36</v>
      </c>
      <c r="BA152" s="25">
        <f>3*24</f>
        <v>72</v>
      </c>
      <c r="BB152" s="25">
        <f>3*48</f>
        <v>144</v>
      </c>
      <c r="BC152" s="25">
        <f>3*96</f>
        <v>288</v>
      </c>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53"/>
      <c r="BZ152" s="53"/>
      <c r="CA152" s="53"/>
      <c r="CB152" s="53"/>
      <c r="CC152" s="53"/>
      <c r="CD152" s="53"/>
      <c r="CE152" s="53"/>
      <c r="CF152" s="53"/>
      <c r="CG152" s="53"/>
      <c r="CH152" s="53"/>
      <c r="CI152" s="53"/>
      <c r="CJ152" s="53"/>
      <c r="CK152" s="53"/>
      <c r="CL152" s="53"/>
      <c r="CM152" s="53"/>
      <c r="CN152" s="53"/>
      <c r="CO152" s="53"/>
      <c r="CP152" s="53"/>
      <c r="CQ152" s="53"/>
      <c r="CR152" s="1"/>
      <c r="CS152" s="1"/>
      <c r="CT152" s="1"/>
      <c r="CU152" s="1"/>
    </row>
    <row r="153" spans="1:99" s="13" customFormat="1" ht="12" customHeight="1" x14ac:dyDescent="0.2">
      <c r="A153" s="65">
        <v>43509</v>
      </c>
      <c r="B153" s="1" t="s">
        <v>241</v>
      </c>
      <c r="C153" s="1" t="s">
        <v>19</v>
      </c>
      <c r="D153" s="60">
        <v>1968</v>
      </c>
      <c r="E153" s="76">
        <v>1</v>
      </c>
      <c r="F153" s="60">
        <v>92</v>
      </c>
      <c r="G153" s="60">
        <v>92</v>
      </c>
      <c r="H153" s="60" t="s">
        <v>50</v>
      </c>
      <c r="I153" s="60" t="s">
        <v>634</v>
      </c>
      <c r="J153" s="60" t="s">
        <v>16</v>
      </c>
      <c r="K153" s="60">
        <f>IF(J153="syllables",1,IF(J153="trigrams",2,IF(J153="strings",3,IF(J153="visual array",4,IF(J153="characters",5,IF(J153="letters",6,IF(J153="free forms",7,IF(J153="odors",8,IF(J153="words",9,IF(J153="pictures",10,IF(J153="object pictures",11,IF(J153="faces",12,IF(J153="names",13,IF(J153="idioms",14,IF(J153="grades",15,IF(J153="syllable-digit pairs",16,IF(J153="trigram-word pairs",17,IF(J153="word-digit pairs",18,IF(J153="English-Swahili pairs",19,IF(J153="spatial position",20,IF(J153="word pairs",21,IF(J153="word triads",22,IF(J153="generated words",23,IF(J153="word definition pairs",24,IF(J153="math problems",25,IF(J153="famous faces",26,IF(J153="famous names",27,IF(J153="famous voices",28,IF(J153="television programs",29,IF(J153="race horses",30,IF(J153="new vocabulary",31,IF(J153="sentences",32,IF(J153="concepts",33,IF(J153="ad slides",34,IF(J153="scenes",35,IF(J153="famous scenes",36,IF(J153="poems",37,IF(J153="walk",38,IF(J153="faces and events",39,IF(J153="events and names",40,IF(J153="flashbulb",41,IF(J153="stories",42,IF(J153="course material",43,IF(J153="autobiographical",44,IF(J153="novels",45,IF(J153="public events",46,"99"))))))))))))))))))))))))))))))))))))))))))))))</f>
        <v>9</v>
      </c>
      <c r="L153" s="60">
        <f>IF(J153="syllables",1,IF(J153="trigrams",1,IF(J153="strings",1,IF(J153="visual array",1,IF(J153="characters",1,IF(J153="letters",1,IF(J153="free forms",1,IF(J153="odors",2,IF(J153="words",2,IF(J153="pictures",2,IF(J153="object pictures",2,IF(J153="faces",2,IF(J153="names",2,IF(J153="idioms","2",IF(J153="grades",2,IF(J153="syllable-digit pairs",3,IF(J153="trigram-word pairs",3,IF(J153="word-digit pairs",3,IF(J153="English-Swahili pairs",3,IF(J153="spatial position",3,IF(J153="word pairs",4,IF(J153="word triads",4,IF(J153="generated words",4,IF(J153="word definition pairs",4,IF(J153="math problems",4,IF(J153="famous faces",4,IF(J153="famous names",4,IF(J153="famous voices",4,IF(J153="television programs",4,IF(J153="race horses",4,IF(J153="new vocabulary",4,IF(J153="sentences",5,IF(J153="concepts",5,IF(J153="ad slides",5,IF(J153="scenes",5,IF(J153="famous scenes",5,IF(J153="poems",6,IF(J153="walk",6,IF(J153="faces and events",6,IF(J153="events and names",6,IF(J153="flashbulb",7,IF(J153="stories",7,IF(J153="course material",7,IF(J153="autobiographical",7,IF(J153="novels",7,IF(J153="public events",7,"99"))))))))))))))))))))))))))))))))))))))))))))))</f>
        <v>2</v>
      </c>
      <c r="M153" s="60">
        <v>0</v>
      </c>
      <c r="N153" s="60">
        <v>1</v>
      </c>
      <c r="O153" s="60">
        <v>0</v>
      </c>
      <c r="P153" s="60"/>
      <c r="Q153" s="60" t="s">
        <v>65</v>
      </c>
      <c r="R153" s="60">
        <f>IF(Q153="Free Recall",1,IF(Q153="Cued Recall",2,IF(Q153="Recognition",3,IF(Q153="Multiple Choice",4,IF(Q153="Savings",5,IF(Q153="Stem Completion",6,IF(Q153="Fragment Completion",7,IF(Q153="anagram solution",8,IF(Q153="Matching",9,IF(Q153="Problem Solving",10,"99"))))))))))</f>
        <v>2</v>
      </c>
      <c r="S153" s="60" t="s">
        <v>15</v>
      </c>
      <c r="T153" s="59" t="s">
        <v>581</v>
      </c>
      <c r="U153" s="60">
        <f>IF(T153="within",1,0)</f>
        <v>1</v>
      </c>
      <c r="V153" s="59">
        <v>32</v>
      </c>
      <c r="W153" s="60">
        <f>F153*V153</f>
        <v>2944</v>
      </c>
      <c r="X153" s="60">
        <v>8</v>
      </c>
      <c r="Y153" s="76">
        <f>AV152</f>
        <v>3</v>
      </c>
      <c r="Z153" s="60" t="s">
        <v>57</v>
      </c>
      <c r="AA153" s="60">
        <v>288</v>
      </c>
      <c r="AB153" s="60" t="str">
        <f>IF(AA153&lt;60,"1",IF(AA153&lt;=43200,"2",IF(AA153&lt;=777600,"3","4")))</f>
        <v>2</v>
      </c>
      <c r="AC153" s="56">
        <f>AVERAGE(AV152:DA152)</f>
        <v>72</v>
      </c>
      <c r="AD153" s="60" t="str">
        <f>IF(AC153&lt;60,"1",IF(AC153&lt;=43200,"2",IF(AC153&lt;=777600,"3","4")))</f>
        <v>2</v>
      </c>
      <c r="AE153" s="76">
        <f>AA153-Y153</f>
        <v>285</v>
      </c>
      <c r="AF153" s="80">
        <f>AV153</f>
        <v>0.74548037190082606</v>
      </c>
      <c r="AG153" s="56">
        <f>((AW153-AV153)+(AX153-AW153)+(AY153-AX153)+(AZ153-AY153)+(BA153-AZ153)+(BB153-BA153)+(BC153-BB153))/7</f>
        <v>-8.5435729043683573E-2</v>
      </c>
      <c r="AH153" s="4"/>
      <c r="AI153" s="56">
        <f>RSQ(AV153:BC153,AV152:BC152)</f>
        <v>0.50079974141873695</v>
      </c>
      <c r="AJ153" s="109">
        <f>SLOPE(AV153:BC153,AV152:BC152)</f>
        <v>-1.8349686720701597E-3</v>
      </c>
      <c r="AK153" s="56">
        <f>INTERCEPT(AV153:BC153,AV152:BC152)</f>
        <v>0.54221749903781125</v>
      </c>
      <c r="AL153" s="56">
        <f>INDEX(LINEST(LN(AV153:BC153),LN(AV152:BC152),TRUE,TRUE),3,1)</f>
        <v>0.88284261806445485</v>
      </c>
      <c r="AM153" s="56">
        <f>INDEX(LINEST(LN(AV153:BC153),LN(AV152:BC152)),1)</f>
        <v>-0.40883666822206854</v>
      </c>
      <c r="AN153" s="56">
        <f>EXP(INDEX(LINEST(LN(AV153:BC153),LN(AV152:BC152)),1,2))</f>
        <v>1.3026449623933485</v>
      </c>
      <c r="AO153" s="82">
        <f>INDEX(LINEST((AV153:BC153),LN(AV152:BC152),TRUE,TRUE),3,1)</f>
        <v>0.82460604692561734</v>
      </c>
      <c r="AP153" s="82">
        <f>INDEX(LINEST((AV153:BC153),LN(AV152:BC152)),1)</f>
        <v>-0.14629412646768444</v>
      </c>
      <c r="AQ153" s="83">
        <f>INDEX(LINEST(LN(AV153:BC153),SQRT(AV152:BC152),TRUE,TRUE),3,1)</f>
        <v>0.80642746430824919</v>
      </c>
      <c r="AR153" s="116">
        <f>INDEX(LINEST(LN(AV153:BC153),SQRT((AV152:BC152))),1)</f>
        <v>-0.11707007809406436</v>
      </c>
      <c r="AS153" s="84">
        <f>INDEX(LINEST(1/(AV153:BC153),1/(SQRT(AV152:BC152)),TRUE,TRUE),3,1)</f>
        <v>0.65564996239325657</v>
      </c>
      <c r="AT153" s="84">
        <f>INDEX(LINEST(1/(AV153:BC153),1/SQRT(AV152:BC152)),1)</f>
        <v>-11.15878721250836</v>
      </c>
      <c r="AU153" s="3"/>
      <c r="AV153" s="53">
        <v>0.74548037190082606</v>
      </c>
      <c r="AW153" s="53">
        <v>0.58124354338842898</v>
      </c>
      <c r="AX153" s="53">
        <v>0.770829028925619</v>
      </c>
      <c r="AY153" s="53">
        <v>0.297339876033057</v>
      </c>
      <c r="AZ153" s="53">
        <v>0.37447055785123901</v>
      </c>
      <c r="BA153" s="53">
        <v>0.23638300619834701</v>
      </c>
      <c r="BB153" s="53">
        <v>0.12762138429752001</v>
      </c>
      <c r="BC153" s="53">
        <v>0.14743026859504099</v>
      </c>
      <c r="BD153" s="53"/>
      <c r="BE153" s="53"/>
      <c r="BF153" s="53"/>
      <c r="BG153" s="53"/>
      <c r="BH153" s="53"/>
      <c r="BI153" s="53"/>
      <c r="BJ153" s="53"/>
      <c r="BK153" s="53"/>
      <c r="BL153" s="53"/>
      <c r="BM153" s="53"/>
      <c r="BN153" s="53"/>
      <c r="BO153" s="53"/>
      <c r="BP153" s="53"/>
      <c r="BQ153" s="53"/>
      <c r="BR153" s="53"/>
      <c r="BS153" s="53"/>
      <c r="BT153" s="53"/>
      <c r="BU153" s="53"/>
      <c r="BV153" s="53"/>
      <c r="BW153" s="53"/>
      <c r="BX153" s="53"/>
      <c r="BY153" s="53"/>
      <c r="BZ153" s="53"/>
      <c r="CA153" s="53"/>
      <c r="CB153" s="53"/>
      <c r="CC153" s="53"/>
      <c r="CD153" s="53"/>
      <c r="CE153" s="53"/>
      <c r="CF153" s="53"/>
      <c r="CG153" s="53"/>
      <c r="CH153" s="53"/>
      <c r="CI153" s="53"/>
      <c r="CJ153" s="53"/>
      <c r="CK153" s="53"/>
      <c r="CL153" s="53"/>
      <c r="CM153" s="53"/>
      <c r="CN153" s="53"/>
      <c r="CO153" s="53"/>
      <c r="CP153" s="53"/>
      <c r="CQ153" s="53"/>
      <c r="CR153" s="1"/>
      <c r="CS153" s="1"/>
      <c r="CT153" s="1"/>
      <c r="CU153" s="1"/>
    </row>
    <row r="154" spans="1:99" s="13" customFormat="1" ht="12" customHeight="1" x14ac:dyDescent="0.2">
      <c r="A154" s="65">
        <v>43509</v>
      </c>
      <c r="B154" s="1"/>
      <c r="C154" s="1"/>
      <c r="D154" s="60"/>
      <c r="E154" s="76"/>
      <c r="F154" s="60"/>
      <c r="G154" s="60"/>
      <c r="H154" s="60"/>
      <c r="I154" s="60"/>
      <c r="J154" s="60"/>
      <c r="K154" s="64"/>
      <c r="L154" s="64"/>
      <c r="M154" s="60"/>
      <c r="N154" s="60"/>
      <c r="O154" s="60"/>
      <c r="P154" s="60"/>
      <c r="Q154" s="60"/>
      <c r="R154" s="60"/>
      <c r="S154" s="60"/>
      <c r="T154" s="60"/>
      <c r="U154" s="60"/>
      <c r="V154" s="60"/>
      <c r="W154" s="60"/>
      <c r="X154" s="60"/>
      <c r="Y154" s="76"/>
      <c r="Z154" s="60"/>
      <c r="AA154" s="60"/>
      <c r="AB154" s="60"/>
      <c r="AC154" s="60"/>
      <c r="AD154" s="60"/>
      <c r="AE154" s="60"/>
      <c r="AF154" s="80"/>
      <c r="AG154" s="56"/>
      <c r="AH154" s="4"/>
      <c r="AI154" s="56"/>
      <c r="AJ154" s="109"/>
      <c r="AK154" s="56"/>
      <c r="AL154" s="56"/>
      <c r="AM154" s="56"/>
      <c r="AN154" s="56"/>
      <c r="AO154" s="82"/>
      <c r="AP154" s="82"/>
      <c r="AQ154" s="82"/>
      <c r="AR154" s="115"/>
      <c r="AS154" s="82"/>
      <c r="AT154" s="82"/>
      <c r="AU154" s="129"/>
      <c r="AV154" s="25">
        <f>3*1</f>
        <v>3</v>
      </c>
      <c r="AW154" s="25">
        <f>3*2</f>
        <v>6</v>
      </c>
      <c r="AX154" s="25">
        <f>3*3</f>
        <v>9</v>
      </c>
      <c r="AY154" s="25">
        <f>3*6</f>
        <v>18</v>
      </c>
      <c r="AZ154" s="25">
        <f>3*12</f>
        <v>36</v>
      </c>
      <c r="BA154" s="25">
        <f>3*24</f>
        <v>72</v>
      </c>
      <c r="BB154" s="25">
        <f>3*48</f>
        <v>144</v>
      </c>
      <c r="BC154" s="25">
        <f>3*96</f>
        <v>288</v>
      </c>
      <c r="BD154" s="53"/>
      <c r="BE154" s="53"/>
      <c r="BF154" s="53"/>
      <c r="BG154" s="53"/>
      <c r="BH154" s="53"/>
      <c r="BI154" s="53"/>
      <c r="BJ154" s="53"/>
      <c r="BK154" s="53"/>
      <c r="BL154" s="53"/>
      <c r="BM154" s="53"/>
      <c r="BN154" s="53"/>
      <c r="BO154" s="53"/>
      <c r="BP154" s="53"/>
      <c r="BQ154" s="53"/>
      <c r="BR154" s="53"/>
      <c r="BS154" s="53"/>
      <c r="BT154" s="53"/>
      <c r="BU154" s="53"/>
      <c r="BV154" s="53"/>
      <c r="BW154" s="53"/>
      <c r="BX154" s="53"/>
      <c r="BY154" s="53"/>
      <c r="BZ154" s="53"/>
      <c r="CA154" s="53"/>
      <c r="CB154" s="53"/>
      <c r="CC154" s="53"/>
      <c r="CD154" s="53"/>
      <c r="CE154" s="53"/>
      <c r="CF154" s="53"/>
      <c r="CG154" s="53"/>
      <c r="CH154" s="53"/>
      <c r="CI154" s="53"/>
      <c r="CJ154" s="53"/>
      <c r="CK154" s="53"/>
      <c r="CL154" s="53"/>
      <c r="CM154" s="53"/>
      <c r="CN154" s="53"/>
      <c r="CO154" s="53"/>
      <c r="CP154" s="53"/>
      <c r="CQ154" s="53"/>
      <c r="CR154" s="1"/>
      <c r="CS154" s="1"/>
      <c r="CT154" s="1"/>
      <c r="CU154" s="1"/>
    </row>
    <row r="155" spans="1:99" s="13" customFormat="1" ht="12" customHeight="1" x14ac:dyDescent="0.2">
      <c r="A155" s="65">
        <v>43509</v>
      </c>
      <c r="B155" s="1" t="s">
        <v>241</v>
      </c>
      <c r="C155" s="1" t="s">
        <v>19</v>
      </c>
      <c r="D155" s="60">
        <v>1968</v>
      </c>
      <c r="E155" s="76">
        <v>1</v>
      </c>
      <c r="F155" s="60">
        <v>92</v>
      </c>
      <c r="G155" s="60">
        <v>92</v>
      </c>
      <c r="H155" s="60" t="s">
        <v>50</v>
      </c>
      <c r="I155" s="60" t="s">
        <v>635</v>
      </c>
      <c r="J155" s="60" t="s">
        <v>16</v>
      </c>
      <c r="K155" s="60">
        <f>IF(J155="syllables",1,IF(J155="trigrams",2,IF(J155="strings",3,IF(J155="visual array",4,IF(J155="characters",5,IF(J155="letters",6,IF(J155="free forms",7,IF(J155="odors",8,IF(J155="words",9,IF(J155="pictures",10,IF(J155="object pictures",11,IF(J155="faces",12,IF(J155="names",13,IF(J155="idioms",14,IF(J155="grades",15,IF(J155="syllable-digit pairs",16,IF(J155="trigram-word pairs",17,IF(J155="word-digit pairs",18,IF(J155="English-Swahili pairs",19,IF(J155="spatial position",20,IF(J155="word pairs",21,IF(J155="word triads",22,IF(J155="generated words",23,IF(J155="word definition pairs",24,IF(J155="math problems",25,IF(J155="famous faces",26,IF(J155="famous names",27,IF(J155="famous voices",28,IF(J155="television programs",29,IF(J155="race horses",30,IF(J155="new vocabulary",31,IF(J155="sentences",32,IF(J155="concepts",33,IF(J155="ad slides",34,IF(J155="scenes",35,IF(J155="famous scenes",36,IF(J155="poems",37,IF(J155="walk",38,IF(J155="faces and events",39,IF(J155="events and names",40,IF(J155="flashbulb",41,IF(J155="stories",42,IF(J155="course material",43,IF(J155="autobiographical",44,IF(J155="novels",45,IF(J155="public events",46,"99"))))))))))))))))))))))))))))))))))))))))))))))</f>
        <v>9</v>
      </c>
      <c r="L155" s="60">
        <f>IF(J155="syllables",1,IF(J155="trigrams",1,IF(J155="strings",1,IF(J155="visual array",1,IF(J155="characters",1,IF(J155="letters",1,IF(J155="free forms",1,IF(J155="odors",2,IF(J155="words",2,IF(J155="pictures",2,IF(J155="object pictures",2,IF(J155="faces",2,IF(J155="names",2,IF(J155="idioms","2",IF(J155="grades",2,IF(J155="syllable-digit pairs",3,IF(J155="trigram-word pairs",3,IF(J155="word-digit pairs",3,IF(J155="English-Swahili pairs",3,IF(J155="spatial position",3,IF(J155="word pairs",4,IF(J155="word triads",4,IF(J155="generated words",4,IF(J155="word definition pairs",4,IF(J155="math problems",4,IF(J155="famous faces",4,IF(J155="famous names",4,IF(J155="famous voices",4,IF(J155="television programs",4,IF(J155="race horses",4,IF(J155="new vocabulary",4,IF(J155="sentences",5,IF(J155="concepts",5,IF(J155="ad slides",5,IF(J155="scenes",5,IF(J155="famous scenes",5,IF(J155="poems",6,IF(J155="walk",6,IF(J155="faces and events",6,IF(J155="events and names",6,IF(J155="flashbulb",7,IF(J155="stories",7,IF(J155="course material",7,IF(J155="autobiographical",7,IF(J155="novels",7,IF(J155="public events",7,"99"))))))))))))))))))))))))))))))))))))))))))))))</f>
        <v>2</v>
      </c>
      <c r="M155" s="60">
        <v>0</v>
      </c>
      <c r="N155" s="60">
        <v>1</v>
      </c>
      <c r="O155" s="60">
        <v>0</v>
      </c>
      <c r="P155" s="60"/>
      <c r="Q155" s="60" t="s">
        <v>65</v>
      </c>
      <c r="R155" s="60">
        <f>IF(Q155="Free Recall",1,IF(Q155="Cued Recall",2,IF(Q155="Recognition",3,IF(Q155="Multiple Choice",4,IF(Q155="Savings",5,IF(Q155="Stem Completion",6,IF(Q155="Fragment Completion",7,IF(Q155="anagram solution",8,IF(Q155="Matching",9,IF(Q155="Problem Solving",10,"99"))))))))))</f>
        <v>2</v>
      </c>
      <c r="S155" s="60" t="s">
        <v>15</v>
      </c>
      <c r="T155" s="59" t="s">
        <v>581</v>
      </c>
      <c r="U155" s="60">
        <f>IF(T155="within",1,0)</f>
        <v>1</v>
      </c>
      <c r="V155" s="59">
        <v>32</v>
      </c>
      <c r="W155" s="60">
        <f>F155*V155</f>
        <v>2944</v>
      </c>
      <c r="X155" s="60">
        <v>8</v>
      </c>
      <c r="Y155" s="76">
        <f>AV154</f>
        <v>3</v>
      </c>
      <c r="Z155" s="60" t="s">
        <v>57</v>
      </c>
      <c r="AA155" s="60">
        <v>288</v>
      </c>
      <c r="AB155" s="60" t="str">
        <f>IF(AA155&lt;60,"1",IF(AA155&lt;=43200,"2",IF(AA155&lt;=777600,"3","4")))</f>
        <v>2</v>
      </c>
      <c r="AC155" s="56">
        <f>AVERAGE(AV154:DA154)</f>
        <v>72</v>
      </c>
      <c r="AD155" s="60" t="str">
        <f>IF(AC155&lt;60,"1",IF(AC155&lt;=43200,"2",IF(AC155&lt;=777600,"3","4")))</f>
        <v>2</v>
      </c>
      <c r="AE155" s="76">
        <f>AA155-Y155</f>
        <v>285</v>
      </c>
      <c r="AF155" s="80">
        <f>AV155</f>
        <v>0.76833032024793302</v>
      </c>
      <c r="AG155" s="56">
        <f>((AW155-AV155)+(AX155-AW155)+(AY155-AX155)+(AZ155-AY155)+(BA155-AZ155)+(BB155-BA155)+(BC155-BB155))/7</f>
        <v>-9.9752804014167529E-2</v>
      </c>
      <c r="AH155" s="4"/>
      <c r="AI155" s="56">
        <f>RSQ(AV155:BC155,AV154:BC154)</f>
        <v>0.59754332133251598</v>
      </c>
      <c r="AJ155" s="109">
        <f>SLOPE(AV155:BC155,AV154:BC154)</f>
        <v>-2.1736754661714993E-3</v>
      </c>
      <c r="AK155" s="56">
        <f>INTERCEPT(AV155:BC155,AV154:BC154)</f>
        <v>0.61192173067178546</v>
      </c>
      <c r="AL155" s="56">
        <f>INDEX(LINEST(LN(AV155:BC155),LN(AV154:BC154),TRUE,TRUE),3,1)</f>
        <v>0.82420775277556968</v>
      </c>
      <c r="AM155" s="56">
        <f>INDEX(LINEST(LN(AV155:BC155),LN(AV154:BC154)),1)</f>
        <v>-0.45755734351725819</v>
      </c>
      <c r="AN155" s="56">
        <f>EXP(INDEX(LINEST(LN(AV155:BC155),LN(AV154:BC154)),1,2))</f>
        <v>1.6544468270298138</v>
      </c>
      <c r="AO155" s="82">
        <f>INDEX(LINEST((AV155:BC155),LN(AV154:BC154),TRUE,TRUE),3,1)</f>
        <v>0.83990532832959475</v>
      </c>
      <c r="AP155" s="82">
        <f>INDEX(LINEST((AV155:BC155),LN(AV154:BC154)),1)</f>
        <v>-0.16011506642523496</v>
      </c>
      <c r="AQ155" s="83">
        <f>INDEX(LINEST(LN(AV155:BC155),SQRT(AV154:BC154),TRUE,TRUE),3,1)</f>
        <v>0.90580339828123846</v>
      </c>
      <c r="AR155" s="116">
        <f>INDEX(LINEST(LN(AV155:BC155),SQRT((AV154:BC154))),1)</f>
        <v>-0.14371404482107042</v>
      </c>
      <c r="AS155" s="84">
        <f>INDEX(LINEST(1/(AV155:BC155),1/(SQRT(AV154:BC154)),TRUE,TRUE),3,1)</f>
        <v>0.35836830665402436</v>
      </c>
      <c r="AT155" s="84">
        <f>INDEX(LINEST(1/(AV155:BC155),1/SQRT(AV154:BC154)),1)</f>
        <v>-14.35995336259346</v>
      </c>
      <c r="AU155" s="3"/>
      <c r="AV155" s="53">
        <v>0.76833032024793302</v>
      </c>
      <c r="AW155" s="53">
        <v>0.91539256198347096</v>
      </c>
      <c r="AX155" s="53">
        <v>0.56361699380165198</v>
      </c>
      <c r="AY155" s="53">
        <v>0.37234633264462802</v>
      </c>
      <c r="AZ155" s="53">
        <v>0.34952866735537103</v>
      </c>
      <c r="BA155" s="53">
        <v>0.378899793388429</v>
      </c>
      <c r="BB155" s="53">
        <v>0.22516141528925601</v>
      </c>
      <c r="BC155" s="53">
        <v>7.0060692148760303E-2</v>
      </c>
      <c r="BD155" s="53"/>
      <c r="BE155" s="53"/>
      <c r="BF155" s="53"/>
      <c r="BG155" s="53"/>
      <c r="BH155" s="53"/>
      <c r="BI155" s="53"/>
      <c r="BJ155" s="53"/>
      <c r="BK155" s="53"/>
      <c r="BL155" s="53"/>
      <c r="BM155" s="53"/>
      <c r="BN155" s="53"/>
      <c r="BO155" s="53"/>
      <c r="BP155" s="53"/>
      <c r="BQ155" s="53"/>
      <c r="BR155" s="53"/>
      <c r="BS155" s="53"/>
      <c r="BT155" s="53"/>
      <c r="BU155" s="53"/>
      <c r="BV155" s="53"/>
      <c r="BW155" s="53"/>
      <c r="BX155" s="53"/>
      <c r="BY155" s="53"/>
      <c r="BZ155" s="53"/>
      <c r="CA155" s="53"/>
      <c r="CB155" s="53"/>
      <c r="CC155" s="53"/>
      <c r="CD155" s="53"/>
      <c r="CE155" s="53"/>
      <c r="CF155" s="53"/>
      <c r="CG155" s="53"/>
      <c r="CH155" s="53"/>
      <c r="CI155" s="53"/>
      <c r="CJ155" s="53"/>
      <c r="CK155" s="53"/>
      <c r="CL155" s="53"/>
      <c r="CM155" s="53"/>
      <c r="CN155" s="53"/>
      <c r="CO155" s="53"/>
      <c r="CP155" s="53"/>
      <c r="CQ155" s="53"/>
      <c r="CR155" s="1"/>
      <c r="CS155" s="1"/>
      <c r="CT155" s="1"/>
      <c r="CU155" s="1"/>
    </row>
    <row r="156" spans="1:99" s="13" customFormat="1" ht="12" customHeight="1" x14ac:dyDescent="0.2">
      <c r="A156" s="65">
        <v>43509</v>
      </c>
      <c r="B156" s="1"/>
      <c r="C156" s="1"/>
      <c r="D156" s="60"/>
      <c r="E156" s="76"/>
      <c r="F156" s="60"/>
      <c r="G156" s="60"/>
      <c r="H156" s="60"/>
      <c r="I156" s="60"/>
      <c r="J156" s="60"/>
      <c r="K156" s="64"/>
      <c r="L156" s="64"/>
      <c r="M156" s="60"/>
      <c r="N156" s="60"/>
      <c r="O156" s="60"/>
      <c r="P156" s="60"/>
      <c r="Q156" s="60"/>
      <c r="R156" s="60"/>
      <c r="S156" s="60"/>
      <c r="T156" s="60"/>
      <c r="U156" s="60"/>
      <c r="V156" s="60"/>
      <c r="W156" s="60"/>
      <c r="X156" s="60"/>
      <c r="Y156" s="76"/>
      <c r="Z156" s="60"/>
      <c r="AA156" s="60"/>
      <c r="AB156" s="60"/>
      <c r="AC156" s="60"/>
      <c r="AD156" s="60"/>
      <c r="AE156" s="60"/>
      <c r="AF156" s="80"/>
      <c r="AG156" s="56"/>
      <c r="AH156" s="4"/>
      <c r="AI156" s="56"/>
      <c r="AJ156" s="109"/>
      <c r="AK156" s="56"/>
      <c r="AL156" s="56"/>
      <c r="AM156" s="56"/>
      <c r="AN156" s="56"/>
      <c r="AO156" s="82"/>
      <c r="AP156" s="82"/>
      <c r="AQ156" s="82"/>
      <c r="AR156" s="115"/>
      <c r="AS156" s="82"/>
      <c r="AT156" s="82"/>
      <c r="AU156" s="129"/>
      <c r="AV156" s="25">
        <f>3*1</f>
        <v>3</v>
      </c>
      <c r="AW156" s="25">
        <f>3*2</f>
        <v>6</v>
      </c>
      <c r="AX156" s="25">
        <f>3*3</f>
        <v>9</v>
      </c>
      <c r="AY156" s="25">
        <f>3*6</f>
        <v>18</v>
      </c>
      <c r="AZ156" s="25">
        <f>3*12</f>
        <v>36</v>
      </c>
      <c r="BA156" s="25">
        <f>3*24</f>
        <v>72</v>
      </c>
      <c r="BB156" s="25">
        <f>3*48</f>
        <v>144</v>
      </c>
      <c r="BC156" s="25">
        <f>3*96</f>
        <v>288</v>
      </c>
      <c r="BD156" s="53"/>
      <c r="BE156" s="53"/>
      <c r="BF156" s="53"/>
      <c r="BG156" s="53"/>
      <c r="BH156" s="53"/>
      <c r="BI156" s="53"/>
      <c r="BJ156" s="53"/>
      <c r="BK156" s="53"/>
      <c r="BL156" s="53"/>
      <c r="BM156" s="53"/>
      <c r="BN156" s="53"/>
      <c r="BO156" s="53"/>
      <c r="BP156" s="53"/>
      <c r="BQ156" s="53"/>
      <c r="BR156" s="53"/>
      <c r="BS156" s="53"/>
      <c r="BT156" s="53"/>
      <c r="BU156" s="53"/>
      <c r="BV156" s="53"/>
      <c r="BW156" s="53"/>
      <c r="BX156" s="53"/>
      <c r="BY156" s="53"/>
      <c r="BZ156" s="53"/>
      <c r="CA156" s="53"/>
      <c r="CB156" s="53"/>
      <c r="CC156" s="53"/>
      <c r="CD156" s="53"/>
      <c r="CE156" s="53"/>
      <c r="CF156" s="53"/>
      <c r="CG156" s="53"/>
      <c r="CH156" s="53"/>
      <c r="CI156" s="53"/>
      <c r="CJ156" s="53"/>
      <c r="CK156" s="53"/>
      <c r="CL156" s="53"/>
      <c r="CM156" s="53"/>
      <c r="CN156" s="53"/>
      <c r="CO156" s="53"/>
      <c r="CP156" s="53"/>
      <c r="CQ156" s="53"/>
      <c r="CR156" s="1"/>
      <c r="CS156" s="1"/>
      <c r="CT156" s="1"/>
      <c r="CU156" s="1"/>
    </row>
    <row r="157" spans="1:99" s="13" customFormat="1" ht="12" customHeight="1" x14ac:dyDescent="0.2">
      <c r="A157" s="65">
        <v>43509</v>
      </c>
      <c r="B157" s="1" t="s">
        <v>241</v>
      </c>
      <c r="C157" s="1" t="s">
        <v>19</v>
      </c>
      <c r="D157" s="60">
        <v>1968</v>
      </c>
      <c r="E157" s="76">
        <v>1</v>
      </c>
      <c r="F157" s="60">
        <v>92</v>
      </c>
      <c r="G157" s="60">
        <v>92</v>
      </c>
      <c r="H157" s="60" t="s">
        <v>50</v>
      </c>
      <c r="I157" s="60" t="s">
        <v>636</v>
      </c>
      <c r="J157" s="60" t="s">
        <v>16</v>
      </c>
      <c r="K157" s="60">
        <f>IF(J157="syllables",1,IF(J157="trigrams",2,IF(J157="strings",3,IF(J157="visual array",4,IF(J157="characters",5,IF(J157="letters",6,IF(J157="free forms",7,IF(J157="odors",8,IF(J157="words",9,IF(J157="pictures",10,IF(J157="object pictures",11,IF(J157="faces",12,IF(J157="names",13,IF(J157="idioms",14,IF(J157="grades",15,IF(J157="syllable-digit pairs",16,IF(J157="trigram-word pairs",17,IF(J157="word-digit pairs",18,IF(J157="English-Swahili pairs",19,IF(J157="spatial position",20,IF(J157="word pairs",21,IF(J157="word triads",22,IF(J157="generated words",23,IF(J157="word definition pairs",24,IF(J157="math problems",25,IF(J157="famous faces",26,IF(J157="famous names",27,IF(J157="famous voices",28,IF(J157="television programs",29,IF(J157="race horses",30,IF(J157="new vocabulary",31,IF(J157="sentences",32,IF(J157="concepts",33,IF(J157="ad slides",34,IF(J157="scenes",35,IF(J157="famous scenes",36,IF(J157="poems",37,IF(J157="walk",38,IF(J157="faces and events",39,IF(J157="events and names",40,IF(J157="flashbulb",41,IF(J157="stories",42,IF(J157="course material",43,IF(J157="autobiographical",44,IF(J157="novels",45,IF(J157="public events",46,"99"))))))))))))))))))))))))))))))))))))))))))))))</f>
        <v>9</v>
      </c>
      <c r="L157" s="60">
        <f>IF(J157="syllables",1,IF(J157="trigrams",1,IF(J157="strings",1,IF(J157="visual array",1,IF(J157="characters",1,IF(J157="letters",1,IF(J157="free forms",1,IF(J157="odors",2,IF(J157="words",2,IF(J157="pictures",2,IF(J157="object pictures",2,IF(J157="faces",2,IF(J157="names",2,IF(J157="idioms","2",IF(J157="grades",2,IF(J157="syllable-digit pairs",3,IF(J157="trigram-word pairs",3,IF(J157="word-digit pairs",3,IF(J157="English-Swahili pairs",3,IF(J157="spatial position",3,IF(J157="word pairs",4,IF(J157="word triads",4,IF(J157="generated words",4,IF(J157="word definition pairs",4,IF(J157="math problems",4,IF(J157="famous faces",4,IF(J157="famous names",4,IF(J157="famous voices",4,IF(J157="television programs",4,IF(J157="race horses",4,IF(J157="new vocabulary",4,IF(J157="sentences",5,IF(J157="concepts",5,IF(J157="ad slides",5,IF(J157="scenes",5,IF(J157="famous scenes",5,IF(J157="poems",6,IF(J157="walk",6,IF(J157="faces and events",6,IF(J157="events and names",6,IF(J157="flashbulb",7,IF(J157="stories",7,IF(J157="course material",7,IF(J157="autobiographical",7,IF(J157="novels",7,IF(J157="public events",7,"99"))))))))))))))))))))))))))))))))))))))))))))))</f>
        <v>2</v>
      </c>
      <c r="M157" s="60">
        <v>0</v>
      </c>
      <c r="N157" s="60">
        <v>1</v>
      </c>
      <c r="O157" s="60">
        <v>0</v>
      </c>
      <c r="P157" s="60"/>
      <c r="Q157" s="60" t="s">
        <v>65</v>
      </c>
      <c r="R157" s="60">
        <f>IF(Q157="Free Recall",1,IF(Q157="Cued Recall",2,IF(Q157="Recognition",3,IF(Q157="Multiple Choice",4,IF(Q157="Savings",5,IF(Q157="Stem Completion",6,IF(Q157="Fragment Completion",7,IF(Q157="anagram solution",8,IF(Q157="Matching",9,IF(Q157="Problem Solving",10,"99"))))))))))</f>
        <v>2</v>
      </c>
      <c r="S157" s="60" t="s">
        <v>15</v>
      </c>
      <c r="T157" s="59" t="s">
        <v>581</v>
      </c>
      <c r="U157" s="60">
        <f>IF(T157="within",1,0)</f>
        <v>1</v>
      </c>
      <c r="V157" s="59">
        <v>32</v>
      </c>
      <c r="W157" s="60">
        <f>F157*V157</f>
        <v>2944</v>
      </c>
      <c r="X157" s="60">
        <v>8</v>
      </c>
      <c r="Y157" s="76">
        <f>AV156</f>
        <v>3</v>
      </c>
      <c r="Z157" s="60" t="s">
        <v>57</v>
      </c>
      <c r="AA157" s="60">
        <v>288</v>
      </c>
      <c r="AB157" s="60" t="str">
        <f>IF(AA157&lt;60,"1",IF(AA157&lt;=43200,"2",IF(AA157&lt;=777600,"3","4")))</f>
        <v>2</v>
      </c>
      <c r="AC157" s="56">
        <f>AVERAGE(AV156:DA156)</f>
        <v>72</v>
      </c>
      <c r="AD157" s="60" t="str">
        <f>IF(AC157&lt;60,"1",IF(AC157&lt;=43200,"2",IF(AC157&lt;=777600,"3","4")))</f>
        <v>2</v>
      </c>
      <c r="AE157" s="76">
        <f>AA157-Y157</f>
        <v>285</v>
      </c>
      <c r="AF157" s="80">
        <f>AV157</f>
        <v>0.805449380165289</v>
      </c>
      <c r="AG157" s="56">
        <f>((AW157-AV157)+(AX157-AW157)+(AY157-AX157)+(AZ157-AY157)+(BA157-AZ157)+(BB157-BA157)+(BC157-BB157))/7</f>
        <v>-8.2937020365997718E-2</v>
      </c>
      <c r="AH157" s="4"/>
      <c r="AI157" s="56">
        <f>RSQ(AV157:BC157,AV156:BC156)</f>
        <v>0.58506340591897732</v>
      </c>
      <c r="AJ157" s="109">
        <f>SLOPE(AV157:BC157,AV156:BC156)</f>
        <v>-1.7541422387886828E-3</v>
      </c>
      <c r="AK157" s="56">
        <f>INTERCEPT(AV157:BC157,AV156:BC156)</f>
        <v>0.62821989021137958</v>
      </c>
      <c r="AL157" s="56">
        <f>INDEX(LINEST(LN(AV157:BC157),LN(AV156:BC156),TRUE,TRUE),3,1)</f>
        <v>0.94822331792961601</v>
      </c>
      <c r="AM157" s="56">
        <f>INDEX(LINEST(LN(AV157:BC157),LN(AV156:BC156)),1)</f>
        <v>-0.29520485385500506</v>
      </c>
      <c r="AN157" s="56">
        <f>EXP(INDEX(LINEST(LN(AV157:BC157),LN(AV156:BC156)),1,2))</f>
        <v>1.2081223843829691</v>
      </c>
      <c r="AO157" s="82">
        <f>INDEX(LINEST((AV157:BC157),LN(AV156:BC156),TRUE,TRUE),3,1)</f>
        <v>0.93112759749405771</v>
      </c>
      <c r="AP157" s="82">
        <f>INDEX(LINEST((AV157:BC157),LN(AV156:BC156)),1)</f>
        <v>-0.13749121965912697</v>
      </c>
      <c r="AQ157" s="83">
        <f>INDEX(LINEST(LN(AV157:BC157),SQRT(AV156:BC156),TRUE,TRUE),3,1)</f>
        <v>0.86525863398617209</v>
      </c>
      <c r="AR157" s="116">
        <f>INDEX(LINEST(LN(AV157:BC157),SQRT((AV156:BC156))),1)</f>
        <v>-8.4488229053187869E-2</v>
      </c>
      <c r="AS157" s="84">
        <f>INDEX(LINEST(1/(AV157:BC157),1/(SQRT(AV156:BC156)),TRUE,TRUE),3,1)</f>
        <v>0.74789087529908882</v>
      </c>
      <c r="AT157" s="84">
        <f>INDEX(LINEST(1/(AV157:BC157),1/SQRT(AV156:BC156)),1)</f>
        <v>-5.6356347667895399</v>
      </c>
      <c r="AU157" s="3"/>
      <c r="AV157" s="53">
        <v>0.805449380165289</v>
      </c>
      <c r="AW157" s="53">
        <v>0.74084452479338803</v>
      </c>
      <c r="AX157" s="53">
        <v>0.72616864669421399</v>
      </c>
      <c r="AY157" s="53">
        <v>0.46225464876033001</v>
      </c>
      <c r="AZ157" s="53">
        <v>0.46197055785123903</v>
      </c>
      <c r="BA157" s="53">
        <v>0.28881069214875998</v>
      </c>
      <c r="BB157" s="53">
        <v>0.30498450413223099</v>
      </c>
      <c r="BC157" s="53">
        <v>0.22489023760330501</v>
      </c>
      <c r="BD157" s="53"/>
      <c r="BE157" s="53"/>
      <c r="BF157" s="53"/>
      <c r="BG157" s="53"/>
      <c r="BH157" s="53"/>
      <c r="BI157" s="53"/>
      <c r="BJ157" s="53"/>
      <c r="BK157" s="53"/>
      <c r="BL157" s="53"/>
      <c r="BM157" s="53"/>
      <c r="BN157" s="53"/>
      <c r="BO157" s="53"/>
      <c r="BP157" s="53"/>
      <c r="BQ157" s="53"/>
      <c r="BR157" s="53"/>
      <c r="BS157" s="53"/>
      <c r="BT157" s="53"/>
      <c r="BU157" s="53"/>
      <c r="BV157" s="53"/>
      <c r="BW157" s="53"/>
      <c r="BX157" s="53"/>
      <c r="BY157" s="53"/>
      <c r="BZ157" s="53"/>
      <c r="CA157" s="53"/>
      <c r="CB157" s="53"/>
      <c r="CC157" s="53"/>
      <c r="CD157" s="53"/>
      <c r="CE157" s="53"/>
      <c r="CF157" s="53"/>
      <c r="CG157" s="53"/>
      <c r="CH157" s="53"/>
      <c r="CI157" s="53"/>
      <c r="CJ157" s="53"/>
      <c r="CK157" s="53"/>
      <c r="CL157" s="53"/>
      <c r="CM157" s="53"/>
      <c r="CN157" s="53"/>
      <c r="CO157" s="53"/>
      <c r="CP157" s="53"/>
      <c r="CQ157" s="53"/>
      <c r="CR157" s="1"/>
      <c r="CS157" s="1"/>
      <c r="CT157" s="1"/>
      <c r="CU157" s="1"/>
    </row>
    <row r="158" spans="1:99" s="13" customFormat="1" ht="12" customHeight="1" x14ac:dyDescent="0.2">
      <c r="A158" s="65">
        <v>43509</v>
      </c>
      <c r="B158" s="1"/>
      <c r="C158" s="1"/>
      <c r="D158" s="60"/>
      <c r="E158" s="76"/>
      <c r="F158" s="60"/>
      <c r="G158" s="60"/>
      <c r="H158" s="60"/>
      <c r="I158" s="60"/>
      <c r="J158" s="60"/>
      <c r="K158" s="64"/>
      <c r="L158" s="64"/>
      <c r="M158" s="60"/>
      <c r="N158" s="60"/>
      <c r="O158" s="60"/>
      <c r="P158" s="60"/>
      <c r="Q158" s="60"/>
      <c r="R158" s="60"/>
      <c r="S158" s="60"/>
      <c r="T158" s="60"/>
      <c r="U158" s="60"/>
      <c r="V158" s="60"/>
      <c r="W158" s="60"/>
      <c r="X158" s="60"/>
      <c r="Y158" s="76"/>
      <c r="Z158" s="60"/>
      <c r="AA158" s="60"/>
      <c r="AB158" s="60"/>
      <c r="AC158" s="60"/>
      <c r="AD158" s="60"/>
      <c r="AE158" s="60"/>
      <c r="AF158" s="80"/>
      <c r="AG158" s="56"/>
      <c r="AH158" s="4"/>
      <c r="AI158" s="56"/>
      <c r="AJ158" s="109"/>
      <c r="AK158" s="56"/>
      <c r="AL158" s="56"/>
      <c r="AM158" s="56"/>
      <c r="AN158" s="56"/>
      <c r="AO158" s="82"/>
      <c r="AP158" s="82"/>
      <c r="AQ158" s="82"/>
      <c r="AR158" s="115"/>
      <c r="AS158" s="82"/>
      <c r="AT158" s="82"/>
      <c r="AU158" s="129"/>
      <c r="AV158" s="25">
        <f>3*1</f>
        <v>3</v>
      </c>
      <c r="AW158" s="25">
        <f>3*2</f>
        <v>6</v>
      </c>
      <c r="AX158" s="25">
        <f>3*3</f>
        <v>9</v>
      </c>
      <c r="AY158" s="25">
        <f>3*6</f>
        <v>18</v>
      </c>
      <c r="AZ158" s="25">
        <f>3*12</f>
        <v>36</v>
      </c>
      <c r="BA158" s="25">
        <f>3*24</f>
        <v>72</v>
      </c>
      <c r="BB158" s="25">
        <f>3*48</f>
        <v>144</v>
      </c>
      <c r="BC158" s="25">
        <f>3*96</f>
        <v>288</v>
      </c>
      <c r="BD158" s="53"/>
      <c r="BE158" s="53"/>
      <c r="BF158" s="53"/>
      <c r="BG158" s="53"/>
      <c r="BH158" s="53"/>
      <c r="BI158" s="53"/>
      <c r="BJ158" s="53"/>
      <c r="BK158" s="53"/>
      <c r="BL158" s="53"/>
      <c r="BM158" s="53"/>
      <c r="BN158" s="53"/>
      <c r="BO158" s="53"/>
      <c r="BP158" s="53"/>
      <c r="BQ158" s="53"/>
      <c r="BR158" s="53"/>
      <c r="BS158" s="53"/>
      <c r="BT158" s="53"/>
      <c r="BU158" s="53"/>
      <c r="BV158" s="53"/>
      <c r="BW158" s="53"/>
      <c r="BX158" s="53"/>
      <c r="BY158" s="53"/>
      <c r="BZ158" s="53"/>
      <c r="CA158" s="53"/>
      <c r="CB158" s="53"/>
      <c r="CC158" s="53"/>
      <c r="CD158" s="53"/>
      <c r="CE158" s="53"/>
      <c r="CF158" s="53"/>
      <c r="CG158" s="53"/>
      <c r="CH158" s="53"/>
      <c r="CI158" s="53"/>
      <c r="CJ158" s="53"/>
      <c r="CK158" s="53"/>
      <c r="CL158" s="53"/>
      <c r="CM158" s="53"/>
      <c r="CN158" s="53"/>
      <c r="CO158" s="53"/>
      <c r="CP158" s="53"/>
      <c r="CQ158" s="53"/>
      <c r="CR158" s="1"/>
      <c r="CS158" s="1"/>
      <c r="CT158" s="1"/>
      <c r="CU158" s="1"/>
    </row>
    <row r="159" spans="1:99" s="13" customFormat="1" ht="12" customHeight="1" x14ac:dyDescent="0.2">
      <c r="A159" s="65">
        <v>43509</v>
      </c>
      <c r="B159" s="1" t="s">
        <v>241</v>
      </c>
      <c r="C159" s="1" t="s">
        <v>19</v>
      </c>
      <c r="D159" s="60">
        <v>1968</v>
      </c>
      <c r="E159" s="76">
        <v>2</v>
      </c>
      <c r="F159" s="60">
        <v>100</v>
      </c>
      <c r="G159" s="60">
        <v>100</v>
      </c>
      <c r="H159" s="60" t="s">
        <v>50</v>
      </c>
      <c r="I159" s="60" t="s">
        <v>637</v>
      </c>
      <c r="J159" s="60" t="s">
        <v>16</v>
      </c>
      <c r="K159" s="60">
        <f>IF(J159="syllables",1,IF(J159="trigrams",2,IF(J159="strings",3,IF(J159="visual array",4,IF(J159="characters",5,IF(J159="letters",6,IF(J159="free forms",7,IF(J159="odors",8,IF(J159="words",9,IF(J159="pictures",10,IF(J159="object pictures",11,IF(J159="faces",12,IF(J159="names",13,IF(J159="idioms",14,IF(J159="grades",15,IF(J159="syllable-digit pairs",16,IF(J159="trigram-word pairs",17,IF(J159="word-digit pairs",18,IF(J159="English-Swahili pairs",19,IF(J159="spatial position",20,IF(J159="word pairs",21,IF(J159="word triads",22,IF(J159="generated words",23,IF(J159="word definition pairs",24,IF(J159="math problems",25,IF(J159="famous faces",26,IF(J159="famous names",27,IF(J159="famous voices",28,IF(J159="television programs",29,IF(J159="race horses",30,IF(J159="new vocabulary",31,IF(J159="sentences",32,IF(J159="concepts",33,IF(J159="ad slides",34,IF(J159="scenes",35,IF(J159="famous scenes",36,IF(J159="poems",37,IF(J159="walk",38,IF(J159="faces and events",39,IF(J159="events and names",40,IF(J159="flashbulb",41,IF(J159="stories",42,IF(J159="course material",43,IF(J159="autobiographical",44,IF(J159="novels",45,IF(J159="public events",46,"99"))))))))))))))))))))))))))))))))))))))))))))))</f>
        <v>9</v>
      </c>
      <c r="L159" s="60">
        <f>IF(J159="syllables",1,IF(J159="trigrams",1,IF(J159="strings",1,IF(J159="visual array",1,IF(J159="characters",1,IF(J159="letters",1,IF(J159="free forms",1,IF(J159="odors",2,IF(J159="words",2,IF(J159="pictures",2,IF(J159="object pictures",2,IF(J159="faces",2,IF(J159="names",2,IF(J159="idioms","2",IF(J159="grades",2,IF(J159="syllable-digit pairs",3,IF(J159="trigram-word pairs",3,IF(J159="word-digit pairs",3,IF(J159="English-Swahili pairs",3,IF(J159="spatial position",3,IF(J159="word pairs",4,IF(J159="word triads",4,IF(J159="generated words",4,IF(J159="word definition pairs",4,IF(J159="math problems",4,IF(J159="famous faces",4,IF(J159="famous names",4,IF(J159="famous voices",4,IF(J159="television programs",4,IF(J159="race horses",4,IF(J159="new vocabulary",4,IF(J159="sentences",5,IF(J159="concepts",5,IF(J159="ad slides",5,IF(J159="scenes",5,IF(J159="famous scenes",5,IF(J159="poems",6,IF(J159="walk",6,IF(J159="faces and events",6,IF(J159="events and names",6,IF(J159="flashbulb",7,IF(J159="stories",7,IF(J159="course material",7,IF(J159="autobiographical",7,IF(J159="novels",7,IF(J159="public events",7,"99"))))))))))))))))))))))))))))))))))))))))))))))</f>
        <v>2</v>
      </c>
      <c r="M159" s="60">
        <v>0</v>
      </c>
      <c r="N159" s="60">
        <v>1</v>
      </c>
      <c r="O159" s="60">
        <v>0</v>
      </c>
      <c r="P159" s="60"/>
      <c r="Q159" s="60" t="s">
        <v>65</v>
      </c>
      <c r="R159" s="60">
        <f>IF(Q159="Free Recall",1,IF(Q159="Cued Recall",2,IF(Q159="Recognition",3,IF(Q159="Multiple Choice",4,IF(Q159="Savings",5,IF(Q159="Stem Completion",6,IF(Q159="Fragment Completion",7,IF(Q159="anagram solution",8,IF(Q159="Matching",9,IF(Q159="Problem Solving",10,"99"))))))))))</f>
        <v>2</v>
      </c>
      <c r="S159" s="60" t="s">
        <v>15</v>
      </c>
      <c r="T159" s="59" t="s">
        <v>581</v>
      </c>
      <c r="U159" s="60">
        <f>IF(T159="within",1,0)</f>
        <v>1</v>
      </c>
      <c r="V159" s="59">
        <v>32</v>
      </c>
      <c r="W159" s="60">
        <f>F159*V159</f>
        <v>3200</v>
      </c>
      <c r="X159" s="60">
        <v>8</v>
      </c>
      <c r="Y159" s="76">
        <f>AV158</f>
        <v>3</v>
      </c>
      <c r="Z159" s="60" t="s">
        <v>57</v>
      </c>
      <c r="AA159" s="60">
        <v>288</v>
      </c>
      <c r="AB159" s="60" t="str">
        <f>IF(AA159&lt;60,"1",IF(AA159&lt;=43200,"2",IF(AA159&lt;=777600,"3","4")))</f>
        <v>2</v>
      </c>
      <c r="AC159" s="56">
        <f>AVERAGE(AV158:DA158)</f>
        <v>72</v>
      </c>
      <c r="AD159" s="60" t="str">
        <f>IF(AC159&lt;60,"1",IF(AC159&lt;=43200,"2",IF(AC159&lt;=777600,"3","4")))</f>
        <v>2</v>
      </c>
      <c r="AE159" s="76">
        <f>AA159-Y159</f>
        <v>285</v>
      </c>
      <c r="AF159" s="80">
        <f>AV159</f>
        <v>0.78</v>
      </c>
      <c r="AG159" s="56">
        <f>((AW159-AV159)+(AX159-AW159)+(AY159-AX159)+(AZ159-AY159)+(BA159-AZ159)+(BB159-BA159)+(BC159-BB159))/7</f>
        <v>-0.10797746494594519</v>
      </c>
      <c r="AH159" s="4"/>
      <c r="AI159" s="56">
        <f>RSQ(AV159:BC159,AV158:BC158)</f>
        <v>0.28996660539573244</v>
      </c>
      <c r="AJ159" s="109">
        <f>SLOPE(AV159:BC159,AV158:BC158)</f>
        <v>-1.5011390241173865E-3</v>
      </c>
      <c r="AK159" s="56">
        <f>INTERCEPT(AV159:BC159,AV158:BC158)</f>
        <v>0.34032959108612121</v>
      </c>
      <c r="AL159" s="56">
        <f>INDEX(LINEST(LN(AV159:BC159),LN(AV158:BC158),TRUE,TRUE),3,1)</f>
        <v>0.91823579491830809</v>
      </c>
      <c r="AM159" s="56">
        <f>INDEX(LINEST(LN(AV159:BC159),LN(AV158:BC158)),1)</f>
        <v>-0.74934456887203515</v>
      </c>
      <c r="AN159" s="56">
        <f>EXP(INDEX(LINEST(LN(AV159:BC159),LN(AV158:BC158)),1,2))</f>
        <v>1.4242632060180567</v>
      </c>
      <c r="AO159" s="82">
        <f>INDEX(LINEST((AV159:BC159),LN(AV158:BC158),TRUE,TRUE),3,1)</f>
        <v>0.72732351625960889</v>
      </c>
      <c r="AP159" s="82">
        <f>INDEX(LINEST((AV159:BC159),LN(AV158:BC158)),1)</f>
        <v>-0.14771267539494995</v>
      </c>
      <c r="AQ159" s="83">
        <f>INDEX(LINEST(LN(AV159:BC159),SQRT(AV158:BC158),TRUE,TRUE),3,1)</f>
        <v>0.73685952076040584</v>
      </c>
      <c r="AR159" s="116">
        <f>INDEX(LINEST(LN(AV159:BC159),SQRT((AV158:BC158))),1)</f>
        <v>-0.20111842624486573</v>
      </c>
      <c r="AS159" s="84">
        <f>INDEX(LINEST(1/(AV159:BC159),1/(SQRT(AV158:BC158)),TRUE,TRUE),3,1)</f>
        <v>0.68234020220133929</v>
      </c>
      <c r="AT159" s="84">
        <f>INDEX(LINEST(1/(AV159:BC159),1/SQRT(AV158:BC158)),1)</f>
        <v>-61.931163053239558</v>
      </c>
      <c r="AU159" s="3"/>
      <c r="AV159" s="53">
        <v>0.78</v>
      </c>
      <c r="AW159" s="53">
        <v>0.51207019105031604</v>
      </c>
      <c r="AX159" s="53">
        <v>0.28141640938268098</v>
      </c>
      <c r="AY159" s="53">
        <v>9.4254382871126599E-2</v>
      </c>
      <c r="AZ159" s="53">
        <v>6.8740131418308703E-2</v>
      </c>
      <c r="BA159" s="53">
        <v>4.3085888538608903E-2</v>
      </c>
      <c r="BB159" s="53">
        <v>5.4255902157929997E-2</v>
      </c>
      <c r="BC159" s="53">
        <v>2.41577453783836E-2</v>
      </c>
      <c r="BD159" s="53"/>
      <c r="BE159" s="53"/>
      <c r="BF159" s="53"/>
      <c r="BG159" s="53"/>
      <c r="BH159" s="53"/>
      <c r="BI159" s="53"/>
      <c r="BJ159" s="53"/>
      <c r="BK159" s="53"/>
      <c r="BL159" s="53"/>
      <c r="BM159" s="53"/>
      <c r="BN159" s="53"/>
      <c r="BO159" s="53"/>
      <c r="BP159" s="53"/>
      <c r="BQ159" s="53"/>
      <c r="BR159" s="53"/>
      <c r="BS159" s="53"/>
      <c r="BT159" s="53"/>
      <c r="BU159" s="53"/>
      <c r="BV159" s="53"/>
      <c r="BW159" s="53"/>
      <c r="BX159" s="53"/>
      <c r="BY159" s="53"/>
      <c r="BZ159" s="53"/>
      <c r="CA159" s="53"/>
      <c r="CB159" s="53"/>
      <c r="CC159" s="53"/>
      <c r="CD159" s="53"/>
      <c r="CE159" s="53"/>
      <c r="CF159" s="53"/>
      <c r="CG159" s="53"/>
      <c r="CH159" s="53"/>
      <c r="CI159" s="53"/>
      <c r="CJ159" s="53"/>
      <c r="CK159" s="53"/>
      <c r="CL159" s="53"/>
      <c r="CM159" s="53"/>
      <c r="CN159" s="53"/>
      <c r="CO159" s="53"/>
      <c r="CP159" s="53"/>
      <c r="CQ159" s="53"/>
      <c r="CR159" s="1"/>
      <c r="CS159" s="1"/>
      <c r="CT159" s="1"/>
      <c r="CU159" s="1"/>
    </row>
    <row r="160" spans="1:99" s="13" customFormat="1" ht="12" customHeight="1" x14ac:dyDescent="0.2">
      <c r="A160" s="65">
        <v>43509</v>
      </c>
      <c r="B160" s="1"/>
      <c r="C160" s="1"/>
      <c r="D160" s="60"/>
      <c r="E160" s="76"/>
      <c r="F160" s="60"/>
      <c r="G160" s="60"/>
      <c r="H160" s="60"/>
      <c r="I160" s="60"/>
      <c r="J160" s="60"/>
      <c r="K160" s="64"/>
      <c r="L160" s="64"/>
      <c r="M160" s="60"/>
      <c r="N160" s="60"/>
      <c r="O160" s="60"/>
      <c r="P160" s="60"/>
      <c r="Q160" s="60"/>
      <c r="R160" s="60"/>
      <c r="S160" s="60"/>
      <c r="T160" s="60"/>
      <c r="U160" s="60"/>
      <c r="V160" s="60"/>
      <c r="W160" s="60"/>
      <c r="X160" s="60"/>
      <c r="Y160" s="76"/>
      <c r="Z160" s="60"/>
      <c r="AA160" s="60"/>
      <c r="AB160" s="60"/>
      <c r="AC160" s="60"/>
      <c r="AD160" s="60"/>
      <c r="AE160" s="60"/>
      <c r="AF160" s="80"/>
      <c r="AG160" s="56"/>
      <c r="AH160" s="4"/>
      <c r="AI160" s="56"/>
      <c r="AJ160" s="109"/>
      <c r="AK160" s="56"/>
      <c r="AL160" s="56"/>
      <c r="AM160" s="56"/>
      <c r="AN160" s="56"/>
      <c r="AO160" s="82"/>
      <c r="AP160" s="82"/>
      <c r="AQ160" s="82"/>
      <c r="AR160" s="115"/>
      <c r="AS160" s="82"/>
      <c r="AT160" s="82"/>
      <c r="AU160" s="129"/>
      <c r="AV160" s="25">
        <f>3*1</f>
        <v>3</v>
      </c>
      <c r="AW160" s="25">
        <f>3*2</f>
        <v>6</v>
      </c>
      <c r="AX160" s="25">
        <f>3*3</f>
        <v>9</v>
      </c>
      <c r="AY160" s="25">
        <f>3*6</f>
        <v>18</v>
      </c>
      <c r="AZ160" s="25">
        <f>3*12</f>
        <v>36</v>
      </c>
      <c r="BA160" s="25">
        <f>3*24</f>
        <v>72</v>
      </c>
      <c r="BB160" s="25">
        <f>3*48</f>
        <v>144</v>
      </c>
      <c r="BC160" s="25">
        <f>3*96</f>
        <v>288</v>
      </c>
      <c r="BD160" s="53"/>
      <c r="BE160" s="53"/>
      <c r="BF160" s="53"/>
      <c r="BG160" s="53"/>
      <c r="BH160" s="53"/>
      <c r="BI160" s="53"/>
      <c r="BJ160" s="53"/>
      <c r="BK160" s="53"/>
      <c r="BL160" s="53"/>
      <c r="BM160" s="53"/>
      <c r="BN160" s="53"/>
      <c r="BO160" s="53"/>
      <c r="BP160" s="53"/>
      <c r="BQ160" s="53"/>
      <c r="BR160" s="53"/>
      <c r="BS160" s="53"/>
      <c r="BT160" s="53"/>
      <c r="BU160" s="53"/>
      <c r="BV160" s="53"/>
      <c r="BW160" s="53"/>
      <c r="BX160" s="53"/>
      <c r="BY160" s="53"/>
      <c r="BZ160" s="53"/>
      <c r="CA160" s="53"/>
      <c r="CB160" s="53"/>
      <c r="CC160" s="53"/>
      <c r="CD160" s="53"/>
      <c r="CE160" s="53"/>
      <c r="CF160" s="53"/>
      <c r="CG160" s="53"/>
      <c r="CH160" s="53"/>
      <c r="CI160" s="53"/>
      <c r="CJ160" s="53"/>
      <c r="CK160" s="53"/>
      <c r="CL160" s="53"/>
      <c r="CM160" s="53"/>
      <c r="CN160" s="53"/>
      <c r="CO160" s="53"/>
      <c r="CP160" s="53"/>
      <c r="CQ160" s="53"/>
      <c r="CR160" s="1"/>
      <c r="CS160" s="1"/>
      <c r="CT160" s="1"/>
      <c r="CU160" s="1"/>
    </row>
    <row r="161" spans="1:99" s="13" customFormat="1" ht="12" customHeight="1" x14ac:dyDescent="0.2">
      <c r="A161" s="65">
        <v>43509</v>
      </c>
      <c r="B161" s="1" t="s">
        <v>241</v>
      </c>
      <c r="C161" s="1" t="s">
        <v>19</v>
      </c>
      <c r="D161" s="60">
        <v>1968</v>
      </c>
      <c r="E161" s="76">
        <v>2</v>
      </c>
      <c r="F161" s="60">
        <v>100</v>
      </c>
      <c r="G161" s="60">
        <v>100</v>
      </c>
      <c r="H161" s="60" t="s">
        <v>50</v>
      </c>
      <c r="I161" s="60" t="s">
        <v>638</v>
      </c>
      <c r="J161" s="60" t="s">
        <v>16</v>
      </c>
      <c r="K161" s="60">
        <f>IF(J161="syllables",1,IF(J161="trigrams",2,IF(J161="strings",3,IF(J161="visual array",4,IF(J161="characters",5,IF(J161="letters",6,IF(J161="free forms",7,IF(J161="odors",8,IF(J161="words",9,IF(J161="pictures",10,IF(J161="object pictures",11,IF(J161="faces",12,IF(J161="names",13,IF(J161="idioms",14,IF(J161="grades",15,IF(J161="syllable-digit pairs",16,IF(J161="trigram-word pairs",17,IF(J161="word-digit pairs",18,IF(J161="English-Swahili pairs",19,IF(J161="spatial position",20,IF(J161="word pairs",21,IF(J161="word triads",22,IF(J161="generated words",23,IF(J161="word definition pairs",24,IF(J161="math problems",25,IF(J161="famous faces",26,IF(J161="famous names",27,IF(J161="famous voices",28,IF(J161="television programs",29,IF(J161="race horses",30,IF(J161="new vocabulary",31,IF(J161="sentences",32,IF(J161="concepts",33,IF(J161="ad slides",34,IF(J161="scenes",35,IF(J161="famous scenes",36,IF(J161="poems",37,IF(J161="walk",38,IF(J161="faces and events",39,IF(J161="events and names",40,IF(J161="flashbulb",41,IF(J161="stories",42,IF(J161="course material",43,IF(J161="autobiographical",44,IF(J161="novels",45,IF(J161="public events",46,"99"))))))))))))))))))))))))))))))))))))))))))))))</f>
        <v>9</v>
      </c>
      <c r="L161" s="60">
        <f>IF(J161="syllables",1,IF(J161="trigrams",1,IF(J161="strings",1,IF(J161="visual array",1,IF(J161="characters",1,IF(J161="letters",1,IF(J161="free forms",1,IF(J161="odors",2,IF(J161="words",2,IF(J161="pictures",2,IF(J161="object pictures",2,IF(J161="faces",2,IF(J161="names",2,IF(J161="idioms","2",IF(J161="grades",2,IF(J161="syllable-digit pairs",3,IF(J161="trigram-word pairs",3,IF(J161="word-digit pairs",3,IF(J161="English-Swahili pairs",3,IF(J161="spatial position",3,IF(J161="word pairs",4,IF(J161="word triads",4,IF(J161="generated words",4,IF(J161="word definition pairs",4,IF(J161="math problems",4,IF(J161="famous faces",4,IF(J161="famous names",4,IF(J161="famous voices",4,IF(J161="television programs",4,IF(J161="race horses",4,IF(J161="new vocabulary",4,IF(J161="sentences",5,IF(J161="concepts",5,IF(J161="ad slides",5,IF(J161="scenes",5,IF(J161="famous scenes",5,IF(J161="poems",6,IF(J161="walk",6,IF(J161="faces and events",6,IF(J161="events and names",6,IF(J161="flashbulb",7,IF(J161="stories",7,IF(J161="course material",7,IF(J161="autobiographical",7,IF(J161="novels",7,IF(J161="public events",7,"99"))))))))))))))))))))))))))))))))))))))))))))))</f>
        <v>2</v>
      </c>
      <c r="M161" s="60">
        <v>0</v>
      </c>
      <c r="N161" s="60">
        <v>1</v>
      </c>
      <c r="O161" s="60">
        <v>0</v>
      </c>
      <c r="P161" s="60"/>
      <c r="Q161" s="60" t="s">
        <v>65</v>
      </c>
      <c r="R161" s="60">
        <f>IF(Q161="Free Recall",1,IF(Q161="Cued Recall",2,IF(Q161="Recognition",3,IF(Q161="Multiple Choice",4,IF(Q161="Savings",5,IF(Q161="Stem Completion",6,IF(Q161="Fragment Completion",7,IF(Q161="anagram solution",8,IF(Q161="Matching",9,IF(Q161="Problem Solving",10,"99"))))))))))</f>
        <v>2</v>
      </c>
      <c r="S161" s="60" t="s">
        <v>15</v>
      </c>
      <c r="T161" s="59" t="s">
        <v>581</v>
      </c>
      <c r="U161" s="60">
        <f>IF(T161="within",1,0)</f>
        <v>1</v>
      </c>
      <c r="V161" s="59">
        <v>32</v>
      </c>
      <c r="W161" s="60">
        <f>F161*V161</f>
        <v>3200</v>
      </c>
      <c r="X161" s="60">
        <v>8</v>
      </c>
      <c r="Y161" s="76">
        <f>AV160</f>
        <v>3</v>
      </c>
      <c r="Z161" s="60" t="s">
        <v>57</v>
      </c>
      <c r="AA161" s="60">
        <v>288</v>
      </c>
      <c r="AB161" s="60" t="str">
        <f>IF(AA161&lt;60,"1",IF(AA161&lt;=43200,"2",IF(AA161&lt;=777600,"3","4")))</f>
        <v>2</v>
      </c>
      <c r="AC161" s="56">
        <f>AVERAGE(AV160:DA160)</f>
        <v>72</v>
      </c>
      <c r="AD161" s="60" t="str">
        <f>IF(AC161&lt;60,"1",IF(AC161&lt;=43200,"2",IF(AC161&lt;=777600,"3","4")))</f>
        <v>2</v>
      </c>
      <c r="AE161" s="76">
        <f>AA161-Y161</f>
        <v>285</v>
      </c>
      <c r="AF161" s="80">
        <f>AV161</f>
        <v>0.85316744168380398</v>
      </c>
      <c r="AG161" s="56">
        <f>((AW161-AV161)+(AX161-AW161)+(AY161-AX161)+(AZ161-AY161)+(BA161-AZ161)+(BB161-BA161)+(BC161-BB161))/7</f>
        <v>-0.104086648957157</v>
      </c>
      <c r="AH161" s="4"/>
      <c r="AI161" s="56">
        <f>RSQ(AV161:BC161,AV160:BC160)</f>
        <v>0.50951054051920253</v>
      </c>
      <c r="AJ161" s="109">
        <f>SLOPE(AV161:BC161,AV160:BC160)</f>
        <v>-1.7990464569631525E-3</v>
      </c>
      <c r="AK161" s="56">
        <f>INTERCEPT(AV161:BC161,AV160:BC160)</f>
        <v>0.55106859184513857</v>
      </c>
      <c r="AL161" s="56">
        <f>INDEX(LINEST(LN(AV161:BC161),LN(AV160:BC160),TRUE,TRUE),3,1)</f>
        <v>0.94354787932912332</v>
      </c>
      <c r="AM161" s="56">
        <f>INDEX(LINEST(LN(AV161:BC161),LN(AV160:BC160)),1)</f>
        <v>-0.38361945485187965</v>
      </c>
      <c r="AN161" s="56">
        <f>EXP(INDEX(LINEST(LN(AV161:BC161),LN(AV160:BC160)),1,2))</f>
        <v>1.2722929210589915</v>
      </c>
      <c r="AO161" s="82">
        <f>INDEX(LINEST((AV161:BC161),LN(AV160:BC160),TRUE,TRUE),3,1)</f>
        <v>0.89399461027955851</v>
      </c>
      <c r="AP161" s="82">
        <f>INDEX(LINEST((AV161:BC161),LN(AV160:BC160)),1)</f>
        <v>-0.14806086030769725</v>
      </c>
      <c r="AQ161" s="83">
        <f>INDEX(LINEST(LN(AV161:BC161),SQRT(AV160:BC160),TRUE,TRUE),3,1)</f>
        <v>0.86781192559339471</v>
      </c>
      <c r="AR161" s="116">
        <f>INDEX(LINEST(LN(AV161:BC161),SQRT((AV160:BC160))),1)</f>
        <v>-0.11022662677170703</v>
      </c>
      <c r="AS161" s="84">
        <f>INDEX(LINEST(1/(AV161:BC161),1/(SQRT(AV160:BC160)),TRUE,TRUE),3,1)</f>
        <v>0.63786400677111366</v>
      </c>
      <c r="AT161" s="84">
        <f>INDEX(LINEST(1/(AV161:BC161),1/SQRT(AV160:BC160)),1)</f>
        <v>-9.7696083424276949</v>
      </c>
      <c r="AU161" s="3"/>
      <c r="AV161" s="53">
        <v>0.85316744168380398</v>
      </c>
      <c r="AW161" s="53">
        <v>0.69786160382426199</v>
      </c>
      <c r="AX161" s="53">
        <v>0.50732350499465495</v>
      </c>
      <c r="AY161" s="53">
        <v>0.41549889580405502</v>
      </c>
      <c r="AZ161" s="53">
        <v>0.25708720163648902</v>
      </c>
      <c r="BA161" s="53">
        <v>0.27661437787918403</v>
      </c>
      <c r="BB161" s="53">
        <v>0.24018405074417901</v>
      </c>
      <c r="BC161" s="53">
        <v>0.124560898983705</v>
      </c>
      <c r="BD161" s="53"/>
      <c r="BE161" s="53"/>
      <c r="BF161" s="53"/>
      <c r="BG161" s="53"/>
      <c r="BH161" s="53"/>
      <c r="BI161" s="53"/>
      <c r="BJ161" s="53"/>
      <c r="BK161" s="53"/>
      <c r="BL161" s="53"/>
      <c r="BM161" s="53"/>
      <c r="BN161" s="53"/>
      <c r="BO161" s="53"/>
      <c r="BP161" s="53"/>
      <c r="BQ161" s="53"/>
      <c r="BR161" s="53"/>
      <c r="BS161" s="53"/>
      <c r="BT161" s="53"/>
      <c r="BU161" s="53"/>
      <c r="BV161" s="53"/>
      <c r="BW161" s="53"/>
      <c r="BX161" s="53"/>
      <c r="BY161" s="53"/>
      <c r="BZ161" s="53"/>
      <c r="CA161" s="53"/>
      <c r="CB161" s="53"/>
      <c r="CC161" s="53"/>
      <c r="CD161" s="53"/>
      <c r="CE161" s="53"/>
      <c r="CF161" s="53"/>
      <c r="CG161" s="53"/>
      <c r="CH161" s="53"/>
      <c r="CI161" s="53"/>
      <c r="CJ161" s="53"/>
      <c r="CK161" s="53"/>
      <c r="CL161" s="53"/>
      <c r="CM161" s="53"/>
      <c r="CN161" s="53"/>
      <c r="CO161" s="53"/>
      <c r="CP161" s="53"/>
      <c r="CQ161" s="53"/>
      <c r="CR161" s="1"/>
      <c r="CS161" s="1"/>
      <c r="CT161" s="1"/>
      <c r="CU161" s="1"/>
    </row>
    <row r="162" spans="1:99" s="13" customFormat="1" ht="12" customHeight="1" x14ac:dyDescent="0.2">
      <c r="A162" s="65">
        <v>43509</v>
      </c>
      <c r="B162" s="1"/>
      <c r="C162" s="1"/>
      <c r="D162" s="60"/>
      <c r="E162" s="76"/>
      <c r="F162" s="60"/>
      <c r="G162" s="60"/>
      <c r="H162" s="60"/>
      <c r="I162" s="60"/>
      <c r="J162" s="60"/>
      <c r="K162" s="64"/>
      <c r="L162" s="64"/>
      <c r="M162" s="60"/>
      <c r="N162" s="60"/>
      <c r="O162" s="60"/>
      <c r="P162" s="60"/>
      <c r="Q162" s="60"/>
      <c r="R162" s="60"/>
      <c r="S162" s="60"/>
      <c r="T162" s="59"/>
      <c r="U162" s="60"/>
      <c r="V162" s="60"/>
      <c r="W162" s="60"/>
      <c r="X162" s="60"/>
      <c r="Y162" s="76"/>
      <c r="Z162" s="60"/>
      <c r="AA162" s="60"/>
      <c r="AB162" s="60"/>
      <c r="AC162" s="60"/>
      <c r="AD162" s="60"/>
      <c r="AE162" s="60"/>
      <c r="AF162" s="80"/>
      <c r="AG162" s="56"/>
      <c r="AH162" s="4"/>
      <c r="AI162" s="56"/>
      <c r="AJ162" s="109"/>
      <c r="AK162" s="56"/>
      <c r="AL162" s="56"/>
      <c r="AM162" s="56"/>
      <c r="AN162" s="56"/>
      <c r="AO162" s="82"/>
      <c r="AP162" s="82"/>
      <c r="AQ162" s="82"/>
      <c r="AR162" s="115"/>
      <c r="AS162" s="82"/>
      <c r="AT162" s="82"/>
      <c r="AU162" s="129"/>
      <c r="AV162" s="25">
        <f>3*1</f>
        <v>3</v>
      </c>
      <c r="AW162" s="25">
        <f>3*2</f>
        <v>6</v>
      </c>
      <c r="AX162" s="25">
        <f>3*3</f>
        <v>9</v>
      </c>
      <c r="AY162" s="25">
        <f>3*6</f>
        <v>18</v>
      </c>
      <c r="AZ162" s="25">
        <f>3*12</f>
        <v>36</v>
      </c>
      <c r="BA162" s="25">
        <f>3*24</f>
        <v>72</v>
      </c>
      <c r="BB162" s="25">
        <f>3*48</f>
        <v>144</v>
      </c>
      <c r="BC162" s="25">
        <f>3*96</f>
        <v>288</v>
      </c>
      <c r="BD162" s="53"/>
      <c r="BE162" s="53"/>
      <c r="BF162" s="53"/>
      <c r="BG162" s="53"/>
      <c r="BH162" s="53"/>
      <c r="BI162" s="53"/>
      <c r="BJ162" s="53"/>
      <c r="BK162" s="53"/>
      <c r="BL162" s="53"/>
      <c r="BM162" s="53"/>
      <c r="BN162" s="53"/>
      <c r="BO162" s="53"/>
      <c r="BP162" s="53"/>
      <c r="BQ162" s="53"/>
      <c r="BR162" s="53"/>
      <c r="BS162" s="53"/>
      <c r="BT162" s="53"/>
      <c r="BU162" s="53"/>
      <c r="BV162" s="53"/>
      <c r="BW162" s="53"/>
      <c r="BX162" s="53"/>
      <c r="BY162" s="53"/>
      <c r="BZ162" s="53"/>
      <c r="CA162" s="53"/>
      <c r="CB162" s="53"/>
      <c r="CC162" s="53"/>
      <c r="CD162" s="53"/>
      <c r="CE162" s="53"/>
      <c r="CF162" s="53"/>
      <c r="CG162" s="53"/>
      <c r="CH162" s="53"/>
      <c r="CI162" s="53"/>
      <c r="CJ162" s="53"/>
      <c r="CK162" s="53"/>
      <c r="CL162" s="53"/>
      <c r="CM162" s="53"/>
      <c r="CN162" s="53"/>
      <c r="CO162" s="53"/>
      <c r="CP162" s="53"/>
      <c r="CQ162" s="53"/>
      <c r="CR162" s="1"/>
      <c r="CS162" s="1"/>
      <c r="CT162" s="1"/>
      <c r="CU162" s="1"/>
    </row>
    <row r="163" spans="1:99" s="13" customFormat="1" ht="12" customHeight="1" x14ac:dyDescent="0.2">
      <c r="A163" s="65">
        <v>43509</v>
      </c>
      <c r="B163" s="1" t="s">
        <v>241</v>
      </c>
      <c r="C163" s="1" t="s">
        <v>19</v>
      </c>
      <c r="D163" s="60">
        <v>1968</v>
      </c>
      <c r="E163" s="76">
        <v>2</v>
      </c>
      <c r="F163" s="60">
        <v>100</v>
      </c>
      <c r="G163" s="60">
        <v>100</v>
      </c>
      <c r="H163" s="60" t="s">
        <v>50</v>
      </c>
      <c r="I163" s="60" t="s">
        <v>639</v>
      </c>
      <c r="J163" s="60" t="s">
        <v>16</v>
      </c>
      <c r="K163" s="60">
        <f>IF(J163="syllables",1,IF(J163="trigrams",2,IF(J163="strings",3,IF(J163="visual array",4,IF(J163="characters",5,IF(J163="letters",6,IF(J163="free forms",7,IF(J163="odors",8,IF(J163="words",9,IF(J163="pictures",10,IF(J163="object pictures",11,IF(J163="faces",12,IF(J163="names",13,IF(J163="idioms",14,IF(J163="grades",15,IF(J163="syllable-digit pairs",16,IF(J163="trigram-word pairs",17,IF(J163="word-digit pairs",18,IF(J163="English-Swahili pairs",19,IF(J163="spatial position",20,IF(J163="word pairs",21,IF(J163="word triads",22,IF(J163="generated words",23,IF(J163="word definition pairs",24,IF(J163="math problems",25,IF(J163="famous faces",26,IF(J163="famous names",27,IF(J163="famous voices",28,IF(J163="television programs",29,IF(J163="race horses",30,IF(J163="new vocabulary",31,IF(J163="sentences",32,IF(J163="concepts",33,IF(J163="ad slides",34,IF(J163="scenes",35,IF(J163="famous scenes",36,IF(J163="poems",37,IF(J163="walk",38,IF(J163="faces and events",39,IF(J163="events and names",40,IF(J163="flashbulb",41,IF(J163="stories",42,IF(J163="course material",43,IF(J163="autobiographical",44,IF(J163="novels",45,IF(J163="public events",46,"99"))))))))))))))))))))))))))))))))))))))))))))))</f>
        <v>9</v>
      </c>
      <c r="L163" s="60">
        <f>IF(J163="syllables",1,IF(J163="trigrams",1,IF(J163="strings",1,IF(J163="visual array",1,IF(J163="characters",1,IF(J163="letters",1,IF(J163="free forms",1,IF(J163="odors",2,IF(J163="words",2,IF(J163="pictures",2,IF(J163="object pictures",2,IF(J163="faces",2,IF(J163="names",2,IF(J163="idioms","2",IF(J163="grades",2,IF(J163="syllable-digit pairs",3,IF(J163="trigram-word pairs",3,IF(J163="word-digit pairs",3,IF(J163="English-Swahili pairs",3,IF(J163="spatial position",3,IF(J163="word pairs",4,IF(J163="word triads",4,IF(J163="generated words",4,IF(J163="word definition pairs",4,IF(J163="math problems",4,IF(J163="famous faces",4,IF(J163="famous names",4,IF(J163="famous voices",4,IF(J163="television programs",4,IF(J163="race horses",4,IF(J163="new vocabulary",4,IF(J163="sentences",5,IF(J163="concepts",5,IF(J163="ad slides",5,IF(J163="scenes",5,IF(J163="famous scenes",5,IF(J163="poems",6,IF(J163="walk",6,IF(J163="faces and events",6,IF(J163="events and names",6,IF(J163="flashbulb",7,IF(J163="stories",7,IF(J163="course material",7,IF(J163="autobiographical",7,IF(J163="novels",7,IF(J163="public events",7,"99"))))))))))))))))))))))))))))))))))))))))))))))</f>
        <v>2</v>
      </c>
      <c r="M163" s="60">
        <v>0</v>
      </c>
      <c r="N163" s="60">
        <v>1</v>
      </c>
      <c r="O163" s="60">
        <v>0</v>
      </c>
      <c r="P163" s="60"/>
      <c r="Q163" s="60" t="s">
        <v>65</v>
      </c>
      <c r="R163" s="60">
        <f>IF(Q163="Free Recall",1,IF(Q163="Cued Recall",2,IF(Q163="Recognition",3,IF(Q163="Multiple Choice",4,IF(Q163="Savings",5,IF(Q163="Stem Completion",6,IF(Q163="Fragment Completion",7,IF(Q163="anagram solution",8,IF(Q163="Matching",9,IF(Q163="Problem Solving",10,"99"))))))))))</f>
        <v>2</v>
      </c>
      <c r="S163" s="60" t="s">
        <v>15</v>
      </c>
      <c r="T163" s="59" t="s">
        <v>581</v>
      </c>
      <c r="U163" s="60">
        <f>IF(T163="within",1,0)</f>
        <v>1</v>
      </c>
      <c r="V163" s="59">
        <v>32</v>
      </c>
      <c r="W163" s="60">
        <f>F163*V163</f>
        <v>3200</v>
      </c>
      <c r="X163" s="60">
        <v>8</v>
      </c>
      <c r="Y163" s="76">
        <f>AV162</f>
        <v>3</v>
      </c>
      <c r="Z163" s="60" t="s">
        <v>57</v>
      </c>
      <c r="AA163" s="60">
        <v>288</v>
      </c>
      <c r="AB163" s="60" t="str">
        <f>IF(AA163&lt;60,"1",IF(AA163&lt;=43200,"2",IF(AA163&lt;=777600,"3","4")))</f>
        <v>2</v>
      </c>
      <c r="AC163" s="56">
        <f>AVERAGE(AV162:DA162)</f>
        <v>72</v>
      </c>
      <c r="AD163" s="60" t="str">
        <f>IF(AC163&lt;60,"1",IF(AC163&lt;=43200,"2",IF(AC163&lt;=777600,"3","4")))</f>
        <v>2</v>
      </c>
      <c r="AE163" s="76">
        <f>AA163-Y163</f>
        <v>285</v>
      </c>
      <c r="AF163" s="80">
        <f>AV163</f>
        <v>0.923540806415731</v>
      </c>
      <c r="AG163" s="56">
        <f>((AW163-AV163)+(AX163-AW163)+(AY163-AX163)+(AZ163-AY163)+(BA163-AZ163)+(BB163-BA163)+(BC163-BB163))/7</f>
        <v>-0.11127132524442299</v>
      </c>
      <c r="AH163" s="4"/>
      <c r="AI163" s="56">
        <f>RSQ(AV163:BC163,AV162:BC162)</f>
        <v>0.47963894689149289</v>
      </c>
      <c r="AJ163" s="109">
        <f>SLOPE(AV163:BC163,AV162:BC162)</f>
        <v>-2.0191355238029091E-3</v>
      </c>
      <c r="AK163" s="56">
        <f>INTERCEPT(AV163:BC163,AV162:BC162)</f>
        <v>0.57291062585599262</v>
      </c>
      <c r="AL163" s="56">
        <f>INDEX(LINEST(LN(AV163:BC163),LN(AV162:BC162),TRUE,TRUE),3,1)</f>
        <v>0.96298881645745071</v>
      </c>
      <c r="AM163" s="56">
        <f>INDEX(LINEST(LN(AV163:BC163),LN(AV162:BC162)),1)</f>
        <v>-0.44995182923018884</v>
      </c>
      <c r="AN163" s="56">
        <f>EXP(INDEX(LINEST(LN(AV163:BC163),LN(AV162:BC162)),1,2))</f>
        <v>1.5195390824282691</v>
      </c>
      <c r="AO163" s="82">
        <f>INDEX(LINEST((AV163:BC163),LN(AV162:BC162),TRUE,TRUE),3,1)</f>
        <v>0.90180575078075009</v>
      </c>
      <c r="AP163" s="82">
        <f>INDEX(LINEST((AV163:BC163),LN(AV162:BC162)),1)</f>
        <v>-0.17201716106719955</v>
      </c>
      <c r="AQ163" s="83">
        <f>INDEX(LINEST(LN(AV163:BC163),SQRT(AV162:BC162),TRUE,TRUE),3,1)</f>
        <v>0.84219946321908856</v>
      </c>
      <c r="AR163" s="116">
        <f>INDEX(LINEST(LN(AV163:BC163),SQRT((AV162:BC162))),1)</f>
        <v>-0.12607179541829022</v>
      </c>
      <c r="AS163" s="84">
        <f>INDEX(LINEST(1/(AV163:BC163),1/(SQRT(AV162:BC162)),TRUE,TRUE),3,1)</f>
        <v>0.70449066435837748</v>
      </c>
      <c r="AT163" s="84">
        <f>INDEX(LINEST(1/(AV163:BC163),1/SQRT(AV162:BC162)),1)</f>
        <v>-12.050111571151588</v>
      </c>
      <c r="AU163" s="3"/>
      <c r="AV163" s="53">
        <v>0.923540806415731</v>
      </c>
      <c r="AW163" s="53">
        <v>0.75559341714732198</v>
      </c>
      <c r="AX163" s="53">
        <v>0.50495016196682496</v>
      </c>
      <c r="AY163" s="53">
        <v>0.440690841413588</v>
      </c>
      <c r="AZ163" s="53">
        <v>0.29478396284258501</v>
      </c>
      <c r="BA163" s="53">
        <v>0.23143295875678899</v>
      </c>
      <c r="BB163" s="53">
        <v>0.124629266889856</v>
      </c>
      <c r="BC163" s="53">
        <v>0.14464152970477001</v>
      </c>
      <c r="BD163" s="53"/>
      <c r="BE163" s="53"/>
      <c r="BF163" s="53"/>
      <c r="BG163" s="53"/>
      <c r="BH163" s="53"/>
      <c r="BI163" s="53"/>
      <c r="BJ163" s="53"/>
      <c r="BK163" s="53"/>
      <c r="BL163" s="53"/>
      <c r="BM163" s="53"/>
      <c r="BN163" s="53"/>
      <c r="BO163" s="53"/>
      <c r="BP163" s="53"/>
      <c r="BQ163" s="53"/>
      <c r="BR163" s="53"/>
      <c r="BS163" s="53"/>
      <c r="BT163" s="53"/>
      <c r="BU163" s="53"/>
      <c r="BV163" s="53"/>
      <c r="BW163" s="53"/>
      <c r="BX163" s="53"/>
      <c r="BY163" s="53"/>
      <c r="BZ163" s="53"/>
      <c r="CA163" s="53"/>
      <c r="CB163" s="53"/>
      <c r="CC163" s="53"/>
      <c r="CD163" s="53"/>
      <c r="CE163" s="53"/>
      <c r="CF163" s="53"/>
      <c r="CG163" s="53"/>
      <c r="CH163" s="53"/>
      <c r="CI163" s="53"/>
      <c r="CJ163" s="53"/>
      <c r="CK163" s="53"/>
      <c r="CL163" s="53"/>
      <c r="CM163" s="53"/>
      <c r="CN163" s="53"/>
      <c r="CO163" s="53"/>
      <c r="CP163" s="53"/>
      <c r="CQ163" s="53"/>
      <c r="CR163" s="1"/>
      <c r="CS163" s="1"/>
      <c r="CT163" s="1"/>
      <c r="CU163" s="1"/>
    </row>
    <row r="164" spans="1:99" s="13" customFormat="1" ht="12" customHeight="1" x14ac:dyDescent="0.2">
      <c r="A164" s="65">
        <v>43509</v>
      </c>
      <c r="B164" s="1"/>
      <c r="C164" s="1"/>
      <c r="D164" s="60"/>
      <c r="E164" s="76"/>
      <c r="F164" s="60"/>
      <c r="G164" s="60"/>
      <c r="H164" s="60"/>
      <c r="I164" s="60"/>
      <c r="J164" s="60"/>
      <c r="K164" s="64"/>
      <c r="L164" s="64"/>
      <c r="M164" s="60"/>
      <c r="N164" s="60"/>
      <c r="O164" s="60"/>
      <c r="P164" s="60"/>
      <c r="Q164" s="60"/>
      <c r="R164" s="60"/>
      <c r="S164" s="60"/>
      <c r="T164" s="60"/>
      <c r="U164" s="60"/>
      <c r="V164" s="60"/>
      <c r="W164" s="60"/>
      <c r="X164" s="60"/>
      <c r="Y164" s="76"/>
      <c r="Z164" s="60"/>
      <c r="AA164" s="60"/>
      <c r="AB164" s="60"/>
      <c r="AC164" s="60"/>
      <c r="AD164" s="60"/>
      <c r="AE164" s="60"/>
      <c r="AF164" s="80"/>
      <c r="AG164" s="56"/>
      <c r="AH164" s="4"/>
      <c r="AI164" s="56"/>
      <c r="AJ164" s="109"/>
      <c r="AK164" s="56"/>
      <c r="AL164" s="56"/>
      <c r="AM164" s="56"/>
      <c r="AN164" s="56"/>
      <c r="AO164" s="82"/>
      <c r="AP164" s="82"/>
      <c r="AQ164" s="82"/>
      <c r="AR164" s="115"/>
      <c r="AS164" s="82"/>
      <c r="AT164" s="82"/>
      <c r="AU164" s="129"/>
      <c r="AV164" s="25">
        <f>3*1</f>
        <v>3</v>
      </c>
      <c r="AW164" s="25">
        <f>3*2</f>
        <v>6</v>
      </c>
      <c r="AX164" s="25">
        <f>3*3</f>
        <v>9</v>
      </c>
      <c r="AY164" s="25">
        <f>3*6</f>
        <v>18</v>
      </c>
      <c r="AZ164" s="25">
        <f>3*12</f>
        <v>36</v>
      </c>
      <c r="BA164" s="25">
        <f>3*24</f>
        <v>72</v>
      </c>
      <c r="BB164" s="25">
        <f>3*48</f>
        <v>144</v>
      </c>
      <c r="BC164" s="25">
        <f>3*96</f>
        <v>288</v>
      </c>
      <c r="BD164" s="53"/>
      <c r="BE164" s="53"/>
      <c r="BF164" s="53"/>
      <c r="BG164" s="53"/>
      <c r="BH164" s="53"/>
      <c r="BI164" s="53"/>
      <c r="BJ164" s="53"/>
      <c r="BK164" s="53"/>
      <c r="BL164" s="53"/>
      <c r="BM164" s="53"/>
      <c r="BN164" s="53"/>
      <c r="BO164" s="53"/>
      <c r="BP164" s="53"/>
      <c r="BQ164" s="53"/>
      <c r="BR164" s="53"/>
      <c r="BS164" s="53"/>
      <c r="BT164" s="53"/>
      <c r="BU164" s="53"/>
      <c r="BV164" s="53"/>
      <c r="BW164" s="53"/>
      <c r="BX164" s="53"/>
      <c r="BY164" s="53"/>
      <c r="BZ164" s="53"/>
      <c r="CA164" s="53"/>
      <c r="CB164" s="53"/>
      <c r="CC164" s="53"/>
      <c r="CD164" s="53"/>
      <c r="CE164" s="53"/>
      <c r="CF164" s="53"/>
      <c r="CG164" s="53"/>
      <c r="CH164" s="53"/>
      <c r="CI164" s="53"/>
      <c r="CJ164" s="53"/>
      <c r="CK164" s="53"/>
      <c r="CL164" s="53"/>
      <c r="CM164" s="53"/>
      <c r="CN164" s="53"/>
      <c r="CO164" s="53"/>
      <c r="CP164" s="53"/>
      <c r="CQ164" s="53"/>
      <c r="CR164" s="1"/>
      <c r="CS164" s="1"/>
      <c r="CT164" s="1"/>
      <c r="CU164" s="1"/>
    </row>
    <row r="165" spans="1:99" s="13" customFormat="1" ht="12" customHeight="1" x14ac:dyDescent="0.2">
      <c r="A165" s="65">
        <v>43509</v>
      </c>
      <c r="B165" s="1" t="s">
        <v>241</v>
      </c>
      <c r="C165" s="1" t="s">
        <v>19</v>
      </c>
      <c r="D165" s="60">
        <v>1968</v>
      </c>
      <c r="E165" s="76">
        <v>2</v>
      </c>
      <c r="F165" s="60">
        <v>100</v>
      </c>
      <c r="G165" s="60">
        <v>100</v>
      </c>
      <c r="H165" s="60" t="s">
        <v>50</v>
      </c>
      <c r="I165" s="60" t="s">
        <v>640</v>
      </c>
      <c r="J165" s="60" t="s">
        <v>16</v>
      </c>
      <c r="K165" s="60">
        <f>IF(J165="syllables",1,IF(J165="trigrams",2,IF(J165="strings",3,IF(J165="visual array",4,IF(J165="characters",5,IF(J165="letters",6,IF(J165="free forms",7,IF(J165="odors",8,IF(J165="words",9,IF(J165="pictures",10,IF(J165="object pictures",11,IF(J165="faces",12,IF(J165="names",13,IF(J165="idioms",14,IF(J165="grades",15,IF(J165="syllable-digit pairs",16,IF(J165="trigram-word pairs",17,IF(J165="word-digit pairs",18,IF(J165="English-Swahili pairs",19,IF(J165="spatial position",20,IF(J165="word pairs",21,IF(J165="word triads",22,IF(J165="generated words",23,IF(J165="word definition pairs",24,IF(J165="math problems",25,IF(J165="famous faces",26,IF(J165="famous names",27,IF(J165="famous voices",28,IF(J165="television programs",29,IF(J165="race horses",30,IF(J165="new vocabulary",31,IF(J165="sentences",32,IF(J165="concepts",33,IF(J165="ad slides",34,IF(J165="scenes",35,IF(J165="famous scenes",36,IF(J165="poems",37,IF(J165="walk",38,IF(J165="faces and events",39,IF(J165="events and names",40,IF(J165="flashbulb",41,IF(J165="stories",42,IF(J165="course material",43,IF(J165="autobiographical",44,IF(J165="novels",45,IF(J165="public events",46,"99"))))))))))))))))))))))))))))))))))))))))))))))</f>
        <v>9</v>
      </c>
      <c r="L165" s="60">
        <f>IF(J165="syllables",1,IF(J165="trigrams",1,IF(J165="strings",1,IF(J165="visual array",1,IF(J165="characters",1,IF(J165="letters",1,IF(J165="free forms",1,IF(J165="odors",2,IF(J165="words",2,IF(J165="pictures",2,IF(J165="object pictures",2,IF(J165="faces",2,IF(J165="names",2,IF(J165="idioms","2",IF(J165="grades",2,IF(J165="syllable-digit pairs",3,IF(J165="trigram-word pairs",3,IF(J165="word-digit pairs",3,IF(J165="English-Swahili pairs",3,IF(J165="spatial position",3,IF(J165="word pairs",4,IF(J165="word triads",4,IF(J165="generated words",4,IF(J165="word definition pairs",4,IF(J165="math problems",4,IF(J165="famous faces",4,IF(J165="famous names",4,IF(J165="famous voices",4,IF(J165="television programs",4,IF(J165="race horses",4,IF(J165="new vocabulary",4,IF(J165="sentences",5,IF(J165="concepts",5,IF(J165="ad slides",5,IF(J165="scenes",5,IF(J165="famous scenes",5,IF(J165="poems",6,IF(J165="walk",6,IF(J165="faces and events",6,IF(J165="events and names",6,IF(J165="flashbulb",7,IF(J165="stories",7,IF(J165="course material",7,IF(J165="autobiographical",7,IF(J165="novels",7,IF(J165="public events",7,"99"))))))))))))))))))))))))))))))))))))))))))))))</f>
        <v>2</v>
      </c>
      <c r="M165" s="60">
        <v>0</v>
      </c>
      <c r="N165" s="60">
        <v>1</v>
      </c>
      <c r="O165" s="60">
        <v>0</v>
      </c>
      <c r="P165" s="60"/>
      <c r="Q165" s="60" t="s">
        <v>65</v>
      </c>
      <c r="R165" s="60">
        <f>IF(Q165="Free Recall",1,IF(Q165="Cued Recall",2,IF(Q165="Recognition",3,IF(Q165="Multiple Choice",4,IF(Q165="Savings",5,IF(Q165="Stem Completion",6,IF(Q165="Fragment Completion",7,IF(Q165="anagram solution",8,IF(Q165="Matching",9,IF(Q165="Problem Solving",10,"99"))))))))))</f>
        <v>2</v>
      </c>
      <c r="S165" s="60" t="s">
        <v>15</v>
      </c>
      <c r="T165" s="59" t="s">
        <v>581</v>
      </c>
      <c r="U165" s="60">
        <f>IF(T165="within",1,0)</f>
        <v>1</v>
      </c>
      <c r="V165" s="59">
        <v>32</v>
      </c>
      <c r="W165" s="60">
        <f>F165*V165</f>
        <v>3200</v>
      </c>
      <c r="X165" s="60">
        <v>8</v>
      </c>
      <c r="Y165" s="76">
        <f>AV164</f>
        <v>3</v>
      </c>
      <c r="Z165" s="60" t="s">
        <v>57</v>
      </c>
      <c r="AA165" s="60">
        <v>288</v>
      </c>
      <c r="AB165" s="60" t="str">
        <f>IF(AA165&lt;60,"1",IF(AA165&lt;=43200,"2",IF(AA165&lt;=777600,"3","4")))</f>
        <v>2</v>
      </c>
      <c r="AC165" s="56">
        <f>AVERAGE(AV164:DA164)</f>
        <v>72</v>
      </c>
      <c r="AD165" s="60" t="str">
        <f>IF(AC165&lt;60,"1",IF(AC165&lt;=43200,"2",IF(AC165&lt;=777600,"3","4")))</f>
        <v>2</v>
      </c>
      <c r="AE165" s="76">
        <f>AA165-Y165</f>
        <v>285</v>
      </c>
      <c r="AF165" s="80">
        <f>AV165</f>
        <v>0.88077830892526698</v>
      </c>
      <c r="AG165" s="56">
        <f>((AW165-AV165)+(AX165-AW165)+(AY165-AX165)+(AZ165-AY165)+(BA165-AZ165)+(BB165-BA165)+(BC165-BB165))/7</f>
        <v>-0.10050082204268114</v>
      </c>
      <c r="AH165" s="4"/>
      <c r="AI165" s="56">
        <f>RSQ(AV165:BC165,AV164:BC164)</f>
        <v>0.49478737256156602</v>
      </c>
      <c r="AJ165" s="109">
        <f>SLOPE(AV165:BC165,AV164:BC164)</f>
        <v>-1.8507771922322348E-3</v>
      </c>
      <c r="AK165" s="56">
        <f>INTERCEPT(AV165:BC165,AV164:BC164)</f>
        <v>0.5761573615532064</v>
      </c>
      <c r="AL165" s="56">
        <f>INDEX(LINEST(LN(AV165:BC165),LN(AV164:BC164),TRUE,TRUE),3,1)</f>
        <v>0.93291989233429951</v>
      </c>
      <c r="AM165" s="56">
        <f>INDEX(LINEST(LN(AV165:BC165),LN(AV164:BC164)),1)</f>
        <v>-0.37724989468313669</v>
      </c>
      <c r="AN165" s="56">
        <f>EXP(INDEX(LINEST(LN(AV165:BC165),LN(AV164:BC164)),1,2))</f>
        <v>1.3123334417987347</v>
      </c>
      <c r="AO165" s="82">
        <f>INDEX(LINEST((AV165:BC165),LN(AV164:BC164),TRUE,TRUE),3,1)</f>
        <v>0.88218550470670642</v>
      </c>
      <c r="AP165" s="82">
        <f>INDEX(LINEST((AV165:BC165),LN(AV164:BC164)),1)</f>
        <v>-0.15354363585718472</v>
      </c>
      <c r="AQ165" s="83">
        <f>INDEX(LINEST(LN(AV165:BC165),SQRT(AV164:BC164),TRUE,TRUE),3,1)</f>
        <v>0.83033950006718737</v>
      </c>
      <c r="AR165" s="116">
        <f>INDEX(LINEST(LN(AV165:BC165),SQRT((AV164:BC164))),1)</f>
        <v>-0.10663256527968477</v>
      </c>
      <c r="AS165" s="84">
        <f>INDEX(LINEST(1/(AV165:BC165),1/(SQRT(AV164:BC164)),TRUE,TRUE),3,1)</f>
        <v>0.68162512564223043</v>
      </c>
      <c r="AT165" s="84">
        <f>INDEX(LINEST(1/(AV165:BC165),1/SQRT(AV164:BC164)),1)</f>
        <v>-9.0259393706201063</v>
      </c>
      <c r="AU165" s="3"/>
      <c r="AV165" s="53">
        <v>0.88077830892526698</v>
      </c>
      <c r="AW165" s="53">
        <v>0.76567931111195497</v>
      </c>
      <c r="AX165" s="53">
        <v>0.46971790099676097</v>
      </c>
      <c r="AY165" s="53">
        <v>0.440690841413588</v>
      </c>
      <c r="AZ165" s="53">
        <v>0.34758677569358098</v>
      </c>
      <c r="BA165" s="53">
        <v>0.30924540280091301</v>
      </c>
      <c r="BB165" s="53">
        <v>0.15224013413132001</v>
      </c>
      <c r="BC165" s="53">
        <v>0.17727255462649899</v>
      </c>
      <c r="BD165" s="53"/>
      <c r="BE165" s="53"/>
      <c r="BF165" s="53"/>
      <c r="BG165" s="53"/>
      <c r="BH165" s="53"/>
      <c r="BI165" s="53"/>
      <c r="BJ165" s="53"/>
      <c r="BK165" s="53"/>
      <c r="BL165" s="53"/>
      <c r="BM165" s="53"/>
      <c r="BN165" s="53"/>
      <c r="BO165" s="53"/>
      <c r="BP165" s="53"/>
      <c r="BQ165" s="53"/>
      <c r="BR165" s="53"/>
      <c r="BS165" s="53"/>
      <c r="BT165" s="53"/>
      <c r="BU165" s="53"/>
      <c r="BV165" s="53"/>
      <c r="BW165" s="53"/>
      <c r="BX165" s="53"/>
      <c r="BY165" s="53"/>
      <c r="BZ165" s="53"/>
      <c r="CA165" s="53"/>
      <c r="CB165" s="53"/>
      <c r="CC165" s="53"/>
      <c r="CD165" s="53"/>
      <c r="CE165" s="53"/>
      <c r="CF165" s="53"/>
      <c r="CG165" s="53"/>
      <c r="CH165" s="53"/>
      <c r="CI165" s="53"/>
      <c r="CJ165" s="53"/>
      <c r="CK165" s="53"/>
      <c r="CL165" s="53"/>
      <c r="CM165" s="53"/>
      <c r="CN165" s="53"/>
      <c r="CO165" s="53"/>
      <c r="CP165" s="53"/>
      <c r="CQ165" s="53"/>
      <c r="CR165" s="1"/>
      <c r="CS165" s="1"/>
      <c r="CT165" s="1"/>
      <c r="CU165" s="1"/>
    </row>
    <row r="166" spans="1:99" s="13" customFormat="1" ht="12" customHeight="1" x14ac:dyDescent="0.2">
      <c r="A166" s="68">
        <v>43951</v>
      </c>
      <c r="B166" s="70"/>
      <c r="C166" s="70"/>
      <c r="D166" s="69"/>
      <c r="E166" s="87"/>
      <c r="F166" s="69"/>
      <c r="G166" s="69"/>
      <c r="H166" s="69"/>
      <c r="I166" s="69"/>
      <c r="J166" s="69"/>
      <c r="K166" s="69"/>
      <c r="L166" s="69"/>
      <c r="M166" s="69"/>
      <c r="N166" s="69"/>
      <c r="O166" s="69"/>
      <c r="P166" s="69"/>
      <c r="Q166" s="69"/>
      <c r="R166" s="69"/>
      <c r="S166" s="69"/>
      <c r="T166" s="92"/>
      <c r="U166" s="69"/>
      <c r="V166" s="92"/>
      <c r="W166" s="69"/>
      <c r="X166" s="69"/>
      <c r="Y166" s="87"/>
      <c r="Z166" s="69"/>
      <c r="AA166" s="69"/>
      <c r="AB166" s="69"/>
      <c r="AC166" s="72"/>
      <c r="AD166" s="69"/>
      <c r="AE166" s="87"/>
      <c r="AF166" s="88"/>
      <c r="AG166" s="72"/>
      <c r="AH166" s="4"/>
      <c r="AI166" s="72"/>
      <c r="AJ166" s="110"/>
      <c r="AK166" s="72"/>
      <c r="AL166" s="72"/>
      <c r="AM166" s="72"/>
      <c r="AN166" s="72"/>
      <c r="AO166" s="89"/>
      <c r="AP166" s="89"/>
      <c r="AQ166" s="90"/>
      <c r="AR166" s="117"/>
      <c r="AS166" s="91"/>
      <c r="AT166" s="91"/>
      <c r="AU166" s="3"/>
      <c r="AV166" s="71">
        <f>60*4</f>
        <v>240</v>
      </c>
      <c r="AW166" s="71">
        <f>60*60*6</f>
        <v>21600</v>
      </c>
      <c r="AX166" s="71">
        <f>60*60*24</f>
        <v>86400</v>
      </c>
      <c r="AY166" s="71">
        <f>60*60*48</f>
        <v>172800</v>
      </c>
      <c r="AZ166" s="71">
        <f>60*60*72</f>
        <v>259200</v>
      </c>
      <c r="BA166" s="25"/>
      <c r="BB166" s="25"/>
      <c r="BC166" s="25"/>
      <c r="BD166" s="53"/>
      <c r="BE166" s="53"/>
      <c r="BF166" s="53"/>
      <c r="BG166" s="53"/>
      <c r="BH166" s="53"/>
      <c r="BI166" s="53"/>
      <c r="BJ166" s="53"/>
      <c r="BK166" s="53"/>
      <c r="BL166" s="53"/>
      <c r="BM166" s="53"/>
      <c r="BN166" s="53"/>
      <c r="BO166" s="53"/>
      <c r="BP166" s="53"/>
      <c r="BQ166" s="53"/>
      <c r="BR166" s="53"/>
      <c r="BS166" s="53"/>
      <c r="BT166" s="53"/>
      <c r="BU166" s="53"/>
      <c r="BV166" s="53"/>
      <c r="BW166" s="53"/>
      <c r="BX166" s="53"/>
      <c r="BY166" s="53"/>
      <c r="BZ166" s="53"/>
      <c r="CA166" s="53"/>
      <c r="CB166" s="53"/>
      <c r="CC166" s="53"/>
      <c r="CD166" s="53"/>
      <c r="CE166" s="53"/>
      <c r="CF166" s="53"/>
      <c r="CG166" s="53"/>
      <c r="CH166" s="53"/>
      <c r="CI166" s="53"/>
      <c r="CJ166" s="53"/>
      <c r="CK166" s="53"/>
      <c r="CL166" s="53"/>
      <c r="CM166" s="53"/>
      <c r="CN166" s="53"/>
      <c r="CO166" s="53"/>
      <c r="CP166" s="53"/>
      <c r="CQ166" s="53"/>
      <c r="CR166" s="1"/>
      <c r="CS166" s="1"/>
      <c r="CT166" s="1"/>
      <c r="CU166" s="1"/>
    </row>
    <row r="167" spans="1:99" s="13" customFormat="1" ht="12" customHeight="1" x14ac:dyDescent="0.2">
      <c r="A167" s="68">
        <v>43951</v>
      </c>
      <c r="B167" s="70" t="s">
        <v>879</v>
      </c>
      <c r="C167" s="70" t="s">
        <v>19</v>
      </c>
      <c r="D167" s="69">
        <v>1954</v>
      </c>
      <c r="E167" s="87">
        <v>1</v>
      </c>
      <c r="F167" s="69">
        <v>125</v>
      </c>
      <c r="G167" s="69">
        <v>25</v>
      </c>
      <c r="H167" s="69" t="s">
        <v>22</v>
      </c>
      <c r="I167" s="69" t="s">
        <v>880</v>
      </c>
      <c r="J167" s="69" t="s">
        <v>320</v>
      </c>
      <c r="K167" s="69">
        <f>IF(J167="syllables",1,IF(J167="trigrams",2,IF(J167="strings",3,IF(J167="visual array",4,IF(J167="characters",5,IF(J167="letters",6,IF(J167="free forms",7,IF(J167="odors",8,IF(J167="words",9,IF(J167="pictures",10,IF(J167="object pictures",11,IF(J167="faces",12,IF(J167="names",13,IF(J167="idioms",14,IF(J167="grades",15,IF(J167="syllable-digit pairs",16,IF(J167="trigram-word pairs",17,IF(J167="word-digit pairs",18,IF(J167="English-Swahili pairs",19,IF(J167="spatial position",20,IF(J167="word pairs",21,IF(J167="word triads",22,IF(J167="generated words",23,IF(J167="word definition pairs",24,IF(J167="math problems",25,IF(J167="famous faces",26,IF(J167="famous names",27,IF(J167="famous voices",28,IF(J167="television programs",29,IF(J167="race horses",30,IF(J167="new vocabulary",31,IF(J167="sentences",32,IF(J167="concepts",33,IF(J167="ad slides",34,IF(J167="scenes",35,IF(J167="famous scenes",36,IF(J167="poems",37,IF(J167="walk",38,IF(J167="faces and events",39,IF(J167="events and names",40,IF(J167="flashbulb",41,IF(J167="stories",42,IF(J167="course material",43,IF(J167="autobiographical",44,IF(J167="novels",45,IF(J167="public events",46,"99"))))))))))))))))))))))))))))))))))))))))))))))</f>
        <v>21</v>
      </c>
      <c r="L167" s="69">
        <f>IF(J167="syllables",1,IF(J167="trigrams",1,IF(J167="strings",1,IF(J167="visual array",1,IF(J167="characters",1,IF(J167="letters",1,IF(J167="free forms",1,IF(J167="odors",2,IF(J167="words",2,IF(J167="pictures",2,IF(J167="object pictures",2,IF(J167="faces",2,IF(J167="names",2,IF(J167="idioms","2",IF(J167="grades",2,IF(J167="syllable-digit pairs",3,IF(J167="trigram-word pairs",3,IF(J167="word-digit pairs",3,IF(J167="English-Swahili pairs",3,IF(J167="spatial position",3,IF(J167="word pairs",4,IF(J167="word triads",4,IF(J167="generated words",4,IF(J167="word definition pairs",4,IF(J167="math problems",4,IF(J167="famous faces",4,IF(J167="famous names",4,IF(J167="famous voices",4,IF(J167="television programs",4,IF(J167="race horses",4,IF(J167="new vocabulary",4,IF(J167="sentences",5,IF(J167="concepts",5,IF(J167="ad slides",5,IF(J167="scenes",5,IF(J167="famous scenes",5,IF(J167="poems",6,IF(J167="walk",6,IF(J167="faces and events",6,IF(J167="events and names",6,IF(J167="flashbulb",7,IF(J167="stories",7,IF(J167="course material",7,IF(J167="autobiographical",7,IF(J167="novels",7,IF(J167="public events",7,"99"))))))))))))))))))))))))))))))))))))))))))))))</f>
        <v>4</v>
      </c>
      <c r="M167" s="69">
        <v>1</v>
      </c>
      <c r="N167" s="69">
        <v>2</v>
      </c>
      <c r="O167" s="69">
        <v>0</v>
      </c>
      <c r="P167" s="69"/>
      <c r="Q167" s="69" t="s">
        <v>65</v>
      </c>
      <c r="R167" s="69">
        <f>IF(Q167="Free Recall",1,IF(Q167="Cued Recall",2,IF(Q167="Recognition",3,IF(Q167="Multiple Choice",4,IF(Q167="Savings",5,IF(Q167="Stem Completion",6,IF(Q167="Fragment Completion",7,IF(Q167="anagram solution",8,IF(Q167="Matching",9,IF(Q167="Problem Solving",10,"99"))))))))))</f>
        <v>2</v>
      </c>
      <c r="S167" s="69" t="s">
        <v>15</v>
      </c>
      <c r="T167" s="92" t="s">
        <v>261</v>
      </c>
      <c r="U167" s="69">
        <f>IF(T167="within",1,0)</f>
        <v>0</v>
      </c>
      <c r="V167" s="92">
        <v>12</v>
      </c>
      <c r="W167" s="69">
        <f>F167*V167</f>
        <v>1500</v>
      </c>
      <c r="X167" s="69">
        <v>5</v>
      </c>
      <c r="Y167" s="87">
        <f>4*60</f>
        <v>240</v>
      </c>
      <c r="Z167" s="69" t="s">
        <v>881</v>
      </c>
      <c r="AA167" s="69">
        <f>60*60*72</f>
        <v>259200</v>
      </c>
      <c r="AB167" s="69" t="str">
        <f>IF(AA167&lt;60,"1",IF(AA167&lt;=43200,"2",IF(AA167&lt;=777600,"3","4")))</f>
        <v>3</v>
      </c>
      <c r="AC167" s="72">
        <f>AVERAGE(AV166:DA166)</f>
        <v>108048</v>
      </c>
      <c r="AD167" s="69" t="str">
        <f>IF(AC167&lt;60,"1",IF(AC167&lt;=43200,"2",IF(AC167&lt;=777600,"3","4")))</f>
        <v>3</v>
      </c>
      <c r="AE167" s="87">
        <f>AA167-Y167</f>
        <v>258960</v>
      </c>
      <c r="AF167" s="88">
        <f>AV167</f>
        <v>0.21333333333333335</v>
      </c>
      <c r="AG167" s="72">
        <f>((AW167-AV167)+(AX167-AW167)+(AY167-AX167)+(AZ167-AY167))/4</f>
        <v>5.1666666666666659E-2</v>
      </c>
      <c r="AH167" s="4"/>
      <c r="AI167" s="72">
        <f>RSQ(AV167:AZ167,AV166:AZ166)</f>
        <v>0.43027716445355779</v>
      </c>
      <c r="AJ167" s="110">
        <f>SLOPE(AV167:AZ167,AV166:AZ166)</f>
        <v>5.6308737359355526E-7</v>
      </c>
      <c r="AK167" s="72">
        <f>INTERCEPT(AV167:AZ167,AV166:AZ166)</f>
        <v>0.30982620212463019</v>
      </c>
      <c r="AL167" s="72">
        <f>INDEX(LINEST(LN(AV167:AZ167),LN(AV166:AZ166),TRUE,TRUE),3,1)</f>
        <v>0.94786616993005812</v>
      </c>
      <c r="AM167" s="72">
        <f>INDEX(LINEST(LN(AV167:AZ167),LN(AV166:AZ166)),1)</f>
        <v>0.10287210306643962</v>
      </c>
      <c r="AN167" s="72">
        <f>EXP(INDEX(LINEST(LN(AV167:AZ167),LN(AV166:AZ166)),1,2))</f>
        <v>0.12481613510299432</v>
      </c>
      <c r="AO167" s="89">
        <f>INDEX(LINEST((AV167:AZ167),LN(AV166:AZ166),TRUE,TRUE),3,1)</f>
        <v>0.93947661055788445</v>
      </c>
      <c r="AP167" s="89">
        <f>INDEX(LINEST((AV167:AZ167),LN(AV166:AZ166)),1)</f>
        <v>3.1630503104567033E-2</v>
      </c>
      <c r="AQ167" s="90">
        <f>INDEX(LINEST(LN(AV167:AZ167),SQRT(AV166:AZ166),TRUE,TRUE),3,1)</f>
        <v>0.65934792279552668</v>
      </c>
      <c r="AR167" s="117">
        <f>INDEX(LINEST(LN(AV167:AZ167),SQRT((AV166:AZ166))),1)</f>
        <v>1.2230794051846432E-3</v>
      </c>
      <c r="AS167" s="91">
        <f>INDEX(LINEST(1/(AV167:AZ167),1/(SQRT(AV166:AZ166)),TRUE,TRUE),3,1)</f>
        <v>0.9832458860146448</v>
      </c>
      <c r="AT167" s="91">
        <f>INDEX(LINEST(1/(AV167:AZ167),1/SQRT(AV166:AZ166)),1)</f>
        <v>36.91378559492729</v>
      </c>
      <c r="AU167" s="3"/>
      <c r="AV167" s="73">
        <v>0.21333333333333335</v>
      </c>
      <c r="AW167" s="73">
        <v>0.36333333333333334</v>
      </c>
      <c r="AX167" s="73">
        <v>0.44333333333333336</v>
      </c>
      <c r="AY167" s="73">
        <v>0.41333333333333333</v>
      </c>
      <c r="AZ167" s="73">
        <v>0.42</v>
      </c>
      <c r="BA167" s="53"/>
      <c r="BB167" s="53"/>
      <c r="BC167" s="53"/>
      <c r="BD167" s="53"/>
      <c r="BE167" s="53"/>
      <c r="BF167" s="53"/>
      <c r="BG167" s="53"/>
      <c r="BH167" s="53"/>
      <c r="BI167" s="53"/>
      <c r="BJ167" s="53"/>
      <c r="BK167" s="53"/>
      <c r="BL167" s="53"/>
      <c r="BM167" s="53"/>
      <c r="BN167" s="53"/>
      <c r="BO167" s="53"/>
      <c r="BP167" s="53"/>
      <c r="BQ167" s="53"/>
      <c r="BR167" s="53"/>
      <c r="BS167" s="53"/>
      <c r="BT167" s="53"/>
      <c r="BU167" s="53"/>
      <c r="BV167" s="53"/>
      <c r="BW167" s="53"/>
      <c r="BX167" s="53"/>
      <c r="BY167" s="53"/>
      <c r="BZ167" s="53"/>
      <c r="CA167" s="53"/>
      <c r="CB167" s="53"/>
      <c r="CC167" s="53"/>
      <c r="CD167" s="53"/>
      <c r="CE167" s="53"/>
      <c r="CF167" s="53"/>
      <c r="CG167" s="53"/>
      <c r="CH167" s="53"/>
      <c r="CI167" s="53"/>
      <c r="CJ167" s="53"/>
      <c r="CK167" s="53"/>
      <c r="CL167" s="53"/>
      <c r="CM167" s="53"/>
      <c r="CN167" s="53"/>
      <c r="CO167" s="53"/>
      <c r="CP167" s="53"/>
      <c r="CQ167" s="53"/>
      <c r="CR167" s="1"/>
      <c r="CS167" s="1"/>
      <c r="CT167" s="1"/>
      <c r="CU167" s="1"/>
    </row>
    <row r="168" spans="1:99" s="13" customFormat="1" ht="12" customHeight="1" x14ac:dyDescent="0.2">
      <c r="A168" s="68">
        <v>43951</v>
      </c>
      <c r="B168" s="70"/>
      <c r="C168" s="70"/>
      <c r="D168" s="69"/>
      <c r="E168" s="87"/>
      <c r="F168" s="69"/>
      <c r="G168" s="69"/>
      <c r="H168" s="69"/>
      <c r="I168" s="69"/>
      <c r="J168" s="69"/>
      <c r="K168" s="69"/>
      <c r="L168" s="69"/>
      <c r="M168" s="69"/>
      <c r="N168" s="69"/>
      <c r="O168" s="69"/>
      <c r="P168" s="69"/>
      <c r="Q168" s="69"/>
      <c r="R168" s="69"/>
      <c r="S168" s="69"/>
      <c r="T168" s="92"/>
      <c r="U168" s="69"/>
      <c r="V168" s="92"/>
      <c r="W168" s="69"/>
      <c r="X168" s="69"/>
      <c r="Y168" s="87"/>
      <c r="Z168" s="69"/>
      <c r="AA168" s="69"/>
      <c r="AB168" s="69"/>
      <c r="AC168" s="72"/>
      <c r="AD168" s="69"/>
      <c r="AE168" s="87"/>
      <c r="AF168" s="88"/>
      <c r="AG168" s="72"/>
      <c r="AH168" s="4"/>
      <c r="AI168" s="72"/>
      <c r="AJ168" s="110"/>
      <c r="AK168" s="72"/>
      <c r="AL168" s="72"/>
      <c r="AM168" s="72"/>
      <c r="AN168" s="72"/>
      <c r="AO168" s="89"/>
      <c r="AP168" s="89"/>
      <c r="AQ168" s="90"/>
      <c r="AR168" s="117"/>
      <c r="AS168" s="91"/>
      <c r="AT168" s="91"/>
      <c r="AU168" s="3"/>
      <c r="AV168" s="71">
        <f>60*4</f>
        <v>240</v>
      </c>
      <c r="AW168" s="71">
        <f>60*60*6</f>
        <v>21600</v>
      </c>
      <c r="AX168" s="71">
        <f>60*60*24</f>
        <v>86400</v>
      </c>
      <c r="AY168" s="71">
        <f>60*60*48</f>
        <v>172800</v>
      </c>
      <c r="AZ168" s="71">
        <f>60*60*72</f>
        <v>259200</v>
      </c>
      <c r="BA168" s="25"/>
      <c r="BB168" s="25"/>
      <c r="BC168" s="25"/>
      <c r="BD168" s="53"/>
      <c r="BE168" s="53"/>
      <c r="BF168" s="53"/>
      <c r="BG168" s="53"/>
      <c r="BH168" s="53"/>
      <c r="BI168" s="53"/>
      <c r="BJ168" s="53"/>
      <c r="BK168" s="53"/>
      <c r="BL168" s="53"/>
      <c r="BM168" s="53"/>
      <c r="BN168" s="53"/>
      <c r="BO168" s="53"/>
      <c r="BP168" s="53"/>
      <c r="BQ168" s="53"/>
      <c r="BR168" s="53"/>
      <c r="BS168" s="53"/>
      <c r="BT168" s="53"/>
      <c r="BU168" s="53"/>
      <c r="BV168" s="53"/>
      <c r="BW168" s="53"/>
      <c r="BX168" s="53"/>
      <c r="BY168" s="53"/>
      <c r="BZ168" s="53"/>
      <c r="CA168" s="53"/>
      <c r="CB168" s="53"/>
      <c r="CC168" s="53"/>
      <c r="CD168" s="53"/>
      <c r="CE168" s="53"/>
      <c r="CF168" s="53"/>
      <c r="CG168" s="53"/>
      <c r="CH168" s="53"/>
      <c r="CI168" s="53"/>
      <c r="CJ168" s="53"/>
      <c r="CK168" s="53"/>
      <c r="CL168" s="53"/>
      <c r="CM168" s="53"/>
      <c r="CN168" s="53"/>
      <c r="CO168" s="53"/>
      <c r="CP168" s="53"/>
      <c r="CQ168" s="53"/>
      <c r="CR168" s="1"/>
      <c r="CS168" s="1"/>
      <c r="CT168" s="1"/>
      <c r="CU168" s="1"/>
    </row>
    <row r="169" spans="1:99" s="13" customFormat="1" ht="12" customHeight="1" x14ac:dyDescent="0.2">
      <c r="A169" s="68">
        <v>43951</v>
      </c>
      <c r="B169" s="70" t="s">
        <v>879</v>
      </c>
      <c r="C169" s="70" t="s">
        <v>19</v>
      </c>
      <c r="D169" s="69">
        <v>1954</v>
      </c>
      <c r="E169" s="87">
        <v>1</v>
      </c>
      <c r="F169" s="69">
        <v>125</v>
      </c>
      <c r="G169" s="69">
        <v>25</v>
      </c>
      <c r="H169" s="69" t="s">
        <v>22</v>
      </c>
      <c r="I169" s="69" t="s">
        <v>882</v>
      </c>
      <c r="J169" s="69" t="s">
        <v>320</v>
      </c>
      <c r="K169" s="69">
        <f>IF(J169="syllables",1,IF(J169="trigrams",2,IF(J169="strings",3,IF(J169="visual array",4,IF(J169="characters",5,IF(J169="letters",6,IF(J169="free forms",7,IF(J169="odors",8,IF(J169="words",9,IF(J169="pictures",10,IF(J169="object pictures",11,IF(J169="faces",12,IF(J169="names",13,IF(J169="idioms",14,IF(J169="grades",15,IF(J169="syllable-digit pairs",16,IF(J169="trigram-word pairs",17,IF(J169="word-digit pairs",18,IF(J169="English-Swahili pairs",19,IF(J169="spatial position",20,IF(J169="word pairs",21,IF(J169="word triads",22,IF(J169="generated words",23,IF(J169="word definition pairs",24,IF(J169="math problems",25,IF(J169="famous faces",26,IF(J169="famous names",27,IF(J169="famous voices",28,IF(J169="television programs",29,IF(J169="race horses",30,IF(J169="new vocabulary",31,IF(J169="sentences",32,IF(J169="concepts",33,IF(J169="ad slides",34,IF(J169="scenes",35,IF(J169="famous scenes",36,IF(J169="poems",37,IF(J169="walk",38,IF(J169="faces and events",39,IF(J169="events and names",40,IF(J169="flashbulb",41,IF(J169="stories",42,IF(J169="course material",43,IF(J169="autobiographical",44,IF(J169="novels",45,IF(J169="public events",46,"99"))))))))))))))))))))))))))))))))))))))))))))))</f>
        <v>21</v>
      </c>
      <c r="L169" s="69">
        <f>IF(J169="syllables",1,IF(J169="trigrams",1,IF(J169="strings",1,IF(J169="visual array",1,IF(J169="characters",1,IF(J169="letters",1,IF(J169="free forms",1,IF(J169="odors",2,IF(J169="words",2,IF(J169="pictures",2,IF(J169="object pictures",2,IF(J169="faces",2,IF(J169="names",2,IF(J169="idioms","2",IF(J169="grades",2,IF(J169="syllable-digit pairs",3,IF(J169="trigram-word pairs",3,IF(J169="word-digit pairs",3,IF(J169="English-Swahili pairs",3,IF(J169="spatial position",3,IF(J169="word pairs",4,IF(J169="word triads",4,IF(J169="generated words",4,IF(J169="word definition pairs",4,IF(J169="math problems",4,IF(J169="famous faces",4,IF(J169="famous names",4,IF(J169="famous voices",4,IF(J169="television programs",4,IF(J169="race horses",4,IF(J169="new vocabulary",4,IF(J169="sentences",5,IF(J169="concepts",5,IF(J169="ad slides",5,IF(J169="scenes",5,IF(J169="famous scenes",5,IF(J169="poems",6,IF(J169="walk",6,IF(J169="faces and events",6,IF(J169="events and names",6,IF(J169="flashbulb",7,IF(J169="stories",7,IF(J169="course material",7,IF(J169="autobiographical",7,IF(J169="novels",7,IF(J169="public events",7,"99"))))))))))))))))))))))))))))))))))))))))))))))</f>
        <v>4</v>
      </c>
      <c r="M169" s="69">
        <v>1</v>
      </c>
      <c r="N169" s="69">
        <v>2</v>
      </c>
      <c r="O169" s="69">
        <v>0</v>
      </c>
      <c r="P169" s="69"/>
      <c r="Q169" s="69" t="s">
        <v>65</v>
      </c>
      <c r="R169" s="69">
        <f>IF(Q169="Free Recall",1,IF(Q169="Cued Recall",2,IF(Q169="Recognition",3,IF(Q169="Multiple Choice",4,IF(Q169="Savings",5,IF(Q169="Stem Completion",6,IF(Q169="Fragment Completion",7,IF(Q169="anagram solution",8,IF(Q169="Matching",9,IF(Q169="Problem Solving",10,"99"))))))))))</f>
        <v>2</v>
      </c>
      <c r="S169" s="69" t="s">
        <v>15</v>
      </c>
      <c r="T169" s="92" t="s">
        <v>261</v>
      </c>
      <c r="U169" s="69">
        <f>IF(T169="within",1,0)</f>
        <v>0</v>
      </c>
      <c r="V169" s="92">
        <v>12</v>
      </c>
      <c r="W169" s="69">
        <f>F169*V169</f>
        <v>1500</v>
      </c>
      <c r="X169" s="69">
        <v>5</v>
      </c>
      <c r="Y169" s="87">
        <f>4*60</f>
        <v>240</v>
      </c>
      <c r="Z169" s="69" t="s">
        <v>881</v>
      </c>
      <c r="AA169" s="69">
        <f>60*60*72</f>
        <v>259200</v>
      </c>
      <c r="AB169" s="69" t="str">
        <f>IF(AA169&lt;60,"1",IF(AA169&lt;=43200,"2",IF(AA169&lt;=777600,"3","4")))</f>
        <v>3</v>
      </c>
      <c r="AC169" s="72">
        <f>AVERAGE(AV168:DA168)</f>
        <v>108048</v>
      </c>
      <c r="AD169" s="69" t="str">
        <f>IF(AC169&lt;60,"1",IF(AC169&lt;=43200,"2",IF(AC169&lt;=777600,"3","4")))</f>
        <v>3</v>
      </c>
      <c r="AE169" s="87">
        <f>AA169-Y169</f>
        <v>258960</v>
      </c>
      <c r="AF169" s="88">
        <f>AV169</f>
        <v>0.68333333333333324</v>
      </c>
      <c r="AG169" s="72">
        <f>((AW169-AV169)+(AX169-AW169)+(AY169-AX169)+(AZ169-AY169))/4</f>
        <v>-9.1666666666666646E-2</v>
      </c>
      <c r="AH169" s="4"/>
      <c r="AI169" s="72">
        <f>RSQ(AV169:AZ169,AV168:AZ168)</f>
        <v>0.622019579301198</v>
      </c>
      <c r="AJ169" s="110">
        <f>SLOPE(AV169:AZ169,AV168:AZ168)</f>
        <v>-1.0708973330503304E-6</v>
      </c>
      <c r="AK169" s="72">
        <f>INTERCEPT(AV169:AZ169,AV168:AZ168)</f>
        <v>0.55037498170808874</v>
      </c>
      <c r="AL169" s="72">
        <f>INDEX(LINEST(LN(AV169:AZ169),LN(AV168:AZ168),TRUE,TRUE),3,1)</f>
        <v>0.97863846869272531</v>
      </c>
      <c r="AM169" s="72">
        <f>INDEX(LINEST(LN(AV169:AZ169),LN(AV168:AZ168)),1)</f>
        <v>-0.10518063464026346</v>
      </c>
      <c r="AN169" s="72">
        <f>EXP(INDEX(LINEST(LN(AV169:AZ169),LN(AV168:AZ168)),1,2))</f>
        <v>1.2310463792088222</v>
      </c>
      <c r="AO169" s="89">
        <f>INDEX(LINEST((AV169:AZ169),LN(AV168:AZ168),TRUE,TRUE),3,1)</f>
        <v>0.99099159229876699</v>
      </c>
      <c r="AP169" s="89">
        <f>INDEX(LINEST((AV169:AZ169),LN(AV168:AZ168)),1)</f>
        <v>-5.1385698912878246E-2</v>
      </c>
      <c r="AQ169" s="90">
        <f>INDEX(LINEST(LN(AV169:AZ169),SQRT(AV168:AZ168),TRUE,TRUE),3,1)</f>
        <v>0.89111956347439059</v>
      </c>
      <c r="AR169" s="117">
        <f>INDEX(LINEST(LN(AV169:AZ169),SQRT((AV168:AZ168))),1)</f>
        <v>-1.4307569356511569E-3</v>
      </c>
      <c r="AS169" s="91">
        <f>INDEX(LINEST(1/(AV169:AZ169),1/(SQRT(AV168:AZ168)),TRUE,TRUE),3,1)</f>
        <v>0.78677078837752612</v>
      </c>
      <c r="AT169" s="91">
        <f>INDEX(LINEST(1/(AV169:AZ169),1/SQRT(AV168:AZ168)),1)</f>
        <v>-21.398955349117063</v>
      </c>
      <c r="AU169" s="3"/>
      <c r="AV169" s="73">
        <v>0.68333333333333324</v>
      </c>
      <c r="AW169" s="73">
        <v>0.43333333333333335</v>
      </c>
      <c r="AX169" s="73">
        <v>0.39999999999999997</v>
      </c>
      <c r="AY169" s="73">
        <v>0.34</v>
      </c>
      <c r="AZ169" s="73">
        <v>0.31666666666666665</v>
      </c>
      <c r="BA169" s="53"/>
      <c r="BB169" s="53"/>
      <c r="BC169" s="53"/>
      <c r="BD169" s="53"/>
      <c r="BE169" s="53"/>
      <c r="BF169" s="53"/>
      <c r="BG169" s="53"/>
      <c r="BH169" s="53"/>
      <c r="BI169" s="53"/>
      <c r="BJ169" s="53"/>
      <c r="BK169" s="53"/>
      <c r="BL169" s="53"/>
      <c r="BM169" s="53"/>
      <c r="BN169" s="53"/>
      <c r="BO169" s="53"/>
      <c r="BP169" s="53"/>
      <c r="BQ169" s="53"/>
      <c r="BR169" s="53"/>
      <c r="BS169" s="53"/>
      <c r="BT169" s="53"/>
      <c r="BU169" s="53"/>
      <c r="BV169" s="53"/>
      <c r="BW169" s="53"/>
      <c r="BX169" s="53"/>
      <c r="BY169" s="53"/>
      <c r="BZ169" s="53"/>
      <c r="CA169" s="53"/>
      <c r="CB169" s="53"/>
      <c r="CC169" s="53"/>
      <c r="CD169" s="53"/>
      <c r="CE169" s="53"/>
      <c r="CF169" s="53"/>
      <c r="CG169" s="53"/>
      <c r="CH169" s="53"/>
      <c r="CI169" s="53"/>
      <c r="CJ169" s="53"/>
      <c r="CK169" s="53"/>
      <c r="CL169" s="53"/>
      <c r="CM169" s="53"/>
      <c r="CN169" s="53"/>
      <c r="CO169" s="53"/>
      <c r="CP169" s="53"/>
      <c r="CQ169" s="53"/>
      <c r="CR169" s="1"/>
      <c r="CS169" s="1"/>
      <c r="CT169" s="1"/>
      <c r="CU169" s="1"/>
    </row>
    <row r="170" spans="1:99" s="13" customFormat="1" ht="12" customHeight="1" x14ac:dyDescent="0.2">
      <c r="A170" s="68">
        <v>43951</v>
      </c>
      <c r="B170" s="70"/>
      <c r="C170" s="70"/>
      <c r="D170" s="69"/>
      <c r="E170" s="87"/>
      <c r="F170" s="69"/>
      <c r="G170" s="69"/>
      <c r="H170" s="69"/>
      <c r="I170" s="69"/>
      <c r="J170" s="69"/>
      <c r="K170" s="69"/>
      <c r="L170" s="69"/>
      <c r="M170" s="69"/>
      <c r="N170" s="69"/>
      <c r="O170" s="69"/>
      <c r="P170" s="69"/>
      <c r="Q170" s="69"/>
      <c r="R170" s="69"/>
      <c r="S170" s="69"/>
      <c r="T170" s="92"/>
      <c r="U170" s="69"/>
      <c r="V170" s="92"/>
      <c r="W170" s="69"/>
      <c r="X170" s="69"/>
      <c r="Y170" s="87"/>
      <c r="Z170" s="69"/>
      <c r="AA170" s="69"/>
      <c r="AB170" s="69"/>
      <c r="AC170" s="72"/>
      <c r="AD170" s="69"/>
      <c r="AE170" s="87"/>
      <c r="AF170" s="88"/>
      <c r="AG170" s="72"/>
      <c r="AH170" s="4"/>
      <c r="AI170" s="72"/>
      <c r="AJ170" s="110"/>
      <c r="AK170" s="72"/>
      <c r="AL170" s="72"/>
      <c r="AM170" s="72"/>
      <c r="AN170" s="72"/>
      <c r="AO170" s="89"/>
      <c r="AP170" s="89"/>
      <c r="AQ170" s="90"/>
      <c r="AR170" s="117"/>
      <c r="AS170" s="91"/>
      <c r="AT170" s="91"/>
      <c r="AU170" s="3"/>
      <c r="AV170" s="71">
        <f>60*4</f>
        <v>240</v>
      </c>
      <c r="AW170" s="71">
        <f>60*60*6</f>
        <v>21600</v>
      </c>
      <c r="AX170" s="71">
        <f>60*60*24</f>
        <v>86400</v>
      </c>
      <c r="AY170" s="71">
        <f>60*60*48</f>
        <v>172800</v>
      </c>
      <c r="AZ170" s="71">
        <f>60*60*72</f>
        <v>259200</v>
      </c>
      <c r="BA170" s="25"/>
      <c r="BB170" s="25"/>
      <c r="BC170" s="25"/>
      <c r="BD170" s="53"/>
      <c r="BE170" s="53"/>
      <c r="BF170" s="53"/>
      <c r="BG170" s="53"/>
      <c r="BH170" s="53"/>
      <c r="BI170" s="53"/>
      <c r="BJ170" s="53"/>
      <c r="BK170" s="53"/>
      <c r="BL170" s="53"/>
      <c r="BM170" s="53"/>
      <c r="BN170" s="53"/>
      <c r="BO170" s="53"/>
      <c r="BP170" s="53"/>
      <c r="BQ170" s="53"/>
      <c r="BR170" s="53"/>
      <c r="BS170" s="53"/>
      <c r="BT170" s="53"/>
      <c r="BU170" s="53"/>
      <c r="BV170" s="53"/>
      <c r="BW170" s="53"/>
      <c r="BX170" s="53"/>
      <c r="BY170" s="53"/>
      <c r="BZ170" s="53"/>
      <c r="CA170" s="53"/>
      <c r="CB170" s="53"/>
      <c r="CC170" s="53"/>
      <c r="CD170" s="53"/>
      <c r="CE170" s="53"/>
      <c r="CF170" s="53"/>
      <c r="CG170" s="53"/>
      <c r="CH170" s="53"/>
      <c r="CI170" s="53"/>
      <c r="CJ170" s="53"/>
      <c r="CK170" s="53"/>
      <c r="CL170" s="53"/>
      <c r="CM170" s="53"/>
      <c r="CN170" s="53"/>
      <c r="CO170" s="53"/>
      <c r="CP170" s="53"/>
      <c r="CQ170" s="53"/>
      <c r="CR170" s="1"/>
      <c r="CS170" s="1"/>
      <c r="CT170" s="1"/>
      <c r="CU170" s="1"/>
    </row>
    <row r="171" spans="1:99" s="13" customFormat="1" ht="12" customHeight="1" x14ac:dyDescent="0.2">
      <c r="A171" s="68">
        <v>43951</v>
      </c>
      <c r="B171" s="70" t="s">
        <v>879</v>
      </c>
      <c r="C171" s="70" t="s">
        <v>19</v>
      </c>
      <c r="D171" s="69">
        <v>1954</v>
      </c>
      <c r="E171" s="87">
        <v>1</v>
      </c>
      <c r="F171" s="69">
        <v>25</v>
      </c>
      <c r="G171" s="69">
        <v>5</v>
      </c>
      <c r="H171" s="69" t="s">
        <v>41</v>
      </c>
      <c r="I171" s="69" t="s">
        <v>664</v>
      </c>
      <c r="J171" s="69" t="s">
        <v>320</v>
      </c>
      <c r="K171" s="69">
        <f>IF(J171="syllables",1,IF(J171="trigrams",2,IF(J171="strings",3,IF(J171="visual array",4,IF(J171="characters",5,IF(J171="letters",6,IF(J171="free forms",7,IF(J171="odors",8,IF(J171="words",9,IF(J171="pictures",10,IF(J171="object pictures",11,IF(J171="faces",12,IF(J171="names",13,IF(J171="idioms",14,IF(J171="grades",15,IF(J171="syllable-digit pairs",16,IF(J171="trigram-word pairs",17,IF(J171="word-digit pairs",18,IF(J171="English-Swahili pairs",19,IF(J171="spatial position",20,IF(J171="word pairs",21,IF(J171="word triads",22,IF(J171="generated words",23,IF(J171="word definition pairs",24,IF(J171="math problems",25,IF(J171="famous faces",26,IF(J171="famous names",27,IF(J171="famous voices",28,IF(J171="television programs",29,IF(J171="race horses",30,IF(J171="new vocabulary",31,IF(J171="sentences",32,IF(J171="concepts",33,IF(J171="ad slides",34,IF(J171="scenes",35,IF(J171="famous scenes",36,IF(J171="poems",37,IF(J171="walk",38,IF(J171="faces and events",39,IF(J171="events and names",40,IF(J171="flashbulb",41,IF(J171="stories",42,IF(J171="course material",43,IF(J171="autobiographical",44,IF(J171="novels",45,IF(J171="public events",46,"99"))))))))))))))))))))))))))))))))))))))))))))))</f>
        <v>21</v>
      </c>
      <c r="L171" s="69">
        <f>IF(J171="syllables",1,IF(J171="trigrams",1,IF(J171="strings",1,IF(J171="visual array",1,IF(J171="characters",1,IF(J171="letters",1,IF(J171="free forms",1,IF(J171="odors",2,IF(J171="words",2,IF(J171="pictures",2,IF(J171="object pictures",2,IF(J171="faces",2,IF(J171="names",2,IF(J171="idioms","2",IF(J171="grades",2,IF(J171="syllable-digit pairs",3,IF(J171="trigram-word pairs",3,IF(J171="word-digit pairs",3,IF(J171="English-Swahili pairs",3,IF(J171="spatial position",3,IF(J171="word pairs",4,IF(J171="word triads",4,IF(J171="generated words",4,IF(J171="word definition pairs",4,IF(J171="math problems",4,IF(J171="famous faces",4,IF(J171="famous names",4,IF(J171="famous voices",4,IF(J171="television programs",4,IF(J171="race horses",4,IF(J171="new vocabulary",4,IF(J171="sentences",5,IF(J171="concepts",5,IF(J171="ad slides",5,IF(J171="scenes",5,IF(J171="famous scenes",5,IF(J171="poems",6,IF(J171="walk",6,IF(J171="faces and events",6,IF(J171="events and names",6,IF(J171="flashbulb",7,IF(J171="stories",7,IF(J171="course material",7,IF(J171="autobiographical",7,IF(J171="novels",7,IF(J171="public events",7,"99"))))))))))))))))))))))))))))))))))))))))))))))</f>
        <v>4</v>
      </c>
      <c r="M171" s="69">
        <v>1</v>
      </c>
      <c r="N171" s="69">
        <v>2</v>
      </c>
      <c r="O171" s="69">
        <v>0</v>
      </c>
      <c r="P171" s="69"/>
      <c r="Q171" s="69" t="s">
        <v>65</v>
      </c>
      <c r="R171" s="69">
        <f>IF(Q171="Free Recall",1,IF(Q171="Cued Recall",2,IF(Q171="Recognition",3,IF(Q171="Multiple Choice",4,IF(Q171="Savings",5,IF(Q171="Stem Completion",6,IF(Q171="Fragment Completion",7,IF(Q171="anagram solution",8,IF(Q171="Matching",9,IF(Q171="Problem Solving",10,"99"))))))))))</f>
        <v>2</v>
      </c>
      <c r="S171" s="69" t="s">
        <v>15</v>
      </c>
      <c r="T171" s="92" t="s">
        <v>261</v>
      </c>
      <c r="U171" s="69">
        <f>IF(T171="within",1,0)</f>
        <v>0</v>
      </c>
      <c r="V171" s="92">
        <v>12</v>
      </c>
      <c r="W171" s="69">
        <f>F171*V171</f>
        <v>300</v>
      </c>
      <c r="X171" s="69">
        <v>5</v>
      </c>
      <c r="Y171" s="87">
        <f>4*60</f>
        <v>240</v>
      </c>
      <c r="Z171" s="69" t="s">
        <v>881</v>
      </c>
      <c r="AA171" s="69">
        <f>60*60*72</f>
        <v>259200</v>
      </c>
      <c r="AB171" s="69" t="str">
        <f>IF(AA171&lt;60,"1",IF(AA171&lt;=43200,"2",IF(AA171&lt;=777600,"3","4")))</f>
        <v>3</v>
      </c>
      <c r="AC171" s="72">
        <f>AVERAGE(AV170:DA170)</f>
        <v>108048</v>
      </c>
      <c r="AD171" s="69" t="str">
        <f>IF(AC171&lt;60,"1",IF(AC171&lt;=43200,"2",IF(AC171&lt;=777600,"3","4")))</f>
        <v>3</v>
      </c>
      <c r="AE171" s="87">
        <f>AA171-Y171</f>
        <v>258960</v>
      </c>
      <c r="AF171" s="88">
        <f>AV171</f>
        <v>0.49302759668930835</v>
      </c>
      <c r="AG171" s="93">
        <f>((AW171-AV171)+(AX171-AW171)+(AY171-AX171)+(AZ171-AY171))/4</f>
        <v>4.5656805979118614E-3</v>
      </c>
      <c r="AH171" s="4"/>
      <c r="AI171" s="72">
        <f>RSQ(AV171:AZ171,AV170:AZ170)</f>
        <v>4.6312974609563143E-2</v>
      </c>
      <c r="AJ171" s="110">
        <f>SLOPE(AV171:AZ171,AV170:AZ170)</f>
        <v>-8.7073601357667773E-8</v>
      </c>
      <c r="AK171" s="72">
        <f>INTERCEPT(AV171:AZ171,AV170:AZ170)</f>
        <v>0.51729233890302806</v>
      </c>
      <c r="AL171" s="72">
        <f>INDEX(LINEST(LN(AV171:AZ171),LN(AV170:AZ170),TRUE,TRUE),3,1)</f>
        <v>2.3958795656288784E-3</v>
      </c>
      <c r="AM171" s="72">
        <f>INDEX(LINEST(LN(AV171:AZ171),LN(AV170:AZ170)),1)</f>
        <v>1.4903795859360965E-3</v>
      </c>
      <c r="AN171" s="72">
        <f>EXP(INDEX(LINEST(LN(AV171:AZ171),LN(AV170:AZ170)),1,2))</f>
        <v>0.49868212099504561</v>
      </c>
      <c r="AO171" s="89">
        <f>INDEX(LINEST((AV171:AZ171),LN(AV170:AZ170),TRUE,TRUE),3,1)</f>
        <v>4.6770510407073695E-3</v>
      </c>
      <c r="AP171" s="89">
        <f>INDEX(LINEST((AV171:AZ171),LN(AV170:AZ170)),1)</f>
        <v>1.051919963909046E-3</v>
      </c>
      <c r="AQ171" s="90">
        <f>INDEX(LINEST(LN(AV171:AZ171),SQRT(AV170:AZ170),TRUE,TRUE),3,1)</f>
        <v>1.7552500768181406E-2</v>
      </c>
      <c r="AR171" s="117">
        <f>INDEX(LINEST(LN(AV171:AZ171),SQRT((AV170:AZ170))),1)</f>
        <v>-5.7505201202758514E-5</v>
      </c>
      <c r="AS171" s="91">
        <f>INDEX(LINEST(1/(AV171:AZ171),1/(SQRT(AV170:AZ170)),TRUE,TRUE),3,1)</f>
        <v>1.7734567855168117E-2</v>
      </c>
      <c r="AT171" s="91">
        <f>INDEX(LINEST(1/(AV171:AZ171),1/SQRT(AV170:AZ170)),1)</f>
        <v>0.84007294225621054</v>
      </c>
      <c r="AU171" s="3"/>
      <c r="AV171" s="73">
        <v>0.49302759668930835</v>
      </c>
      <c r="AW171" s="73">
        <v>0.51910352257304326</v>
      </c>
      <c r="AX171" s="73">
        <v>0.56829602892786502</v>
      </c>
      <c r="AY171" s="73">
        <v>0.44770358484650163</v>
      </c>
      <c r="AZ171" s="73">
        <v>0.51129031908095579</v>
      </c>
      <c r="BA171" s="53"/>
      <c r="BB171" s="53"/>
      <c r="BC171" s="53"/>
      <c r="BD171" s="53"/>
      <c r="BE171" s="53"/>
      <c r="BF171" s="53"/>
      <c r="BG171" s="53"/>
      <c r="BH171" s="53"/>
      <c r="BI171" s="53"/>
      <c r="BJ171" s="53"/>
      <c r="BK171" s="53"/>
      <c r="BL171" s="53"/>
      <c r="BM171" s="53"/>
      <c r="BN171" s="53"/>
      <c r="BO171" s="53"/>
      <c r="BP171" s="53"/>
      <c r="BQ171" s="53"/>
      <c r="BR171" s="53"/>
      <c r="BS171" s="53"/>
      <c r="BT171" s="53"/>
      <c r="BU171" s="53"/>
      <c r="BV171" s="53"/>
      <c r="BW171" s="53"/>
      <c r="BX171" s="53"/>
      <c r="BY171" s="53"/>
      <c r="BZ171" s="53"/>
      <c r="CA171" s="53"/>
      <c r="CB171" s="53"/>
      <c r="CC171" s="53"/>
      <c r="CD171" s="53"/>
      <c r="CE171" s="53"/>
      <c r="CF171" s="53"/>
      <c r="CG171" s="53"/>
      <c r="CH171" s="53"/>
      <c r="CI171" s="53"/>
      <c r="CJ171" s="53"/>
      <c r="CK171" s="53"/>
      <c r="CL171" s="53"/>
      <c r="CM171" s="53"/>
      <c r="CN171" s="53"/>
      <c r="CO171" s="53"/>
      <c r="CP171" s="53"/>
      <c r="CQ171" s="53"/>
      <c r="CR171" s="1"/>
      <c r="CS171" s="1"/>
      <c r="CT171" s="1"/>
      <c r="CU171" s="1"/>
    </row>
    <row r="172" spans="1:99" s="13" customFormat="1" ht="12" customHeight="1" x14ac:dyDescent="0.2">
      <c r="A172" s="65">
        <v>43648</v>
      </c>
      <c r="B172" s="185"/>
      <c r="C172" s="1"/>
      <c r="D172" s="60"/>
      <c r="E172" s="76"/>
      <c r="F172" s="60"/>
      <c r="G172" s="60"/>
      <c r="H172" s="60"/>
      <c r="I172" s="60"/>
      <c r="J172" s="60"/>
      <c r="K172" s="64"/>
      <c r="L172" s="64"/>
      <c r="M172" s="60"/>
      <c r="N172" s="60"/>
      <c r="O172" s="60"/>
      <c r="P172" s="60"/>
      <c r="Q172" s="60"/>
      <c r="R172" s="60"/>
      <c r="S172" s="60"/>
      <c r="T172" s="60"/>
      <c r="U172" s="60"/>
      <c r="V172" s="60"/>
      <c r="W172" s="60"/>
      <c r="X172" s="60"/>
      <c r="Y172" s="76"/>
      <c r="Z172" s="60"/>
      <c r="AA172" s="60"/>
      <c r="AB172" s="60"/>
      <c r="AC172" s="60"/>
      <c r="AD172" s="60"/>
      <c r="AE172" s="60"/>
      <c r="AF172" s="80"/>
      <c r="AG172" s="56"/>
      <c r="AH172" s="4"/>
      <c r="AI172" s="56"/>
      <c r="AJ172" s="109"/>
      <c r="AK172" s="56"/>
      <c r="AL172" s="56"/>
      <c r="AM172" s="56"/>
      <c r="AN172" s="56"/>
      <c r="AO172" s="56"/>
      <c r="AP172" s="56"/>
      <c r="AQ172" s="82"/>
      <c r="AR172" s="115"/>
      <c r="AS172" s="82"/>
      <c r="AT172" s="82"/>
      <c r="AU172" s="3"/>
      <c r="AV172" s="1">
        <f>0.5*365*(24*(3600))</f>
        <v>15768000</v>
      </c>
      <c r="AW172" s="1">
        <f>1*365*(24*(3600))</f>
        <v>31536000</v>
      </c>
      <c r="AX172" s="1">
        <f>1.5*365*(24*(3600))</f>
        <v>47304000</v>
      </c>
      <c r="AY172" s="1">
        <f>2*365*(24*(3600))</f>
        <v>63072000</v>
      </c>
      <c r="AZ172" s="1">
        <f>2.5*365*(24*(3600))</f>
        <v>78840000</v>
      </c>
      <c r="BA172" s="1">
        <f>3*365*(24*(3600))</f>
        <v>94608000</v>
      </c>
      <c r="BB172" s="1">
        <f>3.5*365*(24*(3600))</f>
        <v>110376000</v>
      </c>
      <c r="BC172" s="1">
        <f>4*365*(24*(3600))</f>
        <v>126144000</v>
      </c>
      <c r="BD172" s="1">
        <f>4.5*365*(24*(3600))</f>
        <v>141912000</v>
      </c>
      <c r="BE172" s="1">
        <f>5*365*(24*(3600))</f>
        <v>157680000</v>
      </c>
      <c r="BF172" s="53"/>
      <c r="BG172" s="53"/>
      <c r="BH172" s="53"/>
      <c r="BI172" s="53"/>
      <c r="BJ172" s="53"/>
      <c r="BK172" s="53"/>
      <c r="BL172" s="53"/>
      <c r="BM172" s="53"/>
      <c r="BN172" s="53"/>
      <c r="BO172" s="53"/>
      <c r="BP172" s="53"/>
      <c r="BQ172" s="53"/>
      <c r="BR172" s="53"/>
      <c r="BS172" s="53"/>
      <c r="BT172" s="53"/>
      <c r="BU172" s="53"/>
      <c r="BV172" s="53"/>
      <c r="BW172" s="53"/>
      <c r="BX172" s="53"/>
      <c r="BY172" s="53"/>
      <c r="BZ172" s="53"/>
      <c r="CA172" s="53"/>
      <c r="CB172" s="53"/>
      <c r="CC172" s="53"/>
      <c r="CD172" s="53"/>
      <c r="CE172" s="53"/>
      <c r="CF172" s="53"/>
      <c r="CG172" s="53"/>
      <c r="CH172" s="53"/>
      <c r="CI172" s="53"/>
      <c r="CJ172" s="53"/>
      <c r="CK172" s="53"/>
      <c r="CL172" s="53"/>
      <c r="CM172" s="53"/>
      <c r="CN172" s="53"/>
      <c r="CO172" s="53"/>
      <c r="CP172" s="53"/>
      <c r="CQ172" s="53"/>
      <c r="CR172" s="1"/>
      <c r="CS172" s="1"/>
      <c r="CT172" s="1"/>
      <c r="CU172" s="1"/>
    </row>
    <row r="173" spans="1:99" s="13" customFormat="1" ht="12" customHeight="1" x14ac:dyDescent="0.2">
      <c r="A173" s="65">
        <v>43648</v>
      </c>
      <c r="B173" s="1" t="s">
        <v>322</v>
      </c>
      <c r="C173" s="1" t="s">
        <v>307</v>
      </c>
      <c r="D173" s="60">
        <v>1992</v>
      </c>
      <c r="E173" s="76">
        <v>1</v>
      </c>
      <c r="F173" s="60">
        <v>8</v>
      </c>
      <c r="G173" s="60">
        <v>8</v>
      </c>
      <c r="H173" s="60" t="s">
        <v>50</v>
      </c>
      <c r="I173" s="60"/>
      <c r="J173" s="60" t="s">
        <v>622</v>
      </c>
      <c r="K173" s="60">
        <f>IF(J173="syllables",1,IF(J173="trigrams",2,IF(J173="strings",3,IF(J173="visual array",4,IF(J173="characters",5,IF(J173="letters",6,IF(J173="free forms",7,IF(J173="odors",8,IF(J173="words",9,IF(J173="pictures",10,IF(J173="object pictures",11,IF(J173="faces",12,IF(J173="names",13,IF(J173="idioms",14,IF(J173="grades",15,IF(J173="syllable-digit pairs",16,IF(J173="trigram-word pairs",17,IF(J173="word-digit pairs",18,IF(J173="English-Swahili pairs",19,IF(J173="spatial position",20,IF(J173="word pairs",21,IF(J173="word triads",22,IF(J173="generated words",23,IF(J173="word definition pairs",24,IF(J173="math problems",25,IF(J173="famous faces",26,IF(J173="famous names",27,IF(J173="famous voices",28,IF(J173="television programs",29,IF(J173="race horses",30,IF(J173="new vocabulary",31,IF(J173="sentences",32,IF(J173="concepts",33,IF(J173="ad slides",34,IF(J173="scenes",35,IF(J173="famous scenes",36,IF(J173="poems",37,IF(J173="walk",38,IF(J173="faces and events",39,IF(J173="events and names",40,IF(J173="flashbulb",41,IF(J173="stories",42,IF(J173="course material",43,IF(J173="autobiographical",44,IF(J173="novels",45,IF(J173="public events",46,"99"))))))))))))))))))))))))))))))))))))))))))))))</f>
        <v>44</v>
      </c>
      <c r="L173" s="60">
        <f>IF(J173="syllables",1,IF(J173="trigrams",1,IF(J173="strings",1,IF(J173="visual array",1,IF(J173="characters",1,IF(J173="letters",1,IF(J173="free forms",1,IF(J173="odors",2,IF(J173="words",2,IF(J173="pictures",2,IF(J173="object pictures",2,IF(J173="faces",2,IF(J173="names",2,IF(J173="idioms","2",IF(J173="grades",2,IF(J173="syllable-digit pairs",3,IF(J173="trigram-word pairs",3,IF(J173="word-digit pairs",3,IF(J173="English-Swahili pairs",3,IF(J173="spatial position",3,IF(J173="word pairs",4,IF(J173="word triads",4,IF(J173="generated words",4,IF(J173="word definition pairs",4,IF(J173="math problems",4,IF(J173="famous faces",4,IF(J173="famous names",4,IF(J173="famous voices",4,IF(J173="television programs",4,IF(J173="race horses",4,IF(J173="new vocabulary",4,IF(J173="sentences",5,IF(J173="concepts",5,IF(J173="ad slides",5,IF(J173="scenes",5,IF(J173="famous scenes",5,IF(J173="poems",6,IF(J173="walk",6,IF(J173="faces and events",6,IF(J173="events and names",6,IF(J173="flashbulb",7,IF(J173="stories",7,IF(J173="course material",7,IF(J173="autobiographical",7,IF(J173="novels",7,IF(J173="public events",7,"99"))))))))))))))))))))))))))))))))))))))))))))))</f>
        <v>7</v>
      </c>
      <c r="M173" s="60">
        <v>0</v>
      </c>
      <c r="N173" s="60">
        <v>2</v>
      </c>
      <c r="O173" s="60">
        <v>0</v>
      </c>
      <c r="P173" s="60"/>
      <c r="Q173" s="60" t="s">
        <v>65</v>
      </c>
      <c r="R173" s="60">
        <f>IF(Q173="Free Recall",1,IF(Q173="Cued Recall",2,IF(Q173="Recognition",3,IF(Q173="Multiple Choice",4,IF(Q173="Savings",5,IF(Q173="Stem Completion",6,IF(Q173="Fragment Completion",7,IF(Q173="anagram solution",8,IF(Q173="Matching",9,IF(Q173="Problem Solving",10,"99"))))))))))</f>
        <v>2</v>
      </c>
      <c r="S173" s="60" t="s">
        <v>49</v>
      </c>
      <c r="T173" s="59" t="s">
        <v>581</v>
      </c>
      <c r="U173" s="60">
        <f>IF(T173="within",1,0)</f>
        <v>1</v>
      </c>
      <c r="V173" s="59">
        <v>54.25</v>
      </c>
      <c r="W173" s="60">
        <f>F173*V173</f>
        <v>434</v>
      </c>
      <c r="X173" s="60">
        <v>10</v>
      </c>
      <c r="Y173" s="76">
        <f>AV172</f>
        <v>15768000</v>
      </c>
      <c r="Z173" s="60" t="s">
        <v>319</v>
      </c>
      <c r="AA173" s="60">
        <f>5*365*(24*(3600))</f>
        <v>157680000</v>
      </c>
      <c r="AB173" s="60" t="str">
        <f>IF(AA173&lt;60,"1",IF(AA173&lt;=43200,"2",IF(AA173&lt;=777600,"3","4")))</f>
        <v>4</v>
      </c>
      <c r="AC173" s="56">
        <f>AVERAGE(AV172:DA172)</f>
        <v>86724000</v>
      </c>
      <c r="AD173" s="60" t="str">
        <f>IF(AC173&lt;60,"1",IF(AC173&lt;=43200,"2",IF(AC173&lt;=777600,"3","4")))</f>
        <v>4</v>
      </c>
      <c r="AE173" s="76">
        <f>AA173-Y173</f>
        <v>141912000</v>
      </c>
      <c r="AF173" s="80">
        <f>AV173</f>
        <v>0.97</v>
      </c>
      <c r="AG173" s="56">
        <f>((AW173-AV173)+(AX173-AW173)+(AY173-AX173)+(AZ173-AY173)+(BA173-AZ173)+(BB173-BA173)+(BC173-BB173)+(BD173-BC173)+(BE173-BD173))/9</f>
        <v>-3.2222222222222215E-2</v>
      </c>
      <c r="AH173" s="4"/>
      <c r="AI173" s="56">
        <f>RSQ(AV173:BE173,AV172:BE172)</f>
        <v>0.62564528669583197</v>
      </c>
      <c r="AJ173" s="109">
        <f>SLOPE(AV173:BE173,AV172:BE172)</f>
        <v>-1.6642836277539474E-9</v>
      </c>
      <c r="AK173" s="56">
        <f>INTERCEPT(AV173:BE173,AV172:BE172)</f>
        <v>0.93733333333333324</v>
      </c>
      <c r="AL173" s="56">
        <f>INDEX(LINEST(LN(AV173:BE173),LN(AV172:BE172),TRUE,TRUE),3,1)</f>
        <v>0.67829237094393469</v>
      </c>
      <c r="AM173" s="56">
        <f>INDEX(LINEST(LN(AV173:BE173),LN(AV172:BE172)),1)</f>
        <v>-0.13838251656515202</v>
      </c>
      <c r="AN173" s="56">
        <f>EXP(INDEX(LINEST(LN(AV173:BE173),LN(AV172:BE172)),1,2))</f>
        <v>9.6177980577957563</v>
      </c>
      <c r="AO173" s="82">
        <f>INDEX(LINEST((AV173:BE173),LN(AV172:BE172),TRUE,TRUE),3,1)</f>
        <v>0.70030216484812602</v>
      </c>
      <c r="AP173" s="82">
        <f>INDEX(LINEST((AV173:BE173),LN(AV172:BE172)),1)</f>
        <v>-0.11467538397318111</v>
      </c>
      <c r="AQ173" s="83">
        <f>INDEX(LINEST(LN(AV173:BE173),SQRT(AV172:BE172),TRUE,TRUE),3,1)</f>
        <v>0.66161899330594964</v>
      </c>
      <c r="AR173" s="116">
        <f>INDEX(LINEST(LN(AV173:BE173),SQRT((AV172:BE172))),1)</f>
        <v>-3.5609971950180791E-5</v>
      </c>
      <c r="AS173" s="84">
        <f>INDEX(LINEST(1/(AV173:BE173),1/(SQRT(AV172:BE172)),TRUE,TRUE),3,1)</f>
        <v>0.62974442877013503</v>
      </c>
      <c r="AT173" s="84">
        <f>INDEX(LINEST(1/(AV173:BE173),1/SQRT(AV172:BE172)),1)</f>
        <v>-2259.3925534335681</v>
      </c>
      <c r="AU173" s="3"/>
      <c r="AV173" s="53">
        <v>0.97</v>
      </c>
      <c r="AW173" s="53">
        <v>0.94</v>
      </c>
      <c r="AX173" s="53">
        <v>0.72</v>
      </c>
      <c r="AY173" s="53">
        <v>0.81</v>
      </c>
      <c r="AZ173" s="53">
        <v>0.82</v>
      </c>
      <c r="BA173" s="53">
        <v>0.83</v>
      </c>
      <c r="BB173" s="53">
        <v>0.71</v>
      </c>
      <c r="BC173" s="53">
        <v>0.7</v>
      </c>
      <c r="BD173" s="53">
        <v>0.75</v>
      </c>
      <c r="BE173" s="53">
        <v>0.68</v>
      </c>
      <c r="BF173" s="53"/>
      <c r="BG173" s="53"/>
      <c r="BH173" s="53"/>
      <c r="BI173" s="53"/>
      <c r="BJ173" s="53"/>
      <c r="BK173" s="53"/>
      <c r="BL173" s="53"/>
      <c r="BM173" s="53"/>
      <c r="BN173" s="53"/>
      <c r="BO173" s="53"/>
      <c r="BP173" s="53"/>
      <c r="BQ173" s="53"/>
      <c r="BR173" s="53"/>
      <c r="BS173" s="53"/>
      <c r="BT173" s="53"/>
      <c r="BU173" s="53"/>
      <c r="BV173" s="53"/>
      <c r="BW173" s="53"/>
      <c r="BX173" s="53"/>
      <c r="BY173" s="53"/>
      <c r="BZ173" s="53"/>
      <c r="CA173" s="53"/>
      <c r="CB173" s="53"/>
      <c r="CC173" s="53"/>
      <c r="CD173" s="53"/>
      <c r="CE173" s="53"/>
      <c r="CF173" s="53"/>
      <c r="CG173" s="53"/>
      <c r="CH173" s="53"/>
      <c r="CI173" s="53"/>
      <c r="CJ173" s="53"/>
      <c r="CK173" s="53"/>
      <c r="CL173" s="53"/>
      <c r="CM173" s="53"/>
      <c r="CN173" s="53"/>
      <c r="CO173" s="53"/>
      <c r="CP173" s="53"/>
      <c r="CQ173" s="53"/>
      <c r="CR173" s="1"/>
      <c r="CS173" s="1"/>
      <c r="CT173" s="1"/>
      <c r="CU173" s="1"/>
    </row>
    <row r="174" spans="1:99" s="13" customFormat="1" ht="12" customHeight="1" x14ac:dyDescent="0.2">
      <c r="A174" s="68">
        <v>43509</v>
      </c>
      <c r="B174" s="70"/>
      <c r="C174" s="70"/>
      <c r="D174" s="69"/>
      <c r="E174" s="87"/>
      <c r="F174" s="69"/>
      <c r="G174" s="69"/>
      <c r="H174" s="69"/>
      <c r="I174" s="69"/>
      <c r="J174" s="69"/>
      <c r="K174" s="107"/>
      <c r="L174" s="107"/>
      <c r="M174" s="69"/>
      <c r="N174" s="69"/>
      <c r="O174" s="69"/>
      <c r="P174" s="69"/>
      <c r="Q174" s="69"/>
      <c r="R174" s="69"/>
      <c r="S174" s="69"/>
      <c r="T174" s="69"/>
      <c r="U174" s="69"/>
      <c r="V174" s="69"/>
      <c r="W174" s="69"/>
      <c r="X174" s="69"/>
      <c r="Y174" s="87"/>
      <c r="Z174" s="69"/>
      <c r="AA174" s="69"/>
      <c r="AB174" s="69"/>
      <c r="AC174" s="69"/>
      <c r="AD174" s="69"/>
      <c r="AE174" s="69"/>
      <c r="AF174" s="88"/>
      <c r="AG174" s="72"/>
      <c r="AH174" s="4"/>
      <c r="AI174" s="72"/>
      <c r="AJ174" s="110"/>
      <c r="AK174" s="72"/>
      <c r="AL174" s="72"/>
      <c r="AM174" s="72"/>
      <c r="AN174" s="72"/>
      <c r="AO174" s="72"/>
      <c r="AP174" s="72"/>
      <c r="AQ174" s="72"/>
      <c r="AR174" s="110"/>
      <c r="AS174" s="72"/>
      <c r="AT174" s="72"/>
      <c r="AU174" s="4"/>
      <c r="AV174" s="71">
        <f>(4*100)/2</f>
        <v>200</v>
      </c>
      <c r="AW174" s="71">
        <f>7*24*60*60*1</f>
        <v>604800</v>
      </c>
      <c r="AX174" s="71">
        <f>7*24*60*60*2</f>
        <v>1209600</v>
      </c>
      <c r="AY174" s="71">
        <f>7*24*60*60*3</f>
        <v>1814400</v>
      </c>
      <c r="AZ174" s="71">
        <f>7*24*60*60*4</f>
        <v>2419200</v>
      </c>
      <c r="BA174" s="53" t="s">
        <v>507</v>
      </c>
      <c r="BB174" s="53"/>
      <c r="BC174" s="53"/>
      <c r="BD174" s="53"/>
      <c r="BE174" s="53"/>
      <c r="BF174" s="53"/>
      <c r="BG174" s="53"/>
      <c r="BH174" s="53"/>
      <c r="BI174" s="53"/>
      <c r="BJ174" s="53"/>
      <c r="BK174" s="53"/>
      <c r="BL174" s="53"/>
      <c r="BM174" s="53"/>
      <c r="BN174" s="53"/>
      <c r="BO174" s="53"/>
      <c r="BP174" s="53"/>
      <c r="BQ174" s="53"/>
      <c r="BR174" s="53"/>
      <c r="BS174" s="53"/>
      <c r="BT174" s="53"/>
      <c r="BU174" s="53"/>
      <c r="BV174" s="53"/>
      <c r="BW174" s="53"/>
      <c r="BX174" s="53"/>
      <c r="BY174" s="53"/>
      <c r="BZ174" s="53"/>
      <c r="CA174" s="53"/>
      <c r="CB174" s="53"/>
      <c r="CC174" s="53"/>
      <c r="CD174" s="53"/>
      <c r="CE174" s="53"/>
      <c r="CF174" s="53"/>
      <c r="CG174" s="53"/>
      <c r="CH174" s="53"/>
      <c r="CI174" s="53"/>
      <c r="CJ174" s="53"/>
      <c r="CK174" s="53"/>
      <c r="CL174" s="53"/>
      <c r="CM174" s="53"/>
      <c r="CN174" s="53"/>
      <c r="CO174" s="53"/>
      <c r="CP174" s="53"/>
      <c r="CQ174" s="53"/>
      <c r="CR174" s="1"/>
      <c r="CS174" s="1"/>
      <c r="CT174" s="1"/>
      <c r="CU174" s="1"/>
    </row>
    <row r="175" spans="1:99" s="13" customFormat="1" ht="12" customHeight="1" x14ac:dyDescent="0.2">
      <c r="A175" s="68">
        <v>43509</v>
      </c>
      <c r="B175" s="70" t="s">
        <v>141</v>
      </c>
      <c r="C175" s="70" t="s">
        <v>142</v>
      </c>
      <c r="D175" s="69">
        <v>1925</v>
      </c>
      <c r="E175" s="87">
        <v>1</v>
      </c>
      <c r="F175" s="69">
        <v>58</v>
      </c>
      <c r="G175" s="69">
        <v>58</v>
      </c>
      <c r="H175" s="69" t="s">
        <v>22</v>
      </c>
      <c r="I175" s="69" t="s">
        <v>641</v>
      </c>
      <c r="J175" s="69" t="s">
        <v>320</v>
      </c>
      <c r="K175" s="69">
        <f>IF(J175="syllables",1,IF(J175="trigrams",2,IF(J175="strings",3,IF(J175="visual array",4,IF(J175="characters",5,IF(J175="letters",6,IF(J175="free forms",7,IF(J175="odors",8,IF(J175="words",9,IF(J175="pictures",10,IF(J175="object pictures",11,IF(J175="faces",12,IF(J175="names",13,IF(J175="idioms",14,IF(J175="grades",15,IF(J175="syllable-digit pairs",16,IF(J175="trigram-word pairs",17,IF(J175="word-digit pairs",18,IF(J175="English-Swahili pairs",19,IF(J175="spatial position",20,IF(J175="word pairs",21,IF(J175="word triads",22,IF(J175="generated words",23,IF(J175="word definition pairs",24,IF(J175="math problems",25,IF(J175="famous faces",26,IF(J175="famous names",27,IF(J175="famous voices",28,IF(J175="television programs",29,IF(J175="race horses",30,IF(J175="new vocabulary",31,IF(J175="sentences",32,IF(J175="concepts",33,IF(J175="ad slides",34,IF(J175="scenes",35,IF(J175="famous scenes",36,IF(J175="poems",37,IF(J175="walk",38,IF(J175="faces and events",39,IF(J175="events and names",40,IF(J175="flashbulb",41,IF(J175="stories",42,IF(J175="course material",43,IF(J175="autobiographical",44,IF(J175="novels",45,IF(J175="public events",46,"99"))))))))))))))))))))))))))))))))))))))))))))))</f>
        <v>21</v>
      </c>
      <c r="L175" s="69">
        <f>IF(J175="syllables",1,IF(J175="trigrams",1,IF(J175="strings",1,IF(J175="visual array",1,IF(J175="characters",1,IF(J175="letters",1,IF(J175="free forms",1,IF(J175="odors",2,IF(J175="words",2,IF(J175="pictures",2,IF(J175="object pictures",2,IF(J175="faces",2,IF(J175="names",2,IF(J175="idioms","2",IF(J175="grades",2,IF(J175="syllable-digit pairs",3,IF(J175="trigram-word pairs",3,IF(J175="word-digit pairs",3,IF(J175="English-Swahili pairs",3,IF(J175="spatial position",3,IF(J175="word pairs",4,IF(J175="word triads",4,IF(J175="generated words",4,IF(J175="word definition pairs",4,IF(J175="math problems",4,IF(J175="famous faces",4,IF(J175="famous names",4,IF(J175="famous voices",4,IF(J175="television programs",4,IF(J175="race horses",4,IF(J175="new vocabulary",4,IF(J175="sentences",5,IF(J175="concepts",5,IF(J175="ad slides",5,IF(J175="scenes",5,IF(J175="famous scenes",5,IF(J175="poems",6,IF(J175="walk",6,IF(J175="faces and events",6,IF(J175="events and names",6,IF(J175="flashbulb",7,IF(J175="stories",7,IF(J175="course material",7,IF(J175="autobiographical",7,IF(J175="novels",7,IF(J175="public events",7,"99"))))))))))))))))))))))))))))))))))))))))))))))</f>
        <v>4</v>
      </c>
      <c r="M175" s="69">
        <v>1</v>
      </c>
      <c r="N175" s="69">
        <v>2</v>
      </c>
      <c r="O175" s="69">
        <v>0</v>
      </c>
      <c r="P175" s="69"/>
      <c r="Q175" s="69" t="s">
        <v>174</v>
      </c>
      <c r="R175" s="69">
        <f>IF(Q175="Free Recall",1,IF(Q175="Cued Recall",2,IF(Q175="Recognition",3,IF(Q175="Multiple Choice",4,IF(Q175="Savings",5,IF(Q175="Stem Completion",6,IF(Q175="Fragment Completion",7,IF(Q175="anagram solution",8,IF(Q175="Matching",9,IF(Q175="Problem Solving",10,"99"))))))))))</f>
        <v>1</v>
      </c>
      <c r="S175" s="69" t="s">
        <v>234</v>
      </c>
      <c r="T175" s="92" t="s">
        <v>581</v>
      </c>
      <c r="U175" s="69">
        <f>IF(T175="within",1,0)</f>
        <v>1</v>
      </c>
      <c r="V175" s="92">
        <v>20</v>
      </c>
      <c r="W175" s="69">
        <f>F175*V175</f>
        <v>1160</v>
      </c>
      <c r="X175" s="69">
        <v>5</v>
      </c>
      <c r="Y175" s="87">
        <f>AV174</f>
        <v>200</v>
      </c>
      <c r="Z175" s="69" t="s">
        <v>140</v>
      </c>
      <c r="AA175" s="69">
        <v>2419200</v>
      </c>
      <c r="AB175" s="69" t="str">
        <f>IF(AA175&lt;60,"1",IF(AA175&lt;=43200,"2",IF(AA175&lt;=777600,"3","4")))</f>
        <v>4</v>
      </c>
      <c r="AC175" s="72">
        <f>AVERAGE(AV174:DA174)</f>
        <v>1209640</v>
      </c>
      <c r="AD175" s="69" t="str">
        <f>IF(AC175&lt;60,"1",IF(AC175&lt;=43200,"2",IF(AC175&lt;=777600,"3","4")))</f>
        <v>4</v>
      </c>
      <c r="AE175" s="87">
        <f>AA175-Y175</f>
        <v>2419000</v>
      </c>
      <c r="AF175" s="88">
        <f>AV175</f>
        <v>0.43</v>
      </c>
      <c r="AG175" s="72">
        <f>((AW175-AV175)+(AX175-AW175)+(AY175-AX175)+(AZ175-AY175))/4</f>
        <v>-0.10249999999999999</v>
      </c>
      <c r="AH175" s="4"/>
      <c r="AI175" s="72">
        <f>RSQ(AV175:AZ175,AV174:AZ174)</f>
        <v>0.58997282221218716</v>
      </c>
      <c r="AJ175" s="110">
        <f>SLOPE(AV175:AZ175,AV174:AZ174)</f>
        <v>-1.4385084562420381E-7</v>
      </c>
      <c r="AK175" s="72">
        <f>INTERCEPT(AV175:AZ175,AV174:AZ174)</f>
        <v>0.2860077369008619</v>
      </c>
      <c r="AL175" s="72">
        <f>INDEX(LINEST(LN(AV175:AZ175),LN(AV174:AZ174),TRUE,TRUE),3,1)</f>
        <v>0.90981219162216187</v>
      </c>
      <c r="AM175" s="72">
        <f>INDEX(LINEST(LN(AV175:AZ175),LN(AV174:AZ174)),1)</f>
        <v>-0.32312839514614783</v>
      </c>
      <c r="AN175" s="72">
        <f>EXP(INDEX(LINEST(LN(AV175:AZ175),LN(AV174:AZ174)),1,2))</f>
        <v>2.5632818385814997</v>
      </c>
      <c r="AO175" s="89">
        <f>INDEX(LINEST((AV175:AZ175),LN(AV174:AZ174),TRUE,TRUE),3,1)</f>
        <v>0.99613225730283173</v>
      </c>
      <c r="AP175" s="89">
        <f>INDEX(LINEST((AV175:AZ175),LN(AV174:AZ174)),1)</f>
        <v>-4.4979428887124459E-2</v>
      </c>
      <c r="AQ175" s="90">
        <f>INDEX(LINEST(LN(AV175:AZ175),SQRT(AV174:AZ174),TRUE,TRUE),3,1)</f>
        <v>0.92818290965383776</v>
      </c>
      <c r="AR175" s="117">
        <f>INDEX(LINEST(LN(AV175:AZ175),SQRT((AV174:AZ174))),1)</f>
        <v>-2.1528139169105223E-3</v>
      </c>
      <c r="AS175" s="91">
        <f>INDEX(LINEST(1/(AV175:AZ175),1/(SQRT(AV174:AZ174)),TRUE,TRUE),3,1)</f>
        <v>0.56379467675011896</v>
      </c>
      <c r="AT175" s="91">
        <f>INDEX(LINEST(1/(AV175:AZ175),1/SQRT(AV174:AZ174)),1)</f>
        <v>-558.51885796177191</v>
      </c>
      <c r="AU175" s="3"/>
      <c r="AV175" s="73">
        <v>0.43</v>
      </c>
      <c r="AW175" s="73">
        <v>7.0000000000000007E-2</v>
      </c>
      <c r="AX175" s="73">
        <v>0.02</v>
      </c>
      <c r="AY175" s="73">
        <v>0.02</v>
      </c>
      <c r="AZ175" s="73">
        <v>0.02</v>
      </c>
      <c r="BA175" s="53"/>
      <c r="BB175" s="53"/>
      <c r="BC175" s="53"/>
      <c r="BD175" s="53"/>
      <c r="BE175" s="53"/>
      <c r="BF175" s="53"/>
      <c r="BG175" s="53"/>
      <c r="BH175" s="53"/>
      <c r="BI175" s="53"/>
      <c r="BJ175" s="53"/>
      <c r="BK175" s="53"/>
      <c r="BL175" s="53"/>
      <c r="BM175" s="53"/>
      <c r="BN175" s="53"/>
      <c r="BO175" s="53"/>
      <c r="BP175" s="53"/>
      <c r="BQ175" s="53"/>
      <c r="BR175" s="53"/>
      <c r="BS175" s="53"/>
      <c r="BT175" s="53"/>
      <c r="BU175" s="53"/>
      <c r="BV175" s="53"/>
      <c r="BW175" s="53"/>
      <c r="BX175" s="53"/>
      <c r="BY175" s="53"/>
      <c r="BZ175" s="53"/>
      <c r="CA175" s="53"/>
      <c r="CB175" s="53"/>
      <c r="CC175" s="53"/>
      <c r="CD175" s="53"/>
      <c r="CE175" s="53"/>
      <c r="CF175" s="53"/>
      <c r="CG175" s="53"/>
      <c r="CH175" s="53"/>
      <c r="CI175" s="53"/>
      <c r="CJ175" s="53"/>
      <c r="CK175" s="53"/>
      <c r="CL175" s="53"/>
      <c r="CM175" s="53"/>
      <c r="CN175" s="53"/>
      <c r="CO175" s="53"/>
      <c r="CP175" s="53"/>
      <c r="CQ175" s="53"/>
      <c r="CR175" s="1"/>
      <c r="CS175" s="1"/>
      <c r="CT175" s="1"/>
      <c r="CU175" s="1"/>
    </row>
    <row r="176" spans="1:99" s="13" customFormat="1" ht="12" customHeight="1" x14ac:dyDescent="0.2">
      <c r="A176" s="68">
        <v>43509</v>
      </c>
      <c r="B176" s="70"/>
      <c r="C176" s="70"/>
      <c r="D176" s="69"/>
      <c r="E176" s="87"/>
      <c r="F176" s="69"/>
      <c r="G176" s="69"/>
      <c r="H176" s="69"/>
      <c r="I176" s="69"/>
      <c r="J176" s="69"/>
      <c r="K176" s="107"/>
      <c r="L176" s="107"/>
      <c r="M176" s="69"/>
      <c r="N176" s="69"/>
      <c r="O176" s="69"/>
      <c r="P176" s="69"/>
      <c r="Q176" s="69"/>
      <c r="R176" s="69"/>
      <c r="S176" s="69"/>
      <c r="T176" s="69"/>
      <c r="U176" s="69"/>
      <c r="V176" s="69"/>
      <c r="W176" s="69"/>
      <c r="X176" s="69"/>
      <c r="Y176" s="87"/>
      <c r="Z176" s="69"/>
      <c r="AA176" s="69"/>
      <c r="AB176" s="69"/>
      <c r="AC176" s="69"/>
      <c r="AD176" s="69"/>
      <c r="AE176" s="69"/>
      <c r="AF176" s="88"/>
      <c r="AG176" s="72"/>
      <c r="AH176" s="4"/>
      <c r="AI176" s="72"/>
      <c r="AJ176" s="110"/>
      <c r="AK176" s="72"/>
      <c r="AL176" s="72"/>
      <c r="AM176" s="72"/>
      <c r="AN176" s="72"/>
      <c r="AO176" s="72"/>
      <c r="AP176" s="72"/>
      <c r="AQ176" s="89"/>
      <c r="AR176" s="118"/>
      <c r="AS176" s="89"/>
      <c r="AT176" s="89"/>
      <c r="AU176" s="4"/>
      <c r="AV176" s="71">
        <f>(4*100)/2</f>
        <v>200</v>
      </c>
      <c r="AW176" s="71">
        <f>7*24*60*60*1</f>
        <v>604800</v>
      </c>
      <c r="AX176" s="71">
        <f>7*24*60*60*2</f>
        <v>1209600</v>
      </c>
      <c r="AY176" s="71">
        <f>7*24*60*60*3</f>
        <v>1814400</v>
      </c>
      <c r="AZ176" s="71">
        <f>7*24*60*60*4</f>
        <v>2419200</v>
      </c>
      <c r="BA176" s="53"/>
      <c r="BB176" s="53"/>
      <c r="BC176" s="53"/>
      <c r="BD176" s="53"/>
      <c r="BE176" s="53"/>
      <c r="BF176" s="53"/>
      <c r="BG176" s="53"/>
      <c r="BH176" s="53"/>
      <c r="BI176" s="53"/>
      <c r="BJ176" s="53"/>
      <c r="BK176" s="53"/>
      <c r="BL176" s="53"/>
      <c r="BM176" s="53"/>
      <c r="BN176" s="53"/>
      <c r="BO176" s="53"/>
      <c r="BP176" s="53"/>
      <c r="BQ176" s="53"/>
      <c r="BR176" s="53"/>
      <c r="BS176" s="53"/>
      <c r="BT176" s="53"/>
      <c r="BU176" s="53"/>
      <c r="BV176" s="53"/>
      <c r="BW176" s="53"/>
      <c r="BX176" s="53"/>
      <c r="BY176" s="53"/>
      <c r="BZ176" s="53"/>
      <c r="CA176" s="53"/>
      <c r="CB176" s="53"/>
      <c r="CC176" s="53"/>
      <c r="CD176" s="53"/>
      <c r="CE176" s="53"/>
      <c r="CF176" s="53"/>
      <c r="CG176" s="53"/>
      <c r="CH176" s="53"/>
      <c r="CI176" s="53"/>
      <c r="CJ176" s="53"/>
      <c r="CK176" s="53"/>
      <c r="CL176" s="53"/>
      <c r="CM176" s="53"/>
      <c r="CN176" s="53"/>
      <c r="CO176" s="53"/>
      <c r="CP176" s="53"/>
      <c r="CQ176" s="53"/>
      <c r="CR176" s="1"/>
      <c r="CS176" s="1"/>
      <c r="CT176" s="1"/>
      <c r="CU176" s="1"/>
    </row>
    <row r="177" spans="1:99" s="13" customFormat="1" ht="12" customHeight="1" x14ac:dyDescent="0.2">
      <c r="A177" s="68">
        <v>43509</v>
      </c>
      <c r="B177" s="70" t="s">
        <v>141</v>
      </c>
      <c r="C177" s="70" t="s">
        <v>142</v>
      </c>
      <c r="D177" s="69">
        <v>1925</v>
      </c>
      <c r="E177" s="87">
        <v>1</v>
      </c>
      <c r="F177" s="69">
        <v>58</v>
      </c>
      <c r="G177" s="69">
        <v>58</v>
      </c>
      <c r="H177" s="69" t="s">
        <v>22</v>
      </c>
      <c r="I177" s="69" t="s">
        <v>641</v>
      </c>
      <c r="J177" s="69" t="s">
        <v>320</v>
      </c>
      <c r="K177" s="69">
        <f>IF(J177="syllables",1,IF(J177="trigrams",2,IF(J177="strings",3,IF(J177="visual array",4,IF(J177="characters",5,IF(J177="letters",6,IF(J177="free forms",7,IF(J177="odors",8,IF(J177="words",9,IF(J177="pictures",10,IF(J177="object pictures",11,IF(J177="faces",12,IF(J177="names",13,IF(J177="idioms",14,IF(J177="grades",15,IF(J177="syllable-digit pairs",16,IF(J177="trigram-word pairs",17,IF(J177="word-digit pairs",18,IF(J177="English-Swahili pairs",19,IF(J177="spatial position",20,IF(J177="word pairs",21,IF(J177="word triads",22,IF(J177="generated words",23,IF(J177="word definition pairs",24,IF(J177="math problems",25,IF(J177="famous faces",26,IF(J177="famous names",27,IF(J177="famous voices",28,IF(J177="television programs",29,IF(J177="race horses",30,IF(J177="new vocabulary",31,IF(J177="sentences",32,IF(J177="concepts",33,IF(J177="ad slides",34,IF(J177="scenes",35,IF(J177="famous scenes",36,IF(J177="poems",37,IF(J177="walk",38,IF(J177="faces and events",39,IF(J177="events and names",40,IF(J177="flashbulb",41,IF(J177="stories",42,IF(J177="course material",43,IF(J177="autobiographical",44,IF(J177="novels",45,IF(J177="public events",46,"99"))))))))))))))))))))))))))))))))))))))))))))))</f>
        <v>21</v>
      </c>
      <c r="L177" s="69">
        <f>IF(J177="syllables",1,IF(J177="trigrams",1,IF(J177="strings",1,IF(J177="visual array",1,IF(J177="characters",1,IF(J177="letters",1,IF(J177="free forms",1,IF(J177="odors",2,IF(J177="words",2,IF(J177="pictures",2,IF(J177="object pictures",2,IF(J177="faces",2,IF(J177="names",2,IF(J177="idioms","2",IF(J177="grades",2,IF(J177="syllable-digit pairs",3,IF(J177="trigram-word pairs",3,IF(J177="word-digit pairs",3,IF(J177="English-Swahili pairs",3,IF(J177="spatial position",3,IF(J177="word pairs",4,IF(J177="word triads",4,IF(J177="generated words",4,IF(J177="word definition pairs",4,IF(J177="math problems",4,IF(J177="famous faces",4,IF(J177="famous names",4,IF(J177="famous voices",4,IF(J177="television programs",4,IF(J177="race horses",4,IF(J177="new vocabulary",4,IF(J177="sentences",5,IF(J177="concepts",5,IF(J177="ad slides",5,IF(J177="scenes",5,IF(J177="famous scenes",5,IF(J177="poems",6,IF(J177="walk",6,IF(J177="faces and events",6,IF(J177="events and names",6,IF(J177="flashbulb",7,IF(J177="stories",7,IF(J177="course material",7,IF(J177="autobiographical",7,IF(J177="novels",7,IF(J177="public events",7,"99"))))))))))))))))))))))))))))))))))))))))))))))</f>
        <v>4</v>
      </c>
      <c r="M177" s="69">
        <v>1</v>
      </c>
      <c r="N177" s="69">
        <v>2</v>
      </c>
      <c r="O177" s="69">
        <v>0</v>
      </c>
      <c r="P177" s="69"/>
      <c r="Q177" s="69" t="s">
        <v>182</v>
      </c>
      <c r="R177" s="69">
        <f>IF(Q177="Free Recall",1,IF(Q177="Cued Recall",2,IF(Q177="Recognition",3,IF(Q177="Multiple Choice",4,IF(Q177="Savings",5,IF(Q177="Stem Completion",6,IF(Q177="Fragment Completion",7,IF(Q177="anagram solution",8,IF(Q177="Matching",9,IF(Q177="Problem Solving",10,"99"))))))))))</f>
        <v>4</v>
      </c>
      <c r="S177" s="69" t="s">
        <v>234</v>
      </c>
      <c r="T177" s="92" t="s">
        <v>581</v>
      </c>
      <c r="U177" s="69">
        <f>IF(T177="within",1,0)</f>
        <v>1</v>
      </c>
      <c r="V177" s="92">
        <v>20</v>
      </c>
      <c r="W177" s="69">
        <f>F177*V177</f>
        <v>1160</v>
      </c>
      <c r="X177" s="69">
        <v>5</v>
      </c>
      <c r="Y177" s="87">
        <f>AV176</f>
        <v>200</v>
      </c>
      <c r="Z177" s="69" t="s">
        <v>140</v>
      </c>
      <c r="AA177" s="69">
        <v>2419200</v>
      </c>
      <c r="AB177" s="69" t="str">
        <f>IF(AA177&lt;60,"1",IF(AA177&lt;=43200,"2",IF(AA177&lt;=777600,"3","4")))</f>
        <v>4</v>
      </c>
      <c r="AC177" s="72">
        <f>AVERAGE(AV176:DA176)</f>
        <v>1209640</v>
      </c>
      <c r="AD177" s="69" t="str">
        <f>IF(AC177&lt;60,"1",IF(AC177&lt;=43200,"2",IF(AC177&lt;=777600,"3","4")))</f>
        <v>4</v>
      </c>
      <c r="AE177" s="87">
        <f>AA177-Y177</f>
        <v>2419000</v>
      </c>
      <c r="AF177" s="88">
        <f>AV177</f>
        <v>0.88</v>
      </c>
      <c r="AG177" s="72">
        <f>((AW177-AV177)+(AX177-AW177)+(AY177-AX177)+(AZ177-AY177))/4</f>
        <v>-9.2499999999999999E-2</v>
      </c>
      <c r="AH177" s="4"/>
      <c r="AI177" s="72">
        <f>RSQ(AV177:AZ177,AV176:AZ176)</f>
        <v>0.89530722572750143</v>
      </c>
      <c r="AJ177" s="110">
        <f>SLOPE(AV177:AZ177,AV176:AZ176)</f>
        <v>-1.5377705827230499E-7</v>
      </c>
      <c r="AK177" s="72">
        <f>INTERCEPT(AV177:AZ177,AV176:AZ176)</f>
        <v>0.82601488076851104</v>
      </c>
      <c r="AL177" s="72">
        <f>INDEX(LINEST(LN(AV177:AZ177),LN(AV176:AZ176),TRUE,TRUE),3,1)</f>
        <v>0.78918604313855156</v>
      </c>
      <c r="AM177" s="72">
        <f>INDEX(LINEST(LN(AV177:AZ177),LN(AV176:AZ176)),1)</f>
        <v>-5.1742685667533234E-2</v>
      </c>
      <c r="AN177" s="72">
        <f>EXP(INDEX(LINEST(LN(AV177:AZ177),LN(AV176:AZ176)),1,2))</f>
        <v>1.1857546091699338</v>
      </c>
      <c r="AO177" s="89">
        <f>INDEX(LINEST((AV177:AZ177),LN(AV176:AZ176),TRUE,TRUE),3,1)</f>
        <v>0.84768355058934231</v>
      </c>
      <c r="AP177" s="89">
        <f>INDEX(LINEST((AV177:AZ177),LN(AV176:AZ176)),1)</f>
        <v>-3.6006540817578217E-2</v>
      </c>
      <c r="AQ177" s="90">
        <f>INDEX(LINEST(LN(AV177:AZ177),SQRT(AV176:AZ176),TRUE,TRUE),3,1)</f>
        <v>0.97165779194769131</v>
      </c>
      <c r="AR177" s="117">
        <f>INDEX(LINEST(LN(AV177:AZ177),SQRT((AV176:AZ176))),1)</f>
        <v>-3.7870967335754737E-4</v>
      </c>
      <c r="AS177" s="91">
        <f>INDEX(LINEST(1/(AV177:AZ177),1/(SQRT(AV176:AZ176)),TRUE,TRUE),3,1)</f>
        <v>0.61282323559986385</v>
      </c>
      <c r="AT177" s="91">
        <f>INDEX(LINEST(1/(AV177:AZ177),1/SQRT(AV176:AZ176)),1)</f>
        <v>-8.9034251606849821</v>
      </c>
      <c r="AU177" s="3"/>
      <c r="AV177" s="73">
        <v>0.88</v>
      </c>
      <c r="AW177" s="73">
        <v>0.7</v>
      </c>
      <c r="AX177" s="73">
        <v>0.6</v>
      </c>
      <c r="AY177" s="73">
        <v>0.51</v>
      </c>
      <c r="AZ177" s="73">
        <v>0.51</v>
      </c>
      <c r="BA177" s="53"/>
      <c r="BB177" s="53"/>
      <c r="BC177" s="53"/>
      <c r="BD177" s="53"/>
      <c r="BE177" s="53"/>
      <c r="BF177" s="53"/>
      <c r="BG177" s="53"/>
      <c r="BH177" s="53"/>
      <c r="BI177" s="53"/>
      <c r="BJ177" s="53"/>
      <c r="BK177" s="53"/>
      <c r="BL177" s="53"/>
      <c r="BM177" s="53"/>
      <c r="BN177" s="53"/>
      <c r="BO177" s="53"/>
      <c r="BP177" s="53"/>
      <c r="BQ177" s="53"/>
      <c r="BR177" s="53"/>
      <c r="BS177" s="53"/>
      <c r="BT177" s="53"/>
      <c r="BU177" s="53"/>
      <c r="BV177" s="53"/>
      <c r="BW177" s="53"/>
      <c r="BX177" s="53"/>
      <c r="BY177" s="53"/>
      <c r="BZ177" s="53"/>
      <c r="CA177" s="53"/>
      <c r="CB177" s="53"/>
      <c r="CC177" s="53"/>
      <c r="CD177" s="53"/>
      <c r="CE177" s="53"/>
      <c r="CF177" s="53"/>
      <c r="CG177" s="53"/>
      <c r="CH177" s="53"/>
      <c r="CI177" s="53"/>
      <c r="CJ177" s="53"/>
      <c r="CK177" s="53"/>
      <c r="CL177" s="53"/>
      <c r="CM177" s="53"/>
      <c r="CN177" s="53"/>
      <c r="CO177" s="53"/>
      <c r="CP177" s="53"/>
      <c r="CQ177" s="53"/>
      <c r="CR177" s="1"/>
      <c r="CS177" s="1"/>
      <c r="CT177" s="1"/>
      <c r="CU177" s="1"/>
    </row>
    <row r="178" spans="1:99" s="13" customFormat="1" ht="12" customHeight="1" x14ac:dyDescent="0.2">
      <c r="A178" s="68">
        <v>43509</v>
      </c>
      <c r="B178" s="70"/>
      <c r="C178" s="70"/>
      <c r="D178" s="69"/>
      <c r="E178" s="87"/>
      <c r="F178" s="69"/>
      <c r="G178" s="69"/>
      <c r="H178" s="69"/>
      <c r="I178" s="69"/>
      <c r="J178" s="69"/>
      <c r="K178" s="107"/>
      <c r="L178" s="107"/>
      <c r="M178" s="69"/>
      <c r="N178" s="69"/>
      <c r="O178" s="69"/>
      <c r="P178" s="69"/>
      <c r="Q178" s="69"/>
      <c r="R178" s="69"/>
      <c r="S178" s="69"/>
      <c r="T178" s="69"/>
      <c r="U178" s="69"/>
      <c r="V178" s="69"/>
      <c r="W178" s="69"/>
      <c r="X178" s="69"/>
      <c r="Y178" s="87"/>
      <c r="Z178" s="69"/>
      <c r="AA178" s="69"/>
      <c r="AB178" s="69"/>
      <c r="AC178" s="69"/>
      <c r="AD178" s="69"/>
      <c r="AE178" s="69"/>
      <c r="AF178" s="88"/>
      <c r="AG178" s="72"/>
      <c r="AH178" s="4"/>
      <c r="AI178" s="72"/>
      <c r="AJ178" s="110"/>
      <c r="AK178" s="72"/>
      <c r="AL178" s="72"/>
      <c r="AM178" s="72"/>
      <c r="AN178" s="72"/>
      <c r="AO178" s="72"/>
      <c r="AP178" s="72"/>
      <c r="AQ178" s="89"/>
      <c r="AR178" s="118"/>
      <c r="AS178" s="89"/>
      <c r="AT178" s="89"/>
      <c r="AU178" s="4"/>
      <c r="AV178" s="71">
        <f>(4*100)/2</f>
        <v>200</v>
      </c>
      <c r="AW178" s="71">
        <f>7*24*60*60*3/7</f>
        <v>259200</v>
      </c>
      <c r="AX178" s="71">
        <f>7*24*60*60*10/7</f>
        <v>864000</v>
      </c>
      <c r="AY178" s="71">
        <f>7*24*60*60*16/7</f>
        <v>1382400</v>
      </c>
      <c r="AZ178" s="73"/>
      <c r="BA178" s="53"/>
      <c r="BB178" s="53"/>
      <c r="BC178" s="53"/>
      <c r="BD178" s="53"/>
      <c r="BE178" s="53"/>
      <c r="BF178" s="53"/>
      <c r="BG178" s="53"/>
      <c r="BH178" s="53"/>
      <c r="BI178" s="53"/>
      <c r="BJ178" s="53"/>
      <c r="BK178" s="53"/>
      <c r="BL178" s="53"/>
      <c r="BM178" s="53"/>
      <c r="BN178" s="53"/>
      <c r="BO178" s="53"/>
      <c r="BP178" s="53"/>
      <c r="BQ178" s="53"/>
      <c r="BR178" s="53"/>
      <c r="BS178" s="53"/>
      <c r="BT178" s="53"/>
      <c r="BU178" s="53"/>
      <c r="BV178" s="53"/>
      <c r="BW178" s="53"/>
      <c r="BX178" s="53"/>
      <c r="BY178" s="53"/>
      <c r="BZ178" s="53"/>
      <c r="CA178" s="53"/>
      <c r="CB178" s="53"/>
      <c r="CC178" s="53"/>
      <c r="CD178" s="53"/>
      <c r="CE178" s="53"/>
      <c r="CF178" s="53"/>
      <c r="CG178" s="53"/>
      <c r="CH178" s="53"/>
      <c r="CI178" s="53"/>
      <c r="CJ178" s="53"/>
      <c r="CK178" s="53"/>
      <c r="CL178" s="53"/>
      <c r="CM178" s="53"/>
      <c r="CN178" s="53"/>
      <c r="CO178" s="53"/>
      <c r="CP178" s="53"/>
      <c r="CQ178" s="53"/>
      <c r="CR178" s="1"/>
      <c r="CS178" s="1"/>
      <c r="CT178" s="1"/>
      <c r="CU178" s="1"/>
    </row>
    <row r="179" spans="1:99" s="13" customFormat="1" ht="12" customHeight="1" x14ac:dyDescent="0.2">
      <c r="A179" s="68">
        <v>43509</v>
      </c>
      <c r="B179" s="70" t="s">
        <v>141</v>
      </c>
      <c r="C179" s="70" t="s">
        <v>142</v>
      </c>
      <c r="D179" s="69">
        <v>1925</v>
      </c>
      <c r="E179" s="87">
        <v>2</v>
      </c>
      <c r="F179" s="69">
        <v>41</v>
      </c>
      <c r="G179" s="69">
        <v>41</v>
      </c>
      <c r="H179" s="69" t="s">
        <v>38</v>
      </c>
      <c r="I179" s="69" t="s">
        <v>641</v>
      </c>
      <c r="J179" s="69" t="s">
        <v>320</v>
      </c>
      <c r="K179" s="69">
        <f>IF(J179="syllables",1,IF(J179="trigrams",2,IF(J179="strings",3,IF(J179="visual array",4,IF(J179="characters",5,IF(J179="letters",6,IF(J179="free forms",7,IF(J179="odors",8,IF(J179="words",9,IF(J179="pictures",10,IF(J179="object pictures",11,IF(J179="faces",12,IF(J179="names",13,IF(J179="idioms",14,IF(J179="grades",15,IF(J179="syllable-digit pairs",16,IF(J179="trigram-word pairs",17,IF(J179="word-digit pairs",18,IF(J179="English-Swahili pairs",19,IF(J179="spatial position",20,IF(J179="word pairs",21,IF(J179="word triads",22,IF(J179="generated words",23,IF(J179="word definition pairs",24,IF(J179="math problems",25,IF(J179="famous faces",26,IF(J179="famous names",27,IF(J179="famous voices",28,IF(J179="television programs",29,IF(J179="race horses",30,IF(J179="new vocabulary",31,IF(J179="sentences",32,IF(J179="concepts",33,IF(J179="ad slides",34,IF(J179="scenes",35,IF(J179="famous scenes",36,IF(J179="poems",37,IF(J179="walk",38,IF(J179="faces and events",39,IF(J179="events and names",40,IF(J179="flashbulb",41,IF(J179="stories",42,IF(J179="course material",43,IF(J179="autobiographical",44,IF(J179="novels",45,IF(J179="public events",46,"99"))))))))))))))))))))))))))))))))))))))))))))))</f>
        <v>21</v>
      </c>
      <c r="L179" s="69">
        <f>IF(J179="syllables",1,IF(J179="trigrams",1,IF(J179="strings",1,IF(J179="visual array",1,IF(J179="characters",1,IF(J179="letters",1,IF(J179="free forms",1,IF(J179="odors",2,IF(J179="words",2,IF(J179="pictures",2,IF(J179="object pictures",2,IF(J179="faces",2,IF(J179="names",2,IF(J179="idioms","2",IF(J179="grades",2,IF(J179="syllable-digit pairs",3,IF(J179="trigram-word pairs",3,IF(J179="word-digit pairs",3,IF(J179="English-Swahili pairs",3,IF(J179="spatial position",3,IF(J179="word pairs",4,IF(J179="word triads",4,IF(J179="generated words",4,IF(J179="word definition pairs",4,IF(J179="math problems",4,IF(J179="famous faces",4,IF(J179="famous names",4,IF(J179="famous voices",4,IF(J179="television programs",4,IF(J179="race horses",4,IF(J179="new vocabulary",4,IF(J179="sentences",5,IF(J179="concepts",5,IF(J179="ad slides",5,IF(J179="scenes",5,IF(J179="famous scenes",5,IF(J179="poems",6,IF(J179="walk",6,IF(J179="faces and events",6,IF(J179="events and names",6,IF(J179="flashbulb",7,IF(J179="stories",7,IF(J179="course material",7,IF(J179="autobiographical",7,IF(J179="novels",7,IF(J179="public events",7,"99"))))))))))))))))))))))))))))))))))))))))))))))</f>
        <v>4</v>
      </c>
      <c r="M179" s="69">
        <v>1</v>
      </c>
      <c r="N179" s="69">
        <v>2</v>
      </c>
      <c r="O179" s="69">
        <v>0</v>
      </c>
      <c r="P179" s="69"/>
      <c r="Q179" s="69" t="s">
        <v>174</v>
      </c>
      <c r="R179" s="69">
        <f>IF(Q179="Free Recall",1,IF(Q179="Cued Recall",2,IF(Q179="Recognition",3,IF(Q179="Multiple Choice",4,IF(Q179="Savings",5,IF(Q179="Stem Completion",6,IF(Q179="Fragment Completion",7,IF(Q179="anagram solution",8,IF(Q179="Matching",9,IF(Q179="Problem Solving",10,"99"))))))))))</f>
        <v>1</v>
      </c>
      <c r="S179" s="69" t="s">
        <v>234</v>
      </c>
      <c r="T179" s="92" t="s">
        <v>581</v>
      </c>
      <c r="U179" s="69">
        <f>IF(T179="within",1,0)</f>
        <v>1</v>
      </c>
      <c r="V179" s="92">
        <v>10</v>
      </c>
      <c r="W179" s="69">
        <f>F179*V179</f>
        <v>410</v>
      </c>
      <c r="X179" s="69">
        <v>4</v>
      </c>
      <c r="Y179" s="87">
        <f>AV178</f>
        <v>200</v>
      </c>
      <c r="Z179" s="69" t="s">
        <v>140</v>
      </c>
      <c r="AA179" s="69">
        <v>2419200</v>
      </c>
      <c r="AB179" s="69" t="str">
        <f>IF(AA179&lt;60,"1",IF(AA179&lt;=43200,"2",IF(AA179&lt;=777600,"3","4")))</f>
        <v>4</v>
      </c>
      <c r="AC179" s="72">
        <f>AVERAGE(AV178:DA178)</f>
        <v>626450</v>
      </c>
      <c r="AD179" s="69" t="str">
        <f>IF(AC179&lt;60,"1",IF(AC179&lt;=43200,"2",IF(AC179&lt;=777600,"3","4")))</f>
        <v>3</v>
      </c>
      <c r="AE179" s="87">
        <f>AA179-Y179</f>
        <v>2419000</v>
      </c>
      <c r="AF179" s="88">
        <f>AV179</f>
        <v>0.52</v>
      </c>
      <c r="AG179" s="72">
        <f>((AW179-AV179)+(AX179-AW179)+(AY179-AX179))/3</f>
        <v>-6.6666666666666723E-3</v>
      </c>
      <c r="AH179" s="4"/>
      <c r="AI179" s="72">
        <f>RSQ(AV179:AY179,AV178:AY178)</f>
        <v>0.1431736091560171</v>
      </c>
      <c r="AJ179" s="110">
        <f>SLOPE(AV179:AY179,AV178:AY178)</f>
        <v>1.337349915736327E-7</v>
      </c>
      <c r="AK179" s="72">
        <f>INTERCEPT(AV179:AY179,AV178:AY178)</f>
        <v>0.34872171452869782</v>
      </c>
      <c r="AL179" s="72">
        <f>INDEX(LINEST(LN(AV179:AY179),LN(AV178:AY178),TRUE,TRUE),3,1)</f>
        <v>2.1508006277049709E-2</v>
      </c>
      <c r="AM179" s="72">
        <f>INDEX(LINEST(LN(AV179:AY179),LN(AV178:AY178)),1)</f>
        <v>-2.837347748746365E-2</v>
      </c>
      <c r="AN179" s="72">
        <f>EXP(INDEX(LINEST(LN(AV179:AY179),LN(AV178:AY178)),1,2))</f>
        <v>0.50005751366642681</v>
      </c>
      <c r="AO179" s="89">
        <f>INDEX(LINEST((AV179:AY179),LN(AV178:AY178),TRUE,TRUE),3,1)</f>
        <v>1.3263448402744122E-2</v>
      </c>
      <c r="AP179" s="89">
        <f>INDEX(LINEST((AV179:AY179),LN(AV178:AY178)),1)</f>
        <v>-6.1243123431826254E-3</v>
      </c>
      <c r="AQ179" s="90">
        <f>INDEX(LINEST(LN(AV179:AY179),SQRT(AV178:AY178),TRUE,TRUE),3,1)</f>
        <v>4.1555920125193581E-2</v>
      </c>
      <c r="AR179" s="117">
        <f>INDEX(LINEST(LN(AV179:AY179),SQRT((AV178:AY178))),1)</f>
        <v>3.1927433521747995E-4</v>
      </c>
      <c r="AS179" s="91">
        <f>INDEX(LINEST(1/(AV179:AY179),1/(SQRT(AV178:AY178)),TRUE,TRUE),3,1)</f>
        <v>9.5638263422807596E-2</v>
      </c>
      <c r="AT179" s="91">
        <f>INDEX(LINEST(1/(AV179:AY179),1/SQRT(AV178:AY178)),1)</f>
        <v>-32.222804719544634</v>
      </c>
      <c r="AU179" s="3"/>
      <c r="AV179" s="73">
        <v>0.52</v>
      </c>
      <c r="AW179" s="73">
        <v>0.11</v>
      </c>
      <c r="AX179" s="73">
        <v>0.6</v>
      </c>
      <c r="AY179" s="73">
        <v>0.5</v>
      </c>
      <c r="AZ179" s="73"/>
      <c r="BA179" s="53"/>
      <c r="BB179" s="53"/>
      <c r="BC179" s="53"/>
      <c r="BD179" s="53"/>
      <c r="BE179" s="53"/>
      <c r="BF179" s="53"/>
      <c r="BG179" s="53"/>
      <c r="BH179" s="53"/>
      <c r="BI179" s="53"/>
      <c r="BJ179" s="53"/>
      <c r="BK179" s="53"/>
      <c r="BL179" s="53"/>
      <c r="BM179" s="53"/>
      <c r="BN179" s="53"/>
      <c r="BO179" s="53"/>
      <c r="BP179" s="53"/>
      <c r="BQ179" s="53"/>
      <c r="BR179" s="53"/>
      <c r="BS179" s="53"/>
      <c r="BT179" s="53"/>
      <c r="BU179" s="53"/>
      <c r="BV179" s="53"/>
      <c r="BW179" s="53"/>
      <c r="BX179" s="53"/>
      <c r="BY179" s="53"/>
      <c r="BZ179" s="53"/>
      <c r="CA179" s="53"/>
      <c r="CB179" s="53"/>
      <c r="CC179" s="53"/>
      <c r="CD179" s="53"/>
      <c r="CE179" s="53"/>
      <c r="CF179" s="53"/>
      <c r="CG179" s="53"/>
      <c r="CH179" s="53"/>
      <c r="CI179" s="53"/>
      <c r="CJ179" s="53"/>
      <c r="CK179" s="53"/>
      <c r="CL179" s="53"/>
      <c r="CM179" s="53"/>
      <c r="CN179" s="53"/>
      <c r="CO179" s="53"/>
      <c r="CP179" s="53"/>
      <c r="CQ179" s="53"/>
      <c r="CR179" s="1"/>
      <c r="CS179" s="1"/>
      <c r="CT179" s="1"/>
      <c r="CU179" s="1"/>
    </row>
    <row r="180" spans="1:99" s="13" customFormat="1" ht="12" customHeight="1" x14ac:dyDescent="0.2">
      <c r="A180" s="68">
        <v>43509</v>
      </c>
      <c r="B180" s="70"/>
      <c r="C180" s="70"/>
      <c r="D180" s="69"/>
      <c r="E180" s="87"/>
      <c r="F180" s="69"/>
      <c r="G180" s="69"/>
      <c r="H180" s="69"/>
      <c r="I180" s="69"/>
      <c r="J180" s="69"/>
      <c r="K180" s="107"/>
      <c r="L180" s="107"/>
      <c r="M180" s="69"/>
      <c r="N180" s="69"/>
      <c r="O180" s="69"/>
      <c r="P180" s="69"/>
      <c r="Q180" s="69"/>
      <c r="R180" s="69"/>
      <c r="S180" s="69"/>
      <c r="T180" s="69"/>
      <c r="U180" s="69"/>
      <c r="V180" s="69"/>
      <c r="W180" s="69"/>
      <c r="X180" s="69"/>
      <c r="Y180" s="87"/>
      <c r="Z180" s="69"/>
      <c r="AA180" s="69"/>
      <c r="AB180" s="69"/>
      <c r="AC180" s="69"/>
      <c r="AD180" s="69"/>
      <c r="AE180" s="69"/>
      <c r="AF180" s="88"/>
      <c r="AG180" s="72"/>
      <c r="AH180" s="4"/>
      <c r="AI180" s="72"/>
      <c r="AJ180" s="110"/>
      <c r="AK180" s="72"/>
      <c r="AL180" s="72"/>
      <c r="AM180" s="72"/>
      <c r="AN180" s="72"/>
      <c r="AO180" s="72"/>
      <c r="AP180" s="72"/>
      <c r="AQ180" s="72"/>
      <c r="AR180" s="110"/>
      <c r="AS180" s="72"/>
      <c r="AT180" s="72"/>
      <c r="AU180" s="4"/>
      <c r="AV180" s="71">
        <f>7*24*60*60*3/7</f>
        <v>259200</v>
      </c>
      <c r="AW180" s="71">
        <f>7*24*60*60*10/7</f>
        <v>864000</v>
      </c>
      <c r="AX180" s="71">
        <f>7*24*60*60*16/7</f>
        <v>1382400</v>
      </c>
      <c r="AY180" s="102"/>
      <c r="AZ180" s="73"/>
      <c r="BA180" s="53"/>
      <c r="BB180" s="53"/>
      <c r="BC180" s="53"/>
      <c r="BD180" s="53"/>
      <c r="BE180" s="53"/>
      <c r="BF180" s="53"/>
      <c r="BG180" s="53"/>
      <c r="BH180" s="53"/>
      <c r="BI180" s="53"/>
      <c r="BJ180" s="53"/>
      <c r="BK180" s="53"/>
      <c r="BL180" s="53"/>
      <c r="BM180" s="53"/>
      <c r="BN180" s="53"/>
      <c r="BO180" s="53"/>
      <c r="BP180" s="53"/>
      <c r="BQ180" s="53"/>
      <c r="BR180" s="53"/>
      <c r="BS180" s="53"/>
      <c r="BT180" s="53"/>
      <c r="BU180" s="53"/>
      <c r="BV180" s="53"/>
      <c r="BW180" s="53"/>
      <c r="BX180" s="53"/>
      <c r="BY180" s="53"/>
      <c r="BZ180" s="53"/>
      <c r="CA180" s="53"/>
      <c r="CB180" s="53"/>
      <c r="CC180" s="53"/>
      <c r="CD180" s="53"/>
      <c r="CE180" s="53"/>
      <c r="CF180" s="53"/>
      <c r="CG180" s="53"/>
      <c r="CH180" s="53"/>
      <c r="CI180" s="53"/>
      <c r="CJ180" s="53"/>
      <c r="CK180" s="53"/>
      <c r="CL180" s="53"/>
      <c r="CM180" s="53"/>
      <c r="CN180" s="53"/>
      <c r="CO180" s="53"/>
      <c r="CP180" s="53"/>
      <c r="CQ180" s="53"/>
      <c r="CR180" s="1"/>
      <c r="CS180" s="1"/>
      <c r="CT180" s="1"/>
      <c r="CU180" s="1"/>
    </row>
    <row r="181" spans="1:99" s="13" customFormat="1" ht="12" customHeight="1" x14ac:dyDescent="0.2">
      <c r="A181" s="68">
        <v>43509</v>
      </c>
      <c r="B181" s="70" t="s">
        <v>141</v>
      </c>
      <c r="C181" s="70" t="s">
        <v>142</v>
      </c>
      <c r="D181" s="69">
        <v>1925</v>
      </c>
      <c r="E181" s="87">
        <v>2</v>
      </c>
      <c r="F181" s="69">
        <v>41</v>
      </c>
      <c r="G181" s="69">
        <v>41</v>
      </c>
      <c r="H181" s="69" t="s">
        <v>38</v>
      </c>
      <c r="I181" s="69" t="s">
        <v>642</v>
      </c>
      <c r="J181" s="69" t="s">
        <v>320</v>
      </c>
      <c r="K181" s="69">
        <f>IF(J181="syllables",1,IF(J181="trigrams",2,IF(J181="strings",3,IF(J181="visual array",4,IF(J181="characters",5,IF(J181="letters",6,IF(J181="free forms",7,IF(J181="odors",8,IF(J181="words",9,IF(J181="pictures",10,IF(J181="object pictures",11,IF(J181="faces",12,IF(J181="names",13,IF(J181="idioms",14,IF(J181="grades",15,IF(J181="syllable-digit pairs",16,IF(J181="trigram-word pairs",17,IF(J181="word-digit pairs",18,IF(J181="English-Swahili pairs",19,IF(J181="spatial position",20,IF(J181="word pairs",21,IF(J181="word triads",22,IF(J181="generated words",23,IF(J181="word definition pairs",24,IF(J181="math problems",25,IF(J181="famous faces",26,IF(J181="famous names",27,IF(J181="famous voices",28,IF(J181="television programs",29,IF(J181="race horses",30,IF(J181="new vocabulary",31,IF(J181="sentences",32,IF(J181="concepts",33,IF(J181="ad slides",34,IF(J181="scenes",35,IF(J181="famous scenes",36,IF(J181="poems",37,IF(J181="walk",38,IF(J181="faces and events",39,IF(J181="events and names",40,IF(J181="flashbulb",41,IF(J181="stories",42,IF(J181="course material",43,IF(J181="autobiographical",44,IF(J181="novels",45,IF(J181="public events",46,"99"))))))))))))))))))))))))))))))))))))))))))))))</f>
        <v>21</v>
      </c>
      <c r="L181" s="69">
        <f>IF(J181="syllables",1,IF(J181="trigrams",1,IF(J181="strings",1,IF(J181="visual array",1,IF(J181="characters",1,IF(J181="letters",1,IF(J181="free forms",1,IF(J181="odors",2,IF(J181="words",2,IF(J181="pictures",2,IF(J181="object pictures",2,IF(J181="faces",2,IF(J181="names",2,IF(J181="idioms","2",IF(J181="grades",2,IF(J181="syllable-digit pairs",3,IF(J181="trigram-word pairs",3,IF(J181="word-digit pairs",3,IF(J181="English-Swahili pairs",3,IF(J181="spatial position",3,IF(J181="word pairs",4,IF(J181="word triads",4,IF(J181="generated words",4,IF(J181="word definition pairs",4,IF(J181="math problems",4,IF(J181="famous faces",4,IF(J181="famous names",4,IF(J181="famous voices",4,IF(J181="television programs",4,IF(J181="race horses",4,IF(J181="new vocabulary",4,IF(J181="sentences",5,IF(J181="concepts",5,IF(J181="ad slides",5,IF(J181="scenes",5,IF(J181="famous scenes",5,IF(J181="poems",6,IF(J181="walk",6,IF(J181="faces and events",6,IF(J181="events and names",6,IF(J181="flashbulb",7,IF(J181="stories",7,IF(J181="course material",7,IF(J181="autobiographical",7,IF(J181="novels",7,IF(J181="public events",7,"99"))))))))))))))))))))))))))))))))))))))))))))))</f>
        <v>4</v>
      </c>
      <c r="M181" s="69">
        <v>1</v>
      </c>
      <c r="N181" s="69">
        <v>2</v>
      </c>
      <c r="O181" s="69">
        <v>0</v>
      </c>
      <c r="P181" s="69"/>
      <c r="Q181" s="69" t="s">
        <v>174</v>
      </c>
      <c r="R181" s="69">
        <f>IF(Q181="Free Recall",1,IF(Q181="Cued Recall",2,IF(Q181="Recognition",3,IF(Q181="Multiple Choice",4,IF(Q181="Savings",5,IF(Q181="Stem Completion",6,IF(Q181="Fragment Completion",7,IF(Q181="anagram solution",8,IF(Q181="Matching",9,IF(Q181="Problem Solving",10,"99"))))))))))</f>
        <v>1</v>
      </c>
      <c r="S181" s="69" t="s">
        <v>234</v>
      </c>
      <c r="T181" s="92" t="s">
        <v>581</v>
      </c>
      <c r="U181" s="69">
        <f>IF(T181="within",1,0)</f>
        <v>1</v>
      </c>
      <c r="V181" s="92">
        <v>10</v>
      </c>
      <c r="W181" s="69">
        <f>F181*V181</f>
        <v>410</v>
      </c>
      <c r="X181" s="69">
        <v>3</v>
      </c>
      <c r="Y181" s="87">
        <f>AV180</f>
        <v>259200</v>
      </c>
      <c r="Z181" s="69" t="s">
        <v>140</v>
      </c>
      <c r="AA181" s="69">
        <v>2419200</v>
      </c>
      <c r="AB181" s="69" t="str">
        <f>IF(AA181&lt;60,"1",IF(AA181&lt;=43200,"2",IF(AA181&lt;=777600,"3","4")))</f>
        <v>4</v>
      </c>
      <c r="AC181" s="72">
        <f>AVERAGE(AV180:DA180)</f>
        <v>835200</v>
      </c>
      <c r="AD181" s="69" t="str">
        <f>IF(AC181&lt;60,"1",IF(AC181&lt;=43200,"2",IF(AC181&lt;=777600,"3","4")))</f>
        <v>4</v>
      </c>
      <c r="AE181" s="87">
        <f>AA181-Y181</f>
        <v>2160000</v>
      </c>
      <c r="AF181" s="88">
        <f>AV181</f>
        <v>0.56999999999999995</v>
      </c>
      <c r="AG181" s="72">
        <f>((AW181-AV181)+(AX181-AW181))/2</f>
        <v>-0.20499999999999999</v>
      </c>
      <c r="AH181" s="4"/>
      <c r="AI181" s="72">
        <f>RSQ(AV181:AX181,AV180:AX180)</f>
        <v>0.88669125400793258</v>
      </c>
      <c r="AJ181" s="110">
        <f>SLOPE(AV181:AX181,AV180:AX180)</f>
        <v>-3.7091717701953911E-7</v>
      </c>
      <c r="AK181" s="72">
        <f>INTERCEPT(AV181:AX181,AV180:AX180)</f>
        <v>0.62645669291338568</v>
      </c>
      <c r="AL181" s="72">
        <f>INDEX(LINEST(LN(AV181:AX181),LN(AV180:AX180),TRUE,TRUE),3,1)</f>
        <v>0.99895086757211438</v>
      </c>
      <c r="AM181" s="72">
        <f>INDEX(LINEST(LN(AV181:AX181),LN(AV180:AX180)),1)</f>
        <v>-0.76522659005749616</v>
      </c>
      <c r="AN181" s="72">
        <f>EXP(INDEX(LINEST(LN(AV181:AX181),LN(AV180:AX180)),1,2))</f>
        <v>7863.3893633680136</v>
      </c>
      <c r="AO181" s="89">
        <f>INDEX(LINEST((AV181:AX181),LN(AV180:AX180),TRUE,TRUE),3,1)</f>
        <v>0.98059258050629639</v>
      </c>
      <c r="AP181" s="89">
        <f>INDEX(LINEST((AV181:AX181),LN(AV180:AX180)),1)</f>
        <v>-0.25397041500211165</v>
      </c>
      <c r="AQ181" s="90">
        <f>INDEX(LINEST(LN(AV181:AX181),SQRT(AV180:AX180),TRUE,TRUE),3,1)</f>
        <v>0.98303351017332552</v>
      </c>
      <c r="AR181" s="117">
        <f>INDEX(LINEST(LN(AV181:AX181),SQRT((AV180:AX180))),1)</f>
        <v>-1.9443029477799545E-3</v>
      </c>
      <c r="AS181" s="91">
        <f>INDEX(LINEST(1/(AV181:AX181),1/(SQRT(AV180:AX180)),TRUE,TRUE),3,1)</f>
        <v>0.96342061724466288</v>
      </c>
      <c r="AT181" s="91">
        <f>INDEX(LINEST(1/(AV181:AX181),1/SQRT(AV180:AX180)),1)</f>
        <v>-3783.3578362493035</v>
      </c>
      <c r="AU181" s="3"/>
      <c r="AV181" s="73">
        <v>0.56999999999999995</v>
      </c>
      <c r="AW181" s="73">
        <v>0.22</v>
      </c>
      <c r="AX181" s="73">
        <v>0.16</v>
      </c>
      <c r="AY181" s="102"/>
      <c r="AZ181" s="73"/>
      <c r="BA181" s="53"/>
      <c r="BB181" s="53"/>
      <c r="BC181" s="53"/>
      <c r="BD181" s="53"/>
      <c r="BE181" s="53"/>
      <c r="BF181" s="53"/>
      <c r="BG181" s="53"/>
      <c r="BH181" s="53"/>
      <c r="BI181" s="53"/>
      <c r="BJ181" s="53"/>
      <c r="BK181" s="53"/>
      <c r="BL181" s="53"/>
      <c r="BM181" s="53"/>
      <c r="BN181" s="53"/>
      <c r="BO181" s="53"/>
      <c r="BP181" s="53"/>
      <c r="BQ181" s="53"/>
      <c r="BR181" s="53"/>
      <c r="BS181" s="53"/>
      <c r="BT181" s="53"/>
      <c r="BU181" s="53"/>
      <c r="BV181" s="53"/>
      <c r="BW181" s="53"/>
      <c r="BX181" s="53"/>
      <c r="BY181" s="53"/>
      <c r="BZ181" s="53"/>
      <c r="CA181" s="53"/>
      <c r="CB181" s="53"/>
      <c r="CC181" s="53"/>
      <c r="CD181" s="53"/>
      <c r="CE181" s="53"/>
      <c r="CF181" s="53"/>
      <c r="CG181" s="53"/>
      <c r="CH181" s="53"/>
      <c r="CI181" s="53"/>
      <c r="CJ181" s="53"/>
      <c r="CK181" s="53"/>
      <c r="CL181" s="53"/>
      <c r="CM181" s="53"/>
      <c r="CN181" s="53"/>
      <c r="CO181" s="53"/>
      <c r="CP181" s="53"/>
      <c r="CQ181" s="53"/>
      <c r="CR181" s="1"/>
      <c r="CS181" s="1"/>
      <c r="CT181" s="1"/>
      <c r="CU181" s="1"/>
    </row>
    <row r="182" spans="1:99" s="13" customFormat="1" ht="12" customHeight="1" x14ac:dyDescent="0.2">
      <c r="A182" s="68">
        <v>43509</v>
      </c>
      <c r="B182" s="70"/>
      <c r="C182" s="70"/>
      <c r="D182" s="69"/>
      <c r="E182" s="87"/>
      <c r="F182" s="69"/>
      <c r="G182" s="69"/>
      <c r="H182" s="69"/>
      <c r="I182" s="69"/>
      <c r="J182" s="69"/>
      <c r="K182" s="107"/>
      <c r="L182" s="107"/>
      <c r="M182" s="69"/>
      <c r="N182" s="69"/>
      <c r="O182" s="69"/>
      <c r="P182" s="69"/>
      <c r="Q182" s="69"/>
      <c r="R182" s="69"/>
      <c r="S182" s="69"/>
      <c r="T182" s="69"/>
      <c r="U182" s="69"/>
      <c r="V182" s="69"/>
      <c r="W182" s="69"/>
      <c r="X182" s="69"/>
      <c r="Y182" s="87"/>
      <c r="Z182" s="69"/>
      <c r="AA182" s="69"/>
      <c r="AB182" s="69"/>
      <c r="AC182" s="69"/>
      <c r="AD182" s="69"/>
      <c r="AE182" s="69"/>
      <c r="AF182" s="88"/>
      <c r="AG182" s="72"/>
      <c r="AH182" s="4"/>
      <c r="AI182" s="72"/>
      <c r="AJ182" s="110"/>
      <c r="AK182" s="72"/>
      <c r="AL182" s="72"/>
      <c r="AM182" s="72"/>
      <c r="AN182" s="72"/>
      <c r="AO182" s="72"/>
      <c r="AP182" s="72"/>
      <c r="AQ182" s="72"/>
      <c r="AR182" s="110"/>
      <c r="AS182" s="72"/>
      <c r="AT182" s="72"/>
      <c r="AU182" s="4"/>
      <c r="AV182" s="71">
        <f>(4*100)/2</f>
        <v>200</v>
      </c>
      <c r="AW182" s="71">
        <f>7*24*60*60*3/7</f>
        <v>259200</v>
      </c>
      <c r="AX182" s="71">
        <f>7*24*60*60*10/7</f>
        <v>864000</v>
      </c>
      <c r="AY182" s="71">
        <f>7*24*60*60*16/7</f>
        <v>1382400</v>
      </c>
      <c r="AZ182" s="73"/>
      <c r="BA182" s="53"/>
      <c r="BB182" s="53"/>
      <c r="BC182" s="53"/>
      <c r="BD182" s="53"/>
      <c r="BE182" s="53"/>
      <c r="BF182" s="53"/>
      <c r="BG182" s="53"/>
      <c r="BH182" s="53"/>
      <c r="BI182" s="53"/>
      <c r="BJ182" s="53"/>
      <c r="BK182" s="53"/>
      <c r="BL182" s="53"/>
      <c r="BM182" s="53"/>
      <c r="BN182" s="53"/>
      <c r="BO182" s="53"/>
      <c r="BP182" s="53"/>
      <c r="BQ182" s="53"/>
      <c r="BR182" s="53"/>
      <c r="BS182" s="53"/>
      <c r="BT182" s="53"/>
      <c r="BU182" s="53"/>
      <c r="BV182" s="53"/>
      <c r="BW182" s="53"/>
      <c r="BX182" s="53"/>
      <c r="BY182" s="53"/>
      <c r="BZ182" s="53"/>
      <c r="CA182" s="53"/>
      <c r="CB182" s="53"/>
      <c r="CC182" s="53"/>
      <c r="CD182" s="53"/>
      <c r="CE182" s="53"/>
      <c r="CF182" s="53"/>
      <c r="CG182" s="53"/>
      <c r="CH182" s="53"/>
      <c r="CI182" s="53"/>
      <c r="CJ182" s="53"/>
      <c r="CK182" s="53"/>
      <c r="CL182" s="53"/>
      <c r="CM182" s="53"/>
      <c r="CN182" s="53"/>
      <c r="CO182" s="53"/>
      <c r="CP182" s="53"/>
      <c r="CQ182" s="53"/>
      <c r="CR182" s="1"/>
      <c r="CS182" s="1"/>
      <c r="CT182" s="1"/>
      <c r="CU182" s="1"/>
    </row>
    <row r="183" spans="1:99" s="13" customFormat="1" ht="12" customHeight="1" x14ac:dyDescent="0.2">
      <c r="A183" s="68">
        <v>43509</v>
      </c>
      <c r="B183" s="70" t="s">
        <v>141</v>
      </c>
      <c r="C183" s="70" t="s">
        <v>142</v>
      </c>
      <c r="D183" s="69">
        <v>1925</v>
      </c>
      <c r="E183" s="87">
        <v>2</v>
      </c>
      <c r="F183" s="69">
        <v>41</v>
      </c>
      <c r="G183" s="69">
        <v>41</v>
      </c>
      <c r="H183" s="69" t="s">
        <v>38</v>
      </c>
      <c r="I183" s="69" t="s">
        <v>641</v>
      </c>
      <c r="J183" s="69" t="s">
        <v>320</v>
      </c>
      <c r="K183" s="69">
        <f>IF(J183="syllables",1,IF(J183="trigrams",2,IF(J183="strings",3,IF(J183="visual array",4,IF(J183="characters",5,IF(J183="letters",6,IF(J183="free forms",7,IF(J183="odors",8,IF(J183="words",9,IF(J183="pictures",10,IF(J183="object pictures",11,IF(J183="faces",12,IF(J183="names",13,IF(J183="idioms",14,IF(J183="grades",15,IF(J183="syllable-digit pairs",16,IF(J183="trigram-word pairs",17,IF(J183="word-digit pairs",18,IF(J183="English-Swahili pairs",19,IF(J183="spatial position",20,IF(J183="word pairs",21,IF(J183="word triads",22,IF(J183="generated words",23,IF(J183="word definition pairs",24,IF(J183="math problems",25,IF(J183="famous faces",26,IF(J183="famous names",27,IF(J183="famous voices",28,IF(J183="television programs",29,IF(J183="race horses",30,IF(J183="new vocabulary",31,IF(J183="sentences",32,IF(J183="concepts",33,IF(J183="ad slides",34,IF(J183="scenes",35,IF(J183="famous scenes",36,IF(J183="poems",37,IF(J183="walk",38,IF(J183="faces and events",39,IF(J183="events and names",40,IF(J183="flashbulb",41,IF(J183="stories",42,IF(J183="course material",43,IF(J183="autobiographical",44,IF(J183="novels",45,IF(J183="public events",46,"99"))))))))))))))))))))))))))))))))))))))))))))))</f>
        <v>21</v>
      </c>
      <c r="L183" s="69">
        <f>IF(J183="syllables",1,IF(J183="trigrams",1,IF(J183="strings",1,IF(J183="visual array",1,IF(J183="characters",1,IF(J183="letters",1,IF(J183="free forms",1,IF(J183="odors",2,IF(J183="words",2,IF(J183="pictures",2,IF(J183="object pictures",2,IF(J183="faces",2,IF(J183="names",2,IF(J183="idioms","2",IF(J183="grades",2,IF(J183="syllable-digit pairs",3,IF(J183="trigram-word pairs",3,IF(J183="word-digit pairs",3,IF(J183="English-Swahili pairs",3,IF(J183="spatial position",3,IF(J183="word pairs",4,IF(J183="word triads",4,IF(J183="generated words",4,IF(J183="word definition pairs",4,IF(J183="math problems",4,IF(J183="famous faces",4,IF(J183="famous names",4,IF(J183="famous voices",4,IF(J183="television programs",4,IF(J183="race horses",4,IF(J183="new vocabulary",4,IF(J183="sentences",5,IF(J183="concepts",5,IF(J183="ad slides",5,IF(J183="scenes",5,IF(J183="famous scenes",5,IF(J183="poems",6,IF(J183="walk",6,IF(J183="faces and events",6,IF(J183="events and names",6,IF(J183="flashbulb",7,IF(J183="stories",7,IF(J183="course material",7,IF(J183="autobiographical",7,IF(J183="novels",7,IF(J183="public events",7,"99"))))))))))))))))))))))))))))))))))))))))))))))</f>
        <v>4</v>
      </c>
      <c r="M183" s="69">
        <v>1</v>
      </c>
      <c r="N183" s="69">
        <v>2</v>
      </c>
      <c r="O183" s="69">
        <v>0</v>
      </c>
      <c r="P183" s="69"/>
      <c r="Q183" s="69" t="s">
        <v>182</v>
      </c>
      <c r="R183" s="69">
        <f>IF(Q183="Free Recall",1,IF(Q183="Cued Recall",2,IF(Q183="Recognition",3,IF(Q183="Multiple Choice",4,IF(Q183="Savings",5,IF(Q183="Stem Completion",6,IF(Q183="Fragment Completion",7,IF(Q183="anagram solution",8,IF(Q183="Matching",9,IF(Q183="Problem Solving",10,"99"))))))))))</f>
        <v>4</v>
      </c>
      <c r="S183" s="69" t="s">
        <v>234</v>
      </c>
      <c r="T183" s="92" t="s">
        <v>581</v>
      </c>
      <c r="U183" s="69">
        <f>IF(T183="within",1,0)</f>
        <v>1</v>
      </c>
      <c r="V183" s="92">
        <v>10</v>
      </c>
      <c r="W183" s="69">
        <f>F183*V183</f>
        <v>410</v>
      </c>
      <c r="X183" s="69">
        <v>4</v>
      </c>
      <c r="Y183" s="87">
        <f>AV182</f>
        <v>200</v>
      </c>
      <c r="Z183" s="69" t="s">
        <v>140</v>
      </c>
      <c r="AA183" s="69">
        <v>2419200</v>
      </c>
      <c r="AB183" s="69" t="str">
        <f>IF(AA183&lt;60,"1",IF(AA183&lt;=43200,"2",IF(AA183&lt;=777600,"3","4")))</f>
        <v>4</v>
      </c>
      <c r="AC183" s="72">
        <f>AVERAGE(AV182:DA182)</f>
        <v>626450</v>
      </c>
      <c r="AD183" s="69" t="str">
        <f>IF(AC183&lt;60,"1",IF(AC183&lt;=43200,"2",IF(AC183&lt;=777600,"3","4")))</f>
        <v>3</v>
      </c>
      <c r="AE183" s="87">
        <f>AA183-Y183</f>
        <v>2419000</v>
      </c>
      <c r="AF183" s="88">
        <f>AV183</f>
        <v>0.93</v>
      </c>
      <c r="AG183" s="72">
        <f>((AW183-AV183)+(AX183-AW183)+(AY183-AX183))/3</f>
        <v>-9.6666666666666679E-2</v>
      </c>
      <c r="AH183" s="4"/>
      <c r="AI183" s="72">
        <f>RSQ(AV183:AY183,AV182:AY182)</f>
        <v>0.75935492066924859</v>
      </c>
      <c r="AJ183" s="110">
        <f>SLOPE(AV183:AY183,AV182:AY182)</f>
        <v>-1.9222443377150479E-7</v>
      </c>
      <c r="AK183" s="72">
        <f>INTERCEPT(AV183:AY183,AV182:AY182)</f>
        <v>0.86041899653615928</v>
      </c>
      <c r="AL183" s="72">
        <f>INDEX(LINEST(LN(AV183:AY183),LN(AV182:AY182),TRUE,TRUE),3,1)</f>
        <v>0.92648082668429821</v>
      </c>
      <c r="AM183" s="72">
        <f>INDEX(LINEST(LN(AV183:AY183),LN(AV182:AY182)),1)</f>
        <v>-4.13109173593613E-2</v>
      </c>
      <c r="AN183" s="72">
        <f>EXP(INDEX(LINEST(LN(AV183:AY183),LN(AV182:AY182)),1,2))</f>
        <v>1.1705245376297082</v>
      </c>
      <c r="AO183" s="89">
        <f>INDEX(LINEST((AV183:AY183),LN(AV182:AY182),TRUE,TRUE),3,1)</f>
        <v>0.94896974469480833</v>
      </c>
      <c r="AP183" s="89">
        <f>INDEX(LINEST((AV183:AY183),LN(AV182:AY182)),1)</f>
        <v>-3.2331652710597653E-2</v>
      </c>
      <c r="AQ183" s="90">
        <f>INDEX(LINEST(LN(AV183:AY183),SQRT(AV182:AY182),TRUE,TRUE),3,1)</f>
        <v>0.95097437850292799</v>
      </c>
      <c r="AR183" s="117">
        <f>INDEX(LINEST(LN(AV183:AY183),SQRT((AV182:AY182))),1)</f>
        <v>-3.3881770592015761E-4</v>
      </c>
      <c r="AS183" s="91">
        <f>INDEX(LINEST(1/(AV183:AY183),1/(SQRT(AV182:AY182)),TRUE,TRUE),3,1)</f>
        <v>0.79444090076338036</v>
      </c>
      <c r="AT183" s="91">
        <f>INDEX(LINEST(1/(AV183:AY183),1/SQRT(AV182:AY182)),1)</f>
        <v>-5.9599144084099445</v>
      </c>
      <c r="AU183" s="3"/>
      <c r="AV183" s="73">
        <v>0.93</v>
      </c>
      <c r="AW183" s="73">
        <v>0.75</v>
      </c>
      <c r="AX183" s="73">
        <v>0.64</v>
      </c>
      <c r="AY183" s="73">
        <v>0.64</v>
      </c>
      <c r="AZ183" s="73"/>
      <c r="BA183" s="53"/>
      <c r="BB183" s="53"/>
      <c r="BC183" s="53"/>
      <c r="BD183" s="53"/>
      <c r="BE183" s="53"/>
      <c r="BF183" s="53"/>
      <c r="BG183" s="53"/>
      <c r="BH183" s="53"/>
      <c r="BI183" s="53"/>
      <c r="BJ183" s="53"/>
      <c r="BK183" s="53"/>
      <c r="BL183" s="53"/>
      <c r="BM183" s="53"/>
      <c r="BN183" s="53"/>
      <c r="BO183" s="53"/>
      <c r="BP183" s="53"/>
      <c r="BQ183" s="53"/>
      <c r="BR183" s="53"/>
      <c r="BS183" s="53"/>
      <c r="BT183" s="53"/>
      <c r="BU183" s="53"/>
      <c r="BV183" s="53"/>
      <c r="BW183" s="53"/>
      <c r="BX183" s="53"/>
      <c r="BY183" s="53"/>
      <c r="BZ183" s="53"/>
      <c r="CA183" s="53"/>
      <c r="CB183" s="53"/>
      <c r="CC183" s="53"/>
      <c r="CD183" s="53"/>
      <c r="CE183" s="53"/>
      <c r="CF183" s="53"/>
      <c r="CG183" s="53"/>
      <c r="CH183" s="53"/>
      <c r="CI183" s="53"/>
      <c r="CJ183" s="53"/>
      <c r="CK183" s="53"/>
      <c r="CL183" s="53"/>
      <c r="CM183" s="53"/>
      <c r="CN183" s="53"/>
      <c r="CO183" s="53"/>
      <c r="CP183" s="53"/>
      <c r="CQ183" s="53"/>
      <c r="CR183" s="1"/>
      <c r="CS183" s="1"/>
      <c r="CT183" s="1"/>
      <c r="CU183" s="1"/>
    </row>
    <row r="184" spans="1:99" s="13" customFormat="1" ht="12" customHeight="1" x14ac:dyDescent="0.2">
      <c r="A184" s="68">
        <v>43509</v>
      </c>
      <c r="B184" s="70"/>
      <c r="C184" s="70"/>
      <c r="D184" s="69"/>
      <c r="E184" s="87"/>
      <c r="F184" s="69"/>
      <c r="G184" s="69"/>
      <c r="H184" s="69"/>
      <c r="I184" s="69"/>
      <c r="J184" s="69"/>
      <c r="K184" s="107"/>
      <c r="L184" s="107"/>
      <c r="M184" s="69"/>
      <c r="N184" s="69"/>
      <c r="O184" s="69"/>
      <c r="P184" s="69"/>
      <c r="Q184" s="69"/>
      <c r="R184" s="69"/>
      <c r="S184" s="69"/>
      <c r="T184" s="69"/>
      <c r="U184" s="69"/>
      <c r="V184" s="69"/>
      <c r="W184" s="69"/>
      <c r="X184" s="69"/>
      <c r="Y184" s="87"/>
      <c r="Z184" s="69"/>
      <c r="AA184" s="69"/>
      <c r="AB184" s="69"/>
      <c r="AC184" s="69"/>
      <c r="AD184" s="69"/>
      <c r="AE184" s="69"/>
      <c r="AF184" s="88"/>
      <c r="AG184" s="72"/>
      <c r="AH184" s="4"/>
      <c r="AI184" s="72"/>
      <c r="AJ184" s="110"/>
      <c r="AK184" s="72"/>
      <c r="AL184" s="72"/>
      <c r="AM184" s="72"/>
      <c r="AN184" s="72"/>
      <c r="AO184" s="72"/>
      <c r="AP184" s="72"/>
      <c r="AQ184" s="72"/>
      <c r="AR184" s="110"/>
      <c r="AS184" s="72"/>
      <c r="AT184" s="72"/>
      <c r="AU184" s="4"/>
      <c r="AV184" s="71">
        <f>7*24*60*60*3/7</f>
        <v>259200</v>
      </c>
      <c r="AW184" s="71">
        <f>7*24*60*60*10/7</f>
        <v>864000</v>
      </c>
      <c r="AX184" s="71">
        <f>7*24*60*60*16/7</f>
        <v>1382400</v>
      </c>
      <c r="AY184" s="71">
        <f>7*24*60*60*16/7</f>
        <v>1382400</v>
      </c>
      <c r="AZ184" s="73"/>
      <c r="BA184" s="53"/>
      <c r="BB184" s="53"/>
      <c r="BC184" s="53"/>
      <c r="BD184" s="53"/>
      <c r="BE184" s="53"/>
      <c r="BF184" s="53"/>
      <c r="BG184" s="53"/>
      <c r="BH184" s="53"/>
      <c r="BI184" s="53"/>
      <c r="BJ184" s="53"/>
      <c r="BK184" s="53"/>
      <c r="BL184" s="53"/>
      <c r="BM184" s="53"/>
      <c r="BN184" s="53"/>
      <c r="BO184" s="53"/>
      <c r="BP184" s="53"/>
      <c r="BQ184" s="53"/>
      <c r="BR184" s="53"/>
      <c r="BS184" s="53"/>
      <c r="BT184" s="53"/>
      <c r="BU184" s="53"/>
      <c r="BV184" s="53"/>
      <c r="BW184" s="53"/>
      <c r="BX184" s="53"/>
      <c r="BY184" s="53"/>
      <c r="BZ184" s="53"/>
      <c r="CA184" s="53"/>
      <c r="CB184" s="53"/>
      <c r="CC184" s="53"/>
      <c r="CD184" s="53"/>
      <c r="CE184" s="53"/>
      <c r="CF184" s="53"/>
      <c r="CG184" s="53"/>
      <c r="CH184" s="53"/>
      <c r="CI184" s="53"/>
      <c r="CJ184" s="53"/>
      <c r="CK184" s="53"/>
      <c r="CL184" s="53"/>
      <c r="CM184" s="53"/>
      <c r="CN184" s="53"/>
      <c r="CO184" s="53"/>
      <c r="CP184" s="53"/>
      <c r="CQ184" s="53"/>
      <c r="CR184" s="1"/>
      <c r="CS184" s="1"/>
      <c r="CT184" s="1"/>
      <c r="CU184" s="1"/>
    </row>
    <row r="185" spans="1:99" s="13" customFormat="1" ht="12" customHeight="1" x14ac:dyDescent="0.2">
      <c r="A185" s="68">
        <v>43509</v>
      </c>
      <c r="B185" s="70" t="s">
        <v>141</v>
      </c>
      <c r="C185" s="70" t="s">
        <v>142</v>
      </c>
      <c r="D185" s="69">
        <v>1925</v>
      </c>
      <c r="E185" s="87">
        <v>2</v>
      </c>
      <c r="F185" s="69">
        <v>41</v>
      </c>
      <c r="G185" s="69">
        <v>41</v>
      </c>
      <c r="H185" s="69" t="s">
        <v>38</v>
      </c>
      <c r="I185" s="69" t="s">
        <v>642</v>
      </c>
      <c r="J185" s="69" t="s">
        <v>320</v>
      </c>
      <c r="K185" s="69">
        <f>IF(J185="syllables",1,IF(J185="trigrams",2,IF(J185="strings",3,IF(J185="visual array",4,IF(J185="characters",5,IF(J185="letters",6,IF(J185="free forms",7,IF(J185="odors",8,IF(J185="words",9,IF(J185="pictures",10,IF(J185="object pictures",11,IF(J185="faces",12,IF(J185="names",13,IF(J185="idioms",14,IF(J185="grades",15,IF(J185="syllable-digit pairs",16,IF(J185="trigram-word pairs",17,IF(J185="word-digit pairs",18,IF(J185="English-Swahili pairs",19,IF(J185="spatial position",20,IF(J185="word pairs",21,IF(J185="word triads",22,IF(J185="generated words",23,IF(J185="word definition pairs",24,IF(J185="math problems",25,IF(J185="famous faces",26,IF(J185="famous names",27,IF(J185="famous voices",28,IF(J185="television programs",29,IF(J185="race horses",30,IF(J185="new vocabulary",31,IF(J185="sentences",32,IF(J185="concepts",33,IF(J185="ad slides",34,IF(J185="scenes",35,IF(J185="famous scenes",36,IF(J185="poems",37,IF(J185="walk",38,IF(J185="faces and events",39,IF(J185="events and names",40,IF(J185="flashbulb",41,IF(J185="stories",42,IF(J185="course material",43,IF(J185="autobiographical",44,IF(J185="novels",45,IF(J185="public events",46,"99"))))))))))))))))))))))))))))))))))))))))))))))</f>
        <v>21</v>
      </c>
      <c r="L185" s="69">
        <f>IF(J185="syllables",1,IF(J185="trigrams",1,IF(J185="strings",1,IF(J185="visual array",1,IF(J185="characters",1,IF(J185="letters",1,IF(J185="free forms",1,IF(J185="odors",2,IF(J185="words",2,IF(J185="pictures",2,IF(J185="object pictures",2,IF(J185="faces",2,IF(J185="names",2,IF(J185="idioms","2",IF(J185="grades",2,IF(J185="syllable-digit pairs",3,IF(J185="trigram-word pairs",3,IF(J185="word-digit pairs",3,IF(J185="English-Swahili pairs",3,IF(J185="spatial position",3,IF(J185="word pairs",4,IF(J185="word triads",4,IF(J185="generated words",4,IF(J185="word definition pairs",4,IF(J185="math problems",4,IF(J185="famous faces",4,IF(J185="famous names",4,IF(J185="famous voices",4,IF(J185="television programs",4,IF(J185="race horses",4,IF(J185="new vocabulary",4,IF(J185="sentences",5,IF(J185="concepts",5,IF(J185="ad slides",5,IF(J185="scenes",5,IF(J185="famous scenes",5,IF(J185="poems",6,IF(J185="walk",6,IF(J185="faces and events",6,IF(J185="events and names",6,IF(J185="flashbulb",7,IF(J185="stories",7,IF(J185="course material",7,IF(J185="autobiographical",7,IF(J185="novels",7,IF(J185="public events",7,"99"))))))))))))))))))))))))))))))))))))))))))))))</f>
        <v>4</v>
      </c>
      <c r="M185" s="69">
        <v>1</v>
      </c>
      <c r="N185" s="69">
        <v>2</v>
      </c>
      <c r="O185" s="69">
        <v>0</v>
      </c>
      <c r="P185" s="69"/>
      <c r="Q185" s="69" t="s">
        <v>182</v>
      </c>
      <c r="R185" s="69">
        <f>IF(Q185="Free Recall",1,IF(Q185="Cued Recall",2,IF(Q185="Recognition",3,IF(Q185="Multiple Choice",4,IF(Q185="Savings",5,IF(Q185="Stem Completion",6,IF(Q185="Fragment Completion",7,IF(Q185="anagram solution",8,IF(Q185="Matching",9,IF(Q185="Problem Solving",10,"99"))))))))))</f>
        <v>4</v>
      </c>
      <c r="S185" s="69" t="s">
        <v>234</v>
      </c>
      <c r="T185" s="92" t="s">
        <v>581</v>
      </c>
      <c r="U185" s="69">
        <f>IF(T185="within",1,0)</f>
        <v>1</v>
      </c>
      <c r="V185" s="92">
        <v>10</v>
      </c>
      <c r="W185" s="69">
        <f>F185*V185</f>
        <v>410</v>
      </c>
      <c r="X185" s="69">
        <v>4</v>
      </c>
      <c r="Y185" s="87">
        <f>AV184</f>
        <v>259200</v>
      </c>
      <c r="Z185" s="69" t="s">
        <v>140</v>
      </c>
      <c r="AA185" s="69">
        <v>2419200</v>
      </c>
      <c r="AB185" s="69" t="str">
        <f>IF(AA185&lt;60,"1",IF(AA185&lt;=43200,"2",IF(AA185&lt;=777600,"3","4")))</f>
        <v>4</v>
      </c>
      <c r="AC185" s="72">
        <f>AVERAGE(AV184:DA184)</f>
        <v>972000</v>
      </c>
      <c r="AD185" s="69" t="str">
        <f>IF(AC185&lt;60,"1",IF(AC185&lt;=43200,"2",IF(AC185&lt;=777600,"3","4")))</f>
        <v>4</v>
      </c>
      <c r="AE185" s="87">
        <f>AA185-Y185</f>
        <v>2160000</v>
      </c>
      <c r="AF185" s="88">
        <f>AV185</f>
        <v>0.99</v>
      </c>
      <c r="AG185" s="72">
        <f>((AW185-AV185)+(AX185-AW185)+(AY185-AX185))/3</f>
        <v>-6.3333333333333311E-2</v>
      </c>
      <c r="AH185" s="4"/>
      <c r="AI185" s="72">
        <f>RSQ(AV185:AY185,AV184:AY184)</f>
        <v>0.99555147194581861</v>
      </c>
      <c r="AJ185" s="110">
        <f>SLOPE(AV185:AY185,AV184:AY184)</f>
        <v>-1.7071128863067856E-7</v>
      </c>
      <c r="AK185" s="72">
        <f>INTERCEPT(AV185:AY185,AV184:AY184)</f>
        <v>1.0384313725490197</v>
      </c>
      <c r="AL185" s="72">
        <f>INDEX(LINEST(LN(AV185:AY185),LN(AV184:AY184),TRUE,TRUE),3,1)</f>
        <v>0.92131180535102941</v>
      </c>
      <c r="AM185" s="72">
        <f>INDEX(LINEST(LN(AV185:AY185),LN(AV184:AY184)),1)</f>
        <v>-0.1252567951266868</v>
      </c>
      <c r="AN185" s="72">
        <f>EXP(INDEX(LINEST(LN(AV185:AY185),LN(AV184:AY184)),1,2))</f>
        <v>4.7754387985376683</v>
      </c>
      <c r="AO185" s="89">
        <f>INDEX(LINEST((AV185:AY185),LN(AV184:AY184),TRUE,TRUE),3,1)</f>
        <v>0.93510039399308198</v>
      </c>
      <c r="AP185" s="89">
        <f>INDEX(LINEST((AV185:AY185),LN(AV184:AY184)),1)</f>
        <v>-0.11185927373276755</v>
      </c>
      <c r="AQ185" s="90">
        <f>INDEX(LINEST(LN(AV185:AY185),SQRT(AV184:AY184),TRUE,TRUE),3,1)</f>
        <v>0.9641735226070669</v>
      </c>
      <c r="AR185" s="117">
        <f>INDEX(LINEST(LN(AV185:AY185),SQRT((AV184:AY184))),1)</f>
        <v>-3.2202643130137439E-4</v>
      </c>
      <c r="AS185" s="91">
        <f>INDEX(LINEST(1/(AV185:AY185),1/(SQRT(AV184:AY184)),TRUE,TRUE),3,1)</f>
        <v>0.85338973495820203</v>
      </c>
      <c r="AT185" s="91">
        <f>INDEX(LINEST(1/(AV185:AY185),1/SQRT(AV184:AY184)),1)</f>
        <v>-203.6814123008636</v>
      </c>
      <c r="AU185" s="3"/>
      <c r="AV185" s="73">
        <v>0.99</v>
      </c>
      <c r="AW185" s="73">
        <v>0.9</v>
      </c>
      <c r="AX185" s="73">
        <v>0.8</v>
      </c>
      <c r="AY185" s="73">
        <v>0.8</v>
      </c>
      <c r="AZ185" s="73"/>
      <c r="BA185" s="53"/>
      <c r="BB185" s="53"/>
      <c r="BC185" s="53"/>
      <c r="BD185" s="53"/>
      <c r="BE185" s="53"/>
      <c r="BF185" s="53"/>
      <c r="BG185" s="53"/>
      <c r="BH185" s="53"/>
      <c r="BI185" s="53"/>
      <c r="BJ185" s="53"/>
      <c r="BK185" s="53"/>
      <c r="BL185" s="53"/>
      <c r="BM185" s="53"/>
      <c r="BN185" s="53"/>
      <c r="BO185" s="53"/>
      <c r="BP185" s="53"/>
      <c r="BQ185" s="53"/>
      <c r="BR185" s="53"/>
      <c r="BS185" s="53"/>
      <c r="BT185" s="53"/>
      <c r="BU185" s="53"/>
      <c r="BV185" s="53"/>
      <c r="BW185" s="53"/>
      <c r="BX185" s="53"/>
      <c r="BY185" s="53"/>
      <c r="BZ185" s="53"/>
      <c r="CA185" s="53"/>
      <c r="CB185" s="53"/>
      <c r="CC185" s="53"/>
      <c r="CD185" s="53"/>
      <c r="CE185" s="53"/>
      <c r="CF185" s="53"/>
      <c r="CG185" s="53"/>
      <c r="CH185" s="53"/>
      <c r="CI185" s="53"/>
      <c r="CJ185" s="53"/>
      <c r="CK185" s="53"/>
      <c r="CL185" s="53"/>
      <c r="CM185" s="53"/>
      <c r="CN185" s="53"/>
      <c r="CO185" s="53"/>
      <c r="CP185" s="53"/>
      <c r="CQ185" s="53"/>
      <c r="CR185" s="1"/>
      <c r="CS185" s="1"/>
      <c r="CT185" s="1"/>
      <c r="CU185" s="1"/>
    </row>
    <row r="186" spans="1:99" s="13" customFormat="1" ht="12" customHeight="1" x14ac:dyDescent="0.2">
      <c r="A186" s="68">
        <v>43509</v>
      </c>
      <c r="B186" s="70"/>
      <c r="C186" s="70"/>
      <c r="D186" s="69"/>
      <c r="E186" s="87"/>
      <c r="F186" s="69"/>
      <c r="G186" s="69"/>
      <c r="H186" s="69"/>
      <c r="I186" s="69"/>
      <c r="J186" s="69"/>
      <c r="K186" s="107"/>
      <c r="L186" s="107"/>
      <c r="M186" s="69"/>
      <c r="N186" s="69"/>
      <c r="O186" s="69"/>
      <c r="P186" s="69"/>
      <c r="Q186" s="69"/>
      <c r="R186" s="69"/>
      <c r="S186" s="69"/>
      <c r="T186" s="92"/>
      <c r="U186" s="69"/>
      <c r="V186" s="69"/>
      <c r="W186" s="69"/>
      <c r="X186" s="69"/>
      <c r="Y186" s="87"/>
      <c r="Z186" s="69"/>
      <c r="AA186" s="69"/>
      <c r="AB186" s="69"/>
      <c r="AC186" s="69"/>
      <c r="AD186" s="69"/>
      <c r="AE186" s="69"/>
      <c r="AF186" s="88"/>
      <c r="AG186" s="72"/>
      <c r="AH186" s="4"/>
      <c r="AI186" s="72"/>
      <c r="AJ186" s="110"/>
      <c r="AK186" s="72"/>
      <c r="AL186" s="72"/>
      <c r="AM186" s="72"/>
      <c r="AN186" s="72"/>
      <c r="AO186" s="72"/>
      <c r="AP186" s="72"/>
      <c r="AQ186" s="72"/>
      <c r="AR186" s="110"/>
      <c r="AS186" s="72"/>
      <c r="AT186" s="72"/>
      <c r="AU186" s="4"/>
      <c r="AV186" s="71">
        <f>(4*100)/2</f>
        <v>200</v>
      </c>
      <c r="AW186" s="71">
        <f>7*24*60*60*3/7</f>
        <v>259200</v>
      </c>
      <c r="AX186" s="71">
        <f>7*24*60*60*10/7</f>
        <v>864000</v>
      </c>
      <c r="AY186" s="71">
        <f>7*24*60*60*16/7</f>
        <v>1382400</v>
      </c>
      <c r="AZ186" s="73"/>
      <c r="BA186" s="53"/>
      <c r="BB186" s="53"/>
      <c r="BC186" s="53"/>
      <c r="BD186" s="53"/>
      <c r="BE186" s="53"/>
      <c r="BF186" s="53"/>
      <c r="BG186" s="53"/>
      <c r="BH186" s="53"/>
      <c r="BI186" s="53"/>
      <c r="BJ186" s="53"/>
      <c r="BK186" s="53"/>
      <c r="BL186" s="53"/>
      <c r="BM186" s="53"/>
      <c r="BN186" s="53"/>
      <c r="BO186" s="53"/>
      <c r="BP186" s="53"/>
      <c r="BQ186" s="53"/>
      <c r="BR186" s="53"/>
      <c r="BS186" s="53"/>
      <c r="BT186" s="53"/>
      <c r="BU186" s="53"/>
      <c r="BV186" s="53"/>
      <c r="BW186" s="53"/>
      <c r="BX186" s="53"/>
      <c r="BY186" s="53"/>
      <c r="BZ186" s="53"/>
      <c r="CA186" s="53"/>
      <c r="CB186" s="53"/>
      <c r="CC186" s="53"/>
      <c r="CD186" s="53"/>
      <c r="CE186" s="53"/>
      <c r="CF186" s="53"/>
      <c r="CG186" s="53"/>
      <c r="CH186" s="53"/>
      <c r="CI186" s="53"/>
      <c r="CJ186" s="53"/>
      <c r="CK186" s="53"/>
      <c r="CL186" s="53"/>
      <c r="CM186" s="53"/>
      <c r="CN186" s="53"/>
      <c r="CO186" s="53"/>
      <c r="CP186" s="53"/>
      <c r="CQ186" s="53"/>
      <c r="CR186" s="1"/>
      <c r="CS186" s="1"/>
      <c r="CT186" s="1"/>
      <c r="CU186" s="1"/>
    </row>
    <row r="187" spans="1:99" s="13" customFormat="1" ht="12" customHeight="1" x14ac:dyDescent="0.2">
      <c r="A187" s="68">
        <v>43509</v>
      </c>
      <c r="B187" s="70" t="s">
        <v>141</v>
      </c>
      <c r="C187" s="70" t="s">
        <v>142</v>
      </c>
      <c r="D187" s="69">
        <v>1925</v>
      </c>
      <c r="E187" s="87">
        <v>3</v>
      </c>
      <c r="F187" s="69">
        <v>47</v>
      </c>
      <c r="G187" s="69">
        <v>47</v>
      </c>
      <c r="H187" s="69" t="s">
        <v>398</v>
      </c>
      <c r="I187" s="69" t="s">
        <v>641</v>
      </c>
      <c r="J187" s="69" t="s">
        <v>320</v>
      </c>
      <c r="K187" s="69">
        <f>IF(J187="syllables",1,IF(J187="trigrams",2,IF(J187="strings",3,IF(J187="visual array",4,IF(J187="characters",5,IF(J187="letters",6,IF(J187="free forms",7,IF(J187="odors",8,IF(J187="words",9,IF(J187="pictures",10,IF(J187="object pictures",11,IF(J187="faces",12,IF(J187="names",13,IF(J187="idioms",14,IF(J187="grades",15,IF(J187="syllable-digit pairs",16,IF(J187="trigram-word pairs",17,IF(J187="word-digit pairs",18,IF(J187="English-Swahili pairs",19,IF(J187="spatial position",20,IF(J187="word pairs",21,IF(J187="word triads",22,IF(J187="generated words",23,IF(J187="word definition pairs",24,IF(J187="math problems",25,IF(J187="famous faces",26,IF(J187="famous names",27,IF(J187="famous voices",28,IF(J187="television programs",29,IF(J187="race horses",30,IF(J187="new vocabulary",31,IF(J187="sentences",32,IF(J187="concepts",33,IF(J187="ad slides",34,IF(J187="scenes",35,IF(J187="famous scenes",36,IF(J187="poems",37,IF(J187="walk",38,IF(J187="faces and events",39,IF(J187="events and names",40,IF(J187="flashbulb",41,IF(J187="stories",42,IF(J187="course material",43,IF(J187="autobiographical",44,IF(J187="novels",45,IF(J187="public events",46,"99"))))))))))))))))))))))))))))))))))))))))))))))</f>
        <v>21</v>
      </c>
      <c r="L187" s="69">
        <f>IF(J187="syllables",1,IF(J187="trigrams",1,IF(J187="strings",1,IF(J187="visual array",1,IF(J187="characters",1,IF(J187="letters",1,IF(J187="free forms",1,IF(J187="odors",2,IF(J187="words",2,IF(J187="pictures",2,IF(J187="object pictures",2,IF(J187="faces",2,IF(J187="names",2,IF(J187="idioms","2",IF(J187="grades",2,IF(J187="syllable-digit pairs",3,IF(J187="trigram-word pairs",3,IF(J187="word-digit pairs",3,IF(J187="English-Swahili pairs",3,IF(J187="spatial position",3,IF(J187="word pairs",4,IF(J187="word triads",4,IF(J187="generated words",4,IF(J187="word definition pairs",4,IF(J187="math problems",4,IF(J187="famous faces",4,IF(J187="famous names",4,IF(J187="famous voices",4,IF(J187="television programs",4,IF(J187="race horses",4,IF(J187="new vocabulary",4,IF(J187="sentences",5,IF(J187="concepts",5,IF(J187="ad slides",5,IF(J187="scenes",5,IF(J187="famous scenes",5,IF(J187="poems",6,IF(J187="walk",6,IF(J187="faces and events",6,IF(J187="events and names",6,IF(J187="flashbulb",7,IF(J187="stories",7,IF(J187="course material",7,IF(J187="autobiographical",7,IF(J187="novels",7,IF(J187="public events",7,"99"))))))))))))))))))))))))))))))))))))))))))))))</f>
        <v>4</v>
      </c>
      <c r="M187" s="69">
        <v>1</v>
      </c>
      <c r="N187" s="69">
        <v>2</v>
      </c>
      <c r="O187" s="69">
        <v>0</v>
      </c>
      <c r="P187" s="69"/>
      <c r="Q187" s="69" t="s">
        <v>174</v>
      </c>
      <c r="R187" s="69">
        <f>IF(Q187="Free Recall",1,IF(Q187="Cued Recall",2,IF(Q187="Recognition",3,IF(Q187="Multiple Choice",4,IF(Q187="Savings",5,IF(Q187="Stem Completion",6,IF(Q187="Fragment Completion",7,IF(Q187="anagram solution",8,IF(Q187="Matching",9,IF(Q187="Problem Solving",10,"99"))))))))))</f>
        <v>1</v>
      </c>
      <c r="S187" s="69" t="s">
        <v>234</v>
      </c>
      <c r="T187" s="92" t="s">
        <v>581</v>
      </c>
      <c r="U187" s="69">
        <f>IF(T187="within",1,0)</f>
        <v>1</v>
      </c>
      <c r="V187" s="92">
        <v>10</v>
      </c>
      <c r="W187" s="69">
        <f>F187*V187</f>
        <v>470</v>
      </c>
      <c r="X187" s="69">
        <v>4</v>
      </c>
      <c r="Y187" s="87">
        <f>AV186</f>
        <v>200</v>
      </c>
      <c r="Z187" s="69" t="s">
        <v>140</v>
      </c>
      <c r="AA187" s="69">
        <v>2419200</v>
      </c>
      <c r="AB187" s="69" t="str">
        <f>IF(AA187&lt;60,"1",IF(AA187&lt;=43200,"2",IF(AA187&lt;=777600,"3","4")))</f>
        <v>4</v>
      </c>
      <c r="AC187" s="72">
        <f>AVERAGE(AV186:DA186)</f>
        <v>626450</v>
      </c>
      <c r="AD187" s="69" t="str">
        <f>IF(AC187&lt;60,"1",IF(AC187&lt;=43200,"2",IF(AC187&lt;=777600,"3","4")))</f>
        <v>3</v>
      </c>
      <c r="AE187" s="87">
        <f>AA187-Y187</f>
        <v>2419000</v>
      </c>
      <c r="AF187" s="88">
        <f>AV187</f>
        <v>0.59</v>
      </c>
      <c r="AG187" s="72">
        <f>((AW187-AV187)+(AX187-AW187)+(AY187-AX187))/3</f>
        <v>7.0000000000000021E-2</v>
      </c>
      <c r="AH187" s="4"/>
      <c r="AI187" s="72">
        <f>RSQ(AV187:AY187,AV186:AY186)</f>
        <v>0.46990292297708813</v>
      </c>
      <c r="AJ187" s="110">
        <f>SLOPE(AV187:AY187,AV186:AY186)</f>
        <v>2.9193636726193732E-7</v>
      </c>
      <c r="AK187" s="72">
        <f>INTERCEPT(AV187:AY187,AV186:AY186)</f>
        <v>0.4246164627287593</v>
      </c>
      <c r="AL187" s="72">
        <f>INDEX(LINEST(LN(AV187:AY187),LN(AV186:AY186),TRUE,TRUE),3,1)</f>
        <v>6.4234898876067356E-3</v>
      </c>
      <c r="AM187" s="72">
        <f>INDEX(LINEST(LN(AV187:AY187),LN(AV186:AY186)),1)</f>
        <v>1.1070435583191192E-2</v>
      </c>
      <c r="AN187" s="72">
        <f>EXP(INDEX(LINEST(LN(AV187:AY187),LN(AV186:AY186)),1,2))</f>
        <v>0.48365402973718896</v>
      </c>
      <c r="AO187" s="89">
        <f>INDEX(LINEST((AV187:AY187),LN(AV186:AY186),TRUE,TRUE),3,1)</f>
        <v>4.3193889283728241E-2</v>
      </c>
      <c r="AP187" s="89">
        <f>INDEX(LINEST((AV187:AY187),LN(AV186:AY186)),1)</f>
        <v>1.3317135515209732E-2</v>
      </c>
      <c r="AQ187" s="90">
        <f>INDEX(LINEST(LN(AV187:AY187),SQRT(AV186:AY186),TRUE,TRUE),3,1)</f>
        <v>0.18457250236688263</v>
      </c>
      <c r="AR187" s="117">
        <f>INDEX(LINEST(LN(AV187:AY187),SQRT((AV186:AY186))),1)</f>
        <v>4.8039420005288754E-4</v>
      </c>
      <c r="AS187" s="91">
        <f>INDEX(LINEST(1/(AV187:AY187),1/(SQRT(AV186:AY186)),TRUE,TRUE),3,1)</f>
        <v>3.0609901745207987E-2</v>
      </c>
      <c r="AT187" s="91">
        <f>INDEX(LINEST(1/(AV187:AY187),1/SQRT(AV186:AY186)),1)</f>
        <v>-7.0565957252381653</v>
      </c>
      <c r="AU187" s="3"/>
      <c r="AV187" s="73">
        <v>0.59</v>
      </c>
      <c r="AW187" s="73">
        <v>0.24</v>
      </c>
      <c r="AX187" s="73">
        <v>0.8</v>
      </c>
      <c r="AY187" s="73">
        <v>0.8</v>
      </c>
      <c r="AZ187" s="73"/>
      <c r="BA187" s="53"/>
      <c r="BB187" s="53"/>
      <c r="BC187" s="53"/>
      <c r="BD187" s="53"/>
      <c r="BE187" s="53"/>
      <c r="BF187" s="53"/>
      <c r="BG187" s="53"/>
      <c r="BH187" s="53"/>
      <c r="BI187" s="53"/>
      <c r="BJ187" s="53"/>
      <c r="BK187" s="53"/>
      <c r="BL187" s="53"/>
      <c r="BM187" s="53"/>
      <c r="BN187" s="53"/>
      <c r="BO187" s="53"/>
      <c r="BP187" s="53"/>
      <c r="BQ187" s="53"/>
      <c r="BR187" s="53"/>
      <c r="BS187" s="53"/>
      <c r="BT187" s="53"/>
      <c r="BU187" s="53"/>
      <c r="BV187" s="53"/>
      <c r="BW187" s="53"/>
      <c r="BX187" s="53"/>
      <c r="BY187" s="53"/>
      <c r="BZ187" s="53"/>
      <c r="CA187" s="53"/>
      <c r="CB187" s="53"/>
      <c r="CC187" s="53"/>
      <c r="CD187" s="53"/>
      <c r="CE187" s="53"/>
      <c r="CF187" s="53"/>
      <c r="CG187" s="53"/>
      <c r="CH187" s="53"/>
      <c r="CI187" s="53"/>
      <c r="CJ187" s="53"/>
      <c r="CK187" s="53"/>
      <c r="CL187" s="53"/>
      <c r="CM187" s="53"/>
      <c r="CN187" s="53"/>
      <c r="CO187" s="53"/>
      <c r="CP187" s="53"/>
      <c r="CQ187" s="53"/>
      <c r="CR187" s="1"/>
      <c r="CS187" s="1"/>
      <c r="CT187" s="1"/>
      <c r="CU187" s="1"/>
    </row>
    <row r="188" spans="1:99" s="13" customFormat="1" ht="12" customHeight="1" x14ac:dyDescent="0.2">
      <c r="A188" s="68">
        <v>43509</v>
      </c>
      <c r="B188" s="70"/>
      <c r="C188" s="70"/>
      <c r="D188" s="69"/>
      <c r="E188" s="87"/>
      <c r="F188" s="69"/>
      <c r="G188" s="69"/>
      <c r="H188" s="69"/>
      <c r="I188" s="69"/>
      <c r="J188" s="69"/>
      <c r="K188" s="107"/>
      <c r="L188" s="107"/>
      <c r="M188" s="69"/>
      <c r="N188" s="69"/>
      <c r="O188" s="69"/>
      <c r="P188" s="69"/>
      <c r="Q188" s="69"/>
      <c r="R188" s="69"/>
      <c r="S188" s="69"/>
      <c r="T188" s="69"/>
      <c r="U188" s="69"/>
      <c r="V188" s="69"/>
      <c r="W188" s="69"/>
      <c r="X188" s="69"/>
      <c r="Y188" s="87"/>
      <c r="Z188" s="69"/>
      <c r="AA188" s="69"/>
      <c r="AB188" s="69"/>
      <c r="AC188" s="69"/>
      <c r="AD188" s="69"/>
      <c r="AE188" s="69"/>
      <c r="AF188" s="88"/>
      <c r="AG188" s="72"/>
      <c r="AH188" s="4"/>
      <c r="AI188" s="72"/>
      <c r="AJ188" s="110"/>
      <c r="AK188" s="72"/>
      <c r="AL188" s="72"/>
      <c r="AM188" s="72"/>
      <c r="AN188" s="72"/>
      <c r="AO188" s="72"/>
      <c r="AP188" s="72"/>
      <c r="AQ188" s="72"/>
      <c r="AR188" s="110"/>
      <c r="AS188" s="72"/>
      <c r="AT188" s="72"/>
      <c r="AU188" s="4"/>
      <c r="AV188" s="71">
        <f>7*24*60*60*3/7</f>
        <v>259200</v>
      </c>
      <c r="AW188" s="71">
        <f>7*24*60*60*10/7</f>
        <v>864000</v>
      </c>
      <c r="AX188" s="71">
        <f>7*24*60*60*16/7</f>
        <v>1382400</v>
      </c>
      <c r="AY188" s="102"/>
      <c r="AZ188" s="73"/>
      <c r="BA188" s="53"/>
      <c r="BB188" s="53"/>
      <c r="BC188" s="53"/>
      <c r="BD188" s="53"/>
      <c r="BE188" s="53"/>
      <c r="BF188" s="53"/>
      <c r="BG188" s="53"/>
      <c r="BH188" s="53"/>
      <c r="BI188" s="53"/>
      <c r="BJ188" s="53"/>
      <c r="BK188" s="53"/>
      <c r="BL188" s="53"/>
      <c r="BM188" s="53"/>
      <c r="BN188" s="53"/>
      <c r="BO188" s="53"/>
      <c r="BP188" s="53"/>
      <c r="BQ188" s="53"/>
      <c r="BR188" s="53"/>
      <c r="BS188" s="53"/>
      <c r="BT188" s="53"/>
      <c r="BU188" s="53"/>
      <c r="BV188" s="53"/>
      <c r="BW188" s="53"/>
      <c r="BX188" s="53"/>
      <c r="BY188" s="53"/>
      <c r="BZ188" s="53"/>
      <c r="CA188" s="53"/>
      <c r="CB188" s="53"/>
      <c r="CC188" s="53"/>
      <c r="CD188" s="53"/>
      <c r="CE188" s="53"/>
      <c r="CF188" s="53"/>
      <c r="CG188" s="53"/>
      <c r="CH188" s="53"/>
      <c r="CI188" s="53"/>
      <c r="CJ188" s="53"/>
      <c r="CK188" s="53"/>
      <c r="CL188" s="53"/>
      <c r="CM188" s="53"/>
      <c r="CN188" s="53"/>
      <c r="CO188" s="53"/>
      <c r="CP188" s="53"/>
      <c r="CQ188" s="53"/>
      <c r="CR188" s="1"/>
      <c r="CS188" s="1"/>
      <c r="CT188" s="1"/>
      <c r="CU188" s="1"/>
    </row>
    <row r="189" spans="1:99" s="13" customFormat="1" ht="12" customHeight="1" x14ac:dyDescent="0.2">
      <c r="A189" s="68">
        <v>43509</v>
      </c>
      <c r="B189" s="70" t="s">
        <v>141</v>
      </c>
      <c r="C189" s="70" t="s">
        <v>142</v>
      </c>
      <c r="D189" s="69">
        <v>1925</v>
      </c>
      <c r="E189" s="87">
        <v>3</v>
      </c>
      <c r="F189" s="69">
        <v>47</v>
      </c>
      <c r="G189" s="69">
        <v>47</v>
      </c>
      <c r="H189" s="69" t="s">
        <v>398</v>
      </c>
      <c r="I189" s="69" t="s">
        <v>642</v>
      </c>
      <c r="J189" s="69" t="s">
        <v>320</v>
      </c>
      <c r="K189" s="69">
        <f>IF(J189="syllables",1,IF(J189="trigrams",2,IF(J189="strings",3,IF(J189="visual array",4,IF(J189="characters",5,IF(J189="letters",6,IF(J189="free forms",7,IF(J189="odors",8,IF(J189="words",9,IF(J189="pictures",10,IF(J189="object pictures",11,IF(J189="faces",12,IF(J189="names",13,IF(J189="idioms",14,IF(J189="grades",15,IF(J189="syllable-digit pairs",16,IF(J189="trigram-word pairs",17,IF(J189="word-digit pairs",18,IF(J189="English-Swahili pairs",19,IF(J189="spatial position",20,IF(J189="word pairs",21,IF(J189="word triads",22,IF(J189="generated words",23,IF(J189="word definition pairs",24,IF(J189="math problems",25,IF(J189="famous faces",26,IF(J189="famous names",27,IF(J189="famous voices",28,IF(J189="television programs",29,IF(J189="race horses",30,IF(J189="new vocabulary",31,IF(J189="sentences",32,IF(J189="concepts",33,IF(J189="ad slides",34,IF(J189="scenes",35,IF(J189="famous scenes",36,IF(J189="poems",37,IF(J189="walk",38,IF(J189="faces and events",39,IF(J189="events and names",40,IF(J189="flashbulb",41,IF(J189="stories",42,IF(J189="course material",43,IF(J189="autobiographical",44,IF(J189="novels",45,IF(J189="public events",46,"99"))))))))))))))))))))))))))))))))))))))))))))))</f>
        <v>21</v>
      </c>
      <c r="L189" s="69">
        <f>IF(J189="syllables",1,IF(J189="trigrams",1,IF(J189="strings",1,IF(J189="visual array",1,IF(J189="characters",1,IF(J189="letters",1,IF(J189="free forms",1,IF(J189="odors",2,IF(J189="words",2,IF(J189="pictures",2,IF(J189="object pictures",2,IF(J189="faces",2,IF(J189="names",2,IF(J189="idioms","2",IF(J189="grades",2,IF(J189="syllable-digit pairs",3,IF(J189="trigram-word pairs",3,IF(J189="word-digit pairs",3,IF(J189="English-Swahili pairs",3,IF(J189="spatial position",3,IF(J189="word pairs",4,IF(J189="word triads",4,IF(J189="generated words",4,IF(J189="word definition pairs",4,IF(J189="math problems",4,IF(J189="famous faces",4,IF(J189="famous names",4,IF(J189="famous voices",4,IF(J189="television programs",4,IF(J189="race horses",4,IF(J189="new vocabulary",4,IF(J189="sentences",5,IF(J189="concepts",5,IF(J189="ad slides",5,IF(J189="scenes",5,IF(J189="famous scenes",5,IF(J189="poems",6,IF(J189="walk",6,IF(J189="faces and events",6,IF(J189="events and names",6,IF(J189="flashbulb",7,IF(J189="stories",7,IF(J189="course material",7,IF(J189="autobiographical",7,IF(J189="novels",7,IF(J189="public events",7,"99"))))))))))))))))))))))))))))))))))))))))))))))</f>
        <v>4</v>
      </c>
      <c r="M189" s="69">
        <v>1</v>
      </c>
      <c r="N189" s="69">
        <v>2</v>
      </c>
      <c r="O189" s="69">
        <v>0</v>
      </c>
      <c r="P189" s="69"/>
      <c r="Q189" s="69" t="s">
        <v>174</v>
      </c>
      <c r="R189" s="69">
        <f>IF(Q189="Free Recall",1,IF(Q189="Cued Recall",2,IF(Q189="Recognition",3,IF(Q189="Multiple Choice",4,IF(Q189="Savings",5,IF(Q189="Stem Completion",6,IF(Q189="Fragment Completion",7,IF(Q189="anagram solution",8,IF(Q189="Matching",9,IF(Q189="Problem Solving",10,"99"))))))))))</f>
        <v>1</v>
      </c>
      <c r="S189" s="69" t="s">
        <v>234</v>
      </c>
      <c r="T189" s="92" t="s">
        <v>581</v>
      </c>
      <c r="U189" s="69">
        <f>IF(T189="within",1,0)</f>
        <v>1</v>
      </c>
      <c r="V189" s="92">
        <v>10</v>
      </c>
      <c r="W189" s="69">
        <f>F189*V189</f>
        <v>470</v>
      </c>
      <c r="X189" s="69">
        <v>3</v>
      </c>
      <c r="Y189" s="87">
        <f>AV188</f>
        <v>259200</v>
      </c>
      <c r="Z189" s="69" t="s">
        <v>140</v>
      </c>
      <c r="AA189" s="69">
        <v>2419200</v>
      </c>
      <c r="AB189" s="69" t="str">
        <f>IF(AA189&lt;60,"1",IF(AA189&lt;=43200,"2",IF(AA189&lt;=777600,"3","4")))</f>
        <v>4</v>
      </c>
      <c r="AC189" s="72">
        <f>AVERAGE(AV188:DA188)</f>
        <v>835200</v>
      </c>
      <c r="AD189" s="69" t="str">
        <f>IF(AC189&lt;60,"1",IF(AC189&lt;=43200,"2",IF(AC189&lt;=777600,"3","4")))</f>
        <v>4</v>
      </c>
      <c r="AE189" s="87">
        <f>AA189-Y189</f>
        <v>2160000</v>
      </c>
      <c r="AF189" s="88">
        <f>AV189</f>
        <v>0.65</v>
      </c>
      <c r="AG189" s="72">
        <f>((AW189-AV189)+(AX189-AW189))/2</f>
        <v>-0.22000000000000003</v>
      </c>
      <c r="AH189" s="4"/>
      <c r="AI189" s="72">
        <f>RSQ(AV189:AX189,AV188:AX188)</f>
        <v>0.9212756294112221</v>
      </c>
      <c r="AJ189" s="110">
        <f>SLOPE(AV189:AX189,AV188:AX188)</f>
        <v>-3.9689049285505984E-7</v>
      </c>
      <c r="AK189" s="72">
        <f>INTERCEPT(AV189:AX189,AV188:AX188)</f>
        <v>0.71814960629921265</v>
      </c>
      <c r="AL189" s="72">
        <f>INDEX(LINEST(LN(AV189:AX189),LN(AV188:AX188),TRUE,TRUE),3,1)</f>
        <v>0.99853921344178687</v>
      </c>
      <c r="AM189" s="72">
        <f>INDEX(LINEST(LN(AV189:AX189),LN(AV188:AX188)),1)</f>
        <v>-0.66848613975194271</v>
      </c>
      <c r="AN189" s="72">
        <f>EXP(INDEX(LINEST(LN(AV189:AX189),LN(AV188:AX188)),1,2))</f>
        <v>2721.8646112133324</v>
      </c>
      <c r="AO189" s="89">
        <f>INDEX(LINEST((AV189:AX189),LN(AV188:AX188),TRUE,TRUE),3,1)</f>
        <v>0.99347852900894018</v>
      </c>
      <c r="AP189" s="89">
        <f>INDEX(LINEST((AV189:AX189),LN(AV188:AX188)),1)</f>
        <v>-0.2683510142310544</v>
      </c>
      <c r="AQ189" s="90">
        <f>INDEX(LINEST(LN(AV189:AX189),SQRT(AV188:AX188),TRUE,TRUE),3,1)</f>
        <v>0.99640418377092466</v>
      </c>
      <c r="AR189" s="117">
        <f>INDEX(LINEST(LN(AV189:AX189),SQRT((AV188:AX188))),1)</f>
        <v>-1.7103673641531817E-3</v>
      </c>
      <c r="AS189" s="91">
        <f>INDEX(LINEST(1/(AV189:AX189),1/(SQRT(AV188:AX188)),TRUE,TRUE),3,1)</f>
        <v>0.93111474075430534</v>
      </c>
      <c r="AT189" s="91">
        <f>INDEX(LINEST(1/(AV189:AX189),1/SQRT(AV188:AX188)),1)</f>
        <v>-2646.9601144353173</v>
      </c>
      <c r="AU189" s="3"/>
      <c r="AV189" s="73">
        <v>0.65</v>
      </c>
      <c r="AW189" s="73">
        <v>0.3</v>
      </c>
      <c r="AX189" s="73">
        <v>0.21</v>
      </c>
      <c r="AY189" s="102"/>
      <c r="AZ189" s="73"/>
      <c r="BA189" s="53"/>
      <c r="BB189" s="53"/>
      <c r="BC189" s="53"/>
      <c r="BD189" s="53"/>
      <c r="BE189" s="53"/>
      <c r="BF189" s="53"/>
      <c r="BG189" s="53"/>
      <c r="BH189" s="53"/>
      <c r="BI189" s="53"/>
      <c r="BJ189" s="53"/>
      <c r="BK189" s="53"/>
      <c r="BL189" s="53"/>
      <c r="BM189" s="53"/>
      <c r="BN189" s="53"/>
      <c r="BO189" s="53"/>
      <c r="BP189" s="53"/>
      <c r="BQ189" s="53"/>
      <c r="BR189" s="53"/>
      <c r="BS189" s="53"/>
      <c r="BT189" s="53"/>
      <c r="BU189" s="53"/>
      <c r="BV189" s="53"/>
      <c r="BW189" s="53"/>
      <c r="BX189" s="53"/>
      <c r="BY189" s="53"/>
      <c r="BZ189" s="53"/>
      <c r="CA189" s="53"/>
      <c r="CB189" s="53"/>
      <c r="CC189" s="53"/>
      <c r="CD189" s="53"/>
      <c r="CE189" s="53"/>
      <c r="CF189" s="53"/>
      <c r="CG189" s="53"/>
      <c r="CH189" s="53"/>
      <c r="CI189" s="53"/>
      <c r="CJ189" s="53"/>
      <c r="CK189" s="53"/>
      <c r="CL189" s="53"/>
      <c r="CM189" s="53"/>
      <c r="CN189" s="53"/>
      <c r="CO189" s="53"/>
      <c r="CP189" s="53"/>
      <c r="CQ189" s="53"/>
      <c r="CR189" s="1"/>
      <c r="CS189" s="1"/>
      <c r="CT189" s="1"/>
      <c r="CU189" s="1"/>
    </row>
    <row r="190" spans="1:99" s="13" customFormat="1" ht="12" customHeight="1" x14ac:dyDescent="0.2">
      <c r="A190" s="68">
        <v>43509</v>
      </c>
      <c r="B190" s="70"/>
      <c r="C190" s="70"/>
      <c r="D190" s="69"/>
      <c r="E190" s="87"/>
      <c r="F190" s="69"/>
      <c r="G190" s="69"/>
      <c r="H190" s="69"/>
      <c r="I190" s="69"/>
      <c r="J190" s="69"/>
      <c r="K190" s="107"/>
      <c r="L190" s="107"/>
      <c r="M190" s="69"/>
      <c r="N190" s="69"/>
      <c r="O190" s="69"/>
      <c r="P190" s="69"/>
      <c r="Q190" s="69"/>
      <c r="R190" s="69"/>
      <c r="S190" s="69"/>
      <c r="T190" s="69"/>
      <c r="U190" s="69"/>
      <c r="V190" s="69"/>
      <c r="W190" s="69"/>
      <c r="X190" s="69"/>
      <c r="Y190" s="87"/>
      <c r="Z190" s="69"/>
      <c r="AA190" s="69"/>
      <c r="AB190" s="69"/>
      <c r="AC190" s="69"/>
      <c r="AD190" s="69"/>
      <c r="AE190" s="69"/>
      <c r="AF190" s="88"/>
      <c r="AG190" s="72"/>
      <c r="AH190" s="4"/>
      <c r="AI190" s="72"/>
      <c r="AJ190" s="110"/>
      <c r="AK190" s="72"/>
      <c r="AL190" s="72"/>
      <c r="AM190" s="72"/>
      <c r="AN190" s="72"/>
      <c r="AO190" s="72"/>
      <c r="AP190" s="72"/>
      <c r="AQ190" s="72"/>
      <c r="AR190" s="110"/>
      <c r="AS190" s="72"/>
      <c r="AT190" s="72"/>
      <c r="AU190" s="4"/>
      <c r="AV190" s="71">
        <f>(4*100)/2</f>
        <v>200</v>
      </c>
      <c r="AW190" s="71">
        <f>7*24*60*60*3/7</f>
        <v>259200</v>
      </c>
      <c r="AX190" s="71">
        <f>7*24*60*60*10/7</f>
        <v>864000</v>
      </c>
      <c r="AY190" s="71">
        <f>7*24*60*60*16/7</f>
        <v>1382400</v>
      </c>
      <c r="AZ190" s="73"/>
      <c r="BA190" s="53"/>
      <c r="BB190" s="53"/>
      <c r="BC190" s="53"/>
      <c r="BD190" s="53"/>
      <c r="BE190" s="53"/>
      <c r="BF190" s="53"/>
      <c r="BG190" s="53"/>
      <c r="BH190" s="53"/>
      <c r="BI190" s="53"/>
      <c r="BJ190" s="53"/>
      <c r="BK190" s="53"/>
      <c r="BL190" s="53"/>
      <c r="BM190" s="53"/>
      <c r="BN190" s="53"/>
      <c r="BO190" s="53"/>
      <c r="BP190" s="53"/>
      <c r="BQ190" s="53"/>
      <c r="BR190" s="53"/>
      <c r="BS190" s="53"/>
      <c r="BT190" s="53"/>
      <c r="BU190" s="53"/>
      <c r="BV190" s="53"/>
      <c r="BW190" s="53"/>
      <c r="BX190" s="53"/>
      <c r="BY190" s="53"/>
      <c r="BZ190" s="53"/>
      <c r="CA190" s="53"/>
      <c r="CB190" s="53"/>
      <c r="CC190" s="53"/>
      <c r="CD190" s="53"/>
      <c r="CE190" s="53"/>
      <c r="CF190" s="53"/>
      <c r="CG190" s="53"/>
      <c r="CH190" s="53"/>
      <c r="CI190" s="53"/>
      <c r="CJ190" s="53"/>
      <c r="CK190" s="53"/>
      <c r="CL190" s="53"/>
      <c r="CM190" s="53"/>
      <c r="CN190" s="53"/>
      <c r="CO190" s="53"/>
      <c r="CP190" s="53"/>
      <c r="CQ190" s="53"/>
      <c r="CR190" s="1"/>
      <c r="CS190" s="1"/>
      <c r="CT190" s="1"/>
      <c r="CU190" s="1"/>
    </row>
    <row r="191" spans="1:99" s="13" customFormat="1" ht="12" customHeight="1" x14ac:dyDescent="0.2">
      <c r="A191" s="68">
        <v>43509</v>
      </c>
      <c r="B191" s="70" t="s">
        <v>141</v>
      </c>
      <c r="C191" s="70" t="s">
        <v>142</v>
      </c>
      <c r="D191" s="69">
        <v>1925</v>
      </c>
      <c r="E191" s="87">
        <v>3</v>
      </c>
      <c r="F191" s="69">
        <v>47</v>
      </c>
      <c r="G191" s="69">
        <v>47</v>
      </c>
      <c r="H191" s="69" t="s">
        <v>398</v>
      </c>
      <c r="I191" s="69" t="s">
        <v>641</v>
      </c>
      <c r="J191" s="69" t="s">
        <v>320</v>
      </c>
      <c r="K191" s="69">
        <f>IF(J191="syllables",1,IF(J191="trigrams",2,IF(J191="strings",3,IF(J191="visual array",4,IF(J191="characters",5,IF(J191="letters",6,IF(J191="free forms",7,IF(J191="odors",8,IF(J191="words",9,IF(J191="pictures",10,IF(J191="object pictures",11,IF(J191="faces",12,IF(J191="names",13,IF(J191="idioms",14,IF(J191="grades",15,IF(J191="syllable-digit pairs",16,IF(J191="trigram-word pairs",17,IF(J191="word-digit pairs",18,IF(J191="English-Swahili pairs",19,IF(J191="spatial position",20,IF(J191="word pairs",21,IF(J191="word triads",22,IF(J191="generated words",23,IF(J191="word definition pairs",24,IF(J191="math problems",25,IF(J191="famous faces",26,IF(J191="famous names",27,IF(J191="famous voices",28,IF(J191="television programs",29,IF(J191="race horses",30,IF(J191="new vocabulary",31,IF(J191="sentences",32,IF(J191="concepts",33,IF(J191="ad slides",34,IF(J191="scenes",35,IF(J191="famous scenes",36,IF(J191="poems",37,IF(J191="walk",38,IF(J191="faces and events",39,IF(J191="events and names",40,IF(J191="flashbulb",41,IF(J191="stories",42,IF(J191="course material",43,IF(J191="autobiographical",44,IF(J191="novels",45,IF(J191="public events",46,"99"))))))))))))))))))))))))))))))))))))))))))))))</f>
        <v>21</v>
      </c>
      <c r="L191" s="69">
        <f>IF(J191="syllables",1,IF(J191="trigrams",1,IF(J191="strings",1,IF(J191="visual array",1,IF(J191="characters",1,IF(J191="letters",1,IF(J191="free forms",1,IF(J191="odors",2,IF(J191="words",2,IF(J191="pictures",2,IF(J191="object pictures",2,IF(J191="faces",2,IF(J191="names",2,IF(J191="idioms","2",IF(J191="grades",2,IF(J191="syllable-digit pairs",3,IF(J191="trigram-word pairs",3,IF(J191="word-digit pairs",3,IF(J191="English-Swahili pairs",3,IF(J191="spatial position",3,IF(J191="word pairs",4,IF(J191="word triads",4,IF(J191="generated words",4,IF(J191="word definition pairs",4,IF(J191="math problems",4,IF(J191="famous faces",4,IF(J191="famous names",4,IF(J191="famous voices",4,IF(J191="television programs",4,IF(J191="race horses",4,IF(J191="new vocabulary",4,IF(J191="sentences",5,IF(J191="concepts",5,IF(J191="ad slides",5,IF(J191="scenes",5,IF(J191="famous scenes",5,IF(J191="poems",6,IF(J191="walk",6,IF(J191="faces and events",6,IF(J191="events and names",6,IF(J191="flashbulb",7,IF(J191="stories",7,IF(J191="course material",7,IF(J191="autobiographical",7,IF(J191="novels",7,IF(J191="public events",7,"99"))))))))))))))))))))))))))))))))))))))))))))))</f>
        <v>4</v>
      </c>
      <c r="M191" s="69">
        <v>1</v>
      </c>
      <c r="N191" s="69">
        <v>2</v>
      </c>
      <c r="O191" s="69">
        <v>0</v>
      </c>
      <c r="P191" s="69"/>
      <c r="Q191" s="69" t="s">
        <v>182</v>
      </c>
      <c r="R191" s="69">
        <f>IF(Q191="Free Recall",1,IF(Q191="Cued Recall",2,IF(Q191="Recognition",3,IF(Q191="Multiple Choice",4,IF(Q191="Savings",5,IF(Q191="Stem Completion",6,IF(Q191="Fragment Completion",7,IF(Q191="anagram solution",8,IF(Q191="Matching",9,IF(Q191="Problem Solving",10,"99"))))))))))</f>
        <v>4</v>
      </c>
      <c r="S191" s="69" t="s">
        <v>234</v>
      </c>
      <c r="T191" s="92" t="s">
        <v>581</v>
      </c>
      <c r="U191" s="69">
        <f>IF(T191="within",1,0)</f>
        <v>1</v>
      </c>
      <c r="V191" s="92">
        <v>10</v>
      </c>
      <c r="W191" s="69">
        <f>F191*V191</f>
        <v>470</v>
      </c>
      <c r="X191" s="69">
        <v>4</v>
      </c>
      <c r="Y191" s="87">
        <f>AV190</f>
        <v>200</v>
      </c>
      <c r="Z191" s="69" t="s">
        <v>140</v>
      </c>
      <c r="AA191" s="69">
        <v>2419200</v>
      </c>
      <c r="AB191" s="69" t="str">
        <f>IF(AA191&lt;60,"1",IF(AA191&lt;=43200,"2",IF(AA191&lt;=777600,"3","4")))</f>
        <v>4</v>
      </c>
      <c r="AC191" s="72">
        <f>AVERAGE(AV190:DA190)</f>
        <v>626450</v>
      </c>
      <c r="AD191" s="69" t="str">
        <f>IF(AC191&lt;60,"1",IF(AC191&lt;=43200,"2",IF(AC191&lt;=777600,"3","4")))</f>
        <v>3</v>
      </c>
      <c r="AE191" s="87">
        <f>AA191-Y191</f>
        <v>2419000</v>
      </c>
      <c r="AF191" s="88">
        <f>AV191</f>
        <v>0.95</v>
      </c>
      <c r="AG191" s="72">
        <f>((AW191-AV191)+(AX191-AW191)+(AY191-AX191))/3</f>
        <v>-9.6666666666666637E-2</v>
      </c>
      <c r="AH191" s="4"/>
      <c r="AI191" s="72">
        <f>RSQ(AV191:AY191,AV190:AY190)</f>
        <v>0.92178749270917226</v>
      </c>
      <c r="AJ191" s="110">
        <f>SLOPE(AV191:AY191,AV190:AY190)</f>
        <v>-1.8755540868654081E-7</v>
      </c>
      <c r="AK191" s="72">
        <f>INTERCEPT(AV191:AY191,AV190:AY190)</f>
        <v>0.91499408577168362</v>
      </c>
      <c r="AL191" s="72">
        <f>INDEX(LINEST(LN(AV191:AY191),LN(AV190:AY190),TRUE,TRUE),3,1)</f>
        <v>0.78584447993003959</v>
      </c>
      <c r="AM191" s="72">
        <f>INDEX(LINEST(LN(AV191:AY191),LN(AV190:AY190)),1)</f>
        <v>-3.2653784473412759E-2</v>
      </c>
      <c r="AN191" s="72">
        <f>EXP(INDEX(LINEST(LN(AV191:AY191),LN(AV190:AY190)),1,2))</f>
        <v>1.1469464485795819</v>
      </c>
      <c r="AO191" s="89">
        <f>INDEX(LINEST((AV191:AY191),LN(AV190:AY190),TRUE,TRUE),3,1)</f>
        <v>0.83259473987406729</v>
      </c>
      <c r="AP191" s="89">
        <f>INDEX(LINEST((AV191:AY191),LN(AV190:AY190)),1)</f>
        <v>-2.6819245520803281E-2</v>
      </c>
      <c r="AQ191" s="90">
        <f>INDEX(LINEST(LN(AV191:AY191),SQRT(AV190:AY190),TRUE,TRUE),3,1)</f>
        <v>0.96368518379171042</v>
      </c>
      <c r="AR191" s="117">
        <f>INDEX(LINEST(LN(AV191:AY191),SQRT((AV190:AY190))),1)</f>
        <v>-2.9273043487145059E-4</v>
      </c>
      <c r="AS191" s="91">
        <f>INDEX(LINEST(1/(AV191:AY191),1/(SQRT(AV190:AY190)),TRUE,TRUE),3,1)</f>
        <v>0.60517585152111097</v>
      </c>
      <c r="AT191" s="91">
        <f>INDEX(LINEST(1/(AV191:AY191),1/SQRT(AV190:AY190)),1)</f>
        <v>-4.3277419395009451</v>
      </c>
      <c r="AU191" s="3"/>
      <c r="AV191" s="73">
        <v>0.95</v>
      </c>
      <c r="AW191" s="73">
        <v>0.82</v>
      </c>
      <c r="AX191" s="73">
        <v>0.76</v>
      </c>
      <c r="AY191" s="73">
        <v>0.66</v>
      </c>
      <c r="AZ191" s="73"/>
      <c r="BA191" s="53"/>
      <c r="BB191" s="53"/>
      <c r="BC191" s="53"/>
      <c r="BD191" s="53"/>
      <c r="BE191" s="53"/>
      <c r="BF191" s="53"/>
      <c r="BG191" s="53"/>
      <c r="BH191" s="53"/>
      <c r="BI191" s="53"/>
      <c r="BJ191" s="53"/>
      <c r="BK191" s="53"/>
      <c r="BL191" s="53"/>
      <c r="BM191" s="53"/>
      <c r="BN191" s="53"/>
      <c r="BO191" s="53"/>
      <c r="BP191" s="53"/>
      <c r="BQ191" s="53"/>
      <c r="BR191" s="53"/>
      <c r="BS191" s="53"/>
      <c r="BT191" s="53"/>
      <c r="BU191" s="53"/>
      <c r="BV191" s="53"/>
      <c r="BW191" s="53"/>
      <c r="BX191" s="53"/>
      <c r="BY191" s="53"/>
      <c r="BZ191" s="53"/>
      <c r="CA191" s="53"/>
      <c r="CB191" s="53"/>
      <c r="CC191" s="53"/>
      <c r="CD191" s="53"/>
      <c r="CE191" s="53"/>
      <c r="CF191" s="53"/>
      <c r="CG191" s="53"/>
      <c r="CH191" s="53"/>
      <c r="CI191" s="53"/>
      <c r="CJ191" s="53"/>
      <c r="CK191" s="53"/>
      <c r="CL191" s="53"/>
      <c r="CM191" s="53"/>
      <c r="CN191" s="53"/>
      <c r="CO191" s="53"/>
      <c r="CP191" s="53"/>
      <c r="CQ191" s="53"/>
      <c r="CR191" s="1"/>
      <c r="CS191" s="1"/>
      <c r="CT191" s="1"/>
      <c r="CU191" s="1"/>
    </row>
    <row r="192" spans="1:99" s="13" customFormat="1" ht="12" customHeight="1" x14ac:dyDescent="0.2">
      <c r="A192" s="68">
        <v>43509</v>
      </c>
      <c r="B192" s="70"/>
      <c r="C192" s="70"/>
      <c r="D192" s="69"/>
      <c r="E192" s="87"/>
      <c r="F192" s="69"/>
      <c r="G192" s="69"/>
      <c r="H192" s="69"/>
      <c r="I192" s="69"/>
      <c r="J192" s="69"/>
      <c r="K192" s="107"/>
      <c r="L192" s="107"/>
      <c r="M192" s="69"/>
      <c r="N192" s="69"/>
      <c r="O192" s="69"/>
      <c r="P192" s="69"/>
      <c r="Q192" s="69"/>
      <c r="R192" s="69"/>
      <c r="S192" s="69"/>
      <c r="T192" s="69"/>
      <c r="U192" s="69"/>
      <c r="V192" s="69"/>
      <c r="W192" s="69"/>
      <c r="X192" s="69"/>
      <c r="Y192" s="87"/>
      <c r="Z192" s="69"/>
      <c r="AA192" s="69"/>
      <c r="AB192" s="69"/>
      <c r="AC192" s="69"/>
      <c r="AD192" s="69"/>
      <c r="AE192" s="69"/>
      <c r="AF192" s="88"/>
      <c r="AG192" s="72"/>
      <c r="AH192" s="4"/>
      <c r="AI192" s="72"/>
      <c r="AJ192" s="110"/>
      <c r="AK192" s="72"/>
      <c r="AL192" s="72"/>
      <c r="AM192" s="72"/>
      <c r="AN192" s="72"/>
      <c r="AO192" s="72"/>
      <c r="AP192" s="72"/>
      <c r="AQ192" s="72"/>
      <c r="AR192" s="110"/>
      <c r="AS192" s="72"/>
      <c r="AT192" s="72"/>
      <c r="AU192" s="4"/>
      <c r="AV192" s="71">
        <f>7*24*60*60*3/7</f>
        <v>259200</v>
      </c>
      <c r="AW192" s="71">
        <f>7*24*60*60*10/7</f>
        <v>864000</v>
      </c>
      <c r="AX192" s="71">
        <f>7*24*60*60*16/7</f>
        <v>1382400</v>
      </c>
      <c r="AY192" s="102"/>
      <c r="AZ192" s="73"/>
      <c r="BA192" s="53"/>
      <c r="BB192" s="53"/>
      <c r="BC192" s="53"/>
      <c r="BD192" s="53"/>
      <c r="BE192" s="53"/>
      <c r="BF192" s="53"/>
      <c r="BG192" s="53"/>
      <c r="BH192" s="53"/>
      <c r="BI192" s="53"/>
      <c r="BJ192" s="53"/>
      <c r="BK192" s="53"/>
      <c r="BL192" s="53"/>
      <c r="BM192" s="53"/>
      <c r="BN192" s="53"/>
      <c r="BO192" s="53"/>
      <c r="BP192" s="53"/>
      <c r="BQ192" s="53"/>
      <c r="BR192" s="53"/>
      <c r="BS192" s="53"/>
      <c r="BT192" s="53"/>
      <c r="BU192" s="53"/>
      <c r="BV192" s="53"/>
      <c r="BW192" s="53"/>
      <c r="BX192" s="53"/>
      <c r="BY192" s="53"/>
      <c r="BZ192" s="53"/>
      <c r="CA192" s="53"/>
      <c r="CB192" s="53"/>
      <c r="CC192" s="53"/>
      <c r="CD192" s="53"/>
      <c r="CE192" s="53"/>
      <c r="CF192" s="53"/>
      <c r="CG192" s="53"/>
      <c r="CH192" s="53"/>
      <c r="CI192" s="53"/>
      <c r="CJ192" s="53"/>
      <c r="CK192" s="53"/>
      <c r="CL192" s="53"/>
      <c r="CM192" s="53"/>
      <c r="CN192" s="53"/>
      <c r="CO192" s="53"/>
      <c r="CP192" s="53"/>
      <c r="CQ192" s="53"/>
      <c r="CR192" s="1"/>
      <c r="CS192" s="1"/>
      <c r="CT192" s="1"/>
      <c r="CU192" s="1"/>
    </row>
    <row r="193" spans="1:99" s="13" customFormat="1" ht="12" customHeight="1" x14ac:dyDescent="0.2">
      <c r="A193" s="68">
        <v>43509</v>
      </c>
      <c r="B193" s="70" t="s">
        <v>141</v>
      </c>
      <c r="C193" s="70" t="s">
        <v>142</v>
      </c>
      <c r="D193" s="69">
        <v>1925</v>
      </c>
      <c r="E193" s="87">
        <v>3</v>
      </c>
      <c r="F193" s="69">
        <v>47</v>
      </c>
      <c r="G193" s="69">
        <v>47</v>
      </c>
      <c r="H193" s="69" t="s">
        <v>398</v>
      </c>
      <c r="I193" s="69" t="s">
        <v>642</v>
      </c>
      <c r="J193" s="69" t="s">
        <v>320</v>
      </c>
      <c r="K193" s="69">
        <f>IF(J193="syllables",1,IF(J193="trigrams",2,IF(J193="strings",3,IF(J193="visual array",4,IF(J193="characters",5,IF(J193="letters",6,IF(J193="free forms",7,IF(J193="odors",8,IF(J193="words",9,IF(J193="pictures",10,IF(J193="object pictures",11,IF(J193="faces",12,IF(J193="names",13,IF(J193="idioms",14,IF(J193="grades",15,IF(J193="syllable-digit pairs",16,IF(J193="trigram-word pairs",17,IF(J193="word-digit pairs",18,IF(J193="English-Swahili pairs",19,IF(J193="spatial position",20,IF(J193="word pairs",21,IF(J193="word triads",22,IF(J193="generated words",23,IF(J193="word definition pairs",24,IF(J193="math problems",25,IF(J193="famous faces",26,IF(J193="famous names",27,IF(J193="famous voices",28,IF(J193="television programs",29,IF(J193="race horses",30,IF(J193="new vocabulary",31,IF(J193="sentences",32,IF(J193="concepts",33,IF(J193="ad slides",34,IF(J193="scenes",35,IF(J193="famous scenes",36,IF(J193="poems",37,IF(J193="walk",38,IF(J193="faces and events",39,IF(J193="events and names",40,IF(J193="flashbulb",41,IF(J193="stories",42,IF(J193="course material",43,IF(J193="autobiographical",44,IF(J193="novels",45,IF(J193="public events",46,"99"))))))))))))))))))))))))))))))))))))))))))))))</f>
        <v>21</v>
      </c>
      <c r="L193" s="69">
        <f>IF(J193="syllables",1,IF(J193="trigrams",1,IF(J193="strings",1,IF(J193="visual array",1,IF(J193="characters",1,IF(J193="letters",1,IF(J193="free forms",1,IF(J193="odors",2,IF(J193="words",2,IF(J193="pictures",2,IF(J193="object pictures",2,IF(J193="faces",2,IF(J193="names",2,IF(J193="idioms","2",IF(J193="grades",2,IF(J193="syllable-digit pairs",3,IF(J193="trigram-word pairs",3,IF(J193="word-digit pairs",3,IF(J193="English-Swahili pairs",3,IF(J193="spatial position",3,IF(J193="word pairs",4,IF(J193="word triads",4,IF(J193="generated words",4,IF(J193="word definition pairs",4,IF(J193="math problems",4,IF(J193="famous faces",4,IF(J193="famous names",4,IF(J193="famous voices",4,IF(J193="television programs",4,IF(J193="race horses",4,IF(J193="new vocabulary",4,IF(J193="sentences",5,IF(J193="concepts",5,IF(J193="ad slides",5,IF(J193="scenes",5,IF(J193="famous scenes",5,IF(J193="poems",6,IF(J193="walk",6,IF(J193="faces and events",6,IF(J193="events and names",6,IF(J193="flashbulb",7,IF(J193="stories",7,IF(J193="course material",7,IF(J193="autobiographical",7,IF(J193="novels",7,IF(J193="public events",7,"99"))))))))))))))))))))))))))))))))))))))))))))))</f>
        <v>4</v>
      </c>
      <c r="M193" s="69">
        <v>1</v>
      </c>
      <c r="N193" s="69">
        <v>2</v>
      </c>
      <c r="O193" s="69">
        <v>0</v>
      </c>
      <c r="P193" s="69"/>
      <c r="Q193" s="69" t="s">
        <v>182</v>
      </c>
      <c r="R193" s="69">
        <f>IF(Q193="Free Recall",1,IF(Q193="Cued Recall",2,IF(Q193="Recognition",3,IF(Q193="Multiple Choice",4,IF(Q193="Savings",5,IF(Q193="Stem Completion",6,IF(Q193="Fragment Completion",7,IF(Q193="anagram solution",8,IF(Q193="Matching",9,IF(Q193="Problem Solving",10,"99"))))))))))</f>
        <v>4</v>
      </c>
      <c r="S193" s="69" t="s">
        <v>234</v>
      </c>
      <c r="T193" s="92" t="s">
        <v>581</v>
      </c>
      <c r="U193" s="69">
        <f>IF(T193="within",1,0)</f>
        <v>1</v>
      </c>
      <c r="V193" s="92">
        <v>10</v>
      </c>
      <c r="W193" s="69">
        <f>F193*V193</f>
        <v>470</v>
      </c>
      <c r="X193" s="69">
        <v>3</v>
      </c>
      <c r="Y193" s="87">
        <f>AV192</f>
        <v>259200</v>
      </c>
      <c r="Z193" s="69" t="s">
        <v>140</v>
      </c>
      <c r="AA193" s="69">
        <v>2419200</v>
      </c>
      <c r="AB193" s="69" t="str">
        <f>IF(AA193&lt;60,"1",IF(AA193&lt;=43200,"2",IF(AA193&lt;=777600,"3","4")))</f>
        <v>4</v>
      </c>
      <c r="AC193" s="72">
        <f>AVERAGE(AV192:DA192)</f>
        <v>835200</v>
      </c>
      <c r="AD193" s="69" t="str">
        <f>IF(AC193&lt;60,"1",IF(AC193&lt;=43200,"2",IF(AC193&lt;=777600,"3","4")))</f>
        <v>4</v>
      </c>
      <c r="AE193" s="87">
        <f>AA193-Y193</f>
        <v>2160000</v>
      </c>
      <c r="AF193" s="88">
        <f>AV193</f>
        <v>0.99</v>
      </c>
      <c r="AG193" s="72">
        <f>((AW193-AV193)+(AX193-AW193))/2</f>
        <v>-8.9999999999999969E-2</v>
      </c>
      <c r="AH193" s="4"/>
      <c r="AI193" s="72">
        <f>RSQ(AV193:AX193,AV192:AX192)</f>
        <v>0.98828578804698608</v>
      </c>
      <c r="AJ193" s="110">
        <f>SLOPE(AV193:AX193,AV192:AX192)</f>
        <v>-1.5948527267424901E-7</v>
      </c>
      <c r="AK193" s="72">
        <f>INTERCEPT(AV193:AX193,AV192:AX192)</f>
        <v>1.036535433070866</v>
      </c>
      <c r="AL193" s="72">
        <f>INDEX(LINEST(LN(AV193:AX193),LN(AV192:AX192),TRUE,TRUE),3,1)</f>
        <v>0.88867814080980079</v>
      </c>
      <c r="AM193" s="72">
        <f>INDEX(LINEST(LN(AV193:AX193),LN(AV192:AX192)),1)</f>
        <v>-0.11001941854743814</v>
      </c>
      <c r="AN193" s="72">
        <f>EXP(INDEX(LINEST(LN(AV193:AX193),LN(AV192:AX192)),1,2))</f>
        <v>3.9430211582656649</v>
      </c>
      <c r="AO193" s="89">
        <f>INDEX(LINEST((AV193:AX193),LN(AV192:AX192),TRUE,TRUE),3,1)</f>
        <v>0.90577513646585184</v>
      </c>
      <c r="AP193" s="89">
        <f>INDEX(LINEST((AV193:AX193),LN(AV192:AX192)),1)</f>
        <v>-9.9411723116108713E-2</v>
      </c>
      <c r="AQ193" s="90">
        <f>INDEX(LINEST(LN(AV193:AX193),SQRT(AV192:AX192),TRUE,TRUE),3,1)</f>
        <v>0.94259762289031745</v>
      </c>
      <c r="AR193" s="117">
        <f>INDEX(LINEST(LN(AV193:AX193),SQRT((AV192:AX192))),1)</f>
        <v>-2.9021646754231908E-4</v>
      </c>
      <c r="AS193" s="91">
        <f>INDEX(LINEST(1/(AV193:AX193),1/(SQRT(AV192:AX192)),TRUE,TRUE),3,1)</f>
        <v>0.80998054284344478</v>
      </c>
      <c r="AT193" s="91">
        <f>INDEX(LINEST(1/(AV193:AX193),1/SQRT(AV192:AX192)),1)</f>
        <v>-172.78871995208561</v>
      </c>
      <c r="AU193" s="3"/>
      <c r="AV193" s="73">
        <v>0.99</v>
      </c>
      <c r="AW193" s="73">
        <v>0.91</v>
      </c>
      <c r="AX193" s="73">
        <v>0.81</v>
      </c>
      <c r="AY193" s="102"/>
      <c r="AZ193" s="73"/>
      <c r="BA193" s="53"/>
      <c r="BB193" s="53"/>
      <c r="BC193" s="53"/>
      <c r="BD193" s="53"/>
      <c r="BE193" s="53"/>
      <c r="BF193" s="53"/>
      <c r="BG193" s="53"/>
      <c r="BH193" s="53"/>
      <c r="BI193" s="53"/>
      <c r="BJ193" s="53"/>
      <c r="BK193" s="53"/>
      <c r="BL193" s="53"/>
      <c r="BM193" s="53"/>
      <c r="BN193" s="53"/>
      <c r="BO193" s="53"/>
      <c r="BP193" s="53"/>
      <c r="BQ193" s="53"/>
      <c r="BR193" s="53"/>
      <c r="BS193" s="53"/>
      <c r="BT193" s="53"/>
      <c r="BU193" s="53"/>
      <c r="BV193" s="53"/>
      <c r="BW193" s="53"/>
      <c r="BX193" s="53"/>
      <c r="BY193" s="53"/>
      <c r="BZ193" s="53"/>
      <c r="CA193" s="53"/>
      <c r="CB193" s="53"/>
      <c r="CC193" s="53"/>
      <c r="CD193" s="53"/>
      <c r="CE193" s="53"/>
      <c r="CF193" s="53"/>
      <c r="CG193" s="1"/>
      <c r="CH193" s="1"/>
      <c r="CI193" s="1"/>
      <c r="CJ193" s="1"/>
    </row>
    <row r="194" spans="1:99" s="13" customFormat="1" ht="12" customHeight="1" x14ac:dyDescent="0.2">
      <c r="A194" s="65">
        <v>43977</v>
      </c>
      <c r="B194" s="1"/>
      <c r="C194" s="1"/>
      <c r="D194" s="60"/>
      <c r="E194" s="76"/>
      <c r="F194" s="60"/>
      <c r="G194" s="60"/>
      <c r="H194" s="60"/>
      <c r="I194" s="60"/>
      <c r="J194" s="60"/>
      <c r="K194" s="60"/>
      <c r="L194" s="60"/>
      <c r="M194" s="60"/>
      <c r="N194" s="60"/>
      <c r="O194" s="60"/>
      <c r="P194" s="60"/>
      <c r="Q194" s="60"/>
      <c r="R194" s="60"/>
      <c r="S194" s="60"/>
      <c r="T194" s="59"/>
      <c r="U194" s="60"/>
      <c r="V194" s="59"/>
      <c r="W194" s="60"/>
      <c r="X194" s="60"/>
      <c r="Y194" s="76"/>
      <c r="Z194" s="60"/>
      <c r="AA194" s="60"/>
      <c r="AB194" s="60"/>
      <c r="AC194" s="56"/>
      <c r="AD194" s="60"/>
      <c r="AE194" s="76"/>
      <c r="AF194" s="80"/>
      <c r="AG194" s="56"/>
      <c r="AH194" s="4"/>
      <c r="AI194" s="56"/>
      <c r="AJ194" s="109"/>
      <c r="AK194" s="56"/>
      <c r="AL194" s="56"/>
      <c r="AM194" s="56"/>
      <c r="AN194" s="56"/>
      <c r="AO194" s="82"/>
      <c r="AP194" s="82"/>
      <c r="AQ194" s="83"/>
      <c r="AR194" s="116"/>
      <c r="AS194" s="84"/>
      <c r="AT194" s="84"/>
      <c r="AU194" s="3"/>
      <c r="AV194" s="25">
        <v>30</v>
      </c>
      <c r="AW194" s="25">
        <f>60*30</f>
        <v>1800</v>
      </c>
      <c r="AX194" s="25">
        <f>60*60*24*7</f>
        <v>604800</v>
      </c>
      <c r="AY194" s="25">
        <f>60*60*24*7*3</f>
        <v>1814400</v>
      </c>
      <c r="AZ194" s="53"/>
      <c r="BA194" s="53" t="s">
        <v>935</v>
      </c>
      <c r="BB194" s="53"/>
      <c r="BC194" s="53"/>
      <c r="BD194" s="53"/>
      <c r="BE194" s="53"/>
      <c r="BF194" s="53"/>
      <c r="BG194" s="53"/>
      <c r="BH194" s="53"/>
      <c r="BI194" s="53"/>
      <c r="BJ194" s="53"/>
      <c r="BK194" s="53"/>
      <c r="BL194" s="53"/>
      <c r="BM194" s="53"/>
      <c r="BN194" s="53"/>
      <c r="BO194" s="53"/>
      <c r="BP194" s="53"/>
      <c r="BQ194" s="53"/>
      <c r="BR194" s="53"/>
      <c r="BS194" s="53"/>
      <c r="BT194" s="53"/>
      <c r="BU194" s="53"/>
      <c r="BV194" s="53"/>
      <c r="BW194" s="53"/>
      <c r="BX194" s="53"/>
      <c r="BY194" s="53"/>
      <c r="BZ194" s="53"/>
      <c r="CA194" s="53"/>
      <c r="CB194" s="53"/>
      <c r="CC194" s="53"/>
      <c r="CD194" s="53"/>
      <c r="CE194" s="53"/>
      <c r="CF194" s="53"/>
      <c r="CG194" s="1"/>
      <c r="CH194" s="1"/>
      <c r="CI194" s="1"/>
      <c r="CJ194" s="1"/>
    </row>
    <row r="195" spans="1:99" s="13" customFormat="1" ht="12" customHeight="1" x14ac:dyDescent="0.2">
      <c r="A195" s="65">
        <v>43977</v>
      </c>
      <c r="B195" s="1" t="s">
        <v>941</v>
      </c>
      <c r="C195" s="1" t="s">
        <v>942</v>
      </c>
      <c r="D195" s="60">
        <v>2007</v>
      </c>
      <c r="E195" s="76">
        <v>1</v>
      </c>
      <c r="F195" s="60">
        <v>24</v>
      </c>
      <c r="G195" s="60">
        <v>24</v>
      </c>
      <c r="H195" s="60" t="s">
        <v>41</v>
      </c>
      <c r="I195" s="60" t="s">
        <v>330</v>
      </c>
      <c r="J195" s="60" t="s">
        <v>16</v>
      </c>
      <c r="K195" s="60">
        <f>IF(J195="syllables",1,IF(J195="trigrams",2,IF(J195="strings",3,IF(J195="visual array",4,IF(J195="characters",5,IF(J195="letters",6,IF(J195="free forms",7,IF(J195="odors",8,IF(J195="words",9,IF(J195="pictures",10,IF(J195="object pictures",11,IF(J195="faces",12,IF(J195="names",13,IF(J195="idioms",14,IF(J195="grades",15,IF(J195="syllable-digit pairs",16,IF(J195="trigram-word pairs",17,IF(J195="word-digit pairs",18,IF(J195="English-Swahili pairs",19,IF(J195="spatial position",20,IF(J195="word pairs",21,IF(J195="word triads",22,IF(J195="generated words",23,IF(J195="word definition pairs",24,IF(J195="math problems",25,IF(J195="famous faces",26,IF(J195="famous names",27,IF(J195="famous voices",28,IF(J195="television programs",29,IF(J195="race horses",30,IF(J195="new vocabulary",31,IF(J195="sentences",32,IF(J195="concepts",33,IF(J195="ad slides",34,IF(J195="scenes",35,IF(J195="famous scenes",36,IF(J195="poems",37,IF(J195="walk",38,IF(J195="faces and events",39,IF(J195="events and names",40,IF(J195="flashbulb",41,IF(J195="stories",42,IF(J195="course material",43,IF(J195="autobiographical",44,IF(J195="novels",45,IF(J195="public events",46,"99"))))))))))))))))))))))))))))))))))))))))))))))</f>
        <v>9</v>
      </c>
      <c r="L195" s="60">
        <f>IF(J195="syllables",1,IF(J195="trigrams",1,IF(J195="strings",1,IF(J195="visual array",1,IF(J195="characters",1,IF(J195="letters",1,IF(J195="free forms",1,IF(J195="odors",2,IF(J195="words",2,IF(J195="pictures",2,IF(J195="object pictures",2,IF(J195="faces",2,IF(J195="names",2,IF(J195="idioms","2",IF(J195="grades",2,IF(J195="syllable-digit pairs",3,IF(J195="trigram-word pairs",3,IF(J195="word-digit pairs",3,IF(J195="English-Swahili pairs",3,IF(J195="spatial position",3,IF(J195="word pairs",4,IF(J195="word triads",4,IF(J195="generated words",4,IF(J195="word definition pairs",4,IF(J195="math problems",4,IF(J195="famous faces",4,IF(J195="famous names",4,IF(J195="famous voices",4,IF(J195="television programs",4,IF(J195="race horses",4,IF(J195="new vocabulary",4,IF(J195="sentences",5,IF(J195="concepts",5,IF(J195="ad slides",5,IF(J195="scenes",5,IF(J195="famous scenes",5,IF(J195="poems",6,IF(J195="walk",6,IF(J195="faces and events",6,IF(J195="events and names",6,IF(J195="flashbulb",7,IF(J195="stories",7,IF(J195="course material",7,IF(J195="autobiographical",7,IF(J195="novels",7,IF(J195="public events",7,"99"))))))))))))))))))))))))))))))))))))))))))))))</f>
        <v>2</v>
      </c>
      <c r="M195" s="60">
        <v>1</v>
      </c>
      <c r="N195" s="60">
        <v>2</v>
      </c>
      <c r="O195" s="60">
        <v>0</v>
      </c>
      <c r="P195" s="60"/>
      <c r="Q195" s="60" t="s">
        <v>174</v>
      </c>
      <c r="R195" s="60">
        <f>IF(Q195="Free Recall",1,IF(Q195="Cued Recall",2,IF(Q195="Recognition",3,IF(Q195="Multiple Choice",4,IF(Q195="Savings",5,IF(Q195="Stem Completion",6,IF(Q195="Fragment Completion",7,IF(Q195="anagram solution",8,IF(Q195="Matching",9,IF(Q195="Problem Solving",10,"99"))))))))))</f>
        <v>1</v>
      </c>
      <c r="S195" s="60" t="s">
        <v>49</v>
      </c>
      <c r="T195" s="59" t="s">
        <v>581</v>
      </c>
      <c r="U195" s="60">
        <f>IF(T195="within",1,0)</f>
        <v>1</v>
      </c>
      <c r="V195" s="59">
        <v>15</v>
      </c>
      <c r="W195" s="60">
        <f>F195*V195</f>
        <v>360</v>
      </c>
      <c r="X195" s="60">
        <v>4</v>
      </c>
      <c r="Y195" s="76">
        <f>AV194</f>
        <v>30</v>
      </c>
      <c r="Z195" s="60" t="s">
        <v>165</v>
      </c>
      <c r="AA195" s="60">
        <f>60*60*24*7*3</f>
        <v>1814400</v>
      </c>
      <c r="AB195" s="60" t="str">
        <f>IF(AA195&lt;60,"1",IF(AA195&lt;=43200,"2",IF(AA195&lt;=777600,"3","4")))</f>
        <v>4</v>
      </c>
      <c r="AC195" s="56">
        <f>AVERAGE(AV194:DA194)</f>
        <v>605257.5</v>
      </c>
      <c r="AD195" s="60" t="str">
        <f>IF(AC195&lt;60,"1",IF(AC195&lt;=43200,"2",IF(AC195&lt;=777600,"3","4")))</f>
        <v>3</v>
      </c>
      <c r="AE195" s="76">
        <f>AA195-Y195</f>
        <v>1814370</v>
      </c>
      <c r="AF195" s="80">
        <f>AV195</f>
        <v>0.98499999999999999</v>
      </c>
      <c r="AG195" s="56">
        <f>((AW195-AV195)+(AX195-AW195)+(AY195-AX195))/3</f>
        <v>-0.11733333333333333</v>
      </c>
      <c r="AH195" s="4"/>
      <c r="AI195" s="56">
        <f>RSQ(AV195:AY195,AV194:AY194)</f>
        <v>0.7120748709772502</v>
      </c>
      <c r="AJ195" s="109">
        <f>SLOPE(AV195:AY195,AV194:AY194)</f>
        <v>-1.7754379686829304E-7</v>
      </c>
      <c r="AK195" s="56">
        <f>INTERCEPT(AV195:AY195,AV194:AY194)</f>
        <v>0.9084597146330109</v>
      </c>
      <c r="AL195" s="56">
        <f>INDEX(LINEST(LN(AV195:AY195),LN(AV194:AY194),TRUE,TRUE),3,1)</f>
        <v>0.95358708745838083</v>
      </c>
      <c r="AM195" s="56">
        <f>INDEX(LINEST(LN(AV195:AY195),LN(AV194:AY194)),1)</f>
        <v>-4.2949077420221644E-2</v>
      </c>
      <c r="AN195" s="56">
        <f>EXP(INDEX(LINEST(LN(AV195:AY195),LN(AV194:AY194)),1,2))</f>
        <v>1.189567786933492</v>
      </c>
      <c r="AO195" s="82">
        <f>INDEX(LINEST((AV195:AY195),LN(AV194:AY194),TRUE,TRUE),3,1)</f>
        <v>0.96230839757452014</v>
      </c>
      <c r="AP195" s="82">
        <f>INDEX(LINEST((AV195:AY195),LN(AV194:AY194)),1)</f>
        <v>-3.4216707045697493E-2</v>
      </c>
      <c r="AQ195" s="83">
        <f>INDEX(LINEST(LN(AV195:AY195),SQRT(AV194:AY194),TRUE,TRUE),3,1)</f>
        <v>0.9103091357507832</v>
      </c>
      <c r="AR195" s="116">
        <f>INDEX(LINEST(LN(AV195:AY195),SQRT((AV194:AY194))),1)</f>
        <v>-3.3644445643444426E-4</v>
      </c>
      <c r="AS195" s="84">
        <f>INDEX(LINEST(1/(AV195:AY195),1/(SQRT(AV194:AY194)),TRUE,TRUE),3,1)</f>
        <v>0.54032756766134904</v>
      </c>
      <c r="AT195" s="84">
        <f>INDEX(LINEST(1/(AV195:AY195),1/SQRT(AV194:AY194)),1)</f>
        <v>-2.4328828705391423</v>
      </c>
      <c r="AU195" s="3"/>
      <c r="AV195" s="53">
        <v>0.98499999999999999</v>
      </c>
      <c r="AW195" s="53">
        <v>0.92500000000000004</v>
      </c>
      <c r="AX195" s="53">
        <v>0.66100000000000003</v>
      </c>
      <c r="AY195" s="43">
        <v>0.63300000000000001</v>
      </c>
      <c r="AZ195" s="53"/>
      <c r="BA195" s="53"/>
      <c r="BB195" s="53"/>
      <c r="BC195" s="53"/>
      <c r="BD195" s="53"/>
      <c r="BE195" s="53"/>
      <c r="BF195" s="53"/>
      <c r="BG195" s="53"/>
      <c r="BH195" s="53"/>
      <c r="BI195" s="53"/>
      <c r="BJ195" s="53"/>
      <c r="BK195" s="53"/>
      <c r="BL195" s="53"/>
      <c r="BM195" s="53"/>
      <c r="BN195" s="53"/>
      <c r="BO195" s="53"/>
      <c r="BP195" s="53"/>
      <c r="BQ195" s="53"/>
      <c r="BR195" s="53"/>
      <c r="BS195" s="53"/>
      <c r="BT195" s="53"/>
      <c r="BU195" s="53"/>
      <c r="BV195" s="53"/>
      <c r="BW195" s="53"/>
      <c r="BX195" s="53"/>
      <c r="BY195" s="53"/>
      <c r="BZ195" s="53"/>
      <c r="CA195" s="53"/>
      <c r="CB195" s="53"/>
      <c r="CC195" s="53"/>
      <c r="CD195" s="53"/>
      <c r="CE195" s="53"/>
      <c r="CF195" s="53"/>
      <c r="CG195" s="1"/>
      <c r="CH195" s="1"/>
      <c r="CI195" s="1"/>
      <c r="CJ195" s="1"/>
    </row>
    <row r="196" spans="1:99" s="13" customFormat="1" ht="12" customHeight="1" x14ac:dyDescent="0.2">
      <c r="A196" s="65">
        <v>43977</v>
      </c>
      <c r="B196" s="1"/>
      <c r="C196" s="1"/>
      <c r="D196" s="60"/>
      <c r="E196" s="76"/>
      <c r="F196" s="60"/>
      <c r="G196" s="60"/>
      <c r="H196" s="60"/>
      <c r="I196" s="60"/>
      <c r="J196" s="60"/>
      <c r="K196" s="60"/>
      <c r="L196" s="60"/>
      <c r="M196" s="60"/>
      <c r="N196" s="60"/>
      <c r="O196" s="60"/>
      <c r="P196" s="60"/>
      <c r="Q196" s="60"/>
      <c r="R196" s="60"/>
      <c r="S196" s="60"/>
      <c r="T196" s="59"/>
      <c r="U196" s="60"/>
      <c r="V196" s="59"/>
      <c r="W196" s="60"/>
      <c r="X196" s="60"/>
      <c r="Y196" s="76"/>
      <c r="Z196" s="60"/>
      <c r="AA196" s="60"/>
      <c r="AB196" s="60"/>
      <c r="AC196" s="56"/>
      <c r="AD196" s="60"/>
      <c r="AE196" s="76"/>
      <c r="AF196" s="80"/>
      <c r="AG196" s="56"/>
      <c r="AH196" s="4"/>
      <c r="AI196" s="56"/>
      <c r="AJ196" s="109"/>
      <c r="AK196" s="56"/>
      <c r="AL196" s="56"/>
      <c r="AM196" s="56"/>
      <c r="AN196" s="56"/>
      <c r="AO196" s="82"/>
      <c r="AP196" s="82"/>
      <c r="AQ196" s="83"/>
      <c r="AR196" s="116"/>
      <c r="AS196" s="84"/>
      <c r="AT196" s="84"/>
      <c r="AU196" s="3"/>
      <c r="AV196" s="25">
        <v>30</v>
      </c>
      <c r="AW196" s="25">
        <f>60*30</f>
        <v>1800</v>
      </c>
      <c r="AX196" s="25">
        <f>60*60*24*7</f>
        <v>604800</v>
      </c>
      <c r="AY196" s="25">
        <f>60*60*24*7*3</f>
        <v>1814400</v>
      </c>
      <c r="AZ196" s="53"/>
      <c r="BA196" s="53"/>
      <c r="BB196" s="53"/>
      <c r="BC196" s="53"/>
      <c r="BD196" s="53"/>
      <c r="BE196" s="53"/>
      <c r="BF196" s="53"/>
      <c r="BG196" s="53"/>
      <c r="BH196" s="53"/>
      <c r="BI196" s="53"/>
      <c r="BJ196" s="53"/>
      <c r="BK196" s="53"/>
      <c r="BL196" s="53"/>
      <c r="BM196" s="53"/>
      <c r="BN196" s="53"/>
      <c r="BO196" s="53"/>
      <c r="BP196" s="53"/>
      <c r="BQ196" s="53"/>
      <c r="BR196" s="53"/>
      <c r="BS196" s="53"/>
      <c r="BT196" s="53"/>
      <c r="BU196" s="53"/>
      <c r="BV196" s="53"/>
      <c r="BW196" s="53"/>
      <c r="BX196" s="53"/>
      <c r="BY196" s="53"/>
      <c r="BZ196" s="53"/>
      <c r="CA196" s="53"/>
      <c r="CB196" s="53"/>
      <c r="CC196" s="53"/>
      <c r="CD196" s="53"/>
      <c r="CE196" s="53"/>
      <c r="CF196" s="53"/>
      <c r="CG196" s="1"/>
      <c r="CH196" s="1"/>
      <c r="CI196" s="1"/>
      <c r="CJ196" s="1"/>
    </row>
    <row r="197" spans="1:99" s="13" customFormat="1" ht="12" customHeight="1" x14ac:dyDescent="0.2">
      <c r="A197" s="65">
        <v>43977</v>
      </c>
      <c r="B197" s="1" t="s">
        <v>941</v>
      </c>
      <c r="C197" s="1" t="s">
        <v>942</v>
      </c>
      <c r="D197" s="60">
        <v>2007</v>
      </c>
      <c r="E197" s="76">
        <v>1</v>
      </c>
      <c r="F197" s="60">
        <v>24</v>
      </c>
      <c r="G197" s="60">
        <v>24</v>
      </c>
      <c r="H197" s="60" t="s">
        <v>41</v>
      </c>
      <c r="I197" s="60" t="s">
        <v>330</v>
      </c>
      <c r="J197" s="60" t="s">
        <v>764</v>
      </c>
      <c r="K197" s="60">
        <f>IF(J197="syllables",1,IF(J197="trigrams",2,IF(J197="strings",3,IF(J197="visual array",4,IF(J197="characters",5,IF(J197="letters",6,IF(J197="free forms",7,IF(J197="odors",8,IF(J197="words",9,IF(J197="pictures",10,IF(J197="object pictures",11,IF(J197="faces",12,IF(J197="names",13,IF(J197="idioms",14,IF(J197="grades",15,IF(J197="syllable-digit pairs",16,IF(J197="trigram-word pairs",17,IF(J197="word-digit pairs",18,IF(J197="English-Swahili pairs",19,IF(J197="spatial position",20,IF(J197="word pairs",21,IF(J197="word triads",22,IF(J197="generated words",23,IF(J197="word definition pairs",24,IF(J197="math problems",25,IF(J197="famous faces",26,IF(J197="famous names",27,IF(J197="famous voices",28,IF(J197="television programs",29,IF(J197="race horses",30,IF(J197="new vocabulary",31,IF(J197="sentences",32,IF(J197="concepts",33,IF(J197="ad slides",34,IF(J197="scenes",35,IF(J197="famous scenes",36,IF(J197="poems",37,IF(J197="walk",38,IF(J197="faces and events",39,IF(J197="events and names",40,IF(J197="flashbulb",41,IF(J197="stories",42,IF(J197="course material",43,IF(J197="autobiographical",44,IF(J197="novels",45,IF(J197="public events",46,"99"))))))))))))))))))))))))))))))))))))))))))))))</f>
        <v>4</v>
      </c>
      <c r="L197" s="60">
        <f>IF(J197="syllables",1,IF(J197="trigrams",1,IF(J197="strings",1,IF(J197="visual array",1,IF(J197="characters",1,IF(J197="letters",1,IF(J197="free forms",1,IF(J197="odors",2,IF(J197="words",2,IF(J197="pictures",2,IF(J197="object pictures",2,IF(J197="faces",2,IF(J197="names",2,IF(J197="idioms","2",IF(J197="grades",2,IF(J197="syllable-digit pairs",3,IF(J197="trigram-word pairs",3,IF(J197="word-digit pairs",3,IF(J197="English-Swahili pairs",3,IF(J197="spatial position",3,IF(J197="word pairs",4,IF(J197="word triads",4,IF(J197="generated words",4,IF(J197="word definition pairs",4,IF(J197="math problems",4,IF(J197="famous faces",4,IF(J197="famous names",4,IF(J197="famous voices",4,IF(J197="television programs",4,IF(J197="race horses",4,IF(J197="new vocabulary",4,IF(J197="sentences",5,IF(J197="concepts",5,IF(J197="ad slides",5,IF(J197="scenes",5,IF(J197="famous scenes",5,IF(J197="poems",6,IF(J197="walk",6,IF(J197="faces and events",6,IF(J197="events and names",6,IF(J197="flashbulb",7,IF(J197="stories",7,IF(J197="course material",7,IF(J197="autobiographical",7,IF(J197="novels",7,IF(J197="public events",7,"99"))))))))))))))))))))))))))))))))))))))))))))))</f>
        <v>1</v>
      </c>
      <c r="M197" s="60">
        <v>1</v>
      </c>
      <c r="N197" s="60">
        <v>2</v>
      </c>
      <c r="O197" s="60">
        <v>0</v>
      </c>
      <c r="P197" s="60"/>
      <c r="Q197" s="60" t="s">
        <v>174</v>
      </c>
      <c r="R197" s="60">
        <f>IF(Q197="Free Recall",1,IF(Q197="Cued Recall",2,IF(Q197="Recognition",3,IF(Q197="Multiple Choice",4,IF(Q197="Savings",5,IF(Q197="Stem Completion",6,IF(Q197="Fragment Completion",7,IF(Q197="anagram solution",8,IF(Q197="Matching",9,IF(Q197="Problem Solving",10,"99"))))))))))</f>
        <v>1</v>
      </c>
      <c r="S197" s="60" t="s">
        <v>49</v>
      </c>
      <c r="T197" s="59" t="s">
        <v>581</v>
      </c>
      <c r="U197" s="60">
        <f>IF(T197="within",1,0)</f>
        <v>1</v>
      </c>
      <c r="V197" s="59">
        <v>15</v>
      </c>
      <c r="W197" s="60">
        <f>F197*V197</f>
        <v>360</v>
      </c>
      <c r="X197" s="60">
        <v>4</v>
      </c>
      <c r="Y197" s="76">
        <f>AV196</f>
        <v>30</v>
      </c>
      <c r="Z197" s="60" t="s">
        <v>165</v>
      </c>
      <c r="AA197" s="60">
        <f>60*60*24*7*3</f>
        <v>1814400</v>
      </c>
      <c r="AB197" s="60" t="str">
        <f>IF(AA197&lt;60,"1",IF(AA197&lt;=43200,"2",IF(AA197&lt;=777600,"3","4")))</f>
        <v>4</v>
      </c>
      <c r="AC197" s="56">
        <f>AVERAGE(AV196:DA196)</f>
        <v>605257.5</v>
      </c>
      <c r="AD197" s="60" t="str">
        <f>IF(AC197&lt;60,"1",IF(AC197&lt;=43200,"2",IF(AC197&lt;=777600,"3","4")))</f>
        <v>3</v>
      </c>
      <c r="AE197" s="76">
        <f>AA197-Y197</f>
        <v>1814370</v>
      </c>
      <c r="AF197" s="80">
        <f>AV197</f>
        <v>0.94599999999999995</v>
      </c>
      <c r="AG197" s="56">
        <f>((AW197-AV197)+(AX197-AW197)+(AY197-AX197))/3</f>
        <v>-9.8333333333333314E-2</v>
      </c>
      <c r="AH197" s="4"/>
      <c r="AI197" s="56">
        <f>RSQ(AV197:AY197,AV196:AY196)</f>
        <v>0.88331404297887062</v>
      </c>
      <c r="AJ197" s="109">
        <f>SLOPE(AV197:AY197,AV196:AY196)</f>
        <v>-1.5411625511907362E-7</v>
      </c>
      <c r="AK197" s="56">
        <f>INTERCEPT(AV197:AY197,AV196:AY196)</f>
        <v>0.90753001928273258</v>
      </c>
      <c r="AL197" s="56">
        <f>INDEX(LINEST(LN(AV197:AY197),LN(AV196:AY196),TRUE,TRUE),3,1)</f>
        <v>0.89146758674074211</v>
      </c>
      <c r="AM197" s="56">
        <f>INDEX(LINEST(LN(AV197:AY197),LN(AV196:AY196)),1)</f>
        <v>-3.2331142164548875E-2</v>
      </c>
      <c r="AN197" s="56">
        <f>EXP(INDEX(LINEST(LN(AV197:AY197),LN(AV196:AY196)),1,2))</f>
        <v>1.099848385981524</v>
      </c>
      <c r="AO197" s="82">
        <f>INDEX(LINEST((AV197:AY197),LN(AV196:AY196),TRUE,TRUE),3,1)</f>
        <v>0.91219735335423724</v>
      </c>
      <c r="AP197" s="82">
        <f>INDEX(LINEST((AV197:AY197),LN(AV196:AY196)),1)</f>
        <v>-2.5964124581191673E-2</v>
      </c>
      <c r="AQ197" s="83">
        <f>INDEX(LINEST(LN(AV197:AY197),SQRT(AV196:AY196),TRUE,TRUE),3,1)</f>
        <v>0.99446164936987136</v>
      </c>
      <c r="AR197" s="116">
        <f>INDEX(LINEST(LN(AV197:AY197),SQRT((AV196:AY196))),1)</f>
        <v>-2.7378367972799789E-4</v>
      </c>
      <c r="AS197" s="84">
        <f>INDEX(LINEST(1/(AV197:AY197),1/(SQRT(AV196:AY196)),TRUE,TRUE),3,1)</f>
        <v>0.45792254566241924</v>
      </c>
      <c r="AT197" s="84">
        <f>INDEX(LINEST(1/(AV197:AY197),1/SQRT(AV196:AY196)),1)</f>
        <v>-1.7378382585877286</v>
      </c>
      <c r="AU197" s="3"/>
      <c r="AV197" s="53">
        <v>0.94599999999999995</v>
      </c>
      <c r="AW197" s="53">
        <v>0.91500000000000004</v>
      </c>
      <c r="AX197" s="53">
        <v>0.745</v>
      </c>
      <c r="AY197" s="43">
        <v>0.65100000000000002</v>
      </c>
      <c r="AZ197" s="53"/>
      <c r="BA197" s="53"/>
      <c r="BB197" s="53"/>
      <c r="BC197" s="53"/>
      <c r="BD197" s="53"/>
      <c r="BE197" s="53"/>
      <c r="BF197" s="53"/>
      <c r="BG197" s="53"/>
      <c r="BH197" s="53"/>
      <c r="BI197" s="53"/>
      <c r="BJ197" s="53"/>
      <c r="BK197" s="53"/>
      <c r="BL197" s="53"/>
      <c r="BM197" s="53"/>
      <c r="BN197" s="53"/>
      <c r="BO197" s="53"/>
      <c r="BP197" s="53"/>
      <c r="BQ197" s="53"/>
      <c r="BR197" s="53"/>
      <c r="BS197" s="53"/>
      <c r="BT197" s="53"/>
      <c r="BU197" s="53"/>
      <c r="BV197" s="53"/>
      <c r="BW197" s="53"/>
      <c r="BX197" s="53"/>
      <c r="BY197" s="53"/>
      <c r="BZ197" s="53"/>
      <c r="CA197" s="53"/>
      <c r="CB197" s="53"/>
      <c r="CC197" s="53"/>
      <c r="CD197" s="53"/>
      <c r="CE197" s="53"/>
      <c r="CF197" s="53"/>
      <c r="CG197" s="1"/>
      <c r="CH197" s="1"/>
      <c r="CI197" s="1"/>
      <c r="CJ197" s="1"/>
    </row>
    <row r="198" spans="1:99" s="13" customFormat="1" ht="12" customHeight="1" x14ac:dyDescent="0.2">
      <c r="A198" s="68">
        <v>43977</v>
      </c>
      <c r="B198" s="70"/>
      <c r="C198" s="70"/>
      <c r="D198" s="69"/>
      <c r="E198" s="87"/>
      <c r="F198" s="69"/>
      <c r="G198" s="69"/>
      <c r="H198" s="69"/>
      <c r="I198" s="69"/>
      <c r="J198" s="69"/>
      <c r="K198" s="69"/>
      <c r="L198" s="69"/>
      <c r="M198" s="69"/>
      <c r="N198" s="69"/>
      <c r="O198" s="69"/>
      <c r="P198" s="69"/>
      <c r="Q198" s="69"/>
      <c r="R198" s="69"/>
      <c r="S198" s="69"/>
      <c r="T198" s="92"/>
      <c r="U198" s="69"/>
      <c r="V198" s="92"/>
      <c r="W198" s="69"/>
      <c r="X198" s="69"/>
      <c r="Y198" s="87"/>
      <c r="Z198" s="69"/>
      <c r="AA198" s="69"/>
      <c r="AB198" s="69"/>
      <c r="AC198" s="72"/>
      <c r="AD198" s="69"/>
      <c r="AE198" s="87"/>
      <c r="AF198" s="88"/>
      <c r="AG198" s="72"/>
      <c r="AH198" s="4"/>
      <c r="AI198" s="72"/>
      <c r="AJ198" s="110"/>
      <c r="AK198" s="72"/>
      <c r="AL198" s="72"/>
      <c r="AM198" s="72"/>
      <c r="AN198" s="72"/>
      <c r="AO198" s="89"/>
      <c r="AP198" s="89"/>
      <c r="AQ198" s="90"/>
      <c r="AR198" s="117"/>
      <c r="AS198" s="91"/>
      <c r="AT198" s="91"/>
      <c r="AU198" s="3"/>
      <c r="AV198" s="71">
        <v>30</v>
      </c>
      <c r="AW198" s="71">
        <f>60*30</f>
        <v>1800</v>
      </c>
      <c r="AX198" s="71">
        <f>60*60*24*7</f>
        <v>604800</v>
      </c>
      <c r="AY198" s="43"/>
      <c r="AZ198" s="53" t="s">
        <v>935</v>
      </c>
      <c r="BA198" s="53"/>
      <c r="BB198" s="53"/>
      <c r="BC198" s="53"/>
      <c r="BD198" s="53"/>
      <c r="BE198" s="53"/>
      <c r="BF198" s="53"/>
      <c r="BG198" s="53"/>
      <c r="BH198" s="53"/>
      <c r="BI198" s="53"/>
      <c r="BJ198" s="53"/>
      <c r="BK198" s="53"/>
      <c r="BL198" s="53"/>
      <c r="BM198" s="53"/>
      <c r="BN198" s="53"/>
      <c r="BO198" s="53"/>
      <c r="BP198" s="53"/>
      <c r="BQ198" s="53"/>
      <c r="BR198" s="53"/>
      <c r="BS198" s="53"/>
      <c r="BT198" s="53"/>
      <c r="BU198" s="53"/>
      <c r="BV198" s="53"/>
      <c r="BW198" s="53"/>
      <c r="BX198" s="53"/>
      <c r="BY198" s="53"/>
      <c r="BZ198" s="53"/>
      <c r="CA198" s="53"/>
      <c r="CB198" s="53"/>
      <c r="CC198" s="53"/>
      <c r="CD198" s="53"/>
      <c r="CE198" s="53"/>
      <c r="CF198" s="53"/>
      <c r="CG198" s="1"/>
      <c r="CH198" s="1"/>
      <c r="CI198" s="1"/>
      <c r="CJ198" s="1"/>
    </row>
    <row r="199" spans="1:99" s="13" customFormat="1" ht="12" customHeight="1" x14ac:dyDescent="0.2">
      <c r="A199" s="68">
        <v>43977</v>
      </c>
      <c r="B199" s="70" t="s">
        <v>943</v>
      </c>
      <c r="C199" s="70" t="s">
        <v>54</v>
      </c>
      <c r="D199" s="69">
        <v>2012</v>
      </c>
      <c r="E199" s="87">
        <v>1</v>
      </c>
      <c r="F199" s="69">
        <v>20</v>
      </c>
      <c r="G199" s="69">
        <v>20</v>
      </c>
      <c r="H199" s="69" t="s">
        <v>50</v>
      </c>
      <c r="I199" s="69" t="s">
        <v>330</v>
      </c>
      <c r="J199" s="69" t="s">
        <v>16</v>
      </c>
      <c r="K199" s="69">
        <f>IF(J199="syllables",1,IF(J199="trigrams",2,IF(J199="strings",3,IF(J199="visual array",4,IF(J199="characters",5,IF(J199="letters",6,IF(J199="free forms",7,IF(J199="odors",8,IF(J199="words",9,IF(J199="pictures",10,IF(J199="object pictures",11,IF(J199="faces",12,IF(J199="names",13,IF(J199="idioms",14,IF(J199="grades",15,IF(J199="syllable-digit pairs",16,IF(J199="trigram-word pairs",17,IF(J199="word-digit pairs",18,IF(J199="English-Swahili pairs",19,IF(J199="spatial position",20,IF(J199="word pairs",21,IF(J199="word triads",22,IF(J199="generated words",23,IF(J199="word definition pairs",24,IF(J199="math problems",25,IF(J199="famous faces",26,IF(J199="famous names",27,IF(J199="famous voices",28,IF(J199="television programs",29,IF(J199="race horses",30,IF(J199="new vocabulary",31,IF(J199="sentences",32,IF(J199="concepts",33,IF(J199="ad slides",34,IF(J199="scenes",35,IF(J199="famous scenes",36,IF(J199="poems",37,IF(J199="walk",38,IF(J199="faces and events",39,IF(J199="events and names",40,IF(J199="flashbulb",41,IF(J199="stories",42,IF(J199="course material",43,IF(J199="autobiographical",44,IF(J199="novels",45,IF(J199="public events",46,"99"))))))))))))))))))))))))))))))))))))))))))))))</f>
        <v>9</v>
      </c>
      <c r="L199" s="69">
        <f>IF(J199="syllables",1,IF(J199="trigrams",1,IF(J199="strings",1,IF(J199="visual array",1,IF(J199="characters",1,IF(J199="letters",1,IF(J199="free forms",1,IF(J199="odors",2,IF(J199="words",2,IF(J199="pictures",2,IF(J199="object pictures",2,IF(J199="faces",2,IF(J199="names",2,IF(J199="idioms","2",IF(J199="grades",2,IF(J199="syllable-digit pairs",3,IF(J199="trigram-word pairs",3,IF(J199="word-digit pairs",3,IF(J199="English-Swahili pairs",3,IF(J199="spatial position",3,IF(J199="word pairs",4,IF(J199="word triads",4,IF(J199="generated words",4,IF(J199="word definition pairs",4,IF(J199="math problems",4,IF(J199="famous faces",4,IF(J199="famous names",4,IF(J199="famous voices",4,IF(J199="television programs",4,IF(J199="race horses",4,IF(J199="new vocabulary",4,IF(J199="sentences",5,IF(J199="concepts",5,IF(J199="ad slides",5,IF(J199="scenes",5,IF(J199="famous scenes",5,IF(J199="poems",6,IF(J199="walk",6,IF(J199="faces and events",6,IF(J199="events and names",6,IF(J199="flashbulb",7,IF(J199="stories",7,IF(J199="course material",7,IF(J199="autobiographical",7,IF(J199="novels",7,IF(J199="public events",7,"99"))))))))))))))))))))))))))))))))))))))))))))))</f>
        <v>2</v>
      </c>
      <c r="M199" s="69">
        <v>1</v>
      </c>
      <c r="N199" s="69">
        <v>2</v>
      </c>
      <c r="O199" s="69">
        <v>0</v>
      </c>
      <c r="P199" s="69"/>
      <c r="Q199" s="69" t="s">
        <v>174</v>
      </c>
      <c r="R199" s="69">
        <f>IF(Q199="Free Recall",1,IF(Q199="Cued Recall",2,IF(Q199="Recognition",3,IF(Q199="Multiple Choice",4,IF(Q199="Savings",5,IF(Q199="Stem Completion",6,IF(Q199="Fragment Completion",7,IF(Q199="anagram solution",8,IF(Q199="Matching",9,IF(Q199="Problem Solving",10,"99"))))))))))</f>
        <v>1</v>
      </c>
      <c r="S199" s="99" t="s">
        <v>49</v>
      </c>
      <c r="T199" s="92" t="s">
        <v>581</v>
      </c>
      <c r="U199" s="69">
        <f>IF(T199="within",1,0)</f>
        <v>1</v>
      </c>
      <c r="V199" s="92">
        <v>15</v>
      </c>
      <c r="W199" s="69">
        <f>F199*V199</f>
        <v>300</v>
      </c>
      <c r="X199" s="69">
        <v>3</v>
      </c>
      <c r="Y199" s="87">
        <f>AV198</f>
        <v>30</v>
      </c>
      <c r="Z199" s="69" t="s">
        <v>150</v>
      </c>
      <c r="AA199" s="69">
        <f>60*60*24*7</f>
        <v>604800</v>
      </c>
      <c r="AB199" s="69" t="str">
        <f>IF(AA199&lt;60,"1",IF(AA199&lt;=43200,"2",IF(AA199&lt;=777600,"3","4")))</f>
        <v>3</v>
      </c>
      <c r="AC199" s="72">
        <f>AVERAGE(AV198:DA198)</f>
        <v>202210</v>
      </c>
      <c r="AD199" s="69" t="str">
        <f>IF(AC199&lt;60,"1",IF(AC199&lt;=43200,"2",IF(AC199&lt;=777600,"3","4")))</f>
        <v>3</v>
      </c>
      <c r="AE199" s="87">
        <f>AA199-Y199</f>
        <v>604770</v>
      </c>
      <c r="AF199" s="88">
        <f>AV199</f>
        <v>0.93799999999999994</v>
      </c>
      <c r="AG199" s="72">
        <f>((AW199-AV199)+(AX199-AW199))/2</f>
        <v>-0.12699999999999995</v>
      </c>
      <c r="AH199" s="4"/>
      <c r="AI199" s="72">
        <f>RSQ(AV199:AX199,AV198:AX198)</f>
        <v>0.99896172914415271</v>
      </c>
      <c r="AJ199" s="110">
        <f>SLOPE(AV199:AX199,AV198:AX198)</f>
        <v>-4.1236390733775572E-7</v>
      </c>
      <c r="AK199" s="72">
        <f>INTERCEPT(AV199:AX199,AV198:AX198)</f>
        <v>0.93338410570276764</v>
      </c>
      <c r="AL199" s="72">
        <f>INDEX(LINEST(LN(AV199:AX199),LN(AV198:AX198),TRUE,TRUE),3,1)</f>
        <v>0.85285270918597467</v>
      </c>
      <c r="AM199" s="72">
        <f>INDEX(LINEST(LN(AV199:AX199),LN(AV198:AX198)),1)</f>
        <v>-3.3247186533008365E-2</v>
      </c>
      <c r="AN199" s="72">
        <f>EXP(INDEX(LINEST(LN(AV199:AX199),LN(AV198:AX198)),1,2))</f>
        <v>1.1001603949951162</v>
      </c>
      <c r="AO199" s="89">
        <f>INDEX(LINEST((AV199:AX199),LN(AV198:AX198),TRUE,TRUE),3,1)</f>
        <v>0.85628918219662886</v>
      </c>
      <c r="AP199" s="89">
        <f>INDEX(LINEST((AV199:AX199),LN(AV198:AX198)),1)</f>
        <v>-2.6725641717052388E-2</v>
      </c>
      <c r="AQ199" s="90">
        <f>INDEX(LINEST(LN(AV199:AX199),SQRT(AV198:AX198),TRUE,TRUE),3,1)</f>
        <v>0.99984285303681442</v>
      </c>
      <c r="AR199" s="117">
        <f>INDEX(LINEST(LN(AV199:AX199),SQRT((AV198:AX198))),1)</f>
        <v>-4.1163928579043677E-4</v>
      </c>
      <c r="AS199" s="91">
        <f>INDEX(LINEST(1/(AV199:AX199),1/(SQRT(AV198:AX198)),TRUE,TRUE),3,1)</f>
        <v>0.37788587199384693</v>
      </c>
      <c r="AT199" s="91">
        <f>INDEX(LINEST(1/(AV199:AX199),1/SQRT(AV198:AX198)),1)</f>
        <v>-1.4010411417539366</v>
      </c>
      <c r="AU199" s="3"/>
      <c r="AV199" s="73">
        <v>0.93799999999999994</v>
      </c>
      <c r="AW199" s="73">
        <v>0.92800000000000005</v>
      </c>
      <c r="AX199" s="73">
        <v>0.68400000000000005</v>
      </c>
      <c r="AY199" s="43"/>
      <c r="AZ199" s="53"/>
      <c r="BA199" s="53"/>
      <c r="BB199" s="53"/>
      <c r="BC199" s="53"/>
      <c r="BD199" s="53"/>
      <c r="BE199" s="53"/>
      <c r="BF199" s="53"/>
      <c r="BG199" s="53"/>
      <c r="BH199" s="53"/>
      <c r="BI199" s="53"/>
      <c r="BJ199" s="53"/>
      <c r="BK199" s="53"/>
      <c r="BL199" s="53"/>
      <c r="BM199" s="53"/>
      <c r="BN199" s="53"/>
      <c r="BO199" s="53"/>
      <c r="BP199" s="53"/>
      <c r="BQ199" s="53"/>
      <c r="BR199" s="53"/>
      <c r="BS199" s="53"/>
      <c r="BT199" s="53"/>
      <c r="BU199" s="53"/>
      <c r="BV199" s="53"/>
      <c r="BW199" s="53"/>
      <c r="BX199" s="53"/>
      <c r="BY199" s="53"/>
      <c r="BZ199" s="53"/>
      <c r="CA199" s="53"/>
      <c r="CB199" s="53"/>
      <c r="CC199" s="53"/>
      <c r="CD199" s="53"/>
      <c r="CE199" s="53"/>
      <c r="CF199" s="53"/>
      <c r="CG199" s="1"/>
      <c r="CH199" s="1"/>
      <c r="CI199" s="1"/>
      <c r="CJ199" s="1"/>
    </row>
    <row r="200" spans="1:99" s="13" customFormat="1" ht="12" customHeight="1" x14ac:dyDescent="0.2">
      <c r="A200" s="65">
        <v>43509</v>
      </c>
      <c r="B200" s="1"/>
      <c r="C200" s="1"/>
      <c r="D200" s="60"/>
      <c r="E200" s="76"/>
      <c r="F200" s="60"/>
      <c r="G200" s="60"/>
      <c r="H200" s="60"/>
      <c r="I200" s="60"/>
      <c r="J200" s="60"/>
      <c r="K200" s="64"/>
      <c r="L200" s="64"/>
      <c r="M200" s="60"/>
      <c r="N200" s="60"/>
      <c r="O200" s="60"/>
      <c r="P200" s="60"/>
      <c r="Q200" s="60"/>
      <c r="R200" s="60"/>
      <c r="S200" s="60"/>
      <c r="T200" s="60"/>
      <c r="U200" s="60"/>
      <c r="V200" s="60"/>
      <c r="W200" s="60"/>
      <c r="X200" s="60"/>
      <c r="Y200" s="76"/>
      <c r="Z200" s="60"/>
      <c r="AA200" s="60"/>
      <c r="AB200" s="60"/>
      <c r="AC200" s="60"/>
      <c r="AD200" s="60"/>
      <c r="AE200" s="60"/>
      <c r="AF200" s="80"/>
      <c r="AG200" s="56"/>
      <c r="AH200" s="4"/>
      <c r="AI200" s="56"/>
      <c r="AJ200" s="109"/>
      <c r="AK200" s="56"/>
      <c r="AL200" s="56"/>
      <c r="AM200" s="56"/>
      <c r="AN200" s="56"/>
      <c r="AO200" s="56"/>
      <c r="AP200" s="56"/>
      <c r="AQ200" s="56"/>
      <c r="AR200" s="109"/>
      <c r="AS200" s="56"/>
      <c r="AT200" s="56"/>
      <c r="AU200" s="3"/>
      <c r="AV200" s="25">
        <f>2*60</f>
        <v>120</v>
      </c>
      <c r="AW200" s="25">
        <f>20*60</f>
        <v>1200</v>
      </c>
      <c r="AX200" s="25">
        <f>24*60*60*2</f>
        <v>172800</v>
      </c>
      <c r="AY200" s="53"/>
      <c r="AZ200" s="53"/>
      <c r="BA200" s="53"/>
      <c r="BB200" s="53"/>
      <c r="BC200" s="53"/>
      <c r="BD200" s="53"/>
      <c r="BE200" s="53"/>
      <c r="BF200" s="53"/>
      <c r="BG200" s="53"/>
      <c r="BH200" s="53"/>
      <c r="BI200" s="53"/>
      <c r="BJ200" s="53"/>
      <c r="BK200" s="53"/>
      <c r="BL200" s="53"/>
      <c r="BM200" s="53"/>
      <c r="BN200" s="53"/>
      <c r="BO200" s="53"/>
      <c r="BP200" s="53"/>
      <c r="BQ200" s="53"/>
      <c r="BR200" s="53"/>
      <c r="BS200" s="53"/>
      <c r="BT200" s="53"/>
      <c r="BU200" s="53"/>
      <c r="BV200" s="53"/>
      <c r="BW200" s="53"/>
      <c r="BX200" s="53"/>
      <c r="BY200" s="53"/>
      <c r="BZ200" s="53"/>
      <c r="CA200" s="53"/>
      <c r="CB200" s="53"/>
      <c r="CC200" s="53"/>
      <c r="CD200" s="53"/>
      <c r="CE200" s="53"/>
      <c r="CF200" s="53"/>
      <c r="CG200" s="53"/>
      <c r="CH200" s="53"/>
      <c r="CI200" s="53"/>
      <c r="CJ200" s="53"/>
      <c r="CK200" s="53"/>
      <c r="CL200" s="53"/>
      <c r="CM200" s="53"/>
      <c r="CN200" s="53"/>
      <c r="CO200" s="53"/>
      <c r="CP200" s="53"/>
      <c r="CQ200" s="53"/>
      <c r="CR200" s="1"/>
      <c r="CS200" s="1"/>
      <c r="CT200" s="1"/>
      <c r="CU200" s="1"/>
    </row>
    <row r="201" spans="1:99" s="13" customFormat="1" ht="12" customHeight="1" x14ac:dyDescent="0.2">
      <c r="A201" s="65">
        <v>43509</v>
      </c>
      <c r="B201" s="1" t="s">
        <v>89</v>
      </c>
      <c r="C201" s="1" t="s">
        <v>19</v>
      </c>
      <c r="D201" s="60">
        <v>1970</v>
      </c>
      <c r="E201" s="76">
        <v>2</v>
      </c>
      <c r="F201" s="60">
        <v>48</v>
      </c>
      <c r="G201" s="60">
        <v>16</v>
      </c>
      <c r="H201" s="60" t="s">
        <v>22</v>
      </c>
      <c r="I201" s="60" t="s">
        <v>643</v>
      </c>
      <c r="J201" s="60" t="s">
        <v>90</v>
      </c>
      <c r="K201" s="60">
        <f>IF(J201="syllables",1,IF(J201="trigrams",2,IF(J201="strings",3,IF(J201="visual array",4,IF(J201="characters",5,IF(J201="letters",6,IF(J201="free forms",7,IF(J201="odors",8,IF(J201="words",9,IF(J201="pictures",10,IF(J201="object pictures",11,IF(J201="faces",12,IF(J201="names",13,IF(J201="idioms",14,IF(J201="grades",15,IF(J201="syllable-digit pairs",16,IF(J201="trigram-word pairs",17,IF(J201="word-digit pairs",18,IF(J201="English-Swahili pairs",19,IF(J201="spatial position",20,IF(J201="word pairs",21,IF(J201="word triads",22,IF(J201="generated words",23,IF(J201="word definition pairs",24,IF(J201="math problems",25,IF(J201="famous faces",26,IF(J201="famous names",27,IF(J201="famous voices",28,IF(J201="television programs",29,IF(J201="race horses",30,IF(J201="new vocabulary",31,IF(J201="sentences",32,IF(J201="concepts",33,IF(J201="ad slides",34,IF(J201="scenes",35,IF(J201="famous scenes",36,IF(J201="poems",37,IF(J201="walk",38,IF(J201="faces and events",39,IF(J201="events and names",40,IF(J201="flashbulb",41,IF(J201="stories",42,IF(J201="course material",43,IF(J201="autobiographical",44,IF(J201="novels",45,IF(J201="public events",46,"99"))))))))))))))))))))))))))))))))))))))))))))))</f>
        <v>18</v>
      </c>
      <c r="L201" s="60">
        <f>IF(J201="syllables",1,IF(J201="trigrams",1,IF(J201="strings",1,IF(J201="visual array",1,IF(J201="characters",1,IF(J201="letters",1,IF(J201="free forms",1,IF(J201="odors",2,IF(J201="words",2,IF(J201="pictures",2,IF(J201="object pictures",2,IF(J201="faces",2,IF(J201="names",2,IF(J201="idioms","2",IF(J201="grades",2,IF(J201="syllable-digit pairs",3,IF(J201="trigram-word pairs",3,IF(J201="word-digit pairs",3,IF(J201="English-Swahili pairs",3,IF(J201="spatial position",3,IF(J201="word pairs",4,IF(J201="word triads",4,IF(J201="generated words",4,IF(J201="word definition pairs",4,IF(J201="math problems",4,IF(J201="famous faces",4,IF(J201="famous names",4,IF(J201="famous voices",4,IF(J201="television programs",4,IF(J201="race horses",4,IF(J201="new vocabulary",4,IF(J201="sentences",5,IF(J201="concepts",5,IF(J201="ad slides",5,IF(J201="scenes",5,IF(J201="famous scenes",5,IF(J201="poems",6,IF(J201="walk",6,IF(J201="faces and events",6,IF(J201="events and names",6,IF(J201="flashbulb",7,IF(J201="stories",7,IF(J201="course material",7,IF(J201="autobiographical",7,IF(J201="novels",7,IF(J201="public events",7,"99"))))))))))))))))))))))))))))))))))))))))))))))</f>
        <v>3</v>
      </c>
      <c r="M201" s="60">
        <v>0</v>
      </c>
      <c r="N201" s="60">
        <v>1</v>
      </c>
      <c r="O201" s="60">
        <v>0</v>
      </c>
      <c r="P201" s="60"/>
      <c r="Q201" s="60" t="s">
        <v>174</v>
      </c>
      <c r="R201" s="60">
        <f>IF(Q201="Free Recall",1,IF(Q201="Cued Recall",2,IF(Q201="Recognition",3,IF(Q201="Multiple Choice",4,IF(Q201="Savings",5,IF(Q201="Stem Completion",6,IF(Q201="Fragment Completion",7,IF(Q201="anagram solution",8,IF(Q201="Matching",9,IF(Q201="Problem Solving",10,"99"))))))))))</f>
        <v>1</v>
      </c>
      <c r="S201" s="60" t="s">
        <v>49</v>
      </c>
      <c r="T201" s="60" t="s">
        <v>261</v>
      </c>
      <c r="U201" s="60">
        <f>IF(T201="within",1,0)</f>
        <v>0</v>
      </c>
      <c r="V201" s="59">
        <v>8</v>
      </c>
      <c r="W201" s="60">
        <f>F201*V201</f>
        <v>384</v>
      </c>
      <c r="X201" s="60">
        <v>3</v>
      </c>
      <c r="Y201" s="76">
        <f>AV200</f>
        <v>120</v>
      </c>
      <c r="Z201" s="60" t="s">
        <v>88</v>
      </c>
      <c r="AA201" s="60">
        <v>172800</v>
      </c>
      <c r="AB201" s="60" t="str">
        <f>IF(AA201&lt;60,"1",IF(AA201&lt;=43200,"2",IF(AA201&lt;=777600,"3","4")))</f>
        <v>3</v>
      </c>
      <c r="AC201" s="56">
        <f>AVERAGE(AV200:DA200)</f>
        <v>58040</v>
      </c>
      <c r="AD201" s="60" t="str">
        <f>IF(AC201&lt;60,"1",IF(AC201&lt;=43200,"2",IF(AC201&lt;=777600,"3","4")))</f>
        <v>3</v>
      </c>
      <c r="AE201" s="76">
        <f>AA201-Y201</f>
        <v>172680</v>
      </c>
      <c r="AF201" s="80">
        <f>AV201</f>
        <v>0.14580000000000001</v>
      </c>
      <c r="AG201" s="56">
        <f>((AW201-AV201)+(AX201-AW201))/2</f>
        <v>0.1042</v>
      </c>
      <c r="AH201" s="4"/>
      <c r="AI201" s="56">
        <f>RSQ(AV201:AX201,AV200:AX200)</f>
        <v>0.84588954325002297</v>
      </c>
      <c r="AJ201" s="109">
        <f>SLOPE(AV201:AX201,AV200:AX200)</f>
        <v>9.7064891157490682E-7</v>
      </c>
      <c r="AK201" s="56">
        <f>INTERCEPT(AV201:AX201,AV200:AX200)</f>
        <v>0.18673020383885908</v>
      </c>
      <c r="AL201" s="56">
        <f>INDEX(LINEST(LN(AV201:AX201),LN(AV200:AX200),TRUE,TRUE),3,1)</f>
        <v>0.95246772159286819</v>
      </c>
      <c r="AM201" s="56">
        <f>INDEX(LINEST(LN(AV201:AX201),LN(AV200:AX200)),1)</f>
        <v>0.11654129817077297</v>
      </c>
      <c r="AN201" s="56">
        <f>EXP(INDEX(LINEST(LN(AV201:AX201),LN(AV200:AX200)),1,2))</f>
        <v>8.9926859895756855E-2</v>
      </c>
      <c r="AO201" s="82">
        <f>INDEX(LINEST((AV201:AX201),LN(AV200:AX200),TRUE,TRUE),3,1)</f>
        <v>0.99120404837178155</v>
      </c>
      <c r="AP201" s="82">
        <f>INDEX(LINEST((AV201:AX201),LN(AV200:AX200)),1)</f>
        <v>2.8095862306601202E-2</v>
      </c>
      <c r="AQ201" s="83">
        <f>INDEX(LINEST(LN(AV201:AX201),SQRT(AV200:AX200),TRUE,TRUE),3,1)</f>
        <v>0.78466490252881704</v>
      </c>
      <c r="AR201" s="116">
        <f>INDEX(LINEST(LN(AV201:AX201),SQRT((AV200:AX200))),1)</f>
        <v>1.7308623283577983E-3</v>
      </c>
      <c r="AS201" s="84">
        <f>INDEX(LINEST(1/(AV201:AX201),1/(SQRT(AV200:AX200)),TRUE,TRUE),3,1)</f>
        <v>0.99127747835048441</v>
      </c>
      <c r="AT201" s="84">
        <f>INDEX(LINEST(1/(AV201:AX201),1/SQRT(AV200:AX200)),1)</f>
        <v>44.429123983430387</v>
      </c>
      <c r="AU201" s="3"/>
      <c r="AV201" s="53">
        <v>0.14580000000000001</v>
      </c>
      <c r="AW201" s="53">
        <v>0.22919999999999999</v>
      </c>
      <c r="AX201" s="53">
        <v>0.35420000000000001</v>
      </c>
      <c r="AY201" s="53"/>
      <c r="AZ201" s="53"/>
      <c r="BA201" s="53"/>
      <c r="BB201" s="53"/>
      <c r="BC201" s="53"/>
      <c r="BD201" s="53"/>
      <c r="BE201" s="53"/>
      <c r="BF201" s="53"/>
      <c r="BG201" s="53"/>
      <c r="BH201" s="53"/>
      <c r="BI201" s="53"/>
      <c r="BJ201" s="53"/>
      <c r="BK201" s="53"/>
      <c r="BL201" s="53"/>
      <c r="BM201" s="53"/>
      <c r="BN201" s="53"/>
      <c r="BO201" s="53"/>
      <c r="BP201" s="53"/>
      <c r="BQ201" s="53"/>
      <c r="BR201" s="53"/>
      <c r="BS201" s="53"/>
      <c r="BT201" s="53"/>
      <c r="BU201" s="53"/>
      <c r="BV201" s="53"/>
      <c r="BW201" s="53"/>
      <c r="BX201" s="53"/>
      <c r="BY201" s="53"/>
      <c r="BZ201" s="53"/>
      <c r="CA201" s="53"/>
      <c r="CB201" s="53"/>
      <c r="CC201" s="53"/>
      <c r="CD201" s="53"/>
      <c r="CE201" s="53"/>
      <c r="CF201" s="53"/>
      <c r="CG201" s="53"/>
      <c r="CH201" s="53"/>
      <c r="CI201" s="53"/>
      <c r="CJ201" s="53"/>
      <c r="CK201" s="53"/>
      <c r="CL201" s="53"/>
      <c r="CM201" s="53"/>
      <c r="CN201" s="53"/>
      <c r="CO201" s="53"/>
      <c r="CP201" s="53"/>
      <c r="CQ201" s="53"/>
      <c r="CR201" s="1"/>
      <c r="CS201" s="1"/>
      <c r="CT201" s="1"/>
      <c r="CU201" s="1"/>
    </row>
    <row r="202" spans="1:99" s="13" customFormat="1" ht="12" customHeight="1" x14ac:dyDescent="0.2">
      <c r="A202" s="65">
        <v>43509</v>
      </c>
      <c r="B202" s="1"/>
      <c r="C202" s="1"/>
      <c r="D202" s="60"/>
      <c r="E202" s="76"/>
      <c r="F202" s="60"/>
      <c r="G202" s="60"/>
      <c r="H202" s="60"/>
      <c r="I202" s="60"/>
      <c r="J202" s="60"/>
      <c r="K202" s="64"/>
      <c r="L202" s="64"/>
      <c r="M202" s="60"/>
      <c r="N202" s="60"/>
      <c r="O202" s="60"/>
      <c r="P202" s="60"/>
      <c r="Q202" s="60"/>
      <c r="R202" s="60"/>
      <c r="S202" s="60"/>
      <c r="T202" s="60"/>
      <c r="U202" s="60"/>
      <c r="V202" s="60"/>
      <c r="W202" s="60"/>
      <c r="X202" s="60"/>
      <c r="Y202" s="76"/>
      <c r="Z202" s="60"/>
      <c r="AA202" s="60"/>
      <c r="AB202" s="60"/>
      <c r="AC202" s="60"/>
      <c r="AD202" s="60"/>
      <c r="AE202" s="60"/>
      <c r="AF202" s="80"/>
      <c r="AG202" s="56"/>
      <c r="AH202" s="4"/>
      <c r="AI202" s="56"/>
      <c r="AJ202" s="109"/>
      <c r="AK202" s="56"/>
      <c r="AL202" s="56"/>
      <c r="AM202" s="56"/>
      <c r="AN202" s="56"/>
      <c r="AO202" s="56"/>
      <c r="AP202" s="56"/>
      <c r="AQ202" s="56"/>
      <c r="AR202" s="109"/>
      <c r="AS202" s="56"/>
      <c r="AT202" s="56"/>
      <c r="AU202" s="3"/>
      <c r="AV202" s="25">
        <f>2*60</f>
        <v>120</v>
      </c>
      <c r="AW202" s="25">
        <f>20*60</f>
        <v>1200</v>
      </c>
      <c r="AX202" s="25">
        <f>24*60*60*2</f>
        <v>172800</v>
      </c>
      <c r="AY202" s="53"/>
      <c r="AZ202" s="53"/>
      <c r="BA202" s="53"/>
      <c r="BB202" s="53"/>
      <c r="BC202" s="53"/>
      <c r="BD202" s="53"/>
      <c r="BE202" s="53"/>
      <c r="BF202" s="53"/>
      <c r="BG202" s="53"/>
      <c r="BH202" s="53"/>
      <c r="BI202" s="53"/>
      <c r="BJ202" s="53"/>
      <c r="BK202" s="53"/>
      <c r="BL202" s="53"/>
      <c r="BM202" s="53"/>
      <c r="BN202" s="53"/>
      <c r="BO202" s="53"/>
      <c r="BP202" s="53"/>
      <c r="BQ202" s="53"/>
      <c r="BR202" s="53"/>
      <c r="BS202" s="53"/>
      <c r="BT202" s="53"/>
      <c r="BU202" s="53"/>
      <c r="BV202" s="53"/>
      <c r="BW202" s="53"/>
      <c r="BX202" s="53"/>
      <c r="BY202" s="53"/>
      <c r="BZ202" s="53"/>
      <c r="CA202" s="53"/>
      <c r="CB202" s="53"/>
      <c r="CC202" s="53"/>
      <c r="CD202" s="53"/>
      <c r="CE202" s="53"/>
      <c r="CF202" s="53"/>
      <c r="CG202" s="53"/>
      <c r="CH202" s="53"/>
      <c r="CI202" s="53"/>
      <c r="CJ202" s="53"/>
      <c r="CK202" s="53"/>
      <c r="CL202" s="53"/>
      <c r="CM202" s="53"/>
      <c r="CN202" s="53"/>
      <c r="CO202" s="53"/>
      <c r="CP202" s="53"/>
      <c r="CQ202" s="53"/>
      <c r="CR202" s="1"/>
      <c r="CS202" s="1"/>
      <c r="CT202" s="1"/>
      <c r="CU202" s="1"/>
    </row>
    <row r="203" spans="1:99" s="13" customFormat="1" ht="12" customHeight="1" x14ac:dyDescent="0.2">
      <c r="A203" s="65">
        <v>43509</v>
      </c>
      <c r="B203" s="1" t="s">
        <v>89</v>
      </c>
      <c r="C203" s="1" t="s">
        <v>19</v>
      </c>
      <c r="D203" s="60">
        <v>1970</v>
      </c>
      <c r="E203" s="76">
        <v>2</v>
      </c>
      <c r="F203" s="60">
        <v>48</v>
      </c>
      <c r="G203" s="60">
        <v>16</v>
      </c>
      <c r="H203" s="60" t="s">
        <v>22</v>
      </c>
      <c r="I203" s="60" t="s">
        <v>644</v>
      </c>
      <c r="J203" s="60" t="s">
        <v>90</v>
      </c>
      <c r="K203" s="60">
        <f>IF(J203="syllables",1,IF(J203="trigrams",2,IF(J203="strings",3,IF(J203="visual array",4,IF(J203="characters",5,IF(J203="letters",6,IF(J203="free forms",7,IF(J203="odors",8,IF(J203="words",9,IF(J203="pictures",10,IF(J203="object pictures",11,IF(J203="faces",12,IF(J203="names",13,IF(J203="idioms",14,IF(J203="grades",15,IF(J203="syllable-digit pairs",16,IF(J203="trigram-word pairs",17,IF(J203="word-digit pairs",18,IF(J203="English-Swahili pairs",19,IF(J203="spatial position",20,IF(J203="word pairs",21,IF(J203="word triads",22,IF(J203="generated words",23,IF(J203="word definition pairs",24,IF(J203="math problems",25,IF(J203="famous faces",26,IF(J203="famous names",27,IF(J203="famous voices",28,IF(J203="television programs",29,IF(J203="race horses",30,IF(J203="new vocabulary",31,IF(J203="sentences",32,IF(J203="concepts",33,IF(J203="ad slides",34,IF(J203="scenes",35,IF(J203="famous scenes",36,IF(J203="poems",37,IF(J203="walk",38,IF(J203="faces and events",39,IF(J203="events and names",40,IF(J203="flashbulb",41,IF(J203="stories",42,IF(J203="course material",43,IF(J203="autobiographical",44,IF(J203="novels",45,IF(J203="public events",46,"99"))))))))))))))))))))))))))))))))))))))))))))))</f>
        <v>18</v>
      </c>
      <c r="L203" s="60">
        <f>IF(J203="syllables",1,IF(J203="trigrams",1,IF(J203="strings",1,IF(J203="visual array",1,IF(J203="characters",1,IF(J203="letters",1,IF(J203="free forms",1,IF(J203="odors",2,IF(J203="words",2,IF(J203="pictures",2,IF(J203="object pictures",2,IF(J203="faces",2,IF(J203="names",2,IF(J203="idioms","2",IF(J203="grades",2,IF(J203="syllable-digit pairs",3,IF(J203="trigram-word pairs",3,IF(J203="word-digit pairs",3,IF(J203="English-Swahili pairs",3,IF(J203="spatial position",3,IF(J203="word pairs",4,IF(J203="word triads",4,IF(J203="generated words",4,IF(J203="word definition pairs",4,IF(J203="math problems",4,IF(J203="famous faces",4,IF(J203="famous names",4,IF(J203="famous voices",4,IF(J203="television programs",4,IF(J203="race horses",4,IF(J203="new vocabulary",4,IF(J203="sentences",5,IF(J203="concepts",5,IF(J203="ad slides",5,IF(J203="scenes",5,IF(J203="famous scenes",5,IF(J203="poems",6,IF(J203="walk",6,IF(J203="faces and events",6,IF(J203="events and names",6,IF(J203="flashbulb",7,IF(J203="stories",7,IF(J203="course material",7,IF(J203="autobiographical",7,IF(J203="novels",7,IF(J203="public events",7,"99"))))))))))))))))))))))))))))))))))))))))))))))</f>
        <v>3</v>
      </c>
      <c r="M203" s="60">
        <v>0</v>
      </c>
      <c r="N203" s="60">
        <v>1</v>
      </c>
      <c r="O203" s="60">
        <v>0</v>
      </c>
      <c r="P203" s="60"/>
      <c r="Q203" s="60" t="s">
        <v>174</v>
      </c>
      <c r="R203" s="60">
        <f>IF(Q203="Free Recall",1,IF(Q203="Cued Recall",2,IF(Q203="Recognition",3,IF(Q203="Multiple Choice",4,IF(Q203="Savings",5,IF(Q203="Stem Completion",6,IF(Q203="Fragment Completion",7,IF(Q203="anagram solution",8,IF(Q203="Matching",9,IF(Q203="Problem Solving",10,"99"))))))))))</f>
        <v>1</v>
      </c>
      <c r="S203" s="60" t="s">
        <v>49</v>
      </c>
      <c r="T203" s="60" t="s">
        <v>261</v>
      </c>
      <c r="U203" s="60">
        <f>IF(T203="within",1,0)</f>
        <v>0</v>
      </c>
      <c r="V203" s="59">
        <v>8</v>
      </c>
      <c r="W203" s="60">
        <f>F203*V203</f>
        <v>384</v>
      </c>
      <c r="X203" s="60">
        <v>3</v>
      </c>
      <c r="Y203" s="76">
        <f>AV202</f>
        <v>120</v>
      </c>
      <c r="Z203" s="60" t="s">
        <v>88</v>
      </c>
      <c r="AA203" s="60">
        <v>172800</v>
      </c>
      <c r="AB203" s="60" t="str">
        <f>IF(AA203&lt;60,"1",IF(AA203&lt;=43200,"2",IF(AA203&lt;=777600,"3","4")))</f>
        <v>3</v>
      </c>
      <c r="AC203" s="56">
        <f>AVERAGE(AV202:DA202)</f>
        <v>58040</v>
      </c>
      <c r="AD203" s="60" t="str">
        <f>IF(AC203&lt;60,"1",IF(AC203&lt;=43200,"2",IF(AC203&lt;=777600,"3","4")))</f>
        <v>3</v>
      </c>
      <c r="AE203" s="76">
        <f>AA203-Y203</f>
        <v>172680</v>
      </c>
      <c r="AF203" s="80">
        <f>AV203</f>
        <v>0.5</v>
      </c>
      <c r="AG203" s="56">
        <f>((AW203-AV203)+(AX203-AW203))/2</f>
        <v>-0.20835000000000001</v>
      </c>
      <c r="AH203" s="4"/>
      <c r="AI203" s="56">
        <f>RSQ(AV203:AX203,AV202:AX202)</f>
        <v>0.48626352147765439</v>
      </c>
      <c r="AJ203" s="109">
        <f>SLOPE(AV203:AX203,AV202:AX202)</f>
        <v>-1.521509979747481E-6</v>
      </c>
      <c r="AK203" s="56">
        <f>INTERCEPT(AV203:AX203,AV202:AX202)</f>
        <v>0.34524177255787714</v>
      </c>
      <c r="AL203" s="56">
        <f>INDEX(LINEST(LN(AV203:AX203),LN(AV202:AX202),TRUE,TRUE),3,1)</f>
        <v>0.93230192471481943</v>
      </c>
      <c r="AM203" s="56">
        <f>INDEX(LINEST(LN(AV203:AX203),LN(AV202:AX202)),1)</f>
        <v>-0.23313064757059063</v>
      </c>
      <c r="AN203" s="56">
        <f>EXP(INDEX(LINEST(LN(AV203:AX203),LN(AV202:AX202)),1,2))</f>
        <v>1.2746967439134511</v>
      </c>
      <c r="AO203" s="82">
        <f>INDEX(LINEST((AV203:AX203),LN(AV202:AX202),TRUE,TRUE),3,1)</f>
        <v>0.77881190275621404</v>
      </c>
      <c r="AP203" s="82">
        <f>INDEX(LINEST((AV203:AX203),LN(AV202:AX202)),1)</f>
        <v>-5.1488559122577778E-2</v>
      </c>
      <c r="AQ203" s="83">
        <f>INDEX(LINEST(LN(AV203:AX203),SQRT(AV202:AX202),TRUE,TRUE),3,1)</f>
        <v>0.74792954195117223</v>
      </c>
      <c r="AR203" s="116">
        <f>INDEX(LINEST(LN(AV203:AX203),SQRT((AV202:AX202))),1)</f>
        <v>-3.4167807946846158E-3</v>
      </c>
      <c r="AS203" s="84">
        <f>INDEX(LINEST(1/(AV203:AX203),1/(SQRT(AV202:AX202)),TRUE,TRUE),3,1)</f>
        <v>0.83390890657925554</v>
      </c>
      <c r="AT203" s="84">
        <f>INDEX(LINEST(1/(AV203:AX203),1/SQRT(AV202:AX202)),1)</f>
        <v>-101.93747227075491</v>
      </c>
      <c r="AU203" s="3"/>
      <c r="AV203" s="53">
        <v>0.5</v>
      </c>
      <c r="AW203" s="53">
        <v>0.1875</v>
      </c>
      <c r="AX203" s="53">
        <v>8.3299999999999999E-2</v>
      </c>
      <c r="AY203" s="53"/>
      <c r="AZ203" s="53"/>
      <c r="BA203" s="53"/>
      <c r="BB203" s="53"/>
      <c r="BC203" s="53"/>
      <c r="BD203" s="53"/>
      <c r="BE203" s="53"/>
      <c r="BF203" s="53"/>
      <c r="BG203" s="53"/>
      <c r="BH203" s="53"/>
      <c r="BI203" s="53"/>
      <c r="BJ203" s="53"/>
      <c r="BK203" s="53"/>
      <c r="BL203" s="53"/>
      <c r="BM203" s="53"/>
      <c r="BN203" s="53"/>
      <c r="BO203" s="53"/>
      <c r="BP203" s="53"/>
      <c r="BQ203" s="53"/>
      <c r="BR203" s="53"/>
      <c r="BS203" s="53"/>
      <c r="BT203" s="53"/>
      <c r="BU203" s="53"/>
      <c r="BV203" s="53"/>
      <c r="BW203" s="53"/>
      <c r="BX203" s="53"/>
      <c r="BY203" s="53"/>
      <c r="BZ203" s="53"/>
      <c r="CA203" s="53"/>
      <c r="CB203" s="53"/>
      <c r="CC203" s="53"/>
      <c r="CD203" s="53"/>
      <c r="CE203" s="53"/>
      <c r="CF203" s="53"/>
      <c r="CG203" s="53"/>
      <c r="CH203" s="53"/>
      <c r="CI203" s="53"/>
      <c r="CJ203" s="53"/>
      <c r="CK203" s="53"/>
      <c r="CL203" s="53"/>
      <c r="CM203" s="53"/>
      <c r="CN203" s="53"/>
      <c r="CO203" s="53"/>
      <c r="CP203" s="53"/>
      <c r="CQ203" s="53"/>
      <c r="CR203" s="1"/>
      <c r="CS203" s="1"/>
      <c r="CT203" s="1"/>
      <c r="CU203" s="1"/>
    </row>
    <row r="204" spans="1:99" s="13" customFormat="1" ht="12" customHeight="1" x14ac:dyDescent="0.2">
      <c r="A204" s="65">
        <v>43509</v>
      </c>
      <c r="B204" s="1"/>
      <c r="C204" s="1"/>
      <c r="D204" s="60"/>
      <c r="E204" s="76"/>
      <c r="F204" s="60"/>
      <c r="G204" s="60"/>
      <c r="H204" s="60"/>
      <c r="I204" s="60"/>
      <c r="J204" s="60"/>
      <c r="K204" s="64"/>
      <c r="L204" s="64"/>
      <c r="M204" s="60"/>
      <c r="N204" s="60"/>
      <c r="O204" s="60"/>
      <c r="P204" s="60"/>
      <c r="Q204" s="60"/>
      <c r="R204" s="60"/>
      <c r="S204" s="60"/>
      <c r="T204" s="60"/>
      <c r="U204" s="60"/>
      <c r="V204" s="60"/>
      <c r="W204" s="60"/>
      <c r="X204" s="60"/>
      <c r="Y204" s="76"/>
      <c r="Z204" s="60"/>
      <c r="AA204" s="60"/>
      <c r="AB204" s="60"/>
      <c r="AC204" s="60"/>
      <c r="AD204" s="60"/>
      <c r="AE204" s="60"/>
      <c r="AF204" s="80"/>
      <c r="AG204" s="56"/>
      <c r="AH204" s="4"/>
      <c r="AI204" s="56"/>
      <c r="AJ204" s="109"/>
      <c r="AK204" s="56"/>
      <c r="AL204" s="56"/>
      <c r="AM204" s="56"/>
      <c r="AN204" s="56"/>
      <c r="AO204" s="56"/>
      <c r="AP204" s="56"/>
      <c r="AQ204" s="56"/>
      <c r="AR204" s="109"/>
      <c r="AS204" s="56"/>
      <c r="AT204" s="56"/>
      <c r="AU204" s="3"/>
      <c r="AV204" s="25">
        <f>2*60</f>
        <v>120</v>
      </c>
      <c r="AW204" s="25">
        <f>20*60</f>
        <v>1200</v>
      </c>
      <c r="AX204" s="25">
        <f>24*60*60*2</f>
        <v>172800</v>
      </c>
      <c r="AY204" s="53"/>
      <c r="AZ204" s="53"/>
      <c r="BA204" s="53"/>
      <c r="BB204" s="53"/>
      <c r="BC204" s="53"/>
      <c r="BD204" s="53"/>
      <c r="BE204" s="53"/>
      <c r="BF204" s="53"/>
      <c r="BG204" s="53"/>
      <c r="BH204" s="53"/>
      <c r="BI204" s="53"/>
      <c r="BJ204" s="53"/>
      <c r="BK204" s="53"/>
      <c r="BL204" s="53"/>
      <c r="BM204" s="53"/>
      <c r="BN204" s="53"/>
      <c r="BO204" s="53"/>
      <c r="BP204" s="53"/>
      <c r="BQ204" s="53"/>
      <c r="BR204" s="53"/>
      <c r="BS204" s="53"/>
      <c r="BT204" s="53"/>
      <c r="BU204" s="53"/>
      <c r="BV204" s="53"/>
      <c r="BW204" s="53"/>
      <c r="BX204" s="53"/>
      <c r="BY204" s="53"/>
      <c r="BZ204" s="53"/>
      <c r="CA204" s="53"/>
      <c r="CB204" s="53"/>
      <c r="CC204" s="53"/>
      <c r="CD204" s="53"/>
      <c r="CE204" s="53"/>
      <c r="CF204" s="53"/>
      <c r="CG204" s="53"/>
      <c r="CH204" s="53"/>
      <c r="CI204" s="53"/>
      <c r="CJ204" s="53"/>
      <c r="CK204" s="53"/>
      <c r="CL204" s="53"/>
      <c r="CM204" s="53"/>
      <c r="CN204" s="53"/>
      <c r="CO204" s="53"/>
      <c r="CP204" s="53"/>
      <c r="CQ204" s="53"/>
      <c r="CR204" s="1"/>
      <c r="CS204" s="1"/>
      <c r="CT204" s="1"/>
      <c r="CU204" s="1"/>
    </row>
    <row r="205" spans="1:99" s="13" customFormat="1" ht="12" customHeight="1" x14ac:dyDescent="0.2">
      <c r="A205" s="65">
        <v>43509</v>
      </c>
      <c r="B205" s="1" t="s">
        <v>89</v>
      </c>
      <c r="C205" s="1" t="s">
        <v>19</v>
      </c>
      <c r="D205" s="60">
        <v>1970</v>
      </c>
      <c r="E205" s="76">
        <v>2</v>
      </c>
      <c r="F205" s="60">
        <v>48</v>
      </c>
      <c r="G205" s="60">
        <v>16</v>
      </c>
      <c r="H205" s="60" t="s">
        <v>22</v>
      </c>
      <c r="I205" s="60" t="s">
        <v>645</v>
      </c>
      <c r="J205" s="60" t="s">
        <v>90</v>
      </c>
      <c r="K205" s="60">
        <f>IF(J205="syllables",1,IF(J205="trigrams",2,IF(J205="strings",3,IF(J205="visual array",4,IF(J205="characters",5,IF(J205="letters",6,IF(J205="free forms",7,IF(J205="odors",8,IF(J205="words",9,IF(J205="pictures",10,IF(J205="object pictures",11,IF(J205="faces",12,IF(J205="names",13,IF(J205="idioms",14,IF(J205="grades",15,IF(J205="syllable-digit pairs",16,IF(J205="trigram-word pairs",17,IF(J205="word-digit pairs",18,IF(J205="English-Swahili pairs",19,IF(J205="spatial position",20,IF(J205="word pairs",21,IF(J205="word triads",22,IF(J205="generated words",23,IF(J205="word definition pairs",24,IF(J205="math problems",25,IF(J205="famous faces",26,IF(J205="famous names",27,IF(J205="famous voices",28,IF(J205="television programs",29,IF(J205="race horses",30,IF(J205="new vocabulary",31,IF(J205="sentences",32,IF(J205="concepts",33,IF(J205="ad slides",34,IF(J205="scenes",35,IF(J205="famous scenes",36,IF(J205="poems",37,IF(J205="walk",38,IF(J205="faces and events",39,IF(J205="events and names",40,IF(J205="flashbulb",41,IF(J205="stories",42,IF(J205="course material",43,IF(J205="autobiographical",44,IF(J205="novels",45,IF(J205="public events",46,"99"))))))))))))))))))))))))))))))))))))))))))))))</f>
        <v>18</v>
      </c>
      <c r="L205" s="60">
        <f>IF(J205="syllables",1,IF(J205="trigrams",1,IF(J205="strings",1,IF(J205="visual array",1,IF(J205="characters",1,IF(J205="letters",1,IF(J205="free forms",1,IF(J205="odors",2,IF(J205="words",2,IF(J205="pictures",2,IF(J205="object pictures",2,IF(J205="faces",2,IF(J205="names",2,IF(J205="idioms","2",IF(J205="grades",2,IF(J205="syllable-digit pairs",3,IF(J205="trigram-word pairs",3,IF(J205="word-digit pairs",3,IF(J205="English-Swahili pairs",3,IF(J205="spatial position",3,IF(J205="word pairs",4,IF(J205="word triads",4,IF(J205="generated words",4,IF(J205="word definition pairs",4,IF(J205="math problems",4,IF(J205="famous faces",4,IF(J205="famous names",4,IF(J205="famous voices",4,IF(J205="television programs",4,IF(J205="race horses",4,IF(J205="new vocabulary",4,IF(J205="sentences",5,IF(J205="concepts",5,IF(J205="ad slides",5,IF(J205="scenes",5,IF(J205="famous scenes",5,IF(J205="poems",6,IF(J205="walk",6,IF(J205="faces and events",6,IF(J205="events and names",6,IF(J205="flashbulb",7,IF(J205="stories",7,IF(J205="course material",7,IF(J205="autobiographical",7,IF(J205="novels",7,IF(J205="public events",7,"99"))))))))))))))))))))))))))))))))))))))))))))))</f>
        <v>3</v>
      </c>
      <c r="M205" s="60">
        <v>0</v>
      </c>
      <c r="N205" s="60">
        <v>1</v>
      </c>
      <c r="O205" s="60">
        <v>0</v>
      </c>
      <c r="P205" s="60"/>
      <c r="Q205" s="60" t="s">
        <v>174</v>
      </c>
      <c r="R205" s="60">
        <f>IF(Q205="Free Recall",1,IF(Q205="Cued Recall",2,IF(Q205="Recognition",3,IF(Q205="Multiple Choice",4,IF(Q205="Savings",5,IF(Q205="Stem Completion",6,IF(Q205="Fragment Completion",7,IF(Q205="anagram solution",8,IF(Q205="Matching",9,IF(Q205="Problem Solving",10,"99"))))))))))</f>
        <v>1</v>
      </c>
      <c r="S205" s="60" t="s">
        <v>49</v>
      </c>
      <c r="T205" s="60" t="s">
        <v>261</v>
      </c>
      <c r="U205" s="60">
        <f>IF(T205="within",1,0)</f>
        <v>0</v>
      </c>
      <c r="V205" s="60">
        <v>8</v>
      </c>
      <c r="W205" s="60">
        <f>F205*V205</f>
        <v>384</v>
      </c>
      <c r="X205" s="60">
        <v>3</v>
      </c>
      <c r="Y205" s="76">
        <f>AV204</f>
        <v>120</v>
      </c>
      <c r="Z205" s="60" t="s">
        <v>88</v>
      </c>
      <c r="AA205" s="60">
        <v>172800</v>
      </c>
      <c r="AB205" s="60" t="str">
        <f>IF(AA205&lt;60,"1",IF(AA205&lt;=43200,"2",IF(AA205&lt;=777600,"3","4")))</f>
        <v>3</v>
      </c>
      <c r="AC205" s="56">
        <f>AVERAGE(AV204:DA204)</f>
        <v>58040</v>
      </c>
      <c r="AD205" s="60" t="str">
        <f>IF(AC205&lt;60,"1",IF(AC205&lt;=43200,"2",IF(AC205&lt;=777600,"3","4")))</f>
        <v>3</v>
      </c>
      <c r="AE205" s="76">
        <f>AA205-Y205</f>
        <v>172680</v>
      </c>
      <c r="AF205" s="80">
        <f>AV205</f>
        <v>0.14580000000000001</v>
      </c>
      <c r="AG205" s="56">
        <f>((AW205-AV205)+(AX205-AW205))/2</f>
        <v>8.3349999999999994E-2</v>
      </c>
      <c r="AH205" s="4"/>
      <c r="AI205" s="56">
        <f>RSQ(AV205:AX205,AV204:AX204)</f>
        <v>0.48635939383734972</v>
      </c>
      <c r="AJ205" s="109">
        <f>SLOPE(AV205:AX205,AV204:AX204)</f>
        <v>6.0872017297008704E-7</v>
      </c>
      <c r="AK205" s="56">
        <f>INTERCEPT(AV205:AX205,AV204:AX204)</f>
        <v>0.20770321449414947</v>
      </c>
      <c r="AL205" s="56">
        <f>INDEX(LINEST(LN(AV205:AX205),LN(AV204:AX204),TRUE,TRUE),3,1)</f>
        <v>0.72269396285949217</v>
      </c>
      <c r="AM205" s="56">
        <f>INDEX(LINEST(LN(AV205:AX205),LN(AV204:AX204)),1)</f>
        <v>9.2674589061085902E-2</v>
      </c>
      <c r="AN205" s="56">
        <f>EXP(INDEX(LINEST(LN(AV205:AX205),LN(AV204:AX204)),1,2))</f>
        <v>0.11030790149601268</v>
      </c>
      <c r="AO205" s="82">
        <f>INDEX(LINEST((AV205:AX205),LN(AV204:AX204),TRUE,TRUE),3,1)</f>
        <v>0.77889151051722749</v>
      </c>
      <c r="AP205" s="82">
        <f>INDEX(LINEST((AV205:AX205),LN(AV204:AX204)),1)</f>
        <v>2.0598377539882674E-2</v>
      </c>
      <c r="AQ205" s="83">
        <f>INDEX(LINEST(LN(AV205:AX205),SQRT(AV204:AX204),TRUE,TRUE),3,1)</f>
        <v>0.46805672124669573</v>
      </c>
      <c r="AR205" s="116">
        <f>INDEX(LINEST(LN(AV205:AX205),SQRT((AV204:AX204))),1)</f>
        <v>1.2203893036931981E-3</v>
      </c>
      <c r="AS205" s="84">
        <f>INDEX(LINEST(1/(AV205:AX205),1/(SQRT(AV204:AX204)),TRUE,TRUE),3,1)</f>
        <v>0.97146822349819195</v>
      </c>
      <c r="AT205" s="84">
        <f>INDEX(LINEST(1/(AV205:AX205),1/SQRT(AV204:AX204)),1)</f>
        <v>42.880370885619755</v>
      </c>
      <c r="AU205" s="3"/>
      <c r="AV205" s="53">
        <v>0.14580000000000001</v>
      </c>
      <c r="AW205" s="53">
        <v>0.27079999999999999</v>
      </c>
      <c r="AX205" s="53">
        <v>0.3125</v>
      </c>
      <c r="AY205" s="53"/>
      <c r="AZ205" s="53"/>
      <c r="BA205" s="53"/>
      <c r="BB205" s="53"/>
      <c r="BC205" s="53"/>
      <c r="BD205" s="53"/>
      <c r="BE205" s="53"/>
      <c r="BF205" s="53"/>
      <c r="BG205" s="53"/>
      <c r="BH205" s="53"/>
      <c r="BI205" s="53"/>
      <c r="BJ205" s="53"/>
      <c r="BK205" s="53"/>
      <c r="BL205" s="53"/>
      <c r="BM205" s="53"/>
      <c r="BN205" s="53"/>
      <c r="BO205" s="53"/>
      <c r="BP205" s="53"/>
      <c r="BQ205" s="53"/>
      <c r="BR205" s="53"/>
      <c r="BS205" s="53"/>
      <c r="BT205" s="53"/>
      <c r="BU205" s="53"/>
      <c r="BV205" s="53"/>
      <c r="BW205" s="53"/>
      <c r="BX205" s="53"/>
      <c r="BY205" s="53"/>
      <c r="BZ205" s="53"/>
      <c r="CA205" s="53"/>
      <c r="CB205" s="53"/>
      <c r="CC205" s="53"/>
      <c r="CD205" s="53"/>
      <c r="CE205" s="53"/>
      <c r="CF205" s="53"/>
      <c r="CG205" s="53"/>
      <c r="CH205" s="53"/>
      <c r="CI205" s="53"/>
      <c r="CJ205" s="53"/>
      <c r="CK205" s="53"/>
      <c r="CL205" s="53"/>
      <c r="CM205" s="53"/>
      <c r="CN205" s="53"/>
      <c r="CO205" s="53"/>
      <c r="CP205" s="53"/>
      <c r="CQ205" s="53"/>
      <c r="CR205" s="1"/>
      <c r="CS205" s="1"/>
      <c r="CT205" s="1"/>
      <c r="CU205" s="1"/>
    </row>
    <row r="206" spans="1:99" s="13" customFormat="1" ht="12" customHeight="1" x14ac:dyDescent="0.2">
      <c r="A206" s="65">
        <v>43509</v>
      </c>
      <c r="B206" s="1"/>
      <c r="C206" s="1"/>
      <c r="D206" s="60"/>
      <c r="E206" s="76"/>
      <c r="F206" s="60"/>
      <c r="G206" s="60"/>
      <c r="H206" s="60"/>
      <c r="I206" s="60"/>
      <c r="J206" s="60"/>
      <c r="K206" s="64"/>
      <c r="L206" s="64"/>
      <c r="M206" s="60"/>
      <c r="N206" s="60"/>
      <c r="O206" s="60"/>
      <c r="P206" s="60"/>
      <c r="Q206" s="60"/>
      <c r="R206" s="60"/>
      <c r="S206" s="60"/>
      <c r="T206" s="60"/>
      <c r="U206" s="60"/>
      <c r="V206" s="60"/>
      <c r="W206" s="60"/>
      <c r="X206" s="60"/>
      <c r="Y206" s="76"/>
      <c r="Z206" s="60"/>
      <c r="AA206" s="60"/>
      <c r="AB206" s="60"/>
      <c r="AC206" s="60"/>
      <c r="AD206" s="60"/>
      <c r="AE206" s="60"/>
      <c r="AF206" s="80"/>
      <c r="AG206" s="56"/>
      <c r="AH206" s="4"/>
      <c r="AI206" s="56"/>
      <c r="AJ206" s="109"/>
      <c r="AK206" s="56"/>
      <c r="AL206" s="56"/>
      <c r="AM206" s="56"/>
      <c r="AN206" s="56"/>
      <c r="AO206" s="56"/>
      <c r="AP206" s="56"/>
      <c r="AQ206" s="56"/>
      <c r="AR206" s="109"/>
      <c r="AS206" s="56"/>
      <c r="AT206" s="56"/>
      <c r="AU206" s="3"/>
      <c r="AV206" s="25">
        <f>2*60</f>
        <v>120</v>
      </c>
      <c r="AW206" s="25">
        <f>20*60</f>
        <v>1200</v>
      </c>
      <c r="AX206" s="25">
        <f>24*60*60*2</f>
        <v>172800</v>
      </c>
      <c r="AY206" s="53"/>
      <c r="AZ206" s="53"/>
      <c r="BA206" s="53"/>
      <c r="BB206" s="53"/>
      <c r="BC206" s="53"/>
      <c r="BD206" s="53"/>
      <c r="BE206" s="53"/>
      <c r="BF206" s="53"/>
      <c r="BG206" s="53"/>
      <c r="BH206" s="53"/>
      <c r="BI206" s="53"/>
      <c r="BJ206" s="53"/>
      <c r="BK206" s="53"/>
      <c r="BL206" s="53"/>
      <c r="BM206" s="53"/>
      <c r="BN206" s="53"/>
      <c r="BO206" s="53"/>
      <c r="BP206" s="53"/>
      <c r="BQ206" s="53"/>
      <c r="BR206" s="53"/>
      <c r="BS206" s="53"/>
      <c r="BT206" s="53"/>
      <c r="BU206" s="53"/>
      <c r="BV206" s="53"/>
      <c r="BW206" s="53"/>
      <c r="BX206" s="53"/>
      <c r="BY206" s="53"/>
      <c r="BZ206" s="53"/>
      <c r="CA206" s="53"/>
      <c r="CB206" s="53"/>
      <c r="CC206" s="53"/>
      <c r="CD206" s="53"/>
      <c r="CE206" s="53"/>
      <c r="CF206" s="53"/>
      <c r="CG206" s="53"/>
      <c r="CH206" s="53"/>
      <c r="CI206" s="53"/>
      <c r="CJ206" s="53"/>
      <c r="CK206" s="53"/>
      <c r="CL206" s="53"/>
      <c r="CM206" s="53"/>
      <c r="CN206" s="53"/>
      <c r="CO206" s="53"/>
      <c r="CP206" s="53"/>
      <c r="CQ206" s="53"/>
      <c r="CR206" s="1"/>
      <c r="CS206" s="1"/>
      <c r="CT206" s="1"/>
      <c r="CU206" s="1"/>
    </row>
    <row r="207" spans="1:99" s="13" customFormat="1" ht="12" customHeight="1" x14ac:dyDescent="0.2">
      <c r="A207" s="65">
        <v>43509</v>
      </c>
      <c r="B207" s="1" t="s">
        <v>89</v>
      </c>
      <c r="C207" s="1" t="s">
        <v>19</v>
      </c>
      <c r="D207" s="60">
        <v>1970</v>
      </c>
      <c r="E207" s="76">
        <v>2</v>
      </c>
      <c r="F207" s="60">
        <v>48</v>
      </c>
      <c r="G207" s="60">
        <v>16</v>
      </c>
      <c r="H207" s="60" t="s">
        <v>22</v>
      </c>
      <c r="I207" s="60" t="s">
        <v>646</v>
      </c>
      <c r="J207" s="60" t="s">
        <v>90</v>
      </c>
      <c r="K207" s="60">
        <f>IF(J207="syllables",1,IF(J207="trigrams",2,IF(J207="strings",3,IF(J207="visual array",4,IF(J207="characters",5,IF(J207="letters",6,IF(J207="free forms",7,IF(J207="odors",8,IF(J207="words",9,IF(J207="pictures",10,IF(J207="object pictures",11,IF(J207="faces",12,IF(J207="names",13,IF(J207="idioms",14,IF(J207="grades",15,IF(J207="syllable-digit pairs",16,IF(J207="trigram-word pairs",17,IF(J207="word-digit pairs",18,IF(J207="English-Swahili pairs",19,IF(J207="spatial position",20,IF(J207="word pairs",21,IF(J207="word triads",22,IF(J207="generated words",23,IF(J207="word definition pairs",24,IF(J207="math problems",25,IF(J207="famous faces",26,IF(J207="famous names",27,IF(J207="famous voices",28,IF(J207="television programs",29,IF(J207="race horses",30,IF(J207="new vocabulary",31,IF(J207="sentences",32,IF(J207="concepts",33,IF(J207="ad slides",34,IF(J207="scenes",35,IF(J207="famous scenes",36,IF(J207="poems",37,IF(J207="walk",38,IF(J207="faces and events",39,IF(J207="events and names",40,IF(J207="flashbulb",41,IF(J207="stories",42,IF(J207="course material",43,IF(J207="autobiographical",44,IF(J207="novels",45,IF(J207="public events",46,"99"))))))))))))))))))))))))))))))))))))))))))))))</f>
        <v>18</v>
      </c>
      <c r="L207" s="60">
        <f>IF(J207="syllables",1,IF(J207="trigrams",1,IF(J207="strings",1,IF(J207="visual array",1,IF(J207="characters",1,IF(J207="letters",1,IF(J207="free forms",1,IF(J207="odors",2,IF(J207="words",2,IF(J207="pictures",2,IF(J207="object pictures",2,IF(J207="faces",2,IF(J207="names",2,IF(J207="idioms","2",IF(J207="grades",2,IF(J207="syllable-digit pairs",3,IF(J207="trigram-word pairs",3,IF(J207="word-digit pairs",3,IF(J207="English-Swahili pairs",3,IF(J207="spatial position",3,IF(J207="word pairs",4,IF(J207="word triads",4,IF(J207="generated words",4,IF(J207="word definition pairs",4,IF(J207="math problems",4,IF(J207="famous faces",4,IF(J207="famous names",4,IF(J207="famous voices",4,IF(J207="television programs",4,IF(J207="race horses",4,IF(J207="new vocabulary",4,IF(J207="sentences",5,IF(J207="concepts",5,IF(J207="ad slides",5,IF(J207="scenes",5,IF(J207="famous scenes",5,IF(J207="poems",6,IF(J207="walk",6,IF(J207="faces and events",6,IF(J207="events and names",6,IF(J207="flashbulb",7,IF(J207="stories",7,IF(J207="course material",7,IF(J207="autobiographical",7,IF(J207="novels",7,IF(J207="public events",7,"99"))))))))))))))))))))))))))))))))))))))))))))))</f>
        <v>3</v>
      </c>
      <c r="M207" s="60">
        <v>0</v>
      </c>
      <c r="N207" s="60">
        <v>1</v>
      </c>
      <c r="O207" s="60">
        <v>0</v>
      </c>
      <c r="P207" s="60"/>
      <c r="Q207" s="60" t="s">
        <v>174</v>
      </c>
      <c r="R207" s="60">
        <f>IF(Q207="Free Recall",1,IF(Q207="Cued Recall",2,IF(Q207="Recognition",3,IF(Q207="Multiple Choice",4,IF(Q207="Savings",5,IF(Q207="Stem Completion",6,IF(Q207="Fragment Completion",7,IF(Q207="anagram solution",8,IF(Q207="Matching",9,IF(Q207="Problem Solving",10,"99"))))))))))</f>
        <v>1</v>
      </c>
      <c r="S207" s="60" t="s">
        <v>49</v>
      </c>
      <c r="T207" s="60" t="s">
        <v>261</v>
      </c>
      <c r="U207" s="60">
        <f>IF(T207="within",1,0)</f>
        <v>0</v>
      </c>
      <c r="V207" s="60">
        <v>8</v>
      </c>
      <c r="W207" s="60">
        <f>F207*V207</f>
        <v>384</v>
      </c>
      <c r="X207" s="60">
        <v>3</v>
      </c>
      <c r="Y207" s="76">
        <f>AV206</f>
        <v>120</v>
      </c>
      <c r="Z207" s="60" t="s">
        <v>88</v>
      </c>
      <c r="AA207" s="60">
        <v>172800</v>
      </c>
      <c r="AB207" s="60" t="str">
        <f>IF(AA207&lt;60,"1",IF(AA207&lt;=43200,"2",IF(AA207&lt;=777600,"3","4")))</f>
        <v>3</v>
      </c>
      <c r="AC207" s="56">
        <f>AVERAGE(AV206:DA206)</f>
        <v>58040</v>
      </c>
      <c r="AD207" s="60" t="str">
        <f>IF(AC207&lt;60,"1",IF(AC207&lt;=43200,"2",IF(AC207&lt;=777600,"3","4")))</f>
        <v>3</v>
      </c>
      <c r="AE207" s="76">
        <f>AA207-Y207</f>
        <v>172680</v>
      </c>
      <c r="AF207" s="80">
        <f>AV207</f>
        <v>0.4375</v>
      </c>
      <c r="AG207" s="56">
        <f>((AW207-AV207)+(AX207-AW207))/2</f>
        <v>-0.14584999999999998</v>
      </c>
      <c r="AH207" s="4"/>
      <c r="AI207" s="56">
        <f>RSQ(AV207:AX207,AV206:AX206)</f>
        <v>0.821788458307389</v>
      </c>
      <c r="AJ207" s="109">
        <f>SLOPE(AV207:AX207,AV206:AX206)</f>
        <v>-1.3348518673120648E-6</v>
      </c>
      <c r="AK207" s="56">
        <f>INTERCEPT(AV207:AX207,AV206:AX206)</f>
        <v>0.37607480237879226</v>
      </c>
      <c r="AL207" s="56">
        <f>INDEX(LINEST(LN(AV207:AX207),LN(AV206:AX206),TRUE,TRUE),3,1)</f>
        <v>0.99986822205521708</v>
      </c>
      <c r="AM207" s="56">
        <f>INDEX(LINEST(LN(AV207:AX207),LN(AV206:AX206)),1)</f>
        <v>-0.15146565654909644</v>
      </c>
      <c r="AN207" s="56">
        <f>EXP(INDEX(LINEST(LN(AV207:AX207),LN(AV206:AX206)),1,2))</f>
        <v>0.90796572636000383</v>
      </c>
      <c r="AO207" s="82">
        <f>INDEX(LINEST((AV207:AX207),LN(AV206:AX206),TRUE,TRUE),3,1)</f>
        <v>0.98412833448466608</v>
      </c>
      <c r="AP207" s="82">
        <f>INDEX(LINEST((AV207:AX207),LN(AV206:AX206)),1)</f>
        <v>-3.9060195362180021E-2</v>
      </c>
      <c r="AQ207" s="83">
        <f>INDEX(LINEST(LN(AV207:AX207),SQRT(AV206:AX206),TRUE,TRUE),3,1)</f>
        <v>0.93817180444074755</v>
      </c>
      <c r="AR207" s="116">
        <f>INDEX(LINEST(LN(AV207:AX207),SQRT((AV206:AX206))),1)</f>
        <v>-2.4007651109035667E-3</v>
      </c>
      <c r="AS207" s="84">
        <f>INDEX(LINEST(1/(AV207:AX207),1/(SQRT(AV206:AX206)),TRUE,TRUE),3,1)</f>
        <v>0.7151354733153692</v>
      </c>
      <c r="AT207" s="84">
        <f>INDEX(LINEST(1/(AV207:AX207),1/SQRT(AV206:AX206)),1)</f>
        <v>-44.840318161582715</v>
      </c>
      <c r="AU207" s="3"/>
      <c r="AV207" s="53">
        <v>0.4375</v>
      </c>
      <c r="AW207" s="53">
        <v>0.3125</v>
      </c>
      <c r="AX207" s="53">
        <v>0.14580000000000001</v>
      </c>
      <c r="AY207" s="53"/>
      <c r="AZ207" s="53"/>
      <c r="BA207" s="53"/>
      <c r="BB207" s="53"/>
      <c r="BC207" s="53"/>
      <c r="BD207" s="53"/>
      <c r="BE207" s="53"/>
      <c r="BF207" s="53"/>
      <c r="BG207" s="53"/>
      <c r="BH207" s="53"/>
      <c r="BI207" s="53"/>
      <c r="BJ207" s="53"/>
      <c r="BK207" s="53"/>
      <c r="BL207" s="53"/>
      <c r="BM207" s="53"/>
      <c r="BN207" s="53"/>
      <c r="BO207" s="53"/>
      <c r="BP207" s="53"/>
      <c r="BQ207" s="53"/>
      <c r="BR207" s="53"/>
      <c r="BS207" s="53"/>
      <c r="BT207" s="53"/>
      <c r="BU207" s="53"/>
      <c r="BV207" s="53"/>
      <c r="BW207" s="53"/>
      <c r="BX207" s="53"/>
      <c r="BY207" s="53"/>
      <c r="BZ207" s="53"/>
      <c r="CA207" s="53"/>
      <c r="CB207" s="53"/>
      <c r="CC207" s="53"/>
      <c r="CD207" s="53"/>
      <c r="CE207" s="53"/>
      <c r="CF207" s="53"/>
      <c r="CG207" s="53"/>
      <c r="CH207" s="53"/>
      <c r="CI207" s="53"/>
      <c r="CJ207" s="53"/>
      <c r="CK207" s="53"/>
      <c r="CL207" s="53"/>
      <c r="CM207" s="53"/>
      <c r="CN207" s="53"/>
      <c r="CO207" s="53"/>
      <c r="CP207" s="53"/>
      <c r="CQ207" s="53"/>
      <c r="CR207" s="1"/>
      <c r="CS207" s="1"/>
      <c r="CT207" s="1"/>
      <c r="CU207" s="1"/>
    </row>
    <row r="208" spans="1:99" s="13" customFormat="1" ht="12" customHeight="1" x14ac:dyDescent="0.2">
      <c r="A208" s="68">
        <v>43900</v>
      </c>
      <c r="B208" s="70"/>
      <c r="C208" s="70"/>
      <c r="D208" s="69"/>
      <c r="E208" s="87"/>
      <c r="F208" s="69"/>
      <c r="G208" s="69"/>
      <c r="H208" s="69"/>
      <c r="I208" s="69"/>
      <c r="J208" s="69"/>
      <c r="K208" s="107"/>
      <c r="L208" s="107"/>
      <c r="M208" s="69"/>
      <c r="N208" s="86"/>
      <c r="O208" s="69"/>
      <c r="P208" s="69"/>
      <c r="Q208" s="69"/>
      <c r="R208" s="69"/>
      <c r="S208" s="69"/>
      <c r="T208" s="69"/>
      <c r="U208" s="69"/>
      <c r="V208" s="69"/>
      <c r="W208" s="69"/>
      <c r="X208" s="69"/>
      <c r="Y208" s="87"/>
      <c r="Z208" s="69"/>
      <c r="AA208" s="69"/>
      <c r="AB208" s="69"/>
      <c r="AC208" s="72"/>
      <c r="AD208" s="69"/>
      <c r="AE208" s="69"/>
      <c r="AF208" s="88"/>
      <c r="AG208" s="72"/>
      <c r="AH208" s="4"/>
      <c r="AI208" s="72"/>
      <c r="AJ208" s="110"/>
      <c r="AK208" s="72"/>
      <c r="AL208" s="72"/>
      <c r="AM208" s="72"/>
      <c r="AN208" s="72"/>
      <c r="AO208" s="89"/>
      <c r="AP208" s="89"/>
      <c r="AQ208" s="90"/>
      <c r="AR208" s="117"/>
      <c r="AS208" s="91"/>
      <c r="AT208" s="91"/>
      <c r="AU208" s="3"/>
      <c r="AV208" s="73">
        <v>0.01</v>
      </c>
      <c r="AW208" s="71">
        <v>3</v>
      </c>
      <c r="AX208" s="71">
        <v>9</v>
      </c>
      <c r="AY208" s="71">
        <v>18</v>
      </c>
      <c r="AZ208" s="73"/>
      <c r="BA208" s="53"/>
      <c r="BB208" s="53"/>
      <c r="BC208" s="53"/>
      <c r="BD208" s="53"/>
      <c r="BE208" s="53"/>
      <c r="BF208" s="53"/>
      <c r="BG208" s="53"/>
      <c r="BH208" s="53"/>
      <c r="BI208" s="53"/>
      <c r="BJ208" s="53"/>
      <c r="BK208" s="53"/>
      <c r="BL208" s="53"/>
      <c r="BM208" s="53"/>
      <c r="BN208" s="53"/>
      <c r="BO208" s="53"/>
      <c r="BP208" s="53"/>
      <c r="BQ208" s="53"/>
      <c r="BR208" s="53"/>
      <c r="BS208" s="53"/>
      <c r="BT208" s="53"/>
      <c r="BU208" s="53"/>
      <c r="BV208" s="53"/>
      <c r="BW208" s="53"/>
      <c r="BX208" s="53"/>
      <c r="BY208" s="53"/>
      <c r="BZ208" s="53"/>
      <c r="CA208" s="53"/>
      <c r="CB208" s="53"/>
      <c r="CC208" s="53"/>
      <c r="CD208" s="53"/>
      <c r="CE208" s="53"/>
      <c r="CF208" s="53"/>
      <c r="CG208" s="53"/>
      <c r="CH208" s="53"/>
      <c r="CI208" s="53"/>
      <c r="CJ208" s="53"/>
      <c r="CK208" s="53"/>
      <c r="CL208" s="53"/>
      <c r="CM208" s="53"/>
      <c r="CN208" s="53"/>
      <c r="CO208" s="53"/>
      <c r="CP208" s="53"/>
      <c r="CQ208" s="53"/>
      <c r="CR208" s="1"/>
      <c r="CS208" s="1"/>
      <c r="CT208" s="1"/>
      <c r="CU208" s="1"/>
    </row>
    <row r="209" spans="1:99" s="13" customFormat="1" ht="12" customHeight="1" x14ac:dyDescent="0.2">
      <c r="A209" s="68">
        <v>43900</v>
      </c>
      <c r="B209" s="70" t="s">
        <v>433</v>
      </c>
      <c r="C209" s="70" t="s">
        <v>434</v>
      </c>
      <c r="D209" s="69">
        <v>1984</v>
      </c>
      <c r="E209" s="87">
        <v>1</v>
      </c>
      <c r="F209" s="69">
        <v>5</v>
      </c>
      <c r="G209" s="69">
        <v>5</v>
      </c>
      <c r="H209" s="69" t="s">
        <v>41</v>
      </c>
      <c r="I209" s="69" t="s">
        <v>330</v>
      </c>
      <c r="J209" s="69" t="s">
        <v>281</v>
      </c>
      <c r="K209" s="69">
        <f>IF(J209="syllables",1,IF(J209="trigrams",2,IF(J209="strings",3,IF(J209="visual array",4,IF(J209="characters",5,IF(J209="letters",6,IF(J209="free forms",7,IF(J209="odors",8,IF(J209="words",9,IF(J209="pictures",10,IF(J209="object pictures",11,IF(J209="faces",12,IF(J209="names",13,IF(J209="idioms",14,IF(J209="grades",15,IF(J209="syllable-digit pairs",16,IF(J209="trigram-word pairs",17,IF(J209="word-digit pairs",18,IF(J209="English-Swahili pairs",19,IF(J209="spatial position",20,IF(J209="word pairs",21,IF(J209="word triads",22,IF(J209="generated words",23,IF(J209="word definition pairs",24,IF(J209="math problems",25,IF(J209="famous faces",26,IF(J209="famous names",27,IF(J209="famous voices",28,IF(J209="television programs",29,IF(J209="race horses",30,IF(J209="new vocabulary",31,IF(J209="sentences",32,IF(J209="concepts",33,IF(J209="ad slides",34,IF(J209="scenes",35,IF(J209="famous scenes",36,IF(J209="poems",37,IF(J209="walk",38,IF(J209="faces and events",39,IF(J209="events and names",40,IF(J209="flashbulb",41,IF(J209="stories",42,IF(J209="course material",43,IF(J209="autobiographical",44,IF(J209="novels",45,IF(J209="public events",46,"99"))))))))))))))))))))))))))))))))))))))))))))))</f>
        <v>1</v>
      </c>
      <c r="L209" s="69">
        <f>IF(J209="syllables",1,IF(J209="trigrams",1,IF(J209="strings",1,IF(J209="visual array",1,IF(J209="characters",1,IF(J209="letters",1,IF(J209="free forms",1,IF(J209="odors",2,IF(J209="words",2,IF(J209="pictures",2,IF(J209="object pictures",2,IF(J209="faces",2,IF(J209="names",2,IF(J209="idioms","2",IF(J209="grades",2,IF(J209="syllable-digit pairs",3,IF(J209="trigram-word pairs",3,IF(J209="word-digit pairs",3,IF(J209="English-Swahili pairs",3,IF(J209="spatial position",3,IF(J209="word pairs",4,IF(J209="word triads",4,IF(J209="generated words",4,IF(J209="word definition pairs",4,IF(J209="math problems",4,IF(J209="famous faces",4,IF(J209="famous names",4,IF(J209="famous voices",4,IF(J209="television programs",4,IF(J209="race horses",4,IF(J209="new vocabulary",4,IF(J209="sentences",5,IF(J209="concepts",5,IF(J209="ad slides",5,IF(J209="scenes",5,IF(J209="famous scenes",5,IF(J209="poems",6,IF(J209="walk",6,IF(J209="faces and events",6,IF(J209="events and names",6,IF(J209="flashbulb",7,IF(J209="stories",7,IF(J209="course material",7,IF(J209="autobiographical",7,IF(J209="novels",7,IF(J209="public events",7,"99"))))))))))))))))))))))))))))))))))))))))))))))</f>
        <v>1</v>
      </c>
      <c r="M209" s="69">
        <v>0</v>
      </c>
      <c r="N209" s="86">
        <v>1</v>
      </c>
      <c r="O209" s="69">
        <v>1</v>
      </c>
      <c r="P209" s="69" t="s">
        <v>1029</v>
      </c>
      <c r="Q209" s="69" t="s">
        <v>174</v>
      </c>
      <c r="R209" s="69">
        <f>IF(Q209="Free Recall",1,IF(Q209="Cued Recall",2,IF(Q209="Recognition",3,IF(Q209="Multiple Choice",4,IF(Q209="Savings",5,IF(Q209="Stem Completion",6,IF(Q209="Fragment Completion",7,IF(Q209="anagram solution",8,IF(Q209="Matching",9,IF(Q209="Problem Solving",10,"99"))))))))))</f>
        <v>1</v>
      </c>
      <c r="S209" s="69" t="s">
        <v>49</v>
      </c>
      <c r="T209" s="92" t="s">
        <v>581</v>
      </c>
      <c r="U209" s="69">
        <f>IF(T209="within",1,0)</f>
        <v>1</v>
      </c>
      <c r="V209" s="92">
        <v>48</v>
      </c>
      <c r="W209" s="69">
        <f>F209*V209</f>
        <v>240</v>
      </c>
      <c r="X209" s="69">
        <v>4</v>
      </c>
      <c r="Y209" s="87">
        <f>AV208</f>
        <v>0.01</v>
      </c>
      <c r="Z209" s="69" t="s">
        <v>28</v>
      </c>
      <c r="AA209" s="69">
        <v>18</v>
      </c>
      <c r="AB209" s="69" t="str">
        <f>IF(AA209&lt;60,"1",IF(AA209&lt;=43200,"2",IF(AA209&lt;=777600,"3","4")))</f>
        <v>1</v>
      </c>
      <c r="AC209" s="72">
        <f>AVERAGE(AV208:DA208)</f>
        <v>7.5024999999999995</v>
      </c>
      <c r="AD209" s="69" t="str">
        <f>IF(AC209&lt;60,"1",IF(AC209&lt;=43200,"2",IF(AC209&lt;=777600,"3","4")))</f>
        <v>1</v>
      </c>
      <c r="AE209" s="87">
        <f>AA209-Y209</f>
        <v>17.989999999999998</v>
      </c>
      <c r="AF209" s="88">
        <f>AV209</f>
        <v>1</v>
      </c>
      <c r="AG209" s="72">
        <f>((AW209-AV209)+(AX209-AW209)+(AY209-AX209))/3</f>
        <v>-0.15666666666666665</v>
      </c>
      <c r="AH209" s="4"/>
      <c r="AI209" s="72">
        <f>RSQ(AV209:AY209,AV208:AY208)</f>
        <v>0.89199739722085636</v>
      </c>
      <c r="AJ209" s="110">
        <f>SLOPE(AV209:AY209,AV208:AY208)</f>
        <v>-2.4132635372265541E-2</v>
      </c>
      <c r="AK209" s="72">
        <f>INTERCEPT(AV209:AY209,AV208:AY208)</f>
        <v>0.92605509688042231</v>
      </c>
      <c r="AL209" s="72">
        <f>INDEX(LINEST(LN(AV209:AY209),LN(AV208:AY208),TRUE,TRUE),3,1)</f>
        <v>0.81187933141815105</v>
      </c>
      <c r="AM209" s="72">
        <f>INDEX(LINEST(LN(AV209:AY209),LN(AV208:AY208)),1)</f>
        <v>-7.1981039274917696E-2</v>
      </c>
      <c r="AN209" s="72">
        <f>EXP(INDEX(LINEST(LN(AV209:AY209),LN(AV208:AY208)),1,2))</f>
        <v>0.74546284318593747</v>
      </c>
      <c r="AO209" s="89">
        <f>INDEX(LINEST((AV209:AY209),LN(AV208:AY208),TRUE,TRUE),3,1)</f>
        <v>0.876476701955335</v>
      </c>
      <c r="AP209" s="89">
        <f>INDEX(LINEST((AV209:AY209),LN(AV208:AY208)),1)</f>
        <v>-5.5589602497739157E-2</v>
      </c>
      <c r="AQ209" s="90">
        <f>INDEX(LINEST(LN(AV209:AY209),SQRT(AV208:AY208),TRUE,TRUE),3,1)</f>
        <v>0.99776286288984728</v>
      </c>
      <c r="AR209" s="117">
        <f>INDEX(LINEST(LN(AV209:AY209),SQRT((AV208:AY208))),1)</f>
        <v>-0.15373093578492775</v>
      </c>
      <c r="AS209" s="91">
        <f>INDEX(LINEST(1/(AV209:AY209),1/(SQRT(AV208:AY208)),TRUE,TRUE),3,1)</f>
        <v>0.56328526146016322</v>
      </c>
      <c r="AT209" s="91">
        <f>INDEX(LINEST(1/(AV209:AY209),1/SQRT(AV208:AY208)),1)</f>
        <v>-5.9554171547200954E-2</v>
      </c>
      <c r="AU209" s="3"/>
      <c r="AV209" s="73">
        <v>1</v>
      </c>
      <c r="AW209" s="73">
        <v>0.8</v>
      </c>
      <c r="AX209" s="73">
        <v>0.65</v>
      </c>
      <c r="AY209" s="73">
        <v>0.53</v>
      </c>
      <c r="AZ209" s="73"/>
      <c r="BA209" s="53"/>
      <c r="BB209" s="53"/>
      <c r="BC209" s="53"/>
      <c r="BD209" s="53"/>
      <c r="BE209" s="53"/>
      <c r="BF209" s="53"/>
      <c r="BG209" s="53"/>
      <c r="BH209" s="53"/>
      <c r="BI209" s="53"/>
      <c r="BJ209" s="53"/>
      <c r="BK209" s="53"/>
      <c r="BL209" s="53"/>
      <c r="BM209" s="53"/>
      <c r="BN209" s="53"/>
      <c r="BO209" s="53"/>
      <c r="BP209" s="53"/>
      <c r="BQ209" s="53"/>
      <c r="BR209" s="53"/>
      <c r="BS209" s="53"/>
      <c r="BT209" s="53"/>
      <c r="BU209" s="53"/>
      <c r="BV209" s="53"/>
      <c r="BW209" s="53"/>
      <c r="BX209" s="53"/>
      <c r="BY209" s="53"/>
      <c r="BZ209" s="53"/>
      <c r="CA209" s="53"/>
      <c r="CB209" s="53"/>
      <c r="CC209" s="53"/>
      <c r="CD209" s="53"/>
      <c r="CE209" s="53"/>
      <c r="CF209" s="53"/>
      <c r="CG209" s="53"/>
      <c r="CH209" s="53"/>
      <c r="CI209" s="53"/>
      <c r="CJ209" s="53"/>
      <c r="CK209" s="53"/>
      <c r="CL209" s="53"/>
      <c r="CM209" s="53"/>
      <c r="CN209" s="53"/>
      <c r="CO209" s="53"/>
      <c r="CP209" s="53"/>
      <c r="CQ209" s="53"/>
      <c r="CR209" s="1"/>
      <c r="CS209" s="1"/>
      <c r="CT209" s="1"/>
      <c r="CU209" s="1"/>
    </row>
    <row r="210" spans="1:99" s="13" customFormat="1" ht="12" customHeight="1" x14ac:dyDescent="0.2">
      <c r="A210" s="68">
        <v>43900</v>
      </c>
      <c r="B210" s="70"/>
      <c r="C210" s="70"/>
      <c r="D210" s="69"/>
      <c r="E210" s="87"/>
      <c r="F210" s="69"/>
      <c r="G210" s="69"/>
      <c r="H210" s="69"/>
      <c r="I210" s="69"/>
      <c r="J210" s="69"/>
      <c r="K210" s="107"/>
      <c r="L210" s="107"/>
      <c r="M210" s="69"/>
      <c r="N210" s="86"/>
      <c r="O210" s="69"/>
      <c r="P210" s="69"/>
      <c r="Q210" s="69"/>
      <c r="R210" s="69"/>
      <c r="S210" s="69"/>
      <c r="T210" s="69"/>
      <c r="U210" s="69"/>
      <c r="V210" s="69"/>
      <c r="W210" s="69"/>
      <c r="X210" s="69"/>
      <c r="Y210" s="87"/>
      <c r="Z210" s="69"/>
      <c r="AA210" s="69"/>
      <c r="AB210" s="69"/>
      <c r="AC210" s="72"/>
      <c r="AD210" s="69"/>
      <c r="AE210" s="69"/>
      <c r="AF210" s="88"/>
      <c r="AG210" s="72"/>
      <c r="AH210" s="4"/>
      <c r="AI210" s="72"/>
      <c r="AJ210" s="110"/>
      <c r="AK210" s="72"/>
      <c r="AL210" s="72"/>
      <c r="AM210" s="72"/>
      <c r="AN210" s="72"/>
      <c r="AO210" s="89"/>
      <c r="AP210" s="89"/>
      <c r="AQ210" s="90"/>
      <c r="AR210" s="117"/>
      <c r="AS210" s="91"/>
      <c r="AT210" s="91"/>
      <c r="AU210" s="3"/>
      <c r="AV210" s="73">
        <v>0.01</v>
      </c>
      <c r="AW210" s="71">
        <v>3</v>
      </c>
      <c r="AX210" s="71">
        <v>9</v>
      </c>
      <c r="AY210" s="71">
        <v>18</v>
      </c>
      <c r="AZ210" s="73"/>
      <c r="BA210" s="53"/>
      <c r="BB210" s="53"/>
      <c r="BC210" s="53"/>
      <c r="BD210" s="53"/>
      <c r="BE210" s="53"/>
      <c r="BF210" s="53"/>
      <c r="BG210" s="53"/>
      <c r="BH210" s="53"/>
      <c r="BI210" s="53"/>
      <c r="BJ210" s="53"/>
      <c r="BK210" s="53"/>
      <c r="BL210" s="53"/>
      <c r="BM210" s="53"/>
      <c r="BN210" s="53"/>
      <c r="BO210" s="53"/>
      <c r="BP210" s="53"/>
      <c r="BQ210" s="53"/>
      <c r="BR210" s="53"/>
      <c r="BS210" s="53"/>
      <c r="BT210" s="53"/>
      <c r="BU210" s="53"/>
      <c r="BV210" s="53"/>
      <c r="BW210" s="53"/>
      <c r="BX210" s="53"/>
      <c r="BY210" s="53"/>
      <c r="BZ210" s="53"/>
      <c r="CA210" s="53"/>
      <c r="CB210" s="53"/>
      <c r="CC210" s="53"/>
      <c r="CD210" s="53"/>
      <c r="CE210" s="53"/>
      <c r="CF210" s="53"/>
      <c r="CG210" s="53"/>
      <c r="CH210" s="53"/>
      <c r="CI210" s="53"/>
      <c r="CJ210" s="53"/>
      <c r="CK210" s="53"/>
      <c r="CL210" s="53"/>
      <c r="CM210" s="53"/>
      <c r="CN210" s="53"/>
      <c r="CO210" s="53"/>
      <c r="CP210" s="53"/>
      <c r="CQ210" s="53"/>
      <c r="CR210" s="1"/>
      <c r="CS210" s="1"/>
      <c r="CT210" s="1"/>
      <c r="CU210" s="1"/>
    </row>
    <row r="211" spans="1:99" s="13" customFormat="1" ht="12" customHeight="1" x14ac:dyDescent="0.2">
      <c r="A211" s="68">
        <v>43900</v>
      </c>
      <c r="B211" s="70" t="s">
        <v>433</v>
      </c>
      <c r="C211" s="70" t="s">
        <v>434</v>
      </c>
      <c r="D211" s="69">
        <v>1984</v>
      </c>
      <c r="E211" s="87">
        <v>1</v>
      </c>
      <c r="F211" s="69">
        <v>5</v>
      </c>
      <c r="G211" s="69">
        <v>5</v>
      </c>
      <c r="H211" s="69" t="s">
        <v>41</v>
      </c>
      <c r="I211" s="69" t="s">
        <v>330</v>
      </c>
      <c r="J211" s="69" t="s">
        <v>320</v>
      </c>
      <c r="K211" s="69">
        <f>IF(J211="syllables",1,IF(J211="trigrams",2,IF(J211="strings",3,IF(J211="visual array",4,IF(J211="characters",5,IF(J211="letters",6,IF(J211="free forms",7,IF(J211="odors",8,IF(J211="words",9,IF(J211="pictures",10,IF(J211="object pictures",11,IF(J211="faces",12,IF(J211="names",13,IF(J211="idioms",14,IF(J211="grades",15,IF(J211="syllable-digit pairs",16,IF(J211="trigram-word pairs",17,IF(J211="word-digit pairs",18,IF(J211="English-Swahili pairs",19,IF(J211="spatial position",20,IF(J211="word pairs",21,IF(J211="word triads",22,IF(J211="generated words",23,IF(J211="word definition pairs",24,IF(J211="math problems",25,IF(J211="famous faces",26,IF(J211="famous names",27,IF(J211="famous voices",28,IF(J211="television programs",29,IF(J211="race horses",30,IF(J211="new vocabulary",31,IF(J211="sentences",32,IF(J211="concepts",33,IF(J211="ad slides",34,IF(J211="scenes",35,IF(J211="famous scenes",36,IF(J211="poems",37,IF(J211="walk",38,IF(J211="faces and events",39,IF(J211="events and names",40,IF(J211="flashbulb",41,IF(J211="stories",42,IF(J211="course material",43,IF(J211="autobiographical",44,IF(J211="novels",45,IF(J211="public events",46,"99"))))))))))))))))))))))))))))))))))))))))))))))</f>
        <v>21</v>
      </c>
      <c r="L211" s="69">
        <f>IF(J211="syllables",1,IF(J211="trigrams",1,IF(J211="strings",1,IF(J211="visual array",1,IF(J211="characters",1,IF(J211="letters",1,IF(J211="free forms",1,IF(J211="odors",2,IF(J211="words",2,IF(J211="pictures",2,IF(J211="object pictures",2,IF(J211="faces",2,IF(J211="names",2,IF(J211="idioms","2",IF(J211="grades",2,IF(J211="syllable-digit pairs",3,IF(J211="trigram-word pairs",3,IF(J211="word-digit pairs",3,IF(J211="English-Swahili pairs",3,IF(J211="spatial position",3,IF(J211="word pairs",4,IF(J211="word triads",4,IF(J211="generated words",4,IF(J211="word definition pairs",4,IF(J211="math problems",4,IF(J211="famous faces",4,IF(J211="famous names",4,IF(J211="famous voices",4,IF(J211="television programs",4,IF(J211="race horses",4,IF(J211="new vocabulary",4,IF(J211="sentences",5,IF(J211="concepts",5,IF(J211="ad slides",5,IF(J211="scenes",5,IF(J211="famous scenes",5,IF(J211="poems",6,IF(J211="walk",6,IF(J211="faces and events",6,IF(J211="events and names",6,IF(J211="flashbulb",7,IF(J211="stories",7,IF(J211="course material",7,IF(J211="autobiographical",7,IF(J211="novels",7,IF(J211="public events",7,"99"))))))))))))))))))))))))))))))))))))))))))))))</f>
        <v>4</v>
      </c>
      <c r="M211" s="69">
        <v>0</v>
      </c>
      <c r="N211" s="86">
        <v>1</v>
      </c>
      <c r="O211" s="69">
        <v>1</v>
      </c>
      <c r="P211" s="69" t="s">
        <v>1029</v>
      </c>
      <c r="Q211" s="69" t="s">
        <v>174</v>
      </c>
      <c r="R211" s="69">
        <f>IF(Q211="Free Recall",1,IF(Q211="Cued Recall",2,IF(Q211="Recognition",3,IF(Q211="Multiple Choice",4,IF(Q211="Savings",5,IF(Q211="Stem Completion",6,IF(Q211="Fragment Completion",7,IF(Q211="anagram solution",8,IF(Q211="Matching",9,IF(Q211="Problem Solving",10,"99"))))))))))</f>
        <v>1</v>
      </c>
      <c r="S211" s="69" t="s">
        <v>49</v>
      </c>
      <c r="T211" s="92" t="s">
        <v>581</v>
      </c>
      <c r="U211" s="69">
        <f>IF(T211="within",1,0)</f>
        <v>1</v>
      </c>
      <c r="V211" s="92">
        <v>48</v>
      </c>
      <c r="W211" s="69">
        <f>F211*V211</f>
        <v>240</v>
      </c>
      <c r="X211" s="69">
        <v>4</v>
      </c>
      <c r="Y211" s="87">
        <f>AV210</f>
        <v>0.01</v>
      </c>
      <c r="Z211" s="69" t="s">
        <v>28</v>
      </c>
      <c r="AA211" s="69">
        <v>18</v>
      </c>
      <c r="AB211" s="69" t="str">
        <f>IF(AA211&lt;60,"1",IF(AA211&lt;=43200,"2",IF(AA211&lt;=777600,"3","4")))</f>
        <v>1</v>
      </c>
      <c r="AC211" s="72">
        <f>AVERAGE(AV210:DA210)</f>
        <v>7.5024999999999995</v>
      </c>
      <c r="AD211" s="69" t="str">
        <f>IF(AC211&lt;60,"1",IF(AC211&lt;=43200,"2",IF(AC211&lt;=777600,"3","4")))</f>
        <v>1</v>
      </c>
      <c r="AE211" s="87">
        <f>AA211-Y211</f>
        <v>17.989999999999998</v>
      </c>
      <c r="AF211" s="88">
        <f>AV211</f>
        <v>1</v>
      </c>
      <c r="AG211" s="72">
        <f>((AW211-AV211)+(AX211-AW211)+(AY211-AX211))/3</f>
        <v>-0.16666666666666666</v>
      </c>
      <c r="AH211" s="4"/>
      <c r="AI211" s="72">
        <f>RSQ(AV211:AY211,AV210:AY210)</f>
        <v>0.82321081691019249</v>
      </c>
      <c r="AJ211" s="110">
        <f>SLOPE(AV211:AY211,AV210:AY210)</f>
        <v>-2.8420692975631597E-2</v>
      </c>
      <c r="AK211" s="72">
        <f>INTERCEPT(AV211:AY211,AV210:AY210)</f>
        <v>0.93822624904967611</v>
      </c>
      <c r="AL211" s="72">
        <f>INDEX(LINEST(LN(AV211:AY211),LN(AV210:AY210),TRUE,TRUE),3,1)</f>
        <v>0.69231883156627849</v>
      </c>
      <c r="AM211" s="72">
        <f>INDEX(LINEST(LN(AV211:AY211),LN(AV210:AY210)),1)</f>
        <v>-8.496760624742665E-2</v>
      </c>
      <c r="AN211" s="72">
        <f>EXP(INDEX(LINEST(LN(AV211:AY211),LN(AV210:AY210)),1,2))</f>
        <v>0.71659989744922648</v>
      </c>
      <c r="AO211" s="89">
        <f>INDEX(LINEST((AV211:AY211),LN(AV210:AY210),TRUE,TRUE),3,1)</f>
        <v>0.73735221139841056</v>
      </c>
      <c r="AP211" s="89">
        <f>INDEX(LINEST((AV211:AY211),LN(AV210:AY210)),1)</f>
        <v>-6.2505328973163396E-2</v>
      </c>
      <c r="AQ211" s="90">
        <f>INDEX(LINEST(LN(AV211:AY211),SQRT(AV210:AY210),TRUE,TRUE),3,1)</f>
        <v>0.89922301413602379</v>
      </c>
      <c r="AR211" s="117">
        <f>INDEX(LINEST(LN(AV211:AY211),SQRT((AV210:AY210))),1)</f>
        <v>-0.18655601256398813</v>
      </c>
      <c r="AS211" s="91">
        <f>INDEX(LINEST(1/(AV211:AY211),1/(SQRT(AV210:AY210)),TRUE,TRUE),3,1)</f>
        <v>0.4768491760753098</v>
      </c>
      <c r="AT211" s="91">
        <f>INDEX(LINEST(1/(AV211:AY211),1/SQRT(AV210:AY210)),1)</f>
        <v>-7.2819435441807689E-2</v>
      </c>
      <c r="AU211" s="3"/>
      <c r="AV211" s="73">
        <v>1</v>
      </c>
      <c r="AW211" s="73">
        <v>0.87</v>
      </c>
      <c r="AX211" s="73">
        <v>0.53</v>
      </c>
      <c r="AY211" s="73">
        <v>0.5</v>
      </c>
      <c r="AZ211" s="73"/>
      <c r="BA211" s="53"/>
      <c r="BB211" s="53"/>
      <c r="BC211" s="53"/>
      <c r="BD211" s="53"/>
      <c r="BE211" s="53"/>
      <c r="BF211" s="53"/>
      <c r="BG211" s="53"/>
      <c r="BH211" s="53"/>
      <c r="BI211" s="53"/>
      <c r="BJ211" s="53"/>
      <c r="BK211" s="53"/>
      <c r="BL211" s="53"/>
      <c r="BM211" s="53"/>
      <c r="BN211" s="53"/>
      <c r="BO211" s="53"/>
      <c r="BP211" s="53"/>
      <c r="BQ211" s="53"/>
      <c r="BR211" s="53"/>
      <c r="BS211" s="53"/>
      <c r="BT211" s="53"/>
      <c r="BU211" s="53"/>
      <c r="BV211" s="53"/>
      <c r="BW211" s="53"/>
      <c r="BX211" s="53"/>
      <c r="BY211" s="53"/>
      <c r="BZ211" s="53"/>
      <c r="CA211" s="53"/>
      <c r="CB211" s="53"/>
      <c r="CC211" s="53"/>
      <c r="CD211" s="53"/>
      <c r="CE211" s="53"/>
      <c r="CF211" s="53"/>
      <c r="CG211" s="53"/>
      <c r="CH211" s="53"/>
      <c r="CI211" s="53"/>
      <c r="CJ211" s="53"/>
      <c r="CK211" s="53"/>
      <c r="CL211" s="53"/>
      <c r="CM211" s="53"/>
      <c r="CN211" s="53"/>
      <c r="CO211" s="53"/>
      <c r="CP211" s="53"/>
      <c r="CQ211" s="53"/>
      <c r="CR211" s="1"/>
      <c r="CS211" s="1"/>
      <c r="CT211" s="1"/>
      <c r="CU211" s="1"/>
    </row>
    <row r="212" spans="1:99" s="13" customFormat="1" ht="12" customHeight="1" x14ac:dyDescent="0.2">
      <c r="A212" s="68">
        <v>43900</v>
      </c>
      <c r="B212" s="70"/>
      <c r="C212" s="70"/>
      <c r="D212" s="69"/>
      <c r="E212" s="87"/>
      <c r="F212" s="69"/>
      <c r="G212" s="69"/>
      <c r="H212" s="69"/>
      <c r="I212" s="69"/>
      <c r="J212" s="69"/>
      <c r="K212" s="107"/>
      <c r="L212" s="107"/>
      <c r="M212" s="69"/>
      <c r="N212" s="69"/>
      <c r="O212" s="69"/>
      <c r="P212" s="69"/>
      <c r="Q212" s="69"/>
      <c r="R212" s="69"/>
      <c r="S212" s="69"/>
      <c r="T212" s="69"/>
      <c r="U212" s="69"/>
      <c r="V212" s="69"/>
      <c r="W212" s="69"/>
      <c r="X212" s="69"/>
      <c r="Y212" s="87"/>
      <c r="Z212" s="69"/>
      <c r="AA212" s="69"/>
      <c r="AB212" s="69"/>
      <c r="AC212" s="72"/>
      <c r="AD212" s="69"/>
      <c r="AE212" s="69"/>
      <c r="AF212" s="88"/>
      <c r="AG212" s="72"/>
      <c r="AH212" s="4"/>
      <c r="AI212" s="72"/>
      <c r="AJ212" s="110"/>
      <c r="AK212" s="72"/>
      <c r="AL212" s="72"/>
      <c r="AM212" s="72"/>
      <c r="AN212" s="72"/>
      <c r="AO212" s="89"/>
      <c r="AP212" s="89"/>
      <c r="AQ212" s="90"/>
      <c r="AR212" s="117"/>
      <c r="AS212" s="91"/>
      <c r="AT212" s="91"/>
      <c r="AU212" s="3"/>
      <c r="AV212" s="71">
        <v>157680000</v>
      </c>
      <c r="AW212" s="71">
        <v>473040000</v>
      </c>
      <c r="AX212" s="71">
        <v>788400000</v>
      </c>
      <c r="AY212" s="71">
        <v>1103760000</v>
      </c>
      <c r="AZ212" s="71">
        <v>1419120000</v>
      </c>
      <c r="BA212" s="53"/>
      <c r="BB212" s="53"/>
      <c r="BC212" s="53"/>
      <c r="BD212" s="53"/>
      <c r="BE212" s="53"/>
      <c r="BF212" s="53"/>
      <c r="BG212" s="53"/>
      <c r="BH212" s="53"/>
      <c r="BI212" s="53"/>
      <c r="BJ212" s="53"/>
      <c r="BK212" s="53"/>
      <c r="BL212" s="53"/>
      <c r="BM212" s="53"/>
      <c r="BN212" s="53"/>
      <c r="BO212" s="53"/>
      <c r="BP212" s="53"/>
      <c r="BQ212" s="53"/>
      <c r="BR212" s="53"/>
      <c r="BS212" s="53"/>
      <c r="BT212" s="53"/>
      <c r="BU212" s="53"/>
      <c r="BV212" s="53"/>
      <c r="BW212" s="53"/>
      <c r="BX212" s="53"/>
      <c r="BY212" s="53"/>
      <c r="BZ212" s="53"/>
      <c r="CA212" s="53"/>
      <c r="CB212" s="53"/>
      <c r="CC212" s="53"/>
      <c r="CD212" s="53"/>
      <c r="CE212" s="53"/>
      <c r="CF212" s="53"/>
      <c r="CG212" s="53"/>
      <c r="CH212" s="53"/>
      <c r="CI212" s="53"/>
      <c r="CJ212" s="53"/>
      <c r="CK212" s="53"/>
      <c r="CL212" s="53"/>
      <c r="CM212" s="53"/>
      <c r="CN212" s="53"/>
      <c r="CO212" s="53"/>
      <c r="CP212" s="53"/>
      <c r="CQ212" s="53"/>
      <c r="CR212" s="1"/>
      <c r="CS212" s="1"/>
      <c r="CT212" s="1"/>
      <c r="CU212" s="1"/>
    </row>
    <row r="213" spans="1:99" s="13" customFormat="1" ht="12" customHeight="1" x14ac:dyDescent="0.2">
      <c r="A213" s="68">
        <v>43900</v>
      </c>
      <c r="B213" s="70" t="s">
        <v>433</v>
      </c>
      <c r="C213" s="70" t="s">
        <v>434</v>
      </c>
      <c r="D213" s="69">
        <v>1984</v>
      </c>
      <c r="E213" s="87">
        <v>1</v>
      </c>
      <c r="F213" s="69">
        <v>5</v>
      </c>
      <c r="G213" s="69">
        <v>5</v>
      </c>
      <c r="H213" s="69" t="s">
        <v>44</v>
      </c>
      <c r="I213" s="69" t="s">
        <v>330</v>
      </c>
      <c r="J213" s="69" t="s">
        <v>342</v>
      </c>
      <c r="K213" s="69">
        <f>IF(J213="syllables",1,IF(J213="trigrams",2,IF(J213="strings",3,IF(J213="visual array",4,IF(J213="characters",5,IF(J213="letters",6,IF(J213="free forms",7,IF(J213="odors",8,IF(J213="words",9,IF(J213="pictures",10,IF(J213="object pictures",11,IF(J213="faces",12,IF(J213="names",13,IF(J213="idioms",14,IF(J213="grades",15,IF(J213="syllable-digit pairs",16,IF(J213="trigram-word pairs",17,IF(J213="word-digit pairs",18,IF(J213="English-Swahili pairs",19,IF(J213="spatial position",20,IF(J213="word pairs",21,IF(J213="word triads",22,IF(J213="generated words",23,IF(J213="word definition pairs",24,IF(J213="math problems",25,IF(J213="famous faces",26,IF(J213="famous names",27,IF(J213="famous voices",28,IF(J213="television programs",29,IF(J213="race horses",30,IF(J213="new vocabulary",31,IF(J213="sentences",32,IF(J213="concepts",33,IF(J213="ad slides",34,IF(J213="scenes",35,IF(J213="famous scenes",36,IF(J213="poems",37,IF(J213="walk",38,IF(J213="faces and events",39,IF(J213="events and names",40,IF(J213="flashbulb",41,IF(J213="stories",42,IF(J213="course material",43,IF(J213="autobiographical",44,IF(J213="novels",45,IF(J213="public events",46,"99"))))))))))))))))))))))))))))))))))))))))))))))</f>
        <v>26</v>
      </c>
      <c r="L213" s="69">
        <f>IF(J213="syllables",1,IF(J213="trigrams",1,IF(J213="strings",1,IF(J213="visual array",1,IF(J213="characters",1,IF(J213="letters",1,IF(J213="free forms",1,IF(J213="odors",2,IF(J213="words",2,IF(J213="pictures",2,IF(J213="object pictures",2,IF(J213="faces",2,IF(J213="names",2,IF(J213="idioms","2",IF(J213="grades",2,IF(J213="syllable-digit pairs",3,IF(J213="trigram-word pairs",3,IF(J213="word-digit pairs",3,IF(J213="English-Swahili pairs",3,IF(J213="spatial position",3,IF(J213="word pairs",4,IF(J213="word triads",4,IF(J213="generated words",4,IF(J213="word definition pairs",4,IF(J213="math problems",4,IF(J213="famous faces",4,IF(J213="famous names",4,IF(J213="famous voices",4,IF(J213="television programs",4,IF(J213="race horses",4,IF(J213="new vocabulary",4,IF(J213="sentences",5,IF(J213="concepts",5,IF(J213="ad slides",5,IF(J213="scenes",5,IF(J213="famous scenes",5,IF(J213="poems",6,IF(J213="walk",6,IF(J213="faces and events",6,IF(J213="events and names",6,IF(J213="flashbulb",7,IF(J213="stories",7,IF(J213="course material",7,IF(J213="autobiographical",7,IF(J213="novels",7,IF(J213="public events",7,"99"))))))))))))))))))))))))))))))))))))))))))))))</f>
        <v>4</v>
      </c>
      <c r="M213" s="69">
        <v>1</v>
      </c>
      <c r="N213" s="69">
        <v>2</v>
      </c>
      <c r="O213" s="69">
        <v>0</v>
      </c>
      <c r="P213" s="69"/>
      <c r="Q213" s="69" t="s">
        <v>174</v>
      </c>
      <c r="R213" s="69">
        <f>IF(Q213="Free Recall",1,IF(Q213="Cued Recall",2,IF(Q213="Recognition",3,IF(Q213="Multiple Choice",4,IF(Q213="Savings",5,IF(Q213="Stem Completion",6,IF(Q213="Fragment Completion",7,IF(Q213="anagram solution",8,IF(Q213="Matching",9,IF(Q213="Problem Solving",10,"99"))))))))))</f>
        <v>1</v>
      </c>
      <c r="S213" s="69" t="s">
        <v>49</v>
      </c>
      <c r="T213" s="92" t="s">
        <v>581</v>
      </c>
      <c r="U213" s="69">
        <f>IF(T213="within",1,0)</f>
        <v>1</v>
      </c>
      <c r="V213" s="92">
        <v>132</v>
      </c>
      <c r="W213" s="69">
        <f>F213*V213</f>
        <v>660</v>
      </c>
      <c r="X213" s="69">
        <v>5</v>
      </c>
      <c r="Y213" s="87">
        <f>AV212</f>
        <v>157680000</v>
      </c>
      <c r="Z213" s="69" t="s">
        <v>373</v>
      </c>
      <c r="AA213" s="69">
        <f>45*365*24*60*60</f>
        <v>1419120000</v>
      </c>
      <c r="AB213" s="69" t="str">
        <f>IF(AA213&lt;60,"1",IF(AA213&lt;=43200,"2",IF(AA213&lt;=777600,"3","4")))</f>
        <v>4</v>
      </c>
      <c r="AC213" s="72">
        <f>AVERAGE(AV212:AZ212)</f>
        <v>788400000</v>
      </c>
      <c r="AD213" s="69" t="str">
        <f>IF(AC213&lt;60,"1",IF(AC213&lt;=43200,"2",IF(AC213&lt;=777600,"3","4")))</f>
        <v>4</v>
      </c>
      <c r="AE213" s="87">
        <f>AA213-Y213</f>
        <v>1261440000</v>
      </c>
      <c r="AF213" s="88">
        <f>AV213</f>
        <v>0.79166666666666674</v>
      </c>
      <c r="AG213" s="72">
        <f>((AW213-AV213)+(AX213-AW213)+(AY213-AX213)+(AZ213-AY213))/4</f>
        <v>1.1542792792792772E-2</v>
      </c>
      <c r="AH213" s="4"/>
      <c r="AI213" s="72">
        <f>RSQ(AV213:AZ213,AV212:AZ212)</f>
        <v>0.41262627014992415</v>
      </c>
      <c r="AJ213" s="110">
        <f>SLOPE(AV213:AZ213,AV212:AZ212)</f>
        <v>5.2074687142208709E-11</v>
      </c>
      <c r="AK213" s="72">
        <f>INTERCEPT(AV213:AZ213,AV212:AZ212)</f>
        <v>0.7556042744872532</v>
      </c>
      <c r="AL213" s="72">
        <f>INDEX(LINEST(LN(AV213:AZ213),LN(AV212:AZ212),TRUE,TRUE),3,1)</f>
        <v>0.1832070878709943</v>
      </c>
      <c r="AM213" s="72">
        <f>INDEX(LINEST(LN(AV213:AZ213),LN(AV212:AZ212)),1)</f>
        <v>2.498237250484598E-2</v>
      </c>
      <c r="AN213" s="72">
        <f>EXP(INDEX(LINEST(LN(AV213:AZ213),LN(AV212:AZ212)),1,2))</f>
        <v>0.47990918592213178</v>
      </c>
      <c r="AO213" s="89">
        <f>INDEX(LINEST((AV213:AZ213),LN(AV212:AZ212),TRUE,TRUE),3,1)</f>
        <v>0.19311312381381887</v>
      </c>
      <c r="AP213" s="89">
        <f>INDEX(LINEST((AV213:AZ213),LN(AV212:AZ212)),1)</f>
        <v>2.0430560763037925E-2</v>
      </c>
      <c r="AQ213" s="90">
        <f>INDEX(LINEST(LN(AV213:AZ213),SQRT(AV212:AZ212),TRUE,TRUE),3,1)</f>
        <v>0.29174746225346643</v>
      </c>
      <c r="AR213" s="117">
        <f>INDEX(LINEST(LN(AV213:AZ213),SQRT((AV212:AZ212))),1)</f>
        <v>2.7783329399999125E-6</v>
      </c>
      <c r="AS213" s="91">
        <f>INDEX(LINEST(1/(AV213:AZ213),1/(SQRT(AV212:AZ212)),TRUE,TRUE),3,1)</f>
        <v>9.2724035479075637E-2</v>
      </c>
      <c r="AT213" s="91">
        <f>INDEX(LINEST(1/(AV213:AZ213),1/SQRT(AV212:AZ212)),1)</f>
        <v>905.23090624352835</v>
      </c>
      <c r="AU213" s="3"/>
      <c r="AV213" s="73">
        <v>0.79166666666666674</v>
      </c>
      <c r="AW213" s="73">
        <v>0.76595744680851063</v>
      </c>
      <c r="AX213" s="73">
        <v>0.74999999999999989</v>
      </c>
      <c r="AY213" s="73">
        <v>0.83783783783783783</v>
      </c>
      <c r="AZ213" s="73">
        <v>0.83783783783783783</v>
      </c>
      <c r="BA213" s="53"/>
      <c r="BB213" s="53"/>
      <c r="BC213" s="53"/>
      <c r="BD213" s="53"/>
      <c r="BE213" s="53"/>
      <c r="BF213" s="53"/>
      <c r="BG213" s="53"/>
      <c r="BH213" s="53"/>
      <c r="BI213" s="53"/>
      <c r="BJ213" s="53"/>
      <c r="BK213" s="53"/>
      <c r="BL213" s="53"/>
      <c r="BM213" s="53"/>
      <c r="BN213" s="53"/>
      <c r="BO213" s="53"/>
      <c r="BP213" s="53"/>
      <c r="BQ213" s="53"/>
      <c r="BR213" s="53"/>
      <c r="BS213" s="53"/>
      <c r="BT213" s="53"/>
      <c r="BU213" s="53"/>
      <c r="BV213" s="53"/>
      <c r="BW213" s="53"/>
      <c r="BX213" s="53"/>
      <c r="BY213" s="53"/>
      <c r="BZ213" s="53"/>
      <c r="CA213" s="53"/>
      <c r="CB213" s="53"/>
      <c r="CC213" s="53"/>
      <c r="CD213" s="53"/>
      <c r="CE213" s="53"/>
      <c r="CF213" s="53"/>
      <c r="CG213" s="53"/>
      <c r="CH213" s="53"/>
      <c r="CI213" s="53"/>
      <c r="CJ213" s="53"/>
      <c r="CK213" s="53"/>
      <c r="CL213" s="53"/>
      <c r="CM213" s="53"/>
      <c r="CN213" s="53"/>
      <c r="CO213" s="53"/>
      <c r="CP213" s="53"/>
      <c r="CQ213" s="53"/>
      <c r="CR213" s="1"/>
      <c r="CS213" s="1"/>
      <c r="CT213" s="1"/>
      <c r="CU213" s="1"/>
    </row>
    <row r="214" spans="1:99" s="13" customFormat="1" ht="12" customHeight="1" x14ac:dyDescent="0.2">
      <c r="A214" s="65">
        <v>43902</v>
      </c>
      <c r="B214" s="1"/>
      <c r="C214" s="1"/>
      <c r="D214" s="60"/>
      <c r="E214" s="76"/>
      <c r="F214" s="60"/>
      <c r="G214" s="60"/>
      <c r="H214" s="60"/>
      <c r="I214" s="60"/>
      <c r="J214" s="60"/>
      <c r="K214" s="64"/>
      <c r="L214" s="64"/>
      <c r="M214" s="60"/>
      <c r="N214" s="60"/>
      <c r="O214" s="60"/>
      <c r="P214" s="60"/>
      <c r="Q214" s="60"/>
      <c r="R214" s="60"/>
      <c r="S214" s="60"/>
      <c r="T214" s="60"/>
      <c r="U214" s="60"/>
      <c r="V214" s="60"/>
      <c r="W214" s="60"/>
      <c r="X214" s="60"/>
      <c r="Y214" s="76"/>
      <c r="Z214" s="60"/>
      <c r="AA214" s="60"/>
      <c r="AB214" s="60"/>
      <c r="AC214" s="56"/>
      <c r="AD214" s="60"/>
      <c r="AE214" s="60"/>
      <c r="AF214" s="80"/>
      <c r="AG214" s="56"/>
      <c r="AH214" s="4"/>
      <c r="AI214" s="56"/>
      <c r="AJ214" s="109"/>
      <c r="AK214" s="56"/>
      <c r="AL214" s="56"/>
      <c r="AM214" s="56"/>
      <c r="AN214" s="56"/>
      <c r="AO214" s="82"/>
      <c r="AP214" s="82"/>
      <c r="AQ214" s="83"/>
      <c r="AR214" s="116"/>
      <c r="AS214" s="84"/>
      <c r="AT214" s="84"/>
      <c r="AU214" s="3"/>
      <c r="AV214" s="25">
        <v>157680000</v>
      </c>
      <c r="AW214" s="25">
        <v>473040000</v>
      </c>
      <c r="AX214" s="25">
        <v>788400000</v>
      </c>
      <c r="AY214" s="25">
        <v>1103760000</v>
      </c>
      <c r="AZ214" s="25">
        <v>1419120000</v>
      </c>
      <c r="BA214" s="53"/>
      <c r="BB214" s="53"/>
      <c r="BC214" s="53"/>
      <c r="BD214" s="53"/>
      <c r="BE214" s="53"/>
      <c r="BF214" s="53"/>
      <c r="BG214" s="53"/>
      <c r="BH214" s="53"/>
      <c r="BI214" s="53"/>
      <c r="BJ214" s="53"/>
      <c r="BK214" s="53"/>
      <c r="BL214" s="53"/>
      <c r="BM214" s="53"/>
      <c r="BN214" s="53"/>
      <c r="BO214" s="53"/>
      <c r="BP214" s="53"/>
      <c r="BQ214" s="53"/>
      <c r="BR214" s="53"/>
      <c r="BS214" s="53"/>
      <c r="BT214" s="53"/>
      <c r="BU214" s="53"/>
      <c r="BV214" s="53"/>
      <c r="BW214" s="53"/>
      <c r="BX214" s="53"/>
      <c r="BY214" s="53"/>
      <c r="BZ214" s="53"/>
      <c r="CA214" s="53"/>
      <c r="CB214" s="53"/>
      <c r="CC214" s="53"/>
      <c r="CD214" s="53"/>
      <c r="CE214" s="53"/>
      <c r="CF214" s="53"/>
      <c r="CG214" s="53"/>
      <c r="CH214" s="53"/>
      <c r="CI214" s="53"/>
      <c r="CJ214" s="53"/>
      <c r="CK214" s="53"/>
      <c r="CL214" s="53"/>
      <c r="CM214" s="53"/>
      <c r="CN214" s="53"/>
      <c r="CO214" s="53"/>
      <c r="CP214" s="53"/>
      <c r="CQ214" s="53"/>
      <c r="CR214" s="1"/>
      <c r="CS214" s="1"/>
      <c r="CT214" s="1"/>
      <c r="CU214" s="1"/>
    </row>
    <row r="215" spans="1:99" s="13" customFormat="1" ht="12" customHeight="1" x14ac:dyDescent="0.2">
      <c r="A215" s="65">
        <v>43902</v>
      </c>
      <c r="B215" s="1" t="s">
        <v>460</v>
      </c>
      <c r="C215" s="1" t="s">
        <v>139</v>
      </c>
      <c r="D215" s="60">
        <v>1982</v>
      </c>
      <c r="E215" s="76">
        <v>1</v>
      </c>
      <c r="F215" s="60">
        <v>12</v>
      </c>
      <c r="G215" s="60">
        <v>12</v>
      </c>
      <c r="H215" s="60" t="s">
        <v>461</v>
      </c>
      <c r="I215" s="60" t="s">
        <v>330</v>
      </c>
      <c r="J215" s="60" t="s">
        <v>342</v>
      </c>
      <c r="K215" s="60">
        <f>IF(J215="syllables",1,IF(J215="trigrams",2,IF(J215="strings",3,IF(J215="visual array",4,IF(J215="characters",5,IF(J215="letters",6,IF(J215="free forms",7,IF(J215="odors",8,IF(J215="words",9,IF(J215="pictures",10,IF(J215="object pictures",11,IF(J215="faces",12,IF(J215="names",13,IF(J215="idioms",14,IF(J215="grades",15,IF(J215="syllable-digit pairs",16,IF(J215="trigram-word pairs",17,IF(J215="word-digit pairs",18,IF(J215="English-Swahili pairs",19,IF(J215="spatial position",20,IF(J215="word pairs",21,IF(J215="word triads",22,IF(J215="generated words",23,IF(J215="word definition pairs",24,IF(J215="math problems",25,IF(J215="famous faces",26,IF(J215="famous names",27,IF(J215="famous voices",28,IF(J215="television programs",29,IF(J215="race horses",30,IF(J215="new vocabulary",31,IF(J215="sentences",32,IF(J215="concepts",33,IF(J215="ad slides",34,IF(J215="scenes",35,IF(J215="famous scenes",36,IF(J215="poems",37,IF(J215="walk",38,IF(J215="faces and events",39,IF(J215="events and names",40,IF(J215="flashbulb",41,IF(J215="stories",42,IF(J215="course material",43,IF(J215="autobiographical",44,IF(J215="novels",45,IF(J215="public events",46,"99"))))))))))))))))))))))))))))))))))))))))))))))</f>
        <v>26</v>
      </c>
      <c r="L215" s="60">
        <f>IF(J215="syllables",1,IF(J215="trigrams",1,IF(J215="strings",1,IF(J215="visual array",1,IF(J215="characters",1,IF(J215="letters",1,IF(J215="free forms",1,IF(J215="odors",2,IF(J215="words",2,IF(J215="pictures",2,IF(J215="object pictures",2,IF(J215="faces",2,IF(J215="names",2,IF(J215="idioms","2",IF(J215="grades",2,IF(J215="syllable-digit pairs",3,IF(J215="trigram-word pairs",3,IF(J215="word-digit pairs",3,IF(J215="English-Swahili pairs",3,IF(J215="spatial position",3,IF(J215="word pairs",4,IF(J215="word triads",4,IF(J215="generated words",4,IF(J215="word definition pairs",4,IF(J215="math problems",4,IF(J215="famous faces",4,IF(J215="famous names",4,IF(J215="famous voices",4,IF(J215="television programs",4,IF(J215="race horses",4,IF(J215="new vocabulary",4,IF(J215="sentences",5,IF(J215="concepts",5,IF(J215="ad slides",5,IF(J215="scenes",5,IF(J215="famous scenes",5,IF(J215="poems",6,IF(J215="walk",6,IF(J215="faces and events",6,IF(J215="events and names",6,IF(J215="flashbulb",7,IF(J215="stories",7,IF(J215="course material",7,IF(J215="autobiographical",7,IF(J215="novels",7,IF(J215="public events",7,"99"))))))))))))))))))))))))))))))))))))))))))))))</f>
        <v>4</v>
      </c>
      <c r="M215" s="60">
        <v>1</v>
      </c>
      <c r="N215" s="60">
        <v>3</v>
      </c>
      <c r="O215" s="60">
        <v>0</v>
      </c>
      <c r="P215" s="60"/>
      <c r="Q215" s="60" t="s">
        <v>174</v>
      </c>
      <c r="R215" s="60">
        <f>IF(Q215="Free Recall",1,IF(Q215="Cued Recall",2,IF(Q215="Recognition",3,IF(Q215="Multiple Choice",4,IF(Q215="Savings",5,IF(Q215="Stem Completion",6,IF(Q215="Fragment Completion",7,IF(Q215="anagram solution",8,IF(Q215="Matching",9,IF(Q215="Problem Solving",10,"99"))))))))))</f>
        <v>1</v>
      </c>
      <c r="S215" s="60" t="s">
        <v>49</v>
      </c>
      <c r="T215" s="59" t="s">
        <v>581</v>
      </c>
      <c r="U215" s="60">
        <f>IF(T215="within",1,0)</f>
        <v>1</v>
      </c>
      <c r="V215" s="59">
        <v>132</v>
      </c>
      <c r="W215" s="60">
        <f>F215*V215</f>
        <v>1584</v>
      </c>
      <c r="X215" s="60">
        <v>5</v>
      </c>
      <c r="Y215" s="76">
        <f>AV214</f>
        <v>157680000</v>
      </c>
      <c r="Z215" s="60" t="s">
        <v>373</v>
      </c>
      <c r="AA215" s="60">
        <f>45*365*24*60*60</f>
        <v>1419120000</v>
      </c>
      <c r="AB215" s="60" t="str">
        <f>IF(AA215&lt;60,"1",IF(AA215&lt;=43200,"2",IF(AA215&lt;=777600,"3","4")))</f>
        <v>4</v>
      </c>
      <c r="AC215" s="56">
        <f>AVERAGE(AV214:AZ214)</f>
        <v>788400000</v>
      </c>
      <c r="AD215" s="60" t="str">
        <f>IF(AC215&lt;60,"1",IF(AC215&lt;=43200,"2",IF(AC215&lt;=777600,"3","4")))</f>
        <v>4</v>
      </c>
      <c r="AE215" s="76">
        <f>AA215-Y215</f>
        <v>1261440000</v>
      </c>
      <c r="AF215" s="80">
        <f>AV215</f>
        <v>0.75409836065573776</v>
      </c>
      <c r="AG215" s="56">
        <f>((AW215-AV215)+(AX215-AW215)+(AY215-AX215)+(AZ215-AY215))/4</f>
        <v>1.8371961560203487E-2</v>
      </c>
      <c r="AH215" s="4"/>
      <c r="AI215" s="56">
        <f>RSQ(AV215:AZ215,AV214:AZ214)</f>
        <v>0.54644079420372227</v>
      </c>
      <c r="AJ215" s="109">
        <f>SLOPE(AV215:AZ215,AV214:AZ214)</f>
        <v>8.3747971434863783E-11</v>
      </c>
      <c r="AK215" s="56">
        <f>INTERCEPT(AV215:AZ215,AV214:AZ214)</f>
        <v>0.70821915349897258</v>
      </c>
      <c r="AL215" s="56">
        <f>INDEX(LINEST(LN(AV215:AZ215),LN(AV214:AZ214),TRUE,TRUE),3,1)</f>
        <v>0.31455453830645275</v>
      </c>
      <c r="AM215" s="56">
        <f>INDEX(LINEST(LN(AV215:AZ215),LN(AV214:AZ214)),1)</f>
        <v>4.6691777128366391E-2</v>
      </c>
      <c r="AN215" s="56">
        <f>EXP(INDEX(LINEST(LN(AV215:AZ215),LN(AV214:AZ214)),1,2))</f>
        <v>0.30019913229163414</v>
      </c>
      <c r="AO215" s="82">
        <f>INDEX(LINEST((AV215:AZ215),LN(AV214:AZ214),TRUE,TRUE),3,1)</f>
        <v>0.32455781707041559</v>
      </c>
      <c r="AP215" s="82">
        <f>INDEX(LINEST((AV215:AZ215),LN(AV214:AZ214)),1)</f>
        <v>3.7014759867954959E-2</v>
      </c>
      <c r="AQ215" s="83">
        <f>INDEX(LINEST(LN(AV215:AZ215),SQRT(AV214:AZ214),TRUE,TRUE),3,1)</f>
        <v>0.43496864377072242</v>
      </c>
      <c r="AR215" s="116">
        <f>INDEX(LINEST(LN(AV215:AZ215),SQRT((AV214:AZ214))),1)</f>
        <v>4.8388215022901939E-6</v>
      </c>
      <c r="AS215" s="84">
        <f>INDEX(LINEST(1/(AV215:AZ215),1/(SQRT(AV214:AZ214)),TRUE,TRUE),3,1)</f>
        <v>0.1984075138878765</v>
      </c>
      <c r="AT215" s="84">
        <f>INDEX(LINEST(1/(AV215:AZ215),1/SQRT(AV214:AZ214)),1)</f>
        <v>1929.1998913905079</v>
      </c>
      <c r="AU215" s="3"/>
      <c r="AV215" s="53">
        <v>0.75409836065573776</v>
      </c>
      <c r="AW215" s="53">
        <v>0.72413793103448276</v>
      </c>
      <c r="AX215" s="53">
        <v>0.72413793103448276</v>
      </c>
      <c r="AY215" s="53">
        <v>0.84126984126984128</v>
      </c>
      <c r="AZ215" s="53">
        <v>0.82758620689655171</v>
      </c>
      <c r="BA215" s="53"/>
      <c r="BB215" s="53"/>
      <c r="BC215" s="53"/>
      <c r="BD215" s="53"/>
      <c r="BE215" s="53"/>
      <c r="BF215" s="53"/>
      <c r="BG215" s="53"/>
      <c r="BH215" s="53"/>
      <c r="BI215" s="53"/>
      <c r="BJ215" s="53"/>
      <c r="BK215" s="53"/>
      <c r="BL215" s="53"/>
      <c r="BM215" s="53"/>
      <c r="BN215" s="53"/>
      <c r="BO215" s="53"/>
      <c r="BP215" s="53"/>
      <c r="BQ215" s="53"/>
      <c r="BR215" s="53"/>
      <c r="BS215" s="53"/>
      <c r="BT215" s="53"/>
      <c r="BU215" s="53"/>
      <c r="BV215" s="53"/>
      <c r="BW215" s="53"/>
      <c r="BX215" s="53"/>
      <c r="BY215" s="53"/>
      <c r="BZ215" s="53"/>
      <c r="CA215" s="53"/>
      <c r="CB215" s="53"/>
      <c r="CC215" s="53"/>
      <c r="CD215" s="53"/>
      <c r="CE215" s="53"/>
      <c r="CF215" s="53"/>
      <c r="CG215" s="53"/>
      <c r="CH215" s="53"/>
      <c r="CI215" s="53"/>
      <c r="CJ215" s="53"/>
      <c r="CK215" s="53"/>
      <c r="CL215" s="53"/>
      <c r="CM215" s="53"/>
      <c r="CN215" s="53"/>
      <c r="CO215" s="53"/>
      <c r="CP215" s="53"/>
      <c r="CQ215" s="53"/>
      <c r="CR215" s="1"/>
      <c r="CS215" s="1"/>
      <c r="CT215" s="1"/>
      <c r="CU215" s="1"/>
    </row>
    <row r="216" spans="1:99" s="13" customFormat="1" ht="12" customHeight="1" x14ac:dyDescent="0.2">
      <c r="A216" s="65">
        <v>43902</v>
      </c>
      <c r="B216" s="1"/>
      <c r="C216" s="1"/>
      <c r="D216" s="60"/>
      <c r="E216" s="76"/>
      <c r="F216" s="60"/>
      <c r="G216" s="60"/>
      <c r="H216" s="60"/>
      <c r="I216" s="60"/>
      <c r="J216" s="60"/>
      <c r="K216" s="64"/>
      <c r="L216" s="64"/>
      <c r="M216" s="60"/>
      <c r="N216" s="60"/>
      <c r="O216" s="60"/>
      <c r="P216" s="60"/>
      <c r="Q216" s="60"/>
      <c r="R216" s="60"/>
      <c r="S216" s="60"/>
      <c r="T216" s="60"/>
      <c r="U216" s="60"/>
      <c r="V216" s="60"/>
      <c r="W216" s="60"/>
      <c r="X216" s="60"/>
      <c r="Y216" s="76"/>
      <c r="Z216" s="60"/>
      <c r="AA216" s="60"/>
      <c r="AB216" s="60"/>
      <c r="AC216" s="56"/>
      <c r="AD216" s="60"/>
      <c r="AE216" s="60"/>
      <c r="AF216" s="80"/>
      <c r="AG216" s="56"/>
      <c r="AH216" s="4"/>
      <c r="AI216" s="56"/>
      <c r="AJ216" s="109"/>
      <c r="AK216" s="56"/>
      <c r="AL216" s="56"/>
      <c r="AM216" s="56"/>
      <c r="AN216" s="56"/>
      <c r="AO216" s="82"/>
      <c r="AP216" s="82"/>
      <c r="AQ216" s="83"/>
      <c r="AR216" s="116"/>
      <c r="AS216" s="84"/>
      <c r="AT216" s="84"/>
      <c r="AU216" s="3"/>
      <c r="AV216" s="25">
        <v>157680000</v>
      </c>
      <c r="AW216" s="25">
        <v>473040000</v>
      </c>
      <c r="AX216" s="25">
        <v>788400000</v>
      </c>
      <c r="AY216" s="25">
        <v>1103760000</v>
      </c>
      <c r="AZ216" s="25">
        <v>1419120000</v>
      </c>
      <c r="BA216" s="53"/>
      <c r="BB216" s="53"/>
      <c r="BC216" s="53"/>
      <c r="BD216" s="53"/>
      <c r="BE216" s="53"/>
      <c r="BF216" s="53"/>
      <c r="BG216" s="53"/>
      <c r="BH216" s="53"/>
      <c r="BI216" s="53"/>
      <c r="BJ216" s="53"/>
      <c r="BK216" s="53"/>
      <c r="BL216" s="53"/>
      <c r="BM216" s="53"/>
      <c r="BN216" s="53"/>
      <c r="BO216" s="53"/>
      <c r="BP216" s="53"/>
      <c r="BQ216" s="53"/>
      <c r="BR216" s="53"/>
      <c r="BS216" s="53"/>
      <c r="BT216" s="53"/>
      <c r="BU216" s="53"/>
      <c r="BV216" s="53"/>
      <c r="BW216" s="53"/>
      <c r="BX216" s="53"/>
      <c r="BY216" s="53"/>
      <c r="BZ216" s="53"/>
      <c r="CA216" s="53"/>
      <c r="CB216" s="53"/>
      <c r="CC216" s="53"/>
      <c r="CD216" s="53"/>
      <c r="CE216" s="53"/>
      <c r="CF216" s="53"/>
      <c r="CG216" s="53"/>
      <c r="CH216" s="53"/>
      <c r="CI216" s="53"/>
      <c r="CJ216" s="53"/>
      <c r="CK216" s="53"/>
      <c r="CL216" s="53"/>
      <c r="CM216" s="53"/>
      <c r="CN216" s="53"/>
      <c r="CO216" s="53"/>
      <c r="CP216" s="53"/>
      <c r="CQ216" s="53"/>
      <c r="CR216" s="1"/>
      <c r="CS216" s="1"/>
      <c r="CT216" s="1"/>
      <c r="CU216" s="1"/>
    </row>
    <row r="217" spans="1:99" s="13" customFormat="1" ht="12" customHeight="1" x14ac:dyDescent="0.2">
      <c r="A217" s="65">
        <v>43902</v>
      </c>
      <c r="B217" s="1" t="s">
        <v>460</v>
      </c>
      <c r="C217" s="1" t="s">
        <v>139</v>
      </c>
      <c r="D217" s="60">
        <v>1982</v>
      </c>
      <c r="E217" s="76">
        <v>1</v>
      </c>
      <c r="F217" s="60">
        <v>12</v>
      </c>
      <c r="G217" s="60">
        <v>12</v>
      </c>
      <c r="H217" s="60" t="s">
        <v>461</v>
      </c>
      <c r="I217" s="60" t="s">
        <v>330</v>
      </c>
      <c r="J217" s="60" t="s">
        <v>340</v>
      </c>
      <c r="K217" s="60">
        <f>IF(J217="syllables",1,IF(J217="trigrams",2,IF(J217="strings",3,IF(J217="visual array",4,IF(J217="characters",5,IF(J217="letters",6,IF(J217="free forms",7,IF(J217="odors",8,IF(J217="words",9,IF(J217="pictures",10,IF(J217="object pictures",11,IF(J217="faces",12,IF(J217="names",13,IF(J217="idioms",14,IF(J217="grades",15,IF(J217="syllable-digit pairs",16,IF(J217="trigram-word pairs",17,IF(J217="word-digit pairs",18,IF(J217="English-Swahili pairs",19,IF(J217="spatial position",20,IF(J217="word pairs",21,IF(J217="word triads",22,IF(J217="generated words",23,IF(J217="word definition pairs",24,IF(J217="math problems",25,IF(J217="famous faces",26,IF(J217="famous names",27,IF(J217="famous voices",28,IF(J217="television programs",29,IF(J217="race horses",30,IF(J217="new vocabulary",31,IF(J217="sentences",32,IF(J217="concepts",33,IF(J217="ad slides",34,IF(J217="scenes",35,IF(J217="famous scenes",36,IF(J217="poems",37,IF(J217="walk",38,IF(J217="faces and events",39,IF(J217="events and names",40,IF(J217="flashbulb",41,IF(J217="stories",42,IF(J217="course material",43,IF(J217="autobiographical",44,IF(J217="novels",45,IF(J217="public events",46,"99"))))))))))))))))))))))))))))))))))))))))))))))</f>
        <v>46</v>
      </c>
      <c r="L217" s="60">
        <f>IF(J217="syllables",1,IF(J217="trigrams",1,IF(J217="strings",1,IF(J217="visual array",1,IF(J217="characters",1,IF(J217="letters",1,IF(J217="free forms",1,IF(J217="odors",2,IF(J217="words",2,IF(J217="pictures",2,IF(J217="object pictures",2,IF(J217="faces",2,IF(J217="names",2,IF(J217="idioms","2",IF(J217="grades",2,IF(J217="syllable-digit pairs",3,IF(J217="trigram-word pairs",3,IF(J217="word-digit pairs",3,IF(J217="English-Swahili pairs",3,IF(J217="spatial position",3,IF(J217="word pairs",4,IF(J217="word triads",4,IF(J217="generated words",4,IF(J217="word definition pairs",4,IF(J217="math problems",4,IF(J217="famous faces",4,IF(J217="famous names",4,IF(J217="famous voices",4,IF(J217="television programs",4,IF(J217="race horses",4,IF(J217="new vocabulary",4,IF(J217="sentences",5,IF(J217="concepts",5,IF(J217="ad slides",5,IF(J217="scenes",5,IF(J217="famous scenes",5,IF(J217="poems",6,IF(J217="walk",6,IF(J217="faces and events",6,IF(J217="events and names",6,IF(J217="flashbulb",7,IF(J217="stories",7,IF(J217="course material",7,IF(J217="autobiographical",7,IF(J217="novels",7,IF(J217="public events",7,"99"))))))))))))))))))))))))))))))))))))))))))))))</f>
        <v>7</v>
      </c>
      <c r="M217" s="60">
        <v>1</v>
      </c>
      <c r="N217" s="60">
        <v>4</v>
      </c>
      <c r="O217" s="60">
        <v>0</v>
      </c>
      <c r="P217" s="60"/>
      <c r="Q217" s="60" t="s">
        <v>174</v>
      </c>
      <c r="R217" s="60">
        <f>IF(Q217="Free Recall",1,IF(Q217="Cued Recall",2,IF(Q217="Recognition",3,IF(Q217="Multiple Choice",4,IF(Q217="Savings",5,IF(Q217="Stem Completion",6,IF(Q217="Fragment Completion",7,IF(Q217="anagram solution",8,IF(Q217="Matching",9,IF(Q217="Problem Solving",10,"99"))))))))))</f>
        <v>1</v>
      </c>
      <c r="S217" s="60" t="s">
        <v>49</v>
      </c>
      <c r="T217" s="59" t="s">
        <v>581</v>
      </c>
      <c r="U217" s="60">
        <f>IF(T217="within",1,0)</f>
        <v>1</v>
      </c>
      <c r="V217" s="59">
        <v>132</v>
      </c>
      <c r="W217" s="60">
        <f>F217*V217</f>
        <v>1584</v>
      </c>
      <c r="X217" s="60">
        <v>5</v>
      </c>
      <c r="Y217" s="76">
        <f>AV216</f>
        <v>157680000</v>
      </c>
      <c r="Z217" s="60" t="s">
        <v>373</v>
      </c>
      <c r="AA217" s="60">
        <f>45*365*24*60*60</f>
        <v>1419120000</v>
      </c>
      <c r="AB217" s="60" t="str">
        <f>IF(AA217&lt;60,"1",IF(AA217&lt;=43200,"2",IF(AA217&lt;=777600,"3","4")))</f>
        <v>4</v>
      </c>
      <c r="AC217" s="56">
        <f>AVERAGE(AV216:AZ216)</f>
        <v>788400000</v>
      </c>
      <c r="AD217" s="60" t="str">
        <f>IF(AC217&lt;60,"1",IF(AC217&lt;=43200,"2",IF(AC217&lt;=777600,"3","4")))</f>
        <v>4</v>
      </c>
      <c r="AE217" s="76">
        <f>AA217-Y217</f>
        <v>1261440000</v>
      </c>
      <c r="AF217" s="80">
        <f>AV217</f>
        <v>0.72687224669603523</v>
      </c>
      <c r="AG217" s="56">
        <f>((AW217-AV217)+(AX217-AW217)+(AY217-AX217)+(AZ217-AY217))/4</f>
        <v>1.93688948477303E-2</v>
      </c>
      <c r="AH217" s="4"/>
      <c r="AI217" s="56">
        <f>RSQ(AV217:AZ217,AV216:AZ216)</f>
        <v>0.48754844316184903</v>
      </c>
      <c r="AJ217" s="109">
        <f>SLOPE(AV217:AZ217,AV216:AZ216)</f>
        <v>5.5790567516230928E-11</v>
      </c>
      <c r="AK217" s="56">
        <f>INTERCEPT(AV217:AZ217,AV216:AZ216)</f>
        <v>0.73960943547387636</v>
      </c>
      <c r="AL217" s="56">
        <f>INDEX(LINEST(LN(AV217:AZ217),LN(AV216:AZ216),TRUE,TRUE),3,1)</f>
        <v>0.60543140522163497</v>
      </c>
      <c r="AM217" s="56">
        <f>INDEX(LINEST(LN(AV217:AZ217),LN(AV216:AZ216)),1)</f>
        <v>4.6076642863990873E-2</v>
      </c>
      <c r="AN217" s="56">
        <f>EXP(INDEX(LINEST(LN(AV217:AZ217),LN(AV216:AZ216)),1,2))</f>
        <v>0.30795639235313799</v>
      </c>
      <c r="AO217" s="82">
        <f>INDEX(LINEST((AV217:AZ217),LN(AV216:AZ216),TRUE,TRUE),3,1)</f>
        <v>0.59710608522439135</v>
      </c>
      <c r="AP217" s="82">
        <f>INDEX(LINEST((AV217:AZ217),LN(AV216:AZ216)),1)</f>
        <v>3.5408196023184881E-2</v>
      </c>
      <c r="AQ217" s="83">
        <f>INDEX(LINEST(LN(AV217:AZ217),SQRT(AV216:AZ216),TRUE,TRUE),3,1)</f>
        <v>0.55405360908969703</v>
      </c>
      <c r="AR217" s="116">
        <f>INDEX(LINEST(LN(AV217:AZ217),SQRT((AV216:AZ216))),1)</f>
        <v>3.8845655199720728E-6</v>
      </c>
      <c r="AS217" s="84">
        <f>INDEX(LINEST(1/(AV217:AZ217),1/(SQRT(AV216:AZ216)),TRUE,TRUE),3,1)</f>
        <v>0.64602675926684117</v>
      </c>
      <c r="AT217" s="84">
        <f>INDEX(LINEST(1/(AV217:AZ217),1/SQRT(AV216:AZ216)),1)</f>
        <v>2496.0971404179345</v>
      </c>
      <c r="AU217" s="3"/>
      <c r="AV217" s="53">
        <v>0.72687224669603523</v>
      </c>
      <c r="AW217" s="53">
        <v>0.80357142857142849</v>
      </c>
      <c r="AX217" s="53">
        <v>0.75862068965517204</v>
      </c>
      <c r="AY217" s="53">
        <v>0.82456140350877194</v>
      </c>
      <c r="AZ217" s="53">
        <v>0.80434782608695643</v>
      </c>
      <c r="BA217" s="53"/>
      <c r="BB217" s="53"/>
      <c r="BC217" s="53"/>
      <c r="BD217" s="53"/>
      <c r="BE217" s="53"/>
      <c r="BF217" s="53"/>
      <c r="BG217" s="53"/>
      <c r="BH217" s="53"/>
      <c r="BI217" s="53"/>
      <c r="BJ217" s="53"/>
      <c r="BK217" s="53"/>
      <c r="BL217" s="53"/>
      <c r="BM217" s="53"/>
      <c r="BN217" s="53"/>
      <c r="BO217" s="53"/>
      <c r="BP217" s="53"/>
      <c r="BQ217" s="53"/>
      <c r="BR217" s="53"/>
      <c r="BS217" s="53"/>
      <c r="BT217" s="53"/>
      <c r="BU217" s="53"/>
      <c r="BV217" s="53"/>
      <c r="BW217" s="53"/>
      <c r="BX217" s="53"/>
      <c r="BY217" s="53"/>
      <c r="BZ217" s="53"/>
      <c r="CA217" s="53"/>
      <c r="CB217" s="53"/>
      <c r="CC217" s="53"/>
      <c r="CD217" s="53"/>
      <c r="CE217" s="53"/>
      <c r="CF217" s="53"/>
      <c r="CG217" s="53"/>
      <c r="CH217" s="53"/>
      <c r="CI217" s="53"/>
      <c r="CJ217" s="53"/>
      <c r="CK217" s="53"/>
      <c r="CL217" s="53"/>
      <c r="CM217" s="53"/>
      <c r="CN217" s="53"/>
      <c r="CO217" s="53"/>
      <c r="CP217" s="53"/>
      <c r="CQ217" s="53"/>
      <c r="CR217" s="1"/>
      <c r="CS217" s="1"/>
      <c r="CT217" s="1"/>
      <c r="CU217" s="1"/>
    </row>
    <row r="218" spans="1:99" s="13" customFormat="1" ht="12" customHeight="1" x14ac:dyDescent="0.2">
      <c r="A218" s="68">
        <v>43902</v>
      </c>
      <c r="B218" s="70"/>
      <c r="C218" s="70"/>
      <c r="D218" s="69"/>
      <c r="E218" s="87"/>
      <c r="F218" s="69"/>
      <c r="G218" s="69"/>
      <c r="H218" s="69"/>
      <c r="I218" s="69"/>
      <c r="J218" s="69"/>
      <c r="K218" s="107"/>
      <c r="L218" s="107"/>
      <c r="M218" s="69"/>
      <c r="N218" s="69"/>
      <c r="O218" s="69"/>
      <c r="P218" s="69"/>
      <c r="Q218" s="69"/>
      <c r="R218" s="69"/>
      <c r="S218" s="69"/>
      <c r="T218" s="69"/>
      <c r="U218" s="69"/>
      <c r="V218" s="69"/>
      <c r="W218" s="69"/>
      <c r="X218" s="69"/>
      <c r="Y218" s="87"/>
      <c r="Z218" s="69"/>
      <c r="AA218" s="69"/>
      <c r="AB218" s="69"/>
      <c r="AC218" s="72"/>
      <c r="AD218" s="69"/>
      <c r="AE218" s="69"/>
      <c r="AF218" s="88"/>
      <c r="AG218" s="72"/>
      <c r="AH218" s="4"/>
      <c r="AI218" s="72"/>
      <c r="AJ218" s="110"/>
      <c r="AK218" s="72"/>
      <c r="AL218" s="72"/>
      <c r="AM218" s="72"/>
      <c r="AN218" s="72"/>
      <c r="AO218" s="89"/>
      <c r="AP218" s="89"/>
      <c r="AQ218" s="90"/>
      <c r="AR218" s="117"/>
      <c r="AS218" s="91"/>
      <c r="AT218" s="91"/>
      <c r="AU218" s="3"/>
      <c r="AV218" s="73">
        <v>0.01</v>
      </c>
      <c r="AW218" s="71">
        <v>3</v>
      </c>
      <c r="AX218" s="71">
        <v>9</v>
      </c>
      <c r="AY218" s="71">
        <v>18</v>
      </c>
      <c r="AZ218" s="53"/>
      <c r="BA218" s="53"/>
      <c r="BB218" s="53"/>
      <c r="BC218" s="53"/>
      <c r="BD218" s="53"/>
      <c r="BE218" s="53"/>
      <c r="BF218" s="53"/>
      <c r="BG218" s="53"/>
      <c r="BH218" s="53"/>
      <c r="BI218" s="53"/>
      <c r="BJ218" s="53"/>
      <c r="BK218" s="53"/>
      <c r="BL218" s="53"/>
      <c r="BM218" s="53"/>
      <c r="BN218" s="53"/>
      <c r="BO218" s="53"/>
      <c r="BP218" s="53"/>
      <c r="BQ218" s="53"/>
      <c r="BR218" s="53"/>
      <c r="BS218" s="53"/>
      <c r="BT218" s="53"/>
      <c r="BU218" s="53"/>
      <c r="BV218" s="53"/>
      <c r="BW218" s="53"/>
      <c r="BX218" s="53"/>
      <c r="BY218" s="53"/>
      <c r="BZ218" s="53"/>
      <c r="CA218" s="53"/>
      <c r="CB218" s="53"/>
      <c r="CC218" s="53"/>
      <c r="CD218" s="53"/>
      <c r="CE218" s="53"/>
      <c r="CF218" s="53"/>
      <c r="CG218" s="53"/>
      <c r="CH218" s="53"/>
      <c r="CI218" s="53"/>
      <c r="CJ218" s="53"/>
      <c r="CK218" s="53"/>
      <c r="CL218" s="53"/>
      <c r="CM218" s="53"/>
      <c r="CN218" s="53"/>
      <c r="CO218" s="53"/>
      <c r="CP218" s="53"/>
      <c r="CQ218" s="53"/>
      <c r="CR218" s="1"/>
      <c r="CS218" s="1"/>
      <c r="CT218" s="1"/>
      <c r="CU218" s="1"/>
    </row>
    <row r="219" spans="1:99" s="13" customFormat="1" ht="12" customHeight="1" x14ac:dyDescent="0.2">
      <c r="A219" s="68">
        <v>43902</v>
      </c>
      <c r="B219" s="70" t="s">
        <v>464</v>
      </c>
      <c r="C219" s="70" t="s">
        <v>465</v>
      </c>
      <c r="D219" s="69">
        <v>1977</v>
      </c>
      <c r="E219" s="87">
        <v>1</v>
      </c>
      <c r="F219" s="69">
        <v>28</v>
      </c>
      <c r="G219" s="69">
        <v>28</v>
      </c>
      <c r="H219" s="69" t="s">
        <v>466</v>
      </c>
      <c r="I219" s="69" t="s">
        <v>330</v>
      </c>
      <c r="J219" s="69" t="s">
        <v>443</v>
      </c>
      <c r="K219" s="69">
        <f>IF(J219="syllables",1,IF(J219="trigrams",2,IF(J219="strings",3,IF(J219="visual array",4,IF(J219="characters",5,IF(J219="letters",6,IF(J219="free forms",7,IF(J219="odors",8,IF(J219="words",9,IF(J219="pictures",10,IF(J219="object pictures",11,IF(J219="faces",12,IF(J219="names",13,IF(J219="idioms",14,IF(J219="grades",15,IF(J219="syllable-digit pairs",16,IF(J219="trigram-word pairs",17,IF(J219="word-digit pairs",18,IF(J219="English-Swahili pairs",19,IF(J219="spatial position",20,IF(J219="word pairs",21,IF(J219="word triads",22,IF(J219="generated words",23,IF(J219="word definition pairs",24,IF(J219="math problems",25,IF(J219="famous faces",26,IF(J219="famous names",27,IF(J219="famous voices",28,IF(J219="television programs",29,IF(J219="race horses",30,IF(J219="new vocabulary",31,IF(J219="sentences",32,IF(J219="concepts",33,IF(J219="ad slides",34,IF(J219="scenes",35,IF(J219="famous scenes",36,IF(J219="poems",37,IF(J219="walk",38,IF(J219="faces and events",39,IF(J219="events and names",40,IF(J219="flashbulb",41,IF(J219="stories",42,IF(J219="course material",43,IF(J219="autobiographical",44,IF(J219="novels",45,IF(J219="public events",46,"99"))))))))))))))))))))))))))))))))))))))))))))))</f>
        <v>2</v>
      </c>
      <c r="L219" s="69">
        <f>IF(J219="syllables",1,IF(J219="trigrams",1,IF(J219="strings",1,IF(J219="visual array",1,IF(J219="characters",1,IF(J219="letters",1,IF(J219="free forms",1,IF(J219="odors",2,IF(J219="words",2,IF(J219="pictures",2,IF(J219="object pictures",2,IF(J219="faces",2,IF(J219="names",2,IF(J219="idioms","2",IF(J219="grades",2,IF(J219="syllable-digit pairs",3,IF(J219="trigram-word pairs",3,IF(J219="word-digit pairs",3,IF(J219="English-Swahili pairs",3,IF(J219="spatial position",3,IF(J219="word pairs",4,IF(J219="word triads",4,IF(J219="generated words",4,IF(J219="word definition pairs",4,IF(J219="math problems",4,IF(J219="famous faces",4,IF(J219="famous names",4,IF(J219="famous voices",4,IF(J219="television programs",4,IF(J219="race horses",4,IF(J219="new vocabulary",4,IF(J219="sentences",5,IF(J219="concepts",5,IF(J219="ad slides",5,IF(J219="scenes",5,IF(J219="famous scenes",5,IF(J219="poems",6,IF(J219="walk",6,IF(J219="faces and events",6,IF(J219="events and names",6,IF(J219="flashbulb",7,IF(J219="stories",7,IF(J219="course material",7,IF(J219="autobiographical",7,IF(J219="novels",7,IF(J219="public events",7,"99"))))))))))))))))))))))))))))))))))))))))))))))</f>
        <v>1</v>
      </c>
      <c r="M219" s="69">
        <v>0</v>
      </c>
      <c r="N219" s="69">
        <v>1</v>
      </c>
      <c r="O219" s="69">
        <v>1</v>
      </c>
      <c r="P219" s="69" t="s">
        <v>1029</v>
      </c>
      <c r="Q219" s="69" t="s">
        <v>174</v>
      </c>
      <c r="R219" s="69">
        <f>IF(Q219="Free Recall",1,IF(Q219="Cued Recall",2,IF(Q219="Recognition",3,IF(Q219="Multiple Choice",4,IF(Q219="Savings",5,IF(Q219="Stem Completion",6,IF(Q219="Fragment Completion",7,IF(Q219="anagram solution",8,IF(Q219="Matching",9,IF(Q219="Problem Solving",10,"99"))))))))))</f>
        <v>1</v>
      </c>
      <c r="S219" s="69" t="s">
        <v>49</v>
      </c>
      <c r="T219" s="92" t="s">
        <v>581</v>
      </c>
      <c r="U219" s="69">
        <f>IF(T219="within",1,0)</f>
        <v>1</v>
      </c>
      <c r="V219" s="92">
        <v>48</v>
      </c>
      <c r="W219" s="69">
        <f>F219*V219</f>
        <v>1344</v>
      </c>
      <c r="X219" s="69">
        <v>4</v>
      </c>
      <c r="Y219" s="87">
        <f>AV218</f>
        <v>0.01</v>
      </c>
      <c r="Z219" s="69" t="s">
        <v>28</v>
      </c>
      <c r="AA219" s="69">
        <v>18</v>
      </c>
      <c r="AB219" s="69" t="str">
        <f>IF(AA219&lt;60,"1",IF(AA219&lt;=43200,"2",IF(AA219&lt;=777600,"3","4")))</f>
        <v>1</v>
      </c>
      <c r="AC219" s="72">
        <f>AVERAGE(AV218:AZ218)</f>
        <v>7.5024999999999995</v>
      </c>
      <c r="AD219" s="69" t="str">
        <f>IF(AC219&lt;60,"1",IF(AC219&lt;=43200,"2",IF(AC219&lt;=777600,"3","4")))</f>
        <v>1</v>
      </c>
      <c r="AE219" s="87">
        <f>AA219-Y219</f>
        <v>17.989999999999998</v>
      </c>
      <c r="AF219" s="88">
        <f>AV219</f>
        <v>1</v>
      </c>
      <c r="AG219" s="72">
        <f>((AW219-AV219)+(AX219-AW219)+(AY219-AX219))/3</f>
        <v>-0.17</v>
      </c>
      <c r="AH219" s="4"/>
      <c r="AI219" s="72">
        <f>RSQ(AV219:AY219,AV218:AY218)</f>
        <v>0.89511913249592545</v>
      </c>
      <c r="AJ219" s="110">
        <f>SLOPE(AV219:AY219,AV218:AY218)</f>
        <v>-2.6990987427460648E-2</v>
      </c>
      <c r="AK219" s="72">
        <f>INTERCEPT(AV219:AY219,AV218:AY218)</f>
        <v>0.92749988317452359</v>
      </c>
      <c r="AL219" s="72">
        <f>INDEX(LINEST(LN(AV219:AY219),LN(AV218:AY218),TRUE,TRUE),3,1)</f>
        <v>0.77476903436801114</v>
      </c>
      <c r="AM219" s="72">
        <f>INDEX(LINEST(LN(AV219:AY219),LN(AV218:AY218)),1)</f>
        <v>-8.1454200435717647E-2</v>
      </c>
      <c r="AN219" s="72">
        <f>EXP(INDEX(LINEST(LN(AV219:AY219),LN(AV218:AY218)),1,2))</f>
        <v>0.72142375625726163</v>
      </c>
      <c r="AO219" s="89">
        <f>INDEX(LINEST((AV219:AY219),LN(AV218:AY218),TRUE,TRUE),3,1)</f>
        <v>0.84162046802225976</v>
      </c>
      <c r="AP219" s="89">
        <f>INDEX(LINEST((AV219:AY219),LN(AV218:AY218)),1)</f>
        <v>-6.0818670226560859E-2</v>
      </c>
      <c r="AQ219" s="90">
        <f>INDEX(LINEST(LN(AV219:AY219),SQRT(AV218:AY218),TRUE,TRUE),3,1)</f>
        <v>0.98669896099174692</v>
      </c>
      <c r="AR219" s="117">
        <f>INDEX(LINEST(LN(AV219:AY219),SQRT((AV218:AY218))),1)</f>
        <v>-0.17709036216943869</v>
      </c>
      <c r="AS219" s="91">
        <f>INDEX(LINEST(1/(AV219:AY219),1/(SQRT(AV218:AY218)),TRUE,TRUE),3,1)</f>
        <v>0.52042815649676888</v>
      </c>
      <c r="AT219" s="91">
        <f>INDEX(LINEST(1/(AV219:AY219),1/SQRT(AV218:AY218)),1)</f>
        <v>-6.9250756582528231E-2</v>
      </c>
      <c r="AU219" s="3"/>
      <c r="AV219" s="73">
        <v>1</v>
      </c>
      <c r="AW219" s="73">
        <v>0.81</v>
      </c>
      <c r="AX219" s="73">
        <v>0.6</v>
      </c>
      <c r="AY219" s="73">
        <v>0.49</v>
      </c>
      <c r="AZ219" s="53"/>
      <c r="BA219" s="53"/>
      <c r="BB219" s="53"/>
      <c r="BC219" s="53"/>
      <c r="BD219" s="53"/>
      <c r="BE219" s="53"/>
      <c r="BF219" s="53"/>
      <c r="BG219" s="53"/>
      <c r="BH219" s="53"/>
      <c r="BI219" s="53"/>
      <c r="BJ219" s="53"/>
      <c r="BK219" s="53"/>
      <c r="BL219" s="53"/>
      <c r="BM219" s="53"/>
      <c r="BN219" s="53"/>
      <c r="BO219" s="53"/>
      <c r="BP219" s="53"/>
      <c r="BQ219" s="53"/>
      <c r="BR219" s="53"/>
      <c r="BS219" s="53"/>
      <c r="BT219" s="53"/>
      <c r="BU219" s="53"/>
      <c r="BV219" s="53"/>
      <c r="BW219" s="53"/>
      <c r="BX219" s="53"/>
      <c r="BY219" s="53"/>
      <c r="BZ219" s="53"/>
      <c r="CA219" s="53"/>
      <c r="CB219" s="53"/>
      <c r="CC219" s="53"/>
      <c r="CD219" s="53"/>
      <c r="CE219" s="53"/>
      <c r="CF219" s="53"/>
      <c r="CG219" s="53"/>
      <c r="CH219" s="53"/>
      <c r="CI219" s="53"/>
      <c r="CJ219" s="53"/>
      <c r="CK219" s="53"/>
      <c r="CL219" s="53"/>
      <c r="CM219" s="53"/>
      <c r="CN219" s="53"/>
      <c r="CO219" s="53"/>
      <c r="CP219" s="53"/>
      <c r="CQ219" s="53"/>
      <c r="CR219" s="1"/>
      <c r="CS219" s="1"/>
      <c r="CT219" s="1"/>
      <c r="CU219" s="1"/>
    </row>
    <row r="220" spans="1:99" s="13" customFormat="1" ht="12" customHeight="1" x14ac:dyDescent="0.2">
      <c r="A220" s="68">
        <v>43902</v>
      </c>
      <c r="B220" s="70"/>
      <c r="C220" s="70"/>
      <c r="D220" s="69"/>
      <c r="E220" s="87"/>
      <c r="F220" s="69"/>
      <c r="G220" s="69"/>
      <c r="H220" s="69"/>
      <c r="I220" s="69"/>
      <c r="J220" s="69"/>
      <c r="K220" s="107"/>
      <c r="L220" s="107"/>
      <c r="M220" s="69"/>
      <c r="N220" s="69"/>
      <c r="O220" s="69"/>
      <c r="P220" s="69"/>
      <c r="Q220" s="69"/>
      <c r="R220" s="69"/>
      <c r="S220" s="69"/>
      <c r="T220" s="69"/>
      <c r="U220" s="69"/>
      <c r="V220" s="69"/>
      <c r="W220" s="69"/>
      <c r="X220" s="69"/>
      <c r="Y220" s="87"/>
      <c r="Z220" s="69"/>
      <c r="AA220" s="69"/>
      <c r="AB220" s="69"/>
      <c r="AC220" s="72"/>
      <c r="AD220" s="69"/>
      <c r="AE220" s="69"/>
      <c r="AF220" s="88"/>
      <c r="AG220" s="72"/>
      <c r="AH220" s="4"/>
      <c r="AI220" s="72"/>
      <c r="AJ220" s="110"/>
      <c r="AK220" s="72"/>
      <c r="AL220" s="72"/>
      <c r="AM220" s="72"/>
      <c r="AN220" s="72"/>
      <c r="AO220" s="89"/>
      <c r="AP220" s="89"/>
      <c r="AQ220" s="90"/>
      <c r="AR220" s="117"/>
      <c r="AS220" s="91"/>
      <c r="AT220" s="91"/>
      <c r="AU220" s="3"/>
      <c r="AV220" s="73">
        <v>0.01</v>
      </c>
      <c r="AW220" s="71">
        <v>3</v>
      </c>
      <c r="AX220" s="71">
        <v>9</v>
      </c>
      <c r="AY220" s="71">
        <v>18</v>
      </c>
      <c r="AZ220" s="53"/>
      <c r="BA220" s="53"/>
      <c r="BB220" s="53"/>
      <c r="BC220" s="53"/>
      <c r="BD220" s="53"/>
      <c r="BE220" s="53"/>
      <c r="BF220" s="53"/>
      <c r="BG220" s="53"/>
      <c r="BH220" s="53"/>
      <c r="BI220" s="53"/>
      <c r="BJ220" s="53"/>
      <c r="BK220" s="53"/>
      <c r="BL220" s="53"/>
      <c r="BM220" s="53"/>
      <c r="BN220" s="53"/>
      <c r="BO220" s="53"/>
      <c r="BP220" s="53"/>
      <c r="BQ220" s="53"/>
      <c r="BR220" s="53"/>
      <c r="BS220" s="53"/>
      <c r="BT220" s="53"/>
      <c r="BU220" s="53"/>
      <c r="BV220" s="53"/>
      <c r="BW220" s="53"/>
      <c r="BX220" s="53"/>
      <c r="BY220" s="53"/>
      <c r="BZ220" s="53"/>
      <c r="CA220" s="53"/>
      <c r="CB220" s="53"/>
      <c r="CC220" s="53"/>
      <c r="CD220" s="53"/>
      <c r="CE220" s="53"/>
      <c r="CF220" s="53"/>
      <c r="CG220" s="53"/>
      <c r="CH220" s="53"/>
      <c r="CI220" s="53"/>
      <c r="CJ220" s="53"/>
      <c r="CK220" s="53"/>
      <c r="CL220" s="53"/>
      <c r="CM220" s="53"/>
      <c r="CN220" s="53"/>
      <c r="CO220" s="53"/>
      <c r="CP220" s="53"/>
      <c r="CQ220" s="53"/>
      <c r="CR220" s="1"/>
      <c r="CS220" s="1"/>
      <c r="CT220" s="1"/>
      <c r="CU220" s="1"/>
    </row>
    <row r="221" spans="1:99" s="13" customFormat="1" ht="12" customHeight="1" x14ac:dyDescent="0.2">
      <c r="A221" s="68">
        <v>43902</v>
      </c>
      <c r="B221" s="70" t="s">
        <v>464</v>
      </c>
      <c r="C221" s="70" t="s">
        <v>465</v>
      </c>
      <c r="D221" s="69">
        <v>1977</v>
      </c>
      <c r="E221" s="87">
        <v>1</v>
      </c>
      <c r="F221" s="69">
        <v>28</v>
      </c>
      <c r="G221" s="69">
        <v>28</v>
      </c>
      <c r="H221" s="69" t="s">
        <v>467</v>
      </c>
      <c r="I221" s="69" t="s">
        <v>330</v>
      </c>
      <c r="J221" s="69" t="s">
        <v>443</v>
      </c>
      <c r="K221" s="69">
        <f>IF(J221="syllables",1,IF(J221="trigrams",2,IF(J221="strings",3,IF(J221="visual array",4,IF(J221="characters",5,IF(J221="letters",6,IF(J221="free forms",7,IF(J221="odors",8,IF(J221="words",9,IF(J221="pictures",10,IF(J221="object pictures",11,IF(J221="faces",12,IF(J221="names",13,IF(J221="idioms",14,IF(J221="grades",15,IF(J221="syllable-digit pairs",16,IF(J221="trigram-word pairs",17,IF(J221="word-digit pairs",18,IF(J221="English-Swahili pairs",19,IF(J221="spatial position",20,IF(J221="word pairs",21,IF(J221="word triads",22,IF(J221="generated words",23,IF(J221="word definition pairs",24,IF(J221="math problems",25,IF(J221="famous faces",26,IF(J221="famous names",27,IF(J221="famous voices",28,IF(J221="television programs",29,IF(J221="race horses",30,IF(J221="new vocabulary",31,IF(J221="sentences",32,IF(J221="concepts",33,IF(J221="ad slides",34,IF(J221="scenes",35,IF(J221="famous scenes",36,IF(J221="poems",37,IF(J221="walk",38,IF(J221="faces and events",39,IF(J221="events and names",40,IF(J221="flashbulb",41,IF(J221="stories",42,IF(J221="course material",43,IF(J221="autobiographical",44,IF(J221="novels",45,IF(J221="public events",46,"99"))))))))))))))))))))))))))))))))))))))))))))))</f>
        <v>2</v>
      </c>
      <c r="L221" s="69">
        <f>IF(J221="syllables",1,IF(J221="trigrams",1,IF(J221="strings",1,IF(J221="visual array",1,IF(J221="characters",1,IF(J221="letters",1,IF(J221="free forms",1,IF(J221="odors",2,IF(J221="words",2,IF(J221="pictures",2,IF(J221="object pictures",2,IF(J221="faces",2,IF(J221="names",2,IF(J221="idioms","2",IF(J221="grades",2,IF(J221="syllable-digit pairs",3,IF(J221="trigram-word pairs",3,IF(J221="word-digit pairs",3,IF(J221="English-Swahili pairs",3,IF(J221="spatial position",3,IF(J221="word pairs",4,IF(J221="word triads",4,IF(J221="generated words",4,IF(J221="word definition pairs",4,IF(J221="math problems",4,IF(J221="famous faces",4,IF(J221="famous names",4,IF(J221="famous voices",4,IF(J221="television programs",4,IF(J221="race horses",4,IF(J221="new vocabulary",4,IF(J221="sentences",5,IF(J221="concepts",5,IF(J221="ad slides",5,IF(J221="scenes",5,IF(J221="famous scenes",5,IF(J221="poems",6,IF(J221="walk",6,IF(J221="faces and events",6,IF(J221="events and names",6,IF(J221="flashbulb",7,IF(J221="stories",7,IF(J221="course material",7,IF(J221="autobiographical",7,IF(J221="novels",7,IF(J221="public events",7,"99"))))))))))))))))))))))))))))))))))))))))))))))</f>
        <v>1</v>
      </c>
      <c r="M221" s="69">
        <v>0</v>
      </c>
      <c r="N221" s="69">
        <v>1</v>
      </c>
      <c r="O221" s="69">
        <v>1</v>
      </c>
      <c r="P221" s="69" t="s">
        <v>1029</v>
      </c>
      <c r="Q221" s="69" t="s">
        <v>174</v>
      </c>
      <c r="R221" s="69">
        <f>IF(Q221="Free Recall",1,IF(Q221="Cued Recall",2,IF(Q221="Recognition",3,IF(Q221="Multiple Choice",4,IF(Q221="Savings",5,IF(Q221="Stem Completion",6,IF(Q221="Fragment Completion",7,IF(Q221="anagram solution",8,IF(Q221="Matching",9,IF(Q221="Problem Solving",10,"99"))))))))))</f>
        <v>1</v>
      </c>
      <c r="S221" s="69" t="s">
        <v>49</v>
      </c>
      <c r="T221" s="92" t="s">
        <v>581</v>
      </c>
      <c r="U221" s="69">
        <f>IF(T221="within",1,0)</f>
        <v>1</v>
      </c>
      <c r="V221" s="92">
        <v>48</v>
      </c>
      <c r="W221" s="69">
        <f>F221*V221</f>
        <v>1344</v>
      </c>
      <c r="X221" s="69">
        <v>4</v>
      </c>
      <c r="Y221" s="87">
        <f>AV220</f>
        <v>0.01</v>
      </c>
      <c r="Z221" s="69" t="s">
        <v>28</v>
      </c>
      <c r="AA221" s="69">
        <v>18</v>
      </c>
      <c r="AB221" s="69" t="str">
        <f>IF(AA221&lt;60,"1",IF(AA221&lt;=43200,"2",IF(AA221&lt;=777600,"3","4")))</f>
        <v>1</v>
      </c>
      <c r="AC221" s="72">
        <f>AVERAGE(AV220:AZ220)</f>
        <v>7.5024999999999995</v>
      </c>
      <c r="AD221" s="69" t="str">
        <f>IF(AC221&lt;60,"1",IF(AC221&lt;=43200,"2",IF(AC221&lt;=777600,"3","4")))</f>
        <v>1</v>
      </c>
      <c r="AE221" s="87">
        <f>AA221-Y221</f>
        <v>17.989999999999998</v>
      </c>
      <c r="AF221" s="88">
        <f>AV221</f>
        <v>1</v>
      </c>
      <c r="AG221" s="72">
        <f>((AW221-AV221)+(AX221-AW221)+(AY221-AX221))/3</f>
        <v>-0.10666666666666665</v>
      </c>
      <c r="AH221" s="4"/>
      <c r="AI221" s="72">
        <f>RSQ(AV221:AY221,AV220:AY220)</f>
        <v>0.95663135595824877</v>
      </c>
      <c r="AJ221" s="110">
        <f>SLOPE(AV221:AY221,AV220:AY220)</f>
        <v>-1.7386410887048891E-2</v>
      </c>
      <c r="AK221" s="72">
        <f>INTERCEPT(AV221:AY221,AV220:AY220)</f>
        <v>0.97294154768008445</v>
      </c>
      <c r="AL221" s="72">
        <f>INDEX(LINEST(LN(AV221:AY221),LN(AV220:AY220),TRUE,TRUE),3,1)</f>
        <v>0.71875870623120364</v>
      </c>
      <c r="AM221" s="72">
        <f>INDEX(LINEST(LN(AV221:AY221),LN(AV220:AY220)),1)</f>
        <v>-4.2214846046604866E-2</v>
      </c>
      <c r="AN221" s="72">
        <f>EXP(INDEX(LINEST(LN(AV221:AY221),LN(AV220:AY220)),1,2))</f>
        <v>0.84753528503648679</v>
      </c>
      <c r="AO221" s="89">
        <f>INDEX(LINEST((AV221:AY221),LN(AV220:AY220),TRUE,TRUE),3,1)</f>
        <v>0.75852492022042761</v>
      </c>
      <c r="AP221" s="89">
        <f>INDEX(LINEST((AV221:AY221),LN(AV220:AY220)),1)</f>
        <v>-3.5976837340382359E-2</v>
      </c>
      <c r="AQ221" s="90">
        <f>INDEX(LINEST(LN(AV221:AY221),SQRT(AV220:AY220),TRUE,TRUE),3,1)</f>
        <v>0.97470407769307743</v>
      </c>
      <c r="AR221" s="117">
        <f>INDEX(LINEST(LN(AV221:AY221),SQRT((AV220:AY220))),1)</f>
        <v>-9.4707696817467033E-2</v>
      </c>
      <c r="AS221" s="91">
        <f>INDEX(LINEST(1/(AV221:AY221),1/(SQRT(AV220:AY220)),TRUE,TRUE),3,1)</f>
        <v>0.49547239935680004</v>
      </c>
      <c r="AT221" s="91">
        <f>INDEX(LINEST(1/(AV221:AY221),1/SQRT(AV220:AY220)),1)</f>
        <v>-3.0398592532204352E-2</v>
      </c>
      <c r="AU221" s="3"/>
      <c r="AV221" s="73">
        <v>1</v>
      </c>
      <c r="AW221" s="73">
        <v>0.91</v>
      </c>
      <c r="AX221" s="73">
        <v>0.78</v>
      </c>
      <c r="AY221" s="73">
        <v>0.68</v>
      </c>
      <c r="AZ221" s="53"/>
      <c r="BA221" s="53"/>
      <c r="BB221" s="53"/>
      <c r="BC221" s="53"/>
      <c r="BD221" s="53"/>
      <c r="BE221" s="53"/>
      <c r="BF221" s="53"/>
      <c r="BG221" s="53"/>
      <c r="BH221" s="53"/>
      <c r="BI221" s="53"/>
      <c r="BJ221" s="53"/>
      <c r="BK221" s="53"/>
      <c r="BL221" s="53"/>
      <c r="BM221" s="53"/>
      <c r="BN221" s="53"/>
      <c r="BO221" s="53"/>
      <c r="BP221" s="53"/>
      <c r="BQ221" s="53"/>
      <c r="BR221" s="53"/>
      <c r="BS221" s="53"/>
      <c r="BT221" s="53"/>
      <c r="BU221" s="53"/>
      <c r="BV221" s="53"/>
      <c r="BW221" s="53"/>
      <c r="BX221" s="53"/>
      <c r="BY221" s="53"/>
      <c r="BZ221" s="53"/>
      <c r="CA221" s="53"/>
      <c r="CB221" s="53"/>
      <c r="CC221" s="53"/>
      <c r="CD221" s="53"/>
      <c r="CE221" s="53"/>
      <c r="CF221" s="53"/>
      <c r="CG221" s="53"/>
      <c r="CH221" s="53"/>
      <c r="CI221" s="53"/>
      <c r="CJ221" s="53"/>
      <c r="CK221" s="53"/>
      <c r="CL221" s="53"/>
      <c r="CM221" s="53"/>
      <c r="CN221" s="53"/>
      <c r="CO221" s="53"/>
      <c r="CP221" s="53"/>
      <c r="CQ221" s="53"/>
      <c r="CR221" s="1"/>
      <c r="CS221" s="1"/>
      <c r="CT221" s="1"/>
      <c r="CU221" s="1"/>
    </row>
    <row r="222" spans="1:99" s="13" customFormat="1" ht="12" customHeight="1" x14ac:dyDescent="0.2">
      <c r="A222" s="68">
        <v>43902</v>
      </c>
      <c r="B222" s="70"/>
      <c r="C222" s="70"/>
      <c r="D222" s="69"/>
      <c r="E222" s="87"/>
      <c r="F222" s="69"/>
      <c r="G222" s="69"/>
      <c r="H222" s="69"/>
      <c r="I222" s="69"/>
      <c r="J222" s="69"/>
      <c r="K222" s="107"/>
      <c r="L222" s="107"/>
      <c r="M222" s="69"/>
      <c r="N222" s="69"/>
      <c r="O222" s="69"/>
      <c r="P222" s="69"/>
      <c r="Q222" s="69"/>
      <c r="R222" s="69"/>
      <c r="S222" s="69"/>
      <c r="T222" s="69"/>
      <c r="U222" s="69"/>
      <c r="V222" s="69"/>
      <c r="W222" s="69"/>
      <c r="X222" s="69"/>
      <c r="Y222" s="87"/>
      <c r="Z222" s="69"/>
      <c r="AA222" s="69"/>
      <c r="AB222" s="69"/>
      <c r="AC222" s="72"/>
      <c r="AD222" s="69"/>
      <c r="AE222" s="69"/>
      <c r="AF222" s="88"/>
      <c r="AG222" s="72"/>
      <c r="AH222" s="4"/>
      <c r="AI222" s="72"/>
      <c r="AJ222" s="110"/>
      <c r="AK222" s="72"/>
      <c r="AL222" s="72"/>
      <c r="AM222" s="72"/>
      <c r="AN222" s="72"/>
      <c r="AO222" s="89"/>
      <c r="AP222" s="89"/>
      <c r="AQ222" s="90"/>
      <c r="AR222" s="117"/>
      <c r="AS222" s="91"/>
      <c r="AT222" s="91"/>
      <c r="AU222" s="3"/>
      <c r="AV222" s="73">
        <v>0.01</v>
      </c>
      <c r="AW222" s="71">
        <v>9</v>
      </c>
      <c r="AX222" s="71">
        <v>18</v>
      </c>
      <c r="AY222" s="71">
        <v>36</v>
      </c>
      <c r="AZ222" s="53"/>
      <c r="BA222" s="53"/>
      <c r="BB222" s="53"/>
      <c r="BC222" s="53"/>
      <c r="BD222" s="53"/>
      <c r="BE222" s="53"/>
      <c r="BF222" s="53"/>
      <c r="BG222" s="53"/>
      <c r="BH222" s="53"/>
      <c r="BI222" s="53"/>
      <c r="BJ222" s="53"/>
      <c r="BK222" s="53"/>
      <c r="BL222" s="53"/>
      <c r="BM222" s="53"/>
      <c r="BN222" s="53"/>
      <c r="BO222" s="53"/>
      <c r="BP222" s="53"/>
      <c r="BQ222" s="53"/>
      <c r="BR222" s="53"/>
      <c r="BS222" s="53"/>
      <c r="BT222" s="53"/>
      <c r="BU222" s="53"/>
      <c r="BV222" s="53"/>
      <c r="BW222" s="53"/>
      <c r="BX222" s="53"/>
      <c r="BY222" s="53"/>
      <c r="BZ222" s="53"/>
      <c r="CA222" s="53"/>
      <c r="CB222" s="53"/>
      <c r="CC222" s="53"/>
      <c r="CD222" s="53"/>
      <c r="CE222" s="53"/>
      <c r="CF222" s="53"/>
      <c r="CG222" s="53"/>
      <c r="CH222" s="53"/>
      <c r="CI222" s="53"/>
      <c r="CJ222" s="53"/>
      <c r="CK222" s="53"/>
      <c r="CL222" s="53"/>
      <c r="CM222" s="53"/>
      <c r="CN222" s="53"/>
      <c r="CO222" s="53"/>
      <c r="CP222" s="53"/>
      <c r="CQ222" s="53"/>
      <c r="CR222" s="1"/>
      <c r="CS222" s="1"/>
      <c r="CT222" s="1"/>
      <c r="CU222" s="1"/>
    </row>
    <row r="223" spans="1:99" s="13" customFormat="1" ht="12" customHeight="1" x14ac:dyDescent="0.2">
      <c r="A223" s="68">
        <v>43902</v>
      </c>
      <c r="B223" s="70" t="s">
        <v>464</v>
      </c>
      <c r="C223" s="70" t="s">
        <v>465</v>
      </c>
      <c r="D223" s="69">
        <v>1977</v>
      </c>
      <c r="E223" s="87">
        <v>1</v>
      </c>
      <c r="F223" s="69">
        <v>25</v>
      </c>
      <c r="G223" s="69">
        <v>25</v>
      </c>
      <c r="H223" s="69" t="s">
        <v>468</v>
      </c>
      <c r="I223" s="69" t="s">
        <v>330</v>
      </c>
      <c r="J223" s="69" t="s">
        <v>443</v>
      </c>
      <c r="K223" s="69">
        <f>IF(J223="syllables",1,IF(J223="trigrams",2,IF(J223="strings",3,IF(J223="visual array",4,IF(J223="characters",5,IF(J223="letters",6,IF(J223="free forms",7,IF(J223="odors",8,IF(J223="words",9,IF(J223="pictures",10,IF(J223="object pictures",11,IF(J223="faces",12,IF(J223="names",13,IF(J223="idioms",14,IF(J223="grades",15,IF(J223="syllable-digit pairs",16,IF(J223="trigram-word pairs",17,IF(J223="word-digit pairs",18,IF(J223="English-Swahili pairs",19,IF(J223="spatial position",20,IF(J223="word pairs",21,IF(J223="word triads",22,IF(J223="generated words",23,IF(J223="word definition pairs",24,IF(J223="math problems",25,IF(J223="famous faces",26,IF(J223="famous names",27,IF(J223="famous voices",28,IF(J223="television programs",29,IF(J223="race horses",30,IF(J223="new vocabulary",31,IF(J223="sentences",32,IF(J223="concepts",33,IF(J223="ad slides",34,IF(J223="scenes",35,IF(J223="famous scenes",36,IF(J223="poems",37,IF(J223="walk",38,IF(J223="faces and events",39,IF(J223="events and names",40,IF(J223="flashbulb",41,IF(J223="stories",42,IF(J223="course material",43,IF(J223="autobiographical",44,IF(J223="novels",45,IF(J223="public events",46,"99"))))))))))))))))))))))))))))))))))))))))))))))</f>
        <v>2</v>
      </c>
      <c r="L223" s="69">
        <f>IF(J223="syllables",1,IF(J223="trigrams",1,IF(J223="strings",1,IF(J223="visual array",1,IF(J223="characters",1,IF(J223="letters",1,IF(J223="free forms",1,IF(J223="odors",2,IF(J223="words",2,IF(J223="pictures",2,IF(J223="object pictures",2,IF(J223="faces",2,IF(J223="names",2,IF(J223="idioms","2",IF(J223="grades",2,IF(J223="syllable-digit pairs",3,IF(J223="trigram-word pairs",3,IF(J223="word-digit pairs",3,IF(J223="English-Swahili pairs",3,IF(J223="spatial position",3,IF(J223="word pairs",4,IF(J223="word triads",4,IF(J223="generated words",4,IF(J223="word definition pairs",4,IF(J223="math problems",4,IF(J223="famous faces",4,IF(J223="famous names",4,IF(J223="famous voices",4,IF(J223="television programs",4,IF(J223="race horses",4,IF(J223="new vocabulary",4,IF(J223="sentences",5,IF(J223="concepts",5,IF(J223="ad slides",5,IF(J223="scenes",5,IF(J223="famous scenes",5,IF(J223="poems",6,IF(J223="walk",6,IF(J223="faces and events",6,IF(J223="events and names",6,IF(J223="flashbulb",7,IF(J223="stories",7,IF(J223="course material",7,IF(J223="autobiographical",7,IF(J223="novels",7,IF(J223="public events",7,"99"))))))))))))))))))))))))))))))))))))))))))))))</f>
        <v>1</v>
      </c>
      <c r="M223" s="69">
        <v>0</v>
      </c>
      <c r="N223" s="69">
        <v>1</v>
      </c>
      <c r="O223" s="69">
        <v>1</v>
      </c>
      <c r="P223" s="69" t="s">
        <v>1029</v>
      </c>
      <c r="Q223" s="69" t="s">
        <v>174</v>
      </c>
      <c r="R223" s="69">
        <f>IF(Q223="Free Recall",1,IF(Q223="Cued Recall",2,IF(Q223="Recognition",3,IF(Q223="Multiple Choice",4,IF(Q223="Savings",5,IF(Q223="Stem Completion",6,IF(Q223="Fragment Completion",7,IF(Q223="anagram solution",8,IF(Q223="Matching",9,IF(Q223="Problem Solving",10,"99"))))))))))</f>
        <v>1</v>
      </c>
      <c r="S223" s="69" t="s">
        <v>49</v>
      </c>
      <c r="T223" s="92" t="s">
        <v>581</v>
      </c>
      <c r="U223" s="69">
        <f>IF(T223="within",1,0)</f>
        <v>1</v>
      </c>
      <c r="V223" s="92">
        <v>48</v>
      </c>
      <c r="W223" s="69">
        <f>F223*V223</f>
        <v>1200</v>
      </c>
      <c r="X223" s="69">
        <v>4</v>
      </c>
      <c r="Y223" s="87">
        <f>AV222</f>
        <v>0.01</v>
      </c>
      <c r="Z223" s="69" t="s">
        <v>470</v>
      </c>
      <c r="AA223" s="69">
        <v>36</v>
      </c>
      <c r="AB223" s="69" t="str">
        <f>IF(AA223&lt;60,"1",IF(AA223&lt;=43200,"2",IF(AA223&lt;=777600,"3","4")))</f>
        <v>1</v>
      </c>
      <c r="AC223" s="72">
        <f>AVERAGE(AV222:AZ222)</f>
        <v>15.7525</v>
      </c>
      <c r="AD223" s="69" t="str">
        <f>IF(AC223&lt;60,"1",IF(AC223&lt;=43200,"2",IF(AC223&lt;=777600,"3","4")))</f>
        <v>1</v>
      </c>
      <c r="AE223" s="87">
        <f>AA223-Y223</f>
        <v>35.99</v>
      </c>
      <c r="AF223" s="88">
        <f>AV223</f>
        <v>1</v>
      </c>
      <c r="AG223" s="72">
        <f>((AW223-AV223)+(AX223-AW223)+(AY223-AX223))/3</f>
        <v>-0.12</v>
      </c>
      <c r="AH223" s="4"/>
      <c r="AI223" s="72">
        <f>RSQ(AV223:AY223,AV222:AY222)</f>
        <v>0.56508118742678159</v>
      </c>
      <c r="AJ223" s="110">
        <f>SLOPE(AV223:AY223,AV222:AY222)</f>
        <v>-8.4763236772261719E-3</v>
      </c>
      <c r="AK223" s="72">
        <f>INTERCEPT(AV223:AY223,AV222:AY222)</f>
        <v>0.87602328872550528</v>
      </c>
      <c r="AL223" s="72">
        <f>INDEX(LINEST(LN(AV223:AY223),LN(AV222:AY222),TRUE,TRUE),3,1)</f>
        <v>0.99308227530428084</v>
      </c>
      <c r="AM223" s="72">
        <f>INDEX(LINEST(LN(AV223:AY223),LN(AV222:AY222)),1)</f>
        <v>-5.6151992204423705E-2</v>
      </c>
      <c r="AN223" s="72">
        <f>EXP(INDEX(LINEST(LN(AV223:AY223),LN(AV222:AY222)),1,2))</f>
        <v>0.77195289902455055</v>
      </c>
      <c r="AO223" s="89">
        <f>INDEX(LINEST((AV223:AY223),LN(AV222:AY222),TRUE,TRUE),3,1)</f>
        <v>0.99438523817970814</v>
      </c>
      <c r="AP223" s="89">
        <f>INDEX(LINEST((AV223:AY223),LN(AV222:AY222)),1)</f>
        <v>-4.5587897374298116E-2</v>
      </c>
      <c r="AQ223" s="90">
        <f>INDEX(LINEST(LN(AV223:AY223),SQRT(AV222:AY222),TRUE,TRUE),3,1)</f>
        <v>0.85261388620347722</v>
      </c>
      <c r="AR223" s="117">
        <f>INDEX(LINEST(LN(AV223:AY223),SQRT((AV222:AY222))),1)</f>
        <v>-7.9405740036786313E-2</v>
      </c>
      <c r="AS223" s="91">
        <f>INDEX(LINEST(1/(AV223:AY223),1/(SQRT(AV222:AY222)),TRUE,TRUE),3,1)</f>
        <v>0.96506927580040958</v>
      </c>
      <c r="AT223" s="91">
        <f>INDEX(LINEST(1/(AV223:AY223),1/SQRT(AV222:AY222)),1)</f>
        <v>-5.3924258245121329E-2</v>
      </c>
      <c r="AU223" s="3"/>
      <c r="AV223" s="73">
        <v>1</v>
      </c>
      <c r="AW223" s="73">
        <v>0.69</v>
      </c>
      <c r="AX223" s="73">
        <v>0.64</v>
      </c>
      <c r="AY223" s="73">
        <v>0.64</v>
      </c>
      <c r="AZ223" s="53"/>
      <c r="BA223" s="53"/>
      <c r="BB223" s="53"/>
      <c r="BC223" s="53"/>
      <c r="BD223" s="53"/>
      <c r="BE223" s="53"/>
      <c r="BF223" s="53"/>
      <c r="BG223" s="53"/>
      <c r="BH223" s="53"/>
      <c r="BI223" s="53"/>
      <c r="BJ223" s="53"/>
      <c r="BK223" s="53"/>
      <c r="BL223" s="53"/>
      <c r="BM223" s="53"/>
      <c r="BN223" s="53"/>
      <c r="BO223" s="53"/>
      <c r="BP223" s="53"/>
      <c r="BQ223" s="53"/>
      <c r="BR223" s="53"/>
      <c r="BS223" s="53"/>
      <c r="BT223" s="53"/>
      <c r="BU223" s="53"/>
      <c r="BV223" s="53"/>
      <c r="BW223" s="53"/>
      <c r="BX223" s="53"/>
      <c r="BY223" s="53"/>
      <c r="BZ223" s="53"/>
      <c r="CA223" s="53"/>
      <c r="CB223" s="53"/>
      <c r="CC223" s="53"/>
      <c r="CD223" s="53"/>
      <c r="CE223" s="53"/>
      <c r="CF223" s="53"/>
      <c r="CG223" s="53"/>
      <c r="CH223" s="53"/>
      <c r="CI223" s="53"/>
      <c r="CJ223" s="53"/>
      <c r="CK223" s="53"/>
      <c r="CL223" s="53"/>
      <c r="CM223" s="53"/>
      <c r="CN223" s="53"/>
      <c r="CO223" s="53"/>
      <c r="CP223" s="53"/>
      <c r="CQ223" s="53"/>
      <c r="CR223" s="1"/>
      <c r="CS223" s="1"/>
      <c r="CT223" s="1"/>
      <c r="CU223" s="1"/>
    </row>
    <row r="224" spans="1:99" s="13" customFormat="1" ht="12" customHeight="1" x14ac:dyDescent="0.2">
      <c r="A224" s="68">
        <v>43902</v>
      </c>
      <c r="B224" s="70"/>
      <c r="C224" s="70"/>
      <c r="D224" s="69"/>
      <c r="E224" s="87"/>
      <c r="F224" s="69"/>
      <c r="G224" s="69"/>
      <c r="H224" s="69"/>
      <c r="I224" s="69"/>
      <c r="J224" s="69"/>
      <c r="K224" s="107"/>
      <c r="L224" s="107"/>
      <c r="M224" s="69"/>
      <c r="N224" s="69"/>
      <c r="O224" s="69"/>
      <c r="P224" s="69"/>
      <c r="Q224" s="69"/>
      <c r="R224" s="69"/>
      <c r="S224" s="69"/>
      <c r="T224" s="69"/>
      <c r="U224" s="69"/>
      <c r="V224" s="69"/>
      <c r="W224" s="69"/>
      <c r="X224" s="69"/>
      <c r="Y224" s="87"/>
      <c r="Z224" s="69"/>
      <c r="AA224" s="69"/>
      <c r="AB224" s="69"/>
      <c r="AC224" s="72"/>
      <c r="AD224" s="69"/>
      <c r="AE224" s="69"/>
      <c r="AF224" s="88"/>
      <c r="AG224" s="72"/>
      <c r="AH224" s="4"/>
      <c r="AI224" s="72"/>
      <c r="AJ224" s="110"/>
      <c r="AK224" s="72"/>
      <c r="AL224" s="72"/>
      <c r="AM224" s="72"/>
      <c r="AN224" s="72"/>
      <c r="AO224" s="89"/>
      <c r="AP224" s="89"/>
      <c r="AQ224" s="90"/>
      <c r="AR224" s="117"/>
      <c r="AS224" s="91"/>
      <c r="AT224" s="91"/>
      <c r="AU224" s="3"/>
      <c r="AV224" s="73">
        <v>0.01</v>
      </c>
      <c r="AW224" s="71">
        <v>9</v>
      </c>
      <c r="AX224" s="71">
        <v>18</v>
      </c>
      <c r="AY224" s="71">
        <v>36</v>
      </c>
      <c r="AZ224" s="53"/>
      <c r="BA224" s="53"/>
      <c r="BB224" s="53"/>
      <c r="BC224" s="53"/>
      <c r="BD224" s="53"/>
      <c r="BE224" s="53"/>
      <c r="BF224" s="53"/>
      <c r="BG224" s="53"/>
      <c r="BH224" s="53"/>
      <c r="BI224" s="53"/>
      <c r="BJ224" s="53"/>
      <c r="BK224" s="53"/>
      <c r="BL224" s="53"/>
      <c r="BM224" s="53"/>
      <c r="BN224" s="53"/>
      <c r="BO224" s="53"/>
      <c r="BP224" s="53"/>
      <c r="BQ224" s="53"/>
      <c r="BR224" s="53"/>
      <c r="BS224" s="53"/>
      <c r="BT224" s="53"/>
      <c r="BU224" s="53"/>
      <c r="BV224" s="53"/>
      <c r="BW224" s="53"/>
      <c r="BX224" s="53"/>
      <c r="BY224" s="53"/>
      <c r="BZ224" s="53"/>
      <c r="CA224" s="53"/>
      <c r="CB224" s="53"/>
      <c r="CC224" s="53"/>
      <c r="CD224" s="53"/>
      <c r="CE224" s="53"/>
      <c r="CF224" s="53"/>
      <c r="CG224" s="53"/>
      <c r="CH224" s="53"/>
      <c r="CI224" s="53"/>
      <c r="CJ224" s="53"/>
      <c r="CK224" s="53"/>
      <c r="CL224" s="53"/>
      <c r="CM224" s="53"/>
      <c r="CN224" s="53"/>
      <c r="CO224" s="53"/>
      <c r="CP224" s="53"/>
      <c r="CQ224" s="53"/>
      <c r="CR224" s="1"/>
      <c r="CS224" s="1"/>
      <c r="CT224" s="1"/>
      <c r="CU224" s="1"/>
    </row>
    <row r="225" spans="1:99" s="13" customFormat="1" ht="12" customHeight="1" x14ac:dyDescent="0.2">
      <c r="A225" s="68">
        <v>43902</v>
      </c>
      <c r="B225" s="70" t="s">
        <v>464</v>
      </c>
      <c r="C225" s="70" t="s">
        <v>465</v>
      </c>
      <c r="D225" s="69">
        <v>1977</v>
      </c>
      <c r="E225" s="87">
        <v>1</v>
      </c>
      <c r="F225" s="69">
        <v>25</v>
      </c>
      <c r="G225" s="69">
        <v>25</v>
      </c>
      <c r="H225" s="69" t="s">
        <v>469</v>
      </c>
      <c r="I225" s="69" t="s">
        <v>330</v>
      </c>
      <c r="J225" s="69" t="s">
        <v>443</v>
      </c>
      <c r="K225" s="69">
        <f>IF(J225="syllables",1,IF(J225="trigrams",2,IF(J225="strings",3,IF(J225="visual array",4,IF(J225="characters",5,IF(J225="letters",6,IF(J225="free forms",7,IF(J225="odors",8,IF(J225="words",9,IF(J225="pictures",10,IF(J225="object pictures",11,IF(J225="faces",12,IF(J225="names",13,IF(J225="idioms",14,IF(J225="grades",15,IF(J225="syllable-digit pairs",16,IF(J225="trigram-word pairs",17,IF(J225="word-digit pairs",18,IF(J225="English-Swahili pairs",19,IF(J225="spatial position",20,IF(J225="word pairs",21,IF(J225="word triads",22,IF(J225="generated words",23,IF(J225="word definition pairs",24,IF(J225="math problems",25,IF(J225="famous faces",26,IF(J225="famous names",27,IF(J225="famous voices",28,IF(J225="television programs",29,IF(J225="race horses",30,IF(J225="new vocabulary",31,IF(J225="sentences",32,IF(J225="concepts",33,IF(J225="ad slides",34,IF(J225="scenes",35,IF(J225="famous scenes",36,IF(J225="poems",37,IF(J225="walk",38,IF(J225="faces and events",39,IF(J225="events and names",40,IF(J225="flashbulb",41,IF(J225="stories",42,IF(J225="course material",43,IF(J225="autobiographical",44,IF(J225="novels",45,IF(J225="public events",46,"99"))))))))))))))))))))))))))))))))))))))))))))))</f>
        <v>2</v>
      </c>
      <c r="L225" s="69">
        <f>IF(J225="syllables",1,IF(J225="trigrams",1,IF(J225="strings",1,IF(J225="visual array",1,IF(J225="characters",1,IF(J225="letters",1,IF(J225="free forms",1,IF(J225="odors",2,IF(J225="words",2,IF(J225="pictures",2,IF(J225="object pictures",2,IF(J225="faces",2,IF(J225="names",2,IF(J225="idioms","2",IF(J225="grades",2,IF(J225="syllable-digit pairs",3,IF(J225="trigram-word pairs",3,IF(J225="word-digit pairs",3,IF(J225="English-Swahili pairs",3,IF(J225="spatial position",3,IF(J225="word pairs",4,IF(J225="word triads",4,IF(J225="generated words",4,IF(J225="word definition pairs",4,IF(J225="math problems",4,IF(J225="famous faces",4,IF(J225="famous names",4,IF(J225="famous voices",4,IF(J225="television programs",4,IF(J225="race horses",4,IF(J225="new vocabulary",4,IF(J225="sentences",5,IF(J225="concepts",5,IF(J225="ad slides",5,IF(J225="scenes",5,IF(J225="famous scenes",5,IF(J225="poems",6,IF(J225="walk",6,IF(J225="faces and events",6,IF(J225="events and names",6,IF(J225="flashbulb",7,IF(J225="stories",7,IF(J225="course material",7,IF(J225="autobiographical",7,IF(J225="novels",7,IF(J225="public events",7,"99"))))))))))))))))))))))))))))))))))))))))))))))</f>
        <v>1</v>
      </c>
      <c r="M225" s="69">
        <v>0</v>
      </c>
      <c r="N225" s="69">
        <v>1</v>
      </c>
      <c r="O225" s="69">
        <v>1</v>
      </c>
      <c r="P225" s="69" t="s">
        <v>1029</v>
      </c>
      <c r="Q225" s="69" t="s">
        <v>174</v>
      </c>
      <c r="R225" s="69">
        <f>IF(Q225="Free Recall",1,IF(Q225="Cued Recall",2,IF(Q225="Recognition",3,IF(Q225="Multiple Choice",4,IF(Q225="Savings",5,IF(Q225="Stem Completion",6,IF(Q225="Fragment Completion",7,IF(Q225="anagram solution",8,IF(Q225="Matching",9,IF(Q225="Problem Solving",10,"99"))))))))))</f>
        <v>1</v>
      </c>
      <c r="S225" s="69" t="s">
        <v>49</v>
      </c>
      <c r="T225" s="92" t="s">
        <v>581</v>
      </c>
      <c r="U225" s="69">
        <f>IF(T225="within",1,0)</f>
        <v>1</v>
      </c>
      <c r="V225" s="92">
        <v>48</v>
      </c>
      <c r="W225" s="69">
        <f>F225*V225</f>
        <v>1200</v>
      </c>
      <c r="X225" s="69">
        <v>4</v>
      </c>
      <c r="Y225" s="87">
        <f>AV224</f>
        <v>0.01</v>
      </c>
      <c r="Z225" s="69" t="s">
        <v>470</v>
      </c>
      <c r="AA225" s="69">
        <v>36</v>
      </c>
      <c r="AB225" s="69" t="str">
        <f>IF(AA225&lt;60,"1",IF(AA225&lt;=43200,"2",IF(AA225&lt;=777600,"3","4")))</f>
        <v>1</v>
      </c>
      <c r="AC225" s="72">
        <f>AVERAGE(AV224:AZ224)</f>
        <v>15.7525</v>
      </c>
      <c r="AD225" s="69" t="str">
        <f>IF(AC225&lt;60,"1",IF(AC225&lt;=43200,"2",IF(AC225&lt;=777600,"3","4")))</f>
        <v>1</v>
      </c>
      <c r="AE225" s="87">
        <f>AA225-Y225</f>
        <v>35.99</v>
      </c>
      <c r="AF225" s="88">
        <f>AV225</f>
        <v>1</v>
      </c>
      <c r="AG225" s="72">
        <f>((AW225-AV225)+(AX225-AW225)+(AY225-AX225))/3</f>
        <v>-0.18000000000000002</v>
      </c>
      <c r="AH225" s="4"/>
      <c r="AI225" s="72">
        <f>RSQ(AV225:AY225,AV224:AY224)</f>
        <v>0.9443132864568804</v>
      </c>
      <c r="AJ225" s="110">
        <f>SLOPE(AV225:AY225,AV224:AY224)</f>
        <v>-1.4256316995597656E-2</v>
      </c>
      <c r="AK225" s="72">
        <f>INTERCEPT(AV225:AY225,AV224:AY224)</f>
        <v>0.94207263347315207</v>
      </c>
      <c r="AL225" s="72">
        <f>INDEX(LINEST(LN(AV225:AY225),LN(AV224:AY224),TRUE,TRUE),3,1)</f>
        <v>0.71919048226911431</v>
      </c>
      <c r="AM225" s="72">
        <f>INDEX(LINEST(LN(AV225:AY225),LN(AV224:AY224)),1)</f>
        <v>-7.2500610318961697E-2</v>
      </c>
      <c r="AN225" s="72">
        <f>EXP(INDEX(LINEST(LN(AV225:AY225),LN(AV224:AY224)),1,2))</f>
        <v>0.74323629041643535</v>
      </c>
      <c r="AO225" s="89">
        <f>INDEX(LINEST((AV225:AY225),LN(AV224:AY224),TRUE,TRUE),3,1)</f>
        <v>0.82290530075657153</v>
      </c>
      <c r="AP225" s="89">
        <f>INDEX(LINEST((AV225:AY225),LN(AV224:AY224)),1)</f>
        <v>-5.3956571154695605E-2</v>
      </c>
      <c r="AQ225" s="90">
        <f>INDEX(LINEST(LN(AV225:AY225),SQRT(AV224:AY224),TRUE,TRUE),3,1)</f>
        <v>0.96169758865605814</v>
      </c>
      <c r="AR225" s="117">
        <f>INDEX(LINEST(LN(AV225:AY225),SQRT((AV224:AY224))),1)</f>
        <v>-0.1279505341971961</v>
      </c>
      <c r="AS225" s="91">
        <f>INDEX(LINEST(1/(AV225:AY225),1/(SQRT(AV224:AY224)),TRUE,TRUE),3,1)</f>
        <v>0.47665412038260413</v>
      </c>
      <c r="AT225" s="91">
        <f>INDEX(LINEST(1/(AV225:AY225),1/SQRT(AV224:AY224)),1)</f>
        <v>-7.0265704020217715E-2</v>
      </c>
      <c r="AU225" s="3"/>
      <c r="AV225" s="73">
        <v>1</v>
      </c>
      <c r="AW225" s="73">
        <v>0.76</v>
      </c>
      <c r="AX225" s="73">
        <v>0.65</v>
      </c>
      <c r="AY225" s="73">
        <v>0.46</v>
      </c>
      <c r="AZ225" s="53"/>
      <c r="BA225" s="53"/>
      <c r="BB225" s="53"/>
      <c r="BC225" s="53"/>
      <c r="BD225" s="53"/>
      <c r="BE225" s="53"/>
      <c r="BF225" s="53"/>
      <c r="BG225" s="53"/>
      <c r="BH225" s="53"/>
      <c r="BI225" s="53"/>
      <c r="BJ225" s="53"/>
      <c r="BK225" s="53"/>
      <c r="BL225" s="53"/>
      <c r="BM225" s="53"/>
      <c r="BN225" s="53"/>
      <c r="BO225" s="53"/>
      <c r="BP225" s="53"/>
      <c r="BQ225" s="53"/>
      <c r="BR225" s="53"/>
      <c r="BS225" s="53"/>
      <c r="BT225" s="53"/>
      <c r="BU225" s="53"/>
      <c r="BV225" s="53"/>
      <c r="BW225" s="53"/>
      <c r="BX225" s="53"/>
      <c r="BY225" s="53"/>
      <c r="BZ225" s="53"/>
      <c r="CA225" s="53"/>
      <c r="CB225" s="53"/>
      <c r="CC225" s="53"/>
      <c r="CD225" s="53"/>
      <c r="CE225" s="53"/>
      <c r="CF225" s="53"/>
      <c r="CG225" s="53"/>
      <c r="CH225" s="53"/>
      <c r="CI225" s="53"/>
      <c r="CJ225" s="53"/>
      <c r="CK225" s="53"/>
      <c r="CL225" s="53"/>
      <c r="CM225" s="53"/>
      <c r="CN225" s="53"/>
      <c r="CO225" s="53"/>
      <c r="CP225" s="53"/>
      <c r="CQ225" s="53"/>
      <c r="CR225" s="1"/>
      <c r="CS225" s="1"/>
      <c r="CT225" s="1"/>
      <c r="CU225" s="1"/>
    </row>
    <row r="226" spans="1:99" s="13" customFormat="1" ht="12" customHeight="1" x14ac:dyDescent="0.2">
      <c r="A226" s="65">
        <v>43976</v>
      </c>
      <c r="B226" s="1"/>
      <c r="C226" s="1"/>
      <c r="D226" s="60"/>
      <c r="E226" s="76"/>
      <c r="F226" s="60"/>
      <c r="G226" s="60"/>
      <c r="H226" s="60"/>
      <c r="I226" s="60"/>
      <c r="J226" s="60"/>
      <c r="K226" s="60"/>
      <c r="L226" s="60"/>
      <c r="M226" s="60"/>
      <c r="N226" s="60"/>
      <c r="O226" s="60"/>
      <c r="P226" s="60"/>
      <c r="Q226" s="60"/>
      <c r="R226" s="60"/>
      <c r="S226" s="60"/>
      <c r="T226" s="59"/>
      <c r="U226" s="60"/>
      <c r="V226" s="59"/>
      <c r="W226" s="60"/>
      <c r="X226" s="60"/>
      <c r="Y226" s="76"/>
      <c r="Z226" s="60"/>
      <c r="AA226" s="60"/>
      <c r="AB226" s="60"/>
      <c r="AC226" s="56"/>
      <c r="AD226" s="60"/>
      <c r="AE226" s="76"/>
      <c r="AF226" s="80"/>
      <c r="AG226" s="56"/>
      <c r="AH226" s="4"/>
      <c r="AI226" s="56"/>
      <c r="AJ226" s="109"/>
      <c r="AK226" s="56"/>
      <c r="AL226" s="56"/>
      <c r="AM226" s="56"/>
      <c r="AN226" s="56"/>
      <c r="AO226" s="82"/>
      <c r="AP226" s="82"/>
      <c r="AQ226" s="83"/>
      <c r="AR226" s="116"/>
      <c r="AS226" s="84"/>
      <c r="AT226" s="84"/>
      <c r="AU226" s="3"/>
      <c r="AV226" s="25">
        <v>90</v>
      </c>
      <c r="AW226" s="25">
        <f>60*10</f>
        <v>600</v>
      </c>
      <c r="AX226" s="25">
        <f>60*60</f>
        <v>3600</v>
      </c>
      <c r="AY226" s="25">
        <f>60*60*24</f>
        <v>86400</v>
      </c>
      <c r="AZ226" s="53"/>
      <c r="BA226" s="53"/>
      <c r="BB226" s="53"/>
      <c r="BC226" s="53"/>
      <c r="BD226" s="53"/>
      <c r="BE226" s="53"/>
      <c r="BF226" s="53"/>
      <c r="BG226" s="53"/>
      <c r="BH226" s="53"/>
      <c r="BI226" s="53"/>
      <c r="BJ226" s="53"/>
      <c r="BK226" s="53"/>
      <c r="BL226" s="53"/>
      <c r="BM226" s="53"/>
      <c r="BN226" s="53"/>
      <c r="BO226" s="53"/>
      <c r="BP226" s="53"/>
      <c r="BQ226" s="53"/>
      <c r="BR226" s="53"/>
      <c r="BS226" s="53"/>
      <c r="BT226" s="53"/>
      <c r="BU226" s="53"/>
      <c r="BV226" s="53"/>
      <c r="BW226" s="53"/>
      <c r="BX226" s="53"/>
      <c r="BY226" s="53"/>
      <c r="BZ226" s="53"/>
      <c r="CA226" s="53"/>
      <c r="CB226" s="53"/>
      <c r="CC226" s="53"/>
      <c r="CD226" s="53"/>
      <c r="CE226" s="53"/>
      <c r="CF226" s="53"/>
      <c r="CG226" s="53"/>
      <c r="CH226" s="53"/>
      <c r="CI226" s="53"/>
      <c r="CJ226" s="53"/>
      <c r="CK226" s="53"/>
      <c r="CL226" s="53"/>
      <c r="CM226" s="53"/>
      <c r="CN226" s="53"/>
      <c r="CO226" s="53"/>
      <c r="CP226" s="53"/>
      <c r="CQ226" s="53"/>
      <c r="CR226" s="1"/>
      <c r="CS226" s="1"/>
      <c r="CT226" s="1"/>
      <c r="CU226" s="1"/>
    </row>
    <row r="227" spans="1:99" s="13" customFormat="1" ht="12" customHeight="1" x14ac:dyDescent="0.2">
      <c r="A227" s="65">
        <v>43976</v>
      </c>
      <c r="B227" s="1" t="s">
        <v>924</v>
      </c>
      <c r="C227" s="1" t="s">
        <v>357</v>
      </c>
      <c r="D227" s="60">
        <v>1995</v>
      </c>
      <c r="E227" s="76">
        <v>2</v>
      </c>
      <c r="F227" s="60">
        <v>21</v>
      </c>
      <c r="G227" s="60">
        <v>21</v>
      </c>
      <c r="H227" s="60" t="s">
        <v>32</v>
      </c>
      <c r="I227" s="60" t="s">
        <v>330</v>
      </c>
      <c r="J227" s="60" t="s">
        <v>313</v>
      </c>
      <c r="K227" s="60">
        <f>IF(J227="syllables",1,IF(J227="trigrams",2,IF(J227="strings",3,IF(J227="visual array",4,IF(J227="characters",5,IF(J227="letters",6,IF(J227="free forms",7,IF(J227="odors",8,IF(J227="words",9,IF(J227="pictures",10,IF(J227="object pictures",11,IF(J227="faces",12,IF(J227="names",13,IF(J227="idioms",14,IF(J227="grades",15,IF(J227="syllable-digit pairs",16,IF(J227="trigram-word pairs",17,IF(J227="word-digit pairs",18,IF(J227="English-Swahili pairs",19,IF(J227="spatial position",20,IF(J227="word pairs",21,IF(J227="word triads",22,IF(J227="generated words",23,IF(J227="word definition pairs",24,IF(J227="math problems",25,IF(J227="famous faces",26,IF(J227="famous names",27,IF(J227="famous voices",28,IF(J227="television programs",29,IF(J227="race horses",30,IF(J227="new vocabulary",31,IF(J227="sentences",32,IF(J227="concepts",33,IF(J227="ad slides",34,IF(J227="scenes",35,IF(J227="famous scenes",36,IF(J227="poems",37,IF(J227="walk",38,IF(J227="faces and events",39,IF(J227="events and names",40,IF(J227="flashbulb",41,IF(J227="stories",42,IF(J227="course material",43,IF(J227="autobiographical",44,IF(J227="novels",45,IF(J227="public events",46,"99"))))))))))))))))))))))))))))))))))))))))))))))</f>
        <v>10</v>
      </c>
      <c r="L227" s="60">
        <f>IF(J227="syllables",1,IF(J227="trigrams",1,IF(J227="strings",1,IF(J227="visual array",1,IF(J227="characters",1,IF(J227="letters",1,IF(J227="free forms",1,IF(J227="odors",2,IF(J227="words",2,IF(J227="pictures",2,IF(J227="object pictures",2,IF(J227="faces",2,IF(J227="names",2,IF(J227="idioms","2",IF(J227="grades",2,IF(J227="syllable-digit pairs",3,IF(J227="trigram-word pairs",3,IF(J227="word-digit pairs",3,IF(J227="English-Swahili pairs",3,IF(J227="spatial position",3,IF(J227="word pairs",4,IF(J227="word triads",4,IF(J227="generated words",4,IF(J227="word definition pairs",4,IF(J227="math problems",4,IF(J227="famous faces",4,IF(J227="famous names",4,IF(J227="famous voices",4,IF(J227="television programs",4,IF(J227="race horses",4,IF(J227="new vocabulary",4,IF(J227="sentences",5,IF(J227="concepts",5,IF(J227="ad slides",5,IF(J227="scenes",5,IF(J227="famous scenes",5,IF(J227="poems",6,IF(J227="walk",6,IF(J227="faces and events",6,IF(J227="events and names",6,IF(J227="flashbulb",7,IF(J227="stories",7,IF(J227="course material",7,IF(J227="autobiographical",7,IF(J227="novels",7,IF(J227="public events",7,"99"))))))))))))))))))))))))))))))))))))))))))))))</f>
        <v>2</v>
      </c>
      <c r="M227" s="60">
        <v>0</v>
      </c>
      <c r="N227" s="60">
        <v>1</v>
      </c>
      <c r="O227" s="60">
        <v>0</v>
      </c>
      <c r="P227" s="60"/>
      <c r="Q227" s="60" t="s">
        <v>34</v>
      </c>
      <c r="R227" s="60">
        <f>IF(Q227="Free Recall",1,IF(Q227="Cued Recall",2,IF(Q227="Recognition",3,IF(Q227="Multiple Choice",4,IF(Q227="Savings",5,IF(Q227="Stem Completion",6,IF(Q227="Fragment Completion",7,IF(Q227="anagram solution",8,IF(Q227="Matching",9,IF(Q227="Problem Solving",10,"99"))))))))))</f>
        <v>3</v>
      </c>
      <c r="S227" s="60" t="s">
        <v>49</v>
      </c>
      <c r="T227" s="59" t="s">
        <v>581</v>
      </c>
      <c r="U227" s="60">
        <f>IF(T227="within",1,0)</f>
        <v>1</v>
      </c>
      <c r="V227" s="59">
        <v>100</v>
      </c>
      <c r="W227" s="60">
        <f>F227*V227</f>
        <v>2100</v>
      </c>
      <c r="X227" s="60">
        <v>4</v>
      </c>
      <c r="Y227" s="76">
        <f>AV226</f>
        <v>90</v>
      </c>
      <c r="Z227" s="60" t="s">
        <v>79</v>
      </c>
      <c r="AA227" s="60">
        <f>60*60*24</f>
        <v>86400</v>
      </c>
      <c r="AB227" s="60" t="str">
        <f>IF(AA227&lt;60,"1",IF(AA227&lt;=43200,"2",IF(AA227&lt;=777600,"3","4")))</f>
        <v>3</v>
      </c>
      <c r="AC227" s="56">
        <f>AVERAGE(AV226:AZ226)</f>
        <v>22672.5</v>
      </c>
      <c r="AD227" s="60" t="str">
        <f>IF(AC227&lt;60,"1",IF(AC227&lt;=43200,"2",IF(AC227&lt;=777600,"3","4")))</f>
        <v>2</v>
      </c>
      <c r="AE227" s="76">
        <f>AA227-Y227</f>
        <v>86310</v>
      </c>
      <c r="AF227" s="80">
        <f>AV227</f>
        <v>0.89045622199999996</v>
      </c>
      <c r="AG227" s="56">
        <f>((AW227-AV227)+(AX227-AW227)+(AY227-AX227))/3</f>
        <v>-4.4065930666666642E-2</v>
      </c>
      <c r="AH227" s="4"/>
      <c r="AI227" s="56">
        <f>RSQ(AV227:AY227,AV226:AY226)</f>
        <v>0.44266277301030366</v>
      </c>
      <c r="AJ227" s="109">
        <f>SLOPE(AV227:AY227,AV226:AY226)</f>
        <v>-8.7174491176772909E-7</v>
      </c>
      <c r="AK227" s="56">
        <f>INTERCEPT(AV227:AY227,AV226:AY226)</f>
        <v>0.83233046551205392</v>
      </c>
      <c r="AL227" s="56">
        <f>INDEX(LINEST(LN(AV227:AY227),LN(AV226:AY226),TRUE,TRUE),3,1)</f>
        <v>0.80486971769474402</v>
      </c>
      <c r="AM227" s="56">
        <f>INDEX(LINEST(LN(AV227:AY227),LN(AV226:AY226)),1)</f>
        <v>-2.0682404901746009E-2</v>
      </c>
      <c r="AN227" s="56">
        <f>EXP(INDEX(LINEST(LN(AV227:AY227),LN(AV226:AY226)),1,2))</f>
        <v>0.94949704911830035</v>
      </c>
      <c r="AO227" s="82">
        <f>INDEX(LINEST((AV227:AY227),LN(AV226:AY226),TRUE,TRUE),3,1)</f>
        <v>0.79077611560755812</v>
      </c>
      <c r="AP227" s="82">
        <f>INDEX(LINEST((AV227:AY227),LN(AV226:AY226)),1)</f>
        <v>-1.6959203130312586E-2</v>
      </c>
      <c r="AQ227" s="83">
        <f>INDEX(LINEST(LN(AV227:AY227),SQRT(AV226:AY226),TRUE,TRUE),3,1)</f>
        <v>0.54941571336571926</v>
      </c>
      <c r="AR227" s="116">
        <f>INDEX(LINEST(LN(AV227:AY227),SQRT((AV226:AY226))),1)</f>
        <v>-3.752540426727167E-4</v>
      </c>
      <c r="AS227" s="84">
        <f>INDEX(LINEST(1/(AV227:AY227),1/(SQRT(AV226:AY226)),TRUE,TRUE),3,1)</f>
        <v>0.91428302353590685</v>
      </c>
      <c r="AT227" s="84">
        <f>INDEX(LINEST(1/(AV227:AY227),1/SQRT(AV226:AY226)),1)</f>
        <v>-1.7230122535623253</v>
      </c>
      <c r="AU227" s="3"/>
      <c r="AV227" s="53">
        <v>0.89045622199999996</v>
      </c>
      <c r="AW227" s="53">
        <v>0.79811809499999997</v>
      </c>
      <c r="AX227" s="53">
        <v>0.80343056899999998</v>
      </c>
      <c r="AY227" s="53">
        <v>0.75825843000000004</v>
      </c>
      <c r="AZ227" s="53"/>
      <c r="BA227" s="53"/>
      <c r="BB227" s="53"/>
      <c r="BC227" s="53"/>
      <c r="BD227" s="53"/>
      <c r="BE227" s="53"/>
      <c r="BF227" s="53"/>
      <c r="BG227" s="53"/>
      <c r="BH227" s="53"/>
      <c r="BI227" s="53"/>
      <c r="BJ227" s="53"/>
      <c r="BK227" s="53"/>
      <c r="BL227" s="53"/>
      <c r="BM227" s="53"/>
      <c r="BN227" s="53"/>
      <c r="BO227" s="53"/>
      <c r="BP227" s="53"/>
      <c r="BQ227" s="53"/>
      <c r="BR227" s="53"/>
      <c r="BS227" s="53"/>
      <c r="BT227" s="53"/>
      <c r="BU227" s="53"/>
      <c r="BV227" s="53"/>
      <c r="BW227" s="53"/>
      <c r="BX227" s="53"/>
      <c r="BY227" s="53"/>
      <c r="BZ227" s="53"/>
      <c r="CA227" s="53"/>
      <c r="CB227" s="53"/>
      <c r="CC227" s="53"/>
      <c r="CD227" s="53"/>
      <c r="CE227" s="53"/>
      <c r="CF227" s="53"/>
      <c r="CG227" s="53"/>
      <c r="CH227" s="53"/>
      <c r="CI227" s="53"/>
      <c r="CJ227" s="53"/>
      <c r="CK227" s="53"/>
      <c r="CL227" s="53"/>
      <c r="CM227" s="53"/>
      <c r="CN227" s="53"/>
      <c r="CO227" s="53"/>
      <c r="CP227" s="53"/>
      <c r="CQ227" s="53"/>
      <c r="CR227" s="1"/>
      <c r="CS227" s="1"/>
      <c r="CT227" s="1"/>
      <c r="CU227" s="1"/>
    </row>
    <row r="228" spans="1:99" s="13" customFormat="1" ht="12" customHeight="1" x14ac:dyDescent="0.2">
      <c r="A228" s="68">
        <v>43509</v>
      </c>
      <c r="B228" s="70"/>
      <c r="C228" s="70"/>
      <c r="D228" s="69"/>
      <c r="E228" s="87"/>
      <c r="F228" s="69"/>
      <c r="G228" s="69"/>
      <c r="H228" s="69"/>
      <c r="I228" s="69"/>
      <c r="J228" s="69"/>
      <c r="K228" s="107"/>
      <c r="L228" s="107"/>
      <c r="M228" s="69"/>
      <c r="N228" s="69"/>
      <c r="O228" s="69"/>
      <c r="P228" s="69"/>
      <c r="Q228" s="69"/>
      <c r="R228" s="69"/>
      <c r="S228" s="69"/>
      <c r="T228" s="69"/>
      <c r="U228" s="69"/>
      <c r="V228" s="69"/>
      <c r="W228" s="69"/>
      <c r="X228" s="69"/>
      <c r="Y228" s="87"/>
      <c r="Z228" s="69"/>
      <c r="AA228" s="69"/>
      <c r="AB228" s="69"/>
      <c r="AC228" s="69"/>
      <c r="AD228" s="69"/>
      <c r="AE228" s="69"/>
      <c r="AF228" s="88"/>
      <c r="AG228" s="72"/>
      <c r="AH228" s="4"/>
      <c r="AI228" s="72"/>
      <c r="AJ228" s="110"/>
      <c r="AK228" s="72"/>
      <c r="AL228" s="72"/>
      <c r="AM228" s="72"/>
      <c r="AN228" s="72"/>
      <c r="AO228" s="72"/>
      <c r="AP228" s="72"/>
      <c r="AQ228" s="72"/>
      <c r="AR228" s="110"/>
      <c r="AS228" s="72"/>
      <c r="AT228" s="72"/>
      <c r="AU228" s="3"/>
      <c r="AV228" s="71">
        <f>5*60</f>
        <v>300</v>
      </c>
      <c r="AW228" s="71">
        <f>24*60*60*1</f>
        <v>86400</v>
      </c>
      <c r="AX228" s="71">
        <f>24*60*60*2</f>
        <v>172800</v>
      </c>
      <c r="AY228" s="71">
        <f>24*60*60*7</f>
        <v>604800</v>
      </c>
      <c r="AZ228" s="71">
        <f>24*60*60*14</f>
        <v>1209600</v>
      </c>
      <c r="BA228" s="71">
        <f>24*60*60*42</f>
        <v>3628800</v>
      </c>
      <c r="BB228" s="53"/>
      <c r="BC228" s="53"/>
      <c r="BD228" s="53"/>
      <c r="BE228" s="53"/>
      <c r="BF228" s="53"/>
      <c r="BG228" s="53"/>
      <c r="BH228" s="53"/>
      <c r="BI228" s="53"/>
      <c r="BJ228" s="53"/>
      <c r="BK228" s="53"/>
      <c r="BL228" s="53"/>
      <c r="BM228" s="53"/>
      <c r="BN228" s="53"/>
      <c r="BO228" s="53"/>
      <c r="BP228" s="53"/>
      <c r="BQ228" s="53"/>
      <c r="BR228" s="53"/>
      <c r="BS228" s="53"/>
      <c r="BT228" s="53"/>
      <c r="BU228" s="53"/>
      <c r="BV228" s="53"/>
      <c r="BW228" s="53"/>
      <c r="BX228" s="53"/>
      <c r="BY228" s="53"/>
      <c r="BZ228" s="53"/>
      <c r="CA228" s="53"/>
      <c r="CB228" s="53"/>
      <c r="CC228" s="53"/>
      <c r="CD228" s="53"/>
      <c r="CE228" s="53"/>
      <c r="CF228" s="53"/>
      <c r="CG228" s="53"/>
      <c r="CH228" s="53"/>
      <c r="CI228" s="53"/>
      <c r="CJ228" s="53"/>
      <c r="CK228" s="53"/>
      <c r="CL228" s="53"/>
      <c r="CM228" s="53"/>
      <c r="CN228" s="53"/>
      <c r="CO228" s="53"/>
      <c r="CP228" s="53"/>
      <c r="CQ228" s="53"/>
      <c r="CR228" s="1"/>
      <c r="CS228" s="1"/>
      <c r="CT228" s="1"/>
      <c r="CU228" s="1"/>
    </row>
    <row r="229" spans="1:99" s="13" customFormat="1" ht="12" customHeight="1" x14ac:dyDescent="0.2">
      <c r="A229" s="68">
        <v>43509</v>
      </c>
      <c r="B229" s="70" t="s">
        <v>143</v>
      </c>
      <c r="C229" s="70" t="s">
        <v>75</v>
      </c>
      <c r="D229" s="69">
        <v>2008</v>
      </c>
      <c r="E229" s="87">
        <v>1</v>
      </c>
      <c r="F229" s="69">
        <v>55</v>
      </c>
      <c r="G229" s="69">
        <v>55</v>
      </c>
      <c r="H229" s="69" t="s">
        <v>22</v>
      </c>
      <c r="I229" s="69" t="s">
        <v>648</v>
      </c>
      <c r="J229" s="69" t="s">
        <v>475</v>
      </c>
      <c r="K229" s="69">
        <f>IF(J229="syllables",1,IF(J229="trigrams",2,IF(J229="strings",3,IF(J229="visual array",4,IF(J229="characters",5,IF(J229="letters",6,IF(J229="free forms",7,IF(J229="odors",8,IF(J229="words",9,IF(J229="pictures",10,IF(J229="object pictures",11,IF(J229="faces",12,IF(J229="names",13,IF(J229="idioms",14,IF(J229="grades",15,IF(J229="syllable-digit pairs",16,IF(J229="trigram-word pairs",17,IF(J229="word-digit pairs",18,IF(J229="English-Swahili pairs",19,IF(J229="spatial position",20,IF(J229="word pairs",21,IF(J229="word triads",22,IF(J229="generated words",23,IF(J229="word definition pairs",24,IF(J229="math problems",25,IF(J229="famous faces",26,IF(J229="famous names",27,IF(J229="famous voices",28,IF(J229="television programs",29,IF(J229="race horses",30,IF(J229="new vocabulary",31,IF(J229="sentences",32,IF(J229="concepts",33,IF(J229="ad slides",34,IF(J229="scenes",35,IF(J229="famous scenes",36,IF(J229="poems",37,IF(J229="walk",38,IF(J229="faces and events",39,IF(J229="events and names",40,IF(J229="flashbulb",41,IF(J229="stories",42,IF(J229="course material",43,IF(J229="autobiographical",44,IF(J229="novels",45,IF(J229="public events",46,"99"))))))))))))))))))))))))))))))))))))))))))))))</f>
        <v>32</v>
      </c>
      <c r="L229" s="69">
        <f>IF(J229="syllables",1,IF(J229="trigrams",1,IF(J229="strings",1,IF(J229="visual array",1,IF(J229="characters",1,IF(J229="letters",1,IF(J229="free forms",1,IF(J229="odors",2,IF(J229="words",2,IF(J229="pictures",2,IF(J229="object pictures",2,IF(J229="faces",2,IF(J229="names",2,IF(J229="idioms","2",IF(J229="grades",2,IF(J229="syllable-digit pairs",3,IF(J229="trigram-word pairs",3,IF(J229="word-digit pairs",3,IF(J229="English-Swahili pairs",3,IF(J229="spatial position",3,IF(J229="word pairs",4,IF(J229="word triads",4,IF(J229="generated words",4,IF(J229="word definition pairs",4,IF(J229="math problems",4,IF(J229="famous faces",4,IF(J229="famous names",4,IF(J229="famous voices",4,IF(J229="television programs",4,IF(J229="race horses",4,IF(J229="new vocabulary",4,IF(J229="sentences",5,IF(J229="concepts",5,IF(J229="ad slides",5,IF(J229="scenes",5,IF(J229="famous scenes",5,IF(J229="poems",6,IF(J229="walk",6,IF(J229="faces and events",6,IF(J229="events and names",6,IF(J229="flashbulb",7,IF(J229="stories",7,IF(J229="course material",7,IF(J229="autobiographical",7,IF(J229="novels",7,IF(J229="public events",7,"99"))))))))))))))))))))))))))))))))))))))))))))))</f>
        <v>5</v>
      </c>
      <c r="M229" s="69">
        <v>1</v>
      </c>
      <c r="N229" s="69">
        <v>4</v>
      </c>
      <c r="O229" s="69">
        <v>0</v>
      </c>
      <c r="P229" s="69"/>
      <c r="Q229" s="69" t="s">
        <v>65</v>
      </c>
      <c r="R229" s="69">
        <f>IF(Q229="Free Recall",1,IF(Q229="Cued Recall",2,IF(Q229="Recognition",3,IF(Q229="Multiple Choice",4,IF(Q229="Savings",5,IF(Q229="Stem Completion",6,IF(Q229="Fragment Completion",7,IF(Q229="anagram solution",8,IF(Q229="Matching",9,IF(Q229="Problem Solving",10,"99"))))))))))</f>
        <v>2</v>
      </c>
      <c r="S229" s="69" t="s">
        <v>49</v>
      </c>
      <c r="T229" s="92" t="s">
        <v>581</v>
      </c>
      <c r="U229" s="69">
        <f>IF(T229="within",1,0)</f>
        <v>1</v>
      </c>
      <c r="V229" s="92">
        <v>60</v>
      </c>
      <c r="W229" s="69">
        <f>F229*V229</f>
        <v>3300</v>
      </c>
      <c r="X229" s="69">
        <v>6</v>
      </c>
      <c r="Y229" s="87">
        <f>AV228</f>
        <v>300</v>
      </c>
      <c r="Z229" s="69" t="s">
        <v>144</v>
      </c>
      <c r="AA229" s="69">
        <f>42*24*60*60</f>
        <v>3628800</v>
      </c>
      <c r="AB229" s="69" t="str">
        <f>IF(AA229&lt;60,"1",IF(AA229&lt;=43200,"2",IF(AA229&lt;=777600,"3","4")))</f>
        <v>4</v>
      </c>
      <c r="AC229" s="72">
        <f>AVERAGE(AV228:DA228)</f>
        <v>950450</v>
      </c>
      <c r="AD229" s="69" t="str">
        <f>IF(AC229&lt;60,"1",IF(AC229&lt;=43200,"2",IF(AC229&lt;=777600,"3","4")))</f>
        <v>4</v>
      </c>
      <c r="AE229" s="87">
        <f>AA229-Y229</f>
        <v>3628500</v>
      </c>
      <c r="AF229" s="88">
        <f>AV229</f>
        <v>0.93</v>
      </c>
      <c r="AG229" s="72">
        <f>((AW229-AV229)+(AX229-AW229)+(AY229-AX229)+(AZ229-AY229)+(BA229-AZ229))/5</f>
        <v>-0.11800000000000002</v>
      </c>
      <c r="AH229" s="4"/>
      <c r="AI229" s="72">
        <f>RSQ(AV229:BA229,AV228:BA228)</f>
        <v>0.80393161437229466</v>
      </c>
      <c r="AJ229" s="110">
        <f>SLOPE(AV229:BA229,AV228:BA228)</f>
        <v>-1.5689881368113134E-7</v>
      </c>
      <c r="AK229" s="72">
        <f>INTERCEPT(AV229:BA229,AV228:BA228)</f>
        <v>0.83912447746323127</v>
      </c>
      <c r="AL229" s="72">
        <f>INDEX(LINEST(LN(AV229:BA229),LN(AV228:BA228),TRUE,TRUE),3,1)</f>
        <v>0.56412396114012264</v>
      </c>
      <c r="AM229" s="72">
        <f>INDEX(LINEST(LN(AV229:BA229),LN(AV228:BA228)),1)</f>
        <v>-9.1587453005604905E-2</v>
      </c>
      <c r="AN229" s="72">
        <f>EXP(INDEX(LINEST(LN(AV229:BA229),LN(AV228:BA228)),1,2))</f>
        <v>1.9324746060229707</v>
      </c>
      <c r="AO229" s="89">
        <f>INDEX(LINEST((AV229:BA229),LN(AV228:BA228),TRUE,TRUE),3,1)</f>
        <v>0.62334256237276353</v>
      </c>
      <c r="AP229" s="89">
        <f>INDEX(LINEST((AV229:BA229),LN(AV228:BA228)),1)</f>
        <v>-5.7555619268506587E-2</v>
      </c>
      <c r="AQ229" s="90">
        <f>INDEX(LINEST(LN(AV229:BA229),SQRT(AV228:BA228),TRUE,TRUE),3,1)</f>
        <v>0.96428276231674814</v>
      </c>
      <c r="AR229" s="117">
        <f>INDEX(LINEST(LN(AV229:BA229),SQRT((AV228:BA228))),1)</f>
        <v>-5.8593931863966983E-4</v>
      </c>
      <c r="AS229" s="91">
        <f>INDEX(LINEST(1/(AV229:BA229),1/(SQRT(AV228:BA228)),TRUE,TRUE),3,1)</f>
        <v>0.1782100025552712</v>
      </c>
      <c r="AT229" s="91">
        <f>INDEX(LINEST(1/(AV229:BA229),1/SQRT(AV228:BA228)),1)</f>
        <v>-13.658515386446597</v>
      </c>
      <c r="AU229" s="3"/>
      <c r="AV229" s="73">
        <v>0.93</v>
      </c>
      <c r="AW229" s="73">
        <v>0.88</v>
      </c>
      <c r="AX229" s="73">
        <v>0.86</v>
      </c>
      <c r="AY229" s="73">
        <v>0.66</v>
      </c>
      <c r="AZ229" s="73">
        <v>0.47</v>
      </c>
      <c r="BA229" s="73">
        <v>0.34</v>
      </c>
      <c r="BB229" s="53"/>
      <c r="BC229" s="53"/>
      <c r="BD229" s="53"/>
      <c r="BE229" s="53"/>
      <c r="BF229" s="53"/>
      <c r="BG229" s="53"/>
      <c r="BH229" s="53"/>
      <c r="BI229" s="53"/>
      <c r="BJ229" s="53"/>
      <c r="BK229" s="53"/>
      <c r="BL229" s="53"/>
      <c r="BM229" s="53"/>
      <c r="BN229" s="53"/>
      <c r="BO229" s="53"/>
      <c r="BP229" s="53"/>
      <c r="BQ229" s="53"/>
      <c r="BR229" s="53"/>
      <c r="BS229" s="53"/>
      <c r="BT229" s="53"/>
      <c r="BU229" s="53"/>
      <c r="BV229" s="53"/>
      <c r="BW229" s="53"/>
      <c r="BX229" s="53"/>
      <c r="BY229" s="53"/>
      <c r="BZ229" s="53"/>
      <c r="CA229" s="53"/>
      <c r="CB229" s="53"/>
      <c r="CC229" s="53"/>
      <c r="CD229" s="53"/>
      <c r="CE229" s="53"/>
      <c r="CF229" s="53"/>
      <c r="CG229" s="53"/>
      <c r="CH229" s="53"/>
      <c r="CI229" s="53"/>
      <c r="CJ229" s="53"/>
      <c r="CK229" s="53"/>
      <c r="CL229" s="53"/>
      <c r="CM229" s="53"/>
      <c r="CN229" s="53"/>
      <c r="CO229" s="53"/>
      <c r="CP229" s="53"/>
      <c r="CQ229" s="53"/>
      <c r="CR229" s="1"/>
      <c r="CS229" s="1"/>
      <c r="CT229" s="1"/>
      <c r="CU229" s="1"/>
    </row>
    <row r="230" spans="1:99" s="13" customFormat="1" ht="12" customHeight="1" x14ac:dyDescent="0.2">
      <c r="A230" s="68">
        <v>43509</v>
      </c>
      <c r="B230" s="70"/>
      <c r="C230" s="70"/>
      <c r="D230" s="69"/>
      <c r="E230" s="87"/>
      <c r="F230" s="69"/>
      <c r="G230" s="69"/>
      <c r="H230" s="69"/>
      <c r="I230" s="69"/>
      <c r="J230" s="69"/>
      <c r="K230" s="107"/>
      <c r="L230" s="107"/>
      <c r="M230" s="69"/>
      <c r="N230" s="69"/>
      <c r="O230" s="69"/>
      <c r="P230" s="69"/>
      <c r="Q230" s="69"/>
      <c r="R230" s="69"/>
      <c r="S230" s="69"/>
      <c r="T230" s="69"/>
      <c r="U230" s="69"/>
      <c r="V230" s="69"/>
      <c r="W230" s="69"/>
      <c r="X230" s="69"/>
      <c r="Y230" s="87"/>
      <c r="Z230" s="69"/>
      <c r="AA230" s="69"/>
      <c r="AB230" s="69"/>
      <c r="AC230" s="69"/>
      <c r="AD230" s="69"/>
      <c r="AE230" s="69"/>
      <c r="AF230" s="88"/>
      <c r="AG230" s="72"/>
      <c r="AH230" s="4"/>
      <c r="AI230" s="72"/>
      <c r="AJ230" s="110"/>
      <c r="AK230" s="72"/>
      <c r="AL230" s="72"/>
      <c r="AM230" s="72"/>
      <c r="AN230" s="72"/>
      <c r="AO230" s="72"/>
      <c r="AP230" s="72"/>
      <c r="AQ230" s="72"/>
      <c r="AR230" s="110"/>
      <c r="AS230" s="72"/>
      <c r="AT230" s="72"/>
      <c r="AU230" s="3"/>
      <c r="AV230" s="71">
        <f>5*60</f>
        <v>300</v>
      </c>
      <c r="AW230" s="71">
        <f>24*60*60*1</f>
        <v>86400</v>
      </c>
      <c r="AX230" s="71">
        <f>24*60*60*2</f>
        <v>172800</v>
      </c>
      <c r="AY230" s="71">
        <f>24*60*60*7</f>
        <v>604800</v>
      </c>
      <c r="AZ230" s="71">
        <f>24*60*60*14</f>
        <v>1209600</v>
      </c>
      <c r="BA230" s="71">
        <f>24*60*60*42</f>
        <v>3628800</v>
      </c>
      <c r="BB230" s="53"/>
      <c r="BC230" s="53"/>
      <c r="BD230" s="53"/>
      <c r="BE230" s="53"/>
      <c r="BF230" s="53"/>
      <c r="BG230" s="53"/>
      <c r="BH230" s="53"/>
      <c r="BI230" s="53"/>
      <c r="BJ230" s="53"/>
      <c r="BK230" s="53"/>
      <c r="BL230" s="53"/>
      <c r="BM230" s="53"/>
      <c r="BN230" s="53"/>
      <c r="BO230" s="53"/>
      <c r="BP230" s="53"/>
      <c r="BQ230" s="53"/>
      <c r="BR230" s="53"/>
      <c r="BS230" s="53"/>
      <c r="BT230" s="53"/>
      <c r="BU230" s="53"/>
      <c r="BV230" s="53"/>
      <c r="BW230" s="53"/>
      <c r="BX230" s="53"/>
      <c r="BY230" s="53"/>
      <c r="BZ230" s="53"/>
      <c r="CA230" s="53"/>
      <c r="CB230" s="53"/>
      <c r="CC230" s="53"/>
      <c r="CD230" s="53"/>
      <c r="CE230" s="53"/>
      <c r="CF230" s="53"/>
      <c r="CG230" s="53"/>
      <c r="CH230" s="53"/>
      <c r="CI230" s="53"/>
      <c r="CJ230" s="53"/>
      <c r="CK230" s="53"/>
      <c r="CL230" s="53"/>
      <c r="CM230" s="53"/>
      <c r="CN230" s="53"/>
      <c r="CO230" s="53"/>
      <c r="CP230" s="53"/>
      <c r="CQ230" s="53"/>
      <c r="CR230" s="1"/>
      <c r="CS230" s="1"/>
      <c r="CT230" s="1"/>
      <c r="CU230" s="1"/>
    </row>
    <row r="231" spans="1:99" s="13" customFormat="1" ht="12" customHeight="1" x14ac:dyDescent="0.2">
      <c r="A231" s="68">
        <v>43509</v>
      </c>
      <c r="B231" s="70" t="s">
        <v>143</v>
      </c>
      <c r="C231" s="70" t="s">
        <v>75</v>
      </c>
      <c r="D231" s="69">
        <v>2008</v>
      </c>
      <c r="E231" s="87">
        <v>1</v>
      </c>
      <c r="F231" s="69">
        <v>55</v>
      </c>
      <c r="G231" s="69">
        <v>55</v>
      </c>
      <c r="H231" s="69" t="s">
        <v>22</v>
      </c>
      <c r="I231" s="69" t="s">
        <v>649</v>
      </c>
      <c r="J231" s="69" t="s">
        <v>475</v>
      </c>
      <c r="K231" s="69">
        <f>IF(J231="syllables",1,IF(J231="trigrams",2,IF(J231="strings",3,IF(J231="visual array",4,IF(J231="characters",5,IF(J231="letters",6,IF(J231="free forms",7,IF(J231="odors",8,IF(J231="words",9,IF(J231="pictures",10,IF(J231="object pictures",11,IF(J231="faces",12,IF(J231="names",13,IF(J231="idioms",14,IF(J231="grades",15,IF(J231="syllable-digit pairs",16,IF(J231="trigram-word pairs",17,IF(J231="word-digit pairs",18,IF(J231="English-Swahili pairs",19,IF(J231="spatial position",20,IF(J231="word pairs",21,IF(J231="word triads",22,IF(J231="generated words",23,IF(J231="word definition pairs",24,IF(J231="math problems",25,IF(J231="famous faces",26,IF(J231="famous names",27,IF(J231="famous voices",28,IF(J231="television programs",29,IF(J231="race horses",30,IF(J231="new vocabulary",31,IF(J231="sentences",32,IF(J231="concepts",33,IF(J231="ad slides",34,IF(J231="scenes",35,IF(J231="famous scenes",36,IF(J231="poems",37,IF(J231="walk",38,IF(J231="faces and events",39,IF(J231="events and names",40,IF(J231="flashbulb",41,IF(J231="stories",42,IF(J231="course material",43,IF(J231="autobiographical",44,IF(J231="novels",45,IF(J231="public events",46,"99"))))))))))))))))))))))))))))))))))))))))))))))</f>
        <v>32</v>
      </c>
      <c r="L231" s="69">
        <f>IF(J231="syllables",1,IF(J231="trigrams",1,IF(J231="strings",1,IF(J231="visual array",1,IF(J231="characters",1,IF(J231="letters",1,IF(J231="free forms",1,IF(J231="odors",2,IF(J231="words",2,IF(J231="pictures",2,IF(J231="object pictures",2,IF(J231="faces",2,IF(J231="names",2,IF(J231="idioms","2",IF(J231="grades",2,IF(J231="syllable-digit pairs",3,IF(J231="trigram-word pairs",3,IF(J231="word-digit pairs",3,IF(J231="English-Swahili pairs",3,IF(J231="spatial position",3,IF(J231="word pairs",4,IF(J231="word triads",4,IF(J231="generated words",4,IF(J231="word definition pairs",4,IF(J231="math problems",4,IF(J231="famous faces",4,IF(J231="famous names",4,IF(J231="famous voices",4,IF(J231="television programs",4,IF(J231="race horses",4,IF(J231="new vocabulary",4,IF(J231="sentences",5,IF(J231="concepts",5,IF(J231="ad slides",5,IF(J231="scenes",5,IF(J231="famous scenes",5,IF(J231="poems",6,IF(J231="walk",6,IF(J231="faces and events",6,IF(J231="events and names",6,IF(J231="flashbulb",7,IF(J231="stories",7,IF(J231="course material",7,IF(J231="autobiographical",7,IF(J231="novels",7,IF(J231="public events",7,"99"))))))))))))))))))))))))))))))))))))))))))))))</f>
        <v>5</v>
      </c>
      <c r="M231" s="69">
        <v>1</v>
      </c>
      <c r="N231" s="69">
        <v>4</v>
      </c>
      <c r="O231" s="69">
        <v>0</v>
      </c>
      <c r="P231" s="69"/>
      <c r="Q231" s="69" t="s">
        <v>65</v>
      </c>
      <c r="R231" s="69">
        <f>IF(Q231="Free Recall",1,IF(Q231="Cued Recall",2,IF(Q231="Recognition",3,IF(Q231="Multiple Choice",4,IF(Q231="Savings",5,IF(Q231="Stem Completion",6,IF(Q231="Fragment Completion",7,IF(Q231="anagram solution",8,IF(Q231="Matching",9,IF(Q231="Problem Solving",10,"99"))))))))))</f>
        <v>2</v>
      </c>
      <c r="S231" s="69" t="s">
        <v>49</v>
      </c>
      <c r="T231" s="92" t="s">
        <v>581</v>
      </c>
      <c r="U231" s="69">
        <f>IF(T231="within",1,0)</f>
        <v>1</v>
      </c>
      <c r="V231" s="92">
        <v>60</v>
      </c>
      <c r="W231" s="69">
        <f>F231*V231</f>
        <v>3300</v>
      </c>
      <c r="X231" s="69">
        <v>6</v>
      </c>
      <c r="Y231" s="87">
        <f>AV230</f>
        <v>300</v>
      </c>
      <c r="Z231" s="69" t="s">
        <v>144</v>
      </c>
      <c r="AA231" s="69">
        <f>42*24*60*60</f>
        <v>3628800</v>
      </c>
      <c r="AB231" s="69" t="str">
        <f>IF(AA231&lt;60,"1",IF(AA231&lt;=43200,"2",IF(AA231&lt;=777600,"3","4")))</f>
        <v>4</v>
      </c>
      <c r="AC231" s="72">
        <f>AVERAGE(AV230:DA230)</f>
        <v>950450</v>
      </c>
      <c r="AD231" s="69" t="str">
        <f>IF(AC231&lt;60,"1",IF(AC231&lt;=43200,"2",IF(AC231&lt;=777600,"3","4")))</f>
        <v>4</v>
      </c>
      <c r="AE231" s="87">
        <f>AA231-Y231</f>
        <v>3628500</v>
      </c>
      <c r="AF231" s="88">
        <f>AV231</f>
        <v>0.91</v>
      </c>
      <c r="AG231" s="72">
        <f>((AW231-AV231)+(AX231-AW231)+(AY231-AX231)+(AZ231-AY231)+(BA231-AZ231))/5</f>
        <v>-0.12200000000000003</v>
      </c>
      <c r="AH231" s="4"/>
      <c r="AI231" s="72">
        <f>RSQ(AV231:BA231,AV230:BA230)</f>
        <v>0.77876731312522551</v>
      </c>
      <c r="AJ231" s="110">
        <f>SLOPE(AV231:BA231,AV230:BA230)</f>
        <v>-1.5339304561614281E-7</v>
      </c>
      <c r="AK231" s="72">
        <f>INTERCEPT(AV231:BA231,AV230:BA230)</f>
        <v>0.78412575353919622</v>
      </c>
      <c r="AL231" s="72">
        <f>INDEX(LINEST(LN(AV231:BA231),LN(AV230:BA230),TRUE,TRUE),3,1)</f>
        <v>0.61414722818215162</v>
      </c>
      <c r="AM231" s="72">
        <f>INDEX(LINEST(LN(AV231:BA231),LN(AV230:BA230)),1)</f>
        <v>-0.10246268954207854</v>
      </c>
      <c r="AN231" s="72">
        <f>EXP(INDEX(LINEST(LN(AV231:BA231),LN(AV230:BA230)),1,2))</f>
        <v>2.0164461216717644</v>
      </c>
      <c r="AO231" s="89">
        <f>INDEX(LINEST((AV231:BA231),LN(AV230:BA230),TRUE,TRUE),3,1)</f>
        <v>0.69973232164094767</v>
      </c>
      <c r="AP231" s="89">
        <f>INDEX(LINEST((AV231:BA231),LN(AV230:BA230)),1)</f>
        <v>-6.0573408809146502E-2</v>
      </c>
      <c r="AQ231" s="90">
        <f>INDEX(LINEST(LN(AV231:BA231),SQRT(AV230:BA230),TRUE,TRUE),3,1)</f>
        <v>0.97366552987887434</v>
      </c>
      <c r="AR231" s="117">
        <f>INDEX(LINEST(LN(AV231:BA231),SQRT((AV230:BA230))),1)</f>
        <v>-6.3130049922256357E-4</v>
      </c>
      <c r="AS231" s="91">
        <f>INDEX(LINEST(1/(AV231:BA231),1/(SQRT(AV230:BA230)),TRUE,TRUE),3,1)</f>
        <v>0.1992590167158407</v>
      </c>
      <c r="AT231" s="91">
        <f>INDEX(LINEST(1/(AV231:BA231),1/SQRT(AV230:BA230)),1)</f>
        <v>-16.989497071975389</v>
      </c>
      <c r="AU231" s="3"/>
      <c r="AV231" s="73">
        <v>0.91</v>
      </c>
      <c r="AW231" s="73">
        <v>0.82</v>
      </c>
      <c r="AX231" s="73">
        <v>0.78</v>
      </c>
      <c r="AY231" s="73">
        <v>0.6</v>
      </c>
      <c r="AZ231" s="73">
        <v>0.42</v>
      </c>
      <c r="BA231" s="73">
        <v>0.3</v>
      </c>
      <c r="BB231" s="53"/>
      <c r="BC231" s="53"/>
      <c r="BD231" s="53"/>
      <c r="BE231" s="53"/>
      <c r="BF231" s="53"/>
      <c r="BG231" s="53"/>
      <c r="BH231" s="53"/>
      <c r="BI231" s="53"/>
      <c r="BJ231" s="53"/>
      <c r="BK231" s="53"/>
      <c r="BL231" s="53"/>
      <c r="BM231" s="53"/>
      <c r="BN231" s="53"/>
      <c r="BO231" s="53"/>
      <c r="BP231" s="53"/>
      <c r="BQ231" s="53"/>
      <c r="BR231" s="53"/>
      <c r="BS231" s="53"/>
      <c r="BT231" s="53"/>
      <c r="BU231" s="53"/>
      <c r="BV231" s="53"/>
      <c r="BW231" s="53"/>
      <c r="BX231" s="53"/>
      <c r="BY231" s="53"/>
      <c r="BZ231" s="53"/>
      <c r="CA231" s="53"/>
      <c r="CB231" s="53"/>
      <c r="CC231" s="53"/>
      <c r="CD231" s="53"/>
      <c r="CE231" s="53"/>
      <c r="CF231" s="53"/>
      <c r="CG231" s="53"/>
      <c r="CH231" s="53"/>
      <c r="CI231" s="53"/>
      <c r="CJ231" s="53"/>
      <c r="CK231" s="53"/>
      <c r="CL231" s="53"/>
      <c r="CM231" s="53"/>
      <c r="CN231" s="53"/>
      <c r="CO231" s="53"/>
      <c r="CP231" s="53"/>
      <c r="CQ231" s="53"/>
      <c r="CR231" s="1"/>
      <c r="CS231" s="1"/>
      <c r="CT231" s="1"/>
      <c r="CU231" s="1"/>
    </row>
    <row r="232" spans="1:99" s="13" customFormat="1" ht="12" customHeight="1" x14ac:dyDescent="0.2">
      <c r="A232" s="68">
        <v>43509</v>
      </c>
      <c r="B232" s="70"/>
      <c r="C232" s="70"/>
      <c r="D232" s="69"/>
      <c r="E232" s="87"/>
      <c r="F232" s="69"/>
      <c r="G232" s="69"/>
      <c r="H232" s="69"/>
      <c r="I232" s="69"/>
      <c r="J232" s="69"/>
      <c r="K232" s="107"/>
      <c r="L232" s="107"/>
      <c r="M232" s="69"/>
      <c r="N232" s="69"/>
      <c r="O232" s="69"/>
      <c r="P232" s="69"/>
      <c r="Q232" s="69"/>
      <c r="R232" s="69"/>
      <c r="S232" s="69"/>
      <c r="T232" s="69"/>
      <c r="U232" s="69"/>
      <c r="V232" s="69"/>
      <c r="W232" s="69"/>
      <c r="X232" s="69"/>
      <c r="Y232" s="87"/>
      <c r="Z232" s="69"/>
      <c r="AA232" s="69"/>
      <c r="AB232" s="69"/>
      <c r="AC232" s="69"/>
      <c r="AD232" s="69"/>
      <c r="AE232" s="69"/>
      <c r="AF232" s="88"/>
      <c r="AG232" s="72"/>
      <c r="AH232" s="4"/>
      <c r="AI232" s="72"/>
      <c r="AJ232" s="110"/>
      <c r="AK232" s="72"/>
      <c r="AL232" s="72"/>
      <c r="AM232" s="72"/>
      <c r="AN232" s="72"/>
      <c r="AO232" s="72"/>
      <c r="AP232" s="72"/>
      <c r="AQ232" s="72"/>
      <c r="AR232" s="110"/>
      <c r="AS232" s="72"/>
      <c r="AT232" s="72"/>
      <c r="AU232" s="3"/>
      <c r="AV232" s="71">
        <f>5*60</f>
        <v>300</v>
      </c>
      <c r="AW232" s="71">
        <f>24*60*60*1</f>
        <v>86400</v>
      </c>
      <c r="AX232" s="71">
        <f>24*60*60*2</f>
        <v>172800</v>
      </c>
      <c r="AY232" s="71">
        <f>24*60*60*7</f>
        <v>604800</v>
      </c>
      <c r="AZ232" s="71">
        <f>24*60*60*14</f>
        <v>1209600</v>
      </c>
      <c r="BA232" s="71">
        <f>24*60*60*42</f>
        <v>3628800</v>
      </c>
      <c r="BB232" s="53"/>
      <c r="BC232" s="53"/>
      <c r="BD232" s="53"/>
      <c r="BE232" s="53"/>
      <c r="BF232" s="53"/>
      <c r="BG232" s="53"/>
      <c r="BH232" s="53"/>
      <c r="BI232" s="53"/>
      <c r="BJ232" s="53"/>
      <c r="BK232" s="53"/>
      <c r="BL232" s="53"/>
      <c r="BM232" s="53"/>
      <c r="BN232" s="53"/>
      <c r="BO232" s="53"/>
      <c r="BP232" s="53"/>
      <c r="BQ232" s="53"/>
      <c r="BR232" s="53"/>
      <c r="BS232" s="53"/>
      <c r="BT232" s="53"/>
      <c r="BU232" s="53"/>
      <c r="BV232" s="53"/>
      <c r="BW232" s="53"/>
      <c r="BX232" s="53"/>
      <c r="BY232" s="53"/>
      <c r="BZ232" s="53"/>
      <c r="CA232" s="53"/>
      <c r="CB232" s="53"/>
      <c r="CC232" s="53"/>
      <c r="CD232" s="53"/>
      <c r="CE232" s="53"/>
      <c r="CF232" s="53"/>
      <c r="CG232" s="53"/>
      <c r="CH232" s="53"/>
      <c r="CI232" s="53"/>
      <c r="CJ232" s="53"/>
      <c r="CK232" s="53"/>
      <c r="CL232" s="53"/>
      <c r="CM232" s="53"/>
      <c r="CN232" s="53"/>
      <c r="CO232" s="53"/>
      <c r="CP232" s="53"/>
      <c r="CQ232" s="53"/>
      <c r="CR232" s="1"/>
      <c r="CS232" s="1"/>
      <c r="CT232" s="1"/>
      <c r="CU232" s="1"/>
    </row>
    <row r="233" spans="1:99" s="13" customFormat="1" ht="12" customHeight="1" x14ac:dyDescent="0.2">
      <c r="A233" s="68">
        <v>43509</v>
      </c>
      <c r="B233" s="70" t="s">
        <v>143</v>
      </c>
      <c r="C233" s="70" t="s">
        <v>75</v>
      </c>
      <c r="D233" s="69">
        <v>2008</v>
      </c>
      <c r="E233" s="87">
        <v>2</v>
      </c>
      <c r="F233" s="69">
        <v>57</v>
      </c>
      <c r="G233" s="69">
        <v>57</v>
      </c>
      <c r="H233" s="69" t="s">
        <v>22</v>
      </c>
      <c r="I233" s="69" t="s">
        <v>648</v>
      </c>
      <c r="J233" s="69" t="s">
        <v>475</v>
      </c>
      <c r="K233" s="69">
        <f>IF(J233="syllables",1,IF(J233="trigrams",2,IF(J233="strings",3,IF(J233="visual array",4,IF(J233="characters",5,IF(J233="letters",6,IF(J233="free forms",7,IF(J233="odors",8,IF(J233="words",9,IF(J233="pictures",10,IF(J233="object pictures",11,IF(J233="faces",12,IF(J233="names",13,IF(J233="idioms",14,IF(J233="grades",15,IF(J233="syllable-digit pairs",16,IF(J233="trigram-word pairs",17,IF(J233="word-digit pairs",18,IF(J233="English-Swahili pairs",19,IF(J233="spatial position",20,IF(J233="word pairs",21,IF(J233="word triads",22,IF(J233="generated words",23,IF(J233="word definition pairs",24,IF(J233="math problems",25,IF(J233="famous faces",26,IF(J233="famous names",27,IF(J233="famous voices",28,IF(J233="television programs",29,IF(J233="race horses",30,IF(J233="new vocabulary",31,IF(J233="sentences",32,IF(J233="concepts",33,IF(J233="ad slides",34,IF(J233="scenes",35,IF(J233="famous scenes",36,IF(J233="poems",37,IF(J233="walk",38,IF(J233="faces and events",39,IF(J233="events and names",40,IF(J233="flashbulb",41,IF(J233="stories",42,IF(J233="course material",43,IF(J233="autobiographical",44,IF(J233="novels",45,IF(J233="public events",46,"99"))))))))))))))))))))))))))))))))))))))))))))))</f>
        <v>32</v>
      </c>
      <c r="L233" s="69">
        <f>IF(J233="syllables",1,IF(J233="trigrams",1,IF(J233="strings",1,IF(J233="visual array",1,IF(J233="characters",1,IF(J233="letters",1,IF(J233="free forms",1,IF(J233="odors",2,IF(J233="words",2,IF(J233="pictures",2,IF(J233="object pictures",2,IF(J233="faces",2,IF(J233="names",2,IF(J233="idioms","2",IF(J233="grades",2,IF(J233="syllable-digit pairs",3,IF(J233="trigram-word pairs",3,IF(J233="word-digit pairs",3,IF(J233="English-Swahili pairs",3,IF(J233="spatial position",3,IF(J233="word pairs",4,IF(J233="word triads",4,IF(J233="generated words",4,IF(J233="word definition pairs",4,IF(J233="math problems",4,IF(J233="famous faces",4,IF(J233="famous names",4,IF(J233="famous voices",4,IF(J233="television programs",4,IF(J233="race horses",4,IF(J233="new vocabulary",4,IF(J233="sentences",5,IF(J233="concepts",5,IF(J233="ad slides",5,IF(J233="scenes",5,IF(J233="famous scenes",5,IF(J233="poems",6,IF(J233="walk",6,IF(J233="faces and events",6,IF(J233="events and names",6,IF(J233="flashbulb",7,IF(J233="stories",7,IF(J233="course material",7,IF(J233="autobiographical",7,IF(J233="novels",7,IF(J233="public events",7,"99"))))))))))))))))))))))))))))))))))))))))))))))</f>
        <v>5</v>
      </c>
      <c r="M233" s="69">
        <v>1</v>
      </c>
      <c r="N233" s="69">
        <v>4</v>
      </c>
      <c r="O233" s="69">
        <v>0</v>
      </c>
      <c r="P233" s="69"/>
      <c r="Q233" s="69" t="s">
        <v>65</v>
      </c>
      <c r="R233" s="69">
        <f>IF(Q233="Free Recall",1,IF(Q233="Cued Recall",2,IF(Q233="Recognition",3,IF(Q233="Multiple Choice",4,IF(Q233="Savings",5,IF(Q233="Stem Completion",6,IF(Q233="Fragment Completion",7,IF(Q233="anagram solution",8,IF(Q233="Matching",9,IF(Q233="Problem Solving",10,"99"))))))))))</f>
        <v>2</v>
      </c>
      <c r="S233" s="69" t="s">
        <v>49</v>
      </c>
      <c r="T233" s="92" t="s">
        <v>581</v>
      </c>
      <c r="U233" s="69">
        <f>IF(T233="within",1,0)</f>
        <v>1</v>
      </c>
      <c r="V233" s="92">
        <v>60</v>
      </c>
      <c r="W233" s="69">
        <f>F233*V233</f>
        <v>3420</v>
      </c>
      <c r="X233" s="69">
        <v>6</v>
      </c>
      <c r="Y233" s="87">
        <f>AV232</f>
        <v>300</v>
      </c>
      <c r="Z233" s="69" t="s">
        <v>144</v>
      </c>
      <c r="AA233" s="69">
        <f>42*24*60*60</f>
        <v>3628800</v>
      </c>
      <c r="AB233" s="69" t="str">
        <f>IF(AA233&lt;60,"1",IF(AA233&lt;=43200,"2",IF(AA233&lt;=777600,"3","4")))</f>
        <v>4</v>
      </c>
      <c r="AC233" s="72">
        <f>AVERAGE(AV232:DA232)</f>
        <v>950450</v>
      </c>
      <c r="AD233" s="69" t="str">
        <f>IF(AC233&lt;60,"1",IF(AC233&lt;=43200,"2",IF(AC233&lt;=777600,"3","4")))</f>
        <v>4</v>
      </c>
      <c r="AE233" s="87">
        <f>AA233-Y233</f>
        <v>3628500</v>
      </c>
      <c r="AF233" s="88">
        <f>AV233</f>
        <v>0.96</v>
      </c>
      <c r="AG233" s="72">
        <f>((AW233-AV233)+(AX233-AW233)+(AY233-AX233)+(AZ233-AY233)+(BA233-AZ233))/5</f>
        <v>-0.11399999999999999</v>
      </c>
      <c r="AH233" s="4"/>
      <c r="AI233" s="72">
        <f>RSQ(AV233:BA233,AV232:BA232)</f>
        <v>0.97567546112004788</v>
      </c>
      <c r="AJ233" s="110">
        <f>SLOPE(AV233:BA233,AV232:BA232)</f>
        <v>-1.5366555640311439E-7</v>
      </c>
      <c r="AK233" s="72">
        <f>INTERCEPT(AV233:BA233,AV232:BA232)</f>
        <v>0.92771809475000666</v>
      </c>
      <c r="AL233" s="72">
        <f>INDEX(LINEST(LN(AV233:BA233),LN(AV232:BA232),TRUE,TRUE),3,1)</f>
        <v>0.43473281634337863</v>
      </c>
      <c r="AM233" s="72">
        <f>INDEX(LINEST(LN(AV233:BA233),LN(AV232:BA232)),1)</f>
        <v>-6.7845954926792254E-2</v>
      </c>
      <c r="AN233" s="72">
        <f>EXP(INDEX(LINEST(LN(AV233:BA233),LN(AV232:BA232)),1,2))</f>
        <v>1.682882842203467</v>
      </c>
      <c r="AO233" s="89">
        <f>INDEX(LINEST((AV233:BA233),LN(AV232:BA232),TRUE,TRUE),3,1)</f>
        <v>0.50585157755457111</v>
      </c>
      <c r="AP233" s="89">
        <f>INDEX(LINEST((AV233:BA233),LN(AV232:BA232)),1)</f>
        <v>-4.6094555357590425E-2</v>
      </c>
      <c r="AQ233" s="90">
        <f>INDEX(LINEST(LN(AV233:BA233),SQRT(AV232:BA232),TRUE,TRUE),3,1)</f>
        <v>0.92858684195072649</v>
      </c>
      <c r="AR233" s="117">
        <f>INDEX(LINEST(LN(AV233:BA233),SQRT((AV232:BA232))),1)</f>
        <v>-4.8520552958858414E-4</v>
      </c>
      <c r="AS233" s="91">
        <f>INDEX(LINEST(1/(AV233:BA233),1/(SQRT(AV232:BA232)),TRUE,TRUE),3,1)</f>
        <v>0.11549127967163347</v>
      </c>
      <c r="AT233" s="91">
        <f>INDEX(LINEST(1/(AV233:BA233),1/SQRT(AV232:BA232)),1)</f>
        <v>-8.6883061351228807</v>
      </c>
      <c r="AU233" s="3"/>
      <c r="AV233" s="73">
        <v>0.96</v>
      </c>
      <c r="AW233" s="73">
        <v>0.93</v>
      </c>
      <c r="AX233" s="73">
        <v>0.89</v>
      </c>
      <c r="AY233" s="73">
        <v>0.84</v>
      </c>
      <c r="AZ233" s="73">
        <v>0.68</v>
      </c>
      <c r="BA233" s="73">
        <v>0.39</v>
      </c>
      <c r="BB233" s="53"/>
      <c r="BC233" s="53"/>
      <c r="BD233" s="53"/>
      <c r="BE233" s="53"/>
      <c r="BF233" s="53"/>
      <c r="BG233" s="53"/>
      <c r="BH233" s="53"/>
      <c r="BI233" s="53"/>
      <c r="BJ233" s="53"/>
      <c r="BK233" s="53"/>
      <c r="BL233" s="53"/>
      <c r="BM233" s="53"/>
      <c r="BN233" s="53"/>
      <c r="BO233" s="53"/>
      <c r="BP233" s="53"/>
      <c r="BQ233" s="53"/>
      <c r="BR233" s="53"/>
      <c r="BS233" s="53"/>
      <c r="BT233" s="53"/>
      <c r="BU233" s="53"/>
      <c r="BV233" s="53"/>
      <c r="BW233" s="53"/>
      <c r="BX233" s="53"/>
      <c r="BY233" s="53"/>
      <c r="BZ233" s="53"/>
      <c r="CA233" s="53"/>
      <c r="CB233" s="53"/>
      <c r="CC233" s="53"/>
      <c r="CD233" s="53"/>
      <c r="CE233" s="53"/>
      <c r="CF233" s="53"/>
      <c r="CG233" s="53"/>
      <c r="CH233" s="53"/>
      <c r="CI233" s="53"/>
      <c r="CJ233" s="53"/>
      <c r="CK233" s="53"/>
      <c r="CL233" s="53"/>
      <c r="CM233" s="53"/>
      <c r="CN233" s="53"/>
      <c r="CO233" s="53"/>
      <c r="CP233" s="53"/>
      <c r="CQ233" s="53"/>
      <c r="CR233" s="1"/>
      <c r="CS233" s="1"/>
      <c r="CT233" s="1"/>
      <c r="CU233" s="1"/>
    </row>
    <row r="234" spans="1:99" s="13" customFormat="1" ht="12" customHeight="1" x14ac:dyDescent="0.2">
      <c r="A234" s="68">
        <v>43509</v>
      </c>
      <c r="B234" s="70"/>
      <c r="C234" s="70"/>
      <c r="D234" s="69"/>
      <c r="E234" s="87"/>
      <c r="F234" s="69"/>
      <c r="G234" s="69"/>
      <c r="H234" s="69"/>
      <c r="I234" s="69"/>
      <c r="J234" s="69"/>
      <c r="K234" s="107"/>
      <c r="L234" s="107"/>
      <c r="M234" s="69"/>
      <c r="N234" s="69"/>
      <c r="O234" s="69"/>
      <c r="P234" s="69"/>
      <c r="Q234" s="69"/>
      <c r="R234" s="69"/>
      <c r="S234" s="69"/>
      <c r="T234" s="69"/>
      <c r="U234" s="69"/>
      <c r="V234" s="69"/>
      <c r="W234" s="69"/>
      <c r="X234" s="69"/>
      <c r="Y234" s="87"/>
      <c r="Z234" s="69"/>
      <c r="AA234" s="69"/>
      <c r="AB234" s="69"/>
      <c r="AC234" s="69"/>
      <c r="AD234" s="69"/>
      <c r="AE234" s="69"/>
      <c r="AF234" s="88"/>
      <c r="AG234" s="72"/>
      <c r="AH234" s="4"/>
      <c r="AI234" s="72"/>
      <c r="AJ234" s="110"/>
      <c r="AK234" s="72"/>
      <c r="AL234" s="72"/>
      <c r="AM234" s="72"/>
      <c r="AN234" s="72"/>
      <c r="AO234" s="72"/>
      <c r="AP234" s="72"/>
      <c r="AQ234" s="72"/>
      <c r="AR234" s="110"/>
      <c r="AS234" s="72"/>
      <c r="AT234" s="72"/>
      <c r="AU234" s="3"/>
      <c r="AV234" s="71">
        <f>5*60</f>
        <v>300</v>
      </c>
      <c r="AW234" s="71">
        <f>24*60*60*1</f>
        <v>86400</v>
      </c>
      <c r="AX234" s="71">
        <f>24*60*60*2</f>
        <v>172800</v>
      </c>
      <c r="AY234" s="71">
        <f>24*60*60*7</f>
        <v>604800</v>
      </c>
      <c r="AZ234" s="71">
        <f>24*60*60*14</f>
        <v>1209600</v>
      </c>
      <c r="BA234" s="71">
        <f>24*60*60*42</f>
        <v>3628800</v>
      </c>
      <c r="BB234" s="53"/>
      <c r="BC234" s="53"/>
      <c r="BD234" s="53"/>
      <c r="BE234" s="53"/>
      <c r="BF234" s="53"/>
      <c r="BG234" s="53"/>
      <c r="BH234" s="53"/>
      <c r="BI234" s="53"/>
      <c r="BJ234" s="53"/>
      <c r="BK234" s="53"/>
      <c r="BL234" s="53"/>
      <c r="BM234" s="53"/>
      <c r="BN234" s="53"/>
      <c r="BO234" s="53"/>
      <c r="BP234" s="53"/>
      <c r="BQ234" s="53"/>
      <c r="BR234" s="53"/>
      <c r="BS234" s="53"/>
      <c r="BT234" s="53"/>
      <c r="BU234" s="53"/>
      <c r="BV234" s="53"/>
      <c r="BW234" s="53"/>
      <c r="BX234" s="53"/>
      <c r="BY234" s="53"/>
      <c r="BZ234" s="53"/>
      <c r="CA234" s="53"/>
      <c r="CB234" s="53"/>
      <c r="CC234" s="53"/>
      <c r="CD234" s="53"/>
      <c r="CE234" s="53"/>
      <c r="CF234" s="53"/>
      <c r="CG234" s="53"/>
      <c r="CH234" s="53"/>
      <c r="CI234" s="53"/>
      <c r="CJ234" s="53"/>
      <c r="CK234" s="53"/>
      <c r="CL234" s="53"/>
      <c r="CM234" s="53"/>
      <c r="CN234" s="53"/>
      <c r="CO234" s="53"/>
      <c r="CP234" s="53"/>
      <c r="CQ234" s="53"/>
      <c r="CR234" s="1"/>
      <c r="CS234" s="1"/>
      <c r="CT234" s="1"/>
      <c r="CU234" s="1"/>
    </row>
    <row r="235" spans="1:99" s="13" customFormat="1" ht="12" customHeight="1" x14ac:dyDescent="0.2">
      <c r="A235" s="68">
        <v>43509</v>
      </c>
      <c r="B235" s="70" t="s">
        <v>143</v>
      </c>
      <c r="C235" s="70" t="s">
        <v>75</v>
      </c>
      <c r="D235" s="69">
        <v>2008</v>
      </c>
      <c r="E235" s="87">
        <v>2</v>
      </c>
      <c r="F235" s="69">
        <v>57</v>
      </c>
      <c r="G235" s="69">
        <v>57</v>
      </c>
      <c r="H235" s="69" t="s">
        <v>22</v>
      </c>
      <c r="I235" s="69" t="s">
        <v>649</v>
      </c>
      <c r="J235" s="69" t="s">
        <v>475</v>
      </c>
      <c r="K235" s="69">
        <f>IF(J235="syllables",1,IF(J235="trigrams",2,IF(J235="strings",3,IF(J235="visual array",4,IF(J235="characters",5,IF(J235="letters",6,IF(J235="free forms",7,IF(J235="odors",8,IF(J235="words",9,IF(J235="pictures",10,IF(J235="object pictures",11,IF(J235="faces",12,IF(J235="names",13,IF(J235="idioms",14,IF(J235="grades",15,IF(J235="syllable-digit pairs",16,IF(J235="trigram-word pairs",17,IF(J235="word-digit pairs",18,IF(J235="English-Swahili pairs",19,IF(J235="spatial position",20,IF(J235="word pairs",21,IF(J235="word triads",22,IF(J235="generated words",23,IF(J235="word definition pairs",24,IF(J235="math problems",25,IF(J235="famous faces",26,IF(J235="famous names",27,IF(J235="famous voices",28,IF(J235="television programs",29,IF(J235="race horses",30,IF(J235="new vocabulary",31,IF(J235="sentences",32,IF(J235="concepts",33,IF(J235="ad slides",34,IF(J235="scenes",35,IF(J235="famous scenes",36,IF(J235="poems",37,IF(J235="walk",38,IF(J235="faces and events",39,IF(J235="events and names",40,IF(J235="flashbulb",41,IF(J235="stories",42,IF(J235="course material",43,IF(J235="autobiographical",44,IF(J235="novels",45,IF(J235="public events",46,"99"))))))))))))))))))))))))))))))))))))))))))))))</f>
        <v>32</v>
      </c>
      <c r="L235" s="69">
        <f>IF(J235="syllables",1,IF(J235="trigrams",1,IF(J235="strings",1,IF(J235="visual array",1,IF(J235="characters",1,IF(J235="letters",1,IF(J235="free forms",1,IF(J235="odors",2,IF(J235="words",2,IF(J235="pictures",2,IF(J235="object pictures",2,IF(J235="faces",2,IF(J235="names",2,IF(J235="idioms","2",IF(J235="grades",2,IF(J235="syllable-digit pairs",3,IF(J235="trigram-word pairs",3,IF(J235="word-digit pairs",3,IF(J235="English-Swahili pairs",3,IF(J235="spatial position",3,IF(J235="word pairs",4,IF(J235="word triads",4,IF(J235="generated words",4,IF(J235="word definition pairs",4,IF(J235="math problems",4,IF(J235="famous faces",4,IF(J235="famous names",4,IF(J235="famous voices",4,IF(J235="television programs",4,IF(J235="race horses",4,IF(J235="new vocabulary",4,IF(J235="sentences",5,IF(J235="concepts",5,IF(J235="ad slides",5,IF(J235="scenes",5,IF(J235="famous scenes",5,IF(J235="poems",6,IF(J235="walk",6,IF(J235="faces and events",6,IF(J235="events and names",6,IF(J235="flashbulb",7,IF(J235="stories",7,IF(J235="course material",7,IF(J235="autobiographical",7,IF(J235="novels",7,IF(J235="public events",7,"99"))))))))))))))))))))))))))))))))))))))))))))))</f>
        <v>5</v>
      </c>
      <c r="M235" s="69">
        <v>1</v>
      </c>
      <c r="N235" s="69">
        <v>4</v>
      </c>
      <c r="O235" s="69">
        <v>0</v>
      </c>
      <c r="P235" s="69"/>
      <c r="Q235" s="69" t="s">
        <v>65</v>
      </c>
      <c r="R235" s="69">
        <f>IF(Q235="Free Recall",1,IF(Q235="Cued Recall",2,IF(Q235="Recognition",3,IF(Q235="Multiple Choice",4,IF(Q235="Savings",5,IF(Q235="Stem Completion",6,IF(Q235="Fragment Completion",7,IF(Q235="anagram solution",8,IF(Q235="Matching",9,IF(Q235="Problem Solving",10,"99"))))))))))</f>
        <v>2</v>
      </c>
      <c r="S235" s="69" t="s">
        <v>49</v>
      </c>
      <c r="T235" s="92" t="s">
        <v>581</v>
      </c>
      <c r="U235" s="69">
        <f>IF(T235="within",1,0)</f>
        <v>1</v>
      </c>
      <c r="V235" s="92">
        <v>60</v>
      </c>
      <c r="W235" s="69">
        <f>F235*V235</f>
        <v>3420</v>
      </c>
      <c r="X235" s="69">
        <v>6</v>
      </c>
      <c r="Y235" s="87">
        <f>AV234</f>
        <v>300</v>
      </c>
      <c r="Z235" s="69" t="s">
        <v>144</v>
      </c>
      <c r="AA235" s="69">
        <f>42*24*60*60</f>
        <v>3628800</v>
      </c>
      <c r="AB235" s="69" t="str">
        <f>IF(AA235&lt;60,"1",IF(AA235&lt;=43200,"2",IF(AA235&lt;=777600,"3","4")))</f>
        <v>4</v>
      </c>
      <c r="AC235" s="72">
        <f>AVERAGE(AV234:DA234)</f>
        <v>950450</v>
      </c>
      <c r="AD235" s="69" t="str">
        <f>IF(AC235&lt;60,"1",IF(AC235&lt;=43200,"2",IF(AC235&lt;=777600,"3","4")))</f>
        <v>4</v>
      </c>
      <c r="AE235" s="87">
        <f>AA235-Y235</f>
        <v>3628500</v>
      </c>
      <c r="AF235" s="88">
        <f>AV235</f>
        <v>0.93</v>
      </c>
      <c r="AG235" s="72">
        <f>((AW235-AV235)+(AX235-AW235)+(AY235-AX235)+(AZ235-AY235)+(BA235-AZ235))/5</f>
        <v>-0.11400000000000002</v>
      </c>
      <c r="AH235" s="4"/>
      <c r="AI235" s="72">
        <f>RSQ(AV235:BA235,AV234:BA234)</f>
        <v>0.85493541604825107</v>
      </c>
      <c r="AJ235" s="110">
        <f>SLOPE(AV235:BA235,AV234:BA234)</f>
        <v>-1.489011421422698E-7</v>
      </c>
      <c r="AK235" s="72">
        <f>INTERCEPT(AV235:BA235,AV234:BA234)</f>
        <v>0.84485642388245363</v>
      </c>
      <c r="AL235" s="72">
        <f>INDEX(LINEST(LN(AV235:BA235),LN(AV234:BA234),TRUE,TRUE),3,1)</f>
        <v>0.56189155602929042</v>
      </c>
      <c r="AM235" s="72">
        <f>INDEX(LINEST(LN(AV235:BA235),LN(AV234:BA234)),1)</f>
        <v>-8.297968446750012E-2</v>
      </c>
      <c r="AN235" s="72">
        <f>EXP(INDEX(LINEST(LN(AV235:BA235),LN(AV234:BA234)),1,2))</f>
        <v>1.797694456213542</v>
      </c>
      <c r="AO235" s="89">
        <f>INDEX(LINEST((AV235:BA235),LN(AV234:BA234),TRUE,TRUE),3,1)</f>
        <v>0.63538048532245084</v>
      </c>
      <c r="AP235" s="89">
        <f>INDEX(LINEST((AV235:BA235),LN(AV234:BA234)),1)</f>
        <v>-5.3476447006060905E-2</v>
      </c>
      <c r="AQ235" s="90">
        <f>INDEX(LINEST(LN(AV235:BA235),SQRT(AV234:BA234),TRUE,TRUE),3,1)</f>
        <v>0.97870208989889174</v>
      </c>
      <c r="AR235" s="117">
        <f>INDEX(LINEST(LN(AV235:BA235),SQRT((AV234:BA234))),1)</f>
        <v>-5.3588612901461308E-4</v>
      </c>
      <c r="AS235" s="91">
        <f>INDEX(LINEST(1/(AV235:BA235),1/(SQRT(AV234:BA234)),TRUE,TRUE),3,1)</f>
        <v>0.17480899645548734</v>
      </c>
      <c r="AT235" s="91">
        <f>INDEX(LINEST(1/(AV235:BA235),1/SQRT(AV234:BA234)),1)</f>
        <v>-12.019095779709707</v>
      </c>
      <c r="AU235" s="3"/>
      <c r="AV235" s="73">
        <v>0.93</v>
      </c>
      <c r="AW235" s="73">
        <v>0.87</v>
      </c>
      <c r="AX235" s="73">
        <v>0.84</v>
      </c>
      <c r="AY235" s="73">
        <v>0.7</v>
      </c>
      <c r="AZ235" s="73">
        <v>0.52</v>
      </c>
      <c r="BA235" s="73">
        <v>0.36</v>
      </c>
      <c r="BB235" s="53"/>
      <c r="BC235" s="53"/>
      <c r="BD235" s="53"/>
      <c r="BE235" s="53"/>
      <c r="BF235" s="53"/>
      <c r="BG235" s="53"/>
      <c r="BH235" s="53"/>
      <c r="BI235" s="53"/>
      <c r="BJ235" s="53"/>
      <c r="BK235" s="53"/>
      <c r="BL235" s="53"/>
      <c r="BM235" s="53"/>
      <c r="BN235" s="53"/>
      <c r="BO235" s="53"/>
      <c r="BP235" s="53"/>
      <c r="BQ235" s="53"/>
      <c r="BR235" s="53"/>
      <c r="BS235" s="53"/>
      <c r="BT235" s="53"/>
      <c r="BU235" s="53"/>
      <c r="BV235" s="53"/>
      <c r="BW235" s="53"/>
      <c r="BX235" s="53"/>
      <c r="BY235" s="53"/>
      <c r="BZ235" s="53"/>
      <c r="CA235" s="53"/>
      <c r="CB235" s="53"/>
      <c r="CC235" s="53"/>
      <c r="CD235" s="53"/>
      <c r="CE235" s="53"/>
      <c r="CF235" s="53"/>
      <c r="CG235" s="53"/>
      <c r="CH235" s="53"/>
      <c r="CI235" s="53"/>
      <c r="CJ235" s="53"/>
      <c r="CK235" s="53"/>
      <c r="CL235" s="53"/>
      <c r="CM235" s="53"/>
      <c r="CN235" s="53"/>
      <c r="CO235" s="53"/>
      <c r="CP235" s="53"/>
      <c r="CQ235" s="53"/>
      <c r="CR235" s="1"/>
      <c r="CS235" s="1"/>
      <c r="CT235" s="1"/>
      <c r="CU235" s="1"/>
    </row>
    <row r="236" spans="1:99" s="13" customFormat="1" ht="12" customHeight="1" x14ac:dyDescent="0.2">
      <c r="A236" s="68">
        <v>43509</v>
      </c>
      <c r="B236" s="70"/>
      <c r="C236" s="70"/>
      <c r="D236" s="69"/>
      <c r="E236" s="87"/>
      <c r="F236" s="69"/>
      <c r="G236" s="69"/>
      <c r="H236" s="69"/>
      <c r="I236" s="69"/>
      <c r="J236" s="69"/>
      <c r="K236" s="107"/>
      <c r="L236" s="107"/>
      <c r="M236" s="69"/>
      <c r="N236" s="69"/>
      <c r="O236" s="69"/>
      <c r="P236" s="69"/>
      <c r="Q236" s="69"/>
      <c r="R236" s="69"/>
      <c r="S236" s="69"/>
      <c r="T236" s="69"/>
      <c r="U236" s="69"/>
      <c r="V236" s="69"/>
      <c r="W236" s="69"/>
      <c r="X236" s="69"/>
      <c r="Y236" s="87"/>
      <c r="Z236" s="69"/>
      <c r="AA236" s="69"/>
      <c r="AB236" s="69"/>
      <c r="AC236" s="69"/>
      <c r="AD236" s="69"/>
      <c r="AE236" s="69"/>
      <c r="AF236" s="88"/>
      <c r="AG236" s="72"/>
      <c r="AH236" s="4"/>
      <c r="AI236" s="72"/>
      <c r="AJ236" s="110"/>
      <c r="AK236" s="72"/>
      <c r="AL236" s="72"/>
      <c r="AM236" s="72"/>
      <c r="AN236" s="72"/>
      <c r="AO236" s="72"/>
      <c r="AP236" s="72"/>
      <c r="AQ236" s="72"/>
      <c r="AR236" s="110"/>
      <c r="AS236" s="72"/>
      <c r="AT236" s="72"/>
      <c r="AU236" s="3"/>
      <c r="AV236" s="71">
        <f>5*60</f>
        <v>300</v>
      </c>
      <c r="AW236" s="71">
        <f>24*60*60*1</f>
        <v>86400</v>
      </c>
      <c r="AX236" s="71">
        <f>24*60*60*2</f>
        <v>172800</v>
      </c>
      <c r="AY236" s="71">
        <f>24*60*60*7</f>
        <v>604800</v>
      </c>
      <c r="AZ236" s="71">
        <f>24*60*60*14</f>
        <v>1209600</v>
      </c>
      <c r="BA236" s="71">
        <f>24*60*60*42</f>
        <v>3628800</v>
      </c>
      <c r="BB236" s="53"/>
      <c r="BC236" s="53"/>
      <c r="BD236" s="53"/>
      <c r="BE236" s="53"/>
      <c r="BF236" s="53"/>
      <c r="BG236" s="53"/>
      <c r="BH236" s="53"/>
      <c r="BI236" s="53"/>
      <c r="BJ236" s="53"/>
      <c r="BK236" s="53"/>
      <c r="BL236" s="53"/>
      <c r="BM236" s="53"/>
      <c r="BN236" s="53"/>
      <c r="BO236" s="53"/>
      <c r="BP236" s="53"/>
      <c r="BQ236" s="53"/>
      <c r="BR236" s="53"/>
      <c r="BS236" s="53"/>
      <c r="BT236" s="53"/>
      <c r="BU236" s="53"/>
      <c r="BV236" s="53"/>
      <c r="BW236" s="53"/>
      <c r="BX236" s="53"/>
      <c r="BY236" s="53"/>
      <c r="BZ236" s="53"/>
      <c r="CA236" s="53"/>
      <c r="CB236" s="53"/>
      <c r="CC236" s="53"/>
      <c r="CD236" s="53"/>
      <c r="CE236" s="53"/>
      <c r="CF236" s="53"/>
      <c r="CG236" s="53"/>
      <c r="CH236" s="53"/>
      <c r="CI236" s="53"/>
      <c r="CJ236" s="53"/>
      <c r="CK236" s="53"/>
      <c r="CL236" s="53"/>
      <c r="CM236" s="53"/>
      <c r="CN236" s="53"/>
      <c r="CO236" s="53"/>
      <c r="CP236" s="53"/>
      <c r="CQ236" s="53"/>
      <c r="CR236" s="1"/>
      <c r="CS236" s="1"/>
      <c r="CT236" s="1"/>
      <c r="CU236" s="1"/>
    </row>
    <row r="237" spans="1:99" s="13" customFormat="1" ht="12" customHeight="1" x14ac:dyDescent="0.2">
      <c r="A237" s="68">
        <v>43509</v>
      </c>
      <c r="B237" s="70" t="s">
        <v>143</v>
      </c>
      <c r="C237" s="70" t="s">
        <v>75</v>
      </c>
      <c r="D237" s="69">
        <v>2008</v>
      </c>
      <c r="E237" s="87">
        <v>3</v>
      </c>
      <c r="F237" s="69">
        <v>54</v>
      </c>
      <c r="G237" s="69">
        <v>54</v>
      </c>
      <c r="H237" s="69" t="s">
        <v>22</v>
      </c>
      <c r="I237" s="69" t="s">
        <v>648</v>
      </c>
      <c r="J237" s="69" t="s">
        <v>490</v>
      </c>
      <c r="K237" s="69">
        <f>IF(J237="syllables",1,IF(J237="trigrams",2,IF(J237="strings",3,IF(J237="visual array",4,IF(J237="characters",5,IF(J237="letters",6,IF(J237="free forms",7,IF(J237="odors",8,IF(J237="words",9,IF(J237="pictures",10,IF(J237="object pictures",11,IF(J237="faces",12,IF(J237="names",13,IF(J237="idioms",14,IF(J237="grades",15,IF(J237="syllable-digit pairs",16,IF(J237="trigram-word pairs",17,IF(J237="word-digit pairs",18,IF(J237="English-Swahili pairs",19,IF(J237="spatial position",20,IF(J237="word pairs",21,IF(J237="word triads",22,IF(J237="generated words",23,IF(J237="word definition pairs",24,IF(J237="math problems",25,IF(J237="famous faces",26,IF(J237="famous names",27,IF(J237="famous voices",28,IF(J237="television programs",29,IF(J237="race horses",30,IF(J237="new vocabulary",31,IF(J237="sentences",32,IF(J237="concepts",33,IF(J237="ad slides",34,IF(J237="scenes",35,IF(J237="famous scenes",36,IF(J237="poems",37,IF(J237="walk",38,IF(J237="faces and events",39,IF(J237="events and names",40,IF(J237="flashbulb",41,IF(J237="stories",42,IF(J237="course material",43,IF(J237="autobiographical",44,IF(J237="novels",45,IF(J237="public events",46,"99"))))))))))))))))))))))))))))))))))))))))))))))</f>
        <v>19</v>
      </c>
      <c r="L237" s="69">
        <f>IF(J237="syllables",1,IF(J237="trigrams",1,IF(J237="strings",1,IF(J237="visual array",1,IF(J237="characters",1,IF(J237="letters",1,IF(J237="free forms",1,IF(J237="odors",2,IF(J237="words",2,IF(J237="pictures",2,IF(J237="object pictures",2,IF(J237="faces",2,IF(J237="names",2,IF(J237="idioms","2",IF(J237="grades",2,IF(J237="syllable-digit pairs",3,IF(J237="trigram-word pairs",3,IF(J237="word-digit pairs",3,IF(J237="English-Swahili pairs",3,IF(J237="spatial position",3,IF(J237="word pairs",4,IF(J237="word triads",4,IF(J237="generated words",4,IF(J237="word definition pairs",4,IF(J237="math problems",4,IF(J237="famous faces",4,IF(J237="famous names",4,IF(J237="famous voices",4,IF(J237="television programs",4,IF(J237="race horses",4,IF(J237="new vocabulary",4,IF(J237="sentences",5,IF(J237="concepts",5,IF(J237="ad slides",5,IF(J237="scenes",5,IF(J237="famous scenes",5,IF(J237="poems",6,IF(J237="walk",6,IF(J237="faces and events",6,IF(J237="events and names",6,IF(J237="flashbulb",7,IF(J237="stories",7,IF(J237="course material",7,IF(J237="autobiographical",7,IF(J237="novels",7,IF(J237="public events",7,"99"))))))))))))))))))))))))))))))))))))))))))))))</f>
        <v>3</v>
      </c>
      <c r="M237" s="69">
        <v>1</v>
      </c>
      <c r="N237" s="69">
        <v>2</v>
      </c>
      <c r="O237" s="69">
        <v>0</v>
      </c>
      <c r="P237" s="69"/>
      <c r="Q237" s="69" t="s">
        <v>65</v>
      </c>
      <c r="R237" s="69">
        <f>IF(Q237="Free Recall",1,IF(Q237="Cued Recall",2,IF(Q237="Recognition",3,IF(Q237="Multiple Choice",4,IF(Q237="Savings",5,IF(Q237="Stem Completion",6,IF(Q237="Fragment Completion",7,IF(Q237="anagram solution",8,IF(Q237="Matching",9,IF(Q237="Problem Solving",10,"99"))))))))))</f>
        <v>2</v>
      </c>
      <c r="S237" s="69" t="s">
        <v>49</v>
      </c>
      <c r="T237" s="92" t="s">
        <v>581</v>
      </c>
      <c r="U237" s="69">
        <f>IF(T237="within",1,0)</f>
        <v>1</v>
      </c>
      <c r="V237" s="92">
        <v>60</v>
      </c>
      <c r="W237" s="69">
        <f>F237*V237</f>
        <v>3240</v>
      </c>
      <c r="X237" s="69">
        <v>6</v>
      </c>
      <c r="Y237" s="87">
        <f>AV236</f>
        <v>300</v>
      </c>
      <c r="Z237" s="69" t="s">
        <v>144</v>
      </c>
      <c r="AA237" s="69">
        <f>42*24*60*60</f>
        <v>3628800</v>
      </c>
      <c r="AB237" s="69" t="str">
        <f>IF(AA237&lt;60,"1",IF(AA237&lt;=43200,"2",IF(AA237&lt;=777600,"3","4")))</f>
        <v>4</v>
      </c>
      <c r="AC237" s="72">
        <f>AVERAGE(AV236:DA236)</f>
        <v>950450</v>
      </c>
      <c r="AD237" s="69" t="str">
        <f>IF(AC237&lt;60,"1",IF(AC237&lt;=43200,"2",IF(AC237&lt;=777600,"3","4")))</f>
        <v>4</v>
      </c>
      <c r="AE237" s="87">
        <f>AA237-Y237</f>
        <v>3628500</v>
      </c>
      <c r="AF237" s="88">
        <f>AV237</f>
        <v>0.59</v>
      </c>
      <c r="AG237" s="72">
        <f>((AW237-AV237)+(AX237-AW237)+(AY237-AX237)+(AZ237-AY237)+(BA237-AZ237))/5</f>
        <v>-7.9999999999999988E-2</v>
      </c>
      <c r="AH237" s="4"/>
      <c r="AI237" s="72">
        <f>RSQ(AV237:BA237,AV236:BA236)</f>
        <v>0.60487284939678887</v>
      </c>
      <c r="AJ237" s="110">
        <f>SLOPE(AV237:BA237,AV236:BA236)</f>
        <v>-8.1231877190821289E-8</v>
      </c>
      <c r="AK237" s="72">
        <f>INTERCEPT(AV237:BA237,AV236:BA236)</f>
        <v>0.43887350434268274</v>
      </c>
      <c r="AL237" s="72">
        <f>INDEX(LINEST(LN(AV237:BA237),LN(AV236:BA236),TRUE,TRUE),3,1)</f>
        <v>0.82315908489974188</v>
      </c>
      <c r="AM237" s="72">
        <f>INDEX(LINEST(LN(AV237:BA237),LN(AV236:BA236)),1)</f>
        <v>-0.11189128699965727</v>
      </c>
      <c r="AN237" s="72">
        <f>EXP(INDEX(LINEST(LN(AV237:BA237),LN(AV236:BA236)),1,2))</f>
        <v>1.2823122699988281</v>
      </c>
      <c r="AO237" s="89">
        <f>INDEX(LINEST((AV237:BA237),LN(AV236:BA236),TRUE,TRUE),3,1)</f>
        <v>0.92306306726375076</v>
      </c>
      <c r="AP237" s="89">
        <f>INDEX(LINEST((AV237:BA237),LN(AV236:BA236)),1)</f>
        <v>-4.1804628204079639E-2</v>
      </c>
      <c r="AQ237" s="90">
        <f>INDEX(LINEST(LN(AV237:BA237),SQRT(AV236:BA236),TRUE,TRUE),3,1)</f>
        <v>0.94406715125454088</v>
      </c>
      <c r="AR237" s="117">
        <f>INDEX(LINEST(LN(AV237:BA237),SQRT((AV236:BA236))),1)</f>
        <v>-5.8635084646039312E-4</v>
      </c>
      <c r="AS237" s="91">
        <f>INDEX(LINEST(1/(AV237:BA237),1/(SQRT(AV236:BA236)),TRUE,TRUE),3,1)</f>
        <v>0.34772134038205482</v>
      </c>
      <c r="AT237" s="91">
        <f>INDEX(LINEST(1/(AV237:BA237),1/SQRT(AV236:BA236)),1)</f>
        <v>-33.615943917135517</v>
      </c>
      <c r="AU237" s="3"/>
      <c r="AV237" s="73">
        <v>0.59</v>
      </c>
      <c r="AW237" s="73">
        <v>0.43</v>
      </c>
      <c r="AX237" s="73">
        <v>0.41</v>
      </c>
      <c r="AY237" s="73">
        <v>0.3</v>
      </c>
      <c r="AZ237" s="73">
        <v>0.25</v>
      </c>
      <c r="BA237" s="73">
        <v>0.19</v>
      </c>
      <c r="BB237" s="53"/>
      <c r="BC237" s="53"/>
      <c r="BD237" s="53"/>
      <c r="BE237" s="53"/>
      <c r="BF237" s="53"/>
      <c r="BG237" s="53"/>
      <c r="BH237" s="53"/>
      <c r="BI237" s="53"/>
      <c r="BJ237" s="53"/>
      <c r="BK237" s="53"/>
      <c r="BL237" s="53"/>
      <c r="BM237" s="53"/>
      <c r="BN237" s="53"/>
      <c r="BO237" s="53"/>
      <c r="BP237" s="53"/>
      <c r="BQ237" s="53"/>
      <c r="BR237" s="53"/>
      <c r="BS237" s="53"/>
      <c r="BT237" s="53"/>
      <c r="BU237" s="53"/>
      <c r="BV237" s="53"/>
      <c r="BW237" s="53"/>
      <c r="BX237" s="53"/>
      <c r="BY237" s="53"/>
      <c r="BZ237" s="53"/>
      <c r="CA237" s="53"/>
      <c r="CB237" s="53"/>
      <c r="CC237" s="53"/>
      <c r="CD237" s="53"/>
      <c r="CE237" s="53"/>
      <c r="CF237" s="53"/>
      <c r="CG237" s="53"/>
      <c r="CH237" s="53"/>
      <c r="CI237" s="53"/>
      <c r="CJ237" s="53"/>
      <c r="CK237" s="53"/>
      <c r="CL237" s="53"/>
      <c r="CM237" s="53"/>
      <c r="CN237" s="53"/>
      <c r="CO237" s="53"/>
      <c r="CP237" s="53"/>
      <c r="CQ237" s="53"/>
      <c r="CR237" s="1"/>
      <c r="CS237" s="1"/>
      <c r="CT237" s="1"/>
      <c r="CU237" s="1"/>
    </row>
    <row r="238" spans="1:99" s="13" customFormat="1" ht="12" customHeight="1" x14ac:dyDescent="0.2">
      <c r="A238" s="68">
        <v>43509</v>
      </c>
      <c r="B238" s="70"/>
      <c r="C238" s="70"/>
      <c r="D238" s="69"/>
      <c r="E238" s="87"/>
      <c r="F238" s="69"/>
      <c r="G238" s="69"/>
      <c r="H238" s="69"/>
      <c r="I238" s="69"/>
      <c r="J238" s="69"/>
      <c r="K238" s="107"/>
      <c r="L238" s="107"/>
      <c r="M238" s="69"/>
      <c r="N238" s="69"/>
      <c r="O238" s="69"/>
      <c r="P238" s="69"/>
      <c r="Q238" s="69"/>
      <c r="R238" s="69"/>
      <c r="S238" s="69"/>
      <c r="T238" s="69"/>
      <c r="U238" s="69"/>
      <c r="V238" s="69"/>
      <c r="W238" s="69"/>
      <c r="X238" s="69"/>
      <c r="Y238" s="87"/>
      <c r="Z238" s="69"/>
      <c r="AA238" s="69"/>
      <c r="AB238" s="69"/>
      <c r="AC238" s="69"/>
      <c r="AD238" s="69"/>
      <c r="AE238" s="69"/>
      <c r="AF238" s="88"/>
      <c r="AG238" s="72"/>
      <c r="AH238" s="4"/>
      <c r="AI238" s="72"/>
      <c r="AJ238" s="110"/>
      <c r="AK238" s="72"/>
      <c r="AL238" s="72"/>
      <c r="AM238" s="72"/>
      <c r="AN238" s="72"/>
      <c r="AO238" s="72"/>
      <c r="AP238" s="72"/>
      <c r="AQ238" s="72"/>
      <c r="AR238" s="110"/>
      <c r="AS238" s="72"/>
      <c r="AT238" s="72"/>
      <c r="AU238" s="3"/>
      <c r="AV238" s="71">
        <f>5*60</f>
        <v>300</v>
      </c>
      <c r="AW238" s="71">
        <f>24*60*60*1</f>
        <v>86400</v>
      </c>
      <c r="AX238" s="71">
        <f>24*60*60*2</f>
        <v>172800</v>
      </c>
      <c r="AY238" s="71">
        <f>24*60*60*7</f>
        <v>604800</v>
      </c>
      <c r="AZ238" s="71">
        <f>24*60*60*14</f>
        <v>1209600</v>
      </c>
      <c r="BA238" s="71">
        <f>24*60*60*42</f>
        <v>3628800</v>
      </c>
      <c r="BB238" s="53"/>
      <c r="BC238" s="53"/>
      <c r="BD238" s="53"/>
      <c r="BE238" s="53"/>
      <c r="BF238" s="53"/>
      <c r="BG238" s="53"/>
      <c r="BH238" s="53"/>
      <c r="BI238" s="53"/>
      <c r="BJ238" s="53"/>
      <c r="BK238" s="53"/>
      <c r="BL238" s="53"/>
      <c r="BM238" s="53"/>
      <c r="BN238" s="53"/>
      <c r="BO238" s="53"/>
      <c r="BP238" s="53"/>
      <c r="BQ238" s="53"/>
      <c r="BR238" s="53"/>
      <c r="BS238" s="53"/>
      <c r="BT238" s="53"/>
      <c r="BU238" s="53"/>
      <c r="BV238" s="53"/>
      <c r="BW238" s="53"/>
      <c r="BX238" s="53"/>
      <c r="BY238" s="53"/>
      <c r="BZ238" s="53"/>
      <c r="CA238" s="53"/>
      <c r="CB238" s="53"/>
      <c r="CC238" s="53"/>
      <c r="CD238" s="53"/>
      <c r="CE238" s="53"/>
      <c r="CF238" s="53"/>
      <c r="CG238" s="53"/>
      <c r="CH238" s="53"/>
      <c r="CI238" s="53"/>
      <c r="CJ238" s="53"/>
      <c r="CK238" s="53"/>
      <c r="CL238" s="53"/>
      <c r="CM238" s="53"/>
      <c r="CN238" s="53"/>
      <c r="CO238" s="53"/>
      <c r="CP238" s="53"/>
      <c r="CQ238" s="53"/>
      <c r="CR238" s="1"/>
      <c r="CS238" s="1"/>
      <c r="CT238" s="1"/>
      <c r="CU238" s="1"/>
    </row>
    <row r="239" spans="1:99" s="13" customFormat="1" ht="12" customHeight="1" x14ac:dyDescent="0.2">
      <c r="A239" s="68">
        <v>43509</v>
      </c>
      <c r="B239" s="70" t="s">
        <v>143</v>
      </c>
      <c r="C239" s="70" t="s">
        <v>75</v>
      </c>
      <c r="D239" s="69">
        <v>2008</v>
      </c>
      <c r="E239" s="87">
        <v>3</v>
      </c>
      <c r="F239" s="69">
        <v>54</v>
      </c>
      <c r="G239" s="69">
        <v>54</v>
      </c>
      <c r="H239" s="69" t="s">
        <v>22</v>
      </c>
      <c r="I239" s="69" t="s">
        <v>649</v>
      </c>
      <c r="J239" s="69" t="s">
        <v>490</v>
      </c>
      <c r="K239" s="69">
        <f>IF(J239="syllables",1,IF(J239="trigrams",2,IF(J239="strings",3,IF(J239="visual array",4,IF(J239="characters",5,IF(J239="letters",6,IF(J239="free forms",7,IF(J239="odors",8,IF(J239="words",9,IF(J239="pictures",10,IF(J239="object pictures",11,IF(J239="faces",12,IF(J239="names",13,IF(J239="idioms",14,IF(J239="grades",15,IF(J239="syllable-digit pairs",16,IF(J239="trigram-word pairs",17,IF(J239="word-digit pairs",18,IF(J239="English-Swahili pairs",19,IF(J239="spatial position",20,IF(J239="word pairs",21,IF(J239="word triads",22,IF(J239="generated words",23,IF(J239="word definition pairs",24,IF(J239="math problems",25,IF(J239="famous faces",26,IF(J239="famous names",27,IF(J239="famous voices",28,IF(J239="television programs",29,IF(J239="race horses",30,IF(J239="new vocabulary",31,IF(J239="sentences",32,IF(J239="concepts",33,IF(J239="ad slides",34,IF(J239="scenes",35,IF(J239="famous scenes",36,IF(J239="poems",37,IF(J239="walk",38,IF(J239="faces and events",39,IF(J239="events and names",40,IF(J239="flashbulb",41,IF(J239="stories",42,IF(J239="course material",43,IF(J239="autobiographical",44,IF(J239="novels",45,IF(J239="public events",46,"99"))))))))))))))))))))))))))))))))))))))))))))))</f>
        <v>19</v>
      </c>
      <c r="L239" s="69">
        <f>IF(J239="syllables",1,IF(J239="trigrams",1,IF(J239="strings",1,IF(J239="visual array",1,IF(J239="characters",1,IF(J239="letters",1,IF(J239="free forms",1,IF(J239="odors",2,IF(J239="words",2,IF(J239="pictures",2,IF(J239="object pictures",2,IF(J239="faces",2,IF(J239="names",2,IF(J239="idioms","2",IF(J239="grades",2,IF(J239="syllable-digit pairs",3,IF(J239="trigram-word pairs",3,IF(J239="word-digit pairs",3,IF(J239="English-Swahili pairs",3,IF(J239="spatial position",3,IF(J239="word pairs",4,IF(J239="word triads",4,IF(J239="generated words",4,IF(J239="word definition pairs",4,IF(J239="math problems",4,IF(J239="famous faces",4,IF(J239="famous names",4,IF(J239="famous voices",4,IF(J239="television programs",4,IF(J239="race horses",4,IF(J239="new vocabulary",4,IF(J239="sentences",5,IF(J239="concepts",5,IF(J239="ad slides",5,IF(J239="scenes",5,IF(J239="famous scenes",5,IF(J239="poems",6,IF(J239="walk",6,IF(J239="faces and events",6,IF(J239="events and names",6,IF(J239="flashbulb",7,IF(J239="stories",7,IF(J239="course material",7,IF(J239="autobiographical",7,IF(J239="novels",7,IF(J239="public events",7,"99"))))))))))))))))))))))))))))))))))))))))))))))</f>
        <v>3</v>
      </c>
      <c r="M239" s="69">
        <v>1</v>
      </c>
      <c r="N239" s="69">
        <v>2</v>
      </c>
      <c r="O239" s="69">
        <v>0</v>
      </c>
      <c r="P239" s="69"/>
      <c r="Q239" s="69" t="s">
        <v>65</v>
      </c>
      <c r="R239" s="69">
        <f>IF(Q239="Free Recall",1,IF(Q239="Cued Recall",2,IF(Q239="Recognition",3,IF(Q239="Multiple Choice",4,IF(Q239="Savings",5,IF(Q239="Stem Completion",6,IF(Q239="Fragment Completion",7,IF(Q239="anagram solution",8,IF(Q239="Matching",9,IF(Q239="Problem Solving",10,"99"))))))))))</f>
        <v>2</v>
      </c>
      <c r="S239" s="69" t="s">
        <v>49</v>
      </c>
      <c r="T239" s="92" t="s">
        <v>581</v>
      </c>
      <c r="U239" s="69">
        <f>IF(T239="within",1,0)</f>
        <v>1</v>
      </c>
      <c r="V239" s="92">
        <v>60</v>
      </c>
      <c r="W239" s="69">
        <f>F239*V239</f>
        <v>3240</v>
      </c>
      <c r="X239" s="69">
        <v>6</v>
      </c>
      <c r="Y239" s="87">
        <f>AV238</f>
        <v>300</v>
      </c>
      <c r="Z239" s="69" t="s">
        <v>144</v>
      </c>
      <c r="AA239" s="69">
        <f>42*24*60*60</f>
        <v>3628800</v>
      </c>
      <c r="AB239" s="69" t="str">
        <f>IF(AA239&lt;60,"1",IF(AA239&lt;=43200,"2",IF(AA239&lt;=777600,"3","4")))</f>
        <v>4</v>
      </c>
      <c r="AC239" s="72">
        <f>AVERAGE(AV238:DA238)</f>
        <v>950450</v>
      </c>
      <c r="AD239" s="69" t="str">
        <f>IF(AC239&lt;60,"1",IF(AC239&lt;=43200,"2",IF(AC239&lt;=777600,"3","4")))</f>
        <v>4</v>
      </c>
      <c r="AE239" s="87">
        <f>AA239-Y239</f>
        <v>3628500</v>
      </c>
      <c r="AF239" s="88">
        <f>AV239</f>
        <v>0.51</v>
      </c>
      <c r="AG239" s="72">
        <f>((AW239-AV239)+(AX239-AW239)+(AY239-AX239)+(AZ239-AY239)+(BA239-AZ239))/5</f>
        <v>-7.0000000000000021E-2</v>
      </c>
      <c r="AH239" s="4"/>
      <c r="AI239" s="72">
        <f>RSQ(AV239:BA239,AV238:BA238)</f>
        <v>0.47323791628981138</v>
      </c>
      <c r="AJ239" s="110">
        <f>SLOPE(AV239:BA239,AV238:BA238)</f>
        <v>-6.4606898979917916E-8</v>
      </c>
      <c r="AK239" s="72">
        <f>INTERCEPT(AV239:BA239,AV238:BA238)</f>
        <v>0.35140562713546297</v>
      </c>
      <c r="AL239" s="72">
        <f>INDEX(LINEST(LN(AV239:BA239),LN(AV238:BA238),TRUE,TRUE),3,1)</f>
        <v>0.88646295415362486</v>
      </c>
      <c r="AM239" s="72">
        <f>INDEX(LINEST(LN(AV239:BA239),LN(AV238:BA238)),1)</f>
        <v>-0.12166290531877358</v>
      </c>
      <c r="AN239" s="72">
        <f>EXP(INDEX(LINEST(LN(AV239:BA239),LN(AV238:BA238)),1,2))</f>
        <v>1.1433441094787642</v>
      </c>
      <c r="AO239" s="89">
        <f>INDEX(LINEST((AV239:BA239),LN(AV238:BA238),TRUE,TRUE),3,1)</f>
        <v>0.95492425645023737</v>
      </c>
      <c r="AP239" s="89">
        <f>INDEX(LINEST((AV239:BA239),LN(AV238:BA238)),1)</f>
        <v>-3.8232951508857596E-2</v>
      </c>
      <c r="AQ239" s="90">
        <f>INDEX(LINEST(LN(AV239:BA239),SQRT(AV238:BA238),TRUE,TRUE),3,1)</f>
        <v>0.84982370503279514</v>
      </c>
      <c r="AR239" s="117">
        <f>INDEX(LINEST(LN(AV239:BA239),SQRT((AV238:BA238))),1)</f>
        <v>-5.8289997957591952E-4</v>
      </c>
      <c r="AS239" s="91">
        <f>INDEX(LINEST(1/(AV239:BA239),1/(SQRT(AV238:BA238)),TRUE,TRUE),3,1)</f>
        <v>0.44095600968427573</v>
      </c>
      <c r="AT239" s="91">
        <f>INDEX(LINEST(1/(AV239:BA239),1/SQRT(AV238:BA238)),1)</f>
        <v>-46.28804131705666</v>
      </c>
      <c r="AU239" s="3"/>
      <c r="AV239" s="73">
        <v>0.51</v>
      </c>
      <c r="AW239" s="73">
        <v>0.36</v>
      </c>
      <c r="AX239" s="73">
        <v>0.3</v>
      </c>
      <c r="AY239" s="73">
        <v>0.21</v>
      </c>
      <c r="AZ239" s="73">
        <v>0.2</v>
      </c>
      <c r="BA239" s="73">
        <v>0.16</v>
      </c>
      <c r="BB239" s="53"/>
      <c r="BC239" s="53"/>
      <c r="BD239" s="53"/>
      <c r="BE239" s="53"/>
      <c r="BF239" s="53"/>
      <c r="BG239" s="53"/>
      <c r="BH239" s="53"/>
      <c r="BI239" s="53"/>
      <c r="BJ239" s="53"/>
      <c r="BK239" s="53"/>
      <c r="BL239" s="53"/>
      <c r="BM239" s="53"/>
      <c r="BN239" s="53"/>
      <c r="BO239" s="53"/>
      <c r="BP239" s="53"/>
      <c r="BQ239" s="53"/>
      <c r="BR239" s="53"/>
      <c r="BS239" s="53"/>
      <c r="BT239" s="53"/>
      <c r="BU239" s="53"/>
      <c r="BV239" s="53"/>
      <c r="BW239" s="53"/>
      <c r="BX239" s="53"/>
      <c r="BY239" s="53"/>
      <c r="BZ239" s="53"/>
      <c r="CA239" s="53"/>
      <c r="CB239" s="53"/>
      <c r="CC239" s="53"/>
      <c r="CD239" s="53"/>
      <c r="CE239" s="53"/>
      <c r="CF239" s="53"/>
      <c r="CG239" s="53"/>
      <c r="CH239" s="53"/>
      <c r="CI239" s="53"/>
      <c r="CJ239" s="53"/>
      <c r="CK239" s="53"/>
      <c r="CL239" s="53"/>
      <c r="CM239" s="53"/>
      <c r="CN239" s="53"/>
      <c r="CO239" s="53"/>
      <c r="CP239" s="53"/>
      <c r="CQ239" s="53"/>
      <c r="CR239" s="1"/>
      <c r="CS239" s="1"/>
      <c r="CT239" s="1"/>
      <c r="CU239" s="1"/>
    </row>
    <row r="240" spans="1:99" s="13" customFormat="1" ht="12" customHeight="1" x14ac:dyDescent="0.2">
      <c r="A240" s="65">
        <v>43648</v>
      </c>
      <c r="B240" s="1"/>
      <c r="C240" s="1"/>
      <c r="D240" s="60"/>
      <c r="E240" s="76"/>
      <c r="F240" s="60"/>
      <c r="G240" s="60"/>
      <c r="H240" s="60"/>
      <c r="I240" s="60"/>
      <c r="J240" s="60"/>
      <c r="K240" s="64"/>
      <c r="L240" s="64"/>
      <c r="M240" s="60"/>
      <c r="N240" s="60"/>
      <c r="O240" s="60"/>
      <c r="P240" s="60"/>
      <c r="Q240" s="60"/>
      <c r="R240" s="60"/>
      <c r="S240" s="60"/>
      <c r="T240" s="60"/>
      <c r="U240" s="60"/>
      <c r="V240" s="60"/>
      <c r="W240" s="60"/>
      <c r="X240" s="60"/>
      <c r="Y240" s="76"/>
      <c r="Z240" s="60"/>
      <c r="AA240" s="60"/>
      <c r="AB240" s="60"/>
      <c r="AC240" s="60"/>
      <c r="AD240" s="60"/>
      <c r="AE240" s="60"/>
      <c r="AF240" s="80"/>
      <c r="AG240" s="56"/>
      <c r="AH240" s="4"/>
      <c r="AI240" s="56"/>
      <c r="AJ240" s="109"/>
      <c r="AK240" s="56"/>
      <c r="AL240" s="56"/>
      <c r="AM240" s="56"/>
      <c r="AN240" s="56"/>
      <c r="AO240" s="56"/>
      <c r="AP240" s="56"/>
      <c r="AQ240" s="56"/>
      <c r="AR240" s="109"/>
      <c r="AS240" s="56"/>
      <c r="AT240" s="56"/>
      <c r="AU240" s="4"/>
      <c r="AV240" s="25">
        <f>1*365*24*3600</f>
        <v>31536000</v>
      </c>
      <c r="AW240" s="25">
        <f>3*365*24*3600</f>
        <v>94608000</v>
      </c>
      <c r="AX240" s="25">
        <f>5*365*24*3600</f>
        <v>157680000</v>
      </c>
      <c r="AY240" s="25">
        <f>7*365*24*3600</f>
        <v>220752000</v>
      </c>
      <c r="AZ240" s="25">
        <f>9*365*24*3600</f>
        <v>283824000</v>
      </c>
      <c r="BA240" s="25">
        <f>11*365*24*3600</f>
        <v>346896000</v>
      </c>
      <c r="BB240" s="25">
        <f>13*365*24*3600</f>
        <v>409968000</v>
      </c>
      <c r="BC240" s="25">
        <f>15*365*24*3600</f>
        <v>473040000</v>
      </c>
      <c r="BD240" s="25">
        <f>17*365*24*3600</f>
        <v>536112000</v>
      </c>
      <c r="BE240" s="25">
        <f>19*365*24*3600</f>
        <v>599184000</v>
      </c>
      <c r="BF240" s="53"/>
      <c r="BG240" s="53"/>
      <c r="BH240" s="53"/>
      <c r="BI240" s="53"/>
      <c r="BJ240" s="53"/>
      <c r="BK240" s="53"/>
      <c r="BL240" s="53"/>
      <c r="BM240" s="53"/>
      <c r="BN240" s="53"/>
      <c r="BO240" s="53"/>
      <c r="BP240" s="53"/>
      <c r="BQ240" s="53"/>
      <c r="BR240" s="53"/>
      <c r="BS240" s="53"/>
      <c r="BT240" s="53"/>
      <c r="BU240" s="53"/>
      <c r="BV240" s="53"/>
      <c r="BW240" s="53"/>
      <c r="BX240" s="53"/>
      <c r="BY240" s="53"/>
      <c r="BZ240" s="53"/>
      <c r="CA240" s="53"/>
      <c r="CB240" s="53"/>
      <c r="CC240" s="53"/>
      <c r="CD240" s="53"/>
      <c r="CE240" s="53"/>
      <c r="CF240" s="53"/>
      <c r="CG240" s="53"/>
      <c r="CH240" s="53"/>
      <c r="CI240" s="53"/>
      <c r="CJ240" s="53"/>
      <c r="CK240" s="53"/>
      <c r="CL240" s="53"/>
      <c r="CM240" s="53"/>
      <c r="CN240" s="53"/>
      <c r="CO240" s="53"/>
      <c r="CP240" s="53"/>
      <c r="CQ240" s="53"/>
      <c r="CR240" s="1"/>
      <c r="CS240" s="1"/>
      <c r="CT240" s="1"/>
      <c r="CU240" s="1"/>
    </row>
    <row r="241" spans="1:99" s="13" customFormat="1" ht="12" customHeight="1" x14ac:dyDescent="0.2">
      <c r="A241" s="65">
        <v>43648</v>
      </c>
      <c r="B241" s="1" t="s">
        <v>323</v>
      </c>
      <c r="C241" s="1" t="s">
        <v>75</v>
      </c>
      <c r="D241" s="60">
        <v>2004</v>
      </c>
      <c r="E241" s="76">
        <v>1</v>
      </c>
      <c r="F241" s="60">
        <v>1</v>
      </c>
      <c r="G241" s="60">
        <v>1</v>
      </c>
      <c r="H241" s="60" t="s">
        <v>43</v>
      </c>
      <c r="I241" s="60" t="s">
        <v>650</v>
      </c>
      <c r="J241" s="60" t="s">
        <v>622</v>
      </c>
      <c r="K241" s="60">
        <f>IF(J241="syllables",1,IF(J241="trigrams",2,IF(J241="strings",3,IF(J241="visual array",4,IF(J241="characters",5,IF(J241="letters",6,IF(J241="free forms",7,IF(J241="odors",8,IF(J241="words",9,IF(J241="pictures",10,IF(J241="object pictures",11,IF(J241="faces",12,IF(J241="names",13,IF(J241="idioms",14,IF(J241="grades",15,IF(J241="syllable-digit pairs",16,IF(J241="trigram-word pairs",17,IF(J241="word-digit pairs",18,IF(J241="English-Swahili pairs",19,IF(J241="spatial position",20,IF(J241="word pairs",21,IF(J241="word triads",22,IF(J241="generated words",23,IF(J241="word definition pairs",24,IF(J241="math problems",25,IF(J241="famous faces",26,IF(J241="famous names",27,IF(J241="famous voices",28,IF(J241="television programs",29,IF(J241="race horses",30,IF(J241="new vocabulary",31,IF(J241="sentences",32,IF(J241="concepts",33,IF(J241="ad slides",34,IF(J241="scenes",35,IF(J241="famous scenes",36,IF(J241="poems",37,IF(J241="walk",38,IF(J241="faces and events",39,IF(J241="events and names",40,IF(J241="flashbulb",41,IF(J241="stories",42,IF(J241="course material",43,IF(J241="autobiographical",44,IF(J241="novels",45,IF(J241="public events",46,"99"))))))))))))))))))))))))))))))))))))))))))))))</f>
        <v>44</v>
      </c>
      <c r="L241" s="60">
        <f>IF(J241="syllables",1,IF(J241="trigrams",1,IF(J241="strings",1,IF(J241="visual array",1,IF(J241="characters",1,IF(J241="letters",1,IF(J241="free forms",1,IF(J241="odors",2,IF(J241="words",2,IF(J241="pictures",2,IF(J241="object pictures",2,IF(J241="faces",2,IF(J241="names",2,IF(J241="idioms","2",IF(J241="grades",2,IF(J241="syllable-digit pairs",3,IF(J241="trigram-word pairs",3,IF(J241="word-digit pairs",3,IF(J241="English-Swahili pairs",3,IF(J241="spatial position",3,IF(J241="word pairs",4,IF(J241="word triads",4,IF(J241="generated words",4,IF(J241="word definition pairs",4,IF(J241="math problems",4,IF(J241="famous faces",4,IF(J241="famous names",4,IF(J241="famous voices",4,IF(J241="television programs",4,IF(J241="race horses",4,IF(J241="new vocabulary",4,IF(J241="sentences",5,IF(J241="concepts",5,IF(J241="ad slides",5,IF(J241="scenes",5,IF(J241="famous scenes",5,IF(J241="poems",6,IF(J241="walk",6,IF(J241="faces and events",6,IF(J241="events and names",6,IF(J241="flashbulb",7,IF(J241="stories",7,IF(J241="course material",7,IF(J241="autobiographical",7,IF(J241="novels",7,IF(J241="public events",7,"99"))))))))))))))))))))))))))))))))))))))))))))))</f>
        <v>7</v>
      </c>
      <c r="M241" s="60">
        <v>0</v>
      </c>
      <c r="N241" s="60">
        <v>2</v>
      </c>
      <c r="O241" s="60">
        <v>0</v>
      </c>
      <c r="P241" s="60"/>
      <c r="Q241" s="60" t="s">
        <v>65</v>
      </c>
      <c r="R241" s="60">
        <f>IF(Q241="Free Recall",1,IF(Q241="Cued Recall",2,IF(Q241="Recognition",3,IF(Q241="Multiple Choice",4,IF(Q241="Savings",5,IF(Q241="Stem Completion",6,IF(Q241="Fragment Completion",7,IF(Q241="anagram solution",8,IF(Q241="Matching",9,IF(Q241="Problem Solving",10,"99"))))))))))</f>
        <v>2</v>
      </c>
      <c r="S241" s="60" t="s">
        <v>49</v>
      </c>
      <c r="T241" s="59" t="s">
        <v>581</v>
      </c>
      <c r="U241" s="60">
        <f>IF(T241="within",1,0)</f>
        <v>1</v>
      </c>
      <c r="V241" s="59">
        <v>604</v>
      </c>
      <c r="W241" s="60">
        <f>F241*V241</f>
        <v>604</v>
      </c>
      <c r="X241" s="60">
        <v>10</v>
      </c>
      <c r="Y241" s="76">
        <f>AV240</f>
        <v>31536000</v>
      </c>
      <c r="Z241" s="60" t="s">
        <v>318</v>
      </c>
      <c r="AA241" s="60">
        <f>19*365*24*3600</f>
        <v>599184000</v>
      </c>
      <c r="AB241" s="60" t="str">
        <f>IF(AA241&lt;60,"1",IF(AA241&lt;=43200,"2",IF(AA241&lt;=777600,"3","4")))</f>
        <v>4</v>
      </c>
      <c r="AC241" s="56">
        <f>AVERAGE(AV240:DA240)</f>
        <v>315360000</v>
      </c>
      <c r="AD241" s="60" t="str">
        <f>IF(AC241&lt;60,"1",IF(AC241&lt;=43200,"2",IF(AC241&lt;=777600,"3","4")))</f>
        <v>4</v>
      </c>
      <c r="AE241" s="76">
        <f>AA241-Y241</f>
        <v>567648000</v>
      </c>
      <c r="AF241" s="80">
        <f>AV241</f>
        <v>0.76666666666666661</v>
      </c>
      <c r="AG241" s="56">
        <f>((AW241-AV241)+(AX241-AW241)+(AY241-AX241)+(AZ241-AY241)+(BA241-AZ241)+(BB241-BA241)+(BC241-BB241)+(BD241-BC241)+(BE241-BD241))/9</f>
        <v>-1.8518518518518514E-2</v>
      </c>
      <c r="AH241" s="4"/>
      <c r="AI241" s="56">
        <f>RSQ(AV241:BE241,AV240:BE240)</f>
        <v>0.53560343664252663</v>
      </c>
      <c r="AJ241" s="109">
        <f>SLOPE(AV241:BE241,AV240:BE240)</f>
        <v>-3.0268437802684389E-10</v>
      </c>
      <c r="AK241" s="56">
        <f>INTERCEPT(AV241:BE241,AV240:BE240)</f>
        <v>0.70712121212121204</v>
      </c>
      <c r="AL241" s="56">
        <f>INDEX(LINEST(LN(AV241:BE241),LN(AV240:BE240),TRUE,TRUE),3,1)</f>
        <v>0.68503516530102559</v>
      </c>
      <c r="AM241" s="56">
        <f>INDEX(LINEST(LN(AV241:BE241),LN(AV240:BE240)),1)</f>
        <v>-0.11051762327997081</v>
      </c>
      <c r="AN241" s="56">
        <f>EXP(INDEX(LINEST(LN(AV241:BE241),LN(AV240:BE240)),1,2))</f>
        <v>5.124652761478278</v>
      </c>
      <c r="AO241" s="82">
        <f>INDEX(LINEST((AV241:BE241),LN(AV240:BE240),TRUE,TRUE),3,1)</f>
        <v>0.69122887737947003</v>
      </c>
      <c r="AP241" s="82">
        <f>INDEX(LINEST((AV241:BE241),LN(AV240:BE240)),1)</f>
        <v>-7.1630561056445455E-2</v>
      </c>
      <c r="AQ241" s="83">
        <f>INDEX(LINEST(LN(AV241:BE241),SQRT(AV240:BE240),TRUE,TRUE),3,1)</f>
        <v>0.63360258257666946</v>
      </c>
      <c r="AR241" s="116">
        <f>INDEX(LINEST(LN(AV241:BE241),SQRT((AV240:BE240))),1)</f>
        <v>-1.5947653212870057E-5</v>
      </c>
      <c r="AS241" s="84">
        <f>INDEX(LINEST(1/(AV241:BE241),1/(SQRT(AV240:BE240)),TRUE,TRUE),3,1)</f>
        <v>0.64724680265227119</v>
      </c>
      <c r="AT241" s="84">
        <f>INDEX(LINEST(1/(AV241:BE241),1/SQRT(AV240:BE240)),1)</f>
        <v>-3686.8222315508333</v>
      </c>
      <c r="AU241" s="4"/>
      <c r="AV241" s="53">
        <f>4.6/6</f>
        <v>0.76666666666666661</v>
      </c>
      <c r="AW241" s="53">
        <f>3.8/6</f>
        <v>0.6333333333333333</v>
      </c>
      <c r="AX241" s="53">
        <f>4.4/6</f>
        <v>0.73333333333333339</v>
      </c>
      <c r="AY241" s="53">
        <f>3.5/6</f>
        <v>0.58333333333333337</v>
      </c>
      <c r="AZ241" s="53">
        <f>3.4/6</f>
        <v>0.56666666666666665</v>
      </c>
      <c r="BA241" s="53">
        <f>3.6/6</f>
        <v>0.6</v>
      </c>
      <c r="BB241" s="53">
        <f>3.3/6</f>
        <v>0.54999999999999993</v>
      </c>
      <c r="BC241" s="53">
        <f>3.2/6</f>
        <v>0.53333333333333333</v>
      </c>
      <c r="BD241" s="53">
        <f>3.3/6</f>
        <v>0.54999999999999993</v>
      </c>
      <c r="BE241" s="53">
        <f>3.6/6</f>
        <v>0.6</v>
      </c>
      <c r="BF241" s="53"/>
      <c r="BG241" s="53"/>
      <c r="BH241" s="53"/>
      <c r="BI241" s="53"/>
      <c r="BJ241" s="53"/>
      <c r="BK241" s="53"/>
      <c r="BL241" s="53"/>
      <c r="BM241" s="53"/>
      <c r="BN241" s="53"/>
      <c r="BO241" s="53"/>
      <c r="BP241" s="53"/>
      <c r="BQ241" s="53"/>
      <c r="BR241" s="53"/>
      <c r="BS241" s="53"/>
      <c r="BT241" s="53"/>
      <c r="BU241" s="53"/>
      <c r="BV241" s="53"/>
      <c r="BW241" s="53"/>
      <c r="BX241" s="53"/>
      <c r="BY241" s="53"/>
      <c r="BZ241" s="53"/>
      <c r="CA241" s="53"/>
      <c r="CB241" s="53"/>
      <c r="CC241" s="53"/>
      <c r="CD241" s="53"/>
      <c r="CE241" s="53"/>
      <c r="CF241" s="53"/>
      <c r="CG241" s="53"/>
      <c r="CH241" s="53"/>
      <c r="CI241" s="53"/>
      <c r="CJ241" s="53"/>
      <c r="CK241" s="53"/>
      <c r="CL241" s="53"/>
      <c r="CM241" s="53"/>
      <c r="CN241" s="53"/>
      <c r="CO241" s="53"/>
      <c r="CP241" s="53"/>
      <c r="CQ241" s="53"/>
      <c r="CR241" s="1"/>
      <c r="CS241" s="1"/>
      <c r="CT241" s="1"/>
      <c r="CU241" s="1"/>
    </row>
    <row r="242" spans="1:99" s="13" customFormat="1" ht="12" customHeight="1" x14ac:dyDescent="0.2">
      <c r="A242" s="65">
        <v>43648</v>
      </c>
      <c r="B242" s="1"/>
      <c r="C242" s="1"/>
      <c r="D242" s="60"/>
      <c r="E242" s="76"/>
      <c r="F242" s="60"/>
      <c r="G242" s="60"/>
      <c r="H242" s="60"/>
      <c r="I242" s="60"/>
      <c r="J242" s="60"/>
      <c r="K242" s="64"/>
      <c r="L242" s="64"/>
      <c r="M242" s="60"/>
      <c r="N242" s="60"/>
      <c r="O242" s="60"/>
      <c r="P242" s="60"/>
      <c r="Q242" s="60"/>
      <c r="R242" s="60"/>
      <c r="S242" s="60"/>
      <c r="T242" s="60"/>
      <c r="U242" s="60"/>
      <c r="V242" s="60"/>
      <c r="W242" s="60"/>
      <c r="X242" s="60"/>
      <c r="Y242" s="76"/>
      <c r="Z242" s="60"/>
      <c r="AA242" s="60"/>
      <c r="AB242" s="60"/>
      <c r="AC242" s="60"/>
      <c r="AD242" s="60"/>
      <c r="AE242" s="60"/>
      <c r="AF242" s="80"/>
      <c r="AG242" s="56"/>
      <c r="AH242" s="4"/>
      <c r="AI242" s="56"/>
      <c r="AJ242" s="109"/>
      <c r="AK242" s="56"/>
      <c r="AL242" s="56"/>
      <c r="AM242" s="56"/>
      <c r="AN242" s="56"/>
      <c r="AO242" s="56"/>
      <c r="AP242" s="56"/>
      <c r="AQ242" s="56"/>
      <c r="AR242" s="109"/>
      <c r="AS242" s="56"/>
      <c r="AT242" s="56"/>
      <c r="AU242" s="4"/>
      <c r="AV242" s="25">
        <f>1*365*24*3600</f>
        <v>31536000</v>
      </c>
      <c r="AW242" s="25">
        <f>3*365*24*3600</f>
        <v>94608000</v>
      </c>
      <c r="AX242" s="25">
        <f>5*365*24*3600</f>
        <v>157680000</v>
      </c>
      <c r="AY242" s="25">
        <f>7*365*24*3600</f>
        <v>220752000</v>
      </c>
      <c r="AZ242" s="25">
        <f>9*365*24*3600</f>
        <v>283824000</v>
      </c>
      <c r="BA242" s="25">
        <f>11*365*24*3600</f>
        <v>346896000</v>
      </c>
      <c r="BB242" s="25">
        <f>13*365*24*3600</f>
        <v>409968000</v>
      </c>
      <c r="BC242" s="25">
        <f>15*365*24*3600</f>
        <v>473040000</v>
      </c>
      <c r="BD242" s="25">
        <f>17*365*24*3600</f>
        <v>536112000</v>
      </c>
      <c r="BE242" s="25">
        <f>19*365*24*3600</f>
        <v>599184000</v>
      </c>
      <c r="BF242" s="53"/>
      <c r="BG242" s="53"/>
      <c r="BH242" s="53"/>
      <c r="BI242" s="53"/>
      <c r="BJ242" s="53"/>
      <c r="BK242" s="53"/>
      <c r="BL242" s="53"/>
      <c r="BM242" s="53"/>
      <c r="BN242" s="53"/>
      <c r="BO242" s="53"/>
      <c r="BP242" s="53"/>
      <c r="BQ242" s="53"/>
      <c r="BR242" s="53"/>
      <c r="BS242" s="53"/>
      <c r="BT242" s="53"/>
      <c r="BU242" s="53"/>
      <c r="BV242" s="53"/>
      <c r="BW242" s="53"/>
      <c r="BX242" s="53"/>
      <c r="BY242" s="53"/>
      <c r="BZ242" s="53"/>
      <c r="CA242" s="53"/>
      <c r="CB242" s="53"/>
      <c r="CC242" s="53"/>
      <c r="CD242" s="53"/>
      <c r="CE242" s="53"/>
      <c r="CF242" s="53"/>
      <c r="CG242" s="53"/>
      <c r="CH242" s="53"/>
      <c r="CI242" s="53"/>
      <c r="CJ242" s="53"/>
      <c r="CK242" s="53"/>
      <c r="CL242" s="53"/>
      <c r="CM242" s="53"/>
      <c r="CN242" s="53"/>
      <c r="CO242" s="53"/>
      <c r="CP242" s="53"/>
      <c r="CQ242" s="53"/>
      <c r="CR242" s="1"/>
      <c r="CS242" s="1"/>
      <c r="CT242" s="1"/>
      <c r="CU242" s="1"/>
    </row>
    <row r="243" spans="1:99" s="13" customFormat="1" ht="12" customHeight="1" x14ac:dyDescent="0.2">
      <c r="A243" s="65">
        <v>43648</v>
      </c>
      <c r="B243" s="1" t="s">
        <v>323</v>
      </c>
      <c r="C243" s="1" t="s">
        <v>75</v>
      </c>
      <c r="D243" s="60">
        <v>2004</v>
      </c>
      <c r="E243" s="76">
        <v>1</v>
      </c>
      <c r="F243" s="60">
        <v>1</v>
      </c>
      <c r="G243" s="60">
        <v>1</v>
      </c>
      <c r="H243" s="60" t="s">
        <v>43</v>
      </c>
      <c r="I243" s="60" t="s">
        <v>651</v>
      </c>
      <c r="J243" s="60" t="s">
        <v>622</v>
      </c>
      <c r="K243" s="60">
        <f>IF(J243="syllables",1,IF(J243="trigrams",2,IF(J243="strings",3,IF(J243="visual array",4,IF(J243="characters",5,IF(J243="letters",6,IF(J243="free forms",7,IF(J243="odors",8,IF(J243="words",9,IF(J243="pictures",10,IF(J243="object pictures",11,IF(J243="faces",12,IF(J243="names",13,IF(J243="idioms",14,IF(J243="grades",15,IF(J243="syllable-digit pairs",16,IF(J243="trigram-word pairs",17,IF(J243="word-digit pairs",18,IF(J243="English-Swahili pairs",19,IF(J243="spatial position",20,IF(J243="word pairs",21,IF(J243="word triads",22,IF(J243="generated words",23,IF(J243="word definition pairs",24,IF(J243="math problems",25,IF(J243="famous faces",26,IF(J243="famous names",27,IF(J243="famous voices",28,IF(J243="television programs",29,IF(J243="race horses",30,IF(J243="new vocabulary",31,IF(J243="sentences",32,IF(J243="concepts",33,IF(J243="ad slides",34,IF(J243="scenes",35,IF(J243="famous scenes",36,IF(J243="poems",37,IF(J243="walk",38,IF(J243="faces and events",39,IF(J243="events and names",40,IF(J243="flashbulb",41,IF(J243="stories",42,IF(J243="course material",43,IF(J243="autobiographical",44,IF(J243="novels",45,IF(J243="public events",46,"99"))))))))))))))))))))))))))))))))))))))))))))))</f>
        <v>44</v>
      </c>
      <c r="L243" s="60">
        <f>IF(J243="syllables",1,IF(J243="trigrams",1,IF(J243="strings",1,IF(J243="visual array",1,IF(J243="characters",1,IF(J243="letters",1,IF(J243="free forms",1,IF(J243="odors",2,IF(J243="words",2,IF(J243="pictures",2,IF(J243="object pictures",2,IF(J243="faces",2,IF(J243="names",2,IF(J243="idioms","2",IF(J243="grades",2,IF(J243="syllable-digit pairs",3,IF(J243="trigram-word pairs",3,IF(J243="word-digit pairs",3,IF(J243="English-Swahili pairs",3,IF(J243="spatial position",3,IF(J243="word pairs",4,IF(J243="word triads",4,IF(J243="generated words",4,IF(J243="word definition pairs",4,IF(J243="math problems",4,IF(J243="famous faces",4,IF(J243="famous names",4,IF(J243="famous voices",4,IF(J243="television programs",4,IF(J243="race horses",4,IF(J243="new vocabulary",4,IF(J243="sentences",5,IF(J243="concepts",5,IF(J243="ad slides",5,IF(J243="scenes",5,IF(J243="famous scenes",5,IF(J243="poems",6,IF(J243="walk",6,IF(J243="faces and events",6,IF(J243="events and names",6,IF(J243="flashbulb",7,IF(J243="stories",7,IF(J243="course material",7,IF(J243="autobiographical",7,IF(J243="novels",7,IF(J243="public events",7,"99"))))))))))))))))))))))))))))))))))))))))))))))</f>
        <v>7</v>
      </c>
      <c r="M243" s="60">
        <v>0</v>
      </c>
      <c r="N243" s="60">
        <v>2</v>
      </c>
      <c r="O243" s="60">
        <v>0</v>
      </c>
      <c r="P243" s="60"/>
      <c r="Q243" s="60" t="s">
        <v>65</v>
      </c>
      <c r="R243" s="60">
        <f>IF(Q243="Free Recall",1,IF(Q243="Cued Recall",2,IF(Q243="Recognition",3,IF(Q243="Multiple Choice",4,IF(Q243="Savings",5,IF(Q243="Stem Completion",6,IF(Q243="Fragment Completion",7,IF(Q243="anagram solution",8,IF(Q243="Matching",9,IF(Q243="Problem Solving",10,"99"))))))))))</f>
        <v>2</v>
      </c>
      <c r="S243" s="60" t="s">
        <v>49</v>
      </c>
      <c r="T243" s="59" t="s">
        <v>581</v>
      </c>
      <c r="U243" s="60">
        <f>IF(T243="within",1,0)</f>
        <v>1</v>
      </c>
      <c r="V243" s="59">
        <v>524</v>
      </c>
      <c r="W243" s="60">
        <f>F243*V243</f>
        <v>524</v>
      </c>
      <c r="X243" s="60">
        <v>10</v>
      </c>
      <c r="Y243" s="76">
        <f>AV242</f>
        <v>31536000</v>
      </c>
      <c r="Z243" s="60" t="s">
        <v>318</v>
      </c>
      <c r="AA243" s="60">
        <f>19*365*24*3600</f>
        <v>599184000</v>
      </c>
      <c r="AB243" s="60" t="str">
        <f>IF(AA243&lt;60,"1",IF(AA243&lt;=43200,"2",IF(AA243&lt;=777600,"3","4")))</f>
        <v>4</v>
      </c>
      <c r="AC243" s="56">
        <f>AVERAGE(AV242:DA242)</f>
        <v>315360000</v>
      </c>
      <c r="AD243" s="60" t="str">
        <f>IF(AC243&lt;60,"1",IF(AC243&lt;=43200,"2",IF(AC243&lt;=777600,"3","4")))</f>
        <v>4</v>
      </c>
      <c r="AE243" s="76">
        <f>AA243-Y243</f>
        <v>567648000</v>
      </c>
      <c r="AF243" s="80">
        <f>AV243</f>
        <v>0.68333333333333324</v>
      </c>
      <c r="AG243" s="56">
        <f>((AW243-AV243)+(AX243-AW243)+(AY243-AX243)+(AZ243-AY243)+(BA243-AZ243)+(BB243-BA243)+(BC243-BB243)+(BD243-BC243)+(BE243-BD243))/9</f>
        <v>-3.1481481481481471E-2</v>
      </c>
      <c r="AH243" s="4"/>
      <c r="AI243" s="56">
        <f>RSQ(AV243:BE243,AV242:BE242)</f>
        <v>0.73265155007893568</v>
      </c>
      <c r="AJ243" s="109">
        <f>SLOPE(AV243:BE243,AV242:BE242)</f>
        <v>-3.6674456385263063E-10</v>
      </c>
      <c r="AK243" s="56">
        <f>INTERCEPT(AV243:BE243,AV242:BE242)</f>
        <v>0.60065656565656578</v>
      </c>
      <c r="AL243" s="56">
        <f>INDEX(LINEST(LN(AV243:BE243),LN(AV242:BE242),TRUE,TRUE),3,1)</f>
        <v>0.94565130103987016</v>
      </c>
      <c r="AM243" s="56">
        <f>INDEX(LINEST(LN(AV243:BE243),LN(AV242:BE242)),1)</f>
        <v>-0.16375524329559488</v>
      </c>
      <c r="AN243" s="56">
        <f>EXP(INDEX(LINEST(LN(AV243:BE243),LN(AV242:BE242)),1,2))</f>
        <v>11.30179509321208</v>
      </c>
      <c r="AO243" s="82">
        <f>INDEX(LINEST((AV243:BE243),LN(AV242:BE242),TRUE,TRUE),3,1)</f>
        <v>0.9416125582544469</v>
      </c>
      <c r="AP243" s="82">
        <f>INDEX(LINEST((AV243:BE243),LN(AV242:BE242)),1)</f>
        <v>-8.6610422359035516E-2</v>
      </c>
      <c r="AQ243" s="83">
        <f>INDEX(LINEST(LN(AV243:BE243),SQRT(AV242:BE242),TRUE,TRUE),3,1)</f>
        <v>0.88573338341530017</v>
      </c>
      <c r="AR243" s="116">
        <f>INDEX(LINEST(LN(AV243:BE243),SQRT((AV242:BE242))),1)</f>
        <v>-2.3779045578270796E-5</v>
      </c>
      <c r="AS243" s="84">
        <f>INDEX(LINEST(1/(AV243:BE243),1/(SQRT(AV242:BE242)),TRUE,TRUE),3,1)</f>
        <v>0.88283135497633025</v>
      </c>
      <c r="AT243" s="84">
        <f>INDEX(LINEST(1/(AV243:BE243),1/SQRT(AV242:BE242)),1)</f>
        <v>-6722.261644404799</v>
      </c>
      <c r="AU243" s="4"/>
      <c r="AV243" s="53">
        <f>4.1/6</f>
        <v>0.68333333333333324</v>
      </c>
      <c r="AW243" s="53">
        <f>3.3/6</f>
        <v>0.54999999999999993</v>
      </c>
      <c r="AX243" s="53">
        <f>2.9/6</f>
        <v>0.48333333333333334</v>
      </c>
      <c r="AY243" s="53">
        <f>3/6</f>
        <v>0.5</v>
      </c>
      <c r="AZ243" s="53">
        <f>2.8/6</f>
        <v>0.46666666666666662</v>
      </c>
      <c r="BA243" s="53">
        <f>2.7/6</f>
        <v>0.45</v>
      </c>
      <c r="BB243" s="53">
        <f>2.8/6</f>
        <v>0.46666666666666662</v>
      </c>
      <c r="BC243" s="53">
        <f>2.5/6</f>
        <v>0.41666666666666669</v>
      </c>
      <c r="BD243" s="53">
        <f>2.6/6</f>
        <v>0.43333333333333335</v>
      </c>
      <c r="BE243" s="53">
        <f>2.4/6</f>
        <v>0.39999999999999997</v>
      </c>
      <c r="BF243" s="53"/>
      <c r="BG243" s="53"/>
      <c r="BH243" s="53"/>
      <c r="BI243" s="53"/>
      <c r="BJ243" s="53"/>
      <c r="BK243" s="53"/>
      <c r="BL243" s="53"/>
      <c r="BM243" s="53"/>
      <c r="BN243" s="53"/>
      <c r="BO243" s="53"/>
      <c r="BP243" s="53"/>
      <c r="BQ243" s="53"/>
      <c r="BR243" s="53"/>
      <c r="BS243" s="53"/>
      <c r="BT243" s="53"/>
      <c r="BU243" s="53"/>
      <c r="BV243" s="53"/>
      <c r="BW243" s="53"/>
      <c r="BX243" s="53"/>
      <c r="BY243" s="53"/>
      <c r="BZ243" s="53"/>
      <c r="CA243" s="53"/>
      <c r="CB243" s="53"/>
      <c r="CC243" s="53"/>
      <c r="CD243" s="53"/>
      <c r="CE243" s="53"/>
      <c r="CF243" s="53"/>
      <c r="CG243" s="53"/>
      <c r="CH243" s="53"/>
      <c r="CI243" s="53"/>
      <c r="CJ243" s="53"/>
      <c r="CK243" s="53"/>
      <c r="CL243" s="53"/>
      <c r="CM243" s="53"/>
      <c r="CN243" s="53"/>
      <c r="CO243" s="53"/>
      <c r="CP243" s="53"/>
      <c r="CQ243" s="53"/>
      <c r="CR243" s="1"/>
      <c r="CS243" s="1"/>
      <c r="CT243" s="1"/>
      <c r="CU243" s="1"/>
    </row>
    <row r="244" spans="1:99" s="13" customFormat="1" ht="12" customHeight="1" x14ac:dyDescent="0.2">
      <c r="A244" s="68">
        <v>43509</v>
      </c>
      <c r="B244" s="70"/>
      <c r="C244" s="70"/>
      <c r="D244" s="69"/>
      <c r="E244" s="87"/>
      <c r="F244" s="69"/>
      <c r="G244" s="69"/>
      <c r="H244" s="69"/>
      <c r="I244" s="69"/>
      <c r="J244" s="69"/>
      <c r="K244" s="107"/>
      <c r="L244" s="107"/>
      <c r="M244" s="69"/>
      <c r="N244" s="69"/>
      <c r="O244" s="69"/>
      <c r="P244" s="69"/>
      <c r="Q244" s="69"/>
      <c r="R244" s="69"/>
      <c r="S244" s="69"/>
      <c r="T244" s="69"/>
      <c r="U244" s="69"/>
      <c r="V244" s="69"/>
      <c r="W244" s="69"/>
      <c r="X244" s="69"/>
      <c r="Y244" s="87"/>
      <c r="Z244" s="69"/>
      <c r="AA244" s="69"/>
      <c r="AB244" s="69"/>
      <c r="AC244" s="69"/>
      <c r="AD244" s="69"/>
      <c r="AE244" s="69"/>
      <c r="AF244" s="88"/>
      <c r="AG244" s="72"/>
      <c r="AH244" s="4"/>
      <c r="AI244" s="72"/>
      <c r="AJ244" s="110"/>
      <c r="AK244" s="72"/>
      <c r="AL244" s="72"/>
      <c r="AM244" s="72"/>
      <c r="AN244" s="72"/>
      <c r="AO244" s="72"/>
      <c r="AP244" s="72"/>
      <c r="AQ244" s="72"/>
      <c r="AR244" s="110"/>
      <c r="AS244" s="72"/>
      <c r="AT244" s="72"/>
      <c r="AU244" s="4"/>
      <c r="AV244" s="71">
        <f>24*3600*7</f>
        <v>604800</v>
      </c>
      <c r="AW244" s="71">
        <f>24*3600*35</f>
        <v>3024000</v>
      </c>
      <c r="AX244" s="71">
        <f>24*3600*70</f>
        <v>6048000</v>
      </c>
      <c r="AY244" s="71">
        <f>24*3600*350</f>
        <v>30240000</v>
      </c>
      <c r="AZ244" s="53"/>
      <c r="BA244" s="53"/>
      <c r="BB244" s="53"/>
      <c r="BC244" s="53"/>
      <c r="BD244" s="53"/>
      <c r="BE244" s="53"/>
      <c r="BF244" s="53"/>
      <c r="BG244" s="53"/>
      <c r="BH244" s="53"/>
      <c r="BI244" s="53"/>
      <c r="BJ244" s="53"/>
      <c r="BK244" s="53"/>
      <c r="BL244" s="53"/>
      <c r="BM244" s="53"/>
      <c r="BN244" s="53"/>
      <c r="BO244" s="53"/>
      <c r="BP244" s="53"/>
      <c r="BQ244" s="53"/>
      <c r="BR244" s="53"/>
      <c r="BS244" s="53"/>
      <c r="BT244" s="53"/>
      <c r="BU244" s="53"/>
      <c r="BV244" s="53"/>
      <c r="BW244" s="53"/>
      <c r="BX244" s="53"/>
      <c r="BY244" s="53"/>
      <c r="BZ244" s="53"/>
      <c r="CA244" s="53"/>
      <c r="CB244" s="53"/>
      <c r="CC244" s="53"/>
      <c r="CD244" s="53"/>
      <c r="CE244" s="53"/>
      <c r="CF244" s="53"/>
      <c r="CG244" s="53"/>
      <c r="CH244" s="53"/>
      <c r="CI244" s="53"/>
      <c r="CJ244" s="53"/>
      <c r="CK244" s="53"/>
      <c r="CL244" s="53"/>
      <c r="CM244" s="53"/>
      <c r="CN244" s="53"/>
      <c r="CO244" s="53"/>
      <c r="CP244" s="53"/>
      <c r="CQ244" s="53"/>
      <c r="CR244" s="1"/>
      <c r="CS244" s="1"/>
      <c r="CT244" s="1"/>
      <c r="CU244" s="1"/>
    </row>
    <row r="245" spans="1:99" s="19" customFormat="1" ht="12" customHeight="1" x14ac:dyDescent="0.2">
      <c r="A245" s="68">
        <v>43509</v>
      </c>
      <c r="B245" s="100" t="s">
        <v>176</v>
      </c>
      <c r="C245" s="100" t="s">
        <v>95</v>
      </c>
      <c r="D245" s="99">
        <v>2008</v>
      </c>
      <c r="E245" s="106">
        <v>1</v>
      </c>
      <c r="F245" s="99">
        <v>1354</v>
      </c>
      <c r="G245" s="99">
        <v>52.1</v>
      </c>
      <c r="H245" s="99" t="s">
        <v>32</v>
      </c>
      <c r="I245" s="99" t="s">
        <v>652</v>
      </c>
      <c r="J245" s="69" t="s">
        <v>475</v>
      </c>
      <c r="K245" s="69">
        <f>IF(J245="syllables",1,IF(J245="trigrams",2,IF(J245="strings",3,IF(J245="visual array",4,IF(J245="characters",5,IF(J245="letters",6,IF(J245="free forms",7,IF(J245="odors",8,IF(J245="words",9,IF(J245="pictures",10,IF(J245="object pictures",11,IF(J245="faces",12,IF(J245="names",13,IF(J245="idioms",14,IF(J245="grades",15,IF(J245="syllable-digit pairs",16,IF(J245="trigram-word pairs",17,IF(J245="word-digit pairs",18,IF(J245="English-Swahili pairs",19,IF(J245="spatial position",20,IF(J245="word pairs",21,IF(J245="word triads",22,IF(J245="generated words",23,IF(J245="word definition pairs",24,IF(J245="math problems",25,IF(J245="famous faces",26,IF(J245="famous names",27,IF(J245="famous voices",28,IF(J245="television programs",29,IF(J245="race horses",30,IF(J245="new vocabulary",31,IF(J245="sentences",32,IF(J245="concepts",33,IF(J245="ad slides",34,IF(J245="scenes",35,IF(J245="famous scenes",36,IF(J245="poems",37,IF(J245="walk",38,IF(J245="faces and events",39,IF(J245="events and names",40,IF(J245="flashbulb",41,IF(J245="stories",42,IF(J245="course material",43,IF(J245="autobiographical",44,IF(J245="novels",45,IF(J245="public events",46,"99"))))))))))))))))))))))))))))))))))))))))))))))</f>
        <v>32</v>
      </c>
      <c r="L245" s="69">
        <f>IF(J245="syllables",1,IF(J245="trigrams",1,IF(J245="strings",1,IF(J245="visual array",1,IF(J245="characters",1,IF(J245="letters",1,IF(J245="free forms",1,IF(J245="odors",2,IF(J245="words",2,IF(J245="pictures",2,IF(J245="object pictures",2,IF(J245="faces",2,IF(J245="names",2,IF(J245="idioms","2",IF(J245="grades",2,IF(J245="syllable-digit pairs",3,IF(J245="trigram-word pairs",3,IF(J245="word-digit pairs",3,IF(J245="English-Swahili pairs",3,IF(J245="spatial position",3,IF(J245="word pairs",4,IF(J245="word triads",4,IF(J245="generated words",4,IF(J245="word definition pairs",4,IF(J245="math problems",4,IF(J245="famous faces",4,IF(J245="famous names",4,IF(J245="famous voices",4,IF(J245="television programs",4,IF(J245="race horses",4,IF(J245="new vocabulary",4,IF(J245="sentences",5,IF(J245="concepts",5,IF(J245="ad slides",5,IF(J245="scenes",5,IF(J245="famous scenes",5,IF(J245="poems",6,IF(J245="walk",6,IF(J245="faces and events",6,IF(J245="events and names",6,IF(J245="flashbulb",7,IF(J245="stories",7,IF(J245="course material",7,IF(J245="autobiographical",7,IF(J245="novels",7,IF(J245="public events",7,"99"))))))))))))))))))))))))))))))))))))))))))))))</f>
        <v>5</v>
      </c>
      <c r="M245" s="99">
        <v>1</v>
      </c>
      <c r="N245" s="99">
        <v>4</v>
      </c>
      <c r="O245" s="99">
        <v>0</v>
      </c>
      <c r="P245" s="99"/>
      <c r="Q245" s="69" t="s">
        <v>174</v>
      </c>
      <c r="R245" s="69">
        <f>IF(Q245="Free Recall",1,IF(Q245="Cued Recall",2,IF(Q245="Recognition",3,IF(Q245="Multiple Choice",4,IF(Q245="Savings",5,IF(Q245="Stem Completion",6,IF(Q245="Fragment Completion",7,IF(Q245="anagram solution",8,IF(Q245="Matching",9,IF(Q245="Problem Solving",10,"99"))))))))))</f>
        <v>1</v>
      </c>
      <c r="S245" s="99" t="s">
        <v>49</v>
      </c>
      <c r="T245" s="99" t="s">
        <v>261</v>
      </c>
      <c r="U245" s="69">
        <f>IF(T245="within",1,0)</f>
        <v>0</v>
      </c>
      <c r="V245" s="99">
        <v>32</v>
      </c>
      <c r="W245" s="69">
        <f>F245*V245</f>
        <v>43328</v>
      </c>
      <c r="X245" s="99">
        <v>4</v>
      </c>
      <c r="Y245" s="87">
        <f>AV244</f>
        <v>604800</v>
      </c>
      <c r="Z245" s="99" t="s">
        <v>177</v>
      </c>
      <c r="AA245" s="99">
        <v>30240000</v>
      </c>
      <c r="AB245" s="69" t="str">
        <f>IF(AA245&lt;60,"1",IF(AA245&lt;=43200,"2",IF(AA245&lt;=777600,"3","4")))</f>
        <v>4</v>
      </c>
      <c r="AC245" s="72">
        <f>AVERAGE(AV244:DA244)</f>
        <v>9979200</v>
      </c>
      <c r="AD245" s="69" t="str">
        <f>IF(AC245&lt;60,"1",IF(AC245&lt;=43200,"2",IF(AC245&lt;=777600,"3","4")))</f>
        <v>4</v>
      </c>
      <c r="AE245" s="87">
        <f>AA245-Y245</f>
        <v>29635200</v>
      </c>
      <c r="AF245" s="88">
        <f>AV245</f>
        <v>0.89</v>
      </c>
      <c r="AG245" s="72">
        <f>((AW245-AV245)+(AX245-AW245)+(AY245-AX245))/3</f>
        <v>-0.25666666666666665</v>
      </c>
      <c r="AH245" s="4"/>
      <c r="AI245" s="72">
        <f>RSQ(AV245:AY245,AV244:AY244)</f>
        <v>0.6186314285292801</v>
      </c>
      <c r="AJ245" s="110">
        <f>SLOPE(AV245:AY245,AV244:AY244)</f>
        <v>-1.9046285108419134E-8</v>
      </c>
      <c r="AK245" s="72">
        <f>INTERCEPT(AV245:AY245,AV244:AY244)</f>
        <v>0.64756668835393627</v>
      </c>
      <c r="AL245" s="72">
        <f>INDEX(LINEST(LN(AV245:AY245),LN(AV244:AY244),TRUE,TRUE),3,1)</f>
        <v>0.97524501539840502</v>
      </c>
      <c r="AM245" s="72">
        <f>INDEX(LINEST(LN(AV245:AY245),LN(AV244:AY244)),1)</f>
        <v>-0.52076175220920773</v>
      </c>
      <c r="AN245" s="72">
        <f>EXP(INDEX(LINEST(LN(AV245:AY245),LN(AV244:AY244)),1,2))</f>
        <v>1020.1065670904101</v>
      </c>
      <c r="AO245" s="89">
        <f>INDEX(LINEST((AV245:AY245),LN(AV244:AY244),TRUE,TRUE),3,1)</f>
        <v>0.96235517679792959</v>
      </c>
      <c r="AP245" s="89">
        <f>INDEX(LINEST((AV245:AY245),LN(AV244:AY244)),1)</f>
        <v>-0.20049889153781347</v>
      </c>
      <c r="AQ245" s="90">
        <f>INDEX(LINEST(LN(AV245:AY245),SQRT(AV244:AY244),TRUE,TRUE),3,1)</f>
        <v>0.95864814218962657</v>
      </c>
      <c r="AR245" s="117">
        <f>INDEX(LINEST(LN(AV245:AY245),SQRT((AV244:AY244))),1)</f>
        <v>-4.1049760259548497E-4</v>
      </c>
      <c r="AS245" s="91">
        <f>INDEX(LINEST(1/(AV245:AY245),1/(SQRT(AV244:AY244)),TRUE,TRUE),3,1)</f>
        <v>0.60072473199349685</v>
      </c>
      <c r="AT245" s="91">
        <f>INDEX(LINEST(1/(AV245:AY245),1/SQRT(AV244:AY244)),1)</f>
        <v>-5256.1702665879811</v>
      </c>
      <c r="AU245" s="4"/>
      <c r="AV245" s="101">
        <v>0.89</v>
      </c>
      <c r="AW245" s="101">
        <v>0.52</v>
      </c>
      <c r="AX245" s="101">
        <v>0.3</v>
      </c>
      <c r="AY245" s="101">
        <v>0.12</v>
      </c>
      <c r="AZ245" s="18"/>
      <c r="BA245" s="18"/>
      <c r="BB245" s="18"/>
      <c r="BC245" s="18"/>
      <c r="BD245" s="18"/>
      <c r="BE245" s="18"/>
      <c r="BF245" s="18"/>
      <c r="BG245" s="18"/>
      <c r="BH245" s="18"/>
      <c r="BI245" s="18"/>
      <c r="BJ245" s="18"/>
      <c r="BK245" s="18"/>
      <c r="BL245" s="18"/>
      <c r="BM245" s="18"/>
      <c r="BN245" s="18"/>
      <c r="BO245" s="18"/>
      <c r="BP245" s="18"/>
      <c r="BQ245" s="18"/>
      <c r="BR245" s="18"/>
      <c r="BS245" s="18"/>
      <c r="BT245" s="18"/>
      <c r="BU245" s="18"/>
      <c r="BV245" s="18"/>
      <c r="BW245" s="18"/>
      <c r="BX245" s="18"/>
      <c r="BY245" s="18"/>
      <c r="BZ245" s="18"/>
      <c r="CA245" s="18"/>
      <c r="CB245" s="18"/>
      <c r="CC245" s="18"/>
      <c r="CD245" s="18"/>
      <c r="CE245" s="18"/>
      <c r="CF245" s="18"/>
      <c r="CG245" s="18"/>
      <c r="CH245" s="18"/>
      <c r="CI245" s="18"/>
      <c r="CJ245" s="18"/>
      <c r="CK245" s="18"/>
      <c r="CL245" s="18"/>
      <c r="CM245" s="18"/>
      <c r="CN245" s="18"/>
      <c r="CO245" s="18"/>
      <c r="CP245" s="18"/>
      <c r="CQ245" s="18"/>
      <c r="CR245" s="17"/>
      <c r="CS245" s="17"/>
      <c r="CT245" s="17"/>
      <c r="CU245" s="17"/>
    </row>
    <row r="246" spans="1:99" s="19" customFormat="1" ht="12" customHeight="1" x14ac:dyDescent="0.2">
      <c r="A246" s="68">
        <v>43509</v>
      </c>
      <c r="B246" s="100"/>
      <c r="C246" s="100"/>
      <c r="D246" s="99"/>
      <c r="E246" s="106"/>
      <c r="F246" s="99"/>
      <c r="G246" s="99"/>
      <c r="H246" s="99"/>
      <c r="I246" s="99"/>
      <c r="J246" s="99"/>
      <c r="K246" s="107"/>
      <c r="L246" s="107"/>
      <c r="M246" s="99"/>
      <c r="N246" s="99"/>
      <c r="O246" s="99"/>
      <c r="P246" s="99"/>
      <c r="Q246" s="99"/>
      <c r="R246" s="69"/>
      <c r="S246" s="99"/>
      <c r="T246" s="99"/>
      <c r="U246" s="69"/>
      <c r="V246" s="99"/>
      <c r="W246" s="69"/>
      <c r="X246" s="99"/>
      <c r="Y246" s="87"/>
      <c r="Z246" s="99"/>
      <c r="AA246" s="99"/>
      <c r="AB246" s="69"/>
      <c r="AC246" s="69"/>
      <c r="AD246" s="69"/>
      <c r="AE246" s="69"/>
      <c r="AF246" s="88"/>
      <c r="AG246" s="72"/>
      <c r="AH246" s="4"/>
      <c r="AI246" s="123"/>
      <c r="AJ246" s="124"/>
      <c r="AK246" s="123"/>
      <c r="AL246" s="123"/>
      <c r="AM246" s="123"/>
      <c r="AN246" s="123"/>
      <c r="AO246" s="123"/>
      <c r="AP246" s="123"/>
      <c r="AQ246" s="72"/>
      <c r="AR246" s="110"/>
      <c r="AS246" s="72"/>
      <c r="AT246" s="72"/>
      <c r="AU246" s="4"/>
      <c r="AV246" s="71">
        <f>24*3600*7</f>
        <v>604800</v>
      </c>
      <c r="AW246" s="71">
        <f>24*3600*35</f>
        <v>3024000</v>
      </c>
      <c r="AX246" s="71">
        <f>24*3600*70</f>
        <v>6048000</v>
      </c>
      <c r="AY246" s="71">
        <f>24*3600*350</f>
        <v>30240000</v>
      </c>
      <c r="AZ246" s="18"/>
      <c r="BA246" s="18"/>
      <c r="BB246" s="18"/>
      <c r="BC246" s="18"/>
      <c r="BD246" s="18"/>
      <c r="BE246" s="18"/>
      <c r="BF246" s="18"/>
      <c r="BG246" s="18"/>
      <c r="BH246" s="18"/>
      <c r="BI246" s="18"/>
      <c r="BJ246" s="18"/>
      <c r="BK246" s="18"/>
      <c r="BL246" s="18"/>
      <c r="BM246" s="18"/>
      <c r="BN246" s="18"/>
      <c r="BO246" s="18"/>
      <c r="BP246" s="18"/>
      <c r="BQ246" s="18"/>
      <c r="BR246" s="18"/>
      <c r="BS246" s="18"/>
      <c r="BT246" s="18"/>
      <c r="BU246" s="18"/>
      <c r="BV246" s="18"/>
      <c r="BW246" s="18"/>
      <c r="BX246" s="18"/>
      <c r="BY246" s="18"/>
      <c r="BZ246" s="18"/>
      <c r="CA246" s="18"/>
      <c r="CB246" s="18"/>
      <c r="CC246" s="18"/>
      <c r="CD246" s="18"/>
      <c r="CE246" s="18"/>
      <c r="CF246" s="18"/>
      <c r="CG246" s="18"/>
      <c r="CH246" s="18"/>
      <c r="CI246" s="18"/>
      <c r="CJ246" s="18"/>
      <c r="CK246" s="18"/>
      <c r="CL246" s="18"/>
      <c r="CM246" s="18"/>
      <c r="CN246" s="18"/>
      <c r="CO246" s="18"/>
      <c r="CP246" s="18"/>
      <c r="CQ246" s="18"/>
      <c r="CR246" s="17"/>
      <c r="CS246" s="17"/>
      <c r="CT246" s="17"/>
      <c r="CU246" s="17"/>
    </row>
    <row r="247" spans="1:99" s="19" customFormat="1" ht="12" customHeight="1" x14ac:dyDescent="0.2">
      <c r="A247" s="68">
        <v>43509</v>
      </c>
      <c r="B247" s="100" t="s">
        <v>176</v>
      </c>
      <c r="C247" s="100" t="s">
        <v>95</v>
      </c>
      <c r="D247" s="99">
        <v>2008</v>
      </c>
      <c r="E247" s="106">
        <v>1</v>
      </c>
      <c r="F247" s="99">
        <v>1354</v>
      </c>
      <c r="G247" s="99">
        <v>52.1</v>
      </c>
      <c r="H247" s="99" t="s">
        <v>32</v>
      </c>
      <c r="I247" s="99" t="s">
        <v>653</v>
      </c>
      <c r="J247" s="69" t="s">
        <v>475</v>
      </c>
      <c r="K247" s="69">
        <f>IF(J247="syllables",1,IF(J247="trigrams",2,IF(J247="strings",3,IF(J247="visual array",4,IF(J247="characters",5,IF(J247="letters",6,IF(J247="free forms",7,IF(J247="odors",8,IF(J247="words",9,IF(J247="pictures",10,IF(J247="object pictures",11,IF(J247="faces",12,IF(J247="names",13,IF(J247="idioms",14,IF(J247="grades",15,IF(J247="syllable-digit pairs",16,IF(J247="trigram-word pairs",17,IF(J247="word-digit pairs",18,IF(J247="English-Swahili pairs",19,IF(J247="spatial position",20,IF(J247="word pairs",21,IF(J247="word triads",22,IF(J247="generated words",23,IF(J247="word definition pairs",24,IF(J247="math problems",25,IF(J247="famous faces",26,IF(J247="famous names",27,IF(J247="famous voices",28,IF(J247="television programs",29,IF(J247="race horses",30,IF(J247="new vocabulary",31,IF(J247="sentences",32,IF(J247="concepts",33,IF(J247="ad slides",34,IF(J247="scenes",35,IF(J247="famous scenes",36,IF(J247="poems",37,IF(J247="walk",38,IF(J247="faces and events",39,IF(J247="events and names",40,IF(J247="flashbulb",41,IF(J247="stories",42,IF(J247="course material",43,IF(J247="autobiographical",44,IF(J247="novels",45,IF(J247="public events",46,"99"))))))))))))))))))))))))))))))))))))))))))))))</f>
        <v>32</v>
      </c>
      <c r="L247" s="69">
        <f>IF(J247="syllables",1,IF(J247="trigrams",1,IF(J247="strings",1,IF(J247="visual array",1,IF(J247="characters",1,IF(J247="letters",1,IF(J247="free forms",1,IF(J247="odors",2,IF(J247="words",2,IF(J247="pictures",2,IF(J247="object pictures",2,IF(J247="faces",2,IF(J247="names",2,IF(J247="idioms","2",IF(J247="grades",2,IF(J247="syllable-digit pairs",3,IF(J247="trigram-word pairs",3,IF(J247="word-digit pairs",3,IF(J247="English-Swahili pairs",3,IF(J247="spatial position",3,IF(J247="word pairs",4,IF(J247="word triads",4,IF(J247="generated words",4,IF(J247="word definition pairs",4,IF(J247="math problems",4,IF(J247="famous faces",4,IF(J247="famous names",4,IF(J247="famous voices",4,IF(J247="television programs",4,IF(J247="race horses",4,IF(J247="new vocabulary",4,IF(J247="sentences",5,IF(J247="concepts",5,IF(J247="ad slides",5,IF(J247="scenes",5,IF(J247="famous scenes",5,IF(J247="poems",6,IF(J247="walk",6,IF(J247="faces and events",6,IF(J247="events and names",6,IF(J247="flashbulb",7,IF(J247="stories",7,IF(J247="course material",7,IF(J247="autobiographical",7,IF(J247="novels",7,IF(J247="public events",7,"99"))))))))))))))))))))))))))))))))))))))))))))))</f>
        <v>5</v>
      </c>
      <c r="M247" s="99">
        <v>1</v>
      </c>
      <c r="N247" s="99">
        <v>4</v>
      </c>
      <c r="O247" s="99">
        <v>0</v>
      </c>
      <c r="P247" s="99"/>
      <c r="Q247" s="69" t="s">
        <v>174</v>
      </c>
      <c r="R247" s="69">
        <f>IF(Q247="Free Recall",1,IF(Q247="Cued Recall",2,IF(Q247="Recognition",3,IF(Q247="Multiple Choice",4,IF(Q247="Savings",5,IF(Q247="Stem Completion",6,IF(Q247="Fragment Completion",7,IF(Q247="anagram solution",8,IF(Q247="Matching",9,IF(Q247="Problem Solving",10,"99"))))))))))</f>
        <v>1</v>
      </c>
      <c r="S247" s="99" t="s">
        <v>49</v>
      </c>
      <c r="T247" s="99" t="s">
        <v>261</v>
      </c>
      <c r="U247" s="69">
        <f>IF(T247="within",1,0)</f>
        <v>0</v>
      </c>
      <c r="V247" s="99">
        <v>32</v>
      </c>
      <c r="W247" s="69">
        <f>F247*V247</f>
        <v>43328</v>
      </c>
      <c r="X247" s="99">
        <v>4</v>
      </c>
      <c r="Y247" s="87">
        <f>AV246</f>
        <v>604800</v>
      </c>
      <c r="Z247" s="99" t="s">
        <v>177</v>
      </c>
      <c r="AA247" s="99">
        <v>30240000</v>
      </c>
      <c r="AB247" s="69" t="str">
        <f>IF(AA247&lt;60,"1",IF(AA247&lt;=43200,"2",IF(AA247&lt;=777600,"3","4")))</f>
        <v>4</v>
      </c>
      <c r="AC247" s="72">
        <f>AVERAGE(AV246:DA246)</f>
        <v>9979200</v>
      </c>
      <c r="AD247" s="69" t="str">
        <f>IF(AC247&lt;60,"1",IF(AC247&lt;=43200,"2",IF(AC247&lt;=777600,"3","4")))</f>
        <v>4</v>
      </c>
      <c r="AE247" s="87">
        <f>AA247-Y247</f>
        <v>29635200</v>
      </c>
      <c r="AF247" s="88">
        <f>AV247</f>
        <v>0.98</v>
      </c>
      <c r="AG247" s="72">
        <f>((AW247-AV247)+(AX247-AW247)+(AY247-AX247))/3</f>
        <v>-0.28333333333333338</v>
      </c>
      <c r="AH247" s="4"/>
      <c r="AI247" s="72">
        <f>RSQ(AV247:AY247,AV246:AY246)</f>
        <v>0.76585316007177029</v>
      </c>
      <c r="AJ247" s="110">
        <f>SLOPE(AV247:AY247,AV246:AY246)</f>
        <v>-2.3198708746854484E-8</v>
      </c>
      <c r="AK247" s="72">
        <f>INTERCEPT(AV247:AY247,AV246:AY246)</f>
        <v>0.78900455432661021</v>
      </c>
      <c r="AL247" s="72">
        <f>INDEX(LINEST(LN(AV247:AY247),LN(AV246:AY246),TRUE,TRUE),3,1)</f>
        <v>0.92059077450383398</v>
      </c>
      <c r="AM247" s="72">
        <f>INDEX(LINEST(LN(AV247:AY247),LN(AV246:AY246)),1)</f>
        <v>-0.5214112085031487</v>
      </c>
      <c r="AN247" s="72">
        <f>EXP(INDEX(LINEST(LN(AV247:AY247),LN(AV246:AY246)),1,2))</f>
        <v>1264.4449660405814</v>
      </c>
      <c r="AO247" s="89">
        <f>INDEX(LINEST((AV247:AY247),LN(AV246:AY246),TRUE,TRUE),3,1)</f>
        <v>0.98525250185941826</v>
      </c>
      <c r="AP247" s="89">
        <f>INDEX(LINEST((AV247:AY247),LN(AV246:AY246)),1)</f>
        <v>-0.22208274799690472</v>
      </c>
      <c r="AQ247" s="90">
        <f>INDEX(LINEST(LN(AV247:AY247),SQRT(AV246:AY246),TRUE,TRUE),3,1)</f>
        <v>0.99401774346541827</v>
      </c>
      <c r="AR247" s="117">
        <f>INDEX(LINEST(LN(AV247:AY247),SQRT((AV246:AY246))),1)</f>
        <v>-4.3076748984350569E-4</v>
      </c>
      <c r="AS247" s="91">
        <f>INDEX(LINEST(1/(AV247:AY247),1/(SQRT(AV246:AY246)),TRUE,TRUE),3,1)</f>
        <v>0.50796695023227234</v>
      </c>
      <c r="AT247" s="91">
        <f>INDEX(LINEST(1/(AV247:AY247),1/SQRT(AV246:AY246)),1)</f>
        <v>-4624.161187438227</v>
      </c>
      <c r="AU247" s="4"/>
      <c r="AV247" s="101">
        <v>0.98</v>
      </c>
      <c r="AW247" s="101">
        <v>0.69</v>
      </c>
      <c r="AX247" s="101">
        <v>0.43</v>
      </c>
      <c r="AY247" s="101">
        <v>0.13</v>
      </c>
      <c r="AZ247" s="18"/>
      <c r="BA247" s="18"/>
      <c r="BB247" s="18"/>
      <c r="BC247" s="18"/>
      <c r="BD247" s="18"/>
      <c r="BE247" s="18"/>
      <c r="BF247" s="18"/>
      <c r="BG247" s="18"/>
      <c r="BH247" s="18"/>
      <c r="BI247" s="18"/>
      <c r="BJ247" s="18"/>
      <c r="BK247" s="18"/>
      <c r="BL247" s="18"/>
      <c r="BM247" s="18"/>
      <c r="BN247" s="18"/>
      <c r="BO247" s="18"/>
      <c r="BP247" s="18"/>
      <c r="BQ247" s="18"/>
      <c r="BR247" s="18"/>
      <c r="BS247" s="18"/>
      <c r="BT247" s="18"/>
      <c r="BU247" s="18"/>
      <c r="BV247" s="18"/>
      <c r="BW247" s="18"/>
      <c r="BX247" s="18"/>
      <c r="BY247" s="18"/>
      <c r="BZ247" s="18"/>
      <c r="CA247" s="18"/>
      <c r="CB247" s="18"/>
      <c r="CC247" s="18"/>
      <c r="CD247" s="18"/>
      <c r="CE247" s="18"/>
      <c r="CF247" s="18"/>
      <c r="CG247" s="18"/>
      <c r="CH247" s="18"/>
      <c r="CI247" s="18"/>
      <c r="CJ247" s="18"/>
      <c r="CK247" s="18"/>
      <c r="CL247" s="18"/>
      <c r="CM247" s="18"/>
      <c r="CN247" s="18"/>
      <c r="CO247" s="18"/>
      <c r="CP247" s="18"/>
      <c r="CQ247" s="18"/>
      <c r="CR247" s="17"/>
      <c r="CS247" s="17"/>
      <c r="CT247" s="17"/>
      <c r="CU247" s="17"/>
    </row>
    <row r="248" spans="1:99" s="19" customFormat="1" ht="12" customHeight="1" x14ac:dyDescent="0.2">
      <c r="A248" s="68">
        <v>43509</v>
      </c>
      <c r="B248" s="100"/>
      <c r="C248" s="100"/>
      <c r="D248" s="99"/>
      <c r="E248" s="106"/>
      <c r="F248" s="99"/>
      <c r="G248" s="99"/>
      <c r="H248" s="99"/>
      <c r="I248" s="99"/>
      <c r="J248" s="99"/>
      <c r="K248" s="107"/>
      <c r="L248" s="107"/>
      <c r="M248" s="99"/>
      <c r="N248" s="99"/>
      <c r="O248" s="99"/>
      <c r="P248" s="99"/>
      <c r="Q248" s="99"/>
      <c r="R248" s="69"/>
      <c r="S248" s="99"/>
      <c r="T248" s="99"/>
      <c r="U248" s="69"/>
      <c r="V248" s="99"/>
      <c r="W248" s="69"/>
      <c r="X248" s="99"/>
      <c r="Y248" s="87"/>
      <c r="Z248" s="99"/>
      <c r="AA248" s="99"/>
      <c r="AB248" s="69"/>
      <c r="AC248" s="69"/>
      <c r="AD248" s="69"/>
      <c r="AE248" s="69"/>
      <c r="AF248" s="88"/>
      <c r="AG248" s="72"/>
      <c r="AH248" s="4"/>
      <c r="AI248" s="123"/>
      <c r="AJ248" s="124"/>
      <c r="AK248" s="123"/>
      <c r="AL248" s="123"/>
      <c r="AM248" s="123"/>
      <c r="AN248" s="123"/>
      <c r="AO248" s="123"/>
      <c r="AP248" s="123"/>
      <c r="AQ248" s="72"/>
      <c r="AR248" s="110"/>
      <c r="AS248" s="72"/>
      <c r="AT248" s="72"/>
      <c r="AU248" s="4"/>
      <c r="AV248" s="71">
        <f>24*3600*7</f>
        <v>604800</v>
      </c>
      <c r="AW248" s="71">
        <f>24*3600*35</f>
        <v>3024000</v>
      </c>
      <c r="AX248" s="71">
        <f>24*3600*70</f>
        <v>6048000</v>
      </c>
      <c r="AY248" s="71">
        <f>24*3600*350</f>
        <v>30240000</v>
      </c>
      <c r="AZ248" s="18"/>
      <c r="BA248" s="18"/>
      <c r="BB248" s="18"/>
      <c r="BC248" s="18"/>
      <c r="BD248" s="18"/>
      <c r="BE248" s="18"/>
      <c r="BF248" s="18"/>
      <c r="BG248" s="18"/>
      <c r="BH248" s="18"/>
      <c r="BI248" s="18"/>
      <c r="BJ248" s="18"/>
      <c r="BK248" s="18"/>
      <c r="BL248" s="18"/>
      <c r="BM248" s="18"/>
      <c r="BN248" s="18"/>
      <c r="BO248" s="18"/>
      <c r="BP248" s="18"/>
      <c r="BQ248" s="18"/>
      <c r="BR248" s="18"/>
      <c r="BS248" s="18"/>
      <c r="BT248" s="18"/>
      <c r="BU248" s="18"/>
      <c r="BV248" s="18"/>
      <c r="BW248" s="18"/>
      <c r="BX248" s="18"/>
      <c r="BY248" s="18"/>
      <c r="BZ248" s="18"/>
      <c r="CA248" s="18"/>
      <c r="CB248" s="18"/>
      <c r="CC248" s="18"/>
      <c r="CD248" s="18"/>
      <c r="CE248" s="18"/>
      <c r="CF248" s="18"/>
      <c r="CG248" s="18"/>
      <c r="CH248" s="18"/>
      <c r="CI248" s="18"/>
      <c r="CJ248" s="18"/>
      <c r="CK248" s="18"/>
      <c r="CL248" s="18"/>
      <c r="CM248" s="18"/>
      <c r="CN248" s="18"/>
      <c r="CO248" s="18"/>
      <c r="CP248" s="18"/>
      <c r="CQ248" s="18"/>
      <c r="CR248" s="17"/>
      <c r="CS248" s="17"/>
      <c r="CT248" s="17"/>
      <c r="CU248" s="17"/>
    </row>
    <row r="249" spans="1:99" s="19" customFormat="1" ht="12" customHeight="1" x14ac:dyDescent="0.2">
      <c r="A249" s="68">
        <v>43509</v>
      </c>
      <c r="B249" s="100" t="s">
        <v>176</v>
      </c>
      <c r="C249" s="100" t="s">
        <v>95</v>
      </c>
      <c r="D249" s="99">
        <v>2008</v>
      </c>
      <c r="E249" s="106">
        <v>1</v>
      </c>
      <c r="F249" s="99">
        <v>1354</v>
      </c>
      <c r="G249" s="99">
        <v>52.1</v>
      </c>
      <c r="H249" s="99" t="s">
        <v>32</v>
      </c>
      <c r="I249" s="99" t="s">
        <v>654</v>
      </c>
      <c r="J249" s="69" t="s">
        <v>475</v>
      </c>
      <c r="K249" s="69">
        <f>IF(J249="syllables",1,IF(J249="trigrams",2,IF(J249="strings",3,IF(J249="visual array",4,IF(J249="characters",5,IF(J249="letters",6,IF(J249="free forms",7,IF(J249="odors",8,IF(J249="words",9,IF(J249="pictures",10,IF(J249="object pictures",11,IF(J249="faces",12,IF(J249="names",13,IF(J249="idioms",14,IF(J249="grades",15,IF(J249="syllable-digit pairs",16,IF(J249="trigram-word pairs",17,IF(J249="word-digit pairs",18,IF(J249="English-Swahili pairs",19,IF(J249="spatial position",20,IF(J249="word pairs",21,IF(J249="word triads",22,IF(J249="generated words",23,IF(J249="word definition pairs",24,IF(J249="math problems",25,IF(J249="famous faces",26,IF(J249="famous names",27,IF(J249="famous voices",28,IF(J249="television programs",29,IF(J249="race horses",30,IF(J249="new vocabulary",31,IF(J249="sentences",32,IF(J249="concepts",33,IF(J249="ad slides",34,IF(J249="scenes",35,IF(J249="famous scenes",36,IF(J249="poems",37,IF(J249="walk",38,IF(J249="faces and events",39,IF(J249="events and names",40,IF(J249="flashbulb",41,IF(J249="stories",42,IF(J249="course material",43,IF(J249="autobiographical",44,IF(J249="novels",45,IF(J249="public events",46,"99"))))))))))))))))))))))))))))))))))))))))))))))</f>
        <v>32</v>
      </c>
      <c r="L249" s="69">
        <f>IF(J249="syllables",1,IF(J249="trigrams",1,IF(J249="strings",1,IF(J249="visual array",1,IF(J249="characters",1,IF(J249="letters",1,IF(J249="free forms",1,IF(J249="odors",2,IF(J249="words",2,IF(J249="pictures",2,IF(J249="object pictures",2,IF(J249="faces",2,IF(J249="names",2,IF(J249="idioms","2",IF(J249="grades",2,IF(J249="syllable-digit pairs",3,IF(J249="trigram-word pairs",3,IF(J249="word-digit pairs",3,IF(J249="English-Swahili pairs",3,IF(J249="spatial position",3,IF(J249="word pairs",4,IF(J249="word triads",4,IF(J249="generated words",4,IF(J249="word definition pairs",4,IF(J249="math problems",4,IF(J249="famous faces",4,IF(J249="famous names",4,IF(J249="famous voices",4,IF(J249="television programs",4,IF(J249="race horses",4,IF(J249="new vocabulary",4,IF(J249="sentences",5,IF(J249="concepts",5,IF(J249="ad slides",5,IF(J249="scenes",5,IF(J249="famous scenes",5,IF(J249="poems",6,IF(J249="walk",6,IF(J249="faces and events",6,IF(J249="events and names",6,IF(J249="flashbulb",7,IF(J249="stories",7,IF(J249="course material",7,IF(J249="autobiographical",7,IF(J249="novels",7,IF(J249="public events",7,"99"))))))))))))))))))))))))))))))))))))))))))))))</f>
        <v>5</v>
      </c>
      <c r="M249" s="99">
        <v>1</v>
      </c>
      <c r="N249" s="99">
        <v>4</v>
      </c>
      <c r="O249" s="99">
        <v>0</v>
      </c>
      <c r="P249" s="99"/>
      <c r="Q249" s="69" t="s">
        <v>174</v>
      </c>
      <c r="R249" s="69">
        <f>IF(Q249="Free Recall",1,IF(Q249="Cued Recall",2,IF(Q249="Recognition",3,IF(Q249="Multiple Choice",4,IF(Q249="Savings",5,IF(Q249="Stem Completion",6,IF(Q249="Fragment Completion",7,IF(Q249="anagram solution",8,IF(Q249="Matching",9,IF(Q249="Problem Solving",10,"99"))))))))))</f>
        <v>1</v>
      </c>
      <c r="S249" s="99" t="s">
        <v>49</v>
      </c>
      <c r="T249" s="99" t="s">
        <v>261</v>
      </c>
      <c r="U249" s="69">
        <f>IF(T249="within",1,0)</f>
        <v>0</v>
      </c>
      <c r="V249" s="99">
        <v>32</v>
      </c>
      <c r="W249" s="69">
        <f>F249*V249</f>
        <v>43328</v>
      </c>
      <c r="X249" s="99">
        <v>4</v>
      </c>
      <c r="Y249" s="87">
        <f>AV248</f>
        <v>604800</v>
      </c>
      <c r="Z249" s="99" t="s">
        <v>177</v>
      </c>
      <c r="AA249" s="99">
        <v>30240000</v>
      </c>
      <c r="AB249" s="69" t="str">
        <f>IF(AA249&lt;60,"1",IF(AA249&lt;=43200,"2",IF(AA249&lt;=777600,"3","4")))</f>
        <v>4</v>
      </c>
      <c r="AC249" s="72">
        <f>AVERAGE(AV248:DA248)</f>
        <v>9979200</v>
      </c>
      <c r="AD249" s="69" t="str">
        <f>IF(AC249&lt;60,"1",IF(AC249&lt;=43200,"2",IF(AC249&lt;=777600,"3","4")))</f>
        <v>4</v>
      </c>
      <c r="AE249" s="87">
        <f>AA249-Y249</f>
        <v>29635200</v>
      </c>
      <c r="AF249" s="88">
        <f>AV249</f>
        <v>0.95</v>
      </c>
      <c r="AG249" s="72">
        <f>((AW249-AV249)+(AX249-AW249)+(AY249-AX249))/3</f>
        <v>-0.26666666666666666</v>
      </c>
      <c r="AH249" s="4"/>
      <c r="AI249" s="72">
        <f>RSQ(AV249:AY249,AV248:AY248)</f>
        <v>0.93944206949650599</v>
      </c>
      <c r="AJ249" s="110">
        <f>SLOPE(AV249:AY249,AV248:AY248)</f>
        <v>-2.4597193391923386E-8</v>
      </c>
      <c r="AK249" s="72">
        <f>INTERCEPT(AV249:AY249,AV248:AY248)</f>
        <v>0.87296031229668181</v>
      </c>
      <c r="AL249" s="72">
        <f>INDEX(LINEST(LN(AV249:AY249),LN(AV248:AY248),TRUE,TRUE),3,1)</f>
        <v>0.82052082151714656</v>
      </c>
      <c r="AM249" s="72">
        <f>INDEX(LINEST(LN(AV249:AY249),LN(AV248:AY248)),1)</f>
        <v>-0.46937964364704871</v>
      </c>
      <c r="AN249" s="72">
        <f>EXP(INDEX(LINEST(LN(AV249:AY249),LN(AV248:AY248)),1,2))</f>
        <v>665.36586606126309</v>
      </c>
      <c r="AO249" s="89">
        <f>INDEX(LINEST((AV249:AY249),LN(AV248:AY248),TRUE,TRUE),3,1)</f>
        <v>0.93052893022318917</v>
      </c>
      <c r="AP249" s="89">
        <f>INDEX(LINEST((AV249:AY249),LN(AV248:AY248)),1)</f>
        <v>-0.20661673037880743</v>
      </c>
      <c r="AQ249" s="90">
        <f>INDEX(LINEST(LN(AV249:AY249),SQRT(AV248:AY248),TRUE,TRUE),3,1)</f>
        <v>0.98105017333981503</v>
      </c>
      <c r="AR249" s="117">
        <f>INDEX(LINEST(LN(AV249:AY249),SQRT((AV248:AY248))),1)</f>
        <v>-4.0805983993045516E-4</v>
      </c>
      <c r="AS249" s="91">
        <f>INDEX(LINEST(1/(AV249:AY249),1/(SQRT(AV248:AY248)),TRUE,TRUE),3,1)</f>
        <v>0.43786809683746369</v>
      </c>
      <c r="AT249" s="91">
        <f>INDEX(LINEST(1/(AV249:AY249),1/SQRT(AV248:AY248)),1)</f>
        <v>-3727.8971790097903</v>
      </c>
      <c r="AU249" s="4"/>
      <c r="AV249" s="101">
        <v>0.95</v>
      </c>
      <c r="AW249" s="101">
        <v>0.8</v>
      </c>
      <c r="AX249" s="101">
        <v>0.61</v>
      </c>
      <c r="AY249" s="101">
        <v>0.15</v>
      </c>
      <c r="AZ249" s="18"/>
      <c r="BA249" s="18"/>
      <c r="BB249" s="18"/>
      <c r="BC249" s="18"/>
      <c r="BD249" s="18"/>
      <c r="BE249" s="18"/>
      <c r="BF249" s="18"/>
      <c r="BG249" s="18"/>
      <c r="BH249" s="18"/>
      <c r="BI249" s="18"/>
      <c r="BJ249" s="18"/>
      <c r="BK249" s="18"/>
      <c r="BL249" s="18"/>
      <c r="BM249" s="18"/>
      <c r="BN249" s="18"/>
      <c r="BO249" s="18"/>
      <c r="BP249" s="18"/>
      <c r="BQ249" s="18"/>
      <c r="BR249" s="18"/>
      <c r="BS249" s="18"/>
      <c r="BT249" s="18"/>
      <c r="BU249" s="18"/>
      <c r="BV249" s="18"/>
      <c r="BW249" s="18"/>
      <c r="BX249" s="18"/>
      <c r="BY249" s="18"/>
      <c r="BZ249" s="18"/>
      <c r="CA249" s="18"/>
      <c r="CB249" s="18"/>
      <c r="CC249" s="18"/>
      <c r="CD249" s="18"/>
      <c r="CE249" s="18"/>
      <c r="CF249" s="18"/>
      <c r="CG249" s="18"/>
      <c r="CH249" s="18"/>
      <c r="CI249" s="18"/>
      <c r="CJ249" s="18"/>
      <c r="CK249" s="18"/>
      <c r="CL249" s="18"/>
      <c r="CM249" s="18"/>
      <c r="CN249" s="18"/>
      <c r="CO249" s="18"/>
      <c r="CP249" s="18"/>
      <c r="CQ249" s="18"/>
      <c r="CR249" s="17"/>
      <c r="CS249" s="17"/>
      <c r="CT249" s="17"/>
      <c r="CU249" s="17"/>
    </row>
    <row r="250" spans="1:99" s="19" customFormat="1" ht="12" customHeight="1" x14ac:dyDescent="0.2">
      <c r="A250" s="68">
        <v>43509</v>
      </c>
      <c r="B250" s="100"/>
      <c r="C250" s="100"/>
      <c r="D250" s="99"/>
      <c r="E250" s="106"/>
      <c r="F250" s="99"/>
      <c r="G250" s="99"/>
      <c r="H250" s="99"/>
      <c r="I250" s="99"/>
      <c r="J250" s="99"/>
      <c r="K250" s="107"/>
      <c r="L250" s="107"/>
      <c r="M250" s="99"/>
      <c r="N250" s="99"/>
      <c r="O250" s="99"/>
      <c r="P250" s="99"/>
      <c r="Q250" s="99"/>
      <c r="R250" s="69"/>
      <c r="S250" s="99"/>
      <c r="T250" s="99"/>
      <c r="U250" s="69"/>
      <c r="V250" s="99"/>
      <c r="W250" s="69"/>
      <c r="X250" s="99"/>
      <c r="Y250" s="87"/>
      <c r="Z250" s="99"/>
      <c r="AA250" s="99"/>
      <c r="AB250" s="69"/>
      <c r="AC250" s="69"/>
      <c r="AD250" s="69"/>
      <c r="AE250" s="69"/>
      <c r="AF250" s="88"/>
      <c r="AG250" s="72"/>
      <c r="AH250" s="4"/>
      <c r="AI250" s="123"/>
      <c r="AJ250" s="124"/>
      <c r="AK250" s="123"/>
      <c r="AL250" s="123"/>
      <c r="AM250" s="123"/>
      <c r="AN250" s="123"/>
      <c r="AO250" s="123"/>
      <c r="AP250" s="123"/>
      <c r="AQ250" s="72"/>
      <c r="AR250" s="110"/>
      <c r="AS250" s="72"/>
      <c r="AT250" s="72"/>
      <c r="AU250" s="4"/>
      <c r="AV250" s="71">
        <f>24*3600*7</f>
        <v>604800</v>
      </c>
      <c r="AW250" s="71">
        <f>24*3600*35</f>
        <v>3024000</v>
      </c>
      <c r="AX250" s="71">
        <f>24*3600*70</f>
        <v>6048000</v>
      </c>
      <c r="AY250" s="71">
        <f>24*3600*350</f>
        <v>30240000</v>
      </c>
      <c r="AZ250" s="18"/>
      <c r="BA250" s="18"/>
      <c r="BB250" s="18"/>
      <c r="BC250" s="18"/>
      <c r="BD250" s="18"/>
      <c r="BE250" s="18"/>
      <c r="BF250" s="18"/>
      <c r="BG250" s="18"/>
      <c r="BH250" s="18"/>
      <c r="BI250" s="18"/>
      <c r="BJ250" s="18"/>
      <c r="BK250" s="18"/>
      <c r="BL250" s="18"/>
      <c r="BM250" s="18"/>
      <c r="BN250" s="18"/>
      <c r="BO250" s="18"/>
      <c r="BP250" s="18"/>
      <c r="BQ250" s="18"/>
      <c r="BR250" s="18"/>
      <c r="BS250" s="18"/>
      <c r="BT250" s="18"/>
      <c r="BU250" s="18"/>
      <c r="BV250" s="18"/>
      <c r="BW250" s="18"/>
      <c r="BX250" s="18"/>
      <c r="BY250" s="18"/>
      <c r="BZ250" s="18"/>
      <c r="CA250" s="18"/>
      <c r="CB250" s="18"/>
      <c r="CC250" s="18"/>
      <c r="CD250" s="18"/>
      <c r="CE250" s="18"/>
      <c r="CF250" s="18"/>
      <c r="CG250" s="18"/>
      <c r="CH250" s="18"/>
      <c r="CI250" s="18"/>
      <c r="CJ250" s="18"/>
      <c r="CK250" s="18"/>
      <c r="CL250" s="18"/>
      <c r="CM250" s="18"/>
      <c r="CN250" s="18"/>
      <c r="CO250" s="18"/>
      <c r="CP250" s="18"/>
      <c r="CQ250" s="18"/>
      <c r="CR250" s="17"/>
      <c r="CS250" s="17"/>
      <c r="CT250" s="17"/>
      <c r="CU250" s="17"/>
    </row>
    <row r="251" spans="1:99" s="19" customFormat="1" ht="12" customHeight="1" x14ac:dyDescent="0.2">
      <c r="A251" s="68">
        <v>43509</v>
      </c>
      <c r="B251" s="100" t="s">
        <v>176</v>
      </c>
      <c r="C251" s="100" t="s">
        <v>95</v>
      </c>
      <c r="D251" s="99">
        <v>2008</v>
      </c>
      <c r="E251" s="106">
        <v>1</v>
      </c>
      <c r="F251" s="99">
        <v>1354</v>
      </c>
      <c r="G251" s="99">
        <v>52.1</v>
      </c>
      <c r="H251" s="99" t="s">
        <v>32</v>
      </c>
      <c r="I251" s="99" t="s">
        <v>655</v>
      </c>
      <c r="J251" s="69" t="s">
        <v>475</v>
      </c>
      <c r="K251" s="69">
        <f>IF(J251="syllables",1,IF(J251="trigrams",2,IF(J251="strings",3,IF(J251="visual array",4,IF(J251="characters",5,IF(J251="letters",6,IF(J251="free forms",7,IF(J251="odors",8,IF(J251="words",9,IF(J251="pictures",10,IF(J251="object pictures",11,IF(J251="faces",12,IF(J251="names",13,IF(J251="idioms",14,IF(J251="grades",15,IF(J251="syllable-digit pairs",16,IF(J251="trigram-word pairs",17,IF(J251="word-digit pairs",18,IF(J251="English-Swahili pairs",19,IF(J251="spatial position",20,IF(J251="word pairs",21,IF(J251="word triads",22,IF(J251="generated words",23,IF(J251="word definition pairs",24,IF(J251="math problems",25,IF(J251="famous faces",26,IF(J251="famous names",27,IF(J251="famous voices",28,IF(J251="television programs",29,IF(J251="race horses",30,IF(J251="new vocabulary",31,IF(J251="sentences",32,IF(J251="concepts",33,IF(J251="ad slides",34,IF(J251="scenes",35,IF(J251="famous scenes",36,IF(J251="poems",37,IF(J251="walk",38,IF(J251="faces and events",39,IF(J251="events and names",40,IF(J251="flashbulb",41,IF(J251="stories",42,IF(J251="course material",43,IF(J251="autobiographical",44,IF(J251="novels",45,IF(J251="public events",46,"99"))))))))))))))))))))))))))))))))))))))))))))))</f>
        <v>32</v>
      </c>
      <c r="L251" s="69">
        <f>IF(J251="syllables",1,IF(J251="trigrams",1,IF(J251="strings",1,IF(J251="visual array",1,IF(J251="characters",1,IF(J251="letters",1,IF(J251="free forms",1,IF(J251="odors",2,IF(J251="words",2,IF(J251="pictures",2,IF(J251="object pictures",2,IF(J251="faces",2,IF(J251="names",2,IF(J251="idioms","2",IF(J251="grades",2,IF(J251="syllable-digit pairs",3,IF(J251="trigram-word pairs",3,IF(J251="word-digit pairs",3,IF(J251="English-Swahili pairs",3,IF(J251="spatial position",3,IF(J251="word pairs",4,IF(J251="word triads",4,IF(J251="generated words",4,IF(J251="word definition pairs",4,IF(J251="math problems",4,IF(J251="famous faces",4,IF(J251="famous names",4,IF(J251="famous voices",4,IF(J251="television programs",4,IF(J251="race horses",4,IF(J251="new vocabulary",4,IF(J251="sentences",5,IF(J251="concepts",5,IF(J251="ad slides",5,IF(J251="scenes",5,IF(J251="famous scenes",5,IF(J251="poems",6,IF(J251="walk",6,IF(J251="faces and events",6,IF(J251="events and names",6,IF(J251="flashbulb",7,IF(J251="stories",7,IF(J251="course material",7,IF(J251="autobiographical",7,IF(J251="novels",7,IF(J251="public events",7,"99"))))))))))))))))))))))))))))))))))))))))))))))</f>
        <v>5</v>
      </c>
      <c r="M251" s="99">
        <v>1</v>
      </c>
      <c r="N251" s="99">
        <v>4</v>
      </c>
      <c r="O251" s="99">
        <v>0</v>
      </c>
      <c r="P251" s="99"/>
      <c r="Q251" s="69" t="s">
        <v>174</v>
      </c>
      <c r="R251" s="69">
        <f>IF(Q251="Free Recall",1,IF(Q251="Cued Recall",2,IF(Q251="Recognition",3,IF(Q251="Multiple Choice",4,IF(Q251="Savings",5,IF(Q251="Stem Completion",6,IF(Q251="Fragment Completion",7,IF(Q251="anagram solution",8,IF(Q251="Matching",9,IF(Q251="Problem Solving",10,"99"))))))))))</f>
        <v>1</v>
      </c>
      <c r="S251" s="99" t="s">
        <v>49</v>
      </c>
      <c r="T251" s="99" t="s">
        <v>261</v>
      </c>
      <c r="U251" s="69">
        <f>IF(T251="within",1,0)</f>
        <v>0</v>
      </c>
      <c r="V251" s="99">
        <v>32</v>
      </c>
      <c r="W251" s="69">
        <f>F251*V251</f>
        <v>43328</v>
      </c>
      <c r="X251" s="99">
        <v>4</v>
      </c>
      <c r="Y251" s="87">
        <f>AV250</f>
        <v>604800</v>
      </c>
      <c r="Z251" s="99" t="s">
        <v>177</v>
      </c>
      <c r="AA251" s="99">
        <v>30240000</v>
      </c>
      <c r="AB251" s="69" t="str">
        <f>IF(AA251&lt;60,"1",IF(AA251&lt;=43200,"2",IF(AA251&lt;=777600,"3","4")))</f>
        <v>4</v>
      </c>
      <c r="AC251" s="72">
        <f>AVERAGE(AV250:DA250)</f>
        <v>9979200</v>
      </c>
      <c r="AD251" s="69" t="str">
        <f>IF(AC251&lt;60,"1",IF(AC251&lt;=43200,"2",IF(AC251&lt;=777600,"3","4")))</f>
        <v>4</v>
      </c>
      <c r="AE251" s="87">
        <f>AA251-Y251</f>
        <v>29635200</v>
      </c>
      <c r="AF251" s="88">
        <f>AV251</f>
        <v>0.94</v>
      </c>
      <c r="AG251" s="72">
        <f>((AW251-AV251)+(AX251-AW251)+(AY251-AX251))/3</f>
        <v>-0.23666666666666666</v>
      </c>
      <c r="AH251" s="4"/>
      <c r="AI251" s="72">
        <f>RSQ(AV251:AY251,AV250:AY250)</f>
        <v>0.91173400313906006</v>
      </c>
      <c r="AJ251" s="110">
        <f>SLOPE(AV251:AY251,AV250:AY250)</f>
        <v>-2.1052572695383367E-8</v>
      </c>
      <c r="AK251" s="72">
        <f>INTERCEPT(AV251:AY251,AV250:AY250)</f>
        <v>0.84508783344176974</v>
      </c>
      <c r="AL251" s="72">
        <f>INDEX(LINEST(LN(AV251:AY251),LN(AV250:AY250),TRUE,TRUE),3,1)</f>
        <v>0.87429094548962816</v>
      </c>
      <c r="AM251" s="72">
        <f>INDEX(LINEST(LN(AV251:AY251),LN(AV250:AY250)),1)</f>
        <v>-0.3585661426719528</v>
      </c>
      <c r="AN251" s="72">
        <f>EXP(INDEX(LINEST(LN(AV251:AY251),LN(AV250:AY250)),1,2))</f>
        <v>134.25688760632858</v>
      </c>
      <c r="AO251" s="89">
        <f>INDEX(LINEST((AV251:AY251),LN(AV250:AY250),TRUE,TRUE),3,1)</f>
        <v>0.96237140514587072</v>
      </c>
      <c r="AP251" s="89">
        <f>INDEX(LINEST((AV251:AY251),LN(AV250:AY250)),1)</f>
        <v>-0.18255445934357042</v>
      </c>
      <c r="AQ251" s="90">
        <f>INDEX(LINEST(LN(AV251:AY251),SQRT(AV250:AY250),TRUE,TRUE),3,1)</f>
        <v>0.9959813128129722</v>
      </c>
      <c r="AR251" s="117">
        <f>INDEX(LINEST(LN(AV251:AY251),SQRT((AV250:AY250))),1)</f>
        <v>-3.0427458693928124E-4</v>
      </c>
      <c r="AS251" s="91">
        <f>INDEX(LINEST(1/(AV251:AY251),1/(SQRT(AV250:AY250)),TRUE,TRUE),3,1)</f>
        <v>0.50063213941419626</v>
      </c>
      <c r="AT251" s="91">
        <f>INDEX(LINEST(1/(AV251:AY251),1/SQRT(AV250:AY250)),1)</f>
        <v>-2258.1419281121475</v>
      </c>
      <c r="AU251" s="4"/>
      <c r="AV251" s="101">
        <v>0.94</v>
      </c>
      <c r="AW251" s="101">
        <v>0.76</v>
      </c>
      <c r="AX251" s="101">
        <v>0.61</v>
      </c>
      <c r="AY251" s="101">
        <v>0.23</v>
      </c>
      <c r="AZ251" s="18"/>
      <c r="BA251" s="18"/>
      <c r="BB251" s="18"/>
      <c r="BC251" s="18"/>
      <c r="BD251" s="18"/>
      <c r="BE251" s="18"/>
      <c r="BF251" s="18"/>
      <c r="BG251" s="18"/>
      <c r="BH251" s="18"/>
      <c r="BI251" s="18"/>
      <c r="BJ251" s="18"/>
      <c r="BK251" s="18"/>
      <c r="BL251" s="18"/>
      <c r="BM251" s="18"/>
      <c r="BN251" s="18"/>
      <c r="BO251" s="18"/>
      <c r="BP251" s="18"/>
      <c r="BQ251" s="18"/>
      <c r="BR251" s="18"/>
      <c r="BS251" s="18"/>
      <c r="BT251" s="18"/>
      <c r="BU251" s="18"/>
      <c r="BV251" s="18"/>
      <c r="BW251" s="18"/>
      <c r="BX251" s="18"/>
      <c r="BY251" s="18"/>
      <c r="BZ251" s="18"/>
      <c r="CA251" s="18"/>
      <c r="CB251" s="18"/>
      <c r="CC251" s="18"/>
      <c r="CD251" s="18"/>
      <c r="CE251" s="18"/>
      <c r="CF251" s="18"/>
      <c r="CG251" s="18"/>
      <c r="CH251" s="18"/>
      <c r="CI251" s="18"/>
      <c r="CJ251" s="18"/>
      <c r="CK251" s="18"/>
      <c r="CL251" s="18"/>
      <c r="CM251" s="18"/>
      <c r="CN251" s="18"/>
      <c r="CO251" s="18"/>
      <c r="CP251" s="18"/>
      <c r="CQ251" s="18"/>
      <c r="CR251" s="17"/>
      <c r="CS251" s="17"/>
      <c r="CT251" s="17"/>
      <c r="CU251" s="17"/>
    </row>
    <row r="252" spans="1:99" s="19" customFormat="1" ht="12" customHeight="1" x14ac:dyDescent="0.2">
      <c r="A252" s="68">
        <v>43509</v>
      </c>
      <c r="B252" s="100"/>
      <c r="C252" s="100"/>
      <c r="D252" s="99"/>
      <c r="E252" s="106"/>
      <c r="F252" s="99"/>
      <c r="G252" s="99"/>
      <c r="H252" s="99"/>
      <c r="I252" s="99"/>
      <c r="J252" s="99"/>
      <c r="K252" s="107"/>
      <c r="L252" s="107"/>
      <c r="M252" s="99"/>
      <c r="N252" s="99"/>
      <c r="O252" s="99"/>
      <c r="P252" s="99"/>
      <c r="Q252" s="99"/>
      <c r="R252" s="69"/>
      <c r="S252" s="99"/>
      <c r="T252" s="99"/>
      <c r="U252" s="69"/>
      <c r="V252" s="99"/>
      <c r="W252" s="69"/>
      <c r="X252" s="99"/>
      <c r="Y252" s="87"/>
      <c r="Z252" s="99"/>
      <c r="AA252" s="99"/>
      <c r="AB252" s="69"/>
      <c r="AC252" s="69"/>
      <c r="AD252" s="69"/>
      <c r="AE252" s="69"/>
      <c r="AF252" s="88"/>
      <c r="AG252" s="72"/>
      <c r="AH252" s="4"/>
      <c r="AI252" s="123"/>
      <c r="AJ252" s="124"/>
      <c r="AK252" s="123"/>
      <c r="AL252" s="123"/>
      <c r="AM252" s="123"/>
      <c r="AN252" s="123"/>
      <c r="AO252" s="123"/>
      <c r="AP252" s="123"/>
      <c r="AQ252" s="72"/>
      <c r="AR252" s="110"/>
      <c r="AS252" s="72"/>
      <c r="AT252" s="72"/>
      <c r="AU252" s="4"/>
      <c r="AV252" s="71">
        <f>24*3600*7</f>
        <v>604800</v>
      </c>
      <c r="AW252" s="71">
        <f>24*3600*35</f>
        <v>3024000</v>
      </c>
      <c r="AX252" s="71">
        <f>24*3600*70</f>
        <v>6048000</v>
      </c>
      <c r="AY252" s="71">
        <f>24*3600*350</f>
        <v>30240000</v>
      </c>
      <c r="AZ252" s="18"/>
      <c r="BA252" s="18"/>
      <c r="BB252" s="18"/>
      <c r="BC252" s="18"/>
      <c r="BD252" s="18"/>
      <c r="BE252" s="18"/>
      <c r="BF252" s="18"/>
      <c r="BG252" s="18"/>
      <c r="BH252" s="18"/>
      <c r="BI252" s="18"/>
      <c r="BJ252" s="18"/>
      <c r="BK252" s="18"/>
      <c r="BL252" s="18"/>
      <c r="BM252" s="18"/>
      <c r="BN252" s="18"/>
      <c r="BO252" s="18"/>
      <c r="BP252" s="18"/>
      <c r="BQ252" s="18"/>
      <c r="BR252" s="18"/>
      <c r="BS252" s="18"/>
      <c r="BT252" s="18"/>
      <c r="BU252" s="18"/>
      <c r="BV252" s="18"/>
      <c r="BW252" s="18"/>
      <c r="BX252" s="18"/>
      <c r="BY252" s="18"/>
      <c r="BZ252" s="18"/>
      <c r="CA252" s="18"/>
      <c r="CB252" s="18"/>
      <c r="CC252" s="18"/>
      <c r="CD252" s="18"/>
      <c r="CE252" s="18"/>
      <c r="CF252" s="18"/>
      <c r="CG252" s="18"/>
      <c r="CH252" s="18"/>
      <c r="CI252" s="18"/>
      <c r="CJ252" s="18"/>
      <c r="CK252" s="18"/>
      <c r="CL252" s="18"/>
      <c r="CM252" s="18"/>
      <c r="CN252" s="18"/>
      <c r="CO252" s="18"/>
      <c r="CP252" s="18"/>
      <c r="CQ252" s="18"/>
      <c r="CR252" s="17"/>
      <c r="CS252" s="17"/>
      <c r="CT252" s="17"/>
      <c r="CU252" s="17"/>
    </row>
    <row r="253" spans="1:99" s="19" customFormat="1" ht="12" customHeight="1" x14ac:dyDescent="0.2">
      <c r="A253" s="68">
        <v>43509</v>
      </c>
      <c r="B253" s="100" t="s">
        <v>176</v>
      </c>
      <c r="C253" s="100" t="s">
        <v>95</v>
      </c>
      <c r="D253" s="99">
        <v>2008</v>
      </c>
      <c r="E253" s="106">
        <v>1</v>
      </c>
      <c r="F253" s="99">
        <v>1354</v>
      </c>
      <c r="G253" s="99">
        <v>52.1</v>
      </c>
      <c r="H253" s="99" t="s">
        <v>32</v>
      </c>
      <c r="I253" s="99" t="s">
        <v>656</v>
      </c>
      <c r="J253" s="69" t="s">
        <v>475</v>
      </c>
      <c r="K253" s="69">
        <f>IF(J253="syllables",1,IF(J253="trigrams",2,IF(J253="strings",3,IF(J253="visual array",4,IF(J253="characters",5,IF(J253="letters",6,IF(J253="free forms",7,IF(J253="odors",8,IF(J253="words",9,IF(J253="pictures",10,IF(J253="object pictures",11,IF(J253="faces",12,IF(J253="names",13,IF(J253="idioms",14,IF(J253="grades",15,IF(J253="syllable-digit pairs",16,IF(J253="trigram-word pairs",17,IF(J253="word-digit pairs",18,IF(J253="English-Swahili pairs",19,IF(J253="spatial position",20,IF(J253="word pairs",21,IF(J253="word triads",22,IF(J253="generated words",23,IF(J253="word definition pairs",24,IF(J253="math problems",25,IF(J253="famous faces",26,IF(J253="famous names",27,IF(J253="famous voices",28,IF(J253="television programs",29,IF(J253="race horses",30,IF(J253="new vocabulary",31,IF(J253="sentences",32,IF(J253="concepts",33,IF(J253="ad slides",34,IF(J253="scenes",35,IF(J253="famous scenes",36,IF(J253="poems",37,IF(J253="walk",38,IF(J253="faces and events",39,IF(J253="events and names",40,IF(J253="flashbulb",41,IF(J253="stories",42,IF(J253="course material",43,IF(J253="autobiographical",44,IF(J253="novels",45,IF(J253="public events",46,"99"))))))))))))))))))))))))))))))))))))))))))))))</f>
        <v>32</v>
      </c>
      <c r="L253" s="69">
        <f>IF(J253="syllables",1,IF(J253="trigrams",1,IF(J253="strings",1,IF(J253="visual array",1,IF(J253="characters",1,IF(J253="letters",1,IF(J253="free forms",1,IF(J253="odors",2,IF(J253="words",2,IF(J253="pictures",2,IF(J253="object pictures",2,IF(J253="faces",2,IF(J253="names",2,IF(J253="idioms","2",IF(J253="grades",2,IF(J253="syllable-digit pairs",3,IF(J253="trigram-word pairs",3,IF(J253="word-digit pairs",3,IF(J253="English-Swahili pairs",3,IF(J253="spatial position",3,IF(J253="word pairs",4,IF(J253="word triads",4,IF(J253="generated words",4,IF(J253="word definition pairs",4,IF(J253="math problems",4,IF(J253="famous faces",4,IF(J253="famous names",4,IF(J253="famous voices",4,IF(J253="television programs",4,IF(J253="race horses",4,IF(J253="new vocabulary",4,IF(J253="sentences",5,IF(J253="concepts",5,IF(J253="ad slides",5,IF(J253="scenes",5,IF(J253="famous scenes",5,IF(J253="poems",6,IF(J253="walk",6,IF(J253="faces and events",6,IF(J253="events and names",6,IF(J253="flashbulb",7,IF(J253="stories",7,IF(J253="course material",7,IF(J253="autobiographical",7,IF(J253="novels",7,IF(J253="public events",7,"99"))))))))))))))))))))))))))))))))))))))))))))))</f>
        <v>5</v>
      </c>
      <c r="M253" s="99">
        <v>1</v>
      </c>
      <c r="N253" s="99">
        <v>4</v>
      </c>
      <c r="O253" s="99">
        <v>0</v>
      </c>
      <c r="P253" s="99"/>
      <c r="Q253" s="69" t="s">
        <v>174</v>
      </c>
      <c r="R253" s="69">
        <f>IF(Q253="Free Recall",1,IF(Q253="Cued Recall",2,IF(Q253="Recognition",3,IF(Q253="Multiple Choice",4,IF(Q253="Savings",5,IF(Q253="Stem Completion",6,IF(Q253="Fragment Completion",7,IF(Q253="anagram solution",8,IF(Q253="Matching",9,IF(Q253="Problem Solving",10,"99"))))))))))</f>
        <v>1</v>
      </c>
      <c r="S253" s="99" t="s">
        <v>49</v>
      </c>
      <c r="T253" s="99" t="s">
        <v>261</v>
      </c>
      <c r="U253" s="69">
        <f>IF(T253="within",1,0)</f>
        <v>0</v>
      </c>
      <c r="V253" s="99">
        <v>32</v>
      </c>
      <c r="W253" s="69">
        <f>F253*V253</f>
        <v>43328</v>
      </c>
      <c r="X253" s="99">
        <v>4</v>
      </c>
      <c r="Y253" s="87">
        <f>AV252</f>
        <v>604800</v>
      </c>
      <c r="Z253" s="99" t="s">
        <v>177</v>
      </c>
      <c r="AA253" s="99">
        <v>30240000</v>
      </c>
      <c r="AB253" s="69" t="str">
        <f>IF(AA253&lt;60,"1",IF(AA253&lt;=43200,"2",IF(AA253&lt;=777600,"3","4")))</f>
        <v>4</v>
      </c>
      <c r="AC253" s="72">
        <f>AVERAGE(AV252:DA252)</f>
        <v>9979200</v>
      </c>
      <c r="AD253" s="69" t="str">
        <f>IF(AC253&lt;60,"1",IF(AC253&lt;=43200,"2",IF(AC253&lt;=777600,"3","4")))</f>
        <v>4</v>
      </c>
      <c r="AE253" s="87">
        <f>AA253-Y253</f>
        <v>29635200</v>
      </c>
      <c r="AF253" s="88">
        <f>AV253</f>
        <v>0.81</v>
      </c>
      <c r="AG253" s="72">
        <f>((AW253-AV253)+(AX253-AW253)+(AY253-AX253))/3</f>
        <v>-0.22333333333333336</v>
      </c>
      <c r="AH253" s="4"/>
      <c r="AI253" s="72">
        <f>RSQ(AV253:AY253,AV252:AY252)</f>
        <v>0.82330934284210855</v>
      </c>
      <c r="AJ253" s="110">
        <f>SLOPE(AV253:AY253,AV252:AY252)</f>
        <v>-1.8820376050369545E-8</v>
      </c>
      <c r="AK253" s="72">
        <f>INTERCEPT(AV253:AY253,AV252:AY252)</f>
        <v>0.68031229668184778</v>
      </c>
      <c r="AL253" s="72">
        <f>INDEX(LINEST(LN(AV253:AY253),LN(AV252:AY252),TRUE,TRUE),3,1)</f>
        <v>0.90904764807496408</v>
      </c>
      <c r="AM253" s="72">
        <f>INDEX(LINEST(LN(AV253:AY253),LN(AV252:AY252)),1)</f>
        <v>-0.45072171241934289</v>
      </c>
      <c r="AN253" s="72">
        <f>EXP(INDEX(LINEST(LN(AV253:AY253),LN(AV252:AY252)),1,2))</f>
        <v>400.66619051836255</v>
      </c>
      <c r="AO253" s="89">
        <f>INDEX(LINEST((AV253:AY253),LN(AV252:AY252),TRUE,TRUE),3,1)</f>
        <v>0.98740724048619621</v>
      </c>
      <c r="AP253" s="89">
        <f>INDEX(LINEST((AV253:AY253),LN(AV252:AY252)),1)</f>
        <v>-0.17395820592643071</v>
      </c>
      <c r="AQ253" s="90">
        <f>INDEX(LINEST(LN(AV253:AY253),SQRT(AV252:AY252),TRUE,TRUE),3,1)</f>
        <v>0.99776074022813988</v>
      </c>
      <c r="AR253" s="117">
        <f>INDEX(LINEST(LN(AV253:AY253),SQRT((AV252:AY252))),1)</f>
        <v>-3.7542843166492036E-4</v>
      </c>
      <c r="AS253" s="91">
        <f>INDEX(LINEST(1/(AV253:AY253),1/(SQRT(AV252:AY252)),TRUE,TRUE),3,1)</f>
        <v>0.51113303535761356</v>
      </c>
      <c r="AT253" s="91">
        <f>INDEX(LINEST(1/(AV253:AY253),1/SQRT(AV252:AY252)),1)</f>
        <v>-4094.9404237336698</v>
      </c>
      <c r="AU253" s="4"/>
      <c r="AV253" s="101">
        <v>0.81</v>
      </c>
      <c r="AW253" s="101">
        <v>0.6</v>
      </c>
      <c r="AX253" s="101">
        <v>0.42</v>
      </c>
      <c r="AY253" s="101">
        <v>0.14000000000000001</v>
      </c>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c r="CJ253" s="18"/>
      <c r="CK253" s="18"/>
      <c r="CL253" s="18"/>
      <c r="CM253" s="18"/>
      <c r="CN253" s="18"/>
      <c r="CO253" s="18"/>
      <c r="CP253" s="18"/>
      <c r="CQ253" s="18"/>
      <c r="CR253" s="17"/>
      <c r="CS253" s="17"/>
      <c r="CT253" s="17"/>
      <c r="CU253" s="17"/>
    </row>
    <row r="254" spans="1:99" s="19" customFormat="1" ht="12" customHeight="1" x14ac:dyDescent="0.2">
      <c r="A254" s="68">
        <v>43509</v>
      </c>
      <c r="B254" s="100"/>
      <c r="C254" s="100"/>
      <c r="D254" s="99"/>
      <c r="E254" s="106"/>
      <c r="F254" s="99"/>
      <c r="G254" s="99"/>
      <c r="H254" s="99"/>
      <c r="I254" s="99"/>
      <c r="J254" s="99"/>
      <c r="K254" s="107"/>
      <c r="L254" s="107"/>
      <c r="M254" s="99"/>
      <c r="N254" s="99"/>
      <c r="O254" s="99"/>
      <c r="P254" s="99"/>
      <c r="Q254" s="99"/>
      <c r="R254" s="69"/>
      <c r="S254" s="99"/>
      <c r="T254" s="99"/>
      <c r="U254" s="69"/>
      <c r="V254" s="99"/>
      <c r="W254" s="69"/>
      <c r="X254" s="99"/>
      <c r="Y254" s="87"/>
      <c r="Z254" s="99"/>
      <c r="AA254" s="99"/>
      <c r="AB254" s="69"/>
      <c r="AC254" s="69"/>
      <c r="AD254" s="69"/>
      <c r="AE254" s="69"/>
      <c r="AF254" s="88"/>
      <c r="AG254" s="72"/>
      <c r="AH254" s="4"/>
      <c r="AI254" s="123"/>
      <c r="AJ254" s="124"/>
      <c r="AK254" s="123"/>
      <c r="AL254" s="123"/>
      <c r="AM254" s="123"/>
      <c r="AN254" s="123"/>
      <c r="AO254" s="123"/>
      <c r="AP254" s="123"/>
      <c r="AQ254" s="72"/>
      <c r="AR254" s="110"/>
      <c r="AS254" s="72"/>
      <c r="AT254" s="72"/>
      <c r="AU254" s="4"/>
      <c r="AV254" s="71">
        <f>24*3600*7</f>
        <v>604800</v>
      </c>
      <c r="AW254" s="71">
        <f>24*3600*35</f>
        <v>3024000</v>
      </c>
      <c r="AX254" s="71">
        <f>24*3600*70</f>
        <v>6048000</v>
      </c>
      <c r="AY254" s="71">
        <f>24*3600*350</f>
        <v>30240000</v>
      </c>
      <c r="AZ254" s="18"/>
      <c r="BA254" s="18"/>
      <c r="BB254" s="18"/>
      <c r="BC254" s="18"/>
      <c r="BD254" s="18"/>
      <c r="BE254" s="18"/>
      <c r="BF254" s="18"/>
      <c r="BG254" s="18"/>
      <c r="BH254" s="18"/>
      <c r="BI254" s="18"/>
      <c r="BJ254" s="18"/>
      <c r="BK254" s="18"/>
      <c r="BL254" s="18"/>
      <c r="BM254" s="18"/>
      <c r="BN254" s="18"/>
      <c r="BO254" s="18"/>
      <c r="BP254" s="18"/>
      <c r="BQ254" s="18"/>
      <c r="BR254" s="18"/>
      <c r="BS254" s="18"/>
      <c r="BT254" s="18"/>
      <c r="BU254" s="18"/>
      <c r="BV254" s="18"/>
      <c r="BW254" s="18"/>
      <c r="BX254" s="18"/>
      <c r="BY254" s="18"/>
      <c r="BZ254" s="18"/>
      <c r="CA254" s="18"/>
      <c r="CB254" s="18"/>
      <c r="CC254" s="18"/>
      <c r="CD254" s="18"/>
      <c r="CE254" s="18"/>
      <c r="CF254" s="18"/>
      <c r="CG254" s="18"/>
      <c r="CH254" s="18"/>
      <c r="CI254" s="18"/>
      <c r="CJ254" s="18"/>
      <c r="CK254" s="18"/>
      <c r="CL254" s="18"/>
      <c r="CM254" s="18"/>
      <c r="CN254" s="18"/>
      <c r="CO254" s="18"/>
      <c r="CP254" s="18"/>
      <c r="CQ254" s="18"/>
      <c r="CR254" s="17"/>
      <c r="CS254" s="17"/>
      <c r="CT254" s="17"/>
      <c r="CU254" s="17"/>
    </row>
    <row r="255" spans="1:99" s="19" customFormat="1" ht="12" customHeight="1" x14ac:dyDescent="0.2">
      <c r="A255" s="68">
        <v>43509</v>
      </c>
      <c r="B255" s="100" t="s">
        <v>176</v>
      </c>
      <c r="C255" s="100" t="s">
        <v>95</v>
      </c>
      <c r="D255" s="99">
        <v>2008</v>
      </c>
      <c r="E255" s="106">
        <v>1</v>
      </c>
      <c r="F255" s="99">
        <v>1354</v>
      </c>
      <c r="G255" s="99">
        <v>52.1</v>
      </c>
      <c r="H255" s="99" t="s">
        <v>32</v>
      </c>
      <c r="I255" s="99" t="s">
        <v>657</v>
      </c>
      <c r="J255" s="69" t="s">
        <v>475</v>
      </c>
      <c r="K255" s="69">
        <f>IF(J255="syllables",1,IF(J255="trigrams",2,IF(J255="strings",3,IF(J255="visual array",4,IF(J255="characters",5,IF(J255="letters",6,IF(J255="free forms",7,IF(J255="odors",8,IF(J255="words",9,IF(J255="pictures",10,IF(J255="object pictures",11,IF(J255="faces",12,IF(J255="names",13,IF(J255="idioms",14,IF(J255="grades",15,IF(J255="syllable-digit pairs",16,IF(J255="trigram-word pairs",17,IF(J255="word-digit pairs",18,IF(J255="English-Swahili pairs",19,IF(J255="spatial position",20,IF(J255="word pairs",21,IF(J255="word triads",22,IF(J255="generated words",23,IF(J255="word definition pairs",24,IF(J255="math problems",25,IF(J255="famous faces",26,IF(J255="famous names",27,IF(J255="famous voices",28,IF(J255="television programs",29,IF(J255="race horses",30,IF(J255="new vocabulary",31,IF(J255="sentences",32,IF(J255="concepts",33,IF(J255="ad slides",34,IF(J255="scenes",35,IF(J255="famous scenes",36,IF(J255="poems",37,IF(J255="walk",38,IF(J255="faces and events",39,IF(J255="events and names",40,IF(J255="flashbulb",41,IF(J255="stories",42,IF(J255="course material",43,IF(J255="autobiographical",44,IF(J255="novels",45,IF(J255="public events",46,"99"))))))))))))))))))))))))))))))))))))))))))))))</f>
        <v>32</v>
      </c>
      <c r="L255" s="69">
        <f>IF(J255="syllables",1,IF(J255="trigrams",1,IF(J255="strings",1,IF(J255="visual array",1,IF(J255="characters",1,IF(J255="letters",1,IF(J255="free forms",1,IF(J255="odors",2,IF(J255="words",2,IF(J255="pictures",2,IF(J255="object pictures",2,IF(J255="faces",2,IF(J255="names",2,IF(J255="idioms","2",IF(J255="grades",2,IF(J255="syllable-digit pairs",3,IF(J255="trigram-word pairs",3,IF(J255="word-digit pairs",3,IF(J255="English-Swahili pairs",3,IF(J255="spatial position",3,IF(J255="word pairs",4,IF(J255="word triads",4,IF(J255="generated words",4,IF(J255="word definition pairs",4,IF(J255="math problems",4,IF(J255="famous faces",4,IF(J255="famous names",4,IF(J255="famous voices",4,IF(J255="television programs",4,IF(J255="race horses",4,IF(J255="new vocabulary",4,IF(J255="sentences",5,IF(J255="concepts",5,IF(J255="ad slides",5,IF(J255="scenes",5,IF(J255="famous scenes",5,IF(J255="poems",6,IF(J255="walk",6,IF(J255="faces and events",6,IF(J255="events and names",6,IF(J255="flashbulb",7,IF(J255="stories",7,IF(J255="course material",7,IF(J255="autobiographical",7,IF(J255="novels",7,IF(J255="public events",7,"99"))))))))))))))))))))))))))))))))))))))))))))))</f>
        <v>5</v>
      </c>
      <c r="M255" s="99">
        <v>1</v>
      </c>
      <c r="N255" s="99">
        <v>4</v>
      </c>
      <c r="O255" s="99">
        <v>0</v>
      </c>
      <c r="P255" s="99"/>
      <c r="Q255" s="99" t="s">
        <v>182</v>
      </c>
      <c r="R255" s="69">
        <f>IF(Q255="Free Recall",1,IF(Q255="Cued Recall",2,IF(Q255="Recognition",3,IF(Q255="Multiple Choice",4,IF(Q255="Savings",5,IF(Q255="Stem Completion",6,IF(Q255="Fragment Completion",7,IF(Q255="anagram solution",8,IF(Q255="Matching",9,IF(Q255="Problem Solving",10,"99"))))))))))</f>
        <v>4</v>
      </c>
      <c r="S255" s="99" t="s">
        <v>15</v>
      </c>
      <c r="T255" s="99" t="s">
        <v>261</v>
      </c>
      <c r="U255" s="69">
        <f>IF(T255="within",1,0)</f>
        <v>0</v>
      </c>
      <c r="V255" s="99">
        <v>32</v>
      </c>
      <c r="W255" s="69">
        <f>F255*V255</f>
        <v>43328</v>
      </c>
      <c r="X255" s="99">
        <v>4</v>
      </c>
      <c r="Y255" s="87">
        <f>AV254</f>
        <v>604800</v>
      </c>
      <c r="Z255" s="99" t="s">
        <v>177</v>
      </c>
      <c r="AA255" s="99">
        <v>30240000</v>
      </c>
      <c r="AB255" s="69" t="str">
        <f>IF(AA255&lt;60,"1",IF(AA255&lt;=43200,"2",IF(AA255&lt;=777600,"3","4")))</f>
        <v>4</v>
      </c>
      <c r="AC255" s="72">
        <f>AVERAGE(AV254:DA254)</f>
        <v>9979200</v>
      </c>
      <c r="AD255" s="69" t="str">
        <f>IF(AC255&lt;60,"1",IF(AC255&lt;=43200,"2",IF(AC255&lt;=777600,"3","4")))</f>
        <v>4</v>
      </c>
      <c r="AE255" s="87">
        <f>AA255-Y255</f>
        <v>29635200</v>
      </c>
      <c r="AF255" s="88">
        <f>AV255</f>
        <v>0.99</v>
      </c>
      <c r="AG255" s="72">
        <f>((AW255-AV255)+(AX255-AW255)+(AY255-AX255))/3</f>
        <v>-0.18666666666666668</v>
      </c>
      <c r="AH255" s="4"/>
      <c r="AI255" s="72">
        <f>RSQ(AV255:AY255,AV254:AY254)</f>
        <v>0.89570261239703164</v>
      </c>
      <c r="AJ255" s="110">
        <f>SLOPE(AV255:AY255,AV254:AY254)</f>
        <v>-1.6862497547273085E-8</v>
      </c>
      <c r="AK255" s="72">
        <f>INTERCEPT(AV255:AY255,AV254:AY254)</f>
        <v>0.9207742355237476</v>
      </c>
      <c r="AL255" s="72">
        <f>INDEX(LINEST(LN(AV255:AY255),LN(AV254:AY254),TRUE,TRUE),3,1)</f>
        <v>0.90436772567678769</v>
      </c>
      <c r="AM255" s="72">
        <f>INDEX(LINEST(LN(AV255:AY255),LN(AV254:AY254)),1)</f>
        <v>-0.21610621913419623</v>
      </c>
      <c r="AN255" s="72">
        <f>EXP(INDEX(LINEST(LN(AV255:AY255),LN(AV254:AY254)),1,2))</f>
        <v>19.46401464121049</v>
      </c>
      <c r="AO255" s="89">
        <f>INDEX(LINEST((AV255:AY255),LN(AV254:AY254),TRUE,TRUE),3,1)</f>
        <v>0.9459114333779276</v>
      </c>
      <c r="AP255" s="89">
        <f>INDEX(LINEST((AV255:AY255),LN(AV254:AY254)),1)</f>
        <v>-0.14625651062634551</v>
      </c>
      <c r="AQ255" s="90">
        <f>INDEX(LINEST(LN(AV255:AY255),SQRT(AV254:AY254),TRUE,TRUE),3,1)</f>
        <v>0.99076901916536741</v>
      </c>
      <c r="AR255" s="117">
        <f>INDEX(LINEST(LN(AV255:AY255),SQRT((AV254:AY254))),1)</f>
        <v>-1.7983728783363122E-4</v>
      </c>
      <c r="AS255" s="91">
        <f>INDEX(LINEST(1/(AV255:AY255),1/(SQRT(AV254:AY254)),TRUE,TRUE),3,1)</f>
        <v>0.58998130530877113</v>
      </c>
      <c r="AT255" s="91">
        <f>INDEX(LINEST(1/(AV255:AY255),1/SQRT(AV254:AY254)),1)</f>
        <v>-956.50597605354653</v>
      </c>
      <c r="AU255" s="4"/>
      <c r="AV255" s="101">
        <v>0.99</v>
      </c>
      <c r="AW255" s="101">
        <v>0.88</v>
      </c>
      <c r="AX255" s="101">
        <v>0.71</v>
      </c>
      <c r="AY255" s="101">
        <v>0.43</v>
      </c>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c r="CJ255" s="18"/>
      <c r="CK255" s="18"/>
      <c r="CL255" s="18"/>
      <c r="CM255" s="18"/>
      <c r="CN255" s="18"/>
      <c r="CO255" s="18"/>
      <c r="CP255" s="18"/>
      <c r="CQ255" s="18"/>
      <c r="CR255" s="17"/>
      <c r="CS255" s="17"/>
      <c r="CT255" s="17"/>
      <c r="CU255" s="17"/>
    </row>
    <row r="256" spans="1:99" s="19" customFormat="1" ht="12" customHeight="1" x14ac:dyDescent="0.2">
      <c r="A256" s="68">
        <v>43509</v>
      </c>
      <c r="B256" s="100"/>
      <c r="C256" s="100"/>
      <c r="D256" s="99"/>
      <c r="E256" s="106"/>
      <c r="F256" s="99"/>
      <c r="G256" s="99"/>
      <c r="H256" s="99"/>
      <c r="I256" s="99"/>
      <c r="J256" s="99"/>
      <c r="K256" s="107"/>
      <c r="L256" s="107"/>
      <c r="M256" s="99"/>
      <c r="N256" s="99"/>
      <c r="O256" s="99"/>
      <c r="P256" s="99"/>
      <c r="Q256" s="99"/>
      <c r="R256" s="69"/>
      <c r="S256" s="99"/>
      <c r="T256" s="99"/>
      <c r="U256" s="69"/>
      <c r="V256" s="99"/>
      <c r="W256" s="69"/>
      <c r="X256" s="99"/>
      <c r="Y256" s="87"/>
      <c r="Z256" s="99"/>
      <c r="AA256" s="99"/>
      <c r="AB256" s="69"/>
      <c r="AC256" s="69"/>
      <c r="AD256" s="69"/>
      <c r="AE256" s="69"/>
      <c r="AF256" s="88"/>
      <c r="AG256" s="72"/>
      <c r="AH256" s="4"/>
      <c r="AI256" s="123"/>
      <c r="AJ256" s="124"/>
      <c r="AK256" s="123"/>
      <c r="AL256" s="123"/>
      <c r="AM256" s="123"/>
      <c r="AN256" s="123"/>
      <c r="AO256" s="123"/>
      <c r="AP256" s="123"/>
      <c r="AQ256" s="72"/>
      <c r="AR256" s="110"/>
      <c r="AS256" s="72"/>
      <c r="AT256" s="72"/>
      <c r="AU256" s="4"/>
      <c r="AV256" s="71">
        <f>24*3600*7</f>
        <v>604800</v>
      </c>
      <c r="AW256" s="71">
        <f>24*3600*35</f>
        <v>3024000</v>
      </c>
      <c r="AX256" s="71">
        <f>24*3600*70</f>
        <v>6048000</v>
      </c>
      <c r="AY256" s="71">
        <f>24*3600*350</f>
        <v>30240000</v>
      </c>
      <c r="AZ256" s="18"/>
      <c r="BA256" s="18"/>
      <c r="BB256" s="18"/>
      <c r="BC256" s="18"/>
      <c r="BD256" s="18"/>
      <c r="BE256" s="18"/>
      <c r="BF256" s="18"/>
      <c r="BG256" s="18"/>
      <c r="BH256" s="18"/>
      <c r="BI256" s="18"/>
      <c r="BJ256" s="18"/>
      <c r="BK256" s="18"/>
      <c r="BL256" s="18"/>
      <c r="BM256" s="18"/>
      <c r="BN256" s="18"/>
      <c r="BO256" s="18"/>
      <c r="BP256" s="18"/>
      <c r="BQ256" s="18"/>
      <c r="BR256" s="18"/>
      <c r="BS256" s="18"/>
      <c r="BT256" s="18"/>
      <c r="BU256" s="18"/>
      <c r="BV256" s="18"/>
      <c r="BW256" s="18"/>
      <c r="BX256" s="18"/>
      <c r="BY256" s="18"/>
      <c r="BZ256" s="18"/>
      <c r="CA256" s="18"/>
      <c r="CB256" s="18"/>
      <c r="CC256" s="18"/>
      <c r="CD256" s="18"/>
      <c r="CE256" s="18"/>
      <c r="CF256" s="18"/>
      <c r="CG256" s="18"/>
      <c r="CH256" s="18"/>
      <c r="CI256" s="18"/>
      <c r="CJ256" s="18"/>
      <c r="CK256" s="18"/>
      <c r="CL256" s="18"/>
      <c r="CM256" s="18"/>
      <c r="CN256" s="18"/>
      <c r="CO256" s="18"/>
      <c r="CP256" s="18"/>
      <c r="CQ256" s="18"/>
      <c r="CR256" s="17"/>
      <c r="CS256" s="17"/>
      <c r="CT256" s="17"/>
      <c r="CU256" s="17"/>
    </row>
    <row r="257" spans="1:99" s="19" customFormat="1" ht="12" customHeight="1" x14ac:dyDescent="0.2">
      <c r="A257" s="68">
        <v>43509</v>
      </c>
      <c r="B257" s="100" t="s">
        <v>176</v>
      </c>
      <c r="C257" s="100" t="s">
        <v>95</v>
      </c>
      <c r="D257" s="99">
        <v>2008</v>
      </c>
      <c r="E257" s="106">
        <v>1</v>
      </c>
      <c r="F257" s="99">
        <v>1354</v>
      </c>
      <c r="G257" s="99">
        <v>52.1</v>
      </c>
      <c r="H257" s="99" t="s">
        <v>32</v>
      </c>
      <c r="I257" s="99" t="s">
        <v>658</v>
      </c>
      <c r="J257" s="69" t="s">
        <v>475</v>
      </c>
      <c r="K257" s="69">
        <f>IF(J257="syllables",1,IF(J257="trigrams",2,IF(J257="strings",3,IF(J257="visual array",4,IF(J257="characters",5,IF(J257="letters",6,IF(J257="free forms",7,IF(J257="odors",8,IF(J257="words",9,IF(J257="pictures",10,IF(J257="object pictures",11,IF(J257="faces",12,IF(J257="names",13,IF(J257="idioms",14,IF(J257="grades",15,IF(J257="syllable-digit pairs",16,IF(J257="trigram-word pairs",17,IF(J257="word-digit pairs",18,IF(J257="English-Swahili pairs",19,IF(J257="spatial position",20,IF(J257="word pairs",21,IF(J257="word triads",22,IF(J257="generated words",23,IF(J257="word definition pairs",24,IF(J257="math problems",25,IF(J257="famous faces",26,IF(J257="famous names",27,IF(J257="famous voices",28,IF(J257="television programs",29,IF(J257="race horses",30,IF(J257="new vocabulary",31,IF(J257="sentences",32,IF(J257="concepts",33,IF(J257="ad slides",34,IF(J257="scenes",35,IF(J257="famous scenes",36,IF(J257="poems",37,IF(J257="walk",38,IF(J257="faces and events",39,IF(J257="events and names",40,IF(J257="flashbulb",41,IF(J257="stories",42,IF(J257="course material",43,IF(J257="autobiographical",44,IF(J257="novels",45,IF(J257="public events",46,"99"))))))))))))))))))))))))))))))))))))))))))))))</f>
        <v>32</v>
      </c>
      <c r="L257" s="69">
        <f>IF(J257="syllables",1,IF(J257="trigrams",1,IF(J257="strings",1,IF(J257="visual array",1,IF(J257="characters",1,IF(J257="letters",1,IF(J257="free forms",1,IF(J257="odors",2,IF(J257="words",2,IF(J257="pictures",2,IF(J257="object pictures",2,IF(J257="faces",2,IF(J257="names",2,IF(J257="idioms","2",IF(J257="grades",2,IF(J257="syllable-digit pairs",3,IF(J257="trigram-word pairs",3,IF(J257="word-digit pairs",3,IF(J257="English-Swahili pairs",3,IF(J257="spatial position",3,IF(J257="word pairs",4,IF(J257="word triads",4,IF(J257="generated words",4,IF(J257="word definition pairs",4,IF(J257="math problems",4,IF(J257="famous faces",4,IF(J257="famous names",4,IF(J257="famous voices",4,IF(J257="television programs",4,IF(J257="race horses",4,IF(J257="new vocabulary",4,IF(J257="sentences",5,IF(J257="concepts",5,IF(J257="ad slides",5,IF(J257="scenes",5,IF(J257="famous scenes",5,IF(J257="poems",6,IF(J257="walk",6,IF(J257="faces and events",6,IF(J257="events and names",6,IF(J257="flashbulb",7,IF(J257="stories",7,IF(J257="course material",7,IF(J257="autobiographical",7,IF(J257="novels",7,IF(J257="public events",7,"99"))))))))))))))))))))))))))))))))))))))))))))))</f>
        <v>5</v>
      </c>
      <c r="M257" s="99">
        <v>1</v>
      </c>
      <c r="N257" s="99">
        <v>4</v>
      </c>
      <c r="O257" s="99">
        <v>0</v>
      </c>
      <c r="P257" s="99"/>
      <c r="Q257" s="99" t="s">
        <v>182</v>
      </c>
      <c r="R257" s="69">
        <f>IF(Q257="Free Recall",1,IF(Q257="Cued Recall",2,IF(Q257="Recognition",3,IF(Q257="Multiple Choice",4,IF(Q257="Savings",5,IF(Q257="Stem Completion",6,IF(Q257="Fragment Completion",7,IF(Q257="anagram solution",8,IF(Q257="Matching",9,IF(Q257="Problem Solving",10,"99"))))))))))</f>
        <v>4</v>
      </c>
      <c r="S257" s="99" t="s">
        <v>15</v>
      </c>
      <c r="T257" s="99" t="s">
        <v>261</v>
      </c>
      <c r="U257" s="69">
        <f>IF(T257="within",1,0)</f>
        <v>0</v>
      </c>
      <c r="V257" s="99">
        <v>32</v>
      </c>
      <c r="W257" s="69">
        <f>F257*V257</f>
        <v>43328</v>
      </c>
      <c r="X257" s="99">
        <v>4</v>
      </c>
      <c r="Y257" s="87">
        <f>AV256</f>
        <v>604800</v>
      </c>
      <c r="Z257" s="99" t="s">
        <v>177</v>
      </c>
      <c r="AA257" s="99">
        <v>30240000</v>
      </c>
      <c r="AB257" s="69" t="str">
        <f>IF(AA257&lt;60,"1",IF(AA257&lt;=43200,"2",IF(AA257&lt;=777600,"3","4")))</f>
        <v>4</v>
      </c>
      <c r="AC257" s="72">
        <f>AVERAGE(AV256:DA256)</f>
        <v>9979200</v>
      </c>
      <c r="AD257" s="69" t="str">
        <f>IF(AC257&lt;60,"1",IF(AC257&lt;=43200,"2",IF(AC257&lt;=777600,"3","4")))</f>
        <v>4</v>
      </c>
      <c r="AE257" s="87">
        <f>AA257-Y257</f>
        <v>29635200</v>
      </c>
      <c r="AF257" s="88">
        <f>AV257</f>
        <v>0.99</v>
      </c>
      <c r="AG257" s="72">
        <f>((AW257-AV257)+(AX257-AW257)+(AY257-AX257))/3</f>
        <v>-0.17666666666666667</v>
      </c>
      <c r="AH257" s="4"/>
      <c r="AI257" s="72">
        <f>RSQ(AV257:AY257,AV256:AY256)</f>
        <v>0.97729212379267472</v>
      </c>
      <c r="AJ257" s="110">
        <f>SLOPE(AV257:AY257,AV256:AY256)</f>
        <v>-1.7416512618204224E-8</v>
      </c>
      <c r="AK257" s="72">
        <f>INTERCEPT(AV257:AY257,AV256:AY256)</f>
        <v>0.9788028627195835</v>
      </c>
      <c r="AL257" s="72">
        <f>INDEX(LINEST(LN(AV257:AY257),LN(AV256:AY256),TRUE,TRUE),3,1)</f>
        <v>0.8085329128926475</v>
      </c>
      <c r="AM257" s="72">
        <f>INDEX(LINEST(LN(AV257:AY257),LN(AV256:AY256)),1)</f>
        <v>-0.19642734384411326</v>
      </c>
      <c r="AN257" s="72">
        <f>EXP(INDEX(LINEST(LN(AV257:AY257),LN(AV256:AY256)),1,2))</f>
        <v>15.488570937903619</v>
      </c>
      <c r="AO257" s="89">
        <f>INDEX(LINEST((AV257:AY257),LN(AV256:AY256),TRUE,TRUE),3,1)</f>
        <v>0.84967615320782863</v>
      </c>
      <c r="AP257" s="89">
        <f>INDEX(LINEST((AV257:AY257),LN(AV256:AY256)),1)</f>
        <v>-0.13706472704798339</v>
      </c>
      <c r="AQ257" s="90">
        <f>INDEX(LINEST(LN(AV257:AY257),SQRT(AV256:AY256),TRUE,TRUE),3,1)</f>
        <v>0.97518234680746485</v>
      </c>
      <c r="AR257" s="117">
        <f>INDEX(LINEST(LN(AV257:AY257),SQRT((AV256:AY256))),1)</f>
        <v>-1.7151211614970798E-4</v>
      </c>
      <c r="AS257" s="91">
        <f>INDEX(LINEST(1/(AV257:AY257),1/(SQRT(AV256:AY256)),TRUE,TRUE),3,1)</f>
        <v>0.48518323119499701</v>
      </c>
      <c r="AT257" s="91">
        <f>INDEX(LINEST(1/(AV257:AY257),1/SQRT(AV256:AY256)),1)</f>
        <v>-799.35003208564319</v>
      </c>
      <c r="AU257" s="4"/>
      <c r="AV257" s="101">
        <v>0.99</v>
      </c>
      <c r="AW257" s="101">
        <v>0.95</v>
      </c>
      <c r="AX257" s="101">
        <v>0.82</v>
      </c>
      <c r="AY257" s="101">
        <v>0.46</v>
      </c>
      <c r="AZ257" s="18"/>
      <c r="BA257" s="18"/>
      <c r="BB257" s="18"/>
      <c r="BC257" s="18"/>
      <c r="BD257" s="18"/>
      <c r="BE257" s="18"/>
      <c r="BF257" s="18"/>
      <c r="BG257" s="18"/>
      <c r="BH257" s="18"/>
      <c r="BI257" s="18"/>
      <c r="BJ257" s="18"/>
      <c r="BK257" s="18"/>
      <c r="BL257" s="18"/>
      <c r="BM257" s="18"/>
      <c r="BN257" s="18"/>
      <c r="BO257" s="18"/>
      <c r="BP257" s="18"/>
      <c r="BQ257" s="18"/>
      <c r="BR257" s="18"/>
      <c r="BS257" s="18"/>
      <c r="BT257" s="18"/>
      <c r="BU257" s="18"/>
      <c r="BV257" s="18"/>
      <c r="BW257" s="18"/>
      <c r="BX257" s="18"/>
      <c r="BY257" s="18"/>
      <c r="BZ257" s="18"/>
      <c r="CA257" s="18"/>
      <c r="CB257" s="18"/>
      <c r="CC257" s="18"/>
      <c r="CD257" s="18"/>
      <c r="CE257" s="18"/>
      <c r="CF257" s="18"/>
      <c r="CG257" s="18"/>
      <c r="CH257" s="18"/>
      <c r="CI257" s="18"/>
      <c r="CJ257" s="18"/>
      <c r="CK257" s="18"/>
      <c r="CL257" s="18"/>
      <c r="CM257" s="18"/>
      <c r="CN257" s="18"/>
      <c r="CO257" s="18"/>
      <c r="CP257" s="18"/>
      <c r="CQ257" s="18"/>
      <c r="CR257" s="17"/>
      <c r="CS257" s="17"/>
      <c r="CT257" s="17"/>
      <c r="CU257" s="17"/>
    </row>
    <row r="258" spans="1:99" s="19" customFormat="1" ht="12" customHeight="1" x14ac:dyDescent="0.2">
      <c r="A258" s="68">
        <v>43509</v>
      </c>
      <c r="B258" s="100"/>
      <c r="C258" s="100"/>
      <c r="D258" s="99"/>
      <c r="E258" s="106"/>
      <c r="F258" s="99"/>
      <c r="G258" s="99"/>
      <c r="H258" s="99"/>
      <c r="I258" s="99"/>
      <c r="J258" s="99"/>
      <c r="K258" s="107"/>
      <c r="L258" s="107"/>
      <c r="M258" s="99"/>
      <c r="N258" s="99"/>
      <c r="O258" s="99"/>
      <c r="P258" s="99"/>
      <c r="Q258" s="99"/>
      <c r="R258" s="69"/>
      <c r="S258" s="99"/>
      <c r="T258" s="99"/>
      <c r="U258" s="69"/>
      <c r="V258" s="99"/>
      <c r="W258" s="69"/>
      <c r="X258" s="99"/>
      <c r="Y258" s="87"/>
      <c r="Z258" s="99"/>
      <c r="AA258" s="99"/>
      <c r="AB258" s="69"/>
      <c r="AC258" s="69"/>
      <c r="AD258" s="69"/>
      <c r="AE258" s="69"/>
      <c r="AF258" s="88"/>
      <c r="AG258" s="72"/>
      <c r="AH258" s="4"/>
      <c r="AI258" s="123"/>
      <c r="AJ258" s="124"/>
      <c r="AK258" s="123"/>
      <c r="AL258" s="123"/>
      <c r="AM258" s="123"/>
      <c r="AN258" s="123"/>
      <c r="AO258" s="123"/>
      <c r="AP258" s="123"/>
      <c r="AQ258" s="72"/>
      <c r="AR258" s="110"/>
      <c r="AS258" s="72"/>
      <c r="AT258" s="72"/>
      <c r="AU258" s="4"/>
      <c r="AV258" s="71">
        <f>24*3600*7</f>
        <v>604800</v>
      </c>
      <c r="AW258" s="71">
        <f>24*3600*35</f>
        <v>3024000</v>
      </c>
      <c r="AX258" s="71">
        <f>24*3600*70</f>
        <v>6048000</v>
      </c>
      <c r="AY258" s="71">
        <f>24*3600*350</f>
        <v>30240000</v>
      </c>
      <c r="AZ258" s="18"/>
      <c r="BA258" s="18"/>
      <c r="BB258" s="18"/>
      <c r="BC258" s="18"/>
      <c r="BD258" s="18"/>
      <c r="BE258" s="18"/>
      <c r="BF258" s="18"/>
      <c r="BG258" s="18"/>
      <c r="BH258" s="18"/>
      <c r="BI258" s="18"/>
      <c r="BJ258" s="18"/>
      <c r="BK258" s="18"/>
      <c r="BL258" s="18"/>
      <c r="BM258" s="18"/>
      <c r="BN258" s="18"/>
      <c r="BO258" s="18"/>
      <c r="BP258" s="18"/>
      <c r="BQ258" s="18"/>
      <c r="BR258" s="18"/>
      <c r="BS258" s="18"/>
      <c r="BT258" s="18"/>
      <c r="BU258" s="18"/>
      <c r="BV258" s="18"/>
      <c r="BW258" s="18"/>
      <c r="BX258" s="18"/>
      <c r="BY258" s="18"/>
      <c r="BZ258" s="18"/>
      <c r="CA258" s="18"/>
      <c r="CB258" s="18"/>
      <c r="CC258" s="18"/>
      <c r="CD258" s="18"/>
      <c r="CE258" s="18"/>
      <c r="CF258" s="18"/>
      <c r="CG258" s="18"/>
      <c r="CH258" s="18"/>
      <c r="CI258" s="18"/>
      <c r="CJ258" s="18"/>
      <c r="CK258" s="18"/>
      <c r="CL258" s="18"/>
      <c r="CM258" s="18"/>
      <c r="CN258" s="18"/>
      <c r="CO258" s="18"/>
      <c r="CP258" s="18"/>
      <c r="CQ258" s="18"/>
      <c r="CR258" s="17"/>
      <c r="CS258" s="17"/>
      <c r="CT258" s="17"/>
      <c r="CU258" s="17"/>
    </row>
    <row r="259" spans="1:99" s="13" customFormat="1" ht="12" customHeight="1" x14ac:dyDescent="0.2">
      <c r="A259" s="68">
        <v>43509</v>
      </c>
      <c r="B259" s="70" t="s">
        <v>176</v>
      </c>
      <c r="C259" s="70" t="s">
        <v>95</v>
      </c>
      <c r="D259" s="69">
        <v>2008</v>
      </c>
      <c r="E259" s="87">
        <v>1</v>
      </c>
      <c r="F259" s="69">
        <v>1354</v>
      </c>
      <c r="G259" s="99">
        <v>52.1</v>
      </c>
      <c r="H259" s="99" t="s">
        <v>32</v>
      </c>
      <c r="I259" s="69" t="s">
        <v>659</v>
      </c>
      <c r="J259" s="69" t="s">
        <v>475</v>
      </c>
      <c r="K259" s="69">
        <f>IF(J259="syllables",1,IF(J259="trigrams",2,IF(J259="strings",3,IF(J259="visual array",4,IF(J259="characters",5,IF(J259="letters",6,IF(J259="free forms",7,IF(J259="odors",8,IF(J259="words",9,IF(J259="pictures",10,IF(J259="object pictures",11,IF(J259="faces",12,IF(J259="names",13,IF(J259="idioms",14,IF(J259="grades",15,IF(J259="syllable-digit pairs",16,IF(J259="trigram-word pairs",17,IF(J259="word-digit pairs",18,IF(J259="English-Swahili pairs",19,IF(J259="spatial position",20,IF(J259="word pairs",21,IF(J259="word triads",22,IF(J259="generated words",23,IF(J259="word definition pairs",24,IF(J259="math problems",25,IF(J259="famous faces",26,IF(J259="famous names",27,IF(J259="famous voices",28,IF(J259="television programs",29,IF(J259="race horses",30,IF(J259="new vocabulary",31,IF(J259="sentences",32,IF(J259="concepts",33,IF(J259="ad slides",34,IF(J259="scenes",35,IF(J259="famous scenes",36,IF(J259="poems",37,IF(J259="walk",38,IF(J259="faces and events",39,IF(J259="events and names",40,IF(J259="flashbulb",41,IF(J259="stories",42,IF(J259="course material",43,IF(J259="autobiographical",44,IF(J259="novels",45,IF(J259="public events",46,"99"))))))))))))))))))))))))))))))))))))))))))))))</f>
        <v>32</v>
      </c>
      <c r="L259" s="69">
        <f>IF(J259="syllables",1,IF(J259="trigrams",1,IF(J259="strings",1,IF(J259="visual array",1,IF(J259="characters",1,IF(J259="letters",1,IF(J259="free forms",1,IF(J259="odors",2,IF(J259="words",2,IF(J259="pictures",2,IF(J259="object pictures",2,IF(J259="faces",2,IF(J259="names",2,IF(J259="idioms","2",IF(J259="grades",2,IF(J259="syllable-digit pairs",3,IF(J259="trigram-word pairs",3,IF(J259="word-digit pairs",3,IF(J259="English-Swahili pairs",3,IF(J259="spatial position",3,IF(J259="word pairs",4,IF(J259="word triads",4,IF(J259="generated words",4,IF(J259="word definition pairs",4,IF(J259="math problems",4,IF(J259="famous faces",4,IF(J259="famous names",4,IF(J259="famous voices",4,IF(J259="television programs",4,IF(J259="race horses",4,IF(J259="new vocabulary",4,IF(J259="sentences",5,IF(J259="concepts",5,IF(J259="ad slides",5,IF(J259="scenes",5,IF(J259="famous scenes",5,IF(J259="poems",6,IF(J259="walk",6,IF(J259="faces and events",6,IF(J259="events and names",6,IF(J259="flashbulb",7,IF(J259="stories",7,IF(J259="course material",7,IF(J259="autobiographical",7,IF(J259="novels",7,IF(J259="public events",7,"99"))))))))))))))))))))))))))))))))))))))))))))))</f>
        <v>5</v>
      </c>
      <c r="M259" s="69">
        <v>1</v>
      </c>
      <c r="N259" s="69">
        <v>4</v>
      </c>
      <c r="O259" s="69">
        <v>0</v>
      </c>
      <c r="P259" s="69"/>
      <c r="Q259" s="99" t="s">
        <v>182</v>
      </c>
      <c r="R259" s="69">
        <f>IF(Q259="Free Recall",1,IF(Q259="Cued Recall",2,IF(Q259="Recognition",3,IF(Q259="Multiple Choice",4,IF(Q259="Savings",5,IF(Q259="Stem Completion",6,IF(Q259="Fragment Completion",7,IF(Q259="anagram solution",8,IF(Q259="Matching",9,IF(Q259="Problem Solving",10,"99"))))))))))</f>
        <v>4</v>
      </c>
      <c r="S259" s="69" t="s">
        <v>15</v>
      </c>
      <c r="T259" s="69" t="s">
        <v>261</v>
      </c>
      <c r="U259" s="69">
        <f>IF(T259="within",1,0)</f>
        <v>0</v>
      </c>
      <c r="V259" s="69">
        <v>32</v>
      </c>
      <c r="W259" s="69">
        <f>F259*V259</f>
        <v>43328</v>
      </c>
      <c r="X259" s="69">
        <v>4</v>
      </c>
      <c r="Y259" s="87">
        <f>AV258</f>
        <v>604800</v>
      </c>
      <c r="Z259" s="69" t="s">
        <v>177</v>
      </c>
      <c r="AA259" s="69">
        <v>30240000</v>
      </c>
      <c r="AB259" s="69" t="str">
        <f>IF(AA259&lt;60,"1",IF(AA259&lt;=43200,"2",IF(AA259&lt;=777600,"3","4")))</f>
        <v>4</v>
      </c>
      <c r="AC259" s="72">
        <f>AVERAGE(AV258:DA258)</f>
        <v>9979200</v>
      </c>
      <c r="AD259" s="69" t="str">
        <f>IF(AC259&lt;60,"1",IF(AC259&lt;=43200,"2",IF(AC259&lt;=777600,"3","4")))</f>
        <v>4</v>
      </c>
      <c r="AE259" s="87">
        <f>AA259-Y259</f>
        <v>29635200</v>
      </c>
      <c r="AF259" s="88">
        <f>AV259</f>
        <v>1</v>
      </c>
      <c r="AG259" s="72">
        <f>((AW259-AV259)+(AX259-AW259)+(AY259-AX259))/3</f>
        <v>-0.14333333333333334</v>
      </c>
      <c r="AH259" s="4"/>
      <c r="AI259" s="72">
        <f>RSQ(AV259:AY259,AV258:AY258)</f>
        <v>0.99895030784955341</v>
      </c>
      <c r="AJ259" s="110">
        <f>SLOPE(AV259:AY259,AV258:AY258)</f>
        <v>-1.4759391792573317E-8</v>
      </c>
      <c r="AK259" s="72">
        <f>INTERCEPT(AV259:AY259,AV258:AY258)</f>
        <v>1.0172869225764476</v>
      </c>
      <c r="AL259" s="72">
        <f>INDEX(LINEST(LN(AV259:AY259),LN(AV258:AY258),TRUE,TRUE),3,1)</f>
        <v>0.73813199371681304</v>
      </c>
      <c r="AM259" s="72">
        <f>INDEX(LINEST(LN(AV259:AY259),LN(AV258:AY258)),1)</f>
        <v>-0.14161603336344145</v>
      </c>
      <c r="AN259" s="72">
        <f>EXP(INDEX(LINEST(LN(AV259:AY259),LN(AV258:AY258)),1,2))</f>
        <v>7.3784577275153209</v>
      </c>
      <c r="AO259" s="89">
        <f>INDEX(LINEST((AV259:AY259),LN(AV258:AY258),TRUE,TRUE),3,1)</f>
        <v>0.76156203420300017</v>
      </c>
      <c r="AP259" s="89">
        <f>INDEX(LINEST((AV259:AY259),LN(AV258:AY258)),1)</f>
        <v>-0.10876750158667593</v>
      </c>
      <c r="AQ259" s="90">
        <f>INDEX(LINEST(LN(AV259:AY259),SQRT(AV258:AY258),TRUE,TRUE),3,1)</f>
        <v>0.94398776399434492</v>
      </c>
      <c r="AR259" s="117">
        <f>INDEX(LINEST(LN(AV259:AY259),SQRT((AV258:AY258))),1)</f>
        <v>-1.2732901835872708E-4</v>
      </c>
      <c r="AS259" s="91">
        <f>INDEX(LINEST(1/(AV259:AY259),1/(SQRT(AV258:AY258)),TRUE,TRUE),3,1)</f>
        <v>0.4317622101058502</v>
      </c>
      <c r="AT259" s="91">
        <f>INDEX(LINEST(1/(AV259:AY259),1/SQRT(AV258:AY258)),1)</f>
        <v>-499.52618945987444</v>
      </c>
      <c r="AU259" s="4"/>
      <c r="AV259" s="73">
        <v>1</v>
      </c>
      <c r="AW259" s="73">
        <v>0.98</v>
      </c>
      <c r="AX259" s="73">
        <v>0.93</v>
      </c>
      <c r="AY259" s="73">
        <v>0.56999999999999995</v>
      </c>
      <c r="AZ259" s="53"/>
      <c r="BA259" s="53"/>
      <c r="BB259" s="53"/>
      <c r="BC259" s="53"/>
      <c r="BD259" s="53"/>
      <c r="BE259" s="53"/>
      <c r="BF259" s="53"/>
      <c r="BG259" s="53"/>
      <c r="BH259" s="53"/>
      <c r="BI259" s="53"/>
      <c r="BJ259" s="53"/>
      <c r="BK259" s="53"/>
      <c r="BL259" s="53"/>
      <c r="BM259" s="53"/>
      <c r="BN259" s="53"/>
      <c r="BO259" s="53"/>
      <c r="BP259" s="53"/>
      <c r="BQ259" s="53"/>
      <c r="BR259" s="53"/>
      <c r="BS259" s="53"/>
      <c r="BT259" s="53"/>
      <c r="BU259" s="53"/>
      <c r="BV259" s="53"/>
      <c r="BW259" s="53"/>
      <c r="BX259" s="53"/>
      <c r="BY259" s="53"/>
      <c r="BZ259" s="53"/>
      <c r="CA259" s="53"/>
      <c r="CB259" s="53"/>
      <c r="CC259" s="53"/>
      <c r="CD259" s="53"/>
      <c r="CE259" s="53"/>
      <c r="CF259" s="53"/>
      <c r="CG259" s="53"/>
      <c r="CH259" s="53"/>
      <c r="CI259" s="53"/>
      <c r="CJ259" s="53"/>
      <c r="CK259" s="53"/>
      <c r="CL259" s="53"/>
      <c r="CM259" s="53"/>
      <c r="CN259" s="53"/>
      <c r="CO259" s="53"/>
      <c r="CP259" s="53"/>
      <c r="CQ259" s="53"/>
      <c r="CR259" s="1"/>
      <c r="CS259" s="1"/>
      <c r="CT259" s="1"/>
      <c r="CU259" s="1"/>
    </row>
    <row r="260" spans="1:99" s="13" customFormat="1" ht="12" customHeight="1" x14ac:dyDescent="0.2">
      <c r="A260" s="68">
        <v>43509</v>
      </c>
      <c r="B260" s="70"/>
      <c r="C260" s="70"/>
      <c r="D260" s="69"/>
      <c r="E260" s="87"/>
      <c r="F260" s="69"/>
      <c r="G260" s="69"/>
      <c r="H260" s="69"/>
      <c r="I260" s="69"/>
      <c r="J260" s="69"/>
      <c r="K260" s="107"/>
      <c r="L260" s="107"/>
      <c r="M260" s="69"/>
      <c r="N260" s="69"/>
      <c r="O260" s="69"/>
      <c r="P260" s="69"/>
      <c r="Q260" s="69"/>
      <c r="R260" s="69"/>
      <c r="S260" s="69"/>
      <c r="T260" s="69"/>
      <c r="U260" s="69"/>
      <c r="V260" s="69"/>
      <c r="W260" s="69"/>
      <c r="X260" s="69"/>
      <c r="Y260" s="87"/>
      <c r="Z260" s="69"/>
      <c r="AA260" s="69"/>
      <c r="AB260" s="69"/>
      <c r="AC260" s="69"/>
      <c r="AD260" s="69"/>
      <c r="AE260" s="69"/>
      <c r="AF260" s="88"/>
      <c r="AG260" s="72"/>
      <c r="AH260" s="4"/>
      <c r="AI260" s="72"/>
      <c r="AJ260" s="110"/>
      <c r="AK260" s="72"/>
      <c r="AL260" s="72"/>
      <c r="AM260" s="72"/>
      <c r="AN260" s="72"/>
      <c r="AO260" s="72"/>
      <c r="AP260" s="72"/>
      <c r="AQ260" s="72"/>
      <c r="AR260" s="110"/>
      <c r="AS260" s="72"/>
      <c r="AT260" s="72"/>
      <c r="AU260" s="4"/>
      <c r="AV260" s="71">
        <f>24*3600*7</f>
        <v>604800</v>
      </c>
      <c r="AW260" s="71">
        <f>24*3600*35</f>
        <v>3024000</v>
      </c>
      <c r="AX260" s="71">
        <f>24*3600*70</f>
        <v>6048000</v>
      </c>
      <c r="AY260" s="71">
        <f>24*3600*350</f>
        <v>30240000</v>
      </c>
      <c r="AZ260" s="53"/>
      <c r="BA260" s="53"/>
      <c r="BB260" s="53"/>
      <c r="BC260" s="53"/>
      <c r="BD260" s="53"/>
      <c r="BE260" s="53"/>
      <c r="BF260" s="53"/>
      <c r="BG260" s="53"/>
      <c r="BH260" s="53"/>
      <c r="BI260" s="53"/>
      <c r="BJ260" s="53"/>
      <c r="BK260" s="53"/>
      <c r="BL260" s="53"/>
      <c r="BM260" s="53"/>
      <c r="BN260" s="53"/>
      <c r="BO260" s="53"/>
      <c r="BP260" s="53"/>
      <c r="BQ260" s="53"/>
      <c r="BR260" s="53"/>
      <c r="BS260" s="53"/>
      <c r="BT260" s="53"/>
      <c r="BU260" s="53"/>
      <c r="BV260" s="53"/>
      <c r="BW260" s="53"/>
      <c r="BX260" s="53"/>
      <c r="BY260" s="53"/>
      <c r="BZ260" s="53"/>
      <c r="CA260" s="53"/>
      <c r="CB260" s="53"/>
      <c r="CC260" s="53"/>
      <c r="CD260" s="53"/>
      <c r="CE260" s="53"/>
      <c r="CF260" s="53"/>
      <c r="CG260" s="53"/>
      <c r="CH260" s="53"/>
      <c r="CI260" s="53"/>
      <c r="CJ260" s="53"/>
      <c r="CK260" s="53"/>
      <c r="CL260" s="53"/>
      <c r="CM260" s="53"/>
      <c r="CN260" s="53"/>
      <c r="CO260" s="53"/>
      <c r="CP260" s="53"/>
      <c r="CQ260" s="53"/>
      <c r="CR260" s="1"/>
      <c r="CS260" s="1"/>
      <c r="CT260" s="1"/>
      <c r="CU260" s="1"/>
    </row>
    <row r="261" spans="1:99" s="13" customFormat="1" ht="12" customHeight="1" x14ac:dyDescent="0.2">
      <c r="A261" s="68">
        <v>43509</v>
      </c>
      <c r="B261" s="70" t="s">
        <v>176</v>
      </c>
      <c r="C261" s="70" t="s">
        <v>95</v>
      </c>
      <c r="D261" s="69">
        <v>2008</v>
      </c>
      <c r="E261" s="87">
        <v>1</v>
      </c>
      <c r="F261" s="69">
        <v>1354</v>
      </c>
      <c r="G261" s="99">
        <v>52.1</v>
      </c>
      <c r="H261" s="99" t="s">
        <v>32</v>
      </c>
      <c r="I261" s="69" t="s">
        <v>660</v>
      </c>
      <c r="J261" s="69" t="s">
        <v>475</v>
      </c>
      <c r="K261" s="69">
        <f>IF(J261="syllables",1,IF(J261="trigrams",2,IF(J261="strings",3,IF(J261="visual array",4,IF(J261="characters",5,IF(J261="letters",6,IF(J261="free forms",7,IF(J261="odors",8,IF(J261="words",9,IF(J261="pictures",10,IF(J261="object pictures",11,IF(J261="faces",12,IF(J261="names",13,IF(J261="idioms",14,IF(J261="grades",15,IF(J261="syllable-digit pairs",16,IF(J261="trigram-word pairs",17,IF(J261="word-digit pairs",18,IF(J261="English-Swahili pairs",19,IF(J261="spatial position",20,IF(J261="word pairs",21,IF(J261="word triads",22,IF(J261="generated words",23,IF(J261="word definition pairs",24,IF(J261="math problems",25,IF(J261="famous faces",26,IF(J261="famous names",27,IF(J261="famous voices",28,IF(J261="television programs",29,IF(J261="race horses",30,IF(J261="new vocabulary",31,IF(J261="sentences",32,IF(J261="concepts",33,IF(J261="ad slides",34,IF(J261="scenes",35,IF(J261="famous scenes",36,IF(J261="poems",37,IF(J261="walk",38,IF(J261="faces and events",39,IF(J261="events and names",40,IF(J261="flashbulb",41,IF(J261="stories",42,IF(J261="course material",43,IF(J261="autobiographical",44,IF(J261="novels",45,IF(J261="public events",46,"99"))))))))))))))))))))))))))))))))))))))))))))))</f>
        <v>32</v>
      </c>
      <c r="L261" s="69">
        <f>IF(J261="syllables",1,IF(J261="trigrams",1,IF(J261="strings",1,IF(J261="visual array",1,IF(J261="characters",1,IF(J261="letters",1,IF(J261="free forms",1,IF(J261="odors",2,IF(J261="words",2,IF(J261="pictures",2,IF(J261="object pictures",2,IF(J261="faces",2,IF(J261="names",2,IF(J261="idioms","2",IF(J261="grades",2,IF(J261="syllable-digit pairs",3,IF(J261="trigram-word pairs",3,IF(J261="word-digit pairs",3,IF(J261="English-Swahili pairs",3,IF(J261="spatial position",3,IF(J261="word pairs",4,IF(J261="word triads",4,IF(J261="generated words",4,IF(J261="word definition pairs",4,IF(J261="math problems",4,IF(J261="famous faces",4,IF(J261="famous names",4,IF(J261="famous voices",4,IF(J261="television programs",4,IF(J261="race horses",4,IF(J261="new vocabulary",4,IF(J261="sentences",5,IF(J261="concepts",5,IF(J261="ad slides",5,IF(J261="scenes",5,IF(J261="famous scenes",5,IF(J261="poems",6,IF(J261="walk",6,IF(J261="faces and events",6,IF(J261="events and names",6,IF(J261="flashbulb",7,IF(J261="stories",7,IF(J261="course material",7,IF(J261="autobiographical",7,IF(J261="novels",7,IF(J261="public events",7,"99"))))))))))))))))))))))))))))))))))))))))))))))</f>
        <v>5</v>
      </c>
      <c r="M261" s="69">
        <v>1</v>
      </c>
      <c r="N261" s="69">
        <v>4</v>
      </c>
      <c r="O261" s="69">
        <v>0</v>
      </c>
      <c r="P261" s="69"/>
      <c r="Q261" s="99" t="s">
        <v>182</v>
      </c>
      <c r="R261" s="69">
        <f>IF(Q261="Free Recall",1,IF(Q261="Cued Recall",2,IF(Q261="Recognition",3,IF(Q261="Multiple Choice",4,IF(Q261="Savings",5,IF(Q261="Stem Completion",6,IF(Q261="Fragment Completion",7,IF(Q261="anagram solution",8,IF(Q261="Matching",9,IF(Q261="Problem Solving",10,"99"))))))))))</f>
        <v>4</v>
      </c>
      <c r="S261" s="69" t="s">
        <v>15</v>
      </c>
      <c r="T261" s="69" t="s">
        <v>261</v>
      </c>
      <c r="U261" s="69">
        <f>IF(T261="within",1,0)</f>
        <v>0</v>
      </c>
      <c r="V261" s="69">
        <v>32</v>
      </c>
      <c r="W261" s="69">
        <f>F261*V261</f>
        <v>43328</v>
      </c>
      <c r="X261" s="69">
        <v>4</v>
      </c>
      <c r="Y261" s="87">
        <f>AV260</f>
        <v>604800</v>
      </c>
      <c r="Z261" s="69" t="s">
        <v>177</v>
      </c>
      <c r="AA261" s="69">
        <v>30240000</v>
      </c>
      <c r="AB261" s="69" t="str">
        <f>IF(AA261&lt;60,"1",IF(AA261&lt;=43200,"2",IF(AA261&lt;=777600,"3","4")))</f>
        <v>4</v>
      </c>
      <c r="AC261" s="72">
        <f>AVERAGE(AV260:DA260)</f>
        <v>9979200</v>
      </c>
      <c r="AD261" s="69" t="str">
        <f>IF(AC261&lt;60,"1",IF(AC261&lt;=43200,"2",IF(AC261&lt;=777600,"3","4")))</f>
        <v>4</v>
      </c>
      <c r="AE261" s="87">
        <f>AA261-Y261</f>
        <v>29635200</v>
      </c>
      <c r="AF261" s="88">
        <f>AV261</f>
        <v>0.99</v>
      </c>
      <c r="AG261" s="72">
        <f>((AW261-AV261)+(AX261-AW261)+(AY261-AX261))/3</f>
        <v>-0.10000000000000002</v>
      </c>
      <c r="AH261" s="4"/>
      <c r="AI261" s="72">
        <f>RSQ(AV261:AY261,AV260:AY260)</f>
        <v>0.99764354990287396</v>
      </c>
      <c r="AJ261" s="110">
        <f>SLOPE(AV261:AY261,AV260:AY260)</f>
        <v>-9.9507561283748684E-9</v>
      </c>
      <c r="AK261" s="72">
        <f>INTERCEPT(AV261:AY261,AV260:AY260)</f>
        <v>0.98930058555627853</v>
      </c>
      <c r="AL261" s="72">
        <f>INDEX(LINEST(LN(AV261:AY261),LN(AV260:AY260),TRUE,TRUE),3,1)</f>
        <v>0.79747451708440986</v>
      </c>
      <c r="AM261" s="72">
        <f>INDEX(LINEST(LN(AV261:AY261),LN(AV260:AY260)),1)</f>
        <v>-9.134301524438973E-2</v>
      </c>
      <c r="AN261" s="72">
        <f>EXP(INDEX(LINEST(LN(AV261:AY261),LN(AV260:AY260)),1,2))</f>
        <v>3.555004960961559</v>
      </c>
      <c r="AO261" s="89">
        <f>INDEX(LINEST((AV261:AY261),LN(AV260:AY260),TRUE,TRUE),3,1)</f>
        <v>0.8192850336678541</v>
      </c>
      <c r="AP261" s="89">
        <f>INDEX(LINEST((AV261:AY261),LN(AV260:AY260)),1)</f>
        <v>-7.6108977134299149E-2</v>
      </c>
      <c r="AQ261" s="90">
        <f>INDEX(LINEST(LN(AV261:AY261),SQRT(AV260:AY260),TRUE,TRUE),3,1)</f>
        <v>0.97207527654447057</v>
      </c>
      <c r="AR261" s="117">
        <f>INDEX(LINEST(LN(AV261:AY261),SQRT((AV260:AY260))),1)</f>
        <v>-8.0179931869395443E-5</v>
      </c>
      <c r="AS261" s="91">
        <f>INDEX(LINEST(1/(AV261:AY261),1/(SQRT(AV260:AY260)),TRUE,TRUE),3,1)</f>
        <v>0.49830089371960229</v>
      </c>
      <c r="AT261" s="91">
        <f>INDEX(LINEST(1/(AV261:AY261),1/SQRT(AV260:AY260)),1)</f>
        <v>-301.83594894836898</v>
      </c>
      <c r="AU261" s="4"/>
      <c r="AV261" s="73">
        <v>0.99</v>
      </c>
      <c r="AW261" s="73">
        <v>0.96</v>
      </c>
      <c r="AX261" s="73">
        <v>0.92</v>
      </c>
      <c r="AY261" s="73">
        <v>0.69</v>
      </c>
      <c r="AZ261" s="53"/>
      <c r="BA261" s="53"/>
      <c r="BB261" s="53"/>
      <c r="BC261" s="53"/>
      <c r="BD261" s="53"/>
      <c r="BE261" s="53"/>
      <c r="BF261" s="53"/>
      <c r="BG261" s="53"/>
      <c r="BH261" s="53"/>
      <c r="BI261" s="53"/>
      <c r="BJ261" s="53"/>
      <c r="BK261" s="53"/>
      <c r="BL261" s="53"/>
      <c r="BM261" s="53"/>
      <c r="BN261" s="53"/>
      <c r="BO261" s="53"/>
      <c r="BP261" s="53"/>
      <c r="BQ261" s="53"/>
      <c r="BR261" s="53"/>
      <c r="BS261" s="53"/>
      <c r="BT261" s="53"/>
      <c r="BU261" s="53"/>
      <c r="BV261" s="53"/>
      <c r="BW261" s="53"/>
      <c r="BX261" s="53"/>
      <c r="BY261" s="53"/>
      <c r="BZ261" s="53"/>
      <c r="CA261" s="53"/>
      <c r="CB261" s="53"/>
      <c r="CC261" s="53"/>
      <c r="CD261" s="53"/>
      <c r="CE261" s="53"/>
      <c r="CF261" s="53"/>
      <c r="CG261" s="53"/>
      <c r="CH261" s="53"/>
      <c r="CI261" s="53"/>
      <c r="CJ261" s="53"/>
      <c r="CK261" s="53"/>
      <c r="CL261" s="53"/>
      <c r="CM261" s="53"/>
      <c r="CN261" s="53"/>
      <c r="CO261" s="53"/>
      <c r="CP261" s="53"/>
      <c r="CQ261" s="53"/>
      <c r="CR261" s="1"/>
      <c r="CS261" s="1"/>
      <c r="CT261" s="1"/>
      <c r="CU261" s="1"/>
    </row>
    <row r="262" spans="1:99" s="13" customFormat="1" ht="12" customHeight="1" x14ac:dyDescent="0.2">
      <c r="A262" s="68">
        <v>43509</v>
      </c>
      <c r="B262" s="70"/>
      <c r="C262" s="70"/>
      <c r="D262" s="69"/>
      <c r="E262" s="87"/>
      <c r="F262" s="69"/>
      <c r="G262" s="69"/>
      <c r="H262" s="69"/>
      <c r="I262" s="69"/>
      <c r="J262" s="69"/>
      <c r="K262" s="107"/>
      <c r="L262" s="107"/>
      <c r="M262" s="69"/>
      <c r="N262" s="69"/>
      <c r="O262" s="69"/>
      <c r="P262" s="69"/>
      <c r="Q262" s="69"/>
      <c r="R262" s="69"/>
      <c r="S262" s="69"/>
      <c r="T262" s="69"/>
      <c r="U262" s="69"/>
      <c r="V262" s="69"/>
      <c r="W262" s="69"/>
      <c r="X262" s="69"/>
      <c r="Y262" s="87"/>
      <c r="Z262" s="69"/>
      <c r="AA262" s="69"/>
      <c r="AB262" s="69"/>
      <c r="AC262" s="69"/>
      <c r="AD262" s="69"/>
      <c r="AE262" s="69"/>
      <c r="AF262" s="88"/>
      <c r="AG262" s="72"/>
      <c r="AH262" s="4"/>
      <c r="AI262" s="72"/>
      <c r="AJ262" s="110"/>
      <c r="AK262" s="72"/>
      <c r="AL262" s="72"/>
      <c r="AM262" s="72"/>
      <c r="AN262" s="72"/>
      <c r="AO262" s="72"/>
      <c r="AP262" s="72"/>
      <c r="AQ262" s="72"/>
      <c r="AR262" s="110"/>
      <c r="AS262" s="72"/>
      <c r="AT262" s="72"/>
      <c r="AU262" s="4"/>
      <c r="AV262" s="71">
        <f>24*3600*7</f>
        <v>604800</v>
      </c>
      <c r="AW262" s="71">
        <f>24*3600*35</f>
        <v>3024000</v>
      </c>
      <c r="AX262" s="71">
        <f>24*3600*70</f>
        <v>6048000</v>
      </c>
      <c r="AY262" s="71">
        <f>24*3600*350</f>
        <v>30240000</v>
      </c>
      <c r="AZ262" s="53"/>
      <c r="BA262" s="53"/>
      <c r="BB262" s="53"/>
      <c r="BC262" s="53"/>
      <c r="BD262" s="53"/>
      <c r="BE262" s="53"/>
      <c r="BF262" s="53"/>
      <c r="BG262" s="53"/>
      <c r="BH262" s="53"/>
      <c r="BI262" s="53"/>
      <c r="BJ262" s="53"/>
      <c r="BK262" s="53"/>
      <c r="BL262" s="53"/>
      <c r="BM262" s="53"/>
      <c r="BN262" s="53"/>
      <c r="BO262" s="53"/>
      <c r="BP262" s="53"/>
      <c r="BQ262" s="53"/>
      <c r="BR262" s="53"/>
      <c r="BS262" s="53"/>
      <c r="BT262" s="53"/>
      <c r="BU262" s="53"/>
      <c r="BV262" s="53"/>
      <c r="BW262" s="53"/>
      <c r="BX262" s="53"/>
      <c r="BY262" s="53"/>
      <c r="BZ262" s="53"/>
      <c r="CA262" s="53"/>
      <c r="CB262" s="53"/>
      <c r="CC262" s="53"/>
      <c r="CD262" s="53"/>
      <c r="CE262" s="53"/>
      <c r="CF262" s="53"/>
      <c r="CG262" s="53"/>
      <c r="CH262" s="53"/>
      <c r="CI262" s="53"/>
      <c r="CJ262" s="53"/>
      <c r="CK262" s="53"/>
      <c r="CL262" s="53"/>
      <c r="CM262" s="53"/>
      <c r="CN262" s="53"/>
      <c r="CO262" s="53"/>
      <c r="CP262" s="53"/>
      <c r="CQ262" s="53"/>
      <c r="CR262" s="1"/>
      <c r="CS262" s="1"/>
      <c r="CT262" s="1"/>
      <c r="CU262" s="1"/>
    </row>
    <row r="263" spans="1:99" s="13" customFormat="1" ht="12" customHeight="1" x14ac:dyDescent="0.2">
      <c r="A263" s="68">
        <v>43509</v>
      </c>
      <c r="B263" s="70" t="s">
        <v>176</v>
      </c>
      <c r="C263" s="70" t="s">
        <v>95</v>
      </c>
      <c r="D263" s="69">
        <v>2008</v>
      </c>
      <c r="E263" s="87">
        <v>1</v>
      </c>
      <c r="F263" s="69">
        <v>1354</v>
      </c>
      <c r="G263" s="99">
        <v>52.1</v>
      </c>
      <c r="H263" s="99" t="s">
        <v>32</v>
      </c>
      <c r="I263" s="69" t="s">
        <v>661</v>
      </c>
      <c r="J263" s="69" t="s">
        <v>475</v>
      </c>
      <c r="K263" s="69">
        <f>IF(J263="syllables",1,IF(J263="trigrams",2,IF(J263="strings",3,IF(J263="visual array",4,IF(J263="characters",5,IF(J263="letters",6,IF(J263="free forms",7,IF(J263="odors",8,IF(J263="words",9,IF(J263="pictures",10,IF(J263="object pictures",11,IF(J263="faces",12,IF(J263="names",13,IF(J263="idioms",14,IF(J263="grades",15,IF(J263="syllable-digit pairs",16,IF(J263="trigram-word pairs",17,IF(J263="word-digit pairs",18,IF(J263="English-Swahili pairs",19,IF(J263="spatial position",20,IF(J263="word pairs",21,IF(J263="word triads",22,IF(J263="generated words",23,IF(J263="word definition pairs",24,IF(J263="math problems",25,IF(J263="famous faces",26,IF(J263="famous names",27,IF(J263="famous voices",28,IF(J263="television programs",29,IF(J263="race horses",30,IF(J263="new vocabulary",31,IF(J263="sentences",32,IF(J263="concepts",33,IF(J263="ad slides",34,IF(J263="scenes",35,IF(J263="famous scenes",36,IF(J263="poems",37,IF(J263="walk",38,IF(J263="faces and events",39,IF(J263="events and names",40,IF(J263="flashbulb",41,IF(J263="stories",42,IF(J263="course material",43,IF(J263="autobiographical",44,IF(J263="novels",45,IF(J263="public events",46,"99"))))))))))))))))))))))))))))))))))))))))))))))</f>
        <v>32</v>
      </c>
      <c r="L263" s="69">
        <f>IF(J263="syllables",1,IF(J263="trigrams",1,IF(J263="strings",1,IF(J263="visual array",1,IF(J263="characters",1,IF(J263="letters",1,IF(J263="free forms",1,IF(J263="odors",2,IF(J263="words",2,IF(J263="pictures",2,IF(J263="object pictures",2,IF(J263="faces",2,IF(J263="names",2,IF(J263="idioms","2",IF(J263="grades",2,IF(J263="syllable-digit pairs",3,IF(J263="trigram-word pairs",3,IF(J263="word-digit pairs",3,IF(J263="English-Swahili pairs",3,IF(J263="spatial position",3,IF(J263="word pairs",4,IF(J263="word triads",4,IF(J263="generated words",4,IF(J263="word definition pairs",4,IF(J263="math problems",4,IF(J263="famous faces",4,IF(J263="famous names",4,IF(J263="famous voices",4,IF(J263="television programs",4,IF(J263="race horses",4,IF(J263="new vocabulary",4,IF(J263="sentences",5,IF(J263="concepts",5,IF(J263="ad slides",5,IF(J263="scenes",5,IF(J263="famous scenes",5,IF(J263="poems",6,IF(J263="walk",6,IF(J263="faces and events",6,IF(J263="events and names",6,IF(J263="flashbulb",7,IF(J263="stories",7,IF(J263="course material",7,IF(J263="autobiographical",7,IF(J263="novels",7,IF(J263="public events",7,"99"))))))))))))))))))))))))))))))))))))))))))))))</f>
        <v>5</v>
      </c>
      <c r="M263" s="69">
        <v>1</v>
      </c>
      <c r="N263" s="69">
        <v>4</v>
      </c>
      <c r="O263" s="69">
        <v>0</v>
      </c>
      <c r="P263" s="69"/>
      <c r="Q263" s="99" t="s">
        <v>182</v>
      </c>
      <c r="R263" s="69">
        <f>IF(Q263="Free Recall",1,IF(Q263="Cued Recall",2,IF(Q263="Recognition",3,IF(Q263="Multiple Choice",4,IF(Q263="Savings",5,IF(Q263="Stem Completion",6,IF(Q263="Fragment Completion",7,IF(Q263="anagram solution",8,IF(Q263="Matching",9,IF(Q263="Problem Solving",10,"99"))))))))))</f>
        <v>4</v>
      </c>
      <c r="S263" s="69" t="s">
        <v>15</v>
      </c>
      <c r="T263" s="69" t="s">
        <v>261</v>
      </c>
      <c r="U263" s="69">
        <f>IF(T263="within",1,0)</f>
        <v>0</v>
      </c>
      <c r="V263" s="69">
        <v>32</v>
      </c>
      <c r="W263" s="69">
        <f>F263*V263</f>
        <v>43328</v>
      </c>
      <c r="X263" s="69">
        <v>4</v>
      </c>
      <c r="Y263" s="87">
        <f>AV262</f>
        <v>604800</v>
      </c>
      <c r="Z263" s="69" t="s">
        <v>177</v>
      </c>
      <c r="AA263" s="69">
        <v>30240000</v>
      </c>
      <c r="AB263" s="69" t="str">
        <f>IF(AA263&lt;60,"1",IF(AA263&lt;=43200,"2",IF(AA263&lt;=777600,"3","4")))</f>
        <v>4</v>
      </c>
      <c r="AC263" s="72">
        <f>AVERAGE(AV262:DA262)</f>
        <v>9979200</v>
      </c>
      <c r="AD263" s="69" t="str">
        <f>IF(AC263&lt;60,"1",IF(AC263&lt;=43200,"2",IF(AC263&lt;=777600,"3","4")))</f>
        <v>4</v>
      </c>
      <c r="AE263" s="87">
        <f>AA263-Y263</f>
        <v>29635200</v>
      </c>
      <c r="AF263" s="88">
        <f>AV263</f>
        <v>0.97</v>
      </c>
      <c r="AG263" s="72">
        <f>((AW263-AV263)+(AX263-AW263)+(AY263-AX263))/3</f>
        <v>-0.15</v>
      </c>
      <c r="AH263" s="4"/>
      <c r="AI263" s="72">
        <f>RSQ(AV263:AY263,AV262:AY262)</f>
        <v>0.98267473596772292</v>
      </c>
      <c r="AJ263" s="110">
        <f>SLOPE(AV263:AY263,AV262:AY262)</f>
        <v>-1.4194619147449335E-8</v>
      </c>
      <c r="AK263" s="72">
        <f>INTERCEPT(AV263:AY263,AV262:AY262)</f>
        <v>0.94415094339622641</v>
      </c>
      <c r="AL263" s="72">
        <f>INDEX(LINEST(LN(AV263:AY263),LN(AV262:AY262),TRUE,TRUE),3,1)</f>
        <v>0.83401451238788715</v>
      </c>
      <c r="AM263" s="72">
        <f>INDEX(LINEST(LN(AV263:AY263),LN(AV262:AY262)),1)</f>
        <v>-0.15656389100607182</v>
      </c>
      <c r="AN263" s="72">
        <f>EXP(INDEX(LINEST(LN(AV263:AY263),LN(AV262:AY262)),1,2))</f>
        <v>8.5324661352976818</v>
      </c>
      <c r="AO263" s="89">
        <f>INDEX(LINEST((AV263:AY263),LN(AV262:AY262),TRUE,TRUE),3,1)</f>
        <v>0.87863528078719111</v>
      </c>
      <c r="AP263" s="89">
        <f>INDEX(LINEST((AV263:AY263),LN(AV262:AY262)),1)</f>
        <v>-0.11328519577648638</v>
      </c>
      <c r="AQ263" s="90">
        <f>INDEX(LINEST(LN(AV263:AY263),SQRT(AV262:AY262),TRUE,TRUE),3,1)</f>
        <v>0.9829132435168787</v>
      </c>
      <c r="AR263" s="117">
        <f>INDEX(LINEST(LN(AV263:AY263),SQRT((AV262:AY262))),1)</f>
        <v>-1.3513292993964712E-4</v>
      </c>
      <c r="AS263" s="91">
        <f>INDEX(LINEST(1/(AV263:AY263),1/(SQRT(AV262:AY262)),TRUE,TRUE),3,1)</f>
        <v>0.52116109074299632</v>
      </c>
      <c r="AT263" s="91">
        <f>INDEX(LINEST(1/(AV263:AY263),1/SQRT(AV262:AY262)),1)</f>
        <v>-616.44477331829307</v>
      </c>
      <c r="AU263" s="4"/>
      <c r="AV263" s="73">
        <v>0.97</v>
      </c>
      <c r="AW263" s="73">
        <v>0.88</v>
      </c>
      <c r="AX263" s="73">
        <v>0.84</v>
      </c>
      <c r="AY263" s="73">
        <v>0.52</v>
      </c>
      <c r="AZ263" s="53"/>
      <c r="BA263" s="53"/>
      <c r="BB263" s="53"/>
      <c r="BC263" s="53"/>
      <c r="BD263" s="53"/>
      <c r="BE263" s="53"/>
      <c r="BF263" s="53"/>
      <c r="BG263" s="53"/>
      <c r="BH263" s="53"/>
      <c r="BI263" s="53"/>
      <c r="BJ263" s="53"/>
      <c r="BK263" s="53"/>
      <c r="BL263" s="53"/>
      <c r="BM263" s="53"/>
      <c r="BN263" s="53"/>
      <c r="BO263" s="53"/>
      <c r="BP263" s="53"/>
      <c r="BQ263" s="53"/>
      <c r="BR263" s="53"/>
      <c r="BS263" s="53"/>
      <c r="BT263" s="53"/>
      <c r="BU263" s="53"/>
      <c r="BV263" s="53"/>
      <c r="BW263" s="53"/>
      <c r="BX263" s="53"/>
      <c r="BY263" s="53"/>
      <c r="BZ263" s="53"/>
      <c r="CA263" s="53"/>
      <c r="CB263" s="53"/>
      <c r="CC263" s="53"/>
      <c r="CD263" s="53"/>
      <c r="CE263" s="53"/>
      <c r="CF263" s="53"/>
      <c r="CG263" s="53"/>
      <c r="CH263" s="53"/>
      <c r="CI263" s="53"/>
      <c r="CJ263" s="53"/>
      <c r="CK263" s="53"/>
      <c r="CL263" s="53"/>
      <c r="CM263" s="53"/>
      <c r="CN263" s="53"/>
      <c r="CO263" s="53"/>
      <c r="CP263" s="53"/>
      <c r="CQ263" s="53"/>
      <c r="CR263" s="1"/>
      <c r="CS263" s="1"/>
      <c r="CT263" s="1"/>
      <c r="CU263" s="1"/>
    </row>
    <row r="264" spans="1:99" s="13" customFormat="1" ht="12" customHeight="1" x14ac:dyDescent="0.2">
      <c r="A264" s="65">
        <v>43906</v>
      </c>
      <c r="B264" s="1"/>
      <c r="C264" s="1"/>
      <c r="D264" s="60"/>
      <c r="E264" s="76"/>
      <c r="F264" s="60"/>
      <c r="G264" s="62"/>
      <c r="H264" s="60"/>
      <c r="I264" s="60"/>
      <c r="J264" s="60"/>
      <c r="K264" s="64"/>
      <c r="L264" s="64"/>
      <c r="M264" s="60"/>
      <c r="N264" s="61"/>
      <c r="O264" s="60"/>
      <c r="P264" s="60"/>
      <c r="Q264" s="60"/>
      <c r="R264" s="60"/>
      <c r="S264" s="60"/>
      <c r="T264" s="60"/>
      <c r="U264" s="60"/>
      <c r="V264" s="60"/>
      <c r="W264" s="60"/>
      <c r="X264" s="60"/>
      <c r="Y264" s="76"/>
      <c r="Z264" s="60"/>
      <c r="AA264" s="60"/>
      <c r="AB264" s="60"/>
      <c r="AC264" s="56"/>
      <c r="AD264" s="60"/>
      <c r="AE264" s="60"/>
      <c r="AF264" s="80"/>
      <c r="AG264" s="56"/>
      <c r="AH264" s="4"/>
      <c r="AI264" s="56"/>
      <c r="AJ264" s="109"/>
      <c r="AK264" s="56"/>
      <c r="AL264" s="56"/>
      <c r="AM264" s="56"/>
      <c r="AN264" s="56"/>
      <c r="AO264" s="82"/>
      <c r="AP264" s="82"/>
      <c r="AQ264" s="83"/>
      <c r="AR264" s="116"/>
      <c r="AS264" s="84"/>
      <c r="AT264" s="84"/>
      <c r="AU264" s="3"/>
      <c r="AV264" s="25">
        <v>300</v>
      </c>
      <c r="AW264" s="25">
        <f>60*60*24</f>
        <v>86400</v>
      </c>
      <c r="AX264" s="25">
        <f>AW264*2</f>
        <v>172800</v>
      </c>
      <c r="AY264" s="25">
        <f>AW264*4</f>
        <v>345600</v>
      </c>
      <c r="AZ264" s="25">
        <f>AW264*7</f>
        <v>604800</v>
      </c>
      <c r="BA264" s="25">
        <f>AW264*14</f>
        <v>1209600</v>
      </c>
      <c r="BB264" s="53"/>
      <c r="BC264" s="53"/>
      <c r="BD264" s="53"/>
      <c r="BE264" s="53"/>
      <c r="BF264" s="53"/>
      <c r="BG264" s="53"/>
      <c r="BH264" s="53"/>
      <c r="BI264" s="53"/>
      <c r="BJ264" s="53"/>
      <c r="BK264" s="53"/>
      <c r="BL264" s="53"/>
      <c r="BM264" s="53"/>
      <c r="BN264" s="53"/>
      <c r="BO264" s="53"/>
      <c r="BP264" s="53"/>
      <c r="BQ264" s="53"/>
      <c r="BR264" s="53"/>
      <c r="BS264" s="53"/>
      <c r="BT264" s="53"/>
      <c r="BU264" s="53"/>
      <c r="BV264" s="53"/>
      <c r="BW264" s="53"/>
      <c r="BX264" s="53"/>
      <c r="BY264" s="53"/>
      <c r="BZ264" s="53"/>
      <c r="CA264" s="53"/>
      <c r="CB264" s="53"/>
      <c r="CC264" s="53"/>
      <c r="CD264" s="53"/>
      <c r="CE264" s="53"/>
      <c r="CF264" s="53"/>
      <c r="CG264" s="53"/>
      <c r="CH264" s="53"/>
      <c r="CI264" s="53"/>
      <c r="CJ264" s="53"/>
      <c r="CK264" s="53"/>
      <c r="CL264" s="53"/>
      <c r="CM264" s="53"/>
      <c r="CN264" s="53"/>
      <c r="CO264" s="53"/>
      <c r="CP264" s="53"/>
      <c r="CQ264" s="53"/>
      <c r="CR264" s="1"/>
      <c r="CS264" s="1"/>
      <c r="CT264" s="1"/>
      <c r="CU264" s="1"/>
    </row>
    <row r="265" spans="1:99" s="13" customFormat="1" ht="12" customHeight="1" x14ac:dyDescent="0.2">
      <c r="A265" s="65">
        <v>43906</v>
      </c>
      <c r="B265" s="1" t="s">
        <v>489</v>
      </c>
      <c r="C265" s="1" t="s">
        <v>488</v>
      </c>
      <c r="D265" s="60">
        <v>2009</v>
      </c>
      <c r="E265" s="76">
        <v>1</v>
      </c>
      <c r="F265" s="60">
        <v>215</v>
      </c>
      <c r="G265" s="62">
        <v>35.799999999999997</v>
      </c>
      <c r="H265" s="60" t="s">
        <v>491</v>
      </c>
      <c r="I265" s="60"/>
      <c r="J265" s="60" t="s">
        <v>490</v>
      </c>
      <c r="K265" s="60">
        <f>IF(J265="syllables",1,IF(J265="trigrams",2,IF(J265="strings",3,IF(J265="visual array",4,IF(J265="characters",5,IF(J265="letters",6,IF(J265="free forms",7,IF(J265="odors",8,IF(J265="words",9,IF(J265="pictures",10,IF(J265="object pictures",11,IF(J265="faces",12,IF(J265="names",13,IF(J265="idioms",14,IF(J265="grades",15,IF(J265="syllable-digit pairs",16,IF(J265="trigram-word pairs",17,IF(J265="word-digit pairs",18,IF(J265="English-Swahili pairs",19,IF(J265="spatial position",20,IF(J265="word pairs",21,IF(J265="word triads",22,IF(J265="generated words",23,IF(J265="word definition pairs",24,IF(J265="math problems",25,IF(J265="famous faces",26,IF(J265="famous names",27,IF(J265="famous voices",28,IF(J265="television programs",29,IF(J265="race horses",30,IF(J265="new vocabulary",31,IF(J265="sentences",32,IF(J265="concepts",33,IF(J265="ad slides",34,IF(J265="scenes",35,IF(J265="famous scenes",36,IF(J265="poems",37,IF(J265="walk",38,IF(J265="faces and events",39,IF(J265="events and names",40,IF(J265="flashbulb",41,IF(J265="stories",42,IF(J265="course material",43,IF(J265="autobiographical",44,IF(J265="novels",45,IF(J265="public events",46,"99"))))))))))))))))))))))))))))))))))))))))))))))</f>
        <v>19</v>
      </c>
      <c r="L265" s="60">
        <f>IF(J265="syllables",1,IF(J265="trigrams",1,IF(J265="strings",1,IF(J265="visual array",1,IF(J265="characters",1,IF(J265="letters",1,IF(J265="free forms",1,IF(J265="odors",2,IF(J265="words",2,IF(J265="pictures",2,IF(J265="object pictures",2,IF(J265="faces",2,IF(J265="names",2,IF(J265="idioms","2",IF(J265="grades",2,IF(J265="syllable-digit pairs",3,IF(J265="trigram-word pairs",3,IF(J265="word-digit pairs",3,IF(J265="English-Swahili pairs",3,IF(J265="spatial position",3,IF(J265="word pairs",4,IF(J265="word triads",4,IF(J265="generated words",4,IF(J265="word definition pairs",4,IF(J265="math problems",4,IF(J265="famous faces",4,IF(J265="famous names",4,IF(J265="famous voices",4,IF(J265="television programs",4,IF(J265="race horses",4,IF(J265="new vocabulary",4,IF(J265="sentences",5,IF(J265="concepts",5,IF(J265="ad slides",5,IF(J265="scenes",5,IF(J265="famous scenes",5,IF(J265="poems",6,IF(J265="walk",6,IF(J265="faces and events",6,IF(J265="events and names",6,IF(J265="flashbulb",7,IF(J265="stories",7,IF(J265="course material",7,IF(J265="autobiographical",7,IF(J265="novels",7,IF(J265="public events",7,"99"))))))))))))))))))))))))))))))))))))))))))))))</f>
        <v>3</v>
      </c>
      <c r="M265" s="60">
        <v>1</v>
      </c>
      <c r="N265" s="61">
        <v>3</v>
      </c>
      <c r="O265" s="60">
        <v>0</v>
      </c>
      <c r="P265" s="60"/>
      <c r="Q265" s="60" t="s">
        <v>65</v>
      </c>
      <c r="R265" s="60">
        <f>IF(Q265="Free Recall",1,IF(Q265="Cued Recall",2,IF(Q265="Recognition",3,IF(Q265="Multiple Choice",4,IF(Q265="Savings",5,IF(Q265="Stem Completion",6,IF(Q265="Fragment Completion",7,IF(Q265="anagram solution",8,IF(Q265="Matching",9,IF(Q265="Problem Solving",10,"99"))))))))))</f>
        <v>2</v>
      </c>
      <c r="S265" s="60" t="s">
        <v>15</v>
      </c>
      <c r="T265" s="60" t="s">
        <v>261</v>
      </c>
      <c r="U265" s="60">
        <f>IF(T265="within",1,0)</f>
        <v>0</v>
      </c>
      <c r="V265" s="60">
        <v>40</v>
      </c>
      <c r="W265" s="60">
        <f>F265*V265</f>
        <v>8600</v>
      </c>
      <c r="X265" s="60">
        <v>6</v>
      </c>
      <c r="Y265" s="76">
        <f>AV264</f>
        <v>300</v>
      </c>
      <c r="Z265" s="60" t="s">
        <v>476</v>
      </c>
      <c r="AA265" s="60">
        <f>60*60*24*14</f>
        <v>1209600</v>
      </c>
      <c r="AB265" s="60" t="str">
        <f>IF(AA265&lt;60,"1",IF(AA265&lt;=43200,"2",IF(AA265&lt;=777600,"3","4")))</f>
        <v>4</v>
      </c>
      <c r="AC265" s="56">
        <f>AVERAGE(AV264:DA264)</f>
        <v>403250</v>
      </c>
      <c r="AD265" s="60" t="str">
        <f>IF(AC265&lt;60,"1",IF(AC265&lt;=43200,"2",IF(AC265&lt;=777600,"3","4")))</f>
        <v>3</v>
      </c>
      <c r="AE265" s="76">
        <f>AA265-Y265</f>
        <v>1209300</v>
      </c>
      <c r="AF265" s="80">
        <f>AV265</f>
        <v>0.92177419354838697</v>
      </c>
      <c r="AG265" s="56">
        <f>((AW265-AV265)+(AX265-AW265)+(AY265-AX265)+(AZ265-AY265)+(BA265-AZ265))/5</f>
        <v>-0.12763608870967741</v>
      </c>
      <c r="AH265" s="4"/>
      <c r="AI265" s="56">
        <f>RSQ(AV265:BA265,AV264:BA264)</f>
        <v>0.85653457588850723</v>
      </c>
      <c r="AJ265" s="109">
        <f>SLOPE(AV265:BA265,AV264:BA264)</f>
        <v>-5.0362723349508582E-7</v>
      </c>
      <c r="AK265" s="56">
        <f>INTERCEPT(AV265:BA265,AV264:BA264)</f>
        <v>0.81826889212503717</v>
      </c>
      <c r="AL265" s="56">
        <f>INDEX(LINEST(LN(AV265:BA265),LN(AV264:BA264),TRUE,TRUE),3,1)</f>
        <v>0.58236917726593951</v>
      </c>
      <c r="AM265" s="56">
        <f>INDEX(LINEST(LN(AV265:BA265),LN(AV264:BA264)),1)</f>
        <v>-0.11253363439233544</v>
      </c>
      <c r="AN265" s="56">
        <f>EXP(INDEX(LINEST(LN(AV265:BA265),LN(AV264:BA264)),1,2))</f>
        <v>2.0885774429442607</v>
      </c>
      <c r="AO265" s="82">
        <f>INDEX(LINEST((AV265:BA265),LN(AV264:BA264),TRUE,TRUE),3,1)</f>
        <v>0.68368591745718788</v>
      </c>
      <c r="AP265" s="82">
        <f>INDEX(LINEST((AV265:BA265),LN(AV264:BA264)),1)</f>
        <v>-6.7368311822507992E-2</v>
      </c>
      <c r="AQ265" s="83">
        <f>INDEX(LINEST(LN(AV265:BA265),SQRT(AV264:BA264),TRUE,TRUE),3,1)</f>
        <v>0.96856163784038229</v>
      </c>
      <c r="AR265" s="116">
        <f>INDEX(LINEST(LN(AV265:BA265),SQRT((AV264:BA264))),1)</f>
        <v>-1.1472371037217898E-3</v>
      </c>
      <c r="AS265" s="84">
        <f>INDEX(LINEST(1/(AV265:BA265),1/(SQRT(AV264:BA264)),TRUE,TRUE),3,1)</f>
        <v>0.22418293805439554</v>
      </c>
      <c r="AT265" s="84">
        <f>INDEX(LINEST(1/(AV265:BA265),1/SQRT(AV264:BA264)),1)</f>
        <v>-18.934535204172214</v>
      </c>
      <c r="AU265" s="3"/>
      <c r="AV265" s="53">
        <v>0.92177419354838697</v>
      </c>
      <c r="AW265" s="53">
        <v>0.83790322580645205</v>
      </c>
      <c r="AX265" s="53">
        <v>0.68833333333333302</v>
      </c>
      <c r="AY265" s="53">
        <v>0.52155172413793105</v>
      </c>
      <c r="AZ265" s="53">
        <v>0.437931034482759</v>
      </c>
      <c r="BA265" s="53">
        <v>0.28359374999999998</v>
      </c>
      <c r="BB265" s="53"/>
      <c r="BC265" s="53"/>
      <c r="BD265" s="53"/>
      <c r="BE265" s="53"/>
      <c r="BF265" s="53"/>
      <c r="BG265" s="53"/>
      <c r="BH265" s="53"/>
      <c r="BI265" s="53"/>
      <c r="BJ265" s="53"/>
      <c r="BK265" s="53"/>
      <c r="BL265" s="53"/>
      <c r="BM265" s="53"/>
      <c r="BN265" s="53"/>
      <c r="BO265" s="53"/>
      <c r="BP265" s="53"/>
      <c r="BQ265" s="53"/>
      <c r="BR265" s="53"/>
      <c r="BS265" s="53"/>
      <c r="BT265" s="53"/>
      <c r="BU265" s="53"/>
      <c r="BV265" s="53"/>
      <c r="BW265" s="53"/>
      <c r="BX265" s="53"/>
      <c r="BY265" s="53"/>
      <c r="BZ265" s="53"/>
      <c r="CA265" s="53"/>
      <c r="CB265" s="53"/>
      <c r="CC265" s="53"/>
      <c r="CD265" s="53"/>
      <c r="CE265" s="53"/>
      <c r="CF265" s="53"/>
      <c r="CG265" s="53"/>
      <c r="CH265" s="53"/>
      <c r="CI265" s="53"/>
      <c r="CJ265" s="53"/>
      <c r="CK265" s="53"/>
      <c r="CL265" s="53"/>
      <c r="CM265" s="53"/>
      <c r="CN265" s="53"/>
      <c r="CO265" s="53"/>
      <c r="CP265" s="53"/>
      <c r="CQ265" s="53"/>
      <c r="CR265" s="1"/>
      <c r="CS265" s="1"/>
      <c r="CT265" s="1"/>
      <c r="CU265" s="1"/>
    </row>
    <row r="266" spans="1:99" s="13" customFormat="1" ht="12" customHeight="1" x14ac:dyDescent="0.2">
      <c r="A266" s="65">
        <v>43906</v>
      </c>
      <c r="B266" s="1"/>
      <c r="C266" s="1"/>
      <c r="D266" s="60"/>
      <c r="E266" s="76"/>
      <c r="F266" s="60"/>
      <c r="G266" s="62"/>
      <c r="H266" s="60"/>
      <c r="I266" s="60"/>
      <c r="J266" s="60"/>
      <c r="K266" s="64"/>
      <c r="L266" s="64"/>
      <c r="M266" s="60"/>
      <c r="N266" s="61"/>
      <c r="O266" s="60"/>
      <c r="P266" s="60"/>
      <c r="Q266" s="60"/>
      <c r="R266" s="60"/>
      <c r="S266" s="60"/>
      <c r="T266" s="60"/>
      <c r="U266" s="60"/>
      <c r="V266" s="60"/>
      <c r="W266" s="60"/>
      <c r="X266" s="60"/>
      <c r="Y266" s="76"/>
      <c r="Z266" s="60"/>
      <c r="AA266" s="60"/>
      <c r="AB266" s="60"/>
      <c r="AC266" s="56"/>
      <c r="AD266" s="60"/>
      <c r="AE266" s="60"/>
      <c r="AF266" s="80"/>
      <c r="AG266" s="56"/>
      <c r="AH266" s="4"/>
      <c r="AI266" s="56"/>
      <c r="AJ266" s="109"/>
      <c r="AK266" s="56"/>
      <c r="AL266" s="56"/>
      <c r="AM266" s="56"/>
      <c r="AN266" s="56"/>
      <c r="AO266" s="82"/>
      <c r="AP266" s="82"/>
      <c r="AQ266" s="83"/>
      <c r="AR266" s="116"/>
      <c r="AS266" s="84"/>
      <c r="AT266" s="84"/>
      <c r="AU266" s="3"/>
      <c r="AV266" s="25">
        <v>300</v>
      </c>
      <c r="AW266" s="25">
        <f>60*60*24</f>
        <v>86400</v>
      </c>
      <c r="AX266" s="25">
        <f>AW266*7</f>
        <v>604800</v>
      </c>
      <c r="AY266" s="25">
        <f>AW266*28</f>
        <v>2419200</v>
      </c>
      <c r="AZ266" s="25">
        <f>AW266*84</f>
        <v>7257600</v>
      </c>
      <c r="BA266" s="25">
        <f>AW266*168</f>
        <v>14515200</v>
      </c>
      <c r="BB266" s="53"/>
      <c r="BC266" s="53"/>
      <c r="BD266" s="53"/>
      <c r="BE266" s="53"/>
      <c r="BF266" s="53"/>
      <c r="BG266" s="53"/>
      <c r="BH266" s="53"/>
      <c r="BI266" s="53"/>
      <c r="BJ266" s="53"/>
      <c r="BK266" s="53"/>
      <c r="BL266" s="53"/>
      <c r="BM266" s="53"/>
      <c r="BN266" s="53"/>
      <c r="BO266" s="53"/>
      <c r="BP266" s="53"/>
      <c r="BQ266" s="53"/>
      <c r="BR266" s="53"/>
      <c r="BS266" s="53"/>
      <c r="BT266" s="53"/>
      <c r="BU266" s="53"/>
      <c r="BV266" s="53"/>
      <c r="BW266" s="53"/>
      <c r="BX266" s="53"/>
      <c r="BY266" s="53"/>
      <c r="BZ266" s="53"/>
      <c r="CA266" s="53"/>
      <c r="CB266" s="53"/>
      <c r="CC266" s="53"/>
      <c r="CD266" s="53"/>
      <c r="CE266" s="53"/>
      <c r="CF266" s="53"/>
      <c r="CG266" s="53"/>
      <c r="CH266" s="53"/>
      <c r="CI266" s="53"/>
      <c r="CJ266" s="53"/>
      <c r="CK266" s="53"/>
      <c r="CL266" s="53"/>
      <c r="CM266" s="53"/>
      <c r="CN266" s="53"/>
      <c r="CO266" s="53"/>
      <c r="CP266" s="53"/>
      <c r="CQ266" s="53"/>
      <c r="CR266" s="1"/>
      <c r="CS266" s="1"/>
      <c r="CT266" s="1"/>
      <c r="CU266" s="1"/>
    </row>
    <row r="267" spans="1:99" s="13" customFormat="1" ht="12" customHeight="1" x14ac:dyDescent="0.2">
      <c r="A267" s="65">
        <v>43906</v>
      </c>
      <c r="B267" s="1" t="s">
        <v>489</v>
      </c>
      <c r="C267" s="1" t="s">
        <v>488</v>
      </c>
      <c r="D267" s="60">
        <v>2009</v>
      </c>
      <c r="E267" s="76">
        <v>2</v>
      </c>
      <c r="F267" s="60">
        <v>161</v>
      </c>
      <c r="G267" s="62">
        <v>26.8</v>
      </c>
      <c r="H267" s="60" t="s">
        <v>491</v>
      </c>
      <c r="I267" s="60"/>
      <c r="J267" s="60" t="s">
        <v>475</v>
      </c>
      <c r="K267" s="60">
        <f>IF(J267="syllables",1,IF(J267="trigrams",2,IF(J267="strings",3,IF(J267="visual array",4,IF(J267="characters",5,IF(J267="letters",6,IF(J267="free forms",7,IF(J267="odors",8,IF(J267="words",9,IF(J267="pictures",10,IF(J267="object pictures",11,IF(J267="faces",12,IF(J267="names",13,IF(J267="idioms",14,IF(J267="grades",15,IF(J267="syllable-digit pairs",16,IF(J267="trigram-word pairs",17,IF(J267="word-digit pairs",18,IF(J267="English-Swahili pairs",19,IF(J267="spatial position",20,IF(J267="word pairs",21,IF(J267="word triads",22,IF(J267="generated words",23,IF(J267="word definition pairs",24,IF(J267="math problems",25,IF(J267="famous faces",26,IF(J267="famous names",27,IF(J267="famous voices",28,IF(J267="television programs",29,IF(J267="race horses",30,IF(J267="new vocabulary",31,IF(J267="sentences",32,IF(J267="concepts",33,IF(J267="ad slides",34,IF(J267="scenes",35,IF(J267="famous scenes",36,IF(J267="poems",37,IF(J267="walk",38,IF(J267="faces and events",39,IF(J267="events and names",40,IF(J267="flashbulb",41,IF(J267="stories",42,IF(J267="course material",43,IF(J267="autobiographical",44,IF(J267="novels",45,IF(J267="public events",46,"99"))))))))))))))))))))))))))))))))))))))))))))))</f>
        <v>32</v>
      </c>
      <c r="L267" s="60">
        <f>IF(J267="syllables",1,IF(J267="trigrams",1,IF(J267="strings",1,IF(J267="visual array",1,IF(J267="characters",1,IF(J267="letters",1,IF(J267="free forms",1,IF(J267="odors",2,IF(J267="words",2,IF(J267="pictures",2,IF(J267="object pictures",2,IF(J267="faces",2,IF(J267="names",2,IF(J267="idioms","2",IF(J267="grades",2,IF(J267="syllable-digit pairs",3,IF(J267="trigram-word pairs",3,IF(J267="word-digit pairs",3,IF(J267="English-Swahili pairs",3,IF(J267="spatial position",3,IF(J267="word pairs",4,IF(J267="word triads",4,IF(J267="generated words",4,IF(J267="word definition pairs",4,IF(J267="math problems",4,IF(J267="famous faces",4,IF(J267="famous names",4,IF(J267="famous voices",4,IF(J267="television programs",4,IF(J267="race horses",4,IF(J267="new vocabulary",4,IF(J267="sentences",5,IF(J267="concepts",5,IF(J267="ad slides",5,IF(J267="scenes",5,IF(J267="famous scenes",5,IF(J267="poems",6,IF(J267="walk",6,IF(J267="faces and events",6,IF(J267="events and names",6,IF(J267="flashbulb",7,IF(J267="stories",7,IF(J267="course material",7,IF(J267="autobiographical",7,IF(J267="novels",7,IF(J267="public events",7,"99"))))))))))))))))))))))))))))))))))))))))))))))</f>
        <v>5</v>
      </c>
      <c r="M267" s="60">
        <v>1</v>
      </c>
      <c r="N267" s="61">
        <v>4</v>
      </c>
      <c r="O267" s="60">
        <v>0</v>
      </c>
      <c r="P267" s="60"/>
      <c r="Q267" s="60" t="s">
        <v>65</v>
      </c>
      <c r="R267" s="60">
        <f>IF(Q267="Free Recall",1,IF(Q267="Cued Recall",2,IF(Q267="Recognition",3,IF(Q267="Multiple Choice",4,IF(Q267="Savings",5,IF(Q267="Stem Completion",6,IF(Q267="Fragment Completion",7,IF(Q267="anagram solution",8,IF(Q267="Matching",9,IF(Q267="Problem Solving",10,"99"))))))))))</f>
        <v>2</v>
      </c>
      <c r="S267" s="60" t="s">
        <v>15</v>
      </c>
      <c r="T267" s="60" t="s">
        <v>261</v>
      </c>
      <c r="U267" s="60">
        <f>IF(T267="within",1,0)</f>
        <v>0</v>
      </c>
      <c r="V267" s="60">
        <v>23</v>
      </c>
      <c r="W267" s="60">
        <f>F267*V267</f>
        <v>3703</v>
      </c>
      <c r="X267" s="60">
        <v>6</v>
      </c>
      <c r="Y267" s="76">
        <f>AV266</f>
        <v>300</v>
      </c>
      <c r="Z267" s="60" t="s">
        <v>492</v>
      </c>
      <c r="AA267" s="60">
        <f>60*60*24*168</f>
        <v>14515200</v>
      </c>
      <c r="AB267" s="60" t="str">
        <f>IF(AA267&lt;60,"1",IF(AA267&lt;=43200,"2",IF(AA267&lt;=777600,"3","4")))</f>
        <v>4</v>
      </c>
      <c r="AC267" s="56">
        <f>AVERAGE(AV266:DA266)</f>
        <v>4147250</v>
      </c>
      <c r="AD267" s="60" t="str">
        <f>IF(AC267&lt;60,"1",IF(AC267&lt;=43200,"2",IF(AC267&lt;=777600,"3","4")))</f>
        <v>4</v>
      </c>
      <c r="AE267" s="76">
        <f>AA267-Y267</f>
        <v>14514900</v>
      </c>
      <c r="AF267" s="80">
        <f>AV267</f>
        <v>0.96</v>
      </c>
      <c r="AG267" s="56">
        <f>((AW267-AV267)+(AX267-AW267)+(AY267-AX267)+(AZ267-AY267)+(BA267-AZ267))/5</f>
        <v>-0.14799999999999999</v>
      </c>
      <c r="AH267" s="4"/>
      <c r="AI267" s="56">
        <f>RSQ(AV267:BA267,AV266:BA266)</f>
        <v>0.76281084952639533</v>
      </c>
      <c r="AJ267" s="109">
        <f>SLOPE(AV267:BA267,AV266:BA266)</f>
        <v>-4.924054395557486E-8</v>
      </c>
      <c r="AK267" s="56">
        <f>INTERCEPT(AV267:BA267,AV266:BA266)</f>
        <v>0.81254617925309114</v>
      </c>
      <c r="AL267" s="56">
        <f>INDEX(LINEST(LN(AV267:BA267),LN(AV266:BA266),TRUE,TRUE),3,1)</f>
        <v>0.65039308819117259</v>
      </c>
      <c r="AM267" s="56">
        <f>INDEX(LINEST(LN(AV267:BA267),LN(AV266:BA266)),1)</f>
        <v>-0.12863423140777697</v>
      </c>
      <c r="AN267" s="56">
        <f>EXP(INDEX(LINEST(LN(AV267:BA267),LN(AV266:BA266)),1,2))</f>
        <v>2.7508650139131889</v>
      </c>
      <c r="AO267" s="82">
        <f>INDEX(LINEST((AV267:BA267),LN(AV266:BA266),TRUE,TRUE),3,1)</f>
        <v>0.72823576947956759</v>
      </c>
      <c r="AP267" s="82">
        <f>INDEX(LINEST((AV267:BA267),LN(AV266:BA266)),1)</f>
        <v>-6.9898075649523828E-2</v>
      </c>
      <c r="AQ267" s="83">
        <f>INDEX(LINEST(LN(AV267:BA267),SQRT(AV266:BA266),TRUE,TRUE),3,1)</f>
        <v>0.97778881486569702</v>
      </c>
      <c r="AR267" s="116">
        <f>INDEX(LINEST(LN(AV267:BA267),SQRT((AV266:BA266))),1)</f>
        <v>-4.2347499767166774E-4</v>
      </c>
      <c r="AS267" s="84">
        <f>INDEX(LINEST(1/(AV267:BA267),1/(SQRT(AV266:BA266)),TRUE,TRUE),3,1)</f>
        <v>0.19461314854803363</v>
      </c>
      <c r="AT267" s="84">
        <f>INDEX(LINEST(1/(AV267:BA267),1/SQRT(AV266:BA266)),1)</f>
        <v>-28.08204143124323</v>
      </c>
      <c r="AU267" s="3"/>
      <c r="AV267" s="53">
        <v>0.96</v>
      </c>
      <c r="AW267" s="53">
        <v>0.92</v>
      </c>
      <c r="AX267" s="53">
        <v>0.79</v>
      </c>
      <c r="AY267" s="53">
        <v>0.48</v>
      </c>
      <c r="AZ267" s="53">
        <v>0.28000000000000003</v>
      </c>
      <c r="BA267" s="53">
        <v>0.22</v>
      </c>
      <c r="BB267" s="53"/>
      <c r="BC267" s="53"/>
      <c r="BD267" s="53"/>
      <c r="BE267" s="53"/>
      <c r="BF267" s="53"/>
      <c r="BG267" s="53"/>
      <c r="BH267" s="53"/>
      <c r="BI267" s="53"/>
      <c r="BJ267" s="53"/>
      <c r="BK267" s="53"/>
      <c r="BL267" s="53"/>
      <c r="BM267" s="53"/>
      <c r="BN267" s="53"/>
      <c r="BO267" s="53"/>
      <c r="BP267" s="53"/>
      <c r="BQ267" s="53"/>
      <c r="BR267" s="53"/>
      <c r="BS267" s="53"/>
      <c r="BT267" s="53"/>
      <c r="BU267" s="53"/>
      <c r="BV267" s="53"/>
      <c r="BW267" s="53"/>
      <c r="BX267" s="53"/>
      <c r="BY267" s="53"/>
      <c r="BZ267" s="53"/>
      <c r="CA267" s="53"/>
      <c r="CB267" s="53"/>
      <c r="CC267" s="53"/>
      <c r="CD267" s="53"/>
      <c r="CE267" s="53"/>
      <c r="CF267" s="53"/>
      <c r="CG267" s="53"/>
      <c r="CH267" s="53"/>
      <c r="CI267" s="53"/>
      <c r="CJ267" s="53"/>
      <c r="CK267" s="53"/>
      <c r="CL267" s="53"/>
      <c r="CM267" s="53"/>
      <c r="CN267" s="53"/>
      <c r="CO267" s="53"/>
      <c r="CP267" s="53"/>
      <c r="CQ267" s="53"/>
      <c r="CR267" s="1"/>
      <c r="CS267" s="1"/>
      <c r="CT267" s="1"/>
      <c r="CU267" s="1"/>
    </row>
    <row r="268" spans="1:99" s="13" customFormat="1" ht="12" customHeight="1" x14ac:dyDescent="0.2">
      <c r="A268" s="65">
        <v>43906</v>
      </c>
      <c r="B268" s="1"/>
      <c r="C268" s="1"/>
      <c r="D268" s="60"/>
      <c r="E268" s="76"/>
      <c r="F268" s="60"/>
      <c r="G268" s="62"/>
      <c r="H268" s="60"/>
      <c r="I268" s="60"/>
      <c r="J268" s="60"/>
      <c r="K268" s="64"/>
      <c r="L268" s="64"/>
      <c r="M268" s="60"/>
      <c r="N268" s="61"/>
      <c r="O268" s="60"/>
      <c r="P268" s="60"/>
      <c r="Q268" s="60"/>
      <c r="R268" s="60"/>
      <c r="S268" s="60"/>
      <c r="T268" s="60"/>
      <c r="U268" s="60"/>
      <c r="V268" s="60"/>
      <c r="W268" s="60"/>
      <c r="X268" s="60"/>
      <c r="Y268" s="76"/>
      <c r="Z268" s="60"/>
      <c r="AA268" s="60"/>
      <c r="AB268" s="60"/>
      <c r="AC268" s="56"/>
      <c r="AD268" s="60"/>
      <c r="AE268" s="60"/>
      <c r="AF268" s="80"/>
      <c r="AG268" s="56"/>
      <c r="AH268" s="4"/>
      <c r="AI268" s="56"/>
      <c r="AJ268" s="109"/>
      <c r="AK268" s="56"/>
      <c r="AL268" s="56"/>
      <c r="AM268" s="56"/>
      <c r="AN268" s="56"/>
      <c r="AO268" s="82"/>
      <c r="AP268" s="82"/>
      <c r="AQ268" s="83"/>
      <c r="AR268" s="116"/>
      <c r="AS268" s="84"/>
      <c r="AT268" s="84"/>
      <c r="AU268" s="3"/>
      <c r="AV268" s="25">
        <v>300</v>
      </c>
      <c r="AW268" s="25">
        <f>60*60*24</f>
        <v>86400</v>
      </c>
      <c r="AX268" s="25">
        <f>AW268*7</f>
        <v>604800</v>
      </c>
      <c r="AY268" s="25">
        <f>AW268*28</f>
        <v>2419200</v>
      </c>
      <c r="AZ268" s="25">
        <f>AW268*84</f>
        <v>7257600</v>
      </c>
      <c r="BA268" s="25">
        <f>AW268*168</f>
        <v>14515200</v>
      </c>
      <c r="BB268" s="53"/>
      <c r="BC268" s="53"/>
      <c r="BD268" s="53"/>
      <c r="BE268" s="53"/>
      <c r="BF268" s="53"/>
      <c r="BG268" s="53"/>
      <c r="BH268" s="53"/>
      <c r="BI268" s="53"/>
      <c r="BJ268" s="53"/>
      <c r="BK268" s="53"/>
      <c r="BL268" s="53"/>
      <c r="BM268" s="53"/>
      <c r="BN268" s="53"/>
      <c r="BO268" s="53"/>
      <c r="BP268" s="53"/>
      <c r="BQ268" s="53"/>
      <c r="BR268" s="53"/>
      <c r="BS268" s="53"/>
      <c r="BT268" s="53"/>
      <c r="BU268" s="53"/>
      <c r="BV268" s="53"/>
      <c r="BW268" s="53"/>
      <c r="BX268" s="53"/>
      <c r="BY268" s="53"/>
      <c r="BZ268" s="53"/>
      <c r="CA268" s="53"/>
      <c r="CB268" s="53"/>
      <c r="CC268" s="53"/>
      <c r="CD268" s="53"/>
      <c r="CE268" s="53"/>
      <c r="CF268" s="53"/>
      <c r="CG268" s="53"/>
      <c r="CH268" s="53"/>
      <c r="CI268" s="53"/>
      <c r="CJ268" s="53"/>
      <c r="CK268" s="53"/>
      <c r="CL268" s="53"/>
      <c r="CM268" s="53"/>
      <c r="CN268" s="53"/>
      <c r="CO268" s="53"/>
      <c r="CP268" s="53"/>
      <c r="CQ268" s="53"/>
      <c r="CR268" s="1"/>
      <c r="CS268" s="1"/>
      <c r="CT268" s="1"/>
      <c r="CU268" s="1"/>
    </row>
    <row r="269" spans="1:99" s="13" customFormat="1" ht="12" customHeight="1" x14ac:dyDescent="0.2">
      <c r="A269" s="65">
        <v>43906</v>
      </c>
      <c r="B269" s="1" t="s">
        <v>489</v>
      </c>
      <c r="C269" s="1" t="s">
        <v>488</v>
      </c>
      <c r="D269" s="60">
        <v>2009</v>
      </c>
      <c r="E269" s="76">
        <v>2</v>
      </c>
      <c r="F269" s="60">
        <v>161</v>
      </c>
      <c r="G269" s="62">
        <v>26.8</v>
      </c>
      <c r="H269" s="60" t="s">
        <v>491</v>
      </c>
      <c r="I269" s="60"/>
      <c r="J269" s="60" t="s">
        <v>676</v>
      </c>
      <c r="K269" s="60">
        <f>IF(J269="syllables",1,IF(J269="trigrams",2,IF(J269="strings",3,IF(J269="visual array",4,IF(J269="characters",5,IF(J269="letters",6,IF(J269="free forms",7,IF(J269="odors",8,IF(J269="words",9,IF(J269="pictures",10,IF(J269="object pictures",11,IF(J269="faces",12,IF(J269="names",13,IF(J269="idioms",14,IF(J269="grades",15,IF(J269="syllable-digit pairs",16,IF(J269="trigram-word pairs",17,IF(J269="word-digit pairs",18,IF(J269="English-Swahili pairs",19,IF(J269="spatial position",20,IF(J269="word pairs",21,IF(J269="word triads",22,IF(J269="generated words",23,IF(J269="word definition pairs",24,IF(J269="math problems",25,IF(J269="famous faces",26,IF(J269="famous names",27,IF(J269="famous voices",28,IF(J269="television programs",29,IF(J269="race horses",30,IF(J269="new vocabulary",31,IF(J269="sentences",32,IF(J269="concepts",33,IF(J269="ad slides",34,IF(J269="scenes",35,IF(J269="famous scenes",36,IF(J269="poems",37,IF(J269="walk",38,IF(J269="faces and events",39,IF(J269="events and names",40,IF(J269="flashbulb",41,IF(J269="stories",42,IF(J269="course material",43,IF(J269="autobiographical",44,IF(J269="novels",45,IF(J269="public events",46,"99"))))))))))))))))))))))))))))))))))))))))))))))</f>
        <v>11</v>
      </c>
      <c r="L269" s="60">
        <f>IF(J269="syllables",1,IF(J269="trigrams",1,IF(J269="strings",1,IF(J269="visual array",1,IF(J269="characters",1,IF(J269="letters",1,IF(J269="free forms",1,IF(J269="odors",2,IF(J269="words",2,IF(J269="pictures",2,IF(J269="object pictures",2,IF(J269="faces",2,IF(J269="names",2,IF(J269="idioms","2",IF(J269="grades",2,IF(J269="syllable-digit pairs",3,IF(J269="trigram-word pairs",3,IF(J269="word-digit pairs",3,IF(J269="English-Swahili pairs",3,IF(J269="spatial position",3,IF(J269="word pairs",4,IF(J269="word triads",4,IF(J269="generated words",4,IF(J269="word definition pairs",4,IF(J269="math problems",4,IF(J269="famous faces",4,IF(J269="famous names",4,IF(J269="famous voices",4,IF(J269="television programs",4,IF(J269="race horses",4,IF(J269="new vocabulary",4,IF(J269="sentences",5,IF(J269="concepts",5,IF(J269="ad slides",5,IF(J269="scenes",5,IF(J269="famous scenes",5,IF(J269="poems",6,IF(J269="walk",6,IF(J269="faces and events",6,IF(J269="events and names",6,IF(J269="flashbulb",7,IF(J269="stories",7,IF(J269="course material",7,IF(J269="autobiographical",7,IF(J269="novels",7,IF(J269="public events",7,"99"))))))))))))))))))))))))))))))))))))))))))))))</f>
        <v>2</v>
      </c>
      <c r="M269" s="60">
        <v>1</v>
      </c>
      <c r="N269" s="61">
        <v>3</v>
      </c>
      <c r="O269" s="60">
        <v>0</v>
      </c>
      <c r="P269" s="60"/>
      <c r="Q269" s="60" t="s">
        <v>65</v>
      </c>
      <c r="R269" s="60">
        <f>IF(Q269="Free Recall",1,IF(Q269="Cued Recall",2,IF(Q269="Recognition",3,IF(Q269="Multiple Choice",4,IF(Q269="Savings",5,IF(Q269="Stem Completion",6,IF(Q269="Fragment Completion",7,IF(Q269="anagram solution",8,IF(Q269="Matching",9,IF(Q269="Problem Solving",10,"99"))))))))))</f>
        <v>2</v>
      </c>
      <c r="S269" s="60" t="s">
        <v>15</v>
      </c>
      <c r="T269" s="60" t="s">
        <v>261</v>
      </c>
      <c r="U269" s="60">
        <f>IF(T269="within",1,0)</f>
        <v>0</v>
      </c>
      <c r="V269" s="60">
        <v>23</v>
      </c>
      <c r="W269" s="60">
        <f>F269*V269</f>
        <v>3703</v>
      </c>
      <c r="X269" s="60">
        <v>6</v>
      </c>
      <c r="Y269" s="76">
        <f>AV268</f>
        <v>300</v>
      </c>
      <c r="Z269" s="60" t="s">
        <v>492</v>
      </c>
      <c r="AA269" s="60">
        <f>60*60*24*168</f>
        <v>14515200</v>
      </c>
      <c r="AB269" s="60" t="str">
        <f>IF(AA269&lt;60,"1",IF(AA269&lt;=43200,"2",IF(AA269&lt;=777600,"3","4")))</f>
        <v>4</v>
      </c>
      <c r="AC269" s="56">
        <f>AVERAGE(AV268:DA268)</f>
        <v>4147250</v>
      </c>
      <c r="AD269" s="60" t="str">
        <f>IF(AC269&lt;60,"1",IF(AC269&lt;=43200,"2",IF(AC269&lt;=777600,"3","4")))</f>
        <v>4</v>
      </c>
      <c r="AE269" s="76">
        <f>AA269-Y269</f>
        <v>14514900</v>
      </c>
      <c r="AF269" s="80">
        <f>AV269</f>
        <v>0.93</v>
      </c>
      <c r="AG269" s="56">
        <f>((AW269-AV269)+(AX269-AW269)+(AY269-AX269)+(AZ269-AY269)+(BA269-AZ269))/5</f>
        <v>-0.17400000000000002</v>
      </c>
      <c r="AH269" s="4"/>
      <c r="AI269" s="56">
        <f>RSQ(AV269:BA269,AV268:BA268)</f>
        <v>0.65040284987659547</v>
      </c>
      <c r="AJ269" s="109">
        <f>SLOPE(AV269:BA269,AV268:BA268)</f>
        <v>-5.298936292699769E-8</v>
      </c>
      <c r="AK269" s="56">
        <f>INTERCEPT(AV269:BA269,AV268:BA268)</f>
        <v>0.67642680206565775</v>
      </c>
      <c r="AL269" s="56">
        <f>INDEX(LINEST(LN(AV269:BA269),LN(AV268:BA268),TRUE,TRUE),3,1)</f>
        <v>0.67524845173194803</v>
      </c>
      <c r="AM269" s="56">
        <f>INDEX(LINEST(LN(AV269:BA269),LN(AV268:BA268)),1)</f>
        <v>-0.2416812154323445</v>
      </c>
      <c r="AN269" s="56">
        <f>EXP(INDEX(LINEST(LN(AV269:BA269),LN(AV268:BA268)),1,2))</f>
        <v>6.5559922343117218</v>
      </c>
      <c r="AO269" s="82">
        <f>INDEX(LINEST((AV269:BA269),LN(AV268:BA268),TRUE,TRUE),3,1)</f>
        <v>0.81793991554029644</v>
      </c>
      <c r="AP269" s="82">
        <f>INDEX(LINEST((AV269:BA269),LN(AV268:BA268)),1)</f>
        <v>-8.6332235433962207E-2</v>
      </c>
      <c r="AQ269" s="83">
        <f>INDEX(LINEST(LN(AV269:BA269),SQRT(AV268:BA268),TRUE,TRUE),3,1)</f>
        <v>0.97883287374835826</v>
      </c>
      <c r="AR269" s="116">
        <f>INDEX(LINEST(LN(AV269:BA269),SQRT((AV268:BA268))),1)</f>
        <v>-7.8127156057026278E-4</v>
      </c>
      <c r="AS269" s="84">
        <f>INDEX(LINEST(1/(AV269:BA269),1/(SQRT(AV268:BA268)),TRUE,TRUE),3,1)</f>
        <v>0.1616311573122782</v>
      </c>
      <c r="AT269" s="84">
        <f>INDEX(LINEST(1/(AV269:BA269),1/SQRT(AV268:BA268)),1)</f>
        <v>-112.54390059434245</v>
      </c>
      <c r="AU269" s="3"/>
      <c r="AV269" s="53">
        <v>0.93</v>
      </c>
      <c r="AW269" s="53">
        <v>0.84</v>
      </c>
      <c r="AX269" s="53">
        <v>0.56999999999999995</v>
      </c>
      <c r="AY269" s="53">
        <v>0.25</v>
      </c>
      <c r="AZ269" s="53">
        <v>0.09</v>
      </c>
      <c r="BA269" s="53">
        <v>0.06</v>
      </c>
      <c r="BB269" s="53"/>
      <c r="BC269" s="53"/>
      <c r="BD269" s="53"/>
      <c r="BE269" s="53"/>
      <c r="BF269" s="53"/>
      <c r="BG269" s="53"/>
      <c r="BH269" s="53"/>
      <c r="BI269" s="53"/>
      <c r="BJ269" s="53"/>
      <c r="BK269" s="53"/>
      <c r="BL269" s="53"/>
      <c r="BM269" s="53"/>
      <c r="BN269" s="53"/>
      <c r="BO269" s="53"/>
      <c r="BP269" s="53"/>
      <c r="BQ269" s="53"/>
      <c r="BR269" s="53"/>
      <c r="BS269" s="53"/>
      <c r="BT269" s="53"/>
      <c r="BU269" s="53"/>
      <c r="BV269" s="53"/>
      <c r="BW269" s="53"/>
      <c r="BX269" s="53"/>
      <c r="BY269" s="53"/>
      <c r="BZ269" s="53"/>
      <c r="CA269" s="53"/>
      <c r="CB269" s="53"/>
      <c r="CC269" s="53"/>
      <c r="CD269" s="53"/>
      <c r="CE269" s="53"/>
      <c r="CF269" s="53"/>
      <c r="CG269" s="53"/>
      <c r="CH269" s="53"/>
      <c r="CI269" s="53"/>
      <c r="CJ269" s="53"/>
      <c r="CK269" s="53"/>
      <c r="CL269" s="53"/>
      <c r="CM269" s="53"/>
      <c r="CN269" s="53"/>
      <c r="CO269" s="53"/>
      <c r="CP269" s="53"/>
      <c r="CQ269" s="53"/>
      <c r="CR269" s="1"/>
      <c r="CS269" s="1"/>
      <c r="CT269" s="1"/>
      <c r="CU269" s="1"/>
    </row>
    <row r="270" spans="1:99" s="13" customFormat="1" ht="12" customHeight="1" x14ac:dyDescent="0.2">
      <c r="A270" s="68">
        <v>43895</v>
      </c>
      <c r="B270" s="70"/>
      <c r="C270" s="70"/>
      <c r="D270" s="69"/>
      <c r="E270" s="87"/>
      <c r="F270" s="69"/>
      <c r="G270" s="69"/>
      <c r="H270" s="69"/>
      <c r="I270" s="69"/>
      <c r="J270" s="69"/>
      <c r="K270" s="107"/>
      <c r="L270" s="107"/>
      <c r="M270" s="69"/>
      <c r="N270" s="69"/>
      <c r="O270" s="69"/>
      <c r="P270" s="69"/>
      <c r="Q270" s="69"/>
      <c r="R270" s="69"/>
      <c r="S270" s="69"/>
      <c r="T270" s="69"/>
      <c r="U270" s="69"/>
      <c r="V270" s="69"/>
      <c r="W270" s="69"/>
      <c r="X270" s="69"/>
      <c r="Y270" s="87"/>
      <c r="Z270" s="69"/>
      <c r="AA270" s="69"/>
      <c r="AB270" s="69"/>
      <c r="AC270" s="72"/>
      <c r="AD270" s="69"/>
      <c r="AE270" s="69"/>
      <c r="AF270" s="88"/>
      <c r="AG270" s="72"/>
      <c r="AH270" s="4"/>
      <c r="AI270" s="72"/>
      <c r="AJ270" s="110"/>
      <c r="AK270" s="72"/>
      <c r="AL270" s="72"/>
      <c r="AM270" s="72"/>
      <c r="AN270" s="72"/>
      <c r="AO270" s="89"/>
      <c r="AP270" s="89"/>
      <c r="AQ270" s="155"/>
      <c r="AR270" s="187"/>
      <c r="AS270" s="138"/>
      <c r="AT270" s="138"/>
      <c r="AU270" s="3"/>
      <c r="AV270" s="71">
        <v>3</v>
      </c>
      <c r="AW270" s="71">
        <v>9</v>
      </c>
      <c r="AX270" s="71">
        <v>18</v>
      </c>
      <c r="AY270" s="73"/>
      <c r="AZ270" s="73"/>
      <c r="BA270" s="53"/>
      <c r="BB270" s="53"/>
      <c r="BC270" s="53"/>
      <c r="BD270" s="53"/>
      <c r="BE270" s="53"/>
      <c r="BF270" s="53"/>
      <c r="BG270" s="53"/>
      <c r="BH270" s="53"/>
      <c r="BI270" s="53"/>
      <c r="BJ270" s="53"/>
      <c r="BK270" s="53"/>
      <c r="BL270" s="53"/>
      <c r="BM270" s="53"/>
      <c r="BN270" s="53"/>
      <c r="BO270" s="53"/>
      <c r="BP270" s="53"/>
      <c r="BQ270" s="53"/>
      <c r="BR270" s="53"/>
      <c r="BS270" s="53"/>
      <c r="BT270" s="53"/>
      <c r="BU270" s="53"/>
      <c r="BV270" s="53"/>
      <c r="BW270" s="53"/>
      <c r="BX270" s="53"/>
      <c r="BY270" s="53"/>
      <c r="BZ270" s="53"/>
      <c r="CA270" s="53"/>
      <c r="CB270" s="53"/>
      <c r="CC270" s="53"/>
      <c r="CD270" s="53"/>
      <c r="CE270" s="53"/>
      <c r="CF270" s="53"/>
      <c r="CG270" s="53"/>
      <c r="CH270" s="53"/>
      <c r="CI270" s="53"/>
      <c r="CJ270" s="53"/>
      <c r="CK270" s="53"/>
      <c r="CL270" s="53"/>
      <c r="CM270" s="53"/>
      <c r="CN270" s="53"/>
      <c r="CO270" s="53"/>
      <c r="CP270" s="53"/>
      <c r="CQ270" s="53"/>
      <c r="CR270" s="1"/>
      <c r="CS270" s="1"/>
      <c r="CT270" s="1"/>
      <c r="CU270" s="1"/>
    </row>
    <row r="271" spans="1:99" s="13" customFormat="1" ht="12" customHeight="1" x14ac:dyDescent="0.2">
      <c r="A271" s="68">
        <v>43895</v>
      </c>
      <c r="B271" s="70" t="s">
        <v>339</v>
      </c>
      <c r="C271" s="70" t="s">
        <v>54</v>
      </c>
      <c r="D271" s="69">
        <v>1983</v>
      </c>
      <c r="E271" s="87">
        <v>1</v>
      </c>
      <c r="F271" s="69">
        <v>10</v>
      </c>
      <c r="G271" s="69">
        <v>10</v>
      </c>
      <c r="H271" s="69" t="s">
        <v>50</v>
      </c>
      <c r="I271" s="69" t="s">
        <v>330</v>
      </c>
      <c r="J271" s="69" t="s">
        <v>281</v>
      </c>
      <c r="K271" s="69">
        <f>IF(J271="syllables",1,IF(J271="trigrams",2,IF(J271="strings",3,IF(J271="visual array",4,IF(J271="characters",5,IF(J271="letters",6,IF(J271="free forms",7,IF(J271="odors",8,IF(J271="words",9,IF(J271="pictures",10,IF(J271="object pictures",11,IF(J271="faces",12,IF(J271="names",13,IF(J271="idioms",14,IF(J271="grades",15,IF(J271="syllable-digit pairs",16,IF(J271="trigram-word pairs",17,IF(J271="word-digit pairs",18,IF(J271="English-Swahili pairs",19,IF(J271="spatial position",20,IF(J271="word pairs",21,IF(J271="word triads",22,IF(J271="generated words",23,IF(J271="word definition pairs",24,IF(J271="math problems",25,IF(J271="famous faces",26,IF(J271="famous names",27,IF(J271="famous voices",28,IF(J271="television programs",29,IF(J271="race horses",30,IF(J271="new vocabulary",31,IF(J271="sentences",32,IF(J271="concepts",33,IF(J271="ad slides",34,IF(J271="scenes",35,IF(J271="famous scenes",36,IF(J271="poems",37,IF(J271="walk",38,IF(J271="faces and events",39,IF(J271="events and names",40,IF(J271="flashbulb",41,IF(J271="stories",42,IF(J271="course material",43,IF(J271="autobiographical",44,IF(J271="novels",45,IF(J271="public events",46,"99"))))))))))))))))))))))))))))))))))))))))))))))</f>
        <v>1</v>
      </c>
      <c r="L271" s="69">
        <f>IF(J271="syllables",1,IF(J271="trigrams",1,IF(J271="strings",1,IF(J271="visual array",1,IF(J271="characters",1,IF(J271="letters",1,IF(J271="free forms",1,IF(J271="odors",2,IF(J271="words",2,IF(J271="pictures",2,IF(J271="object pictures",2,IF(J271="faces",2,IF(J271="names",2,IF(J271="idioms","2",IF(J271="grades",2,IF(J271="syllable-digit pairs",3,IF(J271="trigram-word pairs",3,IF(J271="word-digit pairs",3,IF(J271="English-Swahili pairs",3,IF(J271="spatial position",3,IF(J271="word pairs",4,IF(J271="word triads",4,IF(J271="generated words",4,IF(J271="word definition pairs",4,IF(J271="math problems",4,IF(J271="famous faces",4,IF(J271="famous names",4,IF(J271="famous voices",4,IF(J271="television programs",4,IF(J271="race horses",4,IF(J271="new vocabulary",4,IF(J271="sentences",5,IF(J271="concepts",5,IF(J271="ad slides",5,IF(J271="scenes",5,IF(J271="famous scenes",5,IF(J271="poems",6,IF(J271="walk",6,IF(J271="faces and events",6,IF(J271="events and names",6,IF(J271="flashbulb",7,IF(J271="stories",7,IF(J271="course material",7,IF(J271="autobiographical",7,IF(J271="novels",7,IF(J271="public events",7,"99"))))))))))))))))))))))))))))))))))))))))))))))</f>
        <v>1</v>
      </c>
      <c r="M271" s="69">
        <v>0</v>
      </c>
      <c r="N271" s="69">
        <v>1</v>
      </c>
      <c r="O271" s="69">
        <v>1</v>
      </c>
      <c r="P271" s="69"/>
      <c r="Q271" s="69" t="s">
        <v>174</v>
      </c>
      <c r="R271" s="69">
        <f>IF(Q271="Free Recall",1,IF(Q271="Cued Recall",2,IF(Q271="Recognition",3,IF(Q271="Multiple Choice",4,IF(Q271="Savings",5,IF(Q271="Stem Completion",6,IF(Q271="Fragment Completion",7,IF(Q271="anagram solution",8,IF(Q271="Matching",9,IF(Q271="Problem Solving",10,"99"))))))))))</f>
        <v>1</v>
      </c>
      <c r="S271" s="99" t="s">
        <v>49</v>
      </c>
      <c r="T271" s="92" t="s">
        <v>581</v>
      </c>
      <c r="U271" s="69">
        <f>IF(T271="within",1,0)</f>
        <v>1</v>
      </c>
      <c r="V271" s="92">
        <v>60</v>
      </c>
      <c r="W271" s="69">
        <f>F271*V271</f>
        <v>600</v>
      </c>
      <c r="X271" s="69">
        <v>3</v>
      </c>
      <c r="Y271" s="87">
        <f>AV270</f>
        <v>3</v>
      </c>
      <c r="Z271" s="69" t="s">
        <v>28</v>
      </c>
      <c r="AA271" s="69">
        <v>18</v>
      </c>
      <c r="AB271" s="69" t="str">
        <f>IF(AA271&lt;60,"1",IF(AA271&lt;=43200,"2",IF(AA271&lt;=777600,"3","4")))</f>
        <v>1</v>
      </c>
      <c r="AC271" s="72">
        <f>AVERAGE(AV270:DA270)</f>
        <v>10</v>
      </c>
      <c r="AD271" s="69" t="str">
        <f>IF(AC271&lt;60,"1",IF(AC271&lt;=43200,"2",IF(AC271&lt;=777600,"3","4")))</f>
        <v>1</v>
      </c>
      <c r="AE271" s="87">
        <f>AA271-Y271</f>
        <v>15</v>
      </c>
      <c r="AF271" s="88">
        <f>AV271</f>
        <v>0.9</v>
      </c>
      <c r="AG271" s="72">
        <f>((AW271-AV271)+(AX271-AW271))/2</f>
        <v>-3.0000000000000027E-2</v>
      </c>
      <c r="AH271" s="4"/>
      <c r="AI271" s="72">
        <f>RSQ(AV271:AX271,AV270:AX270)</f>
        <v>0.25000000000000067</v>
      </c>
      <c r="AJ271" s="110">
        <f>SLOPE(AV271:AX271,AV270:AX270)</f>
        <v>-3.3333333333333375E-3</v>
      </c>
      <c r="AK271" s="72">
        <f>INTERCEPT(AV271:AX271,AV270:AX270)</f>
        <v>0.88</v>
      </c>
      <c r="AL271" s="72">
        <f>INDEX(LINEST(LN(AV271:AX271),LN(AV270:AX270),TRUE,TRUE),3,1)</f>
        <v>0.46684823845544871</v>
      </c>
      <c r="AM271" s="72">
        <f>INDEX(LINEST(LN(AV271:AX271),LN(AV270:AX270)),1)</f>
        <v>-4.475429350804095E-2</v>
      </c>
      <c r="AN271" s="72">
        <f>EXP(INDEX(LINEST(LN(AV271:AX271),LN(AV270:AX270)),1,2))</f>
        <v>0.92743489049954275</v>
      </c>
      <c r="AO271" s="89">
        <f>INDEX(LINEST((AV271:AX271),LN(AV270:AX270),TRUE,TRUE),3,1)</f>
        <v>0.48308001761091945</v>
      </c>
      <c r="AP271" s="89">
        <f>INDEX(LINEST((AV271:AX271),LN(AV270:AX270)),1)</f>
        <v>-3.8719579417244895E-2</v>
      </c>
      <c r="AQ271" s="155">
        <f>INDEX(LINEST(LN(AV271:AX271),SQRT(AV270:AX270),TRUE,TRUE),3,1)</f>
        <v>0.34530920475800164</v>
      </c>
      <c r="AR271" s="187">
        <f>INDEX(LINEST(LN(AV271:AX271),SQRT((AV270:AX270))),1)</f>
        <v>-2.7702748666180096E-2</v>
      </c>
      <c r="AS271" s="138">
        <f>INDEX(LINEST(1/(AV271:AX271),1/(SQRT(AV270:AX270)),TRUE,TRUE),3,1)</f>
        <v>0.5628349747796787</v>
      </c>
      <c r="AT271" s="138">
        <f>INDEX(LINEST(1/(AV271:AX271),1/SQRT(AV270:AX270)),1)</f>
        <v>-0.29706647707700568</v>
      </c>
      <c r="AU271" s="3"/>
      <c r="AV271" s="73">
        <v>0.9</v>
      </c>
      <c r="AW271" s="73">
        <v>0.8</v>
      </c>
      <c r="AX271" s="73">
        <v>0.84</v>
      </c>
      <c r="AY271" s="73"/>
      <c r="AZ271" s="73"/>
      <c r="BA271" s="53"/>
      <c r="BB271" s="53"/>
      <c r="BC271" s="53"/>
      <c r="BD271" s="53"/>
      <c r="BE271" s="53"/>
      <c r="BF271" s="53"/>
      <c r="BG271" s="53"/>
      <c r="BH271" s="53"/>
      <c r="BI271" s="53"/>
      <c r="BJ271" s="53"/>
      <c r="BK271" s="53"/>
      <c r="BL271" s="53"/>
      <c r="BM271" s="53"/>
      <c r="BN271" s="53"/>
      <c r="BO271" s="53"/>
      <c r="BP271" s="53"/>
      <c r="BQ271" s="53"/>
      <c r="BR271" s="53"/>
      <c r="BS271" s="53"/>
      <c r="BT271" s="53"/>
      <c r="BU271" s="53"/>
      <c r="BV271" s="53"/>
      <c r="BW271" s="53"/>
      <c r="BX271" s="53"/>
      <c r="BY271" s="53"/>
      <c r="BZ271" s="53"/>
      <c r="CA271" s="53"/>
      <c r="CB271" s="53"/>
      <c r="CC271" s="53"/>
      <c r="CD271" s="53"/>
      <c r="CE271" s="53"/>
      <c r="CF271" s="53"/>
      <c r="CG271" s="53"/>
      <c r="CH271" s="53"/>
      <c r="CI271" s="53"/>
      <c r="CJ271" s="53"/>
      <c r="CK271" s="53"/>
      <c r="CL271" s="53"/>
      <c r="CM271" s="53"/>
      <c r="CN271" s="53"/>
      <c r="CO271" s="53"/>
      <c r="CP271" s="53"/>
      <c r="CQ271" s="53"/>
      <c r="CR271" s="1"/>
      <c r="CS271" s="1"/>
      <c r="CT271" s="1"/>
      <c r="CU271" s="1"/>
    </row>
    <row r="272" spans="1:99" s="13" customFormat="1" ht="12" customHeight="1" x14ac:dyDescent="0.2">
      <c r="A272" s="68">
        <v>43895</v>
      </c>
      <c r="B272" s="70"/>
      <c r="C272" s="70"/>
      <c r="D272" s="69"/>
      <c r="E272" s="87"/>
      <c r="F272" s="69"/>
      <c r="G272" s="69"/>
      <c r="H272" s="69"/>
      <c r="I272" s="69"/>
      <c r="J272" s="69"/>
      <c r="K272" s="107"/>
      <c r="L272" s="107"/>
      <c r="M272" s="69"/>
      <c r="N272" s="69"/>
      <c r="O272" s="69"/>
      <c r="P272" s="69"/>
      <c r="Q272" s="69"/>
      <c r="R272" s="69"/>
      <c r="S272" s="69"/>
      <c r="T272" s="69"/>
      <c r="U272" s="69"/>
      <c r="V272" s="69"/>
      <c r="W272" s="69"/>
      <c r="X272" s="69"/>
      <c r="Y272" s="87"/>
      <c r="Z272" s="69"/>
      <c r="AA272" s="69"/>
      <c r="AB272" s="69"/>
      <c r="AC272" s="72"/>
      <c r="AD272" s="69"/>
      <c r="AE272" s="69"/>
      <c r="AF272" s="88"/>
      <c r="AG272" s="72"/>
      <c r="AH272" s="4"/>
      <c r="AI272" s="72"/>
      <c r="AJ272" s="110"/>
      <c r="AK272" s="72"/>
      <c r="AL272" s="72"/>
      <c r="AM272" s="72"/>
      <c r="AN272" s="72"/>
      <c r="AO272" s="89"/>
      <c r="AP272" s="89"/>
      <c r="AQ272" s="155"/>
      <c r="AR272" s="187"/>
      <c r="AS272" s="138"/>
      <c r="AT272" s="138"/>
      <c r="AU272" s="3"/>
      <c r="AV272" s="71">
        <v>3</v>
      </c>
      <c r="AW272" s="71">
        <v>9</v>
      </c>
      <c r="AX272" s="71">
        <v>18</v>
      </c>
      <c r="AY272" s="73"/>
      <c r="AZ272" s="73"/>
      <c r="BA272" s="53"/>
      <c r="BB272" s="53"/>
      <c r="BC272" s="53"/>
      <c r="BD272" s="53"/>
      <c r="BE272" s="53"/>
      <c r="BF272" s="53"/>
      <c r="BG272" s="53"/>
      <c r="BH272" s="53"/>
      <c r="BI272" s="53"/>
      <c r="BJ272" s="53"/>
      <c r="BK272" s="53"/>
      <c r="BL272" s="53"/>
      <c r="BM272" s="53"/>
      <c r="BN272" s="53"/>
      <c r="BO272" s="53"/>
      <c r="BP272" s="53"/>
      <c r="BQ272" s="53"/>
      <c r="BR272" s="53"/>
      <c r="BS272" s="53"/>
      <c r="BT272" s="53"/>
      <c r="BU272" s="53"/>
      <c r="BV272" s="53"/>
      <c r="BW272" s="53"/>
      <c r="BX272" s="53"/>
      <c r="BY272" s="53"/>
      <c r="BZ272" s="53"/>
      <c r="CA272" s="53"/>
      <c r="CB272" s="53"/>
      <c r="CC272" s="53"/>
      <c r="CD272" s="53"/>
      <c r="CE272" s="53"/>
      <c r="CF272" s="53"/>
      <c r="CG272" s="53"/>
      <c r="CH272" s="53"/>
      <c r="CI272" s="53"/>
      <c r="CJ272" s="53"/>
      <c r="CK272" s="53"/>
      <c r="CL272" s="53"/>
      <c r="CM272" s="53"/>
      <c r="CN272" s="53"/>
      <c r="CO272" s="53"/>
      <c r="CP272" s="53"/>
      <c r="CQ272" s="53"/>
      <c r="CR272" s="1"/>
      <c r="CS272" s="1"/>
      <c r="CT272" s="1"/>
      <c r="CU272" s="1"/>
    </row>
    <row r="273" spans="1:99" s="13" customFormat="1" ht="12" customHeight="1" x14ac:dyDescent="0.2">
      <c r="A273" s="68">
        <v>43895</v>
      </c>
      <c r="B273" s="70" t="s">
        <v>339</v>
      </c>
      <c r="C273" s="70" t="s">
        <v>54</v>
      </c>
      <c r="D273" s="69">
        <v>1983</v>
      </c>
      <c r="E273" s="87">
        <v>1</v>
      </c>
      <c r="F273" s="69">
        <v>10</v>
      </c>
      <c r="G273" s="69">
        <v>10</v>
      </c>
      <c r="H273" s="69" t="s">
        <v>41</v>
      </c>
      <c r="I273" s="69" t="s">
        <v>330</v>
      </c>
      <c r="J273" s="69" t="s">
        <v>16</v>
      </c>
      <c r="K273" s="69">
        <f>IF(J273="syllables",1,IF(J273="trigrams",2,IF(J273="strings",3,IF(J273="visual array",4,IF(J273="characters",5,IF(J273="letters",6,IF(J273="free forms",7,IF(J273="odors",8,IF(J273="words",9,IF(J273="pictures",10,IF(J273="object pictures",11,IF(J273="faces",12,IF(J273="names",13,IF(J273="idioms",14,IF(J273="grades",15,IF(J273="syllable-digit pairs",16,IF(J273="trigram-word pairs",17,IF(J273="word-digit pairs",18,IF(J273="English-Swahili pairs",19,IF(J273="spatial position",20,IF(J273="word pairs",21,IF(J273="word triads",22,IF(J273="generated words",23,IF(J273="word definition pairs",24,IF(J273="math problems",25,IF(J273="famous faces",26,IF(J273="famous names",27,IF(J273="famous voices",28,IF(J273="television programs",29,IF(J273="race horses",30,IF(J273="new vocabulary",31,IF(J273="sentences",32,IF(J273="concepts",33,IF(J273="ad slides",34,IF(J273="scenes",35,IF(J273="famous scenes",36,IF(J273="poems",37,IF(J273="walk",38,IF(J273="faces and events",39,IF(J273="events and names",40,IF(J273="flashbulb",41,IF(J273="stories",42,IF(J273="course material",43,IF(J273="autobiographical",44,IF(J273="novels",45,IF(J273="public events",46,"99"))))))))))))))))))))))))))))))))))))))))))))))</f>
        <v>9</v>
      </c>
      <c r="L273" s="69">
        <f>IF(J273="syllables",1,IF(J273="trigrams",1,IF(J273="strings",1,IF(J273="visual array",1,IF(J273="characters",1,IF(J273="letters",1,IF(J273="free forms",1,IF(J273="odors",2,IF(J273="words",2,IF(J273="pictures",2,IF(J273="object pictures",2,IF(J273="faces",2,IF(J273="names",2,IF(J273="idioms","2",IF(J273="grades",2,IF(J273="syllable-digit pairs",3,IF(J273="trigram-word pairs",3,IF(J273="word-digit pairs",3,IF(J273="English-Swahili pairs",3,IF(J273="spatial position",3,IF(J273="word pairs",4,IF(J273="word triads",4,IF(J273="generated words",4,IF(J273="word definition pairs",4,IF(J273="math problems",4,IF(J273="famous faces",4,IF(J273="famous names",4,IF(J273="famous voices",4,IF(J273="television programs",4,IF(J273="race horses",4,IF(J273="new vocabulary",4,IF(J273="sentences",5,IF(J273="concepts",5,IF(J273="ad slides",5,IF(J273="scenes",5,IF(J273="famous scenes",5,IF(J273="poems",6,IF(J273="walk",6,IF(J273="faces and events",6,IF(J273="events and names",6,IF(J273="flashbulb",7,IF(J273="stories",7,IF(J273="course material",7,IF(J273="autobiographical",7,IF(J273="novels",7,IF(J273="public events",7,"99"))))))))))))))))))))))))))))))))))))))))))))))</f>
        <v>2</v>
      </c>
      <c r="M273" s="69">
        <v>0</v>
      </c>
      <c r="N273" s="69">
        <v>1</v>
      </c>
      <c r="O273" s="69">
        <v>1</v>
      </c>
      <c r="P273" s="69"/>
      <c r="Q273" s="69" t="s">
        <v>174</v>
      </c>
      <c r="R273" s="69">
        <f>IF(Q273="Free Recall",1,IF(Q273="Cued Recall",2,IF(Q273="Recognition",3,IF(Q273="Multiple Choice",4,IF(Q273="Savings",5,IF(Q273="Stem Completion",6,IF(Q273="Fragment Completion",7,IF(Q273="anagram solution",8,IF(Q273="Matching",9,IF(Q273="Problem Solving",10,"99"))))))))))</f>
        <v>1</v>
      </c>
      <c r="S273" s="99" t="s">
        <v>49</v>
      </c>
      <c r="T273" s="92" t="s">
        <v>581</v>
      </c>
      <c r="U273" s="69">
        <f>IF(T273="within",1,0)</f>
        <v>1</v>
      </c>
      <c r="V273" s="92">
        <v>60</v>
      </c>
      <c r="W273" s="69">
        <f>F273*V273</f>
        <v>600</v>
      </c>
      <c r="X273" s="69">
        <v>3</v>
      </c>
      <c r="Y273" s="87">
        <f>AV272</f>
        <v>3</v>
      </c>
      <c r="Z273" s="69" t="s">
        <v>28</v>
      </c>
      <c r="AA273" s="69">
        <v>18</v>
      </c>
      <c r="AB273" s="69" t="str">
        <f>IF(AA273&lt;60,"1",IF(AA273&lt;=43200,"2",IF(AA273&lt;=777600,"3","4")))</f>
        <v>1</v>
      </c>
      <c r="AC273" s="72">
        <f>AVERAGE(AV272:DA272)</f>
        <v>10</v>
      </c>
      <c r="AD273" s="69" t="str">
        <f>IF(AC273&lt;60,"1",IF(AC273&lt;=43200,"2",IF(AC273&lt;=777600,"3","4")))</f>
        <v>1</v>
      </c>
      <c r="AE273" s="87">
        <f>AA273-Y273</f>
        <v>15</v>
      </c>
      <c r="AF273" s="88">
        <f>AV273</f>
        <v>0.85</v>
      </c>
      <c r="AG273" s="72">
        <f>((AW273-AV273)+(AX273-AW273))/2</f>
        <v>-0.15499999999999997</v>
      </c>
      <c r="AH273" s="4"/>
      <c r="AI273" s="72">
        <f>RSQ(AV273:AX273,AV272:AX272)</f>
        <v>0.75339359536002948</v>
      </c>
      <c r="AJ273" s="110">
        <f>SLOPE(AV273:AX273,AV272:AX272)</f>
        <v>-1.9385964912280697E-2</v>
      </c>
      <c r="AK273" s="72">
        <f>INTERCEPT(AV273:AX273,AV272:AX272)</f>
        <v>0.85052631578947357</v>
      </c>
      <c r="AL273" s="72">
        <f>INDEX(LINEST(LN(AV273:AX273),LN(AV272:AX272),TRUE,TRUE),3,1)</f>
        <v>0.94037388736588834</v>
      </c>
      <c r="AM273" s="72">
        <f>INDEX(LINEST(LN(AV273:AX273),LN(AV272:AX272)),1)</f>
        <v>-0.26180973805269198</v>
      </c>
      <c r="AN273" s="72">
        <f>EXP(INDEX(LINEST(LN(AV273:AX273),LN(AV272:AX272)),1,2))</f>
        <v>1.1037636115993228</v>
      </c>
      <c r="AO273" s="89">
        <f>INDEX(LINEST((AV273:AX273),LN(AV272:AX272),TRUE,TRUE),3,1)</f>
        <v>0.92636934030266382</v>
      </c>
      <c r="AP273" s="89">
        <f>INDEX(LINEST((AV273:AX273),LN(AV272:AX272)),1)</f>
        <v>-0.17963083985367051</v>
      </c>
      <c r="AQ273" s="155">
        <f>INDEX(LINEST(LN(AV273:AX273),SQRT(AV272:AX272),TRUE,TRUE),3,1)</f>
        <v>0.86871196474245971</v>
      </c>
      <c r="AR273" s="187">
        <f>INDEX(LINEST(LN(AV273:AX273),SQRT((AV272:AX272))),1)</f>
        <v>-0.18111122077527339</v>
      </c>
      <c r="AS273" s="138">
        <f>INDEX(LINEST(1/(AV273:AX273),1/(SQRT(AV272:AX272)),TRUE,TRUE),3,1)</f>
        <v>0.9895997410847488</v>
      </c>
      <c r="AT273" s="138">
        <f>INDEX(LINEST(1/(AV273:AX273),1/SQRT(AV272:AX272)),1)</f>
        <v>-2.0282708650306436</v>
      </c>
      <c r="AU273" s="3"/>
      <c r="AV273" s="73">
        <v>0.85</v>
      </c>
      <c r="AW273" s="73">
        <v>0.57999999999999996</v>
      </c>
      <c r="AX273" s="73">
        <v>0.54</v>
      </c>
      <c r="AY273" s="73"/>
      <c r="AZ273" s="73"/>
      <c r="BA273" s="53"/>
      <c r="BB273" s="53"/>
      <c r="BC273" s="53"/>
      <c r="BD273" s="53"/>
      <c r="BE273" s="53"/>
      <c r="BF273" s="53"/>
      <c r="BG273" s="53"/>
      <c r="BH273" s="53"/>
      <c r="BI273" s="53"/>
      <c r="BJ273" s="53"/>
      <c r="BK273" s="53"/>
      <c r="BL273" s="53"/>
      <c r="BM273" s="53"/>
      <c r="BN273" s="53"/>
      <c r="BO273" s="53"/>
      <c r="BP273" s="53"/>
      <c r="BQ273" s="53"/>
      <c r="BR273" s="53"/>
      <c r="BS273" s="53"/>
      <c r="BT273" s="53"/>
      <c r="BU273" s="53"/>
      <c r="BV273" s="53"/>
      <c r="BW273" s="53"/>
      <c r="BX273" s="53"/>
      <c r="BY273" s="53"/>
      <c r="BZ273" s="53"/>
      <c r="CA273" s="53"/>
      <c r="CB273" s="53"/>
      <c r="CC273" s="53"/>
      <c r="CD273" s="53"/>
      <c r="CE273" s="53"/>
      <c r="CF273" s="53"/>
      <c r="CG273" s="53"/>
      <c r="CH273" s="53"/>
      <c r="CI273" s="53"/>
      <c r="CJ273" s="53"/>
      <c r="CK273" s="53"/>
      <c r="CL273" s="53"/>
      <c r="CM273" s="53"/>
      <c r="CN273" s="53"/>
      <c r="CO273" s="53"/>
      <c r="CP273" s="53"/>
      <c r="CQ273" s="53"/>
      <c r="CR273" s="1"/>
      <c r="CS273" s="1"/>
      <c r="CT273" s="1"/>
      <c r="CU273" s="1"/>
    </row>
    <row r="274" spans="1:99" s="13" customFormat="1" ht="12" customHeight="1" x14ac:dyDescent="0.2">
      <c r="A274" s="68">
        <v>43895</v>
      </c>
      <c r="B274" s="70"/>
      <c r="C274" s="70"/>
      <c r="D274" s="69"/>
      <c r="E274" s="87"/>
      <c r="F274" s="69"/>
      <c r="G274" s="69"/>
      <c r="H274" s="69"/>
      <c r="I274" s="69"/>
      <c r="J274" s="69"/>
      <c r="K274" s="107"/>
      <c r="L274" s="107"/>
      <c r="M274" s="69"/>
      <c r="N274" s="92"/>
      <c r="O274" s="69"/>
      <c r="P274" s="69"/>
      <c r="Q274" s="69"/>
      <c r="R274" s="69"/>
      <c r="S274" s="69"/>
      <c r="T274" s="92"/>
      <c r="U274" s="69"/>
      <c r="V274" s="92"/>
      <c r="W274" s="69"/>
      <c r="X274" s="69"/>
      <c r="Y274" s="87"/>
      <c r="Z274" s="69"/>
      <c r="AA274" s="69"/>
      <c r="AB274" s="69"/>
      <c r="AC274" s="72"/>
      <c r="AD274" s="69"/>
      <c r="AE274" s="69"/>
      <c r="AF274" s="88"/>
      <c r="AG274" s="72"/>
      <c r="AH274" s="4"/>
      <c r="AI274" s="72"/>
      <c r="AJ274" s="110"/>
      <c r="AK274" s="72"/>
      <c r="AL274" s="72"/>
      <c r="AM274" s="72"/>
      <c r="AN274" s="72"/>
      <c r="AO274" s="89"/>
      <c r="AP274" s="89"/>
      <c r="AQ274" s="155"/>
      <c r="AR274" s="187"/>
      <c r="AS274" s="138"/>
      <c r="AT274" s="138"/>
      <c r="AU274" s="3"/>
      <c r="AV274" s="71">
        <v>157680000</v>
      </c>
      <c r="AW274" s="71">
        <v>473040000</v>
      </c>
      <c r="AX274" s="71">
        <v>788400000</v>
      </c>
      <c r="AY274" s="71">
        <v>1103760000</v>
      </c>
      <c r="AZ274" s="71">
        <v>1419120000</v>
      </c>
      <c r="BA274" s="53"/>
      <c r="BB274" s="53"/>
      <c r="BC274" s="53"/>
      <c r="BD274" s="53"/>
      <c r="BE274" s="53"/>
      <c r="BF274" s="53"/>
      <c r="BG274" s="53"/>
      <c r="BH274" s="53"/>
      <c r="BI274" s="53"/>
      <c r="BJ274" s="53"/>
      <c r="BK274" s="53"/>
      <c r="BL274" s="53"/>
      <c r="BM274" s="53"/>
      <c r="BN274" s="53"/>
      <c r="BO274" s="53"/>
      <c r="BP274" s="53"/>
      <c r="BQ274" s="53"/>
      <c r="BR274" s="53"/>
      <c r="BS274" s="53"/>
      <c r="BT274" s="53"/>
      <c r="BU274" s="53"/>
      <c r="BV274" s="53"/>
      <c r="BW274" s="53"/>
      <c r="BX274" s="53"/>
      <c r="BY274" s="53"/>
      <c r="BZ274" s="53"/>
      <c r="CA274" s="53"/>
      <c r="CB274" s="53"/>
      <c r="CC274" s="53"/>
      <c r="CD274" s="53"/>
      <c r="CE274" s="53"/>
      <c r="CF274" s="53"/>
      <c r="CG274" s="53"/>
      <c r="CH274" s="53"/>
      <c r="CI274" s="53"/>
      <c r="CJ274" s="53"/>
      <c r="CK274" s="53"/>
      <c r="CL274" s="53"/>
      <c r="CM274" s="53"/>
      <c r="CN274" s="53"/>
      <c r="CO274" s="53"/>
      <c r="CP274" s="53"/>
      <c r="CQ274" s="53"/>
      <c r="CR274" s="1"/>
      <c r="CS274" s="1"/>
      <c r="CT274" s="1"/>
      <c r="CU274" s="1"/>
    </row>
    <row r="275" spans="1:99" s="13" customFormat="1" ht="12" customHeight="1" x14ac:dyDescent="0.2">
      <c r="A275" s="68">
        <v>43895</v>
      </c>
      <c r="B275" s="70" t="s">
        <v>339</v>
      </c>
      <c r="C275" s="70" t="s">
        <v>54</v>
      </c>
      <c r="D275" s="69">
        <v>1983</v>
      </c>
      <c r="E275" s="87">
        <v>1</v>
      </c>
      <c r="F275" s="69">
        <v>10</v>
      </c>
      <c r="G275" s="69">
        <v>10</v>
      </c>
      <c r="H275" s="69" t="s">
        <v>341</v>
      </c>
      <c r="I275" s="69" t="s">
        <v>330</v>
      </c>
      <c r="J275" s="69" t="s">
        <v>340</v>
      </c>
      <c r="K275" s="69">
        <f>IF(J275="syllables",1,IF(J275="trigrams",2,IF(J275="strings",3,IF(J275="visual array",4,IF(J275="characters",5,IF(J275="letters",6,IF(J275="free forms",7,IF(J275="odors",8,IF(J275="words",9,IF(J275="pictures",10,IF(J275="object pictures",11,IF(J275="faces",12,IF(J275="names",13,IF(J275="idioms",14,IF(J275="grades",15,IF(J275="syllable-digit pairs",16,IF(J275="trigram-word pairs",17,IF(J275="word-digit pairs",18,IF(J275="English-Swahili pairs",19,IF(J275="spatial position",20,IF(J275="word pairs",21,IF(J275="word triads",22,IF(J275="generated words",23,IF(J275="word definition pairs",24,IF(J275="math problems",25,IF(J275="famous faces",26,IF(J275="famous names",27,IF(J275="famous voices",28,IF(J275="television programs",29,IF(J275="race horses",30,IF(J275="new vocabulary",31,IF(J275="sentences",32,IF(J275="concepts",33,IF(J275="ad slides",34,IF(J275="scenes",35,IF(J275="famous scenes",36,IF(J275="poems",37,IF(J275="walk",38,IF(J275="faces and events",39,IF(J275="events and names",40,IF(J275="flashbulb",41,IF(J275="stories",42,IF(J275="course material",43,IF(J275="autobiographical",44,IF(J275="novels",45,IF(J275="public events",46,"99"))))))))))))))))))))))))))))))))))))))))))))))</f>
        <v>46</v>
      </c>
      <c r="L275" s="69">
        <f>IF(J275="syllables",1,IF(J275="trigrams",1,IF(J275="strings",1,IF(J275="visual array",1,IF(J275="characters",1,IF(J275="letters",1,IF(J275="free forms",1,IF(J275="odors",2,IF(J275="words",2,IF(J275="pictures",2,IF(J275="object pictures",2,IF(J275="faces",2,IF(J275="names",2,IF(J275="idioms","2",IF(J275="grades",2,IF(J275="syllable-digit pairs",3,IF(J275="trigram-word pairs",3,IF(J275="word-digit pairs",3,IF(J275="English-Swahili pairs",3,IF(J275="spatial position",3,IF(J275="word pairs",4,IF(J275="word triads",4,IF(J275="generated words",4,IF(J275="word definition pairs",4,IF(J275="math problems",4,IF(J275="famous faces",4,IF(J275="famous names",4,IF(J275="famous voices",4,IF(J275="television programs",4,IF(J275="race horses",4,IF(J275="new vocabulary",4,IF(J275="sentences",5,IF(J275="concepts",5,IF(J275="ad slides",5,IF(J275="scenes",5,IF(J275="famous scenes",5,IF(J275="poems",6,IF(J275="walk",6,IF(J275="faces and events",6,IF(J275="events and names",6,IF(J275="flashbulb",7,IF(J275="stories",7,IF(J275="course material",7,IF(J275="autobiographical",7,IF(J275="novels",7,IF(J275="public events",7,"99"))))))))))))))))))))))))))))))))))))))))))))))</f>
        <v>7</v>
      </c>
      <c r="M275" s="99">
        <v>1</v>
      </c>
      <c r="N275" s="92">
        <v>4</v>
      </c>
      <c r="O275" s="99">
        <v>0</v>
      </c>
      <c r="P275" s="69"/>
      <c r="Q275" s="69" t="s">
        <v>174</v>
      </c>
      <c r="R275" s="69">
        <f>IF(Q275="Free Recall",1,IF(Q275="Cued Recall",2,IF(Q275="Recognition",3,IF(Q275="Multiple Choice",4,IF(Q275="Savings",5,IF(Q275="Stem Completion",6,IF(Q275="Fragment Completion",7,IF(Q275="anagram solution",8,IF(Q275="Matching",9,IF(Q275="Problem Solving",10,"99"))))))))))</f>
        <v>1</v>
      </c>
      <c r="S275" s="99" t="s">
        <v>49</v>
      </c>
      <c r="T275" s="92" t="s">
        <v>581</v>
      </c>
      <c r="U275" s="69">
        <f>IF(T275="within",1,0)</f>
        <v>1</v>
      </c>
      <c r="V275" s="92">
        <v>132</v>
      </c>
      <c r="W275" s="69">
        <f>F275*V275</f>
        <v>1320</v>
      </c>
      <c r="X275" s="69">
        <v>5</v>
      </c>
      <c r="Y275" s="87">
        <f>AV274</f>
        <v>157680000</v>
      </c>
      <c r="Z275" s="69" t="s">
        <v>373</v>
      </c>
      <c r="AA275" s="69">
        <f>45*365*24*60*60</f>
        <v>1419120000</v>
      </c>
      <c r="AB275" s="69" t="str">
        <f>IF(AA275&lt;60,"1",IF(AA275&lt;=43200,"2",IF(AA275&lt;=777600,"3","4")))</f>
        <v>4</v>
      </c>
      <c r="AC275" s="72">
        <f>AVERAGE(AV274:DA274)</f>
        <v>788400000</v>
      </c>
      <c r="AD275" s="69" t="str">
        <f>IF(AC275&lt;60,"1",IF(AC275&lt;=43200,"2",IF(AC275&lt;=777600,"3","4")))</f>
        <v>4</v>
      </c>
      <c r="AE275" s="87">
        <f>AA275-Y275</f>
        <v>1261440000</v>
      </c>
      <c r="AF275" s="88">
        <f>AV275</f>
        <v>0.8125</v>
      </c>
      <c r="AG275" s="93">
        <f>((AW275-AV275)+(AX275-AW275)+(AY275-AX275)+(AZ275-AY275))/4</f>
        <v>2.7573529411764608E-3</v>
      </c>
      <c r="AH275" s="4"/>
      <c r="AI275" s="72">
        <f>RSQ(AV275:AZ275,AV274:AZ274)</f>
        <v>6.6423009997003152E-2</v>
      </c>
      <c r="AJ275" s="110">
        <f>SLOPE(AV275:AZ275,AV274:AZ274)</f>
        <v>1.1064512978292124E-11</v>
      </c>
      <c r="AK275" s="72">
        <f>INTERCEPT(AV275:AZ275,AV274:AZ274)</f>
        <v>0.80646122994652414</v>
      </c>
      <c r="AL275" s="72">
        <f>INDEX(LINEST(LN(AV275:AZ275),LN(AV274:AZ274),TRUE,TRUE),3,1)</f>
        <v>2.4255198043014983E-2</v>
      </c>
      <c r="AM275" s="72">
        <f>INDEX(LINEST(LN(AV275:AZ275),LN(AV274:AZ274)),1)</f>
        <v>4.7581112476632022E-3</v>
      </c>
      <c r="AN275" s="72">
        <f>EXP(INDEX(LINEST(LN(AV275:AZ275),LN(AV274:AZ274)),1,2))</f>
        <v>0.74011098193057767</v>
      </c>
      <c r="AO275" s="89">
        <f>INDEX(LINEST((AV275:AZ275),LN(AV274:AZ274),TRUE,TRUE),3,1)</f>
        <v>2.636677852205372E-2</v>
      </c>
      <c r="AP275" s="89">
        <f>INDEX(LINEST((AV275:AZ275),LN(AV274:AZ274)),1)</f>
        <v>3.9978612944357866E-3</v>
      </c>
      <c r="AQ275" s="155">
        <f>INDEX(LINEST(LN(AV275:AZ275),SQRT(AV274:AZ274),TRUE,TRUE),3,1)</f>
        <v>4.1829581984724799E-2</v>
      </c>
      <c r="AR275" s="187">
        <f>INDEX(LINEST(LN(AV275:AZ275),SQRT((AV274:AZ274))),1)</f>
        <v>5.5067091931703294E-7</v>
      </c>
      <c r="AS275" s="138">
        <f>INDEX(LINEST(1/(AV275:AZ275),1/(SQRT(AV274:AZ274)),TRUE,TRUE),3,1)</f>
        <v>1.169681081989862E-2</v>
      </c>
      <c r="AT275" s="138">
        <f>INDEX(LINEST(1/(AV275:AZ275),1/SQRT(AV274:AZ274)),1)</f>
        <v>166.2391149354913</v>
      </c>
      <c r="AU275" s="3"/>
      <c r="AV275" s="73">
        <v>0.8125</v>
      </c>
      <c r="AW275" s="73">
        <v>0.82352941176470595</v>
      </c>
      <c r="AX275" s="73">
        <v>0.78</v>
      </c>
      <c r="AY275" s="73">
        <v>0.83636363636363631</v>
      </c>
      <c r="AZ275" s="73">
        <v>0.82352941176470584</v>
      </c>
      <c r="BA275" s="53"/>
      <c r="BB275" s="53"/>
      <c r="BC275" s="53"/>
      <c r="BD275" s="53"/>
      <c r="BE275" s="53"/>
      <c r="BF275" s="53"/>
      <c r="BG275" s="53"/>
      <c r="BH275" s="53"/>
      <c r="BI275" s="53"/>
      <c r="BJ275" s="53"/>
      <c r="BK275" s="53"/>
      <c r="BL275" s="53"/>
      <c r="BM275" s="53"/>
      <c r="BN275" s="53"/>
      <c r="BO275" s="53"/>
      <c r="BP275" s="53"/>
      <c r="BQ275" s="53"/>
      <c r="BR275" s="53"/>
      <c r="BS275" s="53"/>
      <c r="BT275" s="53"/>
      <c r="BU275" s="53"/>
      <c r="BV275" s="53"/>
      <c r="BW275" s="53"/>
      <c r="BX275" s="53"/>
      <c r="BY275" s="53"/>
      <c r="BZ275" s="53"/>
      <c r="CA275" s="53"/>
      <c r="CB275" s="53"/>
      <c r="CC275" s="53"/>
      <c r="CD275" s="53"/>
      <c r="CE275" s="53"/>
      <c r="CF275" s="53"/>
      <c r="CG275" s="53"/>
      <c r="CH275" s="53"/>
      <c r="CI275" s="53"/>
      <c r="CJ275" s="53"/>
      <c r="CK275" s="53"/>
      <c r="CL275" s="53"/>
      <c r="CM275" s="53"/>
      <c r="CN275" s="53"/>
      <c r="CO275" s="53"/>
      <c r="CP275" s="53"/>
      <c r="CQ275" s="53"/>
      <c r="CR275" s="1"/>
      <c r="CS275" s="1"/>
      <c r="CT275" s="1"/>
      <c r="CU275" s="1"/>
    </row>
    <row r="276" spans="1:99" s="13" customFormat="1" ht="12" customHeight="1" x14ac:dyDescent="0.2">
      <c r="A276" s="68">
        <v>43895</v>
      </c>
      <c r="B276" s="70"/>
      <c r="C276" s="70"/>
      <c r="D276" s="69"/>
      <c r="E276" s="87"/>
      <c r="F276" s="69"/>
      <c r="G276" s="69"/>
      <c r="H276" s="69"/>
      <c r="I276" s="69"/>
      <c r="J276" s="69"/>
      <c r="K276" s="107"/>
      <c r="L276" s="107"/>
      <c r="M276" s="69"/>
      <c r="N276" s="92"/>
      <c r="O276" s="69"/>
      <c r="P276" s="69"/>
      <c r="Q276" s="69"/>
      <c r="R276" s="69"/>
      <c r="S276" s="69"/>
      <c r="T276" s="92"/>
      <c r="U276" s="69"/>
      <c r="V276" s="92"/>
      <c r="W276" s="69"/>
      <c r="X276" s="69"/>
      <c r="Y276" s="87"/>
      <c r="Z276" s="69"/>
      <c r="AA276" s="69"/>
      <c r="AB276" s="69"/>
      <c r="AC276" s="72"/>
      <c r="AD276" s="69"/>
      <c r="AE276" s="69"/>
      <c r="AF276" s="88"/>
      <c r="AG276" s="72"/>
      <c r="AH276" s="4"/>
      <c r="AI276" s="72"/>
      <c r="AJ276" s="110"/>
      <c r="AK276" s="72"/>
      <c r="AL276" s="72"/>
      <c r="AM276" s="72"/>
      <c r="AN276" s="72"/>
      <c r="AO276" s="89"/>
      <c r="AP276" s="89"/>
      <c r="AQ276" s="155"/>
      <c r="AR276" s="187"/>
      <c r="AS276" s="138"/>
      <c r="AT276" s="138"/>
      <c r="AU276" s="3"/>
      <c r="AV276" s="71">
        <v>157680000</v>
      </c>
      <c r="AW276" s="71">
        <v>473040000</v>
      </c>
      <c r="AX276" s="71">
        <v>788400000</v>
      </c>
      <c r="AY276" s="71">
        <v>1103760000</v>
      </c>
      <c r="AZ276" s="71">
        <v>1419120000</v>
      </c>
      <c r="BA276" s="53"/>
      <c r="BB276" s="53"/>
      <c r="BC276" s="25"/>
      <c r="BD276" s="53"/>
      <c r="BE276" s="53"/>
      <c r="BF276" s="53"/>
      <c r="BG276" s="53"/>
      <c r="BH276" s="53"/>
      <c r="BI276" s="53"/>
      <c r="BJ276" s="53"/>
      <c r="BK276" s="53"/>
      <c r="BL276" s="53"/>
      <c r="BM276" s="53"/>
      <c r="BN276" s="53"/>
      <c r="BO276" s="53"/>
      <c r="BP276" s="53"/>
      <c r="BQ276" s="53"/>
      <c r="BR276" s="53"/>
      <c r="BS276" s="53"/>
      <c r="BT276" s="53"/>
      <c r="BU276" s="53"/>
      <c r="BV276" s="53"/>
      <c r="BW276" s="53"/>
      <c r="BX276" s="53"/>
      <c r="BY276" s="53"/>
      <c r="BZ276" s="53"/>
      <c r="CA276" s="53"/>
      <c r="CB276" s="53"/>
      <c r="CC276" s="53"/>
      <c r="CD276" s="53"/>
      <c r="CE276" s="53"/>
      <c r="CF276" s="53"/>
      <c r="CG276" s="53"/>
      <c r="CH276" s="53"/>
      <c r="CI276" s="53"/>
      <c r="CJ276" s="53"/>
      <c r="CK276" s="53"/>
      <c r="CL276" s="53"/>
      <c r="CM276" s="53"/>
      <c r="CN276" s="53"/>
      <c r="CO276" s="53"/>
      <c r="CP276" s="53"/>
      <c r="CQ276" s="53"/>
      <c r="CR276" s="1"/>
      <c r="CS276" s="1"/>
      <c r="CT276" s="1"/>
      <c r="CU276" s="1"/>
    </row>
    <row r="277" spans="1:99" s="13" customFormat="1" ht="12" customHeight="1" x14ac:dyDescent="0.2">
      <c r="A277" s="68">
        <v>43895</v>
      </c>
      <c r="B277" s="70" t="s">
        <v>339</v>
      </c>
      <c r="C277" s="70" t="s">
        <v>54</v>
      </c>
      <c r="D277" s="69">
        <v>1983</v>
      </c>
      <c r="E277" s="87">
        <v>1</v>
      </c>
      <c r="F277" s="69">
        <v>10</v>
      </c>
      <c r="G277" s="69">
        <v>10</v>
      </c>
      <c r="H277" s="69" t="s">
        <v>44</v>
      </c>
      <c r="I277" s="69" t="s">
        <v>330</v>
      </c>
      <c r="J277" s="69" t="s">
        <v>342</v>
      </c>
      <c r="K277" s="69">
        <f>IF(J277="syllables",1,IF(J277="trigrams",2,IF(J277="strings",3,IF(J277="visual array",4,IF(J277="characters",5,IF(J277="letters",6,IF(J277="free forms",7,IF(J277="odors",8,IF(J277="words",9,IF(J277="pictures",10,IF(J277="object pictures",11,IF(J277="faces",12,IF(J277="names",13,IF(J277="idioms",14,IF(J277="grades",15,IF(J277="syllable-digit pairs",16,IF(J277="trigram-word pairs",17,IF(J277="word-digit pairs",18,IF(J277="English-Swahili pairs",19,IF(J277="spatial position",20,IF(J277="word pairs",21,IF(J277="word triads",22,IF(J277="generated words",23,IF(J277="word definition pairs",24,IF(J277="math problems",25,IF(J277="famous faces",26,IF(J277="famous names",27,IF(J277="famous voices",28,IF(J277="television programs",29,IF(J277="race horses",30,IF(J277="new vocabulary",31,IF(J277="sentences",32,IF(J277="concepts",33,IF(J277="ad slides",34,IF(J277="scenes",35,IF(J277="famous scenes",36,IF(J277="poems",37,IF(J277="walk",38,IF(J277="faces and events",39,IF(J277="events and names",40,IF(J277="flashbulb",41,IF(J277="stories",42,IF(J277="course material",43,IF(J277="autobiographical",44,IF(J277="novels",45,IF(J277="public events",46,"99"))))))))))))))))))))))))))))))))))))))))))))))</f>
        <v>26</v>
      </c>
      <c r="L277" s="69">
        <f>IF(J277="syllables",1,IF(J277="trigrams",1,IF(J277="strings",1,IF(J277="visual array",1,IF(J277="characters",1,IF(J277="letters",1,IF(J277="free forms",1,IF(J277="odors",2,IF(J277="words",2,IF(J277="pictures",2,IF(J277="object pictures",2,IF(J277="faces",2,IF(J277="names",2,IF(J277="idioms","2",IF(J277="grades",2,IF(J277="syllable-digit pairs",3,IF(J277="trigram-word pairs",3,IF(J277="word-digit pairs",3,IF(J277="English-Swahili pairs",3,IF(J277="spatial position",3,IF(J277="word pairs",4,IF(J277="word triads",4,IF(J277="generated words",4,IF(J277="word definition pairs",4,IF(J277="math problems",4,IF(J277="famous faces",4,IF(J277="famous names",4,IF(J277="famous voices",4,IF(J277="television programs",4,IF(J277="race horses",4,IF(J277="new vocabulary",4,IF(J277="sentences",5,IF(J277="concepts",5,IF(J277="ad slides",5,IF(J277="scenes",5,IF(J277="famous scenes",5,IF(J277="poems",6,IF(J277="walk",6,IF(J277="faces and events",6,IF(J277="events and names",6,IF(J277="flashbulb",7,IF(J277="stories",7,IF(J277="course material",7,IF(J277="autobiographical",7,IF(J277="novels",7,IF(J277="public events",7,"99"))))))))))))))))))))))))))))))))))))))))))))))</f>
        <v>4</v>
      </c>
      <c r="M277" s="99">
        <v>1</v>
      </c>
      <c r="N277" s="92">
        <v>3</v>
      </c>
      <c r="O277" s="99">
        <v>0</v>
      </c>
      <c r="P277" s="69"/>
      <c r="Q277" s="69" t="s">
        <v>174</v>
      </c>
      <c r="R277" s="69">
        <f>IF(Q277="Free Recall",1,IF(Q277="Cued Recall",2,IF(Q277="Recognition",3,IF(Q277="Multiple Choice",4,IF(Q277="Savings",5,IF(Q277="Stem Completion",6,IF(Q277="Fragment Completion",7,IF(Q277="anagram solution",8,IF(Q277="Matching",9,IF(Q277="Problem Solving",10,"99"))))))))))</f>
        <v>1</v>
      </c>
      <c r="S277" s="99" t="s">
        <v>49</v>
      </c>
      <c r="T277" s="92" t="s">
        <v>581</v>
      </c>
      <c r="U277" s="69">
        <f>IF(T277="within",1,0)</f>
        <v>1</v>
      </c>
      <c r="V277" s="92">
        <v>132</v>
      </c>
      <c r="W277" s="69">
        <f>F277*V277</f>
        <v>1320</v>
      </c>
      <c r="X277" s="69">
        <v>5</v>
      </c>
      <c r="Y277" s="87">
        <f>AV276</f>
        <v>157680000</v>
      </c>
      <c r="Z277" s="69" t="s">
        <v>373</v>
      </c>
      <c r="AA277" s="69">
        <f>45*365*24*60*60</f>
        <v>1419120000</v>
      </c>
      <c r="AB277" s="69" t="str">
        <f>IF(AA277&lt;60,"1",IF(AA277&lt;=43200,"2",IF(AA277&lt;=777600,"3","4")))</f>
        <v>4</v>
      </c>
      <c r="AC277" s="72">
        <f>AVERAGE(AV276:DA276)</f>
        <v>788400000</v>
      </c>
      <c r="AD277" s="69" t="str">
        <f>IF(AC277&lt;60,"1",IF(AC277&lt;=43200,"2",IF(AC277&lt;=777600,"3","4")))</f>
        <v>4</v>
      </c>
      <c r="AE277" s="87">
        <f>AA277-Y277</f>
        <v>1261440000</v>
      </c>
      <c r="AF277" s="88">
        <f>AV277</f>
        <v>0.76</v>
      </c>
      <c r="AG277" s="72">
        <f>((AW277-AV277)+(AX277-AW277)+(AY277-AX277)+(AZ277-AY277))/4</f>
        <v>1.3389830508474587E-2</v>
      </c>
      <c r="AH277" s="4"/>
      <c r="AI277" s="72">
        <f>RSQ(AV277:AZ277,AV276:AZ276)</f>
        <v>0.59961150928231222</v>
      </c>
      <c r="AJ277" s="110">
        <f>SLOPE(AV277:AZ277,AV276:AZ276)</f>
        <v>6.11785253539348E-11</v>
      </c>
      <c r="AK277" s="72">
        <f>INTERCEPT(AV277:AZ277,AV276:AZ276)</f>
        <v>0.73131592432006309</v>
      </c>
      <c r="AL277" s="72">
        <f>INDEX(LINEST(LN(AV277:AZ277),LN(AV276:AZ276),TRUE,TRUE),3,1)</f>
        <v>0.39535979544326549</v>
      </c>
      <c r="AM277" s="72">
        <f>INDEX(LINEST(LN(AV277:AZ277),LN(AV276:AZ276)),1)</f>
        <v>3.6239331811274346E-2</v>
      </c>
      <c r="AN277" s="72">
        <f>EXP(INDEX(LINEST(LN(AV277:AZ277),LN(AV276:AZ276)),1,2))</f>
        <v>0.37390154564399009</v>
      </c>
      <c r="AO277" s="89">
        <f>INDEX(LINEST((AV277:AZ277),LN(AV276:AZ276),TRUE,TRUE),3,1)</f>
        <v>0.3985331552823218</v>
      </c>
      <c r="AP277" s="89">
        <f>INDEX(LINEST((AV277:AZ277),LN(AV276:AZ276)),1)</f>
        <v>2.8603713095852135E-2</v>
      </c>
      <c r="AQ277" s="155">
        <f>INDEX(LINEST(LN(AV277:AZ277),SQRT(AV276:AZ276),TRUE,TRUE),3,1)</f>
        <v>0.51060119806687387</v>
      </c>
      <c r="AR277" s="187">
        <f>INDEX(LINEST(LN(AV277:AZ277),SQRT((AV276:AZ276))),1)</f>
        <v>3.629468612748184E-6</v>
      </c>
      <c r="AS277" s="138">
        <f>INDEX(LINEST(1/(AV277:AZ277),1/(SQRT(AV276:AZ276)),TRUE,TRUE),3,1)</f>
        <v>0.28016868807141354</v>
      </c>
      <c r="AT277" s="138">
        <f>INDEX(LINEST(1/(AV277:AZ277),1/SQRT(AV276:AZ276)),1)</f>
        <v>1574.0140626415871</v>
      </c>
      <c r="AU277" s="3"/>
      <c r="AV277" s="73">
        <v>0.76</v>
      </c>
      <c r="AW277" s="73">
        <v>0.7441860465116279</v>
      </c>
      <c r="AX277" s="73">
        <v>0.75</v>
      </c>
      <c r="AY277" s="73">
        <v>0.83</v>
      </c>
      <c r="AZ277" s="73">
        <v>0.81355932203389836</v>
      </c>
      <c r="BA277" s="53"/>
      <c r="BB277" s="53"/>
      <c r="BC277" s="53"/>
      <c r="BD277" s="53"/>
      <c r="BE277" s="53"/>
      <c r="BF277" s="53"/>
      <c r="BG277" s="53"/>
      <c r="BH277" s="53"/>
      <c r="BI277" s="53"/>
      <c r="BJ277" s="53"/>
      <c r="BK277" s="53"/>
      <c r="BL277" s="53"/>
      <c r="BM277" s="53"/>
      <c r="BN277" s="53"/>
      <c r="BO277" s="53"/>
      <c r="BP277" s="53"/>
      <c r="BQ277" s="53"/>
      <c r="BR277" s="53"/>
      <c r="BS277" s="53"/>
      <c r="BT277" s="53"/>
      <c r="BU277" s="53"/>
      <c r="BV277" s="53"/>
      <c r="BW277" s="53"/>
      <c r="BX277" s="53"/>
      <c r="BY277" s="53"/>
      <c r="BZ277" s="53"/>
      <c r="CA277" s="53"/>
      <c r="CB277" s="53"/>
      <c r="CC277" s="53"/>
      <c r="CD277" s="53"/>
      <c r="CE277" s="53"/>
      <c r="CF277" s="53"/>
      <c r="CG277" s="53"/>
      <c r="CH277" s="53"/>
      <c r="CI277" s="53"/>
      <c r="CJ277" s="53"/>
      <c r="CK277" s="53"/>
      <c r="CL277" s="53"/>
      <c r="CM277" s="53"/>
      <c r="CN277" s="53"/>
      <c r="CO277" s="53"/>
      <c r="CP277" s="53"/>
      <c r="CQ277" s="53"/>
      <c r="CR277" s="1"/>
      <c r="CS277" s="1"/>
      <c r="CT277" s="1"/>
      <c r="CU277" s="1"/>
    </row>
    <row r="278" spans="1:99" s="13" customFormat="1" ht="12" customHeight="1" x14ac:dyDescent="0.2">
      <c r="A278" s="68">
        <v>43895</v>
      </c>
      <c r="B278" s="70"/>
      <c r="C278" s="70"/>
      <c r="D278" s="69"/>
      <c r="E278" s="87"/>
      <c r="F278" s="69"/>
      <c r="G278" s="69"/>
      <c r="H278" s="69"/>
      <c r="I278" s="69"/>
      <c r="J278" s="69"/>
      <c r="K278" s="107"/>
      <c r="L278" s="107"/>
      <c r="M278" s="69"/>
      <c r="N278" s="92"/>
      <c r="O278" s="69"/>
      <c r="P278" s="69"/>
      <c r="Q278" s="69"/>
      <c r="R278" s="69"/>
      <c r="S278" s="69"/>
      <c r="T278" s="92"/>
      <c r="U278" s="69"/>
      <c r="V278" s="92"/>
      <c r="W278" s="69"/>
      <c r="X278" s="69"/>
      <c r="Y278" s="87"/>
      <c r="Z278" s="69"/>
      <c r="AA278" s="69"/>
      <c r="AB278" s="69"/>
      <c r="AC278" s="72"/>
      <c r="AD278" s="69"/>
      <c r="AE278" s="69"/>
      <c r="AF278" s="88"/>
      <c r="AG278" s="72"/>
      <c r="AH278" s="4"/>
      <c r="AI278" s="72"/>
      <c r="AJ278" s="110"/>
      <c r="AK278" s="72"/>
      <c r="AL278" s="72"/>
      <c r="AM278" s="72"/>
      <c r="AN278" s="72"/>
      <c r="AO278" s="89"/>
      <c r="AP278" s="89"/>
      <c r="AQ278" s="155"/>
      <c r="AR278" s="187"/>
      <c r="AS278" s="138"/>
      <c r="AT278" s="138"/>
      <c r="AU278" s="3"/>
      <c r="AV278" s="71">
        <v>157680000</v>
      </c>
      <c r="AW278" s="71">
        <v>473040000</v>
      </c>
      <c r="AX278" s="71">
        <v>788400000</v>
      </c>
      <c r="AY278" s="71">
        <v>1103760000</v>
      </c>
      <c r="AZ278" s="71">
        <v>1419120000</v>
      </c>
      <c r="BA278" s="53"/>
      <c r="BB278" s="53"/>
      <c r="BC278" s="53"/>
      <c r="BD278" s="53"/>
      <c r="BE278" s="53"/>
      <c r="BF278" s="53"/>
      <c r="BG278" s="53"/>
      <c r="BH278" s="53"/>
      <c r="BI278" s="53"/>
      <c r="BJ278" s="53"/>
      <c r="BK278" s="53"/>
      <c r="BL278" s="53"/>
      <c r="BM278" s="53"/>
      <c r="BN278" s="53"/>
      <c r="BO278" s="53"/>
      <c r="BP278" s="53"/>
      <c r="BQ278" s="53"/>
      <c r="BR278" s="53"/>
      <c r="BS278" s="53"/>
      <c r="BT278" s="53"/>
      <c r="BU278" s="53"/>
      <c r="BV278" s="53"/>
      <c r="BW278" s="53"/>
      <c r="BX278" s="53"/>
      <c r="BY278" s="53"/>
      <c r="BZ278" s="53"/>
      <c r="CA278" s="53"/>
      <c r="CB278" s="53"/>
      <c r="CC278" s="53"/>
      <c r="CD278" s="53"/>
      <c r="CE278" s="53"/>
      <c r="CF278" s="53"/>
      <c r="CG278" s="53"/>
      <c r="CH278" s="53"/>
      <c r="CI278" s="53"/>
      <c r="CJ278" s="53"/>
      <c r="CK278" s="53"/>
      <c r="CL278" s="53"/>
      <c r="CM278" s="53"/>
      <c r="CN278" s="53"/>
      <c r="CO278" s="53"/>
      <c r="CP278" s="53"/>
      <c r="CQ278" s="53"/>
      <c r="CR278" s="1"/>
      <c r="CS278" s="1"/>
      <c r="CT278" s="1"/>
      <c r="CU278" s="1"/>
    </row>
    <row r="279" spans="1:99" s="13" customFormat="1" ht="12" customHeight="1" x14ac:dyDescent="0.2">
      <c r="A279" s="68">
        <v>43895</v>
      </c>
      <c r="B279" s="70" t="s">
        <v>339</v>
      </c>
      <c r="C279" s="70" t="s">
        <v>54</v>
      </c>
      <c r="D279" s="69">
        <v>1983</v>
      </c>
      <c r="E279" s="87">
        <v>1</v>
      </c>
      <c r="F279" s="69">
        <v>10</v>
      </c>
      <c r="G279" s="69">
        <v>10</v>
      </c>
      <c r="H279" s="69" t="s">
        <v>232</v>
      </c>
      <c r="I279" s="69" t="s">
        <v>330</v>
      </c>
      <c r="J279" s="69" t="s">
        <v>342</v>
      </c>
      <c r="K279" s="69">
        <f>IF(J279="syllables",1,IF(J279="trigrams",2,IF(J279="strings",3,IF(J279="visual array",4,IF(J279="characters",5,IF(J279="letters",6,IF(J279="free forms",7,IF(J279="odors",8,IF(J279="words",9,IF(J279="pictures",10,IF(J279="object pictures",11,IF(J279="faces",12,IF(J279="names",13,IF(J279="idioms",14,IF(J279="grades",15,IF(J279="syllable-digit pairs",16,IF(J279="trigram-word pairs",17,IF(J279="word-digit pairs",18,IF(J279="English-Swahili pairs",19,IF(J279="spatial position",20,IF(J279="word pairs",21,IF(J279="word triads",22,IF(J279="generated words",23,IF(J279="word definition pairs",24,IF(J279="math problems",25,IF(J279="famous faces",26,IF(J279="famous names",27,IF(J279="famous voices",28,IF(J279="television programs",29,IF(J279="race horses",30,IF(J279="new vocabulary",31,IF(J279="sentences",32,IF(J279="concepts",33,IF(J279="ad slides",34,IF(J279="scenes",35,IF(J279="famous scenes",36,IF(J279="poems",37,IF(J279="walk",38,IF(J279="faces and events",39,IF(J279="events and names",40,IF(J279="flashbulb",41,IF(J279="stories",42,IF(J279="course material",43,IF(J279="autobiographical",44,IF(J279="novels",45,IF(J279="public events",46,"99"))))))))))))))))))))))))))))))))))))))))))))))</f>
        <v>26</v>
      </c>
      <c r="L279" s="69">
        <f>IF(J279="syllables",1,IF(J279="trigrams",1,IF(J279="strings",1,IF(J279="visual array",1,IF(J279="characters",1,IF(J279="letters",1,IF(J279="free forms",1,IF(J279="odors",2,IF(J279="words",2,IF(J279="pictures",2,IF(J279="object pictures",2,IF(J279="faces",2,IF(J279="names",2,IF(J279="idioms","2",IF(J279="grades",2,IF(J279="syllable-digit pairs",3,IF(J279="trigram-word pairs",3,IF(J279="word-digit pairs",3,IF(J279="English-Swahili pairs",3,IF(J279="spatial position",3,IF(J279="word pairs",4,IF(J279="word triads",4,IF(J279="generated words",4,IF(J279="word definition pairs",4,IF(J279="math problems",4,IF(J279="famous faces",4,IF(J279="famous names",4,IF(J279="famous voices",4,IF(J279="television programs",4,IF(J279="race horses",4,IF(J279="new vocabulary",4,IF(J279="sentences",5,IF(J279="concepts",5,IF(J279="ad slides",5,IF(J279="scenes",5,IF(J279="famous scenes",5,IF(J279="poems",6,IF(J279="walk",6,IF(J279="faces and events",6,IF(J279="events and names",6,IF(J279="flashbulb",7,IF(J279="stories",7,IF(J279="course material",7,IF(J279="autobiographical",7,IF(J279="novels",7,IF(J279="public events",7,"99"))))))))))))))))))))))))))))))))))))))))))))))</f>
        <v>4</v>
      </c>
      <c r="M279" s="99">
        <v>1</v>
      </c>
      <c r="N279" s="92">
        <v>3</v>
      </c>
      <c r="O279" s="99">
        <v>0</v>
      </c>
      <c r="P279" s="69"/>
      <c r="Q279" s="99" t="s">
        <v>182</v>
      </c>
      <c r="R279" s="69">
        <f>IF(Q279="Free Recall",1,IF(Q279="Cued Recall",2,IF(Q279="Recognition",3,IF(Q279="Multiple Choice",4,IF(Q279="Savings",5,IF(Q279="Stem Completion",6,IF(Q279="Fragment Completion",7,IF(Q279="anagram solution",8,IF(Q279="Matching",9,IF(Q279="Problem Solving",10,"99"))))))))))</f>
        <v>4</v>
      </c>
      <c r="S279" s="69" t="s">
        <v>15</v>
      </c>
      <c r="T279" s="92" t="s">
        <v>581</v>
      </c>
      <c r="U279" s="69">
        <f>IF(T279="within",1,0)</f>
        <v>1</v>
      </c>
      <c r="V279" s="92">
        <v>132</v>
      </c>
      <c r="W279" s="69">
        <f>F279*V279</f>
        <v>1320</v>
      </c>
      <c r="X279" s="69">
        <v>5</v>
      </c>
      <c r="Y279" s="87">
        <f>AV278</f>
        <v>157680000</v>
      </c>
      <c r="Z279" s="69" t="s">
        <v>373</v>
      </c>
      <c r="AA279" s="69">
        <f>45*365*24*60*60</f>
        <v>1419120000</v>
      </c>
      <c r="AB279" s="69" t="str">
        <f>IF(AA279&lt;60,"1",IF(AA279&lt;=43200,"2",IF(AA279&lt;=777600,"3","4")))</f>
        <v>4</v>
      </c>
      <c r="AC279" s="72">
        <f>AVERAGE(AV278:DA278)</f>
        <v>788400000</v>
      </c>
      <c r="AD279" s="69" t="str">
        <f>IF(AC279&lt;60,"1",IF(AC279&lt;=43200,"2",IF(AC279&lt;=777600,"3","4")))</f>
        <v>4</v>
      </c>
      <c r="AE279" s="87">
        <f>AA279-Y279</f>
        <v>1261440000</v>
      </c>
      <c r="AF279" s="88">
        <f>AV279</f>
        <v>0.79032258064516125</v>
      </c>
      <c r="AG279" s="93">
        <f>((AW279-AV279)+(AX279-AW279)+(AY279-AX279)+(AZ279-AY279))/4</f>
        <v>-3.7030941408821572E-3</v>
      </c>
      <c r="AH279" s="4"/>
      <c r="AI279" s="72">
        <f>RSQ(AV279:AZ279,AV278:AZ278)</f>
        <v>0.30255908766880374</v>
      </c>
      <c r="AJ279" s="110">
        <f>SLOPE(AV279:AZ279,AV278:AZ278)</f>
        <v>-4.1826985009757801E-11</v>
      </c>
      <c r="AK279" s="72">
        <f>INTERCEPT(AV279:AZ279,AV278:AZ278)</f>
        <v>0.81188897235945856</v>
      </c>
      <c r="AL279" s="72">
        <f>INDEX(LINEST(LN(AV279:AZ279),LN(AV278:AZ278),TRUE,TRUE),3,1)</f>
        <v>0.21939093081884997</v>
      </c>
      <c r="AM279" s="72">
        <f>INDEX(LINEST(LN(AV279:AZ279),LN(AV278:AZ278)),1)</f>
        <v>-2.6747660098469152E-2</v>
      </c>
      <c r="AN279" s="72">
        <f>EXP(INDEX(LINEST(LN(AV279:AZ279),LN(AV278:AZ278)),1,2))</f>
        <v>1.3373793676793584</v>
      </c>
      <c r="AO279" s="89">
        <f>INDEX(LINEST((AV279:AZ279),LN(AV278:AZ278),TRUE,TRUE),3,1)</f>
        <v>0.22023724423914182</v>
      </c>
      <c r="AP279" s="89">
        <f>INDEX(LINEST((AV279:AZ279),LN(AV278:AZ278)),1)</f>
        <v>-2.0465530274001848E-2</v>
      </c>
      <c r="AQ279" s="155">
        <f>INDEX(LINEST(LN(AV279:AZ279),SQRT(AV278:AZ278),TRUE,TRUE),3,1)</f>
        <v>0.27137636449008401</v>
      </c>
      <c r="AR279" s="187">
        <f>INDEX(LINEST(LN(AV279:AZ279),SQRT((AV278:AZ278))),1)</f>
        <v>-2.6216859755243383E-6</v>
      </c>
      <c r="AS279" s="138">
        <f>INDEX(LINEST(1/(AV279:AZ279),1/(SQRT(AV278:AZ278)),TRUE,TRUE),3,1)</f>
        <v>0.16013339106755831</v>
      </c>
      <c r="AT279" s="138">
        <f>INDEX(LINEST(1/(AV279:AZ279),1/SQRT(AV278:AZ278)),1)</f>
        <v>-1214.8265019391008</v>
      </c>
      <c r="AU279" s="3"/>
      <c r="AV279" s="73">
        <v>0.79032258064516125</v>
      </c>
      <c r="AW279" s="73">
        <v>0.81967213114754101</v>
      </c>
      <c r="AX279" s="73">
        <v>0.79166666666666663</v>
      </c>
      <c r="AY279" s="73">
        <v>0.71739130434782605</v>
      </c>
      <c r="AZ279" s="73">
        <v>0.77551020408163263</v>
      </c>
      <c r="BA279" s="53"/>
      <c r="BB279" s="53"/>
      <c r="BC279" s="53"/>
      <c r="BD279" s="53"/>
      <c r="BE279" s="53"/>
      <c r="BF279" s="53"/>
      <c r="BG279" s="53"/>
      <c r="BH279" s="53"/>
      <c r="BI279" s="53"/>
      <c r="BJ279" s="53"/>
      <c r="BK279" s="53"/>
      <c r="BL279" s="53"/>
      <c r="BM279" s="53"/>
      <c r="BN279" s="53"/>
      <c r="BO279" s="53"/>
      <c r="BP279" s="53"/>
      <c r="BQ279" s="53"/>
      <c r="BR279" s="53"/>
      <c r="BS279" s="53"/>
      <c r="BT279" s="53"/>
      <c r="BU279" s="53"/>
      <c r="BV279" s="53"/>
      <c r="BW279" s="53"/>
      <c r="BX279" s="53"/>
      <c r="BY279" s="53"/>
      <c r="BZ279" s="53"/>
      <c r="CA279" s="53"/>
      <c r="CB279" s="53"/>
      <c r="CC279" s="53"/>
      <c r="CD279" s="53"/>
      <c r="CE279" s="53"/>
      <c r="CF279" s="53"/>
      <c r="CG279" s="53"/>
      <c r="CH279" s="53"/>
      <c r="CI279" s="53"/>
      <c r="CJ279" s="53"/>
      <c r="CK279" s="53"/>
      <c r="CL279" s="53"/>
      <c r="CM279" s="53"/>
      <c r="CN279" s="53"/>
      <c r="CO279" s="53"/>
      <c r="CP279" s="53"/>
      <c r="CQ279" s="53"/>
      <c r="CR279" s="1"/>
      <c r="CS279" s="1"/>
      <c r="CT279" s="1"/>
      <c r="CU279" s="1"/>
    </row>
    <row r="280" spans="1:99" s="13" customFormat="1" ht="12" customHeight="1" x14ac:dyDescent="0.2">
      <c r="A280" s="65">
        <v>43509</v>
      </c>
      <c r="B280" s="1"/>
      <c r="C280" s="1"/>
      <c r="D280" s="60"/>
      <c r="E280" s="76"/>
      <c r="F280" s="60"/>
      <c r="G280" s="60"/>
      <c r="H280" s="60"/>
      <c r="I280" s="60"/>
      <c r="J280" s="60"/>
      <c r="K280" s="64"/>
      <c r="L280" s="64"/>
      <c r="M280" s="60"/>
      <c r="N280" s="60"/>
      <c r="O280" s="60"/>
      <c r="P280" s="60"/>
      <c r="Q280" s="60"/>
      <c r="R280" s="60"/>
      <c r="S280" s="60"/>
      <c r="T280" s="60"/>
      <c r="U280" s="60"/>
      <c r="V280" s="60"/>
      <c r="W280" s="60"/>
      <c r="X280" s="60"/>
      <c r="Y280" s="76"/>
      <c r="Z280" s="60"/>
      <c r="AA280" s="60"/>
      <c r="AB280" s="60"/>
      <c r="AC280" s="60"/>
      <c r="AD280" s="60"/>
      <c r="AE280" s="60"/>
      <c r="AF280" s="80"/>
      <c r="AG280" s="56"/>
      <c r="AH280" s="4"/>
      <c r="AI280" s="56"/>
      <c r="AJ280" s="109"/>
      <c r="AK280" s="56"/>
      <c r="AL280" s="56"/>
      <c r="AM280" s="56"/>
      <c r="AN280" s="56"/>
      <c r="AO280" s="56"/>
      <c r="AP280" s="56"/>
      <c r="AQ280" s="56"/>
      <c r="AR280" s="109"/>
      <c r="AS280" s="56"/>
      <c r="AT280" s="56"/>
      <c r="AU280" s="4"/>
      <c r="AV280" s="25">
        <f>20*60</f>
        <v>1200</v>
      </c>
      <c r="AW280" s="25">
        <f>24*60*60*1</f>
        <v>86400</v>
      </c>
      <c r="AX280" s="25">
        <f>24*60*60*7</f>
        <v>604800</v>
      </c>
      <c r="AY280" s="53"/>
      <c r="AZ280" s="53"/>
      <c r="BA280" s="53"/>
      <c r="BB280" s="53"/>
      <c r="BC280" s="53"/>
      <c r="BD280" s="53"/>
      <c r="BE280" s="53"/>
      <c r="BF280" s="53"/>
      <c r="BG280" s="53"/>
      <c r="BH280" s="53"/>
      <c r="BI280" s="53"/>
      <c r="BJ280" s="53"/>
      <c r="BK280" s="53"/>
      <c r="BL280" s="53"/>
      <c r="BM280" s="53"/>
      <c r="BN280" s="53"/>
      <c r="BO280" s="53"/>
      <c r="BP280" s="53"/>
      <c r="BQ280" s="53"/>
      <c r="BR280" s="53"/>
      <c r="BS280" s="53"/>
      <c r="BT280" s="53"/>
      <c r="BU280" s="53"/>
      <c r="BV280" s="53"/>
      <c r="BW280" s="53"/>
      <c r="BX280" s="53"/>
      <c r="BY280" s="53"/>
      <c r="BZ280" s="53"/>
      <c r="CA280" s="53"/>
      <c r="CB280" s="53"/>
      <c r="CC280" s="53"/>
      <c r="CD280" s="53"/>
      <c r="CE280" s="53"/>
      <c r="CF280" s="53"/>
      <c r="CG280" s="53"/>
      <c r="CH280" s="53"/>
      <c r="CI280" s="53"/>
      <c r="CJ280" s="53"/>
      <c r="CK280" s="53"/>
      <c r="CL280" s="53"/>
      <c r="CM280" s="53"/>
      <c r="CN280" s="53"/>
      <c r="CO280" s="53"/>
      <c r="CP280" s="53"/>
      <c r="CQ280" s="53"/>
      <c r="CR280" s="1"/>
      <c r="CS280" s="1"/>
      <c r="CT280" s="1"/>
      <c r="CU280" s="1"/>
    </row>
    <row r="281" spans="1:99" s="13" customFormat="1" ht="12" customHeight="1" x14ac:dyDescent="0.2">
      <c r="A281" s="65">
        <v>43509</v>
      </c>
      <c r="B281" s="1" t="s">
        <v>91</v>
      </c>
      <c r="C281" s="1" t="s">
        <v>70</v>
      </c>
      <c r="D281" s="60">
        <v>2010</v>
      </c>
      <c r="E281" s="76">
        <v>1</v>
      </c>
      <c r="F281" s="60">
        <v>84</v>
      </c>
      <c r="G281" s="60">
        <v>28</v>
      </c>
      <c r="H281" s="60" t="s">
        <v>50</v>
      </c>
      <c r="I281" s="60" t="s">
        <v>662</v>
      </c>
      <c r="J281" s="60" t="s">
        <v>61</v>
      </c>
      <c r="K281" s="60">
        <f>IF(J281="syllables",1,IF(J281="trigrams",2,IF(J281="strings",3,IF(J281="visual array",4,IF(J281="characters",5,IF(J281="letters",6,IF(J281="free forms",7,IF(J281="odors",8,IF(J281="words",9,IF(J281="pictures",10,IF(J281="object pictures",11,IF(J281="faces",12,IF(J281="names",13,IF(J281="idioms",14,IF(J281="grades",15,IF(J281="syllable-digit pairs",16,IF(J281="trigram-word pairs",17,IF(J281="word-digit pairs",18,IF(J281="English-Swahili pairs",19,IF(J281="spatial position",20,IF(J281="word pairs",21,IF(J281="word triads",22,IF(J281="generated words",23,IF(J281="word definition pairs",24,IF(J281="math problems",25,IF(J281="famous faces",26,IF(J281="famous names",27,IF(J281="famous voices",28,IF(J281="television programs",29,IF(J281="race horses",30,IF(J281="new vocabulary",31,IF(J281="sentences",32,IF(J281="concepts",33,IF(J281="ad slides",34,IF(J281="scenes",35,IF(J281="famous scenes",36,IF(J281="poems",37,IF(J281="walk",38,IF(J281="faces and events",39,IF(J281="events and names",40,IF(J281="flashbulb",41,IF(J281="stories",42,IF(J281="course material",43,IF(J281="autobiographical",44,IF(J281="novels",45,IF(J281="public events",46,"99"))))))))))))))))))))))))))))))))))))))))))))))</f>
        <v>42</v>
      </c>
      <c r="L281" s="60">
        <f>IF(J281="syllables",1,IF(J281="trigrams",1,IF(J281="strings",1,IF(J281="visual array",1,IF(J281="characters",1,IF(J281="letters",1,IF(J281="free forms",1,IF(J281="odors",2,IF(J281="words",2,IF(J281="pictures",2,IF(J281="object pictures",2,IF(J281="faces",2,IF(J281="names",2,IF(J281="idioms","2",IF(J281="grades",2,IF(J281="syllable-digit pairs",3,IF(J281="trigram-word pairs",3,IF(J281="word-digit pairs",3,IF(J281="English-Swahili pairs",3,IF(J281="spatial position",3,IF(J281="word pairs",4,IF(J281="word triads",4,IF(J281="generated words",4,IF(J281="word definition pairs",4,IF(J281="math problems",4,IF(J281="famous faces",4,IF(J281="famous names",4,IF(J281="famous voices",4,IF(J281="television programs",4,IF(J281="race horses",4,IF(J281="new vocabulary",4,IF(J281="sentences",5,IF(J281="concepts",5,IF(J281="ad slides",5,IF(J281="scenes",5,IF(J281="famous scenes",5,IF(J281="poems",6,IF(J281="walk",6,IF(J281="faces and events",6,IF(J281="events and names",6,IF(J281="flashbulb",7,IF(J281="stories",7,IF(J281="course material",7,IF(J281="autobiographical",7,IF(J281="novels",7,IF(J281="public events",7,"99"))))))))))))))))))))))))))))))))))))))))))))))</f>
        <v>7</v>
      </c>
      <c r="M281" s="60">
        <v>0</v>
      </c>
      <c r="N281" s="60">
        <v>4</v>
      </c>
      <c r="O281" s="60">
        <v>1</v>
      </c>
      <c r="P281" s="60" t="s">
        <v>92</v>
      </c>
      <c r="Q281" s="60" t="s">
        <v>174</v>
      </c>
      <c r="R281" s="60">
        <f>IF(Q281="Free Recall",1,IF(Q281="Cued Recall",2,IF(Q281="Recognition",3,IF(Q281="Multiple Choice",4,IF(Q281="Savings",5,IF(Q281="Stem Completion",6,IF(Q281="Fragment Completion",7,IF(Q281="anagram solution",8,IF(Q281="Matching",9,IF(Q281="Problem Solving",10,"99"))))))))))</f>
        <v>1</v>
      </c>
      <c r="S281" s="60" t="s">
        <v>15</v>
      </c>
      <c r="T281" s="59" t="s">
        <v>261</v>
      </c>
      <c r="U281" s="60">
        <f>IF(T281="within",1,0)</f>
        <v>0</v>
      </c>
      <c r="V281" s="59">
        <v>48</v>
      </c>
      <c r="W281" s="60">
        <f>F281*V281</f>
        <v>4032</v>
      </c>
      <c r="X281" s="60">
        <v>3</v>
      </c>
      <c r="Y281" s="76">
        <f>AV280</f>
        <v>1200</v>
      </c>
      <c r="Z281" s="60" t="s">
        <v>97</v>
      </c>
      <c r="AA281" s="60">
        <v>604800</v>
      </c>
      <c r="AB281" s="60" t="str">
        <f>IF(AA281&lt;60,"1",IF(AA281&lt;=43200,"2",IF(AA281&lt;=777600,"3","4")))</f>
        <v>3</v>
      </c>
      <c r="AC281" s="56">
        <f>AVERAGE(AV280:DA280)</f>
        <v>230800</v>
      </c>
      <c r="AD281" s="60" t="str">
        <f>IF(AC281&lt;60,"1",IF(AC281&lt;=43200,"2",IF(AC281&lt;=777600,"3","4")))</f>
        <v>3</v>
      </c>
      <c r="AE281" s="76">
        <f>AA281-Y281</f>
        <v>603600</v>
      </c>
      <c r="AF281" s="80">
        <f>AV281</f>
        <v>0.60399999999999998</v>
      </c>
      <c r="AG281" s="56">
        <f>((AW281-AV281)+(AX281-AW281))/2</f>
        <v>-4.2499999999999982E-2</v>
      </c>
      <c r="AH281" s="4"/>
      <c r="AI281" s="56">
        <f>RSQ(AV281:AX281,AV280:AX280)</f>
        <v>0.77878398076363653</v>
      </c>
      <c r="AJ281" s="109">
        <f>SLOPE(AV281:AX281,AV280:AX280)</f>
        <v>-1.807354001658143E-7</v>
      </c>
      <c r="AK281" s="56">
        <f>INTERCEPT(AV281:AX281,AV280:AX280)</f>
        <v>0.63304706369160335</v>
      </c>
      <c r="AL281" s="56">
        <f>INDEX(LINEST(LN(AV281:AX281),LN(AV280:AX280),TRUE,TRUE),3,1)</f>
        <v>0.23296513274876129</v>
      </c>
      <c r="AM281" s="56">
        <f>INDEX(LINEST(LN(AV281:AX281),LN(AV280:AX280)),1)</f>
        <v>-1.7505181395033102E-2</v>
      </c>
      <c r="AN281" s="56">
        <f>EXP(INDEX(LINEST(LN(AV281:AX281),LN(AV280:AX280)),1,2))</f>
        <v>0.70865776077852982</v>
      </c>
      <c r="AO281" s="82">
        <f>INDEX(LINEST((AV281:AX281),LN(AV280:AX280),TRUE,TRUE),3,1)</f>
        <v>0.20942269192848584</v>
      </c>
      <c r="AP281" s="82">
        <f>INDEX(LINEST((AV281:AX281),LN(AV280:AX280)),1)</f>
        <v>-9.6185145089980224E-3</v>
      </c>
      <c r="AQ281" s="83">
        <f>INDEX(LINEST(LN(AV281:AX281),SQRT(AV280:AX280),TRUE,TRUE),3,1)</f>
        <v>0.60318843534265221</v>
      </c>
      <c r="AR281" s="116">
        <f>INDEX(LINEST(LN(AV281:AX281),SQRT((AV280:AX280))),1)</f>
        <v>-2.3774958238986972E-4</v>
      </c>
      <c r="AS281" s="84">
        <f>INDEX(LINEST(1/(AV281:AX281),1/(SQRT(AV280:AX280)),TRUE,TRUE),3,1)</f>
        <v>8.1447151231600873E-2</v>
      </c>
      <c r="AT281" s="84">
        <f>INDEX(LINEST(1/(AV281:AX281),1/SQRT(AV280:AX280)),1)</f>
        <v>-3.7219066405166217</v>
      </c>
      <c r="AU281" s="3"/>
      <c r="AV281" s="53">
        <v>0.60399999999999998</v>
      </c>
      <c r="AW281" s="53">
        <v>0.65100000000000002</v>
      </c>
      <c r="AX281" s="53">
        <v>0.51900000000000002</v>
      </c>
      <c r="AY281" s="53"/>
      <c r="AZ281" s="53"/>
      <c r="BA281" s="53"/>
      <c r="BB281" s="53"/>
      <c r="BC281" s="53"/>
      <c r="BD281" s="53"/>
      <c r="BE281" s="53"/>
      <c r="BF281" s="53"/>
      <c r="BG281" s="53"/>
      <c r="BH281" s="53"/>
      <c r="BI281" s="53"/>
      <c r="BJ281" s="53"/>
      <c r="BK281" s="53"/>
      <c r="BL281" s="53"/>
      <c r="BM281" s="53"/>
      <c r="BN281" s="53"/>
      <c r="BO281" s="53"/>
      <c r="BP281" s="53"/>
      <c r="BQ281" s="53"/>
      <c r="BR281" s="53"/>
      <c r="BS281" s="53"/>
      <c r="BT281" s="53"/>
      <c r="BU281" s="53"/>
      <c r="BV281" s="53"/>
      <c r="BW281" s="53"/>
      <c r="BX281" s="53"/>
      <c r="BY281" s="53"/>
      <c r="BZ281" s="53"/>
      <c r="CA281" s="53"/>
      <c r="CB281" s="53"/>
      <c r="CC281" s="53"/>
      <c r="CD281" s="53"/>
      <c r="CE281" s="53"/>
      <c r="CF281" s="53"/>
      <c r="CG281" s="53"/>
      <c r="CH281" s="53"/>
      <c r="CI281" s="53"/>
      <c r="CJ281" s="53"/>
      <c r="CK281" s="53"/>
      <c r="CL281" s="53"/>
      <c r="CM281" s="53"/>
      <c r="CN281" s="53"/>
      <c r="CO281" s="53"/>
      <c r="CP281" s="53"/>
      <c r="CQ281" s="53"/>
      <c r="CR281" s="1"/>
      <c r="CS281" s="1"/>
      <c r="CT281" s="1"/>
      <c r="CU281" s="1"/>
    </row>
    <row r="282" spans="1:99" s="13" customFormat="1" ht="12" customHeight="1" x14ac:dyDescent="0.2">
      <c r="A282" s="65">
        <v>43509</v>
      </c>
      <c r="B282" s="1"/>
      <c r="C282" s="1"/>
      <c r="D282" s="60"/>
      <c r="E282" s="76"/>
      <c r="F282" s="60"/>
      <c r="G282" s="60"/>
      <c r="H282" s="60"/>
      <c r="I282" s="60"/>
      <c r="J282" s="60"/>
      <c r="K282" s="64"/>
      <c r="L282" s="64"/>
      <c r="M282" s="60"/>
      <c r="N282" s="60"/>
      <c r="O282" s="60"/>
      <c r="P282" s="60"/>
      <c r="Q282" s="60"/>
      <c r="R282" s="60"/>
      <c r="S282" s="60"/>
      <c r="T282" s="60"/>
      <c r="U282" s="60"/>
      <c r="V282" s="60"/>
      <c r="W282" s="60"/>
      <c r="X282" s="60"/>
      <c r="Y282" s="76"/>
      <c r="Z282" s="60"/>
      <c r="AA282" s="60"/>
      <c r="AB282" s="60"/>
      <c r="AC282" s="60"/>
      <c r="AD282" s="60"/>
      <c r="AE282" s="60"/>
      <c r="AF282" s="80"/>
      <c r="AG282" s="56"/>
      <c r="AH282" s="4"/>
      <c r="AI282" s="56"/>
      <c r="AJ282" s="109"/>
      <c r="AK282" s="56"/>
      <c r="AL282" s="56"/>
      <c r="AM282" s="56"/>
      <c r="AN282" s="56"/>
      <c r="AO282" s="56"/>
      <c r="AP282" s="56"/>
      <c r="AQ282" s="56"/>
      <c r="AR282" s="109"/>
      <c r="AS282" s="56"/>
      <c r="AT282" s="56"/>
      <c r="AU282" s="4"/>
      <c r="AV282" s="25">
        <f>20*60</f>
        <v>1200</v>
      </c>
      <c r="AW282" s="25">
        <f>24*60*60*1</f>
        <v>86400</v>
      </c>
      <c r="AX282" s="25">
        <f>24*60*60*7</f>
        <v>604800</v>
      </c>
      <c r="AY282" s="53"/>
      <c r="AZ282" s="53"/>
      <c r="BA282" s="53"/>
      <c r="BB282" s="53"/>
      <c r="BC282" s="53"/>
      <c r="BD282" s="53"/>
      <c r="BE282" s="53"/>
      <c r="BF282" s="53"/>
      <c r="BG282" s="53"/>
      <c r="BH282" s="53"/>
      <c r="BI282" s="53"/>
      <c r="BJ282" s="53"/>
      <c r="BK282" s="53"/>
      <c r="BL282" s="53"/>
      <c r="BM282" s="53"/>
      <c r="BN282" s="53"/>
      <c r="BO282" s="53"/>
      <c r="BP282" s="53"/>
      <c r="BQ282" s="53"/>
      <c r="BR282" s="53"/>
      <c r="BS282" s="53"/>
      <c r="BT282" s="53"/>
      <c r="BU282" s="53"/>
      <c r="BV282" s="53"/>
      <c r="BW282" s="53"/>
      <c r="BX282" s="53"/>
      <c r="BY282" s="53"/>
      <c r="BZ282" s="53"/>
      <c r="CA282" s="53"/>
      <c r="CB282" s="53"/>
      <c r="CC282" s="53"/>
      <c r="CD282" s="53"/>
      <c r="CE282" s="53"/>
      <c r="CF282" s="53"/>
      <c r="CG282" s="53"/>
      <c r="CH282" s="53"/>
      <c r="CI282" s="53"/>
      <c r="CJ282" s="53"/>
      <c r="CK282" s="53"/>
      <c r="CL282" s="53"/>
      <c r="CM282" s="53"/>
      <c r="CN282" s="53"/>
      <c r="CO282" s="53"/>
      <c r="CP282" s="53"/>
      <c r="CQ282" s="53"/>
      <c r="CR282" s="1"/>
      <c r="CS282" s="1"/>
      <c r="CT282" s="1"/>
      <c r="CU282" s="1"/>
    </row>
    <row r="283" spans="1:99" s="13" customFormat="1" ht="12" customHeight="1" x14ac:dyDescent="0.2">
      <c r="A283" s="65">
        <v>43509</v>
      </c>
      <c r="B283" s="1" t="s">
        <v>91</v>
      </c>
      <c r="C283" s="1" t="s">
        <v>70</v>
      </c>
      <c r="D283" s="60">
        <v>2010</v>
      </c>
      <c r="E283" s="76">
        <v>1</v>
      </c>
      <c r="F283" s="60">
        <v>84</v>
      </c>
      <c r="G283" s="60">
        <v>28</v>
      </c>
      <c r="H283" s="60" t="s">
        <v>50</v>
      </c>
      <c r="I283" s="60" t="s">
        <v>663</v>
      </c>
      <c r="J283" s="60" t="s">
        <v>61</v>
      </c>
      <c r="K283" s="60">
        <f>IF(J283="syllables",1,IF(J283="trigrams",2,IF(J283="strings",3,IF(J283="visual array",4,IF(J283="characters",5,IF(J283="letters",6,IF(J283="free forms",7,IF(J283="odors",8,IF(J283="words",9,IF(J283="pictures",10,IF(J283="object pictures",11,IF(J283="faces",12,IF(J283="names",13,IF(J283="idioms",14,IF(J283="grades",15,IF(J283="syllable-digit pairs",16,IF(J283="trigram-word pairs",17,IF(J283="word-digit pairs",18,IF(J283="English-Swahili pairs",19,IF(J283="spatial position",20,IF(J283="word pairs",21,IF(J283="word triads",22,IF(J283="generated words",23,IF(J283="word definition pairs",24,IF(J283="math problems",25,IF(J283="famous faces",26,IF(J283="famous names",27,IF(J283="famous voices",28,IF(J283="television programs",29,IF(J283="race horses",30,IF(J283="new vocabulary",31,IF(J283="sentences",32,IF(J283="concepts",33,IF(J283="ad slides",34,IF(J283="scenes",35,IF(J283="famous scenes",36,IF(J283="poems",37,IF(J283="walk",38,IF(J283="faces and events",39,IF(J283="events and names",40,IF(J283="flashbulb",41,IF(J283="stories",42,IF(J283="course material",43,IF(J283="autobiographical",44,IF(J283="novels",45,IF(J283="public events",46,"99"))))))))))))))))))))))))))))))))))))))))))))))</f>
        <v>42</v>
      </c>
      <c r="L283" s="60">
        <f>IF(J283="syllables",1,IF(J283="trigrams",1,IF(J283="strings",1,IF(J283="visual array",1,IF(J283="characters",1,IF(J283="letters",1,IF(J283="free forms",1,IF(J283="odors",2,IF(J283="words",2,IF(J283="pictures",2,IF(J283="object pictures",2,IF(J283="faces",2,IF(J283="names",2,IF(J283="idioms","2",IF(J283="grades",2,IF(J283="syllable-digit pairs",3,IF(J283="trigram-word pairs",3,IF(J283="word-digit pairs",3,IF(J283="English-Swahili pairs",3,IF(J283="spatial position",3,IF(J283="word pairs",4,IF(J283="word triads",4,IF(J283="generated words",4,IF(J283="word definition pairs",4,IF(J283="math problems",4,IF(J283="famous faces",4,IF(J283="famous names",4,IF(J283="famous voices",4,IF(J283="television programs",4,IF(J283="race horses",4,IF(J283="new vocabulary",4,IF(J283="sentences",5,IF(J283="concepts",5,IF(J283="ad slides",5,IF(J283="scenes",5,IF(J283="famous scenes",5,IF(J283="poems",6,IF(J283="walk",6,IF(J283="faces and events",6,IF(J283="events and names",6,IF(J283="flashbulb",7,IF(J283="stories",7,IF(J283="course material",7,IF(J283="autobiographical",7,IF(J283="novels",7,IF(J283="public events",7,"99"))))))))))))))))))))))))))))))))))))))))))))))</f>
        <v>7</v>
      </c>
      <c r="M283" s="60">
        <v>0</v>
      </c>
      <c r="N283" s="60">
        <v>4</v>
      </c>
      <c r="O283" s="60">
        <v>1</v>
      </c>
      <c r="P283" s="60" t="s">
        <v>92</v>
      </c>
      <c r="Q283" s="60" t="s">
        <v>174</v>
      </c>
      <c r="R283" s="60">
        <f>IF(Q283="Free Recall",1,IF(Q283="Cued Recall",2,IF(Q283="Recognition",3,IF(Q283="Multiple Choice",4,IF(Q283="Savings",5,IF(Q283="Stem Completion",6,IF(Q283="Fragment Completion",7,IF(Q283="anagram solution",8,IF(Q283="Matching",9,IF(Q283="Problem Solving",10,"99"))))))))))</f>
        <v>1</v>
      </c>
      <c r="S283" s="60" t="s">
        <v>15</v>
      </c>
      <c r="T283" s="59" t="s">
        <v>261</v>
      </c>
      <c r="U283" s="60">
        <f>IF(T283="within",1,0)</f>
        <v>0</v>
      </c>
      <c r="V283" s="59">
        <v>48</v>
      </c>
      <c r="W283" s="60">
        <f>F283*V283</f>
        <v>4032</v>
      </c>
      <c r="X283" s="60">
        <v>3</v>
      </c>
      <c r="Y283" s="76">
        <f>AV282</f>
        <v>1200</v>
      </c>
      <c r="Z283" s="60" t="s">
        <v>97</v>
      </c>
      <c r="AA283" s="60">
        <v>604800</v>
      </c>
      <c r="AB283" s="60" t="str">
        <f>IF(AA283&lt;60,"1",IF(AA283&lt;=43200,"2",IF(AA283&lt;=777600,"3","4")))</f>
        <v>3</v>
      </c>
      <c r="AC283" s="56">
        <f>AVERAGE(AV282:DA282)</f>
        <v>230800</v>
      </c>
      <c r="AD283" s="60" t="str">
        <f>IF(AC283&lt;60,"1",IF(AC283&lt;=43200,"2",IF(AC283&lt;=777600,"3","4")))</f>
        <v>3</v>
      </c>
      <c r="AE283" s="76">
        <f>AA283-Y283</f>
        <v>603600</v>
      </c>
      <c r="AF283" s="80">
        <f>AV283</f>
        <v>0.52600000000000002</v>
      </c>
      <c r="AG283" s="56">
        <f>((AW283-AV283)+(AX283-AW283))/2</f>
        <v>-7.9000000000000015E-2</v>
      </c>
      <c r="AH283" s="4"/>
      <c r="AI283" s="56">
        <f>RSQ(AV283:AX283,AV282:AX282)</f>
        <v>0.9936071203038136</v>
      </c>
      <c r="AJ283" s="109">
        <f>SLOPE(AV283:AX283,AV282:AX282)</f>
        <v>-2.7076202641335755E-7</v>
      </c>
      <c r="AK283" s="56">
        <f>INTERCEPT(AV283:AX283,AV282:AX282)</f>
        <v>0.53282520902953623</v>
      </c>
      <c r="AL283" s="56">
        <f>INDEX(LINEST(LN(AV283:AX283),LN(AV282:AX282),TRUE,TRUE),3,1)</f>
        <v>0.59116122874336929</v>
      </c>
      <c r="AM283" s="56">
        <f>INDEX(LINEST(LN(AV283:AX283),LN(AV282:AX282)),1)</f>
        <v>-4.8656392858362589E-2</v>
      </c>
      <c r="AN283" s="56">
        <f>EXP(INDEX(LINEST(LN(AV283:AX283),LN(AV282:AX282)),1,2))</f>
        <v>0.77723156194502485</v>
      </c>
      <c r="AO283" s="82">
        <f>INDEX(LINEST((AV283:AX283),LN(AV282:AX282),TRUE,TRUE),3,1)</f>
        <v>0.5989007001772092</v>
      </c>
      <c r="AP283" s="82">
        <f>INDEX(LINEST((AV283:AX283),LN(AV282:AX282)),1)</f>
        <v>-2.1573431696713535E-2</v>
      </c>
      <c r="AQ283" s="83">
        <f>INDEX(LINEST(LN(AV283:AX283),SQRT(AV282:AX282),TRUE,TRUE),3,1)</f>
        <v>0.90804873600990355</v>
      </c>
      <c r="AR283" s="116">
        <f>INDEX(LINEST(LN(AV283:AX283),SQRT((AV282:AX282))),1)</f>
        <v>-5.0899512654635037E-4</v>
      </c>
      <c r="AS283" s="84">
        <f>INDEX(LINEST(1/(AV283:AX283),1/(SQRT(AV282:AX282)),TRUE,TRUE),3,1)</f>
        <v>0.34557897982582991</v>
      </c>
      <c r="AT283" s="84">
        <f>INDEX(LINEST(1/(AV283:AX283),1/SQRT(AV282:AX282)),1)</f>
        <v>-17.693560044573399</v>
      </c>
      <c r="AU283" s="3"/>
      <c r="AV283" s="53">
        <v>0.52600000000000002</v>
      </c>
      <c r="AW283" s="53">
        <v>0.51700000000000002</v>
      </c>
      <c r="AX283" s="53">
        <v>0.36799999999999999</v>
      </c>
      <c r="AY283" s="53"/>
      <c r="AZ283" s="53"/>
      <c r="BA283" s="53"/>
      <c r="BB283" s="53"/>
      <c r="BC283" s="53"/>
      <c r="BD283" s="53"/>
      <c r="BE283" s="53"/>
      <c r="BF283" s="53"/>
      <c r="BG283" s="53"/>
      <c r="BH283" s="53"/>
      <c r="BI283" s="53"/>
      <c r="BJ283" s="53"/>
      <c r="BK283" s="53"/>
      <c r="BL283" s="53"/>
      <c r="BM283" s="53"/>
      <c r="BN283" s="53"/>
      <c r="BO283" s="53"/>
      <c r="BP283" s="53"/>
      <c r="BQ283" s="53"/>
      <c r="BR283" s="53"/>
      <c r="BS283" s="53"/>
      <c r="BT283" s="53"/>
      <c r="BU283" s="53"/>
      <c r="BV283" s="53"/>
      <c r="BW283" s="53"/>
      <c r="BX283" s="53"/>
      <c r="BY283" s="53"/>
      <c r="BZ283" s="53"/>
      <c r="CA283" s="53"/>
      <c r="CB283" s="53"/>
      <c r="CC283" s="53"/>
      <c r="CD283" s="53"/>
      <c r="CE283" s="53"/>
      <c r="CF283" s="53"/>
      <c r="CG283" s="53"/>
      <c r="CH283" s="53"/>
      <c r="CI283" s="53"/>
      <c r="CJ283" s="53"/>
      <c r="CK283" s="53"/>
      <c r="CL283" s="53"/>
      <c r="CM283" s="53"/>
      <c r="CN283" s="53"/>
      <c r="CO283" s="53"/>
      <c r="CP283" s="53"/>
      <c r="CQ283" s="53"/>
      <c r="CR283" s="1"/>
      <c r="CS283" s="1"/>
      <c r="CT283" s="1"/>
      <c r="CU283" s="1"/>
    </row>
    <row r="284" spans="1:99" s="13" customFormat="1" ht="12" customHeight="1" x14ac:dyDescent="0.2">
      <c r="A284" s="65">
        <v>43509</v>
      </c>
      <c r="B284" s="1"/>
      <c r="C284" s="1"/>
      <c r="D284" s="60"/>
      <c r="E284" s="76"/>
      <c r="F284" s="60"/>
      <c r="G284" s="60"/>
      <c r="H284" s="60"/>
      <c r="I284" s="60"/>
      <c r="J284" s="60"/>
      <c r="K284" s="64"/>
      <c r="L284" s="64"/>
      <c r="M284" s="60"/>
      <c r="N284" s="60"/>
      <c r="O284" s="60"/>
      <c r="P284" s="60"/>
      <c r="Q284" s="60"/>
      <c r="R284" s="60"/>
      <c r="S284" s="60"/>
      <c r="T284" s="60"/>
      <c r="U284" s="60"/>
      <c r="V284" s="60"/>
      <c r="W284" s="60"/>
      <c r="X284" s="60"/>
      <c r="Y284" s="76"/>
      <c r="Z284" s="60"/>
      <c r="AA284" s="60"/>
      <c r="AB284" s="60"/>
      <c r="AC284" s="60"/>
      <c r="AD284" s="60"/>
      <c r="AE284" s="60"/>
      <c r="AF284" s="80"/>
      <c r="AG284" s="56"/>
      <c r="AH284" s="4"/>
      <c r="AI284" s="56"/>
      <c r="AJ284" s="109"/>
      <c r="AK284" s="56"/>
      <c r="AL284" s="56"/>
      <c r="AM284" s="56"/>
      <c r="AN284" s="56"/>
      <c r="AO284" s="56"/>
      <c r="AP284" s="56"/>
      <c r="AQ284" s="56"/>
      <c r="AR284" s="109"/>
      <c r="AS284" s="56"/>
      <c r="AT284" s="56"/>
      <c r="AU284" s="4"/>
      <c r="AV284" s="25">
        <f>20*60</f>
        <v>1200</v>
      </c>
      <c r="AW284" s="25">
        <f>24*60*60*1</f>
        <v>86400</v>
      </c>
      <c r="AX284" s="25">
        <f>24*60*60*7</f>
        <v>604800</v>
      </c>
      <c r="AY284" s="53"/>
      <c r="AZ284" s="53"/>
      <c r="BA284" s="53"/>
      <c r="BB284" s="53"/>
      <c r="BC284" s="53"/>
      <c r="BD284" s="53"/>
      <c r="BE284" s="53"/>
      <c r="BF284" s="53"/>
      <c r="BG284" s="53"/>
      <c r="BH284" s="53"/>
      <c r="BI284" s="53"/>
      <c r="BJ284" s="53"/>
      <c r="BK284" s="53"/>
      <c r="BL284" s="53"/>
      <c r="BM284" s="53"/>
      <c r="BN284" s="53"/>
      <c r="BO284" s="53"/>
      <c r="BP284" s="53"/>
      <c r="BQ284" s="53"/>
      <c r="BR284" s="53"/>
      <c r="BS284" s="53"/>
      <c r="BT284" s="53"/>
      <c r="BU284" s="53"/>
      <c r="BV284" s="53"/>
      <c r="BW284" s="53"/>
      <c r="BX284" s="53"/>
      <c r="BY284" s="53"/>
      <c r="BZ284" s="53"/>
      <c r="CA284" s="53"/>
      <c r="CB284" s="53"/>
      <c r="CC284" s="53"/>
      <c r="CD284" s="53"/>
      <c r="CE284" s="53"/>
      <c r="CF284" s="53"/>
      <c r="CG284" s="53"/>
      <c r="CH284" s="53"/>
      <c r="CI284" s="53"/>
      <c r="CJ284" s="53"/>
      <c r="CK284" s="53"/>
      <c r="CL284" s="53"/>
      <c r="CM284" s="53"/>
      <c r="CN284" s="53"/>
      <c r="CO284" s="53"/>
      <c r="CP284" s="53"/>
      <c r="CQ284" s="53"/>
      <c r="CR284" s="1"/>
      <c r="CS284" s="1"/>
      <c r="CT284" s="1"/>
      <c r="CU284" s="1"/>
    </row>
    <row r="285" spans="1:99" s="13" customFormat="1" ht="12" customHeight="1" x14ac:dyDescent="0.2">
      <c r="A285" s="65">
        <v>43509</v>
      </c>
      <c r="B285" s="1" t="s">
        <v>91</v>
      </c>
      <c r="C285" s="1" t="s">
        <v>70</v>
      </c>
      <c r="D285" s="60">
        <v>2010</v>
      </c>
      <c r="E285" s="76">
        <v>1</v>
      </c>
      <c r="F285" s="60">
        <v>84</v>
      </c>
      <c r="G285" s="60">
        <v>28</v>
      </c>
      <c r="H285" s="60" t="s">
        <v>50</v>
      </c>
      <c r="I285" s="60" t="s">
        <v>664</v>
      </c>
      <c r="J285" s="60" t="s">
        <v>61</v>
      </c>
      <c r="K285" s="60">
        <f>IF(J285="syllables",1,IF(J285="trigrams",2,IF(J285="strings",3,IF(J285="visual array",4,IF(J285="characters",5,IF(J285="letters",6,IF(J285="free forms",7,IF(J285="odors",8,IF(J285="words",9,IF(J285="pictures",10,IF(J285="object pictures",11,IF(J285="faces",12,IF(J285="names",13,IF(J285="idioms",14,IF(J285="grades",15,IF(J285="syllable-digit pairs",16,IF(J285="trigram-word pairs",17,IF(J285="word-digit pairs",18,IF(J285="English-Swahili pairs",19,IF(J285="spatial position",20,IF(J285="word pairs",21,IF(J285="word triads",22,IF(J285="generated words",23,IF(J285="word definition pairs",24,IF(J285="math problems",25,IF(J285="famous faces",26,IF(J285="famous names",27,IF(J285="famous voices",28,IF(J285="television programs",29,IF(J285="race horses",30,IF(J285="new vocabulary",31,IF(J285="sentences",32,IF(J285="concepts",33,IF(J285="ad slides",34,IF(J285="scenes",35,IF(J285="famous scenes",36,IF(J285="poems",37,IF(J285="walk",38,IF(J285="faces and events",39,IF(J285="events and names",40,IF(J285="flashbulb",41,IF(J285="stories",42,IF(J285="course material",43,IF(J285="autobiographical",44,IF(J285="novels",45,IF(J285="public events",46,"99"))))))))))))))))))))))))))))))))))))))))))))))</f>
        <v>42</v>
      </c>
      <c r="L285" s="60">
        <f>IF(J285="syllables",1,IF(J285="trigrams",1,IF(J285="strings",1,IF(J285="visual array",1,IF(J285="characters",1,IF(J285="letters",1,IF(J285="free forms",1,IF(J285="odors",2,IF(J285="words",2,IF(J285="pictures",2,IF(J285="object pictures",2,IF(J285="faces",2,IF(J285="names",2,IF(J285="idioms","2",IF(J285="grades",2,IF(J285="syllable-digit pairs",3,IF(J285="trigram-word pairs",3,IF(J285="word-digit pairs",3,IF(J285="English-Swahili pairs",3,IF(J285="spatial position",3,IF(J285="word pairs",4,IF(J285="word triads",4,IF(J285="generated words",4,IF(J285="word definition pairs",4,IF(J285="math problems",4,IF(J285="famous faces",4,IF(J285="famous names",4,IF(J285="famous voices",4,IF(J285="television programs",4,IF(J285="race horses",4,IF(J285="new vocabulary",4,IF(J285="sentences",5,IF(J285="concepts",5,IF(J285="ad slides",5,IF(J285="scenes",5,IF(J285="famous scenes",5,IF(J285="poems",6,IF(J285="walk",6,IF(J285="faces and events",6,IF(J285="events and names",6,IF(J285="flashbulb",7,IF(J285="stories",7,IF(J285="course material",7,IF(J285="autobiographical",7,IF(J285="novels",7,IF(J285="public events",7,"99"))))))))))))))))))))))))))))))))))))))))))))))</f>
        <v>7</v>
      </c>
      <c r="M285" s="60">
        <v>0</v>
      </c>
      <c r="N285" s="60">
        <v>3</v>
      </c>
      <c r="O285" s="60">
        <v>1</v>
      </c>
      <c r="P285" s="60" t="s">
        <v>92</v>
      </c>
      <c r="Q285" s="60" t="s">
        <v>174</v>
      </c>
      <c r="R285" s="60">
        <f>IF(Q285="Free Recall",1,IF(Q285="Cued Recall",2,IF(Q285="Recognition",3,IF(Q285="Multiple Choice",4,IF(Q285="Savings",5,IF(Q285="Stem Completion",6,IF(Q285="Fragment Completion",7,IF(Q285="anagram solution",8,IF(Q285="Matching",9,IF(Q285="Problem Solving",10,"99"))))))))))</f>
        <v>1</v>
      </c>
      <c r="S285" s="60" t="s">
        <v>15</v>
      </c>
      <c r="T285" s="59" t="s">
        <v>261</v>
      </c>
      <c r="U285" s="60">
        <f>IF(T285="within",1,0)</f>
        <v>0</v>
      </c>
      <c r="V285" s="59">
        <v>48</v>
      </c>
      <c r="W285" s="60">
        <f>F285*V285</f>
        <v>4032</v>
      </c>
      <c r="X285" s="60">
        <v>3</v>
      </c>
      <c r="Y285" s="76">
        <f>AV284</f>
        <v>1200</v>
      </c>
      <c r="Z285" s="60" t="s">
        <v>97</v>
      </c>
      <c r="AA285" s="60">
        <v>604800</v>
      </c>
      <c r="AB285" s="60" t="str">
        <f>IF(AA285&lt;60,"1",IF(AA285&lt;=43200,"2",IF(AA285&lt;=777600,"3","4")))</f>
        <v>3</v>
      </c>
      <c r="AC285" s="56">
        <f>AVERAGE(AV284:DA284)</f>
        <v>230800</v>
      </c>
      <c r="AD285" s="60" t="str">
        <f>IF(AC285&lt;60,"1",IF(AC285&lt;=43200,"2",IF(AC285&lt;=777600,"3","4")))</f>
        <v>3</v>
      </c>
      <c r="AE285" s="76">
        <f>AA285-Y285</f>
        <v>603600</v>
      </c>
      <c r="AF285" s="80">
        <f>AV285</f>
        <v>0.54200000000000004</v>
      </c>
      <c r="AG285" s="56">
        <f>((AW285-AV285)+(AX285-AW285))/2</f>
        <v>-0.15200000000000002</v>
      </c>
      <c r="AH285" s="4"/>
      <c r="AI285" s="56">
        <f>RSQ(AV285:AX285,AV284:AX284)</f>
        <v>0.9219648966041839</v>
      </c>
      <c r="AJ285" s="109">
        <f>SLOPE(AV285:AX285,AV284:AX284)</f>
        <v>-4.4946222775936237E-7</v>
      </c>
      <c r="AK285" s="56">
        <f>INTERCEPT(AV285:AX285,AV284:AX284)</f>
        <v>0.50340254883352753</v>
      </c>
      <c r="AL285" s="56">
        <f>INDEX(LINEST(LN(AV285:AX285),LN(AV284:AX284),TRUE,TRUE),3,1)</f>
        <v>0.82930688571354905</v>
      </c>
      <c r="AM285" s="56">
        <f>INDEX(LINEST(LN(AV285:AX285),LN(AV284:AX284)),1)</f>
        <v>-0.12044284994417628</v>
      </c>
      <c r="AN285" s="56">
        <f>EXP(INDEX(LINEST(LN(AV285:AX285),LN(AV284:AX284)),1,2))</f>
        <v>1.3537103161744559</v>
      </c>
      <c r="AO285" s="82">
        <f>INDEX(LINEST((AV285:AX285),LN(AV284:AX284),TRUE,TRUE),3,1)</f>
        <v>0.89943841856676909</v>
      </c>
      <c r="AP285" s="82">
        <f>INDEX(LINEST((AV285:AX285),LN(AV284:AX284)),1)</f>
        <v>-4.5559939592300557E-2</v>
      </c>
      <c r="AQ285" s="83">
        <f>INDEX(LINEST(LN(AV285:AX285),SQRT(AV284:AX284),TRUE,TRUE),3,1)</f>
        <v>0.99837905987354936</v>
      </c>
      <c r="AR285" s="116">
        <f>INDEX(LINEST(LN(AV285:AX285),SQRT((AV284:AX284))),1)</f>
        <v>-1.115432326382016E-3</v>
      </c>
      <c r="AS285" s="84">
        <f>INDEX(LINEST(1/(AV285:AX285),1/(SQRT(AV284:AX284)),TRUE,TRUE),3,1)</f>
        <v>0.52836658035672579</v>
      </c>
      <c r="AT285" s="84">
        <f>INDEX(LINEST(1/(AV285:AX285),1/SQRT(AV284:AX284)),1)</f>
        <v>-58.451788278513547</v>
      </c>
      <c r="AU285" s="3"/>
      <c r="AV285" s="53">
        <v>0.54200000000000004</v>
      </c>
      <c r="AW285" s="53">
        <v>0.41899999999999998</v>
      </c>
      <c r="AX285" s="53">
        <v>0.23799999999999999</v>
      </c>
      <c r="AY285" s="53"/>
      <c r="AZ285" s="53"/>
      <c r="BA285" s="53"/>
      <c r="BB285" s="53"/>
      <c r="BC285" s="53"/>
      <c r="BD285" s="53"/>
      <c r="BE285" s="53"/>
      <c r="BF285" s="53"/>
      <c r="BG285" s="53"/>
      <c r="BH285" s="53"/>
      <c r="BI285" s="53"/>
      <c r="BJ285" s="53"/>
      <c r="BK285" s="53"/>
      <c r="BL285" s="53"/>
      <c r="BM285" s="53"/>
      <c r="BN285" s="53"/>
      <c r="BO285" s="53"/>
      <c r="BP285" s="53"/>
      <c r="BQ285" s="53"/>
      <c r="BR285" s="53"/>
      <c r="BS285" s="53"/>
      <c r="BT285" s="53"/>
      <c r="BU285" s="53"/>
      <c r="BV285" s="53"/>
      <c r="BW285" s="53"/>
      <c r="BX285" s="53"/>
      <c r="BY285" s="53"/>
      <c r="BZ285" s="53"/>
      <c r="CA285" s="53"/>
      <c r="CB285" s="53"/>
      <c r="CC285" s="53"/>
      <c r="CD285" s="53"/>
      <c r="CE285" s="53"/>
      <c r="CF285" s="53"/>
      <c r="CG285" s="53"/>
      <c r="CH285" s="53"/>
      <c r="CI285" s="53"/>
      <c r="CJ285" s="53"/>
      <c r="CK285" s="53"/>
      <c r="CL285" s="53"/>
      <c r="CM285" s="53"/>
      <c r="CN285" s="53"/>
      <c r="CO285" s="53"/>
      <c r="CP285" s="53"/>
      <c r="CQ285" s="53"/>
      <c r="CR285" s="1"/>
      <c r="CS285" s="1"/>
      <c r="CT285" s="1"/>
      <c r="CU285" s="1"/>
    </row>
    <row r="286" spans="1:99" ht="12" customHeight="1" x14ac:dyDescent="0.2">
      <c r="A286" s="68">
        <v>43509</v>
      </c>
      <c r="B286" s="94"/>
      <c r="C286" s="94"/>
      <c r="D286" s="92"/>
      <c r="E286" s="105"/>
      <c r="F286" s="92"/>
      <c r="G286" s="92"/>
      <c r="H286" s="92"/>
      <c r="I286" s="92"/>
      <c r="J286" s="92"/>
      <c r="K286" s="107"/>
      <c r="L286" s="107"/>
      <c r="M286" s="92"/>
      <c r="N286" s="92"/>
      <c r="O286" s="92"/>
      <c r="P286" s="92"/>
      <c r="Q286" s="92"/>
      <c r="R286" s="69"/>
      <c r="S286" s="92"/>
      <c r="T286" s="92"/>
      <c r="U286" s="69"/>
      <c r="V286" s="92"/>
      <c r="W286" s="69"/>
      <c r="X286" s="92"/>
      <c r="Y286" s="87"/>
      <c r="Z286" s="92"/>
      <c r="AA286" s="92"/>
      <c r="AB286" s="69"/>
      <c r="AC286" s="69"/>
      <c r="AD286" s="69"/>
      <c r="AE286" s="69"/>
      <c r="AF286" s="88"/>
      <c r="AG286" s="72"/>
      <c r="AH286" s="4"/>
      <c r="AI286" s="108"/>
      <c r="AJ286" s="113"/>
      <c r="AK286" s="108"/>
      <c r="AL286" s="108"/>
      <c r="AM286" s="108"/>
      <c r="AN286" s="108"/>
      <c r="AO286" s="108"/>
      <c r="AP286" s="108"/>
      <c r="AQ286" s="108"/>
      <c r="AR286" s="113"/>
      <c r="AS286" s="108"/>
      <c r="AT286" s="108"/>
      <c r="AU286" s="3"/>
      <c r="AV286" s="98">
        <v>300</v>
      </c>
      <c r="AW286" s="98">
        <f>2*24*3600</f>
        <v>172800</v>
      </c>
      <c r="AX286" s="98">
        <f>7*24*3600</f>
        <v>604800</v>
      </c>
      <c r="AY286" s="11" t="s">
        <v>508</v>
      </c>
      <c r="AZ286" s="11"/>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c r="BY286" s="11"/>
      <c r="BZ286" s="11"/>
      <c r="CA286" s="11"/>
      <c r="CB286" s="11"/>
      <c r="CC286" s="11"/>
      <c r="CD286" s="11"/>
      <c r="CE286" s="11"/>
      <c r="CF286" s="11"/>
      <c r="CG286" s="11"/>
      <c r="CH286" s="11"/>
      <c r="CI286" s="11"/>
      <c r="CJ286" s="11"/>
      <c r="CK286" s="11"/>
      <c r="CL286" s="11"/>
      <c r="CM286" s="11"/>
      <c r="CN286" s="11"/>
      <c r="CO286" s="11"/>
      <c r="CP286" s="11"/>
      <c r="CQ286" s="11"/>
      <c r="CR286" s="15"/>
      <c r="CS286" s="15"/>
      <c r="CT286" s="15"/>
      <c r="CU286" s="15"/>
    </row>
    <row r="287" spans="1:99" ht="12" customHeight="1" x14ac:dyDescent="0.2">
      <c r="A287" s="68">
        <v>43509</v>
      </c>
      <c r="B287" s="127" t="s">
        <v>266</v>
      </c>
      <c r="C287" s="94" t="s">
        <v>78</v>
      </c>
      <c r="D287" s="92">
        <v>1987</v>
      </c>
      <c r="E287" s="105">
        <v>1</v>
      </c>
      <c r="F287" s="92">
        <v>59</v>
      </c>
      <c r="G287" s="92">
        <v>19.7</v>
      </c>
      <c r="H287" s="92" t="s">
        <v>22</v>
      </c>
      <c r="I287" s="92"/>
      <c r="J287" s="92" t="s">
        <v>172</v>
      </c>
      <c r="K287" s="69">
        <f>IF(J287="syllables",1,IF(J287="trigrams",2,IF(J287="strings",3,IF(J287="visual array",4,IF(J287="characters",5,IF(J287="letters",6,IF(J287="free forms",7,IF(J287="odors",8,IF(J287="words",9,IF(J287="pictures",10,IF(J287="object pictures",11,IF(J287="faces",12,IF(J287="names",13,IF(J287="idioms",14,IF(J287="grades",15,IF(J287="syllable-digit pairs",16,IF(J287="trigram-word pairs",17,IF(J287="word-digit pairs",18,IF(J287="English-Swahili pairs",19,IF(J287="spatial position",20,IF(J287="word pairs",21,IF(J287="word triads",22,IF(J287="generated words",23,IF(J287="word definition pairs",24,IF(J287="math problems",25,IF(J287="famous faces",26,IF(J287="famous names",27,IF(J287="famous voices",28,IF(J287="television programs",29,IF(J287="race horses",30,IF(J287="new vocabulary",31,IF(J287="sentences",32,IF(J287="concepts",33,IF(J287="ad slides",34,IF(J287="scenes",35,IF(J287="famous scenes",36,IF(J287="poems",37,IF(J287="walk",38,IF(J287="faces and events",39,IF(J287="events and names",40,IF(J287="flashbulb",41,IF(J287="stories",42,IF(J287="course material",43,IF(J287="autobiographical",44,IF(J287="novels",45,IF(J287="public events",46,"99"))))))))))))))))))))))))))))))))))))))))))))))</f>
        <v>12</v>
      </c>
      <c r="L287" s="69">
        <f>IF(J287="syllables",1,IF(J287="trigrams",1,IF(J287="strings",1,IF(J287="visual array",1,IF(J287="characters",1,IF(J287="letters",1,IF(J287="free forms",1,IF(J287="odors",2,IF(J287="words",2,IF(J287="pictures",2,IF(J287="object pictures",2,IF(J287="faces",2,IF(J287="names",2,IF(J287="idioms","2",IF(J287="grades",2,IF(J287="syllable-digit pairs",3,IF(J287="trigram-word pairs",3,IF(J287="word-digit pairs",3,IF(J287="English-Swahili pairs",3,IF(J287="spatial position",3,IF(J287="word pairs",4,IF(J287="word triads",4,IF(J287="generated words",4,IF(J287="word definition pairs",4,IF(J287="math problems",4,IF(J287="famous faces",4,IF(J287="famous names",4,IF(J287="famous voices",4,IF(J287="television programs",4,IF(J287="race horses",4,IF(J287="new vocabulary",4,IF(J287="sentences",5,IF(J287="concepts",5,IF(J287="ad slides",5,IF(J287="scenes",5,IF(J287="famous scenes",5,IF(J287="poems",6,IF(J287="walk",6,IF(J287="faces and events",6,IF(J287="events and names",6,IF(J287="flashbulb",7,IF(J287="stories",7,IF(J287="course material",7,IF(J287="autobiographical",7,IF(J287="novels",7,IF(J287="public events",7,"99"))))))))))))))))))))))))))))))))))))))))))))))</f>
        <v>2</v>
      </c>
      <c r="M287" s="92">
        <v>0</v>
      </c>
      <c r="N287" s="92">
        <v>1</v>
      </c>
      <c r="O287" s="92">
        <v>0</v>
      </c>
      <c r="P287" s="92"/>
      <c r="Q287" s="92" t="s">
        <v>34</v>
      </c>
      <c r="R287" s="69">
        <f>IF(Q287="Free Recall",1,IF(Q287="Cued Recall",2,IF(Q287="Recognition",3,IF(Q287="Multiple Choice",4,IF(Q287="Savings",5,IF(Q287="Stem Completion",6,IF(Q287="Fragment Completion",7,IF(Q287="anagram solution",8,IF(Q287="Matching",9,IF(Q287="Problem Solving",10,"99"))))))))))</f>
        <v>3</v>
      </c>
      <c r="S287" s="92" t="s">
        <v>15</v>
      </c>
      <c r="T287" s="92" t="s">
        <v>261</v>
      </c>
      <c r="U287" s="69">
        <f>IF(T287="within",1,0)</f>
        <v>0</v>
      </c>
      <c r="V287" s="92">
        <v>32</v>
      </c>
      <c r="W287" s="69">
        <f>F287*V287</f>
        <v>1888</v>
      </c>
      <c r="X287" s="92">
        <v>3</v>
      </c>
      <c r="Y287" s="87">
        <f>AV286</f>
        <v>300</v>
      </c>
      <c r="Z287" s="92" t="s">
        <v>97</v>
      </c>
      <c r="AA287" s="92">
        <f>7*24*3600</f>
        <v>604800</v>
      </c>
      <c r="AB287" s="69" t="str">
        <f>IF(AA287&lt;60,"1",IF(AA287&lt;=43200,"2",IF(AA287&lt;=777600,"3","4")))</f>
        <v>3</v>
      </c>
      <c r="AC287" s="72">
        <f>AVERAGE(AV286:DA286)</f>
        <v>259300</v>
      </c>
      <c r="AD287" s="69" t="str">
        <f>IF(AC287&lt;60,"1",IF(AC287&lt;=43200,"2",IF(AC287&lt;=777600,"3","4")))</f>
        <v>3</v>
      </c>
      <c r="AE287" s="87">
        <f>AA287-Y287</f>
        <v>604500</v>
      </c>
      <c r="AF287" s="88">
        <f>AV287</f>
        <v>0.66</v>
      </c>
      <c r="AG287" s="72">
        <f>((AW287-AV287)+(AX287-AW287))/2</f>
        <v>-0.11000000000000001</v>
      </c>
      <c r="AH287" s="4"/>
      <c r="AI287" s="72">
        <f>RSQ(AV287:AX287,AV286:AX286)</f>
        <v>0.91525444869696848</v>
      </c>
      <c r="AJ287" s="110">
        <f>SLOPE(AV287:AX287,AV286:AX286)</f>
        <v>-3.3841497214251277E-7</v>
      </c>
      <c r="AK287" s="72">
        <f>INTERCEPT(AV287:AX287,AV286:AX286)</f>
        <v>0.63441766894322027</v>
      </c>
      <c r="AL287" s="72">
        <f>INDEX(LINEST(LN(AV287:AX287),LN(AV286:AX286),TRUE,TRUE),3,1)</f>
        <v>0.86562266443730396</v>
      </c>
      <c r="AM287" s="72">
        <f>INDEX(LINEST(LN(AV287:AX287),LN(AV286:AX286)),1)</f>
        <v>-4.623442866854223E-2</v>
      </c>
      <c r="AN287" s="72">
        <f>EXP(INDEX(LINEST(LN(AV287:AX287),LN(AV286:AX286)),1,2))</f>
        <v>0.87055124156505437</v>
      </c>
      <c r="AO287" s="89">
        <f>INDEX(LINEST((AV287:AX287),LN(AV286:AX286),TRUE,TRUE),3,1)</f>
        <v>0.90282324083473775</v>
      </c>
      <c r="AP287" s="89">
        <f>INDEX(LINEST((AV287:AX287),LN(AV286:AX286)),1)</f>
        <v>-2.5654386709831563E-2</v>
      </c>
      <c r="AQ287" s="90">
        <f>INDEX(LINEST(LN(AV287:AX287),SQRT(AV286:AX286),TRUE,TRUE),3,1)</f>
        <v>0.99887921280820136</v>
      </c>
      <c r="AR287" s="117">
        <f>INDEX(LINEST(LN(AV287:AX287),SQRT((AV286:AX286))),1)</f>
        <v>-5.3275536179431455E-4</v>
      </c>
      <c r="AS287" s="91">
        <f>INDEX(LINEST(1/(AV287:AX287),1/(SQRT(AV286:AX286)),TRUE,TRUE),3,1)</f>
        <v>0.70851409109736041</v>
      </c>
      <c r="AT287" s="91">
        <f>INDEX(LINEST(1/(AV287:AX287),1/SQRT(AV286:AX286)),1)</f>
        <v>-9.899854636132039</v>
      </c>
      <c r="AU287" s="3"/>
      <c r="AV287" s="97">
        <v>0.66</v>
      </c>
      <c r="AW287" s="97">
        <v>0.54</v>
      </c>
      <c r="AX287" s="97">
        <v>0.44</v>
      </c>
      <c r="AY287" s="11"/>
      <c r="AZ287" s="11"/>
      <c r="BA287" s="11"/>
      <c r="BB287" s="11"/>
      <c r="BC287" s="11"/>
      <c r="BD287" s="11"/>
      <c r="BE287" s="11"/>
      <c r="BF287" s="11"/>
      <c r="BG287" s="11"/>
      <c r="BH287" s="11"/>
      <c r="BI287" s="11"/>
      <c r="BJ287" s="11"/>
      <c r="BK287" s="11"/>
      <c r="BL287" s="11"/>
      <c r="BM287" s="11"/>
      <c r="BN287" s="11"/>
      <c r="BO287" s="11"/>
      <c r="BP287" s="11"/>
      <c r="BQ287" s="11"/>
      <c r="BR287" s="11"/>
      <c r="BS287" s="11"/>
      <c r="BT287" s="11"/>
      <c r="BU287" s="11"/>
      <c r="BV287" s="11"/>
      <c r="BW287" s="11"/>
      <c r="BX287" s="11"/>
      <c r="BY287" s="11"/>
      <c r="BZ287" s="11"/>
      <c r="CA287" s="11"/>
      <c r="CB287" s="11"/>
      <c r="CC287" s="11"/>
      <c r="CD287" s="11"/>
      <c r="CE287" s="11"/>
      <c r="CF287" s="11"/>
      <c r="CG287" s="11"/>
      <c r="CH287" s="11"/>
      <c r="CI287" s="11"/>
      <c r="CJ287" s="11"/>
      <c r="CK287" s="11"/>
      <c r="CL287" s="11"/>
      <c r="CM287" s="11"/>
      <c r="CN287" s="11"/>
      <c r="CO287" s="11"/>
      <c r="CP287" s="11"/>
      <c r="CQ287" s="11"/>
      <c r="CR287" s="15"/>
      <c r="CS287" s="15"/>
      <c r="CT287" s="15"/>
      <c r="CU287" s="15"/>
    </row>
    <row r="288" spans="1:99" s="13" customFormat="1" ht="12" customHeight="1" x14ac:dyDescent="0.2">
      <c r="A288" s="65">
        <v>43509</v>
      </c>
      <c r="B288" s="1"/>
      <c r="C288" s="1"/>
      <c r="D288" s="60"/>
      <c r="E288" s="76"/>
      <c r="F288" s="60"/>
      <c r="G288" s="60"/>
      <c r="H288" s="60"/>
      <c r="I288" s="60"/>
      <c r="J288" s="60"/>
      <c r="K288" s="64"/>
      <c r="L288" s="64"/>
      <c r="M288" s="60"/>
      <c r="N288" s="60"/>
      <c r="O288" s="60"/>
      <c r="P288" s="60"/>
      <c r="Q288" s="60"/>
      <c r="R288" s="60"/>
      <c r="S288" s="60"/>
      <c r="T288" s="60"/>
      <c r="U288" s="60"/>
      <c r="V288" s="60"/>
      <c r="W288" s="60"/>
      <c r="X288" s="60"/>
      <c r="Y288" s="76"/>
      <c r="Z288" s="60"/>
      <c r="AA288" s="60"/>
      <c r="AB288" s="60"/>
      <c r="AC288" s="60"/>
      <c r="AD288" s="60"/>
      <c r="AE288" s="60"/>
      <c r="AF288" s="80"/>
      <c r="AG288" s="56"/>
      <c r="AH288" s="4"/>
      <c r="AI288" s="56"/>
      <c r="AJ288" s="109"/>
      <c r="AK288" s="56"/>
      <c r="AL288" s="56"/>
      <c r="AM288" s="56"/>
      <c r="AN288" s="56"/>
      <c r="AO288" s="56"/>
      <c r="AP288" s="56"/>
      <c r="AQ288" s="56"/>
      <c r="AR288" s="109"/>
      <c r="AS288" s="56"/>
      <c r="AT288" s="56"/>
      <c r="AU288" s="4"/>
      <c r="AV288" s="25">
        <v>800</v>
      </c>
      <c r="AW288" s="25">
        <f>60*60*2</f>
        <v>7200</v>
      </c>
      <c r="AX288" s="25">
        <f>60*60*24</f>
        <v>86400</v>
      </c>
      <c r="AY288" s="11" t="s">
        <v>509</v>
      </c>
      <c r="AZ288" s="11"/>
      <c r="BA288" s="53"/>
      <c r="BB288" s="53"/>
      <c r="BC288" s="53"/>
      <c r="BD288" s="53"/>
      <c r="BE288" s="53"/>
      <c r="BF288" s="53"/>
      <c r="BG288" s="53"/>
      <c r="BH288" s="53"/>
      <c r="BI288" s="53"/>
      <c r="BJ288" s="53"/>
      <c r="BK288" s="53"/>
      <c r="BL288" s="53"/>
      <c r="BM288" s="53"/>
      <c r="BN288" s="53"/>
      <c r="BO288" s="53"/>
      <c r="BP288" s="53"/>
      <c r="BQ288" s="53"/>
      <c r="BR288" s="53"/>
      <c r="BS288" s="53"/>
      <c r="BT288" s="53"/>
      <c r="BU288" s="53"/>
      <c r="BV288" s="53"/>
      <c r="BW288" s="53"/>
      <c r="BX288" s="53"/>
      <c r="BY288" s="53"/>
      <c r="BZ288" s="53"/>
      <c r="CA288" s="53"/>
      <c r="CB288" s="53"/>
      <c r="CC288" s="53"/>
      <c r="CD288" s="53"/>
      <c r="CE288" s="53"/>
      <c r="CF288" s="53"/>
      <c r="CG288" s="53"/>
      <c r="CH288" s="53"/>
      <c r="CI288" s="53"/>
      <c r="CJ288" s="53"/>
      <c r="CK288" s="53"/>
      <c r="CL288" s="53"/>
      <c r="CM288" s="53"/>
      <c r="CN288" s="53"/>
      <c r="CO288" s="53"/>
      <c r="CP288" s="53"/>
      <c r="CQ288" s="53"/>
      <c r="CR288" s="1"/>
      <c r="CS288" s="1"/>
      <c r="CT288" s="1"/>
      <c r="CU288" s="1"/>
    </row>
    <row r="289" spans="1:99" s="13" customFormat="1" ht="12" customHeight="1" x14ac:dyDescent="0.2">
      <c r="A289" s="65">
        <v>43509</v>
      </c>
      <c r="B289" s="1" t="s">
        <v>77</v>
      </c>
      <c r="C289" s="1" t="s">
        <v>78</v>
      </c>
      <c r="D289" s="60">
        <v>1990</v>
      </c>
      <c r="E289" s="76">
        <v>1</v>
      </c>
      <c r="F289" s="60">
        <v>48</v>
      </c>
      <c r="G289" s="60">
        <v>9.3000000000000007</v>
      </c>
      <c r="H289" s="60" t="s">
        <v>50</v>
      </c>
      <c r="I289" s="60" t="s">
        <v>665</v>
      </c>
      <c r="J289" s="60" t="s">
        <v>29</v>
      </c>
      <c r="K289" s="60">
        <f>IF(J289="syllables",1,IF(J289="trigrams",2,IF(J289="strings",3,IF(J289="visual array",4,IF(J289="characters",5,IF(J289="letters",6,IF(J289="free forms",7,IF(J289="odors",8,IF(J289="words",9,IF(J289="pictures",10,IF(J289="object pictures",11,IF(J289="faces",12,IF(J289="names",13,IF(J289="idioms",14,IF(J289="grades",15,IF(J289="syllable-digit pairs",16,IF(J289="trigram-word pairs",17,IF(J289="word-digit pairs",18,IF(J289="English-Swahili pairs",19,IF(J289="spatial position",20,IF(J289="word pairs",21,IF(J289="word triads",22,IF(J289="generated words",23,IF(J289="word definition pairs",24,IF(J289="math problems",25,IF(J289="famous faces",26,IF(J289="famous names",27,IF(J289="famous voices",28,IF(J289="television programs",29,IF(J289="race horses",30,IF(J289="new vocabulary",31,IF(J289="sentences",32,IF(J289="concepts",33,IF(J289="ad slides",34,IF(J289="scenes",35,IF(J289="famous scenes",36,IF(J289="poems",37,IF(J289="walk",38,IF(J289="faces and events",39,IF(J289="events and names",40,IF(J289="flashbulb",41,IF(J289="stories",42,IF(J289="course material",43,IF(J289="autobiographical",44,IF(J289="novels",45,IF(J289="public events",46,"99"))))))))))))))))))))))))))))))))))))))))))))))</f>
        <v>9</v>
      </c>
      <c r="L289" s="60">
        <f>IF(J289="syllables",1,IF(J289="trigrams",1,IF(J289="strings",1,IF(J289="visual array",1,IF(J289="characters",1,IF(J289="letters",1,IF(J289="free forms",1,IF(J289="odors",2,IF(J289="words",2,IF(J289="pictures",2,IF(J289="object pictures",2,IF(J289="faces",2,IF(J289="names",2,IF(J289="idioms","2",IF(J289="grades",2,IF(J289="syllable-digit pairs",3,IF(J289="trigram-word pairs",3,IF(J289="word-digit pairs",3,IF(J289="English-Swahili pairs",3,IF(J289="spatial position",3,IF(J289="word pairs",4,IF(J289="word triads",4,IF(J289="generated words",4,IF(J289="word definition pairs",4,IF(J289="math problems",4,IF(J289="famous faces",4,IF(J289="famous names",4,IF(J289="famous voices",4,IF(J289="television programs",4,IF(J289="race horses",4,IF(J289="new vocabulary",4,IF(J289="sentences",5,IF(J289="concepts",5,IF(J289="ad slides",5,IF(J289="scenes",5,IF(J289="famous scenes",5,IF(J289="poems",6,IF(J289="walk",6,IF(J289="faces and events",6,IF(J289="events and names",6,IF(J289="flashbulb",7,IF(J289="stories",7,IF(J289="course material",7,IF(J289="autobiographical",7,IF(J289="novels",7,IF(J289="public events",7,"99"))))))))))))))))))))))))))))))))))))))))))))))</f>
        <v>2</v>
      </c>
      <c r="M289" s="60">
        <v>1</v>
      </c>
      <c r="N289" s="60">
        <v>2</v>
      </c>
      <c r="O289" s="60">
        <v>0</v>
      </c>
      <c r="P289" s="60"/>
      <c r="Q289" s="60" t="s">
        <v>14</v>
      </c>
      <c r="R289" s="60">
        <f>IF(Q289="Free Recall",1,IF(Q289="Cued Recall",2,IF(Q289="Recognition",3,IF(Q289="Multiple Choice",4,IF(Q289="Savings",5,IF(Q289="Stem Completion",6,IF(Q289="Fragment Completion",7,IF(Q289="anagram solution",8,IF(Q289="Matching",9,IF(Q289="Problem Solving",10,"99"))))))))))</f>
        <v>6</v>
      </c>
      <c r="S289" s="59" t="s">
        <v>15</v>
      </c>
      <c r="T289" s="59" t="s">
        <v>261</v>
      </c>
      <c r="U289" s="60">
        <f>IF(T289="within",1,0)</f>
        <v>0</v>
      </c>
      <c r="V289" s="59">
        <v>40</v>
      </c>
      <c r="W289" s="60">
        <f>F289*V289</f>
        <v>1920</v>
      </c>
      <c r="X289" s="60">
        <v>3</v>
      </c>
      <c r="Y289" s="76">
        <f>AV288</f>
        <v>800</v>
      </c>
      <c r="Z289" s="60" t="s">
        <v>79</v>
      </c>
      <c r="AA289" s="60">
        <v>86400</v>
      </c>
      <c r="AB289" s="60" t="str">
        <f>IF(AA289&lt;60,"1",IF(AA289&lt;=43200,"2",IF(AA289&lt;=777600,"3","4")))</f>
        <v>3</v>
      </c>
      <c r="AC289" s="56">
        <f>AVERAGE(AV288:DA288)</f>
        <v>31466.666666666668</v>
      </c>
      <c r="AD289" s="60" t="str">
        <f>IF(AC289&lt;60,"1",IF(AC289&lt;=43200,"2",IF(AC289&lt;=777600,"3","4")))</f>
        <v>2</v>
      </c>
      <c r="AE289" s="76">
        <f>AA289-Y289</f>
        <v>85600</v>
      </c>
      <c r="AF289" s="80">
        <f>AV289</f>
        <v>0.4</v>
      </c>
      <c r="AG289" s="56">
        <f>((AW289-AV289)+(AX289-AW289))/2</f>
        <v>-0.11000000000000001</v>
      </c>
      <c r="AH289" s="4"/>
      <c r="AI289" s="56">
        <f>RSQ(AV289:AX289,AV288:AX288)</f>
        <v>0.16317386328856487</v>
      </c>
      <c r="AJ289" s="109">
        <f>SLOPE(AV289:AX289,AV288:AX288)</f>
        <v>-1.2169231491038756E-6</v>
      </c>
      <c r="AK289" s="56">
        <f>INTERCEPT(AV289:AX289,AV288:AX288)</f>
        <v>0.27495918175846862</v>
      </c>
      <c r="AL289" s="56">
        <f>INDEX(LINEST(LN(AV289:AX289),LN(AV288:AX288),TRUE,TRUE),3,1)</f>
        <v>0.44127469128245894</v>
      </c>
      <c r="AM289" s="56">
        <f>INDEX(LINEST(LN(AV289:AX289),LN(AV288:AX288)),1)</f>
        <v>-0.16399742349111279</v>
      </c>
      <c r="AN289" s="56">
        <f>EXP(INDEX(LINEST(LN(AV289:AX289),LN(AV288:AX288)),1,2))</f>
        <v>0.91871558586536695</v>
      </c>
      <c r="AO289" s="82">
        <f>INDEX(LINEST((AV289:AX289),LN(AV288:AX288),TRUE,TRUE),3,1)</f>
        <v>0.55131652037969248</v>
      </c>
      <c r="AP289" s="82">
        <f>INDEX(LINEST((AV289:AX289),LN(AV288:AX288)),1)</f>
        <v>-4.5530092130187064E-2</v>
      </c>
      <c r="AQ289" s="83">
        <f>INDEX(LINEST(LN(AV289:AX289),SQRT(AV288:AX288),TRUE,TRUE),3,1)</f>
        <v>0.18291058598709237</v>
      </c>
      <c r="AR289" s="116">
        <f>INDEX(LINEST(LN(AV289:AX289),SQRT((AV288:AX288))),1)</f>
        <v>-1.7675233846219669E-3</v>
      </c>
      <c r="AS289" s="84">
        <f>INDEX(LINEST(1/(AV289:AX289),1/(SQRT(AV288:AX288)),TRUE,TRUE),3,1)</f>
        <v>0.60699670072087841</v>
      </c>
      <c r="AT289" s="84">
        <f>INDEX(LINEST(1/(AV289:AX289),1/SQRT(AV288:AX288)),1)</f>
        <v>-122.72356191358193</v>
      </c>
      <c r="AU289" s="3"/>
      <c r="AV289" s="53">
        <v>0.4</v>
      </c>
      <c r="AW289" s="53">
        <v>0.13</v>
      </c>
      <c r="AX289" s="53">
        <v>0.18</v>
      </c>
      <c r="AY289" s="53"/>
      <c r="AZ289" s="43"/>
      <c r="BA289" s="53"/>
      <c r="BB289" s="53"/>
      <c r="BC289" s="53"/>
      <c r="BD289" s="53"/>
      <c r="BE289" s="53"/>
      <c r="BF289" s="53"/>
      <c r="BG289" s="53"/>
      <c r="BH289" s="53"/>
      <c r="BI289" s="53"/>
      <c r="BJ289" s="53"/>
      <c r="BK289" s="53"/>
      <c r="BL289" s="53"/>
      <c r="BM289" s="53"/>
      <c r="BN289" s="53"/>
      <c r="BO289" s="53"/>
      <c r="BP289" s="53"/>
      <c r="BQ289" s="53"/>
      <c r="BR289" s="53"/>
      <c r="BS289" s="53"/>
      <c r="BT289" s="53"/>
      <c r="BU289" s="53"/>
      <c r="BV289" s="53"/>
      <c r="BW289" s="53"/>
      <c r="BX289" s="53"/>
      <c r="BY289" s="53"/>
      <c r="BZ289" s="53"/>
      <c r="CA289" s="53"/>
      <c r="CB289" s="53"/>
      <c r="CC289" s="53"/>
      <c r="CD289" s="53"/>
      <c r="CE289" s="53"/>
      <c r="CF289" s="53"/>
      <c r="CG289" s="53"/>
      <c r="CH289" s="53"/>
      <c r="CI289" s="53"/>
      <c r="CJ289" s="53"/>
      <c r="CK289" s="53"/>
      <c r="CL289" s="53"/>
      <c r="CM289" s="53"/>
      <c r="CN289" s="53"/>
      <c r="CO289" s="53"/>
      <c r="CP289" s="53"/>
      <c r="CQ289" s="53"/>
      <c r="CR289" s="1"/>
      <c r="CS289" s="1"/>
      <c r="CT289" s="1"/>
      <c r="CU289" s="1"/>
    </row>
    <row r="290" spans="1:99" s="13" customFormat="1" ht="12" customHeight="1" x14ac:dyDescent="0.2">
      <c r="A290" s="65">
        <v>43509</v>
      </c>
      <c r="B290" s="1"/>
      <c r="C290" s="1"/>
      <c r="D290" s="60"/>
      <c r="E290" s="76"/>
      <c r="F290" s="60"/>
      <c r="G290" s="60"/>
      <c r="H290" s="60"/>
      <c r="I290" s="60"/>
      <c r="J290" s="60"/>
      <c r="K290" s="64"/>
      <c r="L290" s="64"/>
      <c r="M290" s="60"/>
      <c r="N290" s="60"/>
      <c r="O290" s="60"/>
      <c r="P290" s="60"/>
      <c r="Q290" s="60"/>
      <c r="R290" s="60"/>
      <c r="S290" s="60"/>
      <c r="T290" s="59"/>
      <c r="U290" s="60"/>
      <c r="V290" s="59"/>
      <c r="W290" s="60"/>
      <c r="X290" s="60"/>
      <c r="Y290" s="76"/>
      <c r="Z290" s="60"/>
      <c r="AA290" s="60"/>
      <c r="AB290" s="60"/>
      <c r="AC290" s="60"/>
      <c r="AD290" s="60"/>
      <c r="AE290" s="60"/>
      <c r="AF290" s="80"/>
      <c r="AG290" s="56"/>
      <c r="AH290" s="4"/>
      <c r="AI290" s="56"/>
      <c r="AJ290" s="109"/>
      <c r="AK290" s="56"/>
      <c r="AL290" s="56"/>
      <c r="AM290" s="56"/>
      <c r="AN290" s="56"/>
      <c r="AO290" s="56"/>
      <c r="AP290" s="56"/>
      <c r="AQ290" s="56"/>
      <c r="AR290" s="109"/>
      <c r="AS290" s="56"/>
      <c r="AT290" s="56"/>
      <c r="AU290" s="5"/>
      <c r="AV290" s="25">
        <v>800</v>
      </c>
      <c r="AW290" s="25">
        <f>60*60*2</f>
        <v>7200</v>
      </c>
      <c r="AX290" s="25">
        <f>60*60*24</f>
        <v>86400</v>
      </c>
      <c r="AY290" s="53"/>
      <c r="AZ290" s="43"/>
      <c r="BA290" s="53"/>
      <c r="BB290" s="53"/>
      <c r="BC290" s="53"/>
      <c r="BD290" s="53"/>
      <c r="BE290" s="53"/>
      <c r="BF290" s="53"/>
      <c r="BG290" s="53"/>
      <c r="BH290" s="53"/>
      <c r="BI290" s="53"/>
      <c r="BJ290" s="53"/>
      <c r="BK290" s="53"/>
      <c r="BL290" s="53"/>
      <c r="BM290" s="53"/>
      <c r="BN290" s="53"/>
      <c r="BO290" s="53"/>
      <c r="BP290" s="53"/>
      <c r="BQ290" s="53"/>
      <c r="BR290" s="53"/>
      <c r="BS290" s="53"/>
      <c r="BT290" s="53"/>
      <c r="BU290" s="53"/>
      <c r="BV290" s="53"/>
      <c r="BW290" s="53"/>
      <c r="BX290" s="53"/>
      <c r="BY290" s="53"/>
      <c r="BZ290" s="53"/>
      <c r="CA290" s="53"/>
      <c r="CB290" s="53"/>
      <c r="CC290" s="53"/>
      <c r="CD290" s="53"/>
      <c r="CE290" s="53"/>
      <c r="CF290" s="53"/>
      <c r="CG290" s="53"/>
      <c r="CH290" s="53"/>
      <c r="CI290" s="53"/>
      <c r="CJ290" s="53"/>
      <c r="CK290" s="53"/>
      <c r="CL290" s="53"/>
      <c r="CM290" s="53"/>
      <c r="CN290" s="53"/>
      <c r="CO290" s="53"/>
      <c r="CP290" s="53"/>
      <c r="CQ290" s="53"/>
      <c r="CR290" s="1"/>
      <c r="CS290" s="1"/>
      <c r="CT290" s="1"/>
      <c r="CU290" s="1"/>
    </row>
    <row r="291" spans="1:99" s="13" customFormat="1" ht="12" customHeight="1" x14ac:dyDescent="0.2">
      <c r="A291" s="65">
        <v>43509</v>
      </c>
      <c r="B291" s="1" t="s">
        <v>77</v>
      </c>
      <c r="C291" s="1" t="s">
        <v>78</v>
      </c>
      <c r="D291" s="60">
        <v>1990</v>
      </c>
      <c r="E291" s="76">
        <v>1</v>
      </c>
      <c r="F291" s="60">
        <v>48</v>
      </c>
      <c r="G291" s="60">
        <v>9.3000000000000007</v>
      </c>
      <c r="H291" s="60" t="s">
        <v>50</v>
      </c>
      <c r="I291" s="60" t="s">
        <v>666</v>
      </c>
      <c r="J291" s="60" t="s">
        <v>29</v>
      </c>
      <c r="K291" s="60">
        <f>IF(J291="syllables",1,IF(J291="trigrams",2,IF(J291="strings",3,IF(J291="visual array",4,IF(J291="characters",5,IF(J291="letters",6,IF(J291="free forms",7,IF(J291="odors",8,IF(J291="words",9,IF(J291="pictures",10,IF(J291="object pictures",11,IF(J291="faces",12,IF(J291="names",13,IF(J291="idioms",14,IF(J291="grades",15,IF(J291="syllable-digit pairs",16,IF(J291="trigram-word pairs",17,IF(J291="word-digit pairs",18,IF(J291="English-Swahili pairs",19,IF(J291="spatial position",20,IF(J291="word pairs",21,IF(J291="word triads",22,IF(J291="generated words",23,IF(J291="word definition pairs",24,IF(J291="math problems",25,IF(J291="famous faces",26,IF(J291="famous names",27,IF(J291="famous voices",28,IF(J291="television programs",29,IF(J291="race horses",30,IF(J291="new vocabulary",31,IF(J291="sentences",32,IF(J291="concepts",33,IF(J291="ad slides",34,IF(J291="scenes",35,IF(J291="famous scenes",36,IF(J291="poems",37,IF(J291="walk",38,IF(J291="faces and events",39,IF(J291="events and names",40,IF(J291="flashbulb",41,IF(J291="stories",42,IF(J291="course material",43,IF(J291="autobiographical",44,IF(J291="novels",45,IF(J291="public events",46,"99"))))))))))))))))))))))))))))))))))))))))))))))</f>
        <v>9</v>
      </c>
      <c r="L291" s="60">
        <f>IF(J291="syllables",1,IF(J291="trigrams",1,IF(J291="strings",1,IF(J291="visual array",1,IF(J291="characters",1,IF(J291="letters",1,IF(J291="free forms",1,IF(J291="odors",2,IF(J291="words",2,IF(J291="pictures",2,IF(J291="object pictures",2,IF(J291="faces",2,IF(J291="names",2,IF(J291="idioms","2",IF(J291="grades",2,IF(J291="syllable-digit pairs",3,IF(J291="trigram-word pairs",3,IF(J291="word-digit pairs",3,IF(J291="English-Swahili pairs",3,IF(J291="spatial position",3,IF(J291="word pairs",4,IF(J291="word triads",4,IF(J291="generated words",4,IF(J291="word definition pairs",4,IF(J291="math problems",4,IF(J291="famous faces",4,IF(J291="famous names",4,IF(J291="famous voices",4,IF(J291="television programs",4,IF(J291="race horses",4,IF(J291="new vocabulary",4,IF(J291="sentences",5,IF(J291="concepts",5,IF(J291="ad slides",5,IF(J291="scenes",5,IF(J291="famous scenes",5,IF(J291="poems",6,IF(J291="walk",6,IF(J291="faces and events",6,IF(J291="events and names",6,IF(J291="flashbulb",7,IF(J291="stories",7,IF(J291="course material",7,IF(J291="autobiographical",7,IF(J291="novels",7,IF(J291="public events",7,"99"))))))))))))))))))))))))))))))))))))))))))))))</f>
        <v>2</v>
      </c>
      <c r="M291" s="60">
        <v>1</v>
      </c>
      <c r="N291" s="60">
        <v>2</v>
      </c>
      <c r="O291" s="60">
        <v>0</v>
      </c>
      <c r="P291" s="60"/>
      <c r="Q291" s="60" t="s">
        <v>14</v>
      </c>
      <c r="R291" s="60">
        <f>IF(Q291="Free Recall",1,IF(Q291="Cued Recall",2,IF(Q291="Recognition",3,IF(Q291="Multiple Choice",4,IF(Q291="Savings",5,IF(Q291="Stem Completion",6,IF(Q291="Fragment Completion",7,IF(Q291="anagram solution",8,IF(Q291="Matching",9,IF(Q291="Problem Solving",10,"99"))))))))))</f>
        <v>6</v>
      </c>
      <c r="S291" s="59" t="s">
        <v>15</v>
      </c>
      <c r="T291" s="59" t="s">
        <v>261</v>
      </c>
      <c r="U291" s="60">
        <f>IF(T291="within",1,0)</f>
        <v>0</v>
      </c>
      <c r="V291" s="59">
        <v>40</v>
      </c>
      <c r="W291" s="60">
        <f>F291*V291</f>
        <v>1920</v>
      </c>
      <c r="X291" s="60">
        <v>3</v>
      </c>
      <c r="Y291" s="76">
        <f>AV290</f>
        <v>800</v>
      </c>
      <c r="Z291" s="60" t="s">
        <v>79</v>
      </c>
      <c r="AA291" s="60">
        <v>86400</v>
      </c>
      <c r="AB291" s="60" t="str">
        <f>IF(AA291&lt;60,"1",IF(AA291&lt;=43200,"2",IF(AA291&lt;=777600,"3","4")))</f>
        <v>3</v>
      </c>
      <c r="AC291" s="56">
        <f>AVERAGE(AV290:DA290)</f>
        <v>31466.666666666668</v>
      </c>
      <c r="AD291" s="60" t="str">
        <f>IF(AC291&lt;60,"1",IF(AC291&lt;=43200,"2",IF(AC291&lt;=777600,"3","4")))</f>
        <v>2</v>
      </c>
      <c r="AE291" s="76">
        <f>AA291-Y291</f>
        <v>85600</v>
      </c>
      <c r="AF291" s="80">
        <f>AV291</f>
        <v>0.53</v>
      </c>
      <c r="AG291" s="56">
        <f>((AW291-AV291)+(AX291-AW291))/2</f>
        <v>-0.18500000000000003</v>
      </c>
      <c r="AH291" s="4"/>
      <c r="AI291" s="56">
        <f>RSQ(AV291:AX291,AV290:AX290)</f>
        <v>0.21453102418715461</v>
      </c>
      <c r="AJ291" s="109">
        <f>SLOPE(AV291:AX291,AV290:AX290)</f>
        <v>-2.2285821525757717E-6</v>
      </c>
      <c r="AK291" s="56">
        <f>INTERCEPT(AV291:AX291,AV290:AX290)</f>
        <v>0.33679271840105096</v>
      </c>
      <c r="AL291" s="56">
        <f>INDEX(LINEST(LN(AV291:AX291),LN(AV290:AX290),TRUE,TRUE),3,1)</f>
        <v>0.49620777404645827</v>
      </c>
      <c r="AM291" s="56">
        <f>INDEX(LINEST(LN(AV291:AX291),LN(AV290:AX290)),1)</f>
        <v>-0.24697512855560716</v>
      </c>
      <c r="AN291" s="56">
        <f>EXP(INDEX(LINEST(LN(AV291:AX291),LN(AV290:AX290)),1,2))</f>
        <v>1.9329188521011729</v>
      </c>
      <c r="AO291" s="82">
        <f>INDEX(LINEST((AV291:AX291),LN(AV290:AX290),TRUE,TRUE),3,1)</f>
        <v>0.61608390798872847</v>
      </c>
      <c r="AP291" s="82">
        <f>INDEX(LINEST((AV291:AX291),LN(AV290:AX290)),1)</f>
        <v>-7.6871206780136286E-2</v>
      </c>
      <c r="AQ291" s="83">
        <f>INDEX(LINEST(LN(AV291:AX291),SQRT(AV290:AX290),TRUE,TRUE),3,1)</f>
        <v>0.22732434416119027</v>
      </c>
      <c r="AR291" s="116">
        <f>INDEX(LINEST(LN(AV291:AX291),SQRT((AV290:AX290))),1)</f>
        <v>-2.7983861593231765E-3</v>
      </c>
      <c r="AS291" s="84">
        <f>INDEX(LINEST(1/(AV291:AX291),1/(SQRT(AV290:AX290)),TRUE,TRUE),3,1)</f>
        <v>0.62604401815820643</v>
      </c>
      <c r="AT291" s="84">
        <f>INDEX(LINEST(1/(AV291:AX291),1/SQRT(AV290:AX290)),1)</f>
        <v>-173.30494593585968</v>
      </c>
      <c r="AU291" s="3"/>
      <c r="AV291" s="53">
        <v>0.53</v>
      </c>
      <c r="AW291" s="53">
        <v>0.11</v>
      </c>
      <c r="AX291" s="53">
        <v>0.16</v>
      </c>
      <c r="AY291" s="53"/>
      <c r="AZ291" s="43"/>
      <c r="BA291" s="53"/>
      <c r="BB291" s="53"/>
      <c r="BC291" s="53"/>
      <c r="BD291" s="53"/>
      <c r="BE291" s="53"/>
      <c r="BF291" s="53"/>
      <c r="BG291" s="53"/>
      <c r="BH291" s="53"/>
      <c r="BI291" s="53"/>
      <c r="BJ291" s="53"/>
      <c r="BK291" s="53"/>
      <c r="BL291" s="53"/>
      <c r="BM291" s="53"/>
      <c r="BN291" s="53"/>
      <c r="BO291" s="53"/>
      <c r="BP291" s="53"/>
      <c r="BQ291" s="53"/>
      <c r="BR291" s="53"/>
      <c r="BS291" s="53"/>
      <c r="BT291" s="53"/>
      <c r="BU291" s="53"/>
      <c r="BV291" s="53"/>
      <c r="BW291" s="53"/>
      <c r="BX291" s="53"/>
      <c r="BY291" s="53"/>
      <c r="BZ291" s="53"/>
      <c r="CA291" s="53"/>
      <c r="CB291" s="53"/>
      <c r="CC291" s="53"/>
      <c r="CD291" s="53"/>
      <c r="CE291" s="53"/>
      <c r="CF291" s="53"/>
      <c r="CG291" s="53"/>
      <c r="CH291" s="53"/>
      <c r="CI291" s="53"/>
      <c r="CJ291" s="53"/>
      <c r="CK291" s="53"/>
      <c r="CL291" s="53"/>
      <c r="CM291" s="53"/>
      <c r="CN291" s="53"/>
      <c r="CO291" s="53"/>
      <c r="CP291" s="53"/>
      <c r="CQ291" s="53"/>
      <c r="CR291" s="1"/>
      <c r="CS291" s="1"/>
      <c r="CT291" s="1"/>
      <c r="CU291" s="1"/>
    </row>
    <row r="292" spans="1:99" s="13" customFormat="1" ht="12" customHeight="1" x14ac:dyDescent="0.2">
      <c r="A292" s="65">
        <v>43509</v>
      </c>
      <c r="B292" s="1"/>
      <c r="C292" s="1"/>
      <c r="D292" s="60"/>
      <c r="E292" s="76"/>
      <c r="F292" s="60"/>
      <c r="G292" s="60"/>
      <c r="H292" s="60"/>
      <c r="I292" s="60"/>
      <c r="J292" s="60"/>
      <c r="K292" s="64"/>
      <c r="L292" s="64"/>
      <c r="M292" s="60"/>
      <c r="N292" s="60"/>
      <c r="O292" s="60"/>
      <c r="P292" s="60"/>
      <c r="Q292" s="60"/>
      <c r="R292" s="60"/>
      <c r="S292" s="60"/>
      <c r="T292" s="60"/>
      <c r="U292" s="60"/>
      <c r="V292" s="60"/>
      <c r="W292" s="60"/>
      <c r="X292" s="60"/>
      <c r="Y292" s="76"/>
      <c r="Z292" s="60"/>
      <c r="AA292" s="60"/>
      <c r="AB292" s="60"/>
      <c r="AC292" s="60"/>
      <c r="AD292" s="60"/>
      <c r="AE292" s="60"/>
      <c r="AF292" s="80"/>
      <c r="AG292" s="56"/>
      <c r="AH292" s="4"/>
      <c r="AI292" s="56"/>
      <c r="AJ292" s="109"/>
      <c r="AK292" s="56"/>
      <c r="AL292" s="56"/>
      <c r="AM292" s="56"/>
      <c r="AN292" s="56"/>
      <c r="AO292" s="56"/>
      <c r="AP292" s="56"/>
      <c r="AQ292" s="56"/>
      <c r="AR292" s="109"/>
      <c r="AS292" s="56"/>
      <c r="AT292" s="56"/>
      <c r="AU292" s="5"/>
      <c r="AV292" s="25">
        <v>800</v>
      </c>
      <c r="AW292" s="25">
        <f>60*60*2</f>
        <v>7200</v>
      </c>
      <c r="AX292" s="25">
        <f>60*60*24</f>
        <v>86400</v>
      </c>
      <c r="AY292" s="53"/>
      <c r="AZ292" s="43"/>
      <c r="BA292" s="53"/>
      <c r="BB292" s="53"/>
      <c r="BC292" s="53"/>
      <c r="BD292" s="53"/>
      <c r="BE292" s="53"/>
      <c r="BF292" s="53"/>
      <c r="BG292" s="53"/>
      <c r="BH292" s="53"/>
      <c r="BI292" s="53"/>
      <c r="BJ292" s="53"/>
      <c r="BK292" s="53"/>
      <c r="BL292" s="53"/>
      <c r="BM292" s="53"/>
      <c r="BN292" s="53"/>
      <c r="BO292" s="53"/>
      <c r="BP292" s="53"/>
      <c r="BQ292" s="53"/>
      <c r="BR292" s="53"/>
      <c r="BS292" s="53"/>
      <c r="BT292" s="53"/>
      <c r="BU292" s="53"/>
      <c r="BV292" s="53"/>
      <c r="BW292" s="53"/>
      <c r="BX292" s="53"/>
      <c r="BY292" s="53"/>
      <c r="BZ292" s="53"/>
      <c r="CA292" s="53"/>
      <c r="CB292" s="53"/>
      <c r="CC292" s="53"/>
      <c r="CD292" s="53"/>
      <c r="CE292" s="53"/>
      <c r="CF292" s="53"/>
      <c r="CG292" s="53"/>
      <c r="CH292" s="53"/>
      <c r="CI292" s="53"/>
      <c r="CJ292" s="53"/>
      <c r="CK292" s="53"/>
      <c r="CL292" s="53"/>
      <c r="CM292" s="53"/>
      <c r="CN292" s="53"/>
      <c r="CO292" s="53"/>
      <c r="CP292" s="53"/>
      <c r="CQ292" s="53"/>
      <c r="CR292" s="1"/>
      <c r="CS292" s="1"/>
      <c r="CT292" s="1"/>
      <c r="CU292" s="1"/>
    </row>
    <row r="293" spans="1:99" s="13" customFormat="1" ht="12" customHeight="1" x14ac:dyDescent="0.2">
      <c r="A293" s="65">
        <v>43509</v>
      </c>
      <c r="B293" s="1" t="s">
        <v>77</v>
      </c>
      <c r="C293" s="1" t="s">
        <v>78</v>
      </c>
      <c r="D293" s="60">
        <v>1990</v>
      </c>
      <c r="E293" s="76">
        <v>1</v>
      </c>
      <c r="F293" s="60">
        <v>48</v>
      </c>
      <c r="G293" s="60">
        <v>9.3000000000000007</v>
      </c>
      <c r="H293" s="60" t="s">
        <v>50</v>
      </c>
      <c r="I293" s="60" t="s">
        <v>667</v>
      </c>
      <c r="J293" s="60" t="s">
        <v>29</v>
      </c>
      <c r="K293" s="60">
        <f>IF(J293="syllables",1,IF(J293="trigrams",2,IF(J293="strings",3,IF(J293="visual array",4,IF(J293="characters",5,IF(J293="letters",6,IF(J293="free forms",7,IF(J293="odors",8,IF(J293="words",9,IF(J293="pictures",10,IF(J293="object pictures",11,IF(J293="faces",12,IF(J293="names",13,IF(J293="idioms",14,IF(J293="grades",15,IF(J293="syllable-digit pairs",16,IF(J293="trigram-word pairs",17,IF(J293="word-digit pairs",18,IF(J293="English-Swahili pairs",19,IF(J293="spatial position",20,IF(J293="word pairs",21,IF(J293="word triads",22,IF(J293="generated words",23,IF(J293="word definition pairs",24,IF(J293="math problems",25,IF(J293="famous faces",26,IF(J293="famous names",27,IF(J293="famous voices",28,IF(J293="television programs",29,IF(J293="race horses",30,IF(J293="new vocabulary",31,IF(J293="sentences",32,IF(J293="concepts",33,IF(J293="ad slides",34,IF(J293="scenes",35,IF(J293="famous scenes",36,IF(J293="poems",37,IF(J293="walk",38,IF(J293="faces and events",39,IF(J293="events and names",40,IF(J293="flashbulb",41,IF(J293="stories",42,IF(J293="course material",43,IF(J293="autobiographical",44,IF(J293="novels",45,IF(J293="public events",46,"99"))))))))))))))))))))))))))))))))))))))))))))))</f>
        <v>9</v>
      </c>
      <c r="L293" s="60">
        <f>IF(J293="syllables",1,IF(J293="trigrams",1,IF(J293="strings",1,IF(J293="visual array",1,IF(J293="characters",1,IF(J293="letters",1,IF(J293="free forms",1,IF(J293="odors",2,IF(J293="words",2,IF(J293="pictures",2,IF(J293="object pictures",2,IF(J293="faces",2,IF(J293="names",2,IF(J293="idioms","2",IF(J293="grades",2,IF(J293="syllable-digit pairs",3,IF(J293="trigram-word pairs",3,IF(J293="word-digit pairs",3,IF(J293="English-Swahili pairs",3,IF(J293="spatial position",3,IF(J293="word pairs",4,IF(J293="word triads",4,IF(J293="generated words",4,IF(J293="word definition pairs",4,IF(J293="math problems",4,IF(J293="famous faces",4,IF(J293="famous names",4,IF(J293="famous voices",4,IF(J293="television programs",4,IF(J293="race horses",4,IF(J293="new vocabulary",4,IF(J293="sentences",5,IF(J293="concepts",5,IF(J293="ad slides",5,IF(J293="scenes",5,IF(J293="famous scenes",5,IF(J293="poems",6,IF(J293="walk",6,IF(J293="faces and events",6,IF(J293="events and names",6,IF(J293="flashbulb",7,IF(J293="stories",7,IF(J293="course material",7,IF(J293="autobiographical",7,IF(J293="novels",7,IF(J293="public events",7,"99"))))))))))))))))))))))))))))))))))))))))))))))</f>
        <v>2</v>
      </c>
      <c r="M293" s="60">
        <v>1</v>
      </c>
      <c r="N293" s="60">
        <v>2</v>
      </c>
      <c r="O293" s="60">
        <v>0</v>
      </c>
      <c r="P293" s="60"/>
      <c r="Q293" s="60" t="s">
        <v>14</v>
      </c>
      <c r="R293" s="60">
        <f>IF(Q293="Free Recall",1,IF(Q293="Cued Recall",2,IF(Q293="Recognition",3,IF(Q293="Multiple Choice",4,IF(Q293="Savings",5,IF(Q293="Stem Completion",6,IF(Q293="Fragment Completion",7,IF(Q293="anagram solution",8,IF(Q293="Matching",9,IF(Q293="Problem Solving",10,"99"))))))))))</f>
        <v>6</v>
      </c>
      <c r="S293" s="59" t="s">
        <v>15</v>
      </c>
      <c r="T293" s="59" t="s">
        <v>261</v>
      </c>
      <c r="U293" s="60">
        <f>IF(T293="within",1,0)</f>
        <v>0</v>
      </c>
      <c r="V293" s="59">
        <v>40</v>
      </c>
      <c r="W293" s="60">
        <f>F293*V293</f>
        <v>1920</v>
      </c>
      <c r="X293" s="60">
        <v>3</v>
      </c>
      <c r="Y293" s="76">
        <f>AV292</f>
        <v>800</v>
      </c>
      <c r="Z293" s="60" t="s">
        <v>79</v>
      </c>
      <c r="AA293" s="60">
        <v>86400</v>
      </c>
      <c r="AB293" s="60" t="str">
        <f>IF(AA293&lt;60,"1",IF(AA293&lt;=43200,"2",IF(AA293&lt;=777600,"3","4")))</f>
        <v>3</v>
      </c>
      <c r="AC293" s="56">
        <f>AVERAGE(AV292:DA292)</f>
        <v>31466.666666666668</v>
      </c>
      <c r="AD293" s="60" t="str">
        <f>IF(AC293&lt;60,"1",IF(AC293&lt;=43200,"2",IF(AC293&lt;=777600,"3","4")))</f>
        <v>2</v>
      </c>
      <c r="AE293" s="76">
        <f>AA293-Y293</f>
        <v>85600</v>
      </c>
      <c r="AF293" s="80">
        <f>AV293</f>
        <v>0.48</v>
      </c>
      <c r="AG293" s="56">
        <f>((AW293-AV293)+(AX293-AW293))/2</f>
        <v>-0.14999999999999997</v>
      </c>
      <c r="AH293" s="4"/>
      <c r="AI293" s="56">
        <f>RSQ(AV293:AX293,AV292:AX292)</f>
        <v>0.23701399156499101</v>
      </c>
      <c r="AJ293" s="109">
        <f>SLOPE(AV293:AX293,AV292:AX292)</f>
        <v>-1.8632119733508494E-6</v>
      </c>
      <c r="AK293" s="56">
        <f>INTERCEPT(AV293:AX293,AV292:AX292)</f>
        <v>0.32862907009477343</v>
      </c>
      <c r="AL293" s="56">
        <f>INDEX(LINEST(LN(AV293:AX293),LN(AV292:AX292),TRUE,TRUE),3,1)</f>
        <v>0.57975813119066055</v>
      </c>
      <c r="AM293" s="56">
        <f>INDEX(LINEST(LN(AV293:AX293),LN(AV292:AX292)),1)</f>
        <v>-0.20334217547138236</v>
      </c>
      <c r="AN293" s="56">
        <f>EXP(INDEX(LINEST(LN(AV293:AX293),LN(AV292:AX292)),1,2))</f>
        <v>1.4577906262892855</v>
      </c>
      <c r="AO293" s="82">
        <f>INDEX(LINEST((AV293:AX293),LN(AV292:AX292),TRUE,TRUE),3,1)</f>
        <v>0.64206364583871101</v>
      </c>
      <c r="AP293" s="82">
        <f>INDEX(LINEST((AV293:AX293),LN(AV292:AX292)),1)</f>
        <v>-6.2420103686055356E-2</v>
      </c>
      <c r="AQ293" s="83">
        <f>INDEX(LINEST(LN(AV293:AX293),SQRT(AV292:AX292),TRUE,TRUE),3,1)</f>
        <v>0.30114342895179769</v>
      </c>
      <c r="AR293" s="116">
        <f>INDEX(LINEST(LN(AV293:AX293),SQRT((AV292:AX292))),1)</f>
        <v>-2.453318702114658E-3</v>
      </c>
      <c r="AS293" s="84">
        <f>INDEX(LINEST(1/(AV293:AX293),1/(SQRT(AV292:AX292)),TRUE,TRUE),3,1)</f>
        <v>0.77827172664496636</v>
      </c>
      <c r="AT293" s="84">
        <f>INDEX(LINEST(1/(AV293:AX293),1/SQRT(AV292:AX292)),1)</f>
        <v>-127.31306773060919</v>
      </c>
      <c r="AU293" s="3"/>
      <c r="AV293" s="53">
        <v>0.48</v>
      </c>
      <c r="AW293" s="53">
        <v>0.15</v>
      </c>
      <c r="AX293" s="53">
        <v>0.18</v>
      </c>
      <c r="AY293" s="53"/>
      <c r="AZ293" s="43"/>
      <c r="BA293" s="53"/>
      <c r="BB293" s="53"/>
      <c r="BC293" s="53"/>
      <c r="BD293" s="53"/>
      <c r="BE293" s="53"/>
      <c r="BF293" s="53"/>
      <c r="BG293" s="53"/>
      <c r="BH293" s="53"/>
      <c r="BI293" s="53"/>
      <c r="BJ293" s="53"/>
      <c r="BK293" s="53"/>
      <c r="BL293" s="53"/>
      <c r="BM293" s="53"/>
      <c r="BN293" s="53"/>
      <c r="BO293" s="53"/>
      <c r="BP293" s="53"/>
      <c r="BQ293" s="53"/>
      <c r="BR293" s="53"/>
      <c r="BS293" s="53"/>
      <c r="BT293" s="53"/>
      <c r="BU293" s="53"/>
      <c r="BV293" s="53"/>
      <c r="BW293" s="53"/>
      <c r="BX293" s="53"/>
      <c r="BY293" s="53"/>
      <c r="BZ293" s="53"/>
      <c r="CA293" s="53"/>
      <c r="CB293" s="53"/>
      <c r="CC293" s="53"/>
      <c r="CD293" s="53"/>
      <c r="CE293" s="53"/>
      <c r="CF293" s="53"/>
      <c r="CG293" s="53"/>
      <c r="CH293" s="53"/>
      <c r="CI293" s="53"/>
      <c r="CJ293" s="53"/>
      <c r="CK293" s="53"/>
      <c r="CL293" s="53"/>
      <c r="CM293" s="53"/>
      <c r="CN293" s="53"/>
      <c r="CO293" s="53"/>
      <c r="CP293" s="53"/>
      <c r="CQ293" s="53"/>
      <c r="CR293" s="1"/>
      <c r="CS293" s="1"/>
      <c r="CT293" s="1"/>
      <c r="CU293" s="1"/>
    </row>
    <row r="294" spans="1:99" s="13" customFormat="1" ht="12" customHeight="1" x14ac:dyDescent="0.2">
      <c r="A294" s="65">
        <v>43509</v>
      </c>
      <c r="B294" s="1"/>
      <c r="C294" s="1"/>
      <c r="D294" s="60"/>
      <c r="E294" s="76"/>
      <c r="F294" s="60"/>
      <c r="G294" s="60"/>
      <c r="H294" s="60"/>
      <c r="I294" s="60"/>
      <c r="J294" s="60"/>
      <c r="K294" s="64"/>
      <c r="L294" s="64"/>
      <c r="M294" s="60"/>
      <c r="N294" s="60"/>
      <c r="O294" s="60"/>
      <c r="P294" s="60"/>
      <c r="Q294" s="60"/>
      <c r="R294" s="60"/>
      <c r="S294" s="60"/>
      <c r="T294" s="59"/>
      <c r="U294" s="60"/>
      <c r="V294" s="59"/>
      <c r="W294" s="60"/>
      <c r="X294" s="60"/>
      <c r="Y294" s="76"/>
      <c r="Z294" s="60"/>
      <c r="AA294" s="60"/>
      <c r="AB294" s="60"/>
      <c r="AC294" s="60"/>
      <c r="AD294" s="60"/>
      <c r="AE294" s="60"/>
      <c r="AF294" s="80"/>
      <c r="AG294" s="56"/>
      <c r="AH294" s="4"/>
      <c r="AI294" s="56"/>
      <c r="AJ294" s="109"/>
      <c r="AK294" s="56"/>
      <c r="AL294" s="56"/>
      <c r="AM294" s="56"/>
      <c r="AN294" s="56"/>
      <c r="AO294" s="56"/>
      <c r="AP294" s="56"/>
      <c r="AQ294" s="56"/>
      <c r="AR294" s="109"/>
      <c r="AS294" s="56"/>
      <c r="AT294" s="56"/>
      <c r="AU294" s="5"/>
      <c r="AV294" s="25">
        <v>800</v>
      </c>
      <c r="AW294" s="25">
        <f>60*60*2</f>
        <v>7200</v>
      </c>
      <c r="AX294" s="25">
        <f>60*60*24</f>
        <v>86400</v>
      </c>
      <c r="AY294" s="53"/>
      <c r="AZ294" s="43"/>
      <c r="BA294" s="53"/>
      <c r="BB294" s="53"/>
      <c r="BC294" s="53"/>
      <c r="BD294" s="53"/>
      <c r="BE294" s="53"/>
      <c r="BF294" s="53"/>
      <c r="BG294" s="53"/>
      <c r="BH294" s="53"/>
      <c r="BI294" s="53"/>
      <c r="BJ294" s="53"/>
      <c r="BK294" s="53"/>
      <c r="BL294" s="53"/>
      <c r="BM294" s="53"/>
      <c r="BN294" s="53"/>
      <c r="BO294" s="53"/>
      <c r="BP294" s="53"/>
      <c r="BQ294" s="53"/>
      <c r="BR294" s="53"/>
      <c r="BS294" s="53"/>
      <c r="BT294" s="53"/>
      <c r="BU294" s="53"/>
      <c r="BV294" s="53"/>
      <c r="BW294" s="53"/>
      <c r="BX294" s="53"/>
      <c r="BY294" s="53"/>
      <c r="BZ294" s="53"/>
      <c r="CA294" s="53"/>
      <c r="CB294" s="53"/>
      <c r="CC294" s="53"/>
      <c r="CD294" s="53"/>
      <c r="CE294" s="53"/>
      <c r="CF294" s="53"/>
      <c r="CG294" s="53"/>
      <c r="CH294" s="53"/>
      <c r="CI294" s="53"/>
      <c r="CJ294" s="53"/>
      <c r="CK294" s="53"/>
      <c r="CL294" s="53"/>
      <c r="CM294" s="53"/>
      <c r="CN294" s="53"/>
      <c r="CO294" s="53"/>
      <c r="CP294" s="53"/>
      <c r="CQ294" s="53"/>
      <c r="CR294" s="1"/>
      <c r="CS294" s="1"/>
      <c r="CT294" s="1"/>
      <c r="CU294" s="1"/>
    </row>
    <row r="295" spans="1:99" s="13" customFormat="1" ht="12" customHeight="1" x14ac:dyDescent="0.2">
      <c r="A295" s="65">
        <v>43509</v>
      </c>
      <c r="B295" s="1" t="s">
        <v>77</v>
      </c>
      <c r="C295" s="1" t="s">
        <v>78</v>
      </c>
      <c r="D295" s="60">
        <v>1990</v>
      </c>
      <c r="E295" s="76">
        <v>1</v>
      </c>
      <c r="F295" s="60">
        <v>48</v>
      </c>
      <c r="G295" s="60">
        <v>9.3000000000000007</v>
      </c>
      <c r="H295" s="60" t="s">
        <v>22</v>
      </c>
      <c r="I295" s="60" t="s">
        <v>665</v>
      </c>
      <c r="J295" s="60" t="s">
        <v>29</v>
      </c>
      <c r="K295" s="60">
        <f>IF(J295="syllables",1,IF(J295="trigrams",2,IF(J295="strings",3,IF(J295="visual array",4,IF(J295="characters",5,IF(J295="letters",6,IF(J295="free forms",7,IF(J295="odors",8,IF(J295="words",9,IF(J295="pictures",10,IF(J295="object pictures",11,IF(J295="faces",12,IF(J295="names",13,IF(J295="idioms",14,IF(J295="grades",15,IF(J295="syllable-digit pairs",16,IF(J295="trigram-word pairs",17,IF(J295="word-digit pairs",18,IF(J295="English-Swahili pairs",19,IF(J295="spatial position",20,IF(J295="word pairs",21,IF(J295="word triads",22,IF(J295="generated words",23,IF(J295="word definition pairs",24,IF(J295="math problems",25,IF(J295="famous faces",26,IF(J295="famous names",27,IF(J295="famous voices",28,IF(J295="television programs",29,IF(J295="race horses",30,IF(J295="new vocabulary",31,IF(J295="sentences",32,IF(J295="concepts",33,IF(J295="ad slides",34,IF(J295="scenes",35,IF(J295="famous scenes",36,IF(J295="poems",37,IF(J295="walk",38,IF(J295="faces and events",39,IF(J295="events and names",40,IF(J295="flashbulb",41,IF(J295="stories",42,IF(J295="course material",43,IF(J295="autobiographical",44,IF(J295="novels",45,IF(J295="public events",46,"99"))))))))))))))))))))))))))))))))))))))))))))))</f>
        <v>9</v>
      </c>
      <c r="L295" s="60">
        <f>IF(J295="syllables",1,IF(J295="trigrams",1,IF(J295="strings",1,IF(J295="visual array",1,IF(J295="characters",1,IF(J295="letters",1,IF(J295="free forms",1,IF(J295="odors",2,IF(J295="words",2,IF(J295="pictures",2,IF(J295="object pictures",2,IF(J295="faces",2,IF(J295="names",2,IF(J295="idioms","2",IF(J295="grades",2,IF(J295="syllable-digit pairs",3,IF(J295="trigram-word pairs",3,IF(J295="word-digit pairs",3,IF(J295="English-Swahili pairs",3,IF(J295="spatial position",3,IF(J295="word pairs",4,IF(J295="word triads",4,IF(J295="generated words",4,IF(J295="word definition pairs",4,IF(J295="math problems",4,IF(J295="famous faces",4,IF(J295="famous names",4,IF(J295="famous voices",4,IF(J295="television programs",4,IF(J295="race horses",4,IF(J295="new vocabulary",4,IF(J295="sentences",5,IF(J295="concepts",5,IF(J295="ad slides",5,IF(J295="scenes",5,IF(J295="famous scenes",5,IF(J295="poems",6,IF(J295="walk",6,IF(J295="faces and events",6,IF(J295="events and names",6,IF(J295="flashbulb",7,IF(J295="stories",7,IF(J295="course material",7,IF(J295="autobiographical",7,IF(J295="novels",7,IF(J295="public events",7,"99"))))))))))))))))))))))))))))))))))))))))))))))</f>
        <v>2</v>
      </c>
      <c r="M295" s="60">
        <v>1</v>
      </c>
      <c r="N295" s="60">
        <v>2</v>
      </c>
      <c r="O295" s="60">
        <v>0</v>
      </c>
      <c r="P295" s="60"/>
      <c r="Q295" s="60" t="s">
        <v>34</v>
      </c>
      <c r="R295" s="60">
        <f>IF(Q295="Free Recall",1,IF(Q295="Cued Recall",2,IF(Q295="Recognition",3,IF(Q295="Multiple Choice",4,IF(Q295="Savings",5,IF(Q295="Stem Completion",6,IF(Q295="Fragment Completion",7,IF(Q295="anagram solution",8,IF(Q295="Matching",9,IF(Q295="Problem Solving",10,"99"))))))))))</f>
        <v>3</v>
      </c>
      <c r="S295" s="59" t="s">
        <v>15</v>
      </c>
      <c r="T295" s="59" t="s">
        <v>261</v>
      </c>
      <c r="U295" s="60">
        <f>IF(T295="within",1,0)</f>
        <v>0</v>
      </c>
      <c r="V295" s="59">
        <v>40</v>
      </c>
      <c r="W295" s="60">
        <f>F295*V295</f>
        <v>1920</v>
      </c>
      <c r="X295" s="60">
        <v>3</v>
      </c>
      <c r="Y295" s="76">
        <f>AV294</f>
        <v>800</v>
      </c>
      <c r="Z295" s="60" t="s">
        <v>79</v>
      </c>
      <c r="AA295" s="60">
        <v>86400</v>
      </c>
      <c r="AB295" s="60" t="str">
        <f>IF(AA295&lt;60,"1",IF(AA295&lt;=43200,"2",IF(AA295&lt;=777600,"3","4")))</f>
        <v>3</v>
      </c>
      <c r="AC295" s="56">
        <f>AVERAGE(AV294:DA294)</f>
        <v>31466.666666666668</v>
      </c>
      <c r="AD295" s="60" t="str">
        <f>IF(AC295&lt;60,"1",IF(AC295&lt;=43200,"2",IF(AC295&lt;=777600,"3","4")))</f>
        <v>2</v>
      </c>
      <c r="AE295" s="76">
        <f>AA295-Y295</f>
        <v>85600</v>
      </c>
      <c r="AF295" s="80">
        <f>AV295</f>
        <v>0.93300000000000005</v>
      </c>
      <c r="AG295" s="56">
        <f>((AW295-AV295)+(AX295-AW295))/2</f>
        <v>-1.5500000000000014E-2</v>
      </c>
      <c r="AH295" s="4"/>
      <c r="AI295" s="56">
        <f>RSQ(AV295:AX295,AV294:AX294)</f>
        <v>0.69847978160878388</v>
      </c>
      <c r="AJ295" s="109">
        <f>SLOPE(AV295:AX295,AV294:AX294)</f>
        <v>-5.3462512902317718E-7</v>
      </c>
      <c r="AK295" s="56">
        <f>INTERCEPT(AV295:AX295,AV294:AX294)</f>
        <v>0.94948953739326258</v>
      </c>
      <c r="AL295" s="56">
        <f>INDEX(LINEST(LN(AV295:AX295),LN(AV294:AX294),TRUE,TRUE),3,1)</f>
        <v>0.29845977534544799</v>
      </c>
      <c r="AM295" s="56">
        <f>INDEX(LINEST(LN(AV295:AX295),LN(AV294:AX294)),1)</f>
        <v>-7.6320243260043566E-3</v>
      </c>
      <c r="AN295" s="56">
        <f>EXP(INDEX(LINEST(LN(AV295:AX295),LN(AV294:AX294)),1,2))</f>
        <v>0.99845521592745345</v>
      </c>
      <c r="AO295" s="82">
        <f>INDEX(LINEST((AV295:AX295),LN(AV294:AX294),TRUE,TRUE),3,1)</f>
        <v>0.28986093262399526</v>
      </c>
      <c r="AP295" s="82">
        <f>INDEX(LINEST((AV295:AX295),LN(AV294:AX294)),1)</f>
        <v>-7.0101524424704747E-3</v>
      </c>
      <c r="AQ295" s="83">
        <f>INDEX(LINEST(LN(AV295:AX295),SQRT(AV294:AX294),TRUE,TRUE),3,1)</f>
        <v>0.57686561381083024</v>
      </c>
      <c r="AR295" s="116">
        <f>INDEX(LINEST(LN(AV295:AX295),SQRT((AV294:AX294))),1)</f>
        <v>-1.7762226372922225E-4</v>
      </c>
      <c r="AS295" s="84">
        <f>INDEX(LINEST(1/(AV295:AX295),1/(SQRT(AV294:AX294)),TRUE,TRUE),3,1)</f>
        <v>7.8567869951178829E-2</v>
      </c>
      <c r="AT295" s="84">
        <f>INDEX(LINEST(1/(AV295:AX295),1/SQRT(AV294:AX294)),1)</f>
        <v>-0.59431043508251524</v>
      </c>
      <c r="AU295" s="3"/>
      <c r="AV295" s="53">
        <v>0.93300000000000005</v>
      </c>
      <c r="AW295" s="53">
        <v>0.96299999999999997</v>
      </c>
      <c r="AX295" s="53">
        <v>0.90200000000000002</v>
      </c>
      <c r="AY295" s="53"/>
      <c r="AZ295" s="43"/>
      <c r="BA295" s="53"/>
      <c r="BB295" s="53"/>
      <c r="BC295" s="53"/>
      <c r="BD295" s="53"/>
      <c r="BE295" s="53"/>
      <c r="BF295" s="53"/>
      <c r="BG295" s="53"/>
      <c r="BH295" s="53"/>
      <c r="BI295" s="53"/>
      <c r="BJ295" s="53"/>
      <c r="BK295" s="53"/>
      <c r="BL295" s="53"/>
      <c r="BM295" s="53"/>
      <c r="BN295" s="53"/>
      <c r="BO295" s="53"/>
      <c r="BP295" s="53"/>
      <c r="BQ295" s="53"/>
      <c r="BR295" s="53"/>
      <c r="BS295" s="53"/>
      <c r="BT295" s="53"/>
      <c r="BU295" s="53"/>
      <c r="BV295" s="53"/>
      <c r="BW295" s="53"/>
      <c r="BX295" s="53"/>
      <c r="BY295" s="53"/>
      <c r="BZ295" s="53"/>
      <c r="CA295" s="53"/>
      <c r="CB295" s="53"/>
      <c r="CC295" s="53"/>
      <c r="CD295" s="53"/>
      <c r="CE295" s="53"/>
      <c r="CF295" s="53"/>
      <c r="CG295" s="53"/>
      <c r="CH295" s="53"/>
      <c r="CI295" s="53"/>
      <c r="CJ295" s="53"/>
      <c r="CK295" s="53"/>
      <c r="CL295" s="53"/>
      <c r="CM295" s="53"/>
      <c r="CN295" s="53"/>
      <c r="CO295" s="53"/>
      <c r="CP295" s="53"/>
      <c r="CQ295" s="53"/>
      <c r="CR295" s="1"/>
      <c r="CS295" s="1"/>
      <c r="CT295" s="1"/>
      <c r="CU295" s="1"/>
    </row>
    <row r="296" spans="1:99" s="13" customFormat="1" ht="12" customHeight="1" x14ac:dyDescent="0.2">
      <c r="A296" s="65">
        <v>43509</v>
      </c>
      <c r="B296" s="1"/>
      <c r="C296" s="1"/>
      <c r="D296" s="60"/>
      <c r="E296" s="76"/>
      <c r="F296" s="60"/>
      <c r="G296" s="60"/>
      <c r="H296" s="60"/>
      <c r="I296" s="60"/>
      <c r="J296" s="60"/>
      <c r="K296" s="64"/>
      <c r="L296" s="64"/>
      <c r="M296" s="60"/>
      <c r="N296" s="60"/>
      <c r="O296" s="60"/>
      <c r="P296" s="60"/>
      <c r="Q296" s="60"/>
      <c r="R296" s="60"/>
      <c r="S296" s="60"/>
      <c r="T296" s="60"/>
      <c r="U296" s="60"/>
      <c r="V296" s="59"/>
      <c r="W296" s="60"/>
      <c r="X296" s="60"/>
      <c r="Y296" s="76"/>
      <c r="Z296" s="60"/>
      <c r="AA296" s="60"/>
      <c r="AB296" s="60"/>
      <c r="AC296" s="60"/>
      <c r="AD296" s="60"/>
      <c r="AE296" s="60"/>
      <c r="AF296" s="80"/>
      <c r="AG296" s="56"/>
      <c r="AH296" s="4"/>
      <c r="AI296" s="56"/>
      <c r="AJ296" s="109"/>
      <c r="AK296" s="56"/>
      <c r="AL296" s="56"/>
      <c r="AM296" s="56"/>
      <c r="AN296" s="56"/>
      <c r="AO296" s="56"/>
      <c r="AP296" s="56"/>
      <c r="AQ296" s="56"/>
      <c r="AR296" s="109"/>
      <c r="AS296" s="56"/>
      <c r="AT296" s="56"/>
      <c r="AU296" s="5"/>
      <c r="AV296" s="25">
        <v>800</v>
      </c>
      <c r="AW296" s="25">
        <f>60*60*2</f>
        <v>7200</v>
      </c>
      <c r="AX296" s="25">
        <f>60*60*24</f>
        <v>86400</v>
      </c>
      <c r="AY296" s="53"/>
      <c r="AZ296" s="43"/>
      <c r="BA296" s="53"/>
      <c r="BB296" s="53"/>
      <c r="BC296" s="53"/>
      <c r="BD296" s="53"/>
      <c r="BE296" s="53"/>
      <c r="BF296" s="53"/>
      <c r="BG296" s="53"/>
      <c r="BH296" s="53"/>
      <c r="BI296" s="53"/>
      <c r="BJ296" s="53"/>
      <c r="BK296" s="53"/>
      <c r="BL296" s="53"/>
      <c r="BM296" s="53"/>
      <c r="BN296" s="53"/>
      <c r="BO296" s="53"/>
      <c r="BP296" s="53"/>
      <c r="BQ296" s="53"/>
      <c r="BR296" s="53"/>
      <c r="BS296" s="53"/>
      <c r="BT296" s="53"/>
      <c r="BU296" s="53"/>
      <c r="BV296" s="53"/>
      <c r="BW296" s="53"/>
      <c r="BX296" s="53"/>
      <c r="BY296" s="53"/>
      <c r="BZ296" s="53"/>
      <c r="CA296" s="53"/>
      <c r="CB296" s="53"/>
      <c r="CC296" s="53"/>
      <c r="CD296" s="53"/>
      <c r="CE296" s="53"/>
      <c r="CF296" s="53"/>
      <c r="CG296" s="53"/>
      <c r="CH296" s="53"/>
      <c r="CI296" s="53"/>
      <c r="CJ296" s="53"/>
      <c r="CK296" s="53"/>
      <c r="CL296" s="53"/>
      <c r="CM296" s="53"/>
      <c r="CN296" s="53"/>
      <c r="CO296" s="53"/>
      <c r="CP296" s="53"/>
      <c r="CQ296" s="53"/>
      <c r="CR296" s="1"/>
      <c r="CS296" s="1"/>
      <c r="CT296" s="1"/>
      <c r="CU296" s="1"/>
    </row>
    <row r="297" spans="1:99" s="13" customFormat="1" ht="12" customHeight="1" x14ac:dyDescent="0.2">
      <c r="A297" s="65">
        <v>43509</v>
      </c>
      <c r="B297" s="1" t="s">
        <v>77</v>
      </c>
      <c r="C297" s="1" t="s">
        <v>78</v>
      </c>
      <c r="D297" s="60">
        <v>1990</v>
      </c>
      <c r="E297" s="76">
        <v>1</v>
      </c>
      <c r="F297" s="60">
        <v>48</v>
      </c>
      <c r="G297" s="60">
        <v>9.3000000000000007</v>
      </c>
      <c r="H297" s="60" t="s">
        <v>22</v>
      </c>
      <c r="I297" s="60" t="s">
        <v>666</v>
      </c>
      <c r="J297" s="60" t="s">
        <v>29</v>
      </c>
      <c r="K297" s="60">
        <f>IF(J297="syllables",1,IF(J297="trigrams",2,IF(J297="strings",3,IF(J297="visual array",4,IF(J297="characters",5,IF(J297="letters",6,IF(J297="free forms",7,IF(J297="odors",8,IF(J297="words",9,IF(J297="pictures",10,IF(J297="object pictures",11,IF(J297="faces",12,IF(J297="names",13,IF(J297="idioms",14,IF(J297="grades",15,IF(J297="syllable-digit pairs",16,IF(J297="trigram-word pairs",17,IF(J297="word-digit pairs",18,IF(J297="English-Swahili pairs",19,IF(J297="spatial position",20,IF(J297="word pairs",21,IF(J297="word triads",22,IF(J297="generated words",23,IF(J297="word definition pairs",24,IF(J297="math problems",25,IF(J297="famous faces",26,IF(J297="famous names",27,IF(J297="famous voices",28,IF(J297="television programs",29,IF(J297="race horses",30,IF(J297="new vocabulary",31,IF(J297="sentences",32,IF(J297="concepts",33,IF(J297="ad slides",34,IF(J297="scenes",35,IF(J297="famous scenes",36,IF(J297="poems",37,IF(J297="walk",38,IF(J297="faces and events",39,IF(J297="events and names",40,IF(J297="flashbulb",41,IF(J297="stories",42,IF(J297="course material",43,IF(J297="autobiographical",44,IF(J297="novels",45,IF(J297="public events",46,"99"))))))))))))))))))))))))))))))))))))))))))))))</f>
        <v>9</v>
      </c>
      <c r="L297" s="60">
        <f>IF(J297="syllables",1,IF(J297="trigrams",1,IF(J297="strings",1,IF(J297="visual array",1,IF(J297="characters",1,IF(J297="letters",1,IF(J297="free forms",1,IF(J297="odors",2,IF(J297="words",2,IF(J297="pictures",2,IF(J297="object pictures",2,IF(J297="faces",2,IF(J297="names",2,IF(J297="idioms","2",IF(J297="grades",2,IF(J297="syllable-digit pairs",3,IF(J297="trigram-word pairs",3,IF(J297="word-digit pairs",3,IF(J297="English-Swahili pairs",3,IF(J297="spatial position",3,IF(J297="word pairs",4,IF(J297="word triads",4,IF(J297="generated words",4,IF(J297="word definition pairs",4,IF(J297="math problems",4,IF(J297="famous faces",4,IF(J297="famous names",4,IF(J297="famous voices",4,IF(J297="television programs",4,IF(J297="race horses",4,IF(J297="new vocabulary",4,IF(J297="sentences",5,IF(J297="concepts",5,IF(J297="ad slides",5,IF(J297="scenes",5,IF(J297="famous scenes",5,IF(J297="poems",6,IF(J297="walk",6,IF(J297="faces and events",6,IF(J297="events and names",6,IF(J297="flashbulb",7,IF(J297="stories",7,IF(J297="course material",7,IF(J297="autobiographical",7,IF(J297="novels",7,IF(J297="public events",7,"99"))))))))))))))))))))))))))))))))))))))))))))))</f>
        <v>2</v>
      </c>
      <c r="M297" s="60">
        <v>1</v>
      </c>
      <c r="N297" s="60">
        <v>2</v>
      </c>
      <c r="O297" s="60">
        <v>0</v>
      </c>
      <c r="P297" s="60"/>
      <c r="Q297" s="60" t="s">
        <v>34</v>
      </c>
      <c r="R297" s="60">
        <f>IF(Q297="Free Recall",1,IF(Q297="Cued Recall",2,IF(Q297="Recognition",3,IF(Q297="Multiple Choice",4,IF(Q297="Savings",5,IF(Q297="Stem Completion",6,IF(Q297="Fragment Completion",7,IF(Q297="anagram solution",8,IF(Q297="Matching",9,IF(Q297="Problem Solving",10,"99"))))))))))</f>
        <v>3</v>
      </c>
      <c r="S297" s="59" t="s">
        <v>15</v>
      </c>
      <c r="T297" s="59" t="s">
        <v>261</v>
      </c>
      <c r="U297" s="60">
        <f>IF(T297="within",1,0)</f>
        <v>0</v>
      </c>
      <c r="V297" s="59">
        <v>40</v>
      </c>
      <c r="W297" s="60">
        <f>F297*V297</f>
        <v>1920</v>
      </c>
      <c r="X297" s="60">
        <v>3</v>
      </c>
      <c r="Y297" s="76">
        <f>AV296</f>
        <v>800</v>
      </c>
      <c r="Z297" s="60" t="s">
        <v>79</v>
      </c>
      <c r="AA297" s="60">
        <v>86400</v>
      </c>
      <c r="AB297" s="60" t="str">
        <f>IF(AA297&lt;60,"1",IF(AA297&lt;=43200,"2",IF(AA297&lt;=777600,"3","4")))</f>
        <v>3</v>
      </c>
      <c r="AC297" s="56">
        <f>AVERAGE(AV296:DA296)</f>
        <v>31466.666666666668</v>
      </c>
      <c r="AD297" s="60" t="str">
        <f>IF(AC297&lt;60,"1",IF(AC297&lt;=43200,"2",IF(AC297&lt;=777600,"3","4")))</f>
        <v>2</v>
      </c>
      <c r="AE297" s="76">
        <f>AA297-Y297</f>
        <v>85600</v>
      </c>
      <c r="AF297" s="80">
        <f>AV297</f>
        <v>0.96299999999999997</v>
      </c>
      <c r="AG297" s="56">
        <f>((AW297-AV297)+(AX297-AW297))/2</f>
        <v>-1.0500000000000009E-2</v>
      </c>
      <c r="AH297" s="4"/>
      <c r="AI297" s="56">
        <f>RSQ(AV297:AX297,AV296:AX296)</f>
        <v>0.8227304785284244</v>
      </c>
      <c r="AJ297" s="109">
        <f>SLOPE(AV297:AX297,AV296:AX296)</f>
        <v>-3.1774889743830373E-7</v>
      </c>
      <c r="AK297" s="56">
        <f>INTERCEPT(AV297:AX297,AV296:AX296)</f>
        <v>0.96999849863939192</v>
      </c>
      <c r="AL297" s="56">
        <f>INDEX(LINEST(LN(AV297:AX297),LN(AV296:AX296),TRUE,TRUE),3,1)</f>
        <v>0.4344968192259403</v>
      </c>
      <c r="AM297" s="56">
        <f>INDEX(LINEST(LN(AV297:AX297),LN(AV296:AX296)),1)</f>
        <v>-4.9076066639987337E-3</v>
      </c>
      <c r="AN297" s="56">
        <f>EXP(INDEX(LINEST(LN(AV297:AX297),LN(AV296:AX296)),1,2))</f>
        <v>1.003140864878368</v>
      </c>
      <c r="AO297" s="82">
        <f>INDEX(LINEST((AV297:AX297),LN(AV296:AX296),TRUE,TRUE),3,1)</f>
        <v>0.43006653218500951</v>
      </c>
      <c r="AP297" s="82">
        <f>INDEX(LINEST((AV297:AX297),LN(AV296:AX296)),1)</f>
        <v>-4.6760942262203016E-3</v>
      </c>
      <c r="AQ297" s="83">
        <f>INDEX(LINEST(LN(AV297:AX297),SQRT(AV296:AX296),TRUE,TRUE),3,1)</f>
        <v>0.71199193870391975</v>
      </c>
      <c r="AR297" s="116">
        <f>INDEX(LINEST(LN(AV297:AX297),SQRT((AV296:AX296))),1)</f>
        <v>-1.0516645084707174E-4</v>
      </c>
      <c r="AS297" s="84">
        <f>INDEX(LINEST(1/(AV297:AX297),1/(SQRT(AV296:AX296)),TRUE,TRUE),3,1)</f>
        <v>0.16692397240875007</v>
      </c>
      <c r="AT297" s="84">
        <f>INDEX(LINEST(1/(AV297:AX297),1/SQRT(AV296:AX296)),1)</f>
        <v>-0.44914172383553058</v>
      </c>
      <c r="AU297" s="3"/>
      <c r="AV297" s="53">
        <v>0.96299999999999997</v>
      </c>
      <c r="AW297" s="53">
        <v>0.97499999999999998</v>
      </c>
      <c r="AX297" s="53">
        <v>0.94199999999999995</v>
      </c>
      <c r="AY297" s="53"/>
      <c r="AZ297" s="43"/>
      <c r="BA297" s="53"/>
      <c r="BB297" s="53"/>
      <c r="BC297" s="53"/>
      <c r="BD297" s="53"/>
      <c r="BE297" s="53"/>
      <c r="BF297" s="53"/>
      <c r="BG297" s="53"/>
      <c r="BH297" s="53"/>
      <c r="BI297" s="53"/>
      <c r="BJ297" s="53"/>
      <c r="BK297" s="53"/>
      <c r="BL297" s="53"/>
      <c r="BM297" s="53"/>
      <c r="BN297" s="53"/>
      <c r="BO297" s="53"/>
      <c r="BP297" s="53"/>
      <c r="BQ297" s="53"/>
      <c r="BR297" s="53"/>
      <c r="BS297" s="53"/>
      <c r="BT297" s="53"/>
      <c r="BU297" s="53"/>
      <c r="BV297" s="53"/>
      <c r="BW297" s="53"/>
      <c r="BX297" s="53"/>
      <c r="BY297" s="53"/>
      <c r="BZ297" s="53"/>
      <c r="CA297" s="53"/>
      <c r="CB297" s="53"/>
      <c r="CC297" s="53"/>
      <c r="CD297" s="53"/>
      <c r="CE297" s="53"/>
      <c r="CF297" s="53"/>
      <c r="CG297" s="53"/>
      <c r="CH297" s="53"/>
      <c r="CI297" s="53"/>
      <c r="CJ297" s="53"/>
      <c r="CK297" s="53"/>
      <c r="CL297" s="53"/>
      <c r="CM297" s="53"/>
      <c r="CN297" s="53"/>
      <c r="CO297" s="53"/>
      <c r="CP297" s="53"/>
      <c r="CQ297" s="53"/>
      <c r="CR297" s="1"/>
      <c r="CS297" s="1"/>
      <c r="CT297" s="1"/>
      <c r="CU297" s="1"/>
    </row>
    <row r="298" spans="1:99" s="13" customFormat="1" ht="12" customHeight="1" x14ac:dyDescent="0.2">
      <c r="A298" s="65">
        <v>43509</v>
      </c>
      <c r="B298" s="1"/>
      <c r="C298" s="1"/>
      <c r="D298" s="60"/>
      <c r="E298" s="76"/>
      <c r="F298" s="60"/>
      <c r="G298" s="60"/>
      <c r="H298" s="60"/>
      <c r="I298" s="60"/>
      <c r="J298" s="60"/>
      <c r="K298" s="64"/>
      <c r="L298" s="64"/>
      <c r="M298" s="60"/>
      <c r="N298" s="60"/>
      <c r="O298" s="60"/>
      <c r="P298" s="60"/>
      <c r="Q298" s="60"/>
      <c r="R298" s="60"/>
      <c r="S298" s="60"/>
      <c r="T298" s="59"/>
      <c r="U298" s="60"/>
      <c r="V298" s="60"/>
      <c r="W298" s="60"/>
      <c r="X298" s="60"/>
      <c r="Y298" s="76"/>
      <c r="Z298" s="60"/>
      <c r="AA298" s="60"/>
      <c r="AB298" s="60"/>
      <c r="AC298" s="60"/>
      <c r="AD298" s="60"/>
      <c r="AE298" s="60"/>
      <c r="AF298" s="80"/>
      <c r="AG298" s="56"/>
      <c r="AH298" s="4"/>
      <c r="AI298" s="56"/>
      <c r="AJ298" s="109"/>
      <c r="AK298" s="56"/>
      <c r="AL298" s="56"/>
      <c r="AM298" s="56"/>
      <c r="AN298" s="56"/>
      <c r="AO298" s="56"/>
      <c r="AP298" s="56"/>
      <c r="AQ298" s="56"/>
      <c r="AR298" s="109"/>
      <c r="AS298" s="56"/>
      <c r="AT298" s="56"/>
      <c r="AU298" s="5"/>
      <c r="AV298" s="25">
        <v>800</v>
      </c>
      <c r="AW298" s="25">
        <f>60*60*2</f>
        <v>7200</v>
      </c>
      <c r="AX298" s="25">
        <f>60*60*24</f>
        <v>86400</v>
      </c>
      <c r="AY298" s="53"/>
      <c r="AZ298" s="43"/>
      <c r="BA298" s="53"/>
      <c r="BB298" s="53"/>
      <c r="BC298" s="53"/>
      <c r="BD298" s="53"/>
      <c r="BE298" s="53"/>
      <c r="BF298" s="53"/>
      <c r="BG298" s="53"/>
      <c r="BH298" s="53"/>
      <c r="BI298" s="53"/>
      <c r="BJ298" s="53"/>
      <c r="BK298" s="53"/>
      <c r="BL298" s="53"/>
      <c r="BM298" s="53"/>
      <c r="BN298" s="53"/>
      <c r="BO298" s="53"/>
      <c r="BP298" s="53"/>
      <c r="BQ298" s="53"/>
      <c r="BR298" s="53"/>
      <c r="BS298" s="53"/>
      <c r="BT298" s="53"/>
      <c r="BU298" s="53"/>
      <c r="BV298" s="53"/>
      <c r="BW298" s="53"/>
      <c r="BX298" s="53"/>
      <c r="BY298" s="53"/>
      <c r="BZ298" s="53"/>
      <c r="CA298" s="53"/>
      <c r="CB298" s="53"/>
      <c r="CC298" s="53"/>
      <c r="CD298" s="53"/>
      <c r="CE298" s="53"/>
      <c r="CF298" s="53"/>
      <c r="CG298" s="53"/>
      <c r="CH298" s="53"/>
      <c r="CI298" s="53"/>
      <c r="CJ298" s="53"/>
      <c r="CK298" s="53"/>
      <c r="CL298" s="53"/>
      <c r="CM298" s="53"/>
      <c r="CN298" s="53"/>
      <c r="CO298" s="53"/>
      <c r="CP298" s="53"/>
      <c r="CQ298" s="53"/>
      <c r="CR298" s="1"/>
      <c r="CS298" s="1"/>
      <c r="CT298" s="1"/>
      <c r="CU298" s="1"/>
    </row>
    <row r="299" spans="1:99" s="13" customFormat="1" ht="12" customHeight="1" x14ac:dyDescent="0.2">
      <c r="A299" s="65">
        <v>43509</v>
      </c>
      <c r="B299" s="1" t="s">
        <v>77</v>
      </c>
      <c r="C299" s="1" t="s">
        <v>78</v>
      </c>
      <c r="D299" s="60">
        <v>1990</v>
      </c>
      <c r="E299" s="76">
        <v>1</v>
      </c>
      <c r="F299" s="60">
        <v>48</v>
      </c>
      <c r="G299" s="60">
        <v>9.3000000000000007</v>
      </c>
      <c r="H299" s="60" t="s">
        <v>22</v>
      </c>
      <c r="I299" s="60" t="s">
        <v>667</v>
      </c>
      <c r="J299" s="60" t="s">
        <v>29</v>
      </c>
      <c r="K299" s="60">
        <f>IF(J299="syllables",1,IF(J299="trigrams",2,IF(J299="strings",3,IF(J299="visual array",4,IF(J299="characters",5,IF(J299="letters",6,IF(J299="free forms",7,IF(J299="odors",8,IF(J299="words",9,IF(J299="pictures",10,IF(J299="object pictures",11,IF(J299="faces",12,IF(J299="names",13,IF(J299="idioms",14,IF(J299="grades",15,IF(J299="syllable-digit pairs",16,IF(J299="trigram-word pairs",17,IF(J299="word-digit pairs",18,IF(J299="English-Swahili pairs",19,IF(J299="spatial position",20,IF(J299="word pairs",21,IF(J299="word triads",22,IF(J299="generated words",23,IF(J299="word definition pairs",24,IF(J299="math problems",25,IF(J299="famous faces",26,IF(J299="famous names",27,IF(J299="famous voices",28,IF(J299="television programs",29,IF(J299="race horses",30,IF(J299="new vocabulary",31,IF(J299="sentences",32,IF(J299="concepts",33,IF(J299="ad slides",34,IF(J299="scenes",35,IF(J299="famous scenes",36,IF(J299="poems",37,IF(J299="walk",38,IF(J299="faces and events",39,IF(J299="events and names",40,IF(J299="flashbulb",41,IF(J299="stories",42,IF(J299="course material",43,IF(J299="autobiographical",44,IF(J299="novels",45,IF(J299="public events",46,"99"))))))))))))))))))))))))))))))))))))))))))))))</f>
        <v>9</v>
      </c>
      <c r="L299" s="60">
        <f>IF(J299="syllables",1,IF(J299="trigrams",1,IF(J299="strings",1,IF(J299="visual array",1,IF(J299="characters",1,IF(J299="letters",1,IF(J299="free forms",1,IF(J299="odors",2,IF(J299="words",2,IF(J299="pictures",2,IF(J299="object pictures",2,IF(J299="faces",2,IF(J299="names",2,IF(J299="idioms","2",IF(J299="grades",2,IF(J299="syllable-digit pairs",3,IF(J299="trigram-word pairs",3,IF(J299="word-digit pairs",3,IF(J299="English-Swahili pairs",3,IF(J299="spatial position",3,IF(J299="word pairs",4,IF(J299="word triads",4,IF(J299="generated words",4,IF(J299="word definition pairs",4,IF(J299="math problems",4,IF(J299="famous faces",4,IF(J299="famous names",4,IF(J299="famous voices",4,IF(J299="television programs",4,IF(J299="race horses",4,IF(J299="new vocabulary",4,IF(J299="sentences",5,IF(J299="concepts",5,IF(J299="ad slides",5,IF(J299="scenes",5,IF(J299="famous scenes",5,IF(J299="poems",6,IF(J299="walk",6,IF(J299="faces and events",6,IF(J299="events and names",6,IF(J299="flashbulb",7,IF(J299="stories",7,IF(J299="course material",7,IF(J299="autobiographical",7,IF(J299="novels",7,IF(J299="public events",7,"99"))))))))))))))))))))))))))))))))))))))))))))))</f>
        <v>2</v>
      </c>
      <c r="M299" s="60">
        <v>1</v>
      </c>
      <c r="N299" s="60">
        <v>2</v>
      </c>
      <c r="O299" s="60">
        <v>0</v>
      </c>
      <c r="P299" s="60"/>
      <c r="Q299" s="60" t="s">
        <v>34</v>
      </c>
      <c r="R299" s="60">
        <f>IF(Q299="Free Recall",1,IF(Q299="Cued Recall",2,IF(Q299="Recognition",3,IF(Q299="Multiple Choice",4,IF(Q299="Savings",5,IF(Q299="Stem Completion",6,IF(Q299="Fragment Completion",7,IF(Q299="anagram solution",8,IF(Q299="Matching",9,IF(Q299="Problem Solving",10,"99"))))))))))</f>
        <v>3</v>
      </c>
      <c r="S299" s="59" t="s">
        <v>15</v>
      </c>
      <c r="T299" s="59" t="s">
        <v>261</v>
      </c>
      <c r="U299" s="60">
        <f>IF(T299="within",1,0)</f>
        <v>0</v>
      </c>
      <c r="V299" s="59">
        <v>40</v>
      </c>
      <c r="W299" s="60">
        <f>F299*V299</f>
        <v>1920</v>
      </c>
      <c r="X299" s="60">
        <v>3</v>
      </c>
      <c r="Y299" s="76">
        <f>AV298</f>
        <v>800</v>
      </c>
      <c r="Z299" s="60" t="s">
        <v>79</v>
      </c>
      <c r="AA299" s="60">
        <v>86400</v>
      </c>
      <c r="AB299" s="60" t="str">
        <f>IF(AA299&lt;60,"1",IF(AA299&lt;=43200,"2",IF(AA299&lt;=777600,"3","4")))</f>
        <v>3</v>
      </c>
      <c r="AC299" s="56">
        <f>AVERAGE(AV298:DA298)</f>
        <v>31466.666666666668</v>
      </c>
      <c r="AD299" s="60" t="str">
        <f>IF(AC299&lt;60,"1",IF(AC299&lt;=43200,"2",IF(AC299&lt;=777600,"3","4")))</f>
        <v>2</v>
      </c>
      <c r="AE299" s="76">
        <f>AA299-Y299</f>
        <v>85600</v>
      </c>
      <c r="AF299" s="80">
        <f>AV299</f>
        <v>0.98299999999999998</v>
      </c>
      <c r="AG299" s="56">
        <f>((AW299-AV299)+(AX299-AW299))/2</f>
        <v>-1.9500000000000017E-2</v>
      </c>
      <c r="AH299" s="4"/>
      <c r="AI299" s="56">
        <f>RSQ(AV299:AX299,AV298:AX298)</f>
        <v>0.98363953310692509</v>
      </c>
      <c r="AJ299" s="109">
        <f>SLOPE(AV299:AX299,AV298:AX298)</f>
        <v>-4.2847424228206854E-7</v>
      </c>
      <c r="AK299" s="56">
        <f>INTERCEPT(AV299:AX299,AV298:AX298)</f>
        <v>0.98081598949047577</v>
      </c>
      <c r="AL299" s="56">
        <f>INDEX(LINEST(LN(AV299:AX299),LN(AV298:AX298),TRUE,TRUE),3,1)</f>
        <v>0.91485656257094861</v>
      </c>
      <c r="AM299" s="56">
        <f>INDEX(LINEST(LN(AV299:AX299),LN(AV298:AX298)),1)</f>
        <v>-8.7408600388486375E-3</v>
      </c>
      <c r="AN299" s="56">
        <f>EXP(INDEX(LINEST(LN(AV299:AX299),LN(AV298:AX298)),1,2))</f>
        <v>1.0461415948307704</v>
      </c>
      <c r="AO299" s="82">
        <f>INDEX(LINEST((AV299:AX299),LN(AV298:AX298),TRUE,TRUE),3,1)</f>
        <v>0.9167359401726175</v>
      </c>
      <c r="AP299" s="82">
        <f>INDEX(LINEST((AV299:AX299),LN(AV298:AX298)),1)</f>
        <v>-8.4195529432913394E-3</v>
      </c>
      <c r="AQ299" s="83">
        <f>INDEX(LINEST(LN(AV299:AX299),SQRT(AV298:AX298),TRUE,TRUE),3,1)</f>
        <v>0.99986799580836971</v>
      </c>
      <c r="AR299" s="116">
        <f>INDEX(LINEST(LN(AV299:AX299),SQRT((AV298:AX298))),1)</f>
        <v>-1.5297210000093575E-4</v>
      </c>
      <c r="AS299" s="84">
        <f>INDEX(LINEST(1/(AV299:AX299),1/(SQRT(AV298:AX298)),TRUE,TRUE),3,1)</f>
        <v>0.67863372869436589</v>
      </c>
      <c r="AT299" s="84">
        <f>INDEX(LINEST(1/(AV299:AX299),1/SQRT(AV298:AX298)),1)</f>
        <v>-1.106374132659856</v>
      </c>
      <c r="AU299" s="3"/>
      <c r="AV299" s="53">
        <v>0.98299999999999998</v>
      </c>
      <c r="AW299" s="53">
        <v>0.97499999999999998</v>
      </c>
      <c r="AX299" s="53">
        <v>0.94399999999999995</v>
      </c>
      <c r="AY299" s="53"/>
      <c r="AZ299" s="43"/>
      <c r="BA299" s="53"/>
      <c r="BB299" s="53"/>
      <c r="BC299" s="53"/>
      <c r="BD299" s="53"/>
      <c r="BE299" s="53"/>
      <c r="BF299" s="53"/>
      <c r="BG299" s="53"/>
      <c r="BH299" s="53"/>
      <c r="BI299" s="53"/>
      <c r="BJ299" s="53"/>
      <c r="BK299" s="53"/>
      <c r="BL299" s="53"/>
      <c r="BM299" s="53"/>
      <c r="BN299" s="53"/>
      <c r="BO299" s="53"/>
      <c r="BP299" s="53"/>
      <c r="BQ299" s="53"/>
      <c r="BR299" s="53"/>
      <c r="BS299" s="53"/>
      <c r="BT299" s="53"/>
      <c r="BU299" s="53"/>
      <c r="BV299" s="53"/>
      <c r="BW299" s="53"/>
      <c r="BX299" s="53"/>
      <c r="BY299" s="53"/>
      <c r="BZ299" s="53"/>
      <c r="CA299" s="53"/>
      <c r="CB299" s="53"/>
      <c r="CC299" s="53"/>
      <c r="CD299" s="53"/>
      <c r="CE299" s="53"/>
      <c r="CF299" s="53"/>
      <c r="CG299" s="53"/>
      <c r="CH299" s="53"/>
      <c r="CI299" s="53"/>
      <c r="CJ299" s="53"/>
      <c r="CK299" s="53"/>
      <c r="CL299" s="53"/>
      <c r="CM299" s="53"/>
      <c r="CN299" s="53"/>
      <c r="CO299" s="53"/>
      <c r="CP299" s="53"/>
      <c r="CQ299" s="53"/>
      <c r="CR299" s="1"/>
      <c r="CS299" s="1"/>
      <c r="CT299" s="1"/>
      <c r="CU299" s="1"/>
    </row>
    <row r="300" spans="1:99" s="13" customFormat="1" ht="12" customHeight="1" x14ac:dyDescent="0.2">
      <c r="A300" s="68">
        <v>43895</v>
      </c>
      <c r="B300" s="70"/>
      <c r="C300" s="70"/>
      <c r="D300" s="69"/>
      <c r="E300" s="87"/>
      <c r="F300" s="69"/>
      <c r="G300" s="69"/>
      <c r="H300" s="69"/>
      <c r="I300" s="69"/>
      <c r="J300" s="69"/>
      <c r="K300" s="107"/>
      <c r="L300" s="107"/>
      <c r="M300" s="69"/>
      <c r="N300" s="86"/>
      <c r="O300" s="69"/>
      <c r="P300" s="69"/>
      <c r="Q300" s="69"/>
      <c r="R300" s="69"/>
      <c r="S300" s="69"/>
      <c r="T300" s="69"/>
      <c r="U300" s="69"/>
      <c r="V300" s="69"/>
      <c r="W300" s="69"/>
      <c r="X300" s="69"/>
      <c r="Y300" s="87"/>
      <c r="Z300" s="69"/>
      <c r="AA300" s="69"/>
      <c r="AB300" s="69"/>
      <c r="AC300" s="72"/>
      <c r="AD300" s="69"/>
      <c r="AE300" s="69"/>
      <c r="AF300" s="88"/>
      <c r="AG300" s="72"/>
      <c r="AH300" s="4"/>
      <c r="AI300" s="72"/>
      <c r="AJ300" s="110"/>
      <c r="AK300" s="72"/>
      <c r="AL300" s="72"/>
      <c r="AM300" s="72"/>
      <c r="AN300" s="72"/>
      <c r="AO300" s="89"/>
      <c r="AP300" s="89"/>
      <c r="AQ300" s="90"/>
      <c r="AR300" s="117"/>
      <c r="AS300" s="91"/>
      <c r="AT300" s="91"/>
      <c r="AU300" s="3"/>
      <c r="AV300" s="71">
        <v>157680000</v>
      </c>
      <c r="AW300" s="71">
        <v>473040000</v>
      </c>
      <c r="AX300" s="71">
        <v>788400000</v>
      </c>
      <c r="AY300" s="71">
        <v>1103760000</v>
      </c>
      <c r="AZ300" s="73"/>
      <c r="BA300" s="53"/>
      <c r="BB300" s="53"/>
      <c r="BC300" s="53"/>
      <c r="BD300" s="53"/>
      <c r="BE300" s="53"/>
      <c r="BF300" s="53"/>
      <c r="BG300" s="53"/>
      <c r="BH300" s="53"/>
      <c r="BI300" s="53"/>
      <c r="BJ300" s="53"/>
      <c r="BK300" s="53"/>
      <c r="BL300" s="53"/>
      <c r="BM300" s="53"/>
      <c r="BN300" s="53"/>
      <c r="BO300" s="53"/>
      <c r="BP300" s="53"/>
      <c r="BQ300" s="53"/>
      <c r="BR300" s="53"/>
      <c r="BS300" s="53"/>
      <c r="BT300" s="53"/>
      <c r="BU300" s="53"/>
      <c r="BV300" s="53"/>
      <c r="BW300" s="53"/>
      <c r="BX300" s="53"/>
      <c r="BY300" s="53"/>
      <c r="BZ300" s="53"/>
      <c r="CA300" s="53"/>
      <c r="CB300" s="53"/>
      <c r="CC300" s="53"/>
      <c r="CD300" s="53"/>
      <c r="CE300" s="53"/>
      <c r="CF300" s="53"/>
      <c r="CG300" s="53"/>
      <c r="CH300" s="53"/>
      <c r="CI300" s="53"/>
      <c r="CJ300" s="53"/>
      <c r="CK300" s="53"/>
      <c r="CL300" s="53"/>
      <c r="CM300" s="53"/>
      <c r="CN300" s="53"/>
      <c r="CO300" s="53"/>
      <c r="CP300" s="53"/>
      <c r="CQ300" s="53"/>
      <c r="CR300" s="1"/>
      <c r="CS300" s="1"/>
      <c r="CT300" s="1"/>
      <c r="CU300" s="1"/>
    </row>
    <row r="301" spans="1:99" s="13" customFormat="1" ht="12" customHeight="1" x14ac:dyDescent="0.2">
      <c r="A301" s="68">
        <v>43895</v>
      </c>
      <c r="B301" s="70" t="s">
        <v>343</v>
      </c>
      <c r="C301" s="70" t="s">
        <v>344</v>
      </c>
      <c r="D301" s="69">
        <v>1981</v>
      </c>
      <c r="E301" s="105">
        <v>1</v>
      </c>
      <c r="F301" s="69">
        <v>28</v>
      </c>
      <c r="G301" s="69">
        <v>28</v>
      </c>
      <c r="H301" s="69" t="s">
        <v>41</v>
      </c>
      <c r="I301" s="69" t="s">
        <v>330</v>
      </c>
      <c r="J301" s="69" t="s">
        <v>340</v>
      </c>
      <c r="K301" s="69">
        <f>IF(J301="syllables",1,IF(J301="trigrams",2,IF(J301="strings",3,IF(J301="visual array",4,IF(J301="characters",5,IF(J301="letters",6,IF(J301="free forms",7,IF(J301="odors",8,IF(J301="words",9,IF(J301="pictures",10,IF(J301="object pictures",11,IF(J301="faces",12,IF(J301="names",13,IF(J301="idioms",14,IF(J301="grades",15,IF(J301="syllable-digit pairs",16,IF(J301="trigram-word pairs",17,IF(J301="word-digit pairs",18,IF(J301="English-Swahili pairs",19,IF(J301="spatial position",20,IF(J301="word pairs",21,IF(J301="word triads",22,IF(J301="generated words",23,IF(J301="word definition pairs",24,IF(J301="math problems",25,IF(J301="famous faces",26,IF(J301="famous names",27,IF(J301="famous voices",28,IF(J301="television programs",29,IF(J301="race horses",30,IF(J301="new vocabulary",31,IF(J301="sentences",32,IF(J301="concepts",33,IF(J301="ad slides",34,IF(J301="scenes",35,IF(J301="famous scenes",36,IF(J301="poems",37,IF(J301="walk",38,IF(J301="faces and events",39,IF(J301="events and names",40,IF(J301="flashbulb",41,IF(J301="stories",42,IF(J301="course material",43,IF(J301="autobiographical",44,IF(J301="novels",45,IF(J301="public events",46,"99"))))))))))))))))))))))))))))))))))))))))))))))</f>
        <v>46</v>
      </c>
      <c r="L301" s="69">
        <f>IF(J301="syllables",1,IF(J301="trigrams",1,IF(J301="strings",1,IF(J301="visual array",1,IF(J301="characters",1,IF(J301="letters",1,IF(J301="free forms",1,IF(J301="odors",2,IF(J301="words",2,IF(J301="pictures",2,IF(J301="object pictures",2,IF(J301="faces",2,IF(J301="names",2,IF(J301="idioms","2",IF(J301="grades",2,IF(J301="syllable-digit pairs",3,IF(J301="trigram-word pairs",3,IF(J301="word-digit pairs",3,IF(J301="English-Swahili pairs",3,IF(J301="spatial position",3,IF(J301="word pairs",4,IF(J301="word triads",4,IF(J301="generated words",4,IF(J301="word definition pairs",4,IF(J301="math problems",4,IF(J301="famous faces",4,IF(J301="famous names",4,IF(J301="famous voices",4,IF(J301="television programs",4,IF(J301="race horses",4,IF(J301="new vocabulary",4,IF(J301="sentences",5,IF(J301="concepts",5,IF(J301="ad slides",5,IF(J301="scenes",5,IF(J301="famous scenes",5,IF(J301="poems",6,IF(J301="walk",6,IF(J301="faces and events",6,IF(J301="events and names",6,IF(J301="flashbulb",7,IF(J301="stories",7,IF(J301="course material",7,IF(J301="autobiographical",7,IF(J301="novels",7,IF(J301="public events",7,"99"))))))))))))))))))))))))))))))))))))))))))))))</f>
        <v>7</v>
      </c>
      <c r="M301" s="69">
        <v>1</v>
      </c>
      <c r="N301" s="86">
        <v>4</v>
      </c>
      <c r="O301" s="69">
        <v>0</v>
      </c>
      <c r="P301" s="69"/>
      <c r="Q301" s="69" t="s">
        <v>182</v>
      </c>
      <c r="R301" s="69">
        <f>IF(Q301="Free Recall",1,IF(Q301="Cued Recall",2,IF(Q301="Recognition",3,IF(Q301="Multiple Choice",4,IF(Q301="Savings",5,IF(Q301="Stem Completion",6,IF(Q301="Fragment Completion",7,IF(Q301="anagram solution",8,IF(Q301="Matching",9,IF(Q301="Problem Solving",10,"99"))))))))))</f>
        <v>4</v>
      </c>
      <c r="S301" s="92" t="s">
        <v>15</v>
      </c>
      <c r="T301" s="92" t="s">
        <v>581</v>
      </c>
      <c r="U301" s="69">
        <f>IF(T301="within",1,0)</f>
        <v>1</v>
      </c>
      <c r="V301" s="92">
        <v>88</v>
      </c>
      <c r="W301" s="69">
        <f>F301*V301</f>
        <v>2464</v>
      </c>
      <c r="X301" s="69">
        <v>4</v>
      </c>
      <c r="Y301" s="87">
        <f>AV300</f>
        <v>157680000</v>
      </c>
      <c r="Z301" s="92" t="s">
        <v>375</v>
      </c>
      <c r="AA301" s="69">
        <f>35*365*24*60*60</f>
        <v>1103760000</v>
      </c>
      <c r="AB301" s="69" t="str">
        <f>IF(AA301&lt;60,"1",IF(AA301&lt;=43200,"2",IF(AA301&lt;=777600,"3","4")))</f>
        <v>4</v>
      </c>
      <c r="AC301" s="72">
        <f>AVERAGE(AV300:DA300)</f>
        <v>630720000</v>
      </c>
      <c r="AD301" s="69" t="str">
        <f>IF(AC301&lt;60,"1",IF(AC301&lt;=43200,"2",IF(AC301&lt;=777600,"3","4")))</f>
        <v>4</v>
      </c>
      <c r="AE301" s="87">
        <f>AA301-Y301</f>
        <v>946080000</v>
      </c>
      <c r="AF301" s="88">
        <f>AV301</f>
        <v>0.90526315789473688</v>
      </c>
      <c r="AG301" s="72">
        <f>((AW301-AV301)+(AX301-AW301)+(AY301-AX301))/3</f>
        <v>-5.508771929824563E-2</v>
      </c>
      <c r="AH301" s="4"/>
      <c r="AI301" s="72">
        <f>RSQ(AV301:AY301,AV300:AY300)</f>
        <v>0.92109515417554022</v>
      </c>
      <c r="AJ301" s="110">
        <f>SLOPE(AV301:AY301,AV300:AY300)</f>
        <v>-1.6503770720826679E-10</v>
      </c>
      <c r="AK301" s="72">
        <f>INTERCEPT(AV301:AY301,AV300:AY300)</f>
        <v>0.91308616606829118</v>
      </c>
      <c r="AL301" s="72">
        <f>INDEX(LINEST(LN(AV301:AY301),LN(AV300:AY300),TRUE,TRUE),3,1)</f>
        <v>0.98561329669187936</v>
      </c>
      <c r="AM301" s="72">
        <f>INDEX(LINEST(LN(AV301:AY301),LN(AV300:AY300)),1)</f>
        <v>-9.9130471757127095E-2</v>
      </c>
      <c r="AN301" s="72">
        <f>EXP(INDEX(LINEST(LN(AV301:AY301),LN(AV300:AY300)),1,2))</f>
        <v>5.8816071037444573</v>
      </c>
      <c r="AO301" s="89">
        <f>INDEX(LINEST((AV301:AY301),LN(AV300:AY300),TRUE,TRUE),3,1)</f>
        <v>0.98775087632320036</v>
      </c>
      <c r="AP301" s="89">
        <f>INDEX(LINEST((AV301:AY301),LN(AV300:AY300)),1)</f>
        <v>-8.1831325989021403E-2</v>
      </c>
      <c r="AQ301" s="90">
        <f>INDEX(LINEST(LN(AV301:AY301),SQRT(AV300:AY300),TRUE,TRUE),3,1)</f>
        <v>0.97563957434515991</v>
      </c>
      <c r="AR301" s="117">
        <f>INDEX(LINEST(LN(AV301:AY301),SQRT((AV300:AY300))),1)</f>
        <v>-9.4220402674466619E-6</v>
      </c>
      <c r="AS301" s="91">
        <f>INDEX(LINEST(1/(AV301:AY301),1/(SQRT(AV300:AY300)),TRUE,TRUE),3,1)</f>
        <v>0.95492937004734824</v>
      </c>
      <c r="AT301" s="91">
        <f>INDEX(LINEST(1/(AV301:AY301),1/SQRT(AV300:AY300)),1)</f>
        <v>-4550.7773959199067</v>
      </c>
      <c r="AU301" s="3"/>
      <c r="AV301" s="95">
        <v>0.90526315789473688</v>
      </c>
      <c r="AW301" s="95">
        <v>0.80769230769230771</v>
      </c>
      <c r="AX301" s="95">
        <v>0.78301886792452824</v>
      </c>
      <c r="AY301" s="95">
        <v>0.74</v>
      </c>
      <c r="AZ301" s="73"/>
      <c r="BA301" s="53"/>
      <c r="BB301" s="53"/>
      <c r="BC301" s="53"/>
      <c r="BD301" s="53"/>
      <c r="BE301" s="53"/>
      <c r="BF301" s="53"/>
      <c r="BG301" s="53"/>
      <c r="BH301" s="53"/>
      <c r="BI301" s="53"/>
      <c r="BJ301" s="53"/>
      <c r="BK301" s="53"/>
      <c r="BL301" s="53"/>
      <c r="BM301" s="53"/>
      <c r="BN301" s="53"/>
      <c r="BO301" s="53"/>
      <c r="BP301" s="53"/>
      <c r="BQ301" s="53"/>
      <c r="BR301" s="53"/>
      <c r="BS301" s="53"/>
      <c r="BT301" s="53"/>
      <c r="BU301" s="53"/>
      <c r="BV301" s="53"/>
      <c r="BW301" s="53"/>
      <c r="BX301" s="53"/>
      <c r="BY301" s="53"/>
      <c r="BZ301" s="53"/>
      <c r="CA301" s="53"/>
      <c r="CB301" s="53"/>
      <c r="CC301" s="53"/>
      <c r="CD301" s="53"/>
      <c r="CE301" s="53"/>
      <c r="CF301" s="53"/>
      <c r="CG301" s="53"/>
      <c r="CH301" s="53"/>
      <c r="CI301" s="53"/>
      <c r="CJ301" s="53"/>
      <c r="CK301" s="53"/>
      <c r="CL301" s="53"/>
      <c r="CM301" s="53"/>
      <c r="CN301" s="53"/>
      <c r="CO301" s="53"/>
      <c r="CP301" s="53"/>
      <c r="CQ301" s="53"/>
      <c r="CR301" s="1"/>
      <c r="CS301" s="1"/>
      <c r="CT301" s="1"/>
      <c r="CU301" s="1"/>
    </row>
    <row r="302" spans="1:99" s="13" customFormat="1" ht="12" customHeight="1" x14ac:dyDescent="0.2">
      <c r="A302" s="68">
        <v>43895</v>
      </c>
      <c r="B302" s="70"/>
      <c r="C302" s="70"/>
      <c r="D302" s="69"/>
      <c r="E302" s="87"/>
      <c r="F302" s="69"/>
      <c r="G302" s="69"/>
      <c r="H302" s="69"/>
      <c r="I302" s="69"/>
      <c r="J302" s="69"/>
      <c r="K302" s="107"/>
      <c r="L302" s="107"/>
      <c r="M302" s="69"/>
      <c r="N302" s="86"/>
      <c r="O302" s="69"/>
      <c r="P302" s="69"/>
      <c r="Q302" s="69"/>
      <c r="R302" s="69"/>
      <c r="S302" s="69"/>
      <c r="T302" s="69"/>
      <c r="U302" s="69"/>
      <c r="V302" s="69"/>
      <c r="W302" s="69"/>
      <c r="X302" s="69"/>
      <c r="Y302" s="87"/>
      <c r="Z302" s="69"/>
      <c r="AA302" s="69"/>
      <c r="AB302" s="69"/>
      <c r="AC302" s="72"/>
      <c r="AD302" s="69"/>
      <c r="AE302" s="69"/>
      <c r="AF302" s="88"/>
      <c r="AG302" s="72"/>
      <c r="AH302" s="4"/>
      <c r="AI302" s="72"/>
      <c r="AJ302" s="110"/>
      <c r="AK302" s="72"/>
      <c r="AL302" s="72"/>
      <c r="AM302" s="72"/>
      <c r="AN302" s="72"/>
      <c r="AO302" s="89"/>
      <c r="AP302" s="89"/>
      <c r="AQ302" s="90"/>
      <c r="AR302" s="117"/>
      <c r="AS302" s="91"/>
      <c r="AT302" s="91"/>
      <c r="AU302" s="3"/>
      <c r="AV302" s="71">
        <v>157680000</v>
      </c>
      <c r="AW302" s="71">
        <v>473040000</v>
      </c>
      <c r="AX302" s="71">
        <v>788400000</v>
      </c>
      <c r="AY302" s="71">
        <v>1103760000</v>
      </c>
      <c r="AZ302" s="73"/>
      <c r="BA302" s="53"/>
      <c r="BB302" s="53"/>
      <c r="BC302" s="53"/>
      <c r="BD302" s="53"/>
      <c r="BE302" s="53"/>
      <c r="BF302" s="53"/>
      <c r="BG302" s="53"/>
      <c r="BH302" s="53"/>
      <c r="BI302" s="53"/>
      <c r="BJ302" s="53"/>
      <c r="BK302" s="53"/>
      <c r="BL302" s="53"/>
      <c r="BM302" s="53"/>
      <c r="BN302" s="53"/>
      <c r="BO302" s="53"/>
      <c r="BP302" s="53"/>
      <c r="BQ302" s="53"/>
      <c r="BR302" s="53"/>
      <c r="BS302" s="53"/>
      <c r="BT302" s="53"/>
      <c r="BU302" s="53"/>
      <c r="BV302" s="53"/>
      <c r="BW302" s="53"/>
      <c r="BX302" s="53"/>
      <c r="BY302" s="53"/>
      <c r="BZ302" s="53"/>
      <c r="CA302" s="53"/>
      <c r="CB302" s="53"/>
      <c r="CC302" s="53"/>
      <c r="CD302" s="53"/>
      <c r="CE302" s="53"/>
      <c r="CF302" s="53"/>
      <c r="CG302" s="53"/>
      <c r="CH302" s="53"/>
      <c r="CI302" s="53"/>
      <c r="CJ302" s="53"/>
      <c r="CK302" s="53"/>
      <c r="CL302" s="53"/>
      <c r="CM302" s="53"/>
      <c r="CN302" s="53"/>
      <c r="CO302" s="53"/>
      <c r="CP302" s="53"/>
      <c r="CQ302" s="53"/>
      <c r="CR302" s="1"/>
      <c r="CS302" s="1"/>
      <c r="CT302" s="1"/>
      <c r="CU302" s="1"/>
    </row>
    <row r="303" spans="1:99" s="13" customFormat="1" ht="12" customHeight="1" x14ac:dyDescent="0.2">
      <c r="A303" s="68">
        <v>43895</v>
      </c>
      <c r="B303" s="70" t="s">
        <v>343</v>
      </c>
      <c r="C303" s="70" t="s">
        <v>344</v>
      </c>
      <c r="D303" s="69">
        <v>1981</v>
      </c>
      <c r="E303" s="105">
        <v>1</v>
      </c>
      <c r="F303" s="69">
        <v>28</v>
      </c>
      <c r="G303" s="69">
        <v>28</v>
      </c>
      <c r="H303" s="69" t="s">
        <v>32</v>
      </c>
      <c r="I303" s="69" t="s">
        <v>330</v>
      </c>
      <c r="J303" s="69" t="s">
        <v>340</v>
      </c>
      <c r="K303" s="69">
        <f>IF(J303="syllables",1,IF(J303="trigrams",2,IF(J303="strings",3,IF(J303="visual array",4,IF(J303="characters",5,IF(J303="letters",6,IF(J303="free forms",7,IF(J303="odors",8,IF(J303="words",9,IF(J303="pictures",10,IF(J303="object pictures",11,IF(J303="faces",12,IF(J303="names",13,IF(J303="idioms",14,IF(J303="grades",15,IF(J303="syllable-digit pairs",16,IF(J303="trigram-word pairs",17,IF(J303="word-digit pairs",18,IF(J303="English-Swahili pairs",19,IF(J303="spatial position",20,IF(J303="word pairs",21,IF(J303="word triads",22,IF(J303="generated words",23,IF(J303="word definition pairs",24,IF(J303="math problems",25,IF(J303="famous faces",26,IF(J303="famous names",27,IF(J303="famous voices",28,IF(J303="television programs",29,IF(J303="race horses",30,IF(J303="new vocabulary",31,IF(J303="sentences",32,IF(J303="concepts",33,IF(J303="ad slides",34,IF(J303="scenes",35,IF(J303="famous scenes",36,IF(J303="poems",37,IF(J303="walk",38,IF(J303="faces and events",39,IF(J303="events and names",40,IF(J303="flashbulb",41,IF(J303="stories",42,IF(J303="course material",43,IF(J303="autobiographical",44,IF(J303="novels",45,IF(J303="public events",46,"99"))))))))))))))))))))))))))))))))))))))))))))))</f>
        <v>46</v>
      </c>
      <c r="L303" s="69">
        <f>IF(J303="syllables",1,IF(J303="trigrams",1,IF(J303="strings",1,IF(J303="visual array",1,IF(J303="characters",1,IF(J303="letters",1,IF(J303="free forms",1,IF(J303="odors",2,IF(J303="words",2,IF(J303="pictures",2,IF(J303="object pictures",2,IF(J303="faces",2,IF(J303="names",2,IF(J303="idioms","2",IF(J303="grades",2,IF(J303="syllable-digit pairs",3,IF(J303="trigram-word pairs",3,IF(J303="word-digit pairs",3,IF(J303="English-Swahili pairs",3,IF(J303="spatial position",3,IF(J303="word pairs",4,IF(J303="word triads",4,IF(J303="generated words",4,IF(J303="word definition pairs",4,IF(J303="math problems",4,IF(J303="famous faces",4,IF(J303="famous names",4,IF(J303="famous voices",4,IF(J303="television programs",4,IF(J303="race horses",4,IF(J303="new vocabulary",4,IF(J303="sentences",5,IF(J303="concepts",5,IF(J303="ad slides",5,IF(J303="scenes",5,IF(J303="famous scenes",5,IF(J303="poems",6,IF(J303="walk",6,IF(J303="faces and events",6,IF(J303="events and names",6,IF(J303="flashbulb",7,IF(J303="stories",7,IF(J303="course material",7,IF(J303="autobiographical",7,IF(J303="novels",7,IF(J303="public events",7,"99"))))))))))))))))))))))))))))))))))))))))))))))</f>
        <v>7</v>
      </c>
      <c r="M303" s="69">
        <v>1</v>
      </c>
      <c r="N303" s="86">
        <v>4</v>
      </c>
      <c r="O303" s="69">
        <v>0</v>
      </c>
      <c r="P303" s="69"/>
      <c r="Q303" s="69" t="s">
        <v>174</v>
      </c>
      <c r="R303" s="69">
        <f>IF(Q303="Free Recall",1,IF(Q303="Cued Recall",2,IF(Q303="Recognition",3,IF(Q303="Multiple Choice",4,IF(Q303="Savings",5,IF(Q303="Stem Completion",6,IF(Q303="Fragment Completion",7,IF(Q303="anagram solution",8,IF(Q303="Matching",9,IF(Q303="Problem Solving",10,"99"))))))))))</f>
        <v>1</v>
      </c>
      <c r="S303" s="99" t="s">
        <v>49</v>
      </c>
      <c r="T303" s="92" t="s">
        <v>581</v>
      </c>
      <c r="U303" s="69">
        <f>IF(T303="within",1,0)</f>
        <v>1</v>
      </c>
      <c r="V303" s="92">
        <v>88</v>
      </c>
      <c r="W303" s="69">
        <f>F303*V303</f>
        <v>2464</v>
      </c>
      <c r="X303" s="69">
        <v>4</v>
      </c>
      <c r="Y303" s="87">
        <f>AV302</f>
        <v>157680000</v>
      </c>
      <c r="Z303" s="92" t="s">
        <v>375</v>
      </c>
      <c r="AA303" s="69">
        <f>35*365*24*60*60</f>
        <v>1103760000</v>
      </c>
      <c r="AB303" s="69" t="str">
        <f>IF(AA303&lt;60,"1",IF(AA303&lt;=43200,"2",IF(AA303&lt;=777600,"3","4")))</f>
        <v>4</v>
      </c>
      <c r="AC303" s="72">
        <f>AVERAGE(AV302:DA302)</f>
        <v>630720000</v>
      </c>
      <c r="AD303" s="69" t="str">
        <f>IF(AC303&lt;60,"1",IF(AC303&lt;=43200,"2",IF(AC303&lt;=777600,"3","4")))</f>
        <v>4</v>
      </c>
      <c r="AE303" s="87">
        <f>AA303-Y303</f>
        <v>946080000</v>
      </c>
      <c r="AF303" s="88">
        <f>AV303</f>
        <v>0.51428571428571435</v>
      </c>
      <c r="AG303" s="72">
        <f>((AW303-AV303)+(AX303-AW303)+(AY303-AX303))/3</f>
        <v>-2.4206349206349214E-2</v>
      </c>
      <c r="AH303" s="4"/>
      <c r="AI303" s="72">
        <f>RSQ(AV303:AY303,AV302:AY302)</f>
        <v>4.8577335667091867E-2</v>
      </c>
      <c r="AJ303" s="110">
        <f>SLOPE(AV303:AY303,AV302:AY302)</f>
        <v>-4.4627573096779033E-11</v>
      </c>
      <c r="AK303" s="72">
        <f>INTERCEPT(AV303:AY303,AV302:AY302)</f>
        <v>0.56690331010452966</v>
      </c>
      <c r="AL303" s="72">
        <f>INDEX(LINEST(LN(AV303:AY303),LN(AV302:AY302),TRUE,TRUE),3,1)</f>
        <v>5.2470867309423359E-3</v>
      </c>
      <c r="AM303" s="72">
        <f>INDEX(LINEST(LN(AV303:AY303),LN(AV302:AY302)),1)</f>
        <v>-1.3160977738390256E-2</v>
      </c>
      <c r="AN303" s="72">
        <f>EXP(INDEX(LINEST(LN(AV303:AY303),LN(AV302:AY302)),1,2))</f>
        <v>0.6951413198332651</v>
      </c>
      <c r="AO303" s="89">
        <f>INDEX(LINEST((AV303:AY303),LN(AV302:AY302),TRUE,TRUE),3,1)</f>
        <v>4.8586777629351511E-4</v>
      </c>
      <c r="AP303" s="89">
        <f>INDEX(LINEST((AV303:AY303),LN(AV302:AY302)),1)</f>
        <v>-2.1370290046564015E-3</v>
      </c>
      <c r="AQ303" s="90">
        <f>INDEX(LINEST(LN(AV303:AY303),SQRT(AV302:AY302),TRUE,TRUE),3,1)</f>
        <v>2.9208776220730041E-2</v>
      </c>
      <c r="AR303" s="117">
        <f>INDEX(LINEST(LN(AV303:AY303),SQRT((AV302:AY302))),1)</f>
        <v>-2.9664161008687797E-6</v>
      </c>
      <c r="AS303" s="91">
        <f>INDEX(LINEST(1/(AV303:AY303),1/(SQRT(AV302:AY302)),TRUE,TRUE),3,1)</f>
        <v>1.5084192126494545E-3</v>
      </c>
      <c r="AT303" s="91">
        <f>INDEX(LINEST(1/(AV303:AY303),1/SQRT(AV302:AY302)),1)</f>
        <v>-513.72687135880517</v>
      </c>
      <c r="AU303" s="3"/>
      <c r="AV303" s="73">
        <v>0.51428571428571435</v>
      </c>
      <c r="AW303" s="73">
        <v>0.56097560975609762</v>
      </c>
      <c r="AX303" s="73">
        <v>0.63809523809523816</v>
      </c>
      <c r="AY303" s="73">
        <v>0.44166666666666671</v>
      </c>
      <c r="AZ303" s="102"/>
      <c r="BA303" s="53"/>
      <c r="BB303" s="53"/>
      <c r="BC303" s="53"/>
      <c r="BD303" s="53"/>
      <c r="BE303" s="53"/>
      <c r="BF303" s="53"/>
      <c r="BG303" s="53"/>
      <c r="BH303" s="53"/>
      <c r="BI303" s="53"/>
      <c r="BJ303" s="53"/>
      <c r="BK303" s="53"/>
      <c r="BL303" s="53"/>
      <c r="BM303" s="53"/>
      <c r="BN303" s="53"/>
      <c r="BO303" s="53"/>
      <c r="BP303" s="53"/>
      <c r="BQ303" s="53"/>
      <c r="BR303" s="53"/>
      <c r="BS303" s="53"/>
      <c r="BT303" s="53"/>
      <c r="BU303" s="53"/>
      <c r="BV303" s="53"/>
      <c r="BW303" s="53"/>
      <c r="BX303" s="53"/>
      <c r="BY303" s="53"/>
      <c r="BZ303" s="53"/>
      <c r="CA303" s="53"/>
      <c r="CB303" s="53"/>
      <c r="CC303" s="53"/>
      <c r="CD303" s="53"/>
      <c r="CE303" s="53"/>
      <c r="CF303" s="53"/>
      <c r="CG303" s="53"/>
      <c r="CH303" s="53"/>
      <c r="CI303" s="53"/>
      <c r="CJ303" s="53"/>
      <c r="CK303" s="53"/>
      <c r="CL303" s="53"/>
      <c r="CM303" s="53"/>
      <c r="CN303" s="53"/>
      <c r="CO303" s="53"/>
      <c r="CP303" s="53"/>
      <c r="CQ303" s="53"/>
      <c r="CR303" s="1"/>
      <c r="CS303" s="1"/>
      <c r="CT303" s="1"/>
      <c r="CU303" s="1"/>
    </row>
    <row r="304" spans="1:99" s="13" customFormat="1" ht="12" customHeight="1" x14ac:dyDescent="0.2">
      <c r="A304" s="68">
        <v>43895</v>
      </c>
      <c r="B304" s="70"/>
      <c r="C304" s="70"/>
      <c r="D304" s="69"/>
      <c r="E304" s="87"/>
      <c r="F304" s="69"/>
      <c r="G304" s="69"/>
      <c r="H304" s="69"/>
      <c r="I304" s="69"/>
      <c r="J304" s="69"/>
      <c r="K304" s="107"/>
      <c r="L304" s="107"/>
      <c r="M304" s="69"/>
      <c r="N304" s="86"/>
      <c r="O304" s="69"/>
      <c r="P304" s="69"/>
      <c r="Q304" s="69"/>
      <c r="R304" s="69"/>
      <c r="S304" s="99"/>
      <c r="T304" s="69"/>
      <c r="U304" s="69"/>
      <c r="V304" s="69"/>
      <c r="W304" s="69"/>
      <c r="X304" s="69"/>
      <c r="Y304" s="87"/>
      <c r="Z304" s="69"/>
      <c r="AA304" s="69"/>
      <c r="AB304" s="69"/>
      <c r="AC304" s="72"/>
      <c r="AD304" s="69"/>
      <c r="AE304" s="69"/>
      <c r="AF304" s="88"/>
      <c r="AG304" s="72"/>
      <c r="AH304" s="4"/>
      <c r="AI304" s="72"/>
      <c r="AJ304" s="110"/>
      <c r="AK304" s="72"/>
      <c r="AL304" s="72"/>
      <c r="AM304" s="72"/>
      <c r="AN304" s="72"/>
      <c r="AO304" s="89"/>
      <c r="AP304" s="89"/>
      <c r="AQ304" s="90"/>
      <c r="AR304" s="117"/>
      <c r="AS304" s="91"/>
      <c r="AT304" s="91"/>
      <c r="AU304" s="3"/>
      <c r="AV304" s="71">
        <v>157680000</v>
      </c>
      <c r="AW304" s="71">
        <v>473040000</v>
      </c>
      <c r="AX304" s="71">
        <v>788400000</v>
      </c>
      <c r="AY304" s="71">
        <v>1103760000</v>
      </c>
      <c r="AZ304" s="73">
        <v>1419120000</v>
      </c>
      <c r="BA304" s="53"/>
      <c r="BB304" s="53"/>
      <c r="BC304" s="53"/>
      <c r="BD304" s="53"/>
      <c r="BE304" s="53"/>
      <c r="BF304" s="53"/>
      <c r="BG304" s="53"/>
      <c r="BH304" s="53"/>
      <c r="BI304" s="53"/>
      <c r="BJ304" s="53"/>
      <c r="BK304" s="53"/>
      <c r="BL304" s="53"/>
      <c r="BM304" s="53"/>
      <c r="BN304" s="53"/>
      <c r="BO304" s="53"/>
      <c r="BP304" s="53"/>
      <c r="BQ304" s="53"/>
      <c r="BR304" s="53"/>
      <c r="BS304" s="53"/>
      <c r="BT304" s="53"/>
      <c r="BU304" s="53"/>
      <c r="BV304" s="53"/>
      <c r="BW304" s="53"/>
      <c r="BX304" s="53"/>
      <c r="BY304" s="53"/>
      <c r="BZ304" s="53"/>
      <c r="CA304" s="53"/>
      <c r="CB304" s="53"/>
      <c r="CC304" s="53"/>
      <c r="CD304" s="53"/>
      <c r="CE304" s="53"/>
      <c r="CF304" s="53"/>
      <c r="CG304" s="53"/>
      <c r="CH304" s="53"/>
      <c r="CI304" s="53"/>
      <c r="CJ304" s="53"/>
      <c r="CK304" s="53"/>
      <c r="CL304" s="53"/>
      <c r="CM304" s="53"/>
      <c r="CN304" s="53"/>
      <c r="CO304" s="53"/>
      <c r="CP304" s="53"/>
      <c r="CQ304" s="53"/>
      <c r="CR304" s="1"/>
      <c r="CS304" s="1"/>
      <c r="CT304" s="1"/>
      <c r="CU304" s="1"/>
    </row>
    <row r="305" spans="1:99" s="13" customFormat="1" ht="12" customHeight="1" x14ac:dyDescent="0.2">
      <c r="A305" s="68">
        <v>43895</v>
      </c>
      <c r="B305" s="70" t="s">
        <v>343</v>
      </c>
      <c r="C305" s="70" t="s">
        <v>344</v>
      </c>
      <c r="D305" s="69">
        <v>1981</v>
      </c>
      <c r="E305" s="105">
        <v>1</v>
      </c>
      <c r="F305" s="69">
        <v>28</v>
      </c>
      <c r="G305" s="69">
        <v>28</v>
      </c>
      <c r="H305" s="69" t="s">
        <v>43</v>
      </c>
      <c r="I305" s="69" t="s">
        <v>330</v>
      </c>
      <c r="J305" s="69" t="s">
        <v>342</v>
      </c>
      <c r="K305" s="69">
        <f>IF(J305="syllables",1,IF(J305="trigrams",2,IF(J305="strings",3,IF(J305="visual array",4,IF(J305="characters",5,IF(J305="letters",6,IF(J305="free forms",7,IF(J305="odors",8,IF(J305="words",9,IF(J305="pictures",10,IF(J305="object pictures",11,IF(J305="faces",12,IF(J305="names",13,IF(J305="idioms",14,IF(J305="grades",15,IF(J305="syllable-digit pairs",16,IF(J305="trigram-word pairs",17,IF(J305="word-digit pairs",18,IF(J305="English-Swahili pairs",19,IF(J305="spatial position",20,IF(J305="word pairs",21,IF(J305="word triads",22,IF(J305="generated words",23,IF(J305="word definition pairs",24,IF(J305="math problems",25,IF(J305="famous faces",26,IF(J305="famous names",27,IF(J305="famous voices",28,IF(J305="television programs",29,IF(J305="race horses",30,IF(J305="new vocabulary",31,IF(J305="sentences",32,IF(J305="concepts",33,IF(J305="ad slides",34,IF(J305="scenes",35,IF(J305="famous scenes",36,IF(J305="poems",37,IF(J305="walk",38,IF(J305="faces and events",39,IF(J305="events and names",40,IF(J305="flashbulb",41,IF(J305="stories",42,IF(J305="course material",43,IF(J305="autobiographical",44,IF(J305="novels",45,IF(J305="public events",46,"99"))))))))))))))))))))))))))))))))))))))))))))))</f>
        <v>26</v>
      </c>
      <c r="L305" s="69">
        <f>IF(J305="syllables",1,IF(J305="trigrams",1,IF(J305="strings",1,IF(J305="visual array",1,IF(J305="characters",1,IF(J305="letters",1,IF(J305="free forms",1,IF(J305="odors",2,IF(J305="words",2,IF(J305="pictures",2,IF(J305="object pictures",2,IF(J305="faces",2,IF(J305="names",2,IF(J305="idioms","2",IF(J305="grades",2,IF(J305="syllable-digit pairs",3,IF(J305="trigram-word pairs",3,IF(J305="word-digit pairs",3,IF(J305="English-Swahili pairs",3,IF(J305="spatial position",3,IF(J305="word pairs",4,IF(J305="word triads",4,IF(J305="generated words",4,IF(J305="word definition pairs",4,IF(J305="math problems",4,IF(J305="famous faces",4,IF(J305="famous names",4,IF(J305="famous voices",4,IF(J305="television programs",4,IF(J305="race horses",4,IF(J305="new vocabulary",4,IF(J305="sentences",5,IF(J305="concepts",5,IF(J305="ad slides",5,IF(J305="scenes",5,IF(J305="famous scenes",5,IF(J305="poems",6,IF(J305="walk",6,IF(J305="faces and events",6,IF(J305="events and names",6,IF(J305="flashbulb",7,IF(J305="stories",7,IF(J305="course material",7,IF(J305="autobiographical",7,IF(J305="novels",7,IF(J305="public events",7,"99"))))))))))))))))))))))))))))))))))))))))))))))</f>
        <v>4</v>
      </c>
      <c r="M305" s="69">
        <v>1</v>
      </c>
      <c r="N305" s="86">
        <v>2</v>
      </c>
      <c r="O305" s="69">
        <v>0</v>
      </c>
      <c r="P305" s="69"/>
      <c r="Q305" s="69" t="s">
        <v>174</v>
      </c>
      <c r="R305" s="69">
        <f>IF(Q305="Free Recall",1,IF(Q305="Cued Recall",2,IF(Q305="Recognition",3,IF(Q305="Multiple Choice",4,IF(Q305="Savings",5,IF(Q305="Stem Completion",6,IF(Q305="Fragment Completion",7,IF(Q305="anagram solution",8,IF(Q305="Matching",9,IF(Q305="Problem Solving",10,"99"))))))))))</f>
        <v>1</v>
      </c>
      <c r="S305" s="99" t="s">
        <v>49</v>
      </c>
      <c r="T305" s="92" t="s">
        <v>581</v>
      </c>
      <c r="U305" s="69">
        <f>IF(T305="within",1,0)</f>
        <v>1</v>
      </c>
      <c r="V305" s="92">
        <v>130</v>
      </c>
      <c r="W305" s="69">
        <f>F305*V305</f>
        <v>3640</v>
      </c>
      <c r="X305" s="69">
        <v>5</v>
      </c>
      <c r="Y305" s="87">
        <f>AV304</f>
        <v>157680000</v>
      </c>
      <c r="Z305" s="92" t="s">
        <v>373</v>
      </c>
      <c r="AA305" s="69">
        <f>45*365*24*60*60</f>
        <v>1419120000</v>
      </c>
      <c r="AB305" s="69" t="str">
        <f>IF(AA305&lt;60,"1",IF(AA305&lt;=43200,"2",IF(AA305&lt;=777600,"3","4")))</f>
        <v>4</v>
      </c>
      <c r="AC305" s="72">
        <f>AVERAGE(AV304:DA304)</f>
        <v>788400000</v>
      </c>
      <c r="AD305" s="69" t="str">
        <f>IF(AC305&lt;60,"1",IF(AC305&lt;=43200,"2",IF(AC305&lt;=777600,"3","4")))</f>
        <v>4</v>
      </c>
      <c r="AE305" s="87">
        <f>AA305-Y305</f>
        <v>1261440000</v>
      </c>
      <c r="AF305" s="88">
        <f>AV305</f>
        <v>0.63380281690140849</v>
      </c>
      <c r="AG305" s="72">
        <f>((AW305-AV305)+(AX305-AW305)+(AY305-AX305)+(AZ305-AY305))/4</f>
        <v>-4.08036454018227E-2</v>
      </c>
      <c r="AH305" s="4"/>
      <c r="AI305" s="72">
        <f>RSQ(AV305:AZ305,AV304:AZ304)</f>
        <v>0.9177679926717125</v>
      </c>
      <c r="AJ305" s="110">
        <f>SLOPE(AV305:AZ305,AV304:AZ304)</f>
        <v>-1.2216797210271225E-10</v>
      </c>
      <c r="AK305" s="72">
        <f>INTERCEPT(AV305:AZ305,AV304:AZ304)</f>
        <v>0.64491989627158974</v>
      </c>
      <c r="AL305" s="72">
        <f>INDEX(LINEST(LN(AV305:AZ305),LN(AV304:AZ304),TRUE,TRUE),3,1)</f>
        <v>0.87813828352088064</v>
      </c>
      <c r="AM305" s="72">
        <f>INDEX(LINEST(LN(AV305:AZ305),LN(AV304:AZ304)),1)</f>
        <v>-0.12458176230171633</v>
      </c>
      <c r="AN305" s="72">
        <f>EXP(INDEX(LINEST(LN(AV305:AZ305),LN(AV304:AZ304)),1,2))</f>
        <v>6.7977269062612145</v>
      </c>
      <c r="AO305" s="89">
        <f>INDEX(LINEST((AV305:AZ305),LN(AV304:AZ304),TRUE,TRUE),3,1)</f>
        <v>0.9002723459264026</v>
      </c>
      <c r="AP305" s="89">
        <f>INDEX(LINEST((AV305:AZ305),LN(AV304:AZ304)),1)</f>
        <v>-6.939114061838024E-2</v>
      </c>
      <c r="AQ305" s="90">
        <f>INDEX(LINEST(LN(AV305:AZ305),SQRT(AV304:AZ304),TRUE,TRUE),3,1)</f>
        <v>0.92023550463612735</v>
      </c>
      <c r="AR305" s="117">
        <f>INDEX(LINEST(LN(AV305:AZ305),SQRT((AV304:AZ304))),1)</f>
        <v>-1.1239337368825386E-5</v>
      </c>
      <c r="AS305" s="91">
        <f>INDEX(LINEST(1/(AV305:AZ305),1/(SQRT(AV304:AZ304)),TRUE,TRUE),3,1)</f>
        <v>0.76943859011240567</v>
      </c>
      <c r="AT305" s="91">
        <f>INDEX(LINEST(1/(AV305:AZ305),1/SQRT(AV304:AZ304)),1)</f>
        <v>-8664.1352871510971</v>
      </c>
      <c r="AU305" s="3"/>
      <c r="AV305" s="73">
        <v>0.63380281690140849</v>
      </c>
      <c r="AW305" s="73">
        <v>0.58904109589041098</v>
      </c>
      <c r="AX305" s="73">
        <v>0.51937984496124034</v>
      </c>
      <c r="AY305" s="73">
        <v>0.53020134228187921</v>
      </c>
      <c r="AZ305" s="73">
        <v>0.4705882352941177</v>
      </c>
      <c r="BA305" s="53"/>
      <c r="BB305" s="53"/>
      <c r="BC305" s="53"/>
      <c r="BD305" s="53"/>
      <c r="BE305" s="53"/>
      <c r="BF305" s="53"/>
      <c r="BG305" s="53"/>
      <c r="BH305" s="53"/>
      <c r="BI305" s="53"/>
      <c r="BJ305" s="53"/>
      <c r="BK305" s="53"/>
      <c r="BL305" s="53"/>
      <c r="BM305" s="53"/>
      <c r="BN305" s="53"/>
      <c r="BO305" s="53"/>
      <c r="BP305" s="53"/>
      <c r="BQ305" s="53"/>
      <c r="BR305" s="53"/>
      <c r="BS305" s="53"/>
      <c r="BT305" s="53"/>
      <c r="BU305" s="53"/>
      <c r="BV305" s="53"/>
      <c r="BW305" s="53"/>
      <c r="BX305" s="53"/>
      <c r="BY305" s="53"/>
      <c r="BZ305" s="53"/>
      <c r="CA305" s="53"/>
      <c r="CB305" s="53"/>
      <c r="CC305" s="53"/>
      <c r="CD305" s="53"/>
      <c r="CE305" s="53"/>
      <c r="CF305" s="53"/>
      <c r="CG305" s="53"/>
      <c r="CH305" s="53"/>
      <c r="CI305" s="53"/>
      <c r="CJ305" s="53"/>
      <c r="CK305" s="53"/>
      <c r="CL305" s="53"/>
      <c r="CM305" s="53"/>
      <c r="CN305" s="53"/>
      <c r="CO305" s="53"/>
      <c r="CP305" s="53"/>
      <c r="CQ305" s="53"/>
      <c r="CR305" s="1"/>
      <c r="CS305" s="1"/>
      <c r="CT305" s="1"/>
      <c r="CU305" s="1"/>
    </row>
    <row r="306" spans="1:99" s="13" customFormat="1" ht="12" customHeight="1" x14ac:dyDescent="0.2">
      <c r="A306" s="65">
        <v>43509</v>
      </c>
      <c r="B306" s="1"/>
      <c r="C306" s="1"/>
      <c r="D306" s="60"/>
      <c r="E306" s="76"/>
      <c r="F306" s="60"/>
      <c r="G306" s="60"/>
      <c r="H306" s="60"/>
      <c r="I306" s="60"/>
      <c r="J306" s="60"/>
      <c r="K306" s="64"/>
      <c r="L306" s="64"/>
      <c r="M306" s="60"/>
      <c r="N306" s="60"/>
      <c r="O306" s="60"/>
      <c r="P306" s="60"/>
      <c r="Q306" s="60"/>
      <c r="R306" s="60"/>
      <c r="S306" s="60"/>
      <c r="T306" s="60"/>
      <c r="U306" s="60"/>
      <c r="V306" s="60"/>
      <c r="W306" s="60"/>
      <c r="X306" s="60"/>
      <c r="Y306" s="76"/>
      <c r="Z306" s="60"/>
      <c r="AA306" s="60"/>
      <c r="AB306" s="60"/>
      <c r="AC306" s="60"/>
      <c r="AD306" s="60"/>
      <c r="AE306" s="60"/>
      <c r="AF306" s="80"/>
      <c r="AG306" s="56"/>
      <c r="AH306" s="4"/>
      <c r="AI306" s="56"/>
      <c r="AJ306" s="109"/>
      <c r="AK306" s="56"/>
      <c r="AL306" s="56"/>
      <c r="AM306" s="56"/>
      <c r="AN306" s="56"/>
      <c r="AO306" s="56"/>
      <c r="AP306" s="56"/>
      <c r="AQ306" s="56"/>
      <c r="AR306" s="109"/>
      <c r="AS306" s="56"/>
      <c r="AT306" s="56"/>
      <c r="AU306" s="4"/>
      <c r="AV306" s="25">
        <f>3*30*24*60*60</f>
        <v>7776000</v>
      </c>
      <c r="AW306" s="25">
        <f>(365*24*60*60)+(3*30*24*60*60)</f>
        <v>39312000</v>
      </c>
      <c r="AX306" s="25">
        <f>(2*365*24*60*60)+(3*30*24*60*60)</f>
        <v>70848000</v>
      </c>
      <c r="AY306" s="25">
        <f>(3*365*24*60*60)+(3*30*24*60*60)</f>
        <v>102384000</v>
      </c>
      <c r="AZ306" s="25">
        <f>(3*365*24*60*60)+(6*30*24*60*60)</f>
        <v>110160000</v>
      </c>
      <c r="BA306" s="25">
        <f>(4*365*24*60*60)+(6*30*24*60*60)</f>
        <v>141696000</v>
      </c>
      <c r="BB306" s="25">
        <f>(5*365*24*60*60)+(6*30*24*60*60)</f>
        <v>173232000</v>
      </c>
      <c r="BC306" s="25">
        <f>(6*365*24*60*60)+(6*30*24*60*60)</f>
        <v>204768000</v>
      </c>
      <c r="BD306" s="25">
        <f>(7*365*24*60*60)+(6*30*24*60*60)</f>
        <v>236304000</v>
      </c>
      <c r="BE306" s="25">
        <f>(8*365*24*60*60)+(6*30*24*60*60)</f>
        <v>267840000</v>
      </c>
      <c r="BF306" s="25">
        <f>(9*365*24*60*60)+(6*30*24*60*60)</f>
        <v>299376000</v>
      </c>
      <c r="BG306" s="25">
        <f>(10*365*24*60*60)+(6*30*24*60*60)</f>
        <v>330912000</v>
      </c>
      <c r="BH306" s="53"/>
      <c r="BI306" s="53"/>
      <c r="BJ306" s="53"/>
      <c r="BK306" s="53"/>
      <c r="BL306" s="53"/>
      <c r="BM306" s="53"/>
      <c r="BN306" s="53"/>
      <c r="BO306" s="53"/>
      <c r="BP306" s="53"/>
      <c r="BQ306" s="53"/>
      <c r="BR306" s="53"/>
      <c r="BS306" s="53"/>
      <c r="BT306" s="53"/>
      <c r="BU306" s="53"/>
      <c r="BV306" s="53"/>
      <c r="BW306" s="53"/>
      <c r="BX306" s="53"/>
      <c r="BY306" s="53"/>
      <c r="BZ306" s="53"/>
      <c r="CA306" s="53"/>
      <c r="CB306" s="53"/>
      <c r="CC306" s="53"/>
      <c r="CD306" s="53"/>
      <c r="CE306" s="53"/>
      <c r="CF306" s="53"/>
      <c r="CG306" s="53"/>
      <c r="CH306" s="53"/>
      <c r="CI306" s="53"/>
      <c r="CJ306" s="53"/>
      <c r="CK306" s="53"/>
      <c r="CL306" s="53"/>
      <c r="CM306" s="53"/>
      <c r="CN306" s="53"/>
      <c r="CO306" s="53"/>
      <c r="CP306" s="53"/>
      <c r="CQ306" s="53"/>
      <c r="CR306" s="1"/>
      <c r="CS306" s="1"/>
      <c r="CT306" s="1"/>
      <c r="CU306" s="1"/>
    </row>
    <row r="307" spans="1:99" s="13" customFormat="1" ht="12" customHeight="1" x14ac:dyDescent="0.2">
      <c r="A307" s="65">
        <v>43509</v>
      </c>
      <c r="B307" s="22" t="s">
        <v>213</v>
      </c>
      <c r="C307" s="1" t="s">
        <v>202</v>
      </c>
      <c r="D307" s="60">
        <v>1991</v>
      </c>
      <c r="E307" s="76">
        <v>1</v>
      </c>
      <c r="F307" s="60">
        <v>373</v>
      </c>
      <c r="G307" s="60">
        <v>31.1</v>
      </c>
      <c r="H307" s="60" t="s">
        <v>50</v>
      </c>
      <c r="I307" s="60" t="s">
        <v>93</v>
      </c>
      <c r="J307" s="60" t="s">
        <v>93</v>
      </c>
      <c r="K307" s="60">
        <f>IF(J307="syllables",1,IF(J307="trigrams",2,IF(J307="strings",3,IF(J307="visual array",4,IF(J307="characters",5,IF(J307="letters",6,IF(J307="free forms",7,IF(J307="odors",8,IF(J307="words",9,IF(J307="pictures",10,IF(J307="object pictures",11,IF(J307="faces",12,IF(J307="names",13,IF(J307="idioms",14,IF(J307="grades",15,IF(J307="syllable-digit pairs",16,IF(J307="trigram-word pairs",17,IF(J307="word-digit pairs",18,IF(J307="English-Swahili pairs",19,IF(J307="spatial position",20,IF(J307="word pairs",21,IF(J307="word triads",22,IF(J307="generated words",23,IF(J307="word definition pairs",24,IF(J307="math problems",25,IF(J307="famous faces",26,IF(J307="famous names",27,IF(J307="famous voices",28,IF(J307="television programs",29,IF(J307="race horses",30,IF(J307="new vocabulary",31,IF(J307="sentences",32,IF(J307="concepts",33,IF(J307="ad slides",34,IF(J307="scenes",35,IF(J307="famous scenes",36,IF(J307="poems",37,IF(J307="walk",38,IF(J307="faces and events",39,IF(J307="events and names",40,IF(J307="flashbulb",41,IF(J307="stories",42,IF(J307="course material",43,IF(J307="autobiographical",44,IF(J307="novels",45,IF(J307="public events",46,"99"))))))))))))))))))))))))))))))))))))))))))))))</f>
        <v>33</v>
      </c>
      <c r="L307" s="60">
        <f>IF(J307="syllables",1,IF(J307="trigrams",1,IF(J307="strings",1,IF(J307="visual array",1,IF(J307="characters",1,IF(J307="letters",1,IF(J307="free forms",1,IF(J307="odors",2,IF(J307="words",2,IF(J307="pictures",2,IF(J307="object pictures",2,IF(J307="faces",2,IF(J307="names",2,IF(J307="idioms","2",IF(J307="grades",2,IF(J307="syllable-digit pairs",3,IF(J307="trigram-word pairs",3,IF(J307="word-digit pairs",3,IF(J307="English-Swahili pairs",3,IF(J307="spatial position",3,IF(J307="word pairs",4,IF(J307="word triads",4,IF(J307="generated words",4,IF(J307="word definition pairs",4,IF(J307="math problems",4,IF(J307="famous faces",4,IF(J307="famous names",4,IF(J307="famous voices",4,IF(J307="television programs",4,IF(J307="race horses",4,IF(J307="new vocabulary",4,IF(J307="sentences",5,IF(J307="concepts",5,IF(J307="ad slides",5,IF(J307="scenes",5,IF(J307="famous scenes",5,IF(J307="poems",6,IF(J307="walk",6,IF(J307="faces and events",6,IF(J307="events and names",6,IF(J307="flashbulb",7,IF(J307="stories",7,IF(J307="course material",7,IF(J307="autobiographical",7,IF(J307="novels",7,IF(J307="public events",7,"99"))))))))))))))))))))))))))))))))))))))))))))))</f>
        <v>5</v>
      </c>
      <c r="M307" s="60">
        <v>1</v>
      </c>
      <c r="N307" s="60">
        <v>4</v>
      </c>
      <c r="O307" s="60">
        <v>0</v>
      </c>
      <c r="P307" s="60"/>
      <c r="Q307" s="60" t="s">
        <v>34</v>
      </c>
      <c r="R307" s="60">
        <f>IF(Q307="Free Recall",1,IF(Q307="Cued Recall",2,IF(Q307="Recognition",3,IF(Q307="Multiple Choice",4,IF(Q307="Savings",5,IF(Q307="Stem Completion",6,IF(Q307="Fragment Completion",7,IF(Q307="anagram solution",8,IF(Q307="Matching",9,IF(Q307="Problem Solving",10,"99"))))))))))</f>
        <v>3</v>
      </c>
      <c r="S307" s="60" t="s">
        <v>15</v>
      </c>
      <c r="T307" s="59" t="s">
        <v>261</v>
      </c>
      <c r="U307" s="60">
        <f>IF(T307="within",1,0)</f>
        <v>0</v>
      </c>
      <c r="V307" s="59">
        <v>16</v>
      </c>
      <c r="W307" s="60">
        <f>F307*V307</f>
        <v>5968</v>
      </c>
      <c r="X307" s="60">
        <v>12</v>
      </c>
      <c r="Y307" s="76">
        <f>AV306</f>
        <v>7776000</v>
      </c>
      <c r="Z307" s="60" t="s">
        <v>510</v>
      </c>
      <c r="AA307" s="76">
        <f>(10*365*24*60*60)+(6*30*24*60*60)</f>
        <v>330912000</v>
      </c>
      <c r="AB307" s="60" t="str">
        <f>IF(AA307&lt;60,"1",IF(AA307&lt;=43200,"2",IF(AA307&lt;=777600,"3","4")))</f>
        <v>4</v>
      </c>
      <c r="AC307" s="56">
        <f>AVERAGE(AV306:DA306)</f>
        <v>165384000</v>
      </c>
      <c r="AD307" s="60" t="str">
        <f>IF(AC307&lt;60,"1",IF(AC307&lt;=43200,"2",IF(AC307&lt;=777600,"3","4")))</f>
        <v>4</v>
      </c>
      <c r="AE307" s="76">
        <f>AA307-Y307</f>
        <v>323136000</v>
      </c>
      <c r="AF307" s="80">
        <f>AV307</f>
        <v>0.80394842868654293</v>
      </c>
      <c r="AG307" s="56">
        <f>((AW307-AV307)+(AX307-AW307)+(AY307-AX307)+(AZ307-AY307)+(BA307-AZ307)+(BB307-BA307)+(BC307-BB307)+(BD307-BC307)+(BE307-BD307)+(BF307-BE307)+(BG307-BF307))/11</f>
        <v>-1.1076111640172909E-2</v>
      </c>
      <c r="AH307" s="4"/>
      <c r="AI307" s="56">
        <f>RSQ(AV307:BG307,AV306:BG306)</f>
        <v>0.57837016706869138</v>
      </c>
      <c r="AJ307" s="109">
        <f>SLOPE(AV307:BG307,AV306:BG306)</f>
        <v>-4.0113704713773496E-10</v>
      </c>
      <c r="AK307" s="56">
        <f>INTERCEPT(AV307:BG307,AV306:BG306)</f>
        <v>0.75774643049434498</v>
      </c>
      <c r="AL307" s="56">
        <f>INDEX(LINEST(LN(AV307:BG307),LN(AV306:BG306),TRUE,TRUE),3,1)</f>
        <v>0.74164197747914307</v>
      </c>
      <c r="AM307" s="56">
        <f>INDEX(LINEST(LN(AV307:BG307),LN(AV306:BG306)),1)</f>
        <v>-6.2716517678125278E-2</v>
      </c>
      <c r="AN307" s="56">
        <f>EXP(INDEX(LINEST(LN(AV307:BG307),LN(AV306:BG306)),1,2))</f>
        <v>2.2124839556105758</v>
      </c>
      <c r="AO307" s="82">
        <f>INDEX(LINEST((AV307:BG307),LN(AV306:BG306),TRUE,TRUE),3,1)</f>
        <v>0.76082827403650133</v>
      </c>
      <c r="AP307" s="82">
        <f>INDEX(LINEST((AV307:BG307),LN(AV306:BG306)),1)</f>
        <v>-4.5105399412176346E-2</v>
      </c>
      <c r="AQ307" s="83">
        <f>INDEX(LINEST(LN(AV307:BG307),SQRT(AV306:BG306),TRUE,TRUE),3,1)</f>
        <v>0.6982080026785602</v>
      </c>
      <c r="AR307" s="116">
        <f>INDEX(LINEST(LN(AV307:BG307),SQRT((AV306:BG306))),1)</f>
        <v>-1.3868682165347466E-5</v>
      </c>
      <c r="AS307" s="84">
        <f>INDEX(LINEST(1/(AV307:BG307),1/(SQRT(AV306:BG306)),TRUE,TRUE),3,1)</f>
        <v>0.62024835671921807</v>
      </c>
      <c r="AT307" s="84">
        <f>INDEX(LINEST(1/(AV307:BG307),1/SQRT(AV306:BG306)),1)</f>
        <v>-1023.3754794771939</v>
      </c>
      <c r="AU307" s="3"/>
      <c r="AV307" s="53">
        <v>0.80394842868654293</v>
      </c>
      <c r="AW307" s="53">
        <v>0.75431103948428602</v>
      </c>
      <c r="AX307" s="53">
        <v>0.74141821112006401</v>
      </c>
      <c r="AY307" s="53">
        <v>0.74335213537469702</v>
      </c>
      <c r="AZ307" s="53">
        <v>0.65052377115229598</v>
      </c>
      <c r="BA307" s="53">
        <v>0.66180499597099096</v>
      </c>
      <c r="BB307" s="53">
        <v>0.67502014504431895</v>
      </c>
      <c r="BC307" s="53">
        <v>0.63634165995165093</v>
      </c>
      <c r="BD307" s="53">
        <v>0.66212731668009595</v>
      </c>
      <c r="BE307" s="53">
        <v>0.64149879129734</v>
      </c>
      <c r="BF307" s="53">
        <v>0.64439967767929007</v>
      </c>
      <c r="BG307" s="53">
        <v>0.68211120064464092</v>
      </c>
      <c r="BH307" s="53"/>
      <c r="BI307" s="53"/>
      <c r="BJ307" s="53"/>
      <c r="BK307" s="53"/>
      <c r="BL307" s="53"/>
      <c r="BM307" s="53"/>
      <c r="BN307" s="53"/>
      <c r="BO307" s="53"/>
      <c r="BP307" s="53"/>
      <c r="BQ307" s="53"/>
      <c r="BR307" s="53"/>
      <c r="BS307" s="53"/>
      <c r="BT307" s="53"/>
      <c r="BU307" s="53"/>
      <c r="BV307" s="53"/>
      <c r="BW307" s="53"/>
      <c r="BX307" s="53"/>
      <c r="BY307" s="53"/>
      <c r="BZ307" s="53"/>
      <c r="CA307" s="53"/>
      <c r="CB307" s="53"/>
      <c r="CC307" s="53"/>
      <c r="CD307" s="53"/>
      <c r="CE307" s="53"/>
      <c r="CF307" s="53"/>
      <c r="CG307" s="53"/>
      <c r="CH307" s="53"/>
      <c r="CI307" s="53"/>
      <c r="CJ307" s="53"/>
      <c r="CK307" s="53"/>
      <c r="CL307" s="53"/>
      <c r="CM307" s="53"/>
      <c r="CN307" s="53"/>
      <c r="CO307" s="53"/>
      <c r="CP307" s="53"/>
      <c r="CQ307" s="53"/>
      <c r="CR307" s="1"/>
      <c r="CS307" s="1"/>
      <c r="CT307" s="1"/>
      <c r="CU307" s="1"/>
    </row>
    <row r="308" spans="1:99" s="13" customFormat="1" ht="12" customHeight="1" x14ac:dyDescent="0.2">
      <c r="A308" s="65">
        <v>43509</v>
      </c>
      <c r="B308" s="1"/>
      <c r="C308" s="1"/>
      <c r="D308" s="60"/>
      <c r="E308" s="76"/>
      <c r="F308" s="60"/>
      <c r="G308" s="60"/>
      <c r="H308" s="60"/>
      <c r="I308" s="60"/>
      <c r="J308" s="60"/>
      <c r="K308" s="64"/>
      <c r="L308" s="64"/>
      <c r="M308" s="60"/>
      <c r="N308" s="60"/>
      <c r="O308" s="60"/>
      <c r="P308" s="60"/>
      <c r="Q308" s="60"/>
      <c r="R308" s="60"/>
      <c r="S308" s="60"/>
      <c r="T308" s="60"/>
      <c r="U308" s="60"/>
      <c r="V308" s="60"/>
      <c r="W308" s="60"/>
      <c r="X308" s="60"/>
      <c r="Y308" s="76"/>
      <c r="Z308" s="60"/>
      <c r="AA308" s="60"/>
      <c r="AB308" s="60"/>
      <c r="AC308" s="60"/>
      <c r="AD308" s="60"/>
      <c r="AE308" s="60"/>
      <c r="AF308" s="80"/>
      <c r="AG308" s="56"/>
      <c r="AH308" s="4"/>
      <c r="AI308" s="56"/>
      <c r="AJ308" s="109"/>
      <c r="AK308" s="56"/>
      <c r="AL308" s="56"/>
      <c r="AM308" s="56"/>
      <c r="AN308" s="56"/>
      <c r="AO308" s="56"/>
      <c r="AP308" s="56"/>
      <c r="AQ308" s="56"/>
      <c r="AR308" s="109"/>
      <c r="AS308" s="56"/>
      <c r="AT308" s="56"/>
      <c r="AU308" s="4"/>
      <c r="AV308" s="25">
        <f>3*30*24*60*60</f>
        <v>7776000</v>
      </c>
      <c r="AW308" s="25">
        <f>(365*24*60*60)+(3*30*24*60*60)</f>
        <v>39312000</v>
      </c>
      <c r="AX308" s="25">
        <f>(2*365*24*60*60)+(3*30*24*60*60)</f>
        <v>70848000</v>
      </c>
      <c r="AY308" s="25">
        <f>(3*365*24*60*60)+(3*30*24*60*60)</f>
        <v>102384000</v>
      </c>
      <c r="AZ308" s="25">
        <f>(3*365*24*60*60)+(6*30*24*60*60)</f>
        <v>110160000</v>
      </c>
      <c r="BA308" s="25">
        <f>(4*365*24*60*60)+(6*30*24*60*60)</f>
        <v>141696000</v>
      </c>
      <c r="BB308" s="25">
        <f>(5*365*24*60*60)+(6*30*24*60*60)</f>
        <v>173232000</v>
      </c>
      <c r="BC308" s="25">
        <f>(6*365*24*60*60)+(6*30*24*60*60)</f>
        <v>204768000</v>
      </c>
      <c r="BD308" s="25">
        <f>(7*365*24*60*60)+(6*30*24*60*60)</f>
        <v>236304000</v>
      </c>
      <c r="BE308" s="25">
        <f>(8*365*24*60*60)+(6*30*24*60*60)</f>
        <v>267840000</v>
      </c>
      <c r="BF308" s="25">
        <f>(9*365*24*60*60)+(6*30*24*60*60)</f>
        <v>299376000</v>
      </c>
      <c r="BG308" s="25">
        <f>(10*365*24*60*60)+(6*30*24*60*60)</f>
        <v>330912000</v>
      </c>
      <c r="BH308" s="53"/>
      <c r="BI308" s="53"/>
      <c r="BJ308" s="53"/>
      <c r="BK308" s="53"/>
      <c r="BL308" s="53"/>
      <c r="BM308" s="53"/>
      <c r="BN308" s="53"/>
      <c r="BO308" s="53"/>
      <c r="BP308" s="53"/>
      <c r="BQ308" s="53"/>
      <c r="BR308" s="53"/>
      <c r="BS308" s="53"/>
      <c r="BT308" s="53"/>
      <c r="BU308" s="53"/>
      <c r="BV308" s="53"/>
      <c r="BW308" s="53"/>
      <c r="BX308" s="53"/>
      <c r="BY308" s="53"/>
      <c r="BZ308" s="53"/>
      <c r="CA308" s="53"/>
      <c r="CB308" s="53"/>
      <c r="CC308" s="53"/>
      <c r="CD308" s="53"/>
      <c r="CE308" s="53"/>
      <c r="CF308" s="53"/>
      <c r="CG308" s="53"/>
      <c r="CH308" s="53"/>
      <c r="CI308" s="53"/>
      <c r="CJ308" s="53"/>
      <c r="CK308" s="53"/>
      <c r="CL308" s="53"/>
      <c r="CM308" s="53"/>
      <c r="CN308" s="53"/>
      <c r="CO308" s="53"/>
      <c r="CP308" s="53"/>
      <c r="CQ308" s="53"/>
      <c r="CR308" s="1"/>
      <c r="CS308" s="1"/>
      <c r="CT308" s="1"/>
      <c r="CU308" s="1"/>
    </row>
    <row r="309" spans="1:99" s="13" customFormat="1" ht="12" customHeight="1" x14ac:dyDescent="0.2">
      <c r="A309" s="65">
        <v>43509</v>
      </c>
      <c r="B309" s="1" t="s">
        <v>213</v>
      </c>
      <c r="C309" s="1" t="s">
        <v>202</v>
      </c>
      <c r="D309" s="60">
        <v>1991</v>
      </c>
      <c r="E309" s="76">
        <v>1</v>
      </c>
      <c r="F309" s="60">
        <v>373</v>
      </c>
      <c r="G309" s="60">
        <v>31.1</v>
      </c>
      <c r="H309" s="60" t="s">
        <v>50</v>
      </c>
      <c r="I309" s="60" t="s">
        <v>203</v>
      </c>
      <c r="J309" s="60" t="s">
        <v>203</v>
      </c>
      <c r="K309" s="60">
        <f>IF(J309="syllables",1,IF(J309="trigrams",2,IF(J309="strings",3,IF(J309="visual array",4,IF(J309="characters",5,IF(J309="letters",6,IF(J309="free forms",7,IF(J309="odors",8,IF(J309="words",9,IF(J309="pictures",10,IF(J309="object pictures",11,IF(J309="faces",12,IF(J309="names",13,IF(J309="idioms",14,IF(J309="grades",15,IF(J309="syllable-digit pairs",16,IF(J309="trigram-word pairs",17,IF(J309="word-digit pairs",18,IF(J309="English-Swahili pairs",19,IF(J309="spatial position",20,IF(J309="word pairs",21,IF(J309="word triads",22,IF(J309="generated words",23,IF(J309="word definition pairs",24,IF(J309="math problems",25,IF(J309="famous faces",26,IF(J309="famous names",27,IF(J309="famous voices",28,IF(J309="television programs",29,IF(J309="race horses",30,IF(J309="new vocabulary",31,IF(J309="sentences",32,IF(J309="concepts",33,IF(J309="ad slides",34,IF(J309="scenes",35,IF(J309="famous scenes",36,IF(J309="poems",37,IF(J309="walk",38,IF(J309="faces and events",39,IF(J309="events and names",40,IF(J309="flashbulb",41,IF(J309="stories",42,IF(J309="course material",43,IF(J309="autobiographical",44,IF(J309="novels",45,IF(J309="public events",46,"99"))))))))))))))))))))))))))))))))))))))))))))))</f>
        <v>13</v>
      </c>
      <c r="L309" s="60">
        <f>IF(J309="syllables",1,IF(J309="trigrams",1,IF(J309="strings",1,IF(J309="visual array",1,IF(J309="characters",1,IF(J309="letters",1,IF(J309="free forms",1,IF(J309="odors",2,IF(J309="words",2,IF(J309="pictures",2,IF(J309="object pictures",2,IF(J309="faces",2,IF(J309="names",2,IF(J309="idioms","2",IF(J309="grades",2,IF(J309="syllable-digit pairs",3,IF(J309="trigram-word pairs",3,IF(J309="word-digit pairs",3,IF(J309="English-Swahili pairs",3,IF(J309="spatial position",3,IF(J309="word pairs",4,IF(J309="word triads",4,IF(J309="generated words",4,IF(J309="word definition pairs",4,IF(J309="math problems",4,IF(J309="famous faces",4,IF(J309="famous names",4,IF(J309="famous voices",4,IF(J309="television programs",4,IF(J309="race horses",4,IF(J309="new vocabulary",4,IF(J309="sentences",5,IF(J309="concepts",5,IF(J309="ad slides",5,IF(J309="scenes",5,IF(J309="famous scenes",5,IF(J309="poems",6,IF(J309="walk",6,IF(J309="faces and events",6,IF(J309="events and names",6,IF(J309="flashbulb",7,IF(J309="stories",7,IF(J309="course material",7,IF(J309="autobiographical",7,IF(J309="novels",7,IF(J309="public events",7,"99"))))))))))))))))))))))))))))))))))))))))))))))</f>
        <v>2</v>
      </c>
      <c r="M309" s="60">
        <v>1</v>
      </c>
      <c r="N309" s="60">
        <v>2</v>
      </c>
      <c r="O309" s="60">
        <v>0</v>
      </c>
      <c r="P309" s="60"/>
      <c r="Q309" s="60" t="s">
        <v>34</v>
      </c>
      <c r="R309" s="60">
        <f>IF(Q309="Free Recall",1,IF(Q309="Cued Recall",2,IF(Q309="Recognition",3,IF(Q309="Multiple Choice",4,IF(Q309="Savings",5,IF(Q309="Stem Completion",6,IF(Q309="Fragment Completion",7,IF(Q309="anagram solution",8,IF(Q309="Matching",9,IF(Q309="Problem Solving",10,"99"))))))))))</f>
        <v>3</v>
      </c>
      <c r="S309" s="60" t="s">
        <v>15</v>
      </c>
      <c r="T309" s="59" t="s">
        <v>261</v>
      </c>
      <c r="U309" s="60">
        <f>IF(T309="within",1,0)</f>
        <v>0</v>
      </c>
      <c r="V309" s="59">
        <v>16</v>
      </c>
      <c r="W309" s="60">
        <f>F309*V309</f>
        <v>5968</v>
      </c>
      <c r="X309" s="60">
        <v>12</v>
      </c>
      <c r="Y309" s="76">
        <f>AV308</f>
        <v>7776000</v>
      </c>
      <c r="Z309" s="60" t="s">
        <v>510</v>
      </c>
      <c r="AA309" s="76">
        <f>(10*365*24*60*60)+(6*30*24*60*60)</f>
        <v>330912000</v>
      </c>
      <c r="AB309" s="60" t="str">
        <f>IF(AA309&lt;60,"1",IF(AA309&lt;=43200,"2",IF(AA309&lt;=777600,"3","4")))</f>
        <v>4</v>
      </c>
      <c r="AC309" s="56">
        <f>AVERAGE(AV308:DA308)</f>
        <v>165384000</v>
      </c>
      <c r="AD309" s="60" t="str">
        <f>IF(AC309&lt;60,"1",IF(AC309&lt;=43200,"2",IF(AC309&lt;=777600,"3","4")))</f>
        <v>4</v>
      </c>
      <c r="AE309" s="76">
        <f>AA309-Y309</f>
        <v>323136000</v>
      </c>
      <c r="AF309" s="80">
        <f>AV309</f>
        <v>0.78557614826752598</v>
      </c>
      <c r="AG309" s="56">
        <f>((AW309-AV309)+(AX309-AW309)+(AY309-AX309)+(AZ309-AY309)+(BA309-AZ309)+(BB309-BA309)+(BC309-BB309)+(BD309-BC309)+(BE309-BD309)+(BF309-BE309)+(BG309-BF309))/11</f>
        <v>-1.0506922569775085E-2</v>
      </c>
      <c r="AH309" s="4"/>
      <c r="AI309" s="56">
        <f>RSQ(AV309:BG309,AV308:BG308)</f>
        <v>0.51384930216801195</v>
      </c>
      <c r="AJ309" s="109">
        <f>SLOPE(AV309:BG309,AV308:BG308)</f>
        <v>-3.4037358578496057E-10</v>
      </c>
      <c r="AK309" s="56">
        <f>INTERCEPT(AV309:BG309,AV308:BG308)</f>
        <v>0.7275366373489025</v>
      </c>
      <c r="AL309" s="56">
        <f>INDEX(LINEST(LN(AV309:BG309),LN(AV308:BG308),TRUE,TRUE),3,1)</f>
        <v>0.79646201167969943</v>
      </c>
      <c r="AM309" s="56">
        <f>INDEX(LINEST(LN(AV309:BG309),LN(AV308:BG308)),1)</f>
        <v>-5.9485316904957383E-2</v>
      </c>
      <c r="AN309" s="56">
        <f>EXP(INDEX(LINEST(LN(AV309:BG309),LN(AV308:BG308)),1,2))</f>
        <v>2.0236194728204682</v>
      </c>
      <c r="AO309" s="82">
        <f>INDEX(LINEST((AV309:BG309),LN(AV308:BG308),TRUE,TRUE),3,1)</f>
        <v>0.8108721226657124</v>
      </c>
      <c r="AP309" s="82">
        <f>INDEX(LINEST((AV309:BG309),LN(AV308:BG308)),1)</f>
        <v>-4.1918866332267608E-2</v>
      </c>
      <c r="AQ309" s="83">
        <f>INDEX(LINEST(LN(AV309:BG309),SQRT(AV308:BG308),TRUE,TRUE),3,1)</f>
        <v>0.68071822723747355</v>
      </c>
      <c r="AR309" s="116">
        <f>INDEX(LINEST(LN(AV309:BG309),SQRT((AV308:BG308))),1)</f>
        <v>-1.2533401026060409E-5</v>
      </c>
      <c r="AS309" s="84">
        <f>INDEX(LINEST(1/(AV309:BG309),1/(SQRT(AV308:BG308)),TRUE,TRUE),3,1)</f>
        <v>0.73229583624597427</v>
      </c>
      <c r="AT309" s="84">
        <f>INDEX(LINEST(1/(AV309:BG309),1/SQRT(AV308:BG308)),1)</f>
        <v>-1035.2426528659148</v>
      </c>
      <c r="AU309" s="3"/>
      <c r="AV309" s="53">
        <v>0.78557614826752598</v>
      </c>
      <c r="AW309" s="53">
        <v>0.74625302175664698</v>
      </c>
      <c r="AX309" s="53">
        <v>0.682755842062852</v>
      </c>
      <c r="AY309" s="53">
        <v>0.68533440773569698</v>
      </c>
      <c r="AZ309" s="53">
        <v>0.63634165995165093</v>
      </c>
      <c r="BA309" s="53">
        <v>0.67340854149879104</v>
      </c>
      <c r="BB309" s="53">
        <v>0.62763900080580104</v>
      </c>
      <c r="BC309" s="53">
        <v>0.64278807413376304</v>
      </c>
      <c r="BD309" s="53">
        <v>0.63892022562449602</v>
      </c>
      <c r="BE309" s="53">
        <v>0.63827558420628494</v>
      </c>
      <c r="BF309" s="53">
        <v>0.62763900080580104</v>
      </c>
      <c r="BG309" s="53">
        <v>0.67</v>
      </c>
      <c r="BH309" s="53"/>
      <c r="BI309" s="53"/>
      <c r="BJ309" s="53"/>
      <c r="BK309" s="53"/>
      <c r="BL309" s="53"/>
      <c r="BM309" s="53"/>
      <c r="BN309" s="53"/>
      <c r="BO309" s="53"/>
      <c r="BP309" s="53"/>
      <c r="BQ309" s="53"/>
      <c r="BR309" s="53"/>
      <c r="BS309" s="53"/>
      <c r="BT309" s="53"/>
      <c r="BU309" s="53"/>
      <c r="BV309" s="53"/>
      <c r="BW309" s="53"/>
      <c r="BX309" s="53"/>
      <c r="BY309" s="53"/>
      <c r="BZ309" s="53"/>
      <c r="CA309" s="53"/>
      <c r="CB309" s="53"/>
      <c r="CC309" s="53"/>
      <c r="CD309" s="53"/>
      <c r="CE309" s="53"/>
      <c r="CF309" s="53"/>
      <c r="CG309" s="53"/>
      <c r="CH309" s="53"/>
      <c r="CI309" s="53"/>
      <c r="CJ309" s="53"/>
      <c r="CK309" s="53"/>
      <c r="CL309" s="53"/>
      <c r="CM309" s="53"/>
      <c r="CN309" s="53"/>
      <c r="CO309" s="53"/>
      <c r="CP309" s="53"/>
      <c r="CQ309" s="53"/>
      <c r="CR309" s="1"/>
      <c r="CS309" s="1"/>
      <c r="CT309" s="1"/>
      <c r="CU309" s="1"/>
    </row>
    <row r="310" spans="1:99" s="13" customFormat="1" ht="12" customHeight="1" x14ac:dyDescent="0.2">
      <c r="A310" s="65">
        <v>43509</v>
      </c>
      <c r="B310" s="1"/>
      <c r="C310" s="1"/>
      <c r="D310" s="60"/>
      <c r="E310" s="76"/>
      <c r="F310" s="60"/>
      <c r="G310" s="60"/>
      <c r="H310" s="60"/>
      <c r="I310" s="60"/>
      <c r="J310" s="60"/>
      <c r="K310" s="64"/>
      <c r="L310" s="64"/>
      <c r="M310" s="60"/>
      <c r="N310" s="60"/>
      <c r="O310" s="60"/>
      <c r="P310" s="60"/>
      <c r="Q310" s="60"/>
      <c r="R310" s="60"/>
      <c r="S310" s="60"/>
      <c r="T310" s="60"/>
      <c r="U310" s="60"/>
      <c r="V310" s="60"/>
      <c r="W310" s="60"/>
      <c r="X310" s="60"/>
      <c r="Y310" s="76"/>
      <c r="Z310" s="60"/>
      <c r="AA310" s="60"/>
      <c r="AB310" s="60"/>
      <c r="AC310" s="60"/>
      <c r="AD310" s="60"/>
      <c r="AE310" s="60"/>
      <c r="AF310" s="80"/>
      <c r="AG310" s="56"/>
      <c r="AH310" s="4"/>
      <c r="AI310" s="56"/>
      <c r="AJ310" s="109"/>
      <c r="AK310" s="56"/>
      <c r="AL310" s="56"/>
      <c r="AM310" s="56"/>
      <c r="AN310" s="56"/>
      <c r="AO310" s="56"/>
      <c r="AP310" s="56"/>
      <c r="AQ310" s="56"/>
      <c r="AR310" s="109"/>
      <c r="AS310" s="56"/>
      <c r="AT310" s="56"/>
      <c r="AU310" s="4"/>
      <c r="AV310" s="25">
        <f>3*30*24*60*60</f>
        <v>7776000</v>
      </c>
      <c r="AW310" s="25">
        <f>(365*24*60*60)+(3*30*24*60*60)</f>
        <v>39312000</v>
      </c>
      <c r="AX310" s="25">
        <f>(2*365*24*60*60)+(3*30*24*60*60)</f>
        <v>70848000</v>
      </c>
      <c r="AY310" s="25">
        <f>(3*365*24*60*60)+(3*30*24*60*60)</f>
        <v>102384000</v>
      </c>
      <c r="AZ310" s="25">
        <f>(3*365*24*60*60)+(6*30*24*60*60)</f>
        <v>110160000</v>
      </c>
      <c r="BA310" s="25">
        <f>(4*365*24*60*60)+(6*30*24*60*60)</f>
        <v>141696000</v>
      </c>
      <c r="BB310" s="25">
        <f>(5*365*24*60*60)+(6*30*24*60*60)</f>
        <v>173232000</v>
      </c>
      <c r="BC310" s="25">
        <f>(6*365*24*60*60)+(6*30*24*60*60)</f>
        <v>204768000</v>
      </c>
      <c r="BD310" s="25">
        <f>(7*365*24*60*60)+(6*30*24*60*60)</f>
        <v>236304000</v>
      </c>
      <c r="BE310" s="25">
        <f>(8*365*24*60*60)+(6*30*24*60*60)</f>
        <v>267840000</v>
      </c>
      <c r="BF310" s="25">
        <f>(9*365*24*60*60)+(6*30*24*60*60)</f>
        <v>299376000</v>
      </c>
      <c r="BG310" s="25">
        <f>(10*365*24*60*60)+(6*30*24*60*60)</f>
        <v>330912000</v>
      </c>
      <c r="BH310" s="53"/>
      <c r="BI310" s="53"/>
      <c r="BJ310" s="53"/>
      <c r="BK310" s="53"/>
      <c r="BL310" s="53"/>
      <c r="BM310" s="53"/>
      <c r="BN310" s="53"/>
      <c r="BO310" s="53"/>
      <c r="BP310" s="53"/>
      <c r="BQ310" s="53"/>
      <c r="BR310" s="53"/>
      <c r="BS310" s="53"/>
      <c r="BT310" s="53"/>
      <c r="BU310" s="53"/>
      <c r="BV310" s="53"/>
      <c r="BW310" s="53"/>
      <c r="BX310" s="53"/>
      <c r="BY310" s="53"/>
      <c r="BZ310" s="53"/>
      <c r="CA310" s="53"/>
      <c r="CB310" s="53"/>
      <c r="CC310" s="53"/>
      <c r="CD310" s="53"/>
      <c r="CE310" s="53"/>
      <c r="CF310" s="53"/>
      <c r="CG310" s="53"/>
      <c r="CH310" s="53"/>
      <c r="CI310" s="53"/>
      <c r="CJ310" s="53"/>
      <c r="CK310" s="53"/>
      <c r="CL310" s="53"/>
      <c r="CM310" s="53"/>
      <c r="CN310" s="53"/>
      <c r="CO310" s="53"/>
      <c r="CP310" s="53"/>
      <c r="CQ310" s="53"/>
      <c r="CR310" s="1"/>
      <c r="CS310" s="1"/>
      <c r="CT310" s="1"/>
      <c r="CU310" s="1"/>
    </row>
    <row r="311" spans="1:99" s="13" customFormat="1" ht="12" customHeight="1" x14ac:dyDescent="0.2">
      <c r="A311" s="65">
        <v>43509</v>
      </c>
      <c r="B311" s="1" t="s">
        <v>213</v>
      </c>
      <c r="C311" s="1" t="s">
        <v>202</v>
      </c>
      <c r="D311" s="60">
        <v>1991</v>
      </c>
      <c r="E311" s="76">
        <v>1</v>
      </c>
      <c r="F311" s="60">
        <v>373</v>
      </c>
      <c r="G311" s="60">
        <v>31.1</v>
      </c>
      <c r="H311" s="60" t="s">
        <v>41</v>
      </c>
      <c r="I311" s="60" t="s">
        <v>93</v>
      </c>
      <c r="J311" s="60" t="s">
        <v>93</v>
      </c>
      <c r="K311" s="60">
        <f>IF(J311="syllables",1,IF(J311="trigrams",2,IF(J311="strings",3,IF(J311="visual array",4,IF(J311="characters",5,IF(J311="letters",6,IF(J311="free forms",7,IF(J311="odors",8,IF(J311="words",9,IF(J311="pictures",10,IF(J311="object pictures",11,IF(J311="faces",12,IF(J311="names",13,IF(J311="idioms",14,IF(J311="grades",15,IF(J311="syllable-digit pairs",16,IF(J311="trigram-word pairs",17,IF(J311="word-digit pairs",18,IF(J311="English-Swahili pairs",19,IF(J311="spatial position",20,IF(J311="word pairs",21,IF(J311="word triads",22,IF(J311="generated words",23,IF(J311="word definition pairs",24,IF(J311="math problems",25,IF(J311="famous faces",26,IF(J311="famous names",27,IF(J311="famous voices",28,IF(J311="television programs",29,IF(J311="race horses",30,IF(J311="new vocabulary",31,IF(J311="sentences",32,IF(J311="concepts",33,IF(J311="ad slides",34,IF(J311="scenes",35,IF(J311="famous scenes",36,IF(J311="poems",37,IF(J311="walk",38,IF(J311="faces and events",39,IF(J311="events and names",40,IF(J311="flashbulb",41,IF(J311="stories",42,IF(J311="course material",43,IF(J311="autobiographical",44,IF(J311="novels",45,IF(J311="public events",46,"99"))))))))))))))))))))))))))))))))))))))))))))))</f>
        <v>33</v>
      </c>
      <c r="L311" s="60">
        <f>IF(J311="syllables",1,IF(J311="trigrams",1,IF(J311="strings",1,IF(J311="visual array",1,IF(J311="characters",1,IF(J311="letters",1,IF(J311="free forms",1,IF(J311="odors",2,IF(J311="words",2,IF(J311="pictures",2,IF(J311="object pictures",2,IF(J311="faces",2,IF(J311="names",2,IF(J311="idioms","2",IF(J311="grades",2,IF(J311="syllable-digit pairs",3,IF(J311="trigram-word pairs",3,IF(J311="word-digit pairs",3,IF(J311="English-Swahili pairs",3,IF(J311="spatial position",3,IF(J311="word pairs",4,IF(J311="word triads",4,IF(J311="generated words",4,IF(J311="word definition pairs",4,IF(J311="math problems",4,IF(J311="famous faces",4,IF(J311="famous names",4,IF(J311="famous voices",4,IF(J311="television programs",4,IF(J311="race horses",4,IF(J311="new vocabulary",4,IF(J311="sentences",5,IF(J311="concepts",5,IF(J311="ad slides",5,IF(J311="scenes",5,IF(J311="famous scenes",5,IF(J311="poems",6,IF(J311="walk",6,IF(J311="faces and events",6,IF(J311="events and names",6,IF(J311="flashbulb",7,IF(J311="stories",7,IF(J311="course material",7,IF(J311="autobiographical",7,IF(J311="novels",7,IF(J311="public events",7,"99"))))))))))))))))))))))))))))))))))))))))))))))</f>
        <v>5</v>
      </c>
      <c r="M311" s="60">
        <v>1</v>
      </c>
      <c r="N311" s="60">
        <v>4</v>
      </c>
      <c r="O311" s="60">
        <v>0</v>
      </c>
      <c r="P311" s="60"/>
      <c r="Q311" s="60" t="s">
        <v>174</v>
      </c>
      <c r="R311" s="60">
        <f>IF(Q311="Free Recall",1,IF(Q311="Cued Recall",2,IF(Q311="Recognition",3,IF(Q311="Multiple Choice",4,IF(Q311="Savings",5,IF(Q311="Stem Completion",6,IF(Q311="Fragment Completion",7,IF(Q311="anagram solution",8,IF(Q311="Matching",9,IF(Q311="Problem Solving",10,"99"))))))))))</f>
        <v>1</v>
      </c>
      <c r="S311" s="62" t="s">
        <v>49</v>
      </c>
      <c r="T311" s="59" t="s">
        <v>261</v>
      </c>
      <c r="U311" s="60">
        <f>IF(T311="within",1,0)</f>
        <v>0</v>
      </c>
      <c r="V311" s="59">
        <v>12</v>
      </c>
      <c r="W311" s="60">
        <f>F311*V311</f>
        <v>4476</v>
      </c>
      <c r="X311" s="60">
        <v>12</v>
      </c>
      <c r="Y311" s="76">
        <f>AV310</f>
        <v>7776000</v>
      </c>
      <c r="Z311" s="60" t="s">
        <v>510</v>
      </c>
      <c r="AA311" s="76">
        <f>(10*365*24*60*60)+(6*30*24*60*60)</f>
        <v>330912000</v>
      </c>
      <c r="AB311" s="60" t="str">
        <f>IF(AA311&lt;60,"1",IF(AA311&lt;=43200,"2",IF(AA311&lt;=777600,"3","4")))</f>
        <v>4</v>
      </c>
      <c r="AC311" s="56">
        <f>AVERAGE(AV310:DA310)</f>
        <v>165384000</v>
      </c>
      <c r="AD311" s="60" t="str">
        <f>IF(AC311&lt;60,"1",IF(AC311&lt;=43200,"2",IF(AC311&lt;=777600,"3","4")))</f>
        <v>4</v>
      </c>
      <c r="AE311" s="76">
        <f>AA311-Y311</f>
        <v>323136000</v>
      </c>
      <c r="AF311" s="80">
        <f>AV311</f>
        <v>0.60232787750619898</v>
      </c>
      <c r="AG311" s="56">
        <f>((AW311-AV311)+(AX311-AW311)+(AY311-AX311)+(AZ311-AY311)+(BA311-AZ311)+(BB311-BA311)+(BC311-BB311)+(BD311-BC311)+(BE311-BD311)+(BF311-BE311)+(BG311-BF311))/11</f>
        <v>-3.1739311133815347E-2</v>
      </c>
      <c r="AH311" s="4"/>
      <c r="AI311" s="56">
        <f>RSQ(AV311:BG311,AV310:BG310)</f>
        <v>0.60723157322830179</v>
      </c>
      <c r="AJ311" s="109">
        <f>SLOPE(AV311:BG311,AV310:BG310)</f>
        <v>-7.8874967450842775E-10</v>
      </c>
      <c r="AK311" s="56">
        <f>INTERCEPT(AV311:BG311,AV310:BG310)</f>
        <v>0.45291395579693183</v>
      </c>
      <c r="AL311" s="56">
        <f>INDEX(LINEST(LN(AV311:BG311),LN(AV310:BG310),TRUE,TRUE),3,1)</f>
        <v>0.90853591015193713</v>
      </c>
      <c r="AM311" s="56">
        <f>INDEX(LINEST(LN(AV311:BG311),LN(AV310:BG310)),1)</f>
        <v>-0.24881822357505426</v>
      </c>
      <c r="AN311" s="56">
        <f>EXP(INDEX(LINEST(LN(AV311:BG311),LN(AV310:BG310)),1,2))</f>
        <v>31.64897746607069</v>
      </c>
      <c r="AO311" s="82">
        <f>INDEX(LINEST((AV311:BG311),LN(AV310:BG310),TRUE,TRUE),3,1)</f>
        <v>0.93091793243095566</v>
      </c>
      <c r="AP311" s="82">
        <f>INDEX(LINEST((AV311:BG311),LN(AV310:BG310)),1)</f>
        <v>-9.5744337499546806E-2</v>
      </c>
      <c r="AQ311" s="83">
        <f>INDEX(LINEST(LN(AV311:BG311),SQRT(AV310:BG310),TRUE,TRUE),3,1)</f>
        <v>0.82568990287649957</v>
      </c>
      <c r="AR311" s="116">
        <f>INDEX(LINEST(LN(AV311:BG311),SQRT((AV310:BG310))),1)</f>
        <v>-5.4060196855414857E-5</v>
      </c>
      <c r="AS311" s="84">
        <f>INDEX(LINEST(1/(AV311:BG311),1/(SQRT(AV310:BG310)),TRUE,TRUE),3,1)</f>
        <v>0.72221485567093613</v>
      </c>
      <c r="AT311" s="84">
        <f>INDEX(LINEST(1/(AV311:BG311),1/SQRT(AV310:BG310)),1)</f>
        <v>-8030.2295919345861</v>
      </c>
      <c r="AU311" s="3"/>
      <c r="AV311" s="53">
        <v>0.60232787750619898</v>
      </c>
      <c r="AW311" s="53">
        <v>0.43752953022102403</v>
      </c>
      <c r="AX311" s="53">
        <v>0.36835989559743099</v>
      </c>
      <c r="AY311" s="53">
        <v>0.30743623916139001</v>
      </c>
      <c r="AZ311" s="53">
        <v>0.281068399323533</v>
      </c>
      <c r="BA311" s="53">
        <v>0.30258432201870999</v>
      </c>
      <c r="BB311" s="53">
        <v>0.289475347764175</v>
      </c>
      <c r="BC311" s="53">
        <v>0.26358813773057899</v>
      </c>
      <c r="BD311" s="53">
        <v>0.23564057362759802</v>
      </c>
      <c r="BE311" s="53">
        <v>0.30290756592774498</v>
      </c>
      <c r="BF311" s="53">
        <v>0.225495211623746</v>
      </c>
      <c r="BG311" s="53">
        <v>0.25319545503423002</v>
      </c>
      <c r="BH311" s="53"/>
      <c r="BI311" s="53"/>
      <c r="BJ311" s="53"/>
      <c r="BK311" s="53"/>
      <c r="BL311" s="53"/>
      <c r="BM311" s="53"/>
      <c r="BN311" s="53"/>
      <c r="BO311" s="53"/>
      <c r="BP311" s="53"/>
      <c r="BQ311" s="53"/>
      <c r="BR311" s="53"/>
      <c r="BS311" s="53"/>
      <c r="BT311" s="53"/>
      <c r="BU311" s="53"/>
      <c r="BV311" s="53"/>
      <c r="BW311" s="53"/>
      <c r="BX311" s="53"/>
      <c r="BY311" s="53"/>
      <c r="BZ311" s="53"/>
      <c r="CA311" s="53"/>
      <c r="CB311" s="53"/>
      <c r="CC311" s="53"/>
      <c r="CD311" s="53"/>
      <c r="CE311" s="53"/>
      <c r="CF311" s="53"/>
      <c r="CG311" s="53"/>
      <c r="CH311" s="53"/>
      <c r="CI311" s="53"/>
      <c r="CJ311" s="53"/>
      <c r="CK311" s="53"/>
      <c r="CL311" s="53"/>
      <c r="CM311" s="53"/>
      <c r="CN311" s="53"/>
      <c r="CO311" s="53"/>
      <c r="CP311" s="53"/>
      <c r="CQ311" s="53"/>
      <c r="CR311" s="1"/>
      <c r="CS311" s="1"/>
      <c r="CT311" s="1"/>
      <c r="CU311" s="1"/>
    </row>
    <row r="312" spans="1:99" s="13" customFormat="1" ht="12" customHeight="1" x14ac:dyDescent="0.2">
      <c r="A312" s="65">
        <v>43509</v>
      </c>
      <c r="B312" s="1"/>
      <c r="C312" s="1"/>
      <c r="D312" s="60"/>
      <c r="E312" s="76"/>
      <c r="F312" s="60"/>
      <c r="G312" s="60"/>
      <c r="H312" s="60"/>
      <c r="I312" s="60"/>
      <c r="J312" s="60"/>
      <c r="K312" s="64"/>
      <c r="L312" s="64"/>
      <c r="M312" s="60"/>
      <c r="N312" s="60"/>
      <c r="O312" s="60"/>
      <c r="P312" s="60"/>
      <c r="Q312" s="60"/>
      <c r="R312" s="60"/>
      <c r="S312" s="60"/>
      <c r="T312" s="60"/>
      <c r="U312" s="60"/>
      <c r="V312" s="60"/>
      <c r="W312" s="60"/>
      <c r="X312" s="60"/>
      <c r="Y312" s="76"/>
      <c r="Z312" s="60"/>
      <c r="AA312" s="60"/>
      <c r="AB312" s="60"/>
      <c r="AC312" s="60"/>
      <c r="AD312" s="60"/>
      <c r="AE312" s="60"/>
      <c r="AF312" s="80"/>
      <c r="AG312" s="56"/>
      <c r="AH312" s="4"/>
      <c r="AI312" s="56"/>
      <c r="AJ312" s="109"/>
      <c r="AK312" s="56"/>
      <c r="AL312" s="56"/>
      <c r="AM312" s="56"/>
      <c r="AN312" s="56"/>
      <c r="AO312" s="56"/>
      <c r="AP312" s="56"/>
      <c r="AQ312" s="56"/>
      <c r="AR312" s="109"/>
      <c r="AS312" s="56"/>
      <c r="AT312" s="56"/>
      <c r="AU312" s="4"/>
      <c r="AV312" s="25">
        <f>3*30*24*60*60</f>
        <v>7776000</v>
      </c>
      <c r="AW312" s="25">
        <f>(365*24*60*60)+(3*30*24*60*60)</f>
        <v>39312000</v>
      </c>
      <c r="AX312" s="25">
        <f>(2*365*24*60*60)+(3*30*24*60*60)</f>
        <v>70848000</v>
      </c>
      <c r="AY312" s="25">
        <f>(3*365*24*60*60)+(3*30*24*60*60)</f>
        <v>102384000</v>
      </c>
      <c r="AZ312" s="25">
        <f>(3*365*24*60*60)+(6*30*24*60*60)</f>
        <v>110160000</v>
      </c>
      <c r="BA312" s="25">
        <f>(4*365*24*60*60)+(6*30*24*60*60)</f>
        <v>141696000</v>
      </c>
      <c r="BB312" s="25">
        <f>(5*365*24*60*60)+(6*30*24*60*60)</f>
        <v>173232000</v>
      </c>
      <c r="BC312" s="25">
        <f>(6*365*24*60*60)+(6*30*24*60*60)</f>
        <v>204768000</v>
      </c>
      <c r="BD312" s="25">
        <f>(7*365*24*60*60)+(6*30*24*60*60)</f>
        <v>236304000</v>
      </c>
      <c r="BE312" s="25">
        <f>(8*365*24*60*60)+(6*30*24*60*60)</f>
        <v>267840000</v>
      </c>
      <c r="BF312" s="25">
        <f>(9*365*24*60*60)+(6*30*24*60*60)</f>
        <v>299376000</v>
      </c>
      <c r="BG312" s="25">
        <f>(10*365*24*60*60)+(6*30*24*60*60)</f>
        <v>330912000</v>
      </c>
      <c r="BH312" s="53"/>
      <c r="BI312" s="53"/>
      <c r="BJ312" s="53"/>
      <c r="BK312" s="53"/>
      <c r="BL312" s="53"/>
      <c r="BM312" s="53"/>
      <c r="BN312" s="53"/>
      <c r="BO312" s="53"/>
      <c r="BP312" s="53"/>
      <c r="BQ312" s="53"/>
      <c r="BR312" s="53"/>
      <c r="BS312" s="53"/>
      <c r="BT312" s="53"/>
      <c r="BU312" s="53"/>
      <c r="BV312" s="53"/>
      <c r="BW312" s="53"/>
      <c r="BX312" s="53"/>
      <c r="BY312" s="53"/>
      <c r="BZ312" s="53"/>
      <c r="CA312" s="53"/>
      <c r="CB312" s="53"/>
      <c r="CC312" s="53"/>
      <c r="CD312" s="53"/>
      <c r="CE312" s="53"/>
      <c r="CF312" s="53"/>
      <c r="CG312" s="53"/>
      <c r="CH312" s="53"/>
      <c r="CI312" s="53"/>
      <c r="CJ312" s="53"/>
      <c r="CK312" s="53"/>
      <c r="CL312" s="53"/>
      <c r="CM312" s="53"/>
      <c r="CN312" s="53"/>
      <c r="CO312" s="53"/>
      <c r="CP312" s="53"/>
      <c r="CQ312" s="53"/>
      <c r="CR312" s="1"/>
      <c r="CS312" s="1"/>
      <c r="CT312" s="1"/>
      <c r="CU312" s="1"/>
    </row>
    <row r="313" spans="1:99" s="13" customFormat="1" ht="12" customHeight="1" x14ac:dyDescent="0.2">
      <c r="A313" s="65">
        <v>43509</v>
      </c>
      <c r="B313" s="1" t="s">
        <v>213</v>
      </c>
      <c r="C313" s="1" t="s">
        <v>202</v>
      </c>
      <c r="D313" s="60">
        <v>1991</v>
      </c>
      <c r="E313" s="76">
        <v>1</v>
      </c>
      <c r="F313" s="60">
        <v>373</v>
      </c>
      <c r="G313" s="60">
        <v>31.1</v>
      </c>
      <c r="H313" s="60" t="s">
        <v>41</v>
      </c>
      <c r="I313" s="60" t="s">
        <v>203</v>
      </c>
      <c r="J313" s="60" t="s">
        <v>203</v>
      </c>
      <c r="K313" s="60">
        <f>IF(J313="syllables",1,IF(J313="trigrams",2,IF(J313="strings",3,IF(J313="visual array",4,IF(J313="characters",5,IF(J313="letters",6,IF(J313="free forms",7,IF(J313="odors",8,IF(J313="words",9,IF(J313="pictures",10,IF(J313="object pictures",11,IF(J313="faces",12,IF(J313="names",13,IF(J313="idioms",14,IF(J313="grades",15,IF(J313="syllable-digit pairs",16,IF(J313="trigram-word pairs",17,IF(J313="word-digit pairs",18,IF(J313="English-Swahili pairs",19,IF(J313="spatial position",20,IF(J313="word pairs",21,IF(J313="word triads",22,IF(J313="generated words",23,IF(J313="word definition pairs",24,IF(J313="math problems",25,IF(J313="famous faces",26,IF(J313="famous names",27,IF(J313="famous voices",28,IF(J313="television programs",29,IF(J313="race horses",30,IF(J313="new vocabulary",31,IF(J313="sentences",32,IF(J313="concepts",33,IF(J313="ad slides",34,IF(J313="scenes",35,IF(J313="famous scenes",36,IF(J313="poems",37,IF(J313="walk",38,IF(J313="faces and events",39,IF(J313="events and names",40,IF(J313="flashbulb",41,IF(J313="stories",42,IF(J313="course material",43,IF(J313="autobiographical",44,IF(J313="novels",45,IF(J313="public events",46,"99"))))))))))))))))))))))))))))))))))))))))))))))</f>
        <v>13</v>
      </c>
      <c r="L313" s="60">
        <f>IF(J313="syllables",1,IF(J313="trigrams",1,IF(J313="strings",1,IF(J313="visual array",1,IF(J313="characters",1,IF(J313="letters",1,IF(J313="free forms",1,IF(J313="odors",2,IF(J313="words",2,IF(J313="pictures",2,IF(J313="object pictures",2,IF(J313="faces",2,IF(J313="names",2,IF(J313="idioms","2",IF(J313="grades",2,IF(J313="syllable-digit pairs",3,IF(J313="trigram-word pairs",3,IF(J313="word-digit pairs",3,IF(J313="English-Swahili pairs",3,IF(J313="spatial position",3,IF(J313="word pairs",4,IF(J313="word triads",4,IF(J313="generated words",4,IF(J313="word definition pairs",4,IF(J313="math problems",4,IF(J313="famous faces",4,IF(J313="famous names",4,IF(J313="famous voices",4,IF(J313="television programs",4,IF(J313="race horses",4,IF(J313="new vocabulary",4,IF(J313="sentences",5,IF(J313="concepts",5,IF(J313="ad slides",5,IF(J313="scenes",5,IF(J313="famous scenes",5,IF(J313="poems",6,IF(J313="walk",6,IF(J313="faces and events",6,IF(J313="events and names",6,IF(J313="flashbulb",7,IF(J313="stories",7,IF(J313="course material",7,IF(J313="autobiographical",7,IF(J313="novels",7,IF(J313="public events",7,"99"))))))))))))))))))))))))))))))))))))))))))))))</f>
        <v>2</v>
      </c>
      <c r="M313" s="60">
        <v>1</v>
      </c>
      <c r="N313" s="60">
        <v>2</v>
      </c>
      <c r="O313" s="60">
        <v>0</v>
      </c>
      <c r="P313" s="60"/>
      <c r="Q313" s="60" t="s">
        <v>174</v>
      </c>
      <c r="R313" s="60">
        <f>IF(Q313="Free Recall",1,IF(Q313="Cued Recall",2,IF(Q313="Recognition",3,IF(Q313="Multiple Choice",4,IF(Q313="Savings",5,IF(Q313="Stem Completion",6,IF(Q313="Fragment Completion",7,IF(Q313="anagram solution",8,IF(Q313="Matching",9,IF(Q313="Problem Solving",10,"99"))))))))))</f>
        <v>1</v>
      </c>
      <c r="S313" s="62" t="s">
        <v>49</v>
      </c>
      <c r="T313" s="59" t="s">
        <v>261</v>
      </c>
      <c r="U313" s="60">
        <f>IF(T313="within",1,0)</f>
        <v>0</v>
      </c>
      <c r="V313" s="59">
        <v>12</v>
      </c>
      <c r="W313" s="60">
        <f>F313*V313</f>
        <v>4476</v>
      </c>
      <c r="X313" s="60">
        <v>12</v>
      </c>
      <c r="Y313" s="76">
        <f>AV312</f>
        <v>7776000</v>
      </c>
      <c r="Z313" s="60" t="s">
        <v>510</v>
      </c>
      <c r="AA313" s="76">
        <f>(10*365*24*60*60)+(6*30*24*60*60)</f>
        <v>330912000</v>
      </c>
      <c r="AB313" s="60" t="str">
        <f>IF(AA313&lt;60,"1",IF(AA313&lt;=43200,"2",IF(AA313&lt;=777600,"3","4")))</f>
        <v>4</v>
      </c>
      <c r="AC313" s="56">
        <f>AVERAGE(AV312:DA312)</f>
        <v>165384000</v>
      </c>
      <c r="AD313" s="60" t="str">
        <f>IF(AC313&lt;60,"1",IF(AC313&lt;=43200,"2",IF(AC313&lt;=777600,"3","4")))</f>
        <v>4</v>
      </c>
      <c r="AE313" s="76">
        <f>AA313-Y313</f>
        <v>323136000</v>
      </c>
      <c r="AF313" s="80">
        <f>AV313</f>
        <v>0.56316941956212097</v>
      </c>
      <c r="AG313" s="56">
        <f>((AW313-AV313)+(AX313-AW313)+(AY313-AX313)+(AZ313-AY313)+(BA313-AZ313)+(BB313-BA313)+(BC313-BB313)+(BD313-BC313)+(BE313-BD313)+(BF313-BE313)+(BG313-BF313))/11</f>
        <v>-1.7724649629018898E-2</v>
      </c>
      <c r="AH313" s="4"/>
      <c r="AI313" s="56">
        <f>RSQ(AV313:BG313,AV312:BG312)</f>
        <v>0.12192481258833034</v>
      </c>
      <c r="AJ313" s="109">
        <f>SLOPE(AV313:BG313,AV312:BG312)</f>
        <v>-3.334351685238285E-10</v>
      </c>
      <c r="AK313" s="56">
        <f>INTERCEPT(AV313:BG313,AV312:BG312)</f>
        <v>0.35655577550602702</v>
      </c>
      <c r="AL313" s="56">
        <f>INDEX(LINEST(LN(AV313:BG313),LN(AV312:BG312),TRUE,TRUE),3,1)</f>
        <v>0.32067986897926026</v>
      </c>
      <c r="AM313" s="56">
        <f>INDEX(LINEST(LN(AV313:BG313),LN(AV312:BG312)),1)</f>
        <v>-0.15770156066902088</v>
      </c>
      <c r="AN313" s="56">
        <f>EXP(INDEX(LINEST(LN(AV313:BG313),LN(AV312:BG312)),1,2))</f>
        <v>5.4180833158321384</v>
      </c>
      <c r="AO313" s="82">
        <f>INDEX(LINEST((AV313:BG313),LN(AV312:BG312),TRUE,TRUE),3,1)</f>
        <v>0.42208688625917956</v>
      </c>
      <c r="AP313" s="82">
        <f>INDEX(LINEST((AV313:BG313),LN(AV312:BG312)),1)</f>
        <v>-6.0822135632044645E-2</v>
      </c>
      <c r="AQ313" s="83">
        <f>INDEX(LINEST(LN(AV313:BG313),SQRT(AV312:BG312),TRUE,TRUE),3,1)</f>
        <v>0.18173029331150617</v>
      </c>
      <c r="AR313" s="116">
        <f>INDEX(LINEST(LN(AV313:BG313),SQRT((AV312:BG312))),1)</f>
        <v>-2.7056511829039438E-5</v>
      </c>
      <c r="AS313" s="84">
        <f>INDEX(LINEST(1/(AV313:BG313),1/(SQRT(AV312:BG312)),TRUE,TRUE),3,1)</f>
        <v>0.30612593261719384</v>
      </c>
      <c r="AT313" s="84">
        <f>INDEX(LINEST(1/(AV313:BG313),1/SQRT(AV312:BG312)),1)</f>
        <v>-6514.8513687229561</v>
      </c>
      <c r="AU313" s="3"/>
      <c r="AV313" s="53">
        <v>0.56316941956212097</v>
      </c>
      <c r="AW313" s="53">
        <v>0.319229754080465</v>
      </c>
      <c r="AX313" s="53">
        <v>0.217082723720954</v>
      </c>
      <c r="AY313" s="53">
        <v>0.232003427949519</v>
      </c>
      <c r="AZ313" s="53">
        <v>0.24726790468214802</v>
      </c>
      <c r="BA313" s="53">
        <v>0.32401943373662695</v>
      </c>
      <c r="BB313" s="53">
        <v>0.345121851874781</v>
      </c>
      <c r="BC313" s="53">
        <v>0.29821238297886099</v>
      </c>
      <c r="BD313" s="53">
        <v>0.23976323687065901</v>
      </c>
      <c r="BE313" s="53">
        <v>0.28147245420982797</v>
      </c>
      <c r="BF313" s="53">
        <v>0.18139033982971001</v>
      </c>
      <c r="BG313" s="53">
        <v>0.36819827364291302</v>
      </c>
      <c r="BH313" s="53"/>
      <c r="BI313" s="53"/>
      <c r="BJ313" s="53"/>
      <c r="BK313" s="53"/>
      <c r="BL313" s="53"/>
      <c r="BM313" s="53"/>
      <c r="BN313" s="53"/>
      <c r="BO313" s="53"/>
      <c r="BP313" s="53"/>
      <c r="BQ313" s="53"/>
      <c r="BR313" s="53"/>
      <c r="BS313" s="53"/>
      <c r="BT313" s="53"/>
      <c r="BU313" s="53"/>
      <c r="BV313" s="53"/>
      <c r="BW313" s="53"/>
      <c r="BX313" s="53"/>
      <c r="BY313" s="53"/>
      <c r="BZ313" s="53"/>
      <c r="CA313" s="53"/>
      <c r="CB313" s="53"/>
      <c r="CC313" s="53"/>
      <c r="CD313" s="53"/>
      <c r="CE313" s="53"/>
      <c r="CF313" s="53"/>
      <c r="CG313" s="53"/>
      <c r="CH313" s="53"/>
      <c r="CI313" s="53"/>
      <c r="CJ313" s="53"/>
      <c r="CK313" s="53"/>
      <c r="CL313" s="53"/>
      <c r="CM313" s="53"/>
      <c r="CN313" s="53"/>
      <c r="CO313" s="53"/>
      <c r="CP313" s="53"/>
      <c r="CQ313" s="53"/>
      <c r="CR313" s="1"/>
      <c r="CS313" s="1"/>
      <c r="CT313" s="1"/>
      <c r="CU313" s="1"/>
    </row>
    <row r="314" spans="1:99" ht="12" customHeight="1" x14ac:dyDescent="0.2">
      <c r="A314" s="68">
        <v>43509</v>
      </c>
      <c r="B314" s="127"/>
      <c r="C314" s="94"/>
      <c r="D314" s="92"/>
      <c r="E314" s="105"/>
      <c r="F314" s="92"/>
      <c r="G314" s="92"/>
      <c r="H314" s="92"/>
      <c r="I314" s="92"/>
      <c r="J314" s="92"/>
      <c r="K314" s="107"/>
      <c r="L314" s="107"/>
      <c r="M314" s="92"/>
      <c r="N314" s="92"/>
      <c r="O314" s="92"/>
      <c r="P314" s="92"/>
      <c r="Q314" s="92"/>
      <c r="R314" s="69"/>
      <c r="S314" s="92"/>
      <c r="T314" s="92"/>
      <c r="U314" s="69"/>
      <c r="V314" s="92"/>
      <c r="W314" s="69"/>
      <c r="X314" s="92"/>
      <c r="Y314" s="87"/>
      <c r="Z314" s="92"/>
      <c r="AA314" s="92"/>
      <c r="AB314" s="69"/>
      <c r="AC314" s="69"/>
      <c r="AD314" s="69"/>
      <c r="AE314" s="69"/>
      <c r="AF314" s="88"/>
      <c r="AG314" s="72"/>
      <c r="AH314" s="4"/>
      <c r="AI314" s="108"/>
      <c r="AJ314" s="113"/>
      <c r="AK314" s="108"/>
      <c r="AL314" s="108"/>
      <c r="AM314" s="108"/>
      <c r="AN314" s="108"/>
      <c r="AO314" s="108"/>
      <c r="AP314" s="108"/>
      <c r="AQ314" s="72"/>
      <c r="AR314" s="110"/>
      <c r="AS314" s="72"/>
      <c r="AT314" s="72"/>
      <c r="AU314" s="3"/>
      <c r="AV314" s="98">
        <v>60</v>
      </c>
      <c r="AW314" s="98">
        <f>2*24*3600</f>
        <v>172800</v>
      </c>
      <c r="AX314" s="98">
        <f>28*24*3600</f>
        <v>2419200</v>
      </c>
      <c r="AY314" s="11"/>
      <c r="AZ314" s="11"/>
      <c r="BA314" s="11"/>
      <c r="BB314" s="11"/>
      <c r="BC314" s="11"/>
      <c r="BD314" s="11"/>
      <c r="BE314" s="11"/>
      <c r="BF314" s="11"/>
      <c r="BG314" s="11"/>
      <c r="BH314" s="11"/>
      <c r="BI314" s="11"/>
      <c r="BJ314" s="11"/>
      <c r="BK314" s="11"/>
      <c r="BL314" s="11"/>
      <c r="BM314" s="11"/>
      <c r="BN314" s="11"/>
      <c r="BO314" s="11"/>
      <c r="BP314" s="11"/>
      <c r="BQ314" s="11"/>
      <c r="BR314" s="11"/>
      <c r="BS314" s="11"/>
      <c r="BT314" s="11"/>
      <c r="BU314" s="11"/>
      <c r="BV314" s="11"/>
      <c r="BW314" s="11"/>
      <c r="BX314" s="11"/>
      <c r="BY314" s="11"/>
      <c r="BZ314" s="11"/>
      <c r="CA314" s="11"/>
      <c r="CB314" s="11"/>
      <c r="CC314" s="11"/>
      <c r="CD314" s="11"/>
      <c r="CE314" s="11"/>
      <c r="CF314" s="11"/>
      <c r="CG314" s="11"/>
      <c r="CH314" s="11"/>
      <c r="CI314" s="11"/>
      <c r="CJ314" s="11"/>
      <c r="CK314" s="11"/>
      <c r="CL314" s="11"/>
      <c r="CM314" s="11"/>
      <c r="CN314" s="11"/>
      <c r="CO314" s="11"/>
      <c r="CP314" s="11"/>
      <c r="CQ314" s="11"/>
      <c r="CR314" s="15"/>
      <c r="CS314" s="15"/>
      <c r="CT314" s="15"/>
      <c r="CU314" s="15"/>
    </row>
    <row r="315" spans="1:99" ht="12" customHeight="1" x14ac:dyDescent="0.2">
      <c r="A315" s="68">
        <v>43509</v>
      </c>
      <c r="B315" s="94" t="s">
        <v>267</v>
      </c>
      <c r="C315" s="94" t="s">
        <v>142</v>
      </c>
      <c r="D315" s="92">
        <v>1981</v>
      </c>
      <c r="E315" s="105">
        <v>1</v>
      </c>
      <c r="F315" s="92">
        <v>192</v>
      </c>
      <c r="G315" s="92">
        <v>16</v>
      </c>
      <c r="H315" s="92" t="s">
        <v>50</v>
      </c>
      <c r="I315" s="92" t="s">
        <v>668</v>
      </c>
      <c r="J315" s="92" t="s">
        <v>172</v>
      </c>
      <c r="K315" s="69">
        <f>IF(J315="syllables",1,IF(J315="trigrams",2,IF(J315="strings",3,IF(J315="visual array",4,IF(J315="characters",5,IF(J315="letters",6,IF(J315="free forms",7,IF(J315="odors",8,IF(J315="words",9,IF(J315="pictures",10,IF(J315="object pictures",11,IF(J315="faces",12,IF(J315="names",13,IF(J315="idioms",14,IF(J315="grades",15,IF(J315="syllable-digit pairs",16,IF(J315="trigram-word pairs",17,IF(J315="word-digit pairs",18,IF(J315="English-Swahili pairs",19,IF(J315="spatial position",20,IF(J315="word pairs",21,IF(J315="word triads",22,IF(J315="generated words",23,IF(J315="word definition pairs",24,IF(J315="math problems",25,IF(J315="famous faces",26,IF(J315="famous names",27,IF(J315="famous voices",28,IF(J315="television programs",29,IF(J315="race horses",30,IF(J315="new vocabulary",31,IF(J315="sentences",32,IF(J315="concepts",33,IF(J315="ad slides",34,IF(J315="scenes",35,IF(J315="famous scenes",36,IF(J315="poems",37,IF(J315="walk",38,IF(J315="faces and events",39,IF(J315="events and names",40,IF(J315="flashbulb",41,IF(J315="stories",42,IF(J315="course material",43,IF(J315="autobiographical",44,IF(J315="novels",45,IF(J315="public events",46,"99"))))))))))))))))))))))))))))))))))))))))))))))</f>
        <v>12</v>
      </c>
      <c r="L315" s="69">
        <f>IF(J315="syllables",1,IF(J315="trigrams",1,IF(J315="strings",1,IF(J315="visual array",1,IF(J315="characters",1,IF(J315="letters",1,IF(J315="free forms",1,IF(J315="odors",2,IF(J315="words",2,IF(J315="pictures",2,IF(J315="object pictures",2,IF(J315="faces",2,IF(J315="names",2,IF(J315="idioms","2",IF(J315="grades",2,IF(J315="syllable-digit pairs",3,IF(J315="trigram-word pairs",3,IF(J315="word-digit pairs",3,IF(J315="English-Swahili pairs",3,IF(J315="spatial position",3,IF(J315="word pairs",4,IF(J315="word triads",4,IF(J315="generated words",4,IF(J315="word definition pairs",4,IF(J315="math problems",4,IF(J315="famous faces",4,IF(J315="famous names",4,IF(J315="famous voices",4,IF(J315="television programs",4,IF(J315="race horses",4,IF(J315="new vocabulary",4,IF(J315="sentences",5,IF(J315="concepts",5,IF(J315="ad slides",5,IF(J315="scenes",5,IF(J315="famous scenes",5,IF(J315="poems",6,IF(J315="walk",6,IF(J315="faces and events",6,IF(J315="events and names",6,IF(J315="flashbulb",7,IF(J315="stories",7,IF(J315="course material",7,IF(J315="autobiographical",7,IF(J315="novels",7,IF(J315="public events",7,"99"))))))))))))))))))))))))))))))))))))))))))))))</f>
        <v>2</v>
      </c>
      <c r="M315" s="92">
        <v>0</v>
      </c>
      <c r="N315" s="92">
        <v>1</v>
      </c>
      <c r="O315" s="92">
        <v>0</v>
      </c>
      <c r="P315" s="92"/>
      <c r="Q315" s="92" t="s">
        <v>182</v>
      </c>
      <c r="R315" s="69">
        <f>IF(Q315="Free Recall",1,IF(Q315="Cued Recall",2,IF(Q315="Recognition",3,IF(Q315="Multiple Choice",4,IF(Q315="Savings",5,IF(Q315="Stem Completion",6,IF(Q315="Fragment Completion",7,IF(Q315="anagram solution",8,IF(Q315="Matching",9,IF(Q315="Problem Solving",10,"99"))))))))))</f>
        <v>4</v>
      </c>
      <c r="S315" s="92" t="s">
        <v>15</v>
      </c>
      <c r="T315" s="92" t="s">
        <v>261</v>
      </c>
      <c r="U315" s="69">
        <f>IF(T315="within",1,0)</f>
        <v>0</v>
      </c>
      <c r="V315" s="92">
        <v>10</v>
      </c>
      <c r="W315" s="69">
        <f>F315*V315</f>
        <v>1920</v>
      </c>
      <c r="X315" s="92">
        <v>3</v>
      </c>
      <c r="Y315" s="87">
        <f>AV314</f>
        <v>60</v>
      </c>
      <c r="Z315" s="92" t="s">
        <v>18</v>
      </c>
      <c r="AA315" s="92">
        <f>28*24*3600</f>
        <v>2419200</v>
      </c>
      <c r="AB315" s="69" t="str">
        <f>IF(AA315&lt;60,"1",IF(AA315&lt;=43200,"2",IF(AA315&lt;=777600,"3","4")))</f>
        <v>4</v>
      </c>
      <c r="AC315" s="72">
        <f>AVERAGE(AV314:DA314)</f>
        <v>864020</v>
      </c>
      <c r="AD315" s="69" t="str">
        <f>IF(AC315&lt;60,"1",IF(AC315&lt;=43200,"2",IF(AC315&lt;=777600,"3","4")))</f>
        <v>4</v>
      </c>
      <c r="AE315" s="87">
        <f>AA315-Y315</f>
        <v>2419140</v>
      </c>
      <c r="AF315" s="88">
        <f>AV315</f>
        <v>0.86691729323308198</v>
      </c>
      <c r="AG315" s="72">
        <f>((AW315-AV315)+(AX315-AW315))/2</f>
        <v>-0.10958646616541345</v>
      </c>
      <c r="AH315" s="4"/>
      <c r="AI315" s="72">
        <f>RSQ(AV315:AX315,AV314:AX314)</f>
        <v>0.97974569343679185</v>
      </c>
      <c r="AJ315" s="110">
        <f>SLOPE(AV315:AX315,AV314:AX314)</f>
        <v>-8.4580990270789046E-8</v>
      </c>
      <c r="AK315" s="72">
        <f>INTERCEPT(AV315:AX315,AV314:AX314)</f>
        <v>0.85114984265236315</v>
      </c>
      <c r="AL315" s="72">
        <f>INDEX(LINEST(LN(AV315:AX315),LN(AV314:AX314),TRUE,TRUE),3,1)</f>
        <v>0.65943236761894208</v>
      </c>
      <c r="AM315" s="72">
        <f>INDEX(LINEST(LN(AV315:AX315),LN(AV314:AX314)),1)</f>
        <v>-2.2743344529909733E-2</v>
      </c>
      <c r="AN315" s="72">
        <f>EXP(INDEX(LINEST(LN(AV315:AX315),LN(AV314:AX314)),1,2))</f>
        <v>0.97551554189922385</v>
      </c>
      <c r="AO315" s="89">
        <f>INDEX(LINEST((AV315:AX315),LN(AV314:AX314),TRUE,TRUE),3,1)</f>
        <v>0.68210552630218801</v>
      </c>
      <c r="AP315" s="89">
        <f>INDEX(LINEST((AV315:AX315),LN(AV314:AX314)),1)</f>
        <v>-1.725226784714563E-2</v>
      </c>
      <c r="AQ315" s="90">
        <f>INDEX(LINEST(LN(AV315:AX315),SQRT(AV314:AX314),TRUE,TRUE),3,1)</f>
        <v>0.99447532705687758</v>
      </c>
      <c r="AR315" s="117">
        <f>INDEX(LINEST(LN(AV315:AX315),SQRT((AV314:AX314))),1)</f>
        <v>-1.9222949793299335E-4</v>
      </c>
      <c r="AS315" s="91">
        <f>INDEX(LINEST(1/(AV315:AX315),1/(SQRT(AV314:AX314)),TRUE,TRUE),3,1)</f>
        <v>0.4110001068427217</v>
      </c>
      <c r="AT315" s="91">
        <f>INDEX(LINEST(1/(AV315:AX315),1/SQRT(AV314:AX314)),1)</f>
        <v>-1.8170399167232871</v>
      </c>
      <c r="AU315" s="3"/>
      <c r="AV315" s="97">
        <v>0.86691729323308198</v>
      </c>
      <c r="AW315" s="97">
        <v>0.81954887218045103</v>
      </c>
      <c r="AX315" s="97">
        <v>0.64774436090225507</v>
      </c>
      <c r="AY315" s="11"/>
      <c r="AZ315" s="11"/>
      <c r="BA315" s="11"/>
      <c r="BB315" s="11"/>
      <c r="BC315" s="11"/>
      <c r="BD315" s="11"/>
      <c r="BE315" s="11"/>
      <c r="BF315" s="11"/>
      <c r="BG315" s="11"/>
      <c r="BH315" s="11"/>
      <c r="BI315" s="11"/>
      <c r="BJ315" s="11"/>
      <c r="BK315" s="11"/>
      <c r="BL315" s="11"/>
      <c r="BM315" s="11"/>
      <c r="BN315" s="11"/>
      <c r="BO315" s="11"/>
      <c r="BP315" s="11"/>
      <c r="BQ315" s="11"/>
      <c r="BR315" s="11"/>
      <c r="BS315" s="11"/>
      <c r="BT315" s="11"/>
      <c r="BU315" s="11"/>
      <c r="BV315" s="11"/>
      <c r="BW315" s="11"/>
      <c r="BX315" s="11"/>
      <c r="BY315" s="11"/>
      <c r="BZ315" s="11"/>
      <c r="CA315" s="11"/>
      <c r="CB315" s="11"/>
      <c r="CC315" s="11"/>
      <c r="CD315" s="11"/>
      <c r="CE315" s="11"/>
      <c r="CF315" s="11"/>
      <c r="CG315" s="11"/>
      <c r="CH315" s="11"/>
      <c r="CI315" s="11"/>
      <c r="CJ315" s="11"/>
      <c r="CK315" s="11"/>
      <c r="CL315" s="11"/>
      <c r="CM315" s="11"/>
      <c r="CN315" s="11"/>
      <c r="CO315" s="11"/>
      <c r="CP315" s="11"/>
      <c r="CQ315" s="11"/>
      <c r="CR315" s="15"/>
      <c r="CS315" s="15"/>
      <c r="CT315" s="15"/>
      <c r="CU315" s="15"/>
    </row>
    <row r="316" spans="1:99" ht="12" customHeight="1" x14ac:dyDescent="0.2">
      <c r="A316" s="68">
        <v>43509</v>
      </c>
      <c r="B316" s="127"/>
      <c r="C316" s="94"/>
      <c r="D316" s="92"/>
      <c r="E316" s="105"/>
      <c r="F316" s="92"/>
      <c r="G316" s="92"/>
      <c r="H316" s="92"/>
      <c r="I316" s="92"/>
      <c r="J316" s="92"/>
      <c r="K316" s="107"/>
      <c r="L316" s="107"/>
      <c r="M316" s="92"/>
      <c r="N316" s="92"/>
      <c r="O316" s="92"/>
      <c r="P316" s="92"/>
      <c r="Q316" s="92"/>
      <c r="R316" s="69"/>
      <c r="S316" s="92"/>
      <c r="T316" s="92"/>
      <c r="U316" s="69"/>
      <c r="V316" s="92"/>
      <c r="W316" s="69"/>
      <c r="X316" s="92"/>
      <c r="Y316" s="87"/>
      <c r="Z316" s="92"/>
      <c r="AA316" s="92"/>
      <c r="AB316" s="69"/>
      <c r="AC316" s="69"/>
      <c r="AD316" s="69"/>
      <c r="AE316" s="69"/>
      <c r="AF316" s="88"/>
      <c r="AG316" s="72"/>
      <c r="AH316" s="4"/>
      <c r="AI316" s="108"/>
      <c r="AJ316" s="113"/>
      <c r="AK316" s="108"/>
      <c r="AL316" s="108"/>
      <c r="AM316" s="108"/>
      <c r="AN316" s="108"/>
      <c r="AO316" s="108"/>
      <c r="AP316" s="108"/>
      <c r="AQ316" s="108"/>
      <c r="AR316" s="113"/>
      <c r="AS316" s="108"/>
      <c r="AT316" s="108"/>
      <c r="AU316" s="3"/>
      <c r="AV316" s="98">
        <v>60</v>
      </c>
      <c r="AW316" s="98">
        <f>2*24*3600</f>
        <v>172800</v>
      </c>
      <c r="AX316" s="98">
        <f>28*24*3600</f>
        <v>2419200</v>
      </c>
      <c r="AY316" s="11"/>
      <c r="AZ316" s="11"/>
      <c r="BA316" s="11"/>
      <c r="BB316" s="11"/>
      <c r="BC316" s="11"/>
      <c r="BD316" s="11"/>
      <c r="BE316" s="11"/>
      <c r="BF316" s="11"/>
      <c r="BG316" s="11"/>
      <c r="BH316" s="11"/>
      <c r="BI316" s="11"/>
      <c r="BJ316" s="11"/>
      <c r="BK316" s="11"/>
      <c r="BL316" s="11"/>
      <c r="BM316" s="11"/>
      <c r="BN316" s="11"/>
      <c r="BO316" s="11"/>
      <c r="BP316" s="11"/>
      <c r="BQ316" s="11"/>
      <c r="BR316" s="11"/>
      <c r="BS316" s="11"/>
      <c r="BT316" s="11"/>
      <c r="BU316" s="11"/>
      <c r="BV316" s="11"/>
      <c r="BW316" s="11"/>
      <c r="BX316" s="11"/>
      <c r="BY316" s="11"/>
      <c r="BZ316" s="11"/>
      <c r="CA316" s="11"/>
      <c r="CB316" s="11"/>
      <c r="CC316" s="11"/>
      <c r="CD316" s="11"/>
      <c r="CE316" s="11"/>
      <c r="CF316" s="11"/>
      <c r="CG316" s="11"/>
      <c r="CH316" s="11"/>
      <c r="CI316" s="11"/>
      <c r="CJ316" s="11"/>
      <c r="CK316" s="11"/>
      <c r="CL316" s="11"/>
      <c r="CM316" s="11"/>
      <c r="CN316" s="11"/>
      <c r="CO316" s="11"/>
      <c r="CP316" s="11"/>
      <c r="CQ316" s="11"/>
      <c r="CR316" s="15"/>
      <c r="CS316" s="15"/>
      <c r="CT316" s="15"/>
      <c r="CU316" s="15"/>
    </row>
    <row r="317" spans="1:99" ht="12" customHeight="1" x14ac:dyDescent="0.2">
      <c r="A317" s="68">
        <v>43509</v>
      </c>
      <c r="B317" s="94" t="s">
        <v>267</v>
      </c>
      <c r="C317" s="94" t="s">
        <v>142</v>
      </c>
      <c r="D317" s="92">
        <v>1981</v>
      </c>
      <c r="E317" s="105">
        <v>1</v>
      </c>
      <c r="F317" s="92">
        <v>192</v>
      </c>
      <c r="G317" s="92">
        <v>16</v>
      </c>
      <c r="H317" s="92" t="s">
        <v>50</v>
      </c>
      <c r="I317" s="92" t="s">
        <v>669</v>
      </c>
      <c r="J317" s="92" t="s">
        <v>172</v>
      </c>
      <c r="K317" s="69">
        <f>IF(J317="syllables",1,IF(J317="trigrams",2,IF(J317="strings",3,IF(J317="visual array",4,IF(J317="characters",5,IF(J317="letters",6,IF(J317="free forms",7,IF(J317="odors",8,IF(J317="words",9,IF(J317="pictures",10,IF(J317="object pictures",11,IF(J317="faces",12,IF(J317="names",13,IF(J317="idioms",14,IF(J317="grades",15,IF(J317="syllable-digit pairs",16,IF(J317="trigram-word pairs",17,IF(J317="word-digit pairs",18,IF(J317="English-Swahili pairs",19,IF(J317="spatial position",20,IF(J317="word pairs",21,IF(J317="word triads",22,IF(J317="generated words",23,IF(J317="word definition pairs",24,IF(J317="math problems",25,IF(J317="famous faces",26,IF(J317="famous names",27,IF(J317="famous voices",28,IF(J317="television programs",29,IF(J317="race horses",30,IF(J317="new vocabulary",31,IF(J317="sentences",32,IF(J317="concepts",33,IF(J317="ad slides",34,IF(J317="scenes",35,IF(J317="famous scenes",36,IF(J317="poems",37,IF(J317="walk",38,IF(J317="faces and events",39,IF(J317="events and names",40,IF(J317="flashbulb",41,IF(J317="stories",42,IF(J317="course material",43,IF(J317="autobiographical",44,IF(J317="novels",45,IF(J317="public events",46,"99"))))))))))))))))))))))))))))))))))))))))))))))</f>
        <v>12</v>
      </c>
      <c r="L317" s="69">
        <f>IF(J317="syllables",1,IF(J317="trigrams",1,IF(J317="strings",1,IF(J317="visual array",1,IF(J317="characters",1,IF(J317="letters",1,IF(J317="free forms",1,IF(J317="odors",2,IF(J317="words",2,IF(J317="pictures",2,IF(J317="object pictures",2,IF(J317="faces",2,IF(J317="names",2,IF(J317="idioms","2",IF(J317="grades",2,IF(J317="syllable-digit pairs",3,IF(J317="trigram-word pairs",3,IF(J317="word-digit pairs",3,IF(J317="English-Swahili pairs",3,IF(J317="spatial position",3,IF(J317="word pairs",4,IF(J317="word triads",4,IF(J317="generated words",4,IF(J317="word definition pairs",4,IF(J317="math problems",4,IF(J317="famous faces",4,IF(J317="famous names",4,IF(J317="famous voices",4,IF(J317="television programs",4,IF(J317="race horses",4,IF(J317="new vocabulary",4,IF(J317="sentences",5,IF(J317="concepts",5,IF(J317="ad slides",5,IF(J317="scenes",5,IF(J317="famous scenes",5,IF(J317="poems",6,IF(J317="walk",6,IF(J317="faces and events",6,IF(J317="events and names",6,IF(J317="flashbulb",7,IF(J317="stories",7,IF(J317="course material",7,IF(J317="autobiographical",7,IF(J317="novels",7,IF(J317="public events",7,"99"))))))))))))))))))))))))))))))))))))))))))))))</f>
        <v>2</v>
      </c>
      <c r="M317" s="92">
        <v>0</v>
      </c>
      <c r="N317" s="92">
        <v>1</v>
      </c>
      <c r="O317" s="92">
        <v>0</v>
      </c>
      <c r="P317" s="92"/>
      <c r="Q317" s="92" t="s">
        <v>182</v>
      </c>
      <c r="R317" s="69">
        <f>IF(Q317="Free Recall",1,IF(Q317="Cued Recall",2,IF(Q317="Recognition",3,IF(Q317="Multiple Choice",4,IF(Q317="Savings",5,IF(Q317="Stem Completion",6,IF(Q317="Fragment Completion",7,IF(Q317="anagram solution",8,IF(Q317="Matching",9,IF(Q317="Problem Solving",10,"99"))))))))))</f>
        <v>4</v>
      </c>
      <c r="S317" s="92" t="s">
        <v>15</v>
      </c>
      <c r="T317" s="92" t="s">
        <v>261</v>
      </c>
      <c r="U317" s="69">
        <f>IF(T317="within",1,0)</f>
        <v>0</v>
      </c>
      <c r="V317" s="92">
        <v>10</v>
      </c>
      <c r="W317" s="69">
        <f>F317*V317</f>
        <v>1920</v>
      </c>
      <c r="X317" s="92">
        <v>3</v>
      </c>
      <c r="Y317" s="87">
        <f>AV316</f>
        <v>60</v>
      </c>
      <c r="Z317" s="92" t="s">
        <v>18</v>
      </c>
      <c r="AA317" s="92">
        <f>28*24*3600</f>
        <v>2419200</v>
      </c>
      <c r="AB317" s="69" t="str">
        <f>IF(AA317&lt;60,"1",IF(AA317&lt;=43200,"2",IF(AA317&lt;=777600,"3","4")))</f>
        <v>4</v>
      </c>
      <c r="AC317" s="72">
        <f>AVERAGE(AV316:DA316)</f>
        <v>864020</v>
      </c>
      <c r="AD317" s="69" t="str">
        <f>IF(AC317&lt;60,"1",IF(AC317&lt;=43200,"2",IF(AC317&lt;=777600,"3","4")))</f>
        <v>4</v>
      </c>
      <c r="AE317" s="87">
        <f>AA317-Y317</f>
        <v>2419140</v>
      </c>
      <c r="AF317" s="88">
        <f>AV317</f>
        <v>0.91879699248120206</v>
      </c>
      <c r="AG317" s="72">
        <f>((AW317-AV317)+(AX317-AW317))/2</f>
        <v>-6.9360902255639012E-2</v>
      </c>
      <c r="AH317" s="4"/>
      <c r="AI317" s="72">
        <f>RSQ(AV317:AX317,AV316:AX316)</f>
        <v>0.50696808392744053</v>
      </c>
      <c r="AJ317" s="110">
        <f>SLOPE(AV317:AX317,AV316:AX316)</f>
        <v>-3.8535996413193247E-8</v>
      </c>
      <c r="AK317" s="72">
        <f>INTERCEPT(AV317:AX317,AV316:AX316)</f>
        <v>0.86951141046804414</v>
      </c>
      <c r="AL317" s="72">
        <f>INDEX(LINEST(LN(AV317:AX317),LN(AV316:AX316),TRUE,TRUE),3,1)</f>
        <v>0.99952627407092542</v>
      </c>
      <c r="AM317" s="72">
        <f>INDEX(LINEST(LN(AV317:AX317),LN(AV316:AX316)),1)</f>
        <v>-1.553238468963266E-2</v>
      </c>
      <c r="AN317" s="72">
        <f>EXP(INDEX(LINEST(LN(AV317:AX317),LN(AV316:AX316)),1,2))</f>
        <v>0.97862146418711426</v>
      </c>
      <c r="AO317" s="89">
        <f>INDEX(LINEST((AV317:AX317),LN(AV316:AX316),TRUE,TRUE),3,1)</f>
        <v>0.99865943048993921</v>
      </c>
      <c r="AP317" s="89">
        <f>INDEX(LINEST((AV317:AX317),LN(AV316:AX316)),1)</f>
        <v>-1.3221761261159336E-2</v>
      </c>
      <c r="AQ317" s="90">
        <f>INDEX(LINEST(LN(AV317:AX317),SQRT(AV316:AX316),TRUE,TRUE),3,1)</f>
        <v>0.70834042582951962</v>
      </c>
      <c r="AR317" s="117">
        <f>INDEX(LINEST(LN(AV317:AX317),SQRT((AV316:AX316))),1)</f>
        <v>-8.9994479598299543E-5</v>
      </c>
      <c r="AS317" s="91">
        <f>INDEX(LINEST(1/(AV317:AX317),1/(SQRT(AV316:AX316)),TRUE,TRUE),3,1)</f>
        <v>0.95106201002415636</v>
      </c>
      <c r="AT317" s="91">
        <f>INDEX(LINEST(1/(AV317:AX317),1/SQRT(AV316:AX316)),1)</f>
        <v>-1.3364892974789278</v>
      </c>
      <c r="AU317" s="3"/>
      <c r="AV317" s="97">
        <v>0.91879699248120206</v>
      </c>
      <c r="AW317" s="97">
        <v>0.80977443609022504</v>
      </c>
      <c r="AX317" s="97">
        <v>0.78007518796992403</v>
      </c>
      <c r="AY317" s="11"/>
      <c r="AZ317" s="11"/>
      <c r="BA317" s="11"/>
      <c r="BB317" s="11"/>
      <c r="BC317" s="11"/>
      <c r="BD317" s="11"/>
      <c r="BE317" s="11"/>
      <c r="BF317" s="11"/>
      <c r="BG317" s="11"/>
      <c r="BH317" s="11"/>
      <c r="BI317" s="11"/>
      <c r="BJ317" s="11"/>
      <c r="BK317" s="11"/>
      <c r="BL317" s="11"/>
      <c r="BM317" s="11"/>
      <c r="BN317" s="11"/>
      <c r="BO317" s="11"/>
      <c r="BP317" s="11"/>
      <c r="BQ317" s="11"/>
      <c r="BR317" s="11"/>
      <c r="BS317" s="11"/>
      <c r="BT317" s="11"/>
      <c r="BU317" s="11"/>
      <c r="BV317" s="11"/>
      <c r="BW317" s="11"/>
      <c r="BX317" s="11"/>
      <c r="BY317" s="11"/>
      <c r="BZ317" s="11"/>
      <c r="CA317" s="11"/>
      <c r="CB317" s="11"/>
      <c r="CC317" s="11"/>
      <c r="CD317" s="11"/>
      <c r="CE317" s="11"/>
      <c r="CF317" s="11"/>
      <c r="CG317" s="11"/>
      <c r="CH317" s="11"/>
      <c r="CI317" s="11"/>
      <c r="CJ317" s="11"/>
      <c r="CK317" s="11"/>
      <c r="CL317" s="11"/>
      <c r="CM317" s="11"/>
      <c r="CN317" s="11"/>
      <c r="CO317" s="11"/>
      <c r="CP317" s="11"/>
      <c r="CQ317" s="11"/>
      <c r="CR317" s="15"/>
      <c r="CS317" s="15"/>
      <c r="CT317" s="15"/>
      <c r="CU317" s="15"/>
    </row>
    <row r="318" spans="1:99" ht="12" customHeight="1" x14ac:dyDescent="0.2">
      <c r="A318" s="68">
        <v>43509</v>
      </c>
      <c r="B318" s="127"/>
      <c r="C318" s="94"/>
      <c r="D318" s="92"/>
      <c r="E318" s="105"/>
      <c r="F318" s="92"/>
      <c r="G318" s="92"/>
      <c r="H318" s="92"/>
      <c r="I318" s="92"/>
      <c r="J318" s="92"/>
      <c r="K318" s="107"/>
      <c r="L318" s="107"/>
      <c r="M318" s="92"/>
      <c r="N318" s="92"/>
      <c r="O318" s="92"/>
      <c r="P318" s="92"/>
      <c r="Q318" s="92"/>
      <c r="R318" s="69"/>
      <c r="S318" s="92"/>
      <c r="T318" s="92"/>
      <c r="U318" s="69"/>
      <c r="V318" s="92"/>
      <c r="W318" s="69"/>
      <c r="X318" s="92"/>
      <c r="Y318" s="87"/>
      <c r="Z318" s="92"/>
      <c r="AA318" s="92"/>
      <c r="AB318" s="69"/>
      <c r="AC318" s="69"/>
      <c r="AD318" s="69"/>
      <c r="AE318" s="69"/>
      <c r="AF318" s="88"/>
      <c r="AG318" s="72"/>
      <c r="AH318" s="4"/>
      <c r="AI318" s="108"/>
      <c r="AJ318" s="113"/>
      <c r="AK318" s="108"/>
      <c r="AL318" s="108"/>
      <c r="AM318" s="108"/>
      <c r="AN318" s="108"/>
      <c r="AO318" s="108"/>
      <c r="AP318" s="108"/>
      <c r="AQ318" s="108"/>
      <c r="AR318" s="113"/>
      <c r="AS318" s="108"/>
      <c r="AT318" s="108"/>
      <c r="AU318" s="3"/>
      <c r="AV318" s="98">
        <v>60</v>
      </c>
      <c r="AW318" s="98">
        <f>2*24*3600</f>
        <v>172800</v>
      </c>
      <c r="AX318" s="98">
        <f>28*24*3600</f>
        <v>2419200</v>
      </c>
      <c r="AY318" s="11"/>
      <c r="AZ318" s="11"/>
      <c r="BA318" s="11"/>
      <c r="BB318" s="11"/>
      <c r="BC318" s="11"/>
      <c r="BD318" s="11"/>
      <c r="BE318" s="11"/>
      <c r="BF318" s="11"/>
      <c r="BG318" s="11"/>
      <c r="BH318" s="11"/>
      <c r="BI318" s="11"/>
      <c r="BJ318" s="11"/>
      <c r="BK318" s="11"/>
      <c r="BL318" s="11"/>
      <c r="BM318" s="11"/>
      <c r="BN318" s="11"/>
      <c r="BO318" s="11"/>
      <c r="BP318" s="11"/>
      <c r="BQ318" s="11"/>
      <c r="BR318" s="11"/>
      <c r="BS318" s="11"/>
      <c r="BT318" s="11"/>
      <c r="BU318" s="11"/>
      <c r="BV318" s="11"/>
      <c r="BW318" s="11"/>
      <c r="BX318" s="11"/>
      <c r="BY318" s="11"/>
      <c r="BZ318" s="11"/>
      <c r="CA318" s="11"/>
      <c r="CB318" s="11"/>
      <c r="CC318" s="11"/>
      <c r="CD318" s="11"/>
      <c r="CE318" s="11"/>
      <c r="CF318" s="11"/>
      <c r="CG318" s="11"/>
      <c r="CH318" s="11"/>
      <c r="CI318" s="11"/>
      <c r="CJ318" s="11"/>
      <c r="CK318" s="11"/>
      <c r="CL318" s="11"/>
      <c r="CM318" s="11"/>
      <c r="CN318" s="11"/>
      <c r="CO318" s="11"/>
      <c r="CP318" s="11"/>
      <c r="CQ318" s="11"/>
      <c r="CR318" s="15"/>
      <c r="CS318" s="15"/>
      <c r="CT318" s="15"/>
      <c r="CU318" s="15"/>
    </row>
    <row r="319" spans="1:99" ht="12" customHeight="1" x14ac:dyDescent="0.2">
      <c r="A319" s="68">
        <v>43509</v>
      </c>
      <c r="B319" s="94" t="s">
        <v>267</v>
      </c>
      <c r="C319" s="94" t="s">
        <v>142</v>
      </c>
      <c r="D319" s="92">
        <v>1981</v>
      </c>
      <c r="E319" s="105">
        <v>1</v>
      </c>
      <c r="F319" s="92">
        <v>192</v>
      </c>
      <c r="G319" s="92">
        <v>16</v>
      </c>
      <c r="H319" s="92" t="s">
        <v>50</v>
      </c>
      <c r="I319" s="92" t="s">
        <v>670</v>
      </c>
      <c r="J319" s="92" t="s">
        <v>172</v>
      </c>
      <c r="K319" s="69">
        <f>IF(J319="syllables",1,IF(J319="trigrams",2,IF(J319="strings",3,IF(J319="visual array",4,IF(J319="characters",5,IF(J319="letters",6,IF(J319="free forms",7,IF(J319="odors",8,IF(J319="words",9,IF(J319="pictures",10,IF(J319="object pictures",11,IF(J319="faces",12,IF(J319="names",13,IF(J319="idioms",14,IF(J319="grades",15,IF(J319="syllable-digit pairs",16,IF(J319="trigram-word pairs",17,IF(J319="word-digit pairs",18,IF(J319="English-Swahili pairs",19,IF(J319="spatial position",20,IF(J319="word pairs",21,IF(J319="word triads",22,IF(J319="generated words",23,IF(J319="word definition pairs",24,IF(J319="math problems",25,IF(J319="famous faces",26,IF(J319="famous names",27,IF(J319="famous voices",28,IF(J319="television programs",29,IF(J319="race horses",30,IF(J319="new vocabulary",31,IF(J319="sentences",32,IF(J319="concepts",33,IF(J319="ad slides",34,IF(J319="scenes",35,IF(J319="famous scenes",36,IF(J319="poems",37,IF(J319="walk",38,IF(J319="faces and events",39,IF(J319="events and names",40,IF(J319="flashbulb",41,IF(J319="stories",42,IF(J319="course material",43,IF(J319="autobiographical",44,IF(J319="novels",45,IF(J319="public events",46,"99"))))))))))))))))))))))))))))))))))))))))))))))</f>
        <v>12</v>
      </c>
      <c r="L319" s="69">
        <f>IF(J319="syllables",1,IF(J319="trigrams",1,IF(J319="strings",1,IF(J319="visual array",1,IF(J319="characters",1,IF(J319="letters",1,IF(J319="free forms",1,IF(J319="odors",2,IF(J319="words",2,IF(J319="pictures",2,IF(J319="object pictures",2,IF(J319="faces",2,IF(J319="names",2,IF(J319="idioms","2",IF(J319="grades",2,IF(J319="syllable-digit pairs",3,IF(J319="trigram-word pairs",3,IF(J319="word-digit pairs",3,IF(J319="English-Swahili pairs",3,IF(J319="spatial position",3,IF(J319="word pairs",4,IF(J319="word triads",4,IF(J319="generated words",4,IF(J319="word definition pairs",4,IF(J319="math problems",4,IF(J319="famous faces",4,IF(J319="famous names",4,IF(J319="famous voices",4,IF(J319="television programs",4,IF(J319="race horses",4,IF(J319="new vocabulary",4,IF(J319="sentences",5,IF(J319="concepts",5,IF(J319="ad slides",5,IF(J319="scenes",5,IF(J319="famous scenes",5,IF(J319="poems",6,IF(J319="walk",6,IF(J319="faces and events",6,IF(J319="events and names",6,IF(J319="flashbulb",7,IF(J319="stories",7,IF(J319="course material",7,IF(J319="autobiographical",7,IF(J319="novels",7,IF(J319="public events",7,"99"))))))))))))))))))))))))))))))))))))))))))))))</f>
        <v>2</v>
      </c>
      <c r="M319" s="92">
        <v>0</v>
      </c>
      <c r="N319" s="92">
        <v>1</v>
      </c>
      <c r="O319" s="92">
        <v>0</v>
      </c>
      <c r="P319" s="92"/>
      <c r="Q319" s="92" t="s">
        <v>182</v>
      </c>
      <c r="R319" s="69">
        <f>IF(Q319="Free Recall",1,IF(Q319="Cued Recall",2,IF(Q319="Recognition",3,IF(Q319="Multiple Choice",4,IF(Q319="Savings",5,IF(Q319="Stem Completion",6,IF(Q319="Fragment Completion",7,IF(Q319="anagram solution",8,IF(Q319="Matching",9,IF(Q319="Problem Solving",10,"99"))))))))))</f>
        <v>4</v>
      </c>
      <c r="S319" s="92" t="s">
        <v>15</v>
      </c>
      <c r="T319" s="92" t="s">
        <v>261</v>
      </c>
      <c r="U319" s="69">
        <f>IF(T319="within",1,0)</f>
        <v>0</v>
      </c>
      <c r="V319" s="92">
        <v>10</v>
      </c>
      <c r="W319" s="69">
        <f>F319*V319</f>
        <v>1920</v>
      </c>
      <c r="X319" s="92">
        <v>3</v>
      </c>
      <c r="Y319" s="87">
        <f>AV318</f>
        <v>60</v>
      </c>
      <c r="Z319" s="92" t="s">
        <v>18</v>
      </c>
      <c r="AA319" s="92">
        <f>28*24*3600</f>
        <v>2419200</v>
      </c>
      <c r="AB319" s="69" t="str">
        <f>IF(AA319&lt;60,"1",IF(AA319&lt;=43200,"2",IF(AA319&lt;=777600,"3","4")))</f>
        <v>4</v>
      </c>
      <c r="AC319" s="72">
        <f>AVERAGE(AV318:DA318)</f>
        <v>864020</v>
      </c>
      <c r="AD319" s="69" t="str">
        <f>IF(AC319&lt;60,"1",IF(AC319&lt;=43200,"2",IF(AC319&lt;=777600,"3","4")))</f>
        <v>4</v>
      </c>
      <c r="AE319" s="87">
        <f>AA319-Y319</f>
        <v>2419140</v>
      </c>
      <c r="AF319" s="88">
        <f>AV319</f>
        <v>0.98421052631578898</v>
      </c>
      <c r="AG319" s="72">
        <f>((AW319-AV319)+(AX319-AW319))/2</f>
        <v>-9.6804511278195504E-2</v>
      </c>
      <c r="AH319" s="4"/>
      <c r="AI319" s="72">
        <f>RSQ(AV319:AX319,AV318:AX318)</f>
        <v>0.85768808609240177</v>
      </c>
      <c r="AJ319" s="110">
        <f>SLOPE(AV319:AX319,AV318:AX318)</f>
        <v>-6.660514865845341E-8</v>
      </c>
      <c r="AK319" s="72">
        <f>INTERCEPT(AV319:AX319,AV318:AX318)</f>
        <v>0.94902687728573076</v>
      </c>
      <c r="AL319" s="72">
        <f>INDEX(LINEST(LN(AV319:AX319),LN(AV318:AX318),TRUE,TRUE),3,1)</f>
        <v>0.85859369925870888</v>
      </c>
      <c r="AM319" s="72">
        <f>INDEX(LINEST(LN(AV319:AX319),LN(AV318:AX318)),1)</f>
        <v>-1.8480787588194606E-2</v>
      </c>
      <c r="AN319" s="72">
        <f>EXP(INDEX(LINEST(LN(AV319:AX319),LN(AV318:AX318)),1,2))</f>
        <v>1.0737730958129117</v>
      </c>
      <c r="AO319" s="89">
        <f>INDEX(LINEST((AV319:AX319),LN(AV318:AX318),TRUE,TRUE),3,1)</f>
        <v>0.8791868860899168</v>
      </c>
      <c r="AP319" s="89">
        <f>INDEX(LINEST((AV319:AX319),LN(AV318:AX318)),1)</f>
        <v>-1.6484965328921537E-2</v>
      </c>
      <c r="AQ319" s="90">
        <f>INDEX(LINEST(LN(AV319:AX319),SQRT(AV318:AX318),TRUE,TRUE),3,1)</f>
        <v>0.97359610213336767</v>
      </c>
      <c r="AR319" s="117">
        <f>INDEX(LINEST(LN(AV319:AX319),SQRT((AV318:AX318))),1)</f>
        <v>-1.3544714808988773E-4</v>
      </c>
      <c r="AS319" s="91">
        <f>INDEX(LINEST(1/(AV319:AX319),1/(SQRT(AV318:AX318)),TRUE,TRUE),3,1)</f>
        <v>0.63870858821921439</v>
      </c>
      <c r="AT319" s="91">
        <f>INDEX(LINEST(1/(AV319:AX319),1/SQRT(AV318:AX318)),1)</f>
        <v>-1.361850912386712</v>
      </c>
      <c r="AU319" s="3"/>
      <c r="AV319" s="97">
        <v>0.98421052631578898</v>
      </c>
      <c r="AW319" s="97">
        <v>0.89962406015037499</v>
      </c>
      <c r="AX319" s="97">
        <v>0.79060150375939797</v>
      </c>
      <c r="AY319" s="11"/>
      <c r="AZ319" s="11"/>
      <c r="BA319" s="11"/>
      <c r="BB319" s="11"/>
      <c r="BC319" s="11"/>
      <c r="BD319" s="11"/>
      <c r="BE319" s="11"/>
      <c r="BF319" s="11"/>
      <c r="BG319" s="11"/>
      <c r="BH319" s="11"/>
      <c r="BI319" s="11"/>
      <c r="BJ319" s="11"/>
      <c r="BK319" s="11"/>
      <c r="BL319" s="11"/>
      <c r="BM319" s="11"/>
      <c r="BN319" s="11"/>
      <c r="BO319" s="11"/>
      <c r="BP319" s="11"/>
      <c r="BQ319" s="11"/>
      <c r="BR319" s="11"/>
      <c r="BS319" s="11"/>
      <c r="BT319" s="11"/>
      <c r="BU319" s="11"/>
      <c r="BV319" s="11"/>
      <c r="BW319" s="11"/>
      <c r="BX319" s="11"/>
      <c r="BY319" s="11"/>
      <c r="BZ319" s="11"/>
      <c r="CA319" s="11"/>
      <c r="CB319" s="11"/>
      <c r="CC319" s="11"/>
      <c r="CD319" s="11"/>
      <c r="CE319" s="11"/>
      <c r="CF319" s="11"/>
      <c r="CG319" s="11"/>
      <c r="CH319" s="11"/>
      <c r="CI319" s="11"/>
      <c r="CJ319" s="11"/>
      <c r="CK319" s="11"/>
      <c r="CL319" s="11"/>
      <c r="CM319" s="11"/>
      <c r="CN319" s="11"/>
      <c r="CO319" s="11"/>
      <c r="CP319" s="11"/>
      <c r="CQ319" s="11"/>
      <c r="CR319" s="15"/>
      <c r="CS319" s="15"/>
      <c r="CT319" s="15"/>
      <c r="CU319" s="15"/>
    </row>
    <row r="320" spans="1:99" ht="12" customHeight="1" x14ac:dyDescent="0.2">
      <c r="A320" s="68">
        <v>43509</v>
      </c>
      <c r="B320" s="127"/>
      <c r="C320" s="94"/>
      <c r="D320" s="92"/>
      <c r="E320" s="105"/>
      <c r="F320" s="92"/>
      <c r="G320" s="92"/>
      <c r="H320" s="92"/>
      <c r="I320" s="92"/>
      <c r="J320" s="92"/>
      <c r="K320" s="107"/>
      <c r="L320" s="107"/>
      <c r="M320" s="92"/>
      <c r="N320" s="92"/>
      <c r="O320" s="92"/>
      <c r="P320" s="92"/>
      <c r="Q320" s="92"/>
      <c r="R320" s="69"/>
      <c r="S320" s="92"/>
      <c r="T320" s="92"/>
      <c r="U320" s="69"/>
      <c r="V320" s="92"/>
      <c r="W320" s="69"/>
      <c r="X320" s="92"/>
      <c r="Y320" s="87"/>
      <c r="Z320" s="92"/>
      <c r="AA320" s="92"/>
      <c r="AB320" s="69"/>
      <c r="AC320" s="69"/>
      <c r="AD320" s="69"/>
      <c r="AE320" s="69"/>
      <c r="AF320" s="88"/>
      <c r="AG320" s="72"/>
      <c r="AH320" s="4"/>
      <c r="AI320" s="108"/>
      <c r="AJ320" s="113"/>
      <c r="AK320" s="108"/>
      <c r="AL320" s="108"/>
      <c r="AM320" s="108"/>
      <c r="AN320" s="108"/>
      <c r="AO320" s="108"/>
      <c r="AP320" s="108"/>
      <c r="AQ320" s="108"/>
      <c r="AR320" s="113"/>
      <c r="AS320" s="108"/>
      <c r="AT320" s="108"/>
      <c r="AU320" s="3"/>
      <c r="AV320" s="98">
        <v>60</v>
      </c>
      <c r="AW320" s="98">
        <f>2*24*3600</f>
        <v>172800</v>
      </c>
      <c r="AX320" s="98">
        <f>28*24*3600</f>
        <v>2419200</v>
      </c>
      <c r="AY320" s="11"/>
      <c r="AZ320" s="11"/>
      <c r="BA320" s="11"/>
      <c r="BB320" s="11"/>
      <c r="BC320" s="11"/>
      <c r="BD320" s="11"/>
      <c r="BE320" s="11"/>
      <c r="BF320" s="11"/>
      <c r="BG320" s="11"/>
      <c r="BH320" s="11"/>
      <c r="BI320" s="11"/>
      <c r="BJ320" s="11"/>
      <c r="BK320" s="11"/>
      <c r="BL320" s="11"/>
      <c r="BM320" s="11"/>
      <c r="BN320" s="11"/>
      <c r="BO320" s="11"/>
      <c r="BP320" s="11"/>
      <c r="BQ320" s="11"/>
      <c r="BR320" s="11"/>
      <c r="BS320" s="11"/>
      <c r="BT320" s="11"/>
      <c r="BU320" s="11"/>
      <c r="BV320" s="11"/>
      <c r="BW320" s="11"/>
      <c r="BX320" s="11"/>
      <c r="BY320" s="11"/>
      <c r="BZ320" s="11"/>
      <c r="CA320" s="11"/>
      <c r="CB320" s="11"/>
      <c r="CC320" s="11"/>
      <c r="CD320" s="11"/>
      <c r="CE320" s="11"/>
      <c r="CF320" s="11"/>
      <c r="CG320" s="11"/>
      <c r="CH320" s="11"/>
      <c r="CI320" s="11"/>
      <c r="CJ320" s="11"/>
      <c r="CK320" s="11"/>
      <c r="CL320" s="11"/>
      <c r="CM320" s="11"/>
      <c r="CN320" s="11"/>
      <c r="CO320" s="11"/>
      <c r="CP320" s="11"/>
      <c r="CQ320" s="11"/>
      <c r="CR320" s="15"/>
      <c r="CS320" s="15"/>
      <c r="CT320" s="15"/>
      <c r="CU320" s="15"/>
    </row>
    <row r="321" spans="1:99" ht="12" customHeight="1" x14ac:dyDescent="0.2">
      <c r="A321" s="68">
        <v>43509</v>
      </c>
      <c r="B321" s="94" t="s">
        <v>267</v>
      </c>
      <c r="C321" s="94" t="s">
        <v>142</v>
      </c>
      <c r="D321" s="92">
        <v>1981</v>
      </c>
      <c r="E321" s="105">
        <v>1</v>
      </c>
      <c r="F321" s="92">
        <v>192</v>
      </c>
      <c r="G321" s="92">
        <v>16</v>
      </c>
      <c r="H321" s="92" t="s">
        <v>50</v>
      </c>
      <c r="I321" s="92" t="s">
        <v>671</v>
      </c>
      <c r="J321" s="92" t="s">
        <v>172</v>
      </c>
      <c r="K321" s="69">
        <f>IF(J321="syllables",1,IF(J321="trigrams",2,IF(J321="strings",3,IF(J321="visual array",4,IF(J321="characters",5,IF(J321="letters",6,IF(J321="free forms",7,IF(J321="odors",8,IF(J321="words",9,IF(J321="pictures",10,IF(J321="object pictures",11,IF(J321="faces",12,IF(J321="names",13,IF(J321="idioms",14,IF(J321="grades",15,IF(J321="syllable-digit pairs",16,IF(J321="trigram-word pairs",17,IF(J321="word-digit pairs",18,IF(J321="English-Swahili pairs",19,IF(J321="spatial position",20,IF(J321="word pairs",21,IF(J321="word triads",22,IF(J321="generated words",23,IF(J321="word definition pairs",24,IF(J321="math problems",25,IF(J321="famous faces",26,IF(J321="famous names",27,IF(J321="famous voices",28,IF(J321="television programs",29,IF(J321="race horses",30,IF(J321="new vocabulary",31,IF(J321="sentences",32,IF(J321="concepts",33,IF(J321="ad slides",34,IF(J321="scenes",35,IF(J321="famous scenes",36,IF(J321="poems",37,IF(J321="walk",38,IF(J321="faces and events",39,IF(J321="events and names",40,IF(J321="flashbulb",41,IF(J321="stories",42,IF(J321="course material",43,IF(J321="autobiographical",44,IF(J321="novels",45,IF(J321="public events",46,"99"))))))))))))))))))))))))))))))))))))))))))))))</f>
        <v>12</v>
      </c>
      <c r="L321" s="69">
        <f>IF(J321="syllables",1,IF(J321="trigrams",1,IF(J321="strings",1,IF(J321="visual array",1,IF(J321="characters",1,IF(J321="letters",1,IF(J321="free forms",1,IF(J321="odors",2,IF(J321="words",2,IF(J321="pictures",2,IF(J321="object pictures",2,IF(J321="faces",2,IF(J321="names",2,IF(J321="idioms","2",IF(J321="grades",2,IF(J321="syllable-digit pairs",3,IF(J321="trigram-word pairs",3,IF(J321="word-digit pairs",3,IF(J321="English-Swahili pairs",3,IF(J321="spatial position",3,IF(J321="word pairs",4,IF(J321="word triads",4,IF(J321="generated words",4,IF(J321="word definition pairs",4,IF(J321="math problems",4,IF(J321="famous faces",4,IF(J321="famous names",4,IF(J321="famous voices",4,IF(J321="television programs",4,IF(J321="race horses",4,IF(J321="new vocabulary",4,IF(J321="sentences",5,IF(J321="concepts",5,IF(J321="ad slides",5,IF(J321="scenes",5,IF(J321="famous scenes",5,IF(J321="poems",6,IF(J321="walk",6,IF(J321="faces and events",6,IF(J321="events and names",6,IF(J321="flashbulb",7,IF(J321="stories",7,IF(J321="course material",7,IF(J321="autobiographical",7,IF(J321="novels",7,IF(J321="public events",7,"99"))))))))))))))))))))))))))))))))))))))))))))))</f>
        <v>2</v>
      </c>
      <c r="M321" s="92">
        <v>0</v>
      </c>
      <c r="N321" s="92">
        <v>1</v>
      </c>
      <c r="O321" s="92">
        <v>0</v>
      </c>
      <c r="P321" s="92"/>
      <c r="Q321" s="92" t="s">
        <v>182</v>
      </c>
      <c r="R321" s="69">
        <f>IF(Q321="Free Recall",1,IF(Q321="Cued Recall",2,IF(Q321="Recognition",3,IF(Q321="Multiple Choice",4,IF(Q321="Savings",5,IF(Q321="Stem Completion",6,IF(Q321="Fragment Completion",7,IF(Q321="anagram solution",8,IF(Q321="Matching",9,IF(Q321="Problem Solving",10,"99"))))))))))</f>
        <v>4</v>
      </c>
      <c r="S321" s="92" t="s">
        <v>15</v>
      </c>
      <c r="T321" s="92" t="s">
        <v>261</v>
      </c>
      <c r="U321" s="69">
        <f>IF(T321="within",1,0)</f>
        <v>0</v>
      </c>
      <c r="V321" s="92">
        <v>10</v>
      </c>
      <c r="W321" s="69">
        <f>F321*V321</f>
        <v>1920</v>
      </c>
      <c r="X321" s="92">
        <v>3</v>
      </c>
      <c r="Y321" s="87">
        <f>AV320</f>
        <v>60</v>
      </c>
      <c r="Z321" s="92" t="s">
        <v>18</v>
      </c>
      <c r="AA321" s="92">
        <f>28*24*3600</f>
        <v>2419200</v>
      </c>
      <c r="AB321" s="69" t="str">
        <f>IF(AA321&lt;60,"1",IF(AA321&lt;=43200,"2",IF(AA321&lt;=777600,"3","4")))</f>
        <v>4</v>
      </c>
      <c r="AC321" s="72">
        <f>AVERAGE(AV320:DA320)</f>
        <v>864020</v>
      </c>
      <c r="AD321" s="69" t="str">
        <f>IF(AC321&lt;60,"1",IF(AC321&lt;=43200,"2",IF(AC321&lt;=777600,"3","4")))</f>
        <v>4</v>
      </c>
      <c r="AE321" s="87">
        <f>AA321-Y321</f>
        <v>2419140</v>
      </c>
      <c r="AF321" s="88">
        <f>AV321</f>
        <v>0.97218045112781892</v>
      </c>
      <c r="AG321" s="72">
        <f>((AW321-AV321)+(AX321-AW321))/2</f>
        <v>-6.0902255639097957E-2</v>
      </c>
      <c r="AH321" s="4"/>
      <c r="AI321" s="72">
        <f>RSQ(AV321:AX321,AV320:AX320)</f>
        <v>0.96243601849299976</v>
      </c>
      <c r="AJ321" s="110">
        <f>SLOPE(AV321:AX321,AV320:AX320)</f>
        <v>-4.5865919683972612E-8</v>
      </c>
      <c r="AK321" s="72">
        <f>INTERCEPT(AV321:AX321,AV320:AX320)</f>
        <v>0.96043107693787666</v>
      </c>
      <c r="AL321" s="72">
        <f>INDEX(LINEST(LN(AV321:AX321),LN(AV320:AX320),TRUE,TRUE),3,1)</f>
        <v>0.7174366675057019</v>
      </c>
      <c r="AM321" s="72">
        <f>INDEX(LINEST(LN(AV321:AX321),LN(AV320:AX320)),1)</f>
        <v>-1.0679510028953815E-2</v>
      </c>
      <c r="AN321" s="72">
        <f>EXP(INDEX(LINEST(LN(AV321:AX321),LN(AV320:AX320)),1,2))</f>
        <v>1.0260573377725422</v>
      </c>
      <c r="AO321" s="89">
        <f>INDEX(LINEST((AV321:AX321),LN(AV320:AX320),TRUE,TRUE),3,1)</f>
        <v>0.72968150530855214</v>
      </c>
      <c r="AP321" s="89">
        <f>INDEX(LINEST((AV321:AX321),LN(AV320:AX320)),1)</f>
        <v>-9.7628173822194124E-3</v>
      </c>
      <c r="AQ321" s="90">
        <f>INDEX(LINEST(LN(AV321:AX321),SQRT(AV320:AX320),TRUE,TRUE),3,1)</f>
        <v>0.99986279603612405</v>
      </c>
      <c r="AR321" s="117">
        <f>INDEX(LINEST(LN(AV321:AX321),SQRT((AV320:AX320))),1)</f>
        <v>-8.6772792257081732E-5</v>
      </c>
      <c r="AS321" s="91">
        <f>INDEX(LINEST(1/(AV321:AX321),1/(SQRT(AV320:AX320)),TRUE,TRUE),3,1)</f>
        <v>0.48228037301602988</v>
      </c>
      <c r="AT321" s="91">
        <f>INDEX(LINEST(1/(AV321:AX321),1/SQRT(AV320:AX320)),1)</f>
        <v>-0.72511356188315401</v>
      </c>
      <c r="AU321" s="3"/>
      <c r="AV321" s="97">
        <v>0.97218045112781892</v>
      </c>
      <c r="AW321" s="97">
        <v>0.93984962406015005</v>
      </c>
      <c r="AX321" s="97">
        <v>0.85037593984962301</v>
      </c>
      <c r="AY321" s="11"/>
      <c r="AZ321" s="11"/>
      <c r="BA321" s="11"/>
      <c r="BB321" s="11"/>
      <c r="BC321" s="11"/>
      <c r="BD321" s="11"/>
      <c r="BE321" s="11"/>
      <c r="BF321" s="11"/>
      <c r="BG321" s="11"/>
      <c r="BH321" s="11"/>
      <c r="BI321" s="11"/>
      <c r="BJ321" s="11"/>
      <c r="BK321" s="11"/>
      <c r="BL321" s="11"/>
      <c r="BM321" s="11"/>
      <c r="BN321" s="11"/>
      <c r="BO321" s="11"/>
      <c r="BP321" s="11"/>
      <c r="BQ321" s="11"/>
      <c r="BR321" s="11"/>
      <c r="BS321" s="11"/>
      <c r="BT321" s="11"/>
      <c r="BU321" s="11"/>
      <c r="BV321" s="11"/>
      <c r="BW321" s="11"/>
      <c r="BX321" s="11"/>
      <c r="BY321" s="11"/>
      <c r="BZ321" s="11"/>
      <c r="CA321" s="11"/>
      <c r="CB321" s="11"/>
      <c r="CC321" s="11"/>
      <c r="CD321" s="11"/>
      <c r="CE321" s="11"/>
      <c r="CF321" s="11"/>
      <c r="CG321" s="11"/>
      <c r="CH321" s="11"/>
      <c r="CI321" s="11"/>
      <c r="CJ321" s="11"/>
      <c r="CK321" s="11"/>
      <c r="CL321" s="11"/>
      <c r="CM321" s="11"/>
      <c r="CN321" s="11"/>
      <c r="CO321" s="11"/>
      <c r="CP321" s="11"/>
      <c r="CQ321" s="11"/>
      <c r="CR321" s="15"/>
      <c r="CS321" s="15"/>
      <c r="CT321" s="15"/>
      <c r="CU321" s="15"/>
    </row>
    <row r="322" spans="1:99" s="13" customFormat="1" ht="12" customHeight="1" x14ac:dyDescent="0.2">
      <c r="A322" s="65">
        <v>43509</v>
      </c>
      <c r="B322" s="1"/>
      <c r="C322" s="1"/>
      <c r="D322" s="60"/>
      <c r="E322" s="76"/>
      <c r="F322" s="60"/>
      <c r="G322" s="60"/>
      <c r="H322" s="60"/>
      <c r="I322" s="60"/>
      <c r="J322" s="60"/>
      <c r="K322" s="64"/>
      <c r="L322" s="64"/>
      <c r="M322" s="60"/>
      <c r="N322" s="60"/>
      <c r="O322" s="60"/>
      <c r="P322" s="60"/>
      <c r="Q322" s="60"/>
      <c r="R322" s="60"/>
      <c r="S322" s="60"/>
      <c r="T322" s="60"/>
      <c r="U322" s="60"/>
      <c r="V322" s="60"/>
      <c r="W322" s="60"/>
      <c r="X322" s="60"/>
      <c r="Y322" s="76"/>
      <c r="Z322" s="60"/>
      <c r="AA322" s="60"/>
      <c r="AB322" s="60"/>
      <c r="AC322" s="60"/>
      <c r="AD322" s="60"/>
      <c r="AE322" s="60"/>
      <c r="AF322" s="80"/>
      <c r="AG322" s="56"/>
      <c r="AH322" s="4"/>
      <c r="AI322" s="56"/>
      <c r="AJ322" s="109"/>
      <c r="AK322" s="56"/>
      <c r="AL322" s="56"/>
      <c r="AM322" s="56"/>
      <c r="AN322" s="56"/>
      <c r="AO322" s="56"/>
      <c r="AP322" s="56"/>
      <c r="AQ322" s="56"/>
      <c r="AR322" s="109"/>
      <c r="AS322" s="56"/>
      <c r="AT322" s="56"/>
      <c r="AU322" s="4"/>
      <c r="AV322" s="25">
        <v>30</v>
      </c>
      <c r="AW322" s="25">
        <f>7*24*60*60*0.143</f>
        <v>86486.399999999994</v>
      </c>
      <c r="AX322" s="25">
        <f>7*24*60*60*1</f>
        <v>604800</v>
      </c>
      <c r="AY322" s="25">
        <f>7*24*60*60*4</f>
        <v>2419200</v>
      </c>
      <c r="AZ322" s="53" t="s">
        <v>511</v>
      </c>
      <c r="BA322" s="53"/>
      <c r="BB322" s="53"/>
      <c r="BC322" s="53"/>
      <c r="BD322" s="53"/>
      <c r="BE322" s="53"/>
      <c r="BF322" s="53"/>
      <c r="BG322" s="53"/>
      <c r="BH322" s="53"/>
      <c r="BI322" s="53"/>
      <c r="BJ322" s="53"/>
      <c r="BK322" s="53"/>
      <c r="BL322" s="53"/>
      <c r="BM322" s="53"/>
      <c r="BN322" s="53"/>
      <c r="BO322" s="53"/>
      <c r="BP322" s="53"/>
      <c r="BQ322" s="53"/>
      <c r="BR322" s="53"/>
      <c r="BS322" s="53"/>
      <c r="BT322" s="53"/>
      <c r="BU322" s="53"/>
      <c r="BV322" s="53"/>
      <c r="BW322" s="53"/>
      <c r="BX322" s="53"/>
      <c r="BY322" s="53"/>
      <c r="BZ322" s="53"/>
      <c r="CA322" s="53"/>
      <c r="CB322" s="53"/>
      <c r="CC322" s="53"/>
      <c r="CD322" s="53"/>
      <c r="CE322" s="53"/>
      <c r="CF322" s="53"/>
      <c r="CG322" s="53"/>
      <c r="CH322" s="53"/>
      <c r="CI322" s="53"/>
      <c r="CJ322" s="53"/>
      <c r="CK322" s="53"/>
      <c r="CL322" s="53"/>
      <c r="CM322" s="53"/>
      <c r="CN322" s="53"/>
      <c r="CO322" s="53"/>
      <c r="CP322" s="53"/>
      <c r="CQ322" s="53"/>
      <c r="CR322" s="1"/>
      <c r="CS322" s="1"/>
      <c r="CT322" s="1"/>
      <c r="CU322" s="1"/>
    </row>
    <row r="323" spans="1:99" s="13" customFormat="1" ht="12" customHeight="1" x14ac:dyDescent="0.2">
      <c r="A323" s="65">
        <v>43509</v>
      </c>
      <c r="B323" s="1" t="s">
        <v>145</v>
      </c>
      <c r="C323" s="1" t="s">
        <v>239</v>
      </c>
      <c r="D323" s="60">
        <v>1972</v>
      </c>
      <c r="E323" s="75">
        <v>1</v>
      </c>
      <c r="F323" s="60">
        <v>180</v>
      </c>
      <c r="G323" s="60">
        <v>15</v>
      </c>
      <c r="H323" s="60" t="s">
        <v>22</v>
      </c>
      <c r="I323" s="74">
        <v>1</v>
      </c>
      <c r="J323" s="60" t="s">
        <v>146</v>
      </c>
      <c r="K323" s="60">
        <f>IF(J323="syllables",1,IF(J323="trigrams",2,IF(J323="strings",3,IF(J323="visual array",4,IF(J323="characters",5,IF(J323="letters",6,IF(J323="free forms",7,IF(J323="odors",8,IF(J323="words",9,IF(J323="pictures",10,IF(J323="object pictures",11,IF(J323="faces",12,IF(J323="names",13,IF(J323="idioms",14,IF(J323="grades",15,IF(J323="syllable-digit pairs",16,IF(J323="trigram-word pairs",17,IF(J323="word-digit pairs",18,IF(J323="English-Swahili pairs",19,IF(J323="spatial position",20,IF(J323="word pairs",21,IF(J323="word triads",22,IF(J323="generated words",23,IF(J323="word definition pairs",24,IF(J323="math problems",25,IF(J323="famous faces",26,IF(J323="famous names",27,IF(J323="famous voices",28,IF(J323="television programs",29,IF(J323="race horses",30,IF(J323="new vocabulary",31,IF(J323="sentences",32,IF(J323="concepts",33,IF(J323="ad slides",34,IF(J323="scenes",35,IF(J323="famous scenes",36,IF(J323="poems",37,IF(J323="walk",38,IF(J323="faces and events",39,IF(J323="events and names",40,IF(J323="flashbulb",41,IF(J323="stories",42,IF(J323="course material",43,IF(J323="autobiographical",44,IF(J323="novels",45,IF(J323="public events",46,"99"))))))))))))))))))))))))))))))))))))))))))))))</f>
        <v>34</v>
      </c>
      <c r="L323" s="60">
        <f>IF(J323="syllables",1,IF(J323="trigrams",1,IF(J323="strings",1,IF(J323="visual array",1,IF(J323="characters",1,IF(J323="letters",1,IF(J323="free forms",1,IF(J323="odors",2,IF(J323="words",2,IF(J323="pictures",2,IF(J323="object pictures",2,IF(J323="faces",2,IF(J323="names",2,IF(J323="idioms","2",IF(J323="grades",2,IF(J323="syllable-digit pairs",3,IF(J323="trigram-word pairs",3,IF(J323="word-digit pairs",3,IF(J323="English-Swahili pairs",3,IF(J323="spatial position",3,IF(J323="word pairs",4,IF(J323="word triads",4,IF(J323="generated words",4,IF(J323="word definition pairs",4,IF(J323="math problems",4,IF(J323="famous faces",4,IF(J323="famous names",4,IF(J323="famous voices",4,IF(J323="television programs",4,IF(J323="race horses",4,IF(J323="new vocabulary",4,IF(J323="sentences",5,IF(J323="concepts",5,IF(J323="ad slides",5,IF(J323="scenes",5,IF(J323="famous scenes",5,IF(J323="poems",6,IF(J323="walk",6,IF(J323="faces and events",6,IF(J323="events and names",6,IF(J323="flashbulb",7,IF(J323="stories",7,IF(J323="course material",7,IF(J323="autobiographical",7,IF(J323="novels",7,IF(J323="public events",7,"99"))))))))))))))))))))))))))))))))))))))))))))))</f>
        <v>5</v>
      </c>
      <c r="M323" s="60">
        <v>1</v>
      </c>
      <c r="N323" s="60">
        <v>4</v>
      </c>
      <c r="O323" s="60">
        <v>0</v>
      </c>
      <c r="P323" s="60"/>
      <c r="Q323" s="60" t="s">
        <v>174</v>
      </c>
      <c r="R323" s="60">
        <f>IF(Q323="Free Recall",1,IF(Q323="Cued Recall",2,IF(Q323="Recognition",3,IF(Q323="Multiple Choice",4,IF(Q323="Savings",5,IF(Q323="Stem Completion",6,IF(Q323="Fragment Completion",7,IF(Q323="anagram solution",8,IF(Q323="Matching",9,IF(Q323="Problem Solving",10,"99"))))))))))</f>
        <v>1</v>
      </c>
      <c r="S323" s="60" t="s">
        <v>49</v>
      </c>
      <c r="T323" s="59" t="s">
        <v>261</v>
      </c>
      <c r="U323" s="60">
        <f>IF(T323="within",1,0)</f>
        <v>0</v>
      </c>
      <c r="V323" s="59">
        <v>100</v>
      </c>
      <c r="W323" s="60">
        <f>F323*V323</f>
        <v>18000</v>
      </c>
      <c r="X323" s="60">
        <v>4</v>
      </c>
      <c r="Y323" s="76">
        <f>AV322</f>
        <v>30</v>
      </c>
      <c r="Z323" s="60" t="s">
        <v>140</v>
      </c>
      <c r="AA323" s="60">
        <v>2419200</v>
      </c>
      <c r="AB323" s="60" t="str">
        <f>IF(AA323&lt;60,"1",IF(AA323&lt;=43200,"2",IF(AA323&lt;=777600,"3","4")))</f>
        <v>4</v>
      </c>
      <c r="AC323" s="56">
        <f>AVERAGE(AV322:DA322)</f>
        <v>777629.1</v>
      </c>
      <c r="AD323" s="60" t="str">
        <f>IF(AC323&lt;60,"1",IF(AC323&lt;=43200,"2",IF(AC323&lt;=777600,"3","4")))</f>
        <v>4</v>
      </c>
      <c r="AE323" s="76">
        <f>AA323-Y323</f>
        <v>2419170</v>
      </c>
      <c r="AF323" s="80">
        <f>AV323</f>
        <v>0.86699999999999999</v>
      </c>
      <c r="AG323" s="56">
        <f>((AW323-AV323)+(AX323-AW323)+(AY323-AX323))/3</f>
        <v>-0.21299999999999999</v>
      </c>
      <c r="AH323" s="4"/>
      <c r="AI323" s="56">
        <f>RSQ(AV323:AY323,AV322:AY322)</f>
        <v>0.62864030459507081</v>
      </c>
      <c r="AJ323" s="109">
        <f>SLOPE(AV323:AY323,AV322:AY322)</f>
        <v>-1.8911662175934427E-7</v>
      </c>
      <c r="AK323" s="56">
        <f>INTERCEPT(AV323:AY323,AV322:AY322)</f>
        <v>0.64981258837375933</v>
      </c>
      <c r="AL323" s="56">
        <f>INDEX(LINEST(LN(AV323:AY323),LN(AV322:AY322),TRUE,TRUE),3,1)</f>
        <v>0.84006674222292355</v>
      </c>
      <c r="AM323" s="56">
        <f>INDEX(LINEST(LN(AV323:AY323),LN(AV322:AY322)),1)</f>
        <v>-0.10015218682287769</v>
      </c>
      <c r="AN323" s="56">
        <f>EXP(INDEX(LINEST(LN(AV323:AY323),LN(AV322:AY322)),1,2))</f>
        <v>1.3135980196836357</v>
      </c>
      <c r="AO323" s="82">
        <f>INDEX(LINEST((AV323:AY323),LN(AV322:AY322),TRUE,TRUE),3,1)</f>
        <v>0.9630376958357586</v>
      </c>
      <c r="AP323" s="82">
        <f>INDEX(LINEST((AV323:AY323),LN(AV322:AY322)),1)</f>
        <v>-5.2204405995874052E-2</v>
      </c>
      <c r="AQ323" s="83">
        <f>INDEX(LINEST(LN(AV323:AY323),SQRT(AV322:AY322),TRUE,TRUE),3,1)</f>
        <v>0.94508527845528278</v>
      </c>
      <c r="AR323" s="116">
        <f>INDEX(LINEST(LN(AV323:AY323),SQRT((AV322:AY322))),1)</f>
        <v>-7.9172320515512773E-4</v>
      </c>
      <c r="AS323" s="84">
        <f>INDEX(LINEST(1/(AV323:AY323),1/(SQRT(AV322:AY322)),TRUE,TRUE),3,1)</f>
        <v>0.43113389714341349</v>
      </c>
      <c r="AT323" s="84">
        <f>INDEX(LINEST(1/(AV323:AY323),1/SQRT(AV322:AY322)),1)</f>
        <v>-9.962089865177095</v>
      </c>
      <c r="AU323" s="3"/>
      <c r="AV323" s="53">
        <v>0.86699999999999999</v>
      </c>
      <c r="AW323" s="53">
        <v>0.505</v>
      </c>
      <c r="AX323" s="53">
        <v>0.41099999999999998</v>
      </c>
      <c r="AY323" s="53">
        <v>0.22800000000000001</v>
      </c>
      <c r="AZ323" s="53"/>
      <c r="BA323" s="53"/>
      <c r="BB323" s="53"/>
      <c r="BC323" s="53"/>
      <c r="BD323" s="53"/>
      <c r="BE323" s="53"/>
      <c r="BF323" s="53"/>
      <c r="BG323" s="53"/>
      <c r="BH323" s="53"/>
      <c r="BI323" s="53"/>
      <c r="BJ323" s="53"/>
      <c r="BK323" s="53"/>
      <c r="BL323" s="53"/>
      <c r="BM323" s="53"/>
      <c r="BN323" s="53"/>
      <c r="BO323" s="53"/>
      <c r="BP323" s="53"/>
      <c r="BQ323" s="53"/>
      <c r="BR323" s="53"/>
      <c r="BS323" s="53"/>
      <c r="BT323" s="53"/>
      <c r="BU323" s="53"/>
      <c r="BV323" s="53"/>
      <c r="BW323" s="53"/>
      <c r="BX323" s="53"/>
      <c r="BY323" s="53"/>
      <c r="BZ323" s="53"/>
      <c r="CA323" s="53"/>
      <c r="CB323" s="53"/>
      <c r="CC323" s="53"/>
      <c r="CD323" s="53"/>
      <c r="CE323" s="53"/>
      <c r="CF323" s="53"/>
      <c r="CG323" s="53"/>
      <c r="CH323" s="53"/>
      <c r="CI323" s="53"/>
      <c r="CJ323" s="53"/>
      <c r="CK323" s="53"/>
      <c r="CL323" s="53"/>
      <c r="CM323" s="53"/>
      <c r="CN323" s="53"/>
      <c r="CO323" s="53"/>
      <c r="CP323" s="53"/>
      <c r="CQ323" s="53"/>
      <c r="CR323" s="1"/>
      <c r="CS323" s="1"/>
      <c r="CT323" s="1"/>
      <c r="CU323" s="1"/>
    </row>
    <row r="324" spans="1:99" s="13" customFormat="1" ht="12" customHeight="1" x14ac:dyDescent="0.2">
      <c r="A324" s="65">
        <v>43509</v>
      </c>
      <c r="B324" s="1"/>
      <c r="C324" s="1"/>
      <c r="D324" s="60"/>
      <c r="E324" s="76"/>
      <c r="F324" s="60"/>
      <c r="G324" s="60"/>
      <c r="H324" s="60"/>
      <c r="I324" s="74"/>
      <c r="J324" s="60"/>
      <c r="K324" s="64"/>
      <c r="L324" s="64"/>
      <c r="M324" s="60"/>
      <c r="N324" s="60"/>
      <c r="O324" s="60"/>
      <c r="P324" s="60"/>
      <c r="Q324" s="60"/>
      <c r="R324" s="60"/>
      <c r="S324" s="60"/>
      <c r="T324" s="60"/>
      <c r="U324" s="60"/>
      <c r="V324" s="60"/>
      <c r="W324" s="60"/>
      <c r="X324" s="60"/>
      <c r="Y324" s="76"/>
      <c r="Z324" s="60"/>
      <c r="AA324" s="60"/>
      <c r="AB324" s="60"/>
      <c r="AC324" s="60"/>
      <c r="AD324" s="60"/>
      <c r="AE324" s="60"/>
      <c r="AF324" s="80"/>
      <c r="AG324" s="56"/>
      <c r="AH324" s="4"/>
      <c r="AI324" s="56"/>
      <c r="AJ324" s="109"/>
      <c r="AK324" s="56"/>
      <c r="AL324" s="56"/>
      <c r="AM324" s="56"/>
      <c r="AN324" s="56"/>
      <c r="AO324" s="56"/>
      <c r="AP324" s="56"/>
      <c r="AQ324" s="56"/>
      <c r="AR324" s="109"/>
      <c r="AS324" s="56"/>
      <c r="AT324" s="56"/>
      <c r="AU324" s="4"/>
      <c r="AV324" s="25">
        <v>30</v>
      </c>
      <c r="AW324" s="25">
        <f>7*24*60*60*0.143</f>
        <v>86486.399999999994</v>
      </c>
      <c r="AX324" s="25">
        <f>7*24*60*60*1</f>
        <v>604800</v>
      </c>
      <c r="AY324" s="25">
        <f>7*24*60*60*4</f>
        <v>2419200</v>
      </c>
      <c r="AZ324" s="53"/>
      <c r="BA324" s="53"/>
      <c r="BB324" s="53"/>
      <c r="BC324" s="53"/>
      <c r="BD324" s="53"/>
      <c r="BE324" s="53"/>
      <c r="BF324" s="53"/>
      <c r="BG324" s="53"/>
      <c r="BH324" s="53"/>
      <c r="BI324" s="53"/>
      <c r="BJ324" s="53"/>
      <c r="BK324" s="53"/>
      <c r="BL324" s="53"/>
      <c r="BM324" s="53"/>
      <c r="BN324" s="53"/>
      <c r="BO324" s="53"/>
      <c r="BP324" s="53"/>
      <c r="BQ324" s="53"/>
      <c r="BR324" s="53"/>
      <c r="BS324" s="53"/>
      <c r="BT324" s="53"/>
      <c r="BU324" s="53"/>
      <c r="BV324" s="53"/>
      <c r="BW324" s="53"/>
      <c r="BX324" s="53"/>
      <c r="BY324" s="53"/>
      <c r="BZ324" s="53"/>
      <c r="CA324" s="53"/>
      <c r="CB324" s="53"/>
      <c r="CC324" s="53"/>
      <c r="CD324" s="53"/>
      <c r="CE324" s="53"/>
      <c r="CF324" s="53"/>
      <c r="CG324" s="53"/>
      <c r="CH324" s="53"/>
      <c r="CI324" s="53"/>
      <c r="CJ324" s="53"/>
      <c r="CK324" s="53"/>
      <c r="CL324" s="53"/>
      <c r="CM324" s="53"/>
      <c r="CN324" s="53"/>
      <c r="CO324" s="53"/>
      <c r="CP324" s="53"/>
      <c r="CQ324" s="53"/>
      <c r="CR324" s="1"/>
      <c r="CS324" s="1"/>
      <c r="CT324" s="1"/>
      <c r="CU324" s="1"/>
    </row>
    <row r="325" spans="1:99" s="13" customFormat="1" ht="12" customHeight="1" x14ac:dyDescent="0.2">
      <c r="A325" s="65">
        <v>43509</v>
      </c>
      <c r="B325" s="1" t="s">
        <v>145</v>
      </c>
      <c r="C325" s="1" t="s">
        <v>239</v>
      </c>
      <c r="D325" s="60">
        <v>1972</v>
      </c>
      <c r="E325" s="75">
        <v>1</v>
      </c>
      <c r="F325" s="60">
        <v>180</v>
      </c>
      <c r="G325" s="60">
        <v>15</v>
      </c>
      <c r="H325" s="60" t="s">
        <v>22</v>
      </c>
      <c r="I325" s="74">
        <v>2</v>
      </c>
      <c r="J325" s="60" t="s">
        <v>146</v>
      </c>
      <c r="K325" s="60">
        <f>IF(J325="syllables",1,IF(J325="trigrams",2,IF(J325="strings",3,IF(J325="visual array",4,IF(J325="characters",5,IF(J325="letters",6,IF(J325="free forms",7,IF(J325="odors",8,IF(J325="words",9,IF(J325="pictures",10,IF(J325="object pictures",11,IF(J325="faces",12,IF(J325="names",13,IF(J325="idioms",14,IF(J325="grades",15,IF(J325="syllable-digit pairs",16,IF(J325="trigram-word pairs",17,IF(J325="word-digit pairs",18,IF(J325="English-Swahili pairs",19,IF(J325="spatial position",20,IF(J325="word pairs",21,IF(J325="word triads",22,IF(J325="generated words",23,IF(J325="word definition pairs",24,IF(J325="math problems",25,IF(J325="famous faces",26,IF(J325="famous names",27,IF(J325="famous voices",28,IF(J325="television programs",29,IF(J325="race horses",30,IF(J325="new vocabulary",31,IF(J325="sentences",32,IF(J325="concepts",33,IF(J325="ad slides",34,IF(J325="scenes",35,IF(J325="famous scenes",36,IF(J325="poems",37,IF(J325="walk",38,IF(J325="faces and events",39,IF(J325="events and names",40,IF(J325="flashbulb",41,IF(J325="stories",42,IF(J325="course material",43,IF(J325="autobiographical",44,IF(J325="novels",45,IF(J325="public events",46,"99"))))))))))))))))))))))))))))))))))))))))))))))</f>
        <v>34</v>
      </c>
      <c r="L325" s="60">
        <f>IF(J325="syllables",1,IF(J325="trigrams",1,IF(J325="strings",1,IF(J325="visual array",1,IF(J325="characters",1,IF(J325="letters",1,IF(J325="free forms",1,IF(J325="odors",2,IF(J325="words",2,IF(J325="pictures",2,IF(J325="object pictures",2,IF(J325="faces",2,IF(J325="names",2,IF(J325="idioms","2",IF(J325="grades",2,IF(J325="syllable-digit pairs",3,IF(J325="trigram-word pairs",3,IF(J325="word-digit pairs",3,IF(J325="English-Swahili pairs",3,IF(J325="spatial position",3,IF(J325="word pairs",4,IF(J325="word triads",4,IF(J325="generated words",4,IF(J325="word definition pairs",4,IF(J325="math problems",4,IF(J325="famous faces",4,IF(J325="famous names",4,IF(J325="famous voices",4,IF(J325="television programs",4,IF(J325="race horses",4,IF(J325="new vocabulary",4,IF(J325="sentences",5,IF(J325="concepts",5,IF(J325="ad slides",5,IF(J325="scenes",5,IF(J325="famous scenes",5,IF(J325="poems",6,IF(J325="walk",6,IF(J325="faces and events",6,IF(J325="events and names",6,IF(J325="flashbulb",7,IF(J325="stories",7,IF(J325="course material",7,IF(J325="autobiographical",7,IF(J325="novels",7,IF(J325="public events",7,"99"))))))))))))))))))))))))))))))))))))))))))))))</f>
        <v>5</v>
      </c>
      <c r="M325" s="60">
        <v>1</v>
      </c>
      <c r="N325" s="60">
        <v>4</v>
      </c>
      <c r="O325" s="60">
        <v>0</v>
      </c>
      <c r="P325" s="60"/>
      <c r="Q325" s="60" t="s">
        <v>174</v>
      </c>
      <c r="R325" s="60">
        <f>IF(Q325="Free Recall",1,IF(Q325="Cued Recall",2,IF(Q325="Recognition",3,IF(Q325="Multiple Choice",4,IF(Q325="Savings",5,IF(Q325="Stem Completion",6,IF(Q325="Fragment Completion",7,IF(Q325="anagram solution",8,IF(Q325="Matching",9,IF(Q325="Problem Solving",10,"99"))))))))))</f>
        <v>1</v>
      </c>
      <c r="S325" s="60" t="s">
        <v>49</v>
      </c>
      <c r="T325" s="59" t="s">
        <v>261</v>
      </c>
      <c r="U325" s="60">
        <f>IF(T325="within",1,0)</f>
        <v>0</v>
      </c>
      <c r="V325" s="59">
        <v>100</v>
      </c>
      <c r="W325" s="60">
        <f>F325*V325</f>
        <v>18000</v>
      </c>
      <c r="X325" s="60">
        <v>4</v>
      </c>
      <c r="Y325" s="76">
        <f>AV324</f>
        <v>30</v>
      </c>
      <c r="Z325" s="60" t="s">
        <v>140</v>
      </c>
      <c r="AA325" s="60">
        <v>2419200</v>
      </c>
      <c r="AB325" s="60" t="str">
        <f>IF(AA325&lt;60,"1",IF(AA325&lt;=43200,"2",IF(AA325&lt;=777600,"3","4")))</f>
        <v>4</v>
      </c>
      <c r="AC325" s="56">
        <f>AVERAGE(AV324:DA324)</f>
        <v>777629.1</v>
      </c>
      <c r="AD325" s="60" t="str">
        <f>IF(AC325&lt;60,"1",IF(AC325&lt;=43200,"2",IF(AC325&lt;=777600,"3","4")))</f>
        <v>4</v>
      </c>
      <c r="AE325" s="76">
        <f>AA325-Y325</f>
        <v>2419170</v>
      </c>
      <c r="AF325" s="80">
        <f>AV325</f>
        <v>0.85599999999999998</v>
      </c>
      <c r="AG325" s="56">
        <f>((AW325-AV325)+(AX325-AW325)+(AY325-AX325))/3</f>
        <v>-0.15566666666666665</v>
      </c>
      <c r="AH325" s="4"/>
      <c r="AI325" s="56">
        <f>RSQ(AV325:AY325,AV324:AY324)</f>
        <v>0.69683533394613073</v>
      </c>
      <c r="AJ325" s="109">
        <f>SLOPE(AV325:AY325,AV324:AY324)</f>
        <v>-1.6274292294496232E-7</v>
      </c>
      <c r="AK325" s="56">
        <f>INTERCEPT(AV325:AY325,AV324:AY324)</f>
        <v>0.74080363270106031</v>
      </c>
      <c r="AL325" s="56">
        <f>INDEX(LINEST(LN(AV325:AY325),LN(AV324:AY324),TRUE,TRUE),3,1)</f>
        <v>0.73500283927905408</v>
      </c>
      <c r="AM325" s="56">
        <f>INDEX(LINEST(LN(AV325:AY325),LN(AV324:AY324)),1)</f>
        <v>-6.2836858409418064E-2</v>
      </c>
      <c r="AN325" s="56">
        <f>EXP(INDEX(LINEST(LN(AV325:AY325),LN(AV324:AY324)),1,2))</f>
        <v>1.1437978449171717</v>
      </c>
      <c r="AO325" s="82">
        <f>INDEX(LINEST((AV325:AY325),LN(AV324:AY324),TRUE,TRUE),3,1)</f>
        <v>0.78635076782022006</v>
      </c>
      <c r="AP325" s="82">
        <f>INDEX(LINEST((AV325:AY325),LN(AV324:AY324)),1)</f>
        <v>-3.855690027265319E-2</v>
      </c>
      <c r="AQ325" s="83">
        <f>INDEX(LINEST(LN(AV325:AY325),SQRT(AV324:AY324),TRUE,TRUE),3,1)</f>
        <v>0.92790621408383245</v>
      </c>
      <c r="AR325" s="116">
        <f>INDEX(LINEST(LN(AV325:AY325),SQRT((AV324:AY324))),1)</f>
        <v>-5.2620664900167704E-4</v>
      </c>
      <c r="AS325" s="84">
        <f>INDEX(LINEST(1/(AV325:AY325),1/(SQRT(AV324:AY324)),TRUE,TRUE),3,1)</f>
        <v>0.42683767963701036</v>
      </c>
      <c r="AT325" s="84">
        <f>INDEX(LINEST(1/(AV325:AY325),1/SQRT(AV324:AY324)),1)</f>
        <v>-4.7414281196427925</v>
      </c>
      <c r="AU325" s="3"/>
      <c r="AV325" s="53">
        <v>0.85599999999999998</v>
      </c>
      <c r="AW325" s="53">
        <v>0.73899999999999999</v>
      </c>
      <c r="AX325" s="53">
        <v>0.47299999999999998</v>
      </c>
      <c r="AY325" s="53">
        <v>0.38900000000000001</v>
      </c>
      <c r="AZ325" s="53"/>
      <c r="BA325" s="53"/>
      <c r="BB325" s="53"/>
      <c r="BC325" s="53"/>
      <c r="BD325" s="53"/>
      <c r="BE325" s="53"/>
      <c r="BF325" s="53"/>
      <c r="BG325" s="53"/>
      <c r="BH325" s="53"/>
      <c r="BI325" s="53"/>
      <c r="BJ325" s="53"/>
      <c r="BK325" s="53"/>
      <c r="BL325" s="53"/>
      <c r="BM325" s="53"/>
      <c r="BN325" s="53"/>
      <c r="BO325" s="53"/>
      <c r="BP325" s="53"/>
      <c r="BQ325" s="53"/>
      <c r="BR325" s="53"/>
      <c r="BS325" s="53"/>
      <c r="BT325" s="53"/>
      <c r="BU325" s="53"/>
      <c r="BV325" s="53"/>
      <c r="BW325" s="53"/>
      <c r="BX325" s="53"/>
      <c r="BY325" s="53"/>
      <c r="BZ325" s="53"/>
      <c r="CA325" s="53"/>
      <c r="CB325" s="53"/>
      <c r="CC325" s="53"/>
      <c r="CD325" s="53"/>
      <c r="CE325" s="53"/>
      <c r="CF325" s="53"/>
      <c r="CG325" s="53"/>
      <c r="CH325" s="53"/>
      <c r="CI325" s="53"/>
      <c r="CJ325" s="53"/>
      <c r="CK325" s="53"/>
      <c r="CL325" s="53"/>
      <c r="CM325" s="53"/>
      <c r="CN325" s="53"/>
      <c r="CO325" s="53"/>
      <c r="CP325" s="53"/>
      <c r="CQ325" s="53"/>
      <c r="CR325" s="1"/>
      <c r="CS325" s="1"/>
      <c r="CT325" s="1"/>
      <c r="CU325" s="1"/>
    </row>
    <row r="326" spans="1:99" s="13" customFormat="1" ht="12" customHeight="1" x14ac:dyDescent="0.2">
      <c r="A326" s="65">
        <v>43509</v>
      </c>
      <c r="B326" s="1"/>
      <c r="C326" s="1"/>
      <c r="D326" s="60"/>
      <c r="E326" s="76"/>
      <c r="F326" s="60"/>
      <c r="G326" s="60"/>
      <c r="H326" s="60"/>
      <c r="I326" s="74"/>
      <c r="J326" s="60"/>
      <c r="K326" s="64"/>
      <c r="L326" s="64"/>
      <c r="M326" s="60"/>
      <c r="N326" s="60"/>
      <c r="O326" s="60"/>
      <c r="P326" s="60"/>
      <c r="Q326" s="60"/>
      <c r="R326" s="60"/>
      <c r="S326" s="60"/>
      <c r="T326" s="60"/>
      <c r="U326" s="60"/>
      <c r="V326" s="60"/>
      <c r="W326" s="60"/>
      <c r="X326" s="60"/>
      <c r="Y326" s="76"/>
      <c r="Z326" s="60"/>
      <c r="AA326" s="60"/>
      <c r="AB326" s="60"/>
      <c r="AC326" s="60"/>
      <c r="AD326" s="60"/>
      <c r="AE326" s="60"/>
      <c r="AF326" s="80"/>
      <c r="AG326" s="56"/>
      <c r="AH326" s="4"/>
      <c r="AI326" s="56"/>
      <c r="AJ326" s="109"/>
      <c r="AK326" s="56"/>
      <c r="AL326" s="56"/>
      <c r="AM326" s="56"/>
      <c r="AN326" s="56"/>
      <c r="AO326" s="56"/>
      <c r="AP326" s="56"/>
      <c r="AQ326" s="56"/>
      <c r="AR326" s="109"/>
      <c r="AS326" s="56"/>
      <c r="AT326" s="56"/>
      <c r="AU326" s="4"/>
      <c r="AV326" s="25">
        <v>30</v>
      </c>
      <c r="AW326" s="25">
        <f>7*24*60*60*0.143</f>
        <v>86486.399999999994</v>
      </c>
      <c r="AX326" s="25">
        <f>7*24*60*60*1</f>
        <v>604800</v>
      </c>
      <c r="AY326" s="25">
        <f>7*24*60*60*4</f>
        <v>2419200</v>
      </c>
      <c r="AZ326" s="53"/>
      <c r="BA326" s="53"/>
      <c r="BB326" s="53"/>
      <c r="BC326" s="53"/>
      <c r="BD326" s="53"/>
      <c r="BE326" s="53"/>
      <c r="BF326" s="53"/>
      <c r="BG326" s="53"/>
      <c r="BH326" s="53"/>
      <c r="BI326" s="53"/>
      <c r="BJ326" s="53"/>
      <c r="BK326" s="53"/>
      <c r="BL326" s="53"/>
      <c r="BM326" s="53"/>
      <c r="BN326" s="53"/>
      <c r="BO326" s="53"/>
      <c r="BP326" s="53"/>
      <c r="BQ326" s="53"/>
      <c r="BR326" s="53"/>
      <c r="BS326" s="53"/>
      <c r="BT326" s="53"/>
      <c r="BU326" s="53"/>
      <c r="BV326" s="53"/>
      <c r="BW326" s="53"/>
      <c r="BX326" s="53"/>
      <c r="BY326" s="53"/>
      <c r="BZ326" s="53"/>
      <c r="CA326" s="53"/>
      <c r="CB326" s="53"/>
      <c r="CC326" s="53"/>
      <c r="CD326" s="53"/>
      <c r="CE326" s="53"/>
      <c r="CF326" s="53"/>
      <c r="CG326" s="53"/>
      <c r="CH326" s="53"/>
      <c r="CI326" s="53"/>
      <c r="CJ326" s="53"/>
      <c r="CK326" s="53"/>
      <c r="CL326" s="53"/>
      <c r="CM326" s="53"/>
      <c r="CN326" s="53"/>
      <c r="CO326" s="53"/>
      <c r="CP326" s="53"/>
      <c r="CQ326" s="53"/>
      <c r="CR326" s="1"/>
      <c r="CS326" s="1"/>
      <c r="CT326" s="1"/>
      <c r="CU326" s="1"/>
    </row>
    <row r="327" spans="1:99" s="13" customFormat="1" ht="12" customHeight="1" x14ac:dyDescent="0.2">
      <c r="A327" s="65">
        <v>43509</v>
      </c>
      <c r="B327" s="1" t="s">
        <v>145</v>
      </c>
      <c r="C327" s="1" t="s">
        <v>239</v>
      </c>
      <c r="D327" s="60">
        <v>1972</v>
      </c>
      <c r="E327" s="75">
        <v>1</v>
      </c>
      <c r="F327" s="60">
        <v>180</v>
      </c>
      <c r="G327" s="60">
        <v>15</v>
      </c>
      <c r="H327" s="60" t="s">
        <v>22</v>
      </c>
      <c r="I327" s="74">
        <v>3</v>
      </c>
      <c r="J327" s="60" t="s">
        <v>146</v>
      </c>
      <c r="K327" s="60">
        <f>IF(J327="syllables",1,IF(J327="trigrams",2,IF(J327="strings",3,IF(J327="visual array",4,IF(J327="characters",5,IF(J327="letters",6,IF(J327="free forms",7,IF(J327="odors",8,IF(J327="words",9,IF(J327="pictures",10,IF(J327="object pictures",11,IF(J327="faces",12,IF(J327="names",13,IF(J327="idioms",14,IF(J327="grades",15,IF(J327="syllable-digit pairs",16,IF(J327="trigram-word pairs",17,IF(J327="word-digit pairs",18,IF(J327="English-Swahili pairs",19,IF(J327="spatial position",20,IF(J327="word pairs",21,IF(J327="word triads",22,IF(J327="generated words",23,IF(J327="word definition pairs",24,IF(J327="math problems",25,IF(J327="famous faces",26,IF(J327="famous names",27,IF(J327="famous voices",28,IF(J327="television programs",29,IF(J327="race horses",30,IF(J327="new vocabulary",31,IF(J327="sentences",32,IF(J327="concepts",33,IF(J327="ad slides",34,IF(J327="scenes",35,IF(J327="famous scenes",36,IF(J327="poems",37,IF(J327="walk",38,IF(J327="faces and events",39,IF(J327="events and names",40,IF(J327="flashbulb",41,IF(J327="stories",42,IF(J327="course material",43,IF(J327="autobiographical",44,IF(J327="novels",45,IF(J327="public events",46,"99"))))))))))))))))))))))))))))))))))))))))))))))</f>
        <v>34</v>
      </c>
      <c r="L327" s="60">
        <f>IF(J327="syllables",1,IF(J327="trigrams",1,IF(J327="strings",1,IF(J327="visual array",1,IF(J327="characters",1,IF(J327="letters",1,IF(J327="free forms",1,IF(J327="odors",2,IF(J327="words",2,IF(J327="pictures",2,IF(J327="object pictures",2,IF(J327="faces",2,IF(J327="names",2,IF(J327="idioms","2",IF(J327="grades",2,IF(J327="syllable-digit pairs",3,IF(J327="trigram-word pairs",3,IF(J327="word-digit pairs",3,IF(J327="English-Swahili pairs",3,IF(J327="spatial position",3,IF(J327="word pairs",4,IF(J327="word triads",4,IF(J327="generated words",4,IF(J327="word definition pairs",4,IF(J327="math problems",4,IF(J327="famous faces",4,IF(J327="famous names",4,IF(J327="famous voices",4,IF(J327="television programs",4,IF(J327="race horses",4,IF(J327="new vocabulary",4,IF(J327="sentences",5,IF(J327="concepts",5,IF(J327="ad slides",5,IF(J327="scenes",5,IF(J327="famous scenes",5,IF(J327="poems",6,IF(J327="walk",6,IF(J327="faces and events",6,IF(J327="events and names",6,IF(J327="flashbulb",7,IF(J327="stories",7,IF(J327="course material",7,IF(J327="autobiographical",7,IF(J327="novels",7,IF(J327="public events",7,"99"))))))))))))))))))))))))))))))))))))))))))))))</f>
        <v>5</v>
      </c>
      <c r="M327" s="60">
        <v>1</v>
      </c>
      <c r="N327" s="60">
        <v>4</v>
      </c>
      <c r="O327" s="60">
        <v>0</v>
      </c>
      <c r="P327" s="60"/>
      <c r="Q327" s="60" t="s">
        <v>174</v>
      </c>
      <c r="R327" s="60">
        <f>IF(Q327="Free Recall",1,IF(Q327="Cued Recall",2,IF(Q327="Recognition",3,IF(Q327="Multiple Choice",4,IF(Q327="Savings",5,IF(Q327="Stem Completion",6,IF(Q327="Fragment Completion",7,IF(Q327="anagram solution",8,IF(Q327="Matching",9,IF(Q327="Problem Solving",10,"99"))))))))))</f>
        <v>1</v>
      </c>
      <c r="S327" s="60" t="s">
        <v>49</v>
      </c>
      <c r="T327" s="59" t="s">
        <v>261</v>
      </c>
      <c r="U327" s="60">
        <f>IF(T327="within",1,0)</f>
        <v>0</v>
      </c>
      <c r="V327" s="59">
        <v>100</v>
      </c>
      <c r="W327" s="60">
        <f>F327*V327</f>
        <v>18000</v>
      </c>
      <c r="X327" s="60">
        <v>4</v>
      </c>
      <c r="Y327" s="76">
        <f>AV326</f>
        <v>30</v>
      </c>
      <c r="Z327" s="60" t="s">
        <v>140</v>
      </c>
      <c r="AA327" s="60">
        <v>2419200</v>
      </c>
      <c r="AB327" s="60" t="str">
        <f>IF(AA327&lt;60,"1",IF(AA327&lt;=43200,"2",IF(AA327&lt;=777600,"3","4")))</f>
        <v>4</v>
      </c>
      <c r="AC327" s="56">
        <f>AVERAGE(AV326:DA326)</f>
        <v>777629.1</v>
      </c>
      <c r="AD327" s="60" t="str">
        <f>IF(AC327&lt;60,"1",IF(AC327&lt;=43200,"2",IF(AC327&lt;=777600,"3","4")))</f>
        <v>4</v>
      </c>
      <c r="AE327" s="76">
        <f>AA327-Y327</f>
        <v>2419170</v>
      </c>
      <c r="AF327" s="80">
        <f>AV327</f>
        <v>0.82799999999999996</v>
      </c>
      <c r="AG327" s="56">
        <f>((AW327-AV327)+(AX327-AW327)+(AY327-AX327))/3</f>
        <v>-0.17400000000000002</v>
      </c>
      <c r="AH327" s="4"/>
      <c r="AI327" s="56">
        <f>RSQ(AV327:AY327,AV326:AY326)</f>
        <v>0.85725034417509094</v>
      </c>
      <c r="AJ327" s="109">
        <f>SLOPE(AV327:AY327,AV326:AY326)</f>
        <v>-1.7652086225735336E-7</v>
      </c>
      <c r="AK327" s="56">
        <f>INTERCEPT(AV327:AY327,AV326:AY326)</f>
        <v>0.72101775924840961</v>
      </c>
      <c r="AL327" s="56">
        <f>INDEX(LINEST(LN(AV327:AY327),LN(AV326:AY326),TRUE,TRUE),3,1)</f>
        <v>0.64671078413454564</v>
      </c>
      <c r="AM327" s="56">
        <f>INDEX(LINEST(LN(AV327:AY327),LN(AV326:AY326)),1)</f>
        <v>-6.6866453136152262E-2</v>
      </c>
      <c r="AN327" s="56">
        <f>EXP(INDEX(LINEST(LN(AV327:AY327),LN(AV326:AY326)),1,2))</f>
        <v>1.1236363105767653</v>
      </c>
      <c r="AO327" s="82">
        <f>INDEX(LINEST((AV327:AY327),LN(AV326:AY326),TRUE,TRUE),3,1)</f>
        <v>0.78439809243611403</v>
      </c>
      <c r="AP327" s="82">
        <f>INDEX(LINEST((AV327:AY327),LN(AV326:AY326)),1)</f>
        <v>-3.7658879615104994E-2</v>
      </c>
      <c r="AQ327" s="83">
        <f>INDEX(LINEST(LN(AV327:AY327),SQRT(AV326:AY326),TRUE,TRUE),3,1)</f>
        <v>0.95064431348654532</v>
      </c>
      <c r="AR327" s="116">
        <f>INDEX(LINEST(LN(AV327:AY327),SQRT((AV326:AY326))),1)</f>
        <v>-6.0422208782252569E-4</v>
      </c>
      <c r="AS327" s="84">
        <f>INDEX(LINEST(1/(AV327:AY327),1/(SQRT(AV326:AY326)),TRUE,TRUE),3,1)</f>
        <v>0.3101302590129647</v>
      </c>
      <c r="AT327" s="84">
        <f>INDEX(LINEST(1/(AV327:AY327),1/SQRT(AV326:AY326)),1)</f>
        <v>-5.5726476473195117</v>
      </c>
      <c r="AU327" s="3"/>
      <c r="AV327" s="53">
        <v>0.82799999999999996</v>
      </c>
      <c r="AW327" s="53">
        <v>0.623</v>
      </c>
      <c r="AX327" s="53">
        <v>0.57799999999999996</v>
      </c>
      <c r="AY327" s="53">
        <v>0.30599999999999999</v>
      </c>
      <c r="AZ327" s="53"/>
      <c r="BA327" s="53"/>
      <c r="BB327" s="53"/>
      <c r="BC327" s="53"/>
      <c r="BD327" s="53"/>
      <c r="BE327" s="53"/>
      <c r="BF327" s="53"/>
      <c r="BG327" s="53"/>
      <c r="BH327" s="53"/>
      <c r="BI327" s="53"/>
      <c r="BJ327" s="53"/>
      <c r="BK327" s="53"/>
      <c r="BL327" s="53"/>
      <c r="BM327" s="53"/>
      <c r="BN327" s="53"/>
      <c r="BO327" s="53"/>
      <c r="BP327" s="53"/>
      <c r="BQ327" s="53"/>
      <c r="BR327" s="53"/>
      <c r="BS327" s="53"/>
      <c r="BT327" s="53"/>
      <c r="BU327" s="53"/>
      <c r="BV327" s="53"/>
      <c r="BW327" s="53"/>
      <c r="BX327" s="53"/>
      <c r="BY327" s="53"/>
      <c r="BZ327" s="53"/>
      <c r="CA327" s="53"/>
      <c r="CB327" s="53"/>
      <c r="CC327" s="53"/>
      <c r="CD327" s="53"/>
      <c r="CE327" s="53"/>
      <c r="CF327" s="53"/>
      <c r="CG327" s="53"/>
      <c r="CH327" s="53"/>
      <c r="CI327" s="53"/>
      <c r="CJ327" s="53"/>
      <c r="CK327" s="53"/>
      <c r="CL327" s="53"/>
      <c r="CM327" s="53"/>
      <c r="CN327" s="53"/>
      <c r="CO327" s="53"/>
      <c r="CP327" s="53"/>
      <c r="CQ327" s="53"/>
      <c r="CR327" s="1"/>
      <c r="CS327" s="1"/>
      <c r="CT327" s="1"/>
      <c r="CU327" s="1"/>
    </row>
    <row r="328" spans="1:99" s="13" customFormat="1" ht="12" customHeight="1" x14ac:dyDescent="0.2">
      <c r="A328" s="68">
        <v>43977</v>
      </c>
      <c r="B328" s="70"/>
      <c r="C328" s="70"/>
      <c r="D328" s="69"/>
      <c r="E328" s="105"/>
      <c r="F328" s="69"/>
      <c r="G328" s="69"/>
      <c r="H328" s="69"/>
      <c r="I328" s="104"/>
      <c r="J328" s="69"/>
      <c r="K328" s="69"/>
      <c r="L328" s="69"/>
      <c r="M328" s="69"/>
      <c r="N328" s="69"/>
      <c r="O328" s="69"/>
      <c r="P328" s="69"/>
      <c r="Q328" s="69"/>
      <c r="R328" s="69"/>
      <c r="S328" s="69"/>
      <c r="T328" s="92"/>
      <c r="U328" s="69"/>
      <c r="V328" s="92"/>
      <c r="W328" s="69"/>
      <c r="X328" s="69"/>
      <c r="Y328" s="87"/>
      <c r="Z328" s="69"/>
      <c r="AA328" s="69"/>
      <c r="AB328" s="69"/>
      <c r="AC328" s="72"/>
      <c r="AD328" s="69"/>
      <c r="AE328" s="87"/>
      <c r="AF328" s="88"/>
      <c r="AG328" s="72"/>
      <c r="AH328" s="4"/>
      <c r="AI328" s="72"/>
      <c r="AJ328" s="110"/>
      <c r="AK328" s="72"/>
      <c r="AL328" s="72"/>
      <c r="AM328" s="72"/>
      <c r="AN328" s="72"/>
      <c r="AO328" s="89"/>
      <c r="AP328" s="89"/>
      <c r="AQ328" s="90"/>
      <c r="AR328" s="117"/>
      <c r="AS328" s="91"/>
      <c r="AT328" s="91"/>
      <c r="AU328" s="3"/>
      <c r="AV328" s="71">
        <v>30</v>
      </c>
      <c r="AW328" s="71">
        <f>60*60</f>
        <v>3600</v>
      </c>
      <c r="AX328" s="71">
        <f>24*60*60</f>
        <v>86400</v>
      </c>
      <c r="AY328" s="71">
        <f>24*60*60*29</f>
        <v>2505600</v>
      </c>
      <c r="AZ328" s="53" t="s">
        <v>947</v>
      </c>
      <c r="BA328" s="53"/>
      <c r="BB328" s="53"/>
      <c r="BC328" s="53"/>
      <c r="BD328" s="53"/>
      <c r="BE328" s="53"/>
      <c r="BF328" s="53"/>
      <c r="BG328" s="53"/>
      <c r="BH328" s="53"/>
      <c r="BI328" s="53"/>
      <c r="BJ328" s="53"/>
      <c r="BK328" s="53"/>
      <c r="BL328" s="53"/>
      <c r="BM328" s="53"/>
      <c r="BN328" s="53"/>
      <c r="BO328" s="53"/>
      <c r="BP328" s="53"/>
      <c r="BQ328" s="53"/>
      <c r="BR328" s="53"/>
      <c r="BS328" s="53"/>
      <c r="BT328" s="53"/>
      <c r="BU328" s="53"/>
      <c r="BV328" s="53"/>
      <c r="BW328" s="53"/>
      <c r="BX328" s="53"/>
      <c r="BY328" s="53"/>
      <c r="BZ328" s="53"/>
      <c r="CA328" s="53"/>
      <c r="CB328" s="53"/>
      <c r="CC328" s="53"/>
      <c r="CD328" s="53"/>
      <c r="CE328" s="53"/>
      <c r="CF328" s="53"/>
      <c r="CG328" s="53"/>
      <c r="CH328" s="53"/>
      <c r="CI328" s="53"/>
      <c r="CJ328" s="53"/>
      <c r="CK328" s="53"/>
      <c r="CL328" s="53"/>
      <c r="CM328" s="53"/>
      <c r="CN328" s="53"/>
      <c r="CO328" s="53"/>
      <c r="CP328" s="53"/>
      <c r="CQ328" s="53"/>
      <c r="CR328" s="1"/>
      <c r="CS328" s="1"/>
      <c r="CT328" s="1"/>
      <c r="CU328" s="1"/>
    </row>
    <row r="329" spans="1:99" s="13" customFormat="1" ht="12" customHeight="1" x14ac:dyDescent="0.2">
      <c r="A329" s="68">
        <v>43977</v>
      </c>
      <c r="B329" s="186" t="s">
        <v>944</v>
      </c>
      <c r="C329" s="70" t="s">
        <v>945</v>
      </c>
      <c r="D329" s="69">
        <v>2006</v>
      </c>
      <c r="E329" s="105">
        <v>1</v>
      </c>
      <c r="F329" s="69">
        <v>1</v>
      </c>
      <c r="G329" s="69">
        <v>1</v>
      </c>
      <c r="H329" s="69" t="s">
        <v>22</v>
      </c>
      <c r="I329" s="104" t="s">
        <v>479</v>
      </c>
      <c r="J329" s="69" t="s">
        <v>16</v>
      </c>
      <c r="K329" s="69">
        <f>IF(J329="syllables",1,IF(J329="trigrams",2,IF(J329="strings",3,IF(J329="visual array",4,IF(J329="characters",5,IF(J329="letters",6,IF(J329="free forms",7,IF(J329="odors",8,IF(J329="words",9,IF(J329="pictures",10,IF(J329="object pictures",11,IF(J329="faces",12,IF(J329="names",13,IF(J329="idioms",14,IF(J329="grades",15,IF(J329="syllable-digit pairs",16,IF(J329="trigram-word pairs",17,IF(J329="word-digit pairs",18,IF(J329="English-Swahili pairs",19,IF(J329="spatial position",20,IF(J329="word pairs",21,IF(J329="word triads",22,IF(J329="generated words",23,IF(J329="word definition pairs",24,IF(J329="math problems",25,IF(J329="famous faces",26,IF(J329="famous names",27,IF(J329="famous voices",28,IF(J329="television programs",29,IF(J329="race horses",30,IF(J329="new vocabulary",31,IF(J329="sentences",32,IF(J329="concepts",33,IF(J329="ad slides",34,IF(J329="scenes",35,IF(J329="famous scenes",36,IF(J329="poems",37,IF(J329="walk",38,IF(J329="faces and events",39,IF(J329="events and names",40,IF(J329="flashbulb",41,IF(J329="stories",42,IF(J329="course material",43,IF(J329="autobiographical",44,IF(J329="novels",45,IF(J329="public events",46,"99"))))))))))))))))))))))))))))))))))))))))))))))</f>
        <v>9</v>
      </c>
      <c r="L329" s="69">
        <f>IF(J329="syllables",1,IF(J329="trigrams",1,IF(J329="strings",1,IF(J329="visual array",1,IF(J329="characters",1,IF(J329="letters",1,IF(J329="free forms",1,IF(J329="odors",2,IF(J329="words",2,IF(J329="pictures",2,IF(J329="object pictures",2,IF(J329="faces",2,IF(J329="names",2,IF(J329="idioms","2",IF(J329="grades",2,IF(J329="syllable-digit pairs",3,IF(J329="trigram-word pairs",3,IF(J329="word-digit pairs",3,IF(J329="English-Swahili pairs",3,IF(J329="spatial position",3,IF(J329="word pairs",4,IF(J329="word triads",4,IF(J329="generated words",4,IF(J329="word definition pairs",4,IF(J329="math problems",4,IF(J329="famous faces",4,IF(J329="famous names",4,IF(J329="famous voices",4,IF(J329="television programs",4,IF(J329="race horses",4,IF(J329="new vocabulary",4,IF(J329="sentences",5,IF(J329="concepts",5,IF(J329="ad slides",5,IF(J329="scenes",5,IF(J329="famous scenes",5,IF(J329="poems",6,IF(J329="walk",6,IF(J329="faces and events",6,IF(J329="events and names",6,IF(J329="flashbulb",7,IF(J329="stories",7,IF(J329="course material",7,IF(J329="autobiographical",7,IF(J329="novels",7,IF(J329="public events",7,"99"))))))))))))))))))))))))))))))))))))))))))))))</f>
        <v>2</v>
      </c>
      <c r="M329" s="69">
        <v>1</v>
      </c>
      <c r="N329" s="69">
        <v>2</v>
      </c>
      <c r="O329" s="69">
        <v>0</v>
      </c>
      <c r="P329" s="69"/>
      <c r="Q329" s="69" t="s">
        <v>174</v>
      </c>
      <c r="R329" s="69">
        <f>IF(Q329="Free Recall",1,IF(Q329="Cued Recall",2,IF(Q329="Recognition",3,IF(Q329="Multiple Choice",4,IF(Q329="Savings",5,IF(Q329="Stem Completion",6,IF(Q329="Fragment Completion",7,IF(Q329="anagram solution",8,IF(Q329="Matching",9,IF(Q329="Problem Solving",10,"99"))))))))))</f>
        <v>1</v>
      </c>
      <c r="S329" s="69" t="s">
        <v>49</v>
      </c>
      <c r="T329" s="92" t="s">
        <v>581</v>
      </c>
      <c r="U329" s="69">
        <f>IF(T329="within",1,0)</f>
        <v>1</v>
      </c>
      <c r="V329" s="92">
        <v>60</v>
      </c>
      <c r="W329" s="69">
        <f>F329*V329</f>
        <v>60</v>
      </c>
      <c r="X329" s="69">
        <v>4</v>
      </c>
      <c r="Y329" s="87">
        <f>AV328</f>
        <v>30</v>
      </c>
      <c r="Z329" s="69" t="s">
        <v>946</v>
      </c>
      <c r="AA329" s="69">
        <f>60*60*24*29</f>
        <v>2505600</v>
      </c>
      <c r="AB329" s="69" t="str">
        <f>IF(AA329&lt;60,"1",IF(AA329&lt;=43200,"2",IF(AA329&lt;=777600,"3","4")))</f>
        <v>4</v>
      </c>
      <c r="AC329" s="72">
        <f>AVERAGE(AV328:DA328)</f>
        <v>648907.5</v>
      </c>
      <c r="AD329" s="69" t="str">
        <f>IF(AC329&lt;60,"1",IF(AC329&lt;=43200,"2",IF(AC329&lt;=777600,"3","4")))</f>
        <v>3</v>
      </c>
      <c r="AE329" s="87">
        <f>AA329-Y329</f>
        <v>2505570</v>
      </c>
      <c r="AF329" s="88">
        <f>AV329</f>
        <v>0.93333333333333335</v>
      </c>
      <c r="AG329" s="72">
        <f>((AW329-AV329)+(AX329-AW329)+(AY329-AX329))/3</f>
        <v>-0.15555555555555556</v>
      </c>
      <c r="AH329" s="4"/>
      <c r="AI329" s="72">
        <f>RSQ(AV329:AY329,AV328:AY328)</f>
        <v>0.72650732629125614</v>
      </c>
      <c r="AJ329" s="110">
        <f>SLOPE(AV329:AY329,AV328:AY328)</f>
        <v>-1.3701110270069549E-7</v>
      </c>
      <c r="AK329" s="72">
        <f>INTERCEPT(AV329:AY329,AV328:AY328)</f>
        <v>0.80557419879241821</v>
      </c>
      <c r="AL329" s="72">
        <f>INDEX(LINEST(LN(AV329:AY329),LN(AV328:AY328),TRUE,TRUE),3,1)</f>
        <v>0.92214207588630637</v>
      </c>
      <c r="AM329" s="72">
        <f>INDEX(LINEST(LN(AV329:AY329),LN(AV328:AY328)),1)</f>
        <v>-5.9415478397388574E-2</v>
      </c>
      <c r="AN329" s="72">
        <f>EXP(INDEX(LINEST(LN(AV329:AY329),LN(AV328:AY328)),1,2))</f>
        <v>1.2152099685635247</v>
      </c>
      <c r="AO329" s="89">
        <f>INDEX(LINEST((AV329:AY329),LN(AV328:AY328),TRUE,TRUE),3,1)</f>
        <v>0.96723820537385019</v>
      </c>
      <c r="AP329" s="89">
        <f>INDEX(LINEST((AV329:AY329),LN(AV328:AY328)),1)</f>
        <v>-4.0597584551291047E-2</v>
      </c>
      <c r="AQ329" s="90">
        <f>INDEX(LINEST(LN(AV329:AY329),SQRT(AV328:AY328),TRUE,TRUE),3,1)</f>
        <v>0.90072525703321693</v>
      </c>
      <c r="AR329" s="117">
        <f>INDEX(LINEST(LN(AV329:AY329),SQRT((AV328:AY328))),1)</f>
        <v>-3.8156342135860807E-4</v>
      </c>
      <c r="AS329" s="91">
        <f>INDEX(LINEST(1/(AV329:AY329),1/(SQRT(AV328:AY328)),TRUE,TRUE),3,1)</f>
        <v>0.41886092839850886</v>
      </c>
      <c r="AT329" s="91">
        <f>INDEX(LINEST(1/(AV329:AY329),1/SQRT(AV328:AY328)),1)</f>
        <v>-3.4427462673384426</v>
      </c>
      <c r="AU329" s="3"/>
      <c r="AV329" s="73">
        <f>14/15</f>
        <v>0.93333333333333335</v>
      </c>
      <c r="AW329" s="73">
        <f>12/15</f>
        <v>0.8</v>
      </c>
      <c r="AX329" s="73">
        <f>10/15</f>
        <v>0.66666666666666663</v>
      </c>
      <c r="AY329" s="73">
        <f>7/15</f>
        <v>0.46666666666666667</v>
      </c>
      <c r="AZ329" s="53"/>
      <c r="BA329" s="53"/>
      <c r="BB329" s="53"/>
      <c r="BC329" s="53"/>
      <c r="BD329" s="53"/>
      <c r="BE329" s="53"/>
      <c r="BF329" s="53"/>
      <c r="BG329" s="53"/>
      <c r="BH329" s="53"/>
      <c r="BI329" s="53"/>
      <c r="BJ329" s="53"/>
      <c r="BK329" s="53"/>
      <c r="BL329" s="53"/>
      <c r="BM329" s="53"/>
      <c r="BN329" s="53"/>
      <c r="BO329" s="53"/>
      <c r="BP329" s="53"/>
      <c r="BQ329" s="53"/>
      <c r="BR329" s="53"/>
      <c r="BS329" s="53"/>
      <c r="BT329" s="53"/>
      <c r="BU329" s="53"/>
      <c r="BV329" s="53"/>
      <c r="BW329" s="53"/>
      <c r="BX329" s="53"/>
      <c r="BY329" s="53"/>
      <c r="BZ329" s="53"/>
      <c r="CA329" s="53"/>
      <c r="CB329" s="53"/>
      <c r="CC329" s="53"/>
      <c r="CD329" s="53"/>
      <c r="CE329" s="53"/>
      <c r="CF329" s="53"/>
      <c r="CG329" s="53"/>
      <c r="CH329" s="53"/>
      <c r="CI329" s="53"/>
      <c r="CJ329" s="53"/>
      <c r="CK329" s="53"/>
      <c r="CL329" s="53"/>
      <c r="CM329" s="53"/>
      <c r="CN329" s="53"/>
      <c r="CO329" s="53"/>
      <c r="CP329" s="53"/>
      <c r="CQ329" s="53"/>
      <c r="CR329" s="1"/>
      <c r="CS329" s="1"/>
      <c r="CT329" s="1"/>
      <c r="CU329" s="1"/>
    </row>
    <row r="330" spans="1:99" s="13" customFormat="1" ht="12" customHeight="1" x14ac:dyDescent="0.2">
      <c r="A330" s="68">
        <v>43977</v>
      </c>
      <c r="B330" s="70"/>
      <c r="C330" s="70"/>
      <c r="D330" s="69"/>
      <c r="E330" s="105"/>
      <c r="F330" s="69"/>
      <c r="G330" s="69"/>
      <c r="H330" s="69"/>
      <c r="I330" s="104"/>
      <c r="J330" s="69"/>
      <c r="K330" s="69"/>
      <c r="L330" s="69"/>
      <c r="M330" s="69"/>
      <c r="N330" s="69"/>
      <c r="O330" s="69"/>
      <c r="P330" s="69"/>
      <c r="Q330" s="69"/>
      <c r="R330" s="69"/>
      <c r="S330" s="69"/>
      <c r="T330" s="92"/>
      <c r="U330" s="69"/>
      <c r="V330" s="92"/>
      <c r="W330" s="69"/>
      <c r="X330" s="69"/>
      <c r="Y330" s="87"/>
      <c r="Z330" s="69"/>
      <c r="AA330" s="69"/>
      <c r="AB330" s="69"/>
      <c r="AC330" s="72"/>
      <c r="AD330" s="69"/>
      <c r="AE330" s="87"/>
      <c r="AF330" s="88"/>
      <c r="AG330" s="72"/>
      <c r="AH330" s="4"/>
      <c r="AI330" s="72"/>
      <c r="AJ330" s="110"/>
      <c r="AK330" s="72"/>
      <c r="AL330" s="72"/>
      <c r="AM330" s="72"/>
      <c r="AN330" s="72"/>
      <c r="AO330" s="89"/>
      <c r="AP330" s="89"/>
      <c r="AQ330" s="90"/>
      <c r="AR330" s="117"/>
      <c r="AS330" s="91"/>
      <c r="AT330" s="91"/>
      <c r="AU330" s="3"/>
      <c r="AV330" s="71">
        <v>30</v>
      </c>
      <c r="AW330" s="71">
        <f>60*60</f>
        <v>3600</v>
      </c>
      <c r="AX330" s="71">
        <f>24*60*60</f>
        <v>86400</v>
      </c>
      <c r="AY330" s="71">
        <f>24*60*60*29</f>
        <v>2505600</v>
      </c>
      <c r="AZ330" s="53"/>
      <c r="BA330" s="53"/>
      <c r="BB330" s="53"/>
      <c r="BC330" s="53"/>
      <c r="BD330" s="53"/>
      <c r="BE330" s="53"/>
      <c r="BF330" s="53"/>
      <c r="BG330" s="53"/>
      <c r="BH330" s="53"/>
      <c r="BI330" s="53"/>
      <c r="BJ330" s="53"/>
      <c r="BK330" s="53"/>
      <c r="BL330" s="53"/>
      <c r="BM330" s="53"/>
      <c r="BN330" s="53"/>
      <c r="BO330" s="53"/>
      <c r="BP330" s="53"/>
      <c r="BQ330" s="53"/>
      <c r="BR330" s="53"/>
      <c r="BS330" s="53"/>
      <c r="BT330" s="53"/>
      <c r="BU330" s="53"/>
      <c r="BV330" s="53"/>
      <c r="BW330" s="53"/>
      <c r="BX330" s="53"/>
      <c r="BY330" s="53"/>
      <c r="BZ330" s="53"/>
      <c r="CA330" s="53"/>
      <c r="CB330" s="53"/>
      <c r="CC330" s="53"/>
      <c r="CD330" s="53"/>
      <c r="CE330" s="53"/>
      <c r="CF330" s="53"/>
      <c r="CG330" s="53"/>
      <c r="CH330" s="53"/>
      <c r="CI330" s="53"/>
      <c r="CJ330" s="53"/>
      <c r="CK330" s="53"/>
      <c r="CL330" s="53"/>
      <c r="CM330" s="53"/>
      <c r="CN330" s="53"/>
      <c r="CO330" s="53"/>
      <c r="CP330" s="53"/>
      <c r="CQ330" s="53"/>
      <c r="CR330" s="1"/>
      <c r="CS330" s="1"/>
      <c r="CT330" s="1"/>
      <c r="CU330" s="1"/>
    </row>
    <row r="331" spans="1:99" s="13" customFormat="1" ht="12" customHeight="1" x14ac:dyDescent="0.2">
      <c r="A331" s="68">
        <v>43977</v>
      </c>
      <c r="B331" s="186" t="s">
        <v>944</v>
      </c>
      <c r="C331" s="70" t="s">
        <v>945</v>
      </c>
      <c r="D331" s="69">
        <v>2006</v>
      </c>
      <c r="E331" s="105">
        <v>1</v>
      </c>
      <c r="F331" s="69">
        <v>1</v>
      </c>
      <c r="G331" s="69">
        <v>1</v>
      </c>
      <c r="H331" s="69" t="s">
        <v>22</v>
      </c>
      <c r="I331" s="104" t="s">
        <v>479</v>
      </c>
      <c r="J331" s="69" t="s">
        <v>677</v>
      </c>
      <c r="K331" s="69">
        <f>IF(J331="syllables",1,IF(J331="trigrams",2,IF(J331="strings",3,IF(J331="visual array",4,IF(J331="characters",5,IF(J331="letters",6,IF(J331="free forms",7,IF(J331="odors",8,IF(J331="words",9,IF(J331="pictures",10,IF(J331="object pictures",11,IF(J331="faces",12,IF(J331="names",13,IF(J331="idioms",14,IF(J331="grades",15,IF(J331="syllable-digit pairs",16,IF(J331="trigram-word pairs",17,IF(J331="word-digit pairs",18,IF(J331="English-Swahili pairs",19,IF(J331="spatial position",20,IF(J331="word pairs",21,IF(J331="word triads",22,IF(J331="generated words",23,IF(J331="word definition pairs",24,IF(J331="math problems",25,IF(J331="famous faces",26,IF(J331="famous names",27,IF(J331="famous voices",28,IF(J331="television programs",29,IF(J331="race horses",30,IF(J331="new vocabulary",31,IF(J331="sentences",32,IF(J331="concepts",33,IF(J331="ad slides",34,IF(J331="scenes",35,IF(J331="famous scenes",36,IF(J331="poems",37,IF(J331="walk",38,IF(J331="faces and events",39,IF(J331="events and names",40,IF(J331="flashbulb",41,IF(J331="stories",42,IF(J331="course material",43,IF(J331="autobiographical",44,IF(J331="novels",45,IF(J331="public events",46,"99"))))))))))))))))))))))))))))))))))))))))))))))</f>
        <v>42</v>
      </c>
      <c r="L331" s="69">
        <f>IF(J331="syllables",1,IF(J331="trigrams",1,IF(J331="strings",1,IF(J331="visual array",1,IF(J331="characters",1,IF(J331="letters",1,IF(J331="free forms",1,IF(J331="odors",2,IF(J331="words",2,IF(J331="pictures",2,IF(J331="object pictures",2,IF(J331="faces",2,IF(J331="names",2,IF(J331="idioms","2",IF(J331="grades",2,IF(J331="syllable-digit pairs",3,IF(J331="trigram-word pairs",3,IF(J331="word-digit pairs",3,IF(J331="English-Swahili pairs",3,IF(J331="spatial position",3,IF(J331="word pairs",4,IF(J331="word triads",4,IF(J331="generated words",4,IF(J331="word definition pairs",4,IF(J331="math problems",4,IF(J331="famous faces",4,IF(J331="famous names",4,IF(J331="famous voices",4,IF(J331="television programs",4,IF(J331="race horses",4,IF(J331="new vocabulary",4,IF(J331="sentences",5,IF(J331="concepts",5,IF(J331="ad slides",5,IF(J331="scenes",5,IF(J331="famous scenes",5,IF(J331="poems",6,IF(J331="walk",6,IF(J331="faces and events",6,IF(J331="events and names",6,IF(J331="flashbulb",7,IF(J331="stories",7,IF(J331="course material",7,IF(J331="autobiographical",7,IF(J331="novels",7,IF(J331="public events",7,"99"))))))))))))))))))))))))))))))))))))))))))))))</f>
        <v>7</v>
      </c>
      <c r="M331" s="69">
        <v>0</v>
      </c>
      <c r="N331" s="69">
        <v>3</v>
      </c>
      <c r="O331" s="69">
        <v>0</v>
      </c>
      <c r="P331" s="69"/>
      <c r="Q331" s="69" t="s">
        <v>174</v>
      </c>
      <c r="R331" s="69">
        <f>IF(Q331="Free Recall",1,IF(Q331="Cued Recall",2,IF(Q331="Recognition",3,IF(Q331="Multiple Choice",4,IF(Q331="Savings",5,IF(Q331="Stem Completion",6,IF(Q331="Fragment Completion",7,IF(Q331="anagram solution",8,IF(Q331="Matching",9,IF(Q331="Problem Solving",10,"99"))))))))))</f>
        <v>1</v>
      </c>
      <c r="S331" s="69" t="s">
        <v>49</v>
      </c>
      <c r="T331" s="92" t="s">
        <v>581</v>
      </c>
      <c r="U331" s="69">
        <f>IF(T331="within",1,0)</f>
        <v>1</v>
      </c>
      <c r="V331" s="92">
        <f>4*88</f>
        <v>352</v>
      </c>
      <c r="W331" s="69">
        <f>F331*V331</f>
        <v>352</v>
      </c>
      <c r="X331" s="69">
        <v>4</v>
      </c>
      <c r="Y331" s="87">
        <f>AV330</f>
        <v>30</v>
      </c>
      <c r="Z331" s="69" t="s">
        <v>946</v>
      </c>
      <c r="AA331" s="69">
        <f>60*60*24*29</f>
        <v>2505600</v>
      </c>
      <c r="AB331" s="69" t="str">
        <f>IF(AA331&lt;60,"1",IF(AA331&lt;=43200,"2",IF(AA331&lt;=777600,"3","4")))</f>
        <v>4</v>
      </c>
      <c r="AC331" s="72">
        <f>AVERAGE(AV330:DA330)</f>
        <v>648907.5</v>
      </c>
      <c r="AD331" s="69" t="str">
        <f>IF(AC331&lt;60,"1",IF(AC331&lt;=43200,"2",IF(AC331&lt;=777600,"3","4")))</f>
        <v>3</v>
      </c>
      <c r="AE331" s="87">
        <f>AA331-Y331</f>
        <v>2505570</v>
      </c>
      <c r="AF331" s="88">
        <f>AV331</f>
        <v>0.46590909090909088</v>
      </c>
      <c r="AG331" s="72">
        <f>((AW331-AV331)+(AX331-AW331)+(AY331-AX331))/3</f>
        <v>-5.3030303030303018E-2</v>
      </c>
      <c r="AH331" s="4"/>
      <c r="AI331" s="72">
        <f>RSQ(AV331:AY331,AV330:AY330)</f>
        <v>0.93327136953288692</v>
      </c>
      <c r="AJ331" s="110">
        <f>SLOPE(AV331:AY331,AV330:AY330)</f>
        <v>-5.3859001190521297E-8</v>
      </c>
      <c r="AK331" s="72">
        <f>INTERCEPT(AV331:AY331,AV330:AY330)</f>
        <v>0.44119950981503819</v>
      </c>
      <c r="AL331" s="72">
        <f>INDEX(LINEST(LN(AV331:AY331),LN(AV330:AY330),TRUE,TRUE),3,1)</f>
        <v>0.7600377833057953</v>
      </c>
      <c r="AM331" s="72">
        <f>INDEX(LINEST(LN(AV331:AY331),LN(AV330:AY330)),1)</f>
        <v>-3.3316891270817953E-2</v>
      </c>
      <c r="AN331" s="72">
        <f>EXP(INDEX(LINEST(LN(AV331:AY331),LN(AV330:AY330)),1,2))</f>
        <v>0.5494021514980113</v>
      </c>
      <c r="AO331" s="89">
        <f>INDEX(LINEST((AV331:AY331),LN(AV330:AY330),TRUE,TRUE),3,1)</f>
        <v>0.79613359972921327</v>
      </c>
      <c r="AP331" s="89">
        <f>INDEX(LINEST((AV331:AY331),LN(AV330:AY330)),1)</f>
        <v>-1.2774532378379319E-2</v>
      </c>
      <c r="AQ331" s="90">
        <f>INDEX(LINEST(LN(AV331:AY331),SQRT(AV330:AY330),TRUE,TRUE),3,1)</f>
        <v>0.98076453103185279</v>
      </c>
      <c r="AR331" s="117">
        <f>INDEX(LINEST(LN(AV331:AY331),SQRT((AV330:AY330))),1)</f>
        <v>-2.4592299584868046E-4</v>
      </c>
      <c r="AS331" s="91">
        <f>INDEX(LINEST(1/(AV331:AY331),1/(SQRT(AV330:AY330)),TRUE,TRUE),3,1)</f>
        <v>0.30296306885831153</v>
      </c>
      <c r="AT331" s="91">
        <f>INDEX(LINEST(1/(AV331:AY331),1/SQRT(AV330:AY330)),1)</f>
        <v>-3.1186838733145614</v>
      </c>
      <c r="AU331" s="3"/>
      <c r="AV331" s="73">
        <f>41/88</f>
        <v>0.46590909090909088</v>
      </c>
      <c r="AW331" s="73">
        <f>38/88</f>
        <v>0.43181818181818182</v>
      </c>
      <c r="AX331" s="73">
        <f>37/88</f>
        <v>0.42045454545454547</v>
      </c>
      <c r="AY331" s="73">
        <f>27/88</f>
        <v>0.30681818181818182</v>
      </c>
      <c r="AZ331" s="53"/>
      <c r="BA331" s="53"/>
      <c r="BB331" s="53"/>
      <c r="BC331" s="53"/>
      <c r="BD331" s="53"/>
      <c r="BE331" s="53"/>
      <c r="BF331" s="53"/>
      <c r="BG331" s="53"/>
      <c r="BH331" s="53"/>
      <c r="BI331" s="53"/>
      <c r="BJ331" s="53"/>
      <c r="BK331" s="53"/>
      <c r="BL331" s="53"/>
      <c r="BM331" s="53"/>
      <c r="BN331" s="53"/>
      <c r="BO331" s="53"/>
      <c r="BP331" s="53"/>
      <c r="BQ331" s="53"/>
      <c r="BR331" s="53"/>
      <c r="BS331" s="53"/>
      <c r="BT331" s="53"/>
      <c r="BU331" s="53"/>
      <c r="BV331" s="53"/>
      <c r="BW331" s="53"/>
      <c r="BX331" s="53"/>
      <c r="BY331" s="53"/>
      <c r="BZ331" s="53"/>
      <c r="CA331" s="53"/>
      <c r="CB331" s="53"/>
      <c r="CC331" s="53"/>
      <c r="CD331" s="53"/>
      <c r="CE331" s="53"/>
      <c r="CF331" s="53"/>
      <c r="CG331" s="53"/>
      <c r="CH331" s="53"/>
      <c r="CI331" s="53"/>
      <c r="CJ331" s="53"/>
      <c r="CK331" s="53"/>
      <c r="CL331" s="53"/>
      <c r="CM331" s="53"/>
      <c r="CN331" s="53"/>
      <c r="CO331" s="53"/>
      <c r="CP331" s="53"/>
      <c r="CQ331" s="53"/>
      <c r="CR331" s="1"/>
      <c r="CS331" s="1"/>
      <c r="CT331" s="1"/>
      <c r="CU331" s="1"/>
    </row>
    <row r="332" spans="1:99" s="13" customFormat="1" ht="12" customHeight="1" x14ac:dyDescent="0.2">
      <c r="A332" s="68">
        <v>43977</v>
      </c>
      <c r="B332" s="70"/>
      <c r="C332" s="70"/>
      <c r="D332" s="69"/>
      <c r="E332" s="105"/>
      <c r="F332" s="69"/>
      <c r="G332" s="69"/>
      <c r="H332" s="69"/>
      <c r="I332" s="104"/>
      <c r="J332" s="69"/>
      <c r="K332" s="69"/>
      <c r="L332" s="69"/>
      <c r="M332" s="69"/>
      <c r="N332" s="69"/>
      <c r="O332" s="69"/>
      <c r="P332" s="69"/>
      <c r="Q332" s="69"/>
      <c r="R332" s="69"/>
      <c r="S332" s="69"/>
      <c r="T332" s="92"/>
      <c r="U332" s="69"/>
      <c r="V332" s="92"/>
      <c r="W332" s="69"/>
      <c r="X332" s="69"/>
      <c r="Y332" s="87"/>
      <c r="Z332" s="69"/>
      <c r="AA332" s="69"/>
      <c r="AB332" s="69"/>
      <c r="AC332" s="72"/>
      <c r="AD332" s="69"/>
      <c r="AE332" s="87"/>
      <c r="AF332" s="88"/>
      <c r="AG332" s="72"/>
      <c r="AH332" s="4"/>
      <c r="AI332" s="72"/>
      <c r="AJ332" s="110"/>
      <c r="AK332" s="72"/>
      <c r="AL332" s="72"/>
      <c r="AM332" s="72"/>
      <c r="AN332" s="72"/>
      <c r="AO332" s="89"/>
      <c r="AP332" s="89"/>
      <c r="AQ332" s="90"/>
      <c r="AR332" s="117"/>
      <c r="AS332" s="91"/>
      <c r="AT332" s="91"/>
      <c r="AU332" s="3"/>
      <c r="AV332" s="71">
        <v>30</v>
      </c>
      <c r="AW332" s="71">
        <f>60*60</f>
        <v>3600</v>
      </c>
      <c r="AX332" s="71">
        <f>24*60*60</f>
        <v>86400</v>
      </c>
      <c r="AY332" s="71">
        <f>24*60*60*29</f>
        <v>2505600</v>
      </c>
      <c r="AZ332" s="53"/>
      <c r="BA332" s="53"/>
      <c r="BB332" s="53"/>
      <c r="BC332" s="53"/>
      <c r="BD332" s="53"/>
      <c r="BE332" s="53"/>
      <c r="BF332" s="53"/>
      <c r="BG332" s="53"/>
      <c r="BH332" s="53"/>
      <c r="BI332" s="53"/>
      <c r="BJ332" s="53"/>
      <c r="BK332" s="53"/>
      <c r="BL332" s="53"/>
      <c r="BM332" s="53"/>
      <c r="BN332" s="53"/>
      <c r="BO332" s="53"/>
      <c r="BP332" s="53"/>
      <c r="BQ332" s="53"/>
      <c r="BR332" s="53"/>
      <c r="BS332" s="53"/>
      <c r="BT332" s="53"/>
      <c r="BU332" s="53"/>
      <c r="BV332" s="53"/>
      <c r="BW332" s="53"/>
      <c r="BX332" s="53"/>
      <c r="BY332" s="53"/>
      <c r="BZ332" s="53"/>
      <c r="CA332" s="53"/>
      <c r="CB332" s="53"/>
      <c r="CC332" s="53"/>
      <c r="CD332" s="53"/>
      <c r="CE332" s="53"/>
      <c r="CF332" s="53"/>
      <c r="CG332" s="53"/>
      <c r="CH332" s="53"/>
      <c r="CI332" s="53"/>
      <c r="CJ332" s="53"/>
      <c r="CK332" s="53"/>
      <c r="CL332" s="53"/>
      <c r="CM332" s="53"/>
      <c r="CN332" s="53"/>
      <c r="CO332" s="53"/>
      <c r="CP332" s="53"/>
      <c r="CQ332" s="53"/>
      <c r="CR332" s="1"/>
      <c r="CS332" s="1"/>
      <c r="CT332" s="1"/>
      <c r="CU332" s="1"/>
    </row>
    <row r="333" spans="1:99" s="13" customFormat="1" ht="12" customHeight="1" x14ac:dyDescent="0.2">
      <c r="A333" s="68">
        <v>43977</v>
      </c>
      <c r="B333" s="186" t="s">
        <v>944</v>
      </c>
      <c r="C333" s="70" t="s">
        <v>945</v>
      </c>
      <c r="D333" s="69">
        <v>2006</v>
      </c>
      <c r="E333" s="105">
        <v>1</v>
      </c>
      <c r="F333" s="69">
        <v>1</v>
      </c>
      <c r="G333" s="69">
        <v>1</v>
      </c>
      <c r="H333" s="69" t="s">
        <v>22</v>
      </c>
      <c r="I333" s="104" t="s">
        <v>479</v>
      </c>
      <c r="J333" s="69" t="s">
        <v>320</v>
      </c>
      <c r="K333" s="69">
        <f>IF(J333="syllables",1,IF(J333="trigrams",2,IF(J333="strings",3,IF(J333="visual array",4,IF(J333="characters",5,IF(J333="letters",6,IF(J333="free forms",7,IF(J333="odors",8,IF(J333="words",9,IF(J333="pictures",10,IF(J333="object pictures",11,IF(J333="faces",12,IF(J333="names",13,IF(J333="idioms",14,IF(J333="grades",15,IF(J333="syllable-digit pairs",16,IF(J333="trigram-word pairs",17,IF(J333="word-digit pairs",18,IF(J333="English-Swahili pairs",19,IF(J333="spatial position",20,IF(J333="word pairs",21,IF(J333="word triads",22,IF(J333="generated words",23,IF(J333="word definition pairs",24,IF(J333="math problems",25,IF(J333="famous faces",26,IF(J333="famous names",27,IF(J333="famous voices",28,IF(J333="television programs",29,IF(J333="race horses",30,IF(J333="new vocabulary",31,IF(J333="sentences",32,IF(J333="concepts",33,IF(J333="ad slides",34,IF(J333="scenes",35,IF(J333="famous scenes",36,IF(J333="poems",37,IF(J333="walk",38,IF(J333="faces and events",39,IF(J333="events and names",40,IF(J333="flashbulb",41,IF(J333="stories",42,IF(J333="course material",43,IF(J333="autobiographical",44,IF(J333="novels",45,IF(J333="public events",46,"99"))))))))))))))))))))))))))))))))))))))))))))))</f>
        <v>21</v>
      </c>
      <c r="L333" s="69">
        <f>IF(J333="syllables",1,IF(J333="trigrams",1,IF(J333="strings",1,IF(J333="visual array",1,IF(J333="characters",1,IF(J333="letters",1,IF(J333="free forms",1,IF(J333="odors",2,IF(J333="words",2,IF(J333="pictures",2,IF(J333="object pictures",2,IF(J333="faces",2,IF(J333="names",2,IF(J333="idioms","2",IF(J333="grades",2,IF(J333="syllable-digit pairs",3,IF(J333="trigram-word pairs",3,IF(J333="word-digit pairs",3,IF(J333="English-Swahili pairs",3,IF(J333="spatial position",3,IF(J333="word pairs",4,IF(J333="word triads",4,IF(J333="generated words",4,IF(J333="word definition pairs",4,IF(J333="math problems",4,IF(J333="famous faces",4,IF(J333="famous names",4,IF(J333="famous voices",4,IF(J333="television programs",4,IF(J333="race horses",4,IF(J333="new vocabulary",4,IF(J333="sentences",5,IF(J333="concepts",5,IF(J333="ad slides",5,IF(J333="scenes",5,IF(J333="famous scenes",5,IF(J333="poems",6,IF(J333="walk",6,IF(J333="faces and events",6,IF(J333="events and names",6,IF(J333="flashbulb",7,IF(J333="stories",7,IF(J333="course material",7,IF(J333="autobiographical",7,IF(J333="novels",7,IF(J333="public events",7,"99"))))))))))))))))))))))))))))))))))))))))))))))</f>
        <v>4</v>
      </c>
      <c r="M333" s="69">
        <v>1</v>
      </c>
      <c r="N333" s="69">
        <v>2</v>
      </c>
      <c r="O333" s="69">
        <v>0</v>
      </c>
      <c r="P333" s="69"/>
      <c r="Q333" s="69" t="s">
        <v>174</v>
      </c>
      <c r="R333" s="69">
        <f>IF(Q333="Free Recall",1,IF(Q333="Cued Recall",2,IF(Q333="Recognition",3,IF(Q333="Multiple Choice",4,IF(Q333="Savings",5,IF(Q333="Stem Completion",6,IF(Q333="Fragment Completion",7,IF(Q333="anagram solution",8,IF(Q333="Matching",9,IF(Q333="Problem Solving",10,"99"))))))))))</f>
        <v>1</v>
      </c>
      <c r="S333" s="69" t="s">
        <v>49</v>
      </c>
      <c r="T333" s="92" t="s">
        <v>581</v>
      </c>
      <c r="U333" s="69">
        <f>IF(T333="within",1,0)</f>
        <v>1</v>
      </c>
      <c r="V333" s="92">
        <f>12*4</f>
        <v>48</v>
      </c>
      <c r="W333" s="69">
        <f>F333*V333</f>
        <v>48</v>
      </c>
      <c r="X333" s="69">
        <v>4</v>
      </c>
      <c r="Y333" s="87">
        <f>AV332</f>
        <v>30</v>
      </c>
      <c r="Z333" s="69" t="s">
        <v>946</v>
      </c>
      <c r="AA333" s="69">
        <f>60*60*24*29</f>
        <v>2505600</v>
      </c>
      <c r="AB333" s="69" t="str">
        <f>IF(AA333&lt;60,"1",IF(AA333&lt;=43200,"2",IF(AA333&lt;=777600,"3","4")))</f>
        <v>4</v>
      </c>
      <c r="AC333" s="72">
        <f>AVERAGE(AV332:DA332)</f>
        <v>648907.5</v>
      </c>
      <c r="AD333" s="69" t="str">
        <f>IF(AC333&lt;60,"1",IF(AC333&lt;=43200,"2",IF(AC333&lt;=777600,"3","4")))</f>
        <v>3</v>
      </c>
      <c r="AE333" s="87">
        <f>AA333-Y333</f>
        <v>2505570</v>
      </c>
      <c r="AF333" s="88">
        <f>AV333</f>
        <v>0.83333333333333337</v>
      </c>
      <c r="AG333" s="72">
        <f>((AW333-AV333)+(AX333-AW333)+(AY333-AX333))/3</f>
        <v>-0.1388888888888889</v>
      </c>
      <c r="AH333" s="4"/>
      <c r="AI333" s="72">
        <f>RSQ(AV333:AY333,AV332:AY332)</f>
        <v>0.64883574846140468</v>
      </c>
      <c r="AJ333" s="110">
        <f>SLOPE(AV333:AY333,AV332:AY332)</f>
        <v>-1.4925949497226157E-7</v>
      </c>
      <c r="AK333" s="72">
        <f>INTERCEPT(AV333:AY333,AV332:AY332)</f>
        <v>0.78435560573371288</v>
      </c>
      <c r="AL333" s="72">
        <f>INDEX(LINEST(LN(AV333:AY333),LN(AV332:AY332),TRUE,TRUE),3,1)</f>
        <v>0.74368395690505773</v>
      </c>
      <c r="AM333" s="72">
        <f>INDEX(LINEST(LN(AV333:AY333),LN(AV332:AY332)),1)</f>
        <v>-6.4390400558397884E-2</v>
      </c>
      <c r="AN333" s="72">
        <f>EXP(INDEX(LINEST(LN(AV333:AY333),LN(AV332:AY332)),1,2))</f>
        <v>1.2041570317766304</v>
      </c>
      <c r="AO333" s="89">
        <f>INDEX(LINEST((AV333:AY333),LN(AV332:AY332),TRUE,TRUE),3,1)</f>
        <v>0.71222769740831315</v>
      </c>
      <c r="AP333" s="89">
        <f>INDEX(LINEST((AV333:AY333),LN(AV332:AY332)),1)</f>
        <v>-4.0158892130626421E-2</v>
      </c>
      <c r="AQ333" s="90">
        <f>INDEX(LINEST(LN(AV333:AY333),SQRT(AV332:AY332),TRUE,TRUE),3,1)</f>
        <v>0.83546669782696015</v>
      </c>
      <c r="AR333" s="117">
        <f>INDEX(LINEST(LN(AV333:AY333),SQRT((AV332:AY332))),1)</f>
        <v>-4.434670704666635E-4</v>
      </c>
      <c r="AS333" s="91">
        <f>INDEX(LINEST(1/(AV333:AY333),1/(SQRT(AV332:AY332)),TRUE,TRUE),3,1)</f>
        <v>0.26194925290612581</v>
      </c>
      <c r="AT333" s="91">
        <f>INDEX(LINEST(1/(AV333:AY333),1/SQRT(AV332:AY332)),1)</f>
        <v>-3.4724822930832469</v>
      </c>
      <c r="AU333" s="3"/>
      <c r="AV333" s="73">
        <f>10/12</f>
        <v>0.83333333333333337</v>
      </c>
      <c r="AW333" s="73">
        <f>11/12</f>
        <v>0.91666666666666663</v>
      </c>
      <c r="AX333" s="73">
        <f>7/12</f>
        <v>0.58333333333333337</v>
      </c>
      <c r="AY333" s="73">
        <f>5/12</f>
        <v>0.41666666666666669</v>
      </c>
      <c r="AZ333" s="53"/>
      <c r="BA333" s="53"/>
      <c r="BB333" s="53"/>
      <c r="BC333" s="53"/>
      <c r="BD333" s="53"/>
      <c r="BE333" s="53"/>
      <c r="BF333" s="53"/>
      <c r="BG333" s="53"/>
      <c r="BH333" s="53"/>
      <c r="BI333" s="53"/>
      <c r="BJ333" s="53"/>
      <c r="BK333" s="53"/>
      <c r="BL333" s="53"/>
      <c r="BM333" s="53"/>
      <c r="BN333" s="53"/>
      <c r="BO333" s="53"/>
      <c r="BP333" s="53"/>
      <c r="BQ333" s="53"/>
      <c r="BR333" s="53"/>
      <c r="BS333" s="53"/>
      <c r="BT333" s="53"/>
      <c r="BU333" s="53"/>
      <c r="BV333" s="53"/>
      <c r="BW333" s="53"/>
      <c r="BX333" s="53"/>
      <c r="BY333" s="53"/>
      <c r="BZ333" s="53"/>
      <c r="CA333" s="53"/>
      <c r="CB333" s="53"/>
      <c r="CC333" s="53"/>
      <c r="CD333" s="53"/>
      <c r="CE333" s="53"/>
      <c r="CF333" s="53"/>
      <c r="CG333" s="53"/>
      <c r="CH333" s="53"/>
      <c r="CI333" s="53"/>
      <c r="CJ333" s="53"/>
      <c r="CK333" s="53"/>
      <c r="CL333" s="53"/>
      <c r="CM333" s="53"/>
      <c r="CN333" s="53"/>
      <c r="CO333" s="53"/>
      <c r="CP333" s="53"/>
      <c r="CQ333" s="53"/>
      <c r="CR333" s="1"/>
      <c r="CS333" s="1"/>
      <c r="CT333" s="1"/>
      <c r="CU333" s="1"/>
    </row>
    <row r="334" spans="1:99" s="13" customFormat="1" ht="12" customHeight="1" x14ac:dyDescent="0.2">
      <c r="A334" s="68">
        <v>43977</v>
      </c>
      <c r="B334" s="70"/>
      <c r="C334" s="70"/>
      <c r="D334" s="69"/>
      <c r="E334" s="105"/>
      <c r="F334" s="69"/>
      <c r="G334" s="69"/>
      <c r="H334" s="69"/>
      <c r="I334" s="104"/>
      <c r="J334" s="69"/>
      <c r="K334" s="69"/>
      <c r="L334" s="69"/>
      <c r="M334" s="69"/>
      <c r="N334" s="69"/>
      <c r="O334" s="69"/>
      <c r="P334" s="69"/>
      <c r="Q334" s="69"/>
      <c r="R334" s="69"/>
      <c r="S334" s="69"/>
      <c r="T334" s="92"/>
      <c r="U334" s="69"/>
      <c r="V334" s="92"/>
      <c r="W334" s="69"/>
      <c r="X334" s="69"/>
      <c r="Y334" s="87"/>
      <c r="Z334" s="69"/>
      <c r="AA334" s="69"/>
      <c r="AB334" s="69"/>
      <c r="AC334" s="72"/>
      <c r="AD334" s="69"/>
      <c r="AE334" s="87"/>
      <c r="AF334" s="88"/>
      <c r="AG334" s="72"/>
      <c r="AH334" s="4"/>
      <c r="AI334" s="72"/>
      <c r="AJ334" s="110"/>
      <c r="AK334" s="72"/>
      <c r="AL334" s="72"/>
      <c r="AM334" s="72"/>
      <c r="AN334" s="72"/>
      <c r="AO334" s="89"/>
      <c r="AP334" s="89"/>
      <c r="AQ334" s="90"/>
      <c r="AR334" s="117"/>
      <c r="AS334" s="91"/>
      <c r="AT334" s="91"/>
      <c r="AU334" s="3"/>
      <c r="AV334" s="71">
        <v>30</v>
      </c>
      <c r="AW334" s="71">
        <f>60*60</f>
        <v>3600</v>
      </c>
      <c r="AX334" s="71">
        <f>24*60*60</f>
        <v>86400</v>
      </c>
      <c r="AY334" s="71">
        <f>24*60*60*29</f>
        <v>2505600</v>
      </c>
      <c r="AZ334" s="53"/>
      <c r="BA334" s="53"/>
      <c r="BB334" s="53"/>
      <c r="BC334" s="53"/>
      <c r="BD334" s="53"/>
      <c r="BE334" s="53"/>
      <c r="BF334" s="53"/>
      <c r="BG334" s="53"/>
      <c r="BH334" s="53"/>
      <c r="BI334" s="53"/>
      <c r="BJ334" s="53"/>
      <c r="BK334" s="53"/>
      <c r="BL334" s="53"/>
      <c r="BM334" s="53"/>
      <c r="BN334" s="53"/>
      <c r="BO334" s="53"/>
      <c r="BP334" s="53"/>
      <c r="BQ334" s="53"/>
      <c r="BR334" s="53"/>
      <c r="BS334" s="53"/>
      <c r="BT334" s="53"/>
      <c r="BU334" s="53"/>
      <c r="BV334" s="53"/>
      <c r="BW334" s="53"/>
      <c r="BX334" s="53"/>
      <c r="BY334" s="53"/>
      <c r="BZ334" s="53"/>
      <c r="CA334" s="53"/>
      <c r="CB334" s="53"/>
      <c r="CC334" s="53"/>
      <c r="CD334" s="53"/>
      <c r="CE334" s="53"/>
      <c r="CF334" s="53"/>
      <c r="CG334" s="53"/>
      <c r="CH334" s="53"/>
      <c r="CI334" s="53"/>
      <c r="CJ334" s="53"/>
      <c r="CK334" s="53"/>
      <c r="CL334" s="53"/>
      <c r="CM334" s="53"/>
      <c r="CN334" s="53"/>
      <c r="CO334" s="53"/>
      <c r="CP334" s="53"/>
      <c r="CQ334" s="53"/>
      <c r="CR334" s="1"/>
      <c r="CS334" s="1"/>
      <c r="CT334" s="1"/>
      <c r="CU334" s="1"/>
    </row>
    <row r="335" spans="1:99" s="13" customFormat="1" ht="12" customHeight="1" x14ac:dyDescent="0.2">
      <c r="A335" s="68">
        <v>43977</v>
      </c>
      <c r="B335" s="186" t="s">
        <v>944</v>
      </c>
      <c r="C335" s="70" t="s">
        <v>945</v>
      </c>
      <c r="D335" s="69">
        <v>2006</v>
      </c>
      <c r="E335" s="105">
        <v>1</v>
      </c>
      <c r="F335" s="69">
        <v>1</v>
      </c>
      <c r="G335" s="69">
        <v>1</v>
      </c>
      <c r="H335" s="69" t="s">
        <v>22</v>
      </c>
      <c r="I335" s="104" t="s">
        <v>479</v>
      </c>
      <c r="J335" s="69" t="s">
        <v>313</v>
      </c>
      <c r="K335" s="69">
        <f>IF(J335="syllables",1,IF(J335="trigrams",2,IF(J335="strings",3,IF(J335="visual array",4,IF(J335="characters",5,IF(J335="letters",6,IF(J335="free forms",7,IF(J335="odors",8,IF(J335="words",9,IF(J335="pictures",10,IF(J335="object pictures",11,IF(J335="faces",12,IF(J335="names",13,IF(J335="idioms",14,IF(J335="grades",15,IF(J335="syllable-digit pairs",16,IF(J335="trigram-word pairs",17,IF(J335="word-digit pairs",18,IF(J335="English-Swahili pairs",19,IF(J335="spatial position",20,IF(J335="word pairs",21,IF(J335="word triads",22,IF(J335="generated words",23,IF(J335="word definition pairs",24,IF(J335="math problems",25,IF(J335="famous faces",26,IF(J335="famous names",27,IF(J335="famous voices",28,IF(J335="television programs",29,IF(J335="race horses",30,IF(J335="new vocabulary",31,IF(J335="sentences",32,IF(J335="concepts",33,IF(J335="ad slides",34,IF(J335="scenes",35,IF(J335="famous scenes",36,IF(J335="poems",37,IF(J335="walk",38,IF(J335="faces and events",39,IF(J335="events and names",40,IF(J335="flashbulb",41,IF(J335="stories",42,IF(J335="course material",43,IF(J335="autobiographical",44,IF(J335="novels",45,IF(J335="public events",46,"99"))))))))))))))))))))))))))))))))))))))))))))))</f>
        <v>10</v>
      </c>
      <c r="L335" s="69">
        <f>IF(J335="syllables",1,IF(J335="trigrams",1,IF(J335="strings",1,IF(J335="visual array",1,IF(J335="characters",1,IF(J335="letters",1,IF(J335="free forms",1,IF(J335="odors",2,IF(J335="words",2,IF(J335="pictures",2,IF(J335="object pictures",2,IF(J335="faces",2,IF(J335="names",2,IF(J335="idioms","2",IF(J335="grades",2,IF(J335="syllable-digit pairs",3,IF(J335="trigram-word pairs",3,IF(J335="word-digit pairs",3,IF(J335="English-Swahili pairs",3,IF(J335="spatial position",3,IF(J335="word pairs",4,IF(J335="word triads",4,IF(J335="generated words",4,IF(J335="word definition pairs",4,IF(J335="math problems",4,IF(J335="famous faces",4,IF(J335="famous names",4,IF(J335="famous voices",4,IF(J335="television programs",4,IF(J335="race horses",4,IF(J335="new vocabulary",4,IF(J335="sentences",5,IF(J335="concepts",5,IF(J335="ad slides",5,IF(J335="scenes",5,IF(J335="famous scenes",5,IF(J335="poems",6,IF(J335="walk",6,IF(J335="faces and events",6,IF(J335="events and names",6,IF(J335="flashbulb",7,IF(J335="stories",7,IF(J335="course material",7,IF(J335="autobiographical",7,IF(J335="novels",7,IF(J335="public events",7,"99"))))))))))))))))))))))))))))))))))))))))))))))</f>
        <v>2</v>
      </c>
      <c r="M335" s="69">
        <v>1</v>
      </c>
      <c r="N335" s="69">
        <v>2</v>
      </c>
      <c r="O335" s="69">
        <v>0</v>
      </c>
      <c r="P335" s="69"/>
      <c r="Q335" s="69" t="s">
        <v>174</v>
      </c>
      <c r="R335" s="69">
        <f>IF(Q335="Free Recall",1,IF(Q335="Cued Recall",2,IF(Q335="Recognition",3,IF(Q335="Multiple Choice",4,IF(Q335="Savings",5,IF(Q335="Stem Completion",6,IF(Q335="Fragment Completion",7,IF(Q335="anagram solution",8,IF(Q335="Matching",9,IF(Q335="Problem Solving",10,"99"))))))))))</f>
        <v>1</v>
      </c>
      <c r="S335" s="69" t="s">
        <v>49</v>
      </c>
      <c r="T335" s="92" t="s">
        <v>581</v>
      </c>
      <c r="U335" s="69">
        <f>IF(T335="within",1,0)</f>
        <v>1</v>
      </c>
      <c r="V335" s="92">
        <v>60</v>
      </c>
      <c r="W335" s="69">
        <f>F335*V335</f>
        <v>60</v>
      </c>
      <c r="X335" s="69">
        <v>4</v>
      </c>
      <c r="Y335" s="87">
        <f>AV334</f>
        <v>30</v>
      </c>
      <c r="Z335" s="69" t="s">
        <v>946</v>
      </c>
      <c r="AA335" s="69">
        <f>60*60*24*29</f>
        <v>2505600</v>
      </c>
      <c r="AB335" s="69" t="str">
        <f>IF(AA335&lt;60,"1",IF(AA335&lt;=43200,"2",IF(AA335&lt;=777600,"3","4")))</f>
        <v>4</v>
      </c>
      <c r="AC335" s="72">
        <f>AVERAGE(AV334:DA334)</f>
        <v>648907.5</v>
      </c>
      <c r="AD335" s="69" t="str">
        <f>IF(AC335&lt;60,"1",IF(AC335&lt;=43200,"2",IF(AC335&lt;=777600,"3","4")))</f>
        <v>3</v>
      </c>
      <c r="AE335" s="87">
        <f>AA335-Y335</f>
        <v>2505570</v>
      </c>
      <c r="AF335" s="88">
        <f>AV335</f>
        <v>1</v>
      </c>
      <c r="AG335" s="72">
        <f>((AW335-AV335)+(AX335-AW335)+(AY335-AX335))/3</f>
        <v>-1.1111111111111108E-2</v>
      </c>
      <c r="AH335" s="4"/>
      <c r="AI335" s="72">
        <f>RSQ(AV335:AY335,AV334:AY334)</f>
        <v>0.36401810181206101</v>
      </c>
      <c r="AJ335" s="110">
        <f>SLOPE(AV335:AY335,AV334:AY334)</f>
        <v>-9.3757358701180268E-9</v>
      </c>
      <c r="AK335" s="72">
        <f>INTERCEPT(AV335:AY335,AV334:AY334)</f>
        <v>0.98941731865747196</v>
      </c>
      <c r="AL335" s="72">
        <f>INDEX(LINEST(LN(AV335:AY335),LN(AV334:AY334),TRUE,TRUE),3,1)</f>
        <v>0.75449106483023543</v>
      </c>
      <c r="AM335" s="72">
        <f>INDEX(LINEST(LN(AV335:AY335),LN(AV334:AY334)),1)</f>
        <v>-3.5254086548973502E-3</v>
      </c>
      <c r="AN335" s="72">
        <f>EXP(INDEX(LINEST(LN(AV335:AY335),LN(AV334:AY334)),1,2))</f>
        <v>1.0164010201701679</v>
      </c>
      <c r="AO335" s="89">
        <f>INDEX(LINEST((AV335:AY335),LN(AV334:AY334),TRUE,TRUE),3,1)</f>
        <v>0.75449106483023543</v>
      </c>
      <c r="AP335" s="89">
        <f>INDEX(LINEST((AV335:AY335),LN(AV334:AY334)),1)</f>
        <v>-3.4663198591646733E-3</v>
      </c>
      <c r="AQ335" s="90">
        <f>INDEX(LINEST(LN(AV335:AY335),SQRT(AV334:AY334),TRUE,TRUE),3,1)</f>
        <v>0.49638645568808132</v>
      </c>
      <c r="AR335" s="117">
        <f>INDEX(LINEST(LN(AV335:AY335),SQRT((AV334:AY334))),1)</f>
        <v>-1.8580708167388359E-5</v>
      </c>
      <c r="AS335" s="91">
        <f>INDEX(LINEST(1/(AV335:AY335),1/(SQRT(AV334:AY334)),TRUE,TRUE),3,1)</f>
        <v>0.40898435719290099</v>
      </c>
      <c r="AT335" s="91">
        <f>INDEX(LINEST(1/(AV335:AY335),1/SQRT(AV334:AY334)),1)</f>
        <v>-0.14449180958543617</v>
      </c>
      <c r="AU335" s="3"/>
      <c r="AV335" s="73">
        <f>15/15</f>
        <v>1</v>
      </c>
      <c r="AW335" s="73">
        <f>15/15</f>
        <v>1</v>
      </c>
      <c r="AX335" s="73">
        <f>14.5/15</f>
        <v>0.96666666666666667</v>
      </c>
      <c r="AY335" s="73">
        <f>14.5/15</f>
        <v>0.96666666666666667</v>
      </c>
      <c r="AZ335" s="53"/>
      <c r="BA335" s="53"/>
      <c r="BB335" s="53"/>
      <c r="BC335" s="53"/>
      <c r="BD335" s="53"/>
      <c r="BE335" s="53"/>
      <c r="BF335" s="53"/>
      <c r="BG335" s="53"/>
      <c r="BH335" s="53"/>
      <c r="BI335" s="53"/>
      <c r="BJ335" s="53"/>
      <c r="BK335" s="53"/>
      <c r="BL335" s="53"/>
      <c r="BM335" s="53"/>
      <c r="BN335" s="53"/>
      <c r="BO335" s="53"/>
      <c r="BP335" s="53"/>
      <c r="BQ335" s="53"/>
      <c r="BR335" s="53"/>
      <c r="BS335" s="53"/>
      <c r="BT335" s="53"/>
      <c r="BU335" s="53"/>
      <c r="BV335" s="53"/>
      <c r="BW335" s="53"/>
      <c r="BX335" s="53"/>
      <c r="BY335" s="53"/>
      <c r="BZ335" s="53"/>
      <c r="CA335" s="53"/>
      <c r="CB335" s="53"/>
      <c r="CC335" s="53"/>
      <c r="CD335" s="53"/>
      <c r="CE335" s="53"/>
      <c r="CF335" s="53"/>
      <c r="CG335" s="53"/>
      <c r="CH335" s="53"/>
      <c r="CI335" s="53"/>
      <c r="CJ335" s="53"/>
      <c r="CK335" s="53"/>
      <c r="CL335" s="53"/>
      <c r="CM335" s="53"/>
      <c r="CN335" s="53"/>
      <c r="CO335" s="53"/>
      <c r="CP335" s="53"/>
      <c r="CQ335" s="53"/>
      <c r="CR335" s="1"/>
      <c r="CS335" s="1"/>
      <c r="CT335" s="1"/>
      <c r="CU335" s="1"/>
    </row>
    <row r="336" spans="1:99" s="13" customFormat="1" ht="12" customHeight="1" x14ac:dyDescent="0.2">
      <c r="A336" s="68">
        <v>43977</v>
      </c>
      <c r="B336" s="70"/>
      <c r="C336" s="70"/>
      <c r="D336" s="69"/>
      <c r="E336" s="105"/>
      <c r="F336" s="69"/>
      <c r="G336" s="69"/>
      <c r="H336" s="69"/>
      <c r="I336" s="104"/>
      <c r="J336" s="69"/>
      <c r="K336" s="69"/>
      <c r="L336" s="69"/>
      <c r="M336" s="69"/>
      <c r="N336" s="69"/>
      <c r="O336" s="69"/>
      <c r="P336" s="69"/>
      <c r="Q336" s="69"/>
      <c r="R336" s="69"/>
      <c r="S336" s="69"/>
      <c r="T336" s="92"/>
      <c r="U336" s="69"/>
      <c r="V336" s="92"/>
      <c r="W336" s="69"/>
      <c r="X336" s="69"/>
      <c r="Y336" s="87"/>
      <c r="Z336" s="69"/>
      <c r="AA336" s="69"/>
      <c r="AB336" s="69"/>
      <c r="AC336" s="72"/>
      <c r="AD336" s="69"/>
      <c r="AE336" s="87"/>
      <c r="AF336" s="88"/>
      <c r="AG336" s="72"/>
      <c r="AH336" s="4"/>
      <c r="AI336" s="72"/>
      <c r="AJ336" s="110"/>
      <c r="AK336" s="72"/>
      <c r="AL336" s="72"/>
      <c r="AM336" s="72"/>
      <c r="AN336" s="72"/>
      <c r="AO336" s="89"/>
      <c r="AP336" s="89"/>
      <c r="AQ336" s="90"/>
      <c r="AR336" s="117"/>
      <c r="AS336" s="91"/>
      <c r="AT336" s="91"/>
      <c r="AU336" s="3"/>
      <c r="AV336" s="71">
        <v>30</v>
      </c>
      <c r="AW336" s="71">
        <f>60*60</f>
        <v>3600</v>
      </c>
      <c r="AX336" s="71">
        <f>24*60*60</f>
        <v>86400</v>
      </c>
      <c r="AY336" s="71">
        <f>24*60*60*29</f>
        <v>2505600</v>
      </c>
      <c r="AZ336" s="53"/>
      <c r="BA336" s="53"/>
      <c r="BB336" s="53"/>
      <c r="BC336" s="53"/>
      <c r="BD336" s="53"/>
      <c r="BE336" s="53"/>
      <c r="BF336" s="53"/>
      <c r="BG336" s="53"/>
      <c r="BH336" s="53"/>
      <c r="BI336" s="53"/>
      <c r="BJ336" s="53"/>
      <c r="BK336" s="53"/>
      <c r="BL336" s="53"/>
      <c r="BM336" s="53"/>
      <c r="BN336" s="53"/>
      <c r="BO336" s="53"/>
      <c r="BP336" s="53"/>
      <c r="BQ336" s="53"/>
      <c r="BR336" s="53"/>
      <c r="BS336" s="53"/>
      <c r="BT336" s="53"/>
      <c r="BU336" s="53"/>
      <c r="BV336" s="53"/>
      <c r="BW336" s="53"/>
      <c r="BX336" s="53"/>
      <c r="BY336" s="53"/>
      <c r="BZ336" s="53"/>
      <c r="CA336" s="53"/>
      <c r="CB336" s="53"/>
      <c r="CC336" s="53"/>
      <c r="CD336" s="53"/>
      <c r="CE336" s="53"/>
      <c r="CF336" s="53"/>
      <c r="CG336" s="53"/>
      <c r="CH336" s="53"/>
      <c r="CI336" s="53"/>
      <c r="CJ336" s="53"/>
      <c r="CK336" s="53"/>
      <c r="CL336" s="53"/>
      <c r="CM336" s="53"/>
      <c r="CN336" s="53"/>
      <c r="CO336" s="53"/>
      <c r="CP336" s="53"/>
      <c r="CQ336" s="53"/>
      <c r="CR336" s="1"/>
      <c r="CS336" s="1"/>
      <c r="CT336" s="1"/>
      <c r="CU336" s="1"/>
    </row>
    <row r="337" spans="1:99" s="13" customFormat="1" ht="12" customHeight="1" x14ac:dyDescent="0.2">
      <c r="A337" s="68">
        <v>43977</v>
      </c>
      <c r="B337" s="186" t="s">
        <v>944</v>
      </c>
      <c r="C337" s="70" t="s">
        <v>945</v>
      </c>
      <c r="D337" s="69">
        <v>2006</v>
      </c>
      <c r="E337" s="105">
        <v>1</v>
      </c>
      <c r="F337" s="69">
        <v>1</v>
      </c>
      <c r="G337" s="69">
        <v>1</v>
      </c>
      <c r="H337" s="69" t="s">
        <v>22</v>
      </c>
      <c r="I337" s="104" t="s">
        <v>479</v>
      </c>
      <c r="J337" s="69" t="s">
        <v>686</v>
      </c>
      <c r="K337" s="69">
        <f>IF(J337="syllables",1,IF(J337="trigrams",2,IF(J337="strings",3,IF(J337="visual array",4,IF(J337="characters",5,IF(J337="letters",6,IF(J337="free forms",7,IF(J337="odors",8,IF(J337="words",9,IF(J337="pictures",10,IF(J337="object pictures",11,IF(J337="faces",12,IF(J337="names",13,IF(J337="idioms",14,IF(J337="grades",15,IF(J337="syllable-digit pairs",16,IF(J337="trigram-word pairs",17,IF(J337="word-digit pairs",18,IF(J337="English-Swahili pairs",19,IF(J337="spatial position",20,IF(J337="word pairs",21,IF(J337="word triads",22,IF(J337="generated words",23,IF(J337="word definition pairs",24,IF(J337="math problems",25,IF(J337="famous faces",26,IF(J337="famous names",27,IF(J337="famous voices",28,IF(J337="television programs",29,IF(J337="race horses",30,IF(J337="new vocabulary",31,IF(J337="sentences",32,IF(J337="concepts",33,IF(J337="ad slides",34,IF(J337="scenes",35,IF(J337="famous scenes",36,IF(J337="poems",37,IF(J337="walk",38,IF(J337="faces and events",39,IF(J337="events and names",40,IF(J337="flashbulb",41,IF(J337="stories",42,IF(J337="course material",43,IF(J337="autobiographical",44,IF(J337="novels",45,IF(J337="public events",46,"99"))))))))))))))))))))))))))))))))))))))))))))))</f>
        <v>35</v>
      </c>
      <c r="L337" s="69">
        <f>IF(J337="syllables",1,IF(J337="trigrams",1,IF(J337="strings",1,IF(J337="visual array",1,IF(J337="characters",1,IF(J337="letters",1,IF(J337="free forms",1,IF(J337="odors",2,IF(J337="words",2,IF(J337="pictures",2,IF(J337="object pictures",2,IF(J337="faces",2,IF(J337="names",2,IF(J337="idioms","2",IF(J337="grades",2,IF(J337="syllable-digit pairs",3,IF(J337="trigram-word pairs",3,IF(J337="word-digit pairs",3,IF(J337="English-Swahili pairs",3,IF(J337="spatial position",3,IF(J337="word pairs",4,IF(J337="word triads",4,IF(J337="generated words",4,IF(J337="word definition pairs",4,IF(J337="math problems",4,IF(J337="famous faces",4,IF(J337="famous names",4,IF(J337="famous voices",4,IF(J337="television programs",4,IF(J337="race horses",4,IF(J337="new vocabulary",4,IF(J337="sentences",5,IF(J337="concepts",5,IF(J337="ad slides",5,IF(J337="scenes",5,IF(J337="famous scenes",5,IF(J337="poems",6,IF(J337="walk",6,IF(J337="faces and events",6,IF(J337="events and names",6,IF(J337="flashbulb",7,IF(J337="stories",7,IF(J337="course material",7,IF(J337="autobiographical",7,IF(J337="novels",7,IF(J337="public events",7,"99"))))))))))))))))))))))))))))))))))))))))))))))</f>
        <v>5</v>
      </c>
      <c r="M337" s="69">
        <v>0</v>
      </c>
      <c r="N337" s="69">
        <v>4</v>
      </c>
      <c r="O337" s="69">
        <v>0</v>
      </c>
      <c r="P337" s="69"/>
      <c r="Q337" s="69" t="s">
        <v>174</v>
      </c>
      <c r="R337" s="69">
        <f>IF(Q337="Free Recall",1,IF(Q337="Cued Recall",2,IF(Q337="Recognition",3,IF(Q337="Multiple Choice",4,IF(Q337="Savings",5,IF(Q337="Stem Completion",6,IF(Q337="Fragment Completion",7,IF(Q337="anagram solution",8,IF(Q337="Matching",9,IF(Q337="Problem Solving",10,"99"))))))))))</f>
        <v>1</v>
      </c>
      <c r="S337" s="69" t="s">
        <v>49</v>
      </c>
      <c r="T337" s="92" t="s">
        <v>581</v>
      </c>
      <c r="U337" s="69">
        <f>IF(T337="within",1,0)</f>
        <v>1</v>
      </c>
      <c r="V337" s="92">
        <f>36*4</f>
        <v>144</v>
      </c>
      <c r="W337" s="69">
        <f>F337*V337</f>
        <v>144</v>
      </c>
      <c r="X337" s="69">
        <v>4</v>
      </c>
      <c r="Y337" s="87">
        <f>AV336</f>
        <v>30</v>
      </c>
      <c r="Z337" s="69" t="s">
        <v>946</v>
      </c>
      <c r="AA337" s="69">
        <f>60*60*24*29</f>
        <v>2505600</v>
      </c>
      <c r="AB337" s="69" t="str">
        <f>IF(AA337&lt;60,"1",IF(AA337&lt;=43200,"2",IF(AA337&lt;=777600,"3","4")))</f>
        <v>4</v>
      </c>
      <c r="AC337" s="72">
        <f>AVERAGE(AV336:DA336)</f>
        <v>648907.5</v>
      </c>
      <c r="AD337" s="69" t="str">
        <f>IF(AC337&lt;60,"1",IF(AC337&lt;=43200,"2",IF(AC337&lt;=777600,"3","4")))</f>
        <v>3</v>
      </c>
      <c r="AE337" s="87">
        <f>AA337-Y337</f>
        <v>2505570</v>
      </c>
      <c r="AF337" s="88">
        <f>AV337</f>
        <v>1</v>
      </c>
      <c r="AG337" s="72">
        <f>((AW337-AV337)+(AX337-AW337)+(AY337-AX337))/3</f>
        <v>-6.4814814814814811E-2</v>
      </c>
      <c r="AH337" s="4"/>
      <c r="AI337" s="72">
        <f>RSQ(AV337:AY337,AV336:AY336)</f>
        <v>0.82522467796516141</v>
      </c>
      <c r="AJ337" s="110">
        <f>SLOPE(AV337:AY337,AV336:AY336)</f>
        <v>-5.9983997515337444E-8</v>
      </c>
      <c r="AK337" s="72">
        <f>INTERCEPT(AV337:AY337,AV336:AY336)</f>
        <v>0.95559073253435034</v>
      </c>
      <c r="AL337" s="72">
        <f>INDEX(LINEST(LN(AV337:AY337),LN(AV336:AY336),TRUE,TRUE),3,1)</f>
        <v>0.75746038413427619</v>
      </c>
      <c r="AM337" s="72">
        <f>INDEX(LINEST(LN(AV337:AY337),LN(AV336:AY336)),1)</f>
        <v>-1.6513926157402267E-2</v>
      </c>
      <c r="AN337" s="72">
        <f>EXP(INDEX(LINEST(LN(AV337:AY337),LN(AV336:AY336)),1,2))</f>
        <v>1.0677002146409713</v>
      </c>
      <c r="AO337" s="89">
        <f>INDEX(LINEST((AV337:AY337),LN(AV336:AY336),TRUE,TRUE),3,1)</f>
        <v>0.76966434259419469</v>
      </c>
      <c r="AP337" s="89">
        <f>INDEX(LINEST((AV337:AY337),LN(AV336:AY336)),1)</f>
        <v>-1.4876394825228215E-2</v>
      </c>
      <c r="AQ337" s="90">
        <f>INDEX(LINEST(LN(AV337:AY337),SQRT(AV336:AY336),TRUE,TRUE),3,1)</f>
        <v>0.86312654260682742</v>
      </c>
      <c r="AR337" s="117">
        <f>INDEX(LINEST(LN(AV337:AY337),SQRT((AV336:AY336))),1)</f>
        <v>-1.145453589139479E-4</v>
      </c>
      <c r="AS337" s="91">
        <f>INDEX(LINEST(1/(AV337:AY337),1/(SQRT(AV336:AY336)),TRUE,TRUE),3,1)</f>
        <v>0.43854270485234204</v>
      </c>
      <c r="AT337" s="91">
        <f>INDEX(LINEST(1/(AV337:AY337),1/SQRT(AV336:AY336)),1)</f>
        <v>-0.77311089558407664</v>
      </c>
      <c r="AU337" s="3"/>
      <c r="AV337" s="73">
        <v>1</v>
      </c>
      <c r="AW337" s="73">
        <f>33/36</f>
        <v>0.91666666666666663</v>
      </c>
      <c r="AX337" s="73">
        <f>34/36</f>
        <v>0.94444444444444442</v>
      </c>
      <c r="AY337" s="73">
        <f>29/36</f>
        <v>0.80555555555555558</v>
      </c>
      <c r="AZ337" s="53"/>
      <c r="BA337" s="53"/>
      <c r="BB337" s="53"/>
      <c r="BC337" s="53"/>
      <c r="BD337" s="53"/>
      <c r="BE337" s="53"/>
      <c r="BF337" s="53"/>
      <c r="BG337" s="53"/>
      <c r="BH337" s="53"/>
      <c r="BI337" s="53"/>
      <c r="BJ337" s="53"/>
      <c r="BK337" s="53"/>
      <c r="BL337" s="53"/>
      <c r="BM337" s="53"/>
      <c r="BN337" s="53"/>
      <c r="BO337" s="53"/>
      <c r="BP337" s="53"/>
      <c r="BQ337" s="53"/>
      <c r="BR337" s="53"/>
      <c r="BS337" s="53"/>
      <c r="BT337" s="53"/>
      <c r="BU337" s="53"/>
      <c r="BV337" s="53"/>
      <c r="BW337" s="53"/>
      <c r="BX337" s="53"/>
      <c r="BY337" s="53"/>
      <c r="BZ337" s="53"/>
      <c r="CA337" s="53"/>
      <c r="CB337" s="53"/>
      <c r="CC337" s="53"/>
      <c r="CD337" s="53"/>
      <c r="CE337" s="53"/>
      <c r="CF337" s="53"/>
      <c r="CG337" s="53"/>
      <c r="CH337" s="53"/>
      <c r="CI337" s="53"/>
      <c r="CJ337" s="53"/>
      <c r="CK337" s="53"/>
      <c r="CL337" s="53"/>
      <c r="CM337" s="53"/>
      <c r="CN337" s="53"/>
      <c r="CO337" s="53"/>
      <c r="CP337" s="53"/>
      <c r="CQ337" s="53"/>
      <c r="CR337" s="1"/>
      <c r="CS337" s="1"/>
      <c r="CT337" s="1"/>
      <c r="CU337" s="1"/>
    </row>
    <row r="338" spans="1:99" s="13" customFormat="1" ht="12" customHeight="1" x14ac:dyDescent="0.2">
      <c r="A338" s="65">
        <v>43899</v>
      </c>
      <c r="B338" s="1"/>
      <c r="C338" s="1"/>
      <c r="D338" s="60"/>
      <c r="E338" s="76"/>
      <c r="F338" s="60"/>
      <c r="G338" s="60"/>
      <c r="H338" s="60"/>
      <c r="I338" s="74"/>
      <c r="J338" s="60"/>
      <c r="K338" s="64"/>
      <c r="L338" s="64"/>
      <c r="M338" s="60"/>
      <c r="N338" s="61"/>
      <c r="O338" s="60"/>
      <c r="P338" s="60"/>
      <c r="Q338" s="60"/>
      <c r="R338" s="60"/>
      <c r="S338" s="60"/>
      <c r="T338" s="60"/>
      <c r="U338" s="60"/>
      <c r="V338" s="60"/>
      <c r="W338" s="60"/>
      <c r="X338" s="60"/>
      <c r="Y338" s="76"/>
      <c r="Z338" s="60"/>
      <c r="AA338" s="60"/>
      <c r="AB338" s="60"/>
      <c r="AC338" s="56"/>
      <c r="AD338" s="60"/>
      <c r="AE338" s="60"/>
      <c r="AF338" s="80"/>
      <c r="AG338" s="56"/>
      <c r="AH338" s="4"/>
      <c r="AI338" s="56"/>
      <c r="AJ338" s="109"/>
      <c r="AK338" s="56"/>
      <c r="AL338" s="56"/>
      <c r="AM338" s="56"/>
      <c r="AN338" s="56"/>
      <c r="AO338" s="82"/>
      <c r="AP338" s="82"/>
      <c r="AQ338" s="83"/>
      <c r="AR338" s="116"/>
      <c r="AS338" s="84"/>
      <c r="AT338" s="84"/>
      <c r="AU338" s="3"/>
      <c r="AV338" s="25">
        <v>3600</v>
      </c>
      <c r="AW338" s="25">
        <v>172800</v>
      </c>
      <c r="AX338" s="25">
        <v>604800</v>
      </c>
      <c r="AY338" s="53"/>
      <c r="AZ338" s="53"/>
      <c r="BA338" s="53"/>
      <c r="BB338" s="53"/>
      <c r="BC338" s="53"/>
      <c r="BD338" s="53"/>
      <c r="BE338" s="53"/>
      <c r="BF338" s="53"/>
      <c r="BG338" s="53"/>
      <c r="BH338" s="53"/>
      <c r="BI338" s="53"/>
      <c r="BJ338" s="53"/>
      <c r="BK338" s="53"/>
      <c r="BL338" s="53"/>
      <c r="BM338" s="53"/>
      <c r="BN338" s="53"/>
      <c r="BO338" s="53"/>
      <c r="BP338" s="53"/>
      <c r="BQ338" s="53"/>
      <c r="BR338" s="53"/>
      <c r="BS338" s="53"/>
      <c r="BT338" s="53"/>
      <c r="BU338" s="53"/>
      <c r="BV338" s="53"/>
      <c r="BW338" s="53"/>
      <c r="BX338" s="53"/>
      <c r="BY338" s="53"/>
      <c r="BZ338" s="53"/>
      <c r="CA338" s="53"/>
      <c r="CB338" s="53"/>
      <c r="CC338" s="53"/>
      <c r="CD338" s="53"/>
      <c r="CE338" s="53"/>
      <c r="CF338" s="53"/>
      <c r="CG338" s="53"/>
      <c r="CH338" s="53"/>
      <c r="CI338" s="53"/>
      <c r="CJ338" s="53"/>
      <c r="CK338" s="53"/>
      <c r="CL338" s="53"/>
      <c r="CM338" s="53"/>
      <c r="CN338" s="53"/>
      <c r="CO338" s="53"/>
      <c r="CP338" s="53"/>
      <c r="CQ338" s="53"/>
      <c r="CR338" s="1"/>
      <c r="CS338" s="1"/>
      <c r="CT338" s="1"/>
      <c r="CU338" s="1"/>
    </row>
    <row r="339" spans="1:99" s="13" customFormat="1" ht="12" customHeight="1" x14ac:dyDescent="0.25">
      <c r="A339" s="65">
        <v>43899</v>
      </c>
      <c r="B339" s="1" t="s">
        <v>378</v>
      </c>
      <c r="C339" s="1" t="s">
        <v>107</v>
      </c>
      <c r="D339" s="60">
        <v>1994</v>
      </c>
      <c r="E339" s="75">
        <v>1</v>
      </c>
      <c r="F339" s="60">
        <v>36</v>
      </c>
      <c r="G339" s="60">
        <v>12</v>
      </c>
      <c r="H339" s="60" t="s">
        <v>38</v>
      </c>
      <c r="I339" s="74" t="s">
        <v>379</v>
      </c>
      <c r="J339" s="60" t="s">
        <v>61</v>
      </c>
      <c r="K339" s="60">
        <f>IF(J339="syllables",1,IF(J339="trigrams",2,IF(J339="strings",3,IF(J339="visual array",4,IF(J339="characters",5,IF(J339="letters",6,IF(J339="free forms",7,IF(J339="odors",8,IF(J339="words",9,IF(J339="pictures",10,IF(J339="object pictures",11,IF(J339="faces",12,IF(J339="names",13,IF(J339="idioms",14,IF(J339="grades",15,IF(J339="syllable-digit pairs",16,IF(J339="trigram-word pairs",17,IF(J339="word-digit pairs",18,IF(J339="English-Swahili pairs",19,IF(J339="spatial position",20,IF(J339="word pairs",21,IF(J339="word triads",22,IF(J339="generated words",23,IF(J339="word definition pairs",24,IF(J339="math problems",25,IF(J339="famous faces",26,IF(J339="famous names",27,IF(J339="famous voices",28,IF(J339="television programs",29,IF(J339="race horses",30,IF(J339="new vocabulary",31,IF(J339="sentences",32,IF(J339="concepts",33,IF(J339="ad slides",34,IF(J339="scenes",35,IF(J339="famous scenes",36,IF(J339="poems",37,IF(J339="walk",38,IF(J339="faces and events",39,IF(J339="events and names",40,IF(J339="flashbulb",41,IF(J339="stories",42,IF(J339="course material",43,IF(J339="autobiographical",44,IF(J339="novels",45,IF(J339="public events",46,"99"))))))))))))))))))))))))))))))))))))))))))))))</f>
        <v>42</v>
      </c>
      <c r="L339" s="60">
        <f>IF(J339="syllables",1,IF(J339="trigrams",1,IF(J339="strings",1,IF(J339="visual array",1,IF(J339="characters",1,IF(J339="letters",1,IF(J339="free forms",1,IF(J339="odors",2,IF(J339="words",2,IF(J339="pictures",2,IF(J339="object pictures",2,IF(J339="faces",2,IF(J339="names",2,IF(J339="idioms","2",IF(J339="grades",2,IF(J339="syllable-digit pairs",3,IF(J339="trigram-word pairs",3,IF(J339="word-digit pairs",3,IF(J339="English-Swahili pairs",3,IF(J339="spatial position",3,IF(J339="word pairs",4,IF(J339="word triads",4,IF(J339="generated words",4,IF(J339="word definition pairs",4,IF(J339="math problems",4,IF(J339="famous faces",4,IF(J339="famous names",4,IF(J339="famous voices",4,IF(J339="television programs",4,IF(J339="race horses",4,IF(J339="new vocabulary",4,IF(J339="sentences",5,IF(J339="concepts",5,IF(J339="ad slides",5,IF(J339="scenes",5,IF(J339="famous scenes",5,IF(J339="poems",6,IF(J339="walk",6,IF(J339="faces and events",6,IF(J339="events and names",6,IF(J339="flashbulb",7,IF(J339="stories",7,IF(J339="course material",7,IF(J339="autobiographical",7,IF(J339="novels",7,IF(J339="public events",7,"99"))))))))))))))))))))))))))))))))))))))))))))))</f>
        <v>7</v>
      </c>
      <c r="M339" s="60">
        <v>0</v>
      </c>
      <c r="N339" s="61">
        <v>3</v>
      </c>
      <c r="O339" s="60">
        <v>0</v>
      </c>
      <c r="P339" s="60"/>
      <c r="Q339" s="60" t="s">
        <v>34</v>
      </c>
      <c r="R339" s="60">
        <f>IF(Q339="Free Recall",1,IF(Q339="Cued Recall",2,IF(Q339="Recognition",3,IF(Q339="Multiple Choice",4,IF(Q339="Savings",5,IF(Q339="Stem Completion",6,IF(Q339="Fragment Completion",7,IF(Q339="anagram solution",8,IF(Q339="Matching",9,IF(Q339="Problem Solving",10,"99"))))))))))</f>
        <v>3</v>
      </c>
      <c r="S339" s="60" t="s">
        <v>15</v>
      </c>
      <c r="T339" s="59" t="s">
        <v>261</v>
      </c>
      <c r="U339" s="60">
        <f>IF(T339="within",1,0)</f>
        <v>0</v>
      </c>
      <c r="V339" s="59">
        <v>18</v>
      </c>
      <c r="W339" s="60">
        <f>F339*V339</f>
        <v>648</v>
      </c>
      <c r="X339" s="60">
        <v>3</v>
      </c>
      <c r="Y339" s="76">
        <f>AV338</f>
        <v>3600</v>
      </c>
      <c r="Z339" s="60" t="s">
        <v>97</v>
      </c>
      <c r="AA339" s="60">
        <v>604800</v>
      </c>
      <c r="AB339" s="60" t="str">
        <f>IF(AA339&lt;60,"1",IF(AA339&lt;=43200,"2",IF(AA339&lt;=777600,"3","4")))</f>
        <v>3</v>
      </c>
      <c r="AC339" s="56">
        <f>AVERAGE(AV338:DA338)</f>
        <v>260400</v>
      </c>
      <c r="AD339" s="60" t="str">
        <f>IF(AC339&lt;60,"1",IF(AC339&lt;=43200,"2",IF(AC339&lt;=777600,"3","4")))</f>
        <v>3</v>
      </c>
      <c r="AE339" s="76">
        <f>AA339-Y339</f>
        <v>601200</v>
      </c>
      <c r="AF339" s="80">
        <f>AV339</f>
        <v>0.76</v>
      </c>
      <c r="AG339" s="56">
        <f>((AW339-AV339)+(AX339-AW339))/2</f>
        <v>-7.7500000000000013E-2</v>
      </c>
      <c r="AH339" s="4"/>
      <c r="AI339" s="56">
        <f>RSQ(AV339:AX339,AV338:AX338)</f>
        <v>0.83870043379104664</v>
      </c>
      <c r="AJ339" s="109">
        <f>SLOPE(AV339:AX339,AV338:AX338)</f>
        <v>-2.3212653752228564E-7</v>
      </c>
      <c r="AK339" s="56">
        <f>INTERCEPT(AV339:AX339,AV338:AX338)</f>
        <v>0.73544575037080306</v>
      </c>
      <c r="AL339" s="56">
        <f>INDEX(LINEST(LN(AV339:AX339),LN(AV338:AX338),TRUE,TRUE),3,1)</f>
        <v>0.97740603967154405</v>
      </c>
      <c r="AM339" s="56">
        <f>INDEX(LINEST(LN(AV339:AX339),LN(AV338:AX338)),1)</f>
        <v>-4.2603286173484557E-2</v>
      </c>
      <c r="AN339" s="56">
        <f>EXP(INDEX(LINEST(LN(AV339:AX339),LN(AV338:AX338)),1,2))</f>
        <v>1.0823268619917041</v>
      </c>
      <c r="AO339" s="82">
        <f>INDEX(LINEST((AV339:AX339),LN(AV338:AX338),TRUE,TRUE),3,1)</f>
        <v>0.9854727342926638</v>
      </c>
      <c r="AP339" s="82">
        <f>INDEX(LINEST((AV339:AX339),LN(AV338:AX338)),1)</f>
        <v>-2.9203886909062927E-2</v>
      </c>
      <c r="AQ339" s="83">
        <f>INDEX(LINEST(LN(AV339:AX339),SQRT(AV338:AX338),TRUE,TRUE),3,1)</f>
        <v>0.98022708743421327</v>
      </c>
      <c r="AR339" s="116">
        <f>INDEX(LINEST(LN(AV339:AX339),SQRT((AV338:AX338))),1)</f>
        <v>-3.1758300966863782E-4</v>
      </c>
      <c r="AS339" s="84">
        <f>INDEX(LINEST(1/(AV339:AX339),1/(SQRT(AV338:AX338)),TRUE,TRUE),3,1)</f>
        <v>0.88040811826201304</v>
      </c>
      <c r="AT339" s="84">
        <f>INDEX(LINEST(1/(AV339:AX339),1/SQRT(AV338:AX338)),1)</f>
        <v>-18.545463965624503</v>
      </c>
      <c r="AU339" s="3"/>
      <c r="AV339" s="175">
        <v>0.76</v>
      </c>
      <c r="AW339" s="175">
        <v>0.65999999999999992</v>
      </c>
      <c r="AX339" s="175">
        <v>0.60499999999999998</v>
      </c>
      <c r="AY339" s="53"/>
      <c r="AZ339" s="134"/>
      <c r="BA339" s="134"/>
      <c r="BB339" s="134"/>
      <c r="BC339" s="53"/>
      <c r="BD339" s="53"/>
      <c r="BE339" s="53"/>
      <c r="BF339" s="53"/>
      <c r="BG339" s="53"/>
      <c r="BH339" s="53"/>
      <c r="BI339" s="53"/>
      <c r="BJ339" s="53"/>
      <c r="BK339" s="53"/>
      <c r="BL339" s="53"/>
      <c r="BM339" s="53"/>
      <c r="BN339" s="53"/>
      <c r="BO339" s="53"/>
      <c r="BP339" s="53"/>
      <c r="BQ339" s="53"/>
      <c r="BR339" s="53"/>
      <c r="BS339" s="53"/>
      <c r="BT339" s="53"/>
      <c r="BU339" s="53"/>
      <c r="BV339" s="53"/>
      <c r="BW339" s="53"/>
      <c r="BX339" s="53"/>
      <c r="BY339" s="53"/>
      <c r="BZ339" s="53"/>
      <c r="CA339" s="53"/>
      <c r="CB339" s="53"/>
      <c r="CC339" s="53"/>
      <c r="CD339" s="53"/>
      <c r="CE339" s="53"/>
      <c r="CF339" s="53"/>
      <c r="CG339" s="53"/>
      <c r="CH339" s="53"/>
      <c r="CI339" s="53"/>
      <c r="CJ339" s="53"/>
      <c r="CK339" s="53"/>
      <c r="CL339" s="53"/>
      <c r="CM339" s="53"/>
      <c r="CN339" s="53"/>
      <c r="CO339" s="53"/>
      <c r="CP339" s="53"/>
      <c r="CQ339" s="53"/>
      <c r="CR339" s="1"/>
      <c r="CS339" s="1"/>
      <c r="CT339" s="1"/>
      <c r="CU339" s="1"/>
    </row>
    <row r="340" spans="1:99" s="13" customFormat="1" ht="12" customHeight="1" x14ac:dyDescent="0.2">
      <c r="A340" s="65">
        <v>43899</v>
      </c>
      <c r="B340" s="1"/>
      <c r="C340" s="1"/>
      <c r="D340" s="60"/>
      <c r="E340" s="76"/>
      <c r="F340" s="60"/>
      <c r="G340" s="60"/>
      <c r="H340" s="60"/>
      <c r="I340" s="74"/>
      <c r="J340" s="60"/>
      <c r="K340" s="64"/>
      <c r="L340" s="64"/>
      <c r="M340" s="60"/>
      <c r="N340" s="61"/>
      <c r="O340" s="60"/>
      <c r="P340" s="60"/>
      <c r="Q340" s="60"/>
      <c r="R340" s="60"/>
      <c r="S340" s="60"/>
      <c r="T340" s="60"/>
      <c r="U340" s="60"/>
      <c r="V340" s="60"/>
      <c r="W340" s="60"/>
      <c r="X340" s="60"/>
      <c r="Y340" s="76"/>
      <c r="Z340" s="60"/>
      <c r="AA340" s="60"/>
      <c r="AB340" s="60"/>
      <c r="AC340" s="56"/>
      <c r="AD340" s="60"/>
      <c r="AE340" s="60"/>
      <c r="AF340" s="80"/>
      <c r="AG340" s="56"/>
      <c r="AH340" s="4"/>
      <c r="AI340" s="56"/>
      <c r="AJ340" s="109"/>
      <c r="AK340" s="56"/>
      <c r="AL340" s="56"/>
      <c r="AM340" s="56"/>
      <c r="AN340" s="56"/>
      <c r="AO340" s="82"/>
      <c r="AP340" s="82"/>
      <c r="AQ340" s="83"/>
      <c r="AR340" s="116"/>
      <c r="AS340" s="84"/>
      <c r="AT340" s="84"/>
      <c r="AU340" s="3"/>
      <c r="AV340" s="25">
        <v>3600</v>
      </c>
      <c r="AW340" s="25">
        <v>172800</v>
      </c>
      <c r="AX340" s="25">
        <v>604800</v>
      </c>
      <c r="AY340" s="53"/>
      <c r="AZ340" s="53"/>
      <c r="BA340" s="53"/>
      <c r="BB340" s="53"/>
      <c r="BC340" s="53"/>
      <c r="BD340" s="53"/>
      <c r="BE340" s="53"/>
      <c r="BF340" s="53"/>
      <c r="BG340" s="53"/>
      <c r="BH340" s="53"/>
      <c r="BI340" s="53"/>
      <c r="BJ340" s="53"/>
      <c r="BK340" s="53"/>
      <c r="BL340" s="53"/>
      <c r="BM340" s="53"/>
      <c r="BN340" s="53"/>
      <c r="BO340" s="53"/>
      <c r="BP340" s="53"/>
      <c r="BQ340" s="53"/>
      <c r="BR340" s="53"/>
      <c r="BS340" s="53"/>
      <c r="BT340" s="53"/>
      <c r="BU340" s="53"/>
      <c r="BV340" s="53"/>
      <c r="BW340" s="53"/>
      <c r="BX340" s="53"/>
      <c r="BY340" s="53"/>
      <c r="BZ340" s="53"/>
      <c r="CA340" s="53"/>
      <c r="CB340" s="53"/>
      <c r="CC340" s="53"/>
      <c r="CD340" s="53"/>
      <c r="CE340" s="53"/>
      <c r="CF340" s="53"/>
      <c r="CG340" s="53"/>
      <c r="CH340" s="53"/>
      <c r="CI340" s="53"/>
      <c r="CJ340" s="53"/>
      <c r="CK340" s="53"/>
      <c r="CL340" s="53"/>
      <c r="CM340" s="53"/>
      <c r="CN340" s="53"/>
      <c r="CO340" s="53"/>
      <c r="CP340" s="53"/>
      <c r="CQ340" s="53"/>
      <c r="CR340" s="1"/>
      <c r="CS340" s="1"/>
      <c r="CT340" s="1"/>
      <c r="CU340" s="1"/>
    </row>
    <row r="341" spans="1:99" s="13" customFormat="1" ht="12" customHeight="1" x14ac:dyDescent="0.2">
      <c r="A341" s="65">
        <v>43899</v>
      </c>
      <c r="B341" s="1" t="s">
        <v>378</v>
      </c>
      <c r="C341" s="1" t="s">
        <v>107</v>
      </c>
      <c r="D341" s="60">
        <v>1994</v>
      </c>
      <c r="E341" s="75">
        <v>1</v>
      </c>
      <c r="F341" s="60">
        <v>36</v>
      </c>
      <c r="G341" s="60">
        <v>12</v>
      </c>
      <c r="H341" s="60" t="s">
        <v>38</v>
      </c>
      <c r="I341" s="74" t="s">
        <v>380</v>
      </c>
      <c r="J341" s="60" t="s">
        <v>61</v>
      </c>
      <c r="K341" s="60">
        <f>IF(J341="syllables",1,IF(J341="trigrams",2,IF(J341="strings",3,IF(J341="visual array",4,IF(J341="characters",5,IF(J341="letters",6,IF(J341="free forms",7,IF(J341="odors",8,IF(J341="words",9,IF(J341="pictures",10,IF(J341="object pictures",11,IF(J341="faces",12,IF(J341="names",13,IF(J341="idioms",14,IF(J341="grades",15,IF(J341="syllable-digit pairs",16,IF(J341="trigram-word pairs",17,IF(J341="word-digit pairs",18,IF(J341="English-Swahili pairs",19,IF(J341="spatial position",20,IF(J341="word pairs",21,IF(J341="word triads",22,IF(J341="generated words",23,IF(J341="word definition pairs",24,IF(J341="math problems",25,IF(J341="famous faces",26,IF(J341="famous names",27,IF(J341="famous voices",28,IF(J341="television programs",29,IF(J341="race horses",30,IF(J341="new vocabulary",31,IF(J341="sentences",32,IF(J341="concepts",33,IF(J341="ad slides",34,IF(J341="scenes",35,IF(J341="famous scenes",36,IF(J341="poems",37,IF(J341="walk",38,IF(J341="faces and events",39,IF(J341="events and names",40,IF(J341="flashbulb",41,IF(J341="stories",42,IF(J341="course material",43,IF(J341="autobiographical",44,IF(J341="novels",45,IF(J341="public events",46,"99"))))))))))))))))))))))))))))))))))))))))))))))</f>
        <v>42</v>
      </c>
      <c r="L341" s="60">
        <f>IF(J341="syllables",1,IF(J341="trigrams",1,IF(J341="strings",1,IF(J341="visual array",1,IF(J341="characters",1,IF(J341="letters",1,IF(J341="free forms",1,IF(J341="odors",2,IF(J341="words",2,IF(J341="pictures",2,IF(J341="object pictures",2,IF(J341="faces",2,IF(J341="names",2,IF(J341="idioms","2",IF(J341="grades",2,IF(J341="syllable-digit pairs",3,IF(J341="trigram-word pairs",3,IF(J341="word-digit pairs",3,IF(J341="English-Swahili pairs",3,IF(J341="spatial position",3,IF(J341="word pairs",4,IF(J341="word triads",4,IF(J341="generated words",4,IF(J341="word definition pairs",4,IF(J341="math problems",4,IF(J341="famous faces",4,IF(J341="famous names",4,IF(J341="famous voices",4,IF(J341="television programs",4,IF(J341="race horses",4,IF(J341="new vocabulary",4,IF(J341="sentences",5,IF(J341="concepts",5,IF(J341="ad slides",5,IF(J341="scenes",5,IF(J341="famous scenes",5,IF(J341="poems",6,IF(J341="walk",6,IF(J341="faces and events",6,IF(J341="events and names",6,IF(J341="flashbulb",7,IF(J341="stories",7,IF(J341="course material",7,IF(J341="autobiographical",7,IF(J341="novels",7,IF(J341="public events",7,"99"))))))))))))))))))))))))))))))))))))))))))))))</f>
        <v>7</v>
      </c>
      <c r="M341" s="60">
        <v>0</v>
      </c>
      <c r="N341" s="61">
        <v>3</v>
      </c>
      <c r="O341" s="60">
        <v>0</v>
      </c>
      <c r="P341" s="60"/>
      <c r="Q341" s="60" t="s">
        <v>34</v>
      </c>
      <c r="R341" s="60">
        <f>IF(Q341="Free Recall",1,IF(Q341="Cued Recall",2,IF(Q341="Recognition",3,IF(Q341="Multiple Choice",4,IF(Q341="Savings",5,IF(Q341="Stem Completion",6,IF(Q341="Fragment Completion",7,IF(Q341="anagram solution",8,IF(Q341="Matching",9,IF(Q341="Problem Solving",10,"99"))))))))))</f>
        <v>3</v>
      </c>
      <c r="S341" s="60" t="s">
        <v>15</v>
      </c>
      <c r="T341" s="59" t="s">
        <v>261</v>
      </c>
      <c r="U341" s="60">
        <f>IF(T341="within",1,0)</f>
        <v>0</v>
      </c>
      <c r="V341" s="59">
        <v>18</v>
      </c>
      <c r="W341" s="60">
        <f>F341*V341</f>
        <v>648</v>
      </c>
      <c r="X341" s="60">
        <v>3</v>
      </c>
      <c r="Y341" s="76">
        <f>AV340</f>
        <v>3600</v>
      </c>
      <c r="Z341" s="60" t="s">
        <v>97</v>
      </c>
      <c r="AA341" s="60">
        <v>604800</v>
      </c>
      <c r="AB341" s="60" t="str">
        <f>IF(AA341&lt;60,"1",IF(AA341&lt;=43200,"2",IF(AA341&lt;=777600,"3","4")))</f>
        <v>3</v>
      </c>
      <c r="AC341" s="56">
        <f>AVERAGE(AV340:DA340)</f>
        <v>260400</v>
      </c>
      <c r="AD341" s="60" t="str">
        <f>IF(AC341&lt;60,"1",IF(AC341&lt;=43200,"2",IF(AC341&lt;=777600,"3","4")))</f>
        <v>3</v>
      </c>
      <c r="AE341" s="76">
        <f>AA341-Y341</f>
        <v>601200</v>
      </c>
      <c r="AF341" s="80">
        <f>AV341</f>
        <v>0.93500000000000005</v>
      </c>
      <c r="AG341" s="56">
        <f>((AW341-AV341)+(AX341-AW341))/2</f>
        <v>-7.7500000000000013E-2</v>
      </c>
      <c r="AH341" s="4"/>
      <c r="AI341" s="56">
        <f>RSQ(AV341:AX341,AV340:AX340)</f>
        <v>0.72337049649623597</v>
      </c>
      <c r="AJ341" s="109">
        <f>SLOPE(AV341:AX341,AV340:AX340)</f>
        <v>-2.2301251991350422E-7</v>
      </c>
      <c r="AK341" s="56">
        <f>INTERCEPT(AV341:AX341,AV340:AX340)</f>
        <v>0.90140579351880989</v>
      </c>
      <c r="AL341" s="56">
        <f>INDEX(LINEST(LN(AV341:AX341),LN(AV340:AX340),TRUE,TRUE),3,1)</f>
        <v>0.99999393771204281</v>
      </c>
      <c r="AM341" s="56">
        <f>INDEX(LINEST(LN(AV341:AX341),LN(AV340:AX340)),1)</f>
        <v>-3.5399228764858529E-2</v>
      </c>
      <c r="AN341" s="56">
        <f>EXP(INDEX(LINEST(LN(AV341:AX341),LN(AV340:AX340)),1,2))</f>
        <v>1.2493226058595268</v>
      </c>
      <c r="AO341" s="82">
        <f>INDEX(LINEST((AV341:AX341),LN(AV340:AX340),TRUE,TRUE),3,1)</f>
        <v>0.99961080584458661</v>
      </c>
      <c r="AP341" s="82">
        <f>INDEX(LINEST((AV341:AX341),LN(AV340:AX340)),1)</f>
        <v>-3.0427152581133477E-2</v>
      </c>
      <c r="AQ341" s="83">
        <f>INDEX(LINEST(LN(AV341:AX341),SQRT(AV340:AX340),TRUE,TRUE),3,1)</f>
        <v>0.91578682355466834</v>
      </c>
      <c r="AR341" s="116">
        <f>INDEX(LINEST(LN(AV341:AX341),SQRT((AV340:AX340))),1)</f>
        <v>-2.5216257578609318E-4</v>
      </c>
      <c r="AS341" s="84">
        <f>INDEX(LINEST(1/(AV341:AX341),1/(SQRT(AV340:AX340)),TRUE,TRUE),3,1)</f>
        <v>0.96547201561879159</v>
      </c>
      <c r="AT341" s="84">
        <f>INDEX(LINEST(1/(AV341:AX341),1/SQRT(AV340:AX340)),1)</f>
        <v>-12.639004423297221</v>
      </c>
      <c r="AU341" s="3"/>
      <c r="AV341" s="175">
        <v>0.93500000000000005</v>
      </c>
      <c r="AW341" s="175">
        <v>0.81499999999999995</v>
      </c>
      <c r="AX341" s="175">
        <v>0.78</v>
      </c>
      <c r="AY341" s="53"/>
      <c r="AZ341" s="53"/>
      <c r="BA341" s="53"/>
      <c r="BB341" s="53"/>
      <c r="BC341" s="53"/>
      <c r="BD341" s="53"/>
      <c r="BE341" s="53"/>
      <c r="BF341" s="53"/>
      <c r="BG341" s="53"/>
      <c r="BH341" s="53"/>
      <c r="BI341" s="53"/>
      <c r="BJ341" s="53"/>
      <c r="BK341" s="53"/>
      <c r="BL341" s="53"/>
      <c r="BM341" s="53"/>
      <c r="BN341" s="53"/>
      <c r="BO341" s="53"/>
      <c r="BP341" s="53"/>
      <c r="BQ341" s="53"/>
      <c r="BR341" s="53"/>
      <c r="BS341" s="53"/>
      <c r="BT341" s="53"/>
      <c r="BU341" s="53"/>
      <c r="BV341" s="53"/>
      <c r="BW341" s="53"/>
      <c r="BX341" s="53"/>
      <c r="BY341" s="53"/>
      <c r="BZ341" s="53"/>
      <c r="CA341" s="53"/>
      <c r="CB341" s="53"/>
      <c r="CC341" s="53"/>
      <c r="CD341" s="53"/>
      <c r="CE341" s="53"/>
      <c r="CF341" s="53"/>
      <c r="CG341" s="53"/>
      <c r="CH341" s="53"/>
      <c r="CI341" s="53"/>
      <c r="CJ341" s="53"/>
      <c r="CK341" s="53"/>
      <c r="CL341" s="53"/>
      <c r="CM341" s="53"/>
      <c r="CN341" s="53"/>
      <c r="CO341" s="53"/>
      <c r="CP341" s="53"/>
      <c r="CQ341" s="53"/>
      <c r="CR341" s="1"/>
      <c r="CS341" s="1"/>
      <c r="CT341" s="1"/>
      <c r="CU341" s="1"/>
    </row>
    <row r="342" spans="1:99" s="13" customFormat="1" ht="12" customHeight="1" x14ac:dyDescent="0.2">
      <c r="A342" s="65">
        <v>43899</v>
      </c>
      <c r="B342" s="1"/>
      <c r="C342" s="1"/>
      <c r="D342" s="60"/>
      <c r="E342" s="76"/>
      <c r="F342" s="60"/>
      <c r="G342" s="60"/>
      <c r="H342" s="60"/>
      <c r="I342" s="74"/>
      <c r="J342" s="60"/>
      <c r="K342" s="64"/>
      <c r="L342" s="64"/>
      <c r="M342" s="60"/>
      <c r="N342" s="61"/>
      <c r="O342" s="60"/>
      <c r="P342" s="60"/>
      <c r="Q342" s="60"/>
      <c r="R342" s="60"/>
      <c r="S342" s="60"/>
      <c r="T342" s="60"/>
      <c r="U342" s="60"/>
      <c r="V342" s="60"/>
      <c r="W342" s="60"/>
      <c r="X342" s="60"/>
      <c r="Y342" s="76"/>
      <c r="Z342" s="60"/>
      <c r="AA342" s="60"/>
      <c r="AB342" s="60"/>
      <c r="AC342" s="56"/>
      <c r="AD342" s="60"/>
      <c r="AE342" s="60"/>
      <c r="AF342" s="80"/>
      <c r="AG342" s="56"/>
      <c r="AH342" s="4"/>
      <c r="AI342" s="56"/>
      <c r="AJ342" s="109"/>
      <c r="AK342" s="56"/>
      <c r="AL342" s="56"/>
      <c r="AM342" s="56"/>
      <c r="AN342" s="56"/>
      <c r="AO342" s="82"/>
      <c r="AP342" s="82"/>
      <c r="AQ342" s="83"/>
      <c r="AR342" s="116"/>
      <c r="AS342" s="84"/>
      <c r="AT342" s="84"/>
      <c r="AU342" s="3"/>
      <c r="AV342" s="25">
        <v>3600</v>
      </c>
      <c r="AW342" s="25">
        <v>172800</v>
      </c>
      <c r="AX342" s="25">
        <v>604800</v>
      </c>
      <c r="AY342" s="53"/>
      <c r="AZ342" s="53"/>
      <c r="BA342" s="53"/>
      <c r="BB342" s="53"/>
      <c r="BC342" s="53"/>
      <c r="BD342" s="53"/>
      <c r="BE342" s="53"/>
      <c r="BF342" s="53"/>
      <c r="BG342" s="53"/>
      <c r="BH342" s="53"/>
      <c r="BI342" s="53"/>
      <c r="BJ342" s="53"/>
      <c r="BK342" s="53"/>
      <c r="BL342" s="53"/>
      <c r="BM342" s="53"/>
      <c r="BN342" s="53"/>
      <c r="BO342" s="53"/>
      <c r="BP342" s="53"/>
      <c r="BQ342" s="53"/>
      <c r="BR342" s="53"/>
      <c r="BS342" s="53"/>
      <c r="BT342" s="53"/>
      <c r="BU342" s="53"/>
      <c r="BV342" s="53"/>
      <c r="BW342" s="53"/>
      <c r="BX342" s="53"/>
      <c r="BY342" s="53"/>
      <c r="BZ342" s="53"/>
      <c r="CA342" s="53"/>
      <c r="CB342" s="53"/>
      <c r="CC342" s="53"/>
      <c r="CD342" s="53"/>
      <c r="CE342" s="53"/>
      <c r="CF342" s="53"/>
      <c r="CG342" s="53"/>
      <c r="CH342" s="53"/>
      <c r="CI342" s="53"/>
      <c r="CJ342" s="53"/>
      <c r="CK342" s="53"/>
      <c r="CL342" s="53"/>
      <c r="CM342" s="53"/>
      <c r="CN342" s="53"/>
      <c r="CO342" s="53"/>
      <c r="CP342" s="53"/>
      <c r="CQ342" s="53"/>
      <c r="CR342" s="1"/>
      <c r="CS342" s="1"/>
      <c r="CT342" s="1"/>
      <c r="CU342" s="1"/>
    </row>
    <row r="343" spans="1:99" s="13" customFormat="1" ht="12" customHeight="1" x14ac:dyDescent="0.2">
      <c r="A343" s="65">
        <v>43899</v>
      </c>
      <c r="B343" s="1" t="s">
        <v>378</v>
      </c>
      <c r="C343" s="1" t="s">
        <v>107</v>
      </c>
      <c r="D343" s="60">
        <v>1994</v>
      </c>
      <c r="E343" s="75">
        <v>1</v>
      </c>
      <c r="F343" s="60">
        <v>36</v>
      </c>
      <c r="G343" s="60">
        <v>12</v>
      </c>
      <c r="H343" s="60" t="s">
        <v>38</v>
      </c>
      <c r="I343" s="74" t="s">
        <v>381</v>
      </c>
      <c r="J343" s="60" t="s">
        <v>61</v>
      </c>
      <c r="K343" s="60">
        <f>IF(J343="syllables",1,IF(J343="trigrams",2,IF(J343="strings",3,IF(J343="visual array",4,IF(J343="characters",5,IF(J343="letters",6,IF(J343="free forms",7,IF(J343="odors",8,IF(J343="words",9,IF(J343="pictures",10,IF(J343="object pictures",11,IF(J343="faces",12,IF(J343="names",13,IF(J343="idioms",14,IF(J343="grades",15,IF(J343="syllable-digit pairs",16,IF(J343="trigram-word pairs",17,IF(J343="word-digit pairs",18,IF(J343="English-Swahili pairs",19,IF(J343="spatial position",20,IF(J343="word pairs",21,IF(J343="word triads",22,IF(J343="generated words",23,IF(J343="word definition pairs",24,IF(J343="math problems",25,IF(J343="famous faces",26,IF(J343="famous names",27,IF(J343="famous voices",28,IF(J343="television programs",29,IF(J343="race horses",30,IF(J343="new vocabulary",31,IF(J343="sentences",32,IF(J343="concepts",33,IF(J343="ad slides",34,IF(J343="scenes",35,IF(J343="famous scenes",36,IF(J343="poems",37,IF(J343="walk",38,IF(J343="faces and events",39,IF(J343="events and names",40,IF(J343="flashbulb",41,IF(J343="stories",42,IF(J343="course material",43,IF(J343="autobiographical",44,IF(J343="novels",45,IF(J343="public events",46,"99"))))))))))))))))))))))))))))))))))))))))))))))</f>
        <v>42</v>
      </c>
      <c r="L343" s="60">
        <f>IF(J343="syllables",1,IF(J343="trigrams",1,IF(J343="strings",1,IF(J343="visual array",1,IF(J343="characters",1,IF(J343="letters",1,IF(J343="free forms",1,IF(J343="odors",2,IF(J343="words",2,IF(J343="pictures",2,IF(J343="object pictures",2,IF(J343="faces",2,IF(J343="names",2,IF(J343="idioms","2",IF(J343="grades",2,IF(J343="syllable-digit pairs",3,IF(J343="trigram-word pairs",3,IF(J343="word-digit pairs",3,IF(J343="English-Swahili pairs",3,IF(J343="spatial position",3,IF(J343="word pairs",4,IF(J343="word triads",4,IF(J343="generated words",4,IF(J343="word definition pairs",4,IF(J343="math problems",4,IF(J343="famous faces",4,IF(J343="famous names",4,IF(J343="famous voices",4,IF(J343="television programs",4,IF(J343="race horses",4,IF(J343="new vocabulary",4,IF(J343="sentences",5,IF(J343="concepts",5,IF(J343="ad slides",5,IF(J343="scenes",5,IF(J343="famous scenes",5,IF(J343="poems",6,IF(J343="walk",6,IF(J343="faces and events",6,IF(J343="events and names",6,IF(J343="flashbulb",7,IF(J343="stories",7,IF(J343="course material",7,IF(J343="autobiographical",7,IF(J343="novels",7,IF(J343="public events",7,"99"))))))))))))))))))))))))))))))))))))))))))))))</f>
        <v>7</v>
      </c>
      <c r="M343" s="60">
        <v>0</v>
      </c>
      <c r="N343" s="61">
        <v>3</v>
      </c>
      <c r="O343" s="60">
        <v>0</v>
      </c>
      <c r="P343" s="60"/>
      <c r="Q343" s="60" t="s">
        <v>34</v>
      </c>
      <c r="R343" s="60">
        <f>IF(Q343="Free Recall",1,IF(Q343="Cued Recall",2,IF(Q343="Recognition",3,IF(Q343="Multiple Choice",4,IF(Q343="Savings",5,IF(Q343="Stem Completion",6,IF(Q343="Fragment Completion",7,IF(Q343="anagram solution",8,IF(Q343="Matching",9,IF(Q343="Problem Solving",10,"99"))))))))))</f>
        <v>3</v>
      </c>
      <c r="S343" s="60" t="s">
        <v>15</v>
      </c>
      <c r="T343" s="59" t="s">
        <v>261</v>
      </c>
      <c r="U343" s="60">
        <f>IF(T343="within",1,0)</f>
        <v>0</v>
      </c>
      <c r="V343" s="59">
        <v>18</v>
      </c>
      <c r="W343" s="60">
        <f>F343*V343</f>
        <v>648</v>
      </c>
      <c r="X343" s="60">
        <v>3</v>
      </c>
      <c r="Y343" s="76">
        <f>AV342</f>
        <v>3600</v>
      </c>
      <c r="Z343" s="60" t="s">
        <v>97</v>
      </c>
      <c r="AA343" s="60">
        <v>604800</v>
      </c>
      <c r="AB343" s="60" t="str">
        <f>IF(AA343&lt;60,"1",IF(AA343&lt;=43200,"2",IF(AA343&lt;=777600,"3","4")))</f>
        <v>3</v>
      </c>
      <c r="AC343" s="56">
        <f>AVERAGE(AV342:DA342)</f>
        <v>260400</v>
      </c>
      <c r="AD343" s="60" t="str">
        <f>IF(AC343&lt;60,"1",IF(AC343&lt;=43200,"2",IF(AC343&lt;=777600,"3","4")))</f>
        <v>3</v>
      </c>
      <c r="AE343" s="76">
        <f>AA343-Y343</f>
        <v>601200</v>
      </c>
      <c r="AF343" s="80">
        <f>AV343</f>
        <v>0.95</v>
      </c>
      <c r="AG343" s="56">
        <f>((AW343-AV343)+(AX343-AW343))/2</f>
        <v>-6.9999999999999951E-2</v>
      </c>
      <c r="AH343" s="4"/>
      <c r="AI343" s="56">
        <f>RSQ(AV343:AX343,AV342:AX342)</f>
        <v>0.61137311380407144</v>
      </c>
      <c r="AJ343" s="109">
        <f>SLOPE(AV343:AX343,AV342:AX342)</f>
        <v>-1.9386014852103196E-7</v>
      </c>
      <c r="AK343" s="56">
        <f>INTERCEPT(AV343:AX343,AV342:AX342)</f>
        <v>0.91214784934154336</v>
      </c>
      <c r="AL343" s="56">
        <f>INDEX(LINEST(LN(AV343:AX343),LN(AV342:AX342),TRUE,TRUE),3,1)</f>
        <v>0.98285049867823959</v>
      </c>
      <c r="AM343" s="56">
        <f>INDEX(LINEST(LN(AV343:AX343),LN(AV342:AX342)),1)</f>
        <v>-3.2375909093925896E-2</v>
      </c>
      <c r="AN343" s="56">
        <f>EXP(INDEX(LINEST(LN(AV343:AX343),LN(AV342:AX342)),1,2))</f>
        <v>1.2345786402886154</v>
      </c>
      <c r="AO343" s="82">
        <f>INDEX(LINEST((AV343:AX343),LN(AV342:AX342),TRUE,TRUE),3,1)</f>
        <v>0.98081034520531929</v>
      </c>
      <c r="AP343" s="82">
        <f>INDEX(LINEST((AV343:AX343),LN(AV342:AX342)),1)</f>
        <v>-2.8498689139598469E-2</v>
      </c>
      <c r="AQ343" s="83">
        <f>INDEX(LINEST(LN(AV343:AX343),SQRT(AV342:AX342),TRUE,TRUE),3,1)</f>
        <v>0.83126547377333448</v>
      </c>
      <c r="AR343" s="116">
        <f>INDEX(LINEST(LN(AV343:AX343),SQRT((AV342:AX342))),1)</f>
        <v>-2.2163402431705161E-4</v>
      </c>
      <c r="AS343" s="84">
        <f>INDEX(LINEST(1/(AV343:AX343),1/(SQRT(AV342:AX342)),TRUE,TRUE),3,1)</f>
        <v>0.99769337695366855</v>
      </c>
      <c r="AT343" s="84">
        <f>INDEX(LINEST(1/(AV343:AX343),1/SQRT(AV342:AX342)),1)</f>
        <v>-11.554729244983886</v>
      </c>
      <c r="AU343" s="3"/>
      <c r="AV343" s="176">
        <v>0.95</v>
      </c>
      <c r="AW343" s="176">
        <v>0.82499999999999996</v>
      </c>
      <c r="AX343" s="176">
        <v>0.81</v>
      </c>
      <c r="AY343" s="53"/>
      <c r="AZ343" s="53"/>
      <c r="BA343" s="53"/>
      <c r="BB343" s="53"/>
      <c r="BC343" s="53"/>
      <c r="BD343" s="53"/>
      <c r="BE343" s="53"/>
      <c r="BF343" s="53"/>
      <c r="BG343" s="53"/>
      <c r="BH343" s="53"/>
      <c r="BI343" s="53"/>
      <c r="BJ343" s="53"/>
      <c r="BK343" s="53"/>
      <c r="BL343" s="53"/>
      <c r="BM343" s="53"/>
      <c r="BN343" s="53"/>
      <c r="BO343" s="53"/>
      <c r="BP343" s="53"/>
      <c r="BQ343" s="53"/>
      <c r="BR343" s="53"/>
      <c r="BS343" s="53"/>
      <c r="BT343" s="53"/>
      <c r="BU343" s="53"/>
      <c r="BV343" s="53"/>
      <c r="BW343" s="53"/>
      <c r="BX343" s="53"/>
      <c r="BY343" s="53"/>
      <c r="BZ343" s="53"/>
      <c r="CA343" s="53"/>
      <c r="CB343" s="53"/>
      <c r="CC343" s="53"/>
      <c r="CD343" s="53"/>
      <c r="CE343" s="53"/>
      <c r="CF343" s="53"/>
      <c r="CG343" s="53"/>
      <c r="CH343" s="53"/>
      <c r="CI343" s="53"/>
      <c r="CJ343" s="53"/>
      <c r="CK343" s="53"/>
      <c r="CL343" s="53"/>
      <c r="CM343" s="53"/>
      <c r="CN343" s="53"/>
      <c r="CO343" s="53"/>
      <c r="CP343" s="53"/>
      <c r="CQ343" s="53"/>
      <c r="CR343" s="1"/>
      <c r="CS343" s="1"/>
      <c r="CT343" s="1"/>
      <c r="CU343" s="1"/>
    </row>
    <row r="344" spans="1:99" s="13" customFormat="1" ht="12" customHeight="1" x14ac:dyDescent="0.2">
      <c r="A344" s="65">
        <v>43899</v>
      </c>
      <c r="B344" s="1"/>
      <c r="C344" s="1"/>
      <c r="D344" s="60"/>
      <c r="E344" s="76"/>
      <c r="F344" s="60"/>
      <c r="G344" s="60"/>
      <c r="H344" s="60"/>
      <c r="I344" s="74"/>
      <c r="J344" s="60"/>
      <c r="K344" s="64"/>
      <c r="L344" s="64"/>
      <c r="M344" s="60"/>
      <c r="N344" s="61"/>
      <c r="O344" s="60"/>
      <c r="P344" s="60"/>
      <c r="Q344" s="60"/>
      <c r="R344" s="60"/>
      <c r="S344" s="60"/>
      <c r="T344" s="59"/>
      <c r="U344" s="60"/>
      <c r="V344" s="59"/>
      <c r="W344" s="60"/>
      <c r="X344" s="60"/>
      <c r="Y344" s="76"/>
      <c r="Z344" s="60"/>
      <c r="AA344" s="60"/>
      <c r="AB344" s="60"/>
      <c r="AC344" s="56"/>
      <c r="AD344" s="60"/>
      <c r="AE344" s="60"/>
      <c r="AF344" s="80"/>
      <c r="AG344" s="56"/>
      <c r="AH344" s="4"/>
      <c r="AI344" s="56"/>
      <c r="AJ344" s="109"/>
      <c r="AK344" s="56"/>
      <c r="AL344" s="56"/>
      <c r="AM344" s="56"/>
      <c r="AN344" s="56"/>
      <c r="AO344" s="82"/>
      <c r="AP344" s="82"/>
      <c r="AQ344" s="83"/>
      <c r="AR344" s="116"/>
      <c r="AS344" s="84"/>
      <c r="AT344" s="84"/>
      <c r="AU344" s="3"/>
      <c r="AV344" s="25">
        <v>3600</v>
      </c>
      <c r="AW344" s="25">
        <v>172800</v>
      </c>
      <c r="AX344" s="25">
        <v>604800</v>
      </c>
      <c r="AY344" s="53"/>
      <c r="AZ344" s="53"/>
      <c r="BA344" s="53"/>
      <c r="BB344" s="53"/>
      <c r="BC344" s="53"/>
      <c r="BD344" s="53"/>
      <c r="BE344" s="53"/>
      <c r="BF344" s="53"/>
      <c r="BG344" s="53"/>
      <c r="BH344" s="53"/>
      <c r="BI344" s="53"/>
      <c r="BJ344" s="53"/>
      <c r="BK344" s="53"/>
      <c r="BL344" s="53"/>
      <c r="BM344" s="53"/>
      <c r="BN344" s="53"/>
      <c r="BO344" s="53"/>
      <c r="BP344" s="53"/>
      <c r="BQ344" s="53"/>
      <c r="BR344" s="53"/>
      <c r="BS344" s="53"/>
      <c r="BT344" s="53"/>
      <c r="BU344" s="53"/>
      <c r="BV344" s="53"/>
      <c r="BW344" s="53"/>
      <c r="BX344" s="53"/>
      <c r="BY344" s="53"/>
      <c r="BZ344" s="53"/>
      <c r="CA344" s="53"/>
      <c r="CB344" s="53"/>
      <c r="CC344" s="53"/>
      <c r="CD344" s="53"/>
      <c r="CE344" s="53"/>
      <c r="CF344" s="53"/>
      <c r="CG344" s="53"/>
      <c r="CH344" s="53"/>
      <c r="CI344" s="53"/>
      <c r="CJ344" s="53"/>
      <c r="CK344" s="53"/>
      <c r="CL344" s="53"/>
      <c r="CM344" s="53"/>
      <c r="CN344" s="53"/>
      <c r="CO344" s="53"/>
      <c r="CP344" s="53"/>
      <c r="CQ344" s="53"/>
      <c r="CR344" s="1"/>
      <c r="CS344" s="1"/>
      <c r="CT344" s="1"/>
      <c r="CU344" s="1"/>
    </row>
    <row r="345" spans="1:99" s="13" customFormat="1" ht="12" customHeight="1" x14ac:dyDescent="0.25">
      <c r="A345" s="65">
        <v>43899</v>
      </c>
      <c r="B345" s="1" t="s">
        <v>378</v>
      </c>
      <c r="C345" s="1" t="s">
        <v>107</v>
      </c>
      <c r="D345" s="60">
        <v>1994</v>
      </c>
      <c r="E345" s="76">
        <v>2</v>
      </c>
      <c r="F345" s="60">
        <v>72</v>
      </c>
      <c r="G345" s="60">
        <v>24</v>
      </c>
      <c r="H345" s="60" t="s">
        <v>50</v>
      </c>
      <c r="I345" s="74" t="s">
        <v>379</v>
      </c>
      <c r="J345" s="60" t="s">
        <v>61</v>
      </c>
      <c r="K345" s="60">
        <f>IF(J345="syllables",1,IF(J345="trigrams",2,IF(J345="strings",3,IF(J345="visual array",4,IF(J345="characters",5,IF(J345="letters",6,IF(J345="free forms",7,IF(J345="odors",8,IF(J345="words",9,IF(J345="pictures",10,IF(J345="object pictures",11,IF(J345="faces",12,IF(J345="names",13,IF(J345="idioms",14,IF(J345="grades",15,IF(J345="syllable-digit pairs",16,IF(J345="trigram-word pairs",17,IF(J345="word-digit pairs",18,IF(J345="English-Swahili pairs",19,IF(J345="spatial position",20,IF(J345="word pairs",21,IF(J345="word triads",22,IF(J345="generated words",23,IF(J345="word definition pairs",24,IF(J345="math problems",25,IF(J345="famous faces",26,IF(J345="famous names",27,IF(J345="famous voices",28,IF(J345="television programs",29,IF(J345="race horses",30,IF(J345="new vocabulary",31,IF(J345="sentences",32,IF(J345="concepts",33,IF(J345="ad slides",34,IF(J345="scenes",35,IF(J345="famous scenes",36,IF(J345="poems",37,IF(J345="walk",38,IF(J345="faces and events",39,IF(J345="events and names",40,IF(J345="flashbulb",41,IF(J345="stories",42,IF(J345="course material",43,IF(J345="autobiographical",44,IF(J345="novels",45,IF(J345="public events",46,"99"))))))))))))))))))))))))))))))))))))))))))))))</f>
        <v>42</v>
      </c>
      <c r="L345" s="60">
        <f>IF(J345="syllables",1,IF(J345="trigrams",1,IF(J345="strings",1,IF(J345="visual array",1,IF(J345="characters",1,IF(J345="letters",1,IF(J345="free forms",1,IF(J345="odors",2,IF(J345="words",2,IF(J345="pictures",2,IF(J345="object pictures",2,IF(J345="faces",2,IF(J345="names",2,IF(J345="idioms","2",IF(J345="grades",2,IF(J345="syllable-digit pairs",3,IF(J345="trigram-word pairs",3,IF(J345="word-digit pairs",3,IF(J345="English-Swahili pairs",3,IF(J345="spatial position",3,IF(J345="word pairs",4,IF(J345="word triads",4,IF(J345="generated words",4,IF(J345="word definition pairs",4,IF(J345="math problems",4,IF(J345="famous faces",4,IF(J345="famous names",4,IF(J345="famous voices",4,IF(J345="television programs",4,IF(J345="race horses",4,IF(J345="new vocabulary",4,IF(J345="sentences",5,IF(J345="concepts",5,IF(J345="ad slides",5,IF(J345="scenes",5,IF(J345="famous scenes",5,IF(J345="poems",6,IF(J345="walk",6,IF(J345="faces and events",6,IF(J345="events and names",6,IF(J345="flashbulb",7,IF(J345="stories",7,IF(J345="course material",7,IF(J345="autobiographical",7,IF(J345="novels",7,IF(J345="public events",7,"99"))))))))))))))))))))))))))))))))))))))))))))))</f>
        <v>7</v>
      </c>
      <c r="M345" s="60">
        <v>0</v>
      </c>
      <c r="N345" s="61">
        <v>3</v>
      </c>
      <c r="O345" s="60">
        <v>0</v>
      </c>
      <c r="P345" s="60"/>
      <c r="Q345" s="60" t="s">
        <v>174</v>
      </c>
      <c r="R345" s="60">
        <f>IF(Q345="Free Recall",1,IF(Q345="Cued Recall",2,IF(Q345="Recognition",3,IF(Q345="Multiple Choice",4,IF(Q345="Savings",5,IF(Q345="Stem Completion",6,IF(Q345="Fragment Completion",7,IF(Q345="anagram solution",8,IF(Q345="Matching",9,IF(Q345="Problem Solving",10,"99"))))))))))</f>
        <v>1</v>
      </c>
      <c r="S345" s="60" t="s">
        <v>49</v>
      </c>
      <c r="T345" s="59" t="s">
        <v>261</v>
      </c>
      <c r="U345" s="60">
        <f>IF(T345="within",1,0)</f>
        <v>0</v>
      </c>
      <c r="V345" s="59">
        <v>12</v>
      </c>
      <c r="W345" s="60">
        <f>F345*V345</f>
        <v>864</v>
      </c>
      <c r="X345" s="60">
        <v>3</v>
      </c>
      <c r="Y345" s="76">
        <f>AV344</f>
        <v>3600</v>
      </c>
      <c r="Z345" s="60" t="s">
        <v>97</v>
      </c>
      <c r="AA345" s="60">
        <v>604800</v>
      </c>
      <c r="AB345" s="60" t="str">
        <f>IF(AA345&lt;60,"1",IF(AA345&lt;=43200,"2",IF(AA345&lt;=777600,"3","4")))</f>
        <v>3</v>
      </c>
      <c r="AC345" s="56">
        <f>AVERAGE(AV344:DA344)</f>
        <v>260400</v>
      </c>
      <c r="AD345" s="60" t="str">
        <f>IF(AC345&lt;60,"1",IF(AC345&lt;=43200,"2",IF(AC345&lt;=777600,"3","4")))</f>
        <v>3</v>
      </c>
      <c r="AE345" s="76">
        <f>AA345-Y345</f>
        <v>601200</v>
      </c>
      <c r="AF345" s="80">
        <f>AV345</f>
        <v>0.40014157960263602</v>
      </c>
      <c r="AG345" s="56">
        <f>((AW345-AV345)+(AX345-AW345))/2</f>
        <v>-0.10803612755035101</v>
      </c>
      <c r="AH345" s="4"/>
      <c r="AI345" s="56">
        <f>RSQ(AV345:AX345,AV344:AX344)</f>
        <v>0.99224683774747191</v>
      </c>
      <c r="AJ345" s="109">
        <f>SLOPE(AV345:AX345,AV344:AX344)</f>
        <v>-3.5155878312339289E-7</v>
      </c>
      <c r="AK345" s="56">
        <f>INTERCEPT(AV345:AX345,AV344:AX344)</f>
        <v>0.39365631776393251</v>
      </c>
      <c r="AL345" s="56">
        <f>INDEX(LINEST(LN(AV345:AX345),LN(AV344:AX344),TRUE,TRUE),3,1)</f>
        <v>0.73882721406701823</v>
      </c>
      <c r="AM345" s="56">
        <f>INDEX(LINEST(LN(AV345:AX345),LN(AV344:AX344)),1)</f>
        <v>-0.12892801646218516</v>
      </c>
      <c r="AN345" s="56">
        <f>EXP(INDEX(LINEST(LN(AV345:AX345),LN(AV344:AX344)),1,2))</f>
        <v>1.2156243057096749</v>
      </c>
      <c r="AO345" s="82">
        <f>INDEX(LINEST((AV345:AX345),LN(AV344:AX344),TRUE,TRUE),3,1)</f>
        <v>0.81397266707778126</v>
      </c>
      <c r="AP345" s="82">
        <f>INDEX(LINEST((AV345:AX345),LN(AV344:AX344)),1)</f>
        <v>-3.6956428469060477E-2</v>
      </c>
      <c r="AQ345" s="83">
        <f>INDEX(LINEST(LN(AV345:AX345),SQRT(AV344:AX344),TRUE,TRUE),3,1)</f>
        <v>0.94143054941923132</v>
      </c>
      <c r="AR345" s="116">
        <f>INDEX(LINEST(LN(AV345:AX345),SQRT((AV344:AX344))),1)</f>
        <v>-1.0833238957522761E-3</v>
      </c>
      <c r="AS345" s="84">
        <f>INDEX(LINEST(1/(AV345:AX345),1/(SQRT(AV344:AX344)),TRUE,TRUE),3,1)</f>
        <v>0.50021198361239994</v>
      </c>
      <c r="AT345" s="84">
        <f>INDEX(LINEST(1/(AV345:AX345),1/SQRT(AV344:AX344)),1)</f>
        <v>-127.744722588618</v>
      </c>
      <c r="AU345" s="3"/>
      <c r="AV345" s="175">
        <v>0.40014157960263602</v>
      </c>
      <c r="AW345" s="175">
        <v>0.32212032781123301</v>
      </c>
      <c r="AX345" s="175">
        <v>0.184069324501934</v>
      </c>
      <c r="AY345" s="53"/>
      <c r="AZ345" s="135"/>
      <c r="BA345" s="135"/>
      <c r="BB345" s="135"/>
      <c r="BC345" s="53"/>
      <c r="BD345" s="53"/>
      <c r="BE345" s="53"/>
      <c r="BF345" s="53"/>
      <c r="BG345" s="53"/>
      <c r="BH345" s="53"/>
      <c r="BI345" s="53"/>
      <c r="BJ345" s="53"/>
      <c r="BK345" s="53"/>
      <c r="BL345" s="53"/>
      <c r="BM345" s="53"/>
      <c r="BN345" s="53"/>
      <c r="BO345" s="53"/>
      <c r="BP345" s="53"/>
      <c r="BQ345" s="53"/>
      <c r="BR345" s="53"/>
      <c r="BS345" s="53"/>
      <c r="BT345" s="53"/>
      <c r="BU345" s="53"/>
      <c r="BV345" s="53"/>
      <c r="BW345" s="53"/>
      <c r="BX345" s="53"/>
      <c r="BY345" s="53"/>
      <c r="BZ345" s="53"/>
      <c r="CA345" s="53"/>
      <c r="CB345" s="53"/>
      <c r="CC345" s="53"/>
      <c r="CD345" s="53"/>
      <c r="CE345" s="53"/>
      <c r="CF345" s="53"/>
      <c r="CG345" s="53"/>
      <c r="CH345" s="53"/>
      <c r="CI345" s="53"/>
      <c r="CJ345" s="53"/>
      <c r="CK345" s="53"/>
      <c r="CL345" s="53"/>
      <c r="CM345" s="53"/>
      <c r="CN345" s="53"/>
      <c r="CO345" s="53"/>
      <c r="CP345" s="53"/>
      <c r="CQ345" s="53"/>
      <c r="CR345" s="1"/>
      <c r="CS345" s="1"/>
      <c r="CT345" s="1"/>
      <c r="CU345" s="1"/>
    </row>
    <row r="346" spans="1:99" s="13" customFormat="1" ht="12" customHeight="1" x14ac:dyDescent="0.2">
      <c r="A346" s="65">
        <v>43899</v>
      </c>
      <c r="B346" s="1"/>
      <c r="C346" s="1"/>
      <c r="D346" s="60"/>
      <c r="E346" s="76"/>
      <c r="F346" s="60"/>
      <c r="G346" s="60"/>
      <c r="H346" s="60"/>
      <c r="I346" s="74"/>
      <c r="J346" s="60"/>
      <c r="K346" s="64"/>
      <c r="L346" s="64"/>
      <c r="M346" s="60"/>
      <c r="N346" s="61"/>
      <c r="O346" s="60"/>
      <c r="P346" s="60"/>
      <c r="Q346" s="60"/>
      <c r="R346" s="60"/>
      <c r="S346" s="60"/>
      <c r="T346" s="59"/>
      <c r="U346" s="60"/>
      <c r="V346" s="59"/>
      <c r="W346" s="60"/>
      <c r="X346" s="60"/>
      <c r="Y346" s="76"/>
      <c r="Z346" s="60"/>
      <c r="AA346" s="60"/>
      <c r="AB346" s="60"/>
      <c r="AC346" s="56"/>
      <c r="AD346" s="60"/>
      <c r="AE346" s="60"/>
      <c r="AF346" s="80"/>
      <c r="AG346" s="56"/>
      <c r="AH346" s="4"/>
      <c r="AI346" s="56"/>
      <c r="AJ346" s="109"/>
      <c r="AK346" s="56"/>
      <c r="AL346" s="56"/>
      <c r="AM346" s="56"/>
      <c r="AN346" s="56"/>
      <c r="AO346" s="82"/>
      <c r="AP346" s="82"/>
      <c r="AQ346" s="83"/>
      <c r="AR346" s="116"/>
      <c r="AS346" s="84"/>
      <c r="AT346" s="84"/>
      <c r="AU346" s="3"/>
      <c r="AV346" s="25">
        <v>3600</v>
      </c>
      <c r="AW346" s="25">
        <v>172800</v>
      </c>
      <c r="AX346" s="25">
        <v>604800</v>
      </c>
      <c r="AY346" s="53"/>
      <c r="AZ346" s="53"/>
      <c r="BA346" s="53"/>
      <c r="BB346" s="53"/>
      <c r="BC346" s="53"/>
      <c r="BD346" s="53"/>
      <c r="BE346" s="53"/>
      <c r="BF346" s="53"/>
      <c r="BG346" s="53"/>
      <c r="BH346" s="53"/>
      <c r="BI346" s="53"/>
      <c r="BJ346" s="53"/>
      <c r="BK346" s="53"/>
      <c r="BL346" s="53"/>
      <c r="BM346" s="53"/>
      <c r="BN346" s="53"/>
      <c r="BO346" s="53"/>
      <c r="BP346" s="53"/>
      <c r="BQ346" s="53"/>
      <c r="BR346" s="53"/>
      <c r="BS346" s="53"/>
      <c r="BT346" s="53"/>
      <c r="BU346" s="53"/>
      <c r="BV346" s="53"/>
      <c r="BW346" s="53"/>
      <c r="BX346" s="53"/>
      <c r="BY346" s="53"/>
      <c r="BZ346" s="53"/>
      <c r="CA346" s="53"/>
      <c r="CB346" s="53"/>
      <c r="CC346" s="53"/>
      <c r="CD346" s="53"/>
      <c r="CE346" s="53"/>
      <c r="CF346" s="53"/>
      <c r="CG346" s="53"/>
      <c r="CH346" s="53"/>
      <c r="CI346" s="53"/>
      <c r="CJ346" s="53"/>
      <c r="CK346" s="53"/>
      <c r="CL346" s="53"/>
      <c r="CM346" s="53"/>
      <c r="CN346" s="53"/>
      <c r="CO346" s="53"/>
      <c r="CP346" s="53"/>
      <c r="CQ346" s="53"/>
      <c r="CR346" s="1"/>
      <c r="CS346" s="1"/>
      <c r="CT346" s="1"/>
      <c r="CU346" s="1"/>
    </row>
    <row r="347" spans="1:99" s="13" customFormat="1" ht="12" customHeight="1" x14ac:dyDescent="0.25">
      <c r="A347" s="65">
        <v>43899</v>
      </c>
      <c r="B347" s="1" t="s">
        <v>378</v>
      </c>
      <c r="C347" s="1" t="s">
        <v>107</v>
      </c>
      <c r="D347" s="60">
        <v>1994</v>
      </c>
      <c r="E347" s="76">
        <v>2</v>
      </c>
      <c r="F347" s="60">
        <v>72</v>
      </c>
      <c r="G347" s="60">
        <v>24</v>
      </c>
      <c r="H347" s="60" t="s">
        <v>50</v>
      </c>
      <c r="I347" s="74" t="s">
        <v>380</v>
      </c>
      <c r="J347" s="60" t="s">
        <v>61</v>
      </c>
      <c r="K347" s="60">
        <f>IF(J347="syllables",1,IF(J347="trigrams",2,IF(J347="strings",3,IF(J347="visual array",4,IF(J347="characters",5,IF(J347="letters",6,IF(J347="free forms",7,IF(J347="odors",8,IF(J347="words",9,IF(J347="pictures",10,IF(J347="object pictures",11,IF(J347="faces",12,IF(J347="names",13,IF(J347="idioms",14,IF(J347="grades",15,IF(J347="syllable-digit pairs",16,IF(J347="trigram-word pairs",17,IF(J347="word-digit pairs",18,IF(J347="English-Swahili pairs",19,IF(J347="spatial position",20,IF(J347="word pairs",21,IF(J347="word triads",22,IF(J347="generated words",23,IF(J347="word definition pairs",24,IF(J347="math problems",25,IF(J347="famous faces",26,IF(J347="famous names",27,IF(J347="famous voices",28,IF(J347="television programs",29,IF(J347="race horses",30,IF(J347="new vocabulary",31,IF(J347="sentences",32,IF(J347="concepts",33,IF(J347="ad slides",34,IF(J347="scenes",35,IF(J347="famous scenes",36,IF(J347="poems",37,IF(J347="walk",38,IF(J347="faces and events",39,IF(J347="events and names",40,IF(J347="flashbulb",41,IF(J347="stories",42,IF(J347="course material",43,IF(J347="autobiographical",44,IF(J347="novels",45,IF(J347="public events",46,"99"))))))))))))))))))))))))))))))))))))))))))))))</f>
        <v>42</v>
      </c>
      <c r="L347" s="60">
        <f>IF(J347="syllables",1,IF(J347="trigrams",1,IF(J347="strings",1,IF(J347="visual array",1,IF(J347="characters",1,IF(J347="letters",1,IF(J347="free forms",1,IF(J347="odors",2,IF(J347="words",2,IF(J347="pictures",2,IF(J347="object pictures",2,IF(J347="faces",2,IF(J347="names",2,IF(J347="idioms","2",IF(J347="grades",2,IF(J347="syllable-digit pairs",3,IF(J347="trigram-word pairs",3,IF(J347="word-digit pairs",3,IF(J347="English-Swahili pairs",3,IF(J347="spatial position",3,IF(J347="word pairs",4,IF(J347="word triads",4,IF(J347="generated words",4,IF(J347="word definition pairs",4,IF(J347="math problems",4,IF(J347="famous faces",4,IF(J347="famous names",4,IF(J347="famous voices",4,IF(J347="television programs",4,IF(J347="race horses",4,IF(J347="new vocabulary",4,IF(J347="sentences",5,IF(J347="concepts",5,IF(J347="ad slides",5,IF(J347="scenes",5,IF(J347="famous scenes",5,IF(J347="poems",6,IF(J347="walk",6,IF(J347="faces and events",6,IF(J347="events and names",6,IF(J347="flashbulb",7,IF(J347="stories",7,IF(J347="course material",7,IF(J347="autobiographical",7,IF(J347="novels",7,IF(J347="public events",7,"99"))))))))))))))))))))))))))))))))))))))))))))))</f>
        <v>7</v>
      </c>
      <c r="M347" s="60">
        <v>0</v>
      </c>
      <c r="N347" s="61">
        <v>3</v>
      </c>
      <c r="O347" s="60">
        <v>0</v>
      </c>
      <c r="P347" s="60"/>
      <c r="Q347" s="60" t="s">
        <v>174</v>
      </c>
      <c r="R347" s="60">
        <f>IF(Q347="Free Recall",1,IF(Q347="Cued Recall",2,IF(Q347="Recognition",3,IF(Q347="Multiple Choice",4,IF(Q347="Savings",5,IF(Q347="Stem Completion",6,IF(Q347="Fragment Completion",7,IF(Q347="anagram solution",8,IF(Q347="Matching",9,IF(Q347="Problem Solving",10,"99"))))))))))</f>
        <v>1</v>
      </c>
      <c r="S347" s="60" t="s">
        <v>49</v>
      </c>
      <c r="T347" s="59" t="s">
        <v>261</v>
      </c>
      <c r="U347" s="60">
        <f>IF(T347="within",1,0)</f>
        <v>0</v>
      </c>
      <c r="V347" s="59">
        <v>12</v>
      </c>
      <c r="W347" s="60">
        <f>F347*V347</f>
        <v>864</v>
      </c>
      <c r="X347" s="60">
        <v>3</v>
      </c>
      <c r="Y347" s="76">
        <f>AV346</f>
        <v>3600</v>
      </c>
      <c r="Z347" s="60" t="s">
        <v>97</v>
      </c>
      <c r="AA347" s="60">
        <v>604800</v>
      </c>
      <c r="AB347" s="60" t="str">
        <f>IF(AA347&lt;60,"1",IF(AA347&lt;=43200,"2",IF(AA347&lt;=777600,"3","4")))</f>
        <v>3</v>
      </c>
      <c r="AC347" s="56">
        <f>AVERAGE(AV346:DA346)</f>
        <v>260400</v>
      </c>
      <c r="AD347" s="60" t="str">
        <f>IF(AC347&lt;60,"1",IF(AC347&lt;=43200,"2",IF(AC347&lt;=777600,"3","4")))</f>
        <v>3</v>
      </c>
      <c r="AE347" s="76">
        <f>AA347-Y347</f>
        <v>601200</v>
      </c>
      <c r="AF347" s="80">
        <f>AV347</f>
        <v>0.51244984691086604</v>
      </c>
      <c r="AG347" s="56">
        <f>((AW347-AV347)+(AX347-AW347))/2</f>
        <v>-0.18982606995319451</v>
      </c>
      <c r="AH347" s="4"/>
      <c r="AI347" s="56">
        <f>RSQ(AV347:AX347,AV346:AX346)</f>
        <v>0.93273696112589299</v>
      </c>
      <c r="AJ347" s="109">
        <f>SLOPE(AV347:AX347,AV346:AX346)</f>
        <v>-5.9140922049254431E-7</v>
      </c>
      <c r="AK347" s="56">
        <f>INTERCEPT(AV347:AX347,AV346:AX346)</f>
        <v>0.47496755043953559</v>
      </c>
      <c r="AL347" s="56">
        <f>INDEX(LINEST(LN(AV347:AX347),LN(AV346:AX346),TRUE,TRUE),3,1)</f>
        <v>0.80788233316330937</v>
      </c>
      <c r="AM347" s="56">
        <f>INDEX(LINEST(LN(AV347:AX347),LN(AV346:AX346)),1)</f>
        <v>-0.23039340924468046</v>
      </c>
      <c r="AN347" s="56">
        <f>EXP(INDEX(LINEST(LN(AV347:AX347),LN(AV346:AX346)),1,2))</f>
        <v>3.6668377820798548</v>
      </c>
      <c r="AO347" s="82">
        <f>INDEX(LINEST((AV347:AX347),LN(AV346:AX346),TRUE,TRUE),3,1)</f>
        <v>0.92794738095615503</v>
      </c>
      <c r="AP347" s="82">
        <f>INDEX(LINEST((AV347:AX347),LN(AV346:AX346)),1)</f>
        <v>-6.8464771813635777E-2</v>
      </c>
      <c r="AQ347" s="83">
        <f>INDEX(LINEST(LN(AV347:AX347),SQRT(AV346:AX346),TRUE,TRUE),3,1)</f>
        <v>0.97406379313941127</v>
      </c>
      <c r="AR347" s="116">
        <f>INDEX(LINEST(LN(AV347:AX347),SQRT((AV346:AX346))),1)</f>
        <v>-1.8831200876910743E-3</v>
      </c>
      <c r="AS347" s="84">
        <f>INDEX(LINEST(1/(AV347:AX347),1/(SQRT(AV346:AX346)),TRUE,TRUE),3,1)</f>
        <v>0.50870521691813331</v>
      </c>
      <c r="AT347" s="84">
        <f>INDEX(LINEST(1/(AV347:AX347),1/SQRT(AV346:AX346)),1)</f>
        <v>-244.28996366523648</v>
      </c>
      <c r="AU347" s="3"/>
      <c r="AV347" s="175">
        <v>0.51244984691086604</v>
      </c>
      <c r="AW347" s="175">
        <v>0.31764621435448803</v>
      </c>
      <c r="AX347" s="175">
        <v>0.13279770700447699</v>
      </c>
      <c r="AY347" s="53"/>
      <c r="AZ347" s="135"/>
      <c r="BA347" s="135"/>
      <c r="BB347" s="135"/>
      <c r="BC347" s="53"/>
      <c r="BD347" s="53"/>
      <c r="BE347" s="53"/>
      <c r="BF347" s="53"/>
      <c r="BG347" s="53"/>
      <c r="BH347" s="53"/>
      <c r="BI347" s="53"/>
      <c r="BJ347" s="53"/>
      <c r="BK347" s="53"/>
      <c r="BL347" s="53"/>
      <c r="BM347" s="53"/>
      <c r="BN347" s="53"/>
      <c r="BO347" s="53"/>
      <c r="BP347" s="53"/>
      <c r="BQ347" s="53"/>
      <c r="BR347" s="53"/>
      <c r="BS347" s="53"/>
      <c r="BT347" s="53"/>
      <c r="BU347" s="53"/>
      <c r="BV347" s="53"/>
      <c r="BW347" s="53"/>
      <c r="BX347" s="53"/>
      <c r="BY347" s="53"/>
      <c r="BZ347" s="53"/>
      <c r="CA347" s="53"/>
      <c r="CB347" s="53"/>
      <c r="CC347" s="53"/>
      <c r="CD347" s="53"/>
      <c r="CE347" s="53"/>
      <c r="CF347" s="53"/>
      <c r="CG347" s="53"/>
      <c r="CH347" s="53"/>
      <c r="CI347" s="53"/>
      <c r="CJ347" s="53"/>
      <c r="CK347" s="53"/>
      <c r="CL347" s="53"/>
      <c r="CM347" s="53"/>
      <c r="CN347" s="53"/>
      <c r="CO347" s="53"/>
      <c r="CP347" s="53"/>
      <c r="CQ347" s="53"/>
      <c r="CR347" s="1"/>
      <c r="CS347" s="1"/>
      <c r="CT347" s="1"/>
      <c r="CU347" s="1"/>
    </row>
    <row r="348" spans="1:99" s="13" customFormat="1" ht="12" customHeight="1" x14ac:dyDescent="0.2">
      <c r="A348" s="65">
        <v>43899</v>
      </c>
      <c r="B348" s="1"/>
      <c r="C348" s="1"/>
      <c r="D348" s="60"/>
      <c r="E348" s="76"/>
      <c r="F348" s="60"/>
      <c r="G348" s="60"/>
      <c r="H348" s="60"/>
      <c r="I348" s="74"/>
      <c r="J348" s="60"/>
      <c r="K348" s="64"/>
      <c r="L348" s="64"/>
      <c r="M348" s="60"/>
      <c r="N348" s="61"/>
      <c r="O348" s="60"/>
      <c r="P348" s="60"/>
      <c r="Q348" s="60"/>
      <c r="R348" s="60"/>
      <c r="S348" s="60"/>
      <c r="T348" s="59"/>
      <c r="U348" s="60"/>
      <c r="V348" s="59"/>
      <c r="W348" s="60"/>
      <c r="X348" s="60"/>
      <c r="Y348" s="76"/>
      <c r="Z348" s="60"/>
      <c r="AA348" s="60"/>
      <c r="AB348" s="60"/>
      <c r="AC348" s="56"/>
      <c r="AD348" s="60"/>
      <c r="AE348" s="60"/>
      <c r="AF348" s="80"/>
      <c r="AG348" s="56"/>
      <c r="AH348" s="4"/>
      <c r="AI348" s="56"/>
      <c r="AJ348" s="109"/>
      <c r="AK348" s="56"/>
      <c r="AL348" s="56"/>
      <c r="AM348" s="56"/>
      <c r="AN348" s="56"/>
      <c r="AO348" s="82"/>
      <c r="AP348" s="82"/>
      <c r="AQ348" s="83"/>
      <c r="AR348" s="116"/>
      <c r="AS348" s="84"/>
      <c r="AT348" s="84"/>
      <c r="AU348" s="3"/>
      <c r="AV348" s="25">
        <v>3600</v>
      </c>
      <c r="AW348" s="25">
        <v>172800</v>
      </c>
      <c r="AX348" s="25">
        <v>604800</v>
      </c>
      <c r="AY348" s="53"/>
      <c r="AZ348" s="53"/>
      <c r="BA348" s="53"/>
      <c r="BB348" s="53"/>
      <c r="BC348" s="53"/>
      <c r="BD348" s="53"/>
      <c r="BE348" s="53"/>
      <c r="BF348" s="53"/>
      <c r="BG348" s="53"/>
      <c r="BH348" s="53"/>
      <c r="BI348" s="53"/>
      <c r="BJ348" s="53"/>
      <c r="BK348" s="53"/>
      <c r="BL348" s="53"/>
      <c r="BM348" s="53"/>
      <c r="BN348" s="53"/>
      <c r="BO348" s="53"/>
      <c r="BP348" s="53"/>
      <c r="BQ348" s="53"/>
      <c r="BR348" s="53"/>
      <c r="BS348" s="53"/>
      <c r="BT348" s="53"/>
      <c r="BU348" s="53"/>
      <c r="BV348" s="53"/>
      <c r="BW348" s="53"/>
      <c r="BX348" s="53"/>
      <c r="BY348" s="53"/>
      <c r="BZ348" s="53"/>
      <c r="CA348" s="53"/>
      <c r="CB348" s="53"/>
      <c r="CC348" s="53"/>
      <c r="CD348" s="53"/>
      <c r="CE348" s="53"/>
      <c r="CF348" s="53"/>
      <c r="CG348" s="53"/>
      <c r="CH348" s="53"/>
      <c r="CI348" s="53"/>
      <c r="CJ348" s="53"/>
      <c r="CK348" s="53"/>
      <c r="CL348" s="53"/>
      <c r="CM348" s="53"/>
      <c r="CN348" s="53"/>
      <c r="CO348" s="53"/>
      <c r="CP348" s="53"/>
      <c r="CQ348" s="53"/>
      <c r="CR348" s="1"/>
      <c r="CS348" s="1"/>
      <c r="CT348" s="1"/>
      <c r="CU348" s="1"/>
    </row>
    <row r="349" spans="1:99" s="13" customFormat="1" ht="12" customHeight="1" x14ac:dyDescent="0.25">
      <c r="A349" s="65">
        <v>43899</v>
      </c>
      <c r="B349" s="1" t="s">
        <v>378</v>
      </c>
      <c r="C349" s="1" t="s">
        <v>107</v>
      </c>
      <c r="D349" s="60">
        <v>1994</v>
      </c>
      <c r="E349" s="76">
        <v>2</v>
      </c>
      <c r="F349" s="60">
        <v>72</v>
      </c>
      <c r="G349" s="60">
        <v>24</v>
      </c>
      <c r="H349" s="60" t="s">
        <v>50</v>
      </c>
      <c r="I349" s="74" t="s">
        <v>381</v>
      </c>
      <c r="J349" s="60" t="s">
        <v>61</v>
      </c>
      <c r="K349" s="60">
        <f>IF(J349="syllables",1,IF(J349="trigrams",2,IF(J349="strings",3,IF(J349="visual array",4,IF(J349="characters",5,IF(J349="letters",6,IF(J349="free forms",7,IF(J349="odors",8,IF(J349="words",9,IF(J349="pictures",10,IF(J349="object pictures",11,IF(J349="faces",12,IF(J349="names",13,IF(J349="idioms",14,IF(J349="grades",15,IF(J349="syllable-digit pairs",16,IF(J349="trigram-word pairs",17,IF(J349="word-digit pairs",18,IF(J349="English-Swahili pairs",19,IF(J349="spatial position",20,IF(J349="word pairs",21,IF(J349="word triads",22,IF(J349="generated words",23,IF(J349="word definition pairs",24,IF(J349="math problems",25,IF(J349="famous faces",26,IF(J349="famous names",27,IF(J349="famous voices",28,IF(J349="television programs",29,IF(J349="race horses",30,IF(J349="new vocabulary",31,IF(J349="sentences",32,IF(J349="concepts",33,IF(J349="ad slides",34,IF(J349="scenes",35,IF(J349="famous scenes",36,IF(J349="poems",37,IF(J349="walk",38,IF(J349="faces and events",39,IF(J349="events and names",40,IF(J349="flashbulb",41,IF(J349="stories",42,IF(J349="course material",43,IF(J349="autobiographical",44,IF(J349="novels",45,IF(J349="public events",46,"99"))))))))))))))))))))))))))))))))))))))))))))))</f>
        <v>42</v>
      </c>
      <c r="L349" s="60">
        <f>IF(J349="syllables",1,IF(J349="trigrams",1,IF(J349="strings",1,IF(J349="visual array",1,IF(J349="characters",1,IF(J349="letters",1,IF(J349="free forms",1,IF(J349="odors",2,IF(J349="words",2,IF(J349="pictures",2,IF(J349="object pictures",2,IF(J349="faces",2,IF(J349="names",2,IF(J349="idioms","2",IF(J349="grades",2,IF(J349="syllable-digit pairs",3,IF(J349="trigram-word pairs",3,IF(J349="word-digit pairs",3,IF(J349="English-Swahili pairs",3,IF(J349="spatial position",3,IF(J349="word pairs",4,IF(J349="word triads",4,IF(J349="generated words",4,IF(J349="word definition pairs",4,IF(J349="math problems",4,IF(J349="famous faces",4,IF(J349="famous names",4,IF(J349="famous voices",4,IF(J349="television programs",4,IF(J349="race horses",4,IF(J349="new vocabulary",4,IF(J349="sentences",5,IF(J349="concepts",5,IF(J349="ad slides",5,IF(J349="scenes",5,IF(J349="famous scenes",5,IF(J349="poems",6,IF(J349="walk",6,IF(J349="faces and events",6,IF(J349="events and names",6,IF(J349="flashbulb",7,IF(J349="stories",7,IF(J349="course material",7,IF(J349="autobiographical",7,IF(J349="novels",7,IF(J349="public events",7,"99"))))))))))))))))))))))))))))))))))))))))))))))</f>
        <v>7</v>
      </c>
      <c r="M349" s="60">
        <v>0</v>
      </c>
      <c r="N349" s="61">
        <v>3</v>
      </c>
      <c r="O349" s="60">
        <v>0</v>
      </c>
      <c r="P349" s="60"/>
      <c r="Q349" s="60" t="s">
        <v>174</v>
      </c>
      <c r="R349" s="60">
        <f>IF(Q349="Free Recall",1,IF(Q349="Cued Recall",2,IF(Q349="Recognition",3,IF(Q349="Multiple Choice",4,IF(Q349="Savings",5,IF(Q349="Stem Completion",6,IF(Q349="Fragment Completion",7,IF(Q349="anagram solution",8,IF(Q349="Matching",9,IF(Q349="Problem Solving",10,"99"))))))))))</f>
        <v>1</v>
      </c>
      <c r="S349" s="60" t="s">
        <v>49</v>
      </c>
      <c r="T349" s="59" t="s">
        <v>261</v>
      </c>
      <c r="U349" s="60">
        <f>IF(T349="within",1,0)</f>
        <v>0</v>
      </c>
      <c r="V349" s="59">
        <v>12</v>
      </c>
      <c r="W349" s="60">
        <f>F349*V349</f>
        <v>864</v>
      </c>
      <c r="X349" s="60">
        <v>3</v>
      </c>
      <c r="Y349" s="76">
        <f>AV348</f>
        <v>3600</v>
      </c>
      <c r="Z349" s="60" t="s">
        <v>97</v>
      </c>
      <c r="AA349" s="60">
        <v>604800</v>
      </c>
      <c r="AB349" s="60" t="str">
        <f>IF(AA349&lt;60,"1",IF(AA349&lt;=43200,"2",IF(AA349&lt;=777600,"3","4")))</f>
        <v>3</v>
      </c>
      <c r="AC349" s="56">
        <f>AVERAGE(AV348:DA348)</f>
        <v>260400</v>
      </c>
      <c r="AD349" s="60" t="str">
        <f>IF(AC349&lt;60,"1",IF(AC349&lt;=43200,"2",IF(AC349&lt;=777600,"3","4")))</f>
        <v>3</v>
      </c>
      <c r="AE349" s="76">
        <f>AA349-Y349</f>
        <v>601200</v>
      </c>
      <c r="AF349" s="80">
        <f>AV349</f>
        <v>0.73625749666471052</v>
      </c>
      <c r="AG349" s="56">
        <f>((AW349-AV349)+(AX349-AW349))/2</f>
        <v>-0.12390492385146024</v>
      </c>
      <c r="AH349" s="4"/>
      <c r="AI349" s="56">
        <f>RSQ(AV349:AX349,AV348:AX348)</f>
        <v>0.84298004992707154</v>
      </c>
      <c r="AJ349" s="109">
        <f>SLOPE(AV349:AX349,AV348:AX348)</f>
        <v>-3.7170524989909107E-7</v>
      </c>
      <c r="AK349" s="56">
        <f>INTERCEPT(AV349:AX349,AV348:AX348)</f>
        <v>0.69758360576119072</v>
      </c>
      <c r="AL349" s="56">
        <f>INDEX(LINEST(LN(AV349:AX349),LN(AV348:AX348),TRUE,TRUE),3,1)</f>
        <v>0.96722969412361615</v>
      </c>
      <c r="AM349" s="56">
        <f>INDEX(LINEST(LN(AV349:AX349),LN(AV348:AX348)),1)</f>
        <v>-7.5958959080907149E-2</v>
      </c>
      <c r="AN349" s="56">
        <f>EXP(INDEX(LINEST(LN(AV349:AX349),LN(AV348:AX348)),1,2))</f>
        <v>1.3853343767851249</v>
      </c>
      <c r="AO349" s="82">
        <f>INDEX(LINEST((AV349:AX349),LN(AV348:AX348),TRUE,TRUE),3,1)</f>
        <v>0.98403978205800746</v>
      </c>
      <c r="AP349" s="82">
        <f>INDEX(LINEST((AV349:AX349),LN(AV348:AX348)),1)</f>
        <v>-4.6611530869321384E-2</v>
      </c>
      <c r="AQ349" s="83">
        <f>INDEX(LINEST(LN(AV349:AX349),SQRT(AV348:AX348),TRUE,TRUE),3,1)</f>
        <v>0.98796198766379462</v>
      </c>
      <c r="AR349" s="116">
        <f>INDEX(LINEST(LN(AV349:AX349),SQRT((AV348:AX348))),1)</f>
        <v>-5.7144262471100257E-4</v>
      </c>
      <c r="AS349" s="84">
        <f>INDEX(LINEST(1/(AV349:AX349),1/(SQRT(AV348:AX348)),TRUE,TRUE),3,1)</f>
        <v>0.84051040452912673</v>
      </c>
      <c r="AT349" s="84">
        <f>INDEX(LINEST(1/(AV349:AX349),1/SQRT(AV348:AX348)),1)</f>
        <v>-36.877287883652848</v>
      </c>
      <c r="AU349" s="3"/>
      <c r="AV349" s="175">
        <v>0.73625749666471052</v>
      </c>
      <c r="AW349" s="175">
        <v>0.57766953043590152</v>
      </c>
      <c r="AX349" s="175">
        <v>0.48844764896179005</v>
      </c>
      <c r="AY349" s="53"/>
      <c r="AZ349" s="135"/>
      <c r="BA349" s="135"/>
      <c r="BB349" s="135"/>
      <c r="BC349" s="53"/>
      <c r="BD349" s="53"/>
      <c r="BE349" s="53"/>
      <c r="BF349" s="53"/>
      <c r="BG349" s="53"/>
      <c r="BH349" s="53"/>
      <c r="BI349" s="53"/>
      <c r="BJ349" s="53"/>
      <c r="BK349" s="53"/>
      <c r="BL349" s="53"/>
      <c r="BM349" s="53"/>
      <c r="BN349" s="53"/>
      <c r="BO349" s="53"/>
      <c r="BP349" s="53"/>
      <c r="BQ349" s="53"/>
      <c r="BR349" s="53"/>
      <c r="BS349" s="53"/>
      <c r="BT349" s="53"/>
      <c r="BU349" s="53"/>
      <c r="BV349" s="53"/>
      <c r="BW349" s="53"/>
      <c r="BX349" s="53"/>
      <c r="BY349" s="53"/>
      <c r="BZ349" s="53"/>
      <c r="CA349" s="53"/>
      <c r="CB349" s="53"/>
      <c r="CC349" s="53"/>
      <c r="CD349" s="53"/>
      <c r="CE349" s="53"/>
      <c r="CF349" s="53"/>
      <c r="CG349" s="53"/>
      <c r="CH349" s="53"/>
      <c r="CI349" s="53"/>
      <c r="CJ349" s="53"/>
      <c r="CK349" s="53"/>
      <c r="CL349" s="53"/>
      <c r="CM349" s="53"/>
      <c r="CN349" s="53"/>
      <c r="CO349" s="53"/>
      <c r="CP349" s="53"/>
      <c r="CQ349" s="53"/>
      <c r="CR349" s="1"/>
      <c r="CS349" s="1"/>
      <c r="CT349" s="1"/>
      <c r="CU349" s="1"/>
    </row>
    <row r="350" spans="1:99" s="13" customFormat="1" ht="12" customHeight="1" x14ac:dyDescent="0.25">
      <c r="A350" s="65">
        <v>43899</v>
      </c>
      <c r="B350" s="1"/>
      <c r="C350" s="1"/>
      <c r="D350" s="60"/>
      <c r="E350" s="76"/>
      <c r="F350" s="60"/>
      <c r="G350" s="60"/>
      <c r="H350" s="60"/>
      <c r="I350" s="74"/>
      <c r="J350" s="60"/>
      <c r="K350" s="64"/>
      <c r="L350" s="64"/>
      <c r="M350" s="60"/>
      <c r="N350" s="61"/>
      <c r="O350" s="60"/>
      <c r="P350" s="60"/>
      <c r="Q350" s="60"/>
      <c r="R350" s="60"/>
      <c r="S350" s="60"/>
      <c r="T350" s="59"/>
      <c r="U350" s="60"/>
      <c r="V350" s="59"/>
      <c r="W350" s="60"/>
      <c r="X350" s="60"/>
      <c r="Y350" s="76"/>
      <c r="Z350" s="60"/>
      <c r="AA350" s="60"/>
      <c r="AB350" s="60"/>
      <c r="AC350" s="56"/>
      <c r="AD350" s="60"/>
      <c r="AE350" s="60"/>
      <c r="AF350" s="80"/>
      <c r="AG350" s="56"/>
      <c r="AH350" s="4"/>
      <c r="AI350" s="56"/>
      <c r="AJ350" s="109"/>
      <c r="AK350" s="56"/>
      <c r="AL350" s="56"/>
      <c r="AM350" s="56"/>
      <c r="AN350" s="56"/>
      <c r="AO350" s="82"/>
      <c r="AP350" s="82"/>
      <c r="AQ350" s="83"/>
      <c r="AR350" s="116"/>
      <c r="AS350" s="84"/>
      <c r="AT350" s="84"/>
      <c r="AU350" s="3"/>
      <c r="AV350" s="25">
        <v>3600</v>
      </c>
      <c r="AW350" s="25">
        <v>172800</v>
      </c>
      <c r="AX350" s="25">
        <v>604800</v>
      </c>
      <c r="AY350" s="53"/>
      <c r="AZ350" s="135"/>
      <c r="BA350" s="135"/>
      <c r="BB350" s="135"/>
      <c r="BC350" s="53"/>
      <c r="BD350" s="53"/>
      <c r="BE350" s="53"/>
      <c r="BF350" s="53"/>
      <c r="BG350" s="53"/>
      <c r="BH350" s="53"/>
      <c r="BI350" s="53"/>
      <c r="BJ350" s="53"/>
      <c r="BK350" s="53"/>
      <c r="BL350" s="53"/>
      <c r="BM350" s="53"/>
      <c r="BN350" s="53"/>
      <c r="BO350" s="53"/>
      <c r="BP350" s="53"/>
      <c r="BQ350" s="53"/>
      <c r="BR350" s="53"/>
      <c r="BS350" s="53"/>
      <c r="BT350" s="53"/>
      <c r="BU350" s="53"/>
      <c r="BV350" s="53"/>
      <c r="BW350" s="53"/>
      <c r="BX350" s="53"/>
      <c r="BY350" s="53"/>
      <c r="BZ350" s="53"/>
      <c r="CA350" s="53"/>
      <c r="CB350" s="53"/>
      <c r="CC350" s="53"/>
      <c r="CD350" s="53"/>
      <c r="CE350" s="53"/>
      <c r="CF350" s="53"/>
      <c r="CG350" s="53"/>
      <c r="CH350" s="53"/>
      <c r="CI350" s="53"/>
      <c r="CJ350" s="53"/>
      <c r="CK350" s="53"/>
      <c r="CL350" s="53"/>
      <c r="CM350" s="53"/>
      <c r="CN350" s="53"/>
      <c r="CO350" s="53"/>
      <c r="CP350" s="53"/>
      <c r="CQ350" s="53"/>
      <c r="CR350" s="1"/>
      <c r="CS350" s="1"/>
      <c r="CT350" s="1"/>
      <c r="CU350" s="1"/>
    </row>
    <row r="351" spans="1:99" s="13" customFormat="1" ht="12" customHeight="1" x14ac:dyDescent="0.25">
      <c r="A351" s="65">
        <v>43899</v>
      </c>
      <c r="B351" s="1" t="s">
        <v>378</v>
      </c>
      <c r="C351" s="1" t="s">
        <v>107</v>
      </c>
      <c r="D351" s="60">
        <v>1994</v>
      </c>
      <c r="E351" s="76">
        <v>3</v>
      </c>
      <c r="F351" s="60">
        <v>36</v>
      </c>
      <c r="G351" s="60">
        <v>12</v>
      </c>
      <c r="H351" s="60" t="s">
        <v>41</v>
      </c>
      <c r="I351" s="74" t="s">
        <v>379</v>
      </c>
      <c r="J351" s="60" t="s">
        <v>61</v>
      </c>
      <c r="K351" s="60">
        <f>IF(J351="syllables",1,IF(J351="trigrams",2,IF(J351="strings",3,IF(J351="visual array",4,IF(J351="characters",5,IF(J351="letters",6,IF(J351="free forms",7,IF(J351="odors",8,IF(J351="words",9,IF(J351="pictures",10,IF(J351="object pictures",11,IF(J351="faces",12,IF(J351="names",13,IF(J351="idioms",14,IF(J351="grades",15,IF(J351="syllable-digit pairs",16,IF(J351="trigram-word pairs",17,IF(J351="word-digit pairs",18,IF(J351="English-Swahili pairs",19,IF(J351="spatial position",20,IF(J351="word pairs",21,IF(J351="word triads",22,IF(J351="generated words",23,IF(J351="word definition pairs",24,IF(J351="math problems",25,IF(J351="famous faces",26,IF(J351="famous names",27,IF(J351="famous voices",28,IF(J351="television programs",29,IF(J351="race horses",30,IF(J351="new vocabulary",31,IF(J351="sentences",32,IF(J351="concepts",33,IF(J351="ad slides",34,IF(J351="scenes",35,IF(J351="famous scenes",36,IF(J351="poems",37,IF(J351="walk",38,IF(J351="faces and events",39,IF(J351="events and names",40,IF(J351="flashbulb",41,IF(J351="stories",42,IF(J351="course material",43,IF(J351="autobiographical",44,IF(J351="novels",45,IF(J351="public events",46,"99"))))))))))))))))))))))))))))))))))))))))))))))</f>
        <v>42</v>
      </c>
      <c r="L351" s="60">
        <f>IF(J351="syllables",1,IF(J351="trigrams",1,IF(J351="strings",1,IF(J351="visual array",1,IF(J351="characters",1,IF(J351="letters",1,IF(J351="free forms",1,IF(J351="odors",2,IF(J351="words",2,IF(J351="pictures",2,IF(J351="object pictures",2,IF(J351="faces",2,IF(J351="names",2,IF(J351="idioms","2",IF(J351="grades",2,IF(J351="syllable-digit pairs",3,IF(J351="trigram-word pairs",3,IF(J351="word-digit pairs",3,IF(J351="English-Swahili pairs",3,IF(J351="spatial position",3,IF(J351="word pairs",4,IF(J351="word triads",4,IF(J351="generated words",4,IF(J351="word definition pairs",4,IF(J351="math problems",4,IF(J351="famous faces",4,IF(J351="famous names",4,IF(J351="famous voices",4,IF(J351="television programs",4,IF(J351="race horses",4,IF(J351="new vocabulary",4,IF(J351="sentences",5,IF(J351="concepts",5,IF(J351="ad slides",5,IF(J351="scenes",5,IF(J351="famous scenes",5,IF(J351="poems",6,IF(J351="walk",6,IF(J351="faces and events",6,IF(J351="events and names",6,IF(J351="flashbulb",7,IF(J351="stories",7,IF(J351="course material",7,IF(J351="autobiographical",7,IF(J351="novels",7,IF(J351="public events",7,"99"))))))))))))))))))))))))))))))))))))))))))))))</f>
        <v>7</v>
      </c>
      <c r="M351" s="60">
        <v>0</v>
      </c>
      <c r="N351" s="61">
        <v>3</v>
      </c>
      <c r="O351" s="60">
        <v>0</v>
      </c>
      <c r="P351" s="60"/>
      <c r="Q351" s="60" t="s">
        <v>174</v>
      </c>
      <c r="R351" s="60">
        <f>IF(Q351="Free Recall",1,IF(Q351="Cued Recall",2,IF(Q351="Recognition",3,IF(Q351="Multiple Choice",4,IF(Q351="Savings",5,IF(Q351="Stem Completion",6,IF(Q351="Fragment Completion",7,IF(Q351="anagram solution",8,IF(Q351="Matching",9,IF(Q351="Problem Solving",10,"99"))))))))))</f>
        <v>1</v>
      </c>
      <c r="S351" s="60" t="s">
        <v>49</v>
      </c>
      <c r="T351" s="59" t="s">
        <v>261</v>
      </c>
      <c r="U351" s="60">
        <f>IF(T351="within",1,0)</f>
        <v>0</v>
      </c>
      <c r="V351" s="59">
        <v>12</v>
      </c>
      <c r="W351" s="60">
        <f>F351*V351</f>
        <v>432</v>
      </c>
      <c r="X351" s="60">
        <v>3</v>
      </c>
      <c r="Y351" s="76">
        <f>AV350</f>
        <v>3600</v>
      </c>
      <c r="Z351" s="60" t="s">
        <v>97</v>
      </c>
      <c r="AA351" s="60">
        <v>604800</v>
      </c>
      <c r="AB351" s="60" t="str">
        <f>IF(AA351&lt;60,"1",IF(AA351&lt;=43200,"2",IF(AA351&lt;=777600,"3","4")))</f>
        <v>3</v>
      </c>
      <c r="AC351" s="56">
        <f>AVERAGE(AV350:DA350)</f>
        <v>260400</v>
      </c>
      <c r="AD351" s="60" t="str">
        <f>IF(AC351&lt;60,"1",IF(AC351&lt;=43200,"2",IF(AC351&lt;=777600,"3","4")))</f>
        <v>3</v>
      </c>
      <c r="AE351" s="76">
        <f>AA351-Y351</f>
        <v>601200</v>
      </c>
      <c r="AF351" s="80">
        <f>AV351</f>
        <v>0.49530761209593299</v>
      </c>
      <c r="AG351" s="56">
        <f>((AW351-AV351)+(AX351-AW351))/2</f>
        <v>-0.15224191866527648</v>
      </c>
      <c r="AH351" s="4"/>
      <c r="AI351" s="56">
        <f>RSQ(AV351:AX351,AV350:AX350)</f>
        <v>0.98341774623458833</v>
      </c>
      <c r="AJ351" s="109">
        <f>SLOPE(AV351:AX351,AV350:AX350)</f>
        <v>-4.9038926862682135E-7</v>
      </c>
      <c r="AK351" s="56">
        <f>INTERCEPT(AV351:AX351,AV350:AX350)</f>
        <v>0.48119058765678457</v>
      </c>
      <c r="AL351" s="56">
        <f>INDEX(LINEST(LN(AV351:AX351),LN(AV350:AX350),TRUE,TRUE),3,1)</f>
        <v>0.75231494844518099</v>
      </c>
      <c r="AM351" s="56">
        <f>INDEX(LINEST(LN(AV351:AX351),LN(AV350:AX350)),1)</f>
        <v>-0.15919993184058162</v>
      </c>
      <c r="AN351" s="56">
        <f>EXP(INDEX(LINEST(LN(AV351:AX351),LN(AV350:AX350)),1,2))</f>
        <v>1.948640614095831</v>
      </c>
      <c r="AO351" s="82">
        <f>INDEX(LINEST((AV351:AX351),LN(AV350:AX350),TRUE,TRUE),3,1)</f>
        <v>0.84476474361265153</v>
      </c>
      <c r="AP351" s="82">
        <f>INDEX(LINEST((AV351:AX351),LN(AV350:AX350)),1)</f>
        <v>-5.2751743653771124E-2</v>
      </c>
      <c r="AQ351" s="83">
        <f>INDEX(LINEST(LN(AV351:AX351),SQRT(AV350:AX350),TRUE,TRUE),3,1)</f>
        <v>0.94849005462877867</v>
      </c>
      <c r="AR351" s="116">
        <f>INDEX(LINEST(LN(AV351:AX351),SQRT((AV350:AX350))),1)</f>
        <v>-1.3306006849035459E-3</v>
      </c>
      <c r="AS351" s="84">
        <f>INDEX(LINEST(1/(AV351:AX351),1/(SQRT(AV350:AX350)),TRUE,TRUE),3,1)</f>
        <v>0.49624692007092358</v>
      </c>
      <c r="AT351" s="84">
        <f>INDEX(LINEST(1/(AV351:AX351),1/SQRT(AV350:AX350)),1)</f>
        <v>-139.91214791333843</v>
      </c>
      <c r="AU351" s="3"/>
      <c r="AV351" s="175">
        <v>0.49530761209593299</v>
      </c>
      <c r="AW351" s="175">
        <v>0.374348279457768</v>
      </c>
      <c r="AX351" s="175">
        <v>0.19082377476538001</v>
      </c>
      <c r="AY351" s="135"/>
      <c r="AZ351" s="135"/>
      <c r="BA351" s="135"/>
      <c r="BB351" s="135"/>
      <c r="BC351" s="53"/>
      <c r="BD351" s="53"/>
      <c r="BE351" s="53"/>
      <c r="BF351" s="53"/>
      <c r="BG351" s="53"/>
      <c r="BH351" s="53"/>
      <c r="BI351" s="53"/>
      <c r="BJ351" s="53"/>
      <c r="BK351" s="53"/>
      <c r="BL351" s="53"/>
      <c r="BM351" s="53"/>
      <c r="BN351" s="53"/>
      <c r="BO351" s="53"/>
      <c r="BP351" s="53"/>
      <c r="BQ351" s="53"/>
      <c r="BR351" s="53"/>
      <c r="BS351" s="53"/>
      <c r="BT351" s="53"/>
      <c r="BU351" s="53"/>
      <c r="BV351" s="53"/>
      <c r="BW351" s="53"/>
      <c r="BX351" s="53"/>
      <c r="BY351" s="53"/>
      <c r="BZ351" s="53"/>
      <c r="CA351" s="53"/>
      <c r="CB351" s="53"/>
      <c r="CC351" s="53"/>
      <c r="CD351" s="53"/>
      <c r="CE351" s="53"/>
      <c r="CF351" s="53"/>
      <c r="CG351" s="53"/>
      <c r="CH351" s="53"/>
      <c r="CI351" s="53"/>
      <c r="CJ351" s="53"/>
      <c r="CK351" s="53"/>
      <c r="CL351" s="53"/>
      <c r="CM351" s="53"/>
      <c r="CN351" s="53"/>
      <c r="CO351" s="53"/>
      <c r="CP351" s="53"/>
      <c r="CQ351" s="53"/>
      <c r="CR351" s="1"/>
      <c r="CS351" s="1"/>
      <c r="CT351" s="1"/>
      <c r="CU351" s="1"/>
    </row>
    <row r="352" spans="1:99" s="13" customFormat="1" ht="12" customHeight="1" x14ac:dyDescent="0.25">
      <c r="A352" s="65">
        <v>43899</v>
      </c>
      <c r="B352" s="1"/>
      <c r="C352" s="1"/>
      <c r="D352" s="60"/>
      <c r="E352" s="76"/>
      <c r="F352" s="60"/>
      <c r="G352" s="60"/>
      <c r="H352" s="60"/>
      <c r="I352" s="74"/>
      <c r="J352" s="60"/>
      <c r="K352" s="64"/>
      <c r="L352" s="64"/>
      <c r="M352" s="60"/>
      <c r="N352" s="61"/>
      <c r="O352" s="60"/>
      <c r="P352" s="60"/>
      <c r="Q352" s="60"/>
      <c r="R352" s="60"/>
      <c r="S352" s="60"/>
      <c r="T352" s="59"/>
      <c r="U352" s="60"/>
      <c r="V352" s="59"/>
      <c r="W352" s="60"/>
      <c r="X352" s="60"/>
      <c r="Y352" s="76"/>
      <c r="Z352" s="60"/>
      <c r="AA352" s="60"/>
      <c r="AB352" s="60"/>
      <c r="AC352" s="56"/>
      <c r="AD352" s="60"/>
      <c r="AE352" s="60"/>
      <c r="AF352" s="80"/>
      <c r="AG352" s="56"/>
      <c r="AH352" s="4"/>
      <c r="AI352" s="56"/>
      <c r="AJ352" s="109"/>
      <c r="AK352" s="56"/>
      <c r="AL352" s="56"/>
      <c r="AM352" s="56"/>
      <c r="AN352" s="56"/>
      <c r="AO352" s="82"/>
      <c r="AP352" s="82"/>
      <c r="AQ352" s="83"/>
      <c r="AR352" s="116"/>
      <c r="AS352" s="84"/>
      <c r="AT352" s="84"/>
      <c r="AU352" s="3"/>
      <c r="AV352" s="25">
        <v>3600</v>
      </c>
      <c r="AW352" s="25">
        <v>172800</v>
      </c>
      <c r="AX352" s="25">
        <v>604800</v>
      </c>
      <c r="AY352" s="135"/>
      <c r="AZ352" s="135"/>
      <c r="BA352" s="135"/>
      <c r="BB352" s="135"/>
      <c r="BC352" s="53"/>
      <c r="BD352" s="53"/>
      <c r="BE352" s="53"/>
      <c r="BF352" s="53"/>
      <c r="BG352" s="53"/>
      <c r="BH352" s="53"/>
      <c r="BI352" s="53"/>
      <c r="BJ352" s="53"/>
      <c r="BK352" s="53"/>
      <c r="BL352" s="53"/>
      <c r="BM352" s="53"/>
      <c r="BN352" s="53"/>
      <c r="BO352" s="53"/>
      <c r="BP352" s="53"/>
      <c r="BQ352" s="53"/>
      <c r="BR352" s="53"/>
      <c r="BS352" s="53"/>
      <c r="BT352" s="53"/>
      <c r="BU352" s="53"/>
      <c r="BV352" s="53"/>
      <c r="BW352" s="53"/>
      <c r="BX352" s="53"/>
      <c r="BY352" s="53"/>
      <c r="BZ352" s="53"/>
      <c r="CA352" s="53"/>
      <c r="CB352" s="53"/>
      <c r="CC352" s="53"/>
      <c r="CD352" s="53"/>
      <c r="CE352" s="53"/>
      <c r="CF352" s="53"/>
      <c r="CG352" s="53"/>
      <c r="CH352" s="53"/>
      <c r="CI352" s="53"/>
      <c r="CJ352" s="53"/>
      <c r="CK352" s="53"/>
      <c r="CL352" s="53"/>
      <c r="CM352" s="53"/>
      <c r="CN352" s="53"/>
      <c r="CO352" s="53"/>
      <c r="CP352" s="53"/>
      <c r="CQ352" s="53"/>
      <c r="CR352" s="1"/>
      <c r="CS352" s="1"/>
      <c r="CT352" s="1"/>
      <c r="CU352" s="1"/>
    </row>
    <row r="353" spans="1:99" s="13" customFormat="1" ht="12" customHeight="1" x14ac:dyDescent="0.25">
      <c r="A353" s="65">
        <v>43899</v>
      </c>
      <c r="B353" s="1" t="s">
        <v>378</v>
      </c>
      <c r="C353" s="1" t="s">
        <v>107</v>
      </c>
      <c r="D353" s="60">
        <v>1994</v>
      </c>
      <c r="E353" s="76">
        <v>3</v>
      </c>
      <c r="F353" s="60">
        <v>36</v>
      </c>
      <c r="G353" s="60">
        <v>12</v>
      </c>
      <c r="H353" s="60" t="s">
        <v>41</v>
      </c>
      <c r="I353" s="74" t="s">
        <v>380</v>
      </c>
      <c r="J353" s="60" t="s">
        <v>61</v>
      </c>
      <c r="K353" s="60">
        <f>IF(J353="syllables",1,IF(J353="trigrams",2,IF(J353="strings",3,IF(J353="visual array",4,IF(J353="characters",5,IF(J353="letters",6,IF(J353="free forms",7,IF(J353="odors",8,IF(J353="words",9,IF(J353="pictures",10,IF(J353="object pictures",11,IF(J353="faces",12,IF(J353="names",13,IF(J353="idioms",14,IF(J353="grades",15,IF(J353="syllable-digit pairs",16,IF(J353="trigram-word pairs",17,IF(J353="word-digit pairs",18,IF(J353="English-Swahili pairs",19,IF(J353="spatial position",20,IF(J353="word pairs",21,IF(J353="word triads",22,IF(J353="generated words",23,IF(J353="word definition pairs",24,IF(J353="math problems",25,IF(J353="famous faces",26,IF(J353="famous names",27,IF(J353="famous voices",28,IF(J353="television programs",29,IF(J353="race horses",30,IF(J353="new vocabulary",31,IF(J353="sentences",32,IF(J353="concepts",33,IF(J353="ad slides",34,IF(J353="scenes",35,IF(J353="famous scenes",36,IF(J353="poems",37,IF(J353="walk",38,IF(J353="faces and events",39,IF(J353="events and names",40,IF(J353="flashbulb",41,IF(J353="stories",42,IF(J353="course material",43,IF(J353="autobiographical",44,IF(J353="novels",45,IF(J353="public events",46,"99"))))))))))))))))))))))))))))))))))))))))))))))</f>
        <v>42</v>
      </c>
      <c r="L353" s="60">
        <f>IF(J353="syllables",1,IF(J353="trigrams",1,IF(J353="strings",1,IF(J353="visual array",1,IF(J353="characters",1,IF(J353="letters",1,IF(J353="free forms",1,IF(J353="odors",2,IF(J353="words",2,IF(J353="pictures",2,IF(J353="object pictures",2,IF(J353="faces",2,IF(J353="names",2,IF(J353="idioms","2",IF(J353="grades",2,IF(J353="syllable-digit pairs",3,IF(J353="trigram-word pairs",3,IF(J353="word-digit pairs",3,IF(J353="English-Swahili pairs",3,IF(J353="spatial position",3,IF(J353="word pairs",4,IF(J353="word triads",4,IF(J353="generated words",4,IF(J353="word definition pairs",4,IF(J353="math problems",4,IF(J353="famous faces",4,IF(J353="famous names",4,IF(J353="famous voices",4,IF(J353="television programs",4,IF(J353="race horses",4,IF(J353="new vocabulary",4,IF(J353="sentences",5,IF(J353="concepts",5,IF(J353="ad slides",5,IF(J353="scenes",5,IF(J353="famous scenes",5,IF(J353="poems",6,IF(J353="walk",6,IF(J353="faces and events",6,IF(J353="events and names",6,IF(J353="flashbulb",7,IF(J353="stories",7,IF(J353="course material",7,IF(J353="autobiographical",7,IF(J353="novels",7,IF(J353="public events",7,"99"))))))))))))))))))))))))))))))))))))))))))))))</f>
        <v>7</v>
      </c>
      <c r="M353" s="60">
        <v>0</v>
      </c>
      <c r="N353" s="61">
        <v>3</v>
      </c>
      <c r="O353" s="60">
        <v>0</v>
      </c>
      <c r="P353" s="60"/>
      <c r="Q353" s="60" t="s">
        <v>174</v>
      </c>
      <c r="R353" s="60">
        <f>IF(Q353="Free Recall",1,IF(Q353="Cued Recall",2,IF(Q353="Recognition",3,IF(Q353="Multiple Choice",4,IF(Q353="Savings",5,IF(Q353="Stem Completion",6,IF(Q353="Fragment Completion",7,IF(Q353="anagram solution",8,IF(Q353="Matching",9,IF(Q353="Problem Solving",10,"99"))))))))))</f>
        <v>1</v>
      </c>
      <c r="S353" s="60" t="s">
        <v>49</v>
      </c>
      <c r="T353" s="59" t="s">
        <v>261</v>
      </c>
      <c r="U353" s="60">
        <f>IF(T353="within",1,0)</f>
        <v>0</v>
      </c>
      <c r="V353" s="59">
        <v>12</v>
      </c>
      <c r="W353" s="60">
        <f>F353*V353</f>
        <v>432</v>
      </c>
      <c r="X353" s="60">
        <v>3</v>
      </c>
      <c r="Y353" s="76">
        <f>AV352</f>
        <v>3600</v>
      </c>
      <c r="Z353" s="60" t="s">
        <v>97</v>
      </c>
      <c r="AA353" s="60">
        <v>604800</v>
      </c>
      <c r="AB353" s="60" t="str">
        <f>IF(AA353&lt;60,"1",IF(AA353&lt;=43200,"2",IF(AA353&lt;=777600,"3","4")))</f>
        <v>3</v>
      </c>
      <c r="AC353" s="56">
        <f>AVERAGE(AV352:DA352)</f>
        <v>260400</v>
      </c>
      <c r="AD353" s="60" t="str">
        <f>IF(AC353&lt;60,"1",IF(AC353&lt;=43200,"2",IF(AC353&lt;=777600,"3","4")))</f>
        <v>3</v>
      </c>
      <c r="AE353" s="76">
        <f>AA353-Y353</f>
        <v>601200</v>
      </c>
      <c r="AF353" s="80">
        <f>AV353</f>
        <v>0.62460896767466101</v>
      </c>
      <c r="AG353" s="56">
        <f>((AW353-AV353)+(AX353-AW353))/2</f>
        <v>-0.20281543274244052</v>
      </c>
      <c r="AH353" s="4"/>
      <c r="AI353" s="56">
        <f>RSQ(AV353:AX353,AV352:AX352)</f>
        <v>0.88099851479518032</v>
      </c>
      <c r="AJ353" s="109">
        <f>SLOPE(AV353:AX353,AV352:AX352)</f>
        <v>-6.1743247978469734E-7</v>
      </c>
      <c r="AK353" s="56">
        <f>INTERCEPT(AV353:AX353,AV352:AX352)</f>
        <v>0.57023371040190618</v>
      </c>
      <c r="AL353" s="56">
        <f>INDEX(LINEST(LN(AV353:AX353),LN(AV352:AX352),TRUE,TRUE),3,1)</f>
        <v>0.89468452338007076</v>
      </c>
      <c r="AM353" s="56">
        <f>INDEX(LINEST(LN(AV353:AX353),LN(AV352:AX352)),1)</f>
        <v>-0.18575610221508479</v>
      </c>
      <c r="AN353" s="56">
        <f>EXP(INDEX(LINEST(LN(AV353:AX353),LN(AV352:AX352)),1,2))</f>
        <v>2.9938656718502226</v>
      </c>
      <c r="AO353" s="82">
        <f>INDEX(LINEST((AV353:AX353),LN(AV352:AX352),TRUE,TRUE),3,1)</f>
        <v>0.96727330918821597</v>
      </c>
      <c r="AP353" s="82">
        <f>INDEX(LINEST((AV353:AX353),LN(AV352:AX352)),1)</f>
        <v>-7.5088508432265041E-2</v>
      </c>
      <c r="AQ353" s="83">
        <f>INDEX(LINEST(LN(AV353:AX353),SQRT(AV352:AX352),TRUE,TRUE),3,1)</f>
        <v>0.9985154511894534</v>
      </c>
      <c r="AR353" s="116">
        <f>INDEX(LINEST(LN(AV353:AX353),SQRT((AV352:AX352))),1)</f>
        <v>-1.4607430949740308E-3</v>
      </c>
      <c r="AS353" s="84">
        <f>INDEX(LINEST(1/(AV353:AX353),1/(SQRT(AV352:AX352)),TRUE,TRUE),3,1)</f>
        <v>0.63868496911761574</v>
      </c>
      <c r="AT353" s="84">
        <f>INDEX(LINEST(1/(AV353:AX353),1/SQRT(AV352:AX352)),1)</f>
        <v>-140.6368654937811</v>
      </c>
      <c r="AU353" s="3"/>
      <c r="AV353" s="175">
        <v>0.62460896767466101</v>
      </c>
      <c r="AW353" s="175">
        <v>0.38477580813347201</v>
      </c>
      <c r="AX353" s="175">
        <v>0.21897810218978001</v>
      </c>
      <c r="AY353" s="135"/>
      <c r="AZ353" s="135"/>
      <c r="BA353" s="135"/>
      <c r="BB353" s="135"/>
      <c r="BC353" s="53"/>
      <c r="BD353" s="53"/>
      <c r="BE353" s="53"/>
      <c r="BF353" s="53"/>
      <c r="BG353" s="53"/>
      <c r="BH353" s="53"/>
      <c r="BI353" s="53"/>
      <c r="BJ353" s="53"/>
      <c r="BK353" s="53"/>
      <c r="BL353" s="53"/>
      <c r="BM353" s="53"/>
      <c r="BN353" s="53"/>
      <c r="BO353" s="53"/>
      <c r="BP353" s="53"/>
      <c r="BQ353" s="53"/>
      <c r="BR353" s="53"/>
      <c r="BS353" s="53"/>
      <c r="BT353" s="53"/>
      <c r="BU353" s="53"/>
      <c r="BV353" s="53"/>
      <c r="BW353" s="53"/>
      <c r="BX353" s="53"/>
      <c r="BY353" s="53"/>
      <c r="BZ353" s="53"/>
      <c r="CA353" s="53"/>
      <c r="CB353" s="53"/>
      <c r="CC353" s="53"/>
      <c r="CD353" s="53"/>
      <c r="CE353" s="53"/>
      <c r="CF353" s="53"/>
      <c r="CG353" s="53"/>
      <c r="CH353" s="53"/>
      <c r="CI353" s="53"/>
      <c r="CJ353" s="53"/>
      <c r="CK353" s="53"/>
      <c r="CL353" s="53"/>
      <c r="CM353" s="53"/>
      <c r="CN353" s="53"/>
      <c r="CO353" s="53"/>
      <c r="CP353" s="53"/>
      <c r="CQ353" s="53"/>
      <c r="CR353" s="1"/>
      <c r="CS353" s="1"/>
      <c r="CT353" s="1"/>
      <c r="CU353" s="1"/>
    </row>
    <row r="354" spans="1:99" s="13" customFormat="1" ht="12" customHeight="1" x14ac:dyDescent="0.25">
      <c r="A354" s="65">
        <v>43899</v>
      </c>
      <c r="B354" s="1"/>
      <c r="C354" s="1"/>
      <c r="D354" s="60"/>
      <c r="E354" s="76"/>
      <c r="F354" s="60"/>
      <c r="G354" s="60"/>
      <c r="H354" s="60"/>
      <c r="I354" s="74"/>
      <c r="J354" s="60"/>
      <c r="K354" s="64"/>
      <c r="L354" s="64"/>
      <c r="M354" s="60"/>
      <c r="N354" s="61"/>
      <c r="O354" s="60"/>
      <c r="P354" s="60"/>
      <c r="Q354" s="60"/>
      <c r="R354" s="60"/>
      <c r="S354" s="60"/>
      <c r="T354" s="59"/>
      <c r="U354" s="60"/>
      <c r="V354" s="59"/>
      <c r="W354" s="60"/>
      <c r="X354" s="60"/>
      <c r="Y354" s="76"/>
      <c r="Z354" s="60"/>
      <c r="AA354" s="60"/>
      <c r="AB354" s="60"/>
      <c r="AC354" s="56"/>
      <c r="AD354" s="60"/>
      <c r="AE354" s="60"/>
      <c r="AF354" s="80"/>
      <c r="AG354" s="56"/>
      <c r="AH354" s="4"/>
      <c r="AI354" s="56"/>
      <c r="AJ354" s="109"/>
      <c r="AK354" s="56"/>
      <c r="AL354" s="56"/>
      <c r="AM354" s="56"/>
      <c r="AN354" s="56"/>
      <c r="AO354" s="82"/>
      <c r="AP354" s="82"/>
      <c r="AQ354" s="83"/>
      <c r="AR354" s="116"/>
      <c r="AS354" s="84"/>
      <c r="AT354" s="84"/>
      <c r="AU354" s="3"/>
      <c r="AV354" s="25">
        <v>3600</v>
      </c>
      <c r="AW354" s="25">
        <v>172800</v>
      </c>
      <c r="AX354" s="25">
        <v>604800</v>
      </c>
      <c r="AY354" s="53"/>
      <c r="AZ354" s="135"/>
      <c r="BA354" s="135"/>
      <c r="BB354" s="135"/>
      <c r="BC354" s="53"/>
      <c r="BD354" s="53"/>
      <c r="BE354" s="53"/>
      <c r="BF354" s="53"/>
      <c r="BG354" s="53"/>
      <c r="BH354" s="53"/>
      <c r="BI354" s="53"/>
      <c r="BJ354" s="53"/>
      <c r="BK354" s="53"/>
      <c r="BL354" s="53"/>
      <c r="BM354" s="53"/>
      <c r="BN354" s="53"/>
      <c r="BO354" s="53"/>
      <c r="BP354" s="53"/>
      <c r="BQ354" s="53"/>
      <c r="BR354" s="53"/>
      <c r="BS354" s="53"/>
      <c r="BT354" s="53"/>
      <c r="BU354" s="53"/>
      <c r="BV354" s="53"/>
      <c r="BW354" s="53"/>
      <c r="BX354" s="53"/>
      <c r="BY354" s="53"/>
      <c r="BZ354" s="53"/>
      <c r="CA354" s="53"/>
      <c r="CB354" s="53"/>
      <c r="CC354" s="53"/>
      <c r="CD354" s="53"/>
      <c r="CE354" s="53"/>
      <c r="CF354" s="53"/>
      <c r="CG354" s="53"/>
      <c r="CH354" s="53"/>
      <c r="CI354" s="53"/>
      <c r="CJ354" s="53"/>
      <c r="CK354" s="53"/>
      <c r="CL354" s="53"/>
      <c r="CM354" s="53"/>
      <c r="CN354" s="53"/>
      <c r="CO354" s="53"/>
      <c r="CP354" s="53"/>
      <c r="CQ354" s="53"/>
      <c r="CR354" s="1"/>
      <c r="CS354" s="1"/>
      <c r="CT354" s="1"/>
      <c r="CU354" s="1"/>
    </row>
    <row r="355" spans="1:99" s="13" customFormat="1" ht="12" customHeight="1" x14ac:dyDescent="0.25">
      <c r="A355" s="65">
        <v>43899</v>
      </c>
      <c r="B355" s="1" t="s">
        <v>378</v>
      </c>
      <c r="C355" s="1" t="s">
        <v>107</v>
      </c>
      <c r="D355" s="60">
        <v>1994</v>
      </c>
      <c r="E355" s="76">
        <v>3</v>
      </c>
      <c r="F355" s="60">
        <v>36</v>
      </c>
      <c r="G355" s="60">
        <v>12</v>
      </c>
      <c r="H355" s="60" t="s">
        <v>41</v>
      </c>
      <c r="I355" s="74" t="s">
        <v>381</v>
      </c>
      <c r="J355" s="60" t="s">
        <v>61</v>
      </c>
      <c r="K355" s="60">
        <f>IF(J355="syllables",1,IF(J355="trigrams",2,IF(J355="strings",3,IF(J355="visual array",4,IF(J355="characters",5,IF(J355="letters",6,IF(J355="free forms",7,IF(J355="odors",8,IF(J355="words",9,IF(J355="pictures",10,IF(J355="object pictures",11,IF(J355="faces",12,IF(J355="names",13,IF(J355="idioms",14,IF(J355="grades",15,IF(J355="syllable-digit pairs",16,IF(J355="trigram-word pairs",17,IF(J355="word-digit pairs",18,IF(J355="English-Swahili pairs",19,IF(J355="spatial position",20,IF(J355="word pairs",21,IF(J355="word triads",22,IF(J355="generated words",23,IF(J355="word definition pairs",24,IF(J355="math problems",25,IF(J355="famous faces",26,IF(J355="famous names",27,IF(J355="famous voices",28,IF(J355="television programs",29,IF(J355="race horses",30,IF(J355="new vocabulary",31,IF(J355="sentences",32,IF(J355="concepts",33,IF(J355="ad slides",34,IF(J355="scenes",35,IF(J355="famous scenes",36,IF(J355="poems",37,IF(J355="walk",38,IF(J355="faces and events",39,IF(J355="events and names",40,IF(J355="flashbulb",41,IF(J355="stories",42,IF(J355="course material",43,IF(J355="autobiographical",44,IF(J355="novels",45,IF(J355="public events",46,"99"))))))))))))))))))))))))))))))))))))))))))))))</f>
        <v>42</v>
      </c>
      <c r="L355" s="60">
        <f>IF(J355="syllables",1,IF(J355="trigrams",1,IF(J355="strings",1,IF(J355="visual array",1,IF(J355="characters",1,IF(J355="letters",1,IF(J355="free forms",1,IF(J355="odors",2,IF(J355="words",2,IF(J355="pictures",2,IF(J355="object pictures",2,IF(J355="faces",2,IF(J355="names",2,IF(J355="idioms","2",IF(J355="grades",2,IF(J355="syllable-digit pairs",3,IF(J355="trigram-word pairs",3,IF(J355="word-digit pairs",3,IF(J355="English-Swahili pairs",3,IF(J355="spatial position",3,IF(J355="word pairs",4,IF(J355="word triads",4,IF(J355="generated words",4,IF(J355="word definition pairs",4,IF(J355="math problems",4,IF(J355="famous faces",4,IF(J355="famous names",4,IF(J355="famous voices",4,IF(J355="television programs",4,IF(J355="race horses",4,IF(J355="new vocabulary",4,IF(J355="sentences",5,IF(J355="concepts",5,IF(J355="ad slides",5,IF(J355="scenes",5,IF(J355="famous scenes",5,IF(J355="poems",6,IF(J355="walk",6,IF(J355="faces and events",6,IF(J355="events and names",6,IF(J355="flashbulb",7,IF(J355="stories",7,IF(J355="course material",7,IF(J355="autobiographical",7,IF(J355="novels",7,IF(J355="public events",7,"99"))))))))))))))))))))))))))))))))))))))))))))))</f>
        <v>7</v>
      </c>
      <c r="M355" s="60">
        <v>0</v>
      </c>
      <c r="N355" s="61">
        <v>3</v>
      </c>
      <c r="O355" s="60">
        <v>0</v>
      </c>
      <c r="P355" s="60"/>
      <c r="Q355" s="60" t="s">
        <v>174</v>
      </c>
      <c r="R355" s="60">
        <f>IF(Q355="Free Recall",1,IF(Q355="Cued Recall",2,IF(Q355="Recognition",3,IF(Q355="Multiple Choice",4,IF(Q355="Savings",5,IF(Q355="Stem Completion",6,IF(Q355="Fragment Completion",7,IF(Q355="anagram solution",8,IF(Q355="Matching",9,IF(Q355="Problem Solving",10,"99"))))))))))</f>
        <v>1</v>
      </c>
      <c r="S355" s="60" t="s">
        <v>49</v>
      </c>
      <c r="T355" s="59" t="s">
        <v>261</v>
      </c>
      <c r="U355" s="60">
        <f>IF(T355="within",1,0)</f>
        <v>0</v>
      </c>
      <c r="V355" s="59">
        <v>12</v>
      </c>
      <c r="W355" s="60">
        <f>F355*V355</f>
        <v>432</v>
      </c>
      <c r="X355" s="60">
        <v>3</v>
      </c>
      <c r="Y355" s="76">
        <f>AV354</f>
        <v>3600</v>
      </c>
      <c r="Z355" s="60" t="s">
        <v>97</v>
      </c>
      <c r="AA355" s="60">
        <v>604800</v>
      </c>
      <c r="AB355" s="60" t="str">
        <f>IF(AA355&lt;60,"1",IF(AA355&lt;=43200,"2",IF(AA355&lt;=777600,"3","4")))</f>
        <v>3</v>
      </c>
      <c r="AC355" s="56">
        <f>AVERAGE(AV354:DA354)</f>
        <v>260400</v>
      </c>
      <c r="AD355" s="60" t="str">
        <f>IF(AC355&lt;60,"1",IF(AC355&lt;=43200,"2",IF(AC355&lt;=777600,"3","4")))</f>
        <v>3</v>
      </c>
      <c r="AE355" s="76">
        <f>AA355-Y355</f>
        <v>601200</v>
      </c>
      <c r="AF355" s="80">
        <f>AV355</f>
        <v>0.75860271115745548</v>
      </c>
      <c r="AG355" s="56">
        <f>((AW355-AV355)+(AX355-AW355))/2</f>
        <v>-0.12226277372262778</v>
      </c>
      <c r="AH355" s="4"/>
      <c r="AI355" s="56">
        <f>RSQ(AV355:AX355,AV354:AX354)</f>
        <v>0.78254173378667391</v>
      </c>
      <c r="AJ355" s="109">
        <f>SLOPE(AV355:AX355,AV354:AX354)</f>
        <v>-3.5897176644583319E-7</v>
      </c>
      <c r="AK355" s="56">
        <f>INTERCEPT(AV355:AX355,AV354:AX354)</f>
        <v>0.71269765917470873</v>
      </c>
      <c r="AL355" s="56">
        <f>INDEX(LINEST(LN(AV355:AX355),LN(AV354:AX354),TRUE,TRUE),3,1)</f>
        <v>0.99093214617635728</v>
      </c>
      <c r="AM355" s="56">
        <f>INDEX(LINEST(LN(AV355:AX355),LN(AV354:AX354)),1)</f>
        <v>-7.3853853236332159E-2</v>
      </c>
      <c r="AN355" s="56">
        <f>EXP(INDEX(LINEST(LN(AV355:AX355),LN(AV354:AX354)),1,2))</f>
        <v>1.3959833273714981</v>
      </c>
      <c r="AO355" s="82">
        <f>INDEX(LINEST((AV355:AX355),LN(AV354:AX354),TRUE,TRUE),3,1)</f>
        <v>0.99760304580786618</v>
      </c>
      <c r="AP355" s="82">
        <f>INDEX(LINEST((AV355:AX355),LN(AV354:AX354)),1)</f>
        <v>-4.704163558323908E-2</v>
      </c>
      <c r="AQ355" s="83">
        <f>INDEX(LINEST(LN(AV355:AX355),SQRT(AV354:AX354),TRUE,TRUE),3,1)</f>
        <v>0.96184435567624216</v>
      </c>
      <c r="AR355" s="116">
        <f>INDEX(LINEST(LN(AV355:AX355),SQRT((AV354:AX354))),1)</f>
        <v>-5.4161654303708511E-4</v>
      </c>
      <c r="AS355" s="84">
        <f>INDEX(LINEST(1/(AV355:AX355),1/(SQRT(AV354:AX354)),TRUE,TRUE),3,1)</f>
        <v>0.9033693049226752</v>
      </c>
      <c r="AT355" s="84">
        <f>INDEX(LINEST(1/(AV355:AX355),1/SQRT(AV354:AX354)),1)</f>
        <v>-35.103123513115001</v>
      </c>
      <c r="AU355" s="3"/>
      <c r="AV355" s="175">
        <v>0.75860271115745548</v>
      </c>
      <c r="AW355" s="175">
        <v>0.58498435870698595</v>
      </c>
      <c r="AX355" s="175">
        <v>0.51407716371219991</v>
      </c>
      <c r="AY355" s="135"/>
      <c r="AZ355" s="135"/>
      <c r="BA355" s="135"/>
      <c r="BB355" s="135"/>
      <c r="BC355" s="53"/>
      <c r="BD355" s="53"/>
      <c r="BE355" s="53"/>
      <c r="BF355" s="53"/>
      <c r="BG355" s="53"/>
      <c r="BH355" s="53"/>
      <c r="BI355" s="53"/>
      <c r="BJ355" s="53"/>
      <c r="BK355" s="53"/>
      <c r="BL355" s="53"/>
      <c r="BM355" s="53"/>
      <c r="BN355" s="53"/>
      <c r="BO355" s="53"/>
      <c r="BP355" s="53"/>
      <c r="BQ355" s="53"/>
      <c r="BR355" s="53"/>
      <c r="BS355" s="53"/>
      <c r="BT355" s="53"/>
      <c r="BU355" s="53"/>
      <c r="BV355" s="53"/>
      <c r="BW355" s="53"/>
      <c r="BX355" s="53"/>
      <c r="BY355" s="53"/>
      <c r="BZ355" s="53"/>
      <c r="CA355" s="53"/>
      <c r="CB355" s="53"/>
      <c r="CC355" s="53"/>
      <c r="CD355" s="53"/>
      <c r="CE355" s="53"/>
      <c r="CF355" s="53"/>
      <c r="CG355" s="53"/>
      <c r="CH355" s="53"/>
      <c r="CI355" s="53"/>
      <c r="CJ355" s="53"/>
      <c r="CK355" s="53"/>
      <c r="CL355" s="53"/>
      <c r="CM355" s="53"/>
      <c r="CN355" s="53"/>
      <c r="CO355" s="53"/>
      <c r="CP355" s="53"/>
      <c r="CQ355" s="53"/>
      <c r="CR355" s="1"/>
      <c r="CS355" s="1"/>
      <c r="CT355" s="1"/>
      <c r="CU355" s="1"/>
    </row>
    <row r="356" spans="1:99" s="13" customFormat="1" ht="12" customHeight="1" x14ac:dyDescent="0.2">
      <c r="A356" s="68">
        <v>43895</v>
      </c>
      <c r="B356" s="67"/>
      <c r="C356" s="67"/>
      <c r="D356" s="86"/>
      <c r="E356" s="87"/>
      <c r="F356" s="69"/>
      <c r="G356" s="69"/>
      <c r="H356" s="69"/>
      <c r="I356" s="104"/>
      <c r="J356" s="69"/>
      <c r="K356" s="107"/>
      <c r="L356" s="107"/>
      <c r="M356" s="69"/>
      <c r="N356" s="92"/>
      <c r="O356" s="69"/>
      <c r="P356" s="69"/>
      <c r="Q356" s="69"/>
      <c r="R356" s="69"/>
      <c r="S356" s="69"/>
      <c r="T356" s="69"/>
      <c r="U356" s="69"/>
      <c r="V356" s="69"/>
      <c r="W356" s="69"/>
      <c r="X356" s="69"/>
      <c r="Y356" s="87"/>
      <c r="Z356" s="69"/>
      <c r="AA356" s="69"/>
      <c r="AB356" s="69"/>
      <c r="AC356" s="72"/>
      <c r="AD356" s="69"/>
      <c r="AE356" s="69"/>
      <c r="AF356" s="88"/>
      <c r="AG356" s="72"/>
      <c r="AH356" s="4"/>
      <c r="AI356" s="72"/>
      <c r="AJ356" s="110"/>
      <c r="AK356" s="72"/>
      <c r="AL356" s="72"/>
      <c r="AM356" s="72"/>
      <c r="AN356" s="72"/>
      <c r="AO356" s="89"/>
      <c r="AP356" s="89"/>
      <c r="AQ356" s="90"/>
      <c r="AR356" s="117"/>
      <c r="AS356" s="91"/>
      <c r="AT356" s="91"/>
      <c r="AU356" s="3"/>
      <c r="AV356" s="71">
        <v>315360000</v>
      </c>
      <c r="AW356" s="71">
        <v>630720000</v>
      </c>
      <c r="AX356" s="71">
        <v>646080000</v>
      </c>
      <c r="AY356" s="71">
        <v>126144000</v>
      </c>
      <c r="AZ356" s="53"/>
      <c r="BA356" s="53"/>
      <c r="BB356" s="53"/>
      <c r="BC356" s="53"/>
      <c r="BD356" s="53"/>
      <c r="BE356" s="53"/>
      <c r="BF356" s="53"/>
      <c r="BG356" s="53"/>
      <c r="BH356" s="53"/>
      <c r="BI356" s="53"/>
      <c r="BJ356" s="53"/>
      <c r="BK356" s="53"/>
      <c r="BL356" s="53"/>
      <c r="BM356" s="53"/>
      <c r="BN356" s="53"/>
      <c r="BO356" s="53"/>
      <c r="BP356" s="53"/>
      <c r="BQ356" s="53"/>
      <c r="BR356" s="53"/>
      <c r="BS356" s="53"/>
      <c r="BT356" s="53"/>
      <c r="BU356" s="53"/>
      <c r="BV356" s="53"/>
      <c r="BW356" s="53"/>
      <c r="BX356" s="53"/>
      <c r="BY356" s="53"/>
      <c r="BZ356" s="53"/>
      <c r="CA356" s="53"/>
      <c r="CB356" s="53"/>
      <c r="CC356" s="53"/>
      <c r="CD356" s="53"/>
      <c r="CE356" s="53"/>
      <c r="CF356" s="53"/>
      <c r="CG356" s="53"/>
      <c r="CH356" s="53"/>
      <c r="CI356" s="53"/>
      <c r="CJ356" s="53"/>
      <c r="CK356" s="53"/>
      <c r="CL356" s="53"/>
      <c r="CM356" s="53"/>
      <c r="CN356" s="53"/>
      <c r="CO356" s="53"/>
      <c r="CP356" s="53"/>
      <c r="CQ356" s="53"/>
      <c r="CR356" s="1"/>
      <c r="CS356" s="1"/>
      <c r="CT356" s="1"/>
      <c r="CU356" s="1"/>
    </row>
    <row r="357" spans="1:99" s="13" customFormat="1" ht="12" customHeight="1" x14ac:dyDescent="0.2">
      <c r="A357" s="68">
        <v>43895</v>
      </c>
      <c r="B357" s="70" t="s">
        <v>345</v>
      </c>
      <c r="C357" s="70" t="s">
        <v>346</v>
      </c>
      <c r="D357" s="69">
        <v>1996</v>
      </c>
      <c r="E357" s="105">
        <v>1</v>
      </c>
      <c r="F357" s="69">
        <v>5</v>
      </c>
      <c r="G357" s="69">
        <v>5</v>
      </c>
      <c r="H357" s="69" t="s">
        <v>50</v>
      </c>
      <c r="I357" s="104" t="s">
        <v>330</v>
      </c>
      <c r="J357" s="69" t="s">
        <v>342</v>
      </c>
      <c r="K357" s="69">
        <f>IF(J357="syllables",1,IF(J357="trigrams",2,IF(J357="strings",3,IF(J357="visual array",4,IF(J357="characters",5,IF(J357="letters",6,IF(J357="free forms",7,IF(J357="odors",8,IF(J357="words",9,IF(J357="pictures",10,IF(J357="object pictures",11,IF(J357="faces",12,IF(J357="names",13,IF(J357="idioms",14,IF(J357="grades",15,IF(J357="syllable-digit pairs",16,IF(J357="trigram-word pairs",17,IF(J357="word-digit pairs",18,IF(J357="English-Swahili pairs",19,IF(J357="spatial position",20,IF(J357="word pairs",21,IF(J357="word triads",22,IF(J357="generated words",23,IF(J357="word definition pairs",24,IF(J357="math problems",25,IF(J357="famous faces",26,IF(J357="famous names",27,IF(J357="famous voices",28,IF(J357="television programs",29,IF(J357="race horses",30,IF(J357="new vocabulary",31,IF(J357="sentences",32,IF(J357="concepts",33,IF(J357="ad slides",34,IF(J357="scenes",35,IF(J357="famous scenes",36,IF(J357="poems",37,IF(J357="walk",38,IF(J357="faces and events",39,IF(J357="events and names",40,IF(J357="flashbulb",41,IF(J357="stories",42,IF(J357="course material",43,IF(J357="autobiographical",44,IF(J357="novels",45,IF(J357="public events",46,"99"))))))))))))))))))))))))))))))))))))))))))))))</f>
        <v>26</v>
      </c>
      <c r="L357" s="69">
        <f>IF(J357="syllables",1,IF(J357="trigrams",1,IF(J357="strings",1,IF(J357="visual array",1,IF(J357="characters",1,IF(J357="letters",1,IF(J357="free forms",1,IF(J357="odors",2,IF(J357="words",2,IF(J357="pictures",2,IF(J357="object pictures",2,IF(J357="faces",2,IF(J357="names",2,IF(J357="idioms","2",IF(J357="grades",2,IF(J357="syllable-digit pairs",3,IF(J357="trigram-word pairs",3,IF(J357="word-digit pairs",3,IF(J357="English-Swahili pairs",3,IF(J357="spatial position",3,IF(J357="word pairs",4,IF(J357="word triads",4,IF(J357="generated words",4,IF(J357="word definition pairs",4,IF(J357="math problems",4,IF(J357="famous faces",4,IF(J357="famous names",4,IF(J357="famous voices",4,IF(J357="television programs",4,IF(J357="race horses",4,IF(J357="new vocabulary",4,IF(J357="sentences",5,IF(J357="concepts",5,IF(J357="ad slides",5,IF(J357="scenes",5,IF(J357="famous scenes",5,IF(J357="poems",6,IF(J357="walk",6,IF(J357="faces and events",6,IF(J357="events and names",6,IF(J357="flashbulb",7,IF(J357="stories",7,IF(J357="course material",7,IF(J357="autobiographical",7,IF(J357="novels",7,IF(J357="public events",7,"99"))))))))))))))))))))))))))))))))))))))))))))))</f>
        <v>4</v>
      </c>
      <c r="M357" s="69">
        <v>1</v>
      </c>
      <c r="N357" s="92">
        <v>2</v>
      </c>
      <c r="O357" s="69">
        <v>0</v>
      </c>
      <c r="P357" s="69"/>
      <c r="Q357" s="69" t="s">
        <v>174</v>
      </c>
      <c r="R357" s="69">
        <f>IF(Q357="Free Recall",1,IF(Q357="Cued Recall",2,IF(Q357="Recognition",3,IF(Q357="Multiple Choice",4,IF(Q357="Savings",5,IF(Q357="Stem Completion",6,IF(Q357="Fragment Completion",7,IF(Q357="anagram solution",8,IF(Q357="Matching",9,IF(Q357="Problem Solving",10,"99"))))))))))</f>
        <v>1</v>
      </c>
      <c r="S357" s="99" t="s">
        <v>49</v>
      </c>
      <c r="T357" s="92" t="s">
        <v>581</v>
      </c>
      <c r="U357" s="69">
        <f>IF(T357="within",1,0)</f>
        <v>1</v>
      </c>
      <c r="V357" s="92">
        <v>132</v>
      </c>
      <c r="W357" s="69">
        <f>F357*V357</f>
        <v>660</v>
      </c>
      <c r="X357" s="69">
        <v>4</v>
      </c>
      <c r="Y357" s="87">
        <f>AV356</f>
        <v>315360000</v>
      </c>
      <c r="Z357" s="92" t="s">
        <v>329</v>
      </c>
      <c r="AA357" s="69">
        <f>40*365*24*60*60</f>
        <v>1261440000</v>
      </c>
      <c r="AB357" s="69" t="str">
        <f>IF(AA357&lt;60,"1",IF(AA357&lt;=43200,"2",IF(AA357&lt;=777600,"3","4")))</f>
        <v>4</v>
      </c>
      <c r="AC357" s="72">
        <f>AVERAGE(AV356:DA356)</f>
        <v>429576000</v>
      </c>
      <c r="AD357" s="69" t="str">
        <f>IF(AC357&lt;60,"1",IF(AC357&lt;=43200,"2",IF(AC357&lt;=777600,"3","4")))</f>
        <v>4</v>
      </c>
      <c r="AE357" s="87">
        <f>AA357-Y357</f>
        <v>946080000</v>
      </c>
      <c r="AF357" s="88">
        <f>AV357</f>
        <v>0.78688524590163933</v>
      </c>
      <c r="AG357" s="72">
        <f>((AW357-AV357)+(AX357-AW357)+(AY357-AX357))/3</f>
        <v>1.4127682260429189E-2</v>
      </c>
      <c r="AH357" s="4"/>
      <c r="AI357" s="72">
        <f>RSQ(AV357:AY357,AV356:AY356)</f>
        <v>1.404652854974355E-2</v>
      </c>
      <c r="AJ357" s="110">
        <f>SLOPE(AV357:AY357,AV356:AY356)</f>
        <v>9.1736444285452995E-12</v>
      </c>
      <c r="AK357" s="72">
        <f>INTERCEPT(AV357:AY357,AV356:AY356)</f>
        <v>0.8109415273122953</v>
      </c>
      <c r="AL357" s="72">
        <f>INDEX(LINEST(LN(AV357:AY357),LN(AV356:AY356),TRUE,TRUE),3,1)</f>
        <v>5.2557209227592685E-3</v>
      </c>
      <c r="AM357" s="72">
        <f>INDEX(LINEST(LN(AV357:AY357),LN(AV356:AY356)),1)</f>
        <v>-2.2896189072955739E-3</v>
      </c>
      <c r="AN357" s="72">
        <f>EXP(INDEX(LINEST(LN(AV357:AY357),LN(AV356:AY356)),1,2))</f>
        <v>0.85227804288951237</v>
      </c>
      <c r="AO357" s="89">
        <f>INDEX(LINEST((AV357:AY357),LN(AV356:AY356),TRUE,TRUE),3,1)</f>
        <v>5.7927120122678397E-3</v>
      </c>
      <c r="AP357" s="89">
        <f>INDEX(LINEST((AV357:AY357),LN(AV356:AY356)),1)</f>
        <v>-1.940673411209389E-3</v>
      </c>
      <c r="AQ357" s="90">
        <f>INDEX(LINEST(LN(AV357:AY357),SQRT(AV356:AY356),TRUE,TRUE),3,1)</f>
        <v>8.4388926795222574E-4</v>
      </c>
      <c r="AR357" s="117">
        <f>INDEX(LINEST(LN(AV357:AY357),SQRT((AV356:AY356))),1)</f>
        <v>1.0424448394647132E-7</v>
      </c>
      <c r="AS357" s="91">
        <f>INDEX(LINEST(1/(AV357:AY357),1/(SQRT(AV356:AY356)),TRUE,TRUE),3,1)</f>
        <v>2.8317637177211669E-2</v>
      </c>
      <c r="AT357" s="91">
        <f>INDEX(LINEST(1/(AV357:AY357),1/SQRT(AV356:AY356)),1)</f>
        <v>-217.13499630017725</v>
      </c>
      <c r="AU357" s="3"/>
      <c r="AV357" s="95">
        <v>0.78688524590163933</v>
      </c>
      <c r="AW357" s="95">
        <v>0.81578947368421051</v>
      </c>
      <c r="AX357" s="95">
        <v>0.82758620689655171</v>
      </c>
      <c r="AY357" s="95">
        <v>0.8292682926829269</v>
      </c>
      <c r="AZ357" s="53"/>
      <c r="BA357" s="53"/>
      <c r="BB357" s="53"/>
      <c r="BC357" s="53"/>
      <c r="BD357" s="53"/>
      <c r="BE357" s="53"/>
      <c r="BF357" s="53"/>
      <c r="BG357" s="53"/>
      <c r="BH357" s="53"/>
      <c r="BI357" s="53"/>
      <c r="BJ357" s="53"/>
      <c r="BK357" s="53"/>
      <c r="BL357" s="53"/>
      <c r="BM357" s="53"/>
      <c r="BN357" s="53"/>
      <c r="BO357" s="53"/>
      <c r="BP357" s="53"/>
      <c r="BQ357" s="53"/>
      <c r="BR357" s="53"/>
      <c r="BS357" s="53"/>
      <c r="BT357" s="53"/>
      <c r="BU357" s="53"/>
      <c r="BV357" s="53"/>
      <c r="BW357" s="53"/>
      <c r="BX357" s="53"/>
      <c r="BY357" s="53"/>
      <c r="BZ357" s="53"/>
      <c r="CA357" s="53"/>
      <c r="CB357" s="53"/>
      <c r="CC357" s="53"/>
      <c r="CD357" s="53"/>
      <c r="CE357" s="53"/>
      <c r="CF357" s="53"/>
      <c r="CG357" s="53"/>
      <c r="CH357" s="53"/>
      <c r="CI357" s="53"/>
      <c r="CJ357" s="53"/>
      <c r="CK357" s="53"/>
      <c r="CL357" s="53"/>
      <c r="CM357" s="53"/>
      <c r="CN357" s="53"/>
      <c r="CO357" s="53"/>
      <c r="CP357" s="53"/>
      <c r="CQ357" s="53"/>
      <c r="CR357" s="1"/>
      <c r="CS357" s="1"/>
      <c r="CT357" s="1"/>
      <c r="CU357" s="1"/>
    </row>
    <row r="358" spans="1:99" s="13" customFormat="1" ht="12" customHeight="1" x14ac:dyDescent="0.2">
      <c r="A358" s="65">
        <v>43509</v>
      </c>
      <c r="B358" s="1"/>
      <c r="C358" s="1"/>
      <c r="D358" s="60"/>
      <c r="E358" s="76"/>
      <c r="F358" s="60"/>
      <c r="G358" s="60"/>
      <c r="H358" s="60"/>
      <c r="I358" s="60"/>
      <c r="J358" s="60"/>
      <c r="K358" s="64"/>
      <c r="L358" s="64"/>
      <c r="M358" s="60"/>
      <c r="N358" s="60"/>
      <c r="O358" s="60"/>
      <c r="P358" s="60"/>
      <c r="Q358" s="60"/>
      <c r="R358" s="60"/>
      <c r="S358" s="60"/>
      <c r="T358" s="60"/>
      <c r="U358" s="60"/>
      <c r="V358" s="60"/>
      <c r="W358" s="60"/>
      <c r="X358" s="60"/>
      <c r="Y358" s="76"/>
      <c r="Z358" s="60"/>
      <c r="AA358" s="60"/>
      <c r="AB358" s="60"/>
      <c r="AC358" s="60"/>
      <c r="AD358" s="60"/>
      <c r="AE358" s="60"/>
      <c r="AF358" s="80"/>
      <c r="AG358" s="56"/>
      <c r="AH358" s="4"/>
      <c r="AI358" s="56"/>
      <c r="AJ358" s="109"/>
      <c r="AK358" s="56"/>
      <c r="AL358" s="56"/>
      <c r="AM358" s="56"/>
      <c r="AN358" s="56"/>
      <c r="AO358" s="56"/>
      <c r="AP358" s="56"/>
      <c r="AQ358" s="56"/>
      <c r="AR358" s="109"/>
      <c r="AS358" s="56"/>
      <c r="AT358" s="56"/>
      <c r="AU358" s="3"/>
      <c r="AV358" s="25">
        <v>30</v>
      </c>
      <c r="AW358" s="25">
        <f>23*60</f>
        <v>1380</v>
      </c>
      <c r="AX358" s="25">
        <f>24*60*60*7</f>
        <v>604800</v>
      </c>
      <c r="AY358" s="53"/>
      <c r="AZ358" s="53"/>
      <c r="BA358" s="53"/>
      <c r="BB358" s="53"/>
      <c r="BC358" s="53"/>
      <c r="BD358" s="53"/>
      <c r="BE358" s="53"/>
      <c r="BF358" s="53"/>
      <c r="BG358" s="53"/>
      <c r="BH358" s="53"/>
      <c r="BI358" s="53"/>
      <c r="BJ358" s="53"/>
      <c r="BK358" s="53"/>
      <c r="BL358" s="53"/>
      <c r="BM358" s="53"/>
      <c r="BN358" s="53"/>
      <c r="BO358" s="53"/>
      <c r="BP358" s="53"/>
      <c r="BQ358" s="53"/>
      <c r="BR358" s="53"/>
      <c r="BS358" s="53"/>
      <c r="BT358" s="53"/>
      <c r="BU358" s="53"/>
      <c r="BV358" s="53"/>
      <c r="BW358" s="53"/>
      <c r="BX358" s="53"/>
      <c r="BY358" s="53"/>
      <c r="BZ358" s="53"/>
      <c r="CA358" s="53"/>
      <c r="CB358" s="53"/>
      <c r="CC358" s="53"/>
      <c r="CD358" s="53"/>
      <c r="CE358" s="53"/>
      <c r="CF358" s="53"/>
      <c r="CG358" s="53"/>
      <c r="CH358" s="53"/>
      <c r="CI358" s="53"/>
      <c r="CJ358" s="53"/>
      <c r="CK358" s="53"/>
      <c r="CL358" s="53"/>
      <c r="CM358" s="53"/>
      <c r="CN358" s="53"/>
      <c r="CO358" s="53"/>
      <c r="CP358" s="53"/>
      <c r="CQ358" s="53"/>
      <c r="CR358" s="1"/>
      <c r="CS358" s="1"/>
      <c r="CT358" s="1"/>
      <c r="CU358" s="1"/>
    </row>
    <row r="359" spans="1:99" s="13" customFormat="1" ht="12" customHeight="1" x14ac:dyDescent="0.2">
      <c r="A359" s="65">
        <v>43509</v>
      </c>
      <c r="B359" s="22" t="s">
        <v>94</v>
      </c>
      <c r="C359" s="1" t="s">
        <v>95</v>
      </c>
      <c r="D359" s="60">
        <v>2012</v>
      </c>
      <c r="E359" s="76">
        <v>1</v>
      </c>
      <c r="F359" s="60">
        <v>14</v>
      </c>
      <c r="G359" s="60">
        <v>14</v>
      </c>
      <c r="H359" s="60" t="s">
        <v>41</v>
      </c>
      <c r="I359" s="60" t="s">
        <v>672</v>
      </c>
      <c r="J359" s="60" t="s">
        <v>61</v>
      </c>
      <c r="K359" s="60">
        <f>IF(J359="syllables",1,IF(J359="trigrams",2,IF(J359="strings",3,IF(J359="visual array",4,IF(J359="characters",5,IF(J359="letters",6,IF(J359="free forms",7,IF(J359="odors",8,IF(J359="words",9,IF(J359="pictures",10,IF(J359="object pictures",11,IF(J359="faces",12,IF(J359="names",13,IF(J359="idioms",14,IF(J359="grades",15,IF(J359="syllable-digit pairs",16,IF(J359="trigram-word pairs",17,IF(J359="word-digit pairs",18,IF(J359="English-Swahili pairs",19,IF(J359="spatial position",20,IF(J359="word pairs",21,IF(J359="word triads",22,IF(J359="generated words",23,IF(J359="word definition pairs",24,IF(J359="math problems",25,IF(J359="famous faces",26,IF(J359="famous names",27,IF(J359="famous voices",28,IF(J359="television programs",29,IF(J359="race horses",30,IF(J359="new vocabulary",31,IF(J359="sentences",32,IF(J359="concepts",33,IF(J359="ad slides",34,IF(J359="scenes",35,IF(J359="famous scenes",36,IF(J359="poems",37,IF(J359="walk",38,IF(J359="faces and events",39,IF(J359="events and names",40,IF(J359="flashbulb",41,IF(J359="stories",42,IF(J359="course material",43,IF(J359="autobiographical",44,IF(J359="novels",45,IF(J359="public events",46,"99"))))))))))))))))))))))))))))))))))))))))))))))</f>
        <v>42</v>
      </c>
      <c r="L359" s="60">
        <f>IF(J359="syllables",1,IF(J359="trigrams",1,IF(J359="strings",1,IF(J359="visual array",1,IF(J359="characters",1,IF(J359="letters",1,IF(J359="free forms",1,IF(J359="odors",2,IF(J359="words",2,IF(J359="pictures",2,IF(J359="object pictures",2,IF(J359="faces",2,IF(J359="names",2,IF(J359="idioms","2",IF(J359="grades",2,IF(J359="syllable-digit pairs",3,IF(J359="trigram-word pairs",3,IF(J359="word-digit pairs",3,IF(J359="English-Swahili pairs",3,IF(J359="spatial position",3,IF(J359="word pairs",4,IF(J359="word triads",4,IF(J359="generated words",4,IF(J359="word definition pairs",4,IF(J359="math problems",4,IF(J359="famous faces",4,IF(J359="famous names",4,IF(J359="famous voices",4,IF(J359="television programs",4,IF(J359="race horses",4,IF(J359="new vocabulary",4,IF(J359="sentences",5,IF(J359="concepts",5,IF(J359="ad slides",5,IF(J359="scenes",5,IF(J359="famous scenes",5,IF(J359="poems",6,IF(J359="walk",6,IF(J359="faces and events",6,IF(J359="events and names",6,IF(J359="flashbulb",7,IF(J359="stories",7,IF(J359="course material",7,IF(J359="autobiographical",7,IF(J359="novels",7,IF(J359="public events",7,"99"))))))))))))))))))))))))))))))))))))))))))))))</f>
        <v>7</v>
      </c>
      <c r="M359" s="60">
        <v>0</v>
      </c>
      <c r="N359" s="60">
        <v>3</v>
      </c>
      <c r="O359" s="60">
        <v>1</v>
      </c>
      <c r="P359" s="60" t="s">
        <v>96</v>
      </c>
      <c r="Q359" s="60" t="s">
        <v>174</v>
      </c>
      <c r="R359" s="60">
        <f>IF(Q359="Free Recall",1,IF(Q359="Cued Recall",2,IF(Q359="Recognition",3,IF(Q359="Multiple Choice",4,IF(Q359="Savings",5,IF(Q359="Stem Completion",6,IF(Q359="Fragment Completion",7,IF(Q359="anagram solution",8,IF(Q359="Matching",9,IF(Q359="Problem Solving",10,"99"))))))))))</f>
        <v>1</v>
      </c>
      <c r="S359" s="60" t="s">
        <v>49</v>
      </c>
      <c r="T359" s="59" t="s">
        <v>581</v>
      </c>
      <c r="U359" s="60">
        <f>IF(T359="within",1,0)</f>
        <v>1</v>
      </c>
      <c r="V359" s="59">
        <v>25</v>
      </c>
      <c r="W359" s="60">
        <f>F359*V359</f>
        <v>350</v>
      </c>
      <c r="X359" s="60">
        <v>3</v>
      </c>
      <c r="Y359" s="76">
        <f>AV358</f>
        <v>30</v>
      </c>
      <c r="Z359" s="60" t="s">
        <v>97</v>
      </c>
      <c r="AA359" s="60">
        <v>604800</v>
      </c>
      <c r="AB359" s="60" t="str">
        <f>IF(AA359&lt;60,"1",IF(AA359&lt;=43200,"2",IF(AA359&lt;=777600,"3","4")))</f>
        <v>3</v>
      </c>
      <c r="AC359" s="56">
        <f>AVERAGE(AV358:DA358)</f>
        <v>202070</v>
      </c>
      <c r="AD359" s="60" t="str">
        <f>IF(AC359&lt;60,"1",IF(AC359&lt;=43200,"2",IF(AC359&lt;=777600,"3","4")))</f>
        <v>3</v>
      </c>
      <c r="AE359" s="76">
        <f>AA359-Y359</f>
        <v>604770</v>
      </c>
      <c r="AF359" s="80">
        <f>AV359</f>
        <v>0.6</v>
      </c>
      <c r="AG359" s="56">
        <f>((AW359-AV359)+(AX359-AW359))/2</f>
        <v>-9.9999999999999978E-2</v>
      </c>
      <c r="AH359" s="4"/>
      <c r="AI359" s="56">
        <f>RSQ(AV359:AX359,AV358:AX358)</f>
        <v>0.53674051099532749</v>
      </c>
      <c r="AJ359" s="109">
        <f>SLOPE(AV359:AX359,AV358:AX358)</f>
        <v>-2.1558556306907031E-7</v>
      </c>
      <c r="AK359" s="56">
        <f>INTERCEPT(AV359:AX359,AV358:AX358)</f>
        <v>0.53023004139603369</v>
      </c>
      <c r="AL359" s="56">
        <f>INDEX(LINEST(LN(AV359:AX359),LN(AV358:AX358),TRUE,TRUE),3,1)</f>
        <v>0.90809533926466635</v>
      </c>
      <c r="AM359" s="56">
        <f>INDEX(LINEST(LN(AV359:AX359),LN(AV358:AX358)),1)</f>
        <v>-3.9268388916605348E-2</v>
      </c>
      <c r="AN359" s="56">
        <f>EXP(INDEX(LINEST(LN(AV359:AX359),LN(AV358:AX358)),1,2))</f>
        <v>0.65629929764387163</v>
      </c>
      <c r="AO359" s="82">
        <f>INDEX(LINEST((AV359:AX359),LN(AV358:AX358),TRUE,TRUE),3,1)</f>
        <v>0.87753250715868891</v>
      </c>
      <c r="AP359" s="82">
        <f>INDEX(LINEST((AV359:AX359),LN(AV358:AX358)),1)</f>
        <v>-1.9235124809440604E-2</v>
      </c>
      <c r="AQ359" s="83">
        <f>INDEX(LINEST(LN(AV359:AX359),SQRT(AV358:AX358),TRUE,TRUE),3,1)</f>
        <v>0.61943564359307268</v>
      </c>
      <c r="AR359" s="116">
        <f>INDEX(LINEST(LN(AV359:AX359),SQRT((AV358:AX358))),1)</f>
        <v>-3.7096458295499395E-4</v>
      </c>
      <c r="AS359" s="84">
        <f>INDEX(LINEST(1/(AV359:AX359),1/(SQRT(AV358:AX358)),TRUE,TRUE),3,1)</f>
        <v>0.93001783054486098</v>
      </c>
      <c r="AT359" s="84">
        <f>INDEX(LINEST(1/(AV359:AX359),1/SQRT(AV358:AX358)),1)</f>
        <v>-4.1278529917009541</v>
      </c>
      <c r="AU359" s="3"/>
      <c r="AV359" s="53">
        <v>0.6</v>
      </c>
      <c r="AW359" s="53">
        <v>0.46</v>
      </c>
      <c r="AX359" s="53">
        <v>0.4</v>
      </c>
      <c r="AY359" s="53"/>
      <c r="AZ359" s="53"/>
      <c r="BA359" s="53"/>
      <c r="BB359" s="53"/>
      <c r="BC359" s="53"/>
      <c r="BD359" s="53"/>
      <c r="BE359" s="53"/>
      <c r="BF359" s="53"/>
      <c r="BG359" s="53"/>
      <c r="BH359" s="53"/>
      <c r="BI359" s="53"/>
      <c r="BJ359" s="53"/>
      <c r="BK359" s="53"/>
      <c r="BL359" s="53"/>
      <c r="BM359" s="53"/>
      <c r="BN359" s="53"/>
      <c r="BO359" s="53"/>
      <c r="BP359" s="53"/>
      <c r="BQ359" s="53"/>
      <c r="BR359" s="53"/>
      <c r="BS359" s="53"/>
      <c r="BT359" s="53"/>
      <c r="BU359" s="53"/>
      <c r="BV359" s="53"/>
      <c r="BW359" s="53"/>
      <c r="BX359" s="53"/>
      <c r="BY359" s="53"/>
      <c r="BZ359" s="53"/>
      <c r="CA359" s="53"/>
      <c r="CB359" s="53"/>
      <c r="CC359" s="53"/>
      <c r="CD359" s="53"/>
      <c r="CE359" s="53"/>
      <c r="CF359" s="53"/>
      <c r="CG359" s="53"/>
      <c r="CH359" s="53"/>
      <c r="CI359" s="53"/>
      <c r="CJ359" s="53"/>
      <c r="CK359" s="53"/>
      <c r="CL359" s="53"/>
      <c r="CM359" s="53"/>
      <c r="CN359" s="53"/>
      <c r="CO359" s="53"/>
      <c r="CP359" s="53"/>
      <c r="CQ359" s="53"/>
      <c r="CR359" s="1"/>
      <c r="CS359" s="1"/>
      <c r="CT359" s="1"/>
      <c r="CU359" s="1"/>
    </row>
    <row r="360" spans="1:99" s="13" customFormat="1" ht="12" customHeight="1" x14ac:dyDescent="0.2">
      <c r="A360" s="65">
        <v>43509</v>
      </c>
      <c r="B360" s="1"/>
      <c r="C360" s="1"/>
      <c r="D360" s="60"/>
      <c r="E360" s="76"/>
      <c r="F360" s="60"/>
      <c r="G360" s="60"/>
      <c r="H360" s="60"/>
      <c r="I360" s="60"/>
      <c r="J360" s="60"/>
      <c r="K360" s="64"/>
      <c r="L360" s="64"/>
      <c r="M360" s="60"/>
      <c r="N360" s="60"/>
      <c r="O360" s="60"/>
      <c r="P360" s="60"/>
      <c r="Q360" s="60"/>
      <c r="R360" s="60"/>
      <c r="S360" s="60"/>
      <c r="T360" s="60"/>
      <c r="U360" s="60"/>
      <c r="V360" s="60"/>
      <c r="W360" s="60"/>
      <c r="X360" s="60"/>
      <c r="Y360" s="76"/>
      <c r="Z360" s="60"/>
      <c r="AA360" s="60"/>
      <c r="AB360" s="60"/>
      <c r="AC360" s="60"/>
      <c r="AD360" s="60"/>
      <c r="AE360" s="60"/>
      <c r="AF360" s="80"/>
      <c r="AG360" s="56"/>
      <c r="AH360" s="4"/>
      <c r="AI360" s="56"/>
      <c r="AJ360" s="109"/>
      <c r="AK360" s="56"/>
      <c r="AL360" s="56"/>
      <c r="AM360" s="56"/>
      <c r="AN360" s="56"/>
      <c r="AO360" s="56"/>
      <c r="AP360" s="56"/>
      <c r="AQ360" s="56"/>
      <c r="AR360" s="109"/>
      <c r="AS360" s="56"/>
      <c r="AT360" s="56"/>
      <c r="AU360" s="3"/>
      <c r="AV360" s="25">
        <v>30</v>
      </c>
      <c r="AW360" s="25">
        <f>23*60</f>
        <v>1380</v>
      </c>
      <c r="AX360" s="25">
        <f>24*60*60*7</f>
        <v>604800</v>
      </c>
      <c r="AY360" s="53"/>
      <c r="AZ360" s="53"/>
      <c r="BA360" s="53"/>
      <c r="BB360" s="53"/>
      <c r="BC360" s="53"/>
      <c r="BD360" s="53"/>
      <c r="BE360" s="53"/>
      <c r="BF360" s="53"/>
      <c r="BG360" s="53"/>
      <c r="BH360" s="53"/>
      <c r="BI360" s="53"/>
      <c r="BJ360" s="53"/>
      <c r="BK360" s="53"/>
      <c r="BL360" s="53"/>
      <c r="BM360" s="53"/>
      <c r="BN360" s="53"/>
      <c r="BO360" s="53"/>
      <c r="BP360" s="53"/>
      <c r="BQ360" s="53"/>
      <c r="BR360" s="53"/>
      <c r="BS360" s="53"/>
      <c r="BT360" s="53"/>
      <c r="BU360" s="53"/>
      <c r="BV360" s="53"/>
      <c r="BW360" s="53"/>
      <c r="BX360" s="53"/>
      <c r="BY360" s="53"/>
      <c r="BZ360" s="53"/>
      <c r="CA360" s="53"/>
      <c r="CB360" s="53"/>
      <c r="CC360" s="53"/>
      <c r="CD360" s="53"/>
      <c r="CE360" s="53"/>
      <c r="CF360" s="53"/>
      <c r="CG360" s="53"/>
      <c r="CH360" s="53"/>
      <c r="CI360" s="53"/>
      <c r="CJ360" s="53"/>
      <c r="CK360" s="53"/>
      <c r="CL360" s="53"/>
      <c r="CM360" s="53"/>
      <c r="CN360" s="53"/>
      <c r="CO360" s="53"/>
      <c r="CP360" s="53"/>
      <c r="CQ360" s="53"/>
      <c r="CR360" s="1"/>
      <c r="CS360" s="1"/>
      <c r="CT360" s="1"/>
      <c r="CU360" s="1"/>
    </row>
    <row r="361" spans="1:99" s="13" customFormat="1" ht="12" customHeight="1" x14ac:dyDescent="0.2">
      <c r="A361" s="65">
        <v>43509</v>
      </c>
      <c r="B361" s="1" t="s">
        <v>94</v>
      </c>
      <c r="C361" s="1" t="s">
        <v>95</v>
      </c>
      <c r="D361" s="60">
        <v>2012</v>
      </c>
      <c r="E361" s="76">
        <v>1</v>
      </c>
      <c r="F361" s="60">
        <v>14</v>
      </c>
      <c r="G361" s="60">
        <v>14</v>
      </c>
      <c r="H361" s="60" t="s">
        <v>41</v>
      </c>
      <c r="I361" s="60" t="s">
        <v>673</v>
      </c>
      <c r="J361" s="60" t="s">
        <v>61</v>
      </c>
      <c r="K361" s="60">
        <f>IF(J361="syllables",1,IF(J361="trigrams",2,IF(J361="strings",3,IF(J361="visual array",4,IF(J361="characters",5,IF(J361="letters",6,IF(J361="free forms",7,IF(J361="odors",8,IF(J361="words",9,IF(J361="pictures",10,IF(J361="object pictures",11,IF(J361="faces",12,IF(J361="names",13,IF(J361="idioms",14,IF(J361="grades",15,IF(J361="syllable-digit pairs",16,IF(J361="trigram-word pairs",17,IF(J361="word-digit pairs",18,IF(J361="English-Swahili pairs",19,IF(J361="spatial position",20,IF(J361="word pairs",21,IF(J361="word triads",22,IF(J361="generated words",23,IF(J361="word definition pairs",24,IF(J361="math problems",25,IF(J361="famous faces",26,IF(J361="famous names",27,IF(J361="famous voices",28,IF(J361="television programs",29,IF(J361="race horses",30,IF(J361="new vocabulary",31,IF(J361="sentences",32,IF(J361="concepts",33,IF(J361="ad slides",34,IF(J361="scenes",35,IF(J361="famous scenes",36,IF(J361="poems",37,IF(J361="walk",38,IF(J361="faces and events",39,IF(J361="events and names",40,IF(J361="flashbulb",41,IF(J361="stories",42,IF(J361="course material",43,IF(J361="autobiographical",44,IF(J361="novels",45,IF(J361="public events",46,"99"))))))))))))))))))))))))))))))))))))))))))))))</f>
        <v>42</v>
      </c>
      <c r="L361" s="60">
        <f>IF(J361="syllables",1,IF(J361="trigrams",1,IF(J361="strings",1,IF(J361="visual array",1,IF(J361="characters",1,IF(J361="letters",1,IF(J361="free forms",1,IF(J361="odors",2,IF(J361="words",2,IF(J361="pictures",2,IF(J361="object pictures",2,IF(J361="faces",2,IF(J361="names",2,IF(J361="idioms","2",IF(J361="grades",2,IF(J361="syllable-digit pairs",3,IF(J361="trigram-word pairs",3,IF(J361="word-digit pairs",3,IF(J361="English-Swahili pairs",3,IF(J361="spatial position",3,IF(J361="word pairs",4,IF(J361="word triads",4,IF(J361="generated words",4,IF(J361="word definition pairs",4,IF(J361="math problems",4,IF(J361="famous faces",4,IF(J361="famous names",4,IF(J361="famous voices",4,IF(J361="television programs",4,IF(J361="race horses",4,IF(J361="new vocabulary",4,IF(J361="sentences",5,IF(J361="concepts",5,IF(J361="ad slides",5,IF(J361="scenes",5,IF(J361="famous scenes",5,IF(J361="poems",6,IF(J361="walk",6,IF(J361="faces and events",6,IF(J361="events and names",6,IF(J361="flashbulb",7,IF(J361="stories",7,IF(J361="course material",7,IF(J361="autobiographical",7,IF(J361="novels",7,IF(J361="public events",7,"99"))))))))))))))))))))))))))))))))))))))))))))))</f>
        <v>7</v>
      </c>
      <c r="M361" s="60">
        <v>0</v>
      </c>
      <c r="N361" s="60">
        <v>3</v>
      </c>
      <c r="O361" s="60">
        <v>1</v>
      </c>
      <c r="P361" s="60" t="s">
        <v>96</v>
      </c>
      <c r="Q361" s="60" t="s">
        <v>174</v>
      </c>
      <c r="R361" s="60">
        <f>IF(Q361="Free Recall",1,IF(Q361="Cued Recall",2,IF(Q361="Recognition",3,IF(Q361="Multiple Choice",4,IF(Q361="Savings",5,IF(Q361="Stem Completion",6,IF(Q361="Fragment Completion",7,IF(Q361="anagram solution",8,IF(Q361="Matching",9,IF(Q361="Problem Solving",10,"99"))))))))))</f>
        <v>1</v>
      </c>
      <c r="S361" s="60" t="s">
        <v>49</v>
      </c>
      <c r="T361" s="59" t="s">
        <v>581</v>
      </c>
      <c r="U361" s="60">
        <f>IF(T361="within",1,0)</f>
        <v>1</v>
      </c>
      <c r="V361" s="59">
        <v>25</v>
      </c>
      <c r="W361" s="60">
        <f>F361*V361</f>
        <v>350</v>
      </c>
      <c r="X361" s="60">
        <v>3</v>
      </c>
      <c r="Y361" s="76">
        <f>AV360</f>
        <v>30</v>
      </c>
      <c r="Z361" s="60" t="s">
        <v>97</v>
      </c>
      <c r="AA361" s="60">
        <v>604800</v>
      </c>
      <c r="AB361" s="60" t="str">
        <f>IF(AA361&lt;60,"1",IF(AA361&lt;=43200,"2",IF(AA361&lt;=777600,"3","4")))</f>
        <v>3</v>
      </c>
      <c r="AC361" s="56">
        <f>AVERAGE(AV360:DA360)</f>
        <v>202070</v>
      </c>
      <c r="AD361" s="60" t="str">
        <f>IF(AC361&lt;60,"1",IF(AC361&lt;=43200,"2",IF(AC361&lt;=777600,"3","4")))</f>
        <v>3</v>
      </c>
      <c r="AE361" s="76">
        <f>AA361-Y361</f>
        <v>604770</v>
      </c>
      <c r="AF361" s="80">
        <f>AV361</f>
        <v>0.57999999999999996</v>
      </c>
      <c r="AG361" s="56">
        <f>((AW361-AV361)+(AX361-AW361))/2</f>
        <v>-4.9999999999999989E-2</v>
      </c>
      <c r="AH361" s="4"/>
      <c r="AI361" s="56">
        <f>RSQ(AV361:AX361,AV360:AX360)</f>
        <v>0.96500054538339919</v>
      </c>
      <c r="AJ361" s="109">
        <f>SLOPE(AV361:AX361,AV360:AX360)</f>
        <v>-1.4903812147391653E-7</v>
      </c>
      <c r="AK361" s="56">
        <f>INTERCEPT(AV361:AX361,AV360:AX360)</f>
        <v>0.57011613320623433</v>
      </c>
      <c r="AL361" s="56">
        <f>INDEX(LINEST(LN(AV361:AX361),LN(AV360:AX360),TRUE,TRUE),3,1)</f>
        <v>0.95328559261088863</v>
      </c>
      <c r="AM361" s="56">
        <f>INDEX(LINEST(LN(AV361:AX361),LN(AV360:AX360)),1)</f>
        <v>-1.9664862159056648E-2</v>
      </c>
      <c r="AN361" s="56">
        <f>EXP(INDEX(LINEST(LN(AV361:AX361),LN(AV360:AX360)),1,2))</f>
        <v>0.62967267027742757</v>
      </c>
      <c r="AO361" s="82">
        <f>INDEX(LINEST((AV361:AX361),LN(AV360:AX360),TRUE,TRUE),3,1)</f>
        <v>0.95938842069755048</v>
      </c>
      <c r="AP361" s="82">
        <f>INDEX(LINEST((AV361:AX361),LN(AV360:AX360)),1)</f>
        <v>-1.0369474307710983E-2</v>
      </c>
      <c r="AQ361" s="83">
        <f>INDEX(LINEST(LN(AV361:AX361),SQRT(AV360:AX360),TRUE,TRUE),3,1)</f>
        <v>0.98082026015973189</v>
      </c>
      <c r="AR361" s="116">
        <f>INDEX(LINEST(LN(AV361:AX361),SQRT((AV360:AX360))),1)</f>
        <v>-2.2815558168708588E-4</v>
      </c>
      <c r="AS361" s="84">
        <f>INDEX(LINEST(1/(AV361:AX361),1/(SQRT(AV360:AX360)),TRUE,TRUE),3,1)</f>
        <v>0.53016939602502966</v>
      </c>
      <c r="AT361" s="84">
        <f>INDEX(LINEST(1/(AV361:AX361),1/SQRT(AV360:AX360)),1)</f>
        <v>-1.4256291061685442</v>
      </c>
      <c r="AU361" s="3"/>
      <c r="AV361" s="53">
        <v>0.57999999999999996</v>
      </c>
      <c r="AW361" s="53">
        <v>0.56000000000000005</v>
      </c>
      <c r="AX361" s="53">
        <v>0.48</v>
      </c>
      <c r="AY361" s="53"/>
      <c r="AZ361" s="53"/>
      <c r="BA361" s="53"/>
      <c r="BB361" s="53"/>
      <c r="BC361" s="53"/>
      <c r="BD361" s="53"/>
      <c r="BE361" s="53"/>
      <c r="BF361" s="53"/>
      <c r="BG361" s="53"/>
      <c r="BH361" s="53"/>
      <c r="BI361" s="53"/>
      <c r="BJ361" s="53"/>
      <c r="BK361" s="53"/>
      <c r="BL361" s="53"/>
      <c r="BM361" s="53"/>
      <c r="BN361" s="53"/>
      <c r="BO361" s="53"/>
      <c r="BP361" s="53"/>
      <c r="BQ361" s="53"/>
      <c r="BR361" s="53"/>
      <c r="BS361" s="53"/>
      <c r="BT361" s="53"/>
      <c r="BU361" s="53"/>
      <c r="BV361" s="53"/>
      <c r="BW361" s="53"/>
      <c r="BX361" s="53"/>
      <c r="BY361" s="53"/>
      <c r="BZ361" s="53"/>
      <c r="CA361" s="53"/>
      <c r="CB361" s="53"/>
      <c r="CC361" s="53"/>
      <c r="CD361" s="53"/>
      <c r="CE361" s="53"/>
      <c r="CF361" s="53"/>
      <c r="CG361" s="53"/>
      <c r="CH361" s="53"/>
      <c r="CI361" s="53"/>
      <c r="CJ361" s="53"/>
      <c r="CK361" s="53"/>
      <c r="CL361" s="53"/>
      <c r="CM361" s="53"/>
      <c r="CN361" s="53"/>
      <c r="CO361" s="53"/>
      <c r="CP361" s="53"/>
      <c r="CQ361" s="53"/>
      <c r="CR361" s="1"/>
      <c r="CS361" s="1"/>
      <c r="CT361" s="1"/>
      <c r="CU361" s="1"/>
    </row>
    <row r="362" spans="1:99" ht="12" customHeight="1" x14ac:dyDescent="0.2">
      <c r="A362" s="68">
        <v>43903</v>
      </c>
      <c r="B362" s="94"/>
      <c r="C362" s="94"/>
      <c r="D362" s="92"/>
      <c r="E362" s="105"/>
      <c r="F362" s="92"/>
      <c r="G362" s="92"/>
      <c r="H362" s="92"/>
      <c r="I362" s="92"/>
      <c r="J362" s="107"/>
      <c r="K362" s="107"/>
      <c r="L362" s="107"/>
      <c r="M362" s="92"/>
      <c r="N362" s="69"/>
      <c r="O362" s="92"/>
      <c r="P362" s="92"/>
      <c r="Q362" s="92"/>
      <c r="R362" s="69"/>
      <c r="S362" s="92"/>
      <c r="T362" s="92"/>
      <c r="U362" s="69"/>
      <c r="V362" s="92"/>
      <c r="W362" s="69"/>
      <c r="X362" s="69"/>
      <c r="Y362" s="87"/>
      <c r="Z362" s="92"/>
      <c r="AA362" s="92"/>
      <c r="AB362" s="69"/>
      <c r="AC362" s="72"/>
      <c r="AD362" s="69"/>
      <c r="AE362" s="69"/>
      <c r="AF362" s="88"/>
      <c r="AG362" s="72"/>
      <c r="AH362" s="4"/>
      <c r="AI362" s="72"/>
      <c r="AJ362" s="110"/>
      <c r="AK362" s="72"/>
      <c r="AL362" s="72"/>
      <c r="AM362" s="72"/>
      <c r="AN362" s="72"/>
      <c r="AO362" s="89"/>
      <c r="AP362" s="89"/>
      <c r="AQ362" s="90"/>
      <c r="AR362" s="117"/>
      <c r="AS362" s="91"/>
      <c r="AT362" s="91"/>
      <c r="AU362" s="3"/>
      <c r="AV362" s="98">
        <v>15768000</v>
      </c>
      <c r="AW362" s="98">
        <f t="shared" ref="AW362" si="0">AV362+15768000</f>
        <v>31536000</v>
      </c>
      <c r="AX362" s="98">
        <f t="shared" ref="AX362" si="1">AW362+15768000</f>
        <v>47304000</v>
      </c>
      <c r="AY362" s="98">
        <f t="shared" ref="AY362" si="2">AX362+15768000</f>
        <v>63072000</v>
      </c>
      <c r="AZ362" s="98">
        <f t="shared" ref="AZ362" si="3">AY362+15768000</f>
        <v>78840000</v>
      </c>
      <c r="BA362" s="98">
        <f t="shared" ref="BA362" si="4">AZ362+15768000</f>
        <v>94608000</v>
      </c>
      <c r="BB362" s="98">
        <f t="shared" ref="BB362" si="5">BA362+15768000</f>
        <v>110376000</v>
      </c>
      <c r="BC362" s="98">
        <f t="shared" ref="BC362" si="6">BB362+15768000</f>
        <v>126144000</v>
      </c>
      <c r="BD362" s="11"/>
      <c r="BE362" s="11"/>
      <c r="BF362" s="11"/>
      <c r="BG362" s="11"/>
      <c r="BH362" s="11"/>
      <c r="BI362" s="11"/>
      <c r="BJ362" s="11"/>
      <c r="BK362" s="11"/>
      <c r="BL362" s="11"/>
      <c r="BM362" s="11"/>
      <c r="BN362" s="11"/>
      <c r="BO362" s="11"/>
      <c r="BP362" s="11"/>
      <c r="BQ362" s="11"/>
      <c r="BR362" s="11"/>
      <c r="BS362" s="11"/>
      <c r="BT362" s="11"/>
      <c r="BU362" s="11"/>
      <c r="BV362" s="11"/>
      <c r="BW362" s="11"/>
      <c r="BX362" s="11"/>
      <c r="BY362" s="11"/>
      <c r="BZ362" s="11"/>
      <c r="CA362" s="11"/>
      <c r="CB362" s="11"/>
      <c r="CC362" s="11"/>
      <c r="CD362" s="11"/>
      <c r="CE362" s="11"/>
      <c r="CF362" s="11"/>
      <c r="CG362" s="11"/>
      <c r="CH362" s="11"/>
      <c r="CI362" s="11"/>
      <c r="CJ362" s="11"/>
      <c r="CK362" s="11"/>
      <c r="CL362" s="11"/>
      <c r="CM362" s="11"/>
      <c r="CN362" s="11"/>
      <c r="CO362" s="11"/>
      <c r="CP362" s="11"/>
      <c r="CQ362" s="11"/>
      <c r="CR362" s="15"/>
      <c r="CS362" s="15"/>
      <c r="CT362" s="15"/>
      <c r="CU362" s="15"/>
    </row>
    <row r="363" spans="1:99" ht="12" customHeight="1" x14ac:dyDescent="0.2">
      <c r="A363" s="68">
        <v>43903</v>
      </c>
      <c r="B363" s="94" t="s">
        <v>481</v>
      </c>
      <c r="C363" s="94" t="s">
        <v>262</v>
      </c>
      <c r="D363" s="92">
        <v>2020</v>
      </c>
      <c r="E363" s="105">
        <v>1</v>
      </c>
      <c r="F363" s="92">
        <v>230</v>
      </c>
      <c r="G363" s="92">
        <v>28.8</v>
      </c>
      <c r="H363" s="92" t="s">
        <v>747</v>
      </c>
      <c r="I363" s="92" t="s">
        <v>920</v>
      </c>
      <c r="J363" s="107" t="s">
        <v>483</v>
      </c>
      <c r="K363" s="69">
        <f t="shared" ref="K363" si="7">IF(J363="syllables",1,IF(J363="trigrams",2,IF(J363="strings",3,IF(J363="visual array",4,IF(J363="characters",5,IF(J363="letters",6,IF(J363="free forms",7,IF(J363="odors",8,IF(J363="words",9,IF(J363="pictures",10,IF(J363="object pictures",11,IF(J363="faces",12,IF(J363="names",13,IF(J363="idioms",14,IF(J363="grades",15,IF(J363="syllable-digit pairs",16,IF(J363="trigram-word pairs",17,IF(J363="word-digit pairs",18,IF(J363="English-Swahili pairs",19,IF(J363="spatial position",20,IF(J363="word pairs",21,IF(J363="word triads",22,IF(J363="generated words",23,IF(J363="word definition pairs",24,IF(J363="math problems",25,IF(J363="famous faces",26,IF(J363="famous names",27,IF(J363="famous voices",28,IF(J363="television programs",29,IF(J363="race horses",30,IF(J363="new vocabulary",31,IF(J363="sentences",32,IF(J363="concepts",33,IF(J363="ad slides",34,IF(J363="scenes",35,IF(J363="famous scenes",36,IF(J363="poems",37,IF(J363="walk",38,IF(J363="faces and events",39,IF(J363="events and names",40,IF(J363="flashbulb",41,IF(J363="stories",42,IF(J363="course material",43,IF(J363="autobiographical",44,IF(J363="novels",45,IF(J363="public events",46,"99"))))))))))))))))))))))))))))))))))))))))))))))</f>
        <v>45</v>
      </c>
      <c r="L363" s="69">
        <f t="shared" ref="L363" si="8">IF(J363="syllables",1,IF(J363="trigrams",1,IF(J363="strings",1,IF(J363="visual array",1,IF(J363="characters",1,IF(J363="letters",1,IF(J363="free forms",1,IF(J363="odors",2,IF(J363="words",2,IF(J363="pictures",2,IF(J363="object pictures",2,IF(J363="faces",2,IF(J363="names",2,IF(J363="idioms","2",IF(J363="grades",2,IF(J363="syllable-digit pairs",3,IF(J363="trigram-word pairs",3,IF(J363="word-digit pairs",3,IF(J363="English-Swahili pairs",3,IF(J363="spatial position",3,IF(J363="word pairs",4,IF(J363="word triads",4,IF(J363="generated words",4,IF(J363="word definition pairs",4,IF(J363="math problems",4,IF(J363="famous faces",4,IF(J363="famous names",4,IF(J363="famous voices",4,IF(J363="television programs",4,IF(J363="race horses",4,IF(J363="new vocabulary",4,IF(J363="sentences",5,IF(J363="concepts",5,IF(J363="ad slides",5,IF(J363="scenes",5,IF(J363="famous scenes",5,IF(J363="poems",6,IF(J363="walk",6,IF(J363="faces and events",6,IF(J363="events and names",6,IF(J363="flashbulb",7,IF(J363="stories",7,IF(J363="course material",7,IF(J363="autobiographical",7,IF(J363="novels",7,IF(J363="public events",7,"99"))))))))))))))))))))))))))))))))))))))))))))))</f>
        <v>7</v>
      </c>
      <c r="M363" s="92">
        <v>0</v>
      </c>
      <c r="N363" s="69">
        <v>3</v>
      </c>
      <c r="O363" s="92">
        <v>0</v>
      </c>
      <c r="P363" s="92"/>
      <c r="Q363" s="92" t="s">
        <v>182</v>
      </c>
      <c r="R363" s="69">
        <f t="shared" ref="R363" si="9">IF(Q363="Free Recall",1,IF(Q363="Cued Recall",2,IF(Q363="Recognition",3,IF(Q363="Multiple Choice",4,IF(Q363="Savings",5,IF(Q363="Stem Completion",6,IF(Q363="Fragment Completion",7,IF(Q363="anagram solution",8,IF(Q363="Matching",9,IF(Q363="Problem Solving",10,"99"))))))))))</f>
        <v>4</v>
      </c>
      <c r="S363" s="92" t="s">
        <v>482</v>
      </c>
      <c r="T363" s="92" t="s">
        <v>261</v>
      </c>
      <c r="U363" s="69">
        <f t="shared" ref="U363" si="10">IF(T363="within",1,0)</f>
        <v>0</v>
      </c>
      <c r="V363" s="92">
        <v>12</v>
      </c>
      <c r="W363" s="69">
        <f>F363*V363</f>
        <v>2760</v>
      </c>
      <c r="X363" s="69">
        <v>8</v>
      </c>
      <c r="Y363" s="87">
        <f>AV362</f>
        <v>15768000</v>
      </c>
      <c r="Z363" s="92" t="s">
        <v>484</v>
      </c>
      <c r="AA363" s="69">
        <f>7.5*365*24*60*60</f>
        <v>236520000</v>
      </c>
      <c r="AB363" s="69" t="str">
        <f>IF(AA363&lt;60,"1",IF(AA363&lt;=43200,"2",IF(AA363&lt;=777600,"3","4")))</f>
        <v>4</v>
      </c>
      <c r="AC363" s="72">
        <f>AVERAGE(AV362:DA362)</f>
        <v>70956000</v>
      </c>
      <c r="AD363" s="69" t="str">
        <f>IF(AC363&lt;60,"1",IF(AC363&lt;=43200,"2",IF(AC363&lt;=777600,"3","4")))</f>
        <v>4</v>
      </c>
      <c r="AE363" s="87">
        <f>AA363-Y363</f>
        <v>220752000</v>
      </c>
      <c r="AF363" s="88">
        <f>AV363</f>
        <v>0.5625</v>
      </c>
      <c r="AG363" s="72">
        <f>((AW363-AV363)+(AX363-AW363)+(AY363-AX363)+(AZ363-AY363)+(BA363-AZ363)+(BB363-BA363)+(BC363-BB363))/7</f>
        <v>-1.7351576999999983E-2</v>
      </c>
      <c r="AH363" s="4"/>
      <c r="AI363" s="72">
        <f>RSQ(AV363:BC363,AV362:BC362)</f>
        <v>0.90810275394255158</v>
      </c>
      <c r="AJ363" s="110">
        <f>SLOPE(AV363:BC363,AV362:BC362)</f>
        <v>-1.2746455374900246E-9</v>
      </c>
      <c r="AK363" s="72">
        <f>INTERCEPT(AV363:BC363,AV362:BC362)</f>
        <v>0.60209581761658237</v>
      </c>
      <c r="AL363" s="72">
        <f>INDEX(LINEST(LN(AV363:BC363),LN(AV362:BC362),TRUE,TRUE),3,1)</f>
        <v>0.76254830222151393</v>
      </c>
      <c r="AM363" s="72">
        <f>INDEX(LINEST(LN(AV363:BC363),LN(AV362:BC362)),1)</f>
        <v>-0.12632832890763682</v>
      </c>
      <c r="AN363" s="72">
        <f>EXP(INDEX(LINEST(LN(AV363:BC363),LN(AV362:BC362)),1,2))</f>
        <v>4.886822907385433</v>
      </c>
      <c r="AO363" s="89">
        <f>INDEX(LINEST((AV363:BC363),LN(AV362:BC362),TRUE,TRUE),3,1)</f>
        <v>0.77161942106670744</v>
      </c>
      <c r="AP363" s="89">
        <f>INDEX(LINEST((AV363:BC363),LN(AV362:BC362)),1)</f>
        <v>-6.4517362377310206E-2</v>
      </c>
      <c r="AQ363" s="90">
        <f>INDEX(LINEST(LN(AV363:BC363),SQRT(AV362:BC362),TRUE,TRUE),3,1)</f>
        <v>0.8581781033265018</v>
      </c>
      <c r="AR363" s="117">
        <f>INDEX(LINEST(LN(AV363:BC363),SQRT((AV362:BC362))),1)</f>
        <v>-3.7776661695339233E-5</v>
      </c>
      <c r="AS363" s="91">
        <f>INDEX(LINEST(1/(AV363:BC363),1/(SQRT(AV362:BC362)),TRUE,TRUE),3,1)</f>
        <v>0.62318823026935166</v>
      </c>
      <c r="AT363" s="91">
        <f>INDEX(LINEST(1/(AV363:BC363),1/SQRT(AV362:BC362)),1)</f>
        <v>-2914.3442727639167</v>
      </c>
      <c r="AU363" s="3"/>
      <c r="AV363" s="97">
        <v>0.5625</v>
      </c>
      <c r="AW363" s="97">
        <v>0.58041680664000006</v>
      </c>
      <c r="AX363" s="97">
        <v>0.54989693988679234</v>
      </c>
      <c r="AY363" s="97">
        <v>0.53100613213513514</v>
      </c>
      <c r="AZ363" s="97">
        <v>0.47659566151162791</v>
      </c>
      <c r="BA363" s="97">
        <v>0.4953404810689655</v>
      </c>
      <c r="BB363" s="97">
        <v>0.456421568625</v>
      </c>
      <c r="BC363" s="97">
        <v>0.44103896100000012</v>
      </c>
      <c r="BD363" s="11"/>
      <c r="BE363" s="11"/>
      <c r="BF363" s="11"/>
      <c r="BG363" s="11"/>
      <c r="BH363" s="11"/>
      <c r="BI363" s="11"/>
      <c r="BJ363" s="11"/>
      <c r="BK363" s="11"/>
      <c r="BL363" s="11"/>
      <c r="BM363" s="11"/>
      <c r="BN363" s="11"/>
      <c r="BO363" s="11"/>
      <c r="BP363" s="11"/>
      <c r="BQ363" s="11"/>
      <c r="BR363" s="11"/>
      <c r="BS363" s="11"/>
      <c r="BT363" s="11"/>
      <c r="BU363" s="11"/>
      <c r="BV363" s="11"/>
      <c r="BW363" s="11"/>
      <c r="BX363" s="11"/>
      <c r="BY363" s="11"/>
      <c r="BZ363" s="11"/>
      <c r="CA363" s="11"/>
      <c r="CB363" s="11"/>
      <c r="CC363" s="11"/>
      <c r="CD363" s="11"/>
      <c r="CE363" s="11"/>
      <c r="CF363" s="11"/>
      <c r="CG363" s="11"/>
      <c r="CH363" s="11"/>
      <c r="CI363" s="11"/>
      <c r="CJ363" s="11"/>
      <c r="CK363" s="11"/>
      <c r="CL363" s="11"/>
      <c r="CM363" s="11"/>
      <c r="CN363" s="11"/>
      <c r="CO363" s="11"/>
      <c r="CP363" s="11"/>
      <c r="CQ363" s="11"/>
      <c r="CR363" s="15"/>
      <c r="CS363" s="15"/>
      <c r="CT363" s="15"/>
      <c r="CU363" s="15"/>
    </row>
    <row r="364" spans="1:99" ht="12" customHeight="1" x14ac:dyDescent="0.2">
      <c r="A364" s="68">
        <v>43903</v>
      </c>
      <c r="B364" s="94"/>
      <c r="C364" s="94"/>
      <c r="D364" s="92"/>
      <c r="E364" s="105"/>
      <c r="F364" s="92"/>
      <c r="G364" s="92"/>
      <c r="H364" s="92"/>
      <c r="I364" s="92"/>
      <c r="J364" s="107"/>
      <c r="K364" s="107"/>
      <c r="L364" s="107"/>
      <c r="M364" s="92"/>
      <c r="N364" s="69"/>
      <c r="O364" s="92"/>
      <c r="P364" s="92"/>
      <c r="Q364" s="92"/>
      <c r="R364" s="69"/>
      <c r="S364" s="92"/>
      <c r="T364" s="92"/>
      <c r="U364" s="69"/>
      <c r="V364" s="92"/>
      <c r="W364" s="69"/>
      <c r="X364" s="69"/>
      <c r="Y364" s="87"/>
      <c r="Z364" s="92"/>
      <c r="AA364" s="92"/>
      <c r="AB364" s="69"/>
      <c r="AC364" s="72"/>
      <c r="AD364" s="69"/>
      <c r="AE364" s="69"/>
      <c r="AF364" s="88"/>
      <c r="AG364" s="72"/>
      <c r="AH364" s="4"/>
      <c r="AI364" s="72"/>
      <c r="AJ364" s="110"/>
      <c r="AK364" s="72"/>
      <c r="AL364" s="72"/>
      <c r="AM364" s="72"/>
      <c r="AN364" s="72"/>
      <c r="AO364" s="89"/>
      <c r="AP364" s="89"/>
      <c r="AQ364" s="90"/>
      <c r="AR364" s="117"/>
      <c r="AS364" s="91"/>
      <c r="AT364" s="91"/>
      <c r="AU364" s="3"/>
      <c r="AV364" s="98">
        <v>15768000</v>
      </c>
      <c r="AW364" s="98">
        <f t="shared" ref="AW364" si="11">AV364+15768000</f>
        <v>31536000</v>
      </c>
      <c r="AX364" s="98">
        <f t="shared" ref="AX364" si="12">AW364+15768000</f>
        <v>47304000</v>
      </c>
      <c r="AY364" s="98">
        <f t="shared" ref="AY364" si="13">AX364+15768000</f>
        <v>63072000</v>
      </c>
      <c r="AZ364" s="98">
        <f t="shared" ref="AZ364" si="14">AY364+15768000</f>
        <v>78840000</v>
      </c>
      <c r="BA364" s="98">
        <f t="shared" ref="BA364" si="15">AZ364+15768000</f>
        <v>94608000</v>
      </c>
      <c r="BB364" s="98">
        <f t="shared" ref="BB364" si="16">BA364+15768000</f>
        <v>110376000</v>
      </c>
      <c r="BC364" s="98">
        <f t="shared" ref="BC364" si="17">BB364+15768000</f>
        <v>126144000</v>
      </c>
      <c r="BD364" s="11"/>
      <c r="BE364" s="11"/>
      <c r="BF364" s="11"/>
      <c r="BG364" s="11"/>
      <c r="BH364" s="11"/>
      <c r="BI364" s="11"/>
      <c r="BJ364" s="11"/>
      <c r="BK364" s="11"/>
      <c r="BL364" s="11"/>
      <c r="BM364" s="11"/>
      <c r="BN364" s="11"/>
      <c r="BO364" s="11"/>
      <c r="BP364" s="11"/>
      <c r="BQ364" s="11"/>
      <c r="BR364" s="11"/>
      <c r="BS364" s="11"/>
      <c r="BT364" s="11"/>
      <c r="BU364" s="11"/>
      <c r="BV364" s="11"/>
      <c r="BW364" s="11"/>
      <c r="BX364" s="11"/>
      <c r="BY364" s="11"/>
      <c r="BZ364" s="11"/>
      <c r="CA364" s="11"/>
      <c r="CB364" s="11"/>
      <c r="CC364" s="11"/>
      <c r="CD364" s="11"/>
      <c r="CE364" s="11"/>
      <c r="CF364" s="11"/>
      <c r="CG364" s="11"/>
      <c r="CH364" s="11"/>
      <c r="CI364" s="11"/>
      <c r="CJ364" s="11"/>
      <c r="CK364" s="11"/>
      <c r="CL364" s="11"/>
      <c r="CM364" s="11"/>
      <c r="CN364" s="11"/>
      <c r="CO364" s="11"/>
      <c r="CP364" s="11"/>
      <c r="CQ364" s="11"/>
      <c r="CR364" s="15"/>
      <c r="CS364" s="15"/>
      <c r="CT364" s="15"/>
      <c r="CU364" s="15"/>
    </row>
    <row r="365" spans="1:99" ht="12" customHeight="1" x14ac:dyDescent="0.2">
      <c r="A365" s="68">
        <v>43903</v>
      </c>
      <c r="B365" s="94" t="s">
        <v>481</v>
      </c>
      <c r="C365" s="94" t="s">
        <v>262</v>
      </c>
      <c r="D365" s="92">
        <v>2020</v>
      </c>
      <c r="E365" s="105">
        <v>1</v>
      </c>
      <c r="F365" s="92">
        <v>230</v>
      </c>
      <c r="G365" s="92">
        <v>28.8</v>
      </c>
      <c r="H365" s="92" t="s">
        <v>747</v>
      </c>
      <c r="I365" s="92" t="s">
        <v>709</v>
      </c>
      <c r="J365" s="107" t="s">
        <v>483</v>
      </c>
      <c r="K365" s="69">
        <f t="shared" ref="K365" si="18">IF(J365="syllables",1,IF(J365="trigrams",2,IF(J365="strings",3,IF(J365="visual array",4,IF(J365="characters",5,IF(J365="letters",6,IF(J365="free forms",7,IF(J365="odors",8,IF(J365="words",9,IF(J365="pictures",10,IF(J365="object pictures",11,IF(J365="faces",12,IF(J365="names",13,IF(J365="idioms",14,IF(J365="grades",15,IF(J365="syllable-digit pairs",16,IF(J365="trigram-word pairs",17,IF(J365="word-digit pairs",18,IF(J365="English-Swahili pairs",19,IF(J365="spatial position",20,IF(J365="word pairs",21,IF(J365="word triads",22,IF(J365="generated words",23,IF(J365="word definition pairs",24,IF(J365="math problems",25,IF(J365="famous faces",26,IF(J365="famous names",27,IF(J365="famous voices",28,IF(J365="television programs",29,IF(J365="race horses",30,IF(J365="new vocabulary",31,IF(J365="sentences",32,IF(J365="concepts",33,IF(J365="ad slides",34,IF(J365="scenes",35,IF(J365="famous scenes",36,IF(J365="poems",37,IF(J365="walk",38,IF(J365="faces and events",39,IF(J365="events and names",40,IF(J365="flashbulb",41,IF(J365="stories",42,IF(J365="course material",43,IF(J365="autobiographical",44,IF(J365="novels",45,IF(J365="public events",46,"99"))))))))))))))))))))))))))))))))))))))))))))))</f>
        <v>45</v>
      </c>
      <c r="L365" s="69">
        <f t="shared" ref="L365" si="19">IF(J365="syllables",1,IF(J365="trigrams",1,IF(J365="strings",1,IF(J365="visual array",1,IF(J365="characters",1,IF(J365="letters",1,IF(J365="free forms",1,IF(J365="odors",2,IF(J365="words",2,IF(J365="pictures",2,IF(J365="object pictures",2,IF(J365="faces",2,IF(J365="names",2,IF(J365="idioms","2",IF(J365="grades",2,IF(J365="syllable-digit pairs",3,IF(J365="trigram-word pairs",3,IF(J365="word-digit pairs",3,IF(J365="English-Swahili pairs",3,IF(J365="spatial position",3,IF(J365="word pairs",4,IF(J365="word triads",4,IF(J365="generated words",4,IF(J365="word definition pairs",4,IF(J365="math problems",4,IF(J365="famous faces",4,IF(J365="famous names",4,IF(J365="famous voices",4,IF(J365="television programs",4,IF(J365="race horses",4,IF(J365="new vocabulary",4,IF(J365="sentences",5,IF(J365="concepts",5,IF(J365="ad slides",5,IF(J365="scenes",5,IF(J365="famous scenes",5,IF(J365="poems",6,IF(J365="walk",6,IF(J365="faces and events",6,IF(J365="events and names",6,IF(J365="flashbulb",7,IF(J365="stories",7,IF(J365="course material",7,IF(J365="autobiographical",7,IF(J365="novels",7,IF(J365="public events",7,"99"))))))))))))))))))))))))))))))))))))))))))))))</f>
        <v>7</v>
      </c>
      <c r="M365" s="92">
        <v>0</v>
      </c>
      <c r="N365" s="69">
        <v>3</v>
      </c>
      <c r="O365" s="92">
        <v>0</v>
      </c>
      <c r="P365" s="92"/>
      <c r="Q365" s="92" t="s">
        <v>182</v>
      </c>
      <c r="R365" s="69">
        <f t="shared" ref="R365" si="20">IF(Q365="Free Recall",1,IF(Q365="Cued Recall",2,IF(Q365="Recognition",3,IF(Q365="Multiple Choice",4,IF(Q365="Savings",5,IF(Q365="Stem Completion",6,IF(Q365="Fragment Completion",7,IF(Q365="anagram solution",8,IF(Q365="Matching",9,IF(Q365="Problem Solving",10,"99"))))))))))</f>
        <v>4</v>
      </c>
      <c r="S365" s="92" t="s">
        <v>482</v>
      </c>
      <c r="T365" s="92" t="s">
        <v>261</v>
      </c>
      <c r="U365" s="69">
        <f t="shared" ref="U365" si="21">IF(T365="within",1,0)</f>
        <v>0</v>
      </c>
      <c r="V365" s="92">
        <v>12</v>
      </c>
      <c r="W365" s="69">
        <f>F365*V365</f>
        <v>2760</v>
      </c>
      <c r="X365" s="69">
        <v>8</v>
      </c>
      <c r="Y365" s="87">
        <f>AV364</f>
        <v>15768000</v>
      </c>
      <c r="Z365" s="92" t="s">
        <v>484</v>
      </c>
      <c r="AA365" s="69">
        <f>7.5*365*24*60*60</f>
        <v>236520000</v>
      </c>
      <c r="AB365" s="69" t="str">
        <f>IF(AA365&lt;60,"1",IF(AA365&lt;=43200,"2",IF(AA365&lt;=777600,"3","4")))</f>
        <v>4</v>
      </c>
      <c r="AC365" s="72">
        <f>AVERAGE(AV364:DA364)</f>
        <v>70956000</v>
      </c>
      <c r="AD365" s="69" t="str">
        <f>IF(AC365&lt;60,"1",IF(AC365&lt;=43200,"2",IF(AC365&lt;=777600,"3","4")))</f>
        <v>4</v>
      </c>
      <c r="AE365" s="87">
        <f>AA365-Y365</f>
        <v>220752000</v>
      </c>
      <c r="AF365" s="88">
        <f>AV365</f>
        <v>0.64663461524999999</v>
      </c>
      <c r="AG365" s="72">
        <f>((AW365-AV365)+(AX365-AW365)+(AY365-AX365)+(AZ365-AY365)+(BA365-AZ365)+(BB365-BA365)+(BC365-BB365))/7</f>
        <v>-3.6165917412337663E-2</v>
      </c>
      <c r="AH365" s="4"/>
      <c r="AI365" s="72">
        <f>RSQ(AV365:BC365,AV364:BC364)</f>
        <v>0.83002849011194324</v>
      </c>
      <c r="AJ365" s="110">
        <f>SLOPE(AV365:BC365,AV364:BC364)</f>
        <v>-1.89422433040743E-9</v>
      </c>
      <c r="AK365" s="72">
        <f>INTERCEPT(AV365:BC365,AV364:BC364)</f>
        <v>0.61792216386274101</v>
      </c>
      <c r="AL365" s="72">
        <f>INDEX(LINEST(LN(AV365:BC365),LN(AV364:BC364),TRUE,TRUE),3,1)</f>
        <v>0.94965337937174277</v>
      </c>
      <c r="AM365" s="72">
        <f>INDEX(LINEST(LN(AV365:BC365),LN(AV364:BC364)),1)</f>
        <v>-0.21741765996869467</v>
      </c>
      <c r="AN365" s="72">
        <f>EXP(INDEX(LINEST(LN(AV365:BC365),LN(AV364:BC364)),1,2))</f>
        <v>23.423220380769216</v>
      </c>
      <c r="AO365" s="89">
        <f>INDEX(LINEST((AV365:BC365),LN(AV364:BC364),TRUE,TRUE),3,1)</f>
        <v>0.94744056769378016</v>
      </c>
      <c r="AP365" s="89">
        <f>INDEX(LINEST((AV365:BC365),LN(AV364:BC364)),1)</f>
        <v>-0.11112556824087604</v>
      </c>
      <c r="AQ365" s="90">
        <f>INDEX(LINEST(LN(AV365:BC365),SQRT(AV364:BC364),TRUE,TRUE),3,1)</f>
        <v>0.92448674681678134</v>
      </c>
      <c r="AR365" s="117">
        <f>INDEX(LINEST(LN(AV365:BC365),SQRT((AV364:BC364))),1)</f>
        <v>-6.0468666770249532E-5</v>
      </c>
      <c r="AS365" s="91">
        <f>INDEX(LINEST(1/(AV365:BC365),1/(SQRT(AV364:BC364)),TRUE,TRUE),3,1)</f>
        <v>0.90343128502000325</v>
      </c>
      <c r="AT365" s="91">
        <f>INDEX(LINEST(1/(AV365:BC365),1/SQRT(AV364:BC364)),1)</f>
        <v>-5458.5911813880803</v>
      </c>
      <c r="AU365" s="3"/>
      <c r="AV365" s="97">
        <v>0.64663461524999999</v>
      </c>
      <c r="AW365" s="97">
        <v>0.52451282051999992</v>
      </c>
      <c r="AX365" s="97">
        <v>0.52694726658490565</v>
      </c>
      <c r="AY365" s="97">
        <v>0.46517671524324317</v>
      </c>
      <c r="AZ365" s="97">
        <v>0.44102564102325592</v>
      </c>
      <c r="BA365" s="97">
        <v>0.43050397879310343</v>
      </c>
      <c r="BB365" s="97">
        <v>0.43985042741666663</v>
      </c>
      <c r="BC365" s="97">
        <v>0.39347319336363634</v>
      </c>
      <c r="BD365" s="11"/>
      <c r="BE365" s="11"/>
      <c r="BF365" s="11"/>
      <c r="BG365" s="11"/>
      <c r="BH365" s="11"/>
      <c r="BI365" s="11"/>
      <c r="BJ365" s="11"/>
      <c r="BK365" s="11"/>
      <c r="BL365" s="11"/>
      <c r="BM365" s="11"/>
      <c r="BN365" s="11"/>
      <c r="BO365" s="11"/>
      <c r="BP365" s="11"/>
      <c r="BQ365" s="11"/>
      <c r="BR365" s="11"/>
      <c r="BS365" s="11"/>
      <c r="BT365" s="11"/>
      <c r="BU365" s="11"/>
      <c r="BV365" s="11"/>
      <c r="BW365" s="11"/>
      <c r="BX365" s="11"/>
      <c r="BY365" s="11"/>
      <c r="BZ365" s="11"/>
      <c r="CA365" s="11"/>
      <c r="CB365" s="11"/>
      <c r="CC365" s="11"/>
      <c r="CD365" s="11"/>
      <c r="CE365" s="11"/>
      <c r="CF365" s="11"/>
      <c r="CG365" s="11"/>
      <c r="CH365" s="11"/>
      <c r="CI365" s="11"/>
      <c r="CJ365" s="11"/>
      <c r="CK365" s="11"/>
      <c r="CL365" s="11"/>
      <c r="CM365" s="11"/>
      <c r="CN365" s="11"/>
      <c r="CO365" s="11"/>
      <c r="CP365" s="11"/>
      <c r="CQ365" s="11"/>
      <c r="CR365" s="15"/>
      <c r="CS365" s="15"/>
      <c r="CT365" s="15"/>
      <c r="CU365" s="15"/>
    </row>
    <row r="366" spans="1:99" ht="12" customHeight="1" x14ac:dyDescent="0.2">
      <c r="A366" s="68">
        <v>43903</v>
      </c>
      <c r="B366" s="94"/>
      <c r="C366" s="94"/>
      <c r="D366" s="92"/>
      <c r="E366" s="105"/>
      <c r="F366" s="92"/>
      <c r="G366" s="92"/>
      <c r="H366" s="92"/>
      <c r="I366" s="92"/>
      <c r="J366" s="107"/>
      <c r="K366" s="107"/>
      <c r="L366" s="107"/>
      <c r="M366" s="92"/>
      <c r="N366" s="69"/>
      <c r="O366" s="92"/>
      <c r="P366" s="92"/>
      <c r="Q366" s="92"/>
      <c r="R366" s="69"/>
      <c r="S366" s="92"/>
      <c r="T366" s="92"/>
      <c r="U366" s="69"/>
      <c r="V366" s="92"/>
      <c r="W366" s="69"/>
      <c r="X366" s="69"/>
      <c r="Y366" s="87"/>
      <c r="Z366" s="92"/>
      <c r="AA366" s="92"/>
      <c r="AB366" s="69"/>
      <c r="AC366" s="72"/>
      <c r="AD366" s="69"/>
      <c r="AE366" s="69"/>
      <c r="AF366" s="88"/>
      <c r="AG366" s="72"/>
      <c r="AH366" s="4"/>
      <c r="AI366" s="72"/>
      <c r="AJ366" s="110"/>
      <c r="AK366" s="72"/>
      <c r="AL366" s="72"/>
      <c r="AM366" s="72"/>
      <c r="AN366" s="72"/>
      <c r="AO366" s="89"/>
      <c r="AP366" s="89"/>
      <c r="AQ366" s="90"/>
      <c r="AR366" s="117"/>
      <c r="AS366" s="91"/>
      <c r="AT366" s="91"/>
      <c r="AU366" s="3"/>
      <c r="AV366" s="98">
        <v>15768000</v>
      </c>
      <c r="AW366" s="98">
        <f t="shared" ref="AW366" si="22">AV366+15768000</f>
        <v>31536000</v>
      </c>
      <c r="AX366" s="98">
        <f t="shared" ref="AX366" si="23">AW366+15768000</f>
        <v>47304000</v>
      </c>
      <c r="AY366" s="98">
        <f t="shared" ref="AY366" si="24">AX366+15768000</f>
        <v>63072000</v>
      </c>
      <c r="AZ366" s="98">
        <f t="shared" ref="AZ366" si="25">AY366+15768000</f>
        <v>78840000</v>
      </c>
      <c r="BA366" s="98">
        <f t="shared" ref="BA366" si="26">AZ366+15768000</f>
        <v>94608000</v>
      </c>
      <c r="BB366" s="98">
        <f t="shared" ref="BB366" si="27">BA366+15768000</f>
        <v>110376000</v>
      </c>
      <c r="BC366" s="98">
        <f t="shared" ref="BC366" si="28">BB366+15768000</f>
        <v>126144000</v>
      </c>
      <c r="BD366" s="11"/>
      <c r="BE366" s="11"/>
      <c r="BF366" s="11"/>
      <c r="BG366" s="11"/>
      <c r="BH366" s="11"/>
      <c r="BI366" s="11"/>
      <c r="BJ366" s="11"/>
      <c r="BK366" s="11"/>
      <c r="BL366" s="11"/>
      <c r="BM366" s="11"/>
      <c r="BN366" s="11"/>
      <c r="BO366" s="11"/>
      <c r="BP366" s="11"/>
      <c r="BQ366" s="11"/>
      <c r="BR366" s="11"/>
      <c r="BS366" s="11"/>
      <c r="BT366" s="11"/>
      <c r="BU366" s="11"/>
      <c r="BV366" s="11"/>
      <c r="BW366" s="11"/>
      <c r="BX366" s="11"/>
      <c r="BY366" s="11"/>
      <c r="BZ366" s="11"/>
      <c r="CA366" s="11"/>
      <c r="CB366" s="11"/>
      <c r="CC366" s="11"/>
      <c r="CD366" s="11"/>
      <c r="CE366" s="11"/>
      <c r="CF366" s="11"/>
      <c r="CG366" s="11"/>
      <c r="CH366" s="11"/>
      <c r="CI366" s="11"/>
      <c r="CJ366" s="11"/>
      <c r="CK366" s="11"/>
      <c r="CL366" s="11"/>
      <c r="CM366" s="11"/>
      <c r="CN366" s="11"/>
      <c r="CO366" s="11"/>
      <c r="CP366" s="11"/>
      <c r="CQ366" s="11"/>
      <c r="CR366" s="15"/>
      <c r="CS366" s="15"/>
      <c r="CT366" s="15"/>
      <c r="CU366" s="15"/>
    </row>
    <row r="367" spans="1:99" ht="12" customHeight="1" x14ac:dyDescent="0.2">
      <c r="A367" s="68">
        <v>43903</v>
      </c>
      <c r="B367" s="94" t="s">
        <v>481</v>
      </c>
      <c r="C367" s="94" t="s">
        <v>262</v>
      </c>
      <c r="D367" s="92">
        <v>2020</v>
      </c>
      <c r="E367" s="105">
        <v>1</v>
      </c>
      <c r="F367" s="92">
        <v>230</v>
      </c>
      <c r="G367" s="92">
        <v>28.8</v>
      </c>
      <c r="H367" s="92" t="s">
        <v>747</v>
      </c>
      <c r="I367" s="92" t="s">
        <v>864</v>
      </c>
      <c r="J367" s="107" t="s">
        <v>483</v>
      </c>
      <c r="K367" s="69">
        <f t="shared" ref="K367" si="29">IF(J367="syllables",1,IF(J367="trigrams",2,IF(J367="strings",3,IF(J367="visual array",4,IF(J367="characters",5,IF(J367="letters",6,IF(J367="free forms",7,IF(J367="odors",8,IF(J367="words",9,IF(J367="pictures",10,IF(J367="object pictures",11,IF(J367="faces",12,IF(J367="names",13,IF(J367="idioms",14,IF(J367="grades",15,IF(J367="syllable-digit pairs",16,IF(J367="trigram-word pairs",17,IF(J367="word-digit pairs",18,IF(J367="English-Swahili pairs",19,IF(J367="spatial position",20,IF(J367="word pairs",21,IF(J367="word triads",22,IF(J367="generated words",23,IF(J367="word definition pairs",24,IF(J367="math problems",25,IF(J367="famous faces",26,IF(J367="famous names",27,IF(J367="famous voices",28,IF(J367="television programs",29,IF(J367="race horses",30,IF(J367="new vocabulary",31,IF(J367="sentences",32,IF(J367="concepts",33,IF(J367="ad slides",34,IF(J367="scenes",35,IF(J367="famous scenes",36,IF(J367="poems",37,IF(J367="walk",38,IF(J367="faces and events",39,IF(J367="events and names",40,IF(J367="flashbulb",41,IF(J367="stories",42,IF(J367="course material",43,IF(J367="autobiographical",44,IF(J367="novels",45,IF(J367="public events",46,"99"))))))))))))))))))))))))))))))))))))))))))))))</f>
        <v>45</v>
      </c>
      <c r="L367" s="69">
        <f t="shared" ref="L367" si="30">IF(J367="syllables",1,IF(J367="trigrams",1,IF(J367="strings",1,IF(J367="visual array",1,IF(J367="characters",1,IF(J367="letters",1,IF(J367="free forms",1,IF(J367="odors",2,IF(J367="words",2,IF(J367="pictures",2,IF(J367="object pictures",2,IF(J367="faces",2,IF(J367="names",2,IF(J367="idioms","2",IF(J367="grades",2,IF(J367="syllable-digit pairs",3,IF(J367="trigram-word pairs",3,IF(J367="word-digit pairs",3,IF(J367="English-Swahili pairs",3,IF(J367="spatial position",3,IF(J367="word pairs",4,IF(J367="word triads",4,IF(J367="generated words",4,IF(J367="word definition pairs",4,IF(J367="math problems",4,IF(J367="famous faces",4,IF(J367="famous names",4,IF(J367="famous voices",4,IF(J367="television programs",4,IF(J367="race horses",4,IF(J367="new vocabulary",4,IF(J367="sentences",5,IF(J367="concepts",5,IF(J367="ad slides",5,IF(J367="scenes",5,IF(J367="famous scenes",5,IF(J367="poems",6,IF(J367="walk",6,IF(J367="faces and events",6,IF(J367="events and names",6,IF(J367="flashbulb",7,IF(J367="stories",7,IF(J367="course material",7,IF(J367="autobiographical",7,IF(J367="novels",7,IF(J367="public events",7,"99"))))))))))))))))))))))))))))))))))))))))))))))</f>
        <v>7</v>
      </c>
      <c r="M367" s="92">
        <v>0</v>
      </c>
      <c r="N367" s="69">
        <v>3</v>
      </c>
      <c r="O367" s="92">
        <v>0</v>
      </c>
      <c r="P367" s="92"/>
      <c r="Q367" s="92" t="s">
        <v>182</v>
      </c>
      <c r="R367" s="69">
        <f t="shared" ref="R367" si="31">IF(Q367="Free Recall",1,IF(Q367="Cued Recall",2,IF(Q367="Recognition",3,IF(Q367="Multiple Choice",4,IF(Q367="Savings",5,IF(Q367="Stem Completion",6,IF(Q367="Fragment Completion",7,IF(Q367="anagram solution",8,IF(Q367="Matching",9,IF(Q367="Problem Solving",10,"99"))))))))))</f>
        <v>4</v>
      </c>
      <c r="S367" s="92" t="s">
        <v>482</v>
      </c>
      <c r="T367" s="92" t="s">
        <v>261</v>
      </c>
      <c r="U367" s="69">
        <f t="shared" ref="U367" si="32">IF(T367="within",1,0)</f>
        <v>0</v>
      </c>
      <c r="V367" s="92">
        <v>12</v>
      </c>
      <c r="W367" s="69">
        <f>F367*V367</f>
        <v>2760</v>
      </c>
      <c r="X367" s="69">
        <v>8</v>
      </c>
      <c r="Y367" s="87">
        <f>AV366</f>
        <v>15768000</v>
      </c>
      <c r="Z367" s="92" t="s">
        <v>484</v>
      </c>
      <c r="AA367" s="69">
        <f>7.5*365*24*60*60</f>
        <v>236520000</v>
      </c>
      <c r="AB367" s="69" t="str">
        <f>IF(AA367&lt;60,"1",IF(AA367&lt;=43200,"2",IF(AA367&lt;=777600,"3","4")))</f>
        <v>4</v>
      </c>
      <c r="AC367" s="72">
        <f>AVERAGE(AV366:DA366)</f>
        <v>70956000</v>
      </c>
      <c r="AD367" s="69" t="str">
        <f>IF(AC367&lt;60,"1",IF(AC367&lt;=43200,"2",IF(AC367&lt;=777600,"3","4")))</f>
        <v>4</v>
      </c>
      <c r="AE367" s="87">
        <f>AA367-Y367</f>
        <v>220752000</v>
      </c>
      <c r="AF367" s="88">
        <f>AV367</f>
        <v>0.68750000025000002</v>
      </c>
      <c r="AG367" s="72">
        <f>((AW367-AV367)+(AX367-AW367)+(AY367-AX367)+(AZ367-AY367)+(BA367-AZ367)+(BB367-BA367)+(BC367-BB367))/7</f>
        <v>-2.7497721620129867E-2</v>
      </c>
      <c r="AH367" s="4"/>
      <c r="AI367" s="72">
        <f>RSQ(AV367:BC367,AV366:BC366)</f>
        <v>0.80547480444593145</v>
      </c>
      <c r="AJ367" s="110">
        <f>SLOPE(AV367:BC367,AV366:BC366)</f>
        <v>-1.5914279440176091E-9</v>
      </c>
      <c r="AK367" s="72">
        <f>INTERCEPT(AV367:BC367,AV366:BC366)</f>
        <v>0.69466482070690316</v>
      </c>
      <c r="AL367" s="72">
        <f>INDEX(LINEST(LN(AV367:BC367),LN(AV366:BC366),TRUE,TRUE),3,1)</f>
        <v>0.85253904311675921</v>
      </c>
      <c r="AM367" s="72">
        <f>INDEX(LINEST(LN(AV367:BC367),LN(AV366:BC366)),1)</f>
        <v>-0.15112086460236174</v>
      </c>
      <c r="AN367" s="72">
        <f>EXP(INDEX(LINEST(LN(AV367:BC367),LN(AV366:BC366)),1,2))</f>
        <v>8.6478706921455295</v>
      </c>
      <c r="AO367" s="89">
        <f>INDEX(LINEST((AV367:BC367),LN(AV366:BC366),TRUE,TRUE),3,1)</f>
        <v>0.86484960375888653</v>
      </c>
      <c r="AP367" s="89">
        <f>INDEX(LINEST((AV367:BC367),LN(AV366:BC366)),1)</f>
        <v>-9.0549152648145004E-2</v>
      </c>
      <c r="AQ367" s="90">
        <f>INDEX(LINEST(LN(AV367:BC367),SQRT(AV366:BC366),TRUE,TRUE),3,1)</f>
        <v>0.85025449840224887</v>
      </c>
      <c r="AR367" s="117">
        <f>INDEX(LINEST(LN(AV367:BC367),SQRT((AV366:BC366))),1)</f>
        <v>-4.2541181798394445E-5</v>
      </c>
      <c r="AS367" s="91">
        <f>INDEX(LINEST(1/(AV367:BC367),1/(SQRT(AV366:BC366)),TRUE,TRUE),3,1)</f>
        <v>0.78603390551837471</v>
      </c>
      <c r="AT367" s="91">
        <f>INDEX(LINEST(1/(AV367:BC367),1/SQRT(AV366:BC366)),1)</f>
        <v>-3170.963394000205</v>
      </c>
      <c r="AU367" s="3"/>
      <c r="AV367" s="97">
        <v>0.68750000025000002</v>
      </c>
      <c r="AW367" s="97">
        <v>0.67526315784000024</v>
      </c>
      <c r="AX367" s="97">
        <v>0.6042287321320754</v>
      </c>
      <c r="AY367" s="97">
        <v>0.53390232329729737</v>
      </c>
      <c r="AZ367" s="97">
        <v>0.55806303551162806</v>
      </c>
      <c r="BA367" s="97">
        <v>0.54775408348275856</v>
      </c>
      <c r="BB367" s="97">
        <v>0.55222039466666661</v>
      </c>
      <c r="BC367" s="97">
        <v>0.49501594890909095</v>
      </c>
      <c r="BD367" s="11"/>
      <c r="BE367" s="11"/>
      <c r="BF367" s="11"/>
      <c r="BG367" s="11"/>
      <c r="BH367" s="11"/>
      <c r="BI367" s="11"/>
      <c r="BJ367" s="11"/>
      <c r="BK367" s="11"/>
      <c r="BL367" s="11"/>
      <c r="BM367" s="11"/>
      <c r="BN367" s="11"/>
      <c r="BO367" s="11"/>
      <c r="BP367" s="11"/>
      <c r="BQ367" s="11"/>
      <c r="BR367" s="11"/>
      <c r="BS367" s="11"/>
      <c r="BT367" s="11"/>
      <c r="BU367" s="11"/>
      <c r="BV367" s="11"/>
      <c r="BW367" s="11"/>
      <c r="BX367" s="11"/>
      <c r="BY367" s="11"/>
      <c r="BZ367" s="11"/>
      <c r="CA367" s="11"/>
      <c r="CB367" s="11"/>
      <c r="CC367" s="11"/>
      <c r="CD367" s="11"/>
      <c r="CE367" s="11"/>
      <c r="CF367" s="11"/>
      <c r="CG367" s="11"/>
      <c r="CH367" s="11"/>
      <c r="CI367" s="11"/>
      <c r="CJ367" s="11"/>
      <c r="CK367" s="11"/>
      <c r="CL367" s="11"/>
      <c r="CM367" s="11"/>
      <c r="CN367" s="11"/>
      <c r="CO367" s="11"/>
      <c r="CP367" s="11"/>
      <c r="CQ367" s="11"/>
      <c r="CR367" s="15"/>
      <c r="CS367" s="15"/>
      <c r="CT367" s="15"/>
      <c r="CU367" s="15"/>
    </row>
    <row r="368" spans="1:99" ht="12" customHeight="1" x14ac:dyDescent="0.2">
      <c r="A368" s="68">
        <v>43903</v>
      </c>
      <c r="B368" s="94"/>
      <c r="C368" s="94"/>
      <c r="D368" s="92"/>
      <c r="E368" s="105"/>
      <c r="F368" s="92"/>
      <c r="G368" s="92"/>
      <c r="H368" s="92"/>
      <c r="I368" s="92"/>
      <c r="J368" s="107"/>
      <c r="K368" s="107"/>
      <c r="L368" s="107"/>
      <c r="M368" s="92"/>
      <c r="N368" s="69"/>
      <c r="O368" s="92"/>
      <c r="P368" s="92"/>
      <c r="Q368" s="92"/>
      <c r="R368" s="69"/>
      <c r="S368" s="92"/>
      <c r="T368" s="92"/>
      <c r="U368" s="69"/>
      <c r="V368" s="92"/>
      <c r="W368" s="69"/>
      <c r="X368" s="69"/>
      <c r="Y368" s="87"/>
      <c r="Z368" s="92"/>
      <c r="AA368" s="92"/>
      <c r="AB368" s="69"/>
      <c r="AC368" s="72"/>
      <c r="AD368" s="69"/>
      <c r="AE368" s="69"/>
      <c r="AF368" s="88"/>
      <c r="AG368" s="72"/>
      <c r="AH368" s="4"/>
      <c r="AI368" s="72"/>
      <c r="AJ368" s="110"/>
      <c r="AK368" s="72"/>
      <c r="AL368" s="72"/>
      <c r="AM368" s="72"/>
      <c r="AN368" s="72"/>
      <c r="AO368" s="89"/>
      <c r="AP368" s="89"/>
      <c r="AQ368" s="90"/>
      <c r="AR368" s="117"/>
      <c r="AS368" s="91"/>
      <c r="AT368" s="91"/>
      <c r="AU368" s="3"/>
      <c r="AV368" s="98">
        <v>15768000</v>
      </c>
      <c r="AW368" s="98">
        <f t="shared" ref="AW368" si="33">AV368+15768000</f>
        <v>31536000</v>
      </c>
      <c r="AX368" s="98">
        <f t="shared" ref="AX368" si="34">AW368+15768000</f>
        <v>47304000</v>
      </c>
      <c r="AY368" s="98">
        <f t="shared" ref="AY368" si="35">AX368+15768000</f>
        <v>63072000</v>
      </c>
      <c r="AZ368" s="98">
        <f t="shared" ref="AZ368" si="36">AY368+15768000</f>
        <v>78840000</v>
      </c>
      <c r="BA368" s="98">
        <f t="shared" ref="BA368" si="37">AZ368+15768000</f>
        <v>94608000</v>
      </c>
      <c r="BB368" s="98">
        <f t="shared" ref="BB368" si="38">BA368+15768000</f>
        <v>110376000</v>
      </c>
      <c r="BC368" s="98">
        <f t="shared" ref="BC368" si="39">BB368+15768000</f>
        <v>126144000</v>
      </c>
      <c r="BD368" s="11"/>
      <c r="BE368" s="11"/>
      <c r="BF368" s="11"/>
      <c r="BG368" s="11"/>
      <c r="BH368" s="11"/>
      <c r="BI368" s="11"/>
      <c r="BJ368" s="11"/>
      <c r="BK368" s="11"/>
      <c r="BL368" s="11"/>
      <c r="BM368" s="11"/>
      <c r="BN368" s="11"/>
      <c r="BO368" s="11"/>
      <c r="BP368" s="11"/>
      <c r="BQ368" s="11"/>
      <c r="BR368" s="11"/>
      <c r="BS368" s="11"/>
      <c r="BT368" s="11"/>
      <c r="BU368" s="11"/>
      <c r="BV368" s="11"/>
      <c r="BW368" s="11"/>
      <c r="BX368" s="11"/>
      <c r="BY368" s="11"/>
      <c r="BZ368" s="11"/>
      <c r="CA368" s="11"/>
      <c r="CB368" s="11"/>
      <c r="CC368" s="11"/>
      <c r="CD368" s="11"/>
      <c r="CE368" s="11"/>
      <c r="CF368" s="11"/>
      <c r="CG368" s="11"/>
      <c r="CH368" s="11"/>
      <c r="CI368" s="11"/>
      <c r="CJ368" s="11"/>
      <c r="CK368" s="11"/>
      <c r="CL368" s="11"/>
      <c r="CM368" s="11"/>
      <c r="CN368" s="11"/>
      <c r="CO368" s="11"/>
      <c r="CP368" s="11"/>
      <c r="CQ368" s="11"/>
      <c r="CR368" s="15"/>
      <c r="CS368" s="15"/>
      <c r="CT368" s="15"/>
      <c r="CU368" s="15"/>
    </row>
    <row r="369" spans="1:99" ht="12" customHeight="1" x14ac:dyDescent="0.2">
      <c r="A369" s="68">
        <v>43903</v>
      </c>
      <c r="B369" s="94" t="s">
        <v>481</v>
      </c>
      <c r="C369" s="94" t="s">
        <v>262</v>
      </c>
      <c r="D369" s="92">
        <v>2020</v>
      </c>
      <c r="E369" s="105">
        <v>1</v>
      </c>
      <c r="F369" s="92">
        <v>230</v>
      </c>
      <c r="G369" s="92">
        <v>28.8</v>
      </c>
      <c r="H369" s="92" t="s">
        <v>747</v>
      </c>
      <c r="I369" s="92" t="s">
        <v>719</v>
      </c>
      <c r="J369" s="107" t="s">
        <v>483</v>
      </c>
      <c r="K369" s="69">
        <f t="shared" ref="K369" si="40">IF(J369="syllables",1,IF(J369="trigrams",2,IF(J369="strings",3,IF(J369="visual array",4,IF(J369="characters",5,IF(J369="letters",6,IF(J369="free forms",7,IF(J369="odors",8,IF(J369="words",9,IF(J369="pictures",10,IF(J369="object pictures",11,IF(J369="faces",12,IF(J369="names",13,IF(J369="idioms",14,IF(J369="grades",15,IF(J369="syllable-digit pairs",16,IF(J369="trigram-word pairs",17,IF(J369="word-digit pairs",18,IF(J369="English-Swahili pairs",19,IF(J369="spatial position",20,IF(J369="word pairs",21,IF(J369="word triads",22,IF(J369="generated words",23,IF(J369="word definition pairs",24,IF(J369="math problems",25,IF(J369="famous faces",26,IF(J369="famous names",27,IF(J369="famous voices",28,IF(J369="television programs",29,IF(J369="race horses",30,IF(J369="new vocabulary",31,IF(J369="sentences",32,IF(J369="concepts",33,IF(J369="ad slides",34,IF(J369="scenes",35,IF(J369="famous scenes",36,IF(J369="poems",37,IF(J369="walk",38,IF(J369="faces and events",39,IF(J369="events and names",40,IF(J369="flashbulb",41,IF(J369="stories",42,IF(J369="course material",43,IF(J369="autobiographical",44,IF(J369="novels",45,IF(J369="public events",46,"99"))))))))))))))))))))))))))))))))))))))))))))))</f>
        <v>45</v>
      </c>
      <c r="L369" s="69">
        <f t="shared" ref="L369" si="41">IF(J369="syllables",1,IF(J369="trigrams",1,IF(J369="strings",1,IF(J369="visual array",1,IF(J369="characters",1,IF(J369="letters",1,IF(J369="free forms",1,IF(J369="odors",2,IF(J369="words",2,IF(J369="pictures",2,IF(J369="object pictures",2,IF(J369="faces",2,IF(J369="names",2,IF(J369="idioms","2",IF(J369="grades",2,IF(J369="syllable-digit pairs",3,IF(J369="trigram-word pairs",3,IF(J369="word-digit pairs",3,IF(J369="English-Swahili pairs",3,IF(J369="spatial position",3,IF(J369="word pairs",4,IF(J369="word triads",4,IF(J369="generated words",4,IF(J369="word definition pairs",4,IF(J369="math problems",4,IF(J369="famous faces",4,IF(J369="famous names",4,IF(J369="famous voices",4,IF(J369="television programs",4,IF(J369="race horses",4,IF(J369="new vocabulary",4,IF(J369="sentences",5,IF(J369="concepts",5,IF(J369="ad slides",5,IF(J369="scenes",5,IF(J369="famous scenes",5,IF(J369="poems",6,IF(J369="walk",6,IF(J369="faces and events",6,IF(J369="events and names",6,IF(J369="flashbulb",7,IF(J369="stories",7,IF(J369="course material",7,IF(J369="autobiographical",7,IF(J369="novels",7,IF(J369="public events",7,"99"))))))))))))))))))))))))))))))))))))))))))))))</f>
        <v>7</v>
      </c>
      <c r="M369" s="92">
        <v>0</v>
      </c>
      <c r="N369" s="69">
        <v>3</v>
      </c>
      <c r="O369" s="92">
        <v>0</v>
      </c>
      <c r="P369" s="92"/>
      <c r="Q369" s="92" t="s">
        <v>182</v>
      </c>
      <c r="R369" s="69">
        <f t="shared" ref="R369" si="42">IF(Q369="Free Recall",1,IF(Q369="Cued Recall",2,IF(Q369="Recognition",3,IF(Q369="Multiple Choice",4,IF(Q369="Savings",5,IF(Q369="Stem Completion",6,IF(Q369="Fragment Completion",7,IF(Q369="anagram solution",8,IF(Q369="Matching",9,IF(Q369="Problem Solving",10,"99"))))))))))</f>
        <v>4</v>
      </c>
      <c r="S369" s="92" t="s">
        <v>482</v>
      </c>
      <c r="T369" s="92" t="s">
        <v>261</v>
      </c>
      <c r="U369" s="69">
        <f t="shared" ref="U369" si="43">IF(T369="within",1,0)</f>
        <v>0</v>
      </c>
      <c r="V369" s="92">
        <v>12</v>
      </c>
      <c r="W369" s="69">
        <f>F369*V369</f>
        <v>2760</v>
      </c>
      <c r="X369" s="69">
        <v>8</v>
      </c>
      <c r="Y369" s="87">
        <f>AV368</f>
        <v>15768000</v>
      </c>
      <c r="Z369" s="92" t="s">
        <v>484</v>
      </c>
      <c r="AA369" s="69">
        <f>7.5*365*24*60*60</f>
        <v>236520000</v>
      </c>
      <c r="AB369" s="69" t="str">
        <f>IF(AA369&lt;60,"1",IF(AA369&lt;=43200,"2",IF(AA369&lt;=777600,"3","4")))</f>
        <v>4</v>
      </c>
      <c r="AC369" s="72">
        <f>AVERAGE(AV368:DA368)</f>
        <v>70956000</v>
      </c>
      <c r="AD369" s="69" t="str">
        <f>IF(AC369&lt;60,"1",IF(AC369&lt;=43200,"2",IF(AC369&lt;=777600,"3","4")))</f>
        <v>4</v>
      </c>
      <c r="AE369" s="87">
        <f>AA369-Y369</f>
        <v>220752000</v>
      </c>
      <c r="AF369" s="88">
        <f>AV369</f>
        <v>0.6015625</v>
      </c>
      <c r="AG369" s="72">
        <f>((AW369-AV369)+(AX369-AW369)+(AY369-AX369)+(AZ369-AY369)+(BA369-AZ369)+(BB369-BA369)+(BC369-BB369))/7</f>
        <v>-2.8486022896103889E-2</v>
      </c>
      <c r="AH369" s="4"/>
      <c r="AI369" s="72">
        <f>RSQ(AV369:BC369,AV368:BC368)</f>
        <v>0.60253659064521203</v>
      </c>
      <c r="AJ369" s="110">
        <f>SLOPE(AV369:BC369,AV368:BC368)</f>
        <v>-1.5449780861855331E-9</v>
      </c>
      <c r="AK369" s="72">
        <f>INTERCEPT(AV369:BC369,AV368:BC368)</f>
        <v>0.54348654606854818</v>
      </c>
      <c r="AL369" s="72">
        <f>INDEX(LINEST(LN(AV369:BC369),LN(AV368:BC368),TRUE,TRUE),3,1)</f>
        <v>0.84151935390177801</v>
      </c>
      <c r="AM369" s="72">
        <f>INDEX(LINEST(LN(AV369:BC369),LN(AV368:BC368)),1)</f>
        <v>-0.21018429189648599</v>
      </c>
      <c r="AN369" s="72">
        <f>EXP(INDEX(LINEST(LN(AV369:BC369),LN(AV368:BC368)),1,2))</f>
        <v>18.448358164308612</v>
      </c>
      <c r="AO369" s="89">
        <f>INDEX(LINEST((AV369:BC369),LN(AV368:BC368),TRUE,TRUE),3,1)</f>
        <v>0.83740034803917929</v>
      </c>
      <c r="AP369" s="89">
        <f>INDEX(LINEST((AV369:BC369),LN(AV368:BC368)),1)</f>
        <v>-0.1000115769377309</v>
      </c>
      <c r="AQ369" s="90">
        <f>INDEX(LINEST(LN(AV369:BC369),SQRT(AV368:BC368),TRUE,TRUE),3,1)</f>
        <v>0.73775472093281991</v>
      </c>
      <c r="AR369" s="117">
        <f>INDEX(LINEST(LN(AV369:BC369),SQRT((AV368:BC368))),1)</f>
        <v>-5.5474320401217755E-5</v>
      </c>
      <c r="AS369" s="91">
        <f>INDEX(LINEST(1/(AV369:BC369),1/(SQRT(AV368:BC368)),TRUE,TRUE),3,1)</f>
        <v>0.88891316076645965</v>
      </c>
      <c r="AT369" s="91">
        <f>INDEX(LINEST(1/(AV369:BC369),1/SQRT(AV368:BC368)),1)</f>
        <v>-5962.2904377180612</v>
      </c>
      <c r="AU369" s="3"/>
      <c r="AV369" s="97">
        <v>0.6015625</v>
      </c>
      <c r="AW369" s="97">
        <v>0.48881868139999995</v>
      </c>
      <c r="AX369" s="97">
        <v>0.41492587611320758</v>
      </c>
      <c r="AY369" s="97">
        <v>0.40911790927027025</v>
      </c>
      <c r="AZ369" s="97">
        <v>0.37579862011627913</v>
      </c>
      <c r="BA369" s="97">
        <v>0.41043008737931036</v>
      </c>
      <c r="BB369" s="97">
        <v>0.36807463387500006</v>
      </c>
      <c r="BC369" s="97">
        <v>0.40216033972727278</v>
      </c>
      <c r="BD369" s="11"/>
      <c r="BE369" s="11"/>
      <c r="BF369" s="11"/>
      <c r="BG369" s="11"/>
      <c r="BH369" s="11"/>
      <c r="BI369" s="11"/>
      <c r="BJ369" s="11"/>
      <c r="BK369" s="11"/>
      <c r="BL369" s="11"/>
      <c r="BM369" s="11"/>
      <c r="BN369" s="11"/>
      <c r="BO369" s="11"/>
      <c r="BP369" s="11"/>
      <c r="BQ369" s="11"/>
      <c r="BR369" s="11"/>
      <c r="BS369" s="11"/>
      <c r="BT369" s="11"/>
      <c r="BU369" s="11"/>
      <c r="BV369" s="11"/>
      <c r="BW369" s="11"/>
      <c r="BX369" s="11"/>
      <c r="BY369" s="11"/>
      <c r="BZ369" s="11"/>
      <c r="CA369" s="11"/>
      <c r="CB369" s="11"/>
      <c r="CC369" s="11"/>
      <c r="CD369" s="11"/>
      <c r="CE369" s="11"/>
      <c r="CF369" s="11"/>
      <c r="CG369" s="11"/>
      <c r="CH369" s="11"/>
      <c r="CI369" s="11"/>
      <c r="CJ369" s="11"/>
      <c r="CK369" s="11"/>
      <c r="CL369" s="11"/>
      <c r="CM369" s="11"/>
      <c r="CN369" s="11"/>
      <c r="CO369" s="11"/>
      <c r="CP369" s="11"/>
      <c r="CQ369" s="11"/>
      <c r="CR369" s="15"/>
      <c r="CS369" s="15"/>
      <c r="CT369" s="15"/>
      <c r="CU369" s="15"/>
    </row>
    <row r="370" spans="1:99" ht="12" customHeight="1" x14ac:dyDescent="0.2">
      <c r="A370" s="68">
        <v>43903</v>
      </c>
      <c r="B370" s="94"/>
      <c r="C370" s="94"/>
      <c r="D370" s="92"/>
      <c r="E370" s="105"/>
      <c r="F370" s="92"/>
      <c r="G370" s="92"/>
      <c r="H370" s="92"/>
      <c r="I370" s="92"/>
      <c r="J370" s="107"/>
      <c r="K370" s="107"/>
      <c r="L370" s="107"/>
      <c r="M370" s="92"/>
      <c r="N370" s="69"/>
      <c r="O370" s="92"/>
      <c r="P370" s="92"/>
      <c r="Q370" s="92"/>
      <c r="R370" s="69"/>
      <c r="S370" s="92"/>
      <c r="T370" s="92"/>
      <c r="U370" s="69"/>
      <c r="V370" s="92"/>
      <c r="W370" s="69"/>
      <c r="X370" s="69"/>
      <c r="Y370" s="87"/>
      <c r="Z370" s="92"/>
      <c r="AA370" s="92"/>
      <c r="AB370" s="69"/>
      <c r="AC370" s="72"/>
      <c r="AD370" s="69"/>
      <c r="AE370" s="69"/>
      <c r="AF370" s="88"/>
      <c r="AG370" s="72"/>
      <c r="AH370" s="4"/>
      <c r="AI370" s="72"/>
      <c r="AJ370" s="110"/>
      <c r="AK370" s="72"/>
      <c r="AL370" s="72"/>
      <c r="AM370" s="72"/>
      <c r="AN370" s="72"/>
      <c r="AO370" s="89"/>
      <c r="AP370" s="89"/>
      <c r="AQ370" s="90"/>
      <c r="AR370" s="117"/>
      <c r="AS370" s="91"/>
      <c r="AT370" s="91"/>
      <c r="AU370" s="3"/>
      <c r="AV370" s="98">
        <v>15768000</v>
      </c>
      <c r="AW370" s="98">
        <f t="shared" ref="AW370" si="44">AV370+15768000</f>
        <v>31536000</v>
      </c>
      <c r="AX370" s="98">
        <f t="shared" ref="AX370" si="45">AW370+15768000</f>
        <v>47304000</v>
      </c>
      <c r="AY370" s="98">
        <f t="shared" ref="AY370" si="46">AX370+15768000</f>
        <v>63072000</v>
      </c>
      <c r="AZ370" s="98">
        <f t="shared" ref="AZ370" si="47">AY370+15768000</f>
        <v>78840000</v>
      </c>
      <c r="BA370" s="98">
        <f t="shared" ref="BA370" si="48">AZ370+15768000</f>
        <v>94608000</v>
      </c>
      <c r="BB370" s="98">
        <f t="shared" ref="BB370" si="49">BA370+15768000</f>
        <v>110376000</v>
      </c>
      <c r="BC370" s="98">
        <f t="shared" ref="BC370" si="50">BB370+15768000</f>
        <v>126144000</v>
      </c>
      <c r="BD370" s="11"/>
      <c r="BE370" s="11"/>
      <c r="BF370" s="11"/>
      <c r="BG370" s="11"/>
      <c r="BH370" s="11"/>
      <c r="BI370" s="11"/>
      <c r="BJ370" s="11"/>
      <c r="BK370" s="11"/>
      <c r="BL370" s="11"/>
      <c r="BM370" s="11"/>
      <c r="BN370" s="11"/>
      <c r="BO370" s="11"/>
      <c r="BP370" s="11"/>
      <c r="BQ370" s="11"/>
      <c r="BR370" s="11"/>
      <c r="BS370" s="11"/>
      <c r="BT370" s="11"/>
      <c r="BU370" s="11"/>
      <c r="BV370" s="11"/>
      <c r="BW370" s="11"/>
      <c r="BX370" s="11"/>
      <c r="BY370" s="11"/>
      <c r="BZ370" s="11"/>
      <c r="CA370" s="11"/>
      <c r="CB370" s="11"/>
      <c r="CC370" s="11"/>
      <c r="CD370" s="11"/>
      <c r="CE370" s="11"/>
      <c r="CF370" s="11"/>
      <c r="CG370" s="11"/>
      <c r="CH370" s="11"/>
      <c r="CI370" s="11"/>
      <c r="CJ370" s="11"/>
      <c r="CK370" s="11"/>
      <c r="CL370" s="11"/>
      <c r="CM370" s="11"/>
      <c r="CN370" s="11"/>
      <c r="CO370" s="11"/>
      <c r="CP370" s="11"/>
      <c r="CQ370" s="11"/>
      <c r="CR370" s="15"/>
      <c r="CS370" s="15"/>
      <c r="CT370" s="15"/>
      <c r="CU370" s="15"/>
    </row>
    <row r="371" spans="1:99" ht="12" customHeight="1" x14ac:dyDescent="0.2">
      <c r="A371" s="68">
        <v>43903</v>
      </c>
      <c r="B371" s="94" t="s">
        <v>481</v>
      </c>
      <c r="C371" s="94" t="s">
        <v>262</v>
      </c>
      <c r="D371" s="92">
        <v>2020</v>
      </c>
      <c r="E371" s="105">
        <v>1</v>
      </c>
      <c r="F371" s="92">
        <v>230</v>
      </c>
      <c r="G371" s="92">
        <v>28.8</v>
      </c>
      <c r="H371" s="92" t="s">
        <v>747</v>
      </c>
      <c r="I371" s="92" t="s">
        <v>921</v>
      </c>
      <c r="J371" s="107" t="s">
        <v>483</v>
      </c>
      <c r="K371" s="69">
        <f t="shared" ref="K371" si="51">IF(J371="syllables",1,IF(J371="trigrams",2,IF(J371="strings",3,IF(J371="visual array",4,IF(J371="characters",5,IF(J371="letters",6,IF(J371="free forms",7,IF(J371="odors",8,IF(J371="words",9,IF(J371="pictures",10,IF(J371="object pictures",11,IF(J371="faces",12,IF(J371="names",13,IF(J371="idioms",14,IF(J371="grades",15,IF(J371="syllable-digit pairs",16,IF(J371="trigram-word pairs",17,IF(J371="word-digit pairs",18,IF(J371="English-Swahili pairs",19,IF(J371="spatial position",20,IF(J371="word pairs",21,IF(J371="word triads",22,IF(J371="generated words",23,IF(J371="word definition pairs",24,IF(J371="math problems",25,IF(J371="famous faces",26,IF(J371="famous names",27,IF(J371="famous voices",28,IF(J371="television programs",29,IF(J371="race horses",30,IF(J371="new vocabulary",31,IF(J371="sentences",32,IF(J371="concepts",33,IF(J371="ad slides",34,IF(J371="scenes",35,IF(J371="famous scenes",36,IF(J371="poems",37,IF(J371="walk",38,IF(J371="faces and events",39,IF(J371="events and names",40,IF(J371="flashbulb",41,IF(J371="stories",42,IF(J371="course material",43,IF(J371="autobiographical",44,IF(J371="novels",45,IF(J371="public events",46,"99"))))))))))))))))))))))))))))))))))))))))))))))</f>
        <v>45</v>
      </c>
      <c r="L371" s="69">
        <f t="shared" ref="L371" si="52">IF(J371="syllables",1,IF(J371="trigrams",1,IF(J371="strings",1,IF(J371="visual array",1,IF(J371="characters",1,IF(J371="letters",1,IF(J371="free forms",1,IF(J371="odors",2,IF(J371="words",2,IF(J371="pictures",2,IF(J371="object pictures",2,IF(J371="faces",2,IF(J371="names",2,IF(J371="idioms","2",IF(J371="grades",2,IF(J371="syllable-digit pairs",3,IF(J371="trigram-word pairs",3,IF(J371="word-digit pairs",3,IF(J371="English-Swahili pairs",3,IF(J371="spatial position",3,IF(J371="word pairs",4,IF(J371="word triads",4,IF(J371="generated words",4,IF(J371="word definition pairs",4,IF(J371="math problems",4,IF(J371="famous faces",4,IF(J371="famous names",4,IF(J371="famous voices",4,IF(J371="television programs",4,IF(J371="race horses",4,IF(J371="new vocabulary",4,IF(J371="sentences",5,IF(J371="concepts",5,IF(J371="ad slides",5,IF(J371="scenes",5,IF(J371="famous scenes",5,IF(J371="poems",6,IF(J371="walk",6,IF(J371="faces and events",6,IF(J371="events and names",6,IF(J371="flashbulb",7,IF(J371="stories",7,IF(J371="course material",7,IF(J371="autobiographical",7,IF(J371="novels",7,IF(J371="public events",7,"99"))))))))))))))))))))))))))))))))))))))))))))))</f>
        <v>7</v>
      </c>
      <c r="M371" s="92">
        <v>0</v>
      </c>
      <c r="N371" s="69">
        <v>3</v>
      </c>
      <c r="O371" s="92">
        <v>0</v>
      </c>
      <c r="P371" s="92"/>
      <c r="Q371" s="92" t="s">
        <v>182</v>
      </c>
      <c r="R371" s="69">
        <f t="shared" ref="R371" si="53">IF(Q371="Free Recall",1,IF(Q371="Cued Recall",2,IF(Q371="Recognition",3,IF(Q371="Multiple Choice",4,IF(Q371="Savings",5,IF(Q371="Stem Completion",6,IF(Q371="Fragment Completion",7,IF(Q371="anagram solution",8,IF(Q371="Matching",9,IF(Q371="Problem Solving",10,"99"))))))))))</f>
        <v>4</v>
      </c>
      <c r="S371" s="92" t="s">
        <v>482</v>
      </c>
      <c r="T371" s="92" t="s">
        <v>261</v>
      </c>
      <c r="U371" s="69">
        <f t="shared" ref="U371" si="54">IF(T371="within",1,0)</f>
        <v>0</v>
      </c>
      <c r="V371" s="92">
        <v>12</v>
      </c>
      <c r="W371" s="69">
        <f>F371*V371</f>
        <v>2760</v>
      </c>
      <c r="X371" s="69">
        <v>8</v>
      </c>
      <c r="Y371" s="87">
        <f>AV370</f>
        <v>15768000</v>
      </c>
      <c r="Z371" s="92" t="s">
        <v>484</v>
      </c>
      <c r="AA371" s="69">
        <f>7.5*365*24*60*60</f>
        <v>236520000</v>
      </c>
      <c r="AB371" s="69" t="str">
        <f>IF(AA371&lt;60,"1",IF(AA371&lt;=43200,"2",IF(AA371&lt;=777600,"3","4")))</f>
        <v>4</v>
      </c>
      <c r="AC371" s="72">
        <f>AVERAGE(AV370:DA370)</f>
        <v>70956000</v>
      </c>
      <c r="AD371" s="69" t="str">
        <f>IF(AC371&lt;60,"1",IF(AC371&lt;=43200,"2",IF(AC371&lt;=777600,"3","4")))</f>
        <v>4</v>
      </c>
      <c r="AE371" s="87">
        <f>AA371-Y371</f>
        <v>220752000</v>
      </c>
      <c r="AF371" s="88">
        <f>AV371</f>
        <v>0.34855769237500001</v>
      </c>
      <c r="AG371" s="72">
        <f>((AW371-AV371)+(AX371-AW371)+(AY371-AX371)+(AZ371-AY371)+(BA371-AZ371)+(BB371-BA371)+(BC371-BB371))/7</f>
        <v>-1.0000416274350641E-2</v>
      </c>
      <c r="AH371" s="4"/>
      <c r="AI371" s="72">
        <f>RSQ(AV371:BC371,AV370:BC370)</f>
        <v>0.48094919062519187</v>
      </c>
      <c r="AJ371" s="110">
        <f>SLOPE(AV371:BC371,AV370:BC370)</f>
        <v>-9.0487614569265724E-10</v>
      </c>
      <c r="AK371" s="72">
        <f>INTERCEPT(AV371:BC371,AV370:BC370)</f>
        <v>0.40797815210325844</v>
      </c>
      <c r="AL371" s="72">
        <f>INDEX(LINEST(LN(AV371:BC371),LN(AV370:BC370),TRUE,TRUE),3,1)</f>
        <v>0.34494861473606819</v>
      </c>
      <c r="AM371" s="72">
        <f>INDEX(LINEST(LN(AV371:BC371),LN(AV370:BC370)),1)</f>
        <v>-0.12162549739752275</v>
      </c>
      <c r="AN371" s="72">
        <f>EXP(INDEX(LINEST(LN(AV371:BC371),LN(AV370:BC370)),1,2))</f>
        <v>3.0038487053197565</v>
      </c>
      <c r="AO371" s="89">
        <f>INDEX(LINEST((AV371:BC371),LN(AV370:BC370),TRUE,TRUE),3,1)</f>
        <v>0.33285443558040656</v>
      </c>
      <c r="AP371" s="89">
        <f>INDEX(LINEST((AV371:BC371),LN(AV370:BC370)),1)</f>
        <v>-4.1335177830104299E-2</v>
      </c>
      <c r="AQ371" s="90">
        <f>INDEX(LINEST(LN(AV371:BC371),SQRT(AV370:BC370),TRUE,TRUE),3,1)</f>
        <v>0.43398912396035083</v>
      </c>
      <c r="AR371" s="117">
        <f>INDEX(LINEST(LN(AV371:BC371),SQRT((AV370:BC370))),1)</f>
        <v>-3.8455161536802804E-5</v>
      </c>
      <c r="AS371" s="91">
        <f>INDEX(LINEST(1/(AV371:BC371),1/(SQRT(AV370:BC370)),TRUE,TRUE),3,1)</f>
        <v>0.25664073449106151</v>
      </c>
      <c r="AT371" s="91">
        <f>INDEX(LINEST(1/(AV371:BC371),1/SQRT(AV370:BC370)),1)</f>
        <v>-3973.9443175244664</v>
      </c>
      <c r="AU371" s="3"/>
      <c r="AV371" s="97">
        <v>0.34855769237500001</v>
      </c>
      <c r="AW371" s="97">
        <v>0.43205128211999999</v>
      </c>
      <c r="AX371" s="97">
        <v>0.37893081771698106</v>
      </c>
      <c r="AY371" s="97">
        <v>0.30405405408108116</v>
      </c>
      <c r="AZ371" s="97">
        <v>0.35927251048837205</v>
      </c>
      <c r="BA371" s="97">
        <v>0.35521662244827584</v>
      </c>
      <c r="BB371" s="97">
        <v>0.29353632479166664</v>
      </c>
      <c r="BC371" s="97">
        <v>0.27855477845454552</v>
      </c>
      <c r="BD371" s="11"/>
      <c r="BE371" s="11"/>
      <c r="BF371" s="11"/>
      <c r="BG371" s="11"/>
      <c r="BH371" s="11"/>
      <c r="BI371" s="11"/>
      <c r="BJ371" s="11"/>
      <c r="BK371" s="11"/>
      <c r="BL371" s="11"/>
      <c r="BM371" s="11"/>
      <c r="BN371" s="11"/>
      <c r="BO371" s="11"/>
      <c r="BP371" s="11"/>
      <c r="BQ371" s="11"/>
      <c r="BR371" s="11"/>
      <c r="BS371" s="11"/>
      <c r="BT371" s="11"/>
      <c r="BU371" s="11"/>
      <c r="BV371" s="11"/>
      <c r="BW371" s="11"/>
      <c r="BX371" s="11"/>
      <c r="BY371" s="11"/>
      <c r="BZ371" s="11"/>
      <c r="CA371" s="11"/>
      <c r="CB371" s="11"/>
      <c r="CC371" s="11"/>
      <c r="CD371" s="11"/>
      <c r="CE371" s="11"/>
      <c r="CF371" s="11"/>
      <c r="CG371" s="11"/>
      <c r="CH371" s="11"/>
      <c r="CI371" s="11"/>
      <c r="CJ371" s="11"/>
      <c r="CK371" s="11"/>
      <c r="CL371" s="11"/>
      <c r="CM371" s="11"/>
      <c r="CN371" s="11"/>
      <c r="CO371" s="11"/>
      <c r="CP371" s="11"/>
      <c r="CQ371" s="11"/>
      <c r="CR371" s="15"/>
      <c r="CS371" s="15"/>
      <c r="CT371" s="15"/>
      <c r="CU371" s="15"/>
    </row>
    <row r="372" spans="1:99" ht="12" customHeight="1" x14ac:dyDescent="0.2">
      <c r="A372" s="68">
        <v>43903</v>
      </c>
      <c r="B372" s="94"/>
      <c r="C372" s="94"/>
      <c r="D372" s="92"/>
      <c r="E372" s="105"/>
      <c r="F372" s="92"/>
      <c r="G372" s="92"/>
      <c r="H372" s="92"/>
      <c r="I372" s="92"/>
      <c r="J372" s="107"/>
      <c r="K372" s="107"/>
      <c r="L372" s="107"/>
      <c r="M372" s="92"/>
      <c r="N372" s="69"/>
      <c r="O372" s="92"/>
      <c r="P372" s="92"/>
      <c r="Q372" s="92"/>
      <c r="R372" s="69"/>
      <c r="S372" s="92"/>
      <c r="T372" s="92"/>
      <c r="U372" s="69"/>
      <c r="V372" s="92"/>
      <c r="W372" s="69"/>
      <c r="X372" s="69"/>
      <c r="Y372" s="87"/>
      <c r="Z372" s="92"/>
      <c r="AA372" s="92"/>
      <c r="AB372" s="69"/>
      <c r="AC372" s="72"/>
      <c r="AD372" s="69"/>
      <c r="AE372" s="69"/>
      <c r="AF372" s="88"/>
      <c r="AG372" s="72"/>
      <c r="AH372" s="4"/>
      <c r="AI372" s="72"/>
      <c r="AJ372" s="110"/>
      <c r="AK372" s="72"/>
      <c r="AL372" s="72"/>
      <c r="AM372" s="72"/>
      <c r="AN372" s="72"/>
      <c r="AO372" s="89"/>
      <c r="AP372" s="89"/>
      <c r="AQ372" s="90"/>
      <c r="AR372" s="117"/>
      <c r="AS372" s="91"/>
      <c r="AT372" s="91"/>
      <c r="AU372" s="3"/>
      <c r="AV372" s="98">
        <v>15768000</v>
      </c>
      <c r="AW372" s="98">
        <f t="shared" ref="AW372" si="55">AV372+15768000</f>
        <v>31536000</v>
      </c>
      <c r="AX372" s="98">
        <f t="shared" ref="AX372" si="56">AW372+15768000</f>
        <v>47304000</v>
      </c>
      <c r="AY372" s="98">
        <f t="shared" ref="AY372" si="57">AX372+15768000</f>
        <v>63072000</v>
      </c>
      <c r="AZ372" s="98">
        <f t="shared" ref="AZ372" si="58">AY372+15768000</f>
        <v>78840000</v>
      </c>
      <c r="BA372" s="98">
        <f t="shared" ref="BA372" si="59">AZ372+15768000</f>
        <v>94608000</v>
      </c>
      <c r="BB372" s="98">
        <f t="shared" ref="BB372" si="60">BA372+15768000</f>
        <v>110376000</v>
      </c>
      <c r="BC372" s="98">
        <f t="shared" ref="BC372" si="61">BB372+15768000</f>
        <v>126144000</v>
      </c>
      <c r="BD372" s="11"/>
      <c r="BE372" s="11"/>
      <c r="BF372" s="11"/>
      <c r="BG372" s="11"/>
      <c r="BH372" s="11"/>
      <c r="BI372" s="11"/>
      <c r="BJ372" s="11"/>
      <c r="BK372" s="11"/>
      <c r="BL372" s="11"/>
      <c r="BM372" s="11"/>
      <c r="BN372" s="11"/>
      <c r="BO372" s="11"/>
      <c r="BP372" s="11"/>
      <c r="BQ372" s="11"/>
      <c r="BR372" s="11"/>
      <c r="BS372" s="11"/>
      <c r="BT372" s="11"/>
      <c r="BU372" s="11"/>
      <c r="BV372" s="11"/>
      <c r="BW372" s="11"/>
      <c r="BX372" s="11"/>
      <c r="BY372" s="11"/>
      <c r="BZ372" s="11"/>
      <c r="CA372" s="11"/>
      <c r="CB372" s="11"/>
      <c r="CC372" s="11"/>
      <c r="CD372" s="11"/>
      <c r="CE372" s="11"/>
      <c r="CF372" s="11"/>
      <c r="CG372" s="11"/>
      <c r="CH372" s="11"/>
      <c r="CI372" s="11"/>
      <c r="CJ372" s="11"/>
      <c r="CK372" s="11"/>
      <c r="CL372" s="11"/>
      <c r="CM372" s="11"/>
      <c r="CN372" s="11"/>
      <c r="CO372" s="11"/>
      <c r="CP372" s="11"/>
      <c r="CQ372" s="11"/>
      <c r="CR372" s="15"/>
      <c r="CS372" s="15"/>
      <c r="CT372" s="15"/>
      <c r="CU372" s="15"/>
    </row>
    <row r="373" spans="1:99" ht="12" customHeight="1" x14ac:dyDescent="0.2">
      <c r="A373" s="68">
        <v>43903</v>
      </c>
      <c r="B373" s="94" t="s">
        <v>481</v>
      </c>
      <c r="C373" s="94" t="s">
        <v>262</v>
      </c>
      <c r="D373" s="92">
        <v>2020</v>
      </c>
      <c r="E373" s="105">
        <v>1</v>
      </c>
      <c r="F373" s="92">
        <v>230</v>
      </c>
      <c r="G373" s="92">
        <v>28.8</v>
      </c>
      <c r="H373" s="92" t="s">
        <v>747</v>
      </c>
      <c r="I373" s="92" t="s">
        <v>922</v>
      </c>
      <c r="J373" s="107" t="s">
        <v>483</v>
      </c>
      <c r="K373" s="69">
        <f t="shared" ref="K373" si="62">IF(J373="syllables",1,IF(J373="trigrams",2,IF(J373="strings",3,IF(J373="visual array",4,IF(J373="characters",5,IF(J373="letters",6,IF(J373="free forms",7,IF(J373="odors",8,IF(J373="words",9,IF(J373="pictures",10,IF(J373="object pictures",11,IF(J373="faces",12,IF(J373="names",13,IF(J373="idioms",14,IF(J373="grades",15,IF(J373="syllable-digit pairs",16,IF(J373="trigram-word pairs",17,IF(J373="word-digit pairs",18,IF(J373="English-Swahili pairs",19,IF(J373="spatial position",20,IF(J373="word pairs",21,IF(J373="word triads",22,IF(J373="generated words",23,IF(J373="word definition pairs",24,IF(J373="math problems",25,IF(J373="famous faces",26,IF(J373="famous names",27,IF(J373="famous voices",28,IF(J373="television programs",29,IF(J373="race horses",30,IF(J373="new vocabulary",31,IF(J373="sentences",32,IF(J373="concepts",33,IF(J373="ad slides",34,IF(J373="scenes",35,IF(J373="famous scenes",36,IF(J373="poems",37,IF(J373="walk",38,IF(J373="faces and events",39,IF(J373="events and names",40,IF(J373="flashbulb",41,IF(J373="stories",42,IF(J373="course material",43,IF(J373="autobiographical",44,IF(J373="novels",45,IF(J373="public events",46,"99"))))))))))))))))))))))))))))))))))))))))))))))</f>
        <v>45</v>
      </c>
      <c r="L373" s="69">
        <f t="shared" ref="L373" si="63">IF(J373="syllables",1,IF(J373="trigrams",1,IF(J373="strings",1,IF(J373="visual array",1,IF(J373="characters",1,IF(J373="letters",1,IF(J373="free forms",1,IF(J373="odors",2,IF(J373="words",2,IF(J373="pictures",2,IF(J373="object pictures",2,IF(J373="faces",2,IF(J373="names",2,IF(J373="idioms","2",IF(J373="grades",2,IF(J373="syllable-digit pairs",3,IF(J373="trigram-word pairs",3,IF(J373="word-digit pairs",3,IF(J373="English-Swahili pairs",3,IF(J373="spatial position",3,IF(J373="word pairs",4,IF(J373="word triads",4,IF(J373="generated words",4,IF(J373="word definition pairs",4,IF(J373="math problems",4,IF(J373="famous faces",4,IF(J373="famous names",4,IF(J373="famous voices",4,IF(J373="television programs",4,IF(J373="race horses",4,IF(J373="new vocabulary",4,IF(J373="sentences",5,IF(J373="concepts",5,IF(J373="ad slides",5,IF(J373="scenes",5,IF(J373="famous scenes",5,IF(J373="poems",6,IF(J373="walk",6,IF(J373="faces and events",6,IF(J373="events and names",6,IF(J373="flashbulb",7,IF(J373="stories",7,IF(J373="course material",7,IF(J373="autobiographical",7,IF(J373="novels",7,IF(J373="public events",7,"99"))))))))))))))))))))))))))))))))))))))))))))))</f>
        <v>7</v>
      </c>
      <c r="M373" s="92">
        <v>0</v>
      </c>
      <c r="N373" s="69">
        <v>3</v>
      </c>
      <c r="O373" s="92">
        <v>0</v>
      </c>
      <c r="P373" s="92"/>
      <c r="Q373" s="92" t="s">
        <v>182</v>
      </c>
      <c r="R373" s="69">
        <f t="shared" ref="R373" si="64">IF(Q373="Free Recall",1,IF(Q373="Cued Recall",2,IF(Q373="Recognition",3,IF(Q373="Multiple Choice",4,IF(Q373="Savings",5,IF(Q373="Stem Completion",6,IF(Q373="Fragment Completion",7,IF(Q373="anagram solution",8,IF(Q373="Matching",9,IF(Q373="Problem Solving",10,"99"))))))))))</f>
        <v>4</v>
      </c>
      <c r="S373" s="92" t="s">
        <v>482</v>
      </c>
      <c r="T373" s="92" t="s">
        <v>261</v>
      </c>
      <c r="U373" s="69">
        <f t="shared" ref="U373" si="65">IF(T373="within",1,0)</f>
        <v>0</v>
      </c>
      <c r="V373" s="92">
        <v>12</v>
      </c>
      <c r="W373" s="69">
        <f>F373*V373</f>
        <v>2760</v>
      </c>
      <c r="X373" s="69">
        <v>8</v>
      </c>
      <c r="Y373" s="87">
        <f>AV372</f>
        <v>15768000</v>
      </c>
      <c r="Z373" s="92" t="s">
        <v>484</v>
      </c>
      <c r="AA373" s="69">
        <f>7.5*365*24*60*60</f>
        <v>236520000</v>
      </c>
      <c r="AB373" s="69" t="str">
        <f>IF(AA373&lt;60,"1",IF(AA373&lt;=43200,"2",IF(AA373&lt;=777600,"3","4")))</f>
        <v>4</v>
      </c>
      <c r="AC373" s="72">
        <f>AVERAGE(AV372:DA372)</f>
        <v>70956000</v>
      </c>
      <c r="AD373" s="69" t="str">
        <f>IF(AC373&lt;60,"1",IF(AC373&lt;=43200,"2",IF(AC373&lt;=777600,"3","4")))</f>
        <v>4</v>
      </c>
      <c r="AE373" s="87">
        <f>AA373-Y373</f>
        <v>220752000</v>
      </c>
      <c r="AF373" s="88">
        <f>AV373</f>
        <v>0.26041666662499996</v>
      </c>
      <c r="AG373" s="93">
        <f>((AW373-AV373)+(AX373-AW373)+(AY373-AX373)+(AZ373-AY373)+(BA373-AZ373)+(BB373-BA373)+(BC373-BB373))/7</f>
        <v>3.9231601574675435E-3</v>
      </c>
      <c r="AH373" s="4"/>
      <c r="AI373" s="72">
        <f>RSQ(AV373:BC373,AV372:BC372)</f>
        <v>6.2515883896568356E-2</v>
      </c>
      <c r="AJ373" s="110">
        <f>SLOPE(AV373:BC373,AV372:BC372)</f>
        <v>-2.237201179808919E-10</v>
      </c>
      <c r="AK373" s="72">
        <f>INTERCEPT(AV373:BC373,AV372:BC372)</f>
        <v>0.30516378153146861</v>
      </c>
      <c r="AL373" s="72">
        <f>INDEX(LINEST(LN(AV373:BC373),LN(AV372:BC372),TRUE,TRUE),3,1)</f>
        <v>1.6316956376420808E-2</v>
      </c>
      <c r="AM373" s="72">
        <f>INDEX(LINEST(LN(AV373:BC373),LN(AV372:BC372)),1)</f>
        <v>-2.129052030992604E-2</v>
      </c>
      <c r="AN373" s="72">
        <f>EXP(INDEX(LINEST(LN(AV373:BC373),LN(AV372:BC372)),1,2))</f>
        <v>0.42091027166137324</v>
      </c>
      <c r="AO373" s="89">
        <f>INDEX(LINEST((AV373:BC373),LN(AV372:BC372),TRUE,TRUE),3,1)</f>
        <v>2.1996645749957241E-2</v>
      </c>
      <c r="AP373" s="89">
        <f>INDEX(LINEST((AV373:BC373),LN(AV372:BC372)),1)</f>
        <v>-7.2868726178544367E-3</v>
      </c>
      <c r="AQ373" s="90">
        <f>INDEX(LINEST(LN(AV373:BC373),SQRT(AV372:BC372),TRUE,TRUE),3,1)</f>
        <v>3.5817072851561625E-2</v>
      </c>
      <c r="AR373" s="117">
        <f>INDEX(LINEST(LN(AV373:BC373),SQRT((AV372:BC372))),1)</f>
        <v>-8.891592161221591E-6</v>
      </c>
      <c r="AS373" s="91">
        <f>INDEX(LINEST(1/(AV373:BC373),1/(SQRT(AV372:BC372)),TRUE,TRUE),3,1)</f>
        <v>9.1976556464750552E-4</v>
      </c>
      <c r="AT373" s="91">
        <f>INDEX(LINEST(1/(AV373:BC373),1/SQRT(AV372:BC372)),1)</f>
        <v>-222.65721277722892</v>
      </c>
      <c r="AU373" s="3"/>
      <c r="AV373" s="97">
        <v>0.26041666662499996</v>
      </c>
      <c r="AW373" s="97">
        <v>0.34333333328000004</v>
      </c>
      <c r="AX373" s="97">
        <v>0.33176100626415106</v>
      </c>
      <c r="AY373" s="97">
        <v>0.25225225221621628</v>
      </c>
      <c r="AZ373" s="97">
        <v>0.27713178297674423</v>
      </c>
      <c r="BA373" s="97">
        <v>0.30459770117241386</v>
      </c>
      <c r="BB373" s="97">
        <v>0.25694444445833342</v>
      </c>
      <c r="BC373" s="97">
        <v>0.28787878772727277</v>
      </c>
      <c r="BD373" s="11"/>
      <c r="BE373" s="11"/>
      <c r="BF373" s="11"/>
      <c r="BG373" s="11"/>
      <c r="BH373" s="11"/>
      <c r="BI373" s="11"/>
      <c r="BJ373" s="11"/>
      <c r="BK373" s="11"/>
      <c r="BL373" s="11"/>
      <c r="BM373" s="11"/>
      <c r="BN373" s="11"/>
      <c r="BO373" s="11"/>
      <c r="BP373" s="11"/>
      <c r="BQ373" s="11"/>
      <c r="BR373" s="11"/>
      <c r="BS373" s="11"/>
      <c r="BT373" s="11"/>
      <c r="BU373" s="11"/>
      <c r="BV373" s="11"/>
      <c r="BW373" s="11"/>
      <c r="BX373" s="11"/>
      <c r="BY373" s="11"/>
      <c r="BZ373" s="11"/>
      <c r="CA373" s="11"/>
      <c r="CB373" s="11"/>
      <c r="CC373" s="11"/>
      <c r="CD373" s="11"/>
      <c r="CE373" s="11"/>
      <c r="CF373" s="11"/>
      <c r="CG373" s="11"/>
      <c r="CH373" s="11"/>
      <c r="CI373" s="11"/>
      <c r="CJ373" s="11"/>
      <c r="CK373" s="11"/>
      <c r="CL373" s="11"/>
      <c r="CM373" s="11"/>
      <c r="CN373" s="11"/>
      <c r="CO373" s="11"/>
      <c r="CP373" s="11"/>
      <c r="CQ373" s="11"/>
      <c r="CR373" s="15"/>
      <c r="CS373" s="15"/>
      <c r="CT373" s="15"/>
      <c r="CU373" s="15"/>
    </row>
    <row r="374" spans="1:99" ht="12" customHeight="1" x14ac:dyDescent="0.2">
      <c r="A374" s="68">
        <v>43903</v>
      </c>
      <c r="B374" s="94"/>
      <c r="C374" s="94"/>
      <c r="D374" s="92"/>
      <c r="E374" s="105"/>
      <c r="F374" s="92"/>
      <c r="G374" s="92"/>
      <c r="H374" s="92"/>
      <c r="I374" s="92"/>
      <c r="J374" s="107"/>
      <c r="K374" s="107"/>
      <c r="L374" s="107"/>
      <c r="M374" s="92"/>
      <c r="N374" s="69"/>
      <c r="O374" s="92"/>
      <c r="P374" s="92"/>
      <c r="Q374" s="92"/>
      <c r="R374" s="69"/>
      <c r="S374" s="92"/>
      <c r="T374" s="92"/>
      <c r="U374" s="69"/>
      <c r="V374" s="92"/>
      <c r="W374" s="69"/>
      <c r="X374" s="69"/>
      <c r="Y374" s="87"/>
      <c r="Z374" s="92"/>
      <c r="AA374" s="92"/>
      <c r="AB374" s="69"/>
      <c r="AC374" s="72"/>
      <c r="AD374" s="69"/>
      <c r="AE374" s="69"/>
      <c r="AF374" s="88"/>
      <c r="AG374" s="72"/>
      <c r="AH374" s="4"/>
      <c r="AI374" s="72"/>
      <c r="AJ374" s="110"/>
      <c r="AK374" s="72"/>
      <c r="AL374" s="72"/>
      <c r="AM374" s="72"/>
      <c r="AN374" s="72"/>
      <c r="AO374" s="89"/>
      <c r="AP374" s="89"/>
      <c r="AQ374" s="90"/>
      <c r="AR374" s="117"/>
      <c r="AS374" s="91"/>
      <c r="AT374" s="91"/>
      <c r="AU374" s="3"/>
      <c r="AV374" s="98">
        <v>15768000</v>
      </c>
      <c r="AW374" s="98">
        <f t="shared" ref="AW374" si="66">AV374+15768000</f>
        <v>31536000</v>
      </c>
      <c r="AX374" s="98">
        <f t="shared" ref="AX374" si="67">AW374+15768000</f>
        <v>47304000</v>
      </c>
      <c r="AY374" s="98">
        <f t="shared" ref="AY374" si="68">AX374+15768000</f>
        <v>63072000</v>
      </c>
      <c r="AZ374" s="98">
        <f t="shared" ref="AZ374" si="69">AY374+15768000</f>
        <v>78840000</v>
      </c>
      <c r="BA374" s="98">
        <f t="shared" ref="BA374" si="70">AZ374+15768000</f>
        <v>94608000</v>
      </c>
      <c r="BB374" s="98">
        <f t="shared" ref="BB374" si="71">BA374+15768000</f>
        <v>110376000</v>
      </c>
      <c r="BC374" s="98">
        <f t="shared" ref="BC374" si="72">BB374+15768000</f>
        <v>126144000</v>
      </c>
      <c r="BD374" s="11"/>
      <c r="BE374" s="11"/>
      <c r="BF374" s="11"/>
      <c r="BG374" s="11"/>
      <c r="BH374" s="11"/>
      <c r="BI374" s="11"/>
      <c r="BJ374" s="11"/>
      <c r="BK374" s="11"/>
      <c r="BL374" s="11"/>
      <c r="BM374" s="11"/>
      <c r="BN374" s="11"/>
      <c r="BO374" s="11"/>
      <c r="BP374" s="11"/>
      <c r="BQ374" s="11"/>
      <c r="BR374" s="11"/>
      <c r="BS374" s="11"/>
      <c r="BT374" s="11"/>
      <c r="BU374" s="11"/>
      <c r="BV374" s="11"/>
      <c r="BW374" s="11"/>
      <c r="BX374" s="11"/>
      <c r="BY374" s="11"/>
      <c r="BZ374" s="11"/>
      <c r="CA374" s="11"/>
      <c r="CB374" s="11"/>
      <c r="CC374" s="11"/>
      <c r="CD374" s="11"/>
      <c r="CE374" s="11"/>
      <c r="CF374" s="11"/>
      <c r="CG374" s="11"/>
      <c r="CH374" s="11"/>
      <c r="CI374" s="11"/>
      <c r="CJ374" s="11"/>
      <c r="CK374" s="11"/>
      <c r="CL374" s="11"/>
      <c r="CM374" s="11"/>
      <c r="CN374" s="11"/>
      <c r="CO374" s="11"/>
      <c r="CP374" s="11"/>
      <c r="CQ374" s="11"/>
      <c r="CR374" s="15"/>
      <c r="CS374" s="15"/>
      <c r="CT374" s="15"/>
      <c r="CU374" s="15"/>
    </row>
    <row r="375" spans="1:99" ht="12" customHeight="1" x14ac:dyDescent="0.2">
      <c r="A375" s="68">
        <v>43903</v>
      </c>
      <c r="B375" s="94" t="s">
        <v>481</v>
      </c>
      <c r="C375" s="94" t="s">
        <v>262</v>
      </c>
      <c r="D375" s="92">
        <v>2020</v>
      </c>
      <c r="E375" s="105">
        <v>1</v>
      </c>
      <c r="F375" s="92">
        <v>230</v>
      </c>
      <c r="G375" s="92">
        <v>28.8</v>
      </c>
      <c r="H375" s="92" t="s">
        <v>747</v>
      </c>
      <c r="I375" s="92" t="s">
        <v>876</v>
      </c>
      <c r="J375" s="107" t="s">
        <v>483</v>
      </c>
      <c r="K375" s="69">
        <f t="shared" ref="K375" si="73">IF(J375="syllables",1,IF(J375="trigrams",2,IF(J375="strings",3,IF(J375="visual array",4,IF(J375="characters",5,IF(J375="letters",6,IF(J375="free forms",7,IF(J375="odors",8,IF(J375="words",9,IF(J375="pictures",10,IF(J375="object pictures",11,IF(J375="faces",12,IF(J375="names",13,IF(J375="idioms",14,IF(J375="grades",15,IF(J375="syllable-digit pairs",16,IF(J375="trigram-word pairs",17,IF(J375="word-digit pairs",18,IF(J375="English-Swahili pairs",19,IF(J375="spatial position",20,IF(J375="word pairs",21,IF(J375="word triads",22,IF(J375="generated words",23,IF(J375="word definition pairs",24,IF(J375="math problems",25,IF(J375="famous faces",26,IF(J375="famous names",27,IF(J375="famous voices",28,IF(J375="television programs",29,IF(J375="race horses",30,IF(J375="new vocabulary",31,IF(J375="sentences",32,IF(J375="concepts",33,IF(J375="ad slides",34,IF(J375="scenes",35,IF(J375="famous scenes",36,IF(J375="poems",37,IF(J375="walk",38,IF(J375="faces and events",39,IF(J375="events and names",40,IF(J375="flashbulb",41,IF(J375="stories",42,IF(J375="course material",43,IF(J375="autobiographical",44,IF(J375="novels",45,IF(J375="public events",46,"99"))))))))))))))))))))))))))))))))))))))))))))))</f>
        <v>45</v>
      </c>
      <c r="L375" s="69">
        <f t="shared" ref="L375" si="74">IF(J375="syllables",1,IF(J375="trigrams",1,IF(J375="strings",1,IF(J375="visual array",1,IF(J375="characters",1,IF(J375="letters",1,IF(J375="free forms",1,IF(J375="odors",2,IF(J375="words",2,IF(J375="pictures",2,IF(J375="object pictures",2,IF(J375="faces",2,IF(J375="names",2,IF(J375="idioms","2",IF(J375="grades",2,IF(J375="syllable-digit pairs",3,IF(J375="trigram-word pairs",3,IF(J375="word-digit pairs",3,IF(J375="English-Swahili pairs",3,IF(J375="spatial position",3,IF(J375="word pairs",4,IF(J375="word triads",4,IF(J375="generated words",4,IF(J375="word definition pairs",4,IF(J375="math problems",4,IF(J375="famous faces",4,IF(J375="famous names",4,IF(J375="famous voices",4,IF(J375="television programs",4,IF(J375="race horses",4,IF(J375="new vocabulary",4,IF(J375="sentences",5,IF(J375="concepts",5,IF(J375="ad slides",5,IF(J375="scenes",5,IF(J375="famous scenes",5,IF(J375="poems",6,IF(J375="walk",6,IF(J375="faces and events",6,IF(J375="events and names",6,IF(J375="flashbulb",7,IF(J375="stories",7,IF(J375="course material",7,IF(J375="autobiographical",7,IF(J375="novels",7,IF(J375="public events",7,"99"))))))))))))))))))))))))))))))))))))))))))))))</f>
        <v>7</v>
      </c>
      <c r="M375" s="92">
        <v>0</v>
      </c>
      <c r="N375" s="69">
        <v>3</v>
      </c>
      <c r="O375" s="92">
        <v>0</v>
      </c>
      <c r="P375" s="92"/>
      <c r="Q375" s="92" t="s">
        <v>182</v>
      </c>
      <c r="R375" s="69">
        <f t="shared" ref="R375" si="75">IF(Q375="Free Recall",1,IF(Q375="Cued Recall",2,IF(Q375="Recognition",3,IF(Q375="Multiple Choice",4,IF(Q375="Savings",5,IF(Q375="Stem Completion",6,IF(Q375="Fragment Completion",7,IF(Q375="anagram solution",8,IF(Q375="Matching",9,IF(Q375="Problem Solving",10,"99"))))))))))</f>
        <v>4</v>
      </c>
      <c r="S375" s="92" t="s">
        <v>482</v>
      </c>
      <c r="T375" s="92" t="s">
        <v>261</v>
      </c>
      <c r="U375" s="69">
        <f t="shared" ref="U375" si="76">IF(T375="within",1,0)</f>
        <v>0</v>
      </c>
      <c r="V375" s="92">
        <v>12</v>
      </c>
      <c r="W375" s="69">
        <f>F375*V375</f>
        <v>2760</v>
      </c>
      <c r="X375" s="69">
        <v>8</v>
      </c>
      <c r="Y375" s="87">
        <f>AV374</f>
        <v>15768000</v>
      </c>
      <c r="Z375" s="92" t="s">
        <v>484</v>
      </c>
      <c r="AA375" s="69">
        <f>7.5*365*24*60*60</f>
        <v>236520000</v>
      </c>
      <c r="AB375" s="69" t="str">
        <f>IF(AA375&lt;60,"1",IF(AA375&lt;=43200,"2",IF(AA375&lt;=777600,"3","4")))</f>
        <v>4</v>
      </c>
      <c r="AC375" s="72">
        <f>AVERAGE(AV374:DA374)</f>
        <v>70956000</v>
      </c>
      <c r="AD375" s="69" t="str">
        <f>IF(AC375&lt;60,"1",IF(AC375&lt;=43200,"2",IF(AC375&lt;=777600,"3","4")))</f>
        <v>4</v>
      </c>
      <c r="AE375" s="87">
        <f>AA375-Y375</f>
        <v>220752000</v>
      </c>
      <c r="AF375" s="88">
        <f>AV375</f>
        <v>0.64434523787499998</v>
      </c>
      <c r="AG375" s="72">
        <f>((AW375-AV375)+(AX375-AW375)+(AY375-AX375)+(AZ375-AY375)+(BA375-AZ375)+(BB375-BA375)+(BC375-BB375))/7</f>
        <v>-3.5463048839285707E-2</v>
      </c>
      <c r="AH375" s="4"/>
      <c r="AI375" s="72">
        <f>RSQ(AV375:BC375,AV374:BC374)</f>
        <v>0.75747435581590861</v>
      </c>
      <c r="AJ375" s="110">
        <f>SLOPE(AV375:BC375,AV374:BC374)</f>
        <v>-2.1007903644135666E-9</v>
      </c>
      <c r="AK375" s="72">
        <f>INTERCEPT(AV375:BC375,AV374:BC374)</f>
        <v>0.60234301210134489</v>
      </c>
      <c r="AL375" s="72">
        <f>INDEX(LINEST(LN(AV375:BC375),LN(AV374:BC374),TRUE,TRUE),3,1)</f>
        <v>0.88899559745602985</v>
      </c>
      <c r="AM375" s="72">
        <f>INDEX(LINEST(LN(AV375:BC375),LN(AV374:BC374)),1)</f>
        <v>-0.26002428706625635</v>
      </c>
      <c r="AN375" s="72">
        <f>EXP(INDEX(LINEST(LN(AV375:BC375),LN(AV374:BC374)),1,2))</f>
        <v>46.799940767628094</v>
      </c>
      <c r="AO375" s="89">
        <f>INDEX(LINEST((AV375:BC375),LN(AV374:BC374),TRUE,TRUE),3,1)</f>
        <v>0.90563775339500319</v>
      </c>
      <c r="AP375" s="89">
        <f>INDEX(LINEST((AV375:BC375),LN(AV374:BC374)),1)</f>
        <v>-0.12613311014326475</v>
      </c>
      <c r="AQ375" s="90">
        <f>INDEX(LINEST(LN(AV375:BC375),SQRT(AV374:BC374),TRUE,TRUE),3,1)</f>
        <v>0.84907287770681383</v>
      </c>
      <c r="AR375" s="117">
        <f>INDEX(LINEST(LN(AV375:BC375),SQRT((AV374:BC374))),1)</f>
        <v>-7.1631555748135709E-5</v>
      </c>
      <c r="AS375" s="91">
        <f>INDEX(LINEST(1/(AV375:BC375),1/(SQRT(AV374:BC374)),TRUE,TRUE),3,1)</f>
        <v>0.82452129208008595</v>
      </c>
      <c r="AT375" s="91">
        <f>INDEX(LINEST(1/(AV375:BC375),1/SQRT(AV374:BC374)),1)</f>
        <v>-6981.8826863062131</v>
      </c>
      <c r="AU375" s="3"/>
      <c r="AV375" s="97">
        <v>0.64434523787499998</v>
      </c>
      <c r="AW375" s="97">
        <v>0.50238095231999991</v>
      </c>
      <c r="AX375" s="97">
        <v>0.48876909258490581</v>
      </c>
      <c r="AY375" s="97">
        <v>0.43564993570270261</v>
      </c>
      <c r="AZ375" s="97">
        <v>0.39424141755813941</v>
      </c>
      <c r="BA375" s="97">
        <v>0.42446633824137936</v>
      </c>
      <c r="BB375" s="97">
        <v>0.34027777775000007</v>
      </c>
      <c r="BC375" s="97">
        <v>0.39610389600000001</v>
      </c>
      <c r="BD375" s="11"/>
      <c r="BE375" s="11"/>
      <c r="BF375" s="11"/>
      <c r="BG375" s="11"/>
      <c r="BH375" s="11"/>
      <c r="BI375" s="11"/>
      <c r="BJ375" s="11"/>
      <c r="BK375" s="11"/>
      <c r="BL375" s="11"/>
      <c r="BM375" s="11"/>
      <c r="BN375" s="11"/>
      <c r="BO375" s="11"/>
      <c r="BP375" s="11"/>
      <c r="BQ375" s="11"/>
      <c r="BR375" s="11"/>
      <c r="BS375" s="11"/>
      <c r="BT375" s="11"/>
      <c r="BU375" s="11"/>
      <c r="BV375" s="11"/>
      <c r="BW375" s="11"/>
      <c r="BX375" s="11"/>
      <c r="BY375" s="11"/>
      <c r="BZ375" s="11"/>
      <c r="CA375" s="11"/>
      <c r="CB375" s="11"/>
      <c r="CC375" s="11"/>
      <c r="CD375" s="11"/>
      <c r="CE375" s="11"/>
      <c r="CF375" s="11"/>
      <c r="CG375" s="11"/>
      <c r="CH375" s="11"/>
      <c r="CI375" s="11"/>
      <c r="CJ375" s="11"/>
      <c r="CK375" s="11"/>
      <c r="CL375" s="11"/>
      <c r="CM375" s="11"/>
      <c r="CN375" s="11"/>
      <c r="CO375" s="11"/>
      <c r="CP375" s="11"/>
      <c r="CQ375" s="11"/>
      <c r="CR375" s="15"/>
      <c r="CS375" s="15"/>
      <c r="CT375" s="15"/>
      <c r="CU375" s="15"/>
    </row>
    <row r="376" spans="1:99" ht="12" customHeight="1" x14ac:dyDescent="0.2">
      <c r="A376" s="68">
        <v>43903</v>
      </c>
      <c r="B376" s="94"/>
      <c r="C376" s="94"/>
      <c r="D376" s="92"/>
      <c r="E376" s="105"/>
      <c r="F376" s="92"/>
      <c r="G376" s="92"/>
      <c r="H376" s="92"/>
      <c r="I376" s="92"/>
      <c r="J376" s="107"/>
      <c r="K376" s="107"/>
      <c r="L376" s="107"/>
      <c r="M376" s="92"/>
      <c r="N376" s="69"/>
      <c r="O376" s="92"/>
      <c r="P376" s="92"/>
      <c r="Q376" s="92"/>
      <c r="R376" s="69"/>
      <c r="S376" s="92"/>
      <c r="T376" s="92"/>
      <c r="U376" s="69"/>
      <c r="V376" s="92"/>
      <c r="W376" s="69"/>
      <c r="X376" s="69"/>
      <c r="Y376" s="87"/>
      <c r="Z376" s="92"/>
      <c r="AA376" s="92"/>
      <c r="AB376" s="69"/>
      <c r="AC376" s="72"/>
      <c r="AD376" s="69"/>
      <c r="AE376" s="69"/>
      <c r="AF376" s="88"/>
      <c r="AG376" s="72"/>
      <c r="AH376" s="4"/>
      <c r="AI376" s="72"/>
      <c r="AJ376" s="110"/>
      <c r="AK376" s="72"/>
      <c r="AL376" s="72"/>
      <c r="AM376" s="72"/>
      <c r="AN376" s="72"/>
      <c r="AO376" s="89"/>
      <c r="AP376" s="89"/>
      <c r="AQ376" s="90"/>
      <c r="AR376" s="117"/>
      <c r="AS376" s="91"/>
      <c r="AT376" s="91"/>
      <c r="AU376" s="3"/>
      <c r="AV376" s="98">
        <v>15768000</v>
      </c>
      <c r="AW376" s="98">
        <f t="shared" ref="AW376" si="77">AV376+15768000</f>
        <v>31536000</v>
      </c>
      <c r="AX376" s="98">
        <f t="shared" ref="AX376" si="78">AW376+15768000</f>
        <v>47304000</v>
      </c>
      <c r="AY376" s="98">
        <f t="shared" ref="AY376" si="79">AX376+15768000</f>
        <v>63072000</v>
      </c>
      <c r="AZ376" s="98">
        <f t="shared" ref="AZ376" si="80">AY376+15768000</f>
        <v>78840000</v>
      </c>
      <c r="BA376" s="98">
        <f t="shared" ref="BA376" si="81">AZ376+15768000</f>
        <v>94608000</v>
      </c>
      <c r="BB376" s="98">
        <f t="shared" ref="BB376" si="82">BA376+15768000</f>
        <v>110376000</v>
      </c>
      <c r="BC376" s="98">
        <f t="shared" ref="BC376" si="83">BB376+15768000</f>
        <v>126144000</v>
      </c>
      <c r="BD376" s="11"/>
      <c r="BE376" s="11"/>
      <c r="BF376" s="11"/>
      <c r="BG376" s="11"/>
      <c r="BH376" s="11"/>
      <c r="BI376" s="11"/>
      <c r="BJ376" s="11"/>
      <c r="BK376" s="11"/>
      <c r="BL376" s="11"/>
      <c r="BM376" s="11"/>
      <c r="BN376" s="11"/>
      <c r="BO376" s="11"/>
      <c r="BP376" s="11"/>
      <c r="BQ376" s="11"/>
      <c r="BR376" s="11"/>
      <c r="BS376" s="11"/>
      <c r="BT376" s="11"/>
      <c r="BU376" s="11"/>
      <c r="BV376" s="11"/>
      <c r="BW376" s="11"/>
      <c r="BX376" s="11"/>
      <c r="BY376" s="11"/>
      <c r="BZ376" s="11"/>
      <c r="CA376" s="11"/>
      <c r="CB376" s="11"/>
      <c r="CC376" s="11"/>
      <c r="CD376" s="11"/>
      <c r="CE376" s="11"/>
      <c r="CF376" s="11"/>
      <c r="CG376" s="11"/>
      <c r="CH376" s="11"/>
      <c r="CI376" s="11"/>
      <c r="CJ376" s="11"/>
      <c r="CK376" s="11"/>
      <c r="CL376" s="11"/>
      <c r="CM376" s="11"/>
      <c r="CN376" s="11"/>
      <c r="CO376" s="11"/>
      <c r="CP376" s="11"/>
      <c r="CQ376" s="11"/>
      <c r="CR376" s="15"/>
      <c r="CS376" s="15"/>
      <c r="CT376" s="15"/>
      <c r="CU376" s="15"/>
    </row>
    <row r="377" spans="1:99" ht="12" customHeight="1" x14ac:dyDescent="0.2">
      <c r="A377" s="68">
        <v>43903</v>
      </c>
      <c r="B377" s="94" t="s">
        <v>481</v>
      </c>
      <c r="C377" s="94" t="s">
        <v>262</v>
      </c>
      <c r="D377" s="92">
        <v>2020</v>
      </c>
      <c r="E377" s="105">
        <v>1</v>
      </c>
      <c r="F377" s="92">
        <v>230</v>
      </c>
      <c r="G377" s="92">
        <v>28.8</v>
      </c>
      <c r="H377" s="92" t="s">
        <v>747</v>
      </c>
      <c r="I377" s="92" t="s">
        <v>923</v>
      </c>
      <c r="J377" s="107" t="s">
        <v>483</v>
      </c>
      <c r="K377" s="69">
        <f t="shared" ref="K377" si="84">IF(J377="syllables",1,IF(J377="trigrams",2,IF(J377="strings",3,IF(J377="visual array",4,IF(J377="characters",5,IF(J377="letters",6,IF(J377="free forms",7,IF(J377="odors",8,IF(J377="words",9,IF(J377="pictures",10,IF(J377="object pictures",11,IF(J377="faces",12,IF(J377="names",13,IF(J377="idioms",14,IF(J377="grades",15,IF(J377="syllable-digit pairs",16,IF(J377="trigram-word pairs",17,IF(J377="word-digit pairs",18,IF(J377="English-Swahili pairs",19,IF(J377="spatial position",20,IF(J377="word pairs",21,IF(J377="word triads",22,IF(J377="generated words",23,IF(J377="word definition pairs",24,IF(J377="math problems",25,IF(J377="famous faces",26,IF(J377="famous names",27,IF(J377="famous voices",28,IF(J377="television programs",29,IF(J377="race horses",30,IF(J377="new vocabulary",31,IF(J377="sentences",32,IF(J377="concepts",33,IF(J377="ad slides",34,IF(J377="scenes",35,IF(J377="famous scenes",36,IF(J377="poems",37,IF(J377="walk",38,IF(J377="faces and events",39,IF(J377="events and names",40,IF(J377="flashbulb",41,IF(J377="stories",42,IF(J377="course material",43,IF(J377="autobiographical",44,IF(J377="novels",45,IF(J377="public events",46,"99"))))))))))))))))))))))))))))))))))))))))))))))</f>
        <v>45</v>
      </c>
      <c r="L377" s="69">
        <f t="shared" ref="L377" si="85">IF(J377="syllables",1,IF(J377="trigrams",1,IF(J377="strings",1,IF(J377="visual array",1,IF(J377="characters",1,IF(J377="letters",1,IF(J377="free forms",1,IF(J377="odors",2,IF(J377="words",2,IF(J377="pictures",2,IF(J377="object pictures",2,IF(J377="faces",2,IF(J377="names",2,IF(J377="idioms","2",IF(J377="grades",2,IF(J377="syllable-digit pairs",3,IF(J377="trigram-word pairs",3,IF(J377="word-digit pairs",3,IF(J377="English-Swahili pairs",3,IF(J377="spatial position",3,IF(J377="word pairs",4,IF(J377="word triads",4,IF(J377="generated words",4,IF(J377="word definition pairs",4,IF(J377="math problems",4,IF(J377="famous faces",4,IF(J377="famous names",4,IF(J377="famous voices",4,IF(J377="television programs",4,IF(J377="race horses",4,IF(J377="new vocabulary",4,IF(J377="sentences",5,IF(J377="concepts",5,IF(J377="ad slides",5,IF(J377="scenes",5,IF(J377="famous scenes",5,IF(J377="poems",6,IF(J377="walk",6,IF(J377="faces and events",6,IF(J377="events and names",6,IF(J377="flashbulb",7,IF(J377="stories",7,IF(J377="course material",7,IF(J377="autobiographical",7,IF(J377="novels",7,IF(J377="public events",7,"99"))))))))))))))))))))))))))))))))))))))))))))))</f>
        <v>7</v>
      </c>
      <c r="M377" s="92">
        <v>0</v>
      </c>
      <c r="N377" s="69">
        <v>3</v>
      </c>
      <c r="O377" s="92">
        <v>0</v>
      </c>
      <c r="P377" s="92"/>
      <c r="Q377" s="92" t="s">
        <v>182</v>
      </c>
      <c r="R377" s="69">
        <f t="shared" ref="R377" si="86">IF(Q377="Free Recall",1,IF(Q377="Cued Recall",2,IF(Q377="Recognition",3,IF(Q377="Multiple Choice",4,IF(Q377="Savings",5,IF(Q377="Stem Completion",6,IF(Q377="Fragment Completion",7,IF(Q377="anagram solution",8,IF(Q377="Matching",9,IF(Q377="Problem Solving",10,"99"))))))))))</f>
        <v>4</v>
      </c>
      <c r="S377" s="92" t="s">
        <v>482</v>
      </c>
      <c r="T377" s="92" t="s">
        <v>261</v>
      </c>
      <c r="U377" s="69">
        <f t="shared" ref="U377" si="87">IF(T377="within",1,0)</f>
        <v>0</v>
      </c>
      <c r="V377" s="92">
        <v>12</v>
      </c>
      <c r="W377" s="69">
        <f>F377*V377</f>
        <v>2760</v>
      </c>
      <c r="X377" s="69">
        <v>8</v>
      </c>
      <c r="Y377" s="87">
        <f>AV376</f>
        <v>15768000</v>
      </c>
      <c r="Z377" s="92" t="s">
        <v>484</v>
      </c>
      <c r="AA377" s="69">
        <f>7.5*365*24*60*60</f>
        <v>236520000</v>
      </c>
      <c r="AB377" s="69" t="str">
        <f>IF(AA377&lt;60,"1",IF(AA377&lt;=43200,"2",IF(AA377&lt;=777600,"3","4")))</f>
        <v>4</v>
      </c>
      <c r="AC377" s="72">
        <f>AVERAGE(AV376:DA376)</f>
        <v>70956000</v>
      </c>
      <c r="AD377" s="69" t="str">
        <f>IF(AC377&lt;60,"1",IF(AC377&lt;=43200,"2",IF(AC377&lt;=777600,"3","4")))</f>
        <v>4</v>
      </c>
      <c r="AE377" s="87">
        <f>AA377-Y377</f>
        <v>220752000</v>
      </c>
      <c r="AF377" s="88">
        <f>AV377</f>
        <v>0.55833333337500002</v>
      </c>
      <c r="AG377" s="72">
        <f>((AW377-AV377)+(AX377-AW377)+(AY377-AX377)+(AZ377-AY377)+(BA377-AZ377)+(BB377-BA377)+(BC377-BB377))/7</f>
        <v>-1.6406212845779224E-2</v>
      </c>
      <c r="AH377" s="4"/>
      <c r="AI377" s="72">
        <f>RSQ(AV377:BC377,AV376:BC376)</f>
        <v>0.7435493717943682</v>
      </c>
      <c r="AJ377" s="110">
        <f>SLOPE(AV377:BC377,AV376:BC376)</f>
        <v>-9.792244059704596E-10</v>
      </c>
      <c r="AK377" s="72">
        <f>INTERCEPT(AV377:BC377,AV376:BC376)</f>
        <v>0.54486231740455915</v>
      </c>
      <c r="AL377" s="72">
        <f>INDEX(LINEST(LN(AV377:BC377),LN(AV376:BC376),TRUE,TRUE),3,1)</f>
        <v>0.90122566130962967</v>
      </c>
      <c r="AM377" s="72">
        <f>INDEX(LINEST(LN(AV377:BC377),LN(AV376:BC376)),1)</f>
        <v>-0.11998941029435654</v>
      </c>
      <c r="AN377" s="72">
        <f>EXP(INDEX(LINEST(LN(AV377:BC377),LN(AV376:BC376)),1,2))</f>
        <v>4.057286730837963</v>
      </c>
      <c r="AO377" s="89">
        <f>INDEX(LINEST((AV377:BC377),LN(AV376:BC376),TRUE,TRUE),3,1)</f>
        <v>0.90374183107219108</v>
      </c>
      <c r="AP377" s="89">
        <f>INDEX(LINEST((AV377:BC377),LN(AV376:BC376)),1)</f>
        <v>-5.9279237898389084E-2</v>
      </c>
      <c r="AQ377" s="90">
        <f>INDEX(LINEST(LN(AV377:BC377),SQRT(AV376:BC376),TRUE,TRUE),3,1)</f>
        <v>0.84151556197073063</v>
      </c>
      <c r="AR377" s="117">
        <f>INDEX(LINEST(LN(AV377:BC377),SQRT((AV376:BC376))),1)</f>
        <v>-3.2683233029608168E-5</v>
      </c>
      <c r="AS377" s="91">
        <f>INDEX(LINEST(1/(AV377:BC377),1/(SQRT(AV376:BC376)),TRUE,TRUE),3,1)</f>
        <v>0.90147324340133839</v>
      </c>
      <c r="AT377" s="91">
        <f>INDEX(LINEST(1/(AV377:BC377),1/SQRT(AV376:BC376)),1)</f>
        <v>-3149.5351062109639</v>
      </c>
      <c r="AU377" s="3"/>
      <c r="AV377" s="97">
        <v>0.55833333337500002</v>
      </c>
      <c r="AW377" s="97">
        <v>0.52455677667999989</v>
      </c>
      <c r="AX377" s="97">
        <v>0.47548552071698119</v>
      </c>
      <c r="AY377" s="97">
        <v>0.46107811113513519</v>
      </c>
      <c r="AZ377" s="97">
        <v>0.43855524325581402</v>
      </c>
      <c r="BA377" s="97">
        <v>0.46452570431034484</v>
      </c>
      <c r="BB377" s="97">
        <v>0.43701923070833332</v>
      </c>
      <c r="BC377" s="97">
        <v>0.44348984345454545</v>
      </c>
      <c r="BD377" s="11"/>
      <c r="BE377" s="11"/>
      <c r="BF377" s="11"/>
      <c r="BG377" s="11"/>
      <c r="BH377" s="11"/>
      <c r="BI377" s="11"/>
      <c r="BJ377" s="11"/>
      <c r="BK377" s="11"/>
      <c r="BL377" s="11"/>
      <c r="BM377" s="11"/>
      <c r="BN377" s="11"/>
      <c r="BO377" s="11"/>
      <c r="BP377" s="11"/>
      <c r="BQ377" s="11"/>
      <c r="BR377" s="11"/>
      <c r="BS377" s="11"/>
      <c r="BT377" s="11"/>
      <c r="BU377" s="11"/>
      <c r="BV377" s="11"/>
      <c r="BW377" s="11"/>
      <c r="BX377" s="11"/>
      <c r="BY377" s="11"/>
      <c r="BZ377" s="11"/>
      <c r="CA377" s="11"/>
      <c r="CB377" s="11"/>
      <c r="CC377" s="11"/>
      <c r="CD377" s="11"/>
      <c r="CE377" s="11"/>
      <c r="CF377" s="11"/>
      <c r="CG377" s="11"/>
      <c r="CH377" s="11"/>
      <c r="CI377" s="11"/>
      <c r="CJ377" s="11"/>
      <c r="CK377" s="11"/>
      <c r="CL377" s="11"/>
      <c r="CM377" s="11"/>
      <c r="CN377" s="11"/>
      <c r="CO377" s="11"/>
      <c r="CP377" s="11"/>
      <c r="CQ377" s="11"/>
      <c r="CR377" s="15"/>
      <c r="CS377" s="15"/>
      <c r="CT377" s="15"/>
      <c r="CU377" s="15"/>
    </row>
    <row r="378" spans="1:99" ht="12" customHeight="1" x14ac:dyDescent="0.2">
      <c r="A378" s="68">
        <v>43903</v>
      </c>
      <c r="B378" s="94"/>
      <c r="C378" s="94"/>
      <c r="D378" s="92"/>
      <c r="E378" s="105"/>
      <c r="F378" s="92"/>
      <c r="G378" s="92"/>
      <c r="H378" s="92"/>
      <c r="I378" s="92"/>
      <c r="J378" s="107"/>
      <c r="K378" s="107"/>
      <c r="L378" s="107"/>
      <c r="M378" s="92"/>
      <c r="N378" s="69"/>
      <c r="O378" s="92"/>
      <c r="P378" s="92"/>
      <c r="Q378" s="92"/>
      <c r="R378" s="69"/>
      <c r="S378" s="92"/>
      <c r="T378" s="92"/>
      <c r="U378" s="69"/>
      <c r="V378" s="92"/>
      <c r="W378" s="69"/>
      <c r="X378" s="69"/>
      <c r="Y378" s="87"/>
      <c r="Z378" s="92"/>
      <c r="AA378" s="92"/>
      <c r="AB378" s="69"/>
      <c r="AC378" s="72"/>
      <c r="AD378" s="69"/>
      <c r="AE378" s="69"/>
      <c r="AF378" s="88"/>
      <c r="AG378" s="72"/>
      <c r="AH378" s="4"/>
      <c r="AI378" s="72"/>
      <c r="AJ378" s="110"/>
      <c r="AK378" s="72"/>
      <c r="AL378" s="72"/>
      <c r="AM378" s="72"/>
      <c r="AN378" s="72"/>
      <c r="AO378" s="89"/>
      <c r="AP378" s="89"/>
      <c r="AQ378" s="90"/>
      <c r="AR378" s="117"/>
      <c r="AS378" s="91"/>
      <c r="AT378" s="91"/>
      <c r="AU378" s="3"/>
      <c r="AV378" s="98">
        <v>31536000</v>
      </c>
      <c r="AW378" s="98">
        <v>47304000</v>
      </c>
      <c r="AX378" s="98">
        <v>63072000</v>
      </c>
      <c r="AY378" s="98">
        <v>78840000</v>
      </c>
      <c r="AZ378" s="98">
        <v>94608000</v>
      </c>
      <c r="BA378" s="98">
        <v>110376000</v>
      </c>
      <c r="BB378" s="98">
        <v>126144000</v>
      </c>
      <c r="BC378" s="177"/>
      <c r="BD378" s="11"/>
      <c r="BE378" s="11"/>
      <c r="BF378" s="11"/>
      <c r="BG378" s="11"/>
      <c r="BH378" s="11"/>
      <c r="BI378" s="11"/>
      <c r="BJ378" s="11"/>
      <c r="BK378" s="11"/>
      <c r="BL378" s="11"/>
      <c r="BM378" s="11"/>
      <c r="BN378" s="11"/>
      <c r="BO378" s="11"/>
      <c r="BP378" s="11"/>
      <c r="BQ378" s="11"/>
      <c r="BR378" s="11"/>
      <c r="BS378" s="11"/>
      <c r="BT378" s="11"/>
      <c r="BU378" s="11"/>
      <c r="BV378" s="11"/>
      <c r="BW378" s="11"/>
      <c r="BX378" s="11"/>
      <c r="BY378" s="11"/>
      <c r="BZ378" s="11"/>
      <c r="CA378" s="11"/>
      <c r="CB378" s="11"/>
      <c r="CC378" s="11"/>
      <c r="CD378" s="11"/>
      <c r="CE378" s="11"/>
      <c r="CF378" s="11"/>
      <c r="CG378" s="11"/>
      <c r="CH378" s="11"/>
      <c r="CI378" s="11"/>
      <c r="CJ378" s="11"/>
      <c r="CK378" s="11"/>
      <c r="CL378" s="11"/>
      <c r="CM378" s="11"/>
      <c r="CN378" s="11"/>
      <c r="CO378" s="11"/>
      <c r="CP378" s="11"/>
      <c r="CQ378" s="11"/>
      <c r="CR378" s="15"/>
      <c r="CS378" s="15"/>
      <c r="CT378" s="15"/>
      <c r="CU378" s="15"/>
    </row>
    <row r="379" spans="1:99" ht="12" customHeight="1" x14ac:dyDescent="0.2">
      <c r="A379" s="68">
        <v>43903</v>
      </c>
      <c r="B379" s="94" t="s">
        <v>481</v>
      </c>
      <c r="C379" s="94" t="s">
        <v>262</v>
      </c>
      <c r="D379" s="92">
        <v>2020</v>
      </c>
      <c r="E379" s="105">
        <v>2</v>
      </c>
      <c r="F379" s="92">
        <v>142</v>
      </c>
      <c r="G379" s="92">
        <v>17.75</v>
      </c>
      <c r="H379" s="92" t="s">
        <v>747</v>
      </c>
      <c r="I379" s="92" t="s">
        <v>920</v>
      </c>
      <c r="J379" s="107" t="s">
        <v>483</v>
      </c>
      <c r="K379" s="69">
        <f>IF(J379="syllables",1,IF(J379="trigrams",2,IF(J379="strings",3,IF(J379="visual array",4,IF(J379="characters",5,IF(J379="letters",6,IF(J379="free forms",7,IF(J379="odors",8,IF(J379="words",9,IF(J379="pictures",10,IF(J379="object pictures",11,IF(J379="faces",12,IF(J379="names",13,IF(J379="idioms",14,IF(J379="grades",15,IF(J379="syllable-digit pairs",16,IF(J379="trigram-word pairs",17,IF(J379="word-digit pairs",18,IF(J379="English-Swahili pairs",19,IF(J379="spatial position",20,IF(J379="word pairs",21,IF(J379="word triads",22,IF(J379="generated words",23,IF(J379="word definition pairs",24,IF(J379="math problems",25,IF(J379="famous faces",26,IF(J379="famous names",27,IF(J379="famous voices",28,IF(J379="television programs",29,IF(J379="race horses",30,IF(J379="new vocabulary",31,IF(J379="sentences",32,IF(J379="concepts",33,IF(J379="ad slides",34,IF(J379="scenes",35,IF(J379="famous scenes",36,IF(J379="poems",37,IF(J379="walk",38,IF(J379="faces and events",39,IF(J379="events and names",40,IF(J379="flashbulb",41,IF(J379="stories",42,IF(J379="course material",43,IF(J379="autobiographical",44,IF(J379="novels",45,IF(J379="public events",46,"99"))))))))))))))))))))))))))))))))))))))))))))))</f>
        <v>45</v>
      </c>
      <c r="L379" s="69">
        <f>IF(J379="syllables",1,IF(J379="trigrams",1,IF(J379="strings",1,IF(J379="visual array",1,IF(J379="characters",1,IF(J379="letters",1,IF(J379="free forms",1,IF(J379="odors",2,IF(J379="words",2,IF(J379="pictures",2,IF(J379="object pictures",2,IF(J379="faces",2,IF(J379="names",2,IF(J379="idioms","2",IF(J379="grades",2,IF(J379="syllable-digit pairs",3,IF(J379="trigram-word pairs",3,IF(J379="word-digit pairs",3,IF(J379="English-Swahili pairs",3,IF(J379="spatial position",3,IF(J379="word pairs",4,IF(J379="word triads",4,IF(J379="generated words",4,IF(J379="word definition pairs",4,IF(J379="math problems",4,IF(J379="famous faces",4,IF(J379="famous names",4,IF(J379="famous voices",4,IF(J379="television programs",4,IF(J379="race horses",4,IF(J379="new vocabulary",4,IF(J379="sentences",5,IF(J379="concepts",5,IF(J379="ad slides",5,IF(J379="scenes",5,IF(J379="famous scenes",5,IF(J379="poems",6,IF(J379="walk",6,IF(J379="faces and events",6,IF(J379="events and names",6,IF(J379="flashbulb",7,IF(J379="stories",7,IF(J379="course material",7,IF(J379="autobiographical",7,IF(J379="novels",7,IF(J379="public events",7,"99"))))))))))))))))))))))))))))))))))))))))))))))</f>
        <v>7</v>
      </c>
      <c r="M379" s="92">
        <v>0</v>
      </c>
      <c r="N379" s="69">
        <v>3</v>
      </c>
      <c r="O379" s="92">
        <v>0</v>
      </c>
      <c r="P379" s="92"/>
      <c r="Q379" s="92" t="s">
        <v>182</v>
      </c>
      <c r="R379" s="69">
        <f>IF(Q379="Free Recall",1,IF(Q379="Cued Recall",2,IF(Q379="Recognition",3,IF(Q379="Multiple Choice",4,IF(Q379="Savings",5,IF(Q379="Stem Completion",6,IF(Q379="Fragment Completion",7,IF(Q379="anagram solution",8,IF(Q379="Matching",9,IF(Q379="Problem Solving",10,"99"))))))))))</f>
        <v>4</v>
      </c>
      <c r="S379" s="92" t="s">
        <v>482</v>
      </c>
      <c r="T379" s="92" t="s">
        <v>261</v>
      </c>
      <c r="U379" s="69">
        <f t="shared" ref="U379" si="88">IF(T379="within",1,0)</f>
        <v>0</v>
      </c>
      <c r="V379" s="92">
        <v>12</v>
      </c>
      <c r="W379" s="69">
        <f>F379*V379</f>
        <v>1704</v>
      </c>
      <c r="X379" s="69">
        <v>7</v>
      </c>
      <c r="Y379" s="87">
        <f>AV378</f>
        <v>31536000</v>
      </c>
      <c r="Z379" s="92" t="s">
        <v>484</v>
      </c>
      <c r="AA379" s="69">
        <f>7.5*365*24*60*60</f>
        <v>236520000</v>
      </c>
      <c r="AB379" s="69" t="str">
        <f>IF(AA379&lt;60,"1",IF(AA379&lt;=43200,"2",IF(AA379&lt;=777600,"3","4")))</f>
        <v>4</v>
      </c>
      <c r="AC379" s="72">
        <f>AVERAGE(AV378:DA378)</f>
        <v>78840000</v>
      </c>
      <c r="AD379" s="69" t="str">
        <f>IF(AC379&lt;60,"1",IF(AC379&lt;=43200,"2",IF(AC379&lt;=777600,"3","4")))</f>
        <v>4</v>
      </c>
      <c r="AE379" s="87">
        <f>AA379-Y379</f>
        <v>204984000</v>
      </c>
      <c r="AF379" s="88">
        <f>AV379</f>
        <v>0.56302521008403306</v>
      </c>
      <c r="AG379" s="72">
        <f>((AW379-AV379)+(AX379-AW379)+(AY379-AX379)+(AZ379-AY379)+(BA379-AZ379)+(BB379-BA379))/6</f>
        <v>-6.3916475681181266E-3</v>
      </c>
      <c r="AH379" s="4"/>
      <c r="AI379" s="72">
        <f>RSQ(AV379:BB379,AV378:BB378)</f>
        <v>4.5483388842338616E-4</v>
      </c>
      <c r="AJ379" s="110">
        <f>SLOPE(AV379:BB379,AV378:BB378)</f>
        <v>-1.5754896478113712E-11</v>
      </c>
      <c r="AK379" s="72">
        <f>INTERCEPT(AV379:BB379,AV378:BB378)</f>
        <v>0.52668386465697337</v>
      </c>
      <c r="AL379" s="72">
        <f>INDEX(LINEST(LN(AV379:BB379),LN(AV378:BB378),TRUE,TRUE),3,1)</f>
        <v>2.1561163009798479E-2</v>
      </c>
      <c r="AM379" s="72">
        <f>INDEX(LINEST(LN(AV379:BB379),LN(AV378:BB378)),1)</f>
        <v>-1.4103545186359603E-2</v>
      </c>
      <c r="AN379" s="72">
        <f>EXP(INDEX(LINEST(LN(AV379:BB379),LN(AV378:BB378)),1,2))</f>
        <v>0.67748239269209698</v>
      </c>
      <c r="AO379" s="89">
        <f>INDEX(LINEST((AV379:BB379),LN(AV378:BB378),TRUE,TRUE),3,1)</f>
        <v>2.4395223571680242E-2</v>
      </c>
      <c r="AP379" s="89">
        <f>INDEX(LINEST((AV379:BB379),LN(AV378:BB378)),1)</f>
        <v>-7.9806655138697172E-3</v>
      </c>
      <c r="AQ379" s="90">
        <f>INDEX(LINEST(LN(AV379:BB379),SQRT(AV378:BB378),TRUE,TRUE),3,1)</f>
        <v>5.734222896000671E-3</v>
      </c>
      <c r="AR379" s="117">
        <f>INDEX(LINEST(LN(AV379:BB379),SQRT((AV378:BB378))),1)</f>
        <v>-1.7849346834744763E-6</v>
      </c>
      <c r="AS379" s="91">
        <f>INDEX(LINEST(1/(AV379:BB379),1/(SQRT(AV378:BB378)),TRUE,TRUE),3,1)</f>
        <v>4.485065609036773E-2</v>
      </c>
      <c r="AT379" s="91">
        <f>INDEX(LINEST(1/(AV379:BB379),1/SQRT(AV378:BB378)),1)</f>
        <v>-597.91715196308314</v>
      </c>
      <c r="AU379" s="3"/>
      <c r="AV379" s="97">
        <v>0.56302521008403306</v>
      </c>
      <c r="AW379" s="97">
        <v>0.49985210084033577</v>
      </c>
      <c r="AX379" s="97">
        <v>0.5101260504201679</v>
      </c>
      <c r="AY379" s="97">
        <v>0.51950630252100805</v>
      </c>
      <c r="AZ379" s="97">
        <v>0.50389044506691516</v>
      </c>
      <c r="BA379" s="97">
        <v>0.55701680672268872</v>
      </c>
      <c r="BB379" s="97">
        <v>0.52467532467532429</v>
      </c>
      <c r="BC379" s="177"/>
      <c r="BD379" s="11"/>
      <c r="BE379" s="11"/>
      <c r="BF379" s="11"/>
      <c r="BG379" s="11"/>
      <c r="BH379" s="11"/>
      <c r="BI379" s="11"/>
      <c r="BJ379" s="11"/>
      <c r="BK379" s="11"/>
      <c r="BL379" s="11"/>
      <c r="BM379" s="11"/>
      <c r="BN379" s="11"/>
      <c r="BO379" s="11"/>
      <c r="BP379" s="11"/>
      <c r="BQ379" s="11"/>
      <c r="BR379" s="11"/>
      <c r="BS379" s="11"/>
      <c r="BT379" s="11"/>
      <c r="BU379" s="11"/>
      <c r="BV379" s="11"/>
      <c r="BW379" s="11"/>
      <c r="BX379" s="11"/>
      <c r="BY379" s="11"/>
      <c r="BZ379" s="11"/>
      <c r="CA379" s="11"/>
      <c r="CB379" s="11"/>
      <c r="CC379" s="11"/>
      <c r="CD379" s="11"/>
      <c r="CE379" s="11"/>
      <c r="CF379" s="11"/>
      <c r="CG379" s="11"/>
      <c r="CH379" s="11"/>
      <c r="CI379" s="11"/>
      <c r="CJ379" s="11"/>
      <c r="CK379" s="11"/>
      <c r="CL379" s="11"/>
      <c r="CM379" s="11"/>
      <c r="CN379" s="11"/>
      <c r="CO379" s="11"/>
      <c r="CP379" s="11"/>
      <c r="CQ379" s="11"/>
      <c r="CR379" s="15"/>
      <c r="CS379" s="15"/>
      <c r="CT379" s="15"/>
      <c r="CU379" s="15"/>
    </row>
    <row r="380" spans="1:99" ht="12" customHeight="1" x14ac:dyDescent="0.2">
      <c r="A380" s="68">
        <v>43903</v>
      </c>
      <c r="B380" s="94"/>
      <c r="C380" s="94"/>
      <c r="D380" s="92"/>
      <c r="E380" s="105"/>
      <c r="F380" s="92"/>
      <c r="G380" s="92"/>
      <c r="H380" s="92"/>
      <c r="I380" s="92"/>
      <c r="J380" s="107"/>
      <c r="K380" s="69"/>
      <c r="L380" s="69"/>
      <c r="M380" s="92"/>
      <c r="N380" s="69"/>
      <c r="O380" s="92"/>
      <c r="P380" s="92"/>
      <c r="Q380" s="92"/>
      <c r="R380" s="69"/>
      <c r="S380" s="92"/>
      <c r="T380" s="92"/>
      <c r="U380" s="69"/>
      <c r="V380" s="92"/>
      <c r="W380" s="69"/>
      <c r="X380" s="69"/>
      <c r="Y380" s="87"/>
      <c r="Z380" s="92"/>
      <c r="AA380" s="92"/>
      <c r="AB380" s="69"/>
      <c r="AC380" s="72"/>
      <c r="AD380" s="69"/>
      <c r="AE380" s="69"/>
      <c r="AF380" s="88"/>
      <c r="AG380" s="72"/>
      <c r="AH380" s="4"/>
      <c r="AI380" s="72"/>
      <c r="AJ380" s="110"/>
      <c r="AK380" s="72"/>
      <c r="AL380" s="72"/>
      <c r="AM380" s="72"/>
      <c r="AN380" s="72"/>
      <c r="AO380" s="89"/>
      <c r="AP380" s="89"/>
      <c r="AQ380" s="90"/>
      <c r="AR380" s="117"/>
      <c r="AS380" s="91"/>
      <c r="AT380" s="91"/>
      <c r="AU380" s="3"/>
      <c r="AV380" s="98">
        <v>31536000</v>
      </c>
      <c r="AW380" s="98">
        <v>47304000</v>
      </c>
      <c r="AX380" s="98">
        <v>63072000</v>
      </c>
      <c r="AY380" s="98">
        <v>78840000</v>
      </c>
      <c r="AZ380" s="98">
        <v>94608000</v>
      </c>
      <c r="BA380" s="98">
        <v>110376000</v>
      </c>
      <c r="BB380" s="98">
        <v>126144000</v>
      </c>
      <c r="BC380" s="177"/>
      <c r="BD380" s="11"/>
      <c r="BE380" s="11"/>
      <c r="BF380" s="11"/>
      <c r="BG380" s="11"/>
      <c r="BH380" s="11"/>
      <c r="BI380" s="11"/>
      <c r="BJ380" s="11"/>
      <c r="BK380" s="11"/>
      <c r="BL380" s="11"/>
      <c r="BM380" s="11"/>
      <c r="BN380" s="11"/>
      <c r="BO380" s="11"/>
      <c r="BP380" s="11"/>
      <c r="BQ380" s="11"/>
      <c r="BR380" s="11"/>
      <c r="BS380" s="11"/>
      <c r="BT380" s="11"/>
      <c r="BU380" s="11"/>
      <c r="BV380" s="11"/>
      <c r="BW380" s="11"/>
      <c r="BX380" s="11"/>
      <c r="BY380" s="11"/>
      <c r="BZ380" s="11"/>
      <c r="CA380" s="11"/>
      <c r="CB380" s="11"/>
      <c r="CC380" s="11"/>
      <c r="CD380" s="11"/>
      <c r="CE380" s="11"/>
      <c r="CF380" s="11"/>
      <c r="CG380" s="11"/>
      <c r="CH380" s="11"/>
      <c r="CI380" s="11"/>
      <c r="CJ380" s="11"/>
      <c r="CK380" s="11"/>
      <c r="CL380" s="11"/>
      <c r="CM380" s="11"/>
      <c r="CN380" s="11"/>
      <c r="CO380" s="11"/>
      <c r="CP380" s="11"/>
      <c r="CQ380" s="11"/>
      <c r="CR380" s="15"/>
      <c r="CS380" s="15"/>
      <c r="CT380" s="15"/>
      <c r="CU380" s="15"/>
    </row>
    <row r="381" spans="1:99" ht="12" customHeight="1" x14ac:dyDescent="0.2">
      <c r="A381" s="68">
        <v>43903</v>
      </c>
      <c r="B381" s="94" t="s">
        <v>481</v>
      </c>
      <c r="C381" s="94" t="s">
        <v>262</v>
      </c>
      <c r="D381" s="92">
        <v>2020</v>
      </c>
      <c r="E381" s="105">
        <v>2</v>
      </c>
      <c r="F381" s="92">
        <v>142</v>
      </c>
      <c r="G381" s="92">
        <v>17.75</v>
      </c>
      <c r="H381" s="92" t="s">
        <v>747</v>
      </c>
      <c r="I381" s="92" t="s">
        <v>709</v>
      </c>
      <c r="J381" s="107" t="s">
        <v>483</v>
      </c>
      <c r="K381" s="69">
        <f>IF(J381="syllables",1,IF(J381="trigrams",2,IF(J381="strings",3,IF(J381="visual array",4,IF(J381="characters",5,IF(J381="letters",6,IF(J381="free forms",7,IF(J381="odors",8,IF(J381="words",9,IF(J381="pictures",10,IF(J381="object pictures",11,IF(J381="faces",12,IF(J381="names",13,IF(J381="idioms",14,IF(J381="grades",15,IF(J381="syllable-digit pairs",16,IF(J381="trigram-word pairs",17,IF(J381="word-digit pairs",18,IF(J381="English-Swahili pairs",19,IF(J381="spatial position",20,IF(J381="word pairs",21,IF(J381="word triads",22,IF(J381="generated words",23,IF(J381="word definition pairs",24,IF(J381="math problems",25,IF(J381="famous faces",26,IF(J381="famous names",27,IF(J381="famous voices",28,IF(J381="television programs",29,IF(J381="race horses",30,IF(J381="new vocabulary",31,IF(J381="sentences",32,IF(J381="concepts",33,IF(J381="ad slides",34,IF(J381="scenes",35,IF(J381="famous scenes",36,IF(J381="poems",37,IF(J381="walk",38,IF(J381="faces and events",39,IF(J381="events and names",40,IF(J381="flashbulb",41,IF(J381="stories",42,IF(J381="course material",43,IF(J381="autobiographical",44,IF(J381="novels",45,IF(J381="public events",46,"99"))))))))))))))))))))))))))))))))))))))))))))))</f>
        <v>45</v>
      </c>
      <c r="L381" s="69">
        <f>IF(J381="syllables",1,IF(J381="trigrams",1,IF(J381="strings",1,IF(J381="visual array",1,IF(J381="characters",1,IF(J381="letters",1,IF(J381="free forms",1,IF(J381="odors",2,IF(J381="words",2,IF(J381="pictures",2,IF(J381="object pictures",2,IF(J381="faces",2,IF(J381="names",2,IF(J381="idioms","2",IF(J381="grades",2,IF(J381="syllable-digit pairs",3,IF(J381="trigram-word pairs",3,IF(J381="word-digit pairs",3,IF(J381="English-Swahili pairs",3,IF(J381="spatial position",3,IF(J381="word pairs",4,IF(J381="word triads",4,IF(J381="generated words",4,IF(J381="word definition pairs",4,IF(J381="math problems",4,IF(J381="famous faces",4,IF(J381="famous names",4,IF(J381="famous voices",4,IF(J381="television programs",4,IF(J381="race horses",4,IF(J381="new vocabulary",4,IF(J381="sentences",5,IF(J381="concepts",5,IF(J381="ad slides",5,IF(J381="scenes",5,IF(J381="famous scenes",5,IF(J381="poems",6,IF(J381="walk",6,IF(J381="faces and events",6,IF(J381="events and names",6,IF(J381="flashbulb",7,IF(J381="stories",7,IF(J381="course material",7,IF(J381="autobiographical",7,IF(J381="novels",7,IF(J381="public events",7,"99"))))))))))))))))))))))))))))))))))))))))))))))</f>
        <v>7</v>
      </c>
      <c r="M381" s="92">
        <v>0</v>
      </c>
      <c r="N381" s="69">
        <v>3</v>
      </c>
      <c r="O381" s="92">
        <v>0</v>
      </c>
      <c r="P381" s="92"/>
      <c r="Q381" s="92" t="s">
        <v>182</v>
      </c>
      <c r="R381" s="69">
        <f>IF(Q381="Free Recall",1,IF(Q381="Cued Recall",2,IF(Q381="Recognition",3,IF(Q381="Multiple Choice",4,IF(Q381="Savings",5,IF(Q381="Stem Completion",6,IF(Q381="Fragment Completion",7,IF(Q381="anagram solution",8,IF(Q381="Matching",9,IF(Q381="Problem Solving",10,"99"))))))))))</f>
        <v>4</v>
      </c>
      <c r="S381" s="92" t="s">
        <v>482</v>
      </c>
      <c r="T381" s="92" t="s">
        <v>261</v>
      </c>
      <c r="U381" s="69">
        <f t="shared" ref="U381" si="89">IF(T381="within",1,0)</f>
        <v>0</v>
      </c>
      <c r="V381" s="92">
        <v>12</v>
      </c>
      <c r="W381" s="69">
        <f>F381*V381</f>
        <v>1704</v>
      </c>
      <c r="X381" s="69">
        <v>7</v>
      </c>
      <c r="Y381" s="87">
        <f>AV380</f>
        <v>31536000</v>
      </c>
      <c r="Z381" s="92" t="s">
        <v>484</v>
      </c>
      <c r="AA381" s="69">
        <f>7.5*365*24*60*60</f>
        <v>236520000</v>
      </c>
      <c r="AB381" s="69" t="str">
        <f>IF(AA381&lt;60,"1",IF(AA381&lt;=43200,"2",IF(AA381&lt;=777600,"3","4")))</f>
        <v>4</v>
      </c>
      <c r="AC381" s="72">
        <f>AVERAGE(AV380:DA380)</f>
        <v>78840000</v>
      </c>
      <c r="AD381" s="69" t="str">
        <f>IF(AC381&lt;60,"1",IF(AC381&lt;=43200,"2",IF(AC381&lt;=777600,"3","4")))</f>
        <v>4</v>
      </c>
      <c r="AE381" s="87">
        <f>AA381-Y381</f>
        <v>204984000</v>
      </c>
      <c r="AF381" s="88">
        <f>AV381</f>
        <v>0.61089743589743573</v>
      </c>
      <c r="AG381" s="72">
        <f>((AW381-AV381)+(AX381-AW381)+(AY381-AX381)+(AZ381-AY381)+(BA381-AZ381)+(BB381-BA381))/6</f>
        <v>-2.1085858585858624E-2</v>
      </c>
      <c r="AH381" s="4"/>
      <c r="AI381" s="72">
        <f>RSQ(AV381:BB381,AV380:BB380)</f>
        <v>0.2246856686823101</v>
      </c>
      <c r="AJ381" s="110">
        <f>SLOPE(AV381:BB381,AV380:BB380)</f>
        <v>-7.9431203516904562E-10</v>
      </c>
      <c r="AK381" s="72">
        <f>INTERCEPT(AV381:BB381,AV380:BB380)</f>
        <v>0.56137954483787778</v>
      </c>
      <c r="AL381" s="72">
        <f>INDEX(LINEST(LN(AV381:BB381),LN(AV380:BB380),TRUE,TRUE),3,1)</f>
        <v>0.32049606414750936</v>
      </c>
      <c r="AM381" s="72">
        <f>INDEX(LINEST(LN(AV381:BB381),LN(AV380:BB380)),1)</f>
        <v>-0.12571446897933886</v>
      </c>
      <c r="AN381" s="72">
        <f>EXP(INDEX(LINEST(LN(AV381:BB381),LN(AV380:BB380)),1,2))</f>
        <v>4.8213811226250218</v>
      </c>
      <c r="AO381" s="89">
        <f>INDEX(LINEST((AV381:BB381),LN(AV380:BB380),TRUE,TRUE),3,1)</f>
        <v>0.35064080833738442</v>
      </c>
      <c r="AP381" s="89">
        <f>INDEX(LINEST((AV381:BB381),LN(AV380:BB380)),1)</f>
        <v>-6.8632883847185397E-2</v>
      </c>
      <c r="AQ381" s="90">
        <f>INDEX(LINEST(LN(AV381:BB381),SQRT(AV380:BB380),TRUE,TRUE),3,1)</f>
        <v>0.25663056785626587</v>
      </c>
      <c r="AR381" s="117">
        <f>INDEX(LINEST(LN(AV381:BB381),SQRT((AV380:BB380))),1)</f>
        <v>-2.7607110140280592E-5</v>
      </c>
      <c r="AS381" s="91">
        <f>INDEX(LINEST(1/(AV381:BB381),1/(SQRT(AV380:BB380)),TRUE,TRUE),3,1)</f>
        <v>0.35388941643019822</v>
      </c>
      <c r="AT381" s="91">
        <f>INDEX(LINEST(1/(AV381:BB381),1/SQRT(AV380:BB380)),1)</f>
        <v>-3997.1067616601094</v>
      </c>
      <c r="AU381" s="3"/>
      <c r="AV381" s="97">
        <v>0.61089743589743573</v>
      </c>
      <c r="AW381" s="97">
        <v>0.48548717948717912</v>
      </c>
      <c r="AX381" s="97">
        <v>0.44086538461538405</v>
      </c>
      <c r="AY381" s="97">
        <v>0.52512019230769191</v>
      </c>
      <c r="AZ381" s="97">
        <v>0.44838556505223143</v>
      </c>
      <c r="BA381" s="97">
        <v>0.49615384615384589</v>
      </c>
      <c r="BB381" s="97">
        <v>0.48438228438228398</v>
      </c>
      <c r="BC381" s="177"/>
      <c r="BD381" s="11"/>
      <c r="BE381" s="11"/>
      <c r="BF381" s="11"/>
      <c r="BG381" s="11"/>
      <c r="BH381" s="11"/>
      <c r="BI381" s="11"/>
      <c r="BJ381" s="11"/>
      <c r="BK381" s="11"/>
      <c r="BL381" s="11"/>
      <c r="BM381" s="11"/>
      <c r="BN381" s="11"/>
      <c r="BO381" s="11"/>
      <c r="BP381" s="11"/>
      <c r="BQ381" s="11"/>
      <c r="BR381" s="11"/>
      <c r="BS381" s="11"/>
      <c r="BT381" s="11"/>
      <c r="BU381" s="11"/>
      <c r="BV381" s="11"/>
      <c r="BW381" s="11"/>
      <c r="BX381" s="11"/>
      <c r="BY381" s="11"/>
      <c r="BZ381" s="11"/>
      <c r="CA381" s="11"/>
      <c r="CB381" s="11"/>
      <c r="CC381" s="11"/>
      <c r="CD381" s="11"/>
      <c r="CE381" s="11"/>
      <c r="CF381" s="11"/>
      <c r="CG381" s="11"/>
      <c r="CH381" s="11"/>
      <c r="CI381" s="11"/>
      <c r="CJ381" s="11"/>
      <c r="CK381" s="11"/>
      <c r="CL381" s="11"/>
      <c r="CM381" s="11"/>
      <c r="CN381" s="11"/>
      <c r="CO381" s="11"/>
      <c r="CP381" s="11"/>
      <c r="CQ381" s="11"/>
      <c r="CR381" s="15"/>
      <c r="CS381" s="15"/>
      <c r="CT381" s="15"/>
      <c r="CU381" s="15"/>
    </row>
    <row r="382" spans="1:99" ht="12" customHeight="1" x14ac:dyDescent="0.2">
      <c r="A382" s="68">
        <v>43903</v>
      </c>
      <c r="B382" s="94"/>
      <c r="C382" s="94"/>
      <c r="D382" s="92"/>
      <c r="E382" s="105"/>
      <c r="F382" s="92"/>
      <c r="G382" s="92"/>
      <c r="H382" s="92"/>
      <c r="I382" s="92"/>
      <c r="J382" s="107"/>
      <c r="K382" s="69"/>
      <c r="L382" s="69"/>
      <c r="M382" s="92"/>
      <c r="N382" s="69"/>
      <c r="O382" s="92"/>
      <c r="P382" s="92"/>
      <c r="Q382" s="92"/>
      <c r="R382" s="69"/>
      <c r="S382" s="92"/>
      <c r="T382" s="92"/>
      <c r="U382" s="69"/>
      <c r="V382" s="92"/>
      <c r="W382" s="69"/>
      <c r="X382" s="69"/>
      <c r="Y382" s="87"/>
      <c r="Z382" s="92"/>
      <c r="AA382" s="92"/>
      <c r="AB382" s="69"/>
      <c r="AC382" s="72"/>
      <c r="AD382" s="69"/>
      <c r="AE382" s="69"/>
      <c r="AF382" s="88"/>
      <c r="AG382" s="72"/>
      <c r="AH382" s="4"/>
      <c r="AI382" s="72"/>
      <c r="AJ382" s="110"/>
      <c r="AK382" s="72"/>
      <c r="AL382" s="72"/>
      <c r="AM382" s="72"/>
      <c r="AN382" s="72"/>
      <c r="AO382" s="89"/>
      <c r="AP382" s="89"/>
      <c r="AQ382" s="90"/>
      <c r="AR382" s="117"/>
      <c r="AS382" s="91"/>
      <c r="AT382" s="91"/>
      <c r="AU382" s="3"/>
      <c r="AV382" s="98">
        <v>31536000</v>
      </c>
      <c r="AW382" s="98">
        <v>47304000</v>
      </c>
      <c r="AX382" s="98">
        <v>63072000</v>
      </c>
      <c r="AY382" s="98">
        <v>78840000</v>
      </c>
      <c r="AZ382" s="98">
        <v>94608000</v>
      </c>
      <c r="BA382" s="98">
        <v>110376000</v>
      </c>
      <c r="BB382" s="98">
        <v>126144000</v>
      </c>
      <c r="BC382" s="177"/>
      <c r="BD382" s="11"/>
      <c r="BE382" s="11"/>
      <c r="BF382" s="11"/>
      <c r="BG382" s="11"/>
      <c r="BH382" s="11"/>
      <c r="BI382" s="11"/>
      <c r="BJ382" s="11"/>
      <c r="BK382" s="11"/>
      <c r="BL382" s="11"/>
      <c r="BM382" s="11"/>
      <c r="BN382" s="11"/>
      <c r="BO382" s="11"/>
      <c r="BP382" s="11"/>
      <c r="BQ382" s="11"/>
      <c r="BR382" s="11"/>
      <c r="BS382" s="11"/>
      <c r="BT382" s="11"/>
      <c r="BU382" s="11"/>
      <c r="BV382" s="11"/>
      <c r="BW382" s="11"/>
      <c r="BX382" s="11"/>
      <c r="BY382" s="11"/>
      <c r="BZ382" s="11"/>
      <c r="CA382" s="11"/>
      <c r="CB382" s="11"/>
      <c r="CC382" s="11"/>
      <c r="CD382" s="11"/>
      <c r="CE382" s="11"/>
      <c r="CF382" s="11"/>
      <c r="CG382" s="11"/>
      <c r="CH382" s="11"/>
      <c r="CI382" s="11"/>
      <c r="CJ382" s="11"/>
      <c r="CK382" s="11"/>
      <c r="CL382" s="11"/>
      <c r="CM382" s="11"/>
      <c r="CN382" s="11"/>
      <c r="CO382" s="11"/>
      <c r="CP382" s="11"/>
      <c r="CQ382" s="11"/>
      <c r="CR382" s="15"/>
      <c r="CS382" s="15"/>
      <c r="CT382" s="15"/>
      <c r="CU382" s="15"/>
    </row>
    <row r="383" spans="1:99" ht="12" customHeight="1" x14ac:dyDescent="0.2">
      <c r="A383" s="68">
        <v>43903</v>
      </c>
      <c r="B383" s="94" t="s">
        <v>481</v>
      </c>
      <c r="C383" s="94" t="s">
        <v>262</v>
      </c>
      <c r="D383" s="92">
        <v>2020</v>
      </c>
      <c r="E383" s="105">
        <v>2</v>
      </c>
      <c r="F383" s="92">
        <v>142</v>
      </c>
      <c r="G383" s="92">
        <v>17.75</v>
      </c>
      <c r="H383" s="92" t="s">
        <v>747</v>
      </c>
      <c r="I383" s="92" t="s">
        <v>864</v>
      </c>
      <c r="J383" s="107" t="s">
        <v>483</v>
      </c>
      <c r="K383" s="69">
        <f>IF(J383="syllables",1,IF(J383="trigrams",2,IF(J383="strings",3,IF(J383="visual array",4,IF(J383="characters",5,IF(J383="letters",6,IF(J383="free forms",7,IF(J383="odors",8,IF(J383="words",9,IF(J383="pictures",10,IF(J383="object pictures",11,IF(J383="faces",12,IF(J383="names",13,IF(J383="idioms",14,IF(J383="grades",15,IF(J383="syllable-digit pairs",16,IF(J383="trigram-word pairs",17,IF(J383="word-digit pairs",18,IF(J383="English-Swahili pairs",19,IF(J383="spatial position",20,IF(J383="word pairs",21,IF(J383="word triads",22,IF(J383="generated words",23,IF(J383="word definition pairs",24,IF(J383="math problems",25,IF(J383="famous faces",26,IF(J383="famous names",27,IF(J383="famous voices",28,IF(J383="television programs",29,IF(J383="race horses",30,IF(J383="new vocabulary",31,IF(J383="sentences",32,IF(J383="concepts",33,IF(J383="ad slides",34,IF(J383="scenes",35,IF(J383="famous scenes",36,IF(J383="poems",37,IF(J383="walk",38,IF(J383="faces and events",39,IF(J383="events and names",40,IF(J383="flashbulb",41,IF(J383="stories",42,IF(J383="course material",43,IF(J383="autobiographical",44,IF(J383="novels",45,IF(J383="public events",46,"99"))))))))))))))))))))))))))))))))))))))))))))))</f>
        <v>45</v>
      </c>
      <c r="L383" s="69">
        <f>IF(J383="syllables",1,IF(J383="trigrams",1,IF(J383="strings",1,IF(J383="visual array",1,IF(J383="characters",1,IF(J383="letters",1,IF(J383="free forms",1,IF(J383="odors",2,IF(J383="words",2,IF(J383="pictures",2,IF(J383="object pictures",2,IF(J383="faces",2,IF(J383="names",2,IF(J383="idioms","2",IF(J383="grades",2,IF(J383="syllable-digit pairs",3,IF(J383="trigram-word pairs",3,IF(J383="word-digit pairs",3,IF(J383="English-Swahili pairs",3,IF(J383="spatial position",3,IF(J383="word pairs",4,IF(J383="word triads",4,IF(J383="generated words",4,IF(J383="word definition pairs",4,IF(J383="math problems",4,IF(J383="famous faces",4,IF(J383="famous names",4,IF(J383="famous voices",4,IF(J383="television programs",4,IF(J383="race horses",4,IF(J383="new vocabulary",4,IF(J383="sentences",5,IF(J383="concepts",5,IF(J383="ad slides",5,IF(J383="scenes",5,IF(J383="famous scenes",5,IF(J383="poems",6,IF(J383="walk",6,IF(J383="faces and events",6,IF(J383="events and names",6,IF(J383="flashbulb",7,IF(J383="stories",7,IF(J383="course material",7,IF(J383="autobiographical",7,IF(J383="novels",7,IF(J383="public events",7,"99"))))))))))))))))))))))))))))))))))))))))))))))</f>
        <v>7</v>
      </c>
      <c r="M383" s="92">
        <v>0</v>
      </c>
      <c r="N383" s="69">
        <v>3</v>
      </c>
      <c r="O383" s="92">
        <v>0</v>
      </c>
      <c r="P383" s="92"/>
      <c r="Q383" s="92" t="s">
        <v>182</v>
      </c>
      <c r="R383" s="69">
        <f>IF(Q383="Free Recall",1,IF(Q383="Cued Recall",2,IF(Q383="Recognition",3,IF(Q383="Multiple Choice",4,IF(Q383="Savings",5,IF(Q383="Stem Completion",6,IF(Q383="Fragment Completion",7,IF(Q383="anagram solution",8,IF(Q383="Matching",9,IF(Q383="Problem Solving",10,"99"))))))))))</f>
        <v>4</v>
      </c>
      <c r="S383" s="92" t="s">
        <v>482</v>
      </c>
      <c r="T383" s="92" t="s">
        <v>261</v>
      </c>
      <c r="U383" s="69">
        <f t="shared" ref="U383" si="90">IF(T383="within",1,0)</f>
        <v>0</v>
      </c>
      <c r="V383" s="92">
        <v>12</v>
      </c>
      <c r="W383" s="69">
        <f>F383*V383</f>
        <v>1704</v>
      </c>
      <c r="X383" s="69">
        <v>7</v>
      </c>
      <c r="Y383" s="87">
        <f>AV382</f>
        <v>31536000</v>
      </c>
      <c r="Z383" s="92" t="s">
        <v>484</v>
      </c>
      <c r="AA383" s="69">
        <f>7.5*365*24*60*60</f>
        <v>236520000</v>
      </c>
      <c r="AB383" s="69" t="str">
        <f>IF(AA383&lt;60,"1",IF(AA383&lt;=43200,"2",IF(AA383&lt;=777600,"3","4")))</f>
        <v>4</v>
      </c>
      <c r="AC383" s="72">
        <f>AVERAGE(AV382:DA382)</f>
        <v>78840000</v>
      </c>
      <c r="AD383" s="69" t="str">
        <f>IF(AC383&lt;60,"1",IF(AC383&lt;=43200,"2",IF(AC383&lt;=777600,"3","4")))</f>
        <v>4</v>
      </c>
      <c r="AE383" s="87">
        <f>AA383-Y383</f>
        <v>204984000</v>
      </c>
      <c r="AF383" s="88">
        <f>AV383</f>
        <v>0.64407894736842075</v>
      </c>
      <c r="AG383" s="72">
        <f>((AW383-AV383)+(AX383-AW383)+(AY383-AX383)+(AZ383-AY383)+(BA383-AZ383)+(BB383-BA383))/6</f>
        <v>-1.4908958001063252E-2</v>
      </c>
      <c r="AH383" s="4"/>
      <c r="AI383" s="72">
        <f>RSQ(AV383:BB383,AV382:BB382)</f>
        <v>0.3671788319735072</v>
      </c>
      <c r="AJ383" s="110">
        <f>SLOPE(AV383:BB383,AV382:BB382)</f>
        <v>-5.503408239636453E-10</v>
      </c>
      <c r="AK383" s="72">
        <f>INTERCEPT(AV383:BB383,AV382:BB382)</f>
        <v>0.62729996287013789</v>
      </c>
      <c r="AL383" s="72">
        <f>INDEX(LINEST(LN(AV383:BB383),LN(AV382:BB382),TRUE,TRUE),3,1)</f>
        <v>0.45307473611146498</v>
      </c>
      <c r="AM383" s="72">
        <f>INDEX(LINEST(LN(AV383:BB383),LN(AV382:BB382)),1)</f>
        <v>-7.0723711191251898E-2</v>
      </c>
      <c r="AN383" s="72">
        <f>EXP(INDEX(LINEST(LN(AV383:BB383),LN(AV382:BB382)),1,2))</f>
        <v>2.0961644786070162</v>
      </c>
      <c r="AO383" s="89">
        <f>INDEX(LINEST((AV383:BB383),LN(AV382:BB382),TRUE,TRUE),3,1)</f>
        <v>0.46146596522157385</v>
      </c>
      <c r="AP383" s="89">
        <f>INDEX(LINEST((AV383:BB383),LN(AV382:BB382)),1)</f>
        <v>-4.267370111605745E-2</v>
      </c>
      <c r="AQ383" s="90">
        <f>INDEX(LINEST(LN(AV383:BB383),SQRT(AV382:BB382),TRUE,TRUE),3,1)</f>
        <v>0.40554077618771556</v>
      </c>
      <c r="AR383" s="117">
        <f>INDEX(LINEST(LN(AV383:BB383),SQRT((AV382:BB382))),1)</f>
        <v>-1.6420645425455173E-5</v>
      </c>
      <c r="AS383" s="91">
        <f>INDEX(LINEST(1/(AV383:BB383),1/(SQRT(AV382:BB382)),TRUE,TRUE),3,1)</f>
        <v>0.4912426990367374</v>
      </c>
      <c r="AT383" s="91">
        <f>INDEX(LINEST(1/(AV383:BB383),1/SQRT(AV382:BB382)),1)</f>
        <v>-1928.2264927294427</v>
      </c>
      <c r="AU383" s="3"/>
      <c r="AV383" s="97">
        <v>0.64407894736842075</v>
      </c>
      <c r="AW383" s="97">
        <v>0.57732456140350841</v>
      </c>
      <c r="AX383" s="97">
        <v>0.55587536549707572</v>
      </c>
      <c r="AY383" s="97">
        <v>0.60125411184210475</v>
      </c>
      <c r="AZ383" s="97">
        <v>0.57253086419753052</v>
      </c>
      <c r="BA383" s="97">
        <v>0.58168859649122762</v>
      </c>
      <c r="BB383" s="97">
        <v>0.55462519936204124</v>
      </c>
      <c r="BC383" s="177"/>
      <c r="BD383" s="11"/>
      <c r="BE383" s="11"/>
      <c r="BF383" s="11"/>
      <c r="BG383" s="11"/>
      <c r="BH383" s="11"/>
      <c r="BI383" s="11"/>
      <c r="BJ383" s="11"/>
      <c r="BK383" s="11"/>
      <c r="BL383" s="11"/>
      <c r="BM383" s="11"/>
      <c r="BN383" s="11"/>
      <c r="BO383" s="11"/>
      <c r="BP383" s="11"/>
      <c r="BQ383" s="11"/>
      <c r="BR383" s="11"/>
      <c r="BS383" s="11"/>
      <c r="BT383" s="11"/>
      <c r="BU383" s="11"/>
      <c r="BV383" s="11"/>
      <c r="BW383" s="11"/>
      <c r="BX383" s="11"/>
      <c r="BY383" s="11"/>
      <c r="BZ383" s="11"/>
      <c r="CA383" s="11"/>
      <c r="CB383" s="11"/>
      <c r="CC383" s="11"/>
      <c r="CD383" s="11"/>
      <c r="CE383" s="11"/>
      <c r="CF383" s="11"/>
      <c r="CG383" s="11"/>
      <c r="CH383" s="11"/>
      <c r="CI383" s="11"/>
      <c r="CJ383" s="11"/>
      <c r="CK383" s="11"/>
      <c r="CL383" s="11"/>
      <c r="CM383" s="11"/>
      <c r="CN383" s="11"/>
      <c r="CO383" s="11"/>
      <c r="CP383" s="11"/>
      <c r="CQ383" s="11"/>
      <c r="CR383" s="15"/>
      <c r="CS383" s="15"/>
      <c r="CT383" s="15"/>
      <c r="CU383" s="15"/>
    </row>
    <row r="384" spans="1:99" ht="12" customHeight="1" x14ac:dyDescent="0.2">
      <c r="A384" s="68">
        <v>43903</v>
      </c>
      <c r="B384" s="94"/>
      <c r="C384" s="94"/>
      <c r="D384" s="92"/>
      <c r="E384" s="105"/>
      <c r="F384" s="92"/>
      <c r="G384" s="92"/>
      <c r="H384" s="92"/>
      <c r="I384" s="92"/>
      <c r="J384" s="107"/>
      <c r="K384" s="69"/>
      <c r="L384" s="69"/>
      <c r="M384" s="92"/>
      <c r="N384" s="69"/>
      <c r="O384" s="92"/>
      <c r="P384" s="92"/>
      <c r="Q384" s="92"/>
      <c r="R384" s="69"/>
      <c r="S384" s="92"/>
      <c r="T384" s="92"/>
      <c r="U384" s="69"/>
      <c r="V384" s="92"/>
      <c r="W384" s="69"/>
      <c r="X384" s="69"/>
      <c r="Y384" s="87"/>
      <c r="Z384" s="92"/>
      <c r="AA384" s="92"/>
      <c r="AB384" s="69"/>
      <c r="AC384" s="72"/>
      <c r="AD384" s="69"/>
      <c r="AE384" s="69"/>
      <c r="AF384" s="88"/>
      <c r="AG384" s="72"/>
      <c r="AH384" s="4"/>
      <c r="AI384" s="72"/>
      <c r="AJ384" s="110"/>
      <c r="AK384" s="72"/>
      <c r="AL384" s="72"/>
      <c r="AM384" s="72"/>
      <c r="AN384" s="72"/>
      <c r="AO384" s="89"/>
      <c r="AP384" s="89"/>
      <c r="AQ384" s="90"/>
      <c r="AR384" s="117"/>
      <c r="AS384" s="91"/>
      <c r="AT384" s="91"/>
      <c r="AU384" s="3"/>
      <c r="AV384" s="98">
        <v>31536000</v>
      </c>
      <c r="AW384" s="98">
        <v>47304000</v>
      </c>
      <c r="AX384" s="98">
        <v>63072000</v>
      </c>
      <c r="AY384" s="98">
        <v>78840000</v>
      </c>
      <c r="AZ384" s="98">
        <v>94608000</v>
      </c>
      <c r="BA384" s="98">
        <v>110376000</v>
      </c>
      <c r="BB384" s="98">
        <v>126144000</v>
      </c>
      <c r="BC384" s="177"/>
      <c r="BD384" s="11"/>
      <c r="BE384" s="11"/>
      <c r="BF384" s="11"/>
      <c r="BG384" s="11"/>
      <c r="BH384" s="11"/>
      <c r="BI384" s="11"/>
      <c r="BJ384" s="11"/>
      <c r="BK384" s="11"/>
      <c r="BL384" s="11"/>
      <c r="BM384" s="11"/>
      <c r="BN384" s="11"/>
      <c r="BO384" s="11"/>
      <c r="BP384" s="11"/>
      <c r="BQ384" s="11"/>
      <c r="BR384" s="11"/>
      <c r="BS384" s="11"/>
      <c r="BT384" s="11"/>
      <c r="BU384" s="11"/>
      <c r="BV384" s="11"/>
      <c r="BW384" s="11"/>
      <c r="BX384" s="11"/>
      <c r="BY384" s="11"/>
      <c r="BZ384" s="11"/>
      <c r="CA384" s="11"/>
      <c r="CB384" s="11"/>
      <c r="CC384" s="11"/>
      <c r="CD384" s="11"/>
      <c r="CE384" s="11"/>
      <c r="CF384" s="11"/>
      <c r="CG384" s="11"/>
      <c r="CH384" s="11"/>
      <c r="CI384" s="11"/>
      <c r="CJ384" s="11"/>
      <c r="CK384" s="11"/>
      <c r="CL384" s="11"/>
      <c r="CM384" s="11"/>
      <c r="CN384" s="11"/>
      <c r="CO384" s="11"/>
      <c r="CP384" s="11"/>
      <c r="CQ384" s="11"/>
      <c r="CR384" s="15"/>
      <c r="CS384" s="15"/>
      <c r="CT384" s="15"/>
      <c r="CU384" s="15"/>
    </row>
    <row r="385" spans="1:99" ht="12" customHeight="1" x14ac:dyDescent="0.2">
      <c r="A385" s="68">
        <v>43903</v>
      </c>
      <c r="B385" s="94" t="s">
        <v>481</v>
      </c>
      <c r="C385" s="94" t="s">
        <v>262</v>
      </c>
      <c r="D385" s="92">
        <v>2020</v>
      </c>
      <c r="E385" s="105">
        <v>2</v>
      </c>
      <c r="F385" s="92">
        <v>142</v>
      </c>
      <c r="G385" s="92">
        <v>17.75</v>
      </c>
      <c r="H385" s="92" t="s">
        <v>747</v>
      </c>
      <c r="I385" s="92" t="s">
        <v>719</v>
      </c>
      <c r="J385" s="107" t="s">
        <v>483</v>
      </c>
      <c r="K385" s="69">
        <f>IF(J385="syllables",1,IF(J385="trigrams",2,IF(J385="strings",3,IF(J385="visual array",4,IF(J385="characters",5,IF(J385="letters",6,IF(J385="free forms",7,IF(J385="odors",8,IF(J385="words",9,IF(J385="pictures",10,IF(J385="object pictures",11,IF(J385="faces",12,IF(J385="names",13,IF(J385="idioms",14,IF(J385="grades",15,IF(J385="syllable-digit pairs",16,IF(J385="trigram-word pairs",17,IF(J385="word-digit pairs",18,IF(J385="English-Swahili pairs",19,IF(J385="spatial position",20,IF(J385="word pairs",21,IF(J385="word triads",22,IF(J385="generated words",23,IF(J385="word definition pairs",24,IF(J385="math problems",25,IF(J385="famous faces",26,IF(J385="famous names",27,IF(J385="famous voices",28,IF(J385="television programs",29,IF(J385="race horses",30,IF(J385="new vocabulary",31,IF(J385="sentences",32,IF(J385="concepts",33,IF(J385="ad slides",34,IF(J385="scenes",35,IF(J385="famous scenes",36,IF(J385="poems",37,IF(J385="walk",38,IF(J385="faces and events",39,IF(J385="events and names",40,IF(J385="flashbulb",41,IF(J385="stories",42,IF(J385="course material",43,IF(J385="autobiographical",44,IF(J385="novels",45,IF(J385="public events",46,"99"))))))))))))))))))))))))))))))))))))))))))))))</f>
        <v>45</v>
      </c>
      <c r="L385" s="69">
        <f>IF(J385="syllables",1,IF(J385="trigrams",1,IF(J385="strings",1,IF(J385="visual array",1,IF(J385="characters",1,IF(J385="letters",1,IF(J385="free forms",1,IF(J385="odors",2,IF(J385="words",2,IF(J385="pictures",2,IF(J385="object pictures",2,IF(J385="faces",2,IF(J385="names",2,IF(J385="idioms","2",IF(J385="grades",2,IF(J385="syllable-digit pairs",3,IF(J385="trigram-word pairs",3,IF(J385="word-digit pairs",3,IF(J385="English-Swahili pairs",3,IF(J385="spatial position",3,IF(J385="word pairs",4,IF(J385="word triads",4,IF(J385="generated words",4,IF(J385="word definition pairs",4,IF(J385="math problems",4,IF(J385="famous faces",4,IF(J385="famous names",4,IF(J385="famous voices",4,IF(J385="television programs",4,IF(J385="race horses",4,IF(J385="new vocabulary",4,IF(J385="sentences",5,IF(J385="concepts",5,IF(J385="ad slides",5,IF(J385="scenes",5,IF(J385="famous scenes",5,IF(J385="poems",6,IF(J385="walk",6,IF(J385="faces and events",6,IF(J385="events and names",6,IF(J385="flashbulb",7,IF(J385="stories",7,IF(J385="course material",7,IF(J385="autobiographical",7,IF(J385="novels",7,IF(J385="public events",7,"99"))))))))))))))))))))))))))))))))))))))))))))))</f>
        <v>7</v>
      </c>
      <c r="M385" s="92">
        <v>0</v>
      </c>
      <c r="N385" s="69">
        <v>3</v>
      </c>
      <c r="O385" s="92">
        <v>0</v>
      </c>
      <c r="P385" s="92"/>
      <c r="Q385" s="92" t="s">
        <v>182</v>
      </c>
      <c r="R385" s="69">
        <f>IF(Q385="Free Recall",1,IF(Q385="Cued Recall",2,IF(Q385="Recognition",3,IF(Q385="Multiple Choice",4,IF(Q385="Savings",5,IF(Q385="Stem Completion",6,IF(Q385="Fragment Completion",7,IF(Q385="anagram solution",8,IF(Q385="Matching",9,IF(Q385="Problem Solving",10,"99"))))))))))</f>
        <v>4</v>
      </c>
      <c r="S385" s="92" t="s">
        <v>482</v>
      </c>
      <c r="T385" s="92" t="s">
        <v>261</v>
      </c>
      <c r="U385" s="69">
        <f t="shared" ref="U385" si="91">IF(T385="within",1,0)</f>
        <v>0</v>
      </c>
      <c r="V385" s="92">
        <v>12</v>
      </c>
      <c r="W385" s="69">
        <f>F385*V385</f>
        <v>1704</v>
      </c>
      <c r="X385" s="69">
        <v>7</v>
      </c>
      <c r="Y385" s="87">
        <f>AV384</f>
        <v>31536000</v>
      </c>
      <c r="Z385" s="92" t="s">
        <v>484</v>
      </c>
      <c r="AA385" s="69">
        <f>7.5*365*24*60*60</f>
        <v>236520000</v>
      </c>
      <c r="AB385" s="69" t="str">
        <f>IF(AA385&lt;60,"1",IF(AA385&lt;=43200,"2",IF(AA385&lt;=777600,"3","4")))</f>
        <v>4</v>
      </c>
      <c r="AC385" s="72">
        <f>AVERAGE(AV384:DA384)</f>
        <v>78840000</v>
      </c>
      <c r="AD385" s="69" t="str">
        <f>IF(AC385&lt;60,"1",IF(AC385&lt;=43200,"2",IF(AC385&lt;=777600,"3","4")))</f>
        <v>4</v>
      </c>
      <c r="AE385" s="87">
        <f>AA385-Y385</f>
        <v>204984000</v>
      </c>
      <c r="AF385" s="88">
        <f>AV385</f>
        <v>0.49855769230769198</v>
      </c>
      <c r="AG385" s="72">
        <f>((AW385-AV385)+(AX385-AW385)+(AY385-AX385)+(AZ385-AY385)+(BA385-AZ385)+(BB385-BA385))/6</f>
        <v>-1.2985972360972384E-2</v>
      </c>
      <c r="AH385" s="4"/>
      <c r="AI385" s="72">
        <f>RSQ(AV385:BB385,AV384:BB384)</f>
        <v>0.1922365713238566</v>
      </c>
      <c r="AJ385" s="110">
        <f>SLOPE(AV385:BB385,AV384:BB384)</f>
        <v>-5.6455537181646165E-10</v>
      </c>
      <c r="AK385" s="72">
        <f>INTERCEPT(AV385:BB385,AV384:BB384)</f>
        <v>0.45250797193877512</v>
      </c>
      <c r="AL385" s="72">
        <f>INDEX(LINEST(LN(AV385:BB385),LN(AV384:BB384),TRUE,TRUE),3,1)</f>
        <v>0.29351715217494045</v>
      </c>
      <c r="AM385" s="72">
        <f>INDEX(LINEST(LN(AV385:BB385),LN(AV384:BB384)),1)</f>
        <v>-0.11173740271049858</v>
      </c>
      <c r="AN385" s="72">
        <f>EXP(INDEX(LINEST(LN(AV385:BB385),LN(AV384:BB384)),1,2))</f>
        <v>3.0650789980858821</v>
      </c>
      <c r="AO385" s="89">
        <f>INDEX(LINEST((AV385:BB385),LN(AV384:BB384),TRUE,TRUE),3,1)</f>
        <v>0.31904338742696825</v>
      </c>
      <c r="AP385" s="89">
        <f>INDEX(LINEST((AV385:BB385),LN(AV384:BB384)),1)</f>
        <v>-5.0304979175589619E-2</v>
      </c>
      <c r="AQ385" s="90">
        <f>INDEX(LINEST(LN(AV385:BB385),SQRT(AV384:BB384),TRUE,TRUE),3,1)</f>
        <v>0.22954726283324439</v>
      </c>
      <c r="AR385" s="117">
        <f>INDEX(LINEST(LN(AV385:BB385),SQRT((AV384:BB384))),1)</f>
        <v>-2.4249943402447946E-5</v>
      </c>
      <c r="AS385" s="91">
        <f>INDEX(LINEST(1/(AV385:BB385),1/(SQRT(AV384:BB384)),TRUE,TRUE),3,1)</f>
        <v>0.332281323965886</v>
      </c>
      <c r="AT385" s="91">
        <f>INDEX(LINEST(1/(AV385:BB385),1/SQRT(AV384:BB384)),1)</f>
        <v>-4340.9653537803342</v>
      </c>
      <c r="AU385" s="3"/>
      <c r="AV385" s="97">
        <v>0.49855769230769198</v>
      </c>
      <c r="AW385" s="97">
        <v>0.37162087912087871</v>
      </c>
      <c r="AX385" s="97">
        <v>0.40230082417582363</v>
      </c>
      <c r="AY385" s="97">
        <v>0.4014208447802195</v>
      </c>
      <c r="AZ385" s="97">
        <v>0.39285714285714246</v>
      </c>
      <c r="BA385" s="97">
        <v>0.36858974358974322</v>
      </c>
      <c r="BB385" s="97">
        <v>0.42064185814185767</v>
      </c>
      <c r="BC385" s="177"/>
      <c r="BD385" s="11"/>
      <c r="BE385" s="11"/>
      <c r="BF385" s="11"/>
      <c r="BG385" s="11"/>
      <c r="BH385" s="11"/>
      <c r="BI385" s="11"/>
      <c r="BJ385" s="11"/>
      <c r="BK385" s="11"/>
      <c r="BL385" s="11"/>
      <c r="BM385" s="11"/>
      <c r="BN385" s="11"/>
      <c r="BO385" s="11"/>
      <c r="BP385" s="11"/>
      <c r="BQ385" s="11"/>
      <c r="BR385" s="11"/>
      <c r="BS385" s="11"/>
      <c r="BT385" s="11"/>
      <c r="BU385" s="11"/>
      <c r="BV385" s="11"/>
      <c r="BW385" s="11"/>
      <c r="BX385" s="11"/>
      <c r="BY385" s="11"/>
      <c r="BZ385" s="11"/>
      <c r="CA385" s="11"/>
      <c r="CB385" s="11"/>
      <c r="CC385" s="11"/>
      <c r="CD385" s="11"/>
      <c r="CE385" s="11"/>
      <c r="CF385" s="11"/>
      <c r="CG385" s="11"/>
      <c r="CH385" s="11"/>
      <c r="CI385" s="11"/>
      <c r="CJ385" s="11"/>
      <c r="CK385" s="11"/>
      <c r="CL385" s="11"/>
      <c r="CM385" s="11"/>
      <c r="CN385" s="11"/>
      <c r="CO385" s="11"/>
      <c r="CP385" s="11"/>
      <c r="CQ385" s="11"/>
      <c r="CR385" s="15"/>
      <c r="CS385" s="15"/>
      <c r="CT385" s="15"/>
      <c r="CU385" s="15"/>
    </row>
    <row r="386" spans="1:99" ht="12" customHeight="1" x14ac:dyDescent="0.2">
      <c r="A386" s="68">
        <v>43903</v>
      </c>
      <c r="B386" s="94"/>
      <c r="C386" s="94"/>
      <c r="D386" s="92"/>
      <c r="E386" s="105"/>
      <c r="F386" s="92"/>
      <c r="G386" s="92"/>
      <c r="H386" s="92"/>
      <c r="I386" s="92"/>
      <c r="J386" s="107"/>
      <c r="K386" s="69"/>
      <c r="L386" s="69"/>
      <c r="M386" s="92"/>
      <c r="N386" s="69"/>
      <c r="O386" s="92"/>
      <c r="P386" s="92"/>
      <c r="Q386" s="92"/>
      <c r="R386" s="69"/>
      <c r="S386" s="92"/>
      <c r="T386" s="92"/>
      <c r="U386" s="69"/>
      <c r="V386" s="92"/>
      <c r="W386" s="69"/>
      <c r="X386" s="69"/>
      <c r="Y386" s="87"/>
      <c r="Z386" s="92"/>
      <c r="AA386" s="92"/>
      <c r="AB386" s="69"/>
      <c r="AC386" s="72"/>
      <c r="AD386" s="69"/>
      <c r="AE386" s="69"/>
      <c r="AF386" s="88"/>
      <c r="AG386" s="72"/>
      <c r="AH386" s="4"/>
      <c r="AI386" s="72"/>
      <c r="AJ386" s="110"/>
      <c r="AK386" s="72"/>
      <c r="AL386" s="72"/>
      <c r="AM386" s="72"/>
      <c r="AN386" s="72"/>
      <c r="AO386" s="89"/>
      <c r="AP386" s="89"/>
      <c r="AQ386" s="90"/>
      <c r="AR386" s="117"/>
      <c r="AS386" s="91"/>
      <c r="AT386" s="91"/>
      <c r="AU386" s="3"/>
      <c r="AV386" s="98">
        <v>31536000</v>
      </c>
      <c r="AW386" s="98">
        <v>47304000</v>
      </c>
      <c r="AX386" s="98">
        <v>63072000</v>
      </c>
      <c r="AY386" s="98">
        <v>78840000</v>
      </c>
      <c r="AZ386" s="98">
        <v>94608000</v>
      </c>
      <c r="BA386" s="98">
        <v>110376000</v>
      </c>
      <c r="BB386" s="98">
        <v>126144000</v>
      </c>
      <c r="BC386" s="177"/>
      <c r="BD386" s="11"/>
      <c r="BE386" s="11"/>
      <c r="BF386" s="11"/>
      <c r="BG386" s="11"/>
      <c r="BH386" s="11"/>
      <c r="BI386" s="11"/>
      <c r="BJ386" s="11"/>
      <c r="BK386" s="11"/>
      <c r="BL386" s="11"/>
      <c r="BM386" s="11"/>
      <c r="BN386" s="11"/>
      <c r="BO386" s="11"/>
      <c r="BP386" s="11"/>
      <c r="BQ386" s="11"/>
      <c r="BR386" s="11"/>
      <c r="BS386" s="11"/>
      <c r="BT386" s="11"/>
      <c r="BU386" s="11"/>
      <c r="BV386" s="11"/>
      <c r="BW386" s="11"/>
      <c r="BX386" s="11"/>
      <c r="BY386" s="11"/>
      <c r="BZ386" s="11"/>
      <c r="CA386" s="11"/>
      <c r="CB386" s="11"/>
      <c r="CC386" s="11"/>
      <c r="CD386" s="11"/>
      <c r="CE386" s="11"/>
      <c r="CF386" s="11"/>
      <c r="CG386" s="11"/>
      <c r="CH386" s="11"/>
      <c r="CI386" s="11"/>
      <c r="CJ386" s="11"/>
      <c r="CK386" s="11"/>
      <c r="CL386" s="11"/>
      <c r="CM386" s="11"/>
      <c r="CN386" s="11"/>
      <c r="CO386" s="11"/>
      <c r="CP386" s="11"/>
      <c r="CQ386" s="11"/>
      <c r="CR386" s="15"/>
      <c r="CS386" s="15"/>
      <c r="CT386" s="15"/>
      <c r="CU386" s="15"/>
    </row>
    <row r="387" spans="1:99" ht="12" customHeight="1" x14ac:dyDescent="0.2">
      <c r="A387" s="68">
        <v>43903</v>
      </c>
      <c r="B387" s="94" t="s">
        <v>481</v>
      </c>
      <c r="C387" s="94" t="s">
        <v>262</v>
      </c>
      <c r="D387" s="92">
        <v>2020</v>
      </c>
      <c r="E387" s="105">
        <v>2</v>
      </c>
      <c r="F387" s="92">
        <v>142</v>
      </c>
      <c r="G387" s="92">
        <v>17.75</v>
      </c>
      <c r="H387" s="92" t="s">
        <v>747</v>
      </c>
      <c r="I387" s="92" t="s">
        <v>921</v>
      </c>
      <c r="J387" s="107" t="s">
        <v>483</v>
      </c>
      <c r="K387" s="69">
        <f>IF(J387="syllables",1,IF(J387="trigrams",2,IF(J387="strings",3,IF(J387="visual array",4,IF(J387="characters",5,IF(J387="letters",6,IF(J387="free forms",7,IF(J387="odors",8,IF(J387="words",9,IF(J387="pictures",10,IF(J387="object pictures",11,IF(J387="faces",12,IF(J387="names",13,IF(J387="idioms",14,IF(J387="grades",15,IF(J387="syllable-digit pairs",16,IF(J387="trigram-word pairs",17,IF(J387="word-digit pairs",18,IF(J387="English-Swahili pairs",19,IF(J387="spatial position",20,IF(J387="word pairs",21,IF(J387="word triads",22,IF(J387="generated words",23,IF(J387="word definition pairs",24,IF(J387="math problems",25,IF(J387="famous faces",26,IF(J387="famous names",27,IF(J387="famous voices",28,IF(J387="television programs",29,IF(J387="race horses",30,IF(J387="new vocabulary",31,IF(J387="sentences",32,IF(J387="concepts",33,IF(J387="ad slides",34,IF(J387="scenes",35,IF(J387="famous scenes",36,IF(J387="poems",37,IF(J387="walk",38,IF(J387="faces and events",39,IF(J387="events and names",40,IF(J387="flashbulb",41,IF(J387="stories",42,IF(J387="course material",43,IF(J387="autobiographical",44,IF(J387="novels",45,IF(J387="public events",46,"99"))))))))))))))))))))))))))))))))))))))))))))))</f>
        <v>45</v>
      </c>
      <c r="L387" s="69">
        <f>IF(J387="syllables",1,IF(J387="trigrams",1,IF(J387="strings",1,IF(J387="visual array",1,IF(J387="characters",1,IF(J387="letters",1,IF(J387="free forms",1,IF(J387="odors",2,IF(J387="words",2,IF(J387="pictures",2,IF(J387="object pictures",2,IF(J387="faces",2,IF(J387="names",2,IF(J387="idioms","2",IF(J387="grades",2,IF(J387="syllable-digit pairs",3,IF(J387="trigram-word pairs",3,IF(J387="word-digit pairs",3,IF(J387="English-Swahili pairs",3,IF(J387="spatial position",3,IF(J387="word pairs",4,IF(J387="word triads",4,IF(J387="generated words",4,IF(J387="word definition pairs",4,IF(J387="math problems",4,IF(J387="famous faces",4,IF(J387="famous names",4,IF(J387="famous voices",4,IF(J387="television programs",4,IF(J387="race horses",4,IF(J387="new vocabulary",4,IF(J387="sentences",5,IF(J387="concepts",5,IF(J387="ad slides",5,IF(J387="scenes",5,IF(J387="famous scenes",5,IF(J387="poems",6,IF(J387="walk",6,IF(J387="faces and events",6,IF(J387="events and names",6,IF(J387="flashbulb",7,IF(J387="stories",7,IF(J387="course material",7,IF(J387="autobiographical",7,IF(J387="novels",7,IF(J387="public events",7,"99"))))))))))))))))))))))))))))))))))))))))))))))</f>
        <v>7</v>
      </c>
      <c r="M387" s="92">
        <v>0</v>
      </c>
      <c r="N387" s="69">
        <v>3</v>
      </c>
      <c r="O387" s="92">
        <v>0</v>
      </c>
      <c r="P387" s="92"/>
      <c r="Q387" s="92" t="s">
        <v>182</v>
      </c>
      <c r="R387" s="69">
        <f>IF(Q387="Free Recall",1,IF(Q387="Cued Recall",2,IF(Q387="Recognition",3,IF(Q387="Multiple Choice",4,IF(Q387="Savings",5,IF(Q387="Stem Completion",6,IF(Q387="Fragment Completion",7,IF(Q387="anagram solution",8,IF(Q387="Matching",9,IF(Q387="Problem Solving",10,"99"))))))))))</f>
        <v>4</v>
      </c>
      <c r="S387" s="92" t="s">
        <v>482</v>
      </c>
      <c r="T387" s="92" t="s">
        <v>261</v>
      </c>
      <c r="U387" s="69">
        <f t="shared" ref="U387" si="92">IF(T387="within",1,0)</f>
        <v>0</v>
      </c>
      <c r="V387" s="92">
        <v>12</v>
      </c>
      <c r="W387" s="69">
        <f>F387*V387</f>
        <v>1704</v>
      </c>
      <c r="X387" s="69">
        <v>7</v>
      </c>
      <c r="Y387" s="87">
        <f>AV386</f>
        <v>31536000</v>
      </c>
      <c r="Z387" s="92" t="s">
        <v>484</v>
      </c>
      <c r="AA387" s="69">
        <f>7.5*365*24*60*60</f>
        <v>236520000</v>
      </c>
      <c r="AB387" s="69" t="str">
        <f>IF(AA387&lt;60,"1",IF(AA387&lt;=43200,"2",IF(AA387&lt;=777600,"3","4")))</f>
        <v>4</v>
      </c>
      <c r="AC387" s="72">
        <f>AVERAGE(AV386:DA386)</f>
        <v>78840000</v>
      </c>
      <c r="AD387" s="69" t="str">
        <f>IF(AC387&lt;60,"1",IF(AC387&lt;=43200,"2",IF(AC387&lt;=777600,"3","4")))</f>
        <v>4</v>
      </c>
      <c r="AE387" s="87">
        <f>AA387-Y387</f>
        <v>204984000</v>
      </c>
      <c r="AF387" s="88">
        <f>AV387</f>
        <v>0.3807692307692303</v>
      </c>
      <c r="AG387" s="72">
        <f>((AW387-AV387)+(AX387-AW387)+(AY387-AX387)+(AZ387-AY387)+(BA387-AZ387)+(BB387-BA387))/6</f>
        <v>-1.4898989898989893E-2</v>
      </c>
      <c r="AH387" s="4"/>
      <c r="AI387" s="72">
        <f>RSQ(AV387:BB387,AV386:BB386)</f>
        <v>0.71240257802110141</v>
      </c>
      <c r="AJ387" s="110">
        <f>SLOPE(AV387:BB387,AV386:BB386)</f>
        <v>-8.6295117502837712E-10</v>
      </c>
      <c r="AK387" s="72">
        <f>INTERCEPT(AV387:BB387,AV386:BB386)</f>
        <v>0.40460334418667709</v>
      </c>
      <c r="AL387" s="72">
        <f>INDEX(LINEST(LN(AV387:BB387),LN(AV386:BB386),TRUE,TRUE),3,1)</f>
        <v>0.66493530837282666</v>
      </c>
      <c r="AM387" s="72">
        <f>INDEX(LINEST(LN(AV387:BB387),LN(AV386:BB386)),1)</f>
        <v>-0.17435575550386112</v>
      </c>
      <c r="AN387" s="72">
        <f>EXP(INDEX(LINEST(LN(AV387:BB387),LN(AV386:BB386)),1,2))</f>
        <v>7.8473231768417246</v>
      </c>
      <c r="AO387" s="89">
        <f>INDEX(LINEST((AV387:BB387),LN(AV386:BB386),TRUE,TRUE),3,1)</f>
        <v>0.68296216837313706</v>
      </c>
      <c r="AP387" s="89">
        <f>INDEX(LINEST((AV387:BB387),LN(AV386:BB386)),1)</f>
        <v>-5.8441232760913293E-2</v>
      </c>
      <c r="AQ387" s="90">
        <f>INDEX(LINEST(LN(AV387:BB387),SQRT(AV386:BB386),TRUE,TRUE),3,1)</f>
        <v>0.68957537001270841</v>
      </c>
      <c r="AR387" s="117">
        <f>INDEX(LINEST(LN(AV387:BB387),SQRT((AV386:BB386))),1)</f>
        <v>-4.3574288217883655E-5</v>
      </c>
      <c r="AS387" s="91">
        <f>INDEX(LINEST(1/(AV387:BB387),1/(SQRT(AV386:BB386)),TRUE,TRUE),3,1)</f>
        <v>0.60683873857508386</v>
      </c>
      <c r="AT387" s="91">
        <f>INDEX(LINEST(1/(AV387:BB387),1/SQRT(AV386:BB386)),1)</f>
        <v>-7918.4232191357296</v>
      </c>
      <c r="AU387" s="3"/>
      <c r="AV387" s="97">
        <v>0.3807692307692303</v>
      </c>
      <c r="AW387" s="97">
        <v>0.34743589743589703</v>
      </c>
      <c r="AX387" s="97">
        <v>0.36939102564102533</v>
      </c>
      <c r="AY387" s="97">
        <v>0.34515224358974317</v>
      </c>
      <c r="AZ387" s="97">
        <v>0.29226020892687515</v>
      </c>
      <c r="BA387" s="97">
        <v>0.32959401709401687</v>
      </c>
      <c r="BB387" s="97">
        <v>0.29137529137529095</v>
      </c>
      <c r="BC387" s="177"/>
      <c r="BD387" s="11"/>
      <c r="BE387" s="11"/>
      <c r="BF387" s="11"/>
      <c r="BG387" s="11"/>
      <c r="BH387" s="11"/>
      <c r="BI387" s="11"/>
      <c r="BJ387" s="11"/>
      <c r="BK387" s="11"/>
      <c r="BL387" s="11"/>
      <c r="BM387" s="11"/>
      <c r="BN387" s="11"/>
      <c r="BO387" s="11"/>
      <c r="BP387" s="11"/>
      <c r="BQ387" s="11"/>
      <c r="BR387" s="11"/>
      <c r="BS387" s="11"/>
      <c r="BT387" s="11"/>
      <c r="BU387" s="11"/>
      <c r="BV387" s="11"/>
      <c r="BW387" s="11"/>
      <c r="BX387" s="11"/>
      <c r="BY387" s="11"/>
      <c r="BZ387" s="11"/>
      <c r="CA387" s="11"/>
      <c r="CB387" s="11"/>
      <c r="CC387" s="11"/>
      <c r="CD387" s="11"/>
      <c r="CE387" s="11"/>
      <c r="CF387" s="11"/>
      <c r="CG387" s="11"/>
      <c r="CH387" s="11"/>
      <c r="CI387" s="11"/>
      <c r="CJ387" s="11"/>
      <c r="CK387" s="11"/>
      <c r="CL387" s="11"/>
      <c r="CM387" s="11"/>
      <c r="CN387" s="11"/>
      <c r="CO387" s="11"/>
      <c r="CP387" s="11"/>
      <c r="CQ387" s="11"/>
      <c r="CR387" s="15"/>
      <c r="CS387" s="15"/>
      <c r="CT387" s="15"/>
      <c r="CU387" s="15"/>
    </row>
    <row r="388" spans="1:99" ht="12" customHeight="1" x14ac:dyDescent="0.2">
      <c r="A388" s="68">
        <v>43903</v>
      </c>
      <c r="B388" s="94"/>
      <c r="C388" s="94"/>
      <c r="D388" s="92"/>
      <c r="E388" s="105"/>
      <c r="F388" s="92"/>
      <c r="G388" s="92"/>
      <c r="H388" s="92"/>
      <c r="I388" s="92"/>
      <c r="J388" s="107"/>
      <c r="K388" s="69"/>
      <c r="L388" s="69"/>
      <c r="M388" s="92"/>
      <c r="N388" s="69"/>
      <c r="O388" s="92"/>
      <c r="P388" s="92"/>
      <c r="Q388" s="92"/>
      <c r="R388" s="69"/>
      <c r="S388" s="92"/>
      <c r="T388" s="92"/>
      <c r="U388" s="69"/>
      <c r="V388" s="92"/>
      <c r="W388" s="69"/>
      <c r="X388" s="69"/>
      <c r="Y388" s="87"/>
      <c r="Z388" s="92"/>
      <c r="AA388" s="92"/>
      <c r="AB388" s="69"/>
      <c r="AC388" s="72"/>
      <c r="AD388" s="69"/>
      <c r="AE388" s="69"/>
      <c r="AF388" s="88"/>
      <c r="AG388" s="72"/>
      <c r="AH388" s="4"/>
      <c r="AI388" s="72"/>
      <c r="AJ388" s="110"/>
      <c r="AK388" s="72"/>
      <c r="AL388" s="72"/>
      <c r="AM388" s="72"/>
      <c r="AN388" s="72"/>
      <c r="AO388" s="89"/>
      <c r="AP388" s="89"/>
      <c r="AQ388" s="90"/>
      <c r="AR388" s="117"/>
      <c r="AS388" s="91"/>
      <c r="AT388" s="91"/>
      <c r="AU388" s="3"/>
      <c r="AV388" s="98">
        <v>31536000</v>
      </c>
      <c r="AW388" s="98">
        <v>47304000</v>
      </c>
      <c r="AX388" s="98">
        <v>63072000</v>
      </c>
      <c r="AY388" s="98">
        <v>78840000</v>
      </c>
      <c r="AZ388" s="98">
        <v>94608000</v>
      </c>
      <c r="BA388" s="98">
        <v>110376000</v>
      </c>
      <c r="BB388" s="98">
        <v>126144000</v>
      </c>
      <c r="BC388" s="177"/>
      <c r="BD388" s="11"/>
      <c r="BE388" s="11"/>
      <c r="BF388" s="11"/>
      <c r="BG388" s="11"/>
      <c r="BH388" s="11"/>
      <c r="BI388" s="11"/>
      <c r="BJ388" s="11"/>
      <c r="BK388" s="11"/>
      <c r="BL388" s="11"/>
      <c r="BM388" s="11"/>
      <c r="BN388" s="11"/>
      <c r="BO388" s="11"/>
      <c r="BP388" s="11"/>
      <c r="BQ388" s="11"/>
      <c r="BR388" s="11"/>
      <c r="BS388" s="11"/>
      <c r="BT388" s="11"/>
      <c r="BU388" s="11"/>
      <c r="BV388" s="11"/>
      <c r="BW388" s="11"/>
      <c r="BX388" s="11"/>
      <c r="BY388" s="11"/>
      <c r="BZ388" s="11"/>
      <c r="CA388" s="11"/>
      <c r="CB388" s="11"/>
      <c r="CC388" s="11"/>
      <c r="CD388" s="11"/>
      <c r="CE388" s="11"/>
      <c r="CF388" s="11"/>
      <c r="CG388" s="11"/>
      <c r="CH388" s="11"/>
      <c r="CI388" s="11"/>
      <c r="CJ388" s="11"/>
      <c r="CK388" s="11"/>
      <c r="CL388" s="11"/>
      <c r="CM388" s="11"/>
      <c r="CN388" s="11"/>
      <c r="CO388" s="11"/>
      <c r="CP388" s="11"/>
      <c r="CQ388" s="11"/>
      <c r="CR388" s="15"/>
      <c r="CS388" s="15"/>
      <c r="CT388" s="15"/>
      <c r="CU388" s="15"/>
    </row>
    <row r="389" spans="1:99" ht="12" customHeight="1" x14ac:dyDescent="0.2">
      <c r="A389" s="68">
        <v>43903</v>
      </c>
      <c r="B389" s="94" t="s">
        <v>481</v>
      </c>
      <c r="C389" s="94" t="s">
        <v>262</v>
      </c>
      <c r="D389" s="92">
        <v>2020</v>
      </c>
      <c r="E389" s="105">
        <v>2</v>
      </c>
      <c r="F389" s="92">
        <v>142</v>
      </c>
      <c r="G389" s="92">
        <v>17.75</v>
      </c>
      <c r="H389" s="92" t="s">
        <v>747</v>
      </c>
      <c r="I389" s="92" t="s">
        <v>922</v>
      </c>
      <c r="J389" s="107" t="s">
        <v>483</v>
      </c>
      <c r="K389" s="69">
        <f>IF(J389="syllables",1,IF(J389="trigrams",2,IF(J389="strings",3,IF(J389="visual array",4,IF(J389="characters",5,IF(J389="letters",6,IF(J389="free forms",7,IF(J389="odors",8,IF(J389="words",9,IF(J389="pictures",10,IF(J389="object pictures",11,IF(J389="faces",12,IF(J389="names",13,IF(J389="idioms",14,IF(J389="grades",15,IF(J389="syllable-digit pairs",16,IF(J389="trigram-word pairs",17,IF(J389="word-digit pairs",18,IF(J389="English-Swahili pairs",19,IF(J389="spatial position",20,IF(J389="word pairs",21,IF(J389="word triads",22,IF(J389="generated words",23,IF(J389="word definition pairs",24,IF(J389="math problems",25,IF(J389="famous faces",26,IF(J389="famous names",27,IF(J389="famous voices",28,IF(J389="television programs",29,IF(J389="race horses",30,IF(J389="new vocabulary",31,IF(J389="sentences",32,IF(J389="concepts",33,IF(J389="ad slides",34,IF(J389="scenes",35,IF(J389="famous scenes",36,IF(J389="poems",37,IF(J389="walk",38,IF(J389="faces and events",39,IF(J389="events and names",40,IF(J389="flashbulb",41,IF(J389="stories",42,IF(J389="course material",43,IF(J389="autobiographical",44,IF(J389="novels",45,IF(J389="public events",46,"99"))))))))))))))))))))))))))))))))))))))))))))))</f>
        <v>45</v>
      </c>
      <c r="L389" s="69">
        <f>IF(J389="syllables",1,IF(J389="trigrams",1,IF(J389="strings",1,IF(J389="visual array",1,IF(J389="characters",1,IF(J389="letters",1,IF(J389="free forms",1,IF(J389="odors",2,IF(J389="words",2,IF(J389="pictures",2,IF(J389="object pictures",2,IF(J389="faces",2,IF(J389="names",2,IF(J389="idioms","2",IF(J389="grades",2,IF(J389="syllable-digit pairs",3,IF(J389="trigram-word pairs",3,IF(J389="word-digit pairs",3,IF(J389="English-Swahili pairs",3,IF(J389="spatial position",3,IF(J389="word pairs",4,IF(J389="word triads",4,IF(J389="generated words",4,IF(J389="word definition pairs",4,IF(J389="math problems",4,IF(J389="famous faces",4,IF(J389="famous names",4,IF(J389="famous voices",4,IF(J389="television programs",4,IF(J389="race horses",4,IF(J389="new vocabulary",4,IF(J389="sentences",5,IF(J389="concepts",5,IF(J389="ad slides",5,IF(J389="scenes",5,IF(J389="famous scenes",5,IF(J389="poems",6,IF(J389="walk",6,IF(J389="faces and events",6,IF(J389="events and names",6,IF(J389="flashbulb",7,IF(J389="stories",7,IF(J389="course material",7,IF(J389="autobiographical",7,IF(J389="novels",7,IF(J389="public events",7,"99"))))))))))))))))))))))))))))))))))))))))))))))</f>
        <v>7</v>
      </c>
      <c r="M389" s="92">
        <v>0</v>
      </c>
      <c r="N389" s="69">
        <v>3</v>
      </c>
      <c r="O389" s="92">
        <v>0</v>
      </c>
      <c r="P389" s="92"/>
      <c r="Q389" s="92" t="s">
        <v>182</v>
      </c>
      <c r="R389" s="69">
        <f>IF(Q389="Free Recall",1,IF(Q389="Cued Recall",2,IF(Q389="Recognition",3,IF(Q389="Multiple Choice",4,IF(Q389="Savings",5,IF(Q389="Stem Completion",6,IF(Q389="Fragment Completion",7,IF(Q389="anagram solution",8,IF(Q389="Matching",9,IF(Q389="Problem Solving",10,"99"))))))))))</f>
        <v>4</v>
      </c>
      <c r="S389" s="92" t="s">
        <v>482</v>
      </c>
      <c r="T389" s="92" t="s">
        <v>261</v>
      </c>
      <c r="U389" s="69">
        <f t="shared" ref="U389" si="93">IF(T389="within",1,0)</f>
        <v>0</v>
      </c>
      <c r="V389" s="92">
        <v>12</v>
      </c>
      <c r="W389" s="69">
        <f>F389*V389</f>
        <v>1704</v>
      </c>
      <c r="X389" s="69">
        <v>7</v>
      </c>
      <c r="Y389" s="87">
        <f>AV388</f>
        <v>31536000</v>
      </c>
      <c r="Z389" s="92" t="s">
        <v>484</v>
      </c>
      <c r="AA389" s="69">
        <f>7.5*365*24*60*60</f>
        <v>236520000</v>
      </c>
      <c r="AB389" s="69" t="str">
        <f>IF(AA389&lt;60,"1",IF(AA389&lt;=43200,"2",IF(AA389&lt;=777600,"3","4")))</f>
        <v>4</v>
      </c>
      <c r="AC389" s="72">
        <f>AVERAGE(AV388:DA388)</f>
        <v>78840000</v>
      </c>
      <c r="AD389" s="69" t="str">
        <f>IF(AC389&lt;60,"1",IF(AC389&lt;=43200,"2",IF(AC389&lt;=777600,"3","4")))</f>
        <v>4</v>
      </c>
      <c r="AE389" s="87">
        <f>AA389-Y389</f>
        <v>204984000</v>
      </c>
      <c r="AF389" s="88">
        <f>AV389</f>
        <v>0.38333333333333297</v>
      </c>
      <c r="AG389" s="72">
        <f>((AW389-AV389)+(AX389-AW389)+(AY389-AX389)+(AZ389-AY389)+(BA389-AZ389)+(BB389-BA389))/6</f>
        <v>-2.0959595959595928E-2</v>
      </c>
      <c r="AH389" s="4"/>
      <c r="AI389" s="72">
        <f>RSQ(AV389:BB389,AV388:BB388)</f>
        <v>0.52073793351367859</v>
      </c>
      <c r="AJ389" s="110">
        <f>SLOPE(AV389:BB389,AV388:BB388)</f>
        <v>-9.902764162446209E-10</v>
      </c>
      <c r="AK389" s="72">
        <f>INTERCEPT(AV389:BB389,AV388:BB388)</f>
        <v>0.35913966049382678</v>
      </c>
      <c r="AL389" s="72">
        <f>INDEX(LINEST(LN(AV389:BB389),LN(AV388:BB388),TRUE,TRUE),3,1)</f>
        <v>0.7203142792796966</v>
      </c>
      <c r="AM389" s="72">
        <f>INDEX(LINEST(LN(AV389:BB389),LN(AV388:BB388)),1)</f>
        <v>-0.25573163049038727</v>
      </c>
      <c r="AN389" s="72">
        <f>EXP(INDEX(LINEST(LN(AV389:BB389),LN(AV388:BB388)),1,2))</f>
        <v>28.401292052047669</v>
      </c>
      <c r="AO389" s="89">
        <f>INDEX(LINEST((AV389:BB389),LN(AV388:BB388),TRUE,TRUE),3,1)</f>
        <v>0.70285392731901009</v>
      </c>
      <c r="AP389" s="89">
        <f>INDEX(LINEST((AV389:BB389),LN(AV388:BB388)),1)</f>
        <v>-7.9575051451195034E-2</v>
      </c>
      <c r="AQ389" s="90">
        <f>INDEX(LINEST(LN(AV389:BB389),SQRT(AV388:BB388),TRUE,TRUE),3,1)</f>
        <v>0.62873565545146248</v>
      </c>
      <c r="AR389" s="117">
        <f>INDEX(LINEST(LN(AV389:BB389),SQRT((AV388:BB388))),1)</f>
        <v>-5.8634107763531945E-5</v>
      </c>
      <c r="AS389" s="91">
        <f>INDEX(LINEST(1/(AV389:BB389),1/(SQRT(AV388:BB388)),TRUE,TRUE),3,1)</f>
        <v>0.81757224662304206</v>
      </c>
      <c r="AT389" s="91">
        <f>INDEX(LINEST(1/(AV389:BB389),1/SQRT(AV388:BB388)),1)</f>
        <v>-13720.145467463428</v>
      </c>
      <c r="AU389" s="3"/>
      <c r="AV389" s="97">
        <v>0.38333333333333297</v>
      </c>
      <c r="AW389" s="97">
        <v>0.28999999999999976</v>
      </c>
      <c r="AX389" s="97">
        <v>0.26388888888888856</v>
      </c>
      <c r="AY389" s="97">
        <v>0.25260416666666641</v>
      </c>
      <c r="AZ389" s="97">
        <v>0.25617283950617253</v>
      </c>
      <c r="BA389" s="97">
        <v>0.26388888888888856</v>
      </c>
      <c r="BB389" s="97">
        <v>0.2575757575757574</v>
      </c>
      <c r="BC389" s="177"/>
      <c r="BD389" s="11"/>
      <c r="BE389" s="11"/>
      <c r="BF389" s="11"/>
      <c r="BG389" s="11"/>
      <c r="BH389" s="11"/>
      <c r="BI389" s="11"/>
      <c r="BJ389" s="11"/>
      <c r="BK389" s="11"/>
      <c r="BL389" s="11"/>
      <c r="BM389" s="11"/>
      <c r="BN389" s="11"/>
      <c r="BO389" s="11"/>
      <c r="BP389" s="11"/>
      <c r="BQ389" s="11"/>
      <c r="BR389" s="11"/>
      <c r="BS389" s="11"/>
      <c r="BT389" s="11"/>
      <c r="BU389" s="11"/>
      <c r="BV389" s="11"/>
      <c r="BW389" s="11"/>
      <c r="BX389" s="11"/>
      <c r="BY389" s="11"/>
      <c r="BZ389" s="11"/>
      <c r="CA389" s="11"/>
      <c r="CB389" s="11"/>
      <c r="CC389" s="11"/>
      <c r="CD389" s="11"/>
      <c r="CE389" s="11"/>
      <c r="CF389" s="11"/>
      <c r="CG389" s="11"/>
      <c r="CH389" s="11"/>
      <c r="CI389" s="11"/>
      <c r="CJ389" s="11"/>
      <c r="CK389" s="11"/>
      <c r="CL389" s="11"/>
      <c r="CM389" s="11"/>
      <c r="CN389" s="11"/>
      <c r="CO389" s="11"/>
      <c r="CP389" s="11"/>
      <c r="CQ389" s="11"/>
      <c r="CR389" s="15"/>
      <c r="CS389" s="15"/>
      <c r="CT389" s="15"/>
      <c r="CU389" s="15"/>
    </row>
    <row r="390" spans="1:99" ht="12" customHeight="1" x14ac:dyDescent="0.2">
      <c r="A390" s="68">
        <v>43903</v>
      </c>
      <c r="B390" s="94"/>
      <c r="C390" s="94"/>
      <c r="D390" s="92"/>
      <c r="E390" s="105"/>
      <c r="F390" s="92"/>
      <c r="G390" s="92"/>
      <c r="H390" s="92"/>
      <c r="I390" s="92"/>
      <c r="J390" s="107"/>
      <c r="K390" s="69"/>
      <c r="L390" s="69"/>
      <c r="M390" s="92"/>
      <c r="N390" s="69"/>
      <c r="O390" s="92"/>
      <c r="P390" s="92"/>
      <c r="Q390" s="92"/>
      <c r="R390" s="69"/>
      <c r="S390" s="92"/>
      <c r="T390" s="92"/>
      <c r="U390" s="69"/>
      <c r="V390" s="92"/>
      <c r="W390" s="69"/>
      <c r="X390" s="69"/>
      <c r="Y390" s="87"/>
      <c r="Z390" s="92"/>
      <c r="AA390" s="92"/>
      <c r="AB390" s="69"/>
      <c r="AC390" s="72"/>
      <c r="AD390" s="69"/>
      <c r="AE390" s="69"/>
      <c r="AF390" s="88"/>
      <c r="AG390" s="72"/>
      <c r="AH390" s="4"/>
      <c r="AI390" s="72"/>
      <c r="AJ390" s="110"/>
      <c r="AK390" s="72"/>
      <c r="AL390" s="72"/>
      <c r="AM390" s="72"/>
      <c r="AN390" s="72"/>
      <c r="AO390" s="89"/>
      <c r="AP390" s="89"/>
      <c r="AQ390" s="90"/>
      <c r="AR390" s="117"/>
      <c r="AS390" s="91"/>
      <c r="AT390" s="91"/>
      <c r="AU390" s="3"/>
      <c r="AV390" s="98">
        <v>31536000</v>
      </c>
      <c r="AW390" s="98">
        <v>47304000</v>
      </c>
      <c r="AX390" s="98">
        <v>63072000</v>
      </c>
      <c r="AY390" s="98">
        <v>78840000</v>
      </c>
      <c r="AZ390" s="98">
        <v>94608000</v>
      </c>
      <c r="BA390" s="98">
        <v>110376000</v>
      </c>
      <c r="BB390" s="98">
        <v>126144000</v>
      </c>
      <c r="BC390" s="177"/>
      <c r="BD390" s="11"/>
      <c r="BE390" s="11"/>
      <c r="BF390" s="11"/>
      <c r="BG390" s="11"/>
      <c r="BH390" s="11"/>
      <c r="BI390" s="11"/>
      <c r="BJ390" s="11"/>
      <c r="BK390" s="11"/>
      <c r="BL390" s="11"/>
      <c r="BM390" s="11"/>
      <c r="BN390" s="11"/>
      <c r="BO390" s="11"/>
      <c r="BP390" s="11"/>
      <c r="BQ390" s="11"/>
      <c r="BR390" s="11"/>
      <c r="BS390" s="11"/>
      <c r="BT390" s="11"/>
      <c r="BU390" s="11"/>
      <c r="BV390" s="11"/>
      <c r="BW390" s="11"/>
      <c r="BX390" s="11"/>
      <c r="BY390" s="11"/>
      <c r="BZ390" s="11"/>
      <c r="CA390" s="11"/>
      <c r="CB390" s="11"/>
      <c r="CC390" s="11"/>
      <c r="CD390" s="11"/>
      <c r="CE390" s="11"/>
      <c r="CF390" s="11"/>
      <c r="CG390" s="11"/>
      <c r="CH390" s="11"/>
      <c r="CI390" s="11"/>
      <c r="CJ390" s="11"/>
      <c r="CK390" s="11"/>
      <c r="CL390" s="11"/>
      <c r="CM390" s="11"/>
      <c r="CN390" s="11"/>
      <c r="CO390" s="11"/>
      <c r="CP390" s="11"/>
      <c r="CQ390" s="11"/>
      <c r="CR390" s="15"/>
      <c r="CS390" s="15"/>
      <c r="CT390" s="15"/>
      <c r="CU390" s="15"/>
    </row>
    <row r="391" spans="1:99" ht="12" customHeight="1" x14ac:dyDescent="0.2">
      <c r="A391" s="68">
        <v>43903</v>
      </c>
      <c r="B391" s="94" t="s">
        <v>481</v>
      </c>
      <c r="C391" s="94" t="s">
        <v>262</v>
      </c>
      <c r="D391" s="92">
        <v>2020</v>
      </c>
      <c r="E391" s="105">
        <v>2</v>
      </c>
      <c r="F391" s="92">
        <v>142</v>
      </c>
      <c r="G391" s="92">
        <v>17.75</v>
      </c>
      <c r="H391" s="92" t="s">
        <v>747</v>
      </c>
      <c r="I391" s="92" t="s">
        <v>876</v>
      </c>
      <c r="J391" s="107" t="s">
        <v>483</v>
      </c>
      <c r="K391" s="69">
        <f>IF(J391="syllables",1,IF(J391="trigrams",2,IF(J391="strings",3,IF(J391="visual array",4,IF(J391="characters",5,IF(J391="letters",6,IF(J391="free forms",7,IF(J391="odors",8,IF(J391="words",9,IF(J391="pictures",10,IF(J391="object pictures",11,IF(J391="faces",12,IF(J391="names",13,IF(J391="idioms",14,IF(J391="grades",15,IF(J391="syllable-digit pairs",16,IF(J391="trigram-word pairs",17,IF(J391="word-digit pairs",18,IF(J391="English-Swahili pairs",19,IF(J391="spatial position",20,IF(J391="word pairs",21,IF(J391="word triads",22,IF(J391="generated words",23,IF(J391="word definition pairs",24,IF(J391="math problems",25,IF(J391="famous faces",26,IF(J391="famous names",27,IF(J391="famous voices",28,IF(J391="television programs",29,IF(J391="race horses",30,IF(J391="new vocabulary",31,IF(J391="sentences",32,IF(J391="concepts",33,IF(J391="ad slides",34,IF(J391="scenes",35,IF(J391="famous scenes",36,IF(J391="poems",37,IF(J391="walk",38,IF(J391="faces and events",39,IF(J391="events and names",40,IF(J391="flashbulb",41,IF(J391="stories",42,IF(J391="course material",43,IF(J391="autobiographical",44,IF(J391="novels",45,IF(J391="public events",46,"99"))))))))))))))))))))))))))))))))))))))))))))))</f>
        <v>45</v>
      </c>
      <c r="L391" s="69">
        <f>IF(J391="syllables",1,IF(J391="trigrams",1,IF(J391="strings",1,IF(J391="visual array",1,IF(J391="characters",1,IF(J391="letters",1,IF(J391="free forms",1,IF(J391="odors",2,IF(J391="words",2,IF(J391="pictures",2,IF(J391="object pictures",2,IF(J391="faces",2,IF(J391="names",2,IF(J391="idioms","2",IF(J391="grades",2,IF(J391="syllable-digit pairs",3,IF(J391="trigram-word pairs",3,IF(J391="word-digit pairs",3,IF(J391="English-Swahili pairs",3,IF(J391="spatial position",3,IF(J391="word pairs",4,IF(J391="word triads",4,IF(J391="generated words",4,IF(J391="word definition pairs",4,IF(J391="math problems",4,IF(J391="famous faces",4,IF(J391="famous names",4,IF(J391="famous voices",4,IF(J391="television programs",4,IF(J391="race horses",4,IF(J391="new vocabulary",4,IF(J391="sentences",5,IF(J391="concepts",5,IF(J391="ad slides",5,IF(J391="scenes",5,IF(J391="famous scenes",5,IF(J391="poems",6,IF(J391="walk",6,IF(J391="faces and events",6,IF(J391="events and names",6,IF(J391="flashbulb",7,IF(J391="stories",7,IF(J391="course material",7,IF(J391="autobiographical",7,IF(J391="novels",7,IF(J391="public events",7,"99"))))))))))))))))))))))))))))))))))))))))))))))</f>
        <v>7</v>
      </c>
      <c r="M391" s="92">
        <v>0</v>
      </c>
      <c r="N391" s="69">
        <v>3</v>
      </c>
      <c r="O391" s="92">
        <v>0</v>
      </c>
      <c r="P391" s="92"/>
      <c r="Q391" s="92" t="s">
        <v>182</v>
      </c>
      <c r="R391" s="69">
        <f>IF(Q391="Free Recall",1,IF(Q391="Cued Recall",2,IF(Q391="Recognition",3,IF(Q391="Multiple Choice",4,IF(Q391="Savings",5,IF(Q391="Stem Completion",6,IF(Q391="Fragment Completion",7,IF(Q391="anagram solution",8,IF(Q391="Matching",9,IF(Q391="Problem Solving",10,"99"))))))))))</f>
        <v>4</v>
      </c>
      <c r="S391" s="92" t="s">
        <v>482</v>
      </c>
      <c r="T391" s="92" t="s">
        <v>261</v>
      </c>
      <c r="U391" s="69">
        <f t="shared" ref="U391" si="94">IF(T391="within",1,0)</f>
        <v>0</v>
      </c>
      <c r="V391" s="92">
        <v>12</v>
      </c>
      <c r="W391" s="69">
        <f>F391*V391</f>
        <v>1704</v>
      </c>
      <c r="X391" s="69">
        <v>7</v>
      </c>
      <c r="Y391" s="87">
        <f>AV390</f>
        <v>31536000</v>
      </c>
      <c r="Z391" s="92" t="s">
        <v>484</v>
      </c>
      <c r="AA391" s="69">
        <f>7.5*365*24*60*60</f>
        <v>236520000</v>
      </c>
      <c r="AB391" s="69" t="str">
        <f>IF(AA391&lt;60,"1",IF(AA391&lt;=43200,"2",IF(AA391&lt;=777600,"3","4")))</f>
        <v>4</v>
      </c>
      <c r="AC391" s="72">
        <f>AVERAGE(AV390:DA390)</f>
        <v>78840000</v>
      </c>
      <c r="AD391" s="69" t="str">
        <f>IF(AC391&lt;60,"1",IF(AC391&lt;=43200,"2",IF(AC391&lt;=777600,"3","4")))</f>
        <v>4</v>
      </c>
      <c r="AE391" s="87">
        <f>AA391-Y391</f>
        <v>204984000</v>
      </c>
      <c r="AF391" s="88">
        <f>AV391</f>
        <v>0.5142857142857139</v>
      </c>
      <c r="AG391" s="72">
        <f>((AW391-AV391)+(AX391-AW391)+(AY391-AX391)+(AZ391-AY391)+(BA391-AZ391)+(BB391-BA391))/6</f>
        <v>-1.8434343434343432E-2</v>
      </c>
      <c r="AH391" s="4"/>
      <c r="AI391" s="72">
        <f>RSQ(AV391:BB391,AV390:BB390)</f>
        <v>0.22061055371373686</v>
      </c>
      <c r="AJ391" s="110">
        <f>SLOPE(AV391:BB391,AV390:BB390)</f>
        <v>-7.0156480309804677E-10</v>
      </c>
      <c r="AK391" s="72">
        <f>INTERCEPT(AV391:BB391,AV390:BB390)</f>
        <v>0.46933492378432823</v>
      </c>
      <c r="AL391" s="72">
        <f>INDEX(LINEST(LN(AV391:BB391),LN(AV390:BB390),TRUE,TRUE),3,1)</f>
        <v>0.32412237614109013</v>
      </c>
      <c r="AM391" s="72">
        <f>INDEX(LINEST(LN(AV391:BB391),LN(AV390:BB390)),1)</f>
        <v>-0.13570917735172788</v>
      </c>
      <c r="AN391" s="72">
        <f>EXP(INDEX(LINEST(LN(AV391:BB391),LN(AV390:BB390)),1,2))</f>
        <v>4.7915400178867591</v>
      </c>
      <c r="AO391" s="89">
        <f>INDEX(LINEST((AV391:BB391),LN(AV390:BB390),TRUE,TRUE),3,1)</f>
        <v>0.35744785142173385</v>
      </c>
      <c r="AP391" s="89">
        <f>INDEX(LINEST((AV391:BB391),LN(AV390:BB390)),1)</f>
        <v>-6.1767291420725234E-2</v>
      </c>
      <c r="AQ391" s="90">
        <f>INDEX(LINEST(LN(AV391:BB391),SQRT(AV390:BB390),TRUE,TRUE),3,1)</f>
        <v>0.25554605208481496</v>
      </c>
      <c r="AR391" s="117">
        <f>INDEX(LINEST(LN(AV391:BB391),SQRT((AV390:BB390))),1)</f>
        <v>-2.9572098172028613E-5</v>
      </c>
      <c r="AS391" s="91">
        <f>INDEX(LINEST(1/(AV391:BB391),1/(SQRT(AV390:BB390)),TRUE,TRUE),3,1)</f>
        <v>0.35643337522566382</v>
      </c>
      <c r="AT391" s="91">
        <f>INDEX(LINEST(1/(AV391:BB391),1/SQRT(AV390:BB390)),1)</f>
        <v>-5201.1910981736974</v>
      </c>
      <c r="AU391" s="3"/>
      <c r="AV391" s="97">
        <v>0.5142857142857139</v>
      </c>
      <c r="AW391" s="97">
        <v>0.38857142857142818</v>
      </c>
      <c r="AX391" s="97">
        <v>0.43005952380952345</v>
      </c>
      <c r="AY391" s="97">
        <v>0.35491071428571397</v>
      </c>
      <c r="AZ391" s="97">
        <v>0.38403880070546703</v>
      </c>
      <c r="BA391" s="97">
        <v>0.42261904761904728</v>
      </c>
      <c r="BB391" s="97">
        <v>0.40367965367965331</v>
      </c>
      <c r="BC391" s="177"/>
      <c r="BD391" s="11"/>
      <c r="BE391" s="11"/>
      <c r="BF391" s="11"/>
      <c r="BG391" s="11"/>
      <c r="BH391" s="11"/>
      <c r="BI391" s="11"/>
      <c r="BJ391" s="11"/>
      <c r="BK391" s="11"/>
      <c r="BL391" s="11"/>
      <c r="BM391" s="11"/>
      <c r="BN391" s="11"/>
      <c r="BO391" s="11"/>
      <c r="BP391" s="11"/>
      <c r="BQ391" s="11"/>
      <c r="BR391" s="11"/>
      <c r="BS391" s="11"/>
      <c r="BT391" s="11"/>
      <c r="BU391" s="11"/>
      <c r="BV391" s="11"/>
      <c r="BW391" s="11"/>
      <c r="BX391" s="11"/>
      <c r="BY391" s="11"/>
      <c r="BZ391" s="11"/>
      <c r="CA391" s="11"/>
      <c r="CB391" s="11"/>
      <c r="CC391" s="11"/>
      <c r="CD391" s="11"/>
      <c r="CE391" s="11"/>
      <c r="CF391" s="11"/>
      <c r="CG391" s="11"/>
      <c r="CH391" s="11"/>
      <c r="CI391" s="11"/>
      <c r="CJ391" s="11"/>
      <c r="CK391" s="11"/>
      <c r="CL391" s="11"/>
      <c r="CM391" s="11"/>
      <c r="CN391" s="11"/>
      <c r="CO391" s="11"/>
      <c r="CP391" s="11"/>
      <c r="CQ391" s="11"/>
      <c r="CR391" s="15"/>
      <c r="CS391" s="15"/>
      <c r="CT391" s="15"/>
      <c r="CU391" s="15"/>
    </row>
    <row r="392" spans="1:99" ht="12" customHeight="1" x14ac:dyDescent="0.2">
      <c r="A392" s="68">
        <v>43903</v>
      </c>
      <c r="B392" s="94"/>
      <c r="C392" s="94"/>
      <c r="D392" s="92"/>
      <c r="E392" s="105"/>
      <c r="F392" s="92"/>
      <c r="G392" s="92"/>
      <c r="H392" s="92"/>
      <c r="I392" s="92"/>
      <c r="J392" s="107"/>
      <c r="K392" s="69"/>
      <c r="L392" s="69"/>
      <c r="M392" s="92"/>
      <c r="N392" s="69"/>
      <c r="O392" s="92"/>
      <c r="P392" s="92"/>
      <c r="Q392" s="92"/>
      <c r="R392" s="69"/>
      <c r="S392" s="92"/>
      <c r="T392" s="92"/>
      <c r="U392" s="69"/>
      <c r="V392" s="92"/>
      <c r="W392" s="69"/>
      <c r="X392" s="69"/>
      <c r="Y392" s="87"/>
      <c r="Z392" s="92"/>
      <c r="AA392" s="92"/>
      <c r="AB392" s="69"/>
      <c r="AC392" s="72"/>
      <c r="AD392" s="69"/>
      <c r="AE392" s="69"/>
      <c r="AF392" s="88"/>
      <c r="AG392" s="72"/>
      <c r="AH392" s="4"/>
      <c r="AI392" s="72"/>
      <c r="AJ392" s="110"/>
      <c r="AK392" s="72"/>
      <c r="AL392" s="72"/>
      <c r="AM392" s="72"/>
      <c r="AN392" s="72"/>
      <c r="AO392" s="89"/>
      <c r="AP392" s="89"/>
      <c r="AQ392" s="90"/>
      <c r="AR392" s="117"/>
      <c r="AS392" s="91"/>
      <c r="AT392" s="91"/>
      <c r="AU392" s="3"/>
      <c r="AV392" s="98">
        <v>31536000</v>
      </c>
      <c r="AW392" s="98">
        <v>47304000</v>
      </c>
      <c r="AX392" s="98">
        <v>63072000</v>
      </c>
      <c r="AY392" s="98">
        <v>78840000</v>
      </c>
      <c r="AZ392" s="98">
        <v>94608000</v>
      </c>
      <c r="BA392" s="98">
        <v>110376000</v>
      </c>
      <c r="BB392" s="98">
        <v>126144000</v>
      </c>
      <c r="BC392" s="177"/>
      <c r="BD392" s="11"/>
      <c r="BE392" s="11"/>
      <c r="BF392" s="11"/>
      <c r="BG392" s="11"/>
      <c r="BH392" s="11"/>
      <c r="BI392" s="11"/>
      <c r="BJ392" s="11"/>
      <c r="BK392" s="11"/>
      <c r="BL392" s="11"/>
      <c r="BM392" s="11"/>
      <c r="BN392" s="11"/>
      <c r="BO392" s="11"/>
      <c r="BP392" s="11"/>
      <c r="BQ392" s="11"/>
      <c r="BR392" s="11"/>
      <c r="BS392" s="11"/>
      <c r="BT392" s="11"/>
      <c r="BU392" s="11"/>
      <c r="BV392" s="11"/>
      <c r="BW392" s="11"/>
      <c r="BX392" s="11"/>
      <c r="BY392" s="11"/>
      <c r="BZ392" s="11"/>
      <c r="CA392" s="11"/>
      <c r="CB392" s="11"/>
      <c r="CC392" s="11"/>
      <c r="CD392" s="11"/>
      <c r="CE392" s="11"/>
      <c r="CF392" s="11"/>
      <c r="CG392" s="11"/>
      <c r="CH392" s="11"/>
      <c r="CI392" s="11"/>
      <c r="CJ392" s="11"/>
      <c r="CK392" s="11"/>
      <c r="CL392" s="11"/>
      <c r="CM392" s="11"/>
      <c r="CN392" s="11"/>
      <c r="CO392" s="11"/>
      <c r="CP392" s="11"/>
      <c r="CQ392" s="11"/>
      <c r="CR392" s="15"/>
      <c r="CS392" s="15"/>
      <c r="CT392" s="15"/>
      <c r="CU392" s="15"/>
    </row>
    <row r="393" spans="1:99" ht="12" customHeight="1" x14ac:dyDescent="0.2">
      <c r="A393" s="68">
        <v>43903</v>
      </c>
      <c r="B393" s="94" t="s">
        <v>481</v>
      </c>
      <c r="C393" s="94" t="s">
        <v>262</v>
      </c>
      <c r="D393" s="92">
        <v>2020</v>
      </c>
      <c r="E393" s="105">
        <v>2</v>
      </c>
      <c r="F393" s="92">
        <v>142</v>
      </c>
      <c r="G393" s="92">
        <v>17.75</v>
      </c>
      <c r="H393" s="92" t="s">
        <v>747</v>
      </c>
      <c r="I393" s="92" t="s">
        <v>923</v>
      </c>
      <c r="J393" s="107" t="s">
        <v>483</v>
      </c>
      <c r="K393" s="69">
        <f>IF(J393="syllables",1,IF(J393="trigrams",2,IF(J393="strings",3,IF(J393="visual array",4,IF(J393="characters",5,IF(J393="letters",6,IF(J393="free forms",7,IF(J393="odors",8,IF(J393="words",9,IF(J393="pictures",10,IF(J393="object pictures",11,IF(J393="faces",12,IF(J393="names",13,IF(J393="idioms",14,IF(J393="grades",15,IF(J393="syllable-digit pairs",16,IF(J393="trigram-word pairs",17,IF(J393="word-digit pairs",18,IF(J393="English-Swahili pairs",19,IF(J393="spatial position",20,IF(J393="word pairs",21,IF(J393="word triads",22,IF(J393="generated words",23,IF(J393="word definition pairs",24,IF(J393="math problems",25,IF(J393="famous faces",26,IF(J393="famous names",27,IF(J393="famous voices",28,IF(J393="television programs",29,IF(J393="race horses",30,IF(J393="new vocabulary",31,IF(J393="sentences",32,IF(J393="concepts",33,IF(J393="ad slides",34,IF(J393="scenes",35,IF(J393="famous scenes",36,IF(J393="poems",37,IF(J393="walk",38,IF(J393="faces and events",39,IF(J393="events and names",40,IF(J393="flashbulb",41,IF(J393="stories",42,IF(J393="course material",43,IF(J393="autobiographical",44,IF(J393="novels",45,IF(J393="public events",46,"99"))))))))))))))))))))))))))))))))))))))))))))))</f>
        <v>45</v>
      </c>
      <c r="L393" s="69">
        <f>IF(J393="syllables",1,IF(J393="trigrams",1,IF(J393="strings",1,IF(J393="visual array",1,IF(J393="characters",1,IF(J393="letters",1,IF(J393="free forms",1,IF(J393="odors",2,IF(J393="words",2,IF(J393="pictures",2,IF(J393="object pictures",2,IF(J393="faces",2,IF(J393="names",2,IF(J393="idioms","2",IF(J393="grades",2,IF(J393="syllable-digit pairs",3,IF(J393="trigram-word pairs",3,IF(J393="word-digit pairs",3,IF(J393="English-Swahili pairs",3,IF(J393="spatial position",3,IF(J393="word pairs",4,IF(J393="word triads",4,IF(J393="generated words",4,IF(J393="word definition pairs",4,IF(J393="math problems",4,IF(J393="famous faces",4,IF(J393="famous names",4,IF(J393="famous voices",4,IF(J393="television programs",4,IF(J393="race horses",4,IF(J393="new vocabulary",4,IF(J393="sentences",5,IF(J393="concepts",5,IF(J393="ad slides",5,IF(J393="scenes",5,IF(J393="famous scenes",5,IF(J393="poems",6,IF(J393="walk",6,IF(J393="faces and events",6,IF(J393="events and names",6,IF(J393="flashbulb",7,IF(J393="stories",7,IF(J393="course material",7,IF(J393="autobiographical",7,IF(J393="novels",7,IF(J393="public events",7,"99"))))))))))))))))))))))))))))))))))))))))))))))</f>
        <v>7</v>
      </c>
      <c r="M393" s="92">
        <v>0</v>
      </c>
      <c r="N393" s="69">
        <v>3</v>
      </c>
      <c r="O393" s="92">
        <v>0</v>
      </c>
      <c r="P393" s="92"/>
      <c r="Q393" s="92" t="s">
        <v>182</v>
      </c>
      <c r="R393" s="69">
        <f>IF(Q393="Free Recall",1,IF(Q393="Cued Recall",2,IF(Q393="Recognition",3,IF(Q393="Multiple Choice",4,IF(Q393="Savings",5,IF(Q393="Stem Completion",6,IF(Q393="Fragment Completion",7,IF(Q393="anagram solution",8,IF(Q393="Matching",9,IF(Q393="Problem Solving",10,"99"))))))))))</f>
        <v>4</v>
      </c>
      <c r="S393" s="92" t="s">
        <v>482</v>
      </c>
      <c r="T393" s="92" t="s">
        <v>261</v>
      </c>
      <c r="U393" s="69">
        <f t="shared" ref="U393" si="95">IF(T393="within",1,0)</f>
        <v>0</v>
      </c>
      <c r="V393" s="92">
        <v>12</v>
      </c>
      <c r="W393" s="69">
        <f>F393*V393</f>
        <v>1704</v>
      </c>
      <c r="X393" s="69">
        <v>7</v>
      </c>
      <c r="Y393" s="87">
        <f>AV392</f>
        <v>31536000</v>
      </c>
      <c r="Z393" s="92" t="s">
        <v>484</v>
      </c>
      <c r="AA393" s="69">
        <f>7.5*365*24*60*60</f>
        <v>236520000</v>
      </c>
      <c r="AB393" s="69" t="str">
        <f>IF(AA393&lt;60,"1",IF(AA393&lt;=43200,"2",IF(AA393&lt;=777600,"3","4")))</f>
        <v>4</v>
      </c>
      <c r="AC393" s="72">
        <f>AVERAGE(AV392:DA392)</f>
        <v>78840000</v>
      </c>
      <c r="AD393" s="69" t="str">
        <f>IF(AC393&lt;60,"1",IF(AC393&lt;=43200,"2",IF(AC393&lt;=777600,"3","4")))</f>
        <v>4</v>
      </c>
      <c r="AE393" s="87">
        <f>AA393-Y393</f>
        <v>204984000</v>
      </c>
      <c r="AF393" s="88">
        <f>AV393</f>
        <v>0.59780219780219745</v>
      </c>
      <c r="AG393" s="72">
        <f>((AW393-AV393)+(AX393-AW393)+(AY393-AX393)+(AZ393-AY393)+(BA393-AZ393)+(BB393-BA393))/6</f>
        <v>-2.258019758019757E-2</v>
      </c>
      <c r="AH393" s="4"/>
      <c r="AI393" s="72">
        <f>RSQ(AV393:BB393,AV392:BB392)</f>
        <v>0.24054458260726366</v>
      </c>
      <c r="AJ393" s="110">
        <f>SLOPE(AV393:BB393,AV392:BB392)</f>
        <v>-7.9461091705601392E-10</v>
      </c>
      <c r="AK393" s="72">
        <f>INTERCEPT(AV393:BB393,AV392:BB392)</f>
        <v>0.54541312358276606</v>
      </c>
      <c r="AL393" s="72">
        <f>INDEX(LINEST(LN(AV393:BB393),LN(AV392:BB392),TRUE,TRUE),3,1)</f>
        <v>0.34525875320329158</v>
      </c>
      <c r="AM393" s="72">
        <f>INDEX(LINEST(LN(AV393:BB393),LN(AV392:BB392)),1)</f>
        <v>-0.12802922936849193</v>
      </c>
      <c r="AN393" s="72">
        <f>EXP(INDEX(LINEST(LN(AV393:BB393),LN(AV392:BB392)),1,2))</f>
        <v>4.8670129770584039</v>
      </c>
      <c r="AO393" s="89">
        <f>INDEX(LINEST((AV393:BB393),LN(AV392:BB392),TRUE,TRUE),3,1)</f>
        <v>0.37339606117032054</v>
      </c>
      <c r="AP393" s="89">
        <f>INDEX(LINEST((AV393:BB393),LN(AV392:BB392)),1)</f>
        <v>-6.8476123253142701E-2</v>
      </c>
      <c r="AQ393" s="90">
        <f>INDEX(LINEST(LN(AV393:BB393),SQRT(AV392:BB392),TRUE,TRUE),3,1)</f>
        <v>0.27687388857504375</v>
      </c>
      <c r="AR393" s="117">
        <f>INDEX(LINEST(LN(AV393:BB393),SQRT((AV392:BB392))),1)</f>
        <v>-2.8136535633724081E-5</v>
      </c>
      <c r="AS393" s="91">
        <f>INDEX(LINEST(1/(AV393:BB393),1/(SQRT(AV392:BB392)),TRUE,TRUE),3,1)</f>
        <v>0.38646008330635151</v>
      </c>
      <c r="AT393" s="91">
        <f>INDEX(LINEST(1/(AV393:BB393),1/SQRT(AV392:BB392)),1)</f>
        <v>-4156.5132013057237</v>
      </c>
      <c r="AU393" s="3"/>
      <c r="AV393" s="97">
        <v>0.59780219780219745</v>
      </c>
      <c r="AW393" s="97">
        <v>0.46212454212454168</v>
      </c>
      <c r="AX393" s="97">
        <v>0.42999084249084202</v>
      </c>
      <c r="AY393" s="97">
        <v>0.4979567307692303</v>
      </c>
      <c r="AZ393" s="97">
        <v>0.44847374847374799</v>
      </c>
      <c r="BA393" s="97">
        <v>0.48069291819291765</v>
      </c>
      <c r="BB393" s="97">
        <v>0.46232101232101203</v>
      </c>
      <c r="BC393" s="177"/>
      <c r="BD393" s="11"/>
      <c r="BE393" s="11"/>
      <c r="BF393" s="11"/>
      <c r="BG393" s="11"/>
      <c r="BH393" s="11"/>
      <c r="BI393" s="11"/>
      <c r="BJ393" s="11"/>
      <c r="BK393" s="11"/>
      <c r="BL393" s="11"/>
      <c r="BM393" s="11"/>
      <c r="BN393" s="11"/>
      <c r="BO393" s="11"/>
      <c r="BP393" s="11"/>
      <c r="BQ393" s="11"/>
      <c r="BR393" s="11"/>
      <c r="BS393" s="11"/>
      <c r="BT393" s="11"/>
      <c r="BU393" s="11"/>
      <c r="BV393" s="11"/>
      <c r="BW393" s="11"/>
      <c r="BX393" s="11"/>
      <c r="BY393" s="11"/>
      <c r="BZ393" s="11"/>
      <c r="CA393" s="11"/>
      <c r="CB393" s="11"/>
      <c r="CC393" s="11"/>
      <c r="CD393" s="11"/>
      <c r="CE393" s="11"/>
      <c r="CF393" s="11"/>
      <c r="CG393" s="11"/>
      <c r="CH393" s="11"/>
      <c r="CI393" s="11"/>
      <c r="CJ393" s="11"/>
      <c r="CK393" s="11"/>
      <c r="CL393" s="11"/>
      <c r="CM393" s="11"/>
      <c r="CN393" s="11"/>
      <c r="CO393" s="11"/>
      <c r="CP393" s="11"/>
      <c r="CQ393" s="11"/>
      <c r="CR393" s="15"/>
      <c r="CS393" s="15"/>
      <c r="CT393" s="15"/>
      <c r="CU393" s="15"/>
    </row>
    <row r="394" spans="1:99" s="13" customFormat="1" ht="12" customHeight="1" x14ac:dyDescent="0.2">
      <c r="A394" s="65">
        <v>43509</v>
      </c>
      <c r="B394" s="1"/>
      <c r="C394" s="1"/>
      <c r="D394" s="60"/>
      <c r="E394" s="76"/>
      <c r="F394" s="60"/>
      <c r="G394" s="60"/>
      <c r="H394" s="60"/>
      <c r="I394" s="60"/>
      <c r="J394" s="60"/>
      <c r="K394" s="64"/>
      <c r="L394" s="64"/>
      <c r="M394" s="60"/>
      <c r="N394" s="60"/>
      <c r="O394" s="60"/>
      <c r="P394" s="60"/>
      <c r="Q394" s="60"/>
      <c r="R394" s="60"/>
      <c r="S394" s="60"/>
      <c r="T394" s="60"/>
      <c r="U394" s="60"/>
      <c r="V394" s="60"/>
      <c r="W394" s="60"/>
      <c r="X394" s="60"/>
      <c r="Y394" s="76"/>
      <c r="Z394" s="60"/>
      <c r="AA394" s="60"/>
      <c r="AB394" s="60"/>
      <c r="AC394" s="60"/>
      <c r="AD394" s="60"/>
      <c r="AE394" s="60"/>
      <c r="AF394" s="80"/>
      <c r="AG394" s="56"/>
      <c r="AH394" s="4"/>
      <c r="AI394" s="56"/>
      <c r="AJ394" s="109"/>
      <c r="AK394" s="56"/>
      <c r="AL394" s="56"/>
      <c r="AM394" s="56"/>
      <c r="AN394" s="56"/>
      <c r="AO394" s="56"/>
      <c r="AP394" s="56"/>
      <c r="AQ394" s="82"/>
      <c r="AR394" s="115"/>
      <c r="AS394" s="82"/>
      <c r="AT394" s="82"/>
      <c r="AU394" s="4"/>
      <c r="AV394" s="25">
        <v>30</v>
      </c>
      <c r="AW394" s="25">
        <f>19*60</f>
        <v>1140</v>
      </c>
      <c r="AX394" s="25">
        <f>63*60</f>
        <v>3780</v>
      </c>
      <c r="AY394" s="25">
        <f>525*60</f>
        <v>31500</v>
      </c>
      <c r="AZ394" s="25">
        <f>24*60*60</f>
        <v>86400</v>
      </c>
      <c r="BA394" s="25">
        <f>2*24*60*60</f>
        <v>172800</v>
      </c>
      <c r="BB394" s="25">
        <f>6*24*60*60</f>
        <v>518400</v>
      </c>
      <c r="BC394" s="25">
        <f>31*24*60*60</f>
        <v>2678400</v>
      </c>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1"/>
      <c r="CS394" s="1"/>
      <c r="CT394" s="1"/>
      <c r="CU394" s="1"/>
    </row>
    <row r="395" spans="1:99" s="13" customFormat="1" ht="12" customHeight="1" x14ac:dyDescent="0.2">
      <c r="A395" s="65">
        <v>43509</v>
      </c>
      <c r="B395" s="1" t="s">
        <v>147</v>
      </c>
      <c r="C395" s="1" t="s">
        <v>139</v>
      </c>
      <c r="D395" s="60">
        <v>1885</v>
      </c>
      <c r="E395" s="76">
        <v>1</v>
      </c>
      <c r="F395" s="60">
        <v>1</v>
      </c>
      <c r="G395" s="60">
        <v>1</v>
      </c>
      <c r="H395" s="61" t="s">
        <v>238</v>
      </c>
      <c r="I395" s="60"/>
      <c r="J395" s="60" t="s">
        <v>281</v>
      </c>
      <c r="K395" s="60">
        <f>IF(J395="syllables",1,IF(J395="trigrams",2,IF(J395="strings",3,IF(J395="visual array",4,IF(J395="characters",5,IF(J395="letters",6,IF(J395="free forms",7,IF(J395="odors",8,IF(J395="words",9,IF(J395="pictures",10,IF(J395="object pictures",11,IF(J395="faces",12,IF(J395="names",13,IF(J395="idioms",14,IF(J395="grades",15,IF(J395="syllable-digit pairs",16,IF(J395="trigram-word pairs",17,IF(J395="word-digit pairs",18,IF(J395="English-Swahili pairs",19,IF(J395="spatial position",20,IF(J395="word pairs",21,IF(J395="word triads",22,IF(J395="generated words",23,IF(J395="word definition pairs",24,IF(J395="math problems",25,IF(J395="famous faces",26,IF(J395="famous names",27,IF(J395="famous voices",28,IF(J395="television programs",29,IF(J395="race horses",30,IF(J395="new vocabulary",31,IF(J395="sentences",32,IF(J395="concepts",33,IF(J395="ad slides",34,IF(J395="scenes",35,IF(J395="famous scenes",36,IF(J395="poems",37,IF(J395="walk",38,IF(J395="faces and events",39,IF(J395="events and names",40,IF(J395="flashbulb",41,IF(J395="stories",42,IF(J395="course material",43,IF(J395="autobiographical",44,IF(J395="novels",45,IF(J395="public events",46,"99"))))))))))))))))))))))))))))))))))))))))))))))</f>
        <v>1</v>
      </c>
      <c r="L395" s="60">
        <f>IF(J395="syllables",1,IF(J395="trigrams",1,IF(J395="strings",1,IF(J395="visual array",1,IF(J395="characters",1,IF(J395="letters",1,IF(J395="free forms",1,IF(J395="odors",2,IF(J395="words",2,IF(J395="pictures",2,IF(J395="object pictures",2,IF(J395="faces",2,IF(J395="names",2,IF(J395="idioms","2",IF(J395="grades",2,IF(J395="syllable-digit pairs",3,IF(J395="trigram-word pairs",3,IF(J395="word-digit pairs",3,IF(J395="English-Swahili pairs",3,IF(J395="spatial position",3,IF(J395="word pairs",4,IF(J395="word triads",4,IF(J395="generated words",4,IF(J395="word definition pairs",4,IF(J395="math problems",4,IF(J395="famous faces",4,IF(J395="famous names",4,IF(J395="famous voices",4,IF(J395="television programs",4,IF(J395="race horses",4,IF(J395="new vocabulary",4,IF(J395="sentences",5,IF(J395="concepts",5,IF(J395="ad slides",5,IF(J395="scenes",5,IF(J395="famous scenes",5,IF(J395="poems",6,IF(J395="walk",6,IF(J395="faces and events",6,IF(J395="events and names",6,IF(J395="flashbulb",7,IF(J395="stories",7,IF(J395="course material",7,IF(J395="autobiographical",7,IF(J395="novels",7,IF(J395="public events",7,"99"))))))))))))))))))))))))))))))))))))))))))))))</f>
        <v>1</v>
      </c>
      <c r="M395" s="60">
        <v>1</v>
      </c>
      <c r="N395" s="60">
        <v>2</v>
      </c>
      <c r="O395" s="60">
        <v>0</v>
      </c>
      <c r="P395" s="60"/>
      <c r="Q395" s="60" t="s">
        <v>87</v>
      </c>
      <c r="R395" s="60">
        <f>IF(Q395="Free Recall",1,IF(Q395="Cued Recall",2,IF(Q395="Recognition",3,IF(Q395="Multiple Choice",4,IF(Q395="Savings",5,IF(Q395="Stem Completion",6,IF(Q395="Fragment Completion",7,IF(Q395="anagram solution",8,IF(Q395="Matching",9,IF(Q395="Problem Solving",10,"99"))))))))))</f>
        <v>5</v>
      </c>
      <c r="S395" s="60" t="s">
        <v>87</v>
      </c>
      <c r="T395" s="59" t="s">
        <v>581</v>
      </c>
      <c r="U395" s="60">
        <f>IF(T395="within",1,0)</f>
        <v>1</v>
      </c>
      <c r="V395" s="59">
        <v>15964</v>
      </c>
      <c r="W395" s="60">
        <f>F395*V395</f>
        <v>15964</v>
      </c>
      <c r="X395" s="60">
        <v>8</v>
      </c>
      <c r="Y395" s="76">
        <f>AV394</f>
        <v>30</v>
      </c>
      <c r="Z395" s="60" t="s">
        <v>148</v>
      </c>
      <c r="AA395" s="60">
        <v>2678659.2000000002</v>
      </c>
      <c r="AB395" s="60" t="str">
        <f>IF(AA395&lt;60,"1",IF(AA395&lt;=43200,"2",IF(AA395&lt;=777600,"3","4")))</f>
        <v>4</v>
      </c>
      <c r="AC395" s="56">
        <f>AVERAGE(AV394:DA394)</f>
        <v>436556.25</v>
      </c>
      <c r="AD395" s="60" t="str">
        <f>IF(AC395&lt;60,"1",IF(AC395&lt;=43200,"2",IF(AC395&lt;=777600,"3","4")))</f>
        <v>3</v>
      </c>
      <c r="AE395" s="76">
        <f>AA395-Y395</f>
        <v>2678629.2000000002</v>
      </c>
      <c r="AF395" s="80">
        <f>AV395</f>
        <v>1</v>
      </c>
      <c r="AG395" s="56">
        <f>((AW395-AV395)+(AX395-AW395)+(AY395-AX395)+(AZ395-AY395)+(BA395-AZ395)+(BB395-BA395)+(BC395-BB395))/7</f>
        <v>-0.11271428571428573</v>
      </c>
      <c r="AH395" s="4"/>
      <c r="AI395" s="56">
        <f>RSQ(AV395:BC395,AV394:BC394)</f>
        <v>0.18954698259697439</v>
      </c>
      <c r="AJ395" s="109">
        <f>SLOPE(AV395:BC395,AV394:BC394)</f>
        <v>-1.2151029190786024E-7</v>
      </c>
      <c r="AK395" s="56">
        <f>INTERCEPT(AV395:BC395,AV394:BC394)</f>
        <v>0.48579607737170083</v>
      </c>
      <c r="AL395" s="56">
        <f>INDEX(LINEST(LN(AV395:BC395),LN(AV394:BC394),TRUE,TRUE),3,1)</f>
        <v>0.98757172762302359</v>
      </c>
      <c r="AM395" s="56">
        <f>INDEX(LINEST(LN(AV395:BC395),LN(AV394:BC394)),1)</f>
        <v>-0.13567423012773172</v>
      </c>
      <c r="AN395" s="56">
        <f>EXP(INDEX(LINEST(LN(AV395:BC395),LN(AV394:BC394)),1,2))</f>
        <v>1.4978019607104573</v>
      </c>
      <c r="AO395" s="82">
        <f>INDEX(LINEST((AV395:BC395),LN(AV394:BC394),TRUE,TRUE),3,1)</f>
        <v>0.9057178616219479</v>
      </c>
      <c r="AP395" s="82">
        <f>INDEX(LINEST((AV395:BC395),LN(AV394:BC394)),1)</f>
        <v>-6.66277516676613E-2</v>
      </c>
      <c r="AQ395" s="83">
        <f>INDEX(LINEST(LN(AV395:BC395),SQRT(AV394:BC394),TRUE,TRUE),3,1)</f>
        <v>0.54987649060603716</v>
      </c>
      <c r="AR395" s="116">
        <f>INDEX(LINEST(LN(AV395:BC395),SQRT((AV394:BC394))),1)</f>
        <v>-6.8062447918154135E-4</v>
      </c>
      <c r="AS395" s="84">
        <f>INDEX(LINEST(1/(AV395:BC395),1/(SQRT(AV394:BC394)),TRUE,TRUE),3,1)</f>
        <v>0.51929840920415204</v>
      </c>
      <c r="AT395" s="84">
        <f>INDEX(LINEST(1/(AV395:BC395),1/SQRT(AV394:BC394)),1)</f>
        <v>-14.066988468289154</v>
      </c>
      <c r="AU395" s="3"/>
      <c r="AV395" s="53">
        <v>1</v>
      </c>
      <c r="AW395" s="53">
        <v>0.58199999999999996</v>
      </c>
      <c r="AX395" s="53">
        <v>0.442</v>
      </c>
      <c r="AY395" s="53">
        <v>0.35799999999999998</v>
      </c>
      <c r="AZ395" s="53">
        <v>0.33700000000000002</v>
      </c>
      <c r="BA395" s="53">
        <v>0.27800000000000002</v>
      </c>
      <c r="BB395" s="53">
        <v>0.254</v>
      </c>
      <c r="BC395" s="53">
        <v>0.21099999999999999</v>
      </c>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1"/>
      <c r="CS395" s="1"/>
      <c r="CT395" s="1"/>
      <c r="CU395" s="1"/>
    </row>
    <row r="396" spans="1:99" s="13" customFormat="1" ht="12" customHeight="1" x14ac:dyDescent="0.2">
      <c r="A396" s="68">
        <v>43509</v>
      </c>
      <c r="B396" s="70"/>
      <c r="C396" s="70"/>
      <c r="D396" s="69"/>
      <c r="E396" s="87"/>
      <c r="F396" s="69"/>
      <c r="G396" s="69"/>
      <c r="H396" s="69"/>
      <c r="I396" s="69"/>
      <c r="J396" s="69"/>
      <c r="K396" s="107"/>
      <c r="L396" s="107"/>
      <c r="M396" s="69"/>
      <c r="N396" s="69"/>
      <c r="O396" s="69"/>
      <c r="P396" s="69"/>
      <c r="Q396" s="69"/>
      <c r="R396" s="69"/>
      <c r="S396" s="69"/>
      <c r="T396" s="69"/>
      <c r="U396" s="69"/>
      <c r="V396" s="69"/>
      <c r="W396" s="69"/>
      <c r="X396" s="69"/>
      <c r="Y396" s="87"/>
      <c r="Z396" s="69"/>
      <c r="AA396" s="69"/>
      <c r="AB396" s="69"/>
      <c r="AC396" s="69"/>
      <c r="AD396" s="69"/>
      <c r="AE396" s="69"/>
      <c r="AF396" s="88"/>
      <c r="AG396" s="72"/>
      <c r="AH396" s="4"/>
      <c r="AI396" s="72"/>
      <c r="AJ396" s="110"/>
      <c r="AK396" s="72"/>
      <c r="AL396" s="72"/>
      <c r="AM396" s="72"/>
      <c r="AN396" s="72"/>
      <c r="AO396" s="72"/>
      <c r="AP396" s="72"/>
      <c r="AQ396" s="89"/>
      <c r="AR396" s="118"/>
      <c r="AS396" s="89"/>
      <c r="AT396" s="89"/>
      <c r="AU396" s="3"/>
      <c r="AV396" s="71">
        <f>365*24*60*60*3</f>
        <v>94608000</v>
      </c>
      <c r="AW396" s="71">
        <f>365*24*60*60*4</f>
        <v>126144000</v>
      </c>
      <c r="AX396" s="71">
        <f>365*24*60*60*5</f>
        <v>157680000</v>
      </c>
      <c r="AY396" s="71">
        <f>365*24*60*60*6</f>
        <v>189216000</v>
      </c>
      <c r="AZ396" s="71">
        <f>365*24*60*60*7</f>
        <v>220752000</v>
      </c>
      <c r="BA396" s="71">
        <f>365*24*60*60*8</f>
        <v>252288000</v>
      </c>
      <c r="BB396" s="71">
        <f>365*24*60*60*9</f>
        <v>283824000</v>
      </c>
      <c r="BC396" s="71">
        <f>365*24*60*60*10</f>
        <v>315360000</v>
      </c>
      <c r="BD396" s="71">
        <f>365*24*60*60*11</f>
        <v>346896000</v>
      </c>
      <c r="BE396" s="71">
        <f>365*24*60*60*12</f>
        <v>378432000</v>
      </c>
      <c r="BF396" s="71">
        <f>365*24*60*60*13</f>
        <v>409968000</v>
      </c>
      <c r="BG396" s="71">
        <f>365*24*60*60*14</f>
        <v>441504000</v>
      </c>
      <c r="BH396" s="71">
        <f>365*24*60*60*15</f>
        <v>473040000</v>
      </c>
      <c r="BI396" s="71">
        <f>365*24*60*60*16</f>
        <v>504576000</v>
      </c>
      <c r="BJ396" s="53"/>
      <c r="BK396" s="53"/>
      <c r="BL396" s="53"/>
      <c r="BM396" s="53"/>
      <c r="BN396" s="53"/>
      <c r="BO396" s="53"/>
      <c r="BP396" s="53"/>
      <c r="BQ396" s="53"/>
      <c r="BR396" s="53"/>
      <c r="BS396" s="53"/>
      <c r="BT396" s="53"/>
      <c r="BU396" s="53"/>
      <c r="BV396" s="53"/>
      <c r="BW396" s="53"/>
      <c r="BX396" s="53"/>
      <c r="BY396" s="53"/>
      <c r="BZ396" s="53"/>
      <c r="CA396" s="53"/>
      <c r="CB396" s="53"/>
      <c r="CC396" s="53"/>
      <c r="CD396" s="53"/>
      <c r="CE396" s="53"/>
      <c r="CF396" s="53"/>
      <c r="CG396" s="53"/>
      <c r="CH396" s="53"/>
      <c r="CI396" s="53"/>
      <c r="CJ396" s="53"/>
      <c r="CK396" s="53"/>
      <c r="CL396" s="53"/>
      <c r="CM396" s="53"/>
      <c r="CN396" s="53"/>
      <c r="CO396" s="53"/>
      <c r="CP396" s="53"/>
      <c r="CQ396" s="53"/>
      <c r="CR396" s="1"/>
      <c r="CS396" s="1"/>
      <c r="CT396" s="1"/>
      <c r="CU396" s="1"/>
    </row>
    <row r="397" spans="1:99" s="13" customFormat="1" ht="12" customHeight="1" x14ac:dyDescent="0.2">
      <c r="A397" s="68">
        <v>43509</v>
      </c>
      <c r="B397" s="103" t="s">
        <v>214</v>
      </c>
      <c r="C397" s="70" t="s">
        <v>215</v>
      </c>
      <c r="D397" s="69">
        <v>1998</v>
      </c>
      <c r="E397" s="87">
        <v>1</v>
      </c>
      <c r="F397" s="69">
        <v>670</v>
      </c>
      <c r="G397" s="69">
        <v>47.9</v>
      </c>
      <c r="H397" s="69" t="s">
        <v>50</v>
      </c>
      <c r="I397" s="69" t="s">
        <v>674</v>
      </c>
      <c r="J397" s="69" t="s">
        <v>617</v>
      </c>
      <c r="K397" s="69">
        <f>IF(J397="syllables",1,IF(J397="trigrams",2,IF(J397="strings",3,IF(J397="visual array",4,IF(J397="characters",5,IF(J397="letters",6,IF(J397="free forms",7,IF(J397="odors",8,IF(J397="words",9,IF(J397="pictures",10,IF(J397="object pictures",11,IF(J397="faces",12,IF(J397="names",13,IF(J397="idioms",14,IF(J397="grades",15,IF(J397="syllable-digit pairs",16,IF(J397="trigram-word pairs",17,IF(J397="word-digit pairs",18,IF(J397="English-Swahili pairs",19,IF(J397="spatial position",20,IF(J397="word pairs",21,IF(J397="word triads",22,IF(J397="generated words",23,IF(J397="word definition pairs",24,IF(J397="math problems",25,IF(J397="famous faces",26,IF(J397="famous names",27,IF(J397="famous voices",28,IF(J397="television programs",29,IF(J397="race horses",30,IF(J397="new vocabulary",31,IF(J397="sentences",32,IF(J397="concepts",33,IF(J397="ad slides",34,IF(J397="scenes",35,IF(J397="famous scenes",36,IF(J397="poems",37,IF(J397="walk",38,IF(J397="faces and events",39,IF(J397="events and names",40,IF(J397="flashbulb",41,IF(J397="stories",42,IF(J397="course material",43,IF(J397="autobiographical",44,IF(J397="novels",45,IF(J397="public events",46,"99"))))))))))))))))))))))))))))))))))))))))))))))</f>
        <v>15</v>
      </c>
      <c r="L397" s="69">
        <f>IF(J397="syllables",1,IF(J397="trigrams",1,IF(J397="strings",1,IF(J397="visual array",1,IF(J397="characters",1,IF(J397="letters",1,IF(J397="free forms",1,IF(J397="odors",2,IF(J397="words",2,IF(J397="pictures",2,IF(J397="object pictures",2,IF(J397="faces",2,IF(J397="names",2,IF(J397="idioms","2",IF(J397="grades",2,IF(J397="syllable-digit pairs",3,IF(J397="trigram-word pairs",3,IF(J397="word-digit pairs",3,IF(J397="English-Swahili pairs",3,IF(J397="spatial position",3,IF(J397="word pairs",4,IF(J397="word triads",4,IF(J397="generated words",4,IF(J397="word definition pairs",4,IF(J397="math problems",4,IF(J397="famous faces",4,IF(J397="famous names",4,IF(J397="famous voices",4,IF(J397="television programs",4,IF(J397="race horses",4,IF(J397="new vocabulary",4,IF(J397="sentences",5,IF(J397="concepts",5,IF(J397="ad slides",5,IF(J397="scenes",5,IF(J397="famous scenes",5,IF(J397="poems",6,IF(J397="walk",6,IF(J397="faces and events",6,IF(J397="events and names",6,IF(J397="flashbulb",7,IF(J397="stories",7,IF(J397="course material",7,IF(J397="autobiographical",7,IF(J397="novels",7,IF(J397="public events",7,"99"))))))))))))))))))))))))))))))))))))))))))))))</f>
        <v>2</v>
      </c>
      <c r="M397" s="69">
        <v>0</v>
      </c>
      <c r="N397" s="69">
        <v>1</v>
      </c>
      <c r="O397" s="69">
        <v>0</v>
      </c>
      <c r="P397" s="69"/>
      <c r="Q397" s="69" t="s">
        <v>174</v>
      </c>
      <c r="R397" s="69">
        <f>IF(Q397="Free Recall",1,IF(Q397="Cued Recall",2,IF(Q397="Recognition",3,IF(Q397="Multiple Choice",4,IF(Q397="Savings",5,IF(Q397="Stem Completion",6,IF(Q397="Fragment Completion",7,IF(Q397="anagram solution",8,IF(Q397="Matching",9,IF(Q397="Problem Solving",10,"99"))))))))))</f>
        <v>1</v>
      </c>
      <c r="S397" s="69" t="s">
        <v>49</v>
      </c>
      <c r="T397" s="92" t="s">
        <v>261</v>
      </c>
      <c r="U397" s="69">
        <f>IF(T397="within",1,0)</f>
        <v>0</v>
      </c>
      <c r="V397" s="92">
        <v>40</v>
      </c>
      <c r="W397" s="69">
        <f>F397*V397</f>
        <v>26800</v>
      </c>
      <c r="X397" s="69">
        <v>14</v>
      </c>
      <c r="Y397" s="87">
        <f>AV396</f>
        <v>94608000</v>
      </c>
      <c r="Z397" s="69" t="s">
        <v>217</v>
      </c>
      <c r="AA397" s="69">
        <f>16*365*24*60*60</f>
        <v>504576000</v>
      </c>
      <c r="AB397" s="69" t="str">
        <f>IF(AA397&lt;60,"1",IF(AA397&lt;=43200,"2",IF(AA397&lt;=777600,"3","4")))</f>
        <v>4</v>
      </c>
      <c r="AC397" s="72">
        <f>AVERAGE(AV396:DA396)</f>
        <v>299592000</v>
      </c>
      <c r="AD397" s="69" t="str">
        <f>IF(AC397&lt;60,"1",IF(AC397&lt;=43200,"2",IF(AC397&lt;=777600,"3","4")))</f>
        <v>4</v>
      </c>
      <c r="AE397" s="87">
        <f>AA397-Y397</f>
        <v>409968000</v>
      </c>
      <c r="AF397" s="88">
        <f>AV397</f>
        <v>0.48</v>
      </c>
      <c r="AG397" s="72">
        <f>((AW397-AV397)+(AX397-AW397)+(AY397-AX397)+(AZ397-AY397)+(BA397-AZ397)+(BB397-BA397)+(BC397-BB397)+(BD397-BC397)+(BE397-BD397)+(BF397-BE397)+(BG397-BF397)+(BH397-BG397)+(BI397-BH397))/13</f>
        <v>-1.6999999999999998E-2</v>
      </c>
      <c r="AH397" s="4"/>
      <c r="AI397" s="72">
        <f>RSQ(AV397:BI397,AV396:BI396)</f>
        <v>0.7514052558229658</v>
      </c>
      <c r="AJ397" s="110">
        <f>SLOPE(AV397:BI397,AV396:BI396)</f>
        <v>-4.601055970918983E-10</v>
      </c>
      <c r="AK397" s="72">
        <f>INTERCEPT(AV397:BI397,AV396:BI396)</f>
        <v>0.45141538461538461</v>
      </c>
      <c r="AL397" s="72">
        <f>INDEX(LINEST(LN(AV397:BI397),LN(AV396:BI396),TRUE,TRUE),3,1)</f>
        <v>0.8813154216833462</v>
      </c>
      <c r="AM397" s="72">
        <f>INDEX(LINEST(LN(AV397:BI397),LN(AV396:BI396)),1)</f>
        <v>-0.37807976225248124</v>
      </c>
      <c r="AN397" s="72">
        <f>EXP(INDEX(LINEST(LN(AV397:BI397),LN(AV396:BI396)),1,2))</f>
        <v>472.0410688033997</v>
      </c>
      <c r="AO397" s="89">
        <f>INDEX(LINEST((AV397:BI397),LN(AV396:BI396),TRUE,TRUE),3,1)</f>
        <v>0.8823111470417454</v>
      </c>
      <c r="AP397" s="89">
        <f>INDEX(LINEST((AV397:BI397),LN(AV396:BI396)),1)</f>
        <v>-0.12741489728667174</v>
      </c>
      <c r="AQ397" s="90">
        <f>INDEX(LINEST(LN(AV397:BI397),SQRT(AV396:BI396),TRUE,TRUE),3,1)</f>
        <v>0.84071150639732384</v>
      </c>
      <c r="AR397" s="117">
        <f>INDEX(LINEST(LN(AV397:BI397),SQRT((AV396:BI396))),1)</f>
        <v>-4.7390045162174556E-5</v>
      </c>
      <c r="AS397" s="91">
        <f>INDEX(LINEST(1/(AV397:BI397),1/(SQRT(AV396:BI396)),TRUE,TRUE),3,1)</f>
        <v>0.84864338869579459</v>
      </c>
      <c r="AT397" s="91">
        <f>INDEX(LINEST(1/(AV397:BI397),1/SQRT(AV396:BI396)),1)</f>
        <v>-34064.538069150694</v>
      </c>
      <c r="AU397" s="3"/>
      <c r="AV397" s="73">
        <v>0.48</v>
      </c>
      <c r="AW397" s="73">
        <v>0.42399999999999999</v>
      </c>
      <c r="AX397" s="73">
        <v>0.36099999999999999</v>
      </c>
      <c r="AY397" s="73">
        <v>0.34499999999999997</v>
      </c>
      <c r="AZ397" s="73">
        <v>0.30299999999999999</v>
      </c>
      <c r="BA397" s="73">
        <v>0.32400000000000001</v>
      </c>
      <c r="BB397" s="73">
        <v>0.29199999999999998</v>
      </c>
      <c r="BC397" s="73">
        <v>0.27600000000000002</v>
      </c>
      <c r="BD397" s="73">
        <v>0.28599999999999998</v>
      </c>
      <c r="BE397" s="73">
        <v>0.27900000000000003</v>
      </c>
      <c r="BF397" s="73">
        <v>0.23200000000000001</v>
      </c>
      <c r="BG397" s="73">
        <v>0.29699999999999999</v>
      </c>
      <c r="BH397" s="73">
        <v>0.23200000000000001</v>
      </c>
      <c r="BI397" s="73">
        <v>0.25900000000000001</v>
      </c>
      <c r="BJ397" s="53"/>
      <c r="BK397" s="53"/>
      <c r="BL397" s="53"/>
      <c r="BM397" s="53"/>
      <c r="BN397" s="53"/>
      <c r="BO397" s="53"/>
      <c r="BP397" s="53"/>
      <c r="BQ397" s="53"/>
      <c r="BR397" s="53"/>
      <c r="BS397" s="53"/>
      <c r="BT397" s="53"/>
      <c r="BU397" s="53"/>
      <c r="BV397" s="53"/>
      <c r="BW397" s="53"/>
      <c r="BX397" s="53"/>
      <c r="BY397" s="53"/>
      <c r="BZ397" s="53"/>
      <c r="CA397" s="53"/>
      <c r="CB397" s="53"/>
      <c r="CC397" s="53"/>
      <c r="CD397" s="53"/>
      <c r="CE397" s="53"/>
      <c r="CF397" s="53"/>
      <c r="CG397" s="53"/>
      <c r="CH397" s="53"/>
      <c r="CI397" s="53"/>
      <c r="CJ397" s="53"/>
      <c r="CK397" s="53"/>
      <c r="CL397" s="53"/>
      <c r="CM397" s="53"/>
      <c r="CN397" s="53"/>
      <c r="CO397" s="53"/>
      <c r="CP397" s="53"/>
      <c r="CQ397" s="53"/>
      <c r="CR397" s="1"/>
      <c r="CS397" s="1"/>
      <c r="CT397" s="1"/>
      <c r="CU397" s="1"/>
    </row>
    <row r="398" spans="1:99" s="13" customFormat="1" ht="12" customHeight="1" x14ac:dyDescent="0.2">
      <c r="A398" s="68">
        <v>43509</v>
      </c>
      <c r="B398" s="70"/>
      <c r="C398" s="70"/>
      <c r="D398" s="69"/>
      <c r="E398" s="87"/>
      <c r="F398" s="69"/>
      <c r="G398" s="69"/>
      <c r="H398" s="69"/>
      <c r="I398" s="69"/>
      <c r="J398" s="69"/>
      <c r="K398" s="107"/>
      <c r="L398" s="107"/>
      <c r="M398" s="69"/>
      <c r="N398" s="69"/>
      <c r="O398" s="69"/>
      <c r="P398" s="69"/>
      <c r="Q398" s="69"/>
      <c r="R398" s="69"/>
      <c r="S398" s="69"/>
      <c r="T398" s="69"/>
      <c r="U398" s="69"/>
      <c r="V398" s="69"/>
      <c r="W398" s="69"/>
      <c r="X398" s="69"/>
      <c r="Y398" s="87"/>
      <c r="Z398" s="69"/>
      <c r="AA398" s="69"/>
      <c r="AB398" s="69"/>
      <c r="AC398" s="69"/>
      <c r="AD398" s="69"/>
      <c r="AE398" s="69"/>
      <c r="AF398" s="88"/>
      <c r="AG398" s="72"/>
      <c r="AH398" s="4"/>
      <c r="AI398" s="72"/>
      <c r="AJ398" s="110"/>
      <c r="AK398" s="72"/>
      <c r="AL398" s="72"/>
      <c r="AM398" s="72"/>
      <c r="AN398" s="72"/>
      <c r="AO398" s="72"/>
      <c r="AP398" s="72"/>
      <c r="AQ398" s="72"/>
      <c r="AR398" s="110"/>
      <c r="AS398" s="72"/>
      <c r="AT398" s="72"/>
      <c r="AU398" s="3"/>
      <c r="AV398" s="71">
        <f>365*24*60*60*3</f>
        <v>94608000</v>
      </c>
      <c r="AW398" s="71">
        <f>365*24*60*60*4</f>
        <v>126144000</v>
      </c>
      <c r="AX398" s="71">
        <f>365*24*60*60*5</f>
        <v>157680000</v>
      </c>
      <c r="AY398" s="71">
        <f>365*24*60*60*6</f>
        <v>189216000</v>
      </c>
      <c r="AZ398" s="71">
        <f>365*24*60*60*7</f>
        <v>220752000</v>
      </c>
      <c r="BA398" s="71">
        <f>365*24*60*60*8</f>
        <v>252288000</v>
      </c>
      <c r="BB398" s="71">
        <f>365*24*60*60*9</f>
        <v>283824000</v>
      </c>
      <c r="BC398" s="71">
        <f>365*24*60*60*10</f>
        <v>315360000</v>
      </c>
      <c r="BD398" s="71">
        <f>365*24*60*60*11</f>
        <v>346896000</v>
      </c>
      <c r="BE398" s="71">
        <f>365*24*60*60*12</f>
        <v>378432000</v>
      </c>
      <c r="BF398" s="71">
        <f>365*24*60*60*13</f>
        <v>409968000</v>
      </c>
      <c r="BG398" s="71">
        <f>365*24*60*60*14</f>
        <v>441504000</v>
      </c>
      <c r="BH398" s="71">
        <f>365*24*60*60*15</f>
        <v>473040000</v>
      </c>
      <c r="BI398" s="71">
        <f>365*24*60*60*16</f>
        <v>504576000</v>
      </c>
      <c r="BJ398" s="53"/>
      <c r="BK398" s="53"/>
      <c r="BL398" s="53"/>
      <c r="BM398" s="53"/>
      <c r="BN398" s="53"/>
      <c r="BO398" s="53"/>
      <c r="BP398" s="53"/>
      <c r="BQ398" s="53"/>
      <c r="BR398" s="53"/>
      <c r="BS398" s="53"/>
      <c r="BT398" s="53"/>
      <c r="BU398" s="53"/>
      <c r="BV398" s="53"/>
      <c r="BW398" s="53"/>
      <c r="BX398" s="53"/>
      <c r="BY398" s="53"/>
      <c r="BZ398" s="53"/>
      <c r="CA398" s="53"/>
      <c r="CB398" s="53"/>
      <c r="CC398" s="53"/>
      <c r="CD398" s="53"/>
      <c r="CE398" s="53"/>
      <c r="CF398" s="53"/>
      <c r="CG398" s="53"/>
      <c r="CH398" s="53"/>
      <c r="CI398" s="53"/>
      <c r="CJ398" s="53"/>
      <c r="CK398" s="53"/>
      <c r="CL398" s="53"/>
      <c r="CM398" s="53"/>
      <c r="CN398" s="53"/>
      <c r="CO398" s="53"/>
      <c r="CP398" s="53"/>
      <c r="CQ398" s="53"/>
      <c r="CR398" s="1"/>
      <c r="CS398" s="1"/>
      <c r="CT398" s="1"/>
      <c r="CU398" s="1"/>
    </row>
    <row r="399" spans="1:99" s="13" customFormat="1" ht="12" customHeight="1" x14ac:dyDescent="0.2">
      <c r="A399" s="68">
        <v>43509</v>
      </c>
      <c r="B399" s="70" t="s">
        <v>214</v>
      </c>
      <c r="C399" s="70" t="s">
        <v>215</v>
      </c>
      <c r="D399" s="69">
        <v>1998</v>
      </c>
      <c r="E399" s="87">
        <v>1</v>
      </c>
      <c r="F399" s="69">
        <v>371</v>
      </c>
      <c r="G399" s="69">
        <v>26.5</v>
      </c>
      <c r="H399" s="69" t="s">
        <v>50</v>
      </c>
      <c r="I399" s="69" t="s">
        <v>675</v>
      </c>
      <c r="J399" s="69" t="s">
        <v>617</v>
      </c>
      <c r="K399" s="69">
        <f>IF(J399="syllables",1,IF(J399="trigrams",2,IF(J399="strings",3,IF(J399="visual array",4,IF(J399="characters",5,IF(J399="letters",6,IF(J399="free forms",7,IF(J399="odors",8,IF(J399="words",9,IF(J399="pictures",10,IF(J399="object pictures",11,IF(J399="faces",12,IF(J399="names",13,IF(J399="idioms",14,IF(J399="grades",15,IF(J399="syllable-digit pairs",16,IF(J399="trigram-word pairs",17,IF(J399="word-digit pairs",18,IF(J399="English-Swahili pairs",19,IF(J399="spatial position",20,IF(J399="word pairs",21,IF(J399="word triads",22,IF(J399="generated words",23,IF(J399="word definition pairs",24,IF(J399="math problems",25,IF(J399="famous faces",26,IF(J399="famous names",27,IF(J399="famous voices",28,IF(J399="television programs",29,IF(J399="race horses",30,IF(J399="new vocabulary",31,IF(J399="sentences",32,IF(J399="concepts",33,IF(J399="ad slides",34,IF(J399="scenes",35,IF(J399="famous scenes",36,IF(J399="poems",37,IF(J399="walk",38,IF(J399="faces and events",39,IF(J399="events and names",40,IF(J399="flashbulb",41,IF(J399="stories",42,IF(J399="course material",43,IF(J399="autobiographical",44,IF(J399="novels",45,IF(J399="public events",46,"99"))))))))))))))))))))))))))))))))))))))))))))))</f>
        <v>15</v>
      </c>
      <c r="L399" s="69">
        <f>IF(J399="syllables",1,IF(J399="trigrams",1,IF(J399="strings",1,IF(J399="visual array",1,IF(J399="characters",1,IF(J399="letters",1,IF(J399="free forms",1,IF(J399="odors",2,IF(J399="words",2,IF(J399="pictures",2,IF(J399="object pictures",2,IF(J399="faces",2,IF(J399="names",2,IF(J399="idioms","2",IF(J399="grades",2,IF(J399="syllable-digit pairs",3,IF(J399="trigram-word pairs",3,IF(J399="word-digit pairs",3,IF(J399="English-Swahili pairs",3,IF(J399="spatial position",3,IF(J399="word pairs",4,IF(J399="word triads",4,IF(J399="generated words",4,IF(J399="word definition pairs",4,IF(J399="math problems",4,IF(J399="famous faces",4,IF(J399="famous names",4,IF(J399="famous voices",4,IF(J399="television programs",4,IF(J399="race horses",4,IF(J399="new vocabulary",4,IF(J399="sentences",5,IF(J399="concepts",5,IF(J399="ad slides",5,IF(J399="scenes",5,IF(J399="famous scenes",5,IF(J399="poems",6,IF(J399="walk",6,IF(J399="faces and events",6,IF(J399="events and names",6,IF(J399="flashbulb",7,IF(J399="stories",7,IF(J399="course material",7,IF(J399="autobiographical",7,IF(J399="novels",7,IF(J399="public events",7,"99"))))))))))))))))))))))))))))))))))))))))))))))</f>
        <v>2</v>
      </c>
      <c r="M399" s="69">
        <v>0</v>
      </c>
      <c r="N399" s="69">
        <v>1</v>
      </c>
      <c r="O399" s="69">
        <v>0</v>
      </c>
      <c r="P399" s="69"/>
      <c r="Q399" s="69" t="s">
        <v>174</v>
      </c>
      <c r="R399" s="69">
        <f>IF(Q399="Free Recall",1,IF(Q399="Cued Recall",2,IF(Q399="Recognition",3,IF(Q399="Multiple Choice",4,IF(Q399="Savings",5,IF(Q399="Stem Completion",6,IF(Q399="Fragment Completion",7,IF(Q399="anagram solution",8,IF(Q399="Matching",9,IF(Q399="Problem Solving",10,"99"))))))))))</f>
        <v>1</v>
      </c>
      <c r="S399" s="69" t="s">
        <v>49</v>
      </c>
      <c r="T399" s="92" t="s">
        <v>261</v>
      </c>
      <c r="U399" s="69">
        <f>IF(T399="within",1,0)</f>
        <v>0</v>
      </c>
      <c r="V399" s="92">
        <v>40</v>
      </c>
      <c r="W399" s="69">
        <f>F399*V399</f>
        <v>14840</v>
      </c>
      <c r="X399" s="69">
        <v>14</v>
      </c>
      <c r="Y399" s="87">
        <f>AV398</f>
        <v>94608000</v>
      </c>
      <c r="Z399" s="69" t="s">
        <v>217</v>
      </c>
      <c r="AA399" s="69">
        <f>16*365*24*60*60</f>
        <v>504576000</v>
      </c>
      <c r="AB399" s="69" t="str">
        <f>IF(AA399&lt;60,"1",IF(AA399&lt;=43200,"2",IF(AA399&lt;=777600,"3","4")))</f>
        <v>4</v>
      </c>
      <c r="AC399" s="72">
        <f>AVERAGE(AV398:DA398)</f>
        <v>299592000</v>
      </c>
      <c r="AD399" s="69" t="str">
        <f>IF(AC399&lt;60,"1",IF(AC399&lt;=43200,"2",IF(AC399&lt;=777600,"3","4")))</f>
        <v>4</v>
      </c>
      <c r="AE399" s="87">
        <f>AA399-Y399</f>
        <v>409968000</v>
      </c>
      <c r="AF399" s="88">
        <f>AV399</f>
        <v>0.31900000000000001</v>
      </c>
      <c r="AG399" s="72">
        <f>((AW399-AV399)+(AX399-AW399)+(AY399-AX399)+(AZ399-AY399)+(BA399-AZ399)+(BB399-BA399)+(BC399-BB399)+(BD399-BC399)+(BE399-BD399)+(BF399-BE399)+(BG399-BF399)+(BH399-BG399)+(BI399-BH399))/13</f>
        <v>-1.3615384615384619E-2</v>
      </c>
      <c r="AH399" s="4"/>
      <c r="AI399" s="72">
        <f>RSQ(AV399:BI399,AV398:BI398)</f>
        <v>0.45361040823416776</v>
      </c>
      <c r="AJ399" s="110">
        <f>SLOPE(AV399:BI399,AV398:BI398)</f>
        <v>-2.9737512614224948E-10</v>
      </c>
      <c r="AK399" s="72">
        <f>INTERCEPT(AV399:BI399,AV398:BI398)</f>
        <v>0.28487692307692308</v>
      </c>
      <c r="AL399" s="72">
        <f>INDEX(LINEST(LN(AV399:BI399),LN(AV398:BI398),TRUE,TRUE),3,1)</f>
        <v>0.4351337533124463</v>
      </c>
      <c r="AM399" s="72">
        <f>INDEX(LINEST(LN(AV399:BI399),LN(AV398:BI398)),1)</f>
        <v>-0.3977072828056179</v>
      </c>
      <c r="AN399" s="72">
        <f>EXP(INDEX(LINEST(LN(AV399:BI399),LN(AV398:BI398)),1,2))</f>
        <v>421.8644823131454</v>
      </c>
      <c r="AO399" s="89">
        <f>INDEX(LINEST((AV399:BI399),LN(AV398:BI398),TRUE,TRUE),3,1)</f>
        <v>0.52333542395223231</v>
      </c>
      <c r="AP399" s="89">
        <f>INDEX(LINEST((AV399:BI399),LN(AV398:BI398)),1)</f>
        <v>-8.1628557760380138E-2</v>
      </c>
      <c r="AQ399" s="90">
        <f>INDEX(LINEST(LN(AV399:BI399),SQRT(AV398:BI398),TRUE,TRUE),3,1)</f>
        <v>0.41623678717154683</v>
      </c>
      <c r="AR399" s="117">
        <f>INDEX(LINEST(LN(AV399:BI399),SQRT((AV398:BI398))),1)</f>
        <v>-4.991927488903844E-5</v>
      </c>
      <c r="AS399" s="91">
        <f>INDEX(LINEST(1/(AV399:BI399),1/(SQRT(AV398:BI398)),TRUE,TRUE),3,1)</f>
        <v>0.33884725111065567</v>
      </c>
      <c r="AT399" s="91">
        <f>INDEX(LINEST(1/(AV399:BI399),1/SQRT(AV398:BI398)),1)</f>
        <v>-60781.412039502509</v>
      </c>
      <c r="AU399" s="3"/>
      <c r="AV399" s="73">
        <v>0.31900000000000001</v>
      </c>
      <c r="AW399" s="73">
        <v>0.23499999999999999</v>
      </c>
      <c r="AX399" s="73">
        <v>0.22500000000000001</v>
      </c>
      <c r="AY399" s="73">
        <v>0.224</v>
      </c>
      <c r="AZ399" s="73">
        <v>0.25900000000000001</v>
      </c>
      <c r="BA399" s="73">
        <v>0.108</v>
      </c>
      <c r="BB399" s="73">
        <v>0.17199999999999999</v>
      </c>
      <c r="BC399" s="73">
        <v>0.18</v>
      </c>
      <c r="BD399" s="73">
        <v>0.217</v>
      </c>
      <c r="BE399" s="73">
        <v>0.14299999999999999</v>
      </c>
      <c r="BF399" s="73">
        <v>0.21099999999999999</v>
      </c>
      <c r="BG399" s="73">
        <v>0.193</v>
      </c>
      <c r="BH399" s="73">
        <v>0.113</v>
      </c>
      <c r="BI399" s="73">
        <v>0.14199999999999999</v>
      </c>
      <c r="BJ399" s="53"/>
      <c r="BK399" s="53"/>
      <c r="BL399" s="53"/>
      <c r="BM399" s="53"/>
      <c r="BN399" s="53"/>
      <c r="BO399" s="53"/>
      <c r="BP399" s="53"/>
      <c r="BQ399" s="53"/>
      <c r="BR399" s="53"/>
      <c r="BS399" s="53"/>
      <c r="BT399" s="53"/>
      <c r="BU399" s="53"/>
      <c r="BV399" s="53"/>
      <c r="BW399" s="53"/>
      <c r="BX399" s="53"/>
      <c r="BY399" s="53"/>
      <c r="BZ399" s="53"/>
      <c r="CA399" s="53"/>
      <c r="CB399" s="53"/>
      <c r="CC399" s="53"/>
      <c r="CD399" s="53"/>
      <c r="CE399" s="53"/>
      <c r="CF399" s="53"/>
      <c r="CG399" s="53"/>
      <c r="CH399" s="53"/>
      <c r="CI399" s="53"/>
      <c r="CJ399" s="53"/>
      <c r="CK399" s="53"/>
      <c r="CL399" s="53"/>
      <c r="CM399" s="53"/>
      <c r="CN399" s="53"/>
      <c r="CO399" s="53"/>
      <c r="CP399" s="53"/>
      <c r="CQ399" s="53"/>
      <c r="CR399" s="1"/>
      <c r="CS399" s="1"/>
      <c r="CT399" s="1"/>
      <c r="CU399" s="1"/>
    </row>
    <row r="400" spans="1:99" ht="12" customHeight="1" x14ac:dyDescent="0.2">
      <c r="A400" s="65">
        <v>43899</v>
      </c>
      <c r="B400" s="15"/>
      <c r="C400" s="15"/>
      <c r="D400" s="59"/>
      <c r="E400" s="75"/>
      <c r="F400" s="59"/>
      <c r="G400" s="59"/>
      <c r="H400" s="59"/>
      <c r="I400" s="59"/>
      <c r="J400" s="59"/>
      <c r="M400" s="59"/>
      <c r="N400" s="59"/>
      <c r="O400" s="59"/>
      <c r="P400" s="59"/>
      <c r="Q400" s="59"/>
      <c r="R400" s="60"/>
      <c r="S400" s="59"/>
      <c r="T400" s="59"/>
      <c r="U400" s="60"/>
      <c r="V400" s="59"/>
      <c r="W400" s="60"/>
      <c r="X400" s="59"/>
      <c r="Y400" s="76"/>
      <c r="Z400" s="59"/>
      <c r="AA400" s="59"/>
      <c r="AB400" s="60"/>
      <c r="AC400" s="56"/>
      <c r="AD400" s="60"/>
      <c r="AE400" s="60"/>
      <c r="AF400" s="80"/>
      <c r="AG400" s="56"/>
      <c r="AH400" s="4"/>
      <c r="AI400" s="56"/>
      <c r="AJ400" s="109"/>
      <c r="AK400" s="56"/>
      <c r="AL400" s="56"/>
      <c r="AM400" s="56"/>
      <c r="AN400" s="56"/>
      <c r="AO400" s="82"/>
      <c r="AP400" s="82"/>
      <c r="AQ400" s="83"/>
      <c r="AR400" s="116"/>
      <c r="AS400" s="84"/>
      <c r="AT400" s="84"/>
      <c r="AU400" s="3"/>
      <c r="AV400" s="47">
        <v>900</v>
      </c>
      <c r="AW400" s="47">
        <v>18000</v>
      </c>
      <c r="AX400" s="47">
        <v>181440</v>
      </c>
      <c r="AY400" s="11"/>
      <c r="AZ400" s="11"/>
      <c r="BA400" s="11"/>
      <c r="BB400" s="11"/>
      <c r="BC400" s="11"/>
      <c r="BD400" s="11"/>
      <c r="BE400" s="11"/>
      <c r="BF400" s="11"/>
      <c r="BG400" s="11"/>
      <c r="BH400" s="11"/>
      <c r="BI400" s="11"/>
      <c r="BJ400" s="11"/>
      <c r="BK400" s="11"/>
      <c r="BL400" s="11"/>
      <c r="BM400" s="11"/>
      <c r="BN400" s="11"/>
      <c r="BO400" s="11"/>
      <c r="BP400" s="11"/>
      <c r="BQ400" s="11"/>
      <c r="BR400" s="11"/>
      <c r="BS400" s="11"/>
      <c r="BT400" s="11"/>
      <c r="BU400" s="11"/>
      <c r="BV400" s="11"/>
      <c r="BW400" s="11"/>
      <c r="BX400" s="11"/>
      <c r="BY400" s="11"/>
      <c r="BZ400" s="11"/>
      <c r="CA400" s="11"/>
      <c r="CB400" s="11"/>
      <c r="CC400" s="11"/>
      <c r="CD400" s="11"/>
      <c r="CE400" s="11"/>
      <c r="CF400" s="11"/>
      <c r="CG400" s="11"/>
      <c r="CH400" s="11"/>
      <c r="CI400" s="11"/>
      <c r="CJ400" s="11"/>
      <c r="CK400" s="11"/>
      <c r="CL400" s="11"/>
      <c r="CM400" s="11"/>
      <c r="CN400" s="11"/>
      <c r="CO400" s="11"/>
      <c r="CP400" s="11"/>
      <c r="CQ400" s="11"/>
      <c r="CR400" s="15"/>
      <c r="CS400" s="15"/>
      <c r="CT400" s="15"/>
      <c r="CU400" s="15"/>
    </row>
    <row r="401" spans="1:99" ht="12" customHeight="1" x14ac:dyDescent="0.2">
      <c r="A401" s="65">
        <v>43899</v>
      </c>
      <c r="B401" s="15" t="s">
        <v>386</v>
      </c>
      <c r="C401" s="15" t="s">
        <v>387</v>
      </c>
      <c r="D401" s="59">
        <v>1976</v>
      </c>
      <c r="E401" s="75">
        <v>1</v>
      </c>
      <c r="F401" s="59">
        <v>59</v>
      </c>
      <c r="G401" s="59">
        <v>59</v>
      </c>
      <c r="H401" s="59" t="s">
        <v>50</v>
      </c>
      <c r="I401" s="59" t="s">
        <v>388</v>
      </c>
      <c r="J401" s="59" t="s">
        <v>320</v>
      </c>
      <c r="K401" s="60">
        <f>IF(J401="syllables",1,IF(J401="trigrams",2,IF(J401="strings",3,IF(J401="visual array",4,IF(J401="characters",5,IF(J401="letters",6,IF(J401="free forms",7,IF(J401="odors",8,IF(J401="words",9,IF(J401="pictures",10,IF(J401="object pictures",11,IF(J401="faces",12,IF(J401="names",13,IF(J401="idioms",14,IF(J401="grades",15,IF(J401="syllable-digit pairs",16,IF(J401="trigram-word pairs",17,IF(J401="word-digit pairs",18,IF(J401="English-Swahili pairs",19,IF(J401="spatial position",20,IF(J401="word pairs",21,IF(J401="word triads",22,IF(J401="generated words",23,IF(J401="word definition pairs",24,IF(J401="math problems",25,IF(J401="famous faces",26,IF(J401="famous names",27,IF(J401="famous voices",28,IF(J401="television programs",29,IF(J401="race horses",30,IF(J401="new vocabulary",31,IF(J401="sentences",32,IF(J401="concepts",33,IF(J401="ad slides",34,IF(J401="scenes",35,IF(J401="famous scenes",36,IF(J401="poems",37,IF(J401="walk",38,IF(J401="faces and events",39,IF(J401="events and names",40,IF(J401="flashbulb",41,IF(J401="stories",42,IF(J401="course material",43,IF(J401="autobiographical",44,IF(J401="novels",45,IF(J401="public events",46,"99"))))))))))))))))))))))))))))))))))))))))))))))</f>
        <v>21</v>
      </c>
      <c r="L401" s="60">
        <f>IF(J401="syllables",1,IF(J401="trigrams",1,IF(J401="strings",1,IF(J401="visual array",1,IF(J401="characters",1,IF(J401="letters",1,IF(J401="free forms",1,IF(J401="odors",2,IF(J401="words",2,IF(J401="pictures",2,IF(J401="object pictures",2,IF(J401="faces",2,IF(J401="names",2,IF(J401="idioms","2",IF(J401="grades",2,IF(J401="syllable-digit pairs",3,IF(J401="trigram-word pairs",3,IF(J401="word-digit pairs",3,IF(J401="English-Swahili pairs",3,IF(J401="spatial position",3,IF(J401="word pairs",4,IF(J401="word triads",4,IF(J401="generated words",4,IF(J401="word definition pairs",4,IF(J401="math problems",4,IF(J401="famous faces",4,IF(J401="famous names",4,IF(J401="famous voices",4,IF(J401="television programs",4,IF(J401="race horses",4,IF(J401="new vocabulary",4,IF(J401="sentences",5,IF(J401="concepts",5,IF(J401="ad slides",5,IF(J401="scenes",5,IF(J401="famous scenes",5,IF(J401="poems",6,IF(J401="walk",6,IF(J401="faces and events",6,IF(J401="events and names",6,IF(J401="flashbulb",7,IF(J401="stories",7,IF(J401="course material",7,IF(J401="autobiographical",7,IF(J401="novels",7,IF(J401="public events",7,"99"))))))))))))))))))))))))))))))))))))))))))))))</f>
        <v>4</v>
      </c>
      <c r="M401" s="59">
        <v>0</v>
      </c>
      <c r="N401" s="59">
        <v>1</v>
      </c>
      <c r="O401" s="59">
        <v>0</v>
      </c>
      <c r="P401" s="59"/>
      <c r="Q401" s="59" t="s">
        <v>174</v>
      </c>
      <c r="R401" s="60">
        <f>IF(Q401="Free Recall",1,IF(Q401="Cued Recall",2,IF(Q401="Recognition",3,IF(Q401="Multiple Choice",4,IF(Q401="Savings",5,IF(Q401="Stem Completion",6,IF(Q401="Fragment Completion",7,IF(Q401="anagram solution",8,IF(Q401="Matching",9,IF(Q401="Problem Solving",10,"99"))))))))))</f>
        <v>1</v>
      </c>
      <c r="S401" s="60" t="s">
        <v>49</v>
      </c>
      <c r="T401" s="59" t="s">
        <v>581</v>
      </c>
      <c r="U401" s="60">
        <f>IF(T401="within",1,0)</f>
        <v>1</v>
      </c>
      <c r="V401" s="59">
        <v>15</v>
      </c>
      <c r="W401" s="60">
        <f>F401*V401</f>
        <v>885</v>
      </c>
      <c r="X401" s="59">
        <v>3</v>
      </c>
      <c r="Y401" s="76">
        <f>AV400</f>
        <v>900</v>
      </c>
      <c r="Z401" s="59" t="s">
        <v>389</v>
      </c>
      <c r="AA401" s="59">
        <v>1814400</v>
      </c>
      <c r="AB401" s="60" t="str">
        <f>IF(AA401&lt;60,"1",IF(AA401&lt;=43200,"2",IF(AA401&lt;=777600,"3","4")))</f>
        <v>4</v>
      </c>
      <c r="AC401" s="56">
        <f>AVERAGE(AV400:DA400)</f>
        <v>66780</v>
      </c>
      <c r="AD401" s="60" t="str">
        <f>IF(AC401&lt;60,"1",IF(AC401&lt;=43200,"2",IF(AC401&lt;=777600,"3","4")))</f>
        <v>3</v>
      </c>
      <c r="AE401" s="76">
        <f>AA401-Y401</f>
        <v>1813500</v>
      </c>
      <c r="AF401" s="80">
        <f>AV401</f>
        <v>0.85</v>
      </c>
      <c r="AG401" s="56">
        <f>((AW401-AV401)+(AX401-AW401))/2</f>
        <v>-9.9999999999999978E-2</v>
      </c>
      <c r="AH401" s="4"/>
      <c r="AI401" s="56">
        <f>RSQ(AV401:AX401,AV400:AX400)</f>
        <v>0.89940214524202888</v>
      </c>
      <c r="AJ401" s="109">
        <f>SLOPE(AV401:AX401,AV400:AX400)</f>
        <v>-9.5787002758361246E-7</v>
      </c>
      <c r="AK401" s="56">
        <f>INTERCEPT(AV401:AX401,AV400:AX400)</f>
        <v>0.82063322710870035</v>
      </c>
      <c r="AL401" s="56">
        <f>INDEX(LINEST(LN(AV401:AX401),LN(AV400:AX400),TRUE,TRUE),3,1)</f>
        <v>0.95016046756314154</v>
      </c>
      <c r="AM401" s="56">
        <f>INDEX(LINEST(LN(AV401:AX401),LN(AV400:AX400)),1)</f>
        <v>-4.9707177621142622E-2</v>
      </c>
      <c r="AN401" s="56">
        <f>EXP(INDEX(LINEST(LN(AV401:AX401),LN(AV400:AX400)),1,2))</f>
        <v>1.2102120588113143</v>
      </c>
      <c r="AO401" s="82">
        <f>INDEX(LINEST((AV401:AX401),LN(AV400:AX400),TRUE,TRUE),3,1)</f>
        <v>0.96456409415027067</v>
      </c>
      <c r="AP401" s="82">
        <f>INDEX(LINEST((AV401:AX401),LN(AV400:AX400)),1)</f>
        <v>-3.7160158921915203E-2</v>
      </c>
      <c r="AQ401" s="83">
        <f>INDEX(LINEST(LN(AV401:AX401),SQRT(AV400:AX400),TRUE,TRUE),3,1)</f>
        <v>0.98653098298506448</v>
      </c>
      <c r="AR401" s="116">
        <f>INDEX(LINEST(LN(AV401:AX401),SQRT((AV400:AX400))),1)</f>
        <v>-6.5651952049921756E-4</v>
      </c>
      <c r="AS401" s="84">
        <f>INDEX(LINEST(1/(AV401:AX401),1/(SQRT(AV400:AX400)),TRUE,TRUE),3,1)</f>
        <v>0.72267457665884827</v>
      </c>
      <c r="AT401" s="84">
        <f>INDEX(LINEST(1/(AV401:AX401),1/SQRT(AV400:AX400)),1)</f>
        <v>-9.423035798361191</v>
      </c>
      <c r="AU401" s="3"/>
      <c r="AV401" s="11">
        <v>0.85</v>
      </c>
      <c r="AW401" s="11">
        <v>0.77</v>
      </c>
      <c r="AX401" s="11">
        <v>0.65</v>
      </c>
      <c r="AY401" s="11"/>
      <c r="AZ401" s="11"/>
      <c r="BA401" s="11"/>
      <c r="BB401" s="11"/>
      <c r="BC401" s="11"/>
      <c r="BD401" s="11"/>
      <c r="BE401" s="11"/>
      <c r="BF401" s="11"/>
      <c r="BG401" s="11"/>
      <c r="BH401" s="11"/>
      <c r="BI401" s="11"/>
      <c r="BJ401" s="11"/>
      <c r="BK401" s="11"/>
      <c r="BL401" s="11"/>
      <c r="BM401" s="11"/>
      <c r="BN401" s="11"/>
      <c r="BO401" s="11"/>
      <c r="BP401" s="11"/>
      <c r="BQ401" s="11"/>
      <c r="BR401" s="11"/>
      <c r="BS401" s="11"/>
      <c r="BT401" s="11"/>
      <c r="BU401" s="11"/>
      <c r="BV401" s="11"/>
      <c r="BW401" s="11"/>
      <c r="BX401" s="11"/>
      <c r="BY401" s="11"/>
      <c r="BZ401" s="11"/>
      <c r="CA401" s="11"/>
      <c r="CB401" s="11"/>
      <c r="CC401" s="11"/>
      <c r="CD401" s="11"/>
      <c r="CE401" s="11"/>
      <c r="CF401" s="11"/>
      <c r="CG401" s="11"/>
      <c r="CH401" s="11"/>
      <c r="CI401" s="11"/>
      <c r="CJ401" s="11"/>
      <c r="CK401" s="11"/>
      <c r="CL401" s="11"/>
      <c r="CM401" s="11"/>
      <c r="CN401" s="11"/>
      <c r="CO401" s="11"/>
      <c r="CP401" s="11"/>
      <c r="CQ401" s="11"/>
      <c r="CR401" s="15"/>
      <c r="CS401" s="15"/>
      <c r="CT401" s="15"/>
      <c r="CU401" s="15"/>
    </row>
    <row r="402" spans="1:99" ht="12" customHeight="1" x14ac:dyDescent="0.2">
      <c r="A402" s="65">
        <v>43899</v>
      </c>
      <c r="B402" s="15"/>
      <c r="C402" s="15"/>
      <c r="D402" s="59"/>
      <c r="E402" s="75"/>
      <c r="F402" s="59"/>
      <c r="G402" s="59"/>
      <c r="H402" s="59"/>
      <c r="I402" s="59"/>
      <c r="J402" s="59"/>
      <c r="M402" s="59"/>
      <c r="N402" s="59"/>
      <c r="O402" s="59"/>
      <c r="P402" s="59"/>
      <c r="Q402" s="59"/>
      <c r="R402" s="60"/>
      <c r="S402" s="59"/>
      <c r="T402" s="59"/>
      <c r="U402" s="60"/>
      <c r="V402" s="59"/>
      <c r="W402" s="60"/>
      <c r="X402" s="59"/>
      <c r="Y402" s="76"/>
      <c r="Z402" s="59"/>
      <c r="AA402" s="59"/>
      <c r="AB402" s="60"/>
      <c r="AC402" s="56"/>
      <c r="AD402" s="60"/>
      <c r="AE402" s="60"/>
      <c r="AF402" s="80"/>
      <c r="AG402" s="56"/>
      <c r="AH402" s="4"/>
      <c r="AI402" s="56"/>
      <c r="AJ402" s="109"/>
      <c r="AK402" s="56"/>
      <c r="AL402" s="56"/>
      <c r="AM402" s="56"/>
      <c r="AN402" s="56"/>
      <c r="AO402" s="82"/>
      <c r="AP402" s="82"/>
      <c r="AQ402" s="83"/>
      <c r="AR402" s="116"/>
      <c r="AS402" s="84"/>
      <c r="AT402" s="84"/>
      <c r="AU402" s="3"/>
      <c r="AV402" s="47">
        <v>900</v>
      </c>
      <c r="AW402" s="47">
        <v>18000</v>
      </c>
      <c r="AX402" s="47">
        <v>181440</v>
      </c>
      <c r="AY402" s="11"/>
      <c r="AZ402" s="11"/>
      <c r="BA402" s="11"/>
      <c r="BB402" s="11"/>
      <c r="BC402" s="11"/>
      <c r="BD402" s="11"/>
      <c r="BE402" s="11"/>
      <c r="BF402" s="11"/>
      <c r="BG402" s="11"/>
      <c r="BH402" s="11"/>
      <c r="BI402" s="11"/>
      <c r="BJ402" s="11"/>
      <c r="BK402" s="11"/>
      <c r="BL402" s="11"/>
      <c r="BM402" s="11"/>
      <c r="BN402" s="11"/>
      <c r="BO402" s="11"/>
      <c r="BP402" s="11"/>
      <c r="BQ402" s="11"/>
      <c r="BR402" s="11"/>
      <c r="BS402" s="11"/>
      <c r="BT402" s="11"/>
      <c r="BU402" s="11"/>
      <c r="BV402" s="11"/>
      <c r="BW402" s="11"/>
      <c r="BX402" s="11"/>
      <c r="BY402" s="11"/>
      <c r="BZ402" s="11"/>
      <c r="CA402" s="11"/>
      <c r="CB402" s="11"/>
      <c r="CC402" s="11"/>
      <c r="CD402" s="11"/>
      <c r="CE402" s="11"/>
      <c r="CF402" s="11"/>
      <c r="CG402" s="11"/>
      <c r="CH402" s="11"/>
      <c r="CI402" s="11"/>
      <c r="CJ402" s="11"/>
      <c r="CK402" s="11"/>
      <c r="CL402" s="11"/>
      <c r="CM402" s="11"/>
      <c r="CN402" s="11"/>
      <c r="CO402" s="11"/>
      <c r="CP402" s="11"/>
      <c r="CQ402" s="11"/>
      <c r="CR402" s="15"/>
      <c r="CS402" s="15"/>
      <c r="CT402" s="15"/>
      <c r="CU402" s="15"/>
    </row>
    <row r="403" spans="1:99" ht="12" customHeight="1" x14ac:dyDescent="0.2">
      <c r="A403" s="65">
        <v>43899</v>
      </c>
      <c r="B403" s="15" t="s">
        <v>386</v>
      </c>
      <c r="C403" s="15" t="s">
        <v>387</v>
      </c>
      <c r="D403" s="59">
        <v>1976</v>
      </c>
      <c r="E403" s="75">
        <v>1</v>
      </c>
      <c r="F403" s="59">
        <v>59</v>
      </c>
      <c r="G403" s="59">
        <v>59</v>
      </c>
      <c r="H403" s="59" t="s">
        <v>50</v>
      </c>
      <c r="I403" s="59" t="s">
        <v>390</v>
      </c>
      <c r="J403" s="59" t="s">
        <v>320</v>
      </c>
      <c r="K403" s="60">
        <f>IF(J403="syllables",1,IF(J403="trigrams",2,IF(J403="strings",3,IF(J403="visual array",4,IF(J403="characters",5,IF(J403="letters",6,IF(J403="free forms",7,IF(J403="odors",8,IF(J403="words",9,IF(J403="pictures",10,IF(J403="object pictures",11,IF(J403="faces",12,IF(J403="names",13,IF(J403="idioms",14,IF(J403="grades",15,IF(J403="syllable-digit pairs",16,IF(J403="trigram-word pairs",17,IF(J403="word-digit pairs",18,IF(J403="English-Swahili pairs",19,IF(J403="spatial position",20,IF(J403="word pairs",21,IF(J403="word triads",22,IF(J403="generated words",23,IF(J403="word definition pairs",24,IF(J403="math problems",25,IF(J403="famous faces",26,IF(J403="famous names",27,IF(J403="famous voices",28,IF(J403="television programs",29,IF(J403="race horses",30,IF(J403="new vocabulary",31,IF(J403="sentences",32,IF(J403="concepts",33,IF(J403="ad slides",34,IF(J403="scenes",35,IF(J403="famous scenes",36,IF(J403="poems",37,IF(J403="walk",38,IF(J403="faces and events",39,IF(J403="events and names",40,IF(J403="flashbulb",41,IF(J403="stories",42,IF(J403="course material",43,IF(J403="autobiographical",44,IF(J403="novels",45,IF(J403="public events",46,"99"))))))))))))))))))))))))))))))))))))))))))))))</f>
        <v>21</v>
      </c>
      <c r="L403" s="60">
        <f>IF(J403="syllables",1,IF(J403="trigrams",1,IF(J403="strings",1,IF(J403="visual array",1,IF(J403="characters",1,IF(J403="letters",1,IF(J403="free forms",1,IF(J403="odors",2,IF(J403="words",2,IF(J403="pictures",2,IF(J403="object pictures",2,IF(J403="faces",2,IF(J403="names",2,IF(J403="idioms","2",IF(J403="grades",2,IF(J403="syllable-digit pairs",3,IF(J403="trigram-word pairs",3,IF(J403="word-digit pairs",3,IF(J403="English-Swahili pairs",3,IF(J403="spatial position",3,IF(J403="word pairs",4,IF(J403="word triads",4,IF(J403="generated words",4,IF(J403="word definition pairs",4,IF(J403="math problems",4,IF(J403="famous faces",4,IF(J403="famous names",4,IF(J403="famous voices",4,IF(J403="television programs",4,IF(J403="race horses",4,IF(J403="new vocabulary",4,IF(J403="sentences",5,IF(J403="concepts",5,IF(J403="ad slides",5,IF(J403="scenes",5,IF(J403="famous scenes",5,IF(J403="poems",6,IF(J403="walk",6,IF(J403="faces and events",6,IF(J403="events and names",6,IF(J403="flashbulb",7,IF(J403="stories",7,IF(J403="course material",7,IF(J403="autobiographical",7,IF(J403="novels",7,IF(J403="public events",7,"99"))))))))))))))))))))))))))))))))))))))))))))))</f>
        <v>4</v>
      </c>
      <c r="M403" s="59">
        <v>0</v>
      </c>
      <c r="N403" s="59">
        <v>1</v>
      </c>
      <c r="O403" s="59">
        <v>0</v>
      </c>
      <c r="P403" s="59"/>
      <c r="Q403" s="59" t="s">
        <v>174</v>
      </c>
      <c r="R403" s="60">
        <f>IF(Q403="Free Recall",1,IF(Q403="Cued Recall",2,IF(Q403="Recognition",3,IF(Q403="Multiple Choice",4,IF(Q403="Savings",5,IF(Q403="Stem Completion",6,IF(Q403="Fragment Completion",7,IF(Q403="anagram solution",8,IF(Q403="Matching",9,IF(Q403="Problem Solving",10,"99"))))))))))</f>
        <v>1</v>
      </c>
      <c r="S403" s="60" t="s">
        <v>49</v>
      </c>
      <c r="T403" s="59" t="s">
        <v>581</v>
      </c>
      <c r="U403" s="60">
        <f>IF(T403="within",1,0)</f>
        <v>1</v>
      </c>
      <c r="V403" s="59">
        <v>15</v>
      </c>
      <c r="W403" s="60">
        <f>F403*V403</f>
        <v>885</v>
      </c>
      <c r="X403" s="59">
        <v>3</v>
      </c>
      <c r="Y403" s="76">
        <f>AV402</f>
        <v>900</v>
      </c>
      <c r="Z403" s="59" t="s">
        <v>389</v>
      </c>
      <c r="AA403" s="59">
        <v>1814400</v>
      </c>
      <c r="AB403" s="60" t="str">
        <f>IF(AA403&lt;60,"1",IF(AA403&lt;=43200,"2",IF(AA403&lt;=777600,"3","4")))</f>
        <v>4</v>
      </c>
      <c r="AC403" s="56">
        <f>AVERAGE(AV402:DA402)</f>
        <v>66780</v>
      </c>
      <c r="AD403" s="60" t="str">
        <f>IF(AC403&lt;60,"1",IF(AC403&lt;=43200,"2",IF(AC403&lt;=777600,"3","4")))</f>
        <v>3</v>
      </c>
      <c r="AE403" s="76">
        <f>AA403-Y403</f>
        <v>1813500</v>
      </c>
      <c r="AF403" s="80">
        <f>AV403</f>
        <v>0.8</v>
      </c>
      <c r="AG403" s="56">
        <f>((AW403-AV403)+(AX403-AW403))/2</f>
        <v>-0.10500000000000004</v>
      </c>
      <c r="AH403" s="4"/>
      <c r="AI403" s="56">
        <f>RSQ(AV403:AX403,AV402:AX402)</f>
        <v>0.50443306777335406</v>
      </c>
      <c r="AJ403" s="109">
        <f>SLOPE(AV403:AX403,AV402:AX402)</f>
        <v>-7.9460084581046969E-7</v>
      </c>
      <c r="AK403" s="56">
        <f>INTERCEPT(AV403:AX403,AV402:AX402)</f>
        <v>0.72639677781655654</v>
      </c>
      <c r="AL403" s="56">
        <f>INDEX(LINEST(LN(AV403:AX403),LN(AV402:AX402),TRUE,TRUE),3,1)</f>
        <v>0.94207562158453195</v>
      </c>
      <c r="AM403" s="56">
        <f>INDEX(LINEST(LN(AV403:AX403),LN(AV402:AX402)),1)</f>
        <v>-5.8463487871096113E-2</v>
      </c>
      <c r="AN403" s="56">
        <f>EXP(INDEX(LINEST(LN(AV403:AX403),LN(AV402:AX402)),1,2))</f>
        <v>1.1679025471326401</v>
      </c>
      <c r="AO403" s="82">
        <f>INDEX(LINEST((AV403:AX403),LN(AV402:AX402),TRUE,TRUE),3,1)</f>
        <v>0.92944690670705854</v>
      </c>
      <c r="AP403" s="82">
        <f>INDEX(LINEST((AV403:AX403),LN(AV402:AX402)),1)</f>
        <v>-4.0405634808057249E-2</v>
      </c>
      <c r="AQ403" s="83">
        <f>INDEX(LINEST(LN(AV403:AX403),SQRT(AV402:AX402),TRUE,TRUE),3,1)</f>
        <v>0.69551378369482963</v>
      </c>
      <c r="AR403" s="116">
        <f>INDEX(LINEST(LN(AV403:AX403),SQRT((AV402:AX402))),1)</f>
        <v>-6.5112798626657041E-4</v>
      </c>
      <c r="AS403" s="84">
        <f>INDEX(LINEST(1/(AV403:AX403),1/(SQRT(AV402:AX402)),TRUE,TRUE),3,1)</f>
        <v>0.99367067158478006</v>
      </c>
      <c r="AT403" s="84">
        <f>INDEX(LINEST(1/(AV403:AX403),1/SQRT(AV402:AX402)),1)</f>
        <v>-13.928451757558641</v>
      </c>
      <c r="AU403" s="3"/>
      <c r="AV403" s="11">
        <v>0.8</v>
      </c>
      <c r="AW403" s="11">
        <v>0.63</v>
      </c>
      <c r="AX403" s="11">
        <v>0.59</v>
      </c>
      <c r="AY403" s="11"/>
      <c r="AZ403" s="11"/>
      <c r="BA403" s="11"/>
      <c r="BB403" s="11"/>
      <c r="BC403" s="11"/>
      <c r="BD403" s="11"/>
      <c r="BE403" s="11"/>
      <c r="BF403" s="11"/>
      <c r="BG403" s="11"/>
      <c r="BH403" s="11"/>
      <c r="BI403" s="11"/>
      <c r="BJ403" s="11"/>
      <c r="BK403" s="11"/>
      <c r="BL403" s="11"/>
      <c r="BM403" s="11"/>
      <c r="BN403" s="11"/>
      <c r="BO403" s="11"/>
      <c r="BP403" s="11"/>
      <c r="BQ403" s="11"/>
      <c r="BR403" s="11"/>
      <c r="BS403" s="11"/>
      <c r="BT403" s="11"/>
      <c r="BU403" s="11"/>
      <c r="BV403" s="11"/>
      <c r="BW403" s="11"/>
      <c r="BX403" s="11"/>
      <c r="BY403" s="11"/>
      <c r="BZ403" s="11"/>
      <c r="CA403" s="11"/>
      <c r="CB403" s="11"/>
      <c r="CC403" s="11"/>
      <c r="CD403" s="11"/>
      <c r="CE403" s="11"/>
      <c r="CF403" s="11"/>
      <c r="CG403" s="11"/>
      <c r="CH403" s="11"/>
      <c r="CI403" s="11"/>
      <c r="CJ403" s="11"/>
      <c r="CK403" s="11"/>
      <c r="CL403" s="11"/>
      <c r="CM403" s="11"/>
      <c r="CN403" s="11"/>
      <c r="CO403" s="11"/>
      <c r="CP403" s="11"/>
      <c r="CQ403" s="11"/>
      <c r="CR403" s="15"/>
      <c r="CS403" s="15"/>
      <c r="CT403" s="15"/>
      <c r="CU403" s="15"/>
    </row>
    <row r="404" spans="1:99" ht="12" customHeight="1" x14ac:dyDescent="0.2">
      <c r="A404" s="65">
        <v>43899</v>
      </c>
      <c r="B404" s="15"/>
      <c r="C404" s="15"/>
      <c r="D404" s="59"/>
      <c r="E404" s="75"/>
      <c r="F404" s="59"/>
      <c r="G404" s="59"/>
      <c r="H404" s="59"/>
      <c r="I404" s="59"/>
      <c r="J404" s="59"/>
      <c r="M404" s="59"/>
      <c r="N404" s="59"/>
      <c r="O404" s="59"/>
      <c r="P404" s="59"/>
      <c r="Q404" s="59"/>
      <c r="R404" s="60"/>
      <c r="S404" s="59"/>
      <c r="T404" s="59"/>
      <c r="U404" s="60"/>
      <c r="V404" s="59"/>
      <c r="W404" s="60"/>
      <c r="X404" s="59"/>
      <c r="Y404" s="76"/>
      <c r="Z404" s="59"/>
      <c r="AA404" s="59"/>
      <c r="AB404" s="60"/>
      <c r="AC404" s="56"/>
      <c r="AD404" s="60"/>
      <c r="AE404" s="60"/>
      <c r="AF404" s="80"/>
      <c r="AG404" s="56"/>
      <c r="AH404" s="4"/>
      <c r="AI404" s="56"/>
      <c r="AJ404" s="109"/>
      <c r="AK404" s="56"/>
      <c r="AL404" s="56"/>
      <c r="AM404" s="56"/>
      <c r="AN404" s="56"/>
      <c r="AO404" s="82"/>
      <c r="AP404" s="82"/>
      <c r="AQ404" s="83"/>
      <c r="AR404" s="116"/>
      <c r="AS404" s="84"/>
      <c r="AT404" s="84"/>
      <c r="AU404" s="3"/>
      <c r="AV404" s="47">
        <v>900</v>
      </c>
      <c r="AW404" s="47">
        <v>18000</v>
      </c>
      <c r="AX404" s="47">
        <v>181440</v>
      </c>
      <c r="AY404" s="11"/>
      <c r="AZ404" s="11"/>
      <c r="BA404" s="11"/>
      <c r="BB404" s="11"/>
      <c r="BC404" s="11"/>
      <c r="BD404" s="11"/>
      <c r="BE404" s="11"/>
      <c r="BF404" s="11"/>
      <c r="BG404" s="11"/>
      <c r="BH404" s="11"/>
      <c r="BI404" s="11"/>
      <c r="BJ404" s="11"/>
      <c r="BK404" s="11"/>
      <c r="BL404" s="11"/>
      <c r="BM404" s="11"/>
      <c r="BN404" s="11"/>
      <c r="BO404" s="11"/>
      <c r="BP404" s="11"/>
      <c r="BQ404" s="11"/>
      <c r="BR404" s="11"/>
      <c r="BS404" s="11"/>
      <c r="BT404" s="11"/>
      <c r="BU404" s="11"/>
      <c r="BV404" s="11"/>
      <c r="BW404" s="11"/>
      <c r="BX404" s="11"/>
      <c r="BY404" s="11"/>
      <c r="BZ404" s="11"/>
      <c r="CA404" s="11"/>
      <c r="CB404" s="11"/>
      <c r="CC404" s="11"/>
      <c r="CD404" s="11"/>
      <c r="CE404" s="11"/>
      <c r="CF404" s="11"/>
      <c r="CG404" s="11"/>
      <c r="CH404" s="11"/>
      <c r="CI404" s="11"/>
      <c r="CJ404" s="11"/>
      <c r="CK404" s="11"/>
      <c r="CL404" s="11"/>
      <c r="CM404" s="11"/>
      <c r="CN404" s="11"/>
      <c r="CO404" s="11"/>
      <c r="CP404" s="11"/>
      <c r="CQ404" s="11"/>
      <c r="CR404" s="15"/>
      <c r="CS404" s="15"/>
      <c r="CT404" s="15"/>
      <c r="CU404" s="15"/>
    </row>
    <row r="405" spans="1:99" ht="12" customHeight="1" x14ac:dyDescent="0.2">
      <c r="A405" s="65">
        <v>43899</v>
      </c>
      <c r="B405" s="15" t="s">
        <v>386</v>
      </c>
      <c r="C405" s="15" t="s">
        <v>387</v>
      </c>
      <c r="D405" s="59">
        <v>1976</v>
      </c>
      <c r="E405" s="75">
        <v>1</v>
      </c>
      <c r="F405" s="59">
        <v>59</v>
      </c>
      <c r="G405" s="59">
        <v>59</v>
      </c>
      <c r="H405" s="59" t="s">
        <v>50</v>
      </c>
      <c r="I405" s="59" t="s">
        <v>391</v>
      </c>
      <c r="J405" s="59" t="s">
        <v>320</v>
      </c>
      <c r="K405" s="60">
        <f>IF(J405="syllables",1,IF(J405="trigrams",2,IF(J405="strings",3,IF(J405="visual array",4,IF(J405="characters",5,IF(J405="letters",6,IF(J405="free forms",7,IF(J405="odors",8,IF(J405="words",9,IF(J405="pictures",10,IF(J405="object pictures",11,IF(J405="faces",12,IF(J405="names",13,IF(J405="idioms",14,IF(J405="grades",15,IF(J405="syllable-digit pairs",16,IF(J405="trigram-word pairs",17,IF(J405="word-digit pairs",18,IF(J405="English-Swahili pairs",19,IF(J405="spatial position",20,IF(J405="word pairs",21,IF(J405="word triads",22,IF(J405="generated words",23,IF(J405="word definition pairs",24,IF(J405="math problems",25,IF(J405="famous faces",26,IF(J405="famous names",27,IF(J405="famous voices",28,IF(J405="television programs",29,IF(J405="race horses",30,IF(J405="new vocabulary",31,IF(J405="sentences",32,IF(J405="concepts",33,IF(J405="ad slides",34,IF(J405="scenes",35,IF(J405="famous scenes",36,IF(J405="poems",37,IF(J405="walk",38,IF(J405="faces and events",39,IF(J405="events and names",40,IF(J405="flashbulb",41,IF(J405="stories",42,IF(J405="course material",43,IF(J405="autobiographical",44,IF(J405="novels",45,IF(J405="public events",46,"99"))))))))))))))))))))))))))))))))))))))))))))))</f>
        <v>21</v>
      </c>
      <c r="L405" s="60">
        <f>IF(J405="syllables",1,IF(J405="trigrams",1,IF(J405="strings",1,IF(J405="visual array",1,IF(J405="characters",1,IF(J405="letters",1,IF(J405="free forms",1,IF(J405="odors",2,IF(J405="words",2,IF(J405="pictures",2,IF(J405="object pictures",2,IF(J405="faces",2,IF(J405="names",2,IF(J405="idioms","2",IF(J405="grades",2,IF(J405="syllable-digit pairs",3,IF(J405="trigram-word pairs",3,IF(J405="word-digit pairs",3,IF(J405="English-Swahili pairs",3,IF(J405="spatial position",3,IF(J405="word pairs",4,IF(J405="word triads",4,IF(J405="generated words",4,IF(J405="word definition pairs",4,IF(J405="math problems",4,IF(J405="famous faces",4,IF(J405="famous names",4,IF(J405="famous voices",4,IF(J405="television programs",4,IF(J405="race horses",4,IF(J405="new vocabulary",4,IF(J405="sentences",5,IF(J405="concepts",5,IF(J405="ad slides",5,IF(J405="scenes",5,IF(J405="famous scenes",5,IF(J405="poems",6,IF(J405="walk",6,IF(J405="faces and events",6,IF(J405="events and names",6,IF(J405="flashbulb",7,IF(J405="stories",7,IF(J405="course material",7,IF(J405="autobiographical",7,IF(J405="novels",7,IF(J405="public events",7,"99"))))))))))))))))))))))))))))))))))))))))))))))</f>
        <v>4</v>
      </c>
      <c r="M405" s="59">
        <v>0</v>
      </c>
      <c r="N405" s="59">
        <v>1</v>
      </c>
      <c r="O405" s="59">
        <v>0</v>
      </c>
      <c r="P405" s="59"/>
      <c r="Q405" s="59" t="s">
        <v>174</v>
      </c>
      <c r="R405" s="60">
        <f>IF(Q405="Free Recall",1,IF(Q405="Cued Recall",2,IF(Q405="Recognition",3,IF(Q405="Multiple Choice",4,IF(Q405="Savings",5,IF(Q405="Stem Completion",6,IF(Q405="Fragment Completion",7,IF(Q405="anagram solution",8,IF(Q405="Matching",9,IF(Q405="Problem Solving",10,"99"))))))))))</f>
        <v>1</v>
      </c>
      <c r="S405" s="60" t="s">
        <v>49</v>
      </c>
      <c r="T405" s="59" t="s">
        <v>581</v>
      </c>
      <c r="U405" s="60">
        <f>IF(T405="within",1,0)</f>
        <v>1</v>
      </c>
      <c r="V405" s="59">
        <v>15</v>
      </c>
      <c r="W405" s="60">
        <f>F405*V405</f>
        <v>885</v>
      </c>
      <c r="X405" s="59">
        <v>3</v>
      </c>
      <c r="Y405" s="76">
        <f>AV404</f>
        <v>900</v>
      </c>
      <c r="Z405" s="59" t="s">
        <v>389</v>
      </c>
      <c r="AA405" s="59">
        <v>1814400</v>
      </c>
      <c r="AB405" s="60" t="str">
        <f>IF(AA405&lt;60,"1",IF(AA405&lt;=43200,"2",IF(AA405&lt;=777600,"3","4")))</f>
        <v>4</v>
      </c>
      <c r="AC405" s="56">
        <f>AVERAGE(AV404:DA404)</f>
        <v>66780</v>
      </c>
      <c r="AD405" s="60" t="str">
        <f>IF(AC405&lt;60,"1",IF(AC405&lt;=43200,"2",IF(AC405&lt;=777600,"3","4")))</f>
        <v>3</v>
      </c>
      <c r="AE405" s="76">
        <f>AA405-Y405</f>
        <v>1813500</v>
      </c>
      <c r="AF405" s="80">
        <f>AV405</f>
        <v>0.43</v>
      </c>
      <c r="AG405" s="56">
        <f>((AW405-AV405)+(AX405-AW405))/2</f>
        <v>-0.14499999999999999</v>
      </c>
      <c r="AH405" s="4"/>
      <c r="AI405" s="56">
        <f>RSQ(AV405:AX405,AV404:AX404)</f>
        <v>0.4517708653332953</v>
      </c>
      <c r="AJ405" s="109">
        <f>SLOPE(AV405:AX405,AV404:AX404)</f>
        <v>-1.0598906150844777E-6</v>
      </c>
      <c r="AK405" s="56">
        <f>INTERCEPT(AV405:AX405,AV404:AX404)</f>
        <v>0.32077949527534144</v>
      </c>
      <c r="AL405" s="56">
        <f>INDEX(LINEST(LN(AV405:AX405),LN(AV404:AX404),TRUE,TRUE),3,1)</f>
        <v>0.94616837554052724</v>
      </c>
      <c r="AM405" s="56">
        <f>INDEX(LINEST(LN(AV405:AX405),LN(AV404:AX404)),1)</f>
        <v>-0.21530283029307667</v>
      </c>
      <c r="AN405" s="56">
        <f>EXP(INDEX(LINEST(LN(AV405:AX405),LN(AV404:AX404)),1,2))</f>
        <v>1.7368915283104613</v>
      </c>
      <c r="AO405" s="82">
        <f>INDEX(LINEST((AV405:AX405),LN(AV404:AX404),TRUE,TRUE),3,1)</f>
        <v>0.90010075522342836</v>
      </c>
      <c r="AP405" s="82">
        <f>INDEX(LINEST((AV405:AX405),LN(AV404:AX404)),1)</f>
        <v>-5.6044099087546824E-2</v>
      </c>
      <c r="AQ405" s="83">
        <f>INDEX(LINEST(LN(AV405:AX405),SQRT(AV404:AX404),TRUE,TRUE),3,1)</f>
        <v>0.70368370248567602</v>
      </c>
      <c r="AR405" s="116">
        <f>INDEX(LINEST(LN(AV405:AX405),SQRT((AV404:AX404))),1)</f>
        <v>-2.406721979770743E-3</v>
      </c>
      <c r="AS405" s="84">
        <f>INDEX(LINEST(1/(AV405:AX405),1/(SQRT(AV404:AX404)),TRUE,TRUE),3,1)</f>
        <v>0.96971142669757682</v>
      </c>
      <c r="AT405" s="84">
        <f>INDEX(LINEST(1/(AV405:AX405),1/SQRT(AV404:AX404)),1)</f>
        <v>-145.51335982913466</v>
      </c>
      <c r="AU405" s="3"/>
      <c r="AV405" s="11">
        <v>0.43</v>
      </c>
      <c r="AW405" s="11">
        <v>0.18</v>
      </c>
      <c r="AX405" s="11">
        <v>0.14000000000000001</v>
      </c>
      <c r="AY405" s="11"/>
      <c r="AZ405" s="11"/>
      <c r="BA405" s="11"/>
      <c r="BB405" s="11"/>
      <c r="BC405" s="11"/>
      <c r="BD405" s="11"/>
      <c r="BE405" s="11"/>
      <c r="BF405" s="11"/>
      <c r="BG405" s="11"/>
      <c r="BH405" s="11"/>
      <c r="BI405" s="11"/>
      <c r="BJ405" s="11"/>
      <c r="BK405" s="11"/>
      <c r="BL405" s="11"/>
      <c r="BM405" s="11"/>
      <c r="BN405" s="11"/>
      <c r="BO405" s="11"/>
      <c r="BP405" s="11"/>
      <c r="BQ405" s="11"/>
      <c r="BR405" s="11"/>
      <c r="BS405" s="11"/>
      <c r="BT405" s="11"/>
      <c r="BU405" s="11"/>
      <c r="BV405" s="11"/>
      <c r="BW405" s="11"/>
      <c r="BX405" s="11"/>
      <c r="BY405" s="11"/>
      <c r="BZ405" s="11"/>
      <c r="CA405" s="11"/>
      <c r="CB405" s="11"/>
      <c r="CC405" s="11"/>
      <c r="CD405" s="11"/>
      <c r="CE405" s="11"/>
      <c r="CF405" s="11"/>
      <c r="CG405" s="11"/>
      <c r="CH405" s="11"/>
      <c r="CI405" s="11"/>
      <c r="CJ405" s="11"/>
      <c r="CK405" s="11"/>
      <c r="CL405" s="11"/>
      <c r="CM405" s="11"/>
      <c r="CN405" s="11"/>
      <c r="CO405" s="11"/>
      <c r="CP405" s="11"/>
      <c r="CQ405" s="11"/>
      <c r="CR405" s="15"/>
      <c r="CS405" s="15"/>
      <c r="CT405" s="15"/>
      <c r="CU405" s="15"/>
    </row>
    <row r="406" spans="1:99" ht="12" customHeight="1" x14ac:dyDescent="0.2">
      <c r="A406" s="65">
        <v>43899</v>
      </c>
      <c r="B406" s="15"/>
      <c r="C406" s="15"/>
      <c r="D406" s="59"/>
      <c r="E406" s="75"/>
      <c r="F406" s="59"/>
      <c r="G406" s="59"/>
      <c r="H406" s="59"/>
      <c r="I406" s="59"/>
      <c r="J406" s="59"/>
      <c r="M406" s="59"/>
      <c r="N406" s="59"/>
      <c r="O406" s="59"/>
      <c r="P406" s="59"/>
      <c r="Q406" s="59"/>
      <c r="R406" s="60"/>
      <c r="S406" s="59"/>
      <c r="T406" s="59"/>
      <c r="U406" s="60"/>
      <c r="V406" s="59"/>
      <c r="W406" s="60"/>
      <c r="X406" s="59"/>
      <c r="Y406" s="76"/>
      <c r="Z406" s="59"/>
      <c r="AA406" s="59"/>
      <c r="AB406" s="60"/>
      <c r="AC406" s="56"/>
      <c r="AD406" s="60"/>
      <c r="AE406" s="60"/>
      <c r="AF406" s="80"/>
      <c r="AG406" s="56"/>
      <c r="AH406" s="4"/>
      <c r="AI406" s="56"/>
      <c r="AJ406" s="109"/>
      <c r="AK406" s="56"/>
      <c r="AL406" s="56"/>
      <c r="AM406" s="56"/>
      <c r="AN406" s="56"/>
      <c r="AO406" s="82"/>
      <c r="AP406" s="82"/>
      <c r="AQ406" s="83"/>
      <c r="AR406" s="116"/>
      <c r="AS406" s="84"/>
      <c r="AT406" s="84"/>
      <c r="AU406" s="3"/>
      <c r="AV406" s="47">
        <v>900</v>
      </c>
      <c r="AW406" s="47">
        <v>18000</v>
      </c>
      <c r="AX406" s="47">
        <v>181440</v>
      </c>
      <c r="AY406" s="11"/>
      <c r="AZ406" s="11"/>
      <c r="BA406" s="11"/>
      <c r="BB406" s="11"/>
      <c r="BC406" s="11"/>
      <c r="BD406" s="11"/>
      <c r="BE406" s="11"/>
      <c r="BF406" s="11"/>
      <c r="BG406" s="11"/>
      <c r="BH406" s="11"/>
      <c r="BI406" s="11"/>
      <c r="BJ406" s="11"/>
      <c r="BK406" s="11"/>
      <c r="BL406" s="11"/>
      <c r="BM406" s="11"/>
      <c r="BN406" s="11"/>
      <c r="BO406" s="11"/>
      <c r="BP406" s="11"/>
      <c r="BQ406" s="11"/>
      <c r="BR406" s="11"/>
      <c r="BS406" s="11"/>
      <c r="BT406" s="11"/>
      <c r="BU406" s="11"/>
      <c r="BV406" s="11"/>
      <c r="BW406" s="11"/>
      <c r="BX406" s="11"/>
      <c r="BY406" s="11"/>
      <c r="BZ406" s="11"/>
      <c r="CA406" s="11"/>
      <c r="CB406" s="11"/>
      <c r="CC406" s="11"/>
      <c r="CD406" s="11"/>
      <c r="CE406" s="11"/>
      <c r="CF406" s="11"/>
      <c r="CG406" s="11"/>
      <c r="CH406" s="11"/>
      <c r="CI406" s="11"/>
      <c r="CJ406" s="11"/>
      <c r="CK406" s="11"/>
      <c r="CL406" s="11"/>
      <c r="CM406" s="11"/>
      <c r="CN406" s="11"/>
      <c r="CO406" s="11"/>
      <c r="CP406" s="11"/>
      <c r="CQ406" s="11"/>
      <c r="CR406" s="15"/>
      <c r="CS406" s="15"/>
      <c r="CT406" s="15"/>
      <c r="CU406" s="15"/>
    </row>
    <row r="407" spans="1:99" ht="12" customHeight="1" x14ac:dyDescent="0.2">
      <c r="A407" s="65">
        <v>43899</v>
      </c>
      <c r="B407" s="15" t="s">
        <v>386</v>
      </c>
      <c r="C407" s="15" t="s">
        <v>387</v>
      </c>
      <c r="D407" s="59">
        <v>1976</v>
      </c>
      <c r="E407" s="75">
        <v>1</v>
      </c>
      <c r="F407" s="59">
        <v>59</v>
      </c>
      <c r="G407" s="59">
        <v>59</v>
      </c>
      <c r="H407" s="59" t="s">
        <v>50</v>
      </c>
      <c r="I407" s="59" t="s">
        <v>392</v>
      </c>
      <c r="J407" s="59" t="s">
        <v>320</v>
      </c>
      <c r="K407" s="60">
        <f>IF(J407="syllables",1,IF(J407="trigrams",2,IF(J407="strings",3,IF(J407="visual array",4,IF(J407="characters",5,IF(J407="letters",6,IF(J407="free forms",7,IF(J407="odors",8,IF(J407="words",9,IF(J407="pictures",10,IF(J407="object pictures",11,IF(J407="faces",12,IF(J407="names",13,IF(J407="idioms",14,IF(J407="grades",15,IF(J407="syllable-digit pairs",16,IF(J407="trigram-word pairs",17,IF(J407="word-digit pairs",18,IF(J407="English-Swahili pairs",19,IF(J407="spatial position",20,IF(J407="word pairs",21,IF(J407="word triads",22,IF(J407="generated words",23,IF(J407="word definition pairs",24,IF(J407="math problems",25,IF(J407="famous faces",26,IF(J407="famous names",27,IF(J407="famous voices",28,IF(J407="television programs",29,IF(J407="race horses",30,IF(J407="new vocabulary",31,IF(J407="sentences",32,IF(J407="concepts",33,IF(J407="ad slides",34,IF(J407="scenes",35,IF(J407="famous scenes",36,IF(J407="poems",37,IF(J407="walk",38,IF(J407="faces and events",39,IF(J407="events and names",40,IF(J407="flashbulb",41,IF(J407="stories",42,IF(J407="course material",43,IF(J407="autobiographical",44,IF(J407="novels",45,IF(J407="public events",46,"99"))))))))))))))))))))))))))))))))))))))))))))))</f>
        <v>21</v>
      </c>
      <c r="L407" s="60">
        <f>IF(J407="syllables",1,IF(J407="trigrams",1,IF(J407="strings",1,IF(J407="visual array",1,IF(J407="characters",1,IF(J407="letters",1,IF(J407="free forms",1,IF(J407="odors",2,IF(J407="words",2,IF(J407="pictures",2,IF(J407="object pictures",2,IF(J407="faces",2,IF(J407="names",2,IF(J407="idioms","2",IF(J407="grades",2,IF(J407="syllable-digit pairs",3,IF(J407="trigram-word pairs",3,IF(J407="word-digit pairs",3,IF(J407="English-Swahili pairs",3,IF(J407="spatial position",3,IF(J407="word pairs",4,IF(J407="word triads",4,IF(J407="generated words",4,IF(J407="word definition pairs",4,IF(J407="math problems",4,IF(J407="famous faces",4,IF(J407="famous names",4,IF(J407="famous voices",4,IF(J407="television programs",4,IF(J407="race horses",4,IF(J407="new vocabulary",4,IF(J407="sentences",5,IF(J407="concepts",5,IF(J407="ad slides",5,IF(J407="scenes",5,IF(J407="famous scenes",5,IF(J407="poems",6,IF(J407="walk",6,IF(J407="faces and events",6,IF(J407="events and names",6,IF(J407="flashbulb",7,IF(J407="stories",7,IF(J407="course material",7,IF(J407="autobiographical",7,IF(J407="novels",7,IF(J407="public events",7,"99"))))))))))))))))))))))))))))))))))))))))))))))</f>
        <v>4</v>
      </c>
      <c r="M407" s="59">
        <v>0</v>
      </c>
      <c r="N407" s="59">
        <v>1</v>
      </c>
      <c r="O407" s="59">
        <v>0</v>
      </c>
      <c r="P407" s="59"/>
      <c r="Q407" s="59" t="s">
        <v>174</v>
      </c>
      <c r="R407" s="60">
        <f>IF(Q407="Free Recall",1,IF(Q407="Cued Recall",2,IF(Q407="Recognition",3,IF(Q407="Multiple Choice",4,IF(Q407="Savings",5,IF(Q407="Stem Completion",6,IF(Q407="Fragment Completion",7,IF(Q407="anagram solution",8,IF(Q407="Matching",9,IF(Q407="Problem Solving",10,"99"))))))))))</f>
        <v>1</v>
      </c>
      <c r="S407" s="60" t="s">
        <v>49</v>
      </c>
      <c r="T407" s="59" t="s">
        <v>581</v>
      </c>
      <c r="U407" s="60">
        <f>IF(T407="within",1,0)</f>
        <v>1</v>
      </c>
      <c r="V407" s="59">
        <v>15</v>
      </c>
      <c r="W407" s="60">
        <f>F407*V407</f>
        <v>885</v>
      </c>
      <c r="X407" s="59">
        <v>3</v>
      </c>
      <c r="Y407" s="76">
        <f>AV406</f>
        <v>900</v>
      </c>
      <c r="Z407" s="59" t="s">
        <v>389</v>
      </c>
      <c r="AA407" s="59">
        <v>1814400</v>
      </c>
      <c r="AB407" s="60" t="str">
        <f>IF(AA407&lt;60,"1",IF(AA407&lt;=43200,"2",IF(AA407&lt;=777600,"3","4")))</f>
        <v>4</v>
      </c>
      <c r="AC407" s="56">
        <f>AVERAGE(AV406:DA406)</f>
        <v>66780</v>
      </c>
      <c r="AD407" s="60" t="str">
        <f>IF(AC407&lt;60,"1",IF(AC407&lt;=43200,"2",IF(AC407&lt;=777600,"3","4")))</f>
        <v>3</v>
      </c>
      <c r="AE407" s="76">
        <f>AA407-Y407</f>
        <v>1813500</v>
      </c>
      <c r="AF407" s="80">
        <f>AV407</f>
        <v>0.22</v>
      </c>
      <c r="AG407" s="56">
        <f>((AW407-AV407)+(AX407-AW407))/2</f>
        <v>-9.5000000000000001E-2</v>
      </c>
      <c r="AH407" s="4"/>
      <c r="AI407" s="56">
        <f>RSQ(AV407:AX407,AV406:AX406)</f>
        <v>0.37230149195825563</v>
      </c>
      <c r="AJ407" s="109">
        <f>SLOPE(AV407:AX407,AV406:AX406)</f>
        <v>-6.546170023923194E-7</v>
      </c>
      <c r="AK407" s="56">
        <f>INTERCEPT(AV407:AX407,AV406:AX406)</f>
        <v>0.14038199008642577</v>
      </c>
      <c r="AL407" s="56">
        <f>INDEX(LINEST(LN(AV407:AX407),LN(AV406:AX406),TRUE,TRUE),3,1)</f>
        <v>0.903884269420554</v>
      </c>
      <c r="AM407" s="56">
        <f>INDEX(LINEST(LN(AV407:AX407),LN(AV406:AX406)),1)</f>
        <v>-0.38484057447004455</v>
      </c>
      <c r="AN407" s="56">
        <f>EXP(INDEX(LINEST(LN(AV407:AX407),LN(AV406:AX406)),1,2))</f>
        <v>2.5505307070774919</v>
      </c>
      <c r="AO407" s="82">
        <f>INDEX(LINEST((AV407:AX407),LN(AV406:AX406),TRUE,TRUE),3,1)</f>
        <v>0.84662228080443125</v>
      </c>
      <c r="AP407" s="82">
        <f>INDEX(LINEST((AV407:AX407),LN(AV406:AX406)),1)</f>
        <v>-3.6980019182387018E-2</v>
      </c>
      <c r="AQ407" s="83">
        <f>INDEX(LINEST(LN(AV407:AX407),SQRT(AV406:AX406),TRUE,TRUE),3,1)</f>
        <v>0.62729827819263817</v>
      </c>
      <c r="AR407" s="116">
        <f>INDEX(LINEST(LN(AV407:AX407),SQRT((AV406:AX406))),1)</f>
        <v>-4.1555942904803276E-3</v>
      </c>
      <c r="AS407" s="84">
        <f>INDEX(LINEST(1/(AV407:AX407),1/(SQRT(AV406:AX406)),TRUE,TRUE),3,1)</f>
        <v>0.98297684073972758</v>
      </c>
      <c r="AT407" s="84">
        <f>INDEX(LINEST(1/(AV407:AX407),1/SQRT(AV406:AX406)),1)</f>
        <v>-884.03894523574468</v>
      </c>
      <c r="AU407" s="3"/>
      <c r="AV407" s="11">
        <v>0.22</v>
      </c>
      <c r="AW407" s="11">
        <v>0.04</v>
      </c>
      <c r="AX407" s="11">
        <v>0.03</v>
      </c>
      <c r="AY407" s="11"/>
      <c r="AZ407" s="11"/>
      <c r="BA407" s="11"/>
      <c r="BB407" s="11"/>
      <c r="BC407" s="11"/>
      <c r="BD407" s="11"/>
      <c r="BE407" s="11"/>
      <c r="BF407" s="11"/>
      <c r="BG407" s="11"/>
      <c r="BH407" s="11"/>
      <c r="BI407" s="11"/>
      <c r="BJ407" s="11"/>
      <c r="BK407" s="11"/>
      <c r="BL407" s="11"/>
      <c r="BM407" s="11"/>
      <c r="BN407" s="11"/>
      <c r="BO407" s="11"/>
      <c r="BP407" s="11"/>
      <c r="BQ407" s="11"/>
      <c r="BR407" s="11"/>
      <c r="BS407" s="11"/>
      <c r="BT407" s="11"/>
      <c r="BU407" s="11"/>
      <c r="BV407" s="11"/>
      <c r="BW407" s="11"/>
      <c r="BX407" s="11"/>
      <c r="BY407" s="11"/>
      <c r="BZ407" s="11"/>
      <c r="CA407" s="11"/>
      <c r="CB407" s="11"/>
      <c r="CC407" s="11"/>
      <c r="CD407" s="11"/>
      <c r="CE407" s="11"/>
      <c r="CF407" s="11"/>
      <c r="CG407" s="11"/>
      <c r="CH407" s="11"/>
      <c r="CI407" s="11"/>
      <c r="CJ407" s="11"/>
      <c r="CK407" s="11"/>
      <c r="CL407" s="11"/>
      <c r="CM407" s="11"/>
      <c r="CN407" s="11"/>
      <c r="CO407" s="11"/>
      <c r="CP407" s="11"/>
      <c r="CQ407" s="11"/>
      <c r="CR407" s="15"/>
      <c r="CS407" s="15"/>
      <c r="CT407" s="15"/>
      <c r="CU407" s="15"/>
    </row>
    <row r="408" spans="1:99" ht="12" customHeight="1" x14ac:dyDescent="0.2">
      <c r="A408" s="68">
        <v>43978</v>
      </c>
      <c r="B408" s="94"/>
      <c r="C408" s="94"/>
      <c r="D408" s="92"/>
      <c r="E408" s="105"/>
      <c r="F408" s="92"/>
      <c r="G408" s="92"/>
      <c r="H408" s="92"/>
      <c r="I408" s="92"/>
      <c r="J408" s="92"/>
      <c r="K408" s="69"/>
      <c r="L408" s="69"/>
      <c r="M408" s="92"/>
      <c r="N408" s="92"/>
      <c r="O408" s="92"/>
      <c r="P408" s="92"/>
      <c r="Q408" s="92"/>
      <c r="R408" s="69"/>
      <c r="S408" s="69"/>
      <c r="T408" s="92"/>
      <c r="U408" s="69"/>
      <c r="V408" s="92"/>
      <c r="W408" s="69"/>
      <c r="X408" s="92"/>
      <c r="Y408" s="87"/>
      <c r="Z408" s="92"/>
      <c r="AA408" s="92"/>
      <c r="AB408" s="69"/>
      <c r="AC408" s="72"/>
      <c r="AD408" s="69"/>
      <c r="AE408" s="87"/>
      <c r="AF408" s="88"/>
      <c r="AG408" s="72"/>
      <c r="AH408" s="4"/>
      <c r="AI408" s="72"/>
      <c r="AJ408" s="110"/>
      <c r="AK408" s="72"/>
      <c r="AL408" s="72"/>
      <c r="AM408" s="72"/>
      <c r="AN408" s="72"/>
      <c r="AO408" s="89"/>
      <c r="AP408" s="89"/>
      <c r="AQ408" s="90"/>
      <c r="AR408" s="117"/>
      <c r="AS408" s="91"/>
      <c r="AT408" s="91"/>
      <c r="AU408" s="3"/>
      <c r="AV408" s="98">
        <v>30</v>
      </c>
      <c r="AW408" s="98">
        <f>60*60*30</f>
        <v>108000</v>
      </c>
      <c r="AX408" s="98">
        <f>60*60*24*7</f>
        <v>604800</v>
      </c>
      <c r="AY408" s="11"/>
      <c r="AZ408" s="43" t="s">
        <v>950</v>
      </c>
      <c r="BA408" s="11"/>
      <c r="BB408" s="11"/>
      <c r="BC408" s="11"/>
      <c r="BD408" s="11"/>
      <c r="BE408" s="11"/>
      <c r="BF408" s="11"/>
      <c r="BG408" s="11"/>
      <c r="BH408" s="11"/>
      <c r="BI408" s="11"/>
      <c r="BJ408" s="11"/>
      <c r="BK408" s="11"/>
      <c r="BL408" s="11"/>
      <c r="BM408" s="11"/>
      <c r="BN408" s="11"/>
      <c r="BO408" s="11"/>
      <c r="BP408" s="11"/>
      <c r="BQ408" s="11"/>
      <c r="BR408" s="11"/>
      <c r="BS408" s="11"/>
      <c r="BT408" s="11"/>
      <c r="BU408" s="11"/>
      <c r="BV408" s="11"/>
      <c r="BW408" s="11"/>
      <c r="BX408" s="11"/>
      <c r="BY408" s="11"/>
      <c r="BZ408" s="11"/>
      <c r="CA408" s="11"/>
      <c r="CB408" s="11"/>
      <c r="CC408" s="11"/>
      <c r="CD408" s="11"/>
      <c r="CE408" s="11"/>
      <c r="CF408" s="11"/>
      <c r="CG408" s="11"/>
      <c r="CH408" s="11"/>
      <c r="CI408" s="11"/>
      <c r="CJ408" s="11"/>
      <c r="CK408" s="11"/>
      <c r="CL408" s="11"/>
      <c r="CM408" s="11"/>
      <c r="CN408" s="11"/>
      <c r="CO408" s="11"/>
      <c r="CP408" s="11"/>
      <c r="CQ408" s="11"/>
      <c r="CR408" s="15"/>
      <c r="CS408" s="15"/>
      <c r="CT408" s="15"/>
      <c r="CU408" s="15"/>
    </row>
    <row r="409" spans="1:99" ht="12" customHeight="1" x14ac:dyDescent="0.2">
      <c r="A409" s="68">
        <v>43978</v>
      </c>
      <c r="B409" s="94" t="s">
        <v>948</v>
      </c>
      <c r="C409" s="94" t="s">
        <v>54</v>
      </c>
      <c r="D409" s="92">
        <v>2014</v>
      </c>
      <c r="E409" s="105">
        <v>1</v>
      </c>
      <c r="F409" s="92">
        <v>25</v>
      </c>
      <c r="G409" s="92">
        <v>25</v>
      </c>
      <c r="H409" s="92" t="s">
        <v>41</v>
      </c>
      <c r="I409" s="92" t="s">
        <v>949</v>
      </c>
      <c r="J409" s="92" t="s">
        <v>686</v>
      </c>
      <c r="K409" s="69">
        <f>IF(J409="syllables",1,IF(J409="trigrams",2,IF(J409="strings",3,IF(J409="visual array",4,IF(J409="characters",5,IF(J409="letters",6,IF(J409="free forms",7,IF(J409="odors",8,IF(J409="words",9,IF(J409="pictures",10,IF(J409="object pictures",11,IF(J409="faces",12,IF(J409="names",13,IF(J409="idioms",14,IF(J409="grades",15,IF(J409="syllable-digit pairs",16,IF(J409="trigram-word pairs",17,IF(J409="word-digit pairs",18,IF(J409="English-Swahili pairs",19,IF(J409="spatial position",20,IF(J409="word pairs",21,IF(J409="word triads",22,IF(J409="generated words",23,IF(J409="word definition pairs",24,IF(J409="math problems",25,IF(J409="famous faces",26,IF(J409="famous names",27,IF(J409="famous voices",28,IF(J409="television programs",29,IF(J409="race horses",30,IF(J409="new vocabulary",31,IF(J409="sentences",32,IF(J409="concepts",33,IF(J409="ad slides",34,IF(J409="scenes",35,IF(J409="famous scenes",36,IF(J409="poems",37,IF(J409="walk",38,IF(J409="faces and events",39,IF(J409="events and names",40,IF(J409="flashbulb",41,IF(J409="stories",42,IF(J409="course material",43,IF(J409="autobiographical",44,IF(J409="novels",45,IF(J409="public events",46,"99"))))))))))))))))))))))))))))))))))))))))))))))</f>
        <v>35</v>
      </c>
      <c r="L409" s="69">
        <f>IF(J409="syllables",1,IF(J409="trigrams",1,IF(J409="strings",1,IF(J409="visual array",1,IF(J409="characters",1,IF(J409="letters",1,IF(J409="free forms",1,IF(J409="odors",2,IF(J409="words",2,IF(J409="pictures",2,IF(J409="object pictures",2,IF(J409="faces",2,IF(J409="names",2,IF(J409="idioms","2",IF(J409="grades",2,IF(J409="syllable-digit pairs",3,IF(J409="trigram-word pairs",3,IF(J409="word-digit pairs",3,IF(J409="English-Swahili pairs",3,IF(J409="spatial position",3,IF(J409="word pairs",4,IF(J409="word triads",4,IF(J409="generated words",4,IF(J409="word definition pairs",4,IF(J409="math problems",4,IF(J409="famous faces",4,IF(J409="famous names",4,IF(J409="famous voices",4,IF(J409="television programs",4,IF(J409="race horses",4,IF(J409="new vocabulary",4,IF(J409="sentences",5,IF(J409="concepts",5,IF(J409="ad slides",5,IF(J409="scenes",5,IF(J409="famous scenes",5,IF(J409="poems",6,IF(J409="walk",6,IF(J409="faces and events",6,IF(J409="events and names",6,IF(J409="flashbulb",7,IF(J409="stories",7,IF(J409="course material",7,IF(J409="autobiographical",7,IF(J409="novels",7,IF(J409="public events",7,"99"))))))))))))))))))))))))))))))))))))))))))))))</f>
        <v>5</v>
      </c>
      <c r="M409" s="92">
        <v>0</v>
      </c>
      <c r="N409" s="92">
        <v>3</v>
      </c>
      <c r="O409" s="92">
        <v>0</v>
      </c>
      <c r="P409" s="92"/>
      <c r="Q409" s="92" t="s">
        <v>174</v>
      </c>
      <c r="R409" s="69">
        <f>IF(Q409="Free Recall",1,IF(Q409="Cued Recall",2,IF(Q409="Recognition",3,IF(Q409="Multiple Choice",4,IF(Q409="Savings",5,IF(Q409="Stem Completion",6,IF(Q409="Fragment Completion",7,IF(Q409="anagram solution",8,IF(Q409="Matching",9,IF(Q409="Problem Solving",10,"99"))))))))))</f>
        <v>1</v>
      </c>
      <c r="S409" s="69" t="s">
        <v>49</v>
      </c>
      <c r="T409" s="92" t="s">
        <v>581</v>
      </c>
      <c r="U409" s="69">
        <f>IF(T409="within",1,0)</f>
        <v>1</v>
      </c>
      <c r="V409" s="92">
        <f>3*18</f>
        <v>54</v>
      </c>
      <c r="W409" s="69">
        <f>F409*V409</f>
        <v>1350</v>
      </c>
      <c r="X409" s="92">
        <v>3</v>
      </c>
      <c r="Y409" s="87">
        <f>AV408</f>
        <v>30</v>
      </c>
      <c r="Z409" s="92" t="s">
        <v>150</v>
      </c>
      <c r="AA409" s="92">
        <f>60*60*24*7</f>
        <v>604800</v>
      </c>
      <c r="AB409" s="69" t="str">
        <f>IF(AA409&lt;60,"1",IF(AA409&lt;=43200,"2",IF(AA409&lt;=777600,"3","4")))</f>
        <v>3</v>
      </c>
      <c r="AC409" s="72">
        <f>AVERAGE(AV408:DA408)</f>
        <v>237610</v>
      </c>
      <c r="AD409" s="69" t="str">
        <f>IF(AC409&lt;60,"1",IF(AC409&lt;=43200,"2",IF(AC409&lt;=777600,"3","4")))</f>
        <v>3</v>
      </c>
      <c r="AE409" s="87">
        <f>AA409-Y409</f>
        <v>604770</v>
      </c>
      <c r="AF409" s="88">
        <f>AV409</f>
        <v>0.84667267998767226</v>
      </c>
      <c r="AG409" s="72">
        <f>((AW409-AV409)+(AX409-AW409))/2</f>
        <v>-0.18195311777078033</v>
      </c>
      <c r="AH409" s="4"/>
      <c r="AI409" s="72">
        <f>RSQ(AV409:AX409,AV408:AX408)</f>
        <v>0.99937614404368114</v>
      </c>
      <c r="AJ409" s="110">
        <f>SLOPE(AV409:AX409,AV408:AX408)</f>
        <v>-6.0735957090184951E-7</v>
      </c>
      <c r="AK409" s="72">
        <f>INTERCEPT(AV409:AX409,AV408:AX408)</f>
        <v>0.85104345823560912</v>
      </c>
      <c r="AL409" s="72">
        <f>INDEX(LINEST(LN(AV409:AX409),LN(AV408:AX408),TRUE,TRUE),3,1)</f>
        <v>0.51328544991195779</v>
      </c>
      <c r="AM409" s="72">
        <f>INDEX(LINEST(LN(AV409:AX409),LN(AV408:AX408)),1)</f>
        <v>-4.1470120856888885E-2</v>
      </c>
      <c r="AN409" s="72">
        <f>EXP(INDEX(LINEST(LN(AV409:AX409),LN(AV408:AX408)),1,2))</f>
        <v>1.0148826413791181</v>
      </c>
      <c r="AO409" s="89">
        <f>INDEX(LINEST((AV409:AX409),LN(AV408:AX408),TRUE,TRUE),3,1)</f>
        <v>0.5447107011445167</v>
      </c>
      <c r="AP409" s="89">
        <f>INDEX(LINEST((AV409:AX409),LN(AV408:AX408)),1)</f>
        <v>-2.7311243029722841E-2</v>
      </c>
      <c r="AQ409" s="90">
        <f>INDEX(LINEST(LN(AV409:AX409),SQRT(AV408:AX408),TRUE,TRUE),3,1)</f>
        <v>0.90221172820000073</v>
      </c>
      <c r="AR409" s="117">
        <f>INDEX(LINEST(LN(AV409:AX409),SQRT((AV408:AX408))),1)</f>
        <v>-7.5076212778992218E-4</v>
      </c>
      <c r="AS409" s="91">
        <f>INDEX(LINEST(1/(AV409:AX409),1/(SQRT(AV408:AX408)),TRUE,TRUE),3,1)</f>
        <v>0.33484480118207172</v>
      </c>
      <c r="AT409" s="91">
        <f>INDEX(LINEST(1/(AV409:AX409),1/SQRT(AV408:AX408)),1)</f>
        <v>-2.7314192240676989</v>
      </c>
      <c r="AU409" s="3"/>
      <c r="AV409" s="97">
        <v>0.84667267998767226</v>
      </c>
      <c r="AW409" s="97">
        <v>0.79074712734707786</v>
      </c>
      <c r="AX409" s="97">
        <v>0.48276644444611161</v>
      </c>
      <c r="AY409" s="11"/>
      <c r="AZ409" s="11"/>
      <c r="BA409" s="11"/>
      <c r="BB409" s="11"/>
      <c r="BC409" s="11"/>
      <c r="BD409" s="11"/>
      <c r="BE409" s="11"/>
      <c r="BF409" s="11"/>
      <c r="BG409" s="11"/>
      <c r="BH409" s="11"/>
      <c r="BI409" s="11"/>
      <c r="BJ409" s="11"/>
      <c r="BK409" s="11"/>
      <c r="BL409" s="11"/>
      <c r="BM409" s="11"/>
      <c r="BN409" s="11"/>
      <c r="BO409" s="11"/>
      <c r="BP409" s="11"/>
      <c r="BQ409" s="11"/>
      <c r="BR409" s="11"/>
      <c r="BS409" s="11"/>
      <c r="BT409" s="11"/>
      <c r="BU409" s="11"/>
      <c r="BV409" s="11"/>
      <c r="BW409" s="11"/>
      <c r="BX409" s="11"/>
      <c r="BY409" s="11"/>
      <c r="BZ409" s="11"/>
      <c r="CA409" s="11"/>
      <c r="CB409" s="11"/>
      <c r="CC409" s="11"/>
      <c r="CD409" s="11"/>
      <c r="CE409" s="11"/>
      <c r="CF409" s="11"/>
      <c r="CG409" s="11"/>
      <c r="CH409" s="11"/>
      <c r="CI409" s="11"/>
      <c r="CJ409" s="11"/>
      <c r="CK409" s="11"/>
      <c r="CL409" s="11"/>
      <c r="CM409" s="11"/>
      <c r="CN409" s="11"/>
      <c r="CO409" s="11"/>
      <c r="CP409" s="11"/>
      <c r="CQ409" s="11"/>
      <c r="CR409" s="15"/>
      <c r="CS409" s="15"/>
      <c r="CT409" s="15"/>
      <c r="CU409" s="15"/>
    </row>
    <row r="410" spans="1:99" ht="12" customHeight="1" x14ac:dyDescent="0.2">
      <c r="A410" s="68">
        <v>43978</v>
      </c>
      <c r="B410" s="94"/>
      <c r="C410" s="94"/>
      <c r="D410" s="92"/>
      <c r="E410" s="105"/>
      <c r="F410" s="92"/>
      <c r="G410" s="92"/>
      <c r="H410" s="92"/>
      <c r="I410" s="92"/>
      <c r="J410" s="92"/>
      <c r="K410" s="69"/>
      <c r="L410" s="69"/>
      <c r="M410" s="92"/>
      <c r="N410" s="92"/>
      <c r="O410" s="92"/>
      <c r="P410" s="92"/>
      <c r="Q410" s="92"/>
      <c r="R410" s="69"/>
      <c r="S410" s="69"/>
      <c r="T410" s="92"/>
      <c r="U410" s="69"/>
      <c r="V410" s="92"/>
      <c r="W410" s="69"/>
      <c r="X410" s="92"/>
      <c r="Y410" s="87"/>
      <c r="Z410" s="92"/>
      <c r="AA410" s="92"/>
      <c r="AB410" s="69"/>
      <c r="AC410" s="72"/>
      <c r="AD410" s="69"/>
      <c r="AE410" s="87"/>
      <c r="AF410" s="88"/>
      <c r="AG410" s="72"/>
      <c r="AH410" s="4"/>
      <c r="AI410" s="72"/>
      <c r="AJ410" s="110"/>
      <c r="AK410" s="72"/>
      <c r="AL410" s="72"/>
      <c r="AM410" s="72"/>
      <c r="AN410" s="72"/>
      <c r="AO410" s="89"/>
      <c r="AP410" s="89"/>
      <c r="AQ410" s="90"/>
      <c r="AR410" s="117"/>
      <c r="AS410" s="91"/>
      <c r="AT410" s="91"/>
      <c r="AU410" s="3"/>
      <c r="AV410" s="98">
        <v>30</v>
      </c>
      <c r="AW410" s="98">
        <f>60*60*30</f>
        <v>108000</v>
      </c>
      <c r="AX410" s="98">
        <f>60*60*24*7</f>
        <v>604800</v>
      </c>
      <c r="AY410" s="11"/>
      <c r="AZ410" s="11"/>
      <c r="BA410" s="11"/>
      <c r="BB410" s="11"/>
      <c r="BC410" s="11"/>
      <c r="BD410" s="11"/>
      <c r="BE410" s="11"/>
      <c r="BF410" s="11"/>
      <c r="BG410" s="11"/>
      <c r="BH410" s="11"/>
      <c r="BI410" s="11"/>
      <c r="BJ410" s="11"/>
      <c r="BK410" s="11"/>
      <c r="BL410" s="11"/>
      <c r="BM410" s="11"/>
      <c r="BN410" s="11"/>
      <c r="BO410" s="11"/>
      <c r="BP410" s="11"/>
      <c r="BQ410" s="11"/>
      <c r="BR410" s="11"/>
      <c r="BS410" s="11"/>
      <c r="BT410" s="11"/>
      <c r="BU410" s="11"/>
      <c r="BV410" s="11"/>
      <c r="BW410" s="11"/>
      <c r="BX410" s="11"/>
      <c r="BY410" s="11"/>
      <c r="BZ410" s="11"/>
      <c r="CA410" s="11"/>
      <c r="CB410" s="11"/>
      <c r="CC410" s="11"/>
      <c r="CD410" s="11"/>
      <c r="CE410" s="11"/>
      <c r="CF410" s="11"/>
      <c r="CG410" s="11"/>
      <c r="CH410" s="11"/>
      <c r="CI410" s="11"/>
      <c r="CJ410" s="11"/>
      <c r="CK410" s="11"/>
      <c r="CL410" s="11"/>
      <c r="CM410" s="11"/>
      <c r="CN410" s="11"/>
      <c r="CO410" s="11"/>
      <c r="CP410" s="11"/>
      <c r="CQ410" s="11"/>
      <c r="CR410" s="15"/>
      <c r="CS410" s="15"/>
      <c r="CT410" s="15"/>
      <c r="CU410" s="15"/>
    </row>
    <row r="411" spans="1:99" ht="12" customHeight="1" x14ac:dyDescent="0.2">
      <c r="A411" s="68">
        <v>43978</v>
      </c>
      <c r="B411" s="94" t="s">
        <v>948</v>
      </c>
      <c r="C411" s="94" t="s">
        <v>54</v>
      </c>
      <c r="D411" s="92">
        <v>2014</v>
      </c>
      <c r="E411" s="105">
        <v>1</v>
      </c>
      <c r="F411" s="92">
        <v>25</v>
      </c>
      <c r="G411" s="92">
        <v>25</v>
      </c>
      <c r="H411" s="92" t="s">
        <v>41</v>
      </c>
      <c r="I411" s="92" t="s">
        <v>951</v>
      </c>
      <c r="J411" s="92" t="s">
        <v>686</v>
      </c>
      <c r="K411" s="69">
        <f>IF(J411="syllables",1,IF(J411="trigrams",2,IF(J411="strings",3,IF(J411="visual array",4,IF(J411="characters",5,IF(J411="letters",6,IF(J411="free forms",7,IF(J411="odors",8,IF(J411="words",9,IF(J411="pictures",10,IF(J411="object pictures",11,IF(J411="faces",12,IF(J411="names",13,IF(J411="idioms",14,IF(J411="grades",15,IF(J411="syllable-digit pairs",16,IF(J411="trigram-word pairs",17,IF(J411="word-digit pairs",18,IF(J411="English-Swahili pairs",19,IF(J411="spatial position",20,IF(J411="word pairs",21,IF(J411="word triads",22,IF(J411="generated words",23,IF(J411="word definition pairs",24,IF(J411="math problems",25,IF(J411="famous faces",26,IF(J411="famous names",27,IF(J411="famous voices",28,IF(J411="television programs",29,IF(J411="race horses",30,IF(J411="new vocabulary",31,IF(J411="sentences",32,IF(J411="concepts",33,IF(J411="ad slides",34,IF(J411="scenes",35,IF(J411="famous scenes",36,IF(J411="poems",37,IF(J411="walk",38,IF(J411="faces and events",39,IF(J411="events and names",40,IF(J411="flashbulb",41,IF(J411="stories",42,IF(J411="course material",43,IF(J411="autobiographical",44,IF(J411="novels",45,IF(J411="public events",46,"99"))))))))))))))))))))))))))))))))))))))))))))))</f>
        <v>35</v>
      </c>
      <c r="L411" s="69">
        <f>IF(J411="syllables",1,IF(J411="trigrams",1,IF(J411="strings",1,IF(J411="visual array",1,IF(J411="characters",1,IF(J411="letters",1,IF(J411="free forms",1,IF(J411="odors",2,IF(J411="words",2,IF(J411="pictures",2,IF(J411="object pictures",2,IF(J411="faces",2,IF(J411="names",2,IF(J411="idioms","2",IF(J411="grades",2,IF(J411="syllable-digit pairs",3,IF(J411="trigram-word pairs",3,IF(J411="word-digit pairs",3,IF(J411="English-Swahili pairs",3,IF(J411="spatial position",3,IF(J411="word pairs",4,IF(J411="word triads",4,IF(J411="generated words",4,IF(J411="word definition pairs",4,IF(J411="math problems",4,IF(J411="famous faces",4,IF(J411="famous names",4,IF(J411="famous voices",4,IF(J411="television programs",4,IF(J411="race horses",4,IF(J411="new vocabulary",4,IF(J411="sentences",5,IF(J411="concepts",5,IF(J411="ad slides",5,IF(J411="scenes",5,IF(J411="famous scenes",5,IF(J411="poems",6,IF(J411="walk",6,IF(J411="faces and events",6,IF(J411="events and names",6,IF(J411="flashbulb",7,IF(J411="stories",7,IF(J411="course material",7,IF(J411="autobiographical",7,IF(J411="novels",7,IF(J411="public events",7,"99"))))))))))))))))))))))))))))))))))))))))))))))</f>
        <v>5</v>
      </c>
      <c r="M411" s="92">
        <v>0</v>
      </c>
      <c r="N411" s="92">
        <v>3</v>
      </c>
      <c r="O411" s="92">
        <v>0</v>
      </c>
      <c r="P411" s="92"/>
      <c r="Q411" s="92" t="s">
        <v>174</v>
      </c>
      <c r="R411" s="69">
        <f>IF(Q411="Free Recall",1,IF(Q411="Cued Recall",2,IF(Q411="Recognition",3,IF(Q411="Multiple Choice",4,IF(Q411="Savings",5,IF(Q411="Stem Completion",6,IF(Q411="Fragment Completion",7,IF(Q411="anagram solution",8,IF(Q411="Matching",9,IF(Q411="Problem Solving",10,"99"))))))))))</f>
        <v>1</v>
      </c>
      <c r="S411" s="69" t="s">
        <v>49</v>
      </c>
      <c r="T411" s="92" t="s">
        <v>581</v>
      </c>
      <c r="U411" s="69">
        <f>IF(T411="within",1,0)</f>
        <v>1</v>
      </c>
      <c r="V411" s="92">
        <f>3*18</f>
        <v>54</v>
      </c>
      <c r="W411" s="69">
        <f>F411*V411</f>
        <v>1350</v>
      </c>
      <c r="X411" s="92">
        <v>3</v>
      </c>
      <c r="Y411" s="87">
        <f>AV410</f>
        <v>30</v>
      </c>
      <c r="Z411" s="92" t="s">
        <v>150</v>
      </c>
      <c r="AA411" s="92">
        <f>60*60*24*7</f>
        <v>604800</v>
      </c>
      <c r="AB411" s="69" t="str">
        <f>IF(AA411&lt;60,"1",IF(AA411&lt;=43200,"2",IF(AA411&lt;=777600,"3","4")))</f>
        <v>3</v>
      </c>
      <c r="AC411" s="72">
        <f>AVERAGE(AV410:DA410)</f>
        <v>237610</v>
      </c>
      <c r="AD411" s="69" t="str">
        <f>IF(AC411&lt;60,"1",IF(AC411&lt;=43200,"2",IF(AC411&lt;=777600,"3","4")))</f>
        <v>3</v>
      </c>
      <c r="AE411" s="87">
        <f>AA411-Y411</f>
        <v>604770</v>
      </c>
      <c r="AF411" s="88">
        <f>AV411</f>
        <v>0.84575734360155008</v>
      </c>
      <c r="AG411" s="72">
        <f>((AW411-AV411)+(AX411-AW411))/2</f>
        <v>-0.10083643238890283</v>
      </c>
      <c r="AH411" s="4"/>
      <c r="AI411" s="72">
        <f>RSQ(AV411:AX411,AV410:AX410)</f>
        <v>0.99989170790991388</v>
      </c>
      <c r="AJ411" s="110">
        <f>SLOPE(AV411:AX411,AV410:AX410)</f>
        <v>-3.3476356172586225E-7</v>
      </c>
      <c r="AK411" s="72">
        <f>INTERCEPT(AV411:AX411,AV410:AX410)</f>
        <v>0.8467666523092432</v>
      </c>
      <c r="AL411" s="72">
        <f>INDEX(LINEST(LN(AV411:AX411),LN(AV410:AX410),TRUE,TRUE),3,1)</f>
        <v>0.54136575953321953</v>
      </c>
      <c r="AM411" s="72">
        <f>INDEX(LINEST(LN(AV411:AX411),LN(AV410:AX410)),1)</f>
        <v>-2.040852310772337E-2</v>
      </c>
      <c r="AN411" s="72">
        <f>EXP(INDEX(LINEST(LN(AV411:AX411),LN(AV410:AX410)),1,2))</f>
        <v>0.92364676275530222</v>
      </c>
      <c r="AO411" s="89">
        <f>INDEX(LINEST((AV411:AX411),LN(AV410:AX410),TRUE,TRUE),3,1)</f>
        <v>0.55920444460531149</v>
      </c>
      <c r="AP411" s="89">
        <f>INDEX(LINEST((AV411:AX411),LN(AV410:AX410)),1)</f>
        <v>-1.524839475239047E-2</v>
      </c>
      <c r="AQ411" s="90">
        <f>INDEX(LINEST(LN(AV411:AX411),SQRT(AV410:AX410),TRUE,TRUE),3,1)</f>
        <v>0.91827520046714584</v>
      </c>
      <c r="AR411" s="117">
        <f>INDEX(LINEST(LN(AV411:AX411),SQRT((AV410:AX410))),1)</f>
        <v>-3.6294842104780462E-4</v>
      </c>
      <c r="AS411" s="91">
        <f>INDEX(LINEST(1/(AV411:AX411),1/(SQRT(AV410:AX410)),TRUE,TRUE),3,1)</f>
        <v>0.37132974985528178</v>
      </c>
      <c r="AT411" s="91">
        <f>INDEX(LINEST(1/(AV411:AX411),1/SQRT(AV410:AX410)),1)</f>
        <v>-1.1759070795543805</v>
      </c>
      <c r="AU411" s="3"/>
      <c r="AV411" s="97">
        <v>0.84575734360155008</v>
      </c>
      <c r="AW411" s="97">
        <v>0.81182862479738882</v>
      </c>
      <c r="AX411" s="97">
        <v>0.64408447882374442</v>
      </c>
      <c r="AY411" s="11"/>
      <c r="AZ411" s="11"/>
      <c r="BA411" s="11"/>
      <c r="BB411" s="11"/>
      <c r="BC411" s="11"/>
      <c r="BD411" s="11"/>
      <c r="BE411" s="11"/>
      <c r="BF411" s="11"/>
      <c r="BG411" s="11"/>
      <c r="BH411" s="11"/>
      <c r="BI411" s="11"/>
      <c r="BJ411" s="11"/>
      <c r="BK411" s="11"/>
      <c r="BL411" s="11"/>
      <c r="BM411" s="11"/>
      <c r="BN411" s="11"/>
      <c r="BO411" s="11"/>
      <c r="BP411" s="11"/>
      <c r="BQ411" s="11"/>
      <c r="BR411" s="11"/>
      <c r="BS411" s="11"/>
      <c r="BT411" s="11"/>
      <c r="BU411" s="11"/>
      <c r="BV411" s="11"/>
      <c r="BW411" s="11"/>
      <c r="BX411" s="11"/>
      <c r="BY411" s="11"/>
      <c r="BZ411" s="11"/>
      <c r="CA411" s="11"/>
      <c r="CB411" s="11"/>
      <c r="CC411" s="11"/>
      <c r="CD411" s="11"/>
      <c r="CE411" s="11"/>
      <c r="CF411" s="11"/>
      <c r="CG411" s="11"/>
      <c r="CH411" s="11"/>
      <c r="CI411" s="11"/>
      <c r="CJ411" s="11"/>
      <c r="CK411" s="11"/>
      <c r="CL411" s="11"/>
      <c r="CM411" s="11"/>
      <c r="CN411" s="11"/>
      <c r="CO411" s="11"/>
      <c r="CP411" s="11"/>
      <c r="CQ411" s="11"/>
      <c r="CR411" s="15"/>
      <c r="CS411" s="15"/>
      <c r="CT411" s="15"/>
      <c r="CU411" s="15"/>
    </row>
    <row r="412" spans="1:99" ht="12" customHeight="1" x14ac:dyDescent="0.2">
      <c r="A412" s="68">
        <v>43978</v>
      </c>
      <c r="B412" s="94"/>
      <c r="C412" s="94"/>
      <c r="D412" s="92"/>
      <c r="E412" s="105"/>
      <c r="F412" s="92"/>
      <c r="G412" s="92"/>
      <c r="H412" s="92"/>
      <c r="I412" s="92"/>
      <c r="J412" s="92"/>
      <c r="K412" s="69"/>
      <c r="L412" s="69"/>
      <c r="M412" s="92"/>
      <c r="N412" s="92"/>
      <c r="O412" s="92"/>
      <c r="P412" s="92"/>
      <c r="Q412" s="92"/>
      <c r="R412" s="69"/>
      <c r="S412" s="69"/>
      <c r="T412" s="92"/>
      <c r="U412" s="69"/>
      <c r="V412" s="92"/>
      <c r="W412" s="69"/>
      <c r="X412" s="92"/>
      <c r="Y412" s="87"/>
      <c r="Z412" s="92"/>
      <c r="AA412" s="92"/>
      <c r="AB412" s="69"/>
      <c r="AC412" s="72"/>
      <c r="AD412" s="69"/>
      <c r="AE412" s="87"/>
      <c r="AF412" s="88"/>
      <c r="AG412" s="72"/>
      <c r="AH412" s="4"/>
      <c r="AI412" s="72"/>
      <c r="AJ412" s="110"/>
      <c r="AK412" s="72"/>
      <c r="AL412" s="72"/>
      <c r="AM412" s="72"/>
      <c r="AN412" s="72"/>
      <c r="AO412" s="89"/>
      <c r="AP412" s="89"/>
      <c r="AQ412" s="90"/>
      <c r="AR412" s="117"/>
      <c r="AS412" s="91"/>
      <c r="AT412" s="91"/>
      <c r="AU412" s="3"/>
      <c r="AV412" s="98">
        <v>30</v>
      </c>
      <c r="AW412" s="98">
        <f>60*60*30</f>
        <v>108000</v>
      </c>
      <c r="AX412" s="98">
        <f>60*60*24*7</f>
        <v>604800</v>
      </c>
      <c r="AY412" s="11"/>
      <c r="AZ412" s="11"/>
      <c r="BA412" s="11"/>
      <c r="BB412" s="11"/>
      <c r="BC412" s="11"/>
      <c r="BD412" s="11"/>
      <c r="BE412" s="11"/>
      <c r="BF412" s="11"/>
      <c r="BG412" s="11"/>
      <c r="BH412" s="11"/>
      <c r="BI412" s="11"/>
      <c r="BJ412" s="11"/>
      <c r="BK412" s="11"/>
      <c r="BL412" s="11"/>
      <c r="BM412" s="11"/>
      <c r="BN412" s="11"/>
      <c r="BO412" s="11"/>
      <c r="BP412" s="11"/>
      <c r="BQ412" s="11"/>
      <c r="BR412" s="11"/>
      <c r="BS412" s="11"/>
      <c r="BT412" s="11"/>
      <c r="BU412" s="11"/>
      <c r="BV412" s="11"/>
      <c r="BW412" s="11"/>
      <c r="BX412" s="11"/>
      <c r="BY412" s="11"/>
      <c r="BZ412" s="11"/>
      <c r="CA412" s="11"/>
      <c r="CB412" s="11"/>
      <c r="CC412" s="11"/>
      <c r="CD412" s="11"/>
      <c r="CE412" s="11"/>
      <c r="CF412" s="11"/>
      <c r="CG412" s="11"/>
      <c r="CH412" s="11"/>
      <c r="CI412" s="11"/>
      <c r="CJ412" s="11"/>
      <c r="CK412" s="11"/>
      <c r="CL412" s="11"/>
      <c r="CM412" s="11"/>
      <c r="CN412" s="11"/>
      <c r="CO412" s="11"/>
      <c r="CP412" s="11"/>
      <c r="CQ412" s="11"/>
      <c r="CR412" s="15"/>
      <c r="CS412" s="15"/>
      <c r="CT412" s="15"/>
      <c r="CU412" s="15"/>
    </row>
    <row r="413" spans="1:99" ht="12" customHeight="1" x14ac:dyDescent="0.2">
      <c r="A413" s="68">
        <v>43978</v>
      </c>
      <c r="B413" s="94" t="s">
        <v>948</v>
      </c>
      <c r="C413" s="94" t="s">
        <v>54</v>
      </c>
      <c r="D413" s="92">
        <v>2014</v>
      </c>
      <c r="E413" s="105">
        <v>1</v>
      </c>
      <c r="F413" s="92">
        <v>25</v>
      </c>
      <c r="G413" s="92">
        <v>25</v>
      </c>
      <c r="H413" s="92" t="s">
        <v>41</v>
      </c>
      <c r="I413" s="92" t="s">
        <v>952</v>
      </c>
      <c r="J413" s="92" t="s">
        <v>686</v>
      </c>
      <c r="K413" s="69">
        <f>IF(J413="syllables",1,IF(J413="trigrams",2,IF(J413="strings",3,IF(J413="visual array",4,IF(J413="characters",5,IF(J413="letters",6,IF(J413="free forms",7,IF(J413="odors",8,IF(J413="words",9,IF(J413="pictures",10,IF(J413="object pictures",11,IF(J413="faces",12,IF(J413="names",13,IF(J413="idioms",14,IF(J413="grades",15,IF(J413="syllable-digit pairs",16,IF(J413="trigram-word pairs",17,IF(J413="word-digit pairs",18,IF(J413="English-Swahili pairs",19,IF(J413="spatial position",20,IF(J413="word pairs",21,IF(J413="word triads",22,IF(J413="generated words",23,IF(J413="word definition pairs",24,IF(J413="math problems",25,IF(J413="famous faces",26,IF(J413="famous names",27,IF(J413="famous voices",28,IF(J413="television programs",29,IF(J413="race horses",30,IF(J413="new vocabulary",31,IF(J413="sentences",32,IF(J413="concepts",33,IF(J413="ad slides",34,IF(J413="scenes",35,IF(J413="famous scenes",36,IF(J413="poems",37,IF(J413="walk",38,IF(J413="faces and events",39,IF(J413="events and names",40,IF(J413="flashbulb",41,IF(J413="stories",42,IF(J413="course material",43,IF(J413="autobiographical",44,IF(J413="novels",45,IF(J413="public events",46,"99"))))))))))))))))))))))))))))))))))))))))))))))</f>
        <v>35</v>
      </c>
      <c r="L413" s="69">
        <f>IF(J413="syllables",1,IF(J413="trigrams",1,IF(J413="strings",1,IF(J413="visual array",1,IF(J413="characters",1,IF(J413="letters",1,IF(J413="free forms",1,IF(J413="odors",2,IF(J413="words",2,IF(J413="pictures",2,IF(J413="object pictures",2,IF(J413="faces",2,IF(J413="names",2,IF(J413="idioms","2",IF(J413="grades",2,IF(J413="syllable-digit pairs",3,IF(J413="trigram-word pairs",3,IF(J413="word-digit pairs",3,IF(J413="English-Swahili pairs",3,IF(J413="spatial position",3,IF(J413="word pairs",4,IF(J413="word triads",4,IF(J413="generated words",4,IF(J413="word definition pairs",4,IF(J413="math problems",4,IF(J413="famous faces",4,IF(J413="famous names",4,IF(J413="famous voices",4,IF(J413="television programs",4,IF(J413="race horses",4,IF(J413="new vocabulary",4,IF(J413="sentences",5,IF(J413="concepts",5,IF(J413="ad slides",5,IF(J413="scenes",5,IF(J413="famous scenes",5,IF(J413="poems",6,IF(J413="walk",6,IF(J413="faces and events",6,IF(J413="events and names",6,IF(J413="flashbulb",7,IF(J413="stories",7,IF(J413="course material",7,IF(J413="autobiographical",7,IF(J413="novels",7,IF(J413="public events",7,"99"))))))))))))))))))))))))))))))))))))))))))))))</f>
        <v>5</v>
      </c>
      <c r="M413" s="92">
        <v>0</v>
      </c>
      <c r="N413" s="92">
        <v>3</v>
      </c>
      <c r="O413" s="92">
        <v>0</v>
      </c>
      <c r="P413" s="92"/>
      <c r="Q413" s="92" t="s">
        <v>65</v>
      </c>
      <c r="R413" s="69">
        <f>IF(Q413="Free Recall",1,IF(Q413="Cued Recall",2,IF(Q413="Recognition",3,IF(Q413="Multiple Choice",4,IF(Q413="Savings",5,IF(Q413="Stem Completion",6,IF(Q413="Fragment Completion",7,IF(Q413="anagram solution",8,IF(Q413="Matching",9,IF(Q413="Problem Solving",10,"99"))))))))))</f>
        <v>2</v>
      </c>
      <c r="S413" s="69" t="s">
        <v>49</v>
      </c>
      <c r="T413" s="92" t="s">
        <v>581</v>
      </c>
      <c r="U413" s="69">
        <f>IF(T413="within",1,0)</f>
        <v>1</v>
      </c>
      <c r="V413" s="92">
        <f>3*18</f>
        <v>54</v>
      </c>
      <c r="W413" s="69">
        <f>F413*V413</f>
        <v>1350</v>
      </c>
      <c r="X413" s="92">
        <v>3</v>
      </c>
      <c r="Y413" s="87">
        <f>AV412</f>
        <v>30</v>
      </c>
      <c r="Z413" s="92" t="s">
        <v>150</v>
      </c>
      <c r="AA413" s="92">
        <f>60*60*24*7</f>
        <v>604800</v>
      </c>
      <c r="AB413" s="69" t="str">
        <f>IF(AA413&lt;60,"1",IF(AA413&lt;=43200,"2",IF(AA413&lt;=777600,"3","4")))</f>
        <v>3</v>
      </c>
      <c r="AC413" s="72">
        <f>AVERAGE(AV412:DA412)</f>
        <v>237610</v>
      </c>
      <c r="AD413" s="69" t="str">
        <f>IF(AC413&lt;60,"1",IF(AC413&lt;=43200,"2",IF(AC413&lt;=777600,"3","4")))</f>
        <v>3</v>
      </c>
      <c r="AE413" s="87">
        <f>AA413-Y413</f>
        <v>604770</v>
      </c>
      <c r="AF413" s="88">
        <f>AV413</f>
        <v>0.34388252756573334</v>
      </c>
      <c r="AG413" s="72">
        <f>((AW413-AV413)+(AX413-AW413))/2</f>
        <v>-4.2673876166242491E-2</v>
      </c>
      <c r="AH413" s="4"/>
      <c r="AI413" s="72">
        <f>RSQ(AV413:AX413,AV412:AX412)</f>
        <v>0.97904279145760598</v>
      </c>
      <c r="AJ413" s="110">
        <f>SLOPE(AV413:AX413,AV412:AX412)</f>
        <v>-1.4922884013217025E-7</v>
      </c>
      <c r="AK413" s="72">
        <f>INTERCEPT(AV413:AX413,AV412:AX412)</f>
        <v>0.35014938712393479</v>
      </c>
      <c r="AL413" s="72">
        <f>INDEX(LINEST(LN(AV413:AX413),LN(AV412:AX412),TRUE,TRUE),3,1)</f>
        <v>0.4218525214049218</v>
      </c>
      <c r="AM413" s="72">
        <f>INDEX(LINEST(LN(AV413:AX413),LN(AV412:AX412)),1)</f>
        <v>-1.9974461330275948E-2</v>
      </c>
      <c r="AN413" s="72">
        <f>EXP(INDEX(LINEST(LN(AV413:AX413),LN(AV412:AX412)),1,2))</f>
        <v>0.37671751053532443</v>
      </c>
      <c r="AO413" s="89">
        <f>INDEX(LINEST((AV413:AX413),LN(AV412:AX412),TRUE,TRUE),3,1)</f>
        <v>0.42476056873415224</v>
      </c>
      <c r="AP413" s="89">
        <f>INDEX(LINEST((AV413:AX413),LN(AV412:AX412)),1)</f>
        <v>-5.9868881699987912E-3</v>
      </c>
      <c r="AQ413" s="90">
        <f>INDEX(LINEST(LN(AV413:AX413),SQRT(AV412:AX412),TRUE,TRUE),3,1)</f>
        <v>0.8412551858164693</v>
      </c>
      <c r="AR413" s="117">
        <f>INDEX(LINEST(LN(AV413:AX413),SQRT((AV412:AX412))),1)</f>
        <v>-3.851686458836613E-4</v>
      </c>
      <c r="AS413" s="91">
        <f>INDEX(LINEST(1/(AV413:AX413),1/(SQRT(AV412:AX412)),TRUE,TRUE),3,1)</f>
        <v>0.27257584853507955</v>
      </c>
      <c r="AT413" s="91">
        <f>INDEX(LINEST(1/(AV413:AX413),1/SQRT(AV412:AX412)),1)</f>
        <v>-2.7509835883787872</v>
      </c>
      <c r="AU413" s="3"/>
      <c r="AV413" s="97">
        <v>0.34388252756573334</v>
      </c>
      <c r="AW413" s="97">
        <v>0.34165606446140778</v>
      </c>
      <c r="AX413" s="97">
        <v>0.25853477523324836</v>
      </c>
      <c r="AY413" s="11"/>
      <c r="AZ413" s="11"/>
      <c r="BA413" s="11"/>
      <c r="BB413" s="11"/>
      <c r="BC413" s="11"/>
      <c r="BD413" s="11"/>
      <c r="BE413" s="11"/>
      <c r="BF413" s="11"/>
      <c r="BG413" s="11"/>
      <c r="BH413" s="11"/>
      <c r="BI413" s="11"/>
      <c r="BJ413" s="11"/>
      <c r="BK413" s="11"/>
      <c r="BL413" s="11"/>
      <c r="BM413" s="11"/>
      <c r="BN413" s="11"/>
      <c r="BO413" s="11"/>
      <c r="BP413" s="11"/>
      <c r="BQ413" s="11"/>
      <c r="BR413" s="11"/>
      <c r="BS413" s="11"/>
      <c r="BT413" s="11"/>
      <c r="BU413" s="11"/>
      <c r="BV413" s="11"/>
      <c r="BW413" s="11"/>
      <c r="BX413" s="11"/>
      <c r="BY413" s="11"/>
      <c r="BZ413" s="11"/>
      <c r="CA413" s="11"/>
      <c r="CB413" s="11"/>
      <c r="CC413" s="11"/>
      <c r="CD413" s="11"/>
      <c r="CE413" s="11"/>
      <c r="CF413" s="11"/>
      <c r="CG413" s="11"/>
      <c r="CH413" s="11"/>
      <c r="CI413" s="11"/>
      <c r="CJ413" s="11"/>
      <c r="CK413" s="11"/>
      <c r="CL413" s="11"/>
      <c r="CM413" s="11"/>
      <c r="CN413" s="11"/>
      <c r="CO413" s="11"/>
      <c r="CP413" s="11"/>
      <c r="CQ413" s="11"/>
      <c r="CR413" s="15"/>
      <c r="CS413" s="15"/>
      <c r="CT413" s="15"/>
      <c r="CU413" s="15"/>
    </row>
    <row r="414" spans="1:99" ht="12" customHeight="1" x14ac:dyDescent="0.2">
      <c r="A414" s="68">
        <v>43978</v>
      </c>
      <c r="B414" s="94"/>
      <c r="C414" s="94"/>
      <c r="D414" s="92"/>
      <c r="E414" s="105"/>
      <c r="F414" s="92"/>
      <c r="G414" s="92"/>
      <c r="H414" s="92"/>
      <c r="I414" s="92"/>
      <c r="J414" s="92"/>
      <c r="K414" s="69"/>
      <c r="L414" s="69"/>
      <c r="M414" s="92"/>
      <c r="N414" s="92"/>
      <c r="O414" s="92"/>
      <c r="P414" s="92"/>
      <c r="Q414" s="92"/>
      <c r="R414" s="69"/>
      <c r="S414" s="69"/>
      <c r="T414" s="92"/>
      <c r="U414" s="69"/>
      <c r="V414" s="92"/>
      <c r="W414" s="69"/>
      <c r="X414" s="92"/>
      <c r="Y414" s="87"/>
      <c r="Z414" s="92"/>
      <c r="AA414" s="92"/>
      <c r="AB414" s="69"/>
      <c r="AC414" s="72"/>
      <c r="AD414" s="69"/>
      <c r="AE414" s="87"/>
      <c r="AF414" s="88"/>
      <c r="AG414" s="72"/>
      <c r="AH414" s="4"/>
      <c r="AI414" s="72"/>
      <c r="AJ414" s="110"/>
      <c r="AK414" s="72"/>
      <c r="AL414" s="72"/>
      <c r="AM414" s="72"/>
      <c r="AN414" s="72"/>
      <c r="AO414" s="89"/>
      <c r="AP414" s="89"/>
      <c r="AQ414" s="90"/>
      <c r="AR414" s="117"/>
      <c r="AS414" s="91"/>
      <c r="AT414" s="91"/>
      <c r="AU414" s="3"/>
      <c r="AV414" s="98">
        <v>30</v>
      </c>
      <c r="AW414" s="98">
        <f>60*60*30</f>
        <v>108000</v>
      </c>
      <c r="AX414" s="98">
        <f>60*60*24*7</f>
        <v>604800</v>
      </c>
      <c r="AY414" s="11"/>
      <c r="AZ414" s="11"/>
      <c r="BA414" s="11"/>
      <c r="BB414" s="11"/>
      <c r="BC414" s="11"/>
      <c r="BD414" s="11"/>
      <c r="BE414" s="11"/>
      <c r="BF414" s="11"/>
      <c r="BG414" s="11"/>
      <c r="BH414" s="11"/>
      <c r="BI414" s="11"/>
      <c r="BJ414" s="11"/>
      <c r="BK414" s="11"/>
      <c r="BL414" s="11"/>
      <c r="BM414" s="11"/>
      <c r="BN414" s="11"/>
      <c r="BO414" s="11"/>
      <c r="BP414" s="11"/>
      <c r="BQ414" s="11"/>
      <c r="BR414" s="11"/>
      <c r="BS414" s="11"/>
      <c r="BT414" s="11"/>
      <c r="BU414" s="11"/>
      <c r="BV414" s="11"/>
      <c r="BW414" s="11"/>
      <c r="BX414" s="11"/>
      <c r="BY414" s="11"/>
      <c r="BZ414" s="11"/>
      <c r="CA414" s="11"/>
      <c r="CB414" s="11"/>
      <c r="CC414" s="11"/>
      <c r="CD414" s="11"/>
      <c r="CE414" s="11"/>
      <c r="CF414" s="11"/>
      <c r="CG414" s="11"/>
      <c r="CH414" s="11"/>
      <c r="CI414" s="11"/>
      <c r="CJ414" s="11"/>
      <c r="CK414" s="11"/>
      <c r="CL414" s="11"/>
      <c r="CM414" s="11"/>
      <c r="CN414" s="11"/>
      <c r="CO414" s="11"/>
      <c r="CP414" s="11"/>
      <c r="CQ414" s="11"/>
      <c r="CR414" s="15"/>
      <c r="CS414" s="15"/>
      <c r="CT414" s="15"/>
      <c r="CU414" s="15"/>
    </row>
    <row r="415" spans="1:99" ht="12" customHeight="1" x14ac:dyDescent="0.2">
      <c r="A415" s="68">
        <v>43978</v>
      </c>
      <c r="B415" s="94" t="s">
        <v>948</v>
      </c>
      <c r="C415" s="94" t="s">
        <v>54</v>
      </c>
      <c r="D415" s="92">
        <v>2014</v>
      </c>
      <c r="E415" s="105">
        <v>1</v>
      </c>
      <c r="F415" s="92">
        <v>25</v>
      </c>
      <c r="G415" s="92">
        <v>25</v>
      </c>
      <c r="H415" s="92" t="s">
        <v>41</v>
      </c>
      <c r="I415" s="92" t="s">
        <v>953</v>
      </c>
      <c r="J415" s="92" t="s">
        <v>686</v>
      </c>
      <c r="K415" s="69">
        <f>IF(J415="syllables",1,IF(J415="trigrams",2,IF(J415="strings",3,IF(J415="visual array",4,IF(J415="characters",5,IF(J415="letters",6,IF(J415="free forms",7,IF(J415="odors",8,IF(J415="words",9,IF(J415="pictures",10,IF(J415="object pictures",11,IF(J415="faces",12,IF(J415="names",13,IF(J415="idioms",14,IF(J415="grades",15,IF(J415="syllable-digit pairs",16,IF(J415="trigram-word pairs",17,IF(J415="word-digit pairs",18,IF(J415="English-Swahili pairs",19,IF(J415="spatial position",20,IF(J415="word pairs",21,IF(J415="word triads",22,IF(J415="generated words",23,IF(J415="word definition pairs",24,IF(J415="math problems",25,IF(J415="famous faces",26,IF(J415="famous names",27,IF(J415="famous voices",28,IF(J415="television programs",29,IF(J415="race horses",30,IF(J415="new vocabulary",31,IF(J415="sentences",32,IF(J415="concepts",33,IF(J415="ad slides",34,IF(J415="scenes",35,IF(J415="famous scenes",36,IF(J415="poems",37,IF(J415="walk",38,IF(J415="faces and events",39,IF(J415="events and names",40,IF(J415="flashbulb",41,IF(J415="stories",42,IF(J415="course material",43,IF(J415="autobiographical",44,IF(J415="novels",45,IF(J415="public events",46,"99"))))))))))))))))))))))))))))))))))))))))))))))</f>
        <v>35</v>
      </c>
      <c r="L415" s="69">
        <f>IF(J415="syllables",1,IF(J415="trigrams",1,IF(J415="strings",1,IF(J415="visual array",1,IF(J415="characters",1,IF(J415="letters",1,IF(J415="free forms",1,IF(J415="odors",2,IF(J415="words",2,IF(J415="pictures",2,IF(J415="object pictures",2,IF(J415="faces",2,IF(J415="names",2,IF(J415="idioms","2",IF(J415="grades",2,IF(J415="syllable-digit pairs",3,IF(J415="trigram-word pairs",3,IF(J415="word-digit pairs",3,IF(J415="English-Swahili pairs",3,IF(J415="spatial position",3,IF(J415="word pairs",4,IF(J415="word triads",4,IF(J415="generated words",4,IF(J415="word definition pairs",4,IF(J415="math problems",4,IF(J415="famous faces",4,IF(J415="famous names",4,IF(J415="famous voices",4,IF(J415="television programs",4,IF(J415="race horses",4,IF(J415="new vocabulary",4,IF(J415="sentences",5,IF(J415="concepts",5,IF(J415="ad slides",5,IF(J415="scenes",5,IF(J415="famous scenes",5,IF(J415="poems",6,IF(J415="walk",6,IF(J415="faces and events",6,IF(J415="events and names",6,IF(J415="flashbulb",7,IF(J415="stories",7,IF(J415="course material",7,IF(J415="autobiographical",7,IF(J415="novels",7,IF(J415="public events",7,"99"))))))))))))))))))))))))))))))))))))))))))))))</f>
        <v>5</v>
      </c>
      <c r="M415" s="92">
        <v>0</v>
      </c>
      <c r="N415" s="92">
        <v>3</v>
      </c>
      <c r="O415" s="92">
        <v>0</v>
      </c>
      <c r="P415" s="92"/>
      <c r="Q415" s="92" t="s">
        <v>65</v>
      </c>
      <c r="R415" s="69">
        <f>IF(Q415="Free Recall",1,IF(Q415="Cued Recall",2,IF(Q415="Recognition",3,IF(Q415="Multiple Choice",4,IF(Q415="Savings",5,IF(Q415="Stem Completion",6,IF(Q415="Fragment Completion",7,IF(Q415="anagram solution",8,IF(Q415="Matching",9,IF(Q415="Problem Solving",10,"99"))))))))))</f>
        <v>2</v>
      </c>
      <c r="S415" s="69" t="s">
        <v>49</v>
      </c>
      <c r="T415" s="92" t="s">
        <v>581</v>
      </c>
      <c r="U415" s="69">
        <f>IF(T415="within",1,0)</f>
        <v>1</v>
      </c>
      <c r="V415" s="92">
        <f>3*18</f>
        <v>54</v>
      </c>
      <c r="W415" s="69">
        <f>F415*V415</f>
        <v>1350</v>
      </c>
      <c r="X415" s="92">
        <v>3</v>
      </c>
      <c r="Y415" s="87">
        <f>AV414</f>
        <v>30</v>
      </c>
      <c r="Z415" s="92" t="s">
        <v>150</v>
      </c>
      <c r="AA415" s="92">
        <f>60*60*24*7</f>
        <v>604800</v>
      </c>
      <c r="AB415" s="69" t="str">
        <f>IF(AA415&lt;60,"1",IF(AA415&lt;=43200,"2",IF(AA415&lt;=777600,"3","4")))</f>
        <v>3</v>
      </c>
      <c r="AC415" s="72">
        <f>AVERAGE(AV414:DA414)</f>
        <v>237610</v>
      </c>
      <c r="AD415" s="69" t="str">
        <f>IF(AC415&lt;60,"1",IF(AC415&lt;=43200,"2",IF(AC415&lt;=777600,"3","4")))</f>
        <v>3</v>
      </c>
      <c r="AE415" s="87">
        <f>AA415-Y415</f>
        <v>604770</v>
      </c>
      <c r="AF415" s="88">
        <f>AV415</f>
        <v>0.36095207803223056</v>
      </c>
      <c r="AG415" s="72">
        <f>((AW415-AV415)+(AX415-AW415))/2</f>
        <v>-6.6422815945716668E-2</v>
      </c>
      <c r="AH415" s="4"/>
      <c r="AI415" s="72">
        <f>RSQ(AV415:AX415,AV414:AX414)</f>
        <v>0.97198674339763447</v>
      </c>
      <c r="AJ415" s="110">
        <f>SLOPE(AV415:AX415,AV414:AX414)</f>
        <v>-2.3443665516808783E-7</v>
      </c>
      <c r="AK415" s="72">
        <f>INTERCEPT(AV415:AX415,AV414:AX414)</f>
        <v>0.37237469436957549</v>
      </c>
      <c r="AL415" s="72">
        <f>INDEX(LINEST(LN(AV415:AX415),LN(AV414:AX414),TRUE,TRUE),3,1)</f>
        <v>0.40222133627573375</v>
      </c>
      <c r="AM415" s="72">
        <f>INDEX(LINEST(LN(AV415:AX415),LN(AV414:AX414)),1)</f>
        <v>-3.1732687254297863E-2</v>
      </c>
      <c r="AN415" s="72">
        <f>EXP(INDEX(LINEST(LN(AV415:AX415),LN(AV414:AX414)),1,2))</f>
        <v>0.41786237929047404</v>
      </c>
      <c r="AO415" s="89">
        <f>INDEX(LINEST((AV415:AX415),LN(AV414:AX414),TRUE,TRUE),3,1)</f>
        <v>0.40222133627573381</v>
      </c>
      <c r="AP415" s="89">
        <f>INDEX(LINEST((AV415:AX415),LN(AV414:AX414)),1)</f>
        <v>-9.1855469335924717E-3</v>
      </c>
      <c r="AQ415" s="90">
        <f>INDEX(LINEST(LN(AV415:AX415),SQRT(AV414:AX414),TRUE,TRUE),3,1)</f>
        <v>0.8264112738218552</v>
      </c>
      <c r="AR415" s="117">
        <f>INDEX(LINEST(LN(AV415:AX415),SQRT((AV414:AX414))),1)</f>
        <v>-6.2110455445794595E-4</v>
      </c>
      <c r="AS415" s="91">
        <f>INDEX(LINEST(1/(AV415:AX415),1/(SQRT(AV414:AX414)),TRUE,TRUE),3,1)</f>
        <v>0.25733942509074897</v>
      </c>
      <c r="AT415" s="91">
        <f>INDEX(LINEST(1/(AV415:AX415),1/SQRT(AV414:AX414)),1)</f>
        <v>-4.5366759217563457</v>
      </c>
      <c r="AU415" s="3"/>
      <c r="AV415" s="97">
        <v>0.36095207803223056</v>
      </c>
      <c r="AW415" s="97">
        <v>0.36095207803223056</v>
      </c>
      <c r="AX415" s="97">
        <v>0.22810644614079723</v>
      </c>
      <c r="AY415" s="11"/>
      <c r="AZ415" s="11"/>
      <c r="BA415" s="11"/>
      <c r="BB415" s="11"/>
      <c r="BC415" s="11"/>
      <c r="BD415" s="11"/>
      <c r="BE415" s="11"/>
      <c r="BF415" s="11"/>
      <c r="BG415" s="11"/>
      <c r="BH415" s="11"/>
      <c r="BI415" s="11"/>
      <c r="BJ415" s="11"/>
      <c r="BK415" s="11"/>
      <c r="BL415" s="11"/>
      <c r="BM415" s="11"/>
      <c r="BN415" s="11"/>
      <c r="BO415" s="11"/>
      <c r="BP415" s="11"/>
      <c r="BQ415" s="11"/>
      <c r="BR415" s="11"/>
      <c r="BS415" s="11"/>
      <c r="BT415" s="11"/>
      <c r="BU415" s="11"/>
      <c r="BV415" s="11"/>
      <c r="BW415" s="11"/>
      <c r="BX415" s="11"/>
      <c r="BY415" s="11"/>
      <c r="BZ415" s="11"/>
      <c r="CA415" s="11"/>
      <c r="CB415" s="11"/>
      <c r="CC415" s="11"/>
      <c r="CD415" s="11"/>
      <c r="CE415" s="11"/>
      <c r="CF415" s="11"/>
      <c r="CG415" s="11"/>
      <c r="CH415" s="11"/>
      <c r="CI415" s="11"/>
      <c r="CJ415" s="11"/>
      <c r="CK415" s="11"/>
      <c r="CL415" s="11"/>
      <c r="CM415" s="11"/>
      <c r="CN415" s="11"/>
      <c r="CO415" s="11"/>
      <c r="CP415" s="11"/>
      <c r="CQ415" s="11"/>
      <c r="CR415" s="15"/>
      <c r="CS415" s="15"/>
      <c r="CT415" s="15"/>
      <c r="CU415" s="15"/>
    </row>
    <row r="416" spans="1:99" ht="12" customHeight="1" x14ac:dyDescent="0.2">
      <c r="A416" s="68">
        <v>43978</v>
      </c>
      <c r="B416" s="94"/>
      <c r="C416" s="94"/>
      <c r="D416" s="92"/>
      <c r="E416" s="105"/>
      <c r="F416" s="92"/>
      <c r="G416" s="92"/>
      <c r="H416" s="92"/>
      <c r="I416" s="92"/>
      <c r="J416" s="92"/>
      <c r="K416" s="69"/>
      <c r="L416" s="69"/>
      <c r="M416" s="92"/>
      <c r="N416" s="92"/>
      <c r="O416" s="92"/>
      <c r="P416" s="92"/>
      <c r="Q416" s="92"/>
      <c r="R416" s="69"/>
      <c r="S416" s="69"/>
      <c r="T416" s="92"/>
      <c r="U416" s="69"/>
      <c r="V416" s="92"/>
      <c r="W416" s="69"/>
      <c r="X416" s="92"/>
      <c r="Y416" s="87"/>
      <c r="Z416" s="92"/>
      <c r="AA416" s="92"/>
      <c r="AB416" s="69"/>
      <c r="AC416" s="72"/>
      <c r="AD416" s="69"/>
      <c r="AE416" s="87"/>
      <c r="AF416" s="88"/>
      <c r="AG416" s="72"/>
      <c r="AH416" s="4"/>
      <c r="AI416" s="72"/>
      <c r="AJ416" s="110"/>
      <c r="AK416" s="72"/>
      <c r="AL416" s="72"/>
      <c r="AM416" s="72"/>
      <c r="AN416" s="72"/>
      <c r="AO416" s="89"/>
      <c r="AP416" s="89"/>
      <c r="AQ416" s="90"/>
      <c r="AR416" s="117"/>
      <c r="AS416" s="91"/>
      <c r="AT416" s="91"/>
      <c r="AU416" s="3"/>
      <c r="AV416" s="98">
        <v>30</v>
      </c>
      <c r="AW416" s="98">
        <f>60*60*30</f>
        <v>108000</v>
      </c>
      <c r="AX416" s="98">
        <f>60*60*24*7</f>
        <v>604800</v>
      </c>
      <c r="AY416" s="11"/>
      <c r="AZ416" s="11"/>
      <c r="BA416" s="11"/>
      <c r="BB416" s="11"/>
      <c r="BC416" s="11"/>
      <c r="BD416" s="11"/>
      <c r="BE416" s="11"/>
      <c r="BF416" s="11"/>
      <c r="BG416" s="11"/>
      <c r="BH416" s="11"/>
      <c r="BI416" s="11"/>
      <c r="BJ416" s="11"/>
      <c r="BK416" s="11"/>
      <c r="BL416" s="11"/>
      <c r="BM416" s="11"/>
      <c r="BN416" s="11"/>
      <c r="BO416" s="11"/>
      <c r="BP416" s="11"/>
      <c r="BQ416" s="11"/>
      <c r="BR416" s="11"/>
      <c r="BS416" s="11"/>
      <c r="BT416" s="11"/>
      <c r="BU416" s="11"/>
      <c r="BV416" s="11"/>
      <c r="BW416" s="11"/>
      <c r="BX416" s="11"/>
      <c r="BY416" s="11"/>
      <c r="BZ416" s="11"/>
      <c r="CA416" s="11"/>
      <c r="CB416" s="11"/>
      <c r="CC416" s="11"/>
      <c r="CD416" s="11"/>
      <c r="CE416" s="11"/>
      <c r="CF416" s="11"/>
      <c r="CG416" s="11"/>
      <c r="CH416" s="11"/>
      <c r="CI416" s="11"/>
      <c r="CJ416" s="11"/>
      <c r="CK416" s="11"/>
      <c r="CL416" s="11"/>
      <c r="CM416" s="11"/>
      <c r="CN416" s="11"/>
      <c r="CO416" s="11"/>
      <c r="CP416" s="11"/>
      <c r="CQ416" s="11"/>
      <c r="CR416" s="15"/>
      <c r="CS416" s="15"/>
      <c r="CT416" s="15"/>
      <c r="CU416" s="15"/>
    </row>
    <row r="417" spans="1:99" ht="12" customHeight="1" x14ac:dyDescent="0.2">
      <c r="A417" s="68">
        <v>43978</v>
      </c>
      <c r="B417" s="94" t="s">
        <v>948</v>
      </c>
      <c r="C417" s="94" t="s">
        <v>54</v>
      </c>
      <c r="D417" s="92">
        <v>2014</v>
      </c>
      <c r="E417" s="105">
        <v>1</v>
      </c>
      <c r="F417" s="92">
        <v>25</v>
      </c>
      <c r="G417" s="92">
        <v>25</v>
      </c>
      <c r="H417" s="92" t="s">
        <v>41</v>
      </c>
      <c r="I417" s="92" t="s">
        <v>954</v>
      </c>
      <c r="J417" s="92" t="s">
        <v>686</v>
      </c>
      <c r="K417" s="69">
        <f>IF(J417="syllables",1,IF(J417="trigrams",2,IF(J417="strings",3,IF(J417="visual array",4,IF(J417="characters",5,IF(J417="letters",6,IF(J417="free forms",7,IF(J417="odors",8,IF(J417="words",9,IF(J417="pictures",10,IF(J417="object pictures",11,IF(J417="faces",12,IF(J417="names",13,IF(J417="idioms",14,IF(J417="grades",15,IF(J417="syllable-digit pairs",16,IF(J417="trigram-word pairs",17,IF(J417="word-digit pairs",18,IF(J417="English-Swahili pairs",19,IF(J417="spatial position",20,IF(J417="word pairs",21,IF(J417="word triads",22,IF(J417="generated words",23,IF(J417="word definition pairs",24,IF(J417="math problems",25,IF(J417="famous faces",26,IF(J417="famous names",27,IF(J417="famous voices",28,IF(J417="television programs",29,IF(J417="race horses",30,IF(J417="new vocabulary",31,IF(J417="sentences",32,IF(J417="concepts",33,IF(J417="ad slides",34,IF(J417="scenes",35,IF(J417="famous scenes",36,IF(J417="poems",37,IF(J417="walk",38,IF(J417="faces and events",39,IF(J417="events and names",40,IF(J417="flashbulb",41,IF(J417="stories",42,IF(J417="course material",43,IF(J417="autobiographical",44,IF(J417="novels",45,IF(J417="public events",46,"99"))))))))))))))))))))))))))))))))))))))))))))))</f>
        <v>35</v>
      </c>
      <c r="L417" s="69">
        <f>IF(J417="syllables",1,IF(J417="trigrams",1,IF(J417="strings",1,IF(J417="visual array",1,IF(J417="characters",1,IF(J417="letters",1,IF(J417="free forms",1,IF(J417="odors",2,IF(J417="words",2,IF(J417="pictures",2,IF(J417="object pictures",2,IF(J417="faces",2,IF(J417="names",2,IF(J417="idioms","2",IF(J417="grades",2,IF(J417="syllable-digit pairs",3,IF(J417="trigram-word pairs",3,IF(J417="word-digit pairs",3,IF(J417="English-Swahili pairs",3,IF(J417="spatial position",3,IF(J417="word pairs",4,IF(J417="word triads",4,IF(J417="generated words",4,IF(J417="word definition pairs",4,IF(J417="math problems",4,IF(J417="famous faces",4,IF(J417="famous names",4,IF(J417="famous voices",4,IF(J417="television programs",4,IF(J417="race horses",4,IF(J417="new vocabulary",4,IF(J417="sentences",5,IF(J417="concepts",5,IF(J417="ad slides",5,IF(J417="scenes",5,IF(J417="famous scenes",5,IF(J417="poems",6,IF(J417="walk",6,IF(J417="faces and events",6,IF(J417="events and names",6,IF(J417="flashbulb",7,IF(J417="stories",7,IF(J417="course material",7,IF(J417="autobiographical",7,IF(J417="novels",7,IF(J417="public events",7,"99"))))))))))))))))))))))))))))))))))))))))))))))</f>
        <v>5</v>
      </c>
      <c r="M417" s="92">
        <v>0</v>
      </c>
      <c r="N417" s="92">
        <v>3</v>
      </c>
      <c r="O417" s="92">
        <v>0</v>
      </c>
      <c r="P417" s="92"/>
      <c r="Q417" s="92" t="s">
        <v>174</v>
      </c>
      <c r="R417" s="69">
        <f>IF(Q417="Free Recall",1,IF(Q417="Cued Recall",2,IF(Q417="Recognition",3,IF(Q417="Multiple Choice",4,IF(Q417="Savings",5,IF(Q417="Stem Completion",6,IF(Q417="Fragment Completion",7,IF(Q417="anagram solution",8,IF(Q417="Matching",9,IF(Q417="Problem Solving",10,"99"))))))))))</f>
        <v>1</v>
      </c>
      <c r="S417" s="69" t="s">
        <v>49</v>
      </c>
      <c r="T417" s="92" t="s">
        <v>581</v>
      </c>
      <c r="U417" s="69">
        <f>IF(T417="within",1,0)</f>
        <v>1</v>
      </c>
      <c r="V417" s="92">
        <f>3*36</f>
        <v>108</v>
      </c>
      <c r="W417" s="69">
        <f>F417*V417</f>
        <v>2700</v>
      </c>
      <c r="X417" s="92">
        <v>3</v>
      </c>
      <c r="Y417" s="87">
        <f>AV416</f>
        <v>30</v>
      </c>
      <c r="Z417" s="92" t="s">
        <v>150</v>
      </c>
      <c r="AA417" s="92">
        <f>60*60*24*7</f>
        <v>604800</v>
      </c>
      <c r="AB417" s="69" t="str">
        <f>IF(AA417&lt;60,"1",IF(AA417&lt;=43200,"2",IF(AA417&lt;=777600,"3","4")))</f>
        <v>3</v>
      </c>
      <c r="AC417" s="72">
        <f>AVERAGE(AV416:DA416)</f>
        <v>237610</v>
      </c>
      <c r="AD417" s="69" t="str">
        <f>IF(AC417&lt;60,"1",IF(AC417&lt;=43200,"2",IF(AC417&lt;=777600,"3","4")))</f>
        <v>3</v>
      </c>
      <c r="AE417" s="87">
        <f>AA417-Y417</f>
        <v>604770</v>
      </c>
      <c r="AF417" s="88">
        <f>AV417</f>
        <v>0.78253111885201998</v>
      </c>
      <c r="AG417" s="72">
        <f>((AW417-AV417)+(AX417-AW417))/2</f>
        <v>-7.8040730921498491E-2</v>
      </c>
      <c r="AH417" s="4"/>
      <c r="AI417" s="72">
        <f>RSQ(AV417:AX417,AV416:AX416)</f>
        <v>0.99997691572559988</v>
      </c>
      <c r="AJ417" s="110">
        <f>SLOPE(AV417:AX417,AV416:AX416)</f>
        <v>-2.5762452972586866E-7</v>
      </c>
      <c r="AK417" s="72">
        <f>INTERCEPT(AV417:AX417,AV416:AX416)</f>
        <v>0.78218381248172264</v>
      </c>
      <c r="AL417" s="72">
        <f>INDEX(LINEST(LN(AV417:AX417),LN(AV416:AX416),TRUE,TRUE),3,1)</f>
        <v>0.55834996617324872</v>
      </c>
      <c r="AM417" s="72">
        <f>INDEX(LINEST(LN(AV417:AX417),LN(AV416:AX416)),1)</f>
        <v>-1.6813191845441774E-2</v>
      </c>
      <c r="AN417" s="72">
        <f>EXP(INDEX(LINEST(LN(AV417:AX417),LN(AV416:AX416)),1,2))</f>
        <v>0.84100010680953607</v>
      </c>
      <c r="AO417" s="89">
        <f>INDEX(LINEST((AV417:AX417),LN(AV416:AX416),TRUE,TRUE),3,1)</f>
        <v>0.57427887239825304</v>
      </c>
      <c r="AP417" s="89">
        <f>INDEX(LINEST((AV417:AX417),LN(AV416:AX416)),1)</f>
        <v>-1.1891339185025846E-2</v>
      </c>
      <c r="AQ417" s="90">
        <f>INDEX(LINEST(LN(AV417:AX417),SQRT(AV416:AX416),TRUE,TRUE),3,1)</f>
        <v>0.92738220101355784</v>
      </c>
      <c r="AR417" s="117">
        <f>INDEX(LINEST(LN(AV417:AX417),SQRT((AV416:AX416))),1)</f>
        <v>-2.9588203541763966E-4</v>
      </c>
      <c r="AS417" s="91">
        <f>INDEX(LINEST(1/(AV417:AX417),1/(SQRT(AV416:AX416)),TRUE,TRUE),3,1)</f>
        <v>0.389338493902469</v>
      </c>
      <c r="AT417" s="91">
        <f>INDEX(LINEST(1/(AV417:AX417),1/SQRT(AV416:AX416)),1)</f>
        <v>-1.0276369505105651</v>
      </c>
      <c r="AU417" s="3"/>
      <c r="AV417" s="97">
        <v>0.78253111885201998</v>
      </c>
      <c r="AW417" s="97">
        <v>0.75392816805963403</v>
      </c>
      <c r="AX417" s="97">
        <v>0.626449657009023</v>
      </c>
      <c r="AY417" s="11"/>
      <c r="AZ417" s="11"/>
      <c r="BA417" s="11"/>
      <c r="BB417" s="11"/>
      <c r="BC417" s="11"/>
      <c r="BD417" s="11"/>
      <c r="BE417" s="11"/>
      <c r="BF417" s="11"/>
      <c r="BG417" s="11"/>
      <c r="BH417" s="11"/>
      <c r="BI417" s="11"/>
      <c r="BJ417" s="11"/>
      <c r="BK417" s="11"/>
      <c r="BL417" s="11"/>
      <c r="BM417" s="11"/>
      <c r="BN417" s="11"/>
      <c r="BO417" s="11"/>
      <c r="BP417" s="11"/>
      <c r="BQ417" s="11"/>
      <c r="BR417" s="11"/>
      <c r="BS417" s="11"/>
      <c r="BT417" s="11"/>
      <c r="BU417" s="11"/>
      <c r="BV417" s="11"/>
      <c r="BW417" s="11"/>
      <c r="BX417" s="11"/>
      <c r="BY417" s="11"/>
      <c r="BZ417" s="11"/>
      <c r="CA417" s="11"/>
      <c r="CB417" s="11"/>
      <c r="CC417" s="11"/>
      <c r="CD417" s="11"/>
      <c r="CE417" s="11"/>
      <c r="CF417" s="11"/>
      <c r="CG417" s="11"/>
      <c r="CH417" s="11"/>
      <c r="CI417" s="11"/>
      <c r="CJ417" s="11"/>
      <c r="CK417" s="11"/>
      <c r="CL417" s="11"/>
      <c r="CM417" s="11"/>
      <c r="CN417" s="11"/>
      <c r="CO417" s="11"/>
      <c r="CP417" s="11"/>
      <c r="CQ417" s="11"/>
      <c r="CR417" s="15"/>
      <c r="CS417" s="15"/>
      <c r="CT417" s="15"/>
      <c r="CU417" s="15"/>
    </row>
    <row r="418" spans="1:99" ht="12" customHeight="1" x14ac:dyDescent="0.2">
      <c r="A418" s="68">
        <v>43978</v>
      </c>
      <c r="B418" s="94"/>
      <c r="C418" s="94"/>
      <c r="D418" s="92"/>
      <c r="E418" s="105"/>
      <c r="F418" s="92"/>
      <c r="G418" s="92"/>
      <c r="H418" s="92"/>
      <c r="I418" s="92"/>
      <c r="J418" s="92"/>
      <c r="K418" s="69"/>
      <c r="L418" s="69"/>
      <c r="M418" s="92"/>
      <c r="N418" s="92"/>
      <c r="O418" s="92"/>
      <c r="P418" s="92"/>
      <c r="Q418" s="92"/>
      <c r="R418" s="69"/>
      <c r="S418" s="69"/>
      <c r="T418" s="92"/>
      <c r="U418" s="69"/>
      <c r="V418" s="92"/>
      <c r="W418" s="69"/>
      <c r="X418" s="92"/>
      <c r="Y418" s="87"/>
      <c r="Z418" s="92"/>
      <c r="AA418" s="92"/>
      <c r="AB418" s="69"/>
      <c r="AC418" s="72"/>
      <c r="AD418" s="69"/>
      <c r="AE418" s="87"/>
      <c r="AF418" s="88"/>
      <c r="AG418" s="72"/>
      <c r="AH418" s="4"/>
      <c r="AI418" s="72"/>
      <c r="AJ418" s="110"/>
      <c r="AK418" s="72"/>
      <c r="AL418" s="72"/>
      <c r="AM418" s="72"/>
      <c r="AN418" s="72"/>
      <c r="AO418" s="89"/>
      <c r="AP418" s="89"/>
      <c r="AQ418" s="90"/>
      <c r="AR418" s="117"/>
      <c r="AS418" s="91"/>
      <c r="AT418" s="91"/>
      <c r="AU418" s="3"/>
      <c r="AV418" s="98">
        <v>30</v>
      </c>
      <c r="AW418" s="98">
        <f>60*60*30</f>
        <v>108000</v>
      </c>
      <c r="AX418" s="98">
        <f>60*60*24*7</f>
        <v>604800</v>
      </c>
      <c r="AY418" s="11"/>
      <c r="AZ418" s="11"/>
      <c r="BA418" s="11"/>
      <c r="BB418" s="11"/>
      <c r="BC418" s="11"/>
      <c r="BD418" s="11"/>
      <c r="BE418" s="11"/>
      <c r="BF418" s="11"/>
      <c r="BG418" s="11"/>
      <c r="BH418" s="11"/>
      <c r="BI418" s="11"/>
      <c r="BJ418" s="11"/>
      <c r="BK418" s="11"/>
      <c r="BL418" s="11"/>
      <c r="BM418" s="11"/>
      <c r="BN418" s="11"/>
      <c r="BO418" s="11"/>
      <c r="BP418" s="11"/>
      <c r="BQ418" s="11"/>
      <c r="BR418" s="11"/>
      <c r="BS418" s="11"/>
      <c r="BT418" s="11"/>
      <c r="BU418" s="11"/>
      <c r="BV418" s="11"/>
      <c r="BW418" s="11"/>
      <c r="BX418" s="11"/>
      <c r="BY418" s="11"/>
      <c r="BZ418" s="11"/>
      <c r="CA418" s="11"/>
      <c r="CB418" s="11"/>
      <c r="CC418" s="11"/>
      <c r="CD418" s="11"/>
      <c r="CE418" s="11"/>
      <c r="CF418" s="11"/>
      <c r="CG418" s="11"/>
      <c r="CH418" s="11"/>
      <c r="CI418" s="11"/>
      <c r="CJ418" s="11"/>
      <c r="CK418" s="11"/>
      <c r="CL418" s="11"/>
      <c r="CM418" s="11"/>
      <c r="CN418" s="11"/>
      <c r="CO418" s="11"/>
      <c r="CP418" s="11"/>
      <c r="CQ418" s="11"/>
      <c r="CR418" s="15"/>
      <c r="CS418" s="15"/>
      <c r="CT418" s="15"/>
      <c r="CU418" s="15"/>
    </row>
    <row r="419" spans="1:99" ht="12" customHeight="1" x14ac:dyDescent="0.2">
      <c r="A419" s="68">
        <v>43978</v>
      </c>
      <c r="B419" s="94" t="s">
        <v>948</v>
      </c>
      <c r="C419" s="94" t="s">
        <v>54</v>
      </c>
      <c r="D419" s="92">
        <v>2014</v>
      </c>
      <c r="E419" s="105">
        <v>1</v>
      </c>
      <c r="F419" s="92">
        <v>25</v>
      </c>
      <c r="G419" s="92">
        <v>25</v>
      </c>
      <c r="H419" s="92" t="s">
        <v>41</v>
      </c>
      <c r="I419" s="92" t="s">
        <v>955</v>
      </c>
      <c r="J419" s="92" t="s">
        <v>686</v>
      </c>
      <c r="K419" s="69">
        <f>IF(J419="syllables",1,IF(J419="trigrams",2,IF(J419="strings",3,IF(J419="visual array",4,IF(J419="characters",5,IF(J419="letters",6,IF(J419="free forms",7,IF(J419="odors",8,IF(J419="words",9,IF(J419="pictures",10,IF(J419="object pictures",11,IF(J419="faces",12,IF(J419="names",13,IF(J419="idioms",14,IF(J419="grades",15,IF(J419="syllable-digit pairs",16,IF(J419="trigram-word pairs",17,IF(J419="word-digit pairs",18,IF(J419="English-Swahili pairs",19,IF(J419="spatial position",20,IF(J419="word pairs",21,IF(J419="word triads",22,IF(J419="generated words",23,IF(J419="word definition pairs",24,IF(J419="math problems",25,IF(J419="famous faces",26,IF(J419="famous names",27,IF(J419="famous voices",28,IF(J419="television programs",29,IF(J419="race horses",30,IF(J419="new vocabulary",31,IF(J419="sentences",32,IF(J419="concepts",33,IF(J419="ad slides",34,IF(J419="scenes",35,IF(J419="famous scenes",36,IF(J419="poems",37,IF(J419="walk",38,IF(J419="faces and events",39,IF(J419="events and names",40,IF(J419="flashbulb",41,IF(J419="stories",42,IF(J419="course material",43,IF(J419="autobiographical",44,IF(J419="novels",45,IF(J419="public events",46,"99"))))))))))))))))))))))))))))))))))))))))))))))</f>
        <v>35</v>
      </c>
      <c r="L419" s="69">
        <f>IF(J419="syllables",1,IF(J419="trigrams",1,IF(J419="strings",1,IF(J419="visual array",1,IF(J419="characters",1,IF(J419="letters",1,IF(J419="free forms",1,IF(J419="odors",2,IF(J419="words",2,IF(J419="pictures",2,IF(J419="object pictures",2,IF(J419="faces",2,IF(J419="names",2,IF(J419="idioms","2",IF(J419="grades",2,IF(J419="syllable-digit pairs",3,IF(J419="trigram-word pairs",3,IF(J419="word-digit pairs",3,IF(J419="English-Swahili pairs",3,IF(J419="spatial position",3,IF(J419="word pairs",4,IF(J419="word triads",4,IF(J419="generated words",4,IF(J419="word definition pairs",4,IF(J419="math problems",4,IF(J419="famous faces",4,IF(J419="famous names",4,IF(J419="famous voices",4,IF(J419="television programs",4,IF(J419="race horses",4,IF(J419="new vocabulary",4,IF(J419="sentences",5,IF(J419="concepts",5,IF(J419="ad slides",5,IF(J419="scenes",5,IF(J419="famous scenes",5,IF(J419="poems",6,IF(J419="walk",6,IF(J419="faces and events",6,IF(J419="events and names",6,IF(J419="flashbulb",7,IF(J419="stories",7,IF(J419="course material",7,IF(J419="autobiographical",7,IF(J419="novels",7,IF(J419="public events",7,"99"))))))))))))))))))))))))))))))))))))))))))))))</f>
        <v>5</v>
      </c>
      <c r="M419" s="92">
        <v>0</v>
      </c>
      <c r="N419" s="92">
        <v>3</v>
      </c>
      <c r="O419" s="92">
        <v>0</v>
      </c>
      <c r="P419" s="92"/>
      <c r="Q419" s="92" t="s">
        <v>174</v>
      </c>
      <c r="R419" s="69">
        <f>IF(Q419="Free Recall",1,IF(Q419="Cued Recall",2,IF(Q419="Recognition",3,IF(Q419="Multiple Choice",4,IF(Q419="Savings",5,IF(Q419="Stem Completion",6,IF(Q419="Fragment Completion",7,IF(Q419="anagram solution",8,IF(Q419="Matching",9,IF(Q419="Problem Solving",10,"99"))))))))))</f>
        <v>1</v>
      </c>
      <c r="S419" s="69" t="s">
        <v>49</v>
      </c>
      <c r="T419" s="92" t="s">
        <v>581</v>
      </c>
      <c r="U419" s="69">
        <f>IF(T419="within",1,0)</f>
        <v>1</v>
      </c>
      <c r="V419" s="92">
        <f>3*36</f>
        <v>108</v>
      </c>
      <c r="W419" s="69">
        <f>F419*V419</f>
        <v>2700</v>
      </c>
      <c r="X419" s="92">
        <v>3</v>
      </c>
      <c r="Y419" s="87">
        <f>AV418</f>
        <v>30</v>
      </c>
      <c r="Z419" s="92" t="s">
        <v>150</v>
      </c>
      <c r="AA419" s="92">
        <f>60*60*24*7</f>
        <v>604800</v>
      </c>
      <c r="AB419" s="69" t="str">
        <f>IF(AA419&lt;60,"1",IF(AA419&lt;=43200,"2",IF(AA419&lt;=777600,"3","4")))</f>
        <v>3</v>
      </c>
      <c r="AC419" s="72">
        <f>AVERAGE(AV418:DA418)</f>
        <v>237610</v>
      </c>
      <c r="AD419" s="69" t="str">
        <f>IF(AC419&lt;60,"1",IF(AC419&lt;=43200,"2",IF(AC419&lt;=777600,"3","4")))</f>
        <v>3</v>
      </c>
      <c r="AE419" s="87">
        <f>AA419-Y419</f>
        <v>604770</v>
      </c>
      <c r="AF419" s="88">
        <f>AV419</f>
        <v>0.80725214899999997</v>
      </c>
      <c r="AG419" s="72">
        <f>((AW419-AV419)+(AX419-AW419))/2</f>
        <v>-9.0401245999999991E-2</v>
      </c>
      <c r="AH419" s="4"/>
      <c r="AI419" s="72">
        <f>RSQ(AV419:AX419,AV418:AX418)</f>
        <v>0.99997075671786539</v>
      </c>
      <c r="AJ419" s="110">
        <f>SLOPE(AV419:AX419,AV418:AX418)</f>
        <v>-2.9836182492929401E-7</v>
      </c>
      <c r="AK419" s="72">
        <f>INTERCEPT(AV419:AX419,AV418:AX418)</f>
        <v>0.80679831022144943</v>
      </c>
      <c r="AL419" s="72">
        <f>INDEX(LINEST(LN(AV419:AX419),LN(AV418:AX418),TRUE,TRUE),3,1)</f>
        <v>0.55679895467915808</v>
      </c>
      <c r="AM419" s="72">
        <f>INDEX(LINEST(LN(AV419:AX419),LN(AV418:AX418)),1)</f>
        <v>-1.9148678371994979E-2</v>
      </c>
      <c r="AN419" s="72">
        <f>EXP(INDEX(LINEST(LN(AV419:AX419),LN(AV418:AX418)),1,2))</f>
        <v>0.87634245836037605</v>
      </c>
      <c r="AO419" s="89">
        <f>INDEX(LINEST((AV419:AX419),LN(AV418:AX418),TRUE,TRUE),3,1)</f>
        <v>0.57487522999530638</v>
      </c>
      <c r="AP419" s="89">
        <f>INDEX(LINEST((AV419:AX419),LN(AV418:AX418)),1)</f>
        <v>-1.3778867564414602E-2</v>
      </c>
      <c r="AQ419" s="90">
        <f>INDEX(LINEST(LN(AV419:AX419),SQRT(AV418:AX418),TRUE,TRUE),3,1)</f>
        <v>0.92656972748730404</v>
      </c>
      <c r="AR419" s="117">
        <f>INDEX(LINEST(LN(AV419:AX419),SQRT((AV418:AX418))),1)</f>
        <v>-3.3730357993975313E-4</v>
      </c>
      <c r="AS419" s="91">
        <f>INDEX(LINEST(1/(AV419:AX419),1/(SQRT(AV418:AX418)),TRUE,TRUE),3,1)</f>
        <v>0.38597906494364359</v>
      </c>
      <c r="AT419" s="91">
        <f>INDEX(LINEST(1/(AV419:AX419),1/SQRT(AV418:AX418)),1)</f>
        <v>-1.1505555648415937</v>
      </c>
      <c r="AU419" s="3"/>
      <c r="AV419" s="97">
        <v>0.80725214899999997</v>
      </c>
      <c r="AW419" s="97">
        <v>0.77401186499999997</v>
      </c>
      <c r="AX419" s="97">
        <v>0.62644965699999999</v>
      </c>
      <c r="AY419" s="11"/>
      <c r="AZ419" s="11"/>
      <c r="BA419" s="11"/>
      <c r="BB419" s="11"/>
      <c r="BC419" s="11"/>
      <c r="BD419" s="11"/>
      <c r="BE419" s="11"/>
      <c r="BF419" s="11"/>
      <c r="BG419" s="11"/>
      <c r="BH419" s="11"/>
      <c r="BI419" s="11"/>
      <c r="BJ419" s="11"/>
      <c r="BK419" s="11"/>
      <c r="BL419" s="11"/>
      <c r="BM419" s="11"/>
      <c r="BN419" s="11"/>
      <c r="BO419" s="11"/>
      <c r="BP419" s="11"/>
      <c r="BQ419" s="11"/>
      <c r="BR419" s="11"/>
      <c r="BS419" s="11"/>
      <c r="BT419" s="11"/>
      <c r="BU419" s="11"/>
      <c r="BV419" s="11"/>
      <c r="BW419" s="11"/>
      <c r="BX419" s="11"/>
      <c r="BY419" s="11"/>
      <c r="BZ419" s="11"/>
      <c r="CA419" s="11"/>
      <c r="CB419" s="11"/>
      <c r="CC419" s="11"/>
      <c r="CD419" s="11"/>
      <c r="CE419" s="11"/>
      <c r="CF419" s="11"/>
      <c r="CG419" s="11"/>
      <c r="CH419" s="11"/>
      <c r="CI419" s="11"/>
      <c r="CJ419" s="11"/>
      <c r="CK419" s="11"/>
      <c r="CL419" s="11"/>
      <c r="CM419" s="11"/>
      <c r="CN419" s="11"/>
      <c r="CO419" s="11"/>
      <c r="CP419" s="11"/>
      <c r="CQ419" s="11"/>
      <c r="CR419" s="15"/>
      <c r="CS419" s="15"/>
      <c r="CT419" s="15"/>
      <c r="CU419" s="15"/>
    </row>
    <row r="420" spans="1:99" ht="12" customHeight="1" x14ac:dyDescent="0.2">
      <c r="A420" s="68">
        <v>43978</v>
      </c>
      <c r="B420" s="94"/>
      <c r="C420" s="94"/>
      <c r="D420" s="92"/>
      <c r="E420" s="105"/>
      <c r="F420" s="92"/>
      <c r="G420" s="92"/>
      <c r="H420" s="92"/>
      <c r="I420" s="92"/>
      <c r="J420" s="92"/>
      <c r="K420" s="69"/>
      <c r="L420" s="69"/>
      <c r="M420" s="92"/>
      <c r="N420" s="92"/>
      <c r="O420" s="92"/>
      <c r="P420" s="92"/>
      <c r="Q420" s="92"/>
      <c r="R420" s="69"/>
      <c r="S420" s="69"/>
      <c r="T420" s="92"/>
      <c r="U420" s="69"/>
      <c r="V420" s="92"/>
      <c r="W420" s="69"/>
      <c r="X420" s="92"/>
      <c r="Y420" s="87"/>
      <c r="Z420" s="92"/>
      <c r="AA420" s="92"/>
      <c r="AB420" s="69"/>
      <c r="AC420" s="72"/>
      <c r="AD420" s="69"/>
      <c r="AE420" s="87"/>
      <c r="AF420" s="88"/>
      <c r="AG420" s="72"/>
      <c r="AH420" s="4"/>
      <c r="AI420" s="72"/>
      <c r="AJ420" s="110"/>
      <c r="AK420" s="72"/>
      <c r="AL420" s="72"/>
      <c r="AM420" s="72"/>
      <c r="AN420" s="72"/>
      <c r="AO420" s="89"/>
      <c r="AP420" s="89"/>
      <c r="AQ420" s="90"/>
      <c r="AR420" s="117"/>
      <c r="AS420" s="91"/>
      <c r="AT420" s="91"/>
      <c r="AU420" s="3"/>
      <c r="AV420" s="98">
        <v>30</v>
      </c>
      <c r="AW420" s="98">
        <f>60*60*30</f>
        <v>108000</v>
      </c>
      <c r="AX420" s="98">
        <f>60*60*24*7</f>
        <v>604800</v>
      </c>
      <c r="AY420" s="11"/>
      <c r="AZ420" s="11"/>
      <c r="BA420" s="11"/>
      <c r="BB420" s="11"/>
      <c r="BC420" s="11"/>
      <c r="BD420" s="11"/>
      <c r="BE420" s="11"/>
      <c r="BF420" s="11"/>
      <c r="BG420" s="11"/>
      <c r="BH420" s="11"/>
      <c r="BI420" s="11"/>
      <c r="BJ420" s="11"/>
      <c r="BK420" s="11"/>
      <c r="BL420" s="11"/>
      <c r="BM420" s="11"/>
      <c r="BN420" s="11"/>
      <c r="BO420" s="11"/>
      <c r="BP420" s="11"/>
      <c r="BQ420" s="11"/>
      <c r="BR420" s="11"/>
      <c r="BS420" s="11"/>
      <c r="BT420" s="11"/>
      <c r="BU420" s="11"/>
      <c r="BV420" s="11"/>
      <c r="BW420" s="11"/>
      <c r="BX420" s="11"/>
      <c r="BY420" s="11"/>
      <c r="BZ420" s="11"/>
      <c r="CA420" s="11"/>
      <c r="CB420" s="11"/>
      <c r="CC420" s="11"/>
      <c r="CD420" s="11"/>
      <c r="CE420" s="11"/>
      <c r="CF420" s="11"/>
      <c r="CG420" s="11"/>
      <c r="CH420" s="11"/>
      <c r="CI420" s="11"/>
      <c r="CJ420" s="11"/>
      <c r="CK420" s="11"/>
      <c r="CL420" s="11"/>
      <c r="CM420" s="11"/>
      <c r="CN420" s="11"/>
      <c r="CO420" s="11"/>
      <c r="CP420" s="11"/>
      <c r="CQ420" s="11"/>
      <c r="CR420" s="15"/>
      <c r="CS420" s="15"/>
      <c r="CT420" s="15"/>
      <c r="CU420" s="15"/>
    </row>
    <row r="421" spans="1:99" ht="12" customHeight="1" x14ac:dyDescent="0.2">
      <c r="A421" s="68">
        <v>43978</v>
      </c>
      <c r="B421" s="94" t="s">
        <v>948</v>
      </c>
      <c r="C421" s="94" t="s">
        <v>54</v>
      </c>
      <c r="D421" s="92">
        <v>2014</v>
      </c>
      <c r="E421" s="105">
        <v>1</v>
      </c>
      <c r="F421" s="92">
        <v>25</v>
      </c>
      <c r="G421" s="92">
        <v>25</v>
      </c>
      <c r="H421" s="92" t="s">
        <v>41</v>
      </c>
      <c r="I421" s="92" t="s">
        <v>956</v>
      </c>
      <c r="J421" s="92" t="s">
        <v>686</v>
      </c>
      <c r="K421" s="69">
        <f>IF(J421="syllables",1,IF(J421="trigrams",2,IF(J421="strings",3,IF(J421="visual array",4,IF(J421="characters",5,IF(J421="letters",6,IF(J421="free forms",7,IF(J421="odors",8,IF(J421="words",9,IF(J421="pictures",10,IF(J421="object pictures",11,IF(J421="faces",12,IF(J421="names",13,IF(J421="idioms",14,IF(J421="grades",15,IF(J421="syllable-digit pairs",16,IF(J421="trigram-word pairs",17,IF(J421="word-digit pairs",18,IF(J421="English-Swahili pairs",19,IF(J421="spatial position",20,IF(J421="word pairs",21,IF(J421="word triads",22,IF(J421="generated words",23,IF(J421="word definition pairs",24,IF(J421="math problems",25,IF(J421="famous faces",26,IF(J421="famous names",27,IF(J421="famous voices",28,IF(J421="television programs",29,IF(J421="race horses",30,IF(J421="new vocabulary",31,IF(J421="sentences",32,IF(J421="concepts",33,IF(J421="ad slides",34,IF(J421="scenes",35,IF(J421="famous scenes",36,IF(J421="poems",37,IF(J421="walk",38,IF(J421="faces and events",39,IF(J421="events and names",40,IF(J421="flashbulb",41,IF(J421="stories",42,IF(J421="course material",43,IF(J421="autobiographical",44,IF(J421="novels",45,IF(J421="public events",46,"99"))))))))))))))))))))))))))))))))))))))))))))))</f>
        <v>35</v>
      </c>
      <c r="L421" s="69">
        <f>IF(J421="syllables",1,IF(J421="trigrams",1,IF(J421="strings",1,IF(J421="visual array",1,IF(J421="characters",1,IF(J421="letters",1,IF(J421="free forms",1,IF(J421="odors",2,IF(J421="words",2,IF(J421="pictures",2,IF(J421="object pictures",2,IF(J421="faces",2,IF(J421="names",2,IF(J421="idioms","2",IF(J421="grades",2,IF(J421="syllable-digit pairs",3,IF(J421="trigram-word pairs",3,IF(J421="word-digit pairs",3,IF(J421="English-Swahili pairs",3,IF(J421="spatial position",3,IF(J421="word pairs",4,IF(J421="word triads",4,IF(J421="generated words",4,IF(J421="word definition pairs",4,IF(J421="math problems",4,IF(J421="famous faces",4,IF(J421="famous names",4,IF(J421="famous voices",4,IF(J421="television programs",4,IF(J421="race horses",4,IF(J421="new vocabulary",4,IF(J421="sentences",5,IF(J421="concepts",5,IF(J421="ad slides",5,IF(J421="scenes",5,IF(J421="famous scenes",5,IF(J421="poems",6,IF(J421="walk",6,IF(J421="faces and events",6,IF(J421="events and names",6,IF(J421="flashbulb",7,IF(J421="stories",7,IF(J421="course material",7,IF(J421="autobiographical",7,IF(J421="novels",7,IF(J421="public events",7,"99"))))))))))))))))))))))))))))))))))))))))))))))</f>
        <v>5</v>
      </c>
      <c r="M421" s="92">
        <v>0</v>
      </c>
      <c r="N421" s="92">
        <v>3</v>
      </c>
      <c r="O421" s="92">
        <v>0</v>
      </c>
      <c r="P421" s="92"/>
      <c r="Q421" s="92" t="s">
        <v>182</v>
      </c>
      <c r="R421" s="69">
        <f>IF(Q421="Free Recall",1,IF(Q421="Cued Recall",2,IF(Q421="Recognition",3,IF(Q421="Multiple Choice",4,IF(Q421="Savings",5,IF(Q421="Stem Completion",6,IF(Q421="Fragment Completion",7,IF(Q421="anagram solution",8,IF(Q421="Matching",9,IF(Q421="Problem Solving",10,"99"))))))))))</f>
        <v>4</v>
      </c>
      <c r="S421" s="69" t="s">
        <v>15</v>
      </c>
      <c r="T421" s="92" t="s">
        <v>581</v>
      </c>
      <c r="U421" s="69">
        <f>IF(T421="within",1,0)</f>
        <v>1</v>
      </c>
      <c r="V421" s="92">
        <v>150</v>
      </c>
      <c r="W421" s="69">
        <f>F421*V421</f>
        <v>3750</v>
      </c>
      <c r="X421" s="92">
        <v>3</v>
      </c>
      <c r="Y421" s="87">
        <f>AV420</f>
        <v>30</v>
      </c>
      <c r="Z421" s="92" t="s">
        <v>150</v>
      </c>
      <c r="AA421" s="92">
        <f>60*60*24*7</f>
        <v>604800</v>
      </c>
      <c r="AB421" s="69" t="str">
        <f>IF(AA421&lt;60,"1",IF(AA421&lt;=43200,"2",IF(AA421&lt;=777600,"3","4")))</f>
        <v>3</v>
      </c>
      <c r="AC421" s="72">
        <f>AVERAGE(AV420:DA420)</f>
        <v>237610</v>
      </c>
      <c r="AD421" s="69" t="str">
        <f>IF(AC421&lt;60,"1",IF(AC421&lt;=43200,"2",IF(AC421&lt;=777600,"3","4")))</f>
        <v>3</v>
      </c>
      <c r="AE421" s="87">
        <f>AA421-Y421</f>
        <v>604770</v>
      </c>
      <c r="AF421" s="88">
        <f>AV421</f>
        <v>0.801521443727234</v>
      </c>
      <c r="AG421" s="72">
        <f>((AW421-AV421)+(AX421-AW421))/2</f>
        <v>-0.197243748018611</v>
      </c>
      <c r="AH421" s="4"/>
      <c r="AI421" s="72">
        <f>RSQ(AV421:AX421,AV420:AX420)</f>
        <v>0.99983325922577215</v>
      </c>
      <c r="AJ421" s="110">
        <f>SLOPE(AV421:AX421,AV420:AX420)</f>
        <v>-6.4918148070266954E-7</v>
      </c>
      <c r="AK421" s="72">
        <f>INTERCEPT(AV421:AX421,AV420:AX420)</f>
        <v>0.79913631166172605</v>
      </c>
      <c r="AL421" s="72">
        <f>INDEX(LINEST(LN(AV421:AX421),LN(AV420:AX420),TRUE,TRUE),3,1)</f>
        <v>0.53696111253522971</v>
      </c>
      <c r="AM421" s="72">
        <f>INDEX(LINEST(LN(AV421:AX421),LN(AV420:AX420)),1)</f>
        <v>-5.0651137425773506E-2</v>
      </c>
      <c r="AN421" s="72">
        <f>EXP(INDEX(LINEST(LN(AV421:AX421),LN(AV420:AX420)),1,2))</f>
        <v>0.99781680932429717</v>
      </c>
      <c r="AO421" s="89">
        <f>INDEX(LINEST((AV421:AX421),LN(AV420:AX420),TRUE,TRUE),3,1)</f>
        <v>0.58228732415705686</v>
      </c>
      <c r="AP421" s="89">
        <f>INDEX(LINEST((AV421:AX421),LN(AV420:AX420)),1)</f>
        <v>-3.0175058672245403E-2</v>
      </c>
      <c r="AQ421" s="90">
        <f>INDEX(LINEST(LN(AV421:AX421),SQRT(AV420:AX420),TRUE,TRUE),3,1)</f>
        <v>0.91583819493685492</v>
      </c>
      <c r="AR421" s="117">
        <f>INDEX(LINEST(LN(AV421:AX421),SQRT((AV420:AX420))),1)</f>
        <v>-9.0327389469185533E-4</v>
      </c>
      <c r="AS421" s="91">
        <f>INDEX(LINEST(1/(AV421:AX421),1/(SQRT(AV420:AX420)),TRUE,TRUE),3,1)</f>
        <v>0.34689762066613944</v>
      </c>
      <c r="AT421" s="91">
        <f>INDEX(LINEST(1/(AV421:AX421),1/SQRT(AV420:AX420)),1)</f>
        <v>-3.7537964701928717</v>
      </c>
      <c r="AU421" s="3"/>
      <c r="AV421" s="97">
        <v>0.801521443727234</v>
      </c>
      <c r="AW421" s="97">
        <v>0.72609750867864808</v>
      </c>
      <c r="AX421" s="97">
        <v>0.407033947690012</v>
      </c>
      <c r="AY421" s="11"/>
      <c r="AZ421" s="11"/>
      <c r="BA421" s="11"/>
      <c r="BB421" s="11"/>
      <c r="BC421" s="11"/>
      <c r="BD421" s="11"/>
      <c r="BE421" s="11"/>
      <c r="BF421" s="11"/>
      <c r="BG421" s="11"/>
      <c r="BH421" s="11"/>
      <c r="BI421" s="11"/>
      <c r="BJ421" s="11"/>
      <c r="BK421" s="11"/>
      <c r="BL421" s="11"/>
      <c r="BM421" s="11"/>
      <c r="BN421" s="11"/>
      <c r="BO421" s="11"/>
      <c r="BP421" s="11"/>
      <c r="BQ421" s="11"/>
      <c r="BR421" s="11"/>
      <c r="BS421" s="11"/>
      <c r="BT421" s="11"/>
      <c r="BU421" s="11"/>
      <c r="BV421" s="11"/>
      <c r="BW421" s="11"/>
      <c r="BX421" s="11"/>
      <c r="BY421" s="11"/>
      <c r="BZ421" s="11"/>
      <c r="CA421" s="11"/>
      <c r="CB421" s="11"/>
      <c r="CC421" s="11"/>
      <c r="CD421" s="11"/>
      <c r="CE421" s="11"/>
      <c r="CF421" s="11"/>
      <c r="CG421" s="11"/>
      <c r="CH421" s="11"/>
      <c r="CI421" s="11"/>
      <c r="CJ421" s="11"/>
      <c r="CK421" s="11"/>
      <c r="CL421" s="11"/>
      <c r="CM421" s="11"/>
      <c r="CN421" s="11"/>
      <c r="CO421" s="11"/>
      <c r="CP421" s="11"/>
      <c r="CQ421" s="11"/>
      <c r="CR421" s="15"/>
      <c r="CS421" s="15"/>
      <c r="CT421" s="15"/>
      <c r="CU421" s="15"/>
    </row>
    <row r="422" spans="1:99" ht="12" customHeight="1" x14ac:dyDescent="0.2">
      <c r="A422" s="68">
        <v>43978</v>
      </c>
      <c r="B422" s="94"/>
      <c r="C422" s="94"/>
      <c r="D422" s="92"/>
      <c r="E422" s="105"/>
      <c r="F422" s="92"/>
      <c r="G422" s="92"/>
      <c r="H422" s="92"/>
      <c r="I422" s="92"/>
      <c r="J422" s="92"/>
      <c r="K422" s="69"/>
      <c r="L422" s="69"/>
      <c r="M422" s="92"/>
      <c r="N422" s="92"/>
      <c r="O422" s="92"/>
      <c r="P422" s="92"/>
      <c r="Q422" s="92"/>
      <c r="R422" s="69"/>
      <c r="S422" s="69"/>
      <c r="T422" s="92"/>
      <c r="U422" s="69"/>
      <c r="V422" s="92"/>
      <c r="W422" s="69"/>
      <c r="X422" s="92"/>
      <c r="Y422" s="87"/>
      <c r="Z422" s="92"/>
      <c r="AA422" s="92"/>
      <c r="AB422" s="69"/>
      <c r="AC422" s="72"/>
      <c r="AD422" s="69"/>
      <c r="AE422" s="87"/>
      <c r="AF422" s="88"/>
      <c r="AG422" s="72"/>
      <c r="AH422" s="4"/>
      <c r="AI422" s="72"/>
      <c r="AJ422" s="110"/>
      <c r="AK422" s="72"/>
      <c r="AL422" s="72"/>
      <c r="AM422" s="72"/>
      <c r="AN422" s="72"/>
      <c r="AO422" s="89"/>
      <c r="AP422" s="89"/>
      <c r="AQ422" s="90"/>
      <c r="AR422" s="117"/>
      <c r="AS422" s="91"/>
      <c r="AT422" s="91"/>
      <c r="AU422" s="3"/>
      <c r="AV422" s="98">
        <v>30</v>
      </c>
      <c r="AW422" s="98">
        <f>60*60*30</f>
        <v>108000</v>
      </c>
      <c r="AX422" s="98">
        <f>60*60*24*7</f>
        <v>604800</v>
      </c>
      <c r="AY422" s="11"/>
      <c r="AZ422" s="11"/>
      <c r="BA422" s="11"/>
      <c r="BB422" s="11"/>
      <c r="BC422" s="11"/>
      <c r="BD422" s="11"/>
      <c r="BE422" s="11"/>
      <c r="BF422" s="11"/>
      <c r="BG422" s="11"/>
      <c r="BH422" s="11"/>
      <c r="BI422" s="11"/>
      <c r="BJ422" s="11"/>
      <c r="BK422" s="11"/>
      <c r="BL422" s="11"/>
      <c r="BM422" s="11"/>
      <c r="BN422" s="11"/>
      <c r="BO422" s="11"/>
      <c r="BP422" s="11"/>
      <c r="BQ422" s="11"/>
      <c r="BR422" s="11"/>
      <c r="BS422" s="11"/>
      <c r="BT422" s="11"/>
      <c r="BU422" s="11"/>
      <c r="BV422" s="11"/>
      <c r="BW422" s="11"/>
      <c r="BX422" s="11"/>
      <c r="BY422" s="11"/>
      <c r="BZ422" s="11"/>
      <c r="CA422" s="11"/>
      <c r="CB422" s="11"/>
      <c r="CC422" s="11"/>
      <c r="CD422" s="11"/>
      <c r="CE422" s="11"/>
      <c r="CF422" s="11"/>
      <c r="CG422" s="11"/>
      <c r="CH422" s="11"/>
      <c r="CI422" s="11"/>
      <c r="CJ422" s="11"/>
      <c r="CK422" s="11"/>
      <c r="CL422" s="11"/>
      <c r="CM422" s="11"/>
      <c r="CN422" s="11"/>
      <c r="CO422" s="11"/>
      <c r="CP422" s="11"/>
      <c r="CQ422" s="11"/>
      <c r="CR422" s="15"/>
      <c r="CS422" s="15"/>
      <c r="CT422" s="15"/>
      <c r="CU422" s="15"/>
    </row>
    <row r="423" spans="1:99" ht="12" customHeight="1" x14ac:dyDescent="0.2">
      <c r="A423" s="68">
        <v>43978</v>
      </c>
      <c r="B423" s="94" t="s">
        <v>948</v>
      </c>
      <c r="C423" s="94" t="s">
        <v>54</v>
      </c>
      <c r="D423" s="92">
        <v>2014</v>
      </c>
      <c r="E423" s="105">
        <v>1</v>
      </c>
      <c r="F423" s="92">
        <v>25</v>
      </c>
      <c r="G423" s="92">
        <v>25</v>
      </c>
      <c r="H423" s="92" t="s">
        <v>41</v>
      </c>
      <c r="I423" s="92" t="s">
        <v>957</v>
      </c>
      <c r="J423" s="92" t="s">
        <v>686</v>
      </c>
      <c r="K423" s="69">
        <f>IF(J423="syllables",1,IF(J423="trigrams",2,IF(J423="strings",3,IF(J423="visual array",4,IF(J423="characters",5,IF(J423="letters",6,IF(J423="free forms",7,IF(J423="odors",8,IF(J423="words",9,IF(J423="pictures",10,IF(J423="object pictures",11,IF(J423="faces",12,IF(J423="names",13,IF(J423="idioms",14,IF(J423="grades",15,IF(J423="syllable-digit pairs",16,IF(J423="trigram-word pairs",17,IF(J423="word-digit pairs",18,IF(J423="English-Swahili pairs",19,IF(J423="spatial position",20,IF(J423="word pairs",21,IF(J423="word triads",22,IF(J423="generated words",23,IF(J423="word definition pairs",24,IF(J423="math problems",25,IF(J423="famous faces",26,IF(J423="famous names",27,IF(J423="famous voices",28,IF(J423="television programs",29,IF(J423="race horses",30,IF(J423="new vocabulary",31,IF(J423="sentences",32,IF(J423="concepts",33,IF(J423="ad slides",34,IF(J423="scenes",35,IF(J423="famous scenes",36,IF(J423="poems",37,IF(J423="walk",38,IF(J423="faces and events",39,IF(J423="events and names",40,IF(J423="flashbulb",41,IF(J423="stories",42,IF(J423="course material",43,IF(J423="autobiographical",44,IF(J423="novels",45,IF(J423="public events",46,"99"))))))))))))))))))))))))))))))))))))))))))))))</f>
        <v>35</v>
      </c>
      <c r="L423" s="69">
        <f>IF(J423="syllables",1,IF(J423="trigrams",1,IF(J423="strings",1,IF(J423="visual array",1,IF(J423="characters",1,IF(J423="letters",1,IF(J423="free forms",1,IF(J423="odors",2,IF(J423="words",2,IF(J423="pictures",2,IF(J423="object pictures",2,IF(J423="faces",2,IF(J423="names",2,IF(J423="idioms","2",IF(J423="grades",2,IF(J423="syllable-digit pairs",3,IF(J423="trigram-word pairs",3,IF(J423="word-digit pairs",3,IF(J423="English-Swahili pairs",3,IF(J423="spatial position",3,IF(J423="word pairs",4,IF(J423="word triads",4,IF(J423="generated words",4,IF(J423="word definition pairs",4,IF(J423="math problems",4,IF(J423="famous faces",4,IF(J423="famous names",4,IF(J423="famous voices",4,IF(J423="television programs",4,IF(J423="race horses",4,IF(J423="new vocabulary",4,IF(J423="sentences",5,IF(J423="concepts",5,IF(J423="ad slides",5,IF(J423="scenes",5,IF(J423="famous scenes",5,IF(J423="poems",6,IF(J423="walk",6,IF(J423="faces and events",6,IF(J423="events and names",6,IF(J423="flashbulb",7,IF(J423="stories",7,IF(J423="course material",7,IF(J423="autobiographical",7,IF(J423="novels",7,IF(J423="public events",7,"99"))))))))))))))))))))))))))))))))))))))))))))))</f>
        <v>5</v>
      </c>
      <c r="M423" s="92">
        <v>0</v>
      </c>
      <c r="N423" s="92">
        <v>3</v>
      </c>
      <c r="O423" s="92">
        <v>0</v>
      </c>
      <c r="P423" s="92"/>
      <c r="Q423" s="92" t="s">
        <v>182</v>
      </c>
      <c r="R423" s="69">
        <f>IF(Q423="Free Recall",1,IF(Q423="Cued Recall",2,IF(Q423="Recognition",3,IF(Q423="Multiple Choice",4,IF(Q423="Savings",5,IF(Q423="Stem Completion",6,IF(Q423="Fragment Completion",7,IF(Q423="anagram solution",8,IF(Q423="Matching",9,IF(Q423="Problem Solving",10,"99"))))))))))</f>
        <v>4</v>
      </c>
      <c r="S423" s="69" t="s">
        <v>15</v>
      </c>
      <c r="T423" s="92" t="s">
        <v>581</v>
      </c>
      <c r="U423" s="69">
        <f>IF(T423="within",1,0)</f>
        <v>1</v>
      </c>
      <c r="V423" s="92">
        <v>150</v>
      </c>
      <c r="W423" s="69">
        <f>F423*V423</f>
        <v>3750</v>
      </c>
      <c r="X423" s="92">
        <v>3</v>
      </c>
      <c r="Y423" s="87">
        <f>AV422</f>
        <v>30</v>
      </c>
      <c r="Z423" s="92" t="s">
        <v>150</v>
      </c>
      <c r="AA423" s="92">
        <f>60*60*24*7</f>
        <v>604800</v>
      </c>
      <c r="AB423" s="69" t="str">
        <f>IF(AA423&lt;60,"1",IF(AA423&lt;=43200,"2",IF(AA423&lt;=777600,"3","4")))</f>
        <v>3</v>
      </c>
      <c r="AC423" s="72">
        <f>AVERAGE(AV422:DA422)</f>
        <v>237610</v>
      </c>
      <c r="AD423" s="69" t="str">
        <f>IF(AC423&lt;60,"1",IF(AC423&lt;=43200,"2",IF(AC423&lt;=777600,"3","4")))</f>
        <v>3</v>
      </c>
      <c r="AE423" s="87">
        <f>AA423-Y423</f>
        <v>604770</v>
      </c>
      <c r="AF423" s="88">
        <f>AV423</f>
        <v>0.68549682385796196</v>
      </c>
      <c r="AG423" s="72">
        <f>((AW423-AV423)+(AX423-AW423))/2</f>
        <v>-0.17486684407635297</v>
      </c>
      <c r="AH423" s="4"/>
      <c r="AI423" s="72">
        <f>RSQ(AV423:AX423,AV422:AX422)</f>
        <v>0.9611583805849041</v>
      </c>
      <c r="AJ423" s="110">
        <f>SLOPE(AV423:AX423,AV422:AX422)</f>
        <v>-6.2492443971717747E-7</v>
      </c>
      <c r="AK423" s="72">
        <f>INTERCEPT(AV423:AX423,AV422:AX422)</f>
        <v>0.72154850798677517</v>
      </c>
      <c r="AL423" s="72">
        <f>INDEX(LINEST(LN(AV423:AX423),LN(AV422:AX422),TRUE,TRUE),3,1)</f>
        <v>0.38121406301338168</v>
      </c>
      <c r="AM423" s="72">
        <f>INDEX(LINEST(LN(AV423:AX423),LN(AV422:AX422)),1)</f>
        <v>-4.8660829493556233E-2</v>
      </c>
      <c r="AN423" s="72">
        <f>EXP(INDEX(LINEST(LN(AV423:AX423),LN(AV422:AX422)),1,2))</f>
        <v>0.86032727146315469</v>
      </c>
      <c r="AO423" s="89">
        <f>INDEX(LINEST((AV423:AX423),LN(AV422:AX422),TRUE,TRUE),3,1)</f>
        <v>0.37278297019686407</v>
      </c>
      <c r="AP423" s="89">
        <f>INDEX(LINEST((AV423:AX423),LN(AV422:AX422)),1)</f>
        <v>-2.3704739435597449E-2</v>
      </c>
      <c r="AQ423" s="90">
        <f>INDEX(LINEST(LN(AV423:AX423),SQRT(AV422:AX422),TRUE,TRUE),3,1)</f>
        <v>0.80981251824301359</v>
      </c>
      <c r="AR423" s="117">
        <f>INDEX(LINEST(LN(AV423:AX423),SQRT((AV422:AX422))),1)</f>
        <v>-9.6845532649312454E-4</v>
      </c>
      <c r="AS423" s="91">
        <f>INDEX(LINEST(1/(AV423:AX423),1/(SQRT(AV422:AX422)),TRUE,TRUE),3,1)</f>
        <v>0.24461571541947319</v>
      </c>
      <c r="AT423" s="91">
        <f>INDEX(LINEST(1/(AV423:AX423),1/SQRT(AV422:AX422)),1)</f>
        <v>-4.201532012050655</v>
      </c>
      <c r="AU423" s="3"/>
      <c r="AV423" s="97">
        <v>0.68549682385796196</v>
      </c>
      <c r="AW423" s="97">
        <v>0.69792067603351193</v>
      </c>
      <c r="AX423" s="97">
        <v>0.33576313570525601</v>
      </c>
      <c r="AY423" s="11"/>
      <c r="AZ423" s="11"/>
      <c r="BA423" s="11"/>
      <c r="BB423" s="11"/>
      <c r="BC423" s="11"/>
      <c r="BD423" s="11"/>
      <c r="BE423" s="11"/>
      <c r="BF423" s="11"/>
      <c r="BG423" s="11"/>
      <c r="BH423" s="11"/>
      <c r="BI423" s="11"/>
      <c r="BJ423" s="11"/>
      <c r="BK423" s="11"/>
      <c r="BL423" s="11"/>
      <c r="BM423" s="11"/>
      <c r="BN423" s="11"/>
      <c r="BO423" s="11"/>
      <c r="BP423" s="11"/>
      <c r="BQ423" s="11"/>
      <c r="BR423" s="11"/>
      <c r="BS423" s="11"/>
      <c r="BT423" s="11"/>
      <c r="BU423" s="11"/>
      <c r="BV423" s="11"/>
      <c r="BW423" s="11"/>
      <c r="BX423" s="11"/>
      <c r="BY423" s="11"/>
      <c r="BZ423" s="11"/>
      <c r="CA423" s="11"/>
      <c r="CB423" s="11"/>
      <c r="CC423" s="11"/>
      <c r="CD423" s="11"/>
      <c r="CE423" s="11"/>
      <c r="CF423" s="11"/>
      <c r="CG423" s="11"/>
      <c r="CH423" s="11"/>
      <c r="CI423" s="11"/>
      <c r="CJ423" s="11"/>
      <c r="CK423" s="11"/>
      <c r="CL423" s="11"/>
      <c r="CM423" s="11"/>
      <c r="CN423" s="11"/>
      <c r="CO423" s="11"/>
      <c r="CP423" s="11"/>
      <c r="CQ423" s="11"/>
      <c r="CR423" s="15"/>
      <c r="CS423" s="15"/>
      <c r="CT423" s="15"/>
      <c r="CU423" s="15"/>
    </row>
    <row r="424" spans="1:99" ht="12" customHeight="1" x14ac:dyDescent="0.2">
      <c r="A424" s="68">
        <v>43978</v>
      </c>
      <c r="B424" s="94"/>
      <c r="C424" s="94"/>
      <c r="D424" s="92"/>
      <c r="E424" s="105"/>
      <c r="F424" s="92"/>
      <c r="G424" s="92"/>
      <c r="H424" s="92"/>
      <c r="I424" s="92"/>
      <c r="J424" s="92"/>
      <c r="K424" s="69"/>
      <c r="L424" s="69"/>
      <c r="M424" s="92"/>
      <c r="N424" s="92"/>
      <c r="O424" s="92"/>
      <c r="P424" s="92"/>
      <c r="Q424" s="92"/>
      <c r="R424" s="69"/>
      <c r="S424" s="69"/>
      <c r="T424" s="92"/>
      <c r="U424" s="69"/>
      <c r="V424" s="92"/>
      <c r="W424" s="69"/>
      <c r="X424" s="92"/>
      <c r="Y424" s="87"/>
      <c r="Z424" s="92"/>
      <c r="AA424" s="92"/>
      <c r="AB424" s="69"/>
      <c r="AC424" s="72"/>
      <c r="AD424" s="69"/>
      <c r="AE424" s="87"/>
      <c r="AF424" s="88"/>
      <c r="AG424" s="72"/>
      <c r="AH424" s="4"/>
      <c r="AI424" s="72"/>
      <c r="AJ424" s="110"/>
      <c r="AK424" s="72"/>
      <c r="AL424" s="72"/>
      <c r="AM424" s="72"/>
      <c r="AN424" s="72"/>
      <c r="AO424" s="89"/>
      <c r="AP424" s="89"/>
      <c r="AQ424" s="90"/>
      <c r="AR424" s="117"/>
      <c r="AS424" s="91"/>
      <c r="AT424" s="91"/>
      <c r="AU424" s="3"/>
      <c r="AV424" s="98">
        <v>30</v>
      </c>
      <c r="AW424" s="98">
        <f>60*60*30</f>
        <v>108000</v>
      </c>
      <c r="AX424" s="98">
        <f>60*60*24*7</f>
        <v>604800</v>
      </c>
      <c r="AY424" s="11"/>
      <c r="AZ424" s="11"/>
      <c r="BA424" s="11"/>
      <c r="BB424" s="11"/>
      <c r="BC424" s="11"/>
      <c r="BD424" s="11"/>
      <c r="BE424" s="11"/>
      <c r="BF424" s="11"/>
      <c r="BG424" s="11"/>
      <c r="BH424" s="11"/>
      <c r="BI424" s="11"/>
      <c r="BJ424" s="11"/>
      <c r="BK424" s="11"/>
      <c r="BL424" s="11"/>
      <c r="BM424" s="11"/>
      <c r="BN424" s="11"/>
      <c r="BO424" s="11"/>
      <c r="BP424" s="11"/>
      <c r="BQ424" s="11"/>
      <c r="BR424" s="11"/>
      <c r="BS424" s="11"/>
      <c r="BT424" s="11"/>
      <c r="BU424" s="11"/>
      <c r="BV424" s="11"/>
      <c r="BW424" s="11"/>
      <c r="BX424" s="11"/>
      <c r="BY424" s="11"/>
      <c r="BZ424" s="11"/>
      <c r="CA424" s="11"/>
      <c r="CB424" s="11"/>
      <c r="CC424" s="11"/>
      <c r="CD424" s="11"/>
      <c r="CE424" s="11"/>
      <c r="CF424" s="11"/>
      <c r="CG424" s="11"/>
      <c r="CH424" s="11"/>
      <c r="CI424" s="11"/>
      <c r="CJ424" s="11"/>
      <c r="CK424" s="11"/>
      <c r="CL424" s="11"/>
      <c r="CM424" s="11"/>
      <c r="CN424" s="11"/>
      <c r="CO424" s="11"/>
      <c r="CP424" s="11"/>
      <c r="CQ424" s="11"/>
      <c r="CR424" s="15"/>
      <c r="CS424" s="15"/>
      <c r="CT424" s="15"/>
      <c r="CU424" s="15"/>
    </row>
    <row r="425" spans="1:99" ht="12" customHeight="1" x14ac:dyDescent="0.2">
      <c r="A425" s="68">
        <v>43978</v>
      </c>
      <c r="B425" s="94" t="s">
        <v>948</v>
      </c>
      <c r="C425" s="94" t="s">
        <v>54</v>
      </c>
      <c r="D425" s="92">
        <v>2014</v>
      </c>
      <c r="E425" s="105">
        <v>1</v>
      </c>
      <c r="F425" s="92">
        <v>25</v>
      </c>
      <c r="G425" s="92">
        <v>25</v>
      </c>
      <c r="H425" s="92" t="s">
        <v>41</v>
      </c>
      <c r="I425" s="92" t="s">
        <v>958</v>
      </c>
      <c r="J425" s="92" t="s">
        <v>677</v>
      </c>
      <c r="K425" s="69">
        <f>IF(J425="syllables",1,IF(J425="trigrams",2,IF(J425="strings",3,IF(J425="visual array",4,IF(J425="characters",5,IF(J425="letters",6,IF(J425="free forms",7,IF(J425="odors",8,IF(J425="words",9,IF(J425="pictures",10,IF(J425="object pictures",11,IF(J425="faces",12,IF(J425="names",13,IF(J425="idioms",14,IF(J425="grades",15,IF(J425="syllable-digit pairs",16,IF(J425="trigram-word pairs",17,IF(J425="word-digit pairs",18,IF(J425="English-Swahili pairs",19,IF(J425="spatial position",20,IF(J425="word pairs",21,IF(J425="word triads",22,IF(J425="generated words",23,IF(J425="word definition pairs",24,IF(J425="math problems",25,IF(J425="famous faces",26,IF(J425="famous names",27,IF(J425="famous voices",28,IF(J425="television programs",29,IF(J425="race horses",30,IF(J425="new vocabulary",31,IF(J425="sentences",32,IF(J425="concepts",33,IF(J425="ad slides",34,IF(J425="scenes",35,IF(J425="famous scenes",36,IF(J425="poems",37,IF(J425="walk",38,IF(J425="faces and events",39,IF(J425="events and names",40,IF(J425="flashbulb",41,IF(J425="stories",42,IF(J425="course material",43,IF(J425="autobiographical",44,IF(J425="novels",45,IF(J425="public events",46,"99"))))))))))))))))))))))))))))))))))))))))))))))</f>
        <v>42</v>
      </c>
      <c r="L425" s="69">
        <f>IF(J425="syllables",1,IF(J425="trigrams",1,IF(J425="strings",1,IF(J425="visual array",1,IF(J425="characters",1,IF(J425="letters",1,IF(J425="free forms",1,IF(J425="odors",2,IF(J425="words",2,IF(J425="pictures",2,IF(J425="object pictures",2,IF(J425="faces",2,IF(J425="names",2,IF(J425="idioms","2",IF(J425="grades",2,IF(J425="syllable-digit pairs",3,IF(J425="trigram-word pairs",3,IF(J425="word-digit pairs",3,IF(J425="English-Swahili pairs",3,IF(J425="spatial position",3,IF(J425="word pairs",4,IF(J425="word triads",4,IF(J425="generated words",4,IF(J425="word definition pairs",4,IF(J425="math problems",4,IF(J425="famous faces",4,IF(J425="famous names",4,IF(J425="famous voices",4,IF(J425="television programs",4,IF(J425="race horses",4,IF(J425="new vocabulary",4,IF(J425="sentences",5,IF(J425="concepts",5,IF(J425="ad slides",5,IF(J425="scenes",5,IF(J425="famous scenes",5,IF(J425="poems",6,IF(J425="walk",6,IF(J425="faces and events",6,IF(J425="events and names",6,IF(J425="flashbulb",7,IF(J425="stories",7,IF(J425="course material",7,IF(J425="autobiographical",7,IF(J425="novels",7,IF(J425="public events",7,"99"))))))))))))))))))))))))))))))))))))))))))))))</f>
        <v>7</v>
      </c>
      <c r="M425" s="92">
        <v>1</v>
      </c>
      <c r="N425" s="92">
        <v>4</v>
      </c>
      <c r="O425" s="92">
        <v>0</v>
      </c>
      <c r="P425" s="92"/>
      <c r="Q425" s="92" t="s">
        <v>174</v>
      </c>
      <c r="R425" s="69">
        <f>IF(Q425="Free Recall",1,IF(Q425="Cued Recall",2,IF(Q425="Recognition",3,IF(Q425="Multiple Choice",4,IF(Q425="Savings",5,IF(Q425="Stem Completion",6,IF(Q425="Fragment Completion",7,IF(Q425="anagram solution",8,IF(Q425="Matching",9,IF(Q425="Problem Solving",10,"99"))))))))))</f>
        <v>1</v>
      </c>
      <c r="S425" s="69" t="s">
        <v>49</v>
      </c>
      <c r="T425" s="92" t="s">
        <v>581</v>
      </c>
      <c r="U425" s="69">
        <f>IF(T425="within",1,0)</f>
        <v>1</v>
      </c>
      <c r="V425" s="92">
        <v>60</v>
      </c>
      <c r="W425" s="69">
        <f>F425*V425</f>
        <v>1500</v>
      </c>
      <c r="X425" s="92">
        <v>3</v>
      </c>
      <c r="Y425" s="87">
        <f>AV424</f>
        <v>30</v>
      </c>
      <c r="Z425" s="92" t="s">
        <v>150</v>
      </c>
      <c r="AA425" s="92">
        <f>60*60*24*7</f>
        <v>604800</v>
      </c>
      <c r="AB425" s="69" t="str">
        <f>IF(AA425&lt;60,"1",IF(AA425&lt;=43200,"2",IF(AA425&lt;=777600,"3","4")))</f>
        <v>3</v>
      </c>
      <c r="AC425" s="72">
        <f>AVERAGE(AV424:DA424)</f>
        <v>237610</v>
      </c>
      <c r="AD425" s="69" t="str">
        <f>IF(AC425&lt;60,"1",IF(AC425&lt;=43200,"2",IF(AC425&lt;=777600,"3","4")))</f>
        <v>3</v>
      </c>
      <c r="AE425" s="87">
        <f>AA425-Y425</f>
        <v>604770</v>
      </c>
      <c r="AF425" s="88">
        <f>AV425</f>
        <v>0.618385189738895</v>
      </c>
      <c r="AG425" s="72">
        <f>((AW425-AV425)+(AX425-AW425))/2</f>
        <v>-9.2930087925931493E-2</v>
      </c>
      <c r="AH425" s="4"/>
      <c r="AI425" s="72">
        <f>RSQ(AV425:AX425,AV424:AX424)</f>
        <v>0.91580289300263829</v>
      </c>
      <c r="AJ425" s="110">
        <f>SLOPE(AV425:AX425,AV424:AX424)</f>
        <v>-2.7623293347570189E-7</v>
      </c>
      <c r="AK425" s="72">
        <f>INTERCEPT(AV425:AX425,AV424:AX424)</f>
        <v>0.59436955000847391</v>
      </c>
      <c r="AL425" s="72">
        <f>INDEX(LINEST(LN(AV425:AX425),LN(AV424:AX424),TRUE,TRUE),3,1)</f>
        <v>0.79409446677836815</v>
      </c>
      <c r="AM425" s="72">
        <f>INDEX(LINEST(LN(AV425:AX425),LN(AV424:AX424)),1)</f>
        <v>-3.0262402091758095E-2</v>
      </c>
      <c r="AN425" s="72">
        <f>EXP(INDEX(LINEST(LN(AV425:AX425),LN(AV424:AX424)),1,2))</f>
        <v>0.69601227912916375</v>
      </c>
      <c r="AO425" s="89">
        <f>INDEX(LINEST((AV425:AX425),LN(AV424:AX424),TRUE,TRUE),3,1)</f>
        <v>0.83280238895847769</v>
      </c>
      <c r="AP425" s="89">
        <f>INDEX(LINEST((AV425:AX425),LN(AV424:AX424)),1)</f>
        <v>-1.6044365754450111E-2</v>
      </c>
      <c r="AQ425" s="90">
        <f>INDEX(LINEST(LN(AV425:AX425),SQRT(AV424:AX424),TRUE,TRUE),3,1)</f>
        <v>0.99971359802038384</v>
      </c>
      <c r="AR425" s="117">
        <f>INDEX(LINEST(LN(AV425:AX425),SQRT((AV424:AX424))),1)</f>
        <v>-4.6365762914019705E-4</v>
      </c>
      <c r="AS425" s="91">
        <f>INDEX(LINEST(1/(AV425:AX425),1/(SQRT(AV424:AX424)),TRUE,TRUE),3,1)</f>
        <v>0.6104465180744737</v>
      </c>
      <c r="AT425" s="91">
        <f>INDEX(LINEST(1/(AV425:AX425),1/SQRT(AV424:AX424)),1)</f>
        <v>-2.6393606219085837</v>
      </c>
      <c r="AU425" s="3"/>
      <c r="AV425" s="97">
        <v>0.618385189738895</v>
      </c>
      <c r="AW425" s="97">
        <v>0.53529132443001004</v>
      </c>
      <c r="AX425" s="97">
        <v>0.43252501388703202</v>
      </c>
      <c r="AY425" s="11"/>
      <c r="AZ425" s="11"/>
      <c r="BA425" s="11"/>
      <c r="BB425" s="11"/>
      <c r="BC425" s="11"/>
      <c r="BD425" s="11"/>
      <c r="BE425" s="11"/>
      <c r="BF425" s="11"/>
      <c r="BG425" s="11"/>
      <c r="BH425" s="11"/>
      <c r="BI425" s="11"/>
      <c r="BJ425" s="11"/>
      <c r="BK425" s="11"/>
      <c r="BL425" s="11"/>
      <c r="BM425" s="11"/>
      <c r="BN425" s="11"/>
      <c r="BO425" s="11"/>
      <c r="BP425" s="11"/>
      <c r="BQ425" s="11"/>
      <c r="BR425" s="11"/>
      <c r="BS425" s="11"/>
      <c r="BT425" s="11"/>
      <c r="BU425" s="11"/>
      <c r="BV425" s="11"/>
      <c r="BW425" s="11"/>
      <c r="BX425" s="11"/>
      <c r="BY425" s="11"/>
      <c r="BZ425" s="11"/>
      <c r="CA425" s="11"/>
      <c r="CB425" s="11"/>
      <c r="CC425" s="11"/>
      <c r="CD425" s="11"/>
      <c r="CE425" s="11"/>
      <c r="CF425" s="11"/>
      <c r="CG425" s="11"/>
      <c r="CH425" s="11"/>
      <c r="CI425" s="11"/>
      <c r="CJ425" s="11"/>
      <c r="CK425" s="11"/>
      <c r="CL425" s="11"/>
      <c r="CM425" s="11"/>
      <c r="CN425" s="11"/>
      <c r="CO425" s="11"/>
      <c r="CP425" s="11"/>
      <c r="CQ425" s="11"/>
      <c r="CR425" s="15"/>
      <c r="CS425" s="15"/>
      <c r="CT425" s="15"/>
      <c r="CU425" s="15"/>
    </row>
    <row r="426" spans="1:99" ht="12" customHeight="1" x14ac:dyDescent="0.2">
      <c r="A426" s="68">
        <v>43978</v>
      </c>
      <c r="B426" s="94"/>
      <c r="C426" s="94"/>
      <c r="D426" s="92"/>
      <c r="E426" s="105"/>
      <c r="F426" s="92"/>
      <c r="G426" s="92"/>
      <c r="H426" s="92"/>
      <c r="I426" s="92"/>
      <c r="J426" s="92"/>
      <c r="K426" s="69"/>
      <c r="L426" s="69"/>
      <c r="M426" s="92"/>
      <c r="N426" s="92"/>
      <c r="O426" s="92"/>
      <c r="P426" s="92"/>
      <c r="Q426" s="188" t="s">
        <v>960</v>
      </c>
      <c r="R426" s="69"/>
      <c r="S426" s="69"/>
      <c r="T426" s="92"/>
      <c r="U426" s="69"/>
      <c r="V426" s="92"/>
      <c r="W426" s="69"/>
      <c r="X426" s="92"/>
      <c r="Y426" s="87"/>
      <c r="Z426" s="92"/>
      <c r="AA426" s="92"/>
      <c r="AB426" s="69"/>
      <c r="AC426" s="72"/>
      <c r="AD426" s="69"/>
      <c r="AE426" s="87"/>
      <c r="AF426" s="88"/>
      <c r="AG426" s="72"/>
      <c r="AH426" s="4"/>
      <c r="AI426" s="72"/>
      <c r="AJ426" s="110"/>
      <c r="AK426" s="72"/>
      <c r="AL426" s="72"/>
      <c r="AM426" s="72"/>
      <c r="AN426" s="72"/>
      <c r="AO426" s="89"/>
      <c r="AP426" s="89"/>
      <c r="AQ426" s="90"/>
      <c r="AR426" s="117"/>
      <c r="AS426" s="91"/>
      <c r="AT426" s="91"/>
      <c r="AU426" s="3"/>
      <c r="AV426" s="98">
        <v>30</v>
      </c>
      <c r="AW426" s="98">
        <f>60*60*30</f>
        <v>108000</v>
      </c>
      <c r="AX426" s="98">
        <f>60*60*24*7</f>
        <v>604800</v>
      </c>
      <c r="AY426" s="11"/>
      <c r="AZ426" s="11"/>
      <c r="BA426" s="11"/>
      <c r="BB426" s="11"/>
      <c r="BC426" s="11"/>
      <c r="BD426" s="11"/>
      <c r="BE426" s="11"/>
      <c r="BF426" s="11"/>
      <c r="BG426" s="11"/>
      <c r="BH426" s="11"/>
      <c r="BI426" s="11"/>
      <c r="BJ426" s="11"/>
      <c r="BK426" s="11"/>
      <c r="BL426" s="11"/>
      <c r="BM426" s="11"/>
      <c r="BN426" s="11"/>
      <c r="BO426" s="11"/>
      <c r="BP426" s="11"/>
      <c r="BQ426" s="11"/>
      <c r="BR426" s="11"/>
      <c r="BS426" s="11"/>
      <c r="BT426" s="11"/>
      <c r="BU426" s="11"/>
      <c r="BV426" s="11"/>
      <c r="BW426" s="11"/>
      <c r="BX426" s="11"/>
      <c r="BY426" s="11"/>
      <c r="BZ426" s="11"/>
      <c r="CA426" s="11"/>
      <c r="CB426" s="11"/>
      <c r="CC426" s="11"/>
      <c r="CD426" s="11"/>
      <c r="CE426" s="11"/>
      <c r="CF426" s="11"/>
      <c r="CG426" s="11"/>
      <c r="CH426" s="11"/>
      <c r="CI426" s="11"/>
      <c r="CJ426" s="11"/>
      <c r="CK426" s="11"/>
      <c r="CL426" s="11"/>
      <c r="CM426" s="11"/>
      <c r="CN426" s="11"/>
      <c r="CO426" s="11"/>
      <c r="CP426" s="11"/>
      <c r="CQ426" s="11"/>
      <c r="CR426" s="15"/>
      <c r="CS426" s="15"/>
      <c r="CT426" s="15"/>
      <c r="CU426" s="15"/>
    </row>
    <row r="427" spans="1:99" ht="12" customHeight="1" x14ac:dyDescent="0.2">
      <c r="A427" s="68">
        <v>43978</v>
      </c>
      <c r="B427" s="94" t="s">
        <v>948</v>
      </c>
      <c r="C427" s="94" t="s">
        <v>54</v>
      </c>
      <c r="D427" s="92">
        <v>2014</v>
      </c>
      <c r="E427" s="105">
        <v>1</v>
      </c>
      <c r="F427" s="92">
        <v>25</v>
      </c>
      <c r="G427" s="92">
        <v>25</v>
      </c>
      <c r="H427" s="92" t="s">
        <v>41</v>
      </c>
      <c r="I427" s="92" t="s">
        <v>959</v>
      </c>
      <c r="J427" s="92" t="s">
        <v>677</v>
      </c>
      <c r="K427" s="69">
        <f>IF(J427="syllables",1,IF(J427="trigrams",2,IF(J427="strings",3,IF(J427="visual array",4,IF(J427="characters",5,IF(J427="letters",6,IF(J427="free forms",7,IF(J427="odors",8,IF(J427="words",9,IF(J427="pictures",10,IF(J427="object pictures",11,IF(J427="faces",12,IF(J427="names",13,IF(J427="idioms",14,IF(J427="grades",15,IF(J427="syllable-digit pairs",16,IF(J427="trigram-word pairs",17,IF(J427="word-digit pairs",18,IF(J427="English-Swahili pairs",19,IF(J427="spatial position",20,IF(J427="word pairs",21,IF(J427="word triads",22,IF(J427="generated words",23,IF(J427="word definition pairs",24,IF(J427="math problems",25,IF(J427="famous faces",26,IF(J427="famous names",27,IF(J427="famous voices",28,IF(J427="television programs",29,IF(J427="race horses",30,IF(J427="new vocabulary",31,IF(J427="sentences",32,IF(J427="concepts",33,IF(J427="ad slides",34,IF(J427="scenes",35,IF(J427="famous scenes",36,IF(J427="poems",37,IF(J427="walk",38,IF(J427="faces and events",39,IF(J427="events and names",40,IF(J427="flashbulb",41,IF(J427="stories",42,IF(J427="course material",43,IF(J427="autobiographical",44,IF(J427="novels",45,IF(J427="public events",46,"99"))))))))))))))))))))))))))))))))))))))))))))))</f>
        <v>42</v>
      </c>
      <c r="L427" s="69">
        <f>IF(J427="syllables",1,IF(J427="trigrams",1,IF(J427="strings",1,IF(J427="visual array",1,IF(J427="characters",1,IF(J427="letters",1,IF(J427="free forms",1,IF(J427="odors",2,IF(J427="words",2,IF(J427="pictures",2,IF(J427="object pictures",2,IF(J427="faces",2,IF(J427="names",2,IF(J427="idioms","2",IF(J427="grades",2,IF(J427="syllable-digit pairs",3,IF(J427="trigram-word pairs",3,IF(J427="word-digit pairs",3,IF(J427="English-Swahili pairs",3,IF(J427="spatial position",3,IF(J427="word pairs",4,IF(J427="word triads",4,IF(J427="generated words",4,IF(J427="word definition pairs",4,IF(J427="math problems",4,IF(J427="famous faces",4,IF(J427="famous names",4,IF(J427="famous voices",4,IF(J427="television programs",4,IF(J427="race horses",4,IF(J427="new vocabulary",4,IF(J427="sentences",5,IF(J427="concepts",5,IF(J427="ad slides",5,IF(J427="scenes",5,IF(J427="famous scenes",5,IF(J427="poems",6,IF(J427="walk",6,IF(J427="faces and events",6,IF(J427="events and names",6,IF(J427="flashbulb",7,IF(J427="stories",7,IF(J427="course material",7,IF(J427="autobiographical",7,IF(J427="novels",7,IF(J427="public events",7,"99"))))))))))))))))))))))))))))))))))))))))))))))</f>
        <v>7</v>
      </c>
      <c r="M427" s="92">
        <v>1</v>
      </c>
      <c r="N427" s="92">
        <v>4</v>
      </c>
      <c r="O427" s="92">
        <v>0</v>
      </c>
      <c r="P427" s="92"/>
      <c r="Q427" s="92" t="s">
        <v>174</v>
      </c>
      <c r="R427" s="69">
        <f>IF(Q427="Free Recall",1,IF(Q427="Cued Recall",2,IF(Q427="Recognition",3,IF(Q427="Multiple Choice",4,IF(Q427="Savings",5,IF(Q427="Stem Completion",6,IF(Q427="Fragment Completion",7,IF(Q427="anagram solution",8,IF(Q427="Matching",9,IF(Q427="Problem Solving",10,"99"))))))))))</f>
        <v>1</v>
      </c>
      <c r="S427" s="69" t="s">
        <v>49</v>
      </c>
      <c r="T427" s="92" t="s">
        <v>581</v>
      </c>
      <c r="U427" s="69">
        <f>IF(T427="within",1,0)</f>
        <v>1</v>
      </c>
      <c r="V427" s="92">
        <v>60</v>
      </c>
      <c r="W427" s="69">
        <f>F427*V427</f>
        <v>1500</v>
      </c>
      <c r="X427" s="92">
        <v>3</v>
      </c>
      <c r="Y427" s="87">
        <f>AV426</f>
        <v>30</v>
      </c>
      <c r="Z427" s="92" t="s">
        <v>150</v>
      </c>
      <c r="AA427" s="92">
        <f>60*60*24*7</f>
        <v>604800</v>
      </c>
      <c r="AB427" s="69" t="str">
        <f>IF(AA427&lt;60,"1",IF(AA427&lt;=43200,"2",IF(AA427&lt;=777600,"3","4")))</f>
        <v>3</v>
      </c>
      <c r="AC427" s="72">
        <f>AVERAGE(AV426:DA426)</f>
        <v>237610</v>
      </c>
      <c r="AD427" s="69" t="str">
        <f>IF(AC427&lt;60,"1",IF(AC427&lt;=43200,"2",IF(AC427&lt;=777600,"3","4")))</f>
        <v>3</v>
      </c>
      <c r="AE427" s="87">
        <f>AA427-Y427</f>
        <v>604770</v>
      </c>
      <c r="AF427" s="88">
        <f>AV427</f>
        <v>0.66315160503765003</v>
      </c>
      <c r="AG427" s="72">
        <f>((AW427-AV427)+(AX427-AW427))/2</f>
        <v>-0.11565195996675376</v>
      </c>
      <c r="AH427" s="4"/>
      <c r="AI427" s="72">
        <f>RSQ(AV427:AX427,AV426:AX426)</f>
        <v>0.91758320833890517</v>
      </c>
      <c r="AJ427" s="110">
        <f>SLOPE(AV427:AX427,AV426:AX426)</f>
        <v>-3.4417678999797528E-7</v>
      </c>
      <c r="AK427" s="72">
        <f>INTERCEPT(AV427:AX427,AV426:AX426)</f>
        <v>0.6335758342820248</v>
      </c>
      <c r="AL427" s="72">
        <f>INDEX(LINEST(LN(AV427:AX427),LN(AV426:AX426),TRUE,TRUE),3,1)</f>
        <v>0.78375095553066776</v>
      </c>
      <c r="AM427" s="72">
        <f>INDEX(LINEST(LN(AV427:AX427),LN(AV426:AX426)),1)</f>
        <v>-3.612848953466926E-2</v>
      </c>
      <c r="AN427" s="72">
        <f>EXP(INDEX(LINEST(LN(AV427:AX427),LN(AV426:AX426)),1,2))</f>
        <v>0.76414646569837374</v>
      </c>
      <c r="AO427" s="89">
        <f>INDEX(LINEST((AV427:AX427),LN(AV426:AX426),TRUE,TRUE),3,1)</f>
        <v>0.83039148931102669</v>
      </c>
      <c r="AP427" s="89">
        <f>INDEX(LINEST((AV427:AX427),LN(AV426:AX426)),1)</f>
        <v>-1.9942399794510499E-2</v>
      </c>
      <c r="AQ427" s="90">
        <f>INDEX(LINEST(LN(AV427:AX427),SQRT(AV426:AX426),TRUE,TRUE),3,1)</f>
        <v>0.99912417435190948</v>
      </c>
      <c r="AR427" s="117">
        <f>INDEX(LINEST(LN(AV427:AX427),SQRT((AV426:AX426))),1)</f>
        <v>-5.5700974694259232E-4</v>
      </c>
      <c r="AS427" s="91">
        <f>INDEX(LINEST(1/(AV427:AX427),1/(SQRT(AV426:AX426)),TRUE,TRUE),3,1)</f>
        <v>0.58970001056415022</v>
      </c>
      <c r="AT427" s="91">
        <f>INDEX(LINEST(1/(AV427:AX427),1/SQRT(AV426:AX426)),1)</f>
        <v>-3.0261305776105423</v>
      </c>
      <c r="AU427" s="3"/>
      <c r="AV427" s="97">
        <v>0.66315160503765003</v>
      </c>
      <c r="AW427" s="97">
        <v>0.56038867149002503</v>
      </c>
      <c r="AX427" s="97">
        <v>0.43184768510414251</v>
      </c>
      <c r="AY427" s="11"/>
      <c r="AZ427" s="11"/>
      <c r="BA427" s="11"/>
      <c r="BB427" s="11"/>
      <c r="BC427" s="11"/>
      <c r="BD427" s="11"/>
      <c r="BE427" s="11"/>
      <c r="BF427" s="11"/>
      <c r="BG427" s="11"/>
      <c r="BH427" s="11"/>
      <c r="BI427" s="11"/>
      <c r="BJ427" s="11"/>
      <c r="BK427" s="11"/>
      <c r="BL427" s="11"/>
      <c r="BM427" s="11"/>
      <c r="BN427" s="11"/>
      <c r="BO427" s="11"/>
      <c r="BP427" s="11"/>
      <c r="BQ427" s="11"/>
      <c r="BR427" s="11"/>
      <c r="BS427" s="11"/>
      <c r="BT427" s="11"/>
      <c r="BU427" s="11"/>
      <c r="BV427" s="11"/>
      <c r="BW427" s="11"/>
      <c r="BX427" s="11"/>
      <c r="BY427" s="11"/>
      <c r="BZ427" s="11"/>
      <c r="CA427" s="11"/>
      <c r="CB427" s="11"/>
      <c r="CC427" s="11"/>
      <c r="CD427" s="11"/>
      <c r="CE427" s="11"/>
      <c r="CF427" s="11"/>
      <c r="CG427" s="11"/>
      <c r="CH427" s="11"/>
      <c r="CI427" s="11"/>
      <c r="CJ427" s="11"/>
      <c r="CK427" s="11"/>
      <c r="CL427" s="11"/>
      <c r="CM427" s="11"/>
      <c r="CN427" s="11"/>
      <c r="CO427" s="11"/>
      <c r="CP427" s="11"/>
      <c r="CQ427" s="11"/>
      <c r="CR427" s="15"/>
      <c r="CS427" s="15"/>
      <c r="CT427" s="15"/>
      <c r="CU427" s="15"/>
    </row>
    <row r="428" spans="1:99" ht="12" customHeight="1" x14ac:dyDescent="0.2">
      <c r="A428" s="68">
        <v>43978</v>
      </c>
      <c r="B428" s="94"/>
      <c r="C428" s="94"/>
      <c r="D428" s="92"/>
      <c r="E428" s="105"/>
      <c r="F428" s="92"/>
      <c r="G428" s="92"/>
      <c r="H428" s="92"/>
      <c r="I428" s="92"/>
      <c r="J428" s="92"/>
      <c r="K428" s="69"/>
      <c r="L428" s="69"/>
      <c r="M428" s="92"/>
      <c r="N428" s="92"/>
      <c r="O428" s="92"/>
      <c r="P428" s="92"/>
      <c r="Q428" s="92"/>
      <c r="R428" s="69"/>
      <c r="S428" s="69"/>
      <c r="T428" s="92"/>
      <c r="U428" s="69"/>
      <c r="V428" s="92"/>
      <c r="W428" s="69"/>
      <c r="X428" s="92"/>
      <c r="Y428" s="87"/>
      <c r="Z428" s="92"/>
      <c r="AA428" s="92"/>
      <c r="AB428" s="69"/>
      <c r="AC428" s="72"/>
      <c r="AD428" s="69"/>
      <c r="AE428" s="87"/>
      <c r="AF428" s="88"/>
      <c r="AG428" s="72"/>
      <c r="AH428" s="4"/>
      <c r="AI428" s="72"/>
      <c r="AJ428" s="110"/>
      <c r="AK428" s="72"/>
      <c r="AL428" s="72"/>
      <c r="AM428" s="72"/>
      <c r="AN428" s="72"/>
      <c r="AO428" s="89"/>
      <c r="AP428" s="89"/>
      <c r="AQ428" s="90"/>
      <c r="AR428" s="117"/>
      <c r="AS428" s="91"/>
      <c r="AT428" s="91"/>
      <c r="AU428" s="3"/>
      <c r="AV428" s="98">
        <v>30</v>
      </c>
      <c r="AW428" s="98">
        <f>60*60*30</f>
        <v>108000</v>
      </c>
      <c r="AX428" s="98">
        <f>60*60*24*7</f>
        <v>604800</v>
      </c>
      <c r="AY428" s="11"/>
      <c r="AZ428" s="11"/>
      <c r="BA428" s="11"/>
      <c r="BB428" s="11"/>
      <c r="BC428" s="11"/>
      <c r="BD428" s="11"/>
      <c r="BE428" s="11"/>
      <c r="BF428" s="11"/>
      <c r="BG428" s="11"/>
      <c r="BH428" s="11"/>
      <c r="BI428" s="11"/>
      <c r="BJ428" s="11"/>
      <c r="BK428" s="11"/>
      <c r="BL428" s="11"/>
      <c r="BM428" s="11"/>
      <c r="BN428" s="11"/>
      <c r="BO428" s="11"/>
      <c r="BP428" s="11"/>
      <c r="BQ428" s="11"/>
      <c r="BR428" s="11"/>
      <c r="BS428" s="11"/>
      <c r="BT428" s="11"/>
      <c r="BU428" s="11"/>
      <c r="BV428" s="11"/>
      <c r="BW428" s="11"/>
      <c r="BX428" s="11"/>
      <c r="BY428" s="11"/>
      <c r="BZ428" s="11"/>
      <c r="CA428" s="11"/>
      <c r="CB428" s="11"/>
      <c r="CC428" s="11"/>
      <c r="CD428" s="11"/>
      <c r="CE428" s="11"/>
      <c r="CF428" s="11"/>
      <c r="CG428" s="11"/>
      <c r="CH428" s="11"/>
      <c r="CI428" s="11"/>
      <c r="CJ428" s="11"/>
      <c r="CK428" s="11"/>
      <c r="CL428" s="11"/>
      <c r="CM428" s="11"/>
      <c r="CN428" s="11"/>
      <c r="CO428" s="11"/>
      <c r="CP428" s="11"/>
      <c r="CQ428" s="11"/>
      <c r="CR428" s="15"/>
      <c r="CS428" s="15"/>
      <c r="CT428" s="15"/>
      <c r="CU428" s="15"/>
    </row>
    <row r="429" spans="1:99" ht="12" customHeight="1" x14ac:dyDescent="0.2">
      <c r="A429" s="68">
        <v>43978</v>
      </c>
      <c r="B429" s="94" t="s">
        <v>948</v>
      </c>
      <c r="C429" s="94" t="s">
        <v>54</v>
      </c>
      <c r="D429" s="92">
        <v>2014</v>
      </c>
      <c r="E429" s="105">
        <v>1</v>
      </c>
      <c r="F429" s="92">
        <v>25</v>
      </c>
      <c r="G429" s="92">
        <v>25</v>
      </c>
      <c r="H429" s="92" t="s">
        <v>41</v>
      </c>
      <c r="I429" s="92" t="s">
        <v>961</v>
      </c>
      <c r="J429" s="92" t="s">
        <v>677</v>
      </c>
      <c r="K429" s="69">
        <f>IF(J429="syllables",1,IF(J429="trigrams",2,IF(J429="strings",3,IF(J429="visual array",4,IF(J429="characters",5,IF(J429="letters",6,IF(J429="free forms",7,IF(J429="odors",8,IF(J429="words",9,IF(J429="pictures",10,IF(J429="object pictures",11,IF(J429="faces",12,IF(J429="names",13,IF(J429="idioms",14,IF(J429="grades",15,IF(J429="syllable-digit pairs",16,IF(J429="trigram-word pairs",17,IF(J429="word-digit pairs",18,IF(J429="English-Swahili pairs",19,IF(J429="spatial position",20,IF(J429="word pairs",21,IF(J429="word triads",22,IF(J429="generated words",23,IF(J429="word definition pairs",24,IF(J429="math problems",25,IF(J429="famous faces",26,IF(J429="famous names",27,IF(J429="famous voices",28,IF(J429="television programs",29,IF(J429="race horses",30,IF(J429="new vocabulary",31,IF(J429="sentences",32,IF(J429="concepts",33,IF(J429="ad slides",34,IF(J429="scenes",35,IF(J429="famous scenes",36,IF(J429="poems",37,IF(J429="walk",38,IF(J429="faces and events",39,IF(J429="events and names",40,IF(J429="flashbulb",41,IF(J429="stories",42,IF(J429="course material",43,IF(J429="autobiographical",44,IF(J429="novels",45,IF(J429="public events",46,"99"))))))))))))))))))))))))))))))))))))))))))))))</f>
        <v>42</v>
      </c>
      <c r="L429" s="69">
        <f>IF(J429="syllables",1,IF(J429="trigrams",1,IF(J429="strings",1,IF(J429="visual array",1,IF(J429="characters",1,IF(J429="letters",1,IF(J429="free forms",1,IF(J429="odors",2,IF(J429="words",2,IF(J429="pictures",2,IF(J429="object pictures",2,IF(J429="faces",2,IF(J429="names",2,IF(J429="idioms","2",IF(J429="grades",2,IF(J429="syllable-digit pairs",3,IF(J429="trigram-word pairs",3,IF(J429="word-digit pairs",3,IF(J429="English-Swahili pairs",3,IF(J429="spatial position",3,IF(J429="word pairs",4,IF(J429="word triads",4,IF(J429="generated words",4,IF(J429="word definition pairs",4,IF(J429="math problems",4,IF(J429="famous faces",4,IF(J429="famous names",4,IF(J429="famous voices",4,IF(J429="television programs",4,IF(J429="race horses",4,IF(J429="new vocabulary",4,IF(J429="sentences",5,IF(J429="concepts",5,IF(J429="ad slides",5,IF(J429="scenes",5,IF(J429="famous scenes",5,IF(J429="poems",6,IF(J429="walk",6,IF(J429="faces and events",6,IF(J429="events and names",6,IF(J429="flashbulb",7,IF(J429="stories",7,IF(J429="course material",7,IF(J429="autobiographical",7,IF(J429="novels",7,IF(J429="public events",7,"99"))))))))))))))))))))))))))))))))))))))))))))))</f>
        <v>7</v>
      </c>
      <c r="M429" s="92">
        <v>1</v>
      </c>
      <c r="N429" s="92">
        <v>4</v>
      </c>
      <c r="O429" s="92">
        <v>0</v>
      </c>
      <c r="P429" s="92"/>
      <c r="Q429" s="92" t="s">
        <v>182</v>
      </c>
      <c r="R429" s="69">
        <f>IF(Q429="Free Recall",1,IF(Q429="Cued Recall",2,IF(Q429="Recognition",3,IF(Q429="Multiple Choice",4,IF(Q429="Savings",5,IF(Q429="Stem Completion",6,IF(Q429="Fragment Completion",7,IF(Q429="anagram solution",8,IF(Q429="Matching",9,IF(Q429="Problem Solving",10,"99"))))))))))</f>
        <v>4</v>
      </c>
      <c r="S429" s="69" t="s">
        <v>15</v>
      </c>
      <c r="T429" s="92" t="s">
        <v>581</v>
      </c>
      <c r="U429" s="69">
        <f>IF(T429="within",1,0)</f>
        <v>1</v>
      </c>
      <c r="V429" s="92">
        <v>36</v>
      </c>
      <c r="W429" s="69">
        <f>F429*V429</f>
        <v>900</v>
      </c>
      <c r="X429" s="92">
        <v>3</v>
      </c>
      <c r="Y429" s="87">
        <f>AV428</f>
        <v>30</v>
      </c>
      <c r="Z429" s="92" t="s">
        <v>150</v>
      </c>
      <c r="AA429" s="92">
        <f>60*60*24*7</f>
        <v>604800</v>
      </c>
      <c r="AB429" s="69" t="str">
        <f>IF(AA429&lt;60,"1",IF(AA429&lt;=43200,"2",IF(AA429&lt;=777600,"3","4")))</f>
        <v>3</v>
      </c>
      <c r="AC429" s="72">
        <f>AVERAGE(AV428:DA428)</f>
        <v>237610</v>
      </c>
      <c r="AD429" s="69" t="str">
        <f>IF(AC429&lt;60,"1",IF(AC429&lt;=43200,"2",IF(AC429&lt;=777600,"3","4")))</f>
        <v>3</v>
      </c>
      <c r="AE429" s="87">
        <f>AA429-Y429</f>
        <v>604770</v>
      </c>
      <c r="AF429" s="88">
        <f>AV429</f>
        <v>0.82382825303179252</v>
      </c>
      <c r="AG429" s="72">
        <f>((AW429-AV429)+(AX429-AW429))/2</f>
        <v>-2.7450016388069542E-2</v>
      </c>
      <c r="AH429" s="4"/>
      <c r="AI429" s="72">
        <f>RSQ(AV429:AX429,AV428:AX428)</f>
        <v>0.99974972985762456</v>
      </c>
      <c r="AJ429" s="110">
        <f>SLOPE(AV429:AX429,AV428:AX428)</f>
        <v>-9.0248328694824873E-8</v>
      </c>
      <c r="AK429" s="72">
        <f>INTERCEPT(AV429:AX429,AV428:AX428)</f>
        <v>0.82342139909908385</v>
      </c>
      <c r="AL429" s="72">
        <f>INDEX(LINEST(LN(AV429:AX429),LN(AV428:AX428),TRUE,TRUE),3,1)</f>
        <v>0.57978096158421022</v>
      </c>
      <c r="AM429" s="72">
        <f>INDEX(LINEST(LN(AV429:AX429),LN(AV428:AX428)),1)</f>
        <v>-5.2686385463934469E-3</v>
      </c>
      <c r="AN429" s="72">
        <f>EXP(INDEX(LINEST(LN(AV429:AX429),LN(AV428:AX428)),1,2))</f>
        <v>0.84247429062737211</v>
      </c>
      <c r="AO429" s="89">
        <f>INDEX(LINEST((AV429:AX429),LN(AV428:AX428),TRUE,TRUE),3,1)</f>
        <v>0.58515368853725858</v>
      </c>
      <c r="AP429" s="89">
        <f>INDEX(LINEST((AV429:AX429),LN(AV428:AX428)),1)</f>
        <v>-4.2053835973907489E-3</v>
      </c>
      <c r="AQ429" s="90">
        <f>INDEX(LINEST(LN(AV429:AX429),SQRT(AV428:AX428),TRUE,TRUE),3,1)</f>
        <v>0.93821009155286217</v>
      </c>
      <c r="AR429" s="117">
        <f>INDEX(LINEST(LN(AV429:AX429),SQRT((AV428:AX428))),1)</f>
        <v>-9.1518475659913259E-5</v>
      </c>
      <c r="AS429" s="91">
        <f>INDEX(LINEST(1/(AV429:AX429),1/(SQRT(AV428:AX428)),TRUE,TRUE),3,1)</f>
        <v>0.42016509436058652</v>
      </c>
      <c r="AT429" s="91">
        <f>INDEX(LINEST(1/(AV429:AX429),1/SQRT(AV428:AX428)),1)</f>
        <v>-0.2871061634336976</v>
      </c>
      <c r="AU429" s="3"/>
      <c r="AV429" s="97">
        <v>0.82382825303179252</v>
      </c>
      <c r="AW429" s="97">
        <v>0.81317600786627331</v>
      </c>
      <c r="AX429" s="97">
        <v>0.76892822025565344</v>
      </c>
      <c r="AY429" s="11"/>
      <c r="AZ429" s="11"/>
      <c r="BA429" s="11"/>
      <c r="BB429" s="11"/>
      <c r="BC429" s="11"/>
      <c r="BD429" s="11"/>
      <c r="BE429" s="11"/>
      <c r="BF429" s="11"/>
      <c r="BG429" s="11"/>
      <c r="BH429" s="11"/>
      <c r="BI429" s="11"/>
      <c r="BJ429" s="11"/>
      <c r="BK429" s="11"/>
      <c r="BL429" s="11"/>
      <c r="BM429" s="11"/>
      <c r="BN429" s="11"/>
      <c r="BO429" s="11"/>
      <c r="BP429" s="11"/>
      <c r="BQ429" s="11"/>
      <c r="BR429" s="11"/>
      <c r="BS429" s="11"/>
      <c r="BT429" s="11"/>
      <c r="BU429" s="11"/>
      <c r="BV429" s="11"/>
      <c r="BW429" s="11"/>
      <c r="BX429" s="11"/>
      <c r="BY429" s="11"/>
      <c r="BZ429" s="11"/>
      <c r="CA429" s="11"/>
      <c r="CB429" s="11"/>
      <c r="CC429" s="11"/>
      <c r="CD429" s="11"/>
      <c r="CE429" s="11"/>
      <c r="CF429" s="11"/>
      <c r="CG429" s="11"/>
      <c r="CH429" s="11"/>
      <c r="CI429" s="11"/>
      <c r="CJ429" s="11"/>
      <c r="CK429" s="11"/>
      <c r="CL429" s="11"/>
      <c r="CM429" s="11"/>
      <c r="CN429" s="11"/>
      <c r="CO429" s="11"/>
      <c r="CP429" s="11"/>
      <c r="CQ429" s="11"/>
      <c r="CR429" s="15"/>
      <c r="CS429" s="15"/>
      <c r="CT429" s="15"/>
      <c r="CU429" s="15"/>
    </row>
    <row r="430" spans="1:99" ht="12" customHeight="1" x14ac:dyDescent="0.2">
      <c r="A430" s="68">
        <v>43978</v>
      </c>
      <c r="B430" s="94"/>
      <c r="C430" s="94"/>
      <c r="D430" s="92"/>
      <c r="E430" s="105"/>
      <c r="F430" s="92"/>
      <c r="G430" s="92"/>
      <c r="H430" s="92"/>
      <c r="I430" s="92"/>
      <c r="J430" s="92"/>
      <c r="K430" s="69"/>
      <c r="L430" s="69"/>
      <c r="M430" s="92"/>
      <c r="N430" s="92"/>
      <c r="O430" s="92"/>
      <c r="P430" s="92"/>
      <c r="Q430" s="92"/>
      <c r="R430" s="69"/>
      <c r="S430" s="69"/>
      <c r="T430" s="92"/>
      <c r="U430" s="69"/>
      <c r="V430" s="92"/>
      <c r="W430" s="69"/>
      <c r="X430" s="92"/>
      <c r="Y430" s="87"/>
      <c r="Z430" s="92"/>
      <c r="AA430" s="92"/>
      <c r="AB430" s="69"/>
      <c r="AC430" s="72"/>
      <c r="AD430" s="69"/>
      <c r="AE430" s="87"/>
      <c r="AF430" s="88"/>
      <c r="AG430" s="72"/>
      <c r="AH430" s="4"/>
      <c r="AI430" s="72"/>
      <c r="AJ430" s="110"/>
      <c r="AK430" s="72"/>
      <c r="AL430" s="72"/>
      <c r="AM430" s="72"/>
      <c r="AN430" s="72"/>
      <c r="AO430" s="89"/>
      <c r="AP430" s="89"/>
      <c r="AQ430" s="90"/>
      <c r="AR430" s="117"/>
      <c r="AS430" s="91"/>
      <c r="AT430" s="91"/>
      <c r="AU430" s="3"/>
      <c r="AV430" s="98">
        <v>30</v>
      </c>
      <c r="AW430" s="98">
        <f>60*60*30</f>
        <v>108000</v>
      </c>
      <c r="AX430" s="98">
        <f>60*60*24*7</f>
        <v>604800</v>
      </c>
      <c r="AY430" s="11"/>
      <c r="AZ430" s="11"/>
      <c r="BA430" s="11"/>
      <c r="BB430" s="11"/>
      <c r="BC430" s="11"/>
      <c r="BD430" s="11"/>
      <c r="BE430" s="11"/>
      <c r="BF430" s="11"/>
      <c r="BG430" s="11"/>
      <c r="BH430" s="11"/>
      <c r="BI430" s="11"/>
      <c r="BJ430" s="11"/>
      <c r="BK430" s="11"/>
      <c r="BL430" s="11"/>
      <c r="BM430" s="11"/>
      <c r="BN430" s="11"/>
      <c r="BO430" s="11"/>
      <c r="BP430" s="11"/>
      <c r="BQ430" s="11"/>
      <c r="BR430" s="11"/>
      <c r="BS430" s="11"/>
      <c r="BT430" s="11"/>
      <c r="BU430" s="11"/>
      <c r="BV430" s="11"/>
      <c r="BW430" s="11"/>
      <c r="BX430" s="11"/>
      <c r="BY430" s="11"/>
      <c r="BZ430" s="11"/>
      <c r="CA430" s="11"/>
      <c r="CB430" s="11"/>
      <c r="CC430" s="11"/>
      <c r="CD430" s="11"/>
      <c r="CE430" s="11"/>
      <c r="CF430" s="11"/>
      <c r="CG430" s="11"/>
      <c r="CH430" s="11"/>
      <c r="CI430" s="11"/>
      <c r="CJ430" s="11"/>
      <c r="CK430" s="11"/>
      <c r="CL430" s="11"/>
      <c r="CM430" s="11"/>
      <c r="CN430" s="11"/>
      <c r="CO430" s="11"/>
      <c r="CP430" s="11"/>
      <c r="CQ430" s="11"/>
      <c r="CR430" s="15"/>
      <c r="CS430" s="15"/>
      <c r="CT430" s="15"/>
      <c r="CU430" s="15"/>
    </row>
    <row r="431" spans="1:99" ht="12" customHeight="1" x14ac:dyDescent="0.2">
      <c r="A431" s="68">
        <v>43978</v>
      </c>
      <c r="B431" s="94" t="s">
        <v>948</v>
      </c>
      <c r="C431" s="94" t="s">
        <v>54</v>
      </c>
      <c r="D431" s="92">
        <v>2014</v>
      </c>
      <c r="E431" s="105">
        <v>1</v>
      </c>
      <c r="F431" s="92">
        <v>25</v>
      </c>
      <c r="G431" s="92">
        <v>25</v>
      </c>
      <c r="H431" s="92" t="s">
        <v>41</v>
      </c>
      <c r="I431" s="92" t="s">
        <v>962</v>
      </c>
      <c r="J431" s="92" t="s">
        <v>677</v>
      </c>
      <c r="K431" s="69">
        <f>IF(J431="syllables",1,IF(J431="trigrams",2,IF(J431="strings",3,IF(J431="visual array",4,IF(J431="characters",5,IF(J431="letters",6,IF(J431="free forms",7,IF(J431="odors",8,IF(J431="words",9,IF(J431="pictures",10,IF(J431="object pictures",11,IF(J431="faces",12,IF(J431="names",13,IF(J431="idioms",14,IF(J431="grades",15,IF(J431="syllable-digit pairs",16,IF(J431="trigram-word pairs",17,IF(J431="word-digit pairs",18,IF(J431="English-Swahili pairs",19,IF(J431="spatial position",20,IF(J431="word pairs",21,IF(J431="word triads",22,IF(J431="generated words",23,IF(J431="word definition pairs",24,IF(J431="math problems",25,IF(J431="famous faces",26,IF(J431="famous names",27,IF(J431="famous voices",28,IF(J431="television programs",29,IF(J431="race horses",30,IF(J431="new vocabulary",31,IF(J431="sentences",32,IF(J431="concepts",33,IF(J431="ad slides",34,IF(J431="scenes",35,IF(J431="famous scenes",36,IF(J431="poems",37,IF(J431="walk",38,IF(J431="faces and events",39,IF(J431="events and names",40,IF(J431="flashbulb",41,IF(J431="stories",42,IF(J431="course material",43,IF(J431="autobiographical",44,IF(J431="novels",45,IF(J431="public events",46,"99"))))))))))))))))))))))))))))))))))))))))))))))</f>
        <v>42</v>
      </c>
      <c r="L431" s="69">
        <f>IF(J431="syllables",1,IF(J431="trigrams",1,IF(J431="strings",1,IF(J431="visual array",1,IF(J431="characters",1,IF(J431="letters",1,IF(J431="free forms",1,IF(J431="odors",2,IF(J431="words",2,IF(J431="pictures",2,IF(J431="object pictures",2,IF(J431="faces",2,IF(J431="names",2,IF(J431="idioms","2",IF(J431="grades",2,IF(J431="syllable-digit pairs",3,IF(J431="trigram-word pairs",3,IF(J431="word-digit pairs",3,IF(J431="English-Swahili pairs",3,IF(J431="spatial position",3,IF(J431="word pairs",4,IF(J431="word triads",4,IF(J431="generated words",4,IF(J431="word definition pairs",4,IF(J431="math problems",4,IF(J431="famous faces",4,IF(J431="famous names",4,IF(J431="famous voices",4,IF(J431="television programs",4,IF(J431="race horses",4,IF(J431="new vocabulary",4,IF(J431="sentences",5,IF(J431="concepts",5,IF(J431="ad slides",5,IF(J431="scenes",5,IF(J431="famous scenes",5,IF(J431="poems",6,IF(J431="walk",6,IF(J431="faces and events",6,IF(J431="events and names",6,IF(J431="flashbulb",7,IF(J431="stories",7,IF(J431="course material",7,IF(J431="autobiographical",7,IF(J431="novels",7,IF(J431="public events",7,"99"))))))))))))))))))))))))))))))))))))))))))))))</f>
        <v>7</v>
      </c>
      <c r="M431" s="92">
        <v>1</v>
      </c>
      <c r="N431" s="92">
        <v>4</v>
      </c>
      <c r="O431" s="92">
        <v>0</v>
      </c>
      <c r="P431" s="92"/>
      <c r="Q431" s="92" t="s">
        <v>182</v>
      </c>
      <c r="R431" s="69">
        <f>IF(Q431="Free Recall",1,IF(Q431="Cued Recall",2,IF(Q431="Recognition",3,IF(Q431="Multiple Choice",4,IF(Q431="Savings",5,IF(Q431="Stem Completion",6,IF(Q431="Fragment Completion",7,IF(Q431="anagram solution",8,IF(Q431="Matching",9,IF(Q431="Problem Solving",10,"99"))))))))))</f>
        <v>4</v>
      </c>
      <c r="S431" s="69" t="s">
        <v>15</v>
      </c>
      <c r="T431" s="92" t="s">
        <v>581</v>
      </c>
      <c r="U431" s="69">
        <f>IF(T431="within",1,0)</f>
        <v>1</v>
      </c>
      <c r="V431" s="92">
        <v>36</v>
      </c>
      <c r="W431" s="69">
        <f>F431*V431</f>
        <v>900</v>
      </c>
      <c r="X431" s="92">
        <v>3</v>
      </c>
      <c r="Y431" s="87">
        <f>AV430</f>
        <v>30</v>
      </c>
      <c r="Z431" s="92" t="s">
        <v>150</v>
      </c>
      <c r="AA431" s="92">
        <f>60*60*24*7</f>
        <v>604800</v>
      </c>
      <c r="AB431" s="69" t="str">
        <f>IF(AA431&lt;60,"1",IF(AA431&lt;=43200,"2",IF(AA431&lt;=777600,"3","4")))</f>
        <v>3</v>
      </c>
      <c r="AC431" s="72">
        <f>AVERAGE(AV430:DA430)</f>
        <v>237610</v>
      </c>
      <c r="AD431" s="69" t="str">
        <f>IF(AC431&lt;60,"1",IF(AC431&lt;=43200,"2",IF(AC431&lt;=777600,"3","4")))</f>
        <v>3</v>
      </c>
      <c r="AE431" s="87">
        <f>AA431-Y431</f>
        <v>604770</v>
      </c>
      <c r="AF431" s="88">
        <f>AV431</f>
        <v>0.80252376270075343</v>
      </c>
      <c r="AG431" s="72">
        <f>((AW431-AV431)+(AX431-AW431))/2</f>
        <v>-3.5644051130776733E-2</v>
      </c>
      <c r="AH431" s="4"/>
      <c r="AI431" s="72">
        <f>RSQ(AV431:AX431,AV430:AX430)</f>
        <v>0.99968485601570944</v>
      </c>
      <c r="AJ431" s="110">
        <f>SLOPE(AV431:AX431,AV430:AX430)</f>
        <v>-1.186584291620325E-7</v>
      </c>
      <c r="AK431" s="72">
        <f>INTERCEPT(AV431:AX431,AV430:AX430)</f>
        <v>0.80313160842016273</v>
      </c>
      <c r="AL431" s="72">
        <f>INDEX(LINEST(LN(AV431:AX431),LN(AV430:AX430),TRUE,TRUE),3,1)</f>
        <v>0.54579095173233882</v>
      </c>
      <c r="AM431" s="72">
        <f>INDEX(LINEST(LN(AV431:AX431),LN(AV430:AX430)),1)</f>
        <v>-6.9854909369670938E-3</v>
      </c>
      <c r="AN431" s="72">
        <f>EXP(INDEX(LINEST(LN(AV431:AX431),LN(AV430:AX430)),1,2))</f>
        <v>0.82704480163336969</v>
      </c>
      <c r="AO431" s="89">
        <f>INDEX(LINEST((AV431:AX431),LN(AV430:AX430),TRUE,TRUE),3,1)</f>
        <v>0.55190330941575305</v>
      </c>
      <c r="AP431" s="89">
        <f>INDEX(LINEST((AV431:AX431),LN(AV430:AX430)),1)</f>
        <v>-5.3700169931389678E-3</v>
      </c>
      <c r="AQ431" s="90">
        <f>INDEX(LINEST(LN(AV431:AX431),SQRT(AV430:AX430),TRUE,TRUE),3,1)</f>
        <v>0.92069244956677587</v>
      </c>
      <c r="AR431" s="117">
        <f>INDEX(LINEST(LN(AV431:AX431),SQRT((AV430:AX430))),1)</f>
        <v>-1.23889173770391E-4</v>
      </c>
      <c r="AS431" s="91">
        <f>INDEX(LINEST(1/(AV431:AX431),1/(SQRT(AV430:AX430)),TRUE,TRUE),3,1)</f>
        <v>0.38593348247632303</v>
      </c>
      <c r="AT431" s="91">
        <f>INDEX(LINEST(1/(AV431:AX431),1/SQRT(AV430:AX430)),1)</f>
        <v>-0.39091556355683355</v>
      </c>
      <c r="AU431" s="3"/>
      <c r="AV431" s="97">
        <v>0.80252376270075343</v>
      </c>
      <c r="AW431" s="97">
        <v>0.79105211406096332</v>
      </c>
      <c r="AX431" s="97">
        <v>0.73123566043919996</v>
      </c>
      <c r="AY431" s="11"/>
      <c r="AZ431" s="11"/>
      <c r="BA431" s="11"/>
      <c r="BB431" s="11"/>
      <c r="BC431" s="11"/>
      <c r="BD431" s="11"/>
      <c r="BE431" s="11"/>
      <c r="BF431" s="11"/>
      <c r="BG431" s="11"/>
      <c r="BH431" s="11"/>
      <c r="BI431" s="11"/>
      <c r="BJ431" s="11"/>
      <c r="BK431" s="11"/>
      <c r="BL431" s="11"/>
      <c r="BM431" s="11"/>
      <c r="BN431" s="11"/>
      <c r="BO431" s="11"/>
      <c r="BP431" s="11"/>
      <c r="BQ431" s="11"/>
      <c r="BR431" s="11"/>
      <c r="BS431" s="11"/>
      <c r="BT431" s="11"/>
      <c r="BU431" s="11"/>
      <c r="BV431" s="11"/>
      <c r="BW431" s="11"/>
      <c r="BX431" s="11"/>
      <c r="BY431" s="11"/>
      <c r="BZ431" s="11"/>
      <c r="CA431" s="11"/>
      <c r="CB431" s="11"/>
      <c r="CC431" s="11"/>
      <c r="CD431" s="11"/>
      <c r="CE431" s="11"/>
      <c r="CF431" s="11"/>
      <c r="CG431" s="11"/>
      <c r="CH431" s="11"/>
      <c r="CI431" s="11"/>
      <c r="CJ431" s="11"/>
      <c r="CK431" s="11"/>
      <c r="CL431" s="11"/>
      <c r="CM431" s="11"/>
      <c r="CN431" s="11"/>
      <c r="CO431" s="11"/>
      <c r="CP431" s="11"/>
      <c r="CQ431" s="11"/>
      <c r="CR431" s="15"/>
      <c r="CS431" s="15"/>
      <c r="CT431" s="15"/>
      <c r="CU431" s="15"/>
    </row>
    <row r="432" spans="1:99" s="13" customFormat="1" ht="12" customHeight="1" x14ac:dyDescent="0.2">
      <c r="A432" s="65">
        <v>43509</v>
      </c>
      <c r="B432" s="1"/>
      <c r="C432" s="1"/>
      <c r="D432" s="60"/>
      <c r="E432" s="76"/>
      <c r="F432" s="60"/>
      <c r="G432" s="60"/>
      <c r="H432" s="60"/>
      <c r="I432" s="60"/>
      <c r="J432" s="60"/>
      <c r="K432" s="64"/>
      <c r="L432" s="64"/>
      <c r="M432" s="60"/>
      <c r="N432" s="60"/>
      <c r="O432" s="60"/>
      <c r="P432" s="60"/>
      <c r="Q432" s="60"/>
      <c r="R432" s="60"/>
      <c r="S432" s="60"/>
      <c r="T432" s="60"/>
      <c r="U432" s="60"/>
      <c r="V432" s="60"/>
      <c r="W432" s="60"/>
      <c r="X432" s="60"/>
      <c r="Y432" s="76"/>
      <c r="Z432" s="60"/>
      <c r="AA432" s="60"/>
      <c r="AB432" s="60"/>
      <c r="AC432" s="60"/>
      <c r="AD432" s="60"/>
      <c r="AE432" s="60"/>
      <c r="AF432" s="80"/>
      <c r="AG432" s="56"/>
      <c r="AH432" s="4"/>
      <c r="AI432" s="56"/>
      <c r="AJ432" s="109"/>
      <c r="AK432" s="56"/>
      <c r="AL432" s="56"/>
      <c r="AM432" s="56"/>
      <c r="AN432" s="56"/>
      <c r="AO432" s="56"/>
      <c r="AP432" s="56"/>
      <c r="AQ432" s="56"/>
      <c r="AR432" s="109"/>
      <c r="AS432" s="56"/>
      <c r="AT432" s="56"/>
      <c r="AU432" s="4"/>
      <c r="AV432" s="25">
        <f>30*60</f>
        <v>1800</v>
      </c>
      <c r="AW432" s="25">
        <f>60*60</f>
        <v>3600</v>
      </c>
      <c r="AX432" s="25">
        <f>2*60*60</f>
        <v>7200</v>
      </c>
      <c r="AY432" s="25">
        <f>4*60*60</f>
        <v>14400</v>
      </c>
      <c r="AZ432" s="25">
        <f>8*60*60</f>
        <v>28800</v>
      </c>
      <c r="BA432" s="25">
        <f>12*60*60</f>
        <v>43200</v>
      </c>
      <c r="BB432" s="25">
        <f>16*60*60</f>
        <v>57600</v>
      </c>
      <c r="BC432" s="25">
        <f>24*60*60</f>
        <v>86400</v>
      </c>
      <c r="BD432" s="25">
        <f>36*60*60</f>
        <v>129600</v>
      </c>
      <c r="BE432" s="25">
        <f>48*60*60</f>
        <v>172800</v>
      </c>
      <c r="BF432" s="25">
        <v>172800</v>
      </c>
      <c r="BG432" s="25">
        <v>259200</v>
      </c>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1"/>
      <c r="CS432" s="1"/>
      <c r="CT432" s="1"/>
      <c r="CU432" s="1"/>
    </row>
    <row r="433" spans="1:99" s="13" customFormat="1" ht="12" customHeight="1" x14ac:dyDescent="0.2">
      <c r="A433" s="65">
        <v>43509</v>
      </c>
      <c r="B433" s="1" t="s">
        <v>98</v>
      </c>
      <c r="C433" s="1" t="s">
        <v>84</v>
      </c>
      <c r="D433" s="60">
        <v>1913</v>
      </c>
      <c r="E433" s="76">
        <v>1</v>
      </c>
      <c r="F433" s="60">
        <v>14</v>
      </c>
      <c r="G433" s="60">
        <v>14</v>
      </c>
      <c r="H433" s="60" t="s">
        <v>38</v>
      </c>
      <c r="I433" s="60"/>
      <c r="J433" s="60" t="s">
        <v>281</v>
      </c>
      <c r="K433" s="60">
        <f>IF(J433="syllables",1,IF(J433="trigrams",2,IF(J433="strings",3,IF(J433="visual array",4,IF(J433="characters",5,IF(J433="letters",6,IF(J433="free forms",7,IF(J433="odors",8,IF(J433="words",9,IF(J433="pictures",10,IF(J433="object pictures",11,IF(J433="faces",12,IF(J433="names",13,IF(J433="idioms",14,IF(J433="grades",15,IF(J433="syllable-digit pairs",16,IF(J433="trigram-word pairs",17,IF(J433="word-digit pairs",18,IF(J433="English-Swahili pairs",19,IF(J433="spatial position",20,IF(J433="word pairs",21,IF(J433="word triads",22,IF(J433="generated words",23,IF(J433="word definition pairs",24,IF(J433="math problems",25,IF(J433="famous faces",26,IF(J433="famous names",27,IF(J433="famous voices",28,IF(J433="television programs",29,IF(J433="race horses",30,IF(J433="new vocabulary",31,IF(J433="sentences",32,IF(J433="concepts",33,IF(J433="ad slides",34,IF(J433="scenes",35,IF(J433="famous scenes",36,IF(J433="poems",37,IF(J433="walk",38,IF(J433="faces and events",39,IF(J433="events and names",40,IF(J433="flashbulb",41,IF(J433="stories",42,IF(J433="course material",43,IF(J433="autobiographical",44,IF(J433="novels",45,IF(J433="public events",46,"99"))))))))))))))))))))))))))))))))))))))))))))))</f>
        <v>1</v>
      </c>
      <c r="L433" s="60">
        <f>IF(J433="syllables",1,IF(J433="trigrams",1,IF(J433="strings",1,IF(J433="visual array",1,IF(J433="characters",1,IF(J433="letters",1,IF(J433="free forms",1,IF(J433="odors",2,IF(J433="words",2,IF(J433="pictures",2,IF(J433="object pictures",2,IF(J433="faces",2,IF(J433="names",2,IF(J433="idioms","2",IF(J433="grades",2,IF(J433="syllable-digit pairs",3,IF(J433="trigram-word pairs",3,IF(J433="word-digit pairs",3,IF(J433="English-Swahili pairs",3,IF(J433="spatial position",3,IF(J433="word pairs",4,IF(J433="word triads",4,IF(J433="generated words",4,IF(J433="word definition pairs",4,IF(J433="math problems",4,IF(J433="famous faces",4,IF(J433="famous names",4,IF(J433="famous voices",4,IF(J433="television programs",4,IF(J433="race horses",4,IF(J433="new vocabulary",4,IF(J433="sentences",5,IF(J433="concepts",5,IF(J433="ad slides",5,IF(J433="scenes",5,IF(J433="famous scenes",5,IF(J433="poems",6,IF(J433="walk",6,IF(J433="faces and events",6,IF(J433="events and names",6,IF(J433="flashbulb",7,IF(J433="stories",7,IF(J433="course material",7,IF(J433="autobiographical",7,IF(J433="novels",7,IF(J433="public events",7,"99"))))))))))))))))))))))))))))))))))))))))))))))</f>
        <v>1</v>
      </c>
      <c r="M433" s="60">
        <v>1</v>
      </c>
      <c r="N433" s="60">
        <v>2</v>
      </c>
      <c r="O433" s="60">
        <v>0</v>
      </c>
      <c r="P433" s="60"/>
      <c r="Q433" s="60" t="s">
        <v>99</v>
      </c>
      <c r="R433" s="60">
        <f>IF(Q433="Free Recall",1,IF(Q433="Cued Recall",2,IF(Q433="Recognition",3,IF(Q433="Multiple Choice",4,IF(Q433="Savings",5,IF(Q433="Stem Completion",6,IF(Q433="Fragment Completion",7,IF(Q433="anagram solution",8,IF(Q433="Matching",9,IF(Q433="Problem Solving",10,"99"))))))))))</f>
        <v>5</v>
      </c>
      <c r="S433" s="60" t="s">
        <v>99</v>
      </c>
      <c r="T433" s="59" t="s">
        <v>581</v>
      </c>
      <c r="U433" s="60">
        <f>IF(T433="within",1,0)</f>
        <v>1</v>
      </c>
      <c r="V433" s="59">
        <v>132</v>
      </c>
      <c r="W433" s="60">
        <f>F433*V433</f>
        <v>1848</v>
      </c>
      <c r="X433" s="60">
        <v>12</v>
      </c>
      <c r="Y433" s="76">
        <f>AV432</f>
        <v>1800</v>
      </c>
      <c r="Z433" s="60" t="s">
        <v>100</v>
      </c>
      <c r="AA433" s="76">
        <f>48*60*60</f>
        <v>172800</v>
      </c>
      <c r="AB433" s="60" t="str">
        <f>IF(AA433&lt;60,"1",IF(AA433&lt;=43200,"2",IF(AA433&lt;=777600,"3","4")))</f>
        <v>3</v>
      </c>
      <c r="AC433" s="56">
        <f>AVERAGE(AV432:DA432)</f>
        <v>81450</v>
      </c>
      <c r="AD433" s="60" t="str">
        <f>IF(AC433&lt;60,"1",IF(AC433&lt;=43200,"2",IF(AC433&lt;=777600,"3","4")))</f>
        <v>3</v>
      </c>
      <c r="AE433" s="76">
        <f>AA433-Y433</f>
        <v>171000</v>
      </c>
      <c r="AF433" s="80">
        <f>AV433</f>
        <v>1</v>
      </c>
      <c r="AG433" s="56">
        <f>((AW433-AV433)+(AX433-AW433)+(AY433-AX433)+(AZ433-AY433)+(BA433-AZ433)+(BB433-BA433)+(BC433-BB433)+(BD433-BC433)+(BE433-BD433)+(BF433-BE433)+(BG433-BF433))/11</f>
        <v>-4.3545454545454547E-2</v>
      </c>
      <c r="AH433" s="4"/>
      <c r="AI433" s="56">
        <f>RSQ(AV433:BG433,AV432:BG432)</f>
        <v>0.54893433230157196</v>
      </c>
      <c r="AJ433" s="109">
        <f>SLOPE(AV433:BG433,AV432:BG432)</f>
        <v>-1.1032666816965239E-6</v>
      </c>
      <c r="AK433" s="56">
        <f>INTERCEPT(AV433:BG433,AV432:BG432)</f>
        <v>0.75661107122418181</v>
      </c>
      <c r="AL433" s="56">
        <f>INDEX(LINEST(LN(AV433:BG433),LN(AV432:BG432),TRUE,TRUE),3,1)</f>
        <v>0.89098901006359343</v>
      </c>
      <c r="AM433" s="56">
        <f>INDEX(LINEST(LN(AV433:BG433),LN(AV432:BG432)),1)</f>
        <v>-9.8947942040260403E-2</v>
      </c>
      <c r="AN433" s="56">
        <f>EXP(INDEX(LINEST(LN(AV433:BG433),LN(AV432:BG432)),1,2))</f>
        <v>1.8542913780464736</v>
      </c>
      <c r="AO433" s="82">
        <f>INDEX(LINEST((AV433:BG433),LN(AV432:BG432),TRUE,TRUE),3,1)</f>
        <v>0.84177670601232557</v>
      </c>
      <c r="AP433" s="82">
        <f>INDEX(LINEST((AV433:BG433),LN(AV432:BG432)),1)</f>
        <v>-7.0500015927161236E-2</v>
      </c>
      <c r="AQ433" s="83">
        <f>INDEX(LINEST(LN(AV433:BG433),SQRT(AV432:BG432),TRUE,TRUE),3,1)</f>
        <v>0.78252070486399605</v>
      </c>
      <c r="AR433" s="116">
        <f>INDEX(LINEST(LN(AV433:BG433),SQRT((AV432:BG432))),1)</f>
        <v>-9.6990216543095975E-4</v>
      </c>
      <c r="AS433" s="84">
        <f>INDEX(LINEST(1/(AV433:BG433),1/(SQRT(AV432:BG432)),TRUE,TRUE),3,1)</f>
        <v>0.85241924253549894</v>
      </c>
      <c r="AT433" s="84">
        <f>INDEX(LINEST(1/(AV433:BG433),1/SQRT(AV432:BG432)),1)</f>
        <v>-33.182807497827476</v>
      </c>
      <c r="AU433" s="3"/>
      <c r="AV433" s="53">
        <v>1</v>
      </c>
      <c r="AW433" s="53">
        <v>0.75</v>
      </c>
      <c r="AX433" s="53">
        <v>0.72799999999999998</v>
      </c>
      <c r="AY433" s="53">
        <v>0.69399999999999995</v>
      </c>
      <c r="AZ433" s="53">
        <v>0.66400000000000003</v>
      </c>
      <c r="BA433" s="53">
        <v>0.65500000000000003</v>
      </c>
      <c r="BB433" s="53">
        <v>0.63800000000000001</v>
      </c>
      <c r="BC433" s="53">
        <v>0.63</v>
      </c>
      <c r="BD433" s="53">
        <v>0.57799999999999996</v>
      </c>
      <c r="BE433" s="53">
        <v>0.58799999999999997</v>
      </c>
      <c r="BF433" s="53">
        <v>0.55500000000000005</v>
      </c>
      <c r="BG433" s="53">
        <v>0.52100000000000002</v>
      </c>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1"/>
      <c r="CS433" s="1"/>
      <c r="CT433" s="1"/>
      <c r="CU433" s="1"/>
    </row>
    <row r="434" spans="1:99" s="13" customFormat="1" ht="12" customHeight="1" x14ac:dyDescent="0.2">
      <c r="A434" s="68">
        <v>43509</v>
      </c>
      <c r="B434" s="70"/>
      <c r="C434" s="70"/>
      <c r="D434" s="69"/>
      <c r="E434" s="87"/>
      <c r="F434" s="69"/>
      <c r="G434" s="69"/>
      <c r="H434" s="69"/>
      <c r="I434" s="69"/>
      <c r="J434" s="69"/>
      <c r="K434" s="107"/>
      <c r="L434" s="107"/>
      <c r="M434" s="69"/>
      <c r="N434" s="69"/>
      <c r="O434" s="69"/>
      <c r="P434" s="69"/>
      <c r="Q434" s="69"/>
      <c r="R434" s="69"/>
      <c r="S434" s="69"/>
      <c r="T434" s="69"/>
      <c r="U434" s="69"/>
      <c r="V434" s="69"/>
      <c r="W434" s="69"/>
      <c r="X434" s="69"/>
      <c r="Y434" s="87"/>
      <c r="Z434" s="69"/>
      <c r="AA434" s="69"/>
      <c r="AB434" s="69"/>
      <c r="AC434" s="69"/>
      <c r="AD434" s="69"/>
      <c r="AE434" s="69"/>
      <c r="AF434" s="88"/>
      <c r="AG434" s="72"/>
      <c r="AH434" s="4"/>
      <c r="AI434" s="72"/>
      <c r="AJ434" s="110"/>
      <c r="AK434" s="72"/>
      <c r="AL434" s="72"/>
      <c r="AM434" s="72"/>
      <c r="AN434" s="72"/>
      <c r="AO434" s="72"/>
      <c r="AP434" s="72"/>
      <c r="AQ434" s="72"/>
      <c r="AR434" s="110"/>
      <c r="AS434" s="72"/>
      <c r="AT434" s="72"/>
      <c r="AU434" s="4"/>
      <c r="AV434" s="71">
        <v>30</v>
      </c>
      <c r="AW434" s="71">
        <f>3*60</f>
        <v>180</v>
      </c>
      <c r="AX434" s="71">
        <f>2*60*60</f>
        <v>7200</v>
      </c>
      <c r="AY434" s="71">
        <f>8*60*60</f>
        <v>28800</v>
      </c>
      <c r="AZ434" s="71">
        <f>12*60*60</f>
        <v>43200</v>
      </c>
      <c r="BA434" s="71">
        <f>24*60*60*1</f>
        <v>86400</v>
      </c>
      <c r="BB434" s="71">
        <f>24*60*60*2</f>
        <v>172800</v>
      </c>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1"/>
      <c r="CS434" s="1"/>
      <c r="CT434" s="1"/>
      <c r="CU434" s="1"/>
    </row>
    <row r="435" spans="1:99" s="13" customFormat="1" ht="12" customHeight="1" x14ac:dyDescent="0.2">
      <c r="A435" s="68">
        <v>43509</v>
      </c>
      <c r="B435" s="70" t="s">
        <v>101</v>
      </c>
      <c r="C435" s="70" t="s">
        <v>102</v>
      </c>
      <c r="D435" s="69">
        <v>1992</v>
      </c>
      <c r="E435" s="87">
        <v>1</v>
      </c>
      <c r="F435" s="69">
        <v>20</v>
      </c>
      <c r="G435" s="69">
        <v>20</v>
      </c>
      <c r="H435" s="69" t="s">
        <v>38</v>
      </c>
      <c r="I435" s="69" t="s">
        <v>679</v>
      </c>
      <c r="J435" s="69" t="s">
        <v>16</v>
      </c>
      <c r="K435" s="69">
        <f>IF(J435="syllables",1,IF(J435="trigrams",2,IF(J435="strings",3,IF(J435="visual array",4,IF(J435="characters",5,IF(J435="letters",6,IF(J435="free forms",7,IF(J435="odors",8,IF(J435="words",9,IF(J435="pictures",10,IF(J435="object pictures",11,IF(J435="faces",12,IF(J435="names",13,IF(J435="idioms",14,IF(J435="grades",15,IF(J435="syllable-digit pairs",16,IF(J435="trigram-word pairs",17,IF(J435="word-digit pairs",18,IF(J435="English-Swahili pairs",19,IF(J435="spatial position",20,IF(J435="word pairs",21,IF(J435="word triads",22,IF(J435="generated words",23,IF(J435="word definition pairs",24,IF(J435="math problems",25,IF(J435="famous faces",26,IF(J435="famous names",27,IF(J435="famous voices",28,IF(J435="television programs",29,IF(J435="race horses",30,IF(J435="new vocabulary",31,IF(J435="sentences",32,IF(J435="concepts",33,IF(J435="ad slides",34,IF(J435="scenes",35,IF(J435="famous scenes",36,IF(J435="poems",37,IF(J435="walk",38,IF(J435="faces and events",39,IF(J435="events and names",40,IF(J435="flashbulb",41,IF(J435="stories",42,IF(J435="course material",43,IF(J435="autobiographical",44,IF(J435="novels",45,IF(J435="public events",46,"99"))))))))))))))))))))))))))))))))))))))))))))))</f>
        <v>9</v>
      </c>
      <c r="L435" s="69">
        <f>IF(J435="syllables",1,IF(J435="trigrams",1,IF(J435="strings",1,IF(J435="visual array",1,IF(J435="characters",1,IF(J435="letters",1,IF(J435="free forms",1,IF(J435="odors",2,IF(J435="words",2,IF(J435="pictures",2,IF(J435="object pictures",2,IF(J435="faces",2,IF(J435="names",2,IF(J435="idioms","2",IF(J435="grades",2,IF(J435="syllable-digit pairs",3,IF(J435="trigram-word pairs",3,IF(J435="word-digit pairs",3,IF(J435="English-Swahili pairs",3,IF(J435="spatial position",3,IF(J435="word pairs",4,IF(J435="word triads",4,IF(J435="generated words",4,IF(J435="word definition pairs",4,IF(J435="math problems",4,IF(J435="famous faces",4,IF(J435="famous names",4,IF(J435="famous voices",4,IF(J435="television programs",4,IF(J435="race horses",4,IF(J435="new vocabulary",4,IF(J435="sentences",5,IF(J435="concepts",5,IF(J435="ad slides",5,IF(J435="scenes",5,IF(J435="famous scenes",5,IF(J435="poems",6,IF(J435="walk",6,IF(J435="faces and events",6,IF(J435="events and names",6,IF(J435="flashbulb",7,IF(J435="stories",7,IF(J435="course material",7,IF(J435="autobiographical",7,IF(J435="novels",7,IF(J435="public events",7,"99"))))))))))))))))))))))))))))))))))))))))))))))</f>
        <v>2</v>
      </c>
      <c r="M435" s="69">
        <v>1</v>
      </c>
      <c r="N435" s="69">
        <v>2</v>
      </c>
      <c r="O435" s="69">
        <v>1</v>
      </c>
      <c r="P435" s="69" t="s">
        <v>103</v>
      </c>
      <c r="Q435" s="92" t="s">
        <v>174</v>
      </c>
      <c r="R435" s="69">
        <f>IF(Q435="Free Recall",1,IF(Q435="Cued Recall",2,IF(Q435="Recognition",3,IF(Q435="Multiple Choice",4,IF(Q435="Savings",5,IF(Q435="Stem Completion",6,IF(Q435="Fragment Completion",7,IF(Q435="anagram solution",8,IF(Q435="Matching",9,IF(Q435="Problem Solving",10,"99"))))))))))</f>
        <v>1</v>
      </c>
      <c r="S435" s="69" t="s">
        <v>49</v>
      </c>
      <c r="T435" s="92" t="s">
        <v>581</v>
      </c>
      <c r="U435" s="69">
        <f>IF(T435="within",1,0)</f>
        <v>1</v>
      </c>
      <c r="V435" s="92">
        <v>5</v>
      </c>
      <c r="W435" s="69">
        <f>F435*V435</f>
        <v>100</v>
      </c>
      <c r="X435" s="69">
        <v>7</v>
      </c>
      <c r="Y435" s="87">
        <f>AV434</f>
        <v>30</v>
      </c>
      <c r="Z435" s="69" t="s">
        <v>88</v>
      </c>
      <c r="AA435" s="69">
        <v>172800</v>
      </c>
      <c r="AB435" s="69" t="str">
        <f>IF(AA435&lt;60,"1",IF(AA435&lt;=43200,"2",IF(AA435&lt;=777600,"3","4")))</f>
        <v>3</v>
      </c>
      <c r="AC435" s="72">
        <f>AVERAGE(AV434:DA434)</f>
        <v>48372.857142857145</v>
      </c>
      <c r="AD435" s="69" t="str">
        <f>IF(AC435&lt;60,"1",IF(AC435&lt;=43200,"2",IF(AC435&lt;=777600,"3","4")))</f>
        <v>3</v>
      </c>
      <c r="AE435" s="87">
        <f>AA435-Y435</f>
        <v>172770</v>
      </c>
      <c r="AF435" s="88">
        <f>AV435</f>
        <v>0.96699999999999997</v>
      </c>
      <c r="AG435" s="72">
        <f>((AW435-AV435)+(AX435-AW435)+(AY435-AX435)+(AZ435-AY435)+(BA435-AZ435)+(BB435-BA435))/6</f>
        <v>-4.7833333333333318E-2</v>
      </c>
      <c r="AH435" s="4"/>
      <c r="AI435" s="72">
        <f>RSQ(AV435:BB435,AV434:BB434)</f>
        <v>0.91064504512541578</v>
      </c>
      <c r="AJ435" s="110">
        <f>SLOPE(AV435:BB435,AV434:BB434)</f>
        <v>-1.5105353706883387E-6</v>
      </c>
      <c r="AK435" s="72">
        <f>INTERCEPT(AV435:BB435,AV434:BB434)</f>
        <v>0.92121176883839684</v>
      </c>
      <c r="AL435" s="72">
        <f>INDEX(LINEST(LN(AV435:BB435),LN(AV434:BB434),TRUE,TRUE),3,1)</f>
        <v>0.64603565305613708</v>
      </c>
      <c r="AM435" s="72">
        <f>INDEX(LINEST(LN(AV435:BB435),LN(AV434:BB434)),1)</f>
        <v>-2.9807273464141082E-2</v>
      </c>
      <c r="AN435" s="72">
        <f>EXP(INDEX(LINEST(LN(AV435:BB435),LN(AV434:BB434)),1,2))</f>
        <v>1.0968271500280313</v>
      </c>
      <c r="AO435" s="89">
        <f>INDEX(LINEST((AV435:BB435),LN(AV434:BB434),TRUE,TRUE),3,1)</f>
        <v>0.67844412405898225</v>
      </c>
      <c r="AP435" s="89">
        <f>INDEX(LINEST((AV435:BB435),LN(AV434:BB434)),1)</f>
        <v>-2.4885255779354409E-2</v>
      </c>
      <c r="AQ435" s="90">
        <f>INDEX(LINEST(LN(AV435:BB435),SQRT(AV434:BB434),TRUE,TRUE),3,1)</f>
        <v>0.93440373282962308</v>
      </c>
      <c r="AR435" s="117">
        <f>INDEX(LINEST(LN(AV435:BB435),SQRT((AV434:BB434))),1)</f>
        <v>-7.8393690681288623E-4</v>
      </c>
      <c r="AS435" s="91">
        <f>INDEX(LINEST(1/(AV435:BB435),1/(SQRT(AV434:BB434)),TRUE,TRUE),3,1)</f>
        <v>0.35516203372379979</v>
      </c>
      <c r="AT435" s="91">
        <f>INDEX(LINEST(1/(AV435:BB435),1/SQRT(AV434:BB434)),1)</f>
        <v>-1.3344440929297989</v>
      </c>
      <c r="AU435" s="3"/>
      <c r="AV435" s="73">
        <v>0.96699999999999997</v>
      </c>
      <c r="AW435" s="73">
        <v>0.91</v>
      </c>
      <c r="AX435" s="73">
        <v>0.91</v>
      </c>
      <c r="AY435" s="73">
        <v>0.89</v>
      </c>
      <c r="AZ435" s="73">
        <v>0.81</v>
      </c>
      <c r="BA435" s="73">
        <v>0.77</v>
      </c>
      <c r="BB435" s="73">
        <v>0.68</v>
      </c>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1"/>
      <c r="CS435" s="1"/>
      <c r="CT435" s="1"/>
      <c r="CU435" s="1"/>
    </row>
    <row r="436" spans="1:99" s="13" customFormat="1" ht="12" customHeight="1" x14ac:dyDescent="0.2">
      <c r="A436" s="68">
        <v>43509</v>
      </c>
      <c r="B436" s="70"/>
      <c r="C436" s="70"/>
      <c r="D436" s="69"/>
      <c r="E436" s="87"/>
      <c r="F436" s="69"/>
      <c r="G436" s="69"/>
      <c r="H436" s="69"/>
      <c r="I436" s="69"/>
      <c r="J436" s="69"/>
      <c r="K436" s="107"/>
      <c r="L436" s="107"/>
      <c r="M436" s="69"/>
      <c r="N436" s="69"/>
      <c r="O436" s="69"/>
      <c r="P436" s="69"/>
      <c r="Q436" s="92"/>
      <c r="R436" s="69"/>
      <c r="S436" s="69"/>
      <c r="T436" s="92"/>
      <c r="U436" s="69"/>
      <c r="V436" s="92"/>
      <c r="W436" s="69"/>
      <c r="X436" s="69"/>
      <c r="Y436" s="87"/>
      <c r="Z436" s="69"/>
      <c r="AA436" s="69"/>
      <c r="AB436" s="69"/>
      <c r="AC436" s="69"/>
      <c r="AD436" s="69"/>
      <c r="AE436" s="69"/>
      <c r="AF436" s="88"/>
      <c r="AG436" s="72"/>
      <c r="AH436" s="4"/>
      <c r="AI436" s="72"/>
      <c r="AJ436" s="110"/>
      <c r="AK436" s="72"/>
      <c r="AL436" s="72"/>
      <c r="AM436" s="72"/>
      <c r="AN436" s="72"/>
      <c r="AO436" s="72"/>
      <c r="AP436" s="72"/>
      <c r="AQ436" s="72"/>
      <c r="AR436" s="110"/>
      <c r="AS436" s="72"/>
      <c r="AT436" s="72"/>
      <c r="AU436" s="4"/>
      <c r="AV436" s="71">
        <v>30</v>
      </c>
      <c r="AW436" s="71">
        <f>3*60</f>
        <v>180</v>
      </c>
      <c r="AX436" s="71">
        <f>2*60*60</f>
        <v>7200</v>
      </c>
      <c r="AY436" s="71">
        <f>8*60*60</f>
        <v>28800</v>
      </c>
      <c r="AZ436" s="71">
        <f>12*60*60</f>
        <v>43200</v>
      </c>
      <c r="BA436" s="71">
        <f>24*60*60*1</f>
        <v>86400</v>
      </c>
      <c r="BB436" s="71">
        <f>24*60*60*2</f>
        <v>172800</v>
      </c>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1"/>
      <c r="CS436" s="1"/>
      <c r="CT436" s="1"/>
      <c r="CU436" s="1"/>
    </row>
    <row r="437" spans="1:99" s="13" customFormat="1" ht="12" customHeight="1" x14ac:dyDescent="0.2">
      <c r="A437" s="68">
        <v>43509</v>
      </c>
      <c r="B437" s="103" t="s">
        <v>101</v>
      </c>
      <c r="C437" s="70" t="s">
        <v>102</v>
      </c>
      <c r="D437" s="69">
        <v>1992</v>
      </c>
      <c r="E437" s="87">
        <v>1</v>
      </c>
      <c r="F437" s="69">
        <v>20</v>
      </c>
      <c r="G437" s="69">
        <v>20</v>
      </c>
      <c r="H437" s="69" t="s">
        <v>38</v>
      </c>
      <c r="I437" s="69" t="s">
        <v>680</v>
      </c>
      <c r="J437" s="69" t="s">
        <v>320</v>
      </c>
      <c r="K437" s="69">
        <f>IF(J437="syllables",1,IF(J437="trigrams",2,IF(J437="strings",3,IF(J437="visual array",4,IF(J437="characters",5,IF(J437="letters",6,IF(J437="free forms",7,IF(J437="odors",8,IF(J437="words",9,IF(J437="pictures",10,IF(J437="object pictures",11,IF(J437="faces",12,IF(J437="names",13,IF(J437="idioms",14,IF(J437="grades",15,IF(J437="syllable-digit pairs",16,IF(J437="trigram-word pairs",17,IF(J437="word-digit pairs",18,IF(J437="English-Swahili pairs",19,IF(J437="spatial position",20,IF(J437="word pairs",21,IF(J437="word triads",22,IF(J437="generated words",23,IF(J437="word definition pairs",24,IF(J437="math problems",25,IF(J437="famous faces",26,IF(J437="famous names",27,IF(J437="famous voices",28,IF(J437="television programs",29,IF(J437="race horses",30,IF(J437="new vocabulary",31,IF(J437="sentences",32,IF(J437="concepts",33,IF(J437="ad slides",34,IF(J437="scenes",35,IF(J437="famous scenes",36,IF(J437="poems",37,IF(J437="walk",38,IF(J437="faces and events",39,IF(J437="events and names",40,IF(J437="flashbulb",41,IF(J437="stories",42,IF(J437="course material",43,IF(J437="autobiographical",44,IF(J437="novels",45,IF(J437="public events",46,"99"))))))))))))))))))))))))))))))))))))))))))))))</f>
        <v>21</v>
      </c>
      <c r="L437" s="69">
        <f>IF(J437="syllables",1,IF(J437="trigrams",1,IF(J437="strings",1,IF(J437="visual array",1,IF(J437="characters",1,IF(J437="letters",1,IF(J437="free forms",1,IF(J437="odors",2,IF(J437="words",2,IF(J437="pictures",2,IF(J437="object pictures",2,IF(J437="faces",2,IF(J437="names",2,IF(J437="idioms","2",IF(J437="grades",2,IF(J437="syllable-digit pairs",3,IF(J437="trigram-word pairs",3,IF(J437="word-digit pairs",3,IF(J437="English-Swahili pairs",3,IF(J437="spatial position",3,IF(J437="word pairs",4,IF(J437="word triads",4,IF(J437="generated words",4,IF(J437="word definition pairs",4,IF(J437="math problems",4,IF(J437="famous faces",4,IF(J437="famous names",4,IF(J437="famous voices",4,IF(J437="television programs",4,IF(J437="race horses",4,IF(J437="new vocabulary",4,IF(J437="sentences",5,IF(J437="concepts",5,IF(J437="ad slides",5,IF(J437="scenes",5,IF(J437="famous scenes",5,IF(J437="poems",6,IF(J437="walk",6,IF(J437="faces and events",6,IF(J437="events and names",6,IF(J437="flashbulb",7,IF(J437="stories",7,IF(J437="course material",7,IF(J437="autobiographical",7,IF(J437="novels",7,IF(J437="public events",7,"99"))))))))))))))))))))))))))))))))))))))))))))))</f>
        <v>4</v>
      </c>
      <c r="M437" s="69">
        <v>1</v>
      </c>
      <c r="N437" s="69">
        <v>2</v>
      </c>
      <c r="O437" s="69">
        <v>1</v>
      </c>
      <c r="P437" s="69" t="s">
        <v>103</v>
      </c>
      <c r="Q437" s="92" t="s">
        <v>174</v>
      </c>
      <c r="R437" s="69">
        <f>IF(Q437="Free Recall",1,IF(Q437="Cued Recall",2,IF(Q437="Recognition",3,IF(Q437="Multiple Choice",4,IF(Q437="Savings",5,IF(Q437="Stem Completion",6,IF(Q437="Fragment Completion",7,IF(Q437="anagram solution",8,IF(Q437="Matching",9,IF(Q437="Problem Solving",10,"99"))))))))))</f>
        <v>1</v>
      </c>
      <c r="S437" s="69" t="s">
        <v>49</v>
      </c>
      <c r="T437" s="92" t="s">
        <v>581</v>
      </c>
      <c r="U437" s="69">
        <f>IF(T437="within",1,0)</f>
        <v>1</v>
      </c>
      <c r="V437" s="92">
        <v>6</v>
      </c>
      <c r="W437" s="69">
        <f>F437*V437</f>
        <v>120</v>
      </c>
      <c r="X437" s="69">
        <v>7</v>
      </c>
      <c r="Y437" s="87">
        <f>AV436</f>
        <v>30</v>
      </c>
      <c r="Z437" s="69" t="s">
        <v>88</v>
      </c>
      <c r="AA437" s="69">
        <v>172800</v>
      </c>
      <c r="AB437" s="69" t="str">
        <f>IF(AA437&lt;60,"1",IF(AA437&lt;=43200,"2",IF(AA437&lt;=777600,"3","4")))</f>
        <v>3</v>
      </c>
      <c r="AC437" s="72">
        <f>AVERAGE(AV436:DA436)</f>
        <v>48372.857142857145</v>
      </c>
      <c r="AD437" s="69" t="str">
        <f>IF(AC437&lt;60,"1",IF(AC437&lt;=43200,"2",IF(AC437&lt;=777600,"3","4")))</f>
        <v>3</v>
      </c>
      <c r="AE437" s="87">
        <f>AA437-Y437</f>
        <v>172770</v>
      </c>
      <c r="AF437" s="88">
        <f>AV437</f>
        <v>0.96099999999999997</v>
      </c>
      <c r="AG437" s="72">
        <f>((AW437-AV437)+(AX437-AW437)+(AY437-AX437)+(AZ437-AY437)+(BA437-AZ437)+(BB437-BA437))/6</f>
        <v>-8.8333333333333233E-3</v>
      </c>
      <c r="AH437" s="4"/>
      <c r="AI437" s="72">
        <f>RSQ(AV437:BB437,AV436:BB436)</f>
        <v>0.56016021401945604</v>
      </c>
      <c r="AJ437" s="110">
        <f>SLOPE(AV437:BB437,AV436:BB436)</f>
        <v>-4.1673149191110263E-7</v>
      </c>
      <c r="AK437" s="72">
        <f>INTERCEPT(AV437:BB437,AV436:BB436)</f>
        <v>0.97187277863943122</v>
      </c>
      <c r="AL437" s="72">
        <f>INDEX(LINEST(LN(AV437:BB437),LN(AV436:BB436),TRUE,TRUE),3,1)</f>
        <v>0.46108723853560829</v>
      </c>
      <c r="AM437" s="72">
        <f>INDEX(LINEST(LN(AV437:BB437),LN(AV436:BB436)),1)</f>
        <v>-7.5602697699415642E-3</v>
      </c>
      <c r="AN437" s="72">
        <f>EXP(INDEX(LINEST(LN(AV437:BB437),LN(AV436:BB436)),1,2))</f>
        <v>1.0168675651740731</v>
      </c>
      <c r="AO437" s="89">
        <f>INDEX(LINEST((AV437:BB437),LN(AV436:BB436),TRUE,TRUE),3,1)</f>
        <v>0.45797272305148773</v>
      </c>
      <c r="AP437" s="89">
        <f>INDEX(LINEST((AV437:BB437),LN(AV436:BB436)),1)</f>
        <v>-7.1919842675468642E-3</v>
      </c>
      <c r="AQ437" s="90">
        <f>INDEX(LINEST(LN(AV437:BB437),SQRT(AV436:BB436),TRUE,TRUE),3,1)</f>
        <v>0.67001909993454101</v>
      </c>
      <c r="AR437" s="117">
        <f>INDEX(LINEST(LN(AV437:BB437),SQRT((AV436:BB436))),1)</f>
        <v>-1.9930085077532044E-4</v>
      </c>
      <c r="AS437" s="91">
        <f>INDEX(LINEST(1/(AV437:BB437),1/(SQRT(AV436:BB436)),TRUE,TRUE),3,1)</f>
        <v>0.15133702401864652</v>
      </c>
      <c r="AT437" s="91">
        <f>INDEX(LINEST(1/(AV437:BB437),1/SQRT(AV436:BB436)),1)</f>
        <v>-0.2209937896770888</v>
      </c>
      <c r="AU437" s="3"/>
      <c r="AV437" s="73">
        <v>0.96099999999999997</v>
      </c>
      <c r="AW437" s="73">
        <v>1</v>
      </c>
      <c r="AX437" s="73">
        <v>0.99199999999999999</v>
      </c>
      <c r="AY437" s="73">
        <v>0.94199999999999995</v>
      </c>
      <c r="AZ437" s="73">
        <v>0.91700000000000004</v>
      </c>
      <c r="BA437" s="73">
        <v>0.94199999999999995</v>
      </c>
      <c r="BB437" s="73">
        <v>0.90800000000000003</v>
      </c>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1"/>
      <c r="CS437" s="1"/>
      <c r="CT437" s="1"/>
      <c r="CU437" s="1"/>
    </row>
    <row r="438" spans="1:99" s="13" customFormat="1" ht="12" customHeight="1" x14ac:dyDescent="0.2">
      <c r="A438" s="68">
        <v>43509</v>
      </c>
      <c r="B438" s="70"/>
      <c r="C438" s="70"/>
      <c r="D438" s="69"/>
      <c r="E438" s="87"/>
      <c r="F438" s="69"/>
      <c r="G438" s="69"/>
      <c r="H438" s="69"/>
      <c r="I438" s="69"/>
      <c r="J438" s="69"/>
      <c r="K438" s="107"/>
      <c r="L438" s="107"/>
      <c r="M438" s="69"/>
      <c r="N438" s="69"/>
      <c r="O438" s="69"/>
      <c r="P438" s="69"/>
      <c r="Q438" s="92"/>
      <c r="R438" s="69"/>
      <c r="S438" s="69"/>
      <c r="T438" s="92"/>
      <c r="U438" s="69"/>
      <c r="V438" s="92"/>
      <c r="W438" s="69"/>
      <c r="X438" s="69"/>
      <c r="Y438" s="87"/>
      <c r="Z438" s="69"/>
      <c r="AA438" s="69"/>
      <c r="AB438" s="69"/>
      <c r="AC438" s="69"/>
      <c r="AD438" s="69"/>
      <c r="AE438" s="69"/>
      <c r="AF438" s="88"/>
      <c r="AG438" s="72"/>
      <c r="AH438" s="4"/>
      <c r="AI438" s="72"/>
      <c r="AJ438" s="110"/>
      <c r="AK438" s="72"/>
      <c r="AL438" s="72"/>
      <c r="AM438" s="72"/>
      <c r="AN438" s="72"/>
      <c r="AO438" s="72"/>
      <c r="AP438" s="72"/>
      <c r="AQ438" s="72"/>
      <c r="AR438" s="110"/>
      <c r="AS438" s="72"/>
      <c r="AT438" s="72"/>
      <c r="AU438" s="4"/>
      <c r="AV438" s="71">
        <v>30</v>
      </c>
      <c r="AW438" s="71">
        <f>3*60</f>
        <v>180</v>
      </c>
      <c r="AX438" s="71">
        <f>2*60*60</f>
        <v>7200</v>
      </c>
      <c r="AY438" s="71">
        <f>8*60*60</f>
        <v>28800</v>
      </c>
      <c r="AZ438" s="71">
        <f>12*60*60</f>
        <v>43200</v>
      </c>
      <c r="BA438" s="71">
        <f>24*60*60*1</f>
        <v>86400</v>
      </c>
      <c r="BB438" s="71">
        <f>24*60*60*2</f>
        <v>172800</v>
      </c>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1"/>
      <c r="CS438" s="1"/>
      <c r="CT438" s="1"/>
      <c r="CU438" s="1"/>
    </row>
    <row r="439" spans="1:99" s="13" customFormat="1" ht="12" customHeight="1" x14ac:dyDescent="0.2">
      <c r="A439" s="68">
        <v>43509</v>
      </c>
      <c r="B439" s="70" t="s">
        <v>101</v>
      </c>
      <c r="C439" s="70" t="s">
        <v>102</v>
      </c>
      <c r="D439" s="69">
        <v>1992</v>
      </c>
      <c r="E439" s="87">
        <v>1</v>
      </c>
      <c r="F439" s="69">
        <v>20</v>
      </c>
      <c r="G439" s="69">
        <v>20</v>
      </c>
      <c r="H439" s="69" t="s">
        <v>38</v>
      </c>
      <c r="I439" s="69" t="s">
        <v>678</v>
      </c>
      <c r="J439" s="69" t="s">
        <v>677</v>
      </c>
      <c r="K439" s="69">
        <f>IF(J439="syllables",1,IF(J439="trigrams",2,IF(J439="strings",3,IF(J439="visual array",4,IF(J439="characters",5,IF(J439="letters",6,IF(J439="free forms",7,IF(J439="odors",8,IF(J439="words",9,IF(J439="pictures",10,IF(J439="object pictures",11,IF(J439="faces",12,IF(J439="names",13,IF(J439="idioms",14,IF(J439="grades",15,IF(J439="syllable-digit pairs",16,IF(J439="trigram-word pairs",17,IF(J439="word-digit pairs",18,IF(J439="English-Swahili pairs",19,IF(J439="spatial position",20,IF(J439="word pairs",21,IF(J439="word triads",22,IF(J439="generated words",23,IF(J439="word definition pairs",24,IF(J439="math problems",25,IF(J439="famous faces",26,IF(J439="famous names",27,IF(J439="famous voices",28,IF(J439="television programs",29,IF(J439="race horses",30,IF(J439="new vocabulary",31,IF(J439="sentences",32,IF(J439="concepts",33,IF(J439="ad slides",34,IF(J439="scenes",35,IF(J439="famous scenes",36,IF(J439="poems",37,IF(J439="walk",38,IF(J439="faces and events",39,IF(J439="events and names",40,IF(J439="flashbulb",41,IF(J439="stories",42,IF(J439="course material",43,IF(J439="autobiographical",44,IF(J439="novels",45,IF(J439="public events",46,"99"))))))))))))))))))))))))))))))))))))))))))))))</f>
        <v>42</v>
      </c>
      <c r="L439" s="69">
        <f>IF(J439="syllables",1,IF(J439="trigrams",1,IF(J439="strings",1,IF(J439="visual array",1,IF(J439="characters",1,IF(J439="letters",1,IF(J439="free forms",1,IF(J439="odors",2,IF(J439="words",2,IF(J439="pictures",2,IF(J439="object pictures",2,IF(J439="faces",2,IF(J439="names",2,IF(J439="idioms","2",IF(J439="grades",2,IF(J439="syllable-digit pairs",3,IF(J439="trigram-word pairs",3,IF(J439="word-digit pairs",3,IF(J439="English-Swahili pairs",3,IF(J439="spatial position",3,IF(J439="word pairs",4,IF(J439="word triads",4,IF(J439="generated words",4,IF(J439="word definition pairs",4,IF(J439="math problems",4,IF(J439="famous faces",4,IF(J439="famous names",4,IF(J439="famous voices",4,IF(J439="television programs",4,IF(J439="race horses",4,IF(J439="new vocabulary",4,IF(J439="sentences",5,IF(J439="concepts",5,IF(J439="ad slides",5,IF(J439="scenes",5,IF(J439="famous scenes",5,IF(J439="poems",6,IF(J439="walk",6,IF(J439="faces and events",6,IF(J439="events and names",6,IF(J439="flashbulb",7,IF(J439="stories",7,IF(J439="course material",7,IF(J439="autobiographical",7,IF(J439="novels",7,IF(J439="public events",7,"99"))))))))))))))))))))))))))))))))))))))))))))))</f>
        <v>7</v>
      </c>
      <c r="M439" s="69">
        <v>0</v>
      </c>
      <c r="N439" s="69">
        <v>3</v>
      </c>
      <c r="O439" s="69">
        <v>1</v>
      </c>
      <c r="P439" s="69" t="s">
        <v>103</v>
      </c>
      <c r="Q439" s="92" t="s">
        <v>174</v>
      </c>
      <c r="R439" s="69">
        <f>IF(Q439="Free Recall",1,IF(Q439="Cued Recall",2,IF(Q439="Recognition",3,IF(Q439="Multiple Choice",4,IF(Q439="Savings",5,IF(Q439="Stem Completion",6,IF(Q439="Fragment Completion",7,IF(Q439="anagram solution",8,IF(Q439="Matching",9,IF(Q439="Problem Solving",10,"99"))))))))))</f>
        <v>1</v>
      </c>
      <c r="S439" s="69" t="s">
        <v>49</v>
      </c>
      <c r="T439" s="92" t="s">
        <v>581</v>
      </c>
      <c r="U439" s="69">
        <f>IF(T439="within",1,0)</f>
        <v>1</v>
      </c>
      <c r="V439" s="92">
        <v>20</v>
      </c>
      <c r="W439" s="69">
        <f>F439*V439</f>
        <v>400</v>
      </c>
      <c r="X439" s="69">
        <v>7</v>
      </c>
      <c r="Y439" s="87">
        <f>AV438</f>
        <v>30</v>
      </c>
      <c r="Z439" s="69" t="s">
        <v>88</v>
      </c>
      <c r="AA439" s="69">
        <v>172800</v>
      </c>
      <c r="AB439" s="69" t="str">
        <f>IF(AA439&lt;60,"1",IF(AA439&lt;=43200,"2",IF(AA439&lt;=777600,"3","4")))</f>
        <v>3</v>
      </c>
      <c r="AC439" s="72">
        <f>AVERAGE(AV438:DA438)</f>
        <v>48372.857142857145</v>
      </c>
      <c r="AD439" s="69" t="str">
        <f>IF(AC439&lt;60,"1",IF(AC439&lt;=43200,"2",IF(AC439&lt;=777600,"3","4")))</f>
        <v>3</v>
      </c>
      <c r="AE439" s="87">
        <f>AA439-Y439</f>
        <v>172770</v>
      </c>
      <c r="AF439" s="88">
        <f>AV439</f>
        <v>0.68799999999999994</v>
      </c>
      <c r="AG439" s="189">
        <f>((AW439-AV439)+(AX439-AW439)+(AY439-AX439)+(AZ439-AY439)+(BA439-AZ439)+(BB439-BA439))/6</f>
        <v>3.3333333333333365E-4</v>
      </c>
      <c r="AH439" s="4"/>
      <c r="AI439" s="72">
        <f>RSQ(AV439:BB439,AV438:BB438)</f>
        <v>0.16058772940499444</v>
      </c>
      <c r="AJ439" s="110">
        <f>SLOPE(AV439:BB439,AV438:BB438)</f>
        <v>-1.7876482544522048E-7</v>
      </c>
      <c r="AK439" s="72">
        <f>INTERCEPT(AV439:BB439,AV438:BB438)</f>
        <v>0.72979022250628667</v>
      </c>
      <c r="AL439" s="72">
        <f>INDEX(LINEST(LN(AV439:BB439),LN(AV438:BB438),TRUE,TRUE),3,1)</f>
        <v>7.1008261036996541E-3</v>
      </c>
      <c r="AM439" s="72">
        <f>INDEX(LINEST(LN(AV439:BB439),LN(AV438:BB438)),1)</f>
        <v>9.9148584813501584E-4</v>
      </c>
      <c r="AN439" s="72">
        <f>EXP(INDEX(LINEST(LN(AV439:BB439),LN(AV438:BB438)),1,2))</f>
        <v>0.71439283181370428</v>
      </c>
      <c r="AO439" s="89">
        <f>INDEX(LINEST((AV439:BB439),LN(AV438:BB438),TRUE,TRUE),3,1)</f>
        <v>6.6280751448040782E-3</v>
      </c>
      <c r="AP439" s="89">
        <f>INDEX(LINEST((AV439:BB439),LN(AV438:BB438)),1)</f>
        <v>6.9318368692714222E-4</v>
      </c>
      <c r="AQ439" s="90">
        <f>INDEX(LINEST(LN(AV439:BB439),SQRT(AV438:BB438),TRUE,TRUE),3,1)</f>
        <v>6.0419602867329593E-2</v>
      </c>
      <c r="AR439" s="117">
        <f>INDEX(LINEST(LN(AV439:BB439),SQRT((AV438:BB438))),1)</f>
        <v>-6.3247131611390663E-5</v>
      </c>
      <c r="AS439" s="91">
        <f>INDEX(LINEST(1/(AV439:BB439),1/(SQRT(AV438:BB438)),TRUE,TRUE),3,1)</f>
        <v>0.13697741433617552</v>
      </c>
      <c r="AT439" s="91">
        <f>INDEX(LINEST(1/(AV439:BB439),1/SQRT(AV438:BB438)),1)</f>
        <v>0.29314775342214788</v>
      </c>
      <c r="AU439" s="3"/>
      <c r="AV439" s="73">
        <v>0.68799999999999994</v>
      </c>
      <c r="AW439" s="73">
        <v>0.745</v>
      </c>
      <c r="AX439" s="73">
        <v>0.72499999999999998</v>
      </c>
      <c r="AY439" s="73">
        <v>0.76500000000000001</v>
      </c>
      <c r="AZ439" s="73">
        <v>0.71</v>
      </c>
      <c r="BA439" s="73">
        <v>0.72499999999999998</v>
      </c>
      <c r="BB439" s="73">
        <v>0.69</v>
      </c>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1"/>
      <c r="CS439" s="1"/>
      <c r="CT439" s="1"/>
      <c r="CU439" s="1"/>
    </row>
    <row r="440" spans="1:99" s="13" customFormat="1" ht="12" customHeight="1" x14ac:dyDescent="0.2">
      <c r="A440" s="68">
        <v>43509</v>
      </c>
      <c r="B440" s="70"/>
      <c r="C440" s="70"/>
      <c r="D440" s="69"/>
      <c r="E440" s="87"/>
      <c r="F440" s="69"/>
      <c r="G440" s="69"/>
      <c r="H440" s="69"/>
      <c r="I440" s="69"/>
      <c r="J440" s="69"/>
      <c r="K440" s="107"/>
      <c r="L440" s="107"/>
      <c r="M440" s="69"/>
      <c r="N440" s="69"/>
      <c r="O440" s="69"/>
      <c r="P440" s="69"/>
      <c r="Q440" s="92"/>
      <c r="R440" s="69"/>
      <c r="S440" s="69"/>
      <c r="T440" s="69"/>
      <c r="U440" s="69"/>
      <c r="V440" s="69"/>
      <c r="W440" s="69"/>
      <c r="X440" s="69"/>
      <c r="Y440" s="87"/>
      <c r="Z440" s="69"/>
      <c r="AA440" s="69"/>
      <c r="AB440" s="69"/>
      <c r="AC440" s="69"/>
      <c r="AD440" s="69"/>
      <c r="AE440" s="69"/>
      <c r="AF440" s="88"/>
      <c r="AG440" s="72"/>
      <c r="AH440" s="4"/>
      <c r="AI440" s="72"/>
      <c r="AJ440" s="110"/>
      <c r="AK440" s="72"/>
      <c r="AL440" s="72"/>
      <c r="AM440" s="72"/>
      <c r="AN440" s="72"/>
      <c r="AO440" s="72"/>
      <c r="AP440" s="72"/>
      <c r="AQ440" s="72"/>
      <c r="AR440" s="110"/>
      <c r="AS440" s="72"/>
      <c r="AT440" s="72"/>
      <c r="AU440" s="4"/>
      <c r="AV440" s="71">
        <f>3*60</f>
        <v>180</v>
      </c>
      <c r="AW440" s="71">
        <f>2*60*60</f>
        <v>7200</v>
      </c>
      <c r="AX440" s="71">
        <f>8*60*60</f>
        <v>28800</v>
      </c>
      <c r="AY440" s="71">
        <f>12*60*60</f>
        <v>43200</v>
      </c>
      <c r="AZ440" s="71">
        <f>24*60*60*1</f>
        <v>86400</v>
      </c>
      <c r="BA440" s="71">
        <f>24*60*60*2</f>
        <v>172800</v>
      </c>
      <c r="BB440" s="10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1"/>
      <c r="CS440" s="1"/>
      <c r="CT440" s="1"/>
      <c r="CU440" s="1"/>
    </row>
    <row r="441" spans="1:99" s="13" customFormat="1" ht="12" customHeight="1" x14ac:dyDescent="0.2">
      <c r="A441" s="68">
        <v>43509</v>
      </c>
      <c r="B441" s="70" t="s">
        <v>101</v>
      </c>
      <c r="C441" s="70" t="s">
        <v>102</v>
      </c>
      <c r="D441" s="69">
        <v>1992</v>
      </c>
      <c r="E441" s="87">
        <v>1</v>
      </c>
      <c r="F441" s="69">
        <v>20</v>
      </c>
      <c r="G441" s="69">
        <v>20</v>
      </c>
      <c r="H441" s="69" t="s">
        <v>38</v>
      </c>
      <c r="I441" s="69" t="s">
        <v>681</v>
      </c>
      <c r="J441" s="69" t="s">
        <v>313</v>
      </c>
      <c r="K441" s="69">
        <f>IF(J441="syllables",1,IF(J441="trigrams",2,IF(J441="strings",3,IF(J441="visual array",4,IF(J441="characters",5,IF(J441="letters",6,IF(J441="free forms",7,IF(J441="odors",8,IF(J441="words",9,IF(J441="pictures",10,IF(J441="object pictures",11,IF(J441="faces",12,IF(J441="names",13,IF(J441="idioms",14,IF(J441="grades",15,IF(J441="syllable-digit pairs",16,IF(J441="trigram-word pairs",17,IF(J441="word-digit pairs",18,IF(J441="English-Swahili pairs",19,IF(J441="spatial position",20,IF(J441="word pairs",21,IF(J441="word triads",22,IF(J441="generated words",23,IF(J441="word definition pairs",24,IF(J441="math problems",25,IF(J441="famous faces",26,IF(J441="famous names",27,IF(J441="famous voices",28,IF(J441="television programs",29,IF(J441="race horses",30,IF(J441="new vocabulary",31,IF(J441="sentences",32,IF(J441="concepts",33,IF(J441="ad slides",34,IF(J441="scenes",35,IF(J441="famous scenes",36,IF(J441="poems",37,IF(J441="walk",38,IF(J441="faces and events",39,IF(J441="events and names",40,IF(J441="flashbulb",41,IF(J441="stories",42,IF(J441="course material",43,IF(J441="autobiographical",44,IF(J441="novels",45,IF(J441="public events",46,"99"))))))))))))))))))))))))))))))))))))))))))))))</f>
        <v>10</v>
      </c>
      <c r="L441" s="69">
        <f>IF(J441="syllables",1,IF(J441="trigrams",1,IF(J441="strings",1,IF(J441="visual array",1,IF(J441="characters",1,IF(J441="letters",1,IF(J441="free forms",1,IF(J441="odors",2,IF(J441="words",2,IF(J441="pictures",2,IF(J441="object pictures",2,IF(J441="faces",2,IF(J441="names",2,IF(J441="idioms","2",IF(J441="grades",2,IF(J441="syllable-digit pairs",3,IF(J441="trigram-word pairs",3,IF(J441="word-digit pairs",3,IF(J441="English-Swahili pairs",3,IF(J441="spatial position",3,IF(J441="word pairs",4,IF(J441="word triads",4,IF(J441="generated words",4,IF(J441="word definition pairs",4,IF(J441="math problems",4,IF(J441="famous faces",4,IF(J441="famous names",4,IF(J441="famous voices",4,IF(J441="television programs",4,IF(J441="race horses",4,IF(J441="new vocabulary",4,IF(J441="sentences",5,IF(J441="concepts",5,IF(J441="ad slides",5,IF(J441="scenes",5,IF(J441="famous scenes",5,IF(J441="poems",6,IF(J441="walk",6,IF(J441="faces and events",6,IF(J441="events and names",6,IF(J441="flashbulb",7,IF(J441="stories",7,IF(J441="course material",7,IF(J441="autobiographical",7,IF(J441="novels",7,IF(J441="public events",7,"99"))))))))))))))))))))))))))))))))))))))))))))))</f>
        <v>2</v>
      </c>
      <c r="M441" s="69">
        <v>0</v>
      </c>
      <c r="N441" s="69">
        <v>3</v>
      </c>
      <c r="O441" s="69">
        <v>1</v>
      </c>
      <c r="P441" s="69" t="s">
        <v>103</v>
      </c>
      <c r="Q441" s="92" t="s">
        <v>174</v>
      </c>
      <c r="R441" s="69">
        <f>IF(Q441="Free Recall",1,IF(Q441="Cued Recall",2,IF(Q441="Recognition",3,IF(Q441="Multiple Choice",4,IF(Q441="Savings",5,IF(Q441="Stem Completion",6,IF(Q441="Fragment Completion",7,IF(Q441="anagram solution",8,IF(Q441="Matching",9,IF(Q441="Problem Solving",10,"99"))))))))))</f>
        <v>1</v>
      </c>
      <c r="S441" s="69" t="s">
        <v>49</v>
      </c>
      <c r="T441" s="92" t="s">
        <v>581</v>
      </c>
      <c r="U441" s="69">
        <f>IF(T441="within",1,0)</f>
        <v>1</v>
      </c>
      <c r="V441" s="92">
        <v>7</v>
      </c>
      <c r="W441" s="69">
        <f>F441*V441</f>
        <v>140</v>
      </c>
      <c r="X441" s="69">
        <v>6</v>
      </c>
      <c r="Y441" s="87">
        <f>AV440</f>
        <v>180</v>
      </c>
      <c r="Z441" s="69" t="s">
        <v>88</v>
      </c>
      <c r="AA441" s="69">
        <v>172800</v>
      </c>
      <c r="AB441" s="69" t="str">
        <f>IF(AA441&lt;60,"1",IF(AA441&lt;=43200,"2",IF(AA441&lt;=777600,"3","4")))</f>
        <v>3</v>
      </c>
      <c r="AC441" s="72">
        <f>AVERAGE(AV440:DA440)</f>
        <v>56430</v>
      </c>
      <c r="AD441" s="69" t="str">
        <f>IF(AC441&lt;60,"1",IF(AC441&lt;=43200,"2",IF(AC441&lt;=777600,"3","4")))</f>
        <v>3</v>
      </c>
      <c r="AE441" s="87">
        <f>AA441-Y441</f>
        <v>172620</v>
      </c>
      <c r="AF441" s="88">
        <f>AV441</f>
        <v>0.89300000000000002</v>
      </c>
      <c r="AG441" s="72">
        <f>((AW441-AV441)+(AX441-AW441)+(AY441-AX441)+(AZ441-AY441)+(BA441-AZ441))/5</f>
        <v>-2.1399999999999995E-2</v>
      </c>
      <c r="AH441" s="4"/>
      <c r="AI441" s="72">
        <f>RSQ(AV441:BA441,AV440:BA440)</f>
        <v>0.57906394484917578</v>
      </c>
      <c r="AJ441" s="110">
        <f>SLOPE(AV441:BA441,AV440:BA440)</f>
        <v>-4.230320653403367E-7</v>
      </c>
      <c r="AK441" s="72">
        <f>INTERCEPT(AV441:BA441,AV440:BA440)</f>
        <v>0.85137169944715518</v>
      </c>
      <c r="AL441" s="72">
        <f>INDEX(LINEST(LN(AV441:BA441),LN(AV440:BA440),TRUE,TRUE),3,1)</f>
        <v>0.88345849422315792</v>
      </c>
      <c r="AM441" s="72">
        <f>INDEX(LINEST(LN(AV441:BA441),LN(AV440:BA440)),1)</f>
        <v>-1.6251198968042613E-2</v>
      </c>
      <c r="AN441" s="72">
        <f>EXP(INDEX(LINEST(LN(AV441:BA441),LN(AV440:BA440)),1,2))</f>
        <v>0.96867932902323017</v>
      </c>
      <c r="AO441" s="89">
        <f>INDEX(LINEST((AV441:BA441),LN(AV440:BA440),TRUE,TRUE),3,1)</f>
        <v>0.88861554988895397</v>
      </c>
      <c r="AP441" s="89">
        <f>INDEX(LINEST((AV441:BA441),LN(AV440:BA440)),1)</f>
        <v>-1.3719321534989093E-2</v>
      </c>
      <c r="AQ441" s="90">
        <f>INDEX(LINEST(LN(AV441:BA441),SQRT(AV440:BA440),TRUE,TRUE),3,1)</f>
        <v>0.75321930489288258</v>
      </c>
      <c r="AR441" s="117">
        <f>INDEX(LINEST(LN(AV441:BA441),SQRT((AV440:BA440))),1)</f>
        <v>-2.5690516832534431E-4</v>
      </c>
      <c r="AS441" s="91">
        <f>INDEX(LINEST(1/(AV441:BA441),1/(SQRT(AV440:BA440)),TRUE,TRUE),3,1)</f>
        <v>0.8013670402302453</v>
      </c>
      <c r="AT441" s="91">
        <f>INDEX(LINEST(1/(AV441:BA441),1/SQRT(AV440:BA440)),1)</f>
        <v>-1.609322675363356</v>
      </c>
      <c r="AU441" s="3"/>
      <c r="AV441" s="73">
        <v>0.89300000000000002</v>
      </c>
      <c r="AW441" s="73">
        <v>0.82099999999999995</v>
      </c>
      <c r="AX441" s="73">
        <v>0.82899999999999996</v>
      </c>
      <c r="AY441" s="73">
        <v>0.82899999999999996</v>
      </c>
      <c r="AZ441" s="73">
        <v>0.80700000000000005</v>
      </c>
      <c r="BA441" s="73">
        <v>0.78600000000000003</v>
      </c>
      <c r="BB441" s="10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1"/>
      <c r="CS441" s="1"/>
      <c r="CT441" s="1"/>
      <c r="CU441" s="1"/>
    </row>
    <row r="442" spans="1:99" s="13" customFormat="1" ht="12" customHeight="1" x14ac:dyDescent="0.2">
      <c r="A442" s="65">
        <v>43903</v>
      </c>
      <c r="D442" s="61"/>
      <c r="E442" s="76"/>
      <c r="F442" s="60"/>
      <c r="G442" s="60"/>
      <c r="H442" s="60"/>
      <c r="I442" s="60"/>
      <c r="J442" s="60"/>
      <c r="K442" s="64"/>
      <c r="L442" s="64"/>
      <c r="M442" s="60"/>
      <c r="N442" s="60"/>
      <c r="O442" s="60"/>
      <c r="P442" s="60"/>
      <c r="Q442" s="60"/>
      <c r="R442" s="60"/>
      <c r="S442" s="60"/>
      <c r="T442" s="60"/>
      <c r="U442" s="60"/>
      <c r="V442" s="60"/>
      <c r="W442" s="60"/>
      <c r="X442" s="60"/>
      <c r="Y442" s="76"/>
      <c r="Z442" s="60"/>
      <c r="AA442" s="60"/>
      <c r="AB442" s="60"/>
      <c r="AC442" s="56"/>
      <c r="AD442" s="60"/>
      <c r="AE442" s="60"/>
      <c r="AF442" s="80"/>
      <c r="AG442" s="56"/>
      <c r="AH442" s="4"/>
      <c r="AI442" s="56"/>
      <c r="AJ442" s="109"/>
      <c r="AK442" s="56"/>
      <c r="AL442" s="56"/>
      <c r="AM442" s="56"/>
      <c r="AN442" s="56"/>
      <c r="AO442" s="82"/>
      <c r="AP442" s="82"/>
      <c r="AQ442" s="83"/>
      <c r="AR442" s="116"/>
      <c r="AS442" s="84"/>
      <c r="AT442" s="84"/>
      <c r="AU442" s="3"/>
      <c r="AV442" s="25">
        <v>60</v>
      </c>
      <c r="AW442" s="25">
        <v>86400</v>
      </c>
      <c r="AX442" s="25">
        <v>259200</v>
      </c>
      <c r="AY442" s="25">
        <v>604800</v>
      </c>
      <c r="AZ442" s="25">
        <v>864000</v>
      </c>
      <c r="BA442" s="25">
        <v>1209600</v>
      </c>
      <c r="BB442" s="43" t="s">
        <v>512</v>
      </c>
      <c r="BC442" s="42"/>
      <c r="BD442" s="42"/>
      <c r="BE442" s="42"/>
      <c r="BF442" s="42"/>
      <c r="BG442" s="42"/>
      <c r="BH442" s="37"/>
      <c r="BI442" s="37"/>
      <c r="BJ442" s="37"/>
      <c r="BK442" s="37"/>
      <c r="BL442" s="37"/>
      <c r="BM442" s="37"/>
      <c r="BN442" s="37"/>
      <c r="BO442" s="37"/>
      <c r="BP442" s="37"/>
      <c r="BQ442" s="37"/>
      <c r="BR442" s="37"/>
      <c r="BS442" s="37"/>
      <c r="BT442" s="37"/>
      <c r="BU442" s="37"/>
      <c r="BV442" s="37"/>
      <c r="BW442" s="37"/>
      <c r="BX442" s="37"/>
      <c r="BY442" s="37"/>
      <c r="BZ442" s="37"/>
      <c r="CA442" s="37"/>
      <c r="CB442" s="37"/>
      <c r="CC442" s="37"/>
      <c r="CD442" s="37"/>
      <c r="CE442" s="37"/>
      <c r="CF442" s="37"/>
      <c r="CG442" s="37"/>
      <c r="CH442" s="37"/>
      <c r="CI442" s="37"/>
      <c r="CJ442" s="37"/>
      <c r="CK442" s="37"/>
      <c r="CL442" s="37"/>
      <c r="CM442" s="37"/>
      <c r="CN442" s="37"/>
      <c r="CO442" s="37"/>
      <c r="CP442" s="37"/>
      <c r="CQ442" s="37"/>
      <c r="CR442" s="1"/>
      <c r="CS442" s="1"/>
      <c r="CT442" s="1"/>
      <c r="CU442" s="1"/>
    </row>
    <row r="443" spans="1:99" s="13" customFormat="1" ht="12" customHeight="1" x14ac:dyDescent="0.2">
      <c r="A443" s="65">
        <v>43903</v>
      </c>
      <c r="B443" s="1" t="s">
        <v>473</v>
      </c>
      <c r="C443" s="1" t="s">
        <v>474</v>
      </c>
      <c r="D443" s="60">
        <v>2020</v>
      </c>
      <c r="E443" s="76">
        <v>1</v>
      </c>
      <c r="F443" s="60">
        <v>144</v>
      </c>
      <c r="G443" s="60">
        <v>24</v>
      </c>
      <c r="H443" s="60"/>
      <c r="I443" s="60" t="s">
        <v>649</v>
      </c>
      <c r="J443" s="60" t="s">
        <v>475</v>
      </c>
      <c r="K443" s="60">
        <f>IF(J443="syllables",1,IF(J443="trigrams",2,IF(J443="strings",3,IF(J443="visual array",4,IF(J443="characters",5,IF(J443="letters",6,IF(J443="free forms",7,IF(J443="odors",8,IF(J443="words",9,IF(J443="pictures",10,IF(J443="object pictures",11,IF(J443="faces",12,IF(J443="names",13,IF(J443="idioms",14,IF(J443="grades",15,IF(J443="syllable-digit pairs",16,IF(J443="trigram-word pairs",17,IF(J443="word-digit pairs",18,IF(J443="English-Swahili pairs",19,IF(J443="spatial position",20,IF(J443="word pairs",21,IF(J443="word triads",22,IF(J443="generated words",23,IF(J443="word definition pairs",24,IF(J443="math problems",25,IF(J443="famous faces",26,IF(J443="famous names",27,IF(J443="famous voices",28,IF(J443="television programs",29,IF(J443="race horses",30,IF(J443="new vocabulary",31,IF(J443="sentences",32,IF(J443="concepts",33,IF(J443="ad slides",34,IF(J443="scenes",35,IF(J443="famous scenes",36,IF(J443="poems",37,IF(J443="walk",38,IF(J443="faces and events",39,IF(J443="events and names",40,IF(J443="flashbulb",41,IF(J443="stories",42,IF(J443="course material",43,IF(J443="autobiographical",44,IF(J443="novels",45,IF(J443="public events",46,"99"))))))))))))))))))))))))))))))))))))))))))))))</f>
        <v>32</v>
      </c>
      <c r="L443" s="60">
        <f>IF(J443="syllables",1,IF(J443="trigrams",1,IF(J443="strings",1,IF(J443="visual array",1,IF(J443="characters",1,IF(J443="letters",1,IF(J443="free forms",1,IF(J443="odors",2,IF(J443="words",2,IF(J443="pictures",2,IF(J443="object pictures",2,IF(J443="faces",2,IF(J443="names",2,IF(J443="idioms","2",IF(J443="grades",2,IF(J443="syllable-digit pairs",3,IF(J443="trigram-word pairs",3,IF(J443="word-digit pairs",3,IF(J443="English-Swahili pairs",3,IF(J443="spatial position",3,IF(J443="word pairs",4,IF(J443="word triads",4,IF(J443="generated words",4,IF(J443="word definition pairs",4,IF(J443="math problems",4,IF(J443="famous faces",4,IF(J443="famous names",4,IF(J443="famous voices",4,IF(J443="television programs",4,IF(J443="race horses",4,IF(J443="new vocabulary",4,IF(J443="sentences",5,IF(J443="concepts",5,IF(J443="ad slides",5,IF(J443="scenes",5,IF(J443="famous scenes",5,IF(J443="poems",6,IF(J443="walk",6,IF(J443="faces and events",6,IF(J443="events and names",6,IF(J443="flashbulb",7,IF(J443="stories",7,IF(J443="course material",7,IF(J443="autobiographical",7,IF(J443="novels",7,IF(J443="public events",7,"99"))))))))))))))))))))))))))))))))))))))))))))))</f>
        <v>5</v>
      </c>
      <c r="M443" s="60">
        <v>0</v>
      </c>
      <c r="N443" s="60">
        <v>2</v>
      </c>
      <c r="O443" s="60">
        <v>0</v>
      </c>
      <c r="P443" s="60"/>
      <c r="Q443" s="60" t="s">
        <v>34</v>
      </c>
      <c r="R443" s="60">
        <f>IF(Q443="Free Recall",1,IF(Q443="Cued Recall",2,IF(Q443="Recognition",3,IF(Q443="Multiple Choice",4,IF(Q443="Savings",5,IF(Q443="Stem Completion",6,IF(Q443="Fragment Completion",7,IF(Q443="anagram solution",8,IF(Q443="Matching",9,IF(Q443="Problem Solving",10,"99"))))))))))</f>
        <v>3</v>
      </c>
      <c r="S443" s="60" t="s">
        <v>15</v>
      </c>
      <c r="T443" s="60" t="s">
        <v>261</v>
      </c>
      <c r="U443" s="60">
        <f>IF(T443="within",1,0)</f>
        <v>0</v>
      </c>
      <c r="V443" s="60">
        <v>18</v>
      </c>
      <c r="W443" s="60">
        <f>F443*V443</f>
        <v>2592</v>
      </c>
      <c r="X443" s="60">
        <v>6</v>
      </c>
      <c r="Y443" s="76">
        <f>AV442</f>
        <v>60</v>
      </c>
      <c r="Z443" s="60" t="s">
        <v>476</v>
      </c>
      <c r="AA443" s="60">
        <v>1209600</v>
      </c>
      <c r="AB443" s="60" t="str">
        <f>IF(AA443&lt;60,"1",IF(AA443&lt;=43200,"2",IF(AA443&lt;=777600,"3","4")))</f>
        <v>4</v>
      </c>
      <c r="AC443" s="56">
        <f>AVERAGE(AV442:DA442)</f>
        <v>504010</v>
      </c>
      <c r="AD443" s="60" t="str">
        <f>IF(AC443&lt;60,"1",IF(AC443&lt;=43200,"2",IF(AC443&lt;=777600,"3","4")))</f>
        <v>3</v>
      </c>
      <c r="AE443" s="76">
        <f>AA443-Y443</f>
        <v>1209540</v>
      </c>
      <c r="AF443" s="80">
        <f>AV443</f>
        <v>0.7997685185185186</v>
      </c>
      <c r="AG443" s="56">
        <f>((AW443-AV443)+(AX443-AW443)+(AY443-AX443)+(AZ443-AY443)+(BA443-AZ443))/5</f>
        <v>-4.4444444444444488E-2</v>
      </c>
      <c r="AH443" s="4"/>
      <c r="AI443" s="56">
        <f>RSQ(AV443:BA443,AV442:BA442)</f>
        <v>0.59939760618864746</v>
      </c>
      <c r="AJ443" s="109">
        <f>SLOPE(AV443:BA443,AV442:BA442)</f>
        <v>-1.4454180495721897E-7</v>
      </c>
      <c r="AK443" s="56">
        <f>INTERCEPT(AV443:BA443,AV442:BA442)</f>
        <v>0.71000329289426567</v>
      </c>
      <c r="AL443" s="56">
        <f>INDEX(LINEST(LN(AV443:BA443),LN(AV442:BA442),TRUE,TRUE),3,1)</f>
        <v>0.91942521885389472</v>
      </c>
      <c r="AM443" s="56">
        <f>INDEX(LINEST(LN(AV443:BA443),LN(AV442:BA442)),1)</f>
        <v>-3.3609155370252476E-2</v>
      </c>
      <c r="AN443" s="56">
        <f>EXP(INDEX(LINEST(LN(AV443:BA443),LN(AV442:BA442)),1,2))</f>
        <v>0.93036843305304107</v>
      </c>
      <c r="AO443" s="82">
        <f>INDEX(LINEST((AV443:BA443),LN(AV442:BA442),TRUE,TRUE),3,1)</f>
        <v>0.9433009479165444</v>
      </c>
      <c r="AP443" s="82">
        <f>INDEX(LINEST((AV443:BA443),LN(AV442:BA442)),1)</f>
        <v>-2.2986231716034235E-2</v>
      </c>
      <c r="AQ443" s="83">
        <f>INDEX(LINEST(LN(AV443:BA443),SQRT(AV442:BA442),TRUE,TRUE),3,1)</f>
        <v>0.84440289865513285</v>
      </c>
      <c r="AR443" s="116">
        <f>INDEX(LINEST(LN(AV443:BA443),SQRT((AV442:BA442))),1)</f>
        <v>-2.9369942631143144E-4</v>
      </c>
      <c r="AS443" s="84">
        <f>INDEX(LINEST(1/(AV443:BA443),1/(SQRT(AV442:BA442)),TRUE,TRUE),3,1)</f>
        <v>0.73852144434427336</v>
      </c>
      <c r="AT443" s="84">
        <f>INDEX(LINEST(1/(AV443:BA443),1/SQRT(AV442:BA442)),1)</f>
        <v>-3.2506690190414016</v>
      </c>
      <c r="AU443" s="3"/>
      <c r="AV443" s="53">
        <v>0.7997685185185186</v>
      </c>
      <c r="AW443" s="53">
        <v>0.67129629629629628</v>
      </c>
      <c r="AX443" s="53">
        <v>0.60763888888888895</v>
      </c>
      <c r="AY443" s="53">
        <v>0.60995370370370372</v>
      </c>
      <c r="AZ443" s="53">
        <v>0.55671296296296313</v>
      </c>
      <c r="BA443" s="53">
        <v>0.57754629629629617</v>
      </c>
      <c r="BB443" s="43"/>
      <c r="BC443" s="37"/>
      <c r="BD443" s="37"/>
      <c r="BE443" s="37"/>
      <c r="BF443" s="37"/>
      <c r="BG443" s="37"/>
      <c r="BH443" s="37"/>
      <c r="BI443" s="37"/>
      <c r="BJ443" s="37"/>
      <c r="BK443" s="37"/>
      <c r="BL443" s="37"/>
      <c r="BM443" s="37"/>
      <c r="BN443" s="37"/>
      <c r="BO443" s="37"/>
      <c r="BP443" s="37"/>
      <c r="BQ443" s="37"/>
      <c r="BR443" s="37"/>
      <c r="BS443" s="37"/>
      <c r="BT443" s="37"/>
      <c r="BU443" s="37"/>
      <c r="BV443" s="37"/>
      <c r="BW443" s="37"/>
      <c r="BX443" s="37"/>
      <c r="BY443" s="37"/>
      <c r="BZ443" s="37"/>
      <c r="CA443" s="37"/>
      <c r="CB443" s="37"/>
      <c r="CC443" s="37"/>
      <c r="CD443" s="37"/>
      <c r="CE443" s="37"/>
      <c r="CF443" s="37"/>
      <c r="CG443" s="37"/>
      <c r="CH443" s="37"/>
      <c r="CI443" s="37"/>
      <c r="CJ443" s="37"/>
      <c r="CK443" s="37"/>
      <c r="CL443" s="37"/>
      <c r="CM443" s="37"/>
      <c r="CN443" s="37"/>
      <c r="CO443" s="37"/>
      <c r="CP443" s="37"/>
      <c r="CQ443" s="37"/>
      <c r="CR443" s="1"/>
      <c r="CS443" s="1"/>
      <c r="CT443" s="1"/>
      <c r="CU443" s="1"/>
    </row>
    <row r="444" spans="1:99" s="13" customFormat="1" ht="12" customHeight="1" x14ac:dyDescent="0.2">
      <c r="A444" s="65">
        <v>43903</v>
      </c>
      <c r="D444" s="61"/>
      <c r="E444" s="76"/>
      <c r="F444" s="60"/>
      <c r="G444" s="60"/>
      <c r="H444" s="60"/>
      <c r="I444" s="60"/>
      <c r="J444" s="60"/>
      <c r="K444" s="64"/>
      <c r="L444" s="64"/>
      <c r="M444" s="60"/>
      <c r="N444" s="60"/>
      <c r="O444" s="60"/>
      <c r="P444" s="60"/>
      <c r="Q444" s="60"/>
      <c r="R444" s="60"/>
      <c r="S444" s="60"/>
      <c r="T444" s="60"/>
      <c r="U444" s="60"/>
      <c r="V444" s="60"/>
      <c r="W444" s="60"/>
      <c r="X444" s="60"/>
      <c r="Y444" s="76"/>
      <c r="Z444" s="60"/>
      <c r="AA444" s="60"/>
      <c r="AB444" s="60"/>
      <c r="AC444" s="56"/>
      <c r="AD444" s="60"/>
      <c r="AE444" s="60"/>
      <c r="AF444" s="80"/>
      <c r="AG444" s="56"/>
      <c r="AH444" s="4"/>
      <c r="AI444" s="56"/>
      <c r="AJ444" s="109"/>
      <c r="AK444" s="56"/>
      <c r="AL444" s="56"/>
      <c r="AM444" s="56"/>
      <c r="AN444" s="56"/>
      <c r="AO444" s="82"/>
      <c r="AP444" s="82"/>
      <c r="AQ444" s="83"/>
      <c r="AR444" s="116"/>
      <c r="AS444" s="84"/>
      <c r="AT444" s="84"/>
      <c r="AU444" s="3"/>
      <c r="AV444" s="25">
        <v>60</v>
      </c>
      <c r="AW444" s="25">
        <v>86400</v>
      </c>
      <c r="AX444" s="25">
        <v>259200</v>
      </c>
      <c r="AY444" s="25">
        <v>604800</v>
      </c>
      <c r="AZ444" s="25">
        <v>864000</v>
      </c>
      <c r="BA444" s="25">
        <v>1209600</v>
      </c>
      <c r="BB444" s="43"/>
      <c r="BC444" s="37"/>
      <c r="BD444" s="37"/>
      <c r="BE444" s="37"/>
      <c r="BF444" s="37"/>
      <c r="BG444" s="37"/>
      <c r="BH444" s="37"/>
      <c r="BI444" s="37"/>
      <c r="BJ444" s="37"/>
      <c r="BK444" s="37"/>
      <c r="BL444" s="37"/>
      <c r="BM444" s="37"/>
      <c r="BN444" s="37"/>
      <c r="BO444" s="37"/>
      <c r="BP444" s="37"/>
      <c r="BQ444" s="37"/>
      <c r="BR444" s="37"/>
      <c r="BS444" s="37"/>
      <c r="BT444" s="37"/>
      <c r="BU444" s="37"/>
      <c r="BV444" s="37"/>
      <c r="BW444" s="37"/>
      <c r="BX444" s="37"/>
      <c r="BY444" s="37"/>
      <c r="BZ444" s="37"/>
      <c r="CA444" s="37"/>
      <c r="CB444" s="37"/>
      <c r="CC444" s="37"/>
      <c r="CD444" s="37"/>
      <c r="CE444" s="37"/>
      <c r="CF444" s="37"/>
      <c r="CG444" s="37"/>
      <c r="CH444" s="37"/>
      <c r="CI444" s="37"/>
      <c r="CJ444" s="37"/>
      <c r="CK444" s="37"/>
      <c r="CL444" s="37"/>
      <c r="CM444" s="37"/>
      <c r="CN444" s="37"/>
      <c r="CO444" s="37"/>
      <c r="CP444" s="37"/>
      <c r="CQ444" s="37"/>
      <c r="CR444" s="1"/>
      <c r="CS444" s="1"/>
      <c r="CT444" s="1"/>
      <c r="CU444" s="1"/>
    </row>
    <row r="445" spans="1:99" s="13" customFormat="1" ht="12" customHeight="1" x14ac:dyDescent="0.2">
      <c r="A445" s="65">
        <v>43903</v>
      </c>
      <c r="B445" s="1" t="s">
        <v>473</v>
      </c>
      <c r="C445" s="1" t="s">
        <v>474</v>
      </c>
      <c r="D445" s="60">
        <v>2020</v>
      </c>
      <c r="E445" s="76">
        <v>1</v>
      </c>
      <c r="F445" s="60">
        <v>144</v>
      </c>
      <c r="G445" s="60">
        <v>24</v>
      </c>
      <c r="H445" s="60"/>
      <c r="I445" s="60" t="s">
        <v>682</v>
      </c>
      <c r="J445" s="60" t="s">
        <v>475</v>
      </c>
      <c r="K445" s="60">
        <f>IF(J445="syllables",1,IF(J445="trigrams",2,IF(J445="strings",3,IF(J445="visual array",4,IF(J445="characters",5,IF(J445="letters",6,IF(J445="free forms",7,IF(J445="odors",8,IF(J445="words",9,IF(J445="pictures",10,IF(J445="object pictures",11,IF(J445="faces",12,IF(J445="names",13,IF(J445="idioms",14,IF(J445="grades",15,IF(J445="syllable-digit pairs",16,IF(J445="trigram-word pairs",17,IF(J445="word-digit pairs",18,IF(J445="English-Swahili pairs",19,IF(J445="spatial position",20,IF(J445="word pairs",21,IF(J445="word triads",22,IF(J445="generated words",23,IF(J445="word definition pairs",24,IF(J445="math problems",25,IF(J445="famous faces",26,IF(J445="famous names",27,IF(J445="famous voices",28,IF(J445="television programs",29,IF(J445="race horses",30,IF(J445="new vocabulary",31,IF(J445="sentences",32,IF(J445="concepts",33,IF(J445="ad slides",34,IF(J445="scenes",35,IF(J445="famous scenes",36,IF(J445="poems",37,IF(J445="walk",38,IF(J445="faces and events",39,IF(J445="events and names",40,IF(J445="flashbulb",41,IF(J445="stories",42,IF(J445="course material",43,IF(J445="autobiographical",44,IF(J445="novels",45,IF(J445="public events",46,"99"))))))))))))))))))))))))))))))))))))))))))))))</f>
        <v>32</v>
      </c>
      <c r="L445" s="60">
        <f>IF(J445="syllables",1,IF(J445="trigrams",1,IF(J445="strings",1,IF(J445="visual array",1,IF(J445="characters",1,IF(J445="letters",1,IF(J445="free forms",1,IF(J445="odors",2,IF(J445="words",2,IF(J445="pictures",2,IF(J445="object pictures",2,IF(J445="faces",2,IF(J445="names",2,IF(J445="idioms","2",IF(J445="grades",2,IF(J445="syllable-digit pairs",3,IF(J445="trigram-word pairs",3,IF(J445="word-digit pairs",3,IF(J445="English-Swahili pairs",3,IF(J445="spatial position",3,IF(J445="word pairs",4,IF(J445="word triads",4,IF(J445="generated words",4,IF(J445="word definition pairs",4,IF(J445="math problems",4,IF(J445="famous faces",4,IF(J445="famous names",4,IF(J445="famous voices",4,IF(J445="television programs",4,IF(J445="race horses",4,IF(J445="new vocabulary",4,IF(J445="sentences",5,IF(J445="concepts",5,IF(J445="ad slides",5,IF(J445="scenes",5,IF(J445="famous scenes",5,IF(J445="poems",6,IF(J445="walk",6,IF(J445="faces and events",6,IF(J445="events and names",6,IF(J445="flashbulb",7,IF(J445="stories",7,IF(J445="course material",7,IF(J445="autobiographical",7,IF(J445="novels",7,IF(J445="public events",7,"99"))))))))))))))))))))))))))))))))))))))))))))))</f>
        <v>5</v>
      </c>
      <c r="M445" s="60">
        <v>1</v>
      </c>
      <c r="N445" s="60">
        <v>4</v>
      </c>
      <c r="O445" s="60">
        <v>0</v>
      </c>
      <c r="P445" s="60"/>
      <c r="Q445" s="60" t="s">
        <v>34</v>
      </c>
      <c r="R445" s="60">
        <f>IF(Q445="Free Recall",1,IF(Q445="Cued Recall",2,IF(Q445="Recognition",3,IF(Q445="Multiple Choice",4,IF(Q445="Savings",5,IF(Q445="Stem Completion",6,IF(Q445="Fragment Completion",7,IF(Q445="anagram solution",8,IF(Q445="Matching",9,IF(Q445="Problem Solving",10,"99"))))))))))</f>
        <v>3</v>
      </c>
      <c r="S445" s="60" t="s">
        <v>15</v>
      </c>
      <c r="T445" s="60" t="s">
        <v>261</v>
      </c>
      <c r="U445" s="60">
        <f>IF(T445="within",1,0)</f>
        <v>0</v>
      </c>
      <c r="V445" s="60">
        <v>18</v>
      </c>
      <c r="W445" s="60">
        <f>F445*V445</f>
        <v>2592</v>
      </c>
      <c r="X445" s="60">
        <v>6</v>
      </c>
      <c r="Y445" s="76">
        <f>AV444</f>
        <v>60</v>
      </c>
      <c r="Z445" s="60" t="s">
        <v>476</v>
      </c>
      <c r="AA445" s="60">
        <v>1209600</v>
      </c>
      <c r="AB445" s="60" t="str">
        <f>IF(AA445&lt;60,"1",IF(AA445&lt;=43200,"2",IF(AA445&lt;=777600,"3","4")))</f>
        <v>4</v>
      </c>
      <c r="AC445" s="56">
        <f>AVERAGE(AV444:DA444)</f>
        <v>504010</v>
      </c>
      <c r="AD445" s="60" t="str">
        <f>IF(AC445&lt;60,"1",IF(AC445&lt;=43200,"2",IF(AC445&lt;=777600,"3","4")))</f>
        <v>3</v>
      </c>
      <c r="AE445" s="76">
        <f>AA445-Y445</f>
        <v>1209540</v>
      </c>
      <c r="AF445" s="80">
        <f>AV445</f>
        <v>0.90509259259259256</v>
      </c>
      <c r="AG445" s="56">
        <f>((AW445-AV445)+(AX445-AW445)+(AY445-AX445)+(AZ445-AY445)+(BA445-AZ445))/5</f>
        <v>-5.2546296296296299E-2</v>
      </c>
      <c r="AH445" s="4"/>
      <c r="AI445" s="56">
        <f>RSQ(AV445:BA445,AV444:BA444)</f>
        <v>0.87202622027826249</v>
      </c>
      <c r="AJ445" s="109">
        <f>SLOPE(AV445:BA445,AV444:BA444)</f>
        <v>-1.9579104073363328E-7</v>
      </c>
      <c r="AK445" s="56">
        <f>INTERCEPT(AV445:BA445,AV444:BA444)</f>
        <v>0.8700926794771956</v>
      </c>
      <c r="AL445" s="56">
        <f>INDEX(LINEST(LN(AV445:BA445),LN(AV444:BA444),TRUE,TRUE),3,1)</f>
        <v>0.63007191650754135</v>
      </c>
      <c r="AM445" s="56">
        <f>INDEX(LINEST(LN(AV445:BA445),LN(AV444:BA444)),1)</f>
        <v>-2.7351483884457073E-2</v>
      </c>
      <c r="AN445" s="56">
        <f>EXP(INDEX(LINEST(LN(AV445:BA445),LN(AV444:BA444)),1,2))</f>
        <v>1.048844636127074</v>
      </c>
      <c r="AO445" s="82">
        <f>INDEX(LINEST((AV445:BA445),LN(AV444:BA444),TRUE,TRUE),3,1)</f>
        <v>0.66329630856597788</v>
      </c>
      <c r="AP445" s="82">
        <f>INDEX(LINEST((AV445:BA445),LN(AV444:BA444)),1)</f>
        <v>-2.1646540915901034E-2</v>
      </c>
      <c r="AQ445" s="83">
        <f>INDEX(LINEST(LN(AV445:BA445),SQRT(AV444:BA444),TRUE,TRUE),3,1)</f>
        <v>0.91890438195743196</v>
      </c>
      <c r="AR445" s="116">
        <f>INDEX(LINEST(LN(AV445:BA445),SQRT((AV444:BA444))),1)</f>
        <v>-3.0119644439943603E-4</v>
      </c>
      <c r="AS445" s="84">
        <f>INDEX(LINEST(1/(AV445:BA445),1/(SQRT(AV444:BA444)),TRUE,TRUE),3,1)</f>
        <v>0.38362312279226013</v>
      </c>
      <c r="AT445" s="84">
        <f>INDEX(LINEST(1/(AV445:BA445),1/SQRT(AV444:BA444)),1)</f>
        <v>-2.0132458530117385</v>
      </c>
      <c r="AU445" s="3"/>
      <c r="AV445" s="53">
        <v>0.90509259259259256</v>
      </c>
      <c r="AW445" s="53">
        <v>0.86689814814814825</v>
      </c>
      <c r="AX445" s="53">
        <v>0.75115740740740744</v>
      </c>
      <c r="AY445" s="53">
        <v>0.76504629629629617</v>
      </c>
      <c r="AZ445" s="53">
        <v>0.69791666666666663</v>
      </c>
      <c r="BA445" s="53">
        <v>0.64236111111111105</v>
      </c>
      <c r="BB445" s="43"/>
      <c r="BC445" s="42"/>
      <c r="BD445" s="42"/>
      <c r="BE445" s="42"/>
      <c r="BF445" s="42"/>
      <c r="BG445" s="42"/>
      <c r="BH445" s="37"/>
      <c r="BI445" s="37"/>
      <c r="BJ445" s="37"/>
      <c r="BK445" s="37"/>
      <c r="BL445" s="37"/>
      <c r="BM445" s="37"/>
      <c r="BN445" s="37"/>
      <c r="BO445" s="37"/>
      <c r="BP445" s="37"/>
      <c r="BQ445" s="37"/>
      <c r="BR445" s="37"/>
      <c r="BS445" s="37"/>
      <c r="BT445" s="37"/>
      <c r="BU445" s="37"/>
      <c r="BV445" s="37"/>
      <c r="BW445" s="37"/>
      <c r="BX445" s="37"/>
      <c r="BY445" s="37"/>
      <c r="BZ445" s="37"/>
      <c r="CA445" s="37"/>
      <c r="CB445" s="37"/>
      <c r="CC445" s="37"/>
      <c r="CD445" s="37"/>
      <c r="CE445" s="37"/>
      <c r="CF445" s="37"/>
      <c r="CG445" s="37"/>
      <c r="CH445" s="37"/>
      <c r="CI445" s="37"/>
      <c r="CJ445" s="37"/>
      <c r="CK445" s="37"/>
      <c r="CL445" s="37"/>
      <c r="CM445" s="37"/>
      <c r="CN445" s="37"/>
      <c r="CO445" s="37"/>
      <c r="CP445" s="37"/>
      <c r="CQ445" s="37"/>
      <c r="CR445" s="1"/>
      <c r="CS445" s="1"/>
      <c r="CT445" s="1"/>
      <c r="CU445" s="1"/>
    </row>
    <row r="446" spans="1:99" s="13" customFormat="1" ht="12" customHeight="1" x14ac:dyDescent="0.2">
      <c r="A446" s="65">
        <v>43903</v>
      </c>
      <c r="D446" s="61"/>
      <c r="E446" s="76"/>
      <c r="F446" s="60"/>
      <c r="G446" s="60"/>
      <c r="H446" s="60"/>
      <c r="I446" s="60"/>
      <c r="J446" s="60"/>
      <c r="K446" s="64"/>
      <c r="L446" s="64"/>
      <c r="M446" s="60"/>
      <c r="N446" s="60"/>
      <c r="O446" s="60"/>
      <c r="P446" s="60"/>
      <c r="Q446" s="60"/>
      <c r="R446" s="60"/>
      <c r="S446" s="60"/>
      <c r="T446" s="60"/>
      <c r="U446" s="60"/>
      <c r="V446" s="60"/>
      <c r="W446" s="60"/>
      <c r="X446" s="60"/>
      <c r="Y446" s="76"/>
      <c r="Z446" s="60"/>
      <c r="AA446" s="60"/>
      <c r="AB446" s="60"/>
      <c r="AC446" s="56"/>
      <c r="AD446" s="60"/>
      <c r="AE446" s="60"/>
      <c r="AF446" s="80"/>
      <c r="AG446" s="56"/>
      <c r="AH446" s="4"/>
      <c r="AI446" s="56"/>
      <c r="AJ446" s="109"/>
      <c r="AK446" s="56"/>
      <c r="AL446" s="56"/>
      <c r="AM446" s="56"/>
      <c r="AN446" s="56"/>
      <c r="AO446" s="82"/>
      <c r="AP446" s="82"/>
      <c r="AQ446" s="83"/>
      <c r="AR446" s="116"/>
      <c r="AS446" s="84"/>
      <c r="AT446" s="84"/>
      <c r="AU446" s="3"/>
      <c r="AV446" s="25">
        <v>60</v>
      </c>
      <c r="AW446" s="25">
        <v>86400</v>
      </c>
      <c r="AX446" s="25">
        <v>259200</v>
      </c>
      <c r="AY446" s="25">
        <v>604800</v>
      </c>
      <c r="AZ446" s="25">
        <v>864000</v>
      </c>
      <c r="BA446" s="25">
        <v>1209600</v>
      </c>
      <c r="BB446" s="43"/>
      <c r="BC446" s="37"/>
      <c r="BD446" s="37"/>
      <c r="BE446" s="37"/>
      <c r="BF446" s="37"/>
      <c r="BG446" s="37"/>
      <c r="BH446" s="37"/>
      <c r="BI446" s="37"/>
      <c r="BJ446" s="37"/>
      <c r="BK446" s="37"/>
      <c r="BL446" s="37"/>
      <c r="BM446" s="37"/>
      <c r="BN446" s="37"/>
      <c r="BO446" s="37"/>
      <c r="BP446" s="37"/>
      <c r="BQ446" s="37"/>
      <c r="BR446" s="37"/>
      <c r="BS446" s="37"/>
      <c r="BT446" s="37"/>
      <c r="BU446" s="37"/>
      <c r="BV446" s="37"/>
      <c r="BW446" s="37"/>
      <c r="BX446" s="37"/>
      <c r="BY446" s="37"/>
      <c r="BZ446" s="37"/>
      <c r="CA446" s="37"/>
      <c r="CB446" s="37"/>
      <c r="CC446" s="37"/>
      <c r="CD446" s="37"/>
      <c r="CE446" s="37"/>
      <c r="CF446" s="37"/>
      <c r="CG446" s="37"/>
      <c r="CH446" s="37"/>
      <c r="CI446" s="37"/>
      <c r="CJ446" s="37"/>
      <c r="CK446" s="37"/>
      <c r="CL446" s="37"/>
      <c r="CM446" s="37"/>
      <c r="CN446" s="37"/>
      <c r="CO446" s="37"/>
      <c r="CP446" s="37"/>
      <c r="CQ446" s="37"/>
      <c r="CR446" s="1"/>
      <c r="CS446" s="1"/>
      <c r="CT446" s="1"/>
      <c r="CU446" s="1"/>
    </row>
    <row r="447" spans="1:99" s="13" customFormat="1" ht="12" customHeight="1" x14ac:dyDescent="0.2">
      <c r="A447" s="65">
        <v>43903</v>
      </c>
      <c r="B447" s="1" t="s">
        <v>473</v>
      </c>
      <c r="C447" s="1" t="s">
        <v>474</v>
      </c>
      <c r="D447" s="60">
        <v>2020</v>
      </c>
      <c r="E447" s="76">
        <v>1</v>
      </c>
      <c r="F447" s="60">
        <v>144</v>
      </c>
      <c r="G447" s="60">
        <v>24</v>
      </c>
      <c r="H447" s="60"/>
      <c r="I447" s="60" t="s">
        <v>683</v>
      </c>
      <c r="J447" s="60" t="s">
        <v>475</v>
      </c>
      <c r="K447" s="60">
        <f>IF(J447="syllables",1,IF(J447="trigrams",2,IF(J447="strings",3,IF(J447="visual array",4,IF(J447="characters",5,IF(J447="letters",6,IF(J447="free forms",7,IF(J447="odors",8,IF(J447="words",9,IF(J447="pictures",10,IF(J447="object pictures",11,IF(J447="faces",12,IF(J447="names",13,IF(J447="idioms",14,IF(J447="grades",15,IF(J447="syllable-digit pairs",16,IF(J447="trigram-word pairs",17,IF(J447="word-digit pairs",18,IF(J447="English-Swahili pairs",19,IF(J447="spatial position",20,IF(J447="word pairs",21,IF(J447="word triads",22,IF(J447="generated words",23,IF(J447="word definition pairs",24,IF(J447="math problems",25,IF(J447="famous faces",26,IF(J447="famous names",27,IF(J447="famous voices",28,IF(J447="television programs",29,IF(J447="race horses",30,IF(J447="new vocabulary",31,IF(J447="sentences",32,IF(J447="concepts",33,IF(J447="ad slides",34,IF(J447="scenes",35,IF(J447="famous scenes",36,IF(J447="poems",37,IF(J447="walk",38,IF(J447="faces and events",39,IF(J447="events and names",40,IF(J447="flashbulb",41,IF(J447="stories",42,IF(J447="course material",43,IF(J447="autobiographical",44,IF(J447="novels",45,IF(J447="public events",46,"99"))))))))))))))))))))))))))))))))))))))))))))))</f>
        <v>32</v>
      </c>
      <c r="L447" s="60">
        <f>IF(J447="syllables",1,IF(J447="trigrams",1,IF(J447="strings",1,IF(J447="visual array",1,IF(J447="characters",1,IF(J447="letters",1,IF(J447="free forms",1,IF(J447="odors",2,IF(J447="words",2,IF(J447="pictures",2,IF(J447="object pictures",2,IF(J447="faces",2,IF(J447="names",2,IF(J447="idioms","2",IF(J447="grades",2,IF(J447="syllable-digit pairs",3,IF(J447="trigram-word pairs",3,IF(J447="word-digit pairs",3,IF(J447="English-Swahili pairs",3,IF(J447="spatial position",3,IF(J447="word pairs",4,IF(J447="word triads",4,IF(J447="generated words",4,IF(J447="word definition pairs",4,IF(J447="math problems",4,IF(J447="famous faces",4,IF(J447="famous names",4,IF(J447="famous voices",4,IF(J447="television programs",4,IF(J447="race horses",4,IF(J447="new vocabulary",4,IF(J447="sentences",5,IF(J447="concepts",5,IF(J447="ad slides",5,IF(J447="scenes",5,IF(J447="famous scenes",5,IF(J447="poems",6,IF(J447="walk",6,IF(J447="faces and events",6,IF(J447="events and names",6,IF(J447="flashbulb",7,IF(J447="stories",7,IF(J447="course material",7,IF(J447="autobiographical",7,IF(J447="novels",7,IF(J447="public events",7,"99"))))))))))))))))))))))))))))))))))))))))))))))</f>
        <v>5</v>
      </c>
      <c r="M447" s="60">
        <v>1</v>
      </c>
      <c r="N447" s="60">
        <v>4</v>
      </c>
      <c r="O447" s="60">
        <v>0</v>
      </c>
      <c r="P447" s="60"/>
      <c r="Q447" s="60" t="s">
        <v>34</v>
      </c>
      <c r="R447" s="60">
        <f>IF(Q447="Free Recall",1,IF(Q447="Cued Recall",2,IF(Q447="Recognition",3,IF(Q447="Multiple Choice",4,IF(Q447="Savings",5,IF(Q447="Stem Completion",6,IF(Q447="Fragment Completion",7,IF(Q447="anagram solution",8,IF(Q447="Matching",9,IF(Q447="Problem Solving",10,"99"))))))))))</f>
        <v>3</v>
      </c>
      <c r="S447" s="60" t="s">
        <v>15</v>
      </c>
      <c r="T447" s="60" t="s">
        <v>261</v>
      </c>
      <c r="U447" s="60">
        <f>IF(T447="within",1,0)</f>
        <v>0</v>
      </c>
      <c r="V447" s="60">
        <v>18</v>
      </c>
      <c r="W447" s="60">
        <f>F447*V447</f>
        <v>2592</v>
      </c>
      <c r="X447" s="60">
        <v>6</v>
      </c>
      <c r="Y447" s="76">
        <f>AV446</f>
        <v>60</v>
      </c>
      <c r="Z447" s="60" t="s">
        <v>476</v>
      </c>
      <c r="AA447" s="60">
        <v>1209600</v>
      </c>
      <c r="AB447" s="60" t="str">
        <f>IF(AA447&lt;60,"1",IF(AA447&lt;=43200,"2",IF(AA447&lt;=777600,"3","4")))</f>
        <v>4</v>
      </c>
      <c r="AC447" s="56">
        <f>AVERAGE(AV446:DA446)</f>
        <v>504010</v>
      </c>
      <c r="AD447" s="60" t="str">
        <f>IF(AC447&lt;60,"1",IF(AC447&lt;=43200,"2",IF(AC447&lt;=777600,"3","4")))</f>
        <v>3</v>
      </c>
      <c r="AE447" s="76">
        <f>AA447-Y447</f>
        <v>1209540</v>
      </c>
      <c r="AF447" s="80">
        <f>AV447</f>
        <v>0.97106481481481455</v>
      </c>
      <c r="AG447" s="56">
        <f>((AW447-AV447)+(AX447-AW447)+(AY447-AX447)+(AZ447-AY447)+(BA447-AZ447))/5</f>
        <v>-3.6805555555555536E-2</v>
      </c>
      <c r="AH447" s="4"/>
      <c r="AI447" s="56">
        <f>RSQ(AV447:BA447,AV446:BA446)</f>
        <v>0.95813308557581955</v>
      </c>
      <c r="AJ447" s="109">
        <f>SLOPE(AV447:BA447,AV446:BA446)</f>
        <v>-1.535308651753127E-7</v>
      </c>
      <c r="AK447" s="56">
        <f>INTERCEPT(AV447:BA447,AV446:BA446)</f>
        <v>0.95508170864095987</v>
      </c>
      <c r="AL447" s="56">
        <f>INDEX(LINEST(LN(AV447:BA447),LN(AV446:BA446),TRUE,TRUE),3,1)</f>
        <v>0.60763874959763764</v>
      </c>
      <c r="AM447" s="56">
        <f>INDEX(LINEST(LN(AV447:BA447),LN(AV446:BA446)),1)</f>
        <v>-1.7680539009255279E-2</v>
      </c>
      <c r="AN447" s="56">
        <f>EXP(INDEX(LINEST(LN(AV447:BA447),LN(AV446:BA446)),1,2))</f>
        <v>1.072103200841718</v>
      </c>
      <c r="AO447" s="82">
        <f>INDEX(LINEST((AV447:BA447),LN(AV446:BA446),TRUE,TRUE),3,1)</f>
        <v>0.62571672665906986</v>
      </c>
      <c r="AP447" s="82">
        <f>INDEX(LINEST((AV447:BA447),LN(AV446:BA446)),1)</f>
        <v>-1.5728175060977869E-2</v>
      </c>
      <c r="AQ447" s="83">
        <f>INDEX(LINEST(LN(AV447:BA447),SQRT(AV446:BA446),TRUE,TRUE),3,1)</f>
        <v>0.9754830067836785</v>
      </c>
      <c r="AR447" s="116">
        <f>INDEX(LINEST(LN(AV447:BA447),SQRT((AV446:BA446))),1)</f>
        <v>-2.0427323759287933E-4</v>
      </c>
      <c r="AS447" s="84">
        <f>INDEX(LINEST(1/(AV447:BA447),1/(SQRT(AV446:BA446)),TRUE,TRUE),3,1)</f>
        <v>0.35969147120495071</v>
      </c>
      <c r="AT447" s="84">
        <f>INDEX(LINEST(1/(AV447:BA447),1/SQRT(AV446:BA446)),1)</f>
        <v>-1.1208027037702282</v>
      </c>
      <c r="AU447" s="3"/>
      <c r="AV447" s="53">
        <v>0.97106481481481455</v>
      </c>
      <c r="AW447" s="53">
        <v>0.94444444444444431</v>
      </c>
      <c r="AX447" s="53">
        <v>0.90856481481481477</v>
      </c>
      <c r="AY447" s="53">
        <v>0.84027777777777779</v>
      </c>
      <c r="AZ447" s="53">
        <v>0.81481481481481488</v>
      </c>
      <c r="BA447" s="53">
        <v>0.78703703703703687</v>
      </c>
      <c r="BB447" s="43"/>
      <c r="BC447" s="37"/>
      <c r="BD447" s="37"/>
      <c r="BE447" s="37"/>
      <c r="BF447" s="37"/>
      <c r="BG447" s="37"/>
      <c r="BH447" s="37"/>
      <c r="BI447" s="37"/>
      <c r="BJ447" s="37"/>
      <c r="BK447" s="37"/>
      <c r="BL447" s="37"/>
      <c r="BM447" s="37"/>
      <c r="BN447" s="37"/>
      <c r="BO447" s="37"/>
      <c r="BP447" s="37"/>
      <c r="BQ447" s="37"/>
      <c r="BR447" s="37"/>
      <c r="BS447" s="37"/>
      <c r="BT447" s="37"/>
      <c r="BU447" s="37"/>
      <c r="BV447" s="37"/>
      <c r="BW447" s="37"/>
      <c r="BX447" s="37"/>
      <c r="BY447" s="37"/>
      <c r="BZ447" s="37"/>
      <c r="CA447" s="37"/>
      <c r="CB447" s="37"/>
      <c r="CC447" s="37"/>
      <c r="CD447" s="37"/>
      <c r="CE447" s="37"/>
      <c r="CF447" s="37"/>
      <c r="CG447" s="37"/>
      <c r="CH447" s="37"/>
      <c r="CI447" s="37"/>
      <c r="CJ447" s="37"/>
      <c r="CK447" s="37"/>
      <c r="CL447" s="37"/>
      <c r="CM447" s="37"/>
      <c r="CN447" s="37"/>
      <c r="CO447" s="37"/>
      <c r="CP447" s="37"/>
      <c r="CQ447" s="37"/>
      <c r="CR447" s="1"/>
      <c r="CS447" s="1"/>
      <c r="CT447" s="1"/>
      <c r="CU447" s="1"/>
    </row>
    <row r="448" spans="1:99" s="13" customFormat="1" ht="12" customHeight="1" x14ac:dyDescent="0.2">
      <c r="A448" s="65">
        <v>43903</v>
      </c>
      <c r="D448" s="61"/>
      <c r="E448" s="76"/>
      <c r="F448" s="60"/>
      <c r="G448" s="60"/>
      <c r="H448" s="60"/>
      <c r="I448" s="60"/>
      <c r="J448" s="60"/>
      <c r="K448" s="64"/>
      <c r="L448" s="64"/>
      <c r="M448" s="60"/>
      <c r="N448" s="61"/>
      <c r="O448" s="60"/>
      <c r="P448" s="60"/>
      <c r="Q448" s="60"/>
      <c r="R448" s="60"/>
      <c r="S448" s="60"/>
      <c r="T448" s="60"/>
      <c r="U448" s="60"/>
      <c r="V448" s="60"/>
      <c r="W448" s="60"/>
      <c r="X448" s="60"/>
      <c r="Y448" s="76"/>
      <c r="Z448" s="60"/>
      <c r="AA448" s="60"/>
      <c r="AB448" s="60"/>
      <c r="AC448" s="56"/>
      <c r="AD448" s="60"/>
      <c r="AE448" s="60"/>
      <c r="AF448" s="80"/>
      <c r="AG448" s="56"/>
      <c r="AH448" s="4"/>
      <c r="AI448" s="56"/>
      <c r="AJ448" s="109"/>
      <c r="AK448" s="56"/>
      <c r="AL448" s="56"/>
      <c r="AM448" s="56"/>
      <c r="AN448" s="56"/>
      <c r="AO448" s="82"/>
      <c r="AP448" s="82"/>
      <c r="AQ448" s="83"/>
      <c r="AR448" s="116"/>
      <c r="AS448" s="84"/>
      <c r="AT448" s="84"/>
      <c r="AU448" s="3"/>
      <c r="AV448" s="25">
        <v>60</v>
      </c>
      <c r="AW448" s="25">
        <v>86400</v>
      </c>
      <c r="AX448" s="25">
        <v>259200</v>
      </c>
      <c r="AY448" s="25">
        <v>604800</v>
      </c>
      <c r="AZ448" s="25">
        <v>864000</v>
      </c>
      <c r="BA448" s="25">
        <v>1209600</v>
      </c>
      <c r="BB448" s="43"/>
      <c r="BC448" s="37"/>
      <c r="BD448" s="37"/>
      <c r="BE448" s="37"/>
      <c r="BF448" s="37"/>
      <c r="BG448" s="37"/>
      <c r="BH448" s="37"/>
      <c r="BI448" s="37"/>
      <c r="BJ448" s="37"/>
      <c r="BK448" s="37"/>
      <c r="BL448" s="37"/>
      <c r="BM448" s="37"/>
      <c r="BN448" s="37"/>
      <c r="BO448" s="37"/>
      <c r="BP448" s="37"/>
      <c r="BQ448" s="37"/>
      <c r="BR448" s="37"/>
      <c r="BS448" s="37"/>
      <c r="BT448" s="37"/>
      <c r="BU448" s="37"/>
      <c r="BV448" s="37"/>
      <c r="BW448" s="37"/>
      <c r="BX448" s="37"/>
      <c r="BY448" s="37"/>
      <c r="BZ448" s="37"/>
      <c r="CA448" s="37"/>
      <c r="CB448" s="37"/>
      <c r="CC448" s="37"/>
      <c r="CD448" s="37"/>
      <c r="CE448" s="37"/>
      <c r="CF448" s="37"/>
      <c r="CG448" s="37"/>
      <c r="CH448" s="37"/>
      <c r="CI448" s="37"/>
      <c r="CJ448" s="37"/>
      <c r="CK448" s="37"/>
      <c r="CL448" s="37"/>
      <c r="CM448" s="37"/>
      <c r="CN448" s="37"/>
      <c r="CO448" s="37"/>
      <c r="CP448" s="37"/>
      <c r="CQ448" s="37"/>
      <c r="CR448" s="1"/>
      <c r="CS448" s="1"/>
      <c r="CT448" s="1"/>
      <c r="CU448" s="1"/>
    </row>
    <row r="449" spans="1:99" s="13" customFormat="1" ht="12" customHeight="1" x14ac:dyDescent="0.2">
      <c r="A449" s="65">
        <v>43903</v>
      </c>
      <c r="B449" s="1" t="s">
        <v>473</v>
      </c>
      <c r="C449" s="1" t="s">
        <v>474</v>
      </c>
      <c r="D449" s="60">
        <v>2020</v>
      </c>
      <c r="E449" s="76">
        <v>2</v>
      </c>
      <c r="F449" s="60">
        <v>144</v>
      </c>
      <c r="G449" s="60">
        <v>24</v>
      </c>
      <c r="H449" s="60"/>
      <c r="I449" s="60" t="s">
        <v>649</v>
      </c>
      <c r="J449" s="60" t="s">
        <v>475</v>
      </c>
      <c r="K449" s="60">
        <f>IF(J449="syllables",1,IF(J449="trigrams",2,IF(J449="strings",3,IF(J449="visual array",4,IF(J449="characters",5,IF(J449="letters",6,IF(J449="free forms",7,IF(J449="odors",8,IF(J449="words",9,IF(J449="pictures",10,IF(J449="object pictures",11,IF(J449="faces",12,IF(J449="names",13,IF(J449="idioms",14,IF(J449="grades",15,IF(J449="syllable-digit pairs",16,IF(J449="trigram-word pairs",17,IF(J449="word-digit pairs",18,IF(J449="English-Swahili pairs",19,IF(J449="spatial position",20,IF(J449="word pairs",21,IF(J449="word triads",22,IF(J449="generated words",23,IF(J449="word definition pairs",24,IF(J449="math problems",25,IF(J449="famous faces",26,IF(J449="famous names",27,IF(J449="famous voices",28,IF(J449="television programs",29,IF(J449="race horses",30,IF(J449="new vocabulary",31,IF(J449="sentences",32,IF(J449="concepts",33,IF(J449="ad slides",34,IF(J449="scenes",35,IF(J449="famous scenes",36,IF(J449="poems",37,IF(J449="walk",38,IF(J449="faces and events",39,IF(J449="events and names",40,IF(J449="flashbulb",41,IF(J449="stories",42,IF(J449="course material",43,IF(J449="autobiographical",44,IF(J449="novels",45,IF(J449="public events",46,"99"))))))))))))))))))))))))))))))))))))))))))))))</f>
        <v>32</v>
      </c>
      <c r="L449" s="60">
        <f>IF(J449="syllables",1,IF(J449="trigrams",1,IF(J449="strings",1,IF(J449="visual array",1,IF(J449="characters",1,IF(J449="letters",1,IF(J449="free forms",1,IF(J449="odors",2,IF(J449="words",2,IF(J449="pictures",2,IF(J449="object pictures",2,IF(J449="faces",2,IF(J449="names",2,IF(J449="idioms","2",IF(J449="grades",2,IF(J449="syllable-digit pairs",3,IF(J449="trigram-word pairs",3,IF(J449="word-digit pairs",3,IF(J449="English-Swahili pairs",3,IF(J449="spatial position",3,IF(J449="word pairs",4,IF(J449="word triads",4,IF(J449="generated words",4,IF(J449="word definition pairs",4,IF(J449="math problems",4,IF(J449="famous faces",4,IF(J449="famous names",4,IF(J449="famous voices",4,IF(J449="television programs",4,IF(J449="race horses",4,IF(J449="new vocabulary",4,IF(J449="sentences",5,IF(J449="concepts",5,IF(J449="ad slides",5,IF(J449="scenes",5,IF(J449="famous scenes",5,IF(J449="poems",6,IF(J449="walk",6,IF(J449="faces and events",6,IF(J449="events and names",6,IF(J449="flashbulb",7,IF(J449="stories",7,IF(J449="course material",7,IF(J449="autobiographical",7,IF(J449="novels",7,IF(J449="public events",7,"99"))))))))))))))))))))))))))))))))))))))))))))))</f>
        <v>5</v>
      </c>
      <c r="M449" s="60">
        <v>0</v>
      </c>
      <c r="N449" s="60">
        <v>2</v>
      </c>
      <c r="O449" s="60">
        <v>0</v>
      </c>
      <c r="P449" s="60"/>
      <c r="Q449" s="60" t="s">
        <v>34</v>
      </c>
      <c r="R449" s="60">
        <f>IF(Q449="Free Recall",1,IF(Q449="Cued Recall",2,IF(Q449="Recognition",3,IF(Q449="Multiple Choice",4,IF(Q449="Savings",5,IF(Q449="Stem Completion",6,IF(Q449="Fragment Completion",7,IF(Q449="anagram solution",8,IF(Q449="Matching",9,IF(Q449="Problem Solving",10,"99"))))))))))</f>
        <v>3</v>
      </c>
      <c r="S449" s="60" t="s">
        <v>15</v>
      </c>
      <c r="T449" s="60" t="s">
        <v>261</v>
      </c>
      <c r="U449" s="60">
        <f>IF(T449="within",1,0)</f>
        <v>0</v>
      </c>
      <c r="V449" s="60">
        <v>18</v>
      </c>
      <c r="W449" s="60">
        <f>F449*V449</f>
        <v>2592</v>
      </c>
      <c r="X449" s="60">
        <v>6</v>
      </c>
      <c r="Y449" s="76">
        <f>AV448</f>
        <v>60</v>
      </c>
      <c r="Z449" s="60" t="s">
        <v>476</v>
      </c>
      <c r="AA449" s="60">
        <v>1209600</v>
      </c>
      <c r="AB449" s="60" t="str">
        <f>IF(AA449&lt;60,"1",IF(AA449&lt;=43200,"2",IF(AA449&lt;=777600,"3","4")))</f>
        <v>4</v>
      </c>
      <c r="AC449" s="56">
        <f>AVERAGE(AV448:DA448)</f>
        <v>504010</v>
      </c>
      <c r="AD449" s="60" t="str">
        <f>IF(AC449&lt;60,"1",IF(AC449&lt;=43200,"2",IF(AC449&lt;=777600,"3","4")))</f>
        <v>3</v>
      </c>
      <c r="AE449" s="76">
        <f>AA449-Y449</f>
        <v>1209540</v>
      </c>
      <c r="AF449" s="80">
        <f>AV449</f>
        <v>0.82754629629629639</v>
      </c>
      <c r="AG449" s="56">
        <f>((AW449-AV449)+(AX449-AW449)+(AY449-AX449)+(AZ449-AY449)+(BA449-AZ449))/5</f>
        <v>-5.3009259259259277E-2</v>
      </c>
      <c r="AH449" s="4"/>
      <c r="AI449" s="56">
        <f>RSQ(AV449:BA449,AV448:BA448)</f>
        <v>0.53376568844814343</v>
      </c>
      <c r="AJ449" s="109">
        <f>SLOPE(AV449:BA449,AV448:BA448)</f>
        <v>-1.4143239085669429E-7</v>
      </c>
      <c r="AK449" s="56">
        <f>INTERCEPT(AV449:BA449,AV448:BA448)</f>
        <v>0.72116759857494184</v>
      </c>
      <c r="AL449" s="56">
        <f>INDEX(LINEST(LN(AV449:BA449),LN(AV448:BA448),TRUE,TRUE),3,1)</f>
        <v>0.92310888803363178</v>
      </c>
      <c r="AM449" s="56">
        <f>INDEX(LINEST(LN(AV449:BA449),LN(AV448:BA448)),1)</f>
        <v>-3.3739237523484067E-2</v>
      </c>
      <c r="AN449" s="56">
        <f>EXP(INDEX(LINEST(LN(AV449:BA449),LN(AV448:BA448)),1,2))</f>
        <v>0.95028288543450923</v>
      </c>
      <c r="AO449" s="82">
        <f>INDEX(LINEST((AV449:BA449),LN(AV448:BA448),TRUE,TRUE),3,1)</f>
        <v>0.94144641211640723</v>
      </c>
      <c r="AP449" s="82">
        <f>INDEX(LINEST((AV449:BA449),LN(AV448:BA448)),1)</f>
        <v>-2.3811021776241423E-2</v>
      </c>
      <c r="AQ449" s="83">
        <f>INDEX(LINEST(LN(AV449:BA449),SQRT(AV448:BA448),TRUE,TRUE),3,1)</f>
        <v>0.74666804387500796</v>
      </c>
      <c r="AR449" s="116">
        <f>INDEX(LINEST(LN(AV449:BA449),SQRT((AV448:BA448))),1)</f>
        <v>-2.7669507418438079E-4</v>
      </c>
      <c r="AS449" s="84">
        <f>INDEX(LINEST(1/(AV449:BA449),1/(SQRT(AV448:BA448)),TRUE,TRUE),3,1)</f>
        <v>0.82701769821623017</v>
      </c>
      <c r="AT449" s="84">
        <f>INDEX(LINEST(1/(AV449:BA449),1/SQRT(AV448:BA448)),1)</f>
        <v>-3.3360934431139566</v>
      </c>
      <c r="AU449" s="3"/>
      <c r="AV449" s="53">
        <v>0.82754629629629639</v>
      </c>
      <c r="AW449" s="53">
        <v>0.62615740740740733</v>
      </c>
      <c r="AX449" s="53">
        <v>0.65162037037037046</v>
      </c>
      <c r="AY449" s="53">
        <v>0.62268518518518523</v>
      </c>
      <c r="AZ449" s="53">
        <v>0.60879629629629639</v>
      </c>
      <c r="BA449" s="53">
        <v>0.5625</v>
      </c>
      <c r="BB449" s="43"/>
      <c r="BC449" s="37"/>
      <c r="BD449" s="37"/>
      <c r="BE449" s="37"/>
      <c r="BF449" s="37"/>
      <c r="BG449" s="37"/>
      <c r="BH449" s="37"/>
      <c r="BI449" s="37"/>
      <c r="BJ449" s="37"/>
      <c r="BK449" s="37"/>
      <c r="BL449" s="37"/>
      <c r="BM449" s="37"/>
      <c r="BN449" s="37"/>
      <c r="BO449" s="37"/>
      <c r="BP449" s="37"/>
      <c r="BQ449" s="37"/>
      <c r="BR449" s="37"/>
      <c r="BS449" s="37"/>
      <c r="BT449" s="37"/>
      <c r="BU449" s="37"/>
      <c r="BV449" s="37"/>
      <c r="BW449" s="37"/>
      <c r="BX449" s="37"/>
      <c r="BY449" s="37"/>
      <c r="BZ449" s="37"/>
      <c r="CA449" s="37"/>
      <c r="CB449" s="37"/>
      <c r="CC449" s="37"/>
      <c r="CD449" s="37"/>
      <c r="CE449" s="37"/>
      <c r="CF449" s="37"/>
      <c r="CG449" s="37"/>
      <c r="CH449" s="37"/>
      <c r="CI449" s="37"/>
      <c r="CJ449" s="37"/>
      <c r="CK449" s="37"/>
      <c r="CL449" s="37"/>
      <c r="CM449" s="37"/>
      <c r="CN449" s="37"/>
      <c r="CO449" s="37"/>
      <c r="CP449" s="37"/>
      <c r="CQ449" s="37"/>
      <c r="CR449" s="1"/>
      <c r="CS449" s="1"/>
      <c r="CT449" s="1"/>
      <c r="CU449" s="1"/>
    </row>
    <row r="450" spans="1:99" s="13" customFormat="1" ht="12" customHeight="1" x14ac:dyDescent="0.2">
      <c r="A450" s="65">
        <v>43903</v>
      </c>
      <c r="D450" s="61"/>
      <c r="E450" s="76"/>
      <c r="F450" s="60"/>
      <c r="G450" s="60"/>
      <c r="H450" s="60"/>
      <c r="I450" s="60"/>
      <c r="J450" s="60"/>
      <c r="K450" s="64"/>
      <c r="L450" s="64"/>
      <c r="M450" s="60"/>
      <c r="N450" s="60"/>
      <c r="O450" s="60"/>
      <c r="P450" s="60"/>
      <c r="Q450" s="60"/>
      <c r="R450" s="60"/>
      <c r="S450" s="60"/>
      <c r="T450" s="60"/>
      <c r="U450" s="60"/>
      <c r="V450" s="60"/>
      <c r="W450" s="60"/>
      <c r="X450" s="60"/>
      <c r="Y450" s="76"/>
      <c r="Z450" s="60"/>
      <c r="AA450" s="60"/>
      <c r="AB450" s="60"/>
      <c r="AC450" s="56"/>
      <c r="AD450" s="60"/>
      <c r="AE450" s="60"/>
      <c r="AF450" s="80"/>
      <c r="AG450" s="56"/>
      <c r="AH450" s="4"/>
      <c r="AI450" s="56"/>
      <c r="AJ450" s="109"/>
      <c r="AK450" s="56"/>
      <c r="AL450" s="56"/>
      <c r="AM450" s="56"/>
      <c r="AN450" s="56"/>
      <c r="AO450" s="82"/>
      <c r="AP450" s="82"/>
      <c r="AQ450" s="83"/>
      <c r="AR450" s="116"/>
      <c r="AS450" s="84"/>
      <c r="AT450" s="84"/>
      <c r="AU450" s="3"/>
      <c r="AV450" s="25">
        <v>60</v>
      </c>
      <c r="AW450" s="25">
        <v>86400</v>
      </c>
      <c r="AX450" s="25">
        <v>259200</v>
      </c>
      <c r="AY450" s="25">
        <v>604800</v>
      </c>
      <c r="AZ450" s="25">
        <v>864000</v>
      </c>
      <c r="BA450" s="25">
        <v>1209600</v>
      </c>
      <c r="BB450" s="43"/>
      <c r="BC450" s="37"/>
      <c r="BD450" s="37"/>
      <c r="BE450" s="37"/>
      <c r="BF450" s="37"/>
      <c r="BG450" s="37"/>
      <c r="BH450" s="37"/>
      <c r="BI450" s="37"/>
      <c r="BJ450" s="37"/>
      <c r="BK450" s="37"/>
      <c r="BL450" s="37"/>
      <c r="BM450" s="37"/>
      <c r="BN450" s="37"/>
      <c r="BO450" s="37"/>
      <c r="BP450" s="37"/>
      <c r="BQ450" s="37"/>
      <c r="BR450" s="37"/>
      <c r="BS450" s="37"/>
      <c r="BT450" s="37"/>
      <c r="BU450" s="37"/>
      <c r="BV450" s="37"/>
      <c r="BW450" s="37"/>
      <c r="BX450" s="37"/>
      <c r="BY450" s="37"/>
      <c r="BZ450" s="37"/>
      <c r="CA450" s="37"/>
      <c r="CB450" s="37"/>
      <c r="CC450" s="37"/>
      <c r="CD450" s="37"/>
      <c r="CE450" s="37"/>
      <c r="CF450" s="37"/>
      <c r="CG450" s="37"/>
      <c r="CH450" s="37"/>
      <c r="CI450" s="37"/>
      <c r="CJ450" s="37"/>
      <c r="CK450" s="37"/>
      <c r="CL450" s="37"/>
      <c r="CM450" s="37"/>
      <c r="CN450" s="37"/>
      <c r="CO450" s="37"/>
      <c r="CP450" s="37"/>
      <c r="CQ450" s="37"/>
      <c r="CR450" s="1"/>
      <c r="CS450" s="1"/>
      <c r="CT450" s="1"/>
      <c r="CU450" s="1"/>
    </row>
    <row r="451" spans="1:99" s="13" customFormat="1" ht="12" customHeight="1" x14ac:dyDescent="0.2">
      <c r="A451" s="65">
        <v>43903</v>
      </c>
      <c r="B451" s="1" t="s">
        <v>473</v>
      </c>
      <c r="C451" s="1" t="s">
        <v>474</v>
      </c>
      <c r="D451" s="60">
        <v>2020</v>
      </c>
      <c r="E451" s="76">
        <v>2</v>
      </c>
      <c r="F451" s="60">
        <v>144</v>
      </c>
      <c r="G451" s="60">
        <v>24</v>
      </c>
      <c r="H451" s="60"/>
      <c r="I451" s="60" t="s">
        <v>685</v>
      </c>
      <c r="J451" s="60" t="s">
        <v>475</v>
      </c>
      <c r="K451" s="60">
        <f>IF(J451="syllables",1,IF(J451="trigrams",2,IF(J451="strings",3,IF(J451="visual array",4,IF(J451="characters",5,IF(J451="letters",6,IF(J451="free forms",7,IF(J451="odors",8,IF(J451="words",9,IF(J451="pictures",10,IF(J451="object pictures",11,IF(J451="faces",12,IF(J451="names",13,IF(J451="idioms",14,IF(J451="grades",15,IF(J451="syllable-digit pairs",16,IF(J451="trigram-word pairs",17,IF(J451="word-digit pairs",18,IF(J451="English-Swahili pairs",19,IF(J451="spatial position",20,IF(J451="word pairs",21,IF(J451="word triads",22,IF(J451="generated words",23,IF(J451="word definition pairs",24,IF(J451="math problems",25,IF(J451="famous faces",26,IF(J451="famous names",27,IF(J451="famous voices",28,IF(J451="television programs",29,IF(J451="race horses",30,IF(J451="new vocabulary",31,IF(J451="sentences",32,IF(J451="concepts",33,IF(J451="ad slides",34,IF(J451="scenes",35,IF(J451="famous scenes",36,IF(J451="poems",37,IF(J451="walk",38,IF(J451="faces and events",39,IF(J451="events and names",40,IF(J451="flashbulb",41,IF(J451="stories",42,IF(J451="course material",43,IF(J451="autobiographical",44,IF(J451="novels",45,IF(J451="public events",46,"99"))))))))))))))))))))))))))))))))))))))))))))))</f>
        <v>32</v>
      </c>
      <c r="L451" s="60">
        <f>IF(J451="syllables",1,IF(J451="trigrams",1,IF(J451="strings",1,IF(J451="visual array",1,IF(J451="characters",1,IF(J451="letters",1,IF(J451="free forms",1,IF(J451="odors",2,IF(J451="words",2,IF(J451="pictures",2,IF(J451="object pictures",2,IF(J451="faces",2,IF(J451="names",2,IF(J451="idioms","2",IF(J451="grades",2,IF(J451="syllable-digit pairs",3,IF(J451="trigram-word pairs",3,IF(J451="word-digit pairs",3,IF(J451="English-Swahili pairs",3,IF(J451="spatial position",3,IF(J451="word pairs",4,IF(J451="word triads",4,IF(J451="generated words",4,IF(J451="word definition pairs",4,IF(J451="math problems",4,IF(J451="famous faces",4,IF(J451="famous names",4,IF(J451="famous voices",4,IF(J451="television programs",4,IF(J451="race horses",4,IF(J451="new vocabulary",4,IF(J451="sentences",5,IF(J451="concepts",5,IF(J451="ad slides",5,IF(J451="scenes",5,IF(J451="famous scenes",5,IF(J451="poems",6,IF(J451="walk",6,IF(J451="faces and events",6,IF(J451="events and names",6,IF(J451="flashbulb",7,IF(J451="stories",7,IF(J451="course material",7,IF(J451="autobiographical",7,IF(J451="novels",7,IF(J451="public events",7,"99"))))))))))))))))))))))))))))))))))))))))))))))</f>
        <v>5</v>
      </c>
      <c r="M451" s="60">
        <v>1</v>
      </c>
      <c r="N451" s="60">
        <v>4</v>
      </c>
      <c r="O451" s="60">
        <v>0</v>
      </c>
      <c r="P451" s="60"/>
      <c r="Q451" s="60" t="s">
        <v>34</v>
      </c>
      <c r="R451" s="60">
        <f>IF(Q451="Free Recall",1,IF(Q451="Cued Recall",2,IF(Q451="Recognition",3,IF(Q451="Multiple Choice",4,IF(Q451="Savings",5,IF(Q451="Stem Completion",6,IF(Q451="Fragment Completion",7,IF(Q451="anagram solution",8,IF(Q451="Matching",9,IF(Q451="Problem Solving",10,"99"))))))))))</f>
        <v>3</v>
      </c>
      <c r="S451" s="60" t="s">
        <v>15</v>
      </c>
      <c r="T451" s="60" t="s">
        <v>261</v>
      </c>
      <c r="U451" s="60">
        <f>IF(T451="within",1,0)</f>
        <v>0</v>
      </c>
      <c r="V451" s="60">
        <v>18</v>
      </c>
      <c r="W451" s="60">
        <f>F451*V451</f>
        <v>2592</v>
      </c>
      <c r="X451" s="60">
        <v>6</v>
      </c>
      <c r="Y451" s="76">
        <f>AV450</f>
        <v>60</v>
      </c>
      <c r="Z451" s="60" t="s">
        <v>476</v>
      </c>
      <c r="AA451" s="60">
        <v>1209600</v>
      </c>
      <c r="AB451" s="60" t="str">
        <f>IF(AA451&lt;60,"1",IF(AA451&lt;=43200,"2",IF(AA451&lt;=777600,"3","4")))</f>
        <v>4</v>
      </c>
      <c r="AC451" s="56">
        <f>AVERAGE(AV450:DA450)</f>
        <v>504010</v>
      </c>
      <c r="AD451" s="60" t="str">
        <f>IF(AC451&lt;60,"1",IF(AC451&lt;=43200,"2",IF(AC451&lt;=777600,"3","4")))</f>
        <v>3</v>
      </c>
      <c r="AE451" s="76">
        <f>AA451-Y451</f>
        <v>1209540</v>
      </c>
      <c r="AF451" s="80">
        <f>AV451</f>
        <v>0.80439814814814803</v>
      </c>
      <c r="AG451" s="56">
        <f>((AW451-AV451)+(AX451-AW451)+(AY451-AX451)+(AZ451-AY451)+(BA451-AZ451))/5</f>
        <v>-4.4675925925925862E-2</v>
      </c>
      <c r="AH451" s="4"/>
      <c r="AI451" s="56">
        <f>RSQ(AV451:BA451,AV450:BA450)</f>
        <v>0.8649140033705669</v>
      </c>
      <c r="AJ451" s="109">
        <f>SLOPE(AV451:BA451,AV450:BA450)</f>
        <v>-1.5412757980810297E-7</v>
      </c>
      <c r="AK451" s="56">
        <f>INTERCEPT(AV451:BA451,AV450:BA450)</f>
        <v>0.75595013955904666</v>
      </c>
      <c r="AL451" s="56">
        <f>INDEX(LINEST(LN(AV451:BA451),LN(AV450:BA450),TRUE,TRUE),3,1)</f>
        <v>0.78260996076833589</v>
      </c>
      <c r="AM451" s="56">
        <f>INDEX(LINEST(LN(AV451:BA451),LN(AV450:BA450)),1)</f>
        <v>-2.7014341730541673E-2</v>
      </c>
      <c r="AN451" s="56">
        <f>EXP(INDEX(LINEST(LN(AV451:BA451),LN(AV450:BA450)),1,2))</f>
        <v>0.91995872671015366</v>
      </c>
      <c r="AO451" s="82">
        <f>INDEX(LINEST((AV451:BA451),LN(AV450:BA450),TRUE,TRUE),3,1)</f>
        <v>0.82304055119304054</v>
      </c>
      <c r="AP451" s="82">
        <f>INDEX(LINEST((AV451:BA451),LN(AV450:BA450)),1)</f>
        <v>-1.9059486017818768E-2</v>
      </c>
      <c r="AQ451" s="83">
        <f>INDEX(LINEST(LN(AV451:BA451),SQRT(AV450:BA450),TRUE,TRUE),3,1)</f>
        <v>0.97250895008233929</v>
      </c>
      <c r="AR451" s="116">
        <f>INDEX(LINEST(LN(AV451:BA451),SQRT((AV450:BA450))),1)</f>
        <v>-2.7459799080162349E-4</v>
      </c>
      <c r="AS451" s="84">
        <f>INDEX(LINEST(1/(AV451:BA451),1/(SQRT(AV450:BA450)),TRUE,TRUE),3,1)</f>
        <v>0.53575294241279414</v>
      </c>
      <c r="AT451" s="84">
        <f>INDEX(LINEST(1/(AV451:BA451),1/SQRT(AV450:BA450)),1)</f>
        <v>-2.3624070018552161</v>
      </c>
      <c r="AU451" s="3"/>
      <c r="AV451" s="53">
        <v>0.80439814814814803</v>
      </c>
      <c r="AW451" s="53">
        <v>0.71412037037037013</v>
      </c>
      <c r="AX451" s="53">
        <v>0.7002314814814814</v>
      </c>
      <c r="AY451" s="53">
        <v>0.63888888888888895</v>
      </c>
      <c r="AZ451" s="53">
        <v>0.63095238095238082</v>
      </c>
      <c r="BA451" s="53">
        <v>0.58101851851851871</v>
      </c>
      <c r="BB451" s="43"/>
      <c r="BC451" s="37"/>
      <c r="BD451" s="37"/>
      <c r="BE451" s="37"/>
      <c r="BF451" s="37"/>
      <c r="BG451" s="37"/>
      <c r="BH451" s="37"/>
      <c r="BI451" s="37"/>
      <c r="BJ451" s="37"/>
      <c r="BK451" s="37"/>
      <c r="BL451" s="37"/>
      <c r="BM451" s="37"/>
      <c r="BN451" s="37"/>
      <c r="BO451" s="37"/>
      <c r="BP451" s="37"/>
      <c r="BQ451" s="37"/>
      <c r="BR451" s="37"/>
      <c r="BS451" s="37"/>
      <c r="BT451" s="37"/>
      <c r="BU451" s="37"/>
      <c r="BV451" s="37"/>
      <c r="BW451" s="37"/>
      <c r="BX451" s="37"/>
      <c r="BY451" s="37"/>
      <c r="BZ451" s="37"/>
      <c r="CA451" s="37"/>
      <c r="CB451" s="37"/>
      <c r="CC451" s="37"/>
      <c r="CD451" s="37"/>
      <c r="CE451" s="37"/>
      <c r="CF451" s="37"/>
      <c r="CG451" s="37"/>
      <c r="CH451" s="37"/>
      <c r="CI451" s="37"/>
      <c r="CJ451" s="37"/>
      <c r="CK451" s="37"/>
      <c r="CL451" s="37"/>
      <c r="CM451" s="37"/>
      <c r="CN451" s="37"/>
      <c r="CO451" s="37"/>
      <c r="CP451" s="37"/>
      <c r="CQ451" s="37"/>
      <c r="CR451" s="1"/>
      <c r="CS451" s="1"/>
      <c r="CT451" s="1"/>
      <c r="CU451" s="1"/>
    </row>
    <row r="452" spans="1:99" s="13" customFormat="1" ht="12" customHeight="1" x14ac:dyDescent="0.2">
      <c r="A452" s="65">
        <v>43903</v>
      </c>
      <c r="D452" s="61"/>
      <c r="E452" s="76"/>
      <c r="F452" s="60"/>
      <c r="G452" s="60"/>
      <c r="H452" s="60"/>
      <c r="I452" s="60"/>
      <c r="J452" s="60"/>
      <c r="K452" s="64"/>
      <c r="L452" s="64"/>
      <c r="M452" s="60"/>
      <c r="N452" s="60"/>
      <c r="O452" s="60"/>
      <c r="P452" s="60"/>
      <c r="Q452" s="60"/>
      <c r="R452" s="60"/>
      <c r="S452" s="60"/>
      <c r="T452" s="60"/>
      <c r="U452" s="60"/>
      <c r="V452" s="60"/>
      <c r="W452" s="60"/>
      <c r="X452" s="60"/>
      <c r="Y452" s="76"/>
      <c r="Z452" s="60"/>
      <c r="AA452" s="60"/>
      <c r="AB452" s="60"/>
      <c r="AC452" s="56"/>
      <c r="AD452" s="60"/>
      <c r="AE452" s="60"/>
      <c r="AF452" s="80"/>
      <c r="AG452" s="56"/>
      <c r="AH452" s="4"/>
      <c r="AI452" s="56"/>
      <c r="AJ452" s="109"/>
      <c r="AK452" s="56"/>
      <c r="AL452" s="56"/>
      <c r="AM452" s="56"/>
      <c r="AN452" s="56"/>
      <c r="AO452" s="82"/>
      <c r="AP452" s="82"/>
      <c r="AQ452" s="83"/>
      <c r="AR452" s="116"/>
      <c r="AS452" s="84"/>
      <c r="AT452" s="84"/>
      <c r="AU452" s="3"/>
      <c r="AV452" s="25">
        <v>60</v>
      </c>
      <c r="AW452" s="25">
        <v>86400</v>
      </c>
      <c r="AX452" s="25">
        <v>259200</v>
      </c>
      <c r="AY452" s="25">
        <v>604800</v>
      </c>
      <c r="AZ452" s="25">
        <v>864000</v>
      </c>
      <c r="BA452" s="25">
        <v>1209600</v>
      </c>
      <c r="BB452" s="43"/>
      <c r="BC452" s="37"/>
      <c r="BD452" s="37"/>
      <c r="BE452" s="37"/>
      <c r="BF452" s="37"/>
      <c r="BG452" s="37"/>
      <c r="BH452" s="37"/>
      <c r="BI452" s="37"/>
      <c r="BJ452" s="37"/>
      <c r="BK452" s="37"/>
      <c r="BL452" s="37"/>
      <c r="BM452" s="37"/>
      <c r="BN452" s="37"/>
      <c r="BO452" s="37"/>
      <c r="BP452" s="37"/>
      <c r="BQ452" s="37"/>
      <c r="BR452" s="37"/>
      <c r="BS452" s="37"/>
      <c r="BT452" s="37"/>
      <c r="BU452" s="37"/>
      <c r="BV452" s="37"/>
      <c r="BW452" s="37"/>
      <c r="BX452" s="37"/>
      <c r="BY452" s="37"/>
      <c r="BZ452" s="37"/>
      <c r="CA452" s="37"/>
      <c r="CB452" s="37"/>
      <c r="CC452" s="37"/>
      <c r="CD452" s="37"/>
      <c r="CE452" s="37"/>
      <c r="CF452" s="37"/>
      <c r="CG452" s="37"/>
      <c r="CH452" s="37"/>
      <c r="CI452" s="37"/>
      <c r="CJ452" s="37"/>
      <c r="CK452" s="37"/>
      <c r="CL452" s="37"/>
      <c r="CM452" s="37"/>
      <c r="CN452" s="37"/>
      <c r="CO452" s="37"/>
      <c r="CP452" s="37"/>
      <c r="CQ452" s="37"/>
      <c r="CR452" s="1"/>
      <c r="CS452" s="1"/>
      <c r="CT452" s="1"/>
      <c r="CU452" s="1"/>
    </row>
    <row r="453" spans="1:99" s="13" customFormat="1" ht="12" customHeight="1" x14ac:dyDescent="0.2">
      <c r="A453" s="65">
        <v>43903</v>
      </c>
      <c r="B453" s="1" t="s">
        <v>473</v>
      </c>
      <c r="C453" s="1" t="s">
        <v>474</v>
      </c>
      <c r="D453" s="60">
        <v>2020</v>
      </c>
      <c r="E453" s="76">
        <v>2</v>
      </c>
      <c r="F453" s="60">
        <v>144</v>
      </c>
      <c r="G453" s="60">
        <v>24</v>
      </c>
      <c r="H453" s="60"/>
      <c r="I453" s="60" t="s">
        <v>684</v>
      </c>
      <c r="J453" s="60" t="s">
        <v>475</v>
      </c>
      <c r="K453" s="60">
        <f>IF(J453="syllables",1,IF(J453="trigrams",2,IF(J453="strings",3,IF(J453="visual array",4,IF(J453="characters",5,IF(J453="letters",6,IF(J453="free forms",7,IF(J453="odors",8,IF(J453="words",9,IF(J453="pictures",10,IF(J453="object pictures",11,IF(J453="faces",12,IF(J453="names",13,IF(J453="idioms",14,IF(J453="grades",15,IF(J453="syllable-digit pairs",16,IF(J453="trigram-word pairs",17,IF(J453="word-digit pairs",18,IF(J453="English-Swahili pairs",19,IF(J453="spatial position",20,IF(J453="word pairs",21,IF(J453="word triads",22,IF(J453="generated words",23,IF(J453="word definition pairs",24,IF(J453="math problems",25,IF(J453="famous faces",26,IF(J453="famous names",27,IF(J453="famous voices",28,IF(J453="television programs",29,IF(J453="race horses",30,IF(J453="new vocabulary",31,IF(J453="sentences",32,IF(J453="concepts",33,IF(J453="ad slides",34,IF(J453="scenes",35,IF(J453="famous scenes",36,IF(J453="poems",37,IF(J453="walk",38,IF(J453="faces and events",39,IF(J453="events and names",40,IF(J453="flashbulb",41,IF(J453="stories",42,IF(J453="course material",43,IF(J453="autobiographical",44,IF(J453="novels",45,IF(J453="public events",46,"99"))))))))))))))))))))))))))))))))))))))))))))))</f>
        <v>32</v>
      </c>
      <c r="L453" s="60">
        <f>IF(J453="syllables",1,IF(J453="trigrams",1,IF(J453="strings",1,IF(J453="visual array",1,IF(J453="characters",1,IF(J453="letters",1,IF(J453="free forms",1,IF(J453="odors",2,IF(J453="words",2,IF(J453="pictures",2,IF(J453="object pictures",2,IF(J453="faces",2,IF(J453="names",2,IF(J453="idioms","2",IF(J453="grades",2,IF(J453="syllable-digit pairs",3,IF(J453="trigram-word pairs",3,IF(J453="word-digit pairs",3,IF(J453="English-Swahili pairs",3,IF(J453="spatial position",3,IF(J453="word pairs",4,IF(J453="word triads",4,IF(J453="generated words",4,IF(J453="word definition pairs",4,IF(J453="math problems",4,IF(J453="famous faces",4,IF(J453="famous names",4,IF(J453="famous voices",4,IF(J453="television programs",4,IF(J453="race horses",4,IF(J453="new vocabulary",4,IF(J453="sentences",5,IF(J453="concepts",5,IF(J453="ad slides",5,IF(J453="scenes",5,IF(J453="famous scenes",5,IF(J453="poems",6,IF(J453="walk",6,IF(J453="faces and events",6,IF(J453="events and names",6,IF(J453="flashbulb",7,IF(J453="stories",7,IF(J453="course material",7,IF(J453="autobiographical",7,IF(J453="novels",7,IF(J453="public events",7,"99"))))))))))))))))))))))))))))))))))))))))))))))</f>
        <v>5</v>
      </c>
      <c r="M453" s="60">
        <v>1</v>
      </c>
      <c r="N453" s="60">
        <v>4</v>
      </c>
      <c r="O453" s="60">
        <v>0</v>
      </c>
      <c r="P453" s="60"/>
      <c r="Q453" s="60" t="s">
        <v>34</v>
      </c>
      <c r="R453" s="60">
        <f>IF(Q453="Free Recall",1,IF(Q453="Cued Recall",2,IF(Q453="Recognition",3,IF(Q453="Multiple Choice",4,IF(Q453="Savings",5,IF(Q453="Stem Completion",6,IF(Q453="Fragment Completion",7,IF(Q453="anagram solution",8,IF(Q453="Matching",9,IF(Q453="Problem Solving",10,"99"))))))))))</f>
        <v>3</v>
      </c>
      <c r="S453" s="60" t="s">
        <v>15</v>
      </c>
      <c r="T453" s="60" t="s">
        <v>261</v>
      </c>
      <c r="U453" s="60">
        <f>IF(T453="within",1,0)</f>
        <v>0</v>
      </c>
      <c r="V453" s="60">
        <v>18</v>
      </c>
      <c r="W453" s="60">
        <f>F453*V453</f>
        <v>2592</v>
      </c>
      <c r="X453" s="60">
        <v>6</v>
      </c>
      <c r="Y453" s="76">
        <f>AV452</f>
        <v>60</v>
      </c>
      <c r="Z453" s="60" t="s">
        <v>476</v>
      </c>
      <c r="AA453" s="60">
        <v>1209600</v>
      </c>
      <c r="AB453" s="60" t="str">
        <f>IF(AA453&lt;60,"1",IF(AA453&lt;=43200,"2",IF(AA453&lt;=777600,"3","4")))</f>
        <v>4</v>
      </c>
      <c r="AC453" s="56">
        <f>AVERAGE(AV452:DA452)</f>
        <v>504010</v>
      </c>
      <c r="AD453" s="60" t="str">
        <f>IF(AC453&lt;60,"1",IF(AC453&lt;=43200,"2",IF(AC453&lt;=777600,"3","4")))</f>
        <v>3</v>
      </c>
      <c r="AE453" s="76">
        <f>AA453-Y453</f>
        <v>1209540</v>
      </c>
      <c r="AF453" s="80">
        <f>AV453</f>
        <v>0.87384259259259245</v>
      </c>
      <c r="AG453" s="56">
        <f>((AW453-AV453)+(AX453-AW453)+(AY453-AX453)+(AZ453-AY453)+(BA453-AZ453))/5</f>
        <v>-5.6481481481481396E-2</v>
      </c>
      <c r="AH453" s="4"/>
      <c r="AI453" s="56">
        <f>RSQ(AV453:BA453,AV452:BA452)</f>
        <v>0.73149444226144356</v>
      </c>
      <c r="AJ453" s="109">
        <f>SLOPE(AV453:BA453,AV452:BA452)</f>
        <v>-1.659767762588181E-7</v>
      </c>
      <c r="AK453" s="56">
        <f>INTERCEPT(AV453:BA453,AV452:BA452)</f>
        <v>0.80143944882936746</v>
      </c>
      <c r="AL453" s="56">
        <f>INDEX(LINEST(LN(AV453:BA453),LN(AV452:BA452),TRUE,TRUE),3,1)</f>
        <v>0.780178760108862</v>
      </c>
      <c r="AM453" s="56">
        <f>INDEX(LINEST(LN(AV453:BA453),LN(AV452:BA452)),1)</f>
        <v>-2.9843925761553459E-2</v>
      </c>
      <c r="AN453" s="56">
        <f>EXP(INDEX(LINEST(LN(AV453:BA453),LN(AV452:BA452)),1,2))</f>
        <v>1.0044866059907047</v>
      </c>
      <c r="AO453" s="82">
        <f>INDEX(LINEST((AV453:BA453),LN(AV452:BA452),TRUE,TRUE),3,1)</f>
        <v>0.83733140211294699</v>
      </c>
      <c r="AP453" s="82">
        <f>INDEX(LINEST((AV453:BA453),LN(AV452:BA452)),1)</f>
        <v>-2.2511123594373534E-2</v>
      </c>
      <c r="AQ453" s="83">
        <f>INDEX(LINEST(LN(AV453:BA453),SQRT(AV452:BA452),TRUE,TRUE),3,1)</f>
        <v>0.84938810844202284</v>
      </c>
      <c r="AR453" s="116">
        <f>INDEX(LINEST(LN(AV453:BA453),SQRT((AV452:BA452))),1)</f>
        <v>-2.8394931535671982E-4</v>
      </c>
      <c r="AS453" s="84">
        <f>INDEX(LINEST(1/(AV453:BA453),1/(SQRT(AV452:BA452)),TRUE,TRUE),3,1)</f>
        <v>0.56117176178401584</v>
      </c>
      <c r="AT453" s="84">
        <f>INDEX(LINEST(1/(AV453:BA453),1/SQRT(AV452:BA452)),1)</f>
        <v>-2.5469430889936686</v>
      </c>
      <c r="AU453" s="3"/>
      <c r="AV453" s="53">
        <v>0.87384259259259245</v>
      </c>
      <c r="AW453" s="53">
        <v>0.74652777777777768</v>
      </c>
      <c r="AX453" s="53">
        <v>0.7002314814814814</v>
      </c>
      <c r="AY453" s="53">
        <v>0.70486111111111116</v>
      </c>
      <c r="AZ453" s="53">
        <v>0.68981481481481488</v>
      </c>
      <c r="BA453" s="53">
        <v>0.59143518518518545</v>
      </c>
      <c r="BB453" s="43"/>
      <c r="BC453" s="42"/>
      <c r="BD453" s="42"/>
      <c r="BE453" s="42"/>
      <c r="BF453" s="37"/>
      <c r="BG453" s="37"/>
      <c r="BH453" s="37"/>
      <c r="BI453" s="37"/>
      <c r="BJ453" s="37"/>
      <c r="BK453" s="37"/>
      <c r="BL453" s="37"/>
      <c r="BM453" s="37"/>
      <c r="BN453" s="37"/>
      <c r="BO453" s="37"/>
      <c r="BP453" s="37"/>
      <c r="BQ453" s="37"/>
      <c r="BR453" s="37"/>
      <c r="BS453" s="37"/>
      <c r="BT453" s="37"/>
      <c r="BU453" s="37"/>
      <c r="BV453" s="37"/>
      <c r="BW453" s="37"/>
      <c r="BX453" s="37"/>
      <c r="BY453" s="37"/>
      <c r="BZ453" s="37"/>
      <c r="CA453" s="37"/>
      <c r="CB453" s="37"/>
      <c r="CC453" s="37"/>
      <c r="CD453" s="37"/>
      <c r="CE453" s="37"/>
      <c r="CF453" s="37"/>
      <c r="CG453" s="37"/>
      <c r="CH453" s="37"/>
      <c r="CI453" s="37"/>
      <c r="CJ453" s="37"/>
      <c r="CK453" s="37"/>
      <c r="CL453" s="37"/>
      <c r="CM453" s="37"/>
      <c r="CN453" s="37"/>
      <c r="CO453" s="37"/>
      <c r="CP453" s="37"/>
      <c r="CQ453" s="37"/>
      <c r="CR453" s="1"/>
      <c r="CS453" s="1"/>
      <c r="CT453" s="1"/>
      <c r="CU453" s="1"/>
    </row>
    <row r="454" spans="1:99" s="13" customFormat="1" ht="12" customHeight="1" x14ac:dyDescent="0.2">
      <c r="A454" s="65">
        <v>43903</v>
      </c>
      <c r="D454" s="61"/>
      <c r="E454" s="76"/>
      <c r="F454" s="60"/>
      <c r="G454" s="60"/>
      <c r="H454" s="60"/>
      <c r="I454" s="60"/>
      <c r="J454" s="60"/>
      <c r="K454" s="64"/>
      <c r="L454" s="64"/>
      <c r="M454" s="60"/>
      <c r="N454" s="61"/>
      <c r="O454" s="60"/>
      <c r="P454" s="60"/>
      <c r="Q454" s="60"/>
      <c r="R454" s="60"/>
      <c r="S454" s="60"/>
      <c r="T454" s="60"/>
      <c r="U454" s="60"/>
      <c r="V454" s="60"/>
      <c r="W454" s="60"/>
      <c r="X454" s="60"/>
      <c r="Y454" s="76"/>
      <c r="Z454" s="60"/>
      <c r="AA454" s="60"/>
      <c r="AB454" s="60"/>
      <c r="AC454" s="56"/>
      <c r="AD454" s="60"/>
      <c r="AE454" s="60"/>
      <c r="AF454" s="80"/>
      <c r="AG454" s="56"/>
      <c r="AH454" s="4"/>
      <c r="AI454" s="56"/>
      <c r="AJ454" s="109"/>
      <c r="AK454" s="56"/>
      <c r="AL454" s="56"/>
      <c r="AM454" s="56"/>
      <c r="AN454" s="56"/>
      <c r="AO454" s="82"/>
      <c r="AP454" s="82"/>
      <c r="AQ454" s="83"/>
      <c r="AR454" s="116"/>
      <c r="AS454" s="84"/>
      <c r="AT454" s="84"/>
      <c r="AU454" s="3"/>
      <c r="AV454" s="162">
        <v>60</v>
      </c>
      <c r="AW454" s="162">
        <v>86400</v>
      </c>
      <c r="AX454" s="162">
        <v>259200</v>
      </c>
      <c r="AY454" s="162">
        <v>604800</v>
      </c>
      <c r="AZ454" s="53"/>
      <c r="BA454" s="53"/>
      <c r="BB454" s="43"/>
      <c r="BC454" s="52"/>
      <c r="BD454" s="52"/>
      <c r="BE454" s="52"/>
      <c r="BF454" s="52"/>
      <c r="BG454" s="52"/>
      <c r="BH454" s="52"/>
      <c r="BI454" s="52"/>
      <c r="BJ454" s="52"/>
      <c r="BK454" s="52"/>
      <c r="BL454" s="52"/>
      <c r="BM454" s="52"/>
      <c r="BN454" s="52"/>
      <c r="BO454" s="52"/>
      <c r="BP454" s="52"/>
      <c r="BQ454" s="52"/>
      <c r="BR454" s="52"/>
      <c r="BS454" s="52"/>
      <c r="BT454" s="52"/>
      <c r="BU454" s="52"/>
      <c r="BV454" s="52"/>
      <c r="BW454" s="52"/>
      <c r="BX454" s="52"/>
      <c r="BY454" s="52"/>
      <c r="BZ454" s="52"/>
      <c r="CA454" s="52"/>
      <c r="CB454" s="52"/>
      <c r="CC454" s="52"/>
      <c r="CD454" s="52"/>
      <c r="CE454" s="52"/>
      <c r="CF454" s="52"/>
      <c r="CG454" s="52"/>
      <c r="CH454" s="52"/>
      <c r="CI454" s="52"/>
      <c r="CJ454" s="52"/>
      <c r="CK454" s="52"/>
      <c r="CL454" s="52"/>
      <c r="CM454" s="52"/>
      <c r="CN454" s="52"/>
      <c r="CO454" s="52"/>
      <c r="CP454" s="52"/>
      <c r="CQ454" s="52"/>
      <c r="CR454" s="1"/>
      <c r="CS454" s="1"/>
      <c r="CT454" s="1"/>
      <c r="CU454" s="1"/>
    </row>
    <row r="455" spans="1:99" s="13" customFormat="1" ht="12" customHeight="1" x14ac:dyDescent="0.2">
      <c r="A455" s="65">
        <v>43903</v>
      </c>
      <c r="B455" s="1" t="s">
        <v>473</v>
      </c>
      <c r="C455" s="1" t="s">
        <v>474</v>
      </c>
      <c r="D455" s="60">
        <v>2020</v>
      </c>
      <c r="E455" s="76">
        <v>3</v>
      </c>
      <c r="F455" s="60">
        <v>96</v>
      </c>
      <c r="G455" s="60">
        <v>24</v>
      </c>
      <c r="H455" s="60"/>
      <c r="I455" s="60" t="s">
        <v>477</v>
      </c>
      <c r="J455" s="60" t="s">
        <v>475</v>
      </c>
      <c r="K455" s="60">
        <f>IF(J455="syllables",1,IF(J455="trigrams",2,IF(J455="strings",3,IF(J455="visual array",4,IF(J455="characters",5,IF(J455="letters",6,IF(J455="free forms",7,IF(J455="odors",8,IF(J455="words",9,IF(J455="pictures",10,IF(J455="object pictures",11,IF(J455="faces",12,IF(J455="names",13,IF(J455="idioms",14,IF(J455="grades",15,IF(J455="syllable-digit pairs",16,IF(J455="trigram-word pairs",17,IF(J455="word-digit pairs",18,IF(J455="English-Swahili pairs",19,IF(J455="spatial position",20,IF(J455="word pairs",21,IF(J455="word triads",22,IF(J455="generated words",23,IF(J455="word definition pairs",24,IF(J455="math problems",25,IF(J455="famous faces",26,IF(J455="famous names",27,IF(J455="famous voices",28,IF(J455="television programs",29,IF(J455="race horses",30,IF(J455="new vocabulary",31,IF(J455="sentences",32,IF(J455="concepts",33,IF(J455="ad slides",34,IF(J455="scenes",35,IF(J455="famous scenes",36,IF(J455="poems",37,IF(J455="walk",38,IF(J455="faces and events",39,IF(J455="events and names",40,IF(J455="flashbulb",41,IF(J455="stories",42,IF(J455="course material",43,IF(J455="autobiographical",44,IF(J455="novels",45,IF(J455="public events",46,"99"))))))))))))))))))))))))))))))))))))))))))))))</f>
        <v>32</v>
      </c>
      <c r="L455" s="60">
        <f>IF(J455="syllables",1,IF(J455="trigrams",1,IF(J455="strings",1,IF(J455="visual array",1,IF(J455="characters",1,IF(J455="letters",1,IF(J455="free forms",1,IF(J455="odors",2,IF(J455="words",2,IF(J455="pictures",2,IF(J455="object pictures",2,IF(J455="faces",2,IF(J455="names",2,IF(J455="idioms","2",IF(J455="grades",2,IF(J455="syllable-digit pairs",3,IF(J455="trigram-word pairs",3,IF(J455="word-digit pairs",3,IF(J455="English-Swahili pairs",3,IF(J455="spatial position",3,IF(J455="word pairs",4,IF(J455="word triads",4,IF(J455="generated words",4,IF(J455="word definition pairs",4,IF(J455="math problems",4,IF(J455="famous faces",4,IF(J455="famous names",4,IF(J455="famous voices",4,IF(J455="television programs",4,IF(J455="race horses",4,IF(J455="new vocabulary",4,IF(J455="sentences",5,IF(J455="concepts",5,IF(J455="ad slides",5,IF(J455="scenes",5,IF(J455="famous scenes",5,IF(J455="poems",6,IF(J455="walk",6,IF(J455="faces and events",6,IF(J455="events and names",6,IF(J455="flashbulb",7,IF(J455="stories",7,IF(J455="course material",7,IF(J455="autobiographical",7,IF(J455="novels",7,IF(J455="public events",7,"99"))))))))))))))))))))))))))))))))))))))))))))))</f>
        <v>5</v>
      </c>
      <c r="M455" s="60">
        <v>0</v>
      </c>
      <c r="N455" s="61">
        <v>2</v>
      </c>
      <c r="O455" s="60">
        <v>0</v>
      </c>
      <c r="P455" s="60"/>
      <c r="Q455" s="60" t="s">
        <v>174</v>
      </c>
      <c r="R455" s="60">
        <f>IF(Q455="Free Recall",1,IF(Q455="Cued Recall",2,IF(Q455="Recognition",3,IF(Q455="Multiple Choice",4,IF(Q455="Savings",5,IF(Q455="Stem Completion",6,IF(Q455="Fragment Completion",7,IF(Q455="anagram solution",8,IF(Q455="Matching",9,IF(Q455="Problem Solving",10,"99"))))))))))</f>
        <v>1</v>
      </c>
      <c r="S455" s="62" t="s">
        <v>49</v>
      </c>
      <c r="T455" s="60" t="s">
        <v>261</v>
      </c>
      <c r="U455" s="60">
        <f>IF(T455="within",1,0)</f>
        <v>0</v>
      </c>
      <c r="V455" s="60">
        <v>18</v>
      </c>
      <c r="W455" s="60">
        <f>F455*V455</f>
        <v>1728</v>
      </c>
      <c r="X455" s="60">
        <v>4</v>
      </c>
      <c r="Y455" s="76">
        <f>AV454</f>
        <v>60</v>
      </c>
      <c r="Z455" s="60" t="s">
        <v>97</v>
      </c>
      <c r="AA455" s="60">
        <v>604800</v>
      </c>
      <c r="AB455" s="60" t="str">
        <f>IF(AA455&lt;60,"1",IF(AA455&lt;=43200,"2",IF(AA455&lt;=777600,"3","4")))</f>
        <v>3</v>
      </c>
      <c r="AC455" s="56">
        <f>AVERAGE(AV454:DA454)</f>
        <v>237615</v>
      </c>
      <c r="AD455" s="60" t="str">
        <f>IF(AC455&lt;60,"1",IF(AC455&lt;=43200,"2",IF(AC455&lt;=777600,"3","4")))</f>
        <v>3</v>
      </c>
      <c r="AE455" s="76">
        <f>AA455-Y455</f>
        <v>604740</v>
      </c>
      <c r="AF455" s="80">
        <f>AV455</f>
        <v>0.62500000000000011</v>
      </c>
      <c r="AG455" s="56">
        <f>((AW455-AV455)+(AX455-AW455)+(AY455-AX455))/3</f>
        <v>-0.12345679012345684</v>
      </c>
      <c r="AH455" s="4"/>
      <c r="AI455" s="56">
        <f>RSQ(AV455:AY455,AV454:AY454)</f>
        <v>0.4838196111441081</v>
      </c>
      <c r="AJ455" s="109">
        <f>SLOPE(AV455:AY455,AV454:AY454)</f>
        <v>-4.8667027575248712E-7</v>
      </c>
      <c r="AK455" s="56">
        <f>INTERCEPT(AV455:AY455,AV454:AY454)</f>
        <v>0.47617256498033461</v>
      </c>
      <c r="AL455" s="56">
        <f>INDEX(LINEST(LN(AV455:AY455),LN(AV454:AY454),TRUE,TRUE),3,1)</f>
        <v>0.85986894138247327</v>
      </c>
      <c r="AM455" s="56">
        <f>INDEX(LINEST(LN(AV455:AY455),LN(AV454:AY454)),1)</f>
        <v>-0.10638132353925876</v>
      </c>
      <c r="AN455" s="56">
        <f>EXP(INDEX(LINEST(LN(AV455:AY455),LN(AV454:AY454)),1,2))</f>
        <v>0.98458468717710379</v>
      </c>
      <c r="AO455" s="82">
        <f>INDEX(LINEST((AV455:AY455),LN(AV454:AY454),TRUE,TRUE),3,1)</f>
        <v>0.94209418470833506</v>
      </c>
      <c r="AP455" s="82">
        <f>INDEX(LINEST((AV455:AY455),LN(AV454:AY454)),1)</f>
        <v>-4.3044966347829915E-2</v>
      </c>
      <c r="AQ455" s="83">
        <f>INDEX(LINEST(LN(AV455:AY455),SQRT(AV454:AY454),TRUE,TRUE),3,1)</f>
        <v>0.74113594957583218</v>
      </c>
      <c r="AR455" s="116">
        <f>INDEX(LINEST(LN(AV455:AY455),SQRT((AV454:AY454))),1)</f>
        <v>-1.2767124176675463E-3</v>
      </c>
      <c r="AS455" s="84">
        <f>INDEX(LINEST(1/(AV455:AY455),1/(SQRT(AV454:AY454)),TRUE,TRUE),3,1)</f>
        <v>0.65508579278441403</v>
      </c>
      <c r="AT455" s="84">
        <f>INDEX(LINEST(1/(AV455:AY455),1/SQRT(AV454:AY454)),1)</f>
        <v>-17.954682494993403</v>
      </c>
      <c r="AU455" s="3"/>
      <c r="AV455" s="163">
        <v>0.62500000000000011</v>
      </c>
      <c r="AW455" s="163">
        <v>0.35648148148148145</v>
      </c>
      <c r="AX455" s="163">
        <v>0.20601851851851849</v>
      </c>
      <c r="AY455" s="163">
        <v>0.25462962962962959</v>
      </c>
      <c r="AZ455" s="53"/>
      <c r="BA455" s="53"/>
      <c r="BB455" s="43"/>
      <c r="BC455" s="52"/>
      <c r="BD455" s="52"/>
      <c r="BE455" s="52"/>
      <c r="BF455" s="52"/>
      <c r="BG455" s="52"/>
      <c r="BH455" s="52"/>
      <c r="BI455" s="52"/>
      <c r="BJ455" s="52"/>
      <c r="BK455" s="52"/>
      <c r="BL455" s="52"/>
      <c r="BM455" s="52"/>
      <c r="BN455" s="52"/>
      <c r="BO455" s="52"/>
      <c r="BP455" s="52"/>
      <c r="BQ455" s="52"/>
      <c r="BR455" s="52"/>
      <c r="BS455" s="52"/>
      <c r="BT455" s="52"/>
      <c r="BU455" s="52"/>
      <c r="BV455" s="52"/>
      <c r="BW455" s="52"/>
      <c r="BX455" s="52"/>
      <c r="BY455" s="52"/>
      <c r="BZ455" s="52"/>
      <c r="CA455" s="52"/>
      <c r="CB455" s="52"/>
      <c r="CC455" s="52"/>
      <c r="CD455" s="52"/>
      <c r="CE455" s="52"/>
      <c r="CF455" s="52"/>
      <c r="CG455" s="52"/>
      <c r="CH455" s="52"/>
      <c r="CI455" s="52"/>
      <c r="CJ455" s="52"/>
      <c r="CK455" s="52"/>
      <c r="CL455" s="52"/>
      <c r="CM455" s="52"/>
      <c r="CN455" s="52"/>
      <c r="CO455" s="52"/>
      <c r="CP455" s="52"/>
      <c r="CQ455" s="52"/>
      <c r="CR455" s="1"/>
      <c r="CS455" s="1"/>
      <c r="CT455" s="1"/>
      <c r="CU455" s="1"/>
    </row>
    <row r="456" spans="1:99" s="13" customFormat="1" ht="12" customHeight="1" x14ac:dyDescent="0.2">
      <c r="A456" s="65">
        <v>43903</v>
      </c>
      <c r="D456" s="61"/>
      <c r="E456" s="76"/>
      <c r="F456" s="60"/>
      <c r="G456" s="60"/>
      <c r="H456" s="60"/>
      <c r="I456" s="60"/>
      <c r="J456" s="60"/>
      <c r="K456" s="64"/>
      <c r="L456" s="64"/>
      <c r="M456" s="60"/>
      <c r="N456" s="61"/>
      <c r="O456" s="60"/>
      <c r="P456" s="60"/>
      <c r="Q456" s="60"/>
      <c r="R456" s="60"/>
      <c r="S456" s="60"/>
      <c r="T456" s="60"/>
      <c r="U456" s="60"/>
      <c r="V456" s="60"/>
      <c r="W456" s="60"/>
      <c r="X456" s="60"/>
      <c r="Y456" s="76"/>
      <c r="Z456" s="60"/>
      <c r="AA456" s="60"/>
      <c r="AB456" s="60"/>
      <c r="AC456" s="56"/>
      <c r="AD456" s="60"/>
      <c r="AE456" s="60"/>
      <c r="AF456" s="80"/>
      <c r="AG456" s="56"/>
      <c r="AH456" s="4"/>
      <c r="AI456" s="56"/>
      <c r="AJ456" s="109"/>
      <c r="AK456" s="56"/>
      <c r="AL456" s="56"/>
      <c r="AM456" s="56"/>
      <c r="AN456" s="56"/>
      <c r="AO456" s="82"/>
      <c r="AP456" s="82"/>
      <c r="AQ456" s="83"/>
      <c r="AR456" s="116"/>
      <c r="AS456" s="84"/>
      <c r="AT456" s="84"/>
      <c r="AU456" s="3"/>
      <c r="AV456" s="162">
        <v>60</v>
      </c>
      <c r="AW456" s="162">
        <v>86400</v>
      </c>
      <c r="AX456" s="162">
        <v>259200</v>
      </c>
      <c r="AY456" s="162">
        <v>604800</v>
      </c>
      <c r="AZ456" s="53"/>
      <c r="BA456" s="53"/>
      <c r="BB456" s="43"/>
      <c r="BC456" s="52"/>
      <c r="BD456" s="52"/>
      <c r="BE456" s="52"/>
      <c r="BF456" s="52"/>
      <c r="BG456" s="52"/>
      <c r="BH456" s="52"/>
      <c r="BI456" s="52"/>
      <c r="BJ456" s="52"/>
      <c r="BK456" s="52"/>
      <c r="BL456" s="52"/>
      <c r="BM456" s="52"/>
      <c r="BN456" s="52"/>
      <c r="BO456" s="52"/>
      <c r="BP456" s="52"/>
      <c r="BQ456" s="52"/>
      <c r="BR456" s="52"/>
      <c r="BS456" s="52"/>
      <c r="BT456" s="52"/>
      <c r="BU456" s="52"/>
      <c r="BV456" s="52"/>
      <c r="BW456" s="52"/>
      <c r="BX456" s="52"/>
      <c r="BY456" s="52"/>
      <c r="BZ456" s="52"/>
      <c r="CA456" s="52"/>
      <c r="CB456" s="52"/>
      <c r="CC456" s="52"/>
      <c r="CD456" s="52"/>
      <c r="CE456" s="52"/>
      <c r="CF456" s="52"/>
      <c r="CG456" s="52"/>
      <c r="CH456" s="52"/>
      <c r="CI456" s="52"/>
      <c r="CJ456" s="52"/>
      <c r="CK456" s="52"/>
      <c r="CL456" s="52"/>
      <c r="CM456" s="52"/>
      <c r="CN456" s="52"/>
      <c r="CO456" s="52"/>
      <c r="CP456" s="52"/>
      <c r="CQ456" s="52"/>
      <c r="CR456" s="1"/>
      <c r="CS456" s="1"/>
      <c r="CT456" s="1"/>
      <c r="CU456" s="1"/>
    </row>
    <row r="457" spans="1:99" s="13" customFormat="1" ht="12" customHeight="1" x14ac:dyDescent="0.2">
      <c r="A457" s="65">
        <v>43903</v>
      </c>
      <c r="B457" s="1" t="s">
        <v>473</v>
      </c>
      <c r="C457" s="1" t="s">
        <v>474</v>
      </c>
      <c r="D457" s="60">
        <v>2020</v>
      </c>
      <c r="E457" s="76">
        <v>3</v>
      </c>
      <c r="F457" s="60">
        <v>96</v>
      </c>
      <c r="G457" s="60">
        <v>24</v>
      </c>
      <c r="H457" s="60"/>
      <c r="I457" s="60" t="s">
        <v>478</v>
      </c>
      <c r="J457" s="60" t="s">
        <v>475</v>
      </c>
      <c r="K457" s="60">
        <f>IF(J457="syllables",1,IF(J457="trigrams",2,IF(J457="strings",3,IF(J457="visual array",4,IF(J457="characters",5,IF(J457="letters",6,IF(J457="free forms",7,IF(J457="odors",8,IF(J457="words",9,IF(J457="pictures",10,IF(J457="object pictures",11,IF(J457="faces",12,IF(J457="names",13,IF(J457="idioms",14,IF(J457="grades",15,IF(J457="syllable-digit pairs",16,IF(J457="trigram-word pairs",17,IF(J457="word-digit pairs",18,IF(J457="English-Swahili pairs",19,IF(J457="spatial position",20,IF(J457="word pairs",21,IF(J457="word triads",22,IF(J457="generated words",23,IF(J457="word definition pairs",24,IF(J457="math problems",25,IF(J457="famous faces",26,IF(J457="famous names",27,IF(J457="famous voices",28,IF(J457="television programs",29,IF(J457="race horses",30,IF(J457="new vocabulary",31,IF(J457="sentences",32,IF(J457="concepts",33,IF(J457="ad slides",34,IF(J457="scenes",35,IF(J457="famous scenes",36,IF(J457="poems",37,IF(J457="walk",38,IF(J457="faces and events",39,IF(J457="events and names",40,IF(J457="flashbulb",41,IF(J457="stories",42,IF(J457="course material",43,IF(J457="autobiographical",44,IF(J457="novels",45,IF(J457="public events",46,"99"))))))))))))))))))))))))))))))))))))))))))))))</f>
        <v>32</v>
      </c>
      <c r="L457" s="60">
        <f>IF(J457="syllables",1,IF(J457="trigrams",1,IF(J457="strings",1,IF(J457="visual array",1,IF(J457="characters",1,IF(J457="letters",1,IF(J457="free forms",1,IF(J457="odors",2,IF(J457="words",2,IF(J457="pictures",2,IF(J457="object pictures",2,IF(J457="faces",2,IF(J457="names",2,IF(J457="idioms","2",IF(J457="grades",2,IF(J457="syllable-digit pairs",3,IF(J457="trigram-word pairs",3,IF(J457="word-digit pairs",3,IF(J457="English-Swahili pairs",3,IF(J457="spatial position",3,IF(J457="word pairs",4,IF(J457="word triads",4,IF(J457="generated words",4,IF(J457="word definition pairs",4,IF(J457="math problems",4,IF(J457="famous faces",4,IF(J457="famous names",4,IF(J457="famous voices",4,IF(J457="television programs",4,IF(J457="race horses",4,IF(J457="new vocabulary",4,IF(J457="sentences",5,IF(J457="concepts",5,IF(J457="ad slides",5,IF(J457="scenes",5,IF(J457="famous scenes",5,IF(J457="poems",6,IF(J457="walk",6,IF(J457="faces and events",6,IF(J457="events and names",6,IF(J457="flashbulb",7,IF(J457="stories",7,IF(J457="course material",7,IF(J457="autobiographical",7,IF(J457="novels",7,IF(J457="public events",7,"99"))))))))))))))))))))))))))))))))))))))))))))))</f>
        <v>5</v>
      </c>
      <c r="M457" s="60">
        <v>0</v>
      </c>
      <c r="N457" s="61">
        <v>1</v>
      </c>
      <c r="O457" s="60">
        <v>0</v>
      </c>
      <c r="P457" s="60"/>
      <c r="Q457" s="60" t="s">
        <v>174</v>
      </c>
      <c r="R457" s="60">
        <f>IF(Q457="Free Recall",1,IF(Q457="Cued Recall",2,IF(Q457="Recognition",3,IF(Q457="Multiple Choice",4,IF(Q457="Savings",5,IF(Q457="Stem Completion",6,IF(Q457="Fragment Completion",7,IF(Q457="anagram solution",8,IF(Q457="Matching",9,IF(Q457="Problem Solving",10,"99"))))))))))</f>
        <v>1</v>
      </c>
      <c r="S457" s="62" t="s">
        <v>49</v>
      </c>
      <c r="T457" s="60" t="s">
        <v>261</v>
      </c>
      <c r="U457" s="60">
        <f>IF(T457="within",1,0)</f>
        <v>0</v>
      </c>
      <c r="V457" s="60">
        <v>18</v>
      </c>
      <c r="W457" s="60">
        <f>F457*V457</f>
        <v>1728</v>
      </c>
      <c r="X457" s="60">
        <v>4</v>
      </c>
      <c r="Y457" s="76">
        <f>AV456</f>
        <v>60</v>
      </c>
      <c r="Z457" s="60" t="s">
        <v>97</v>
      </c>
      <c r="AA457" s="60">
        <v>604800</v>
      </c>
      <c r="AB457" s="60" t="str">
        <f>IF(AA457&lt;60,"1",IF(AA457&lt;=43200,"2",IF(AA457&lt;=777600,"3","4")))</f>
        <v>3</v>
      </c>
      <c r="AC457" s="56">
        <f>AVERAGE(AV456:DA456)</f>
        <v>237615</v>
      </c>
      <c r="AD457" s="60" t="str">
        <f>IF(AC457&lt;60,"1",IF(AC457&lt;=43200,"2",IF(AC457&lt;=777600,"3","4")))</f>
        <v>3</v>
      </c>
      <c r="AE457" s="76">
        <f>AA457-Y457</f>
        <v>604740</v>
      </c>
      <c r="AF457" s="80">
        <f>AV457</f>
        <v>0.49305555555555564</v>
      </c>
      <c r="AG457" s="56">
        <f>((AW457-AV457)+(AX457-AW457)+(AY457-AX457))/3</f>
        <v>-0.14660493827160498</v>
      </c>
      <c r="AH457" s="4"/>
      <c r="AI457" s="56">
        <f>RSQ(AV457:AY457,AV456:AY456)</f>
        <v>0.58236952085760307</v>
      </c>
      <c r="AJ457" s="109">
        <f>SLOPE(AV457:AY457,AV456:AY456)</f>
        <v>-5.7753418087540377E-7</v>
      </c>
      <c r="AK457" s="56">
        <f>INTERCEPT(AV457:AY457,AV456:AY456)</f>
        <v>0.33919837698130162</v>
      </c>
      <c r="AL457" s="56">
        <f>INDEX(LINEST(LN(AV457:AY457),LN(AV456:AY456),TRUE,TRUE),3,1)</f>
        <v>0.87016572029762285</v>
      </c>
      <c r="AM457" s="56">
        <f>INDEX(LINEST(LN(AV457:AY457),LN(AV456:AY456)),1)</f>
        <v>-0.21977134839840412</v>
      </c>
      <c r="AN457" s="56">
        <f>EXP(INDEX(LINEST(LN(AV457:AY457),LN(AV456:AY456)),1,2))</f>
        <v>1.3380287950102689</v>
      </c>
      <c r="AO457" s="82">
        <f>INDEX(LINEST((AV457:AY457),LN(AV456:AY456),TRUE,TRUE),3,1)</f>
        <v>0.98610167708558449</v>
      </c>
      <c r="AP457" s="82">
        <f>INDEX(LINEST((AV457:AY457),LN(AV456:AY456)),1)</f>
        <v>-4.7634470943780809E-2</v>
      </c>
      <c r="AQ457" s="83">
        <f>INDEX(LINEST(LN(AV457:AY457),SQRT(AV456:AY456),TRUE,TRUE),3,1)</f>
        <v>0.9621575341843891</v>
      </c>
      <c r="AR457" s="116">
        <f>INDEX(LINEST(LN(AV457:AY457),SQRT((AV456:AY456))),1)</f>
        <v>-2.9873634598378907E-3</v>
      </c>
      <c r="AS457" s="84">
        <f>INDEX(LINEST(1/(AV457:AY457),1/(SQRT(AV456:AY456)),TRUE,TRUE),3,1)</f>
        <v>0.48708424928868316</v>
      </c>
      <c r="AT457" s="84">
        <f>INDEX(LINEST(1/(AV457:AY457),1/SQRT(AV456:AY456)),1)</f>
        <v>-83.114644347364973</v>
      </c>
      <c r="AU457" s="3"/>
      <c r="AV457" s="163">
        <v>0.49305555555555564</v>
      </c>
      <c r="AW457" s="163">
        <v>0.1851851851851852</v>
      </c>
      <c r="AX457" s="163">
        <v>7.6388888888888881E-2</v>
      </c>
      <c r="AY457" s="163">
        <v>5.3240740740740748E-2</v>
      </c>
      <c r="AZ457" s="53"/>
      <c r="BA457" s="53"/>
      <c r="BB457" s="43"/>
      <c r="BC457" s="52"/>
      <c r="BD457" s="52"/>
      <c r="BE457" s="52"/>
      <c r="BF457" s="52"/>
      <c r="BG457" s="52"/>
      <c r="BH457" s="52"/>
      <c r="BI457" s="52"/>
      <c r="BJ457" s="52"/>
      <c r="BK457" s="52"/>
      <c r="BL457" s="52"/>
      <c r="BM457" s="52"/>
      <c r="BN457" s="52"/>
      <c r="BO457" s="52"/>
      <c r="BP457" s="52"/>
      <c r="BQ457" s="52"/>
      <c r="BR457" s="52"/>
      <c r="BS457" s="52"/>
      <c r="BT457" s="52"/>
      <c r="BU457" s="52"/>
      <c r="BV457" s="52"/>
      <c r="BW457" s="52"/>
      <c r="BX457" s="52"/>
      <c r="BY457" s="52"/>
      <c r="BZ457" s="52"/>
      <c r="CA457" s="52"/>
      <c r="CB457" s="52"/>
      <c r="CC457" s="52"/>
      <c r="CD457" s="52"/>
      <c r="CE457" s="52"/>
      <c r="CF457" s="52"/>
      <c r="CG457" s="52"/>
      <c r="CH457" s="52"/>
      <c r="CI457" s="52"/>
      <c r="CJ457" s="52"/>
      <c r="CK457" s="52"/>
      <c r="CL457" s="52"/>
      <c r="CM457" s="52"/>
      <c r="CN457" s="52"/>
      <c r="CO457" s="52"/>
      <c r="CP457" s="52"/>
      <c r="CQ457" s="52"/>
      <c r="CR457" s="1"/>
      <c r="CS457" s="1"/>
      <c r="CT457" s="1"/>
      <c r="CU457" s="1"/>
    </row>
    <row r="458" spans="1:99" s="13" customFormat="1" ht="12" customHeight="1" x14ac:dyDescent="0.2">
      <c r="A458" s="65">
        <v>43903</v>
      </c>
      <c r="D458" s="61"/>
      <c r="E458" s="76"/>
      <c r="F458" s="60"/>
      <c r="G458" s="60"/>
      <c r="H458" s="60"/>
      <c r="I458" s="60"/>
      <c r="J458" s="60"/>
      <c r="K458" s="64"/>
      <c r="L458" s="64"/>
      <c r="M458" s="60"/>
      <c r="N458" s="61"/>
      <c r="O458" s="60"/>
      <c r="P458" s="60"/>
      <c r="Q458" s="60"/>
      <c r="R458" s="60"/>
      <c r="S458" s="60"/>
      <c r="T458" s="60"/>
      <c r="U458" s="60"/>
      <c r="V458" s="60"/>
      <c r="W458" s="60"/>
      <c r="X458" s="60"/>
      <c r="Y458" s="76"/>
      <c r="Z458" s="60"/>
      <c r="AA458" s="60"/>
      <c r="AB458" s="60"/>
      <c r="AC458" s="56"/>
      <c r="AD458" s="60"/>
      <c r="AE458" s="60"/>
      <c r="AF458" s="80"/>
      <c r="AG458" s="56"/>
      <c r="AH458" s="4"/>
      <c r="AI458" s="56"/>
      <c r="AJ458" s="109"/>
      <c r="AK458" s="56"/>
      <c r="AL458" s="56"/>
      <c r="AM458" s="56"/>
      <c r="AN458" s="56"/>
      <c r="AO458" s="82"/>
      <c r="AP458" s="82"/>
      <c r="AQ458" s="83"/>
      <c r="AR458" s="116"/>
      <c r="AS458" s="84"/>
      <c r="AT458" s="84"/>
      <c r="AU458" s="3"/>
      <c r="AV458" s="162">
        <v>60</v>
      </c>
      <c r="AW458" s="162">
        <v>86400</v>
      </c>
      <c r="AX458" s="162">
        <v>259200</v>
      </c>
      <c r="AY458" s="162">
        <v>604800</v>
      </c>
      <c r="AZ458" s="53"/>
      <c r="BA458" s="53"/>
      <c r="BB458" s="43"/>
      <c r="BC458" s="37"/>
      <c r="BD458" s="37"/>
      <c r="BE458" s="37"/>
      <c r="BF458" s="37"/>
      <c r="BG458" s="37"/>
      <c r="BH458" s="37"/>
      <c r="BI458" s="37"/>
      <c r="BJ458" s="37"/>
      <c r="BK458" s="37"/>
      <c r="BL458" s="37"/>
      <c r="BM458" s="37"/>
      <c r="BN458" s="37"/>
      <c r="BO458" s="37"/>
      <c r="BP458" s="37"/>
      <c r="BQ458" s="37"/>
      <c r="BR458" s="37"/>
      <c r="BS458" s="37"/>
      <c r="BT458" s="37"/>
      <c r="BU458" s="37"/>
      <c r="BV458" s="37"/>
      <c r="BW458" s="37"/>
      <c r="BX458" s="37"/>
      <c r="BY458" s="37"/>
      <c r="BZ458" s="37"/>
      <c r="CA458" s="37"/>
      <c r="CB458" s="37"/>
      <c r="CC458" s="37"/>
      <c r="CD458" s="37"/>
      <c r="CE458" s="37"/>
      <c r="CF458" s="37"/>
      <c r="CG458" s="37"/>
      <c r="CH458" s="37"/>
      <c r="CI458" s="37"/>
      <c r="CJ458" s="37"/>
      <c r="CK458" s="37"/>
      <c r="CL458" s="37"/>
      <c r="CM458" s="37"/>
      <c r="CN458" s="37"/>
      <c r="CO458" s="37"/>
      <c r="CP458" s="37"/>
      <c r="CQ458" s="37"/>
      <c r="CR458" s="1"/>
      <c r="CS458" s="1"/>
      <c r="CT458" s="1"/>
      <c r="CU458" s="1"/>
    </row>
    <row r="459" spans="1:99" s="13" customFormat="1" ht="12" customHeight="1" x14ac:dyDescent="0.2">
      <c r="A459" s="65">
        <v>43903</v>
      </c>
      <c r="B459" s="1" t="s">
        <v>473</v>
      </c>
      <c r="C459" s="1" t="s">
        <v>474</v>
      </c>
      <c r="D459" s="60">
        <v>2020</v>
      </c>
      <c r="E459" s="76">
        <v>3</v>
      </c>
      <c r="F459" s="60">
        <v>96</v>
      </c>
      <c r="G459" s="60">
        <v>24</v>
      </c>
      <c r="H459" s="60"/>
      <c r="I459" s="60" t="s">
        <v>477</v>
      </c>
      <c r="J459" s="60" t="s">
        <v>475</v>
      </c>
      <c r="K459" s="60">
        <f>IF(J459="syllables",1,IF(J459="trigrams",2,IF(J459="strings",3,IF(J459="visual array",4,IF(J459="characters",5,IF(J459="letters",6,IF(J459="free forms",7,IF(J459="odors",8,IF(J459="words",9,IF(J459="pictures",10,IF(J459="object pictures",11,IF(J459="faces",12,IF(J459="names",13,IF(J459="idioms",14,IF(J459="grades",15,IF(J459="syllable-digit pairs",16,IF(J459="trigram-word pairs",17,IF(J459="word-digit pairs",18,IF(J459="English-Swahili pairs",19,IF(J459="spatial position",20,IF(J459="word pairs",21,IF(J459="word triads",22,IF(J459="generated words",23,IF(J459="word definition pairs",24,IF(J459="math problems",25,IF(J459="famous faces",26,IF(J459="famous names",27,IF(J459="famous voices",28,IF(J459="television programs",29,IF(J459="race horses",30,IF(J459="new vocabulary",31,IF(J459="sentences",32,IF(J459="concepts",33,IF(J459="ad slides",34,IF(J459="scenes",35,IF(J459="famous scenes",36,IF(J459="poems",37,IF(J459="walk",38,IF(J459="faces and events",39,IF(J459="events and names",40,IF(J459="flashbulb",41,IF(J459="stories",42,IF(J459="course material",43,IF(J459="autobiographical",44,IF(J459="novels",45,IF(J459="public events",46,"99"))))))))))))))))))))))))))))))))))))))))))))))</f>
        <v>32</v>
      </c>
      <c r="L459" s="60">
        <f>IF(J459="syllables",1,IF(J459="trigrams",1,IF(J459="strings",1,IF(J459="visual array",1,IF(J459="characters",1,IF(J459="letters",1,IF(J459="free forms",1,IF(J459="odors",2,IF(J459="words",2,IF(J459="pictures",2,IF(J459="object pictures",2,IF(J459="faces",2,IF(J459="names",2,IF(J459="idioms","2",IF(J459="grades",2,IF(J459="syllable-digit pairs",3,IF(J459="trigram-word pairs",3,IF(J459="word-digit pairs",3,IF(J459="English-Swahili pairs",3,IF(J459="spatial position",3,IF(J459="word pairs",4,IF(J459="word triads",4,IF(J459="generated words",4,IF(J459="word definition pairs",4,IF(J459="math problems",4,IF(J459="famous faces",4,IF(J459="famous names",4,IF(J459="famous voices",4,IF(J459="television programs",4,IF(J459="race horses",4,IF(J459="new vocabulary",4,IF(J459="sentences",5,IF(J459="concepts",5,IF(J459="ad slides",5,IF(J459="scenes",5,IF(J459="famous scenes",5,IF(J459="poems",6,IF(J459="walk",6,IF(J459="faces and events",6,IF(J459="events and names",6,IF(J459="flashbulb",7,IF(J459="stories",7,IF(J459="course material",7,IF(J459="autobiographical",7,IF(J459="novels",7,IF(J459="public events",7,"99"))))))))))))))))))))))))))))))))))))))))))))))</f>
        <v>5</v>
      </c>
      <c r="M459" s="60">
        <v>0</v>
      </c>
      <c r="N459" s="61">
        <v>2</v>
      </c>
      <c r="O459" s="60">
        <v>0</v>
      </c>
      <c r="P459" s="60"/>
      <c r="Q459" s="60" t="s">
        <v>34</v>
      </c>
      <c r="R459" s="60">
        <f>IF(Q459="Free Recall",1,IF(Q459="Cued Recall",2,IF(Q459="Recognition",3,IF(Q459="Multiple Choice",4,IF(Q459="Savings",5,IF(Q459="Stem Completion",6,IF(Q459="Fragment Completion",7,IF(Q459="anagram solution",8,IF(Q459="Matching",9,IF(Q459="Problem Solving",10,"99"))))))))))</f>
        <v>3</v>
      </c>
      <c r="S459" s="60" t="s">
        <v>15</v>
      </c>
      <c r="T459" s="60" t="s">
        <v>261</v>
      </c>
      <c r="U459" s="60">
        <f>IF(T459="within",1,0)</f>
        <v>0</v>
      </c>
      <c r="V459" s="60">
        <v>18</v>
      </c>
      <c r="W459" s="60">
        <f>F459*V459</f>
        <v>1728</v>
      </c>
      <c r="X459" s="60">
        <v>4</v>
      </c>
      <c r="Y459" s="76">
        <f>AV458</f>
        <v>60</v>
      </c>
      <c r="Z459" s="60" t="s">
        <v>97</v>
      </c>
      <c r="AA459" s="60">
        <v>604800</v>
      </c>
      <c r="AB459" s="60" t="str">
        <f>IF(AA459&lt;60,"1",IF(AA459&lt;=43200,"2",IF(AA459&lt;=777600,"3","4")))</f>
        <v>3</v>
      </c>
      <c r="AC459" s="56">
        <f>AVERAGE(AV458:DA458)</f>
        <v>237615</v>
      </c>
      <c r="AD459" s="60" t="str">
        <f>IF(AC459&lt;60,"1",IF(AC459&lt;=43200,"2",IF(AC459&lt;=777600,"3","4")))</f>
        <v>3</v>
      </c>
      <c r="AE459" s="76">
        <f>AA459-Y459</f>
        <v>604740</v>
      </c>
      <c r="AF459" s="80">
        <f>AV459</f>
        <v>0.81018518518518512</v>
      </c>
      <c r="AG459" s="56">
        <f>((AW459-AV459)+(AX459-AW459)+(AY459-AX459))/3</f>
        <v>-6.4043209876543175E-2</v>
      </c>
      <c r="AH459" s="4"/>
      <c r="AI459" s="56">
        <f>RSQ(AV459:AY459,AV458:AY458)</f>
        <v>0.71502775591513534</v>
      </c>
      <c r="AJ459" s="109">
        <f>SLOPE(AV459:AY459,AV458:AY458)</f>
        <v>-2.5277816930513689E-7</v>
      </c>
      <c r="AK459" s="56">
        <f>INTERCEPT(AV459:AY459,AV458:AY458)</f>
        <v>0.76087406988462525</v>
      </c>
      <c r="AL459" s="56">
        <f>INDEX(LINEST(LN(AV459:AY459),LN(AV458:AY458),TRUE,TRUE),3,1)</f>
        <v>0.89221662518285438</v>
      </c>
      <c r="AM459" s="56">
        <f>INDEX(LINEST(LN(AV459:AY459),LN(AV458:AY458)),1)</f>
        <v>-2.5025125375607447E-2</v>
      </c>
      <c r="AN459" s="56">
        <f>EXP(INDEX(LINEST(LN(AV459:AY459),LN(AV458:AY458)),1,2))</f>
        <v>0.90279162234221189</v>
      </c>
      <c r="AO459" s="82">
        <f>INDEX(LINEST((AV459:AY459),LN(AV458:AY458),TRUE,TRUE),3,1)</f>
        <v>0.91584094917251568</v>
      </c>
      <c r="AP459" s="82">
        <f>INDEX(LINEST((AV459:AY459),LN(AV458:AY458)),1)</f>
        <v>-1.8133025249210854E-2</v>
      </c>
      <c r="AQ459" s="83">
        <f>INDEX(LINEST(LN(AV459:AY459),SQRT(AV458:AY458),TRUE,TRUE),3,1)</f>
        <v>0.89800024273816903</v>
      </c>
      <c r="AR459" s="116">
        <f>INDEX(LINEST(LN(AV459:AY459),SQRT((AV458:AY458))),1)</f>
        <v>-3.2454447327495792E-4</v>
      </c>
      <c r="AS459" s="84">
        <f>INDEX(LINEST(1/(AV459:AY459),1/(SQRT(AV458:AY458)),TRUE,TRUE),3,1)</f>
        <v>0.7685969271977896</v>
      </c>
      <c r="AT459" s="84">
        <f>INDEX(LINEST(1/(AV459:AY459),1/SQRT(AV458:AY458)),1)</f>
        <v>-2.1769844261487576</v>
      </c>
      <c r="AU459" s="3"/>
      <c r="AV459" s="163">
        <v>0.81018518518518512</v>
      </c>
      <c r="AW459" s="163">
        <v>0.68518518518518512</v>
      </c>
      <c r="AX459" s="163">
        <v>0.68981481481481477</v>
      </c>
      <c r="AY459" s="163">
        <v>0.61805555555555558</v>
      </c>
      <c r="AZ459" s="53"/>
      <c r="BA459" s="53"/>
      <c r="BB459" s="43"/>
      <c r="BC459" s="37"/>
      <c r="BD459" s="37"/>
      <c r="BE459" s="37"/>
      <c r="BF459" s="37"/>
      <c r="BG459" s="37"/>
      <c r="BH459" s="37"/>
      <c r="BI459" s="37"/>
      <c r="BJ459" s="37"/>
      <c r="BK459" s="37"/>
      <c r="BL459" s="37"/>
      <c r="BM459" s="37"/>
      <c r="BN459" s="37"/>
      <c r="BO459" s="37"/>
      <c r="BP459" s="37"/>
      <c r="BQ459" s="37"/>
      <c r="BR459" s="37"/>
      <c r="BS459" s="37"/>
      <c r="BT459" s="37"/>
      <c r="BU459" s="37"/>
      <c r="BV459" s="37"/>
      <c r="BW459" s="37"/>
      <c r="BX459" s="37"/>
      <c r="BY459" s="37"/>
      <c r="BZ459" s="37"/>
      <c r="CA459" s="37"/>
      <c r="CB459" s="37"/>
      <c r="CC459" s="37"/>
      <c r="CD459" s="37"/>
      <c r="CE459" s="37"/>
      <c r="CF459" s="37"/>
      <c r="CG459" s="37"/>
      <c r="CH459" s="37"/>
      <c r="CI459" s="37"/>
      <c r="CJ459" s="37"/>
      <c r="CK459" s="37"/>
      <c r="CL459" s="37"/>
      <c r="CM459" s="37"/>
      <c r="CN459" s="37"/>
      <c r="CO459" s="37"/>
      <c r="CP459" s="37"/>
      <c r="CQ459" s="37"/>
      <c r="CR459" s="1"/>
      <c r="CS459" s="1"/>
      <c r="CT459" s="1"/>
      <c r="CU459" s="1"/>
    </row>
    <row r="460" spans="1:99" s="13" customFormat="1" ht="12" customHeight="1" x14ac:dyDescent="0.2">
      <c r="A460" s="65">
        <v>43903</v>
      </c>
      <c r="D460" s="61"/>
      <c r="E460" s="76"/>
      <c r="F460" s="60"/>
      <c r="G460" s="60"/>
      <c r="H460" s="60"/>
      <c r="I460" s="60"/>
      <c r="J460" s="60"/>
      <c r="K460" s="64"/>
      <c r="L460" s="64"/>
      <c r="M460" s="60"/>
      <c r="N460" s="61"/>
      <c r="O460" s="60"/>
      <c r="P460" s="60"/>
      <c r="Q460" s="60"/>
      <c r="R460" s="60"/>
      <c r="S460" s="60"/>
      <c r="T460" s="60"/>
      <c r="U460" s="60"/>
      <c r="V460" s="60"/>
      <c r="W460" s="60"/>
      <c r="X460" s="60"/>
      <c r="Y460" s="76"/>
      <c r="Z460" s="60"/>
      <c r="AA460" s="60"/>
      <c r="AB460" s="60"/>
      <c r="AC460" s="56"/>
      <c r="AD460" s="60"/>
      <c r="AE460" s="60"/>
      <c r="AF460" s="80"/>
      <c r="AG460" s="56"/>
      <c r="AH460" s="4"/>
      <c r="AI460" s="56"/>
      <c r="AJ460" s="109"/>
      <c r="AK460" s="56"/>
      <c r="AL460" s="56"/>
      <c r="AM460" s="56"/>
      <c r="AN460" s="56"/>
      <c r="AO460" s="82"/>
      <c r="AP460" s="82"/>
      <c r="AQ460" s="83"/>
      <c r="AR460" s="116"/>
      <c r="AS460" s="84"/>
      <c r="AT460" s="84"/>
      <c r="AU460" s="3"/>
      <c r="AV460" s="162">
        <v>60</v>
      </c>
      <c r="AW460" s="162">
        <v>86400</v>
      </c>
      <c r="AX460" s="162">
        <v>259200</v>
      </c>
      <c r="AY460" s="162">
        <v>604800</v>
      </c>
      <c r="AZ460" s="53"/>
      <c r="BA460" s="53"/>
      <c r="BB460" s="43"/>
      <c r="BC460" s="37"/>
      <c r="BD460" s="37"/>
      <c r="BE460" s="37"/>
      <c r="BF460" s="37"/>
      <c r="BG460" s="37"/>
      <c r="BH460" s="37"/>
      <c r="BI460" s="37"/>
      <c r="BJ460" s="37"/>
      <c r="BK460" s="37"/>
      <c r="BL460" s="37"/>
      <c r="BM460" s="37"/>
      <c r="BN460" s="37"/>
      <c r="BO460" s="37"/>
      <c r="BP460" s="37"/>
      <c r="BQ460" s="37"/>
      <c r="BR460" s="37"/>
      <c r="BS460" s="37"/>
      <c r="BT460" s="37"/>
      <c r="BU460" s="37"/>
      <c r="BV460" s="37"/>
      <c r="BW460" s="37"/>
      <c r="BX460" s="37"/>
      <c r="BY460" s="37"/>
      <c r="BZ460" s="37"/>
      <c r="CA460" s="37"/>
      <c r="CB460" s="37"/>
      <c r="CC460" s="37"/>
      <c r="CD460" s="37"/>
      <c r="CE460" s="37"/>
      <c r="CF460" s="37"/>
      <c r="CG460" s="37"/>
      <c r="CH460" s="37"/>
      <c r="CI460" s="37"/>
      <c r="CJ460" s="37"/>
      <c r="CK460" s="37"/>
      <c r="CL460" s="37"/>
      <c r="CM460" s="37"/>
      <c r="CN460" s="37"/>
      <c r="CO460" s="37"/>
      <c r="CP460" s="37"/>
      <c r="CQ460" s="37"/>
      <c r="CR460" s="1"/>
      <c r="CS460" s="1"/>
      <c r="CT460" s="1"/>
      <c r="CU460" s="1"/>
    </row>
    <row r="461" spans="1:99" s="13" customFormat="1" ht="12" customHeight="1" x14ac:dyDescent="0.2">
      <c r="A461" s="65">
        <v>43903</v>
      </c>
      <c r="B461" s="1" t="s">
        <v>473</v>
      </c>
      <c r="C461" s="1" t="s">
        <v>474</v>
      </c>
      <c r="D461" s="60">
        <v>2020</v>
      </c>
      <c r="E461" s="76">
        <v>3</v>
      </c>
      <c r="F461" s="60">
        <v>96</v>
      </c>
      <c r="G461" s="60">
        <v>24</v>
      </c>
      <c r="H461" s="60"/>
      <c r="I461" s="60" t="s">
        <v>478</v>
      </c>
      <c r="J461" s="60" t="s">
        <v>475</v>
      </c>
      <c r="K461" s="60">
        <f>IF(J461="syllables",1,IF(J461="trigrams",2,IF(J461="strings",3,IF(J461="visual array",4,IF(J461="characters",5,IF(J461="letters",6,IF(J461="free forms",7,IF(J461="odors",8,IF(J461="words",9,IF(J461="pictures",10,IF(J461="object pictures",11,IF(J461="faces",12,IF(J461="names",13,IF(J461="idioms",14,IF(J461="grades",15,IF(J461="syllable-digit pairs",16,IF(J461="trigram-word pairs",17,IF(J461="word-digit pairs",18,IF(J461="English-Swahili pairs",19,IF(J461="spatial position",20,IF(J461="word pairs",21,IF(J461="word triads",22,IF(J461="generated words",23,IF(J461="word definition pairs",24,IF(J461="math problems",25,IF(J461="famous faces",26,IF(J461="famous names",27,IF(J461="famous voices",28,IF(J461="television programs",29,IF(J461="race horses",30,IF(J461="new vocabulary",31,IF(J461="sentences",32,IF(J461="concepts",33,IF(J461="ad slides",34,IF(J461="scenes",35,IF(J461="famous scenes",36,IF(J461="poems",37,IF(J461="walk",38,IF(J461="faces and events",39,IF(J461="events and names",40,IF(J461="flashbulb",41,IF(J461="stories",42,IF(J461="course material",43,IF(J461="autobiographical",44,IF(J461="novels",45,IF(J461="public events",46,"99"))))))))))))))))))))))))))))))))))))))))))))))</f>
        <v>32</v>
      </c>
      <c r="L461" s="60">
        <f>IF(J461="syllables",1,IF(J461="trigrams",1,IF(J461="strings",1,IF(J461="visual array",1,IF(J461="characters",1,IF(J461="letters",1,IF(J461="free forms",1,IF(J461="odors",2,IF(J461="words",2,IF(J461="pictures",2,IF(J461="object pictures",2,IF(J461="faces",2,IF(J461="names",2,IF(J461="idioms","2",IF(J461="grades",2,IF(J461="syllable-digit pairs",3,IF(J461="trigram-word pairs",3,IF(J461="word-digit pairs",3,IF(J461="English-Swahili pairs",3,IF(J461="spatial position",3,IF(J461="word pairs",4,IF(J461="word triads",4,IF(J461="generated words",4,IF(J461="word definition pairs",4,IF(J461="math problems",4,IF(J461="famous faces",4,IF(J461="famous names",4,IF(J461="famous voices",4,IF(J461="television programs",4,IF(J461="race horses",4,IF(J461="new vocabulary",4,IF(J461="sentences",5,IF(J461="concepts",5,IF(J461="ad slides",5,IF(J461="scenes",5,IF(J461="famous scenes",5,IF(J461="poems",6,IF(J461="walk",6,IF(J461="faces and events",6,IF(J461="events and names",6,IF(J461="flashbulb",7,IF(J461="stories",7,IF(J461="course material",7,IF(J461="autobiographical",7,IF(J461="novels",7,IF(J461="public events",7,"99"))))))))))))))))))))))))))))))))))))))))))))))</f>
        <v>5</v>
      </c>
      <c r="M461" s="60">
        <v>0</v>
      </c>
      <c r="N461" s="61">
        <v>1</v>
      </c>
      <c r="O461" s="60">
        <v>0</v>
      </c>
      <c r="P461" s="60"/>
      <c r="Q461" s="60" t="s">
        <v>34</v>
      </c>
      <c r="R461" s="60">
        <f>IF(Q461="Free Recall",1,IF(Q461="Cued Recall",2,IF(Q461="Recognition",3,IF(Q461="Multiple Choice",4,IF(Q461="Savings",5,IF(Q461="Stem Completion",6,IF(Q461="Fragment Completion",7,IF(Q461="anagram solution",8,IF(Q461="Matching",9,IF(Q461="Problem Solving",10,"99"))))))))))</f>
        <v>3</v>
      </c>
      <c r="S461" s="60" t="s">
        <v>15</v>
      </c>
      <c r="T461" s="60" t="s">
        <v>261</v>
      </c>
      <c r="U461" s="60">
        <f>IF(T461="within",1,0)</f>
        <v>0</v>
      </c>
      <c r="V461" s="60">
        <v>18</v>
      </c>
      <c r="W461" s="60">
        <f>F461*V461</f>
        <v>1728</v>
      </c>
      <c r="X461" s="60">
        <v>4</v>
      </c>
      <c r="Y461" s="76">
        <f>AV460</f>
        <v>60</v>
      </c>
      <c r="Z461" s="60" t="s">
        <v>97</v>
      </c>
      <c r="AA461" s="60">
        <v>604800</v>
      </c>
      <c r="AB461" s="60" t="str">
        <f>IF(AA461&lt;60,"1",IF(AA461&lt;=43200,"2",IF(AA461&lt;=777600,"3","4")))</f>
        <v>3</v>
      </c>
      <c r="AC461" s="56">
        <f>AVERAGE(AV460:DA460)</f>
        <v>237615</v>
      </c>
      <c r="AD461" s="60" t="str">
        <f>IF(AC461&lt;60,"1",IF(AC461&lt;=43200,"2",IF(AC461&lt;=777600,"3","4")))</f>
        <v>3</v>
      </c>
      <c r="AE461" s="76">
        <f>AA461-Y461</f>
        <v>604740</v>
      </c>
      <c r="AF461" s="80">
        <f>AV461</f>
        <v>0.72685185185185197</v>
      </c>
      <c r="AG461" s="56">
        <f>((AW461-AV461)+(AX461-AW461)+(AY461-AX461))/3</f>
        <v>-8.2561728395061804E-2</v>
      </c>
      <c r="AH461" s="4"/>
      <c r="AI461" s="56">
        <f>RSQ(AV461:AY461,AV460:AY460)</f>
        <v>0.49696070812875476</v>
      </c>
      <c r="AJ461" s="109">
        <f>SLOPE(AV461:AY461,AV460:AY460)</f>
        <v>-3.3524294702958424E-7</v>
      </c>
      <c r="AK461" s="56">
        <f>INTERCEPT(AV461:AY461,AV460:AY460)</f>
        <v>0.63116338248806425</v>
      </c>
      <c r="AL461" s="56">
        <f>INDEX(LINEST(LN(AV461:AY461),LN(AV460:AY460),TRUE,TRUE),3,1)</f>
        <v>0.87300267354646544</v>
      </c>
      <c r="AM461" s="56">
        <f>INDEX(LINEST(LN(AV461:AY461),LN(AV460:AY460)),1)</f>
        <v>-4.8853910085287923E-2</v>
      </c>
      <c r="AN461" s="56">
        <f>EXP(INDEX(LINEST(LN(AV461:AY461),LN(AV460:AY460)),1,2))</f>
        <v>0.89562415530675088</v>
      </c>
      <c r="AO461" s="82">
        <f>INDEX(LINEST((AV461:AY461),LN(AV460:AY460),TRUE,TRUE),3,1)</f>
        <v>0.9133517922389166</v>
      </c>
      <c r="AP461" s="82">
        <f>INDEX(LINEST((AV461:AY461),LN(AV460:AY460)),1)</f>
        <v>-2.8807116527343322E-2</v>
      </c>
      <c r="AQ461" s="83">
        <f>INDEX(LINEST(LN(AV461:AY461),SQRT(AV460:AY460),TRUE,TRUE),3,1)</f>
        <v>0.75691971719156459</v>
      </c>
      <c r="AR461" s="116">
        <f>INDEX(LINEST(LN(AV461:AY461),SQRT((AV460:AY460))),1)</f>
        <v>-5.8804604809946403E-4</v>
      </c>
      <c r="AS461" s="84">
        <f>INDEX(LINEST(1/(AV461:AY461),1/(SQRT(AV460:AY460)),TRUE,TRUE),3,1)</f>
        <v>0.74554705073282379</v>
      </c>
      <c r="AT461" s="84">
        <f>INDEX(LINEST(1/(AV461:AY461),1/SQRT(AV460:AY460)),1)</f>
        <v>-5.3349975576195208</v>
      </c>
      <c r="AU461" s="3"/>
      <c r="AV461" s="163">
        <v>0.72685185185185197</v>
      </c>
      <c r="AW461" s="163">
        <v>0.56018518518518523</v>
      </c>
      <c r="AX461" s="163">
        <v>0.43981481481481483</v>
      </c>
      <c r="AY461" s="163">
        <v>0.47916666666666657</v>
      </c>
      <c r="AZ461" s="53"/>
      <c r="BA461" s="53"/>
      <c r="BB461" s="43"/>
      <c r="BC461" s="37"/>
      <c r="BD461" s="37"/>
      <c r="BE461" s="37"/>
      <c r="BF461" s="37"/>
      <c r="BG461" s="37"/>
      <c r="BH461" s="37"/>
      <c r="BI461" s="37"/>
      <c r="BJ461" s="37"/>
      <c r="BK461" s="37"/>
      <c r="BL461" s="37"/>
      <c r="BM461" s="37"/>
      <c r="BN461" s="37"/>
      <c r="BO461" s="37"/>
      <c r="BP461" s="37"/>
      <c r="BQ461" s="37"/>
      <c r="BR461" s="37"/>
      <c r="BS461" s="37"/>
      <c r="BT461" s="37"/>
      <c r="BU461" s="37"/>
      <c r="BV461" s="37"/>
      <c r="BW461" s="37"/>
      <c r="BX461" s="37"/>
      <c r="BY461" s="37"/>
      <c r="BZ461" s="37"/>
      <c r="CA461" s="37"/>
      <c r="CB461" s="37"/>
      <c r="CC461" s="37"/>
      <c r="CD461" s="37"/>
      <c r="CE461" s="37"/>
      <c r="CF461" s="37"/>
      <c r="CG461" s="37"/>
      <c r="CH461" s="37"/>
      <c r="CI461" s="37"/>
      <c r="CJ461" s="37"/>
      <c r="CK461" s="37"/>
      <c r="CL461" s="37"/>
      <c r="CM461" s="37"/>
      <c r="CN461" s="37"/>
      <c r="CO461" s="37"/>
      <c r="CP461" s="37"/>
      <c r="CQ461" s="37"/>
      <c r="CR461" s="1"/>
      <c r="CS461" s="1"/>
      <c r="CT461" s="1"/>
      <c r="CU461" s="1"/>
    </row>
    <row r="462" spans="1:99" s="13" customFormat="1" ht="12" customHeight="1" x14ac:dyDescent="0.2">
      <c r="A462" s="65">
        <v>43903</v>
      </c>
      <c r="D462" s="61"/>
      <c r="E462" s="76"/>
      <c r="F462" s="60"/>
      <c r="G462" s="60"/>
      <c r="H462" s="60"/>
      <c r="I462" s="60"/>
      <c r="J462" s="60"/>
      <c r="K462" s="64"/>
      <c r="L462" s="64"/>
      <c r="M462" s="60"/>
      <c r="N462" s="61"/>
      <c r="O462" s="60"/>
      <c r="P462" s="60"/>
      <c r="Q462" s="60"/>
      <c r="R462" s="60"/>
      <c r="S462" s="60"/>
      <c r="T462" s="60"/>
      <c r="U462" s="60"/>
      <c r="V462" s="60"/>
      <c r="W462" s="60"/>
      <c r="X462" s="60"/>
      <c r="Y462" s="76"/>
      <c r="Z462" s="60"/>
      <c r="AA462" s="60"/>
      <c r="AB462" s="60"/>
      <c r="AC462" s="56"/>
      <c r="AD462" s="60"/>
      <c r="AE462" s="60"/>
      <c r="AF462" s="80"/>
      <c r="AG462" s="56"/>
      <c r="AH462" s="4"/>
      <c r="AI462" s="56"/>
      <c r="AJ462" s="109"/>
      <c r="AK462" s="56"/>
      <c r="AL462" s="56"/>
      <c r="AM462" s="56"/>
      <c r="AN462" s="56"/>
      <c r="AO462" s="82"/>
      <c r="AP462" s="82"/>
      <c r="AQ462" s="83"/>
      <c r="AR462" s="116"/>
      <c r="AS462" s="84"/>
      <c r="AT462" s="84"/>
      <c r="AU462" s="3"/>
      <c r="AV462" s="25">
        <v>60</v>
      </c>
      <c r="AW462" s="25">
        <v>86400</v>
      </c>
      <c r="AX462" s="25">
        <v>259200</v>
      </c>
      <c r="AY462" s="25">
        <v>604800</v>
      </c>
      <c r="AZ462" s="53"/>
      <c r="BA462" s="53"/>
      <c r="BB462" s="43"/>
      <c r="BC462" s="37"/>
      <c r="BD462" s="37"/>
      <c r="BE462" s="37"/>
      <c r="BF462" s="37"/>
      <c r="BG462" s="37"/>
      <c r="BH462" s="37"/>
      <c r="BI462" s="37"/>
      <c r="BJ462" s="37"/>
      <c r="BK462" s="37"/>
      <c r="BL462" s="37"/>
      <c r="BM462" s="37"/>
      <c r="BN462" s="37"/>
      <c r="BO462" s="37"/>
      <c r="BP462" s="37"/>
      <c r="BQ462" s="37"/>
      <c r="BR462" s="37"/>
      <c r="BS462" s="37"/>
      <c r="BT462" s="37"/>
      <c r="BU462" s="37"/>
      <c r="BV462" s="37"/>
      <c r="BW462" s="37"/>
      <c r="BX462" s="37"/>
      <c r="BY462" s="37"/>
      <c r="BZ462" s="37"/>
      <c r="CA462" s="37"/>
      <c r="CB462" s="37"/>
      <c r="CC462" s="37"/>
      <c r="CD462" s="37"/>
      <c r="CE462" s="37"/>
      <c r="CF462" s="37"/>
      <c r="CG462" s="37"/>
      <c r="CH462" s="37"/>
      <c r="CI462" s="37"/>
      <c r="CJ462" s="37"/>
      <c r="CK462" s="37"/>
      <c r="CL462" s="37"/>
      <c r="CM462" s="37"/>
      <c r="CN462" s="37"/>
      <c r="CO462" s="37"/>
      <c r="CP462" s="37"/>
      <c r="CQ462" s="37"/>
      <c r="CR462" s="1"/>
      <c r="CS462" s="1"/>
      <c r="CT462" s="1"/>
      <c r="CU462" s="1"/>
    </row>
    <row r="463" spans="1:99" s="13" customFormat="1" ht="12" customHeight="1" x14ac:dyDescent="0.2">
      <c r="A463" s="65">
        <v>43903</v>
      </c>
      <c r="B463" s="1" t="s">
        <v>473</v>
      </c>
      <c r="C463" s="1" t="s">
        <v>474</v>
      </c>
      <c r="D463" s="60">
        <v>2020</v>
      </c>
      <c r="E463" s="76">
        <v>4</v>
      </c>
      <c r="F463" s="60">
        <v>96</v>
      </c>
      <c r="G463" s="60">
        <v>24</v>
      </c>
      <c r="H463" s="60"/>
      <c r="I463" s="60" t="s">
        <v>479</v>
      </c>
      <c r="J463" s="60" t="s">
        <v>16</v>
      </c>
      <c r="K463" s="60">
        <f>IF(J463="syllables",1,IF(J463="trigrams",2,IF(J463="strings",3,IF(J463="visual array",4,IF(J463="characters",5,IF(J463="letters",6,IF(J463="free forms",7,IF(J463="odors",8,IF(J463="words",9,IF(J463="pictures",10,IF(J463="object pictures",11,IF(J463="faces",12,IF(J463="names",13,IF(J463="idioms",14,IF(J463="grades",15,IF(J463="syllable-digit pairs",16,IF(J463="trigram-word pairs",17,IF(J463="word-digit pairs",18,IF(J463="English-Swahili pairs",19,IF(J463="spatial position",20,IF(J463="word pairs",21,IF(J463="word triads",22,IF(J463="generated words",23,IF(J463="word definition pairs",24,IF(J463="math problems",25,IF(J463="famous faces",26,IF(J463="famous names",27,IF(J463="famous voices",28,IF(J463="television programs",29,IF(J463="race horses",30,IF(J463="new vocabulary",31,IF(J463="sentences",32,IF(J463="concepts",33,IF(J463="ad slides",34,IF(J463="scenes",35,IF(J463="famous scenes",36,IF(J463="poems",37,IF(J463="walk",38,IF(J463="faces and events",39,IF(J463="events and names",40,IF(J463="flashbulb",41,IF(J463="stories",42,IF(J463="course material",43,IF(J463="autobiographical",44,IF(J463="novels",45,IF(J463="public events",46,"99"))))))))))))))))))))))))))))))))))))))))))))))</f>
        <v>9</v>
      </c>
      <c r="L463" s="60">
        <f>IF(J463="syllables",1,IF(J463="trigrams",1,IF(J463="strings",1,IF(J463="visual array",1,IF(J463="characters",1,IF(J463="letters",1,IF(J463="free forms",1,IF(J463="odors",2,IF(J463="words",2,IF(J463="pictures",2,IF(J463="object pictures",2,IF(J463="faces",2,IF(J463="names",2,IF(J463="idioms","2",IF(J463="grades",2,IF(J463="syllable-digit pairs",3,IF(J463="trigram-word pairs",3,IF(J463="word-digit pairs",3,IF(J463="English-Swahili pairs",3,IF(J463="spatial position",3,IF(J463="word pairs",4,IF(J463="word triads",4,IF(J463="generated words",4,IF(J463="word definition pairs",4,IF(J463="math problems",4,IF(J463="famous faces",4,IF(J463="famous names",4,IF(J463="famous voices",4,IF(J463="television programs",4,IF(J463="race horses",4,IF(J463="new vocabulary",4,IF(J463="sentences",5,IF(J463="concepts",5,IF(J463="ad slides",5,IF(J463="scenes",5,IF(J463="famous scenes",5,IF(J463="poems",6,IF(J463="walk",6,IF(J463="faces and events",6,IF(J463="events and names",6,IF(J463="flashbulb",7,IF(J463="stories",7,IF(J463="course material",7,IF(J463="autobiographical",7,IF(J463="novels",7,IF(J463="public events",7,"99"))))))))))))))))))))))))))))))))))))))))))))))</f>
        <v>2</v>
      </c>
      <c r="M463" s="60">
        <v>0</v>
      </c>
      <c r="N463" s="61">
        <v>1</v>
      </c>
      <c r="O463" s="60">
        <v>0</v>
      </c>
      <c r="P463" s="60"/>
      <c r="Q463" s="60" t="s">
        <v>174</v>
      </c>
      <c r="R463" s="60">
        <f>IF(Q463="Free Recall",1,IF(Q463="Cued Recall",2,IF(Q463="Recognition",3,IF(Q463="Multiple Choice",4,IF(Q463="Savings",5,IF(Q463="Stem Completion",6,IF(Q463="Fragment Completion",7,IF(Q463="anagram solution",8,IF(Q463="Matching",9,IF(Q463="Problem Solving",10,"99"))))))))))</f>
        <v>1</v>
      </c>
      <c r="S463" s="60" t="s">
        <v>49</v>
      </c>
      <c r="T463" s="60" t="s">
        <v>261</v>
      </c>
      <c r="U463" s="60">
        <f>IF(T463="within",1,0)</f>
        <v>0</v>
      </c>
      <c r="V463" s="60">
        <v>12</v>
      </c>
      <c r="W463" s="60">
        <f>F463*V463</f>
        <v>1152</v>
      </c>
      <c r="X463" s="60">
        <v>4</v>
      </c>
      <c r="Y463" s="76">
        <f>AV462</f>
        <v>60</v>
      </c>
      <c r="Z463" s="60" t="s">
        <v>97</v>
      </c>
      <c r="AA463" s="60">
        <v>604800</v>
      </c>
      <c r="AB463" s="60" t="str">
        <f>IF(AA463&lt;60,"1",IF(AA463&lt;=43200,"2",IF(AA463&lt;=777600,"3","4")))</f>
        <v>3</v>
      </c>
      <c r="AC463" s="56">
        <f>AVERAGE(AV462:DA462)</f>
        <v>237615</v>
      </c>
      <c r="AD463" s="60" t="str">
        <f>IF(AC463&lt;60,"1",IF(AC463&lt;=43200,"2",IF(AC463&lt;=777600,"3","4")))</f>
        <v>3</v>
      </c>
      <c r="AE463" s="76">
        <f>AA463-Y463</f>
        <v>604740</v>
      </c>
      <c r="AF463" s="80">
        <f>AV463</f>
        <v>0.76388888888888873</v>
      </c>
      <c r="AG463" s="56">
        <f>((AW463-AV463)+(AX463-AW463)+(AY463-AX463))/3</f>
        <v>-0.19212962962962962</v>
      </c>
      <c r="AH463" s="4"/>
      <c r="AI463" s="56">
        <f>RSQ(AV463:AY463,AV462:AY462)</f>
        <v>0.59663977629434162</v>
      </c>
      <c r="AJ463" s="109">
        <f>SLOPE(AV463:AY463,AV462:AY462)</f>
        <v>-7.2092847270108981E-7</v>
      </c>
      <c r="AK463" s="56">
        <f>INTERCEPT(AV463:AY463,AV462:AY462)</f>
        <v>0.57494925237420269</v>
      </c>
      <c r="AL463" s="56">
        <f>INDEX(LINEST(LN(AV463:AY463),LN(AV462:AY462),TRUE,TRUE),3,1)</f>
        <v>0.88273613879667445</v>
      </c>
      <c r="AM463" s="56">
        <f>INDEX(LINEST(LN(AV463:AY463),LN(AV462:AY462)),1)</f>
        <v>-0.12884593549700782</v>
      </c>
      <c r="AN463" s="56">
        <f>EXP(INDEX(LINEST(LN(AV463:AY463),LN(AV462:AY462)),1,2))</f>
        <v>1.3371845609719428</v>
      </c>
      <c r="AO463" s="82">
        <f>INDEX(LINEST((AV463:AY463),LN(AV462:AY462),TRUE,TRUE),3,1)</f>
        <v>0.97112648843817007</v>
      </c>
      <c r="AP463" s="82">
        <f>INDEX(LINEST((AV463:AY463),LN(AV462:AY462)),1)</f>
        <v>-5.8298328083112194E-2</v>
      </c>
      <c r="AQ463" s="83">
        <f>INDEX(LINEST(LN(AV463:AY463),SQRT(AV462:AY462),TRUE,TRUE),3,1)</f>
        <v>0.90326983083100076</v>
      </c>
      <c r="AR463" s="116">
        <f>INDEX(LINEST(LN(AV463:AY463),SQRT((AV462:AY462))),1)</f>
        <v>-1.6848409396423309E-3</v>
      </c>
      <c r="AS463" s="84">
        <f>INDEX(LINEST(1/(AV463:AY463),1/(SQRT(AV462:AY462)),TRUE,TRUE),3,1)</f>
        <v>0.57265051366190245</v>
      </c>
      <c r="AT463" s="84">
        <f>INDEX(LINEST(1/(AV463:AY463),1/SQRT(AV462:AY462)),1)</f>
        <v>-19.712271570273465</v>
      </c>
      <c r="AU463" s="3"/>
      <c r="AV463" s="53">
        <v>0.76388888888888873</v>
      </c>
      <c r="AW463" s="53">
        <v>0.32638888888888867</v>
      </c>
      <c r="AX463" s="53">
        <v>0.33680555555555541</v>
      </c>
      <c r="AY463" s="53">
        <v>0.18749999999999992</v>
      </c>
      <c r="AZ463" s="53"/>
      <c r="BA463" s="53"/>
      <c r="BB463" s="43"/>
      <c r="BC463" s="37"/>
      <c r="BD463" s="37"/>
      <c r="BE463" s="37"/>
      <c r="BF463" s="37"/>
      <c r="BG463" s="37"/>
      <c r="BH463" s="37"/>
      <c r="BI463" s="37"/>
      <c r="BJ463" s="37"/>
      <c r="BK463" s="37"/>
      <c r="BL463" s="37"/>
      <c r="BM463" s="37"/>
      <c r="BN463" s="37"/>
      <c r="BO463" s="37"/>
      <c r="BP463" s="37"/>
      <c r="BQ463" s="37"/>
      <c r="BR463" s="37"/>
      <c r="BS463" s="37"/>
      <c r="BT463" s="37"/>
      <c r="BU463" s="37"/>
      <c r="BV463" s="37"/>
      <c r="BW463" s="37"/>
      <c r="BX463" s="37"/>
      <c r="BY463" s="37"/>
      <c r="BZ463" s="37"/>
      <c r="CA463" s="37"/>
      <c r="CB463" s="37"/>
      <c r="CC463" s="37"/>
      <c r="CD463" s="37"/>
      <c r="CE463" s="37"/>
      <c r="CF463" s="37"/>
      <c r="CG463" s="37"/>
      <c r="CH463" s="37"/>
      <c r="CI463" s="37"/>
      <c r="CJ463" s="37"/>
      <c r="CK463" s="37"/>
      <c r="CL463" s="37"/>
      <c r="CM463" s="37"/>
      <c r="CN463" s="37"/>
      <c r="CO463" s="37"/>
      <c r="CP463" s="37"/>
      <c r="CQ463" s="37"/>
      <c r="CR463" s="1"/>
      <c r="CS463" s="1"/>
      <c r="CT463" s="1"/>
      <c r="CU463" s="1"/>
    </row>
    <row r="464" spans="1:99" s="13" customFormat="1" ht="12" customHeight="1" x14ac:dyDescent="0.2">
      <c r="A464" s="65">
        <v>43903</v>
      </c>
      <c r="D464" s="61"/>
      <c r="E464" s="76"/>
      <c r="F464" s="60"/>
      <c r="G464" s="60"/>
      <c r="H464" s="60"/>
      <c r="I464" s="60"/>
      <c r="J464" s="60"/>
      <c r="K464" s="64"/>
      <c r="L464" s="64"/>
      <c r="M464" s="60"/>
      <c r="N464" s="61"/>
      <c r="O464" s="60"/>
      <c r="P464" s="60"/>
      <c r="Q464" s="60"/>
      <c r="R464" s="60"/>
      <c r="S464" s="60"/>
      <c r="T464" s="60"/>
      <c r="U464" s="60"/>
      <c r="V464" s="60"/>
      <c r="W464" s="60"/>
      <c r="X464" s="60"/>
      <c r="Y464" s="76"/>
      <c r="Z464" s="60"/>
      <c r="AA464" s="60"/>
      <c r="AB464" s="60"/>
      <c r="AC464" s="56"/>
      <c r="AD464" s="60"/>
      <c r="AE464" s="60"/>
      <c r="AF464" s="80"/>
      <c r="AG464" s="56"/>
      <c r="AH464" s="4"/>
      <c r="AI464" s="56"/>
      <c r="AJ464" s="109"/>
      <c r="AK464" s="56"/>
      <c r="AL464" s="56"/>
      <c r="AM464" s="56"/>
      <c r="AN464" s="56"/>
      <c r="AO464" s="82"/>
      <c r="AP464" s="82"/>
      <c r="AQ464" s="83"/>
      <c r="AR464" s="116"/>
      <c r="AS464" s="84"/>
      <c r="AT464" s="84"/>
      <c r="AU464" s="3"/>
      <c r="AV464" s="25">
        <v>60</v>
      </c>
      <c r="AW464" s="25">
        <v>86400</v>
      </c>
      <c r="AX464" s="25">
        <v>259200</v>
      </c>
      <c r="AY464" s="25">
        <v>604800</v>
      </c>
      <c r="AZ464" s="53"/>
      <c r="BA464" s="53"/>
      <c r="BB464" s="43"/>
      <c r="BC464" s="37"/>
      <c r="BD464" s="37"/>
      <c r="BE464" s="37"/>
      <c r="BF464" s="37"/>
      <c r="BG464" s="37"/>
      <c r="BH464" s="37"/>
      <c r="BI464" s="37"/>
      <c r="BJ464" s="37"/>
      <c r="BK464" s="37"/>
      <c r="BL464" s="37"/>
      <c r="BM464" s="37"/>
      <c r="BN464" s="37"/>
      <c r="BO464" s="37"/>
      <c r="BP464" s="37"/>
      <c r="BQ464" s="37"/>
      <c r="BR464" s="37"/>
      <c r="BS464" s="37"/>
      <c r="BT464" s="37"/>
      <c r="BU464" s="37"/>
      <c r="BV464" s="37"/>
      <c r="BW464" s="37"/>
      <c r="BX464" s="37"/>
      <c r="BY464" s="37"/>
      <c r="BZ464" s="37"/>
      <c r="CA464" s="37"/>
      <c r="CB464" s="37"/>
      <c r="CC464" s="37"/>
      <c r="CD464" s="37"/>
      <c r="CE464" s="37"/>
      <c r="CF464" s="37"/>
      <c r="CG464" s="37"/>
      <c r="CH464" s="37"/>
      <c r="CI464" s="37"/>
      <c r="CJ464" s="37"/>
      <c r="CK464" s="37"/>
      <c r="CL464" s="37"/>
      <c r="CM464" s="37"/>
      <c r="CN464" s="37"/>
      <c r="CO464" s="37"/>
      <c r="CP464" s="37"/>
      <c r="CQ464" s="37"/>
      <c r="CR464" s="1"/>
      <c r="CS464" s="1"/>
      <c r="CT464" s="1"/>
      <c r="CU464" s="1"/>
    </row>
    <row r="465" spans="1:99" s="13" customFormat="1" ht="12" customHeight="1" x14ac:dyDescent="0.2">
      <c r="A465" s="65">
        <v>43903</v>
      </c>
      <c r="B465" s="1" t="s">
        <v>473</v>
      </c>
      <c r="C465" s="1" t="s">
        <v>474</v>
      </c>
      <c r="D465" s="60">
        <v>2020</v>
      </c>
      <c r="E465" s="76">
        <v>4</v>
      </c>
      <c r="F465" s="60">
        <v>96</v>
      </c>
      <c r="G465" s="60">
        <v>24</v>
      </c>
      <c r="H465" s="60"/>
      <c r="I465" s="60" t="s">
        <v>480</v>
      </c>
      <c r="J465" s="60" t="s">
        <v>16</v>
      </c>
      <c r="K465" s="60">
        <f>IF(J465="syllables",1,IF(J465="trigrams",2,IF(J465="strings",3,IF(J465="visual array",4,IF(J465="characters",5,IF(J465="letters",6,IF(J465="free forms",7,IF(J465="odors",8,IF(J465="words",9,IF(J465="pictures",10,IF(J465="object pictures",11,IF(J465="faces",12,IF(J465="names",13,IF(J465="idioms",14,IF(J465="grades",15,IF(J465="syllable-digit pairs",16,IF(J465="trigram-word pairs",17,IF(J465="word-digit pairs",18,IF(J465="English-Swahili pairs",19,IF(J465="spatial position",20,IF(J465="word pairs",21,IF(J465="word triads",22,IF(J465="generated words",23,IF(J465="word definition pairs",24,IF(J465="math problems",25,IF(J465="famous faces",26,IF(J465="famous names",27,IF(J465="famous voices",28,IF(J465="television programs",29,IF(J465="race horses",30,IF(J465="new vocabulary",31,IF(J465="sentences",32,IF(J465="concepts",33,IF(J465="ad slides",34,IF(J465="scenes",35,IF(J465="famous scenes",36,IF(J465="poems",37,IF(J465="walk",38,IF(J465="faces and events",39,IF(J465="events and names",40,IF(J465="flashbulb",41,IF(J465="stories",42,IF(J465="course material",43,IF(J465="autobiographical",44,IF(J465="novels",45,IF(J465="public events",46,"99"))))))))))))))))))))))))))))))))))))))))))))))</f>
        <v>9</v>
      </c>
      <c r="L465" s="60">
        <f>IF(J465="syllables",1,IF(J465="trigrams",1,IF(J465="strings",1,IF(J465="visual array",1,IF(J465="characters",1,IF(J465="letters",1,IF(J465="free forms",1,IF(J465="odors",2,IF(J465="words",2,IF(J465="pictures",2,IF(J465="object pictures",2,IF(J465="faces",2,IF(J465="names",2,IF(J465="idioms","2",IF(J465="grades",2,IF(J465="syllable-digit pairs",3,IF(J465="trigram-word pairs",3,IF(J465="word-digit pairs",3,IF(J465="English-Swahili pairs",3,IF(J465="spatial position",3,IF(J465="word pairs",4,IF(J465="word triads",4,IF(J465="generated words",4,IF(J465="word definition pairs",4,IF(J465="math problems",4,IF(J465="famous faces",4,IF(J465="famous names",4,IF(J465="famous voices",4,IF(J465="television programs",4,IF(J465="race horses",4,IF(J465="new vocabulary",4,IF(J465="sentences",5,IF(J465="concepts",5,IF(J465="ad slides",5,IF(J465="scenes",5,IF(J465="famous scenes",5,IF(J465="poems",6,IF(J465="walk",6,IF(J465="faces and events",6,IF(J465="events and names",6,IF(J465="flashbulb",7,IF(J465="stories",7,IF(J465="course material",7,IF(J465="autobiographical",7,IF(J465="novels",7,IF(J465="public events",7,"99"))))))))))))))))))))))))))))))))))))))))))))))</f>
        <v>2</v>
      </c>
      <c r="M465" s="60">
        <v>0</v>
      </c>
      <c r="N465" s="61">
        <v>2</v>
      </c>
      <c r="O465" s="60">
        <v>0</v>
      </c>
      <c r="P465" s="60"/>
      <c r="Q465" s="60" t="s">
        <v>174</v>
      </c>
      <c r="R465" s="60">
        <f>IF(Q465="Free Recall",1,IF(Q465="Cued Recall",2,IF(Q465="Recognition",3,IF(Q465="Multiple Choice",4,IF(Q465="Savings",5,IF(Q465="Stem Completion",6,IF(Q465="Fragment Completion",7,IF(Q465="anagram solution",8,IF(Q465="Matching",9,IF(Q465="Problem Solving",10,"99"))))))))))</f>
        <v>1</v>
      </c>
      <c r="S465" s="60" t="s">
        <v>49</v>
      </c>
      <c r="T465" s="60" t="s">
        <v>261</v>
      </c>
      <c r="U465" s="60">
        <f>IF(T465="within",1,0)</f>
        <v>0</v>
      </c>
      <c r="V465" s="60">
        <v>12</v>
      </c>
      <c r="W465" s="60">
        <f>F465*V465</f>
        <v>1152</v>
      </c>
      <c r="X465" s="60">
        <v>4</v>
      </c>
      <c r="Y465" s="76">
        <f>AV464</f>
        <v>60</v>
      </c>
      <c r="Z465" s="60" t="s">
        <v>97</v>
      </c>
      <c r="AA465" s="60">
        <v>604800</v>
      </c>
      <c r="AB465" s="60" t="str">
        <f>IF(AA465&lt;60,"1",IF(AA465&lt;=43200,"2",IF(AA465&lt;=777600,"3","4")))</f>
        <v>3</v>
      </c>
      <c r="AC465" s="56">
        <f>AVERAGE(AV464:DA464)</f>
        <v>237615</v>
      </c>
      <c r="AD465" s="60" t="str">
        <f>IF(AC465&lt;60,"1",IF(AC465&lt;=43200,"2",IF(AC465&lt;=777600,"3","4")))</f>
        <v>3</v>
      </c>
      <c r="AE465" s="76">
        <f>AA465-Y465</f>
        <v>604740</v>
      </c>
      <c r="AF465" s="80">
        <f>AV465</f>
        <v>0.89236111111111061</v>
      </c>
      <c r="AG465" s="56">
        <f>((AW465-AV465)+(AX465-AW465)+(AY465-AX465))/3</f>
        <v>-0.15856481481481469</v>
      </c>
      <c r="AH465" s="4"/>
      <c r="AI465" s="56">
        <f>RSQ(AV465:AY465,AV464:AY464)</f>
        <v>0.81940354618843814</v>
      </c>
      <c r="AJ465" s="109">
        <f>SLOPE(AV465:AY465,AV464:AY464)</f>
        <v>-6.7621899266475564E-7</v>
      </c>
      <c r="AK465" s="56">
        <f>INTERCEPT(AV465:AY465,AV464:AY464)</f>
        <v>0.79002005371981343</v>
      </c>
      <c r="AL465" s="56">
        <f>INDEX(LINEST(LN(AV465:AY465),LN(AV464:AY464),TRUE,TRUE),3,1)</f>
        <v>0.81914587865429922</v>
      </c>
      <c r="AM465" s="56">
        <f>INDEX(LINEST(LN(AV465:AY465),LN(AV464:AY464)),1)</f>
        <v>-6.7982734725501884E-2</v>
      </c>
      <c r="AN465" s="56">
        <f>EXP(INDEX(LINEST(LN(AV465:AY465),LN(AV464:AY464)),1,2))</f>
        <v>1.2216426051873168</v>
      </c>
      <c r="AO465" s="82">
        <f>INDEX(LINEST((AV465:AY465),LN(AV464:AY464),TRUE,TRUE),3,1)</f>
        <v>0.90343818274530041</v>
      </c>
      <c r="AP465" s="82">
        <f>INDEX(LINEST((AV465:AY465),LN(AV464:AY464)),1)</f>
        <v>-4.5005935044708449E-2</v>
      </c>
      <c r="AQ465" s="83">
        <f>INDEX(LINEST(LN(AV465:AY465),SQRT(AV464:AY464),TRUE,TRUE),3,1)</f>
        <v>0.99382443525416786</v>
      </c>
      <c r="AR465" s="116">
        <f>INDEX(LINEST(LN(AV465:AY465),SQRT((AV464:AY464))),1)</f>
        <v>-9.6798298948861251E-4</v>
      </c>
      <c r="AS465" s="84">
        <f>INDEX(LINEST(1/(AV465:AY465),1/(SQRT(AV464:AY464)),TRUE,TRUE),3,1)</f>
        <v>0.55634023554992096</v>
      </c>
      <c r="AT465" s="84">
        <f>INDEX(LINEST(1/(AV465:AY465),1/SQRT(AV464:AY464)),1)</f>
        <v>-6.2888660439183059</v>
      </c>
      <c r="AU465" s="3"/>
      <c r="AV465" s="53">
        <v>0.89236111111111061</v>
      </c>
      <c r="AW465" s="53">
        <v>0.64930555555555525</v>
      </c>
      <c r="AX465" s="53">
        <v>0.55902777777777735</v>
      </c>
      <c r="AY465" s="53">
        <v>0.41666666666666657</v>
      </c>
      <c r="AZ465" s="53"/>
      <c r="BA465" s="53"/>
      <c r="BB465" s="43"/>
      <c r="BC465" s="37"/>
      <c r="BD465" s="37"/>
      <c r="BE465" s="37"/>
      <c r="BF465" s="37"/>
      <c r="BG465" s="37"/>
      <c r="BH465" s="37"/>
      <c r="BI465" s="37"/>
      <c r="BJ465" s="37"/>
      <c r="BK465" s="37"/>
      <c r="BL465" s="37"/>
      <c r="BM465" s="37"/>
      <c r="BN465" s="37"/>
      <c r="BO465" s="37"/>
      <c r="BP465" s="37"/>
      <c r="BQ465" s="37"/>
      <c r="BR465" s="37"/>
      <c r="BS465" s="37"/>
      <c r="BT465" s="37"/>
      <c r="BU465" s="37"/>
      <c r="BV465" s="37"/>
      <c r="BW465" s="37"/>
      <c r="BX465" s="37"/>
      <c r="BY465" s="37"/>
      <c r="BZ465" s="37"/>
      <c r="CA465" s="37"/>
      <c r="CB465" s="37"/>
      <c r="CC465" s="37"/>
      <c r="CD465" s="37"/>
      <c r="CE465" s="37"/>
      <c r="CF465" s="37"/>
      <c r="CG465" s="37"/>
      <c r="CH465" s="37"/>
      <c r="CI465" s="37"/>
      <c r="CJ465" s="37"/>
      <c r="CK465" s="37"/>
      <c r="CL465" s="37"/>
      <c r="CM465" s="37"/>
      <c r="CN465" s="37"/>
      <c r="CO465" s="37"/>
      <c r="CP465" s="37"/>
      <c r="CQ465" s="37"/>
      <c r="CR465" s="1"/>
      <c r="CS465" s="1"/>
      <c r="CT465" s="1"/>
      <c r="CU465" s="1"/>
    </row>
    <row r="466" spans="1:99" s="13" customFormat="1" ht="12" customHeight="1" x14ac:dyDescent="0.2">
      <c r="A466" s="65">
        <v>43903</v>
      </c>
      <c r="D466" s="61"/>
      <c r="E466" s="76"/>
      <c r="F466" s="60"/>
      <c r="G466" s="60"/>
      <c r="H466" s="60"/>
      <c r="I466" s="60"/>
      <c r="J466" s="60"/>
      <c r="K466" s="64"/>
      <c r="L466" s="64"/>
      <c r="M466" s="60"/>
      <c r="N466" s="61"/>
      <c r="O466" s="60"/>
      <c r="P466" s="60"/>
      <c r="Q466" s="60"/>
      <c r="R466" s="60"/>
      <c r="S466" s="60"/>
      <c r="T466" s="60"/>
      <c r="U466" s="60"/>
      <c r="V466" s="60"/>
      <c r="W466" s="60"/>
      <c r="X466" s="60"/>
      <c r="Y466" s="76"/>
      <c r="Z466" s="60"/>
      <c r="AA466" s="60"/>
      <c r="AB466" s="60"/>
      <c r="AC466" s="56"/>
      <c r="AD466" s="60"/>
      <c r="AE466" s="60"/>
      <c r="AF466" s="80"/>
      <c r="AG466" s="56"/>
      <c r="AH466" s="4"/>
      <c r="AI466" s="56"/>
      <c r="AJ466" s="109"/>
      <c r="AK466" s="56"/>
      <c r="AL466" s="56"/>
      <c r="AM466" s="56"/>
      <c r="AN466" s="56"/>
      <c r="AO466" s="82"/>
      <c r="AP466" s="82"/>
      <c r="AQ466" s="83"/>
      <c r="AR466" s="116"/>
      <c r="AS466" s="84"/>
      <c r="AT466" s="84"/>
      <c r="AU466" s="3"/>
      <c r="AV466" s="25">
        <v>60</v>
      </c>
      <c r="AW466" s="25">
        <v>86400</v>
      </c>
      <c r="AX466" s="25">
        <v>259200</v>
      </c>
      <c r="AY466" s="25">
        <v>604800</v>
      </c>
      <c r="AZ466" s="53"/>
      <c r="BA466" s="53"/>
      <c r="BB466" s="43"/>
      <c r="BC466" s="42"/>
      <c r="BD466" s="42"/>
      <c r="BE466" s="42"/>
      <c r="BF466" s="42"/>
      <c r="BG466" s="42"/>
      <c r="BH466" s="37"/>
      <c r="BI466" s="37"/>
      <c r="BJ466" s="37"/>
      <c r="BK466" s="37"/>
      <c r="BL466" s="37"/>
      <c r="BM466" s="37"/>
      <c r="BN466" s="37"/>
      <c r="BO466" s="37"/>
      <c r="BP466" s="37"/>
      <c r="BQ466" s="37"/>
      <c r="BR466" s="37"/>
      <c r="BS466" s="37"/>
      <c r="BT466" s="37"/>
      <c r="BU466" s="37"/>
      <c r="BV466" s="37"/>
      <c r="BW466" s="37"/>
      <c r="BX466" s="37"/>
      <c r="BY466" s="37"/>
      <c r="BZ466" s="37"/>
      <c r="CA466" s="37"/>
      <c r="CB466" s="37"/>
      <c r="CC466" s="37"/>
      <c r="CD466" s="37"/>
      <c r="CE466" s="37"/>
      <c r="CF466" s="37"/>
      <c r="CG466" s="37"/>
      <c r="CH466" s="37"/>
      <c r="CI466" s="37"/>
      <c r="CJ466" s="37"/>
      <c r="CK466" s="37"/>
      <c r="CL466" s="37"/>
      <c r="CM466" s="37"/>
      <c r="CN466" s="37"/>
      <c r="CO466" s="37"/>
      <c r="CP466" s="37"/>
      <c r="CQ466" s="37"/>
      <c r="CR466" s="1"/>
      <c r="CS466" s="1"/>
      <c r="CT466" s="1"/>
      <c r="CU466" s="1"/>
    </row>
    <row r="467" spans="1:99" s="13" customFormat="1" ht="12" customHeight="1" x14ac:dyDescent="0.2">
      <c r="A467" s="65">
        <v>43903</v>
      </c>
      <c r="B467" s="1" t="s">
        <v>473</v>
      </c>
      <c r="C467" s="1" t="s">
        <v>474</v>
      </c>
      <c r="D467" s="60">
        <v>2020</v>
      </c>
      <c r="E467" s="76">
        <v>4</v>
      </c>
      <c r="F467" s="60">
        <v>96</v>
      </c>
      <c r="G467" s="60">
        <v>24</v>
      </c>
      <c r="H467" s="60"/>
      <c r="I467" s="60" t="s">
        <v>479</v>
      </c>
      <c r="J467" s="60" t="s">
        <v>16</v>
      </c>
      <c r="K467" s="60">
        <f>IF(J467="syllables",1,IF(J467="trigrams",2,IF(J467="strings",3,IF(J467="visual array",4,IF(J467="characters",5,IF(J467="letters",6,IF(J467="free forms",7,IF(J467="odors",8,IF(J467="words",9,IF(J467="pictures",10,IF(J467="object pictures",11,IF(J467="faces",12,IF(J467="names",13,IF(J467="idioms",14,IF(J467="grades",15,IF(J467="syllable-digit pairs",16,IF(J467="trigram-word pairs",17,IF(J467="word-digit pairs",18,IF(J467="English-Swahili pairs",19,IF(J467="spatial position",20,IF(J467="word pairs",21,IF(J467="word triads",22,IF(J467="generated words",23,IF(J467="word definition pairs",24,IF(J467="math problems",25,IF(J467="famous faces",26,IF(J467="famous names",27,IF(J467="famous voices",28,IF(J467="television programs",29,IF(J467="race horses",30,IF(J467="new vocabulary",31,IF(J467="sentences",32,IF(J467="concepts",33,IF(J467="ad slides",34,IF(J467="scenes",35,IF(J467="famous scenes",36,IF(J467="poems",37,IF(J467="walk",38,IF(J467="faces and events",39,IF(J467="events and names",40,IF(J467="flashbulb",41,IF(J467="stories",42,IF(J467="course material",43,IF(J467="autobiographical",44,IF(J467="novels",45,IF(J467="public events",46,"99"))))))))))))))))))))))))))))))))))))))))))))))</f>
        <v>9</v>
      </c>
      <c r="L467" s="60">
        <f>IF(J467="syllables",1,IF(J467="trigrams",1,IF(J467="strings",1,IF(J467="visual array",1,IF(J467="characters",1,IF(J467="letters",1,IF(J467="free forms",1,IF(J467="odors",2,IF(J467="words",2,IF(J467="pictures",2,IF(J467="object pictures",2,IF(J467="faces",2,IF(J467="names",2,IF(J467="idioms","2",IF(J467="grades",2,IF(J467="syllable-digit pairs",3,IF(J467="trigram-word pairs",3,IF(J467="word-digit pairs",3,IF(J467="English-Swahili pairs",3,IF(J467="spatial position",3,IF(J467="word pairs",4,IF(J467="word triads",4,IF(J467="generated words",4,IF(J467="word definition pairs",4,IF(J467="math problems",4,IF(J467="famous faces",4,IF(J467="famous names",4,IF(J467="famous voices",4,IF(J467="television programs",4,IF(J467="race horses",4,IF(J467="new vocabulary",4,IF(J467="sentences",5,IF(J467="concepts",5,IF(J467="ad slides",5,IF(J467="scenes",5,IF(J467="famous scenes",5,IF(J467="poems",6,IF(J467="walk",6,IF(J467="faces and events",6,IF(J467="events and names",6,IF(J467="flashbulb",7,IF(J467="stories",7,IF(J467="course material",7,IF(J467="autobiographical",7,IF(J467="novels",7,IF(J467="public events",7,"99"))))))))))))))))))))))))))))))))))))))))))))))</f>
        <v>2</v>
      </c>
      <c r="M467" s="60">
        <v>0</v>
      </c>
      <c r="N467" s="61">
        <v>1</v>
      </c>
      <c r="O467" s="60">
        <v>0</v>
      </c>
      <c r="P467" s="60"/>
      <c r="Q467" s="60" t="s">
        <v>34</v>
      </c>
      <c r="R467" s="60">
        <f>IF(Q467="Free Recall",1,IF(Q467="Cued Recall",2,IF(Q467="Recognition",3,IF(Q467="Multiple Choice",4,IF(Q467="Savings",5,IF(Q467="Stem Completion",6,IF(Q467="Fragment Completion",7,IF(Q467="anagram solution",8,IF(Q467="Matching",9,IF(Q467="Problem Solving",10,"99"))))))))))</f>
        <v>3</v>
      </c>
      <c r="S467" s="60" t="s">
        <v>15</v>
      </c>
      <c r="T467" s="60" t="s">
        <v>261</v>
      </c>
      <c r="U467" s="60">
        <f>IF(T467="within",1,0)</f>
        <v>0</v>
      </c>
      <c r="V467" s="60">
        <v>12</v>
      </c>
      <c r="W467" s="60">
        <f>F467*V467</f>
        <v>1152</v>
      </c>
      <c r="X467" s="60">
        <v>4</v>
      </c>
      <c r="Y467" s="76">
        <f>AV466</f>
        <v>60</v>
      </c>
      <c r="Z467" s="60" t="s">
        <v>97</v>
      </c>
      <c r="AA467" s="60">
        <v>604800</v>
      </c>
      <c r="AB467" s="60" t="str">
        <f>IF(AA467&lt;60,"1",IF(AA467&lt;=43200,"2",IF(AA467&lt;=777600,"3","4")))</f>
        <v>3</v>
      </c>
      <c r="AC467" s="56">
        <f>AVERAGE(AV466:DA466)</f>
        <v>237615</v>
      </c>
      <c r="AD467" s="60" t="str">
        <f>IF(AC467&lt;60,"1",IF(AC467&lt;=43200,"2",IF(AC467&lt;=777600,"3","4")))</f>
        <v>3</v>
      </c>
      <c r="AE467" s="76">
        <f>AA467-Y467</f>
        <v>604740</v>
      </c>
      <c r="AF467" s="80">
        <f>AV467</f>
        <v>0.96701388888888884</v>
      </c>
      <c r="AG467" s="56">
        <f>((AW467-AV467)+(AX467-AW467)+(AY467-AX467))/3</f>
        <v>-8.969907407407407E-2</v>
      </c>
      <c r="AH467" s="4"/>
      <c r="AI467" s="56">
        <f>RSQ(AV467:AY467,AV466:AY466)</f>
        <v>0.70031267963328336</v>
      </c>
      <c r="AJ467" s="109">
        <f>SLOPE(AV467:AY467,AV466:AY466)</f>
        <v>-3.4998733298452194E-7</v>
      </c>
      <c r="AK467" s="56">
        <f>INTERCEPT(AV467:AY467,AV466:AY466)</f>
        <v>0.89956849012711715</v>
      </c>
      <c r="AL467" s="56">
        <f>INDEX(LINEST(LN(AV467:AY467),LN(AV466:AY466),TRUE,TRUE),3,1)</f>
        <v>0.85023367760117496</v>
      </c>
      <c r="AM467" s="56">
        <f>INDEX(LINEST(LN(AV467:AY467),LN(AV466:AY466)),1)</f>
        <v>-2.9406470587592642E-2</v>
      </c>
      <c r="AN467" s="56">
        <f>EXP(INDEX(LINEST(LN(AV467:AY467),LN(AV466:AY466)),1,2))</f>
        <v>1.0979690003196363</v>
      </c>
      <c r="AO467" s="82">
        <f>INDEX(LINEST((AV467:AY467),LN(AV466:AY466),TRUE,TRUE),3,1)</f>
        <v>0.88253350143749498</v>
      </c>
      <c r="AP467" s="82">
        <f>INDEX(LINEST((AV467:AY467),LN(AV466:AY466)),1)</f>
        <v>-2.4903136847379721E-2</v>
      </c>
      <c r="AQ467" s="83">
        <f>INDEX(LINEST(LN(AV467:AY467),SQRT(AV466:AY466),TRUE,TRUE),3,1)</f>
        <v>0.86433556964974934</v>
      </c>
      <c r="AR467" s="116">
        <f>INDEX(LINEST(LN(AV467:AY467),SQRT((AV466:AY466))),1)</f>
        <v>-3.8327441433339606E-4</v>
      </c>
      <c r="AS467" s="84">
        <f>INDEX(LINEST(1/(AV467:AY467),1/(SQRT(AV466:AY466)),TRUE,TRUE),3,1)</f>
        <v>0.72099709148054791</v>
      </c>
      <c r="AT467" s="84">
        <f>INDEX(LINEST(1/(AV467:AY467),1/SQRT(AV466:AY466)),1)</f>
        <v>-2.1919268362683919</v>
      </c>
      <c r="AU467" s="3"/>
      <c r="AV467" s="53">
        <v>0.96701388888888884</v>
      </c>
      <c r="AW467" s="53">
        <v>0.78819444444444453</v>
      </c>
      <c r="AX467" s="53">
        <v>0.81249999999999989</v>
      </c>
      <c r="AY467" s="53">
        <v>0.69791666666666663</v>
      </c>
      <c r="AZ467" s="53"/>
      <c r="BA467" s="53"/>
      <c r="BB467" s="43"/>
      <c r="BC467" s="37"/>
      <c r="BD467" s="37"/>
      <c r="BE467" s="37"/>
      <c r="BF467" s="37"/>
      <c r="BG467" s="37"/>
      <c r="BH467" s="37"/>
      <c r="BI467" s="37"/>
      <c r="BJ467" s="37"/>
      <c r="BK467" s="37"/>
      <c r="BL467" s="37"/>
      <c r="BM467" s="37"/>
      <c r="BN467" s="37"/>
      <c r="BO467" s="37"/>
      <c r="BP467" s="37"/>
      <c r="BQ467" s="37"/>
      <c r="BR467" s="37"/>
      <c r="BS467" s="37"/>
      <c r="BT467" s="37"/>
      <c r="BU467" s="37"/>
      <c r="BV467" s="37"/>
      <c r="BW467" s="37"/>
      <c r="BX467" s="37"/>
      <c r="BY467" s="37"/>
      <c r="BZ467" s="37"/>
      <c r="CA467" s="37"/>
      <c r="CB467" s="37"/>
      <c r="CC467" s="37"/>
      <c r="CD467" s="37"/>
      <c r="CE467" s="37"/>
      <c r="CF467" s="37"/>
      <c r="CG467" s="37"/>
      <c r="CH467" s="37"/>
      <c r="CI467" s="37"/>
      <c r="CJ467" s="37"/>
      <c r="CK467" s="37"/>
      <c r="CL467" s="37"/>
      <c r="CM467" s="37"/>
      <c r="CN467" s="37"/>
      <c r="CO467" s="37"/>
      <c r="CP467" s="37"/>
      <c r="CQ467" s="37"/>
      <c r="CR467" s="1"/>
      <c r="CS467" s="1"/>
      <c r="CT467" s="1"/>
      <c r="CU467" s="1"/>
    </row>
    <row r="468" spans="1:99" s="13" customFormat="1" ht="12" customHeight="1" x14ac:dyDescent="0.2">
      <c r="A468" s="65">
        <v>43903</v>
      </c>
      <c r="D468" s="61"/>
      <c r="E468" s="76"/>
      <c r="F468" s="60"/>
      <c r="G468" s="60"/>
      <c r="H468" s="60"/>
      <c r="I468" s="60"/>
      <c r="J468" s="60"/>
      <c r="K468" s="64"/>
      <c r="L468" s="64"/>
      <c r="M468" s="60"/>
      <c r="N468" s="61"/>
      <c r="O468" s="60"/>
      <c r="P468" s="60"/>
      <c r="Q468" s="60"/>
      <c r="R468" s="60"/>
      <c r="S468" s="60"/>
      <c r="T468" s="60"/>
      <c r="U468" s="60"/>
      <c r="V468" s="60"/>
      <c r="W468" s="60"/>
      <c r="X468" s="60"/>
      <c r="Y468" s="76"/>
      <c r="Z468" s="60"/>
      <c r="AA468" s="60"/>
      <c r="AB468" s="60"/>
      <c r="AC468" s="56"/>
      <c r="AD468" s="60"/>
      <c r="AE468" s="60"/>
      <c r="AF468" s="80"/>
      <c r="AG468" s="56"/>
      <c r="AH468" s="4"/>
      <c r="AI468" s="56"/>
      <c r="AJ468" s="109"/>
      <c r="AK468" s="56"/>
      <c r="AL468" s="56"/>
      <c r="AM468" s="56"/>
      <c r="AN468" s="56"/>
      <c r="AO468" s="82"/>
      <c r="AP468" s="82"/>
      <c r="AQ468" s="83"/>
      <c r="AR468" s="116"/>
      <c r="AS468" s="84"/>
      <c r="AT468" s="84"/>
      <c r="AU468" s="3"/>
      <c r="AV468" s="25">
        <v>60</v>
      </c>
      <c r="AW468" s="25">
        <v>86400</v>
      </c>
      <c r="AX468" s="25">
        <v>259200</v>
      </c>
      <c r="AY468" s="25">
        <v>604800</v>
      </c>
      <c r="AZ468" s="53"/>
      <c r="BA468" s="53"/>
      <c r="BB468" s="43"/>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1"/>
      <c r="CS468" s="1"/>
      <c r="CT468" s="1"/>
      <c r="CU468" s="1"/>
    </row>
    <row r="469" spans="1:99" s="13" customFormat="1" ht="12" customHeight="1" x14ac:dyDescent="0.2">
      <c r="A469" s="65">
        <v>43903</v>
      </c>
      <c r="B469" s="1" t="s">
        <v>473</v>
      </c>
      <c r="C469" s="1" t="s">
        <v>474</v>
      </c>
      <c r="D469" s="60">
        <v>2020</v>
      </c>
      <c r="E469" s="76">
        <v>4</v>
      </c>
      <c r="F469" s="60">
        <v>96</v>
      </c>
      <c r="G469" s="60">
        <v>24</v>
      </c>
      <c r="H469" s="60"/>
      <c r="I469" s="60" t="s">
        <v>480</v>
      </c>
      <c r="J469" s="60" t="s">
        <v>16</v>
      </c>
      <c r="K469" s="60">
        <f>IF(J469="syllables",1,IF(J469="trigrams",2,IF(J469="strings",3,IF(J469="visual array",4,IF(J469="characters",5,IF(J469="letters",6,IF(J469="free forms",7,IF(J469="odors",8,IF(J469="words",9,IF(J469="pictures",10,IF(J469="object pictures",11,IF(J469="faces",12,IF(J469="names",13,IF(J469="idioms",14,IF(J469="grades",15,IF(J469="syllable-digit pairs",16,IF(J469="trigram-word pairs",17,IF(J469="word-digit pairs",18,IF(J469="English-Swahili pairs",19,IF(J469="spatial position",20,IF(J469="word pairs",21,IF(J469="word triads",22,IF(J469="generated words",23,IF(J469="word definition pairs",24,IF(J469="math problems",25,IF(J469="famous faces",26,IF(J469="famous names",27,IF(J469="famous voices",28,IF(J469="television programs",29,IF(J469="race horses",30,IF(J469="new vocabulary",31,IF(J469="sentences",32,IF(J469="concepts",33,IF(J469="ad slides",34,IF(J469="scenes",35,IF(J469="famous scenes",36,IF(J469="poems",37,IF(J469="walk",38,IF(J469="faces and events",39,IF(J469="events and names",40,IF(J469="flashbulb",41,IF(J469="stories",42,IF(J469="course material",43,IF(J469="autobiographical",44,IF(J469="novels",45,IF(J469="public events",46,"99"))))))))))))))))))))))))))))))))))))))))))))))</f>
        <v>9</v>
      </c>
      <c r="L469" s="60">
        <f>IF(J469="syllables",1,IF(J469="trigrams",1,IF(J469="strings",1,IF(J469="visual array",1,IF(J469="characters",1,IF(J469="letters",1,IF(J469="free forms",1,IF(J469="odors",2,IF(J469="words",2,IF(J469="pictures",2,IF(J469="object pictures",2,IF(J469="faces",2,IF(J469="names",2,IF(J469="idioms","2",IF(J469="grades",2,IF(J469="syllable-digit pairs",3,IF(J469="trigram-word pairs",3,IF(J469="word-digit pairs",3,IF(J469="English-Swahili pairs",3,IF(J469="spatial position",3,IF(J469="word pairs",4,IF(J469="word triads",4,IF(J469="generated words",4,IF(J469="word definition pairs",4,IF(J469="math problems",4,IF(J469="famous faces",4,IF(J469="famous names",4,IF(J469="famous voices",4,IF(J469="television programs",4,IF(J469="race horses",4,IF(J469="new vocabulary",4,IF(J469="sentences",5,IF(J469="concepts",5,IF(J469="ad slides",5,IF(J469="scenes",5,IF(J469="famous scenes",5,IF(J469="poems",6,IF(J469="walk",6,IF(J469="faces and events",6,IF(J469="events and names",6,IF(J469="flashbulb",7,IF(J469="stories",7,IF(J469="course material",7,IF(J469="autobiographical",7,IF(J469="novels",7,IF(J469="public events",7,"99"))))))))))))))))))))))))))))))))))))))))))))))</f>
        <v>2</v>
      </c>
      <c r="M469" s="60">
        <v>0</v>
      </c>
      <c r="N469" s="61">
        <v>2</v>
      </c>
      <c r="O469" s="60">
        <v>0</v>
      </c>
      <c r="P469" s="60"/>
      <c r="Q469" s="60" t="s">
        <v>34</v>
      </c>
      <c r="R469" s="60">
        <f>IF(Q469="Free Recall",1,IF(Q469="Cued Recall",2,IF(Q469="Recognition",3,IF(Q469="Multiple Choice",4,IF(Q469="Savings",5,IF(Q469="Stem Completion",6,IF(Q469="Fragment Completion",7,IF(Q469="anagram solution",8,IF(Q469="Matching",9,IF(Q469="Problem Solving",10,"99"))))))))))</f>
        <v>3</v>
      </c>
      <c r="S469" s="60" t="s">
        <v>15</v>
      </c>
      <c r="T469" s="60" t="s">
        <v>261</v>
      </c>
      <c r="U469" s="60">
        <f>IF(T469="within",1,0)</f>
        <v>0</v>
      </c>
      <c r="V469" s="60">
        <v>12</v>
      </c>
      <c r="W469" s="60">
        <f>F469*V469</f>
        <v>1152</v>
      </c>
      <c r="X469" s="60">
        <v>4</v>
      </c>
      <c r="Y469" s="76">
        <f>AV468</f>
        <v>60</v>
      </c>
      <c r="Z469" s="60" t="s">
        <v>97</v>
      </c>
      <c r="AA469" s="60">
        <v>604800</v>
      </c>
      <c r="AB469" s="60" t="str">
        <f>IF(AA469&lt;60,"1",IF(AA469&lt;=43200,"2",IF(AA469&lt;=777600,"3","4")))</f>
        <v>3</v>
      </c>
      <c r="AC469" s="56">
        <f>AVERAGE(AV468:DA468)</f>
        <v>237615</v>
      </c>
      <c r="AD469" s="60" t="str">
        <f>IF(AC469&lt;60,"1",IF(AC469&lt;=43200,"2",IF(AC469&lt;=777600,"3","4")))</f>
        <v>3</v>
      </c>
      <c r="AE469" s="76">
        <f>AA469-Y469</f>
        <v>604740</v>
      </c>
      <c r="AF469" s="80">
        <f>AV469</f>
        <v>0.97048611111111083</v>
      </c>
      <c r="AG469" s="56">
        <f>((AW469-AV469)+(AX469-AW469)+(AY469-AX469))/3</f>
        <v>-4.918981481481477E-2</v>
      </c>
      <c r="AH469" s="4"/>
      <c r="AI469" s="56">
        <f>RSQ(AV469:AY469,AV468:AY468)</f>
        <v>0.95757591326843061</v>
      </c>
      <c r="AJ469" s="109">
        <f>SLOPE(AV469:AY469,AV468:AY468)</f>
        <v>-2.4218840488955639E-7</v>
      </c>
      <c r="AK469" s="56">
        <f>INTERCEPT(AV469:AY469,AV468:AY468)</f>
        <v>0.96119343116116518</v>
      </c>
      <c r="AL469" s="56">
        <f>INDEX(LINEST(LN(AV469:AY469),LN(AV468:AY468),TRUE,TRUE),3,1)</f>
        <v>0.62549888104207185</v>
      </c>
      <c r="AM469" s="56">
        <f>INDEX(LINEST(LN(AV469:AY469),LN(AV468:AY468)),1)</f>
        <v>-1.3867887696298507E-2</v>
      </c>
      <c r="AN469" s="56">
        <f>EXP(INDEX(LINEST(LN(AV469:AY469),LN(AV468:AY468)),1,2))</f>
        <v>1.0404130761055665</v>
      </c>
      <c r="AO469" s="82">
        <f>INDEX(LINEST((AV469:AY469),LN(AV468:AY468),TRUE,TRUE),3,1)</f>
        <v>0.64098717161533592</v>
      </c>
      <c r="AP469" s="82">
        <f>INDEX(LINEST((AV469:AY469),LN(AV468:AY468)),1)</f>
        <v>-1.2559534189612705E-2</v>
      </c>
      <c r="AQ469" s="83">
        <f>INDEX(LINEST(LN(AV469:AY469),SQRT(AV468:AY468),TRUE,TRUE),3,1)</f>
        <v>0.95847570184226971</v>
      </c>
      <c r="AR469" s="116">
        <f>INDEX(LINEST(LN(AV469:AY469),SQRT((AV468:AY468))),1)</f>
        <v>-2.2191286778815194E-4</v>
      </c>
      <c r="AS469" s="84">
        <f>INDEX(LINEST(1/(AV469:AY469),1/(SQRT(AV468:AY468)),TRUE,TRUE),3,1)</f>
        <v>0.43529264228392384</v>
      </c>
      <c r="AT469" s="84">
        <f>INDEX(LINEST(1/(AV469:AY469),1/SQRT(AV468:AY468)),1)</f>
        <v>-0.8621107507971012</v>
      </c>
      <c r="AU469" s="3"/>
      <c r="AV469" s="53">
        <v>0.97048611111111083</v>
      </c>
      <c r="AW469" s="53">
        <v>0.94270833333333348</v>
      </c>
      <c r="AX469" s="53">
        <v>0.87847222222222232</v>
      </c>
      <c r="AY469" s="53">
        <v>0.82291666666666652</v>
      </c>
      <c r="AZ469" s="53"/>
      <c r="BA469" s="53"/>
      <c r="BB469" s="43"/>
      <c r="BC469" s="37"/>
      <c r="BD469" s="37"/>
      <c r="BE469" s="37"/>
      <c r="BF469" s="37"/>
      <c r="BG469" s="37"/>
      <c r="BH469" s="37"/>
      <c r="BI469" s="37"/>
      <c r="BJ469" s="37"/>
      <c r="BK469" s="37"/>
      <c r="BL469" s="37"/>
      <c r="BM469" s="37"/>
      <c r="BN469" s="37"/>
      <c r="BO469" s="37"/>
      <c r="BP469" s="37"/>
      <c r="BQ469" s="37"/>
      <c r="BR469" s="37"/>
      <c r="BS469" s="37"/>
      <c r="BT469" s="37"/>
      <c r="BU469" s="37"/>
      <c r="BV469" s="37"/>
      <c r="BW469" s="37"/>
      <c r="BX469" s="37"/>
      <c r="BY469" s="37"/>
      <c r="BZ469" s="37"/>
      <c r="CA469" s="37"/>
      <c r="CB469" s="37"/>
      <c r="CC469" s="37"/>
      <c r="CD469" s="37"/>
      <c r="CE469" s="37"/>
      <c r="CF469" s="37"/>
      <c r="CG469" s="37"/>
      <c r="CH469" s="37"/>
      <c r="CI469" s="37"/>
      <c r="CJ469" s="37"/>
      <c r="CK469" s="37"/>
      <c r="CL469" s="37"/>
      <c r="CM469" s="37"/>
      <c r="CN469" s="37"/>
      <c r="CO469" s="37"/>
      <c r="CP469" s="37"/>
      <c r="CQ469" s="37"/>
      <c r="CR469" s="1"/>
      <c r="CS469" s="1"/>
      <c r="CT469" s="1"/>
      <c r="CU469" s="1"/>
    </row>
    <row r="470" spans="1:99" s="13" customFormat="1" ht="12" customHeight="1" x14ac:dyDescent="0.2">
      <c r="A470" s="68">
        <v>43509</v>
      </c>
      <c r="B470" s="70"/>
      <c r="C470" s="70"/>
      <c r="D470" s="69"/>
      <c r="E470" s="87"/>
      <c r="F470" s="69"/>
      <c r="G470" s="69"/>
      <c r="H470" s="69"/>
      <c r="I470" s="69"/>
      <c r="J470" s="69"/>
      <c r="K470" s="107"/>
      <c r="L470" s="107"/>
      <c r="M470" s="69"/>
      <c r="N470" s="69"/>
      <c r="O470" s="69"/>
      <c r="P470" s="69"/>
      <c r="Q470" s="69"/>
      <c r="R470" s="69"/>
      <c r="S470" s="69"/>
      <c r="T470" s="69"/>
      <c r="U470" s="69"/>
      <c r="V470" s="69"/>
      <c r="W470" s="69"/>
      <c r="X470" s="69"/>
      <c r="Y470" s="87"/>
      <c r="Z470" s="69"/>
      <c r="AA470" s="69"/>
      <c r="AB470" s="69"/>
      <c r="AC470" s="69"/>
      <c r="AD470" s="69"/>
      <c r="AE470" s="69"/>
      <c r="AF470" s="88"/>
      <c r="AG470" s="72"/>
      <c r="AH470" s="4"/>
      <c r="AI470" s="72"/>
      <c r="AJ470" s="110"/>
      <c r="AK470" s="72"/>
      <c r="AL470" s="72"/>
      <c r="AM470" s="72"/>
      <c r="AN470" s="72"/>
      <c r="AO470" s="72"/>
      <c r="AP470" s="72"/>
      <c r="AQ470" s="72"/>
      <c r="AR470" s="110"/>
      <c r="AS470" s="72"/>
      <c r="AT470" s="72"/>
      <c r="AU470" s="4"/>
      <c r="AV470" s="71">
        <v>60</v>
      </c>
      <c r="AW470" s="71">
        <v>3600</v>
      </c>
      <c r="AX470" s="71">
        <v>86400</v>
      </c>
      <c r="AY470" s="71">
        <v>604800</v>
      </c>
      <c r="AZ470" s="71">
        <v>2419200</v>
      </c>
      <c r="BA470" s="71">
        <v>7257600</v>
      </c>
      <c r="BB470" s="4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1"/>
      <c r="CS470" s="1"/>
      <c r="CT470" s="1"/>
      <c r="CU470" s="1"/>
    </row>
    <row r="471" spans="1:99" s="13" customFormat="1" ht="12" customHeight="1" x14ac:dyDescent="0.2">
      <c r="A471" s="68">
        <v>43509</v>
      </c>
      <c r="B471" s="164" t="s">
        <v>291</v>
      </c>
      <c r="C471" s="70" t="s">
        <v>107</v>
      </c>
      <c r="D471" s="69">
        <v>2018</v>
      </c>
      <c r="E471" s="87">
        <v>1</v>
      </c>
      <c r="F471" s="69">
        <v>288</v>
      </c>
      <c r="G471" s="69">
        <v>48</v>
      </c>
      <c r="H471" s="69" t="s">
        <v>32</v>
      </c>
      <c r="I471" s="69"/>
      <c r="J471" s="69" t="s">
        <v>16</v>
      </c>
      <c r="K471" s="69">
        <f>IF(J471="syllables",1,IF(J471="trigrams",2,IF(J471="strings",3,IF(J471="visual array",4,IF(J471="characters",5,IF(J471="letters",6,IF(J471="free forms",7,IF(J471="odors",8,IF(J471="words",9,IF(J471="pictures",10,IF(J471="object pictures",11,IF(J471="faces",12,IF(J471="names",13,IF(J471="idioms",14,IF(J471="grades",15,IF(J471="syllable-digit pairs",16,IF(J471="trigram-word pairs",17,IF(J471="word-digit pairs",18,IF(J471="English-Swahili pairs",19,IF(J471="spatial position",20,IF(J471="word pairs",21,IF(J471="word triads",22,IF(J471="generated words",23,IF(J471="word definition pairs",24,IF(J471="math problems",25,IF(J471="famous faces",26,IF(J471="famous names",27,IF(J471="famous voices",28,IF(J471="television programs",29,IF(J471="race horses",30,IF(J471="new vocabulary",31,IF(J471="sentences",32,IF(J471="concepts",33,IF(J471="ad slides",34,IF(J471="scenes",35,IF(J471="famous scenes",36,IF(J471="poems",37,IF(J471="walk",38,IF(J471="faces and events",39,IF(J471="events and names",40,IF(J471="flashbulb",41,IF(J471="stories",42,IF(J471="course material",43,IF(J471="autobiographical",44,IF(J471="novels",45,IF(J471="public events",46,"99"))))))))))))))))))))))))))))))))))))))))))))))</f>
        <v>9</v>
      </c>
      <c r="L471" s="69">
        <f>IF(J471="syllables",1,IF(J471="trigrams",1,IF(J471="strings",1,IF(J471="visual array",1,IF(J471="characters",1,IF(J471="letters",1,IF(J471="free forms",1,IF(J471="odors",2,IF(J471="words",2,IF(J471="pictures",2,IF(J471="object pictures",2,IF(J471="faces",2,IF(J471="names",2,IF(J471="idioms","2",IF(J471="grades",2,IF(J471="syllable-digit pairs",3,IF(J471="trigram-word pairs",3,IF(J471="word-digit pairs",3,IF(J471="English-Swahili pairs",3,IF(J471="spatial position",3,IF(J471="word pairs",4,IF(J471="word triads",4,IF(J471="generated words",4,IF(J471="word definition pairs",4,IF(J471="math problems",4,IF(J471="famous faces",4,IF(J471="famous names",4,IF(J471="famous voices",4,IF(J471="television programs",4,IF(J471="race horses",4,IF(J471="new vocabulary",4,IF(J471="sentences",5,IF(J471="concepts",5,IF(J471="ad slides",5,IF(J471="scenes",5,IF(J471="famous scenes",5,IF(J471="poems",6,IF(J471="walk",6,IF(J471="faces and events",6,IF(J471="events and names",6,IF(J471="flashbulb",7,IF(J471="stories",7,IF(J471="course material",7,IF(J471="autobiographical",7,IF(J471="novels",7,IF(J471="public events",7,"99"))))))))))))))))))))))))))))))))))))))))))))))</f>
        <v>2</v>
      </c>
      <c r="M471" s="69">
        <v>0</v>
      </c>
      <c r="N471" s="69">
        <v>2</v>
      </c>
      <c r="O471" s="69">
        <v>1</v>
      </c>
      <c r="P471" s="69" t="s">
        <v>290</v>
      </c>
      <c r="Q471" s="69" t="s">
        <v>174</v>
      </c>
      <c r="R471" s="69">
        <f>IF(Q471="Free Recall",1,IF(Q471="Cued Recall",2,IF(Q471="Recognition",3,IF(Q471="Multiple Choice",4,IF(Q471="Savings",5,IF(Q471="Stem Completion",6,IF(Q471="Fragment Completion",7,IF(Q471="anagram solution",8,IF(Q471="Matching",9,IF(Q471="Problem Solving",10,"99"))))))))))</f>
        <v>1</v>
      </c>
      <c r="S471" s="69" t="s">
        <v>49</v>
      </c>
      <c r="T471" s="69" t="s">
        <v>261</v>
      </c>
      <c r="U471" s="69">
        <f>IF(T471="within",1,0)</f>
        <v>0</v>
      </c>
      <c r="V471" s="69">
        <v>20</v>
      </c>
      <c r="W471" s="69">
        <f>F471*V471</f>
        <v>5760</v>
      </c>
      <c r="X471" s="69">
        <v>6</v>
      </c>
      <c r="Y471" s="87">
        <f>AV470</f>
        <v>60</v>
      </c>
      <c r="Z471" s="69" t="s">
        <v>173</v>
      </c>
      <c r="AA471" s="69">
        <v>7257600</v>
      </c>
      <c r="AB471" s="69" t="str">
        <f>IF(AA471&lt;60,"1",IF(AA471&lt;=43200,"2",IF(AA471&lt;=777600,"3","4")))</f>
        <v>4</v>
      </c>
      <c r="AC471" s="72">
        <f>AVERAGE(AV470:DA470)</f>
        <v>1728610</v>
      </c>
      <c r="AD471" s="69" t="str">
        <f>IF(AC471&lt;60,"1",IF(AC471&lt;=43200,"2",IF(AC471&lt;=777600,"3","4")))</f>
        <v>4</v>
      </c>
      <c r="AE471" s="87">
        <f>AA471-Y471</f>
        <v>7257540</v>
      </c>
      <c r="AF471" s="88">
        <f>AV471</f>
        <v>0.45208333333333323</v>
      </c>
      <c r="AG471" s="72">
        <f>((AW471-AV471)+(AX471-AW471)+(AY471-AX471)+(AZ471-AY471)+(BA471-AZ471))/5</f>
        <v>-8.6666666666666642E-2</v>
      </c>
      <c r="AH471" s="4"/>
      <c r="AI471" s="72">
        <f>RSQ(AV471:BA471,AV470:BA470)</f>
        <v>0.43380317961689591</v>
      </c>
      <c r="AJ471" s="110">
        <f>SLOPE(AV471:BA471,AV470:BA470)</f>
        <v>-3.8096202666711515E-8</v>
      </c>
      <c r="AK471" s="72">
        <f>INTERCEPT(AV471:BA471,AV470:BA470)</f>
        <v>0.24502014355837087</v>
      </c>
      <c r="AL471" s="72">
        <f>INDEX(LINEST(LN(AV471:BA471),LN(AV470:BA470),TRUE,TRUE),3,1)</f>
        <v>0.82875371868913139</v>
      </c>
      <c r="AM471" s="72">
        <f>INDEX(LINEST(LN(AV471:BA471),LN(AV470:BA470)),1)</f>
        <v>-0.25494616483910487</v>
      </c>
      <c r="AN471" s="72">
        <f>EXP(INDEX(LINEST(LN(AV471:BA471),LN(AV470:BA470)),1,2))</f>
        <v>1.8874386771014482</v>
      </c>
      <c r="AO471" s="89">
        <f>INDEX(LINEST((AV471:BA471),LN(AV470:BA470),TRUE,TRUE),3,1)</f>
        <v>0.94845461074780446</v>
      </c>
      <c r="AP471" s="89">
        <f>INDEX(LINEST((AV471:BA471),LN(AV470:BA470)),1)</f>
        <v>-3.6530525950614498E-2</v>
      </c>
      <c r="AQ471" s="90">
        <f>INDEX(LINEST(LN(AV471:BA471),SQRT(AV470:BA470),TRUE,TRUE),3,1)</f>
        <v>0.92887820134697296</v>
      </c>
      <c r="AR471" s="117">
        <f>INDEX(LINEST(LN(AV471:BA471),SQRT((AV470:BA470))),1)</f>
        <v>-1.1326575911937021E-3</v>
      </c>
      <c r="AS471" s="91">
        <f>INDEX(LINEST(1/(AV471:BA471),1/(SQRT(AV470:BA470)),TRUE,TRUE),3,1)</f>
        <v>0.18021017540867584</v>
      </c>
      <c r="AT471" s="91">
        <f>INDEX(LINEST(1/(AV471:BA471),1/SQRT(AV470:BA470)),1)</f>
        <v>-165.89237132114539</v>
      </c>
      <c r="AU471" s="3"/>
      <c r="AV471" s="73">
        <v>0.45208333333333323</v>
      </c>
      <c r="AW471" s="73">
        <v>0.24375000000000002</v>
      </c>
      <c r="AX471" s="73">
        <v>0.23854166666666668</v>
      </c>
      <c r="AY471" s="73">
        <v>8.5416666666666655E-2</v>
      </c>
      <c r="AZ471" s="73">
        <v>3.6458333333333336E-2</v>
      </c>
      <c r="BA471" s="73">
        <v>1.8749999999999999E-2</v>
      </c>
      <c r="BB471" s="4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1"/>
      <c r="CS471" s="1"/>
      <c r="CT471" s="1"/>
      <c r="CU471" s="1"/>
    </row>
    <row r="472" spans="1:99" s="13" customFormat="1" ht="12" customHeight="1" x14ac:dyDescent="0.2">
      <c r="A472" s="65">
        <v>43509</v>
      </c>
      <c r="B472" s="1"/>
      <c r="C472" s="1"/>
      <c r="D472" s="60"/>
      <c r="E472" s="76"/>
      <c r="F472" s="60"/>
      <c r="G472" s="60"/>
      <c r="H472" s="61"/>
      <c r="I472" s="60"/>
      <c r="J472" s="60"/>
      <c r="K472" s="64"/>
      <c r="L472" s="64"/>
      <c r="M472" s="60"/>
      <c r="N472" s="60"/>
      <c r="O472" s="60"/>
      <c r="P472" s="60"/>
      <c r="Q472" s="60"/>
      <c r="R472" s="60"/>
      <c r="S472" s="60"/>
      <c r="T472" s="60"/>
      <c r="U472" s="60"/>
      <c r="V472" s="60"/>
      <c r="W472" s="60"/>
      <c r="X472" s="60"/>
      <c r="Y472" s="76"/>
      <c r="Z472" s="60"/>
      <c r="AA472" s="60"/>
      <c r="AB472" s="60"/>
      <c r="AC472" s="60"/>
      <c r="AD472" s="60"/>
      <c r="AE472" s="60"/>
      <c r="AF472" s="80"/>
      <c r="AG472" s="56"/>
      <c r="AH472" s="4"/>
      <c r="AI472" s="56"/>
      <c r="AJ472" s="109"/>
      <c r="AK472" s="56"/>
      <c r="AL472" s="56"/>
      <c r="AM472" s="56"/>
      <c r="AN472" s="56"/>
      <c r="AO472" s="56"/>
      <c r="AP472" s="56"/>
      <c r="AQ472" s="56"/>
      <c r="AR472" s="109"/>
      <c r="AS472" s="56"/>
      <c r="AT472" s="56"/>
      <c r="AU472" s="4"/>
      <c r="AV472" s="25">
        <v>60</v>
      </c>
      <c r="AW472" s="25">
        <v>86400</v>
      </c>
      <c r="AX472" s="25">
        <v>259200</v>
      </c>
      <c r="AY472" s="25">
        <v>604800</v>
      </c>
      <c r="AZ472" s="25">
        <v>1209600</v>
      </c>
      <c r="BA472" s="25">
        <v>2419200</v>
      </c>
      <c r="BB472" s="25">
        <v>3628800</v>
      </c>
      <c r="BC472" s="25">
        <v>4838400</v>
      </c>
      <c r="BD472" s="25">
        <v>7257600</v>
      </c>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1"/>
      <c r="CS472" s="1"/>
      <c r="CT472" s="1"/>
      <c r="CU472" s="1"/>
    </row>
    <row r="473" spans="1:99" s="13" customFormat="1" ht="12" customHeight="1" x14ac:dyDescent="0.2">
      <c r="A473" s="65">
        <v>43509</v>
      </c>
      <c r="B473" s="1" t="s">
        <v>471</v>
      </c>
      <c r="C473" s="1" t="s">
        <v>107</v>
      </c>
      <c r="D473" s="60">
        <v>2019</v>
      </c>
      <c r="E473" s="76">
        <v>2</v>
      </c>
      <c r="F473" s="60">
        <v>144</v>
      </c>
      <c r="G473" s="60">
        <v>16</v>
      </c>
      <c r="H473" s="60" t="s">
        <v>32</v>
      </c>
      <c r="I473" s="60"/>
      <c r="J473" s="60" t="s">
        <v>475</v>
      </c>
      <c r="K473" s="60">
        <f>IF(J473="syllables",1,IF(J473="trigrams",2,IF(J473="strings",3,IF(J473="visual array",4,IF(J473="characters",5,IF(J473="letters",6,IF(J473="free forms",7,IF(J473="odors",8,IF(J473="words",9,IF(J473="pictures",10,IF(J473="object pictures",11,IF(J473="faces",12,IF(J473="names",13,IF(J473="idioms",14,IF(J473="grades",15,IF(J473="syllable-digit pairs",16,IF(J473="trigram-word pairs",17,IF(J473="word-digit pairs",18,IF(J473="English-Swahili pairs",19,IF(J473="spatial position",20,IF(J473="word pairs",21,IF(J473="word triads",22,IF(J473="generated words",23,IF(J473="word definition pairs",24,IF(J473="math problems",25,IF(J473="famous faces",26,IF(J473="famous names",27,IF(J473="famous voices",28,IF(J473="television programs",29,IF(J473="race horses",30,IF(J473="new vocabulary",31,IF(J473="sentences",32,IF(J473="concepts",33,IF(J473="ad slides",34,IF(J473="scenes",35,IF(J473="famous scenes",36,IF(J473="poems",37,IF(J473="walk",38,IF(J473="faces and events",39,IF(J473="events and names",40,IF(J473="flashbulb",41,IF(J473="stories",42,IF(J473="course material",43,IF(J473="autobiographical",44,IF(J473="novels",45,IF(J473="public events",46,"99"))))))))))))))))))))))))))))))))))))))))))))))</f>
        <v>32</v>
      </c>
      <c r="L473" s="60">
        <f>IF(J473="syllables",1,IF(J473="trigrams",1,IF(J473="strings",1,IF(J473="visual array",1,IF(J473="characters",1,IF(J473="letters",1,IF(J473="free forms",1,IF(J473="odors",2,IF(J473="words",2,IF(J473="pictures",2,IF(J473="object pictures",2,IF(J473="faces",2,IF(J473="names",2,IF(J473="idioms","2",IF(J473="grades",2,IF(J473="syllable-digit pairs",3,IF(J473="trigram-word pairs",3,IF(J473="word-digit pairs",3,IF(J473="English-Swahili pairs",3,IF(J473="spatial position",3,IF(J473="word pairs",4,IF(J473="word triads",4,IF(J473="generated words",4,IF(J473="word definition pairs",4,IF(J473="math problems",4,IF(J473="famous faces",4,IF(J473="famous names",4,IF(J473="famous voices",4,IF(J473="television programs",4,IF(J473="race horses",4,IF(J473="new vocabulary",4,IF(J473="sentences",5,IF(J473="concepts",5,IF(J473="ad slides",5,IF(J473="scenes",5,IF(J473="famous scenes",5,IF(J473="poems",6,IF(J473="walk",6,IF(J473="faces and events",6,IF(J473="events and names",6,IF(J473="flashbulb",7,IF(J473="stories",7,IF(J473="course material",7,IF(J473="autobiographical",7,IF(J473="novels",7,IF(J473="public events",7,"99"))))))))))))))))))))))))))))))))))))))))))))))</f>
        <v>5</v>
      </c>
      <c r="M473" s="60">
        <v>1</v>
      </c>
      <c r="N473" s="60">
        <v>4</v>
      </c>
      <c r="O473" s="60">
        <v>0</v>
      </c>
      <c r="P473" s="60"/>
      <c r="Q473" s="60" t="s">
        <v>34</v>
      </c>
      <c r="R473" s="60">
        <f>IF(Q473="Free Recall",1,IF(Q473="Cued Recall",2,IF(Q473="Recognition",3,IF(Q473="Multiple Choice",4,IF(Q473="Savings",5,IF(Q473="Stem Completion",6,IF(Q473="Fragment Completion",7,IF(Q473="anagram solution",8,IF(Q473="Matching",9,IF(Q473="Problem Solving",10,"99"))))))))))</f>
        <v>3</v>
      </c>
      <c r="S473" s="60" t="s">
        <v>15</v>
      </c>
      <c r="T473" s="60" t="s">
        <v>261</v>
      </c>
      <c r="U473" s="60">
        <f>IF(T473="within",1,0)</f>
        <v>0</v>
      </c>
      <c r="V473" s="60">
        <v>18</v>
      </c>
      <c r="W473" s="60">
        <f>F473*V473</f>
        <v>2592</v>
      </c>
      <c r="X473" s="60">
        <v>9</v>
      </c>
      <c r="Y473" s="76">
        <f>AV472</f>
        <v>60</v>
      </c>
      <c r="Z473" s="60" t="s">
        <v>173</v>
      </c>
      <c r="AA473" s="60">
        <v>7257600</v>
      </c>
      <c r="AB473" s="60" t="str">
        <f>IF(AA473&lt;60,"1",IF(AA473&lt;=43200,"2",IF(AA473&lt;=777600,"3","4")))</f>
        <v>4</v>
      </c>
      <c r="AC473" s="56">
        <f>AVERAGE(AV472:DA472)</f>
        <v>2256006.6666666665</v>
      </c>
      <c r="AD473" s="60" t="str">
        <f>IF(AC473&lt;60,"1",IF(AC473&lt;=43200,"2",IF(AC473&lt;=777600,"3","4")))</f>
        <v>4</v>
      </c>
      <c r="AE473" s="76">
        <f>AA473-Y473</f>
        <v>7257540</v>
      </c>
      <c r="AF473" s="80">
        <f>AV473</f>
        <v>1</v>
      </c>
      <c r="AG473" s="56">
        <f>((AW473-AV473)+(AX473-AW473)+(AY473-AX473)+(AZ473-AY473)+(BA473-AZ473)+(BB473-BA473)+(BC473-BB473)+(BD473-BC473))/8</f>
        <v>-3.8750000000000007E-2</v>
      </c>
      <c r="AH473" s="4"/>
      <c r="AI473" s="56">
        <f>RSQ(AV473:BD473,AV472:BD472)</f>
        <v>0.9576538922675969</v>
      </c>
      <c r="AJ473" s="109">
        <f>SLOPE(AV473:BD473,AV472:BD472)</f>
        <v>-4.576017067918815E-8</v>
      </c>
      <c r="AK473" s="56">
        <f>INTERCEPT(AV473:BD473,AV472:BD472)</f>
        <v>0.99101302789783074</v>
      </c>
      <c r="AL473" s="56">
        <f>INDEX(LINEST(LN(AV473:BD473),LN(AV472:BD472),TRUE,TRUE),3,1)</f>
        <v>0.42714412216732872</v>
      </c>
      <c r="AM473" s="56">
        <f>INDEX(LINEST(LN(AV473:BD473),LN(AV472:BD472)),1)</f>
        <v>-2.515431825260913E-2</v>
      </c>
      <c r="AN473" s="56">
        <f>EXP(INDEX(LINEST(LN(AV473:BD473),LN(AV472:BD472)),1,2))</f>
        <v>1.2183578556967045</v>
      </c>
      <c r="AO473" s="82">
        <f>INDEX(LINEST((AV473:BD473),LN(AV472:BD472),TRUE,TRUE),3,1)</f>
        <v>0.44523418578156537</v>
      </c>
      <c r="AP473" s="82">
        <f>INDEX(LINEST((AV473:BD473),LN(AV472:BD472)),1)</f>
        <v>-2.1874635521936966E-2</v>
      </c>
      <c r="AQ473" s="83">
        <f>INDEX(LINEST(LN(AV473:BD473),SQRT(AV472:BD472),TRUE,TRUE),3,1)</f>
        <v>0.94444965104936185</v>
      </c>
      <c r="AR473" s="116">
        <f>INDEX(LINEST(LN(AV473:BD473),SQRT((AV472:BD472))),1)</f>
        <v>-1.4687309355269527E-4</v>
      </c>
      <c r="AS473" s="84">
        <f>INDEX(LINEST(1/(AV473:BD473),1/(SQRT(AV472:BD472)),TRUE,TRUE),3,1)</f>
        <v>0.12035334699306682</v>
      </c>
      <c r="AT473" s="84">
        <f>INDEX(LINEST(1/(AV473:BD473),1/SQRT(AV472:BD472)),1)</f>
        <v>-1.3422830117068729</v>
      </c>
      <c r="AU473" s="3"/>
      <c r="AV473" s="53">
        <v>1</v>
      </c>
      <c r="AW473" s="53">
        <v>0.99</v>
      </c>
      <c r="AX473" s="53">
        <v>1</v>
      </c>
      <c r="AY473" s="53">
        <v>0.98</v>
      </c>
      <c r="AZ473" s="53">
        <v>0.93</v>
      </c>
      <c r="BA473" s="53">
        <v>0.83</v>
      </c>
      <c r="BB473" s="53">
        <v>0.82</v>
      </c>
      <c r="BC473" s="53">
        <v>0.75</v>
      </c>
      <c r="BD473" s="53">
        <v>0.69</v>
      </c>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1"/>
      <c r="CS473" s="1"/>
      <c r="CT473" s="1"/>
      <c r="CU473" s="1"/>
    </row>
    <row r="474" spans="1:99" s="13" customFormat="1" ht="12" customHeight="1" x14ac:dyDescent="0.2">
      <c r="A474" s="65">
        <v>43509</v>
      </c>
      <c r="B474" s="1"/>
      <c r="C474" s="1"/>
      <c r="D474" s="60"/>
      <c r="E474" s="76"/>
      <c r="F474" s="60"/>
      <c r="G474" s="60"/>
      <c r="H474" s="61"/>
      <c r="I474" s="60"/>
      <c r="J474" s="60"/>
      <c r="K474" s="64"/>
      <c r="L474" s="64"/>
      <c r="M474" s="60"/>
      <c r="N474" s="60"/>
      <c r="O474" s="60"/>
      <c r="P474" s="60"/>
      <c r="Q474" s="60"/>
      <c r="R474" s="60"/>
      <c r="S474" s="60"/>
      <c r="T474" s="60"/>
      <c r="U474" s="60"/>
      <c r="V474" s="60"/>
      <c r="W474" s="60"/>
      <c r="X474" s="60"/>
      <c r="Y474" s="76"/>
      <c r="Z474" s="60"/>
      <c r="AA474" s="60"/>
      <c r="AB474" s="60"/>
      <c r="AC474" s="60"/>
      <c r="AD474" s="60"/>
      <c r="AE474" s="60"/>
      <c r="AF474" s="80"/>
      <c r="AG474" s="56"/>
      <c r="AH474" s="4"/>
      <c r="AI474" s="56"/>
      <c r="AJ474" s="109"/>
      <c r="AK474" s="56"/>
      <c r="AL474" s="56"/>
      <c r="AM474" s="56"/>
      <c r="AN474" s="56"/>
      <c r="AO474" s="56"/>
      <c r="AP474" s="56"/>
      <c r="AQ474" s="82"/>
      <c r="AR474" s="115"/>
      <c r="AS474" s="82"/>
      <c r="AT474" s="82"/>
      <c r="AU474" s="4"/>
      <c r="AV474" s="25">
        <v>60</v>
      </c>
      <c r="AW474" s="25">
        <v>86400</v>
      </c>
      <c r="AX474" s="25">
        <v>259200</v>
      </c>
      <c r="AY474" s="25">
        <v>604800</v>
      </c>
      <c r="AZ474" s="25">
        <v>864000</v>
      </c>
      <c r="BA474" s="25">
        <v>1209600</v>
      </c>
      <c r="BB474" s="53"/>
      <c r="BC474" s="53"/>
      <c r="BD474" s="53"/>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1"/>
      <c r="CS474" s="1"/>
      <c r="CT474" s="1"/>
      <c r="CU474" s="1"/>
    </row>
    <row r="475" spans="1:99" s="13" customFormat="1" ht="12" customHeight="1" x14ac:dyDescent="0.2">
      <c r="A475" s="65">
        <v>43509</v>
      </c>
      <c r="B475" s="1" t="s">
        <v>471</v>
      </c>
      <c r="C475" s="1" t="s">
        <v>107</v>
      </c>
      <c r="D475" s="60">
        <v>2019</v>
      </c>
      <c r="E475" s="76">
        <v>3</v>
      </c>
      <c r="F475" s="60">
        <v>144</v>
      </c>
      <c r="G475" s="60">
        <v>24</v>
      </c>
      <c r="H475" s="60" t="s">
        <v>17</v>
      </c>
      <c r="I475" s="60"/>
      <c r="J475" s="60" t="s">
        <v>320</v>
      </c>
      <c r="K475" s="60">
        <f>IF(J475="syllables",1,IF(J475="trigrams",2,IF(J475="strings",3,IF(J475="visual array",4,IF(J475="characters",5,IF(J475="letters",6,IF(J475="free forms",7,IF(J475="odors",8,IF(J475="words",9,IF(J475="pictures",10,IF(J475="object pictures",11,IF(J475="faces",12,IF(J475="names",13,IF(J475="idioms",14,IF(J475="grades",15,IF(J475="syllable-digit pairs",16,IF(J475="trigram-word pairs",17,IF(J475="word-digit pairs",18,IF(J475="English-Swahili pairs",19,IF(J475="spatial position",20,IF(J475="word pairs",21,IF(J475="word triads",22,IF(J475="generated words",23,IF(J475="word definition pairs",24,IF(J475="math problems",25,IF(J475="famous faces",26,IF(J475="famous names",27,IF(J475="famous voices",28,IF(J475="television programs",29,IF(J475="race horses",30,IF(J475="new vocabulary",31,IF(J475="sentences",32,IF(J475="concepts",33,IF(J475="ad slides",34,IF(J475="scenes",35,IF(J475="famous scenes",36,IF(J475="poems",37,IF(J475="walk",38,IF(J475="faces and events",39,IF(J475="events and names",40,IF(J475="flashbulb",41,IF(J475="stories",42,IF(J475="course material",43,IF(J475="autobiographical",44,IF(J475="novels",45,IF(J475="public events",46,"99"))))))))))))))))))))))))))))))))))))))))))))))</f>
        <v>21</v>
      </c>
      <c r="L475" s="60">
        <f>IF(J475="syllables",1,IF(J475="trigrams",1,IF(J475="strings",1,IF(J475="visual array",1,IF(J475="characters",1,IF(J475="letters",1,IF(J475="free forms",1,IF(J475="odors",2,IF(J475="words",2,IF(J475="pictures",2,IF(J475="object pictures",2,IF(J475="faces",2,IF(J475="names",2,IF(J475="idioms","2",IF(J475="grades",2,IF(J475="syllable-digit pairs",3,IF(J475="trigram-word pairs",3,IF(J475="word-digit pairs",3,IF(J475="English-Swahili pairs",3,IF(J475="spatial position",3,IF(J475="word pairs",4,IF(J475="word triads",4,IF(J475="generated words",4,IF(J475="word definition pairs",4,IF(J475="math problems",4,IF(J475="famous faces",4,IF(J475="famous names",4,IF(J475="famous voices",4,IF(J475="television programs",4,IF(J475="race horses",4,IF(J475="new vocabulary",4,IF(J475="sentences",5,IF(J475="concepts",5,IF(J475="ad slides",5,IF(J475="scenes",5,IF(J475="famous scenes",5,IF(J475="poems",6,IF(J475="walk",6,IF(J475="faces and events",6,IF(J475="events and names",6,IF(J475="flashbulb",7,IF(J475="stories",7,IF(J475="course material",7,IF(J475="autobiographical",7,IF(J475="novels",7,IF(J475="public events",7,"99"))))))))))))))))))))))))))))))))))))))))))))))</f>
        <v>4</v>
      </c>
      <c r="M475" s="60">
        <v>1</v>
      </c>
      <c r="N475" s="60">
        <v>4</v>
      </c>
      <c r="O475" s="60">
        <v>0</v>
      </c>
      <c r="P475" s="60"/>
      <c r="Q475" s="60" t="s">
        <v>34</v>
      </c>
      <c r="R475" s="60">
        <f>IF(Q475="Free Recall",1,IF(Q475="Cued Recall",2,IF(Q475="Recognition",3,IF(Q475="Multiple Choice",4,IF(Q475="Savings",5,IF(Q475="Stem Completion",6,IF(Q475="Fragment Completion",7,IF(Q475="anagram solution",8,IF(Q475="Matching",9,IF(Q475="Problem Solving",10,"99"))))))))))</f>
        <v>3</v>
      </c>
      <c r="S475" s="60" t="s">
        <v>15</v>
      </c>
      <c r="T475" s="60" t="s">
        <v>261</v>
      </c>
      <c r="U475" s="60">
        <f>IF(T475="within",1,0)</f>
        <v>0</v>
      </c>
      <c r="V475" s="60">
        <v>18</v>
      </c>
      <c r="W475" s="60">
        <f>F475*V475</f>
        <v>2592</v>
      </c>
      <c r="X475" s="60">
        <v>6</v>
      </c>
      <c r="Y475" s="76">
        <f>AV474</f>
        <v>60</v>
      </c>
      <c r="Z475" s="60" t="s">
        <v>170</v>
      </c>
      <c r="AA475" s="60">
        <f>14*24*2600</f>
        <v>873600</v>
      </c>
      <c r="AB475" s="60" t="str">
        <f>IF(AA475&lt;60,"1",IF(AA475&lt;=43200,"2",IF(AA475&lt;=777600,"3","4")))</f>
        <v>4</v>
      </c>
      <c r="AC475" s="56">
        <f>AVERAGE(AV474:DA474)</f>
        <v>504010</v>
      </c>
      <c r="AD475" s="60" t="str">
        <f>IF(AC475&lt;60,"1",IF(AC475&lt;=43200,"2",IF(AC475&lt;=777600,"3","4")))</f>
        <v>3</v>
      </c>
      <c r="AE475" s="76">
        <f>AA475-Y475</f>
        <v>873540</v>
      </c>
      <c r="AF475" s="80">
        <f>AV475</f>
        <v>0.96467391304347827</v>
      </c>
      <c r="AG475" s="56">
        <f>((AW475-AV475)+(AX475-AW475)+(AY475-AX475)+(AZ475-AY475)+(BA475-AZ475))/5</f>
        <v>-3.3152173913043481E-2</v>
      </c>
      <c r="AH475" s="4"/>
      <c r="AI475" s="56">
        <f>RSQ(AV475:BA475,AV474:BA474)</f>
        <v>0.9341051079853373</v>
      </c>
      <c r="AJ475" s="109">
        <f>SLOPE(AV475:BA475,AV474:BA474)</f>
        <v>-1.5623538958867493E-7</v>
      </c>
      <c r="AK475" s="56">
        <f>INTERCEPT(AV475:BA475,AV474:BA474)</f>
        <v>0.96393441609789243</v>
      </c>
      <c r="AL475" s="56">
        <f>INDEX(LINEST(LN(AV475:BA475),LN(AV474:BA474),TRUE,TRUE),3,1)</f>
        <v>0.4763967731021696</v>
      </c>
      <c r="AM475" s="56">
        <f>INDEX(LINEST(LN(AV475:BA475),LN(AV474:BA474)),1)</f>
        <v>-1.6099550602488931E-2</v>
      </c>
      <c r="AN475" s="56">
        <f>EXP(INDEX(LINEST(LN(AV475:BA475),LN(AV474:BA474)),1,2))</f>
        <v>1.0616248232865657</v>
      </c>
      <c r="AO475" s="82">
        <f>INDEX(LINEST((AV475:BA475),LN(AV474:BA474),TRUE,TRUE),3,1)</f>
        <v>0.485579578416234</v>
      </c>
      <c r="AP475" s="82">
        <f>INDEX(LINEST((AV475:BA475),LN(AV474:BA474)),1)</f>
        <v>-1.4279678231667354E-2</v>
      </c>
      <c r="AQ475" s="83">
        <f>INDEX(LINEST(LN(AV475:BA475),SQRT(AV474:BA474),TRUE,TRUE),3,1)</f>
        <v>0.8930031176324783</v>
      </c>
      <c r="AR475" s="116">
        <f>INDEX(LINEST(LN(AV475:BA475),SQRT((AV474:BA474))),1)</f>
        <v>-2.0099473596771561E-4</v>
      </c>
      <c r="AS475" s="84">
        <f>INDEX(LINEST(1/(AV475:BA475),1/(SQRT(AV474:BA474)),TRUE,TRUE),3,1)</f>
        <v>0.25614957778536462</v>
      </c>
      <c r="AT475" s="84">
        <f>INDEX(LINEST(1/(AV475:BA475),1/SQRT(AV474:BA474)),1)</f>
        <v>-0.96993422840949683</v>
      </c>
      <c r="AU475" s="3"/>
      <c r="AV475" s="53">
        <v>0.96467391304347827</v>
      </c>
      <c r="AW475" s="53">
        <v>0.95244565217391308</v>
      </c>
      <c r="AX475" s="53">
        <v>0.94157608695652173</v>
      </c>
      <c r="AY475" s="53">
        <v>0.85054347826086951</v>
      </c>
      <c r="AZ475" s="53">
        <v>0.80298913043478259</v>
      </c>
      <c r="BA475" s="53">
        <v>0.79891304347826086</v>
      </c>
      <c r="BB475" s="53"/>
      <c r="BC475" s="53"/>
      <c r="BD475" s="53"/>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1"/>
      <c r="CS475" s="1"/>
      <c r="CT475" s="1"/>
      <c r="CU475" s="1"/>
    </row>
    <row r="476" spans="1:99" s="13" customFormat="1" ht="12" customHeight="1" x14ac:dyDescent="0.2">
      <c r="A476" s="68">
        <v>43978</v>
      </c>
      <c r="B476" s="70"/>
      <c r="C476" s="70"/>
      <c r="D476" s="69"/>
      <c r="E476" s="87"/>
      <c r="F476" s="69"/>
      <c r="G476" s="69"/>
      <c r="H476" s="69"/>
      <c r="I476" s="69"/>
      <c r="J476" s="69"/>
      <c r="K476" s="69"/>
      <c r="L476" s="69"/>
      <c r="M476" s="69"/>
      <c r="N476" s="69"/>
      <c r="O476" s="69"/>
      <c r="P476" s="69"/>
      <c r="Q476" s="69"/>
      <c r="R476" s="69"/>
      <c r="S476" s="69"/>
      <c r="T476" s="69"/>
      <c r="U476" s="69"/>
      <c r="V476" s="69"/>
      <c r="W476" s="69"/>
      <c r="X476" s="69"/>
      <c r="Y476" s="87"/>
      <c r="Z476" s="69"/>
      <c r="AA476" s="69"/>
      <c r="AB476" s="69"/>
      <c r="AC476" s="72"/>
      <c r="AD476" s="69"/>
      <c r="AE476" s="87"/>
      <c r="AF476" s="88"/>
      <c r="AG476" s="72"/>
      <c r="AH476" s="4"/>
      <c r="AI476" s="72"/>
      <c r="AJ476" s="110"/>
      <c r="AK476" s="72"/>
      <c r="AL476" s="72"/>
      <c r="AM476" s="72"/>
      <c r="AN476" s="72"/>
      <c r="AO476" s="89"/>
      <c r="AP476" s="89"/>
      <c r="AQ476" s="90"/>
      <c r="AR476" s="117"/>
      <c r="AS476" s="91"/>
      <c r="AT476" s="91"/>
      <c r="AU476" s="3"/>
      <c r="AV476" s="71">
        <f>60*30</f>
        <v>1800</v>
      </c>
      <c r="AW476" s="71">
        <f>60*60*24</f>
        <v>86400</v>
      </c>
      <c r="AX476" s="71">
        <f>60*60*24*4</f>
        <v>345600</v>
      </c>
      <c r="AY476" s="53"/>
      <c r="AZ476" s="53"/>
      <c r="BA476" s="53"/>
      <c r="BB476" s="53"/>
      <c r="BC476" s="53"/>
      <c r="BD476" s="53"/>
      <c r="BE476" s="53"/>
      <c r="BF476" s="53"/>
      <c r="BG476" s="53"/>
      <c r="BH476" s="53"/>
      <c r="BI476" s="53"/>
      <c r="BJ476" s="53"/>
      <c r="BK476" s="53"/>
      <c r="BL476" s="53"/>
      <c r="BM476" s="53"/>
      <c r="BN476" s="53"/>
      <c r="BO476" s="53"/>
      <c r="BP476" s="53"/>
      <c r="BQ476" s="53"/>
      <c r="BR476" s="53"/>
      <c r="BS476" s="53"/>
      <c r="BT476" s="53"/>
      <c r="BU476" s="53"/>
      <c r="BV476" s="53"/>
      <c r="BW476" s="53"/>
      <c r="BX476" s="53"/>
      <c r="BY476" s="53"/>
      <c r="BZ476" s="53"/>
      <c r="CA476" s="53"/>
      <c r="CB476" s="53"/>
      <c r="CC476" s="53"/>
      <c r="CD476" s="53"/>
      <c r="CE476" s="53"/>
      <c r="CF476" s="53"/>
      <c r="CG476" s="53"/>
      <c r="CH476" s="53"/>
      <c r="CI476" s="53"/>
      <c r="CJ476" s="53"/>
      <c r="CK476" s="53"/>
      <c r="CL476" s="53"/>
      <c r="CM476" s="53"/>
      <c r="CN476" s="53"/>
      <c r="CO476" s="53"/>
      <c r="CP476" s="53"/>
      <c r="CQ476" s="53"/>
      <c r="CR476" s="1"/>
      <c r="CS476" s="1"/>
      <c r="CT476" s="1"/>
      <c r="CU476" s="1"/>
    </row>
    <row r="477" spans="1:99" s="13" customFormat="1" ht="12" customHeight="1" x14ac:dyDescent="0.2">
      <c r="A477" s="68">
        <v>43978</v>
      </c>
      <c r="B477" s="70" t="s">
        <v>963</v>
      </c>
      <c r="C477" s="70" t="s">
        <v>964</v>
      </c>
      <c r="D477" s="69">
        <v>2013</v>
      </c>
      <c r="E477" s="87">
        <v>1</v>
      </c>
      <c r="F477" s="69">
        <v>15</v>
      </c>
      <c r="G477" s="69">
        <v>15</v>
      </c>
      <c r="H477" s="69" t="s">
        <v>50</v>
      </c>
      <c r="I477" s="69" t="s">
        <v>330</v>
      </c>
      <c r="J477" s="69" t="s">
        <v>16</v>
      </c>
      <c r="K477" s="69">
        <f>IF(J477="syllables",1,IF(J477="trigrams",2,IF(J477="strings",3,IF(J477="visual array",4,IF(J477="characters",5,IF(J477="letters",6,IF(J477="free forms",7,IF(J477="odors",8,IF(J477="words",9,IF(J477="pictures",10,IF(J477="object pictures",11,IF(J477="faces",12,IF(J477="names",13,IF(J477="idioms",14,IF(J477="grades",15,IF(J477="syllable-digit pairs",16,IF(J477="trigram-word pairs",17,IF(J477="word-digit pairs",18,IF(J477="English-Swahili pairs",19,IF(J477="spatial position",20,IF(J477="word pairs",21,IF(J477="word triads",22,IF(J477="generated words",23,IF(J477="word definition pairs",24,IF(J477="math problems",25,IF(J477="famous faces",26,IF(J477="famous names",27,IF(J477="famous voices",28,IF(J477="television programs",29,IF(J477="race horses",30,IF(J477="new vocabulary",31,IF(J477="sentences",32,IF(J477="concepts",33,IF(J477="ad slides",34,IF(J477="scenes",35,IF(J477="famous scenes",36,IF(J477="poems",37,IF(J477="walk",38,IF(J477="faces and events",39,IF(J477="events and names",40,IF(J477="flashbulb",41,IF(J477="stories",42,IF(J477="course material",43,IF(J477="autobiographical",44,IF(J477="novels",45,IF(J477="public events",46,"99"))))))))))))))))))))))))))))))))))))))))))))))</f>
        <v>9</v>
      </c>
      <c r="L477" s="69">
        <f>IF(J477="syllables",1,IF(J477="trigrams",1,IF(J477="strings",1,IF(J477="visual array",1,IF(J477="characters",1,IF(J477="letters",1,IF(J477="free forms",1,IF(J477="odors",2,IF(J477="words",2,IF(J477="pictures",2,IF(J477="object pictures",2,IF(J477="faces",2,IF(J477="names",2,IF(J477="idioms","2",IF(J477="grades",2,IF(J477="syllable-digit pairs",3,IF(J477="trigram-word pairs",3,IF(J477="word-digit pairs",3,IF(J477="English-Swahili pairs",3,IF(J477="spatial position",3,IF(J477="word pairs",4,IF(J477="word triads",4,IF(J477="generated words",4,IF(J477="word definition pairs",4,IF(J477="math problems",4,IF(J477="famous faces",4,IF(J477="famous names",4,IF(J477="famous voices",4,IF(J477="television programs",4,IF(J477="race horses",4,IF(J477="new vocabulary",4,IF(J477="sentences",5,IF(J477="concepts",5,IF(J477="ad slides",5,IF(J477="scenes",5,IF(J477="famous scenes",5,IF(J477="poems",6,IF(J477="walk",6,IF(J477="faces and events",6,IF(J477="events and names",6,IF(J477="flashbulb",7,IF(J477="stories",7,IF(J477="course material",7,IF(J477="autobiographical",7,IF(J477="novels",7,IF(J477="public events",7,"99"))))))))))))))))))))))))))))))))))))))))))))))</f>
        <v>2</v>
      </c>
      <c r="M477" s="69">
        <v>0</v>
      </c>
      <c r="N477" s="69">
        <v>1</v>
      </c>
      <c r="O477" s="69">
        <v>0</v>
      </c>
      <c r="P477" s="69"/>
      <c r="Q477" s="69" t="s">
        <v>174</v>
      </c>
      <c r="R477" s="69">
        <f>IF(Q477="Free Recall",1,IF(Q477="Cued Recall",2,IF(Q477="Recognition",3,IF(Q477="Multiple Choice",4,IF(Q477="Savings",5,IF(Q477="Stem Completion",6,IF(Q477="Fragment Completion",7,IF(Q477="anagram solution",8,IF(Q477="Matching",9,IF(Q477="Problem Solving",10,"99"))))))))))</f>
        <v>1</v>
      </c>
      <c r="S477" s="99" t="s">
        <v>49</v>
      </c>
      <c r="T477" s="69" t="s">
        <v>581</v>
      </c>
      <c r="U477" s="69">
        <f>IF(T477="within",1,0)</f>
        <v>1</v>
      </c>
      <c r="V477" s="69">
        <v>13</v>
      </c>
      <c r="W477" s="69">
        <f>F477*V477</f>
        <v>195</v>
      </c>
      <c r="X477" s="69">
        <v>3</v>
      </c>
      <c r="Y477" s="87">
        <f>AV476</f>
        <v>1800</v>
      </c>
      <c r="Z477" s="69" t="s">
        <v>150</v>
      </c>
      <c r="AA477" s="69">
        <f>60*60*24*7</f>
        <v>604800</v>
      </c>
      <c r="AB477" s="69" t="str">
        <f>IF(AA477&lt;60,"1",IF(AA477&lt;=43200,"2",IF(AA477&lt;=777600,"3","4")))</f>
        <v>3</v>
      </c>
      <c r="AC477" s="72">
        <f>AVERAGE(AV476:DA476)</f>
        <v>144600</v>
      </c>
      <c r="AD477" s="69" t="str">
        <f>IF(AC477&lt;60,"1",IF(AC477&lt;=43200,"2",IF(AC477&lt;=777600,"3","4")))</f>
        <v>3</v>
      </c>
      <c r="AE477" s="87">
        <f>AA477-Y477</f>
        <v>603000</v>
      </c>
      <c r="AF477" s="88">
        <f>AV477</f>
        <v>0.87260000000000004</v>
      </c>
      <c r="AG477" s="72">
        <f>((AW477-AV477)+(AX477-AW477))/2</f>
        <v>-6.8850000000000022E-2</v>
      </c>
      <c r="AH477" s="4"/>
      <c r="AI477" s="72">
        <f>RSQ(AV477:AX477,AV476:AX476)</f>
        <v>0.7799664286077469</v>
      </c>
      <c r="AJ477" s="110">
        <f>SLOPE(AV477:AX477,AV476:AX476)</f>
        <v>-3.4655332308716358E-7</v>
      </c>
      <c r="AK477" s="72">
        <f>INTERCEPT(AV477:AX477,AV476:AX476)</f>
        <v>0.8456782771850706</v>
      </c>
      <c r="AL477" s="72">
        <f>INDEX(LINEST(LN(AV477:AX477),LN(AV476:AX476),TRUE,TRUE),3,1)</f>
        <v>0.99285707628804176</v>
      </c>
      <c r="AM477" s="72">
        <f>INDEX(LINEST(LN(AV477:AX477),LN(AV476:AX476)),1)</f>
        <v>-3.1927310533355263E-2</v>
      </c>
      <c r="AN477" s="72">
        <f>EXP(INDEX(LINEST(LN(AV477:AX477),LN(AV476:AX476)),1,2))</f>
        <v>1.1109349304841249</v>
      </c>
      <c r="AO477" s="89">
        <f>INDEX(LINEST((AV477:AX477),LN(AV476:AX476),TRUE,TRUE),3,1)</f>
        <v>0.9959905069953553</v>
      </c>
      <c r="AP477" s="89">
        <f>INDEX(LINEST((AV477:AX477),LN(AV476:AX476)),1)</f>
        <v>-2.5745432122971618E-2</v>
      </c>
      <c r="AQ477" s="90">
        <f>INDEX(LINEST(LN(AV477:AX477),SQRT(AV476:AX476),TRUE,TRUE),3,1)</f>
        <v>0.94950156658030926</v>
      </c>
      <c r="AR477" s="117">
        <f>INDEX(LINEST(LN(AV477:AX477),SQRT((AV476:AX476))),1)</f>
        <v>-3.1163637057547548E-4</v>
      </c>
      <c r="AS477" s="91">
        <f>INDEX(LINEST(1/(AV477:AX477),1/(SQRT(AV476:AX476)),TRUE,TRUE),3,1)</f>
        <v>0.91621116834357286</v>
      </c>
      <c r="AT477" s="91">
        <f>INDEX(LINEST(1/(AV477:AX477),1/SQRT(AV476:AX476)),1)</f>
        <v>-8.557158817826334</v>
      </c>
      <c r="AU477" s="3"/>
      <c r="AV477" s="73">
        <v>0.87260000000000004</v>
      </c>
      <c r="AW477" s="73">
        <v>0.7792</v>
      </c>
      <c r="AX477" s="73">
        <v>0.7349</v>
      </c>
      <c r="AY477" s="53"/>
      <c r="AZ477" s="53"/>
      <c r="BA477" s="53"/>
      <c r="BB477" s="53"/>
      <c r="BC477" s="53"/>
      <c r="BD477" s="53"/>
      <c r="BE477" s="53"/>
      <c r="BF477" s="53"/>
      <c r="BG477" s="53"/>
      <c r="BH477" s="53"/>
      <c r="BI477" s="53"/>
      <c r="BJ477" s="53"/>
      <c r="BK477" s="53"/>
      <c r="BL477" s="53"/>
      <c r="BM477" s="53"/>
      <c r="BN477" s="53"/>
      <c r="BO477" s="53"/>
      <c r="BP477" s="53"/>
      <c r="BQ477" s="53"/>
      <c r="BR477" s="53"/>
      <c r="BS477" s="53"/>
      <c r="BT477" s="53"/>
      <c r="BU477" s="53"/>
      <c r="BV477" s="53"/>
      <c r="BW477" s="53"/>
      <c r="BX477" s="53"/>
      <c r="BY477" s="53"/>
      <c r="BZ477" s="53"/>
      <c r="CA477" s="53"/>
      <c r="CB477" s="53"/>
      <c r="CC477" s="53"/>
      <c r="CD477" s="53"/>
      <c r="CE477" s="53"/>
      <c r="CF477" s="53"/>
      <c r="CG477" s="53"/>
      <c r="CH477" s="53"/>
      <c r="CI477" s="53"/>
      <c r="CJ477" s="53"/>
      <c r="CK477" s="53"/>
      <c r="CL477" s="53"/>
      <c r="CM477" s="53"/>
      <c r="CN477" s="53"/>
      <c r="CO477" s="53"/>
      <c r="CP477" s="53"/>
      <c r="CQ477" s="53"/>
      <c r="CR477" s="1"/>
      <c r="CS477" s="1"/>
      <c r="CT477" s="1"/>
      <c r="CU477" s="1"/>
    </row>
    <row r="478" spans="1:99" s="13" customFormat="1" ht="12" customHeight="1" x14ac:dyDescent="0.2">
      <c r="A478" s="68">
        <v>43978</v>
      </c>
      <c r="B478" s="70"/>
      <c r="C478" s="70"/>
      <c r="D478" s="69"/>
      <c r="E478" s="87"/>
      <c r="F478" s="69"/>
      <c r="G478" s="69"/>
      <c r="H478" s="69"/>
      <c r="I478" s="69"/>
      <c r="J478" s="69"/>
      <c r="K478" s="69"/>
      <c r="L478" s="69"/>
      <c r="M478" s="69"/>
      <c r="N478" s="69"/>
      <c r="O478" s="69"/>
      <c r="P478" s="69"/>
      <c r="Q478" s="69"/>
      <c r="R478" s="69"/>
      <c r="S478" s="69"/>
      <c r="T478" s="69"/>
      <c r="U478" s="69"/>
      <c r="V478" s="69"/>
      <c r="W478" s="69"/>
      <c r="X478" s="69"/>
      <c r="Y478" s="87"/>
      <c r="Z478" s="69"/>
      <c r="AA478" s="69"/>
      <c r="AB478" s="69"/>
      <c r="AC478" s="72"/>
      <c r="AD478" s="69"/>
      <c r="AE478" s="87"/>
      <c r="AF478" s="88"/>
      <c r="AG478" s="72"/>
      <c r="AH478" s="4"/>
      <c r="AI478" s="72"/>
      <c r="AJ478" s="110"/>
      <c r="AK478" s="72"/>
      <c r="AL478" s="72"/>
      <c r="AM478" s="72"/>
      <c r="AN478" s="72"/>
      <c r="AO478" s="89"/>
      <c r="AP478" s="89"/>
      <c r="AQ478" s="90"/>
      <c r="AR478" s="117"/>
      <c r="AS478" s="91"/>
      <c r="AT478" s="91"/>
      <c r="AU478" s="3"/>
      <c r="AV478" s="71">
        <f>60*30</f>
        <v>1800</v>
      </c>
      <c r="AW478" s="71">
        <f>60*60*24</f>
        <v>86400</v>
      </c>
      <c r="AX478" s="71">
        <f>60*60*24*4</f>
        <v>345600</v>
      </c>
      <c r="AY478" s="53"/>
      <c r="AZ478" s="53"/>
      <c r="BA478" s="53"/>
      <c r="BB478" s="53"/>
      <c r="BC478" s="53"/>
      <c r="BD478" s="53"/>
      <c r="BE478" s="53"/>
      <c r="BF478" s="53"/>
      <c r="BG478" s="53"/>
      <c r="BH478" s="53"/>
      <c r="BI478" s="53"/>
      <c r="BJ478" s="53"/>
      <c r="BK478" s="53"/>
      <c r="BL478" s="53"/>
      <c r="BM478" s="53"/>
      <c r="BN478" s="53"/>
      <c r="BO478" s="53"/>
      <c r="BP478" s="53"/>
      <c r="BQ478" s="53"/>
      <c r="BR478" s="53"/>
      <c r="BS478" s="53"/>
      <c r="BT478" s="53"/>
      <c r="BU478" s="53"/>
      <c r="BV478" s="53"/>
      <c r="BW478" s="53"/>
      <c r="BX478" s="53"/>
      <c r="BY478" s="53"/>
      <c r="BZ478" s="53"/>
      <c r="CA478" s="53"/>
      <c r="CB478" s="53"/>
      <c r="CC478" s="53"/>
      <c r="CD478" s="53"/>
      <c r="CE478" s="53"/>
      <c r="CF478" s="53"/>
      <c r="CG478" s="53"/>
      <c r="CH478" s="53"/>
      <c r="CI478" s="53"/>
      <c r="CJ478" s="53"/>
      <c r="CK478" s="53"/>
      <c r="CL478" s="53"/>
      <c r="CM478" s="53"/>
      <c r="CN478" s="53"/>
      <c r="CO478" s="53"/>
      <c r="CP478" s="53"/>
      <c r="CQ478" s="53"/>
      <c r="CR478" s="1"/>
      <c r="CS478" s="1"/>
      <c r="CT478" s="1"/>
      <c r="CU478" s="1"/>
    </row>
    <row r="479" spans="1:99" s="13" customFormat="1" ht="12" customHeight="1" x14ac:dyDescent="0.2">
      <c r="A479" s="68">
        <v>43978</v>
      </c>
      <c r="B479" s="70" t="s">
        <v>963</v>
      </c>
      <c r="C479" s="70" t="s">
        <v>964</v>
      </c>
      <c r="D479" s="69">
        <v>2013</v>
      </c>
      <c r="E479" s="87">
        <v>1</v>
      </c>
      <c r="F479" s="69">
        <v>15</v>
      </c>
      <c r="G479" s="69">
        <v>15</v>
      </c>
      <c r="H479" s="69" t="s">
        <v>50</v>
      </c>
      <c r="I479" s="69" t="s">
        <v>330</v>
      </c>
      <c r="J479" s="69" t="s">
        <v>317</v>
      </c>
      <c r="K479" s="69">
        <f>IF(J479="syllables",1,IF(J479="trigrams",2,IF(J479="strings",3,IF(J479="visual array",4,IF(J479="characters",5,IF(J479="letters",6,IF(J479="free forms",7,IF(J479="odors",8,IF(J479="words",9,IF(J479="pictures",10,IF(J479="object pictures",11,IF(J479="faces",12,IF(J479="names",13,IF(J479="idioms",14,IF(J479="grades",15,IF(J479="syllable-digit pairs",16,IF(J479="trigram-word pairs",17,IF(J479="word-digit pairs",18,IF(J479="English-Swahili pairs",19,IF(J479="spatial position",20,IF(J479="word pairs",21,IF(J479="word triads",22,IF(J479="generated words",23,IF(J479="word definition pairs",24,IF(J479="math problems",25,IF(J479="famous faces",26,IF(J479="famous names",27,IF(J479="famous voices",28,IF(J479="television programs",29,IF(J479="race horses",30,IF(J479="new vocabulary",31,IF(J479="sentences",32,IF(J479="concepts",33,IF(J479="ad slides",34,IF(J479="scenes",35,IF(J479="famous scenes",36,IF(J479="poems",37,IF(J479="walk",38,IF(J479="faces and events",39,IF(J479="events and names",40,IF(J479="flashbulb",41,IF(J479="stories",42,IF(J479="course material",43,IF(J479="autobiographical",44,IF(J479="novels",45,IF(J479="public events",46,"99"))))))))))))))))))))))))))))))))))))))))))))))</f>
        <v>7</v>
      </c>
      <c r="L479" s="69">
        <f>IF(J479="syllables",1,IF(J479="trigrams",1,IF(J479="strings",1,IF(J479="visual array",1,IF(J479="characters",1,IF(J479="letters",1,IF(J479="free forms",1,IF(J479="odors",2,IF(J479="words",2,IF(J479="pictures",2,IF(J479="object pictures",2,IF(J479="faces",2,IF(J479="names",2,IF(J479="idioms","2",IF(J479="grades",2,IF(J479="syllable-digit pairs",3,IF(J479="trigram-word pairs",3,IF(J479="word-digit pairs",3,IF(J479="English-Swahili pairs",3,IF(J479="spatial position",3,IF(J479="word pairs",4,IF(J479="word triads",4,IF(J479="generated words",4,IF(J479="word definition pairs",4,IF(J479="math problems",4,IF(J479="famous faces",4,IF(J479="famous names",4,IF(J479="famous voices",4,IF(J479="television programs",4,IF(J479="race horses",4,IF(J479="new vocabulary",4,IF(J479="sentences",5,IF(J479="concepts",5,IF(J479="ad slides",5,IF(J479="scenes",5,IF(J479="famous scenes",5,IF(J479="poems",6,IF(J479="walk",6,IF(J479="faces and events",6,IF(J479="events and names",6,IF(J479="flashbulb",7,IF(J479="stories",7,IF(J479="course material",7,IF(J479="autobiographical",7,IF(J479="novels",7,IF(J479="public events",7,"99"))))))))))))))))))))))))))))))))))))))))))))))</f>
        <v>1</v>
      </c>
      <c r="M479" s="69">
        <v>0</v>
      </c>
      <c r="N479" s="69">
        <v>1</v>
      </c>
      <c r="O479" s="69">
        <v>0</v>
      </c>
      <c r="P479" s="69"/>
      <c r="Q479" s="69" t="s">
        <v>174</v>
      </c>
      <c r="R479" s="69">
        <f>IF(Q479="Free Recall",1,IF(Q479="Cued Recall",2,IF(Q479="Recognition",3,IF(Q479="Multiple Choice",4,IF(Q479="Savings",5,IF(Q479="Stem Completion",6,IF(Q479="Fragment Completion",7,IF(Q479="anagram solution",8,IF(Q479="Matching",9,IF(Q479="Problem Solving",10,"99"))))))))))</f>
        <v>1</v>
      </c>
      <c r="S479" s="99" t="s">
        <v>49</v>
      </c>
      <c r="T479" s="69" t="s">
        <v>581</v>
      </c>
      <c r="U479" s="69">
        <f>IF(T479="within",1,0)</f>
        <v>1</v>
      </c>
      <c r="V479" s="69">
        <v>13</v>
      </c>
      <c r="W479" s="69">
        <f>F479*V479</f>
        <v>195</v>
      </c>
      <c r="X479" s="69">
        <v>3</v>
      </c>
      <c r="Y479" s="87">
        <f>AV478</f>
        <v>1800</v>
      </c>
      <c r="Z479" s="69" t="s">
        <v>150</v>
      </c>
      <c r="AA479" s="69">
        <f>60*60*24*7</f>
        <v>604800</v>
      </c>
      <c r="AB479" s="69" t="str">
        <f>IF(AA479&lt;60,"1",IF(AA479&lt;=43200,"2",IF(AA479&lt;=777600,"3","4")))</f>
        <v>3</v>
      </c>
      <c r="AC479" s="72">
        <f>AVERAGE(AV478:DA478)</f>
        <v>144600</v>
      </c>
      <c r="AD479" s="69" t="str">
        <f>IF(AC479&lt;60,"1",IF(AC479&lt;=43200,"2",IF(AC479&lt;=777600,"3","4")))</f>
        <v>3</v>
      </c>
      <c r="AE479" s="87">
        <f>AA479-Y479</f>
        <v>603000</v>
      </c>
      <c r="AF479" s="88">
        <f>AV479</f>
        <v>0.99580000000000002</v>
      </c>
      <c r="AG479" s="72">
        <f>((AW479-AV479)+(AX479-AW479))/2</f>
        <v>-4.2200000000000015E-2</v>
      </c>
      <c r="AH479" s="4"/>
      <c r="AI479" s="72">
        <f>RSQ(AV479:AX479,AV478:AX478)</f>
        <v>0.95077578920216022</v>
      </c>
      <c r="AJ479" s="110">
        <f>SLOPE(AV479:AX479,AV478:AX478)</f>
        <v>-2.3013776237112828E-7</v>
      </c>
      <c r="AK479" s="72">
        <f>INTERCEPT(AV479:AX479,AV478:AX478)</f>
        <v>0.98837792043886508</v>
      </c>
      <c r="AL479" s="72">
        <f>INDEX(LINEST(LN(AV479:AX479),LN(AV478:AX478),TRUE,TRUE),3,1)</f>
        <v>0.88852345265554733</v>
      </c>
      <c r="AM479" s="72">
        <f>INDEX(LINEST(LN(AV479:AX479),LN(AV478:AX478)),1)</f>
        <v>-1.5360689594856362E-2</v>
      </c>
      <c r="AN479" s="72">
        <f>EXP(INDEX(LINEST(LN(AV479:AX479),LN(AV478:AX478)),1,2))</f>
        <v>1.1221905177207874</v>
      </c>
      <c r="AO479" s="89">
        <f>INDEX(LINEST((AV479:AX479),LN(AV478:AX478),TRUE,TRUE),3,1)</f>
        <v>0.89629133212097467</v>
      </c>
      <c r="AP479" s="89">
        <f>INDEX(LINEST((AV479:AX479),LN(AV478:AX478)),1)</f>
        <v>-1.4689732953524434E-2</v>
      </c>
      <c r="AQ479" s="90">
        <f>INDEX(LINEST(LN(AV479:AX479),SQRT(AV478:AX478),TRUE,TRUE),3,1)</f>
        <v>0.99915069679751944</v>
      </c>
      <c r="AR479" s="117">
        <f>INDEX(LINEST(LN(AV479:AX479),SQRT((AV478:AX478))),1)</f>
        <v>-1.625822350155339E-4</v>
      </c>
      <c r="AS479" s="91">
        <f>INDEX(LINEST(1/(AV479:AX479),1/(SQRT(AV478:AX478)),TRUE,TRUE),3,1)</f>
        <v>0.73556183184283697</v>
      </c>
      <c r="AT479" s="91">
        <f>INDEX(LINEST(1/(AV479:AX479),1/SQRT(AV478:AX478)),1)</f>
        <v>-3.2904746407557282</v>
      </c>
      <c r="AU479" s="3"/>
      <c r="AV479" s="73">
        <v>0.99580000000000002</v>
      </c>
      <c r="AW479" s="73">
        <v>0.95809999999999995</v>
      </c>
      <c r="AX479" s="73">
        <v>0.91139999999999999</v>
      </c>
      <c r="AY479" s="53"/>
      <c r="AZ479" s="53"/>
      <c r="BA479" s="53"/>
      <c r="BB479" s="53"/>
      <c r="BC479" s="53"/>
      <c r="BD479" s="53"/>
      <c r="BE479" s="53"/>
      <c r="BF479" s="53"/>
      <c r="BG479" s="53"/>
      <c r="BH479" s="53"/>
      <c r="BI479" s="53"/>
      <c r="BJ479" s="53"/>
      <c r="BK479" s="53"/>
      <c r="BL479" s="53"/>
      <c r="BM479" s="53"/>
      <c r="BN479" s="53"/>
      <c r="BO479" s="53"/>
      <c r="BP479" s="53"/>
      <c r="BQ479" s="53"/>
      <c r="BR479" s="53"/>
      <c r="BS479" s="53"/>
      <c r="BT479" s="53"/>
      <c r="BU479" s="53"/>
      <c r="BV479" s="53"/>
      <c r="BW479" s="53"/>
      <c r="BX479" s="53"/>
      <c r="BY479" s="53"/>
      <c r="BZ479" s="53"/>
      <c r="CA479" s="53"/>
      <c r="CB479" s="53"/>
      <c r="CC479" s="53"/>
      <c r="CD479" s="53"/>
      <c r="CE479" s="53"/>
      <c r="CF479" s="53"/>
      <c r="CG479" s="53"/>
      <c r="CH479" s="53"/>
      <c r="CI479" s="53"/>
      <c r="CJ479" s="53"/>
      <c r="CK479" s="53"/>
      <c r="CL479" s="53"/>
      <c r="CM479" s="53"/>
      <c r="CN479" s="53"/>
      <c r="CO479" s="53"/>
      <c r="CP479" s="53"/>
      <c r="CQ479" s="53"/>
      <c r="CR479" s="1"/>
      <c r="CS479" s="1"/>
      <c r="CT479" s="1"/>
      <c r="CU479" s="1"/>
    </row>
    <row r="480" spans="1:99" s="13" customFormat="1" ht="12" customHeight="1" x14ac:dyDescent="0.2">
      <c r="A480" s="65">
        <v>43964</v>
      </c>
      <c r="B480" s="1"/>
      <c r="C480" s="1"/>
      <c r="D480" s="60"/>
      <c r="E480" s="76"/>
      <c r="H480" s="60"/>
      <c r="I480" s="60"/>
      <c r="J480" s="60"/>
      <c r="K480" s="60"/>
      <c r="L480" s="60"/>
      <c r="P480" s="60"/>
      <c r="Q480" s="60"/>
      <c r="R480" s="60"/>
      <c r="S480" s="60"/>
      <c r="T480" s="60"/>
      <c r="U480" s="60"/>
      <c r="V480" s="60"/>
      <c r="W480" s="60"/>
      <c r="X480" s="60"/>
      <c r="Y480" s="76"/>
      <c r="Z480" s="60"/>
      <c r="AA480" s="60"/>
      <c r="AB480" s="60"/>
      <c r="AC480" s="56"/>
      <c r="AD480" s="60"/>
      <c r="AE480" s="76"/>
      <c r="AF480" s="80"/>
      <c r="AG480" s="56"/>
      <c r="AH480" s="4"/>
      <c r="AI480" s="56"/>
      <c r="AJ480" s="109"/>
      <c r="AK480" s="56"/>
      <c r="AL480" s="56"/>
      <c r="AM480" s="56"/>
      <c r="AN480" s="56"/>
      <c r="AO480" s="82"/>
      <c r="AP480" s="82"/>
      <c r="AQ480" s="83"/>
      <c r="AR480" s="116"/>
      <c r="AS480" s="84"/>
      <c r="AT480" s="84"/>
      <c r="AU480" s="3"/>
      <c r="AV480" s="53">
        <v>600</v>
      </c>
      <c r="AW480" s="53">
        <v>86400</v>
      </c>
      <c r="AX480" s="53">
        <v>604800</v>
      </c>
      <c r="AY480" s="53"/>
      <c r="AZ480" s="53"/>
      <c r="BA480" s="53"/>
      <c r="BB480" s="53"/>
      <c r="BC480" s="53"/>
      <c r="BD480" s="53"/>
      <c r="BE480" s="53"/>
      <c r="BF480" s="53"/>
      <c r="BG480" s="53"/>
      <c r="BH480" s="53"/>
      <c r="BI480" s="53"/>
      <c r="BJ480" s="53"/>
      <c r="BK480" s="53"/>
      <c r="BL480" s="53"/>
      <c r="BM480" s="53"/>
      <c r="BN480" s="53"/>
      <c r="BO480" s="53"/>
      <c r="BP480" s="53"/>
      <c r="BQ480" s="53"/>
      <c r="BR480" s="53"/>
      <c r="BS480" s="53"/>
      <c r="BT480" s="53"/>
      <c r="BU480" s="53"/>
      <c r="BV480" s="53"/>
      <c r="BW480" s="53"/>
      <c r="BX480" s="53"/>
      <c r="BY480" s="53"/>
      <c r="BZ480" s="53"/>
      <c r="CA480" s="53"/>
      <c r="CB480" s="53"/>
      <c r="CC480" s="53"/>
      <c r="CD480" s="53"/>
      <c r="CE480" s="53"/>
      <c r="CF480" s="53"/>
      <c r="CG480" s="53"/>
      <c r="CH480" s="53"/>
      <c r="CI480" s="53"/>
      <c r="CJ480" s="53"/>
      <c r="CK480" s="53"/>
      <c r="CL480" s="53"/>
      <c r="CM480" s="53"/>
      <c r="CN480" s="53"/>
      <c r="CO480" s="53"/>
      <c r="CP480" s="53"/>
      <c r="CQ480" s="53"/>
      <c r="CR480" s="1"/>
      <c r="CS480" s="1"/>
      <c r="CT480" s="1"/>
      <c r="CU480" s="1"/>
    </row>
    <row r="481" spans="1:99" s="13" customFormat="1" ht="12" customHeight="1" x14ac:dyDescent="0.2">
      <c r="A481" s="65">
        <v>43964</v>
      </c>
      <c r="B481" s="1" t="s">
        <v>911</v>
      </c>
      <c r="C481" s="1" t="s">
        <v>45</v>
      </c>
      <c r="D481" s="60">
        <v>2017</v>
      </c>
      <c r="E481" s="76">
        <v>1</v>
      </c>
      <c r="F481" s="60">
        <v>243</v>
      </c>
      <c r="G481" s="60">
        <v>243</v>
      </c>
      <c r="H481" s="60" t="s">
        <v>32</v>
      </c>
      <c r="I481" s="60" t="s">
        <v>913</v>
      </c>
      <c r="J481" s="60" t="s">
        <v>912</v>
      </c>
      <c r="K481" s="60">
        <f>IF(J481="syllables",1,IF(J481="trigrams",2,IF(J481="strings",3,IF(J481="visual array",4,IF(J481="characters",5,IF(J481="letters",6,IF(J481="free forms",7,IF(J481="odors",8,IF(J481="words",9,IF(J481="pictures",10,IF(J481="object pictures",11,IF(J481="faces",12,IF(J481="names",13,IF(J481="idioms",14,IF(J481="grades",15,IF(J481="syllable-digit pairs",16,IF(J481="trigram-word pairs",17,IF(J481="word-digit pairs",18,IF(J481="English-Swahili pairs",19,IF(J481="spatial position",20,IF(J481="word pairs",21,IF(J481="word triads",22,IF(J481="generated words",23,IF(J481="word definition pairs",24,IF(J481="math problems",25,IF(J481="famous faces",26,IF(J481="famous names",27,IF(J481="famous voices",28,IF(J481="television programs",29,IF(J481="race horses",30,IF(J481="new vocabulary",31,IF(J481="sentences",32,IF(J481="concepts",33,IF(J481="ad slides",34,IF(J481="scenes",35,IF(J481="famous scenes",36,IF(J481="poems",37,IF(J481="walk",38,IF(J481="faces and events",39,IF(J481="events and names",40,IF(J481="flashbulb",41,IF(J481="stories",42,IF(J481="course material",43,IF(J481="autobiographical",44,IF(J481="novels",45,IF(J481="public events",46,IF(J481="video activities",47,"99")))))))))))))))))))))))))))))))))))))))))))))))</f>
        <v>47</v>
      </c>
      <c r="L481" s="60">
        <v>7</v>
      </c>
      <c r="M481" s="60">
        <v>0</v>
      </c>
      <c r="N481" s="60">
        <v>3</v>
      </c>
      <c r="O481" s="60">
        <v>0</v>
      </c>
      <c r="P481" s="60"/>
      <c r="Q481" s="60" t="s">
        <v>182</v>
      </c>
      <c r="R481" s="60">
        <f>IF(Q481="Free Recall",1,IF(Q481="Cued Recall",2,IF(Q481="Recognition",3,IF(Q481="Multiple Choice",4,IF(Q481="Savings",5,IF(Q481="Stem Completion",6,IF(Q481="Fragment Completion",7,IF(Q481="anagram solution",8,IF(Q481="Matching",9,IF(Q481="Problem Solving",10,"99"))))))))))</f>
        <v>4</v>
      </c>
      <c r="S481" s="60" t="s">
        <v>15</v>
      </c>
      <c r="T481" s="60" t="s">
        <v>581</v>
      </c>
      <c r="U481" s="60">
        <f>IF(T481="within",1,0)</f>
        <v>1</v>
      </c>
      <c r="V481" s="60">
        <v>20</v>
      </c>
      <c r="W481" s="60">
        <f>F481*V481</f>
        <v>4860</v>
      </c>
      <c r="X481" s="60">
        <v>3</v>
      </c>
      <c r="Y481" s="76">
        <f>AV480</f>
        <v>600</v>
      </c>
      <c r="Z481" s="60" t="s">
        <v>150</v>
      </c>
      <c r="AA481" s="60">
        <f>60*60*24*7</f>
        <v>604800</v>
      </c>
      <c r="AB481" s="60" t="str">
        <f>IF(AA481&lt;60,"1",IF(AA481&lt;=43200,"2",IF(AA481&lt;=777600,"3","4")))</f>
        <v>3</v>
      </c>
      <c r="AC481" s="56">
        <f>AVERAGE(AV480:DA480)</f>
        <v>230600</v>
      </c>
      <c r="AD481" s="60" t="str">
        <f>IF(AC481&lt;60,"1",IF(AC481&lt;=43200,"2",IF(AC481&lt;=777600,"3","4")))</f>
        <v>3</v>
      </c>
      <c r="AE481" s="76">
        <f>AA481-Y481</f>
        <v>604200</v>
      </c>
      <c r="AF481" s="80">
        <f>AV481</f>
        <v>0.73284132841328398</v>
      </c>
      <c r="AG481" s="56">
        <f>((AW481-AV481)+(AX481-AW481))/2</f>
        <v>-2.6213883361130508E-2</v>
      </c>
      <c r="AH481" s="4"/>
      <c r="AI481" s="56">
        <f>RSQ(AV481:AX481,AV480:AX480)</f>
        <v>0.23686578663494268</v>
      </c>
      <c r="AJ481" s="109">
        <f>SLOPE(AV481:AX481,AV480:AX480)</f>
        <v>-4.9812290158771035E-8</v>
      </c>
      <c r="AK481" s="56">
        <f>INTERCEPT(AV481:AX481,AV480:AX480)</f>
        <v>0.70611096559154218</v>
      </c>
      <c r="AL481" s="56">
        <f>INDEX(LINEST(LN(AV481:AX481),LN(AV480:AX480),TRUE,TRUE),3,1)</f>
        <v>0.82678902873860494</v>
      </c>
      <c r="AM481" s="56">
        <f>INDEX(LINEST(LN(AV481:AX481),LN(AV480:AX480)),1)</f>
        <v>-1.2135508937400896E-2</v>
      </c>
      <c r="AN481" s="56">
        <f>EXP(INDEX(LINEST(LN(AV481:AX481),LN(AV480:AX480)),1,2))</f>
        <v>0.7870712944577869</v>
      </c>
      <c r="AO481" s="82">
        <f>INDEX(LINEST((AV481:AX481),LN(AV480:AX480),TRUE,TRUE),3,1)</f>
        <v>0.83131382831506095</v>
      </c>
      <c r="AP481" s="82">
        <f>INDEX(LINEST((AV481:AX481),LN(AV480:AX480)),1)</f>
        <v>-8.5536506892833781E-3</v>
      </c>
      <c r="AQ481" s="83">
        <f>INDEX(LINEST(LN(AV481:AX481),SQRT(AV480:AX480),TRUE,TRUE),3,1)</f>
        <v>0.44615648139100023</v>
      </c>
      <c r="AR481" s="116">
        <f>INDEX(LINEST(LN(AV481:AX481),SQRT((AV480:AX480))),1)</f>
        <v>-8.330448275714516E-5</v>
      </c>
      <c r="AS481" s="84">
        <f>INDEX(LINEST(1/(AV481:AX481),1/(SQRT(AV480:AX480)),TRUE,TRUE),3,1)</f>
        <v>0.95788898361741037</v>
      </c>
      <c r="AT481" s="84">
        <f>INDEX(LINEST(1/(AV481:AX481),1/SQRT(AV480:AX480)),1)</f>
        <v>-2.9815013141790798</v>
      </c>
      <c r="AU481" s="3"/>
      <c r="AV481" s="53">
        <v>0.73284132841328398</v>
      </c>
      <c r="AW481" s="53">
        <v>0.67061786433848203</v>
      </c>
      <c r="AX481" s="53">
        <v>0.68041356169102296</v>
      </c>
      <c r="AY481" s="53"/>
      <c r="AZ481" s="53"/>
      <c r="BA481" s="53"/>
      <c r="BB481" s="53"/>
      <c r="BC481" s="53"/>
      <c r="BD481" s="53"/>
      <c r="BE481" s="53"/>
      <c r="BF481" s="53"/>
      <c r="BG481" s="53"/>
      <c r="BH481" s="53"/>
      <c r="BI481" s="53"/>
      <c r="BJ481" s="53"/>
      <c r="BK481" s="53"/>
      <c r="BL481" s="53"/>
      <c r="BM481" s="53"/>
      <c r="BN481" s="53"/>
      <c r="BO481" s="53"/>
      <c r="BP481" s="53"/>
      <c r="BQ481" s="53"/>
      <c r="BR481" s="53"/>
      <c r="BS481" s="53"/>
      <c r="BT481" s="53"/>
      <c r="BU481" s="53"/>
      <c r="BV481" s="53"/>
      <c r="BW481" s="53"/>
      <c r="BX481" s="53"/>
      <c r="BY481" s="53"/>
      <c r="BZ481" s="53"/>
      <c r="CA481" s="53"/>
      <c r="CB481" s="53"/>
      <c r="CC481" s="53"/>
      <c r="CD481" s="53"/>
      <c r="CE481" s="53"/>
      <c r="CF481" s="53"/>
      <c r="CG481" s="53"/>
      <c r="CH481" s="53"/>
      <c r="CI481" s="53"/>
      <c r="CJ481" s="53"/>
      <c r="CK481" s="53"/>
      <c r="CL481" s="53"/>
      <c r="CM481" s="53"/>
      <c r="CN481" s="53"/>
      <c r="CO481" s="53"/>
      <c r="CP481" s="53"/>
      <c r="CQ481" s="53"/>
      <c r="CR481" s="1"/>
      <c r="CS481" s="1"/>
      <c r="CT481" s="1"/>
      <c r="CU481" s="1"/>
    </row>
    <row r="482" spans="1:99" s="13" customFormat="1" ht="12" customHeight="1" x14ac:dyDescent="0.2">
      <c r="A482" s="65">
        <v>43964</v>
      </c>
      <c r="B482" s="1"/>
      <c r="C482" s="1"/>
      <c r="D482" s="60"/>
      <c r="E482" s="76"/>
      <c r="F482" s="60"/>
      <c r="G482" s="60"/>
      <c r="H482" s="60"/>
      <c r="I482" s="60"/>
      <c r="J482" s="60"/>
      <c r="K482" s="60"/>
      <c r="L482" s="60"/>
      <c r="M482" s="60"/>
      <c r="N482" s="60"/>
      <c r="O482" s="60"/>
      <c r="P482" s="60"/>
      <c r="Q482" s="60"/>
      <c r="R482" s="60"/>
      <c r="S482" s="60"/>
      <c r="T482" s="60"/>
      <c r="U482" s="60"/>
      <c r="V482" s="60"/>
      <c r="W482" s="60"/>
      <c r="X482" s="60"/>
      <c r="Y482" s="76"/>
      <c r="Z482" s="60"/>
      <c r="AA482" s="60"/>
      <c r="AB482" s="60"/>
      <c r="AC482" s="56"/>
      <c r="AD482" s="60"/>
      <c r="AE482" s="76"/>
      <c r="AF482" s="80"/>
      <c r="AG482" s="56"/>
      <c r="AH482" s="4"/>
      <c r="AI482" s="56"/>
      <c r="AJ482" s="109"/>
      <c r="AK482" s="56"/>
      <c r="AL482" s="56"/>
      <c r="AM482" s="56"/>
      <c r="AN482" s="56"/>
      <c r="AO482" s="82"/>
      <c r="AP482" s="82"/>
      <c r="AQ482" s="83"/>
      <c r="AR482" s="116"/>
      <c r="AS482" s="84"/>
      <c r="AT482" s="84"/>
      <c r="AU482" s="3"/>
      <c r="AV482" s="53">
        <v>600</v>
      </c>
      <c r="AW482" s="53">
        <v>86400</v>
      </c>
      <c r="AX482" s="53">
        <v>604800</v>
      </c>
      <c r="AY482" s="53"/>
      <c r="AZ482" s="53"/>
      <c r="BA482" s="53"/>
      <c r="BB482" s="53"/>
      <c r="BC482" s="53"/>
      <c r="BD482" s="53"/>
      <c r="BE482" s="53"/>
      <c r="BF482" s="53"/>
      <c r="BG482" s="53"/>
      <c r="BH482" s="53"/>
      <c r="BI482" s="53"/>
      <c r="BJ482" s="53"/>
      <c r="BK482" s="53"/>
      <c r="BL482" s="53"/>
      <c r="BM482" s="53"/>
      <c r="BN482" s="53"/>
      <c r="BO482" s="53"/>
      <c r="BP482" s="53"/>
      <c r="BQ482" s="53"/>
      <c r="BR482" s="53"/>
      <c r="BS482" s="53"/>
      <c r="BT482" s="53"/>
      <c r="BU482" s="53"/>
      <c r="BV482" s="53"/>
      <c r="BW482" s="53"/>
      <c r="BX482" s="53"/>
      <c r="BY482" s="53"/>
      <c r="BZ482" s="53"/>
      <c r="CA482" s="53"/>
      <c r="CB482" s="53"/>
      <c r="CC482" s="53"/>
      <c r="CD482" s="53"/>
      <c r="CE482" s="53"/>
      <c r="CF482" s="53"/>
      <c r="CG482" s="53"/>
      <c r="CH482" s="53"/>
      <c r="CI482" s="53"/>
      <c r="CJ482" s="53"/>
      <c r="CK482" s="53"/>
      <c r="CL482" s="53"/>
      <c r="CM482" s="53"/>
      <c r="CN482" s="53"/>
      <c r="CO482" s="53"/>
      <c r="CP482" s="53"/>
      <c r="CQ482" s="53"/>
      <c r="CR482" s="1"/>
      <c r="CS482" s="1"/>
      <c r="CT482" s="1"/>
      <c r="CU482" s="1"/>
    </row>
    <row r="483" spans="1:99" s="13" customFormat="1" ht="12" customHeight="1" x14ac:dyDescent="0.2">
      <c r="A483" s="65">
        <v>43964</v>
      </c>
      <c r="B483" s="1" t="s">
        <v>911</v>
      </c>
      <c r="C483" s="1" t="s">
        <v>45</v>
      </c>
      <c r="D483" s="60">
        <v>2017</v>
      </c>
      <c r="E483" s="76">
        <v>1</v>
      </c>
      <c r="F483" s="60">
        <v>84</v>
      </c>
      <c r="G483" s="60">
        <v>84</v>
      </c>
      <c r="H483" s="60" t="s">
        <v>32</v>
      </c>
      <c r="I483" s="60" t="s">
        <v>914</v>
      </c>
      <c r="J483" s="60" t="s">
        <v>912</v>
      </c>
      <c r="K483" s="60">
        <f>IF(J483="syllables",1,IF(J483="trigrams",2,IF(J483="strings",3,IF(J483="visual array",4,IF(J483="characters",5,IF(J483="letters",6,IF(J483="free forms",7,IF(J483="odors",8,IF(J483="words",9,IF(J483="pictures",10,IF(J483="object pictures",11,IF(J483="faces",12,IF(J483="names",13,IF(J483="idioms",14,IF(J483="grades",15,IF(J483="syllable-digit pairs",16,IF(J483="trigram-word pairs",17,IF(J483="word-digit pairs",18,IF(J483="English-Swahili pairs",19,IF(J483="spatial position",20,IF(J483="word pairs",21,IF(J483="word triads",22,IF(J483="generated words",23,IF(J483="word definition pairs",24,IF(J483="math problems",25,IF(J483="famous faces",26,IF(J483="famous names",27,IF(J483="famous voices",28,IF(J483="television programs",29,IF(J483="race horses",30,IF(J483="new vocabulary",31,IF(J483="sentences",32,IF(J483="concepts",33,IF(J483="ad slides",34,IF(J483="scenes",35,IF(J483="famous scenes",36,IF(J483="poems",37,IF(J483="walk",38,IF(J483="faces and events",39,IF(J483="events and names",40,IF(J483="flashbulb",41,IF(J483="stories",42,IF(J483="course material",43,IF(J483="autobiographical",44,IF(J483="novels",45,IF(J483="public events",46,IF(J483="video activities",47,"99")))))))))))))))))))))))))))))))))))))))))))))))</f>
        <v>47</v>
      </c>
      <c r="L483" s="60">
        <v>7</v>
      </c>
      <c r="M483" s="60">
        <v>0</v>
      </c>
      <c r="N483" s="60">
        <v>3</v>
      </c>
      <c r="O483" s="60">
        <v>0</v>
      </c>
      <c r="P483" s="60"/>
      <c r="Q483" s="60" t="s">
        <v>182</v>
      </c>
      <c r="R483" s="60">
        <f>IF(Q483="Free Recall",1,IF(Q483="Cued Recall",2,IF(Q483="Recognition",3,IF(Q483="Multiple Choice",4,IF(Q483="Savings",5,IF(Q483="Stem Completion",6,IF(Q483="Fragment Completion",7,IF(Q483="anagram solution",8,IF(Q483="Matching",9,IF(Q483="Problem Solving",10,"99"))))))))))</f>
        <v>4</v>
      </c>
      <c r="S483" s="60" t="s">
        <v>15</v>
      </c>
      <c r="T483" s="60" t="s">
        <v>581</v>
      </c>
      <c r="U483" s="60">
        <f>IF(T483="within",1,0)</f>
        <v>1</v>
      </c>
      <c r="V483" s="60">
        <v>20</v>
      </c>
      <c r="W483" s="60">
        <f>F483*V483</f>
        <v>1680</v>
      </c>
      <c r="X483" s="60">
        <v>3</v>
      </c>
      <c r="Y483" s="76">
        <f>AV482</f>
        <v>600</v>
      </c>
      <c r="Z483" s="60" t="s">
        <v>150</v>
      </c>
      <c r="AA483" s="60">
        <f>60*60*24*7</f>
        <v>604800</v>
      </c>
      <c r="AB483" s="60" t="str">
        <f>IF(AA483&lt;60,"1",IF(AA483&lt;=43200,"2",IF(AA483&lt;=777600,"3","4")))</f>
        <v>3</v>
      </c>
      <c r="AC483" s="56">
        <f>AVERAGE(AV482:DA482)</f>
        <v>230600</v>
      </c>
      <c r="AD483" s="60" t="str">
        <f>IF(AC483&lt;60,"1",IF(AC483&lt;=43200,"2",IF(AC483&lt;=777600,"3","4")))</f>
        <v>3</v>
      </c>
      <c r="AE483" s="76">
        <f>AA483-Y483</f>
        <v>604200</v>
      </c>
      <c r="AF483" s="80">
        <f>AV483</f>
        <v>0.68856088560885598</v>
      </c>
      <c r="AG483" s="56">
        <f>((AW483-AV483)+(AX483-AW483))/2</f>
        <v>-3.6152696651211014E-2</v>
      </c>
      <c r="AH483" s="4"/>
      <c r="AI483" s="56">
        <f>RSQ(AV483:AX483,AV482:AX482)</f>
        <v>0.28457372757606325</v>
      </c>
      <c r="AJ483" s="109">
        <f>SLOPE(AV483:AX483,AV482:AX482)</f>
        <v>-7.2289897607986834E-8</v>
      </c>
      <c r="AK483" s="56">
        <f>INTERCEPT(AV483:AX483,AV482:AX482)</f>
        <v>0.65429850183192506</v>
      </c>
      <c r="AL483" s="56">
        <f>INDEX(LINEST(LN(AV483:AX483),LN(AV482:AX482),TRUE,TRUE),3,1)</f>
        <v>0.8662112569485334</v>
      </c>
      <c r="AM483" s="56">
        <f>INDEX(LINEST(LN(AV483:AX483),LN(AV482:AX482)),1)</f>
        <v>-1.7808878466835282E-2</v>
      </c>
      <c r="AN483" s="56">
        <f>EXP(INDEX(LINEST(LN(AV483:AX483),LN(AV482:AX482)),1,2))</f>
        <v>0.76560221904330328</v>
      </c>
      <c r="AO483" s="82">
        <f>INDEX(LINEST((AV483:AX483),LN(AV482:AX482),TRUE,TRUE),3,1)</f>
        <v>0.87000682016890829</v>
      </c>
      <c r="AP483" s="82">
        <f>INDEX(LINEST((AV483:AX483),LN(AV482:AX482)),1)</f>
        <v>-1.1585778024274192E-2</v>
      </c>
      <c r="AQ483" s="83">
        <f>INDEX(LINEST(LN(AV483:AX483),SQRT(AV482:AX482),TRUE,TRUE),3,1)</f>
        <v>0.50083731504731455</v>
      </c>
      <c r="AR483" s="116">
        <f>INDEX(LINEST(LN(AV483:AX483),SQRT((AV482:AX482))),1)</f>
        <v>-1.2654270822330579E-4</v>
      </c>
      <c r="AS483" s="84">
        <f>INDEX(LINEST(1/(AV483:AX483),1/(SQRT(AV482:AX482)),TRUE,TRUE),3,1)</f>
        <v>0.97720578778152745</v>
      </c>
      <c r="AT483" s="84">
        <f>INDEX(LINEST(1/(AV483:AX483),1/SQRT(AV482:AX482)),1)</f>
        <v>-4.677991404915395</v>
      </c>
      <c r="AU483" s="3"/>
      <c r="AV483" s="53">
        <v>0.68856088560885598</v>
      </c>
      <c r="AW483" s="53">
        <v>0.60806897641528002</v>
      </c>
      <c r="AX483" s="53">
        <v>0.61625549230643395</v>
      </c>
      <c r="AY483" s="53"/>
      <c r="AZ483" s="53"/>
      <c r="BA483" s="53"/>
      <c r="BB483" s="53"/>
      <c r="BC483" s="53"/>
      <c r="BD483" s="53"/>
      <c r="BE483" s="53"/>
      <c r="BF483" s="53"/>
      <c r="BG483" s="53"/>
      <c r="BH483" s="53"/>
      <c r="BI483" s="53"/>
      <c r="BJ483" s="53"/>
      <c r="BK483" s="53"/>
      <c r="BL483" s="53"/>
      <c r="BM483" s="53"/>
      <c r="BN483" s="53"/>
      <c r="BO483" s="53"/>
      <c r="BP483" s="53"/>
      <c r="BQ483" s="53"/>
      <c r="BR483" s="53"/>
      <c r="BS483" s="53"/>
      <c r="BT483" s="53"/>
      <c r="BU483" s="53"/>
      <c r="BV483" s="53"/>
      <c r="BW483" s="53"/>
      <c r="BX483" s="53"/>
      <c r="BY483" s="53"/>
      <c r="BZ483" s="53"/>
      <c r="CA483" s="53"/>
      <c r="CB483" s="53"/>
      <c r="CC483" s="53"/>
      <c r="CD483" s="53"/>
      <c r="CE483" s="53"/>
      <c r="CF483" s="53"/>
      <c r="CG483" s="53"/>
      <c r="CH483" s="53"/>
      <c r="CI483" s="53"/>
      <c r="CJ483" s="53"/>
      <c r="CK483" s="53"/>
      <c r="CL483" s="53"/>
      <c r="CM483" s="53"/>
      <c r="CN483" s="53"/>
      <c r="CO483" s="53"/>
      <c r="CP483" s="53"/>
      <c r="CQ483" s="53"/>
      <c r="CR483" s="1"/>
      <c r="CS483" s="1"/>
      <c r="CT483" s="1"/>
      <c r="CU483" s="1"/>
    </row>
    <row r="484" spans="1:99" s="13" customFormat="1" ht="12" customHeight="1" x14ac:dyDescent="0.2">
      <c r="A484" s="65">
        <v>43964</v>
      </c>
      <c r="B484" s="1"/>
      <c r="C484" s="1"/>
      <c r="D484" s="60"/>
      <c r="E484" s="76"/>
      <c r="F484" s="60"/>
      <c r="G484" s="60"/>
      <c r="H484" s="60"/>
      <c r="I484" s="60"/>
      <c r="J484" s="60"/>
      <c r="K484" s="60"/>
      <c r="L484" s="60"/>
      <c r="M484" s="60"/>
      <c r="N484" s="60"/>
      <c r="O484" s="60"/>
      <c r="P484" s="60"/>
      <c r="Q484" s="60"/>
      <c r="R484" s="60"/>
      <c r="S484" s="60"/>
      <c r="T484" s="60"/>
      <c r="U484" s="60"/>
      <c r="V484" s="60"/>
      <c r="W484" s="60"/>
      <c r="X484" s="60"/>
      <c r="Y484" s="76"/>
      <c r="Z484" s="60"/>
      <c r="AA484" s="60"/>
      <c r="AB484" s="60"/>
      <c r="AC484" s="56"/>
      <c r="AD484" s="60"/>
      <c r="AE484" s="76"/>
      <c r="AF484" s="80"/>
      <c r="AG484" s="56"/>
      <c r="AH484" s="4"/>
      <c r="AI484" s="56"/>
      <c r="AJ484" s="109"/>
      <c r="AK484" s="56"/>
      <c r="AL484" s="56"/>
      <c r="AM484" s="56"/>
      <c r="AN484" s="56"/>
      <c r="AO484" s="82"/>
      <c r="AP484" s="82"/>
      <c r="AQ484" s="83"/>
      <c r="AR484" s="116"/>
      <c r="AS484" s="84"/>
      <c r="AT484" s="84"/>
      <c r="AU484" s="3"/>
      <c r="AV484" s="53">
        <v>600</v>
      </c>
      <c r="AW484" s="53">
        <v>86400</v>
      </c>
      <c r="AX484" s="53">
        <v>604800</v>
      </c>
      <c r="AY484" s="53"/>
      <c r="AZ484" s="53"/>
      <c r="BA484" s="53"/>
      <c r="BB484" s="53"/>
      <c r="BC484" s="53"/>
      <c r="BD484" s="53"/>
      <c r="BE484" s="53"/>
      <c r="BF484" s="53"/>
      <c r="BG484" s="53"/>
      <c r="BH484" s="53"/>
      <c r="BI484" s="53"/>
      <c r="BJ484" s="53"/>
      <c r="BK484" s="53"/>
      <c r="BL484" s="53"/>
      <c r="BM484" s="53"/>
      <c r="BN484" s="53"/>
      <c r="BO484" s="53"/>
      <c r="BP484" s="53"/>
      <c r="BQ484" s="53"/>
      <c r="BR484" s="53"/>
      <c r="BS484" s="53"/>
      <c r="BT484" s="53"/>
      <c r="BU484" s="53"/>
      <c r="BV484" s="53"/>
      <c r="BW484" s="53"/>
      <c r="BX484" s="53"/>
      <c r="BY484" s="53"/>
      <c r="BZ484" s="53"/>
      <c r="CA484" s="53"/>
      <c r="CB484" s="53"/>
      <c r="CC484" s="53"/>
      <c r="CD484" s="53"/>
      <c r="CE484" s="53"/>
      <c r="CF484" s="53"/>
      <c r="CG484" s="53"/>
      <c r="CH484" s="53"/>
      <c r="CI484" s="53"/>
      <c r="CJ484" s="53"/>
      <c r="CK484" s="53"/>
      <c r="CL484" s="53"/>
      <c r="CM484" s="53"/>
      <c r="CN484" s="53"/>
      <c r="CO484" s="53"/>
      <c r="CP484" s="53"/>
      <c r="CQ484" s="53"/>
      <c r="CR484" s="1"/>
      <c r="CS484" s="1"/>
      <c r="CT484" s="1"/>
      <c r="CU484" s="1"/>
    </row>
    <row r="485" spans="1:99" s="13" customFormat="1" ht="12" customHeight="1" x14ac:dyDescent="0.2">
      <c r="A485" s="65">
        <v>43964</v>
      </c>
      <c r="B485" s="1" t="s">
        <v>911</v>
      </c>
      <c r="C485" s="1" t="s">
        <v>45</v>
      </c>
      <c r="D485" s="60">
        <v>2017</v>
      </c>
      <c r="E485" s="76">
        <v>1</v>
      </c>
      <c r="F485" s="60">
        <v>155</v>
      </c>
      <c r="G485" s="60">
        <v>155</v>
      </c>
      <c r="H485" s="60" t="s">
        <v>32</v>
      </c>
      <c r="I485" s="60" t="s">
        <v>915</v>
      </c>
      <c r="J485" s="60" t="s">
        <v>912</v>
      </c>
      <c r="K485" s="60">
        <f>IF(J485="syllables",1,IF(J485="trigrams",2,IF(J485="strings",3,IF(J485="visual array",4,IF(J485="characters",5,IF(J485="letters",6,IF(J485="free forms",7,IF(J485="odors",8,IF(J485="words",9,IF(J485="pictures",10,IF(J485="object pictures",11,IF(J485="faces",12,IF(J485="names",13,IF(J485="idioms",14,IF(J485="grades",15,IF(J485="syllable-digit pairs",16,IF(J485="trigram-word pairs",17,IF(J485="word-digit pairs",18,IF(J485="English-Swahili pairs",19,IF(J485="spatial position",20,IF(J485="word pairs",21,IF(J485="word triads",22,IF(J485="generated words",23,IF(J485="word definition pairs",24,IF(J485="math problems",25,IF(J485="famous faces",26,IF(J485="famous names",27,IF(J485="famous voices",28,IF(J485="television programs",29,IF(J485="race horses",30,IF(J485="new vocabulary",31,IF(J485="sentences",32,IF(J485="concepts",33,IF(J485="ad slides",34,IF(J485="scenes",35,IF(J485="famous scenes",36,IF(J485="poems",37,IF(J485="walk",38,IF(J485="faces and events",39,IF(J485="events and names",40,IF(J485="flashbulb",41,IF(J485="stories",42,IF(J485="course material",43,IF(J485="autobiographical",44,IF(J485="novels",45,IF(J485="public events",46,IF(J485="video activities",47,"99")))))))))))))))))))))))))))))))))))))))))))))))</f>
        <v>47</v>
      </c>
      <c r="L485" s="60">
        <v>7</v>
      </c>
      <c r="M485" s="60">
        <v>0</v>
      </c>
      <c r="N485" s="60">
        <v>3</v>
      </c>
      <c r="O485" s="60">
        <v>0</v>
      </c>
      <c r="P485" s="60"/>
      <c r="Q485" s="60" t="s">
        <v>182</v>
      </c>
      <c r="R485" s="60">
        <f>IF(Q485="Free Recall",1,IF(Q485="Cued Recall",2,IF(Q485="Recognition",3,IF(Q485="Multiple Choice",4,IF(Q485="Savings",5,IF(Q485="Stem Completion",6,IF(Q485="Fragment Completion",7,IF(Q485="anagram solution",8,IF(Q485="Matching",9,IF(Q485="Problem Solving",10,"99"))))))))))</f>
        <v>4</v>
      </c>
      <c r="S485" s="60" t="s">
        <v>15</v>
      </c>
      <c r="T485" s="60" t="s">
        <v>581</v>
      </c>
      <c r="U485" s="60">
        <f>IF(T485="within",1,0)</f>
        <v>1</v>
      </c>
      <c r="V485" s="60">
        <v>20</v>
      </c>
      <c r="W485" s="60">
        <f>F485*V485</f>
        <v>3100</v>
      </c>
      <c r="X485" s="60">
        <v>3</v>
      </c>
      <c r="Y485" s="76">
        <f>AV484</f>
        <v>600</v>
      </c>
      <c r="Z485" s="60" t="s">
        <v>150</v>
      </c>
      <c r="AA485" s="60">
        <f>60*60*24*7</f>
        <v>604800</v>
      </c>
      <c r="AB485" s="60" t="str">
        <f>IF(AA485&lt;60,"1",IF(AA485&lt;=43200,"2",IF(AA485&lt;=777600,"3","4")))</f>
        <v>3</v>
      </c>
      <c r="AC485" s="56">
        <f>AVERAGE(AV484:DA484)</f>
        <v>230600</v>
      </c>
      <c r="AD485" s="60" t="str">
        <f>IF(AC485&lt;60,"1",IF(AC485&lt;=43200,"2",IF(AC485&lt;=777600,"3","4")))</f>
        <v>3</v>
      </c>
      <c r="AE485" s="76">
        <f>AA485-Y485</f>
        <v>604200</v>
      </c>
      <c r="AF485" s="80">
        <f>AV485</f>
        <v>0.69</v>
      </c>
      <c r="AG485" s="56">
        <f>((AW485-AV485)+(AX485-AW485))/2</f>
        <v>-5.4999999999999993E-2</v>
      </c>
      <c r="AH485" s="4"/>
      <c r="AI485" s="56">
        <f>RSQ(AV485:AX485,AV484:AX484)</f>
        <v>0.88907190943020442</v>
      </c>
      <c r="AJ485" s="109">
        <f>SLOPE(AV485:AX485,AV484:AX484)</f>
        <v>-1.5886259770293073E-7</v>
      </c>
      <c r="AK485" s="56">
        <f>INTERCEPT(AV485:AX485,AV484:AX484)</f>
        <v>0.67330038169696249</v>
      </c>
      <c r="AL485" s="56">
        <f>INDEX(LINEST(LN(AV485:AX485),LN(AV484:AX484),TRUE,TRUE),3,1)</f>
        <v>0.89845794875751039</v>
      </c>
      <c r="AM485" s="56">
        <f>INDEX(LINEST(LN(AV485:AX485),LN(AV484:AX484)),1)</f>
        <v>-2.3146964031138736E-2</v>
      </c>
      <c r="AN485" s="56">
        <f>EXP(INDEX(LINEST(LN(AV485:AX485),LN(AV484:AX484)),1,2))</f>
        <v>0.80714512945459105</v>
      </c>
      <c r="AO485" s="82">
        <f>INDEX(LINEST((AV485:AX485),LN(AV484:AX484),TRUE,TRUE),3,1)</f>
        <v>0.91282677614542207</v>
      </c>
      <c r="AP485" s="82">
        <f>INDEX(LINEST((AV485:AX485),LN(AV484:AX484)),1)</f>
        <v>-1.4754723231674025E-2</v>
      </c>
      <c r="AQ485" s="83">
        <f>INDEX(LINEST(LN(AV485:AX485),SQRT(AV484:AX484),TRUE,TRUE),3,1)</f>
        <v>0.99265855765578481</v>
      </c>
      <c r="AR485" s="116">
        <f>INDEX(LINEST(LN(AV485:AX485),SQRT((AV484:AX484))),1)</f>
        <v>-2.2735747198805389E-4</v>
      </c>
      <c r="AS485" s="84">
        <f>INDEX(LINEST(1/(AV485:AX485),1/(SQRT(AV484:AX484)),TRUE,TRUE),3,1)</f>
        <v>0.70209398617616847</v>
      </c>
      <c r="AT485" s="84">
        <f>INDEX(LINEST(1/(AV485:AX485),1/SQRT(AV484:AX484)),1)</f>
        <v>-5.2040459668771399</v>
      </c>
      <c r="AU485" s="3"/>
      <c r="AV485" s="53">
        <v>0.69</v>
      </c>
      <c r="AW485" s="53">
        <v>0.64</v>
      </c>
      <c r="AX485" s="53">
        <v>0.57999999999999996</v>
      </c>
      <c r="AY485" s="53"/>
      <c r="AZ485" s="53"/>
      <c r="BA485" s="53"/>
      <c r="BB485" s="53"/>
      <c r="BC485" s="53"/>
      <c r="BD485" s="53"/>
      <c r="BE485" s="53"/>
      <c r="BF485" s="53"/>
      <c r="BG485" s="53"/>
      <c r="BH485" s="53"/>
      <c r="BI485" s="53"/>
      <c r="BJ485" s="53"/>
      <c r="BK485" s="53"/>
      <c r="BL485" s="53"/>
      <c r="BM485" s="53"/>
      <c r="BN485" s="53"/>
      <c r="BO485" s="53"/>
      <c r="BP485" s="53"/>
      <c r="BQ485" s="53"/>
      <c r="BR485" s="53"/>
      <c r="BS485" s="53"/>
      <c r="BT485" s="53"/>
      <c r="BU485" s="53"/>
      <c r="BV485" s="53"/>
      <c r="BW485" s="53"/>
      <c r="BX485" s="53"/>
      <c r="BY485" s="53"/>
      <c r="BZ485" s="53"/>
      <c r="CA485" s="53"/>
      <c r="CB485" s="53"/>
      <c r="CC485" s="53"/>
      <c r="CD485" s="53"/>
      <c r="CE485" s="53"/>
      <c r="CF485" s="53"/>
      <c r="CG485" s="53"/>
      <c r="CH485" s="53"/>
      <c r="CI485" s="53"/>
      <c r="CJ485" s="53"/>
      <c r="CK485" s="53"/>
      <c r="CL485" s="53"/>
      <c r="CM485" s="53"/>
      <c r="CN485" s="53"/>
      <c r="CO485" s="53"/>
      <c r="CP485" s="53"/>
      <c r="CQ485" s="53"/>
      <c r="CR485" s="1"/>
      <c r="CS485" s="1"/>
      <c r="CT485" s="1"/>
      <c r="CU485" s="1"/>
    </row>
    <row r="486" spans="1:99" s="13" customFormat="1" ht="12" customHeight="1" x14ac:dyDescent="0.2">
      <c r="A486" s="68">
        <v>43895</v>
      </c>
      <c r="B486" s="67"/>
      <c r="C486" s="67"/>
      <c r="D486" s="86"/>
      <c r="E486" s="87"/>
      <c r="F486" s="69"/>
      <c r="G486" s="69"/>
      <c r="H486" s="69"/>
      <c r="I486" s="104"/>
      <c r="J486" s="69"/>
      <c r="K486" s="107"/>
      <c r="L486" s="69"/>
      <c r="M486" s="69"/>
      <c r="N486" s="92"/>
      <c r="O486" s="69"/>
      <c r="P486" s="69"/>
      <c r="Q486" s="69"/>
      <c r="R486" s="69"/>
      <c r="S486" s="69"/>
      <c r="T486" s="69"/>
      <c r="U486" s="69"/>
      <c r="V486" s="69"/>
      <c r="W486" s="69"/>
      <c r="X486" s="69"/>
      <c r="Y486" s="87"/>
      <c r="Z486" s="69"/>
      <c r="AA486" s="69"/>
      <c r="AB486" s="69"/>
      <c r="AC486" s="72"/>
      <c r="AD486" s="69"/>
      <c r="AE486" s="69"/>
      <c r="AF486" s="88"/>
      <c r="AG486" s="72"/>
      <c r="AH486" s="4"/>
      <c r="AI486" s="72"/>
      <c r="AJ486" s="110"/>
      <c r="AK486" s="72"/>
      <c r="AL486" s="72"/>
      <c r="AM486" s="72"/>
      <c r="AN486" s="72"/>
      <c r="AO486" s="89"/>
      <c r="AP486" s="89"/>
      <c r="AQ486" s="90"/>
      <c r="AR486" s="117"/>
      <c r="AS486" s="91"/>
      <c r="AT486" s="91"/>
      <c r="AU486" s="3"/>
      <c r="AV486" s="71">
        <v>315360000</v>
      </c>
      <c r="AW486" s="71">
        <v>630720000</v>
      </c>
      <c r="AX486" s="71">
        <v>646080000</v>
      </c>
      <c r="AY486" s="71">
        <v>1261440000</v>
      </c>
      <c r="AZ486" s="46"/>
      <c r="BA486" s="42"/>
      <c r="BB486" s="42"/>
      <c r="BC486" s="23"/>
      <c r="BD486" s="23"/>
      <c r="BE486" s="23"/>
      <c r="BF486" s="23"/>
      <c r="BG486" s="23"/>
      <c r="BH486" s="23"/>
      <c r="BI486" s="23"/>
      <c r="BJ486" s="23"/>
      <c r="BK486" s="23"/>
      <c r="BL486" s="23"/>
      <c r="BM486" s="23"/>
      <c r="BN486" s="23"/>
      <c r="BO486" s="23"/>
      <c r="BP486" s="23"/>
      <c r="BQ486" s="23"/>
      <c r="BR486" s="23"/>
      <c r="BS486" s="23"/>
      <c r="BT486" s="23"/>
      <c r="BU486" s="23"/>
      <c r="BV486" s="23"/>
      <c r="BW486" s="23"/>
      <c r="BX486" s="23"/>
      <c r="BY486" s="23"/>
      <c r="BZ486" s="23"/>
      <c r="CA486" s="23"/>
      <c r="CB486" s="23"/>
      <c r="CC486" s="23"/>
      <c r="CD486" s="23"/>
      <c r="CE486" s="23"/>
      <c r="CF486" s="23"/>
      <c r="CG486" s="23"/>
      <c r="CH486" s="23"/>
      <c r="CI486" s="23"/>
      <c r="CJ486" s="23"/>
      <c r="CK486" s="23"/>
      <c r="CL486" s="23"/>
      <c r="CM486" s="23"/>
      <c r="CN486" s="23"/>
      <c r="CO486" s="23"/>
      <c r="CP486" s="23"/>
      <c r="CQ486" s="23"/>
      <c r="CR486" s="1"/>
      <c r="CS486" s="1"/>
      <c r="CT486" s="1"/>
      <c r="CU486" s="1"/>
    </row>
    <row r="487" spans="1:99" s="13" customFormat="1" ht="12" customHeight="1" x14ac:dyDescent="0.2">
      <c r="A487" s="68">
        <v>43895</v>
      </c>
      <c r="B487" s="70" t="s">
        <v>347</v>
      </c>
      <c r="C487" s="70" t="s">
        <v>348</v>
      </c>
      <c r="D487" s="69">
        <v>1984</v>
      </c>
      <c r="E487" s="87">
        <v>1</v>
      </c>
      <c r="F487" s="69">
        <v>32</v>
      </c>
      <c r="G487" s="69">
        <v>32</v>
      </c>
      <c r="H487" s="69" t="s">
        <v>41</v>
      </c>
      <c r="I487" s="69" t="s">
        <v>330</v>
      </c>
      <c r="J487" s="69" t="s">
        <v>342</v>
      </c>
      <c r="K487" s="69">
        <f>IF(J487="syllables",1,IF(J487="trigrams",2,IF(J487="strings",3,IF(J487="visual array",4,IF(J487="characters",5,IF(J487="letters",6,IF(J487="free forms",7,IF(J487="odors",8,IF(J487="words",9,IF(J487="pictures",10,IF(J487="object pictures",11,IF(J487="faces",12,IF(J487="names",13,IF(J487="idioms",14,IF(J487="grades",15,IF(J487="syllable-digit pairs",16,IF(J487="trigram-word pairs",17,IF(J487="word-digit pairs",18,IF(J487="English-Swahili pairs",19,IF(J487="spatial position",20,IF(J487="word pairs",21,IF(J487="word triads",22,IF(J487="generated words",23,IF(J487="word definition pairs",24,IF(J487="math problems",25,IF(J487="famous faces",26,IF(J487="famous names",27,IF(J487="famous voices",28,IF(J487="television programs",29,IF(J487="race horses",30,IF(J487="new vocabulary",31,IF(J487="sentences",32,IF(J487="concepts",33,IF(J487="ad slides",34,IF(J487="scenes",35,IF(J487="famous scenes",36,IF(J487="poems",37,IF(J487="walk",38,IF(J487="faces and events",39,IF(J487="events and names",40,IF(J487="flashbulb",41,IF(J487="stories",42,IF(J487="course material",43,IF(J487="autobiographical",44,IF(J487="novels",45,IF(J487="public events",46,"99"))))))))))))))))))))))))))))))))))))))))))))))</f>
        <v>26</v>
      </c>
      <c r="L487" s="69">
        <f>IF(J487="syllables",1,IF(J487="trigrams",1,IF(J487="strings",1,IF(J487="visual array",1,IF(J487="characters",1,IF(J487="letters",1,IF(J487="free forms",1,IF(J487="odors",2,IF(J487="words",2,IF(J487="pictures",2,IF(J487="object pictures",2,IF(J487="faces",2,IF(J487="names",2,IF(J487="idioms","2",IF(J487="grades",2,IF(J487="syllable-digit pairs",3,IF(J487="trigram-word pairs",3,IF(J487="word-digit pairs",3,IF(J487="English-Swahili pairs",3,IF(J487="spatial position",3,IF(J487="word pairs",4,IF(J487="word triads",4,IF(J487="generated words",4,IF(J487="word definition pairs",4,IF(J487="math problems",4,IF(J487="famous faces",4,IF(J487="famous names",4,IF(J487="famous voices",4,IF(J487="television programs",4,IF(J487="race horses",4,IF(J487="new vocabulary",4,IF(J487="sentences",5,IF(J487="concepts",5,IF(J487="ad slides",5,IF(J487="scenes",5,IF(J487="famous scenes",5,IF(J487="poems",6,IF(J487="walk",6,IF(J487="faces and events",6,IF(J487="events and names",6,IF(J487="flashbulb",7,IF(J487="stories",7,IF(J487="course material",7,IF(J487="autobiographical",7,IF(J487="novels",7,IF(J487="public events",7,"99"))))))))))))))))))))))))))))))))))))))))))))))</f>
        <v>4</v>
      </c>
      <c r="M487" s="69">
        <v>1</v>
      </c>
      <c r="N487" s="92">
        <v>3</v>
      </c>
      <c r="O487" s="69">
        <v>0</v>
      </c>
      <c r="P487" s="69"/>
      <c r="Q487" s="69" t="s">
        <v>174</v>
      </c>
      <c r="R487" s="69">
        <f>IF(Q487="Free Recall",1,IF(Q487="Cued Recall",2,IF(Q487="Recognition",3,IF(Q487="Multiple Choice",4,IF(Q487="Savings",5,IF(Q487="Stem Completion",6,IF(Q487="Fragment Completion",7,IF(Q487="anagram solution",8,IF(Q487="Matching",9,IF(Q487="Problem Solving",10,"99"))))))))))</f>
        <v>1</v>
      </c>
      <c r="S487" s="99" t="s">
        <v>49</v>
      </c>
      <c r="T487" s="92" t="s">
        <v>581</v>
      </c>
      <c r="U487" s="69">
        <f>IF(T487="within",1,0)</f>
        <v>1</v>
      </c>
      <c r="V487" s="92">
        <v>180</v>
      </c>
      <c r="W487" s="69">
        <f>F487*V487</f>
        <v>5760</v>
      </c>
      <c r="X487" s="69">
        <v>4</v>
      </c>
      <c r="Y487" s="87">
        <f>AV486</f>
        <v>315360000</v>
      </c>
      <c r="Z487" s="92" t="s">
        <v>329</v>
      </c>
      <c r="AA487" s="69">
        <f>40*365*24*60*60</f>
        <v>1261440000</v>
      </c>
      <c r="AB487" s="69" t="str">
        <f>IF(AA487&lt;60,"1",IF(AA487&lt;=43200,"2",IF(AA487&lt;=777600,"3","4")))</f>
        <v>4</v>
      </c>
      <c r="AC487" s="72">
        <f>AVERAGE(AV486:DA486)</f>
        <v>713400000</v>
      </c>
      <c r="AD487" s="69" t="str">
        <f>IF(AC487&lt;60,"1",IF(AC487&lt;=43200,"2",IF(AC487&lt;=777600,"3","4")))</f>
        <v>4</v>
      </c>
      <c r="AE487" s="87">
        <f>AA487-Y487</f>
        <v>946080000</v>
      </c>
      <c r="AF487" s="88">
        <f>AV487</f>
        <v>0.67857142857142849</v>
      </c>
      <c r="AG487" s="72">
        <f>((AW487-AV487)+(AX487-AW487)+(AY487-AX487))/3</f>
        <v>4.4920634920634951E-2</v>
      </c>
      <c r="AH487" s="4"/>
      <c r="AI487" s="72">
        <f>RSQ(AV487:AY487,AV486:AY486)</f>
        <v>0.66927194006223834</v>
      </c>
      <c r="AJ487" s="110">
        <f>SLOPE(AV487:AY487,AV486:AY486)</f>
        <v>1.3971129967563224E-10</v>
      </c>
      <c r="AK487" s="72">
        <f>INTERCEPT(AV487:AY487,AV486:AY486)</f>
        <v>0.64226993198377147</v>
      </c>
      <c r="AL487" s="72">
        <f>INDEX(LINEST(LN(AV487:AY487),LN(AV486:AY486),TRUE,TRUE),3,1)</f>
        <v>0.67409541468057055</v>
      </c>
      <c r="AM487" s="72">
        <f>INDEX(LINEST(LN(AV487:AY487),LN(AV486:AY486)),1)</f>
        <v>0.13212671206387575</v>
      </c>
      <c r="AN487" s="72">
        <f>EXP(INDEX(LINEST(LN(AV487:AY487),LN(AV486:AY486)),1,2))</f>
        <v>5.0813368103304286E-2</v>
      </c>
      <c r="AO487" s="89">
        <f>INDEX(LINEST((AV487:AY487),LN(AV486:AY486),TRUE,TRUE),3,1)</f>
        <v>0.67693796480137824</v>
      </c>
      <c r="AP487" s="89">
        <f>INDEX(LINEST((AV487:AY487),LN(AV486:AY486)),1)</f>
        <v>9.8261882700367842E-2</v>
      </c>
      <c r="AQ487" s="90">
        <f>INDEX(LINEST(LN(AV487:AY487),SQRT(AV486:AY486),TRUE,TRUE),3,1)</f>
        <v>0.67709539049705592</v>
      </c>
      <c r="AR487" s="117">
        <f>INDEX(LINEST(LN(AV487:AY487),SQRT((AV486:AY486))),1)</f>
        <v>1.0277024221684869E-5</v>
      </c>
      <c r="AS487" s="91">
        <f>INDEX(LINEST(1/(AV487:AY487),1/(SQRT(AV486:AY486)),TRUE,TRUE),3,1)</f>
        <v>0.65111614068711321</v>
      </c>
      <c r="AT487" s="91">
        <f>INDEX(LINEST(1/(AV487:AY487),1/SQRT(AV486:AY486)),1)</f>
        <v>8561.7035895540594</v>
      </c>
      <c r="AU487" s="3"/>
      <c r="AV487" s="95">
        <v>0.67857142857142849</v>
      </c>
      <c r="AW487" s="95">
        <v>0.6901408450704225</v>
      </c>
      <c r="AX487" s="95">
        <v>0.78571428571428581</v>
      </c>
      <c r="AY487" s="95">
        <v>0.81333333333333335</v>
      </c>
      <c r="AZ487" s="46"/>
      <c r="BA487" s="42"/>
      <c r="BB487" s="42"/>
      <c r="BC487" s="42"/>
      <c r="BD487" s="42"/>
      <c r="BE487" s="42"/>
      <c r="BF487" s="42"/>
      <c r="BG487" s="42"/>
      <c r="BH487" s="23"/>
      <c r="BI487" s="23"/>
      <c r="BJ487" s="23"/>
      <c r="BK487" s="23"/>
      <c r="BL487" s="23"/>
      <c r="BM487" s="23"/>
      <c r="BN487" s="23"/>
      <c r="BO487" s="23"/>
      <c r="BP487" s="23"/>
      <c r="BQ487" s="23"/>
      <c r="BR487" s="23"/>
      <c r="BS487" s="23"/>
      <c r="BT487" s="23"/>
      <c r="BU487" s="23"/>
      <c r="BV487" s="23"/>
      <c r="BW487" s="23"/>
      <c r="BX487" s="23"/>
      <c r="BY487" s="23"/>
      <c r="BZ487" s="23"/>
      <c r="CA487" s="23"/>
      <c r="CB487" s="23"/>
      <c r="CC487" s="23"/>
      <c r="CD487" s="23"/>
      <c r="CE487" s="23"/>
      <c r="CF487" s="23"/>
      <c r="CG487" s="23"/>
      <c r="CH487" s="23"/>
      <c r="CI487" s="23"/>
      <c r="CJ487" s="23"/>
      <c r="CK487" s="23"/>
      <c r="CL487" s="23"/>
      <c r="CM487" s="23"/>
      <c r="CN487" s="23"/>
      <c r="CO487" s="23"/>
      <c r="CP487" s="23"/>
      <c r="CQ487" s="23"/>
      <c r="CR487" s="1"/>
      <c r="CS487" s="1"/>
      <c r="CT487" s="1"/>
      <c r="CU487" s="1"/>
    </row>
    <row r="488" spans="1:99" s="13" customFormat="1" ht="12" customHeight="1" x14ac:dyDescent="0.2">
      <c r="A488" s="65">
        <v>43898</v>
      </c>
      <c r="B488" s="1"/>
      <c r="C488" s="1"/>
      <c r="D488" s="60"/>
      <c r="E488" s="76"/>
      <c r="F488" s="60"/>
      <c r="G488" s="60"/>
      <c r="H488" s="60"/>
      <c r="I488" s="60"/>
      <c r="J488" s="60"/>
      <c r="K488" s="64"/>
      <c r="L488" s="64"/>
      <c r="M488" s="60"/>
      <c r="N488" s="59"/>
      <c r="O488" s="60"/>
      <c r="P488" s="60"/>
      <c r="Q488" s="60"/>
      <c r="R488" s="60"/>
      <c r="S488" s="62"/>
      <c r="T488" s="59"/>
      <c r="U488" s="60"/>
      <c r="V488" s="59"/>
      <c r="W488" s="60"/>
      <c r="X488" s="60"/>
      <c r="Y488" s="76"/>
      <c r="Z488" s="59"/>
      <c r="AA488" s="59"/>
      <c r="AB488" s="60"/>
      <c r="AC488" s="56"/>
      <c r="AD488" s="60"/>
      <c r="AE488" s="60"/>
      <c r="AF488" s="80"/>
      <c r="AG488" s="56"/>
      <c r="AH488" s="4"/>
      <c r="AI488" s="56"/>
      <c r="AJ488" s="109"/>
      <c r="AK488" s="56"/>
      <c r="AL488" s="56"/>
      <c r="AM488" s="56"/>
      <c r="AN488" s="56"/>
      <c r="AO488" s="82"/>
      <c r="AP488" s="82"/>
      <c r="AQ488" s="83"/>
      <c r="AR488" s="116"/>
      <c r="AS488" s="84"/>
      <c r="AT488" s="84"/>
      <c r="AU488" s="3"/>
      <c r="AV488" s="49">
        <v>47304000</v>
      </c>
      <c r="AW488" s="49">
        <v>110376000</v>
      </c>
      <c r="AX488" s="49">
        <v>189216000</v>
      </c>
      <c r="AY488" s="49">
        <v>283824000</v>
      </c>
      <c r="AZ488" s="25">
        <v>409968000</v>
      </c>
      <c r="BA488" s="25">
        <v>567648000</v>
      </c>
      <c r="BB488" s="25">
        <v>725328000</v>
      </c>
      <c r="BC488" s="25">
        <v>883008000</v>
      </c>
      <c r="BD488" s="25">
        <v>1040688000</v>
      </c>
      <c r="BE488" s="42"/>
      <c r="BF488" s="42"/>
      <c r="BG488" s="42"/>
      <c r="BH488" s="30"/>
      <c r="BI488" s="30"/>
      <c r="BJ488" s="30"/>
      <c r="BK488" s="30"/>
      <c r="BL488" s="30"/>
      <c r="BM488" s="30"/>
      <c r="BN488" s="30"/>
      <c r="BO488" s="30"/>
      <c r="BP488" s="30"/>
      <c r="BQ488" s="30"/>
      <c r="BR488" s="30"/>
      <c r="BS488" s="30"/>
      <c r="BT488" s="30"/>
      <c r="BU488" s="30"/>
      <c r="BV488" s="30"/>
      <c r="BW488" s="30"/>
      <c r="BX488" s="30"/>
      <c r="BY488" s="30"/>
      <c r="BZ488" s="30"/>
      <c r="CA488" s="30"/>
      <c r="CB488" s="30"/>
      <c r="CC488" s="30"/>
      <c r="CD488" s="30"/>
      <c r="CE488" s="30"/>
      <c r="CF488" s="30"/>
      <c r="CG488" s="30"/>
      <c r="CH488" s="30"/>
      <c r="CI488" s="30"/>
      <c r="CJ488" s="30"/>
      <c r="CK488" s="30"/>
      <c r="CL488" s="30"/>
      <c r="CM488" s="30"/>
      <c r="CN488" s="30"/>
      <c r="CO488" s="30"/>
      <c r="CP488" s="30"/>
      <c r="CQ488" s="30"/>
      <c r="CR488" s="1"/>
      <c r="CS488" s="1"/>
      <c r="CT488" s="1"/>
      <c r="CU488" s="1"/>
    </row>
    <row r="489" spans="1:99" s="13" customFormat="1" ht="12" customHeight="1" x14ac:dyDescent="0.2">
      <c r="A489" s="65">
        <v>43898</v>
      </c>
      <c r="B489" s="1" t="s">
        <v>397</v>
      </c>
      <c r="C489" s="1" t="s">
        <v>54</v>
      </c>
      <c r="D489" s="60">
        <v>1990</v>
      </c>
      <c r="E489" s="76">
        <v>1</v>
      </c>
      <c r="F489" s="60">
        <v>27</v>
      </c>
      <c r="G489" s="60">
        <v>27</v>
      </c>
      <c r="H489" s="60" t="s">
        <v>398</v>
      </c>
      <c r="I489" s="60" t="s">
        <v>330</v>
      </c>
      <c r="J489" s="60" t="s">
        <v>340</v>
      </c>
      <c r="K489" s="60">
        <f>IF(J489="syllables",1,IF(J489="trigrams",2,IF(J489="strings",3,IF(J489="visual array",4,IF(J489="characters",5,IF(J489="letters",6,IF(J489="free forms",7,IF(J489="odors",8,IF(J489="words",9,IF(J489="pictures",10,IF(J489="object pictures",11,IF(J489="faces",12,IF(J489="names",13,IF(J489="idioms",14,IF(J489="grades",15,IF(J489="syllable-digit pairs",16,IF(J489="trigram-word pairs",17,IF(J489="word-digit pairs",18,IF(J489="English-Swahili pairs",19,IF(J489="spatial position",20,IF(J489="word pairs",21,IF(J489="word triads",22,IF(J489="generated words",23,IF(J489="word definition pairs",24,IF(J489="math problems",25,IF(J489="famous faces",26,IF(J489="famous names",27,IF(J489="famous voices",28,IF(J489="television programs",29,IF(J489="race horses",30,IF(J489="new vocabulary",31,IF(J489="sentences",32,IF(J489="concepts",33,IF(J489="ad slides",34,IF(J489="scenes",35,IF(J489="famous scenes",36,IF(J489="poems",37,IF(J489="walk",38,IF(J489="faces and events",39,IF(J489="events and names",40,IF(J489="flashbulb",41,IF(J489="stories",42,IF(J489="course material",43,IF(J489="autobiographical",44,IF(J489="novels",45,IF(J489="public events",46,"99"))))))))))))))))))))))))))))))))))))))))))))))</f>
        <v>46</v>
      </c>
      <c r="L489" s="60">
        <f>IF(J489="syllables",1,IF(J489="trigrams",1,IF(J489="strings",1,IF(J489="visual array",1,IF(J489="characters",1,IF(J489="letters",1,IF(J489="free forms",1,IF(J489="odors",2,IF(J489="words",2,IF(J489="pictures",2,IF(J489="object pictures",2,IF(J489="faces",2,IF(J489="names",2,IF(J489="idioms","2",IF(J489="grades",2,IF(J489="syllable-digit pairs",3,IF(J489="trigram-word pairs",3,IF(J489="word-digit pairs",3,IF(J489="English-Swahili pairs",3,IF(J489="spatial position",3,IF(J489="word pairs",4,IF(J489="word triads",4,IF(J489="generated words",4,IF(J489="word definition pairs",4,IF(J489="math problems",4,IF(J489="famous faces",4,IF(J489="famous names",4,IF(J489="famous voices",4,IF(J489="television programs",4,IF(J489="race horses",4,IF(J489="new vocabulary",4,IF(J489="sentences",5,IF(J489="concepts",5,IF(J489="ad slides",5,IF(J489="scenes",5,IF(J489="famous scenes",5,IF(J489="poems",6,IF(J489="walk",6,IF(J489="faces and events",6,IF(J489="events and names",6,IF(J489="flashbulb",7,IF(J489="stories",7,IF(J489="course material",7,IF(J489="autobiographical",7,IF(J489="novels",7,IF(J489="public events",7,"99"))))))))))))))))))))))))))))))))))))))))))))))</f>
        <v>7</v>
      </c>
      <c r="M489" s="60">
        <v>1</v>
      </c>
      <c r="N489" s="59">
        <v>4</v>
      </c>
      <c r="O489" s="60">
        <v>0</v>
      </c>
      <c r="P489" s="60"/>
      <c r="Q489" s="60" t="s">
        <v>174</v>
      </c>
      <c r="R489" s="60">
        <f>IF(Q489="Free Recall",1,IF(Q489="Cued Recall",2,IF(Q489="Recognition",3,IF(Q489="Multiple Choice",4,IF(Q489="Savings",5,IF(Q489="Stem Completion",6,IF(Q489="Fragment Completion",7,IF(Q489="anagram solution",8,IF(Q489="Matching",9,IF(Q489="Problem Solving",10,"99"))))))))))</f>
        <v>1</v>
      </c>
      <c r="S489" s="62" t="s">
        <v>49</v>
      </c>
      <c r="T489" s="59" t="s">
        <v>581</v>
      </c>
      <c r="U489" s="60">
        <f>IF(T489="within",1,0)</f>
        <v>1</v>
      </c>
      <c r="V489" s="59">
        <v>110</v>
      </c>
      <c r="W489" s="60">
        <f>F489*V489</f>
        <v>2970</v>
      </c>
      <c r="X489" s="60">
        <v>9</v>
      </c>
      <c r="Y489" s="76">
        <f>AV488</f>
        <v>47304000</v>
      </c>
      <c r="Z489" s="59" t="s">
        <v>399</v>
      </c>
      <c r="AA489" s="60">
        <f>33*365*24*60*60</f>
        <v>1040688000</v>
      </c>
      <c r="AB489" s="60" t="str">
        <f>IF(AA489&lt;60,"1",IF(AA489&lt;=43200,"2",IF(AA489&lt;=777600,"3","4")))</f>
        <v>4</v>
      </c>
      <c r="AC489" s="56">
        <f>AVERAGE(AV488:DA488)</f>
        <v>473040000</v>
      </c>
      <c r="AD489" s="60" t="str">
        <f>IF(AC489&lt;60,"1",IF(AC489&lt;=43200,"2",IF(AC489&lt;=777600,"3","4")))</f>
        <v>4</v>
      </c>
      <c r="AE489" s="76">
        <f>AA489-Y489</f>
        <v>993384000</v>
      </c>
      <c r="AF489" s="80">
        <f>AV489</f>
        <v>0.66</v>
      </c>
      <c r="AG489" s="56">
        <f>((AW489-AV489)+(AX489-AW489)+(AY489-AX489)+(AZ489-AY489)+(BA489-AZ489)+(BB489-BA489)+(BC489-BB489)+(BD489-BC489))/8</f>
        <v>1.4999999999999999E-2</v>
      </c>
      <c r="AH489" s="4"/>
      <c r="AI489" s="56">
        <f>RSQ(AV489:BD489,AV488:BD488)</f>
        <v>0.65636462758692138</v>
      </c>
      <c r="AJ489" s="109">
        <f>SLOPE(AV489:BD489,AV488:BD488)</f>
        <v>1.2459114473900517E-10</v>
      </c>
      <c r="AK489" s="56">
        <f>INTERCEPT(AV489:BD489,AV488:BD488)</f>
        <v>0.60328562711488321</v>
      </c>
      <c r="AL489" s="56">
        <f>INDEX(LINEST(LN(AV489:BD489),LN(AV488:BD488),TRUE,TRUE),3,1)</f>
        <v>0.38723649249396241</v>
      </c>
      <c r="AM489" s="56">
        <f>INDEX(LINEST(LN(AV489:BD489),LN(AV488:BD488)),1)</f>
        <v>4.7855780730398562E-2</v>
      </c>
      <c r="AN489" s="56">
        <f>EXP(INDEX(LINEST(LN(AV489:BD489),LN(AV488:BD488)),1,2))</f>
        <v>0.25837429581746529</v>
      </c>
      <c r="AO489" s="82">
        <f>INDEX(LINEST((AV489:BD489),LN(AV488:BD488),TRUE,TRUE),3,1)</f>
        <v>0.38141410160495282</v>
      </c>
      <c r="AP489" s="82">
        <f>INDEX(LINEST((AV489:BD489),LN(AV488:BD488)),1)</f>
        <v>3.2409068255394864E-2</v>
      </c>
      <c r="AQ489" s="83">
        <f>INDEX(LINEST(LN(AV489:BD489),SQRT(AV488:BD488),TRUE,TRUE),3,1)</f>
        <v>0.55094018924339305</v>
      </c>
      <c r="AR489" s="116">
        <f>INDEX(LINEST(LN(AV489:BD489),SQRT((AV488:BD488))),1)</f>
        <v>6.7123394394272135E-6</v>
      </c>
      <c r="AS489" s="84">
        <f>INDEX(LINEST(1/(AV489:BD489),1/(SQRT(AV488:BD488)),TRUE,TRUE),3,1)</f>
        <v>0.21711981373469064</v>
      </c>
      <c r="AT489" s="84">
        <f>INDEX(LINEST(1/(AV489:BD489),1/SQRT(AV488:BD488)),1)</f>
        <v>1468.4829590124343</v>
      </c>
      <c r="AU489" s="3"/>
      <c r="AV489" s="27">
        <v>0.66</v>
      </c>
      <c r="AW489" s="27">
        <v>0.59</v>
      </c>
      <c r="AX489" s="27">
        <v>0.62</v>
      </c>
      <c r="AY489" s="27">
        <v>0.64</v>
      </c>
      <c r="AZ489" s="53">
        <v>0.63</v>
      </c>
      <c r="BA489" s="53">
        <v>0.69</v>
      </c>
      <c r="BB489" s="53">
        <v>0.67</v>
      </c>
      <c r="BC489" s="53">
        <v>0.68</v>
      </c>
      <c r="BD489" s="53">
        <v>0.78</v>
      </c>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0"/>
      <c r="CA489" s="30"/>
      <c r="CB489" s="30"/>
      <c r="CC489" s="30"/>
      <c r="CD489" s="30"/>
      <c r="CE489" s="30"/>
      <c r="CF489" s="30"/>
      <c r="CG489" s="30"/>
      <c r="CH489" s="30"/>
      <c r="CI489" s="30"/>
      <c r="CJ489" s="30"/>
      <c r="CK489" s="30"/>
      <c r="CL489" s="30"/>
      <c r="CM489" s="30"/>
      <c r="CN489" s="30"/>
      <c r="CO489" s="30"/>
      <c r="CP489" s="30"/>
      <c r="CQ489" s="30"/>
      <c r="CR489" s="1"/>
      <c r="CS489" s="1"/>
      <c r="CT489" s="1"/>
      <c r="CU489" s="1"/>
    </row>
    <row r="490" spans="1:99" s="13" customFormat="1" ht="12" customHeight="1" x14ac:dyDescent="0.2">
      <c r="A490" s="65">
        <v>43898</v>
      </c>
      <c r="B490" s="1"/>
      <c r="C490" s="1"/>
      <c r="D490" s="60"/>
      <c r="E490" s="76"/>
      <c r="F490" s="60"/>
      <c r="G490" s="60"/>
      <c r="H490" s="60"/>
      <c r="I490" s="60"/>
      <c r="J490" s="60"/>
      <c r="K490" s="64"/>
      <c r="L490" s="64"/>
      <c r="M490" s="60"/>
      <c r="N490" s="59"/>
      <c r="O490" s="60"/>
      <c r="P490" s="60"/>
      <c r="Q490" s="60"/>
      <c r="R490" s="60"/>
      <c r="S490" s="62"/>
      <c r="T490" s="59"/>
      <c r="U490" s="60"/>
      <c r="V490" s="59"/>
      <c r="W490" s="60"/>
      <c r="X490" s="60"/>
      <c r="Y490" s="76"/>
      <c r="Z490" s="59"/>
      <c r="AA490" s="59"/>
      <c r="AB490" s="60"/>
      <c r="AC490" s="56"/>
      <c r="AD490" s="60"/>
      <c r="AE490" s="60"/>
      <c r="AF490" s="80"/>
      <c r="AG490" s="56"/>
      <c r="AH490" s="4"/>
      <c r="AI490" s="56"/>
      <c r="AJ490" s="109"/>
      <c r="AK490" s="56"/>
      <c r="AL490" s="56"/>
      <c r="AM490" s="56"/>
      <c r="AN490" s="56"/>
      <c r="AO490" s="82"/>
      <c r="AP490" s="82"/>
      <c r="AQ490" s="83"/>
      <c r="AR490" s="116"/>
      <c r="AS490" s="84"/>
      <c r="AT490" s="84"/>
      <c r="AU490" s="3"/>
      <c r="AV490" s="49">
        <v>47304000</v>
      </c>
      <c r="AW490" s="49">
        <v>110376000</v>
      </c>
      <c r="AX490" s="49">
        <v>189216000</v>
      </c>
      <c r="AY490" s="49">
        <v>283824000</v>
      </c>
      <c r="AZ490" s="25">
        <v>409968000</v>
      </c>
      <c r="BA490" s="25">
        <v>567648000</v>
      </c>
      <c r="BB490" s="25">
        <v>725328000</v>
      </c>
      <c r="BC490" s="25">
        <v>883008000</v>
      </c>
      <c r="BD490" s="25">
        <v>1040688000</v>
      </c>
      <c r="BE490" s="30"/>
      <c r="BF490" s="30"/>
      <c r="BG490" s="30"/>
      <c r="BH490" s="30"/>
      <c r="BI490" s="30"/>
      <c r="BJ490" s="30"/>
      <c r="BK490" s="30"/>
      <c r="BL490" s="30"/>
      <c r="BM490" s="30"/>
      <c r="BN490" s="30"/>
      <c r="BO490" s="30"/>
      <c r="BP490" s="30"/>
      <c r="BQ490" s="30"/>
      <c r="BR490" s="30"/>
      <c r="BS490" s="30"/>
      <c r="BT490" s="30"/>
      <c r="BU490" s="30"/>
      <c r="BV490" s="30"/>
      <c r="BW490" s="30"/>
      <c r="BX490" s="30"/>
      <c r="BY490" s="30"/>
      <c r="BZ490" s="30"/>
      <c r="CA490" s="30"/>
      <c r="CB490" s="30"/>
      <c r="CC490" s="30"/>
      <c r="CD490" s="30"/>
      <c r="CE490" s="30"/>
      <c r="CF490" s="30"/>
      <c r="CG490" s="30"/>
      <c r="CH490" s="30"/>
      <c r="CI490" s="30"/>
      <c r="CJ490" s="30"/>
      <c r="CK490" s="30"/>
      <c r="CL490" s="30"/>
      <c r="CM490" s="30"/>
      <c r="CN490" s="30"/>
      <c r="CO490" s="30"/>
      <c r="CP490" s="30"/>
      <c r="CQ490" s="30"/>
      <c r="CR490" s="1"/>
      <c r="CS490" s="1"/>
      <c r="CT490" s="1"/>
      <c r="CU490" s="1"/>
    </row>
    <row r="491" spans="1:99" s="13" customFormat="1" ht="12" customHeight="1" x14ac:dyDescent="0.2">
      <c r="A491" s="65">
        <v>43898</v>
      </c>
      <c r="B491" s="1" t="s">
        <v>397</v>
      </c>
      <c r="C491" s="1" t="s">
        <v>54</v>
      </c>
      <c r="D491" s="60">
        <v>1990</v>
      </c>
      <c r="E491" s="76">
        <v>1</v>
      </c>
      <c r="F491" s="60">
        <v>27</v>
      </c>
      <c r="G491" s="60">
        <v>27</v>
      </c>
      <c r="H491" s="60" t="s">
        <v>398</v>
      </c>
      <c r="I491" s="60" t="s">
        <v>330</v>
      </c>
      <c r="J491" s="60" t="s">
        <v>340</v>
      </c>
      <c r="K491" s="60">
        <f>IF(J491="syllables",1,IF(J491="trigrams",2,IF(J491="strings",3,IF(J491="visual array",4,IF(J491="characters",5,IF(J491="letters",6,IF(J491="free forms",7,IF(J491="odors",8,IF(J491="words",9,IF(J491="pictures",10,IF(J491="object pictures",11,IF(J491="faces",12,IF(J491="names",13,IF(J491="idioms",14,IF(J491="grades",15,IF(J491="syllable-digit pairs",16,IF(J491="trigram-word pairs",17,IF(J491="word-digit pairs",18,IF(J491="English-Swahili pairs",19,IF(J491="spatial position",20,IF(J491="word pairs",21,IF(J491="word triads",22,IF(J491="generated words",23,IF(J491="word definition pairs",24,IF(J491="math problems",25,IF(J491="famous faces",26,IF(J491="famous names",27,IF(J491="famous voices",28,IF(J491="television programs",29,IF(J491="race horses",30,IF(J491="new vocabulary",31,IF(J491="sentences",32,IF(J491="concepts",33,IF(J491="ad slides",34,IF(J491="scenes",35,IF(J491="famous scenes",36,IF(J491="poems",37,IF(J491="walk",38,IF(J491="faces and events",39,IF(J491="events and names",40,IF(J491="flashbulb",41,IF(J491="stories",42,IF(J491="course material",43,IF(J491="autobiographical",44,IF(J491="novels",45,IF(J491="public events",46,"99"))))))))))))))))))))))))))))))))))))))))))))))</f>
        <v>46</v>
      </c>
      <c r="L491" s="60">
        <f>IF(J491="syllables",1,IF(J491="trigrams",1,IF(J491="strings",1,IF(J491="visual array",1,IF(J491="characters",1,IF(J491="letters",1,IF(J491="free forms",1,IF(J491="odors",2,IF(J491="words",2,IF(J491="pictures",2,IF(J491="object pictures",2,IF(J491="faces",2,IF(J491="names",2,IF(J491="idioms","2",IF(J491="grades",2,IF(J491="syllable-digit pairs",3,IF(J491="trigram-word pairs",3,IF(J491="word-digit pairs",3,IF(J491="English-Swahili pairs",3,IF(J491="spatial position",3,IF(J491="word pairs",4,IF(J491="word triads",4,IF(J491="generated words",4,IF(J491="word definition pairs",4,IF(J491="math problems",4,IF(J491="famous faces",4,IF(J491="famous names",4,IF(J491="famous voices",4,IF(J491="television programs",4,IF(J491="race horses",4,IF(J491="new vocabulary",4,IF(J491="sentences",5,IF(J491="concepts",5,IF(J491="ad slides",5,IF(J491="scenes",5,IF(J491="famous scenes",5,IF(J491="poems",6,IF(J491="walk",6,IF(J491="faces and events",6,IF(J491="events and names",6,IF(J491="flashbulb",7,IF(J491="stories",7,IF(J491="course material",7,IF(J491="autobiographical",7,IF(J491="novels",7,IF(J491="public events",7,"99"))))))))))))))))))))))))))))))))))))))))))))))</f>
        <v>7</v>
      </c>
      <c r="M491" s="60">
        <v>1</v>
      </c>
      <c r="N491" s="59">
        <v>4</v>
      </c>
      <c r="O491" s="60">
        <v>0</v>
      </c>
      <c r="P491" s="60"/>
      <c r="Q491" s="60" t="s">
        <v>182</v>
      </c>
      <c r="R491" s="60">
        <f>IF(Q491="Free Recall",1,IF(Q491="Cued Recall",2,IF(Q491="Recognition",3,IF(Q491="Multiple Choice",4,IF(Q491="Savings",5,IF(Q491="Stem Completion",6,IF(Q491="Fragment Completion",7,IF(Q491="anagram solution",8,IF(Q491="Matching",9,IF(Q491="Problem Solving",10,"99"))))))))))</f>
        <v>4</v>
      </c>
      <c r="S491" s="60" t="s">
        <v>15</v>
      </c>
      <c r="T491" s="59" t="s">
        <v>581</v>
      </c>
      <c r="U491" s="60">
        <f>IF(T491="within",1,0)</f>
        <v>1</v>
      </c>
      <c r="V491" s="59">
        <v>110</v>
      </c>
      <c r="W491" s="60">
        <f>F491*V491</f>
        <v>2970</v>
      </c>
      <c r="X491" s="60">
        <v>9</v>
      </c>
      <c r="Y491" s="76">
        <f>AV490</f>
        <v>47304000</v>
      </c>
      <c r="Z491" s="59" t="s">
        <v>399</v>
      </c>
      <c r="AA491" s="60">
        <f>33*365*24*60*60</f>
        <v>1040688000</v>
      </c>
      <c r="AB491" s="60" t="str">
        <f>IF(AA491&lt;60,"1",IF(AA491&lt;=43200,"2",IF(AA491&lt;=777600,"3","4")))</f>
        <v>4</v>
      </c>
      <c r="AC491" s="56">
        <f>AVERAGE(AV490:DA490)</f>
        <v>473040000</v>
      </c>
      <c r="AD491" s="60" t="str">
        <f>IF(AC491&lt;60,"1",IF(AC491&lt;=43200,"2",IF(AC491&lt;=777600,"3","4")))</f>
        <v>4</v>
      </c>
      <c r="AE491" s="76">
        <f>AA491-Y491</f>
        <v>993384000</v>
      </c>
      <c r="AF491" s="80">
        <f>AV491</f>
        <v>0.86</v>
      </c>
      <c r="AG491" s="56">
        <f>((AW491-AV491)+(AX491-AW491)+(AY491-AX491)+(AZ491-AY491)+(BA491-AZ491)+(BB491-BA491)+(BC491-BB491)+(BD491-BC491))/8</f>
        <v>8.7500000000000078E-3</v>
      </c>
      <c r="AH491" s="4"/>
      <c r="AI491" s="56">
        <f>RSQ(AV491:BD491,AV490:BD490)</f>
        <v>0.33790261975457853</v>
      </c>
      <c r="AJ491" s="109">
        <f>SLOPE(AV491:BD491,AV490:BD490)</f>
        <v>5.984174423296567E-11</v>
      </c>
      <c r="AK491" s="56">
        <f>INTERCEPT(AV491:BD491,AV490:BD490)</f>
        <v>0.8539146835302599</v>
      </c>
      <c r="AL491" s="56">
        <f>INDEX(LINEST(LN(AV491:BD491),LN(AV490:BD490),TRUE,TRUE),3,1)</f>
        <v>0.37265819329138822</v>
      </c>
      <c r="AM491" s="56">
        <f>INDEX(LINEST(LN(AV491:BD491),LN(AV490:BD490)),1)</f>
        <v>2.4421290666445463E-2</v>
      </c>
      <c r="AN491" s="56">
        <f>EXP(INDEX(LINEST(LN(AV491:BD491),LN(AV490:BD490)),1,2))</f>
        <v>0.54612514688765712</v>
      </c>
      <c r="AO491" s="82">
        <f>INDEX(LINEST((AV491:BD491),LN(AV490:BD490),TRUE,TRUE),3,1)</f>
        <v>0.37441990073877063</v>
      </c>
      <c r="AP491" s="82">
        <f>INDEX(LINEST((AV491:BD491),LN(AV490:BD490)),1)</f>
        <v>2.1495200810244558E-2</v>
      </c>
      <c r="AQ491" s="83">
        <f>INDEX(LINEST(LN(AV491:BD491),SQRT(AV490:BD490),TRUE,TRUE),3,1)</f>
        <v>0.36994619365443598</v>
      </c>
      <c r="AR491" s="116">
        <f>INDEX(LINEST(LN(AV491:BD491),SQRT((AV490:BD490))),1)</f>
        <v>2.8612642843331123E-6</v>
      </c>
      <c r="AS491" s="84">
        <f>INDEX(LINEST(1/(AV491:BD491),1/(SQRT(AV490:BD490)),TRUE,TRUE),3,1)</f>
        <v>0.31900720096918789</v>
      </c>
      <c r="AT491" s="84">
        <f>INDEX(LINEST(1/(AV491:BD491),1/SQRT(AV490:BD490)),1)</f>
        <v>714.95475692371303</v>
      </c>
      <c r="AU491" s="3"/>
      <c r="AV491" s="27">
        <v>0.86</v>
      </c>
      <c r="AW491" s="27">
        <v>0.82</v>
      </c>
      <c r="AX491" s="27">
        <v>0.87</v>
      </c>
      <c r="AY491" s="27">
        <v>0.89</v>
      </c>
      <c r="AZ491" s="53">
        <v>0.9</v>
      </c>
      <c r="BA491" s="53">
        <v>0.93</v>
      </c>
      <c r="BB491" s="53">
        <v>0.85</v>
      </c>
      <c r="BC491" s="53">
        <v>0.89</v>
      </c>
      <c r="BD491" s="53">
        <v>0.93</v>
      </c>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0"/>
      <c r="CA491" s="30"/>
      <c r="CB491" s="30"/>
      <c r="CC491" s="30"/>
      <c r="CD491" s="30"/>
      <c r="CE491" s="30"/>
      <c r="CF491" s="30"/>
      <c r="CG491" s="30"/>
      <c r="CH491" s="30"/>
      <c r="CI491" s="30"/>
      <c r="CJ491" s="30"/>
      <c r="CK491" s="30"/>
      <c r="CL491" s="30"/>
      <c r="CM491" s="30"/>
      <c r="CN491" s="30"/>
      <c r="CO491" s="30"/>
      <c r="CP491" s="30"/>
      <c r="CQ491" s="30"/>
      <c r="CR491" s="1"/>
      <c r="CS491" s="1"/>
      <c r="CT491" s="1"/>
      <c r="CU491" s="1"/>
    </row>
    <row r="492" spans="1:99" s="13" customFormat="1" ht="12" customHeight="1" x14ac:dyDescent="0.2">
      <c r="A492" s="68">
        <v>43976</v>
      </c>
      <c r="B492" s="70"/>
      <c r="C492" s="70"/>
      <c r="D492" s="69"/>
      <c r="E492" s="87"/>
      <c r="F492" s="69"/>
      <c r="G492" s="69"/>
      <c r="H492" s="69"/>
      <c r="I492" s="69"/>
      <c r="J492" s="69"/>
      <c r="K492" s="69"/>
      <c r="L492" s="69"/>
      <c r="M492" s="69"/>
      <c r="N492" s="92"/>
      <c r="O492" s="69"/>
      <c r="P492" s="69"/>
      <c r="Q492" s="69"/>
      <c r="R492" s="69"/>
      <c r="S492" s="69"/>
      <c r="T492" s="92"/>
      <c r="U492" s="69"/>
      <c r="V492" s="92"/>
      <c r="W492" s="69"/>
      <c r="X492" s="69"/>
      <c r="Y492" s="87"/>
      <c r="Z492" s="92"/>
      <c r="AA492" s="69"/>
      <c r="AB492" s="69"/>
      <c r="AC492" s="72"/>
      <c r="AD492" s="69"/>
      <c r="AE492" s="87"/>
      <c r="AF492" s="88"/>
      <c r="AG492" s="72"/>
      <c r="AH492" s="4"/>
      <c r="AI492" s="72"/>
      <c r="AJ492" s="110"/>
      <c r="AK492" s="72"/>
      <c r="AL492" s="72"/>
      <c r="AM492" s="72"/>
      <c r="AN492" s="72"/>
      <c r="AO492" s="89"/>
      <c r="AP492" s="89"/>
      <c r="AQ492" s="90"/>
      <c r="AR492" s="117"/>
      <c r="AS492" s="91"/>
      <c r="AT492" s="91"/>
      <c r="AU492" s="4"/>
      <c r="AV492" s="96">
        <f>60*30</f>
        <v>1800</v>
      </c>
      <c r="AW492" s="96">
        <f>60*90</f>
        <v>5400</v>
      </c>
      <c r="AX492" s="96">
        <f>60*60*24*7</f>
        <v>604800</v>
      </c>
      <c r="AY492" s="27"/>
      <c r="AZ492" s="53"/>
      <c r="BA492" s="53"/>
      <c r="BB492" s="53"/>
      <c r="BC492" s="53"/>
      <c r="BD492" s="53"/>
      <c r="BE492" s="53"/>
      <c r="BF492" s="53"/>
      <c r="BG492" s="53"/>
      <c r="BH492" s="53"/>
      <c r="BI492" s="53"/>
      <c r="BJ492" s="53"/>
      <c r="BK492" s="53"/>
      <c r="BL492" s="53"/>
      <c r="BM492" s="53"/>
      <c r="BN492" s="53"/>
      <c r="BO492" s="53"/>
      <c r="BP492" s="53"/>
      <c r="BQ492" s="53"/>
      <c r="BR492" s="53"/>
      <c r="BS492" s="53"/>
      <c r="BT492" s="53"/>
      <c r="BU492" s="53"/>
      <c r="BV492" s="53"/>
      <c r="BW492" s="53"/>
      <c r="BX492" s="53"/>
      <c r="BY492" s="53"/>
      <c r="BZ492" s="53"/>
      <c r="CA492" s="53"/>
      <c r="CB492" s="53"/>
      <c r="CC492" s="53"/>
      <c r="CD492" s="53"/>
      <c r="CE492" s="53"/>
      <c r="CF492" s="53"/>
      <c r="CG492" s="53"/>
      <c r="CH492" s="53"/>
      <c r="CI492" s="53"/>
      <c r="CJ492" s="53"/>
      <c r="CK492" s="53"/>
      <c r="CL492" s="53"/>
      <c r="CM492" s="53"/>
      <c r="CN492" s="53"/>
      <c r="CO492" s="53"/>
      <c r="CP492" s="53"/>
      <c r="CQ492" s="53"/>
      <c r="CR492" s="1"/>
      <c r="CS492" s="1"/>
      <c r="CT492" s="1"/>
      <c r="CU492" s="1"/>
    </row>
    <row r="493" spans="1:99" s="13" customFormat="1" ht="12" customHeight="1" x14ac:dyDescent="0.2">
      <c r="A493" s="68">
        <v>43976</v>
      </c>
      <c r="B493" s="70" t="s">
        <v>925</v>
      </c>
      <c r="C493" s="70" t="s">
        <v>926</v>
      </c>
      <c r="D493" s="69">
        <v>2001</v>
      </c>
      <c r="E493" s="87">
        <v>1</v>
      </c>
      <c r="F493" s="69">
        <v>20</v>
      </c>
      <c r="G493" s="69">
        <v>20</v>
      </c>
      <c r="H493" s="69" t="s">
        <v>41</v>
      </c>
      <c r="I493" s="69" t="s">
        <v>330</v>
      </c>
      <c r="J493" s="69" t="s">
        <v>16</v>
      </c>
      <c r="K493" s="69">
        <f>IF(J493="syllables",1,IF(J493="trigrams",2,IF(J493="strings",3,IF(J493="visual array",4,IF(J493="characters",5,IF(J493="letters",6,IF(J493="free forms",7,IF(J493="odors",8,IF(J493="words",9,IF(J493="pictures",10,IF(J493="object pictures",11,IF(J493="faces",12,IF(J493="names",13,IF(J493="idioms",14,IF(J493="grades",15,IF(J493="syllable-digit pairs",16,IF(J493="trigram-word pairs",17,IF(J493="word-digit pairs",18,IF(J493="English-Swahili pairs",19,IF(J493="spatial position",20,IF(J493="word pairs",21,IF(J493="word triads",22,IF(J493="generated words",23,IF(J493="word definition pairs",24,IF(J493="math problems",25,IF(J493="famous faces",26,IF(J493="famous names",27,IF(J493="famous voices",28,IF(J493="television programs",29,IF(J493="race horses",30,IF(J493="new vocabulary",31,IF(J493="sentences",32,IF(J493="concepts",33,IF(J493="ad slides",34,IF(J493="scenes",35,IF(J493="famous scenes",36,IF(J493="poems",37,IF(J493="walk",38,IF(J493="faces and events",39,IF(J493="events and names",40,IF(J493="flashbulb",41,IF(J493="stories",42,IF(J493="course material",43,IF(J493="autobiographical",44,IF(J493="novels",45,IF(J493="public events",46,"99"))))))))))))))))))))))))))))))))))))))))))))))</f>
        <v>9</v>
      </c>
      <c r="L493" s="69">
        <f>IF(J493="syllables",1,IF(J493="trigrams",1,IF(J493="strings",1,IF(J493="visual array",1,IF(J493="characters",1,IF(J493="letters",1,IF(J493="free forms",1,IF(J493="odors",2,IF(J493="words",2,IF(J493="pictures",2,IF(J493="object pictures",2,IF(J493="faces",2,IF(J493="names",2,IF(J493="idioms","2",IF(J493="grades",2,IF(J493="syllable-digit pairs",3,IF(J493="trigram-word pairs",3,IF(J493="word-digit pairs",3,IF(J493="English-Swahili pairs",3,IF(J493="spatial position",3,IF(J493="word pairs",4,IF(J493="word triads",4,IF(J493="generated words",4,IF(J493="word definition pairs",4,IF(J493="math problems",4,IF(J493="famous faces",4,IF(J493="famous names",4,IF(J493="famous voices",4,IF(J493="television programs",4,IF(J493="race horses",4,IF(J493="new vocabulary",4,IF(J493="sentences",5,IF(J493="concepts",5,IF(J493="ad slides",5,IF(J493="scenes",5,IF(J493="famous scenes",5,IF(J493="poems",6,IF(J493="walk",6,IF(J493="faces and events",6,IF(J493="events and names",6,IF(J493="flashbulb",7,IF(J493="stories",7,IF(J493="course material",7,IF(J493="autobiographical",7,IF(J493="novels",7,IF(J493="public events",7,"99"))))))))))))))))))))))))))))))))))))))))))))))</f>
        <v>2</v>
      </c>
      <c r="M493" s="69">
        <v>1</v>
      </c>
      <c r="N493" s="69">
        <v>2</v>
      </c>
      <c r="O493" s="69">
        <v>0</v>
      </c>
      <c r="P493" s="69"/>
      <c r="Q493" s="69" t="s">
        <v>174</v>
      </c>
      <c r="R493" s="69">
        <f>IF(Q493="Free Recall",1,IF(Q493="Cued Recall",2,IF(Q493="Recognition",3,IF(Q493="Multiple Choice",4,IF(Q493="Savings",5,IF(Q493="Stem Completion",6,IF(Q493="Fragment Completion",7,IF(Q493="anagram solution",8,IF(Q493="Matching",9,IF(Q493="Problem Solving",10,"99"))))))))))</f>
        <v>1</v>
      </c>
      <c r="S493" s="69" t="s">
        <v>15</v>
      </c>
      <c r="T493" s="92" t="s">
        <v>581</v>
      </c>
      <c r="U493" s="69">
        <f>IF(T493="within",1,0)</f>
        <v>1</v>
      </c>
      <c r="V493" s="92">
        <v>10</v>
      </c>
      <c r="W493" s="69">
        <f>F493*V493</f>
        <v>200</v>
      </c>
      <c r="X493" s="69">
        <v>3</v>
      </c>
      <c r="Y493" s="87">
        <f>AV492</f>
        <v>1800</v>
      </c>
      <c r="Z493" s="69" t="s">
        <v>150</v>
      </c>
      <c r="AA493" s="69">
        <f>60*60*24*7</f>
        <v>604800</v>
      </c>
      <c r="AB493" s="69" t="str">
        <f>IF(AA493&lt;60,"1",IF(AA493&lt;=43200,"2",IF(AA493&lt;=777600,"3","4")))</f>
        <v>3</v>
      </c>
      <c r="AC493" s="72">
        <f>AVERAGE(AV492:DA492)</f>
        <v>204000</v>
      </c>
      <c r="AD493" s="69" t="str">
        <f>IF(AC493&lt;60,"1",IF(AC493&lt;=43200,"2",IF(AC493&lt;=777600,"3","4")))</f>
        <v>3</v>
      </c>
      <c r="AE493" s="87">
        <f>AA493-Y493</f>
        <v>603000</v>
      </c>
      <c r="AF493" s="88">
        <f>AV493</f>
        <v>0.97328731631144993</v>
      </c>
      <c r="AG493" s="72">
        <f>((AW493-AV493)+(AX493-AW493))/2</f>
        <v>-5.8959435154804951E-2</v>
      </c>
      <c r="AH493" s="4"/>
      <c r="AI493" s="72">
        <f>RSQ(AV493:AX493,AV492:AX492)</f>
        <v>0.98905597088703434</v>
      </c>
      <c r="AJ493" s="110">
        <f>SLOPE(AV493:AX493,AV492:AX492)</f>
        <v>-1.8448341561964356E-7</v>
      </c>
      <c r="AK493" s="72">
        <f>INTERCEPT(AV493:AX493,AV492:AX492)</f>
        <v>0.96690368120249193</v>
      </c>
      <c r="AL493" s="72">
        <f>INDEX(LINEST(LN(AV493:AX493),LN(AV492:AX492),TRUE,TRUE),3,1)</f>
        <v>0.99437660899412406</v>
      </c>
      <c r="AM493" s="72">
        <f>INDEX(LINEST(LN(AV493:AX493),LN(AV492:AX492)),1)</f>
        <v>-2.2817715052872257E-2</v>
      </c>
      <c r="AN493" s="72">
        <f>EXP(INDEX(LINEST(LN(AV493:AX493),LN(AV492:AX492)),1,2))</f>
        <v>1.1602433075741063</v>
      </c>
      <c r="AO493" s="89">
        <f>INDEX(LINEST((AV493:AX493),LN(AV492:AX492),TRUE,TRUE),3,1)</f>
        <v>0.99528855616101097</v>
      </c>
      <c r="AP493" s="89">
        <f>INDEX(LINEST((AV493:AX493),LN(AV492:AX492)),1)</f>
        <v>-2.0784814241122149E-2</v>
      </c>
      <c r="AQ493" s="90">
        <f>INDEX(LINEST(LN(AV493:AX493),SQRT(AV492:AX492),TRUE,TRUE),3,1)</f>
        <v>0.99561449054448981</v>
      </c>
      <c r="AR493" s="117">
        <f>INDEX(LINEST(LN(AV493:AX493),SQRT((AV492:AX492))),1)</f>
        <v>-1.6969447326422975E-4</v>
      </c>
      <c r="AS493" s="91">
        <f>INDEX(LINEST(1/(AV493:AX493),1/(SQRT(AV492:AX492)),TRUE,TRUE),3,1)</f>
        <v>0.87257598641827316</v>
      </c>
      <c r="AT493" s="91">
        <f>INDEX(LINEST(1/(AV493:AX493),1/SQRT(AV492:AX492)),1)</f>
        <v>-6.5081679223220013</v>
      </c>
      <c r="AU493" s="4"/>
      <c r="AV493" s="95">
        <v>0.97328731631144993</v>
      </c>
      <c r="AW493" s="95">
        <v>0.95915143093496391</v>
      </c>
      <c r="AX493" s="95">
        <v>0.85536844600184003</v>
      </c>
      <c r="AY493" s="27"/>
      <c r="AZ493" s="53"/>
      <c r="BA493" s="53"/>
      <c r="BB493" s="53"/>
      <c r="BC493" s="53"/>
      <c r="BD493" s="53"/>
      <c r="BE493" s="53"/>
      <c r="BF493" s="53"/>
      <c r="BG493" s="53"/>
      <c r="BH493" s="53"/>
      <c r="BI493" s="53"/>
      <c r="BJ493" s="53"/>
      <c r="BK493" s="53"/>
      <c r="BL493" s="53"/>
      <c r="BM493" s="53"/>
      <c r="BN493" s="53"/>
      <c r="BO493" s="53"/>
      <c r="BP493" s="53"/>
      <c r="BQ493" s="53"/>
      <c r="BR493" s="53"/>
      <c r="BS493" s="53"/>
      <c r="BT493" s="53"/>
      <c r="BU493" s="53"/>
      <c r="BV493" s="53"/>
      <c r="BW493" s="53"/>
      <c r="BX493" s="53"/>
      <c r="BY493" s="53"/>
      <c r="BZ493" s="53"/>
      <c r="CA493" s="53"/>
      <c r="CB493" s="53"/>
      <c r="CC493" s="53"/>
      <c r="CD493" s="53"/>
      <c r="CE493" s="53"/>
      <c r="CF493" s="53"/>
      <c r="CG493" s="53"/>
      <c r="CH493" s="53"/>
      <c r="CI493" s="53"/>
      <c r="CJ493" s="53"/>
      <c r="CK493" s="53"/>
      <c r="CL493" s="53"/>
      <c r="CM493" s="53"/>
      <c r="CN493" s="53"/>
      <c r="CO493" s="53"/>
      <c r="CP493" s="53"/>
      <c r="CQ493" s="53"/>
      <c r="CR493" s="1"/>
      <c r="CS493" s="1"/>
      <c r="CT493" s="1"/>
      <c r="CU493" s="1"/>
    </row>
    <row r="494" spans="1:99" s="13" customFormat="1" ht="12" customHeight="1" x14ac:dyDescent="0.2">
      <c r="A494" s="68">
        <v>43976</v>
      </c>
      <c r="B494" s="70"/>
      <c r="C494" s="70"/>
      <c r="D494" s="69"/>
      <c r="E494" s="87"/>
      <c r="F494" s="69"/>
      <c r="G494" s="69"/>
      <c r="H494" s="69"/>
      <c r="I494" s="69"/>
      <c r="J494" s="69"/>
      <c r="K494" s="69"/>
      <c r="L494" s="69"/>
      <c r="M494" s="69"/>
      <c r="N494" s="92"/>
      <c r="O494" s="69"/>
      <c r="P494" s="69"/>
      <c r="Q494" s="69"/>
      <c r="R494" s="69"/>
      <c r="S494" s="69"/>
      <c r="T494" s="92"/>
      <c r="U494" s="69"/>
      <c r="V494" s="92"/>
      <c r="W494" s="69"/>
      <c r="X494" s="69"/>
      <c r="Y494" s="87"/>
      <c r="Z494" s="92"/>
      <c r="AA494" s="69"/>
      <c r="AB494" s="69"/>
      <c r="AC494" s="72"/>
      <c r="AD494" s="69"/>
      <c r="AE494" s="87"/>
      <c r="AF494" s="88"/>
      <c r="AG494" s="72"/>
      <c r="AH494" s="4"/>
      <c r="AI494" s="72"/>
      <c r="AJ494" s="110"/>
      <c r="AK494" s="72"/>
      <c r="AL494" s="72"/>
      <c r="AM494" s="72"/>
      <c r="AN494" s="72"/>
      <c r="AO494" s="89"/>
      <c r="AP494" s="89"/>
      <c r="AQ494" s="90"/>
      <c r="AR494" s="117"/>
      <c r="AS494" s="91"/>
      <c r="AT494" s="91"/>
      <c r="AU494" s="4"/>
      <c r="AV494" s="96">
        <f>60*30</f>
        <v>1800</v>
      </c>
      <c r="AW494" s="96">
        <f>60*90</f>
        <v>5400</v>
      </c>
      <c r="AX494" s="96">
        <f>60*60*24*7</f>
        <v>604800</v>
      </c>
      <c r="AY494" s="27"/>
      <c r="AZ494" s="53"/>
      <c r="BA494" s="53"/>
      <c r="BB494" s="53"/>
      <c r="BC494" s="53"/>
      <c r="BD494" s="53"/>
      <c r="BE494" s="53"/>
      <c r="BF494" s="53"/>
      <c r="BG494" s="53"/>
      <c r="BH494" s="53"/>
      <c r="BI494" s="53"/>
      <c r="BJ494" s="53"/>
      <c r="BK494" s="53"/>
      <c r="BL494" s="53"/>
      <c r="BM494" s="53"/>
      <c r="BN494" s="53"/>
      <c r="BO494" s="53"/>
      <c r="BP494" s="53"/>
      <c r="BQ494" s="53"/>
      <c r="BR494" s="53"/>
      <c r="BS494" s="53"/>
      <c r="BT494" s="53"/>
      <c r="BU494" s="53"/>
      <c r="BV494" s="53"/>
      <c r="BW494" s="53"/>
      <c r="BX494" s="53"/>
      <c r="BY494" s="53"/>
      <c r="BZ494" s="53"/>
      <c r="CA494" s="53"/>
      <c r="CB494" s="53"/>
      <c r="CC494" s="53"/>
      <c r="CD494" s="53"/>
      <c r="CE494" s="53"/>
      <c r="CF494" s="53"/>
      <c r="CG494" s="53"/>
      <c r="CH494" s="53"/>
      <c r="CI494" s="53"/>
      <c r="CJ494" s="53"/>
      <c r="CK494" s="53"/>
      <c r="CL494" s="53"/>
      <c r="CM494" s="53"/>
      <c r="CN494" s="53"/>
      <c r="CO494" s="53"/>
      <c r="CP494" s="53"/>
      <c r="CQ494" s="53"/>
      <c r="CR494" s="1"/>
      <c r="CS494" s="1"/>
      <c r="CT494" s="1"/>
      <c r="CU494" s="1"/>
    </row>
    <row r="495" spans="1:99" s="13" customFormat="1" ht="12" customHeight="1" x14ac:dyDescent="0.2">
      <c r="A495" s="68">
        <v>43976</v>
      </c>
      <c r="B495" s="70" t="s">
        <v>925</v>
      </c>
      <c r="C495" s="70" t="s">
        <v>926</v>
      </c>
      <c r="D495" s="69">
        <v>2001</v>
      </c>
      <c r="E495" s="87">
        <v>1</v>
      </c>
      <c r="F495" s="69">
        <v>20</v>
      </c>
      <c r="G495" s="69">
        <v>20</v>
      </c>
      <c r="H495" s="69" t="s">
        <v>927</v>
      </c>
      <c r="I495" s="69" t="s">
        <v>330</v>
      </c>
      <c r="J495" s="69" t="s">
        <v>16</v>
      </c>
      <c r="K495" s="69">
        <f>IF(J495="syllables",1,IF(J495="trigrams",2,IF(J495="strings",3,IF(J495="visual array",4,IF(J495="characters",5,IF(J495="letters",6,IF(J495="free forms",7,IF(J495="odors",8,IF(J495="words",9,IF(J495="pictures",10,IF(J495="object pictures",11,IF(J495="faces",12,IF(J495="names",13,IF(J495="idioms",14,IF(J495="grades",15,IF(J495="syllable-digit pairs",16,IF(J495="trigram-word pairs",17,IF(J495="word-digit pairs",18,IF(J495="English-Swahili pairs",19,IF(J495="spatial position",20,IF(J495="word pairs",21,IF(J495="word triads",22,IF(J495="generated words",23,IF(J495="word definition pairs",24,IF(J495="math problems",25,IF(J495="famous faces",26,IF(J495="famous names",27,IF(J495="famous voices",28,IF(J495="television programs",29,IF(J495="race horses",30,IF(J495="new vocabulary",31,IF(J495="sentences",32,IF(J495="concepts",33,IF(J495="ad slides",34,IF(J495="scenes",35,IF(J495="famous scenes",36,IF(J495="poems",37,IF(J495="walk",38,IF(J495="faces and events",39,IF(J495="events and names",40,IF(J495="flashbulb",41,IF(J495="stories",42,IF(J495="course material",43,IF(J495="autobiographical",44,IF(J495="novels",45,IF(J495="public events",46,"99"))))))))))))))))))))))))))))))))))))))))))))))</f>
        <v>9</v>
      </c>
      <c r="L495" s="69">
        <f>IF(J495="syllables",1,IF(J495="trigrams",1,IF(J495="strings",1,IF(J495="visual array",1,IF(J495="characters",1,IF(J495="letters",1,IF(J495="free forms",1,IF(J495="odors",2,IF(J495="words",2,IF(J495="pictures",2,IF(J495="object pictures",2,IF(J495="faces",2,IF(J495="names",2,IF(J495="idioms","2",IF(J495="grades",2,IF(J495="syllable-digit pairs",3,IF(J495="trigram-word pairs",3,IF(J495="word-digit pairs",3,IF(J495="English-Swahili pairs",3,IF(J495="spatial position",3,IF(J495="word pairs",4,IF(J495="word triads",4,IF(J495="generated words",4,IF(J495="word definition pairs",4,IF(J495="math problems",4,IF(J495="famous faces",4,IF(J495="famous names",4,IF(J495="famous voices",4,IF(J495="television programs",4,IF(J495="race horses",4,IF(J495="new vocabulary",4,IF(J495="sentences",5,IF(J495="concepts",5,IF(J495="ad slides",5,IF(J495="scenes",5,IF(J495="famous scenes",5,IF(J495="poems",6,IF(J495="walk",6,IF(J495="faces and events",6,IF(J495="events and names",6,IF(J495="flashbulb",7,IF(J495="stories",7,IF(J495="course material",7,IF(J495="autobiographical",7,IF(J495="novels",7,IF(J495="public events",7,"99"))))))))))))))))))))))))))))))))))))))))))))))</f>
        <v>2</v>
      </c>
      <c r="M495" s="69">
        <v>1</v>
      </c>
      <c r="N495" s="69">
        <v>2</v>
      </c>
      <c r="O495" s="69">
        <v>0</v>
      </c>
      <c r="P495" s="69"/>
      <c r="Q495" s="69" t="s">
        <v>182</v>
      </c>
      <c r="R495" s="69">
        <f>IF(Q495="Free Recall",1,IF(Q495="Cued Recall",2,IF(Q495="Recognition",3,IF(Q495="Multiple Choice",4,IF(Q495="Savings",5,IF(Q495="Stem Completion",6,IF(Q495="Fragment Completion",7,IF(Q495="anagram solution",8,IF(Q495="Matching",9,IF(Q495="Problem Solving",10,"99"))))))))))</f>
        <v>4</v>
      </c>
      <c r="S495" s="69" t="s">
        <v>15</v>
      </c>
      <c r="T495" s="92" t="s">
        <v>581</v>
      </c>
      <c r="U495" s="69">
        <f>IF(T495="within",1,0)</f>
        <v>1</v>
      </c>
      <c r="V495" s="92">
        <v>10</v>
      </c>
      <c r="W495" s="69">
        <f>F495*V495</f>
        <v>200</v>
      </c>
      <c r="X495" s="69">
        <v>3</v>
      </c>
      <c r="Y495" s="87">
        <f>AV494</f>
        <v>1800</v>
      </c>
      <c r="Z495" s="69" t="s">
        <v>150</v>
      </c>
      <c r="AA495" s="69">
        <f>60*60*24*7</f>
        <v>604800</v>
      </c>
      <c r="AB495" s="69" t="str">
        <f>IF(AA495&lt;60,"1",IF(AA495&lt;=43200,"2",IF(AA495&lt;=777600,"3","4")))</f>
        <v>3</v>
      </c>
      <c r="AC495" s="72">
        <f>AVERAGE(AV494:DA494)</f>
        <v>204000</v>
      </c>
      <c r="AD495" s="69" t="str">
        <f>IF(AC495&lt;60,"1",IF(AC495&lt;=43200,"2",IF(AC495&lt;=777600,"3","4")))</f>
        <v>3</v>
      </c>
      <c r="AE495" s="87">
        <f>AA495-Y495</f>
        <v>603000</v>
      </c>
      <c r="AF495" s="88">
        <f>AV495</f>
        <v>0.95899999999999996</v>
      </c>
      <c r="AG495" s="72">
        <f>((AW495-AV495)+(AX495-AW495))/2</f>
        <v>-9.7999999999999976E-2</v>
      </c>
      <c r="AH495" s="4"/>
      <c r="AI495" s="72">
        <f>RSQ(AV495:AX495,AV494:AX494)</f>
        <v>0.98745089735245806</v>
      </c>
      <c r="AJ495" s="110">
        <f>SLOPE(AV495:AX495,AV494:AX494)</f>
        <v>-3.0540142684837418E-7</v>
      </c>
      <c r="AK495" s="72">
        <f>INTERCEPT(AV495:AX495,AV494:AX494)</f>
        <v>0.94763522441040171</v>
      </c>
      <c r="AL495" s="72">
        <f>INDEX(LINEST(LN(AV495:AX495),LN(AV494:AX494),TRUE,TRUE),3,1)</f>
        <v>0.99469600356333077</v>
      </c>
      <c r="AM495" s="72">
        <f>INDEX(LINEST(LN(AV495:AX495),LN(AV494:AX494)),1)</f>
        <v>-4.0362451579561136E-2</v>
      </c>
      <c r="AN495" s="72">
        <f>EXP(INDEX(LINEST(LN(AV495:AX495),LN(AV494:AX494)),1,2))</f>
        <v>1.308267228802461</v>
      </c>
      <c r="AO495" s="89">
        <f>INDEX(LINEST((AV495:AX495),LN(AV494:AX494),TRUE,TRUE),3,1)</f>
        <v>0.99625422144313158</v>
      </c>
      <c r="AP495" s="89">
        <f>INDEX(LINEST((AV495:AX495),LN(AV494:AX494)),1)</f>
        <v>-3.4452690332818843E-2</v>
      </c>
      <c r="AQ495" s="90">
        <f>INDEX(LINEST(LN(AV495:AX495),SQRT(AV494:AX494),TRUE,TRUE),3,1)</f>
        <v>0.99532350226092892</v>
      </c>
      <c r="AR495" s="117">
        <f>INDEX(LINEST(LN(AV495:AX495),SQRT((AV494:AX494))),1)</f>
        <v>-3.0008194855464732E-4</v>
      </c>
      <c r="AS495" s="91">
        <f>INDEX(LINEST(1/(AV495:AX495),1/(SQRT(AV494:AX494)),TRUE,TRUE),3,1)</f>
        <v>0.8708437058504227</v>
      </c>
      <c r="AT495" s="91">
        <f>INDEX(LINEST(1/(AV495:AX495),1/SQRT(AV494:AX494)),1)</f>
        <v>-12.310153428749381</v>
      </c>
      <c r="AU495" s="4"/>
      <c r="AV495" s="95">
        <v>0.95899999999999996</v>
      </c>
      <c r="AW495" s="95">
        <v>0.93400000000000005</v>
      </c>
      <c r="AX495" s="95">
        <v>0.76300000000000001</v>
      </c>
      <c r="AY495" s="27"/>
      <c r="AZ495" s="53"/>
      <c r="BA495" s="53"/>
      <c r="BB495" s="53"/>
      <c r="BC495" s="53"/>
      <c r="BD495" s="53"/>
      <c r="BE495" s="53"/>
      <c r="BF495" s="53"/>
      <c r="BG495" s="53"/>
      <c r="BH495" s="53"/>
      <c r="BI495" s="53"/>
      <c r="BJ495" s="53"/>
      <c r="BK495" s="53"/>
      <c r="BL495" s="53"/>
      <c r="BM495" s="53"/>
      <c r="BN495" s="53"/>
      <c r="BO495" s="53"/>
      <c r="BP495" s="53"/>
      <c r="BQ495" s="53"/>
      <c r="BR495" s="53"/>
      <c r="BS495" s="53"/>
      <c r="BT495" s="53"/>
      <c r="BU495" s="53"/>
      <c r="BV495" s="53"/>
      <c r="BW495" s="53"/>
      <c r="BX495" s="53"/>
      <c r="BY495" s="53"/>
      <c r="BZ495" s="53"/>
      <c r="CA495" s="53"/>
      <c r="CB495" s="53"/>
      <c r="CC495" s="53"/>
      <c r="CD495" s="53"/>
      <c r="CE495" s="53"/>
      <c r="CF495" s="53"/>
      <c r="CG495" s="53"/>
      <c r="CH495" s="53"/>
      <c r="CI495" s="53"/>
      <c r="CJ495" s="53"/>
      <c r="CK495" s="53"/>
      <c r="CL495" s="53"/>
      <c r="CM495" s="53"/>
      <c r="CN495" s="53"/>
      <c r="CO495" s="53"/>
      <c r="CP495" s="53"/>
      <c r="CQ495" s="53"/>
      <c r="CR495" s="1"/>
      <c r="CS495" s="1"/>
      <c r="CT495" s="1"/>
      <c r="CU495" s="1"/>
    </row>
    <row r="496" spans="1:99" s="13" customFormat="1" ht="12" customHeight="1" x14ac:dyDescent="0.2">
      <c r="A496" s="65">
        <v>43509</v>
      </c>
      <c r="B496" s="1"/>
      <c r="C496" s="1"/>
      <c r="D496" s="60"/>
      <c r="E496" s="76"/>
      <c r="F496" s="60"/>
      <c r="G496" s="60"/>
      <c r="H496" s="60"/>
      <c r="I496" s="60"/>
      <c r="J496" s="60"/>
      <c r="K496" s="64"/>
      <c r="L496" s="64"/>
      <c r="M496" s="60"/>
      <c r="N496" s="60"/>
      <c r="O496" s="60"/>
      <c r="P496" s="60"/>
      <c r="Q496" s="60"/>
      <c r="R496" s="60"/>
      <c r="S496" s="60"/>
      <c r="T496" s="60"/>
      <c r="U496" s="60"/>
      <c r="V496" s="60"/>
      <c r="W496" s="60"/>
      <c r="X496" s="60"/>
      <c r="Y496" s="76"/>
      <c r="Z496" s="60"/>
      <c r="AA496" s="60"/>
      <c r="AB496" s="60"/>
      <c r="AC496" s="60"/>
      <c r="AD496" s="60"/>
      <c r="AE496" s="60"/>
      <c r="AF496" s="80"/>
      <c r="AG496" s="56"/>
      <c r="AH496" s="4"/>
      <c r="AI496" s="56"/>
      <c r="AJ496" s="109"/>
      <c r="AK496" s="56"/>
      <c r="AL496" s="56"/>
      <c r="AM496" s="56"/>
      <c r="AN496" s="56"/>
      <c r="AO496" s="56"/>
      <c r="AP496" s="56"/>
      <c r="AQ496" s="56"/>
      <c r="AR496" s="109"/>
      <c r="AS496" s="56"/>
      <c r="AT496" s="56"/>
      <c r="AU496" s="4"/>
      <c r="AV496" s="25">
        <f>10*60</f>
        <v>600</v>
      </c>
      <c r="AW496" s="25">
        <f>60*60</f>
        <v>3600</v>
      </c>
      <c r="AX496" s="25">
        <f>24*60*60</f>
        <v>86400</v>
      </c>
      <c r="AY496" s="25">
        <f>7*24*60*60</f>
        <v>604800</v>
      </c>
      <c r="AZ496" s="25">
        <f>30*24*60*60*1</f>
        <v>2592000</v>
      </c>
      <c r="BA496" s="25">
        <f>30*24*60*60*3</f>
        <v>7776000</v>
      </c>
      <c r="BB496" s="4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1"/>
      <c r="CS496" s="1"/>
      <c r="CT496" s="1"/>
      <c r="CU496" s="1"/>
    </row>
    <row r="497" spans="1:99" s="13" customFormat="1" ht="12" customHeight="1" x14ac:dyDescent="0.2">
      <c r="A497" s="65">
        <v>43509</v>
      </c>
      <c r="B497" s="22" t="s">
        <v>178</v>
      </c>
      <c r="C497" s="1" t="s">
        <v>75</v>
      </c>
      <c r="D497" s="60">
        <v>1976</v>
      </c>
      <c r="E497" s="76">
        <v>1</v>
      </c>
      <c r="F497" s="60">
        <v>124</v>
      </c>
      <c r="G497" s="60">
        <v>20.7</v>
      </c>
      <c r="H497" s="60" t="s">
        <v>41</v>
      </c>
      <c r="I497" s="60" t="s">
        <v>16</v>
      </c>
      <c r="J497" s="60" t="s">
        <v>16</v>
      </c>
      <c r="K497" s="60">
        <f>IF(J497="syllables",1,IF(J497="trigrams",2,IF(J497="strings",3,IF(J497="visual array",4,IF(J497="characters",5,IF(J497="letters",6,IF(J497="free forms",7,IF(J497="odors",8,IF(J497="words",9,IF(J497="pictures",10,IF(J497="object pictures",11,IF(J497="faces",12,IF(J497="names",13,IF(J497="idioms",14,IF(J497="grades",15,IF(J497="syllable-digit pairs",16,IF(J497="trigram-word pairs",17,IF(J497="word-digit pairs",18,IF(J497="English-Swahili pairs",19,IF(J497="spatial position",20,IF(J497="word pairs",21,IF(J497="word triads",22,IF(J497="generated words",23,IF(J497="word definition pairs",24,IF(J497="math problems",25,IF(J497="famous faces",26,IF(J497="famous names",27,IF(J497="famous voices",28,IF(J497="television programs",29,IF(J497="race horses",30,IF(J497="new vocabulary",31,IF(J497="sentences",32,IF(J497="concepts",33,IF(J497="ad slides",34,IF(J497="scenes",35,IF(J497="famous scenes",36,IF(J497="poems",37,IF(J497="walk",38,IF(J497="faces and events",39,IF(J497="events and names",40,IF(J497="flashbulb",41,IF(J497="stories",42,IF(J497="course material",43,IF(J497="autobiographical",44,IF(J497="novels",45,IF(J497="public events",46,"99"))))))))))))))))))))))))))))))))))))))))))))))</f>
        <v>9</v>
      </c>
      <c r="L497" s="60">
        <f>IF(J497="syllables",1,IF(J497="trigrams",1,IF(J497="strings",1,IF(J497="visual array",1,IF(J497="characters",1,IF(J497="letters",1,IF(J497="free forms",1,IF(J497="odors",2,IF(J497="words",2,IF(J497="pictures",2,IF(J497="object pictures",2,IF(J497="faces",2,IF(J497="names",2,IF(J497="idioms","2",IF(J497="grades",2,IF(J497="syllable-digit pairs",3,IF(J497="trigram-word pairs",3,IF(J497="word-digit pairs",3,IF(J497="English-Swahili pairs",3,IF(J497="spatial position",3,IF(J497="word pairs",4,IF(J497="word triads",4,IF(J497="generated words",4,IF(J497="word definition pairs",4,IF(J497="math problems",4,IF(J497="famous faces",4,IF(J497="famous names",4,IF(J497="famous voices",4,IF(J497="television programs",4,IF(J497="race horses",4,IF(J497="new vocabulary",4,IF(J497="sentences",5,IF(J497="concepts",5,IF(J497="ad slides",5,IF(J497="scenes",5,IF(J497="famous scenes",5,IF(J497="poems",6,IF(J497="walk",6,IF(J497="faces and events",6,IF(J497="events and names",6,IF(J497="flashbulb",7,IF(J497="stories",7,IF(J497="course material",7,IF(J497="autobiographical",7,IF(J497="novels",7,IF(J497="public events",7,"99"))))))))))))))))))))))))))))))))))))))))))))))</f>
        <v>2</v>
      </c>
      <c r="M497" s="60">
        <v>0</v>
      </c>
      <c r="N497" s="60">
        <v>1</v>
      </c>
      <c r="O497" s="60">
        <v>0</v>
      </c>
      <c r="P497" s="60"/>
      <c r="Q497" s="60" t="s">
        <v>34</v>
      </c>
      <c r="R497" s="60">
        <f>IF(Q497="Free Recall",1,IF(Q497="Cued Recall",2,IF(Q497="Recognition",3,IF(Q497="Multiple Choice",4,IF(Q497="Savings",5,IF(Q497="Stem Completion",6,IF(Q497="Fragment Completion",7,IF(Q497="anagram solution",8,IF(Q497="Matching",9,IF(Q497="Problem Solving",10,"99"))))))))))</f>
        <v>3</v>
      </c>
      <c r="S497" s="60" t="s">
        <v>15</v>
      </c>
      <c r="T497" s="60" t="s">
        <v>261</v>
      </c>
      <c r="U497" s="60">
        <f>IF(T497="within",1,0)</f>
        <v>0</v>
      </c>
      <c r="V497" s="60">
        <v>70</v>
      </c>
      <c r="W497" s="60">
        <f>F497*V497</f>
        <v>8680</v>
      </c>
      <c r="X497" s="60">
        <v>6</v>
      </c>
      <c r="Y497" s="76">
        <f>AV496</f>
        <v>600</v>
      </c>
      <c r="Z497" s="60" t="s">
        <v>179</v>
      </c>
      <c r="AA497" s="60">
        <v>7776000</v>
      </c>
      <c r="AB497" s="60" t="str">
        <f>IF(AA497&lt;60,"1",IF(AA497&lt;=43200,"2",IF(AA497&lt;=777600,"3","4")))</f>
        <v>4</v>
      </c>
      <c r="AC497" s="56">
        <f>AVERAGE(AV496:DA496)</f>
        <v>1843900</v>
      </c>
      <c r="AD497" s="60" t="str">
        <f>IF(AC497&lt;60,"1",IF(AC497&lt;=43200,"2",IF(AC497&lt;=777600,"3","4")))</f>
        <v>4</v>
      </c>
      <c r="AE497" s="76">
        <f>AA497-Y497</f>
        <v>7775400</v>
      </c>
      <c r="AF497" s="80">
        <f>AV497</f>
        <v>0.52400000000000002</v>
      </c>
      <c r="AG497" s="56">
        <f>((AW497-AV497)+(AX497-AW497)+(AY497-AX497)+(AZ497-AY497)+(BA497-AZ497))/5</f>
        <v>-7.4800000000000005E-2</v>
      </c>
      <c r="AH497" s="4"/>
      <c r="AI497" s="56">
        <f>RSQ(AV497:BA497,AV496:BA496)</f>
        <v>0.51198298856257207</v>
      </c>
      <c r="AJ497" s="109">
        <f>SLOPE(AV497:BA497,AV496:BA496)</f>
        <v>-3.6021696588329291E-8</v>
      </c>
      <c r="AK497" s="56">
        <f>INTERCEPT(AV497:BA497,AV496:BA496)</f>
        <v>0.38058707300588701</v>
      </c>
      <c r="AL497" s="56">
        <f>INDEX(LINEST(LN(AV497:BA497),LN(AV496:BA496),TRUE,TRUE),3,1)</f>
        <v>0.95727869668187693</v>
      </c>
      <c r="AM497" s="56">
        <f>INDEX(LINEST(LN(AV497:BA497),LN(AV496:BA496)),1)</f>
        <v>-0.13643061076973123</v>
      </c>
      <c r="AN497" s="56">
        <f>EXP(INDEX(LINEST(LN(AV497:BA497),LN(AV496:BA496)),1,2))</f>
        <v>1.380434283147109</v>
      </c>
      <c r="AO497" s="82">
        <f>INDEX(LINEST((AV497:BA497),LN(AV496:BA496),TRUE,TRUE),3,1)</f>
        <v>0.98923303792230832</v>
      </c>
      <c r="AP497" s="82">
        <f>INDEX(LINEST((AV497:BA497),LN(AV496:BA496)),1)</f>
        <v>-4.1120673523316026E-2</v>
      </c>
      <c r="AQ497" s="83">
        <f>INDEX(LINEST(LN(AV497:BA497),SQRT(AV496:BA496),TRUE,TRUE),3,1)</f>
        <v>0.8504494173796785</v>
      </c>
      <c r="AR497" s="116">
        <f>INDEX(LINEST(LN(AV497:BA497),SQRT((AV496:BA496))),1)</f>
        <v>-4.4189658231641091E-4</v>
      </c>
      <c r="AS497" s="84">
        <f>INDEX(LINEST(1/(AV497:BA497),1/(SQRT(AV496:BA496)),TRUE,TRUE),3,1)</f>
        <v>0.51048555523026073</v>
      </c>
      <c r="AT497" s="84">
        <f>INDEX(LINEST(1/(AV497:BA497),1/SQRT(AV496:BA496)),1)</f>
        <v>-88.71533930743648</v>
      </c>
      <c r="AU497" s="3"/>
      <c r="AV497" s="53">
        <v>0.52400000000000002</v>
      </c>
      <c r="AW497" s="53">
        <v>0.45400000000000001</v>
      </c>
      <c r="AX497" s="53">
        <v>0.35299999999999998</v>
      </c>
      <c r="AY497" s="53">
        <v>0.23599999999999999</v>
      </c>
      <c r="AZ497" s="53">
        <v>0.16800000000000001</v>
      </c>
      <c r="BA497" s="53">
        <v>0.15</v>
      </c>
      <c r="BB497" s="4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1"/>
      <c r="CS497" s="1"/>
      <c r="CT497" s="1"/>
      <c r="CU497" s="1"/>
    </row>
    <row r="498" spans="1:99" s="13" customFormat="1" ht="12" customHeight="1" x14ac:dyDescent="0.2">
      <c r="A498" s="65">
        <v>43509</v>
      </c>
      <c r="B498" s="1"/>
      <c r="C498" s="1"/>
      <c r="D498" s="60"/>
      <c r="E498" s="76"/>
      <c r="F498" s="60"/>
      <c r="G498" s="60"/>
      <c r="H498" s="60"/>
      <c r="I498" s="60"/>
      <c r="J498" s="60"/>
      <c r="K498" s="64"/>
      <c r="L498" s="64"/>
      <c r="M498" s="60"/>
      <c r="N498" s="60"/>
      <c r="O498" s="60"/>
      <c r="P498" s="60"/>
      <c r="Q498" s="60"/>
      <c r="R498" s="60"/>
      <c r="S498" s="60"/>
      <c r="T498" s="60"/>
      <c r="U498" s="60"/>
      <c r="V498" s="60"/>
      <c r="W498" s="60"/>
      <c r="X498" s="60"/>
      <c r="Y498" s="76"/>
      <c r="Z498" s="60"/>
      <c r="AA498" s="60"/>
      <c r="AB498" s="60"/>
      <c r="AC498" s="60"/>
      <c r="AD498" s="60"/>
      <c r="AE498" s="60"/>
      <c r="AF498" s="80"/>
      <c r="AG498" s="56"/>
      <c r="AH498" s="4"/>
      <c r="AI498" s="56"/>
      <c r="AJ498" s="109"/>
      <c r="AK498" s="56"/>
      <c r="AL498" s="56"/>
      <c r="AM498" s="56"/>
      <c r="AN498" s="56"/>
      <c r="AO498" s="56"/>
      <c r="AP498" s="56"/>
      <c r="AQ498" s="56"/>
      <c r="AR498" s="109"/>
      <c r="AS498" s="56"/>
      <c r="AT498" s="56"/>
      <c r="AU498" s="4"/>
      <c r="AV498" s="25">
        <f>10*60</f>
        <v>600</v>
      </c>
      <c r="AW498" s="25">
        <f>60*60</f>
        <v>3600</v>
      </c>
      <c r="AX498" s="25">
        <f>24*60*60</f>
        <v>86400</v>
      </c>
      <c r="AY498" s="25">
        <f>7*24*60*60</f>
        <v>604800</v>
      </c>
      <c r="AZ498" s="25">
        <f>30*24*60*60*1</f>
        <v>2592000</v>
      </c>
      <c r="BA498" s="25">
        <f>30*24*60*60*3</f>
        <v>7776000</v>
      </c>
      <c r="BB498" s="4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1"/>
      <c r="CS498" s="1"/>
      <c r="CT498" s="1"/>
      <c r="CU498" s="1"/>
    </row>
    <row r="499" spans="1:99" s="13" customFormat="1" ht="12" customHeight="1" x14ac:dyDescent="0.2">
      <c r="A499" s="65">
        <v>43509</v>
      </c>
      <c r="B499" s="1" t="s">
        <v>178</v>
      </c>
      <c r="C499" s="1" t="s">
        <v>75</v>
      </c>
      <c r="D499" s="60">
        <v>1976</v>
      </c>
      <c r="E499" s="76">
        <v>1</v>
      </c>
      <c r="F499" s="60">
        <v>124</v>
      </c>
      <c r="G499" s="60">
        <v>20.7</v>
      </c>
      <c r="H499" s="60" t="s">
        <v>41</v>
      </c>
      <c r="I499" s="60" t="s">
        <v>313</v>
      </c>
      <c r="J499" s="60" t="s">
        <v>313</v>
      </c>
      <c r="K499" s="60">
        <f>IF(J499="syllables",1,IF(J499="trigrams",2,IF(J499="strings",3,IF(J499="visual array",4,IF(J499="characters",5,IF(J499="letters",6,IF(J499="free forms",7,IF(J499="odors",8,IF(J499="words",9,IF(J499="pictures",10,IF(J499="object pictures",11,IF(J499="faces",12,IF(J499="names",13,IF(J499="idioms",14,IF(J499="grades",15,IF(J499="syllable-digit pairs",16,IF(J499="trigram-word pairs",17,IF(J499="word-digit pairs",18,IF(J499="English-Swahili pairs",19,IF(J499="spatial position",20,IF(J499="word pairs",21,IF(J499="word triads",22,IF(J499="generated words",23,IF(J499="word definition pairs",24,IF(J499="math problems",25,IF(J499="famous faces",26,IF(J499="famous names",27,IF(J499="famous voices",28,IF(J499="television programs",29,IF(J499="race horses",30,IF(J499="new vocabulary",31,IF(J499="sentences",32,IF(J499="concepts",33,IF(J499="ad slides",34,IF(J499="scenes",35,IF(J499="famous scenes",36,IF(J499="poems",37,IF(J499="walk",38,IF(J499="faces and events",39,IF(J499="events and names",40,IF(J499="flashbulb",41,IF(J499="stories",42,IF(J499="course material",43,IF(J499="autobiographical",44,IF(J499="novels",45,IF(J499="public events",46,"99"))))))))))))))))))))))))))))))))))))))))))))))</f>
        <v>10</v>
      </c>
      <c r="L499" s="60">
        <f>IF(J499="syllables",1,IF(J499="trigrams",1,IF(J499="strings",1,IF(J499="visual array",1,IF(J499="characters",1,IF(J499="letters",1,IF(J499="free forms",1,IF(J499="odors",2,IF(J499="words",2,IF(J499="pictures",2,IF(J499="object pictures",2,IF(J499="faces",2,IF(J499="names",2,IF(J499="idioms","2",IF(J499="grades",2,IF(J499="syllable-digit pairs",3,IF(J499="trigram-word pairs",3,IF(J499="word-digit pairs",3,IF(J499="English-Swahili pairs",3,IF(J499="spatial position",3,IF(J499="word pairs",4,IF(J499="word triads",4,IF(J499="generated words",4,IF(J499="word definition pairs",4,IF(J499="math problems",4,IF(J499="famous faces",4,IF(J499="famous names",4,IF(J499="famous voices",4,IF(J499="television programs",4,IF(J499="race horses",4,IF(J499="new vocabulary",4,IF(J499="sentences",5,IF(J499="concepts",5,IF(J499="ad slides",5,IF(J499="scenes",5,IF(J499="famous scenes",5,IF(J499="poems",6,IF(J499="walk",6,IF(J499="faces and events",6,IF(J499="events and names",6,IF(J499="flashbulb",7,IF(J499="stories",7,IF(J499="course material",7,IF(J499="autobiographical",7,IF(J499="novels",7,IF(J499="public events",7,"99"))))))))))))))))))))))))))))))))))))))))))))))</f>
        <v>2</v>
      </c>
      <c r="M499" s="60">
        <v>0</v>
      </c>
      <c r="N499" s="60">
        <v>1</v>
      </c>
      <c r="O499" s="60">
        <v>0</v>
      </c>
      <c r="P499" s="60"/>
      <c r="Q499" s="60" t="s">
        <v>34</v>
      </c>
      <c r="R499" s="60">
        <f>IF(Q499="Free Recall",1,IF(Q499="Cued Recall",2,IF(Q499="Recognition",3,IF(Q499="Multiple Choice",4,IF(Q499="Savings",5,IF(Q499="Stem Completion",6,IF(Q499="Fragment Completion",7,IF(Q499="anagram solution",8,IF(Q499="Matching",9,IF(Q499="Problem Solving",10,"99"))))))))))</f>
        <v>3</v>
      </c>
      <c r="S499" s="60" t="s">
        <v>15</v>
      </c>
      <c r="T499" s="60" t="s">
        <v>261</v>
      </c>
      <c r="U499" s="60">
        <f>IF(T499="within",1,0)</f>
        <v>0</v>
      </c>
      <c r="V499" s="60">
        <v>70</v>
      </c>
      <c r="W499" s="60">
        <f>F499*V499</f>
        <v>8680</v>
      </c>
      <c r="X499" s="60">
        <v>6</v>
      </c>
      <c r="Y499" s="76">
        <f>AV498</f>
        <v>600</v>
      </c>
      <c r="Z499" s="60" t="s">
        <v>179</v>
      </c>
      <c r="AA499" s="60">
        <v>7776000</v>
      </c>
      <c r="AB499" s="60" t="str">
        <f>IF(AA499&lt;60,"1",IF(AA499&lt;=43200,"2",IF(AA499&lt;=777600,"3","4")))</f>
        <v>4</v>
      </c>
      <c r="AC499" s="56">
        <f>AVERAGE(AV498:DA498)</f>
        <v>1843900</v>
      </c>
      <c r="AD499" s="60" t="str">
        <f>IF(AC499&lt;60,"1",IF(AC499&lt;=43200,"2",IF(AC499&lt;=777600,"3","4")))</f>
        <v>4</v>
      </c>
      <c r="AE499" s="76">
        <f>AA499-Y499</f>
        <v>7775400</v>
      </c>
      <c r="AF499" s="80">
        <f>AV499</f>
        <v>0.73399999999999999</v>
      </c>
      <c r="AG499" s="56">
        <f>((AW499-AV499)+(AX499-AW499)+(AY499-AX499)+(AZ499-AY499)+(BA499-AZ499))/5</f>
        <v>-0.10440000000000001</v>
      </c>
      <c r="AH499" s="4"/>
      <c r="AI499" s="56">
        <f>RSQ(AV499:BA499,AV498:BA498)</f>
        <v>0.60505030916663527</v>
      </c>
      <c r="AJ499" s="109">
        <f>SLOPE(AV499:BA499,AV498:BA498)</f>
        <v>-5.2474887703306165E-8</v>
      </c>
      <c r="AK499" s="56">
        <f>INTERCEPT(AV499:BA499,AV498:BA498)</f>
        <v>0.56359177876945965</v>
      </c>
      <c r="AL499" s="56">
        <f>INDEX(LINEST(LN(AV499:BA499),LN(AV498:BA498),TRUE,TRUE),3,1)</f>
        <v>0.93649480365385929</v>
      </c>
      <c r="AM499" s="56">
        <f>INDEX(LINEST(LN(AV499:BA499),LN(AV498:BA498)),1)</f>
        <v>-0.12476404999902357</v>
      </c>
      <c r="AN499" s="56">
        <f>EXP(INDEX(LINEST(LN(AV499:BA499),LN(AV498:BA498)),1,2))</f>
        <v>1.8227879122536301</v>
      </c>
      <c r="AO499" s="82">
        <f>INDEX(LINEST((AV499:BA499),LN(AV498:BA498),TRUE,TRUE),3,1)</f>
        <v>0.99171307925829255</v>
      </c>
      <c r="AP499" s="82">
        <f>INDEX(LINEST((AV499:BA499),LN(AV498:BA498)),1)</f>
        <v>-5.5172582122364262E-2</v>
      </c>
      <c r="AQ499" s="83">
        <f>INDEX(LINEST(LN(AV499:BA499),SQRT(AV498:BA498),TRUE,TRUE),3,1)</f>
        <v>0.92946056541598954</v>
      </c>
      <c r="AR499" s="116">
        <f>INDEX(LINEST(LN(AV499:BA499),SQRT((AV498:BA498))),1)</f>
        <v>-4.2712602576634251E-4</v>
      </c>
      <c r="AS499" s="84">
        <f>INDEX(LINEST(1/(AV499:BA499),1/(SQRT(AV498:BA498)),TRUE,TRUE),3,1)</f>
        <v>0.44727569653100541</v>
      </c>
      <c r="AT499" s="84">
        <f>INDEX(LINEST(1/(AV499:BA499),1/SQRT(AV498:BA498)),1)</f>
        <v>-53.481867109743362</v>
      </c>
      <c r="AU499" s="3"/>
      <c r="AV499" s="53">
        <v>0.73399999999999999</v>
      </c>
      <c r="AW499" s="53">
        <v>0.66900000000000004</v>
      </c>
      <c r="AX499" s="53">
        <v>0.503</v>
      </c>
      <c r="AY499" s="53">
        <v>0.39</v>
      </c>
      <c r="AZ499" s="53">
        <v>0.29299999999999998</v>
      </c>
      <c r="BA499" s="53">
        <v>0.21199999999999999</v>
      </c>
      <c r="BB499" s="4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1"/>
      <c r="CS499" s="1"/>
      <c r="CT499" s="1"/>
      <c r="CU499" s="1"/>
    </row>
    <row r="500" spans="1:99" s="13" customFormat="1" ht="12" customHeight="1" x14ac:dyDescent="0.2">
      <c r="A500" s="65">
        <v>43509</v>
      </c>
      <c r="B500" s="1"/>
      <c r="C500" s="1"/>
      <c r="D500" s="60"/>
      <c r="E500" s="76"/>
      <c r="F500" s="60"/>
      <c r="G500" s="60"/>
      <c r="H500" s="60"/>
      <c r="I500" s="60"/>
      <c r="J500" s="60"/>
      <c r="K500" s="64"/>
      <c r="L500" s="64"/>
      <c r="M500" s="60"/>
      <c r="N500" s="60"/>
      <c r="O500" s="60"/>
      <c r="P500" s="60"/>
      <c r="Q500" s="60"/>
      <c r="R500" s="60"/>
      <c r="S500" s="60"/>
      <c r="T500" s="60"/>
      <c r="U500" s="60"/>
      <c r="V500" s="60"/>
      <c r="W500" s="60"/>
      <c r="X500" s="60"/>
      <c r="Y500" s="76"/>
      <c r="Z500" s="60"/>
      <c r="AA500" s="60"/>
      <c r="AB500" s="60"/>
      <c r="AC500" s="56"/>
      <c r="AD500" s="60"/>
      <c r="AE500" s="60"/>
      <c r="AF500" s="80"/>
      <c r="AG500" s="56"/>
      <c r="AH500" s="4"/>
      <c r="AI500" s="56"/>
      <c r="AJ500" s="109"/>
      <c r="AK500" s="56"/>
      <c r="AL500" s="56"/>
      <c r="AM500" s="56"/>
      <c r="AN500" s="56"/>
      <c r="AO500" s="82"/>
      <c r="AP500" s="82"/>
      <c r="AQ500" s="83"/>
      <c r="AR500" s="116"/>
      <c r="AS500" s="84"/>
      <c r="AT500" s="84"/>
      <c r="AU500" s="3"/>
      <c r="AV500" s="25">
        <v>900</v>
      </c>
      <c r="AW500" s="25">
        <v>2592000</v>
      </c>
      <c r="AX500" s="25">
        <v>5270400</v>
      </c>
      <c r="AY500" s="53"/>
      <c r="AZ500" s="53"/>
      <c r="BA500" s="53"/>
      <c r="BB500" s="42"/>
      <c r="BC500" s="39"/>
      <c r="BD500" s="39"/>
      <c r="BE500" s="39"/>
      <c r="BF500" s="39"/>
      <c r="BG500" s="39"/>
      <c r="BH500" s="39"/>
      <c r="BI500" s="39"/>
      <c r="BJ500" s="39"/>
      <c r="BK500" s="39"/>
      <c r="BL500" s="39"/>
      <c r="BM500" s="39"/>
      <c r="BN500" s="39"/>
      <c r="BO500" s="39"/>
      <c r="BP500" s="39"/>
      <c r="BQ500" s="39"/>
      <c r="BR500" s="39"/>
      <c r="BS500" s="39"/>
      <c r="BT500" s="39"/>
      <c r="BU500" s="39"/>
      <c r="BV500" s="39"/>
      <c r="BW500" s="39"/>
      <c r="BX500" s="39"/>
      <c r="BY500" s="39"/>
      <c r="BZ500" s="39"/>
      <c r="CA500" s="39"/>
      <c r="CB500" s="39"/>
      <c r="CC500" s="39"/>
      <c r="CD500" s="39"/>
      <c r="CE500" s="39"/>
      <c r="CF500" s="39"/>
      <c r="CG500" s="39"/>
      <c r="CH500" s="39"/>
      <c r="CI500" s="39"/>
      <c r="CJ500" s="39"/>
      <c r="CK500" s="39"/>
      <c r="CL500" s="39"/>
      <c r="CM500" s="39"/>
      <c r="CN500" s="39"/>
      <c r="CO500" s="39"/>
      <c r="CP500" s="39"/>
      <c r="CQ500" s="39"/>
      <c r="CR500" s="1"/>
      <c r="CS500" s="1"/>
      <c r="CT500" s="1"/>
      <c r="CU500" s="1"/>
    </row>
    <row r="501" spans="1:99" s="13" customFormat="1" ht="12" customHeight="1" x14ac:dyDescent="0.2">
      <c r="A501" s="65">
        <v>43509</v>
      </c>
      <c r="B501" s="22" t="s">
        <v>178</v>
      </c>
      <c r="C501" s="1" t="s">
        <v>75</v>
      </c>
      <c r="D501" s="60">
        <v>1976</v>
      </c>
      <c r="E501" s="76">
        <v>2</v>
      </c>
      <c r="F501" s="60">
        <v>100</v>
      </c>
      <c r="G501" s="60">
        <v>33.299999999999997</v>
      </c>
      <c r="H501" s="60" t="s">
        <v>38</v>
      </c>
      <c r="I501" s="60" t="s">
        <v>16</v>
      </c>
      <c r="J501" s="60" t="s">
        <v>16</v>
      </c>
      <c r="K501" s="60">
        <f>IF(J501="syllables",1,IF(J501="trigrams",2,IF(J501="strings",3,IF(J501="visual array",4,IF(J501="characters",5,IF(J501="letters",6,IF(J501="free forms",7,IF(J501="odors",8,IF(J501="words",9,IF(J501="pictures",10,IF(J501="object pictures",11,IF(J501="faces",12,IF(J501="names",13,IF(J501="idioms",14,IF(J501="grades",15,IF(J501="syllable-digit pairs",16,IF(J501="trigram-word pairs",17,IF(J501="word-digit pairs",18,IF(J501="English-Swahili pairs",19,IF(J501="spatial position",20,IF(J501="word pairs",21,IF(J501="word triads",22,IF(J501="generated words",23,IF(J501="word definition pairs",24,IF(J501="math problems",25,IF(J501="famous faces",26,IF(J501="famous names",27,IF(J501="famous voices",28,IF(J501="television programs",29,IF(J501="race horses",30,IF(J501="new vocabulary",31,IF(J501="sentences",32,IF(J501="concepts",33,IF(J501="ad slides",34,IF(J501="scenes",35,IF(J501="famous scenes",36,IF(J501="poems",37,IF(J501="walk",38,IF(J501="faces and events",39,IF(J501="events and names",40,IF(J501="flashbulb",41,IF(J501="stories",42,IF(J501="course material",43,IF(J501="autobiographical",44,IF(J501="novels",45,IF(J501="public events",46,"99"))))))))))))))))))))))))))))))))))))))))))))))</f>
        <v>9</v>
      </c>
      <c r="L501" s="60">
        <f>IF(J501="syllables",1,IF(J501="trigrams",1,IF(J501="strings",1,IF(J501="visual array",1,IF(J501="characters",1,IF(J501="letters",1,IF(J501="free forms",1,IF(J501="odors",2,IF(J501="words",2,IF(J501="pictures",2,IF(J501="object pictures",2,IF(J501="faces",2,IF(J501="names",2,IF(J501="idioms","2",IF(J501="grades",2,IF(J501="syllable-digit pairs",3,IF(J501="trigram-word pairs",3,IF(J501="word-digit pairs",3,IF(J501="English-Swahili pairs",3,IF(J501="spatial position",3,IF(J501="word pairs",4,IF(J501="word triads",4,IF(J501="generated words",4,IF(J501="word definition pairs",4,IF(J501="math problems",4,IF(J501="famous faces",4,IF(J501="famous names",4,IF(J501="famous voices",4,IF(J501="television programs",4,IF(J501="race horses",4,IF(J501="new vocabulary",4,IF(J501="sentences",5,IF(J501="concepts",5,IF(J501="ad slides",5,IF(J501="scenes",5,IF(J501="famous scenes",5,IF(J501="poems",6,IF(J501="walk",6,IF(J501="faces and events",6,IF(J501="events and names",6,IF(J501="flashbulb",7,IF(J501="stories",7,IF(J501="course material",7,IF(J501="autobiographical",7,IF(J501="novels",7,IF(J501="public events",7,"99"))))))))))))))))))))))))))))))))))))))))))))))</f>
        <v>2</v>
      </c>
      <c r="M501" s="60">
        <v>0</v>
      </c>
      <c r="N501" s="60">
        <v>1</v>
      </c>
      <c r="O501" s="60">
        <v>0</v>
      </c>
      <c r="P501" s="60"/>
      <c r="Q501" s="60" t="s">
        <v>34</v>
      </c>
      <c r="R501" s="60">
        <f>IF(Q501="Free Recall",1,IF(Q501="Cued Recall",2,IF(Q501="Recognition",3,IF(Q501="Multiple Choice",4,IF(Q501="Savings",5,IF(Q501="Stem Completion",6,IF(Q501="Fragment Completion",7,IF(Q501="anagram solution",8,IF(Q501="Matching",9,IF(Q501="Problem Solving",10,"99"))))))))))</f>
        <v>3</v>
      </c>
      <c r="S501" s="60" t="s">
        <v>15</v>
      </c>
      <c r="T501" s="60" t="s">
        <v>261</v>
      </c>
      <c r="U501" s="60">
        <f>IF(T501="within",1,0)</f>
        <v>0</v>
      </c>
      <c r="V501" s="60">
        <v>70</v>
      </c>
      <c r="W501" s="60">
        <f>F501*V501</f>
        <v>7000</v>
      </c>
      <c r="X501" s="60">
        <v>3</v>
      </c>
      <c r="Y501" s="76">
        <f>AV500</f>
        <v>900</v>
      </c>
      <c r="Z501" s="60" t="s">
        <v>193</v>
      </c>
      <c r="AA501" s="60">
        <v>5270400</v>
      </c>
      <c r="AB501" s="60" t="str">
        <f>IF(AA501&lt;60,"1",IF(AA501&lt;=43200,"2",IF(AA501&lt;=777600,"3","4")))</f>
        <v>4</v>
      </c>
      <c r="AC501" s="56">
        <f>AVERAGE(AV500:DA500)</f>
        <v>2621100</v>
      </c>
      <c r="AD501" s="60" t="str">
        <f>IF(AC501&lt;60,"1",IF(AC501&lt;=43200,"2",IF(AC501&lt;=777600,"3","4")))</f>
        <v>4</v>
      </c>
      <c r="AE501" s="76">
        <f>AA501-Y501</f>
        <v>5269500</v>
      </c>
      <c r="AF501" s="80">
        <f>AV501</f>
        <v>0.76200000000000001</v>
      </c>
      <c r="AG501" s="56">
        <f>((AW501-AV501)+(AX501-AW501))/2</f>
        <v>-0.10425000000000001</v>
      </c>
      <c r="AH501" s="4"/>
      <c r="AI501" s="56">
        <f>RSQ(AV501:AX501,AV500:AX500)</f>
        <v>0.86200494294906194</v>
      </c>
      <c r="AJ501" s="109">
        <f>SLOPE(AV501:AX501,AV500:AX500)</f>
        <v>-3.941647361887947E-8</v>
      </c>
      <c r="AK501" s="56">
        <f>INTERCEPT(AV501:AX501,AV500:AX500)</f>
        <v>0.73764785233577834</v>
      </c>
      <c r="AL501" s="56">
        <f>INDEX(LINEST(LN(AV501:AX501),LN(AV500:AX500),TRUE,TRUE),3,1)</f>
        <v>0.98952623315950439</v>
      </c>
      <c r="AM501" s="56">
        <f>INDEX(LINEST(LN(AV501:AX501),LN(AV500:AX500)),1)</f>
        <v>-3.5106235397858558E-2</v>
      </c>
      <c r="AN501" s="56">
        <f>EXP(INDEX(LINEST(LN(AV501:AX501),LN(AV500:AX500)),1,2))</f>
        <v>0.96896926356501933</v>
      </c>
      <c r="AO501" s="82">
        <f>INDEX(LINEST((AV501:AX501),LN(AV500:AX500),TRUE,TRUE),3,1)</f>
        <v>0.9937984340578826</v>
      </c>
      <c r="AP501" s="82">
        <f>INDEX(LINEST((AV501:AX501),LN(AV500:AX500)),1)</f>
        <v>-2.3150852996013285E-2</v>
      </c>
      <c r="AQ501" s="83">
        <f>INDEX(LINEST(LN(AV501:AX501),SQRT(AV500:AX500),TRUE,TRUE),3,1)</f>
        <v>0.98487125848108759</v>
      </c>
      <c r="AR501" s="116">
        <f>INDEX(LINEST(LN(AV501:AX501),SQRT((AV500:AX500))),1)</f>
        <v>-1.4519585205238186E-4</v>
      </c>
      <c r="AS501" s="84">
        <f>INDEX(LINEST(1/(AV501:AX501),1/(SQRT(AV500:AX500)),TRUE,TRUE),3,1)</f>
        <v>0.96163783524923085</v>
      </c>
      <c r="AT501" s="84">
        <f>INDEX(LINEST(1/(AV501:AX501),1/SQRT(AV500:AX500)),1)</f>
        <v>-13.48890420973197</v>
      </c>
      <c r="AU501" s="3"/>
      <c r="AV501" s="53">
        <v>0.76200000000000001</v>
      </c>
      <c r="AW501" s="53">
        <v>0.58750000000000002</v>
      </c>
      <c r="AX501" s="53">
        <v>0.55349999999999999</v>
      </c>
      <c r="AY501" s="53"/>
      <c r="AZ501" s="53"/>
      <c r="BA501" s="53"/>
      <c r="BB501" s="42"/>
      <c r="BC501" s="39"/>
      <c r="BD501" s="39"/>
      <c r="BE501" s="39"/>
      <c r="BF501" s="39"/>
      <c r="BG501" s="39"/>
      <c r="BH501" s="39"/>
      <c r="BI501" s="39"/>
      <c r="BJ501" s="39"/>
      <c r="BK501" s="39"/>
      <c r="BL501" s="39"/>
      <c r="BM501" s="39"/>
      <c r="BN501" s="39"/>
      <c r="BO501" s="39"/>
      <c r="BP501" s="39"/>
      <c r="BQ501" s="39"/>
      <c r="BR501" s="39"/>
      <c r="BS501" s="39"/>
      <c r="BT501" s="39"/>
      <c r="BU501" s="39"/>
      <c r="BV501" s="39"/>
      <c r="BW501" s="39"/>
      <c r="BX501" s="39"/>
      <c r="BY501" s="39"/>
      <c r="BZ501" s="39"/>
      <c r="CA501" s="39"/>
      <c r="CB501" s="39"/>
      <c r="CC501" s="39"/>
      <c r="CD501" s="39"/>
      <c r="CE501" s="39"/>
      <c r="CF501" s="39"/>
      <c r="CG501" s="39"/>
      <c r="CH501" s="39"/>
      <c r="CI501" s="39"/>
      <c r="CJ501" s="39"/>
      <c r="CK501" s="39"/>
      <c r="CL501" s="39"/>
      <c r="CM501" s="39"/>
      <c r="CN501" s="39"/>
      <c r="CO501" s="39"/>
      <c r="CP501" s="39"/>
      <c r="CQ501" s="39"/>
      <c r="CR501" s="1"/>
      <c r="CS501" s="1"/>
      <c r="CT501" s="1"/>
      <c r="CU501" s="1"/>
    </row>
    <row r="502" spans="1:99" s="13" customFormat="1" ht="12" customHeight="1" x14ac:dyDescent="0.2">
      <c r="A502" s="65">
        <v>43509</v>
      </c>
      <c r="B502" s="1"/>
      <c r="C502" s="1"/>
      <c r="D502" s="60"/>
      <c r="E502" s="76"/>
      <c r="F502" s="60"/>
      <c r="G502" s="60"/>
      <c r="H502" s="60"/>
      <c r="I502" s="60"/>
      <c r="J502" s="60"/>
      <c r="K502" s="64"/>
      <c r="L502" s="64"/>
      <c r="M502" s="60"/>
      <c r="N502" s="60"/>
      <c r="O502" s="60"/>
      <c r="P502" s="60"/>
      <c r="Q502" s="60"/>
      <c r="R502" s="60"/>
      <c r="S502" s="60"/>
      <c r="T502" s="60"/>
      <c r="U502" s="60"/>
      <c r="V502" s="60"/>
      <c r="W502" s="60"/>
      <c r="X502" s="60"/>
      <c r="Y502" s="76"/>
      <c r="Z502" s="60"/>
      <c r="AA502" s="60"/>
      <c r="AB502" s="60"/>
      <c r="AC502" s="56"/>
      <c r="AD502" s="60"/>
      <c r="AE502" s="60"/>
      <c r="AF502" s="80"/>
      <c r="AG502" s="56"/>
      <c r="AH502" s="4"/>
      <c r="AI502" s="56"/>
      <c r="AJ502" s="109"/>
      <c r="AK502" s="56"/>
      <c r="AL502" s="56"/>
      <c r="AM502" s="56"/>
      <c r="AN502" s="56"/>
      <c r="AO502" s="82"/>
      <c r="AP502" s="82"/>
      <c r="AQ502" s="83"/>
      <c r="AR502" s="116"/>
      <c r="AS502" s="84"/>
      <c r="AT502" s="84"/>
      <c r="AU502" s="3"/>
      <c r="AV502" s="25">
        <v>900</v>
      </c>
      <c r="AW502" s="25">
        <v>2592000</v>
      </c>
      <c r="AX502" s="25">
        <v>5270400</v>
      </c>
      <c r="AY502" s="53"/>
      <c r="AZ502" s="53"/>
      <c r="BA502" s="53"/>
      <c r="BB502" s="42"/>
      <c r="BC502" s="39"/>
      <c r="BD502" s="39"/>
      <c r="BE502" s="39"/>
      <c r="BF502" s="39"/>
      <c r="BG502" s="39"/>
      <c r="BH502" s="39"/>
      <c r="BI502" s="39"/>
      <c r="BJ502" s="39"/>
      <c r="BK502" s="39"/>
      <c r="BL502" s="39"/>
      <c r="BM502" s="39"/>
      <c r="BN502" s="39"/>
      <c r="BO502" s="39"/>
      <c r="BP502" s="39"/>
      <c r="BQ502" s="39"/>
      <c r="BR502" s="39"/>
      <c r="BS502" s="39"/>
      <c r="BT502" s="39"/>
      <c r="BU502" s="39"/>
      <c r="BV502" s="39"/>
      <c r="BW502" s="39"/>
      <c r="BX502" s="39"/>
      <c r="BY502" s="39"/>
      <c r="BZ502" s="39"/>
      <c r="CA502" s="39"/>
      <c r="CB502" s="39"/>
      <c r="CC502" s="39"/>
      <c r="CD502" s="39"/>
      <c r="CE502" s="39"/>
      <c r="CF502" s="39"/>
      <c r="CG502" s="39"/>
      <c r="CH502" s="39"/>
      <c r="CI502" s="39"/>
      <c r="CJ502" s="39"/>
      <c r="CK502" s="39"/>
      <c r="CL502" s="39"/>
      <c r="CM502" s="39"/>
      <c r="CN502" s="39"/>
      <c r="CO502" s="39"/>
      <c r="CP502" s="39"/>
      <c r="CQ502" s="39"/>
      <c r="CR502" s="1"/>
      <c r="CS502" s="1"/>
      <c r="CT502" s="1"/>
      <c r="CU502" s="1"/>
    </row>
    <row r="503" spans="1:99" s="13" customFormat="1" ht="12" customHeight="1" x14ac:dyDescent="0.2">
      <c r="A503" s="65">
        <v>43509</v>
      </c>
      <c r="B503" s="1" t="s">
        <v>178</v>
      </c>
      <c r="C503" s="1" t="s">
        <v>75</v>
      </c>
      <c r="D503" s="60">
        <v>1976</v>
      </c>
      <c r="E503" s="76">
        <v>2</v>
      </c>
      <c r="F503" s="60">
        <v>100</v>
      </c>
      <c r="G503" s="60">
        <v>33.299999999999997</v>
      </c>
      <c r="H503" s="60" t="s">
        <v>38</v>
      </c>
      <c r="I503" s="60" t="s">
        <v>313</v>
      </c>
      <c r="J503" s="60" t="s">
        <v>313</v>
      </c>
      <c r="K503" s="60">
        <f>IF(J503="syllables",1,IF(J503="trigrams",2,IF(J503="strings",3,IF(J503="visual array",4,IF(J503="characters",5,IF(J503="letters",6,IF(J503="free forms",7,IF(J503="odors",8,IF(J503="words",9,IF(J503="pictures",10,IF(J503="object pictures",11,IF(J503="faces",12,IF(J503="names",13,IF(J503="idioms",14,IF(J503="grades",15,IF(J503="syllable-digit pairs",16,IF(J503="trigram-word pairs",17,IF(J503="word-digit pairs",18,IF(J503="English-Swahili pairs",19,IF(J503="spatial position",20,IF(J503="word pairs",21,IF(J503="word triads",22,IF(J503="generated words",23,IF(J503="word definition pairs",24,IF(J503="math problems",25,IF(J503="famous faces",26,IF(J503="famous names",27,IF(J503="famous voices",28,IF(J503="television programs",29,IF(J503="race horses",30,IF(J503="new vocabulary",31,IF(J503="sentences",32,IF(J503="concepts",33,IF(J503="ad slides",34,IF(J503="scenes",35,IF(J503="famous scenes",36,IF(J503="poems",37,IF(J503="walk",38,IF(J503="faces and events",39,IF(J503="events and names",40,IF(J503="flashbulb",41,IF(J503="stories",42,IF(J503="course material",43,IF(J503="autobiographical",44,IF(J503="novels",45,IF(J503="public events",46,"99"))))))))))))))))))))))))))))))))))))))))))))))</f>
        <v>10</v>
      </c>
      <c r="L503" s="60">
        <f>IF(J503="syllables",1,IF(J503="trigrams",1,IF(J503="strings",1,IF(J503="visual array",1,IF(J503="characters",1,IF(J503="letters",1,IF(J503="free forms",1,IF(J503="odors",2,IF(J503="words",2,IF(J503="pictures",2,IF(J503="object pictures",2,IF(J503="faces",2,IF(J503="names",2,IF(J503="idioms","2",IF(J503="grades",2,IF(J503="syllable-digit pairs",3,IF(J503="trigram-word pairs",3,IF(J503="word-digit pairs",3,IF(J503="English-Swahili pairs",3,IF(J503="spatial position",3,IF(J503="word pairs",4,IF(J503="word triads",4,IF(J503="generated words",4,IF(J503="word definition pairs",4,IF(J503="math problems",4,IF(J503="famous faces",4,IF(J503="famous names",4,IF(J503="famous voices",4,IF(J503="television programs",4,IF(J503="race horses",4,IF(J503="new vocabulary",4,IF(J503="sentences",5,IF(J503="concepts",5,IF(J503="ad slides",5,IF(J503="scenes",5,IF(J503="famous scenes",5,IF(J503="poems",6,IF(J503="walk",6,IF(J503="faces and events",6,IF(J503="events and names",6,IF(J503="flashbulb",7,IF(J503="stories",7,IF(J503="course material",7,IF(J503="autobiographical",7,IF(J503="novels",7,IF(J503="public events",7,"99"))))))))))))))))))))))))))))))))))))))))))))))</f>
        <v>2</v>
      </c>
      <c r="M503" s="60">
        <v>0</v>
      </c>
      <c r="N503" s="60">
        <v>1</v>
      </c>
      <c r="O503" s="60">
        <v>0</v>
      </c>
      <c r="P503" s="60"/>
      <c r="Q503" s="60" t="s">
        <v>34</v>
      </c>
      <c r="R503" s="60">
        <f>IF(Q503="Free Recall",1,IF(Q503="Cued Recall",2,IF(Q503="Recognition",3,IF(Q503="Multiple Choice",4,IF(Q503="Savings",5,IF(Q503="Stem Completion",6,IF(Q503="Fragment Completion",7,IF(Q503="anagram solution",8,IF(Q503="Matching",9,IF(Q503="Problem Solving",10,"99"))))))))))</f>
        <v>3</v>
      </c>
      <c r="S503" s="60" t="s">
        <v>15</v>
      </c>
      <c r="T503" s="60" t="s">
        <v>261</v>
      </c>
      <c r="U503" s="60">
        <f>IF(T503="within",1,0)</f>
        <v>0</v>
      </c>
      <c r="V503" s="60">
        <v>70</v>
      </c>
      <c r="W503" s="60">
        <f>F503*V503</f>
        <v>7000</v>
      </c>
      <c r="X503" s="60">
        <v>3</v>
      </c>
      <c r="Y503" s="76">
        <f>AV502</f>
        <v>900</v>
      </c>
      <c r="Z503" s="60" t="s">
        <v>193</v>
      </c>
      <c r="AA503" s="60">
        <v>5270400</v>
      </c>
      <c r="AB503" s="60" t="str">
        <f>IF(AA503&lt;60,"1",IF(AA503&lt;=43200,"2",IF(AA503&lt;=777600,"3","4")))</f>
        <v>4</v>
      </c>
      <c r="AC503" s="56">
        <f>AVERAGE(AV502:DA502)</f>
        <v>2621100</v>
      </c>
      <c r="AD503" s="60" t="str">
        <f>IF(AC503&lt;60,"1",IF(AC503&lt;=43200,"2",IF(AC503&lt;=777600,"3","4")))</f>
        <v>4</v>
      </c>
      <c r="AE503" s="76">
        <f>AA503-Y503</f>
        <v>5269500</v>
      </c>
      <c r="AF503" s="80">
        <f>AV503</f>
        <v>0.9305000000000001</v>
      </c>
      <c r="AG503" s="56">
        <f>((AW503-AV503)+(AX503-AW503))/2</f>
        <v>-0.14250000000000007</v>
      </c>
      <c r="AH503" s="4"/>
      <c r="AI503" s="56">
        <f>RSQ(AV503:AX503,AV502:AX502)</f>
        <v>0.88457010994203922</v>
      </c>
      <c r="AJ503" s="109">
        <f>SLOPE(AV503:AX503,AV502:AX502)</f>
        <v>-5.3898595627932991E-8</v>
      </c>
      <c r="AK503" s="56">
        <f>INTERCEPT(AV503:AX503,AV502:AX502)</f>
        <v>0.90044027566704177</v>
      </c>
      <c r="AL503" s="56">
        <f>INDEX(LINEST(LN(AV503:AX503),LN(AV502:AX502),TRUE,TRUE),3,1)</f>
        <v>0.97911696082497668</v>
      </c>
      <c r="AM503" s="56">
        <f>INDEX(LINEST(LN(AV503:AX503),LN(AV502:AX502)),1)</f>
        <v>-3.9377200187181965E-2</v>
      </c>
      <c r="AN503" s="56">
        <f>EXP(INDEX(LINEST(LN(AV503:AX503),LN(AV502:AX502)),1,2))</f>
        <v>1.2191846586362629</v>
      </c>
      <c r="AO503" s="82">
        <f>INDEX(LINEST((AV503:AX503),LN(AV502:AX502),TRUE,TRUE),3,1)</f>
        <v>0.98733449774335746</v>
      </c>
      <c r="AP503" s="82">
        <f>INDEX(LINEST((AV503:AX503),LN(AV502:AX502)),1)</f>
        <v>-3.1148592618525813E-2</v>
      </c>
      <c r="AQ503" s="83">
        <f>INDEX(LINEST(LN(AV503:AX503),SQRT(AV502:AX502),TRUE,TRUE),3,1)</f>
        <v>0.99348318465103347</v>
      </c>
      <c r="AR503" s="116">
        <f>INDEX(LINEST(LN(AV503:AX503),SQRT((AV502:AX502))),1)</f>
        <v>-1.6443780857855705E-4</v>
      </c>
      <c r="AS503" s="84">
        <f>INDEX(LINEST(1/(AV503:AX503),1/(SQRT(AV502:AX502)),TRUE,TRUE),3,1)</f>
        <v>0.93925187380888708</v>
      </c>
      <c r="AT503" s="84">
        <f>INDEX(LINEST(1/(AV503:AX503),1/SQRT(AV502:AX502)),1)</f>
        <v>-12.594900326428547</v>
      </c>
      <c r="AU503" s="3"/>
      <c r="AV503" s="53">
        <v>0.9305000000000001</v>
      </c>
      <c r="AW503" s="53">
        <v>0.70150000000000001</v>
      </c>
      <c r="AX503" s="53">
        <v>0.64549999999999996</v>
      </c>
      <c r="AY503" s="53"/>
      <c r="AZ503" s="53"/>
      <c r="BA503" s="53"/>
      <c r="BB503" s="42"/>
      <c r="BC503" s="39"/>
      <c r="BD503" s="39"/>
      <c r="BE503" s="39"/>
      <c r="BF503" s="39"/>
      <c r="BG503" s="39"/>
      <c r="BH503" s="39"/>
      <c r="BI503" s="39"/>
      <c r="BJ503" s="39"/>
      <c r="BK503" s="39"/>
      <c r="BL503" s="39"/>
      <c r="BM503" s="39"/>
      <c r="BN503" s="39"/>
      <c r="BO503" s="39"/>
      <c r="BP503" s="39"/>
      <c r="BQ503" s="39"/>
      <c r="BR503" s="39"/>
      <c r="BS503" s="39"/>
      <c r="BT503" s="39"/>
      <c r="BU503" s="39"/>
      <c r="BV503" s="39"/>
      <c r="BW503" s="39"/>
      <c r="BX503" s="39"/>
      <c r="BY503" s="39"/>
      <c r="BZ503" s="39"/>
      <c r="CA503" s="39"/>
      <c r="CB503" s="39"/>
      <c r="CC503" s="39"/>
      <c r="CD503" s="39"/>
      <c r="CE503" s="39"/>
      <c r="CF503" s="39"/>
      <c r="CG503" s="39"/>
      <c r="CH503" s="39"/>
      <c r="CI503" s="39"/>
      <c r="CJ503" s="39"/>
      <c r="CK503" s="39"/>
      <c r="CL503" s="39"/>
      <c r="CM503" s="39"/>
      <c r="CN503" s="39"/>
      <c r="CO503" s="39"/>
      <c r="CP503" s="39"/>
      <c r="CQ503" s="39"/>
      <c r="CR503" s="1"/>
      <c r="CS503" s="1"/>
      <c r="CT503" s="1"/>
      <c r="CU503" s="1"/>
    </row>
    <row r="504" spans="1:99" s="13" customFormat="1" ht="12" customHeight="1" x14ac:dyDescent="0.2">
      <c r="A504" s="68">
        <v>43509</v>
      </c>
      <c r="B504" s="70"/>
      <c r="C504" s="70"/>
      <c r="D504" s="69"/>
      <c r="E504" s="87"/>
      <c r="F504" s="69"/>
      <c r="G504" s="69"/>
      <c r="H504" s="69"/>
      <c r="I504" s="69"/>
      <c r="J504" s="69"/>
      <c r="K504" s="107"/>
      <c r="L504" s="107"/>
      <c r="M504" s="69"/>
      <c r="N504" s="69"/>
      <c r="O504" s="69"/>
      <c r="P504" s="69"/>
      <c r="Q504" s="69"/>
      <c r="R504" s="69"/>
      <c r="S504" s="69"/>
      <c r="T504" s="69"/>
      <c r="U504" s="69"/>
      <c r="V504" s="69"/>
      <c r="W504" s="69"/>
      <c r="X504" s="69"/>
      <c r="Y504" s="87"/>
      <c r="Z504" s="69"/>
      <c r="AA504" s="69"/>
      <c r="AB504" s="69"/>
      <c r="AC504" s="69"/>
      <c r="AD504" s="69"/>
      <c r="AE504" s="69"/>
      <c r="AF504" s="88"/>
      <c r="AG504" s="72"/>
      <c r="AH504" s="4"/>
      <c r="AI504" s="72"/>
      <c r="AJ504" s="110"/>
      <c r="AK504" s="72"/>
      <c r="AL504" s="72"/>
      <c r="AM504" s="72"/>
      <c r="AN504" s="72"/>
      <c r="AO504" s="72"/>
      <c r="AP504" s="72"/>
      <c r="AQ504" s="72"/>
      <c r="AR504" s="110"/>
      <c r="AS504" s="72"/>
      <c r="AT504" s="72"/>
      <c r="AU504" s="4"/>
      <c r="AV504" s="71">
        <f>15*60</f>
        <v>900</v>
      </c>
      <c r="AW504" s="71">
        <f>24*60*60*1</f>
        <v>86400</v>
      </c>
      <c r="AX504" s="71">
        <f>24*60*60*2</f>
        <v>172800</v>
      </c>
      <c r="AY504" s="42"/>
      <c r="AZ504" s="46"/>
      <c r="BA504" s="42"/>
      <c r="BB504" s="4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1"/>
      <c r="CS504" s="1"/>
      <c r="CT504" s="1"/>
      <c r="CU504" s="1"/>
    </row>
    <row r="505" spans="1:99" s="13" customFormat="1" ht="12" customHeight="1" x14ac:dyDescent="0.2">
      <c r="A505" s="68">
        <v>43509</v>
      </c>
      <c r="B505" s="70" t="s">
        <v>104</v>
      </c>
      <c r="C505" s="70" t="s">
        <v>105</v>
      </c>
      <c r="D505" s="69">
        <v>1957</v>
      </c>
      <c r="E505" s="87">
        <v>1</v>
      </c>
      <c r="F505" s="69">
        <v>27</v>
      </c>
      <c r="G505" s="69">
        <v>9</v>
      </c>
      <c r="H505" s="69" t="s">
        <v>22</v>
      </c>
      <c r="I505" s="104">
        <v>0</v>
      </c>
      <c r="J505" s="69" t="s">
        <v>677</v>
      </c>
      <c r="K505" s="69">
        <f>IF(J505="syllables",1,IF(J505="trigrams",2,IF(J505="strings",3,IF(J505="visual array",4,IF(J505="characters",5,IF(J505="letters",6,IF(J505="free forms",7,IF(J505="odors",8,IF(J505="words",9,IF(J505="pictures",10,IF(J505="object pictures",11,IF(J505="faces",12,IF(J505="names",13,IF(J505="idioms",14,IF(J505="grades",15,IF(J505="syllable-digit pairs",16,IF(J505="trigram-word pairs",17,IF(J505="word-digit pairs",18,IF(J505="English-Swahili pairs",19,IF(J505="spatial position",20,IF(J505="word pairs",21,IF(J505="word triads",22,IF(J505="generated words",23,IF(J505="word definition pairs",24,IF(J505="math problems",25,IF(J505="famous faces",26,IF(J505="famous names",27,IF(J505="famous voices",28,IF(J505="television programs",29,IF(J505="race horses",30,IF(J505="new vocabulary",31,IF(J505="sentences",32,IF(J505="concepts",33,IF(J505="ad slides",34,IF(J505="scenes",35,IF(J505="famous scenes",36,IF(J505="poems",37,IF(J505="walk",38,IF(J505="faces and events",39,IF(J505="events and names",40,IF(J505="flashbulb",41,IF(J505="stories",42,IF(J505="course material",43,IF(J505="autobiographical",44,IF(J505="novels",45,IF(J505="public events",46,"99"))))))))))))))))))))))))))))))))))))))))))))))</f>
        <v>42</v>
      </c>
      <c r="L505" s="69">
        <f>IF(J505="syllables",1,IF(J505="trigrams",1,IF(J505="strings",1,IF(J505="visual array",1,IF(J505="characters",1,IF(J505="letters",1,IF(J505="free forms",1,IF(J505="odors",2,IF(J505="words",2,IF(J505="pictures",2,IF(J505="object pictures",2,IF(J505="faces",2,IF(J505="names",2,IF(J505="idioms","2",IF(J505="grades",2,IF(J505="syllable-digit pairs",3,IF(J505="trigram-word pairs",3,IF(J505="word-digit pairs",3,IF(J505="English-Swahili pairs",3,IF(J505="spatial position",3,IF(J505="word pairs",4,IF(J505="word triads",4,IF(J505="generated words",4,IF(J505="word definition pairs",4,IF(J505="math problems",4,IF(J505="famous faces",4,IF(J505="famous names",4,IF(J505="famous voices",4,IF(J505="television programs",4,IF(J505="race horses",4,IF(J505="new vocabulary",4,IF(J505="sentences",5,IF(J505="concepts",5,IF(J505="ad slides",5,IF(J505="scenes",5,IF(J505="famous scenes",5,IF(J505="poems",6,IF(J505="walk",6,IF(J505="faces and events",6,IF(J505="events and names",6,IF(J505="flashbulb",7,IF(J505="stories",7,IF(J505="course material",7,IF(J505="autobiographical",7,IF(J505="novels",7,IF(J505="public events",7,"99"))))))))))))))))))))))))))))))))))))))))))))))</f>
        <v>7</v>
      </c>
      <c r="M505" s="69">
        <v>1</v>
      </c>
      <c r="N505" s="69">
        <v>4</v>
      </c>
      <c r="O505" s="69">
        <v>0</v>
      </c>
      <c r="P505" s="69"/>
      <c r="Q505" s="69" t="s">
        <v>174</v>
      </c>
      <c r="R505" s="69">
        <f>IF(Q505="Free Recall",1,IF(Q505="Cued Recall",2,IF(Q505="Recognition",3,IF(Q505="Multiple Choice",4,IF(Q505="Savings",5,IF(Q505="Stem Completion",6,IF(Q505="Fragment Completion",7,IF(Q505="anagram solution",8,IF(Q505="Matching",9,IF(Q505="Problem Solving",10,"99"))))))))))</f>
        <v>1</v>
      </c>
      <c r="S505" s="69" t="s">
        <v>49</v>
      </c>
      <c r="T505" s="69" t="s">
        <v>261</v>
      </c>
      <c r="U505" s="69">
        <f>IF(T505="within",1,0)</f>
        <v>0</v>
      </c>
      <c r="V505" s="69">
        <v>22</v>
      </c>
      <c r="W505" s="69">
        <f>F505*V505</f>
        <v>594</v>
      </c>
      <c r="X505" s="69">
        <v>3</v>
      </c>
      <c r="Y505" s="87">
        <f>AV504</f>
        <v>900</v>
      </c>
      <c r="Z505" s="69" t="s">
        <v>88</v>
      </c>
      <c r="AA505" s="69">
        <v>172800</v>
      </c>
      <c r="AB505" s="69" t="str">
        <f>IF(AA505&lt;60,"1",IF(AA505&lt;=43200,"2",IF(AA505&lt;=777600,"3","4")))</f>
        <v>3</v>
      </c>
      <c r="AC505" s="72">
        <f>AVERAGE(AV504:DA504)</f>
        <v>86700</v>
      </c>
      <c r="AD505" s="69" t="str">
        <f>IF(AC505&lt;60,"1",IF(AC505&lt;=43200,"2",IF(AC505&lt;=777600,"3","4")))</f>
        <v>3</v>
      </c>
      <c r="AE505" s="87">
        <f>AA505-Y505</f>
        <v>171900</v>
      </c>
      <c r="AF505" s="88">
        <f>AV505</f>
        <v>0.68200000000000005</v>
      </c>
      <c r="AG505" s="72">
        <f>((AW505-AV505)+(AX505-AW505))/2</f>
        <v>-4.550000000000004E-2</v>
      </c>
      <c r="AH505" s="4"/>
      <c r="AI505" s="72">
        <f>RSQ(AV505:AX505,AV504:AX504)</f>
        <v>0.51183780265262713</v>
      </c>
      <c r="AJ505" s="110">
        <f>SLOPE(AV505:AX505,AV504:AX504)</f>
        <v>-5.2781940231229419E-7</v>
      </c>
      <c r="AK505" s="72">
        <f>INTERCEPT(AV505:AX505,AV504:AX504)</f>
        <v>0.6567619421804759</v>
      </c>
      <c r="AL505" s="72">
        <f>INDEX(LINEST(LN(AV505:AX505),LN(AV504:AX504),TRUE,TRUE),3,1)</f>
        <v>0.85596328558138979</v>
      </c>
      <c r="AM505" s="72">
        <f>INDEX(LINEST(LN(AV505:AX505),LN(AV504:AX504)),1)</f>
        <v>-3.2993561655819785E-2</v>
      </c>
      <c r="AN505" s="72">
        <f>EXP(INDEX(LINEST(LN(AV505:AX505),LN(AV504:AX504)),1,2))</f>
        <v>0.8489909990412986</v>
      </c>
      <c r="AO505" s="89">
        <f>INDEX(LINEST((AV505:AX505),LN(AV504:AX504),TRUE,TRUE),3,1)</f>
        <v>0.87019791971310934</v>
      </c>
      <c r="AP505" s="89">
        <f>INDEX(LINEST((AV505:AX505),LN(AV504:AX504)),1)</f>
        <v>-2.0708718332385152E-2</v>
      </c>
      <c r="AQ505" s="90">
        <f>INDEX(LINEST(LN(AV505:AX505),SQRT(AV504:AX504),TRUE,TRUE),3,1)</f>
        <v>0.69826026748342485</v>
      </c>
      <c r="AR505" s="117">
        <f>INDEX(LINEST(LN(AV505:AX505),SQRT((AV504:AX504))),1)</f>
        <v>-4.3171945439728169E-4</v>
      </c>
      <c r="AS505" s="91">
        <f>INDEX(LINEST(1/(AV505:AX505),1/(SQRT(AV504:AX504)),TRUE,TRUE),3,1)</f>
        <v>0.90249245293282299</v>
      </c>
      <c r="AT505" s="91">
        <f>INDEX(LINEST(1/(AV505:AX505),1/SQRT(AV504:AX504)),1)</f>
        <v>-8.8758499921568372</v>
      </c>
      <c r="AU505" s="3"/>
      <c r="AV505" s="73">
        <v>0.68200000000000005</v>
      </c>
      <c r="AW505" s="73">
        <v>0.56000000000000005</v>
      </c>
      <c r="AX505" s="73">
        <v>0.59099999999999997</v>
      </c>
      <c r="AY505" s="42"/>
      <c r="AZ505" s="46"/>
      <c r="BA505" s="42"/>
      <c r="BB505" s="4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1"/>
      <c r="CS505" s="1"/>
      <c r="CT505" s="1"/>
      <c r="CU505" s="1"/>
    </row>
    <row r="506" spans="1:99" s="13" customFormat="1" ht="12" customHeight="1" x14ac:dyDescent="0.2">
      <c r="A506" s="68">
        <v>43509</v>
      </c>
      <c r="B506" s="70"/>
      <c r="C506" s="70"/>
      <c r="D506" s="69"/>
      <c r="E506" s="87"/>
      <c r="F506" s="69"/>
      <c r="G506" s="69"/>
      <c r="H506" s="69"/>
      <c r="I506" s="69"/>
      <c r="J506" s="69"/>
      <c r="K506" s="107"/>
      <c r="L506" s="107"/>
      <c r="M506" s="69"/>
      <c r="N506" s="69"/>
      <c r="O506" s="69"/>
      <c r="P506" s="69"/>
      <c r="Q506" s="69"/>
      <c r="R506" s="69"/>
      <c r="S506" s="69"/>
      <c r="T506" s="69"/>
      <c r="U506" s="69"/>
      <c r="V506" s="69"/>
      <c r="W506" s="69"/>
      <c r="X506" s="69"/>
      <c r="Y506" s="87"/>
      <c r="Z506" s="69"/>
      <c r="AA506" s="69"/>
      <c r="AB506" s="69"/>
      <c r="AC506" s="69"/>
      <c r="AD506" s="69"/>
      <c r="AE506" s="69"/>
      <c r="AF506" s="88"/>
      <c r="AG506" s="72"/>
      <c r="AH506" s="4"/>
      <c r="AI506" s="72"/>
      <c r="AJ506" s="110"/>
      <c r="AK506" s="72"/>
      <c r="AL506" s="72"/>
      <c r="AM506" s="72"/>
      <c r="AN506" s="72"/>
      <c r="AO506" s="72"/>
      <c r="AP506" s="72"/>
      <c r="AQ506" s="72"/>
      <c r="AR506" s="110"/>
      <c r="AS506" s="72"/>
      <c r="AT506" s="72"/>
      <c r="AU506" s="5"/>
      <c r="AV506" s="71">
        <f>15*60</f>
        <v>900</v>
      </c>
      <c r="AW506" s="71">
        <f>24*60*60*1</f>
        <v>86400</v>
      </c>
      <c r="AX506" s="71">
        <f>24*60*60*2</f>
        <v>172800</v>
      </c>
      <c r="AY506" s="42"/>
      <c r="AZ506" s="46"/>
      <c r="BA506" s="42"/>
      <c r="BB506" s="4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1"/>
      <c r="CS506" s="1"/>
      <c r="CT506" s="1"/>
      <c r="CU506" s="1"/>
    </row>
    <row r="507" spans="1:99" s="13" customFormat="1" ht="12" customHeight="1" x14ac:dyDescent="0.2">
      <c r="A507" s="68">
        <v>43509</v>
      </c>
      <c r="B507" s="70" t="s">
        <v>104</v>
      </c>
      <c r="C507" s="70" t="s">
        <v>105</v>
      </c>
      <c r="D507" s="69">
        <v>1957</v>
      </c>
      <c r="E507" s="87">
        <v>1</v>
      </c>
      <c r="F507" s="69">
        <v>27</v>
      </c>
      <c r="G507" s="69">
        <v>9</v>
      </c>
      <c r="H507" s="69" t="s">
        <v>22</v>
      </c>
      <c r="I507" s="104">
        <v>1</v>
      </c>
      <c r="J507" s="69" t="s">
        <v>677</v>
      </c>
      <c r="K507" s="69">
        <f>IF(J507="syllables",1,IF(J507="trigrams",2,IF(J507="strings",3,IF(J507="visual array",4,IF(J507="characters",5,IF(J507="letters",6,IF(J507="free forms",7,IF(J507="odors",8,IF(J507="words",9,IF(J507="pictures",10,IF(J507="object pictures",11,IF(J507="faces",12,IF(J507="names",13,IF(J507="idioms",14,IF(J507="grades",15,IF(J507="syllable-digit pairs",16,IF(J507="trigram-word pairs",17,IF(J507="word-digit pairs",18,IF(J507="English-Swahili pairs",19,IF(J507="spatial position",20,IF(J507="word pairs",21,IF(J507="word triads",22,IF(J507="generated words",23,IF(J507="word definition pairs",24,IF(J507="math problems",25,IF(J507="famous faces",26,IF(J507="famous names",27,IF(J507="famous voices",28,IF(J507="television programs",29,IF(J507="race horses",30,IF(J507="new vocabulary",31,IF(J507="sentences",32,IF(J507="concepts",33,IF(J507="ad slides",34,IF(J507="scenes",35,IF(J507="famous scenes",36,IF(J507="poems",37,IF(J507="walk",38,IF(J507="faces and events",39,IF(J507="events and names",40,IF(J507="flashbulb",41,IF(J507="stories",42,IF(J507="course material",43,IF(J507="autobiographical",44,IF(J507="novels",45,IF(J507="public events",46,"99"))))))))))))))))))))))))))))))))))))))))))))))</f>
        <v>42</v>
      </c>
      <c r="L507" s="69">
        <f>IF(J507="syllables",1,IF(J507="trigrams",1,IF(J507="strings",1,IF(J507="visual array",1,IF(J507="characters",1,IF(J507="letters",1,IF(J507="free forms",1,IF(J507="odors",2,IF(J507="words",2,IF(J507="pictures",2,IF(J507="object pictures",2,IF(J507="faces",2,IF(J507="names",2,IF(J507="idioms","2",IF(J507="grades",2,IF(J507="syllable-digit pairs",3,IF(J507="trigram-word pairs",3,IF(J507="word-digit pairs",3,IF(J507="English-Swahili pairs",3,IF(J507="spatial position",3,IF(J507="word pairs",4,IF(J507="word triads",4,IF(J507="generated words",4,IF(J507="word definition pairs",4,IF(J507="math problems",4,IF(J507="famous faces",4,IF(J507="famous names",4,IF(J507="famous voices",4,IF(J507="television programs",4,IF(J507="race horses",4,IF(J507="new vocabulary",4,IF(J507="sentences",5,IF(J507="concepts",5,IF(J507="ad slides",5,IF(J507="scenes",5,IF(J507="famous scenes",5,IF(J507="poems",6,IF(J507="walk",6,IF(J507="faces and events",6,IF(J507="events and names",6,IF(J507="flashbulb",7,IF(J507="stories",7,IF(J507="course material",7,IF(J507="autobiographical",7,IF(J507="novels",7,IF(J507="public events",7,"99"))))))))))))))))))))))))))))))))))))))))))))))</f>
        <v>7</v>
      </c>
      <c r="M507" s="69">
        <v>1</v>
      </c>
      <c r="N507" s="69">
        <v>4</v>
      </c>
      <c r="O507" s="69">
        <v>0</v>
      </c>
      <c r="P507" s="69"/>
      <c r="Q507" s="69" t="s">
        <v>174</v>
      </c>
      <c r="R507" s="69">
        <f>IF(Q507="Free Recall",1,IF(Q507="Cued Recall",2,IF(Q507="Recognition",3,IF(Q507="Multiple Choice",4,IF(Q507="Savings",5,IF(Q507="Stem Completion",6,IF(Q507="Fragment Completion",7,IF(Q507="anagram solution",8,IF(Q507="Matching",9,IF(Q507="Problem Solving",10,"99"))))))))))</f>
        <v>1</v>
      </c>
      <c r="S507" s="69" t="s">
        <v>49</v>
      </c>
      <c r="T507" s="69" t="s">
        <v>261</v>
      </c>
      <c r="U507" s="69">
        <f>IF(T507="within",1,0)</f>
        <v>0</v>
      </c>
      <c r="V507" s="69">
        <v>22</v>
      </c>
      <c r="W507" s="69">
        <f>F507*V507</f>
        <v>594</v>
      </c>
      <c r="X507" s="69">
        <v>3</v>
      </c>
      <c r="Y507" s="87">
        <f>AV506</f>
        <v>900</v>
      </c>
      <c r="Z507" s="69" t="s">
        <v>88</v>
      </c>
      <c r="AA507" s="69">
        <v>172800</v>
      </c>
      <c r="AB507" s="69" t="str">
        <f>IF(AA507&lt;60,"1",IF(AA507&lt;=43200,"2",IF(AA507&lt;=777600,"3","4")))</f>
        <v>3</v>
      </c>
      <c r="AC507" s="72">
        <f>AVERAGE(AV506:DA506)</f>
        <v>86700</v>
      </c>
      <c r="AD507" s="69" t="str">
        <f>IF(AC507&lt;60,"1",IF(AC507&lt;=43200,"2",IF(AC507&lt;=777600,"3","4")))</f>
        <v>3</v>
      </c>
      <c r="AE507" s="87">
        <f>AA507-Y507</f>
        <v>171900</v>
      </c>
      <c r="AF507" s="88">
        <f>AV507</f>
        <v>0.879</v>
      </c>
      <c r="AG507" s="72">
        <f>((AW507-AV507)+(AX507-AW507))/2</f>
        <v>-0.11399999999999999</v>
      </c>
      <c r="AH507" s="4"/>
      <c r="AI507" s="72">
        <f>RSQ(AV507:AX507,AV506:AX506)</f>
        <v>0.74737765432549974</v>
      </c>
      <c r="AJ507" s="110">
        <f>SLOPE(AV507:AX507,AV506:AX506)</f>
        <v>-1.3240256813225635E-6</v>
      </c>
      <c r="AK507" s="72">
        <f>INTERCEPT(AV507:AX507,AV506:AX506)</f>
        <v>0.84179302657066624</v>
      </c>
      <c r="AL507" s="72">
        <f>INDEX(LINEST(LN(AV507:AX507),LN(AV506:AX506),TRUE,TRUE),3,1)</f>
        <v>0.9852787306405133</v>
      </c>
      <c r="AM507" s="72">
        <f>INDEX(LINEST(LN(AV507:AX507),LN(AV506:AX506)),1)</f>
        <v>-6.0244254685207492E-2</v>
      </c>
      <c r="AN507" s="72">
        <f>EXP(INDEX(LINEST(LN(AV507:AX507),LN(AV506:AX506)),1,2))</f>
        <v>1.3203381341319294</v>
      </c>
      <c r="AO507" s="89">
        <f>INDEX(LINEST((AV507:AX507),LN(AV506:AX506),TRUE,TRUE),3,1)</f>
        <v>0.9852787306405133</v>
      </c>
      <c r="AP507" s="89">
        <f>INDEX(LINEST((AV507:AX507),LN(AV506:AX506)),1)</f>
        <v>-4.5743662914966218E-2</v>
      </c>
      <c r="AQ507" s="90">
        <f>INDEX(LINEST(LN(AV507:AX507),SQRT(AV506:AX506),TRUE,TRUE),3,1)</f>
        <v>0.90466785733177502</v>
      </c>
      <c r="AR507" s="117">
        <f>INDEX(LINEST(LN(AV507:AX507),SQRT((AV506:AX506))),1)</f>
        <v>-8.3631904103828255E-4</v>
      </c>
      <c r="AS507" s="91">
        <f>INDEX(LINEST(1/(AV507:AX507),1/(SQRT(AV506:AX506)),TRUE,TRUE),3,1)</f>
        <v>0.99919642244159812</v>
      </c>
      <c r="AT507" s="91">
        <f>INDEX(LINEST(1/(AV507:AX507),1/SQRT(AV506:AX506)),1)</f>
        <v>-13.083418731572904</v>
      </c>
      <c r="AU507" s="3"/>
      <c r="AV507" s="73">
        <v>0.879</v>
      </c>
      <c r="AW507" s="73">
        <v>0.65100000000000002</v>
      </c>
      <c r="AX507" s="73">
        <v>0.65100000000000002</v>
      </c>
      <c r="AY507" s="42"/>
      <c r="AZ507" s="46"/>
      <c r="BA507" s="42"/>
      <c r="BB507" s="4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1"/>
      <c r="CS507" s="1"/>
      <c r="CT507" s="1"/>
      <c r="CU507" s="1"/>
    </row>
    <row r="508" spans="1:99" s="13" customFormat="1" ht="12" customHeight="1" x14ac:dyDescent="0.2">
      <c r="A508" s="68">
        <v>43509</v>
      </c>
      <c r="B508" s="70"/>
      <c r="C508" s="70"/>
      <c r="D508" s="69"/>
      <c r="E508" s="87"/>
      <c r="F508" s="69"/>
      <c r="G508" s="69"/>
      <c r="H508" s="69"/>
      <c r="I508" s="69"/>
      <c r="J508" s="69"/>
      <c r="K508" s="107"/>
      <c r="L508" s="107"/>
      <c r="M508" s="69"/>
      <c r="N508" s="69"/>
      <c r="O508" s="69"/>
      <c r="P508" s="69"/>
      <c r="Q508" s="69"/>
      <c r="R508" s="69"/>
      <c r="S508" s="69"/>
      <c r="T508" s="69"/>
      <c r="U508" s="69"/>
      <c r="V508" s="69"/>
      <c r="W508" s="69"/>
      <c r="X508" s="69"/>
      <c r="Y508" s="87"/>
      <c r="Z508" s="69"/>
      <c r="AA508" s="69"/>
      <c r="AB508" s="69"/>
      <c r="AC508" s="69"/>
      <c r="AD508" s="69"/>
      <c r="AE508" s="69"/>
      <c r="AF508" s="88"/>
      <c r="AG508" s="72"/>
      <c r="AH508" s="4"/>
      <c r="AI508" s="72"/>
      <c r="AJ508" s="110"/>
      <c r="AK508" s="72"/>
      <c r="AL508" s="72"/>
      <c r="AM508" s="72"/>
      <c r="AN508" s="72"/>
      <c r="AO508" s="72"/>
      <c r="AP508" s="72"/>
      <c r="AQ508" s="72"/>
      <c r="AR508" s="110"/>
      <c r="AS508" s="72"/>
      <c r="AT508" s="72"/>
      <c r="AU508" s="5"/>
      <c r="AV508" s="71">
        <f>15*60</f>
        <v>900</v>
      </c>
      <c r="AW508" s="71">
        <f>24*60*60*1</f>
        <v>86400</v>
      </c>
      <c r="AX508" s="71">
        <f>24*60*60*2</f>
        <v>172800</v>
      </c>
      <c r="AY508" s="42"/>
      <c r="AZ508" s="46"/>
      <c r="BA508" s="42"/>
      <c r="BB508" s="4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1"/>
      <c r="CS508" s="1"/>
      <c r="CT508" s="1"/>
      <c r="CU508" s="1"/>
    </row>
    <row r="509" spans="1:99" s="13" customFormat="1" ht="12" customHeight="1" x14ac:dyDescent="0.2">
      <c r="A509" s="68">
        <v>43509</v>
      </c>
      <c r="B509" s="70" t="s">
        <v>104</v>
      </c>
      <c r="C509" s="70" t="s">
        <v>105</v>
      </c>
      <c r="D509" s="69">
        <v>1957</v>
      </c>
      <c r="E509" s="87">
        <v>1</v>
      </c>
      <c r="F509" s="69">
        <v>27</v>
      </c>
      <c r="G509" s="69">
        <v>9</v>
      </c>
      <c r="H509" s="69" t="s">
        <v>22</v>
      </c>
      <c r="I509" s="104">
        <v>2</v>
      </c>
      <c r="J509" s="69" t="s">
        <v>677</v>
      </c>
      <c r="K509" s="69">
        <f>IF(J509="syllables",1,IF(J509="trigrams",2,IF(J509="strings",3,IF(J509="visual array",4,IF(J509="characters",5,IF(J509="letters",6,IF(J509="free forms",7,IF(J509="odors",8,IF(J509="words",9,IF(J509="pictures",10,IF(J509="object pictures",11,IF(J509="faces",12,IF(J509="names",13,IF(J509="idioms",14,IF(J509="grades",15,IF(J509="syllable-digit pairs",16,IF(J509="trigram-word pairs",17,IF(J509="word-digit pairs",18,IF(J509="English-Swahili pairs",19,IF(J509="spatial position",20,IF(J509="word pairs",21,IF(J509="word triads",22,IF(J509="generated words",23,IF(J509="word definition pairs",24,IF(J509="math problems",25,IF(J509="famous faces",26,IF(J509="famous names",27,IF(J509="famous voices",28,IF(J509="television programs",29,IF(J509="race horses",30,IF(J509="new vocabulary",31,IF(J509="sentences",32,IF(J509="concepts",33,IF(J509="ad slides",34,IF(J509="scenes",35,IF(J509="famous scenes",36,IF(J509="poems",37,IF(J509="walk",38,IF(J509="faces and events",39,IF(J509="events and names",40,IF(J509="flashbulb",41,IF(J509="stories",42,IF(J509="course material",43,IF(J509="autobiographical",44,IF(J509="novels",45,IF(J509="public events",46,"99"))))))))))))))))))))))))))))))))))))))))))))))</f>
        <v>42</v>
      </c>
      <c r="L509" s="69">
        <f>IF(J509="syllables",1,IF(J509="trigrams",1,IF(J509="strings",1,IF(J509="visual array",1,IF(J509="characters",1,IF(J509="letters",1,IF(J509="free forms",1,IF(J509="odors",2,IF(J509="words",2,IF(J509="pictures",2,IF(J509="object pictures",2,IF(J509="faces",2,IF(J509="names",2,IF(J509="idioms","2",IF(J509="grades",2,IF(J509="syllable-digit pairs",3,IF(J509="trigram-word pairs",3,IF(J509="word-digit pairs",3,IF(J509="English-Swahili pairs",3,IF(J509="spatial position",3,IF(J509="word pairs",4,IF(J509="word triads",4,IF(J509="generated words",4,IF(J509="word definition pairs",4,IF(J509="math problems",4,IF(J509="famous faces",4,IF(J509="famous names",4,IF(J509="famous voices",4,IF(J509="television programs",4,IF(J509="race horses",4,IF(J509="new vocabulary",4,IF(J509="sentences",5,IF(J509="concepts",5,IF(J509="ad slides",5,IF(J509="scenes",5,IF(J509="famous scenes",5,IF(J509="poems",6,IF(J509="walk",6,IF(J509="faces and events",6,IF(J509="events and names",6,IF(J509="flashbulb",7,IF(J509="stories",7,IF(J509="course material",7,IF(J509="autobiographical",7,IF(J509="novels",7,IF(J509="public events",7,"99"))))))))))))))))))))))))))))))))))))))))))))))</f>
        <v>7</v>
      </c>
      <c r="M509" s="69">
        <v>1</v>
      </c>
      <c r="N509" s="69">
        <v>4</v>
      </c>
      <c r="O509" s="69">
        <v>0</v>
      </c>
      <c r="P509" s="69"/>
      <c r="Q509" s="69" t="s">
        <v>174</v>
      </c>
      <c r="R509" s="69">
        <f>IF(Q509="Free Recall",1,IF(Q509="Cued Recall",2,IF(Q509="Recognition",3,IF(Q509="Multiple Choice",4,IF(Q509="Savings",5,IF(Q509="Stem Completion",6,IF(Q509="Fragment Completion",7,IF(Q509="anagram solution",8,IF(Q509="Matching",9,IF(Q509="Problem Solving",10,"99"))))))))))</f>
        <v>1</v>
      </c>
      <c r="S509" s="69" t="s">
        <v>49</v>
      </c>
      <c r="T509" s="69" t="s">
        <v>261</v>
      </c>
      <c r="U509" s="69">
        <f>IF(T509="within",1,0)</f>
        <v>0</v>
      </c>
      <c r="V509" s="69">
        <v>22</v>
      </c>
      <c r="W509" s="69">
        <f>F509*V509</f>
        <v>594</v>
      </c>
      <c r="X509" s="69">
        <v>3</v>
      </c>
      <c r="Y509" s="87">
        <f>AV508</f>
        <v>900</v>
      </c>
      <c r="Z509" s="69" t="s">
        <v>88</v>
      </c>
      <c r="AA509" s="69">
        <v>172800</v>
      </c>
      <c r="AB509" s="69" t="str">
        <f>IF(AA509&lt;60,"1",IF(AA509&lt;=43200,"2",IF(AA509&lt;=777600,"3","4")))</f>
        <v>3</v>
      </c>
      <c r="AC509" s="72">
        <f>AVERAGE(AV508:DA508)</f>
        <v>86700</v>
      </c>
      <c r="AD509" s="69" t="str">
        <f>IF(AC509&lt;60,"1",IF(AC509&lt;=43200,"2",IF(AC509&lt;=777600,"3","4")))</f>
        <v>3</v>
      </c>
      <c r="AE509" s="87">
        <f>AA509-Y509</f>
        <v>171900</v>
      </c>
      <c r="AF509" s="88">
        <f>AV509</f>
        <v>1</v>
      </c>
      <c r="AG509" s="72">
        <f>((AW509-AV509)+(AX509-AW509))/2</f>
        <v>-0.11199999999999999</v>
      </c>
      <c r="AH509" s="4"/>
      <c r="AI509" s="72">
        <f>RSQ(AV509:AX509,AV508:AX508)</f>
        <v>0.88285543670504107</v>
      </c>
      <c r="AJ509" s="110">
        <f>SLOPE(AV509:AX509,AV508:AX508)</f>
        <v>-1.301649955938907E-6</v>
      </c>
      <c r="AK509" s="72">
        <f>INTERCEPT(AV509:AX509,AV508:AX508)</f>
        <v>0.97751971784656999</v>
      </c>
      <c r="AL509" s="72">
        <f>INDEX(LINEST(LN(AV509:AX509),LN(AV508:AX508),TRUE,TRUE),3,1)</f>
        <v>0.99414325523189206</v>
      </c>
      <c r="AM509" s="72">
        <f>INDEX(LINEST(LN(AV509:AX509),LN(AV508:AX508)),1)</f>
        <v>-4.6712226118396982E-2</v>
      </c>
      <c r="AN509" s="72">
        <f>EXP(INDEX(LINEST(LN(AV509:AX509),LN(AV508:AX508)),1,2))</f>
        <v>1.3760125054745063</v>
      </c>
      <c r="AO509" s="89">
        <f>INDEX(LINEST((AV509:AX509),LN(AV508:AX508),TRUE,TRUE),3,1)</f>
        <v>0.99690456444685516</v>
      </c>
      <c r="AP509" s="89">
        <f>INDEX(LINEST((AV509:AX509),LN(AV508:AX508)),1)</f>
        <v>-4.1619919098982196E-2</v>
      </c>
      <c r="AQ509" s="90">
        <f>INDEX(LINEST(LN(AV509:AX509),SQRT(AV508:AX508),TRUE,TRUE),3,1)</f>
        <v>0.98668394664985593</v>
      </c>
      <c r="AR509" s="117">
        <f>INDEX(LINEST(LN(AV509:AX509),SQRT((AV508:AX508))),1)</f>
        <v>-6.7419640614464424E-4</v>
      </c>
      <c r="AS509" s="91">
        <f>INDEX(LINEST(1/(AV509:AX509),1/(SQRT(AV508:AX508)),TRUE,TRUE),3,1)</f>
        <v>0.96350975730198085</v>
      </c>
      <c r="AT509" s="91">
        <f>INDEX(LINEST(1/(AV509:AX509),1/SQRT(AV508:AX508)),1)</f>
        <v>-8.4455965283668419</v>
      </c>
      <c r="AU509" s="3"/>
      <c r="AV509" s="73">
        <v>1</v>
      </c>
      <c r="AW509" s="73">
        <v>0.81799999999999995</v>
      </c>
      <c r="AX509" s="73">
        <v>0.77600000000000002</v>
      </c>
      <c r="AY509" s="42"/>
      <c r="AZ509" s="46"/>
      <c r="BA509" s="42"/>
      <c r="BB509" s="4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1"/>
      <c r="CS509" s="1"/>
      <c r="CT509" s="1"/>
      <c r="CU509" s="1"/>
    </row>
    <row r="510" spans="1:99" ht="12" customHeight="1" x14ac:dyDescent="0.2">
      <c r="A510" s="65">
        <v>43509</v>
      </c>
      <c r="B510" s="15"/>
      <c r="C510" s="15"/>
      <c r="D510" s="59"/>
      <c r="E510" s="75"/>
      <c r="F510" s="59"/>
      <c r="G510" s="59"/>
      <c r="H510" s="59"/>
      <c r="I510" s="59"/>
      <c r="J510" s="59"/>
      <c r="M510" s="59"/>
      <c r="N510" s="59"/>
      <c r="O510" s="59"/>
      <c r="P510" s="59"/>
      <c r="Q510" s="59"/>
      <c r="R510" s="60"/>
      <c r="S510" s="59"/>
      <c r="T510" s="59"/>
      <c r="U510" s="60"/>
      <c r="V510" s="59"/>
      <c r="W510" s="60"/>
      <c r="X510" s="59"/>
      <c r="Y510" s="76"/>
      <c r="Z510" s="59"/>
      <c r="AA510" s="59"/>
      <c r="AB510" s="60"/>
      <c r="AC510" s="60"/>
      <c r="AD510" s="60"/>
      <c r="AE510" s="60"/>
      <c r="AF510" s="80"/>
      <c r="AG510" s="56"/>
      <c r="AH510" s="4"/>
      <c r="AN510" s="55"/>
      <c r="AO510" s="55"/>
      <c r="AP510" s="55"/>
      <c r="AQ510" s="55"/>
      <c r="AR510" s="111"/>
      <c r="AS510" s="55"/>
      <c r="AT510" s="55"/>
      <c r="AU510" s="4"/>
      <c r="AV510" s="45">
        <v>60</v>
      </c>
      <c r="AW510" s="47">
        <f>48*3600</f>
        <v>172800</v>
      </c>
      <c r="AX510" s="50">
        <f>7*24*3600</f>
        <v>604800</v>
      </c>
      <c r="AY510" s="50">
        <f>30*24*3600</f>
        <v>2592000</v>
      </c>
      <c r="AZ510" s="11" t="s">
        <v>513</v>
      </c>
      <c r="BA510" s="11"/>
      <c r="BB510" s="11"/>
      <c r="BC510" s="11"/>
      <c r="BD510" s="11"/>
      <c r="BE510" s="11"/>
      <c r="BF510" s="11"/>
      <c r="BG510" s="11"/>
      <c r="BH510" s="11"/>
      <c r="BI510" s="11"/>
      <c r="BJ510" s="11"/>
      <c r="BK510" s="11"/>
      <c r="BL510" s="11"/>
      <c r="BM510" s="11"/>
      <c r="BN510" s="11"/>
      <c r="BO510" s="11"/>
      <c r="BP510" s="11"/>
      <c r="BQ510" s="11"/>
      <c r="BR510" s="11"/>
      <c r="BS510" s="11"/>
      <c r="BT510" s="11"/>
      <c r="BU510" s="11"/>
      <c r="BV510" s="11"/>
      <c r="BW510" s="11"/>
      <c r="BX510" s="11"/>
      <c r="BY510" s="11"/>
      <c r="BZ510" s="11"/>
      <c r="CA510" s="11"/>
      <c r="CB510" s="11"/>
      <c r="CC510" s="11"/>
      <c r="CD510" s="11"/>
      <c r="CE510" s="11"/>
      <c r="CF510" s="11"/>
      <c r="CG510" s="11"/>
      <c r="CH510" s="11"/>
      <c r="CI510" s="11"/>
      <c r="CJ510" s="11"/>
      <c r="CK510" s="11"/>
      <c r="CL510" s="11"/>
      <c r="CM510" s="11"/>
      <c r="CN510" s="11"/>
      <c r="CO510" s="11"/>
      <c r="CP510" s="11"/>
      <c r="CQ510" s="11"/>
      <c r="CR510" s="15"/>
      <c r="CS510" s="15"/>
      <c r="CT510" s="15"/>
      <c r="CU510" s="15"/>
    </row>
    <row r="511" spans="1:99" ht="12" customHeight="1" x14ac:dyDescent="0.2">
      <c r="A511" s="65">
        <v>43509</v>
      </c>
      <c r="B511" s="15" t="s">
        <v>285</v>
      </c>
      <c r="C511" s="15" t="s">
        <v>268</v>
      </c>
      <c r="D511" s="59">
        <v>1948</v>
      </c>
      <c r="E511" s="75">
        <v>1</v>
      </c>
      <c r="F511" s="59">
        <v>88</v>
      </c>
      <c r="G511" s="59">
        <v>88</v>
      </c>
      <c r="H511" s="59" t="s">
        <v>286</v>
      </c>
      <c r="I511" s="59"/>
      <c r="J511" s="59" t="s">
        <v>686</v>
      </c>
      <c r="K511" s="60">
        <f>IF(J511="syllables",1,IF(J511="trigrams",2,IF(J511="strings",3,IF(J511="visual array",4,IF(J511="characters",5,IF(J511="letters",6,IF(J511="free forms",7,IF(J511="odors",8,IF(J511="words",9,IF(J511="pictures",10,IF(J511="object pictures",11,IF(J511="faces",12,IF(J511="names",13,IF(J511="idioms",14,IF(J511="grades",15,IF(J511="syllable-digit pairs",16,IF(J511="trigram-word pairs",17,IF(J511="word-digit pairs",18,IF(J511="English-Swahili pairs",19,IF(J511="spatial position",20,IF(J511="word pairs",21,IF(J511="word triads",22,IF(J511="generated words",23,IF(J511="word definition pairs",24,IF(J511="math problems",25,IF(J511="famous faces",26,IF(J511="famous names",27,IF(J511="famous voices",28,IF(J511="television programs",29,IF(J511="race horses",30,IF(J511="new vocabulary",31,IF(J511="sentences",32,IF(J511="concepts",33,IF(J511="ad slides",34,IF(J511="scenes",35,IF(J511="famous scenes",36,IF(J511="poems",37,IF(J511="walk",38,IF(J511="faces and events",39,IF(J511="events and names",40,IF(J511="flashbulb",41,IF(J511="stories",42,IF(J511="course material",43,IF(J511="autobiographical",44,IF(J511="novels",45,IF(J511="public events",46,"99"))))))))))))))))))))))))))))))))))))))))))))))</f>
        <v>35</v>
      </c>
      <c r="L511" s="60">
        <f>IF(J511="syllables",1,IF(J511="trigrams",1,IF(J511="strings",1,IF(J511="visual array",1,IF(J511="characters",1,IF(J511="letters",1,IF(J511="free forms",1,IF(J511="odors",2,IF(J511="words",2,IF(J511="pictures",2,IF(J511="object pictures",2,IF(J511="faces",2,IF(J511="names",2,IF(J511="idioms","2",IF(J511="grades",2,IF(J511="syllable-digit pairs",3,IF(J511="trigram-word pairs",3,IF(J511="word-digit pairs",3,IF(J511="English-Swahili pairs",3,IF(J511="spatial position",3,IF(J511="word pairs",4,IF(J511="word triads",4,IF(J511="generated words",4,IF(J511="word definition pairs",4,IF(J511="math problems",4,IF(J511="famous faces",4,IF(J511="famous names",4,IF(J511="famous voices",4,IF(J511="television programs",4,IF(J511="race horses",4,IF(J511="new vocabulary",4,IF(J511="sentences",5,IF(J511="concepts",5,IF(J511="ad slides",5,IF(J511="scenes",5,IF(J511="famous scenes",5,IF(J511="poems",6,IF(J511="walk",6,IF(J511="faces and events",6,IF(J511="events and names",6,IF(J511="flashbulb",7,IF(J511="stories",7,IF(J511="course material",7,IF(J511="autobiographical",7,IF(J511="novels",7,IF(J511="public events",7,"99"))))))))))))))))))))))))))))))))))))))))))))))</f>
        <v>5</v>
      </c>
      <c r="M511" s="59">
        <v>0</v>
      </c>
      <c r="N511" s="59">
        <v>3</v>
      </c>
      <c r="O511" s="59">
        <v>0</v>
      </c>
      <c r="P511" s="59"/>
      <c r="Q511" s="59" t="s">
        <v>174</v>
      </c>
      <c r="R511" s="60">
        <f>IF(Q511="Free Recall",1,IF(Q511="Cued Recall",2,IF(Q511="Recognition",3,IF(Q511="Multiple Choice",4,IF(Q511="Savings",5,IF(Q511="Stem Completion",6,IF(Q511="Fragment Completion",7,IF(Q511="anagram solution",8,IF(Q511="Matching",9,IF(Q511="Problem Solving",10,"99"))))))))))</f>
        <v>1</v>
      </c>
      <c r="S511" s="62" t="s">
        <v>49</v>
      </c>
      <c r="T511" s="59" t="s">
        <v>581</v>
      </c>
      <c r="U511" s="60">
        <f>IF(T511="within",1,0)</f>
        <v>1</v>
      </c>
      <c r="V511" s="59">
        <v>33</v>
      </c>
      <c r="W511" s="60">
        <f>F511*V511</f>
        <v>2904</v>
      </c>
      <c r="X511" s="59">
        <v>4</v>
      </c>
      <c r="Y511" s="76">
        <f>AV510</f>
        <v>60</v>
      </c>
      <c r="Z511" s="59" t="s">
        <v>273</v>
      </c>
      <c r="AA511" s="59">
        <f>30*24*3600</f>
        <v>2592000</v>
      </c>
      <c r="AB511" s="60" t="str">
        <f>IF(AA511&lt;60,"1",IF(AA511&lt;=43200,"2",IF(AA511&lt;=777600,"3","4")))</f>
        <v>4</v>
      </c>
      <c r="AC511" s="56">
        <f>AVERAGE(AV510:DA510)</f>
        <v>842415</v>
      </c>
      <c r="AD511" s="60" t="str">
        <f>IF(AC511&lt;60,"1",IF(AC511&lt;=43200,"2",IF(AC511&lt;=777600,"3","4")))</f>
        <v>4</v>
      </c>
      <c r="AE511" s="76">
        <f>AA511-Y511</f>
        <v>2591940</v>
      </c>
      <c r="AF511" s="80">
        <f>AV511</f>
        <v>1</v>
      </c>
      <c r="AG511" s="56">
        <f>((AW511-AV511)+(AX511-AW511)+(AY511-AX511))/3</f>
        <v>-0.10000000000000002</v>
      </c>
      <c r="AH511" s="4"/>
      <c r="AI511" s="56">
        <f>RSQ(AV511:AY511,AV510:AY510)</f>
        <v>0.64944330052025634</v>
      </c>
      <c r="AJ511" s="109">
        <f>SLOPE(AV511:AY511,AV510:AY510)</f>
        <v>-8.4241301958362656E-8</v>
      </c>
      <c r="AK511" s="56">
        <f>INTERCEPT(AV511:AY511,AV510:AY510)</f>
        <v>0.90221613638925413</v>
      </c>
      <c r="AL511" s="56">
        <f>INDEX(LINEST(LN(AV511:AY511),LN(AV510:AY510),TRUE,TRUE),3,1)</f>
        <v>0.91794619593095195</v>
      </c>
      <c r="AM511" s="56">
        <f>INDEX(LINEST(LN(AV511:AY511),LN(AV510:AY510)),1)</f>
        <v>-2.9535312735414349E-2</v>
      </c>
      <c r="AN511" s="56">
        <f>EXP(INDEX(LINEST(LN(AV511:AY511),LN(AV510:AY510)),1,2))</f>
        <v>1.1429067223471086</v>
      </c>
      <c r="AO511" s="82">
        <f>INDEX(LINEST((AV511:AY511),LN(AV510:AY510),TRUE,TRUE),3,1)</f>
        <v>0.94687931094744526</v>
      </c>
      <c r="AP511" s="82">
        <f>INDEX(LINEST((AV511:AY511),LN(AV510:AY510)),1)</f>
        <v>-2.5441612914587831E-2</v>
      </c>
      <c r="AQ511" s="83">
        <f>INDEX(LINEST(LN(AV511:AY511),SQRT(AV510:AY510),TRUE,TRUE),3,1)</f>
        <v>0.89749075282165547</v>
      </c>
      <c r="AR511" s="116">
        <f>INDEX(LINEST(LN(AV511:AY511),SQRT((AV510:AY510))),1)</f>
        <v>-2.044796404031818E-4</v>
      </c>
      <c r="AS511" s="84">
        <f>INDEX(LINEST(1/(AV511:AY511),1/(SQRT(AV510:AY510)),TRUE,TRUE),3,1)</f>
        <v>0.72120654020714814</v>
      </c>
      <c r="AT511" s="84">
        <f>INDEX(LINEST(1/(AV511:AY511),1/SQRT(AV510:AY510)),1)</f>
        <v>-2.3402706905204971</v>
      </c>
      <c r="AU511" s="3"/>
      <c r="AV511" s="45">
        <v>1</v>
      </c>
      <c r="AW511" s="11">
        <v>0.82499999999999996</v>
      </c>
      <c r="AX511" s="45">
        <v>0.8</v>
      </c>
      <c r="AY511" s="45">
        <v>0.7</v>
      </c>
      <c r="AZ511" s="11"/>
      <c r="BA511" s="11"/>
      <c r="BB511" s="11"/>
      <c r="BC511" s="11"/>
      <c r="BD511" s="11"/>
      <c r="BE511" s="11"/>
      <c r="BF511" s="11"/>
      <c r="BG511" s="11"/>
      <c r="BH511" s="11"/>
      <c r="BI511" s="11"/>
      <c r="BJ511" s="11"/>
      <c r="BK511" s="11"/>
      <c r="BL511" s="11"/>
      <c r="BM511" s="11"/>
      <c r="BN511" s="11"/>
      <c r="BO511" s="11"/>
      <c r="BP511" s="11"/>
      <c r="BQ511" s="11"/>
      <c r="BR511" s="11"/>
      <c r="BS511" s="11"/>
      <c r="BT511" s="11"/>
      <c r="BU511" s="11"/>
      <c r="BV511" s="11"/>
      <c r="BW511" s="11"/>
      <c r="BX511" s="11"/>
      <c r="BY511" s="11"/>
      <c r="BZ511" s="11"/>
      <c r="CA511" s="11"/>
      <c r="CB511" s="11"/>
      <c r="CC511" s="11"/>
      <c r="CD511" s="11"/>
      <c r="CE511" s="11"/>
      <c r="CF511" s="11"/>
      <c r="CG511" s="11"/>
      <c r="CH511" s="11"/>
      <c r="CI511" s="11"/>
      <c r="CJ511" s="11"/>
      <c r="CK511" s="11"/>
      <c r="CL511" s="11"/>
      <c r="CM511" s="11"/>
      <c r="CN511" s="11"/>
      <c r="CO511" s="11"/>
      <c r="CP511" s="11"/>
      <c r="CQ511" s="11"/>
      <c r="CR511" s="15"/>
      <c r="CS511" s="15"/>
      <c r="CT511" s="15"/>
      <c r="CU511" s="15"/>
    </row>
    <row r="512" spans="1:99" ht="12" customHeight="1" x14ac:dyDescent="0.2">
      <c r="A512" s="68">
        <v>43978</v>
      </c>
      <c r="B512" s="94"/>
      <c r="C512" s="94"/>
      <c r="D512" s="92"/>
      <c r="E512" s="105"/>
      <c r="F512" s="92"/>
      <c r="G512" s="92"/>
      <c r="H512" s="92"/>
      <c r="I512" s="92"/>
      <c r="J512" s="92"/>
      <c r="K512" s="69"/>
      <c r="L512" s="69"/>
      <c r="M512" s="92"/>
      <c r="N512" s="92"/>
      <c r="O512" s="92"/>
      <c r="P512" s="92"/>
      <c r="Q512" s="92"/>
      <c r="R512" s="69"/>
      <c r="S512" s="92"/>
      <c r="T512" s="92"/>
      <c r="U512" s="69"/>
      <c r="V512" s="92"/>
      <c r="W512" s="69"/>
      <c r="X512" s="92"/>
      <c r="Y512" s="87"/>
      <c r="Z512" s="92"/>
      <c r="AA512" s="92"/>
      <c r="AB512" s="69"/>
      <c r="AC512" s="72"/>
      <c r="AD512" s="69"/>
      <c r="AE512" s="87"/>
      <c r="AF512" s="88"/>
      <c r="AG512" s="72"/>
      <c r="AH512" s="4"/>
      <c r="AI512" s="72"/>
      <c r="AJ512" s="110"/>
      <c r="AK512" s="72"/>
      <c r="AL512" s="72"/>
      <c r="AM512" s="72"/>
      <c r="AN512" s="72"/>
      <c r="AO512" s="89"/>
      <c r="AP512" s="89"/>
      <c r="AQ512" s="90"/>
      <c r="AR512" s="117"/>
      <c r="AS512" s="91"/>
      <c r="AT512" s="91"/>
      <c r="AU512" s="3"/>
      <c r="AV512" s="122">
        <f>60*60</f>
        <v>3600</v>
      </c>
      <c r="AW512" s="122">
        <f>60*60*24</f>
        <v>86400</v>
      </c>
      <c r="AX512" s="122">
        <f>60*60*24*3</f>
        <v>259200</v>
      </c>
      <c r="AY512" s="122">
        <f>60*60*24*6</f>
        <v>518400</v>
      </c>
      <c r="AZ512" s="122">
        <f>60*60*24*13</f>
        <v>1123200</v>
      </c>
      <c r="BA512" s="11"/>
      <c r="BB512" s="11"/>
      <c r="BC512" s="11"/>
      <c r="BD512" s="11"/>
      <c r="BE512" s="11"/>
      <c r="BF512" s="11"/>
      <c r="BG512" s="11"/>
      <c r="BH512" s="11"/>
      <c r="BI512" s="11"/>
      <c r="BJ512" s="11"/>
      <c r="BK512" s="11"/>
      <c r="BL512" s="11"/>
      <c r="BM512" s="11"/>
      <c r="BN512" s="11"/>
      <c r="BO512" s="11"/>
      <c r="BP512" s="11"/>
      <c r="BQ512" s="11"/>
      <c r="BR512" s="11"/>
      <c r="BS512" s="11"/>
      <c r="BT512" s="11"/>
      <c r="BU512" s="11"/>
      <c r="BV512" s="11"/>
      <c r="BW512" s="11"/>
      <c r="BX512" s="11"/>
      <c r="BY512" s="11"/>
      <c r="BZ512" s="11"/>
      <c r="CA512" s="11"/>
      <c r="CB512" s="11"/>
      <c r="CC512" s="11"/>
      <c r="CD512" s="11"/>
      <c r="CE512" s="11"/>
      <c r="CF512" s="11"/>
      <c r="CG512" s="11"/>
      <c r="CH512" s="11"/>
      <c r="CI512" s="11"/>
      <c r="CJ512" s="11"/>
      <c r="CK512" s="11"/>
      <c r="CL512" s="11"/>
      <c r="CM512" s="11"/>
      <c r="CN512" s="11"/>
      <c r="CO512" s="11"/>
      <c r="CP512" s="11"/>
      <c r="CQ512" s="11"/>
      <c r="CR512" s="15"/>
      <c r="CS512" s="15"/>
      <c r="CT512" s="15"/>
      <c r="CU512" s="15"/>
    </row>
    <row r="513" spans="1:99" ht="12" customHeight="1" x14ac:dyDescent="0.2">
      <c r="A513" s="68">
        <v>43978</v>
      </c>
      <c r="B513" s="94" t="s">
        <v>965</v>
      </c>
      <c r="C513" s="94" t="s">
        <v>964</v>
      </c>
      <c r="D513" s="92">
        <v>1995</v>
      </c>
      <c r="E513" s="105">
        <v>1</v>
      </c>
      <c r="F513" s="92">
        <v>25</v>
      </c>
      <c r="G513" s="92">
        <v>25</v>
      </c>
      <c r="H513" s="92" t="s">
        <v>17</v>
      </c>
      <c r="I513" s="92" t="s">
        <v>330</v>
      </c>
      <c r="J513" s="92" t="s">
        <v>317</v>
      </c>
      <c r="K513" s="69">
        <f>IF(J513="syllables",1,IF(J513="trigrams",2,IF(J513="strings",3,IF(J513="visual array",4,IF(J513="characters",5,IF(J513="letters",6,IF(J513="free forms",7,IF(J513="odors",8,IF(J513="words",9,IF(J513="pictures",10,IF(J513="object pictures",11,IF(J513="faces",12,IF(J513="names",13,IF(J513="idioms",14,IF(J513="grades",15,IF(J513="syllable-digit pairs",16,IF(J513="trigram-word pairs",17,IF(J513="word-digit pairs",18,IF(J513="English-Swahili pairs",19,IF(J513="spatial position",20,IF(J513="word pairs",21,IF(J513="word triads",22,IF(J513="generated words",23,IF(J513="word definition pairs",24,IF(J513="math problems",25,IF(J513="famous faces",26,IF(J513="famous names",27,IF(J513="famous voices",28,IF(J513="television programs",29,IF(J513="race horses",30,IF(J513="new vocabulary",31,IF(J513="sentences",32,IF(J513="concepts",33,IF(J513="ad slides",34,IF(J513="scenes",35,IF(J513="famous scenes",36,IF(J513="poems",37,IF(J513="walk",38,IF(J513="faces and events",39,IF(J513="events and names",40,IF(J513="flashbulb",41,IF(J513="stories",42,IF(J513="course material",43,IF(J513="autobiographical",44,IF(J513="novels",45,IF(J513="public events",46,"99"))))))))))))))))))))))))))))))))))))))))))))))</f>
        <v>7</v>
      </c>
      <c r="L513" s="69">
        <f>IF(J513="syllables",1,IF(J513="trigrams",1,IF(J513="strings",1,IF(J513="visual array",1,IF(J513="characters",1,IF(J513="letters",1,IF(J513="free forms",1,IF(J513="odors",2,IF(J513="words",2,IF(J513="pictures",2,IF(J513="object pictures",2,IF(J513="faces",2,IF(J513="names",2,IF(J513="idioms","2",IF(J513="grades",2,IF(J513="syllable-digit pairs",3,IF(J513="trigram-word pairs",3,IF(J513="word-digit pairs",3,IF(J513="English-Swahili pairs",3,IF(J513="spatial position",3,IF(J513="word pairs",4,IF(J513="word triads",4,IF(J513="generated words",4,IF(J513="word definition pairs",4,IF(J513="math problems",4,IF(J513="famous faces",4,IF(J513="famous names",4,IF(J513="famous voices",4,IF(J513="television programs",4,IF(J513="race horses",4,IF(J513="new vocabulary",4,IF(J513="sentences",5,IF(J513="concepts",5,IF(J513="ad slides",5,IF(J513="scenes",5,IF(J513="famous scenes",5,IF(J513="poems",6,IF(J513="walk",6,IF(J513="faces and events",6,IF(J513="events and names",6,IF(J513="flashbulb",7,IF(J513="stories",7,IF(J513="course material",7,IF(J513="autobiographical",7,IF(J513="novels",7,IF(J513="public events",7,"99"))))))))))))))))))))))))))))))))))))))))))))))</f>
        <v>1</v>
      </c>
      <c r="M513" s="92">
        <v>1</v>
      </c>
      <c r="N513" s="92">
        <v>2</v>
      </c>
      <c r="O513" s="92">
        <v>0</v>
      </c>
      <c r="P513" s="92"/>
      <c r="Q513" s="92" t="s">
        <v>174</v>
      </c>
      <c r="R513" s="69">
        <f>IF(Q513="Free Recall",1,IF(Q513="Cued Recall",2,IF(Q513="Recognition",3,IF(Q513="Multiple Choice",4,IF(Q513="Savings",5,IF(Q513="Stem Completion",6,IF(Q513="Fragment Completion",7,IF(Q513="anagram solution",8,IF(Q513="Matching",9,IF(Q513="Problem Solving",10,"99"))))))))))</f>
        <v>1</v>
      </c>
      <c r="S513" s="99" t="s">
        <v>49</v>
      </c>
      <c r="T513" s="69" t="s">
        <v>581</v>
      </c>
      <c r="U513" s="69">
        <f>IF(T513="within",1,0)</f>
        <v>1</v>
      </c>
      <c r="V513" s="69">
        <v>50</v>
      </c>
      <c r="W513" s="69">
        <f>F513*V513</f>
        <v>1250</v>
      </c>
      <c r="X513" s="69">
        <v>5</v>
      </c>
      <c r="Y513" s="87">
        <f>AV512</f>
        <v>3600</v>
      </c>
      <c r="Z513" s="69" t="s">
        <v>966</v>
      </c>
      <c r="AA513" s="69">
        <f>60*60*24*13</f>
        <v>1123200</v>
      </c>
      <c r="AB513" s="69" t="str">
        <f>IF(AA513&lt;60,"1",IF(AA513&lt;=43200,"2",IF(AA513&lt;=777600,"3","4")))</f>
        <v>4</v>
      </c>
      <c r="AC513" s="72">
        <f>AVERAGE(AV512:DA512)</f>
        <v>398160</v>
      </c>
      <c r="AD513" s="69" t="str">
        <f>IF(AC513&lt;60,"1",IF(AC513&lt;=43200,"2",IF(AC513&lt;=777600,"3","4")))</f>
        <v>3</v>
      </c>
      <c r="AE513" s="87">
        <f>AA513-Y513</f>
        <v>1119600</v>
      </c>
      <c r="AF513" s="88">
        <f>AV513</f>
        <v>0.947922466569739</v>
      </c>
      <c r="AG513" s="72">
        <f>((AW513-AV513)+(AX513-AW513)+(AY513-AX513)+(AZ513-AY513))/4</f>
        <v>-1.9560261400409007E-2</v>
      </c>
      <c r="AH513" s="4"/>
      <c r="AI513" s="72">
        <f>RSQ(AV513:AZ513,AV512:AZ512)</f>
        <v>0.93887997943133428</v>
      </c>
      <c r="AJ513" s="110">
        <f>SLOPE(AV513:AZ513,AV512:AZ512)</f>
        <v>-6.4636535633427933E-8</v>
      </c>
      <c r="AK513" s="72">
        <f>INTERCEPT(AV513:AZ513,AV512:AZ512)</f>
        <v>0.93760280086444991</v>
      </c>
      <c r="AL513" s="72">
        <f>INDEX(LINEST(LN(AV513:AZ513),LN(AV512:AZ512),TRUE,TRUE),3,1)</f>
        <v>0.82208276315014173</v>
      </c>
      <c r="AM513" s="72">
        <f>INDEX(LINEST(LN(AV513:AZ513),LN(AV512:AZ512)),1)</f>
        <v>-1.3408736112626381E-2</v>
      </c>
      <c r="AN513" s="72">
        <f>EXP(INDEX(LINEST(LN(AV513:AZ513),LN(AV512:AZ512)),1,2))</f>
        <v>1.0680369630588322</v>
      </c>
      <c r="AO513" s="89">
        <f>INDEX(LINEST((AV513:AZ513),LN(AV512:AZ512),TRUE,TRUE),3,1)</f>
        <v>0.83174139505521438</v>
      </c>
      <c r="AP513" s="89">
        <f>INDEX(LINEST((AV513:AZ513),LN(AV512:AZ512)),1)</f>
        <v>-1.2242641080706348E-2</v>
      </c>
      <c r="AQ513" s="90">
        <f>INDEX(LINEST(LN(AV513:AZ513),SQRT(AV512:AZ512),TRUE,TRUE),3,1)</f>
        <v>0.99809438047614851</v>
      </c>
      <c r="AR513" s="117">
        <f>INDEX(LINEST(LN(AV513:AZ513),SQRT((AV512:AZ512))),1)</f>
        <v>-8.5868422072295664E-5</v>
      </c>
      <c r="AS513" s="91">
        <f>INDEX(LINEST(1/(AV513:AZ513),1/(SQRT(AV512:AZ512)),TRUE,TRUE),3,1)</f>
        <v>0.55107610906269533</v>
      </c>
      <c r="AT513" s="91">
        <f>INDEX(LINEST(1/(AV513:AZ513),1/SQRT(AV512:AZ512)),1)</f>
        <v>-4.0710751233790834</v>
      </c>
      <c r="AU513" s="3"/>
      <c r="AV513" s="121">
        <v>0.947922466569739</v>
      </c>
      <c r="AW513" s="97">
        <v>0.92950447366762501</v>
      </c>
      <c r="AX513" s="121">
        <v>0.91499662057169895</v>
      </c>
      <c r="AY513" s="121">
        <v>0.89723060740605509</v>
      </c>
      <c r="AZ513" s="97">
        <v>0.86968142096810297</v>
      </c>
      <c r="BA513" s="11"/>
      <c r="BB513" s="11"/>
      <c r="BC513" s="11"/>
      <c r="BD513" s="11"/>
      <c r="BE513" s="11"/>
      <c r="BF513" s="11"/>
      <c r="BG513" s="11"/>
      <c r="BH513" s="11"/>
      <c r="BI513" s="11"/>
      <c r="BJ513" s="11"/>
      <c r="BK513" s="11"/>
      <c r="BL513" s="11"/>
      <c r="BM513" s="11"/>
      <c r="BN513" s="11"/>
      <c r="BO513" s="11"/>
      <c r="BP513" s="11"/>
      <c r="BQ513" s="11"/>
      <c r="BR513" s="11"/>
      <c r="BS513" s="11"/>
      <c r="BT513" s="11"/>
      <c r="BU513" s="11"/>
      <c r="BV513" s="11"/>
      <c r="BW513" s="11"/>
      <c r="BX513" s="11"/>
      <c r="BY513" s="11"/>
      <c r="BZ513" s="11"/>
      <c r="CA513" s="11"/>
      <c r="CB513" s="11"/>
      <c r="CC513" s="11"/>
      <c r="CD513" s="11"/>
      <c r="CE513" s="11"/>
      <c r="CF513" s="11"/>
      <c r="CG513" s="11"/>
      <c r="CH513" s="11"/>
      <c r="CI513" s="11"/>
      <c r="CJ513" s="11"/>
      <c r="CK513" s="11"/>
      <c r="CL513" s="11"/>
      <c r="CM513" s="11"/>
      <c r="CN513" s="11"/>
      <c r="CO513" s="11"/>
      <c r="CP513" s="11"/>
      <c r="CQ513" s="11"/>
      <c r="CR513" s="15"/>
      <c r="CS513" s="15"/>
      <c r="CT513" s="15"/>
      <c r="CU513" s="15"/>
    </row>
    <row r="514" spans="1:99" s="13" customFormat="1" ht="12" customHeight="1" x14ac:dyDescent="0.2">
      <c r="A514" s="65">
        <v>43509</v>
      </c>
      <c r="B514" s="1"/>
      <c r="C514" s="1"/>
      <c r="D514" s="60"/>
      <c r="E514" s="76"/>
      <c r="F514" s="60"/>
      <c r="G514" s="60"/>
      <c r="H514" s="60"/>
      <c r="I514" s="60"/>
      <c r="J514" s="60"/>
      <c r="K514" s="64"/>
      <c r="L514" s="64"/>
      <c r="M514" s="60"/>
      <c r="N514" s="60"/>
      <c r="O514" s="60"/>
      <c r="P514" s="60"/>
      <c r="Q514" s="60"/>
      <c r="R514" s="60"/>
      <c r="S514" s="60"/>
      <c r="T514" s="60"/>
      <c r="U514" s="60"/>
      <c r="V514" s="60"/>
      <c r="W514" s="60"/>
      <c r="X514" s="60"/>
      <c r="Y514" s="76"/>
      <c r="Z514" s="60"/>
      <c r="AA514" s="60"/>
      <c r="AB514" s="60"/>
      <c r="AC514" s="60"/>
      <c r="AD514" s="60"/>
      <c r="AE514" s="60"/>
      <c r="AF514" s="80"/>
      <c r="AG514" s="56"/>
      <c r="AH514" s="4"/>
      <c r="AI514" s="56"/>
      <c r="AJ514" s="109"/>
      <c r="AK514" s="56"/>
      <c r="AL514" s="56"/>
      <c r="AM514" s="56"/>
      <c r="AN514" s="56"/>
      <c r="AO514" s="56"/>
      <c r="AP514" s="56"/>
      <c r="AQ514" s="56"/>
      <c r="AR514" s="109"/>
      <c r="AS514" s="56"/>
      <c r="AT514" s="56"/>
      <c r="AU514" s="4"/>
      <c r="AV514" s="25">
        <f>30*24*60*60*4</f>
        <v>10368000</v>
      </c>
      <c r="AW514" s="25">
        <f>30*24*60*60*7</f>
        <v>18144000</v>
      </c>
      <c r="AX514" s="25">
        <f>30*24*60*60*10</f>
        <v>25920000</v>
      </c>
      <c r="AY514" s="25">
        <f>30*24*60*60*13</f>
        <v>33696000</v>
      </c>
      <c r="AZ514" s="25">
        <f>30*24*60*60*16</f>
        <v>41472000</v>
      </c>
      <c r="BA514" s="42"/>
      <c r="BB514" s="4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1"/>
      <c r="CS514" s="1"/>
      <c r="CT514" s="1"/>
      <c r="CU514" s="1"/>
    </row>
    <row r="515" spans="1:99" s="13" customFormat="1" ht="12" customHeight="1" x14ac:dyDescent="0.2">
      <c r="A515" s="65">
        <v>43509</v>
      </c>
      <c r="B515" s="1" t="s">
        <v>180</v>
      </c>
      <c r="C515" s="1" t="s">
        <v>181</v>
      </c>
      <c r="D515" s="60">
        <v>1978</v>
      </c>
      <c r="E515" s="76">
        <v>1</v>
      </c>
      <c r="F515" s="60">
        <v>207</v>
      </c>
      <c r="G515" s="60">
        <v>41.4</v>
      </c>
      <c r="H515" s="60" t="s">
        <v>38</v>
      </c>
      <c r="I515" s="60" t="s">
        <v>687</v>
      </c>
      <c r="J515" s="60" t="s">
        <v>585</v>
      </c>
      <c r="K515" s="60">
        <f>IF(J515="syllables",1,IF(J515="trigrams",2,IF(J515="strings",3,IF(J515="visual array",4,IF(J515="characters",5,IF(J515="letters",6,IF(J515="free forms",7,IF(J515="odors",8,IF(J515="words",9,IF(J515="pictures",10,IF(J515="object pictures",11,IF(J515="faces",12,IF(J515="names",13,IF(J515="idioms",14,IF(J515="grades",15,IF(J515="syllable-digit pairs",16,IF(J515="trigram-word pairs",17,IF(J515="word-digit pairs",18,IF(J515="English-Swahili pairs",19,IF(J515="spatial position",20,IF(J515="word pairs",21,IF(J515="word triads",22,IF(J515="generated words",23,IF(J515="word definition pairs",24,IF(J515="math problems",25,IF(J515="famous faces",26,IF(J515="famous names",27,IF(J515="famous voices",28,IF(J515="television programs",29,IF(J515="race horses",30,IF(J515="new vocabulary",31,IF(J515="sentences",32,IF(J515="concepts",33,IF(J515="ad slides",34,IF(J515="scenes",35,IF(J515="famous scenes",36,IF(J515="poems",37,IF(J515="walk",38,IF(J515="faces and events",39,IF(J515="events and names",40,IF(J515="flashbulb",41,IF(J515="stories",42,IF(J515="course material",43,IF(J515="autobiographical",44,IF(J515="novels",45,IF(J515="public events",46,"99"))))))))))))))))))))))))))))))))))))))))))))))</f>
        <v>43</v>
      </c>
      <c r="L515" s="60">
        <f>IF(J515="syllables",1,IF(J515="trigrams",1,IF(J515="strings",1,IF(J515="visual array",1,IF(J515="characters",1,IF(J515="letters",1,IF(J515="free forms",1,IF(J515="odors",2,IF(J515="words",2,IF(J515="pictures",2,IF(J515="object pictures",2,IF(J515="faces",2,IF(J515="names",2,IF(J515="idioms","2",IF(J515="grades",2,IF(J515="syllable-digit pairs",3,IF(J515="trigram-word pairs",3,IF(J515="word-digit pairs",3,IF(J515="English-Swahili pairs",3,IF(J515="spatial position",3,IF(J515="word pairs",4,IF(J515="word triads",4,IF(J515="generated words",4,IF(J515="word definition pairs",4,IF(J515="math problems",4,IF(J515="famous faces",4,IF(J515="famous names",4,IF(J515="famous voices",4,IF(J515="television programs",4,IF(J515="race horses",4,IF(J515="new vocabulary",4,IF(J515="sentences",5,IF(J515="concepts",5,IF(J515="ad slides",5,IF(J515="scenes",5,IF(J515="famous scenes",5,IF(J515="poems",6,IF(J515="walk",6,IF(J515="faces and events",6,IF(J515="events and names",6,IF(J515="flashbulb",7,IF(J515="stories",7,IF(J515="course material",7,IF(J515="autobiographical",7,IF(J515="novels",7,IF(J515="public events",7,"99"))))))))))))))))))))))))))))))))))))))))))))))</f>
        <v>7</v>
      </c>
      <c r="M515" s="60">
        <v>1</v>
      </c>
      <c r="N515" s="60">
        <v>4</v>
      </c>
      <c r="O515" s="60">
        <v>0</v>
      </c>
      <c r="P515" s="60"/>
      <c r="Q515" s="60" t="s">
        <v>182</v>
      </c>
      <c r="R515" s="60">
        <f>IF(Q515="Free Recall",1,IF(Q515="Cued Recall",2,IF(Q515="Recognition",3,IF(Q515="Multiple Choice",4,IF(Q515="Savings",5,IF(Q515="Stem Completion",6,IF(Q515="Fragment Completion",7,IF(Q515="anagram solution",8,IF(Q515="Matching",9,IF(Q515="Problem Solving",10,"99"))))))))))</f>
        <v>4</v>
      </c>
      <c r="S515" s="60" t="s">
        <v>15</v>
      </c>
      <c r="T515" s="60" t="s">
        <v>261</v>
      </c>
      <c r="U515" s="60">
        <f>IF(T515="within",1,0)</f>
        <v>0</v>
      </c>
      <c r="V515" s="60">
        <v>9</v>
      </c>
      <c r="W515" s="60">
        <f>F515*V515</f>
        <v>1863</v>
      </c>
      <c r="X515" s="60">
        <v>5</v>
      </c>
      <c r="Y515" s="76">
        <f>AV514</f>
        <v>10368000</v>
      </c>
      <c r="Z515" s="60" t="s">
        <v>183</v>
      </c>
      <c r="AA515" s="60">
        <v>41472000</v>
      </c>
      <c r="AB515" s="60" t="str">
        <f>IF(AA515&lt;60,"1",IF(AA515&lt;=43200,"2",IF(AA515&lt;=777600,"3","4")))</f>
        <v>4</v>
      </c>
      <c r="AC515" s="56">
        <f>AVERAGE(AV514:DA514)</f>
        <v>25920000</v>
      </c>
      <c r="AD515" s="60" t="str">
        <f>IF(AC515&lt;60,"1",IF(AC515&lt;=43200,"2",IF(AC515&lt;=777600,"3","4")))</f>
        <v>4</v>
      </c>
      <c r="AE515" s="76">
        <f>AA515-Y515</f>
        <v>31104000</v>
      </c>
      <c r="AF515" s="80">
        <f>AV515</f>
        <v>0.66222222222222227</v>
      </c>
      <c r="AG515" s="56">
        <f>((AW515-AV515)+(AX515-AW515)+(AY515-AX515)+(AZ515-AY515))/4</f>
        <v>-2.1944444444444461E-2</v>
      </c>
      <c r="AH515" s="4"/>
      <c r="AI515" s="56">
        <f>RSQ(AV515:AZ515,AV514:AZ514)</f>
        <v>0.96959495002630181</v>
      </c>
      <c r="AJ515" s="109">
        <f>SLOPE(AV515:AZ515,AV514:AZ514)</f>
        <v>-2.7434842249657086E-9</v>
      </c>
      <c r="AK515" s="56">
        <f>INTERCEPT(AV515:AZ515,AV514:AZ514)</f>
        <v>0.68333333333333335</v>
      </c>
      <c r="AL515" s="56">
        <f>INDEX(LINEST(LN(AV515:AZ515),LN(AV514:AZ514),TRUE,TRUE),3,1)</f>
        <v>0.99726515926245407</v>
      </c>
      <c r="AM515" s="56">
        <f>INDEX(LINEST(LN(AV515:AZ515),LN(AV514:AZ514)),1)</f>
        <v>-0.10115046335486202</v>
      </c>
      <c r="AN515" s="56">
        <f>EXP(INDEX(LINEST(LN(AV515:AZ515),LN(AV514:AZ514)),1,2))</f>
        <v>3.4002824587932872</v>
      </c>
      <c r="AO515" s="82">
        <f>INDEX(LINEST((AV515:AZ515),LN(AV514:AZ514),TRUE,TRUE),3,1)</f>
        <v>0.9988753722847481</v>
      </c>
      <c r="AP515" s="82">
        <f>INDEX(LINEST((AV515:AZ515),LN(AV514:AZ514)),1)</f>
        <v>-6.2556664073580723E-2</v>
      </c>
      <c r="AQ515" s="83">
        <f>INDEX(LINEST(LN(AV515:AZ515),SQRT(AV514:AZ514),TRUE,TRUE),3,1)</f>
        <v>0.99651733123483932</v>
      </c>
      <c r="AR515" s="116">
        <f>INDEX(LINEST(LN(AV515:AZ515),SQRT((AV514:AZ514))),1)</f>
        <v>-4.3614441202230193E-5</v>
      </c>
      <c r="AS515" s="84">
        <f>INDEX(LINEST(1/(AV515:AZ515),1/(SQRT(AV514:AZ514)),TRUE,TRUE),3,1)</f>
        <v>0.97159293967676108</v>
      </c>
      <c r="AT515" s="84">
        <f>INDEX(LINEST(1/(AV515:AZ515),1/SQRT(AV514:AZ514)),1)</f>
        <v>-1434.6481786457152</v>
      </c>
      <c r="AU515" s="3"/>
      <c r="AV515" s="53">
        <v>0.66222222222222227</v>
      </c>
      <c r="AW515" s="53">
        <v>0.62777777777777777</v>
      </c>
      <c r="AX515" s="53">
        <v>0.60666666666666669</v>
      </c>
      <c r="AY515" s="53">
        <v>0.59</v>
      </c>
      <c r="AZ515" s="53">
        <v>0.57444444444444442</v>
      </c>
      <c r="BA515" s="42"/>
      <c r="BB515" s="4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1"/>
      <c r="CS515" s="1"/>
      <c r="CT515" s="1"/>
      <c r="CU515" s="1"/>
    </row>
    <row r="516" spans="1:99" s="13" customFormat="1" ht="12" customHeight="1" x14ac:dyDescent="0.2">
      <c r="A516" s="65">
        <v>43509</v>
      </c>
      <c r="B516" s="1"/>
      <c r="C516" s="1"/>
      <c r="D516" s="60"/>
      <c r="E516" s="76"/>
      <c r="F516" s="60"/>
      <c r="G516" s="60"/>
      <c r="H516" s="60"/>
      <c r="I516" s="60"/>
      <c r="J516" s="60"/>
      <c r="K516" s="64"/>
      <c r="L516" s="64"/>
      <c r="M516" s="60"/>
      <c r="N516" s="60"/>
      <c r="O516" s="60"/>
      <c r="P516" s="60"/>
      <c r="Q516" s="60"/>
      <c r="R516" s="60"/>
      <c r="S516" s="60"/>
      <c r="T516" s="60"/>
      <c r="U516" s="60"/>
      <c r="V516" s="60"/>
      <c r="W516" s="60"/>
      <c r="X516" s="60"/>
      <c r="Y516" s="76"/>
      <c r="Z516" s="60"/>
      <c r="AA516" s="60"/>
      <c r="AB516" s="60"/>
      <c r="AC516" s="60"/>
      <c r="AD516" s="60"/>
      <c r="AE516" s="60"/>
      <c r="AF516" s="80"/>
      <c r="AG516" s="56"/>
      <c r="AH516" s="4"/>
      <c r="AI516" s="56"/>
      <c r="AJ516" s="109"/>
      <c r="AK516" s="56"/>
      <c r="AL516" s="56"/>
      <c r="AM516" s="56"/>
      <c r="AN516" s="56"/>
      <c r="AO516" s="56"/>
      <c r="AP516" s="56"/>
      <c r="AQ516" s="82"/>
      <c r="AR516" s="115"/>
      <c r="AS516" s="82"/>
      <c r="AT516" s="82"/>
      <c r="AU516" s="4"/>
      <c r="AV516" s="25">
        <f>30*24*60*60*4</f>
        <v>10368000</v>
      </c>
      <c r="AW516" s="25">
        <f>30*24*60*60*7</f>
        <v>18144000</v>
      </c>
      <c r="AX516" s="25">
        <f>30*24*60*60*10</f>
        <v>25920000</v>
      </c>
      <c r="AY516" s="25">
        <f>30*24*60*60*13</f>
        <v>33696000</v>
      </c>
      <c r="AZ516" s="25">
        <f>30*24*60*60*16</f>
        <v>41472000</v>
      </c>
      <c r="BA516" s="42"/>
      <c r="BB516" s="4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1"/>
      <c r="CS516" s="1"/>
      <c r="CT516" s="1"/>
      <c r="CU516" s="1"/>
    </row>
    <row r="517" spans="1:99" s="13" customFormat="1" ht="12" customHeight="1" x14ac:dyDescent="0.2">
      <c r="A517" s="65">
        <v>43509</v>
      </c>
      <c r="B517" s="1" t="s">
        <v>180</v>
      </c>
      <c r="C517" s="1" t="s">
        <v>181</v>
      </c>
      <c r="D517" s="60">
        <v>1978</v>
      </c>
      <c r="E517" s="76">
        <v>1</v>
      </c>
      <c r="F517" s="60">
        <v>207</v>
      </c>
      <c r="G517" s="60">
        <v>41.4</v>
      </c>
      <c r="H517" s="60" t="s">
        <v>38</v>
      </c>
      <c r="I517" s="60" t="s">
        <v>688</v>
      </c>
      <c r="J517" s="60" t="s">
        <v>585</v>
      </c>
      <c r="K517" s="60">
        <f>IF(J517="syllables",1,IF(J517="trigrams",2,IF(J517="strings",3,IF(J517="visual array",4,IF(J517="characters",5,IF(J517="letters",6,IF(J517="free forms",7,IF(J517="odors",8,IF(J517="words",9,IF(J517="pictures",10,IF(J517="object pictures",11,IF(J517="faces",12,IF(J517="names",13,IF(J517="idioms",14,IF(J517="grades",15,IF(J517="syllable-digit pairs",16,IF(J517="trigram-word pairs",17,IF(J517="word-digit pairs",18,IF(J517="English-Swahili pairs",19,IF(J517="spatial position",20,IF(J517="word pairs",21,IF(J517="word triads",22,IF(J517="generated words",23,IF(J517="word definition pairs",24,IF(J517="math problems",25,IF(J517="famous faces",26,IF(J517="famous names",27,IF(J517="famous voices",28,IF(J517="television programs",29,IF(J517="race horses",30,IF(J517="new vocabulary",31,IF(J517="sentences",32,IF(J517="concepts",33,IF(J517="ad slides",34,IF(J517="scenes",35,IF(J517="famous scenes",36,IF(J517="poems",37,IF(J517="walk",38,IF(J517="faces and events",39,IF(J517="events and names",40,IF(J517="flashbulb",41,IF(J517="stories",42,IF(J517="course material",43,IF(J517="autobiographical",44,IF(J517="novels",45,IF(J517="public events",46,"99"))))))))))))))))))))))))))))))))))))))))))))))</f>
        <v>43</v>
      </c>
      <c r="L517" s="60">
        <f>IF(J517="syllables",1,IF(J517="trigrams",1,IF(J517="strings",1,IF(J517="visual array",1,IF(J517="characters",1,IF(J517="letters",1,IF(J517="free forms",1,IF(J517="odors",2,IF(J517="words",2,IF(J517="pictures",2,IF(J517="object pictures",2,IF(J517="faces",2,IF(J517="names",2,IF(J517="idioms","2",IF(J517="grades",2,IF(J517="syllable-digit pairs",3,IF(J517="trigram-word pairs",3,IF(J517="word-digit pairs",3,IF(J517="English-Swahili pairs",3,IF(J517="spatial position",3,IF(J517="word pairs",4,IF(J517="word triads",4,IF(J517="generated words",4,IF(J517="word definition pairs",4,IF(J517="math problems",4,IF(J517="famous faces",4,IF(J517="famous names",4,IF(J517="famous voices",4,IF(J517="television programs",4,IF(J517="race horses",4,IF(J517="new vocabulary",4,IF(J517="sentences",5,IF(J517="concepts",5,IF(J517="ad slides",5,IF(J517="scenes",5,IF(J517="famous scenes",5,IF(J517="poems",6,IF(J517="walk",6,IF(J517="faces and events",6,IF(J517="events and names",6,IF(J517="flashbulb",7,IF(J517="stories",7,IF(J517="course material",7,IF(J517="autobiographical",7,IF(J517="novels",7,IF(J517="public events",7,"99"))))))))))))))))))))))))))))))))))))))))))))))</f>
        <v>7</v>
      </c>
      <c r="M517" s="60">
        <v>1</v>
      </c>
      <c r="N517" s="60">
        <v>4</v>
      </c>
      <c r="O517" s="60">
        <v>0</v>
      </c>
      <c r="P517" s="60"/>
      <c r="Q517" s="60" t="s">
        <v>182</v>
      </c>
      <c r="R517" s="60">
        <f>IF(Q517="Free Recall",1,IF(Q517="Cued Recall",2,IF(Q517="Recognition",3,IF(Q517="Multiple Choice",4,IF(Q517="Savings",5,IF(Q517="Stem Completion",6,IF(Q517="Fragment Completion",7,IF(Q517="anagram solution",8,IF(Q517="Matching",9,IF(Q517="Problem Solving",10,"99"))))))))))</f>
        <v>4</v>
      </c>
      <c r="S517" s="60" t="s">
        <v>15</v>
      </c>
      <c r="T517" s="60" t="s">
        <v>261</v>
      </c>
      <c r="U517" s="60">
        <f>IF(T517="within",1,0)</f>
        <v>0</v>
      </c>
      <c r="V517" s="60">
        <v>6</v>
      </c>
      <c r="W517" s="60">
        <f>F517*V517</f>
        <v>1242</v>
      </c>
      <c r="X517" s="60">
        <v>5</v>
      </c>
      <c r="Y517" s="76">
        <f>AV516</f>
        <v>10368000</v>
      </c>
      <c r="Z517" s="60" t="s">
        <v>183</v>
      </c>
      <c r="AA517" s="60">
        <v>41472000</v>
      </c>
      <c r="AB517" s="60" t="str">
        <f>IF(AA517&lt;60,"1",IF(AA517&lt;=43200,"2",IF(AA517&lt;=777600,"3","4")))</f>
        <v>4</v>
      </c>
      <c r="AC517" s="56">
        <f>AVERAGE(AV516:DA516)</f>
        <v>25920000</v>
      </c>
      <c r="AD517" s="60" t="str">
        <f>IF(AC517&lt;60,"1",IF(AC517&lt;=43200,"2",IF(AC517&lt;=777600,"3","4")))</f>
        <v>4</v>
      </c>
      <c r="AE517" s="76">
        <f>AA517-Y517</f>
        <v>31104000</v>
      </c>
      <c r="AF517" s="80">
        <f>AV517</f>
        <v>0.72499999999999998</v>
      </c>
      <c r="AG517" s="56">
        <f>((AW517-AV517)+(AX517-AW517)+(AY517-AX517)+(AZ517-AY517))/4</f>
        <v>-1.1666666666666659E-2</v>
      </c>
      <c r="AH517" s="4"/>
      <c r="AI517" s="56">
        <f>RSQ(AV517:AZ517,AV516:AZ516)</f>
        <v>0.12270662240083899</v>
      </c>
      <c r="AJ517" s="109">
        <f>SLOPE(AV517:AZ517,AV516:AZ516)</f>
        <v>-1.1359739368998637E-9</v>
      </c>
      <c r="AK517" s="56">
        <f>INTERCEPT(AV517:AZ517,AV516:AZ516)</f>
        <v>0.69511111111111112</v>
      </c>
      <c r="AL517" s="56">
        <f>INDEX(LINEST(LN(AV517:AZ517),LN(AV516:AZ516),TRUE,TRUE),3,1)</f>
        <v>0.25855362296587237</v>
      </c>
      <c r="AM517" s="56">
        <f>INDEX(LINEST(LN(AV517:AZ517),LN(AV516:AZ516)),1)</f>
        <v>-5.5198547833092602E-2</v>
      </c>
      <c r="AN517" s="56">
        <f>EXP(INDEX(LINEST(LN(AV517:AZ517),LN(AV516:AZ516)),1,2))</f>
        <v>1.6953931401354716</v>
      </c>
      <c r="AO517" s="82">
        <f>INDEX(LINEST((AV517:AZ517),LN(AV516:AZ516),TRUE,TRUE),3,1)</f>
        <v>0.27510514207256409</v>
      </c>
      <c r="AP517" s="82">
        <f>INDEX(LINEST((AV517:AZ517),LN(AV516:AZ516)),1)</f>
        <v>-3.8211523542508126E-2</v>
      </c>
      <c r="AQ517" s="83">
        <f>INDEX(LINEST(LN(AV517:AZ517),SQRT(AV516:AZ516),TRUE,TRUE),3,1)</f>
        <v>0.17823287269527288</v>
      </c>
      <c r="AR517" s="116">
        <f>INDEX(LINEST(LN(AV517:AZ517),SQRT((AV516:AZ516))),1)</f>
        <v>-1.9768402420076484E-5</v>
      </c>
      <c r="AS517" s="84">
        <f>INDEX(LINEST(1/(AV517:AZ517),1/(SQRT(AV516:AZ516)),TRUE,TRUE),3,1)</f>
        <v>0.32540942646264603</v>
      </c>
      <c r="AT517" s="84">
        <f>INDEX(LINEST(1/(AV517:AZ517),1/SQRT(AV516:AZ516)),1)</f>
        <v>-820.07979287991191</v>
      </c>
      <c r="AU517" s="3"/>
      <c r="AV517" s="53">
        <v>0.72499999999999998</v>
      </c>
      <c r="AW517" s="53">
        <v>0.65166666666666673</v>
      </c>
      <c r="AX517" s="53">
        <v>0.6166666666666667</v>
      </c>
      <c r="AY517" s="53">
        <v>0.65666666666666662</v>
      </c>
      <c r="AZ517" s="53">
        <v>0.67833333333333334</v>
      </c>
      <c r="BA517" s="42"/>
      <c r="BB517" s="4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1"/>
      <c r="CS517" s="1"/>
      <c r="CT517" s="1"/>
      <c r="CU517" s="1"/>
    </row>
    <row r="518" spans="1:99" s="13" customFormat="1" ht="12" customHeight="1" x14ac:dyDescent="0.2">
      <c r="A518" s="65">
        <v>43509</v>
      </c>
      <c r="B518" s="1"/>
      <c r="C518" s="1"/>
      <c r="D518" s="60"/>
      <c r="E518" s="76"/>
      <c r="F518" s="60"/>
      <c r="G518" s="60"/>
      <c r="H518" s="60"/>
      <c r="I518" s="60"/>
      <c r="J518" s="60"/>
      <c r="K518" s="64"/>
      <c r="L518" s="64"/>
      <c r="M518" s="60"/>
      <c r="N518" s="60"/>
      <c r="O518" s="60"/>
      <c r="P518" s="60"/>
      <c r="Q518" s="60"/>
      <c r="R518" s="60"/>
      <c r="S518" s="60"/>
      <c r="T518" s="60"/>
      <c r="U518" s="60"/>
      <c r="V518" s="60"/>
      <c r="W518" s="60"/>
      <c r="X518" s="60"/>
      <c r="Y518" s="76"/>
      <c r="Z518" s="60"/>
      <c r="AA518" s="60"/>
      <c r="AB518" s="60"/>
      <c r="AC518" s="60"/>
      <c r="AD518" s="60"/>
      <c r="AE518" s="60"/>
      <c r="AF518" s="80"/>
      <c r="AG518" s="56"/>
      <c r="AH518" s="4"/>
      <c r="AI518" s="56"/>
      <c r="AJ518" s="109"/>
      <c r="AK518" s="56"/>
      <c r="AL518" s="56"/>
      <c r="AM518" s="56"/>
      <c r="AN518" s="56"/>
      <c r="AO518" s="56"/>
      <c r="AP518" s="56"/>
      <c r="AQ518" s="82"/>
      <c r="AR518" s="115"/>
      <c r="AS518" s="82"/>
      <c r="AT518" s="82"/>
      <c r="AU518" s="4"/>
      <c r="AV518" s="25">
        <f>30*24*60*60*4</f>
        <v>10368000</v>
      </c>
      <c r="AW518" s="25">
        <f>30*24*60*60*7</f>
        <v>18144000</v>
      </c>
      <c r="AX518" s="25">
        <f>30*24*60*60*10</f>
        <v>25920000</v>
      </c>
      <c r="AY518" s="25">
        <f>30*24*60*60*13</f>
        <v>33696000</v>
      </c>
      <c r="AZ518" s="25">
        <f>30*24*60*60*16</f>
        <v>41472000</v>
      </c>
      <c r="BA518" s="42"/>
      <c r="BB518" s="4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1"/>
      <c r="CS518" s="1"/>
      <c r="CT518" s="1"/>
      <c r="CU518" s="1"/>
    </row>
    <row r="519" spans="1:99" s="13" customFormat="1" ht="12" customHeight="1" x14ac:dyDescent="0.2">
      <c r="A519" s="65">
        <v>43509</v>
      </c>
      <c r="B519" s="1" t="s">
        <v>180</v>
      </c>
      <c r="C519" s="1" t="s">
        <v>181</v>
      </c>
      <c r="D519" s="60">
        <v>1978</v>
      </c>
      <c r="E519" s="76">
        <v>1</v>
      </c>
      <c r="F519" s="60">
        <v>207</v>
      </c>
      <c r="G519" s="60">
        <v>41.4</v>
      </c>
      <c r="H519" s="60" t="s">
        <v>38</v>
      </c>
      <c r="I519" s="60" t="s">
        <v>689</v>
      </c>
      <c r="J519" s="60" t="s">
        <v>585</v>
      </c>
      <c r="K519" s="60">
        <f>IF(J519="syllables",1,IF(J519="trigrams",2,IF(J519="strings",3,IF(J519="visual array",4,IF(J519="characters",5,IF(J519="letters",6,IF(J519="free forms",7,IF(J519="odors",8,IF(J519="words",9,IF(J519="pictures",10,IF(J519="object pictures",11,IF(J519="faces",12,IF(J519="names",13,IF(J519="idioms",14,IF(J519="grades",15,IF(J519="syllable-digit pairs",16,IF(J519="trigram-word pairs",17,IF(J519="word-digit pairs",18,IF(J519="English-Swahili pairs",19,IF(J519="spatial position",20,IF(J519="word pairs",21,IF(J519="word triads",22,IF(J519="generated words",23,IF(J519="word definition pairs",24,IF(J519="math problems",25,IF(J519="famous faces",26,IF(J519="famous names",27,IF(J519="famous voices",28,IF(J519="television programs",29,IF(J519="race horses",30,IF(J519="new vocabulary",31,IF(J519="sentences",32,IF(J519="concepts",33,IF(J519="ad slides",34,IF(J519="scenes",35,IF(J519="famous scenes",36,IF(J519="poems",37,IF(J519="walk",38,IF(J519="faces and events",39,IF(J519="events and names",40,IF(J519="flashbulb",41,IF(J519="stories",42,IF(J519="course material",43,IF(J519="autobiographical",44,IF(J519="novels",45,IF(J519="public events",46,"99"))))))))))))))))))))))))))))))))))))))))))))))</f>
        <v>43</v>
      </c>
      <c r="L519" s="60">
        <f>IF(J519="syllables",1,IF(J519="trigrams",1,IF(J519="strings",1,IF(J519="visual array",1,IF(J519="characters",1,IF(J519="letters",1,IF(J519="free forms",1,IF(J519="odors",2,IF(J519="words",2,IF(J519="pictures",2,IF(J519="object pictures",2,IF(J519="faces",2,IF(J519="names",2,IF(J519="idioms","2",IF(J519="grades",2,IF(J519="syllable-digit pairs",3,IF(J519="trigram-word pairs",3,IF(J519="word-digit pairs",3,IF(J519="English-Swahili pairs",3,IF(J519="spatial position",3,IF(J519="word pairs",4,IF(J519="word triads",4,IF(J519="generated words",4,IF(J519="word definition pairs",4,IF(J519="math problems",4,IF(J519="famous faces",4,IF(J519="famous names",4,IF(J519="famous voices",4,IF(J519="television programs",4,IF(J519="race horses",4,IF(J519="new vocabulary",4,IF(J519="sentences",5,IF(J519="concepts",5,IF(J519="ad slides",5,IF(J519="scenes",5,IF(J519="famous scenes",5,IF(J519="poems",6,IF(J519="walk",6,IF(J519="faces and events",6,IF(J519="events and names",6,IF(J519="flashbulb",7,IF(J519="stories",7,IF(J519="course material",7,IF(J519="autobiographical",7,IF(J519="novels",7,IF(J519="public events",7,"99"))))))))))))))))))))))))))))))))))))))))))))))</f>
        <v>7</v>
      </c>
      <c r="M519" s="60">
        <v>1</v>
      </c>
      <c r="N519" s="60">
        <v>4</v>
      </c>
      <c r="O519" s="60">
        <v>0</v>
      </c>
      <c r="P519" s="60"/>
      <c r="Q519" s="60" t="s">
        <v>182</v>
      </c>
      <c r="R519" s="60">
        <f>IF(Q519="Free Recall",1,IF(Q519="Cued Recall",2,IF(Q519="Recognition",3,IF(Q519="Multiple Choice",4,IF(Q519="Savings",5,IF(Q519="Stem Completion",6,IF(Q519="Fragment Completion",7,IF(Q519="anagram solution",8,IF(Q519="Matching",9,IF(Q519="Problem Solving",10,"99"))))))))))</f>
        <v>4</v>
      </c>
      <c r="S519" s="60" t="s">
        <v>15</v>
      </c>
      <c r="T519" s="60" t="s">
        <v>261</v>
      </c>
      <c r="U519" s="60">
        <f>IF(T519="within",1,0)</f>
        <v>0</v>
      </c>
      <c r="V519" s="60">
        <v>4</v>
      </c>
      <c r="W519" s="60">
        <f>F519*V519</f>
        <v>828</v>
      </c>
      <c r="X519" s="60">
        <v>5</v>
      </c>
      <c r="Y519" s="76">
        <f>AV518</f>
        <v>10368000</v>
      </c>
      <c r="Z519" s="60" t="s">
        <v>183</v>
      </c>
      <c r="AA519" s="60">
        <v>41472000</v>
      </c>
      <c r="AB519" s="60" t="str">
        <f>IF(AA519&lt;60,"1",IF(AA519&lt;=43200,"2",IF(AA519&lt;=777600,"3","4")))</f>
        <v>4</v>
      </c>
      <c r="AC519" s="56">
        <f>AVERAGE(AV518:DA518)</f>
        <v>25920000</v>
      </c>
      <c r="AD519" s="60" t="str">
        <f>IF(AC519&lt;60,"1",IF(AC519&lt;=43200,"2",IF(AC519&lt;=777600,"3","4")))</f>
        <v>4</v>
      </c>
      <c r="AE519" s="76">
        <f>AA519-Y519</f>
        <v>31104000</v>
      </c>
      <c r="AF519" s="80">
        <f>AV519</f>
        <v>0.49</v>
      </c>
      <c r="AG519" s="56">
        <f>((AW519-AV519)+(AX519-AW519)+(AY519-AX519)+(AZ519-AY519))/4</f>
        <v>1.1874999999999997E-2</v>
      </c>
      <c r="AH519" s="4"/>
      <c r="AI519" s="56">
        <f>RSQ(AV519:AZ519,AV518:AZ518)</f>
        <v>0.29488078541374507</v>
      </c>
      <c r="AJ519" s="109">
        <f>SLOPE(AV519:AZ519,AV518:AZ518)</f>
        <v>9.3235596707818954E-10</v>
      </c>
      <c r="AK519" s="56">
        <f>INTERCEPT(AV519:AZ519,AV518:AZ518)</f>
        <v>0.47983333333333333</v>
      </c>
      <c r="AL519" s="56">
        <f>INDEX(LINEST(LN(AV519:AZ519),LN(AV518:AZ518),TRUE,TRUE),3,1)</f>
        <v>0.21996562458665053</v>
      </c>
      <c r="AM519" s="56">
        <f>INDEX(LINEST(LN(AV519:AZ519),LN(AV518:AZ518)),1)</f>
        <v>3.5331866837774707E-2</v>
      </c>
      <c r="AN519" s="56">
        <f>EXP(INDEX(LINEST(LN(AV519:AZ519),LN(AV518:AZ518)),1,2))</f>
        <v>0.27660089731423076</v>
      </c>
      <c r="AO519" s="82">
        <f>INDEX(LINEST((AV519:AZ519),LN(AV518:AZ518),TRUE,TRUE),3,1)</f>
        <v>0.22392957693799884</v>
      </c>
      <c r="AP519" s="82">
        <f>INDEX(LINEST((AV519:AZ519),LN(AV518:AZ518)),1)</f>
        <v>1.8252606063314022E-2</v>
      </c>
      <c r="AQ519" s="83">
        <f>INDEX(LINEST(LN(AV519:AZ519),SQRT(AV518:AZ518),TRUE,TRUE),3,1)</f>
        <v>0.25206905765805621</v>
      </c>
      <c r="AR519" s="116">
        <f>INDEX(LINEST(LN(AV519:AZ519),SQRT((AV518:AZ518))),1)</f>
        <v>1.6314519111057969E-5</v>
      </c>
      <c r="AS519" s="84">
        <f>INDEX(LINEST(1/(AV519:AZ519),1/(SQRT(AV518:AZ518)),TRUE,TRUE),3,1)</f>
        <v>0.19062327986025998</v>
      </c>
      <c r="AT519" s="84">
        <f>INDEX(LINEST(1/(AV519:AZ519),1/SQRT(AV518:AZ518)),1)</f>
        <v>569.78670438647043</v>
      </c>
      <c r="AU519" s="3"/>
      <c r="AV519" s="53">
        <v>0.49</v>
      </c>
      <c r="AW519" s="53">
        <v>0.51249999999999996</v>
      </c>
      <c r="AX519" s="53">
        <v>0.49</v>
      </c>
      <c r="AY519" s="53">
        <v>0.49</v>
      </c>
      <c r="AZ519" s="53">
        <v>0.53749999999999998</v>
      </c>
      <c r="BA519" s="42"/>
      <c r="BB519" s="4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1"/>
      <c r="CS519" s="1"/>
      <c r="CT519" s="1"/>
      <c r="CU519" s="1"/>
    </row>
    <row r="520" spans="1:99" s="13" customFormat="1" ht="12" customHeight="1" x14ac:dyDescent="0.2">
      <c r="A520" s="65">
        <v>43509</v>
      </c>
      <c r="B520" s="1"/>
      <c r="C520" s="1"/>
      <c r="D520" s="60"/>
      <c r="E520" s="76"/>
      <c r="F520" s="60"/>
      <c r="G520" s="60"/>
      <c r="H520" s="60"/>
      <c r="I520" s="60"/>
      <c r="J520" s="60"/>
      <c r="K520" s="64"/>
      <c r="L520" s="64"/>
      <c r="M520" s="60"/>
      <c r="N520" s="60"/>
      <c r="O520" s="60"/>
      <c r="P520" s="60"/>
      <c r="Q520" s="60"/>
      <c r="R520" s="60"/>
      <c r="S520" s="60"/>
      <c r="T520" s="60"/>
      <c r="U520" s="60"/>
      <c r="V520" s="60"/>
      <c r="W520" s="60"/>
      <c r="X520" s="60"/>
      <c r="Y520" s="76"/>
      <c r="Z520" s="60"/>
      <c r="AA520" s="60"/>
      <c r="AB520" s="60"/>
      <c r="AC520" s="60"/>
      <c r="AD520" s="60"/>
      <c r="AE520" s="60"/>
      <c r="AF520" s="80"/>
      <c r="AG520" s="56"/>
      <c r="AH520" s="4"/>
      <c r="AI520" s="56"/>
      <c r="AJ520" s="109"/>
      <c r="AK520" s="56"/>
      <c r="AL520" s="56"/>
      <c r="AM520" s="56"/>
      <c r="AN520" s="56"/>
      <c r="AO520" s="56"/>
      <c r="AP520" s="56"/>
      <c r="AQ520" s="82"/>
      <c r="AR520" s="115"/>
      <c r="AS520" s="82"/>
      <c r="AT520" s="82"/>
      <c r="AU520" s="4"/>
      <c r="AV520" s="25">
        <f>30*24*60*60*4</f>
        <v>10368000</v>
      </c>
      <c r="AW520" s="25">
        <f>30*24*60*60*7</f>
        <v>18144000</v>
      </c>
      <c r="AX520" s="25">
        <f>30*24*60*60*10</f>
        <v>25920000</v>
      </c>
      <c r="AY520" s="25">
        <f>30*24*60*60*13</f>
        <v>33696000</v>
      </c>
      <c r="AZ520" s="25">
        <f>30*24*60*60*16</f>
        <v>41472000</v>
      </c>
      <c r="BA520" s="42"/>
      <c r="BB520" s="42"/>
      <c r="BC520" s="39"/>
      <c r="BD520" s="39"/>
      <c r="BE520" s="39"/>
      <c r="BF520" s="39"/>
      <c r="BG520" s="39"/>
      <c r="BH520" s="39"/>
      <c r="BI520" s="39"/>
      <c r="BJ520" s="39"/>
      <c r="BK520" s="39"/>
      <c r="BL520" s="39"/>
      <c r="BM520" s="39"/>
      <c r="BN520" s="39"/>
      <c r="BO520" s="39"/>
      <c r="BP520" s="39"/>
      <c r="BQ520" s="39"/>
      <c r="BR520" s="39"/>
      <c r="BS520" s="39"/>
      <c r="BT520" s="39"/>
      <c r="BU520" s="39"/>
      <c r="BV520" s="39"/>
      <c r="BW520" s="39"/>
      <c r="BX520" s="39"/>
      <c r="BY520" s="39"/>
      <c r="BZ520" s="39"/>
      <c r="CA520" s="39"/>
      <c r="CB520" s="39"/>
      <c r="CC520" s="39"/>
      <c r="CD520" s="39"/>
      <c r="CE520" s="39"/>
      <c r="CF520" s="39"/>
      <c r="CG520" s="39"/>
      <c r="CH520" s="39"/>
      <c r="CI520" s="39"/>
      <c r="CJ520" s="39"/>
      <c r="CK520" s="39"/>
      <c r="CL520" s="39"/>
      <c r="CM520" s="39"/>
      <c r="CN520" s="39"/>
      <c r="CO520" s="39"/>
      <c r="CP520" s="39"/>
      <c r="CQ520" s="39"/>
      <c r="CR520" s="1"/>
      <c r="CS520" s="1"/>
      <c r="CT520" s="1"/>
      <c r="CU520" s="1"/>
    </row>
    <row r="521" spans="1:99" s="13" customFormat="1" ht="12" customHeight="1" x14ac:dyDescent="0.2">
      <c r="A521" s="65">
        <v>43509</v>
      </c>
      <c r="B521" s="1" t="s">
        <v>180</v>
      </c>
      <c r="C521" s="1" t="s">
        <v>181</v>
      </c>
      <c r="D521" s="60">
        <v>1978</v>
      </c>
      <c r="E521" s="76">
        <v>1</v>
      </c>
      <c r="F521" s="60">
        <v>207</v>
      </c>
      <c r="G521" s="60">
        <v>41.4</v>
      </c>
      <c r="H521" s="60" t="s">
        <v>38</v>
      </c>
      <c r="I521" s="60" t="s">
        <v>690</v>
      </c>
      <c r="J521" s="60" t="s">
        <v>585</v>
      </c>
      <c r="K521" s="60">
        <f>IF(J521="syllables",1,IF(J521="trigrams",2,IF(J521="strings",3,IF(J521="visual array",4,IF(J521="characters",5,IF(J521="letters",6,IF(J521="free forms",7,IF(J521="odors",8,IF(J521="words",9,IF(J521="pictures",10,IF(J521="object pictures",11,IF(J521="faces",12,IF(J521="names",13,IF(J521="idioms",14,IF(J521="grades",15,IF(J521="syllable-digit pairs",16,IF(J521="trigram-word pairs",17,IF(J521="word-digit pairs",18,IF(J521="English-Swahili pairs",19,IF(J521="spatial position",20,IF(J521="word pairs",21,IF(J521="word triads",22,IF(J521="generated words",23,IF(J521="word definition pairs",24,IF(J521="math problems",25,IF(J521="famous faces",26,IF(J521="famous names",27,IF(J521="famous voices",28,IF(J521="television programs",29,IF(J521="race horses",30,IF(J521="new vocabulary",31,IF(J521="sentences",32,IF(J521="concepts",33,IF(J521="ad slides",34,IF(J521="scenes",35,IF(J521="famous scenes",36,IF(J521="poems",37,IF(J521="walk",38,IF(J521="faces and events",39,IF(J521="events and names",40,IF(J521="flashbulb",41,IF(J521="stories",42,IF(J521="course material",43,IF(J521="autobiographical",44,IF(J521="novels",45,IF(J521="public events",46,"99"))))))))))))))))))))))))))))))))))))))))))))))</f>
        <v>43</v>
      </c>
      <c r="L521" s="60">
        <f>IF(J521="syllables",1,IF(J521="trigrams",1,IF(J521="strings",1,IF(J521="visual array",1,IF(J521="characters",1,IF(J521="letters",1,IF(J521="free forms",1,IF(J521="odors",2,IF(J521="words",2,IF(J521="pictures",2,IF(J521="object pictures",2,IF(J521="faces",2,IF(J521="names",2,IF(J521="idioms","2",IF(J521="grades",2,IF(J521="syllable-digit pairs",3,IF(J521="trigram-word pairs",3,IF(J521="word-digit pairs",3,IF(J521="English-Swahili pairs",3,IF(J521="spatial position",3,IF(J521="word pairs",4,IF(J521="word triads",4,IF(J521="generated words",4,IF(J521="word definition pairs",4,IF(J521="math problems",4,IF(J521="famous faces",4,IF(J521="famous names",4,IF(J521="famous voices",4,IF(J521="television programs",4,IF(J521="race horses",4,IF(J521="new vocabulary",4,IF(J521="sentences",5,IF(J521="concepts",5,IF(J521="ad slides",5,IF(J521="scenes",5,IF(J521="famous scenes",5,IF(J521="poems",6,IF(J521="walk",6,IF(J521="faces and events",6,IF(J521="events and names",6,IF(J521="flashbulb",7,IF(J521="stories",7,IF(J521="course material",7,IF(J521="autobiographical",7,IF(J521="novels",7,IF(J521="public events",7,"99"))))))))))))))))))))))))))))))))))))))))))))))</f>
        <v>7</v>
      </c>
      <c r="M521" s="60">
        <v>1</v>
      </c>
      <c r="N521" s="60">
        <v>4</v>
      </c>
      <c r="O521" s="60">
        <v>0</v>
      </c>
      <c r="P521" s="60"/>
      <c r="Q521" s="60" t="s">
        <v>182</v>
      </c>
      <c r="R521" s="60">
        <f>IF(Q521="Free Recall",1,IF(Q521="Cued Recall",2,IF(Q521="Recognition",3,IF(Q521="Multiple Choice",4,IF(Q521="Savings",5,IF(Q521="Stem Completion",6,IF(Q521="Fragment Completion",7,IF(Q521="anagram solution",8,IF(Q521="Matching",9,IF(Q521="Problem Solving",10,"99"))))))))))</f>
        <v>4</v>
      </c>
      <c r="S521" s="60" t="s">
        <v>15</v>
      </c>
      <c r="T521" s="60" t="s">
        <v>261</v>
      </c>
      <c r="U521" s="60">
        <f>IF(T521="within",1,0)</f>
        <v>0</v>
      </c>
      <c r="V521" s="60">
        <v>3</v>
      </c>
      <c r="W521" s="60">
        <f>F521*V521</f>
        <v>621</v>
      </c>
      <c r="X521" s="60">
        <v>5</v>
      </c>
      <c r="Y521" s="76">
        <f>AV520</f>
        <v>10368000</v>
      </c>
      <c r="Z521" s="60" t="s">
        <v>183</v>
      </c>
      <c r="AA521" s="60">
        <v>41472000</v>
      </c>
      <c r="AB521" s="60" t="str">
        <f>IF(AA521&lt;60,"1",IF(AA521&lt;=43200,"2",IF(AA521&lt;=777600,"3","4")))</f>
        <v>4</v>
      </c>
      <c r="AC521" s="56">
        <f>AVERAGE(AV520:DA520)</f>
        <v>25920000</v>
      </c>
      <c r="AD521" s="60" t="str">
        <f>IF(AC521&lt;60,"1",IF(AC521&lt;=43200,"2",IF(AC521&lt;=777600,"3","4")))</f>
        <v>4</v>
      </c>
      <c r="AE521" s="76">
        <f>AA521-Y521</f>
        <v>31104000</v>
      </c>
      <c r="AF521" s="80">
        <f>AV521</f>
        <v>0.51666666666666672</v>
      </c>
      <c r="AG521" s="58">
        <f>((AW521-AV521)+(AX521-AW521)+(AY521-AX521)+(AZ521-AY521))/4</f>
        <v>-2.5000000000000022E-3</v>
      </c>
      <c r="AH521" s="4"/>
      <c r="AI521" s="56">
        <f>RSQ(AV521:AZ521,AV520:AZ520)</f>
        <v>0.1669928245270714</v>
      </c>
      <c r="AJ521" s="109">
        <f>SLOPE(AV521:AZ521,AV520:AZ520)</f>
        <v>-1.3717421124828541E-9</v>
      </c>
      <c r="AK521" s="56">
        <f>INTERCEPT(AV521:AZ521,AV520:AZ520)</f>
        <v>0.54355555555555557</v>
      </c>
      <c r="AL521" s="56">
        <f>INDEX(LINEST(LN(AV521:AZ521),LN(AV520:AZ520),TRUE,TRUE),3,1)</f>
        <v>0.1385854496188042</v>
      </c>
      <c r="AM521" s="56">
        <f>INDEX(LINEST(LN(AV521:AZ521),LN(AV520:AZ520)),1)</f>
        <v>-5.743500690022494E-2</v>
      </c>
      <c r="AN521" s="56">
        <f>EXP(INDEX(LINEST(LN(AV521:AZ521),LN(AV520:AZ520)),1,2))</f>
        <v>1.3420295224620298</v>
      </c>
      <c r="AO521" s="82">
        <f>INDEX(LINEST((AV521:AZ521),LN(AV520:AZ520),TRUE,TRUE),3,1)</f>
        <v>0.13394520236673521</v>
      </c>
      <c r="AP521" s="82">
        <f>INDEX(LINEST((AV521:AZ521),LN(AV520:AZ520)),1)</f>
        <v>-2.7599281837453943E-2</v>
      </c>
      <c r="AQ521" s="83">
        <f>INDEX(LINEST(LN(AV521:AZ521),SQRT(AV520:AZ520),TRUE,TRUE),3,1)</f>
        <v>0.15653258515264634</v>
      </c>
      <c r="AR521" s="116">
        <f>INDEX(LINEST(LN(AV521:AZ521),SQRT((AV520:AZ520))),1)</f>
        <v>-2.6329679343925486E-5</v>
      </c>
      <c r="AS521" s="84">
        <f>INDEX(LINEST(1/(AV521:AZ521),1/(SQRT(AV520:AZ520)),TRUE,TRUE),3,1)</f>
        <v>0.12217769065079481</v>
      </c>
      <c r="AT521" s="84">
        <f>INDEX(LINEST(1/(AV521:AZ521),1/SQRT(AV520:AZ520)),1)</f>
        <v>-982.41706402604905</v>
      </c>
      <c r="AU521" s="3"/>
      <c r="AV521" s="53">
        <v>0.51666666666666672</v>
      </c>
      <c r="AW521" s="53">
        <v>0.52666666666666673</v>
      </c>
      <c r="AX521" s="53">
        <v>0.54999999999999993</v>
      </c>
      <c r="AY521" s="53">
        <v>0.44</v>
      </c>
      <c r="AZ521" s="53">
        <v>0.50666666666666671</v>
      </c>
      <c r="BA521" s="42"/>
      <c r="BB521" s="42"/>
      <c r="BC521" s="39"/>
      <c r="BD521" s="39"/>
      <c r="BE521" s="39"/>
      <c r="BF521" s="39"/>
      <c r="BG521" s="39"/>
      <c r="BH521" s="39"/>
      <c r="BI521" s="39"/>
      <c r="BJ521" s="39"/>
      <c r="BK521" s="39"/>
      <c r="BL521" s="39"/>
      <c r="BM521" s="39"/>
      <c r="BN521" s="39"/>
      <c r="BO521" s="39"/>
      <c r="BP521" s="39"/>
      <c r="BQ521" s="39"/>
      <c r="BR521" s="39"/>
      <c r="BS521" s="39"/>
      <c r="BT521" s="39"/>
      <c r="BU521" s="39"/>
      <c r="BV521" s="39"/>
      <c r="BW521" s="39"/>
      <c r="BX521" s="39"/>
      <c r="BY521" s="39"/>
      <c r="BZ521" s="39"/>
      <c r="CA521" s="39"/>
      <c r="CB521" s="39"/>
      <c r="CC521" s="39"/>
      <c r="CD521" s="39"/>
      <c r="CE521" s="39"/>
      <c r="CF521" s="39"/>
      <c r="CG521" s="39"/>
      <c r="CH521" s="39"/>
      <c r="CI521" s="39"/>
      <c r="CJ521" s="39"/>
      <c r="CK521" s="39"/>
      <c r="CL521" s="39"/>
      <c r="CM521" s="39"/>
      <c r="CN521" s="39"/>
      <c r="CO521" s="39"/>
      <c r="CP521" s="39"/>
      <c r="CQ521" s="39"/>
      <c r="CR521" s="1"/>
      <c r="CS521" s="1"/>
      <c r="CT521" s="1"/>
      <c r="CU521" s="1"/>
    </row>
    <row r="522" spans="1:99" s="13" customFormat="1" ht="12" customHeight="1" x14ac:dyDescent="0.2">
      <c r="A522" s="65">
        <v>43509</v>
      </c>
      <c r="B522" s="1"/>
      <c r="C522" s="1"/>
      <c r="D522" s="60"/>
      <c r="E522" s="76"/>
      <c r="F522" s="60"/>
      <c r="G522" s="60"/>
      <c r="H522" s="60"/>
      <c r="I522" s="60"/>
      <c r="J522" s="60"/>
      <c r="K522" s="64"/>
      <c r="L522" s="64"/>
      <c r="M522" s="60"/>
      <c r="N522" s="60"/>
      <c r="O522" s="60"/>
      <c r="P522" s="60"/>
      <c r="Q522" s="60"/>
      <c r="R522" s="60"/>
      <c r="S522" s="60"/>
      <c r="T522" s="60"/>
      <c r="U522" s="60"/>
      <c r="V522" s="60"/>
      <c r="W522" s="60"/>
      <c r="X522" s="60"/>
      <c r="Y522" s="76"/>
      <c r="Z522" s="60"/>
      <c r="AA522" s="60"/>
      <c r="AB522" s="60"/>
      <c r="AC522" s="60"/>
      <c r="AD522" s="60"/>
      <c r="AE522" s="60"/>
      <c r="AF522" s="80"/>
      <c r="AG522" s="56"/>
      <c r="AH522" s="4"/>
      <c r="AI522" s="56"/>
      <c r="AJ522" s="109"/>
      <c r="AK522" s="56"/>
      <c r="AL522" s="56"/>
      <c r="AM522" s="56"/>
      <c r="AN522" s="56"/>
      <c r="AO522" s="56"/>
      <c r="AP522" s="56"/>
      <c r="AQ522" s="56"/>
      <c r="AR522" s="109"/>
      <c r="AS522" s="56"/>
      <c r="AT522" s="56"/>
      <c r="AU522" s="4"/>
      <c r="AV522" s="25">
        <f>30*24*60*60*4</f>
        <v>10368000</v>
      </c>
      <c r="AW522" s="25">
        <f>30*24*60*60*7</f>
        <v>18144000</v>
      </c>
      <c r="AX522" s="25">
        <f>30*24*60*60*10</f>
        <v>25920000</v>
      </c>
      <c r="AY522" s="25">
        <f>30*24*60*60*13</f>
        <v>33696000</v>
      </c>
      <c r="AZ522" s="25">
        <f>30*24*60*60*16</f>
        <v>41472000</v>
      </c>
      <c r="BA522" s="42"/>
      <c r="BB522" s="42"/>
      <c r="BC522" s="39"/>
      <c r="BD522" s="39"/>
      <c r="BE522" s="39"/>
      <c r="BF522" s="39"/>
      <c r="BG522" s="39"/>
      <c r="BH522" s="39"/>
      <c r="BI522" s="39"/>
      <c r="BJ522" s="39"/>
      <c r="BK522" s="39"/>
      <c r="BL522" s="39"/>
      <c r="BM522" s="39"/>
      <c r="BN522" s="39"/>
      <c r="BO522" s="39"/>
      <c r="BP522" s="39"/>
      <c r="BQ522" s="39"/>
      <c r="BR522" s="39"/>
      <c r="BS522" s="39"/>
      <c r="BT522" s="39"/>
      <c r="BU522" s="39"/>
      <c r="BV522" s="39"/>
      <c r="BW522" s="39"/>
      <c r="BX522" s="39"/>
      <c r="BY522" s="39"/>
      <c r="BZ522" s="39"/>
      <c r="CA522" s="39"/>
      <c r="CB522" s="39"/>
      <c r="CC522" s="39"/>
      <c r="CD522" s="39"/>
      <c r="CE522" s="39"/>
      <c r="CF522" s="39"/>
      <c r="CG522" s="39"/>
      <c r="CH522" s="39"/>
      <c r="CI522" s="39"/>
      <c r="CJ522" s="39"/>
      <c r="CK522" s="39"/>
      <c r="CL522" s="39"/>
      <c r="CM522" s="39"/>
      <c r="CN522" s="39"/>
      <c r="CO522" s="39"/>
      <c r="CP522" s="39"/>
      <c r="CQ522" s="39"/>
      <c r="CR522" s="1"/>
      <c r="CS522" s="1"/>
      <c r="CT522" s="1"/>
      <c r="CU522" s="1"/>
    </row>
    <row r="523" spans="1:99" s="13" customFormat="1" ht="12" customHeight="1" x14ac:dyDescent="0.2">
      <c r="A523" s="65">
        <v>43509</v>
      </c>
      <c r="B523" s="1" t="s">
        <v>180</v>
      </c>
      <c r="C523" s="1" t="s">
        <v>181</v>
      </c>
      <c r="D523" s="60">
        <v>1978</v>
      </c>
      <c r="E523" s="76">
        <v>1</v>
      </c>
      <c r="F523" s="60">
        <v>189</v>
      </c>
      <c r="G523" s="60">
        <v>37.799999999999997</v>
      </c>
      <c r="H523" s="60" t="s">
        <v>38</v>
      </c>
      <c r="I523" s="60" t="s">
        <v>691</v>
      </c>
      <c r="J523" s="60" t="s">
        <v>585</v>
      </c>
      <c r="K523" s="60">
        <f>IF(J523="syllables",1,IF(J523="trigrams",2,IF(J523="strings",3,IF(J523="visual array",4,IF(J523="characters",5,IF(J523="letters",6,IF(J523="free forms",7,IF(J523="odors",8,IF(J523="words",9,IF(J523="pictures",10,IF(J523="object pictures",11,IF(J523="faces",12,IF(J523="names",13,IF(J523="idioms",14,IF(J523="grades",15,IF(J523="syllable-digit pairs",16,IF(J523="trigram-word pairs",17,IF(J523="word-digit pairs",18,IF(J523="English-Swahili pairs",19,IF(J523="spatial position",20,IF(J523="word pairs",21,IF(J523="word triads",22,IF(J523="generated words",23,IF(J523="word definition pairs",24,IF(J523="math problems",25,IF(J523="famous faces",26,IF(J523="famous names",27,IF(J523="famous voices",28,IF(J523="television programs",29,IF(J523="race horses",30,IF(J523="new vocabulary",31,IF(J523="sentences",32,IF(J523="concepts",33,IF(J523="ad slides",34,IF(J523="scenes",35,IF(J523="famous scenes",36,IF(J523="poems",37,IF(J523="walk",38,IF(J523="faces and events",39,IF(J523="events and names",40,IF(J523="flashbulb",41,IF(J523="stories",42,IF(J523="course material",43,IF(J523="autobiographical",44,IF(J523="novels",45,IF(J523="public events",46,"99"))))))))))))))))))))))))))))))))))))))))))))))</f>
        <v>43</v>
      </c>
      <c r="L523" s="60">
        <f>IF(J523="syllables",1,IF(J523="trigrams",1,IF(J523="strings",1,IF(J523="visual array",1,IF(J523="characters",1,IF(J523="letters",1,IF(J523="free forms",1,IF(J523="odors",2,IF(J523="words",2,IF(J523="pictures",2,IF(J523="object pictures",2,IF(J523="faces",2,IF(J523="names",2,IF(J523="idioms","2",IF(J523="grades",2,IF(J523="syllable-digit pairs",3,IF(J523="trigram-word pairs",3,IF(J523="word-digit pairs",3,IF(J523="English-Swahili pairs",3,IF(J523="spatial position",3,IF(J523="word pairs",4,IF(J523="word triads",4,IF(J523="generated words",4,IF(J523="word definition pairs",4,IF(J523="math problems",4,IF(J523="famous faces",4,IF(J523="famous names",4,IF(J523="famous voices",4,IF(J523="television programs",4,IF(J523="race horses",4,IF(J523="new vocabulary",4,IF(J523="sentences",5,IF(J523="concepts",5,IF(J523="ad slides",5,IF(J523="scenes",5,IF(J523="famous scenes",5,IF(J523="poems",6,IF(J523="walk",6,IF(J523="faces and events",6,IF(J523="events and names",6,IF(J523="flashbulb",7,IF(J523="stories",7,IF(J523="course material",7,IF(J523="autobiographical",7,IF(J523="novels",7,IF(J523="public events",7,"99"))))))))))))))))))))))))))))))))))))))))))))))</f>
        <v>7</v>
      </c>
      <c r="M523" s="60">
        <v>1</v>
      </c>
      <c r="N523" s="60">
        <v>4</v>
      </c>
      <c r="O523" s="60">
        <v>0</v>
      </c>
      <c r="P523" s="60"/>
      <c r="Q523" s="60" t="s">
        <v>182</v>
      </c>
      <c r="R523" s="60">
        <f>IF(Q523="Free Recall",1,IF(Q523="Cued Recall",2,IF(Q523="Recognition",3,IF(Q523="Multiple Choice",4,IF(Q523="Savings",5,IF(Q523="Stem Completion",6,IF(Q523="Fragment Completion",7,IF(Q523="anagram solution",8,IF(Q523="Matching",9,IF(Q523="Problem Solving",10,"99"))))))))))</f>
        <v>4</v>
      </c>
      <c r="S523" s="60" t="s">
        <v>15</v>
      </c>
      <c r="T523" s="60" t="s">
        <v>261</v>
      </c>
      <c r="U523" s="60">
        <f>IF(T523="within",1,0)</f>
        <v>0</v>
      </c>
      <c r="V523" s="60">
        <v>9</v>
      </c>
      <c r="W523" s="60">
        <f>F523*V523</f>
        <v>1701</v>
      </c>
      <c r="X523" s="60">
        <v>5</v>
      </c>
      <c r="Y523" s="76">
        <f>AV522</f>
        <v>10368000</v>
      </c>
      <c r="Z523" s="60" t="s">
        <v>183</v>
      </c>
      <c r="AA523" s="60">
        <v>41472000</v>
      </c>
      <c r="AB523" s="60" t="str">
        <f>IF(AA523&lt;60,"1",IF(AA523&lt;=43200,"2",IF(AA523&lt;=777600,"3","4")))</f>
        <v>4</v>
      </c>
      <c r="AC523" s="56">
        <f>AVERAGE(AV522:DA522)</f>
        <v>25920000</v>
      </c>
      <c r="AD523" s="60" t="str">
        <f>IF(AC523&lt;60,"1",IF(AC523&lt;=43200,"2",IF(AC523&lt;=777600,"3","4")))</f>
        <v>4</v>
      </c>
      <c r="AE523" s="76">
        <f>AA523-Y523</f>
        <v>31104000</v>
      </c>
      <c r="AF523" s="80">
        <f>AV523</f>
        <v>0.65333333333333332</v>
      </c>
      <c r="AG523" s="56">
        <f>((AW523-AV523)+(AX523-AW523)+(AY523-AX523)+(AZ523-AY523))/4</f>
        <v>-4.416666666666666E-2</v>
      </c>
      <c r="AH523" s="4"/>
      <c r="AI523" s="56">
        <f>RSQ(AV523:AZ523,AV522:AZ522)</f>
        <v>0.80006192376496477</v>
      </c>
      <c r="AJ523" s="109">
        <f>SLOPE(AV523:AZ523,AV522:AZ522)</f>
        <v>-4.8725422953817999E-9</v>
      </c>
      <c r="AK523" s="56">
        <f>INTERCEPT(AV523:AZ523,AV522:AZ522)</f>
        <v>0.68296296296296288</v>
      </c>
      <c r="AL523" s="56">
        <f>INDEX(LINEST(LN(AV523:AZ523),LN(AV522:AZ522),TRUE,TRUE),3,1)</f>
        <v>0.83414789545755663</v>
      </c>
      <c r="AM523" s="56">
        <f>INDEX(LINEST(LN(AV523:AZ523),LN(AV522:AZ522)),1)</f>
        <v>-0.19913673194180401</v>
      </c>
      <c r="AN523" s="56">
        <f>EXP(INDEX(LINEST(LN(AV523:AZ523),LN(AV522:AZ522)),1,2))</f>
        <v>16.221304568570641</v>
      </c>
      <c r="AO523" s="82">
        <f>INDEX(LINEST((AV523:AZ523),LN(AV522:AZ522),TRUE,TRUE),3,1)</f>
        <v>0.85009517358111308</v>
      </c>
      <c r="AP523" s="82">
        <f>INDEX(LINEST((AV523:AZ523),LN(AV522:AZ522)),1)</f>
        <v>-0.11283354302654863</v>
      </c>
      <c r="AQ523" s="83">
        <f>INDEX(LINEST(LN(AV523:AZ523),SQRT(AV522:AZ522),TRUE,TRUE),3,1)</f>
        <v>0.82388332690335464</v>
      </c>
      <c r="AR523" s="116">
        <f>INDEX(LINEST(LN(AV523:AZ523),SQRT((AV522:AZ522))),1)</f>
        <v>-8.5366609835536408E-5</v>
      </c>
      <c r="AS523" s="84">
        <f>INDEX(LINEST(1/(AV523:AZ523),1/(SQRT(AV522:AZ522)),TRUE,TRUE),3,1)</f>
        <v>0.80234989257175504</v>
      </c>
      <c r="AT523" s="84">
        <f>INDEX(LINEST(1/(AV523:AZ523),1/SQRT(AV522:AZ522)),1)</f>
        <v>-3115.1884519486975</v>
      </c>
      <c r="AU523" s="3"/>
      <c r="AV523" s="53">
        <v>0.65333333333333332</v>
      </c>
      <c r="AW523" s="53">
        <v>0.58111111111111113</v>
      </c>
      <c r="AX523" s="53">
        <v>0.51666666666666672</v>
      </c>
      <c r="AY523" s="53">
        <v>0.55555555555555558</v>
      </c>
      <c r="AZ523" s="53">
        <v>0.47666666666666668</v>
      </c>
      <c r="BA523" s="42"/>
      <c r="BB523" s="42"/>
      <c r="BC523" s="39"/>
      <c r="BD523" s="39"/>
      <c r="BE523" s="39"/>
      <c r="BF523" s="39"/>
      <c r="BG523" s="39"/>
      <c r="BH523" s="39"/>
      <c r="BI523" s="39"/>
      <c r="BJ523" s="39"/>
      <c r="BK523" s="39"/>
      <c r="BL523" s="39"/>
      <c r="BM523" s="39"/>
      <c r="BN523" s="39"/>
      <c r="BO523" s="39"/>
      <c r="BP523" s="39"/>
      <c r="BQ523" s="39"/>
      <c r="BR523" s="39"/>
      <c r="BS523" s="39"/>
      <c r="BT523" s="39"/>
      <c r="BU523" s="39"/>
      <c r="BV523" s="39"/>
      <c r="BW523" s="39"/>
      <c r="BX523" s="39"/>
      <c r="BY523" s="39"/>
      <c r="BZ523" s="39"/>
      <c r="CA523" s="39"/>
      <c r="CB523" s="39"/>
      <c r="CC523" s="39"/>
      <c r="CD523" s="39"/>
      <c r="CE523" s="39"/>
      <c r="CF523" s="39"/>
      <c r="CG523" s="39"/>
      <c r="CH523" s="39"/>
      <c r="CI523" s="39"/>
      <c r="CJ523" s="39"/>
      <c r="CK523" s="39"/>
      <c r="CL523" s="39"/>
      <c r="CM523" s="39"/>
      <c r="CN523" s="39"/>
      <c r="CO523" s="39"/>
      <c r="CP523" s="39"/>
      <c r="CQ523" s="39"/>
      <c r="CR523" s="1"/>
      <c r="CS523" s="1"/>
      <c r="CT523" s="1"/>
      <c r="CU523" s="1"/>
    </row>
    <row r="524" spans="1:99" s="13" customFormat="1" ht="12" customHeight="1" x14ac:dyDescent="0.2">
      <c r="A524" s="65">
        <v>43509</v>
      </c>
      <c r="B524" s="1"/>
      <c r="C524" s="1"/>
      <c r="D524" s="60"/>
      <c r="E524" s="76"/>
      <c r="F524" s="60"/>
      <c r="G524" s="60"/>
      <c r="H524" s="60"/>
      <c r="I524" s="60"/>
      <c r="J524" s="60"/>
      <c r="K524" s="64"/>
      <c r="L524" s="64"/>
      <c r="M524" s="60"/>
      <c r="N524" s="60"/>
      <c r="O524" s="60"/>
      <c r="P524" s="60"/>
      <c r="Q524" s="60"/>
      <c r="R524" s="60"/>
      <c r="S524" s="60"/>
      <c r="T524" s="60"/>
      <c r="U524" s="60"/>
      <c r="V524" s="60"/>
      <c r="W524" s="60"/>
      <c r="X524" s="60"/>
      <c r="Y524" s="76"/>
      <c r="Z524" s="60"/>
      <c r="AA524" s="60"/>
      <c r="AB524" s="60"/>
      <c r="AC524" s="60"/>
      <c r="AD524" s="60"/>
      <c r="AE524" s="60"/>
      <c r="AF524" s="80"/>
      <c r="AG524" s="56"/>
      <c r="AH524" s="4"/>
      <c r="AI524" s="56"/>
      <c r="AJ524" s="109"/>
      <c r="AK524" s="56"/>
      <c r="AL524" s="56"/>
      <c r="AM524" s="56"/>
      <c r="AN524" s="56"/>
      <c r="AO524" s="56"/>
      <c r="AP524" s="56"/>
      <c r="AQ524" s="82"/>
      <c r="AR524" s="115"/>
      <c r="AS524" s="82"/>
      <c r="AT524" s="82"/>
      <c r="AU524" s="4"/>
      <c r="AV524" s="25">
        <f>30*24*60*60*4</f>
        <v>10368000</v>
      </c>
      <c r="AW524" s="25">
        <f>30*24*60*60*7</f>
        <v>18144000</v>
      </c>
      <c r="AX524" s="25">
        <f>30*24*60*60*10</f>
        <v>25920000</v>
      </c>
      <c r="AY524" s="25">
        <f>30*24*60*60*13</f>
        <v>33696000</v>
      </c>
      <c r="AZ524" s="25">
        <f>30*24*60*60*16</f>
        <v>41472000</v>
      </c>
      <c r="BA524" s="42"/>
      <c r="BB524" s="42"/>
      <c r="BC524" s="39"/>
      <c r="BD524" s="39"/>
      <c r="BE524" s="39"/>
      <c r="BF524" s="39"/>
      <c r="BG524" s="39"/>
      <c r="BH524" s="39"/>
      <c r="BI524" s="39"/>
      <c r="BJ524" s="39"/>
      <c r="BK524" s="39"/>
      <c r="BL524" s="39"/>
      <c r="BM524" s="39"/>
      <c r="BN524" s="39"/>
      <c r="BO524" s="39"/>
      <c r="BP524" s="39"/>
      <c r="BQ524" s="39"/>
      <c r="BR524" s="39"/>
      <c r="BS524" s="39"/>
      <c r="BT524" s="39"/>
      <c r="BU524" s="39"/>
      <c r="BV524" s="39"/>
      <c r="BW524" s="39"/>
      <c r="BX524" s="39"/>
      <c r="BY524" s="39"/>
      <c r="BZ524" s="39"/>
      <c r="CA524" s="39"/>
      <c r="CB524" s="39"/>
      <c r="CC524" s="39"/>
      <c r="CD524" s="39"/>
      <c r="CE524" s="39"/>
      <c r="CF524" s="39"/>
      <c r="CG524" s="39"/>
      <c r="CH524" s="39"/>
      <c r="CI524" s="39"/>
      <c r="CJ524" s="39"/>
      <c r="CK524" s="39"/>
      <c r="CL524" s="39"/>
      <c r="CM524" s="39"/>
      <c r="CN524" s="39"/>
      <c r="CO524" s="39"/>
      <c r="CP524" s="39"/>
      <c r="CQ524" s="39"/>
      <c r="CR524" s="1"/>
      <c r="CS524" s="1"/>
      <c r="CT524" s="1"/>
      <c r="CU524" s="1"/>
    </row>
    <row r="525" spans="1:99" s="13" customFormat="1" ht="12" customHeight="1" x14ac:dyDescent="0.2">
      <c r="A525" s="65">
        <v>43509</v>
      </c>
      <c r="B525" s="1" t="s">
        <v>180</v>
      </c>
      <c r="C525" s="1" t="s">
        <v>181</v>
      </c>
      <c r="D525" s="60">
        <v>1978</v>
      </c>
      <c r="E525" s="76">
        <v>1</v>
      </c>
      <c r="F525" s="60">
        <v>189</v>
      </c>
      <c r="G525" s="60">
        <v>37.799999999999997</v>
      </c>
      <c r="H525" s="60" t="s">
        <v>38</v>
      </c>
      <c r="I525" s="60" t="s">
        <v>692</v>
      </c>
      <c r="J525" s="60" t="s">
        <v>585</v>
      </c>
      <c r="K525" s="60">
        <f>IF(J525="syllables",1,IF(J525="trigrams",2,IF(J525="strings",3,IF(J525="visual array",4,IF(J525="characters",5,IF(J525="letters",6,IF(J525="free forms",7,IF(J525="odors",8,IF(J525="words",9,IF(J525="pictures",10,IF(J525="object pictures",11,IF(J525="faces",12,IF(J525="names",13,IF(J525="idioms",14,IF(J525="grades",15,IF(J525="syllable-digit pairs",16,IF(J525="trigram-word pairs",17,IF(J525="word-digit pairs",18,IF(J525="English-Swahili pairs",19,IF(J525="spatial position",20,IF(J525="word pairs",21,IF(J525="word triads",22,IF(J525="generated words",23,IF(J525="word definition pairs",24,IF(J525="math problems",25,IF(J525="famous faces",26,IF(J525="famous names",27,IF(J525="famous voices",28,IF(J525="television programs",29,IF(J525="race horses",30,IF(J525="new vocabulary",31,IF(J525="sentences",32,IF(J525="concepts",33,IF(J525="ad slides",34,IF(J525="scenes",35,IF(J525="famous scenes",36,IF(J525="poems",37,IF(J525="walk",38,IF(J525="faces and events",39,IF(J525="events and names",40,IF(J525="flashbulb",41,IF(J525="stories",42,IF(J525="course material",43,IF(J525="autobiographical",44,IF(J525="novels",45,IF(J525="public events",46,"99"))))))))))))))))))))))))))))))))))))))))))))))</f>
        <v>43</v>
      </c>
      <c r="L525" s="60">
        <f>IF(J525="syllables",1,IF(J525="trigrams",1,IF(J525="strings",1,IF(J525="visual array",1,IF(J525="characters",1,IF(J525="letters",1,IF(J525="free forms",1,IF(J525="odors",2,IF(J525="words",2,IF(J525="pictures",2,IF(J525="object pictures",2,IF(J525="faces",2,IF(J525="names",2,IF(J525="idioms","2",IF(J525="grades",2,IF(J525="syllable-digit pairs",3,IF(J525="trigram-word pairs",3,IF(J525="word-digit pairs",3,IF(J525="English-Swahili pairs",3,IF(J525="spatial position",3,IF(J525="word pairs",4,IF(J525="word triads",4,IF(J525="generated words",4,IF(J525="word definition pairs",4,IF(J525="math problems",4,IF(J525="famous faces",4,IF(J525="famous names",4,IF(J525="famous voices",4,IF(J525="television programs",4,IF(J525="race horses",4,IF(J525="new vocabulary",4,IF(J525="sentences",5,IF(J525="concepts",5,IF(J525="ad slides",5,IF(J525="scenes",5,IF(J525="famous scenes",5,IF(J525="poems",6,IF(J525="walk",6,IF(J525="faces and events",6,IF(J525="events and names",6,IF(J525="flashbulb",7,IF(J525="stories",7,IF(J525="course material",7,IF(J525="autobiographical",7,IF(J525="novels",7,IF(J525="public events",7,"99"))))))))))))))))))))))))))))))))))))))))))))))</f>
        <v>7</v>
      </c>
      <c r="M525" s="60">
        <v>1</v>
      </c>
      <c r="N525" s="60">
        <v>4</v>
      </c>
      <c r="O525" s="60">
        <v>0</v>
      </c>
      <c r="P525" s="60"/>
      <c r="Q525" s="60" t="s">
        <v>182</v>
      </c>
      <c r="R525" s="60">
        <f>IF(Q525="Free Recall",1,IF(Q525="Cued Recall",2,IF(Q525="Recognition",3,IF(Q525="Multiple Choice",4,IF(Q525="Savings",5,IF(Q525="Stem Completion",6,IF(Q525="Fragment Completion",7,IF(Q525="anagram solution",8,IF(Q525="Matching",9,IF(Q525="Problem Solving",10,"99"))))))))))</f>
        <v>4</v>
      </c>
      <c r="S525" s="60" t="s">
        <v>15</v>
      </c>
      <c r="T525" s="60" t="s">
        <v>261</v>
      </c>
      <c r="U525" s="60">
        <f>IF(T525="within",1,0)</f>
        <v>0</v>
      </c>
      <c r="V525" s="60">
        <v>6</v>
      </c>
      <c r="W525" s="60">
        <f>F525*V525</f>
        <v>1134</v>
      </c>
      <c r="X525" s="60">
        <v>5</v>
      </c>
      <c r="Y525" s="76">
        <f>AV524</f>
        <v>10368000</v>
      </c>
      <c r="Z525" s="60" t="s">
        <v>183</v>
      </c>
      <c r="AA525" s="60">
        <v>41472000</v>
      </c>
      <c r="AB525" s="60" t="str">
        <f>IF(AA525&lt;60,"1",IF(AA525&lt;=43200,"2",IF(AA525&lt;=777600,"3","4")))</f>
        <v>4</v>
      </c>
      <c r="AC525" s="56">
        <f>AVERAGE(AV524:DA524)</f>
        <v>25920000</v>
      </c>
      <c r="AD525" s="60" t="str">
        <f>IF(AC525&lt;60,"1",IF(AC525&lt;=43200,"2",IF(AC525&lt;=777600,"3","4")))</f>
        <v>4</v>
      </c>
      <c r="AE525" s="76">
        <f>AA525-Y525</f>
        <v>31104000</v>
      </c>
      <c r="AF525" s="80">
        <f>AV525</f>
        <v>0.73166666666666658</v>
      </c>
      <c r="AG525" s="56">
        <f>((AW525-AV525)+(AX525-AW525)+(AY525-AX525)+(AZ525-AY525))/4</f>
        <v>-3.3333333333333326E-2</v>
      </c>
      <c r="AH525" s="4"/>
      <c r="AI525" s="56">
        <f>RSQ(AV525:AZ525,AV524:AZ524)</f>
        <v>0.20508892744821614</v>
      </c>
      <c r="AJ525" s="109">
        <f>SLOPE(AV525:AZ525,AV524:AZ524)</f>
        <v>-2.6363168724279833E-9</v>
      </c>
      <c r="AK525" s="56">
        <f>INTERCEPT(AV525:AZ525,AV524:AZ524)</f>
        <v>0.68033333333333335</v>
      </c>
      <c r="AL525" s="56">
        <f>INDEX(LINEST(LN(AV525:AZ525),LN(AV524:AZ524),TRUE,TRUE),3,1)</f>
        <v>0.32749230254305395</v>
      </c>
      <c r="AM525" s="56">
        <f>INDEX(LINEST(LN(AV525:AZ525),LN(AV524:AZ524)),1)</f>
        <v>-0.11669377570214917</v>
      </c>
      <c r="AN525" s="56">
        <f>EXP(INDEX(LINEST(LN(AV525:AZ525),LN(AV524:AZ524)),1,2))</f>
        <v>4.4072230624886064</v>
      </c>
      <c r="AO525" s="82">
        <f>INDEX(LINEST((AV525:AZ525),LN(AV524:AZ524),TRUE,TRUE),3,1)</f>
        <v>0.36268253805380002</v>
      </c>
      <c r="AP525" s="82">
        <f>INDEX(LINEST((AV525:AZ525),LN(AV524:AZ524)),1)</f>
        <v>-7.875904817639158E-2</v>
      </c>
      <c r="AQ525" s="83">
        <f>INDEX(LINEST(LN(AV525:AZ525),SQRT(AV524:AZ524),TRUE,TRUE),3,1)</f>
        <v>0.24552753682820774</v>
      </c>
      <c r="AR525" s="116">
        <f>INDEX(LINEST(LN(AV525:AZ525),SQRT((AV524:AZ524))),1)</f>
        <v>-4.3583547638155153E-5</v>
      </c>
      <c r="AS525" s="84">
        <f>INDEX(LINEST(1/(AV525:AZ525),1/(SQRT(AV524:AZ524)),TRUE,TRUE),3,1)</f>
        <v>0.37801334367698886</v>
      </c>
      <c r="AT525" s="84">
        <f>INDEX(LINEST(1/(AV525:AZ525),1/SQRT(AV524:AZ524)),1)</f>
        <v>-1745.8213549593206</v>
      </c>
      <c r="AU525" s="3"/>
      <c r="AV525" s="53">
        <v>0.73166666666666658</v>
      </c>
      <c r="AW525" s="53">
        <v>0.55333333333333334</v>
      </c>
      <c r="AX525" s="53">
        <v>0.56166666666666665</v>
      </c>
      <c r="AY525" s="53">
        <v>0.61499999999999999</v>
      </c>
      <c r="AZ525" s="53">
        <v>0.59833333333333327</v>
      </c>
      <c r="BA525" s="42"/>
      <c r="BB525" s="42"/>
      <c r="BC525" s="39"/>
      <c r="BD525" s="39"/>
      <c r="BE525" s="39"/>
      <c r="BF525" s="39"/>
      <c r="BG525" s="39"/>
      <c r="BH525" s="39"/>
      <c r="BI525" s="39"/>
      <c r="BJ525" s="39"/>
      <c r="BK525" s="39"/>
      <c r="BL525" s="39"/>
      <c r="BM525" s="39"/>
      <c r="BN525" s="39"/>
      <c r="BO525" s="39"/>
      <c r="BP525" s="39"/>
      <c r="BQ525" s="39"/>
      <c r="BR525" s="39"/>
      <c r="BS525" s="39"/>
      <c r="BT525" s="39"/>
      <c r="BU525" s="39"/>
      <c r="BV525" s="39"/>
      <c r="BW525" s="39"/>
      <c r="BX525" s="39"/>
      <c r="BY525" s="39"/>
      <c r="BZ525" s="39"/>
      <c r="CA525" s="39"/>
      <c r="CB525" s="39"/>
      <c r="CC525" s="39"/>
      <c r="CD525" s="39"/>
      <c r="CE525" s="39"/>
      <c r="CF525" s="39"/>
      <c r="CG525" s="39"/>
      <c r="CH525" s="39"/>
      <c r="CI525" s="39"/>
      <c r="CJ525" s="39"/>
      <c r="CK525" s="39"/>
      <c r="CL525" s="39"/>
      <c r="CM525" s="39"/>
      <c r="CN525" s="39"/>
      <c r="CO525" s="39"/>
      <c r="CP525" s="39"/>
      <c r="CQ525" s="39"/>
      <c r="CR525" s="1"/>
      <c r="CS525" s="1"/>
      <c r="CT525" s="1"/>
      <c r="CU525" s="1"/>
    </row>
    <row r="526" spans="1:99" s="13" customFormat="1" ht="12" customHeight="1" x14ac:dyDescent="0.2">
      <c r="A526" s="65">
        <v>43509</v>
      </c>
      <c r="B526" s="1"/>
      <c r="C526" s="1"/>
      <c r="D526" s="60"/>
      <c r="E526" s="76"/>
      <c r="F526" s="60"/>
      <c r="G526" s="60"/>
      <c r="H526" s="60"/>
      <c r="I526" s="60"/>
      <c r="J526" s="60"/>
      <c r="K526" s="64"/>
      <c r="L526" s="64"/>
      <c r="M526" s="60"/>
      <c r="N526" s="60"/>
      <c r="O526" s="60"/>
      <c r="P526" s="60"/>
      <c r="Q526" s="60"/>
      <c r="R526" s="60"/>
      <c r="S526" s="60"/>
      <c r="T526" s="60"/>
      <c r="U526" s="60"/>
      <c r="V526" s="60"/>
      <c r="W526" s="60"/>
      <c r="X526" s="60"/>
      <c r="Y526" s="76"/>
      <c r="Z526" s="60"/>
      <c r="AA526" s="60"/>
      <c r="AB526" s="60"/>
      <c r="AC526" s="60"/>
      <c r="AD526" s="60"/>
      <c r="AE526" s="60"/>
      <c r="AF526" s="80"/>
      <c r="AG526" s="56"/>
      <c r="AH526" s="4"/>
      <c r="AI526" s="56"/>
      <c r="AJ526" s="109"/>
      <c r="AK526" s="56"/>
      <c r="AL526" s="56"/>
      <c r="AM526" s="56"/>
      <c r="AN526" s="56"/>
      <c r="AO526" s="56"/>
      <c r="AP526" s="56"/>
      <c r="AQ526" s="82"/>
      <c r="AR526" s="115"/>
      <c r="AS526" s="82"/>
      <c r="AT526" s="82"/>
      <c r="AU526" s="4"/>
      <c r="AV526" s="25">
        <f>30*24*60*60*4</f>
        <v>10368000</v>
      </c>
      <c r="AW526" s="25">
        <f>30*24*60*60*7</f>
        <v>18144000</v>
      </c>
      <c r="AX526" s="25">
        <f>30*24*60*60*10</f>
        <v>25920000</v>
      </c>
      <c r="AY526" s="25">
        <f>30*24*60*60*13</f>
        <v>33696000</v>
      </c>
      <c r="AZ526" s="25">
        <f>30*24*60*60*16</f>
        <v>41472000</v>
      </c>
      <c r="BA526" s="42"/>
      <c r="BB526" s="42"/>
      <c r="BC526" s="39"/>
      <c r="BD526" s="39"/>
      <c r="BE526" s="39"/>
      <c r="BF526" s="39"/>
      <c r="BG526" s="39"/>
      <c r="BH526" s="39"/>
      <c r="BI526" s="39"/>
      <c r="BJ526" s="39"/>
      <c r="BK526" s="39"/>
      <c r="BL526" s="39"/>
      <c r="BM526" s="39"/>
      <c r="BN526" s="39"/>
      <c r="BO526" s="39"/>
      <c r="BP526" s="39"/>
      <c r="BQ526" s="39"/>
      <c r="BR526" s="39"/>
      <c r="BS526" s="39"/>
      <c r="BT526" s="39"/>
      <c r="BU526" s="39"/>
      <c r="BV526" s="39"/>
      <c r="BW526" s="39"/>
      <c r="BX526" s="39"/>
      <c r="BY526" s="39"/>
      <c r="BZ526" s="39"/>
      <c r="CA526" s="39"/>
      <c r="CB526" s="39"/>
      <c r="CC526" s="39"/>
      <c r="CD526" s="39"/>
      <c r="CE526" s="39"/>
      <c r="CF526" s="39"/>
      <c r="CG526" s="39"/>
      <c r="CH526" s="39"/>
      <c r="CI526" s="39"/>
      <c r="CJ526" s="39"/>
      <c r="CK526" s="39"/>
      <c r="CL526" s="39"/>
      <c r="CM526" s="39"/>
      <c r="CN526" s="39"/>
      <c r="CO526" s="39"/>
      <c r="CP526" s="39"/>
      <c r="CQ526" s="39"/>
      <c r="CR526" s="1"/>
      <c r="CS526" s="1"/>
      <c r="CT526" s="1"/>
      <c r="CU526" s="1"/>
    </row>
    <row r="527" spans="1:99" s="13" customFormat="1" ht="12" customHeight="1" x14ac:dyDescent="0.2">
      <c r="A527" s="65">
        <v>43509</v>
      </c>
      <c r="B527" s="1" t="s">
        <v>180</v>
      </c>
      <c r="C527" s="1" t="s">
        <v>181</v>
      </c>
      <c r="D527" s="60">
        <v>1978</v>
      </c>
      <c r="E527" s="76">
        <v>1</v>
      </c>
      <c r="F527" s="60">
        <v>189</v>
      </c>
      <c r="G527" s="60">
        <v>37.799999999999997</v>
      </c>
      <c r="H527" s="60" t="s">
        <v>38</v>
      </c>
      <c r="I527" s="60" t="s">
        <v>693</v>
      </c>
      <c r="J527" s="60" t="s">
        <v>585</v>
      </c>
      <c r="K527" s="60">
        <f>IF(J527="syllables",1,IF(J527="trigrams",2,IF(J527="strings",3,IF(J527="visual array",4,IF(J527="characters",5,IF(J527="letters",6,IF(J527="free forms",7,IF(J527="odors",8,IF(J527="words",9,IF(J527="pictures",10,IF(J527="object pictures",11,IF(J527="faces",12,IF(J527="names",13,IF(J527="idioms",14,IF(J527="grades",15,IF(J527="syllable-digit pairs",16,IF(J527="trigram-word pairs",17,IF(J527="word-digit pairs",18,IF(J527="English-Swahili pairs",19,IF(J527="spatial position",20,IF(J527="word pairs",21,IF(J527="word triads",22,IF(J527="generated words",23,IF(J527="word definition pairs",24,IF(J527="math problems",25,IF(J527="famous faces",26,IF(J527="famous names",27,IF(J527="famous voices",28,IF(J527="television programs",29,IF(J527="race horses",30,IF(J527="new vocabulary",31,IF(J527="sentences",32,IF(J527="concepts",33,IF(J527="ad slides",34,IF(J527="scenes",35,IF(J527="famous scenes",36,IF(J527="poems",37,IF(J527="walk",38,IF(J527="faces and events",39,IF(J527="events and names",40,IF(J527="flashbulb",41,IF(J527="stories",42,IF(J527="course material",43,IF(J527="autobiographical",44,IF(J527="novels",45,IF(J527="public events",46,"99"))))))))))))))))))))))))))))))))))))))))))))))</f>
        <v>43</v>
      </c>
      <c r="L527" s="60">
        <f>IF(J527="syllables",1,IF(J527="trigrams",1,IF(J527="strings",1,IF(J527="visual array",1,IF(J527="characters",1,IF(J527="letters",1,IF(J527="free forms",1,IF(J527="odors",2,IF(J527="words",2,IF(J527="pictures",2,IF(J527="object pictures",2,IF(J527="faces",2,IF(J527="names",2,IF(J527="idioms","2",IF(J527="grades",2,IF(J527="syllable-digit pairs",3,IF(J527="trigram-word pairs",3,IF(J527="word-digit pairs",3,IF(J527="English-Swahili pairs",3,IF(J527="spatial position",3,IF(J527="word pairs",4,IF(J527="word triads",4,IF(J527="generated words",4,IF(J527="word definition pairs",4,IF(J527="math problems",4,IF(J527="famous faces",4,IF(J527="famous names",4,IF(J527="famous voices",4,IF(J527="television programs",4,IF(J527="race horses",4,IF(J527="new vocabulary",4,IF(J527="sentences",5,IF(J527="concepts",5,IF(J527="ad slides",5,IF(J527="scenes",5,IF(J527="famous scenes",5,IF(J527="poems",6,IF(J527="walk",6,IF(J527="faces and events",6,IF(J527="events and names",6,IF(J527="flashbulb",7,IF(J527="stories",7,IF(J527="course material",7,IF(J527="autobiographical",7,IF(J527="novels",7,IF(J527="public events",7,"99"))))))))))))))))))))))))))))))))))))))))))))))</f>
        <v>7</v>
      </c>
      <c r="M527" s="60">
        <v>1</v>
      </c>
      <c r="N527" s="60">
        <v>4</v>
      </c>
      <c r="O527" s="60">
        <v>0</v>
      </c>
      <c r="P527" s="60"/>
      <c r="Q527" s="60" t="s">
        <v>182</v>
      </c>
      <c r="R527" s="60">
        <f>IF(Q527="Free Recall",1,IF(Q527="Cued Recall",2,IF(Q527="Recognition",3,IF(Q527="Multiple Choice",4,IF(Q527="Savings",5,IF(Q527="Stem Completion",6,IF(Q527="Fragment Completion",7,IF(Q527="anagram solution",8,IF(Q527="Matching",9,IF(Q527="Problem Solving",10,"99"))))))))))</f>
        <v>4</v>
      </c>
      <c r="S527" s="60" t="s">
        <v>15</v>
      </c>
      <c r="T527" s="60" t="s">
        <v>261</v>
      </c>
      <c r="U527" s="60">
        <f>IF(T527="within",1,0)</f>
        <v>0</v>
      </c>
      <c r="V527" s="60">
        <v>4</v>
      </c>
      <c r="W527" s="60">
        <f>F527*V527</f>
        <v>756</v>
      </c>
      <c r="X527" s="60">
        <v>5</v>
      </c>
      <c r="Y527" s="76">
        <f>AV526</f>
        <v>10368000</v>
      </c>
      <c r="Z527" s="60" t="s">
        <v>183</v>
      </c>
      <c r="AA527" s="60">
        <v>41472000</v>
      </c>
      <c r="AB527" s="60" t="str">
        <f>IF(AA527&lt;60,"1",IF(AA527&lt;=43200,"2",IF(AA527&lt;=777600,"3","4")))</f>
        <v>4</v>
      </c>
      <c r="AC527" s="56">
        <f>AVERAGE(AV526:DA526)</f>
        <v>25920000</v>
      </c>
      <c r="AD527" s="60" t="str">
        <f>IF(AC527&lt;60,"1",IF(AC527&lt;=43200,"2",IF(AC527&lt;=777600,"3","4")))</f>
        <v>4</v>
      </c>
      <c r="AE527" s="76">
        <f>AA527-Y527</f>
        <v>31104000</v>
      </c>
      <c r="AF527" s="80">
        <f>AV527</f>
        <v>0.4425</v>
      </c>
      <c r="AG527" s="56">
        <f>((AW527-AV527)+(AX527-AW527)+(AY527-AX527)+(AZ527-AY527))/4</f>
        <v>1.3124999999999998E-2</v>
      </c>
      <c r="AH527" s="4"/>
      <c r="AI527" s="56">
        <f>RSQ(AV527:AZ527,AV526:AZ526)</f>
        <v>0.80323193916349789</v>
      </c>
      <c r="AJ527" s="109">
        <f>SLOPE(AV527:AZ527,AV526:AZ526)</f>
        <v>2.0897633744855965E-9</v>
      </c>
      <c r="AK527" s="56">
        <f>INTERCEPT(AV527:AZ527,AV526:AZ526)</f>
        <v>0.40833333333333338</v>
      </c>
      <c r="AL527" s="56">
        <f>INDEX(LINEST(LN(AV527:AZ527),LN(AV526:AZ526),TRUE,TRUE),3,1)</f>
        <v>0.68087407254250831</v>
      </c>
      <c r="AM527" s="56">
        <f>INDEX(LINEST(LN(AV527:AZ527),LN(AV526:AZ526)),1)</f>
        <v>9.4192126273668214E-2</v>
      </c>
      <c r="AN527" s="56">
        <f>EXP(INDEX(LINEST(LN(AV527:AZ527),LN(AV526:AZ526)),1,2))</f>
        <v>9.3444572889111718E-2</v>
      </c>
      <c r="AO527" s="82">
        <f>INDEX(LINEST((AV527:AZ527),LN(AV526:AZ526),TRUE,TRUE),3,1)</f>
        <v>0.69242927593747972</v>
      </c>
      <c r="AP527" s="82">
        <f>INDEX(LINEST((AV527:AZ527),LN(AV526:AZ526)),1)</f>
        <v>4.3588806038852755E-2</v>
      </c>
      <c r="AQ527" s="83">
        <f>INDEX(LINEST(LN(AV527:AZ527),SQRT(AV526:AZ526),TRUE,TRUE),3,1)</f>
        <v>0.74597000266241953</v>
      </c>
      <c r="AR527" s="116">
        <f>INDEX(LINEST(LN(AV527:AZ527),SQRT((AV526:AZ526))),1)</f>
        <v>4.2527241696891005E-5</v>
      </c>
      <c r="AS527" s="84">
        <f>INDEX(LINEST(1/(AV527:AZ527),1/(SQRT(AV526:AZ526)),TRUE,TRUE),3,1)</f>
        <v>0.59008986627997706</v>
      </c>
      <c r="AT527" s="84">
        <f>INDEX(LINEST(1/(AV527:AZ527),1/SQRT(AV526:AZ526)),1)</f>
        <v>1696.9284845962879</v>
      </c>
      <c r="AU527" s="3"/>
      <c r="AV527" s="53">
        <v>0.4425</v>
      </c>
      <c r="AW527" s="53">
        <v>0.42499999999999999</v>
      </c>
      <c r="AX527" s="53">
        <v>0.46750000000000003</v>
      </c>
      <c r="AY527" s="53">
        <v>0.48249999999999998</v>
      </c>
      <c r="AZ527" s="53">
        <v>0.495</v>
      </c>
      <c r="BA527" s="42"/>
      <c r="BB527" s="42"/>
      <c r="BC527" s="39"/>
      <c r="BD527" s="39"/>
      <c r="BE527" s="39"/>
      <c r="BF527" s="39"/>
      <c r="BG527" s="39"/>
      <c r="BH527" s="39"/>
      <c r="BI527" s="39"/>
      <c r="BJ527" s="39"/>
      <c r="BK527" s="39"/>
      <c r="BL527" s="39"/>
      <c r="BM527" s="39"/>
      <c r="BN527" s="39"/>
      <c r="BO527" s="39"/>
      <c r="BP527" s="39"/>
      <c r="BQ527" s="39"/>
      <c r="BR527" s="39"/>
      <c r="BS527" s="39"/>
      <c r="BT527" s="39"/>
      <c r="BU527" s="39"/>
      <c r="BV527" s="39"/>
      <c r="BW527" s="39"/>
      <c r="BX527" s="39"/>
      <c r="BY527" s="39"/>
      <c r="BZ527" s="39"/>
      <c r="CA527" s="39"/>
      <c r="CB527" s="39"/>
      <c r="CC527" s="39"/>
      <c r="CD527" s="39"/>
      <c r="CE527" s="39"/>
      <c r="CF527" s="39"/>
      <c r="CG527" s="39"/>
      <c r="CH527" s="39"/>
      <c r="CI527" s="39"/>
      <c r="CJ527" s="39"/>
      <c r="CK527" s="39"/>
      <c r="CL527" s="39"/>
      <c r="CM527" s="39"/>
      <c r="CN527" s="39"/>
      <c r="CO527" s="39"/>
      <c r="CP527" s="39"/>
      <c r="CQ527" s="39"/>
      <c r="CR527" s="1"/>
      <c r="CS527" s="1"/>
      <c r="CT527" s="1"/>
      <c r="CU527" s="1"/>
    </row>
    <row r="528" spans="1:99" s="13" customFormat="1" ht="12" customHeight="1" x14ac:dyDescent="0.2">
      <c r="A528" s="65">
        <v>43509</v>
      </c>
      <c r="B528" s="1"/>
      <c r="C528" s="1"/>
      <c r="D528" s="60"/>
      <c r="E528" s="76"/>
      <c r="F528" s="60"/>
      <c r="G528" s="60"/>
      <c r="H528" s="60"/>
      <c r="I528" s="60"/>
      <c r="J528" s="60"/>
      <c r="K528" s="64"/>
      <c r="L528" s="64"/>
      <c r="M528" s="60"/>
      <c r="N528" s="60"/>
      <c r="O528" s="60"/>
      <c r="P528" s="60"/>
      <c r="Q528" s="60"/>
      <c r="R528" s="60"/>
      <c r="S528" s="60"/>
      <c r="T528" s="60"/>
      <c r="U528" s="60"/>
      <c r="V528" s="60"/>
      <c r="W528" s="60"/>
      <c r="X528" s="60"/>
      <c r="Y528" s="76"/>
      <c r="Z528" s="60"/>
      <c r="AA528" s="60"/>
      <c r="AB528" s="60"/>
      <c r="AC528" s="60"/>
      <c r="AD528" s="60"/>
      <c r="AE528" s="60"/>
      <c r="AF528" s="80"/>
      <c r="AG528" s="56"/>
      <c r="AH528" s="4"/>
      <c r="AI528" s="56"/>
      <c r="AJ528" s="109"/>
      <c r="AK528" s="56"/>
      <c r="AL528" s="56"/>
      <c r="AM528" s="56"/>
      <c r="AN528" s="56"/>
      <c r="AO528" s="56"/>
      <c r="AP528" s="56"/>
      <c r="AQ528" s="82"/>
      <c r="AR528" s="115"/>
      <c r="AS528" s="82"/>
      <c r="AT528" s="82"/>
      <c r="AU528" s="4"/>
      <c r="AV528" s="25">
        <f>30*24*60*60*4</f>
        <v>10368000</v>
      </c>
      <c r="AW528" s="25">
        <f>30*24*60*60*7</f>
        <v>18144000</v>
      </c>
      <c r="AX528" s="25">
        <f>30*24*60*60*10</f>
        <v>25920000</v>
      </c>
      <c r="AY528" s="25">
        <f>30*24*60*60*13</f>
        <v>33696000</v>
      </c>
      <c r="AZ528" s="25">
        <f>30*24*60*60*16</f>
        <v>41472000</v>
      </c>
      <c r="BA528" s="42"/>
      <c r="BB528" s="42"/>
      <c r="BC528" s="39"/>
      <c r="BD528" s="39"/>
      <c r="BE528" s="39"/>
      <c r="BF528" s="39"/>
      <c r="BG528" s="39"/>
      <c r="BH528" s="39"/>
      <c r="BI528" s="39"/>
      <c r="BJ528" s="39"/>
      <c r="BK528" s="39"/>
      <c r="BL528" s="39"/>
      <c r="BM528" s="39"/>
      <c r="BN528" s="39"/>
      <c r="BO528" s="39"/>
      <c r="BP528" s="39"/>
      <c r="BQ528" s="39"/>
      <c r="BR528" s="39"/>
      <c r="BS528" s="39"/>
      <c r="BT528" s="39"/>
      <c r="BU528" s="39"/>
      <c r="BV528" s="39"/>
      <c r="BW528" s="39"/>
      <c r="BX528" s="39"/>
      <c r="BY528" s="39"/>
      <c r="BZ528" s="39"/>
      <c r="CA528" s="39"/>
      <c r="CB528" s="39"/>
      <c r="CC528" s="39"/>
      <c r="CD528" s="39"/>
      <c r="CE528" s="39"/>
      <c r="CF528" s="39"/>
      <c r="CG528" s="39"/>
      <c r="CH528" s="39"/>
      <c r="CI528" s="39"/>
      <c r="CJ528" s="39"/>
      <c r="CK528" s="39"/>
      <c r="CL528" s="39"/>
      <c r="CM528" s="39"/>
      <c r="CN528" s="39"/>
      <c r="CO528" s="39"/>
      <c r="CP528" s="39"/>
      <c r="CQ528" s="39"/>
      <c r="CR528" s="1"/>
      <c r="CS528" s="1"/>
      <c r="CT528" s="1"/>
      <c r="CU528" s="1"/>
    </row>
    <row r="529" spans="1:99" s="13" customFormat="1" ht="12" customHeight="1" x14ac:dyDescent="0.2">
      <c r="A529" s="65">
        <v>43509</v>
      </c>
      <c r="B529" s="1" t="s">
        <v>180</v>
      </c>
      <c r="C529" s="1" t="s">
        <v>181</v>
      </c>
      <c r="D529" s="60">
        <v>1978</v>
      </c>
      <c r="E529" s="76">
        <v>1</v>
      </c>
      <c r="F529" s="60">
        <v>189</v>
      </c>
      <c r="G529" s="60">
        <v>37.799999999999997</v>
      </c>
      <c r="H529" s="60" t="s">
        <v>38</v>
      </c>
      <c r="I529" s="60" t="s">
        <v>694</v>
      </c>
      <c r="J529" s="60" t="s">
        <v>585</v>
      </c>
      <c r="K529" s="60">
        <f>IF(J529="syllables",1,IF(J529="trigrams",2,IF(J529="strings",3,IF(J529="visual array",4,IF(J529="characters",5,IF(J529="letters",6,IF(J529="free forms",7,IF(J529="odors",8,IF(J529="words",9,IF(J529="pictures",10,IF(J529="object pictures",11,IF(J529="faces",12,IF(J529="names",13,IF(J529="idioms",14,IF(J529="grades",15,IF(J529="syllable-digit pairs",16,IF(J529="trigram-word pairs",17,IF(J529="word-digit pairs",18,IF(J529="English-Swahili pairs",19,IF(J529="spatial position",20,IF(J529="word pairs",21,IF(J529="word triads",22,IF(J529="generated words",23,IF(J529="word definition pairs",24,IF(J529="math problems",25,IF(J529="famous faces",26,IF(J529="famous names",27,IF(J529="famous voices",28,IF(J529="television programs",29,IF(J529="race horses",30,IF(J529="new vocabulary",31,IF(J529="sentences",32,IF(J529="concepts",33,IF(J529="ad slides",34,IF(J529="scenes",35,IF(J529="famous scenes",36,IF(J529="poems",37,IF(J529="walk",38,IF(J529="faces and events",39,IF(J529="events and names",40,IF(J529="flashbulb",41,IF(J529="stories",42,IF(J529="course material",43,IF(J529="autobiographical",44,IF(J529="novels",45,IF(J529="public events",46,"99"))))))))))))))))))))))))))))))))))))))))))))))</f>
        <v>43</v>
      </c>
      <c r="L529" s="60">
        <f>IF(J529="syllables",1,IF(J529="trigrams",1,IF(J529="strings",1,IF(J529="visual array",1,IF(J529="characters",1,IF(J529="letters",1,IF(J529="free forms",1,IF(J529="odors",2,IF(J529="words",2,IF(J529="pictures",2,IF(J529="object pictures",2,IF(J529="faces",2,IF(J529="names",2,IF(J529="idioms","2",IF(J529="grades",2,IF(J529="syllable-digit pairs",3,IF(J529="trigram-word pairs",3,IF(J529="word-digit pairs",3,IF(J529="English-Swahili pairs",3,IF(J529="spatial position",3,IF(J529="word pairs",4,IF(J529="word triads",4,IF(J529="generated words",4,IF(J529="word definition pairs",4,IF(J529="math problems",4,IF(J529="famous faces",4,IF(J529="famous names",4,IF(J529="famous voices",4,IF(J529="television programs",4,IF(J529="race horses",4,IF(J529="new vocabulary",4,IF(J529="sentences",5,IF(J529="concepts",5,IF(J529="ad slides",5,IF(J529="scenes",5,IF(J529="famous scenes",5,IF(J529="poems",6,IF(J529="walk",6,IF(J529="faces and events",6,IF(J529="events and names",6,IF(J529="flashbulb",7,IF(J529="stories",7,IF(J529="course material",7,IF(J529="autobiographical",7,IF(J529="novels",7,IF(J529="public events",7,"99"))))))))))))))))))))))))))))))))))))))))))))))</f>
        <v>7</v>
      </c>
      <c r="M529" s="60">
        <v>1</v>
      </c>
      <c r="N529" s="60">
        <v>4</v>
      </c>
      <c r="O529" s="60">
        <v>0</v>
      </c>
      <c r="P529" s="60"/>
      <c r="Q529" s="60" t="s">
        <v>182</v>
      </c>
      <c r="R529" s="60">
        <f>IF(Q529="Free Recall",1,IF(Q529="Cued Recall",2,IF(Q529="Recognition",3,IF(Q529="Multiple Choice",4,IF(Q529="Savings",5,IF(Q529="Stem Completion",6,IF(Q529="Fragment Completion",7,IF(Q529="anagram solution",8,IF(Q529="Matching",9,IF(Q529="Problem Solving",10,"99"))))))))))</f>
        <v>4</v>
      </c>
      <c r="S529" s="60" t="s">
        <v>15</v>
      </c>
      <c r="T529" s="60" t="s">
        <v>261</v>
      </c>
      <c r="U529" s="60">
        <f>IF(T529="within",1,0)</f>
        <v>0</v>
      </c>
      <c r="V529" s="60">
        <v>3</v>
      </c>
      <c r="W529" s="60">
        <f>F529*V529</f>
        <v>567</v>
      </c>
      <c r="X529" s="60">
        <v>5</v>
      </c>
      <c r="Y529" s="76">
        <f>AV528</f>
        <v>10368000</v>
      </c>
      <c r="Z529" s="60" t="s">
        <v>183</v>
      </c>
      <c r="AA529" s="60">
        <v>41472000</v>
      </c>
      <c r="AB529" s="60" t="str">
        <f>IF(AA529&lt;60,"1",IF(AA529&lt;=43200,"2",IF(AA529&lt;=777600,"3","4")))</f>
        <v>4</v>
      </c>
      <c r="AC529" s="56">
        <f>AVERAGE(AV528:DA528)</f>
        <v>25920000</v>
      </c>
      <c r="AD529" s="60" t="str">
        <f>IF(AC529&lt;60,"1",IF(AC529&lt;=43200,"2",IF(AC529&lt;=777600,"3","4")))</f>
        <v>4</v>
      </c>
      <c r="AE529" s="76">
        <f>AA529-Y529</f>
        <v>31104000</v>
      </c>
      <c r="AF529" s="80">
        <f>AV529</f>
        <v>0.34</v>
      </c>
      <c r="AG529" s="56">
        <f>((AW529-AV529)+(AX529-AW529)+(AY529-AX529)+(AZ529-AY529))/4</f>
        <v>4.2499999999999996E-2</v>
      </c>
      <c r="AH529" s="4"/>
      <c r="AI529" s="56">
        <f>RSQ(AV529:AZ529,AV528:AZ528)</f>
        <v>0.25342225342225361</v>
      </c>
      <c r="AJ529" s="109">
        <f>SLOPE(AV529:AZ529,AV528:AZ528)</f>
        <v>3.2578875171467765E-9</v>
      </c>
      <c r="AK529" s="56">
        <f>INTERCEPT(AV529:AZ529,AV528:AZ528)</f>
        <v>0.34088888888888896</v>
      </c>
      <c r="AL529" s="56">
        <f>INDEX(LINEST(LN(AV529:AZ529),LN(AV528:AZ528),TRUE,TRUE),3,1)</f>
        <v>0.27806403161883314</v>
      </c>
      <c r="AM529" s="56">
        <f>INDEX(LINEST(LN(AV529:AZ529),LN(AV528:AZ528)),1)</f>
        <v>0.1814609522026045</v>
      </c>
      <c r="AN529" s="56">
        <f>EXP(INDEX(LINEST(LN(AV529:AZ529),LN(AV528:AZ528)),1,2))</f>
        <v>1.9311970013414548E-2</v>
      </c>
      <c r="AO529" s="82">
        <f>INDEX(LINEST((AV529:AZ529),LN(AV528:AZ528),TRUE,TRUE),3,1)</f>
        <v>0.25458979073417676</v>
      </c>
      <c r="AP529" s="82">
        <f>INDEX(LINEST((AV529:AZ529),LN(AV528:AZ528)),1)</f>
        <v>7.3357553177613596E-2</v>
      </c>
      <c r="AQ529" s="83">
        <f>INDEX(LINEST(LN(AV529:AZ529),SQRT(AV528:AZ528),TRUE,TRUE),3,1)</f>
        <v>0.27374773179525153</v>
      </c>
      <c r="AR529" s="116">
        <f>INDEX(LINEST(LN(AV529:AZ529),SQRT((AV528:AZ528))),1)</f>
        <v>7.7662501279207396E-5</v>
      </c>
      <c r="AS529" s="84">
        <f>INDEX(LINEST(1/(AV529:AZ529),1/(SQRT(AV528:AZ528)),TRUE,TRUE),3,1)</f>
        <v>0.3119303462926194</v>
      </c>
      <c r="AT529" s="84">
        <f>INDEX(LINEST(1/(AV529:AZ529),1/SQRT(AV528:AZ528)),1)</f>
        <v>4089.5180028169116</v>
      </c>
      <c r="AU529" s="3"/>
      <c r="AV529" s="53">
        <v>0.34</v>
      </c>
      <c r="AW529" s="53">
        <v>0.5033333333333333</v>
      </c>
      <c r="AX529" s="53">
        <v>0.35666666666666669</v>
      </c>
      <c r="AY529" s="53">
        <v>0.41666666666666669</v>
      </c>
      <c r="AZ529" s="53">
        <v>0.51</v>
      </c>
      <c r="BA529" s="42"/>
      <c r="BB529" s="42"/>
      <c r="BC529" s="39"/>
      <c r="BD529" s="39"/>
      <c r="BE529" s="39"/>
      <c r="BF529" s="39"/>
      <c r="BG529" s="39"/>
      <c r="BH529" s="39"/>
      <c r="BI529" s="39"/>
      <c r="BJ529" s="39"/>
      <c r="BK529" s="39"/>
      <c r="BL529" s="39"/>
      <c r="BM529" s="39"/>
      <c r="BN529" s="39"/>
      <c r="BO529" s="39"/>
      <c r="BP529" s="39"/>
      <c r="BQ529" s="39"/>
      <c r="BR529" s="39"/>
      <c r="BS529" s="39"/>
      <c r="BT529" s="39"/>
      <c r="BU529" s="39"/>
      <c r="BV529" s="39"/>
      <c r="BW529" s="39"/>
      <c r="BX529" s="39"/>
      <c r="BY529" s="39"/>
      <c r="BZ529" s="39"/>
      <c r="CA529" s="39"/>
      <c r="CB529" s="39"/>
      <c r="CC529" s="39"/>
      <c r="CD529" s="39"/>
      <c r="CE529" s="39"/>
      <c r="CF529" s="39"/>
      <c r="CG529" s="39"/>
      <c r="CH529" s="39"/>
      <c r="CI529" s="39"/>
      <c r="CJ529" s="39"/>
      <c r="CK529" s="39"/>
      <c r="CL529" s="39"/>
      <c r="CM529" s="39"/>
      <c r="CN529" s="39"/>
      <c r="CO529" s="39"/>
      <c r="CP529" s="39"/>
      <c r="CQ529" s="39"/>
      <c r="CR529" s="1"/>
      <c r="CS529" s="1"/>
      <c r="CT529" s="1"/>
      <c r="CU529" s="1"/>
    </row>
    <row r="530" spans="1:99" s="13" customFormat="1" ht="12" customHeight="1" x14ac:dyDescent="0.2">
      <c r="A530" s="68">
        <v>43509</v>
      </c>
      <c r="B530" s="70"/>
      <c r="C530" s="70"/>
      <c r="D530" s="69"/>
      <c r="E530" s="87"/>
      <c r="F530" s="69"/>
      <c r="G530" s="69"/>
      <c r="H530" s="69"/>
      <c r="I530" s="69"/>
      <c r="J530" s="69"/>
      <c r="K530" s="107"/>
      <c r="L530" s="107"/>
      <c r="M530" s="69"/>
      <c r="N530" s="69"/>
      <c r="O530" s="69"/>
      <c r="P530" s="69"/>
      <c r="Q530" s="69"/>
      <c r="R530" s="69"/>
      <c r="S530" s="69"/>
      <c r="T530" s="69"/>
      <c r="U530" s="69"/>
      <c r="V530" s="69"/>
      <c r="W530" s="69"/>
      <c r="X530" s="69"/>
      <c r="Y530" s="87"/>
      <c r="Z530" s="69"/>
      <c r="AA530" s="69"/>
      <c r="AB530" s="69"/>
      <c r="AC530" s="69"/>
      <c r="AD530" s="69"/>
      <c r="AE530" s="69"/>
      <c r="AF530" s="88"/>
      <c r="AG530" s="72"/>
      <c r="AH530" s="4"/>
      <c r="AI530" s="72"/>
      <c r="AJ530" s="110"/>
      <c r="AK530" s="72"/>
      <c r="AL530" s="72"/>
      <c r="AM530" s="72"/>
      <c r="AN530" s="72"/>
      <c r="AO530" s="72"/>
      <c r="AP530" s="72"/>
      <c r="AQ530" s="89"/>
      <c r="AR530" s="118"/>
      <c r="AS530" s="89"/>
      <c r="AT530" s="89"/>
      <c r="AU530" s="4"/>
      <c r="AV530" s="71">
        <f>20*60</f>
        <v>1200</v>
      </c>
      <c r="AW530" s="71">
        <f>24*60*60</f>
        <v>86400</v>
      </c>
      <c r="AX530" s="71">
        <f>7*24*60*60*1</f>
        <v>604800</v>
      </c>
      <c r="AY530" s="42"/>
      <c r="AZ530" s="46"/>
      <c r="BA530" s="42"/>
      <c r="BB530" s="42"/>
      <c r="BC530" s="42"/>
      <c r="BD530" s="42"/>
      <c r="BE530" s="42"/>
      <c r="BF530" s="42"/>
      <c r="BG530" s="4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1"/>
      <c r="CS530" s="1"/>
      <c r="CT530" s="1"/>
      <c r="CU530" s="1"/>
    </row>
    <row r="531" spans="1:99" s="13" customFormat="1" ht="12" customHeight="1" x14ac:dyDescent="0.2">
      <c r="A531" s="68">
        <v>43509</v>
      </c>
      <c r="B531" s="70" t="s">
        <v>149</v>
      </c>
      <c r="C531" s="70" t="s">
        <v>70</v>
      </c>
      <c r="D531" s="69">
        <v>2018</v>
      </c>
      <c r="E531" s="87">
        <v>1</v>
      </c>
      <c r="F531" s="69">
        <v>77</v>
      </c>
      <c r="G531" s="69">
        <v>77</v>
      </c>
      <c r="H531" s="69" t="s">
        <v>22</v>
      </c>
      <c r="I531" s="69" t="s">
        <v>695</v>
      </c>
      <c r="J531" s="69" t="s">
        <v>313</v>
      </c>
      <c r="K531" s="69">
        <f>IF(J531="syllables",1,IF(J531="trigrams",2,IF(J531="strings",3,IF(J531="visual array",4,IF(J531="characters",5,IF(J531="letters",6,IF(J531="free forms",7,IF(J531="odors",8,IF(J531="words",9,IF(J531="pictures",10,IF(J531="object pictures",11,IF(J531="faces",12,IF(J531="names",13,IF(J531="idioms",14,IF(J531="grades",15,IF(J531="syllable-digit pairs",16,IF(J531="trigram-word pairs",17,IF(J531="word-digit pairs",18,IF(J531="English-Swahili pairs",19,IF(J531="spatial position",20,IF(J531="word pairs",21,IF(J531="word triads",22,IF(J531="generated words",23,IF(J531="word definition pairs",24,IF(J531="math problems",25,IF(J531="famous faces",26,IF(J531="famous names",27,IF(J531="famous voices",28,IF(J531="television programs",29,IF(J531="race horses",30,IF(J531="new vocabulary",31,IF(J531="sentences",32,IF(J531="concepts",33,IF(J531="ad slides",34,IF(J531="scenes",35,IF(J531="famous scenes",36,IF(J531="poems",37,IF(J531="walk",38,IF(J531="faces and events",39,IF(J531="events and names",40,IF(J531="flashbulb",41,IF(J531="stories",42,IF(J531="course material",43,IF(J531="autobiographical",44,IF(J531="novels",45,IF(J531="public events",46,"99"))))))))))))))))))))))))))))))))))))))))))))))</f>
        <v>10</v>
      </c>
      <c r="L531" s="69">
        <f>IF(J531="syllables",1,IF(J531="trigrams",1,IF(J531="strings",1,IF(J531="visual array",1,IF(J531="characters",1,IF(J531="letters",1,IF(J531="free forms",1,IF(J531="odors",2,IF(J531="words",2,IF(J531="pictures",2,IF(J531="object pictures",2,IF(J531="faces",2,IF(J531="names",2,IF(J531="idioms","2",IF(J531="grades",2,IF(J531="syllable-digit pairs",3,IF(J531="trigram-word pairs",3,IF(J531="word-digit pairs",3,IF(J531="English-Swahili pairs",3,IF(J531="spatial position",3,IF(J531="word pairs",4,IF(J531="word triads",4,IF(J531="generated words",4,IF(J531="word definition pairs",4,IF(J531="math problems",4,IF(J531="famous faces",4,IF(J531="famous names",4,IF(J531="famous voices",4,IF(J531="television programs",4,IF(J531="race horses",4,IF(J531="new vocabulary",4,IF(J531="sentences",5,IF(J531="concepts",5,IF(J531="ad slides",5,IF(J531="scenes",5,IF(J531="famous scenes",5,IF(J531="poems",6,IF(J531="walk",6,IF(J531="faces and events",6,IF(J531="events and names",6,IF(J531="flashbulb",7,IF(J531="stories",7,IF(J531="course material",7,IF(J531="autobiographical",7,IF(J531="novels",7,IF(J531="public events",7,"99"))))))))))))))))))))))))))))))))))))))))))))))</f>
        <v>2</v>
      </c>
      <c r="M531" s="69">
        <v>0</v>
      </c>
      <c r="N531" s="69">
        <v>1</v>
      </c>
      <c r="O531" s="69">
        <v>0</v>
      </c>
      <c r="P531" s="69"/>
      <c r="Q531" s="69" t="s">
        <v>34</v>
      </c>
      <c r="R531" s="69">
        <f>IF(Q531="Free Recall",1,IF(Q531="Cued Recall",2,IF(Q531="Recognition",3,IF(Q531="Multiple Choice",4,IF(Q531="Savings",5,IF(Q531="Stem Completion",6,IF(Q531="Fragment Completion",7,IF(Q531="anagram solution",8,IF(Q531="Matching",9,IF(Q531="Problem Solving",10,"99"))))))))))</f>
        <v>3</v>
      </c>
      <c r="S531" s="69" t="s">
        <v>15</v>
      </c>
      <c r="T531" s="92" t="s">
        <v>581</v>
      </c>
      <c r="U531" s="69">
        <f>IF(T531="within",1,0)</f>
        <v>1</v>
      </c>
      <c r="V531" s="92">
        <v>342</v>
      </c>
      <c r="W531" s="69">
        <f>F531*V531</f>
        <v>26334</v>
      </c>
      <c r="X531" s="69">
        <v>3</v>
      </c>
      <c r="Y531" s="87">
        <f>AV530</f>
        <v>1200</v>
      </c>
      <c r="Z531" s="69" t="s">
        <v>150</v>
      </c>
      <c r="AA531" s="69">
        <v>604800</v>
      </c>
      <c r="AB531" s="69" t="str">
        <f>IF(AA531&lt;60,"1",IF(AA531&lt;=43200,"2",IF(AA531&lt;=777600,"3","4")))</f>
        <v>3</v>
      </c>
      <c r="AC531" s="72">
        <f>AVERAGE(AV530:DA530)</f>
        <v>230800</v>
      </c>
      <c r="AD531" s="69" t="str">
        <f>IF(AC531&lt;60,"1",IF(AC531&lt;=43200,"2",IF(AC531&lt;=777600,"3","4")))</f>
        <v>3</v>
      </c>
      <c r="AE531" s="87">
        <f>AA531-Y531</f>
        <v>603600</v>
      </c>
      <c r="AF531" s="88">
        <f>AV531</f>
        <v>0.6</v>
      </c>
      <c r="AG531" s="72">
        <f>((AW531-AV531)+(AX531-AW531))/2</f>
        <v>-6.5000000000000002E-2</v>
      </c>
      <c r="AH531" s="4"/>
      <c r="AI531" s="72">
        <f>RSQ(AV531:AX531,AV530:AX530)</f>
        <v>0.93372557957535929</v>
      </c>
      <c r="AJ531" s="110">
        <f>SLOPE(AV531:AX531,AV530:AX530)</f>
        <v>-1.9396231846251418E-7</v>
      </c>
      <c r="AK531" s="72">
        <f>INTERCEPT(AV531:AX531,AV530:AX530)</f>
        <v>0.58476650310114819</v>
      </c>
      <c r="AL531" s="72">
        <f>INDEX(LINEST(LN(AV531:AX531),LN(AV530:AX530),TRUE,TRUE),3,1)</f>
        <v>0.86421170311240691</v>
      </c>
      <c r="AM531" s="72">
        <f>INDEX(LINEST(LN(AV531:AX531),LN(AV530:AX530)),1)</f>
        <v>-3.6145297356931498E-2</v>
      </c>
      <c r="AN531" s="72">
        <f>EXP(INDEX(LINEST(LN(AV531:AX531),LN(AV530:AX530)),1,2))</f>
        <v>0.78784330949176906</v>
      </c>
      <c r="AO531" s="89">
        <f>INDEX(LINEST((AV531:AX531),LN(AV530:AX530),TRUE,TRUE),3,1)</f>
        <v>0.88534921735049998</v>
      </c>
      <c r="AP531" s="89">
        <f>INDEX(LINEST((AV531:AX531),LN(AV530:AX530)),1)</f>
        <v>-1.9383243771504754E-2</v>
      </c>
      <c r="AQ531" s="90">
        <f>INDEX(LINEST(LN(AV531:AX531),SQRT(AV530:AX530),TRUE,TRUE),3,1)</f>
        <v>0.99993194461528112</v>
      </c>
      <c r="AR531" s="117">
        <f>INDEX(LINEST(LN(AV531:AX531),SQRT((AV530:AX530))),1)</f>
        <v>-3.2817013748688751E-4</v>
      </c>
      <c r="AS531" s="91">
        <f>INDEX(LINEST(1/(AV531:AX531),1/(SQRT(AV530:AX530)),TRUE,TRUE),3,1)</f>
        <v>0.63382354877270641</v>
      </c>
      <c r="AT531" s="91">
        <f>INDEX(LINEST(1/(AV531:AX531),1/SQRT(AV530:AX530)),1)</f>
        <v>-12.186522208787297</v>
      </c>
      <c r="AU531" s="3"/>
      <c r="AV531" s="73">
        <v>0.6</v>
      </c>
      <c r="AW531" s="73">
        <v>0.55000000000000004</v>
      </c>
      <c r="AX531" s="73">
        <v>0.47</v>
      </c>
      <c r="AY531" s="42"/>
      <c r="AZ531" s="46"/>
      <c r="BA531" s="42"/>
      <c r="BB531" s="4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1"/>
      <c r="CS531" s="1"/>
      <c r="CT531" s="1"/>
      <c r="CU531" s="1"/>
    </row>
    <row r="532" spans="1:99" s="13" customFormat="1" ht="12" customHeight="1" x14ac:dyDescent="0.2">
      <c r="A532" s="65">
        <v>43509</v>
      </c>
      <c r="B532" s="1"/>
      <c r="C532" s="1"/>
      <c r="D532" s="60"/>
      <c r="E532" s="76"/>
      <c r="F532" s="60"/>
      <c r="G532" s="60"/>
      <c r="H532" s="60"/>
      <c r="I532" s="60"/>
      <c r="J532" s="60"/>
      <c r="K532" s="64"/>
      <c r="L532" s="64"/>
      <c r="M532" s="60"/>
      <c r="N532" s="60"/>
      <c r="O532" s="60"/>
      <c r="P532" s="60"/>
      <c r="Q532" s="60"/>
      <c r="R532" s="60"/>
      <c r="S532" s="60"/>
      <c r="T532" s="60"/>
      <c r="U532" s="60"/>
      <c r="V532" s="60"/>
      <c r="W532" s="60"/>
      <c r="X532" s="60"/>
      <c r="Y532" s="76"/>
      <c r="Z532" s="60"/>
      <c r="AA532" s="60"/>
      <c r="AB532" s="60"/>
      <c r="AC532" s="60"/>
      <c r="AD532" s="60"/>
      <c r="AE532" s="60"/>
      <c r="AF532" s="80"/>
      <c r="AG532" s="56"/>
      <c r="AH532" s="4"/>
      <c r="AI532" s="56"/>
      <c r="AJ532" s="109"/>
      <c r="AK532" s="56"/>
      <c r="AL532" s="56"/>
      <c r="AM532" s="56"/>
      <c r="AN532" s="56"/>
      <c r="AO532" s="56"/>
      <c r="AP532" s="56"/>
      <c r="AQ532" s="56"/>
      <c r="AR532" s="109"/>
      <c r="AS532" s="56"/>
      <c r="AT532" s="56"/>
      <c r="AU532" s="4"/>
      <c r="AV532" s="25">
        <f>5*60</f>
        <v>300</v>
      </c>
      <c r="AW532" s="25">
        <f>24*60*60*1</f>
        <v>86400</v>
      </c>
      <c r="AX532" s="25">
        <f>24*60*60*7</f>
        <v>604800</v>
      </c>
      <c r="AY532" s="42"/>
      <c r="AZ532" s="46"/>
      <c r="BA532" s="42"/>
      <c r="BB532" s="4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1"/>
      <c r="CS532" s="1"/>
      <c r="CT532" s="1"/>
      <c r="CU532" s="1"/>
    </row>
    <row r="533" spans="1:99" s="13" customFormat="1" ht="12" customHeight="1" x14ac:dyDescent="0.2">
      <c r="A533" s="65">
        <v>43509</v>
      </c>
      <c r="B533" s="1" t="s">
        <v>106</v>
      </c>
      <c r="C533" s="1" t="s">
        <v>107</v>
      </c>
      <c r="D533" s="60">
        <v>2005</v>
      </c>
      <c r="E533" s="76">
        <v>1</v>
      </c>
      <c r="F533" s="60">
        <v>72</v>
      </c>
      <c r="G533" s="60">
        <v>24</v>
      </c>
      <c r="H533" s="60" t="s">
        <v>41</v>
      </c>
      <c r="I533" s="60" t="s">
        <v>696</v>
      </c>
      <c r="J533" s="60" t="s">
        <v>677</v>
      </c>
      <c r="K533" s="60">
        <f>IF(J533="syllables",1,IF(J533="trigrams",2,IF(J533="strings",3,IF(J533="visual array",4,IF(J533="characters",5,IF(J533="letters",6,IF(J533="free forms",7,IF(J533="odors",8,IF(J533="words",9,IF(J533="pictures",10,IF(J533="object pictures",11,IF(J533="faces",12,IF(J533="names",13,IF(J533="idioms",14,IF(J533="grades",15,IF(J533="syllable-digit pairs",16,IF(J533="trigram-word pairs",17,IF(J533="word-digit pairs",18,IF(J533="English-Swahili pairs",19,IF(J533="spatial position",20,IF(J533="word pairs",21,IF(J533="word triads",22,IF(J533="generated words",23,IF(J533="word definition pairs",24,IF(J533="math problems",25,IF(J533="famous faces",26,IF(J533="famous names",27,IF(J533="famous voices",28,IF(J533="television programs",29,IF(J533="race horses",30,IF(J533="new vocabulary",31,IF(J533="sentences",32,IF(J533="concepts",33,IF(J533="ad slides",34,IF(J533="scenes",35,IF(J533="famous scenes",36,IF(J533="poems",37,IF(J533="walk",38,IF(J533="faces and events",39,IF(J533="events and names",40,IF(J533="flashbulb",41,IF(J533="stories",42,IF(J533="course material",43,IF(J533="autobiographical",44,IF(J533="novels",45,IF(J533="public events",46,"99"))))))))))))))))))))))))))))))))))))))))))))))</f>
        <v>42</v>
      </c>
      <c r="L533" s="60">
        <f>IF(J533="syllables",1,IF(J533="trigrams",1,IF(J533="strings",1,IF(J533="visual array",1,IF(J533="characters",1,IF(J533="letters",1,IF(J533="free forms",1,IF(J533="odors",2,IF(J533="words",2,IF(J533="pictures",2,IF(J533="object pictures",2,IF(J533="faces",2,IF(J533="names",2,IF(J533="idioms","2",IF(J533="grades",2,IF(J533="syllable-digit pairs",3,IF(J533="trigram-word pairs",3,IF(J533="word-digit pairs",3,IF(J533="English-Swahili pairs",3,IF(J533="spatial position",3,IF(J533="word pairs",4,IF(J533="word triads",4,IF(J533="generated words",4,IF(J533="word definition pairs",4,IF(J533="math problems",4,IF(J533="famous faces",4,IF(J533="famous names",4,IF(J533="famous voices",4,IF(J533="television programs",4,IF(J533="race horses",4,IF(J533="new vocabulary",4,IF(J533="sentences",5,IF(J533="concepts",5,IF(J533="ad slides",5,IF(J533="scenes",5,IF(J533="famous scenes",5,IF(J533="poems",6,IF(J533="walk",6,IF(J533="faces and events",6,IF(J533="events and names",6,IF(J533="flashbulb",7,IF(J533="stories",7,IF(J533="course material",7,IF(J533="autobiographical",7,IF(J533="novels",7,IF(J533="public events",7,"99"))))))))))))))))))))))))))))))))))))))))))))))</f>
        <v>7</v>
      </c>
      <c r="M533" s="60">
        <v>0</v>
      </c>
      <c r="N533" s="60">
        <v>3</v>
      </c>
      <c r="O533" s="60">
        <v>1</v>
      </c>
      <c r="P533" s="60" t="s">
        <v>108</v>
      </c>
      <c r="Q533" s="60" t="s">
        <v>174</v>
      </c>
      <c r="R533" s="60">
        <f>IF(Q533="Free Recall",1,IF(Q533="Cued Recall",2,IF(Q533="Recognition",3,IF(Q533="Multiple Choice",4,IF(Q533="Savings",5,IF(Q533="Stem Completion",6,IF(Q533="Fragment Completion",7,IF(Q533="anagram solution",8,IF(Q533="Matching",9,IF(Q533="Problem Solving",10,"99"))))))))))</f>
        <v>1</v>
      </c>
      <c r="S533" s="60" t="s">
        <v>49</v>
      </c>
      <c r="T533" s="60" t="s">
        <v>261</v>
      </c>
      <c r="U533" s="60">
        <f>IF(T533="within",1,0)</f>
        <v>0</v>
      </c>
      <c r="V533" s="60">
        <v>22</v>
      </c>
      <c r="W533" s="60">
        <f>F533*V533</f>
        <v>1584</v>
      </c>
      <c r="X533" s="60">
        <v>3</v>
      </c>
      <c r="Y533" s="76">
        <f>AV532</f>
        <v>300</v>
      </c>
      <c r="Z533" s="60" t="s">
        <v>97</v>
      </c>
      <c r="AA533" s="60">
        <v>604800</v>
      </c>
      <c r="AB533" s="60" t="str">
        <f>IF(AA533&lt;60,"1",IF(AA533&lt;=43200,"2",IF(AA533&lt;=777600,"3","4")))</f>
        <v>3</v>
      </c>
      <c r="AC533" s="56">
        <f>AVERAGE(AV532:DA532)</f>
        <v>230500</v>
      </c>
      <c r="AD533" s="60" t="str">
        <f>IF(AC533&lt;60,"1",IF(AC533&lt;=43200,"2",IF(AC533&lt;=777600,"3","4")))</f>
        <v>3</v>
      </c>
      <c r="AE533" s="76">
        <f>AA533-Y533</f>
        <v>604500</v>
      </c>
      <c r="AF533" s="80">
        <f>AV533</f>
        <v>0.75800000000000001</v>
      </c>
      <c r="AG533" s="56">
        <f>((AW533-AV533)+(AX533-AW533))/2</f>
        <v>-0.13100000000000001</v>
      </c>
      <c r="AH533" s="4"/>
      <c r="AI533" s="56">
        <f>RSQ(AV533:AX533,AV532:AX532)</f>
        <v>0.70071922782380869</v>
      </c>
      <c r="AJ533" s="109">
        <f>SLOPE(AV533:AX533,AV532:AX532)</f>
        <v>-3.4131725382911802E-7</v>
      </c>
      <c r="AK533" s="56">
        <f>INTERCEPT(AV533:AX533,AV532:AX532)</f>
        <v>0.69134029367427841</v>
      </c>
      <c r="AL533" s="56">
        <f>INDEX(LINEST(LN(AV533:AX533),LN(AV532:AX532),TRUE,TRUE),3,1)</f>
        <v>0.97968938094060842</v>
      </c>
      <c r="AM533" s="56">
        <f>INDEX(LINEST(LN(AV533:AX533),LN(AV532:AX532)),1)</f>
        <v>-5.3563338424100639E-2</v>
      </c>
      <c r="AN533" s="56">
        <f>EXP(INDEX(LINEST(LN(AV533:AX533),LN(AV532:AX532)),1,2))</f>
        <v>1.037803344687215</v>
      </c>
      <c r="AO533" s="82">
        <f>INDEX(LINEST((AV533:AX533),LN(AV532:AX532),TRUE,TRUE),3,1)</f>
        <v>0.99234363215271348</v>
      </c>
      <c r="AP533" s="82">
        <f>INDEX(LINEST((AV533:AX533),LN(AV532:AX532)),1)</f>
        <v>-3.3601057730487938E-2</v>
      </c>
      <c r="AQ533" s="83">
        <f>INDEX(LINEST(LN(AV533:AX533),SQRT(AV532:AX532),TRUE,TRUE),3,1)</f>
        <v>0.91937882372867608</v>
      </c>
      <c r="AR533" s="116">
        <f>INDEX(LINEST(LN(AV533:AX533),SQRT((AV532:AX532))),1)</f>
        <v>-5.3294464333535551E-4</v>
      </c>
      <c r="AS533" s="84">
        <f>INDEX(LINEST(1/(AV533:AX533),1/(SQRT(AV532:AX532)),TRUE,TRUE),3,1)</f>
        <v>0.83618032583667368</v>
      </c>
      <c r="AT533" s="84">
        <f>INDEX(LINEST(1/(AV533:AX533),1/SQRT(AV532:AX532)),1)</f>
        <v>-9.9847738304303668</v>
      </c>
      <c r="AU533" s="3"/>
      <c r="AV533" s="53">
        <v>0.75800000000000001</v>
      </c>
      <c r="AW533" s="53">
        <v>0.58399999999999996</v>
      </c>
      <c r="AX533" s="53">
        <v>0.496</v>
      </c>
      <c r="AY533" s="42"/>
      <c r="AZ533" s="46"/>
      <c r="BA533" s="42"/>
      <c r="BB533" s="4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1"/>
      <c r="CS533" s="1"/>
      <c r="CT533" s="1"/>
      <c r="CU533" s="1"/>
    </row>
    <row r="534" spans="1:99" s="13" customFormat="1" ht="12" customHeight="1" x14ac:dyDescent="0.2">
      <c r="A534" s="65">
        <v>43509</v>
      </c>
      <c r="B534" s="1"/>
      <c r="C534" s="1"/>
      <c r="D534" s="60"/>
      <c r="E534" s="76"/>
      <c r="F534" s="60"/>
      <c r="G534" s="60"/>
      <c r="H534" s="60"/>
      <c r="I534" s="60"/>
      <c r="J534" s="60"/>
      <c r="K534" s="64"/>
      <c r="L534" s="64"/>
      <c r="M534" s="60"/>
      <c r="N534" s="60"/>
      <c r="O534" s="60"/>
      <c r="P534" s="60"/>
      <c r="Q534" s="60"/>
      <c r="R534" s="60"/>
      <c r="S534" s="60"/>
      <c r="T534" s="60"/>
      <c r="U534" s="60"/>
      <c r="V534" s="60"/>
      <c r="W534" s="60"/>
      <c r="X534" s="60"/>
      <c r="Y534" s="76"/>
      <c r="Z534" s="60"/>
      <c r="AA534" s="60"/>
      <c r="AB534" s="60"/>
      <c r="AC534" s="60"/>
      <c r="AD534" s="60"/>
      <c r="AE534" s="60"/>
      <c r="AF534" s="80"/>
      <c r="AG534" s="56"/>
      <c r="AH534" s="4"/>
      <c r="AI534" s="56"/>
      <c r="AJ534" s="109"/>
      <c r="AK534" s="56"/>
      <c r="AL534" s="56"/>
      <c r="AM534" s="56"/>
      <c r="AN534" s="56"/>
      <c r="AO534" s="56"/>
      <c r="AP534" s="56"/>
      <c r="AQ534" s="56"/>
      <c r="AR534" s="109"/>
      <c r="AS534" s="56"/>
      <c r="AT534" s="56"/>
      <c r="AU534" s="4"/>
      <c r="AV534" s="25">
        <f>5*60</f>
        <v>300</v>
      </c>
      <c r="AW534" s="25">
        <f>24*60*60*1</f>
        <v>86400</v>
      </c>
      <c r="AX534" s="25">
        <f>24*60*60*7</f>
        <v>604800</v>
      </c>
      <c r="AY534" s="42"/>
      <c r="AZ534" s="46"/>
      <c r="BA534" s="42"/>
      <c r="BB534" s="42"/>
      <c r="BC534" s="42"/>
      <c r="BD534" s="42"/>
      <c r="BE534" s="42"/>
      <c r="BF534" s="42"/>
      <c r="BG534" s="4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1"/>
      <c r="CS534" s="1"/>
      <c r="CT534" s="1"/>
      <c r="CU534" s="1"/>
    </row>
    <row r="535" spans="1:99" s="13" customFormat="1" ht="12" customHeight="1" x14ac:dyDescent="0.2">
      <c r="A535" s="65">
        <v>43509</v>
      </c>
      <c r="B535" s="1" t="s">
        <v>106</v>
      </c>
      <c r="C535" s="1" t="s">
        <v>107</v>
      </c>
      <c r="D535" s="60">
        <v>2005</v>
      </c>
      <c r="E535" s="76">
        <v>1</v>
      </c>
      <c r="F535" s="60">
        <v>72</v>
      </c>
      <c r="G535" s="60">
        <v>24</v>
      </c>
      <c r="H535" s="60" t="s">
        <v>41</v>
      </c>
      <c r="I535" s="60" t="s">
        <v>697</v>
      </c>
      <c r="J535" s="60" t="s">
        <v>677</v>
      </c>
      <c r="K535" s="60">
        <f>IF(J535="syllables",1,IF(J535="trigrams",2,IF(J535="strings",3,IF(J535="visual array",4,IF(J535="characters",5,IF(J535="letters",6,IF(J535="free forms",7,IF(J535="odors",8,IF(J535="words",9,IF(J535="pictures",10,IF(J535="object pictures",11,IF(J535="faces",12,IF(J535="names",13,IF(J535="idioms",14,IF(J535="grades",15,IF(J535="syllable-digit pairs",16,IF(J535="trigram-word pairs",17,IF(J535="word-digit pairs",18,IF(J535="English-Swahili pairs",19,IF(J535="spatial position",20,IF(J535="word pairs",21,IF(J535="word triads",22,IF(J535="generated words",23,IF(J535="word definition pairs",24,IF(J535="math problems",25,IF(J535="famous faces",26,IF(J535="famous names",27,IF(J535="famous voices",28,IF(J535="television programs",29,IF(J535="race horses",30,IF(J535="new vocabulary",31,IF(J535="sentences",32,IF(J535="concepts",33,IF(J535="ad slides",34,IF(J535="scenes",35,IF(J535="famous scenes",36,IF(J535="poems",37,IF(J535="walk",38,IF(J535="faces and events",39,IF(J535="events and names",40,IF(J535="flashbulb",41,IF(J535="stories",42,IF(J535="course material",43,IF(J535="autobiographical",44,IF(J535="novels",45,IF(J535="public events",46,"99"))))))))))))))))))))))))))))))))))))))))))))))</f>
        <v>42</v>
      </c>
      <c r="L535" s="60">
        <f>IF(J535="syllables",1,IF(J535="trigrams",1,IF(J535="strings",1,IF(J535="visual array",1,IF(J535="characters",1,IF(J535="letters",1,IF(J535="free forms",1,IF(J535="odors",2,IF(J535="words",2,IF(J535="pictures",2,IF(J535="object pictures",2,IF(J535="faces",2,IF(J535="names",2,IF(J535="idioms","2",IF(J535="grades",2,IF(J535="syllable-digit pairs",3,IF(J535="trigram-word pairs",3,IF(J535="word-digit pairs",3,IF(J535="English-Swahili pairs",3,IF(J535="spatial position",3,IF(J535="word pairs",4,IF(J535="word triads",4,IF(J535="generated words",4,IF(J535="word definition pairs",4,IF(J535="math problems",4,IF(J535="famous faces",4,IF(J535="famous names",4,IF(J535="famous voices",4,IF(J535="television programs",4,IF(J535="race horses",4,IF(J535="new vocabulary",4,IF(J535="sentences",5,IF(J535="concepts",5,IF(J535="ad slides",5,IF(J535="scenes",5,IF(J535="famous scenes",5,IF(J535="poems",6,IF(J535="walk",6,IF(J535="faces and events",6,IF(J535="events and names",6,IF(J535="flashbulb",7,IF(J535="stories",7,IF(J535="course material",7,IF(J535="autobiographical",7,IF(J535="novels",7,IF(J535="public events",7,"99"))))))))))))))))))))))))))))))))))))))))))))))</f>
        <v>7</v>
      </c>
      <c r="M535" s="60">
        <v>0</v>
      </c>
      <c r="N535" s="60">
        <v>3</v>
      </c>
      <c r="O535" s="60">
        <v>1</v>
      </c>
      <c r="P535" s="60" t="s">
        <v>108</v>
      </c>
      <c r="Q535" s="60" t="s">
        <v>174</v>
      </c>
      <c r="R535" s="60">
        <f>IF(Q535="Free Recall",1,IF(Q535="Cued Recall",2,IF(Q535="Recognition",3,IF(Q535="Multiple Choice",4,IF(Q535="Savings",5,IF(Q535="Stem Completion",6,IF(Q535="Fragment Completion",7,IF(Q535="anagram solution",8,IF(Q535="Matching",9,IF(Q535="Problem Solving",10,"99"))))))))))</f>
        <v>1</v>
      </c>
      <c r="S535" s="60" t="s">
        <v>49</v>
      </c>
      <c r="T535" s="60" t="s">
        <v>261</v>
      </c>
      <c r="U535" s="60">
        <f>IF(T535="within",1,0)</f>
        <v>0</v>
      </c>
      <c r="V535" s="60">
        <v>22</v>
      </c>
      <c r="W535" s="60">
        <f>F535*V535</f>
        <v>1584</v>
      </c>
      <c r="X535" s="60">
        <v>3</v>
      </c>
      <c r="Y535" s="76">
        <f>AV534</f>
        <v>300</v>
      </c>
      <c r="Z535" s="60" t="s">
        <v>97</v>
      </c>
      <c r="AA535" s="60">
        <v>604800</v>
      </c>
      <c r="AB535" s="60" t="str">
        <f>IF(AA535&lt;60,"1",IF(AA535&lt;=43200,"2",IF(AA535&lt;=777600,"3","4")))</f>
        <v>3</v>
      </c>
      <c r="AC535" s="56">
        <f>AVERAGE(AV534:DA534)</f>
        <v>230500</v>
      </c>
      <c r="AD535" s="60" t="str">
        <f>IF(AC535&lt;60,"1",IF(AC535&lt;=43200,"2",IF(AC535&lt;=777600,"3","4")))</f>
        <v>3</v>
      </c>
      <c r="AE535" s="76">
        <f>AA535-Y535</f>
        <v>604500</v>
      </c>
      <c r="AF535" s="80">
        <f>AV535</f>
        <v>0.70299999999999996</v>
      </c>
      <c r="AG535" s="56">
        <f>((AW535-AV535)+(AX535-AW535))/2</f>
        <v>-0.12799999999999997</v>
      </c>
      <c r="AH535" s="4"/>
      <c r="AI535" s="56">
        <f>RSQ(AV535:AX535,AV534:AX534)</f>
        <v>0.53163979671025596</v>
      </c>
      <c r="AJ535" s="109">
        <f>SLOPE(AV535:AX535,AV534:AX534)</f>
        <v>-3.0521094108811037E-7</v>
      </c>
      <c r="AK535" s="56">
        <f>INTERCEPT(AV535:AX535,AV534:AX534)</f>
        <v>0.61735112192080943</v>
      </c>
      <c r="AL535" s="56">
        <f>INDEX(LINEST(LN(AV535:AX535),LN(AV534:AX534),TRUE,TRUE),3,1)</f>
        <v>0.99740358280672914</v>
      </c>
      <c r="AM535" s="56">
        <f>INDEX(LINEST(LN(AV535:AX535),LN(AV534:AX534)),1)</f>
        <v>-6.0378123203897564E-2</v>
      </c>
      <c r="AN535" s="56">
        <f>EXP(INDEX(LINEST(LN(AV535:AX535),LN(AV534:AX534)),1,2))</f>
        <v>0.98858995205561606</v>
      </c>
      <c r="AO535" s="82">
        <f>INDEX(LINEST((AV535:AX535),LN(AV534:AX534),TRUE,TRUE),3,1)</f>
        <v>0.99240330263243104</v>
      </c>
      <c r="AP535" s="82">
        <f>INDEX(LINEST((AV535:AX535),LN(AV534:AX534)),1)</f>
        <v>-3.4496190433081775E-2</v>
      </c>
      <c r="AQ535" s="83">
        <f>INDEX(LINEST(LN(AV535:AX535),SQRT(AV534:AX534),TRUE,TRUE),3,1)</f>
        <v>0.7852189386587507</v>
      </c>
      <c r="AR535" s="116">
        <f>INDEX(LINEST(LN(AV535:AX535),SQRT((AV534:AX534))),1)</f>
        <v>-5.5023846445825992E-4</v>
      </c>
      <c r="AS535" s="84">
        <f>INDEX(LINEST(1/(AV535:AX535),1/(SQRT(AV534:AX534)),TRUE,TRUE),3,1)</f>
        <v>0.95843174924579755</v>
      </c>
      <c r="AT535" s="84">
        <f>INDEX(LINEST(1/(AV535:AX535),1/SQRT(AV534:AX534)),1)</f>
        <v>-12.98729282189745</v>
      </c>
      <c r="AU535" s="3"/>
      <c r="AV535" s="53">
        <v>0.70299999999999996</v>
      </c>
      <c r="AW535" s="53">
        <v>0.49099999999999999</v>
      </c>
      <c r="AX535" s="53">
        <v>0.44700000000000001</v>
      </c>
      <c r="AY535" s="42"/>
      <c r="AZ535" s="46"/>
      <c r="BA535" s="42"/>
      <c r="BB535" s="4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1"/>
      <c r="CS535" s="1"/>
      <c r="CT535" s="1"/>
      <c r="CU535" s="1"/>
    </row>
    <row r="536" spans="1:99" s="13" customFormat="1" ht="12" customHeight="1" x14ac:dyDescent="0.2">
      <c r="A536" s="65">
        <v>43509</v>
      </c>
      <c r="B536" s="1"/>
      <c r="C536" s="1"/>
      <c r="D536" s="60"/>
      <c r="E536" s="76"/>
      <c r="F536" s="60"/>
      <c r="G536" s="60"/>
      <c r="H536" s="60"/>
      <c r="I536" s="60"/>
      <c r="J536" s="60"/>
      <c r="K536" s="64"/>
      <c r="L536" s="64"/>
      <c r="M536" s="60"/>
      <c r="N536" s="60"/>
      <c r="O536" s="60"/>
      <c r="P536" s="60"/>
      <c r="Q536" s="60"/>
      <c r="R536" s="60"/>
      <c r="S536" s="60"/>
      <c r="T536" s="60"/>
      <c r="U536" s="60"/>
      <c r="V536" s="60"/>
      <c r="W536" s="60"/>
      <c r="X536" s="60"/>
      <c r="Y536" s="76"/>
      <c r="Z536" s="60"/>
      <c r="AA536" s="60"/>
      <c r="AB536" s="60"/>
      <c r="AC536" s="60"/>
      <c r="AD536" s="60"/>
      <c r="AE536" s="60"/>
      <c r="AF536" s="80"/>
      <c r="AG536" s="56"/>
      <c r="AH536" s="4"/>
      <c r="AI536" s="56"/>
      <c r="AJ536" s="109"/>
      <c r="AK536" s="56"/>
      <c r="AL536" s="56"/>
      <c r="AM536" s="56"/>
      <c r="AN536" s="56"/>
      <c r="AO536" s="56"/>
      <c r="AP536" s="56"/>
      <c r="AQ536" s="56"/>
      <c r="AR536" s="109"/>
      <c r="AS536" s="56"/>
      <c r="AT536" s="56"/>
      <c r="AU536" s="4"/>
      <c r="AV536" s="25">
        <f>5*60</f>
        <v>300</v>
      </c>
      <c r="AW536" s="25">
        <f>24*60*60*1</f>
        <v>86400</v>
      </c>
      <c r="AX536" s="25">
        <f>24*60*60*7</f>
        <v>604800</v>
      </c>
      <c r="AY536" s="42"/>
      <c r="AZ536" s="46"/>
      <c r="BA536" s="42"/>
      <c r="BB536" s="4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1"/>
      <c r="CS536" s="1"/>
      <c r="CT536" s="1"/>
      <c r="CU536" s="1"/>
    </row>
    <row r="537" spans="1:99" s="13" customFormat="1" ht="12" customHeight="1" x14ac:dyDescent="0.2">
      <c r="A537" s="65">
        <v>43509</v>
      </c>
      <c r="B537" s="1" t="s">
        <v>106</v>
      </c>
      <c r="C537" s="1" t="s">
        <v>107</v>
      </c>
      <c r="D537" s="60">
        <v>2005</v>
      </c>
      <c r="E537" s="76">
        <v>1</v>
      </c>
      <c r="F537" s="60">
        <v>72</v>
      </c>
      <c r="G537" s="60">
        <v>24</v>
      </c>
      <c r="H537" s="60" t="s">
        <v>41</v>
      </c>
      <c r="I537" s="60" t="s">
        <v>698</v>
      </c>
      <c r="J537" s="60" t="s">
        <v>677</v>
      </c>
      <c r="K537" s="60">
        <f>IF(J537="syllables",1,IF(J537="trigrams",2,IF(J537="strings",3,IF(J537="visual array",4,IF(J537="characters",5,IF(J537="letters",6,IF(J537="free forms",7,IF(J537="odors",8,IF(J537="words",9,IF(J537="pictures",10,IF(J537="object pictures",11,IF(J537="faces",12,IF(J537="names",13,IF(J537="idioms",14,IF(J537="grades",15,IF(J537="syllable-digit pairs",16,IF(J537="trigram-word pairs",17,IF(J537="word-digit pairs",18,IF(J537="English-Swahili pairs",19,IF(J537="spatial position",20,IF(J537="word pairs",21,IF(J537="word triads",22,IF(J537="generated words",23,IF(J537="word definition pairs",24,IF(J537="math problems",25,IF(J537="famous faces",26,IF(J537="famous names",27,IF(J537="famous voices",28,IF(J537="television programs",29,IF(J537="race horses",30,IF(J537="new vocabulary",31,IF(J537="sentences",32,IF(J537="concepts",33,IF(J537="ad slides",34,IF(J537="scenes",35,IF(J537="famous scenes",36,IF(J537="poems",37,IF(J537="walk",38,IF(J537="faces and events",39,IF(J537="events and names",40,IF(J537="flashbulb",41,IF(J537="stories",42,IF(J537="course material",43,IF(J537="autobiographical",44,IF(J537="novels",45,IF(J537="public events",46,"99"))))))))))))))))))))))))))))))))))))))))))))))</f>
        <v>42</v>
      </c>
      <c r="L537" s="60">
        <f>IF(J537="syllables",1,IF(J537="trigrams",1,IF(J537="strings",1,IF(J537="visual array",1,IF(J537="characters",1,IF(J537="letters",1,IF(J537="free forms",1,IF(J537="odors",2,IF(J537="words",2,IF(J537="pictures",2,IF(J537="object pictures",2,IF(J537="faces",2,IF(J537="names",2,IF(J537="idioms","2",IF(J537="grades",2,IF(J537="syllable-digit pairs",3,IF(J537="trigram-word pairs",3,IF(J537="word-digit pairs",3,IF(J537="English-Swahili pairs",3,IF(J537="spatial position",3,IF(J537="word pairs",4,IF(J537="word triads",4,IF(J537="generated words",4,IF(J537="word definition pairs",4,IF(J537="math problems",4,IF(J537="famous faces",4,IF(J537="famous names",4,IF(J537="famous voices",4,IF(J537="television programs",4,IF(J537="race horses",4,IF(J537="new vocabulary",4,IF(J537="sentences",5,IF(J537="concepts",5,IF(J537="ad slides",5,IF(J537="scenes",5,IF(J537="famous scenes",5,IF(J537="poems",6,IF(J537="walk",6,IF(J537="faces and events",6,IF(J537="events and names",6,IF(J537="flashbulb",7,IF(J537="stories",7,IF(J537="course material",7,IF(J537="autobiographical",7,IF(J537="novels",7,IF(J537="public events",7,"99"))))))))))))))))))))))))))))))))))))))))))))))</f>
        <v>7</v>
      </c>
      <c r="M537" s="60">
        <v>0</v>
      </c>
      <c r="N537" s="60">
        <v>3</v>
      </c>
      <c r="O537" s="60">
        <v>1</v>
      </c>
      <c r="P537" s="60" t="s">
        <v>108</v>
      </c>
      <c r="Q537" s="60" t="s">
        <v>174</v>
      </c>
      <c r="R537" s="60">
        <f>IF(Q537="Free Recall",1,IF(Q537="Cued Recall",2,IF(Q537="Recognition",3,IF(Q537="Multiple Choice",4,IF(Q537="Savings",5,IF(Q537="Stem Completion",6,IF(Q537="Fragment Completion",7,IF(Q537="anagram solution",8,IF(Q537="Matching",9,IF(Q537="Problem Solving",10,"99"))))))))))</f>
        <v>1</v>
      </c>
      <c r="S537" s="60" t="s">
        <v>49</v>
      </c>
      <c r="T537" s="60" t="s">
        <v>261</v>
      </c>
      <c r="U537" s="60">
        <f>IF(T537="within",1,0)</f>
        <v>0</v>
      </c>
      <c r="V537" s="60">
        <v>22</v>
      </c>
      <c r="W537" s="60">
        <f>F537*V537</f>
        <v>1584</v>
      </c>
      <c r="X537" s="60">
        <v>3</v>
      </c>
      <c r="Y537" s="76">
        <f>AV536</f>
        <v>300</v>
      </c>
      <c r="Z537" s="60" t="s">
        <v>97</v>
      </c>
      <c r="AA537" s="60">
        <v>604800</v>
      </c>
      <c r="AB537" s="60" t="str">
        <f>IF(AA537&lt;60,"1",IF(AA537&lt;=43200,"2",IF(AA537&lt;=777600,"3","4")))</f>
        <v>3</v>
      </c>
      <c r="AC537" s="56">
        <f>AVERAGE(AV536:DA536)</f>
        <v>230500</v>
      </c>
      <c r="AD537" s="60" t="str">
        <f>IF(AC537&lt;60,"1",IF(AC537&lt;=43200,"2",IF(AC537&lt;=777600,"3","4")))</f>
        <v>3</v>
      </c>
      <c r="AE537" s="76">
        <f>AA537-Y537</f>
        <v>604500</v>
      </c>
      <c r="AF537" s="80">
        <f>AV537</f>
        <v>0.57599999999999996</v>
      </c>
      <c r="AG537" s="56">
        <f>((AW537-AV537)+(AX537-AW537))/2</f>
        <v>-0.186</v>
      </c>
      <c r="AH537" s="4"/>
      <c r="AI537" s="56">
        <f>RSQ(AV537:AX537,AV536:AX536)</f>
        <v>0.61463808511326556</v>
      </c>
      <c r="AJ537" s="109">
        <f>SLOPE(AV537:AX537,AV536:AX536)</f>
        <v>-4.6376617234648101E-7</v>
      </c>
      <c r="AK537" s="56">
        <f>INTERCEPT(AV537:AX537,AV536:AX536)</f>
        <v>0.46623143605919715</v>
      </c>
      <c r="AL537" s="56">
        <f>INDEX(LINEST(LN(AV537:AX537),LN(AV536:AX536),TRUE,TRUE),3,1)</f>
        <v>0.9855783217113091</v>
      </c>
      <c r="AM537" s="56">
        <f>INDEX(LINEST(LN(AV537:AX537),LN(AV536:AX536)),1)</f>
        <v>-0.13191737937665859</v>
      </c>
      <c r="AN537" s="56">
        <f>EXP(INDEX(LINEST(LN(AV537:AX537),LN(AV536:AX536)),1,2))</f>
        <v>1.2444680851520158</v>
      </c>
      <c r="AO537" s="82">
        <f>INDEX(LINEST((AV537:AX537),LN(AV536:AX536),TRUE,TRUE),3,1)</f>
        <v>0.99998934811138795</v>
      </c>
      <c r="AP537" s="82">
        <f>INDEX(LINEST((AV537:AX537),LN(AV536:AX536)),1)</f>
        <v>-4.8935350211387459E-2</v>
      </c>
      <c r="AQ537" s="83">
        <f>INDEX(LINEST(LN(AV537:AX537),SQRT(AV536:AX536),TRUE,TRUE),3,1)</f>
        <v>0.90663642568087222</v>
      </c>
      <c r="AR537" s="116">
        <f>INDEX(LINEST(LN(AV537:AX537),SQRT((AV536:AX536))),1)</f>
        <v>-1.2995244114286707E-3</v>
      </c>
      <c r="AS537" s="84">
        <f>INDEX(LINEST(1/(AV537:AX537),1/(SQRT(AV536:AX536)),TRUE,TRUE),3,1)</f>
        <v>0.78908934016734733</v>
      </c>
      <c r="AT537" s="84">
        <f>INDEX(LINEST(1/(AV537:AX537),1/SQRT(AV536:AX536)),1)</f>
        <v>-43.948653629577869</v>
      </c>
      <c r="AU537" s="3"/>
      <c r="AV537" s="53">
        <v>0.57599999999999996</v>
      </c>
      <c r="AW537" s="53">
        <v>0.29799999999999999</v>
      </c>
      <c r="AX537" s="53">
        <v>0.20399999999999999</v>
      </c>
      <c r="AY537" s="42"/>
      <c r="AZ537" s="46"/>
      <c r="BA537" s="42"/>
      <c r="BB537" s="4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1"/>
      <c r="CS537" s="1"/>
      <c r="CT537" s="1"/>
      <c r="CU537" s="1"/>
    </row>
    <row r="538" spans="1:99" s="13" customFormat="1" ht="12" customHeight="1" x14ac:dyDescent="0.2">
      <c r="A538" s="68">
        <v>43509</v>
      </c>
      <c r="B538" s="70"/>
      <c r="C538" s="70"/>
      <c r="D538" s="69"/>
      <c r="E538" s="87"/>
      <c r="F538" s="69"/>
      <c r="G538" s="69"/>
      <c r="H538" s="69"/>
      <c r="I538" s="69"/>
      <c r="J538" s="69"/>
      <c r="K538" s="107"/>
      <c r="L538" s="107"/>
      <c r="M538" s="69"/>
      <c r="N538" s="69"/>
      <c r="O538" s="69"/>
      <c r="P538" s="69"/>
      <c r="Q538" s="69"/>
      <c r="R538" s="69"/>
      <c r="S538" s="69"/>
      <c r="T538" s="69"/>
      <c r="U538" s="69"/>
      <c r="V538" s="69"/>
      <c r="W538" s="69"/>
      <c r="X538" s="69"/>
      <c r="Y538" s="87"/>
      <c r="Z538" s="69"/>
      <c r="AA538" s="69"/>
      <c r="AB538" s="69"/>
      <c r="AC538" s="69"/>
      <c r="AD538" s="69"/>
      <c r="AE538" s="69"/>
      <c r="AF538" s="88"/>
      <c r="AG538" s="72"/>
      <c r="AH538" s="4"/>
      <c r="AI538" s="72"/>
      <c r="AJ538" s="110"/>
      <c r="AK538" s="72"/>
      <c r="AL538" s="72"/>
      <c r="AM538" s="72"/>
      <c r="AN538" s="72"/>
      <c r="AO538" s="72"/>
      <c r="AP538" s="72"/>
      <c r="AQ538" s="72"/>
      <c r="AR538" s="110"/>
      <c r="AS538" s="72"/>
      <c r="AT538" s="72"/>
      <c r="AU538" s="6"/>
      <c r="AV538" s="71">
        <v>30</v>
      </c>
      <c r="AW538" s="71">
        <f>60*20</f>
        <v>1200</v>
      </c>
      <c r="AX538" s="71">
        <f>60*90</f>
        <v>5400</v>
      </c>
      <c r="AY538" s="42"/>
      <c r="AZ538" s="46"/>
      <c r="BA538" s="42"/>
      <c r="BB538" s="42"/>
      <c r="BC538" s="42"/>
      <c r="BD538" s="42"/>
      <c r="BE538" s="42"/>
      <c r="BF538" s="42"/>
      <c r="BG538" s="4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1"/>
      <c r="CS538" s="1"/>
      <c r="CT538" s="1"/>
      <c r="CU538" s="1"/>
    </row>
    <row r="539" spans="1:99" s="13" customFormat="1" ht="12" customHeight="1" x14ac:dyDescent="0.2">
      <c r="A539" s="68">
        <v>43509</v>
      </c>
      <c r="B539" s="70" t="s">
        <v>242</v>
      </c>
      <c r="C539" s="70" t="s">
        <v>58</v>
      </c>
      <c r="D539" s="69">
        <v>1984</v>
      </c>
      <c r="E539" s="87">
        <v>2</v>
      </c>
      <c r="F539" s="69">
        <v>48</v>
      </c>
      <c r="G539" s="69">
        <v>48</v>
      </c>
      <c r="H539" s="69" t="s">
        <v>38</v>
      </c>
      <c r="I539" s="69"/>
      <c r="J539" s="69" t="s">
        <v>16</v>
      </c>
      <c r="K539" s="69">
        <f>IF(J539="syllables",1,IF(J539="trigrams",2,IF(J539="strings",3,IF(J539="visual array",4,IF(J539="characters",5,IF(J539="letters",6,IF(J539="free forms",7,IF(J539="odors",8,IF(J539="words",9,IF(J539="pictures",10,IF(J539="object pictures",11,IF(J539="faces",12,IF(J539="names",13,IF(J539="idioms",14,IF(J539="grades",15,IF(J539="syllable-digit pairs",16,IF(J539="trigram-word pairs",17,IF(J539="word-digit pairs",18,IF(J539="English-Swahili pairs",19,IF(J539="spatial position",20,IF(J539="word pairs",21,IF(J539="word triads",22,IF(J539="generated words",23,IF(J539="word definition pairs",24,IF(J539="math problems",25,IF(J539="famous faces",26,IF(J539="famous names",27,IF(J539="famous voices",28,IF(J539="television programs",29,IF(J539="race horses",30,IF(J539="new vocabulary",31,IF(J539="sentences",32,IF(J539="concepts",33,IF(J539="ad slides",34,IF(J539="scenes",35,IF(J539="famous scenes",36,IF(J539="poems",37,IF(J539="walk",38,IF(J539="faces and events",39,IF(J539="events and names",40,IF(J539="flashbulb",41,IF(J539="stories",42,IF(J539="course material",43,IF(J539="autobiographical",44,IF(J539="novels",45,IF(J539="public events",46,"99"))))))))))))))))))))))))))))))))))))))))))))))</f>
        <v>9</v>
      </c>
      <c r="L539" s="69">
        <f>IF(J539="syllables",1,IF(J539="trigrams",1,IF(J539="strings",1,IF(J539="visual array",1,IF(J539="characters",1,IF(J539="letters",1,IF(J539="free forms",1,IF(J539="odors",2,IF(J539="words",2,IF(J539="pictures",2,IF(J539="object pictures",2,IF(J539="faces",2,IF(J539="names",2,IF(J539="idioms","2",IF(J539="grades",2,IF(J539="syllable-digit pairs",3,IF(J539="trigram-word pairs",3,IF(J539="word-digit pairs",3,IF(J539="English-Swahili pairs",3,IF(J539="spatial position",3,IF(J539="word pairs",4,IF(J539="word triads",4,IF(J539="generated words",4,IF(J539="word definition pairs",4,IF(J539="math problems",4,IF(J539="famous faces",4,IF(J539="famous names",4,IF(J539="famous voices",4,IF(J539="television programs",4,IF(J539="race horses",4,IF(J539="new vocabulary",4,IF(J539="sentences",5,IF(J539="concepts",5,IF(J539="ad slides",5,IF(J539="scenes",5,IF(J539="famous scenes",5,IF(J539="poems",6,IF(J539="walk",6,IF(J539="faces and events",6,IF(J539="events and names",6,IF(J539="flashbulb",7,IF(J539="stories",7,IF(J539="course material",7,IF(J539="autobiographical",7,IF(J539="novels",7,IF(J539="public events",7,"99"))))))))))))))))))))))))))))))))))))))))))))))</f>
        <v>2</v>
      </c>
      <c r="M539" s="69">
        <v>1</v>
      </c>
      <c r="N539" s="69">
        <v>1</v>
      </c>
      <c r="O539" s="69">
        <v>0</v>
      </c>
      <c r="P539" s="69"/>
      <c r="Q539" s="69" t="s">
        <v>14</v>
      </c>
      <c r="R539" s="69">
        <f>IF(Q539="Free Recall",1,IF(Q539="Cued Recall",2,IF(Q539="Recognition",3,IF(Q539="Multiple Choice",4,IF(Q539="Savings",5,IF(Q539="Stem Completion",6,IF(Q539="Fragment Completion",7,IF(Q539="anagram solution",8,IF(Q539="Matching",9,IF(Q539="Problem Solving",10,"99"))))))))))</f>
        <v>6</v>
      </c>
      <c r="S539" s="69" t="s">
        <v>15</v>
      </c>
      <c r="T539" s="92" t="s">
        <v>581</v>
      </c>
      <c r="U539" s="69">
        <f>IF(T539="within",1,0)</f>
        <v>1</v>
      </c>
      <c r="V539" s="92">
        <v>20</v>
      </c>
      <c r="W539" s="69">
        <f>F539*V539</f>
        <v>960</v>
      </c>
      <c r="X539" s="69">
        <v>3</v>
      </c>
      <c r="Y539" s="87">
        <f>AV538</f>
        <v>30</v>
      </c>
      <c r="Z539" s="69" t="s">
        <v>59</v>
      </c>
      <c r="AA539" s="69">
        <v>5400</v>
      </c>
      <c r="AB539" s="69" t="str">
        <f>IF(AA539&lt;60,"1",IF(AA539&lt;=43200,"2",IF(AA539&lt;=777600,"3","4")))</f>
        <v>2</v>
      </c>
      <c r="AC539" s="72">
        <f>AVERAGE(AV538:DA538)</f>
        <v>2210</v>
      </c>
      <c r="AD539" s="69" t="str">
        <f>IF(AC539&lt;60,"1",IF(AC539&lt;=43200,"2",IF(AC539&lt;=777600,"3","4")))</f>
        <v>2</v>
      </c>
      <c r="AE539" s="87">
        <f>AA539-Y539</f>
        <v>5370</v>
      </c>
      <c r="AF539" s="88">
        <f>AV539</f>
        <v>0.25800000000000001</v>
      </c>
      <c r="AG539" s="72">
        <f>((AW539-AV539)+(AX539-AW539))/2</f>
        <v>-5.6000000000000008E-2</v>
      </c>
      <c r="AH539" s="4"/>
      <c r="AI539" s="72">
        <f>RSQ(AV539:AX539,AV538:AX538)</f>
        <v>0.92693513800179816</v>
      </c>
      <c r="AJ539" s="110">
        <f>SLOPE(AV539:AX539,AV538:AX538)</f>
        <v>-1.9108887300452704E-5</v>
      </c>
      <c r="AK539" s="72">
        <f>INTERCEPT(AV539:AX539,AV538:AX538)</f>
        <v>0.24556397426733381</v>
      </c>
      <c r="AL539" s="72">
        <f>INDEX(LINEST(LN(AV539:AX539),LN(AV538:AX538),TRUE,TRUE),3,1)</f>
        <v>0.87684622326028527</v>
      </c>
      <c r="AM539" s="72">
        <f>INDEX(LINEST(LN(AV539:AX539),LN(AV538:AX538)),1)</f>
        <v>-0.10049141940032545</v>
      </c>
      <c r="AN539" s="72">
        <f>EXP(INDEX(LINEST(LN(AV539:AX539),LN(AV538:AX538)),1,2))</f>
        <v>0.37519831395832293</v>
      </c>
      <c r="AO539" s="89">
        <f>INDEX(LINEST((AV539:AX539),LN(AV538:AX538),TRUE,TRUE),3,1)</f>
        <v>0.92388972366598965</v>
      </c>
      <c r="AP539" s="89">
        <f>INDEX(LINEST((AV539:AX539),LN(AV538:AX538)),1)</f>
        <v>-2.0162007983687738E-2</v>
      </c>
      <c r="AQ539" s="90">
        <f>INDEX(LINEST(LN(AV539:AX539),SQRT(AV538:AX538),TRUE,TRUE),3,1)</f>
        <v>0.99853508114536671</v>
      </c>
      <c r="AR539" s="117">
        <f>INDEX(LINEST(LN(AV539:AX539),SQRT((AV538:AX538))),1)</f>
        <v>-8.3983529892431193E-3</v>
      </c>
      <c r="AS539" s="91">
        <f>INDEX(LINEST(1/(AV539:AX539),1/(SQRT(AV538:AX538)),TRUE,TRUE),3,1)</f>
        <v>0.64646317834272049</v>
      </c>
      <c r="AT539" s="91">
        <f>INDEX(LINEST(1/(AV539:AX539),1/SQRT(AV538:AX538)),1)</f>
        <v>-13.036583050768614</v>
      </c>
      <c r="AU539" s="3"/>
      <c r="AV539" s="73">
        <v>0.25800000000000001</v>
      </c>
      <c r="AW539" s="73">
        <v>0.20599999999999999</v>
      </c>
      <c r="AX539" s="73">
        <v>0.14599999999999999</v>
      </c>
      <c r="AY539" s="42"/>
      <c r="AZ539" s="46"/>
      <c r="BA539" s="42"/>
      <c r="BB539" s="4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1"/>
      <c r="CS539" s="1"/>
      <c r="CT539" s="1"/>
      <c r="CU539" s="1"/>
    </row>
    <row r="540" spans="1:99" s="13" customFormat="1" ht="12" customHeight="1" x14ac:dyDescent="0.2">
      <c r="A540" s="68">
        <v>43509</v>
      </c>
      <c r="B540" s="70"/>
      <c r="C540" s="70"/>
      <c r="D540" s="69"/>
      <c r="E540" s="87"/>
      <c r="F540" s="69"/>
      <c r="G540" s="69"/>
      <c r="H540" s="69"/>
      <c r="I540" s="69"/>
      <c r="J540" s="69"/>
      <c r="K540" s="107"/>
      <c r="L540" s="107"/>
      <c r="M540" s="69"/>
      <c r="N540" s="69"/>
      <c r="O540" s="69"/>
      <c r="P540" s="69"/>
      <c r="Q540" s="69"/>
      <c r="R540" s="69"/>
      <c r="S540" s="69"/>
      <c r="T540" s="69"/>
      <c r="U540" s="69"/>
      <c r="V540" s="69"/>
      <c r="W540" s="69"/>
      <c r="X540" s="69"/>
      <c r="Y540" s="87"/>
      <c r="Z540" s="69"/>
      <c r="AA540" s="69"/>
      <c r="AB540" s="69"/>
      <c r="AC540" s="69"/>
      <c r="AD540" s="69"/>
      <c r="AE540" s="69"/>
      <c r="AF540" s="88"/>
      <c r="AG540" s="72"/>
      <c r="AH540" s="4"/>
      <c r="AI540" s="72"/>
      <c r="AJ540" s="110"/>
      <c r="AK540" s="72"/>
      <c r="AL540" s="72"/>
      <c r="AM540" s="72"/>
      <c r="AN540" s="72"/>
      <c r="AO540" s="72"/>
      <c r="AP540" s="72"/>
      <c r="AQ540" s="72"/>
      <c r="AR540" s="110"/>
      <c r="AS540" s="72"/>
      <c r="AT540" s="72"/>
      <c r="AU540" s="5"/>
      <c r="AV540" s="71">
        <v>30</v>
      </c>
      <c r="AW540" s="71">
        <f>60*20</f>
        <v>1200</v>
      </c>
      <c r="AX540" s="71">
        <f>60*90</f>
        <v>5400</v>
      </c>
      <c r="AY540" s="42"/>
      <c r="AZ540" s="46"/>
      <c r="BA540" s="42"/>
      <c r="BB540" s="42"/>
      <c r="BC540" s="42"/>
      <c r="BD540" s="42"/>
      <c r="BE540" s="42"/>
      <c r="BF540" s="42"/>
      <c r="BG540" s="4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1"/>
      <c r="CS540" s="1"/>
      <c r="CT540" s="1"/>
      <c r="CU540" s="1"/>
    </row>
    <row r="541" spans="1:99" s="13" customFormat="1" ht="12" customHeight="1" x14ac:dyDescent="0.2">
      <c r="A541" s="68">
        <v>43509</v>
      </c>
      <c r="B541" s="70" t="s">
        <v>242</v>
      </c>
      <c r="C541" s="70" t="s">
        <v>58</v>
      </c>
      <c r="D541" s="69">
        <v>1984</v>
      </c>
      <c r="E541" s="87">
        <v>2</v>
      </c>
      <c r="F541" s="69">
        <v>48</v>
      </c>
      <c r="G541" s="69">
        <v>48</v>
      </c>
      <c r="H541" s="69" t="s">
        <v>38</v>
      </c>
      <c r="I541" s="69"/>
      <c r="J541" s="69" t="s">
        <v>16</v>
      </c>
      <c r="K541" s="69">
        <f>IF(J541="syllables",1,IF(J541="trigrams",2,IF(J541="strings",3,IF(J541="visual array",4,IF(J541="characters",5,IF(J541="letters",6,IF(J541="free forms",7,IF(J541="odors",8,IF(J541="words",9,IF(J541="pictures",10,IF(J541="object pictures",11,IF(J541="faces",12,IF(J541="names",13,IF(J541="idioms",14,IF(J541="grades",15,IF(J541="syllable-digit pairs",16,IF(J541="trigram-word pairs",17,IF(J541="word-digit pairs",18,IF(J541="English-Swahili pairs",19,IF(J541="spatial position",20,IF(J541="word pairs",21,IF(J541="word triads",22,IF(J541="generated words",23,IF(J541="word definition pairs",24,IF(J541="math problems",25,IF(J541="famous faces",26,IF(J541="famous names",27,IF(J541="famous voices",28,IF(J541="television programs",29,IF(J541="race horses",30,IF(J541="new vocabulary",31,IF(J541="sentences",32,IF(J541="concepts",33,IF(J541="ad slides",34,IF(J541="scenes",35,IF(J541="famous scenes",36,IF(J541="poems",37,IF(J541="walk",38,IF(J541="faces and events",39,IF(J541="events and names",40,IF(J541="flashbulb",41,IF(J541="stories",42,IF(J541="course material",43,IF(J541="autobiographical",44,IF(J541="novels",45,IF(J541="public events",46,"99"))))))))))))))))))))))))))))))))))))))))))))))</f>
        <v>9</v>
      </c>
      <c r="L541" s="69">
        <f>IF(J541="syllables",1,IF(J541="trigrams",1,IF(J541="strings",1,IF(J541="visual array",1,IF(J541="characters",1,IF(J541="letters",1,IF(J541="free forms",1,IF(J541="odors",2,IF(J541="words",2,IF(J541="pictures",2,IF(J541="object pictures",2,IF(J541="faces",2,IF(J541="names",2,IF(J541="idioms","2",IF(J541="grades",2,IF(J541="syllable-digit pairs",3,IF(J541="trigram-word pairs",3,IF(J541="word-digit pairs",3,IF(J541="English-Swahili pairs",3,IF(J541="spatial position",3,IF(J541="word pairs",4,IF(J541="word triads",4,IF(J541="generated words",4,IF(J541="word definition pairs",4,IF(J541="math problems",4,IF(J541="famous faces",4,IF(J541="famous names",4,IF(J541="famous voices",4,IF(J541="television programs",4,IF(J541="race horses",4,IF(J541="new vocabulary",4,IF(J541="sentences",5,IF(J541="concepts",5,IF(J541="ad slides",5,IF(J541="scenes",5,IF(J541="famous scenes",5,IF(J541="poems",6,IF(J541="walk",6,IF(J541="faces and events",6,IF(J541="events and names",6,IF(J541="flashbulb",7,IF(J541="stories",7,IF(J541="course material",7,IF(J541="autobiographical",7,IF(J541="novels",7,IF(J541="public events",7,"99"))))))))))))))))))))))))))))))))))))))))))))))</f>
        <v>2</v>
      </c>
      <c r="M541" s="69">
        <v>1</v>
      </c>
      <c r="N541" s="69">
        <v>1</v>
      </c>
      <c r="O541" s="69">
        <v>0</v>
      </c>
      <c r="P541" s="69"/>
      <c r="Q541" s="69" t="s">
        <v>34</v>
      </c>
      <c r="R541" s="69">
        <f>IF(Q541="Free Recall",1,IF(Q541="Cued Recall",2,IF(Q541="Recognition",3,IF(Q541="Multiple Choice",4,IF(Q541="Savings",5,IF(Q541="Stem Completion",6,IF(Q541="Fragment Completion",7,IF(Q541="anagram solution",8,IF(Q541="Matching",9,IF(Q541="Problem Solving",10,"99"))))))))))</f>
        <v>3</v>
      </c>
      <c r="S541" s="69" t="s">
        <v>15</v>
      </c>
      <c r="T541" s="92" t="s">
        <v>581</v>
      </c>
      <c r="U541" s="69">
        <f>IF(T541="within",1,0)</f>
        <v>1</v>
      </c>
      <c r="V541" s="92">
        <v>20</v>
      </c>
      <c r="W541" s="69">
        <f>F541*V541</f>
        <v>960</v>
      </c>
      <c r="X541" s="69">
        <v>3</v>
      </c>
      <c r="Y541" s="87">
        <f>AV540</f>
        <v>30</v>
      </c>
      <c r="Z541" s="69" t="s">
        <v>59</v>
      </c>
      <c r="AA541" s="69">
        <v>5400</v>
      </c>
      <c r="AB541" s="69" t="str">
        <f>IF(AA541&lt;60,"1",IF(AA541&lt;=43200,"2",IF(AA541&lt;=777600,"3","4")))</f>
        <v>2</v>
      </c>
      <c r="AC541" s="72">
        <f>AVERAGE(AV540:DA540)</f>
        <v>2210</v>
      </c>
      <c r="AD541" s="69" t="str">
        <f>IF(AC541&lt;60,"1",IF(AC541&lt;=43200,"2",IF(AC541&lt;=777600,"3","4")))</f>
        <v>2</v>
      </c>
      <c r="AE541" s="87">
        <f>AA541-Y541</f>
        <v>5370</v>
      </c>
      <c r="AF541" s="88">
        <f>AV541</f>
        <v>0.76200000000000001</v>
      </c>
      <c r="AG541" s="72">
        <f>((AW541-AV541)+(AX541-AW541))/2</f>
        <v>-1.5249999999999986E-2</v>
      </c>
      <c r="AH541" s="4"/>
      <c r="AI541" s="72">
        <f>RSQ(AV541:AX541,AV540:AX540)</f>
        <v>0.90955950357236992</v>
      </c>
      <c r="AJ541" s="110">
        <f>SLOPE(AV541:AX541,AV540:AX540)</f>
        <v>-5.1506088308691603E-6</v>
      </c>
      <c r="AK541" s="72">
        <f>INTERCEPT(AV541:AX541,AV540:AX540)</f>
        <v>0.75821617884955417</v>
      </c>
      <c r="AL541" s="72">
        <f>INDEX(LINEST(LN(AV541:AX541),LN(AV540:AX540),TRUE,TRUE),3,1)</f>
        <v>0.93703142956921237</v>
      </c>
      <c r="AM541" s="72">
        <f>INDEX(LINEST(LN(AV541:AX541),LN(AV540:AX540)),1)</f>
        <v>-7.4003112899792538E-3</v>
      </c>
      <c r="AN541" s="72">
        <f>EXP(INDEX(LINEST(LN(AV541:AX541),LN(AV540:AX540)),1,2))</f>
        <v>0.78272573311519489</v>
      </c>
      <c r="AO541" s="89">
        <f>INDEX(LINEST((AV541:AX541),LN(AV540:AX540),TRUE,TRUE),3,1)</f>
        <v>0.93986336247296598</v>
      </c>
      <c r="AP541" s="89">
        <f>INDEX(LINEST((AV541:AX541),LN(AV540:AX540)),1)</f>
        <v>-5.5333527612969197E-3</v>
      </c>
      <c r="AQ541" s="90">
        <f>INDEX(LINEST(LN(AV541:AX541),SQRT(AV540:AX540),TRUE,TRUE),3,1)</f>
        <v>0.99556608712722772</v>
      </c>
      <c r="AR541" s="117">
        <f>INDEX(LINEST(LN(AV541:AX541),SQRT((AV540:AX540))),1)</f>
        <v>-5.973834060660117E-4</v>
      </c>
      <c r="AS541" s="91">
        <f>INDEX(LINEST(1/(AV541:AX541),1/(SQRT(AV540:AX540)),TRUE,TRUE),3,1)</f>
        <v>0.80042410990565638</v>
      </c>
      <c r="AT541" s="91">
        <f>INDEX(LINEST(1/(AV541:AX541),1/SQRT(AV540:AX540)),1)</f>
        <v>-0.26196013539222879</v>
      </c>
      <c r="AU541" s="3"/>
      <c r="AV541" s="73">
        <v>0.76200000000000001</v>
      </c>
      <c r="AW541" s="73">
        <v>0.747</v>
      </c>
      <c r="AX541" s="73">
        <v>0.73150000000000004</v>
      </c>
      <c r="AY541" s="42"/>
      <c r="AZ541" s="46"/>
      <c r="BA541" s="42"/>
      <c r="BB541" s="4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1"/>
      <c r="CS541" s="1"/>
      <c r="CT541" s="1"/>
      <c r="CU541" s="1"/>
    </row>
    <row r="542" spans="1:99" s="13" customFormat="1" ht="12" customHeight="1" x14ac:dyDescent="0.2">
      <c r="A542" s="65">
        <v>43509</v>
      </c>
      <c r="B542" s="1"/>
      <c r="C542" s="1"/>
      <c r="D542" s="60"/>
      <c r="E542" s="76"/>
      <c r="F542" s="60"/>
      <c r="G542" s="60"/>
      <c r="H542" s="60"/>
      <c r="I542" s="60"/>
      <c r="J542" s="60"/>
      <c r="K542" s="64"/>
      <c r="L542" s="64"/>
      <c r="M542" s="60"/>
      <c r="N542" s="60"/>
      <c r="O542" s="60"/>
      <c r="P542" s="60"/>
      <c r="Q542" s="60"/>
      <c r="R542" s="60"/>
      <c r="S542" s="60"/>
      <c r="T542" s="60"/>
      <c r="U542" s="60"/>
      <c r="V542" s="60"/>
      <c r="W542" s="60"/>
      <c r="X542" s="60"/>
      <c r="Y542" s="76"/>
      <c r="Z542" s="60"/>
      <c r="AA542" s="60"/>
      <c r="AB542" s="60"/>
      <c r="AC542" s="60"/>
      <c r="AD542" s="60"/>
      <c r="AE542" s="60"/>
      <c r="AF542" s="80"/>
      <c r="AG542" s="56"/>
      <c r="AH542" s="4"/>
      <c r="AI542" s="56"/>
      <c r="AJ542" s="109"/>
      <c r="AK542" s="56"/>
      <c r="AL542" s="56"/>
      <c r="AM542" s="56"/>
      <c r="AN542" s="56"/>
      <c r="AO542" s="56"/>
      <c r="AP542" s="56"/>
      <c r="AQ542" s="56"/>
      <c r="AR542" s="109"/>
      <c r="AS542" s="56"/>
      <c r="AT542" s="56"/>
      <c r="AU542" s="4"/>
      <c r="AV542" s="25">
        <v>30</v>
      </c>
      <c r="AW542" s="25">
        <f>24*3600*1</f>
        <v>86400</v>
      </c>
      <c r="AX542" s="25">
        <f>24*3600*2</f>
        <v>172800</v>
      </c>
      <c r="AY542" s="25">
        <f>24*3600*3</f>
        <v>259200</v>
      </c>
      <c r="AZ542" s="25">
        <f>24*3600*4</f>
        <v>345600</v>
      </c>
      <c r="BA542" s="25">
        <f>24*3600*6</f>
        <v>518400</v>
      </c>
      <c r="BB542" s="4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1"/>
      <c r="CS542" s="1"/>
      <c r="CT542" s="1"/>
      <c r="CU542" s="1"/>
    </row>
    <row r="543" spans="1:99" s="13" customFormat="1" ht="12" customHeight="1" x14ac:dyDescent="0.2">
      <c r="A543" s="65">
        <v>43509</v>
      </c>
      <c r="B543" s="1" t="s">
        <v>109</v>
      </c>
      <c r="C543" s="1" t="s">
        <v>19</v>
      </c>
      <c r="D543" s="60">
        <v>1936</v>
      </c>
      <c r="E543" s="76">
        <v>1</v>
      </c>
      <c r="F543" s="60">
        <v>1</v>
      </c>
      <c r="G543" s="60">
        <v>1</v>
      </c>
      <c r="H543" s="60" t="s">
        <v>50</v>
      </c>
      <c r="I543" s="60" t="s">
        <v>699</v>
      </c>
      <c r="J543" s="60" t="s">
        <v>281</v>
      </c>
      <c r="K543" s="60">
        <f>IF(J543="syllables",1,IF(J543="trigrams",2,IF(J543="strings",3,IF(J543="visual array",4,IF(J543="characters",5,IF(J543="letters",6,IF(J543="free forms",7,IF(J543="odors",8,IF(J543="words",9,IF(J543="pictures",10,IF(J543="object pictures",11,IF(J543="faces",12,IF(J543="names",13,IF(J543="idioms",14,IF(J543="grades",15,IF(J543="syllable-digit pairs",16,IF(J543="trigram-word pairs",17,IF(J543="word-digit pairs",18,IF(J543="English-Swahili pairs",19,IF(J543="spatial position",20,IF(J543="word pairs",21,IF(J543="word triads",22,IF(J543="generated words",23,IF(J543="word definition pairs",24,IF(J543="math problems",25,IF(J543="famous faces",26,IF(J543="famous names",27,IF(J543="famous voices",28,IF(J543="television programs",29,IF(J543="race horses",30,IF(J543="new vocabulary",31,IF(J543="sentences",32,IF(J543="concepts",33,IF(J543="ad slides",34,IF(J543="scenes",35,IF(J543="famous scenes",36,IF(J543="poems",37,IF(J543="walk",38,IF(J543="faces and events",39,IF(J543="events and names",40,IF(J543="flashbulb",41,IF(J543="stories",42,IF(J543="course material",43,IF(J543="autobiographical",44,IF(J543="novels",45,IF(J543="public events",46,"99"))))))))))))))))))))))))))))))))))))))))))))))</f>
        <v>1</v>
      </c>
      <c r="L543" s="60">
        <f>IF(J543="syllables",1,IF(J543="trigrams",1,IF(J543="strings",1,IF(J543="visual array",1,IF(J543="characters",1,IF(J543="letters",1,IF(J543="free forms",1,IF(J543="odors",2,IF(J543="words",2,IF(J543="pictures",2,IF(J543="object pictures",2,IF(J543="faces",2,IF(J543="names",2,IF(J543="idioms","2",IF(J543="grades",2,IF(J543="syllable-digit pairs",3,IF(J543="trigram-word pairs",3,IF(J543="word-digit pairs",3,IF(J543="English-Swahili pairs",3,IF(J543="spatial position",3,IF(J543="word pairs",4,IF(J543="word triads",4,IF(J543="generated words",4,IF(J543="word definition pairs",4,IF(J543="math problems",4,IF(J543="famous faces",4,IF(J543="famous names",4,IF(J543="famous voices",4,IF(J543="television programs",4,IF(J543="race horses",4,IF(J543="new vocabulary",4,IF(J543="sentences",5,IF(J543="concepts",5,IF(J543="ad slides",5,IF(J543="scenes",5,IF(J543="famous scenes",5,IF(J543="poems",6,IF(J543="walk",6,IF(J543="faces and events",6,IF(J543="events and names",6,IF(J543="flashbulb",7,IF(J543="stories",7,IF(J543="course material",7,IF(J543="autobiographical",7,IF(J543="novels",7,IF(J543="public events",7,"99"))))))))))))))))))))))))))))))))))))))))))))))</f>
        <v>1</v>
      </c>
      <c r="M543" s="60">
        <v>1</v>
      </c>
      <c r="N543" s="60">
        <v>2</v>
      </c>
      <c r="O543" s="60">
        <v>0</v>
      </c>
      <c r="P543" s="60"/>
      <c r="Q543" s="60" t="s">
        <v>87</v>
      </c>
      <c r="R543" s="60">
        <f>IF(Q543="Free Recall",1,IF(Q543="Cued Recall",2,IF(Q543="Recognition",3,IF(Q543="Multiple Choice",4,IF(Q543="Savings",5,IF(Q543="Stem Completion",6,IF(Q543="Fragment Completion",7,IF(Q543="anagram solution",8,IF(Q543="Matching",9,IF(Q543="Problem Solving",10,"99"))))))))))</f>
        <v>5</v>
      </c>
      <c r="S543" s="60" t="s">
        <v>99</v>
      </c>
      <c r="T543" s="59" t="s">
        <v>581</v>
      </c>
      <c r="U543" s="60">
        <f>IF(T543="within",1,0)</f>
        <v>1</v>
      </c>
      <c r="V543" s="59">
        <v>72</v>
      </c>
      <c r="W543" s="60">
        <f>F543*V543</f>
        <v>72</v>
      </c>
      <c r="X543" s="60">
        <v>6</v>
      </c>
      <c r="Y543" s="76">
        <f>AV542</f>
        <v>30</v>
      </c>
      <c r="Z543" s="60" t="s">
        <v>110</v>
      </c>
      <c r="AA543" s="60">
        <v>518400</v>
      </c>
      <c r="AB543" s="60" t="str">
        <f>IF(AA543&lt;60,"1",IF(AA543&lt;=43200,"2",IF(AA543&lt;=777600,"3","4")))</f>
        <v>3</v>
      </c>
      <c r="AC543" s="56">
        <f>AVERAGE(AV542:DA542)</f>
        <v>230405</v>
      </c>
      <c r="AD543" s="60" t="str">
        <f>IF(AC543&lt;60,"1",IF(AC543&lt;=43200,"2",IF(AC543&lt;=777600,"3","4")))</f>
        <v>3</v>
      </c>
      <c r="AE543" s="76">
        <f>AA543-Y543</f>
        <v>518370</v>
      </c>
      <c r="AF543" s="80">
        <f>AV543</f>
        <v>1</v>
      </c>
      <c r="AG543" s="56">
        <f>((AW543-AV543)+(AX543-AW543)+(AY543-AX543)+(AZ543-AY543)+(BA543-AZ543))/5</f>
        <v>-0.14440000000000003</v>
      </c>
      <c r="AH543" s="4"/>
      <c r="AI543" s="56">
        <f>RSQ(AV543:BA543,AV542:BA542)</f>
        <v>0.86515619149638157</v>
      </c>
      <c r="AJ543" s="109">
        <f>SLOPE(AV543:BA543,AV542:BA542)</f>
        <v>-1.270032282100508E-6</v>
      </c>
      <c r="AK543" s="56">
        <f>INTERCEPT(AV543:BA543,AV542:BA542)</f>
        <v>0.85645512129070078</v>
      </c>
      <c r="AL543" s="56">
        <f>INDEX(LINEST(LN(AV543:BA543),LN(AV542:BA542),TRUE,TRUE),3,1)</f>
        <v>0.66615917561948135</v>
      </c>
      <c r="AM543" s="56">
        <f>INDEX(LINEST(LN(AV543:BA543),LN(AV542:BA542)),1)</f>
        <v>-9.8516611570544546E-2</v>
      </c>
      <c r="AN543" s="56">
        <f>EXP(INDEX(LINEST(LN(AV543:BA543),LN(AV542:BA542)),1,2))</f>
        <v>1.5135285512785381</v>
      </c>
      <c r="AO543" s="82">
        <f>INDEX(LINEST((AV543:BA543),LN(AV542:BA542),TRUE,TRUE),3,1)</f>
        <v>0.8333213935850019</v>
      </c>
      <c r="AP543" s="82">
        <f>INDEX(LINEST((AV543:BA543),LN(AV542:BA542)),1)</f>
        <v>-6.2725938235600381E-2</v>
      </c>
      <c r="AQ543" s="83">
        <f>INDEX(LINEST(LN(AV543:BA543),SQRT(AV542:BA542),TRUE,TRUE),3,1)</f>
        <v>0.9568280448306189</v>
      </c>
      <c r="AR543" s="116">
        <f>INDEX(LINEST(LN(AV543:BA543),SQRT((AV542:BA542))),1)</f>
        <v>-1.7478138583454841E-3</v>
      </c>
      <c r="AS543" s="84">
        <f>INDEX(LINEST(1/(AV543:BA543),1/(SQRT(AV542:BA542)),TRUE,TRUE),3,1)</f>
        <v>0.34523443251162855</v>
      </c>
      <c r="AT543" s="84">
        <f>INDEX(LINEST(1/(AV543:BA543),1/SQRT(AV542:BA542)),1)</f>
        <v>-7.3416725481678347</v>
      </c>
      <c r="AU543" s="3"/>
      <c r="AV543" s="53">
        <v>1</v>
      </c>
      <c r="AW543" s="53">
        <v>0.64500000000000002</v>
      </c>
      <c r="AX543" s="53">
        <v>0.61799999999999999</v>
      </c>
      <c r="AY543" s="53">
        <v>0.45600000000000002</v>
      </c>
      <c r="AZ543" s="53">
        <v>0.38600000000000001</v>
      </c>
      <c r="BA543" s="53">
        <v>0.27800000000000002</v>
      </c>
      <c r="BB543" s="4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1"/>
      <c r="CS543" s="1"/>
      <c r="CT543" s="1"/>
      <c r="CU543" s="1"/>
    </row>
    <row r="544" spans="1:99" s="13" customFormat="1" ht="12" customHeight="1" x14ac:dyDescent="0.2">
      <c r="A544" s="65">
        <v>43509</v>
      </c>
      <c r="B544" s="1"/>
      <c r="C544" s="1"/>
      <c r="D544" s="60"/>
      <c r="E544" s="76"/>
      <c r="F544" s="60"/>
      <c r="G544" s="60"/>
      <c r="H544" s="60"/>
      <c r="I544" s="60"/>
      <c r="J544" s="60"/>
      <c r="K544" s="64"/>
      <c r="L544" s="64"/>
      <c r="M544" s="60"/>
      <c r="N544" s="60"/>
      <c r="O544" s="60"/>
      <c r="P544" s="60"/>
      <c r="Q544" s="60"/>
      <c r="R544" s="60"/>
      <c r="S544" s="60"/>
      <c r="T544" s="60"/>
      <c r="U544" s="60"/>
      <c r="V544" s="60"/>
      <c r="W544" s="60"/>
      <c r="X544" s="60"/>
      <c r="Y544" s="76"/>
      <c r="Z544" s="60"/>
      <c r="AA544" s="60"/>
      <c r="AB544" s="60"/>
      <c r="AC544" s="60"/>
      <c r="AD544" s="60"/>
      <c r="AE544" s="60"/>
      <c r="AF544" s="80"/>
      <c r="AG544" s="56"/>
      <c r="AH544" s="4"/>
      <c r="AI544" s="56"/>
      <c r="AJ544" s="109"/>
      <c r="AK544" s="56"/>
      <c r="AL544" s="56"/>
      <c r="AM544" s="56"/>
      <c r="AN544" s="56"/>
      <c r="AO544" s="56"/>
      <c r="AP544" s="56"/>
      <c r="AQ544" s="56"/>
      <c r="AR544" s="109"/>
      <c r="AS544" s="56"/>
      <c r="AT544" s="56"/>
      <c r="AU544" s="4"/>
      <c r="AV544" s="25">
        <v>30</v>
      </c>
      <c r="AW544" s="25">
        <f>24*3600*1</f>
        <v>86400</v>
      </c>
      <c r="AX544" s="25">
        <f>24*3600*2</f>
        <v>172800</v>
      </c>
      <c r="AY544" s="25">
        <f>24*3600*3</f>
        <v>259200</v>
      </c>
      <c r="AZ544" s="25">
        <f>24*3600*4</f>
        <v>345600</v>
      </c>
      <c r="BA544" s="25">
        <f>24*3600*6</f>
        <v>518400</v>
      </c>
      <c r="BB544" s="4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1"/>
      <c r="CS544" s="1"/>
      <c r="CT544" s="1"/>
      <c r="CU544" s="1"/>
    </row>
    <row r="545" spans="1:99" s="13" customFormat="1" ht="12" customHeight="1" x14ac:dyDescent="0.2">
      <c r="A545" s="65">
        <v>43509</v>
      </c>
      <c r="B545" s="1" t="s">
        <v>109</v>
      </c>
      <c r="C545" s="1" t="s">
        <v>19</v>
      </c>
      <c r="D545" s="60">
        <v>1936</v>
      </c>
      <c r="E545" s="76">
        <v>1</v>
      </c>
      <c r="F545" s="60">
        <v>1</v>
      </c>
      <c r="G545" s="60">
        <v>1</v>
      </c>
      <c r="H545" s="60" t="s">
        <v>50</v>
      </c>
      <c r="I545" s="60" t="s">
        <v>700</v>
      </c>
      <c r="J545" s="60" t="s">
        <v>281</v>
      </c>
      <c r="K545" s="60">
        <f>IF(J545="syllables",1,IF(J545="trigrams",2,IF(J545="strings",3,IF(J545="visual array",4,IF(J545="characters",5,IF(J545="letters",6,IF(J545="free forms",7,IF(J545="odors",8,IF(J545="words",9,IF(J545="pictures",10,IF(J545="object pictures",11,IF(J545="faces",12,IF(J545="names",13,IF(J545="idioms",14,IF(J545="grades",15,IF(J545="syllable-digit pairs",16,IF(J545="trigram-word pairs",17,IF(J545="word-digit pairs",18,IF(J545="English-Swahili pairs",19,IF(J545="spatial position",20,IF(J545="word pairs",21,IF(J545="word triads",22,IF(J545="generated words",23,IF(J545="word definition pairs",24,IF(J545="math problems",25,IF(J545="famous faces",26,IF(J545="famous names",27,IF(J545="famous voices",28,IF(J545="television programs",29,IF(J545="race horses",30,IF(J545="new vocabulary",31,IF(J545="sentences",32,IF(J545="concepts",33,IF(J545="ad slides",34,IF(J545="scenes",35,IF(J545="famous scenes",36,IF(J545="poems",37,IF(J545="walk",38,IF(J545="faces and events",39,IF(J545="events and names",40,IF(J545="flashbulb",41,IF(J545="stories",42,IF(J545="course material",43,IF(J545="autobiographical",44,IF(J545="novels",45,IF(J545="public events",46,"99"))))))))))))))))))))))))))))))))))))))))))))))</f>
        <v>1</v>
      </c>
      <c r="L545" s="60">
        <f>IF(J545="syllables",1,IF(J545="trigrams",1,IF(J545="strings",1,IF(J545="visual array",1,IF(J545="characters",1,IF(J545="letters",1,IF(J545="free forms",1,IF(J545="odors",2,IF(J545="words",2,IF(J545="pictures",2,IF(J545="object pictures",2,IF(J545="faces",2,IF(J545="names",2,IF(J545="idioms","2",IF(J545="grades",2,IF(J545="syllable-digit pairs",3,IF(J545="trigram-word pairs",3,IF(J545="word-digit pairs",3,IF(J545="English-Swahili pairs",3,IF(J545="spatial position",3,IF(J545="word pairs",4,IF(J545="word triads",4,IF(J545="generated words",4,IF(J545="word definition pairs",4,IF(J545="math problems",4,IF(J545="famous faces",4,IF(J545="famous names",4,IF(J545="famous voices",4,IF(J545="television programs",4,IF(J545="race horses",4,IF(J545="new vocabulary",4,IF(J545="sentences",5,IF(J545="concepts",5,IF(J545="ad slides",5,IF(J545="scenes",5,IF(J545="famous scenes",5,IF(J545="poems",6,IF(J545="walk",6,IF(J545="faces and events",6,IF(J545="events and names",6,IF(J545="flashbulb",7,IF(J545="stories",7,IF(J545="course material",7,IF(J545="autobiographical",7,IF(J545="novels",7,IF(J545="public events",7,"99"))))))))))))))))))))))))))))))))))))))))))))))</f>
        <v>1</v>
      </c>
      <c r="M545" s="60">
        <v>1</v>
      </c>
      <c r="N545" s="60">
        <v>2</v>
      </c>
      <c r="O545" s="60">
        <v>0</v>
      </c>
      <c r="P545" s="60"/>
      <c r="Q545" s="60" t="s">
        <v>87</v>
      </c>
      <c r="R545" s="60">
        <f>IF(Q545="Free Recall",1,IF(Q545="Cued Recall",2,IF(Q545="Recognition",3,IF(Q545="Multiple Choice",4,IF(Q545="Savings",5,IF(Q545="Stem Completion",6,IF(Q545="Fragment Completion",7,IF(Q545="anagram solution",8,IF(Q545="Matching",9,IF(Q545="Problem Solving",10,"99"))))))))))</f>
        <v>5</v>
      </c>
      <c r="S545" s="60" t="s">
        <v>99</v>
      </c>
      <c r="T545" s="59" t="s">
        <v>581</v>
      </c>
      <c r="U545" s="60">
        <f>IF(T545="within",1,0)</f>
        <v>1</v>
      </c>
      <c r="V545" s="59">
        <v>72</v>
      </c>
      <c r="W545" s="60">
        <f>F545*V545</f>
        <v>72</v>
      </c>
      <c r="X545" s="60">
        <v>6</v>
      </c>
      <c r="Y545" s="76">
        <f>AV544</f>
        <v>30</v>
      </c>
      <c r="Z545" s="60" t="s">
        <v>110</v>
      </c>
      <c r="AA545" s="60">
        <v>518400</v>
      </c>
      <c r="AB545" s="60" t="str">
        <f>IF(AA545&lt;60,"1",IF(AA545&lt;=43200,"2",IF(AA545&lt;=777600,"3","4")))</f>
        <v>3</v>
      </c>
      <c r="AC545" s="56">
        <f>AVERAGE(AV544:DA544)</f>
        <v>230405</v>
      </c>
      <c r="AD545" s="60" t="str">
        <f>IF(AC545&lt;60,"1",IF(AC545&lt;=43200,"2",IF(AC545&lt;=777600,"3","4")))</f>
        <v>3</v>
      </c>
      <c r="AE545" s="76">
        <f>AA545-Y545</f>
        <v>518370</v>
      </c>
      <c r="AF545" s="80">
        <f>AV545</f>
        <v>1</v>
      </c>
      <c r="AG545" s="56">
        <f>((AW545-AV545)+(AX545-AW545)+(AY545-AX545)+(AZ545-AY545)+(BA545-AZ545))/5</f>
        <v>-0.11280000000000001</v>
      </c>
      <c r="AH545" s="4"/>
      <c r="AI545" s="56">
        <f>RSQ(AV545:BA545,AV544:BA544)</f>
        <v>0.68994508787955366</v>
      </c>
      <c r="AJ545" s="109">
        <f>SLOPE(AV545:BA545,AV544:BA544)</f>
        <v>-8.7169733962931968E-7</v>
      </c>
      <c r="AK545" s="56">
        <f>INTERCEPT(AV545:BA545,AV544:BA544)</f>
        <v>0.82367675887062675</v>
      </c>
      <c r="AL545" s="56">
        <f>INDEX(LINEST(LN(AV545:BA545),LN(AV544:BA544),TRUE,TRUE),3,1)</f>
        <v>0.89813788409284312</v>
      </c>
      <c r="AM545" s="56">
        <f>INDEX(LINEST(LN(AV545:BA545),LN(AV544:BA544)),1)</f>
        <v>-7.1193197587546664E-2</v>
      </c>
      <c r="AN545" s="56">
        <f>EXP(INDEX(LINEST(LN(AV545:BA545),LN(AV544:BA544)),1,2))</f>
        <v>1.303777026447458</v>
      </c>
      <c r="AO545" s="82">
        <f>INDEX(LINEST((AV545:BA545),LN(AV544:BA544),TRUE,TRUE),3,1)</f>
        <v>0.96047925925451638</v>
      </c>
      <c r="AP545" s="82">
        <f>INDEX(LINEST((AV545:BA545),LN(AV544:BA544)),1)</f>
        <v>-5.175780533891456E-2</v>
      </c>
      <c r="AQ545" s="83">
        <f>INDEX(LINEST(LN(AV545:BA545),SQRT(AV544:BA544),TRUE,TRUE),3,1)</f>
        <v>0.94887443613609612</v>
      </c>
      <c r="AR545" s="116">
        <f>INDEX(LINEST(LN(AV545:BA545),SQRT((AV544:BA544))),1)</f>
        <v>-1.0832510938343217E-3</v>
      </c>
      <c r="AS545" s="84">
        <f>INDEX(LINEST(1/(AV545:BA545),1/(SQRT(AV544:BA544)),TRUE,TRUE),3,1)</f>
        <v>0.68156301513307482</v>
      </c>
      <c r="AT545" s="84">
        <f>INDEX(LINEST(1/(AV545:BA545),1/SQRT(AV544:BA544)),1)</f>
        <v>-4.7667393579650996</v>
      </c>
      <c r="AU545" s="3"/>
      <c r="AV545" s="53">
        <v>1</v>
      </c>
      <c r="AW545" s="53">
        <v>0.61199999999999999</v>
      </c>
      <c r="AX545" s="53">
        <v>0.60799999999999998</v>
      </c>
      <c r="AY545" s="53">
        <v>0.56000000000000005</v>
      </c>
      <c r="AZ545" s="53">
        <v>0.52100000000000002</v>
      </c>
      <c r="BA545" s="53">
        <v>0.436</v>
      </c>
      <c r="BB545" s="4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1"/>
      <c r="CS545" s="1"/>
      <c r="CT545" s="1"/>
      <c r="CU545" s="1"/>
    </row>
    <row r="546" spans="1:99" s="13" customFormat="1" ht="12" customHeight="1" x14ac:dyDescent="0.2">
      <c r="A546" s="68">
        <v>43899</v>
      </c>
      <c r="B546" s="70"/>
      <c r="C546" s="70"/>
      <c r="D546" s="69"/>
      <c r="E546" s="87"/>
      <c r="F546" s="69"/>
      <c r="G546" s="69"/>
      <c r="H546" s="69"/>
      <c r="I546" s="69"/>
      <c r="J546" s="69"/>
      <c r="K546" s="107"/>
      <c r="L546" s="107"/>
      <c r="M546" s="69"/>
      <c r="N546" s="86"/>
      <c r="O546" s="69"/>
      <c r="P546" s="69"/>
      <c r="Q546" s="69"/>
      <c r="R546" s="69"/>
      <c r="S546" s="69"/>
      <c r="T546" s="69"/>
      <c r="U546" s="69"/>
      <c r="V546" s="69"/>
      <c r="W546" s="69"/>
      <c r="X546" s="69"/>
      <c r="Y546" s="87"/>
      <c r="Z546" s="69"/>
      <c r="AA546" s="69"/>
      <c r="AB546" s="69"/>
      <c r="AC546" s="72"/>
      <c r="AD546" s="69"/>
      <c r="AE546" s="69"/>
      <c r="AF546" s="88"/>
      <c r="AG546" s="72"/>
      <c r="AH546" s="4"/>
      <c r="AI546" s="72"/>
      <c r="AJ546" s="110"/>
      <c r="AK546" s="72"/>
      <c r="AL546" s="72"/>
      <c r="AM546" s="72"/>
      <c r="AN546" s="72"/>
      <c r="AO546" s="89"/>
      <c r="AP546" s="89"/>
      <c r="AQ546" s="90"/>
      <c r="AR546" s="117"/>
      <c r="AS546" s="91"/>
      <c r="AT546" s="91"/>
      <c r="AU546" s="3"/>
      <c r="AV546" s="71">
        <v>157680000</v>
      </c>
      <c r="AW546" s="71">
        <v>473040000</v>
      </c>
      <c r="AX546" s="71">
        <v>788400000</v>
      </c>
      <c r="AY546" s="71">
        <v>1103760000</v>
      </c>
      <c r="AZ546" s="71">
        <v>1419120000</v>
      </c>
      <c r="BA546" s="71">
        <v>1734480000</v>
      </c>
      <c r="BB546" s="42"/>
      <c r="BC546" s="42"/>
      <c r="BD546" s="42"/>
      <c r="BE546" s="42"/>
      <c r="BF546" s="42"/>
      <c r="BG546" s="42"/>
      <c r="BH546" s="29"/>
      <c r="BI546" s="29"/>
      <c r="BJ546" s="29"/>
      <c r="BK546" s="29"/>
      <c r="BL546" s="29"/>
      <c r="BM546" s="29"/>
      <c r="BN546" s="29"/>
      <c r="BO546" s="29"/>
      <c r="BP546" s="29"/>
      <c r="BQ546" s="29"/>
      <c r="BR546" s="29"/>
      <c r="BS546" s="29"/>
      <c r="BT546" s="29"/>
      <c r="BU546" s="29"/>
      <c r="BV546" s="29"/>
      <c r="BW546" s="29"/>
      <c r="BX546" s="29"/>
      <c r="BY546" s="29"/>
      <c r="BZ546" s="29"/>
      <c r="CA546" s="29"/>
      <c r="CB546" s="29"/>
      <c r="CC546" s="29"/>
      <c r="CD546" s="29"/>
      <c r="CE546" s="29"/>
      <c r="CF546" s="29"/>
      <c r="CG546" s="29"/>
      <c r="CH546" s="29"/>
      <c r="CI546" s="29"/>
      <c r="CJ546" s="29"/>
      <c r="CK546" s="29"/>
      <c r="CL546" s="29"/>
      <c r="CM546" s="29"/>
      <c r="CN546" s="29"/>
      <c r="CO546" s="29"/>
      <c r="CP546" s="29"/>
      <c r="CQ546" s="29"/>
      <c r="CR546" s="1"/>
      <c r="CS546" s="1"/>
      <c r="CT546" s="1"/>
      <c r="CU546" s="1"/>
    </row>
    <row r="547" spans="1:99" s="13" customFormat="1" ht="12" customHeight="1" x14ac:dyDescent="0.2">
      <c r="A547" s="68">
        <v>43899</v>
      </c>
      <c r="B547" s="70" t="s">
        <v>394</v>
      </c>
      <c r="C547" s="70" t="s">
        <v>395</v>
      </c>
      <c r="D547" s="69">
        <v>2001</v>
      </c>
      <c r="E547" s="87">
        <v>1</v>
      </c>
      <c r="F547" s="69">
        <v>8</v>
      </c>
      <c r="G547" s="69">
        <v>8</v>
      </c>
      <c r="H547" s="69" t="s">
        <v>41</v>
      </c>
      <c r="I547" s="69"/>
      <c r="J547" s="69" t="s">
        <v>342</v>
      </c>
      <c r="K547" s="69">
        <f>IF(J547="syllables",1,IF(J547="trigrams",2,IF(J547="strings",3,IF(J547="visual array",4,IF(J547="characters",5,IF(J547="letters",6,IF(J547="free forms",7,IF(J547="odors",8,IF(J547="words",9,IF(J547="pictures",10,IF(J547="object pictures",11,IF(J547="faces",12,IF(J547="names",13,IF(J547="idioms",14,IF(J547="grades",15,IF(J547="syllable-digit pairs",16,IF(J547="trigram-word pairs",17,IF(J547="word-digit pairs",18,IF(J547="English-Swahili pairs",19,IF(J547="spatial position",20,IF(J547="word pairs",21,IF(J547="word triads",22,IF(J547="generated words",23,IF(J547="word definition pairs",24,IF(J547="math problems",25,IF(J547="famous faces",26,IF(J547="famous names",27,IF(J547="famous voices",28,IF(J547="television programs",29,IF(J547="race horses",30,IF(J547="new vocabulary",31,IF(J547="sentences",32,IF(J547="concepts",33,IF(J547="ad slides",34,IF(J547="scenes",35,IF(J547="famous scenes",36,IF(J547="poems",37,IF(J547="walk",38,IF(J547="faces and events",39,IF(J547="events and names",40,IF(J547="flashbulb",41,IF(J547="stories",42,IF(J547="course material",43,IF(J547="autobiographical",44,IF(J547="novels",45,IF(J547="public events",46,"99"))))))))))))))))))))))))))))))))))))))))))))))</f>
        <v>26</v>
      </c>
      <c r="L547" s="69">
        <f>IF(J547="syllables",1,IF(J547="trigrams",1,IF(J547="strings",1,IF(J547="visual array",1,IF(J547="characters",1,IF(J547="letters",1,IF(J547="free forms",1,IF(J547="odors",2,IF(J547="words",2,IF(J547="pictures",2,IF(J547="object pictures",2,IF(J547="faces",2,IF(J547="names",2,IF(J547="idioms","2",IF(J547="grades",2,IF(J547="syllable-digit pairs",3,IF(J547="trigram-word pairs",3,IF(J547="word-digit pairs",3,IF(J547="English-Swahili pairs",3,IF(J547="spatial position",3,IF(J547="word pairs",4,IF(J547="word triads",4,IF(J547="generated words",4,IF(J547="word definition pairs",4,IF(J547="math problems",4,IF(J547="famous faces",4,IF(J547="famous names",4,IF(J547="famous voices",4,IF(J547="television programs",4,IF(J547="race horses",4,IF(J547="new vocabulary",4,IF(J547="sentences",5,IF(J547="concepts",5,IF(J547="ad slides",5,IF(J547="scenes",5,IF(J547="famous scenes",5,IF(J547="poems",6,IF(J547="walk",6,IF(J547="faces and events",6,IF(J547="events and names",6,IF(J547="flashbulb",7,IF(J547="stories",7,IF(J547="course material",7,IF(J547="autobiographical",7,IF(J547="novels",7,IF(J547="public events",7,"99"))))))))))))))))))))))))))))))))))))))))))))))</f>
        <v>4</v>
      </c>
      <c r="M547" s="69">
        <v>1</v>
      </c>
      <c r="N547" s="86">
        <v>2</v>
      </c>
      <c r="O547" s="69">
        <v>0</v>
      </c>
      <c r="P547" s="69"/>
      <c r="Q547" s="69" t="s">
        <v>174</v>
      </c>
      <c r="R547" s="69">
        <f>IF(Q547="Free Recall",1,IF(Q547="Cued Recall",2,IF(Q547="Recognition",3,IF(Q547="Multiple Choice",4,IF(Q547="Savings",5,IF(Q547="Stem Completion",6,IF(Q547="Fragment Completion",7,IF(Q547="anagram solution",8,IF(Q547="Matching",9,IF(Q547="Problem Solving",10,"99"))))))))))</f>
        <v>1</v>
      </c>
      <c r="S547" s="69" t="s">
        <v>49</v>
      </c>
      <c r="T547" s="92" t="s">
        <v>581</v>
      </c>
      <c r="U547" s="69">
        <f>IF(T547="within",1,0)</f>
        <v>1</v>
      </c>
      <c r="V547" s="92">
        <v>78</v>
      </c>
      <c r="W547" s="69">
        <f>F547*V547</f>
        <v>624</v>
      </c>
      <c r="X547" s="69">
        <v>6</v>
      </c>
      <c r="Y547" s="87">
        <f>AV546</f>
        <v>157680000</v>
      </c>
      <c r="Z547" s="69" t="s">
        <v>374</v>
      </c>
      <c r="AA547" s="69">
        <f>55*365*24*60*60</f>
        <v>1734480000</v>
      </c>
      <c r="AB547" s="69" t="str">
        <f>IF(AA547&lt;60,"1",IF(AA547&lt;=43200,"2",IF(AA547&lt;=777600,"3","4")))</f>
        <v>4</v>
      </c>
      <c r="AC547" s="72">
        <f>AVERAGE(AV546:DA546)</f>
        <v>946080000</v>
      </c>
      <c r="AD547" s="69" t="str">
        <f>IF(AC547&lt;60,"1",IF(AC547&lt;=43200,"2",IF(AC547&lt;=777600,"3","4")))</f>
        <v>4</v>
      </c>
      <c r="AE547" s="87">
        <f>AA547-Y547</f>
        <v>1576800000</v>
      </c>
      <c r="AF547" s="88">
        <f>AV547</f>
        <v>0.47</v>
      </c>
      <c r="AG547" s="93">
        <f>((AW547-AV547)+(AX547-AW547)+(AY547-AX547)+(AZ547-AY547)+(BA547-AZ547))/5</f>
        <v>-1.9999999999999905E-3</v>
      </c>
      <c r="AH547" s="4"/>
      <c r="AI547" s="72">
        <f>RSQ(AV547:BA547,AV546:BA546)</f>
        <v>9.07111115071622E-32</v>
      </c>
      <c r="AJ547" s="110">
        <f>SLOPE(AV547:BA547,AV546:BA546)</f>
        <v>2.0334451587518194E-26</v>
      </c>
      <c r="AK547" s="72">
        <f>INTERCEPT(AV547:BA547,AV546:BA546)</f>
        <v>0.47666666666666663</v>
      </c>
      <c r="AL547" s="72">
        <f>INDEX(LINEST(LN(AV547:BA547),LN(AV546:BA546),TRUE,TRUE),3,1)</f>
        <v>2.9383221163841974E-5</v>
      </c>
      <c r="AM547" s="72">
        <f>INDEX(LINEST(LN(AV547:BA547),LN(AV546:BA546)),1)</f>
        <v>-5.2778466108937237E-4</v>
      </c>
      <c r="AN547" s="72">
        <f>EXP(INDEX(LINEST(LN(AV547:BA547),LN(AV546:BA546)),1,2))</f>
        <v>0.48037624328510686</v>
      </c>
      <c r="AO547" s="89">
        <f>INDEX(LINEST((AV547:BA547),LN(AV546:BA546),TRUE,TRUE),3,1)</f>
        <v>7.0707195243694792E-6</v>
      </c>
      <c r="AP547" s="89">
        <f>INDEX(LINEST((AV547:BA547),LN(AV546:BA546)),1)</f>
        <v>-1.1986960198224103E-4</v>
      </c>
      <c r="AQ547" s="90">
        <f>INDEX(LINEST(LN(AV547:BA547),SQRT(AV546:BA546),TRUE,TRUE),3,1)</f>
        <v>1.2421917355466826E-6</v>
      </c>
      <c r="AR547" s="117">
        <f>INDEX(LINEST(LN(AV547:BA547),SQRT((AV546:BA546))),1)</f>
        <v>-8.929106313854037E-9</v>
      </c>
      <c r="AS547" s="91">
        <f>INDEX(LINEST(1/(AV547:BA547),1/(SQRT(AV546:BA546)),TRUE,TRUE),3,1)</f>
        <v>9.7115963227519455E-5</v>
      </c>
      <c r="AT547" s="91">
        <f>INDEX(LINEST(1/(AV547:BA547),1/SQRT(AV546:BA546)),1)</f>
        <v>-88.609728018099048</v>
      </c>
      <c r="AU547" s="3"/>
      <c r="AV547" s="73">
        <v>0.47</v>
      </c>
      <c r="AW547" s="73">
        <v>0.52</v>
      </c>
      <c r="AX547" s="73">
        <v>0.41</v>
      </c>
      <c r="AY547" s="73">
        <v>0.49</v>
      </c>
      <c r="AZ547" s="73">
        <v>0.51</v>
      </c>
      <c r="BA547" s="73">
        <v>0.46</v>
      </c>
      <c r="BB547" s="42"/>
      <c r="BC547" s="29"/>
      <c r="BD547" s="29"/>
      <c r="BE547" s="29"/>
      <c r="BF547" s="29"/>
      <c r="BG547" s="29"/>
      <c r="BH547" s="29"/>
      <c r="BI547" s="29"/>
      <c r="BJ547" s="29"/>
      <c r="BK547" s="29"/>
      <c r="BL547" s="29"/>
      <c r="BM547" s="29"/>
      <c r="BN547" s="29"/>
      <c r="BO547" s="29"/>
      <c r="BP547" s="29"/>
      <c r="BQ547" s="29"/>
      <c r="BR547" s="29"/>
      <c r="BS547" s="29"/>
      <c r="BT547" s="29"/>
      <c r="BU547" s="29"/>
      <c r="BV547" s="29"/>
      <c r="BW547" s="29"/>
      <c r="BX547" s="29"/>
      <c r="BY547" s="29"/>
      <c r="BZ547" s="29"/>
      <c r="CA547" s="29"/>
      <c r="CB547" s="29"/>
      <c r="CC547" s="29"/>
      <c r="CD547" s="29"/>
      <c r="CE547" s="29"/>
      <c r="CF547" s="29"/>
      <c r="CG547" s="29"/>
      <c r="CH547" s="29"/>
      <c r="CI547" s="29"/>
      <c r="CJ547" s="29"/>
      <c r="CK547" s="29"/>
      <c r="CL547" s="29"/>
      <c r="CM547" s="29"/>
      <c r="CN547" s="29"/>
      <c r="CO547" s="29"/>
      <c r="CP547" s="29"/>
      <c r="CQ547" s="29"/>
      <c r="CR547" s="1"/>
      <c r="CS547" s="1"/>
      <c r="CT547" s="1"/>
      <c r="CU547" s="1"/>
    </row>
    <row r="548" spans="1:99" s="13" customFormat="1" ht="12" customHeight="1" x14ac:dyDescent="0.2">
      <c r="A548" s="68">
        <v>43899</v>
      </c>
      <c r="B548" s="70"/>
      <c r="C548" s="70"/>
      <c r="D548" s="69"/>
      <c r="E548" s="87"/>
      <c r="F548" s="69"/>
      <c r="G548" s="69"/>
      <c r="H548" s="69"/>
      <c r="I548" s="69"/>
      <c r="J548" s="69"/>
      <c r="K548" s="107"/>
      <c r="L548" s="107"/>
      <c r="M548" s="69"/>
      <c r="N548" s="86"/>
      <c r="O548" s="69"/>
      <c r="P548" s="69"/>
      <c r="Q548" s="69"/>
      <c r="R548" s="69"/>
      <c r="S548" s="69"/>
      <c r="T548" s="69"/>
      <c r="U548" s="69"/>
      <c r="V548" s="69"/>
      <c r="W548" s="69"/>
      <c r="X548" s="69"/>
      <c r="Y548" s="87"/>
      <c r="Z548" s="69"/>
      <c r="AA548" s="69"/>
      <c r="AB548" s="69"/>
      <c r="AC548" s="72"/>
      <c r="AD548" s="69"/>
      <c r="AE548" s="69"/>
      <c r="AF548" s="88"/>
      <c r="AG548" s="72"/>
      <c r="AH548" s="4"/>
      <c r="AI548" s="72"/>
      <c r="AJ548" s="110"/>
      <c r="AK548" s="72"/>
      <c r="AL548" s="72"/>
      <c r="AM548" s="72"/>
      <c r="AN548" s="72"/>
      <c r="AO548" s="89"/>
      <c r="AP548" s="89"/>
      <c r="AQ548" s="90"/>
      <c r="AR548" s="117"/>
      <c r="AS548" s="91"/>
      <c r="AT548" s="91"/>
      <c r="AU548" s="3"/>
      <c r="AV548" s="71">
        <v>157680000</v>
      </c>
      <c r="AW548" s="71">
        <v>473040000</v>
      </c>
      <c r="AX548" s="71">
        <v>788400000</v>
      </c>
      <c r="AY548" s="71">
        <v>1103760000</v>
      </c>
      <c r="AZ548" s="71">
        <v>1419120000</v>
      </c>
      <c r="BA548" s="71">
        <v>1734480000</v>
      </c>
      <c r="BB548" s="42"/>
      <c r="BC548" s="29"/>
      <c r="BD548" s="29"/>
      <c r="BE548" s="29"/>
      <c r="BF548" s="29"/>
      <c r="BG548" s="29"/>
      <c r="BH548" s="29"/>
      <c r="BI548" s="29"/>
      <c r="BJ548" s="29"/>
      <c r="BK548" s="29"/>
      <c r="BL548" s="29"/>
      <c r="BM548" s="29"/>
      <c r="BN548" s="29"/>
      <c r="BO548" s="29"/>
      <c r="BP548" s="29"/>
      <c r="BQ548" s="29"/>
      <c r="BR548" s="29"/>
      <c r="BS548" s="29"/>
      <c r="BT548" s="29"/>
      <c r="BU548" s="29"/>
      <c r="BV548" s="29"/>
      <c r="BW548" s="29"/>
      <c r="BX548" s="29"/>
      <c r="BY548" s="29"/>
      <c r="BZ548" s="29"/>
      <c r="CA548" s="29"/>
      <c r="CB548" s="29"/>
      <c r="CC548" s="29"/>
      <c r="CD548" s="29"/>
      <c r="CE548" s="29"/>
      <c r="CF548" s="29"/>
      <c r="CG548" s="29"/>
      <c r="CH548" s="29"/>
      <c r="CI548" s="29"/>
      <c r="CJ548" s="29"/>
      <c r="CK548" s="29"/>
      <c r="CL548" s="29"/>
      <c r="CM548" s="29"/>
      <c r="CN548" s="29"/>
      <c r="CO548" s="29"/>
      <c r="CP548" s="29"/>
      <c r="CQ548" s="29"/>
      <c r="CR548" s="1"/>
      <c r="CS548" s="1"/>
      <c r="CT548" s="1"/>
      <c r="CU548" s="1"/>
    </row>
    <row r="549" spans="1:99" s="13" customFormat="1" ht="12" customHeight="1" x14ac:dyDescent="0.2">
      <c r="A549" s="68">
        <v>43899</v>
      </c>
      <c r="B549" s="70" t="s">
        <v>394</v>
      </c>
      <c r="C549" s="70" t="s">
        <v>395</v>
      </c>
      <c r="D549" s="69">
        <v>2001</v>
      </c>
      <c r="E549" s="87">
        <v>1</v>
      </c>
      <c r="F549" s="69">
        <v>8</v>
      </c>
      <c r="G549" s="69">
        <v>8</v>
      </c>
      <c r="H549" s="69" t="s">
        <v>41</v>
      </c>
      <c r="I549" s="69"/>
      <c r="J549" s="69" t="s">
        <v>342</v>
      </c>
      <c r="K549" s="69">
        <f>IF(J549="syllables",1,IF(J549="trigrams",2,IF(J549="strings",3,IF(J549="visual array",4,IF(J549="characters",5,IF(J549="letters",6,IF(J549="free forms",7,IF(J549="odors",8,IF(J549="words",9,IF(J549="pictures",10,IF(J549="object pictures",11,IF(J549="faces",12,IF(J549="names",13,IF(J549="idioms",14,IF(J549="grades",15,IF(J549="syllable-digit pairs",16,IF(J549="trigram-word pairs",17,IF(J549="word-digit pairs",18,IF(J549="English-Swahili pairs",19,IF(J549="spatial position",20,IF(J549="word pairs",21,IF(J549="word triads",22,IF(J549="generated words",23,IF(J549="word definition pairs",24,IF(J549="math problems",25,IF(J549="famous faces",26,IF(J549="famous names",27,IF(J549="famous voices",28,IF(J549="television programs",29,IF(J549="race horses",30,IF(J549="new vocabulary",31,IF(J549="sentences",32,IF(J549="concepts",33,IF(J549="ad slides",34,IF(J549="scenes",35,IF(J549="famous scenes",36,IF(J549="poems",37,IF(J549="walk",38,IF(J549="faces and events",39,IF(J549="events and names",40,IF(J549="flashbulb",41,IF(J549="stories",42,IF(J549="course material",43,IF(J549="autobiographical",44,IF(J549="novels",45,IF(J549="public events",46,"99"))))))))))))))))))))))))))))))))))))))))))))))</f>
        <v>26</v>
      </c>
      <c r="L549" s="69">
        <f>IF(J549="syllables",1,IF(J549="trigrams",1,IF(J549="strings",1,IF(J549="visual array",1,IF(J549="characters",1,IF(J549="letters",1,IF(J549="free forms",1,IF(J549="odors",2,IF(J549="words",2,IF(J549="pictures",2,IF(J549="object pictures",2,IF(J549="faces",2,IF(J549="names",2,IF(J549="idioms","2",IF(J549="grades",2,IF(J549="syllable-digit pairs",3,IF(J549="trigram-word pairs",3,IF(J549="word-digit pairs",3,IF(J549="English-Swahili pairs",3,IF(J549="spatial position",3,IF(J549="word pairs",4,IF(J549="word triads",4,IF(J549="generated words",4,IF(J549="word definition pairs",4,IF(J549="math problems",4,IF(J549="famous faces",4,IF(J549="famous names",4,IF(J549="famous voices",4,IF(J549="television programs",4,IF(J549="race horses",4,IF(J549="new vocabulary",4,IF(J549="sentences",5,IF(J549="concepts",5,IF(J549="ad slides",5,IF(J549="scenes",5,IF(J549="famous scenes",5,IF(J549="poems",6,IF(J549="walk",6,IF(J549="faces and events",6,IF(J549="events and names",6,IF(J549="flashbulb",7,IF(J549="stories",7,IF(J549="course material",7,IF(J549="autobiographical",7,IF(J549="novels",7,IF(J549="public events",7,"99"))))))))))))))))))))))))))))))))))))))))))))))</f>
        <v>4</v>
      </c>
      <c r="M549" s="69">
        <v>1</v>
      </c>
      <c r="N549" s="86">
        <v>2</v>
      </c>
      <c r="O549" s="69">
        <v>0</v>
      </c>
      <c r="P549" s="69"/>
      <c r="Q549" s="69" t="s">
        <v>182</v>
      </c>
      <c r="R549" s="69">
        <f>IF(Q549="Free Recall",1,IF(Q549="Cued Recall",2,IF(Q549="Recognition",3,IF(Q549="Multiple Choice",4,IF(Q549="Savings",5,IF(Q549="Stem Completion",6,IF(Q549="Fragment Completion",7,IF(Q549="anagram solution",8,IF(Q549="Matching",9,IF(Q549="Problem Solving",10,"99"))))))))))</f>
        <v>4</v>
      </c>
      <c r="S549" s="69" t="s">
        <v>15</v>
      </c>
      <c r="T549" s="92" t="s">
        <v>581</v>
      </c>
      <c r="U549" s="69">
        <f>IF(T549="within",1,0)</f>
        <v>1</v>
      </c>
      <c r="V549" s="92">
        <v>78</v>
      </c>
      <c r="W549" s="69">
        <f>F549*V549</f>
        <v>624</v>
      </c>
      <c r="X549" s="69">
        <v>6</v>
      </c>
      <c r="Y549" s="87">
        <f>AV548</f>
        <v>157680000</v>
      </c>
      <c r="Z549" s="69" t="s">
        <v>374</v>
      </c>
      <c r="AA549" s="69">
        <f>55*365*24*60*60</f>
        <v>1734480000</v>
      </c>
      <c r="AB549" s="69" t="str">
        <f>IF(AA549&lt;60,"1",IF(AA549&lt;=43200,"2",IF(AA549&lt;=777600,"3","4")))</f>
        <v>4</v>
      </c>
      <c r="AC549" s="72">
        <f>AVERAGE(AV548:DA548)</f>
        <v>946080000</v>
      </c>
      <c r="AD549" s="69" t="str">
        <f>IF(AC549&lt;60,"1",IF(AC549&lt;=43200,"2",IF(AC549&lt;=777600,"3","4")))</f>
        <v>4</v>
      </c>
      <c r="AE549" s="87">
        <f>AA549-Y549</f>
        <v>1576800000</v>
      </c>
      <c r="AF549" s="88">
        <f>AV549</f>
        <v>0.86</v>
      </c>
      <c r="AG549" s="72">
        <f>((AW549-AV549)+(AX549-AW549)+(AY549-AX549)+(AZ549-AY549)+(BA549-AZ549))/5</f>
        <v>-6.0000000000000053E-3</v>
      </c>
      <c r="AH549" s="4"/>
      <c r="AI549" s="72">
        <f>RSQ(AV549:BA549,AV548:BA548)</f>
        <v>3.931847968545274E-3</v>
      </c>
      <c r="AJ549" s="110">
        <f>SLOPE(AV549:BA549,AV548:BA548)</f>
        <v>-4.5299702833949753E-12</v>
      </c>
      <c r="AK549" s="72">
        <f>INTERCEPT(AV549:BA549,AV548:BA548)</f>
        <v>0.88595238095238105</v>
      </c>
      <c r="AL549" s="72">
        <f>INDEX(LINEST(LN(AV549:BA549),LN(AV548:BA548),TRUE,TRUE),3,1)</f>
        <v>2.7293526535743123E-3</v>
      </c>
      <c r="AM549" s="72">
        <f>INDEX(LINEST(LN(AV549:BA549),LN(AV548:BA548)),1)</f>
        <v>2.8480854992779629E-3</v>
      </c>
      <c r="AN549" s="72">
        <f>EXP(INDEX(LINEST(LN(AV549:BA549),LN(AV548:BA548)),1,2))</f>
        <v>0.83105324100014266</v>
      </c>
      <c r="AO549" s="89">
        <f>INDEX(LINEST((AV549:BA549),LN(AV548:BA548),TRUE,TRUE),3,1)</f>
        <v>3.8234940350894879E-3</v>
      </c>
      <c r="AP549" s="89">
        <f>INDEX(LINEST((AV549:BA549),LN(AV548:BA548)),1)</f>
        <v>2.9826496392287953E-3</v>
      </c>
      <c r="AQ549" s="90">
        <f>INDEX(LINEST(LN(AV549:BA549),SQRT(AV548:BA548),TRUE,TRUE),3,1)</f>
        <v>1.6603561623714034E-4</v>
      </c>
      <c r="AR549" s="117">
        <f>INDEX(LINEST(LN(AV549:BA549),SQRT((AV548:BA548))),1)</f>
        <v>-5.7800346111300691E-8</v>
      </c>
      <c r="AS549" s="91">
        <f>INDEX(LINEST(1/(AV549:BA549),1/(SQRT(AV548:BA548)),TRUE,TRUE),3,1)</f>
        <v>1.0623857402604756E-2</v>
      </c>
      <c r="AT549" s="91">
        <f>INDEX(LINEST(1/(AV549:BA549),1/SQRT(AV548:BA548)),1)</f>
        <v>270.32706103734574</v>
      </c>
      <c r="AU549" s="3"/>
      <c r="AV549" s="73">
        <v>0.86</v>
      </c>
      <c r="AW549" s="73">
        <v>0.92</v>
      </c>
      <c r="AX549" s="73">
        <v>0.85</v>
      </c>
      <c r="AY549" s="73">
        <v>0.89</v>
      </c>
      <c r="AZ549" s="73">
        <v>0.94</v>
      </c>
      <c r="BA549" s="73">
        <v>0.83</v>
      </c>
      <c r="BB549" s="42"/>
      <c r="BC549" s="29"/>
      <c r="BD549" s="29"/>
      <c r="BE549" s="29"/>
      <c r="BF549" s="29"/>
      <c r="BG549" s="29"/>
      <c r="BH549" s="29"/>
      <c r="BI549" s="29"/>
      <c r="BJ549" s="29"/>
      <c r="BK549" s="29"/>
      <c r="BL549" s="29"/>
      <c r="BM549" s="29"/>
      <c r="BN549" s="29"/>
      <c r="BO549" s="29"/>
      <c r="BP549" s="29"/>
      <c r="BQ549" s="29"/>
      <c r="BR549" s="29"/>
      <c r="BS549" s="29"/>
      <c r="BT549" s="29"/>
      <c r="BU549" s="29"/>
      <c r="BV549" s="29"/>
      <c r="BW549" s="29"/>
      <c r="BX549" s="29"/>
      <c r="BY549" s="29"/>
      <c r="BZ549" s="29"/>
      <c r="CA549" s="29"/>
      <c r="CB549" s="29"/>
      <c r="CC549" s="29"/>
      <c r="CD549" s="29"/>
      <c r="CE549" s="29"/>
      <c r="CF549" s="29"/>
      <c r="CG549" s="29"/>
      <c r="CH549" s="29"/>
      <c r="CI549" s="29"/>
      <c r="CJ549" s="29"/>
      <c r="CK549" s="29"/>
      <c r="CL549" s="29"/>
      <c r="CM549" s="29"/>
      <c r="CN549" s="29"/>
      <c r="CO549" s="29"/>
      <c r="CP549" s="29"/>
      <c r="CQ549" s="29"/>
      <c r="CR549" s="1"/>
      <c r="CS549" s="1"/>
      <c r="CT549" s="1"/>
      <c r="CU549" s="1"/>
    </row>
    <row r="550" spans="1:99" ht="12" customHeight="1" x14ac:dyDescent="0.2">
      <c r="A550" s="65">
        <v>43648</v>
      </c>
      <c r="B550" s="15"/>
      <c r="C550" s="15"/>
      <c r="D550" s="59"/>
      <c r="E550" s="75"/>
      <c r="F550" s="59"/>
      <c r="G550" s="59"/>
      <c r="H550" s="59"/>
      <c r="I550" s="59"/>
      <c r="J550" s="59"/>
      <c r="M550" s="59"/>
      <c r="N550" s="59"/>
      <c r="O550" s="59"/>
      <c r="P550" s="59"/>
      <c r="Q550" s="59"/>
      <c r="R550" s="60"/>
      <c r="S550" s="59"/>
      <c r="T550" s="59"/>
      <c r="U550" s="60"/>
      <c r="V550" s="59"/>
      <c r="W550" s="60"/>
      <c r="X550" s="59"/>
      <c r="Y550" s="76"/>
      <c r="Z550" s="59"/>
      <c r="AA550" s="59"/>
      <c r="AB550" s="60"/>
      <c r="AC550" s="60"/>
      <c r="AD550" s="60"/>
      <c r="AE550" s="60"/>
      <c r="AF550" s="80"/>
      <c r="AG550" s="56"/>
      <c r="AH550" s="4"/>
      <c r="AI550" s="55"/>
      <c r="AJ550" s="111"/>
      <c r="AK550" s="55"/>
      <c r="AL550" s="55"/>
      <c r="AM550" s="55"/>
      <c r="AN550" s="55"/>
      <c r="AO550" s="55"/>
      <c r="AP550" s="55"/>
      <c r="AQ550" s="56"/>
      <c r="AR550" s="109"/>
      <c r="AS550" s="56"/>
      <c r="AT550" s="56"/>
      <c r="AU550" s="4"/>
      <c r="AV550" s="47">
        <f>5*60</f>
        <v>300</v>
      </c>
      <c r="AW550" s="47">
        <f>2*24*3600</f>
        <v>172800</v>
      </c>
      <c r="AX550" s="47">
        <f>1*7*24*3600</f>
        <v>604800</v>
      </c>
      <c r="AY550" s="11"/>
      <c r="AZ550" s="11"/>
      <c r="BA550" s="11"/>
      <c r="BB550" s="11"/>
      <c r="BC550" s="11"/>
      <c r="BD550" s="11"/>
      <c r="BE550" s="11"/>
      <c r="BF550" s="11"/>
      <c r="BG550" s="11"/>
      <c r="BH550" s="11"/>
      <c r="BI550" s="11"/>
      <c r="BJ550" s="11"/>
      <c r="BK550" s="11"/>
      <c r="BL550" s="11"/>
      <c r="BM550" s="11"/>
      <c r="BN550" s="11"/>
      <c r="BO550" s="11"/>
      <c r="BP550" s="11"/>
      <c r="BQ550" s="11"/>
      <c r="BR550" s="11"/>
      <c r="BS550" s="11"/>
      <c r="BT550" s="11"/>
      <c r="BU550" s="11"/>
      <c r="BV550" s="11"/>
      <c r="BW550" s="11"/>
      <c r="BX550" s="11"/>
      <c r="BY550" s="11"/>
      <c r="BZ550" s="11"/>
      <c r="CA550" s="11"/>
      <c r="CB550" s="11"/>
      <c r="CC550" s="11"/>
      <c r="CD550" s="11"/>
      <c r="CE550" s="11"/>
      <c r="CF550" s="11"/>
      <c r="CG550" s="11"/>
      <c r="CH550" s="11"/>
      <c r="CI550" s="11"/>
      <c r="CJ550" s="11"/>
      <c r="CK550" s="11"/>
      <c r="CL550" s="11"/>
      <c r="CM550" s="11"/>
      <c r="CN550" s="11"/>
      <c r="CO550" s="11"/>
      <c r="CP550" s="11"/>
      <c r="CQ550" s="11"/>
      <c r="CR550" s="15"/>
      <c r="CS550" s="15"/>
      <c r="CT550" s="15"/>
      <c r="CU550" s="15"/>
    </row>
    <row r="551" spans="1:99" ht="12" customHeight="1" x14ac:dyDescent="0.2">
      <c r="A551" s="65">
        <v>43648</v>
      </c>
      <c r="B551" s="15" t="s">
        <v>305</v>
      </c>
      <c r="C551" s="15" t="s">
        <v>877</v>
      </c>
      <c r="D551" s="59">
        <v>1978</v>
      </c>
      <c r="E551" s="75">
        <v>1</v>
      </c>
      <c r="F551" s="59">
        <v>108</v>
      </c>
      <c r="G551" s="59">
        <v>36</v>
      </c>
      <c r="H551" s="59" t="s">
        <v>227</v>
      </c>
      <c r="I551" s="59" t="s">
        <v>632</v>
      </c>
      <c r="J551" s="59" t="s">
        <v>677</v>
      </c>
      <c r="K551" s="60">
        <f>IF(J551="syllables",1,IF(J551="trigrams",2,IF(J551="strings",3,IF(J551="visual array",4,IF(J551="characters",5,IF(J551="letters",6,IF(J551="free forms",7,IF(J551="odors",8,IF(J551="words",9,IF(J551="pictures",10,IF(J551="object pictures",11,IF(J551="faces",12,IF(J551="names",13,IF(J551="idioms",14,IF(J551="grades",15,IF(J551="syllable-digit pairs",16,IF(J551="trigram-word pairs",17,IF(J551="word-digit pairs",18,IF(J551="English-Swahili pairs",19,IF(J551="spatial position",20,IF(J551="word pairs",21,IF(J551="word triads",22,IF(J551="generated words",23,IF(J551="word definition pairs",24,IF(J551="math problems",25,IF(J551="famous faces",26,IF(J551="famous names",27,IF(J551="famous voices",28,IF(J551="television programs",29,IF(J551="race horses",30,IF(J551="new vocabulary",31,IF(J551="sentences",32,IF(J551="concepts",33,IF(J551="ad slides",34,IF(J551="scenes",35,IF(J551="famous scenes",36,IF(J551="poems",37,IF(J551="walk",38,IF(J551="faces and events",39,IF(J551="events and names",40,IF(J551="flashbulb",41,IF(J551="stories",42,IF(J551="course material",43,IF(J551="autobiographical",44,IF(J551="novels",45,IF(J551="public events",46,"99"))))))))))))))))))))))))))))))))))))))))))))))</f>
        <v>42</v>
      </c>
      <c r="L551" s="60">
        <f>IF(J551="syllables",1,IF(J551="trigrams",1,IF(J551="strings",1,IF(J551="visual array",1,IF(J551="characters",1,IF(J551="letters",1,IF(J551="free forms",1,IF(J551="odors",2,IF(J551="words",2,IF(J551="pictures",2,IF(J551="object pictures",2,IF(J551="faces",2,IF(J551="names",2,IF(J551="idioms","2",IF(J551="grades",2,IF(J551="syllable-digit pairs",3,IF(J551="trigram-word pairs",3,IF(J551="word-digit pairs",3,IF(J551="English-Swahili pairs",3,IF(J551="spatial position",3,IF(J551="word pairs",4,IF(J551="word triads",4,IF(J551="generated words",4,IF(J551="word definition pairs",4,IF(J551="math problems",4,IF(J551="famous faces",4,IF(J551="famous names",4,IF(J551="famous voices",4,IF(J551="television programs",4,IF(J551="race horses",4,IF(J551="new vocabulary",4,IF(J551="sentences",5,IF(J551="concepts",5,IF(J551="ad slides",5,IF(J551="scenes",5,IF(J551="famous scenes",5,IF(J551="poems",6,IF(J551="walk",6,IF(J551="faces and events",6,IF(J551="events and names",6,IF(J551="flashbulb",7,IF(J551="stories",7,IF(J551="course material",7,IF(J551="autobiographical",7,IF(J551="novels",7,IF(J551="public events",7,"99"))))))))))))))))))))))))))))))))))))))))))))))</f>
        <v>7</v>
      </c>
      <c r="M551" s="59">
        <v>0</v>
      </c>
      <c r="N551" s="59">
        <v>3</v>
      </c>
      <c r="O551" s="59">
        <v>0</v>
      </c>
      <c r="P551" s="59"/>
      <c r="Q551" s="59" t="s">
        <v>174</v>
      </c>
      <c r="R551" s="60">
        <f>IF(Q551="Free Recall",1,IF(Q551="Cued Recall",2,IF(Q551="Recognition",3,IF(Q551="Multiple Choice",4,IF(Q551="Savings",5,IF(Q551="Stem Completion",6,IF(Q551="Fragment Completion",7,IF(Q551="anagram solution",8,IF(Q551="Matching",9,IF(Q551="Problem Solving",10,"99"))))))))))</f>
        <v>1</v>
      </c>
      <c r="S551" s="59" t="s">
        <v>314</v>
      </c>
      <c r="T551" s="59" t="s">
        <v>261</v>
      </c>
      <c r="U551" s="60">
        <f>IF(T551="within",1,0)</f>
        <v>0</v>
      </c>
      <c r="V551" s="59">
        <v>39.5</v>
      </c>
      <c r="W551" s="60">
        <f>F551*V551</f>
        <v>4266</v>
      </c>
      <c r="X551" s="59">
        <v>3</v>
      </c>
      <c r="Y551" s="76">
        <f>AV550</f>
        <v>300</v>
      </c>
      <c r="Z551" s="59" t="s">
        <v>150</v>
      </c>
      <c r="AA551" s="59">
        <f>1*7*24*3600</f>
        <v>604800</v>
      </c>
      <c r="AB551" s="60" t="str">
        <f>IF(AA551&lt;60,"1",IF(AA551&lt;=43200,"2",IF(AA551&lt;=777600,"3","4")))</f>
        <v>3</v>
      </c>
      <c r="AC551" s="56">
        <f>AVERAGE(AV550:DA550)</f>
        <v>259300</v>
      </c>
      <c r="AD551" s="60" t="str">
        <f>IF(AC551&lt;60,"1",IF(AC551&lt;=43200,"2",IF(AC551&lt;=777600,"3","4")))</f>
        <v>3</v>
      </c>
      <c r="AE551" s="76">
        <f>AA551-Y551</f>
        <v>604500</v>
      </c>
      <c r="AF551" s="80">
        <f>AV551</f>
        <v>0.34</v>
      </c>
      <c r="AG551" s="56">
        <f>((AW551-AV551)+(AX551-AW551))/2</f>
        <v>-9.5000000000000015E-2</v>
      </c>
      <c r="AH551" s="4"/>
      <c r="AI551" s="56">
        <f>RSQ(AV551:AX551,AV550:AX550)</f>
        <v>0.61377409162504237</v>
      </c>
      <c r="AJ551" s="109">
        <f>SLOPE(AV551:AX551,AV550:AX550)</f>
        <v>-2.6266735762516543E-7</v>
      </c>
      <c r="AK551" s="56">
        <f>INTERCEPT(AV551:AX551,AV550:AX550)</f>
        <v>0.28810964583220539</v>
      </c>
      <c r="AL551" s="56">
        <f>INDEX(LINEST(LN(AV551:AX551),LN(AV550:AX550),TRUE,TRUE),3,1)</f>
        <v>0.99986343100691832</v>
      </c>
      <c r="AM551" s="56">
        <f>INDEX(LINEST(LN(AV551:AX551),LN(AV550:AX550)),1)</f>
        <v>-0.10803581450967538</v>
      </c>
      <c r="AN551" s="56">
        <f>EXP(INDEX(LINEST(LN(AV551:AX551),LN(AV550:AX550)),1,2))</f>
        <v>0.62907165538327747</v>
      </c>
      <c r="AO551" s="82">
        <f>INDEX(LINEST((AV551:AX551),LN(AV550:AX550),TRUE,TRUE),3,1)</f>
        <v>0.99661476754574685</v>
      </c>
      <c r="AP551" s="82">
        <f>INDEX(LINEST((AV551:AX551),LN(AV550:AX550)),1)</f>
        <v>-2.5547423969272211E-2</v>
      </c>
      <c r="AQ551" s="83">
        <f>INDEX(LINEST(LN(AV551:AX551),SQRT(AV550:AX550),TRUE,TRUE),3,1)</f>
        <v>0.88013920991894701</v>
      </c>
      <c r="AR551" s="116">
        <f>INDEX(LINEST(LN(AV551:AX551),SQRT((AV550:AX550))),1)</f>
        <v>-1.0872846291063278E-3</v>
      </c>
      <c r="AS551" s="84">
        <f>INDEX(LINEST(1/(AV551:AX551),1/(SQRT(AV550:AX550)),TRUE,TRUE),3,1)</f>
        <v>0.96664328110153963</v>
      </c>
      <c r="AT551" s="84">
        <f>INDEX(LINEST(1/(AV551:AX551),1/SQRT(AV550:AX550)),1)</f>
        <v>-59.83458522651182</v>
      </c>
      <c r="AU551" s="4"/>
      <c r="AV551" s="11">
        <v>0.34</v>
      </c>
      <c r="AW551" s="11">
        <v>0.17</v>
      </c>
      <c r="AX551" s="11">
        <v>0.15</v>
      </c>
      <c r="AY551" s="11"/>
      <c r="AZ551" s="11"/>
      <c r="BA551" s="11"/>
      <c r="BB551" s="11"/>
      <c r="BC551" s="11"/>
      <c r="BD551" s="11"/>
      <c r="BE551" s="11"/>
      <c r="BF551" s="11"/>
      <c r="BG551" s="11"/>
      <c r="BH551" s="11"/>
      <c r="BI551" s="11"/>
      <c r="BJ551" s="11"/>
      <c r="BK551" s="11"/>
      <c r="BL551" s="11"/>
      <c r="BM551" s="11"/>
      <c r="BN551" s="11"/>
      <c r="BO551" s="11"/>
      <c r="BP551" s="11"/>
      <c r="BQ551" s="11"/>
      <c r="BR551" s="11"/>
      <c r="BS551" s="11"/>
      <c r="BT551" s="11"/>
      <c r="BU551" s="11"/>
      <c r="BV551" s="11"/>
      <c r="BW551" s="11"/>
      <c r="BX551" s="11"/>
      <c r="BY551" s="11"/>
      <c r="BZ551" s="11"/>
      <c r="CA551" s="11"/>
      <c r="CB551" s="11"/>
      <c r="CC551" s="11"/>
      <c r="CD551" s="11"/>
      <c r="CE551" s="11"/>
      <c r="CF551" s="11"/>
      <c r="CG551" s="11"/>
      <c r="CH551" s="11"/>
      <c r="CI551" s="11"/>
      <c r="CJ551" s="11"/>
      <c r="CK551" s="11"/>
      <c r="CL551" s="11"/>
      <c r="CM551" s="11"/>
      <c r="CN551" s="11"/>
      <c r="CO551" s="11"/>
      <c r="CP551" s="11"/>
      <c r="CQ551" s="11"/>
      <c r="CR551" s="15"/>
      <c r="CS551" s="15"/>
      <c r="CT551" s="15"/>
      <c r="CU551" s="15"/>
    </row>
    <row r="552" spans="1:99" ht="12" customHeight="1" x14ac:dyDescent="0.2">
      <c r="A552" s="65">
        <v>43648</v>
      </c>
      <c r="B552" s="15"/>
      <c r="C552" s="15"/>
      <c r="D552" s="59"/>
      <c r="E552" s="75"/>
      <c r="F552" s="59"/>
      <c r="G552" s="59"/>
      <c r="H552" s="59"/>
      <c r="I552" s="59"/>
      <c r="J552" s="59"/>
      <c r="M552" s="59"/>
      <c r="N552" s="59"/>
      <c r="O552" s="59"/>
      <c r="P552" s="59"/>
      <c r="Q552" s="59"/>
      <c r="R552" s="60"/>
      <c r="S552" s="59"/>
      <c r="T552" s="59"/>
      <c r="U552" s="60"/>
      <c r="V552" s="59"/>
      <c r="W552" s="60"/>
      <c r="X552" s="59"/>
      <c r="Y552" s="76"/>
      <c r="Z552" s="59"/>
      <c r="AA552" s="59"/>
      <c r="AB552" s="60"/>
      <c r="AC552" s="60"/>
      <c r="AD552" s="60"/>
      <c r="AE552" s="60"/>
      <c r="AF552" s="80"/>
      <c r="AG552" s="56"/>
      <c r="AH552" s="4"/>
      <c r="AI552" s="55"/>
      <c r="AJ552" s="111"/>
      <c r="AK552" s="55"/>
      <c r="AL552" s="55"/>
      <c r="AM552" s="55"/>
      <c r="AN552" s="55"/>
      <c r="AO552" s="55"/>
      <c r="AP552" s="55"/>
      <c r="AQ552" s="55"/>
      <c r="AR552" s="111"/>
      <c r="AS552" s="55"/>
      <c r="AT552" s="55"/>
      <c r="AU552" s="4"/>
      <c r="AV552" s="47">
        <f>5*60</f>
        <v>300</v>
      </c>
      <c r="AW552" s="47">
        <f>2*24*3600</f>
        <v>172800</v>
      </c>
      <c r="AX552" s="47">
        <f>1*7*24*3600</f>
        <v>604800</v>
      </c>
      <c r="AY552" s="15"/>
      <c r="AZ552" s="11"/>
      <c r="BA552" s="11"/>
      <c r="BB552" s="11"/>
      <c r="BC552" s="11"/>
      <c r="BD552" s="11"/>
      <c r="BE552" s="11"/>
      <c r="BF552" s="11"/>
      <c r="BG552" s="11"/>
      <c r="BH552" s="11"/>
      <c r="BI552" s="11"/>
      <c r="BJ552" s="11"/>
      <c r="BK552" s="11"/>
      <c r="BL552" s="11"/>
      <c r="BM552" s="11"/>
      <c r="BN552" s="11"/>
      <c r="BO552" s="11"/>
      <c r="BP552" s="11"/>
      <c r="BQ552" s="11"/>
      <c r="BR552" s="11"/>
      <c r="BS552" s="11"/>
      <c r="BT552" s="11"/>
      <c r="BU552" s="11"/>
      <c r="BV552" s="11"/>
      <c r="BW552" s="11"/>
      <c r="BX552" s="11"/>
      <c r="BY552" s="11"/>
      <c r="BZ552" s="11"/>
      <c r="CA552" s="11"/>
      <c r="CB552" s="11"/>
      <c r="CC552" s="11"/>
      <c r="CD552" s="11"/>
      <c r="CE552" s="11"/>
      <c r="CF552" s="11"/>
      <c r="CG552" s="11"/>
      <c r="CH552" s="11"/>
      <c r="CI552" s="11"/>
      <c r="CJ552" s="11"/>
      <c r="CK552" s="11"/>
      <c r="CL552" s="11"/>
      <c r="CM552" s="11"/>
      <c r="CN552" s="11"/>
      <c r="CO552" s="11"/>
      <c r="CP552" s="11"/>
      <c r="CQ552" s="11"/>
      <c r="CR552" s="15"/>
      <c r="CS552" s="15"/>
      <c r="CT552" s="15"/>
      <c r="CU552" s="15"/>
    </row>
    <row r="553" spans="1:99" ht="12" customHeight="1" x14ac:dyDescent="0.2">
      <c r="A553" s="65">
        <v>43648</v>
      </c>
      <c r="B553" s="15" t="s">
        <v>305</v>
      </c>
      <c r="C553" s="15" t="s">
        <v>877</v>
      </c>
      <c r="D553" s="59">
        <v>1978</v>
      </c>
      <c r="E553" s="75">
        <v>1</v>
      </c>
      <c r="F553" s="59">
        <v>108</v>
      </c>
      <c r="G553" s="59">
        <v>36</v>
      </c>
      <c r="H553" s="59" t="s">
        <v>227</v>
      </c>
      <c r="I553" s="59" t="s">
        <v>701</v>
      </c>
      <c r="J553" s="59" t="s">
        <v>677</v>
      </c>
      <c r="K553" s="60">
        <f>IF(J553="syllables",1,IF(J553="trigrams",2,IF(J553="strings",3,IF(J553="visual array",4,IF(J553="characters",5,IF(J553="letters",6,IF(J553="free forms",7,IF(J553="odors",8,IF(J553="words",9,IF(J553="pictures",10,IF(J553="object pictures",11,IF(J553="faces",12,IF(J553="names",13,IF(J553="idioms",14,IF(J553="grades",15,IF(J553="syllable-digit pairs",16,IF(J553="trigram-word pairs",17,IF(J553="word-digit pairs",18,IF(J553="English-Swahili pairs",19,IF(J553="spatial position",20,IF(J553="word pairs",21,IF(J553="word triads",22,IF(J553="generated words",23,IF(J553="word definition pairs",24,IF(J553="math problems",25,IF(J553="famous faces",26,IF(J553="famous names",27,IF(J553="famous voices",28,IF(J553="television programs",29,IF(J553="race horses",30,IF(J553="new vocabulary",31,IF(J553="sentences",32,IF(J553="concepts",33,IF(J553="ad slides",34,IF(J553="scenes",35,IF(J553="famous scenes",36,IF(J553="poems",37,IF(J553="walk",38,IF(J553="faces and events",39,IF(J553="events and names",40,IF(J553="flashbulb",41,IF(J553="stories",42,IF(J553="course material",43,IF(J553="autobiographical",44,IF(J553="novels",45,IF(J553="public events",46,"99"))))))))))))))))))))))))))))))))))))))))))))))</f>
        <v>42</v>
      </c>
      <c r="L553" s="60">
        <f>IF(J553="syllables",1,IF(J553="trigrams",1,IF(J553="strings",1,IF(J553="visual array",1,IF(J553="characters",1,IF(J553="letters",1,IF(J553="free forms",1,IF(J553="odors",2,IF(J553="words",2,IF(J553="pictures",2,IF(J553="object pictures",2,IF(J553="faces",2,IF(J553="names",2,IF(J553="idioms","2",IF(J553="grades",2,IF(J553="syllable-digit pairs",3,IF(J553="trigram-word pairs",3,IF(J553="word-digit pairs",3,IF(J553="English-Swahili pairs",3,IF(J553="spatial position",3,IF(J553="word pairs",4,IF(J553="word triads",4,IF(J553="generated words",4,IF(J553="word definition pairs",4,IF(J553="math problems",4,IF(J553="famous faces",4,IF(J553="famous names",4,IF(J553="famous voices",4,IF(J553="television programs",4,IF(J553="race horses",4,IF(J553="new vocabulary",4,IF(J553="sentences",5,IF(J553="concepts",5,IF(J553="ad slides",5,IF(J553="scenes",5,IF(J553="famous scenes",5,IF(J553="poems",6,IF(J553="walk",6,IF(J553="faces and events",6,IF(J553="events and names",6,IF(J553="flashbulb",7,IF(J553="stories",7,IF(J553="course material",7,IF(J553="autobiographical",7,IF(J553="novels",7,IF(J553="public events",7,"99"))))))))))))))))))))))))))))))))))))))))))))))</f>
        <v>7</v>
      </c>
      <c r="M553" s="59">
        <v>0</v>
      </c>
      <c r="N553" s="59">
        <v>3</v>
      </c>
      <c r="O553" s="59">
        <v>0</v>
      </c>
      <c r="P553" s="59"/>
      <c r="Q553" s="59" t="s">
        <v>174</v>
      </c>
      <c r="R553" s="60">
        <f>IF(Q553="Free Recall",1,IF(Q553="Cued Recall",2,IF(Q553="Recognition",3,IF(Q553="Multiple Choice",4,IF(Q553="Savings",5,IF(Q553="Stem Completion",6,IF(Q553="Fragment Completion",7,IF(Q553="anagram solution",8,IF(Q553="Matching",9,IF(Q553="Problem Solving",10,"99"))))))))))</f>
        <v>1</v>
      </c>
      <c r="S553" s="59" t="s">
        <v>314</v>
      </c>
      <c r="T553" s="59" t="s">
        <v>261</v>
      </c>
      <c r="U553" s="60">
        <f>IF(T553="within",1,0)</f>
        <v>0</v>
      </c>
      <c r="V553" s="59">
        <v>39.5</v>
      </c>
      <c r="W553" s="60">
        <f>F553*V553</f>
        <v>4266</v>
      </c>
      <c r="X553" s="59">
        <v>3</v>
      </c>
      <c r="Y553" s="76">
        <f>AV552</f>
        <v>300</v>
      </c>
      <c r="Z553" s="59" t="s">
        <v>150</v>
      </c>
      <c r="AA553" s="59">
        <f>1*7*24*3600</f>
        <v>604800</v>
      </c>
      <c r="AB553" s="60" t="str">
        <f>IF(AA553&lt;60,"1",IF(AA553&lt;=43200,"2",IF(AA553&lt;=777600,"3","4")))</f>
        <v>3</v>
      </c>
      <c r="AC553" s="56">
        <f>AVERAGE(AV552:DA552)</f>
        <v>259300</v>
      </c>
      <c r="AD553" s="60" t="str">
        <f>IF(AC553&lt;60,"1",IF(AC553&lt;=43200,"2",IF(AC553&lt;=777600,"3","4")))</f>
        <v>3</v>
      </c>
      <c r="AE553" s="76">
        <f>AA553-Y553</f>
        <v>604500</v>
      </c>
      <c r="AF553" s="80">
        <f>AV553</f>
        <v>0.35</v>
      </c>
      <c r="AG553" s="56">
        <f>((AW553-AV553)+(AX553-AW553))/2</f>
        <v>-4.4999999999999984E-2</v>
      </c>
      <c r="AH553" s="4"/>
      <c r="AI553" s="56">
        <f>RSQ(AV553:AX553,AV552:AX552)</f>
        <v>0.96833922959987084</v>
      </c>
      <c r="AJ553" s="109">
        <f>SLOPE(AV553:AX553,AV552:AX552)</f>
        <v>-1.4249729933198748E-7</v>
      </c>
      <c r="AK553" s="56">
        <f>INTERCEPT(AV553:AX553,AV552:AX552)</f>
        <v>0.34361621638345097</v>
      </c>
      <c r="AL553" s="56">
        <f>INDEX(LINEST(LN(AV553:AX553),LN(AV552:AX552),TRUE,TRUE),3,1)</f>
        <v>0.79086345028697957</v>
      </c>
      <c r="AM553" s="56">
        <f>INDEX(LINEST(LN(AV553:AX553),LN(AV552:AX552)),1)</f>
        <v>-3.2578970418358659E-2</v>
      </c>
      <c r="AN553" s="56">
        <f>EXP(INDEX(LINEST(LN(AV553:AX553),LN(AV552:AX552)),1,2))</f>
        <v>0.42661156969242486</v>
      </c>
      <c r="AO553" s="82">
        <f>INDEX(LINEST((AV553:AX553),LN(AV552:AX552),TRUE,TRUE),3,1)</f>
        <v>0.82354634159776308</v>
      </c>
      <c r="AP553" s="82">
        <f>INDEX(LINEST((AV553:AX553),LN(AV552:AX552)),1)</f>
        <v>-1.0030406145695794E-2</v>
      </c>
      <c r="AQ553" s="83">
        <f>INDEX(LINEST(LN(AV553:AX553),SQRT(AV552:AX552),TRUE,TRUE),3,1)</f>
        <v>0.98238027227195956</v>
      </c>
      <c r="AR553" s="116">
        <f>INDEX(LINEST(LN(AV553:AX553),SQRT((AV552:AX552))),1)</f>
        <v>-3.8949023589667723E-4</v>
      </c>
      <c r="AS553" s="84">
        <f>INDEX(LINEST(1/(AV553:AX553),1/(SQRT(AV552:AX552)),TRUE,TRUE),3,1)</f>
        <v>0.63169594174210242</v>
      </c>
      <c r="AT553" s="84">
        <f>INDEX(LINEST(1/(AV553:AX553),1/SQRT(AV552:AX552)),1)</f>
        <v>-12.309190994280446</v>
      </c>
      <c r="AU553" s="4"/>
      <c r="AV553" s="11">
        <v>0.35</v>
      </c>
      <c r="AW553" s="11">
        <v>0.31</v>
      </c>
      <c r="AX553" s="11">
        <v>0.26</v>
      </c>
      <c r="AY553" s="11"/>
      <c r="AZ553" s="11"/>
      <c r="BA553" s="11"/>
      <c r="BB553" s="11"/>
      <c r="BC553" s="11"/>
      <c r="BD553" s="11"/>
      <c r="BE553" s="11"/>
      <c r="BF553" s="11"/>
      <c r="BG553" s="11"/>
      <c r="BH553" s="11"/>
      <c r="BI553" s="11"/>
      <c r="BJ553" s="11"/>
      <c r="BK553" s="11"/>
      <c r="BL553" s="11"/>
      <c r="BM553" s="11"/>
      <c r="BN553" s="11"/>
      <c r="BO553" s="11"/>
      <c r="BP553" s="11"/>
      <c r="BQ553" s="11"/>
      <c r="BR553" s="11"/>
      <c r="BS553" s="11"/>
      <c r="BT553" s="11"/>
      <c r="BU553" s="11"/>
      <c r="BV553" s="11"/>
      <c r="BW553" s="11"/>
      <c r="BX553" s="11"/>
      <c r="BY553" s="11"/>
      <c r="BZ553" s="11"/>
      <c r="CA553" s="11"/>
      <c r="CB553" s="11"/>
      <c r="CC553" s="11"/>
      <c r="CD553" s="11"/>
      <c r="CE553" s="11"/>
      <c r="CF553" s="11"/>
      <c r="CG553" s="11"/>
      <c r="CH553" s="11"/>
      <c r="CI553" s="11"/>
      <c r="CJ553" s="11"/>
      <c r="CK553" s="11"/>
      <c r="CL553" s="11"/>
      <c r="CM553" s="11"/>
      <c r="CN553" s="11"/>
      <c r="CO553" s="11"/>
      <c r="CP553" s="11"/>
      <c r="CQ553" s="11"/>
      <c r="CR553" s="15"/>
      <c r="CS553" s="15"/>
      <c r="CT553" s="15"/>
      <c r="CU553" s="15"/>
    </row>
    <row r="554" spans="1:99" s="13" customFormat="1" ht="12" customHeight="1" x14ac:dyDescent="0.2">
      <c r="A554" s="68">
        <v>43509</v>
      </c>
      <c r="B554" s="70"/>
      <c r="C554" s="70"/>
      <c r="D554" s="69"/>
      <c r="E554" s="87"/>
      <c r="F554" s="69"/>
      <c r="G554" s="69"/>
      <c r="H554" s="69"/>
      <c r="I554" s="69"/>
      <c r="J554" s="69"/>
      <c r="K554" s="107"/>
      <c r="L554" s="107"/>
      <c r="M554" s="69"/>
      <c r="N554" s="69"/>
      <c r="O554" s="69"/>
      <c r="P554" s="69"/>
      <c r="Q554" s="69"/>
      <c r="R554" s="69"/>
      <c r="S554" s="69"/>
      <c r="T554" s="69"/>
      <c r="U554" s="69"/>
      <c r="V554" s="69"/>
      <c r="W554" s="69"/>
      <c r="X554" s="69"/>
      <c r="Y554" s="87"/>
      <c r="Z554" s="69"/>
      <c r="AA554" s="69"/>
      <c r="AB554" s="69"/>
      <c r="AC554" s="69"/>
      <c r="AD554" s="69"/>
      <c r="AE554" s="69"/>
      <c r="AF554" s="88"/>
      <c r="AG554" s="72"/>
      <c r="AH554" s="4"/>
      <c r="AI554" s="72"/>
      <c r="AJ554" s="110"/>
      <c r="AK554" s="72"/>
      <c r="AL554" s="72"/>
      <c r="AM554" s="72"/>
      <c r="AN554" s="72"/>
      <c r="AO554" s="72"/>
      <c r="AP554" s="72"/>
      <c r="AQ554" s="72"/>
      <c r="AR554" s="110"/>
      <c r="AS554" s="72"/>
      <c r="AT554" s="72"/>
      <c r="AU554" s="5"/>
      <c r="AV554" s="71">
        <v>62</v>
      </c>
      <c r="AW554" s="71">
        <f>3600*1</f>
        <v>3600</v>
      </c>
      <c r="AX554" s="71">
        <f>3600*24</f>
        <v>86400</v>
      </c>
      <c r="AY554" s="42" t="s">
        <v>514</v>
      </c>
      <c r="AZ554" s="46"/>
      <c r="BA554" s="42"/>
      <c r="BB554" s="4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1"/>
      <c r="CS554" s="1"/>
      <c r="CT554" s="1"/>
      <c r="CU554" s="1"/>
    </row>
    <row r="555" spans="1:99" s="13" customFormat="1" ht="12" customHeight="1" x14ac:dyDescent="0.2">
      <c r="A555" s="68">
        <v>43509</v>
      </c>
      <c r="B555" s="70" t="s">
        <v>80</v>
      </c>
      <c r="C555" s="70" t="s">
        <v>45</v>
      </c>
      <c r="D555" s="69">
        <v>1988</v>
      </c>
      <c r="E555" s="87">
        <v>3</v>
      </c>
      <c r="F555" s="69">
        <v>48</v>
      </c>
      <c r="G555" s="69">
        <v>16</v>
      </c>
      <c r="H555" s="69" t="s">
        <v>30</v>
      </c>
      <c r="I555" s="69" t="s">
        <v>702</v>
      </c>
      <c r="J555" s="69" t="s">
        <v>16</v>
      </c>
      <c r="K555" s="69">
        <f>IF(J555="syllables",1,IF(J555="trigrams",2,IF(J555="strings",3,IF(J555="visual array",4,IF(J555="characters",5,IF(J555="letters",6,IF(J555="free forms",7,IF(J555="odors",8,IF(J555="words",9,IF(J555="pictures",10,IF(J555="object pictures",11,IF(J555="faces",12,IF(J555="names",13,IF(J555="idioms",14,IF(J555="grades",15,IF(J555="syllable-digit pairs",16,IF(J555="trigram-word pairs",17,IF(J555="word-digit pairs",18,IF(J555="English-Swahili pairs",19,IF(J555="spatial position",20,IF(J555="word pairs",21,IF(J555="word triads",22,IF(J555="generated words",23,IF(J555="word definition pairs",24,IF(J555="math problems",25,IF(J555="famous faces",26,IF(J555="famous names",27,IF(J555="famous voices",28,IF(J555="television programs",29,IF(J555="race horses",30,IF(J555="new vocabulary",31,IF(J555="sentences",32,IF(J555="concepts",33,IF(J555="ad slides",34,IF(J555="scenes",35,IF(J555="famous scenes",36,IF(J555="poems",37,IF(J555="walk",38,IF(J555="faces and events",39,IF(J555="events and names",40,IF(J555="flashbulb",41,IF(J555="stories",42,IF(J555="course material",43,IF(J555="autobiographical",44,IF(J555="novels",45,IF(J555="public events",46,"99"))))))))))))))))))))))))))))))))))))))))))))))</f>
        <v>9</v>
      </c>
      <c r="L555" s="69">
        <f>IF(J555="syllables",1,IF(J555="trigrams",1,IF(J555="strings",1,IF(J555="visual array",1,IF(J555="characters",1,IF(J555="letters",1,IF(J555="free forms",1,IF(J555="odors",2,IF(J555="words",2,IF(J555="pictures",2,IF(J555="object pictures",2,IF(J555="faces",2,IF(J555="names",2,IF(J555="idioms","2",IF(J555="grades",2,IF(J555="syllable-digit pairs",3,IF(J555="trigram-word pairs",3,IF(J555="word-digit pairs",3,IF(J555="English-Swahili pairs",3,IF(J555="spatial position",3,IF(J555="word pairs",4,IF(J555="word triads",4,IF(J555="generated words",4,IF(J555="word definition pairs",4,IF(J555="math problems",4,IF(J555="famous faces",4,IF(J555="famous names",4,IF(J555="famous voices",4,IF(J555="television programs",4,IF(J555="race horses",4,IF(J555="new vocabulary",4,IF(J555="sentences",5,IF(J555="concepts",5,IF(J555="ad slides",5,IF(J555="scenes",5,IF(J555="famous scenes",5,IF(J555="poems",6,IF(J555="walk",6,IF(J555="faces and events",6,IF(J555="events and names",6,IF(J555="flashbulb",7,IF(J555="stories",7,IF(J555="course material",7,IF(J555="autobiographical",7,IF(J555="novels",7,IF(J555="public events",7,"99"))))))))))))))))))))))))))))))))))))))))))))))</f>
        <v>2</v>
      </c>
      <c r="M555" s="69">
        <v>0</v>
      </c>
      <c r="N555" s="69">
        <v>1</v>
      </c>
      <c r="O555" s="69">
        <v>0</v>
      </c>
      <c r="P555" s="69"/>
      <c r="Q555" s="69" t="s">
        <v>34</v>
      </c>
      <c r="R555" s="69">
        <f>IF(Q555="Free Recall",1,IF(Q555="Cued Recall",2,IF(Q555="Recognition",3,IF(Q555="Multiple Choice",4,IF(Q555="Savings",5,IF(Q555="Stem Completion",6,IF(Q555="Fragment Completion",7,IF(Q555="anagram solution",8,IF(Q555="Matching",9,IF(Q555="Problem Solving",10,"99"))))))))))</f>
        <v>3</v>
      </c>
      <c r="S555" s="69" t="s">
        <v>15</v>
      </c>
      <c r="T555" s="92" t="s">
        <v>261</v>
      </c>
      <c r="U555" s="69">
        <f>IF(T555="within",1,0)</f>
        <v>0</v>
      </c>
      <c r="V555" s="92">
        <v>27</v>
      </c>
      <c r="W555" s="69">
        <f>F555*V555</f>
        <v>1296</v>
      </c>
      <c r="X555" s="69">
        <v>3</v>
      </c>
      <c r="Y555" s="87">
        <f>AV554</f>
        <v>62</v>
      </c>
      <c r="Z555" s="69" t="s">
        <v>79</v>
      </c>
      <c r="AA555" s="69">
        <v>86400</v>
      </c>
      <c r="AB555" s="69" t="str">
        <f>IF(AA555&lt;60,"1",IF(AA555&lt;=43200,"2",IF(AA555&lt;=777600,"3","4")))</f>
        <v>3</v>
      </c>
      <c r="AC555" s="72">
        <f>AVERAGE(AV554:DA554)</f>
        <v>30020.666666666668</v>
      </c>
      <c r="AD555" s="69" t="str">
        <f>IF(AC555&lt;60,"1",IF(AC555&lt;=43200,"2",IF(AC555&lt;=777600,"3","4")))</f>
        <v>2</v>
      </c>
      <c r="AE555" s="87">
        <f>AA555-Y555</f>
        <v>86338</v>
      </c>
      <c r="AF555" s="88">
        <f>AV555</f>
        <v>0.19</v>
      </c>
      <c r="AG555" s="72">
        <f>((AW555-AV555)+(AX555-AW555))/2</f>
        <v>-2.0000000000000004E-2</v>
      </c>
      <c r="AH555" s="4"/>
      <c r="AI555" s="72">
        <f>RSQ(AV555:AX555,AV554:AX554)</f>
        <v>0.51697612761186429</v>
      </c>
      <c r="AJ555" s="110">
        <f>SLOPE(AV555:AX555,AV554:AX554)</f>
        <v>-3.0634505221253405E-7</v>
      </c>
      <c r="AK555" s="72">
        <f>INTERCEPT(AV555:AX555,AV554:AX554)</f>
        <v>0.17586334936412173</v>
      </c>
      <c r="AL555" s="72">
        <f>INDEX(LINEST(LN(AV555:AX555),LN(AV554:AX554),TRUE,TRUE),3,1)</f>
        <v>0.96580546712491144</v>
      </c>
      <c r="AM555" s="72">
        <f>INDEX(LINEST(LN(AV555:AX555),LN(AV554:AX554)),1)</f>
        <v>-3.3090854239568694E-2</v>
      </c>
      <c r="AN555" s="72">
        <f>EXP(INDEX(LINEST(LN(AV555:AX555),LN(AV554:AX554)),1,2))</f>
        <v>0.21532959310014457</v>
      </c>
      <c r="AO555" s="89">
        <f>INDEX(LINEST((AV555:AX555),LN(AV554:AX554),TRUE,TRUE),3,1)</f>
        <v>0.95626145781781069</v>
      </c>
      <c r="AP555" s="89">
        <f>INDEX(LINEST((AV555:AX555),LN(AV554:AX554)),1)</f>
        <v>-5.6096912191106619E-3</v>
      </c>
      <c r="AQ555" s="90">
        <f>INDEX(LINEST(LN(AV555:AX555),SQRT(AV554:AX554),TRUE,TRUE),3,1)</f>
        <v>0.67368194987615038</v>
      </c>
      <c r="AR555" s="117">
        <f>INDEX(LINEST(LN(AV555:AX555),SQRT((AV554:AX554))),1)</f>
        <v>-6.5824284053739236E-4</v>
      </c>
      <c r="AS555" s="91">
        <f>INDEX(LINEST(1/(AV555:AX555),1/(SQRT(AV554:AX554)),TRUE,TRUE),3,1)</f>
        <v>0.9623341744536309</v>
      </c>
      <c r="AT555" s="91">
        <f>INDEX(LINEST(1/(AV555:AX555),1/SQRT(AV554:AX554)),1)</f>
        <v>-10.420639986897124</v>
      </c>
      <c r="AU555" s="3"/>
      <c r="AV555" s="73">
        <v>0.19</v>
      </c>
      <c r="AW555" s="73">
        <v>0.16</v>
      </c>
      <c r="AX555" s="73">
        <v>0.15</v>
      </c>
      <c r="AY555" s="42"/>
      <c r="AZ555" s="46"/>
      <c r="BA555" s="42"/>
      <c r="BB555" s="4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1"/>
      <c r="CS555" s="1"/>
      <c r="CT555" s="1"/>
      <c r="CU555" s="1"/>
    </row>
    <row r="556" spans="1:99" s="13" customFormat="1" ht="12" customHeight="1" x14ac:dyDescent="0.2">
      <c r="A556" s="68">
        <v>43509</v>
      </c>
      <c r="B556" s="70"/>
      <c r="C556" s="70"/>
      <c r="D556" s="69"/>
      <c r="E556" s="87"/>
      <c r="F556" s="69"/>
      <c r="G556" s="69"/>
      <c r="H556" s="69"/>
      <c r="I556" s="69"/>
      <c r="J556" s="69"/>
      <c r="K556" s="107"/>
      <c r="L556" s="107"/>
      <c r="M556" s="69"/>
      <c r="N556" s="69"/>
      <c r="O556" s="69"/>
      <c r="P556" s="69"/>
      <c r="Q556" s="69"/>
      <c r="R556" s="69"/>
      <c r="S556" s="69"/>
      <c r="T556" s="69"/>
      <c r="U556" s="69"/>
      <c r="V556" s="69"/>
      <c r="W556" s="69"/>
      <c r="X556" s="69"/>
      <c r="Y556" s="87"/>
      <c r="Z556" s="69"/>
      <c r="AA556" s="69"/>
      <c r="AB556" s="69"/>
      <c r="AC556" s="69"/>
      <c r="AD556" s="69"/>
      <c r="AE556" s="69"/>
      <c r="AF556" s="88"/>
      <c r="AG556" s="72"/>
      <c r="AH556" s="4"/>
      <c r="AI556" s="72"/>
      <c r="AJ556" s="110"/>
      <c r="AK556" s="72"/>
      <c r="AL556" s="72"/>
      <c r="AM556" s="72"/>
      <c r="AN556" s="72"/>
      <c r="AO556" s="72"/>
      <c r="AP556" s="72"/>
      <c r="AQ556" s="72"/>
      <c r="AR556" s="110"/>
      <c r="AS556" s="72"/>
      <c r="AT556" s="72"/>
      <c r="AU556" s="5"/>
      <c r="AV556" s="71">
        <v>62</v>
      </c>
      <c r="AW556" s="71">
        <f>3600*1</f>
        <v>3600</v>
      </c>
      <c r="AX556" s="71">
        <f>3600*24</f>
        <v>86400</v>
      </c>
      <c r="AY556" s="42"/>
      <c r="AZ556" s="46"/>
      <c r="BA556" s="42"/>
      <c r="BB556" s="42"/>
      <c r="BC556" s="39"/>
      <c r="BD556" s="39"/>
      <c r="BE556" s="39"/>
      <c r="BF556" s="39"/>
      <c r="BG556" s="39"/>
      <c r="BH556" s="39"/>
      <c r="BI556" s="39"/>
      <c r="BJ556" s="39"/>
      <c r="BK556" s="39"/>
      <c r="BL556" s="39"/>
      <c r="BM556" s="39"/>
      <c r="BN556" s="39"/>
      <c r="BO556" s="39"/>
      <c r="BP556" s="39"/>
      <c r="BQ556" s="39"/>
      <c r="BR556" s="39"/>
      <c r="BS556" s="39"/>
      <c r="BT556" s="39"/>
      <c r="BU556" s="39"/>
      <c r="BV556" s="39"/>
      <c r="BW556" s="39"/>
      <c r="BX556" s="39"/>
      <c r="BY556" s="39"/>
      <c r="BZ556" s="39"/>
      <c r="CA556" s="39"/>
      <c r="CB556" s="39"/>
      <c r="CC556" s="39"/>
      <c r="CD556" s="39"/>
      <c r="CE556" s="39"/>
      <c r="CF556" s="39"/>
      <c r="CG556" s="39"/>
      <c r="CH556" s="39"/>
      <c r="CI556" s="39"/>
      <c r="CJ556" s="39"/>
      <c r="CK556" s="39"/>
      <c r="CL556" s="39"/>
      <c r="CM556" s="39"/>
      <c r="CN556" s="39"/>
      <c r="CO556" s="39"/>
      <c r="CP556" s="39"/>
      <c r="CQ556" s="39"/>
      <c r="CR556" s="1"/>
      <c r="CS556" s="1"/>
      <c r="CT556" s="1"/>
      <c r="CU556" s="1"/>
    </row>
    <row r="557" spans="1:99" s="13" customFormat="1" ht="12" customHeight="1" x14ac:dyDescent="0.2">
      <c r="A557" s="68">
        <v>43509</v>
      </c>
      <c r="B557" s="70" t="s">
        <v>80</v>
      </c>
      <c r="C557" s="70" t="s">
        <v>45</v>
      </c>
      <c r="D557" s="69">
        <v>1988</v>
      </c>
      <c r="E557" s="87">
        <v>3</v>
      </c>
      <c r="F557" s="69">
        <v>48</v>
      </c>
      <c r="G557" s="69">
        <v>16</v>
      </c>
      <c r="H557" s="69" t="s">
        <v>30</v>
      </c>
      <c r="I557" s="69" t="s">
        <v>703</v>
      </c>
      <c r="J557" s="69" t="s">
        <v>16</v>
      </c>
      <c r="K557" s="69">
        <f>IF(J557="syllables",1,IF(J557="trigrams",2,IF(J557="strings",3,IF(J557="visual array",4,IF(J557="characters",5,IF(J557="letters",6,IF(J557="free forms",7,IF(J557="odors",8,IF(J557="words",9,IF(J557="pictures",10,IF(J557="object pictures",11,IF(J557="faces",12,IF(J557="names",13,IF(J557="idioms",14,IF(J557="grades",15,IF(J557="syllable-digit pairs",16,IF(J557="trigram-word pairs",17,IF(J557="word-digit pairs",18,IF(J557="English-Swahili pairs",19,IF(J557="spatial position",20,IF(J557="word pairs",21,IF(J557="word triads",22,IF(J557="generated words",23,IF(J557="word definition pairs",24,IF(J557="math problems",25,IF(J557="famous faces",26,IF(J557="famous names",27,IF(J557="famous voices",28,IF(J557="television programs",29,IF(J557="race horses",30,IF(J557="new vocabulary",31,IF(J557="sentences",32,IF(J557="concepts",33,IF(J557="ad slides",34,IF(J557="scenes",35,IF(J557="famous scenes",36,IF(J557="poems",37,IF(J557="walk",38,IF(J557="faces and events",39,IF(J557="events and names",40,IF(J557="flashbulb",41,IF(J557="stories",42,IF(J557="course material",43,IF(J557="autobiographical",44,IF(J557="novels",45,IF(J557="public events",46,"99"))))))))))))))))))))))))))))))))))))))))))))))</f>
        <v>9</v>
      </c>
      <c r="L557" s="69">
        <f>IF(J557="syllables",1,IF(J557="trigrams",1,IF(J557="strings",1,IF(J557="visual array",1,IF(J557="characters",1,IF(J557="letters",1,IF(J557="free forms",1,IF(J557="odors",2,IF(J557="words",2,IF(J557="pictures",2,IF(J557="object pictures",2,IF(J557="faces",2,IF(J557="names",2,IF(J557="idioms","2",IF(J557="grades",2,IF(J557="syllable-digit pairs",3,IF(J557="trigram-word pairs",3,IF(J557="word-digit pairs",3,IF(J557="English-Swahili pairs",3,IF(J557="spatial position",3,IF(J557="word pairs",4,IF(J557="word triads",4,IF(J557="generated words",4,IF(J557="word definition pairs",4,IF(J557="math problems",4,IF(J557="famous faces",4,IF(J557="famous names",4,IF(J557="famous voices",4,IF(J557="television programs",4,IF(J557="race horses",4,IF(J557="new vocabulary",4,IF(J557="sentences",5,IF(J557="concepts",5,IF(J557="ad slides",5,IF(J557="scenes",5,IF(J557="famous scenes",5,IF(J557="poems",6,IF(J557="walk",6,IF(J557="faces and events",6,IF(J557="events and names",6,IF(J557="flashbulb",7,IF(J557="stories",7,IF(J557="course material",7,IF(J557="autobiographical",7,IF(J557="novels",7,IF(J557="public events",7,"99"))))))))))))))))))))))))))))))))))))))))))))))</f>
        <v>2</v>
      </c>
      <c r="M557" s="69">
        <v>0</v>
      </c>
      <c r="N557" s="69">
        <v>1</v>
      </c>
      <c r="O557" s="69">
        <v>0</v>
      </c>
      <c r="P557" s="69"/>
      <c r="Q557" s="69" t="s">
        <v>34</v>
      </c>
      <c r="R557" s="69">
        <f>IF(Q557="Free Recall",1,IF(Q557="Cued Recall",2,IF(Q557="Recognition",3,IF(Q557="Multiple Choice",4,IF(Q557="Savings",5,IF(Q557="Stem Completion",6,IF(Q557="Fragment Completion",7,IF(Q557="anagram solution",8,IF(Q557="Matching",9,IF(Q557="Problem Solving",10,"99"))))))))))</f>
        <v>3</v>
      </c>
      <c r="S557" s="69" t="s">
        <v>15</v>
      </c>
      <c r="T557" s="92" t="s">
        <v>261</v>
      </c>
      <c r="U557" s="69">
        <f>IF(T557="within",1,0)</f>
        <v>0</v>
      </c>
      <c r="V557" s="92">
        <v>27</v>
      </c>
      <c r="W557" s="69">
        <f>F557*V557</f>
        <v>1296</v>
      </c>
      <c r="X557" s="69">
        <v>3</v>
      </c>
      <c r="Y557" s="87">
        <f>AV556</f>
        <v>62</v>
      </c>
      <c r="Z557" s="69" t="s">
        <v>79</v>
      </c>
      <c r="AA557" s="69">
        <v>86400</v>
      </c>
      <c r="AB557" s="69" t="str">
        <f>IF(AA557&lt;60,"1",IF(AA557&lt;=43200,"2",IF(AA557&lt;=777600,"3","4")))</f>
        <v>3</v>
      </c>
      <c r="AC557" s="72">
        <f>AVERAGE(AV556:DA556)</f>
        <v>30020.666666666668</v>
      </c>
      <c r="AD557" s="69" t="str">
        <f>IF(AC557&lt;60,"1",IF(AC557&lt;=43200,"2",IF(AC557&lt;=777600,"3","4")))</f>
        <v>2</v>
      </c>
      <c r="AE557" s="87">
        <f>AA557-Y557</f>
        <v>86338</v>
      </c>
      <c r="AF557" s="88">
        <f>AV557</f>
        <v>0.87</v>
      </c>
      <c r="AG557" s="72">
        <f>((AW557-AV557)+(AX557-AW557))/2</f>
        <v>-9.2499999999999971E-2</v>
      </c>
      <c r="AH557" s="4"/>
      <c r="AI557" s="72">
        <f>RSQ(AV557:AX557,AV556:AX556)</f>
        <v>0.62663171455654709</v>
      </c>
      <c r="AJ557" s="110">
        <f>SLOPE(AV557:AX557,AV556:AX556)</f>
        <v>-1.5206092685375515E-6</v>
      </c>
      <c r="AK557" s="72">
        <f>INTERCEPT(AV557:AX557,AV556:AX556)</f>
        <v>0.81398303731434307</v>
      </c>
      <c r="AL557" s="72">
        <f>INDEX(LINEST(LN(AV557:AX557),LN(AV556:AX556),TRUE,TRUE),3,1)</f>
        <v>0.99534724051545453</v>
      </c>
      <c r="AM557" s="72">
        <f>INDEX(LINEST(LN(AV557:AX557),LN(AV556:AX556)),1)</f>
        <v>-3.3182958324869442E-2</v>
      </c>
      <c r="AN557" s="72">
        <f>EXP(INDEX(LINEST(LN(AV557:AX557),LN(AV556:AX556)),1,2))</f>
        <v>0.99354659176369842</v>
      </c>
      <c r="AO557" s="89">
        <f>INDEX(LINEST((AV557:AX557),LN(AV556:AX556),TRUE,TRUE),3,1)</f>
        <v>0.99010343789232269</v>
      </c>
      <c r="AP557" s="89">
        <f>INDEX(LINEST((AV557:AX557),LN(AV556:AX556)),1)</f>
        <v>-2.5735151941111076E-2</v>
      </c>
      <c r="AQ557" s="90">
        <f>INDEX(LINEST(LN(AV557:AX557),SQRT(AV556:AX556),TRUE,TRUE),3,1)</f>
        <v>0.77826621875707014</v>
      </c>
      <c r="AR557" s="117">
        <f>INDEX(LINEST(LN(AV557:AX557),SQRT((AV556:AX556))),1)</f>
        <v>-6.9885555695927749E-4</v>
      </c>
      <c r="AS557" s="91">
        <f>INDEX(LINEST(1/(AV557:AX557),1/(SQRT(AV556:AX556)),TRUE,TRUE),3,1)</f>
        <v>0.90142309442504909</v>
      </c>
      <c r="AT557" s="91">
        <f>INDEX(LINEST(1/(AV557:AX557),1/SQRT(AV556:AX556)),1)</f>
        <v>-2.1841040687571627</v>
      </c>
      <c r="AU557" s="3"/>
      <c r="AV557" s="73">
        <v>0.87</v>
      </c>
      <c r="AW557" s="73">
        <v>0.75</v>
      </c>
      <c r="AX557" s="73">
        <v>0.68500000000000005</v>
      </c>
      <c r="AY557" s="42"/>
      <c r="AZ557" s="46"/>
      <c r="BA557" s="42"/>
      <c r="BB557" s="42"/>
      <c r="BC557" s="39"/>
      <c r="BD557" s="39"/>
      <c r="BE557" s="39"/>
      <c r="BF557" s="39"/>
      <c r="BG557" s="39"/>
      <c r="BH557" s="39"/>
      <c r="BI557" s="39"/>
      <c r="BJ557" s="39"/>
      <c r="BK557" s="39"/>
      <c r="BL557" s="39"/>
      <c r="BM557" s="39"/>
      <c r="BN557" s="39"/>
      <c r="BO557" s="39"/>
      <c r="BP557" s="39"/>
      <c r="BQ557" s="39"/>
      <c r="BR557" s="39"/>
      <c r="BS557" s="39"/>
      <c r="BT557" s="39"/>
      <c r="BU557" s="39"/>
      <c r="BV557" s="39"/>
      <c r="BW557" s="39"/>
      <c r="BX557" s="39"/>
      <c r="BY557" s="39"/>
      <c r="BZ557" s="39"/>
      <c r="CA557" s="39"/>
      <c r="CB557" s="39"/>
      <c r="CC557" s="39"/>
      <c r="CD557" s="39"/>
      <c r="CE557" s="39"/>
      <c r="CF557" s="39"/>
      <c r="CG557" s="39"/>
      <c r="CH557" s="39"/>
      <c r="CI557" s="39"/>
      <c r="CJ557" s="39"/>
      <c r="CK557" s="39"/>
      <c r="CL557" s="39"/>
      <c r="CM557" s="39"/>
      <c r="CN557" s="39"/>
      <c r="CO557" s="39"/>
      <c r="CP557" s="39"/>
      <c r="CQ557" s="39"/>
      <c r="CR557" s="1"/>
      <c r="CS557" s="1"/>
      <c r="CT557" s="1"/>
      <c r="CU557" s="1"/>
    </row>
    <row r="558" spans="1:99" s="13" customFormat="1" ht="12" customHeight="1" x14ac:dyDescent="0.2">
      <c r="A558" s="65">
        <v>43509</v>
      </c>
      <c r="B558" s="1"/>
      <c r="C558" s="1"/>
      <c r="D558" s="60"/>
      <c r="E558" s="190"/>
      <c r="F558" s="60"/>
      <c r="G558" s="60"/>
      <c r="H558" s="60"/>
      <c r="I558" s="61"/>
      <c r="J558" s="60"/>
      <c r="K558" s="64"/>
      <c r="L558" s="64"/>
      <c r="M558" s="60"/>
      <c r="N558" s="60"/>
      <c r="O558" s="60"/>
      <c r="P558" s="60"/>
      <c r="Q558" s="60"/>
      <c r="R558" s="60"/>
      <c r="S558" s="60"/>
      <c r="T558" s="60"/>
      <c r="U558" s="60"/>
      <c r="V558" s="60"/>
      <c r="W558" s="60"/>
      <c r="X558" s="60"/>
      <c r="Y558" s="76"/>
      <c r="Z558" s="60"/>
      <c r="AA558" s="60"/>
      <c r="AB558" s="60"/>
      <c r="AC558" s="60"/>
      <c r="AD558" s="60"/>
      <c r="AE558" s="60"/>
      <c r="AF558" s="80"/>
      <c r="AG558" s="56"/>
      <c r="AH558" s="4"/>
      <c r="AI558" s="56"/>
      <c r="AJ558" s="109"/>
      <c r="AK558" s="56"/>
      <c r="AL558" s="56"/>
      <c r="AM558" s="56"/>
      <c r="AN558" s="56"/>
      <c r="AO558" s="56"/>
      <c r="AP558" s="56"/>
      <c r="AQ558" s="56"/>
      <c r="AR558" s="109"/>
      <c r="AS558" s="56"/>
      <c r="AT558" s="56"/>
      <c r="AU558" s="4"/>
      <c r="AV558" s="25">
        <v>3</v>
      </c>
      <c r="AW558" s="25">
        <v>9</v>
      </c>
      <c r="AX558" s="25">
        <v>18</v>
      </c>
      <c r="AY558" s="25">
        <v>27</v>
      </c>
      <c r="AZ558" s="46"/>
      <c r="BA558" s="42"/>
      <c r="BB558" s="4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1"/>
      <c r="CS558" s="1"/>
      <c r="CT558" s="1"/>
      <c r="CU558" s="1"/>
    </row>
    <row r="559" spans="1:99" s="13" customFormat="1" ht="12" customHeight="1" x14ac:dyDescent="0.2">
      <c r="A559" s="65">
        <v>43509</v>
      </c>
      <c r="B559" s="1" t="s">
        <v>243</v>
      </c>
      <c r="C559" s="1" t="s">
        <v>19</v>
      </c>
      <c r="D559" s="60">
        <v>1962</v>
      </c>
      <c r="E559" s="76">
        <v>1</v>
      </c>
      <c r="F559" s="60">
        <v>25</v>
      </c>
      <c r="G559" s="60">
        <v>25</v>
      </c>
      <c r="H559" s="60" t="s">
        <v>22</v>
      </c>
      <c r="I559" s="60" t="s">
        <v>21</v>
      </c>
      <c r="J559" s="60" t="s">
        <v>443</v>
      </c>
      <c r="K559" s="60">
        <f>IF(J559="syllables",1,IF(J559="trigrams",2,IF(J559="strings",3,IF(J559="visual array",4,IF(J559="characters",5,IF(J559="letters",6,IF(J559="free forms",7,IF(J559="odors",8,IF(J559="words",9,IF(J559="pictures",10,IF(J559="object pictures",11,IF(J559="faces",12,IF(J559="names",13,IF(J559="idioms",14,IF(J559="grades",15,IF(J559="syllable-digit pairs",16,IF(J559="trigram-word pairs",17,IF(J559="word-digit pairs",18,IF(J559="English-Swahili pairs",19,IF(J559="spatial position",20,IF(J559="word pairs",21,IF(J559="word triads",22,IF(J559="generated words",23,IF(J559="word definition pairs",24,IF(J559="math problems",25,IF(J559="famous faces",26,IF(J559="famous names",27,IF(J559="famous voices",28,IF(J559="television programs",29,IF(J559="race horses",30,IF(J559="new vocabulary",31,IF(J559="sentences",32,IF(J559="concepts",33,IF(J559="ad slides",34,IF(J559="scenes",35,IF(J559="famous scenes",36,IF(J559="poems",37,IF(J559="walk",38,IF(J559="faces and events",39,IF(J559="events and names",40,IF(J559="flashbulb",41,IF(J559="stories",42,IF(J559="course material",43,IF(J559="autobiographical",44,IF(J559="novels",45,IF(J559="public events",46,"99"))))))))))))))))))))))))))))))))))))))))))))))</f>
        <v>2</v>
      </c>
      <c r="L559" s="60">
        <f>IF(J559="syllables",1,IF(J559="trigrams",1,IF(J559="strings",1,IF(J559="visual array",1,IF(J559="characters",1,IF(J559="letters",1,IF(J559="free forms",1,IF(J559="odors",2,IF(J559="words",2,IF(J559="pictures",2,IF(J559="object pictures",2,IF(J559="faces",2,IF(J559="names",2,IF(J559="idioms","2",IF(J559="grades",2,IF(J559="syllable-digit pairs",3,IF(J559="trigram-word pairs",3,IF(J559="word-digit pairs",3,IF(J559="English-Swahili pairs",3,IF(J559="spatial position",3,IF(J559="word pairs",4,IF(J559="word triads",4,IF(J559="generated words",4,IF(J559="word definition pairs",4,IF(J559="math problems",4,IF(J559="famous faces",4,IF(J559="famous names",4,IF(J559="famous voices",4,IF(J559="television programs",4,IF(J559="race horses",4,IF(J559="new vocabulary",4,IF(J559="sentences",5,IF(J559="concepts",5,IF(J559="ad slides",5,IF(J559="scenes",5,IF(J559="famous scenes",5,IF(J559="poems",6,IF(J559="walk",6,IF(J559="faces and events",6,IF(J559="events and names",6,IF(J559="flashbulb",7,IF(J559="stories",7,IF(J559="course material",7,IF(J559="autobiographical",7,IF(J559="novels",7,IF(J559="public events",7,"99"))))))))))))))))))))))))))))))))))))))))))))))</f>
        <v>1</v>
      </c>
      <c r="M559" s="60">
        <v>1</v>
      </c>
      <c r="N559" s="60">
        <v>2</v>
      </c>
      <c r="O559" s="60">
        <v>0</v>
      </c>
      <c r="P559" s="60"/>
      <c r="Q559" s="60" t="s">
        <v>174</v>
      </c>
      <c r="R559" s="60">
        <f>IF(Q559="Free Recall",1,IF(Q559="Cued Recall",2,IF(Q559="Recognition",3,IF(Q559="Multiple Choice",4,IF(Q559="Savings",5,IF(Q559="Stem Completion",6,IF(Q559="Fragment Completion",7,IF(Q559="anagram solution",8,IF(Q559="Matching",9,IF(Q559="Problem Solving",10,"99"))))))))))</f>
        <v>1</v>
      </c>
      <c r="S559" s="60" t="s">
        <v>20</v>
      </c>
      <c r="T559" s="59" t="s">
        <v>581</v>
      </c>
      <c r="U559" s="60">
        <f>IF(T559="within",1,0)</f>
        <v>1</v>
      </c>
      <c r="V559" s="59">
        <v>4</v>
      </c>
      <c r="W559" s="60">
        <f>F559*V559</f>
        <v>100</v>
      </c>
      <c r="X559" s="60">
        <v>4</v>
      </c>
      <c r="Y559" s="76">
        <f>AV558</f>
        <v>3</v>
      </c>
      <c r="Z559" s="60" t="s">
        <v>23</v>
      </c>
      <c r="AA559" s="60">
        <v>27</v>
      </c>
      <c r="AB559" s="60" t="str">
        <f>IF(AA559&lt;60,"1",IF(AA559&lt;=43200,"2",IF(AA559&lt;=777600,"3","4")))</f>
        <v>1</v>
      </c>
      <c r="AC559" s="56">
        <f>AVERAGE(AV558:DA558)</f>
        <v>14.25</v>
      </c>
      <c r="AD559" s="60" t="str">
        <f>IF(AC559&lt;60,"1",IF(AC559&lt;=43200,"2",IF(AC559&lt;=777600,"3","4")))</f>
        <v>1</v>
      </c>
      <c r="AE559" s="76">
        <f>AA559-Y559</f>
        <v>24</v>
      </c>
      <c r="AF559" s="80">
        <f>AV559</f>
        <v>0.99</v>
      </c>
      <c r="AG559" s="56">
        <f>((AW559-AV559)+(AX559-AW559)+(AY559-AX559))/3</f>
        <v>-0.10999999999999999</v>
      </c>
      <c r="AH559" s="4"/>
      <c r="AI559" s="56">
        <f>RSQ(AV559:AY559,AV558:AY558)</f>
        <v>0.98074974670719328</v>
      </c>
      <c r="AJ559" s="109">
        <f>SLOPE(AV559:AY559,AV558:AY558)</f>
        <v>-1.3968253968253967E-2</v>
      </c>
      <c r="AK559" s="56">
        <f>INTERCEPT(AV559:AY559,AV558:AY558)</f>
        <v>1.019047619047619</v>
      </c>
      <c r="AL559" s="56">
        <f>INDEX(LINEST(LN(AV559:AY559),LN(AV558:AY558),TRUE,TRUE),3,1)</f>
        <v>0.93740373155948509</v>
      </c>
      <c r="AM559" s="56">
        <f>INDEX(LINEST(LN(AV559:AY559),LN(AV558:AY558)),1)</f>
        <v>-0.18312881467046671</v>
      </c>
      <c r="AN559" s="56">
        <f>EXP(INDEX(LINEST(LN(AV559:AY559),LN(AV558:AY558)),1,2))</f>
        <v>1.2502052847004517</v>
      </c>
      <c r="AO559" s="82">
        <f>INDEX(LINEST((AV559:AY559),LN(AV558:AY558),TRUE,TRUE),3,1)</f>
        <v>0.9571283536120706</v>
      </c>
      <c r="AP559" s="82">
        <f>INDEX(LINEST((AV559:AY559),LN(AV558:AY558)),1)</f>
        <v>-0.15066979747543377</v>
      </c>
      <c r="AQ559" s="83">
        <f>INDEX(LINEST(LN(AV559:AY559),SQRT(AV558:AY558),TRUE,TRUE),3,1)</f>
        <v>0.9878899637787405</v>
      </c>
      <c r="AR559" s="116">
        <f>INDEX(LINEST(LN(AV559:AY559),SQRT((AV558:AY558))),1)</f>
        <v>-0.12010673419975991</v>
      </c>
      <c r="AS559" s="84">
        <f>INDEX(LINEST(1/(AV559:AY559),1/(SQRT(AV558:AY558)),TRUE,TRUE),3,1)</f>
        <v>0.8167422151129321</v>
      </c>
      <c r="AT559" s="84">
        <f>INDEX(LINEST(1/(AV559:AY559),1/SQRT(AV558:AY558)),1)</f>
        <v>-1.189768001447064</v>
      </c>
      <c r="AU559" s="3"/>
      <c r="AV559" s="53">
        <v>0.99</v>
      </c>
      <c r="AW559" s="53">
        <v>0.89</v>
      </c>
      <c r="AX559" s="53">
        <v>0.74</v>
      </c>
      <c r="AY559" s="53">
        <v>0.66</v>
      </c>
      <c r="AZ559" s="46"/>
      <c r="BA559" s="42"/>
      <c r="BB559" s="42"/>
      <c r="BC559" s="42"/>
      <c r="BD559" s="42"/>
      <c r="BE559" s="42"/>
      <c r="BF559" s="42"/>
      <c r="BG559" s="4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1"/>
      <c r="CS559" s="1"/>
      <c r="CT559" s="1"/>
      <c r="CU559" s="1"/>
    </row>
    <row r="560" spans="1:99" s="13" customFormat="1" ht="12" customHeight="1" x14ac:dyDescent="0.2">
      <c r="A560" s="65">
        <v>43509</v>
      </c>
      <c r="B560" s="1"/>
      <c r="C560" s="1"/>
      <c r="D560" s="60"/>
      <c r="E560" s="76"/>
      <c r="F560" s="60"/>
      <c r="G560" s="60"/>
      <c r="H560" s="60"/>
      <c r="I560" s="60"/>
      <c r="J560" s="60"/>
      <c r="K560" s="64"/>
      <c r="L560" s="64"/>
      <c r="M560" s="60"/>
      <c r="N560" s="60"/>
      <c r="O560" s="60"/>
      <c r="P560" s="60"/>
      <c r="Q560" s="60"/>
      <c r="R560" s="60"/>
      <c r="S560" s="60"/>
      <c r="T560" s="59"/>
      <c r="U560" s="60"/>
      <c r="V560" s="59"/>
      <c r="W560" s="60"/>
      <c r="X560" s="60"/>
      <c r="Y560" s="76"/>
      <c r="Z560" s="60"/>
      <c r="AA560" s="60"/>
      <c r="AB560" s="60"/>
      <c r="AC560" s="60"/>
      <c r="AD560" s="60"/>
      <c r="AE560" s="60"/>
      <c r="AF560" s="80"/>
      <c r="AG560" s="56"/>
      <c r="AH560" s="4"/>
      <c r="AI560" s="56"/>
      <c r="AJ560" s="109"/>
      <c r="AK560" s="56"/>
      <c r="AL560" s="56"/>
      <c r="AM560" s="56"/>
      <c r="AN560" s="56"/>
      <c r="AO560" s="82"/>
      <c r="AP560" s="82"/>
      <c r="AQ560" s="56"/>
      <c r="AR560" s="109"/>
      <c r="AS560" s="56"/>
      <c r="AT560" s="56"/>
      <c r="AU560" s="3"/>
      <c r="AV560" s="25">
        <v>3</v>
      </c>
      <c r="AW560" s="25">
        <v>9</v>
      </c>
      <c r="AX560" s="25">
        <v>18</v>
      </c>
      <c r="AY560" s="25">
        <v>27</v>
      </c>
      <c r="AZ560" s="46"/>
      <c r="BA560" s="42"/>
      <c r="BB560" s="4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1"/>
      <c r="CS560" s="1"/>
      <c r="CT560" s="1"/>
      <c r="CU560" s="1"/>
    </row>
    <row r="561" spans="1:99" s="13" customFormat="1" ht="12" customHeight="1" x14ac:dyDescent="0.2">
      <c r="A561" s="65">
        <v>43509</v>
      </c>
      <c r="B561" s="1" t="s">
        <v>243</v>
      </c>
      <c r="C561" s="1" t="s">
        <v>19</v>
      </c>
      <c r="D561" s="60">
        <v>1962</v>
      </c>
      <c r="E561" s="76">
        <v>1</v>
      </c>
      <c r="F561" s="60">
        <v>25</v>
      </c>
      <c r="G561" s="60">
        <v>25</v>
      </c>
      <c r="H561" s="60" t="s">
        <v>22</v>
      </c>
      <c r="I561" s="60" t="s">
        <v>24</v>
      </c>
      <c r="J561" s="60" t="s">
        <v>443</v>
      </c>
      <c r="K561" s="60">
        <f>IF(J561="syllables",1,IF(J561="trigrams",2,IF(J561="strings",3,IF(J561="visual array",4,IF(J561="characters",5,IF(J561="letters",6,IF(J561="free forms",7,IF(J561="odors",8,IF(J561="words",9,IF(J561="pictures",10,IF(J561="object pictures",11,IF(J561="faces",12,IF(J561="names",13,IF(J561="idioms",14,IF(J561="grades",15,IF(J561="syllable-digit pairs",16,IF(J561="trigram-word pairs",17,IF(J561="word-digit pairs",18,IF(J561="English-Swahili pairs",19,IF(J561="spatial position",20,IF(J561="word pairs",21,IF(J561="word triads",22,IF(J561="generated words",23,IF(J561="word definition pairs",24,IF(J561="math problems",25,IF(J561="famous faces",26,IF(J561="famous names",27,IF(J561="famous voices",28,IF(J561="television programs",29,IF(J561="race horses",30,IF(J561="new vocabulary",31,IF(J561="sentences",32,IF(J561="concepts",33,IF(J561="ad slides",34,IF(J561="scenes",35,IF(J561="famous scenes",36,IF(J561="poems",37,IF(J561="walk",38,IF(J561="faces and events",39,IF(J561="events and names",40,IF(J561="flashbulb",41,IF(J561="stories",42,IF(J561="course material",43,IF(J561="autobiographical",44,IF(J561="novels",45,IF(J561="public events",46,"99"))))))))))))))))))))))))))))))))))))))))))))))</f>
        <v>2</v>
      </c>
      <c r="L561" s="60">
        <f>IF(J561="syllables",1,IF(J561="trigrams",1,IF(J561="strings",1,IF(J561="visual array",1,IF(J561="characters",1,IF(J561="letters",1,IF(J561="free forms",1,IF(J561="odors",2,IF(J561="words",2,IF(J561="pictures",2,IF(J561="object pictures",2,IF(J561="faces",2,IF(J561="names",2,IF(J561="idioms","2",IF(J561="grades",2,IF(J561="syllable-digit pairs",3,IF(J561="trigram-word pairs",3,IF(J561="word-digit pairs",3,IF(J561="English-Swahili pairs",3,IF(J561="spatial position",3,IF(J561="word pairs",4,IF(J561="word triads",4,IF(J561="generated words",4,IF(J561="word definition pairs",4,IF(J561="math problems",4,IF(J561="famous faces",4,IF(J561="famous names",4,IF(J561="famous voices",4,IF(J561="television programs",4,IF(J561="race horses",4,IF(J561="new vocabulary",4,IF(J561="sentences",5,IF(J561="concepts",5,IF(J561="ad slides",5,IF(J561="scenes",5,IF(J561="famous scenes",5,IF(J561="poems",6,IF(J561="walk",6,IF(J561="faces and events",6,IF(J561="events and names",6,IF(J561="flashbulb",7,IF(J561="stories",7,IF(J561="course material",7,IF(J561="autobiographical",7,IF(J561="novels",7,IF(J561="public events",7,"99"))))))))))))))))))))))))))))))))))))))))))))))</f>
        <v>1</v>
      </c>
      <c r="M561" s="60">
        <v>1</v>
      </c>
      <c r="N561" s="60">
        <v>2</v>
      </c>
      <c r="O561" s="60">
        <v>0</v>
      </c>
      <c r="P561" s="60"/>
      <c r="Q561" s="60" t="s">
        <v>174</v>
      </c>
      <c r="R561" s="60">
        <f>IF(Q561="Free Recall",1,IF(Q561="Cued Recall",2,IF(Q561="Recognition",3,IF(Q561="Multiple Choice",4,IF(Q561="Savings",5,IF(Q561="Stem Completion",6,IF(Q561="Fragment Completion",7,IF(Q561="anagram solution",8,IF(Q561="Matching",9,IF(Q561="Problem Solving",10,"99"))))))))))</f>
        <v>1</v>
      </c>
      <c r="S561" s="60" t="s">
        <v>20</v>
      </c>
      <c r="T561" s="59" t="s">
        <v>581</v>
      </c>
      <c r="U561" s="60">
        <f>IF(T561="within",1,0)</f>
        <v>1</v>
      </c>
      <c r="V561" s="59">
        <v>4</v>
      </c>
      <c r="W561" s="60">
        <f>F561*V561</f>
        <v>100</v>
      </c>
      <c r="X561" s="60">
        <v>4</v>
      </c>
      <c r="Y561" s="76">
        <f>AV560</f>
        <v>3</v>
      </c>
      <c r="Z561" s="60" t="s">
        <v>23</v>
      </c>
      <c r="AA561" s="60">
        <v>27</v>
      </c>
      <c r="AB561" s="60" t="str">
        <f>IF(AA561&lt;60,"1",IF(AA561&lt;=43200,"2",IF(AA561&lt;=777600,"3","4")))</f>
        <v>1</v>
      </c>
      <c r="AC561" s="56">
        <f>AVERAGE(AV560:DA560)</f>
        <v>14.25</v>
      </c>
      <c r="AD561" s="60" t="str">
        <f>IF(AC561&lt;60,"1",IF(AC561&lt;=43200,"2",IF(AC561&lt;=777600,"3","4")))</f>
        <v>1</v>
      </c>
      <c r="AE561" s="76">
        <f>AA561-Y561</f>
        <v>24</v>
      </c>
      <c r="AF561" s="80">
        <f>AV561</f>
        <v>0.94</v>
      </c>
      <c r="AG561" s="56">
        <f>((AW561-AV561)+(AX561-AW561)+(AY561-AX561))/3</f>
        <v>-0.15999999999999998</v>
      </c>
      <c r="AH561" s="4"/>
      <c r="AI561" s="56">
        <f>RSQ(AV561:AY561,AV560:AY560)</f>
        <v>0.94584485386391248</v>
      </c>
      <c r="AJ561" s="109">
        <f>SLOPE(AV561:AY561,AV560:AY560)</f>
        <v>-1.947845804988662E-2</v>
      </c>
      <c r="AK561" s="56">
        <f>INTERCEPT(AV561:AY561,AV560:AY560)</f>
        <v>0.95006802721088435</v>
      </c>
      <c r="AL561" s="56">
        <f>INDEX(LINEST(LN(AV561:AY561),LN(AV560:AY560),TRUE,TRUE),3,1)</f>
        <v>0.9729951417986954</v>
      </c>
      <c r="AM561" s="56">
        <f>INDEX(LINEST(LN(AV561:AY561),LN(AV560:AY560)),1)</f>
        <v>-0.31963089242931408</v>
      </c>
      <c r="AN561" s="56">
        <f>EXP(INDEX(LINEST(LN(AV561:AY561),LN(AV560:AY560)),1,2))</f>
        <v>1.3832769796896827</v>
      </c>
      <c r="AO561" s="82">
        <f>INDEX(LINEST((AV561:AY561),LN(AV560:AY560),TRUE,TRUE),3,1)</f>
        <v>0.99546770907767901</v>
      </c>
      <c r="AP561" s="82">
        <f>INDEX(LINEST((AV561:AY561),LN(AV560:AY560)),1)</f>
        <v>-0.21819073408424799</v>
      </c>
      <c r="AQ561" s="83">
        <f>INDEX(LINEST(LN(AV561:AY561),SQRT(AV560:AY560),TRUE,TRUE),3,1)</f>
        <v>0.99981441428992346</v>
      </c>
      <c r="AR561" s="116">
        <f>INDEX(LINEST(LN(AV561:AY561),SQRT((AV560:AY560))),1)</f>
        <v>-0.2070011863943125</v>
      </c>
      <c r="AS561" s="84">
        <f>INDEX(LINEST(1/(AV561:AY561),1/(SQRT(AV560:AY560)),TRUE,TRUE),3,1)</f>
        <v>0.84334583798219742</v>
      </c>
      <c r="AT561" s="84">
        <f>INDEX(LINEST(1/(AV561:AY561),1/SQRT(AV560:AY560)),1)</f>
        <v>-2.5845749098890201</v>
      </c>
      <c r="AU561" s="3"/>
      <c r="AV561" s="53">
        <v>0.94</v>
      </c>
      <c r="AW561" s="53">
        <v>0.73</v>
      </c>
      <c r="AX561" s="53">
        <v>0.56000000000000005</v>
      </c>
      <c r="AY561" s="53">
        <v>0.46</v>
      </c>
      <c r="AZ561" s="46"/>
      <c r="BA561" s="42"/>
      <c r="BB561" s="4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1"/>
      <c r="CS561" s="1"/>
      <c r="CT561" s="1"/>
      <c r="CU561" s="1"/>
    </row>
    <row r="562" spans="1:99" s="13" customFormat="1" ht="12" customHeight="1" x14ac:dyDescent="0.2">
      <c r="A562" s="65">
        <v>43509</v>
      </c>
      <c r="B562" s="1"/>
      <c r="C562" s="1"/>
      <c r="D562" s="60"/>
      <c r="E562" s="76"/>
      <c r="F562" s="60"/>
      <c r="G562" s="60"/>
      <c r="H562" s="60"/>
      <c r="I562" s="60"/>
      <c r="J562" s="60"/>
      <c r="K562" s="64"/>
      <c r="L562" s="64"/>
      <c r="M562" s="60"/>
      <c r="N562" s="60"/>
      <c r="O562" s="60"/>
      <c r="P562" s="60"/>
      <c r="Q562" s="60"/>
      <c r="R562" s="60"/>
      <c r="S562" s="60"/>
      <c r="T562" s="60"/>
      <c r="U562" s="60"/>
      <c r="V562" s="60"/>
      <c r="W562" s="60"/>
      <c r="X562" s="60"/>
      <c r="Y562" s="76"/>
      <c r="Z562" s="60"/>
      <c r="AA562" s="60"/>
      <c r="AB562" s="60"/>
      <c r="AC562" s="60"/>
      <c r="AD562" s="60"/>
      <c r="AE562" s="60"/>
      <c r="AF562" s="80"/>
      <c r="AG562" s="56"/>
      <c r="AH562" s="4"/>
      <c r="AI562" s="56"/>
      <c r="AJ562" s="109"/>
      <c r="AK562" s="56"/>
      <c r="AL562" s="56"/>
      <c r="AM562" s="56"/>
      <c r="AN562" s="56"/>
      <c r="AO562" s="82"/>
      <c r="AP562" s="82"/>
      <c r="AQ562" s="56"/>
      <c r="AR562" s="109"/>
      <c r="AS562" s="56"/>
      <c r="AT562" s="56"/>
      <c r="AU562" s="3"/>
      <c r="AV562" s="25">
        <v>3</v>
      </c>
      <c r="AW562" s="25">
        <v>9</v>
      </c>
      <c r="AX562" s="25">
        <v>18</v>
      </c>
      <c r="AY562" s="25">
        <v>27</v>
      </c>
      <c r="AZ562" s="46"/>
      <c r="BA562" s="42"/>
      <c r="BB562" s="4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1"/>
      <c r="CS562" s="1"/>
      <c r="CT562" s="1"/>
      <c r="CU562" s="1"/>
    </row>
    <row r="563" spans="1:99" s="13" customFormat="1" ht="12" customHeight="1" x14ac:dyDescent="0.2">
      <c r="A563" s="65">
        <v>43509</v>
      </c>
      <c r="B563" s="1" t="s">
        <v>243</v>
      </c>
      <c r="C563" s="1" t="s">
        <v>19</v>
      </c>
      <c r="D563" s="60">
        <v>1962</v>
      </c>
      <c r="E563" s="76">
        <v>1</v>
      </c>
      <c r="F563" s="60">
        <v>25</v>
      </c>
      <c r="G563" s="60">
        <v>25</v>
      </c>
      <c r="H563" s="60" t="s">
        <v>22</v>
      </c>
      <c r="I563" s="60" t="s">
        <v>25</v>
      </c>
      <c r="J563" s="60" t="s">
        <v>443</v>
      </c>
      <c r="K563" s="60">
        <f>IF(J563="syllables",1,IF(J563="trigrams",2,IF(J563="strings",3,IF(J563="visual array",4,IF(J563="characters",5,IF(J563="letters",6,IF(J563="free forms",7,IF(J563="odors",8,IF(J563="words",9,IF(J563="pictures",10,IF(J563="object pictures",11,IF(J563="faces",12,IF(J563="names",13,IF(J563="idioms",14,IF(J563="grades",15,IF(J563="syllable-digit pairs",16,IF(J563="trigram-word pairs",17,IF(J563="word-digit pairs",18,IF(J563="English-Swahili pairs",19,IF(J563="spatial position",20,IF(J563="word pairs",21,IF(J563="word triads",22,IF(J563="generated words",23,IF(J563="word definition pairs",24,IF(J563="math problems",25,IF(J563="famous faces",26,IF(J563="famous names",27,IF(J563="famous voices",28,IF(J563="television programs",29,IF(J563="race horses",30,IF(J563="new vocabulary",31,IF(J563="sentences",32,IF(J563="concepts",33,IF(J563="ad slides",34,IF(J563="scenes",35,IF(J563="famous scenes",36,IF(J563="poems",37,IF(J563="walk",38,IF(J563="faces and events",39,IF(J563="events and names",40,IF(J563="flashbulb",41,IF(J563="stories",42,IF(J563="course material",43,IF(J563="autobiographical",44,IF(J563="novels",45,IF(J563="public events",46,"99"))))))))))))))))))))))))))))))))))))))))))))))</f>
        <v>2</v>
      </c>
      <c r="L563" s="60">
        <f>IF(J563="syllables",1,IF(J563="trigrams",1,IF(J563="strings",1,IF(J563="visual array",1,IF(J563="characters",1,IF(J563="letters",1,IF(J563="free forms",1,IF(J563="odors",2,IF(J563="words",2,IF(J563="pictures",2,IF(J563="object pictures",2,IF(J563="faces",2,IF(J563="names",2,IF(J563="idioms","2",IF(J563="grades",2,IF(J563="syllable-digit pairs",3,IF(J563="trigram-word pairs",3,IF(J563="word-digit pairs",3,IF(J563="English-Swahili pairs",3,IF(J563="spatial position",3,IF(J563="word pairs",4,IF(J563="word triads",4,IF(J563="generated words",4,IF(J563="word definition pairs",4,IF(J563="math problems",4,IF(J563="famous faces",4,IF(J563="famous names",4,IF(J563="famous voices",4,IF(J563="television programs",4,IF(J563="race horses",4,IF(J563="new vocabulary",4,IF(J563="sentences",5,IF(J563="concepts",5,IF(J563="ad slides",5,IF(J563="scenes",5,IF(J563="famous scenes",5,IF(J563="poems",6,IF(J563="walk",6,IF(J563="faces and events",6,IF(J563="events and names",6,IF(J563="flashbulb",7,IF(J563="stories",7,IF(J563="course material",7,IF(J563="autobiographical",7,IF(J563="novels",7,IF(J563="public events",7,"99"))))))))))))))))))))))))))))))))))))))))))))))</f>
        <v>1</v>
      </c>
      <c r="M563" s="60">
        <v>1</v>
      </c>
      <c r="N563" s="60">
        <v>2</v>
      </c>
      <c r="O563" s="60">
        <v>0</v>
      </c>
      <c r="P563" s="60"/>
      <c r="Q563" s="60" t="s">
        <v>174</v>
      </c>
      <c r="R563" s="60">
        <f>IF(Q563="Free Recall",1,IF(Q563="Cued Recall",2,IF(Q563="Recognition",3,IF(Q563="Multiple Choice",4,IF(Q563="Savings",5,IF(Q563="Stem Completion",6,IF(Q563="Fragment Completion",7,IF(Q563="anagram solution",8,IF(Q563="Matching",9,IF(Q563="Problem Solving",10,"99"))))))))))</f>
        <v>1</v>
      </c>
      <c r="S563" s="60" t="s">
        <v>20</v>
      </c>
      <c r="T563" s="59" t="s">
        <v>581</v>
      </c>
      <c r="U563" s="60">
        <f>IF(T563="within",1,0)</f>
        <v>1</v>
      </c>
      <c r="V563" s="59">
        <v>4</v>
      </c>
      <c r="W563" s="60">
        <f>F563*V563</f>
        <v>100</v>
      </c>
      <c r="X563" s="60">
        <v>4</v>
      </c>
      <c r="Y563" s="76">
        <f>AV562</f>
        <v>3</v>
      </c>
      <c r="Z563" s="60" t="s">
        <v>23</v>
      </c>
      <c r="AA563" s="60">
        <v>27</v>
      </c>
      <c r="AB563" s="60" t="str">
        <f>IF(AA563&lt;60,"1",IF(AA563&lt;=43200,"2",IF(AA563&lt;=777600,"3","4")))</f>
        <v>1</v>
      </c>
      <c r="AC563" s="56">
        <f>AVERAGE(AV562:DA562)</f>
        <v>14.25</v>
      </c>
      <c r="AD563" s="60" t="str">
        <f>IF(AC563&lt;60,"1",IF(AC563&lt;=43200,"2",IF(AC563&lt;=777600,"3","4")))</f>
        <v>1</v>
      </c>
      <c r="AE563" s="76">
        <f>AA563-Y563</f>
        <v>24</v>
      </c>
      <c r="AF563" s="80">
        <f>AV563</f>
        <v>0.92</v>
      </c>
      <c r="AG563" s="56">
        <f>((AW563-AV563)+(AX563-AW563)+(AY563-AX563))/3</f>
        <v>-0.23333333333333336</v>
      </c>
      <c r="AH563" s="4"/>
      <c r="AI563" s="56">
        <f>RSQ(AV563:AY563,AV562:AY562)</f>
        <v>0.87828949855008243</v>
      </c>
      <c r="AJ563" s="109">
        <f>SLOPE(AV563:AY563,AV562:AY562)</f>
        <v>-2.7868480725623587E-2</v>
      </c>
      <c r="AK563" s="56">
        <f>INTERCEPT(AV563:AY563,AV562:AY562)</f>
        <v>0.89462585034013609</v>
      </c>
      <c r="AL563" s="56">
        <f>INDEX(LINEST(LN(AV563:AY563),LN(AV562:AY562),TRUE,TRUE),3,1)</f>
        <v>0.98109306493872339</v>
      </c>
      <c r="AM563" s="56">
        <f>INDEX(LINEST(LN(AV563:AY563),LN(AV562:AY562)),1)</f>
        <v>-0.6477753243400316</v>
      </c>
      <c r="AN563" s="56">
        <f>EXP(INDEX(LINEST(LN(AV563:AY563),LN(AV562:AY562)),1,2))</f>
        <v>1.9923984365974459</v>
      </c>
      <c r="AO563" s="82">
        <f>INDEX(LINEST((AV563:AY563),LN(AV562:AY562),TRUE,TRUE),3,1)</f>
        <v>0.99604940183029556</v>
      </c>
      <c r="AP563" s="82">
        <f>INDEX(LINEST((AV563:AY563),LN(AV562:AY562)),1)</f>
        <v>-0.32405071282640996</v>
      </c>
      <c r="AQ563" s="83">
        <f>INDEX(LINEST(LN(AV563:AY563),SQRT(AV562:AY562),TRUE,TRUE),3,1)</f>
        <v>0.99862343138477871</v>
      </c>
      <c r="AR563" s="116">
        <f>INDEX(LINEST(LN(AV563:AY563),SQRT((AV562:AY562))),1)</f>
        <v>-0.41753212882294566</v>
      </c>
      <c r="AS563" s="84">
        <f>INDEX(LINEST(1/(AV563:AY563),1/(SQRT(AV562:AY562)),TRUE,TRUE),3,1)</f>
        <v>0.79796024795160037</v>
      </c>
      <c r="AT563" s="84">
        <f>INDEX(LINEST(1/(AV563:AY563),1/SQRT(AV562:AY562)),1)</f>
        <v>-7.9266954024766552</v>
      </c>
      <c r="AU563" s="3"/>
      <c r="AV563" s="53">
        <v>0.92</v>
      </c>
      <c r="AW563" s="53">
        <v>0.54</v>
      </c>
      <c r="AX563" s="53">
        <v>0.31</v>
      </c>
      <c r="AY563" s="53">
        <v>0.22</v>
      </c>
      <c r="AZ563" s="46"/>
      <c r="BA563" s="42"/>
      <c r="BB563" s="4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1"/>
      <c r="CS563" s="1"/>
      <c r="CT563" s="1"/>
      <c r="CU563" s="1"/>
    </row>
    <row r="564" spans="1:99" s="13" customFormat="1" ht="12" customHeight="1" x14ac:dyDescent="0.2">
      <c r="A564" s="65">
        <v>43509</v>
      </c>
      <c r="B564" s="1"/>
      <c r="C564" s="1"/>
      <c r="D564" s="60"/>
      <c r="E564" s="76"/>
      <c r="F564" s="60"/>
      <c r="G564" s="60"/>
      <c r="H564" s="60"/>
      <c r="I564" s="60"/>
      <c r="J564" s="60"/>
      <c r="K564" s="64"/>
      <c r="L564" s="64"/>
      <c r="M564" s="60"/>
      <c r="N564" s="60"/>
      <c r="O564" s="60"/>
      <c r="P564" s="60"/>
      <c r="Q564" s="60"/>
      <c r="R564" s="60"/>
      <c r="S564" s="60"/>
      <c r="T564" s="60"/>
      <c r="U564" s="60"/>
      <c r="V564" s="60"/>
      <c r="W564" s="60"/>
      <c r="X564" s="60"/>
      <c r="Y564" s="76"/>
      <c r="Z564" s="60"/>
      <c r="AA564" s="60"/>
      <c r="AB564" s="60"/>
      <c r="AC564" s="60"/>
      <c r="AD564" s="60"/>
      <c r="AE564" s="60"/>
      <c r="AF564" s="80"/>
      <c r="AG564" s="56"/>
      <c r="AH564" s="4"/>
      <c r="AI564" s="56"/>
      <c r="AJ564" s="109"/>
      <c r="AK564" s="56"/>
      <c r="AL564" s="56"/>
      <c r="AM564" s="56"/>
      <c r="AN564" s="56"/>
      <c r="AO564" s="82"/>
      <c r="AP564" s="82"/>
      <c r="AQ564" s="56"/>
      <c r="AR564" s="109"/>
      <c r="AS564" s="56"/>
      <c r="AT564" s="56"/>
      <c r="AU564" s="3"/>
      <c r="AV564" s="25">
        <v>3</v>
      </c>
      <c r="AW564" s="25">
        <v>9</v>
      </c>
      <c r="AX564" s="25">
        <v>18</v>
      </c>
      <c r="AY564" s="25">
        <v>27</v>
      </c>
      <c r="AZ564" s="46"/>
      <c r="BA564" s="42"/>
      <c r="BB564" s="42"/>
      <c r="BC564" s="42"/>
      <c r="BD564" s="42"/>
      <c r="BE564" s="42"/>
      <c r="BF564" s="42"/>
      <c r="BG564" s="4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1"/>
      <c r="CS564" s="1"/>
      <c r="CT564" s="1"/>
      <c r="CU564" s="1"/>
    </row>
    <row r="565" spans="1:99" s="13" customFormat="1" ht="12" customHeight="1" x14ac:dyDescent="0.2">
      <c r="A565" s="65">
        <v>43509</v>
      </c>
      <c r="B565" s="1" t="s">
        <v>243</v>
      </c>
      <c r="C565" s="1" t="s">
        <v>19</v>
      </c>
      <c r="D565" s="60">
        <v>1962</v>
      </c>
      <c r="E565" s="76">
        <v>1</v>
      </c>
      <c r="F565" s="60">
        <v>25</v>
      </c>
      <c r="G565" s="60">
        <v>25</v>
      </c>
      <c r="H565" s="60" t="s">
        <v>22</v>
      </c>
      <c r="I565" s="60" t="s">
        <v>26</v>
      </c>
      <c r="J565" s="60" t="s">
        <v>443</v>
      </c>
      <c r="K565" s="60">
        <f>IF(J565="syllables",1,IF(J565="trigrams",2,IF(J565="strings",3,IF(J565="visual array",4,IF(J565="characters",5,IF(J565="letters",6,IF(J565="free forms",7,IF(J565="odors",8,IF(J565="words",9,IF(J565="pictures",10,IF(J565="object pictures",11,IF(J565="faces",12,IF(J565="names",13,IF(J565="idioms",14,IF(J565="grades",15,IF(J565="syllable-digit pairs",16,IF(J565="trigram-word pairs",17,IF(J565="word-digit pairs",18,IF(J565="English-Swahili pairs",19,IF(J565="spatial position",20,IF(J565="word pairs",21,IF(J565="word triads",22,IF(J565="generated words",23,IF(J565="word definition pairs",24,IF(J565="math problems",25,IF(J565="famous faces",26,IF(J565="famous names",27,IF(J565="famous voices",28,IF(J565="television programs",29,IF(J565="race horses",30,IF(J565="new vocabulary",31,IF(J565="sentences",32,IF(J565="concepts",33,IF(J565="ad slides",34,IF(J565="scenes",35,IF(J565="famous scenes",36,IF(J565="poems",37,IF(J565="walk",38,IF(J565="faces and events",39,IF(J565="events and names",40,IF(J565="flashbulb",41,IF(J565="stories",42,IF(J565="course material",43,IF(J565="autobiographical",44,IF(J565="novels",45,IF(J565="public events",46,"99"))))))))))))))))))))))))))))))))))))))))))))))</f>
        <v>2</v>
      </c>
      <c r="L565" s="60">
        <f>IF(J565="syllables",1,IF(J565="trigrams",1,IF(J565="strings",1,IF(J565="visual array",1,IF(J565="characters",1,IF(J565="letters",1,IF(J565="free forms",1,IF(J565="odors",2,IF(J565="words",2,IF(J565="pictures",2,IF(J565="object pictures",2,IF(J565="faces",2,IF(J565="names",2,IF(J565="idioms","2",IF(J565="grades",2,IF(J565="syllable-digit pairs",3,IF(J565="trigram-word pairs",3,IF(J565="word-digit pairs",3,IF(J565="English-Swahili pairs",3,IF(J565="spatial position",3,IF(J565="word pairs",4,IF(J565="word triads",4,IF(J565="generated words",4,IF(J565="word definition pairs",4,IF(J565="math problems",4,IF(J565="famous faces",4,IF(J565="famous names",4,IF(J565="famous voices",4,IF(J565="television programs",4,IF(J565="race horses",4,IF(J565="new vocabulary",4,IF(J565="sentences",5,IF(J565="concepts",5,IF(J565="ad slides",5,IF(J565="scenes",5,IF(J565="famous scenes",5,IF(J565="poems",6,IF(J565="walk",6,IF(J565="faces and events",6,IF(J565="events and names",6,IF(J565="flashbulb",7,IF(J565="stories",7,IF(J565="course material",7,IF(J565="autobiographical",7,IF(J565="novels",7,IF(J565="public events",7,"99"))))))))))))))))))))))))))))))))))))))))))))))</f>
        <v>1</v>
      </c>
      <c r="M565" s="60">
        <v>0</v>
      </c>
      <c r="N565" s="60">
        <v>1</v>
      </c>
      <c r="O565" s="60">
        <v>0</v>
      </c>
      <c r="P565" s="60"/>
      <c r="Q565" s="60" t="s">
        <v>174</v>
      </c>
      <c r="R565" s="60">
        <f>IF(Q565="Free Recall",1,IF(Q565="Cued Recall",2,IF(Q565="Recognition",3,IF(Q565="Multiple Choice",4,IF(Q565="Savings",5,IF(Q565="Stem Completion",6,IF(Q565="Fragment Completion",7,IF(Q565="anagram solution",8,IF(Q565="Matching",9,IF(Q565="Problem Solving",10,"99"))))))))))</f>
        <v>1</v>
      </c>
      <c r="S565" s="60" t="s">
        <v>20</v>
      </c>
      <c r="T565" s="59" t="s">
        <v>581</v>
      </c>
      <c r="U565" s="60">
        <f>IF(T565="within",1,0)</f>
        <v>1</v>
      </c>
      <c r="V565" s="59">
        <v>4</v>
      </c>
      <c r="W565" s="60">
        <f>F565*V565</f>
        <v>100</v>
      </c>
      <c r="X565" s="60">
        <v>4</v>
      </c>
      <c r="Y565" s="76">
        <f>AV564</f>
        <v>3</v>
      </c>
      <c r="Z565" s="60" t="s">
        <v>23</v>
      </c>
      <c r="AA565" s="60">
        <v>27</v>
      </c>
      <c r="AB565" s="60" t="str">
        <f>IF(AA565&lt;60,"1",IF(AA565&lt;=43200,"2",IF(AA565&lt;=777600,"3","4")))</f>
        <v>1</v>
      </c>
      <c r="AC565" s="56">
        <f>AVERAGE(AV564:DA564)</f>
        <v>14.25</v>
      </c>
      <c r="AD565" s="60" t="str">
        <f>IF(AC565&lt;60,"1",IF(AC565&lt;=43200,"2",IF(AC565&lt;=777600,"3","4")))</f>
        <v>1</v>
      </c>
      <c r="AE565" s="76">
        <f>AA565-Y565</f>
        <v>24</v>
      </c>
      <c r="AF565" s="80">
        <f>AV565</f>
        <v>0.89</v>
      </c>
      <c r="AG565" s="56">
        <f>((AW565-AV565)+(AX565-AW565)+(AY565-AX565))/3</f>
        <v>-0.25</v>
      </c>
      <c r="AH565" s="4"/>
      <c r="AI565" s="56">
        <f>RSQ(AV565:AY565,AV564:AY564)</f>
        <v>0.78216663009289711</v>
      </c>
      <c r="AJ565" s="109">
        <f>SLOPE(AV565:AY565,AV564:AY564)</f>
        <v>-2.8526077097505664E-2</v>
      </c>
      <c r="AK565" s="56">
        <f>INTERCEPT(AV565:AY565,AV564:AY564)</f>
        <v>0.81149659863945578</v>
      </c>
      <c r="AL565" s="56">
        <f>INDEX(LINEST(LN(AV565:AY565),LN(AV564:AY564),TRUE,TRUE),3,1)</f>
        <v>0.99759967678442285</v>
      </c>
      <c r="AM565" s="56">
        <f>INDEX(LINEST(LN(AV565:AY565),LN(AV564:AY564)),1)</f>
        <v>-0.83436416244001388</v>
      </c>
      <c r="AN565" s="56">
        <f>EXP(INDEX(LINEST(LN(AV565:AY565),LN(AV564:AY564)),1,2))</f>
        <v>2.2822233562533745</v>
      </c>
      <c r="AO565" s="82">
        <f>INDEX(LINEST((AV565:AY565),LN(AV564:AY564),TRUE,TRUE),3,1)</f>
        <v>0.96365193270153171</v>
      </c>
      <c r="AP565" s="82">
        <f>INDEX(LINEST((AV565:AY565),LN(AV564:AY564)),1)</f>
        <v>-0.3457248536818805</v>
      </c>
      <c r="AQ565" s="83">
        <f>INDEX(LINEST(LN(AV565:AY565),SQRT(AV564:AY564),TRUE,TRUE),3,1)</f>
        <v>0.98879754838011835</v>
      </c>
      <c r="AR565" s="116">
        <f>INDEX(LINEST(LN(AV565:AY565),SQRT((AV564:AY564))),1)</f>
        <v>-0.53070222554563273</v>
      </c>
      <c r="AS565" s="84">
        <f>INDEX(LINEST(1/(AV565:AY565),1/(SQRT(AV564:AY564)),TRUE,TRUE),3,1)</f>
        <v>0.81167123331714175</v>
      </c>
      <c r="AT565" s="84">
        <f>INDEX(LINEST(1/(AV565:AY565),1/SQRT(AV564:AY564)),1)</f>
        <v>-13.704808229959889</v>
      </c>
      <c r="AU565" s="3"/>
      <c r="AV565" s="53">
        <v>0.89</v>
      </c>
      <c r="AW565" s="53">
        <v>0.38</v>
      </c>
      <c r="AX565" s="53">
        <v>0.21</v>
      </c>
      <c r="AY565" s="53">
        <v>0.14000000000000001</v>
      </c>
      <c r="AZ565" s="46"/>
      <c r="BA565" s="42"/>
      <c r="BB565" s="4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1"/>
      <c r="CS565" s="1"/>
      <c r="CT565" s="1"/>
      <c r="CU565" s="1"/>
    </row>
    <row r="566" spans="1:99" s="13" customFormat="1" ht="12" customHeight="1" x14ac:dyDescent="0.2">
      <c r="A566" s="68">
        <v>43509</v>
      </c>
      <c r="B566" s="70"/>
      <c r="C566" s="70"/>
      <c r="D566" s="69"/>
      <c r="E566" s="87"/>
      <c r="F566" s="69"/>
      <c r="G566" s="69"/>
      <c r="H566" s="69"/>
      <c r="I566" s="69"/>
      <c r="J566" s="69"/>
      <c r="K566" s="107"/>
      <c r="L566" s="107"/>
      <c r="M566" s="69"/>
      <c r="N566" s="69"/>
      <c r="O566" s="69"/>
      <c r="P566" s="69"/>
      <c r="Q566" s="69"/>
      <c r="R566" s="69"/>
      <c r="S566" s="69"/>
      <c r="T566" s="69"/>
      <c r="U566" s="69"/>
      <c r="V566" s="69"/>
      <c r="W566" s="69"/>
      <c r="X566" s="69"/>
      <c r="Y566" s="87"/>
      <c r="Z566" s="69"/>
      <c r="AA566" s="69"/>
      <c r="AB566" s="69"/>
      <c r="AC566" s="69"/>
      <c r="AD566" s="69"/>
      <c r="AE566" s="69"/>
      <c r="AF566" s="88"/>
      <c r="AG566" s="72"/>
      <c r="AH566" s="4"/>
      <c r="AI566" s="72"/>
      <c r="AJ566" s="110"/>
      <c r="AK566" s="72"/>
      <c r="AL566" s="72"/>
      <c r="AM566" s="72"/>
      <c r="AN566" s="72"/>
      <c r="AO566" s="72"/>
      <c r="AP566" s="72"/>
      <c r="AQ566" s="72"/>
      <c r="AR566" s="110"/>
      <c r="AS566" s="72"/>
      <c r="AT566" s="72"/>
      <c r="AU566" s="4"/>
      <c r="AV566" s="71">
        <f>365*24*60*60*0.022</f>
        <v>693792</v>
      </c>
      <c r="AW566" s="71">
        <f>365*24*60*60*0.929</f>
        <v>29296944</v>
      </c>
      <c r="AX566" s="71">
        <f>365*24*60*60*2.926</f>
        <v>92274336</v>
      </c>
      <c r="AY566" s="71">
        <f>365*24*60*60*9.907</f>
        <v>312427152</v>
      </c>
      <c r="AZ566" s="46"/>
      <c r="BA566" s="42"/>
      <c r="BB566" s="4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1"/>
      <c r="CS566" s="1"/>
      <c r="CT566" s="1"/>
      <c r="CU566" s="1"/>
    </row>
    <row r="567" spans="1:99" s="13" customFormat="1" ht="12" customHeight="1" x14ac:dyDescent="0.2">
      <c r="A567" s="68">
        <v>43509</v>
      </c>
      <c r="B567" s="70" t="s">
        <v>218</v>
      </c>
      <c r="C567" s="70" t="s">
        <v>202</v>
      </c>
      <c r="D567" s="69">
        <v>2015</v>
      </c>
      <c r="E567" s="87">
        <v>1</v>
      </c>
      <c r="F567" s="69">
        <v>1121</v>
      </c>
      <c r="G567" s="69">
        <v>124.6</v>
      </c>
      <c r="H567" s="69" t="s">
        <v>227</v>
      </c>
      <c r="I567" s="69" t="s">
        <v>705</v>
      </c>
      <c r="J567" s="69" t="s">
        <v>704</v>
      </c>
      <c r="K567" s="69">
        <f>IF(J567="syllables",1,IF(J567="trigrams",2,IF(J567="strings",3,IF(J567="visual array",4,IF(J567="characters",5,IF(J567="letters",6,IF(J567="free forms",7,IF(J567="odors",8,IF(J567="words",9,IF(J567="pictures",10,IF(J567="object pictures",11,IF(J567="faces",12,IF(J567="names",13,IF(J567="idioms",14,IF(J567="grades",15,IF(J567="syllable-digit pairs",16,IF(J567="trigram-word pairs",17,IF(J567="word-digit pairs",18,IF(J567="English-Swahili pairs",19,IF(J567="spatial position",20,IF(J567="word pairs",21,IF(J567="word triads",22,IF(J567="generated words",23,IF(J567="word definition pairs",24,IF(J567="math problems",25,IF(J567="famous faces",26,IF(J567="famous names",27,IF(J567="famous voices",28,IF(J567="television programs",29,IF(J567="race horses",30,IF(J567="new vocabulary",31,IF(J567="sentences",32,IF(J567="concepts",33,IF(J567="ad slides",34,IF(J567="scenes",35,IF(J567="famous scenes",36,IF(J567="poems",37,IF(J567="walk",38,IF(J567="faces and events",39,IF(J567="events and names",40,IF(J567="flashbulb",41,IF(J567="stories",42,IF(J567="course material",43,IF(J567="autobiographical",44,IF(J567="novels",45,IF(J567="public events",46,"99"))))))))))))))))))))))))))))))))))))))))))))))</f>
        <v>41</v>
      </c>
      <c r="L567" s="69">
        <f>IF(J567="syllables",1,IF(J567="trigrams",1,IF(J567="strings",1,IF(J567="visual array",1,IF(J567="characters",1,IF(J567="letters",1,IF(J567="free forms",1,IF(J567="odors",2,IF(J567="words",2,IF(J567="pictures",2,IF(J567="object pictures",2,IF(J567="faces",2,IF(J567="names",2,IF(J567="idioms","2",IF(J567="grades",2,IF(J567="syllable-digit pairs",3,IF(J567="trigram-word pairs",3,IF(J567="word-digit pairs",3,IF(J567="English-Swahili pairs",3,IF(J567="spatial position",3,IF(J567="word pairs",4,IF(J567="word triads",4,IF(J567="generated words",4,IF(J567="word definition pairs",4,IF(J567="math problems",4,IF(J567="famous faces",4,IF(J567="famous names",4,IF(J567="famous voices",4,IF(J567="television programs",4,IF(J567="race horses",4,IF(J567="new vocabulary",4,IF(J567="sentences",5,IF(J567="concepts",5,IF(J567="ad slides",5,IF(J567="scenes",5,IF(J567="famous scenes",5,IF(J567="poems",6,IF(J567="walk",6,IF(J567="faces and events",6,IF(J567="events and names",6,IF(J567="flashbulb",7,IF(J567="stories",7,IF(J567="course material",7,IF(J567="autobiographical",7,IF(J567="novels",7,IF(J567="public events",7,"99"))))))))))))))))))))))))))))))))))))))))))))))</f>
        <v>7</v>
      </c>
      <c r="M567" s="69">
        <v>1</v>
      </c>
      <c r="N567" s="69">
        <v>4</v>
      </c>
      <c r="O567" s="69">
        <v>0</v>
      </c>
      <c r="P567" s="69"/>
      <c r="Q567" s="69" t="s">
        <v>174</v>
      </c>
      <c r="R567" s="69">
        <f>IF(Q567="Free Recall",1,IF(Q567="Cued Recall",2,IF(Q567="Recognition",3,IF(Q567="Multiple Choice",4,IF(Q567="Savings",5,IF(Q567="Stem Completion",6,IF(Q567="Fragment Completion",7,IF(Q567="anagram solution",8,IF(Q567="Matching",9,IF(Q567="Problem Solving",10,"99"))))))))))</f>
        <v>1</v>
      </c>
      <c r="S567" s="69" t="s">
        <v>15</v>
      </c>
      <c r="T567" s="69" t="s">
        <v>261</v>
      </c>
      <c r="U567" s="69">
        <f>IF(T567="within",1,0)</f>
        <v>0</v>
      </c>
      <c r="V567" s="69">
        <v>12</v>
      </c>
      <c r="W567" s="69">
        <f>F567*V567</f>
        <v>13452</v>
      </c>
      <c r="X567" s="69">
        <v>4</v>
      </c>
      <c r="Y567" s="87">
        <f>AV566</f>
        <v>693792</v>
      </c>
      <c r="Z567" s="69" t="s">
        <v>219</v>
      </c>
      <c r="AA567" s="69">
        <v>312427152</v>
      </c>
      <c r="AB567" s="69" t="str">
        <f>IF(AA567&lt;60,"1",IF(AA567&lt;=43200,"2",IF(AA567&lt;=777600,"3","4")))</f>
        <v>4</v>
      </c>
      <c r="AC567" s="72">
        <f>AVERAGE(AV566:DA566)</f>
        <v>108673056</v>
      </c>
      <c r="AD567" s="69" t="str">
        <f>IF(AC567&lt;60,"1",IF(AC567&lt;=43200,"2",IF(AC567&lt;=777600,"3","4")))</f>
        <v>4</v>
      </c>
      <c r="AE567" s="87">
        <f>AA567-Y567</f>
        <v>311733360</v>
      </c>
      <c r="AF567" s="88">
        <f>AV567</f>
        <v>0.91</v>
      </c>
      <c r="AG567" s="72">
        <f>((AW567-AV567)+(AX567-AW567)+(AY567-AX567))/3</f>
        <v>-3.3333333333333326E-2</v>
      </c>
      <c r="AH567" s="4"/>
      <c r="AI567" s="72">
        <f>RSQ(AV567:AY567,AV566:AY566)</f>
        <v>0.20745290581770823</v>
      </c>
      <c r="AJ567" s="110">
        <f>SLOPE(AV567:AY567,AV566:AY566)</f>
        <v>-1.6744847446962547E-10</v>
      </c>
      <c r="AK567" s="72">
        <f>INTERCEPT(AV567:AY567,AV566:AY566)</f>
        <v>0.85069713744315223</v>
      </c>
      <c r="AL567" s="72">
        <f>INDEX(LINEST(LN(AV567:AY567),LN(AV566:AY566),TRUE,TRUE),3,1)</f>
        <v>0.80266519869482433</v>
      </c>
      <c r="AM567" s="72">
        <f>INDEX(LINEST(LN(AV567:AY567),LN(AV566:AY566)),1)</f>
        <v>-2.054809097565808E-2</v>
      </c>
      <c r="AN567" s="72">
        <f>EXP(INDEX(LINEST(LN(AV567:AY567),LN(AV566:AY566)),1,2))</f>
        <v>1.1822073022858959</v>
      </c>
      <c r="AO567" s="89">
        <f>INDEX(LINEST((AV567:AY567),LN(AV566:AY566),TRUE,TRUE),3,1)</f>
        <v>0.80686830506998442</v>
      </c>
      <c r="AP567" s="89">
        <f>INDEX(LINEST((AV567:AY567),LN(AV566:AY566)),1)</f>
        <v>-1.7649592653409929E-2</v>
      </c>
      <c r="AQ567" s="90">
        <f>INDEX(LINEST(LN(AV567:AY567),SQRT(AV566:AY566),TRUE,TRUE),3,1)</f>
        <v>0.41919361923263876</v>
      </c>
      <c r="AR567" s="117">
        <f>INDEX(LINEST(LN(AV567:AY567),SQRT((AV566:AY566))),1)</f>
        <v>-5.478335892915269E-6</v>
      </c>
      <c r="AS567" s="91">
        <f>INDEX(LINEST(1/(AV567:AY567),1/(SQRT(AV566:AY566)),TRUE,TRUE),3,1)</f>
        <v>0.96183791266144225</v>
      </c>
      <c r="AT567" s="91">
        <f>INDEX(LINEST(1/(AV567:AY567),1/SQRT(AV566:AY566)),1)</f>
        <v>-127.30365836830035</v>
      </c>
      <c r="AU567" s="3"/>
      <c r="AV567" s="73">
        <v>0.91</v>
      </c>
      <c r="AW567" s="73">
        <v>0.8</v>
      </c>
      <c r="AX567" s="73">
        <v>0.81</v>
      </c>
      <c r="AY567" s="73">
        <v>0.81</v>
      </c>
      <c r="AZ567" s="46"/>
      <c r="BA567" s="42"/>
      <c r="BB567" s="4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1"/>
      <c r="CS567" s="1"/>
      <c r="CT567" s="1"/>
      <c r="CU567" s="1"/>
    </row>
    <row r="568" spans="1:99" s="13" customFormat="1" ht="12" customHeight="1" x14ac:dyDescent="0.2">
      <c r="A568" s="65">
        <v>43509</v>
      </c>
      <c r="B568" s="1"/>
      <c r="C568" s="1"/>
      <c r="D568" s="60"/>
      <c r="E568" s="76"/>
      <c r="F568" s="60"/>
      <c r="G568" s="60"/>
      <c r="H568" s="60"/>
      <c r="I568" s="60"/>
      <c r="J568" s="60"/>
      <c r="K568" s="64"/>
      <c r="L568" s="64"/>
      <c r="M568" s="60"/>
      <c r="N568" s="60"/>
      <c r="O568" s="60"/>
      <c r="P568" s="60"/>
      <c r="Q568" s="60"/>
      <c r="R568" s="60"/>
      <c r="S568" s="60"/>
      <c r="T568" s="60"/>
      <c r="U568" s="60"/>
      <c r="V568" s="60"/>
      <c r="W568" s="60"/>
      <c r="X568" s="60"/>
      <c r="Y568" s="76"/>
      <c r="Z568" s="60"/>
      <c r="AA568" s="60"/>
      <c r="AB568" s="60"/>
      <c r="AC568" s="60"/>
      <c r="AD568" s="60"/>
      <c r="AE568" s="60"/>
      <c r="AF568" s="80"/>
      <c r="AG568" s="56"/>
      <c r="AH568" s="4"/>
      <c r="AI568" s="56"/>
      <c r="AJ568" s="109"/>
      <c r="AK568" s="56"/>
      <c r="AL568" s="56"/>
      <c r="AM568" s="56"/>
      <c r="AN568" s="56"/>
      <c r="AO568" s="56"/>
      <c r="AP568" s="56"/>
      <c r="AQ568" s="56"/>
      <c r="AR568" s="109"/>
      <c r="AS568" s="56"/>
      <c r="AT568" s="56"/>
      <c r="AU568" s="7"/>
      <c r="AV568" s="53">
        <v>74</v>
      </c>
      <c r="AW568" s="25">
        <f>60</f>
        <v>60</v>
      </c>
      <c r="AX568" s="25">
        <f>5*60</f>
        <v>300</v>
      </c>
      <c r="AY568" s="25">
        <f>30*60</f>
        <v>1800</v>
      </c>
      <c r="AZ568" s="25">
        <f>3600*24</f>
        <v>86400</v>
      </c>
      <c r="BA568" s="42" t="s">
        <v>515</v>
      </c>
      <c r="BB568" s="4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1"/>
      <c r="CS568" s="1"/>
      <c r="CT568" s="1"/>
      <c r="CU568" s="1"/>
    </row>
    <row r="569" spans="1:99" s="13" customFormat="1" ht="12" customHeight="1" x14ac:dyDescent="0.2">
      <c r="A569" s="65">
        <v>43509</v>
      </c>
      <c r="B569" s="1" t="s">
        <v>81</v>
      </c>
      <c r="C569" s="1" t="s">
        <v>82</v>
      </c>
      <c r="D569" s="60">
        <v>1968</v>
      </c>
      <c r="E569" s="76">
        <v>1</v>
      </c>
      <c r="F569" s="60">
        <v>95</v>
      </c>
      <c r="G569" s="60">
        <v>19</v>
      </c>
      <c r="H569" s="60" t="s">
        <v>50</v>
      </c>
      <c r="I569" s="60" t="s">
        <v>706</v>
      </c>
      <c r="J569" s="60" t="s">
        <v>281</v>
      </c>
      <c r="K569" s="60">
        <f>IF(J569="syllables",1,IF(J569="trigrams",2,IF(J569="strings",3,IF(J569="visual array",4,IF(J569="characters",5,IF(J569="letters",6,IF(J569="free forms",7,IF(J569="odors",8,IF(J569="words",9,IF(J569="pictures",10,IF(J569="object pictures",11,IF(J569="faces",12,IF(J569="names",13,IF(J569="idioms",14,IF(J569="grades",15,IF(J569="syllable-digit pairs",16,IF(J569="trigram-word pairs",17,IF(J569="word-digit pairs",18,IF(J569="English-Swahili pairs",19,IF(J569="spatial position",20,IF(J569="word pairs",21,IF(J569="word triads",22,IF(J569="generated words",23,IF(J569="word definition pairs",24,IF(J569="math problems",25,IF(J569="famous faces",26,IF(J569="famous names",27,IF(J569="famous voices",28,IF(J569="television programs",29,IF(J569="race horses",30,IF(J569="new vocabulary",31,IF(J569="sentences",32,IF(J569="concepts",33,IF(J569="ad slides",34,IF(J569="scenes",35,IF(J569="famous scenes",36,IF(J569="poems",37,IF(J569="walk",38,IF(J569="faces and events",39,IF(J569="events and names",40,IF(J569="flashbulb",41,IF(J569="stories",42,IF(J569="course material",43,IF(J569="autobiographical",44,IF(J569="novels",45,IF(J569="public events",46,"99"))))))))))))))))))))))))))))))))))))))))))))))</f>
        <v>1</v>
      </c>
      <c r="L569" s="60">
        <f>IF(J569="syllables",1,IF(J569="trigrams",1,IF(J569="strings",1,IF(J569="visual array",1,IF(J569="characters",1,IF(J569="letters",1,IF(J569="free forms",1,IF(J569="odors",2,IF(J569="words",2,IF(J569="pictures",2,IF(J569="object pictures",2,IF(J569="faces",2,IF(J569="names",2,IF(J569="idioms","2",IF(J569="grades",2,IF(J569="syllable-digit pairs",3,IF(J569="trigram-word pairs",3,IF(J569="word-digit pairs",3,IF(J569="English-Swahili pairs",3,IF(J569="spatial position",3,IF(J569="word pairs",4,IF(J569="word triads",4,IF(J569="generated words",4,IF(J569="word definition pairs",4,IF(J569="math problems",4,IF(J569="famous faces",4,IF(J569="famous names",4,IF(J569="famous voices",4,IF(J569="television programs",4,IF(J569="race horses",4,IF(J569="new vocabulary",4,IF(J569="sentences",5,IF(J569="concepts",5,IF(J569="ad slides",5,IF(J569="scenes",5,IF(J569="famous scenes",5,IF(J569="poems",6,IF(J569="walk",6,IF(J569="faces and events",6,IF(J569="events and names",6,IF(J569="flashbulb",7,IF(J569="stories",7,IF(J569="course material",7,IF(J569="autobiographical",7,IF(J569="novels",7,IF(J569="public events",7,"99"))))))))))))))))))))))))))))))))))))))))))))))</f>
        <v>1</v>
      </c>
      <c r="M569" s="60">
        <v>0</v>
      </c>
      <c r="N569" s="60">
        <v>1</v>
      </c>
      <c r="O569" s="60">
        <v>1</v>
      </c>
      <c r="P569" s="60" t="s">
        <v>83</v>
      </c>
      <c r="Q569" s="60" t="s">
        <v>174</v>
      </c>
      <c r="R569" s="60">
        <f>IF(Q569="Free Recall",1,IF(Q569="Cued Recall",2,IF(Q569="Recognition",3,IF(Q569="Multiple Choice",4,IF(Q569="Savings",5,IF(Q569="Stem Completion",6,IF(Q569="Fragment Completion",7,IF(Q569="anagram solution",8,IF(Q569="Matching",9,IF(Q569="Problem Solving",10,"99"))))))))))</f>
        <v>1</v>
      </c>
      <c r="S569" s="60" t="s">
        <v>49</v>
      </c>
      <c r="T569" s="60" t="s">
        <v>261</v>
      </c>
      <c r="U569" s="60">
        <f>IF(T569="within",1,0)</f>
        <v>0</v>
      </c>
      <c r="V569" s="60">
        <v>7</v>
      </c>
      <c r="W569" s="60">
        <f>F569*V569</f>
        <v>665</v>
      </c>
      <c r="X569" s="60">
        <v>5</v>
      </c>
      <c r="Y569" s="76">
        <f>AV568</f>
        <v>74</v>
      </c>
      <c r="Z569" s="60" t="s">
        <v>79</v>
      </c>
      <c r="AA569" s="60">
        <v>86400</v>
      </c>
      <c r="AB569" s="60" t="str">
        <f>IF(AA569&lt;60,"1",IF(AA569&lt;=43200,"2",IF(AA569&lt;=777600,"3","4")))</f>
        <v>3</v>
      </c>
      <c r="AC569" s="56">
        <f>AVERAGE(AV568:DA568)</f>
        <v>17726.8</v>
      </c>
      <c r="AD569" s="60" t="str">
        <f>IF(AC569&lt;60,"1",IF(AC569&lt;=43200,"2",IF(AC569&lt;=777600,"3","4")))</f>
        <v>2</v>
      </c>
      <c r="AE569" s="76">
        <f>AA569-Y569</f>
        <v>86326</v>
      </c>
      <c r="AF569" s="80">
        <f>AV569</f>
        <v>0.84299999999999997</v>
      </c>
      <c r="AG569" s="56">
        <f>((AW569-AV569)+(AX569-AW569)+(AY569-AX569)+(AZ569-AY569))/4</f>
        <v>-8.5749999999999993E-2</v>
      </c>
      <c r="AH569" s="4"/>
      <c r="AI569" s="56">
        <f>RSQ(AV569:AZ569,AV568:AZ568)</f>
        <v>0.27054475291634944</v>
      </c>
      <c r="AJ569" s="109">
        <f>SLOPE(AV569:AZ569,AV568:AZ568)</f>
        <v>-1.9199787660416178E-6</v>
      </c>
      <c r="AK569" s="56">
        <f>INTERCEPT(AV569:AZ569,AV568:AZ568)</f>
        <v>0.66263507958986656</v>
      </c>
      <c r="AL569" s="56">
        <f>INDEX(LINEST(LN(AV569:AZ569),LN(AV568:AZ568),TRUE,TRUE),3,1)</f>
        <v>0.65097240595077277</v>
      </c>
      <c r="AM569" s="56">
        <f>INDEX(LINEST(LN(AV569:AZ569),LN(AV568:AZ568)),1)</f>
        <v>-5.9043720295593315E-2</v>
      </c>
      <c r="AN569" s="56">
        <f>EXP(INDEX(LINEST(LN(AV569:AZ569),LN(AV568:AZ568)),1,2))</f>
        <v>0.90977912094093505</v>
      </c>
      <c r="AO569" s="82">
        <f>INDEX(LINEST((AV569:AZ569),LN(AV568:AZ568),TRUE,TRUE),3,1)</f>
        <v>0.60054519349039648</v>
      </c>
      <c r="AP569" s="82">
        <f>INDEX(LINEST((AV569:AZ569),LN(AV568:AZ568)),1)</f>
        <v>-3.6674526944839435E-2</v>
      </c>
      <c r="AQ569" s="83">
        <f>INDEX(LINEST(LN(AV569:AZ569),SQRT(AV568:AZ568),TRUE,TRUE),3,1)</f>
        <v>0.3769173825015556</v>
      </c>
      <c r="AR569" s="116">
        <f>INDEX(LINEST(LN(AV569:AZ569),SQRT((AV568:AZ568))),1)</f>
        <v>-1.0873531542923412E-3</v>
      </c>
      <c r="AS569" s="84">
        <f>INDEX(LINEST(1/(AV569:AZ569),1/(SQRT(AV568:AZ568)),TRUE,TRUE),3,1)</f>
        <v>0.78421084347388648</v>
      </c>
      <c r="AT569" s="84">
        <f>INDEX(LINEST(1/(AV569:AZ569),1/SQRT(AV568:AZ568)),1)</f>
        <v>-5.5725197460782718</v>
      </c>
      <c r="AU569" s="3"/>
      <c r="AV569" s="53">
        <v>0.84299999999999997</v>
      </c>
      <c r="AW569" s="53">
        <v>0.66400000000000003</v>
      </c>
      <c r="AX569" s="53">
        <v>0.63600000000000001</v>
      </c>
      <c r="AY569" s="53">
        <v>0.5</v>
      </c>
      <c r="AZ569" s="53">
        <v>0.5</v>
      </c>
      <c r="BA569" s="42"/>
      <c r="BB569" s="4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1"/>
      <c r="CS569" s="1"/>
      <c r="CT569" s="1"/>
      <c r="CU569" s="1"/>
    </row>
    <row r="570" spans="1:99" s="13" customFormat="1" ht="12" customHeight="1" x14ac:dyDescent="0.2">
      <c r="A570" s="65">
        <v>43509</v>
      </c>
      <c r="B570" s="1"/>
      <c r="C570" s="1"/>
      <c r="D570" s="60"/>
      <c r="E570" s="76"/>
      <c r="F570" s="60"/>
      <c r="G570" s="60"/>
      <c r="H570" s="60"/>
      <c r="I570" s="60"/>
      <c r="J570" s="60"/>
      <c r="K570" s="64"/>
      <c r="L570" s="64"/>
      <c r="M570" s="60"/>
      <c r="N570" s="60"/>
      <c r="O570" s="60"/>
      <c r="P570" s="60"/>
      <c r="Q570" s="60"/>
      <c r="R570" s="60"/>
      <c r="S570" s="60"/>
      <c r="T570" s="60"/>
      <c r="U570" s="60"/>
      <c r="V570" s="60"/>
      <c r="W570" s="60"/>
      <c r="X570" s="60"/>
      <c r="Y570" s="76"/>
      <c r="Z570" s="60"/>
      <c r="AA570" s="60"/>
      <c r="AB570" s="60"/>
      <c r="AC570" s="60"/>
      <c r="AD570" s="60"/>
      <c r="AE570" s="60"/>
      <c r="AF570" s="80"/>
      <c r="AG570" s="56"/>
      <c r="AH570" s="4"/>
      <c r="AI570" s="56"/>
      <c r="AJ570" s="109"/>
      <c r="AK570" s="56"/>
      <c r="AL570" s="56"/>
      <c r="AM570" s="56"/>
      <c r="AN570" s="56"/>
      <c r="AO570" s="56"/>
      <c r="AP570" s="56"/>
      <c r="AQ570" s="82"/>
      <c r="AR570" s="115"/>
      <c r="AS570" s="82"/>
      <c r="AT570" s="82"/>
      <c r="AU570" s="5"/>
      <c r="AV570" s="53">
        <v>74</v>
      </c>
      <c r="AW570" s="25">
        <f>60</f>
        <v>60</v>
      </c>
      <c r="AX570" s="25">
        <f>5*60</f>
        <v>300</v>
      </c>
      <c r="AY570" s="25">
        <f>30*60</f>
        <v>1800</v>
      </c>
      <c r="AZ570" s="25">
        <f>3600*24</f>
        <v>86400</v>
      </c>
      <c r="BA570" s="42"/>
      <c r="BB570" s="42"/>
      <c r="BC570" s="42"/>
      <c r="BD570" s="42"/>
      <c r="BE570" s="42"/>
      <c r="BF570" s="42"/>
      <c r="BG570" s="4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1"/>
      <c r="CS570" s="1"/>
      <c r="CT570" s="1"/>
      <c r="CU570" s="1"/>
    </row>
    <row r="571" spans="1:99" s="13" customFormat="1" ht="12" customHeight="1" x14ac:dyDescent="0.2">
      <c r="A571" s="65">
        <v>43509</v>
      </c>
      <c r="B571" s="1" t="s">
        <v>81</v>
      </c>
      <c r="C571" s="1" t="s">
        <v>82</v>
      </c>
      <c r="D571" s="60">
        <v>1968</v>
      </c>
      <c r="E571" s="76">
        <v>1</v>
      </c>
      <c r="F571" s="60">
        <v>95</v>
      </c>
      <c r="G571" s="60">
        <v>19</v>
      </c>
      <c r="H571" s="60" t="s">
        <v>50</v>
      </c>
      <c r="I571" s="60" t="s">
        <v>707</v>
      </c>
      <c r="J571" s="60" t="s">
        <v>281</v>
      </c>
      <c r="K571" s="60">
        <f>IF(J571="syllables",1,IF(J571="trigrams",2,IF(J571="strings",3,IF(J571="visual array",4,IF(J571="characters",5,IF(J571="letters",6,IF(J571="free forms",7,IF(J571="odors",8,IF(J571="words",9,IF(J571="pictures",10,IF(J571="object pictures",11,IF(J571="faces",12,IF(J571="names",13,IF(J571="idioms",14,IF(J571="grades",15,IF(J571="syllable-digit pairs",16,IF(J571="trigram-word pairs",17,IF(J571="word-digit pairs",18,IF(J571="English-Swahili pairs",19,IF(J571="spatial position",20,IF(J571="word pairs",21,IF(J571="word triads",22,IF(J571="generated words",23,IF(J571="word definition pairs",24,IF(J571="math problems",25,IF(J571="famous faces",26,IF(J571="famous names",27,IF(J571="famous voices",28,IF(J571="television programs",29,IF(J571="race horses",30,IF(J571="new vocabulary",31,IF(J571="sentences",32,IF(J571="concepts",33,IF(J571="ad slides",34,IF(J571="scenes",35,IF(J571="famous scenes",36,IF(J571="poems",37,IF(J571="walk",38,IF(J571="faces and events",39,IF(J571="events and names",40,IF(J571="flashbulb",41,IF(J571="stories",42,IF(J571="course material",43,IF(J571="autobiographical",44,IF(J571="novels",45,IF(J571="public events",46,"99"))))))))))))))))))))))))))))))))))))))))))))))</f>
        <v>1</v>
      </c>
      <c r="L571" s="60">
        <f>IF(J571="syllables",1,IF(J571="trigrams",1,IF(J571="strings",1,IF(J571="visual array",1,IF(J571="characters",1,IF(J571="letters",1,IF(J571="free forms",1,IF(J571="odors",2,IF(J571="words",2,IF(J571="pictures",2,IF(J571="object pictures",2,IF(J571="faces",2,IF(J571="names",2,IF(J571="idioms","2",IF(J571="grades",2,IF(J571="syllable-digit pairs",3,IF(J571="trigram-word pairs",3,IF(J571="word-digit pairs",3,IF(J571="English-Swahili pairs",3,IF(J571="spatial position",3,IF(J571="word pairs",4,IF(J571="word triads",4,IF(J571="generated words",4,IF(J571="word definition pairs",4,IF(J571="math problems",4,IF(J571="famous faces",4,IF(J571="famous names",4,IF(J571="famous voices",4,IF(J571="television programs",4,IF(J571="race horses",4,IF(J571="new vocabulary",4,IF(J571="sentences",5,IF(J571="concepts",5,IF(J571="ad slides",5,IF(J571="scenes",5,IF(J571="famous scenes",5,IF(J571="poems",6,IF(J571="walk",6,IF(J571="faces and events",6,IF(J571="events and names",6,IF(J571="flashbulb",7,IF(J571="stories",7,IF(J571="course material",7,IF(J571="autobiographical",7,IF(J571="novels",7,IF(J571="public events",7,"99"))))))))))))))))))))))))))))))))))))))))))))))</f>
        <v>1</v>
      </c>
      <c r="M571" s="60">
        <v>0</v>
      </c>
      <c r="N571" s="60">
        <v>1</v>
      </c>
      <c r="O571" s="60">
        <v>1</v>
      </c>
      <c r="P571" s="60" t="s">
        <v>83</v>
      </c>
      <c r="Q571" s="60" t="s">
        <v>174</v>
      </c>
      <c r="R571" s="60">
        <f>IF(Q571="Free Recall",1,IF(Q571="Cued Recall",2,IF(Q571="Recognition",3,IF(Q571="Multiple Choice",4,IF(Q571="Savings",5,IF(Q571="Stem Completion",6,IF(Q571="Fragment Completion",7,IF(Q571="anagram solution",8,IF(Q571="Matching",9,IF(Q571="Problem Solving",10,"99"))))))))))</f>
        <v>1</v>
      </c>
      <c r="S571" s="60" t="s">
        <v>49</v>
      </c>
      <c r="T571" s="60" t="s">
        <v>261</v>
      </c>
      <c r="U571" s="60">
        <f>IF(T571="within",1,0)</f>
        <v>0</v>
      </c>
      <c r="V571" s="60">
        <v>7</v>
      </c>
      <c r="W571" s="60">
        <f>F571*V571</f>
        <v>665</v>
      </c>
      <c r="X571" s="60">
        <v>5</v>
      </c>
      <c r="Y571" s="76">
        <f>AV570</f>
        <v>74</v>
      </c>
      <c r="Z571" s="60" t="s">
        <v>79</v>
      </c>
      <c r="AA571" s="60">
        <v>86400</v>
      </c>
      <c r="AB571" s="60" t="str">
        <f>IF(AA571&lt;60,"1",IF(AA571&lt;=43200,"2",IF(AA571&lt;=777600,"3","4")))</f>
        <v>3</v>
      </c>
      <c r="AC571" s="56">
        <f>AVERAGE(AV570:DA570)</f>
        <v>17726.8</v>
      </c>
      <c r="AD571" s="60" t="str">
        <f>IF(AC571&lt;60,"1",IF(AC571&lt;=43200,"2",IF(AC571&lt;=777600,"3","4")))</f>
        <v>2</v>
      </c>
      <c r="AE571" s="76">
        <f>AA571-Y571</f>
        <v>86326</v>
      </c>
      <c r="AF571" s="80">
        <f>AV571</f>
        <v>0.5</v>
      </c>
      <c r="AG571" s="56">
        <f>((AW571-AV571)+(AX571-AW571)+(AY571-AX571)+(AZ571-AY571))/4</f>
        <v>7.5000000000000011E-2</v>
      </c>
      <c r="AH571" s="4"/>
      <c r="AI571" s="56">
        <f>RSQ(AV571:AZ571,AV570:AZ570)</f>
        <v>0.56019354748020522</v>
      </c>
      <c r="AJ571" s="109">
        <f>SLOPE(AV571:AZ571,AV570:AZ570)</f>
        <v>2.4085314239880585E-6</v>
      </c>
      <c r="AK571" s="56">
        <f>INTERCEPT(AV571:AZ571,AV570:AZ570)</f>
        <v>0.59450444515324852</v>
      </c>
      <c r="AL571" s="56">
        <f>INDEX(LINEST(LN(AV571:AZ571),LN(AV570:AZ570),TRUE,TRUE),3,1)</f>
        <v>0.85775703237021395</v>
      </c>
      <c r="AM571" s="56">
        <f>INDEX(LINEST(LN(AV571:AZ571),LN(AV570:AZ570)),1)</f>
        <v>5.9411494359683181E-2</v>
      </c>
      <c r="AN571" s="56">
        <f>EXP(INDEX(LINEST(LN(AV571:AZ571),LN(AV570:AZ570)),1,2))</f>
        <v>0.42433985267814778</v>
      </c>
      <c r="AO571" s="82">
        <f>INDEX(LINEST((AV571:AZ571),LN(AV570:AZ570),TRUE,TRUE),3,1)</f>
        <v>0.88986038103971543</v>
      </c>
      <c r="AP571" s="82">
        <f>INDEX(LINEST((AV571:AZ571),LN(AV570:AZ570)),1)</f>
        <v>3.8918761061479068E-2</v>
      </c>
      <c r="AQ571" s="83">
        <f>INDEX(LINEST(LN(AV571:AZ571),SQRT(AV570:AZ570),TRUE,TRUE),3,1)</f>
        <v>0.60248751828343394</v>
      </c>
      <c r="AR571" s="116">
        <f>INDEX(LINEST(LN(AV571:AZ571),SQRT((AV570:AZ570))),1)</f>
        <v>1.2050844169417016E-3</v>
      </c>
      <c r="AS571" s="84">
        <f>INDEX(LINEST(1/(AV571:AZ571),1/(SQRT(AV570:AZ570)),TRUE,TRUE),3,1)</f>
        <v>0.84076455684347173</v>
      </c>
      <c r="AT571" s="84">
        <f>INDEX(LINEST(1/(AV571:AZ571),1/SQRT(AV570:AZ570)),1)</f>
        <v>5.035043633850723</v>
      </c>
      <c r="AU571" s="3"/>
      <c r="AV571" s="53">
        <v>0.5</v>
      </c>
      <c r="AW571" s="53">
        <v>0.56399999999999995</v>
      </c>
      <c r="AX571" s="53">
        <v>0.59299999999999997</v>
      </c>
      <c r="AY571" s="53">
        <v>0.72899999999999998</v>
      </c>
      <c r="AZ571" s="53">
        <v>0.8</v>
      </c>
      <c r="BA571" s="42"/>
      <c r="BB571" s="4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1"/>
      <c r="CS571" s="1"/>
      <c r="CT571" s="1"/>
      <c r="CU571" s="1"/>
    </row>
    <row r="572" spans="1:99" s="13" customFormat="1" ht="12" customHeight="1" x14ac:dyDescent="0.2">
      <c r="A572" s="68">
        <v>43902</v>
      </c>
      <c r="B572" s="70"/>
      <c r="C572" s="70"/>
      <c r="D572" s="69"/>
      <c r="E572" s="87"/>
      <c r="F572" s="69"/>
      <c r="G572" s="69"/>
      <c r="H572" s="69"/>
      <c r="I572" s="69"/>
      <c r="J572" s="69"/>
      <c r="K572" s="107"/>
      <c r="L572" s="107"/>
      <c r="M572" s="69"/>
      <c r="N572" s="86"/>
      <c r="O572" s="69"/>
      <c r="P572" s="69"/>
      <c r="Q572" s="69"/>
      <c r="R572" s="69"/>
      <c r="S572" s="69"/>
      <c r="T572" s="69"/>
      <c r="U572" s="69"/>
      <c r="V572" s="69"/>
      <c r="W572" s="69"/>
      <c r="X572" s="69"/>
      <c r="Y572" s="87"/>
      <c r="Z572" s="69"/>
      <c r="AA572" s="69"/>
      <c r="AB572" s="69"/>
      <c r="AC572" s="72"/>
      <c r="AD572" s="69"/>
      <c r="AE572" s="69"/>
      <c r="AF572" s="88"/>
      <c r="AG572" s="72"/>
      <c r="AH572" s="4"/>
      <c r="AI572" s="72"/>
      <c r="AJ572" s="110"/>
      <c r="AK572" s="72"/>
      <c r="AL572" s="72"/>
      <c r="AM572" s="72"/>
      <c r="AN572" s="72"/>
      <c r="AO572" s="89"/>
      <c r="AP572" s="89"/>
      <c r="AQ572" s="90"/>
      <c r="AR572" s="117"/>
      <c r="AS572" s="91"/>
      <c r="AT572" s="91"/>
      <c r="AU572" s="3"/>
      <c r="AV572" s="71">
        <v>315360000</v>
      </c>
      <c r="AW572" s="71">
        <v>630720000</v>
      </c>
      <c r="AX572" s="71">
        <v>946080000</v>
      </c>
      <c r="AY572" s="71">
        <v>1261440000</v>
      </c>
      <c r="AZ572" s="71">
        <v>1576800000</v>
      </c>
      <c r="BA572" s="71">
        <v>1892160000</v>
      </c>
      <c r="BB572" s="42"/>
      <c r="BC572" s="34"/>
      <c r="BD572" s="34"/>
      <c r="BE572" s="34"/>
      <c r="BF572" s="34"/>
      <c r="BG572" s="34"/>
      <c r="BH572" s="34"/>
      <c r="BI572" s="34"/>
      <c r="BJ572" s="34"/>
      <c r="BK572" s="34"/>
      <c r="BL572" s="34"/>
      <c r="BM572" s="34"/>
      <c r="BN572" s="34"/>
      <c r="BO572" s="34"/>
      <c r="BP572" s="34"/>
      <c r="BQ572" s="34"/>
      <c r="BR572" s="34"/>
      <c r="BS572" s="34"/>
      <c r="BT572" s="34"/>
      <c r="BU572" s="34"/>
      <c r="BV572" s="34"/>
      <c r="BW572" s="34"/>
      <c r="BX572" s="34"/>
      <c r="BY572" s="34"/>
      <c r="BZ572" s="34"/>
      <c r="CA572" s="34"/>
      <c r="CB572" s="34"/>
      <c r="CC572" s="34"/>
      <c r="CD572" s="34"/>
      <c r="CE572" s="34"/>
      <c r="CF572" s="34"/>
      <c r="CG572" s="34"/>
      <c r="CH572" s="34"/>
      <c r="CI572" s="34"/>
      <c r="CJ572" s="34"/>
      <c r="CK572" s="34"/>
      <c r="CL572" s="34"/>
      <c r="CM572" s="34"/>
      <c r="CN572" s="34"/>
      <c r="CO572" s="34"/>
      <c r="CP572" s="34"/>
      <c r="CQ572" s="34"/>
      <c r="CR572" s="1"/>
      <c r="CS572" s="1"/>
      <c r="CT572" s="1"/>
      <c r="CU572" s="1"/>
    </row>
    <row r="573" spans="1:99" s="13" customFormat="1" ht="12" customHeight="1" x14ac:dyDescent="0.2">
      <c r="A573" s="68">
        <v>43902</v>
      </c>
      <c r="B573" s="70" t="s">
        <v>454</v>
      </c>
      <c r="C573" s="70" t="s">
        <v>425</v>
      </c>
      <c r="D573" s="69">
        <v>1986</v>
      </c>
      <c r="E573" s="87">
        <v>1</v>
      </c>
      <c r="F573" s="69">
        <v>18</v>
      </c>
      <c r="G573" s="69">
        <v>18</v>
      </c>
      <c r="H573" s="69" t="s">
        <v>50</v>
      </c>
      <c r="I573" s="69" t="s">
        <v>330</v>
      </c>
      <c r="J573" s="69" t="s">
        <v>336</v>
      </c>
      <c r="K573" s="69">
        <f>IF(J573="syllables",1,IF(J573="trigrams",2,IF(J573="strings",3,IF(J573="visual array",4,IF(J573="characters",5,IF(J573="letters",6,IF(J573="free forms",7,IF(J573="odors",8,IF(J573="words",9,IF(J573="pictures",10,IF(J573="object pictures",11,IF(J573="faces",12,IF(J573="names",13,IF(J573="idioms",14,IF(J573="grades",15,IF(J573="syllable-digit pairs",16,IF(J573="trigram-word pairs",17,IF(J573="word-digit pairs",18,IF(J573="English-Swahili pairs",19,IF(J573="spatial position",20,IF(J573="word pairs",21,IF(J573="word triads",22,IF(J573="generated words",23,IF(J573="word definition pairs",24,IF(J573="math problems",25,IF(J573="famous faces",26,IF(J573="famous names",27,IF(J573="famous voices",28,IF(J573="television programs",29,IF(J573="race horses",30,IF(J573="new vocabulary",31,IF(J573="sentences",32,IF(J573="concepts",33,IF(J573="ad slides",34,IF(J573="scenes",35,IF(J573="famous scenes",36,IF(J573="poems",37,IF(J573="walk",38,IF(J573="faces and events",39,IF(J573="events and names",40,IF(J573="flashbulb",41,IF(J573="stories",42,IF(J573="course material",43,IF(J573="autobiographical",44,IF(J573="novels",45,IF(J573="public events",46,"99"))))))))))))))))))))))))))))))))))))))))))))))</f>
        <v>39</v>
      </c>
      <c r="L573" s="69">
        <f>IF(J573="syllables",1,IF(J573="trigrams",1,IF(J573="strings",1,IF(J573="visual array",1,IF(J573="characters",1,IF(J573="letters",1,IF(J573="free forms",1,IF(J573="odors",2,IF(J573="words",2,IF(J573="pictures",2,IF(J573="object pictures",2,IF(J573="faces",2,IF(J573="names",2,IF(J573="idioms","2",IF(J573="grades",2,IF(J573="syllable-digit pairs",3,IF(J573="trigram-word pairs",3,IF(J573="word-digit pairs",3,IF(J573="English-Swahili pairs",3,IF(J573="spatial position",3,IF(J573="word pairs",4,IF(J573="word triads",4,IF(J573="generated words",4,IF(J573="word definition pairs",4,IF(J573="math problems",4,IF(J573="famous faces",4,IF(J573="famous names",4,IF(J573="famous voices",4,IF(J573="television programs",4,IF(J573="race horses",4,IF(J573="new vocabulary",4,IF(J573="sentences",5,IF(J573="concepts",5,IF(J573="ad slides",5,IF(J573="scenes",5,IF(J573="famous scenes",5,IF(J573="poems",6,IF(J573="walk",6,IF(J573="faces and events",6,IF(J573="events and names",6,IF(J573="flashbulb",7,IF(J573="stories",7,IF(J573="course material",7,IF(J573="autobiographical",7,IF(J573="novels",7,IF(J573="public events",7,"99"))))))))))))))))))))))))))))))))))))))))))))))</f>
        <v>6</v>
      </c>
      <c r="M573" s="69">
        <v>1</v>
      </c>
      <c r="N573" s="86">
        <v>3</v>
      </c>
      <c r="O573" s="69">
        <v>0</v>
      </c>
      <c r="P573" s="69"/>
      <c r="Q573" s="69" t="s">
        <v>174</v>
      </c>
      <c r="R573" s="69">
        <f>IF(Q573="Free Recall",1,IF(Q573="Cued Recall",2,IF(Q573="Recognition",3,IF(Q573="Multiple Choice",4,IF(Q573="Savings",5,IF(Q573="Stem Completion",6,IF(Q573="Fragment Completion",7,IF(Q573="anagram solution",8,IF(Q573="Matching",9,IF(Q573="Problem Solving",10,"99"))))))))))</f>
        <v>1</v>
      </c>
      <c r="S573" s="69" t="s">
        <v>49</v>
      </c>
      <c r="T573" s="92" t="s">
        <v>581</v>
      </c>
      <c r="U573" s="69">
        <f>IF(T573="within",1,0)</f>
        <v>1</v>
      </c>
      <c r="V573" s="92">
        <v>48</v>
      </c>
      <c r="W573" s="69">
        <f>F573*V573</f>
        <v>864</v>
      </c>
      <c r="X573" s="69">
        <v>6</v>
      </c>
      <c r="Y573" s="87">
        <f>AV572</f>
        <v>315360000</v>
      </c>
      <c r="Z573" s="69" t="s">
        <v>419</v>
      </c>
      <c r="AA573" s="69">
        <f>60*365*24*60*60</f>
        <v>1892160000</v>
      </c>
      <c r="AB573" s="69" t="str">
        <f>IF(AA573&lt;60,"1",IF(AA573&lt;=43200,"2",IF(AA573&lt;=777600,"3","4")))</f>
        <v>4</v>
      </c>
      <c r="AC573" s="72">
        <f>AVERAGE(AV572:DA572)</f>
        <v>1103760000</v>
      </c>
      <c r="AD573" s="69" t="str">
        <f>IF(AC573&lt;60,"1",IF(AC573&lt;=43200,"2",IF(AC573&lt;=777600,"3","4")))</f>
        <v>4</v>
      </c>
      <c r="AE573" s="87">
        <f>AA573-Y573</f>
        <v>1576800000</v>
      </c>
      <c r="AF573" s="88">
        <f>AV573</f>
        <v>0.68750000000000011</v>
      </c>
      <c r="AG573" s="72">
        <f>((AW573-AV573)+(AX573-AW573)+(AY573-AX573)+(AZ573-AY573)+(BA573-AZ573))/5</f>
        <v>-5.5851063829787332E-3</v>
      </c>
      <c r="AH573" s="4"/>
      <c r="AI573" s="72">
        <f>RSQ(AV573:BA573,AV572:BA572)</f>
        <v>0.22036183337134405</v>
      </c>
      <c r="AJ573" s="110">
        <f>SLOPE(AV573:BA573,AV572:BA572)</f>
        <v>-3.2311391266144378E-11</v>
      </c>
      <c r="AK573" s="72">
        <f>INTERCEPT(AV573:BA573,AV572:BA572)</f>
        <v>0.7358602656465747</v>
      </c>
      <c r="AL573" s="72">
        <f>INDEX(LINEST(LN(AV573:BA573),LN(AV572:BA572),TRUE,TRUE),3,1)</f>
        <v>0.10170480668612422</v>
      </c>
      <c r="AM573" s="72">
        <f>INDEX(LINEST(LN(AV573:BA573),LN(AV572:BA572)),1)</f>
        <v>-2.7645195459682675E-2</v>
      </c>
      <c r="AN573" s="72">
        <f>EXP(INDEX(LINEST(LN(AV573:BA573),LN(AV572:BA572)),1,2))</f>
        <v>1.2380417407700253</v>
      </c>
      <c r="AO573" s="89">
        <f>INDEX(LINEST((AV573:BA573),LN(AV572:BA572),TRUE,TRUE),3,1)</f>
        <v>9.6490031901509357E-2</v>
      </c>
      <c r="AP573" s="89">
        <f>INDEX(LINEST((AV573:BA573),LN(AV572:BA572)),1)</f>
        <v>-1.9036600043536141E-2</v>
      </c>
      <c r="AQ573" s="90">
        <f>INDEX(LINEST(LN(AV573:BA573),SQRT(AV572:BA572),TRUE,TRUE),3,1)</f>
        <v>0.16464072751717032</v>
      </c>
      <c r="AR573" s="117">
        <f>INDEX(LINEST(LN(AV573:BA573),SQRT((AV572:BA572))),1)</f>
        <v>-2.4412061272716184E-6</v>
      </c>
      <c r="AS573" s="91">
        <f>INDEX(LINEST(1/(AV573:BA573),1/(SQRT(AV572:BA572)),TRUE,TRUE),3,1)</f>
        <v>5.467696893961628E-2</v>
      </c>
      <c r="AT573" s="91">
        <f>INDEX(LINEST(1/(AV573:BA573),1/SQRT(AV572:BA572)),1)</f>
        <v>-1536.9561239437085</v>
      </c>
      <c r="AU573" s="3"/>
      <c r="AV573" s="73">
        <v>0.68750000000000011</v>
      </c>
      <c r="AW573" s="73">
        <v>0.73626373626373631</v>
      </c>
      <c r="AX573" s="73">
        <v>0.76</v>
      </c>
      <c r="AY573" s="73">
        <v>0.66086956521739137</v>
      </c>
      <c r="AZ573" s="73">
        <v>0.69696969696969691</v>
      </c>
      <c r="BA573" s="73">
        <v>0.65957446808510645</v>
      </c>
      <c r="BB573" s="42"/>
      <c r="BC573" s="34"/>
      <c r="BD573" s="34"/>
      <c r="BE573" s="34"/>
      <c r="BF573" s="34"/>
      <c r="BG573" s="34"/>
      <c r="BH573" s="34"/>
      <c r="BI573" s="34"/>
      <c r="BJ573" s="34"/>
      <c r="BK573" s="34"/>
      <c r="BL573" s="34"/>
      <c r="BM573" s="34"/>
      <c r="BN573" s="34"/>
      <c r="BO573" s="34"/>
      <c r="BP573" s="34"/>
      <c r="BQ573" s="34"/>
      <c r="BR573" s="34"/>
      <c r="BS573" s="34"/>
      <c r="BT573" s="34"/>
      <c r="BU573" s="34"/>
      <c r="BV573" s="34"/>
      <c r="BW573" s="34"/>
      <c r="BX573" s="34"/>
      <c r="BY573" s="34"/>
      <c r="BZ573" s="34"/>
      <c r="CA573" s="34"/>
      <c r="CB573" s="34"/>
      <c r="CC573" s="34"/>
      <c r="CD573" s="34"/>
      <c r="CE573" s="34"/>
      <c r="CF573" s="34"/>
      <c r="CG573" s="34"/>
      <c r="CH573" s="34"/>
      <c r="CI573" s="34"/>
      <c r="CJ573" s="34"/>
      <c r="CK573" s="34"/>
      <c r="CL573" s="34"/>
      <c r="CM573" s="34"/>
      <c r="CN573" s="34"/>
      <c r="CO573" s="34"/>
      <c r="CP573" s="34"/>
      <c r="CQ573" s="34"/>
      <c r="CR573" s="1"/>
      <c r="CS573" s="1"/>
      <c r="CT573" s="1"/>
      <c r="CU573" s="1"/>
    </row>
    <row r="574" spans="1:99" s="13" customFormat="1" ht="12" customHeight="1" x14ac:dyDescent="0.2">
      <c r="A574" s="68">
        <v>43902</v>
      </c>
      <c r="B574" s="70"/>
      <c r="C574" s="70"/>
      <c r="D574" s="69"/>
      <c r="E574" s="87"/>
      <c r="F574" s="69"/>
      <c r="G574" s="69"/>
      <c r="H574" s="69"/>
      <c r="I574" s="69"/>
      <c r="J574" s="69"/>
      <c r="K574" s="107"/>
      <c r="L574" s="107"/>
      <c r="M574" s="69"/>
      <c r="N574" s="86"/>
      <c r="O574" s="69"/>
      <c r="P574" s="69"/>
      <c r="Q574" s="69"/>
      <c r="R574" s="69"/>
      <c r="S574" s="69"/>
      <c r="T574" s="69"/>
      <c r="U574" s="69"/>
      <c r="V574" s="69"/>
      <c r="W574" s="69"/>
      <c r="X574" s="69"/>
      <c r="Y574" s="87"/>
      <c r="Z574" s="69"/>
      <c r="AA574" s="69"/>
      <c r="AB574" s="69"/>
      <c r="AC574" s="72"/>
      <c r="AD574" s="69"/>
      <c r="AE574" s="69"/>
      <c r="AF574" s="88"/>
      <c r="AG574" s="72"/>
      <c r="AH574" s="4"/>
      <c r="AI574" s="72"/>
      <c r="AJ574" s="110"/>
      <c r="AK574" s="72"/>
      <c r="AL574" s="72"/>
      <c r="AM574" s="72"/>
      <c r="AN574" s="72"/>
      <c r="AO574" s="89"/>
      <c r="AP574" s="89"/>
      <c r="AQ574" s="90"/>
      <c r="AR574" s="117"/>
      <c r="AS574" s="91"/>
      <c r="AT574" s="91"/>
      <c r="AU574" s="3"/>
      <c r="AV574" s="71">
        <v>315360000</v>
      </c>
      <c r="AW574" s="71">
        <v>630720000</v>
      </c>
      <c r="AX574" s="71">
        <v>946080000</v>
      </c>
      <c r="AY574" s="71">
        <v>1261440000</v>
      </c>
      <c r="AZ574" s="71">
        <v>1576800000</v>
      </c>
      <c r="BA574" s="71">
        <v>1892160000</v>
      </c>
      <c r="BB574" s="42"/>
      <c r="BC574" s="34"/>
      <c r="BD574" s="34"/>
      <c r="BE574" s="34"/>
      <c r="BF574" s="34"/>
      <c r="BG574" s="34"/>
      <c r="BH574" s="34"/>
      <c r="BI574" s="34"/>
      <c r="BJ574" s="34"/>
      <c r="BK574" s="34"/>
      <c r="BL574" s="34"/>
      <c r="BM574" s="34"/>
      <c r="BN574" s="34"/>
      <c r="BO574" s="34"/>
      <c r="BP574" s="34"/>
      <c r="BQ574" s="34"/>
      <c r="BR574" s="34"/>
      <c r="BS574" s="34"/>
      <c r="BT574" s="34"/>
      <c r="BU574" s="34"/>
      <c r="BV574" s="34"/>
      <c r="BW574" s="34"/>
      <c r="BX574" s="34"/>
      <c r="BY574" s="34"/>
      <c r="BZ574" s="34"/>
      <c r="CA574" s="34"/>
      <c r="CB574" s="34"/>
      <c r="CC574" s="34"/>
      <c r="CD574" s="34"/>
      <c r="CE574" s="34"/>
      <c r="CF574" s="34"/>
      <c r="CG574" s="34"/>
      <c r="CH574" s="34"/>
      <c r="CI574" s="34"/>
      <c r="CJ574" s="34"/>
      <c r="CK574" s="34"/>
      <c r="CL574" s="34"/>
      <c r="CM574" s="34"/>
      <c r="CN574" s="34"/>
      <c r="CO574" s="34"/>
      <c r="CP574" s="34"/>
      <c r="CQ574" s="34"/>
      <c r="CR574" s="1"/>
      <c r="CS574" s="1"/>
      <c r="CT574" s="1"/>
      <c r="CU574" s="1"/>
    </row>
    <row r="575" spans="1:99" s="13" customFormat="1" ht="12" customHeight="1" x14ac:dyDescent="0.2">
      <c r="A575" s="68">
        <v>43902</v>
      </c>
      <c r="B575" s="70" t="s">
        <v>454</v>
      </c>
      <c r="C575" s="70" t="s">
        <v>425</v>
      </c>
      <c r="D575" s="69">
        <v>1986</v>
      </c>
      <c r="E575" s="87">
        <v>1</v>
      </c>
      <c r="F575" s="69">
        <v>18</v>
      </c>
      <c r="G575" s="69">
        <v>18</v>
      </c>
      <c r="H575" s="69" t="s">
        <v>41</v>
      </c>
      <c r="I575" s="69" t="s">
        <v>330</v>
      </c>
      <c r="J575" s="69" t="s">
        <v>336</v>
      </c>
      <c r="K575" s="69">
        <f>IF(J575="syllables",1,IF(J575="trigrams",2,IF(J575="strings",3,IF(J575="visual array",4,IF(J575="characters",5,IF(J575="letters",6,IF(J575="free forms",7,IF(J575="odors",8,IF(J575="words",9,IF(J575="pictures",10,IF(J575="object pictures",11,IF(J575="faces",12,IF(J575="names",13,IF(J575="idioms",14,IF(J575="grades",15,IF(J575="syllable-digit pairs",16,IF(J575="trigram-word pairs",17,IF(J575="word-digit pairs",18,IF(J575="English-Swahili pairs",19,IF(J575="spatial position",20,IF(J575="word pairs",21,IF(J575="word triads",22,IF(J575="generated words",23,IF(J575="word definition pairs",24,IF(J575="math problems",25,IF(J575="famous faces",26,IF(J575="famous names",27,IF(J575="famous voices",28,IF(J575="television programs",29,IF(J575="race horses",30,IF(J575="new vocabulary",31,IF(J575="sentences",32,IF(J575="concepts",33,IF(J575="ad slides",34,IF(J575="scenes",35,IF(J575="famous scenes",36,IF(J575="poems",37,IF(J575="walk",38,IF(J575="faces and events",39,IF(J575="events and names",40,IF(J575="flashbulb",41,IF(J575="stories",42,IF(J575="course material",43,IF(J575="autobiographical",44,IF(J575="novels",45,IF(J575="public events",46,"99"))))))))))))))))))))))))))))))))))))))))))))))</f>
        <v>39</v>
      </c>
      <c r="L575" s="69">
        <f>IF(J575="syllables",1,IF(J575="trigrams",1,IF(J575="strings",1,IF(J575="visual array",1,IF(J575="characters",1,IF(J575="letters",1,IF(J575="free forms",1,IF(J575="odors",2,IF(J575="words",2,IF(J575="pictures",2,IF(J575="object pictures",2,IF(J575="faces",2,IF(J575="names",2,IF(J575="idioms","2",IF(J575="grades",2,IF(J575="syllable-digit pairs",3,IF(J575="trigram-word pairs",3,IF(J575="word-digit pairs",3,IF(J575="English-Swahili pairs",3,IF(J575="spatial position",3,IF(J575="word pairs",4,IF(J575="word triads",4,IF(J575="generated words",4,IF(J575="word definition pairs",4,IF(J575="math problems",4,IF(J575="famous faces",4,IF(J575="famous names",4,IF(J575="famous voices",4,IF(J575="television programs",4,IF(J575="race horses",4,IF(J575="new vocabulary",4,IF(J575="sentences",5,IF(J575="concepts",5,IF(J575="ad slides",5,IF(J575="scenes",5,IF(J575="famous scenes",5,IF(J575="poems",6,IF(J575="walk",6,IF(J575="faces and events",6,IF(J575="events and names",6,IF(J575="flashbulb",7,IF(J575="stories",7,IF(J575="course material",7,IF(J575="autobiographical",7,IF(J575="novels",7,IF(J575="public events",7,"99"))))))))))))))))))))))))))))))))))))))))))))))</f>
        <v>6</v>
      </c>
      <c r="M575" s="69">
        <v>1</v>
      </c>
      <c r="N575" s="86">
        <v>3</v>
      </c>
      <c r="O575" s="69">
        <v>0</v>
      </c>
      <c r="P575" s="69"/>
      <c r="Q575" s="69" t="s">
        <v>182</v>
      </c>
      <c r="R575" s="69">
        <f>IF(Q575="Free Recall",1,IF(Q575="Cued Recall",2,IF(Q575="Recognition",3,IF(Q575="Multiple Choice",4,IF(Q575="Savings",5,IF(Q575="Stem Completion",6,IF(Q575="Fragment Completion",7,IF(Q575="anagram solution",8,IF(Q575="Matching",9,IF(Q575="Problem Solving",10,"99"))))))))))</f>
        <v>4</v>
      </c>
      <c r="S575" s="69" t="s">
        <v>15</v>
      </c>
      <c r="T575" s="92" t="s">
        <v>581</v>
      </c>
      <c r="U575" s="69">
        <f>IF(T575="within",1,0)</f>
        <v>1</v>
      </c>
      <c r="V575" s="92">
        <v>48</v>
      </c>
      <c r="W575" s="69">
        <f>F575*V575</f>
        <v>864</v>
      </c>
      <c r="X575" s="69">
        <v>6</v>
      </c>
      <c r="Y575" s="87">
        <f>AV574</f>
        <v>315360000</v>
      </c>
      <c r="Z575" s="69" t="s">
        <v>419</v>
      </c>
      <c r="AA575" s="69">
        <f>60*365*24*60*60</f>
        <v>1892160000</v>
      </c>
      <c r="AB575" s="69" t="str">
        <f>IF(AA575&lt;60,"1",IF(AA575&lt;=43200,"2",IF(AA575&lt;=777600,"3","4")))</f>
        <v>4</v>
      </c>
      <c r="AC575" s="72">
        <f>AVERAGE(AV574:DA574)</f>
        <v>1103760000</v>
      </c>
      <c r="AD575" s="69" t="str">
        <f>IF(AC575&lt;60,"1",IF(AC575&lt;=43200,"2",IF(AC575&lt;=777600,"3","4")))</f>
        <v>4</v>
      </c>
      <c r="AE575" s="87">
        <f>AA575-Y575</f>
        <v>1576800000</v>
      </c>
      <c r="AF575" s="88">
        <f>AV575</f>
        <v>0.69902912621359214</v>
      </c>
      <c r="AG575" s="72">
        <f>((AW575-AV575)+(AX575-AW575)+(AY575-AX575)+(AZ575-AY575)+(BA575-AZ575))/5</f>
        <v>-2.7736859725477035E-2</v>
      </c>
      <c r="AH575" s="4"/>
      <c r="AI575" s="72">
        <f>RSQ(AV575:BA575,AV574:BA574)</f>
        <v>0.28312690619523756</v>
      </c>
      <c r="AJ575" s="110">
        <f>SLOPE(AV575:BA575,AV574:BA574)</f>
        <v>-8.0009429499955656E-11</v>
      </c>
      <c r="AK575" s="72">
        <f>INTERCEPT(AV575:BA575,AV574:BA574)</f>
        <v>0.76902904520520321</v>
      </c>
      <c r="AL575" s="72">
        <f>INDEX(LINEST(LN(AV575:BA575),LN(AV574:BA574),TRUE,TRUE),3,1)</f>
        <v>0.22914177288032941</v>
      </c>
      <c r="AM575" s="72">
        <f>INDEX(LINEST(LN(AV575:BA575),LN(AV574:BA574)),1)</f>
        <v>-9.5086939803385256E-2</v>
      </c>
      <c r="AN575" s="72">
        <f>EXP(INDEX(LINEST(LN(AV575:BA575),LN(AV574:BA574)),1,2))</f>
        <v>4.8223880086574908</v>
      </c>
      <c r="AO575" s="89">
        <f>INDEX(LINEST((AV575:BA575),LN(AV574:BA574),TRUE,TRUE),3,1)</f>
        <v>0.21049084456662323</v>
      </c>
      <c r="AP575" s="89">
        <f>INDEX(LINEST((AV575:BA575),LN(AV574:BA574)),1)</f>
        <v>-6.1422557862815336E-2</v>
      </c>
      <c r="AQ575" s="90">
        <f>INDEX(LINEST(LN(AV575:BA575),SQRT(AV574:BA574),TRUE,TRUE),3,1)</f>
        <v>0.27324424206955289</v>
      </c>
      <c r="AR575" s="117">
        <f>INDEX(LINEST(LN(AV575:BA575),SQRT((AV574:BA574))),1)</f>
        <v>-7.2066118799243266E-6</v>
      </c>
      <c r="AS575" s="91">
        <f>INDEX(LINEST(1/(AV575:BA575),1/(SQRT(AV574:BA574)),TRUE,TRUE),3,1)</f>
        <v>0.19620139180878096</v>
      </c>
      <c r="AT575" s="91">
        <f>INDEX(LINEST(1/(AV575:BA575),1/SQRT(AV574:BA574)),1)</f>
        <v>-7066.4490275645367</v>
      </c>
      <c r="AU575" s="3"/>
      <c r="AV575" s="73">
        <v>0.69902912621359214</v>
      </c>
      <c r="AW575" s="73">
        <v>0.8</v>
      </c>
      <c r="AX575" s="73">
        <v>0.66</v>
      </c>
      <c r="AY575" s="73">
        <v>0.61224489795918369</v>
      </c>
      <c r="AZ575" s="73">
        <v>0.75268817204301064</v>
      </c>
      <c r="BA575" s="73">
        <v>0.56034482758620696</v>
      </c>
      <c r="BB575" s="42"/>
      <c r="BC575" s="34"/>
      <c r="BD575" s="34"/>
      <c r="BE575" s="34"/>
      <c r="BF575" s="34"/>
      <c r="BG575" s="34"/>
      <c r="BH575" s="34"/>
      <c r="BI575" s="34"/>
      <c r="BJ575" s="34"/>
      <c r="BK575" s="34"/>
      <c r="BL575" s="34"/>
      <c r="BM575" s="34"/>
      <c r="BN575" s="34"/>
      <c r="BO575" s="34"/>
      <c r="BP575" s="34"/>
      <c r="BQ575" s="34"/>
      <c r="BR575" s="34"/>
      <c r="BS575" s="34"/>
      <c r="BT575" s="34"/>
      <c r="BU575" s="34"/>
      <c r="BV575" s="34"/>
      <c r="BW575" s="34"/>
      <c r="BX575" s="34"/>
      <c r="BY575" s="34"/>
      <c r="BZ575" s="34"/>
      <c r="CA575" s="34"/>
      <c r="CB575" s="34"/>
      <c r="CC575" s="34"/>
      <c r="CD575" s="34"/>
      <c r="CE575" s="34"/>
      <c r="CF575" s="34"/>
      <c r="CG575" s="34"/>
      <c r="CH575" s="34"/>
      <c r="CI575" s="34"/>
      <c r="CJ575" s="34"/>
      <c r="CK575" s="34"/>
      <c r="CL575" s="34"/>
      <c r="CM575" s="34"/>
      <c r="CN575" s="34"/>
      <c r="CO575" s="34"/>
      <c r="CP575" s="34"/>
      <c r="CQ575" s="34"/>
      <c r="CR575" s="1"/>
      <c r="CS575" s="1"/>
      <c r="CT575" s="1"/>
      <c r="CU575" s="1"/>
    </row>
    <row r="576" spans="1:99" s="13" customFormat="1" ht="12" customHeight="1" x14ac:dyDescent="0.2">
      <c r="A576" s="68">
        <v>43902</v>
      </c>
      <c r="B576" s="70"/>
      <c r="C576" s="70"/>
      <c r="D576" s="69"/>
      <c r="E576" s="87"/>
      <c r="F576" s="69"/>
      <c r="G576" s="69"/>
      <c r="H576" s="69"/>
      <c r="I576" s="69"/>
      <c r="J576" s="69"/>
      <c r="K576" s="107"/>
      <c r="L576" s="107"/>
      <c r="M576" s="69"/>
      <c r="N576" s="86"/>
      <c r="O576" s="69"/>
      <c r="P576" s="69"/>
      <c r="Q576" s="69"/>
      <c r="R576" s="69"/>
      <c r="S576" s="69"/>
      <c r="T576" s="69"/>
      <c r="U576" s="69"/>
      <c r="V576" s="69"/>
      <c r="W576" s="69"/>
      <c r="X576" s="69"/>
      <c r="Y576" s="87"/>
      <c r="Z576" s="69"/>
      <c r="AA576" s="69"/>
      <c r="AB576" s="69"/>
      <c r="AC576" s="72"/>
      <c r="AD576" s="69"/>
      <c r="AE576" s="69"/>
      <c r="AF576" s="88"/>
      <c r="AG576" s="72"/>
      <c r="AH576" s="4"/>
      <c r="AI576" s="72"/>
      <c r="AJ576" s="110"/>
      <c r="AK576" s="72"/>
      <c r="AL576" s="72"/>
      <c r="AM576" s="72"/>
      <c r="AN576" s="72"/>
      <c r="AO576" s="89"/>
      <c r="AP576" s="89"/>
      <c r="AQ576" s="90"/>
      <c r="AR576" s="117"/>
      <c r="AS576" s="91"/>
      <c r="AT576" s="91"/>
      <c r="AU576" s="3"/>
      <c r="AV576" s="71">
        <v>315360000</v>
      </c>
      <c r="AW576" s="71">
        <v>630720000</v>
      </c>
      <c r="AX576" s="71">
        <v>946080000</v>
      </c>
      <c r="AY576" s="71">
        <v>1261440000</v>
      </c>
      <c r="AZ576" s="71">
        <v>1576800000</v>
      </c>
      <c r="BA576" s="71">
        <v>1892160000</v>
      </c>
      <c r="BB576" s="42"/>
      <c r="BC576" s="34"/>
      <c r="BD576" s="34"/>
      <c r="BE576" s="34"/>
      <c r="BF576" s="34"/>
      <c r="BG576" s="34"/>
      <c r="BH576" s="34"/>
      <c r="BI576" s="34"/>
      <c r="BJ576" s="34"/>
      <c r="BK576" s="34"/>
      <c r="BL576" s="34"/>
      <c r="BM576" s="34"/>
      <c r="BN576" s="34"/>
      <c r="BO576" s="34"/>
      <c r="BP576" s="34"/>
      <c r="BQ576" s="34"/>
      <c r="BR576" s="34"/>
      <c r="BS576" s="34"/>
      <c r="BT576" s="34"/>
      <c r="BU576" s="34"/>
      <c r="BV576" s="34"/>
      <c r="BW576" s="34"/>
      <c r="BX576" s="34"/>
      <c r="BY576" s="34"/>
      <c r="BZ576" s="34"/>
      <c r="CA576" s="34"/>
      <c r="CB576" s="34"/>
      <c r="CC576" s="34"/>
      <c r="CD576" s="34"/>
      <c r="CE576" s="34"/>
      <c r="CF576" s="34"/>
      <c r="CG576" s="34"/>
      <c r="CH576" s="34"/>
      <c r="CI576" s="34"/>
      <c r="CJ576" s="34"/>
      <c r="CK576" s="34"/>
      <c r="CL576" s="34"/>
      <c r="CM576" s="34"/>
      <c r="CN576" s="34"/>
      <c r="CO576" s="34"/>
      <c r="CP576" s="34"/>
      <c r="CQ576" s="34"/>
      <c r="CR576" s="1"/>
      <c r="CS576" s="1"/>
      <c r="CT576" s="1"/>
      <c r="CU576" s="1"/>
    </row>
    <row r="577" spans="1:99" s="13" customFormat="1" ht="12" customHeight="1" x14ac:dyDescent="0.2">
      <c r="A577" s="68">
        <v>43902</v>
      </c>
      <c r="B577" s="70" t="s">
        <v>454</v>
      </c>
      <c r="C577" s="70" t="s">
        <v>425</v>
      </c>
      <c r="D577" s="69">
        <v>1986</v>
      </c>
      <c r="E577" s="87">
        <v>1</v>
      </c>
      <c r="F577" s="69">
        <v>18</v>
      </c>
      <c r="G577" s="69">
        <v>18</v>
      </c>
      <c r="H577" s="69" t="s">
        <v>32</v>
      </c>
      <c r="I577" s="69" t="s">
        <v>330</v>
      </c>
      <c r="J577" s="69" t="s">
        <v>342</v>
      </c>
      <c r="K577" s="69">
        <f>IF(J577="syllables",1,IF(J577="trigrams",2,IF(J577="strings",3,IF(J577="visual array",4,IF(J577="characters",5,IF(J577="letters",6,IF(J577="free forms",7,IF(J577="odors",8,IF(J577="words",9,IF(J577="pictures",10,IF(J577="object pictures",11,IF(J577="faces",12,IF(J577="names",13,IF(J577="idioms",14,IF(J577="grades",15,IF(J577="syllable-digit pairs",16,IF(J577="trigram-word pairs",17,IF(J577="word-digit pairs",18,IF(J577="English-Swahili pairs",19,IF(J577="spatial position",20,IF(J577="word pairs",21,IF(J577="word triads",22,IF(J577="generated words",23,IF(J577="word definition pairs",24,IF(J577="math problems",25,IF(J577="famous faces",26,IF(J577="famous names",27,IF(J577="famous voices",28,IF(J577="television programs",29,IF(J577="race horses",30,IF(J577="new vocabulary",31,IF(J577="sentences",32,IF(J577="concepts",33,IF(J577="ad slides",34,IF(J577="scenes",35,IF(J577="famous scenes",36,IF(J577="poems",37,IF(J577="walk",38,IF(J577="faces and events",39,IF(J577="events and names",40,IF(J577="flashbulb",41,IF(J577="stories",42,IF(J577="course material",43,IF(J577="autobiographical",44,IF(J577="novels",45,IF(J577="public events",46,"99"))))))))))))))))))))))))))))))))))))))))))))))</f>
        <v>26</v>
      </c>
      <c r="L577" s="69">
        <f>IF(J577="syllables",1,IF(J577="trigrams",1,IF(J577="strings",1,IF(J577="visual array",1,IF(J577="characters",1,IF(J577="letters",1,IF(J577="free forms",1,IF(J577="odors",2,IF(J577="words",2,IF(J577="pictures",2,IF(J577="object pictures",2,IF(J577="faces",2,IF(J577="names",2,IF(J577="idioms","2",IF(J577="grades",2,IF(J577="syllable-digit pairs",3,IF(J577="trigram-word pairs",3,IF(J577="word-digit pairs",3,IF(J577="English-Swahili pairs",3,IF(J577="spatial position",3,IF(J577="word pairs",4,IF(J577="word triads",4,IF(J577="generated words",4,IF(J577="word definition pairs",4,IF(J577="math problems",4,IF(J577="famous faces",4,IF(J577="famous names",4,IF(J577="famous voices",4,IF(J577="television programs",4,IF(J577="race horses",4,IF(J577="new vocabulary",4,IF(J577="sentences",5,IF(J577="concepts",5,IF(J577="ad slides",5,IF(J577="scenes",5,IF(J577="famous scenes",5,IF(J577="poems",6,IF(J577="walk",6,IF(J577="faces and events",6,IF(J577="events and names",6,IF(J577="flashbulb",7,IF(J577="stories",7,IF(J577="course material",7,IF(J577="autobiographical",7,IF(J577="novels",7,IF(J577="public events",7,"99"))))))))))))))))))))))))))))))))))))))))))))))</f>
        <v>4</v>
      </c>
      <c r="M577" s="69">
        <v>1</v>
      </c>
      <c r="N577" s="86">
        <v>3</v>
      </c>
      <c r="O577" s="69">
        <v>0</v>
      </c>
      <c r="P577" s="69"/>
      <c r="Q577" s="69" t="s">
        <v>174</v>
      </c>
      <c r="R577" s="69">
        <f>IF(Q577="Free Recall",1,IF(Q577="Cued Recall",2,IF(Q577="Recognition",3,IF(Q577="Multiple Choice",4,IF(Q577="Savings",5,IF(Q577="Stem Completion",6,IF(Q577="Fragment Completion",7,IF(Q577="anagram solution",8,IF(Q577="Matching",9,IF(Q577="Problem Solving",10,"99"))))))))))</f>
        <v>1</v>
      </c>
      <c r="S577" s="69" t="s">
        <v>49</v>
      </c>
      <c r="T577" s="92" t="s">
        <v>581</v>
      </c>
      <c r="U577" s="69">
        <f>IF(T577="within",1,0)</f>
        <v>1</v>
      </c>
      <c r="V577" s="92">
        <v>48</v>
      </c>
      <c r="W577" s="69">
        <f>F577*V577</f>
        <v>864</v>
      </c>
      <c r="X577" s="69">
        <v>6</v>
      </c>
      <c r="Y577" s="87">
        <f>AV576</f>
        <v>315360000</v>
      </c>
      <c r="Z577" s="69" t="s">
        <v>419</v>
      </c>
      <c r="AA577" s="69">
        <f>60*365*24*60*60</f>
        <v>1892160000</v>
      </c>
      <c r="AB577" s="69" t="str">
        <f>IF(AA577&lt;60,"1",IF(AA577&lt;=43200,"2",IF(AA577&lt;=777600,"3","4")))</f>
        <v>4</v>
      </c>
      <c r="AC577" s="72">
        <f>AVERAGE(AV576:DA576)</f>
        <v>1103760000</v>
      </c>
      <c r="AD577" s="69" t="str">
        <f>IF(AC577&lt;60,"1",IF(AC577&lt;=43200,"2",IF(AC577&lt;=777600,"3","4")))</f>
        <v>4</v>
      </c>
      <c r="AE577" s="87">
        <f>AA577-Y577</f>
        <v>1576800000</v>
      </c>
      <c r="AF577" s="88">
        <f>AV577</f>
        <v>0.76</v>
      </c>
      <c r="AG577" s="72">
        <f>((AW577-AV577)+(AX577-AW577)+(AY577-AX577)+(AZ577-AY577)+(BA577-AZ577))/5</f>
        <v>-1.9857142857142861E-2</v>
      </c>
      <c r="AH577" s="4"/>
      <c r="AI577" s="72">
        <f>RSQ(AV577:BA577,AV576:BA576)</f>
        <v>0.47372846453818918</v>
      </c>
      <c r="AJ577" s="110">
        <f>SLOPE(AV577:BA577,AV576:BA576)</f>
        <v>-7.0960463392963584E-11</v>
      </c>
      <c r="AK577" s="72">
        <f>INTERCEPT(AV577:BA577,AV576:BA576)</f>
        <v>0.79425503340341808</v>
      </c>
      <c r="AL577" s="72">
        <f>INDEX(LINEST(LN(AV577:BA577),LN(AV576:BA576),TRUE,TRUE),3,1)</f>
        <v>0.43006279401480618</v>
      </c>
      <c r="AM577" s="72">
        <f>INDEX(LINEST(LN(AV577:BA577),LN(AV576:BA576)),1)</f>
        <v>-8.3914012528416307E-2</v>
      </c>
      <c r="AN577" s="72">
        <f>EXP(INDEX(LINEST(LN(AV577:BA577),LN(AV576:BA576)),1,2))</f>
        <v>4.042958074276509</v>
      </c>
      <c r="AO577" s="89">
        <f>INDEX(LINEST((AV577:BA577),LN(AV576:BA576),TRUE,TRUE),3,1)</f>
        <v>0.42800099394821794</v>
      </c>
      <c r="AP577" s="89">
        <f>INDEX(LINEST((AV577:BA577),LN(AV576:BA576)),1)</f>
        <v>-6.0053010269276758E-2</v>
      </c>
      <c r="AQ577" s="90">
        <f>INDEX(LINEST(LN(AV577:BA577),SQRT(AV576:BA576),TRUE,TRUE),3,1)</f>
        <v>0.46102479213329722</v>
      </c>
      <c r="AR577" s="117">
        <f>INDEX(LINEST(LN(AV577:BA577),SQRT((AV576:BA576))),1)</f>
        <v>-6.0300037213201625E-6</v>
      </c>
      <c r="AS577" s="91">
        <f>INDEX(LINEST(1/(AV577:BA577),1/(SQRT(AV576:BA576)),TRUE,TRUE),3,1)</f>
        <v>0.38714361760116761</v>
      </c>
      <c r="AT577" s="91">
        <f>INDEX(LINEST(1/(AV577:BA577),1/SQRT(AV576:BA576)),1)</f>
        <v>-5953.175942638527</v>
      </c>
      <c r="AU577" s="3"/>
      <c r="AV577" s="73">
        <v>0.76</v>
      </c>
      <c r="AW577" s="73">
        <v>0.79166666666666674</v>
      </c>
      <c r="AX577" s="73">
        <v>0.66055045871559626</v>
      </c>
      <c r="AY577" s="73">
        <v>0.75961538461538458</v>
      </c>
      <c r="AZ577" s="73">
        <v>0.66304347826086951</v>
      </c>
      <c r="BA577" s="73">
        <v>0.6607142857142857</v>
      </c>
      <c r="BB577" s="42"/>
      <c r="BC577" s="34"/>
      <c r="BD577" s="34"/>
      <c r="BE577" s="34"/>
      <c r="BF577" s="34"/>
      <c r="BG577" s="34"/>
      <c r="BH577" s="34"/>
      <c r="BI577" s="34"/>
      <c r="BJ577" s="34"/>
      <c r="BK577" s="34"/>
      <c r="BL577" s="34"/>
      <c r="BM577" s="34"/>
      <c r="BN577" s="34"/>
      <c r="BO577" s="34"/>
      <c r="BP577" s="34"/>
      <c r="BQ577" s="34"/>
      <c r="BR577" s="34"/>
      <c r="BS577" s="34"/>
      <c r="BT577" s="34"/>
      <c r="BU577" s="34"/>
      <c r="BV577" s="34"/>
      <c r="BW577" s="34"/>
      <c r="BX577" s="34"/>
      <c r="BY577" s="34"/>
      <c r="BZ577" s="34"/>
      <c r="CA577" s="34"/>
      <c r="CB577" s="34"/>
      <c r="CC577" s="34"/>
      <c r="CD577" s="34"/>
      <c r="CE577" s="34"/>
      <c r="CF577" s="34"/>
      <c r="CG577" s="34"/>
      <c r="CH577" s="34"/>
      <c r="CI577" s="34"/>
      <c r="CJ577" s="34"/>
      <c r="CK577" s="34"/>
      <c r="CL577" s="34"/>
      <c r="CM577" s="34"/>
      <c r="CN577" s="34"/>
      <c r="CO577" s="34"/>
      <c r="CP577" s="34"/>
      <c r="CQ577" s="34"/>
      <c r="CR577" s="1"/>
      <c r="CS577" s="1"/>
      <c r="CT577" s="1"/>
      <c r="CU577" s="1"/>
    </row>
    <row r="578" spans="1:99" s="13" customFormat="1" ht="12" customHeight="1" x14ac:dyDescent="0.2">
      <c r="A578" s="65">
        <v>43895</v>
      </c>
      <c r="D578" s="61"/>
      <c r="E578" s="76"/>
      <c r="F578" s="60"/>
      <c r="G578" s="60"/>
      <c r="H578" s="60"/>
      <c r="I578" s="74"/>
      <c r="J578" s="60"/>
      <c r="K578" s="64"/>
      <c r="L578" s="64"/>
      <c r="M578" s="60"/>
      <c r="N578" s="59"/>
      <c r="O578" s="60"/>
      <c r="P578" s="60"/>
      <c r="Q578" s="60"/>
      <c r="R578" s="60"/>
      <c r="S578" s="60"/>
      <c r="T578" s="60"/>
      <c r="U578" s="60"/>
      <c r="V578" s="60"/>
      <c r="W578" s="60"/>
      <c r="X578" s="60"/>
      <c r="Y578" s="76"/>
      <c r="Z578" s="60"/>
      <c r="AA578" s="60"/>
      <c r="AB578" s="60"/>
      <c r="AC578" s="56"/>
      <c r="AD578" s="60"/>
      <c r="AE578" s="60"/>
      <c r="AF578" s="80"/>
      <c r="AG578" s="56"/>
      <c r="AH578" s="4"/>
      <c r="AI578" s="56"/>
      <c r="AJ578" s="109"/>
      <c r="AK578" s="56"/>
      <c r="AL578" s="56"/>
      <c r="AM578" s="56"/>
      <c r="AN578" s="56"/>
      <c r="AO578" s="82"/>
      <c r="AP578" s="82"/>
      <c r="AQ578" s="83"/>
      <c r="AR578" s="116"/>
      <c r="AS578" s="84"/>
      <c r="AT578" s="84"/>
      <c r="AU578" s="3"/>
      <c r="AV578" s="25">
        <v>157680000</v>
      </c>
      <c r="AW578" s="25">
        <v>315360000</v>
      </c>
      <c r="AX578" s="25">
        <v>473040000</v>
      </c>
      <c r="AY578" s="25">
        <v>630720000</v>
      </c>
      <c r="AZ578" s="25">
        <v>788400000</v>
      </c>
      <c r="BA578" s="25">
        <v>946080000</v>
      </c>
      <c r="BB578" s="42"/>
      <c r="BC578" s="23"/>
      <c r="BD578" s="23"/>
      <c r="BE578" s="23"/>
      <c r="BF578" s="23"/>
      <c r="BG578" s="23"/>
      <c r="BH578" s="23"/>
      <c r="BI578" s="23"/>
      <c r="BJ578" s="23"/>
      <c r="BK578" s="23"/>
      <c r="BL578" s="23"/>
      <c r="BM578" s="23"/>
      <c r="BN578" s="23"/>
      <c r="BO578" s="23"/>
      <c r="BP578" s="23"/>
      <c r="BQ578" s="23"/>
      <c r="BR578" s="23"/>
      <c r="BS578" s="23"/>
      <c r="BT578" s="23"/>
      <c r="BU578" s="23"/>
      <c r="BV578" s="23"/>
      <c r="BW578" s="23"/>
      <c r="BX578" s="23"/>
      <c r="BY578" s="23"/>
      <c r="BZ578" s="23"/>
      <c r="CA578" s="23"/>
      <c r="CB578" s="23"/>
      <c r="CC578" s="23"/>
      <c r="CD578" s="23"/>
      <c r="CE578" s="23"/>
      <c r="CF578" s="23"/>
      <c r="CG578" s="23"/>
      <c r="CH578" s="23"/>
      <c r="CI578" s="23"/>
      <c r="CJ578" s="23"/>
      <c r="CK578" s="23"/>
      <c r="CL578" s="23"/>
      <c r="CM578" s="23"/>
      <c r="CN578" s="23"/>
      <c r="CO578" s="23"/>
      <c r="CP578" s="23"/>
      <c r="CQ578" s="23"/>
      <c r="CR578" s="1"/>
      <c r="CS578" s="1"/>
      <c r="CT578" s="1"/>
      <c r="CU578" s="1"/>
    </row>
    <row r="579" spans="1:99" s="13" customFormat="1" ht="12" customHeight="1" x14ac:dyDescent="0.2">
      <c r="A579" s="65">
        <v>43895</v>
      </c>
      <c r="B579" s="1" t="s">
        <v>349</v>
      </c>
      <c r="C579" s="1" t="s">
        <v>54</v>
      </c>
      <c r="D579" s="60">
        <v>1995</v>
      </c>
      <c r="E579" s="76">
        <v>1</v>
      </c>
      <c r="F579" s="60">
        <v>6</v>
      </c>
      <c r="G579" s="60">
        <v>6</v>
      </c>
      <c r="H579" s="60" t="s">
        <v>22</v>
      </c>
      <c r="I579" s="60" t="s">
        <v>330</v>
      </c>
      <c r="J579" s="60" t="s">
        <v>340</v>
      </c>
      <c r="K579" s="60">
        <f>IF(J579="syllables",1,IF(J579="trigrams",2,IF(J579="strings",3,IF(J579="visual array",4,IF(J579="characters",5,IF(J579="letters",6,IF(J579="free forms",7,IF(J579="odors",8,IF(J579="words",9,IF(J579="pictures",10,IF(J579="object pictures",11,IF(J579="faces",12,IF(J579="names",13,IF(J579="idioms",14,IF(J579="grades",15,IF(J579="syllable-digit pairs",16,IF(J579="trigram-word pairs",17,IF(J579="word-digit pairs",18,IF(J579="English-Swahili pairs",19,IF(J579="spatial position",20,IF(J579="word pairs",21,IF(J579="word triads",22,IF(J579="generated words",23,IF(J579="word definition pairs",24,IF(J579="math problems",25,IF(J579="famous faces",26,IF(J579="famous names",27,IF(J579="famous voices",28,IF(J579="television programs",29,IF(J579="race horses",30,IF(J579="new vocabulary",31,IF(J579="sentences",32,IF(J579="concepts",33,IF(J579="ad slides",34,IF(J579="scenes",35,IF(J579="famous scenes",36,IF(J579="poems",37,IF(J579="walk",38,IF(J579="faces and events",39,IF(J579="events and names",40,IF(J579="flashbulb",41,IF(J579="stories",42,IF(J579="course material",43,IF(J579="autobiographical",44,IF(J579="novels",45,IF(J579="public events",46,"99"))))))))))))))))))))))))))))))))))))))))))))))</f>
        <v>46</v>
      </c>
      <c r="L579" s="60">
        <f>IF(J579="syllables",1,IF(J579="trigrams",1,IF(J579="strings",1,IF(J579="visual array",1,IF(J579="characters",1,IF(J579="letters",1,IF(J579="free forms",1,IF(J579="odors",2,IF(J579="words",2,IF(J579="pictures",2,IF(J579="object pictures",2,IF(J579="faces",2,IF(J579="names",2,IF(J579="idioms","2",IF(J579="grades",2,IF(J579="syllable-digit pairs",3,IF(J579="trigram-word pairs",3,IF(J579="word-digit pairs",3,IF(J579="English-Swahili pairs",3,IF(J579="spatial position",3,IF(J579="word pairs",4,IF(J579="word triads",4,IF(J579="generated words",4,IF(J579="word definition pairs",4,IF(J579="math problems",4,IF(J579="famous faces",4,IF(J579="famous names",4,IF(J579="famous voices",4,IF(J579="television programs",4,IF(J579="race horses",4,IF(J579="new vocabulary",4,IF(J579="sentences",5,IF(J579="concepts",5,IF(J579="ad slides",5,IF(J579="scenes",5,IF(J579="famous scenes",5,IF(J579="poems",6,IF(J579="walk",6,IF(J579="faces and events",6,IF(J579="events and names",6,IF(J579="flashbulb",7,IF(J579="stories",7,IF(J579="course material",7,IF(J579="autobiographical",7,IF(J579="novels",7,IF(J579="public events",7,"99"))))))))))))))))))))))))))))))))))))))))))))))</f>
        <v>7</v>
      </c>
      <c r="M579" s="60">
        <v>1</v>
      </c>
      <c r="N579" s="59">
        <v>4</v>
      </c>
      <c r="O579" s="60">
        <v>0</v>
      </c>
      <c r="P579" s="60"/>
      <c r="Q579" s="60" t="s">
        <v>174</v>
      </c>
      <c r="R579" s="60">
        <f>IF(Q579="Free Recall",1,IF(Q579="Cued Recall",2,IF(Q579="Recognition",3,IF(Q579="Multiple Choice",4,IF(Q579="Savings",5,IF(Q579="Stem Completion",6,IF(Q579="Fragment Completion",7,IF(Q579="anagram solution",8,IF(Q579="Matching",9,IF(Q579="Problem Solving",10,"99"))))))))))</f>
        <v>1</v>
      </c>
      <c r="S579" s="62" t="s">
        <v>49</v>
      </c>
      <c r="T579" s="59" t="s">
        <v>581</v>
      </c>
      <c r="U579" s="60">
        <f>IF(T579="within",1,0)</f>
        <v>1</v>
      </c>
      <c r="V579" s="59">
        <v>48</v>
      </c>
      <c r="W579" s="60">
        <f>F579*V579</f>
        <v>288</v>
      </c>
      <c r="X579" s="60">
        <v>6</v>
      </c>
      <c r="Y579" s="76">
        <f>AV578</f>
        <v>157680000</v>
      </c>
      <c r="Z579" s="59" t="s">
        <v>332</v>
      </c>
      <c r="AA579" s="60">
        <f>30*365*24*60*60</f>
        <v>946080000</v>
      </c>
      <c r="AB579" s="60" t="str">
        <f>IF(AA579&lt;60,"1",IF(AA579&lt;=43200,"2",IF(AA579&lt;=777600,"3","4")))</f>
        <v>4</v>
      </c>
      <c r="AC579" s="56">
        <f>AVERAGE(AV578:DA578)</f>
        <v>551880000</v>
      </c>
      <c r="AD579" s="60" t="str">
        <f>IF(AC579&lt;60,"1",IF(AC579&lt;=43200,"2",IF(AC579&lt;=777600,"3","4")))</f>
        <v>4</v>
      </c>
      <c r="AE579" s="76">
        <f>AA579-Y579</f>
        <v>788400000</v>
      </c>
      <c r="AF579" s="80">
        <f>AV579</f>
        <v>0.73</v>
      </c>
      <c r="AG579" s="56">
        <f>((AW579-AV579)+(AX579-AW579)+(AY579-AX579)+(AZ579-AY579)+(BA579-AZ579))/5</f>
        <v>6.0000000000000053E-3</v>
      </c>
      <c r="AH579" s="4"/>
      <c r="AI579" s="56">
        <f>RSQ(AV579:BA579,AV578:BA578)</f>
        <v>0.25974025974025977</v>
      </c>
      <c r="AJ579" s="109">
        <f>SLOPE(AV579:BA579,AV578:BA578)</f>
        <v>7.2479524534319127E-11</v>
      </c>
      <c r="AK579" s="56">
        <f>INTERCEPT(AV579:BA579,AV578:BA578)</f>
        <v>0.69999999999999984</v>
      </c>
      <c r="AL579" s="56">
        <f>INDEX(LINEST(LN(AV579:BA579),LN(AV578:BA578),TRUE,TRUE),3,1)</f>
        <v>0.16904236628820887</v>
      </c>
      <c r="AM579" s="56">
        <f>INDEX(LINEST(LN(AV579:BA579),LN(AV578:BA578)),1)</f>
        <v>3.4726283486249107E-2</v>
      </c>
      <c r="AN579" s="56">
        <f>EXP(INDEX(LINEST(LN(AV579:BA579),LN(AV578:BA578)),1,2))</f>
        <v>0.36935532741500587</v>
      </c>
      <c r="AO579" s="82">
        <f>INDEX(LINEST((AV579:BA579),LN(AV578:BA578),TRUE,TRUE),3,1)</f>
        <v>0.17644747656066964</v>
      </c>
      <c r="AP579" s="82">
        <f>INDEX(LINEST((AV579:BA579),LN(AV578:BA578)),1)</f>
        <v>2.6594027982177176E-2</v>
      </c>
      <c r="AQ579" s="83">
        <f>INDEX(LINEST(LN(AV579:BA579),SQRT(AV578:BA578),TRUE,TRUE),3,1)</f>
        <v>0.21421672167340902</v>
      </c>
      <c r="AR579" s="116">
        <f>INDEX(LINEST(LN(AV579:BA579),SQRT((AV578:BA578))),1)</f>
        <v>3.8369761019932853E-6</v>
      </c>
      <c r="AS579" s="84">
        <f>INDEX(LINEST(1/(AV579:BA579),1/(SQRT(AV578:BA578)),TRUE,TRUE),3,1)</f>
        <v>0.11776589070691366</v>
      </c>
      <c r="AT579" s="84">
        <f>INDEX(LINEST(1/(AV579:BA579),1/SQRT(AV578:BA578)),1)</f>
        <v>1466.8239231859243</v>
      </c>
      <c r="AU579" s="3"/>
      <c r="AV579" s="53">
        <v>0.73</v>
      </c>
      <c r="AW579" s="53">
        <v>0.71</v>
      </c>
      <c r="AX579" s="53">
        <v>0.74</v>
      </c>
      <c r="AY579" s="53">
        <v>0.69</v>
      </c>
      <c r="AZ579" s="53">
        <v>0.81</v>
      </c>
      <c r="BA579" s="53">
        <v>0.76</v>
      </c>
      <c r="BB579" s="42"/>
      <c r="BC579" s="23"/>
      <c r="BD579" s="23"/>
      <c r="BE579" s="23"/>
      <c r="BF579" s="23"/>
      <c r="BG579" s="23"/>
      <c r="BH579" s="23"/>
      <c r="BI579" s="23"/>
      <c r="BJ579" s="23"/>
      <c r="BK579" s="23"/>
      <c r="BL579" s="23"/>
      <c r="BM579" s="23"/>
      <c r="BN579" s="23"/>
      <c r="BO579" s="23"/>
      <c r="BP579" s="23"/>
      <c r="BQ579" s="23"/>
      <c r="BR579" s="23"/>
      <c r="BS579" s="23"/>
      <c r="BT579" s="23"/>
      <c r="BU579" s="23"/>
      <c r="BV579" s="23"/>
      <c r="BW579" s="23"/>
      <c r="BX579" s="23"/>
      <c r="BY579" s="23"/>
      <c r="BZ579" s="23"/>
      <c r="CA579" s="23"/>
      <c r="CB579" s="23"/>
      <c r="CC579" s="23"/>
      <c r="CD579" s="23"/>
      <c r="CE579" s="23"/>
      <c r="CF579" s="23"/>
      <c r="CG579" s="23"/>
      <c r="CH579" s="23"/>
      <c r="CI579" s="23"/>
      <c r="CJ579" s="23"/>
      <c r="CK579" s="23"/>
      <c r="CL579" s="23"/>
      <c r="CM579" s="23"/>
      <c r="CN579" s="23"/>
      <c r="CO579" s="23"/>
      <c r="CP579" s="23"/>
      <c r="CQ579" s="23"/>
      <c r="CR579" s="1"/>
      <c r="CS579" s="1"/>
      <c r="CT579" s="1"/>
      <c r="CU579" s="1"/>
    </row>
    <row r="580" spans="1:99" s="13" customFormat="1" ht="12" customHeight="1" x14ac:dyDescent="0.2">
      <c r="A580" s="65">
        <v>43895</v>
      </c>
      <c r="D580" s="61"/>
      <c r="E580" s="76"/>
      <c r="F580" s="60"/>
      <c r="G580" s="60"/>
      <c r="H580" s="60"/>
      <c r="I580" s="60"/>
      <c r="J580" s="60"/>
      <c r="K580" s="64"/>
      <c r="L580" s="64"/>
      <c r="M580" s="60"/>
      <c r="N580" s="59"/>
      <c r="O580" s="60"/>
      <c r="P580" s="60"/>
      <c r="Q580" s="60"/>
      <c r="R580" s="60"/>
      <c r="S580" s="60"/>
      <c r="T580" s="60"/>
      <c r="U580" s="60"/>
      <c r="V580" s="60"/>
      <c r="W580" s="60"/>
      <c r="X580" s="60"/>
      <c r="Y580" s="76"/>
      <c r="Z580" s="60"/>
      <c r="AA580" s="60"/>
      <c r="AB580" s="60"/>
      <c r="AC580" s="56"/>
      <c r="AD580" s="60"/>
      <c r="AE580" s="60"/>
      <c r="AF580" s="80"/>
      <c r="AG580" s="56"/>
      <c r="AH580" s="4"/>
      <c r="AI580" s="56"/>
      <c r="AJ580" s="109"/>
      <c r="AK580" s="56"/>
      <c r="AL580" s="56"/>
      <c r="AM580" s="56"/>
      <c r="AN580" s="56"/>
      <c r="AO580" s="56"/>
      <c r="AP580" s="56"/>
      <c r="AQ580" s="56"/>
      <c r="AR580" s="109"/>
      <c r="AS580" s="56"/>
      <c r="AT580" s="56"/>
      <c r="AU580" s="5"/>
      <c r="AV580" s="25">
        <v>31536000</v>
      </c>
      <c r="AW580" s="25">
        <v>315360000</v>
      </c>
      <c r="AX580" s="25">
        <v>630720000</v>
      </c>
      <c r="AY580" s="53"/>
      <c r="AZ580" s="53"/>
      <c r="BA580" s="53"/>
      <c r="BB580" s="42"/>
      <c r="BC580" s="42"/>
      <c r="BD580" s="42"/>
      <c r="BE580" s="42"/>
      <c r="BF580" s="42"/>
      <c r="BG580" s="42"/>
      <c r="BH580" s="23"/>
      <c r="BI580" s="23"/>
      <c r="BJ580" s="23"/>
      <c r="BK580" s="23"/>
      <c r="BL580" s="23"/>
      <c r="BM580" s="23"/>
      <c r="BN580" s="23"/>
      <c r="BO580" s="23"/>
      <c r="BP580" s="23"/>
      <c r="BQ580" s="23"/>
      <c r="BR580" s="23"/>
      <c r="BS580" s="23"/>
      <c r="BT580" s="23"/>
      <c r="BU580" s="23"/>
      <c r="BV580" s="23"/>
      <c r="BW580" s="23"/>
      <c r="BX580" s="23"/>
      <c r="BY580" s="23"/>
      <c r="BZ580" s="23"/>
      <c r="CA580" s="23"/>
      <c r="CB580" s="23"/>
      <c r="CC580" s="23"/>
      <c r="CD580" s="23"/>
      <c r="CE580" s="23"/>
      <c r="CF580" s="23"/>
      <c r="CG580" s="23"/>
      <c r="CH580" s="23"/>
      <c r="CI580" s="23"/>
      <c r="CJ580" s="23"/>
      <c r="CK580" s="23"/>
      <c r="CL580" s="23"/>
      <c r="CM580" s="23"/>
      <c r="CN580" s="23"/>
      <c r="CO580" s="23"/>
      <c r="CP580" s="23"/>
      <c r="CQ580" s="23"/>
      <c r="CR580" s="1"/>
      <c r="CS580" s="1"/>
      <c r="CT580" s="1"/>
      <c r="CU580" s="1"/>
    </row>
    <row r="581" spans="1:99" s="13" customFormat="1" ht="12" customHeight="1" x14ac:dyDescent="0.2">
      <c r="A581" s="65">
        <v>43895</v>
      </c>
      <c r="B581" s="1" t="s">
        <v>349</v>
      </c>
      <c r="C581" s="1" t="s">
        <v>54</v>
      </c>
      <c r="D581" s="60">
        <v>1995</v>
      </c>
      <c r="E581" s="76">
        <v>1</v>
      </c>
      <c r="F581" s="60">
        <v>6</v>
      </c>
      <c r="G581" s="60">
        <v>6</v>
      </c>
      <c r="H581" s="60" t="s">
        <v>38</v>
      </c>
      <c r="I581" s="60" t="s">
        <v>330</v>
      </c>
      <c r="J581" s="60" t="s">
        <v>342</v>
      </c>
      <c r="K581" s="60">
        <f>IF(J581="syllables",1,IF(J581="trigrams",2,IF(J581="strings",3,IF(J581="visual array",4,IF(J581="characters",5,IF(J581="letters",6,IF(J581="free forms",7,IF(J581="odors",8,IF(J581="words",9,IF(J581="pictures",10,IF(J581="object pictures",11,IF(J581="faces",12,IF(J581="names",13,IF(J581="idioms",14,IF(J581="grades",15,IF(J581="syllable-digit pairs",16,IF(J581="trigram-word pairs",17,IF(J581="word-digit pairs",18,IF(J581="English-Swahili pairs",19,IF(J581="spatial position",20,IF(J581="word pairs",21,IF(J581="word triads",22,IF(J581="generated words",23,IF(J581="word definition pairs",24,IF(J581="math problems",25,IF(J581="famous faces",26,IF(J581="famous names",27,IF(J581="famous voices",28,IF(J581="television programs",29,IF(J581="race horses",30,IF(J581="new vocabulary",31,IF(J581="sentences",32,IF(J581="concepts",33,IF(J581="ad slides",34,IF(J581="scenes",35,IF(J581="famous scenes",36,IF(J581="poems",37,IF(J581="walk",38,IF(J581="faces and events",39,IF(J581="events and names",40,IF(J581="flashbulb",41,IF(J581="stories",42,IF(J581="course material",43,IF(J581="autobiographical",44,IF(J581="novels",45,IF(J581="public events",46,"99"))))))))))))))))))))))))))))))))))))))))))))))</f>
        <v>26</v>
      </c>
      <c r="L581" s="60">
        <f>IF(J581="syllables",1,IF(J581="trigrams",1,IF(J581="strings",1,IF(J581="visual array",1,IF(J581="characters",1,IF(J581="letters",1,IF(J581="free forms",1,IF(J581="odors",2,IF(J581="words",2,IF(J581="pictures",2,IF(J581="object pictures",2,IF(J581="faces",2,IF(J581="names",2,IF(J581="idioms","2",IF(J581="grades",2,IF(J581="syllable-digit pairs",3,IF(J581="trigram-word pairs",3,IF(J581="word-digit pairs",3,IF(J581="English-Swahili pairs",3,IF(J581="spatial position",3,IF(J581="word pairs",4,IF(J581="word triads",4,IF(J581="generated words",4,IF(J581="word definition pairs",4,IF(J581="math problems",4,IF(J581="famous faces",4,IF(J581="famous names",4,IF(J581="famous voices",4,IF(J581="television programs",4,IF(J581="race horses",4,IF(J581="new vocabulary",4,IF(J581="sentences",5,IF(J581="concepts",5,IF(J581="ad slides",5,IF(J581="scenes",5,IF(J581="famous scenes",5,IF(J581="poems",6,IF(J581="walk",6,IF(J581="faces and events",6,IF(J581="events and names",6,IF(J581="flashbulb",7,IF(J581="stories",7,IF(J581="course material",7,IF(J581="autobiographical",7,IF(J581="novels",7,IF(J581="public events",7,"99"))))))))))))))))))))))))))))))))))))))))))))))</f>
        <v>4</v>
      </c>
      <c r="M581" s="60">
        <v>1</v>
      </c>
      <c r="N581" s="61">
        <v>3</v>
      </c>
      <c r="O581" s="60">
        <v>0</v>
      </c>
      <c r="P581" s="60"/>
      <c r="Q581" s="60" t="s">
        <v>174</v>
      </c>
      <c r="R581" s="60">
        <f>IF(Q581="Free Recall",1,IF(Q581="Cued Recall",2,IF(Q581="Recognition",3,IF(Q581="Multiple Choice",4,IF(Q581="Savings",5,IF(Q581="Stem Completion",6,IF(Q581="Fragment Completion",7,IF(Q581="anagram solution",8,IF(Q581="Matching",9,IF(Q581="Problem Solving",10,"99"))))))))))</f>
        <v>1</v>
      </c>
      <c r="S581" s="62" t="s">
        <v>49</v>
      </c>
      <c r="T581" s="59" t="s">
        <v>581</v>
      </c>
      <c r="U581" s="60">
        <f>IF(T581="within",1,0)</f>
        <v>1</v>
      </c>
      <c r="V581" s="59">
        <v>24</v>
      </c>
      <c r="W581" s="60">
        <f>F581*V581</f>
        <v>144</v>
      </c>
      <c r="X581" s="60">
        <v>3</v>
      </c>
      <c r="Y581" s="76">
        <f>AV580</f>
        <v>31536000</v>
      </c>
      <c r="Z581" s="59" t="s">
        <v>333</v>
      </c>
      <c r="AA581" s="60">
        <f>20*365*24*60*60</f>
        <v>630720000</v>
      </c>
      <c r="AB581" s="60" t="str">
        <f>IF(AA581&lt;60,"1",IF(AA581&lt;=43200,"2",IF(AA581&lt;=777600,"3","4")))</f>
        <v>4</v>
      </c>
      <c r="AC581" s="56">
        <f>AVERAGE(AV580:DA580)</f>
        <v>325872000</v>
      </c>
      <c r="AD581" s="60" t="str">
        <f>IF(AC581&lt;60,"1",IF(AC581&lt;=43200,"2",IF(AC581&lt;=777600,"3","4")))</f>
        <v>4</v>
      </c>
      <c r="AE581" s="76">
        <f>AA581-Y581</f>
        <v>599184000</v>
      </c>
      <c r="AF581" s="80">
        <f>AV581</f>
        <v>0.78125</v>
      </c>
      <c r="AG581" s="56">
        <f>((AW581-AV581)+(AX581-AW581))/2</f>
        <v>-3.7993421052631537E-2</v>
      </c>
      <c r="AH581" s="4"/>
      <c r="AI581" s="56">
        <f>RSQ(AV581:AX581,AV580:AX580)</f>
        <v>0.13856570877539223</v>
      </c>
      <c r="AJ581" s="109">
        <f>SLOPE(AV581:AX581,AV580:AX580)</f>
        <v>-1.1788559888945648E-10</v>
      </c>
      <c r="AK581" s="56">
        <f>INTERCEPT(AV581:AX581,AV580:AX580)</f>
        <v>0.73145086604374809</v>
      </c>
      <c r="AL581" s="56">
        <f>INDEX(LINEST(LN(AV581:AX581),LN(AV580:AX580),TRUE,TRUE),3,1)</f>
        <v>0.39109744593545037</v>
      </c>
      <c r="AM581" s="56">
        <f>INDEX(LINEST(LN(AV581:AX581),LN(AV580:AX580)),1)</f>
        <v>-5.5722996349914955E-2</v>
      </c>
      <c r="AN581" s="56">
        <f>EXP(INDEX(LINEST(LN(AV581:AX581),LN(AV580:AX580)),1,2))</f>
        <v>1.9886661613693482</v>
      </c>
      <c r="AO581" s="82">
        <f>INDEX(LINEST((AV581:AX581),LN(AV580:AX580),TRUE,TRUE),3,1)</f>
        <v>0.42743014837219478</v>
      </c>
      <c r="AP581" s="82">
        <f>INDEX(LINEST((AV581:AX581),LN(AV580:AX580)),1)</f>
        <v>-3.9570919814244418E-2</v>
      </c>
      <c r="AQ581" s="83">
        <f>INDEX(LINEST(LN(AV581:AX581),SQRT(AV580:AX580),TRUE,TRUE),3,1)</f>
        <v>0.24314895171692216</v>
      </c>
      <c r="AR581" s="116">
        <f>INDEX(LINEST(LN(AV581:AX581),SQRT((AV580:AX580))),1)</f>
        <v>-6.9977545450586129E-6</v>
      </c>
      <c r="AS581" s="84">
        <f>INDEX(LINEST(1/(AV581:AX581),1/(SQRT(AV580:AX580)),TRUE,TRUE),3,1)</f>
        <v>0.46794920044306643</v>
      </c>
      <c r="AT581" s="84">
        <f>INDEX(LINEST(1/(AV581:AX581),1/SQRT(AV580:AX580)),1)</f>
        <v>-1877.6425168973019</v>
      </c>
      <c r="AU581" s="3"/>
      <c r="AV581" s="53">
        <v>0.78125</v>
      </c>
      <c r="AW581" s="53">
        <v>0.59259259259259256</v>
      </c>
      <c r="AX581" s="53">
        <v>0.70526315789473693</v>
      </c>
      <c r="AY581" s="53"/>
      <c r="AZ581" s="53"/>
      <c r="BA581" s="53"/>
      <c r="BB581" s="42"/>
      <c r="BC581" s="23"/>
      <c r="BD581" s="23"/>
      <c r="BE581" s="23"/>
      <c r="BF581" s="23"/>
      <c r="BG581" s="23"/>
      <c r="BH581" s="23"/>
      <c r="BI581" s="23"/>
      <c r="BJ581" s="23"/>
      <c r="BK581" s="23"/>
      <c r="BL581" s="23"/>
      <c r="BM581" s="23"/>
      <c r="BN581" s="23"/>
      <c r="BO581" s="23"/>
      <c r="BP581" s="23"/>
      <c r="BQ581" s="23"/>
      <c r="BR581" s="23"/>
      <c r="BS581" s="23"/>
      <c r="BT581" s="23"/>
      <c r="BU581" s="23"/>
      <c r="BV581" s="23"/>
      <c r="BW581" s="23"/>
      <c r="BX581" s="23"/>
      <c r="BY581" s="23"/>
      <c r="BZ581" s="23"/>
      <c r="CA581" s="23"/>
      <c r="CB581" s="23"/>
      <c r="CC581" s="23"/>
      <c r="CD581" s="23"/>
      <c r="CE581" s="23"/>
      <c r="CF581" s="23"/>
      <c r="CG581" s="23"/>
      <c r="CH581" s="23"/>
      <c r="CI581" s="23"/>
      <c r="CJ581" s="23"/>
      <c r="CK581" s="23"/>
      <c r="CL581" s="23"/>
      <c r="CM581" s="23"/>
      <c r="CN581" s="23"/>
      <c r="CO581" s="23"/>
      <c r="CP581" s="23"/>
      <c r="CQ581" s="23"/>
      <c r="CR581" s="1"/>
      <c r="CS581" s="1"/>
      <c r="CT581" s="1"/>
      <c r="CU581" s="1"/>
    </row>
    <row r="582" spans="1:99" s="13" customFormat="1" ht="12" customHeight="1" x14ac:dyDescent="0.2">
      <c r="A582" s="68">
        <v>43903</v>
      </c>
      <c r="B582" s="70"/>
      <c r="C582" s="70"/>
      <c r="D582" s="69"/>
      <c r="E582" s="87"/>
      <c r="F582" s="69"/>
      <c r="G582" s="69"/>
      <c r="H582" s="69"/>
      <c r="I582" s="69"/>
      <c r="J582" s="69"/>
      <c r="K582" s="107"/>
      <c r="L582" s="107"/>
      <c r="M582" s="69"/>
      <c r="N582" s="86"/>
      <c r="O582" s="69"/>
      <c r="P582" s="69"/>
      <c r="Q582" s="69"/>
      <c r="R582" s="69"/>
      <c r="S582" s="69"/>
      <c r="T582" s="92"/>
      <c r="U582" s="69"/>
      <c r="V582" s="92"/>
      <c r="W582" s="69"/>
      <c r="X582" s="69"/>
      <c r="Y582" s="87"/>
      <c r="Z582" s="69"/>
      <c r="AA582" s="69"/>
      <c r="AB582" s="69"/>
      <c r="AC582" s="72"/>
      <c r="AD582" s="69"/>
      <c r="AE582" s="69"/>
      <c r="AF582" s="88"/>
      <c r="AG582" s="72"/>
      <c r="AH582" s="4"/>
      <c r="AI582" s="72"/>
      <c r="AJ582" s="110"/>
      <c r="AK582" s="72"/>
      <c r="AL582" s="72"/>
      <c r="AM582" s="72"/>
      <c r="AN582" s="72"/>
      <c r="AO582" s="89"/>
      <c r="AP582" s="89"/>
      <c r="AQ582" s="90"/>
      <c r="AR582" s="117"/>
      <c r="AS582" s="91"/>
      <c r="AT582" s="91"/>
      <c r="AU582" s="3"/>
      <c r="AV582" s="71">
        <v>600</v>
      </c>
      <c r="AW582" s="71">
        <v>86400</v>
      </c>
      <c r="AX582" s="71">
        <v>604800</v>
      </c>
      <c r="AY582" s="42"/>
      <c r="AZ582" s="46"/>
      <c r="BA582" s="42"/>
      <c r="BB582" s="42"/>
      <c r="BC582" s="38"/>
      <c r="BD582" s="38"/>
      <c r="BE582" s="38"/>
      <c r="BF582" s="38"/>
      <c r="BG582" s="38"/>
      <c r="BH582" s="38"/>
      <c r="BI582" s="38"/>
      <c r="BJ582" s="38"/>
      <c r="BK582" s="38"/>
      <c r="BL582" s="38"/>
      <c r="BM582" s="38"/>
      <c r="BN582" s="38"/>
      <c r="BO582" s="38"/>
      <c r="BP582" s="38"/>
      <c r="BQ582" s="38"/>
      <c r="BR582" s="38"/>
      <c r="BS582" s="38"/>
      <c r="BT582" s="38"/>
      <c r="BU582" s="38"/>
      <c r="BV582" s="38"/>
      <c r="BW582" s="38"/>
      <c r="BX582" s="38"/>
      <c r="BY582" s="38"/>
      <c r="BZ582" s="38"/>
      <c r="CA582" s="38"/>
      <c r="CB582" s="38"/>
      <c r="CC582" s="38"/>
      <c r="CD582" s="38"/>
      <c r="CE582" s="38"/>
      <c r="CF582" s="38"/>
      <c r="CG582" s="38"/>
      <c r="CH582" s="38"/>
      <c r="CI582" s="38"/>
      <c r="CJ582" s="38"/>
      <c r="CK582" s="38"/>
      <c r="CL582" s="38"/>
      <c r="CM582" s="38"/>
      <c r="CN582" s="38"/>
      <c r="CO582" s="38"/>
      <c r="CP582" s="38"/>
      <c r="CQ582" s="38"/>
      <c r="CR582" s="1"/>
      <c r="CS582" s="1"/>
      <c r="CT582" s="1"/>
      <c r="CU582" s="1"/>
    </row>
    <row r="583" spans="1:99" s="13" customFormat="1" ht="12" customHeight="1" x14ac:dyDescent="0.2">
      <c r="A583" s="68">
        <v>43903</v>
      </c>
      <c r="B583" s="70" t="s">
        <v>486</v>
      </c>
      <c r="C583" s="70" t="s">
        <v>357</v>
      </c>
      <c r="D583" s="69">
        <v>1979</v>
      </c>
      <c r="E583" s="87">
        <v>1</v>
      </c>
      <c r="F583" s="69">
        <v>2</v>
      </c>
      <c r="G583" s="69">
        <v>2</v>
      </c>
      <c r="H583" s="69" t="s">
        <v>50</v>
      </c>
      <c r="I583" s="69" t="s">
        <v>330</v>
      </c>
      <c r="J583" s="69" t="s">
        <v>313</v>
      </c>
      <c r="K583" s="69">
        <f>IF(J583="syllables",1,IF(J583="trigrams",2,IF(J583="strings",3,IF(J583="visual array",4,IF(J583="characters",5,IF(J583="letters",6,IF(J583="free forms",7,IF(J583="odors",8,IF(J583="words",9,IF(J583="pictures",10,IF(J583="object pictures",11,IF(J583="faces",12,IF(J583="names",13,IF(J583="idioms",14,IF(J583="grades",15,IF(J583="syllable-digit pairs",16,IF(J583="trigram-word pairs",17,IF(J583="word-digit pairs",18,IF(J583="English-Swahili pairs",19,IF(J583="spatial position",20,IF(J583="word pairs",21,IF(J583="word triads",22,IF(J583="generated words",23,IF(J583="word definition pairs",24,IF(J583="math problems",25,IF(J583="famous faces",26,IF(J583="famous names",27,IF(J583="famous voices",28,IF(J583="television programs",29,IF(J583="race horses",30,IF(J583="new vocabulary",31,IF(J583="sentences",32,IF(J583="concepts",33,IF(J583="ad slides",34,IF(J583="scenes",35,IF(J583="famous scenes",36,IF(J583="poems",37,IF(J583="walk",38,IF(J583="faces and events",39,IF(J583="events and names",40,IF(J583="flashbulb",41,IF(J583="stories",42,IF(J583="course material",43,IF(J583="autobiographical",44,IF(J583="novels",45,IF(J583="public events",46,"99"))))))))))))))))))))))))))))))))))))))))))))))</f>
        <v>10</v>
      </c>
      <c r="L583" s="69">
        <f>IF(J583="syllables",1,IF(J583="trigrams",1,IF(J583="strings",1,IF(J583="visual array",1,IF(J583="characters",1,IF(J583="letters",1,IF(J583="free forms",1,IF(J583="odors",2,IF(J583="words",2,IF(J583="pictures",2,IF(J583="object pictures",2,IF(J583="faces",2,IF(J583="names",2,IF(J583="idioms","2",IF(J583="grades",2,IF(J583="syllable-digit pairs",3,IF(J583="trigram-word pairs",3,IF(J583="word-digit pairs",3,IF(J583="English-Swahili pairs",3,IF(J583="spatial position",3,IF(J583="word pairs",4,IF(J583="word triads",4,IF(J583="generated words",4,IF(J583="word definition pairs",4,IF(J583="math problems",4,IF(J583="famous faces",4,IF(J583="famous names",4,IF(J583="famous voices",4,IF(J583="television programs",4,IF(J583="race horses",4,IF(J583="new vocabulary",4,IF(J583="sentences",5,IF(J583="concepts",5,IF(J583="ad slides",5,IF(J583="scenes",5,IF(J583="famous scenes",5,IF(J583="poems",6,IF(J583="walk",6,IF(J583="faces and events",6,IF(J583="events and names",6,IF(J583="flashbulb",7,IF(J583="stories",7,IF(J583="course material",7,IF(J583="autobiographical",7,IF(J583="novels",7,IF(J583="public events",7,"99"))))))))))))))))))))))))))))))))))))))))))))))</f>
        <v>2</v>
      </c>
      <c r="M583" s="69">
        <v>0</v>
      </c>
      <c r="N583" s="86">
        <v>1</v>
      </c>
      <c r="O583" s="69">
        <v>0</v>
      </c>
      <c r="P583" s="69"/>
      <c r="Q583" s="69" t="s">
        <v>34</v>
      </c>
      <c r="R583" s="69">
        <f>IF(Q583="Free Recall",1,IF(Q583="Cued Recall",2,IF(Q583="Recognition",3,IF(Q583="Multiple Choice",4,IF(Q583="Savings",5,IF(Q583="Stem Completion",6,IF(Q583="Fragment Completion",7,IF(Q583="anagram solution",8,IF(Q583="Matching",9,IF(Q583="Problem Solving",10,"99"))))))))))</f>
        <v>3</v>
      </c>
      <c r="S583" s="69" t="s">
        <v>15</v>
      </c>
      <c r="T583" s="92" t="s">
        <v>581</v>
      </c>
      <c r="U583" s="69">
        <f>IF(T583="within",1,0)</f>
        <v>1</v>
      </c>
      <c r="V583" s="92">
        <v>120</v>
      </c>
      <c r="W583" s="69">
        <f>F583*V583</f>
        <v>240</v>
      </c>
      <c r="X583" s="69">
        <v>3</v>
      </c>
      <c r="Y583" s="87">
        <f>AV582</f>
        <v>600</v>
      </c>
      <c r="Z583" s="69" t="s">
        <v>97</v>
      </c>
      <c r="AA583" s="69">
        <v>604800</v>
      </c>
      <c r="AB583" s="69" t="str">
        <f>IF(AA583&lt;60,"1",IF(AA583&lt;=43200,"2",IF(AA583&lt;=777600,"3","4")))</f>
        <v>3</v>
      </c>
      <c r="AC583" s="72">
        <f>AVERAGE(AV582:DA582)</f>
        <v>230600</v>
      </c>
      <c r="AD583" s="69" t="str">
        <f>IF(AC583&lt;60,"1",IF(AC583&lt;=43200,"2",IF(AC583&lt;=777600,"3","4")))</f>
        <v>3</v>
      </c>
      <c r="AE583" s="87">
        <f>AA583-Y583</f>
        <v>604200</v>
      </c>
      <c r="AF583" s="88">
        <f>AV583</f>
        <v>0.84</v>
      </c>
      <c r="AG583" s="72">
        <f>((AW583-AV583)+(AX583-AW583))/2</f>
        <v>-7.0000000000000007E-2</v>
      </c>
      <c r="AH583" s="4"/>
      <c r="AI583" s="72">
        <f>RSQ(AV583:AX583,AV582:AX582)</f>
        <v>0.85405874472345267</v>
      </c>
      <c r="AJ583" s="110">
        <f>SLOPE(AV583:AX583,AV582:AX582)</f>
        <v>-1.9789510801271657E-7</v>
      </c>
      <c r="AK583" s="72">
        <f>INTERCEPT(AV583:AX583,AV582:AX582)</f>
        <v>0.81563461190773234</v>
      </c>
      <c r="AL583" s="72">
        <f>INDEX(LINEST(LN(AV583:AX583),LN(AV582:AX582),TRUE,TRUE),3,1)</f>
        <v>0.92701653841827814</v>
      </c>
      <c r="AM583" s="72">
        <f>INDEX(LINEST(LN(AV583:AX583),LN(AV582:AX582)),1)</f>
        <v>-2.4619458230427545E-2</v>
      </c>
      <c r="AN583" s="72">
        <f>EXP(INDEX(LINEST(LN(AV583:AX583),LN(AV582:AX582)),1,2))</f>
        <v>0.99093771483458859</v>
      </c>
      <c r="AO583" s="89">
        <f>INDEX(LINEST((AV583:AX583),LN(AV582:AX582),TRUE,TRUE),3,1)</f>
        <v>0.94008878387362016</v>
      </c>
      <c r="AP583" s="89">
        <f>INDEX(LINEST((AV583:AX583),LN(AV582:AX582)),1)</f>
        <v>-1.9030898317421031E-2</v>
      </c>
      <c r="AQ583" s="90">
        <f>INDEX(LINEST(LN(AV583:AX583),SQRT(AV582:AX582),TRUE,TRUE),3,1)</f>
        <v>0.98147083301333538</v>
      </c>
      <c r="AR583" s="117">
        <f>INDEX(LINEST(LN(AV583:AX583),SQRT((AV582:AX582))),1)</f>
        <v>-2.3672143050461382E-4</v>
      </c>
      <c r="AS583" s="91">
        <f>INDEX(LINEST(1/(AV583:AX583),1/(SQRT(AV582:AX582)),TRUE,TRUE),3,1)</f>
        <v>0.74578962495735912</v>
      </c>
      <c r="AT583" s="91">
        <f>INDEX(LINEST(1/(AV583:AX583),1/SQRT(AV582:AX582)),1)</f>
        <v>-4.6286047066886802</v>
      </c>
      <c r="AU583" s="3"/>
      <c r="AV583" s="73">
        <v>0.84</v>
      </c>
      <c r="AW583" s="73">
        <v>0.77</v>
      </c>
      <c r="AX583" s="73">
        <v>0.7</v>
      </c>
      <c r="AY583" s="42"/>
      <c r="AZ583" s="46"/>
      <c r="BA583" s="42"/>
      <c r="BB583" s="42"/>
      <c r="BC583" s="38"/>
      <c r="BD583" s="38"/>
      <c r="BE583" s="38"/>
      <c r="BF583" s="38"/>
      <c r="BG583" s="38"/>
      <c r="BH583" s="38"/>
      <c r="BI583" s="38"/>
      <c r="BJ583" s="38"/>
      <c r="BK583" s="38"/>
      <c r="BL583" s="38"/>
      <c r="BM583" s="38"/>
      <c r="BN583" s="38"/>
      <c r="BO583" s="38"/>
      <c r="BP583" s="38"/>
      <c r="BQ583" s="38"/>
      <c r="BR583" s="38"/>
      <c r="BS583" s="38"/>
      <c r="BT583" s="38"/>
      <c r="BU583" s="38"/>
      <c r="BV583" s="38"/>
      <c r="BW583" s="38"/>
      <c r="BX583" s="38"/>
      <c r="BY583" s="38"/>
      <c r="BZ583" s="38"/>
      <c r="CA583" s="38"/>
      <c r="CB583" s="38"/>
      <c r="CC583" s="38"/>
      <c r="CD583" s="38"/>
      <c r="CE583" s="38"/>
      <c r="CF583" s="38"/>
      <c r="CG583" s="38"/>
      <c r="CH583" s="38"/>
      <c r="CI583" s="38"/>
      <c r="CJ583" s="38"/>
      <c r="CK583" s="38"/>
      <c r="CL583" s="38"/>
      <c r="CM583" s="38"/>
      <c r="CN583" s="38"/>
      <c r="CO583" s="38"/>
      <c r="CP583" s="38"/>
      <c r="CQ583" s="38"/>
      <c r="CR583" s="1"/>
      <c r="CS583" s="1"/>
      <c r="CT583" s="1"/>
      <c r="CU583" s="1"/>
    </row>
    <row r="584" spans="1:99" s="13" customFormat="1" ht="12" customHeight="1" x14ac:dyDescent="0.2">
      <c r="A584" s="65">
        <v>43902</v>
      </c>
      <c r="B584" s="1"/>
      <c r="C584" s="1"/>
      <c r="D584" s="60"/>
      <c r="E584" s="76"/>
      <c r="F584" s="60"/>
      <c r="G584" s="60"/>
      <c r="H584" s="60"/>
      <c r="I584" s="60"/>
      <c r="J584" s="60"/>
      <c r="K584" s="64"/>
      <c r="L584" s="64"/>
      <c r="M584" s="60"/>
      <c r="N584" s="61"/>
      <c r="O584" s="60"/>
      <c r="P584" s="60"/>
      <c r="Q584" s="60"/>
      <c r="R584" s="60"/>
      <c r="S584" s="60"/>
      <c r="T584" s="60"/>
      <c r="U584" s="60"/>
      <c r="V584" s="60"/>
      <c r="W584" s="60"/>
      <c r="X584" s="60"/>
      <c r="Y584" s="76"/>
      <c r="Z584" s="60"/>
      <c r="AA584" s="60"/>
      <c r="AB584" s="60"/>
      <c r="AC584" s="56"/>
      <c r="AD584" s="60"/>
      <c r="AE584" s="60"/>
      <c r="AF584" s="80"/>
      <c r="AG584" s="56"/>
      <c r="AH584" s="4"/>
      <c r="AI584" s="56"/>
      <c r="AJ584" s="109"/>
      <c r="AK584" s="56"/>
      <c r="AL584" s="56"/>
      <c r="AM584" s="56"/>
      <c r="AN584" s="56"/>
      <c r="AO584" s="82"/>
      <c r="AP584" s="82"/>
      <c r="AQ584" s="83"/>
      <c r="AR584" s="116"/>
      <c r="AS584" s="84"/>
      <c r="AT584" s="84"/>
      <c r="AU584" s="3"/>
      <c r="AV584" s="25">
        <v>600</v>
      </c>
      <c r="AW584" s="25">
        <v>86400</v>
      </c>
      <c r="AX584" s="25">
        <v>604800</v>
      </c>
      <c r="AY584" s="53"/>
      <c r="AZ584" s="53"/>
      <c r="BA584" s="53"/>
      <c r="BB584" s="53"/>
      <c r="BC584" s="53"/>
      <c r="BD584" s="53"/>
      <c r="BE584" s="53"/>
      <c r="BF584" s="53"/>
      <c r="BG584" s="53"/>
      <c r="BH584" s="53"/>
      <c r="BI584" s="53"/>
      <c r="BJ584" s="53"/>
      <c r="BK584" s="53"/>
      <c r="BL584" s="53"/>
      <c r="BM584" s="53"/>
      <c r="BN584" s="53"/>
      <c r="BO584" s="53"/>
      <c r="BP584" s="53"/>
      <c r="BQ584" s="53"/>
      <c r="BR584" s="53"/>
      <c r="BS584" s="53"/>
      <c r="BT584" s="53"/>
      <c r="BU584" s="53"/>
      <c r="BV584" s="53"/>
      <c r="BW584" s="53"/>
      <c r="BX584" s="53"/>
      <c r="BY584" s="53"/>
      <c r="BZ584" s="53"/>
      <c r="CA584" s="53"/>
      <c r="CB584" s="53"/>
      <c r="CC584" s="53"/>
      <c r="CD584" s="53"/>
      <c r="CE584" s="53"/>
      <c r="CF584" s="53"/>
      <c r="CG584" s="53"/>
      <c r="CH584" s="53"/>
      <c r="CI584" s="53"/>
      <c r="CJ584" s="53"/>
      <c r="CK584" s="53"/>
      <c r="CL584" s="53"/>
      <c r="CM584" s="53"/>
      <c r="CN584" s="53"/>
      <c r="CO584" s="53"/>
      <c r="CP584" s="53"/>
      <c r="CQ584" s="53"/>
      <c r="CR584" s="1"/>
      <c r="CS584" s="1"/>
      <c r="CT584" s="1"/>
      <c r="CU584" s="1"/>
    </row>
    <row r="585" spans="1:99" s="13" customFormat="1" ht="12" customHeight="1" x14ac:dyDescent="0.2">
      <c r="A585" s="65">
        <v>43902</v>
      </c>
      <c r="B585" s="1" t="s">
        <v>462</v>
      </c>
      <c r="C585" s="1" t="s">
        <v>463</v>
      </c>
      <c r="D585" s="60">
        <v>1978</v>
      </c>
      <c r="E585" s="76">
        <v>1</v>
      </c>
      <c r="F585" s="60">
        <v>6</v>
      </c>
      <c r="G585" s="60">
        <v>6</v>
      </c>
      <c r="H585" s="60" t="s">
        <v>50</v>
      </c>
      <c r="I585" s="60" t="s">
        <v>330</v>
      </c>
      <c r="J585" s="60" t="s">
        <v>313</v>
      </c>
      <c r="K585" s="60">
        <f>IF(J585="syllables",1,IF(J585="trigrams",2,IF(J585="strings",3,IF(J585="visual array",4,IF(J585="characters",5,IF(J585="letters",6,IF(J585="free forms",7,IF(J585="odors",8,IF(J585="words",9,IF(J585="pictures",10,IF(J585="object pictures",11,IF(J585="faces",12,IF(J585="names",13,IF(J585="idioms",14,IF(J585="grades",15,IF(J585="syllable-digit pairs",16,IF(J585="trigram-word pairs",17,IF(J585="word-digit pairs",18,IF(J585="English-Swahili pairs",19,IF(J585="spatial position",20,IF(J585="word pairs",21,IF(J585="word triads",22,IF(J585="generated words",23,IF(J585="word definition pairs",24,IF(J585="math problems",25,IF(J585="famous faces",26,IF(J585="famous names",27,IF(J585="famous voices",28,IF(J585="television programs",29,IF(J585="race horses",30,IF(J585="new vocabulary",31,IF(J585="sentences",32,IF(J585="concepts",33,IF(J585="ad slides",34,IF(J585="scenes",35,IF(J585="famous scenes",36,IF(J585="poems",37,IF(J585="walk",38,IF(J585="faces and events",39,IF(J585="events and names",40,IF(J585="flashbulb",41,IF(J585="stories",42,IF(J585="course material",43,IF(J585="autobiographical",44,IF(J585="novels",45,IF(J585="public events",46,"99"))))))))))))))))))))))))))))))))))))))))))))))</f>
        <v>10</v>
      </c>
      <c r="L585" s="60">
        <f>IF(J585="syllables",1,IF(J585="trigrams",1,IF(J585="strings",1,IF(J585="visual array",1,IF(J585="characters",1,IF(J585="letters",1,IF(J585="free forms",1,IF(J585="odors",2,IF(J585="words",2,IF(J585="pictures",2,IF(J585="object pictures",2,IF(J585="faces",2,IF(J585="names",2,IF(J585="idioms","2",IF(J585="grades",2,IF(J585="syllable-digit pairs",3,IF(J585="trigram-word pairs",3,IF(J585="word-digit pairs",3,IF(J585="English-Swahili pairs",3,IF(J585="spatial position",3,IF(J585="word pairs",4,IF(J585="word triads",4,IF(J585="generated words",4,IF(J585="word definition pairs",4,IF(J585="math problems",4,IF(J585="famous faces",4,IF(J585="famous names",4,IF(J585="famous voices",4,IF(J585="television programs",4,IF(J585="race horses",4,IF(J585="new vocabulary",4,IF(J585="sentences",5,IF(J585="concepts",5,IF(J585="ad slides",5,IF(J585="scenes",5,IF(J585="famous scenes",5,IF(J585="poems",6,IF(J585="walk",6,IF(J585="faces and events",6,IF(J585="events and names",6,IF(J585="flashbulb",7,IF(J585="stories",7,IF(J585="course material",7,IF(J585="autobiographical",7,IF(J585="novels",7,IF(J585="public events",7,"99"))))))))))))))))))))))))))))))))))))))))))))))</f>
        <v>2</v>
      </c>
      <c r="M585" s="60">
        <v>0</v>
      </c>
      <c r="N585" s="61">
        <v>1</v>
      </c>
      <c r="O585" s="60">
        <v>0</v>
      </c>
      <c r="P585" s="60"/>
      <c r="Q585" s="60" t="s">
        <v>34</v>
      </c>
      <c r="R585" s="60">
        <f>IF(Q585="Free Recall",1,IF(Q585="Cued Recall",2,IF(Q585="Recognition",3,IF(Q585="Multiple Choice",4,IF(Q585="Savings",5,IF(Q585="Stem Completion",6,IF(Q585="Fragment Completion",7,IF(Q585="anagram solution",8,IF(Q585="Matching",9,IF(Q585="Problem Solving",10,"99"))))))))))</f>
        <v>3</v>
      </c>
      <c r="S585" s="60" t="s">
        <v>15</v>
      </c>
      <c r="T585" s="59" t="s">
        <v>581</v>
      </c>
      <c r="U585" s="60">
        <f>IF(T585="within",1,0)</f>
        <v>1</v>
      </c>
      <c r="V585" s="59">
        <v>120</v>
      </c>
      <c r="W585" s="60">
        <f>F585*V585</f>
        <v>720</v>
      </c>
      <c r="X585" s="60">
        <v>3</v>
      </c>
      <c r="Y585" s="76">
        <f>AV584</f>
        <v>600</v>
      </c>
      <c r="Z585" s="60" t="s">
        <v>97</v>
      </c>
      <c r="AA585" s="60">
        <v>604800</v>
      </c>
      <c r="AB585" s="60" t="str">
        <f>IF(AA585&lt;60,"1",IF(AA585&lt;=43200,"2",IF(AA585&lt;=777600,"3","4")))</f>
        <v>3</v>
      </c>
      <c r="AC585" s="56">
        <f>AVERAGE(AV584:DA584)</f>
        <v>230600</v>
      </c>
      <c r="AD585" s="60" t="str">
        <f>IF(AC585&lt;60,"1",IF(AC585&lt;=43200,"2",IF(AC585&lt;=777600,"3","4")))</f>
        <v>3</v>
      </c>
      <c r="AE585" s="76">
        <f>AA585-Y585</f>
        <v>604200</v>
      </c>
      <c r="AF585" s="80">
        <f>AV585</f>
        <v>0.78</v>
      </c>
      <c r="AG585" s="56">
        <f>((AW585-AV585)+(AX585-AW585))/2</f>
        <v>-8.0000000000000016E-2</v>
      </c>
      <c r="AH585" s="4"/>
      <c r="AI585" s="56">
        <f>RSQ(AV585:AX585,AV584:AX584)</f>
        <v>0.85405874472345178</v>
      </c>
      <c r="AJ585" s="109">
        <f>SLOPE(AV585:AX585,AV584:AX584)</f>
        <v>-2.2616583772881884E-7</v>
      </c>
      <c r="AK585" s="56">
        <f>INTERCEPT(AV585:AX585,AV584:AX584)</f>
        <v>0.75215384218026571</v>
      </c>
      <c r="AL585" s="56">
        <f>INDEX(LINEST(LN(AV585:AX585),LN(AV584:AX584),TRUE,TRUE),3,1)</f>
        <v>0.92345124796976052</v>
      </c>
      <c r="AM585" s="56">
        <f>INDEX(LINEST(LN(AV585:AX585),LN(AV584:AX584)),1)</f>
        <v>-3.0946718045348078E-2</v>
      </c>
      <c r="AN585" s="56">
        <f>EXP(INDEX(LINEST(LN(AV585:AX585),LN(AV584:AX584)),1,2))</f>
        <v>0.96032138790740962</v>
      </c>
      <c r="AO585" s="82">
        <f>INDEX(LINEST((AV585:AX585),LN(AV584:AX584),TRUE,TRUE),3,1)</f>
        <v>0.94008878387362038</v>
      </c>
      <c r="AP585" s="82">
        <f>INDEX(LINEST((AV585:AX585),LN(AV584:AX584)),1)</f>
        <v>-2.1749598077052613E-2</v>
      </c>
      <c r="AQ585" s="83">
        <f>INDEX(LINEST(LN(AV585:AX585),SQRT(AV584:AX584),TRUE,TRUE),3,1)</f>
        <v>0.98325469011799782</v>
      </c>
      <c r="AR585" s="116">
        <f>INDEX(LINEST(LN(AV585:AX585),SQRT((AV584:AX584))),1)</f>
        <v>-2.9840407680177387E-4</v>
      </c>
      <c r="AS585" s="84">
        <f>INDEX(LINEST(1/(AV585:AX585),1/(SQRT(AV584:AX584)),TRUE,TRUE),3,1)</f>
        <v>0.73399020055261577</v>
      </c>
      <c r="AT585" s="84">
        <f>INDEX(LINEST(1/(AV585:AX585),1/SQRT(AV584:AX584)),1)</f>
        <v>-6.3858102149991973</v>
      </c>
      <c r="AU585" s="3"/>
      <c r="AV585" s="53">
        <v>0.78</v>
      </c>
      <c r="AW585" s="53">
        <v>0.7</v>
      </c>
      <c r="AX585" s="53">
        <v>0.62</v>
      </c>
      <c r="AY585" s="53"/>
      <c r="AZ585" s="53"/>
      <c r="BA585" s="53"/>
      <c r="BB585" s="53"/>
      <c r="BC585" s="53"/>
      <c r="BD585" s="53"/>
      <c r="BE585" s="53"/>
      <c r="BF585" s="53"/>
      <c r="BG585" s="53"/>
      <c r="BH585" s="53"/>
      <c r="BI585" s="53"/>
      <c r="BJ585" s="53"/>
      <c r="BK585" s="53"/>
      <c r="BL585" s="53"/>
      <c r="BM585" s="53"/>
      <c r="BN585" s="53"/>
      <c r="BO585" s="53"/>
      <c r="BP585" s="53"/>
      <c r="BQ585" s="53"/>
      <c r="BR585" s="53"/>
      <c r="BS585" s="53"/>
      <c r="BT585" s="53"/>
      <c r="BU585" s="53"/>
      <c r="BV585" s="53"/>
      <c r="BW585" s="53"/>
      <c r="BX585" s="53"/>
      <c r="BY585" s="53"/>
      <c r="BZ585" s="53"/>
      <c r="CA585" s="53"/>
      <c r="CB585" s="53"/>
      <c r="CC585" s="53"/>
      <c r="CD585" s="53"/>
      <c r="CE585" s="53"/>
      <c r="CF585" s="53"/>
      <c r="CG585" s="53"/>
      <c r="CH585" s="53"/>
      <c r="CI585" s="53"/>
      <c r="CJ585" s="53"/>
      <c r="CK585" s="53"/>
      <c r="CL585" s="53"/>
      <c r="CM585" s="53"/>
      <c r="CN585" s="53"/>
      <c r="CO585" s="53"/>
      <c r="CP585" s="53"/>
      <c r="CQ585" s="53"/>
      <c r="CR585" s="1"/>
      <c r="CS585" s="1"/>
      <c r="CT585" s="1"/>
      <c r="CU585" s="1"/>
    </row>
    <row r="586" spans="1:99" s="13" customFormat="1" ht="12" customHeight="1" x14ac:dyDescent="0.2">
      <c r="A586" s="68">
        <v>43509</v>
      </c>
      <c r="B586" s="70"/>
      <c r="C586" s="70"/>
      <c r="D586" s="69"/>
      <c r="E586" s="87"/>
      <c r="F586" s="69"/>
      <c r="G586" s="69"/>
      <c r="H586" s="69"/>
      <c r="I586" s="69"/>
      <c r="J586" s="69"/>
      <c r="K586" s="107"/>
      <c r="L586" s="107"/>
      <c r="M586" s="69"/>
      <c r="N586" s="69"/>
      <c r="O586" s="69"/>
      <c r="P586" s="69"/>
      <c r="Q586" s="69"/>
      <c r="R586" s="69"/>
      <c r="S586" s="69"/>
      <c r="T586" s="69"/>
      <c r="U586" s="69"/>
      <c r="V586" s="69"/>
      <c r="W586" s="69"/>
      <c r="X586" s="69"/>
      <c r="Y586" s="87"/>
      <c r="Z586" s="69"/>
      <c r="AA586" s="69"/>
      <c r="AB586" s="69"/>
      <c r="AC586" s="69"/>
      <c r="AD586" s="69"/>
      <c r="AE586" s="69"/>
      <c r="AF586" s="88"/>
      <c r="AG586" s="72"/>
      <c r="AH586" s="4"/>
      <c r="AI586" s="72"/>
      <c r="AJ586" s="110"/>
      <c r="AK586" s="72"/>
      <c r="AL586" s="72"/>
      <c r="AM586" s="72"/>
      <c r="AN586" s="72"/>
      <c r="AO586" s="72"/>
      <c r="AP586" s="72"/>
      <c r="AQ586" s="89"/>
      <c r="AR586" s="118"/>
      <c r="AS586" s="89"/>
      <c r="AT586" s="89"/>
      <c r="AU586" s="8"/>
      <c r="AV586" s="71">
        <v>15</v>
      </c>
      <c r="AW586" s="71">
        <f>60*1</f>
        <v>60</v>
      </c>
      <c r="AX586" s="71">
        <f>60*2</f>
        <v>120</v>
      </c>
      <c r="AY586" s="71">
        <f>60*5</f>
        <v>300</v>
      </c>
      <c r="AZ586" s="71">
        <f>60*10</f>
        <v>600</v>
      </c>
      <c r="BA586" s="42"/>
      <c r="BB586" s="4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1"/>
      <c r="CS586" s="1"/>
      <c r="CT586" s="1"/>
      <c r="CU586" s="1"/>
    </row>
    <row r="587" spans="1:99" s="13" customFormat="1" ht="12" customHeight="1" x14ac:dyDescent="0.2">
      <c r="A587" s="68">
        <v>43509</v>
      </c>
      <c r="B587" s="70" t="s">
        <v>244</v>
      </c>
      <c r="C587" s="70" t="s">
        <v>45</v>
      </c>
      <c r="D587" s="69">
        <v>1999</v>
      </c>
      <c r="E587" s="87">
        <v>1</v>
      </c>
      <c r="F587" s="69">
        <v>19</v>
      </c>
      <c r="G587" s="69">
        <v>19</v>
      </c>
      <c r="H587" s="69" t="s">
        <v>227</v>
      </c>
      <c r="I587" s="69" t="s">
        <v>330</v>
      </c>
      <c r="J587" s="69" t="s">
        <v>61</v>
      </c>
      <c r="K587" s="69">
        <f>IF(J587="syllables",1,IF(J587="trigrams",2,IF(J587="strings",3,IF(J587="visual array",4,IF(J587="characters",5,IF(J587="letters",6,IF(J587="free forms",7,IF(J587="odors",8,IF(J587="words",9,IF(J587="pictures",10,IF(J587="object pictures",11,IF(J587="faces",12,IF(J587="names",13,IF(J587="idioms",14,IF(J587="grades",15,IF(J587="syllable-digit pairs",16,IF(J587="trigram-word pairs",17,IF(J587="word-digit pairs",18,IF(J587="English-Swahili pairs",19,IF(J587="spatial position",20,IF(J587="word pairs",21,IF(J587="word triads",22,IF(J587="generated words",23,IF(J587="word definition pairs",24,IF(J587="math problems",25,IF(J587="famous faces",26,IF(J587="famous names",27,IF(J587="famous voices",28,IF(J587="television programs",29,IF(J587="race horses",30,IF(J587="new vocabulary",31,IF(J587="sentences",32,IF(J587="concepts",33,IF(J587="ad slides",34,IF(J587="scenes",35,IF(J587="famous scenes",36,IF(J587="poems",37,IF(J587="walk",38,IF(J587="faces and events",39,IF(J587="events and names",40,IF(J587="flashbulb",41,IF(J587="stories",42,IF(J587="course material",43,IF(J587="autobiographical",44,IF(J587="novels",45,IF(J587="public events",46,"99"))))))))))))))))))))))))))))))))))))))))))))))</f>
        <v>42</v>
      </c>
      <c r="L587" s="69">
        <f>IF(J587="syllables",1,IF(J587="trigrams",1,IF(J587="strings",1,IF(J587="visual array",1,IF(J587="characters",1,IF(J587="letters",1,IF(J587="free forms",1,IF(J587="odors",2,IF(J587="words",2,IF(J587="pictures",2,IF(J587="object pictures",2,IF(J587="faces",2,IF(J587="names",2,IF(J587="idioms","2",IF(J587="grades",2,IF(J587="syllable-digit pairs",3,IF(J587="trigram-word pairs",3,IF(J587="word-digit pairs",3,IF(J587="English-Swahili pairs",3,IF(J587="spatial position",3,IF(J587="word pairs",4,IF(J587="word triads",4,IF(J587="generated words",4,IF(J587="word definition pairs",4,IF(J587="math problems",4,IF(J587="famous faces",4,IF(J587="famous names",4,IF(J587="famous voices",4,IF(J587="television programs",4,IF(J587="race horses",4,IF(J587="new vocabulary",4,IF(J587="sentences",5,IF(J587="concepts",5,IF(J587="ad slides",5,IF(J587="scenes",5,IF(J587="famous scenes",5,IF(J587="poems",6,IF(J587="walk",6,IF(J587="faces and events",6,IF(J587="events and names",6,IF(J587="flashbulb",7,IF(J587="stories",7,IF(J587="course material",7,IF(J587="autobiographical",7,IF(J587="novels",7,IF(J587="public events",7,"99"))))))))))))))))))))))))))))))))))))))))))))))</f>
        <v>7</v>
      </c>
      <c r="M587" s="69">
        <v>0</v>
      </c>
      <c r="N587" s="69">
        <v>3</v>
      </c>
      <c r="O587" s="69">
        <v>1</v>
      </c>
      <c r="P587" s="69" t="s">
        <v>60</v>
      </c>
      <c r="Q587" s="69" t="s">
        <v>174</v>
      </c>
      <c r="R587" s="69">
        <f>IF(Q587="Free Recall",1,IF(Q587="Cued Recall",2,IF(Q587="Recognition",3,IF(Q587="Multiple Choice",4,IF(Q587="Savings",5,IF(Q587="Stem Completion",6,IF(Q587="Fragment Completion",7,IF(Q587="anagram solution",8,IF(Q587="Matching",9,IF(Q587="Problem Solving",10,"99"))))))))))</f>
        <v>1</v>
      </c>
      <c r="S587" s="69" t="s">
        <v>49</v>
      </c>
      <c r="T587" s="92" t="s">
        <v>581</v>
      </c>
      <c r="U587" s="69">
        <f>IF(T587="within",1,0)</f>
        <v>1</v>
      </c>
      <c r="V587" s="92">
        <v>100</v>
      </c>
      <c r="W587" s="69">
        <f>F587*V587</f>
        <v>1900</v>
      </c>
      <c r="X587" s="69">
        <v>5</v>
      </c>
      <c r="Y587" s="87">
        <f>AV586</f>
        <v>15</v>
      </c>
      <c r="Z587" s="69" t="s">
        <v>62</v>
      </c>
      <c r="AA587" s="69">
        <v>600</v>
      </c>
      <c r="AB587" s="69" t="str">
        <f>IF(AA587&lt;60,"1",IF(AA587&lt;=43200,"2",IF(AA587&lt;=777600,"3","4")))</f>
        <v>2</v>
      </c>
      <c r="AC587" s="72">
        <f>AVERAGE(AV586:DA586)</f>
        <v>219</v>
      </c>
      <c r="AD587" s="69" t="str">
        <f>IF(AC587&lt;60,"1",IF(AC587&lt;=43200,"2",IF(AC587&lt;=777600,"3","4")))</f>
        <v>2</v>
      </c>
      <c r="AE587" s="87">
        <f>AA587-Y587</f>
        <v>585</v>
      </c>
      <c r="AF587" s="88">
        <f>AV587</f>
        <v>0.372</v>
      </c>
      <c r="AG587" s="72">
        <f>((AW587-AV587)+(AX587-AW587)+(AY587-AX587)+(AZ587-AY587))/4</f>
        <v>-5.0000000000000044E-3</v>
      </c>
      <c r="AH587" s="4"/>
      <c r="AI587" s="72">
        <f>RSQ(AV587:AZ587,AV586:AZ586)</f>
        <v>0.50199373235802991</v>
      </c>
      <c r="AJ587" s="110">
        <f>SLOPE(AV587:AZ587,AV586:AZ586)</f>
        <v>-7.0212765957446827E-5</v>
      </c>
      <c r="AK587" s="72">
        <f>INTERCEPT(AV587:AZ587,AV586:AZ586)</f>
        <v>0.39577659574468088</v>
      </c>
      <c r="AL587" s="72">
        <f>INDEX(LINEST(LN(AV587:AZ587),LN(AV586:AZ586),TRUE,TRUE),3,1)</f>
        <v>0.19580435416010614</v>
      </c>
      <c r="AM587" s="72">
        <f>INDEX(LINEST(LN(AV587:AZ587),LN(AV586:AZ586)),1)</f>
        <v>-1.9019416808138942E-2</v>
      </c>
      <c r="AN587" s="72">
        <f>EXP(INDEX(LINEST(LN(AV587:AZ587),LN(AV586:AZ586)),1,2))</f>
        <v>0.41563628354163684</v>
      </c>
      <c r="AO587" s="89">
        <f>INDEX(LINEST((AV587:AZ587),LN(AV586:AZ586),TRUE,TRUE),3,1)</f>
        <v>0.18733425582538948</v>
      </c>
      <c r="AP587" s="89">
        <f>INDEX(LINEST((AV587:AZ587),LN(AV586:AZ586)),1)</f>
        <v>-7.1490447926789826E-3</v>
      </c>
      <c r="AQ587" s="90">
        <f>INDEX(LINEST(LN(AV587:AZ587),SQRT(AV586:AZ586),TRUE,TRUE),3,1)</f>
        <v>0.40125079692996207</v>
      </c>
      <c r="AR587" s="117">
        <f>INDEX(LINEST(LN(AV587:AZ587),SQRT((AV586:AZ586))),1)</f>
        <v>-4.7884806962814278E-3</v>
      </c>
      <c r="AS587" s="91">
        <f>INDEX(LINEST(1/(AV587:AZ587),1/(SQRT(AV586:AZ586)),TRUE,TRUE),3,1)</f>
        <v>4.4603369458420764E-2</v>
      </c>
      <c r="AT587" s="91">
        <f>INDEX(LINEST(1/(AV587:AZ587),1/SQRT(AV586:AZ586)),1)</f>
        <v>-0.39191875661354098</v>
      </c>
      <c r="AU587" s="3"/>
      <c r="AV587" s="73">
        <v>0.372</v>
      </c>
      <c r="AW587" s="73">
        <v>0.41599999999999998</v>
      </c>
      <c r="AX587" s="73">
        <v>0.38800000000000001</v>
      </c>
      <c r="AY587" s="73">
        <v>0.374</v>
      </c>
      <c r="AZ587" s="73">
        <v>0.35199999999999998</v>
      </c>
      <c r="BA587" s="42"/>
      <c r="BB587" s="4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1"/>
      <c r="CS587" s="1"/>
      <c r="CT587" s="1"/>
      <c r="CU587" s="1"/>
    </row>
    <row r="588" spans="1:99" s="13" customFormat="1" ht="12" customHeight="1" x14ac:dyDescent="0.2">
      <c r="A588" s="68">
        <v>43509</v>
      </c>
      <c r="B588" s="70"/>
      <c r="C588" s="70"/>
      <c r="D588" s="69"/>
      <c r="E588" s="87"/>
      <c r="F588" s="69"/>
      <c r="G588" s="69"/>
      <c r="H588" s="69"/>
      <c r="I588" s="69"/>
      <c r="J588" s="69"/>
      <c r="K588" s="107"/>
      <c r="L588" s="107"/>
      <c r="M588" s="69"/>
      <c r="N588" s="69"/>
      <c r="O588" s="69"/>
      <c r="P588" s="69"/>
      <c r="Q588" s="69"/>
      <c r="R588" s="69"/>
      <c r="S588" s="69"/>
      <c r="T588" s="69"/>
      <c r="U588" s="69"/>
      <c r="V588" s="69"/>
      <c r="W588" s="69"/>
      <c r="X588" s="69"/>
      <c r="Y588" s="87"/>
      <c r="Z588" s="69"/>
      <c r="AA588" s="69"/>
      <c r="AB588" s="69"/>
      <c r="AC588" s="69"/>
      <c r="AD588" s="69"/>
      <c r="AE588" s="69"/>
      <c r="AF588" s="88"/>
      <c r="AG588" s="72"/>
      <c r="AH588" s="4"/>
      <c r="AI588" s="72"/>
      <c r="AJ588" s="110"/>
      <c r="AK588" s="72"/>
      <c r="AL588" s="72"/>
      <c r="AM588" s="72"/>
      <c r="AN588" s="72"/>
      <c r="AO588" s="72"/>
      <c r="AP588" s="72"/>
      <c r="AQ588" s="89"/>
      <c r="AR588" s="118"/>
      <c r="AS588" s="89"/>
      <c r="AT588" s="89"/>
      <c r="AU588" s="8"/>
      <c r="AV588" s="71">
        <v>15</v>
      </c>
      <c r="AW588" s="71">
        <f>60*10</f>
        <v>600</v>
      </c>
      <c r="AX588" s="71">
        <f>60*60</f>
        <v>3600</v>
      </c>
      <c r="AY588" s="73"/>
      <c r="AZ588" s="73"/>
      <c r="BA588" s="42"/>
      <c r="BB588" s="4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1"/>
      <c r="CS588" s="1"/>
      <c r="CT588" s="1"/>
      <c r="CU588" s="1"/>
    </row>
    <row r="589" spans="1:99" s="13" customFormat="1" ht="12" customHeight="1" x14ac:dyDescent="0.2">
      <c r="A589" s="68">
        <v>43509</v>
      </c>
      <c r="B589" s="70" t="s">
        <v>244</v>
      </c>
      <c r="C589" s="70" t="s">
        <v>45</v>
      </c>
      <c r="D589" s="69">
        <v>1999</v>
      </c>
      <c r="E589" s="87">
        <v>1</v>
      </c>
      <c r="F589" s="69">
        <v>19</v>
      </c>
      <c r="G589" s="69">
        <v>19</v>
      </c>
      <c r="H589" s="69" t="s">
        <v>398</v>
      </c>
      <c r="I589" s="69" t="s">
        <v>330</v>
      </c>
      <c r="J589" s="69" t="s">
        <v>61</v>
      </c>
      <c r="K589" s="69">
        <f>IF(J589="syllables",1,IF(J589="trigrams",2,IF(J589="strings",3,IF(J589="visual array",4,IF(J589="characters",5,IF(J589="letters",6,IF(J589="free forms",7,IF(J589="odors",8,IF(J589="words",9,IF(J589="pictures",10,IF(J589="object pictures",11,IF(J589="faces",12,IF(J589="names",13,IF(J589="idioms",14,IF(J589="grades",15,IF(J589="syllable-digit pairs",16,IF(J589="trigram-word pairs",17,IF(J589="word-digit pairs",18,IF(J589="English-Swahili pairs",19,IF(J589="spatial position",20,IF(J589="word pairs",21,IF(J589="word triads",22,IF(J589="generated words",23,IF(J589="word definition pairs",24,IF(J589="math problems",25,IF(J589="famous faces",26,IF(J589="famous names",27,IF(J589="famous voices",28,IF(J589="television programs",29,IF(J589="race horses",30,IF(J589="new vocabulary",31,IF(J589="sentences",32,IF(J589="concepts",33,IF(J589="ad slides",34,IF(J589="scenes",35,IF(J589="famous scenes",36,IF(J589="poems",37,IF(J589="walk",38,IF(J589="faces and events",39,IF(J589="events and names",40,IF(J589="flashbulb",41,IF(J589="stories",42,IF(J589="course material",43,IF(J589="autobiographical",44,IF(J589="novels",45,IF(J589="public events",46,"99"))))))))))))))))))))))))))))))))))))))))))))))</f>
        <v>42</v>
      </c>
      <c r="L589" s="69">
        <f>IF(J589="syllables",1,IF(J589="trigrams",1,IF(J589="strings",1,IF(J589="visual array",1,IF(J589="characters",1,IF(J589="letters",1,IF(J589="free forms",1,IF(J589="odors",2,IF(J589="words",2,IF(J589="pictures",2,IF(J589="object pictures",2,IF(J589="faces",2,IF(J589="names",2,IF(J589="idioms","2",IF(J589="grades",2,IF(J589="syllable-digit pairs",3,IF(J589="trigram-word pairs",3,IF(J589="word-digit pairs",3,IF(J589="English-Swahili pairs",3,IF(J589="spatial position",3,IF(J589="word pairs",4,IF(J589="word triads",4,IF(J589="generated words",4,IF(J589="word definition pairs",4,IF(J589="math problems",4,IF(J589="famous faces",4,IF(J589="famous names",4,IF(J589="famous voices",4,IF(J589="television programs",4,IF(J589="race horses",4,IF(J589="new vocabulary",4,IF(J589="sentences",5,IF(J589="concepts",5,IF(J589="ad slides",5,IF(J589="scenes",5,IF(J589="famous scenes",5,IF(J589="poems",6,IF(J589="walk",6,IF(J589="faces and events",6,IF(J589="events and names",6,IF(J589="flashbulb",7,IF(J589="stories",7,IF(J589="course material",7,IF(J589="autobiographical",7,IF(J589="novels",7,IF(J589="public events",7,"99"))))))))))))))))))))))))))))))))))))))))))))))</f>
        <v>7</v>
      </c>
      <c r="M589" s="69">
        <v>0</v>
      </c>
      <c r="N589" s="69">
        <v>3</v>
      </c>
      <c r="O589" s="69">
        <v>1</v>
      </c>
      <c r="P589" s="69" t="s">
        <v>60</v>
      </c>
      <c r="Q589" s="69" t="s">
        <v>182</v>
      </c>
      <c r="R589" s="69">
        <f>IF(Q589="Free Recall",1,IF(Q589="Cued Recall",2,IF(Q589="Recognition",3,IF(Q589="Multiple Choice",4,IF(Q589="Savings",5,IF(Q589="Stem Completion",6,IF(Q589="Fragment Completion",7,IF(Q589="anagram solution",8,IF(Q589="Matching",9,IF(Q589="Problem Solving",10,"99"))))))))))</f>
        <v>4</v>
      </c>
      <c r="S589" s="69" t="s">
        <v>15</v>
      </c>
      <c r="T589" s="92" t="s">
        <v>581</v>
      </c>
      <c r="U589" s="69">
        <f>IF(T589="within",1,0)</f>
        <v>1</v>
      </c>
      <c r="V589" s="92">
        <v>96</v>
      </c>
      <c r="W589" s="69">
        <f>F589*V589</f>
        <v>1824</v>
      </c>
      <c r="X589" s="69">
        <v>3</v>
      </c>
      <c r="Y589" s="87">
        <f>AV588</f>
        <v>15</v>
      </c>
      <c r="Z589" s="69" t="s">
        <v>63</v>
      </c>
      <c r="AA589" s="69">
        <v>3600</v>
      </c>
      <c r="AB589" s="69" t="str">
        <f>IF(AA589&lt;60,"1",IF(AA589&lt;=43200,"2",IF(AA589&lt;=777600,"3","4")))</f>
        <v>2</v>
      </c>
      <c r="AC589" s="72">
        <f>AVERAGE(AV588:DA588)</f>
        <v>1405</v>
      </c>
      <c r="AD589" s="69" t="str">
        <f>IF(AC589&lt;60,"1",IF(AC589&lt;=43200,"2",IF(AC589&lt;=777600,"3","4")))</f>
        <v>2</v>
      </c>
      <c r="AE589" s="87">
        <f>AA589-Y589</f>
        <v>3585</v>
      </c>
      <c r="AF589" s="88">
        <f>AV589</f>
        <v>0.71916666666666673</v>
      </c>
      <c r="AG589" s="72">
        <f>((AW589-AV589)+(AX589-AW589))/2</f>
        <v>-5.9166666666666701E-2</v>
      </c>
      <c r="AH589" s="4"/>
      <c r="AI589" s="72">
        <f>RSQ(AV589:AX589,AV588:AX588)</f>
        <v>0.8516994970928039</v>
      </c>
      <c r="AJ589" s="110">
        <f>SLOPE(AV589:AX589,AV588:AX588)</f>
        <v>-2.8398991639801853E-5</v>
      </c>
      <c r="AK589" s="72">
        <f>INTERCEPT(AV589:AX589,AV588:AX588)</f>
        <v>0.69906724992058833</v>
      </c>
      <c r="AL589" s="72">
        <f>INDEX(LINEST(LN(AV589:AX589),LN(AV588:AX588),TRUE,TRUE),3,1)</f>
        <v>0.96100091835957513</v>
      </c>
      <c r="AM589" s="72">
        <f>INDEX(LINEST(LN(AV589:AX589),LN(AV588:AX588)),1)</f>
        <v>-3.1532453072946921E-2</v>
      </c>
      <c r="AN589" s="72">
        <f>EXP(INDEX(LINEST(LN(AV589:AX589),LN(AV588:AX588)),1,2))</f>
        <v>0.78843956779075974</v>
      </c>
      <c r="AO589" s="89">
        <f>INDEX(LINEST((AV589:AX589),LN(AV588:AX588),TRUE,TRUE),3,1)</f>
        <v>0.9704156630006926</v>
      </c>
      <c r="AP589" s="89">
        <f>INDEX(LINEST((AV589:AX589),LN(AV588:AX588)),1)</f>
        <v>-2.0863150714655561E-2</v>
      </c>
      <c r="AQ589" s="90">
        <f>INDEX(LINEST(LN(AV589:AX589),SQRT(AV588:AX588),TRUE,TRUE),3,1)</f>
        <v>0.97755623205337094</v>
      </c>
      <c r="AR589" s="117">
        <f>INDEX(LINEST(LN(AV589:AX589),SQRT((AV588:AX588))),1)</f>
        <v>-3.1303955964076904E-3</v>
      </c>
      <c r="AS589" s="91">
        <f>INDEX(LINEST(1/(AV589:AX589),1/(SQRT(AV588:AX588)),TRUE,TRUE),3,1)</f>
        <v>0.80280705622438686</v>
      </c>
      <c r="AT589" s="91">
        <f>INDEX(LINEST(1/(AV589:AX589),1/SQRT(AV588:AX588)),1)</f>
        <v>-0.92263863436326288</v>
      </c>
      <c r="AU589" s="3"/>
      <c r="AV589" s="73">
        <f>8.63/12</f>
        <v>0.71916666666666673</v>
      </c>
      <c r="AW589" s="73">
        <f>7.89/12</f>
        <v>0.65749999999999997</v>
      </c>
      <c r="AX589" s="73">
        <f>7.21/12</f>
        <v>0.60083333333333333</v>
      </c>
      <c r="AY589" s="73"/>
      <c r="AZ589" s="73"/>
      <c r="BA589" s="42"/>
      <c r="BB589" s="4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1"/>
      <c r="CS589" s="1"/>
      <c r="CT589" s="1"/>
      <c r="CU589" s="1"/>
    </row>
    <row r="590" spans="1:99" s="13" customFormat="1" ht="12" customHeight="1" x14ac:dyDescent="0.2">
      <c r="A590" s="65">
        <v>43895</v>
      </c>
      <c r="B590" s="1"/>
      <c r="D590" s="61"/>
      <c r="E590" s="76"/>
      <c r="F590" s="60"/>
      <c r="G590" s="60"/>
      <c r="H590" s="60"/>
      <c r="I590" s="60"/>
      <c r="J590" s="60"/>
      <c r="K590" s="64"/>
      <c r="L590" s="64"/>
      <c r="M590" s="60"/>
      <c r="N590" s="59"/>
      <c r="O590" s="60"/>
      <c r="P590" s="60"/>
      <c r="Q590" s="60"/>
      <c r="R590" s="60"/>
      <c r="S590" s="60"/>
      <c r="T590" s="60"/>
      <c r="U590" s="60"/>
      <c r="V590" s="60"/>
      <c r="W590" s="60"/>
      <c r="X590" s="60"/>
      <c r="Y590" s="76"/>
      <c r="Z590" s="60"/>
      <c r="AA590" s="60"/>
      <c r="AB590" s="60"/>
      <c r="AC590" s="56"/>
      <c r="AD590" s="60"/>
      <c r="AE590" s="60"/>
      <c r="AF590" s="80"/>
      <c r="AG590" s="56"/>
      <c r="AH590" s="4"/>
      <c r="AI590" s="56"/>
      <c r="AJ590" s="109"/>
      <c r="AK590" s="56"/>
      <c r="AL590" s="56"/>
      <c r="AM590" s="56"/>
      <c r="AN590" s="56"/>
      <c r="AO590" s="82"/>
      <c r="AP590" s="82"/>
      <c r="AQ590" s="83"/>
      <c r="AR590" s="116"/>
      <c r="AS590" s="84"/>
      <c r="AT590" s="84"/>
      <c r="AU590" s="3"/>
      <c r="AV590" s="25">
        <v>315360000</v>
      </c>
      <c r="AW590" s="25">
        <v>630720000</v>
      </c>
      <c r="AX590" s="25">
        <v>946080000</v>
      </c>
      <c r="AY590" s="25">
        <v>1261440000</v>
      </c>
      <c r="AZ590" s="46"/>
      <c r="BA590" s="42"/>
      <c r="BB590" s="42"/>
      <c r="BC590" s="24"/>
      <c r="BD590" s="24"/>
      <c r="BE590" s="24"/>
      <c r="BF590" s="24"/>
      <c r="BG590" s="24"/>
      <c r="BH590" s="24"/>
      <c r="BI590" s="24"/>
      <c r="BJ590" s="24"/>
      <c r="BK590" s="24"/>
      <c r="BL590" s="24"/>
      <c r="BM590" s="24"/>
      <c r="BN590" s="24"/>
      <c r="BO590" s="24"/>
      <c r="BP590" s="24"/>
      <c r="BQ590" s="24"/>
      <c r="BR590" s="24"/>
      <c r="BS590" s="24"/>
      <c r="BT590" s="24"/>
      <c r="BU590" s="24"/>
      <c r="BV590" s="24"/>
      <c r="BW590" s="24"/>
      <c r="BX590" s="24"/>
      <c r="BY590" s="24"/>
      <c r="BZ590" s="24"/>
      <c r="CA590" s="24"/>
      <c r="CB590" s="24"/>
      <c r="CC590" s="24"/>
      <c r="CD590" s="24"/>
      <c r="CE590" s="24"/>
      <c r="CF590" s="24"/>
      <c r="CG590" s="24"/>
      <c r="CH590" s="24"/>
      <c r="CI590" s="24"/>
      <c r="CJ590" s="24"/>
      <c r="CK590" s="24"/>
      <c r="CL590" s="24"/>
      <c r="CM590" s="24"/>
      <c r="CN590" s="24"/>
      <c r="CO590" s="24"/>
      <c r="CP590" s="24"/>
      <c r="CQ590" s="24"/>
      <c r="CR590" s="1"/>
      <c r="CS590" s="1"/>
      <c r="CT590" s="1"/>
      <c r="CU590" s="1"/>
    </row>
    <row r="591" spans="1:99" s="13" customFormat="1" ht="12" customHeight="1" x14ac:dyDescent="0.2">
      <c r="A591" s="65">
        <v>43895</v>
      </c>
      <c r="B591" s="1" t="s">
        <v>350</v>
      </c>
      <c r="C591" s="1" t="s">
        <v>393</v>
      </c>
      <c r="D591" s="60">
        <v>1991</v>
      </c>
      <c r="E591" s="76">
        <v>1</v>
      </c>
      <c r="F591" s="60">
        <v>7</v>
      </c>
      <c r="G591" s="60">
        <v>7</v>
      </c>
      <c r="H591" s="60" t="s">
        <v>38</v>
      </c>
      <c r="I591" s="60" t="s">
        <v>330</v>
      </c>
      <c r="J591" s="60" t="s">
        <v>342</v>
      </c>
      <c r="K591" s="60">
        <f>IF(J591="syllables",1,IF(J591="trigrams",2,IF(J591="strings",3,IF(J591="visual array",4,IF(J591="characters",5,IF(J591="letters",6,IF(J591="free forms",7,IF(J591="odors",8,IF(J591="words",9,IF(J591="pictures",10,IF(J591="object pictures",11,IF(J591="faces",12,IF(J591="names",13,IF(J591="idioms",14,IF(J591="grades",15,IF(J591="syllable-digit pairs",16,IF(J591="trigram-word pairs",17,IF(J591="word-digit pairs",18,IF(J591="English-Swahili pairs",19,IF(J591="spatial position",20,IF(J591="word pairs",21,IF(J591="word triads",22,IF(J591="generated words",23,IF(J591="word definition pairs",24,IF(J591="math problems",25,IF(J591="famous faces",26,IF(J591="famous names",27,IF(J591="famous voices",28,IF(J591="television programs",29,IF(J591="race horses",30,IF(J591="new vocabulary",31,IF(J591="sentences",32,IF(J591="concepts",33,IF(J591="ad slides",34,IF(J591="scenes",35,IF(J591="famous scenes",36,IF(J591="poems",37,IF(J591="walk",38,IF(J591="faces and events",39,IF(J591="events and names",40,IF(J591="flashbulb",41,IF(J591="stories",42,IF(J591="course material",43,IF(J591="autobiographical",44,IF(J591="novels",45,IF(J591="public events",46,"99"))))))))))))))))))))))))))))))))))))))))))))))</f>
        <v>26</v>
      </c>
      <c r="L591" s="60">
        <f>IF(J591="syllables",1,IF(J591="trigrams",1,IF(J591="strings",1,IF(J591="visual array",1,IF(J591="characters",1,IF(J591="letters",1,IF(J591="free forms",1,IF(J591="odors",2,IF(J591="words",2,IF(J591="pictures",2,IF(J591="object pictures",2,IF(J591="faces",2,IF(J591="names",2,IF(J591="idioms","2",IF(J591="grades",2,IF(J591="syllable-digit pairs",3,IF(J591="trigram-word pairs",3,IF(J591="word-digit pairs",3,IF(J591="English-Swahili pairs",3,IF(J591="spatial position",3,IF(J591="word pairs",4,IF(J591="word triads",4,IF(J591="generated words",4,IF(J591="word definition pairs",4,IF(J591="math problems",4,IF(J591="famous faces",4,IF(J591="famous names",4,IF(J591="famous voices",4,IF(J591="television programs",4,IF(J591="race horses",4,IF(J591="new vocabulary",4,IF(J591="sentences",5,IF(J591="concepts",5,IF(J591="ad slides",5,IF(J591="scenes",5,IF(J591="famous scenes",5,IF(J591="poems",6,IF(J591="walk",6,IF(J591="faces and events",6,IF(J591="events and names",6,IF(J591="flashbulb",7,IF(J591="stories",7,IF(J591="course material",7,IF(J591="autobiographical",7,IF(J591="novels",7,IF(J591="public events",7,"99"))))))))))))))))))))))))))))))))))))))))))))))</f>
        <v>4</v>
      </c>
      <c r="M591" s="60">
        <v>1</v>
      </c>
      <c r="N591" s="61">
        <v>2</v>
      </c>
      <c r="O591" s="60">
        <v>0</v>
      </c>
      <c r="P591" s="60"/>
      <c r="Q591" s="60" t="s">
        <v>174</v>
      </c>
      <c r="R591" s="60">
        <f>IF(Q591="Free Recall",1,IF(Q591="Cued Recall",2,IF(Q591="Recognition",3,IF(Q591="Multiple Choice",4,IF(Q591="Savings",5,IF(Q591="Stem Completion",6,IF(Q591="Fragment Completion",7,IF(Q591="anagram solution",8,IF(Q591="Matching",9,IF(Q591="Problem Solving",10,"99"))))))))))</f>
        <v>1</v>
      </c>
      <c r="S591" s="60" t="s">
        <v>49</v>
      </c>
      <c r="T591" s="59" t="s">
        <v>581</v>
      </c>
      <c r="U591" s="60">
        <f>IF(T591="within",1,0)</f>
        <v>1</v>
      </c>
      <c r="V591" s="59">
        <v>160</v>
      </c>
      <c r="W591" s="60">
        <f>F591*V591</f>
        <v>1120</v>
      </c>
      <c r="X591" s="60">
        <v>4</v>
      </c>
      <c r="Y591" s="76">
        <f>AV590</f>
        <v>315360000</v>
      </c>
      <c r="Z591" s="59" t="s">
        <v>329</v>
      </c>
      <c r="AA591" s="60">
        <f>40*365*24*60*60</f>
        <v>1261440000</v>
      </c>
      <c r="AB591" s="60" t="str">
        <f>IF(AA591&lt;60,"1",IF(AA591&lt;=43200,"2",IF(AA591&lt;=777600,"3","4")))</f>
        <v>4</v>
      </c>
      <c r="AC591" s="56">
        <f>AVERAGE(AV590:DA590)</f>
        <v>788400000</v>
      </c>
      <c r="AD591" s="60" t="str">
        <f>IF(AC591&lt;60,"1",IF(AC591&lt;=43200,"2",IF(AC591&lt;=777600,"3","4")))</f>
        <v>4</v>
      </c>
      <c r="AE591" s="76">
        <f>AA591-Y591</f>
        <v>946080000</v>
      </c>
      <c r="AF591" s="80">
        <f>AV591</f>
        <v>0.98039215686274506</v>
      </c>
      <c r="AG591" s="56">
        <f>((AW591-AV591)+(AX591-AW591)+(AY591-AX591))/3</f>
        <v>-0.16419575960465485</v>
      </c>
      <c r="AH591" s="4"/>
      <c r="AI591" s="56">
        <f>RSQ(AV591:AY591,AV590:AY590)</f>
        <v>0.84186208892881986</v>
      </c>
      <c r="AJ591" s="109">
        <f>SLOPE(AV591:AY591,AV590:AY590)</f>
        <v>-5.3535266115910935E-10</v>
      </c>
      <c r="AK591" s="56">
        <f>INTERCEPT(AV591:AY591,AV590:AY590)</f>
        <v>1.2364897178383549</v>
      </c>
      <c r="AL591" s="56">
        <f>INDEX(LINEST(LN(AV591:AY591),LN(AV590:AY590),TRUE,TRUE),3,1)</f>
        <v>0.63805176473178205</v>
      </c>
      <c r="AM591" s="56">
        <f>INDEX(LINEST(LN(AV591:AY591),LN(AV590:AY590)),1)</f>
        <v>-0.4436014153946779</v>
      </c>
      <c r="AN591" s="56">
        <f>EXP(INDEX(LINEST(LN(AV591:AY591),LN(AV590:AY590)),1,2))</f>
        <v>6567.4150129818217</v>
      </c>
      <c r="AO591" s="82">
        <f>INDEX(LINEST((AV591:AY591),LN(AV590:AY590),TRUE,TRUE),3,1)</f>
        <v>0.67334575830689347</v>
      </c>
      <c r="AP591" s="82">
        <f>INDEX(LINEST((AV591:AY591),LN(AV590:AY590)),1)</f>
        <v>-0.32424550239382299</v>
      </c>
      <c r="AQ591" s="83">
        <f>INDEX(LINEST(LN(AV591:AY591),SQRT(AV590:AY590),TRUE,TRUE),3,1)</f>
        <v>0.72961485232202106</v>
      </c>
      <c r="AR591" s="116">
        <f>INDEX(LINEST(LN(AV591:AY591),SQRT((AV590:AY590))),1)</f>
        <v>-3.7306331374605766E-5</v>
      </c>
      <c r="AS591" s="84">
        <f>INDEX(LINEST(1/(AV591:AY591),1/(SQRT(AV590:AY590)),TRUE,TRUE),3,1)</f>
        <v>0.50809390877642768</v>
      </c>
      <c r="AT591" s="84">
        <f>INDEX(LINEST(1/(AV591:AY591),1/SQRT(AV590:AY590)),1)</f>
        <v>-28347.255353939465</v>
      </c>
      <c r="AU591" s="3"/>
      <c r="AV591" s="27">
        <v>0.98039215686274506</v>
      </c>
      <c r="AW591" s="27">
        <v>1</v>
      </c>
      <c r="AX591" s="27">
        <v>0.78947368421052644</v>
      </c>
      <c r="AY591" s="27">
        <v>0.48780487804878053</v>
      </c>
      <c r="AZ591" s="46"/>
      <c r="BA591" s="42"/>
      <c r="BB591" s="42"/>
      <c r="BC591" s="24"/>
      <c r="BD591" s="24"/>
      <c r="BE591" s="24"/>
      <c r="BF591" s="24"/>
      <c r="BG591" s="24"/>
      <c r="BH591" s="24"/>
      <c r="BI591" s="24"/>
      <c r="BJ591" s="24"/>
      <c r="BK591" s="24"/>
      <c r="BL591" s="24"/>
      <c r="BM591" s="24"/>
      <c r="BN591" s="24"/>
      <c r="BO591" s="24"/>
      <c r="BP591" s="24"/>
      <c r="BQ591" s="24"/>
      <c r="BR591" s="24"/>
      <c r="BS591" s="24"/>
      <c r="BT591" s="24"/>
      <c r="BU591" s="24"/>
      <c r="BV591" s="24"/>
      <c r="BW591" s="24"/>
      <c r="BX591" s="24"/>
      <c r="BY591" s="24"/>
      <c r="BZ591" s="24"/>
      <c r="CA591" s="24"/>
      <c r="CB591" s="24"/>
      <c r="CC591" s="24"/>
      <c r="CD591" s="24"/>
      <c r="CE591" s="24"/>
      <c r="CF591" s="24"/>
      <c r="CG591" s="24"/>
      <c r="CH591" s="24"/>
      <c r="CI591" s="24"/>
      <c r="CJ591" s="24"/>
      <c r="CK591" s="24"/>
      <c r="CL591" s="24"/>
      <c r="CM591" s="24"/>
      <c r="CN591" s="24"/>
      <c r="CO591" s="24"/>
      <c r="CP591" s="24"/>
      <c r="CQ591" s="24"/>
      <c r="CR591" s="1"/>
      <c r="CS591" s="1"/>
      <c r="CT591" s="1"/>
      <c r="CU591" s="1"/>
    </row>
    <row r="592" spans="1:99" s="13" customFormat="1" ht="12" customHeight="1" x14ac:dyDescent="0.2">
      <c r="A592" s="65">
        <v>43895</v>
      </c>
      <c r="B592" s="1"/>
      <c r="D592" s="61"/>
      <c r="E592" s="76"/>
      <c r="F592" s="60"/>
      <c r="G592" s="60"/>
      <c r="H592" s="60"/>
      <c r="I592" s="60"/>
      <c r="J592" s="60"/>
      <c r="K592" s="64"/>
      <c r="L592" s="64"/>
      <c r="M592" s="60"/>
      <c r="N592" s="61"/>
      <c r="O592" s="60"/>
      <c r="P592" s="60"/>
      <c r="Q592" s="60"/>
      <c r="R592" s="60"/>
      <c r="S592" s="60"/>
      <c r="T592" s="59"/>
      <c r="U592" s="60"/>
      <c r="V592" s="59"/>
      <c r="W592" s="60"/>
      <c r="X592" s="60"/>
      <c r="Y592" s="76"/>
      <c r="Z592" s="59"/>
      <c r="AA592" s="56"/>
      <c r="AB592" s="60"/>
      <c r="AC592" s="56"/>
      <c r="AD592" s="60"/>
      <c r="AE592" s="60"/>
      <c r="AF592" s="80"/>
      <c r="AG592" s="56"/>
      <c r="AH592" s="4"/>
      <c r="AI592" s="56"/>
      <c r="AJ592" s="109"/>
      <c r="AK592" s="56"/>
      <c r="AL592" s="56"/>
      <c r="AM592" s="56"/>
      <c r="AN592" s="56"/>
      <c r="AO592" s="82"/>
      <c r="AP592" s="82"/>
      <c r="AQ592" s="83"/>
      <c r="AR592" s="116"/>
      <c r="AS592" s="84"/>
      <c r="AT592" s="84"/>
      <c r="AU592" s="3"/>
      <c r="AV592" s="27">
        <v>0.01</v>
      </c>
      <c r="AW592" s="191">
        <v>3</v>
      </c>
      <c r="AX592" s="191">
        <v>9</v>
      </c>
      <c r="AY592" s="191">
        <v>18</v>
      </c>
      <c r="AZ592" s="46"/>
      <c r="BA592" s="42"/>
      <c r="BB592" s="42"/>
      <c r="BC592" s="29"/>
      <c r="BD592" s="29"/>
      <c r="BE592" s="29"/>
      <c r="BF592" s="29"/>
      <c r="BG592" s="29"/>
      <c r="BH592" s="29"/>
      <c r="BI592" s="29"/>
      <c r="BJ592" s="29"/>
      <c r="BK592" s="29"/>
      <c r="BL592" s="29"/>
      <c r="BM592" s="29"/>
      <c r="BN592" s="29"/>
      <c r="BO592" s="29"/>
      <c r="BP592" s="29"/>
      <c r="BQ592" s="29"/>
      <c r="BR592" s="29"/>
      <c r="BS592" s="29"/>
      <c r="BT592" s="29"/>
      <c r="BU592" s="29"/>
      <c r="BV592" s="29"/>
      <c r="BW592" s="29"/>
      <c r="BX592" s="29"/>
      <c r="BY592" s="29"/>
      <c r="BZ592" s="29"/>
      <c r="CA592" s="29"/>
      <c r="CB592" s="29"/>
      <c r="CC592" s="29"/>
      <c r="CD592" s="29"/>
      <c r="CE592" s="29"/>
      <c r="CF592" s="29"/>
      <c r="CG592" s="29"/>
      <c r="CH592" s="29"/>
      <c r="CI592" s="29"/>
      <c r="CJ592" s="29"/>
      <c r="CK592" s="29"/>
      <c r="CL592" s="29"/>
      <c r="CM592" s="29"/>
      <c r="CN592" s="29"/>
      <c r="CO592" s="29"/>
      <c r="CP592" s="29"/>
      <c r="CQ592" s="29"/>
      <c r="CR592" s="1"/>
      <c r="CS592" s="1"/>
      <c r="CT592" s="1"/>
      <c r="CU592" s="1"/>
    </row>
    <row r="593" spans="1:99" s="13" customFormat="1" ht="12" customHeight="1" x14ac:dyDescent="0.2">
      <c r="A593" s="65">
        <v>43895</v>
      </c>
      <c r="B593" s="1" t="s">
        <v>350</v>
      </c>
      <c r="C593" s="1" t="s">
        <v>393</v>
      </c>
      <c r="D593" s="60">
        <v>1991</v>
      </c>
      <c r="E593" s="76">
        <v>1</v>
      </c>
      <c r="F593" s="60">
        <v>7</v>
      </c>
      <c r="G593" s="60">
        <v>7</v>
      </c>
      <c r="H593" s="60" t="s">
        <v>38</v>
      </c>
      <c r="I593" s="60" t="s">
        <v>330</v>
      </c>
      <c r="J593" s="60" t="s">
        <v>16</v>
      </c>
      <c r="K593" s="60">
        <f>IF(J593="syllables",1,IF(J593="trigrams",2,IF(J593="strings",3,IF(J593="visual array",4,IF(J593="characters",5,IF(J593="letters",6,IF(J593="free forms",7,IF(J593="odors",8,IF(J593="words",9,IF(J593="pictures",10,IF(J593="object pictures",11,IF(J593="faces",12,IF(J593="names",13,IF(J593="idioms",14,IF(J593="grades",15,IF(J593="syllable-digit pairs",16,IF(J593="trigram-word pairs",17,IF(J593="word-digit pairs",18,IF(J593="English-Swahili pairs",19,IF(J593="spatial position",20,IF(J593="word pairs",21,IF(J593="word triads",22,IF(J593="generated words",23,IF(J593="word definition pairs",24,IF(J593="math problems",25,IF(J593="famous faces",26,IF(J593="famous names",27,IF(J593="famous voices",28,IF(J593="television programs",29,IF(J593="race horses",30,IF(J593="new vocabulary",31,IF(J593="sentences",32,IF(J593="concepts",33,IF(J593="ad slides",34,IF(J593="scenes",35,IF(J593="famous scenes",36,IF(J593="poems",37,IF(J593="walk",38,IF(J593="faces and events",39,IF(J593="events and names",40,IF(J593="flashbulb",41,IF(J593="stories",42,IF(J593="course material",43,IF(J593="autobiographical",44,IF(J593="novels",45,IF(J593="public events",46,"99"))))))))))))))))))))))))))))))))))))))))))))))</f>
        <v>9</v>
      </c>
      <c r="L593" s="60">
        <f>IF(J593="syllables",1,IF(J593="trigrams",1,IF(J593="strings",1,IF(J593="visual array",1,IF(J593="characters",1,IF(J593="letters",1,IF(J593="free forms",1,IF(J593="odors",2,IF(J593="words",2,IF(J593="pictures",2,IF(J593="object pictures",2,IF(J593="faces",2,IF(J593="names",2,IF(J593="idioms","2",IF(J593="grades",2,IF(J593="syllable-digit pairs",3,IF(J593="trigram-word pairs",3,IF(J593="word-digit pairs",3,IF(J593="English-Swahili pairs",3,IF(J593="spatial position",3,IF(J593="word pairs",4,IF(J593="word triads",4,IF(J593="generated words",4,IF(J593="word definition pairs",4,IF(J593="math problems",4,IF(J593="famous faces",4,IF(J593="famous names",4,IF(J593="famous voices",4,IF(J593="television programs",4,IF(J593="race horses",4,IF(J593="new vocabulary",4,IF(J593="sentences",5,IF(J593="concepts",5,IF(J593="ad slides",5,IF(J593="scenes",5,IF(J593="famous scenes",5,IF(J593="poems",6,IF(J593="walk",6,IF(J593="faces and events",6,IF(J593="events and names",6,IF(J593="flashbulb",7,IF(J593="stories",7,IF(J593="course material",7,IF(J593="autobiographical",7,IF(J593="novels",7,IF(J593="public events",7,"99"))))))))))))))))))))))))))))))))))))))))))))))</f>
        <v>2</v>
      </c>
      <c r="M593" s="60">
        <v>0</v>
      </c>
      <c r="N593" s="61">
        <v>1</v>
      </c>
      <c r="O593" s="60">
        <v>1</v>
      </c>
      <c r="P593" s="60"/>
      <c r="Q593" s="60" t="s">
        <v>174</v>
      </c>
      <c r="R593" s="60">
        <f>IF(Q593="Free Recall",1,IF(Q593="Cued Recall",2,IF(Q593="Recognition",3,IF(Q593="Multiple Choice",4,IF(Q593="Savings",5,IF(Q593="Stem Completion",6,IF(Q593="Fragment Completion",7,IF(Q593="anagram solution",8,IF(Q593="Matching",9,IF(Q593="Problem Solving",10,"99"))))))))))</f>
        <v>1</v>
      </c>
      <c r="S593" s="60" t="s">
        <v>49</v>
      </c>
      <c r="T593" s="59" t="s">
        <v>581</v>
      </c>
      <c r="U593" s="60">
        <f>IF(T593="within",1,0)</f>
        <v>1</v>
      </c>
      <c r="V593" s="59">
        <v>48</v>
      </c>
      <c r="W593" s="60">
        <f>F593*V593</f>
        <v>336</v>
      </c>
      <c r="X593" s="60">
        <v>4</v>
      </c>
      <c r="Y593" s="76">
        <f>AV592</f>
        <v>0.01</v>
      </c>
      <c r="Z593" s="59" t="s">
        <v>28</v>
      </c>
      <c r="AA593" s="76">
        <v>18</v>
      </c>
      <c r="AB593" s="60" t="str">
        <f>IF(AA593&lt;60,"1",IF(AA593&lt;=43200,"2",IF(AA593&lt;=777600,"3","4")))</f>
        <v>1</v>
      </c>
      <c r="AC593" s="56">
        <f>AVERAGE(AV592:DA592)</f>
        <v>7.5024999999999995</v>
      </c>
      <c r="AD593" s="60" t="str">
        <f>IF(AC593&lt;60,"1",IF(AC593&lt;=43200,"2",IF(AC593&lt;=777600,"3","4")))</f>
        <v>1</v>
      </c>
      <c r="AE593" s="76">
        <f>AA593-Y593</f>
        <v>17.989999999999998</v>
      </c>
      <c r="AF593" s="80">
        <f>AV593</f>
        <v>1</v>
      </c>
      <c r="AG593" s="56">
        <f>((AW593-AV593)+(AX593-AW593)+(AY593-AX593))/3</f>
        <v>-0.15566666666666665</v>
      </c>
      <c r="AH593" s="4"/>
      <c r="AI593" s="56">
        <f>RSQ(AV593:AY593,AV592:AY592)</f>
        <v>0.79797713583572305</v>
      </c>
      <c r="AJ593" s="109">
        <f>SLOPE(AV593:AY593,AV592:AY592)</f>
        <v>-2.1820920643002124E-2</v>
      </c>
      <c r="AK593" s="56">
        <f>INTERCEPT(AV593:AY593,AV592:AY592)</f>
        <v>0.90196145712412346</v>
      </c>
      <c r="AL593" s="56">
        <f>INDEX(LINEST(LN(AV593:AY593),LN(AV592:AY592),TRUE,TRUE),3,1)</f>
        <v>0.8609832523808767</v>
      </c>
      <c r="AM593" s="56">
        <f>INDEX(LINEST(LN(AV593:AY593),LN(AV592:AY592)),1)</f>
        <v>-7.0109010367673946E-2</v>
      </c>
      <c r="AN593" s="56">
        <f>EXP(INDEX(LINEST(LN(AV593:AY593),LN(AV592:AY592)),1,2))</f>
        <v>0.74011184076756875</v>
      </c>
      <c r="AO593" s="82">
        <f>INDEX(LINEST((AV593:AY593),LN(AV592:AY592),TRUE,TRUE),3,1)</f>
        <v>0.92400903524353672</v>
      </c>
      <c r="AP593" s="82">
        <f>INDEX(LINEST((AV593:AY593),LN(AV592:AY592)),1)</f>
        <v>-5.4565278704807089E-2</v>
      </c>
      <c r="AQ593" s="83">
        <f>INDEX(LINEST(LN(AV593:AY593),SQRT(AV592:AY592),TRUE,TRUE),3,1)</f>
        <v>0.94824877401430951</v>
      </c>
      <c r="AR593" s="116">
        <f>INDEX(LINEST(LN(AV593:AY593),SQRT((AV592:AY592))),1)</f>
        <v>-0.14174666934395416</v>
      </c>
      <c r="AS593" s="84">
        <f>INDEX(LINEST(1/(AV593:AY593),1/(SQRT(AV592:AY592)),TRUE,TRUE),3,1)</f>
        <v>0.64167389045696577</v>
      </c>
      <c r="AT593" s="84">
        <f>INDEX(LINEST(1/(AV593:AY593),1/SQRT(AV592:AY592)),1)</f>
        <v>-5.9758843528673632E-2</v>
      </c>
      <c r="AU593" s="3"/>
      <c r="AV593" s="27">
        <v>1</v>
      </c>
      <c r="AW593" s="27">
        <v>0.72499999999999998</v>
      </c>
      <c r="AX593" s="27">
        <v>0.69499999999999995</v>
      </c>
      <c r="AY593" s="27">
        <v>0.53300000000000003</v>
      </c>
      <c r="AZ593" s="46"/>
      <c r="BA593" s="42"/>
      <c r="BB593" s="42"/>
      <c r="BC593" s="29"/>
      <c r="BD593" s="29"/>
      <c r="BE593" s="29"/>
      <c r="BF593" s="29"/>
      <c r="BG593" s="29"/>
      <c r="BH593" s="29"/>
      <c r="BI593" s="29"/>
      <c r="BJ593" s="29"/>
      <c r="BK593" s="29"/>
      <c r="BL593" s="29"/>
      <c r="BM593" s="29"/>
      <c r="BN593" s="29"/>
      <c r="BO593" s="29"/>
      <c r="BP593" s="29"/>
      <c r="BQ593" s="29"/>
      <c r="BR593" s="29"/>
      <c r="BS593" s="29"/>
      <c r="BT593" s="29"/>
      <c r="BU593" s="29"/>
      <c r="BV593" s="29"/>
      <c r="BW593" s="29"/>
      <c r="BX593" s="29"/>
      <c r="BY593" s="29"/>
      <c r="BZ593" s="29"/>
      <c r="CA593" s="29"/>
      <c r="CB593" s="29"/>
      <c r="CC593" s="29"/>
      <c r="CD593" s="29"/>
      <c r="CE593" s="29"/>
      <c r="CF593" s="29"/>
      <c r="CG593" s="29"/>
      <c r="CH593" s="29"/>
      <c r="CI593" s="29"/>
      <c r="CJ593" s="29"/>
      <c r="CK593" s="29"/>
      <c r="CL593" s="29"/>
      <c r="CM593" s="29"/>
      <c r="CN593" s="29"/>
      <c r="CO593" s="29"/>
      <c r="CP593" s="29"/>
      <c r="CQ593" s="29"/>
      <c r="CR593" s="1"/>
      <c r="CS593" s="1"/>
      <c r="CT593" s="1"/>
      <c r="CU593" s="1"/>
    </row>
    <row r="594" spans="1:99" s="13" customFormat="1" ht="12" customHeight="1" x14ac:dyDescent="0.2">
      <c r="A594" s="68">
        <v>43978</v>
      </c>
      <c r="B594" s="70"/>
      <c r="C594" s="70"/>
      <c r="D594" s="69"/>
      <c r="E594" s="87"/>
      <c r="F594" s="69"/>
      <c r="G594" s="69"/>
      <c r="H594" s="69"/>
      <c r="I594" s="69"/>
      <c r="J594" s="69"/>
      <c r="K594" s="69"/>
      <c r="L594" s="69"/>
      <c r="M594" s="69"/>
      <c r="N594" s="86"/>
      <c r="O594" s="69"/>
      <c r="P594" s="69"/>
      <c r="Q594" s="69"/>
      <c r="R594" s="69"/>
      <c r="S594" s="69"/>
      <c r="T594" s="92"/>
      <c r="U594" s="69"/>
      <c r="V594" s="92"/>
      <c r="W594" s="69"/>
      <c r="X594" s="69"/>
      <c r="Y594" s="87"/>
      <c r="Z594" s="92"/>
      <c r="AA594" s="87"/>
      <c r="AB594" s="69"/>
      <c r="AC594" s="72"/>
      <c r="AD594" s="69"/>
      <c r="AE594" s="87"/>
      <c r="AF594" s="88"/>
      <c r="AG594" s="72"/>
      <c r="AH594" s="4"/>
      <c r="AI594" s="72"/>
      <c r="AJ594" s="110"/>
      <c r="AK594" s="72"/>
      <c r="AL594" s="72"/>
      <c r="AM594" s="72"/>
      <c r="AN594" s="72"/>
      <c r="AO594" s="89"/>
      <c r="AP594" s="89"/>
      <c r="AQ594" s="90"/>
      <c r="AR594" s="117"/>
      <c r="AS594" s="91"/>
      <c r="AT594" s="91"/>
      <c r="AU594" s="3"/>
      <c r="AV594" s="96">
        <f>60*30</f>
        <v>1800</v>
      </c>
      <c r="AW594" s="96">
        <f>60*60*24</f>
        <v>86400</v>
      </c>
      <c r="AX594" s="96">
        <f>60*60*24*7</f>
        <v>604800</v>
      </c>
      <c r="AY594" s="96">
        <f>60*60*24*7*2</f>
        <v>1209600</v>
      </c>
      <c r="AZ594" s="96">
        <f>60*60*24*7*4</f>
        <v>2419200</v>
      </c>
      <c r="BA594" s="53"/>
      <c r="BB594" s="53"/>
      <c r="BC594" s="53"/>
      <c r="BD594" s="53"/>
      <c r="BE594" s="53"/>
      <c r="BF594" s="53"/>
      <c r="BG594" s="53"/>
      <c r="BH594" s="53"/>
      <c r="BI594" s="53"/>
      <c r="BJ594" s="53"/>
      <c r="BK594" s="53"/>
      <c r="BL594" s="53"/>
      <c r="BM594" s="53"/>
      <c r="BN594" s="53"/>
      <c r="BO594" s="53"/>
      <c r="BP594" s="53"/>
      <c r="BQ594" s="53"/>
      <c r="BR594" s="53"/>
      <c r="BS594" s="53"/>
      <c r="BT594" s="53"/>
      <c r="BU594" s="53"/>
      <c r="BV594" s="53"/>
      <c r="BW594" s="53"/>
      <c r="BX594" s="53"/>
      <c r="BY594" s="53"/>
      <c r="BZ594" s="53"/>
      <c r="CA594" s="53"/>
      <c r="CB594" s="53"/>
      <c r="CC594" s="53"/>
      <c r="CD594" s="53"/>
      <c r="CE594" s="53"/>
      <c r="CF594" s="53"/>
      <c r="CG594" s="53"/>
      <c r="CH594" s="53"/>
      <c r="CI594" s="53"/>
      <c r="CJ594" s="53"/>
      <c r="CK594" s="53"/>
      <c r="CL594" s="53"/>
      <c r="CM594" s="53"/>
      <c r="CN594" s="53"/>
      <c r="CO594" s="53"/>
      <c r="CP594" s="53"/>
      <c r="CQ594" s="53"/>
      <c r="CR594" s="1"/>
      <c r="CS594" s="1"/>
      <c r="CT594" s="1"/>
      <c r="CU594" s="1"/>
    </row>
    <row r="595" spans="1:99" s="13" customFormat="1" ht="12" customHeight="1" x14ac:dyDescent="0.2">
      <c r="A595" s="68">
        <v>43978</v>
      </c>
      <c r="B595" s="70" t="s">
        <v>967</v>
      </c>
      <c r="C595" s="70" t="s">
        <v>54</v>
      </c>
      <c r="D595" s="69">
        <v>2010</v>
      </c>
      <c r="E595" s="87">
        <v>1</v>
      </c>
      <c r="F595" s="69">
        <v>8</v>
      </c>
      <c r="G595" s="69">
        <v>8</v>
      </c>
      <c r="H595" s="69" t="s">
        <v>41</v>
      </c>
      <c r="I595" s="69" t="s">
        <v>330</v>
      </c>
      <c r="J595" s="69" t="s">
        <v>677</v>
      </c>
      <c r="K595" s="69">
        <f>IF(J595="syllables",1,IF(J595="trigrams",2,IF(J595="strings",3,IF(J595="visual array",4,IF(J595="characters",5,IF(J595="letters",6,IF(J595="free forms",7,IF(J595="odors",8,IF(J595="words",9,IF(J595="pictures",10,IF(J595="object pictures",11,IF(J595="faces",12,IF(J595="names",13,IF(J595="idioms",14,IF(J595="grades",15,IF(J595="syllable-digit pairs",16,IF(J595="trigram-word pairs",17,IF(J595="word-digit pairs",18,IF(J595="English-Swahili pairs",19,IF(J595="spatial position",20,IF(J595="word pairs",21,IF(J595="word triads",22,IF(J595="generated words",23,IF(J595="word definition pairs",24,IF(J595="math problems",25,IF(J595="famous faces",26,IF(J595="famous names",27,IF(J595="famous voices",28,IF(J595="television programs",29,IF(J595="race horses",30,IF(J595="new vocabulary",31,IF(J595="sentences",32,IF(J595="concepts",33,IF(J595="ad slides",34,IF(J595="scenes",35,IF(J595="famous scenes",36,IF(J595="poems",37,IF(J595="walk",38,IF(J595="faces and events",39,IF(J595="events and names",40,IF(J595="flashbulb",41,IF(J595="stories",42,IF(J595="course material",43,IF(J595="autobiographical",44,IF(J595="novels",45,IF(J595="public events",46,"99"))))))))))))))))))))))))))))))))))))))))))))))</f>
        <v>42</v>
      </c>
      <c r="L595" s="69">
        <f>IF(J595="syllables",1,IF(J595="trigrams",1,IF(J595="strings",1,IF(J595="visual array",1,IF(J595="characters",1,IF(J595="letters",1,IF(J595="free forms",1,IF(J595="odors",2,IF(J595="words",2,IF(J595="pictures",2,IF(J595="object pictures",2,IF(J595="faces",2,IF(J595="names",2,IF(J595="idioms","2",IF(J595="grades",2,IF(J595="syllable-digit pairs",3,IF(J595="trigram-word pairs",3,IF(J595="word-digit pairs",3,IF(J595="English-Swahili pairs",3,IF(J595="spatial position",3,IF(J595="word pairs",4,IF(J595="word triads",4,IF(J595="generated words",4,IF(J595="word definition pairs",4,IF(J595="math problems",4,IF(J595="famous faces",4,IF(J595="famous names",4,IF(J595="famous voices",4,IF(J595="television programs",4,IF(J595="race horses",4,IF(J595="new vocabulary",4,IF(J595="sentences",5,IF(J595="concepts",5,IF(J595="ad slides",5,IF(J595="scenes",5,IF(J595="famous scenes",5,IF(J595="poems",6,IF(J595="walk",6,IF(J595="faces and events",6,IF(J595="events and names",6,IF(J595="flashbulb",7,IF(J595="stories",7,IF(J595="course material",7,IF(J595="autobiographical",7,IF(J595="novels",7,IF(J595="public events",7,"99"))))))))))))))))))))))))))))))))))))))))))))))</f>
        <v>7</v>
      </c>
      <c r="M595" s="69">
        <v>0</v>
      </c>
      <c r="N595" s="86">
        <v>3</v>
      </c>
      <c r="O595" s="69">
        <v>0</v>
      </c>
      <c r="P595" s="69"/>
      <c r="Q595" s="69" t="s">
        <v>174</v>
      </c>
      <c r="R595" s="69">
        <f>IF(Q595="Free Recall",1,IF(Q595="Cued Recall",2,IF(Q595="Recognition",3,IF(Q595="Multiple Choice",4,IF(Q595="Savings",5,IF(Q595="Stem Completion",6,IF(Q595="Fragment Completion",7,IF(Q595="anagram solution",8,IF(Q595="Matching",9,IF(Q595="Problem Solving",10,"99"))))))))))</f>
        <v>1</v>
      </c>
      <c r="S595" s="69" t="s">
        <v>49</v>
      </c>
      <c r="T595" s="92" t="s">
        <v>581</v>
      </c>
      <c r="U595" s="69">
        <f>IF(T595="within",1,0)</f>
        <v>1</v>
      </c>
      <c r="V595" s="92">
        <v>100</v>
      </c>
      <c r="W595" s="69">
        <f>F595*V595</f>
        <v>800</v>
      </c>
      <c r="X595" s="69">
        <v>5</v>
      </c>
      <c r="Y595" s="87">
        <f>AV594</f>
        <v>1800</v>
      </c>
      <c r="Z595" s="69" t="s">
        <v>140</v>
      </c>
      <c r="AA595" s="69">
        <f>60*60*24*7*4</f>
        <v>2419200</v>
      </c>
      <c r="AB595" s="69" t="str">
        <f>IF(AA595&lt;60,"1",IF(AA595&lt;=43200,"2",IF(AA595&lt;=777600,"3","4")))</f>
        <v>4</v>
      </c>
      <c r="AC595" s="72">
        <f>AVERAGE(AV594:DA594)</f>
        <v>864360</v>
      </c>
      <c r="AD595" s="69" t="str">
        <f>IF(AC595&lt;60,"1",IF(AC595&lt;=43200,"2",IF(AC595&lt;=777600,"3","4")))</f>
        <v>4</v>
      </c>
      <c r="AE595" s="87">
        <f>AA595-Y595</f>
        <v>2417400</v>
      </c>
      <c r="AF595" s="88">
        <f>AV595</f>
        <v>0.69290777276523996</v>
      </c>
      <c r="AG595" s="72">
        <f>((AW595-AV595)+(AX595-AW595)+(AY595-AX595)+(AZ595-AY595))/4</f>
        <v>-0.14579812441953977</v>
      </c>
      <c r="AH595" s="4"/>
      <c r="AI595" s="72">
        <f>RSQ(AV595:AZ595,AV594:AZ594)</f>
        <v>0.82385463315680851</v>
      </c>
      <c r="AJ595" s="110">
        <f>SLOPE(AV595:AZ595,AV594:AZ594)</f>
        <v>-2.4050688725064167E-7</v>
      </c>
      <c r="AK595" s="72">
        <f>INTERCEPT(AV595:AZ595,AV594:AZ594)</f>
        <v>0.60106508567192218</v>
      </c>
      <c r="AL595" s="72">
        <f>INDEX(LINEST(LN(AV595:AZ595),LN(AV594:AZ594),TRUE,TRUE),3,1)</f>
        <v>0.71676751604264255</v>
      </c>
      <c r="AM595" s="72">
        <f>INDEX(LINEST(LN(AV595:AZ595),LN(AV594:AZ594)),1)</f>
        <v>-0.23360480330926128</v>
      </c>
      <c r="AN595" s="72">
        <f>EXP(INDEX(LINEST(LN(AV595:AZ595),LN(AV594:AZ594)),1,2))</f>
        <v>5.3839294601427516</v>
      </c>
      <c r="AO595" s="89">
        <f>INDEX(LINEST((AV595:AZ595),LN(AV594:AZ594),TRUE,TRUE),3,1)</f>
        <v>0.81727141866027808</v>
      </c>
      <c r="AP595" s="89">
        <f>INDEX(LINEST((AV595:AZ595),LN(AV594:AZ594)),1)</f>
        <v>-8.2207258993542406E-2</v>
      </c>
      <c r="AQ595" s="90">
        <f>INDEX(LINEST(LN(AV595:AZ595),SQRT(AV594:AZ594),TRUE,TRUE),3,1)</f>
        <v>0.97699843241319606</v>
      </c>
      <c r="AR595" s="117">
        <f>INDEX(LINEST(LN(AV595:AZ595),SQRT((AV594:AZ594))),1)</f>
        <v>-1.2987138114729179E-3</v>
      </c>
      <c r="AS595" s="91">
        <f>INDEX(LINEST(1/(AV595:AZ595),1/(SQRT(AV594:AZ594)),TRUE,TRUE),3,1)</f>
        <v>0.28502685854304305</v>
      </c>
      <c r="AT595" s="91">
        <f>INDEX(LINEST(1/(AV595:AZ595),1/SQRT(AV594:AZ594)),1)</f>
        <v>-175.2076316551433</v>
      </c>
      <c r="AU595" s="3"/>
      <c r="AV595" s="95">
        <v>0.69290777276523996</v>
      </c>
      <c r="AW595" s="95">
        <v>0.63717920136448247</v>
      </c>
      <c r="AX595" s="95">
        <v>0.34663873318003502</v>
      </c>
      <c r="AY595" s="95">
        <v>0.17946178064294999</v>
      </c>
      <c r="AZ595" s="73">
        <v>0.10971527508708101</v>
      </c>
      <c r="BA595" s="53"/>
      <c r="BB595" s="53"/>
      <c r="BC595" s="53"/>
      <c r="BD595" s="53"/>
      <c r="BE595" s="53"/>
      <c r="BF595" s="53"/>
      <c r="BG595" s="53"/>
      <c r="BH595" s="53"/>
      <c r="BI595" s="53"/>
      <c r="BJ595" s="53"/>
      <c r="BK595" s="53"/>
      <c r="BL595" s="53"/>
      <c r="BM595" s="53"/>
      <c r="BN595" s="53"/>
      <c r="BO595" s="53"/>
      <c r="BP595" s="53"/>
      <c r="BQ595" s="53"/>
      <c r="BR595" s="53"/>
      <c r="BS595" s="53"/>
      <c r="BT595" s="53"/>
      <c r="BU595" s="53"/>
      <c r="BV595" s="53"/>
      <c r="BW595" s="53"/>
      <c r="BX595" s="53"/>
      <c r="BY595" s="53"/>
      <c r="BZ595" s="53"/>
      <c r="CA595" s="53"/>
      <c r="CB595" s="53"/>
      <c r="CC595" s="53"/>
      <c r="CD595" s="53"/>
      <c r="CE595" s="53"/>
      <c r="CF595" s="53"/>
      <c r="CG595" s="53"/>
      <c r="CH595" s="53"/>
      <c r="CI595" s="53"/>
      <c r="CJ595" s="53"/>
      <c r="CK595" s="53"/>
      <c r="CL595" s="53"/>
      <c r="CM595" s="53"/>
      <c r="CN595" s="53"/>
      <c r="CO595" s="53"/>
      <c r="CP595" s="53"/>
      <c r="CQ595" s="53"/>
      <c r="CR595" s="1"/>
      <c r="CS595" s="1"/>
      <c r="CT595" s="1"/>
      <c r="CU595" s="1"/>
    </row>
    <row r="596" spans="1:99" s="13" customFormat="1" ht="12" customHeight="1" x14ac:dyDescent="0.2">
      <c r="A596" s="68">
        <v>43978</v>
      </c>
      <c r="B596" s="70"/>
      <c r="C596" s="70"/>
      <c r="D596" s="69"/>
      <c r="E596" s="87"/>
      <c r="F596" s="69"/>
      <c r="G596" s="69"/>
      <c r="H596" s="69"/>
      <c r="I596" s="69"/>
      <c r="J596" s="69"/>
      <c r="K596" s="69"/>
      <c r="L596" s="69"/>
      <c r="M596" s="69"/>
      <c r="N596" s="86"/>
      <c r="O596" s="69"/>
      <c r="P596" s="69"/>
      <c r="Q596" s="69"/>
      <c r="R596" s="69"/>
      <c r="S596" s="69"/>
      <c r="T596" s="92"/>
      <c r="U596" s="69"/>
      <c r="V596" s="92"/>
      <c r="W596" s="69"/>
      <c r="X596" s="69"/>
      <c r="Y596" s="87"/>
      <c r="Z596" s="92"/>
      <c r="AA596" s="87"/>
      <c r="AB596" s="69"/>
      <c r="AC596" s="72"/>
      <c r="AD596" s="69"/>
      <c r="AE596" s="87"/>
      <c r="AF596" s="88"/>
      <c r="AG596" s="72"/>
      <c r="AH596" s="4"/>
      <c r="AI596" s="72"/>
      <c r="AJ596" s="110"/>
      <c r="AK596" s="72"/>
      <c r="AL596" s="72"/>
      <c r="AM596" s="72"/>
      <c r="AN596" s="72"/>
      <c r="AO596" s="89"/>
      <c r="AP596" s="89"/>
      <c r="AQ596" s="90"/>
      <c r="AR596" s="117"/>
      <c r="AS596" s="91"/>
      <c r="AT596" s="91"/>
      <c r="AU596" s="3"/>
      <c r="AV596" s="96">
        <f>60*30</f>
        <v>1800</v>
      </c>
      <c r="AW596" s="96">
        <f>60*60*24</f>
        <v>86400</v>
      </c>
      <c r="AX596" s="96">
        <f>60*60*24*7</f>
        <v>604800</v>
      </c>
      <c r="AY596" s="96">
        <f>60*60*24*7*2</f>
        <v>1209600</v>
      </c>
      <c r="AZ596" s="96">
        <f>60*60*24*7*4</f>
        <v>2419200</v>
      </c>
      <c r="BA596" s="53"/>
      <c r="BB596" s="53"/>
      <c r="BC596" s="53"/>
      <c r="BD596" s="53"/>
      <c r="BE596" s="53"/>
      <c r="BF596" s="53"/>
      <c r="BG596" s="53"/>
      <c r="BH596" s="53"/>
      <c r="BI596" s="53"/>
      <c r="BJ596" s="53"/>
      <c r="BK596" s="53"/>
      <c r="BL596" s="53"/>
      <c r="BM596" s="53"/>
      <c r="BN596" s="53"/>
      <c r="BO596" s="53"/>
      <c r="BP596" s="53"/>
      <c r="BQ596" s="53"/>
      <c r="BR596" s="53"/>
      <c r="BS596" s="53"/>
      <c r="BT596" s="53"/>
      <c r="BU596" s="53"/>
      <c r="BV596" s="53"/>
      <c r="BW596" s="53"/>
      <c r="BX596" s="53"/>
      <c r="BY596" s="53"/>
      <c r="BZ596" s="53"/>
      <c r="CA596" s="53"/>
      <c r="CB596" s="53"/>
      <c r="CC596" s="53"/>
      <c r="CD596" s="53"/>
      <c r="CE596" s="53"/>
      <c r="CF596" s="53"/>
      <c r="CG596" s="53"/>
      <c r="CH596" s="53"/>
      <c r="CI596" s="53"/>
      <c r="CJ596" s="53"/>
      <c r="CK596" s="53"/>
      <c r="CL596" s="53"/>
      <c r="CM596" s="53"/>
      <c r="CN596" s="53"/>
      <c r="CO596" s="53"/>
      <c r="CP596" s="53"/>
      <c r="CQ596" s="53"/>
      <c r="CR596" s="1"/>
      <c r="CS596" s="1"/>
      <c r="CT596" s="1"/>
      <c r="CU596" s="1"/>
    </row>
    <row r="597" spans="1:99" s="13" customFormat="1" ht="12" customHeight="1" x14ac:dyDescent="0.2">
      <c r="A597" s="68">
        <v>43978</v>
      </c>
      <c r="B597" s="70" t="s">
        <v>967</v>
      </c>
      <c r="C597" s="70" t="s">
        <v>54</v>
      </c>
      <c r="D597" s="69">
        <v>2010</v>
      </c>
      <c r="E597" s="87">
        <v>1</v>
      </c>
      <c r="F597" s="69">
        <v>8</v>
      </c>
      <c r="G597" s="69">
        <v>8</v>
      </c>
      <c r="H597" s="69" t="s">
        <v>43</v>
      </c>
      <c r="I597" s="69" t="s">
        <v>330</v>
      </c>
      <c r="J597" s="69" t="s">
        <v>677</v>
      </c>
      <c r="K597" s="69">
        <f>IF(J597="syllables",1,IF(J597="trigrams",2,IF(J597="strings",3,IF(J597="visual array",4,IF(J597="characters",5,IF(J597="letters",6,IF(J597="free forms",7,IF(J597="odors",8,IF(J597="words",9,IF(J597="pictures",10,IF(J597="object pictures",11,IF(J597="faces",12,IF(J597="names",13,IF(J597="idioms",14,IF(J597="grades",15,IF(J597="syllable-digit pairs",16,IF(J597="trigram-word pairs",17,IF(J597="word-digit pairs",18,IF(J597="English-Swahili pairs",19,IF(J597="spatial position",20,IF(J597="word pairs",21,IF(J597="word triads",22,IF(J597="generated words",23,IF(J597="word definition pairs",24,IF(J597="math problems",25,IF(J597="famous faces",26,IF(J597="famous names",27,IF(J597="famous voices",28,IF(J597="television programs",29,IF(J597="race horses",30,IF(J597="new vocabulary",31,IF(J597="sentences",32,IF(J597="concepts",33,IF(J597="ad slides",34,IF(J597="scenes",35,IF(J597="famous scenes",36,IF(J597="poems",37,IF(J597="walk",38,IF(J597="faces and events",39,IF(J597="events and names",40,IF(J597="flashbulb",41,IF(J597="stories",42,IF(J597="course material",43,IF(J597="autobiographical",44,IF(J597="novels",45,IF(J597="public events",46,"99"))))))))))))))))))))))))))))))))))))))))))))))</f>
        <v>42</v>
      </c>
      <c r="L597" s="69">
        <f>IF(J597="syllables",1,IF(J597="trigrams",1,IF(J597="strings",1,IF(J597="visual array",1,IF(J597="characters",1,IF(J597="letters",1,IF(J597="free forms",1,IF(J597="odors",2,IF(J597="words",2,IF(J597="pictures",2,IF(J597="object pictures",2,IF(J597="faces",2,IF(J597="names",2,IF(J597="idioms","2",IF(J597="grades",2,IF(J597="syllable-digit pairs",3,IF(J597="trigram-word pairs",3,IF(J597="word-digit pairs",3,IF(J597="English-Swahili pairs",3,IF(J597="spatial position",3,IF(J597="word pairs",4,IF(J597="word triads",4,IF(J597="generated words",4,IF(J597="word definition pairs",4,IF(J597="math problems",4,IF(J597="famous faces",4,IF(J597="famous names",4,IF(J597="famous voices",4,IF(J597="television programs",4,IF(J597="race horses",4,IF(J597="new vocabulary",4,IF(J597="sentences",5,IF(J597="concepts",5,IF(J597="ad slides",5,IF(J597="scenes",5,IF(J597="famous scenes",5,IF(J597="poems",6,IF(J597="walk",6,IF(J597="faces and events",6,IF(J597="events and names",6,IF(J597="flashbulb",7,IF(J597="stories",7,IF(J597="course material",7,IF(J597="autobiographical",7,IF(J597="novels",7,IF(J597="public events",7,"99"))))))))))))))))))))))))))))))))))))))))))))))</f>
        <v>7</v>
      </c>
      <c r="M597" s="69">
        <v>0</v>
      </c>
      <c r="N597" s="86">
        <v>3</v>
      </c>
      <c r="O597" s="69">
        <v>0</v>
      </c>
      <c r="P597" s="69"/>
      <c r="Q597" s="69" t="s">
        <v>182</v>
      </c>
      <c r="R597" s="69">
        <f>IF(Q597="Free Recall",1,IF(Q597="Cued Recall",2,IF(Q597="Recognition",3,IF(Q597="Multiple Choice",4,IF(Q597="Savings",5,IF(Q597="Stem Completion",6,IF(Q597="Fragment Completion",7,IF(Q597="anagram solution",8,IF(Q597="Matching",9,IF(Q597="Problem Solving",10,"99"))))))))))</f>
        <v>4</v>
      </c>
      <c r="S597" s="69" t="s">
        <v>15</v>
      </c>
      <c r="T597" s="92" t="s">
        <v>581</v>
      </c>
      <c r="U597" s="69">
        <f>IF(T597="within",1,0)</f>
        <v>1</v>
      </c>
      <c r="V597" s="92">
        <v>60</v>
      </c>
      <c r="W597" s="69">
        <f>F597*V597</f>
        <v>480</v>
      </c>
      <c r="X597" s="69">
        <v>5</v>
      </c>
      <c r="Y597" s="87">
        <f>AV596</f>
        <v>1800</v>
      </c>
      <c r="Z597" s="69" t="s">
        <v>140</v>
      </c>
      <c r="AA597" s="69">
        <f>60*60*24*7*4</f>
        <v>2419200</v>
      </c>
      <c r="AB597" s="69" t="str">
        <f>IF(AA597&lt;60,"1",IF(AA597&lt;=43200,"2",IF(AA597&lt;=777600,"3","4")))</f>
        <v>4</v>
      </c>
      <c r="AC597" s="72">
        <f>AVERAGE(AV596:DA596)</f>
        <v>864360</v>
      </c>
      <c r="AD597" s="69" t="str">
        <f>IF(AC597&lt;60,"1",IF(AC597&lt;=43200,"2",IF(AC597&lt;=777600,"3","4")))</f>
        <v>4</v>
      </c>
      <c r="AE597" s="87">
        <f>AA597-Y597</f>
        <v>2417400</v>
      </c>
      <c r="AF597" s="88">
        <f>AV597</f>
        <v>1</v>
      </c>
      <c r="AG597" s="72">
        <f>((AW597-AV597)+(AX597-AW597)+(AY597-AX597)+(AZ597-AY597))/4</f>
        <v>-9.6049783549783746E-2</v>
      </c>
      <c r="AH597" s="4"/>
      <c r="AI597" s="72">
        <f>RSQ(AV597:AZ597,AV596:AZ596)</f>
        <v>0.92338458603030005</v>
      </c>
      <c r="AJ597" s="110">
        <f>SLOPE(AV597:AZ597,AV596:AZ596)</f>
        <v>-1.583930504747049E-7</v>
      </c>
      <c r="AK597" s="72">
        <f>INTERCEPT(AV597:AZ597,AV596:AZ596)</f>
        <v>0.96194469214438827</v>
      </c>
      <c r="AL597" s="72">
        <f>INDEX(LINEST(LN(AV597:AZ597),LN(AV596:AZ596),TRUE,TRUE),3,1)</f>
        <v>0.70063300002171425</v>
      </c>
      <c r="AM597" s="72">
        <f>INDEX(LINEST(LN(AV597:AZ597),LN(AV596:AZ596)),1)</f>
        <v>-5.9748803239064709E-2</v>
      </c>
      <c r="AN597" s="72">
        <f>EXP(INDEX(LINEST(LN(AV597:AZ597),LN(AV596:AZ596)),1,2))</f>
        <v>1.6795285636145603</v>
      </c>
      <c r="AO597" s="89">
        <f>INDEX(LINEST((AV597:AZ597),LN(AV596:AZ596),TRUE,TRUE),3,1)</f>
        <v>0.7416958165877493</v>
      </c>
      <c r="AP597" s="89">
        <f>INDEX(LINEST((AV597:AZ597),LN(AV596:AZ596)),1)</f>
        <v>-4.871722208643095E-2</v>
      </c>
      <c r="AQ597" s="90">
        <f>INDEX(LINEST(LN(AV597:AZ597),SQRT(AV596:AZ596),TRUE,TRUE),3,1)</f>
        <v>0.95707358315765789</v>
      </c>
      <c r="AR597" s="117">
        <f>INDEX(LINEST(LN(AV597:AZ597),SQRT((AV596:AZ596))),1)</f>
        <v>-3.3252974228787638E-4</v>
      </c>
      <c r="AS597" s="91">
        <f>INDEX(LINEST(1/(AV597:AZ597),1/(SQRT(AV596:AZ596)),TRUE,TRUE),3,1)</f>
        <v>0.36752245524422511</v>
      </c>
      <c r="AT597" s="91">
        <f>INDEX(LINEST(1/(AV597:AZ597),1/SQRT(AV596:AZ596)),1)</f>
        <v>-16.284731214684022</v>
      </c>
      <c r="AU597" s="3"/>
      <c r="AV597" s="95">
        <v>1</v>
      </c>
      <c r="AW597" s="95">
        <v>0.9476911976911917</v>
      </c>
      <c r="AX597" s="95">
        <v>0.86471861471860834</v>
      </c>
      <c r="AY597" s="95">
        <v>0.69696969696969668</v>
      </c>
      <c r="AZ597" s="73">
        <v>0.61580086580086502</v>
      </c>
      <c r="BA597" s="53"/>
      <c r="BB597" s="53"/>
      <c r="BC597" s="53"/>
      <c r="BD597" s="53"/>
      <c r="BE597" s="53"/>
      <c r="BF597" s="53"/>
      <c r="BG597" s="53"/>
      <c r="BH597" s="53"/>
      <c r="BI597" s="53"/>
      <c r="BJ597" s="53"/>
      <c r="BK597" s="53"/>
      <c r="BL597" s="53"/>
      <c r="BM597" s="53"/>
      <c r="BN597" s="53"/>
      <c r="BO597" s="53"/>
      <c r="BP597" s="53"/>
      <c r="BQ597" s="53"/>
      <c r="BR597" s="53"/>
      <c r="BS597" s="53"/>
      <c r="BT597" s="53"/>
      <c r="BU597" s="53"/>
      <c r="BV597" s="53"/>
      <c r="BW597" s="53"/>
      <c r="BX597" s="53"/>
      <c r="BY597" s="53"/>
      <c r="BZ597" s="53"/>
      <c r="CA597" s="53"/>
      <c r="CB597" s="53"/>
      <c r="CC597" s="53"/>
      <c r="CD597" s="53"/>
      <c r="CE597" s="53"/>
      <c r="CF597" s="53"/>
      <c r="CG597" s="53"/>
      <c r="CH597" s="53"/>
      <c r="CI597" s="53"/>
      <c r="CJ597" s="53"/>
      <c r="CK597" s="53"/>
      <c r="CL597" s="53"/>
      <c r="CM597" s="53"/>
      <c r="CN597" s="53"/>
      <c r="CO597" s="53"/>
      <c r="CP597" s="53"/>
      <c r="CQ597" s="53"/>
      <c r="CR597" s="1"/>
      <c r="CS597" s="1"/>
      <c r="CT597" s="1"/>
      <c r="CU597" s="1"/>
    </row>
    <row r="598" spans="1:99" s="13" customFormat="1" ht="12" customHeight="1" x14ac:dyDescent="0.2">
      <c r="A598" s="68">
        <v>43978</v>
      </c>
      <c r="B598" s="70"/>
      <c r="C598" s="70"/>
      <c r="D598" s="69"/>
      <c r="E598" s="87"/>
      <c r="F598" s="69"/>
      <c r="G598" s="69"/>
      <c r="H598" s="69"/>
      <c r="I598" s="69"/>
      <c r="J598" s="69"/>
      <c r="K598" s="69"/>
      <c r="L598" s="69"/>
      <c r="M598" s="69"/>
      <c r="N598" s="86"/>
      <c r="O598" s="69"/>
      <c r="P598" s="69"/>
      <c r="Q598" s="69"/>
      <c r="R598" s="69"/>
      <c r="S598" s="69"/>
      <c r="T598" s="92"/>
      <c r="U598" s="69"/>
      <c r="V598" s="92"/>
      <c r="W598" s="69"/>
      <c r="X598" s="69"/>
      <c r="Y598" s="87"/>
      <c r="Z598" s="92"/>
      <c r="AA598" s="87"/>
      <c r="AB598" s="69"/>
      <c r="AC598" s="72"/>
      <c r="AD598" s="69"/>
      <c r="AE598" s="87"/>
      <c r="AF598" s="88"/>
      <c r="AG598" s="72"/>
      <c r="AH598" s="4"/>
      <c r="AI598" s="72"/>
      <c r="AJ598" s="110"/>
      <c r="AK598" s="72"/>
      <c r="AL598" s="72"/>
      <c r="AM598" s="72"/>
      <c r="AN598" s="72"/>
      <c r="AO598" s="89"/>
      <c r="AP598" s="89"/>
      <c r="AQ598" s="90"/>
      <c r="AR598" s="117"/>
      <c r="AS598" s="91"/>
      <c r="AT598" s="91"/>
      <c r="AU598" s="3"/>
      <c r="AV598" s="96">
        <v>30</v>
      </c>
      <c r="AW598" s="96">
        <f>60*30</f>
        <v>1800</v>
      </c>
      <c r="AX598" s="96">
        <f>60*60*24</f>
        <v>86400</v>
      </c>
      <c r="AY598" s="96">
        <f>60*60*24*7</f>
        <v>604800</v>
      </c>
      <c r="AZ598" s="96">
        <f>60*60*24*7*4</f>
        <v>2419200</v>
      </c>
      <c r="BA598" s="53"/>
      <c r="BB598" s="11" t="s">
        <v>947</v>
      </c>
      <c r="BC598" s="53"/>
      <c r="BD598" s="53"/>
      <c r="BE598" s="53"/>
      <c r="BF598" s="53"/>
      <c r="BG598" s="53"/>
      <c r="BH598" s="53"/>
      <c r="BI598" s="53"/>
      <c r="BJ598" s="53"/>
      <c r="BK598" s="53"/>
      <c r="BL598" s="53"/>
      <c r="BM598" s="53"/>
      <c r="BN598" s="53"/>
      <c r="BO598" s="53"/>
      <c r="BP598" s="53"/>
      <c r="BQ598" s="53"/>
      <c r="BR598" s="53"/>
      <c r="BS598" s="53"/>
      <c r="BT598" s="53"/>
      <c r="BU598" s="53"/>
      <c r="BV598" s="53"/>
      <c r="BW598" s="53"/>
      <c r="BX598" s="53"/>
      <c r="BY598" s="53"/>
      <c r="BZ598" s="53"/>
      <c r="CA598" s="53"/>
      <c r="CB598" s="53"/>
      <c r="CC598" s="53"/>
      <c r="CD598" s="53"/>
      <c r="CE598" s="53"/>
      <c r="CF598" s="53"/>
      <c r="CG598" s="53"/>
      <c r="CH598" s="53"/>
      <c r="CI598" s="53"/>
      <c r="CJ598" s="53"/>
      <c r="CK598" s="53"/>
      <c r="CL598" s="53"/>
      <c r="CM598" s="53"/>
      <c r="CN598" s="53"/>
      <c r="CO598" s="53"/>
      <c r="CP598" s="53"/>
      <c r="CQ598" s="53"/>
      <c r="CR598" s="1"/>
      <c r="CS598" s="1"/>
      <c r="CT598" s="1"/>
      <c r="CU598" s="1"/>
    </row>
    <row r="599" spans="1:99" s="13" customFormat="1" ht="12" customHeight="1" x14ac:dyDescent="0.2">
      <c r="A599" s="68">
        <v>43978</v>
      </c>
      <c r="B599" s="70" t="s">
        <v>967</v>
      </c>
      <c r="C599" s="70" t="s">
        <v>54</v>
      </c>
      <c r="D599" s="69">
        <v>2010</v>
      </c>
      <c r="E599" s="87">
        <v>2</v>
      </c>
      <c r="F599" s="69">
        <v>6</v>
      </c>
      <c r="G599" s="69">
        <v>6</v>
      </c>
      <c r="H599" s="69" t="s">
        <v>17</v>
      </c>
      <c r="I599" s="69" t="s">
        <v>330</v>
      </c>
      <c r="J599" s="69" t="s">
        <v>677</v>
      </c>
      <c r="K599" s="69">
        <f>IF(J599="syllables",1,IF(J599="trigrams",2,IF(J599="strings",3,IF(J599="visual array",4,IF(J599="characters",5,IF(J599="letters",6,IF(J599="free forms",7,IF(J599="odors",8,IF(J599="words",9,IF(J599="pictures",10,IF(J599="object pictures",11,IF(J599="faces",12,IF(J599="names",13,IF(J599="idioms",14,IF(J599="grades",15,IF(J599="syllable-digit pairs",16,IF(J599="trigram-word pairs",17,IF(J599="word-digit pairs",18,IF(J599="English-Swahili pairs",19,IF(J599="spatial position",20,IF(J599="word pairs",21,IF(J599="word triads",22,IF(J599="generated words",23,IF(J599="word definition pairs",24,IF(J599="math problems",25,IF(J599="famous faces",26,IF(J599="famous names",27,IF(J599="famous voices",28,IF(J599="television programs",29,IF(J599="race horses",30,IF(J599="new vocabulary",31,IF(J599="sentences",32,IF(J599="concepts",33,IF(J599="ad slides",34,IF(J599="scenes",35,IF(J599="famous scenes",36,IF(J599="poems",37,IF(J599="walk",38,IF(J599="faces and events",39,IF(J599="events and names",40,IF(J599="flashbulb",41,IF(J599="stories",42,IF(J599="course material",43,IF(J599="autobiographical",44,IF(J599="novels",45,IF(J599="public events",46,"99"))))))))))))))))))))))))))))))))))))))))))))))</f>
        <v>42</v>
      </c>
      <c r="L599" s="69">
        <f>IF(J599="syllables",1,IF(J599="trigrams",1,IF(J599="strings",1,IF(J599="visual array",1,IF(J599="characters",1,IF(J599="letters",1,IF(J599="free forms",1,IF(J599="odors",2,IF(J599="words",2,IF(J599="pictures",2,IF(J599="object pictures",2,IF(J599="faces",2,IF(J599="names",2,IF(J599="idioms","2",IF(J599="grades",2,IF(J599="syllable-digit pairs",3,IF(J599="trigram-word pairs",3,IF(J599="word-digit pairs",3,IF(J599="English-Swahili pairs",3,IF(J599="spatial position",3,IF(J599="word pairs",4,IF(J599="word triads",4,IF(J599="generated words",4,IF(J599="word definition pairs",4,IF(J599="math problems",4,IF(J599="famous faces",4,IF(J599="famous names",4,IF(J599="famous voices",4,IF(J599="television programs",4,IF(J599="race horses",4,IF(J599="new vocabulary",4,IF(J599="sentences",5,IF(J599="concepts",5,IF(J599="ad slides",5,IF(J599="scenes",5,IF(J599="famous scenes",5,IF(J599="poems",6,IF(J599="walk",6,IF(J599="faces and events",6,IF(J599="events and names",6,IF(J599="flashbulb",7,IF(J599="stories",7,IF(J599="course material",7,IF(J599="autobiographical",7,IF(J599="novels",7,IF(J599="public events",7,"99"))))))))))))))))))))))))))))))))))))))))))))))</f>
        <v>7</v>
      </c>
      <c r="M599" s="69">
        <v>0</v>
      </c>
      <c r="N599" s="86">
        <v>3</v>
      </c>
      <c r="O599" s="69">
        <v>0</v>
      </c>
      <c r="P599" s="69"/>
      <c r="Q599" s="69" t="s">
        <v>174</v>
      </c>
      <c r="R599" s="69">
        <f>IF(Q599="Free Recall",1,IF(Q599="Cued Recall",2,IF(Q599="Recognition",3,IF(Q599="Multiple Choice",4,IF(Q599="Savings",5,IF(Q599="Stem Completion",6,IF(Q599="Fragment Completion",7,IF(Q599="anagram solution",8,IF(Q599="Matching",9,IF(Q599="Problem Solving",10,"99"))))))))))</f>
        <v>1</v>
      </c>
      <c r="S599" s="69" t="s">
        <v>49</v>
      </c>
      <c r="T599" s="92" t="s">
        <v>581</v>
      </c>
      <c r="U599" s="69">
        <f>IF(T599="within",1,0)</f>
        <v>1</v>
      </c>
      <c r="V599" s="92">
        <v>100</v>
      </c>
      <c r="W599" s="69">
        <f>F599*V599</f>
        <v>600</v>
      </c>
      <c r="X599" s="69">
        <v>5</v>
      </c>
      <c r="Y599" s="87">
        <f>AV598</f>
        <v>30</v>
      </c>
      <c r="Z599" s="69" t="s">
        <v>140</v>
      </c>
      <c r="AA599" s="69">
        <f>60*60*24*7*4</f>
        <v>2419200</v>
      </c>
      <c r="AB599" s="69" t="str">
        <f>IF(AA599&lt;60,"1",IF(AA599&lt;=43200,"2",IF(AA599&lt;=777600,"3","4")))</f>
        <v>4</v>
      </c>
      <c r="AC599" s="72">
        <f>AVERAGE(AV598:DA598)</f>
        <v>622446</v>
      </c>
      <c r="AD599" s="69" t="str">
        <f>IF(AC599&lt;60,"1",IF(AC599&lt;=43200,"2",IF(AC599&lt;=777600,"3","4")))</f>
        <v>3</v>
      </c>
      <c r="AE599" s="87">
        <f>AA599-Y599</f>
        <v>2419170</v>
      </c>
      <c r="AF599" s="88">
        <f>AV599</f>
        <v>0.86427919708029</v>
      </c>
      <c r="AG599" s="72">
        <f>((AW599-AV599)+(AX599-AW599)+(AY599-AX599)+(AZ599-AY599))/4</f>
        <v>-0.15787522810218918</v>
      </c>
      <c r="AH599" s="4"/>
      <c r="AI599" s="72">
        <f>RSQ(AV599:AZ599,AV598:AZ598)</f>
        <v>0.7805368808605565</v>
      </c>
      <c r="AJ599" s="110">
        <f>SLOPE(AV599:AZ599,AV598:AZ598)</f>
        <v>-2.2337629377032454E-7</v>
      </c>
      <c r="AK599" s="72">
        <f>INTERCEPT(AV599:AZ599,AV598:AZ598)</f>
        <v>0.72549041047917007</v>
      </c>
      <c r="AL599" s="72">
        <f>INDEX(LINEST(LN(AV599:AZ599),LN(AV598:AZ598),TRUE,TRUE),3,1)</f>
        <v>0.74817148307312331</v>
      </c>
      <c r="AM599" s="72">
        <f>INDEX(LINEST(LN(AV599:AZ599),LN(AV598:AZ598)),1)</f>
        <v>-0.10180611561737737</v>
      </c>
      <c r="AN599" s="72">
        <f>EXP(INDEX(LINEST(LN(AV599:AZ599),LN(AV598:AZ598)),1,2))</f>
        <v>1.4726490539837489</v>
      </c>
      <c r="AO599" s="89">
        <f>INDEX(LINEST((AV599:AZ599),LN(AV598:AZ598),TRUE,TRUE),3,1)</f>
        <v>0.85804872842697533</v>
      </c>
      <c r="AP599" s="89">
        <f>INDEX(LINEST((AV599:AZ599),LN(AV598:AZ598)),1)</f>
        <v>-5.2692927792355668E-2</v>
      </c>
      <c r="AQ599" s="90">
        <f>INDEX(LINEST(LN(AV599:AZ599),SQRT(AV598:AZ598),TRUE,TRUE),3,1)</f>
        <v>0.99310549068712317</v>
      </c>
      <c r="AR599" s="117">
        <f>INDEX(LINEST(LN(AV599:AZ599),SQRT((AV598:AZ598))),1)</f>
        <v>-8.3264907917431161E-4</v>
      </c>
      <c r="AS599" s="91">
        <f>INDEX(LINEST(1/(AV599:AZ599),1/(SQRT(AV598:AZ598)),TRUE,TRUE),3,1)</f>
        <v>0.23778181025826914</v>
      </c>
      <c r="AT599" s="91">
        <f>INDEX(LINEST(1/(AV599:AZ599),1/SQRT(AV598:AZ598)),1)</f>
        <v>-8.0540841792942253</v>
      </c>
      <c r="AU599" s="3"/>
      <c r="AV599" s="95">
        <v>0.86427919708029</v>
      </c>
      <c r="AW599" s="95">
        <v>0.77326642335766249</v>
      </c>
      <c r="AX599" s="95">
        <v>0.65510948905109501</v>
      </c>
      <c r="AY599" s="95">
        <v>0.40682025547445255</v>
      </c>
      <c r="AZ599" s="73">
        <v>0.23277828467153325</v>
      </c>
      <c r="BA599" s="53"/>
      <c r="BB599" s="53"/>
      <c r="BC599" s="53"/>
      <c r="BD599" s="53"/>
      <c r="BE599" s="53"/>
      <c r="BF599" s="53"/>
      <c r="BG599" s="53"/>
      <c r="BH599" s="53"/>
      <c r="BI599" s="53"/>
      <c r="BJ599" s="53"/>
      <c r="BK599" s="53"/>
      <c r="BL599" s="53"/>
      <c r="BM599" s="53"/>
      <c r="BN599" s="53"/>
      <c r="BO599" s="53"/>
      <c r="BP599" s="53"/>
      <c r="BQ599" s="53"/>
      <c r="BR599" s="53"/>
      <c r="BS599" s="53"/>
      <c r="BT599" s="53"/>
      <c r="BU599" s="53"/>
      <c r="BV599" s="53"/>
      <c r="BW599" s="53"/>
      <c r="BX599" s="53"/>
      <c r="BY599" s="53"/>
      <c r="BZ599" s="53"/>
      <c r="CA599" s="53"/>
      <c r="CB599" s="53"/>
      <c r="CC599" s="53"/>
      <c r="CD599" s="53"/>
      <c r="CE599" s="53"/>
      <c r="CF599" s="53"/>
      <c r="CG599" s="53"/>
      <c r="CH599" s="53"/>
      <c r="CI599" s="53"/>
      <c r="CJ599" s="53"/>
      <c r="CK599" s="53"/>
      <c r="CL599" s="53"/>
      <c r="CM599" s="53"/>
      <c r="CN599" s="53"/>
      <c r="CO599" s="53"/>
      <c r="CP599" s="53"/>
      <c r="CQ599" s="53"/>
      <c r="CR599" s="1"/>
      <c r="CS599" s="1"/>
      <c r="CT599" s="1"/>
      <c r="CU599" s="1"/>
    </row>
    <row r="600" spans="1:99" s="13" customFormat="1" ht="12" customHeight="1" x14ac:dyDescent="0.2">
      <c r="A600" s="68">
        <v>43978</v>
      </c>
      <c r="B600" s="70"/>
      <c r="C600" s="70"/>
      <c r="D600" s="69"/>
      <c r="E600" s="87"/>
      <c r="F600" s="69"/>
      <c r="G600" s="69"/>
      <c r="H600" s="69"/>
      <c r="I600" s="69"/>
      <c r="J600" s="69"/>
      <c r="K600" s="69"/>
      <c r="L600" s="69"/>
      <c r="M600" s="69"/>
      <c r="N600" s="86"/>
      <c r="O600" s="69"/>
      <c r="P600" s="69"/>
      <c r="Q600" s="69"/>
      <c r="R600" s="69"/>
      <c r="S600" s="69"/>
      <c r="T600" s="92"/>
      <c r="U600" s="69"/>
      <c r="V600" s="92"/>
      <c r="W600" s="69"/>
      <c r="X600" s="69"/>
      <c r="Y600" s="87"/>
      <c r="Z600" s="92"/>
      <c r="AA600" s="87"/>
      <c r="AB600" s="69"/>
      <c r="AC600" s="72"/>
      <c r="AD600" s="69"/>
      <c r="AE600" s="87"/>
      <c r="AF600" s="88"/>
      <c r="AG600" s="72"/>
      <c r="AH600" s="4"/>
      <c r="AI600" s="72"/>
      <c r="AJ600" s="110"/>
      <c r="AK600" s="72"/>
      <c r="AL600" s="72"/>
      <c r="AM600" s="72"/>
      <c r="AN600" s="72"/>
      <c r="AO600" s="89"/>
      <c r="AP600" s="89"/>
      <c r="AQ600" s="90"/>
      <c r="AR600" s="117"/>
      <c r="AS600" s="91"/>
      <c r="AT600" s="91"/>
      <c r="AU600" s="3"/>
      <c r="AV600" s="96">
        <f>60*30</f>
        <v>1800</v>
      </c>
      <c r="AW600" s="96">
        <f>60*60*24</f>
        <v>86400</v>
      </c>
      <c r="AX600" s="96">
        <f>60*60*24*7</f>
        <v>604800</v>
      </c>
      <c r="AY600" s="96">
        <f>60*60*24*7*4</f>
        <v>2419200</v>
      </c>
      <c r="AZ600" s="96"/>
      <c r="BA600" s="53"/>
      <c r="BB600" s="53"/>
      <c r="BC600" s="53"/>
      <c r="BD600" s="53"/>
      <c r="BE600" s="53"/>
      <c r="BF600" s="53"/>
      <c r="BG600" s="53"/>
      <c r="BH600" s="53"/>
      <c r="BI600" s="53"/>
      <c r="BJ600" s="53"/>
      <c r="BK600" s="53"/>
      <c r="BL600" s="53"/>
      <c r="BM600" s="53"/>
      <c r="BN600" s="53"/>
      <c r="BO600" s="53"/>
      <c r="BP600" s="53"/>
      <c r="BQ600" s="53"/>
      <c r="BR600" s="53"/>
      <c r="BS600" s="53"/>
      <c r="BT600" s="53"/>
      <c r="BU600" s="53"/>
      <c r="BV600" s="53"/>
      <c r="BW600" s="53"/>
      <c r="BX600" s="53"/>
      <c r="BY600" s="53"/>
      <c r="BZ600" s="53"/>
      <c r="CA600" s="53"/>
      <c r="CB600" s="53"/>
      <c r="CC600" s="53"/>
      <c r="CD600" s="53"/>
      <c r="CE600" s="53"/>
      <c r="CF600" s="53"/>
      <c r="CG600" s="53"/>
      <c r="CH600" s="53"/>
      <c r="CI600" s="53"/>
      <c r="CJ600" s="53"/>
      <c r="CK600" s="53"/>
      <c r="CL600" s="53"/>
      <c r="CM600" s="53"/>
      <c r="CN600" s="53"/>
      <c r="CO600" s="53"/>
      <c r="CP600" s="53"/>
      <c r="CQ600" s="53"/>
      <c r="CR600" s="1"/>
      <c r="CS600" s="1"/>
      <c r="CT600" s="1"/>
      <c r="CU600" s="1"/>
    </row>
    <row r="601" spans="1:99" s="13" customFormat="1" ht="12" customHeight="1" x14ac:dyDescent="0.2">
      <c r="A601" s="68">
        <v>43978</v>
      </c>
      <c r="B601" s="70" t="s">
        <v>967</v>
      </c>
      <c r="C601" s="70" t="s">
        <v>54</v>
      </c>
      <c r="D601" s="69">
        <v>2010</v>
      </c>
      <c r="E601" s="87">
        <v>2</v>
      </c>
      <c r="F601" s="69">
        <v>6</v>
      </c>
      <c r="G601" s="69">
        <v>6</v>
      </c>
      <c r="H601" s="69" t="s">
        <v>341</v>
      </c>
      <c r="I601" s="69" t="s">
        <v>330</v>
      </c>
      <c r="J601" s="69" t="s">
        <v>677</v>
      </c>
      <c r="K601" s="69">
        <f>IF(J601="syllables",1,IF(J601="trigrams",2,IF(J601="strings",3,IF(J601="visual array",4,IF(J601="characters",5,IF(J601="letters",6,IF(J601="free forms",7,IF(J601="odors",8,IF(J601="words",9,IF(J601="pictures",10,IF(J601="object pictures",11,IF(J601="faces",12,IF(J601="names",13,IF(J601="idioms",14,IF(J601="grades",15,IF(J601="syllable-digit pairs",16,IF(J601="trigram-word pairs",17,IF(J601="word-digit pairs",18,IF(J601="English-Swahili pairs",19,IF(J601="spatial position",20,IF(J601="word pairs",21,IF(J601="word triads",22,IF(J601="generated words",23,IF(J601="word definition pairs",24,IF(J601="math problems",25,IF(J601="famous faces",26,IF(J601="famous names",27,IF(J601="famous voices",28,IF(J601="television programs",29,IF(J601="race horses",30,IF(J601="new vocabulary",31,IF(J601="sentences",32,IF(J601="concepts",33,IF(J601="ad slides",34,IF(J601="scenes",35,IF(J601="famous scenes",36,IF(J601="poems",37,IF(J601="walk",38,IF(J601="faces and events",39,IF(J601="events and names",40,IF(J601="flashbulb",41,IF(J601="stories",42,IF(J601="course material",43,IF(J601="autobiographical",44,IF(J601="novels",45,IF(J601="public events",46,"99"))))))))))))))))))))))))))))))))))))))))))))))</f>
        <v>42</v>
      </c>
      <c r="L601" s="69">
        <f>IF(J601="syllables",1,IF(J601="trigrams",1,IF(J601="strings",1,IF(J601="visual array",1,IF(J601="characters",1,IF(J601="letters",1,IF(J601="free forms",1,IF(J601="odors",2,IF(J601="words",2,IF(J601="pictures",2,IF(J601="object pictures",2,IF(J601="faces",2,IF(J601="names",2,IF(J601="idioms","2",IF(J601="grades",2,IF(J601="syllable-digit pairs",3,IF(J601="trigram-word pairs",3,IF(J601="word-digit pairs",3,IF(J601="English-Swahili pairs",3,IF(J601="spatial position",3,IF(J601="word pairs",4,IF(J601="word triads",4,IF(J601="generated words",4,IF(J601="word definition pairs",4,IF(J601="math problems",4,IF(J601="famous faces",4,IF(J601="famous names",4,IF(J601="famous voices",4,IF(J601="television programs",4,IF(J601="race horses",4,IF(J601="new vocabulary",4,IF(J601="sentences",5,IF(J601="concepts",5,IF(J601="ad slides",5,IF(J601="scenes",5,IF(J601="famous scenes",5,IF(J601="poems",6,IF(J601="walk",6,IF(J601="faces and events",6,IF(J601="events and names",6,IF(J601="flashbulb",7,IF(J601="stories",7,IF(J601="course material",7,IF(J601="autobiographical",7,IF(J601="novels",7,IF(J601="public events",7,"99"))))))))))))))))))))))))))))))))))))))))))))))</f>
        <v>7</v>
      </c>
      <c r="M601" s="69">
        <v>0</v>
      </c>
      <c r="N601" s="86">
        <v>3</v>
      </c>
      <c r="O601" s="69">
        <v>0</v>
      </c>
      <c r="P601" s="69"/>
      <c r="Q601" s="69" t="s">
        <v>182</v>
      </c>
      <c r="R601" s="69">
        <f>IF(Q601="Free Recall",1,IF(Q601="Cued Recall",2,IF(Q601="Recognition",3,IF(Q601="Multiple Choice",4,IF(Q601="Savings",5,IF(Q601="Stem Completion",6,IF(Q601="Fragment Completion",7,IF(Q601="anagram solution",8,IF(Q601="Matching",9,IF(Q601="Problem Solving",10,"99"))))))))))</f>
        <v>4</v>
      </c>
      <c r="S601" s="69" t="s">
        <v>15</v>
      </c>
      <c r="T601" s="92" t="s">
        <v>581</v>
      </c>
      <c r="U601" s="69">
        <f>IF(T601="within",1,0)</f>
        <v>1</v>
      </c>
      <c r="V601" s="92">
        <v>60</v>
      </c>
      <c r="W601" s="69">
        <f>F601*V601</f>
        <v>360</v>
      </c>
      <c r="X601" s="69">
        <v>4</v>
      </c>
      <c r="Y601" s="87">
        <f>AV600</f>
        <v>1800</v>
      </c>
      <c r="Z601" s="69" t="s">
        <v>140</v>
      </c>
      <c r="AA601" s="69">
        <f>60*60*24*7*4</f>
        <v>2419200</v>
      </c>
      <c r="AB601" s="69" t="str">
        <f>IF(AA601&lt;60,"1",IF(AA601&lt;=43200,"2",IF(AA601&lt;=777600,"3","4")))</f>
        <v>4</v>
      </c>
      <c r="AC601" s="72">
        <f>AVERAGE(AV600:DA600)</f>
        <v>778050</v>
      </c>
      <c r="AD601" s="69" t="str">
        <f>IF(AC601&lt;60,"1",IF(AC601&lt;=43200,"2",IF(AC601&lt;=777600,"3","4")))</f>
        <v>4</v>
      </c>
      <c r="AE601" s="87">
        <f>AA601-Y601</f>
        <v>2417400</v>
      </c>
      <c r="AF601" s="88">
        <f>AV601</f>
        <v>0.90253411306042508</v>
      </c>
      <c r="AG601" s="72">
        <f>((AW601-AV601)+(AX601-AW601)+(AY601-AX601))/3</f>
        <v>-6.4435780810048637E-2</v>
      </c>
      <c r="AH601" s="4"/>
      <c r="AI601" s="72">
        <f>RSQ(AV601:AY601,AV600:AY600)</f>
        <v>0.84279284444656577</v>
      </c>
      <c r="AJ601" s="110">
        <f>SLOPE(AV601:AY601,AV600:AY600)</f>
        <v>-9.2317218240727427E-8</v>
      </c>
      <c r="AK601" s="72">
        <f>INTERCEPT(AV601:AY601,AV600:AY600)</f>
        <v>0.92278582620710159</v>
      </c>
      <c r="AL601" s="72">
        <f>INDEX(LINEST(LN(AV601:AY601),LN(AV600:AY600),TRUE,TRUE),3,1)</f>
        <v>0.49319656352748104</v>
      </c>
      <c r="AM601" s="72">
        <f>INDEX(LINEST(LN(AV601:AY601),LN(AV600:AY600)),1)</f>
        <v>-3.0566825183116993E-2</v>
      </c>
      <c r="AN601" s="72">
        <f>EXP(INDEX(LINEST(LN(AV601:AY601),LN(AV600:AY600)),1,2))</f>
        <v>1.2091957695632403</v>
      </c>
      <c r="AO601" s="89">
        <f>INDEX(LINEST((AV601:AY601),LN(AV600:AY600),TRUE,TRUE),3,1)</f>
        <v>0.47507217279366926</v>
      </c>
      <c r="AP601" s="89">
        <f>INDEX(LINEST((AV601:AY601),LN(AV600:AY600)),1)</f>
        <v>-2.4940454015267403E-2</v>
      </c>
      <c r="AQ601" s="90">
        <f>INDEX(LINEST(LN(AV601:AY601),SQRT(AV600:AY600),TRUE,TRUE),3,1)</f>
        <v>0.86074966965334221</v>
      </c>
      <c r="AR601" s="117">
        <f>INDEX(LINEST(LN(AV601:AY601),SQRT((AV600:AY600))),1)</f>
        <v>-1.8974493219686773E-4</v>
      </c>
      <c r="AS601" s="91">
        <f>INDEX(LINEST(1/(AV601:AY601),1/(SQRT(AV600:AY600)),TRUE,TRUE),3,1)</f>
        <v>0.18638893798785794</v>
      </c>
      <c r="AT601" s="91">
        <f>INDEX(LINEST(1/(AV601:AY601),1/SQRT(AV600:AY600)),1)</f>
        <v>-6.517214132517295</v>
      </c>
      <c r="AU601" s="3"/>
      <c r="AV601" s="95">
        <v>0.90253411306042508</v>
      </c>
      <c r="AW601" s="95">
        <v>0.97238466536711676</v>
      </c>
      <c r="AX601" s="95">
        <v>0.81968810916179324</v>
      </c>
      <c r="AY601" s="95">
        <v>0.70922677063027917</v>
      </c>
      <c r="AZ601" s="73"/>
      <c r="BA601" s="53"/>
      <c r="BB601" s="53"/>
      <c r="BC601" s="53"/>
      <c r="BD601" s="53"/>
      <c r="BE601" s="53"/>
      <c r="BF601" s="53"/>
      <c r="BG601" s="53"/>
      <c r="BH601" s="53"/>
      <c r="BI601" s="53"/>
      <c r="BJ601" s="53"/>
      <c r="BK601" s="53"/>
      <c r="BL601" s="53"/>
      <c r="BM601" s="53"/>
      <c r="BN601" s="53"/>
      <c r="BO601" s="53"/>
      <c r="BP601" s="53"/>
      <c r="BQ601" s="53"/>
      <c r="BR601" s="53"/>
      <c r="BS601" s="53"/>
      <c r="BT601" s="53"/>
      <c r="BU601" s="53"/>
      <c r="BV601" s="53"/>
      <c r="BW601" s="53"/>
      <c r="BX601" s="53"/>
      <c r="BY601" s="53"/>
      <c r="BZ601" s="53"/>
      <c r="CA601" s="53"/>
      <c r="CB601" s="53"/>
      <c r="CC601" s="53"/>
      <c r="CD601" s="53"/>
      <c r="CE601" s="53"/>
      <c r="CF601" s="53"/>
      <c r="CG601" s="53"/>
      <c r="CH601" s="53"/>
      <c r="CI601" s="53"/>
      <c r="CJ601" s="53"/>
      <c r="CK601" s="53"/>
      <c r="CL601" s="53"/>
      <c r="CM601" s="53"/>
      <c r="CN601" s="53"/>
      <c r="CO601" s="53"/>
      <c r="CP601" s="53"/>
      <c r="CQ601" s="53"/>
      <c r="CR601" s="1"/>
      <c r="CS601" s="1"/>
      <c r="CT601" s="1"/>
      <c r="CU601" s="1"/>
    </row>
    <row r="602" spans="1:99" s="13" customFormat="1" ht="12" customHeight="1" x14ac:dyDescent="0.2">
      <c r="A602" s="65">
        <v>43509</v>
      </c>
      <c r="B602" s="1"/>
      <c r="C602" s="1"/>
      <c r="D602" s="60"/>
      <c r="E602" s="76"/>
      <c r="F602" s="60"/>
      <c r="G602" s="60"/>
      <c r="H602" s="60"/>
      <c r="I602" s="60"/>
      <c r="J602" s="60"/>
      <c r="K602" s="64"/>
      <c r="L602" s="64"/>
      <c r="M602" s="60"/>
      <c r="N602" s="60"/>
      <c r="O602" s="60"/>
      <c r="P602" s="60"/>
      <c r="Q602" s="60"/>
      <c r="R602" s="60"/>
      <c r="S602" s="60"/>
      <c r="T602" s="60"/>
      <c r="U602" s="60"/>
      <c r="V602" s="60"/>
      <c r="W602" s="60"/>
      <c r="X602" s="60"/>
      <c r="Y602" s="76"/>
      <c r="Z602" s="60"/>
      <c r="AA602" s="60"/>
      <c r="AB602" s="60"/>
      <c r="AC602" s="60"/>
      <c r="AD602" s="60"/>
      <c r="AE602" s="60"/>
      <c r="AF602" s="80"/>
      <c r="AG602" s="56"/>
      <c r="AH602" s="4"/>
      <c r="AI602" s="56"/>
      <c r="AJ602" s="109"/>
      <c r="AK602" s="56"/>
      <c r="AL602" s="56"/>
      <c r="AM602" s="56"/>
      <c r="AN602" s="56"/>
      <c r="AO602" s="56"/>
      <c r="AP602" s="56"/>
      <c r="AQ602" s="56"/>
      <c r="AR602" s="109"/>
      <c r="AS602" s="56"/>
      <c r="AT602" s="56"/>
      <c r="AU602" s="4"/>
      <c r="AV602" s="25">
        <v>30</v>
      </c>
      <c r="AW602" s="25">
        <f>60*60*1</f>
        <v>3600</v>
      </c>
      <c r="AX602" s="25">
        <f>60*60*2</f>
        <v>7200</v>
      </c>
      <c r="AY602" s="25">
        <f>60*60*4</f>
        <v>14400</v>
      </c>
      <c r="AZ602" s="25">
        <f>60*60*8</f>
        <v>28800</v>
      </c>
      <c r="BA602" s="42"/>
      <c r="BB602" s="4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1"/>
      <c r="CS602" s="1"/>
      <c r="CT602" s="1"/>
      <c r="CU602" s="1"/>
    </row>
    <row r="603" spans="1:99" s="13" customFormat="1" ht="12" customHeight="1" x14ac:dyDescent="0.2">
      <c r="A603" s="65">
        <v>43509</v>
      </c>
      <c r="B603" s="1" t="s">
        <v>245</v>
      </c>
      <c r="C603" s="1" t="s">
        <v>84</v>
      </c>
      <c r="D603" s="60">
        <v>1924</v>
      </c>
      <c r="E603" s="76">
        <v>1</v>
      </c>
      <c r="F603" s="60">
        <v>2</v>
      </c>
      <c r="G603" s="60">
        <v>2</v>
      </c>
      <c r="H603" s="60" t="s">
        <v>30</v>
      </c>
      <c r="I603" s="60" t="s">
        <v>620</v>
      </c>
      <c r="J603" s="60" t="s">
        <v>281</v>
      </c>
      <c r="K603" s="60">
        <f>IF(J603="syllables",1,IF(J603="trigrams",2,IF(J603="strings",3,IF(J603="visual array",4,IF(J603="characters",5,IF(J603="letters",6,IF(J603="free forms",7,IF(J603="odors",8,IF(J603="words",9,IF(J603="pictures",10,IF(J603="object pictures",11,IF(J603="faces",12,IF(J603="names",13,IF(J603="idioms",14,IF(J603="grades",15,IF(J603="syllable-digit pairs",16,IF(J603="trigram-word pairs",17,IF(J603="word-digit pairs",18,IF(J603="English-Swahili pairs",19,IF(J603="spatial position",20,IF(J603="word pairs",21,IF(J603="word triads",22,IF(J603="generated words",23,IF(J603="word definition pairs",24,IF(J603="math problems",25,IF(J603="famous faces",26,IF(J603="famous names",27,IF(J603="famous voices",28,IF(J603="television programs",29,IF(J603="race horses",30,IF(J603="new vocabulary",31,IF(J603="sentences",32,IF(J603="concepts",33,IF(J603="ad slides",34,IF(J603="scenes",35,IF(J603="famous scenes",36,IF(J603="poems",37,IF(J603="walk",38,IF(J603="faces and events",39,IF(J603="events and names",40,IF(J603="flashbulb",41,IF(J603="stories",42,IF(J603="course material",43,IF(J603="autobiographical",44,IF(J603="novels",45,IF(J603="public events",46,"99"))))))))))))))))))))))))))))))))))))))))))))))</f>
        <v>1</v>
      </c>
      <c r="L603" s="60">
        <f>IF(J603="syllables",1,IF(J603="trigrams",1,IF(J603="strings",1,IF(J603="visual array",1,IF(J603="characters",1,IF(J603="letters",1,IF(J603="free forms",1,IF(J603="odors",2,IF(J603="words",2,IF(J603="pictures",2,IF(J603="object pictures",2,IF(J603="faces",2,IF(J603="names",2,IF(J603="idioms","2",IF(J603="grades",2,IF(J603="syllable-digit pairs",3,IF(J603="trigram-word pairs",3,IF(J603="word-digit pairs",3,IF(J603="English-Swahili pairs",3,IF(J603="spatial position",3,IF(J603="word pairs",4,IF(J603="word triads",4,IF(J603="generated words",4,IF(J603="word definition pairs",4,IF(J603="math problems",4,IF(J603="famous faces",4,IF(J603="famous names",4,IF(J603="famous voices",4,IF(J603="television programs",4,IF(J603="race horses",4,IF(J603="new vocabulary",4,IF(J603="sentences",5,IF(J603="concepts",5,IF(J603="ad slides",5,IF(J603="scenes",5,IF(J603="famous scenes",5,IF(J603="poems",6,IF(J603="walk",6,IF(J603="faces and events",6,IF(J603="events and names",6,IF(J603="flashbulb",7,IF(J603="stories",7,IF(J603="course material",7,IF(J603="autobiographical",7,IF(J603="novels",7,IF(J603="public events",7,"99"))))))))))))))))))))))))))))))))))))))))))))))</f>
        <v>1</v>
      </c>
      <c r="M603" s="60">
        <v>1</v>
      </c>
      <c r="N603" s="60">
        <v>2</v>
      </c>
      <c r="O603" s="60">
        <v>0</v>
      </c>
      <c r="P603" s="60"/>
      <c r="Q603" s="60" t="s">
        <v>174</v>
      </c>
      <c r="R603" s="60">
        <f>IF(Q603="Free Recall",1,IF(Q603="Cued Recall",2,IF(Q603="Recognition",3,IF(Q603="Multiple Choice",4,IF(Q603="Savings",5,IF(Q603="Stem Completion",6,IF(Q603="Fragment Completion",7,IF(Q603="anagram solution",8,IF(Q603="Matching",9,IF(Q603="Problem Solving",10,"99"))))))))))</f>
        <v>1</v>
      </c>
      <c r="S603" s="60" t="s">
        <v>49</v>
      </c>
      <c r="T603" s="59" t="s">
        <v>581</v>
      </c>
      <c r="U603" s="60">
        <f>IF(T603="within",1,0)</f>
        <v>1</v>
      </c>
      <c r="V603" s="59">
        <v>50</v>
      </c>
      <c r="W603" s="60">
        <f>F603*V603</f>
        <v>100</v>
      </c>
      <c r="X603" s="60">
        <v>5</v>
      </c>
      <c r="Y603" s="76">
        <f>AV602</f>
        <v>30</v>
      </c>
      <c r="Z603" s="60" t="s">
        <v>85</v>
      </c>
      <c r="AA603" s="60">
        <v>28800</v>
      </c>
      <c r="AB603" s="60" t="str">
        <f>IF(AA603&lt;60,"1",IF(AA603&lt;=43200,"2",IF(AA603&lt;=777600,"3","4")))</f>
        <v>2</v>
      </c>
      <c r="AC603" s="56">
        <f>AVERAGE(AV602:DA602)</f>
        <v>10806</v>
      </c>
      <c r="AD603" s="60" t="str">
        <f>IF(AC603&lt;60,"1",IF(AC603&lt;=43200,"2",IF(AC603&lt;=777600,"3","4")))</f>
        <v>2</v>
      </c>
      <c r="AE603" s="76">
        <f>AA603-Y603</f>
        <v>28770</v>
      </c>
      <c r="AF603" s="80">
        <f>AV603</f>
        <v>1</v>
      </c>
      <c r="AG603" s="56">
        <f>((AW603-AV603)+(AX603-AW603)+(AY603-AX603)+(AZ603-AY603))/4</f>
        <v>-0.10875000000000001</v>
      </c>
      <c r="AH603" s="4"/>
      <c r="AI603" s="56">
        <f>RSQ(AV603:AZ603,AV602:AZ602)</f>
        <v>0.40656975914090321</v>
      </c>
      <c r="AJ603" s="109">
        <f>SLOPE(AV603:AZ603,AV602:AZ602)</f>
        <v>-1.0897460857376088E-5</v>
      </c>
      <c r="AK603" s="56">
        <f>INTERCEPT(AV603:AZ603,AV602:AZ602)</f>
        <v>0.79075796202480597</v>
      </c>
      <c r="AL603" s="56">
        <f>INDEX(LINEST(LN(AV603:AZ603),LN(AV602:AZ602),TRUE,TRUE),3,1)</f>
        <v>0.9083295202963324</v>
      </c>
      <c r="AM603" s="56">
        <f>INDEX(LINEST(LN(AV603:AZ603),LN(AV602:AZ602)),1)</f>
        <v>-9.1241439313960643E-2</v>
      </c>
      <c r="AN603" s="56">
        <f>EXP(INDEX(LINEST(LN(AV603:AZ603),LN(AV602:AZ602)),1,2))</f>
        <v>1.3642225204911356</v>
      </c>
      <c r="AO603" s="82">
        <f>INDEX(LINEST((AV603:AZ603),LN(AV602:AZ602),TRUE,TRUE),3,1)</f>
        <v>0.93605469127532082</v>
      </c>
      <c r="AP603" s="82">
        <f>INDEX(LINEST((AV603:AZ603),LN(AV602:AZ602)),1)</f>
        <v>-6.9193149033946869E-2</v>
      </c>
      <c r="AQ603" s="83">
        <f>INDEX(LINEST(LN(AV603:AZ603),SQRT(AV602:AZ602),TRUE,TRUE),3,1)</f>
        <v>0.69656681728221448</v>
      </c>
      <c r="AR603" s="116">
        <f>INDEX(LINEST(LN(AV603:AZ603),SQRT((AV602:AZ602))),1)</f>
        <v>-3.5120424509482388E-3</v>
      </c>
      <c r="AS603" s="84">
        <f>INDEX(LINEST(1/(AV603:AZ603),1/(SQRT(AV602:AZ602)),TRUE,TRUE),3,1)</f>
        <v>0.80644714783973348</v>
      </c>
      <c r="AT603" s="84">
        <f>INDEX(LINEST(1/(AV603:AZ603),1/SQRT(AV602:AZ602)),1)</f>
        <v>-4.2098932600715688</v>
      </c>
      <c r="AU603" s="3"/>
      <c r="AV603" s="53">
        <v>1</v>
      </c>
      <c r="AW603" s="53">
        <v>0.70499999999999996</v>
      </c>
      <c r="AX603" s="53">
        <v>0.54</v>
      </c>
      <c r="AY603" s="53">
        <v>0.55499999999999994</v>
      </c>
      <c r="AZ603" s="53">
        <v>0.56499999999999995</v>
      </c>
      <c r="BA603" s="42"/>
      <c r="BB603" s="42"/>
      <c r="BC603" s="42"/>
      <c r="BD603" s="42"/>
      <c r="BE603" s="42"/>
      <c r="BF603" s="42"/>
      <c r="BG603" s="4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1"/>
      <c r="CS603" s="1"/>
      <c r="CT603" s="1"/>
      <c r="CU603" s="1"/>
    </row>
    <row r="604" spans="1:99" s="13" customFormat="1" ht="12" customHeight="1" x14ac:dyDescent="0.2">
      <c r="A604" s="65">
        <v>43509</v>
      </c>
      <c r="B604" s="1"/>
      <c r="C604" s="1"/>
      <c r="D604" s="60"/>
      <c r="E604" s="76"/>
      <c r="F604" s="60"/>
      <c r="G604" s="60"/>
      <c r="H604" s="60"/>
      <c r="I604" s="60"/>
      <c r="J604" s="60"/>
      <c r="K604" s="64"/>
      <c r="L604" s="64"/>
      <c r="M604" s="60"/>
      <c r="N604" s="60"/>
      <c r="O604" s="60"/>
      <c r="P604" s="60"/>
      <c r="Q604" s="60"/>
      <c r="R604" s="60"/>
      <c r="S604" s="60"/>
      <c r="T604" s="60"/>
      <c r="U604" s="60"/>
      <c r="V604" s="60"/>
      <c r="W604" s="60"/>
      <c r="X604" s="60"/>
      <c r="Y604" s="76"/>
      <c r="Z604" s="60"/>
      <c r="AA604" s="60"/>
      <c r="AB604" s="60"/>
      <c r="AC604" s="60"/>
      <c r="AD604" s="60"/>
      <c r="AE604" s="60"/>
      <c r="AF604" s="80"/>
      <c r="AG604" s="56"/>
      <c r="AH604" s="4"/>
      <c r="AI604" s="56"/>
      <c r="AJ604" s="109"/>
      <c r="AK604" s="56"/>
      <c r="AL604" s="56"/>
      <c r="AM604" s="56"/>
      <c r="AN604" s="56"/>
      <c r="AO604" s="56"/>
      <c r="AP604" s="56"/>
      <c r="AQ604" s="82"/>
      <c r="AR604" s="115"/>
      <c r="AS604" s="82"/>
      <c r="AT604" s="82"/>
      <c r="AU604" s="4"/>
      <c r="AV604" s="25">
        <v>30</v>
      </c>
      <c r="AW604" s="25">
        <f>60*60*1</f>
        <v>3600</v>
      </c>
      <c r="AX604" s="25">
        <f>60*60*2</f>
        <v>7200</v>
      </c>
      <c r="AY604" s="25">
        <f>60*60*4</f>
        <v>14400</v>
      </c>
      <c r="AZ604" s="25">
        <f>60*60*8</f>
        <v>28800</v>
      </c>
      <c r="BA604" s="42"/>
      <c r="BB604" s="4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1"/>
      <c r="CS604" s="1"/>
      <c r="CT604" s="1"/>
      <c r="CU604" s="1"/>
    </row>
    <row r="605" spans="1:99" s="13" customFormat="1" ht="12" customHeight="1" x14ac:dyDescent="0.2">
      <c r="A605" s="65">
        <v>43509</v>
      </c>
      <c r="B605" s="1" t="s">
        <v>245</v>
      </c>
      <c r="C605" s="1" t="s">
        <v>84</v>
      </c>
      <c r="D605" s="60">
        <v>1924</v>
      </c>
      <c r="E605" s="76">
        <v>1</v>
      </c>
      <c r="F605" s="60">
        <v>2</v>
      </c>
      <c r="G605" s="60">
        <v>2</v>
      </c>
      <c r="H605" s="60" t="s">
        <v>30</v>
      </c>
      <c r="I605" s="60" t="s">
        <v>621</v>
      </c>
      <c r="J605" s="60" t="s">
        <v>281</v>
      </c>
      <c r="K605" s="60">
        <f>IF(J605="syllables",1,IF(J605="trigrams",2,IF(J605="strings",3,IF(J605="visual array",4,IF(J605="characters",5,IF(J605="letters",6,IF(J605="free forms",7,IF(J605="odors",8,IF(J605="words",9,IF(J605="pictures",10,IF(J605="object pictures",11,IF(J605="faces",12,IF(J605="names",13,IF(J605="idioms",14,IF(J605="grades",15,IF(J605="syllable-digit pairs",16,IF(J605="trigram-word pairs",17,IF(J605="word-digit pairs",18,IF(J605="English-Swahili pairs",19,IF(J605="spatial position",20,IF(J605="word pairs",21,IF(J605="word triads",22,IF(J605="generated words",23,IF(J605="word definition pairs",24,IF(J605="math problems",25,IF(J605="famous faces",26,IF(J605="famous names",27,IF(J605="famous voices",28,IF(J605="television programs",29,IF(J605="race horses",30,IF(J605="new vocabulary",31,IF(J605="sentences",32,IF(J605="concepts",33,IF(J605="ad slides",34,IF(J605="scenes",35,IF(J605="famous scenes",36,IF(J605="poems",37,IF(J605="walk",38,IF(J605="faces and events",39,IF(J605="events and names",40,IF(J605="flashbulb",41,IF(J605="stories",42,IF(J605="course material",43,IF(J605="autobiographical",44,IF(J605="novels",45,IF(J605="public events",46,"99"))))))))))))))))))))))))))))))))))))))))))))))</f>
        <v>1</v>
      </c>
      <c r="L605" s="60">
        <f>IF(J605="syllables",1,IF(J605="trigrams",1,IF(J605="strings",1,IF(J605="visual array",1,IF(J605="characters",1,IF(J605="letters",1,IF(J605="free forms",1,IF(J605="odors",2,IF(J605="words",2,IF(J605="pictures",2,IF(J605="object pictures",2,IF(J605="faces",2,IF(J605="names",2,IF(J605="idioms","2",IF(J605="grades",2,IF(J605="syllable-digit pairs",3,IF(J605="trigram-word pairs",3,IF(J605="word-digit pairs",3,IF(J605="English-Swahili pairs",3,IF(J605="spatial position",3,IF(J605="word pairs",4,IF(J605="word triads",4,IF(J605="generated words",4,IF(J605="word definition pairs",4,IF(J605="math problems",4,IF(J605="famous faces",4,IF(J605="famous names",4,IF(J605="famous voices",4,IF(J605="television programs",4,IF(J605="race horses",4,IF(J605="new vocabulary",4,IF(J605="sentences",5,IF(J605="concepts",5,IF(J605="ad slides",5,IF(J605="scenes",5,IF(J605="famous scenes",5,IF(J605="poems",6,IF(J605="walk",6,IF(J605="faces and events",6,IF(J605="events and names",6,IF(J605="flashbulb",7,IF(J605="stories",7,IF(J605="course material",7,IF(J605="autobiographical",7,IF(J605="novels",7,IF(J605="public events",7,"99"))))))))))))))))))))))))))))))))))))))))))))))</f>
        <v>1</v>
      </c>
      <c r="M605" s="60">
        <v>1</v>
      </c>
      <c r="N605" s="60">
        <v>2</v>
      </c>
      <c r="O605" s="60">
        <v>0</v>
      </c>
      <c r="P605" s="60"/>
      <c r="Q605" s="60" t="s">
        <v>174</v>
      </c>
      <c r="R605" s="60">
        <f>IF(Q605="Free Recall",1,IF(Q605="Cued Recall",2,IF(Q605="Recognition",3,IF(Q605="Multiple Choice",4,IF(Q605="Savings",5,IF(Q605="Stem Completion",6,IF(Q605="Fragment Completion",7,IF(Q605="anagram solution",8,IF(Q605="Matching",9,IF(Q605="Problem Solving",10,"99"))))))))))</f>
        <v>1</v>
      </c>
      <c r="S605" s="60" t="s">
        <v>49</v>
      </c>
      <c r="T605" s="59" t="s">
        <v>581</v>
      </c>
      <c r="U605" s="60">
        <f>IF(T605="within",1,0)</f>
        <v>1</v>
      </c>
      <c r="V605" s="59">
        <v>50</v>
      </c>
      <c r="W605" s="60">
        <f>F605*V605</f>
        <v>100</v>
      </c>
      <c r="X605" s="60">
        <v>5</v>
      </c>
      <c r="Y605" s="76">
        <f>AV604</f>
        <v>30</v>
      </c>
      <c r="Z605" s="60" t="s">
        <v>85</v>
      </c>
      <c r="AA605" s="60">
        <v>28800</v>
      </c>
      <c r="AB605" s="60" t="str">
        <f>IF(AA605&lt;60,"1",IF(AA605&lt;=43200,"2",IF(AA605&lt;=777600,"3","4")))</f>
        <v>2</v>
      </c>
      <c r="AC605" s="56">
        <f>AVERAGE(AV604:DA604)</f>
        <v>10806</v>
      </c>
      <c r="AD605" s="60" t="str">
        <f>IF(AC605&lt;60,"1",IF(AC605&lt;=43200,"2",IF(AC605&lt;=777600,"3","4")))</f>
        <v>2</v>
      </c>
      <c r="AE605" s="76">
        <f>AA605-Y605</f>
        <v>28770</v>
      </c>
      <c r="AF605" s="80">
        <f>AV605</f>
        <v>1</v>
      </c>
      <c r="AG605" s="56">
        <f>((AW605-AV605)+(AX605-AW605)+(AY605-AX605)+(AZ605-AY605))/4</f>
        <v>-0.22749999999999998</v>
      </c>
      <c r="AH605" s="4"/>
      <c r="AI605" s="56">
        <f>RSQ(AV605:AZ605,AV604:AZ604)</f>
        <v>0.63479729589999889</v>
      </c>
      <c r="AJ605" s="109">
        <f>SLOPE(AV605:AZ605,AV604:AZ604)</f>
        <v>-2.4684583018704369E-5</v>
      </c>
      <c r="AK605" s="56">
        <f>INTERCEPT(AV605:AZ605,AV604:AZ604)</f>
        <v>0.68374160410011942</v>
      </c>
      <c r="AL605" s="56">
        <f>INDEX(LINEST(LN(AV605:AZ605),LN(AV604:AZ604),TRUE,TRUE),3,1)</f>
        <v>0.79571509566027476</v>
      </c>
      <c r="AM605" s="56">
        <f>INDEX(LINEST(LN(AV605:AZ605),LN(AV604:AZ604)),1)</f>
        <v>-0.29160475075341569</v>
      </c>
      <c r="AN605" s="56">
        <f>EXP(INDEX(LINEST(LN(AV605:AZ605),LN(AV604:AZ604)),1,2))</f>
        <v>3.2600324377331007</v>
      </c>
      <c r="AO605" s="82">
        <f>INDEX(LINEST((AV605:AZ605),LN(AV604:AZ604),TRUE,TRUE),3,1)</f>
        <v>0.98860271268773592</v>
      </c>
      <c r="AP605" s="82">
        <f>INDEX(LINEST((AV605:AZ605),LN(AV604:AZ604)),1)</f>
        <v>-0.12890621680672018</v>
      </c>
      <c r="AQ605" s="83">
        <f>INDEX(LINEST(LN(AV605:AZ605),SQRT(AV604:AZ604),TRUE,TRUE),3,1)</f>
        <v>0.99189855243629432</v>
      </c>
      <c r="AR605" s="116">
        <f>INDEX(LINEST(LN(AV605:AZ605),SQRT((AV604:AZ604))),1)</f>
        <v>-1.4310584662116257E-2</v>
      </c>
      <c r="AS605" s="84">
        <f>INDEX(LINEST(1/(AV605:AZ605),1/(SQRT(AV604:AZ604)),TRUE,TRUE),3,1)</f>
        <v>0.26582349958721319</v>
      </c>
      <c r="AT605" s="84">
        <f>INDEX(LINEST(1/(AV605:AZ605),1/SQRT(AV604:AZ604)),1)</f>
        <v>-26.56491606923349</v>
      </c>
      <c r="AU605" s="3"/>
      <c r="AV605" s="53">
        <v>1</v>
      </c>
      <c r="AW605" s="53">
        <v>0.45999999999999996</v>
      </c>
      <c r="AX605" s="53">
        <v>0.31000000000000005</v>
      </c>
      <c r="AY605" s="53">
        <v>0.22499999999999998</v>
      </c>
      <c r="AZ605" s="53">
        <v>9.0000000000000011E-2</v>
      </c>
      <c r="BA605" s="42"/>
      <c r="BB605" s="4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1"/>
      <c r="CS605" s="1"/>
      <c r="CT605" s="1"/>
      <c r="CU605" s="1"/>
    </row>
    <row r="606" spans="1:99" ht="12" customHeight="1" x14ac:dyDescent="0.2">
      <c r="A606" s="68">
        <v>43509</v>
      </c>
      <c r="B606" s="94"/>
      <c r="C606" s="94"/>
      <c r="D606" s="92"/>
      <c r="E606" s="105"/>
      <c r="F606" s="92"/>
      <c r="G606" s="92"/>
      <c r="H606" s="92"/>
      <c r="I606" s="92"/>
      <c r="J606" s="92"/>
      <c r="K606" s="107"/>
      <c r="L606" s="107"/>
      <c r="M606" s="92"/>
      <c r="N606" s="92"/>
      <c r="O606" s="92"/>
      <c r="P606" s="92"/>
      <c r="Q606" s="92"/>
      <c r="R606" s="69"/>
      <c r="S606" s="69"/>
      <c r="T606" s="92"/>
      <c r="U606" s="69"/>
      <c r="V606" s="92"/>
      <c r="W606" s="69"/>
      <c r="X606" s="92"/>
      <c r="Y606" s="87"/>
      <c r="Z606" s="92"/>
      <c r="AA606" s="92"/>
      <c r="AB606" s="69"/>
      <c r="AC606" s="69"/>
      <c r="AD606" s="69"/>
      <c r="AE606" s="69"/>
      <c r="AF606" s="88"/>
      <c r="AG606" s="72"/>
      <c r="AH606" s="4"/>
      <c r="AI606" s="119"/>
      <c r="AJ606" s="120"/>
      <c r="AK606" s="119"/>
      <c r="AL606" s="119"/>
      <c r="AM606" s="119"/>
      <c r="AN606" s="108"/>
      <c r="AO606" s="108"/>
      <c r="AP606" s="108"/>
      <c r="AQ606" s="108"/>
      <c r="AR606" s="113"/>
      <c r="AS606" s="108"/>
      <c r="AT606" s="108"/>
      <c r="AU606" s="4"/>
      <c r="AV606" s="122">
        <f>10*60</f>
        <v>600</v>
      </c>
      <c r="AW606" s="98">
        <f>24*3600</f>
        <v>86400</v>
      </c>
      <c r="AX606" s="122">
        <f>7*24*3600</f>
        <v>604800</v>
      </c>
      <c r="AY606" s="122">
        <f>30*24*3600</f>
        <v>2592000</v>
      </c>
      <c r="AZ606" s="11" t="s">
        <v>516</v>
      </c>
      <c r="BA606" s="11"/>
      <c r="BB606" s="11"/>
      <c r="BC606" s="11"/>
      <c r="BD606" s="11"/>
      <c r="BE606" s="11"/>
      <c r="BF606" s="11"/>
      <c r="BG606" s="11"/>
      <c r="BH606" s="11"/>
      <c r="BI606" s="11"/>
      <c r="BJ606" s="11"/>
      <c r="BK606" s="11"/>
      <c r="BL606" s="11"/>
      <c r="BM606" s="11"/>
      <c r="BN606" s="11"/>
      <c r="BO606" s="11"/>
      <c r="BP606" s="11"/>
      <c r="BQ606" s="11"/>
      <c r="BR606" s="11"/>
      <c r="BS606" s="11"/>
      <c r="BT606" s="11"/>
      <c r="BU606" s="11"/>
      <c r="BV606" s="11"/>
      <c r="BW606" s="11"/>
      <c r="BX606" s="11"/>
      <c r="BY606" s="11"/>
      <c r="BZ606" s="11"/>
      <c r="CA606" s="11"/>
      <c r="CB606" s="11"/>
      <c r="CC606" s="11"/>
      <c r="CD606" s="11"/>
      <c r="CE606" s="11"/>
      <c r="CF606" s="11"/>
      <c r="CG606" s="11"/>
      <c r="CH606" s="11"/>
      <c r="CI606" s="11"/>
      <c r="CJ606" s="11"/>
      <c r="CK606" s="11"/>
      <c r="CL606" s="11"/>
      <c r="CM606" s="11"/>
      <c r="CN606" s="11"/>
      <c r="CO606" s="11"/>
      <c r="CP606" s="11"/>
      <c r="CQ606" s="11"/>
      <c r="CR606" s="15"/>
      <c r="CS606" s="15"/>
      <c r="CT606" s="15"/>
      <c r="CU606" s="15"/>
    </row>
    <row r="607" spans="1:99" ht="12" customHeight="1" x14ac:dyDescent="0.2">
      <c r="A607" s="68">
        <v>43509</v>
      </c>
      <c r="B607" s="94" t="s">
        <v>287</v>
      </c>
      <c r="C607" s="94" t="s">
        <v>70</v>
      </c>
      <c r="D607" s="92">
        <v>2008</v>
      </c>
      <c r="E607" s="105">
        <v>1</v>
      </c>
      <c r="F607" s="92">
        <v>128</v>
      </c>
      <c r="G607" s="92">
        <v>32</v>
      </c>
      <c r="H607" s="92" t="s">
        <v>38</v>
      </c>
      <c r="I607" s="92" t="s">
        <v>708</v>
      </c>
      <c r="J607" s="69" t="s">
        <v>715</v>
      </c>
      <c r="K607" s="69">
        <f>IF(J607="syllables",1,IF(J607="trigrams",2,IF(J607="strings",3,IF(J607="visual array",4,IF(J607="characters",5,IF(J607="letters",6,IF(J607="free forms",7,IF(J607="odors",8,IF(J607="words",9,IF(J607="pictures",10,IF(J607="object pictures",11,IF(J607="faces",12,IF(J607="names",13,IF(J607="idioms",14,IF(J607="grades",15,IF(J607="syllable-digit pairs",16,IF(J607="trigram-word pairs",17,IF(J607="word-digit pairs",18,IF(J607="English-Swahili pairs",19,IF(J607="spatial position",20,IF(J607="word pairs",21,IF(J607="word triads",22,IF(J607="generated words",23,IF(J607="word definition pairs",24,IF(J607="math problems",25,IF(J607="famous faces",26,IF(J607="famous names",27,IF(J607="famous voices",28,IF(J607="television programs",29,IF(J607="race horses",30,IF(J607="new vocabulary",31,IF(J607="sentences",32,IF(J607="concepts",33,IF(J607="ad slides",34,IF(J607="scenes",35,IF(J607="famous scenes",36,IF(J607="poems",37,IF(J607="walk",38,IF(J607="faces and events",39,IF(J607="events and names",40,IF(J607="flashbulb",41,IF(J607="stories",42,IF(J607="course material",43,IF(J607="autobiographical",44,IF(J607="novels",45,IF(J607="public events",46,"99"))))))))))))))))))))))))))))))))))))))))))))))</f>
        <v>38</v>
      </c>
      <c r="L607" s="69">
        <f>IF(J607="syllables",1,IF(J607="trigrams",1,IF(J607="strings",1,IF(J607="visual array",1,IF(J607="characters",1,IF(J607="letters",1,IF(J607="free forms",1,IF(J607="odors",2,IF(J607="words",2,IF(J607="pictures",2,IF(J607="object pictures",2,IF(J607="faces",2,IF(J607="names",2,IF(J607="idioms","2",IF(J607="grades",2,IF(J607="syllable-digit pairs",3,IF(J607="trigram-word pairs",3,IF(J607="word-digit pairs",3,IF(J607="English-Swahili pairs",3,IF(J607="spatial position",3,IF(J607="word pairs",4,IF(J607="word triads",4,IF(J607="generated words",4,IF(J607="word definition pairs",4,IF(J607="math problems",4,IF(J607="famous faces",4,IF(J607="famous names",4,IF(J607="famous voices",4,IF(J607="television programs",4,IF(J607="race horses",4,IF(J607="new vocabulary",4,IF(J607="sentences",5,IF(J607="concepts",5,IF(J607="ad slides",5,IF(J607="scenes",5,IF(J607="famous scenes",5,IF(J607="poems",6,IF(J607="walk",6,IF(J607="faces and events",6,IF(J607="events and names",6,IF(J607="flashbulb",7,IF(J607="stories",7,IF(J607="course material",7,IF(J607="autobiographical",7,IF(J607="novels",7,IF(J607="public events",7,"99"))))))))))))))))))))))))))))))))))))))))))))))</f>
        <v>6</v>
      </c>
      <c r="M607" s="92">
        <v>0</v>
      </c>
      <c r="N607" s="92">
        <v>2</v>
      </c>
      <c r="O607" s="92">
        <v>0</v>
      </c>
      <c r="P607" s="92"/>
      <c r="Q607" s="69" t="s">
        <v>174</v>
      </c>
      <c r="R607" s="69">
        <f>IF(Q607="Free Recall",1,IF(Q607="Cued Recall",2,IF(Q607="Recognition",3,IF(Q607="Multiple Choice",4,IF(Q607="Savings",5,IF(Q607="Stem Completion",6,IF(Q607="Fragment Completion",7,IF(Q607="anagram solution",8,IF(Q607="Matching",9,IF(Q607="Problem Solving",10,"99"))))))))))</f>
        <v>1</v>
      </c>
      <c r="S607" s="69" t="s">
        <v>49</v>
      </c>
      <c r="T607" s="92" t="s">
        <v>261</v>
      </c>
      <c r="U607" s="69">
        <f>IF(T607="within",1,0)</f>
        <v>0</v>
      </c>
      <c r="V607" s="92">
        <v>7</v>
      </c>
      <c r="W607" s="69">
        <f>F607*V607</f>
        <v>896</v>
      </c>
      <c r="X607" s="92">
        <v>4</v>
      </c>
      <c r="Y607" s="87">
        <f>AV606</f>
        <v>600</v>
      </c>
      <c r="Z607" s="92" t="s">
        <v>185</v>
      </c>
      <c r="AA607" s="92">
        <f>30*24*3600</f>
        <v>2592000</v>
      </c>
      <c r="AB607" s="69" t="str">
        <f>IF(AA607&lt;60,"1",IF(AA607&lt;=43200,"2",IF(AA607&lt;=777600,"3","4")))</f>
        <v>4</v>
      </c>
      <c r="AC607" s="72">
        <f>AVERAGE(AV606:DA606)</f>
        <v>820950</v>
      </c>
      <c r="AD607" s="69" t="str">
        <f>IF(AC607&lt;60,"1",IF(AC607&lt;=43200,"2",IF(AC607&lt;=777600,"3","4")))</f>
        <v>4</v>
      </c>
      <c r="AE607" s="87">
        <f>AA607-Y607</f>
        <v>2591400</v>
      </c>
      <c r="AF607" s="88">
        <f>AV607</f>
        <v>0.16</v>
      </c>
      <c r="AG607" s="72">
        <f>((AW607-AV607)+(AX607-AW607)+(AY607-AX607))/3</f>
        <v>-0.02</v>
      </c>
      <c r="AH607" s="4"/>
      <c r="AI607" s="72">
        <f>RSQ(AV607:AY607,AV606:AY606)</f>
        <v>0.974301249460645</v>
      </c>
      <c r="AJ607" s="110">
        <f>SLOPE(AV607:AY607,AV606:AY606)</f>
        <v>-2.5352621635718063E-8</v>
      </c>
      <c r="AK607" s="72">
        <f>INTERCEPT(AV607:AY607,AV606:AY606)</f>
        <v>0.16581323473184273</v>
      </c>
      <c r="AL607" s="72">
        <f>INDEX(LINEST(LN(AV607:AY607),LN(AV606:AY606),TRUE,TRUE),3,1)</f>
        <v>0.40837107875534878</v>
      </c>
      <c r="AM607" s="72">
        <f>INDEX(LINEST(LN(AV607:AY607),LN(AV606:AY606)),1)</f>
        <v>-4.1967432260001207E-2</v>
      </c>
      <c r="AN607" s="72">
        <f>EXP(INDEX(LINEST(LN(AV607:AY607),LN(AV606:AY606)),1,2))</f>
        <v>0.22990954882281231</v>
      </c>
      <c r="AO607" s="89">
        <f>INDEX(LINEST((AV607:AY607),LN(AV606:AY606),TRUE,TRUE),3,1)</f>
        <v>0.40902116950180967</v>
      </c>
      <c r="AP607" s="89">
        <f>INDEX(LINEST((AV607:AY607),LN(AV606:AY606)),1)</f>
        <v>-5.44431567781835E-3</v>
      </c>
      <c r="AQ607" s="90">
        <f>INDEX(LINEST(LN(AV607:AY607),SQRT(AV606:AY606),TRUE,TRUE),3,1)</f>
        <v>0.87499720120561086</v>
      </c>
      <c r="AR607" s="117">
        <f>INDEX(LINEST(LN(AV607:AY607),SQRT((AV606:AY606))),1)</f>
        <v>-3.2238437426126867E-4</v>
      </c>
      <c r="AS607" s="91">
        <f>INDEX(LINEST(1/(AV607:AY607),1/(SQRT(AV606:AY606)),TRUE,TRUE),3,1)</f>
        <v>0.14411314813708054</v>
      </c>
      <c r="AT607" s="91">
        <f>INDEX(LINEST(1/(AV607:AY607),1/SQRT(AV606:AY606)),1)</f>
        <v>-36.754729698797917</v>
      </c>
      <c r="AU607" s="3"/>
      <c r="AV607" s="121">
        <v>0.16</v>
      </c>
      <c r="AW607" s="97">
        <v>0.17</v>
      </c>
      <c r="AX607" s="121">
        <v>0.15</v>
      </c>
      <c r="AY607" s="121">
        <v>0.1</v>
      </c>
      <c r="AZ607" s="11"/>
      <c r="BA607" s="11"/>
      <c r="BB607" s="11"/>
      <c r="BC607" s="11"/>
      <c r="BD607" s="11"/>
      <c r="BE607" s="11"/>
      <c r="BF607" s="11"/>
      <c r="BG607" s="11"/>
      <c r="BH607" s="11"/>
      <c r="BI607" s="11"/>
      <c r="BJ607" s="11"/>
      <c r="BK607" s="11"/>
      <c r="BL607" s="11"/>
      <c r="BM607" s="11"/>
      <c r="BN607" s="11"/>
      <c r="BO607" s="11"/>
      <c r="BP607" s="11"/>
      <c r="BQ607" s="11"/>
      <c r="BR607" s="11"/>
      <c r="BS607" s="11"/>
      <c r="BT607" s="11"/>
      <c r="BU607" s="11"/>
      <c r="BV607" s="11"/>
      <c r="BW607" s="11"/>
      <c r="BX607" s="11"/>
      <c r="BY607" s="11"/>
      <c r="BZ607" s="11"/>
      <c r="CA607" s="11"/>
      <c r="CB607" s="11"/>
      <c r="CC607" s="11"/>
      <c r="CD607" s="11"/>
      <c r="CE607" s="11"/>
      <c r="CF607" s="11"/>
      <c r="CG607" s="11"/>
      <c r="CH607" s="11"/>
      <c r="CI607" s="11"/>
      <c r="CJ607" s="11"/>
      <c r="CK607" s="11"/>
      <c r="CL607" s="11"/>
      <c r="CM607" s="11"/>
      <c r="CN607" s="11"/>
      <c r="CO607" s="11"/>
      <c r="CP607" s="11"/>
      <c r="CQ607" s="11"/>
      <c r="CR607" s="15"/>
      <c r="CS607" s="15"/>
      <c r="CT607" s="15"/>
      <c r="CU607" s="15"/>
    </row>
    <row r="608" spans="1:99" ht="12" customHeight="1" x14ac:dyDescent="0.2">
      <c r="A608" s="68">
        <v>43509</v>
      </c>
      <c r="B608" s="94"/>
      <c r="C608" s="94"/>
      <c r="D608" s="92"/>
      <c r="E608" s="105"/>
      <c r="F608" s="92"/>
      <c r="G608" s="92"/>
      <c r="H608" s="92"/>
      <c r="I608" s="92"/>
      <c r="J608" s="92"/>
      <c r="K608" s="107"/>
      <c r="L608" s="107"/>
      <c r="M608" s="92"/>
      <c r="N608" s="92"/>
      <c r="O608" s="92"/>
      <c r="P608" s="92"/>
      <c r="Q608" s="92"/>
      <c r="R608" s="69"/>
      <c r="S608" s="69"/>
      <c r="T608" s="92"/>
      <c r="U608" s="69"/>
      <c r="V608" s="92"/>
      <c r="W608" s="69"/>
      <c r="X608" s="92"/>
      <c r="Y608" s="87"/>
      <c r="Z608" s="92"/>
      <c r="AA608" s="92"/>
      <c r="AB608" s="69"/>
      <c r="AC608" s="69"/>
      <c r="AD608" s="69"/>
      <c r="AE608" s="69"/>
      <c r="AF608" s="88"/>
      <c r="AG608" s="72"/>
      <c r="AH608" s="4"/>
      <c r="AI608" s="119"/>
      <c r="AJ608" s="120"/>
      <c r="AK608" s="119"/>
      <c r="AL608" s="119"/>
      <c r="AM608" s="119"/>
      <c r="AN608" s="108"/>
      <c r="AO608" s="108"/>
      <c r="AP608" s="108"/>
      <c r="AQ608" s="72"/>
      <c r="AR608" s="110"/>
      <c r="AS608" s="72"/>
      <c r="AT608" s="72"/>
      <c r="AU608" s="4"/>
      <c r="AV608" s="122">
        <f>10*60</f>
        <v>600</v>
      </c>
      <c r="AW608" s="98">
        <f>24*3600</f>
        <v>86400</v>
      </c>
      <c r="AX608" s="122">
        <f>7*24*3600</f>
        <v>604800</v>
      </c>
      <c r="AY608" s="122">
        <f>30*24*3600</f>
        <v>2592000</v>
      </c>
      <c r="AZ608" s="11"/>
      <c r="BA608" s="11"/>
      <c r="BB608" s="11"/>
      <c r="BC608" s="11"/>
      <c r="BD608" s="11"/>
      <c r="BE608" s="11"/>
      <c r="BF608" s="11"/>
      <c r="BG608" s="11"/>
      <c r="BH608" s="11"/>
      <c r="BI608" s="11"/>
      <c r="BJ608" s="11"/>
      <c r="BK608" s="11"/>
      <c r="BL608" s="11"/>
      <c r="BM608" s="11"/>
      <c r="BN608" s="11"/>
      <c r="BO608" s="11"/>
      <c r="BP608" s="11"/>
      <c r="BQ608" s="11"/>
      <c r="BR608" s="11"/>
      <c r="BS608" s="11"/>
      <c r="BT608" s="11"/>
      <c r="BU608" s="11"/>
      <c r="BV608" s="11"/>
      <c r="BW608" s="11"/>
      <c r="BX608" s="11"/>
      <c r="BY608" s="11"/>
      <c r="BZ608" s="11"/>
      <c r="CA608" s="11"/>
      <c r="CB608" s="11"/>
      <c r="CC608" s="11"/>
      <c r="CD608" s="11"/>
      <c r="CE608" s="11"/>
      <c r="CF608" s="11"/>
      <c r="CG608" s="11"/>
      <c r="CH608" s="11"/>
      <c r="CI608" s="11"/>
      <c r="CJ608" s="11"/>
      <c r="CK608" s="11"/>
      <c r="CL608" s="11"/>
      <c r="CM608" s="11"/>
      <c r="CN608" s="11"/>
      <c r="CO608" s="11"/>
      <c r="CP608" s="11"/>
      <c r="CQ608" s="11"/>
      <c r="CR608" s="15"/>
      <c r="CS608" s="15"/>
      <c r="CT608" s="15"/>
      <c r="CU608" s="15"/>
    </row>
    <row r="609" spans="1:99" ht="12" customHeight="1" x14ac:dyDescent="0.2">
      <c r="A609" s="68">
        <v>43509</v>
      </c>
      <c r="B609" s="94" t="s">
        <v>287</v>
      </c>
      <c r="C609" s="94" t="s">
        <v>70</v>
      </c>
      <c r="D609" s="92">
        <v>2008</v>
      </c>
      <c r="E609" s="105">
        <v>1</v>
      </c>
      <c r="F609" s="92">
        <v>128</v>
      </c>
      <c r="G609" s="92">
        <v>32</v>
      </c>
      <c r="H609" s="92" t="s">
        <v>38</v>
      </c>
      <c r="I609" s="92" t="s">
        <v>709</v>
      </c>
      <c r="J609" s="92" t="s">
        <v>715</v>
      </c>
      <c r="K609" s="69">
        <f>IF(J609="syllables",1,IF(J609="trigrams",2,IF(J609="strings",3,IF(J609="visual array",4,IF(J609="characters",5,IF(J609="letters",6,IF(J609="free forms",7,IF(J609="odors",8,IF(J609="words",9,IF(J609="pictures",10,IF(J609="object pictures",11,IF(J609="faces",12,IF(J609="names",13,IF(J609="idioms",14,IF(J609="grades",15,IF(J609="syllable-digit pairs",16,IF(J609="trigram-word pairs",17,IF(J609="word-digit pairs",18,IF(J609="English-Swahili pairs",19,IF(J609="spatial position",20,IF(J609="word pairs",21,IF(J609="word triads",22,IF(J609="generated words",23,IF(J609="word definition pairs",24,IF(J609="math problems",25,IF(J609="famous faces",26,IF(J609="famous names",27,IF(J609="famous voices",28,IF(J609="television programs",29,IF(J609="race horses",30,IF(J609="new vocabulary",31,IF(J609="sentences",32,IF(J609="concepts",33,IF(J609="ad slides",34,IF(J609="scenes",35,IF(J609="famous scenes",36,IF(J609="poems",37,IF(J609="walk",38,IF(J609="faces and events",39,IF(J609="events and names",40,IF(J609="flashbulb",41,IF(J609="stories",42,IF(J609="course material",43,IF(J609="autobiographical",44,IF(J609="novels",45,IF(J609="public events",46,"99"))))))))))))))))))))))))))))))))))))))))))))))</f>
        <v>38</v>
      </c>
      <c r="L609" s="69">
        <f>IF(J609="syllables",1,IF(J609="trigrams",1,IF(J609="strings",1,IF(J609="visual array",1,IF(J609="characters",1,IF(J609="letters",1,IF(J609="free forms",1,IF(J609="odors",2,IF(J609="words",2,IF(J609="pictures",2,IF(J609="object pictures",2,IF(J609="faces",2,IF(J609="names",2,IF(J609="idioms","2",IF(J609="grades",2,IF(J609="syllable-digit pairs",3,IF(J609="trigram-word pairs",3,IF(J609="word-digit pairs",3,IF(J609="English-Swahili pairs",3,IF(J609="spatial position",3,IF(J609="word pairs",4,IF(J609="word triads",4,IF(J609="generated words",4,IF(J609="word definition pairs",4,IF(J609="math problems",4,IF(J609="famous faces",4,IF(J609="famous names",4,IF(J609="famous voices",4,IF(J609="television programs",4,IF(J609="race horses",4,IF(J609="new vocabulary",4,IF(J609="sentences",5,IF(J609="concepts",5,IF(J609="ad slides",5,IF(J609="scenes",5,IF(J609="famous scenes",5,IF(J609="poems",6,IF(J609="walk",6,IF(J609="faces and events",6,IF(J609="events and names",6,IF(J609="flashbulb",7,IF(J609="stories",7,IF(J609="course material",7,IF(J609="autobiographical",7,IF(J609="novels",7,IF(J609="public events",7,"99"))))))))))))))))))))))))))))))))))))))))))))))</f>
        <v>6</v>
      </c>
      <c r="M609" s="92">
        <v>0</v>
      </c>
      <c r="N609" s="92">
        <v>2</v>
      </c>
      <c r="O609" s="92">
        <v>0</v>
      </c>
      <c r="P609" s="92"/>
      <c r="Q609" s="69" t="s">
        <v>174</v>
      </c>
      <c r="R609" s="69">
        <f>IF(Q609="Free Recall",1,IF(Q609="Cued Recall",2,IF(Q609="Recognition",3,IF(Q609="Multiple Choice",4,IF(Q609="Savings",5,IF(Q609="Stem Completion",6,IF(Q609="Fragment Completion",7,IF(Q609="anagram solution",8,IF(Q609="Matching",9,IF(Q609="Problem Solving",10,"99"))))))))))</f>
        <v>1</v>
      </c>
      <c r="S609" s="69" t="s">
        <v>49</v>
      </c>
      <c r="T609" s="92" t="s">
        <v>261</v>
      </c>
      <c r="U609" s="69">
        <f>IF(T609="within",1,0)</f>
        <v>0</v>
      </c>
      <c r="V609" s="92">
        <v>7</v>
      </c>
      <c r="W609" s="69">
        <f>F609*V609</f>
        <v>896</v>
      </c>
      <c r="X609" s="92">
        <v>4</v>
      </c>
      <c r="Y609" s="87">
        <f>AV608</f>
        <v>600</v>
      </c>
      <c r="Z609" s="92" t="s">
        <v>185</v>
      </c>
      <c r="AA609" s="92">
        <f>30*24*3600</f>
        <v>2592000</v>
      </c>
      <c r="AB609" s="69" t="str">
        <f>IF(AA609&lt;60,"1",IF(AA609&lt;=43200,"2",IF(AA609&lt;=777600,"3","4")))</f>
        <v>4</v>
      </c>
      <c r="AC609" s="72">
        <f>AVERAGE(AV608:DA608)</f>
        <v>820950</v>
      </c>
      <c r="AD609" s="69" t="str">
        <f>IF(AC609&lt;60,"1",IF(AC609&lt;=43200,"2",IF(AC609&lt;=777600,"3","4")))</f>
        <v>4</v>
      </c>
      <c r="AE609" s="87">
        <f>AA609-Y609</f>
        <v>2591400</v>
      </c>
      <c r="AF609" s="88">
        <f>AV609</f>
        <v>0.32</v>
      </c>
      <c r="AG609" s="133">
        <f>((AW609-AV609)+(AX609-AW609)+(AY609-AX609))/3</f>
        <v>0</v>
      </c>
      <c r="AH609" s="4"/>
      <c r="AI609" s="72">
        <f>RSQ(AV609:AY609,AV608:AY608)</f>
        <v>0.11262942318100104</v>
      </c>
      <c r="AJ609" s="110">
        <f>SLOPE(AV609:AY609,AV608:AY608)</f>
        <v>-5.3088385610447351E-9</v>
      </c>
      <c r="AK609" s="72">
        <f>INTERCEPT(AV609:AY609,AV608:AY608)</f>
        <v>0.33935829101668968</v>
      </c>
      <c r="AL609" s="72">
        <f>INDEX(LINEST(LN(AV609:AY609),LN(AV608:AY608),TRUE,TRUE),3,1)</f>
        <v>0.11750591898000989</v>
      </c>
      <c r="AM609" s="72">
        <f>INDEX(LINEST(LN(AV609:AY609),LN(AV608:AY608)),1)</f>
        <v>5.3067688601574148E-3</v>
      </c>
      <c r="AN609" s="72">
        <f>EXP(INDEX(LINEST(LN(AV609:AY609),LN(AV608:AY608)),1,2))</f>
        <v>0.31485168267438035</v>
      </c>
      <c r="AO609" s="89">
        <f>INDEX(LINEST((AV609:AY609),LN(AV608:AY608),TRUE,TRUE),3,1)</f>
        <v>0.11834439455057318</v>
      </c>
      <c r="AP609" s="89">
        <f>INDEX(LINEST((AV609:AY609),LN(AV608:AY608)),1)</f>
        <v>1.8036056852117435E-3</v>
      </c>
      <c r="AQ609" s="90">
        <f>INDEX(LINEST(LN(AV609:AY609),SQRT(AV608:AY608),TRUE,TRUE),3,1)</f>
        <v>9.1274553072635909E-3</v>
      </c>
      <c r="AR609" s="117">
        <f>INDEX(LINEST(LN(AV609:AY609),SQRT((AV608:AY608))),1)</f>
        <v>-7.7617723388779676E-6</v>
      </c>
      <c r="AS609" s="91">
        <f>INDEX(LINEST(1/(AV609:AY609),1/(SQRT(AV608:AY608)),TRUE,TRUE),3,1)</f>
        <v>0.26519129375293493</v>
      </c>
      <c r="AT609" s="91">
        <f>INDEX(LINEST(1/(AV609:AY609),1/SQRT(AV608:AY608)),1)</f>
        <v>4.4007654999941819</v>
      </c>
      <c r="AU609" s="3"/>
      <c r="AV609" s="121">
        <v>0.32</v>
      </c>
      <c r="AW609" s="97">
        <v>0.34</v>
      </c>
      <c r="AX609" s="121">
        <v>0.36</v>
      </c>
      <c r="AY609" s="121">
        <v>0.32</v>
      </c>
      <c r="AZ609" s="11"/>
      <c r="BA609" s="11"/>
      <c r="BB609" s="11"/>
      <c r="BC609" s="11"/>
      <c r="BD609" s="11"/>
      <c r="BE609" s="11"/>
      <c r="BF609" s="11"/>
      <c r="BG609" s="11"/>
      <c r="BH609" s="11"/>
      <c r="BI609" s="11"/>
      <c r="BJ609" s="11"/>
      <c r="BK609" s="11"/>
      <c r="BL609" s="11"/>
      <c r="BM609" s="11"/>
      <c r="BN609" s="11"/>
      <c r="BO609" s="11"/>
      <c r="BP609" s="11"/>
      <c r="BQ609" s="11"/>
      <c r="BR609" s="11"/>
      <c r="BS609" s="11"/>
      <c r="BT609" s="11"/>
      <c r="BU609" s="11"/>
      <c r="BV609" s="11"/>
      <c r="BW609" s="11"/>
      <c r="BX609" s="11"/>
      <c r="BY609" s="11"/>
      <c r="BZ609" s="11"/>
      <c r="CA609" s="11"/>
      <c r="CB609" s="11"/>
      <c r="CC609" s="11"/>
      <c r="CD609" s="11"/>
      <c r="CE609" s="11"/>
      <c r="CF609" s="11"/>
      <c r="CG609" s="11"/>
      <c r="CH609" s="11"/>
      <c r="CI609" s="11"/>
      <c r="CJ609" s="11"/>
      <c r="CK609" s="11"/>
      <c r="CL609" s="11"/>
      <c r="CM609" s="11"/>
      <c r="CN609" s="11"/>
      <c r="CO609" s="11"/>
      <c r="CP609" s="11"/>
      <c r="CQ609" s="11"/>
      <c r="CR609" s="15"/>
      <c r="CS609" s="15"/>
      <c r="CT609" s="15"/>
      <c r="CU609" s="15"/>
    </row>
    <row r="610" spans="1:99" ht="12" customHeight="1" x14ac:dyDescent="0.2">
      <c r="A610" s="68">
        <v>43509</v>
      </c>
      <c r="B610" s="94"/>
      <c r="C610" s="94"/>
      <c r="D610" s="92"/>
      <c r="E610" s="105"/>
      <c r="F610" s="92"/>
      <c r="G610" s="92"/>
      <c r="H610" s="92"/>
      <c r="I610" s="92"/>
      <c r="J610" s="92"/>
      <c r="K610" s="107"/>
      <c r="L610" s="107"/>
      <c r="M610" s="92"/>
      <c r="N610" s="92"/>
      <c r="O610" s="92"/>
      <c r="P610" s="92"/>
      <c r="Q610" s="92"/>
      <c r="R610" s="69"/>
      <c r="S610" s="69"/>
      <c r="T610" s="92"/>
      <c r="U610" s="69"/>
      <c r="V610" s="92"/>
      <c r="W610" s="69"/>
      <c r="X610" s="92"/>
      <c r="Y610" s="87"/>
      <c r="Z610" s="92"/>
      <c r="AA610" s="92"/>
      <c r="AB610" s="69"/>
      <c r="AC610" s="69"/>
      <c r="AD610" s="69"/>
      <c r="AE610" s="69"/>
      <c r="AF610" s="88"/>
      <c r="AG610" s="72"/>
      <c r="AH610" s="4"/>
      <c r="AI610" s="119"/>
      <c r="AJ610" s="120"/>
      <c r="AK610" s="119"/>
      <c r="AL610" s="119"/>
      <c r="AM610" s="119"/>
      <c r="AN610" s="108"/>
      <c r="AO610" s="108"/>
      <c r="AP610" s="108"/>
      <c r="AQ610" s="72"/>
      <c r="AR610" s="110"/>
      <c r="AS610" s="72"/>
      <c r="AT610" s="72"/>
      <c r="AU610" s="4"/>
      <c r="AV610" s="122">
        <f>10*60</f>
        <v>600</v>
      </c>
      <c r="AW610" s="98">
        <f>24*3600</f>
        <v>86400</v>
      </c>
      <c r="AX610" s="122">
        <f>7*24*3600</f>
        <v>604800</v>
      </c>
      <c r="AY610" s="122">
        <f>30*24*3600</f>
        <v>2592000</v>
      </c>
      <c r="AZ610" s="11"/>
      <c r="BA610" s="11"/>
      <c r="BB610" s="11"/>
      <c r="BC610" s="11"/>
      <c r="BD610" s="11"/>
      <c r="BE610" s="11"/>
      <c r="BF610" s="11"/>
      <c r="BG610" s="11"/>
      <c r="BH610" s="11"/>
      <c r="BI610" s="11"/>
      <c r="BJ610" s="11"/>
      <c r="BK610" s="11"/>
      <c r="BL610" s="11"/>
      <c r="BM610" s="11"/>
      <c r="BN610" s="11"/>
      <c r="BO610" s="11"/>
      <c r="BP610" s="11"/>
      <c r="BQ610" s="11"/>
      <c r="BR610" s="11"/>
      <c r="BS610" s="11"/>
      <c r="BT610" s="11"/>
      <c r="BU610" s="11"/>
      <c r="BV610" s="11"/>
      <c r="BW610" s="11"/>
      <c r="BX610" s="11"/>
      <c r="BY610" s="11"/>
      <c r="BZ610" s="11"/>
      <c r="CA610" s="11"/>
      <c r="CB610" s="11"/>
      <c r="CC610" s="11"/>
      <c r="CD610" s="11"/>
      <c r="CE610" s="11"/>
      <c r="CF610" s="11"/>
      <c r="CG610" s="11"/>
      <c r="CH610" s="11"/>
      <c r="CI610" s="11"/>
      <c r="CJ610" s="11"/>
      <c r="CK610" s="11"/>
      <c r="CL610" s="11"/>
      <c r="CM610" s="11"/>
      <c r="CN610" s="11"/>
      <c r="CO610" s="11"/>
      <c r="CP610" s="11"/>
      <c r="CQ610" s="11"/>
      <c r="CR610" s="15"/>
      <c r="CS610" s="15"/>
      <c r="CT610" s="15"/>
      <c r="CU610" s="15"/>
    </row>
    <row r="611" spans="1:99" ht="12" customHeight="1" x14ac:dyDescent="0.2">
      <c r="A611" s="68">
        <v>43509</v>
      </c>
      <c r="B611" s="94" t="s">
        <v>287</v>
      </c>
      <c r="C611" s="94" t="s">
        <v>70</v>
      </c>
      <c r="D611" s="92">
        <v>2008</v>
      </c>
      <c r="E611" s="105">
        <v>1</v>
      </c>
      <c r="F611" s="92">
        <v>128</v>
      </c>
      <c r="G611" s="92">
        <v>32</v>
      </c>
      <c r="H611" s="92" t="s">
        <v>38</v>
      </c>
      <c r="I611" s="92" t="s">
        <v>710</v>
      </c>
      <c r="J611" s="92" t="s">
        <v>715</v>
      </c>
      <c r="K611" s="69">
        <f>IF(J611="syllables",1,IF(J611="trigrams",2,IF(J611="strings",3,IF(J611="visual array",4,IF(J611="characters",5,IF(J611="letters",6,IF(J611="free forms",7,IF(J611="odors",8,IF(J611="words",9,IF(J611="pictures",10,IF(J611="object pictures",11,IF(J611="faces",12,IF(J611="names",13,IF(J611="idioms",14,IF(J611="grades",15,IF(J611="syllable-digit pairs",16,IF(J611="trigram-word pairs",17,IF(J611="word-digit pairs",18,IF(J611="English-Swahili pairs",19,IF(J611="spatial position",20,IF(J611="word pairs",21,IF(J611="word triads",22,IF(J611="generated words",23,IF(J611="word definition pairs",24,IF(J611="math problems",25,IF(J611="famous faces",26,IF(J611="famous names",27,IF(J611="famous voices",28,IF(J611="television programs",29,IF(J611="race horses",30,IF(J611="new vocabulary",31,IF(J611="sentences",32,IF(J611="concepts",33,IF(J611="ad slides",34,IF(J611="scenes",35,IF(J611="famous scenes",36,IF(J611="poems",37,IF(J611="walk",38,IF(J611="faces and events",39,IF(J611="events and names",40,IF(J611="flashbulb",41,IF(J611="stories",42,IF(J611="course material",43,IF(J611="autobiographical",44,IF(J611="novels",45,IF(J611="public events",46,"99"))))))))))))))))))))))))))))))))))))))))))))))</f>
        <v>38</v>
      </c>
      <c r="L611" s="69">
        <f>IF(J611="syllables",1,IF(J611="trigrams",1,IF(J611="strings",1,IF(J611="visual array",1,IF(J611="characters",1,IF(J611="letters",1,IF(J611="free forms",1,IF(J611="odors",2,IF(J611="words",2,IF(J611="pictures",2,IF(J611="object pictures",2,IF(J611="faces",2,IF(J611="names",2,IF(J611="idioms","2",IF(J611="grades",2,IF(J611="syllable-digit pairs",3,IF(J611="trigram-word pairs",3,IF(J611="word-digit pairs",3,IF(J611="English-Swahili pairs",3,IF(J611="spatial position",3,IF(J611="word pairs",4,IF(J611="word triads",4,IF(J611="generated words",4,IF(J611="word definition pairs",4,IF(J611="math problems",4,IF(J611="famous faces",4,IF(J611="famous names",4,IF(J611="famous voices",4,IF(J611="television programs",4,IF(J611="race horses",4,IF(J611="new vocabulary",4,IF(J611="sentences",5,IF(J611="concepts",5,IF(J611="ad slides",5,IF(J611="scenes",5,IF(J611="famous scenes",5,IF(J611="poems",6,IF(J611="walk",6,IF(J611="faces and events",6,IF(J611="events and names",6,IF(J611="flashbulb",7,IF(J611="stories",7,IF(J611="course material",7,IF(J611="autobiographical",7,IF(J611="novels",7,IF(J611="public events",7,"99"))))))))))))))))))))))))))))))))))))))))))))))</f>
        <v>6</v>
      </c>
      <c r="M611" s="92">
        <v>0</v>
      </c>
      <c r="N611" s="92">
        <v>2</v>
      </c>
      <c r="O611" s="92">
        <v>0</v>
      </c>
      <c r="P611" s="92"/>
      <c r="Q611" s="69" t="s">
        <v>174</v>
      </c>
      <c r="R611" s="69">
        <f>IF(Q611="Free Recall",1,IF(Q611="Cued Recall",2,IF(Q611="Recognition",3,IF(Q611="Multiple Choice",4,IF(Q611="Savings",5,IF(Q611="Stem Completion",6,IF(Q611="Fragment Completion",7,IF(Q611="anagram solution",8,IF(Q611="Matching",9,IF(Q611="Problem Solving",10,"99"))))))))))</f>
        <v>1</v>
      </c>
      <c r="S611" s="69" t="s">
        <v>49</v>
      </c>
      <c r="T611" s="92" t="s">
        <v>261</v>
      </c>
      <c r="U611" s="69">
        <f>IF(T611="within",1,0)</f>
        <v>0</v>
      </c>
      <c r="V611" s="92">
        <v>7</v>
      </c>
      <c r="W611" s="69">
        <f>F611*V611</f>
        <v>896</v>
      </c>
      <c r="X611" s="92">
        <v>4</v>
      </c>
      <c r="Y611" s="87">
        <f>AV610</f>
        <v>600</v>
      </c>
      <c r="Z611" s="92" t="s">
        <v>185</v>
      </c>
      <c r="AA611" s="92">
        <f>30*24*3600</f>
        <v>2592000</v>
      </c>
      <c r="AB611" s="69" t="str">
        <f>IF(AA611&lt;60,"1",IF(AA611&lt;=43200,"2",IF(AA611&lt;=777600,"3","4")))</f>
        <v>4</v>
      </c>
      <c r="AC611" s="72">
        <f>AVERAGE(AV610:DA610)</f>
        <v>820950</v>
      </c>
      <c r="AD611" s="69" t="str">
        <f>IF(AC611&lt;60,"1",IF(AC611&lt;=43200,"2",IF(AC611&lt;=777600,"3","4")))</f>
        <v>4</v>
      </c>
      <c r="AE611" s="87">
        <f>AA611-Y611</f>
        <v>2591400</v>
      </c>
      <c r="AF611" s="88">
        <f>AV611</f>
        <v>0.18</v>
      </c>
      <c r="AG611" s="72">
        <f>((AW611-AV611)+(AX611-AW611)+(AY611-AX611))/3</f>
        <v>-2.3333333333333331E-2</v>
      </c>
      <c r="AH611" s="4"/>
      <c r="AI611" s="72">
        <f>RSQ(AV611:AY611,AV610:AY610)</f>
        <v>0.61419082675250525</v>
      </c>
      <c r="AJ611" s="110">
        <f>SLOPE(AV611:AY611,AV610:AY610)</f>
        <v>-1.9059679050373741E-8</v>
      </c>
      <c r="AK611" s="72">
        <f>INTERCEPT(AV611:AY611,AV610:AY610)</f>
        <v>0.15564704351640435</v>
      </c>
      <c r="AL611" s="72">
        <f>INDEX(LINEST(LN(AV611:AY611),LN(AV610:AY610),TRUE,TRUE),3,1)</f>
        <v>0.9679827616941209</v>
      </c>
      <c r="AM611" s="72">
        <f>INDEX(LINEST(LN(AV611:AY611),LN(AV610:AY610)),1)</f>
        <v>-5.5159960492932612E-2</v>
      </c>
      <c r="AN611" s="72">
        <f>EXP(INDEX(LINEST(LN(AV611:AY611),LN(AV610:AY610)),1,2))</f>
        <v>0.25926365022647396</v>
      </c>
      <c r="AO611" s="89">
        <f>INDEX(LINEST((AV611:AY611),LN(AV610:AY610),TRUE,TRUE),3,1)</f>
        <v>0.98593797398143912</v>
      </c>
      <c r="AP611" s="89">
        <f>INDEX(LINEST((AV611:AY611),LN(AV610:AY610)),1)</f>
        <v>-8.0035539718811468E-3</v>
      </c>
      <c r="AQ611" s="90">
        <f>INDEX(LINEST(LN(AV611:AY611),SQRT(AV610:AY610),TRUE,TRUE),3,1)</f>
        <v>0.86001122725115164</v>
      </c>
      <c r="AR611" s="117">
        <f>INDEX(LINEST(LN(AV611:AY611),SQRT((AV610:AY610))),1)</f>
        <v>-2.7285250016351653E-4</v>
      </c>
      <c r="AS611" s="91">
        <f>INDEX(LINEST(1/(AV611:AY611),1/(SQRT(AV610:AY610)),TRUE,TRUE),3,1)</f>
        <v>0.7317543000104294</v>
      </c>
      <c r="AT611" s="91">
        <f>INDEX(LINEST(1/(AV611:AY611),1/SQRT(AV610:AY610)),1)</f>
        <v>-63.911195845707638</v>
      </c>
      <c r="AU611" s="3"/>
      <c r="AV611" s="121">
        <v>0.18</v>
      </c>
      <c r="AW611" s="97">
        <v>0.14000000000000001</v>
      </c>
      <c r="AX611" s="121">
        <v>0.13</v>
      </c>
      <c r="AY611" s="121">
        <v>0.11</v>
      </c>
      <c r="AZ611" s="11"/>
      <c r="BA611" s="11"/>
      <c r="BB611" s="11"/>
      <c r="BC611" s="11"/>
      <c r="BD611" s="11"/>
      <c r="BE611" s="11"/>
      <c r="BF611" s="11"/>
      <c r="BG611" s="11"/>
      <c r="BH611" s="11"/>
      <c r="BI611" s="11"/>
      <c r="BJ611" s="11"/>
      <c r="BK611" s="11"/>
      <c r="BL611" s="11"/>
      <c r="BM611" s="11"/>
      <c r="BN611" s="11"/>
      <c r="BO611" s="11"/>
      <c r="BP611" s="11"/>
      <c r="BQ611" s="11"/>
      <c r="BR611" s="11"/>
      <c r="BS611" s="11"/>
      <c r="BT611" s="11"/>
      <c r="BU611" s="11"/>
      <c r="BV611" s="11"/>
      <c r="BW611" s="11"/>
      <c r="BX611" s="11"/>
      <c r="BY611" s="11"/>
      <c r="BZ611" s="11"/>
      <c r="CA611" s="11"/>
      <c r="CB611" s="11"/>
      <c r="CC611" s="11"/>
      <c r="CD611" s="11"/>
      <c r="CE611" s="11"/>
      <c r="CF611" s="11"/>
      <c r="CG611" s="11"/>
      <c r="CH611" s="11"/>
      <c r="CI611" s="11"/>
      <c r="CJ611" s="11"/>
      <c r="CK611" s="11"/>
      <c r="CL611" s="11"/>
      <c r="CM611" s="11"/>
      <c r="CN611" s="11"/>
      <c r="CO611" s="11"/>
      <c r="CP611" s="11"/>
      <c r="CQ611" s="11"/>
      <c r="CR611" s="15"/>
      <c r="CS611" s="15"/>
      <c r="CT611" s="15"/>
      <c r="CU611" s="15"/>
    </row>
    <row r="612" spans="1:99" ht="12" customHeight="1" x14ac:dyDescent="0.2">
      <c r="A612" s="68">
        <v>43509</v>
      </c>
      <c r="B612" s="94"/>
      <c r="C612" s="94"/>
      <c r="D612" s="92"/>
      <c r="E612" s="105"/>
      <c r="F612" s="92"/>
      <c r="G612" s="92"/>
      <c r="H612" s="92"/>
      <c r="I612" s="92"/>
      <c r="J612" s="92"/>
      <c r="K612" s="107"/>
      <c r="L612" s="107"/>
      <c r="M612" s="92"/>
      <c r="N612" s="92"/>
      <c r="O612" s="92"/>
      <c r="P612" s="92"/>
      <c r="Q612" s="92"/>
      <c r="R612" s="69"/>
      <c r="S612" s="69"/>
      <c r="T612" s="92"/>
      <c r="U612" s="69"/>
      <c r="V612" s="92"/>
      <c r="W612" s="69"/>
      <c r="X612" s="92"/>
      <c r="Y612" s="87"/>
      <c r="Z612" s="92"/>
      <c r="AA612" s="92"/>
      <c r="AB612" s="69"/>
      <c r="AC612" s="69"/>
      <c r="AD612" s="69"/>
      <c r="AE612" s="69"/>
      <c r="AF612" s="88"/>
      <c r="AG612" s="72"/>
      <c r="AH612" s="4"/>
      <c r="AI612" s="119"/>
      <c r="AJ612" s="120"/>
      <c r="AK612" s="119"/>
      <c r="AL612" s="119"/>
      <c r="AM612" s="119"/>
      <c r="AN612" s="108"/>
      <c r="AO612" s="108"/>
      <c r="AP612" s="108"/>
      <c r="AQ612" s="72"/>
      <c r="AR612" s="110"/>
      <c r="AS612" s="72"/>
      <c r="AT612" s="72"/>
      <c r="AU612" s="4"/>
      <c r="AV612" s="122">
        <f>10*60</f>
        <v>600</v>
      </c>
      <c r="AW612" s="98">
        <f>24*3600</f>
        <v>86400</v>
      </c>
      <c r="AX612" s="122">
        <f>7*24*3600</f>
        <v>604800</v>
      </c>
      <c r="AY612" s="122">
        <f>30*24*3600</f>
        <v>2592000</v>
      </c>
      <c r="AZ612" s="11"/>
      <c r="BA612" s="11"/>
      <c r="BB612" s="11"/>
      <c r="BC612" s="11"/>
      <c r="BD612" s="11"/>
      <c r="BE612" s="11"/>
      <c r="BF612" s="11"/>
      <c r="BG612" s="11"/>
      <c r="BH612" s="11"/>
      <c r="BI612" s="11"/>
      <c r="BJ612" s="11"/>
      <c r="BK612" s="11"/>
      <c r="BL612" s="11"/>
      <c r="BM612" s="11"/>
      <c r="BN612" s="11"/>
      <c r="BO612" s="11"/>
      <c r="BP612" s="11"/>
      <c r="BQ612" s="11"/>
      <c r="BR612" s="11"/>
      <c r="BS612" s="11"/>
      <c r="BT612" s="11"/>
      <c r="BU612" s="11"/>
      <c r="BV612" s="11"/>
      <c r="BW612" s="11"/>
      <c r="BX612" s="11"/>
      <c r="BY612" s="11"/>
      <c r="BZ612" s="11"/>
      <c r="CA612" s="11"/>
      <c r="CB612" s="11"/>
      <c r="CC612" s="11"/>
      <c r="CD612" s="11"/>
      <c r="CE612" s="11"/>
      <c r="CF612" s="11"/>
      <c r="CG612" s="11"/>
      <c r="CH612" s="11"/>
      <c r="CI612" s="11"/>
      <c r="CJ612" s="11"/>
      <c r="CK612" s="11"/>
      <c r="CL612" s="11"/>
      <c r="CM612" s="11"/>
      <c r="CN612" s="11"/>
      <c r="CO612" s="11"/>
      <c r="CP612" s="11"/>
      <c r="CQ612" s="11"/>
      <c r="CR612" s="15"/>
      <c r="CS612" s="15"/>
      <c r="CT612" s="15"/>
      <c r="CU612" s="15"/>
    </row>
    <row r="613" spans="1:99" ht="12" customHeight="1" x14ac:dyDescent="0.2">
      <c r="A613" s="68">
        <v>43509</v>
      </c>
      <c r="B613" s="94" t="s">
        <v>287</v>
      </c>
      <c r="C613" s="94" t="s">
        <v>70</v>
      </c>
      <c r="D613" s="92">
        <v>2008</v>
      </c>
      <c r="E613" s="105">
        <v>1</v>
      </c>
      <c r="F613" s="92">
        <v>128</v>
      </c>
      <c r="G613" s="92">
        <v>32</v>
      </c>
      <c r="H613" s="92" t="s">
        <v>38</v>
      </c>
      <c r="I613" s="92" t="s">
        <v>916</v>
      </c>
      <c r="J613" s="92" t="s">
        <v>715</v>
      </c>
      <c r="K613" s="69">
        <f>IF(J613="syllables",1,IF(J613="trigrams",2,IF(J613="strings",3,IF(J613="visual array",4,IF(J613="characters",5,IF(J613="letters",6,IF(J613="free forms",7,IF(J613="odors",8,IF(J613="words",9,IF(J613="pictures",10,IF(J613="object pictures",11,IF(J613="faces",12,IF(J613="names",13,IF(J613="idioms",14,IF(J613="grades",15,IF(J613="syllable-digit pairs",16,IF(J613="trigram-word pairs",17,IF(J613="word-digit pairs",18,IF(J613="English-Swahili pairs",19,IF(J613="spatial position",20,IF(J613="word pairs",21,IF(J613="word triads",22,IF(J613="generated words",23,IF(J613="word definition pairs",24,IF(J613="math problems",25,IF(J613="famous faces",26,IF(J613="famous names",27,IF(J613="famous voices",28,IF(J613="television programs",29,IF(J613="race horses",30,IF(J613="new vocabulary",31,IF(J613="sentences",32,IF(J613="concepts",33,IF(J613="ad slides",34,IF(J613="scenes",35,IF(J613="famous scenes",36,IF(J613="poems",37,IF(J613="walk",38,IF(J613="faces and events",39,IF(J613="events and names",40,IF(J613="flashbulb",41,IF(J613="stories",42,IF(J613="course material",43,IF(J613="autobiographical",44,IF(J613="novels",45,IF(J613="public events",46,"99"))))))))))))))))))))))))))))))))))))))))))))))</f>
        <v>38</v>
      </c>
      <c r="L613" s="69">
        <f>IF(J613="syllables",1,IF(J613="trigrams",1,IF(J613="strings",1,IF(J613="visual array",1,IF(J613="characters",1,IF(J613="letters",1,IF(J613="free forms",1,IF(J613="odors",2,IF(J613="words",2,IF(J613="pictures",2,IF(J613="object pictures",2,IF(J613="faces",2,IF(J613="names",2,IF(J613="idioms","2",IF(J613="grades",2,IF(J613="syllable-digit pairs",3,IF(J613="trigram-word pairs",3,IF(J613="word-digit pairs",3,IF(J613="English-Swahili pairs",3,IF(J613="spatial position",3,IF(J613="word pairs",4,IF(J613="word triads",4,IF(J613="generated words",4,IF(J613="word definition pairs",4,IF(J613="math problems",4,IF(J613="famous faces",4,IF(J613="famous names",4,IF(J613="famous voices",4,IF(J613="television programs",4,IF(J613="race horses",4,IF(J613="new vocabulary",4,IF(J613="sentences",5,IF(J613="concepts",5,IF(J613="ad slides",5,IF(J613="scenes",5,IF(J613="famous scenes",5,IF(J613="poems",6,IF(J613="walk",6,IF(J613="faces and events",6,IF(J613="events and names",6,IF(J613="flashbulb",7,IF(J613="stories",7,IF(J613="course material",7,IF(J613="autobiographical",7,IF(J613="novels",7,IF(J613="public events",7,"99"))))))))))))))))))))))))))))))))))))))))))))))</f>
        <v>6</v>
      </c>
      <c r="M613" s="92">
        <v>0</v>
      </c>
      <c r="N613" s="92">
        <v>2</v>
      </c>
      <c r="O613" s="92">
        <v>0</v>
      </c>
      <c r="P613" s="92"/>
      <c r="Q613" s="69" t="s">
        <v>174</v>
      </c>
      <c r="R613" s="69">
        <f>IF(Q613="Free Recall",1,IF(Q613="Cued Recall",2,IF(Q613="Recognition",3,IF(Q613="Multiple Choice",4,IF(Q613="Savings",5,IF(Q613="Stem Completion",6,IF(Q613="Fragment Completion",7,IF(Q613="anagram solution",8,IF(Q613="Matching",9,IF(Q613="Problem Solving",10,"99"))))))))))</f>
        <v>1</v>
      </c>
      <c r="S613" s="69" t="s">
        <v>49</v>
      </c>
      <c r="T613" s="92" t="s">
        <v>261</v>
      </c>
      <c r="U613" s="69">
        <f>IF(T613="within",1,0)</f>
        <v>0</v>
      </c>
      <c r="V613" s="92">
        <v>7</v>
      </c>
      <c r="W613" s="69">
        <f>F613*V613</f>
        <v>896</v>
      </c>
      <c r="X613" s="92">
        <v>4</v>
      </c>
      <c r="Y613" s="87">
        <f>AV612</f>
        <v>600</v>
      </c>
      <c r="Z613" s="92" t="s">
        <v>185</v>
      </c>
      <c r="AA613" s="92">
        <f>30*24*3600</f>
        <v>2592000</v>
      </c>
      <c r="AB613" s="69" t="str">
        <f>IF(AA613&lt;60,"1",IF(AA613&lt;=43200,"2",IF(AA613&lt;=777600,"3","4")))</f>
        <v>4</v>
      </c>
      <c r="AC613" s="72">
        <f>AVERAGE(AV612:DA612)</f>
        <v>820950</v>
      </c>
      <c r="AD613" s="69" t="str">
        <f>IF(AC613&lt;60,"1",IF(AC613&lt;=43200,"2",IF(AC613&lt;=777600,"3","4")))</f>
        <v>4</v>
      </c>
      <c r="AE613" s="87">
        <f>AA613-Y613</f>
        <v>2591400</v>
      </c>
      <c r="AF613" s="88">
        <f>AV613</f>
        <v>0.26</v>
      </c>
      <c r="AG613" s="72">
        <f>((AW613-AV613)+(AX613-AW613)+(AY613-AX613))/3</f>
        <v>-6.6666666666666723E-3</v>
      </c>
      <c r="AH613" s="4"/>
      <c r="AI613" s="72">
        <f>RSQ(AV613:AY613,AV612:AY612)</f>
        <v>0.95138187620933634</v>
      </c>
      <c r="AJ613" s="110">
        <f>SLOPE(AV613:AY613,AV612:AY612)</f>
        <v>-8.0577782350244539E-9</v>
      </c>
      <c r="AK613" s="72">
        <f>INTERCEPT(AV613:AY613,AV612:AY612)</f>
        <v>0.26161503304204331</v>
      </c>
      <c r="AL613" s="72">
        <f>INDEX(LINEST(LN(AV613:AY613),LN(AV612:AY612),TRUE,TRUE),3,1)</f>
        <v>0.3643483434663104</v>
      </c>
      <c r="AM613" s="72">
        <f>INDEX(LINEST(LN(AV613:AY613),LN(AV612:AY612)),1)</f>
        <v>-6.6142744251778728E-3</v>
      </c>
      <c r="AN613" s="72">
        <f>EXP(INDEX(LINEST(LN(AV613:AY613),LN(AV612:AY612)),1,2))</f>
        <v>0.27491929812000332</v>
      </c>
      <c r="AO613" s="89">
        <f>INDEX(LINEST((AV613:AY613),LN(AV612:AY612),TRUE,TRUE),3,1)</f>
        <v>0.36434834346631062</v>
      </c>
      <c r="AP613" s="89">
        <f>INDEX(LINEST((AV613:AY613),LN(AV612:AY612)),1)</f>
        <v>-1.6526863264433673E-3</v>
      </c>
      <c r="AQ613" s="90">
        <f>INDEX(LINEST(LN(AV613:AY613),SQRT(AV612:AY612),TRUE,TRUE),3,1)</f>
        <v>0.79952398834155891</v>
      </c>
      <c r="AR613" s="117">
        <f>INDEX(LINEST(LN(AV613:AY613),SQRT((AV612:AY612))),1)</f>
        <v>-5.1419198373589748E-5</v>
      </c>
      <c r="AS613" s="91">
        <f>INDEX(LINEST(1/(AV613:AY613),1/(SQRT(AV612:AY612)),TRUE,TRUE),3,1)</f>
        <v>0.13827977209146772</v>
      </c>
      <c r="AT613" s="91">
        <f>INDEX(LINEST(1/(AV613:AY613),1/SQRT(AV612:AY612)),1)</f>
        <v>-3.0461223412901752</v>
      </c>
      <c r="AU613" s="3"/>
      <c r="AV613" s="121">
        <v>0.26</v>
      </c>
      <c r="AW613" s="97">
        <v>0.26</v>
      </c>
      <c r="AX613" s="121">
        <v>0.26</v>
      </c>
      <c r="AY613" s="121">
        <v>0.24</v>
      </c>
      <c r="AZ613" s="11"/>
      <c r="BA613" s="11"/>
      <c r="BB613" s="11"/>
      <c r="BC613" s="11"/>
      <c r="BD613" s="11"/>
      <c r="BE613" s="11"/>
      <c r="BF613" s="11"/>
      <c r="BG613" s="11"/>
      <c r="BH613" s="11"/>
      <c r="BI613" s="11"/>
      <c r="BJ613" s="11"/>
      <c r="BK613" s="11"/>
      <c r="BL613" s="11"/>
      <c r="BM613" s="11"/>
      <c r="BN613" s="11"/>
      <c r="BO613" s="11"/>
      <c r="BP613" s="11"/>
      <c r="BQ613" s="11"/>
      <c r="BR613" s="11"/>
      <c r="BS613" s="11"/>
      <c r="BT613" s="11"/>
      <c r="BU613" s="11"/>
      <c r="BV613" s="11"/>
      <c r="BW613" s="11"/>
      <c r="BX613" s="11"/>
      <c r="BY613" s="11"/>
      <c r="BZ613" s="11"/>
      <c r="CA613" s="11"/>
      <c r="CB613" s="11"/>
      <c r="CC613" s="11"/>
      <c r="CD613" s="11"/>
      <c r="CE613" s="11"/>
      <c r="CF613" s="11"/>
      <c r="CG613" s="11"/>
      <c r="CH613" s="11"/>
      <c r="CI613" s="11"/>
      <c r="CJ613" s="11"/>
      <c r="CK613" s="11"/>
      <c r="CL613" s="11"/>
      <c r="CM613" s="11"/>
      <c r="CN613" s="11"/>
      <c r="CO613" s="11"/>
      <c r="CP613" s="11"/>
      <c r="CQ613" s="11"/>
      <c r="CR613" s="15"/>
      <c r="CS613" s="15"/>
      <c r="CT613" s="15"/>
      <c r="CU613" s="15"/>
    </row>
    <row r="614" spans="1:99" ht="12" customHeight="1" x14ac:dyDescent="0.2">
      <c r="A614" s="68">
        <v>43509</v>
      </c>
      <c r="B614" s="94"/>
      <c r="C614" s="94"/>
      <c r="D614" s="92"/>
      <c r="E614" s="105"/>
      <c r="F614" s="92"/>
      <c r="G614" s="92"/>
      <c r="H614" s="92"/>
      <c r="I614" s="92"/>
      <c r="J614" s="92"/>
      <c r="K614" s="107"/>
      <c r="L614" s="107"/>
      <c r="M614" s="92"/>
      <c r="N614" s="92"/>
      <c r="O614" s="92"/>
      <c r="P614" s="92"/>
      <c r="Q614" s="92"/>
      <c r="R614" s="69"/>
      <c r="S614" s="69"/>
      <c r="T614" s="92"/>
      <c r="U614" s="69"/>
      <c r="V614" s="92"/>
      <c r="W614" s="69"/>
      <c r="X614" s="92"/>
      <c r="Y614" s="87"/>
      <c r="Z614" s="92"/>
      <c r="AA614" s="92"/>
      <c r="AB614" s="69"/>
      <c r="AC614" s="69"/>
      <c r="AD614" s="69"/>
      <c r="AE614" s="69"/>
      <c r="AF614" s="88"/>
      <c r="AG614" s="72"/>
      <c r="AH614" s="4"/>
      <c r="AI614" s="119"/>
      <c r="AJ614" s="120"/>
      <c r="AK614" s="119"/>
      <c r="AL614" s="119"/>
      <c r="AM614" s="119"/>
      <c r="AN614" s="108"/>
      <c r="AO614" s="108"/>
      <c r="AP614" s="108"/>
      <c r="AQ614" s="72"/>
      <c r="AR614" s="110"/>
      <c r="AS614" s="72"/>
      <c r="AT614" s="72"/>
      <c r="AU614" s="4"/>
      <c r="AV614" s="122">
        <f>10*60</f>
        <v>600</v>
      </c>
      <c r="AW614" s="98">
        <f>24*3600</f>
        <v>86400</v>
      </c>
      <c r="AX614" s="122">
        <f>7*24*3600</f>
        <v>604800</v>
      </c>
      <c r="AY614" s="122">
        <f>30*24*3600</f>
        <v>2592000</v>
      </c>
      <c r="AZ614" s="11"/>
      <c r="BA614" s="11"/>
      <c r="BB614" s="11"/>
      <c r="BC614" s="11"/>
      <c r="BD614" s="11"/>
      <c r="BE614" s="11"/>
      <c r="BF614" s="11"/>
      <c r="BG614" s="11"/>
      <c r="BH614" s="11"/>
      <c r="BI614" s="11"/>
      <c r="BJ614" s="11"/>
      <c r="BK614" s="11"/>
      <c r="BL614" s="11"/>
      <c r="BM614" s="11"/>
      <c r="BN614" s="11"/>
      <c r="BO614" s="11"/>
      <c r="BP614" s="11"/>
      <c r="BQ614" s="11"/>
      <c r="BR614" s="11"/>
      <c r="BS614" s="11"/>
      <c r="BT614" s="11"/>
      <c r="BU614" s="11"/>
      <c r="BV614" s="11"/>
      <c r="BW614" s="11"/>
      <c r="BX614" s="11"/>
      <c r="BY614" s="11"/>
      <c r="BZ614" s="11"/>
      <c r="CA614" s="11"/>
      <c r="CB614" s="11"/>
      <c r="CC614" s="11"/>
      <c r="CD614" s="11"/>
      <c r="CE614" s="11"/>
      <c r="CF614" s="11"/>
      <c r="CG614" s="11"/>
      <c r="CH614" s="11"/>
      <c r="CI614" s="11"/>
      <c r="CJ614" s="11"/>
      <c r="CK614" s="11"/>
      <c r="CL614" s="11"/>
      <c r="CM614" s="11"/>
      <c r="CN614" s="11"/>
      <c r="CO614" s="11"/>
      <c r="CP614" s="11"/>
      <c r="CQ614" s="11"/>
      <c r="CR614" s="15"/>
      <c r="CS614" s="15"/>
      <c r="CT614" s="15"/>
      <c r="CU614" s="15"/>
    </row>
    <row r="615" spans="1:99" ht="12" customHeight="1" x14ac:dyDescent="0.2">
      <c r="A615" s="68">
        <v>43509</v>
      </c>
      <c r="B615" s="94" t="s">
        <v>287</v>
      </c>
      <c r="C615" s="94" t="s">
        <v>70</v>
      </c>
      <c r="D615" s="92">
        <v>2008</v>
      </c>
      <c r="E615" s="105">
        <v>1</v>
      </c>
      <c r="F615" s="92">
        <v>128</v>
      </c>
      <c r="G615" s="92">
        <v>32</v>
      </c>
      <c r="H615" s="92" t="s">
        <v>38</v>
      </c>
      <c r="I615" s="92" t="s">
        <v>711</v>
      </c>
      <c r="J615" s="92" t="s">
        <v>715</v>
      </c>
      <c r="K615" s="69">
        <f>IF(J615="syllables",1,IF(J615="trigrams",2,IF(J615="strings",3,IF(J615="visual array",4,IF(J615="characters",5,IF(J615="letters",6,IF(J615="free forms",7,IF(J615="odors",8,IF(J615="words",9,IF(J615="pictures",10,IF(J615="object pictures",11,IF(J615="faces",12,IF(J615="names",13,IF(J615="idioms",14,IF(J615="grades",15,IF(J615="syllable-digit pairs",16,IF(J615="trigram-word pairs",17,IF(J615="word-digit pairs",18,IF(J615="English-Swahili pairs",19,IF(J615="spatial position",20,IF(J615="word pairs",21,IF(J615="word triads",22,IF(J615="generated words",23,IF(J615="word definition pairs",24,IF(J615="math problems",25,IF(J615="famous faces",26,IF(J615="famous names",27,IF(J615="famous voices",28,IF(J615="television programs",29,IF(J615="race horses",30,IF(J615="new vocabulary",31,IF(J615="sentences",32,IF(J615="concepts",33,IF(J615="ad slides",34,IF(J615="scenes",35,IF(J615="famous scenes",36,IF(J615="poems",37,IF(J615="walk",38,IF(J615="faces and events",39,IF(J615="events and names",40,IF(J615="flashbulb",41,IF(J615="stories",42,IF(J615="course material",43,IF(J615="autobiographical",44,IF(J615="novels",45,IF(J615="public events",46,"99"))))))))))))))))))))))))))))))))))))))))))))))</f>
        <v>38</v>
      </c>
      <c r="L615" s="69">
        <f>IF(J615="syllables",1,IF(J615="trigrams",1,IF(J615="strings",1,IF(J615="visual array",1,IF(J615="characters",1,IF(J615="letters",1,IF(J615="free forms",1,IF(J615="odors",2,IF(J615="words",2,IF(J615="pictures",2,IF(J615="object pictures",2,IF(J615="faces",2,IF(J615="names",2,IF(J615="idioms","2",IF(J615="grades",2,IF(J615="syllable-digit pairs",3,IF(J615="trigram-word pairs",3,IF(J615="word-digit pairs",3,IF(J615="English-Swahili pairs",3,IF(J615="spatial position",3,IF(J615="word pairs",4,IF(J615="word triads",4,IF(J615="generated words",4,IF(J615="word definition pairs",4,IF(J615="math problems",4,IF(J615="famous faces",4,IF(J615="famous names",4,IF(J615="famous voices",4,IF(J615="television programs",4,IF(J615="race horses",4,IF(J615="new vocabulary",4,IF(J615="sentences",5,IF(J615="concepts",5,IF(J615="ad slides",5,IF(J615="scenes",5,IF(J615="famous scenes",5,IF(J615="poems",6,IF(J615="walk",6,IF(J615="faces and events",6,IF(J615="events and names",6,IF(J615="flashbulb",7,IF(J615="stories",7,IF(J615="course material",7,IF(J615="autobiographical",7,IF(J615="novels",7,IF(J615="public events",7,"99"))))))))))))))))))))))))))))))))))))))))))))))</f>
        <v>6</v>
      </c>
      <c r="M615" s="92">
        <v>0</v>
      </c>
      <c r="N615" s="92">
        <v>2</v>
      </c>
      <c r="O615" s="92">
        <v>0</v>
      </c>
      <c r="P615" s="92"/>
      <c r="Q615" s="69" t="s">
        <v>174</v>
      </c>
      <c r="R615" s="69">
        <f>IF(Q615="Free Recall",1,IF(Q615="Cued Recall",2,IF(Q615="Recognition",3,IF(Q615="Multiple Choice",4,IF(Q615="Savings",5,IF(Q615="Stem Completion",6,IF(Q615="Fragment Completion",7,IF(Q615="anagram solution",8,IF(Q615="Matching",9,IF(Q615="Problem Solving",10,"99"))))))))))</f>
        <v>1</v>
      </c>
      <c r="S615" s="69" t="s">
        <v>49</v>
      </c>
      <c r="T615" s="92" t="s">
        <v>261</v>
      </c>
      <c r="U615" s="69">
        <f>IF(T615="within",1,0)</f>
        <v>0</v>
      </c>
      <c r="V615" s="92">
        <v>7</v>
      </c>
      <c r="W615" s="69">
        <f>F615*V615</f>
        <v>896</v>
      </c>
      <c r="X615" s="92">
        <v>4</v>
      </c>
      <c r="Y615" s="87">
        <f>AV614</f>
        <v>600</v>
      </c>
      <c r="Z615" s="92" t="s">
        <v>185</v>
      </c>
      <c r="AA615" s="92">
        <f>30*24*3600</f>
        <v>2592000</v>
      </c>
      <c r="AB615" s="69" t="str">
        <f>IF(AA615&lt;60,"1",IF(AA615&lt;=43200,"2",IF(AA615&lt;=777600,"3","4")))</f>
        <v>4</v>
      </c>
      <c r="AC615" s="72">
        <f>AVERAGE(AV614:DA614)</f>
        <v>820950</v>
      </c>
      <c r="AD615" s="69" t="str">
        <f>IF(AC615&lt;60,"1",IF(AC615&lt;=43200,"2",IF(AC615&lt;=777600,"3","4")))</f>
        <v>4</v>
      </c>
      <c r="AE615" s="87">
        <f>AA615-Y615</f>
        <v>2591400</v>
      </c>
      <c r="AF615" s="88">
        <f>AV615</f>
        <v>0.54</v>
      </c>
      <c r="AG615" s="72">
        <f>((AW615-AV615)+(AX615-AW615)+(AY615-AX615))/3</f>
        <v>1.6666666666666646E-2</v>
      </c>
      <c r="AH615" s="4"/>
      <c r="AI615" s="72">
        <f>RSQ(AV615:AY615,AV614:AY614)</f>
        <v>0.81662388301484856</v>
      </c>
      <c r="AJ615" s="110">
        <f>SLOPE(AV615:AY615,AV614:AY614)</f>
        <v>2.4665727946080357E-8</v>
      </c>
      <c r="AK615" s="72">
        <f>INTERCEPT(AV615:AY615,AV614:AY614)</f>
        <v>0.52725067064266529</v>
      </c>
      <c r="AL615" s="72">
        <f>INDEX(LINEST(LN(AV615:AY615),LN(AV614:AY614),TRUE,TRUE),3,1)</f>
        <v>0.25470823856444619</v>
      </c>
      <c r="AM615" s="72">
        <f>INDEX(LINEST(LN(AV615:AY615),LN(AV614:AY614)),1)</f>
        <v>8.301262784942887E-3</v>
      </c>
      <c r="AN615" s="72">
        <f>EXP(INDEX(LINEST(LN(AV615:AY615),LN(AV614:AY614)),1,2))</f>
        <v>0.4971361067199459</v>
      </c>
      <c r="AO615" s="89">
        <f>INDEX(LINEST((AV615:AY615),LN(AV614:AY614),TRUE,TRUE),3,1)</f>
        <v>0.2659317526955679</v>
      </c>
      <c r="AP615" s="89">
        <f>INDEX(LINEST((AV615:AY615),LN(AV614:AY614)),1)</f>
        <v>4.6651128841770813E-3</v>
      </c>
      <c r="AQ615" s="90">
        <f>INDEX(LINEST(LN(AV615:AY615),SQRT(AV614:AY614),TRUE,TRUE),3,1)</f>
        <v>0.71939043759877219</v>
      </c>
      <c r="AR615" s="117">
        <f>INDEX(LINEST(LN(AV615:AY615),SQRT((AV614:AY614))),1)</f>
        <v>7.3213427441431769E-5</v>
      </c>
      <c r="AS615" s="91">
        <f>INDEX(LINEST(1/(AV615:AY615),1/(SQRT(AV614:AY614)),TRUE,TRUE),3,1)</f>
        <v>3.325535878775291E-2</v>
      </c>
      <c r="AT615" s="91">
        <f>INDEX(LINEST(1/(AV615:AY615),1/SQRT(AV614:AY614)),1)</f>
        <v>1.0205657133265034</v>
      </c>
      <c r="AU615" s="3"/>
      <c r="AV615" s="121">
        <v>0.54</v>
      </c>
      <c r="AW615" s="97">
        <v>0.51</v>
      </c>
      <c r="AX615" s="121">
        <v>0.55000000000000004</v>
      </c>
      <c r="AY615" s="121">
        <v>0.59</v>
      </c>
      <c r="AZ615" s="11"/>
      <c r="BA615" s="11"/>
      <c r="BB615" s="11"/>
      <c r="BC615" s="11"/>
      <c r="BD615" s="11"/>
      <c r="BE615" s="11"/>
      <c r="BF615" s="11"/>
      <c r="BG615" s="11"/>
      <c r="BH615" s="11"/>
      <c r="BI615" s="11"/>
      <c r="BJ615" s="11"/>
      <c r="BK615" s="11"/>
      <c r="BL615" s="11"/>
      <c r="BM615" s="11"/>
      <c r="BN615" s="11"/>
      <c r="BO615" s="11"/>
      <c r="BP615" s="11"/>
      <c r="BQ615" s="11"/>
      <c r="BR615" s="11"/>
      <c r="BS615" s="11"/>
      <c r="BT615" s="11"/>
      <c r="BU615" s="11"/>
      <c r="BV615" s="11"/>
      <c r="BW615" s="11"/>
      <c r="BX615" s="11"/>
      <c r="BY615" s="11"/>
      <c r="BZ615" s="11"/>
      <c r="CA615" s="11"/>
      <c r="CB615" s="11"/>
      <c r="CC615" s="11"/>
      <c r="CD615" s="11"/>
      <c r="CE615" s="11"/>
      <c r="CF615" s="11"/>
      <c r="CG615" s="11"/>
      <c r="CH615" s="11"/>
      <c r="CI615" s="11"/>
      <c r="CJ615" s="11"/>
      <c r="CK615" s="11"/>
      <c r="CL615" s="11"/>
      <c r="CM615" s="11"/>
      <c r="CN615" s="11"/>
      <c r="CO615" s="11"/>
      <c r="CP615" s="11"/>
      <c r="CQ615" s="11"/>
      <c r="CR615" s="15"/>
      <c r="CS615" s="15"/>
      <c r="CT615" s="15"/>
      <c r="CU615" s="15"/>
    </row>
    <row r="616" spans="1:99" ht="12" customHeight="1" x14ac:dyDescent="0.2">
      <c r="A616" s="68">
        <v>43509</v>
      </c>
      <c r="B616" s="94"/>
      <c r="C616" s="94"/>
      <c r="D616" s="92"/>
      <c r="E616" s="105"/>
      <c r="F616" s="92"/>
      <c r="G616" s="92"/>
      <c r="H616" s="92"/>
      <c r="I616" s="92"/>
      <c r="J616" s="92"/>
      <c r="K616" s="107"/>
      <c r="L616" s="107"/>
      <c r="M616" s="92"/>
      <c r="N616" s="92"/>
      <c r="O616" s="92"/>
      <c r="P616" s="92"/>
      <c r="Q616" s="92"/>
      <c r="R616" s="69"/>
      <c r="S616" s="69"/>
      <c r="T616" s="92"/>
      <c r="U616" s="69"/>
      <c r="V616" s="92"/>
      <c r="W616" s="69"/>
      <c r="X616" s="92"/>
      <c r="Y616" s="87"/>
      <c r="Z616" s="92"/>
      <c r="AA616" s="92"/>
      <c r="AB616" s="69"/>
      <c r="AC616" s="69"/>
      <c r="AD616" s="69"/>
      <c r="AE616" s="69"/>
      <c r="AF616" s="88"/>
      <c r="AG616" s="72"/>
      <c r="AH616" s="4"/>
      <c r="AI616" s="119"/>
      <c r="AJ616" s="120"/>
      <c r="AK616" s="119"/>
      <c r="AL616" s="119"/>
      <c r="AM616" s="119"/>
      <c r="AN616" s="108"/>
      <c r="AO616" s="108"/>
      <c r="AP616" s="108"/>
      <c r="AQ616" s="72"/>
      <c r="AR616" s="110"/>
      <c r="AS616" s="72"/>
      <c r="AT616" s="72"/>
      <c r="AU616" s="4"/>
      <c r="AV616" s="122">
        <f>10*60</f>
        <v>600</v>
      </c>
      <c r="AW616" s="98">
        <f>24*3600</f>
        <v>86400</v>
      </c>
      <c r="AX616" s="122">
        <f>7*24*3600</f>
        <v>604800</v>
      </c>
      <c r="AY616" s="122">
        <f>30*24*3600</f>
        <v>2592000</v>
      </c>
      <c r="AZ616" s="11"/>
      <c r="BA616" s="11"/>
      <c r="BB616" s="11"/>
      <c r="BC616" s="11"/>
      <c r="BD616" s="11"/>
      <c r="BE616" s="11"/>
      <c r="BF616" s="11"/>
      <c r="BG616" s="11"/>
      <c r="BH616" s="11"/>
      <c r="BI616" s="11"/>
      <c r="BJ616" s="11"/>
      <c r="BK616" s="11"/>
      <c r="BL616" s="11"/>
      <c r="BM616" s="11"/>
      <c r="BN616" s="11"/>
      <c r="BO616" s="11"/>
      <c r="BP616" s="11"/>
      <c r="BQ616" s="11"/>
      <c r="BR616" s="11"/>
      <c r="BS616" s="11"/>
      <c r="BT616" s="11"/>
      <c r="BU616" s="11"/>
      <c r="BV616" s="11"/>
      <c r="BW616" s="11"/>
      <c r="BX616" s="11"/>
      <c r="BY616" s="11"/>
      <c r="BZ616" s="11"/>
      <c r="CA616" s="11"/>
      <c r="CB616" s="11"/>
      <c r="CC616" s="11"/>
      <c r="CD616" s="11"/>
      <c r="CE616" s="11"/>
      <c r="CF616" s="11"/>
      <c r="CG616" s="11"/>
      <c r="CH616" s="11"/>
      <c r="CI616" s="11"/>
      <c r="CJ616" s="11"/>
      <c r="CK616" s="11"/>
      <c r="CL616" s="11"/>
      <c r="CM616" s="11"/>
      <c r="CN616" s="11"/>
      <c r="CO616" s="11"/>
      <c r="CP616" s="11"/>
      <c r="CQ616" s="11"/>
      <c r="CR616" s="15"/>
      <c r="CS616" s="15"/>
      <c r="CT616" s="15"/>
      <c r="CU616" s="15"/>
    </row>
    <row r="617" spans="1:99" ht="12" customHeight="1" x14ac:dyDescent="0.2">
      <c r="A617" s="68">
        <v>43509</v>
      </c>
      <c r="B617" s="94" t="s">
        <v>287</v>
      </c>
      <c r="C617" s="94" t="s">
        <v>70</v>
      </c>
      <c r="D617" s="92">
        <v>2008</v>
      </c>
      <c r="E617" s="105">
        <v>1</v>
      </c>
      <c r="F617" s="92">
        <v>128</v>
      </c>
      <c r="G617" s="92">
        <v>32</v>
      </c>
      <c r="H617" s="92" t="s">
        <v>38</v>
      </c>
      <c r="I617" s="92" t="s">
        <v>712</v>
      </c>
      <c r="J617" s="92" t="s">
        <v>715</v>
      </c>
      <c r="K617" s="69">
        <f>IF(J617="syllables",1,IF(J617="trigrams",2,IF(J617="strings",3,IF(J617="visual array",4,IF(J617="characters",5,IF(J617="letters",6,IF(J617="free forms",7,IF(J617="odors",8,IF(J617="words",9,IF(J617="pictures",10,IF(J617="object pictures",11,IF(J617="faces",12,IF(J617="names",13,IF(J617="idioms",14,IF(J617="grades",15,IF(J617="syllable-digit pairs",16,IF(J617="trigram-word pairs",17,IF(J617="word-digit pairs",18,IF(J617="English-Swahili pairs",19,IF(J617="spatial position",20,IF(J617="word pairs",21,IF(J617="word triads",22,IF(J617="generated words",23,IF(J617="word definition pairs",24,IF(J617="math problems",25,IF(J617="famous faces",26,IF(J617="famous names",27,IF(J617="famous voices",28,IF(J617="television programs",29,IF(J617="race horses",30,IF(J617="new vocabulary",31,IF(J617="sentences",32,IF(J617="concepts",33,IF(J617="ad slides",34,IF(J617="scenes",35,IF(J617="famous scenes",36,IF(J617="poems",37,IF(J617="walk",38,IF(J617="faces and events",39,IF(J617="events and names",40,IF(J617="flashbulb",41,IF(J617="stories",42,IF(J617="course material",43,IF(J617="autobiographical",44,IF(J617="novels",45,IF(J617="public events",46,"99"))))))))))))))))))))))))))))))))))))))))))))))</f>
        <v>38</v>
      </c>
      <c r="L617" s="69">
        <f>IF(J617="syllables",1,IF(J617="trigrams",1,IF(J617="strings",1,IF(J617="visual array",1,IF(J617="characters",1,IF(J617="letters",1,IF(J617="free forms",1,IF(J617="odors",2,IF(J617="words",2,IF(J617="pictures",2,IF(J617="object pictures",2,IF(J617="faces",2,IF(J617="names",2,IF(J617="idioms","2",IF(J617="grades",2,IF(J617="syllable-digit pairs",3,IF(J617="trigram-word pairs",3,IF(J617="word-digit pairs",3,IF(J617="English-Swahili pairs",3,IF(J617="spatial position",3,IF(J617="word pairs",4,IF(J617="word triads",4,IF(J617="generated words",4,IF(J617="word definition pairs",4,IF(J617="math problems",4,IF(J617="famous faces",4,IF(J617="famous names",4,IF(J617="famous voices",4,IF(J617="television programs",4,IF(J617="race horses",4,IF(J617="new vocabulary",4,IF(J617="sentences",5,IF(J617="concepts",5,IF(J617="ad slides",5,IF(J617="scenes",5,IF(J617="famous scenes",5,IF(J617="poems",6,IF(J617="walk",6,IF(J617="faces and events",6,IF(J617="events and names",6,IF(J617="flashbulb",7,IF(J617="stories",7,IF(J617="course material",7,IF(J617="autobiographical",7,IF(J617="novels",7,IF(J617="public events",7,"99"))))))))))))))))))))))))))))))))))))))))))))))</f>
        <v>6</v>
      </c>
      <c r="M617" s="92">
        <v>0</v>
      </c>
      <c r="N617" s="92">
        <v>2</v>
      </c>
      <c r="O617" s="92">
        <v>0</v>
      </c>
      <c r="P617" s="92"/>
      <c r="Q617" s="69" t="s">
        <v>174</v>
      </c>
      <c r="R617" s="69">
        <f>IF(Q617="Free Recall",1,IF(Q617="Cued Recall",2,IF(Q617="Recognition",3,IF(Q617="Multiple Choice",4,IF(Q617="Savings",5,IF(Q617="Stem Completion",6,IF(Q617="Fragment Completion",7,IF(Q617="anagram solution",8,IF(Q617="Matching",9,IF(Q617="Problem Solving",10,"99"))))))))))</f>
        <v>1</v>
      </c>
      <c r="S617" s="69" t="s">
        <v>49</v>
      </c>
      <c r="T617" s="92" t="s">
        <v>261</v>
      </c>
      <c r="U617" s="69">
        <f>IF(T617="within",1,0)</f>
        <v>0</v>
      </c>
      <c r="V617" s="92">
        <v>7</v>
      </c>
      <c r="W617" s="69">
        <f>F617*V617</f>
        <v>896</v>
      </c>
      <c r="X617" s="92">
        <v>4</v>
      </c>
      <c r="Y617" s="87">
        <f>AV616</f>
        <v>600</v>
      </c>
      <c r="Z617" s="92" t="s">
        <v>185</v>
      </c>
      <c r="AA617" s="92">
        <f>30*24*3600</f>
        <v>2592000</v>
      </c>
      <c r="AB617" s="69" t="str">
        <f>IF(AA617&lt;60,"1",IF(AA617&lt;=43200,"2",IF(AA617&lt;=777600,"3","4")))</f>
        <v>4</v>
      </c>
      <c r="AC617" s="72">
        <f>AVERAGE(AV616:DA616)</f>
        <v>820950</v>
      </c>
      <c r="AD617" s="69" t="str">
        <f>IF(AC617&lt;60,"1",IF(AC617&lt;=43200,"2",IF(AC617&lt;=777600,"3","4")))</f>
        <v>4</v>
      </c>
      <c r="AE617" s="87">
        <f>AA617-Y617</f>
        <v>2591400</v>
      </c>
      <c r="AF617" s="88">
        <f>AV617</f>
        <v>7.0000000000000007E-2</v>
      </c>
      <c r="AG617" s="72">
        <f>((AW617-AV617)+(AX617-AW617)+(AY617-AX617))/3</f>
        <v>-6.666666666666668E-3</v>
      </c>
      <c r="AH617" s="4"/>
      <c r="AI617" s="72">
        <f>RSQ(AV617:AY617,AV616:AY616)</f>
        <v>0.71408182224399275</v>
      </c>
      <c r="AJ617" s="110">
        <f>SLOPE(AV617:AY617,AV616:AY616)</f>
        <v>-1.1399773662898988E-8</v>
      </c>
      <c r="AK617" s="72">
        <f>INTERCEPT(AV617:AY617,AV616:AY616)</f>
        <v>7.9358644188556926E-2</v>
      </c>
      <c r="AL617" s="72">
        <f>INDEX(LINEST(LN(AV617:AY617),LN(AV616:AY616),TRUE,TRUE),3,1)</f>
        <v>0.18486019106647461</v>
      </c>
      <c r="AM617" s="72">
        <f>INDEX(LINEST(LN(AV617:AY617),LN(AV616:AY616)),1)</f>
        <v>-2.8396505986087468E-2</v>
      </c>
      <c r="AN617" s="72">
        <f>EXP(INDEX(LINEST(LN(AV617:AY617),LN(AV616:AY616)),1,2))</f>
        <v>9.4884468815301964E-2</v>
      </c>
      <c r="AO617" s="89">
        <f>INDEX(LINEST((AV617:AY617),LN(AV616:AY616),TRUE,TRUE),3,1)</f>
        <v>0.14453615269488837</v>
      </c>
      <c r="AP617" s="89">
        <f>INDEX(LINEST((AV617:AY617),LN(AV616:AY616)),1)</f>
        <v>-1.6998266960237859E-3</v>
      </c>
      <c r="AQ617" s="90">
        <f>INDEX(LINEST(LN(AV617:AY617),SQRT(AV616:AY616),TRUE,TRUE),3,1)</f>
        <v>0.66346869250863216</v>
      </c>
      <c r="AR617" s="117">
        <f>INDEX(LINEST(LN(AV617:AY617),SQRT((AV616:AY616))),1)</f>
        <v>-2.8231838879614804E-4</v>
      </c>
      <c r="AS617" s="91">
        <f>INDEX(LINEST(1/(AV617:AY617),1/(SQRT(AV616:AY616)),TRUE,TRUE),3,1)</f>
        <v>2.8283671566077195E-2</v>
      </c>
      <c r="AT617" s="91">
        <f>INDEX(LINEST(1/(AV617:AY617),1/SQRT(AV616:AY616)),1)</f>
        <v>-31.825804979023701</v>
      </c>
      <c r="AU617" s="3"/>
      <c r="AV617" s="121">
        <v>7.0000000000000007E-2</v>
      </c>
      <c r="AW617" s="97">
        <v>0.09</v>
      </c>
      <c r="AX617" s="121">
        <v>7.0000000000000007E-2</v>
      </c>
      <c r="AY617" s="121">
        <v>0.05</v>
      </c>
      <c r="AZ617" s="11"/>
      <c r="BA617" s="11"/>
      <c r="BB617" s="11"/>
      <c r="BC617" s="11"/>
      <c r="BD617" s="11"/>
      <c r="BE617" s="11"/>
      <c r="BF617" s="11"/>
      <c r="BG617" s="11"/>
      <c r="BH617" s="11"/>
      <c r="BI617" s="11"/>
      <c r="BJ617" s="11"/>
      <c r="BK617" s="11"/>
      <c r="BL617" s="11"/>
      <c r="BM617" s="11"/>
      <c r="BN617" s="11"/>
      <c r="BO617" s="11"/>
      <c r="BP617" s="11"/>
      <c r="BQ617" s="11"/>
      <c r="BR617" s="11"/>
      <c r="BS617" s="11"/>
      <c r="BT617" s="11"/>
      <c r="BU617" s="11"/>
      <c r="BV617" s="11"/>
      <c r="BW617" s="11"/>
      <c r="BX617" s="11"/>
      <c r="BY617" s="11"/>
      <c r="BZ617" s="11"/>
      <c r="CA617" s="11"/>
      <c r="CB617" s="11"/>
      <c r="CC617" s="11"/>
      <c r="CD617" s="11"/>
      <c r="CE617" s="11"/>
      <c r="CF617" s="11"/>
      <c r="CG617" s="11"/>
      <c r="CH617" s="11"/>
      <c r="CI617" s="11"/>
      <c r="CJ617" s="11"/>
      <c r="CK617" s="11"/>
      <c r="CL617" s="11"/>
      <c r="CM617" s="11"/>
      <c r="CN617" s="11"/>
      <c r="CO617" s="11"/>
      <c r="CP617" s="11"/>
      <c r="CQ617" s="11"/>
      <c r="CR617" s="15"/>
      <c r="CS617" s="15"/>
      <c r="CT617" s="15"/>
      <c r="CU617" s="15"/>
    </row>
    <row r="618" spans="1:99" ht="12" customHeight="1" x14ac:dyDescent="0.2">
      <c r="A618" s="68">
        <v>43509</v>
      </c>
      <c r="B618" s="94"/>
      <c r="C618" s="94"/>
      <c r="D618" s="92"/>
      <c r="E618" s="105"/>
      <c r="F618" s="92"/>
      <c r="G618" s="92"/>
      <c r="H618" s="92"/>
      <c r="I618" s="92"/>
      <c r="J618" s="92"/>
      <c r="K618" s="107"/>
      <c r="L618" s="107"/>
      <c r="M618" s="92"/>
      <c r="N618" s="92"/>
      <c r="O618" s="92"/>
      <c r="P618" s="92"/>
      <c r="Q618" s="92"/>
      <c r="R618" s="69"/>
      <c r="S618" s="69"/>
      <c r="T618" s="92"/>
      <c r="U618" s="69"/>
      <c r="V618" s="92"/>
      <c r="W618" s="69"/>
      <c r="X618" s="92"/>
      <c r="Y618" s="87"/>
      <c r="Z618" s="92"/>
      <c r="AA618" s="92"/>
      <c r="AB618" s="69"/>
      <c r="AC618" s="69"/>
      <c r="AD618" s="69"/>
      <c r="AE618" s="69"/>
      <c r="AF618" s="88"/>
      <c r="AG618" s="72"/>
      <c r="AH618" s="4"/>
      <c r="AI618" s="119"/>
      <c r="AJ618" s="120"/>
      <c r="AK618" s="119"/>
      <c r="AL618" s="119"/>
      <c r="AM618" s="119"/>
      <c r="AN618" s="108"/>
      <c r="AO618" s="108"/>
      <c r="AP618" s="108"/>
      <c r="AQ618" s="72"/>
      <c r="AR618" s="110"/>
      <c r="AS618" s="72"/>
      <c r="AT618" s="72"/>
      <c r="AU618" s="4"/>
      <c r="AV618" s="122">
        <f>10*60</f>
        <v>600</v>
      </c>
      <c r="AW618" s="98">
        <f>24*3600</f>
        <v>86400</v>
      </c>
      <c r="AX618" s="122">
        <f>7*24*3600</f>
        <v>604800</v>
      </c>
      <c r="AY618" s="122">
        <f>30*24*3600</f>
        <v>2592000</v>
      </c>
      <c r="AZ618" s="11"/>
      <c r="BA618" s="11"/>
      <c r="BB618" s="11"/>
      <c r="BC618" s="11"/>
      <c r="BD618" s="11"/>
      <c r="BE618" s="11"/>
      <c r="BF618" s="11"/>
      <c r="BG618" s="11"/>
      <c r="BH618" s="11"/>
      <c r="BI618" s="11"/>
      <c r="BJ618" s="11"/>
      <c r="BK618" s="11"/>
      <c r="BL618" s="11"/>
      <c r="BM618" s="11"/>
      <c r="BN618" s="11"/>
      <c r="BO618" s="11"/>
      <c r="BP618" s="11"/>
      <c r="BQ618" s="11"/>
      <c r="BR618" s="11"/>
      <c r="BS618" s="11"/>
      <c r="BT618" s="11"/>
      <c r="BU618" s="11"/>
      <c r="BV618" s="11"/>
      <c r="BW618" s="11"/>
      <c r="BX618" s="11"/>
      <c r="BY618" s="11"/>
      <c r="BZ618" s="11"/>
      <c r="CA618" s="11"/>
      <c r="CB618" s="11"/>
      <c r="CC618" s="11"/>
      <c r="CD618" s="11"/>
      <c r="CE618" s="11"/>
      <c r="CF618" s="11"/>
      <c r="CG618" s="11"/>
      <c r="CH618" s="11"/>
      <c r="CI618" s="11"/>
      <c r="CJ618" s="11"/>
      <c r="CK618" s="11"/>
      <c r="CL618" s="11"/>
      <c r="CM618" s="11"/>
      <c r="CN618" s="11"/>
      <c r="CO618" s="11"/>
      <c r="CP618" s="11"/>
      <c r="CQ618" s="11"/>
      <c r="CR618" s="15"/>
      <c r="CS618" s="15"/>
      <c r="CT618" s="15"/>
      <c r="CU618" s="15"/>
    </row>
    <row r="619" spans="1:99" ht="12" customHeight="1" x14ac:dyDescent="0.2">
      <c r="A619" s="68">
        <v>43509</v>
      </c>
      <c r="B619" s="94" t="s">
        <v>287</v>
      </c>
      <c r="C619" s="94" t="s">
        <v>70</v>
      </c>
      <c r="D619" s="92">
        <v>2008</v>
      </c>
      <c r="E619" s="105">
        <v>1</v>
      </c>
      <c r="F619" s="92">
        <v>128</v>
      </c>
      <c r="G619" s="92">
        <v>32</v>
      </c>
      <c r="H619" s="92" t="s">
        <v>38</v>
      </c>
      <c r="I619" s="92" t="s">
        <v>713</v>
      </c>
      <c r="J619" s="92" t="s">
        <v>715</v>
      </c>
      <c r="K619" s="69">
        <f>IF(J619="syllables",1,IF(J619="trigrams",2,IF(J619="strings",3,IF(J619="visual array",4,IF(J619="characters",5,IF(J619="letters",6,IF(J619="free forms",7,IF(J619="odors",8,IF(J619="words",9,IF(J619="pictures",10,IF(J619="object pictures",11,IF(J619="faces",12,IF(J619="names",13,IF(J619="idioms",14,IF(J619="grades",15,IF(J619="syllable-digit pairs",16,IF(J619="trigram-word pairs",17,IF(J619="word-digit pairs",18,IF(J619="English-Swahili pairs",19,IF(J619="spatial position",20,IF(J619="word pairs",21,IF(J619="word triads",22,IF(J619="generated words",23,IF(J619="word definition pairs",24,IF(J619="math problems",25,IF(J619="famous faces",26,IF(J619="famous names",27,IF(J619="famous voices",28,IF(J619="television programs",29,IF(J619="race horses",30,IF(J619="new vocabulary",31,IF(J619="sentences",32,IF(J619="concepts",33,IF(J619="ad slides",34,IF(J619="scenes",35,IF(J619="famous scenes",36,IF(J619="poems",37,IF(J619="walk",38,IF(J619="faces and events",39,IF(J619="events and names",40,IF(J619="flashbulb",41,IF(J619="stories",42,IF(J619="course material",43,IF(J619="autobiographical",44,IF(J619="novels",45,IF(J619="public events",46,"99"))))))))))))))))))))))))))))))))))))))))))))))</f>
        <v>38</v>
      </c>
      <c r="L619" s="69">
        <f>IF(J619="syllables",1,IF(J619="trigrams",1,IF(J619="strings",1,IF(J619="visual array",1,IF(J619="characters",1,IF(J619="letters",1,IF(J619="free forms",1,IF(J619="odors",2,IF(J619="words",2,IF(J619="pictures",2,IF(J619="object pictures",2,IF(J619="faces",2,IF(J619="names",2,IF(J619="idioms","2",IF(J619="grades",2,IF(J619="syllable-digit pairs",3,IF(J619="trigram-word pairs",3,IF(J619="word-digit pairs",3,IF(J619="English-Swahili pairs",3,IF(J619="spatial position",3,IF(J619="word pairs",4,IF(J619="word triads",4,IF(J619="generated words",4,IF(J619="word definition pairs",4,IF(J619="math problems",4,IF(J619="famous faces",4,IF(J619="famous names",4,IF(J619="famous voices",4,IF(J619="television programs",4,IF(J619="race horses",4,IF(J619="new vocabulary",4,IF(J619="sentences",5,IF(J619="concepts",5,IF(J619="ad slides",5,IF(J619="scenes",5,IF(J619="famous scenes",5,IF(J619="poems",6,IF(J619="walk",6,IF(J619="faces and events",6,IF(J619="events and names",6,IF(J619="flashbulb",7,IF(J619="stories",7,IF(J619="course material",7,IF(J619="autobiographical",7,IF(J619="novels",7,IF(J619="public events",7,"99"))))))))))))))))))))))))))))))))))))))))))))))</f>
        <v>6</v>
      </c>
      <c r="M619" s="92">
        <v>0</v>
      </c>
      <c r="N619" s="92">
        <v>2</v>
      </c>
      <c r="O619" s="92">
        <v>0</v>
      </c>
      <c r="P619" s="92"/>
      <c r="Q619" s="69" t="s">
        <v>174</v>
      </c>
      <c r="R619" s="69">
        <f>IF(Q619="Free Recall",1,IF(Q619="Cued Recall",2,IF(Q619="Recognition",3,IF(Q619="Multiple Choice",4,IF(Q619="Savings",5,IF(Q619="Stem Completion",6,IF(Q619="Fragment Completion",7,IF(Q619="anagram solution",8,IF(Q619="Matching",9,IF(Q619="Problem Solving",10,"99"))))))))))</f>
        <v>1</v>
      </c>
      <c r="S619" s="69" t="s">
        <v>49</v>
      </c>
      <c r="T619" s="92" t="s">
        <v>261</v>
      </c>
      <c r="U619" s="69">
        <f>IF(T619="within",1,0)</f>
        <v>0</v>
      </c>
      <c r="V619" s="92">
        <v>7</v>
      </c>
      <c r="W619" s="69">
        <f>F619*V619</f>
        <v>896</v>
      </c>
      <c r="X619" s="92">
        <v>4</v>
      </c>
      <c r="Y619" s="87">
        <f>AV618</f>
        <v>600</v>
      </c>
      <c r="Z619" s="92" t="s">
        <v>185</v>
      </c>
      <c r="AA619" s="92">
        <f>30*24*3600</f>
        <v>2592000</v>
      </c>
      <c r="AB619" s="69" t="str">
        <f>IF(AA619&lt;60,"1",IF(AA619&lt;=43200,"2",IF(AA619&lt;=777600,"3","4")))</f>
        <v>4</v>
      </c>
      <c r="AC619" s="72">
        <f>AVERAGE(AV618:DA618)</f>
        <v>820950</v>
      </c>
      <c r="AD619" s="69" t="str">
        <f>IF(AC619&lt;60,"1",IF(AC619&lt;=43200,"2",IF(AC619&lt;=777600,"3","4")))</f>
        <v>4</v>
      </c>
      <c r="AE619" s="87">
        <f>AA619-Y619</f>
        <v>2591400</v>
      </c>
      <c r="AF619" s="88">
        <f>AV619</f>
        <v>0.13</v>
      </c>
      <c r="AG619" s="93">
        <f>((AW619-AV619)+(AX619-AW619)+(AY619-AX619))/3</f>
        <v>-3.3333333333333361E-3</v>
      </c>
      <c r="AH619" s="4"/>
      <c r="AI619" s="72">
        <f>RSQ(AV619:AY619,AV618:AY618)</f>
        <v>0.25057372939798056</v>
      </c>
      <c r="AJ619" s="110">
        <f>SLOPE(AV619:AY619,AV618:AY618)</f>
        <v>-1.36631446730166E-8</v>
      </c>
      <c r="AK619" s="72">
        <f>INTERCEPT(AV619:AY619,AV618:AY618)</f>
        <v>0.16371675861931301</v>
      </c>
      <c r="AL619" s="72">
        <f>INDEX(LINEST(LN(AV619:AY619),LN(AV618:AY618),TRUE,TRUE),3,1)</f>
        <v>3.000714663327592E-2</v>
      </c>
      <c r="AM619" s="72">
        <f>INDEX(LINEST(LN(AV619:AY619),LN(AV618:AY618)),1)</f>
        <v>1.031189540628568E-2</v>
      </c>
      <c r="AN619" s="72">
        <f>EXP(INDEX(LINEST(LN(AV619:AY619),LN(AV618:AY618)),1,2))</f>
        <v>0.13312344511257129</v>
      </c>
      <c r="AO619" s="89">
        <f>INDEX(LINEST((AV619:AY619),LN(AV618:AY618),TRUE,TRUE),3,1)</f>
        <v>4.2069324894305857E-2</v>
      </c>
      <c r="AP619" s="89">
        <f>INDEX(LINEST((AV619:AY619),LN(AV618:AY618)),1)</f>
        <v>1.8554951798057228E-3</v>
      </c>
      <c r="AQ619" s="90">
        <f>INDEX(LINEST(LN(AV619:AY619),SQRT(AV618:AY618),TRUE,TRUE),3,1)</f>
        <v>9.3706486608619521E-2</v>
      </c>
      <c r="AR619" s="117">
        <f>INDEX(LINEST(LN(AV619:AY619),SQRT((AV618:AY618))),1)</f>
        <v>-9.5630564381157806E-5</v>
      </c>
      <c r="AS619" s="91">
        <f>INDEX(LINEST(1/(AV619:AY619),1/(SQRT(AV618:AY618)),TRUE,TRUE),3,1)</f>
        <v>0.14587507411031103</v>
      </c>
      <c r="AT619" s="91">
        <f>INDEX(LINEST(1/(AV619:AY619),1/SQRT(AV618:AY618)),1)</f>
        <v>28.405744178689922</v>
      </c>
      <c r="AU619" s="3"/>
      <c r="AV619" s="121">
        <v>0.13</v>
      </c>
      <c r="AW619" s="97">
        <v>0.17</v>
      </c>
      <c r="AX619" s="121">
        <v>0.19</v>
      </c>
      <c r="AY619" s="121">
        <v>0.12</v>
      </c>
      <c r="AZ619" s="11"/>
      <c r="BA619" s="11"/>
      <c r="BB619" s="11"/>
      <c r="BC619" s="11"/>
      <c r="BD619" s="11"/>
      <c r="BE619" s="11"/>
      <c r="BF619" s="11"/>
      <c r="BG619" s="11"/>
      <c r="BH619" s="11"/>
      <c r="BI619" s="11"/>
      <c r="BJ619" s="11"/>
      <c r="BK619" s="11"/>
      <c r="BL619" s="11"/>
      <c r="BM619" s="11"/>
      <c r="BN619" s="11"/>
      <c r="BO619" s="11"/>
      <c r="BP619" s="11"/>
      <c r="BQ619" s="11"/>
      <c r="BR619" s="11"/>
      <c r="BS619" s="11"/>
      <c r="BT619" s="11"/>
      <c r="BU619" s="11"/>
      <c r="BV619" s="11"/>
      <c r="BW619" s="11"/>
      <c r="BX619" s="11"/>
      <c r="BY619" s="11"/>
      <c r="BZ619" s="11"/>
      <c r="CA619" s="11"/>
      <c r="CB619" s="11"/>
      <c r="CC619" s="11"/>
      <c r="CD619" s="11"/>
      <c r="CE619" s="11"/>
      <c r="CF619" s="11"/>
      <c r="CG619" s="11"/>
      <c r="CH619" s="11"/>
      <c r="CI619" s="11"/>
      <c r="CJ619" s="11"/>
      <c r="CK619" s="11"/>
      <c r="CL619" s="11"/>
      <c r="CM619" s="11"/>
      <c r="CN619" s="11"/>
      <c r="CO619" s="11"/>
      <c r="CP619" s="11"/>
      <c r="CQ619" s="11"/>
      <c r="CR619" s="15"/>
      <c r="CS619" s="15"/>
      <c r="CT619" s="15"/>
      <c r="CU619" s="15"/>
    </row>
    <row r="620" spans="1:99" ht="12" customHeight="1" x14ac:dyDescent="0.2">
      <c r="A620" s="68">
        <v>43509</v>
      </c>
      <c r="B620" s="94"/>
      <c r="C620" s="94"/>
      <c r="D620" s="92"/>
      <c r="E620" s="105"/>
      <c r="F620" s="92"/>
      <c r="G620" s="92"/>
      <c r="H620" s="92"/>
      <c r="I620" s="92"/>
      <c r="J620" s="92"/>
      <c r="K620" s="107"/>
      <c r="L620" s="107"/>
      <c r="M620" s="92"/>
      <c r="N620" s="92"/>
      <c r="O620" s="92"/>
      <c r="P620" s="92"/>
      <c r="Q620" s="92"/>
      <c r="R620" s="69"/>
      <c r="S620" s="69"/>
      <c r="T620" s="92"/>
      <c r="U620" s="69"/>
      <c r="V620" s="92"/>
      <c r="W620" s="69"/>
      <c r="X620" s="92"/>
      <c r="Y620" s="87"/>
      <c r="Z620" s="92"/>
      <c r="AA620" s="92"/>
      <c r="AB620" s="69"/>
      <c r="AC620" s="69"/>
      <c r="AD620" s="69"/>
      <c r="AE620" s="69"/>
      <c r="AF620" s="88"/>
      <c r="AG620" s="72"/>
      <c r="AH620" s="4"/>
      <c r="AI620" s="119"/>
      <c r="AJ620" s="120"/>
      <c r="AK620" s="119"/>
      <c r="AL620" s="119"/>
      <c r="AM620" s="119"/>
      <c r="AN620" s="108"/>
      <c r="AO620" s="108"/>
      <c r="AP620" s="108"/>
      <c r="AQ620" s="72"/>
      <c r="AR620" s="110"/>
      <c r="AS620" s="72"/>
      <c r="AT620" s="72"/>
      <c r="AU620" s="4"/>
      <c r="AV620" s="122">
        <f>10*60</f>
        <v>600</v>
      </c>
      <c r="AW620" s="98">
        <f>24*3600</f>
        <v>86400</v>
      </c>
      <c r="AX620" s="122">
        <f>7*24*3600</f>
        <v>604800</v>
      </c>
      <c r="AY620" s="122">
        <f>30*24*3600</f>
        <v>2592000</v>
      </c>
      <c r="AZ620" s="11"/>
      <c r="BA620" s="11"/>
      <c r="BB620" s="11"/>
      <c r="BC620" s="11"/>
      <c r="BD620" s="11"/>
      <c r="BE620" s="11"/>
      <c r="BF620" s="11"/>
      <c r="BG620" s="11"/>
      <c r="BH620" s="11"/>
      <c r="BI620" s="11"/>
      <c r="BJ620" s="11"/>
      <c r="BK620" s="11"/>
      <c r="BL620" s="11"/>
      <c r="BM620" s="11"/>
      <c r="BN620" s="11"/>
      <c r="BO620" s="11"/>
      <c r="BP620" s="11"/>
      <c r="BQ620" s="11"/>
      <c r="BR620" s="11"/>
      <c r="BS620" s="11"/>
      <c r="BT620" s="11"/>
      <c r="BU620" s="11"/>
      <c r="BV620" s="11"/>
      <c r="BW620" s="11"/>
      <c r="BX620" s="11"/>
      <c r="BY620" s="11"/>
      <c r="BZ620" s="11"/>
      <c r="CA620" s="11"/>
      <c r="CB620" s="11"/>
      <c r="CC620" s="11"/>
      <c r="CD620" s="11"/>
      <c r="CE620" s="11"/>
      <c r="CF620" s="11"/>
      <c r="CG620" s="11"/>
      <c r="CH620" s="11"/>
      <c r="CI620" s="11"/>
      <c r="CJ620" s="11"/>
      <c r="CK620" s="11"/>
      <c r="CL620" s="11"/>
      <c r="CM620" s="11"/>
      <c r="CN620" s="11"/>
      <c r="CO620" s="11"/>
      <c r="CP620" s="11"/>
      <c r="CQ620" s="11"/>
      <c r="CR620" s="15"/>
      <c r="CS620" s="15"/>
      <c r="CT620" s="15"/>
      <c r="CU620" s="15"/>
    </row>
    <row r="621" spans="1:99" ht="12" customHeight="1" x14ac:dyDescent="0.2">
      <c r="A621" s="68">
        <v>43509</v>
      </c>
      <c r="B621" s="94" t="s">
        <v>287</v>
      </c>
      <c r="C621" s="94" t="s">
        <v>70</v>
      </c>
      <c r="D621" s="92">
        <v>2008</v>
      </c>
      <c r="E621" s="105">
        <v>1</v>
      </c>
      <c r="F621" s="92">
        <v>128</v>
      </c>
      <c r="G621" s="92">
        <v>32</v>
      </c>
      <c r="H621" s="92" t="s">
        <v>38</v>
      </c>
      <c r="I621" s="92" t="s">
        <v>714</v>
      </c>
      <c r="J621" s="92" t="s">
        <v>715</v>
      </c>
      <c r="K621" s="69">
        <f>IF(J621="syllables",1,IF(J621="trigrams",2,IF(J621="strings",3,IF(J621="visual array",4,IF(J621="characters",5,IF(J621="letters",6,IF(J621="free forms",7,IF(J621="odors",8,IF(J621="words",9,IF(J621="pictures",10,IF(J621="object pictures",11,IF(J621="faces",12,IF(J621="names",13,IF(J621="idioms",14,IF(J621="grades",15,IF(J621="syllable-digit pairs",16,IF(J621="trigram-word pairs",17,IF(J621="word-digit pairs",18,IF(J621="English-Swahili pairs",19,IF(J621="spatial position",20,IF(J621="word pairs",21,IF(J621="word triads",22,IF(J621="generated words",23,IF(J621="word definition pairs",24,IF(J621="math problems",25,IF(J621="famous faces",26,IF(J621="famous names",27,IF(J621="famous voices",28,IF(J621="television programs",29,IF(J621="race horses",30,IF(J621="new vocabulary",31,IF(J621="sentences",32,IF(J621="concepts",33,IF(J621="ad slides",34,IF(J621="scenes",35,IF(J621="famous scenes",36,IF(J621="poems",37,IF(J621="walk",38,IF(J621="faces and events",39,IF(J621="events and names",40,IF(J621="flashbulb",41,IF(J621="stories",42,IF(J621="course material",43,IF(J621="autobiographical",44,IF(J621="novels",45,IF(J621="public events",46,"99"))))))))))))))))))))))))))))))))))))))))))))))</f>
        <v>38</v>
      </c>
      <c r="L621" s="69">
        <f>IF(J621="syllables",1,IF(J621="trigrams",1,IF(J621="strings",1,IF(J621="visual array",1,IF(J621="characters",1,IF(J621="letters",1,IF(J621="free forms",1,IF(J621="odors",2,IF(J621="words",2,IF(J621="pictures",2,IF(J621="object pictures",2,IF(J621="faces",2,IF(J621="names",2,IF(J621="idioms","2",IF(J621="grades",2,IF(J621="syllable-digit pairs",3,IF(J621="trigram-word pairs",3,IF(J621="word-digit pairs",3,IF(J621="English-Swahili pairs",3,IF(J621="spatial position",3,IF(J621="word pairs",4,IF(J621="word triads",4,IF(J621="generated words",4,IF(J621="word definition pairs",4,IF(J621="math problems",4,IF(J621="famous faces",4,IF(J621="famous names",4,IF(J621="famous voices",4,IF(J621="television programs",4,IF(J621="race horses",4,IF(J621="new vocabulary",4,IF(J621="sentences",5,IF(J621="concepts",5,IF(J621="ad slides",5,IF(J621="scenes",5,IF(J621="famous scenes",5,IF(J621="poems",6,IF(J621="walk",6,IF(J621="faces and events",6,IF(J621="events and names",6,IF(J621="flashbulb",7,IF(J621="stories",7,IF(J621="course material",7,IF(J621="autobiographical",7,IF(J621="novels",7,IF(J621="public events",7,"99"))))))))))))))))))))))))))))))))))))))))))))))</f>
        <v>6</v>
      </c>
      <c r="M621" s="92">
        <v>0</v>
      </c>
      <c r="N621" s="92">
        <v>2</v>
      </c>
      <c r="O621" s="92">
        <v>0</v>
      </c>
      <c r="P621" s="92"/>
      <c r="Q621" s="69" t="s">
        <v>174</v>
      </c>
      <c r="R621" s="69">
        <f>IF(Q621="Free Recall",1,IF(Q621="Cued Recall",2,IF(Q621="Recognition",3,IF(Q621="Multiple Choice",4,IF(Q621="Savings",5,IF(Q621="Stem Completion",6,IF(Q621="Fragment Completion",7,IF(Q621="anagram solution",8,IF(Q621="Matching",9,IF(Q621="Problem Solving",10,"99"))))))))))</f>
        <v>1</v>
      </c>
      <c r="S621" s="69" t="s">
        <v>49</v>
      </c>
      <c r="T621" s="92" t="s">
        <v>261</v>
      </c>
      <c r="U621" s="69">
        <f>IF(T621="within",1,0)</f>
        <v>0</v>
      </c>
      <c r="V621" s="92">
        <v>7</v>
      </c>
      <c r="W621" s="69">
        <f>F621*V621</f>
        <v>896</v>
      </c>
      <c r="X621" s="92">
        <v>4</v>
      </c>
      <c r="Y621" s="87">
        <f>AV620</f>
        <v>600</v>
      </c>
      <c r="Z621" s="92" t="s">
        <v>185</v>
      </c>
      <c r="AA621" s="92">
        <f>30*24*3600</f>
        <v>2592000</v>
      </c>
      <c r="AB621" s="69" t="str">
        <f>IF(AA621&lt;60,"1",IF(AA621&lt;=43200,"2",IF(AA621&lt;=777600,"3","4")))</f>
        <v>4</v>
      </c>
      <c r="AC621" s="72">
        <f>AVERAGE(AV620:DA620)</f>
        <v>820950</v>
      </c>
      <c r="AD621" s="69" t="str">
        <f>IF(AC621&lt;60,"1",IF(AC621&lt;=43200,"2",IF(AC621&lt;=777600,"3","4")))</f>
        <v>4</v>
      </c>
      <c r="AE621" s="87">
        <f>AA621-Y621</f>
        <v>2591400</v>
      </c>
      <c r="AF621" s="88">
        <f>AV621</f>
        <v>0.12</v>
      </c>
      <c r="AG621" s="72">
        <f>((AW621-AV621)+(AX621-AW621)+(AY621-AX621))/3</f>
        <v>-1.3333333333333331E-2</v>
      </c>
      <c r="AH621" s="4"/>
      <c r="AI621" s="72">
        <f>RSQ(AV621:AY621,AV620:AY620)</f>
        <v>0.94283810526130074</v>
      </c>
      <c r="AJ621" s="110">
        <f>SLOPE(AV621:AY621,AV620:AY620)</f>
        <v>-1.7786554183986163E-8</v>
      </c>
      <c r="AK621" s="72">
        <f>INTERCEPT(AV621:AY621,AV620:AY620)</f>
        <v>0.12710187165734343</v>
      </c>
      <c r="AL621" s="72">
        <f>INDEX(LINEST(LN(AV621:AY621),LN(AV620:AY620),TRUE,TRUE),3,1)</f>
        <v>0.31477046023892158</v>
      </c>
      <c r="AM621" s="72">
        <f>INDEX(LINEST(LN(AV621:AY621),LN(AV620:AY620)),1)</f>
        <v>-3.3693994142109641E-2</v>
      </c>
      <c r="AN621" s="72">
        <f>EXP(INDEX(LINEST(LN(AV621:AY621),LN(AV620:AY620)),1,2))</f>
        <v>0.16276464319838804</v>
      </c>
      <c r="AO621" s="89">
        <f>INDEX(LINEST((AV621:AY621),LN(AV620:AY620),TRUE,TRUE),3,1)</f>
        <v>0.30066151495930704</v>
      </c>
      <c r="AP621" s="89">
        <f>INDEX(LINEST((AV621:AY621),LN(AV620:AY620)),1)</f>
        <v>-3.3289428376769414E-3</v>
      </c>
      <c r="AQ621" s="90">
        <f>INDEX(LINEST(LN(AV621:AY621),SQRT(AV620:AY620),TRUE,TRUE),3,1)</f>
        <v>0.79801519697850587</v>
      </c>
      <c r="AR621" s="117">
        <f>INDEX(LINEST(LN(AV621:AY621),SQRT((AV620:AY620))),1)</f>
        <v>-2.8154436191771081E-4</v>
      </c>
      <c r="AS621" s="91">
        <f>INDEX(LINEST(1/(AV621:AY621),1/(SQRT(AV620:AY620)),TRUE,TRUE),3,1)</f>
        <v>9.6243370186999799E-2</v>
      </c>
      <c r="AT621" s="91">
        <f>INDEX(LINEST(1/(AV621:AY621),1/SQRT(AV620:AY620)),1)</f>
        <v>-35.059914475045815</v>
      </c>
      <c r="AU621" s="3"/>
      <c r="AV621" s="121">
        <v>0.12</v>
      </c>
      <c r="AW621" s="97">
        <v>0.13</v>
      </c>
      <c r="AX621" s="121">
        <v>0.12</v>
      </c>
      <c r="AY621" s="121">
        <v>0.08</v>
      </c>
      <c r="AZ621" s="11"/>
      <c r="BA621" s="11"/>
      <c r="BB621" s="11"/>
      <c r="BC621" s="11"/>
      <c r="BD621" s="11"/>
      <c r="BE621" s="11"/>
      <c r="BF621" s="11"/>
      <c r="BG621" s="11"/>
      <c r="BH621" s="11"/>
      <c r="BI621" s="11"/>
      <c r="BJ621" s="11"/>
      <c r="BK621" s="11"/>
      <c r="BL621" s="11"/>
      <c r="BM621" s="11"/>
      <c r="BN621" s="11"/>
      <c r="BO621" s="11"/>
      <c r="BP621" s="11"/>
      <c r="BQ621" s="11"/>
      <c r="BR621" s="11"/>
      <c r="BS621" s="11"/>
      <c r="BT621" s="11"/>
      <c r="BU621" s="11"/>
      <c r="BV621" s="11"/>
      <c r="BW621" s="11"/>
      <c r="BX621" s="11"/>
      <c r="BY621" s="11"/>
      <c r="BZ621" s="11"/>
      <c r="CA621" s="11"/>
      <c r="CB621" s="11"/>
      <c r="CC621" s="11"/>
      <c r="CD621" s="11"/>
      <c r="CE621" s="11"/>
      <c r="CF621" s="11"/>
      <c r="CG621" s="11"/>
      <c r="CH621" s="11"/>
      <c r="CI621" s="11"/>
      <c r="CJ621" s="11"/>
      <c r="CK621" s="11"/>
      <c r="CL621" s="11"/>
      <c r="CM621" s="11"/>
      <c r="CN621" s="11"/>
      <c r="CO621" s="11"/>
      <c r="CP621" s="11"/>
      <c r="CQ621" s="11"/>
      <c r="CR621" s="15"/>
      <c r="CS621" s="15"/>
      <c r="CT621" s="15"/>
      <c r="CU621" s="15"/>
    </row>
    <row r="622" spans="1:99" ht="12" customHeight="1" x14ac:dyDescent="0.2">
      <c r="A622" s="65">
        <v>43509</v>
      </c>
      <c r="B622" s="15"/>
      <c r="C622" s="15"/>
      <c r="D622" s="59"/>
      <c r="E622" s="75"/>
      <c r="F622" s="59"/>
      <c r="G622" s="59"/>
      <c r="H622" s="59"/>
      <c r="I622" s="59"/>
      <c r="J622" s="59"/>
      <c r="M622" s="59"/>
      <c r="N622" s="59"/>
      <c r="O622" s="59"/>
      <c r="P622" s="59"/>
      <c r="Q622" s="59"/>
      <c r="R622" s="60"/>
      <c r="S622" s="59"/>
      <c r="T622" s="59"/>
      <c r="U622" s="60"/>
      <c r="V622" s="59"/>
      <c r="W622" s="60"/>
      <c r="X622" s="59"/>
      <c r="Y622" s="76"/>
      <c r="AB622" s="60"/>
      <c r="AC622" s="60"/>
      <c r="AD622" s="60"/>
      <c r="AE622" s="60"/>
      <c r="AF622" s="80"/>
      <c r="AG622" s="56"/>
      <c r="AI622" s="55"/>
      <c r="AJ622" s="111"/>
      <c r="AK622" s="55"/>
      <c r="AL622" s="55"/>
      <c r="AM622" s="55"/>
      <c r="AN622" s="55"/>
      <c r="AO622" s="55"/>
      <c r="AP622" s="55"/>
      <c r="AQ622" s="56"/>
      <c r="AR622" s="109"/>
      <c r="AS622" s="56"/>
      <c r="AT622" s="56"/>
      <c r="AU622" s="4"/>
      <c r="AV622" s="50">
        <f>10*60</f>
        <v>600</v>
      </c>
      <c r="AW622" s="47">
        <f>3.5*24*3600</f>
        <v>302400</v>
      </c>
      <c r="AX622" s="47">
        <f>7*24*3600</f>
        <v>604800</v>
      </c>
      <c r="AY622" s="47">
        <f>14*24*3600</f>
        <v>1209600</v>
      </c>
      <c r="AZ622" s="47">
        <f>8*7*24*3600</f>
        <v>4838400</v>
      </c>
      <c r="BA622" s="11" t="s">
        <v>517</v>
      </c>
      <c r="BB622" s="11"/>
      <c r="BC622" s="11"/>
      <c r="BD622" s="11"/>
      <c r="BE622" s="11"/>
      <c r="BF622" s="11"/>
      <c r="BG622" s="11"/>
      <c r="BH622" s="11"/>
      <c r="BI622" s="11"/>
      <c r="BJ622" s="11"/>
      <c r="BK622" s="11"/>
      <c r="BL622" s="11"/>
      <c r="BM622" s="11"/>
      <c r="BN622" s="11"/>
      <c r="BO622" s="11"/>
      <c r="BP622" s="11"/>
      <c r="BQ622" s="11"/>
      <c r="BR622" s="11"/>
      <c r="BS622" s="11"/>
      <c r="BT622" s="11"/>
      <c r="BU622" s="11"/>
      <c r="BV622" s="11"/>
      <c r="BW622" s="11"/>
      <c r="BX622" s="11"/>
      <c r="BY622" s="11"/>
      <c r="BZ622" s="11"/>
      <c r="CA622" s="11"/>
      <c r="CB622" s="11"/>
      <c r="CC622" s="11"/>
      <c r="CD622" s="11"/>
      <c r="CE622" s="11"/>
      <c r="CF622" s="11"/>
      <c r="CG622" s="11"/>
      <c r="CH622" s="11"/>
      <c r="CI622" s="11"/>
      <c r="CJ622" s="11"/>
      <c r="CK622" s="11"/>
      <c r="CL622" s="11"/>
      <c r="CM622" s="11"/>
      <c r="CN622" s="11"/>
      <c r="CO622" s="11"/>
      <c r="CP622" s="11"/>
      <c r="CQ622" s="11"/>
      <c r="CR622" s="15"/>
      <c r="CS622" s="15"/>
      <c r="CT622" s="15"/>
      <c r="CU622" s="15"/>
    </row>
    <row r="623" spans="1:99" ht="12" customHeight="1" x14ac:dyDescent="0.2">
      <c r="A623" s="65">
        <v>43509</v>
      </c>
      <c r="B623" s="15" t="s">
        <v>278</v>
      </c>
      <c r="C623" s="15" t="s">
        <v>277</v>
      </c>
      <c r="D623" s="59">
        <v>1923</v>
      </c>
      <c r="E623" s="75" t="s">
        <v>716</v>
      </c>
      <c r="F623" s="59">
        <v>69</v>
      </c>
      <c r="G623" s="59">
        <v>69</v>
      </c>
      <c r="H623" s="64" t="s">
        <v>275</v>
      </c>
      <c r="I623" s="59"/>
      <c r="J623" s="59" t="s">
        <v>585</v>
      </c>
      <c r="K623" s="60">
        <f>IF(J623="syllables",1,IF(J623="trigrams",2,IF(J623="strings",3,IF(J623="visual array",4,IF(J623="characters",5,IF(J623="letters",6,IF(J623="free forms",7,IF(J623="odors",8,IF(J623="words",9,IF(J623="pictures",10,IF(J623="object pictures",11,IF(J623="faces",12,IF(J623="names",13,IF(J623="idioms",14,IF(J623="grades",15,IF(J623="syllable-digit pairs",16,IF(J623="trigram-word pairs",17,IF(J623="word-digit pairs",18,IF(J623="English-Swahili pairs",19,IF(J623="spatial position",20,IF(J623="word pairs",21,IF(J623="word triads",22,IF(J623="generated words",23,IF(J623="word definition pairs",24,IF(J623="math problems",25,IF(J623="famous faces",26,IF(J623="famous names",27,IF(J623="famous voices",28,IF(J623="television programs",29,IF(J623="race horses",30,IF(J623="new vocabulary",31,IF(J623="sentences",32,IF(J623="concepts",33,IF(J623="ad slides",34,IF(J623="scenes",35,IF(J623="famous scenes",36,IF(J623="poems",37,IF(J623="walk",38,IF(J623="faces and events",39,IF(J623="events and names",40,IF(J623="flashbulb",41,IF(J623="stories",42,IF(J623="course material",43,IF(J623="autobiographical",44,IF(J623="novels",45,IF(J623="public events",46,"99"))))))))))))))))))))))))))))))))))))))))))))))</f>
        <v>43</v>
      </c>
      <c r="L623" s="60">
        <f>IF(J623="syllables",1,IF(J623="trigrams",1,IF(J623="strings",1,IF(J623="visual array",1,IF(J623="characters",1,IF(J623="letters",1,IF(J623="free forms",1,IF(J623="odors",2,IF(J623="words",2,IF(J623="pictures",2,IF(J623="object pictures",2,IF(J623="faces",2,IF(J623="names",2,IF(J623="idioms","2",IF(J623="grades",2,IF(J623="syllable-digit pairs",3,IF(J623="trigram-word pairs",3,IF(J623="word-digit pairs",3,IF(J623="English-Swahili pairs",3,IF(J623="spatial position",3,IF(J623="word pairs",4,IF(J623="word triads",4,IF(J623="generated words",4,IF(J623="word definition pairs",4,IF(J623="math problems",4,IF(J623="famous faces",4,IF(J623="famous names",4,IF(J623="famous voices",4,IF(J623="television programs",4,IF(J623="race horses",4,IF(J623="new vocabulary",4,IF(J623="sentences",5,IF(J623="concepts",5,IF(J623="ad slides",5,IF(J623="scenes",5,IF(J623="famous scenes",5,IF(J623="poems",6,IF(J623="walk",6,IF(J623="faces and events",6,IF(J623="events and names",6,IF(J623="flashbulb",7,IF(J623="stories",7,IF(J623="course material",7,IF(J623="autobiographical",7,IF(J623="novels",7,IF(J623="public events",7,"99"))))))))))))))))))))))))))))))))))))))))))))))</f>
        <v>7</v>
      </c>
      <c r="M623" s="59">
        <v>0</v>
      </c>
      <c r="N623" s="59">
        <v>2</v>
      </c>
      <c r="O623" s="59">
        <v>0</v>
      </c>
      <c r="P623" s="59"/>
      <c r="Q623" s="59" t="s">
        <v>65</v>
      </c>
      <c r="R623" s="60">
        <f>IF(Q623="Free Recall",1,IF(Q623="Cued Recall",2,IF(Q623="Recognition",3,IF(Q623="Multiple Choice",4,IF(Q623="Savings",5,IF(Q623="Stem Completion",6,IF(Q623="Fragment Completion",7,IF(Q623="anagram solution",8,IF(Q623="Matching",9,IF(Q623="Problem Solving",10,"99"))))))))))</f>
        <v>2</v>
      </c>
      <c r="S623" s="59" t="s">
        <v>49</v>
      </c>
      <c r="T623" s="59" t="s">
        <v>581</v>
      </c>
      <c r="U623" s="60">
        <f>IF(T623="within",1,0)</f>
        <v>1</v>
      </c>
      <c r="V623" s="59">
        <v>15</v>
      </c>
      <c r="W623" s="60">
        <f>F623*V623</f>
        <v>1035</v>
      </c>
      <c r="X623" s="59">
        <v>5</v>
      </c>
      <c r="Y623" s="76">
        <f>AV622</f>
        <v>600</v>
      </c>
      <c r="Z623" s="59" t="s">
        <v>276</v>
      </c>
      <c r="AA623" s="59">
        <f>8*7*24*3600</f>
        <v>4838400</v>
      </c>
      <c r="AB623" s="60" t="str">
        <f>IF(AA623&lt;60,"1",IF(AA623&lt;=43200,"2",IF(AA623&lt;=777600,"3","4")))</f>
        <v>4</v>
      </c>
      <c r="AC623" s="56">
        <f>AVERAGE(AV622:DA622)</f>
        <v>1391160</v>
      </c>
      <c r="AD623" s="60" t="str">
        <f>IF(AC623&lt;60,"1",IF(AC623&lt;=43200,"2",IF(AC623&lt;=777600,"3","4")))</f>
        <v>4</v>
      </c>
      <c r="AE623" s="76">
        <f>AA623-Y623</f>
        <v>4837800</v>
      </c>
      <c r="AF623" s="80">
        <f>AV623</f>
        <v>0.62</v>
      </c>
      <c r="AG623" s="56">
        <f>((AW623-AV623)+(AX623-AW623)+(AY623-AX623)+(AZ623-AY623))/4</f>
        <v>-9.4750000000000001E-2</v>
      </c>
      <c r="AH623" s="4"/>
      <c r="AI623" s="56">
        <f>RSQ(AV623:AZ623,AV622:AZ622)</f>
        <v>0.52715069349108135</v>
      </c>
      <c r="AJ623" s="109">
        <f>SLOPE(AV623:AZ623,AV622:AZ622)</f>
        <v>-5.4440845154975766E-8</v>
      </c>
      <c r="AK623" s="56">
        <f>INTERCEPT(AV623:AZ623,AV622:AZ622)</f>
        <v>0.46893592614579616</v>
      </c>
      <c r="AL623" s="56">
        <f>INDEX(LINEST(LN(AV623:AZ623),LN(AV622:AZ622),TRUE,TRUE),3,1)</f>
        <v>0.85854703014004896</v>
      </c>
      <c r="AM623" s="56">
        <f>INDEX(LINEST(LN(AV623:AZ623),LN(AV622:AZ622)),1)</f>
        <v>-9.7071033538941989E-2</v>
      </c>
      <c r="AN623" s="56">
        <f>EXP(INDEX(LINEST(LN(AV623:AZ623),LN(AV622:AZ622)),1,2))</f>
        <v>1.234556286232392</v>
      </c>
      <c r="AO623" s="82">
        <f>INDEX(LINEST((AV623:AZ623),LN(AV622:AZ622),TRUE,TRUE),3,1)</f>
        <v>0.92608293036332501</v>
      </c>
      <c r="AP623" s="82">
        <f>INDEX(LINEST((AV623:AZ623),LN(AV622:AZ622)),1)</f>
        <v>-4.1021964800964823E-2</v>
      </c>
      <c r="AQ623" s="83">
        <f>INDEX(LINEST(LN(AV623:AZ623),SQRT(AV622:AZ622),TRUE,TRUE),3,1)</f>
        <v>0.88295553724469877</v>
      </c>
      <c r="AR623" s="116">
        <f>INDEX(LINEST(LN(AV623:AZ623),SQRT((AV622:AZ622))),1)</f>
        <v>-4.2257713377437373E-4</v>
      </c>
      <c r="AS623" s="84">
        <f>INDEX(LINEST(1/(AV623:AZ623),1/(SQRT(AV622:AZ622)),TRUE,TRUE),3,1)</f>
        <v>0.51104340825533201</v>
      </c>
      <c r="AT623" s="84">
        <f>INDEX(LINEST(1/(AV623:AZ623),1/SQRT(AV622:AZ622)),1)</f>
        <v>-39.247219785133851</v>
      </c>
      <c r="AU623" s="3"/>
      <c r="AV623" s="11">
        <v>0.62</v>
      </c>
      <c r="AW623" s="11">
        <v>0.45300000000000001</v>
      </c>
      <c r="AX623" s="11">
        <v>0.34599999999999997</v>
      </c>
      <c r="AY623" s="11">
        <v>0.30599999999999999</v>
      </c>
      <c r="AZ623" s="11">
        <v>0.24099999999999999</v>
      </c>
      <c r="BA623" s="11"/>
      <c r="BB623" s="11"/>
      <c r="BC623" s="11"/>
      <c r="BD623" s="11"/>
      <c r="BE623" s="11"/>
      <c r="BF623" s="11"/>
      <c r="BG623" s="11"/>
      <c r="BH623" s="11"/>
      <c r="BI623" s="11"/>
      <c r="BJ623" s="11"/>
      <c r="BK623" s="11"/>
      <c r="BL623" s="11"/>
      <c r="BM623" s="11"/>
      <c r="BN623" s="11"/>
      <c r="BO623" s="11"/>
      <c r="BP623" s="11"/>
      <c r="BQ623" s="11"/>
      <c r="BR623" s="11"/>
      <c r="BS623" s="11"/>
      <c r="BT623" s="11"/>
      <c r="BU623" s="11"/>
      <c r="BV623" s="11"/>
      <c r="BW623" s="11"/>
      <c r="BX623" s="11"/>
      <c r="BY623" s="11"/>
      <c r="BZ623" s="11"/>
      <c r="CA623" s="11"/>
      <c r="CB623" s="11"/>
      <c r="CC623" s="11"/>
      <c r="CD623" s="11"/>
      <c r="CE623" s="11"/>
      <c r="CF623" s="11"/>
      <c r="CG623" s="11"/>
      <c r="CH623" s="11"/>
      <c r="CI623" s="11"/>
      <c r="CJ623" s="11"/>
      <c r="CK623" s="11"/>
      <c r="CL623" s="11"/>
      <c r="CM623" s="11"/>
      <c r="CN623" s="11"/>
      <c r="CO623" s="11"/>
      <c r="CP623" s="11"/>
      <c r="CQ623" s="11"/>
      <c r="CR623" s="15"/>
      <c r="CS623" s="15"/>
      <c r="CT623" s="15"/>
      <c r="CU623" s="15"/>
    </row>
    <row r="624" spans="1:99" s="13" customFormat="1" ht="12" customHeight="1" x14ac:dyDescent="0.2">
      <c r="A624" s="68">
        <v>43509</v>
      </c>
      <c r="B624" s="70"/>
      <c r="C624" s="70"/>
      <c r="D624" s="69"/>
      <c r="E624" s="87"/>
      <c r="F624" s="69"/>
      <c r="G624" s="69"/>
      <c r="H624" s="69"/>
      <c r="I624" s="69"/>
      <c r="J624" s="69"/>
      <c r="K624" s="107"/>
      <c r="L624" s="107"/>
      <c r="M624" s="69"/>
      <c r="N624" s="69"/>
      <c r="O624" s="69"/>
      <c r="P624" s="69"/>
      <c r="Q624" s="69"/>
      <c r="R624" s="69"/>
      <c r="S624" s="69"/>
      <c r="T624" s="69"/>
      <c r="U624" s="69"/>
      <c r="V624" s="69"/>
      <c r="W624" s="69"/>
      <c r="X624" s="69"/>
      <c r="Y624" s="87"/>
      <c r="Z624" s="69"/>
      <c r="AA624" s="69"/>
      <c r="AB624" s="69"/>
      <c r="AC624" s="69"/>
      <c r="AD624" s="69"/>
      <c r="AE624" s="69"/>
      <c r="AF624" s="88"/>
      <c r="AG624" s="72"/>
      <c r="AH624" s="4"/>
      <c r="AI624" s="72"/>
      <c r="AJ624" s="110"/>
      <c r="AK624" s="72"/>
      <c r="AL624" s="72"/>
      <c r="AM624" s="72"/>
      <c r="AN624" s="72"/>
      <c r="AO624" s="72"/>
      <c r="AP624" s="72"/>
      <c r="AQ624" s="72"/>
      <c r="AR624" s="110"/>
      <c r="AS624" s="72"/>
      <c r="AT624" s="72"/>
      <c r="AU624" s="4"/>
      <c r="AV624" s="71">
        <f>60</f>
        <v>60</v>
      </c>
      <c r="AW624" s="71">
        <f>6*60</f>
        <v>360</v>
      </c>
      <c r="AX624" s="71">
        <f>18*60</f>
        <v>1080</v>
      </c>
      <c r="AY624" s="71">
        <f>24*3600*2</f>
        <v>172800</v>
      </c>
      <c r="AZ624" s="46"/>
      <c r="BA624" s="42"/>
      <c r="BB624" s="42"/>
      <c r="BC624" s="42"/>
      <c r="BD624" s="42"/>
      <c r="BE624" s="42"/>
      <c r="BF624" s="42"/>
      <c r="BG624" s="4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1"/>
      <c r="CS624" s="1"/>
      <c r="CT624" s="1"/>
      <c r="CU624" s="1"/>
    </row>
    <row r="625" spans="1:99" s="13" customFormat="1" ht="12" customHeight="1" x14ac:dyDescent="0.2">
      <c r="A625" s="68">
        <v>43509</v>
      </c>
      <c r="B625" s="70" t="s">
        <v>113</v>
      </c>
      <c r="C625" s="70" t="s">
        <v>114</v>
      </c>
      <c r="D625" s="69">
        <v>1969</v>
      </c>
      <c r="E625" s="87">
        <v>1</v>
      </c>
      <c r="F625" s="69">
        <v>189</v>
      </c>
      <c r="G625" s="69">
        <v>47.3</v>
      </c>
      <c r="H625" s="69" t="s">
        <v>50</v>
      </c>
      <c r="I625" s="69" t="s">
        <v>717</v>
      </c>
      <c r="J625" s="69" t="s">
        <v>90</v>
      </c>
      <c r="K625" s="69">
        <f>IF(J625="syllables",1,IF(J625="trigrams",2,IF(J625="strings",3,IF(J625="visual array",4,IF(J625="characters",5,IF(J625="letters",6,IF(J625="free forms",7,IF(J625="odors",8,IF(J625="words",9,IF(J625="pictures",10,IF(J625="object pictures",11,IF(J625="faces",12,IF(J625="names",13,IF(J625="idioms",14,IF(J625="grades",15,IF(J625="syllable-digit pairs",16,IF(J625="trigram-word pairs",17,IF(J625="word-digit pairs",18,IF(J625="English-Swahili pairs",19,IF(J625="spatial position",20,IF(J625="word pairs",21,IF(J625="word triads",22,IF(J625="generated words",23,IF(J625="word definition pairs",24,IF(J625="math problems",25,IF(J625="famous faces",26,IF(J625="famous names",27,IF(J625="famous voices",28,IF(J625="television programs",29,IF(J625="race horses",30,IF(J625="new vocabulary",31,IF(J625="sentences",32,IF(J625="concepts",33,IF(J625="ad slides",34,IF(J625="scenes",35,IF(J625="famous scenes",36,IF(J625="poems",37,IF(J625="walk",38,IF(J625="faces and events",39,IF(J625="events and names",40,IF(J625="flashbulb",41,IF(J625="stories",42,IF(J625="course material",43,IF(J625="autobiographical",44,IF(J625="novels",45,IF(J625="public events",46,"99"))))))))))))))))))))))))))))))))))))))))))))))</f>
        <v>18</v>
      </c>
      <c r="L625" s="69">
        <f>IF(J625="syllables",1,IF(J625="trigrams",1,IF(J625="strings",1,IF(J625="visual array",1,IF(J625="characters",1,IF(J625="letters",1,IF(J625="free forms",1,IF(J625="odors",2,IF(J625="words",2,IF(J625="pictures",2,IF(J625="object pictures",2,IF(J625="faces",2,IF(J625="names",2,IF(J625="idioms","2",IF(J625="grades",2,IF(J625="syllable-digit pairs",3,IF(J625="trigram-word pairs",3,IF(J625="word-digit pairs",3,IF(J625="English-Swahili pairs",3,IF(J625="spatial position",3,IF(J625="word pairs",4,IF(J625="word triads",4,IF(J625="generated words",4,IF(J625="word definition pairs",4,IF(J625="math problems",4,IF(J625="famous faces",4,IF(J625="famous names",4,IF(J625="famous voices",4,IF(J625="television programs",4,IF(J625="race horses",4,IF(J625="new vocabulary",4,IF(J625="sentences",5,IF(J625="concepts",5,IF(J625="ad slides",5,IF(J625="scenes",5,IF(J625="famous scenes",5,IF(J625="poems",6,IF(J625="walk",6,IF(J625="faces and events",6,IF(J625="events and names",6,IF(J625="flashbulb",7,IF(J625="stories",7,IF(J625="course material",7,IF(J625="autobiographical",7,IF(J625="novels",7,IF(J625="public events",7,"99"))))))))))))))))))))))))))))))))))))))))))))))</f>
        <v>3</v>
      </c>
      <c r="M625" s="69">
        <v>0</v>
      </c>
      <c r="N625" s="69">
        <v>1</v>
      </c>
      <c r="O625" s="69">
        <v>0</v>
      </c>
      <c r="P625" s="69"/>
      <c r="Q625" s="69" t="s">
        <v>174</v>
      </c>
      <c r="R625" s="69">
        <f>IF(Q625="Free Recall",1,IF(Q625="Cued Recall",2,IF(Q625="Recognition",3,IF(Q625="Multiple Choice",4,IF(Q625="Savings",5,IF(Q625="Stem Completion",6,IF(Q625="Fragment Completion",7,IF(Q625="anagram solution",8,IF(Q625="Matching",9,IF(Q625="Problem Solving",10,"99"))))))))))</f>
        <v>1</v>
      </c>
      <c r="S625" s="69" t="s">
        <v>49</v>
      </c>
      <c r="T625" s="92" t="s">
        <v>261</v>
      </c>
      <c r="U625" s="69">
        <f>IF(T625="within",1,0)</f>
        <v>0</v>
      </c>
      <c r="V625" s="92">
        <v>6</v>
      </c>
      <c r="W625" s="69">
        <f>F625*V625</f>
        <v>1134</v>
      </c>
      <c r="X625" s="69">
        <v>4</v>
      </c>
      <c r="Y625" s="87">
        <f>AV624</f>
        <v>60</v>
      </c>
      <c r="Z625" s="69" t="s">
        <v>88</v>
      </c>
      <c r="AA625" s="69">
        <v>172800</v>
      </c>
      <c r="AB625" s="69" t="str">
        <f>IF(AA625&lt;60,"1",IF(AA625&lt;=43200,"2",IF(AA625&lt;=777600,"3","4")))</f>
        <v>3</v>
      </c>
      <c r="AC625" s="72">
        <f>AVERAGE(AV624:DA624)</f>
        <v>43575</v>
      </c>
      <c r="AD625" s="69" t="str">
        <f>IF(AC625&lt;60,"1",IF(AC625&lt;=43200,"2",IF(AC625&lt;=777600,"3","4")))</f>
        <v>3</v>
      </c>
      <c r="AE625" s="87">
        <f>AA625-Y625</f>
        <v>172740</v>
      </c>
      <c r="AF625" s="88">
        <f>AV625</f>
        <v>0.47499999999999998</v>
      </c>
      <c r="AG625" s="72">
        <f>((AW625-AV625)+(AX625-AW625)+(AY625-AX625))/3</f>
        <v>-4.8333333333333318E-2</v>
      </c>
      <c r="AH625" s="4"/>
      <c r="AI625" s="72">
        <f>RSQ(AV625:AY625,AV624:AY624)</f>
        <v>0.70367198541975418</v>
      </c>
      <c r="AJ625" s="110">
        <f>SLOPE(AV625:AY625,AV624:AY624)</f>
        <v>-1.0361047014555645E-6</v>
      </c>
      <c r="AK625" s="72">
        <f>INTERCEPT(AV625:AY625,AV624:AY624)</f>
        <v>0.50889826236592617</v>
      </c>
      <c r="AL625" s="72">
        <f>INDEX(LINEST(LN(AV625:AY625),LN(AV624:AY624),TRUE,TRUE),3,1)</f>
        <v>0.6868844455578188</v>
      </c>
      <c r="AM625" s="72">
        <f>INDEX(LINEST(LN(AV625:AY625),LN(AV624:AY624)),1)</f>
        <v>-5.8187416724719776E-2</v>
      </c>
      <c r="AN625" s="72">
        <f>EXP(INDEX(LINEST(LN(AV625:AY625),LN(AV624:AY624)),1,2))</f>
        <v>0.6927452760686682</v>
      </c>
      <c r="AO625" s="89">
        <f>INDEX(LINEST((AV625:AY625),LN(AV624:AY624),TRUE,TRUE),3,1)</f>
        <v>0.60732129130526102</v>
      </c>
      <c r="AP625" s="89">
        <f>INDEX(LINEST((AV625:AY625),LN(AV624:AY624)),1)</f>
        <v>-2.4269924581651583E-2</v>
      </c>
      <c r="AQ625" s="90">
        <f>INDEX(LINEST(LN(AV625:AY625),SQRT(AV624:AY624),TRUE,TRUE),3,1)</f>
        <v>0.79311730244373879</v>
      </c>
      <c r="AR625" s="117">
        <f>INDEX(LINEST(LN(AV625:AY625),SQRT((AV624:AY624))),1)</f>
        <v>-1.0779822550156856E-3</v>
      </c>
      <c r="AS625" s="91">
        <f>INDEX(LINEST(1/(AV625:AY625),1/(SQRT(AV624:AY624)),TRUE,TRUE),3,1)</f>
        <v>0.28269827932974867</v>
      </c>
      <c r="AT625" s="91">
        <f>INDEX(LINEST(1/(AV625:AY625),1/SQRT(AV624:AY624)),1)</f>
        <v>-5.4878097572948406</v>
      </c>
      <c r="AU625" s="3"/>
      <c r="AV625" s="73">
        <v>0.47499999999999998</v>
      </c>
      <c r="AW625" s="73">
        <v>0.59</v>
      </c>
      <c r="AX625" s="73">
        <v>0.46</v>
      </c>
      <c r="AY625" s="73">
        <v>0.33</v>
      </c>
      <c r="AZ625" s="46"/>
      <c r="BA625" s="42"/>
      <c r="BB625" s="42"/>
      <c r="BC625" s="42"/>
      <c r="BD625" s="42"/>
      <c r="BE625" s="42"/>
      <c r="BF625" s="42"/>
      <c r="BG625" s="4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1"/>
      <c r="CS625" s="1"/>
      <c r="CT625" s="1"/>
      <c r="CU625" s="1"/>
    </row>
    <row r="626" spans="1:99" s="13" customFormat="1" ht="12" customHeight="1" x14ac:dyDescent="0.2">
      <c r="A626" s="68">
        <v>43509</v>
      </c>
      <c r="B626" s="70"/>
      <c r="C626" s="70"/>
      <c r="D626" s="69"/>
      <c r="E626" s="87"/>
      <c r="F626" s="69"/>
      <c r="G626" s="69"/>
      <c r="H626" s="69"/>
      <c r="I626" s="69"/>
      <c r="J626" s="69"/>
      <c r="K626" s="107"/>
      <c r="L626" s="107"/>
      <c r="M626" s="69"/>
      <c r="N626" s="69"/>
      <c r="O626" s="69"/>
      <c r="P626" s="69"/>
      <c r="Q626" s="69"/>
      <c r="R626" s="69"/>
      <c r="S626" s="69"/>
      <c r="T626" s="69"/>
      <c r="U626" s="69"/>
      <c r="V626" s="69"/>
      <c r="W626" s="69"/>
      <c r="X626" s="69"/>
      <c r="Y626" s="87"/>
      <c r="Z626" s="69"/>
      <c r="AA626" s="69"/>
      <c r="AB626" s="69"/>
      <c r="AC626" s="69"/>
      <c r="AD626" s="69"/>
      <c r="AE626" s="69"/>
      <c r="AF626" s="88"/>
      <c r="AG626" s="72"/>
      <c r="AH626" s="4"/>
      <c r="AI626" s="72"/>
      <c r="AJ626" s="110"/>
      <c r="AK626" s="72"/>
      <c r="AL626" s="72"/>
      <c r="AM626" s="72"/>
      <c r="AN626" s="72"/>
      <c r="AO626" s="72"/>
      <c r="AP626" s="72"/>
      <c r="AQ626" s="72"/>
      <c r="AR626" s="110"/>
      <c r="AS626" s="72"/>
      <c r="AT626" s="72"/>
      <c r="AU626" s="4"/>
      <c r="AV626" s="71">
        <f>60</f>
        <v>60</v>
      </c>
      <c r="AW626" s="71">
        <f>6*60</f>
        <v>360</v>
      </c>
      <c r="AX626" s="71">
        <f>18*60</f>
        <v>1080</v>
      </c>
      <c r="AY626" s="71">
        <f>24*3600*2</f>
        <v>172800</v>
      </c>
      <c r="AZ626" s="46"/>
      <c r="BA626" s="42"/>
      <c r="BB626" s="4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1"/>
      <c r="CS626" s="1"/>
      <c r="CT626" s="1"/>
      <c r="CU626" s="1"/>
    </row>
    <row r="627" spans="1:99" s="13" customFormat="1" ht="12" customHeight="1" x14ac:dyDescent="0.2">
      <c r="A627" s="68">
        <v>43509</v>
      </c>
      <c r="B627" s="70" t="s">
        <v>113</v>
      </c>
      <c r="C627" s="70" t="s">
        <v>114</v>
      </c>
      <c r="D627" s="69">
        <v>1969</v>
      </c>
      <c r="E627" s="87">
        <v>1</v>
      </c>
      <c r="F627" s="69">
        <v>189</v>
      </c>
      <c r="G627" s="69">
        <v>47.3</v>
      </c>
      <c r="H627" s="69" t="s">
        <v>50</v>
      </c>
      <c r="I627" s="69" t="s">
        <v>718</v>
      </c>
      <c r="J627" s="69" t="s">
        <v>90</v>
      </c>
      <c r="K627" s="69">
        <f>IF(J627="syllables",1,IF(J627="trigrams",2,IF(J627="strings",3,IF(J627="visual array",4,IF(J627="characters",5,IF(J627="letters",6,IF(J627="free forms",7,IF(J627="odors",8,IF(J627="words",9,IF(J627="pictures",10,IF(J627="object pictures",11,IF(J627="faces",12,IF(J627="names",13,IF(J627="idioms",14,IF(J627="grades",15,IF(J627="syllable-digit pairs",16,IF(J627="trigram-word pairs",17,IF(J627="word-digit pairs",18,IF(J627="English-Swahili pairs",19,IF(J627="spatial position",20,IF(J627="word pairs",21,IF(J627="word triads",22,IF(J627="generated words",23,IF(J627="word definition pairs",24,IF(J627="math problems",25,IF(J627="famous faces",26,IF(J627="famous names",27,IF(J627="famous voices",28,IF(J627="television programs",29,IF(J627="race horses",30,IF(J627="new vocabulary",31,IF(J627="sentences",32,IF(J627="concepts",33,IF(J627="ad slides",34,IF(J627="scenes",35,IF(J627="famous scenes",36,IF(J627="poems",37,IF(J627="walk",38,IF(J627="faces and events",39,IF(J627="events and names",40,IF(J627="flashbulb",41,IF(J627="stories",42,IF(J627="course material",43,IF(J627="autobiographical",44,IF(J627="novels",45,IF(J627="public events",46,"99"))))))))))))))))))))))))))))))))))))))))))))))</f>
        <v>18</v>
      </c>
      <c r="L627" s="69">
        <f>IF(J627="syllables",1,IF(J627="trigrams",1,IF(J627="strings",1,IF(J627="visual array",1,IF(J627="characters",1,IF(J627="letters",1,IF(J627="free forms",1,IF(J627="odors",2,IF(J627="words",2,IF(J627="pictures",2,IF(J627="object pictures",2,IF(J627="faces",2,IF(J627="names",2,IF(J627="idioms","2",IF(J627="grades",2,IF(J627="syllable-digit pairs",3,IF(J627="trigram-word pairs",3,IF(J627="word-digit pairs",3,IF(J627="English-Swahili pairs",3,IF(J627="spatial position",3,IF(J627="word pairs",4,IF(J627="word triads",4,IF(J627="generated words",4,IF(J627="word definition pairs",4,IF(J627="math problems",4,IF(J627="famous faces",4,IF(J627="famous names",4,IF(J627="famous voices",4,IF(J627="television programs",4,IF(J627="race horses",4,IF(J627="new vocabulary",4,IF(J627="sentences",5,IF(J627="concepts",5,IF(J627="ad slides",5,IF(J627="scenes",5,IF(J627="famous scenes",5,IF(J627="poems",6,IF(J627="walk",6,IF(J627="faces and events",6,IF(J627="events and names",6,IF(J627="flashbulb",7,IF(J627="stories",7,IF(J627="course material",7,IF(J627="autobiographical",7,IF(J627="novels",7,IF(J627="public events",7,"99"))))))))))))))))))))))))))))))))))))))))))))))</f>
        <v>3</v>
      </c>
      <c r="M627" s="69">
        <v>0</v>
      </c>
      <c r="N627" s="69">
        <v>1</v>
      </c>
      <c r="O627" s="69">
        <v>0</v>
      </c>
      <c r="P627" s="69"/>
      <c r="Q627" s="69" t="s">
        <v>174</v>
      </c>
      <c r="R627" s="69">
        <f>IF(Q627="Free Recall",1,IF(Q627="Cued Recall",2,IF(Q627="Recognition",3,IF(Q627="Multiple Choice",4,IF(Q627="Savings",5,IF(Q627="Stem Completion",6,IF(Q627="Fragment Completion",7,IF(Q627="anagram solution",8,IF(Q627="Matching",9,IF(Q627="Problem Solving",10,"99"))))))))))</f>
        <v>1</v>
      </c>
      <c r="S627" s="69" t="s">
        <v>49</v>
      </c>
      <c r="T627" s="92" t="s">
        <v>261</v>
      </c>
      <c r="U627" s="69">
        <f>IF(T627="within",1,0)</f>
        <v>0</v>
      </c>
      <c r="V627" s="92">
        <v>6</v>
      </c>
      <c r="W627" s="69">
        <f>F627*V627</f>
        <v>1134</v>
      </c>
      <c r="X627" s="69">
        <v>4</v>
      </c>
      <c r="Y627" s="87">
        <f>AV626</f>
        <v>60</v>
      </c>
      <c r="Z627" s="69" t="s">
        <v>88</v>
      </c>
      <c r="AA627" s="69">
        <v>172800</v>
      </c>
      <c r="AB627" s="69" t="str">
        <f>IF(AA627&lt;60,"1",IF(AA627&lt;=43200,"2",IF(AA627&lt;=777600,"3","4")))</f>
        <v>3</v>
      </c>
      <c r="AC627" s="72">
        <f>AVERAGE(AV626:DA626)</f>
        <v>43575</v>
      </c>
      <c r="AD627" s="69" t="str">
        <f>IF(AC627&lt;60,"1",IF(AC627&lt;=43200,"2",IF(AC627&lt;=777600,"3","4")))</f>
        <v>3</v>
      </c>
      <c r="AE627" s="87">
        <f>AA627-Y627</f>
        <v>172740</v>
      </c>
      <c r="AF627" s="88">
        <f>AV627</f>
        <v>0.56999999999999995</v>
      </c>
      <c r="AG627" s="72">
        <f>((AW627-AV627)+(AX627-AW627)+(AY627-AX627))/3</f>
        <v>-0.10666666666666665</v>
      </c>
      <c r="AH627" s="4"/>
      <c r="AI627" s="72">
        <f>RSQ(AV627:AY627,AV626:AY626)</f>
        <v>0.61894199747183909</v>
      </c>
      <c r="AJ627" s="110">
        <f>SLOPE(AV627:AY627,AV626:AY626)</f>
        <v>-1.2034348073863645E-6</v>
      </c>
      <c r="AK627" s="72">
        <f>INTERCEPT(AV627:AY627,AV626:AY626)</f>
        <v>0.45743967173186084</v>
      </c>
      <c r="AL627" s="72">
        <f>INDEX(LINEST(LN(AV627:AY627),LN(AV626:AY626),TRUE,TRUE),3,1)</f>
        <v>0.96596409056871069</v>
      </c>
      <c r="AM627" s="72">
        <f>INDEX(LINEST(LN(AV627:AY627),LN(AV626:AY626)),1)</f>
        <v>-9.794832078783669E-2</v>
      </c>
      <c r="AN627" s="72">
        <f>EXP(INDEX(LINEST(LN(AV627:AY627),LN(AV626:AY626)),1,2))</f>
        <v>0.79046364157693272</v>
      </c>
      <c r="AO627" s="89">
        <f>INDEX(LINEST((AV627:AY627),LN(AV626:AY626),TRUE,TRUE),3,1)</f>
        <v>0.89794515843040579</v>
      </c>
      <c r="AP627" s="89">
        <f>INDEX(LINEST((AV627:AY627),LN(AV626:AY626)),1)</f>
        <v>-3.6547961498314546E-2</v>
      </c>
      <c r="AQ627" s="90">
        <f>INDEX(LINEST(LN(AV627:AY627),SQRT(AV626:AY626),TRUE,TRUE),3,1)</f>
        <v>0.78465026738920318</v>
      </c>
      <c r="AR627" s="117">
        <f>INDEX(LINEST(LN(AV627:AY627),SQRT((AV626:AY626))),1)</f>
        <v>-1.5219845060563679E-3</v>
      </c>
      <c r="AS627" s="91">
        <f>INDEX(LINEST(1/(AV627:AY627),1/(SQRT(AV626:AY626)),TRUE,TRUE),3,1)</f>
        <v>0.77688887800249518</v>
      </c>
      <c r="AT627" s="91">
        <f>INDEX(LINEST(1/(AV627:AY627),1/SQRT(AV626:AY626)),1)</f>
        <v>-15.36036027588885</v>
      </c>
      <c r="AU627" s="3"/>
      <c r="AV627" s="73">
        <v>0.56999999999999995</v>
      </c>
      <c r="AW627" s="73">
        <v>0.42</v>
      </c>
      <c r="AX627" s="73">
        <v>0.38</v>
      </c>
      <c r="AY627" s="73">
        <v>0.25</v>
      </c>
      <c r="AZ627" s="46"/>
      <c r="BA627" s="42"/>
      <c r="BB627" s="4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1"/>
      <c r="CS627" s="1"/>
      <c r="CT627" s="1"/>
      <c r="CU627" s="1"/>
    </row>
    <row r="628" spans="1:99" s="13" customFormat="1" ht="12" customHeight="1" x14ac:dyDescent="0.2">
      <c r="A628" s="65">
        <v>43896</v>
      </c>
      <c r="B628" s="1"/>
      <c r="D628" s="61"/>
      <c r="E628" s="76"/>
      <c r="F628" s="60"/>
      <c r="G628" s="60"/>
      <c r="H628" s="60"/>
      <c r="I628" s="60"/>
      <c r="J628" s="60"/>
      <c r="K628" s="64"/>
      <c r="L628" s="64"/>
      <c r="M628" s="60"/>
      <c r="N628" s="59"/>
      <c r="O628" s="60"/>
      <c r="P628" s="60"/>
      <c r="Q628" s="60"/>
      <c r="R628" s="60"/>
      <c r="S628" s="60"/>
      <c r="T628" s="60"/>
      <c r="U628" s="60"/>
      <c r="V628" s="60"/>
      <c r="W628" s="60"/>
      <c r="X628" s="60"/>
      <c r="Y628" s="76"/>
      <c r="Z628" s="60"/>
      <c r="AA628" s="60"/>
      <c r="AB628" s="60"/>
      <c r="AC628" s="56"/>
      <c r="AD628" s="60"/>
      <c r="AE628" s="60"/>
      <c r="AF628" s="80"/>
      <c r="AG628" s="56"/>
      <c r="AH628" s="4"/>
      <c r="AI628" s="56"/>
      <c r="AJ628" s="109"/>
      <c r="AK628" s="56"/>
      <c r="AL628" s="56"/>
      <c r="AM628" s="56"/>
      <c r="AN628" s="56"/>
      <c r="AO628" s="82"/>
      <c r="AP628" s="82"/>
      <c r="AQ628" s="83"/>
      <c r="AR628" s="116"/>
      <c r="AS628" s="84"/>
      <c r="AT628" s="84"/>
      <c r="AU628" s="3"/>
      <c r="AV628" s="25">
        <v>315360000</v>
      </c>
      <c r="AW628" s="25">
        <v>630720000</v>
      </c>
      <c r="AX628" s="25">
        <v>646080000</v>
      </c>
      <c r="AY628" s="25">
        <v>12614400000</v>
      </c>
      <c r="AZ628" s="25">
        <v>1576800000</v>
      </c>
      <c r="BA628" s="25">
        <v>1892160000</v>
      </c>
      <c r="BB628" s="42"/>
      <c r="BC628" s="28"/>
      <c r="BD628" s="28"/>
      <c r="BE628" s="28"/>
      <c r="BF628" s="28"/>
      <c r="BG628" s="28"/>
      <c r="BH628" s="28"/>
      <c r="BI628" s="28"/>
      <c r="BJ628" s="28"/>
      <c r="BK628" s="28"/>
      <c r="BL628" s="28"/>
      <c r="BM628" s="28"/>
      <c r="BN628" s="28"/>
      <c r="BO628" s="28"/>
      <c r="BP628" s="28"/>
      <c r="BQ628" s="28"/>
      <c r="BR628" s="28"/>
      <c r="BS628" s="28"/>
      <c r="BT628" s="28"/>
      <c r="BU628" s="28"/>
      <c r="BV628" s="28"/>
      <c r="BW628" s="28"/>
      <c r="BX628" s="28"/>
      <c r="BY628" s="28"/>
      <c r="BZ628" s="28"/>
      <c r="CA628" s="28"/>
      <c r="CB628" s="28"/>
      <c r="CC628" s="28"/>
      <c r="CD628" s="28"/>
      <c r="CE628" s="28"/>
      <c r="CF628" s="28"/>
      <c r="CG628" s="28"/>
      <c r="CH628" s="28"/>
      <c r="CI628" s="28"/>
      <c r="CJ628" s="28"/>
      <c r="CK628" s="28"/>
      <c r="CL628" s="28"/>
      <c r="CM628" s="28"/>
      <c r="CN628" s="28"/>
      <c r="CO628" s="28"/>
      <c r="CP628" s="28"/>
      <c r="CQ628" s="28"/>
      <c r="CR628" s="1"/>
      <c r="CS628" s="1"/>
      <c r="CT628" s="1"/>
      <c r="CU628" s="1"/>
    </row>
    <row r="629" spans="1:99" s="13" customFormat="1" ht="12" customHeight="1" x14ac:dyDescent="0.2">
      <c r="A629" s="65">
        <v>43896</v>
      </c>
      <c r="B629" s="1" t="s">
        <v>352</v>
      </c>
      <c r="C629" s="1" t="s">
        <v>54</v>
      </c>
      <c r="D629" s="60">
        <v>1986</v>
      </c>
      <c r="E629" s="76">
        <v>1</v>
      </c>
      <c r="F629" s="60">
        <v>5</v>
      </c>
      <c r="G629" s="60">
        <v>5</v>
      </c>
      <c r="H629" s="60" t="s">
        <v>38</v>
      </c>
      <c r="I629" s="60" t="s">
        <v>330</v>
      </c>
      <c r="J629" s="60" t="s">
        <v>340</v>
      </c>
      <c r="K629" s="60">
        <f>IF(J629="syllables",1,IF(J629="trigrams",2,IF(J629="strings",3,IF(J629="visual array",4,IF(J629="characters",5,IF(J629="letters",6,IF(J629="free forms",7,IF(J629="odors",8,IF(J629="words",9,IF(J629="pictures",10,IF(J629="object pictures",11,IF(J629="faces",12,IF(J629="names",13,IF(J629="idioms",14,IF(J629="grades",15,IF(J629="syllable-digit pairs",16,IF(J629="trigram-word pairs",17,IF(J629="word-digit pairs",18,IF(J629="English-Swahili pairs",19,IF(J629="spatial position",20,IF(J629="word pairs",21,IF(J629="word triads",22,IF(J629="generated words",23,IF(J629="word definition pairs",24,IF(J629="math problems",25,IF(J629="famous faces",26,IF(J629="famous names",27,IF(J629="famous voices",28,IF(J629="television programs",29,IF(J629="race horses",30,IF(J629="new vocabulary",31,IF(J629="sentences",32,IF(J629="concepts",33,IF(J629="ad slides",34,IF(J629="scenes",35,IF(J629="famous scenes",36,IF(J629="poems",37,IF(J629="walk",38,IF(J629="faces and events",39,IF(J629="events and names",40,IF(J629="flashbulb",41,IF(J629="stories",42,IF(J629="course material",43,IF(J629="autobiographical",44,IF(J629="novels",45,IF(J629="public events",46,"99"))))))))))))))))))))))))))))))))))))))))))))))</f>
        <v>46</v>
      </c>
      <c r="L629" s="60">
        <f>IF(J629="syllables",1,IF(J629="trigrams",1,IF(J629="strings",1,IF(J629="visual array",1,IF(J629="characters",1,IF(J629="letters",1,IF(J629="free forms",1,IF(J629="odors",2,IF(J629="words",2,IF(J629="pictures",2,IF(J629="object pictures",2,IF(J629="faces",2,IF(J629="names",2,IF(J629="idioms","2",IF(J629="grades",2,IF(J629="syllable-digit pairs",3,IF(J629="trigram-word pairs",3,IF(J629="word-digit pairs",3,IF(J629="English-Swahili pairs",3,IF(J629="spatial position",3,IF(J629="word pairs",4,IF(J629="word triads",4,IF(J629="generated words",4,IF(J629="word definition pairs",4,IF(J629="math problems",4,IF(J629="famous faces",4,IF(J629="famous names",4,IF(J629="famous voices",4,IF(J629="television programs",4,IF(J629="race horses",4,IF(J629="new vocabulary",4,IF(J629="sentences",5,IF(J629="concepts",5,IF(J629="ad slides",5,IF(J629="scenes",5,IF(J629="famous scenes",5,IF(J629="poems",6,IF(J629="walk",6,IF(J629="faces and events",6,IF(J629="events and names",6,IF(J629="flashbulb",7,IF(J629="stories",7,IF(J629="course material",7,IF(J629="autobiographical",7,IF(J629="novels",7,IF(J629="public events",7,"99"))))))))))))))))))))))))))))))))))))))))))))))</f>
        <v>7</v>
      </c>
      <c r="M629" s="60">
        <v>1</v>
      </c>
      <c r="N629" s="59">
        <v>4</v>
      </c>
      <c r="O629" s="60">
        <v>0</v>
      </c>
      <c r="P629" s="60"/>
      <c r="Q629" s="60" t="s">
        <v>174</v>
      </c>
      <c r="R629" s="60">
        <f>IF(Q629="Free Recall",1,IF(Q629="Cued Recall",2,IF(Q629="Recognition",3,IF(Q629="Multiple Choice",4,IF(Q629="Savings",5,IF(Q629="Stem Completion",6,IF(Q629="Fragment Completion",7,IF(Q629="anagram solution",8,IF(Q629="Matching",9,IF(Q629="Problem Solving",10,"99"))))))))))</f>
        <v>1</v>
      </c>
      <c r="S629" s="60" t="s">
        <v>49</v>
      </c>
      <c r="T629" s="59" t="s">
        <v>581</v>
      </c>
      <c r="U629" s="60">
        <f>IF(T629="within",1,0)</f>
        <v>1</v>
      </c>
      <c r="V629" s="59">
        <v>80</v>
      </c>
      <c r="W629" s="60">
        <f>F629*V629</f>
        <v>400</v>
      </c>
      <c r="X629" s="60">
        <v>6</v>
      </c>
      <c r="Y629" s="76">
        <f>AV628</f>
        <v>315360000</v>
      </c>
      <c r="Z629" s="59" t="s">
        <v>419</v>
      </c>
      <c r="AA629" s="60">
        <f>60*365*24*60*60</f>
        <v>1892160000</v>
      </c>
      <c r="AB629" s="60" t="str">
        <f>IF(AA629&lt;60,"1",IF(AA629&lt;=43200,"2",IF(AA629&lt;=777600,"3","4")))</f>
        <v>4</v>
      </c>
      <c r="AC629" s="56">
        <f>AVERAGE(AV628:DA628)</f>
        <v>2945920000</v>
      </c>
      <c r="AD629" s="60" t="str">
        <f>IF(AC629&lt;60,"1",IF(AC629&lt;=43200,"2",IF(AC629&lt;=777600,"3","4")))</f>
        <v>4</v>
      </c>
      <c r="AE629" s="76">
        <f>AA629-Y629</f>
        <v>1576800000</v>
      </c>
      <c r="AF629" s="80">
        <f>AV629</f>
        <v>0.64102564102564097</v>
      </c>
      <c r="AG629" s="56">
        <f>((AW629-AV629)+(AX629-AW629)+(AY629-AX629)+(AZ629-AY629)+(BA629-AZ629))/5</f>
        <v>-0.11619311619311619</v>
      </c>
      <c r="AH629" s="4"/>
      <c r="AI629" s="56">
        <f>RSQ(AV629:BA629,AV628:BA628)</f>
        <v>1.5812427452449642E-4</v>
      </c>
      <c r="AJ629" s="109">
        <f>SLOPE(AV629:BA629,AV628:BA628)</f>
        <v>5.3527357686623139E-13</v>
      </c>
      <c r="AK629" s="56">
        <f>INTERCEPT(AV629:BA629,AV628:BA628)</f>
        <v>0.40510793091623393</v>
      </c>
      <c r="AL629" s="56">
        <f>INDEX(LINEST(LN(AV629:BA629),LN(AV628:BA628),TRUE,TRUE),3,1)</f>
        <v>5.3976173266513904E-2</v>
      </c>
      <c r="AM629" s="56">
        <f>INDEX(LINEST(LN(AV629:BA629),LN(AV628:BA628)),1)</f>
        <v>-0.15567545715976089</v>
      </c>
      <c r="AN629" s="56">
        <f>EXP(INDEX(LINEST(LN(AV629:BA629),LN(AV628:BA628)),1,2))</f>
        <v>8.6416202459170179</v>
      </c>
      <c r="AO629" s="82">
        <f>INDEX(LINEST((AV629:BA629),LN(AV628:BA628),TRUE,TRUE),3,1)</f>
        <v>0.11536029244654912</v>
      </c>
      <c r="AP629" s="82">
        <f>INDEX(LINEST((AV629:BA629),LN(AV628:BA628)),1)</f>
        <v>-5.3395643915034534E-2</v>
      </c>
      <c r="AQ629" s="83">
        <f>INDEX(LINEST(LN(AV629:BA629),SQRT(AV628:BA628),TRUE,TRUE),3,1)</f>
        <v>1.929573603041223E-3</v>
      </c>
      <c r="AR629" s="116">
        <f>INDEX(LINEST(LN(AV629:BA629),SQRT((AV628:BA628))),1)</f>
        <v>-1.0918309905305978E-6</v>
      </c>
      <c r="AS629" s="84">
        <f>INDEX(LINEST(1/(AV629:BA629),1/(SQRT(AV628:BA628)),TRUE,TRUE),3,1)</f>
        <v>9.6218128317737517E-2</v>
      </c>
      <c r="AT629" s="84">
        <f>INDEX(LINEST(1/(AV629:BA629),1/SQRT(AV628:BA628)),1)</f>
        <v>-110930.58868884285</v>
      </c>
      <c r="AU629" s="3"/>
      <c r="AV629" s="53">
        <v>0.64102564102564097</v>
      </c>
      <c r="AW629" s="53">
        <v>0.56000000000000005</v>
      </c>
      <c r="AX629" s="53">
        <v>0.37974683544303794</v>
      </c>
      <c r="AY629" s="53">
        <v>0.45977011494252878</v>
      </c>
      <c r="AZ629" s="53">
        <v>0.33950617283950618</v>
      </c>
      <c r="BA629" s="53">
        <v>6.006006006006006E-2</v>
      </c>
      <c r="BB629" s="42"/>
      <c r="BC629" s="28"/>
      <c r="BD629" s="28"/>
      <c r="BE629" s="28"/>
      <c r="BF629" s="28"/>
      <c r="BG629" s="28"/>
      <c r="BH629" s="28"/>
      <c r="BI629" s="28"/>
      <c r="BJ629" s="28"/>
      <c r="BK629" s="28"/>
      <c r="BL629" s="28"/>
      <c r="BM629" s="28"/>
      <c r="BN629" s="28"/>
      <c r="BO629" s="28"/>
      <c r="BP629" s="28"/>
      <c r="BQ629" s="28"/>
      <c r="BR629" s="28"/>
      <c r="BS629" s="28"/>
      <c r="BT629" s="28"/>
      <c r="BU629" s="28"/>
      <c r="BV629" s="28"/>
      <c r="BW629" s="28"/>
      <c r="BX629" s="28"/>
      <c r="BY629" s="28"/>
      <c r="BZ629" s="28"/>
      <c r="CA629" s="28"/>
      <c r="CB629" s="28"/>
      <c r="CC629" s="28"/>
      <c r="CD629" s="28"/>
      <c r="CE629" s="28"/>
      <c r="CF629" s="28"/>
      <c r="CG629" s="28"/>
      <c r="CH629" s="28"/>
      <c r="CI629" s="28"/>
      <c r="CJ629" s="28"/>
      <c r="CK629" s="28"/>
      <c r="CL629" s="28"/>
      <c r="CM629" s="28"/>
      <c r="CN629" s="28"/>
      <c r="CO629" s="28"/>
      <c r="CP629" s="28"/>
      <c r="CQ629" s="28"/>
      <c r="CR629" s="1"/>
      <c r="CS629" s="1"/>
      <c r="CT629" s="1"/>
      <c r="CU629" s="1"/>
    </row>
    <row r="630" spans="1:99" s="13" customFormat="1" ht="12" customHeight="1" x14ac:dyDescent="0.2">
      <c r="A630" s="65">
        <v>43896</v>
      </c>
      <c r="B630" s="1"/>
      <c r="D630" s="61"/>
      <c r="E630" s="76"/>
      <c r="F630" s="60"/>
      <c r="G630" s="60"/>
      <c r="H630" s="60"/>
      <c r="I630" s="60"/>
      <c r="J630" s="60"/>
      <c r="K630" s="64"/>
      <c r="L630" s="64"/>
      <c r="M630" s="60"/>
      <c r="N630" s="59"/>
      <c r="O630" s="60"/>
      <c r="P630" s="60"/>
      <c r="Q630" s="60"/>
      <c r="R630" s="60"/>
      <c r="S630" s="60"/>
      <c r="T630" s="59"/>
      <c r="U630" s="60"/>
      <c r="V630" s="59"/>
      <c r="W630" s="60"/>
      <c r="X630" s="60"/>
      <c r="Y630" s="76"/>
      <c r="Z630" s="59"/>
      <c r="AA630" s="59"/>
      <c r="AB630" s="60"/>
      <c r="AC630" s="56"/>
      <c r="AD630" s="60"/>
      <c r="AE630" s="60"/>
      <c r="AF630" s="80"/>
      <c r="AG630" s="56"/>
      <c r="AH630" s="4"/>
      <c r="AI630" s="56"/>
      <c r="AJ630" s="109"/>
      <c r="AK630" s="56"/>
      <c r="AL630" s="56"/>
      <c r="AM630" s="56"/>
      <c r="AN630" s="56"/>
      <c r="AO630" s="82"/>
      <c r="AP630" s="82"/>
      <c r="AQ630" s="83"/>
      <c r="AR630" s="116"/>
      <c r="AS630" s="84"/>
      <c r="AT630" s="84"/>
      <c r="AU630" s="3"/>
      <c r="AV630" s="25">
        <v>315360000</v>
      </c>
      <c r="AW630" s="25">
        <v>630720000</v>
      </c>
      <c r="AX630" s="25">
        <v>646080000</v>
      </c>
      <c r="AY630" s="25">
        <v>12614400000</v>
      </c>
      <c r="AZ630" s="25">
        <v>1576800000</v>
      </c>
      <c r="BA630" s="25">
        <v>1892160000</v>
      </c>
      <c r="BB630" s="42"/>
      <c r="BC630" s="28"/>
      <c r="BD630" s="28"/>
      <c r="BE630" s="28"/>
      <c r="BF630" s="28"/>
      <c r="BG630" s="28"/>
      <c r="BH630" s="28"/>
      <c r="BI630" s="28"/>
      <c r="BJ630" s="28"/>
      <c r="BK630" s="28"/>
      <c r="BL630" s="28"/>
      <c r="BM630" s="28"/>
      <c r="BN630" s="28"/>
      <c r="BO630" s="28"/>
      <c r="BP630" s="28"/>
      <c r="BQ630" s="28"/>
      <c r="BR630" s="28"/>
      <c r="BS630" s="28"/>
      <c r="BT630" s="28"/>
      <c r="BU630" s="28"/>
      <c r="BV630" s="28"/>
      <c r="BW630" s="28"/>
      <c r="BX630" s="28"/>
      <c r="BY630" s="28"/>
      <c r="BZ630" s="28"/>
      <c r="CA630" s="28"/>
      <c r="CB630" s="28"/>
      <c r="CC630" s="28"/>
      <c r="CD630" s="28"/>
      <c r="CE630" s="28"/>
      <c r="CF630" s="28"/>
      <c r="CG630" s="28"/>
      <c r="CH630" s="28"/>
      <c r="CI630" s="28"/>
      <c r="CJ630" s="28"/>
      <c r="CK630" s="28"/>
      <c r="CL630" s="28"/>
      <c r="CM630" s="28"/>
      <c r="CN630" s="28"/>
      <c r="CO630" s="28"/>
      <c r="CP630" s="28"/>
      <c r="CQ630" s="28"/>
      <c r="CR630" s="1"/>
      <c r="CS630" s="1"/>
      <c r="CT630" s="1"/>
      <c r="CU630" s="1"/>
    </row>
    <row r="631" spans="1:99" s="13" customFormat="1" ht="12" customHeight="1" x14ac:dyDescent="0.2">
      <c r="A631" s="65">
        <v>43896</v>
      </c>
      <c r="B631" s="1" t="s">
        <v>352</v>
      </c>
      <c r="C631" s="1" t="s">
        <v>54</v>
      </c>
      <c r="D631" s="60">
        <v>1986</v>
      </c>
      <c r="E631" s="76">
        <v>1</v>
      </c>
      <c r="F631" s="60">
        <v>5</v>
      </c>
      <c r="G631" s="60">
        <v>5</v>
      </c>
      <c r="H631" s="60" t="s">
        <v>38</v>
      </c>
      <c r="I631" s="60" t="s">
        <v>330</v>
      </c>
      <c r="J631" s="60" t="s">
        <v>340</v>
      </c>
      <c r="K631" s="60">
        <f>IF(J631="syllables",1,IF(J631="trigrams",2,IF(J631="strings",3,IF(J631="visual array",4,IF(J631="characters",5,IF(J631="letters",6,IF(J631="free forms",7,IF(J631="odors",8,IF(J631="words",9,IF(J631="pictures",10,IF(J631="object pictures",11,IF(J631="faces",12,IF(J631="names",13,IF(J631="idioms",14,IF(J631="grades",15,IF(J631="syllable-digit pairs",16,IF(J631="trigram-word pairs",17,IF(J631="word-digit pairs",18,IF(J631="English-Swahili pairs",19,IF(J631="spatial position",20,IF(J631="word pairs",21,IF(J631="word triads",22,IF(J631="generated words",23,IF(J631="word definition pairs",24,IF(J631="math problems",25,IF(J631="famous faces",26,IF(J631="famous names",27,IF(J631="famous voices",28,IF(J631="television programs",29,IF(J631="race horses",30,IF(J631="new vocabulary",31,IF(J631="sentences",32,IF(J631="concepts",33,IF(J631="ad slides",34,IF(J631="scenes",35,IF(J631="famous scenes",36,IF(J631="poems",37,IF(J631="walk",38,IF(J631="faces and events",39,IF(J631="events and names",40,IF(J631="flashbulb",41,IF(J631="stories",42,IF(J631="course material",43,IF(J631="autobiographical",44,IF(J631="novels",45,IF(J631="public events",46,"99"))))))))))))))))))))))))))))))))))))))))))))))</f>
        <v>46</v>
      </c>
      <c r="L631" s="60">
        <f>IF(J631="syllables",1,IF(J631="trigrams",1,IF(J631="strings",1,IF(J631="visual array",1,IF(J631="characters",1,IF(J631="letters",1,IF(J631="free forms",1,IF(J631="odors",2,IF(J631="words",2,IF(J631="pictures",2,IF(J631="object pictures",2,IF(J631="faces",2,IF(J631="names",2,IF(J631="idioms","2",IF(J631="grades",2,IF(J631="syllable-digit pairs",3,IF(J631="trigram-word pairs",3,IF(J631="word-digit pairs",3,IF(J631="English-Swahili pairs",3,IF(J631="spatial position",3,IF(J631="word pairs",4,IF(J631="word triads",4,IF(J631="generated words",4,IF(J631="word definition pairs",4,IF(J631="math problems",4,IF(J631="famous faces",4,IF(J631="famous names",4,IF(J631="famous voices",4,IF(J631="television programs",4,IF(J631="race horses",4,IF(J631="new vocabulary",4,IF(J631="sentences",5,IF(J631="concepts",5,IF(J631="ad slides",5,IF(J631="scenes",5,IF(J631="famous scenes",5,IF(J631="poems",6,IF(J631="walk",6,IF(J631="faces and events",6,IF(J631="events and names",6,IF(J631="flashbulb",7,IF(J631="stories",7,IF(J631="course material",7,IF(J631="autobiographical",7,IF(J631="novels",7,IF(J631="public events",7,"99"))))))))))))))))))))))))))))))))))))))))))))))</f>
        <v>7</v>
      </c>
      <c r="M631" s="60">
        <v>1</v>
      </c>
      <c r="N631" s="59">
        <v>4</v>
      </c>
      <c r="O631" s="60">
        <v>0</v>
      </c>
      <c r="P631" s="60"/>
      <c r="Q631" s="60" t="s">
        <v>182</v>
      </c>
      <c r="R631" s="60">
        <f>IF(Q631="Free Recall",1,IF(Q631="Cued Recall",2,IF(Q631="Recognition",3,IF(Q631="Multiple Choice",4,IF(Q631="Savings",5,IF(Q631="Stem Completion",6,IF(Q631="Fragment Completion",7,IF(Q631="anagram solution",8,IF(Q631="Matching",9,IF(Q631="Problem Solving",10,"99"))))))))))</f>
        <v>4</v>
      </c>
      <c r="S631" s="60" t="s">
        <v>15</v>
      </c>
      <c r="T631" s="59" t="s">
        <v>581</v>
      </c>
      <c r="U631" s="60">
        <f>IF(T631="within",1,0)</f>
        <v>1</v>
      </c>
      <c r="V631" s="59">
        <v>80</v>
      </c>
      <c r="W631" s="60">
        <f>F631*V631</f>
        <v>400</v>
      </c>
      <c r="X631" s="60">
        <v>6</v>
      </c>
      <c r="Y631" s="76">
        <f>AV630</f>
        <v>315360000</v>
      </c>
      <c r="Z631" s="59" t="s">
        <v>419</v>
      </c>
      <c r="AA631" s="60">
        <f>60*365*24*60*60</f>
        <v>1892160000</v>
      </c>
      <c r="AB631" s="60" t="str">
        <f>IF(AA631&lt;60,"1",IF(AA631&lt;=43200,"2",IF(AA631&lt;=777600,"3","4")))</f>
        <v>4</v>
      </c>
      <c r="AC631" s="56">
        <f>AVERAGE(AV630:DA630)</f>
        <v>2945920000</v>
      </c>
      <c r="AD631" s="60" t="str">
        <f>IF(AC631&lt;60,"1",IF(AC631&lt;=43200,"2",IF(AC631&lt;=777600,"3","4")))</f>
        <v>4</v>
      </c>
      <c r="AE631" s="76">
        <f>AA631-Y631</f>
        <v>1576800000</v>
      </c>
      <c r="AF631" s="80">
        <f>AV631</f>
        <v>0.83333333333333337</v>
      </c>
      <c r="AG631" s="56">
        <f>((AW631-AV631)+(AX631-AW631)+(AY631-AX631)+(AZ631-AY631)+(BA631-AZ631))/5</f>
        <v>-0.12068965517241378</v>
      </c>
      <c r="AH631" s="4"/>
      <c r="AI631" s="56">
        <f>RSQ(AV631:BA631,AV630:BA630)</f>
        <v>3.376924157785319E-3</v>
      </c>
      <c r="AJ631" s="109">
        <f>SLOPE(AV631:BA631,AV630:BA630)</f>
        <v>-2.6217097552020363E-12</v>
      </c>
      <c r="AK631" s="56">
        <f>INTERCEPT(AV631:BA631,AV630:BA630)</f>
        <v>0.64119441054142257</v>
      </c>
      <c r="AL631" s="56">
        <f>INDEX(LINEST(LN(AV631:BA631),LN(AV630:BA630),TRUE,TRUE),3,1)</f>
        <v>8.4968416715099651E-2</v>
      </c>
      <c r="AM631" s="56">
        <f>INDEX(LINEST(LN(AV631:BA631),LN(AV630:BA630)),1)</f>
        <v>-0.10705750353645044</v>
      </c>
      <c r="AN631" s="56">
        <f>EXP(INDEX(LINEST(LN(AV631:BA631),LN(AV630:BA630)),1,2))</f>
        <v>5.5581651261611142</v>
      </c>
      <c r="AO631" s="82">
        <f>INDEX(LINEST((AV631:BA631),LN(AV630:BA630),TRUE,TRUE),3,1)</f>
        <v>0.1432980083002818</v>
      </c>
      <c r="AP631" s="82">
        <f>INDEX(LINEST((AV631:BA631),LN(AV630:BA630)),1)</f>
        <v>-6.3073242090405005E-2</v>
      </c>
      <c r="AQ631" s="83">
        <f>INDEX(LINEST(LN(AV631:BA631),SQRT(AV630:BA630),TRUE,TRUE),3,1)</f>
        <v>1.2789417948527311E-2</v>
      </c>
      <c r="AR631" s="116">
        <f>INDEX(LINEST(LN(AV631:BA631),SQRT((AV630:BA630))),1)</f>
        <v>-1.5407045936171615E-6</v>
      </c>
      <c r="AS631" s="84">
        <f>INDEX(LINEST(1/(AV631:BA631),1/(SQRT(AV630:BA630)),TRUE,TRUE),3,1)</f>
        <v>0.13400322788130217</v>
      </c>
      <c r="AT631" s="84">
        <f>INDEX(LINEST(1/(AV631:BA631),1/SQRT(AV630:BA630)),1)</f>
        <v>-26732.83228559907</v>
      </c>
      <c r="AU631" s="3"/>
      <c r="AV631" s="53">
        <v>0.83333333333333337</v>
      </c>
      <c r="AW631" s="53">
        <v>0.79746835443037967</v>
      </c>
      <c r="AX631" s="53">
        <v>0.67</v>
      </c>
      <c r="AY631" s="53">
        <v>0.65789473684210531</v>
      </c>
      <c r="AZ631" s="53">
        <v>0.61224489795918369</v>
      </c>
      <c r="BA631" s="53">
        <v>0.22988505747126439</v>
      </c>
      <c r="BB631" s="42"/>
      <c r="BC631" s="28"/>
      <c r="BD631" s="28"/>
      <c r="BE631" s="28"/>
      <c r="BF631" s="28"/>
      <c r="BG631" s="28"/>
      <c r="BH631" s="28"/>
      <c r="BI631" s="28"/>
      <c r="BJ631" s="28"/>
      <c r="BK631" s="28"/>
      <c r="BL631" s="28"/>
      <c r="BM631" s="28"/>
      <c r="BN631" s="28"/>
      <c r="BO631" s="28"/>
      <c r="BP631" s="28"/>
      <c r="BQ631" s="28"/>
      <c r="BR631" s="28"/>
      <c r="BS631" s="28"/>
      <c r="BT631" s="28"/>
      <c r="BU631" s="28"/>
      <c r="BV631" s="28"/>
      <c r="BW631" s="28"/>
      <c r="BX631" s="28"/>
      <c r="BY631" s="28"/>
      <c r="BZ631" s="28"/>
      <c r="CA631" s="28"/>
      <c r="CB631" s="28"/>
      <c r="CC631" s="28"/>
      <c r="CD631" s="28"/>
      <c r="CE631" s="28"/>
      <c r="CF631" s="28"/>
      <c r="CG631" s="28"/>
      <c r="CH631" s="28"/>
      <c r="CI631" s="28"/>
      <c r="CJ631" s="28"/>
      <c r="CK631" s="28"/>
      <c r="CL631" s="28"/>
      <c r="CM631" s="28"/>
      <c r="CN631" s="28"/>
      <c r="CO631" s="28"/>
      <c r="CP631" s="28"/>
      <c r="CQ631" s="28"/>
      <c r="CR631" s="1"/>
      <c r="CS631" s="1"/>
      <c r="CT631" s="1"/>
      <c r="CU631" s="1"/>
    </row>
    <row r="632" spans="1:99" s="13" customFormat="1" ht="12" customHeight="1" x14ac:dyDescent="0.2">
      <c r="A632" s="65">
        <v>43896</v>
      </c>
      <c r="B632" s="1"/>
      <c r="D632" s="61"/>
      <c r="E632" s="76"/>
      <c r="F632" s="60"/>
      <c r="G632" s="60"/>
      <c r="H632" s="60"/>
      <c r="I632" s="60"/>
      <c r="J632" s="60"/>
      <c r="K632" s="64"/>
      <c r="L632" s="64"/>
      <c r="M632" s="60"/>
      <c r="N632" s="59"/>
      <c r="O632" s="60"/>
      <c r="P632" s="60"/>
      <c r="Q632" s="60"/>
      <c r="R632" s="60"/>
      <c r="S632" s="60"/>
      <c r="T632" s="59"/>
      <c r="U632" s="60"/>
      <c r="V632" s="59"/>
      <c r="W632" s="60"/>
      <c r="X632" s="60"/>
      <c r="Y632" s="76"/>
      <c r="Z632" s="59"/>
      <c r="AA632" s="59"/>
      <c r="AB632" s="60"/>
      <c r="AC632" s="56"/>
      <c r="AD632" s="60"/>
      <c r="AE632" s="60"/>
      <c r="AF632" s="80"/>
      <c r="AG632" s="56"/>
      <c r="AH632" s="4"/>
      <c r="AI632" s="56"/>
      <c r="AJ632" s="109"/>
      <c r="AK632" s="56"/>
      <c r="AL632" s="56"/>
      <c r="AM632" s="56"/>
      <c r="AN632" s="56"/>
      <c r="AO632" s="82"/>
      <c r="AP632" s="82"/>
      <c r="AQ632" s="83"/>
      <c r="AR632" s="116"/>
      <c r="AS632" s="84"/>
      <c r="AT632" s="84"/>
      <c r="AU632" s="3"/>
      <c r="AV632" s="25">
        <v>315360000</v>
      </c>
      <c r="AW632" s="25">
        <v>630720000</v>
      </c>
      <c r="AX632" s="25">
        <v>646080000</v>
      </c>
      <c r="AY632" s="25">
        <v>12614400000</v>
      </c>
      <c r="AZ632" s="25">
        <v>1576800000</v>
      </c>
      <c r="BA632" s="53"/>
      <c r="BB632" s="42"/>
      <c r="BC632" s="28"/>
      <c r="BD632" s="28"/>
      <c r="BE632" s="28"/>
      <c r="BF632" s="28"/>
      <c r="BG632" s="28"/>
      <c r="BH632" s="28"/>
      <c r="BI632" s="28"/>
      <c r="BJ632" s="28"/>
      <c r="BK632" s="28"/>
      <c r="BL632" s="28"/>
      <c r="BM632" s="28"/>
      <c r="BN632" s="28"/>
      <c r="BO632" s="28"/>
      <c r="BP632" s="28"/>
      <c r="BQ632" s="28"/>
      <c r="BR632" s="28"/>
      <c r="BS632" s="28"/>
      <c r="BT632" s="28"/>
      <c r="BU632" s="28"/>
      <c r="BV632" s="28"/>
      <c r="BW632" s="28"/>
      <c r="BX632" s="28"/>
      <c r="BY632" s="28"/>
      <c r="BZ632" s="28"/>
      <c r="CA632" s="28"/>
      <c r="CB632" s="28"/>
      <c r="CC632" s="28"/>
      <c r="CD632" s="28"/>
      <c r="CE632" s="28"/>
      <c r="CF632" s="28"/>
      <c r="CG632" s="28"/>
      <c r="CH632" s="28"/>
      <c r="CI632" s="28"/>
      <c r="CJ632" s="28"/>
      <c r="CK632" s="28"/>
      <c r="CL632" s="28"/>
      <c r="CM632" s="28"/>
      <c r="CN632" s="28"/>
      <c r="CO632" s="28"/>
      <c r="CP632" s="28"/>
      <c r="CQ632" s="28"/>
      <c r="CR632" s="1"/>
      <c r="CS632" s="1"/>
      <c r="CT632" s="1"/>
      <c r="CU632" s="1"/>
    </row>
    <row r="633" spans="1:99" s="13" customFormat="1" ht="12" customHeight="1" x14ac:dyDescent="0.2">
      <c r="A633" s="65">
        <v>43896</v>
      </c>
      <c r="B633" s="1" t="s">
        <v>352</v>
      </c>
      <c r="C633" s="1" t="s">
        <v>54</v>
      </c>
      <c r="D633" s="60">
        <v>1986</v>
      </c>
      <c r="E633" s="76">
        <v>1</v>
      </c>
      <c r="F633" s="60">
        <v>5</v>
      </c>
      <c r="G633" s="60">
        <v>5</v>
      </c>
      <c r="H633" s="60" t="s">
        <v>30</v>
      </c>
      <c r="I633" s="60" t="s">
        <v>330</v>
      </c>
      <c r="J633" s="60" t="s">
        <v>353</v>
      </c>
      <c r="K633" s="60">
        <f>IF(J633="syllables",1,IF(J633="trigrams",2,IF(J633="strings",3,IF(J633="visual array",4,IF(J633="characters",5,IF(J633="letters",6,IF(J633="free forms",7,IF(J633="odors",8,IF(J633="words",9,IF(J633="pictures",10,IF(J633="object pictures",11,IF(J633="faces",12,IF(J633="names",13,IF(J633="idioms",14,IF(J633="grades",15,IF(J633="syllable-digit pairs",16,IF(J633="trigram-word pairs",17,IF(J633="word-digit pairs",18,IF(J633="English-Swahili pairs",19,IF(J633="spatial position",20,IF(J633="word pairs",21,IF(J633="word triads",22,IF(J633="generated words",23,IF(J633="word definition pairs",24,IF(J633="math problems",25,IF(J633="famous faces",26,IF(J633="famous names",27,IF(J633="famous voices",28,IF(J633="television programs",29,IF(J633="race horses",30,IF(J633="new vocabulary",31,IF(J633="sentences",32,IF(J633="concepts",33,IF(J633="ad slides",34,IF(J633="scenes",35,IF(J633="famous scenes",36,IF(J633="poems",37,IF(J633="walk",38,IF(J633="faces and events",39,IF(J633="events and names",40,IF(J633="flashbulb",41,IF(J633="stories",42,IF(J633="course material",43,IF(J633="autobiographical",44,IF(J633="novels",45,IF(J633="public events",46,"99"))))))))))))))))))))))))))))))))))))))))))))))</f>
        <v>28</v>
      </c>
      <c r="L633" s="60">
        <f>IF(J633="syllables",1,IF(J633="trigrams",1,IF(J633="strings",1,IF(J633="visual array",1,IF(J633="characters",1,IF(J633="letters",1,IF(J633="free forms",1,IF(J633="odors",2,IF(J633="words",2,IF(J633="pictures",2,IF(J633="object pictures",2,IF(J633="faces",2,IF(J633="names",2,IF(J633="idioms","2",IF(J633="grades",2,IF(J633="syllable-digit pairs",3,IF(J633="trigram-word pairs",3,IF(J633="word-digit pairs",3,IF(J633="English-Swahili pairs",3,IF(J633="spatial position",3,IF(J633="word pairs",4,IF(J633="word triads",4,IF(J633="generated words",4,IF(J633="word definition pairs",4,IF(J633="math problems",4,IF(J633="famous faces",4,IF(J633="famous names",4,IF(J633="famous voices",4,IF(J633="television programs",4,IF(J633="race horses",4,IF(J633="new vocabulary",4,IF(J633="sentences",5,IF(J633="concepts",5,IF(J633="ad slides",5,IF(J633="scenes",5,IF(J633="famous scenes",5,IF(J633="poems",6,IF(J633="walk",6,IF(J633="faces and events",6,IF(J633="events and names",6,IF(J633="flashbulb",7,IF(J633="stories",7,IF(J633="course material",7,IF(J633="autobiographical",7,IF(J633="novels",7,IF(J633="public events",7,"99"))))))))))))))))))))))))))))))))))))))))))))))</f>
        <v>4</v>
      </c>
      <c r="M633" s="60">
        <v>1</v>
      </c>
      <c r="N633" s="59">
        <v>2</v>
      </c>
      <c r="O633" s="60">
        <v>0</v>
      </c>
      <c r="P633" s="60"/>
      <c r="Q633" s="60" t="s">
        <v>174</v>
      </c>
      <c r="R633" s="60">
        <f>IF(Q633="Free Recall",1,IF(Q633="Cued Recall",2,IF(Q633="Recognition",3,IF(Q633="Multiple Choice",4,IF(Q633="Savings",5,IF(Q633="Stem Completion",6,IF(Q633="Fragment Completion",7,IF(Q633="anagram solution",8,IF(Q633="Matching",9,IF(Q633="Problem Solving",10,"99"))))))))))</f>
        <v>1</v>
      </c>
      <c r="S633" s="60" t="s">
        <v>49</v>
      </c>
      <c r="T633" s="59" t="s">
        <v>581</v>
      </c>
      <c r="U633" s="60">
        <f>IF(T633="within",1,0)</f>
        <v>1</v>
      </c>
      <c r="V633" s="59">
        <v>80</v>
      </c>
      <c r="W633" s="60">
        <f>F633*V633</f>
        <v>400</v>
      </c>
      <c r="X633" s="60">
        <v>5</v>
      </c>
      <c r="Y633" s="76">
        <f>AV632</f>
        <v>315360000</v>
      </c>
      <c r="Z633" s="59" t="s">
        <v>209</v>
      </c>
      <c r="AA633" s="60">
        <f>50*365*24*60*60</f>
        <v>1576800000</v>
      </c>
      <c r="AB633" s="60" t="str">
        <f>IF(AA633&lt;60,"1",IF(AA633&lt;=43200,"2",IF(AA633&lt;=777600,"3","4")))</f>
        <v>4</v>
      </c>
      <c r="AC633" s="56">
        <f>AVERAGE(AV632:DA632)</f>
        <v>3156672000</v>
      </c>
      <c r="AD633" s="60" t="str">
        <f>IF(AC633&lt;60,"1",IF(AC633&lt;=43200,"2",IF(AC633&lt;=777600,"3","4")))</f>
        <v>4</v>
      </c>
      <c r="AE633" s="76">
        <f>AA633-Y633</f>
        <v>1261440000</v>
      </c>
      <c r="AF633" s="80">
        <f>AV633</f>
        <v>0.64</v>
      </c>
      <c r="AG633" s="56">
        <f>((AW633-AV633)+(AX633-AW633)+(AY633-AX633)+(AZ633-AY633))/4</f>
        <v>-8.7500000000000008E-2</v>
      </c>
      <c r="AH633" s="4"/>
      <c r="AI633" s="56">
        <f>RSQ(AV633:AZ633,AV632:AZ632)</f>
        <v>4.0767331629309566E-4</v>
      </c>
      <c r="AJ633" s="109">
        <f>SLOPE(AV633:AZ633,AV632:AZ632)</f>
        <v>-5.4236438688837065E-13</v>
      </c>
      <c r="AK633" s="56">
        <f>INTERCEPT(AV633:AZ633,AV632:AZ632)</f>
        <v>0.47769201634857439</v>
      </c>
      <c r="AL633" s="56">
        <f>INDEX(LINEST(LN(AV633:AZ633),LN(AV632:AZ632),TRUE,TRUE),3,1)</f>
        <v>5.9608053657885768E-2</v>
      </c>
      <c r="AM633" s="56">
        <f>INDEX(LINEST(LN(AV633:AZ633),LN(AV632:AZ632)),1)</f>
        <v>-5.4899457248047401E-2</v>
      </c>
      <c r="AN633" s="56">
        <f>EXP(INDEX(LINEST(LN(AV633:AZ633),LN(AV632:AZ632)),1,2))</f>
        <v>1.4422049608199381</v>
      </c>
      <c r="AO633" s="82">
        <f>INDEX(LINEST((AV633:AZ633),LN(AV632:AZ632),TRUE,TRUE),3,1)</f>
        <v>8.9657513259645993E-2</v>
      </c>
      <c r="AP633" s="82">
        <f>INDEX(LINEST((AV633:AZ633),LN(AV632:AZ632)),1)</f>
        <v>-2.9833585659729312E-2</v>
      </c>
      <c r="AQ633" s="83">
        <f>INDEX(LINEST(LN(AV633:AZ633),SQRT(AV632:AZ632),TRUE,TRUE),3,1)</f>
        <v>4.0908888490707547E-3</v>
      </c>
      <c r="AR633" s="116">
        <f>INDEX(LINEST(LN(AV633:AZ633),SQRT((AV632:AZ632))),1)</f>
        <v>-5.2809400000042343E-7</v>
      </c>
      <c r="AS633" s="84">
        <f>INDEX(LINEST(1/(AV633:AZ633),1/(SQRT(AV632:AZ632)),TRUE,TRUE),3,1)</f>
        <v>0.1569913058104897</v>
      </c>
      <c r="AT633" s="84">
        <f>INDEX(LINEST(1/(AV633:AZ633),1/SQRT(AV632:AZ632)),1)</f>
        <v>-17100.67023125679</v>
      </c>
      <c r="AU633" s="3"/>
      <c r="AV633" s="53">
        <v>0.64</v>
      </c>
      <c r="AW633" s="53">
        <v>0.57894736842105265</v>
      </c>
      <c r="AX633" s="53">
        <v>0.38095238095238099</v>
      </c>
      <c r="AY633" s="53">
        <v>0.49</v>
      </c>
      <c r="AZ633" s="53">
        <v>0.28999999999999998</v>
      </c>
      <c r="BA633" s="53"/>
      <c r="BB633" s="42"/>
      <c r="BC633" s="28"/>
      <c r="BD633" s="28"/>
      <c r="BE633" s="28"/>
      <c r="BF633" s="28"/>
      <c r="BG633" s="28"/>
      <c r="BH633" s="28"/>
      <c r="BI633" s="28"/>
      <c r="BJ633" s="28"/>
      <c r="BK633" s="28"/>
      <c r="BL633" s="28"/>
      <c r="BM633" s="28"/>
      <c r="BN633" s="28"/>
      <c r="BO633" s="28"/>
      <c r="BP633" s="28"/>
      <c r="BQ633" s="28"/>
      <c r="BR633" s="28"/>
      <c r="BS633" s="28"/>
      <c r="BT633" s="28"/>
      <c r="BU633" s="28"/>
      <c r="BV633" s="28"/>
      <c r="BW633" s="28"/>
      <c r="BX633" s="28"/>
      <c r="BY633" s="28"/>
      <c r="BZ633" s="28"/>
      <c r="CA633" s="28"/>
      <c r="CB633" s="28"/>
      <c r="CC633" s="28"/>
      <c r="CD633" s="28"/>
      <c r="CE633" s="28"/>
      <c r="CF633" s="28"/>
      <c r="CG633" s="28"/>
      <c r="CH633" s="28"/>
      <c r="CI633" s="28"/>
      <c r="CJ633" s="28"/>
      <c r="CK633" s="28"/>
      <c r="CL633" s="28"/>
      <c r="CM633" s="28"/>
      <c r="CN633" s="28"/>
      <c r="CO633" s="28"/>
      <c r="CP633" s="28"/>
      <c r="CQ633" s="28"/>
      <c r="CR633" s="1"/>
      <c r="CS633" s="1"/>
      <c r="CT633" s="1"/>
      <c r="CU633" s="1"/>
    </row>
    <row r="634" spans="1:99" s="13" customFormat="1" ht="12" customHeight="1" x14ac:dyDescent="0.2">
      <c r="A634" s="65">
        <v>43896</v>
      </c>
      <c r="B634" s="1"/>
      <c r="D634" s="61"/>
      <c r="E634" s="76"/>
      <c r="F634" s="60"/>
      <c r="G634" s="60"/>
      <c r="H634" s="60"/>
      <c r="I634" s="60"/>
      <c r="J634" s="60"/>
      <c r="K634" s="64"/>
      <c r="L634" s="64"/>
      <c r="M634" s="60"/>
      <c r="N634" s="59"/>
      <c r="O634" s="60"/>
      <c r="P634" s="60"/>
      <c r="Q634" s="60"/>
      <c r="R634" s="60"/>
      <c r="S634" s="60"/>
      <c r="T634" s="59"/>
      <c r="U634" s="60"/>
      <c r="V634" s="59"/>
      <c r="W634" s="60"/>
      <c r="X634" s="60"/>
      <c r="Y634" s="76"/>
      <c r="Z634" s="59"/>
      <c r="AA634" s="59"/>
      <c r="AB634" s="60"/>
      <c r="AC634" s="56"/>
      <c r="AD634" s="60"/>
      <c r="AE634" s="60"/>
      <c r="AF634" s="80"/>
      <c r="AG634" s="56"/>
      <c r="AH634" s="4"/>
      <c r="AI634" s="56"/>
      <c r="AJ634" s="109"/>
      <c r="AK634" s="56"/>
      <c r="AL634" s="56"/>
      <c r="AM634" s="56"/>
      <c r="AN634" s="56"/>
      <c r="AO634" s="82"/>
      <c r="AP634" s="82"/>
      <c r="AQ634" s="83"/>
      <c r="AR634" s="116"/>
      <c r="AS634" s="84"/>
      <c r="AT634" s="84"/>
      <c r="AU634" s="3"/>
      <c r="AV634" s="25">
        <v>315360000</v>
      </c>
      <c r="AW634" s="25">
        <v>630720000</v>
      </c>
      <c r="AX634" s="25">
        <v>646080000</v>
      </c>
      <c r="AY634" s="25">
        <v>12614400000</v>
      </c>
      <c r="AZ634" s="25">
        <v>1576800000</v>
      </c>
      <c r="BA634" s="53"/>
      <c r="BB634" s="42"/>
      <c r="BC634" s="28"/>
      <c r="BD634" s="28"/>
      <c r="BE634" s="28"/>
      <c r="BF634" s="28"/>
      <c r="BG634" s="28"/>
      <c r="BH634" s="28"/>
      <c r="BI634" s="28"/>
      <c r="BJ634" s="28"/>
      <c r="BK634" s="28"/>
      <c r="BL634" s="28"/>
      <c r="BM634" s="28"/>
      <c r="BN634" s="28"/>
      <c r="BO634" s="28"/>
      <c r="BP634" s="28"/>
      <c r="BQ634" s="28"/>
      <c r="BR634" s="28"/>
      <c r="BS634" s="28"/>
      <c r="BT634" s="28"/>
      <c r="BU634" s="28"/>
      <c r="BV634" s="28"/>
      <c r="BW634" s="28"/>
      <c r="BX634" s="28"/>
      <c r="BY634" s="28"/>
      <c r="BZ634" s="28"/>
      <c r="CA634" s="28"/>
      <c r="CB634" s="28"/>
      <c r="CC634" s="28"/>
      <c r="CD634" s="28"/>
      <c r="CE634" s="28"/>
      <c r="CF634" s="28"/>
      <c r="CG634" s="28"/>
      <c r="CH634" s="28"/>
      <c r="CI634" s="28"/>
      <c r="CJ634" s="28"/>
      <c r="CK634" s="28"/>
      <c r="CL634" s="28"/>
      <c r="CM634" s="28"/>
      <c r="CN634" s="28"/>
      <c r="CO634" s="28"/>
      <c r="CP634" s="28"/>
      <c r="CQ634" s="28"/>
      <c r="CR634" s="1"/>
      <c r="CS634" s="1"/>
      <c r="CT634" s="1"/>
      <c r="CU634" s="1"/>
    </row>
    <row r="635" spans="1:99" s="13" customFormat="1" ht="12" customHeight="1" x14ac:dyDescent="0.2">
      <c r="A635" s="65">
        <v>43896</v>
      </c>
      <c r="B635" s="1" t="s">
        <v>352</v>
      </c>
      <c r="C635" s="1" t="s">
        <v>54</v>
      </c>
      <c r="D635" s="60">
        <v>1986</v>
      </c>
      <c r="E635" s="76">
        <v>1</v>
      </c>
      <c r="F635" s="60">
        <v>5</v>
      </c>
      <c r="G635" s="60">
        <v>5</v>
      </c>
      <c r="H635" s="60" t="s">
        <v>30</v>
      </c>
      <c r="I635" s="60" t="s">
        <v>330</v>
      </c>
      <c r="J635" s="60" t="s">
        <v>353</v>
      </c>
      <c r="K635" s="60">
        <f>IF(J635="syllables",1,IF(J635="trigrams",2,IF(J635="strings",3,IF(J635="visual array",4,IF(J635="characters",5,IF(J635="letters",6,IF(J635="free forms",7,IF(J635="odors",8,IF(J635="words",9,IF(J635="pictures",10,IF(J635="object pictures",11,IF(J635="faces",12,IF(J635="names",13,IF(J635="idioms",14,IF(J635="grades",15,IF(J635="syllable-digit pairs",16,IF(J635="trigram-word pairs",17,IF(J635="word-digit pairs",18,IF(J635="English-Swahili pairs",19,IF(J635="spatial position",20,IF(J635="word pairs",21,IF(J635="word triads",22,IF(J635="generated words",23,IF(J635="word definition pairs",24,IF(J635="math problems",25,IF(J635="famous faces",26,IF(J635="famous names",27,IF(J635="famous voices",28,IF(J635="television programs",29,IF(J635="race horses",30,IF(J635="new vocabulary",31,IF(J635="sentences",32,IF(J635="concepts",33,IF(J635="ad slides",34,IF(J635="scenes",35,IF(J635="famous scenes",36,IF(J635="poems",37,IF(J635="walk",38,IF(J635="faces and events",39,IF(J635="events and names",40,IF(J635="flashbulb",41,IF(J635="stories",42,IF(J635="course material",43,IF(J635="autobiographical",44,IF(J635="novels",45,IF(J635="public events",46,"99"))))))))))))))))))))))))))))))))))))))))))))))</f>
        <v>28</v>
      </c>
      <c r="L635" s="60">
        <f>IF(J635="syllables",1,IF(J635="trigrams",1,IF(J635="strings",1,IF(J635="visual array",1,IF(J635="characters",1,IF(J635="letters",1,IF(J635="free forms",1,IF(J635="odors",2,IF(J635="words",2,IF(J635="pictures",2,IF(J635="object pictures",2,IF(J635="faces",2,IF(J635="names",2,IF(J635="idioms","2",IF(J635="grades",2,IF(J635="syllable-digit pairs",3,IF(J635="trigram-word pairs",3,IF(J635="word-digit pairs",3,IF(J635="English-Swahili pairs",3,IF(J635="spatial position",3,IF(J635="word pairs",4,IF(J635="word triads",4,IF(J635="generated words",4,IF(J635="word definition pairs",4,IF(J635="math problems",4,IF(J635="famous faces",4,IF(J635="famous names",4,IF(J635="famous voices",4,IF(J635="television programs",4,IF(J635="race horses",4,IF(J635="new vocabulary",4,IF(J635="sentences",5,IF(J635="concepts",5,IF(J635="ad slides",5,IF(J635="scenes",5,IF(J635="famous scenes",5,IF(J635="poems",6,IF(J635="walk",6,IF(J635="faces and events",6,IF(J635="events and names",6,IF(J635="flashbulb",7,IF(J635="stories",7,IF(J635="course material",7,IF(J635="autobiographical",7,IF(J635="novels",7,IF(J635="public events",7,"99"))))))))))))))))))))))))))))))))))))))))))))))</f>
        <v>4</v>
      </c>
      <c r="M635" s="60">
        <v>1</v>
      </c>
      <c r="N635" s="59">
        <v>2</v>
      </c>
      <c r="O635" s="60">
        <v>0</v>
      </c>
      <c r="P635" s="60"/>
      <c r="Q635" s="60" t="s">
        <v>182</v>
      </c>
      <c r="R635" s="60">
        <f>IF(Q635="Free Recall",1,IF(Q635="Cued Recall",2,IF(Q635="Recognition",3,IF(Q635="Multiple Choice",4,IF(Q635="Savings",5,IF(Q635="Stem Completion",6,IF(Q635="Fragment Completion",7,IF(Q635="anagram solution",8,IF(Q635="Matching",9,IF(Q635="Problem Solving",10,"99"))))))))))</f>
        <v>4</v>
      </c>
      <c r="S635" s="60" t="s">
        <v>15</v>
      </c>
      <c r="T635" s="59" t="s">
        <v>581</v>
      </c>
      <c r="U635" s="60">
        <f>IF(T635="within",1,0)</f>
        <v>1</v>
      </c>
      <c r="V635" s="59">
        <v>80</v>
      </c>
      <c r="W635" s="60">
        <f>F635*V635</f>
        <v>400</v>
      </c>
      <c r="X635" s="60">
        <v>5</v>
      </c>
      <c r="Y635" s="76">
        <f>AV634</f>
        <v>315360000</v>
      </c>
      <c r="Z635" s="59" t="s">
        <v>209</v>
      </c>
      <c r="AA635" s="60">
        <f>50*365*24*60*60</f>
        <v>1576800000</v>
      </c>
      <c r="AB635" s="60" t="str">
        <f>IF(AA635&lt;60,"1",IF(AA635&lt;=43200,"2",IF(AA635&lt;=777600,"3","4")))</f>
        <v>4</v>
      </c>
      <c r="AC635" s="56">
        <f>AVERAGE(AV634:DA634)</f>
        <v>3156672000</v>
      </c>
      <c r="AD635" s="60" t="str">
        <f>IF(AC635&lt;60,"1",IF(AC635&lt;=43200,"2",IF(AC635&lt;=777600,"3","4")))</f>
        <v>4</v>
      </c>
      <c r="AE635" s="76">
        <f>AA635-Y635</f>
        <v>1261440000</v>
      </c>
      <c r="AF635" s="80">
        <f>AV635</f>
        <v>0.92105263157894735</v>
      </c>
      <c r="AG635" s="56">
        <f>((AW635-AV635)+(AX635-AW635)+(AY635-AX635)+(AZ635-AY635))/4</f>
        <v>-0.11040014419610671</v>
      </c>
      <c r="AH635" s="4"/>
      <c r="AI635" s="56">
        <f>RSQ(AV635:AZ635,AV634:AZ634)</f>
        <v>4.3665703774176015E-2</v>
      </c>
      <c r="AJ635" s="109">
        <f>SLOPE(AV635:AZ635,AV634:AZ634)</f>
        <v>7.0952699202415158E-12</v>
      </c>
      <c r="AK635" s="56">
        <f>INTERCEPT(AV635:AZ635,AV634:AZ634)</f>
        <v>0.76462904295627021</v>
      </c>
      <c r="AL635" s="56">
        <f>INDEX(LINEST(LN(AV635:AZ635),LN(AV634:AZ634),TRUE,TRUE),3,1)</f>
        <v>8.0474348484729473E-3</v>
      </c>
      <c r="AM635" s="56">
        <f>INDEX(LINEST(LN(AV635:AZ635),LN(AV634:AZ634)),1)</f>
        <v>-1.6937645279540448E-2</v>
      </c>
      <c r="AN635" s="56">
        <f>EXP(INDEX(LINEST(LN(AV635:AZ635),LN(AV634:AZ634)),1,2))</f>
        <v>1.0925509769859314</v>
      </c>
      <c r="AO635" s="82">
        <f>INDEX(LINEST((AV635:AZ635),LN(AV634:AZ634),TRUE,TRUE),3,1)</f>
        <v>7.9110591799683994E-3</v>
      </c>
      <c r="AP635" s="82">
        <f>INDEX(LINEST((AV635:AZ635),LN(AV634:AZ634)),1)</f>
        <v>-1.1201936171086528E-2</v>
      </c>
      <c r="AQ635" s="83">
        <f>INDEX(LINEST(LN(AV635:AZ635),SQRT(AV634:AZ634),TRUE,TRUE),3,1)</f>
        <v>8.9185675576066766E-3</v>
      </c>
      <c r="AR635" s="116">
        <f>INDEX(LINEST(LN(AV635:AZ635),SQRT((AV634:AZ634))),1)</f>
        <v>6.5472460901359124E-7</v>
      </c>
      <c r="AS635" s="84">
        <f>INDEX(LINEST(1/(AV635:AZ635),1/(SQRT(AV634:AZ634)),TRUE,TRUE),3,1)</f>
        <v>8.1119968720971769E-2</v>
      </c>
      <c r="AT635" s="84">
        <f>INDEX(LINEST(1/(AV635:AZ635),1/SQRT(AV634:AZ634)),1)</f>
        <v>-6720.0066728945785</v>
      </c>
      <c r="AU635" s="3"/>
      <c r="AV635" s="53">
        <v>0.92105263157894735</v>
      </c>
      <c r="AW635" s="53">
        <v>0.87804878048780488</v>
      </c>
      <c r="AX635" s="53">
        <v>0.77499999999999991</v>
      </c>
      <c r="AY635" s="53">
        <v>0.88157894736842113</v>
      </c>
      <c r="AZ635" s="53">
        <v>0.47945205479452052</v>
      </c>
      <c r="BA635" s="53"/>
      <c r="BB635" s="42"/>
      <c r="BC635" s="42"/>
      <c r="BD635" s="42"/>
      <c r="BE635" s="42"/>
      <c r="BF635" s="42"/>
      <c r="BG635" s="42"/>
      <c r="BH635" s="28"/>
      <c r="BI635" s="28"/>
      <c r="BJ635" s="28"/>
      <c r="BK635" s="28"/>
      <c r="BL635" s="28"/>
      <c r="BM635" s="28"/>
      <c r="BN635" s="28"/>
      <c r="BO635" s="28"/>
      <c r="BP635" s="28"/>
      <c r="BQ635" s="28"/>
      <c r="BR635" s="28"/>
      <c r="BS635" s="28"/>
      <c r="BT635" s="28"/>
      <c r="BU635" s="28"/>
      <c r="BV635" s="28"/>
      <c r="BW635" s="28"/>
      <c r="BX635" s="28"/>
      <c r="BY635" s="28"/>
      <c r="BZ635" s="28"/>
      <c r="CA635" s="28"/>
      <c r="CB635" s="28"/>
      <c r="CC635" s="28"/>
      <c r="CD635" s="28"/>
      <c r="CE635" s="28"/>
      <c r="CF635" s="28"/>
      <c r="CG635" s="28"/>
      <c r="CH635" s="28"/>
      <c r="CI635" s="28"/>
      <c r="CJ635" s="28"/>
      <c r="CK635" s="28"/>
      <c r="CL635" s="28"/>
      <c r="CM635" s="28"/>
      <c r="CN635" s="28"/>
      <c r="CO635" s="28"/>
      <c r="CP635" s="28"/>
      <c r="CQ635" s="28"/>
      <c r="CR635" s="1"/>
      <c r="CS635" s="1"/>
      <c r="CT635" s="1"/>
      <c r="CU635" s="1"/>
    </row>
    <row r="636" spans="1:99" s="13" customFormat="1" ht="12" customHeight="1" x14ac:dyDescent="0.2">
      <c r="A636" s="68">
        <v>43978</v>
      </c>
      <c r="B636" s="70"/>
      <c r="C636" s="70"/>
      <c r="D636" s="69"/>
      <c r="E636" s="87"/>
      <c r="F636" s="69"/>
      <c r="G636" s="69"/>
      <c r="H636" s="69"/>
      <c r="I636" s="69"/>
      <c r="J636" s="69"/>
      <c r="K636" s="69"/>
      <c r="L636" s="69"/>
      <c r="M636" s="69"/>
      <c r="N636" s="92"/>
      <c r="O636" s="69"/>
      <c r="P636" s="69"/>
      <c r="Q636" s="69"/>
      <c r="R636" s="69"/>
      <c r="S636" s="69"/>
      <c r="T636" s="92"/>
      <c r="U636" s="69"/>
      <c r="V636" s="92"/>
      <c r="W636" s="69"/>
      <c r="X636" s="69"/>
      <c r="Y636" s="87"/>
      <c r="Z636" s="92"/>
      <c r="AA636" s="69"/>
      <c r="AB636" s="69"/>
      <c r="AC636" s="72"/>
      <c r="AD636" s="69"/>
      <c r="AE636" s="87"/>
      <c r="AF636" s="88"/>
      <c r="AG636" s="72"/>
      <c r="AH636" s="4"/>
      <c r="AI636" s="72"/>
      <c r="AJ636" s="110"/>
      <c r="AK636" s="72"/>
      <c r="AL636" s="72"/>
      <c r="AM636" s="72"/>
      <c r="AN636" s="72"/>
      <c r="AO636" s="89"/>
      <c r="AP636" s="89"/>
      <c r="AQ636" s="90"/>
      <c r="AR636" s="117"/>
      <c r="AS636" s="91"/>
      <c r="AT636" s="91"/>
      <c r="AU636" s="3"/>
      <c r="AV636" s="71">
        <v>30</v>
      </c>
      <c r="AW636" s="71">
        <f>60*30</f>
        <v>1800</v>
      </c>
      <c r="AX636" s="71">
        <f>60*60*24*7*6</f>
        <v>3628800</v>
      </c>
      <c r="AY636" s="73"/>
      <c r="AZ636" s="97" t="s">
        <v>947</v>
      </c>
      <c r="BA636" s="53"/>
      <c r="BB636" s="53"/>
      <c r="BC636" s="53"/>
      <c r="BD636" s="53"/>
      <c r="BE636" s="53"/>
      <c r="BF636" s="53"/>
      <c r="BG636" s="53"/>
      <c r="BH636" s="53"/>
      <c r="BI636" s="53"/>
      <c r="BJ636" s="53"/>
      <c r="BK636" s="53"/>
      <c r="BL636" s="53"/>
      <c r="BM636" s="53"/>
      <c r="BN636" s="53"/>
      <c r="BO636" s="53"/>
      <c r="BP636" s="53"/>
      <c r="BQ636" s="53"/>
      <c r="BR636" s="53"/>
      <c r="BS636" s="53"/>
      <c r="BT636" s="53"/>
      <c r="BU636" s="53"/>
      <c r="BV636" s="53"/>
      <c r="BW636" s="53"/>
      <c r="BX636" s="53"/>
      <c r="BY636" s="53"/>
      <c r="BZ636" s="53"/>
      <c r="CA636" s="53"/>
      <c r="CB636" s="53"/>
      <c r="CC636" s="53"/>
      <c r="CD636" s="53"/>
      <c r="CE636" s="53"/>
      <c r="CF636" s="53"/>
      <c r="CG636" s="53"/>
      <c r="CH636" s="53"/>
      <c r="CI636" s="53"/>
      <c r="CJ636" s="53"/>
      <c r="CK636" s="53"/>
      <c r="CL636" s="53"/>
      <c r="CM636" s="53"/>
      <c r="CN636" s="53"/>
      <c r="CO636" s="53"/>
      <c r="CP636" s="53"/>
      <c r="CQ636" s="53"/>
      <c r="CR636" s="1"/>
      <c r="CS636" s="1"/>
      <c r="CT636" s="1"/>
      <c r="CU636" s="1"/>
    </row>
    <row r="637" spans="1:99" s="13" customFormat="1" ht="12" customHeight="1" x14ac:dyDescent="0.2">
      <c r="A637" s="68">
        <v>43978</v>
      </c>
      <c r="B637" s="70" t="s">
        <v>968</v>
      </c>
      <c r="C637" s="70" t="s">
        <v>408</v>
      </c>
      <c r="D637" s="69">
        <v>1997</v>
      </c>
      <c r="E637" s="87">
        <v>1</v>
      </c>
      <c r="F637" s="69">
        <v>4</v>
      </c>
      <c r="G637" s="69">
        <v>4</v>
      </c>
      <c r="H637" s="69" t="s">
        <v>22</v>
      </c>
      <c r="I637" s="69" t="s">
        <v>330</v>
      </c>
      <c r="J637" s="69" t="s">
        <v>677</v>
      </c>
      <c r="K637" s="69">
        <f>IF(J637="syllables",1,IF(J637="trigrams",2,IF(J637="strings",3,IF(J637="visual array",4,IF(J637="characters",5,IF(J637="letters",6,IF(J637="free forms",7,IF(J637="odors",8,IF(J637="words",9,IF(J637="pictures",10,IF(J637="object pictures",11,IF(J637="faces",12,IF(J637="names",13,IF(J637="idioms",14,IF(J637="grades",15,IF(J637="syllable-digit pairs",16,IF(J637="trigram-word pairs",17,IF(J637="word-digit pairs",18,IF(J637="English-Swahili pairs",19,IF(J637="spatial position",20,IF(J637="word pairs",21,IF(J637="word triads",22,IF(J637="generated words",23,IF(J637="word definition pairs",24,IF(J637="math problems",25,IF(J637="famous faces",26,IF(J637="famous names",27,IF(J637="famous voices",28,IF(J637="television programs",29,IF(J637="race horses",30,IF(J637="new vocabulary",31,IF(J637="sentences",32,IF(J637="concepts",33,IF(J637="ad slides",34,IF(J637="scenes",35,IF(J637="famous scenes",36,IF(J637="poems",37,IF(J637="walk",38,IF(J637="faces and events",39,IF(J637="events and names",40,IF(J637="flashbulb",41,IF(J637="stories",42,IF(J637="course material",43,IF(J637="autobiographical",44,IF(J637="novels",45,IF(J637="public events",46,"99"))))))))))))))))))))))))))))))))))))))))))))))</f>
        <v>42</v>
      </c>
      <c r="L637" s="69">
        <f>IF(J637="syllables",1,IF(J637="trigrams",1,IF(J637="strings",1,IF(J637="visual array",1,IF(J637="characters",1,IF(J637="letters",1,IF(J637="free forms",1,IF(J637="odors",2,IF(J637="words",2,IF(J637="pictures",2,IF(J637="object pictures",2,IF(J637="faces",2,IF(J637="names",2,IF(J637="idioms","2",IF(J637="grades",2,IF(J637="syllable-digit pairs",3,IF(J637="trigram-word pairs",3,IF(J637="word-digit pairs",3,IF(J637="English-Swahili pairs",3,IF(J637="spatial position",3,IF(J637="word pairs",4,IF(J637="word triads",4,IF(J637="generated words",4,IF(J637="word definition pairs",4,IF(J637="math problems",4,IF(J637="famous faces",4,IF(J637="famous names",4,IF(J637="famous voices",4,IF(J637="television programs",4,IF(J637="race horses",4,IF(J637="new vocabulary",4,IF(J637="sentences",5,IF(J637="concepts",5,IF(J637="ad slides",5,IF(J637="scenes",5,IF(J637="famous scenes",5,IF(J637="poems",6,IF(J637="walk",6,IF(J637="faces and events",6,IF(J637="events and names",6,IF(J637="flashbulb",7,IF(J637="stories",7,IF(J637="course material",7,IF(J637="autobiographical",7,IF(J637="novels",7,IF(J637="public events",7,"99"))))))))))))))))))))))))))))))))))))))))))))))</f>
        <v>7</v>
      </c>
      <c r="M637" s="69">
        <v>0</v>
      </c>
      <c r="N637" s="92">
        <v>1</v>
      </c>
      <c r="O637" s="69">
        <v>0</v>
      </c>
      <c r="P637" s="69"/>
      <c r="Q637" s="69" t="s">
        <v>174</v>
      </c>
      <c r="R637" s="69">
        <f>IF(Q637="Free Recall",1,IF(Q637="Cued Recall",2,IF(Q637="Recognition",3,IF(Q637="Multiple Choice",4,IF(Q637="Savings",5,IF(Q637="Stem Completion",6,IF(Q637="Fragment Completion",7,IF(Q637="anagram solution",8,IF(Q637="Matching",9,IF(Q637="Problem Solving",10,"99"))))))))))</f>
        <v>1</v>
      </c>
      <c r="S637" s="69" t="s">
        <v>49</v>
      </c>
      <c r="T637" s="92" t="s">
        <v>581</v>
      </c>
      <c r="U637" s="69">
        <f>IF(T637="within",1,0)</f>
        <v>1</v>
      </c>
      <c r="V637" s="92">
        <v>150</v>
      </c>
      <c r="W637" s="69">
        <f>F637*V637</f>
        <v>600</v>
      </c>
      <c r="X637" s="69">
        <v>3</v>
      </c>
      <c r="Y637" s="87">
        <f>AV636</f>
        <v>30</v>
      </c>
      <c r="Z637" s="69" t="s">
        <v>160</v>
      </c>
      <c r="AA637" s="69">
        <f>60*60*24*7*6</f>
        <v>3628800</v>
      </c>
      <c r="AB637" s="69" t="str">
        <f>IF(AA637&lt;60,"1",IF(AA637&lt;=43200,"2",IF(AA637&lt;=777600,"3","4")))</f>
        <v>4</v>
      </c>
      <c r="AC637" s="72">
        <f>AVERAGE(AV636:DA636)</f>
        <v>1210210</v>
      </c>
      <c r="AD637" s="69" t="str">
        <f>IF(AC637&lt;60,"1",IF(AC637&lt;=43200,"2",IF(AC637&lt;=777600,"3","4")))</f>
        <v>4</v>
      </c>
      <c r="AE637" s="87">
        <f>AA637-Y637</f>
        <v>3628770</v>
      </c>
      <c r="AF637" s="88">
        <f>AV637</f>
        <v>0.49</v>
      </c>
      <c r="AG637" s="72">
        <f>((AW637-AV637)+(AX637-AW637))/2</f>
        <v>-0.13500000000000001</v>
      </c>
      <c r="AH637" s="4"/>
      <c r="AI637" s="72">
        <f>RSQ(AV637:AX637,AV636:AX636)</f>
        <v>0.87999487255070041</v>
      </c>
      <c r="AJ637" s="110">
        <f>SLOPE(AV637:AX637,AV636:AX636)</f>
        <v>-6.1340070664107058E-8</v>
      </c>
      <c r="AK637" s="72">
        <f>INTERCEPT(AV637:AX637,AV636:AX636)</f>
        <v>0.44256770025174236</v>
      </c>
      <c r="AL637" s="72">
        <f>INDEX(LINEST(LN(AV637:AX637),LN(AV636:AX636),TRUE,TRUE),3,1)</f>
        <v>0.99212745077403541</v>
      </c>
      <c r="AM637" s="72">
        <f>INDEX(LINEST(LN(AV637:AX637),LN(AV636:AX636)),1)</f>
        <v>-6.9497098352175088E-2</v>
      </c>
      <c r="AN637" s="72">
        <f>EXP(INDEX(LINEST(LN(AV637:AX637),LN(AV636:AX636)),1,2))</f>
        <v>0.63776790870952771</v>
      </c>
      <c r="AO637" s="89">
        <f>INDEX(LINEST((AV637:AX637),LN(AV636:AX636),TRUE,TRUE),3,1)</f>
        <v>0.99999494932460864</v>
      </c>
      <c r="AP637" s="89">
        <f>INDEX(LINEST((AV637:AX637),LN(AV636:AX636)),1)</f>
        <v>-2.3061597223995287E-2</v>
      </c>
      <c r="AQ637" s="90">
        <f>INDEX(LINEST(LN(AV637:AX637),SQRT(AV636:AX636),TRUE,TRUE),3,1)</f>
        <v>0.9406617035778817</v>
      </c>
      <c r="AR637" s="117">
        <f>INDEX(LINEST(LN(AV637:AX637),SQRT((AV636:AX636))),1)</f>
        <v>-3.700137171590177E-4</v>
      </c>
      <c r="AS637" s="91">
        <f>INDEX(LINEST(1/(AV637:AX637),1/(SQRT(AV636:AX636)),TRUE,TRUE),3,1)</f>
        <v>0.54063678195372422</v>
      </c>
      <c r="AT637" s="91">
        <f>INDEX(LINEST(1/(AV637:AX637),1/SQRT(AV636:AX636)),1)</f>
        <v>-9.8450921812398686</v>
      </c>
      <c r="AU637" s="3"/>
      <c r="AV637" s="73">
        <f>24.5/50</f>
        <v>0.49</v>
      </c>
      <c r="AW637" s="73">
        <f>19.75/50</f>
        <v>0.39500000000000002</v>
      </c>
      <c r="AX637" s="73">
        <f>11/50</f>
        <v>0.22</v>
      </c>
      <c r="AY637" s="73"/>
      <c r="AZ637" s="73"/>
      <c r="BA637" s="53"/>
      <c r="BB637" s="53"/>
      <c r="BC637" s="53"/>
      <c r="BD637" s="53"/>
      <c r="BE637" s="53"/>
      <c r="BF637" s="53"/>
      <c r="BG637" s="53"/>
      <c r="BH637" s="53"/>
      <c r="BI637" s="53"/>
      <c r="BJ637" s="53"/>
      <c r="BK637" s="53"/>
      <c r="BL637" s="53"/>
      <c r="BM637" s="53"/>
      <c r="BN637" s="53"/>
      <c r="BO637" s="53"/>
      <c r="BP637" s="53"/>
      <c r="BQ637" s="53"/>
      <c r="BR637" s="53"/>
      <c r="BS637" s="53"/>
      <c r="BT637" s="53"/>
      <c r="BU637" s="53"/>
      <c r="BV637" s="53"/>
      <c r="BW637" s="53"/>
      <c r="BX637" s="53"/>
      <c r="BY637" s="53"/>
      <c r="BZ637" s="53"/>
      <c r="CA637" s="53"/>
      <c r="CB637" s="53"/>
      <c r="CC637" s="53"/>
      <c r="CD637" s="53"/>
      <c r="CE637" s="53"/>
      <c r="CF637" s="53"/>
      <c r="CG637" s="53"/>
      <c r="CH637" s="53"/>
      <c r="CI637" s="53"/>
      <c r="CJ637" s="53"/>
      <c r="CK637" s="53"/>
      <c r="CL637" s="53"/>
      <c r="CM637" s="53"/>
      <c r="CN637" s="53"/>
      <c r="CO637" s="53"/>
      <c r="CP637" s="53"/>
      <c r="CQ637" s="53"/>
      <c r="CR637" s="1"/>
      <c r="CS637" s="1"/>
      <c r="CT637" s="1"/>
      <c r="CU637" s="1"/>
    </row>
    <row r="638" spans="1:99" s="13" customFormat="1" ht="12" customHeight="1" x14ac:dyDescent="0.2">
      <c r="A638" s="68">
        <v>43978</v>
      </c>
      <c r="B638" s="70"/>
      <c r="C638" s="70"/>
      <c r="D638" s="69"/>
      <c r="E638" s="87"/>
      <c r="F638" s="69"/>
      <c r="G638" s="69"/>
      <c r="H638" s="69"/>
      <c r="I638" s="69"/>
      <c r="J638" s="69"/>
      <c r="K638" s="69"/>
      <c r="L638" s="69"/>
      <c r="M638" s="69"/>
      <c r="N638" s="92"/>
      <c r="O638" s="69"/>
      <c r="P638" s="69"/>
      <c r="Q638" s="69"/>
      <c r="R638" s="69"/>
      <c r="S638" s="69"/>
      <c r="T638" s="92"/>
      <c r="U638" s="69"/>
      <c r="V638" s="92"/>
      <c r="W638" s="69"/>
      <c r="X638" s="69"/>
      <c r="Y638" s="87"/>
      <c r="Z638" s="92"/>
      <c r="AA638" s="69"/>
      <c r="AB638" s="69"/>
      <c r="AC638" s="72"/>
      <c r="AD638" s="69"/>
      <c r="AE638" s="87"/>
      <c r="AF638" s="88"/>
      <c r="AG638" s="72"/>
      <c r="AH638" s="4"/>
      <c r="AI638" s="72"/>
      <c r="AJ638" s="110"/>
      <c r="AK638" s="72"/>
      <c r="AL638" s="72"/>
      <c r="AM638" s="72"/>
      <c r="AN638" s="72"/>
      <c r="AO638" s="89"/>
      <c r="AP638" s="89"/>
      <c r="AQ638" s="90"/>
      <c r="AR638" s="117"/>
      <c r="AS638" s="91"/>
      <c r="AT638" s="91"/>
      <c r="AU638" s="3"/>
      <c r="AV638" s="71">
        <v>30</v>
      </c>
      <c r="AW638" s="71">
        <f>60*30</f>
        <v>1800</v>
      </c>
      <c r="AX638" s="71">
        <f>60*60*24*7*6</f>
        <v>3628800</v>
      </c>
      <c r="AY638" s="73"/>
      <c r="AZ638" s="97"/>
      <c r="BA638" s="53"/>
      <c r="BB638" s="53"/>
      <c r="BC638" s="53"/>
      <c r="BD638" s="53"/>
      <c r="BE638" s="53"/>
      <c r="BF638" s="53"/>
      <c r="BG638" s="53"/>
      <c r="BH638" s="53"/>
      <c r="BI638" s="53"/>
      <c r="BJ638" s="53"/>
      <c r="BK638" s="53"/>
      <c r="BL638" s="53"/>
      <c r="BM638" s="53"/>
      <c r="BN638" s="53"/>
      <c r="BO638" s="53"/>
      <c r="BP638" s="53"/>
      <c r="BQ638" s="53"/>
      <c r="BR638" s="53"/>
      <c r="BS638" s="53"/>
      <c r="BT638" s="53"/>
      <c r="BU638" s="53"/>
      <c r="BV638" s="53"/>
      <c r="BW638" s="53"/>
      <c r="BX638" s="53"/>
      <c r="BY638" s="53"/>
      <c r="BZ638" s="53"/>
      <c r="CA638" s="53"/>
      <c r="CB638" s="53"/>
      <c r="CC638" s="53"/>
      <c r="CD638" s="53"/>
      <c r="CE638" s="53"/>
      <c r="CF638" s="53"/>
      <c r="CG638" s="53"/>
      <c r="CH638" s="53"/>
      <c r="CI638" s="53"/>
      <c r="CJ638" s="53"/>
      <c r="CK638" s="53"/>
      <c r="CL638" s="53"/>
      <c r="CM638" s="53"/>
      <c r="CN638" s="53"/>
      <c r="CO638" s="53"/>
      <c r="CP638" s="53"/>
      <c r="CQ638" s="53"/>
      <c r="CR638" s="1"/>
      <c r="CS638" s="1"/>
      <c r="CT638" s="1"/>
      <c r="CU638" s="1"/>
    </row>
    <row r="639" spans="1:99" s="13" customFormat="1" ht="12" customHeight="1" x14ac:dyDescent="0.2">
      <c r="A639" s="68">
        <v>43978</v>
      </c>
      <c r="B639" s="70" t="s">
        <v>968</v>
      </c>
      <c r="C639" s="70" t="s">
        <v>408</v>
      </c>
      <c r="D639" s="69">
        <v>1997</v>
      </c>
      <c r="E639" s="87">
        <v>1</v>
      </c>
      <c r="F639" s="69">
        <v>4</v>
      </c>
      <c r="G639" s="69">
        <v>4</v>
      </c>
      <c r="H639" s="69" t="s">
        <v>22</v>
      </c>
      <c r="I639" s="69" t="s">
        <v>330</v>
      </c>
      <c r="J639" s="69" t="s">
        <v>764</v>
      </c>
      <c r="K639" s="69">
        <f>IF(J639="syllables",1,IF(J639="trigrams",2,IF(J639="strings",3,IF(J639="visual array",4,IF(J639="characters",5,IF(J639="letters",6,IF(J639="free forms",7,IF(J639="odors",8,IF(J639="words",9,IF(J639="pictures",10,IF(J639="object pictures",11,IF(J639="faces",12,IF(J639="names",13,IF(J639="idioms",14,IF(J639="grades",15,IF(J639="syllable-digit pairs",16,IF(J639="trigram-word pairs",17,IF(J639="word-digit pairs",18,IF(J639="English-Swahili pairs",19,IF(J639="spatial position",20,IF(J639="word pairs",21,IF(J639="word triads",22,IF(J639="generated words",23,IF(J639="word definition pairs",24,IF(J639="math problems",25,IF(J639="famous faces",26,IF(J639="famous names",27,IF(J639="famous voices",28,IF(J639="television programs",29,IF(J639="race horses",30,IF(J639="new vocabulary",31,IF(J639="sentences",32,IF(J639="concepts",33,IF(J639="ad slides",34,IF(J639="scenes",35,IF(J639="famous scenes",36,IF(J639="poems",37,IF(J639="walk",38,IF(J639="faces and events",39,IF(J639="events and names",40,IF(J639="flashbulb",41,IF(J639="stories",42,IF(J639="course material",43,IF(J639="autobiographical",44,IF(J639="novels",45,IF(J639="public events",46,"99"))))))))))))))))))))))))))))))))))))))))))))))</f>
        <v>4</v>
      </c>
      <c r="L639" s="69">
        <f>IF(J639="syllables",1,IF(J639="trigrams",1,IF(J639="strings",1,IF(J639="visual array",1,IF(J639="characters",1,IF(J639="letters",1,IF(J639="free forms",1,IF(J639="odors",2,IF(J639="words",2,IF(J639="pictures",2,IF(J639="object pictures",2,IF(J639="faces",2,IF(J639="names",2,IF(J639="idioms","2",IF(J639="grades",2,IF(J639="syllable-digit pairs",3,IF(J639="trigram-word pairs",3,IF(J639="word-digit pairs",3,IF(J639="English-Swahili pairs",3,IF(J639="spatial position",3,IF(J639="word pairs",4,IF(J639="word triads",4,IF(J639="generated words",4,IF(J639="word definition pairs",4,IF(J639="math problems",4,IF(J639="famous faces",4,IF(J639="famous names",4,IF(J639="famous voices",4,IF(J639="television programs",4,IF(J639="race horses",4,IF(J639="new vocabulary",4,IF(J639="sentences",5,IF(J639="concepts",5,IF(J639="ad slides",5,IF(J639="scenes",5,IF(J639="famous scenes",5,IF(J639="poems",6,IF(J639="walk",6,IF(J639="faces and events",6,IF(J639="events and names",6,IF(J639="flashbulb",7,IF(J639="stories",7,IF(J639="course material",7,IF(J639="autobiographical",7,IF(J639="novels",7,IF(J639="public events",7,"99"))))))))))))))))))))))))))))))))))))))))))))))</f>
        <v>1</v>
      </c>
      <c r="M639" s="69">
        <v>0</v>
      </c>
      <c r="N639" s="92">
        <v>1</v>
      </c>
      <c r="O639" s="69">
        <v>0</v>
      </c>
      <c r="P639" s="69"/>
      <c r="Q639" s="69" t="s">
        <v>174</v>
      </c>
      <c r="R639" s="69">
        <f>IF(Q639="Free Recall",1,IF(Q639="Cued Recall",2,IF(Q639="Recognition",3,IF(Q639="Multiple Choice",4,IF(Q639="Savings",5,IF(Q639="Stem Completion",6,IF(Q639="Fragment Completion",7,IF(Q639="anagram solution",8,IF(Q639="Matching",9,IF(Q639="Problem Solving",10,"99"))))))))))</f>
        <v>1</v>
      </c>
      <c r="S639" s="69" t="s">
        <v>49</v>
      </c>
      <c r="T639" s="92" t="s">
        <v>581</v>
      </c>
      <c r="U639" s="69">
        <f>IF(T639="within",1,0)</f>
        <v>1</v>
      </c>
      <c r="V639" s="92">
        <v>123</v>
      </c>
      <c r="W639" s="69">
        <f>F639*V639</f>
        <v>492</v>
      </c>
      <c r="X639" s="69">
        <v>3</v>
      </c>
      <c r="Y639" s="87">
        <f>AV638</f>
        <v>30</v>
      </c>
      <c r="Z639" s="69" t="s">
        <v>160</v>
      </c>
      <c r="AA639" s="69">
        <f>60*60*24*7*6</f>
        <v>3628800</v>
      </c>
      <c r="AB639" s="69" t="str">
        <f>IF(AA639&lt;60,"1",IF(AA639&lt;=43200,"2",IF(AA639&lt;=777600,"3","4")))</f>
        <v>4</v>
      </c>
      <c r="AC639" s="72">
        <f>AVERAGE(AV638:DA638)</f>
        <v>1210210</v>
      </c>
      <c r="AD639" s="69" t="str">
        <f>IF(AC639&lt;60,"1",IF(AC639&lt;=43200,"2",IF(AC639&lt;=777600,"3","4")))</f>
        <v>4</v>
      </c>
      <c r="AE639" s="87">
        <f>AA639-Y639</f>
        <v>3628770</v>
      </c>
      <c r="AF639" s="88">
        <f>AV639</f>
        <v>0.76829268292682928</v>
      </c>
      <c r="AG639" s="72">
        <f>((AW639-AV639)+(AX639-AW639))/2</f>
        <v>-0.29878048780487804</v>
      </c>
      <c r="AH639" s="4"/>
      <c r="AI639" s="72">
        <f>RSQ(AV639:AX639,AV638:AX638)</f>
        <v>0.88355067941170973</v>
      </c>
      <c r="AJ639" s="110">
        <f>SLOPE(AV639:AX639,AV638:AX638)</f>
        <v>-1.3616148566010184E-7</v>
      </c>
      <c r="AK639" s="72">
        <f>INTERCEPT(AV639:AX639,AV638:AX638)</f>
        <v>0.66478399156071188</v>
      </c>
      <c r="AL639" s="72">
        <f>INDEX(LINEST(LN(AV639:AX639),LN(AV638:AX638),TRUE,TRUE),3,1)</f>
        <v>0.97695554529697126</v>
      </c>
      <c r="AM639" s="72">
        <f>INDEX(LINEST(LN(AV639:AX639),LN(AV638:AX638)),1)</f>
        <v>-0.13203417914226587</v>
      </c>
      <c r="AN639" s="72">
        <f>EXP(INDEX(LINEST(LN(AV639:AX639),LN(AV638:AX638)),1,2))</f>
        <v>1.3159675213811464</v>
      </c>
      <c r="AO639" s="89">
        <f>INDEX(LINEST((AV639:AX639),LN(AV638:AX638),TRUE,TRUE),3,1)</f>
        <v>0.99998937756165318</v>
      </c>
      <c r="AP639" s="89">
        <f>INDEX(LINEST((AV639:AX639),LN(AV638:AX638)),1)</f>
        <v>-5.1088425764394131E-2</v>
      </c>
      <c r="AQ639" s="90">
        <f>INDEX(LINEST(LN(AV639:AX639),SQRT(AV638:AX638),TRUE,TRUE),3,1)</f>
        <v>0.9670542564262925</v>
      </c>
      <c r="AR639" s="117">
        <f>INDEX(LINEST(LN(AV639:AX639),SQRT((AV638:AX638))),1)</f>
        <v>-7.1827796356624927E-4</v>
      </c>
      <c r="AS639" s="91">
        <f>INDEX(LINEST(1/(AV639:AX639),1/(SQRT(AV638:AX638)),TRUE,TRUE),3,1)</f>
        <v>0.45102776702363601</v>
      </c>
      <c r="AT639" s="91">
        <f>INDEX(LINEST(1/(AV639:AX639),1/SQRT(AV638:AX638)),1)</f>
        <v>-16.957237363411991</v>
      </c>
      <c r="AU639" s="3"/>
      <c r="AV639" s="73">
        <f>31.5/41</f>
        <v>0.76829268292682928</v>
      </c>
      <c r="AW639" s="73">
        <f>23/41</f>
        <v>0.56097560975609762</v>
      </c>
      <c r="AX639" s="73">
        <f>7/41</f>
        <v>0.17073170731707318</v>
      </c>
      <c r="AY639" s="73"/>
      <c r="AZ639" s="73"/>
      <c r="BA639" s="53"/>
      <c r="BB639" s="53"/>
      <c r="BC639" s="53"/>
      <c r="BD639" s="53"/>
      <c r="BE639" s="53"/>
      <c r="BF639" s="53"/>
      <c r="BG639" s="53"/>
      <c r="BH639" s="53"/>
      <c r="BI639" s="53"/>
      <c r="BJ639" s="53"/>
      <c r="BK639" s="53"/>
      <c r="BL639" s="53"/>
      <c r="BM639" s="53"/>
      <c r="BN639" s="53"/>
      <c r="BO639" s="53"/>
      <c r="BP639" s="53"/>
      <c r="BQ639" s="53"/>
      <c r="BR639" s="53"/>
      <c r="BS639" s="53"/>
      <c r="BT639" s="53"/>
      <c r="BU639" s="53"/>
      <c r="BV639" s="53"/>
      <c r="BW639" s="53"/>
      <c r="BX639" s="53"/>
      <c r="BY639" s="53"/>
      <c r="BZ639" s="53"/>
      <c r="CA639" s="53"/>
      <c r="CB639" s="53"/>
      <c r="CC639" s="53"/>
      <c r="CD639" s="53"/>
      <c r="CE639" s="53"/>
      <c r="CF639" s="53"/>
      <c r="CG639" s="53"/>
      <c r="CH639" s="53"/>
      <c r="CI639" s="53"/>
      <c r="CJ639" s="53"/>
      <c r="CK639" s="53"/>
      <c r="CL639" s="53"/>
      <c r="CM639" s="53"/>
      <c r="CN639" s="53"/>
      <c r="CO639" s="53"/>
      <c r="CP639" s="53"/>
      <c r="CQ639" s="53"/>
      <c r="CR639" s="1"/>
      <c r="CS639" s="1"/>
      <c r="CT639" s="1"/>
      <c r="CU639" s="1"/>
    </row>
    <row r="640" spans="1:99" s="13" customFormat="1" ht="12" customHeight="1" x14ac:dyDescent="0.2">
      <c r="A640" s="68">
        <v>43978</v>
      </c>
      <c r="B640" s="70"/>
      <c r="C640" s="70"/>
      <c r="D640" s="69"/>
      <c r="E640" s="87"/>
      <c r="F640" s="69"/>
      <c r="G640" s="69"/>
      <c r="H640" s="69"/>
      <c r="I640" s="69"/>
      <c r="J640" s="69"/>
      <c r="K640" s="69"/>
      <c r="L640" s="69"/>
      <c r="M640" s="69"/>
      <c r="N640" s="92"/>
      <c r="O640" s="69"/>
      <c r="P640" s="69"/>
      <c r="Q640" s="69"/>
      <c r="R640" s="69"/>
      <c r="S640" s="69"/>
      <c r="T640" s="92"/>
      <c r="U640" s="69"/>
      <c r="V640" s="92"/>
      <c r="W640" s="69"/>
      <c r="X640" s="69"/>
      <c r="Y640" s="87"/>
      <c r="Z640" s="92"/>
      <c r="AA640" s="69"/>
      <c r="AB640" s="69"/>
      <c r="AC640" s="72"/>
      <c r="AD640" s="69"/>
      <c r="AE640" s="87"/>
      <c r="AF640" s="88"/>
      <c r="AG640" s="72"/>
      <c r="AH640" s="4"/>
      <c r="AI640" s="72"/>
      <c r="AJ640" s="110"/>
      <c r="AK640" s="72"/>
      <c r="AL640" s="72"/>
      <c r="AM640" s="72"/>
      <c r="AN640" s="72"/>
      <c r="AO640" s="89"/>
      <c r="AP640" s="89"/>
      <c r="AQ640" s="90"/>
      <c r="AR640" s="117"/>
      <c r="AS640" s="91"/>
      <c r="AT640" s="91"/>
      <c r="AU640" s="3"/>
      <c r="AV640" s="71">
        <f>60*60*24*265*5</f>
        <v>114480000</v>
      </c>
      <c r="AW640" s="71">
        <f>60*60*24*265*15</f>
        <v>343440000</v>
      </c>
      <c r="AX640" s="71">
        <f>60*60*24*265*25</f>
        <v>572400000</v>
      </c>
      <c r="AY640" s="71">
        <f>60*60*24*265*35</f>
        <v>801360000</v>
      </c>
      <c r="AZ640" s="71">
        <f>60*60*24*265*45</f>
        <v>1030320000</v>
      </c>
      <c r="BA640" s="53"/>
      <c r="BB640" s="53"/>
      <c r="BC640" s="53"/>
      <c r="BD640" s="53"/>
      <c r="BE640" s="53"/>
      <c r="BF640" s="53"/>
      <c r="BG640" s="53"/>
      <c r="BH640" s="53"/>
      <c r="BI640" s="53"/>
      <c r="BJ640" s="53"/>
      <c r="BK640" s="53"/>
      <c r="BL640" s="53"/>
      <c r="BM640" s="53"/>
      <c r="BN640" s="53"/>
      <c r="BO640" s="53"/>
      <c r="BP640" s="53"/>
      <c r="BQ640" s="53"/>
      <c r="BR640" s="53"/>
      <c r="BS640" s="53"/>
      <c r="BT640" s="53"/>
      <c r="BU640" s="53"/>
      <c r="BV640" s="53"/>
      <c r="BW640" s="53"/>
      <c r="BX640" s="53"/>
      <c r="BY640" s="53"/>
      <c r="BZ640" s="53"/>
      <c r="CA640" s="53"/>
      <c r="CB640" s="53"/>
      <c r="CC640" s="53"/>
      <c r="CD640" s="53"/>
      <c r="CE640" s="53"/>
      <c r="CF640" s="53"/>
      <c r="CG640" s="53"/>
      <c r="CH640" s="53"/>
      <c r="CI640" s="53"/>
      <c r="CJ640" s="53"/>
      <c r="CK640" s="53"/>
      <c r="CL640" s="53"/>
      <c r="CM640" s="53"/>
      <c r="CN640" s="53"/>
      <c r="CO640" s="53"/>
      <c r="CP640" s="53"/>
      <c r="CQ640" s="53"/>
      <c r="CR640" s="1"/>
      <c r="CS640" s="1"/>
      <c r="CT640" s="1"/>
      <c r="CU640" s="1"/>
    </row>
    <row r="641" spans="1:99" s="13" customFormat="1" ht="12" customHeight="1" x14ac:dyDescent="0.2">
      <c r="A641" s="68">
        <v>43978</v>
      </c>
      <c r="B641" s="70" t="s">
        <v>968</v>
      </c>
      <c r="C641" s="70" t="s">
        <v>408</v>
      </c>
      <c r="D641" s="69">
        <v>1997</v>
      </c>
      <c r="E641" s="87">
        <v>1</v>
      </c>
      <c r="F641" s="69">
        <v>4</v>
      </c>
      <c r="G641" s="69">
        <v>4</v>
      </c>
      <c r="H641" s="69" t="s">
        <v>17</v>
      </c>
      <c r="I641" s="69" t="s">
        <v>330</v>
      </c>
      <c r="J641" s="69" t="s">
        <v>340</v>
      </c>
      <c r="K641" s="69">
        <f>IF(J641="syllables",1,IF(J641="trigrams",2,IF(J641="strings",3,IF(J641="visual array",4,IF(J641="characters",5,IF(J641="letters",6,IF(J641="free forms",7,IF(J641="odors",8,IF(J641="words",9,IF(J641="pictures",10,IF(J641="object pictures",11,IF(J641="faces",12,IF(J641="names",13,IF(J641="idioms",14,IF(J641="grades",15,IF(J641="syllable-digit pairs",16,IF(J641="trigram-word pairs",17,IF(J641="word-digit pairs",18,IF(J641="English-Swahili pairs",19,IF(J641="spatial position",20,IF(J641="word pairs",21,IF(J641="word triads",22,IF(J641="generated words",23,IF(J641="word definition pairs",24,IF(J641="math problems",25,IF(J641="famous faces",26,IF(J641="famous names",27,IF(J641="famous voices",28,IF(J641="television programs",29,IF(J641="race horses",30,IF(J641="new vocabulary",31,IF(J641="sentences",32,IF(J641="concepts",33,IF(J641="ad slides",34,IF(J641="scenes",35,IF(J641="famous scenes",36,IF(J641="poems",37,IF(J641="walk",38,IF(J641="faces and events",39,IF(J641="events and names",40,IF(J641="flashbulb",41,IF(J641="stories",42,IF(J641="course material",43,IF(J641="autobiographical",44,IF(J641="novels",45,IF(J641="public events",46,"99"))))))))))))))))))))))))))))))))))))))))))))))</f>
        <v>46</v>
      </c>
      <c r="L641" s="69">
        <f>IF(J641="syllables",1,IF(J641="trigrams",1,IF(J641="strings",1,IF(J641="visual array",1,IF(J641="characters",1,IF(J641="letters",1,IF(J641="free forms",1,IF(J641="odors",2,IF(J641="words",2,IF(J641="pictures",2,IF(J641="object pictures",2,IF(J641="faces",2,IF(J641="names",2,IF(J641="idioms","2",IF(J641="grades",2,IF(J641="syllable-digit pairs",3,IF(J641="trigram-word pairs",3,IF(J641="word-digit pairs",3,IF(J641="English-Swahili pairs",3,IF(J641="spatial position",3,IF(J641="word pairs",4,IF(J641="word triads",4,IF(J641="generated words",4,IF(J641="word definition pairs",4,IF(J641="math problems",4,IF(J641="famous faces",4,IF(J641="famous names",4,IF(J641="famous voices",4,IF(J641="television programs",4,IF(J641="race horses",4,IF(J641="new vocabulary",4,IF(J641="sentences",5,IF(J641="concepts",5,IF(J641="ad slides",5,IF(J641="scenes",5,IF(J641="famous scenes",5,IF(J641="poems",6,IF(J641="walk",6,IF(J641="faces and events",6,IF(J641="events and names",6,IF(J641="flashbulb",7,IF(J641="stories",7,IF(J641="course material",7,IF(J641="autobiographical",7,IF(J641="novels",7,IF(J641="public events",7,"99"))))))))))))))))))))))))))))))))))))))))))))))</f>
        <v>7</v>
      </c>
      <c r="M641" s="69">
        <v>1</v>
      </c>
      <c r="N641" s="92">
        <v>4</v>
      </c>
      <c r="O641" s="69">
        <v>0</v>
      </c>
      <c r="P641" s="69"/>
      <c r="Q641" s="69" t="s">
        <v>182</v>
      </c>
      <c r="R641" s="69">
        <f>IF(Q641="Free Recall",1,IF(Q641="Cued Recall",2,IF(Q641="Recognition",3,IF(Q641="Multiple Choice",4,IF(Q641="Savings",5,IF(Q641="Stem Completion",6,IF(Q641="Fragment Completion",7,IF(Q641="anagram solution",8,IF(Q641="Matching",9,IF(Q641="Problem Solving",10,"99"))))))))))</f>
        <v>4</v>
      </c>
      <c r="S641" s="69" t="s">
        <v>15</v>
      </c>
      <c r="T641" s="92" t="s">
        <v>581</v>
      </c>
      <c r="U641" s="69">
        <f>IF(T641="within",1,0)</f>
        <v>1</v>
      </c>
      <c r="V641" s="92">
        <v>94</v>
      </c>
      <c r="W641" s="69">
        <f>F641*V641</f>
        <v>376</v>
      </c>
      <c r="X641" s="69">
        <v>5</v>
      </c>
      <c r="Y641" s="87">
        <f>AV640</f>
        <v>114480000</v>
      </c>
      <c r="Z641" s="92" t="s">
        <v>373</v>
      </c>
      <c r="AA641" s="69">
        <f>60*60*24*365*45</f>
        <v>1419120000</v>
      </c>
      <c r="AB641" s="69" t="str">
        <f>IF(AA641&lt;60,"1",IF(AA641&lt;=43200,"2",IF(AA641&lt;=777600,"3","4")))</f>
        <v>4</v>
      </c>
      <c r="AC641" s="72">
        <f>AVERAGE(AV640:DA640)</f>
        <v>572400000</v>
      </c>
      <c r="AD641" s="69" t="str">
        <f>IF(AC641&lt;60,"1",IF(AC641&lt;=43200,"2",IF(AC641&lt;=777600,"3","4")))</f>
        <v>4</v>
      </c>
      <c r="AE641" s="87">
        <f>AA641-Y641</f>
        <v>1304640000</v>
      </c>
      <c r="AF641" s="88">
        <f>AV641</f>
        <v>0.61</v>
      </c>
      <c r="AG641" s="72">
        <f>((AW641-AV641)+(AX641-AW641)+(AY641-AX641)+(AZ641-AY641))/4</f>
        <v>-4.8931704849767499E-2</v>
      </c>
      <c r="AH641" s="4"/>
      <c r="AI641" s="72">
        <f>RSQ(AV641:AZ641,AV640:AZ640)</f>
        <v>0.49067137770424346</v>
      </c>
      <c r="AJ641" s="110">
        <f>SLOPE(AV641:AZ641,AV640:AZ640)</f>
        <v>-2.0836292105184793E-10</v>
      </c>
      <c r="AK641" s="72">
        <f>INTERCEPT(AV641:AZ641,AV640:AZ640)</f>
        <v>0.64726832482973917</v>
      </c>
      <c r="AL641" s="72">
        <f>INDEX(LINEST(LN(AV641:AZ641),LN(AV640:AZ640),TRUE,TRUE),3,1)</f>
        <v>0.4263886858403631</v>
      </c>
      <c r="AM641" s="72">
        <f>INDEX(LINEST(LN(AV641:AZ641),LN(AV640:AZ640)),1)</f>
        <v>-0.15811696857948115</v>
      </c>
      <c r="AN641" s="72">
        <f>EXP(INDEX(LINEST(LN(AV641:AZ641),LN(AV640:AZ640)),1,2))</f>
        <v>12.117229711310106</v>
      </c>
      <c r="AO641" s="89">
        <f>INDEX(LINEST((AV641:AZ641),LN(AV640:AZ640),TRUE,TRUE),3,1)</f>
        <v>0.43731729304159439</v>
      </c>
      <c r="AP641" s="89">
        <f>INDEX(LINEST((AV641:AZ641),LN(AV640:AZ640)),1)</f>
        <v>-8.1903520536440885E-2</v>
      </c>
      <c r="AQ641" s="90">
        <f>INDEX(LINEST(LN(AV641:AZ641),SQRT(AV640:AZ640),TRUE,TRUE),3,1)</f>
        <v>0.46402787703792703</v>
      </c>
      <c r="AR641" s="117">
        <f>INDEX(LINEST(LN(AV641:AZ641),SQRT((AV640:AZ640))),1)</f>
        <v>-1.7060406508265118E-5</v>
      </c>
      <c r="AS641" s="91">
        <f>INDEX(LINEST(1/(AV641:AZ641),1/(SQRT(AV640:AZ640)),TRUE,TRUE),3,1)</f>
        <v>0.36184924848483002</v>
      </c>
      <c r="AT641" s="91">
        <f>INDEX(LINEST(1/(AV641:AZ641),1/SQRT(AV640:AZ640)),1)</f>
        <v>-9991.1491569357786</v>
      </c>
      <c r="AU641" s="3"/>
      <c r="AV641" s="102">
        <v>0.61</v>
      </c>
      <c r="AW641" s="73">
        <v>0.64292868762205901</v>
      </c>
      <c r="AX641" s="73">
        <v>0.41549049349542999</v>
      </c>
      <c r="AY641" s="73">
        <v>0.55731458237988796</v>
      </c>
      <c r="AZ641" s="73">
        <v>0.41427318060092999</v>
      </c>
      <c r="BA641" s="53"/>
      <c r="BB641" s="53"/>
      <c r="BC641" s="53"/>
      <c r="BD641" s="53"/>
      <c r="BE641" s="53"/>
      <c r="BF641" s="53"/>
      <c r="BG641" s="53"/>
      <c r="BH641" s="53"/>
      <c r="BI641" s="53"/>
      <c r="BJ641" s="53"/>
      <c r="BK641" s="53"/>
      <c r="BL641" s="53"/>
      <c r="BM641" s="53"/>
      <c r="BN641" s="53"/>
      <c r="BO641" s="53"/>
      <c r="BP641" s="53"/>
      <c r="BQ641" s="53"/>
      <c r="BR641" s="53"/>
      <c r="BS641" s="53"/>
      <c r="BT641" s="53"/>
      <c r="BU641" s="53"/>
      <c r="BV641" s="53"/>
      <c r="BW641" s="53"/>
      <c r="BX641" s="53"/>
      <c r="BY641" s="53"/>
      <c r="BZ641" s="53"/>
      <c r="CA641" s="53"/>
      <c r="CB641" s="53"/>
      <c r="CC641" s="53"/>
      <c r="CD641" s="53"/>
      <c r="CE641" s="53"/>
      <c r="CF641" s="53"/>
      <c r="CG641" s="53"/>
      <c r="CH641" s="53"/>
      <c r="CI641" s="53"/>
      <c r="CJ641" s="53"/>
      <c r="CK641" s="53"/>
      <c r="CL641" s="53"/>
      <c r="CM641" s="53"/>
      <c r="CN641" s="53"/>
      <c r="CO641" s="53"/>
      <c r="CP641" s="53"/>
      <c r="CQ641" s="53"/>
      <c r="CR641" s="1"/>
      <c r="CS641" s="1"/>
      <c r="CT641" s="1"/>
      <c r="CU641" s="1"/>
    </row>
    <row r="642" spans="1:99" s="13" customFormat="1" ht="12" customHeight="1" x14ac:dyDescent="0.2">
      <c r="A642" s="65">
        <v>43896</v>
      </c>
      <c r="B642" s="1"/>
      <c r="D642" s="61"/>
      <c r="E642" s="76"/>
      <c r="F642" s="60"/>
      <c r="G642" s="60"/>
      <c r="H642" s="60"/>
      <c r="I642" s="60"/>
      <c r="J642" s="60"/>
      <c r="K642" s="64"/>
      <c r="L642" s="64"/>
      <c r="M642" s="60"/>
      <c r="N642" s="59"/>
      <c r="O642" s="60"/>
      <c r="P642" s="60"/>
      <c r="Q642" s="60"/>
      <c r="R642" s="60"/>
      <c r="S642" s="60"/>
      <c r="T642" s="60"/>
      <c r="U642" s="60"/>
      <c r="V642" s="60"/>
      <c r="W642" s="60"/>
      <c r="X642" s="60"/>
      <c r="Y642" s="76"/>
      <c r="Z642" s="60"/>
      <c r="AA642" s="60"/>
      <c r="AB642" s="60"/>
      <c r="AC642" s="56"/>
      <c r="AD642" s="60"/>
      <c r="AE642" s="60"/>
      <c r="AF642" s="80"/>
      <c r="AG642" s="56"/>
      <c r="AH642" s="4"/>
      <c r="AI642" s="56"/>
      <c r="AJ642" s="109"/>
      <c r="AK642" s="56"/>
      <c r="AL642" s="56"/>
      <c r="AM642" s="56"/>
      <c r="AN642" s="56"/>
      <c r="AO642" s="56"/>
      <c r="AP642" s="56"/>
      <c r="AQ642" s="56"/>
      <c r="AR642" s="109"/>
      <c r="AS642" s="56"/>
      <c r="AT642" s="56"/>
      <c r="AU642" s="5"/>
      <c r="AV642" s="25">
        <v>315360000</v>
      </c>
      <c r="AW642" s="25">
        <v>630720000</v>
      </c>
      <c r="AX642" s="25">
        <v>946080000</v>
      </c>
      <c r="AY642" s="42"/>
      <c r="AZ642" s="46"/>
      <c r="BA642" s="42"/>
      <c r="BB642" s="42"/>
      <c r="BC642" s="42"/>
      <c r="BD642" s="42"/>
      <c r="BE642" s="42"/>
      <c r="BF642" s="42"/>
      <c r="BG642" s="42"/>
      <c r="BH642" s="28"/>
      <c r="BI642" s="28"/>
      <c r="BJ642" s="28"/>
      <c r="BK642" s="28"/>
      <c r="BL642" s="28"/>
      <c r="BM642" s="28"/>
      <c r="BN642" s="28"/>
      <c r="BO642" s="28"/>
      <c r="BP642" s="28"/>
      <c r="BQ642" s="28"/>
      <c r="BR642" s="28"/>
      <c r="BS642" s="28"/>
      <c r="BT642" s="28"/>
      <c r="BU642" s="28"/>
      <c r="BV642" s="28"/>
      <c r="BW642" s="28"/>
      <c r="BX642" s="28"/>
      <c r="BY642" s="28"/>
      <c r="BZ642" s="28"/>
      <c r="CA642" s="28"/>
      <c r="CB642" s="28"/>
      <c r="CC642" s="28"/>
      <c r="CD642" s="28"/>
      <c r="CE642" s="28"/>
      <c r="CF642" s="28"/>
      <c r="CG642" s="28"/>
      <c r="CH642" s="28"/>
      <c r="CI642" s="28"/>
      <c r="CJ642" s="28"/>
      <c r="CK642" s="28"/>
      <c r="CL642" s="28"/>
      <c r="CM642" s="28"/>
      <c r="CN642" s="28"/>
      <c r="CO642" s="28"/>
      <c r="CP642" s="28"/>
      <c r="CQ642" s="28"/>
      <c r="CR642" s="1"/>
      <c r="CS642" s="1"/>
      <c r="CT642" s="1"/>
      <c r="CU642" s="1"/>
    </row>
    <row r="643" spans="1:99" s="13" customFormat="1" ht="12" customHeight="1" x14ac:dyDescent="0.2">
      <c r="A643" s="65">
        <v>43896</v>
      </c>
      <c r="B643" s="1" t="s">
        <v>354</v>
      </c>
      <c r="C643" s="1" t="s">
        <v>355</v>
      </c>
      <c r="D643" s="60">
        <v>1996</v>
      </c>
      <c r="E643" s="76">
        <v>2</v>
      </c>
      <c r="F643" s="60">
        <v>4</v>
      </c>
      <c r="G643" s="60">
        <v>4</v>
      </c>
      <c r="H643" s="60" t="s">
        <v>17</v>
      </c>
      <c r="I643" s="60" t="s">
        <v>330</v>
      </c>
      <c r="J643" s="60" t="s">
        <v>340</v>
      </c>
      <c r="K643" s="60">
        <f>IF(J643="syllables",1,IF(J643="trigrams",2,IF(J643="strings",3,IF(J643="visual array",4,IF(J643="characters",5,IF(J643="letters",6,IF(J643="free forms",7,IF(J643="odors",8,IF(J643="words",9,IF(J643="pictures",10,IF(J643="object pictures",11,IF(J643="faces",12,IF(J643="names",13,IF(J643="idioms",14,IF(J643="grades",15,IF(J643="syllable-digit pairs",16,IF(J643="trigram-word pairs",17,IF(J643="word-digit pairs",18,IF(J643="English-Swahili pairs",19,IF(J643="spatial position",20,IF(J643="word pairs",21,IF(J643="word triads",22,IF(J643="generated words",23,IF(J643="word definition pairs",24,IF(J643="math problems",25,IF(J643="famous faces",26,IF(J643="famous names",27,IF(J643="famous voices",28,IF(J643="television programs",29,IF(J643="race horses",30,IF(J643="new vocabulary",31,IF(J643="sentences",32,IF(J643="concepts",33,IF(J643="ad slides",34,IF(J643="scenes",35,IF(J643="famous scenes",36,IF(J643="poems",37,IF(J643="walk",38,IF(J643="faces and events",39,IF(J643="events and names",40,IF(J643="flashbulb",41,IF(J643="stories",42,IF(J643="course material",43,IF(J643="autobiographical",44,IF(J643="novels",45,IF(J643="public events",46,"99"))))))))))))))))))))))))))))))))))))))))))))))</f>
        <v>46</v>
      </c>
      <c r="L643" s="60">
        <f>IF(J643="syllables",1,IF(J643="trigrams",1,IF(J643="strings",1,IF(J643="visual array",1,IF(J643="characters",1,IF(J643="letters",1,IF(J643="free forms",1,IF(J643="odors",2,IF(J643="words",2,IF(J643="pictures",2,IF(J643="object pictures",2,IF(J643="faces",2,IF(J643="names",2,IF(J643="idioms","2",IF(J643="grades",2,IF(J643="syllable-digit pairs",3,IF(J643="trigram-word pairs",3,IF(J643="word-digit pairs",3,IF(J643="English-Swahili pairs",3,IF(J643="spatial position",3,IF(J643="word pairs",4,IF(J643="word triads",4,IF(J643="generated words",4,IF(J643="word definition pairs",4,IF(J643="math problems",4,IF(J643="famous faces",4,IF(J643="famous names",4,IF(J643="famous voices",4,IF(J643="television programs",4,IF(J643="race horses",4,IF(J643="new vocabulary",4,IF(J643="sentences",5,IF(J643="concepts",5,IF(J643="ad slides",5,IF(J643="scenes",5,IF(J643="famous scenes",5,IF(J643="poems",6,IF(J643="walk",6,IF(J643="faces and events",6,IF(J643="events and names",6,IF(J643="flashbulb",7,IF(J643="stories",7,IF(J643="course material",7,IF(J643="autobiographical",7,IF(J643="novels",7,IF(J643="public events",7,"99"))))))))))))))))))))))))))))))))))))))))))))))</f>
        <v>7</v>
      </c>
      <c r="M643" s="60">
        <v>1</v>
      </c>
      <c r="N643" s="59">
        <v>4</v>
      </c>
      <c r="O643" s="60">
        <v>0</v>
      </c>
      <c r="P643" s="60"/>
      <c r="Q643" s="60" t="s">
        <v>174</v>
      </c>
      <c r="R643" s="60">
        <f>IF(Q643="Free Recall",1,IF(Q643="Cued Recall",2,IF(Q643="Recognition",3,IF(Q643="Multiple Choice",4,IF(Q643="Savings",5,IF(Q643="Stem Completion",6,IF(Q643="Fragment Completion",7,IF(Q643="anagram solution",8,IF(Q643="Matching",9,IF(Q643="Problem Solving",10,"99"))))))))))</f>
        <v>1</v>
      </c>
      <c r="S643" s="60" t="s">
        <v>49</v>
      </c>
      <c r="T643" s="59" t="s">
        <v>581</v>
      </c>
      <c r="U643" s="60">
        <f>IF(T643="within",1,0)</f>
        <v>1</v>
      </c>
      <c r="V643" s="59">
        <v>30</v>
      </c>
      <c r="W643" s="60">
        <f>F643*V643</f>
        <v>120</v>
      </c>
      <c r="X643" s="60">
        <v>3</v>
      </c>
      <c r="Y643" s="76">
        <f>AV642</f>
        <v>315360000</v>
      </c>
      <c r="Z643" s="59" t="s">
        <v>332</v>
      </c>
      <c r="AA643" s="60">
        <f>30*365*24*60*60</f>
        <v>946080000</v>
      </c>
      <c r="AB643" s="60" t="str">
        <f>IF(AA643&lt;60,"1",IF(AA643&lt;=43200,"2",IF(AA643&lt;=777600,"3","4")))</f>
        <v>4</v>
      </c>
      <c r="AC643" s="56">
        <f>AVERAGE(AV642:DA642)</f>
        <v>630720000</v>
      </c>
      <c r="AD643" s="60" t="str">
        <f>IF(AC643&lt;60,"1",IF(AC643&lt;=43200,"2",IF(AC643&lt;=777600,"3","4")))</f>
        <v>4</v>
      </c>
      <c r="AE643" s="76">
        <f>AA643-Y643</f>
        <v>630720000</v>
      </c>
      <c r="AF643" s="80">
        <f>AV643</f>
        <v>0.59090909090909094</v>
      </c>
      <c r="AG643" s="56">
        <f>((AW643-AV643)+(AX643-AW643))/2</f>
        <v>-1.2845849802371578E-2</v>
      </c>
      <c r="AH643" s="4"/>
      <c r="AI643" s="56">
        <f>RSQ(AV643:AX643,AV642:AX642)</f>
        <v>5.4600991425409699E-3</v>
      </c>
      <c r="AJ643" s="109">
        <f>SLOPE(AV643:AX643,AV642:AX642)</f>
        <v>-4.0733922508788623E-11</v>
      </c>
      <c r="AK643" s="56">
        <f>INTERCEPT(AV643:AX643,AV642:AX642)</f>
        <v>0.50365978626848207</v>
      </c>
      <c r="AL643" s="56">
        <f>INDEX(LINEST(LN(AV643:AX643),LN(AV642:AX642),TRUE,TRUE),3,1)</f>
        <v>4.0467150218354973E-2</v>
      </c>
      <c r="AM643" s="56">
        <f>INDEX(LINEST(LN(AV643:AX643),LN(AV642:AX642)),1)</f>
        <v>-0.15337101198759301</v>
      </c>
      <c r="AN643" s="56">
        <f>EXP(INDEX(LINEST(LN(AV643:AX643),LN(AV642:AX642)),1,2))</f>
        <v>9.9784652043438875</v>
      </c>
      <c r="AO643" s="82">
        <f>INDEX(LINEST((AV643:AX643),LN(AV642:AX642),TRUE,TRUE),3,1)</f>
        <v>4.9345947846071173E-2</v>
      </c>
      <c r="AP643" s="82">
        <f>INDEX(LINEST((AV643:AX643),LN(AV642:AX642)),1)</f>
        <v>-6.9513066573456184E-2</v>
      </c>
      <c r="AQ643" s="83">
        <f>INDEX(LINEST(LN(AV643:AX643),SQRT(AV642:AX642),TRUE,TRUE),3,1)</f>
        <v>1.6386496008256157E-2</v>
      </c>
      <c r="AR643" s="116">
        <f>INDEX(LINEST(LN(AV643:AX643),SQRT((AV642:AX642))),1)</f>
        <v>-8.3174732894637526E-6</v>
      </c>
      <c r="AS643" s="84">
        <f>INDEX(LINEST(1/(AV643:AX643),1/(SQRT(AV642:AX642)),TRUE,TRUE),3,1)</f>
        <v>6.3573993015720587E-2</v>
      </c>
      <c r="AT643" s="84">
        <f>INDEX(LINEST(1/(AV643:AX643),1/SQRT(AV642:AX642)),1)</f>
        <v>-22332.930360615093</v>
      </c>
      <c r="AU643" s="3"/>
      <c r="AV643" s="53">
        <v>0.59090909090909094</v>
      </c>
      <c r="AW643" s="53">
        <v>0.27777777777777779</v>
      </c>
      <c r="AX643" s="53">
        <v>0.56521739130434778</v>
      </c>
      <c r="AY643" s="42"/>
      <c r="AZ643" s="46"/>
      <c r="BA643" s="42"/>
      <c r="BB643" s="42"/>
      <c r="BC643" s="28"/>
      <c r="BD643" s="28"/>
      <c r="BE643" s="28"/>
      <c r="BF643" s="28"/>
      <c r="BG643" s="28"/>
      <c r="BH643" s="28"/>
      <c r="BI643" s="28"/>
      <c r="BJ643" s="28"/>
      <c r="BK643" s="28"/>
      <c r="BL643" s="28"/>
      <c r="BM643" s="28"/>
      <c r="BN643" s="28"/>
      <c r="BO643" s="28"/>
      <c r="BP643" s="28"/>
      <c r="BQ643" s="28"/>
      <c r="BR643" s="28"/>
      <c r="BS643" s="28"/>
      <c r="BT643" s="28"/>
      <c r="BU643" s="28"/>
      <c r="BV643" s="28"/>
      <c r="BW643" s="28"/>
      <c r="BX643" s="28"/>
      <c r="BY643" s="28"/>
      <c r="BZ643" s="28"/>
      <c r="CA643" s="28"/>
      <c r="CB643" s="28"/>
      <c r="CC643" s="28"/>
      <c r="CD643" s="28"/>
      <c r="CE643" s="28"/>
      <c r="CF643" s="28"/>
      <c r="CG643" s="28"/>
      <c r="CH643" s="28"/>
      <c r="CI643" s="28"/>
      <c r="CJ643" s="28"/>
      <c r="CK643" s="28"/>
      <c r="CL643" s="28"/>
      <c r="CM643" s="28"/>
      <c r="CN643" s="28"/>
      <c r="CO643" s="28"/>
      <c r="CP643" s="28"/>
      <c r="CQ643" s="28"/>
      <c r="CR643" s="1"/>
      <c r="CS643" s="1"/>
      <c r="CT643" s="1"/>
      <c r="CU643" s="1"/>
    </row>
    <row r="644" spans="1:99" s="13" customFormat="1" ht="12" customHeight="1" x14ac:dyDescent="0.2">
      <c r="A644" s="65">
        <v>43896</v>
      </c>
      <c r="B644" s="1"/>
      <c r="D644" s="61"/>
      <c r="E644" s="76"/>
      <c r="F644" s="60"/>
      <c r="G644" s="60"/>
      <c r="H644" s="60"/>
      <c r="I644" s="60"/>
      <c r="J644" s="60"/>
      <c r="K644" s="64"/>
      <c r="L644" s="64"/>
      <c r="M644" s="60"/>
      <c r="N644" s="59"/>
      <c r="O644" s="60"/>
      <c r="P644" s="60"/>
      <c r="Q644" s="60"/>
      <c r="R644" s="60"/>
      <c r="S644" s="60"/>
      <c r="T644" s="60"/>
      <c r="U644" s="60"/>
      <c r="V644" s="60"/>
      <c r="W644" s="60"/>
      <c r="X644" s="60"/>
      <c r="Y644" s="76"/>
      <c r="Z644" s="60"/>
      <c r="AA644" s="60"/>
      <c r="AB644" s="60"/>
      <c r="AC644" s="56"/>
      <c r="AD644" s="60"/>
      <c r="AE644" s="60"/>
      <c r="AF644" s="80"/>
      <c r="AG644" s="56"/>
      <c r="AH644" s="4"/>
      <c r="AI644" s="56"/>
      <c r="AJ644" s="109"/>
      <c r="AK644" s="56"/>
      <c r="AL644" s="56"/>
      <c r="AM644" s="56"/>
      <c r="AN644" s="56"/>
      <c r="AO644" s="56"/>
      <c r="AP644" s="56"/>
      <c r="AQ644" s="56"/>
      <c r="AR644" s="109"/>
      <c r="AS644" s="56"/>
      <c r="AT644" s="56"/>
      <c r="AU644" s="5"/>
      <c r="AV644" s="25">
        <v>315360000</v>
      </c>
      <c r="AW644" s="25">
        <v>630720000</v>
      </c>
      <c r="AX644" s="25">
        <v>946080000</v>
      </c>
      <c r="AY644" s="42"/>
      <c r="AZ644" s="46"/>
      <c r="BA644" s="42"/>
      <c r="BB644" s="42"/>
      <c r="BC644" s="28"/>
      <c r="BD644" s="28"/>
      <c r="BE644" s="28"/>
      <c r="BF644" s="28"/>
      <c r="BG644" s="28"/>
      <c r="BH644" s="28"/>
      <c r="BI644" s="28"/>
      <c r="BJ644" s="28"/>
      <c r="BK644" s="28"/>
      <c r="BL644" s="28"/>
      <c r="BM644" s="28"/>
      <c r="BN644" s="28"/>
      <c r="BO644" s="28"/>
      <c r="BP644" s="28"/>
      <c r="BQ644" s="28"/>
      <c r="BR644" s="28"/>
      <c r="BS644" s="28"/>
      <c r="BT644" s="28"/>
      <c r="BU644" s="28"/>
      <c r="BV644" s="28"/>
      <c r="BW644" s="28"/>
      <c r="BX644" s="28"/>
      <c r="BY644" s="28"/>
      <c r="BZ644" s="28"/>
      <c r="CA644" s="28"/>
      <c r="CB644" s="28"/>
      <c r="CC644" s="28"/>
      <c r="CD644" s="28"/>
      <c r="CE644" s="28"/>
      <c r="CF644" s="28"/>
      <c r="CG644" s="28"/>
      <c r="CH644" s="28"/>
      <c r="CI644" s="28"/>
      <c r="CJ644" s="28"/>
      <c r="CK644" s="28"/>
      <c r="CL644" s="28"/>
      <c r="CM644" s="28"/>
      <c r="CN644" s="28"/>
      <c r="CO644" s="28"/>
      <c r="CP644" s="28"/>
      <c r="CQ644" s="28"/>
      <c r="CR644" s="1"/>
      <c r="CS644" s="1"/>
      <c r="CT644" s="1"/>
      <c r="CU644" s="1"/>
    </row>
    <row r="645" spans="1:99" s="13" customFormat="1" ht="12" customHeight="1" x14ac:dyDescent="0.2">
      <c r="A645" s="65">
        <v>43896</v>
      </c>
      <c r="B645" s="1" t="s">
        <v>354</v>
      </c>
      <c r="C645" s="1" t="s">
        <v>355</v>
      </c>
      <c r="D645" s="60">
        <v>1996</v>
      </c>
      <c r="E645" s="76">
        <v>2</v>
      </c>
      <c r="F645" s="60">
        <v>4</v>
      </c>
      <c r="G645" s="60">
        <v>4</v>
      </c>
      <c r="H645" s="60" t="s">
        <v>17</v>
      </c>
      <c r="I645" s="60" t="s">
        <v>330</v>
      </c>
      <c r="J645" s="60" t="s">
        <v>340</v>
      </c>
      <c r="K645" s="60">
        <f>IF(J645="syllables",1,IF(J645="trigrams",2,IF(J645="strings",3,IF(J645="visual array",4,IF(J645="characters",5,IF(J645="letters",6,IF(J645="free forms",7,IF(J645="odors",8,IF(J645="words",9,IF(J645="pictures",10,IF(J645="object pictures",11,IF(J645="faces",12,IF(J645="names",13,IF(J645="idioms",14,IF(J645="grades",15,IF(J645="syllable-digit pairs",16,IF(J645="trigram-word pairs",17,IF(J645="word-digit pairs",18,IF(J645="English-Swahili pairs",19,IF(J645="spatial position",20,IF(J645="word pairs",21,IF(J645="word triads",22,IF(J645="generated words",23,IF(J645="word definition pairs",24,IF(J645="math problems",25,IF(J645="famous faces",26,IF(J645="famous names",27,IF(J645="famous voices",28,IF(J645="television programs",29,IF(J645="race horses",30,IF(J645="new vocabulary",31,IF(J645="sentences",32,IF(J645="concepts",33,IF(J645="ad slides",34,IF(J645="scenes",35,IF(J645="famous scenes",36,IF(J645="poems",37,IF(J645="walk",38,IF(J645="faces and events",39,IF(J645="events and names",40,IF(J645="flashbulb",41,IF(J645="stories",42,IF(J645="course material",43,IF(J645="autobiographical",44,IF(J645="novels",45,IF(J645="public events",46,"99"))))))))))))))))))))))))))))))))))))))))))))))</f>
        <v>46</v>
      </c>
      <c r="L645" s="60">
        <f>IF(J645="syllables",1,IF(J645="trigrams",1,IF(J645="strings",1,IF(J645="visual array",1,IF(J645="characters",1,IF(J645="letters",1,IF(J645="free forms",1,IF(J645="odors",2,IF(J645="words",2,IF(J645="pictures",2,IF(J645="object pictures",2,IF(J645="faces",2,IF(J645="names",2,IF(J645="idioms","2",IF(J645="grades",2,IF(J645="syllable-digit pairs",3,IF(J645="trigram-word pairs",3,IF(J645="word-digit pairs",3,IF(J645="English-Swahili pairs",3,IF(J645="spatial position",3,IF(J645="word pairs",4,IF(J645="word triads",4,IF(J645="generated words",4,IF(J645="word definition pairs",4,IF(J645="math problems",4,IF(J645="famous faces",4,IF(J645="famous names",4,IF(J645="famous voices",4,IF(J645="television programs",4,IF(J645="race horses",4,IF(J645="new vocabulary",4,IF(J645="sentences",5,IF(J645="concepts",5,IF(J645="ad slides",5,IF(J645="scenes",5,IF(J645="famous scenes",5,IF(J645="poems",6,IF(J645="walk",6,IF(J645="faces and events",6,IF(J645="events and names",6,IF(J645="flashbulb",7,IF(J645="stories",7,IF(J645="course material",7,IF(J645="autobiographical",7,IF(J645="novels",7,IF(J645="public events",7,"99"))))))))))))))))))))))))))))))))))))))))))))))</f>
        <v>7</v>
      </c>
      <c r="M645" s="60">
        <v>1</v>
      </c>
      <c r="N645" s="59">
        <v>4</v>
      </c>
      <c r="O645" s="60">
        <v>0</v>
      </c>
      <c r="P645" s="60"/>
      <c r="Q645" s="60" t="s">
        <v>182</v>
      </c>
      <c r="R645" s="60">
        <f>IF(Q645="Free Recall",1,IF(Q645="Cued Recall",2,IF(Q645="Recognition",3,IF(Q645="Multiple Choice",4,IF(Q645="Savings",5,IF(Q645="Stem Completion",6,IF(Q645="Fragment Completion",7,IF(Q645="anagram solution",8,IF(Q645="Matching",9,IF(Q645="Problem Solving",10,"99"))))))))))</f>
        <v>4</v>
      </c>
      <c r="S645" s="60" t="s">
        <v>15</v>
      </c>
      <c r="T645" s="59" t="s">
        <v>581</v>
      </c>
      <c r="U645" s="60">
        <f>IF(T645="within",1,0)</f>
        <v>1</v>
      </c>
      <c r="V645" s="59">
        <v>30</v>
      </c>
      <c r="W645" s="60">
        <f>F645*V645</f>
        <v>120</v>
      </c>
      <c r="X645" s="60">
        <v>3</v>
      </c>
      <c r="Y645" s="76">
        <f>AV644</f>
        <v>315360000</v>
      </c>
      <c r="Z645" s="59" t="s">
        <v>332</v>
      </c>
      <c r="AA645" s="60">
        <f>30*365*24*60*60</f>
        <v>946080000</v>
      </c>
      <c r="AB645" s="60" t="str">
        <f>IF(AA645&lt;60,"1",IF(AA645&lt;=43200,"2",IF(AA645&lt;=777600,"3","4")))</f>
        <v>4</v>
      </c>
      <c r="AC645" s="56">
        <f>AVERAGE(AV644:DA644)</f>
        <v>630720000</v>
      </c>
      <c r="AD645" s="60" t="str">
        <f>IF(AC645&lt;60,"1",IF(AC645&lt;=43200,"2",IF(AC645&lt;=777600,"3","4")))</f>
        <v>4</v>
      </c>
      <c r="AE645" s="76">
        <f>AA645-Y645</f>
        <v>630720000</v>
      </c>
      <c r="AF645" s="80">
        <f>AV645</f>
        <v>0.94736842105263175</v>
      </c>
      <c r="AG645" s="56">
        <f>((AW645-AV645)+(AX645-AW645))/2</f>
        <v>-1.9736842105263275E-2</v>
      </c>
      <c r="AH645" s="4"/>
      <c r="AI645" s="56">
        <f>RSQ(AV645:AX645,AV644:AX644)</f>
        <v>6.1524269088845333E-2</v>
      </c>
      <c r="AJ645" s="109">
        <f>SLOPE(AV645:AX645,AV644:AX644)</f>
        <v>-6.2585115757430473E-11</v>
      </c>
      <c r="AK645" s="56">
        <f>INTERCEPT(AV645:AX645,AV644:AX644)</f>
        <v>0.92260061919504677</v>
      </c>
      <c r="AL645" s="56">
        <f>INDEX(LINEST(LN(AV645:AX645),LN(AV644:AX644),TRUE,TRUE),3,1)</f>
        <v>0.13982724723980744</v>
      </c>
      <c r="AM645" s="56">
        <f>INDEX(LINEST(LN(AV645:AX645),LN(AV644:AX644)),1)</f>
        <v>-6.1980810106602814E-2</v>
      </c>
      <c r="AN645" s="56">
        <f>EXP(INDEX(LINEST(LN(AV645:AX645),LN(AV644:AX644)),1,2))</f>
        <v>3.0736387064552058</v>
      </c>
      <c r="AO645" s="82">
        <f>INDEX(LINEST((AV645:AX645),LN(AV644:AX644),TRUE,TRUE),3,1)</f>
        <v>0.15215324986027096</v>
      </c>
      <c r="AP645" s="82">
        <f>INDEX(LINEST((AV645:AX645),LN(AV644:AX644)),1)</f>
        <v>-5.5869293102102272E-2</v>
      </c>
      <c r="AQ645" s="83">
        <f>INDEX(LINEST(LN(AV645:AX645),SQRT(AV644:AX644),TRUE,TRUE),3,1)</f>
        <v>9.2517289553371615E-2</v>
      </c>
      <c r="AR645" s="116">
        <f>INDEX(LINEST(LN(AV645:AX645),SQRT((AV644:AX644))),1)</f>
        <v>-4.2966421940461913E-6</v>
      </c>
      <c r="AS645" s="84">
        <f>INDEX(LINEST(1/(AV645:AX645),1/(SQRT(AV644:AX644)),TRUE,TRUE),3,1)</f>
        <v>0.17812477423890216</v>
      </c>
      <c r="AT645" s="84">
        <f>INDEX(LINEST(1/(AV645:AX645),1/SQRT(AV644:AX644)),1)</f>
        <v>-3698.9380524000608</v>
      </c>
      <c r="AU645" s="3"/>
      <c r="AV645" s="53">
        <v>0.94736842105263175</v>
      </c>
      <c r="AW645" s="53">
        <v>0.79411764705882348</v>
      </c>
      <c r="AX645" s="53">
        <v>0.9078947368421052</v>
      </c>
      <c r="AY645" s="42"/>
      <c r="AZ645" s="46"/>
      <c r="BA645" s="42"/>
      <c r="BB645" s="42"/>
      <c r="BC645" s="28"/>
      <c r="BD645" s="28"/>
      <c r="BE645" s="28"/>
      <c r="BF645" s="28"/>
      <c r="BG645" s="28"/>
      <c r="BH645" s="28"/>
      <c r="BI645" s="28"/>
      <c r="BJ645" s="28"/>
      <c r="BK645" s="28"/>
      <c r="BL645" s="28"/>
      <c r="BM645" s="28"/>
      <c r="BN645" s="28"/>
      <c r="BO645" s="28"/>
      <c r="BP645" s="28"/>
      <c r="BQ645" s="28"/>
      <c r="BR645" s="28"/>
      <c r="BS645" s="28"/>
      <c r="BT645" s="28"/>
      <c r="BU645" s="28"/>
      <c r="BV645" s="28"/>
      <c r="BW645" s="28"/>
      <c r="BX645" s="28"/>
      <c r="BY645" s="28"/>
      <c r="BZ645" s="28"/>
      <c r="CA645" s="28"/>
      <c r="CB645" s="28"/>
      <c r="CC645" s="28"/>
      <c r="CD645" s="28"/>
      <c r="CE645" s="28"/>
      <c r="CF645" s="28"/>
      <c r="CG645" s="28"/>
      <c r="CH645" s="28"/>
      <c r="CI645" s="28"/>
      <c r="CJ645" s="28"/>
      <c r="CK645" s="28"/>
      <c r="CL645" s="28"/>
      <c r="CM645" s="28"/>
      <c r="CN645" s="28"/>
      <c r="CO645" s="28"/>
      <c r="CP645" s="28"/>
      <c r="CQ645" s="28"/>
      <c r="CR645" s="1"/>
      <c r="CS645" s="1"/>
      <c r="CT645" s="1"/>
      <c r="CU645" s="1"/>
    </row>
    <row r="646" spans="1:99" s="13" customFormat="1" ht="12" customHeight="1" x14ac:dyDescent="0.2">
      <c r="A646" s="68">
        <v>43896</v>
      </c>
      <c r="B646" s="70"/>
      <c r="C646" s="70"/>
      <c r="D646" s="69"/>
      <c r="E646" s="87"/>
      <c r="F646" s="69"/>
      <c r="G646" s="69"/>
      <c r="H646" s="69"/>
      <c r="I646" s="69"/>
      <c r="J646" s="69"/>
      <c r="K646" s="107"/>
      <c r="L646" s="107"/>
      <c r="M646" s="69"/>
      <c r="N646" s="92"/>
      <c r="O646" s="69"/>
      <c r="P646" s="69"/>
      <c r="Q646" s="69"/>
      <c r="R646" s="69"/>
      <c r="S646" s="69"/>
      <c r="T646" s="92"/>
      <c r="U646" s="69"/>
      <c r="V646" s="92"/>
      <c r="W646" s="69"/>
      <c r="X646" s="69"/>
      <c r="Y646" s="87"/>
      <c r="Z646" s="92"/>
      <c r="AA646" s="92"/>
      <c r="AB646" s="69"/>
      <c r="AC646" s="72"/>
      <c r="AD646" s="69"/>
      <c r="AE646" s="69"/>
      <c r="AF646" s="88"/>
      <c r="AG646" s="72"/>
      <c r="AH646" s="4"/>
      <c r="AI646" s="72"/>
      <c r="AJ646" s="110"/>
      <c r="AK646" s="72"/>
      <c r="AL646" s="72"/>
      <c r="AM646" s="72"/>
      <c r="AN646" s="72"/>
      <c r="AO646" s="89"/>
      <c r="AP646" s="89"/>
      <c r="AQ646" s="90"/>
      <c r="AR646" s="117"/>
      <c r="AS646" s="91"/>
      <c r="AT646" s="91"/>
      <c r="AU646" s="3"/>
      <c r="AV646" s="71">
        <v>157680000</v>
      </c>
      <c r="AW646" s="71">
        <v>473040000</v>
      </c>
      <c r="AX646" s="71">
        <v>788400000</v>
      </c>
      <c r="AY646" s="71">
        <v>1103760000</v>
      </c>
      <c r="AZ646" s="71">
        <v>1419120000</v>
      </c>
      <c r="BA646" s="71">
        <v>1576800000</v>
      </c>
      <c r="BB646" s="42"/>
      <c r="BC646" s="28"/>
      <c r="BD646" s="28"/>
      <c r="BE646" s="28"/>
      <c r="BF646" s="28"/>
      <c r="BG646" s="28"/>
      <c r="BH646" s="28"/>
      <c r="BI646" s="28"/>
      <c r="BJ646" s="28"/>
      <c r="BK646" s="28"/>
      <c r="BL646" s="28"/>
      <c r="BM646" s="28"/>
      <c r="BN646" s="28"/>
      <c r="BO646" s="28"/>
      <c r="BP646" s="28"/>
      <c r="BQ646" s="28"/>
      <c r="BR646" s="28"/>
      <c r="BS646" s="28"/>
      <c r="BT646" s="28"/>
      <c r="BU646" s="28"/>
      <c r="BV646" s="28"/>
      <c r="BW646" s="28"/>
      <c r="BX646" s="28"/>
      <c r="BY646" s="28"/>
      <c r="BZ646" s="28"/>
      <c r="CA646" s="28"/>
      <c r="CB646" s="28"/>
      <c r="CC646" s="28"/>
      <c r="CD646" s="28"/>
      <c r="CE646" s="28"/>
      <c r="CF646" s="28"/>
      <c r="CG646" s="28"/>
      <c r="CH646" s="28"/>
      <c r="CI646" s="28"/>
      <c r="CJ646" s="28"/>
      <c r="CK646" s="28"/>
      <c r="CL646" s="28"/>
      <c r="CM646" s="28"/>
      <c r="CN646" s="28"/>
      <c r="CO646" s="28"/>
      <c r="CP646" s="28"/>
      <c r="CQ646" s="28"/>
      <c r="CR646" s="1"/>
      <c r="CS646" s="1"/>
      <c r="CT646" s="1"/>
      <c r="CU646" s="1"/>
    </row>
    <row r="647" spans="1:99" s="13" customFormat="1" ht="12" customHeight="1" x14ac:dyDescent="0.2">
      <c r="A647" s="68">
        <v>43896</v>
      </c>
      <c r="B647" s="70" t="s">
        <v>356</v>
      </c>
      <c r="C647" s="70" t="s">
        <v>357</v>
      </c>
      <c r="D647" s="69">
        <v>1989</v>
      </c>
      <c r="E647" s="87">
        <v>1</v>
      </c>
      <c r="F647" s="69">
        <v>5</v>
      </c>
      <c r="G647" s="69">
        <v>5</v>
      </c>
      <c r="H647" s="69" t="s">
        <v>50</v>
      </c>
      <c r="I647" s="69" t="s">
        <v>330</v>
      </c>
      <c r="J647" s="69" t="s">
        <v>406</v>
      </c>
      <c r="K647" s="69">
        <f>IF(J647="syllables",1,IF(J647="trigrams",2,IF(J647="strings",3,IF(J647="visual array",4,IF(J647="characters",5,IF(J647="letters",6,IF(J647="free forms",7,IF(J647="odors",8,IF(J647="words",9,IF(J647="pictures",10,IF(J647="object pictures",11,IF(J647="faces",12,IF(J647="names",13,IF(J647="idioms",14,IF(J647="grades",15,IF(J647="syllable-digit pairs",16,IF(J647="trigram-word pairs",17,IF(J647="word-digit pairs",18,IF(J647="English-Swahili pairs",19,IF(J647="spatial position",20,IF(J647="word pairs",21,IF(J647="word triads",22,IF(J647="generated words",23,IF(J647="word definition pairs",24,IF(J647="math problems",25,IF(J647="famous faces",26,IF(J647="famous names",27,IF(J647="famous voices",28,IF(J647="television programs",29,IF(J647="race horses",30,IF(J647="new vocabulary",31,IF(J647="sentences",32,IF(J647="concepts",33,IF(J647="ad slides",34,IF(J647="scenes",35,IF(J647="famous scenes",36,IF(J647="poems",37,IF(J647="walk",38,IF(J647="faces and events",39,IF(J647="events and names",40,IF(J647="flashbulb",41,IF(J647="stories",42,IF(J647="course material",43,IF(J647="autobiographical",44,IF(J647="novels",45,IF(J647="public events",46,"99"))))))))))))))))))))))))))))))))))))))))))))))</f>
        <v>36</v>
      </c>
      <c r="L647" s="69">
        <f>IF(J647="syllables",1,IF(J647="trigrams",1,IF(J647="strings",1,IF(J647="visual array",1,IF(J647="characters",1,IF(J647="letters",1,IF(J647="free forms",1,IF(J647="odors",2,IF(J647="words",2,IF(J647="pictures",2,IF(J647="object pictures",2,IF(J647="faces",2,IF(J647="names",2,IF(J647="idioms","2",IF(J647="grades",2,IF(J647="syllable-digit pairs",3,IF(J647="trigram-word pairs",3,IF(J647="word-digit pairs",3,IF(J647="English-Swahili pairs",3,IF(J647="spatial position",3,IF(J647="word pairs",4,IF(J647="word triads",4,IF(J647="generated words",4,IF(J647="word definition pairs",4,IF(J647="math problems",4,IF(J647="famous faces",4,IF(J647="famous names",4,IF(J647="famous voices",4,IF(J647="television programs",4,IF(J647="race horses",4,IF(J647="new vocabulary",4,IF(J647="sentences",5,IF(J647="concepts",5,IF(J647="ad slides",5,IF(J647="scenes",5,IF(J647="famous scenes",5,IF(J647="poems",6,IF(J647="walk",6,IF(J647="faces and events",6,IF(J647="events and names",6,IF(J647="flashbulb",7,IF(J647="stories",7,IF(J647="course material",7,IF(J647="autobiographical",7,IF(J647="novels",7,IF(J647="public events",7,"99"))))))))))))))))))))))))))))))))))))))))))))))</f>
        <v>5</v>
      </c>
      <c r="M647" s="69">
        <v>1</v>
      </c>
      <c r="N647" s="92">
        <v>2</v>
      </c>
      <c r="O647" s="69">
        <v>0</v>
      </c>
      <c r="P647" s="69"/>
      <c r="Q647" s="69" t="s">
        <v>174</v>
      </c>
      <c r="R647" s="69">
        <f>IF(Q647="Free Recall",1,IF(Q647="Cued Recall",2,IF(Q647="Recognition",3,IF(Q647="Multiple Choice",4,IF(Q647="Savings",5,IF(Q647="Stem Completion",6,IF(Q647="Fragment Completion",7,IF(Q647="anagram solution",8,IF(Q647="Matching",9,IF(Q647="Problem Solving",10,"99"))))))))))</f>
        <v>1</v>
      </c>
      <c r="S647" s="69" t="s">
        <v>49</v>
      </c>
      <c r="T647" s="92" t="s">
        <v>581</v>
      </c>
      <c r="U647" s="69">
        <f>IF(T647="within",1,0)</f>
        <v>1</v>
      </c>
      <c r="V647" s="92">
        <v>50</v>
      </c>
      <c r="W647" s="69">
        <f>F647*V647</f>
        <v>250</v>
      </c>
      <c r="X647" s="69">
        <v>6</v>
      </c>
      <c r="Y647" s="87">
        <f>AV646</f>
        <v>157680000</v>
      </c>
      <c r="Z647" s="92" t="s">
        <v>209</v>
      </c>
      <c r="AA647" s="69">
        <f>50*365*24*60*60</f>
        <v>1576800000</v>
      </c>
      <c r="AB647" s="69" t="str">
        <f>IF(AA647&lt;60,"1",IF(AA647&lt;=43200,"2",IF(AA647&lt;=777600,"3","4")))</f>
        <v>4</v>
      </c>
      <c r="AC647" s="72">
        <f>AVERAGE(AV646:DA646)</f>
        <v>919800000</v>
      </c>
      <c r="AD647" s="69" t="str">
        <f>IF(AC647&lt;60,"1",IF(AC647&lt;=43200,"2",IF(AC647&lt;=777600,"3","4")))</f>
        <v>4</v>
      </c>
      <c r="AE647" s="87">
        <f>AA647-Y647</f>
        <v>1419120000</v>
      </c>
      <c r="AF647" s="88">
        <f>AV647</f>
        <v>0.54838709677419362</v>
      </c>
      <c r="AG647" s="93">
        <f>((AW647-AV647)+(AX647-AW647)+(AY647-AX647)+(AZ647-AY647)+(BA647-AZ647))/5</f>
        <v>-4.4142614601018872E-3</v>
      </c>
      <c r="AH647" s="4"/>
      <c r="AI647" s="72">
        <f>RSQ(AV647:BA647,AV646:BA646)</f>
        <v>6.0804030603599565E-3</v>
      </c>
      <c r="AJ647" s="110">
        <f>SLOPE(AV647:BA647,AV646:BA646)</f>
        <v>1.2301701099570879E-11</v>
      </c>
      <c r="AK647" s="72">
        <f>INTERCEPT(AV647:BA647,AV646:BA646)</f>
        <v>0.4500242652588165</v>
      </c>
      <c r="AL647" s="72">
        <f>INDEX(LINEST(LN(AV647:BA647),LN(AV646:BA646),TRUE,TRUE),3,1)</f>
        <v>3.0519225971509051E-2</v>
      </c>
      <c r="AM647" s="72">
        <f>INDEX(LINEST(LN(AV647:BA647),LN(AV646:BA646)),1)</f>
        <v>-3.9940156449601992E-2</v>
      </c>
      <c r="AN647" s="72">
        <f>EXP(INDEX(LINEST(LN(AV647:BA647),LN(AV646:BA646)),1,2))</f>
        <v>1.0257774710762311</v>
      </c>
      <c r="AO647" s="89">
        <f>INDEX(LINEST((AV647:BA647),LN(AV646:BA646),TRUE,TRUE),3,1)</f>
        <v>3.1283857192090848E-2</v>
      </c>
      <c r="AP647" s="89">
        <f>INDEX(LINEST((AV647:BA647),LN(AV646:BA646)),1)</f>
        <v>-1.7725249339361929E-2</v>
      </c>
      <c r="AQ647" s="90">
        <f>INDEX(LINEST(LN(AV647:BA647),SQRT(AV646:BA646),TRUE,TRUE),3,1)</f>
        <v>2.5683776752583425E-3</v>
      </c>
      <c r="AR647" s="117">
        <f>INDEX(LINEST(LN(AV647:BA647),SQRT((AV646:BA646))),1)</f>
        <v>-9.731673335397144E-7</v>
      </c>
      <c r="AS647" s="91">
        <f>INDEX(LINEST(1/(AV647:BA647),1/(SQRT(AV646:BA646)),TRUE,TRUE),3,1)</f>
        <v>7.5349279000194475E-2</v>
      </c>
      <c r="AT647" s="91">
        <f>INDEX(LINEST(1/(AV647:BA647),1/SQRT(AV646:BA646)),1)</f>
        <v>-6151.8516676914087</v>
      </c>
      <c r="AU647" s="3"/>
      <c r="AV647" s="73">
        <v>0.54838709677419362</v>
      </c>
      <c r="AW647" s="73">
        <v>0.4</v>
      </c>
      <c r="AX647" s="73">
        <v>0.43</v>
      </c>
      <c r="AY647" s="73">
        <v>0.33333333333333331</v>
      </c>
      <c r="AZ647" s="73">
        <v>0.53</v>
      </c>
      <c r="BA647" s="73">
        <v>0.52631578947368418</v>
      </c>
      <c r="BB647" s="42"/>
      <c r="BC647" s="28"/>
      <c r="BD647" s="28"/>
      <c r="BE647" s="28"/>
      <c r="BF647" s="28"/>
      <c r="BG647" s="28"/>
      <c r="BH647" s="28"/>
      <c r="BI647" s="28"/>
      <c r="BJ647" s="28"/>
      <c r="BK647" s="28"/>
      <c r="BL647" s="28"/>
      <c r="BM647" s="28"/>
      <c r="BN647" s="28"/>
      <c r="BO647" s="28"/>
      <c r="BP647" s="28"/>
      <c r="BQ647" s="28"/>
      <c r="BR647" s="28"/>
      <c r="BS647" s="28"/>
      <c r="BT647" s="28"/>
      <c r="BU647" s="28"/>
      <c r="BV647" s="28"/>
      <c r="BW647" s="28"/>
      <c r="BX647" s="28"/>
      <c r="BY647" s="28"/>
      <c r="BZ647" s="28"/>
      <c r="CA647" s="28"/>
      <c r="CB647" s="28"/>
      <c r="CC647" s="28"/>
      <c r="CD647" s="28"/>
      <c r="CE647" s="28"/>
      <c r="CF647" s="28"/>
      <c r="CG647" s="28"/>
      <c r="CH647" s="28"/>
      <c r="CI647" s="28"/>
      <c r="CJ647" s="28"/>
      <c r="CK647" s="28"/>
      <c r="CL647" s="28"/>
      <c r="CM647" s="28"/>
      <c r="CN647" s="28"/>
      <c r="CO647" s="28"/>
      <c r="CP647" s="28"/>
      <c r="CQ647" s="28"/>
      <c r="CR647" s="1"/>
      <c r="CS647" s="1"/>
      <c r="CT647" s="1"/>
      <c r="CU647" s="1"/>
    </row>
    <row r="648" spans="1:99" s="13" customFormat="1" ht="12" customHeight="1" x14ac:dyDescent="0.2">
      <c r="A648" s="68">
        <v>43896</v>
      </c>
      <c r="B648" s="70"/>
      <c r="C648" s="70"/>
      <c r="D648" s="69"/>
      <c r="E648" s="87"/>
      <c r="F648" s="69"/>
      <c r="G648" s="69"/>
      <c r="H648" s="69"/>
      <c r="I648" s="69"/>
      <c r="J648" s="69"/>
      <c r="K648" s="107"/>
      <c r="L648" s="107"/>
      <c r="M648" s="69"/>
      <c r="N648" s="92"/>
      <c r="O648" s="69"/>
      <c r="P648" s="69"/>
      <c r="Q648" s="69"/>
      <c r="R648" s="69"/>
      <c r="S648" s="69"/>
      <c r="T648" s="69"/>
      <c r="U648" s="69"/>
      <c r="V648" s="69"/>
      <c r="W648" s="69"/>
      <c r="X648" s="69"/>
      <c r="Y648" s="87"/>
      <c r="Z648" s="92"/>
      <c r="AA648" s="92"/>
      <c r="AB648" s="69"/>
      <c r="AC648" s="72"/>
      <c r="AD648" s="69"/>
      <c r="AE648" s="69"/>
      <c r="AF648" s="88"/>
      <c r="AG648" s="72"/>
      <c r="AH648" s="4"/>
      <c r="AI648" s="72"/>
      <c r="AJ648" s="110"/>
      <c r="AK648" s="72"/>
      <c r="AL648" s="72"/>
      <c r="AM648" s="72"/>
      <c r="AN648" s="72"/>
      <c r="AO648" s="89"/>
      <c r="AP648" s="89"/>
      <c r="AQ648" s="90"/>
      <c r="AR648" s="117"/>
      <c r="AS648" s="91"/>
      <c r="AT648" s="91"/>
      <c r="AU648" s="3"/>
      <c r="AV648" s="71">
        <v>157680000</v>
      </c>
      <c r="AW648" s="71">
        <v>473040000</v>
      </c>
      <c r="AX648" s="71">
        <v>788400000</v>
      </c>
      <c r="AY648" s="71">
        <v>1103760000</v>
      </c>
      <c r="AZ648" s="71">
        <v>1419120000</v>
      </c>
      <c r="BA648" s="71">
        <v>1576800000</v>
      </c>
      <c r="BB648" s="42"/>
      <c r="BC648" s="28"/>
      <c r="BD648" s="28"/>
      <c r="BE648" s="28"/>
      <c r="BF648" s="28"/>
      <c r="BG648" s="28"/>
      <c r="BH648" s="28"/>
      <c r="BI648" s="28"/>
      <c r="BJ648" s="28"/>
      <c r="BK648" s="28"/>
      <c r="BL648" s="28"/>
      <c r="BM648" s="28"/>
      <c r="BN648" s="28"/>
      <c r="BO648" s="28"/>
      <c r="BP648" s="28"/>
      <c r="BQ648" s="28"/>
      <c r="BR648" s="28"/>
      <c r="BS648" s="28"/>
      <c r="BT648" s="28"/>
      <c r="BU648" s="28"/>
      <c r="BV648" s="28"/>
      <c r="BW648" s="28"/>
      <c r="BX648" s="28"/>
      <c r="BY648" s="28"/>
      <c r="BZ648" s="28"/>
      <c r="CA648" s="28"/>
      <c r="CB648" s="28"/>
      <c r="CC648" s="28"/>
      <c r="CD648" s="28"/>
      <c r="CE648" s="28"/>
      <c r="CF648" s="28"/>
      <c r="CG648" s="28"/>
      <c r="CH648" s="28"/>
      <c r="CI648" s="28"/>
      <c r="CJ648" s="28"/>
      <c r="CK648" s="28"/>
      <c r="CL648" s="28"/>
      <c r="CM648" s="28"/>
      <c r="CN648" s="28"/>
      <c r="CO648" s="28"/>
      <c r="CP648" s="28"/>
      <c r="CQ648" s="28"/>
      <c r="CR648" s="1"/>
      <c r="CS648" s="1"/>
      <c r="CT648" s="1"/>
      <c r="CU648" s="1"/>
    </row>
    <row r="649" spans="1:99" s="13" customFormat="1" ht="12" customHeight="1" x14ac:dyDescent="0.2">
      <c r="A649" s="68">
        <v>43896</v>
      </c>
      <c r="B649" s="70" t="s">
        <v>356</v>
      </c>
      <c r="C649" s="70" t="s">
        <v>357</v>
      </c>
      <c r="D649" s="69">
        <v>1989</v>
      </c>
      <c r="E649" s="87">
        <v>1</v>
      </c>
      <c r="F649" s="69">
        <v>5</v>
      </c>
      <c r="G649" s="69">
        <v>5</v>
      </c>
      <c r="H649" s="69" t="s">
        <v>50</v>
      </c>
      <c r="I649" s="69" t="s">
        <v>330</v>
      </c>
      <c r="J649" s="69" t="s">
        <v>406</v>
      </c>
      <c r="K649" s="69">
        <f>IF(J649="syllables",1,IF(J649="trigrams",2,IF(J649="strings",3,IF(J649="visual array",4,IF(J649="characters",5,IF(J649="letters",6,IF(J649="free forms",7,IF(J649="odors",8,IF(J649="words",9,IF(J649="pictures",10,IF(J649="object pictures",11,IF(J649="faces",12,IF(J649="names",13,IF(J649="idioms",14,IF(J649="grades",15,IF(J649="syllable-digit pairs",16,IF(J649="trigram-word pairs",17,IF(J649="word-digit pairs",18,IF(J649="English-Swahili pairs",19,IF(J649="spatial position",20,IF(J649="word pairs",21,IF(J649="word triads",22,IF(J649="generated words",23,IF(J649="word definition pairs",24,IF(J649="math problems",25,IF(J649="famous faces",26,IF(J649="famous names",27,IF(J649="famous voices",28,IF(J649="television programs",29,IF(J649="race horses",30,IF(J649="new vocabulary",31,IF(J649="sentences",32,IF(J649="concepts",33,IF(J649="ad slides",34,IF(J649="scenes",35,IF(J649="famous scenes",36,IF(J649="poems",37,IF(J649="walk",38,IF(J649="faces and events",39,IF(J649="events and names",40,IF(J649="flashbulb",41,IF(J649="stories",42,IF(J649="course material",43,IF(J649="autobiographical",44,IF(J649="novels",45,IF(J649="public events",46,"99"))))))))))))))))))))))))))))))))))))))))))))))</f>
        <v>36</v>
      </c>
      <c r="L649" s="69">
        <f>IF(J649="syllables",1,IF(J649="trigrams",1,IF(J649="strings",1,IF(J649="visual array",1,IF(J649="characters",1,IF(J649="letters",1,IF(J649="free forms",1,IF(J649="odors",2,IF(J649="words",2,IF(J649="pictures",2,IF(J649="object pictures",2,IF(J649="faces",2,IF(J649="names",2,IF(J649="idioms","2",IF(J649="grades",2,IF(J649="syllable-digit pairs",3,IF(J649="trigram-word pairs",3,IF(J649="word-digit pairs",3,IF(J649="English-Swahili pairs",3,IF(J649="spatial position",3,IF(J649="word pairs",4,IF(J649="word triads",4,IF(J649="generated words",4,IF(J649="word definition pairs",4,IF(J649="math problems",4,IF(J649="famous faces",4,IF(J649="famous names",4,IF(J649="famous voices",4,IF(J649="television programs",4,IF(J649="race horses",4,IF(J649="new vocabulary",4,IF(J649="sentences",5,IF(J649="concepts",5,IF(J649="ad slides",5,IF(J649="scenes",5,IF(J649="famous scenes",5,IF(J649="poems",6,IF(J649="walk",6,IF(J649="faces and events",6,IF(J649="events and names",6,IF(J649="flashbulb",7,IF(J649="stories",7,IF(J649="course material",7,IF(J649="autobiographical",7,IF(J649="novels",7,IF(J649="public events",7,"99"))))))))))))))))))))))))))))))))))))))))))))))</f>
        <v>5</v>
      </c>
      <c r="M649" s="69">
        <v>1</v>
      </c>
      <c r="N649" s="92">
        <v>2</v>
      </c>
      <c r="O649" s="69">
        <v>0</v>
      </c>
      <c r="P649" s="69"/>
      <c r="Q649" s="69" t="s">
        <v>182</v>
      </c>
      <c r="R649" s="69">
        <f>IF(Q649="Free Recall",1,IF(Q649="Cued Recall",2,IF(Q649="Recognition",3,IF(Q649="Multiple Choice",4,IF(Q649="Savings",5,IF(Q649="Stem Completion",6,IF(Q649="Fragment Completion",7,IF(Q649="anagram solution",8,IF(Q649="Matching",9,IF(Q649="Problem Solving",10,"99"))))))))))</f>
        <v>4</v>
      </c>
      <c r="S649" s="69" t="s">
        <v>15</v>
      </c>
      <c r="T649" s="92" t="s">
        <v>581</v>
      </c>
      <c r="U649" s="69">
        <f>IF(T649="within",1,0)</f>
        <v>1</v>
      </c>
      <c r="V649" s="92">
        <v>50</v>
      </c>
      <c r="W649" s="69">
        <f>F649*V649</f>
        <v>250</v>
      </c>
      <c r="X649" s="69">
        <v>6</v>
      </c>
      <c r="Y649" s="87">
        <f>AV648</f>
        <v>157680000</v>
      </c>
      <c r="Z649" s="92" t="s">
        <v>209</v>
      </c>
      <c r="AA649" s="69">
        <f>50*365*24*60*60</f>
        <v>1576800000</v>
      </c>
      <c r="AB649" s="69" t="str">
        <f>IF(AA649&lt;60,"1",IF(AA649&lt;=43200,"2",IF(AA649&lt;=777600,"3","4")))</f>
        <v>4</v>
      </c>
      <c r="AC649" s="72">
        <f>AVERAGE(AV648:DA648)</f>
        <v>919800000</v>
      </c>
      <c r="AD649" s="69" t="str">
        <f>IF(AC649&lt;60,"1",IF(AC649&lt;=43200,"2",IF(AC649&lt;=777600,"3","4")))</f>
        <v>4</v>
      </c>
      <c r="AE649" s="87">
        <f>AA649-Y649</f>
        <v>1419120000</v>
      </c>
      <c r="AF649" s="88">
        <f>AV649</f>
        <v>0.78</v>
      </c>
      <c r="AG649" s="72">
        <f>((AW649-AV649)+(AX649-AW649)+(AY649-AX649)+(AZ649-AY649)+(BA649-AZ649))/5</f>
        <v>-1.9636363636363653E-2</v>
      </c>
      <c r="AH649" s="4"/>
      <c r="AI649" s="72">
        <f>RSQ(AV649:BA649,AV648:BA648)</f>
        <v>0.42085468549317068</v>
      </c>
      <c r="AJ649" s="110">
        <f>SLOPE(AV649:BA649,AV648:BA648)</f>
        <v>-5.8902746548415208E-11</v>
      </c>
      <c r="AK649" s="72">
        <f>INTERCEPT(AV649:BA649,AV648:BA648)</f>
        <v>0.81630266100784277</v>
      </c>
      <c r="AL649" s="72">
        <f>INDEX(LINEST(LN(AV649:BA649),LN(AV648:BA648),TRUE,TRUE),3,1)</f>
        <v>0.22106641232410407</v>
      </c>
      <c r="AM649" s="72">
        <f>INDEX(LINEST(LN(AV649:BA649),LN(AV648:BA648)),1)</f>
        <v>-3.6025596386846631E-2</v>
      </c>
      <c r="AN649" s="72">
        <f>EXP(INDEX(LINEST(LN(AV649:BA649),LN(AV648:BA648)),1,2))</f>
        <v>1.5864828962655713</v>
      </c>
      <c r="AO649" s="89">
        <f>INDEX(LINEST((AV649:BA649),LN(AV648:BA648),TRUE,TRUE),3,1)</f>
        <v>0.21050409344536361</v>
      </c>
      <c r="AP649" s="89">
        <f>INDEX(LINEST((AV649:BA649),LN(AV648:BA648)),1)</f>
        <v>-2.6462626970925905E-2</v>
      </c>
      <c r="AQ649" s="90">
        <f>INDEX(LINEST(LN(AV649:BA649),SQRT(AV648:BA648),TRUE,TRUE),3,1)</f>
        <v>0.32573241108472656</v>
      </c>
      <c r="AR649" s="117">
        <f>INDEX(LINEST(LN(AV649:BA649),SQRT((AV648:BA648))),1)</f>
        <v>-3.672952902553189E-6</v>
      </c>
      <c r="AS649" s="91">
        <f>INDEX(LINEST(1/(AV649:BA649),1/(SQRT(AV648:BA648)),TRUE,TRUE),3,1)</f>
        <v>0.1478109464975792</v>
      </c>
      <c r="AT649" s="91">
        <f>INDEX(LINEST(1/(AV649:BA649),1/SQRT(AV648:BA648)),1)</f>
        <v>-1651.6141572291006</v>
      </c>
      <c r="AU649" s="3"/>
      <c r="AV649" s="73">
        <v>0.78</v>
      </c>
      <c r="AW649" s="73">
        <v>0.76923076923076927</v>
      </c>
      <c r="AX649" s="73">
        <v>0.83333333333333337</v>
      </c>
      <c r="AY649" s="73">
        <v>0.76923076923076927</v>
      </c>
      <c r="AZ649" s="73">
        <v>0.73913043478260876</v>
      </c>
      <c r="BA649" s="73">
        <v>0.68181818181818177</v>
      </c>
      <c r="BB649" s="42"/>
      <c r="BC649" s="28"/>
      <c r="BD649" s="28"/>
      <c r="BE649" s="28"/>
      <c r="BF649" s="28"/>
      <c r="BG649" s="28"/>
      <c r="BH649" s="28"/>
      <c r="BI649" s="28"/>
      <c r="BJ649" s="28"/>
      <c r="BK649" s="28"/>
      <c r="BL649" s="28"/>
      <c r="BM649" s="28"/>
      <c r="BN649" s="28"/>
      <c r="BO649" s="28"/>
      <c r="BP649" s="28"/>
      <c r="BQ649" s="28"/>
      <c r="BR649" s="28"/>
      <c r="BS649" s="28"/>
      <c r="BT649" s="28"/>
      <c r="BU649" s="28"/>
      <c r="BV649" s="28"/>
      <c r="BW649" s="28"/>
      <c r="BX649" s="28"/>
      <c r="BY649" s="28"/>
      <c r="BZ649" s="28"/>
      <c r="CA649" s="28"/>
      <c r="CB649" s="28"/>
      <c r="CC649" s="28"/>
      <c r="CD649" s="28"/>
      <c r="CE649" s="28"/>
      <c r="CF649" s="28"/>
      <c r="CG649" s="28"/>
      <c r="CH649" s="28"/>
      <c r="CI649" s="28"/>
      <c r="CJ649" s="28"/>
      <c r="CK649" s="28"/>
      <c r="CL649" s="28"/>
      <c r="CM649" s="28"/>
      <c r="CN649" s="28"/>
      <c r="CO649" s="28"/>
      <c r="CP649" s="28"/>
      <c r="CQ649" s="28"/>
      <c r="CR649" s="1"/>
      <c r="CS649" s="1"/>
      <c r="CT649" s="1"/>
      <c r="CU649" s="1"/>
    </row>
    <row r="650" spans="1:99" s="13" customFormat="1" ht="12" customHeight="1" x14ac:dyDescent="0.2">
      <c r="A650" s="68">
        <v>43896</v>
      </c>
      <c r="B650" s="70"/>
      <c r="C650" s="70"/>
      <c r="D650" s="69"/>
      <c r="E650" s="87"/>
      <c r="F650" s="69"/>
      <c r="G650" s="69"/>
      <c r="H650" s="69"/>
      <c r="I650" s="69"/>
      <c r="J650" s="69"/>
      <c r="K650" s="107"/>
      <c r="L650" s="107"/>
      <c r="M650" s="69"/>
      <c r="N650" s="92"/>
      <c r="O650" s="69"/>
      <c r="P650" s="69"/>
      <c r="Q650" s="69"/>
      <c r="R650" s="69"/>
      <c r="S650" s="69"/>
      <c r="T650" s="92"/>
      <c r="U650" s="69"/>
      <c r="V650" s="92"/>
      <c r="W650" s="69"/>
      <c r="X650" s="69"/>
      <c r="Y650" s="87"/>
      <c r="Z650" s="92"/>
      <c r="AA650" s="92"/>
      <c r="AB650" s="69"/>
      <c r="AC650" s="72"/>
      <c r="AD650" s="69"/>
      <c r="AE650" s="69"/>
      <c r="AF650" s="88"/>
      <c r="AG650" s="72"/>
      <c r="AH650" s="4"/>
      <c r="AI650" s="72"/>
      <c r="AJ650" s="110"/>
      <c r="AK650" s="72"/>
      <c r="AL650" s="72"/>
      <c r="AM650" s="72"/>
      <c r="AN650" s="72"/>
      <c r="AO650" s="89"/>
      <c r="AP650" s="89"/>
      <c r="AQ650" s="90"/>
      <c r="AR650" s="117"/>
      <c r="AS650" s="91"/>
      <c r="AT650" s="91"/>
      <c r="AU650" s="3"/>
      <c r="AV650" s="71">
        <v>157680000</v>
      </c>
      <c r="AW650" s="71">
        <v>473040000</v>
      </c>
      <c r="AX650" s="71">
        <v>788400000</v>
      </c>
      <c r="AY650" s="71">
        <v>1103760000</v>
      </c>
      <c r="AZ650" s="71">
        <v>1419120000</v>
      </c>
      <c r="BA650" s="73"/>
      <c r="BB650" s="42"/>
      <c r="BC650" s="30"/>
      <c r="BD650" s="30"/>
      <c r="BE650" s="30"/>
      <c r="BF650" s="30"/>
      <c r="BG650" s="30"/>
      <c r="BH650" s="30"/>
      <c r="BI650" s="30"/>
      <c r="BJ650" s="30"/>
      <c r="BK650" s="30"/>
      <c r="BL650" s="30"/>
      <c r="BM650" s="30"/>
      <c r="BN650" s="30"/>
      <c r="BO650" s="30"/>
      <c r="BP650" s="30"/>
      <c r="BQ650" s="30"/>
      <c r="BR650" s="30"/>
      <c r="BS650" s="30"/>
      <c r="BT650" s="30"/>
      <c r="BU650" s="30"/>
      <c r="BV650" s="30"/>
      <c r="BW650" s="30"/>
      <c r="BX650" s="30"/>
      <c r="BY650" s="30"/>
      <c r="BZ650" s="30"/>
      <c r="CA650" s="30"/>
      <c r="CB650" s="30"/>
      <c r="CC650" s="30"/>
      <c r="CD650" s="30"/>
      <c r="CE650" s="30"/>
      <c r="CF650" s="30"/>
      <c r="CG650" s="30"/>
      <c r="CH650" s="30"/>
      <c r="CI650" s="30"/>
      <c r="CJ650" s="30"/>
      <c r="CK650" s="30"/>
      <c r="CL650" s="30"/>
      <c r="CM650" s="30"/>
      <c r="CN650" s="30"/>
      <c r="CO650" s="30"/>
      <c r="CP650" s="30"/>
      <c r="CQ650" s="30"/>
      <c r="CR650" s="1"/>
      <c r="CS650" s="1"/>
      <c r="CT650" s="1"/>
      <c r="CU650" s="1"/>
    </row>
    <row r="651" spans="1:99" s="13" customFormat="1" ht="12" customHeight="1" x14ac:dyDescent="0.2">
      <c r="A651" s="68">
        <v>43896</v>
      </c>
      <c r="B651" s="70" t="s">
        <v>356</v>
      </c>
      <c r="C651" s="70" t="s">
        <v>357</v>
      </c>
      <c r="D651" s="69">
        <v>1989</v>
      </c>
      <c r="E651" s="87">
        <v>1</v>
      </c>
      <c r="F651" s="69">
        <v>5</v>
      </c>
      <c r="G651" s="69">
        <v>5</v>
      </c>
      <c r="H651" s="69" t="s">
        <v>32</v>
      </c>
      <c r="I651" s="69" t="s">
        <v>330</v>
      </c>
      <c r="J651" s="69" t="s">
        <v>342</v>
      </c>
      <c r="K651" s="69">
        <f>IF(J651="syllables",1,IF(J651="trigrams",2,IF(J651="strings",3,IF(J651="visual array",4,IF(J651="characters",5,IF(J651="letters",6,IF(J651="free forms",7,IF(J651="odors",8,IF(J651="words",9,IF(J651="pictures",10,IF(J651="object pictures",11,IF(J651="faces",12,IF(J651="names",13,IF(J651="idioms",14,IF(J651="grades",15,IF(J651="syllable-digit pairs",16,IF(J651="trigram-word pairs",17,IF(J651="word-digit pairs",18,IF(J651="English-Swahili pairs",19,IF(J651="spatial position",20,IF(J651="word pairs",21,IF(J651="word triads",22,IF(J651="generated words",23,IF(J651="word definition pairs",24,IF(J651="math problems",25,IF(J651="famous faces",26,IF(J651="famous names",27,IF(J651="famous voices",28,IF(J651="television programs",29,IF(J651="race horses",30,IF(J651="new vocabulary",31,IF(J651="sentences",32,IF(J651="concepts",33,IF(J651="ad slides",34,IF(J651="scenes",35,IF(J651="famous scenes",36,IF(J651="poems",37,IF(J651="walk",38,IF(J651="faces and events",39,IF(J651="events and names",40,IF(J651="flashbulb",41,IF(J651="stories",42,IF(J651="course material",43,IF(J651="autobiographical",44,IF(J651="novels",45,IF(J651="public events",46,"99"))))))))))))))))))))))))))))))))))))))))))))))</f>
        <v>26</v>
      </c>
      <c r="L651" s="69">
        <f>IF(J651="syllables",1,IF(J651="trigrams",1,IF(J651="strings",1,IF(J651="visual array",1,IF(J651="characters",1,IF(J651="letters",1,IF(J651="free forms",1,IF(J651="odors",2,IF(J651="words",2,IF(J651="pictures",2,IF(J651="object pictures",2,IF(J651="faces",2,IF(J651="names",2,IF(J651="idioms","2",IF(J651="grades",2,IF(J651="syllable-digit pairs",3,IF(J651="trigram-word pairs",3,IF(J651="word-digit pairs",3,IF(J651="English-Swahili pairs",3,IF(J651="spatial position",3,IF(J651="word pairs",4,IF(J651="word triads",4,IF(J651="generated words",4,IF(J651="word definition pairs",4,IF(J651="math problems",4,IF(J651="famous faces",4,IF(J651="famous names",4,IF(J651="famous voices",4,IF(J651="television programs",4,IF(J651="race horses",4,IF(J651="new vocabulary",4,IF(J651="sentences",5,IF(J651="concepts",5,IF(J651="ad slides",5,IF(J651="scenes",5,IF(J651="famous scenes",5,IF(J651="poems",6,IF(J651="walk",6,IF(J651="faces and events",6,IF(J651="events and names",6,IF(J651="flashbulb",7,IF(J651="stories",7,IF(J651="course material",7,IF(J651="autobiographical",7,IF(J651="novels",7,IF(J651="public events",7,"99"))))))))))))))))))))))))))))))))))))))))))))))</f>
        <v>4</v>
      </c>
      <c r="M651" s="69">
        <v>1</v>
      </c>
      <c r="N651" s="86">
        <v>2</v>
      </c>
      <c r="O651" s="69">
        <v>0</v>
      </c>
      <c r="P651" s="69"/>
      <c r="Q651" s="69" t="s">
        <v>182</v>
      </c>
      <c r="R651" s="69">
        <f>IF(Q651="Free Recall",1,IF(Q651="Cued Recall",2,IF(Q651="Recognition",3,IF(Q651="Multiple Choice",4,IF(Q651="Savings",5,IF(Q651="Stem Completion",6,IF(Q651="Fragment Completion",7,IF(Q651="anagram solution",8,IF(Q651="Matching",9,IF(Q651="Problem Solving",10,"99"))))))))))</f>
        <v>4</v>
      </c>
      <c r="S651" s="69" t="s">
        <v>15</v>
      </c>
      <c r="T651" s="92" t="s">
        <v>581</v>
      </c>
      <c r="U651" s="69">
        <f>IF(T651="within",1,0)</f>
        <v>1</v>
      </c>
      <c r="V651" s="92">
        <v>30</v>
      </c>
      <c r="W651" s="69">
        <f>F651*V651</f>
        <v>150</v>
      </c>
      <c r="X651" s="69">
        <v>5</v>
      </c>
      <c r="Y651" s="87">
        <f>AV650</f>
        <v>157680000</v>
      </c>
      <c r="Z651" s="92" t="s">
        <v>373</v>
      </c>
      <c r="AA651" s="92">
        <v>1419120000</v>
      </c>
      <c r="AB651" s="69" t="str">
        <f>IF(AA651&lt;60,"1",IF(AA651&lt;=43200,"2",IF(AA651&lt;=777600,"3","4")))</f>
        <v>4</v>
      </c>
      <c r="AC651" s="72">
        <f>AVERAGE(AV650:DA650)</f>
        <v>788400000</v>
      </c>
      <c r="AD651" s="69" t="str">
        <f>IF(AC651&lt;60,"1",IF(AC651&lt;=43200,"2",IF(AC651&lt;=777600,"3","4")))</f>
        <v>4</v>
      </c>
      <c r="AE651" s="87">
        <f>AA651-Y651</f>
        <v>1261440000</v>
      </c>
      <c r="AF651" s="88">
        <f>AV651</f>
        <v>0.71</v>
      </c>
      <c r="AG651" s="72">
        <f>((AW651-AV651)+(AX651-AW651)+(AY651-AX651)+(AZ651-AY651))/4</f>
        <v>2.250000000000002E-2</v>
      </c>
      <c r="AH651" s="4"/>
      <c r="AI651" s="72">
        <f>RSQ(AV651:AZ651,AV650:AZ650)</f>
        <v>4.8967100229533371E-2</v>
      </c>
      <c r="AJ651" s="110">
        <f>SLOPE(AV651:AZ651,AV650:AZ650)</f>
        <v>5.0735667174023385E-11</v>
      </c>
      <c r="AK651" s="72">
        <f>INTERCEPT(AV651:AZ651,AV650:AZ650)</f>
        <v>0.59799999999999986</v>
      </c>
      <c r="AL651" s="72">
        <f>INDEX(LINEST(LN(AV651:AZ651),LN(AV650:AZ650),TRUE,TRUE),3,1)</f>
        <v>4.4505050503255037E-3</v>
      </c>
      <c r="AM651" s="72">
        <f>INDEX(LINEST(LN(AV651:AZ651),LN(AV650:AZ650)),1)</f>
        <v>-1.3403128856888337E-2</v>
      </c>
      <c r="AN651" s="72">
        <f>EXP(INDEX(LINEST(LN(AV651:AZ651),LN(AV650:AZ650)),1,2))</f>
        <v>0.82656974455368948</v>
      </c>
      <c r="AO651" s="89">
        <f>INDEX(LINEST((AV651:AZ651),LN(AV650:AZ650),TRUE,TRUE),3,1)</f>
        <v>9.1764881996362485E-4</v>
      </c>
      <c r="AP651" s="89">
        <f>INDEX(LINEST((AV651:AZ651),LN(AV650:AZ650)),1)</f>
        <v>-3.9831402432945057E-3</v>
      </c>
      <c r="AQ651" s="90">
        <f>INDEX(LINEST(LN(AV651:AZ651),SQRT(AV650:AZ650),TRUE,TRUE),3,1)</f>
        <v>3.5004884138507852E-3</v>
      </c>
      <c r="AR651" s="117">
        <f>INDEX(LINEST(LN(AV651:AZ651),SQRT((AV650:AZ650))),1)</f>
        <v>1.047572445455453E-6</v>
      </c>
      <c r="AS651" s="91">
        <f>INDEX(LINEST(1/(AV651:AZ651),1/(SQRT(AV650:AZ650)),TRUE,TRUE),3,1)</f>
        <v>4.2988605087738996E-2</v>
      </c>
      <c r="AT651" s="91">
        <f>INDEX(LINEST(1/(AV651:AZ651),1/SQRT(AV650:AZ650)),1)</f>
        <v>-2616.9347284371092</v>
      </c>
      <c r="AU651" s="3"/>
      <c r="AV651" s="73">
        <v>0.71</v>
      </c>
      <c r="AW651" s="73">
        <v>0.55000000000000004</v>
      </c>
      <c r="AX651" s="73">
        <v>0.6</v>
      </c>
      <c r="AY651" s="73">
        <v>0.53</v>
      </c>
      <c r="AZ651" s="73">
        <v>0.8</v>
      </c>
      <c r="BA651" s="53"/>
      <c r="BB651" s="42"/>
      <c r="BC651" s="42"/>
      <c r="BD651" s="42"/>
      <c r="BE651" s="42"/>
      <c r="BF651" s="42"/>
      <c r="BG651" s="42"/>
      <c r="BH651" s="30"/>
      <c r="BI651" s="30"/>
      <c r="BJ651" s="30"/>
      <c r="BK651" s="30"/>
      <c r="BL651" s="30"/>
      <c r="BM651" s="30"/>
      <c r="BN651" s="30"/>
      <c r="BO651" s="30"/>
      <c r="BP651" s="30"/>
      <c r="BQ651" s="30"/>
      <c r="BR651" s="30"/>
      <c r="BS651" s="30"/>
      <c r="BT651" s="30"/>
      <c r="BU651" s="30"/>
      <c r="BV651" s="30"/>
      <c r="BW651" s="30"/>
      <c r="BX651" s="30"/>
      <c r="BY651" s="30"/>
      <c r="BZ651" s="30"/>
      <c r="CA651" s="30"/>
      <c r="CB651" s="30"/>
      <c r="CC651" s="30"/>
      <c r="CD651" s="30"/>
      <c r="CE651" s="30"/>
      <c r="CF651" s="30"/>
      <c r="CG651" s="30"/>
      <c r="CH651" s="30"/>
      <c r="CI651" s="30"/>
      <c r="CJ651" s="30"/>
      <c r="CK651" s="30"/>
      <c r="CL651" s="30"/>
      <c r="CM651" s="30"/>
      <c r="CN651" s="30"/>
      <c r="CO651" s="30"/>
      <c r="CP651" s="30"/>
      <c r="CQ651" s="30"/>
      <c r="CR651" s="1"/>
      <c r="CS651" s="1"/>
      <c r="CT651" s="1"/>
      <c r="CU651" s="1"/>
    </row>
    <row r="652" spans="1:99" s="13" customFormat="1" ht="12" customHeight="1" x14ac:dyDescent="0.2">
      <c r="A652" s="65">
        <v>43978</v>
      </c>
      <c r="B652" s="1"/>
      <c r="C652" s="1"/>
      <c r="D652" s="60"/>
      <c r="E652" s="76"/>
      <c r="F652" s="60"/>
      <c r="G652" s="60"/>
      <c r="H652" s="60"/>
      <c r="I652" s="60"/>
      <c r="J652" s="60"/>
      <c r="K652" s="60"/>
      <c r="L652" s="60"/>
      <c r="M652" s="60"/>
      <c r="N652" s="61"/>
      <c r="O652" s="60"/>
      <c r="P652" s="60"/>
      <c r="Q652" s="60"/>
      <c r="R652" s="60"/>
      <c r="S652" s="60"/>
      <c r="T652" s="59"/>
      <c r="U652" s="60"/>
      <c r="V652" s="59"/>
      <c r="W652" s="60"/>
      <c r="X652" s="60"/>
      <c r="Y652" s="76"/>
      <c r="Z652" s="59"/>
      <c r="AA652" s="59"/>
      <c r="AB652" s="60"/>
      <c r="AC652" s="56"/>
      <c r="AD652" s="60"/>
      <c r="AE652" s="76"/>
      <c r="AF652" s="80"/>
      <c r="AG652" s="56"/>
      <c r="AH652" s="4"/>
      <c r="AI652" s="56"/>
      <c r="AJ652" s="109"/>
      <c r="AK652" s="56"/>
      <c r="AL652" s="56"/>
      <c r="AM652" s="56"/>
      <c r="AN652" s="56"/>
      <c r="AO652" s="82"/>
      <c r="AP652" s="82"/>
      <c r="AQ652" s="83"/>
      <c r="AR652" s="116"/>
      <c r="AS652" s="84"/>
      <c r="AT652" s="84"/>
      <c r="AU652" s="3"/>
      <c r="AV652" s="25">
        <v>30</v>
      </c>
      <c r="AW652" s="25">
        <f>60*20</f>
        <v>1200</v>
      </c>
      <c r="AX652" s="25">
        <f>60*60*24*4</f>
        <v>345600</v>
      </c>
      <c r="AY652" s="25">
        <f>60*60*24*11</f>
        <v>950400</v>
      </c>
      <c r="AZ652" s="25">
        <f>60*60*24*30</f>
        <v>2592000</v>
      </c>
      <c r="BA652" s="53"/>
      <c r="BB652" s="11" t="s">
        <v>947</v>
      </c>
      <c r="BC652" s="53"/>
      <c r="BD652" s="53"/>
      <c r="BE652" s="53"/>
      <c r="BF652" s="53"/>
      <c r="BG652" s="53"/>
      <c r="BH652" s="53"/>
      <c r="BI652" s="53"/>
      <c r="BJ652" s="53"/>
      <c r="BK652" s="53"/>
      <c r="BL652" s="53"/>
      <c r="BM652" s="53"/>
      <c r="BN652" s="53"/>
      <c r="BO652" s="53"/>
      <c r="BP652" s="53"/>
      <c r="BQ652" s="53"/>
      <c r="BR652" s="53"/>
      <c r="BS652" s="53"/>
      <c r="BT652" s="53"/>
      <c r="BU652" s="53"/>
      <c r="BV652" s="53"/>
      <c r="BW652" s="53"/>
      <c r="BX652" s="53"/>
      <c r="BY652" s="53"/>
      <c r="BZ652" s="53"/>
      <c r="CA652" s="53"/>
      <c r="CB652" s="53"/>
      <c r="CC652" s="53"/>
      <c r="CD652" s="53"/>
      <c r="CE652" s="53"/>
      <c r="CF652" s="53"/>
      <c r="CG652" s="53"/>
      <c r="CH652" s="53"/>
      <c r="CI652" s="53"/>
      <c r="CJ652" s="53"/>
      <c r="CK652" s="53"/>
      <c r="CL652" s="53"/>
      <c r="CM652" s="53"/>
      <c r="CN652" s="53"/>
      <c r="CO652" s="53"/>
      <c r="CP652" s="53"/>
      <c r="CQ652" s="53"/>
      <c r="CR652" s="1"/>
      <c r="CS652" s="1"/>
      <c r="CT652" s="1"/>
      <c r="CU652" s="1"/>
    </row>
    <row r="653" spans="1:99" s="13" customFormat="1" ht="12" customHeight="1" x14ac:dyDescent="0.2">
      <c r="A653" s="65">
        <v>43978</v>
      </c>
      <c r="B653" s="1" t="s">
        <v>969</v>
      </c>
      <c r="C653" s="1" t="s">
        <v>970</v>
      </c>
      <c r="D653" s="60">
        <v>2012</v>
      </c>
      <c r="E653" s="76">
        <v>1</v>
      </c>
      <c r="F653" s="60">
        <v>10</v>
      </c>
      <c r="G653" s="60">
        <v>10</v>
      </c>
      <c r="H653" s="60" t="s">
        <v>38</v>
      </c>
      <c r="I653" s="60" t="s">
        <v>330</v>
      </c>
      <c r="J653" s="60" t="s">
        <v>677</v>
      </c>
      <c r="K653" s="60">
        <f>IF(J653="syllables",1,IF(J653="trigrams",2,IF(J653="strings",3,IF(J653="visual array",4,IF(J653="characters",5,IF(J653="letters",6,IF(J653="free forms",7,IF(J653="odors",8,IF(J653="words",9,IF(J653="pictures",10,IF(J653="object pictures",11,IF(J653="faces",12,IF(J653="names",13,IF(J653="idioms",14,IF(J653="grades",15,IF(J653="syllable-digit pairs",16,IF(J653="trigram-word pairs",17,IF(J653="word-digit pairs",18,IF(J653="English-Swahili pairs",19,IF(J653="spatial position",20,IF(J653="word pairs",21,IF(J653="word triads",22,IF(J653="generated words",23,IF(J653="word definition pairs",24,IF(J653="math problems",25,IF(J653="famous faces",26,IF(J653="famous names",27,IF(J653="famous voices",28,IF(J653="television programs",29,IF(J653="race horses",30,IF(J653="new vocabulary",31,IF(J653="sentences",32,IF(J653="concepts",33,IF(J653="ad slides",34,IF(J653="scenes",35,IF(J653="famous scenes",36,IF(J653="poems",37,IF(J653="walk",38,IF(J653="faces and events",39,IF(J653="events and names",40,IF(J653="flashbulb",41,IF(J653="stories",42,IF(J653="course material",43,IF(J653="autobiographical",44,IF(J653="novels",45,IF(J653="public events",46,"99"))))))))))))))))))))))))))))))))))))))))))))))</f>
        <v>42</v>
      </c>
      <c r="L653" s="60">
        <f>IF(J653="syllables",1,IF(J653="trigrams",1,IF(J653="strings",1,IF(J653="visual array",1,IF(J653="characters",1,IF(J653="letters",1,IF(J653="free forms",1,IF(J653="odors",2,IF(J653="words",2,IF(J653="pictures",2,IF(J653="object pictures",2,IF(J653="faces",2,IF(J653="names",2,IF(J653="idioms","2",IF(J653="grades",2,IF(J653="syllable-digit pairs",3,IF(J653="trigram-word pairs",3,IF(J653="word-digit pairs",3,IF(J653="English-Swahili pairs",3,IF(J653="spatial position",3,IF(J653="word pairs",4,IF(J653="word triads",4,IF(J653="generated words",4,IF(J653="word definition pairs",4,IF(J653="math problems",4,IF(J653="famous faces",4,IF(J653="famous names",4,IF(J653="famous voices",4,IF(J653="television programs",4,IF(J653="race horses",4,IF(J653="new vocabulary",4,IF(J653="sentences",5,IF(J653="concepts",5,IF(J653="ad slides",5,IF(J653="scenes",5,IF(J653="famous scenes",5,IF(J653="poems",6,IF(J653="walk",6,IF(J653="faces and events",6,IF(J653="events and names",6,IF(J653="flashbulb",7,IF(J653="stories",7,IF(J653="course material",7,IF(J653="autobiographical",7,IF(J653="novels",7,IF(J653="public events",7,"99"))))))))))))))))))))))))))))))))))))))))))))))</f>
        <v>7</v>
      </c>
      <c r="M653" s="60">
        <v>1</v>
      </c>
      <c r="N653" s="61">
        <v>4</v>
      </c>
      <c r="O653" s="60">
        <v>0</v>
      </c>
      <c r="P653" s="60"/>
      <c r="Q653" s="60" t="s">
        <v>174</v>
      </c>
      <c r="R653" s="60">
        <f>IF(Q653="Free Recall",1,IF(Q653="Cued Recall",2,IF(Q653="Recognition",3,IF(Q653="Multiple Choice",4,IF(Q653="Savings",5,IF(Q653="Stem Completion",6,IF(Q653="Fragment Completion",7,IF(Q653="anagram solution",8,IF(Q653="Matching",9,IF(Q653="Problem Solving",10,"99"))))))))))</f>
        <v>1</v>
      </c>
      <c r="S653" s="60" t="s">
        <v>49</v>
      </c>
      <c r="T653" s="59" t="s">
        <v>581</v>
      </c>
      <c r="U653" s="60">
        <f>IF(T653="within",1,0)</f>
        <v>1</v>
      </c>
      <c r="V653" s="59">
        <v>32</v>
      </c>
      <c r="W653" s="60">
        <f>F653*V653</f>
        <v>320</v>
      </c>
      <c r="X653" s="60">
        <v>5</v>
      </c>
      <c r="Y653" s="76">
        <f>AV652</f>
        <v>30</v>
      </c>
      <c r="Z653" s="59" t="s">
        <v>273</v>
      </c>
      <c r="AA653" s="59">
        <f>60*60*24*30</f>
        <v>2592000</v>
      </c>
      <c r="AB653" s="60" t="str">
        <f>IF(AA653&lt;60,"1",IF(AA653&lt;=43200,"2",IF(AA653&lt;=777600,"3","4")))</f>
        <v>4</v>
      </c>
      <c r="AC653" s="56">
        <f>AVERAGE(AV652:DA652)</f>
        <v>777846</v>
      </c>
      <c r="AD653" s="60" t="str">
        <f>IF(AC653&lt;60,"1",IF(AC653&lt;=43200,"2",IF(AC653&lt;=777600,"3","4")))</f>
        <v>4</v>
      </c>
      <c r="AE653" s="76">
        <f>AA653-Y653</f>
        <v>2591970</v>
      </c>
      <c r="AF653" s="80">
        <f>AV653</f>
        <v>0.83260000000000001</v>
      </c>
      <c r="AG653" s="56">
        <f>((AW653-AV653)+(AX653-AW653)+(AY653-AX653)+(AZ653-AY653))/4</f>
        <v>-2.8362500000000013E-2</v>
      </c>
      <c r="AH653" s="4"/>
      <c r="AI653" s="56">
        <f>RSQ(AV653:AZ653,AV652:AZ652)</f>
        <v>0.11944694903737858</v>
      </c>
      <c r="AJ653" s="109">
        <f>SLOPE(AV653:AZ653,AV652:AZ652)</f>
        <v>-1.6505282511243056E-8</v>
      </c>
      <c r="AK653" s="56">
        <f>INTERCEPT(AV653:AZ653,AV652:AZ652)</f>
        <v>0.77126856798024035</v>
      </c>
      <c r="AL653" s="56">
        <f>INDEX(LINEST(LN(AV653:AZ653),LN(AV652:AZ652),TRUE,TRUE),3,1)</f>
        <v>0.19508581846272266</v>
      </c>
      <c r="AM653" s="56">
        <f>INDEX(LINEST(LN(AV653:AZ653),LN(AV652:AZ652)),1)</f>
        <v>-6.0850286552710138E-3</v>
      </c>
      <c r="AN653" s="56">
        <f>EXP(INDEX(LINEST(LN(AV653:AZ653),LN(AV652:AZ652)),1,2))</f>
        <v>0.80627676643443114</v>
      </c>
      <c r="AO653" s="82">
        <f>INDEX(LINEST((AV653:AZ653),LN(AV652:AZ652),TRUE,TRUE),3,1)</f>
        <v>0.20890151713166855</v>
      </c>
      <c r="AP653" s="82">
        <f>INDEX(LINEST((AV653:AZ653),LN(AV652:AZ652)),1)</f>
        <v>-4.8412740312753751E-3</v>
      </c>
      <c r="AQ653" s="83">
        <f>INDEX(LINEST(LN(AV653:AZ653),SQRT(AV652:AZ652),TRUE,TRUE),3,1)</f>
        <v>9.2754264409526388E-2</v>
      </c>
      <c r="AR653" s="116">
        <f>INDEX(LINEST(LN(AV653:AZ653),SQRT((AV652:AZ652))),1)</f>
        <v>-3.0412063524152263E-5</v>
      </c>
      <c r="AS653" s="84">
        <f>INDEX(LINEST(1/(AV653:AZ653),1/(SQRT(AV652:AZ652)),TRUE,TRUE),3,1)</f>
        <v>0.50902105101901529</v>
      </c>
      <c r="AT653" s="84">
        <f>INDEX(LINEST(1/(AV653:AZ653),1/SQRT(AV652:AZ652)),1)</f>
        <v>-0.7942968091736976</v>
      </c>
      <c r="AU653" s="3"/>
      <c r="AV653" s="53">
        <f>(0.8118+0.8534)/2</f>
        <v>0.83260000000000001</v>
      </c>
      <c r="AW653" s="53">
        <f>(0.7059+0.7133)/2</f>
        <v>0.70960000000000001</v>
      </c>
      <c r="AX653" s="53">
        <f>(0.6012+0.88)/2</f>
        <v>0.74059999999999993</v>
      </c>
      <c r="AY653" s="53">
        <f>(0.6471+0.9333)/2</f>
        <v>0.79020000000000001</v>
      </c>
      <c r="AZ653" s="53">
        <f>(0.5383+0.9)/2</f>
        <v>0.71914999999999996</v>
      </c>
      <c r="BA653" s="53"/>
      <c r="BB653" s="53"/>
      <c r="BC653" s="53"/>
      <c r="BD653" s="53"/>
      <c r="BE653" s="53"/>
      <c r="BF653" s="53"/>
      <c r="BG653" s="53"/>
      <c r="BH653" s="53"/>
      <c r="BI653" s="53"/>
      <c r="BJ653" s="53"/>
      <c r="BK653" s="53"/>
      <c r="BL653" s="53"/>
      <c r="BM653" s="53"/>
      <c r="BN653" s="53"/>
      <c r="BO653" s="53"/>
      <c r="BP653" s="53"/>
      <c r="BQ653" s="53"/>
      <c r="BR653" s="53"/>
      <c r="BS653" s="53"/>
      <c r="BT653" s="53"/>
      <c r="BU653" s="53"/>
      <c r="BV653" s="53"/>
      <c r="BW653" s="53"/>
      <c r="BX653" s="53"/>
      <c r="BY653" s="53"/>
      <c r="BZ653" s="53"/>
      <c r="CA653" s="53"/>
      <c r="CB653" s="53"/>
      <c r="CC653" s="53"/>
      <c r="CD653" s="53"/>
      <c r="CE653" s="53"/>
      <c r="CF653" s="53"/>
      <c r="CG653" s="53"/>
      <c r="CH653" s="53"/>
      <c r="CI653" s="53"/>
      <c r="CJ653" s="53"/>
      <c r="CK653" s="53"/>
      <c r="CL653" s="53"/>
      <c r="CM653" s="53"/>
      <c r="CN653" s="53"/>
      <c r="CO653" s="53"/>
      <c r="CP653" s="53"/>
      <c r="CQ653" s="53"/>
      <c r="CR653" s="1"/>
      <c r="CS653" s="1"/>
      <c r="CT653" s="1"/>
      <c r="CU653" s="1"/>
    </row>
    <row r="654" spans="1:99" s="13" customFormat="1" ht="12" customHeight="1" x14ac:dyDescent="0.2">
      <c r="A654" s="65">
        <v>43978</v>
      </c>
      <c r="B654" s="1"/>
      <c r="C654" s="1"/>
      <c r="D654" s="60"/>
      <c r="E654" s="76"/>
      <c r="F654" s="60"/>
      <c r="G654" s="60"/>
      <c r="H654" s="60"/>
      <c r="I654" s="60"/>
      <c r="J654" s="60"/>
      <c r="K654" s="60"/>
      <c r="L654" s="60"/>
      <c r="M654" s="60"/>
      <c r="N654" s="61"/>
      <c r="O654" s="60"/>
      <c r="P654" s="60"/>
      <c r="Q654" s="60"/>
      <c r="R654" s="60"/>
      <c r="S654" s="60"/>
      <c r="T654" s="59"/>
      <c r="U654" s="60"/>
      <c r="V654" s="59"/>
      <c r="W654" s="60"/>
      <c r="X654" s="60"/>
      <c r="Y654" s="76"/>
      <c r="Z654" s="59"/>
      <c r="AA654" s="59"/>
      <c r="AB654" s="60"/>
      <c r="AC654" s="56"/>
      <c r="AD654" s="60"/>
      <c r="AE654" s="76"/>
      <c r="AF654" s="80"/>
      <c r="AG654" s="56"/>
      <c r="AH654" s="4"/>
      <c r="AI654" s="56"/>
      <c r="AJ654" s="109"/>
      <c r="AK654" s="56"/>
      <c r="AL654" s="56"/>
      <c r="AM654" s="56"/>
      <c r="AN654" s="56"/>
      <c r="AO654" s="82"/>
      <c r="AP654" s="82"/>
      <c r="AQ654" s="83"/>
      <c r="AR654" s="116"/>
      <c r="AS654" s="84"/>
      <c r="AT654" s="84"/>
      <c r="AU654" s="3"/>
      <c r="AV654" s="25">
        <v>30</v>
      </c>
      <c r="AW654" s="25">
        <f>60*20</f>
        <v>1200</v>
      </c>
      <c r="AX654" s="25">
        <f>60*60*24*4</f>
        <v>345600</v>
      </c>
      <c r="AY654" s="25">
        <f>60*60*24*11</f>
        <v>950400</v>
      </c>
      <c r="AZ654" s="25">
        <f>60*60*24*30</f>
        <v>2592000</v>
      </c>
      <c r="BA654" s="53"/>
      <c r="BB654" s="53"/>
      <c r="BC654" s="53"/>
      <c r="BD654" s="53"/>
      <c r="BE654" s="53"/>
      <c r="BF654" s="53"/>
      <c r="BG654" s="53"/>
      <c r="BH654" s="53"/>
      <c r="BI654" s="53"/>
      <c r="BJ654" s="53"/>
      <c r="BK654" s="53"/>
      <c r="BL654" s="53"/>
      <c r="BM654" s="53"/>
      <c r="BN654" s="53"/>
      <c r="BO654" s="53"/>
      <c r="BP654" s="53"/>
      <c r="BQ654" s="53"/>
      <c r="BR654" s="53"/>
      <c r="BS654" s="53"/>
      <c r="BT654" s="53"/>
      <c r="BU654" s="53"/>
      <c r="BV654" s="53"/>
      <c r="BW654" s="53"/>
      <c r="BX654" s="53"/>
      <c r="BY654" s="53"/>
      <c r="BZ654" s="53"/>
      <c r="CA654" s="53"/>
      <c r="CB654" s="53"/>
      <c r="CC654" s="53"/>
      <c r="CD654" s="53"/>
      <c r="CE654" s="53"/>
      <c r="CF654" s="53"/>
      <c r="CG654" s="53"/>
      <c r="CH654" s="53"/>
      <c r="CI654" s="53"/>
      <c r="CJ654" s="53"/>
      <c r="CK654" s="53"/>
      <c r="CL654" s="53"/>
      <c r="CM654" s="53"/>
      <c r="CN654" s="53"/>
      <c r="CO654" s="53"/>
      <c r="CP654" s="53"/>
      <c r="CQ654" s="53"/>
      <c r="CR654" s="1"/>
      <c r="CS654" s="1"/>
      <c r="CT654" s="1"/>
      <c r="CU654" s="1"/>
    </row>
    <row r="655" spans="1:99" s="13" customFormat="1" ht="12" customHeight="1" x14ac:dyDescent="0.2">
      <c r="A655" s="65">
        <v>43978</v>
      </c>
      <c r="B655" s="1" t="s">
        <v>969</v>
      </c>
      <c r="C655" s="1" t="s">
        <v>970</v>
      </c>
      <c r="D655" s="60">
        <v>2012</v>
      </c>
      <c r="E655" s="76">
        <v>1</v>
      </c>
      <c r="F655" s="60">
        <v>10</v>
      </c>
      <c r="G655" s="60">
        <v>10</v>
      </c>
      <c r="H655" s="60" t="s">
        <v>38</v>
      </c>
      <c r="I655" s="60" t="s">
        <v>330</v>
      </c>
      <c r="J655" s="60" t="s">
        <v>686</v>
      </c>
      <c r="K655" s="60">
        <f>IF(J655="syllables",1,IF(J655="trigrams",2,IF(J655="strings",3,IF(J655="visual array",4,IF(J655="characters",5,IF(J655="letters",6,IF(J655="free forms",7,IF(J655="odors",8,IF(J655="words",9,IF(J655="pictures",10,IF(J655="object pictures",11,IF(J655="faces",12,IF(J655="names",13,IF(J655="idioms",14,IF(J655="grades",15,IF(J655="syllable-digit pairs",16,IF(J655="trigram-word pairs",17,IF(J655="word-digit pairs",18,IF(J655="English-Swahili pairs",19,IF(J655="spatial position",20,IF(J655="word pairs",21,IF(J655="word triads",22,IF(J655="generated words",23,IF(J655="word definition pairs",24,IF(J655="math problems",25,IF(J655="famous faces",26,IF(J655="famous names",27,IF(J655="famous voices",28,IF(J655="television programs",29,IF(J655="race horses",30,IF(J655="new vocabulary",31,IF(J655="sentences",32,IF(J655="concepts",33,IF(J655="ad slides",34,IF(J655="scenes",35,IF(J655="famous scenes",36,IF(J655="poems",37,IF(J655="walk",38,IF(J655="faces and events",39,IF(J655="events and names",40,IF(J655="flashbulb",41,IF(J655="stories",42,IF(J655="course material",43,IF(J655="autobiographical",44,IF(J655="novels",45,IF(J655="public events",46,"99"))))))))))))))))))))))))))))))))))))))))))))))</f>
        <v>35</v>
      </c>
      <c r="L655" s="60">
        <f>IF(J655="syllables",1,IF(J655="trigrams",1,IF(J655="strings",1,IF(J655="visual array",1,IF(J655="characters",1,IF(J655="letters",1,IF(J655="free forms",1,IF(J655="odors",2,IF(J655="words",2,IF(J655="pictures",2,IF(J655="object pictures",2,IF(J655="faces",2,IF(J655="names",2,IF(J655="idioms","2",IF(J655="grades",2,IF(J655="syllable-digit pairs",3,IF(J655="trigram-word pairs",3,IF(J655="word-digit pairs",3,IF(J655="English-Swahili pairs",3,IF(J655="spatial position",3,IF(J655="word pairs",4,IF(J655="word triads",4,IF(J655="generated words",4,IF(J655="word definition pairs",4,IF(J655="math problems",4,IF(J655="famous faces",4,IF(J655="famous names",4,IF(J655="famous voices",4,IF(J655="television programs",4,IF(J655="race horses",4,IF(J655="new vocabulary",4,IF(J655="sentences",5,IF(J655="concepts",5,IF(J655="ad slides",5,IF(J655="scenes",5,IF(J655="famous scenes",5,IF(J655="poems",6,IF(J655="walk",6,IF(J655="faces and events",6,IF(J655="events and names",6,IF(J655="flashbulb",7,IF(J655="stories",7,IF(J655="course material",7,IF(J655="autobiographical",7,IF(J655="novels",7,IF(J655="public events",7,"99"))))))))))))))))))))))))))))))))))))))))))))))</f>
        <v>5</v>
      </c>
      <c r="M655" s="60">
        <v>1</v>
      </c>
      <c r="N655" s="61">
        <v>4</v>
      </c>
      <c r="O655" s="60">
        <v>0</v>
      </c>
      <c r="P655" s="60"/>
      <c r="Q655" s="60" t="s">
        <v>174</v>
      </c>
      <c r="R655" s="60">
        <f>IF(Q655="Free Recall",1,IF(Q655="Cued Recall",2,IF(Q655="Recognition",3,IF(Q655="Multiple Choice",4,IF(Q655="Savings",5,IF(Q655="Stem Completion",6,IF(Q655="Fragment Completion",7,IF(Q655="anagram solution",8,IF(Q655="Matching",9,IF(Q655="Problem Solving",10,"99"))))))))))</f>
        <v>1</v>
      </c>
      <c r="S655" s="60" t="s">
        <v>49</v>
      </c>
      <c r="T655" s="59" t="s">
        <v>581</v>
      </c>
      <c r="U655" s="60">
        <f>IF(T655="within",1,0)</f>
        <v>1</v>
      </c>
      <c r="V655" s="59">
        <v>32</v>
      </c>
      <c r="W655" s="60">
        <f>F655*V655</f>
        <v>320</v>
      </c>
      <c r="X655" s="60">
        <v>5</v>
      </c>
      <c r="Y655" s="76">
        <f>AV654</f>
        <v>30</v>
      </c>
      <c r="Z655" s="59" t="s">
        <v>273</v>
      </c>
      <c r="AA655" s="59">
        <f>60*60*24*30</f>
        <v>2592000</v>
      </c>
      <c r="AB655" s="60" t="str">
        <f>IF(AA655&lt;60,"1",IF(AA655&lt;=43200,"2",IF(AA655&lt;=777600,"3","4")))</f>
        <v>4</v>
      </c>
      <c r="AC655" s="56">
        <f>AVERAGE(AV654:DA654)</f>
        <v>777846</v>
      </c>
      <c r="AD655" s="60" t="str">
        <f>IF(AC655&lt;60,"1",IF(AC655&lt;=43200,"2",IF(AC655&lt;=777600,"3","4")))</f>
        <v>4</v>
      </c>
      <c r="AE655" s="76">
        <f>AA655-Y655</f>
        <v>2591970</v>
      </c>
      <c r="AF655" s="80">
        <f>AV655</f>
        <v>0.87809999999999999</v>
      </c>
      <c r="AG655" s="56">
        <f>((AW655-AV655)+(AX655-AW655)+(AY655-AX655)+(AZ655-AY655))/4</f>
        <v>-4.9999999999999989E-2</v>
      </c>
      <c r="AH655" s="4"/>
      <c r="AI655" s="56">
        <f>RSQ(AV655:AZ655,AV654:AZ654)</f>
        <v>0.61317609700265152</v>
      </c>
      <c r="AJ655" s="109">
        <f>SLOPE(AV655:AZ655,AV654:AZ654)</f>
        <v>-6.6606098188573892E-8</v>
      </c>
      <c r="AK655" s="56">
        <f>INTERCEPT(AV655:AZ655,AV654:AZ654)</f>
        <v>0.8179092870515895</v>
      </c>
      <c r="AL655" s="56">
        <f>INDEX(LINEST(LN(AV655:AZ655),LN(AV654:AZ654),TRUE,TRUE),3,1)</f>
        <v>0.94219359588695695</v>
      </c>
      <c r="AM655" s="56">
        <f>INDEX(LINEST(LN(AV655:AZ655),LN(AV654:AZ654)),1)</f>
        <v>-2.3720604581557066E-2</v>
      </c>
      <c r="AN655" s="56">
        <f>EXP(INDEX(LINEST(LN(AV655:AZ655),LN(AV654:AZ654)),1,2))</f>
        <v>0.9737868394615572</v>
      </c>
      <c r="AO655" s="82">
        <f>INDEX(LINEST((AV655:AZ655),LN(AV654:AZ654),TRUE,TRUE),3,1)</f>
        <v>0.95319427012560876</v>
      </c>
      <c r="AP655" s="82">
        <f>INDEX(LINEST((AV655:AZ655),LN(AV654:AZ654)),1)</f>
        <v>-1.8418978185228672E-2</v>
      </c>
      <c r="AQ655" s="83">
        <f>INDEX(LINEST(LN(AV655:AZ655),SQRT(AV654:AZ654),TRUE,TRUE),3,1)</f>
        <v>0.87405953221148391</v>
      </c>
      <c r="AR655" s="116">
        <f>INDEX(LINEST(LN(AV655:AZ655),SQRT((AV654:AZ654))),1)</f>
        <v>-1.6559810211985051E-4</v>
      </c>
      <c r="AS655" s="84">
        <f>INDEX(LINEST(1/(AV655:AZ655),1/(SQRT(AV654:AZ654)),TRUE,TRUE),3,1)</f>
        <v>0.56135723446405394</v>
      </c>
      <c r="AT655" s="84">
        <f>INDEX(LINEST(1/(AV655:AZ655),1/SQRT(AV654:AZ654)),1)</f>
        <v>-1.4785818665374522</v>
      </c>
      <c r="AU655" s="3"/>
      <c r="AV655" s="53">
        <v>0.87809999999999999</v>
      </c>
      <c r="AW655" s="53">
        <v>0.84689999999999999</v>
      </c>
      <c r="AX655" s="53">
        <v>0.74380000000000002</v>
      </c>
      <c r="AY655" s="53">
        <v>0.68359999999999999</v>
      </c>
      <c r="AZ655" s="53">
        <v>0.67810000000000004</v>
      </c>
      <c r="BA655" s="53"/>
      <c r="BB655" s="53"/>
      <c r="BC655" s="53"/>
      <c r="BD655" s="53"/>
      <c r="BE655" s="53"/>
      <c r="BF655" s="53"/>
      <c r="BG655" s="53"/>
      <c r="BH655" s="53"/>
      <c r="BI655" s="53"/>
      <c r="BJ655" s="53"/>
      <c r="BK655" s="53"/>
      <c r="BL655" s="53"/>
      <c r="BM655" s="53"/>
      <c r="BN655" s="53"/>
      <c r="BO655" s="53"/>
      <c r="BP655" s="53"/>
      <c r="BQ655" s="53"/>
      <c r="BR655" s="53"/>
      <c r="BS655" s="53"/>
      <c r="BT655" s="53"/>
      <c r="BU655" s="53"/>
      <c r="BV655" s="53"/>
      <c r="BW655" s="53"/>
      <c r="BX655" s="53"/>
      <c r="BY655" s="53"/>
      <c r="BZ655" s="53"/>
      <c r="CA655" s="53"/>
      <c r="CB655" s="53"/>
      <c r="CC655" s="53"/>
      <c r="CD655" s="53"/>
      <c r="CE655" s="53"/>
      <c r="CF655" s="53"/>
      <c r="CG655" s="53"/>
      <c r="CH655" s="53"/>
      <c r="CI655" s="53"/>
      <c r="CJ655" s="53"/>
      <c r="CK655" s="53"/>
      <c r="CL655" s="53"/>
      <c r="CM655" s="53"/>
      <c r="CN655" s="53"/>
      <c r="CO655" s="53"/>
      <c r="CP655" s="53"/>
      <c r="CQ655" s="53"/>
      <c r="CR655" s="1"/>
      <c r="CS655" s="1"/>
      <c r="CT655" s="1"/>
      <c r="CU655" s="1"/>
    </row>
    <row r="656" spans="1:99" s="13" customFormat="1" ht="12" customHeight="1" x14ac:dyDescent="0.2">
      <c r="A656" s="65">
        <v>43978</v>
      </c>
      <c r="B656" s="1"/>
      <c r="C656" s="1"/>
      <c r="D656" s="60"/>
      <c r="E656" s="76"/>
      <c r="F656" s="60"/>
      <c r="G656" s="60"/>
      <c r="H656" s="60"/>
      <c r="I656" s="60"/>
      <c r="J656" s="60"/>
      <c r="K656" s="60"/>
      <c r="L656" s="60"/>
      <c r="M656" s="60"/>
      <c r="N656" s="61"/>
      <c r="O656" s="60"/>
      <c r="P656" s="60"/>
      <c r="Q656" s="60"/>
      <c r="R656" s="60"/>
      <c r="S656" s="60"/>
      <c r="T656" s="59"/>
      <c r="U656" s="60"/>
      <c r="V656" s="59"/>
      <c r="W656" s="60"/>
      <c r="X656" s="60"/>
      <c r="Y656" s="76"/>
      <c r="Z656" s="59"/>
      <c r="AA656" s="59"/>
      <c r="AB656" s="60"/>
      <c r="AC656" s="56"/>
      <c r="AD656" s="60"/>
      <c r="AE656" s="76"/>
      <c r="AF656" s="80"/>
      <c r="AG656" s="56"/>
      <c r="AH656" s="4"/>
      <c r="AI656" s="56"/>
      <c r="AJ656" s="109"/>
      <c r="AK656" s="56"/>
      <c r="AL656" s="56"/>
      <c r="AM656" s="56"/>
      <c r="AN656" s="56"/>
      <c r="AO656" s="82"/>
      <c r="AP656" s="82"/>
      <c r="AQ656" s="83"/>
      <c r="AR656" s="116"/>
      <c r="AS656" s="84"/>
      <c r="AT656" s="84"/>
      <c r="AU656" s="3"/>
      <c r="AV656" s="25">
        <v>30</v>
      </c>
      <c r="AW656" s="25">
        <f>60*20</f>
        <v>1200</v>
      </c>
      <c r="AX656" s="25">
        <f>60*60*24*4</f>
        <v>345600</v>
      </c>
      <c r="AY656" s="25">
        <f>60*60*24*11</f>
        <v>950400</v>
      </c>
      <c r="AZ656" s="25">
        <f>60*60*24*30</f>
        <v>2592000</v>
      </c>
      <c r="BA656" s="53"/>
      <c r="BB656" s="53"/>
      <c r="BC656" s="53"/>
      <c r="BD656" s="53"/>
      <c r="BE656" s="53"/>
      <c r="BF656" s="53"/>
      <c r="BG656" s="53"/>
      <c r="BH656" s="53"/>
      <c r="BI656" s="53"/>
      <c r="BJ656" s="53"/>
      <c r="BK656" s="53"/>
      <c r="BL656" s="53"/>
      <c r="BM656" s="53"/>
      <c r="BN656" s="53"/>
      <c r="BO656" s="53"/>
      <c r="BP656" s="53"/>
      <c r="BQ656" s="53"/>
      <c r="BR656" s="53"/>
      <c r="BS656" s="53"/>
      <c r="BT656" s="53"/>
      <c r="BU656" s="53"/>
      <c r="BV656" s="53"/>
      <c r="BW656" s="53"/>
      <c r="BX656" s="53"/>
      <c r="BY656" s="53"/>
      <c r="BZ656" s="53"/>
      <c r="CA656" s="53"/>
      <c r="CB656" s="53"/>
      <c r="CC656" s="53"/>
      <c r="CD656" s="53"/>
      <c r="CE656" s="53"/>
      <c r="CF656" s="53"/>
      <c r="CG656" s="53"/>
      <c r="CH656" s="53"/>
      <c r="CI656" s="53"/>
      <c r="CJ656" s="53"/>
      <c r="CK656" s="53"/>
      <c r="CL656" s="53"/>
      <c r="CM656" s="53"/>
      <c r="CN656" s="53"/>
      <c r="CO656" s="53"/>
      <c r="CP656" s="53"/>
      <c r="CQ656" s="53"/>
      <c r="CR656" s="1"/>
      <c r="CS656" s="1"/>
      <c r="CT656" s="1"/>
      <c r="CU656" s="1"/>
    </row>
    <row r="657" spans="1:99" s="13" customFormat="1" ht="12" customHeight="1" x14ac:dyDescent="0.2">
      <c r="A657" s="65">
        <v>43978</v>
      </c>
      <c r="B657" s="1" t="s">
        <v>969</v>
      </c>
      <c r="C657" s="1" t="s">
        <v>970</v>
      </c>
      <c r="D657" s="60">
        <v>2012</v>
      </c>
      <c r="E657" s="76">
        <v>2</v>
      </c>
      <c r="F657" s="60">
        <v>4</v>
      </c>
      <c r="G657" s="60">
        <v>4</v>
      </c>
      <c r="H657" s="60" t="s">
        <v>227</v>
      </c>
      <c r="I657" s="60" t="s">
        <v>330</v>
      </c>
      <c r="J657" s="60" t="s">
        <v>16</v>
      </c>
      <c r="K657" s="60">
        <f>IF(J657="syllables",1,IF(J657="trigrams",2,IF(J657="strings",3,IF(J657="visual array",4,IF(J657="characters",5,IF(J657="letters",6,IF(J657="free forms",7,IF(J657="odors",8,IF(J657="words",9,IF(J657="pictures",10,IF(J657="object pictures",11,IF(J657="faces",12,IF(J657="names",13,IF(J657="idioms",14,IF(J657="grades",15,IF(J657="syllable-digit pairs",16,IF(J657="trigram-word pairs",17,IF(J657="word-digit pairs",18,IF(J657="English-Swahili pairs",19,IF(J657="spatial position",20,IF(J657="word pairs",21,IF(J657="word triads",22,IF(J657="generated words",23,IF(J657="word definition pairs",24,IF(J657="math problems",25,IF(J657="famous faces",26,IF(J657="famous names",27,IF(J657="famous voices",28,IF(J657="television programs",29,IF(J657="race horses",30,IF(J657="new vocabulary",31,IF(J657="sentences",32,IF(J657="concepts",33,IF(J657="ad slides",34,IF(J657="scenes",35,IF(J657="famous scenes",36,IF(J657="poems",37,IF(J657="walk",38,IF(J657="faces and events",39,IF(J657="events and names",40,IF(J657="flashbulb",41,IF(J657="stories",42,IF(J657="course material",43,IF(J657="autobiographical",44,IF(J657="novels",45,IF(J657="public events",46,"99"))))))))))))))))))))))))))))))))))))))))))))))</f>
        <v>9</v>
      </c>
      <c r="L657" s="60">
        <f>IF(J657="syllables",1,IF(J657="trigrams",1,IF(J657="strings",1,IF(J657="visual array",1,IF(J657="characters",1,IF(J657="letters",1,IF(J657="free forms",1,IF(J657="odors",2,IF(J657="words",2,IF(J657="pictures",2,IF(J657="object pictures",2,IF(J657="faces",2,IF(J657="names",2,IF(J657="idioms","2",IF(J657="grades",2,IF(J657="syllable-digit pairs",3,IF(J657="trigram-word pairs",3,IF(J657="word-digit pairs",3,IF(J657="English-Swahili pairs",3,IF(J657="spatial position",3,IF(J657="word pairs",4,IF(J657="word triads",4,IF(J657="generated words",4,IF(J657="word definition pairs",4,IF(J657="math problems",4,IF(J657="famous faces",4,IF(J657="famous names",4,IF(J657="famous voices",4,IF(J657="television programs",4,IF(J657="race horses",4,IF(J657="new vocabulary",4,IF(J657="sentences",5,IF(J657="concepts",5,IF(J657="ad slides",5,IF(J657="scenes",5,IF(J657="famous scenes",5,IF(J657="poems",6,IF(J657="walk",6,IF(J657="faces and events",6,IF(J657="events and names",6,IF(J657="flashbulb",7,IF(J657="stories",7,IF(J657="course material",7,IF(J657="autobiographical",7,IF(J657="novels",7,IF(J657="public events",7,"99"))))))))))))))))))))))))))))))))))))))))))))))</f>
        <v>2</v>
      </c>
      <c r="M657" s="60">
        <v>1</v>
      </c>
      <c r="N657" s="61">
        <v>2</v>
      </c>
      <c r="O657" s="60">
        <v>0</v>
      </c>
      <c r="P657" s="60"/>
      <c r="Q657" s="60" t="s">
        <v>174</v>
      </c>
      <c r="R657" s="60">
        <f>IF(Q657="Free Recall",1,IF(Q657="Cued Recall",2,IF(Q657="Recognition",3,IF(Q657="Multiple Choice",4,IF(Q657="Savings",5,IF(Q657="Stem Completion",6,IF(Q657="Fragment Completion",7,IF(Q657="anagram solution",8,IF(Q657="Matching",9,IF(Q657="Problem Solving",10,"99"))))))))))</f>
        <v>1</v>
      </c>
      <c r="S657" s="60" t="s">
        <v>49</v>
      </c>
      <c r="T657" s="59" t="s">
        <v>581</v>
      </c>
      <c r="U657" s="60">
        <f>IF(T657="within",1,0)</f>
        <v>1</v>
      </c>
      <c r="V657" s="59">
        <v>15</v>
      </c>
      <c r="W657" s="60">
        <f>F657*V657</f>
        <v>60</v>
      </c>
      <c r="X657" s="60">
        <v>5</v>
      </c>
      <c r="Y657" s="76">
        <f>AV656</f>
        <v>30</v>
      </c>
      <c r="Z657" s="59" t="s">
        <v>273</v>
      </c>
      <c r="AA657" s="59">
        <f>60*60*24*30</f>
        <v>2592000</v>
      </c>
      <c r="AB657" s="60" t="str">
        <f>IF(AA657&lt;60,"1",IF(AA657&lt;=43200,"2",IF(AA657&lt;=777600,"3","4")))</f>
        <v>4</v>
      </c>
      <c r="AC657" s="56">
        <f>AVERAGE(AV656:DA656)</f>
        <v>777846</v>
      </c>
      <c r="AD657" s="60" t="str">
        <f>IF(AC657&lt;60,"1",IF(AC657&lt;=43200,"2",IF(AC657&lt;=777600,"3","4")))</f>
        <v>4</v>
      </c>
      <c r="AE657" s="76">
        <f>AA657-Y657</f>
        <v>2591970</v>
      </c>
      <c r="AF657" s="80">
        <f>AV657</f>
        <v>0.8</v>
      </c>
      <c r="AG657" s="56">
        <f>((AW657-AV657)+(AX657-AW657)+(AY657-AX657)+(AZ657-AY657))/4</f>
        <v>-0.17915000000000003</v>
      </c>
      <c r="AH657" s="4"/>
      <c r="AI657" s="56">
        <f>RSQ(AV657:AZ657,AV656:AZ656)</f>
        <v>0.60297003500170554</v>
      </c>
      <c r="AJ657" s="109">
        <f>SLOPE(AV657:AZ657,AV656:AZ656)</f>
        <v>-2.1065924323886873E-7</v>
      </c>
      <c r="AK657" s="56">
        <f>INTERCEPT(AV657:AZ657,AV656:AZ656)</f>
        <v>0.55158044971638098</v>
      </c>
      <c r="AL657" s="56">
        <f>INDEX(LINEST(LN(AV657:AZ657),LN(AV656:AZ656),TRUE,TRUE),3,1)</f>
        <v>0.85486498228257024</v>
      </c>
      <c r="AM657" s="56">
        <f>INDEX(LINEST(LN(AV657:AZ657),LN(AV656:AZ656)),1)</f>
        <v>-0.16794010933010456</v>
      </c>
      <c r="AN657" s="56">
        <f>EXP(INDEX(LINEST(LN(AV657:AZ657),LN(AV656:AZ656)),1,2))</f>
        <v>1.6679998957789528</v>
      </c>
      <c r="AO657" s="82">
        <f>INDEX(LINEST((AV657:AZ657),LN(AV656:AZ656),TRUE,TRUE),3,1)</f>
        <v>0.99092130846433635</v>
      </c>
      <c r="AP657" s="82">
        <f>INDEX(LINEST((AV657:AZ657),LN(AV656:AZ656)),1)</f>
        <v>-5.9897083387676936E-2</v>
      </c>
      <c r="AQ657" s="83">
        <f>INDEX(LINEST(LN(AV657:AZ657),SQRT(AV656:AZ656),TRUE,TRUE),3,1)</f>
        <v>0.96257802991326591</v>
      </c>
      <c r="AR657" s="116">
        <f>INDEX(LINEST(LN(AV657:AZ657),SQRT((AV656:AZ656))),1)</f>
        <v>-1.2916736758146461E-3</v>
      </c>
      <c r="AS657" s="84">
        <f>INDEX(LINEST(1/(AV657:AZ657),1/(SQRT(AV656:AZ656)),TRUE,TRUE),3,1)</f>
        <v>0.27208258782842504</v>
      </c>
      <c r="AT657" s="84">
        <f>INDEX(LINEST(1/(AV657:AZ657),1/SQRT(AV656:AZ656)),1)</f>
        <v>-28.504760909348615</v>
      </c>
      <c r="AU657" s="3"/>
      <c r="AV657" s="53">
        <v>0.8</v>
      </c>
      <c r="AW657" s="53">
        <v>0.58299999999999996</v>
      </c>
      <c r="AX657" s="53">
        <v>0.25</v>
      </c>
      <c r="AY657" s="53">
        <v>0.22220000000000001</v>
      </c>
      <c r="AZ657" s="53">
        <v>8.3400000000000002E-2</v>
      </c>
      <c r="BA657" s="53"/>
      <c r="BB657" s="53"/>
      <c r="BC657" s="53"/>
      <c r="BD657" s="53"/>
      <c r="BE657" s="53"/>
      <c r="BF657" s="53"/>
      <c r="BG657" s="53"/>
      <c r="BH657" s="53"/>
      <c r="BI657" s="53"/>
      <c r="BJ657" s="53"/>
      <c r="BK657" s="53"/>
      <c r="BL657" s="53"/>
      <c r="BM657" s="53"/>
      <c r="BN657" s="53"/>
      <c r="BO657" s="53"/>
      <c r="BP657" s="53"/>
      <c r="BQ657" s="53"/>
      <c r="BR657" s="53"/>
      <c r="BS657" s="53"/>
      <c r="BT657" s="53"/>
      <c r="BU657" s="53"/>
      <c r="BV657" s="53"/>
      <c r="BW657" s="53"/>
      <c r="BX657" s="53"/>
      <c r="BY657" s="53"/>
      <c r="BZ657" s="53"/>
      <c r="CA657" s="53"/>
      <c r="CB657" s="53"/>
      <c r="CC657" s="53"/>
      <c r="CD657" s="53"/>
      <c r="CE657" s="53"/>
      <c r="CF657" s="53"/>
      <c r="CG657" s="53"/>
      <c r="CH657" s="53"/>
      <c r="CI657" s="53"/>
      <c r="CJ657" s="53"/>
      <c r="CK657" s="53"/>
      <c r="CL657" s="53"/>
      <c r="CM657" s="53"/>
      <c r="CN657" s="53"/>
      <c r="CO657" s="53"/>
      <c r="CP657" s="53"/>
      <c r="CQ657" s="53"/>
      <c r="CR657" s="1"/>
      <c r="CS657" s="1"/>
      <c r="CT657" s="1"/>
      <c r="CU657" s="1"/>
    </row>
    <row r="658" spans="1:99" s="13" customFormat="1" ht="12" customHeight="1" x14ac:dyDescent="0.2">
      <c r="A658" s="65">
        <v>43978</v>
      </c>
      <c r="B658" s="1"/>
      <c r="C658" s="1"/>
      <c r="D658" s="60"/>
      <c r="E658" s="76"/>
      <c r="F658" s="60"/>
      <c r="G658" s="60"/>
      <c r="H658" s="60"/>
      <c r="I658" s="60"/>
      <c r="J658" s="60"/>
      <c r="K658" s="60"/>
      <c r="L658" s="60"/>
      <c r="M658" s="60"/>
      <c r="N658" s="61"/>
      <c r="O658" s="60"/>
      <c r="P658" s="60"/>
      <c r="Q658" s="60"/>
      <c r="R658" s="60"/>
      <c r="S658" s="60"/>
      <c r="T658" s="59"/>
      <c r="U658" s="60"/>
      <c r="V658" s="59"/>
      <c r="W658" s="60"/>
      <c r="X658" s="60"/>
      <c r="Y658" s="76"/>
      <c r="Z658" s="59"/>
      <c r="AA658" s="59"/>
      <c r="AB658" s="60"/>
      <c r="AC658" s="56"/>
      <c r="AD658" s="60"/>
      <c r="AE658" s="76"/>
      <c r="AF658" s="80"/>
      <c r="AG658" s="56"/>
      <c r="AH658" s="4"/>
      <c r="AI658" s="56"/>
      <c r="AJ658" s="109"/>
      <c r="AK658" s="56"/>
      <c r="AL658" s="56"/>
      <c r="AM658" s="56"/>
      <c r="AN658" s="56"/>
      <c r="AO658" s="82"/>
      <c r="AP658" s="82"/>
      <c r="AQ658" s="83"/>
      <c r="AR658" s="116"/>
      <c r="AS658" s="84"/>
      <c r="AT658" s="84"/>
      <c r="AU658" s="3"/>
      <c r="AV658" s="25">
        <v>30</v>
      </c>
      <c r="AW658" s="25">
        <f>60*20</f>
        <v>1200</v>
      </c>
      <c r="AX658" s="25">
        <f>60*60*24*4</f>
        <v>345600</v>
      </c>
      <c r="AY658" s="25">
        <f>60*60*24*11</f>
        <v>950400</v>
      </c>
      <c r="AZ658" s="25">
        <f>60*60*24*30</f>
        <v>2592000</v>
      </c>
      <c r="BA658" s="53"/>
      <c r="BB658" s="53"/>
      <c r="BC658" s="53"/>
      <c r="BD658" s="53"/>
      <c r="BE658" s="53"/>
      <c r="BF658" s="53"/>
      <c r="BG658" s="53"/>
      <c r="BH658" s="53"/>
      <c r="BI658" s="53"/>
      <c r="BJ658" s="53"/>
      <c r="BK658" s="53"/>
      <c r="BL658" s="53"/>
      <c r="BM658" s="53"/>
      <c r="BN658" s="53"/>
      <c r="BO658" s="53"/>
      <c r="BP658" s="53"/>
      <c r="BQ658" s="53"/>
      <c r="BR658" s="53"/>
      <c r="BS658" s="53"/>
      <c r="BT658" s="53"/>
      <c r="BU658" s="53"/>
      <c r="BV658" s="53"/>
      <c r="BW658" s="53"/>
      <c r="BX658" s="53"/>
      <c r="BY658" s="53"/>
      <c r="BZ658" s="53"/>
      <c r="CA658" s="53"/>
      <c r="CB658" s="53"/>
      <c r="CC658" s="53"/>
      <c r="CD658" s="53"/>
      <c r="CE658" s="53"/>
      <c r="CF658" s="53"/>
      <c r="CG658" s="53"/>
      <c r="CH658" s="53"/>
      <c r="CI658" s="53"/>
      <c r="CJ658" s="53"/>
      <c r="CK658" s="53"/>
      <c r="CL658" s="53"/>
      <c r="CM658" s="53"/>
      <c r="CN658" s="53"/>
      <c r="CO658" s="53"/>
      <c r="CP658" s="53"/>
      <c r="CQ658" s="53"/>
      <c r="CR658" s="1"/>
      <c r="CS658" s="1"/>
      <c r="CT658" s="1"/>
      <c r="CU658" s="1"/>
    </row>
    <row r="659" spans="1:99" s="13" customFormat="1" ht="12" customHeight="1" x14ac:dyDescent="0.2">
      <c r="A659" s="65">
        <v>43978</v>
      </c>
      <c r="B659" s="1" t="s">
        <v>969</v>
      </c>
      <c r="C659" s="1" t="s">
        <v>970</v>
      </c>
      <c r="D659" s="60">
        <v>2012</v>
      </c>
      <c r="E659" s="76">
        <v>2</v>
      </c>
      <c r="F659" s="60">
        <v>4</v>
      </c>
      <c r="G659" s="60">
        <v>4</v>
      </c>
      <c r="H659" s="60" t="s">
        <v>227</v>
      </c>
      <c r="I659" s="60" t="s">
        <v>330</v>
      </c>
      <c r="J659" s="60" t="s">
        <v>677</v>
      </c>
      <c r="K659" s="60">
        <f>IF(J659="syllables",1,IF(J659="trigrams",2,IF(J659="strings",3,IF(J659="visual array",4,IF(J659="characters",5,IF(J659="letters",6,IF(J659="free forms",7,IF(J659="odors",8,IF(J659="words",9,IF(J659="pictures",10,IF(J659="object pictures",11,IF(J659="faces",12,IF(J659="names",13,IF(J659="idioms",14,IF(J659="grades",15,IF(J659="syllable-digit pairs",16,IF(J659="trigram-word pairs",17,IF(J659="word-digit pairs",18,IF(J659="English-Swahili pairs",19,IF(J659="spatial position",20,IF(J659="word pairs",21,IF(J659="word triads",22,IF(J659="generated words",23,IF(J659="word definition pairs",24,IF(J659="math problems",25,IF(J659="famous faces",26,IF(J659="famous names",27,IF(J659="famous voices",28,IF(J659="television programs",29,IF(J659="race horses",30,IF(J659="new vocabulary",31,IF(J659="sentences",32,IF(J659="concepts",33,IF(J659="ad slides",34,IF(J659="scenes",35,IF(J659="famous scenes",36,IF(J659="poems",37,IF(J659="walk",38,IF(J659="faces and events",39,IF(J659="events and names",40,IF(J659="flashbulb",41,IF(J659="stories",42,IF(J659="course material",43,IF(J659="autobiographical",44,IF(J659="novels",45,IF(J659="public events",46,"99"))))))))))))))))))))))))))))))))))))))))))))))</f>
        <v>42</v>
      </c>
      <c r="L659" s="60">
        <f>IF(J659="syllables",1,IF(J659="trigrams",1,IF(J659="strings",1,IF(J659="visual array",1,IF(J659="characters",1,IF(J659="letters",1,IF(J659="free forms",1,IF(J659="odors",2,IF(J659="words",2,IF(J659="pictures",2,IF(J659="object pictures",2,IF(J659="faces",2,IF(J659="names",2,IF(J659="idioms","2",IF(J659="grades",2,IF(J659="syllable-digit pairs",3,IF(J659="trigram-word pairs",3,IF(J659="word-digit pairs",3,IF(J659="English-Swahili pairs",3,IF(J659="spatial position",3,IF(J659="word pairs",4,IF(J659="word triads",4,IF(J659="generated words",4,IF(J659="word definition pairs",4,IF(J659="math problems",4,IF(J659="famous faces",4,IF(J659="famous names",4,IF(J659="famous voices",4,IF(J659="television programs",4,IF(J659="race horses",4,IF(J659="new vocabulary",4,IF(J659="sentences",5,IF(J659="concepts",5,IF(J659="ad slides",5,IF(J659="scenes",5,IF(J659="famous scenes",5,IF(J659="poems",6,IF(J659="walk",6,IF(J659="faces and events",6,IF(J659="events and names",6,IF(J659="flashbulb",7,IF(J659="stories",7,IF(J659="course material",7,IF(J659="autobiographical",7,IF(J659="novels",7,IF(J659="public events",7,"99"))))))))))))))))))))))))))))))))))))))))))))))</f>
        <v>7</v>
      </c>
      <c r="M659" s="60">
        <v>1</v>
      </c>
      <c r="N659" s="61">
        <v>2</v>
      </c>
      <c r="O659" s="60">
        <v>0</v>
      </c>
      <c r="P659" s="60"/>
      <c r="Q659" s="60" t="s">
        <v>174</v>
      </c>
      <c r="R659" s="60">
        <f>IF(Q659="Free Recall",1,IF(Q659="Cued Recall",2,IF(Q659="Recognition",3,IF(Q659="Multiple Choice",4,IF(Q659="Savings",5,IF(Q659="Stem Completion",6,IF(Q659="Fragment Completion",7,IF(Q659="anagram solution",8,IF(Q659="Matching",9,IF(Q659="Problem Solving",10,"99"))))))))))</f>
        <v>1</v>
      </c>
      <c r="S659" s="60" t="s">
        <v>49</v>
      </c>
      <c r="T659" s="59" t="s">
        <v>581</v>
      </c>
      <c r="U659" s="60">
        <f>IF(T659="within",1,0)</f>
        <v>1</v>
      </c>
      <c r="V659" s="59">
        <v>32</v>
      </c>
      <c r="W659" s="60">
        <f>F659*V659</f>
        <v>128</v>
      </c>
      <c r="X659" s="60">
        <v>5</v>
      </c>
      <c r="Y659" s="76">
        <f>AV658</f>
        <v>30</v>
      </c>
      <c r="Z659" s="59" t="s">
        <v>273</v>
      </c>
      <c r="AA659" s="59">
        <f>60*60*24*30</f>
        <v>2592000</v>
      </c>
      <c r="AB659" s="60" t="str">
        <f>IF(AA659&lt;60,"1",IF(AA659&lt;=43200,"2",IF(AA659&lt;=777600,"3","4")))</f>
        <v>4</v>
      </c>
      <c r="AC659" s="56">
        <f>AVERAGE(AV658:DA658)</f>
        <v>777846</v>
      </c>
      <c r="AD659" s="60" t="str">
        <f>IF(AC659&lt;60,"1",IF(AC659&lt;=43200,"2",IF(AC659&lt;=777600,"3","4")))</f>
        <v>4</v>
      </c>
      <c r="AE659" s="76">
        <f>AA659-Y659</f>
        <v>2591970</v>
      </c>
      <c r="AF659" s="80">
        <f>AV659</f>
        <v>0.84870000000000001</v>
      </c>
      <c r="AG659" s="56">
        <f>((AW659-AV659)+(AX659-AW659)+(AY659-AX659)+(AZ659-AY659))/4</f>
        <v>-6.8950000000000011E-2</v>
      </c>
      <c r="AH659" s="4"/>
      <c r="AI659" s="56">
        <f>RSQ(AV659:AZ659,AV658:AZ658)</f>
        <v>0.26908496486897349</v>
      </c>
      <c r="AJ659" s="109">
        <f>SLOPE(AV659:AZ659,AV658:AZ658)</f>
        <v>-5.2452790560959109E-8</v>
      </c>
      <c r="AK659" s="56">
        <f>INTERCEPT(AV659:AZ659,AV658:AZ658)</f>
        <v>0.70245019332667991</v>
      </c>
      <c r="AL659" s="56">
        <f>INDEX(LINEST(LN(AV659:AZ659),LN(AV658:AZ658),TRUE,TRUE),3,1)</f>
        <v>0.4896514852088702</v>
      </c>
      <c r="AM659" s="56">
        <f>INDEX(LINEST(LN(AV659:AZ659),LN(AV658:AZ658)),1)</f>
        <v>-2.2122079847556309E-2</v>
      </c>
      <c r="AN659" s="56">
        <f>EXP(INDEX(LINEST(LN(AV659:AZ659),LN(AV658:AZ658)),1,2))</f>
        <v>0.82368025578961857</v>
      </c>
      <c r="AO659" s="82">
        <f>INDEX(LINEST((AV659:AZ659),LN(AV658:AZ658),TRUE,TRUE),3,1)</f>
        <v>0.51430447655498723</v>
      </c>
      <c r="AP659" s="82">
        <f>INDEX(LINEST((AV659:AZ659),LN(AV658:AZ658)),1)</f>
        <v>-1.6083755832188514E-2</v>
      </c>
      <c r="AQ659" s="83">
        <f>INDEX(LINEST(LN(AV659:AZ659),SQRT(AV658:AZ658),TRUE,TRUE),3,1)</f>
        <v>0.31484355875880704</v>
      </c>
      <c r="AR659" s="116">
        <f>INDEX(LINEST(LN(AV659:AZ659),SQRT((AV658:AZ658))),1)</f>
        <v>-1.2857572808017874E-4</v>
      </c>
      <c r="AS659" s="84">
        <f>INDEX(LINEST(1/(AV659:AZ659),1/(SQRT(AV658:AZ658)),TRUE,TRUE),3,1)</f>
        <v>0.77730645150325772</v>
      </c>
      <c r="AT659" s="84">
        <f>INDEX(LINEST(1/(AV659:AZ659),1/SQRT(AV658:AZ658)),1)</f>
        <v>-2.4718383474925285</v>
      </c>
      <c r="AU659" s="3"/>
      <c r="AV659" s="53">
        <f>(0.853+0.8444)/2</f>
        <v>0.84870000000000001</v>
      </c>
      <c r="AW659" s="53">
        <f>(0.5824+0.6)/2</f>
        <v>0.59119999999999995</v>
      </c>
      <c r="AX659" s="53">
        <f>(0.4706+0.8222)/2</f>
        <v>0.64640000000000009</v>
      </c>
      <c r="AY659" s="53">
        <f>(0.4314+0.8667)/2</f>
        <v>0.64905000000000002</v>
      </c>
      <c r="AZ659" s="53">
        <f>(0.3236+0.8222)/2</f>
        <v>0.57289999999999996</v>
      </c>
      <c r="BA659" s="53"/>
      <c r="BB659" s="53"/>
      <c r="BC659" s="53"/>
      <c r="BD659" s="53"/>
      <c r="BE659" s="53"/>
      <c r="BF659" s="53"/>
      <c r="BG659" s="53"/>
      <c r="BH659" s="53"/>
      <c r="BI659" s="53"/>
      <c r="BJ659" s="53"/>
      <c r="BK659" s="53"/>
      <c r="BL659" s="53"/>
      <c r="BM659" s="53"/>
      <c r="BN659" s="53"/>
      <c r="BO659" s="53"/>
      <c r="BP659" s="53"/>
      <c r="BQ659" s="53"/>
      <c r="BR659" s="53"/>
      <c r="BS659" s="53"/>
      <c r="BT659" s="53"/>
      <c r="BU659" s="53"/>
      <c r="BV659" s="53"/>
      <c r="BW659" s="53"/>
      <c r="BX659" s="53"/>
      <c r="BY659" s="53"/>
      <c r="BZ659" s="53"/>
      <c r="CA659" s="53"/>
      <c r="CB659" s="53"/>
      <c r="CC659" s="53"/>
      <c r="CD659" s="53"/>
      <c r="CE659" s="53"/>
      <c r="CF659" s="53"/>
      <c r="CG659" s="53"/>
      <c r="CH659" s="53"/>
      <c r="CI659" s="53"/>
      <c r="CJ659" s="53"/>
      <c r="CK659" s="53"/>
      <c r="CL659" s="53"/>
      <c r="CM659" s="53"/>
      <c r="CN659" s="53"/>
      <c r="CO659" s="53"/>
      <c r="CP659" s="53"/>
      <c r="CQ659" s="53"/>
      <c r="CR659" s="1"/>
      <c r="CS659" s="1"/>
      <c r="CT659" s="1"/>
      <c r="CU659" s="1"/>
    </row>
    <row r="660" spans="1:99" s="13" customFormat="1" ht="12" customHeight="1" x14ac:dyDescent="0.2">
      <c r="A660" s="65">
        <v>43978</v>
      </c>
      <c r="B660" s="1"/>
      <c r="C660" s="1"/>
      <c r="D660" s="60"/>
      <c r="E660" s="76"/>
      <c r="F660" s="60"/>
      <c r="G660" s="60"/>
      <c r="H660" s="60"/>
      <c r="I660" s="60"/>
      <c r="J660" s="60"/>
      <c r="K660" s="60"/>
      <c r="L660" s="60"/>
      <c r="M660" s="60"/>
      <c r="N660" s="61"/>
      <c r="O660" s="60"/>
      <c r="P660" s="60"/>
      <c r="Q660" s="60"/>
      <c r="R660" s="60"/>
      <c r="S660" s="60"/>
      <c r="T660" s="59"/>
      <c r="U660" s="60"/>
      <c r="V660" s="59"/>
      <c r="W660" s="60"/>
      <c r="X660" s="60"/>
      <c r="Y660" s="76"/>
      <c r="Z660" s="59"/>
      <c r="AA660" s="59"/>
      <c r="AB660" s="60"/>
      <c r="AC660" s="56"/>
      <c r="AD660" s="60"/>
      <c r="AE660" s="76"/>
      <c r="AF660" s="80"/>
      <c r="AG660" s="56"/>
      <c r="AH660" s="4"/>
      <c r="AI660" s="56"/>
      <c r="AJ660" s="109"/>
      <c r="AK660" s="56"/>
      <c r="AL660" s="56"/>
      <c r="AM660" s="56"/>
      <c r="AN660" s="56"/>
      <c r="AO660" s="82"/>
      <c r="AP660" s="82"/>
      <c r="AQ660" s="83"/>
      <c r="AR660" s="116"/>
      <c r="AS660" s="84"/>
      <c r="AT660" s="84"/>
      <c r="AU660" s="3"/>
      <c r="AV660" s="25">
        <v>30</v>
      </c>
      <c r="AW660" s="25">
        <f>60*20</f>
        <v>1200</v>
      </c>
      <c r="AX660" s="25">
        <f>60*60*24*4</f>
        <v>345600</v>
      </c>
      <c r="AY660" s="25">
        <f>60*60*24*11</f>
        <v>950400</v>
      </c>
      <c r="AZ660" s="25">
        <f>60*60*24*30</f>
        <v>2592000</v>
      </c>
      <c r="BA660" s="53"/>
      <c r="BB660" s="53"/>
      <c r="BC660" s="53"/>
      <c r="BD660" s="53"/>
      <c r="BE660" s="53"/>
      <c r="BF660" s="53"/>
      <c r="BG660" s="53"/>
      <c r="BH660" s="53"/>
      <c r="BI660" s="53"/>
      <c r="BJ660" s="53"/>
      <c r="BK660" s="53"/>
      <c r="BL660" s="53"/>
      <c r="BM660" s="53"/>
      <c r="BN660" s="53"/>
      <c r="BO660" s="53"/>
      <c r="BP660" s="53"/>
      <c r="BQ660" s="53"/>
      <c r="BR660" s="53"/>
      <c r="BS660" s="53"/>
      <c r="BT660" s="53"/>
      <c r="BU660" s="53"/>
      <c r="BV660" s="53"/>
      <c r="BW660" s="53"/>
      <c r="BX660" s="53"/>
      <c r="BY660" s="53"/>
      <c r="BZ660" s="53"/>
      <c r="CA660" s="53"/>
      <c r="CB660" s="53"/>
      <c r="CC660" s="53"/>
      <c r="CD660" s="53"/>
      <c r="CE660" s="53"/>
      <c r="CF660" s="53"/>
      <c r="CG660" s="53"/>
      <c r="CH660" s="53"/>
      <c r="CI660" s="53"/>
      <c r="CJ660" s="53"/>
      <c r="CK660" s="53"/>
      <c r="CL660" s="53"/>
      <c r="CM660" s="53"/>
      <c r="CN660" s="53"/>
      <c r="CO660" s="53"/>
      <c r="CP660" s="53"/>
      <c r="CQ660" s="53"/>
      <c r="CR660" s="1"/>
      <c r="CS660" s="1"/>
      <c r="CT660" s="1"/>
      <c r="CU660" s="1"/>
    </row>
    <row r="661" spans="1:99" s="13" customFormat="1" ht="12" customHeight="1" x14ac:dyDescent="0.2">
      <c r="A661" s="65">
        <v>43978</v>
      </c>
      <c r="B661" s="1" t="s">
        <v>969</v>
      </c>
      <c r="C661" s="1" t="s">
        <v>970</v>
      </c>
      <c r="D661" s="60">
        <v>2012</v>
      </c>
      <c r="E661" s="76">
        <v>2</v>
      </c>
      <c r="F661" s="60">
        <v>4</v>
      </c>
      <c r="G661" s="60">
        <v>4</v>
      </c>
      <c r="H661" s="60" t="s">
        <v>227</v>
      </c>
      <c r="I661" s="60" t="s">
        <v>330</v>
      </c>
      <c r="J661" s="60" t="s">
        <v>686</v>
      </c>
      <c r="K661" s="60">
        <f>IF(J661="syllables",1,IF(J661="trigrams",2,IF(J661="strings",3,IF(J661="visual array",4,IF(J661="characters",5,IF(J661="letters",6,IF(J661="free forms",7,IF(J661="odors",8,IF(J661="words",9,IF(J661="pictures",10,IF(J661="object pictures",11,IF(J661="faces",12,IF(J661="names",13,IF(J661="idioms",14,IF(J661="grades",15,IF(J661="syllable-digit pairs",16,IF(J661="trigram-word pairs",17,IF(J661="word-digit pairs",18,IF(J661="English-Swahili pairs",19,IF(J661="spatial position",20,IF(J661="word pairs",21,IF(J661="word triads",22,IF(J661="generated words",23,IF(J661="word definition pairs",24,IF(J661="math problems",25,IF(J661="famous faces",26,IF(J661="famous names",27,IF(J661="famous voices",28,IF(J661="television programs",29,IF(J661="race horses",30,IF(J661="new vocabulary",31,IF(J661="sentences",32,IF(J661="concepts",33,IF(J661="ad slides",34,IF(J661="scenes",35,IF(J661="famous scenes",36,IF(J661="poems",37,IF(J661="walk",38,IF(J661="faces and events",39,IF(J661="events and names",40,IF(J661="flashbulb",41,IF(J661="stories",42,IF(J661="course material",43,IF(J661="autobiographical",44,IF(J661="novels",45,IF(J661="public events",46,"99"))))))))))))))))))))))))))))))))))))))))))))))</f>
        <v>35</v>
      </c>
      <c r="L661" s="60">
        <f>IF(J661="syllables",1,IF(J661="trigrams",1,IF(J661="strings",1,IF(J661="visual array",1,IF(J661="characters",1,IF(J661="letters",1,IF(J661="free forms",1,IF(J661="odors",2,IF(J661="words",2,IF(J661="pictures",2,IF(J661="object pictures",2,IF(J661="faces",2,IF(J661="names",2,IF(J661="idioms","2",IF(J661="grades",2,IF(J661="syllable-digit pairs",3,IF(J661="trigram-word pairs",3,IF(J661="word-digit pairs",3,IF(J661="English-Swahili pairs",3,IF(J661="spatial position",3,IF(J661="word pairs",4,IF(J661="word triads",4,IF(J661="generated words",4,IF(J661="word definition pairs",4,IF(J661="math problems",4,IF(J661="famous faces",4,IF(J661="famous names",4,IF(J661="famous voices",4,IF(J661="television programs",4,IF(J661="race horses",4,IF(J661="new vocabulary",4,IF(J661="sentences",5,IF(J661="concepts",5,IF(J661="ad slides",5,IF(J661="scenes",5,IF(J661="famous scenes",5,IF(J661="poems",6,IF(J661="walk",6,IF(J661="faces and events",6,IF(J661="events and names",6,IF(J661="flashbulb",7,IF(J661="stories",7,IF(J661="course material",7,IF(J661="autobiographical",7,IF(J661="novels",7,IF(J661="public events",7,"99"))))))))))))))))))))))))))))))))))))))))))))))</f>
        <v>5</v>
      </c>
      <c r="M661" s="60">
        <v>1</v>
      </c>
      <c r="N661" s="61">
        <v>2</v>
      </c>
      <c r="O661" s="60">
        <v>0</v>
      </c>
      <c r="P661" s="60"/>
      <c r="Q661" s="60" t="s">
        <v>174</v>
      </c>
      <c r="R661" s="60">
        <f>IF(Q661="Free Recall",1,IF(Q661="Cued Recall",2,IF(Q661="Recognition",3,IF(Q661="Multiple Choice",4,IF(Q661="Savings",5,IF(Q661="Stem Completion",6,IF(Q661="Fragment Completion",7,IF(Q661="anagram solution",8,IF(Q661="Matching",9,IF(Q661="Problem Solving",10,"99"))))))))))</f>
        <v>1</v>
      </c>
      <c r="S661" s="60" t="s">
        <v>49</v>
      </c>
      <c r="T661" s="59" t="s">
        <v>581</v>
      </c>
      <c r="U661" s="60">
        <f>IF(T661="within",1,0)</f>
        <v>1</v>
      </c>
      <c r="V661" s="59">
        <v>32</v>
      </c>
      <c r="W661" s="60">
        <f>F661*V661</f>
        <v>128</v>
      </c>
      <c r="X661" s="60">
        <v>5</v>
      </c>
      <c r="Y661" s="76">
        <f>AV660</f>
        <v>30</v>
      </c>
      <c r="Z661" s="59" t="s">
        <v>273</v>
      </c>
      <c r="AA661" s="59">
        <f>60*60*24*30</f>
        <v>2592000</v>
      </c>
      <c r="AB661" s="60" t="str">
        <f>IF(AA661&lt;60,"1",IF(AA661&lt;=43200,"2",IF(AA661&lt;=777600,"3","4")))</f>
        <v>4</v>
      </c>
      <c r="AC661" s="56">
        <f>AVERAGE(AV660:DA660)</f>
        <v>777846</v>
      </c>
      <c r="AD661" s="60" t="str">
        <f>IF(AC661&lt;60,"1",IF(AC661&lt;=43200,"2",IF(AC661&lt;=777600,"3","4")))</f>
        <v>4</v>
      </c>
      <c r="AE661" s="76">
        <f>AA661-Y661</f>
        <v>2591970</v>
      </c>
      <c r="AF661" s="80">
        <f>AV661</f>
        <v>0.85940000000000005</v>
      </c>
      <c r="AG661" s="56">
        <f>((AW661-AV661)+(AX661-AW661)+(AY661-AX661)+(AZ661-AY661))/4</f>
        <v>-0.12052500000000001</v>
      </c>
      <c r="AH661" s="4"/>
      <c r="AI661" s="56">
        <f>RSQ(AV661:AZ661,AV660:AZ660)</f>
        <v>0.80176590865227393</v>
      </c>
      <c r="AJ661" s="109">
        <f>SLOPE(AV661:AZ661,AV660:AZ660)</f>
        <v>-1.7254826016803393E-7</v>
      </c>
      <c r="AK661" s="56">
        <f>INTERCEPT(AV661:AZ661,AV660:AZ660)</f>
        <v>0.77845597397866451</v>
      </c>
      <c r="AL661" s="56">
        <f>INDEX(LINEST(LN(AV661:AZ661),LN(AV660:AZ660),TRUE,TRUE),3,1)</f>
        <v>0.81043467094826593</v>
      </c>
      <c r="AM661" s="56">
        <f>INDEX(LINEST(LN(AV661:AZ661),LN(AV660:AZ660)),1)</f>
        <v>-6.3602407780228104E-2</v>
      </c>
      <c r="AN661" s="56">
        <f>EXP(INDEX(LINEST(LN(AV661:AZ661),LN(AV660:AZ660)),1,2))</f>
        <v>1.1890254523716046</v>
      </c>
      <c r="AO661" s="82">
        <f>INDEX(LINEST((AV661:AZ661),LN(AV660:AZ660),TRUE,TRUE),3,1)</f>
        <v>0.87765579099732849</v>
      </c>
      <c r="AP661" s="82">
        <f>INDEX(LINEST((AV661:AZ661),LN(AV660:AZ660)),1)</f>
        <v>-4.0040762582998088E-2</v>
      </c>
      <c r="AQ661" s="83">
        <f>INDEX(LINEST(LN(AV661:AZ661),SQRT(AV660:AZ660),TRUE,TRUE),3,1)</f>
        <v>0.99292947730461012</v>
      </c>
      <c r="AR661" s="116">
        <f>INDEX(LINEST(LN(AV661:AZ661),SQRT((AV660:AZ660))),1)</f>
        <v>-5.102733901528806E-4</v>
      </c>
      <c r="AS661" s="84">
        <f>INDEX(LINEST(1/(AV661:AZ661),1/(SQRT(AV660:AZ660)),TRUE,TRUE),3,1)</f>
        <v>0.34570417637522866</v>
      </c>
      <c r="AT661" s="84">
        <f>INDEX(LINEST(1/(AV661:AZ661),1/SQRT(AV660:AZ660)),1)</f>
        <v>-4.5622120232244221</v>
      </c>
      <c r="AU661" s="3"/>
      <c r="AV661" s="53">
        <v>0.85940000000000005</v>
      </c>
      <c r="AW661" s="53">
        <v>0.85160000000000002</v>
      </c>
      <c r="AX661" s="53">
        <v>0.60160000000000002</v>
      </c>
      <c r="AY661" s="53">
        <v>0.53129999999999999</v>
      </c>
      <c r="AZ661" s="53">
        <v>0.37730000000000002</v>
      </c>
      <c r="BA661" s="53"/>
      <c r="BB661" s="53"/>
      <c r="BC661" s="53"/>
      <c r="BD661" s="53"/>
      <c r="BE661" s="53"/>
      <c r="BF661" s="53"/>
      <c r="BG661" s="53"/>
      <c r="BH661" s="53"/>
      <c r="BI661" s="53"/>
      <c r="BJ661" s="53"/>
      <c r="BK661" s="53"/>
      <c r="BL661" s="53"/>
      <c r="BM661" s="53"/>
      <c r="BN661" s="53"/>
      <c r="BO661" s="53"/>
      <c r="BP661" s="53"/>
      <c r="BQ661" s="53"/>
      <c r="BR661" s="53"/>
      <c r="BS661" s="53"/>
      <c r="BT661" s="53"/>
      <c r="BU661" s="53"/>
      <c r="BV661" s="53"/>
      <c r="BW661" s="53"/>
      <c r="BX661" s="53"/>
      <c r="BY661" s="53"/>
      <c r="BZ661" s="53"/>
      <c r="CA661" s="53"/>
      <c r="CB661" s="53"/>
      <c r="CC661" s="53"/>
      <c r="CD661" s="53"/>
      <c r="CE661" s="53"/>
      <c r="CF661" s="53"/>
      <c r="CG661" s="53"/>
      <c r="CH661" s="53"/>
      <c r="CI661" s="53"/>
      <c r="CJ661" s="53"/>
      <c r="CK661" s="53"/>
      <c r="CL661" s="53"/>
      <c r="CM661" s="53"/>
      <c r="CN661" s="53"/>
      <c r="CO661" s="53"/>
      <c r="CP661" s="53"/>
      <c r="CQ661" s="53"/>
      <c r="CR661" s="1"/>
      <c r="CS661" s="1"/>
      <c r="CT661" s="1"/>
      <c r="CU661" s="1"/>
    </row>
    <row r="662" spans="1:99" s="13" customFormat="1" ht="12" customHeight="1" x14ac:dyDescent="0.2">
      <c r="A662" s="68">
        <v>43509</v>
      </c>
      <c r="B662" s="70"/>
      <c r="C662" s="70"/>
      <c r="D662" s="69"/>
      <c r="E662" s="87"/>
      <c r="F662" s="69"/>
      <c r="G662" s="69"/>
      <c r="H662" s="69"/>
      <c r="I662" s="69"/>
      <c r="J662" s="69"/>
      <c r="K662" s="107"/>
      <c r="L662" s="107"/>
      <c r="M662" s="69"/>
      <c r="N662" s="69"/>
      <c r="O662" s="69"/>
      <c r="P662" s="69"/>
      <c r="Q662" s="69"/>
      <c r="R662" s="69"/>
      <c r="S662" s="69"/>
      <c r="T662" s="69"/>
      <c r="U662" s="69"/>
      <c r="V662" s="69"/>
      <c r="W662" s="69"/>
      <c r="X662" s="69"/>
      <c r="Y662" s="87"/>
      <c r="Z662" s="69"/>
      <c r="AA662" s="69"/>
      <c r="AB662" s="69"/>
      <c r="AC662" s="69"/>
      <c r="AD662" s="69"/>
      <c r="AE662" s="69"/>
      <c r="AF662" s="88"/>
      <c r="AG662" s="72"/>
      <c r="AH662" s="4"/>
      <c r="AI662" s="72"/>
      <c r="AJ662" s="110"/>
      <c r="AK662" s="72"/>
      <c r="AL662" s="72"/>
      <c r="AM662" s="72"/>
      <c r="AN662" s="72"/>
      <c r="AO662" s="72"/>
      <c r="AP662" s="72"/>
      <c r="AQ662" s="72"/>
      <c r="AR662" s="110"/>
      <c r="AS662" s="72"/>
      <c r="AT662" s="72"/>
      <c r="AU662" s="4"/>
      <c r="AV662" s="71">
        <f>2*60</f>
        <v>120</v>
      </c>
      <c r="AW662" s="71">
        <f>20*60</f>
        <v>1200</v>
      </c>
      <c r="AX662" s="71">
        <f>45*60</f>
        <v>2700</v>
      </c>
      <c r="AY662" s="71">
        <f>24*3600*1</f>
        <v>86400</v>
      </c>
      <c r="AZ662" s="71">
        <f>24*3600*7</f>
        <v>604800</v>
      </c>
      <c r="BA662" s="42"/>
      <c r="BB662" s="42"/>
      <c r="BC662" s="42"/>
      <c r="BD662" s="42"/>
      <c r="BE662" s="42"/>
      <c r="BF662" s="42"/>
      <c r="BG662" s="4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1"/>
      <c r="CS662" s="1"/>
      <c r="CT662" s="1"/>
      <c r="CU662" s="1"/>
    </row>
    <row r="663" spans="1:99" s="13" customFormat="1" ht="12" customHeight="1" x14ac:dyDescent="0.2">
      <c r="A663" s="68">
        <v>43509</v>
      </c>
      <c r="B663" s="70" t="s">
        <v>116</v>
      </c>
      <c r="C663" s="70" t="s">
        <v>19</v>
      </c>
      <c r="D663" s="69">
        <v>1963</v>
      </c>
      <c r="E663" s="87">
        <v>1</v>
      </c>
      <c r="F663" s="69">
        <v>48</v>
      </c>
      <c r="G663" s="69">
        <v>8</v>
      </c>
      <c r="H663" s="69" t="s">
        <v>50</v>
      </c>
      <c r="I663" s="69" t="s">
        <v>717</v>
      </c>
      <c r="J663" s="69" t="s">
        <v>90</v>
      </c>
      <c r="K663" s="69">
        <f>IF(J663="syllables",1,IF(J663="trigrams",2,IF(J663="strings",3,IF(J663="visual array",4,IF(J663="characters",5,IF(J663="letters",6,IF(J663="free forms",7,IF(J663="odors",8,IF(J663="words",9,IF(J663="pictures",10,IF(J663="object pictures",11,IF(J663="faces",12,IF(J663="names",13,IF(J663="idioms",14,IF(J663="grades",15,IF(J663="syllable-digit pairs",16,IF(J663="trigram-word pairs",17,IF(J663="word-digit pairs",18,IF(J663="English-Swahili pairs",19,IF(J663="spatial position",20,IF(J663="word pairs",21,IF(J663="word triads",22,IF(J663="generated words",23,IF(J663="word definition pairs",24,IF(J663="math problems",25,IF(J663="famous faces",26,IF(J663="famous names",27,IF(J663="famous voices",28,IF(J663="television programs",29,IF(J663="race horses",30,IF(J663="new vocabulary",31,IF(J663="sentences",32,IF(J663="concepts",33,IF(J663="ad slides",34,IF(J663="scenes",35,IF(J663="famous scenes",36,IF(J663="poems",37,IF(J663="walk",38,IF(J663="faces and events",39,IF(J663="events and names",40,IF(J663="flashbulb",41,IF(J663="stories",42,IF(J663="course material",43,IF(J663="autobiographical",44,IF(J663="novels",45,IF(J663="public events",46,"99"))))))))))))))))))))))))))))))))))))))))))))))</f>
        <v>18</v>
      </c>
      <c r="L663" s="69">
        <f>IF(J663="syllables",1,IF(J663="trigrams",1,IF(J663="strings",1,IF(J663="visual array",1,IF(J663="characters",1,IF(J663="letters",1,IF(J663="free forms",1,IF(J663="odors",2,IF(J663="words",2,IF(J663="pictures",2,IF(J663="object pictures",2,IF(J663="faces",2,IF(J663="names",2,IF(J663="idioms","2",IF(J663="grades",2,IF(J663="syllable-digit pairs",3,IF(J663="trigram-word pairs",3,IF(J663="word-digit pairs",3,IF(J663="English-Swahili pairs",3,IF(J663="spatial position",3,IF(J663="word pairs",4,IF(J663="word triads",4,IF(J663="generated words",4,IF(J663="word definition pairs",4,IF(J663="math problems",4,IF(J663="famous faces",4,IF(J663="famous names",4,IF(J663="famous voices",4,IF(J663="television programs",4,IF(J663="race horses",4,IF(J663="new vocabulary",4,IF(J663="sentences",5,IF(J663="concepts",5,IF(J663="ad slides",5,IF(J663="scenes",5,IF(J663="famous scenes",5,IF(J663="poems",6,IF(J663="walk",6,IF(J663="faces and events",6,IF(J663="events and names",6,IF(J663="flashbulb",7,IF(J663="stories",7,IF(J663="course material",7,IF(J663="autobiographical",7,IF(J663="novels",7,IF(J663="public events",7,"99"))))))))))))))))))))))))))))))))))))))))))))))</f>
        <v>3</v>
      </c>
      <c r="M663" s="69">
        <v>0</v>
      </c>
      <c r="N663" s="69">
        <v>1</v>
      </c>
      <c r="O663" s="69">
        <v>0</v>
      </c>
      <c r="P663" s="69"/>
      <c r="Q663" s="69" t="s">
        <v>65</v>
      </c>
      <c r="R663" s="69">
        <f>IF(Q663="Free Recall",1,IF(Q663="Cued Recall",2,IF(Q663="Recognition",3,IF(Q663="Multiple Choice",4,IF(Q663="Savings",5,IF(Q663="Stem Completion",6,IF(Q663="Fragment Completion",7,IF(Q663="anagram solution",8,IF(Q663="Matching",9,IF(Q663="Problem Solving",10,"99"))))))))))</f>
        <v>2</v>
      </c>
      <c r="S663" s="69" t="s">
        <v>49</v>
      </c>
      <c r="T663" s="69" t="s">
        <v>261</v>
      </c>
      <c r="U663" s="69">
        <f>IF(T663="within",1,0)</f>
        <v>0</v>
      </c>
      <c r="V663" s="69">
        <v>8</v>
      </c>
      <c r="W663" s="69">
        <f>F663*V663</f>
        <v>384</v>
      </c>
      <c r="X663" s="69">
        <v>5</v>
      </c>
      <c r="Y663" s="87">
        <f>AV662</f>
        <v>120</v>
      </c>
      <c r="Z663" s="69" t="s">
        <v>97</v>
      </c>
      <c r="AA663" s="69">
        <v>604800</v>
      </c>
      <c r="AB663" s="69" t="str">
        <f>IF(AA663&lt;60,"1",IF(AA663&lt;=43200,"2",IF(AA663&lt;=777600,"3","4")))</f>
        <v>3</v>
      </c>
      <c r="AC663" s="72">
        <f>AVERAGE(AV662:DA662)</f>
        <v>139044</v>
      </c>
      <c r="AD663" s="69" t="str">
        <f>IF(AC663&lt;60,"1",IF(AC663&lt;=43200,"2",IF(AC663&lt;=777600,"3","4")))</f>
        <v>3</v>
      </c>
      <c r="AE663" s="87">
        <f>AA663-Y663</f>
        <v>604680</v>
      </c>
      <c r="AF663" s="88">
        <f>AV663</f>
        <v>0.08</v>
      </c>
      <c r="AG663" s="72">
        <f>((AW663-AV663)+(AX663-AW663)+(AY663-AX663)+(AZ663-AY663))/4</f>
        <v>8.249999999999999E-2</v>
      </c>
      <c r="AH663" s="4"/>
      <c r="AI663" s="72">
        <f>RSQ(AV663:AZ663,AV662:AZ662)</f>
        <v>0.28269086469752641</v>
      </c>
      <c r="AJ663" s="110">
        <f>SLOPE(AV663:AZ663,AV662:AZ662)</f>
        <v>2.9090579128176586E-7</v>
      </c>
      <c r="AK663" s="72">
        <f>INTERCEPT(AV663:AZ663,AV662:AZ662)</f>
        <v>0.24955129515701813</v>
      </c>
      <c r="AL663" s="72">
        <f>INDEX(LINEST(LN(AV663:AZ663),LN(AV662:AZ662),TRUE,TRUE),3,1)</f>
        <v>0.68482611650794256</v>
      </c>
      <c r="AM663" s="72">
        <f>INDEX(LINEST(LN(AV663:AZ663),LN(AV662:AZ662)),1)</f>
        <v>0.16873366231066403</v>
      </c>
      <c r="AN663" s="72">
        <f>EXP(INDEX(LINEST(LN(AV663:AZ663),LN(AV662:AZ662)),1,2))</f>
        <v>5.5426479942950808E-2</v>
      </c>
      <c r="AO663" s="89">
        <f>INDEX(LINEST((AV663:AZ663),LN(AV662:AZ662),TRUE,TRUE),3,1)</f>
        <v>0.73632976684825191</v>
      </c>
      <c r="AP663" s="89">
        <f>INDEX(LINEST((AV663:AZ663),LN(AV662:AZ662)),1)</f>
        <v>3.6115642237007008E-2</v>
      </c>
      <c r="AQ663" s="90">
        <f>INDEX(LINEST(LN(AV663:AZ663),SQRT(AV662:AZ662),TRUE,TRUE),3,1)</f>
        <v>0.32539765106488061</v>
      </c>
      <c r="AR663" s="117">
        <f>INDEX(LINEST(LN(AV663:AZ663),SQRT((AV662:AZ662))),1)</f>
        <v>1.2243637295315498E-3</v>
      </c>
      <c r="AS663" s="91">
        <f>INDEX(LINEST(1/(AV663:AZ663),1/(SQRT(AV662:AZ662)),TRUE,TRUE),3,1)</f>
        <v>0.96795727581592161</v>
      </c>
      <c r="AT663" s="91">
        <f>INDEX(LINEST(1/(AV663:AZ663),1/SQRT(AV662:AZ662)),1)</f>
        <v>115.20814795557294</v>
      </c>
      <c r="AU663" s="3"/>
      <c r="AV663" s="73">
        <v>0.08</v>
      </c>
      <c r="AW663" s="73">
        <v>0.2</v>
      </c>
      <c r="AX663" s="73">
        <v>0.38</v>
      </c>
      <c r="AY663" s="73">
        <v>0.38</v>
      </c>
      <c r="AZ663" s="73">
        <v>0.41</v>
      </c>
      <c r="BA663" s="42"/>
      <c r="BB663" s="4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1"/>
      <c r="CS663" s="1"/>
      <c r="CT663" s="1"/>
      <c r="CU663" s="1"/>
    </row>
    <row r="664" spans="1:99" s="13" customFormat="1" ht="12" customHeight="1" x14ac:dyDescent="0.2">
      <c r="A664" s="68">
        <v>43509</v>
      </c>
      <c r="B664" s="70"/>
      <c r="C664" s="70"/>
      <c r="D664" s="69"/>
      <c r="E664" s="87"/>
      <c r="F664" s="69"/>
      <c r="G664" s="69"/>
      <c r="H664" s="69"/>
      <c r="I664" s="69"/>
      <c r="J664" s="69"/>
      <c r="K664" s="107"/>
      <c r="L664" s="107"/>
      <c r="M664" s="69"/>
      <c r="N664" s="69"/>
      <c r="O664" s="69"/>
      <c r="P664" s="69"/>
      <c r="Q664" s="69"/>
      <c r="R664" s="69"/>
      <c r="S664" s="69"/>
      <c r="T664" s="69"/>
      <c r="U664" s="69"/>
      <c r="V664" s="69"/>
      <c r="W664" s="69"/>
      <c r="X664" s="69"/>
      <c r="Y664" s="87"/>
      <c r="Z664" s="69"/>
      <c r="AA664" s="69"/>
      <c r="AB664" s="69"/>
      <c r="AC664" s="69"/>
      <c r="AD664" s="69"/>
      <c r="AE664" s="69"/>
      <c r="AF664" s="88"/>
      <c r="AG664" s="72"/>
      <c r="AH664" s="4"/>
      <c r="AI664" s="72"/>
      <c r="AJ664" s="110"/>
      <c r="AK664" s="72"/>
      <c r="AL664" s="72"/>
      <c r="AM664" s="72"/>
      <c r="AN664" s="72"/>
      <c r="AO664" s="72"/>
      <c r="AP664" s="72"/>
      <c r="AQ664" s="72"/>
      <c r="AR664" s="110"/>
      <c r="AS664" s="72"/>
      <c r="AT664" s="72"/>
      <c r="AU664" s="4"/>
      <c r="AV664" s="71">
        <f>2*60</f>
        <v>120</v>
      </c>
      <c r="AW664" s="71">
        <f>20*60</f>
        <v>1200</v>
      </c>
      <c r="AX664" s="71">
        <f>45*60</f>
        <v>2700</v>
      </c>
      <c r="AY664" s="71">
        <f>24*3600*1</f>
        <v>86400</v>
      </c>
      <c r="AZ664" s="71">
        <f>24*3600*7</f>
        <v>604800</v>
      </c>
      <c r="BA664" s="42"/>
      <c r="BB664" s="4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1"/>
      <c r="CS664" s="1"/>
      <c r="CT664" s="1"/>
      <c r="CU664" s="1"/>
    </row>
    <row r="665" spans="1:99" s="13" customFormat="1" ht="12" customHeight="1" x14ac:dyDescent="0.2">
      <c r="A665" s="68">
        <v>43509</v>
      </c>
      <c r="B665" s="70" t="s">
        <v>116</v>
      </c>
      <c r="C665" s="70" t="s">
        <v>19</v>
      </c>
      <c r="D665" s="69">
        <v>1963</v>
      </c>
      <c r="E665" s="87">
        <v>1</v>
      </c>
      <c r="F665" s="69">
        <v>48</v>
      </c>
      <c r="G665" s="69">
        <v>8</v>
      </c>
      <c r="H665" s="69" t="s">
        <v>50</v>
      </c>
      <c r="I665" s="69" t="s">
        <v>718</v>
      </c>
      <c r="J665" s="69" t="s">
        <v>90</v>
      </c>
      <c r="K665" s="69">
        <f>IF(J665="syllables",1,IF(J665="trigrams",2,IF(J665="strings",3,IF(J665="visual array",4,IF(J665="characters",5,IF(J665="letters",6,IF(J665="free forms",7,IF(J665="odors",8,IF(J665="words",9,IF(J665="pictures",10,IF(J665="object pictures",11,IF(J665="faces",12,IF(J665="names",13,IF(J665="idioms",14,IF(J665="grades",15,IF(J665="syllable-digit pairs",16,IF(J665="trigram-word pairs",17,IF(J665="word-digit pairs",18,IF(J665="English-Swahili pairs",19,IF(J665="spatial position",20,IF(J665="word pairs",21,IF(J665="word triads",22,IF(J665="generated words",23,IF(J665="word definition pairs",24,IF(J665="math problems",25,IF(J665="famous faces",26,IF(J665="famous names",27,IF(J665="famous voices",28,IF(J665="television programs",29,IF(J665="race horses",30,IF(J665="new vocabulary",31,IF(J665="sentences",32,IF(J665="concepts",33,IF(J665="ad slides",34,IF(J665="scenes",35,IF(J665="famous scenes",36,IF(J665="poems",37,IF(J665="walk",38,IF(J665="faces and events",39,IF(J665="events and names",40,IF(J665="flashbulb",41,IF(J665="stories",42,IF(J665="course material",43,IF(J665="autobiographical",44,IF(J665="novels",45,IF(J665="public events",46,"99"))))))))))))))))))))))))))))))))))))))))))))))</f>
        <v>18</v>
      </c>
      <c r="L665" s="69">
        <f>IF(J665="syllables",1,IF(J665="trigrams",1,IF(J665="strings",1,IF(J665="visual array",1,IF(J665="characters",1,IF(J665="letters",1,IF(J665="free forms",1,IF(J665="odors",2,IF(J665="words",2,IF(J665="pictures",2,IF(J665="object pictures",2,IF(J665="faces",2,IF(J665="names",2,IF(J665="idioms","2",IF(J665="grades",2,IF(J665="syllable-digit pairs",3,IF(J665="trigram-word pairs",3,IF(J665="word-digit pairs",3,IF(J665="English-Swahili pairs",3,IF(J665="spatial position",3,IF(J665="word pairs",4,IF(J665="word triads",4,IF(J665="generated words",4,IF(J665="word definition pairs",4,IF(J665="math problems",4,IF(J665="famous faces",4,IF(J665="famous names",4,IF(J665="famous voices",4,IF(J665="television programs",4,IF(J665="race horses",4,IF(J665="new vocabulary",4,IF(J665="sentences",5,IF(J665="concepts",5,IF(J665="ad slides",5,IF(J665="scenes",5,IF(J665="famous scenes",5,IF(J665="poems",6,IF(J665="walk",6,IF(J665="faces and events",6,IF(J665="events and names",6,IF(J665="flashbulb",7,IF(J665="stories",7,IF(J665="course material",7,IF(J665="autobiographical",7,IF(J665="novels",7,IF(J665="public events",7,"99"))))))))))))))))))))))))))))))))))))))))))))))</f>
        <v>3</v>
      </c>
      <c r="M665" s="69">
        <v>0</v>
      </c>
      <c r="N665" s="69">
        <v>1</v>
      </c>
      <c r="O665" s="69">
        <v>0</v>
      </c>
      <c r="P665" s="69"/>
      <c r="Q665" s="69" t="s">
        <v>65</v>
      </c>
      <c r="R665" s="69">
        <f>IF(Q665="Free Recall",1,IF(Q665="Cued Recall",2,IF(Q665="Recognition",3,IF(Q665="Multiple Choice",4,IF(Q665="Savings",5,IF(Q665="Stem Completion",6,IF(Q665="Fragment Completion",7,IF(Q665="anagram solution",8,IF(Q665="Matching",9,IF(Q665="Problem Solving",10,"99"))))))))))</f>
        <v>2</v>
      </c>
      <c r="S665" s="69" t="s">
        <v>49</v>
      </c>
      <c r="T665" s="69" t="s">
        <v>261</v>
      </c>
      <c r="U665" s="69">
        <f>IF(T665="within",1,0)</f>
        <v>0</v>
      </c>
      <c r="V665" s="69">
        <v>8</v>
      </c>
      <c r="W665" s="69">
        <f>F665*V665</f>
        <v>384</v>
      </c>
      <c r="X665" s="69">
        <v>5</v>
      </c>
      <c r="Y665" s="87">
        <f>AV664</f>
        <v>120</v>
      </c>
      <c r="Z665" s="69" t="s">
        <v>97</v>
      </c>
      <c r="AA665" s="69">
        <v>604800</v>
      </c>
      <c r="AB665" s="69" t="str">
        <f>IF(AA665&lt;60,"1",IF(AA665&lt;=43200,"2",IF(AA665&lt;=777600,"3","4")))</f>
        <v>3</v>
      </c>
      <c r="AC665" s="72">
        <f>AVERAGE(AV664:DA664)</f>
        <v>139044</v>
      </c>
      <c r="AD665" s="69" t="str">
        <f>IF(AC665&lt;60,"1",IF(AC665&lt;=43200,"2",IF(AC665&lt;=777600,"3","4")))</f>
        <v>3</v>
      </c>
      <c r="AE665" s="87">
        <f>AA665-Y665</f>
        <v>604680</v>
      </c>
      <c r="AF665" s="88">
        <f>AV665</f>
        <v>0.45</v>
      </c>
      <c r="AG665" s="72">
        <f>((AW665-AV665)+(AX665-AW665)+(AY665-AX665)+(AZ665-AY665))/4</f>
        <v>-0.11225</v>
      </c>
      <c r="AH665" s="4"/>
      <c r="AI665" s="72">
        <f>RSQ(AV665:AZ665,AV664:AZ664)</f>
        <v>0.40518541764186922</v>
      </c>
      <c r="AJ665" s="110">
        <f>SLOPE(AV665:AZ665,AV664:AZ664)</f>
        <v>-4.0600589558657832E-7</v>
      </c>
      <c r="AK665" s="72">
        <f>INTERCEPT(AV665:AZ665,AV664:AZ664)</f>
        <v>0.2346526837459402</v>
      </c>
      <c r="AL665" s="72">
        <f>INDEX(LINEST(LN(AV665:AZ665),LN(AV664:AZ664),TRUE,TRUE),3,1)</f>
        <v>0.69846359793365875</v>
      </c>
      <c r="AM665" s="72">
        <f>INDEX(LINEST(LN(AV665:AZ665),LN(AV664:AZ664)),1)</f>
        <v>-0.58855774879787159</v>
      </c>
      <c r="AN665" s="72">
        <f>EXP(INDEX(LINEST(LN(AV665:AZ665),LN(AV664:AZ664)),1,2))</f>
        <v>12.453119511466605</v>
      </c>
      <c r="AO665" s="89">
        <f>INDEX(LINEST((AV665:AZ665),LN(AV664:AZ664),TRUE,TRUE),3,1)</f>
        <v>0.77930984220496657</v>
      </c>
      <c r="AP665" s="89">
        <f>INDEX(LINEST((AV665:AZ665),LN(AV664:AZ664)),1)</f>
        <v>-4.3313492182956492E-2</v>
      </c>
      <c r="AQ665" s="90">
        <f>INDEX(LINEST(LN(AV665:AZ665),SQRT(AV664:AZ664),TRUE,TRUE),3,1)</f>
        <v>0.92040349407198008</v>
      </c>
      <c r="AR665" s="117">
        <f>INDEX(LINEST(LN(AV665:AZ665),SQRT((AV664:AZ664))),1)</f>
        <v>-7.112102317336705E-3</v>
      </c>
      <c r="AS665" s="91">
        <f>INDEX(LINEST(1/(AV665:AZ665),1/(SQRT(AV664:AZ664)),TRUE,TRUE),3,1)</f>
        <v>0.17960823276110982</v>
      </c>
      <c r="AT665" s="91">
        <f>INDEX(LINEST(1/(AV665:AZ665),1/SQRT(AV664:AZ664)),1)</f>
        <v>-5128.573209877417</v>
      </c>
      <c r="AU665" s="3"/>
      <c r="AV665" s="73">
        <v>0.45</v>
      </c>
      <c r="AW665" s="73">
        <v>0.2</v>
      </c>
      <c r="AX665" s="73">
        <v>0.12</v>
      </c>
      <c r="AY665" s="73">
        <v>0.12</v>
      </c>
      <c r="AZ665" s="73">
        <v>1E-3</v>
      </c>
      <c r="BA665" s="42"/>
      <c r="BB665" s="4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1"/>
      <c r="CS665" s="1"/>
      <c r="CT665" s="1"/>
      <c r="CU665" s="1"/>
    </row>
    <row r="666" spans="1:99" s="13" customFormat="1" ht="12" customHeight="1" x14ac:dyDescent="0.2">
      <c r="A666" s="65">
        <v>43509</v>
      </c>
      <c r="B666" s="1"/>
      <c r="C666" s="1"/>
      <c r="D666" s="60"/>
      <c r="E666" s="76"/>
      <c r="F666" s="60"/>
      <c r="G666" s="60"/>
      <c r="H666" s="60"/>
      <c r="I666" s="60"/>
      <c r="J666" s="60"/>
      <c r="K666" s="64"/>
      <c r="L666" s="64"/>
      <c r="M666" s="60"/>
      <c r="N666" s="60"/>
      <c r="O666" s="60"/>
      <c r="P666" s="60"/>
      <c r="Q666" s="60"/>
      <c r="R666" s="60"/>
      <c r="S666" s="60"/>
      <c r="T666" s="60"/>
      <c r="U666" s="60"/>
      <c r="V666" s="60"/>
      <c r="W666" s="60"/>
      <c r="X666" s="60"/>
      <c r="Y666" s="76"/>
      <c r="Z666" s="60"/>
      <c r="AA666" s="60"/>
      <c r="AB666" s="60"/>
      <c r="AC666" s="60"/>
      <c r="AD666" s="60"/>
      <c r="AE666" s="60"/>
      <c r="AF666" s="80"/>
      <c r="AG666" s="56"/>
      <c r="AH666" s="4"/>
      <c r="AI666" s="56"/>
      <c r="AJ666" s="109"/>
      <c r="AK666" s="56"/>
      <c r="AL666" s="56"/>
      <c r="AM666" s="56"/>
      <c r="AN666" s="56"/>
      <c r="AO666" s="56"/>
      <c r="AP666" s="56"/>
      <c r="AQ666" s="56"/>
      <c r="AR666" s="109"/>
      <c r="AS666" s="56"/>
      <c r="AT666" s="56"/>
      <c r="AU666" s="4"/>
      <c r="AV666" s="25">
        <f>2*60</f>
        <v>120</v>
      </c>
      <c r="AW666" s="25">
        <f>20*60</f>
        <v>1200</v>
      </c>
      <c r="AX666" s="25">
        <f>24*3600*7</f>
        <v>604800</v>
      </c>
      <c r="AY666" s="42"/>
      <c r="AZ666" s="46"/>
      <c r="BA666" s="42"/>
      <c r="BB666" s="4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1"/>
      <c r="CS666" s="1"/>
      <c r="CT666" s="1"/>
      <c r="CU666" s="1"/>
    </row>
    <row r="667" spans="1:99" s="13" customFormat="1" ht="12" customHeight="1" x14ac:dyDescent="0.2">
      <c r="A667" s="65">
        <v>43509</v>
      </c>
      <c r="B667" s="1" t="s">
        <v>117</v>
      </c>
      <c r="C667" s="1" t="s">
        <v>19</v>
      </c>
      <c r="D667" s="60">
        <v>1964</v>
      </c>
      <c r="E667" s="76">
        <v>1</v>
      </c>
      <c r="F667" s="60">
        <v>36</v>
      </c>
      <c r="G667" s="60">
        <v>12</v>
      </c>
      <c r="H667" s="60" t="s">
        <v>50</v>
      </c>
      <c r="I667" s="60" t="s">
        <v>717</v>
      </c>
      <c r="J667" s="60" t="s">
        <v>721</v>
      </c>
      <c r="K667" s="60">
        <f>IF(J667="syllables",1,IF(J667="trigrams",2,IF(J667="strings",3,IF(J667="visual array",4,IF(J667="characters",5,IF(J667="letters",6,IF(J667="free forms",7,IF(J667="odors",8,IF(J667="words",9,IF(J667="pictures",10,IF(J667="object pictures",11,IF(J667="faces",12,IF(J667="names",13,IF(J667="idioms",14,IF(J667="grades",15,IF(J667="syllable-digit pairs",16,IF(J667="trigram-word pairs",17,IF(J667="word-digit pairs",18,IF(J667="English-Swahili pairs",19,IF(J667="spatial position",20,IF(J667="word pairs",21,IF(J667="word triads",22,IF(J667="generated words",23,IF(J667="word definition pairs",24,IF(J667="math problems",25,IF(J667="famous faces",26,IF(J667="famous names",27,IF(J667="famous voices",28,IF(J667="television programs",29,IF(J667="race horses",30,IF(J667="new vocabulary",31,IF(J667="sentences",32,IF(J667="concepts",33,IF(J667="ad slides",34,IF(J667="scenes",35,IF(J667="famous scenes",36,IF(J667="poems",37,IF(J667="walk",38,IF(J667="faces and events",39,IF(J667="events and names",40,IF(J667="flashbulb",41,IF(J667="stories",42,IF(J667="course material",43,IF(J667="autobiographical",44,IF(J667="novels",45,IF(J667="public events",46,"99"))))))))))))))))))))))))))))))))))))))))))))))</f>
        <v>16</v>
      </c>
      <c r="L667" s="60">
        <f>IF(J667="syllables",1,IF(J667="trigrams",1,IF(J667="strings",1,IF(J667="visual array",1,IF(J667="characters",1,IF(J667="letters",1,IF(J667="free forms",1,IF(J667="odors",2,IF(J667="words",2,IF(J667="pictures",2,IF(J667="object pictures",2,IF(J667="faces",2,IF(J667="names",2,IF(J667="idioms","2",IF(J667="grades",2,IF(J667="syllable-digit pairs",3,IF(J667="trigram-word pairs",3,IF(J667="word-digit pairs",3,IF(J667="English-Swahili pairs",3,IF(J667="spatial position",3,IF(J667="word pairs",4,IF(J667="word triads",4,IF(J667="generated words",4,IF(J667="word definition pairs",4,IF(J667="math problems",4,IF(J667="famous faces",4,IF(J667="famous names",4,IF(J667="famous voices",4,IF(J667="television programs",4,IF(J667="race horses",4,IF(J667="new vocabulary",4,IF(J667="sentences",5,IF(J667="concepts",5,IF(J667="ad slides",5,IF(J667="scenes",5,IF(J667="famous scenes",5,IF(J667="poems",6,IF(J667="walk",6,IF(J667="faces and events",6,IF(J667="events and names",6,IF(J667="flashbulb",7,IF(J667="stories",7,IF(J667="course material",7,IF(J667="autobiographical",7,IF(J667="novels",7,IF(J667="public events",7,"99"))))))))))))))))))))))))))))))))))))))))))))))</f>
        <v>3</v>
      </c>
      <c r="M667" s="60">
        <v>0</v>
      </c>
      <c r="N667" s="60">
        <v>1</v>
      </c>
      <c r="O667" s="60">
        <v>0</v>
      </c>
      <c r="P667" s="60"/>
      <c r="Q667" s="60" t="s">
        <v>65</v>
      </c>
      <c r="R667" s="60">
        <f>IF(Q667="Free Recall",1,IF(Q667="Cued Recall",2,IF(Q667="Recognition",3,IF(Q667="Multiple Choice",4,IF(Q667="Savings",5,IF(Q667="Stem Completion",6,IF(Q667="Fragment Completion",7,IF(Q667="anagram solution",8,IF(Q667="Matching",9,IF(Q667="Problem Solving",10,"99"))))))))))</f>
        <v>2</v>
      </c>
      <c r="S667" s="60" t="s">
        <v>49</v>
      </c>
      <c r="T667" s="60" t="s">
        <v>261</v>
      </c>
      <c r="U667" s="60">
        <f>IF(T667="within",1,0)</f>
        <v>0</v>
      </c>
      <c r="V667" s="60">
        <v>6</v>
      </c>
      <c r="W667" s="60">
        <f>F667*V667</f>
        <v>216</v>
      </c>
      <c r="X667" s="60">
        <v>3</v>
      </c>
      <c r="Y667" s="76">
        <f>AV666</f>
        <v>120</v>
      </c>
      <c r="Z667" s="60" t="s">
        <v>97</v>
      </c>
      <c r="AA667" s="60">
        <v>604800</v>
      </c>
      <c r="AB667" s="60" t="str">
        <f>IF(AA667&lt;60,"1",IF(AA667&lt;=43200,"2",IF(AA667&lt;=777600,"3","4")))</f>
        <v>3</v>
      </c>
      <c r="AC667" s="56">
        <f>AVERAGE(AV666:DA666)</f>
        <v>202040</v>
      </c>
      <c r="AD667" s="60" t="str">
        <f>IF(AC667&lt;60,"1",IF(AC667&lt;=43200,"2",IF(AC667&lt;=777600,"3","4")))</f>
        <v>3</v>
      </c>
      <c r="AE667" s="76">
        <f>AA667-Y667</f>
        <v>604680</v>
      </c>
      <c r="AF667" s="80">
        <f>AV667</f>
        <v>0.11</v>
      </c>
      <c r="AG667" s="56">
        <f>((AW667-AV667)+(AX667-AW667))/2</f>
        <v>0.11000000000000001</v>
      </c>
      <c r="AH667" s="4"/>
      <c r="AI667" s="56">
        <f>RSQ(AV667:AX667,AV666:AX666)</f>
        <v>0.75133954721745633</v>
      </c>
      <c r="AJ667" s="109">
        <f>SLOPE(AV667:AX667,AV666:AX666)</f>
        <v>2.7335896736760004E-7</v>
      </c>
      <c r="AK667" s="56">
        <f>INTERCEPT(AV667:AX667,AV666:AX666)</f>
        <v>0.16477055423305009</v>
      </c>
      <c r="AL667" s="56">
        <f>INDEX(LINEST(LN(AV667:AX667),LN(AV666:AX666),TRUE,TRUE),3,1)</f>
        <v>0.84144910146168772</v>
      </c>
      <c r="AM667" s="56">
        <f>INDEX(LINEST(LN(AV667:AX667),LN(AV666:AX666)),1)</f>
        <v>0.11555124793948589</v>
      </c>
      <c r="AN667" s="56">
        <f>EXP(INDEX(LINEST(LN(AV667:AX667),LN(AV666:AX666)),1,2))</f>
        <v>7.5753123038982753E-2</v>
      </c>
      <c r="AO667" s="82">
        <f>INDEX(LINEST((AV667:AX667),LN(AV666:AX666),TRUE,TRUE),3,1)</f>
        <v>0.93416351875009451</v>
      </c>
      <c r="AP667" s="82">
        <f>INDEX(LINEST((AV667:AX667),LN(AV666:AX666)),1)</f>
        <v>2.4106989348449927E-2</v>
      </c>
      <c r="AQ667" s="83">
        <f>INDEX(LINEST(LN(AV667:AX667),SQRT(AV666:AX666),TRUE,TRUE),3,1)</f>
        <v>0.63713768110624658</v>
      </c>
      <c r="AR667" s="116">
        <f>INDEX(LINEST(LN(AV667:AX667),SQRT((AV666:AX666))),1)</f>
        <v>1.0170786308878639E-3</v>
      </c>
      <c r="AS667" s="84">
        <f>INDEX(LINEST(1/(AV667:AX667),1/(SQRT(AV666:AX666)),TRUE,TRUE),3,1)</f>
        <v>0.99626345098357172</v>
      </c>
      <c r="AT667" s="84">
        <f>INDEX(LINEST(1/(AV667:AX667),1/SQRT(AV666:AX666)),1)</f>
        <v>68.273570002854825</v>
      </c>
      <c r="AU667" s="3"/>
      <c r="AV667" s="42">
        <v>0.11</v>
      </c>
      <c r="AW667" s="42">
        <v>0.22</v>
      </c>
      <c r="AX667" s="42">
        <v>0.33</v>
      </c>
      <c r="AY667" s="42"/>
      <c r="AZ667" s="46"/>
      <c r="BA667" s="42"/>
      <c r="BB667" s="4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1"/>
      <c r="CS667" s="1"/>
      <c r="CT667" s="1"/>
      <c r="CU667" s="1"/>
    </row>
    <row r="668" spans="1:99" s="13" customFormat="1" ht="12" customHeight="1" x14ac:dyDescent="0.2">
      <c r="A668" s="65">
        <v>43509</v>
      </c>
      <c r="B668" s="1"/>
      <c r="C668" s="1"/>
      <c r="D668" s="60"/>
      <c r="E668" s="76"/>
      <c r="F668" s="60"/>
      <c r="G668" s="60"/>
      <c r="H668" s="60"/>
      <c r="I668" s="60"/>
      <c r="J668" s="60"/>
      <c r="K668" s="64"/>
      <c r="L668" s="64"/>
      <c r="M668" s="60"/>
      <c r="N668" s="60"/>
      <c r="O668" s="60"/>
      <c r="P668" s="60"/>
      <c r="Q668" s="60"/>
      <c r="R668" s="60"/>
      <c r="S668" s="60"/>
      <c r="T668" s="60"/>
      <c r="U668" s="60"/>
      <c r="V668" s="60"/>
      <c r="W668" s="60"/>
      <c r="X668" s="60"/>
      <c r="Y668" s="76"/>
      <c r="Z668" s="60"/>
      <c r="AA668" s="60"/>
      <c r="AB668" s="60"/>
      <c r="AC668" s="60"/>
      <c r="AD668" s="60"/>
      <c r="AE668" s="60"/>
      <c r="AF668" s="80"/>
      <c r="AG668" s="56"/>
      <c r="AH668" s="4"/>
      <c r="AI668" s="56"/>
      <c r="AJ668" s="109"/>
      <c r="AK668" s="56"/>
      <c r="AL668" s="56"/>
      <c r="AM668" s="56"/>
      <c r="AN668" s="56"/>
      <c r="AO668" s="56"/>
      <c r="AP668" s="56"/>
      <c r="AQ668" s="56"/>
      <c r="AR668" s="109"/>
      <c r="AS668" s="56"/>
      <c r="AT668" s="56"/>
      <c r="AU668" s="4"/>
      <c r="AV668" s="25">
        <f>2*60</f>
        <v>120</v>
      </c>
      <c r="AW668" s="25">
        <f>20*60</f>
        <v>1200</v>
      </c>
      <c r="AX668" s="25">
        <f>24*3600*7</f>
        <v>604800</v>
      </c>
      <c r="AY668" s="42"/>
      <c r="AZ668" s="46"/>
      <c r="BA668" s="42"/>
      <c r="BB668" s="4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1"/>
      <c r="CS668" s="1"/>
      <c r="CT668" s="1"/>
      <c r="CU668" s="1"/>
    </row>
    <row r="669" spans="1:99" s="13" customFormat="1" ht="12" customHeight="1" x14ac:dyDescent="0.2">
      <c r="A669" s="65">
        <v>43509</v>
      </c>
      <c r="B669" s="1" t="s">
        <v>117</v>
      </c>
      <c r="C669" s="1" t="s">
        <v>19</v>
      </c>
      <c r="D669" s="60">
        <v>1964</v>
      </c>
      <c r="E669" s="76">
        <v>1</v>
      </c>
      <c r="F669" s="60">
        <v>36</v>
      </c>
      <c r="G669" s="60">
        <v>12</v>
      </c>
      <c r="H669" s="60" t="s">
        <v>50</v>
      </c>
      <c r="I669" s="60" t="s">
        <v>718</v>
      </c>
      <c r="J669" s="60" t="s">
        <v>721</v>
      </c>
      <c r="K669" s="60">
        <f>IF(J669="syllables",1,IF(J669="trigrams",2,IF(J669="strings",3,IF(J669="visual array",4,IF(J669="characters",5,IF(J669="letters",6,IF(J669="free forms",7,IF(J669="odors",8,IF(J669="words",9,IF(J669="pictures",10,IF(J669="object pictures",11,IF(J669="faces",12,IF(J669="names",13,IF(J669="idioms",14,IF(J669="grades",15,IF(J669="syllable-digit pairs",16,IF(J669="trigram-word pairs",17,IF(J669="word-digit pairs",18,IF(J669="English-Swahili pairs",19,IF(J669="spatial position",20,IF(J669="word pairs",21,IF(J669="word triads",22,IF(J669="generated words",23,IF(J669="word definition pairs",24,IF(J669="math problems",25,IF(J669="famous faces",26,IF(J669="famous names",27,IF(J669="famous voices",28,IF(J669="television programs",29,IF(J669="race horses",30,IF(J669="new vocabulary",31,IF(J669="sentences",32,IF(J669="concepts",33,IF(J669="ad slides",34,IF(J669="scenes",35,IF(J669="famous scenes",36,IF(J669="poems",37,IF(J669="walk",38,IF(J669="faces and events",39,IF(J669="events and names",40,IF(J669="flashbulb",41,IF(J669="stories",42,IF(J669="course material",43,IF(J669="autobiographical",44,IF(J669="novels",45,IF(J669="public events",46,"99"))))))))))))))))))))))))))))))))))))))))))))))</f>
        <v>16</v>
      </c>
      <c r="L669" s="60">
        <f>IF(J669="syllables",1,IF(J669="trigrams",1,IF(J669="strings",1,IF(J669="visual array",1,IF(J669="characters",1,IF(J669="letters",1,IF(J669="free forms",1,IF(J669="odors",2,IF(J669="words",2,IF(J669="pictures",2,IF(J669="object pictures",2,IF(J669="faces",2,IF(J669="names",2,IF(J669="idioms","2",IF(J669="grades",2,IF(J669="syllable-digit pairs",3,IF(J669="trigram-word pairs",3,IF(J669="word-digit pairs",3,IF(J669="English-Swahili pairs",3,IF(J669="spatial position",3,IF(J669="word pairs",4,IF(J669="word triads",4,IF(J669="generated words",4,IF(J669="word definition pairs",4,IF(J669="math problems",4,IF(J669="famous faces",4,IF(J669="famous names",4,IF(J669="famous voices",4,IF(J669="television programs",4,IF(J669="race horses",4,IF(J669="new vocabulary",4,IF(J669="sentences",5,IF(J669="concepts",5,IF(J669="ad slides",5,IF(J669="scenes",5,IF(J669="famous scenes",5,IF(J669="poems",6,IF(J669="walk",6,IF(J669="faces and events",6,IF(J669="events and names",6,IF(J669="flashbulb",7,IF(J669="stories",7,IF(J669="course material",7,IF(J669="autobiographical",7,IF(J669="novels",7,IF(J669="public events",7,"99"))))))))))))))))))))))))))))))))))))))))))))))</f>
        <v>3</v>
      </c>
      <c r="M669" s="60">
        <v>0</v>
      </c>
      <c r="N669" s="60">
        <v>1</v>
      </c>
      <c r="O669" s="60">
        <v>0</v>
      </c>
      <c r="P669" s="60"/>
      <c r="Q669" s="60" t="s">
        <v>65</v>
      </c>
      <c r="R669" s="60">
        <f>IF(Q669="Free Recall",1,IF(Q669="Cued Recall",2,IF(Q669="Recognition",3,IF(Q669="Multiple Choice",4,IF(Q669="Savings",5,IF(Q669="Stem Completion",6,IF(Q669="Fragment Completion",7,IF(Q669="anagram solution",8,IF(Q669="Matching",9,IF(Q669="Problem Solving",10,"99"))))))))))</f>
        <v>2</v>
      </c>
      <c r="S669" s="60" t="s">
        <v>49</v>
      </c>
      <c r="T669" s="60" t="s">
        <v>261</v>
      </c>
      <c r="U669" s="60">
        <f>IF(T669="within",1,0)</f>
        <v>0</v>
      </c>
      <c r="V669" s="60">
        <v>6</v>
      </c>
      <c r="W669" s="60">
        <f>F669*V669</f>
        <v>216</v>
      </c>
      <c r="X669" s="60">
        <v>3</v>
      </c>
      <c r="Y669" s="76">
        <f>AV668</f>
        <v>120</v>
      </c>
      <c r="Z669" s="60" t="s">
        <v>97</v>
      </c>
      <c r="AA669" s="60">
        <v>604800</v>
      </c>
      <c r="AB669" s="60" t="str">
        <f>IF(AA669&lt;60,"1",IF(AA669&lt;=43200,"2",IF(AA669&lt;=777600,"3","4")))</f>
        <v>3</v>
      </c>
      <c r="AC669" s="56">
        <f>AVERAGE(AV668:DA668)</f>
        <v>202040</v>
      </c>
      <c r="AD669" s="60" t="str">
        <f>IF(AC669&lt;60,"1",IF(AC669&lt;=43200,"2",IF(AC669&lt;=777600,"3","4")))</f>
        <v>3</v>
      </c>
      <c r="AE669" s="76">
        <f>AA669-Y669</f>
        <v>604680</v>
      </c>
      <c r="AF669" s="80">
        <f>AV669</f>
        <v>0.44</v>
      </c>
      <c r="AG669" s="56">
        <f>((AW669-AV669)+(AX669-AW669))/2</f>
        <v>-0.18</v>
      </c>
      <c r="AH669" s="4"/>
      <c r="AI669" s="56">
        <f>RSQ(AV669:AX669,AV668:AX668)</f>
        <v>0.80450808316295164</v>
      </c>
      <c r="AJ669" s="109">
        <f>SLOPE(AV669:AX669,AV668:AX668)</f>
        <v>-4.6382270366795731E-7</v>
      </c>
      <c r="AK669" s="56">
        <f>INTERCEPT(AV669:AX669,AV668:AX668)</f>
        <v>0.36037740571574073</v>
      </c>
      <c r="AL669" s="56">
        <f>INDEX(LINEST(LN(AV669:AX669),LN(AV668:AX668),TRUE,TRUE),3,1)</f>
        <v>0.99997145956760369</v>
      </c>
      <c r="AM669" s="56">
        <f>INDEX(LINEST(LN(AV669:AX669),LN(AV668:AX668)),1)</f>
        <v>-0.20025067487493042</v>
      </c>
      <c r="AN669" s="56">
        <f>EXP(INDEX(LINEST(LN(AV669:AX669),LN(AV668:AX668)),1,2))</f>
        <v>1.1520711701236224</v>
      </c>
      <c r="AO669" s="82">
        <f>INDEX(LINEST((AV669:AX669),LN(AV668:AX668),TRUE,TRUE),3,1)</f>
        <v>0.96229230769970098</v>
      </c>
      <c r="AP669" s="82">
        <f>INDEX(LINEST((AV669:AX669),LN(AV668:AX668)),1)</f>
        <v>-4.0119603093488547E-2</v>
      </c>
      <c r="AQ669" s="83">
        <f>INDEX(LINEST(LN(AV669:AX669),SQRT(AV668:AX668),TRUE,TRUE),3,1)</f>
        <v>0.94731321939258817</v>
      </c>
      <c r="AR669" s="116">
        <f>INDEX(LINEST(LN(AV669:AX669),SQRT((AV668:AX668))),1)</f>
        <v>-1.97153347148213E-3</v>
      </c>
      <c r="AS669" s="84">
        <f>INDEX(LINEST(1/(AV669:AX669),1/(SQRT(AV668:AX668)),TRUE,TRUE),3,1)</f>
        <v>0.6561644474570163</v>
      </c>
      <c r="AT669" s="84">
        <f>INDEX(LINEST(1/(AV669:AX669),1/SQRT(AV668:AX668)),1)</f>
        <v>-97.81134653710167</v>
      </c>
      <c r="AU669" s="3"/>
      <c r="AV669" s="42">
        <v>0.44</v>
      </c>
      <c r="AW669" s="42">
        <v>0.28000000000000003</v>
      </c>
      <c r="AX669" s="42">
        <v>0.08</v>
      </c>
      <c r="AY669" s="42"/>
      <c r="AZ669" s="46"/>
      <c r="BA669" s="42"/>
      <c r="BB669" s="4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1"/>
      <c r="CS669" s="1"/>
      <c r="CT669" s="1"/>
      <c r="CU669" s="1"/>
    </row>
    <row r="670" spans="1:99" s="13" customFormat="1" ht="12" customHeight="1" x14ac:dyDescent="0.2">
      <c r="A670" s="68">
        <v>43906</v>
      </c>
      <c r="B670" s="70"/>
      <c r="C670" s="70"/>
      <c r="D670" s="69"/>
      <c r="E670" s="87"/>
      <c r="F670" s="69"/>
      <c r="G670" s="69"/>
      <c r="H670" s="69"/>
      <c r="I670" s="69"/>
      <c r="J670" s="69"/>
      <c r="K670" s="107"/>
      <c r="L670" s="107"/>
      <c r="M670" s="69"/>
      <c r="N670" s="92"/>
      <c r="O670" s="69"/>
      <c r="P670" s="69"/>
      <c r="Q670" s="69"/>
      <c r="R670" s="69"/>
      <c r="S670" s="69"/>
      <c r="T670" s="92"/>
      <c r="U670" s="69"/>
      <c r="V670" s="92"/>
      <c r="W670" s="69"/>
      <c r="X670" s="69"/>
      <c r="Y670" s="87"/>
      <c r="Z670" s="92"/>
      <c r="AA670" s="69"/>
      <c r="AB670" s="69"/>
      <c r="AC670" s="72"/>
      <c r="AD670" s="69"/>
      <c r="AE670" s="69"/>
      <c r="AF670" s="88"/>
      <c r="AG670" s="72"/>
      <c r="AH670" s="4"/>
      <c r="AI670" s="72"/>
      <c r="AJ670" s="110"/>
      <c r="AK670" s="72"/>
      <c r="AL670" s="72"/>
      <c r="AM670" s="72"/>
      <c r="AN670" s="72"/>
      <c r="AO670" s="72"/>
      <c r="AP670" s="72"/>
      <c r="AQ670" s="72"/>
      <c r="AR670" s="110"/>
      <c r="AS670" s="72"/>
      <c r="AT670" s="72"/>
      <c r="AU670" s="5"/>
      <c r="AV670" s="71">
        <f>8*60</f>
        <v>480</v>
      </c>
      <c r="AW670" s="71">
        <f>60*60*24*7</f>
        <v>604800</v>
      </c>
      <c r="AX670" s="71">
        <f>60*60*24*35</f>
        <v>3024000</v>
      </c>
      <c r="AY670" s="42"/>
      <c r="AZ670" s="46"/>
      <c r="BA670" s="42"/>
      <c r="BB670" s="42"/>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1"/>
      <c r="CS670" s="1"/>
      <c r="CT670" s="1"/>
      <c r="CU670" s="1"/>
    </row>
    <row r="671" spans="1:99" s="13" customFormat="1" ht="12" customHeight="1" x14ac:dyDescent="0.2">
      <c r="A671" s="68">
        <v>43906</v>
      </c>
      <c r="B671" s="70" t="s">
        <v>498</v>
      </c>
      <c r="C671" s="70" t="s">
        <v>499</v>
      </c>
      <c r="D671" s="69">
        <v>1985</v>
      </c>
      <c r="E671" s="87">
        <v>1</v>
      </c>
      <c r="F671" s="69">
        <v>18</v>
      </c>
      <c r="G671" s="69">
        <v>18</v>
      </c>
      <c r="H671" s="69" t="s">
        <v>50</v>
      </c>
      <c r="I671" s="69" t="s">
        <v>315</v>
      </c>
      <c r="J671" s="69" t="s">
        <v>16</v>
      </c>
      <c r="K671" s="69">
        <f>IF(J671="syllables",1,IF(J671="trigrams",2,IF(J671="strings",3,IF(J671="visual array",4,IF(J671="characters",5,IF(J671="letters",6,IF(J671="free forms",7,IF(J671="odors",8,IF(J671="words",9,IF(J671="pictures",10,IF(J671="object pictures",11,IF(J671="faces",12,IF(J671="names",13,IF(J671="idioms",14,IF(J671="grades",15,IF(J671="syllable-digit pairs",16,IF(J671="trigram-word pairs",17,IF(J671="word-digit pairs",18,IF(J671="English-Swahili pairs",19,IF(J671="spatial position",20,IF(J671="word pairs",21,IF(J671="word triads",22,IF(J671="generated words",23,IF(J671="word definition pairs",24,IF(J671="math problems",25,IF(J671="famous faces",26,IF(J671="famous names",27,IF(J671="famous voices",28,IF(J671="television programs",29,IF(J671="race horses",30,IF(J671="new vocabulary",31,IF(J671="sentences",32,IF(J671="concepts",33,IF(J671="ad slides",34,IF(J671="scenes",35,IF(J671="famous scenes",36,IF(J671="poems",37,IF(J671="walk",38,IF(J671="faces and events",39,IF(J671="events and names",40,IF(J671="flashbulb",41,IF(J671="stories",42,IF(J671="course material",43,IF(J671="autobiographical",44,IF(J671="novels",45,IF(J671="public events",46,"99"))))))))))))))))))))))))))))))))))))))))))))))</f>
        <v>9</v>
      </c>
      <c r="L671" s="69">
        <f>IF(J671="syllables",1,IF(J671="trigrams",1,IF(J671="strings",1,IF(J671="visual array",1,IF(J671="characters",1,IF(J671="letters",1,IF(J671="free forms",1,IF(J671="odors",2,IF(J671="words",2,IF(J671="pictures",2,IF(J671="object pictures",2,IF(J671="faces",2,IF(J671="names",2,IF(J671="idioms","2",IF(J671="grades",2,IF(J671="syllable-digit pairs",3,IF(J671="trigram-word pairs",3,IF(J671="word-digit pairs",3,IF(J671="English-Swahili pairs",3,IF(J671="spatial position",3,IF(J671="word pairs",4,IF(J671="word triads",4,IF(J671="generated words",4,IF(J671="word definition pairs",4,IF(J671="math problems",4,IF(J671="famous faces",4,IF(J671="famous names",4,IF(J671="famous voices",4,IF(J671="television programs",4,IF(J671="race horses",4,IF(J671="new vocabulary",4,IF(J671="sentences",5,IF(J671="concepts",5,IF(J671="ad slides",5,IF(J671="scenes",5,IF(J671="famous scenes",5,IF(J671="poems",6,IF(J671="walk",6,IF(J671="faces and events",6,IF(J671="events and names",6,IF(J671="flashbulb",7,IF(J671="stories",7,IF(J671="course material",7,IF(J671="autobiographical",7,IF(J671="novels",7,IF(J671="public events",7,"99"))))))))))))))))))))))))))))))))))))))))))))))</f>
        <v>2</v>
      </c>
      <c r="M671" s="69">
        <v>0</v>
      </c>
      <c r="N671" s="69">
        <v>1</v>
      </c>
      <c r="O671" s="69">
        <v>0</v>
      </c>
      <c r="P671" s="69"/>
      <c r="Q671" s="69" t="s">
        <v>34</v>
      </c>
      <c r="R671" s="69">
        <f>IF(Q671="Free Recall",1,IF(Q671="Cued Recall",2,IF(Q671="Recognition",3,IF(Q671="Multiple Choice",4,IF(Q671="Savings",5,IF(Q671="Stem Completion",6,IF(Q671="Fragment Completion",7,IF(Q671="anagram solution",8,IF(Q671="Matching",9,IF(Q671="Problem Solving",10,"99"))))))))))</f>
        <v>3</v>
      </c>
      <c r="S671" s="69" t="s">
        <v>15</v>
      </c>
      <c r="T671" s="92" t="s">
        <v>581</v>
      </c>
      <c r="U671" s="69">
        <f>IF(T671="within",1,0)</f>
        <v>1</v>
      </c>
      <c r="V671" s="92">
        <v>30</v>
      </c>
      <c r="W671" s="69">
        <f>F671*V671</f>
        <v>540</v>
      </c>
      <c r="X671" s="69">
        <v>3</v>
      </c>
      <c r="Y671" s="87">
        <f>AV670</f>
        <v>480</v>
      </c>
      <c r="Z671" s="92" t="s">
        <v>500</v>
      </c>
      <c r="AA671" s="69">
        <f>60*60*24*35</f>
        <v>3024000</v>
      </c>
      <c r="AB671" s="69" t="str">
        <f>IF(AA671&lt;60,"1",IF(AA671&lt;=43200,"2",IF(AA671&lt;=777600,"3","4")))</f>
        <v>4</v>
      </c>
      <c r="AC671" s="72">
        <f>AVERAGE(AV670:DA670)</f>
        <v>1209760</v>
      </c>
      <c r="AD671" s="69" t="str">
        <f>IF(AC671&lt;60,"1",IF(AC671&lt;=43200,"2",IF(AC671&lt;=777600,"3","4")))</f>
        <v>4</v>
      </c>
      <c r="AE671" s="87">
        <f>AA671-Y671</f>
        <v>3023520</v>
      </c>
      <c r="AF671" s="88">
        <f>AV671</f>
        <v>0.68</v>
      </c>
      <c r="AG671" s="72">
        <f>((AW671-AV671)+(AX671-AW671))/2</f>
        <v>-0.24500000000000002</v>
      </c>
      <c r="AH671" s="4"/>
      <c r="AI671" s="72">
        <f>RSQ(AV671:AX671,AV670:AX670)</f>
        <v>0.76292810522102383</v>
      </c>
      <c r="AJ671" s="110">
        <f>SLOPE(AV671:AX671,AV670:AX670)</f>
        <v>-1.3582370338498023E-7</v>
      </c>
      <c r="AK671" s="72">
        <f>INTERCEPT(AV671:AX671,AV670:AX670)</f>
        <v>0.57431408340701362</v>
      </c>
      <c r="AL671" s="72">
        <f>INDEX(LINEST(LN(AV671:AX671),LN(AV670:AX670),TRUE,TRUE),3,1)</f>
        <v>0.8815806843646895</v>
      </c>
      <c r="AM671" s="72">
        <f>INDEX(LINEST(LN(AV671:AX671),LN(AV670:AX670)),1)</f>
        <v>-0.12855663071896861</v>
      </c>
      <c r="AN671" s="72">
        <f>EXP(INDEX(LINEST(LN(AV671:AX671),LN(AV670:AX670)),1,2))</f>
        <v>1.5711375735746325</v>
      </c>
      <c r="AO671" s="89">
        <f>INDEX(LINEST((AV671:AX671),LN(AV670:AX670),TRUE,TRUE),3,1)</f>
        <v>0.96969681515011841</v>
      </c>
      <c r="AP671" s="89">
        <f>INDEX(LINEST((AV671:AX671),LN(AV670:AX670)),1)</f>
        <v>-5.2616594298015594E-2</v>
      </c>
      <c r="AQ671" s="90">
        <f>INDEX(LINEST(LN(AV671:AX671),SQRT(AV670:AX670),TRUE,TRUE),3,1)</f>
        <v>0.99543886534329806</v>
      </c>
      <c r="AR671" s="117">
        <f>INDEX(LINEST(LN(AV671:AX671),SQRT((AV670:AX670))),1)</f>
        <v>-7.3913284254552292E-4</v>
      </c>
      <c r="AS671" s="91">
        <f>INDEX(LINEST(1/(AV671:AX671),1/(SQRT(AV670:AX670)),TRUE,TRUE),3,1)</f>
        <v>0.59746645067157544</v>
      </c>
      <c r="AT671" s="91">
        <f>INDEX(LINEST(1/(AV671:AX671),1/SQRT(AV670:AX670)),1)</f>
        <v>-57.679385194851044</v>
      </c>
      <c r="AU671" s="3"/>
      <c r="AV671" s="73">
        <v>0.68</v>
      </c>
      <c r="AW671" s="73">
        <v>0.36</v>
      </c>
      <c r="AX671" s="73">
        <v>0.19</v>
      </c>
      <c r="AY671" s="42"/>
      <c r="AZ671" s="46"/>
      <c r="BA671" s="42"/>
      <c r="BB671" s="42"/>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1"/>
      <c r="CS671" s="1"/>
      <c r="CT671" s="1"/>
      <c r="CU671" s="1"/>
    </row>
    <row r="672" spans="1:99" s="13" customFormat="1" ht="12" customHeight="1" x14ac:dyDescent="0.2">
      <c r="A672" s="68">
        <v>43906</v>
      </c>
      <c r="B672" s="70"/>
      <c r="C672" s="70"/>
      <c r="D672" s="69"/>
      <c r="E672" s="87"/>
      <c r="F672" s="69"/>
      <c r="G672" s="69"/>
      <c r="H672" s="69"/>
      <c r="I672" s="69"/>
      <c r="J672" s="69"/>
      <c r="K672" s="107"/>
      <c r="L672" s="107"/>
      <c r="M672" s="69"/>
      <c r="N672" s="92"/>
      <c r="O672" s="69"/>
      <c r="P672" s="69"/>
      <c r="Q672" s="69"/>
      <c r="R672" s="69"/>
      <c r="S672" s="69"/>
      <c r="T672" s="92"/>
      <c r="U672" s="69"/>
      <c r="V672" s="92"/>
      <c r="W672" s="69"/>
      <c r="X672" s="69"/>
      <c r="Y672" s="87"/>
      <c r="Z672" s="92"/>
      <c r="AA672" s="69"/>
      <c r="AB672" s="69"/>
      <c r="AC672" s="72"/>
      <c r="AD672" s="69"/>
      <c r="AE672" s="69"/>
      <c r="AF672" s="88"/>
      <c r="AG672" s="72"/>
      <c r="AH672" s="4"/>
      <c r="AI672" s="72"/>
      <c r="AJ672" s="110"/>
      <c r="AK672" s="72"/>
      <c r="AL672" s="72"/>
      <c r="AM672" s="72"/>
      <c r="AN672" s="72"/>
      <c r="AO672" s="72"/>
      <c r="AP672" s="72"/>
      <c r="AQ672" s="72"/>
      <c r="AR672" s="110"/>
      <c r="AS672" s="72"/>
      <c r="AT672" s="72"/>
      <c r="AU672" s="5"/>
      <c r="AV672" s="71">
        <f>8*60</f>
        <v>480</v>
      </c>
      <c r="AW672" s="71">
        <f>60*60*24*7</f>
        <v>604800</v>
      </c>
      <c r="AX672" s="71">
        <f>60*60*24*35</f>
        <v>3024000</v>
      </c>
      <c r="AY672" s="42"/>
      <c r="AZ672" s="46"/>
      <c r="BA672" s="42"/>
      <c r="BB672" s="42"/>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1"/>
      <c r="CS672" s="1"/>
      <c r="CT672" s="1"/>
      <c r="CU672" s="1"/>
    </row>
    <row r="673" spans="1:99" s="13" customFormat="1" ht="12" customHeight="1" x14ac:dyDescent="0.2">
      <c r="A673" s="68">
        <v>43906</v>
      </c>
      <c r="B673" s="70" t="s">
        <v>498</v>
      </c>
      <c r="C673" s="70" t="s">
        <v>499</v>
      </c>
      <c r="D673" s="69">
        <v>1985</v>
      </c>
      <c r="E673" s="87">
        <v>1</v>
      </c>
      <c r="F673" s="69">
        <v>18</v>
      </c>
      <c r="G673" s="69">
        <v>18</v>
      </c>
      <c r="H673" s="69" t="s">
        <v>50</v>
      </c>
      <c r="I673" s="69" t="s">
        <v>722</v>
      </c>
      <c r="J673" s="69" t="s">
        <v>16</v>
      </c>
      <c r="K673" s="69">
        <f>IF(J673="syllables",1,IF(J673="trigrams",2,IF(J673="strings",3,IF(J673="visual array",4,IF(J673="characters",5,IF(J673="letters",6,IF(J673="free forms",7,IF(J673="odors",8,IF(J673="words",9,IF(J673="pictures",10,IF(J673="object pictures",11,IF(J673="faces",12,IF(J673="names",13,IF(J673="idioms",14,IF(J673="grades",15,IF(J673="syllable-digit pairs",16,IF(J673="trigram-word pairs",17,IF(J673="word-digit pairs",18,IF(J673="English-Swahili pairs",19,IF(J673="spatial position",20,IF(J673="word pairs",21,IF(J673="word triads",22,IF(J673="generated words",23,IF(J673="word definition pairs",24,IF(J673="math problems",25,IF(J673="famous faces",26,IF(J673="famous names",27,IF(J673="famous voices",28,IF(J673="television programs",29,IF(J673="race horses",30,IF(J673="new vocabulary",31,IF(J673="sentences",32,IF(J673="concepts",33,IF(J673="ad slides",34,IF(J673="scenes",35,IF(J673="famous scenes",36,IF(J673="poems",37,IF(J673="walk",38,IF(J673="faces and events",39,IF(J673="events and names",40,IF(J673="flashbulb",41,IF(J673="stories",42,IF(J673="course material",43,IF(J673="autobiographical",44,IF(J673="novels",45,IF(J673="public events",46,"99"))))))))))))))))))))))))))))))))))))))))))))))</f>
        <v>9</v>
      </c>
      <c r="L673" s="69">
        <f>IF(J673="syllables",1,IF(J673="trigrams",1,IF(J673="strings",1,IF(J673="visual array",1,IF(J673="characters",1,IF(J673="letters",1,IF(J673="free forms",1,IF(J673="odors",2,IF(J673="words",2,IF(J673="pictures",2,IF(J673="object pictures",2,IF(J673="faces",2,IF(J673="names",2,IF(J673="idioms","2",IF(J673="grades",2,IF(J673="syllable-digit pairs",3,IF(J673="trigram-word pairs",3,IF(J673="word-digit pairs",3,IF(J673="English-Swahili pairs",3,IF(J673="spatial position",3,IF(J673="word pairs",4,IF(J673="word triads",4,IF(J673="generated words",4,IF(J673="word definition pairs",4,IF(J673="math problems",4,IF(J673="famous faces",4,IF(J673="famous names",4,IF(J673="famous voices",4,IF(J673="television programs",4,IF(J673="race horses",4,IF(J673="new vocabulary",4,IF(J673="sentences",5,IF(J673="concepts",5,IF(J673="ad slides",5,IF(J673="scenes",5,IF(J673="famous scenes",5,IF(J673="poems",6,IF(J673="walk",6,IF(J673="faces and events",6,IF(J673="events and names",6,IF(J673="flashbulb",7,IF(J673="stories",7,IF(J673="course material",7,IF(J673="autobiographical",7,IF(J673="novels",7,IF(J673="public events",7,"99"))))))))))))))))))))))))))))))))))))))))))))))</f>
        <v>2</v>
      </c>
      <c r="M673" s="69">
        <v>0</v>
      </c>
      <c r="N673" s="69">
        <v>1</v>
      </c>
      <c r="O673" s="69">
        <v>0</v>
      </c>
      <c r="P673" s="69"/>
      <c r="Q673" s="69" t="s">
        <v>125</v>
      </c>
      <c r="R673" s="69">
        <f>IF(Q673="Free Recall",1,IF(Q673="Cued Recall",2,IF(Q673="Recognition",3,IF(Q673="Multiple Choice",4,IF(Q673="Savings",5,IF(Q673="Stem Completion",6,IF(Q673="Fragment Completion",7,IF(Q673="anagram solution",8,IF(Q673="Matching",9,IF(Q673="Problem Solving",10,"99"))))))))))</f>
        <v>7</v>
      </c>
      <c r="S673" s="69" t="s">
        <v>15</v>
      </c>
      <c r="T673" s="92" t="s">
        <v>581</v>
      </c>
      <c r="U673" s="69">
        <f>IF(T673="within",1,0)</f>
        <v>1</v>
      </c>
      <c r="V673" s="92">
        <v>30</v>
      </c>
      <c r="W673" s="69">
        <f>F673*V673</f>
        <v>540</v>
      </c>
      <c r="X673" s="69">
        <v>3</v>
      </c>
      <c r="Y673" s="87">
        <f>AV672</f>
        <v>480</v>
      </c>
      <c r="Z673" s="92" t="s">
        <v>500</v>
      </c>
      <c r="AA673" s="69">
        <f>60*60*24*35</f>
        <v>3024000</v>
      </c>
      <c r="AB673" s="69" t="str">
        <f>IF(AA673&lt;60,"1",IF(AA673&lt;=43200,"2",IF(AA673&lt;=777600,"3","4")))</f>
        <v>4</v>
      </c>
      <c r="AC673" s="72">
        <f>AVERAGE(AV672:DA672)</f>
        <v>1209760</v>
      </c>
      <c r="AD673" s="69" t="str">
        <f>IF(AC673&lt;60,"1",IF(AC673&lt;=43200,"2",IF(AC673&lt;=777600,"3","4")))</f>
        <v>4</v>
      </c>
      <c r="AE673" s="87">
        <f>AA673-Y673</f>
        <v>3023520</v>
      </c>
      <c r="AF673" s="88">
        <f>AV673</f>
        <v>0.43</v>
      </c>
      <c r="AG673" s="72">
        <f>((AW673-AV673)+(AX673-AW673))/2</f>
        <v>-6.5000000000000002E-2</v>
      </c>
      <c r="AH673" s="4"/>
      <c r="AI673" s="72">
        <f>RSQ(AV673:AX673,AV672:AX672)</f>
        <v>0.99896384292171525</v>
      </c>
      <c r="AJ673" s="110">
        <f>SLOPE(AV673:AX673,AV672:AX672)</f>
        <v>-4.2521648564314845E-8</v>
      </c>
      <c r="AK673" s="72">
        <f>INTERCEPT(AV673:AX673,AV672:AX672)</f>
        <v>0.42810765623383223</v>
      </c>
      <c r="AL673" s="72">
        <f>INDEX(LINEST(LN(AV673:AX673),LN(AV672:AX672),TRUE,TRUE),3,1)</f>
        <v>0.60221353663893085</v>
      </c>
      <c r="AM673" s="72">
        <f>INDEX(LINEST(LN(AV673:AX673),LN(AV672:AX672)),1)</f>
        <v>-3.1738159437455275E-2</v>
      </c>
      <c r="AN673" s="72">
        <f>EXP(INDEX(LINEST(LN(AV673:AX673),LN(AV672:AX672)),1,2))</f>
        <v>0.53576656308326864</v>
      </c>
      <c r="AO673" s="89">
        <f>INDEX(LINEST((AV673:AX673),LN(AV672:AX672),TRUE,TRUE),3,1)</f>
        <v>0.63248477587928542</v>
      </c>
      <c r="AP673" s="89">
        <f>INDEX(LINEST((AV673:AX673),LN(AV672:AX672)),1)</f>
        <v>-1.1626024558314118E-2</v>
      </c>
      <c r="AQ673" s="90">
        <f>INDEX(LINEST(LN(AV673:AX673),SQRT(AV672:AX672),TRUE,TRUE),3,1)</f>
        <v>0.93212527487458641</v>
      </c>
      <c r="AR673" s="117">
        <f>INDEX(LINEST(LN(AV673:AX673),SQRT((AV672:AX672))),1)</f>
        <v>-2.1364630091162852E-4</v>
      </c>
      <c r="AS673" s="91">
        <f>INDEX(LINEST(1/(AV673:AX673),1/(SQRT(AV672:AX672)),TRUE,TRUE),3,1)</f>
        <v>0.4150211786050515</v>
      </c>
      <c r="AT673" s="91">
        <f>INDEX(LINEST(1/(AV673:AX673),1/SQRT(AV672:AX672)),1)</f>
        <v>-13.439175394178482</v>
      </c>
      <c r="AU673" s="3"/>
      <c r="AV673" s="73">
        <v>0.43</v>
      </c>
      <c r="AW673" s="73">
        <v>0.4</v>
      </c>
      <c r="AX673" s="73">
        <v>0.3</v>
      </c>
      <c r="AY673" s="42"/>
      <c r="AZ673" s="46"/>
      <c r="BA673" s="42"/>
      <c r="BB673" s="42"/>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1"/>
      <c r="CS673" s="1"/>
      <c r="CT673" s="1"/>
      <c r="CU673" s="1"/>
    </row>
    <row r="674" spans="1:99" s="13" customFormat="1" ht="12" customHeight="1" x14ac:dyDescent="0.2">
      <c r="A674" s="68">
        <v>43906</v>
      </c>
      <c r="B674" s="70"/>
      <c r="C674" s="70"/>
      <c r="D674" s="69"/>
      <c r="E674" s="87"/>
      <c r="F674" s="69"/>
      <c r="G674" s="69"/>
      <c r="H674" s="69"/>
      <c r="I674" s="69"/>
      <c r="J674" s="69"/>
      <c r="K674" s="107"/>
      <c r="L674" s="107"/>
      <c r="M674" s="69"/>
      <c r="N674" s="92"/>
      <c r="O674" s="69"/>
      <c r="P674" s="69"/>
      <c r="Q674" s="69"/>
      <c r="R674" s="69"/>
      <c r="S674" s="69"/>
      <c r="T674" s="92"/>
      <c r="U674" s="69"/>
      <c r="V674" s="92"/>
      <c r="W674" s="69"/>
      <c r="X674" s="69"/>
      <c r="Y674" s="87"/>
      <c r="Z674" s="92"/>
      <c r="AA674" s="69"/>
      <c r="AB674" s="69"/>
      <c r="AC674" s="72"/>
      <c r="AD674" s="69"/>
      <c r="AE674" s="69"/>
      <c r="AF674" s="88"/>
      <c r="AG674" s="72"/>
      <c r="AH674" s="4"/>
      <c r="AI674" s="72"/>
      <c r="AJ674" s="110"/>
      <c r="AK674" s="72"/>
      <c r="AL674" s="72"/>
      <c r="AM674" s="72"/>
      <c r="AN674" s="72"/>
      <c r="AO674" s="72"/>
      <c r="AP674" s="72"/>
      <c r="AQ674" s="72"/>
      <c r="AR674" s="110"/>
      <c r="AS674" s="72"/>
      <c r="AT674" s="72"/>
      <c r="AU674" s="5"/>
      <c r="AV674" s="71">
        <f>8*60</f>
        <v>480</v>
      </c>
      <c r="AW674" s="71">
        <f>60*60*24*7</f>
        <v>604800</v>
      </c>
      <c r="AX674" s="71">
        <f>60*60*24*35</f>
        <v>3024000</v>
      </c>
      <c r="AY674" s="42"/>
      <c r="AZ674" s="46"/>
      <c r="BA674" s="42"/>
      <c r="BB674" s="42"/>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1"/>
      <c r="CS674" s="1"/>
      <c r="CT674" s="1"/>
      <c r="CU674" s="1"/>
    </row>
    <row r="675" spans="1:99" s="13" customFormat="1" ht="12" customHeight="1" x14ac:dyDescent="0.2">
      <c r="A675" s="68">
        <v>43906</v>
      </c>
      <c r="B675" s="70" t="s">
        <v>498</v>
      </c>
      <c r="C675" s="70" t="s">
        <v>499</v>
      </c>
      <c r="D675" s="69">
        <v>1985</v>
      </c>
      <c r="E675" s="87">
        <v>2</v>
      </c>
      <c r="F675" s="69">
        <v>48</v>
      </c>
      <c r="G675" s="69">
        <v>48</v>
      </c>
      <c r="H675" s="69" t="s">
        <v>41</v>
      </c>
      <c r="I675" s="69" t="s">
        <v>722</v>
      </c>
      <c r="J675" s="69" t="s">
        <v>16</v>
      </c>
      <c r="K675" s="69">
        <f>IF(J675="syllables",1,IF(J675="trigrams",2,IF(J675="strings",3,IF(J675="visual array",4,IF(J675="characters",5,IF(J675="letters",6,IF(J675="free forms",7,IF(J675="odors",8,IF(J675="words",9,IF(J675="pictures",10,IF(J675="object pictures",11,IF(J675="faces",12,IF(J675="names",13,IF(J675="idioms",14,IF(J675="grades",15,IF(J675="syllable-digit pairs",16,IF(J675="trigram-word pairs",17,IF(J675="word-digit pairs",18,IF(J675="English-Swahili pairs",19,IF(J675="spatial position",20,IF(J675="word pairs",21,IF(J675="word triads",22,IF(J675="generated words",23,IF(J675="word definition pairs",24,IF(J675="math problems",25,IF(J675="famous faces",26,IF(J675="famous names",27,IF(J675="famous voices",28,IF(J675="television programs",29,IF(J675="race horses",30,IF(J675="new vocabulary",31,IF(J675="sentences",32,IF(J675="concepts",33,IF(J675="ad slides",34,IF(J675="scenes",35,IF(J675="famous scenes",36,IF(J675="poems",37,IF(J675="walk",38,IF(J675="faces and events",39,IF(J675="events and names",40,IF(J675="flashbulb",41,IF(J675="stories",42,IF(J675="course material",43,IF(J675="autobiographical",44,IF(J675="novels",45,IF(J675="public events",46,"99"))))))))))))))))))))))))))))))))))))))))))))))</f>
        <v>9</v>
      </c>
      <c r="L675" s="69">
        <f>IF(J675="syllables",1,IF(J675="trigrams",1,IF(J675="strings",1,IF(J675="visual array",1,IF(J675="characters",1,IF(J675="letters",1,IF(J675="free forms",1,IF(J675="odors",2,IF(J675="words",2,IF(J675="pictures",2,IF(J675="object pictures",2,IF(J675="faces",2,IF(J675="names",2,IF(J675="idioms","2",IF(J675="grades",2,IF(J675="syllable-digit pairs",3,IF(J675="trigram-word pairs",3,IF(J675="word-digit pairs",3,IF(J675="English-Swahili pairs",3,IF(J675="spatial position",3,IF(J675="word pairs",4,IF(J675="word triads",4,IF(J675="generated words",4,IF(J675="word definition pairs",4,IF(J675="math problems",4,IF(J675="famous faces",4,IF(J675="famous names",4,IF(J675="famous voices",4,IF(J675="television programs",4,IF(J675="race horses",4,IF(J675="new vocabulary",4,IF(J675="sentences",5,IF(J675="concepts",5,IF(J675="ad slides",5,IF(J675="scenes",5,IF(J675="famous scenes",5,IF(J675="poems",6,IF(J675="walk",6,IF(J675="faces and events",6,IF(J675="events and names",6,IF(J675="flashbulb",7,IF(J675="stories",7,IF(J675="course material",7,IF(J675="autobiographical",7,IF(J675="novels",7,IF(J675="public events",7,"99"))))))))))))))))))))))))))))))))))))))))))))))</f>
        <v>2</v>
      </c>
      <c r="M675" s="69">
        <v>0</v>
      </c>
      <c r="N675" s="69">
        <v>1</v>
      </c>
      <c r="O675" s="69">
        <v>0</v>
      </c>
      <c r="P675" s="69"/>
      <c r="Q675" s="69" t="s">
        <v>125</v>
      </c>
      <c r="R675" s="69">
        <f>IF(Q675="Free Recall",1,IF(Q675="Cued Recall",2,IF(Q675="Recognition",3,IF(Q675="Multiple Choice",4,IF(Q675="Savings",5,IF(Q675="Stem Completion",6,IF(Q675="Fragment Completion",7,IF(Q675="anagram solution",8,IF(Q675="Matching",9,IF(Q675="Problem Solving",10,"99"))))))))))</f>
        <v>7</v>
      </c>
      <c r="S675" s="69" t="s">
        <v>15</v>
      </c>
      <c r="T675" s="92" t="s">
        <v>581</v>
      </c>
      <c r="U675" s="69">
        <f>IF(T675="within",1,0)</f>
        <v>1</v>
      </c>
      <c r="V675" s="92">
        <v>25</v>
      </c>
      <c r="W675" s="69">
        <f>F675*V675</f>
        <v>1200</v>
      </c>
      <c r="X675" s="69">
        <v>3</v>
      </c>
      <c r="Y675" s="87">
        <f>AV674</f>
        <v>480</v>
      </c>
      <c r="Z675" s="92" t="s">
        <v>500</v>
      </c>
      <c r="AA675" s="69">
        <f>60*60*24*35</f>
        <v>3024000</v>
      </c>
      <c r="AB675" s="69" t="str">
        <f>IF(AA675&lt;60,"1",IF(AA675&lt;=43200,"2",IF(AA675&lt;=777600,"3","4")))</f>
        <v>4</v>
      </c>
      <c r="AC675" s="72">
        <f>AVERAGE(AV674:DA674)</f>
        <v>1209760</v>
      </c>
      <c r="AD675" s="69" t="str">
        <f>IF(AC675&lt;60,"1",IF(AC675&lt;=43200,"2",IF(AC675&lt;=777600,"3","4")))</f>
        <v>4</v>
      </c>
      <c r="AE675" s="87">
        <f>AA675-Y675</f>
        <v>3023520</v>
      </c>
      <c r="AF675" s="88">
        <f>AV675</f>
        <v>0.42</v>
      </c>
      <c r="AG675" s="72">
        <f>((AW675-AV675)+(AX675-AW675))/2</f>
        <v>-1.999999999999999E-2</v>
      </c>
      <c r="AH675" s="4"/>
      <c r="AI675" s="72">
        <f>RSQ(AV675:AX675,AV674:AX674)</f>
        <v>0.99723902353386551</v>
      </c>
      <c r="AJ675" s="110">
        <f>SLOPE(AV675:AX675,AV674:AX674)</f>
        <v>-1.2992691226638849E-8</v>
      </c>
      <c r="AK675" s="72">
        <f>INTERCEPT(AV675:AX675,AV674:AX674)</f>
        <v>0.41905137147167193</v>
      </c>
      <c r="AL675" s="72">
        <f>INDEX(LINEST(LN(AV675:AX675),LN(AV674:AX674),TRUE,TRUE),3,1)</f>
        <v>0.64264585833138443</v>
      </c>
      <c r="AM675" s="72">
        <f>INDEX(LINEST(LN(AV675:AX675),LN(AV674:AX674)),1)</f>
        <v>-8.9931235466484474E-3</v>
      </c>
      <c r="AN675" s="72">
        <f>EXP(INDEX(LINEST(LN(AV675:AX675),LN(AV674:AX674)),1,2))</f>
        <v>0.44675384578066613</v>
      </c>
      <c r="AO675" s="89">
        <f>INDEX(LINEST((AV675:AX675),LN(AV674:AX674),TRUE,TRUE),3,1)</f>
        <v>0.652015370606846</v>
      </c>
      <c r="AP675" s="89">
        <f>INDEX(LINEST((AV675:AX675),LN(AV674:AX674)),1)</f>
        <v>-3.6099350721369178E-3</v>
      </c>
      <c r="AQ675" s="90">
        <f>INDEX(LINEST(LN(AV675:AX675),SQRT(AV674:AX674),TRUE,TRUE),3,1)</f>
        <v>0.95158362210662173</v>
      </c>
      <c r="AR675" s="117">
        <f>INDEX(LINEST(LN(AV675:AX675),SQRT((AV674:AX674))),1)</f>
        <v>-5.9210664841435022E-5</v>
      </c>
      <c r="AS675" s="91">
        <f>INDEX(LINEST(1/(AV675:AX675),1/(SQRT(AV674:AX674)),TRUE,TRUE),3,1)</f>
        <v>0.47515490986818776</v>
      </c>
      <c r="AT675" s="91">
        <f>INDEX(LINEST(1/(AV675:AX675),1/SQRT(AV674:AX674)),1)</f>
        <v>-3.502674428852393</v>
      </c>
      <c r="AU675" s="3"/>
      <c r="AV675" s="73">
        <v>0.42</v>
      </c>
      <c r="AW675" s="73">
        <v>0.41</v>
      </c>
      <c r="AX675" s="73">
        <v>0.38</v>
      </c>
      <c r="AY675" s="42"/>
      <c r="AZ675" s="46"/>
      <c r="BA675" s="42"/>
      <c r="BB675" s="42"/>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1"/>
      <c r="CS675" s="1"/>
      <c r="CT675" s="1"/>
      <c r="CU675" s="1"/>
    </row>
    <row r="676" spans="1:99" s="13" customFormat="1" ht="12" customHeight="1" x14ac:dyDescent="0.2">
      <c r="A676" s="65">
        <v>43976</v>
      </c>
      <c r="B676" s="1"/>
      <c r="C676" s="1"/>
      <c r="D676" s="60"/>
      <c r="E676" s="76"/>
      <c r="F676" s="60"/>
      <c r="G676" s="60"/>
      <c r="H676" s="60"/>
      <c r="I676" s="60"/>
      <c r="J676" s="60"/>
      <c r="K676" s="60"/>
      <c r="L676" s="60"/>
      <c r="M676" s="60"/>
      <c r="N676" s="60"/>
      <c r="O676" s="60"/>
      <c r="P676" s="60"/>
      <c r="Q676" s="60"/>
      <c r="R676" s="60"/>
      <c r="S676" s="60"/>
      <c r="T676" s="59"/>
      <c r="U676" s="60"/>
      <c r="V676" s="59"/>
      <c r="W676" s="60"/>
      <c r="X676" s="60"/>
      <c r="Y676" s="76"/>
      <c r="Z676" s="59"/>
      <c r="AA676" s="60"/>
      <c r="AB676" s="60"/>
      <c r="AC676" s="56"/>
      <c r="AD676" s="60"/>
      <c r="AE676" s="76"/>
      <c r="AF676" s="80"/>
      <c r="AG676" s="56"/>
      <c r="AH676" s="4"/>
      <c r="AI676" s="56"/>
      <c r="AJ676" s="109"/>
      <c r="AK676" s="56"/>
      <c r="AL676" s="56"/>
      <c r="AM676" s="56"/>
      <c r="AN676" s="56"/>
      <c r="AO676" s="82"/>
      <c r="AP676" s="82"/>
      <c r="AQ676" s="83"/>
      <c r="AR676" s="116"/>
      <c r="AS676" s="84"/>
      <c r="AT676" s="84"/>
      <c r="AU676" s="3"/>
      <c r="AV676" s="25">
        <v>0.01</v>
      </c>
      <c r="AW676" s="25">
        <v>2</v>
      </c>
      <c r="AX676" s="25">
        <v>5</v>
      </c>
      <c r="AY676" s="25">
        <v>10</v>
      </c>
      <c r="AZ676" s="25">
        <v>20</v>
      </c>
      <c r="BA676" s="53"/>
      <c r="BB676" s="53"/>
      <c r="BC676" s="53"/>
      <c r="BD676" s="53"/>
      <c r="BE676" s="53"/>
      <c r="BF676" s="53"/>
      <c r="BG676" s="53"/>
      <c r="BH676" s="53"/>
      <c r="BI676" s="53"/>
      <c r="BJ676" s="53"/>
      <c r="BK676" s="53"/>
      <c r="BL676" s="53"/>
      <c r="BM676" s="53"/>
      <c r="BN676" s="53"/>
      <c r="BO676" s="53"/>
      <c r="BP676" s="53"/>
      <c r="BQ676" s="53"/>
      <c r="BR676" s="53"/>
      <c r="BS676" s="53"/>
      <c r="BT676" s="53"/>
      <c r="BU676" s="53"/>
      <c r="BV676" s="53"/>
      <c r="BW676" s="53"/>
      <c r="BX676" s="53"/>
      <c r="BY676" s="53"/>
      <c r="BZ676" s="53"/>
      <c r="CA676" s="53"/>
      <c r="CB676" s="53"/>
      <c r="CC676" s="53"/>
      <c r="CD676" s="53"/>
      <c r="CE676" s="53"/>
      <c r="CF676" s="53"/>
      <c r="CG676" s="53"/>
      <c r="CH676" s="53"/>
      <c r="CI676" s="53"/>
      <c r="CJ676" s="53"/>
      <c r="CK676" s="53"/>
      <c r="CL676" s="53"/>
      <c r="CM676" s="53"/>
      <c r="CN676" s="53"/>
      <c r="CO676" s="53"/>
      <c r="CP676" s="53"/>
      <c r="CQ676" s="53"/>
      <c r="CR676" s="1"/>
      <c r="CS676" s="1"/>
      <c r="CT676" s="1"/>
      <c r="CU676" s="1"/>
    </row>
    <row r="677" spans="1:99" s="13" customFormat="1" ht="12" customHeight="1" x14ac:dyDescent="0.2">
      <c r="A677" s="65">
        <v>43976</v>
      </c>
      <c r="B677" s="1" t="s">
        <v>928</v>
      </c>
      <c r="C677" s="1" t="s">
        <v>54</v>
      </c>
      <c r="D677" s="60">
        <v>1985</v>
      </c>
      <c r="E677" s="76">
        <v>1</v>
      </c>
      <c r="F677" s="60">
        <v>16</v>
      </c>
      <c r="G677" s="60">
        <v>16</v>
      </c>
      <c r="H677" s="60" t="s">
        <v>50</v>
      </c>
      <c r="I677" s="60" t="s">
        <v>330</v>
      </c>
      <c r="J677" s="60" t="s">
        <v>16</v>
      </c>
      <c r="K677" s="60">
        <f>IF(J677="syllables",1,IF(J677="trigrams",2,IF(J677="strings",3,IF(J677="visual array",4,IF(J677="characters",5,IF(J677="letters",6,IF(J677="free forms",7,IF(J677="odors",8,IF(J677="words",9,IF(J677="pictures",10,IF(J677="object pictures",11,IF(J677="faces",12,IF(J677="names",13,IF(J677="idioms",14,IF(J677="grades",15,IF(J677="syllable-digit pairs",16,IF(J677="trigram-word pairs",17,IF(J677="word-digit pairs",18,IF(J677="English-Swahili pairs",19,IF(J677="spatial position",20,IF(J677="word pairs",21,IF(J677="word triads",22,IF(J677="generated words",23,IF(J677="word definition pairs",24,IF(J677="math problems",25,IF(J677="famous faces",26,IF(J677="famous names",27,IF(J677="famous voices",28,IF(J677="television programs",29,IF(J677="race horses",30,IF(J677="new vocabulary",31,IF(J677="sentences",32,IF(J677="concepts",33,IF(J677="ad slides",34,IF(J677="scenes",35,IF(J677="famous scenes",36,IF(J677="poems",37,IF(J677="walk",38,IF(J677="faces and events",39,IF(J677="events and names",40,IF(J677="flashbulb",41,IF(J677="stories",42,IF(J677="course material",43,IF(J677="autobiographical",44,IF(J677="novels",45,IF(J677="public events",46,"99"))))))))))))))))))))))))))))))))))))))))))))))</f>
        <v>9</v>
      </c>
      <c r="L677" s="60">
        <f>IF(J677="syllables",1,IF(J677="trigrams",1,IF(J677="strings",1,IF(J677="visual array",1,IF(J677="characters",1,IF(J677="letters",1,IF(J677="free forms",1,IF(J677="odors",2,IF(J677="words",2,IF(J677="pictures",2,IF(J677="object pictures",2,IF(J677="faces",2,IF(J677="names",2,IF(J677="idioms","2",IF(J677="grades",2,IF(J677="syllable-digit pairs",3,IF(J677="trigram-word pairs",3,IF(J677="word-digit pairs",3,IF(J677="English-Swahili pairs",3,IF(J677="spatial position",3,IF(J677="word pairs",4,IF(J677="word triads",4,IF(J677="generated words",4,IF(J677="word definition pairs",4,IF(J677="math problems",4,IF(J677="famous faces",4,IF(J677="famous names",4,IF(J677="famous voices",4,IF(J677="television programs",4,IF(J677="race horses",4,IF(J677="new vocabulary",4,IF(J677="sentences",5,IF(J677="concepts",5,IF(J677="ad slides",5,IF(J677="scenes",5,IF(J677="famous scenes",5,IF(J677="poems",6,IF(J677="walk",6,IF(J677="faces and events",6,IF(J677="events and names",6,IF(J677="flashbulb",7,IF(J677="stories",7,IF(J677="course material",7,IF(J677="autobiographical",7,IF(J677="novels",7,IF(J677="public events",7,"99"))))))))))))))))))))))))))))))))))))))))))))))</f>
        <v>2</v>
      </c>
      <c r="M677" s="60">
        <v>0</v>
      </c>
      <c r="N677" s="60">
        <v>1</v>
      </c>
      <c r="O677" s="60">
        <v>1</v>
      </c>
      <c r="P677" s="60" t="s">
        <v>60</v>
      </c>
      <c r="Q677" s="60" t="s">
        <v>174</v>
      </c>
      <c r="R677" s="60">
        <f>IF(Q677="Free Recall",1,IF(Q677="Cued Recall",2,IF(Q677="Recognition",3,IF(Q677="Multiple Choice",4,IF(Q677="Savings",5,IF(Q677="Stem Completion",6,IF(Q677="Fragment Completion",7,IF(Q677="anagram solution",8,IF(Q677="Matching",9,IF(Q677="Problem Solving",10,"99"))))))))))</f>
        <v>1</v>
      </c>
      <c r="S677" s="60" t="s">
        <v>49</v>
      </c>
      <c r="T677" s="59" t="s">
        <v>581</v>
      </c>
      <c r="U677" s="60">
        <f>IF(T677="within",1,0)</f>
        <v>1</v>
      </c>
      <c r="V677" s="59">
        <v>25</v>
      </c>
      <c r="W677" s="60">
        <f>F677*V677</f>
        <v>400</v>
      </c>
      <c r="X677" s="60">
        <v>5</v>
      </c>
      <c r="Y677" s="76">
        <f>AV676</f>
        <v>0.01</v>
      </c>
      <c r="Z677" s="59" t="s">
        <v>929</v>
      </c>
      <c r="AA677" s="60">
        <v>20</v>
      </c>
      <c r="AB677" s="60" t="str">
        <f>IF(AA677&lt;60,"1",IF(AA677&lt;=43200,"2",IF(AA677&lt;=777600,"3","4")))</f>
        <v>1</v>
      </c>
      <c r="AC677" s="56">
        <f>AVERAGE(AV676:DA676)</f>
        <v>7.4019999999999992</v>
      </c>
      <c r="AD677" s="60" t="str">
        <f>IF(AC677&lt;60,"1",IF(AC677&lt;=43200,"2",IF(AC677&lt;=777600,"3","4")))</f>
        <v>1</v>
      </c>
      <c r="AE677" s="76">
        <f>AA677-Y677</f>
        <v>19.989999999999998</v>
      </c>
      <c r="AF677" s="80">
        <f>AV677</f>
        <v>1</v>
      </c>
      <c r="AG677" s="56">
        <f>((AW677-AV677)+(AX677-AW677)+(AY677-AX677)+(AZ677-AY677))/4</f>
        <v>-0.14781566749002267</v>
      </c>
      <c r="AH677" s="4"/>
      <c r="AI677" s="56">
        <f>RSQ(AV677:AZ677,AV676:AZ676)</f>
        <v>0.73723768534105394</v>
      </c>
      <c r="AJ677" s="109">
        <f>SLOPE(AV677:AZ677,AV676:AZ676)</f>
        <v>-2.613611955210424E-2</v>
      </c>
      <c r="AK677" s="56">
        <f>INTERCEPT(AV677:AZ677,AV676:AZ676)</f>
        <v>0.83931196735093161</v>
      </c>
      <c r="AL677" s="56">
        <f>INDEX(LINEST(LN(AV677:AZ677),LN(AV676:AZ676),TRUE,TRUE),3,1)</f>
        <v>0.80730003501306147</v>
      </c>
      <c r="AM677" s="56">
        <f>INDEX(LINEST(LN(AV677:AZ677),LN(AV676:AZ676)),1)</f>
        <v>-0.10987631838539494</v>
      </c>
      <c r="AN677" s="56">
        <f>EXP(INDEX(LINEST(LN(AV677:AZ677),LN(AV676:AZ676)),1,2))</f>
        <v>0.65256853287809802</v>
      </c>
      <c r="AO677" s="82">
        <f>INDEX(LINEST((AV677:AZ677),LN(AV676:AZ676),TRUE,TRUE),3,1)</f>
        <v>0.88699871587120305</v>
      </c>
      <c r="AP677" s="82">
        <f>INDEX(LINEST((AV677:AZ677),LN(AV676:AZ676)),1)</f>
        <v>-7.55139035608966E-2</v>
      </c>
      <c r="AQ677" s="83">
        <f>INDEX(LINEST(LN(AV677:AZ677),SQRT(AV676:AZ676),TRUE,TRUE),3,1)</f>
        <v>0.96190702682135676</v>
      </c>
      <c r="AR677" s="116">
        <f>INDEX(LINEST(LN(AV677:AZ677),SQRT((AV676:AZ676))),1)</f>
        <v>-0.21838255149512056</v>
      </c>
      <c r="AS677" s="84">
        <f>INDEX(LINEST(1/(AV677:AZ677),1/(SQRT(AV676:AZ676)),TRUE,TRUE),3,1)</f>
        <v>0.48696452658031536</v>
      </c>
      <c r="AT677" s="84">
        <f>INDEX(LINEST(1/(AV677:AZ677),1/SQRT(AV676:AZ676)),1)</f>
        <v>-9.8913528928207775E-2</v>
      </c>
      <c r="AU677" s="3"/>
      <c r="AV677" s="53">
        <v>1</v>
      </c>
      <c r="AW677" s="53">
        <v>0.76617976268333332</v>
      </c>
      <c r="AX677" s="53">
        <v>0.60472593305246936</v>
      </c>
      <c r="AY677" s="53">
        <v>0.449619026355568</v>
      </c>
      <c r="AZ677" s="53">
        <v>0.40873733003990936</v>
      </c>
      <c r="BA677" s="53"/>
      <c r="BB677" s="53"/>
      <c r="BC677" s="53"/>
      <c r="BD677" s="53"/>
      <c r="BE677" s="53"/>
      <c r="BF677" s="53"/>
      <c r="BG677" s="53"/>
      <c r="BH677" s="53"/>
      <c r="BI677" s="53"/>
      <c r="BJ677" s="53"/>
      <c r="BK677" s="53"/>
      <c r="BL677" s="53"/>
      <c r="BM677" s="53"/>
      <c r="BN677" s="53"/>
      <c r="BO677" s="53"/>
      <c r="BP677" s="53"/>
      <c r="BQ677" s="53"/>
      <c r="BR677" s="53"/>
      <c r="BS677" s="53"/>
      <c r="BT677" s="53"/>
      <c r="BU677" s="53"/>
      <c r="BV677" s="53"/>
      <c r="BW677" s="53"/>
      <c r="BX677" s="53"/>
      <c r="BY677" s="53"/>
      <c r="BZ677" s="53"/>
      <c r="CA677" s="53"/>
      <c r="CB677" s="53"/>
      <c r="CC677" s="53"/>
      <c r="CD677" s="53"/>
      <c r="CE677" s="53"/>
      <c r="CF677" s="53"/>
      <c r="CG677" s="53"/>
      <c r="CH677" s="53"/>
      <c r="CI677" s="53"/>
      <c r="CJ677" s="53"/>
      <c r="CK677" s="53"/>
      <c r="CL677" s="53"/>
      <c r="CM677" s="53"/>
      <c r="CN677" s="53"/>
      <c r="CO677" s="53"/>
      <c r="CP677" s="53"/>
      <c r="CQ677" s="53"/>
      <c r="CR677" s="1"/>
      <c r="CS677" s="1"/>
      <c r="CT677" s="1"/>
      <c r="CU677" s="1"/>
    </row>
    <row r="678" spans="1:99" s="13" customFormat="1" ht="12" customHeight="1" x14ac:dyDescent="0.2">
      <c r="A678" s="65">
        <v>43976</v>
      </c>
      <c r="B678" s="1"/>
      <c r="C678" s="1"/>
      <c r="D678" s="60"/>
      <c r="E678" s="76"/>
      <c r="F678" s="60"/>
      <c r="G678" s="60"/>
      <c r="H678" s="60"/>
      <c r="I678" s="60"/>
      <c r="J678" s="60"/>
      <c r="K678" s="60"/>
      <c r="L678" s="60"/>
      <c r="M678" s="60"/>
      <c r="N678" s="60"/>
      <c r="O678" s="60"/>
      <c r="P678" s="60"/>
      <c r="Q678" s="60"/>
      <c r="R678" s="60"/>
      <c r="S678" s="60"/>
      <c r="T678" s="59"/>
      <c r="U678" s="60"/>
      <c r="V678" s="59"/>
      <c r="W678" s="60"/>
      <c r="X678" s="60"/>
      <c r="Y678" s="76"/>
      <c r="Z678" s="59"/>
      <c r="AA678" s="60"/>
      <c r="AB678" s="60"/>
      <c r="AC678" s="56"/>
      <c r="AD678" s="60"/>
      <c r="AE678" s="76"/>
      <c r="AF678" s="80"/>
      <c r="AG678" s="56"/>
      <c r="AH678" s="4"/>
      <c r="AI678" s="56"/>
      <c r="AJ678" s="109"/>
      <c r="AK678" s="56"/>
      <c r="AL678" s="56"/>
      <c r="AM678" s="56"/>
      <c r="AN678" s="56"/>
      <c r="AO678" s="82"/>
      <c r="AP678" s="82"/>
      <c r="AQ678" s="83"/>
      <c r="AR678" s="116"/>
      <c r="AS678" s="84"/>
      <c r="AT678" s="84"/>
      <c r="AU678" s="3"/>
      <c r="AV678" s="25">
        <f>60*10</f>
        <v>600</v>
      </c>
      <c r="AW678" s="25">
        <f>60*60*24</f>
        <v>86400</v>
      </c>
      <c r="AX678" s="25">
        <f>60*60*24*7</f>
        <v>604800</v>
      </c>
      <c r="AY678" s="53"/>
      <c r="AZ678" s="53"/>
      <c r="BA678" s="53"/>
      <c r="BB678" s="53"/>
      <c r="BC678" s="53"/>
      <c r="BD678" s="53"/>
      <c r="BE678" s="53"/>
      <c r="BF678" s="53"/>
      <c r="BG678" s="53"/>
      <c r="BH678" s="53"/>
      <c r="BI678" s="53"/>
      <c r="BJ678" s="53"/>
      <c r="BK678" s="53"/>
      <c r="BL678" s="53"/>
      <c r="BM678" s="53"/>
      <c r="BN678" s="53"/>
      <c r="BO678" s="53"/>
      <c r="BP678" s="53"/>
      <c r="BQ678" s="53"/>
      <c r="BR678" s="53"/>
      <c r="BS678" s="53"/>
      <c r="BT678" s="53"/>
      <c r="BU678" s="53"/>
      <c r="BV678" s="53"/>
      <c r="BW678" s="53"/>
      <c r="BX678" s="53"/>
      <c r="BY678" s="53"/>
      <c r="BZ678" s="53"/>
      <c r="CA678" s="53"/>
      <c r="CB678" s="53"/>
      <c r="CC678" s="53"/>
      <c r="CD678" s="53"/>
      <c r="CE678" s="53"/>
      <c r="CF678" s="53"/>
      <c r="CG678" s="53"/>
      <c r="CH678" s="53"/>
      <c r="CI678" s="53"/>
      <c r="CJ678" s="53"/>
      <c r="CK678" s="53"/>
      <c r="CL678" s="53"/>
      <c r="CM678" s="53"/>
      <c r="CN678" s="53"/>
      <c r="CO678" s="53"/>
      <c r="CP678" s="53"/>
      <c r="CQ678" s="53"/>
      <c r="CR678" s="1"/>
      <c r="CS678" s="1"/>
      <c r="CT678" s="1"/>
      <c r="CU678" s="1"/>
    </row>
    <row r="679" spans="1:99" s="13" customFormat="1" ht="12" customHeight="1" x14ac:dyDescent="0.2">
      <c r="A679" s="65">
        <v>43976</v>
      </c>
      <c r="B679" s="1" t="s">
        <v>928</v>
      </c>
      <c r="C679" s="1" t="s">
        <v>54</v>
      </c>
      <c r="D679" s="60">
        <v>1985</v>
      </c>
      <c r="E679" s="76">
        <v>1</v>
      </c>
      <c r="F679" s="60">
        <v>16</v>
      </c>
      <c r="G679" s="60">
        <v>16</v>
      </c>
      <c r="H679" s="60" t="s">
        <v>41</v>
      </c>
      <c r="I679" s="60" t="s">
        <v>330</v>
      </c>
      <c r="J679" s="60" t="s">
        <v>313</v>
      </c>
      <c r="K679" s="60">
        <f>IF(J679="syllables",1,IF(J679="trigrams",2,IF(J679="strings",3,IF(J679="visual array",4,IF(J679="characters",5,IF(J679="letters",6,IF(J679="free forms",7,IF(J679="odors",8,IF(J679="words",9,IF(J679="pictures",10,IF(J679="object pictures",11,IF(J679="faces",12,IF(J679="names",13,IF(J679="idioms",14,IF(J679="grades",15,IF(J679="syllable-digit pairs",16,IF(J679="trigram-word pairs",17,IF(J679="word-digit pairs",18,IF(J679="English-Swahili pairs",19,IF(J679="spatial position",20,IF(J679="word pairs",21,IF(J679="word triads",22,IF(J679="generated words",23,IF(J679="word definition pairs",24,IF(J679="math problems",25,IF(J679="famous faces",26,IF(J679="famous names",27,IF(J679="famous voices",28,IF(J679="television programs",29,IF(J679="race horses",30,IF(J679="new vocabulary",31,IF(J679="sentences",32,IF(J679="concepts",33,IF(J679="ad slides",34,IF(J679="scenes",35,IF(J679="famous scenes",36,IF(J679="poems",37,IF(J679="walk",38,IF(J679="faces and events",39,IF(J679="events and names",40,IF(J679="flashbulb",41,IF(J679="stories",42,IF(J679="course material",43,IF(J679="autobiographical",44,IF(J679="novels",45,IF(J679="public events",46,"99"))))))))))))))))))))))))))))))))))))))))))))))</f>
        <v>10</v>
      </c>
      <c r="L679" s="60">
        <f>IF(J679="syllables",1,IF(J679="trigrams",1,IF(J679="strings",1,IF(J679="visual array",1,IF(J679="characters",1,IF(J679="letters",1,IF(J679="free forms",1,IF(J679="odors",2,IF(J679="words",2,IF(J679="pictures",2,IF(J679="object pictures",2,IF(J679="faces",2,IF(J679="names",2,IF(J679="idioms","2",IF(J679="grades",2,IF(J679="syllable-digit pairs",3,IF(J679="trigram-word pairs",3,IF(J679="word-digit pairs",3,IF(J679="English-Swahili pairs",3,IF(J679="spatial position",3,IF(J679="word pairs",4,IF(J679="word triads",4,IF(J679="generated words",4,IF(J679="word definition pairs",4,IF(J679="math problems",4,IF(J679="famous faces",4,IF(J679="famous names",4,IF(J679="famous voices",4,IF(J679="television programs",4,IF(J679="race horses",4,IF(J679="new vocabulary",4,IF(J679="sentences",5,IF(J679="concepts",5,IF(J679="ad slides",5,IF(J679="scenes",5,IF(J679="famous scenes",5,IF(J679="poems",6,IF(J679="walk",6,IF(J679="faces and events",6,IF(J679="events and names",6,IF(J679="flashbulb",7,IF(J679="stories",7,IF(J679="course material",7,IF(J679="autobiographical",7,IF(J679="novels",7,IF(J679="public events",7,"99"))))))))))))))))))))))))))))))))))))))))))))))</f>
        <v>2</v>
      </c>
      <c r="M679" s="60">
        <v>0</v>
      </c>
      <c r="N679" s="60">
        <v>1</v>
      </c>
      <c r="O679" s="60">
        <v>0</v>
      </c>
      <c r="P679" s="60"/>
      <c r="Q679" s="60" t="s">
        <v>34</v>
      </c>
      <c r="R679" s="60">
        <f>IF(Q679="Free Recall",1,IF(Q679="Cued Recall",2,IF(Q679="Recognition",3,IF(Q679="Multiple Choice",4,IF(Q679="Savings",5,IF(Q679="Stem Completion",6,IF(Q679="Fragment Completion",7,IF(Q679="anagram solution",8,IF(Q679="Matching",9,IF(Q679="Problem Solving",10,"99"))))))))))</f>
        <v>3</v>
      </c>
      <c r="S679" s="60" t="s">
        <v>15</v>
      </c>
      <c r="T679" s="59" t="s">
        <v>581</v>
      </c>
      <c r="U679" s="60">
        <f>IF(T679="within",1,0)</f>
        <v>1</v>
      </c>
      <c r="V679" s="59">
        <v>120</v>
      </c>
      <c r="W679" s="60">
        <f>F679*V679</f>
        <v>1920</v>
      </c>
      <c r="X679" s="60">
        <v>3</v>
      </c>
      <c r="Y679" s="76">
        <f>AV678</f>
        <v>600</v>
      </c>
      <c r="Z679" s="60" t="s">
        <v>97</v>
      </c>
      <c r="AA679" s="60">
        <v>604800</v>
      </c>
      <c r="AB679" s="60" t="str">
        <f>IF(AA679&lt;60,"1",IF(AA679&lt;=43200,"2",IF(AA679&lt;=777600,"3","4")))</f>
        <v>3</v>
      </c>
      <c r="AC679" s="56">
        <f>AVERAGE(AV678:DA678)</f>
        <v>230600</v>
      </c>
      <c r="AD679" s="60" t="str">
        <f>IF(AC679&lt;60,"1",IF(AC679&lt;=43200,"2",IF(AC679&lt;=777600,"3","4")))</f>
        <v>3</v>
      </c>
      <c r="AE679" s="76">
        <f>AA679-Y679</f>
        <v>604200</v>
      </c>
      <c r="AF679" s="80">
        <f>AV679</f>
        <v>0.81442509826868004</v>
      </c>
      <c r="AG679" s="56">
        <f>((AW679-AV679)+(AX679-AW679))/2</f>
        <v>-0.10779416920246299</v>
      </c>
      <c r="AH679" s="4"/>
      <c r="AI679" s="56">
        <f>RSQ(AV679:AX679,AV678:AX678)</f>
        <v>0.83893050318398321</v>
      </c>
      <c r="AJ679" s="109">
        <f>SLOPE(AV679:AX679,AV678:AX678)</f>
        <v>-3.0209746671927545E-7</v>
      </c>
      <c r="AK679" s="56">
        <f>INTERCEPT(AV679:AX679,AV678:AX678)</f>
        <v>0.77498812325723765</v>
      </c>
      <c r="AL679" s="56">
        <f>INDEX(LINEST(LN(AV679:AX679),LN(AV678:AX678),TRUE,TRUE),3,1)</f>
        <v>0.92854652780261737</v>
      </c>
      <c r="AM679" s="56">
        <f>INDEX(LINEST(LN(AV679:AX679),LN(AV678:AX678)),1)</f>
        <v>-4.1553017301313395E-2</v>
      </c>
      <c r="AN679" s="56">
        <f>EXP(INDEX(LINEST(LN(AV679:AX679),LN(AV678:AX678)),1,2))</f>
        <v>1.0762567578338706</v>
      </c>
      <c r="AO679" s="82">
        <f>INDEX(LINEST((AV679:AX679),LN(AV678:AX678),TRUE,TRUE),3,1)</f>
        <v>0.94966075549527063</v>
      </c>
      <c r="AP679" s="82">
        <f>INDEX(LINEST((AV679:AX679),LN(AV678:AX678)),1)</f>
        <v>-2.9461306544186099E-2</v>
      </c>
      <c r="AQ679" s="83">
        <f>INDEX(LINEST(LN(AV679:AX679),SQRT(AV678:AX678),TRUE,TRUE),3,1)</f>
        <v>0.98066532496485592</v>
      </c>
      <c r="AR679" s="116">
        <f>INDEX(LINEST(LN(AV679:AX679),SQRT((AV678:AX678))),1)</f>
        <v>-3.9904811753857381E-4</v>
      </c>
      <c r="AS679" s="84">
        <f>INDEX(LINEST(1/(AV679:AX679),1/(SQRT(AV678:AX678)),TRUE,TRUE),3,1)</f>
        <v>0.73269464500909887</v>
      </c>
      <c r="AT679" s="84">
        <f>INDEX(LINEST(1/(AV679:AX679),1/SQRT(AV678:AX678)),1)</f>
        <v>-8.5252437347902585</v>
      </c>
      <c r="AU679" s="3"/>
      <c r="AV679" s="53">
        <v>0.81442509826868004</v>
      </c>
      <c r="AW679" s="53">
        <v>0.70271148416288398</v>
      </c>
      <c r="AX679" s="53">
        <v>0.59883675986375406</v>
      </c>
      <c r="AY679" s="53"/>
      <c r="AZ679" s="53"/>
      <c r="BA679" s="53"/>
      <c r="BB679" s="53"/>
      <c r="BC679" s="53"/>
      <c r="BD679" s="53"/>
      <c r="BE679" s="53"/>
      <c r="BF679" s="53"/>
      <c r="BG679" s="53"/>
      <c r="BH679" s="53"/>
      <c r="BI679" s="53"/>
      <c r="BJ679" s="53"/>
      <c r="BK679" s="53"/>
      <c r="BL679" s="53"/>
      <c r="BM679" s="53"/>
      <c r="BN679" s="53"/>
      <c r="BO679" s="53"/>
      <c r="BP679" s="53"/>
      <c r="BQ679" s="53"/>
      <c r="BR679" s="53"/>
      <c r="BS679" s="53"/>
      <c r="BT679" s="53"/>
      <c r="BU679" s="53"/>
      <c r="BV679" s="53"/>
      <c r="BW679" s="53"/>
      <c r="BX679" s="53"/>
      <c r="BY679" s="53"/>
      <c r="BZ679" s="53"/>
      <c r="CA679" s="53"/>
      <c r="CB679" s="53"/>
      <c r="CC679" s="53"/>
      <c r="CD679" s="53"/>
      <c r="CE679" s="53"/>
      <c r="CF679" s="53"/>
      <c r="CG679" s="53"/>
      <c r="CH679" s="53"/>
      <c r="CI679" s="53"/>
      <c r="CJ679" s="53"/>
      <c r="CK679" s="53"/>
      <c r="CL679" s="53"/>
      <c r="CM679" s="53"/>
      <c r="CN679" s="53"/>
      <c r="CO679" s="53"/>
      <c r="CP679" s="53"/>
      <c r="CQ679" s="53"/>
      <c r="CR679" s="1"/>
      <c r="CS679" s="1"/>
      <c r="CT679" s="1"/>
      <c r="CU679" s="1"/>
    </row>
    <row r="680" spans="1:99" s="13" customFormat="1" ht="12" customHeight="1" x14ac:dyDescent="0.2">
      <c r="A680" s="68">
        <v>43896</v>
      </c>
      <c r="B680" s="70"/>
      <c r="C680" s="70"/>
      <c r="D680" s="69"/>
      <c r="E680" s="87"/>
      <c r="F680" s="69"/>
      <c r="G680" s="69"/>
      <c r="H680" s="69"/>
      <c r="I680" s="69"/>
      <c r="J680" s="69"/>
      <c r="K680" s="107"/>
      <c r="L680" s="107"/>
      <c r="M680" s="69"/>
      <c r="N680" s="92"/>
      <c r="O680" s="69"/>
      <c r="P680" s="69"/>
      <c r="Q680" s="69"/>
      <c r="R680" s="69"/>
      <c r="S680" s="69"/>
      <c r="T680" s="69"/>
      <c r="U680" s="69"/>
      <c r="V680" s="69"/>
      <c r="W680" s="69"/>
      <c r="X680" s="69"/>
      <c r="Y680" s="87"/>
      <c r="Z680" s="92"/>
      <c r="AA680" s="92"/>
      <c r="AB680" s="69"/>
      <c r="AC680" s="72"/>
      <c r="AD680" s="69"/>
      <c r="AE680" s="69"/>
      <c r="AF680" s="88"/>
      <c r="AG680" s="72"/>
      <c r="AH680" s="4"/>
      <c r="AI680" s="72"/>
      <c r="AJ680" s="110"/>
      <c r="AK680" s="72"/>
      <c r="AL680" s="72"/>
      <c r="AM680" s="72"/>
      <c r="AN680" s="72"/>
      <c r="AO680" s="89"/>
      <c r="AP680" s="89"/>
      <c r="AQ680" s="90"/>
      <c r="AR680" s="117"/>
      <c r="AS680" s="91"/>
      <c r="AT680" s="91"/>
      <c r="AU680" s="3"/>
      <c r="AV680" s="71">
        <v>315360000</v>
      </c>
      <c r="AW680" s="71">
        <v>630720000</v>
      </c>
      <c r="AX680" s="71">
        <v>646080000</v>
      </c>
      <c r="AY680" s="71">
        <v>12614400000</v>
      </c>
      <c r="AZ680" s="71">
        <v>1576800000</v>
      </c>
      <c r="BA680" s="53"/>
      <c r="BB680" s="42"/>
      <c r="BC680" s="28"/>
      <c r="BD680" s="28"/>
      <c r="BE680" s="28"/>
      <c r="BF680" s="28"/>
      <c r="BG680" s="28"/>
      <c r="BH680" s="28"/>
      <c r="BI680" s="28"/>
      <c r="BJ680" s="28"/>
      <c r="BK680" s="28"/>
      <c r="BL680" s="28"/>
      <c r="BM680" s="28"/>
      <c r="BN680" s="28"/>
      <c r="BO680" s="28"/>
      <c r="BP680" s="28"/>
      <c r="BQ680" s="28"/>
      <c r="BR680" s="28"/>
      <c r="BS680" s="28"/>
      <c r="BT680" s="28"/>
      <c r="BU680" s="28"/>
      <c r="BV680" s="28"/>
      <c r="BW680" s="28"/>
      <c r="BX680" s="28"/>
      <c r="BY680" s="28"/>
      <c r="BZ680" s="28"/>
      <c r="CA680" s="28"/>
      <c r="CB680" s="28"/>
      <c r="CC680" s="28"/>
      <c r="CD680" s="28"/>
      <c r="CE680" s="28"/>
      <c r="CF680" s="28"/>
      <c r="CG680" s="28"/>
      <c r="CH680" s="28"/>
      <c r="CI680" s="28"/>
      <c r="CJ680" s="28"/>
      <c r="CK680" s="28"/>
      <c r="CL680" s="28"/>
      <c r="CM680" s="28"/>
      <c r="CN680" s="28"/>
      <c r="CO680" s="28"/>
      <c r="CP680" s="28"/>
      <c r="CQ680" s="28"/>
      <c r="CR680" s="1"/>
      <c r="CS680" s="1"/>
      <c r="CT680" s="1"/>
      <c r="CU680" s="1"/>
    </row>
    <row r="681" spans="1:99" s="13" customFormat="1" ht="12" customHeight="1" x14ac:dyDescent="0.2">
      <c r="A681" s="68">
        <v>43896</v>
      </c>
      <c r="B681" s="70" t="s">
        <v>358</v>
      </c>
      <c r="C681" s="70" t="s">
        <v>54</v>
      </c>
      <c r="D681" s="69">
        <v>1989</v>
      </c>
      <c r="E681" s="87">
        <v>1</v>
      </c>
      <c r="F681" s="69">
        <v>16</v>
      </c>
      <c r="G681" s="69">
        <v>16</v>
      </c>
      <c r="H681" s="69" t="s">
        <v>41</v>
      </c>
      <c r="I681" s="69" t="s">
        <v>330</v>
      </c>
      <c r="J681" s="69" t="s">
        <v>340</v>
      </c>
      <c r="K681" s="69">
        <f>IF(J681="syllables",1,IF(J681="trigrams",2,IF(J681="strings",3,IF(J681="visual array",4,IF(J681="characters",5,IF(J681="letters",6,IF(J681="free forms",7,IF(J681="odors",8,IF(J681="words",9,IF(J681="pictures",10,IF(J681="object pictures",11,IF(J681="faces",12,IF(J681="names",13,IF(J681="idioms",14,IF(J681="grades",15,IF(J681="syllable-digit pairs",16,IF(J681="trigram-word pairs",17,IF(J681="word-digit pairs",18,IF(J681="English-Swahili pairs",19,IF(J681="spatial position",20,IF(J681="word pairs",21,IF(J681="word triads",22,IF(J681="generated words",23,IF(J681="word definition pairs",24,IF(J681="math problems",25,IF(J681="famous faces",26,IF(J681="famous names",27,IF(J681="famous voices",28,IF(J681="television programs",29,IF(J681="race horses",30,IF(J681="new vocabulary",31,IF(J681="sentences",32,IF(J681="concepts",33,IF(J681="ad slides",34,IF(J681="scenes",35,IF(J681="famous scenes",36,IF(J681="poems",37,IF(J681="walk",38,IF(J681="faces and events",39,IF(J681="events and names",40,IF(J681="flashbulb",41,IF(J681="stories",42,IF(J681="course material",43,IF(J681="autobiographical",44,IF(J681="novels",45,IF(J681="public events",46,"99"))))))))))))))))))))))))))))))))))))))))))))))</f>
        <v>46</v>
      </c>
      <c r="L681" s="69">
        <f>IF(J681="syllables",1,IF(J681="trigrams",1,IF(J681="strings",1,IF(J681="visual array",1,IF(J681="characters",1,IF(J681="letters",1,IF(J681="free forms",1,IF(J681="odors",2,IF(J681="words",2,IF(J681="pictures",2,IF(J681="object pictures",2,IF(J681="faces",2,IF(J681="names",2,IF(J681="idioms","2",IF(J681="grades",2,IF(J681="syllable-digit pairs",3,IF(J681="trigram-word pairs",3,IF(J681="word-digit pairs",3,IF(J681="English-Swahili pairs",3,IF(J681="spatial position",3,IF(J681="word pairs",4,IF(J681="word triads",4,IF(J681="generated words",4,IF(J681="word definition pairs",4,IF(J681="math problems",4,IF(J681="famous faces",4,IF(J681="famous names",4,IF(J681="famous voices",4,IF(J681="television programs",4,IF(J681="race horses",4,IF(J681="new vocabulary",4,IF(J681="sentences",5,IF(J681="concepts",5,IF(J681="ad slides",5,IF(J681="scenes",5,IF(J681="famous scenes",5,IF(J681="poems",6,IF(J681="walk",6,IF(J681="faces and events",6,IF(J681="events and names",6,IF(J681="flashbulb",7,IF(J681="stories",7,IF(J681="course material",7,IF(J681="autobiographical",7,IF(J681="novels",7,IF(J681="public events",7,"99"))))))))))))))))))))))))))))))))))))))))))))))</f>
        <v>7</v>
      </c>
      <c r="M681" s="69">
        <v>1</v>
      </c>
      <c r="N681" s="92">
        <v>4</v>
      </c>
      <c r="O681" s="69">
        <v>0</v>
      </c>
      <c r="P681" s="69"/>
      <c r="Q681" s="69" t="s">
        <v>174</v>
      </c>
      <c r="R681" s="69">
        <f>IF(Q681="Free Recall",1,IF(Q681="Cued Recall",2,IF(Q681="Recognition",3,IF(Q681="Multiple Choice",4,IF(Q681="Savings",5,IF(Q681="Stem Completion",6,IF(Q681="Fragment Completion",7,IF(Q681="anagram solution",8,IF(Q681="Matching",9,IF(Q681="Problem Solving",10,"99"))))))))))</f>
        <v>1</v>
      </c>
      <c r="S681" s="69" t="s">
        <v>49</v>
      </c>
      <c r="T681" s="92" t="s">
        <v>581</v>
      </c>
      <c r="U681" s="69">
        <f>IF(T681="within",1,0)</f>
        <v>1</v>
      </c>
      <c r="V681" s="92">
        <v>50</v>
      </c>
      <c r="W681" s="69">
        <f>F681*V681</f>
        <v>800</v>
      </c>
      <c r="X681" s="69">
        <v>5</v>
      </c>
      <c r="Y681" s="87">
        <f>AV680</f>
        <v>315360000</v>
      </c>
      <c r="Z681" s="92" t="s">
        <v>209</v>
      </c>
      <c r="AA681" s="69">
        <f>50*365*24*60*60</f>
        <v>1576800000</v>
      </c>
      <c r="AB681" s="69" t="str">
        <f>IF(AA681&lt;60,"1",IF(AA681&lt;=43200,"2",IF(AA681&lt;=777600,"3","4")))</f>
        <v>4</v>
      </c>
      <c r="AC681" s="72">
        <f>AVERAGE(AV680:DA680)</f>
        <v>3156672000</v>
      </c>
      <c r="AD681" s="69" t="str">
        <f>IF(AC681&lt;60,"1",IF(AC681&lt;=43200,"2",IF(AC681&lt;=777600,"3","4")))</f>
        <v>4</v>
      </c>
      <c r="AE681" s="87">
        <f>AA681-Y681</f>
        <v>1261440000</v>
      </c>
      <c r="AF681" s="88">
        <f>AV681</f>
        <v>0.66666666666666674</v>
      </c>
      <c r="AG681" s="72">
        <f>((AW681-AV681)+(AX681-AW681)+(AY681-AX681)+(AZ681-AY681))/4</f>
        <v>-2.6041666666666657E-2</v>
      </c>
      <c r="AH681" s="4"/>
      <c r="AI681" s="72">
        <f>RSQ(AV681:AZ681,AV680:AZ680)</f>
        <v>0.34108354806196128</v>
      </c>
      <c r="AJ681" s="110">
        <f>SLOPE(AV681:AZ681,AV680:AZ680)</f>
        <v>-5.9162530680544804E-12</v>
      </c>
      <c r="AK681" s="72">
        <f>INTERCEPT(AV681:AZ681,AV680:AZ680)</f>
        <v>0.59466773389690519</v>
      </c>
      <c r="AL681" s="72">
        <f>INDEX(LINEST(LN(AV681:AZ681),LN(AV680:AZ680),TRUE,TRUE),3,1)</f>
        <v>0.59628035336701501</v>
      </c>
      <c r="AM681" s="72">
        <f>INDEX(LINEST(LN(AV681:AZ681),LN(AV680:AZ680)),1)</f>
        <v>-4.8463934323627805E-2</v>
      </c>
      <c r="AN681" s="72">
        <f>EXP(INDEX(LINEST(LN(AV681:AZ681),LN(AV680:AZ680)),1,2))</f>
        <v>1.5816294583612749</v>
      </c>
      <c r="AO681" s="89">
        <f>INDEX(LINEST((AV681:AZ681),LN(AV680:AZ680),TRUE,TRUE),3,1)</f>
        <v>0.56639905020568171</v>
      </c>
      <c r="AP681" s="89">
        <f>INDEX(LINEST((AV681:AZ681),LN(AV680:AZ680)),1)</f>
        <v>-2.8278391475438095E-2</v>
      </c>
      <c r="AQ681" s="90">
        <f>INDEX(LINEST(LN(AV681:AZ681),SQRT(AV680:AZ680),TRUE,TRUE),3,1)</f>
        <v>0.44985289340621376</v>
      </c>
      <c r="AR681" s="117">
        <f>INDEX(LINEST(LN(AV681:AZ681),SQRT((AV680:AZ680))),1)</f>
        <v>-1.545665415309348E-6</v>
      </c>
      <c r="AS681" s="91">
        <f>INDEX(LINEST(1/(AV681:AZ681),1/(SQRT(AV680:AZ680)),TRUE,TRUE),3,1)</f>
        <v>0.7861401864935218</v>
      </c>
      <c r="AT681" s="91">
        <f>INDEX(LINEST(1/(AV681:AZ681),1/SQRT(AV680:AZ680)),1)</f>
        <v>-7514.0184880640663</v>
      </c>
      <c r="AU681" s="3"/>
      <c r="AV681" s="73">
        <v>0.66666666666666674</v>
      </c>
      <c r="AW681" s="73">
        <v>0.55555555555555558</v>
      </c>
      <c r="AX681" s="73">
        <v>0.5714285714285714</v>
      </c>
      <c r="AY681" s="73">
        <v>0.52380952380952384</v>
      </c>
      <c r="AZ681" s="73">
        <v>0.56250000000000011</v>
      </c>
      <c r="BA681" s="53"/>
      <c r="BB681" s="42"/>
      <c r="BC681" s="28"/>
      <c r="BD681" s="28"/>
      <c r="BE681" s="28"/>
      <c r="BF681" s="28"/>
      <c r="BG681" s="28"/>
      <c r="BH681" s="28"/>
      <c r="BI681" s="28"/>
      <c r="BJ681" s="28"/>
      <c r="BK681" s="28"/>
      <c r="BL681" s="28"/>
      <c r="BM681" s="28"/>
      <c r="BN681" s="28"/>
      <c r="BO681" s="28"/>
      <c r="BP681" s="28"/>
      <c r="BQ681" s="28"/>
      <c r="BR681" s="28"/>
      <c r="BS681" s="28"/>
      <c r="BT681" s="28"/>
      <c r="BU681" s="28"/>
      <c r="BV681" s="28"/>
      <c r="BW681" s="28"/>
      <c r="BX681" s="28"/>
      <c r="BY681" s="28"/>
      <c r="BZ681" s="28"/>
      <c r="CA681" s="28"/>
      <c r="CB681" s="28"/>
      <c r="CC681" s="28"/>
      <c r="CD681" s="28"/>
      <c r="CE681" s="28"/>
      <c r="CF681" s="28"/>
      <c r="CG681" s="28"/>
      <c r="CH681" s="28"/>
      <c r="CI681" s="28"/>
      <c r="CJ681" s="28"/>
      <c r="CK681" s="28"/>
      <c r="CL681" s="28"/>
      <c r="CM681" s="28"/>
      <c r="CN681" s="28"/>
      <c r="CO681" s="28"/>
      <c r="CP681" s="28"/>
      <c r="CQ681" s="28"/>
      <c r="CR681" s="1"/>
      <c r="CS681" s="1"/>
      <c r="CT681" s="1"/>
      <c r="CU681" s="1"/>
    </row>
    <row r="682" spans="1:99" s="13" customFormat="1" ht="12" customHeight="1" x14ac:dyDescent="0.2">
      <c r="A682" s="68">
        <v>43896</v>
      </c>
      <c r="B682" s="70"/>
      <c r="C682" s="70"/>
      <c r="D682" s="69"/>
      <c r="E682" s="87"/>
      <c r="F682" s="69"/>
      <c r="G682" s="69"/>
      <c r="H682" s="69"/>
      <c r="I682" s="69"/>
      <c r="J682" s="69"/>
      <c r="K682" s="107"/>
      <c r="L682" s="107"/>
      <c r="M682" s="69"/>
      <c r="N682" s="92"/>
      <c r="O682" s="69"/>
      <c r="P682" s="69"/>
      <c r="Q682" s="69"/>
      <c r="R682" s="69"/>
      <c r="S682" s="69"/>
      <c r="T682" s="69"/>
      <c r="U682" s="69"/>
      <c r="V682" s="69"/>
      <c r="W682" s="69"/>
      <c r="X682" s="69"/>
      <c r="Y682" s="87"/>
      <c r="Z682" s="92"/>
      <c r="AA682" s="92"/>
      <c r="AB682" s="69"/>
      <c r="AC682" s="72"/>
      <c r="AD682" s="69"/>
      <c r="AE682" s="69"/>
      <c r="AF682" s="88"/>
      <c r="AG682" s="72"/>
      <c r="AH682" s="4"/>
      <c r="AI682" s="72"/>
      <c r="AJ682" s="110"/>
      <c r="AK682" s="72"/>
      <c r="AL682" s="72"/>
      <c r="AM682" s="72"/>
      <c r="AN682" s="72"/>
      <c r="AO682" s="89"/>
      <c r="AP682" s="89"/>
      <c r="AQ682" s="90"/>
      <c r="AR682" s="117"/>
      <c r="AS682" s="91"/>
      <c r="AT682" s="91"/>
      <c r="AU682" s="3"/>
      <c r="AV682" s="71">
        <v>315360000</v>
      </c>
      <c r="AW682" s="71">
        <v>630720000</v>
      </c>
      <c r="AX682" s="71">
        <v>646080000</v>
      </c>
      <c r="AY682" s="71">
        <v>12614400000</v>
      </c>
      <c r="AZ682" s="71">
        <v>1576800000</v>
      </c>
      <c r="BA682" s="53"/>
      <c r="BB682" s="42"/>
      <c r="BC682" s="28"/>
      <c r="BD682" s="28"/>
      <c r="BE682" s="28"/>
      <c r="BF682" s="28"/>
      <c r="BG682" s="28"/>
      <c r="BH682" s="28"/>
      <c r="BI682" s="28"/>
      <c r="BJ682" s="28"/>
      <c r="BK682" s="28"/>
      <c r="BL682" s="28"/>
      <c r="BM682" s="28"/>
      <c r="BN682" s="28"/>
      <c r="BO682" s="28"/>
      <c r="BP682" s="28"/>
      <c r="BQ682" s="28"/>
      <c r="BR682" s="28"/>
      <c r="BS682" s="28"/>
      <c r="BT682" s="28"/>
      <c r="BU682" s="28"/>
      <c r="BV682" s="28"/>
      <c r="BW682" s="28"/>
      <c r="BX682" s="28"/>
      <c r="BY682" s="28"/>
      <c r="BZ682" s="28"/>
      <c r="CA682" s="28"/>
      <c r="CB682" s="28"/>
      <c r="CC682" s="28"/>
      <c r="CD682" s="28"/>
      <c r="CE682" s="28"/>
      <c r="CF682" s="28"/>
      <c r="CG682" s="28"/>
      <c r="CH682" s="28"/>
      <c r="CI682" s="28"/>
      <c r="CJ682" s="28"/>
      <c r="CK682" s="28"/>
      <c r="CL682" s="28"/>
      <c r="CM682" s="28"/>
      <c r="CN682" s="28"/>
      <c r="CO682" s="28"/>
      <c r="CP682" s="28"/>
      <c r="CQ682" s="28"/>
      <c r="CR682" s="1"/>
      <c r="CS682" s="1"/>
      <c r="CT682" s="1"/>
      <c r="CU682" s="1"/>
    </row>
    <row r="683" spans="1:99" s="13" customFormat="1" ht="12" customHeight="1" x14ac:dyDescent="0.2">
      <c r="A683" s="68">
        <v>43896</v>
      </c>
      <c r="B683" s="70" t="s">
        <v>358</v>
      </c>
      <c r="C683" s="70" t="s">
        <v>54</v>
      </c>
      <c r="D683" s="69">
        <v>1989</v>
      </c>
      <c r="E683" s="87">
        <v>1</v>
      </c>
      <c r="F683" s="69">
        <v>16</v>
      </c>
      <c r="G683" s="69">
        <v>16</v>
      </c>
      <c r="H683" s="69" t="s">
        <v>17</v>
      </c>
      <c r="I683" s="69" t="s">
        <v>330</v>
      </c>
      <c r="J683" s="69" t="s">
        <v>340</v>
      </c>
      <c r="K683" s="69">
        <f>IF(J683="syllables",1,IF(J683="trigrams",2,IF(J683="strings",3,IF(J683="visual array",4,IF(J683="characters",5,IF(J683="letters",6,IF(J683="free forms",7,IF(J683="odors",8,IF(J683="words",9,IF(J683="pictures",10,IF(J683="object pictures",11,IF(J683="faces",12,IF(J683="names",13,IF(J683="idioms",14,IF(J683="grades",15,IF(J683="syllable-digit pairs",16,IF(J683="trigram-word pairs",17,IF(J683="word-digit pairs",18,IF(J683="English-Swahili pairs",19,IF(J683="spatial position",20,IF(J683="word pairs",21,IF(J683="word triads",22,IF(J683="generated words",23,IF(J683="word definition pairs",24,IF(J683="math problems",25,IF(J683="famous faces",26,IF(J683="famous names",27,IF(J683="famous voices",28,IF(J683="television programs",29,IF(J683="race horses",30,IF(J683="new vocabulary",31,IF(J683="sentences",32,IF(J683="concepts",33,IF(J683="ad slides",34,IF(J683="scenes",35,IF(J683="famous scenes",36,IF(J683="poems",37,IF(J683="walk",38,IF(J683="faces and events",39,IF(J683="events and names",40,IF(J683="flashbulb",41,IF(J683="stories",42,IF(J683="course material",43,IF(J683="autobiographical",44,IF(J683="novels",45,IF(J683="public events",46,"99"))))))))))))))))))))))))))))))))))))))))))))))</f>
        <v>46</v>
      </c>
      <c r="L683" s="69">
        <f>IF(J683="syllables",1,IF(J683="trigrams",1,IF(J683="strings",1,IF(J683="visual array",1,IF(J683="characters",1,IF(J683="letters",1,IF(J683="free forms",1,IF(J683="odors",2,IF(J683="words",2,IF(J683="pictures",2,IF(J683="object pictures",2,IF(J683="faces",2,IF(J683="names",2,IF(J683="idioms","2",IF(J683="grades",2,IF(J683="syllable-digit pairs",3,IF(J683="trigram-word pairs",3,IF(J683="word-digit pairs",3,IF(J683="English-Swahili pairs",3,IF(J683="spatial position",3,IF(J683="word pairs",4,IF(J683="word triads",4,IF(J683="generated words",4,IF(J683="word definition pairs",4,IF(J683="math problems",4,IF(J683="famous faces",4,IF(J683="famous names",4,IF(J683="famous voices",4,IF(J683="television programs",4,IF(J683="race horses",4,IF(J683="new vocabulary",4,IF(J683="sentences",5,IF(J683="concepts",5,IF(J683="ad slides",5,IF(J683="scenes",5,IF(J683="famous scenes",5,IF(J683="poems",6,IF(J683="walk",6,IF(J683="faces and events",6,IF(J683="events and names",6,IF(J683="flashbulb",7,IF(J683="stories",7,IF(J683="course material",7,IF(J683="autobiographical",7,IF(J683="novels",7,IF(J683="public events",7,"99"))))))))))))))))))))))))))))))))))))))))))))))</f>
        <v>7</v>
      </c>
      <c r="M683" s="69">
        <v>1</v>
      </c>
      <c r="N683" s="92">
        <v>4</v>
      </c>
      <c r="O683" s="69">
        <v>0</v>
      </c>
      <c r="P683" s="69"/>
      <c r="Q683" s="69" t="s">
        <v>182</v>
      </c>
      <c r="R683" s="69">
        <f>IF(Q683="Free Recall",1,IF(Q683="Cued Recall",2,IF(Q683="Recognition",3,IF(Q683="Multiple Choice",4,IF(Q683="Savings",5,IF(Q683="Stem Completion",6,IF(Q683="Fragment Completion",7,IF(Q683="anagram solution",8,IF(Q683="Matching",9,IF(Q683="Problem Solving",10,"99"))))))))))</f>
        <v>4</v>
      </c>
      <c r="S683" s="69" t="s">
        <v>15</v>
      </c>
      <c r="T683" s="92" t="s">
        <v>581</v>
      </c>
      <c r="U683" s="69">
        <f>IF(T683="within",1,0)</f>
        <v>1</v>
      </c>
      <c r="V683" s="92">
        <v>50</v>
      </c>
      <c r="W683" s="69">
        <f>F683*V683</f>
        <v>800</v>
      </c>
      <c r="X683" s="69">
        <v>5</v>
      </c>
      <c r="Y683" s="87">
        <f>AV682</f>
        <v>315360000</v>
      </c>
      <c r="Z683" s="92" t="s">
        <v>209</v>
      </c>
      <c r="AA683" s="69">
        <f>50*365*24*60*60</f>
        <v>1576800000</v>
      </c>
      <c r="AB683" s="69" t="str">
        <f>IF(AA683&lt;60,"1",IF(AA683&lt;=43200,"2",IF(AA683&lt;=777600,"3","4")))</f>
        <v>4</v>
      </c>
      <c r="AC683" s="72">
        <f>AVERAGE(AV682:DA682)</f>
        <v>3156672000</v>
      </c>
      <c r="AD683" s="69" t="str">
        <f>IF(AC683&lt;60,"1",IF(AC683&lt;=43200,"2",IF(AC683&lt;=777600,"3","4")))</f>
        <v>4</v>
      </c>
      <c r="AE683" s="87">
        <f>AA683-Y683</f>
        <v>1261440000</v>
      </c>
      <c r="AF683" s="88">
        <f>AV683</f>
        <v>0.79999999999999993</v>
      </c>
      <c r="AG683" s="72">
        <f>((AW683-AV683)+(AX683-AW683)+(AY683-AX683)+(AZ683-AY683))/4</f>
        <v>-2.5757575757575729E-2</v>
      </c>
      <c r="AH683" s="4"/>
      <c r="AI683" s="72">
        <f>RSQ(AV683:AZ683,AV682:AZ682)</f>
        <v>0.52674193610151787</v>
      </c>
      <c r="AJ683" s="110">
        <f>SLOPE(AV683:AZ683,AV682:AZ682)</f>
        <v>-8.8660153617345873E-12</v>
      </c>
      <c r="AK683" s="72">
        <f>INTERCEPT(AV683:AZ683,AV682:AZ682)</f>
        <v>0.78665214158214225</v>
      </c>
      <c r="AL683" s="72">
        <f>INDEX(LINEST(LN(AV683:AZ683),LN(AV682:AZ682),TRUE,TRUE),3,1)</f>
        <v>0.73438148508132028</v>
      </c>
      <c r="AM683" s="72">
        <f>INDEX(LINEST(LN(AV683:AZ683),LN(AV682:AZ682)),1)</f>
        <v>-5.1964405657588801E-2</v>
      </c>
      <c r="AN683" s="72">
        <f>EXP(INDEX(LINEST(LN(AV683:AZ683),LN(AV682:AZ682)),1,2))</f>
        <v>2.2421792570433676</v>
      </c>
      <c r="AO683" s="89">
        <f>INDEX(LINEST((AV683:AZ683),LN(AV682:AZ682),TRUE,TRUE),3,1)</f>
        <v>0.72390729972168566</v>
      </c>
      <c r="AP683" s="89">
        <f>INDEX(LINEST((AV683:AZ683),LN(AV682:AZ682)),1)</f>
        <v>-3.8552105083907266E-2</v>
      </c>
      <c r="AQ683" s="90">
        <f>INDEX(LINEST(LN(AV683:AZ683),SQRT(AV682:AZ682),TRUE,TRUE),3,1)</f>
        <v>0.62767151499197682</v>
      </c>
      <c r="AR683" s="117">
        <f>INDEX(LINEST(LN(AV683:AZ683),SQRT((AV682:AZ682))),1)</f>
        <v>-1.7639981607066108E-6</v>
      </c>
      <c r="AS683" s="91">
        <f>INDEX(LINEST(1/(AV683:AZ683),1/(SQRT(AV682:AZ682)),TRUE,TRUE),3,1)</f>
        <v>0.75053807135019446</v>
      </c>
      <c r="AT683" s="91">
        <f>INDEX(LINEST(1/(AV683:AZ683),1/SQRT(AV682:AZ682)),1)</f>
        <v>-5666.0918557274344</v>
      </c>
      <c r="AU683" s="3"/>
      <c r="AV683" s="73">
        <v>0.79999999999999993</v>
      </c>
      <c r="AW683" s="73">
        <v>0.79166666666666674</v>
      </c>
      <c r="AX683" s="73">
        <v>0.82352941176470584</v>
      </c>
      <c r="AY683" s="73">
        <v>0.6811594202898551</v>
      </c>
      <c r="AZ683" s="73">
        <v>0.69696969696969702</v>
      </c>
      <c r="BA683" s="53"/>
      <c r="BB683" s="42"/>
      <c r="BC683" s="28"/>
      <c r="BD683" s="28"/>
      <c r="BE683" s="28"/>
      <c r="BF683" s="28"/>
      <c r="BG683" s="28"/>
      <c r="BH683" s="28"/>
      <c r="BI683" s="28"/>
      <c r="BJ683" s="28"/>
      <c r="BK683" s="28"/>
      <c r="BL683" s="28"/>
      <c r="BM683" s="28"/>
      <c r="BN683" s="28"/>
      <c r="BO683" s="28"/>
      <c r="BP683" s="28"/>
      <c r="BQ683" s="28"/>
      <c r="BR683" s="28"/>
      <c r="BS683" s="28"/>
      <c r="BT683" s="28"/>
      <c r="BU683" s="28"/>
      <c r="BV683" s="28"/>
      <c r="BW683" s="28"/>
      <c r="BX683" s="28"/>
      <c r="BY683" s="28"/>
      <c r="BZ683" s="28"/>
      <c r="CA683" s="28"/>
      <c r="CB683" s="28"/>
      <c r="CC683" s="28"/>
      <c r="CD683" s="28"/>
      <c r="CE683" s="28"/>
      <c r="CF683" s="28"/>
      <c r="CG683" s="28"/>
      <c r="CH683" s="28"/>
      <c r="CI683" s="28"/>
      <c r="CJ683" s="28"/>
      <c r="CK683" s="28"/>
      <c r="CL683" s="28"/>
      <c r="CM683" s="28"/>
      <c r="CN683" s="28"/>
      <c r="CO683" s="28"/>
      <c r="CP683" s="28"/>
      <c r="CQ683" s="28"/>
      <c r="CR683" s="1"/>
      <c r="CS683" s="1"/>
      <c r="CT683" s="1"/>
      <c r="CU683" s="1"/>
    </row>
    <row r="684" spans="1:99" s="145" customFormat="1" ht="12" customHeight="1" x14ac:dyDescent="0.2">
      <c r="A684" s="179">
        <v>43896</v>
      </c>
      <c r="B684" s="180"/>
      <c r="C684" s="180"/>
      <c r="D684" s="180"/>
      <c r="E684" s="181"/>
      <c r="F684" s="180"/>
      <c r="G684" s="180"/>
      <c r="H684" s="180"/>
      <c r="I684" s="180"/>
      <c r="J684" s="180"/>
      <c r="K684" s="181"/>
      <c r="L684" s="181"/>
      <c r="M684" s="180"/>
      <c r="N684" s="181"/>
      <c r="O684" s="180"/>
      <c r="P684" s="180"/>
      <c r="Q684" s="180"/>
      <c r="R684" s="180"/>
      <c r="S684" s="180"/>
      <c r="T684" s="180"/>
      <c r="U684" s="60"/>
      <c r="V684" s="180"/>
      <c r="W684" s="180"/>
      <c r="X684" s="180"/>
      <c r="Y684" s="180"/>
      <c r="Z684" s="180"/>
      <c r="AA684" s="180"/>
      <c r="AB684" s="180"/>
      <c r="AC684" s="163"/>
      <c r="AD684" s="180"/>
      <c r="AE684" s="180"/>
      <c r="AF684" s="180"/>
      <c r="AG684" s="182"/>
      <c r="AH684" s="147"/>
      <c r="AI684" s="163"/>
      <c r="AJ684" s="163"/>
      <c r="AK684" s="163"/>
      <c r="AL684" s="163"/>
      <c r="AM684" s="163"/>
      <c r="AN684" s="163"/>
      <c r="AO684" s="163"/>
      <c r="AP684" s="163"/>
      <c r="AQ684" s="163"/>
      <c r="AR684" s="163"/>
      <c r="AS684" s="163"/>
      <c r="AT684" s="163"/>
      <c r="AU684" s="148"/>
      <c r="AV684" s="162">
        <v>315360000</v>
      </c>
      <c r="AW684" s="162">
        <v>630720000</v>
      </c>
      <c r="AX684" s="162">
        <v>946080000</v>
      </c>
      <c r="AY684" s="146"/>
      <c r="AZ684" s="146"/>
      <c r="BA684" s="146"/>
      <c r="BB684" s="146"/>
      <c r="BC684" s="146"/>
      <c r="BD684" s="146"/>
      <c r="BE684" s="146"/>
      <c r="BF684" s="146"/>
      <c r="BG684" s="146"/>
      <c r="BH684" s="146"/>
      <c r="BI684" s="146"/>
      <c r="BJ684" s="146"/>
      <c r="BK684" s="146"/>
      <c r="BL684" s="146"/>
      <c r="BM684" s="146"/>
      <c r="BN684" s="146"/>
      <c r="BO684" s="146"/>
      <c r="BP684" s="146"/>
      <c r="BQ684" s="146"/>
      <c r="BR684" s="146"/>
      <c r="BS684" s="146"/>
      <c r="BT684" s="146"/>
      <c r="BU684" s="146"/>
      <c r="BV684" s="146"/>
      <c r="BW684" s="146"/>
      <c r="BX684" s="146"/>
      <c r="BY684" s="146"/>
      <c r="BZ684" s="146"/>
      <c r="CA684" s="146"/>
      <c r="CB684" s="146"/>
      <c r="CC684" s="146"/>
      <c r="CD684" s="146"/>
      <c r="CE684" s="146"/>
      <c r="CF684" s="146"/>
      <c r="CG684" s="146"/>
      <c r="CH684" s="146"/>
      <c r="CI684" s="146"/>
      <c r="CJ684" s="146"/>
      <c r="CK684" s="146"/>
      <c r="CL684" s="146"/>
      <c r="CM684" s="146"/>
      <c r="CN684" s="146"/>
      <c r="CO684" s="146"/>
      <c r="CP684" s="146"/>
      <c r="CQ684" s="146"/>
      <c r="CR684" s="144"/>
      <c r="CS684" s="144"/>
      <c r="CT684" s="144"/>
      <c r="CU684" s="144"/>
    </row>
    <row r="685" spans="1:99" s="145" customFormat="1" ht="12" customHeight="1" x14ac:dyDescent="0.2">
      <c r="A685" s="179">
        <v>43896</v>
      </c>
      <c r="B685" s="180" t="s">
        <v>902</v>
      </c>
      <c r="C685" s="180" t="s">
        <v>54</v>
      </c>
      <c r="D685" s="178">
        <v>1999</v>
      </c>
      <c r="E685" s="60">
        <v>1</v>
      </c>
      <c r="F685" s="178">
        <v>20</v>
      </c>
      <c r="G685" s="178">
        <v>20</v>
      </c>
      <c r="H685" s="178" t="s">
        <v>43</v>
      </c>
      <c r="I685" s="60" t="s">
        <v>330</v>
      </c>
      <c r="J685" s="60" t="s">
        <v>340</v>
      </c>
      <c r="K685" s="60">
        <f>IF(J685="syllables",1,IF(J685="trigrams",2,IF(J685="strings",3,IF(J685="visual array",4,IF(J685="characters",5,IF(J685="letters",6,IF(J685="free forms",7,IF(J685="odors",8,IF(J685="words",9,IF(J685="pictures",10,IF(J685="object pictures",11,IF(J685="faces",12,IF(J685="names",13,IF(J685="idioms",14,IF(J685="grades",15,IF(J685="syllable-digit pairs",16,IF(J685="trigram-word pairs",17,IF(J685="word-digit pairs",18,IF(J685="English-Swahili pairs",19,IF(J685="spatial position",20,IF(J685="word pairs",21,IF(J685="word triads",22,IF(J685="generated words",23,IF(J685="word definition pairs",24,IF(J685="math problems",25,IF(J685="famous faces",26,IF(J685="famous names",27,IF(J685="famous voices",28,IF(J685="television programs",29,IF(J685="race horses",30,IF(J685="new vocabulary",31,IF(J685="sentences",32,IF(J685="concepts",33,IF(J685="ad slides",34,IF(J685="scenes",35,IF(J685="famous scenes",36,IF(J685="poems",37,IF(J685="walk",38,IF(J685="faces and events",39,IF(J685="events and names",40,IF(J685="flashbulb",41,IF(J685="stories",42,IF(J685="course material",43,IF(J685="autobiographical",44,IF(J685="novels",45,IF(J685="public events",46,"99"))))))))))))))))))))))))))))))))))))))))))))))</f>
        <v>46</v>
      </c>
      <c r="L685" s="60">
        <f>IF(J685="syllables",1,IF(J685="trigrams",1,IF(J685="strings",1,IF(J685="visual array",1,IF(J685="characters",1,IF(J685="letters",1,IF(J685="free forms",1,IF(J685="odors",2,IF(J685="words",2,IF(J685="pictures",2,IF(J685="object pictures",2,IF(J685="faces",2,IF(J685="names",2,IF(J685="idioms","2",IF(J685="grades",2,IF(J685="syllable-digit pairs",3,IF(J685="trigram-word pairs",3,IF(J685="word-digit pairs",3,IF(J685="English-Swahili pairs",3,IF(J685="spatial position",3,IF(J685="word pairs",4,IF(J685="word triads",4,IF(J685="generated words",4,IF(J685="word definition pairs",4,IF(J685="math problems",4,IF(J685="famous faces",4,IF(J685="famous names",4,IF(J685="famous voices",4,IF(J685="television programs",4,IF(J685="race horses",4,IF(J685="new vocabulary",4,IF(J685="sentences",5,IF(J685="concepts",5,IF(J685="ad slides",5,IF(J685="scenes",5,IF(J685="famous scenes",5,IF(J685="poems",6,IF(J685="walk",6,IF(J685="faces and events",6,IF(J685="events and names",6,IF(J685="flashbulb",7,IF(J685="stories",7,IF(J685="course material",7,IF(J685="autobiographical",7,IF(J685="novels",7,IF(J685="public events",7,"99"))))))))))))))))))))))))))))))))))))))))))))))</f>
        <v>7</v>
      </c>
      <c r="M685" s="60">
        <v>1</v>
      </c>
      <c r="N685" s="60">
        <v>4</v>
      </c>
      <c r="O685" s="60">
        <v>0</v>
      </c>
      <c r="P685" s="180"/>
      <c r="Q685" s="178" t="s">
        <v>174</v>
      </c>
      <c r="R685" s="60">
        <f>IF(Q685="Free Recall",1,IF(Q685="Cued Recall",2,IF(Q685="Recognition",3,IF(Q685="Multiple Choice",4,IF(Q685="Savings",5,IF(Q685="Stem Completion",6,IF(Q685="Fragment Completion",7,IF(Q685="anagram solution",8,IF(Q685="Matching",9,IF(Q685="Problem Solving",10,"99"))))))))))</f>
        <v>1</v>
      </c>
      <c r="S685" s="178" t="s">
        <v>49</v>
      </c>
      <c r="T685" s="59" t="s">
        <v>581</v>
      </c>
      <c r="U685" s="60">
        <f>IF(T685="within",1,0)</f>
        <v>1</v>
      </c>
      <c r="V685" s="59">
        <v>50</v>
      </c>
      <c r="W685" s="60">
        <f>F685*V685</f>
        <v>1000</v>
      </c>
      <c r="X685" s="178">
        <v>3</v>
      </c>
      <c r="Y685" s="76">
        <f>AV684</f>
        <v>315360000</v>
      </c>
      <c r="Z685" s="183" t="s">
        <v>332</v>
      </c>
      <c r="AA685" s="178">
        <f>30*365*24*60*60</f>
        <v>946080000</v>
      </c>
      <c r="AB685" s="178" t="str">
        <f>IF(AA685&lt;60,"1",IF(AA685&lt;=43200,"2",IF(AA685&lt;=777600,"3","4")))</f>
        <v>4</v>
      </c>
      <c r="AC685" s="182">
        <f>AVERAGE(AV684:DA684)</f>
        <v>630720000</v>
      </c>
      <c r="AD685" s="178" t="str">
        <f>IF(AC685&lt;60,"1",IF(AC685&lt;=43200,"2",IF(AC685&lt;=777600,"3","4")))</f>
        <v>4</v>
      </c>
      <c r="AE685" s="76">
        <f>AA685-Y685</f>
        <v>630720000</v>
      </c>
      <c r="AF685" s="80">
        <f>AV685</f>
        <v>0.79591836734693877</v>
      </c>
      <c r="AG685" s="182">
        <f>((AW685-AV685)+(AX685-AW685))/2</f>
        <v>-5.585392051557464E-2</v>
      </c>
      <c r="AH685" s="147"/>
      <c r="AI685" s="182">
        <f>RSQ(AV685:AX685,AV684:AX684)</f>
        <v>0.47290952638234263</v>
      </c>
      <c r="AJ685" s="182">
        <f>SLOPE(AV685:AX685,AV684:AX684)</f>
        <v>-1.7711162010265932E-10</v>
      </c>
      <c r="AK685" s="182">
        <f>INTERCEPT(AV685:AX685,AV684:AX684)</f>
        <v>0.81772781707964493</v>
      </c>
      <c r="AL685" s="182">
        <f>INDEX(LINEST(LN(AV685:AX685),LN(AV684:AX684),TRUE,TRUE),3,1)</f>
        <v>0.59641729718599623</v>
      </c>
      <c r="AM685" s="182">
        <f>INDEX(LINEST(LN(AV685:AX685),LN(AV684:AX684)),1)</f>
        <v>-0.15720750371087649</v>
      </c>
      <c r="AN685" s="182">
        <f>EXP(INDEX(LINEST(LN(AV685:AX685),LN(AV684:AX684)),1,2))</f>
        <v>16.741610975241624</v>
      </c>
      <c r="AO685" s="184">
        <f>INDEX(LINEST((AV685:AX685),LN(AV684:AX684),TRUE,TRUE),3,1)</f>
        <v>0.62170942673824081</v>
      </c>
      <c r="AP685" s="184">
        <f>INDEX(LINEST((AV685:AX685),LN(AV684:AX684)),1)</f>
        <v>-0.11527535867998195</v>
      </c>
      <c r="AQ685" s="83">
        <f>INDEX(LINEST(LN(AV685:AX685),SQRT(AV684:AX684),TRUE,TRUE),3,1)</f>
        <v>0.52283252444101214</v>
      </c>
      <c r="AR685" s="84">
        <f>INDEX(LINEST(LN(AV685:AX685),SQRT((AV684:AX684))),1)</f>
        <v>-1.2543994324659125E-5</v>
      </c>
      <c r="AS685" s="84">
        <f>INDEX(LINEST(1/(AV685:AX685),1/(SQRT(AV684:AX684)),TRUE,TRUE),3,1)</f>
        <v>0.63751749055198004</v>
      </c>
      <c r="AT685" s="84">
        <f>INDEX(LINEST(1/(AV685:AX685),1/SQRT(AV684:AX684)),1)</f>
        <v>-10359.640507301059</v>
      </c>
      <c r="AU685" s="149"/>
      <c r="AV685" s="163">
        <v>0.79591836734693877</v>
      </c>
      <c r="AW685" s="163">
        <v>0.63793103448275867</v>
      </c>
      <c r="AX685" s="163">
        <v>0.68421052631578949</v>
      </c>
      <c r="AY685" s="146"/>
      <c r="AZ685" s="146"/>
      <c r="BA685" s="146"/>
      <c r="BB685" s="146"/>
      <c r="BC685" s="146"/>
      <c r="BD685" s="146"/>
      <c r="BE685" s="146"/>
      <c r="BF685" s="146"/>
      <c r="BG685" s="146"/>
      <c r="BH685" s="146"/>
      <c r="BI685" s="146"/>
      <c r="BJ685" s="146"/>
      <c r="BK685" s="146"/>
      <c r="BL685" s="146"/>
      <c r="BM685" s="146"/>
      <c r="BN685" s="146"/>
      <c r="BO685" s="146"/>
      <c r="BP685" s="146"/>
      <c r="BQ685" s="146"/>
      <c r="BR685" s="146"/>
      <c r="BS685" s="146"/>
      <c r="BT685" s="146"/>
      <c r="BU685" s="146"/>
      <c r="BV685" s="146"/>
      <c r="BW685" s="146"/>
      <c r="BX685" s="146"/>
      <c r="BY685" s="146"/>
      <c r="BZ685" s="146"/>
      <c r="CA685" s="146"/>
      <c r="CB685" s="146"/>
      <c r="CC685" s="146"/>
      <c r="CD685" s="146"/>
      <c r="CE685" s="146"/>
      <c r="CF685" s="146"/>
      <c r="CG685" s="146"/>
      <c r="CH685" s="146"/>
      <c r="CI685" s="146"/>
      <c r="CJ685" s="146"/>
      <c r="CK685" s="146"/>
      <c r="CL685" s="146"/>
      <c r="CM685" s="146"/>
      <c r="CN685" s="146"/>
      <c r="CO685" s="146"/>
      <c r="CP685" s="146"/>
      <c r="CQ685" s="146"/>
      <c r="CR685" s="144"/>
      <c r="CS685" s="144"/>
      <c r="CT685" s="144"/>
      <c r="CU685" s="144"/>
    </row>
    <row r="686" spans="1:99" s="145" customFormat="1" ht="12" customHeight="1" x14ac:dyDescent="0.2">
      <c r="A686" s="179">
        <v>43896</v>
      </c>
      <c r="B686" s="180"/>
      <c r="C686" s="180"/>
      <c r="D686" s="178"/>
      <c r="E686" s="181"/>
      <c r="F686" s="178"/>
      <c r="G686" s="178"/>
      <c r="H686" s="178"/>
      <c r="I686" s="178"/>
      <c r="J686" s="178"/>
      <c r="K686" s="181"/>
      <c r="L686" s="181"/>
      <c r="M686" s="180"/>
      <c r="N686" s="181"/>
      <c r="O686" s="180"/>
      <c r="P686" s="180"/>
      <c r="Q686" s="60"/>
      <c r="R686" s="180"/>
      <c r="S686" s="178"/>
      <c r="T686" s="180"/>
      <c r="U686" s="60"/>
      <c r="V686" s="180"/>
      <c r="W686" s="180"/>
      <c r="X686" s="178"/>
      <c r="Y686" s="178"/>
      <c r="Z686" s="178"/>
      <c r="AA686" s="178"/>
      <c r="AB686" s="178"/>
      <c r="AC686" s="182"/>
      <c r="AD686" s="178"/>
      <c r="AE686" s="178"/>
      <c r="AF686" s="178"/>
      <c r="AG686" s="182"/>
      <c r="AH686" s="147"/>
      <c r="AI686" s="182"/>
      <c r="AJ686" s="182"/>
      <c r="AK686" s="182"/>
      <c r="AL686" s="182"/>
      <c r="AM686" s="182"/>
      <c r="AN686" s="182"/>
      <c r="AO686" s="182"/>
      <c r="AP686" s="182"/>
      <c r="AQ686" s="182"/>
      <c r="AR686" s="182"/>
      <c r="AS686" s="182"/>
      <c r="AT686" s="182"/>
      <c r="AU686" s="148"/>
      <c r="AV686" s="162">
        <v>315360000</v>
      </c>
      <c r="AW686" s="162">
        <v>630720000</v>
      </c>
      <c r="AX686" s="162">
        <v>946080000</v>
      </c>
      <c r="AY686" s="146"/>
      <c r="AZ686" s="146"/>
      <c r="BA686" s="146"/>
      <c r="BB686" s="146"/>
      <c r="BC686" s="146"/>
      <c r="BD686" s="146"/>
      <c r="BE686" s="146"/>
      <c r="BF686" s="146"/>
      <c r="BG686" s="146"/>
      <c r="BH686" s="146"/>
      <c r="BI686" s="146"/>
      <c r="BJ686" s="146"/>
      <c r="BK686" s="146"/>
      <c r="BL686" s="146"/>
      <c r="BM686" s="146"/>
      <c r="BN686" s="146"/>
      <c r="BO686" s="146"/>
      <c r="BP686" s="146"/>
      <c r="BQ686" s="146"/>
      <c r="BR686" s="146"/>
      <c r="BS686" s="146"/>
      <c r="BT686" s="146"/>
      <c r="BU686" s="146"/>
      <c r="BV686" s="146"/>
      <c r="BW686" s="146"/>
      <c r="BX686" s="146"/>
      <c r="BY686" s="146"/>
      <c r="BZ686" s="146"/>
      <c r="CA686" s="146"/>
      <c r="CB686" s="146"/>
      <c r="CC686" s="146"/>
      <c r="CD686" s="146"/>
      <c r="CE686" s="146"/>
      <c r="CF686" s="146"/>
      <c r="CG686" s="146"/>
      <c r="CH686" s="146"/>
      <c r="CI686" s="146"/>
      <c r="CJ686" s="146"/>
      <c r="CK686" s="146"/>
      <c r="CL686" s="146"/>
      <c r="CM686" s="146"/>
      <c r="CN686" s="146"/>
      <c r="CO686" s="146"/>
      <c r="CP686" s="146"/>
      <c r="CQ686" s="146"/>
      <c r="CR686" s="144"/>
      <c r="CS686" s="144"/>
      <c r="CT686" s="144"/>
      <c r="CU686" s="144"/>
    </row>
    <row r="687" spans="1:99" s="145" customFormat="1" ht="12" customHeight="1" x14ac:dyDescent="0.2">
      <c r="A687" s="179">
        <v>43896</v>
      </c>
      <c r="B687" s="180" t="s">
        <v>902</v>
      </c>
      <c r="C687" s="180" t="s">
        <v>54</v>
      </c>
      <c r="D687" s="178">
        <v>1999</v>
      </c>
      <c r="E687" s="60">
        <v>1</v>
      </c>
      <c r="F687" s="178">
        <v>20</v>
      </c>
      <c r="G687" s="178">
        <v>20</v>
      </c>
      <c r="H687" s="178" t="s">
        <v>769</v>
      </c>
      <c r="I687" s="60" t="s">
        <v>330</v>
      </c>
      <c r="J687" s="60" t="s">
        <v>340</v>
      </c>
      <c r="K687" s="60">
        <f>IF(J687="syllables",1,IF(J687="trigrams",2,IF(J687="strings",3,IF(J687="visual array",4,IF(J687="characters",5,IF(J687="letters",6,IF(J687="free forms",7,IF(J687="odors",8,IF(J687="words",9,IF(J687="pictures",10,IF(J687="object pictures",11,IF(J687="faces",12,IF(J687="names",13,IF(J687="idioms",14,IF(J687="grades",15,IF(J687="syllable-digit pairs",16,IF(J687="trigram-word pairs",17,IF(J687="word-digit pairs",18,IF(J687="English-Swahili pairs",19,IF(J687="spatial position",20,IF(J687="word pairs",21,IF(J687="word triads",22,IF(J687="generated words",23,IF(J687="word definition pairs",24,IF(J687="math problems",25,IF(J687="famous faces",26,IF(J687="famous names",27,IF(J687="famous voices",28,IF(J687="television programs",29,IF(J687="race horses",30,IF(J687="new vocabulary",31,IF(J687="sentences",32,IF(J687="concepts",33,IF(J687="ad slides",34,IF(J687="scenes",35,IF(J687="famous scenes",36,IF(J687="poems",37,IF(J687="walk",38,IF(J687="faces and events",39,IF(J687="events and names",40,IF(J687="flashbulb",41,IF(J687="stories",42,IF(J687="course material",43,IF(J687="autobiographical",44,IF(J687="novels",45,IF(J687="public events",46,"99"))))))))))))))))))))))))))))))))))))))))))))))</f>
        <v>46</v>
      </c>
      <c r="L687" s="60">
        <f>IF(J687="syllables",1,IF(J687="trigrams",1,IF(J687="strings",1,IF(J687="visual array",1,IF(J687="characters",1,IF(J687="letters",1,IF(J687="free forms",1,IF(J687="odors",2,IF(J687="words",2,IF(J687="pictures",2,IF(J687="object pictures",2,IF(J687="faces",2,IF(J687="names",2,IF(J687="idioms","2",IF(J687="grades",2,IF(J687="syllable-digit pairs",3,IF(J687="trigram-word pairs",3,IF(J687="word-digit pairs",3,IF(J687="English-Swahili pairs",3,IF(J687="spatial position",3,IF(J687="word pairs",4,IF(J687="word triads",4,IF(J687="generated words",4,IF(J687="word definition pairs",4,IF(J687="math problems",4,IF(J687="famous faces",4,IF(J687="famous names",4,IF(J687="famous voices",4,IF(J687="television programs",4,IF(J687="race horses",4,IF(J687="new vocabulary",4,IF(J687="sentences",5,IF(J687="concepts",5,IF(J687="ad slides",5,IF(J687="scenes",5,IF(J687="famous scenes",5,IF(J687="poems",6,IF(J687="walk",6,IF(J687="faces and events",6,IF(J687="events and names",6,IF(J687="flashbulb",7,IF(J687="stories",7,IF(J687="course material",7,IF(J687="autobiographical",7,IF(J687="novels",7,IF(J687="public events",7,"99"))))))))))))))))))))))))))))))))))))))))))))))</f>
        <v>7</v>
      </c>
      <c r="M687" s="60">
        <v>1</v>
      </c>
      <c r="N687" s="60">
        <v>4</v>
      </c>
      <c r="O687" s="60">
        <v>0</v>
      </c>
      <c r="P687" s="180"/>
      <c r="Q687" s="60" t="s">
        <v>182</v>
      </c>
      <c r="R687" s="60">
        <f>IF(Q687="Free Recall",1,IF(Q687="Cued Recall",2,IF(Q687="Recognition",3,IF(Q687="Multiple Choice",4,IF(Q687="Savings",5,IF(Q687="Stem Completion",6,IF(Q687="Fragment Completion",7,IF(Q687="anagram solution",8,IF(Q687="Matching",9,IF(Q687="Problem Solving",10,"99"))))))))))</f>
        <v>4</v>
      </c>
      <c r="S687" s="178" t="s">
        <v>15</v>
      </c>
      <c r="T687" s="59" t="s">
        <v>581</v>
      </c>
      <c r="U687" s="60">
        <f>IF(T687="within",1,0)</f>
        <v>1</v>
      </c>
      <c r="V687" s="59">
        <v>50</v>
      </c>
      <c r="W687" s="60">
        <f>F687*V687</f>
        <v>1000</v>
      </c>
      <c r="X687" s="178">
        <v>3</v>
      </c>
      <c r="Y687" s="76">
        <f>AV686</f>
        <v>315360000</v>
      </c>
      <c r="Z687" s="183" t="s">
        <v>332</v>
      </c>
      <c r="AA687" s="178">
        <f>30*365*24*60*60</f>
        <v>946080000</v>
      </c>
      <c r="AB687" s="178" t="str">
        <f>IF(AA687&lt;60,"1",IF(AA687&lt;=43200,"2",IF(AA687&lt;=777600,"3","4")))</f>
        <v>4</v>
      </c>
      <c r="AC687" s="182">
        <f t="shared" ref="AC687" si="96">AVERAGE(AV686:DA686)</f>
        <v>630720000</v>
      </c>
      <c r="AD687" s="178" t="str">
        <f>IF(AC687&lt;60,"1",IF(AC687&lt;=43200,"2",IF(AC687&lt;=777600,"3","4")))</f>
        <v>4</v>
      </c>
      <c r="AE687" s="76">
        <f>AA687-Y687</f>
        <v>630720000</v>
      </c>
      <c r="AF687" s="80">
        <f>AV687</f>
        <v>0.90410958904109595</v>
      </c>
      <c r="AG687" s="182">
        <f>((AW687-AV687)+(AX687-AW687))/2</f>
        <v>-2.1947267638827539E-2</v>
      </c>
      <c r="AH687" s="147"/>
      <c r="AI687" s="182">
        <f>RSQ(AV687:AX687,AV686:AX686)</f>
        <v>0.64364117611807792</v>
      </c>
      <c r="AJ687" s="182">
        <f>SLOPE(AV687:AX687,AV686:AX686)</f>
        <v>-6.9594329143922939E-11</v>
      </c>
      <c r="AK687" s="182">
        <f>INTERCEPT(AV687:AX687,AV686:AX686)</f>
        <v>0.93548533661051059</v>
      </c>
      <c r="AL687" s="182">
        <f>INDEX(LINEST(LN(AV687:AX687),LN(AV686:AX686),TRUE,TRUE),3,1)</f>
        <v>0.49864449333197652</v>
      </c>
      <c r="AM687" s="182">
        <f>INDEX(LINEST(LN(AV687:AX687),LN(AV686:AX686)),1)</f>
        <v>-3.9337551682560964E-2</v>
      </c>
      <c r="AN687" s="182">
        <f>EXP(INDEX(LINEST(LN(AV687:AX687),LN(AV686:AX686)),1,2))</f>
        <v>1.9703958367291514</v>
      </c>
      <c r="AO687" s="184">
        <f>INDEX(LINEST((AV687:AX687),LN(AV686:AX686),TRUE,TRUE),3,1)</f>
        <v>0.49564590874898901</v>
      </c>
      <c r="AP687" s="184">
        <f>INDEX(LINEST((AV687:AX687),LN(AV686:AX686)),1)</f>
        <v>-3.4667493064620331E-2</v>
      </c>
      <c r="AQ687" s="83">
        <f>INDEX(LINEST(LN(AV687:AX687),SQRT(AV686:AX686),TRUE,TRUE),3,1)</f>
        <v>0.57257184230867242</v>
      </c>
      <c r="AR687" s="84">
        <f>INDEX(LINEST(LN(AV687:AX687),SQRT((AV686:AX686))),1)</f>
        <v>-3.5923876966682484E-6</v>
      </c>
      <c r="AS687" s="84">
        <f>INDEX(LINEST(1/(AV687:AX687),1/(SQRT(AV686:AX686)),TRUE,TRUE),3,1)</f>
        <v>0.43258130544787327</v>
      </c>
      <c r="AT687" s="84">
        <f>INDEX(LINEST(1/(AV687:AX687),1/SQRT(AV686:AX686)),1)</f>
        <v>-1889.219459722618</v>
      </c>
      <c r="AU687" s="149"/>
      <c r="AV687" s="163">
        <v>0.90410958904109595</v>
      </c>
      <c r="AW687" s="163">
        <v>0.91044776119402981</v>
      </c>
      <c r="AX687" s="163">
        <v>0.86021505376344087</v>
      </c>
      <c r="AY687" s="146"/>
      <c r="AZ687" s="146"/>
      <c r="BA687" s="146"/>
      <c r="BB687" s="146"/>
      <c r="BC687" s="146"/>
      <c r="BD687" s="146"/>
      <c r="BE687" s="146"/>
      <c r="BF687" s="146"/>
      <c r="BG687" s="146"/>
      <c r="BH687" s="146"/>
      <c r="BI687" s="146"/>
      <c r="BJ687" s="146"/>
      <c r="BK687" s="146"/>
      <c r="BL687" s="146"/>
      <c r="BM687" s="146"/>
      <c r="BN687" s="146"/>
      <c r="BO687" s="146"/>
      <c r="BP687" s="146"/>
      <c r="BQ687" s="146"/>
      <c r="BR687" s="146"/>
      <c r="BS687" s="146"/>
      <c r="BT687" s="146"/>
      <c r="BU687" s="146"/>
      <c r="BV687" s="146"/>
      <c r="BW687" s="146"/>
      <c r="BX687" s="146"/>
      <c r="BY687" s="146"/>
      <c r="BZ687" s="146"/>
      <c r="CA687" s="146"/>
      <c r="CB687" s="146"/>
      <c r="CC687" s="146"/>
      <c r="CD687" s="146"/>
      <c r="CE687" s="146"/>
      <c r="CF687" s="146"/>
      <c r="CG687" s="146"/>
      <c r="CH687" s="146"/>
      <c r="CI687" s="146"/>
      <c r="CJ687" s="146"/>
      <c r="CK687" s="146"/>
      <c r="CL687" s="146"/>
      <c r="CM687" s="146"/>
      <c r="CN687" s="146"/>
      <c r="CO687" s="146"/>
      <c r="CP687" s="146"/>
      <c r="CQ687" s="146"/>
      <c r="CR687" s="144"/>
      <c r="CS687" s="144"/>
      <c r="CT687" s="144"/>
      <c r="CU687" s="144"/>
    </row>
    <row r="688" spans="1:99" s="145" customFormat="1" ht="12" customHeight="1" x14ac:dyDescent="0.2">
      <c r="A688" s="179">
        <v>43896</v>
      </c>
      <c r="B688" s="180"/>
      <c r="C688" s="180"/>
      <c r="D688" s="178"/>
      <c r="E688" s="181"/>
      <c r="F688" s="178"/>
      <c r="G688" s="178"/>
      <c r="H688" s="178"/>
      <c r="I688" s="178"/>
      <c r="J688" s="178"/>
      <c r="K688" s="181"/>
      <c r="L688" s="181"/>
      <c r="M688" s="180"/>
      <c r="N688" s="181"/>
      <c r="O688" s="180"/>
      <c r="P688" s="180"/>
      <c r="Q688" s="178"/>
      <c r="R688" s="180"/>
      <c r="S688" s="178"/>
      <c r="T688" s="181"/>
      <c r="U688" s="60"/>
      <c r="V688" s="181"/>
      <c r="W688" s="181"/>
      <c r="X688" s="178"/>
      <c r="Y688" s="178"/>
      <c r="Z688" s="178"/>
      <c r="AA688" s="178"/>
      <c r="AB688" s="178"/>
      <c r="AC688" s="182"/>
      <c r="AD688" s="178"/>
      <c r="AE688" s="178"/>
      <c r="AF688" s="178"/>
      <c r="AG688" s="182"/>
      <c r="AH688" s="147"/>
      <c r="AI688" s="182"/>
      <c r="AJ688" s="182"/>
      <c r="AK688" s="182"/>
      <c r="AL688" s="182"/>
      <c r="AM688" s="182"/>
      <c r="AN688" s="182"/>
      <c r="AO688" s="182"/>
      <c r="AP688" s="182"/>
      <c r="AQ688" s="182"/>
      <c r="AR688" s="182"/>
      <c r="AS688" s="182"/>
      <c r="AT688" s="182"/>
      <c r="AU688" s="148"/>
      <c r="AV688" s="162">
        <v>315360000</v>
      </c>
      <c r="AW688" s="162">
        <v>630720000</v>
      </c>
      <c r="AX688" s="162">
        <v>946080000</v>
      </c>
      <c r="AY688" s="146"/>
      <c r="AZ688" s="146"/>
      <c r="BA688" s="146"/>
      <c r="BB688" s="146"/>
      <c r="BC688" s="146"/>
      <c r="BD688" s="146"/>
      <c r="BE688" s="146"/>
      <c r="BF688" s="146"/>
      <c r="BG688" s="146"/>
      <c r="BH688" s="146"/>
      <c r="BI688" s="146"/>
      <c r="BJ688" s="146"/>
      <c r="BK688" s="146"/>
      <c r="BL688" s="146"/>
      <c r="BM688" s="146"/>
      <c r="BN688" s="146"/>
      <c r="BO688" s="146"/>
      <c r="BP688" s="146"/>
      <c r="BQ688" s="146"/>
      <c r="BR688" s="146"/>
      <c r="BS688" s="146"/>
      <c r="BT688" s="146"/>
      <c r="BU688" s="146"/>
      <c r="BV688" s="146"/>
      <c r="BW688" s="146"/>
      <c r="BX688" s="146"/>
      <c r="BY688" s="146"/>
      <c r="BZ688" s="146"/>
      <c r="CA688" s="146"/>
      <c r="CB688" s="146"/>
      <c r="CC688" s="146"/>
      <c r="CD688" s="146"/>
      <c r="CE688" s="146"/>
      <c r="CF688" s="146"/>
      <c r="CG688" s="146"/>
      <c r="CH688" s="146"/>
      <c r="CI688" s="146"/>
      <c r="CJ688" s="146"/>
      <c r="CK688" s="146"/>
      <c r="CL688" s="146"/>
      <c r="CM688" s="146"/>
      <c r="CN688" s="146"/>
      <c r="CO688" s="146"/>
      <c r="CP688" s="146"/>
      <c r="CQ688" s="146"/>
      <c r="CR688" s="144"/>
      <c r="CS688" s="144"/>
      <c r="CT688" s="144"/>
      <c r="CU688" s="144"/>
    </row>
    <row r="689" spans="1:99" s="145" customFormat="1" ht="12" customHeight="1" x14ac:dyDescent="0.2">
      <c r="A689" s="179">
        <v>43896</v>
      </c>
      <c r="B689" s="180" t="s">
        <v>902</v>
      </c>
      <c r="C689" s="180" t="s">
        <v>54</v>
      </c>
      <c r="D689" s="178">
        <v>1999</v>
      </c>
      <c r="E689" s="60">
        <v>1</v>
      </c>
      <c r="F689" s="178">
        <v>20</v>
      </c>
      <c r="G689" s="178">
        <v>20</v>
      </c>
      <c r="H689" s="178" t="s">
        <v>341</v>
      </c>
      <c r="I689" s="60" t="s">
        <v>330</v>
      </c>
      <c r="J689" s="60" t="s">
        <v>342</v>
      </c>
      <c r="K689" s="60">
        <f>IF(J689="syllables",1,IF(J689="trigrams",2,IF(J689="strings",3,IF(J689="visual array",4,IF(J689="characters",5,IF(J689="letters",6,IF(J689="free forms",7,IF(J689="odors",8,IF(J689="words",9,IF(J689="pictures",10,IF(J689="object pictures",11,IF(J689="faces",12,IF(J689="names",13,IF(J689="idioms",14,IF(J689="grades",15,IF(J689="syllable-digit pairs",16,IF(J689="trigram-word pairs",17,IF(J689="word-digit pairs",18,IF(J689="English-Swahili pairs",19,IF(J689="spatial position",20,IF(J689="word pairs",21,IF(J689="word triads",22,IF(J689="generated words",23,IF(J689="word definition pairs",24,IF(J689="math problems",25,IF(J689="famous faces",26,IF(J689="famous names",27,IF(J689="famous voices",28,IF(J689="television programs",29,IF(J689="race horses",30,IF(J689="new vocabulary",31,IF(J689="sentences",32,IF(J689="concepts",33,IF(J689="ad slides",34,IF(J689="scenes",35,IF(J689="famous scenes",36,IF(J689="poems",37,IF(J689="walk",38,IF(J689="faces and events",39,IF(J689="events and names",40,IF(J689="flashbulb",41,IF(J689="stories",42,IF(J689="course material",43,IF(J689="autobiographical",44,IF(J689="novels",45,IF(J689="public events",46,"99"))))))))))))))))))))))))))))))))))))))))))))))</f>
        <v>26</v>
      </c>
      <c r="L689" s="60">
        <f>IF(J689="syllables",1,IF(J689="trigrams",1,IF(J689="strings",1,IF(J689="visual array",1,IF(J689="characters",1,IF(J689="letters",1,IF(J689="free forms",1,IF(J689="odors",2,IF(J689="words",2,IF(J689="pictures",2,IF(J689="object pictures",2,IF(J689="faces",2,IF(J689="names",2,IF(J689="idioms","2",IF(J689="grades",2,IF(J689="syllable-digit pairs",3,IF(J689="trigram-word pairs",3,IF(J689="word-digit pairs",3,IF(J689="English-Swahili pairs",3,IF(J689="spatial position",3,IF(J689="word pairs",4,IF(J689="word triads",4,IF(J689="generated words",4,IF(J689="word definition pairs",4,IF(J689="math problems",4,IF(J689="famous faces",4,IF(J689="famous names",4,IF(J689="famous voices",4,IF(J689="television programs",4,IF(J689="race horses",4,IF(J689="new vocabulary",4,IF(J689="sentences",5,IF(J689="concepts",5,IF(J689="ad slides",5,IF(J689="scenes",5,IF(J689="famous scenes",5,IF(J689="poems",6,IF(J689="walk",6,IF(J689="faces and events",6,IF(J689="events and names",6,IF(J689="flashbulb",7,IF(J689="stories",7,IF(J689="course material",7,IF(J689="autobiographical",7,IF(J689="novels",7,IF(J689="public events",7,"99"))))))))))))))))))))))))))))))))))))))))))))))</f>
        <v>4</v>
      </c>
      <c r="M689" s="60">
        <v>1</v>
      </c>
      <c r="N689" s="60">
        <v>2</v>
      </c>
      <c r="O689" s="60">
        <v>0</v>
      </c>
      <c r="P689" s="180"/>
      <c r="Q689" s="178" t="s">
        <v>174</v>
      </c>
      <c r="R689" s="60">
        <f>IF(Q689="Free Recall",1,IF(Q689="Cued Recall",2,IF(Q689="Recognition",3,IF(Q689="Multiple Choice",4,IF(Q689="Savings",5,IF(Q689="Stem Completion",6,IF(Q689="Fragment Completion",7,IF(Q689="anagram solution",8,IF(Q689="Matching",9,IF(Q689="Problem Solving",10,"99"))))))))))</f>
        <v>1</v>
      </c>
      <c r="S689" s="178" t="s">
        <v>49</v>
      </c>
      <c r="T689" s="59" t="s">
        <v>581</v>
      </c>
      <c r="U689" s="60">
        <f>IF(T689="within",1,0)</f>
        <v>1</v>
      </c>
      <c r="V689" s="59">
        <v>50</v>
      </c>
      <c r="W689" s="60">
        <f>F689*V689</f>
        <v>1000</v>
      </c>
      <c r="X689" s="178">
        <v>3</v>
      </c>
      <c r="Y689" s="76">
        <f>AV688</f>
        <v>315360000</v>
      </c>
      <c r="Z689" s="183" t="s">
        <v>332</v>
      </c>
      <c r="AA689" s="178">
        <f>30*365*24*60*60</f>
        <v>946080000</v>
      </c>
      <c r="AB689" s="178" t="str">
        <f>IF(AA689&lt;60,"1",IF(AA689&lt;=43200,"2",IF(AA689&lt;=777600,"3","4")))</f>
        <v>4</v>
      </c>
      <c r="AC689" s="182">
        <f t="shared" ref="AC689" si="97">AVERAGE(AV688:DA688)</f>
        <v>630720000</v>
      </c>
      <c r="AD689" s="178" t="str">
        <f>IF(AC689&lt;60,"1",IF(AC689&lt;=43200,"2",IF(AC689&lt;=777600,"3","4")))</f>
        <v>4</v>
      </c>
      <c r="AE689" s="76">
        <f>AA689-Y689</f>
        <v>630720000</v>
      </c>
      <c r="AF689" s="80">
        <f>AV689</f>
        <v>0.71641791044776115</v>
      </c>
      <c r="AG689" s="182">
        <f>((AW689-AV689)+(AX689-AW689))/2</f>
        <v>-5.9507656522581887E-2</v>
      </c>
      <c r="AH689" s="147"/>
      <c r="AI689" s="182">
        <f>RSQ(AV689:AX689,AV688:AX688)</f>
        <v>0.76343209229863662</v>
      </c>
      <c r="AJ689" s="182">
        <f>SLOPE(AV689:AX689,AV688:AX688)</f>
        <v>-1.8869754097723837E-10</v>
      </c>
      <c r="AK689" s="182">
        <f>INTERCEPT(AV689:AX689,AV688:AX688)</f>
        <v>0.79505072042385472</v>
      </c>
      <c r="AL689" s="182">
        <f>INDEX(LINEST(LN(AV689:AX689),LN(AV688:AX688),TRUE,TRUE),3,1)</f>
        <v>0.62474437168921071</v>
      </c>
      <c r="AM689" s="182">
        <f>INDEX(LINEST(LN(AV689:AX689),LN(AV688:AX688)),1)</f>
        <v>-0.14802152911127761</v>
      </c>
      <c r="AN689" s="182">
        <f>EXP(INDEX(LINEST(LN(AV689:AX689),LN(AV688:AX688)),1,2))</f>
        <v>13.330176426808137</v>
      </c>
      <c r="AO689" s="184">
        <f>INDEX(LINEST((AV689:AX689),LN(AV688:AX688),TRUE,TRUE),3,1)</f>
        <v>0.62603089289127245</v>
      </c>
      <c r="AP689" s="184">
        <f>INDEX(LINEST((AV689:AX689),LN(AV688:AX688)),1)</f>
        <v>-9.6998194061359774E-2</v>
      </c>
      <c r="AQ689" s="83">
        <f>INDEX(LINEST(LN(AV689:AX689),SQRT(AV688:AX688),TRUE,TRUE),3,1)</f>
        <v>0.69494930100310393</v>
      </c>
      <c r="AR689" s="84">
        <f>INDEX(LINEST(LN(AV689:AX689),SQRT((AV688:AX688))),1)</f>
        <v>-1.3304748379916902E-5</v>
      </c>
      <c r="AS689" s="84">
        <f>INDEX(LINEST(1/(AV689:AX689),1/(SQRT(AV688:AX688)),TRUE,TRUE),3,1)</f>
        <v>0.55549227170087734</v>
      </c>
      <c r="AT689" s="84">
        <f>INDEX(LINEST(1/(AV689:AX689),1/SQRT(AV688:AX688)),1)</f>
        <v>-9741.972993791409</v>
      </c>
      <c r="AU689" s="149"/>
      <c r="AV689" s="163">
        <v>0.71641791044776115</v>
      </c>
      <c r="AW689" s="163">
        <v>0.7142857142857143</v>
      </c>
      <c r="AX689" s="163">
        <v>0.59740259740259738</v>
      </c>
      <c r="AY689" s="146"/>
      <c r="AZ689" s="146"/>
      <c r="BA689" s="146"/>
      <c r="BB689" s="146"/>
      <c r="BC689" s="146"/>
      <c r="BD689" s="146"/>
      <c r="BE689" s="146"/>
      <c r="BF689" s="146"/>
      <c r="BG689" s="146"/>
      <c r="BH689" s="146"/>
      <c r="BI689" s="146"/>
      <c r="BJ689" s="146"/>
      <c r="BK689" s="146"/>
      <c r="BL689" s="146"/>
      <c r="BM689" s="146"/>
      <c r="BN689" s="146"/>
      <c r="BO689" s="146"/>
      <c r="BP689" s="146"/>
      <c r="BQ689" s="146"/>
      <c r="BR689" s="146"/>
      <c r="BS689" s="146"/>
      <c r="BT689" s="146"/>
      <c r="BU689" s="146"/>
      <c r="BV689" s="146"/>
      <c r="BW689" s="146"/>
      <c r="BX689" s="146"/>
      <c r="BY689" s="146"/>
      <c r="BZ689" s="146"/>
      <c r="CA689" s="146"/>
      <c r="CB689" s="146"/>
      <c r="CC689" s="146"/>
      <c r="CD689" s="146"/>
      <c r="CE689" s="146"/>
      <c r="CF689" s="146"/>
      <c r="CG689" s="146"/>
      <c r="CH689" s="146"/>
      <c r="CI689" s="146"/>
      <c r="CJ689" s="146"/>
      <c r="CK689" s="146"/>
      <c r="CL689" s="146"/>
      <c r="CM689" s="146"/>
      <c r="CN689" s="146"/>
      <c r="CO689" s="146"/>
      <c r="CP689" s="146"/>
      <c r="CQ689" s="146"/>
      <c r="CR689" s="144"/>
      <c r="CS689" s="144"/>
      <c r="CT689" s="144"/>
      <c r="CU689" s="144"/>
    </row>
    <row r="690" spans="1:99" s="13" customFormat="1" ht="12" customHeight="1" x14ac:dyDescent="0.2">
      <c r="A690" s="68">
        <v>43951</v>
      </c>
      <c r="B690" s="70"/>
      <c r="C690" s="70"/>
      <c r="D690" s="69"/>
      <c r="E690" s="87"/>
      <c r="F690" s="69"/>
      <c r="G690" s="69"/>
      <c r="H690" s="69"/>
      <c r="I690" s="69"/>
      <c r="J690" s="69"/>
      <c r="K690" s="69"/>
      <c r="L690" s="69"/>
      <c r="M690" s="69"/>
      <c r="N690" s="92"/>
      <c r="O690" s="69"/>
      <c r="P690" s="69"/>
      <c r="Q690" s="69"/>
      <c r="R690" s="69"/>
      <c r="S690" s="69"/>
      <c r="T690" s="92"/>
      <c r="U690" s="69"/>
      <c r="V690" s="92"/>
      <c r="W690" s="69"/>
      <c r="X690" s="69"/>
      <c r="Y690" s="87"/>
      <c r="Z690" s="92"/>
      <c r="AA690" s="69"/>
      <c r="AB690" s="69"/>
      <c r="AC690" s="72"/>
      <c r="AD690" s="69"/>
      <c r="AE690" s="87"/>
      <c r="AF690" s="88"/>
      <c r="AG690" s="72"/>
      <c r="AH690" s="4"/>
      <c r="AI690" s="72"/>
      <c r="AJ690" s="110"/>
      <c r="AK690" s="72"/>
      <c r="AL690" s="72"/>
      <c r="AM690" s="72"/>
      <c r="AN690" s="72"/>
      <c r="AO690" s="89"/>
      <c r="AP690" s="89"/>
      <c r="AQ690" s="90"/>
      <c r="AR690" s="117"/>
      <c r="AS690" s="91"/>
      <c r="AT690" s="91"/>
      <c r="AU690" s="3"/>
      <c r="AV690" s="71">
        <v>60</v>
      </c>
      <c r="AW690" s="71">
        <f>60*20</f>
        <v>1200</v>
      </c>
      <c r="AX690" s="71">
        <f>60*90</f>
        <v>5400</v>
      </c>
      <c r="AY690" s="71">
        <f>60*60*6</f>
        <v>21600</v>
      </c>
      <c r="AZ690" s="71">
        <f>60*60*24</f>
        <v>86400</v>
      </c>
      <c r="BA690" s="71">
        <f>60*60*72</f>
        <v>259200</v>
      </c>
      <c r="BB690" s="71">
        <f>60*60*24*7</f>
        <v>604800</v>
      </c>
      <c r="BC690" s="53"/>
      <c r="BD690" s="53"/>
      <c r="BE690" s="53"/>
      <c r="BF690" s="53"/>
      <c r="BG690" s="53"/>
      <c r="BH690" s="53"/>
      <c r="BI690" s="53"/>
      <c r="BJ690" s="53"/>
      <c r="BK690" s="53"/>
      <c r="BL690" s="53"/>
      <c r="BM690" s="53"/>
      <c r="BN690" s="53"/>
      <c r="BO690" s="53"/>
      <c r="BP690" s="53"/>
      <c r="BQ690" s="53"/>
      <c r="BR690" s="53"/>
      <c r="BS690" s="53"/>
      <c r="BT690" s="53"/>
      <c r="BU690" s="53"/>
      <c r="BV690" s="53"/>
      <c r="BW690" s="53"/>
      <c r="BX690" s="53"/>
      <c r="BY690" s="53"/>
      <c r="BZ690" s="53"/>
      <c r="CA690" s="53"/>
      <c r="CB690" s="53"/>
      <c r="CC690" s="53"/>
      <c r="CD690" s="53"/>
      <c r="CE690" s="53"/>
      <c r="CF690" s="53"/>
      <c r="CG690" s="53"/>
      <c r="CH690" s="53"/>
      <c r="CI690" s="53"/>
      <c r="CJ690" s="53"/>
      <c r="CK690" s="53"/>
      <c r="CL690" s="53"/>
      <c r="CM690" s="53"/>
      <c r="CN690" s="53"/>
      <c r="CO690" s="53"/>
      <c r="CP690" s="53"/>
      <c r="CQ690" s="53"/>
      <c r="CR690" s="1"/>
      <c r="CS690" s="1"/>
      <c r="CT690" s="1"/>
      <c r="CU690" s="1"/>
    </row>
    <row r="691" spans="1:99" s="13" customFormat="1" ht="12" customHeight="1" x14ac:dyDescent="0.2">
      <c r="A691" s="68">
        <v>43951</v>
      </c>
      <c r="B691" s="70" t="s">
        <v>883</v>
      </c>
      <c r="C691" s="70" t="s">
        <v>884</v>
      </c>
      <c r="D691" s="69">
        <v>1963</v>
      </c>
      <c r="E691" s="87">
        <v>1</v>
      </c>
      <c r="F691" s="69">
        <v>112</v>
      </c>
      <c r="G691" s="69">
        <v>16</v>
      </c>
      <c r="H691" s="69" t="s">
        <v>50</v>
      </c>
      <c r="I691" s="69" t="s">
        <v>885</v>
      </c>
      <c r="J691" s="69" t="s">
        <v>320</v>
      </c>
      <c r="K691" s="69">
        <f>IF(J691="syllables",1,IF(J691="trigrams",2,IF(J691="strings",3,IF(J691="visual array",4,IF(J691="characters",5,IF(J691="letters",6,IF(J691="free forms",7,IF(J691="odors",8,IF(J691="words",9,IF(J691="pictures",10,IF(J691="object pictures",11,IF(J691="faces",12,IF(J691="names",13,IF(J691="idioms",14,IF(J691="grades",15,IF(J691="syllable-digit pairs",16,IF(J691="trigram-word pairs",17,IF(J691="word-digit pairs",18,IF(J691="English-Swahili pairs",19,IF(J691="spatial position",20,IF(J691="word pairs",21,IF(J691="word triads",22,IF(J691="generated words",23,IF(J691="word definition pairs",24,IF(J691="math problems",25,IF(J691="famous faces",26,IF(J691="famous names",27,IF(J691="famous voices",28,IF(J691="television programs",29,IF(J691="race horses",30,IF(J691="new vocabulary",31,IF(J691="sentences",32,IF(J691="concepts",33,IF(J691="ad slides",34,IF(J691="scenes",35,IF(J691="famous scenes",36,IF(J691="poems",37,IF(J691="walk",38,IF(J691="faces and events",39,IF(J691="events and names",40,IF(J691="flashbulb",41,IF(J691="stories",42,IF(J691="course material",43,IF(J691="autobiographical",44,IF(J691="novels",45,IF(J691="public events",46,"99"))))))))))))))))))))))))))))))))))))))))))))))</f>
        <v>21</v>
      </c>
      <c r="L691" s="69">
        <f>IF(J691="syllables",1,IF(J691="trigrams",1,IF(J691="strings",1,IF(J691="visual array",1,IF(J691="characters",1,IF(J691="letters",1,IF(J691="free forms",1,IF(J691="odors",2,IF(J691="words",2,IF(J691="pictures",2,IF(J691="object pictures",2,IF(J691="faces",2,IF(J691="names",2,IF(J691="idioms","2",IF(J691="grades",2,IF(J691="syllable-digit pairs",3,IF(J691="trigram-word pairs",3,IF(J691="word-digit pairs",3,IF(J691="English-Swahili pairs",3,IF(J691="spatial position",3,IF(J691="word pairs",4,IF(J691="word triads",4,IF(J691="generated words",4,IF(J691="word definition pairs",4,IF(J691="math problems",4,IF(J691="famous faces",4,IF(J691="famous names",4,IF(J691="famous voices",4,IF(J691="television programs",4,IF(J691="race horses",4,IF(J691="new vocabulary",4,IF(J691="sentences",5,IF(J691="concepts",5,IF(J691="ad slides",5,IF(J691="scenes",5,IF(J691="famous scenes",5,IF(J691="poems",6,IF(J691="walk",6,IF(J691="faces and events",6,IF(J691="events and names",6,IF(J691="flashbulb",7,IF(J691="stories",7,IF(J691="course material",7,IF(J691="autobiographical",7,IF(J691="novels",7,IF(J691="public events",7,"99"))))))))))))))))))))))))))))))))))))))))))))))</f>
        <v>4</v>
      </c>
      <c r="M691" s="69">
        <v>1</v>
      </c>
      <c r="N691" s="92">
        <v>2</v>
      </c>
      <c r="O691" s="69">
        <v>0</v>
      </c>
      <c r="P691" s="69"/>
      <c r="Q691" s="69" t="s">
        <v>65</v>
      </c>
      <c r="R691" s="69">
        <f>IF(Q691="Free Recall",1,IF(Q691="Cued Recall",2,IF(Q691="Recognition",3,IF(Q691="Multiple Choice",4,IF(Q691="Savings",5,IF(Q691="Stem Completion",6,IF(Q691="Fragment Completion",7,IF(Q691="anagram solution",8,IF(Q691="Matching",9,IF(Q691="Problem Solving",10,"99"))))))))))</f>
        <v>2</v>
      </c>
      <c r="S691" s="69" t="s">
        <v>15</v>
      </c>
      <c r="T691" s="92" t="s">
        <v>261</v>
      </c>
      <c r="U691" s="69">
        <f>IF(T691="within",1,0)</f>
        <v>0</v>
      </c>
      <c r="V691" s="92">
        <v>10</v>
      </c>
      <c r="W691" s="69">
        <f>F691*V691</f>
        <v>1120</v>
      </c>
      <c r="X691" s="69">
        <v>7</v>
      </c>
      <c r="Y691" s="87">
        <f>AV690</f>
        <v>60</v>
      </c>
      <c r="Z691" s="92" t="s">
        <v>150</v>
      </c>
      <c r="AA691" s="69">
        <v>172800</v>
      </c>
      <c r="AB691" s="69" t="str">
        <f>IF(AA691&lt;60,"1",IF(AA691&lt;=43200,"2",IF(AA691&lt;=777600,"3","4")))</f>
        <v>3</v>
      </c>
      <c r="AC691" s="72">
        <f>AVERAGE(AV690:DA690)</f>
        <v>139808.57142857142</v>
      </c>
      <c r="AD691" s="69" t="str">
        <f>IF(AC691&lt;60,"1",IF(AC691&lt;=43200,"2",IF(AC691&lt;=777600,"3","4")))</f>
        <v>3</v>
      </c>
      <c r="AE691" s="87">
        <f>AA691-Y691</f>
        <v>172740</v>
      </c>
      <c r="AF691" s="88">
        <f>AV691</f>
        <v>0.66335801960545604</v>
      </c>
      <c r="AG691" s="72">
        <f>((AW691-AV691)+(AX691-AW691)+(AY691-AX691)+(AZ691-AY691)+(BA691-AZ691)+(BB691-BA691))/6</f>
        <v>-2.6962652260619668E-2</v>
      </c>
      <c r="AH691" s="4"/>
      <c r="AI691" s="72">
        <f>RSQ(AV691:BB691,AV690:BB690)</f>
        <v>0.79747397187966984</v>
      </c>
      <c r="AJ691" s="110">
        <f>SLOPE(AV691:BB691,AV690:BB690)</f>
        <v>-2.9310821498394279E-7</v>
      </c>
      <c r="AK691" s="72">
        <f>INTERCEPT(AV691:BB691,AV690:BB690)</f>
        <v>0.68269818976981977</v>
      </c>
      <c r="AL691" s="72">
        <f>INDEX(LINEST(LN(AV691:BB691),LN(AV690:BB690),TRUE,TRUE),3,1)</f>
        <v>0.29643923345027523</v>
      </c>
      <c r="AM691" s="72">
        <f>INDEX(LINEST(LN(AV691:BB691),LN(AV690:BB690)),1)</f>
        <v>-2.0430453216611359E-2</v>
      </c>
      <c r="AN691" s="72">
        <f>EXP(INDEX(LINEST(LN(AV691:BB691),LN(AV690:BB690)),1,2))</f>
        <v>0.77535907343637345</v>
      </c>
      <c r="AO691" s="89">
        <f>INDEX(LINEST((AV691:BB691),LN(AV690:BB690),TRUE,TRUE),3,1)</f>
        <v>0.27724550030009937</v>
      </c>
      <c r="AP691" s="89">
        <f>INDEX(LINEST((AV691:BB691),LN(AV690:BB690)),1)</f>
        <v>-1.2019524566460108E-2</v>
      </c>
      <c r="AQ691" s="90">
        <f>INDEX(LINEST(LN(AV691:BB691),SQRT(AV690:BB690),TRUE,TRUE),3,1)</f>
        <v>0.70826264011270046</v>
      </c>
      <c r="AR691" s="117">
        <f>INDEX(LINEST(LN(AV691:BB691),SQRT((AV690:BB690))),1)</f>
        <v>-3.5658171196982388E-4</v>
      </c>
      <c r="AS691" s="91">
        <f>INDEX(LINEST(1/(AV691:BB691),1/(SQRT(AV690:BB690)),TRUE,TRUE),3,1)</f>
        <v>5.6183129837885357E-2</v>
      </c>
      <c r="AT691" s="91">
        <f>INDEX(LINEST(1/(AV691:BB691),1/SQRT(AV690:BB690)),1)</f>
        <v>-1.0394691238033038</v>
      </c>
      <c r="AU691" s="3"/>
      <c r="AV691" s="73">
        <v>0.66335801960545604</v>
      </c>
      <c r="AW691" s="73">
        <v>0.67386744314511193</v>
      </c>
      <c r="AX691" s="73">
        <v>0.64669731384647</v>
      </c>
      <c r="AY691" s="73">
        <v>0.74575037216661799</v>
      </c>
      <c r="AZ691" s="73">
        <v>0.646471485951295</v>
      </c>
      <c r="BA691" s="73">
        <v>0.61430730195586403</v>
      </c>
      <c r="BB691" s="73">
        <v>0.50158210604173803</v>
      </c>
      <c r="BC691" s="53"/>
      <c r="BD691" s="53"/>
      <c r="BE691" s="53"/>
      <c r="BF691" s="53"/>
      <c r="BG691" s="53"/>
      <c r="BH691" s="53"/>
      <c r="BI691" s="53"/>
      <c r="BJ691" s="53"/>
      <c r="BK691" s="53"/>
      <c r="BL691" s="53"/>
      <c r="BM691" s="53"/>
      <c r="BN691" s="53"/>
      <c r="BO691" s="53"/>
      <c r="BP691" s="53"/>
      <c r="BQ691" s="53"/>
      <c r="BR691" s="53"/>
      <c r="BS691" s="53"/>
      <c r="BT691" s="53"/>
      <c r="BU691" s="53"/>
      <c r="BV691" s="53"/>
      <c r="BW691" s="53"/>
      <c r="BX691" s="53"/>
      <c r="BY691" s="53"/>
      <c r="BZ691" s="53"/>
      <c r="CA691" s="53"/>
      <c r="CB691" s="53"/>
      <c r="CC691" s="53"/>
      <c r="CD691" s="53"/>
      <c r="CE691" s="53"/>
      <c r="CF691" s="53"/>
      <c r="CG691" s="53"/>
      <c r="CH691" s="53"/>
      <c r="CI691" s="53"/>
      <c r="CJ691" s="53"/>
      <c r="CK691" s="53"/>
      <c r="CL691" s="53"/>
      <c r="CM691" s="53"/>
      <c r="CN691" s="53"/>
      <c r="CO691" s="53"/>
      <c r="CP691" s="53"/>
      <c r="CQ691" s="53"/>
      <c r="CR691" s="1"/>
      <c r="CS691" s="1"/>
      <c r="CT691" s="1"/>
      <c r="CU691" s="1"/>
    </row>
    <row r="692" spans="1:99" s="13" customFormat="1" ht="12" customHeight="1" x14ac:dyDescent="0.2">
      <c r="A692" s="68">
        <v>43951</v>
      </c>
      <c r="B692" s="70"/>
      <c r="C692" s="70"/>
      <c r="D692" s="69"/>
      <c r="E692" s="87"/>
      <c r="F692" s="69"/>
      <c r="G692" s="69"/>
      <c r="H692" s="69"/>
      <c r="I692" s="69"/>
      <c r="J692" s="69"/>
      <c r="K692" s="69"/>
      <c r="L692" s="69"/>
      <c r="M692" s="69"/>
      <c r="N692" s="92"/>
      <c r="O692" s="69"/>
      <c r="P692" s="69"/>
      <c r="Q692" s="69"/>
      <c r="R692" s="69"/>
      <c r="S692" s="69"/>
      <c r="T692" s="92"/>
      <c r="U692" s="69"/>
      <c r="V692" s="92"/>
      <c r="W692" s="69"/>
      <c r="X692" s="69"/>
      <c r="Y692" s="87"/>
      <c r="Z692" s="92"/>
      <c r="AA692" s="69"/>
      <c r="AB692" s="69"/>
      <c r="AC692" s="72"/>
      <c r="AD692" s="69"/>
      <c r="AE692" s="87"/>
      <c r="AF692" s="88"/>
      <c r="AG692" s="72"/>
      <c r="AH692" s="4"/>
      <c r="AI692" s="72"/>
      <c r="AJ692" s="110"/>
      <c r="AK692" s="72"/>
      <c r="AL692" s="72"/>
      <c r="AM692" s="72"/>
      <c r="AN692" s="72"/>
      <c r="AO692" s="89"/>
      <c r="AP692" s="89"/>
      <c r="AQ692" s="90"/>
      <c r="AR692" s="117"/>
      <c r="AS692" s="91"/>
      <c r="AT692" s="91"/>
      <c r="AU692" s="3"/>
      <c r="AV692" s="71">
        <v>60</v>
      </c>
      <c r="AW692" s="71">
        <f>60*20</f>
        <v>1200</v>
      </c>
      <c r="AX692" s="71">
        <f>60*90</f>
        <v>5400</v>
      </c>
      <c r="AY692" s="71">
        <f>60*60*6</f>
        <v>21600</v>
      </c>
      <c r="AZ692" s="71">
        <f>60*60*24</f>
        <v>86400</v>
      </c>
      <c r="BA692" s="71">
        <f>60*60*72</f>
        <v>259200</v>
      </c>
      <c r="BB692" s="71">
        <f>60*60*24*7</f>
        <v>604800</v>
      </c>
      <c r="BC692" s="53"/>
      <c r="BD692" s="53"/>
      <c r="BE692" s="53"/>
      <c r="BF692" s="53"/>
      <c r="BG692" s="53"/>
      <c r="BH692" s="53"/>
      <c r="BI692" s="53"/>
      <c r="BJ692" s="53"/>
      <c r="BK692" s="53"/>
      <c r="BL692" s="53"/>
      <c r="BM692" s="53"/>
      <c r="BN692" s="53"/>
      <c r="BO692" s="53"/>
      <c r="BP692" s="53"/>
      <c r="BQ692" s="53"/>
      <c r="BR692" s="53"/>
      <c r="BS692" s="53"/>
      <c r="BT692" s="53"/>
      <c r="BU692" s="53"/>
      <c r="BV692" s="53"/>
      <c r="BW692" s="53"/>
      <c r="BX692" s="53"/>
      <c r="BY692" s="53"/>
      <c r="BZ692" s="53"/>
      <c r="CA692" s="53"/>
      <c r="CB692" s="53"/>
      <c r="CC692" s="53"/>
      <c r="CD692" s="53"/>
      <c r="CE692" s="53"/>
      <c r="CF692" s="53"/>
      <c r="CG692" s="53"/>
      <c r="CH692" s="53"/>
      <c r="CI692" s="53"/>
      <c r="CJ692" s="53"/>
      <c r="CK692" s="53"/>
      <c r="CL692" s="53"/>
      <c r="CM692" s="53"/>
      <c r="CN692" s="53"/>
      <c r="CO692" s="53"/>
      <c r="CP692" s="53"/>
      <c r="CQ692" s="53"/>
      <c r="CR692" s="1"/>
      <c r="CS692" s="1"/>
      <c r="CT692" s="1"/>
      <c r="CU692" s="1"/>
    </row>
    <row r="693" spans="1:99" s="13" customFormat="1" ht="12" customHeight="1" x14ac:dyDescent="0.2">
      <c r="A693" s="68">
        <v>43951</v>
      </c>
      <c r="B693" s="70" t="s">
        <v>883</v>
      </c>
      <c r="C693" s="70" t="s">
        <v>884</v>
      </c>
      <c r="D693" s="69">
        <v>1963</v>
      </c>
      <c r="E693" s="87">
        <v>1</v>
      </c>
      <c r="F693" s="69">
        <v>112</v>
      </c>
      <c r="G693" s="69">
        <v>16</v>
      </c>
      <c r="H693" s="69" t="s">
        <v>50</v>
      </c>
      <c r="I693" s="69" t="s">
        <v>886</v>
      </c>
      <c r="J693" s="69" t="s">
        <v>320</v>
      </c>
      <c r="K693" s="69">
        <f>IF(J693="syllables",1,IF(J693="trigrams",2,IF(J693="strings",3,IF(J693="visual array",4,IF(J693="characters",5,IF(J693="letters",6,IF(J693="free forms",7,IF(J693="odors",8,IF(J693="words",9,IF(J693="pictures",10,IF(J693="object pictures",11,IF(J693="faces",12,IF(J693="names",13,IF(J693="idioms",14,IF(J693="grades",15,IF(J693="syllable-digit pairs",16,IF(J693="trigram-word pairs",17,IF(J693="word-digit pairs",18,IF(J693="English-Swahili pairs",19,IF(J693="spatial position",20,IF(J693="word pairs",21,IF(J693="word triads",22,IF(J693="generated words",23,IF(J693="word definition pairs",24,IF(J693="math problems",25,IF(J693="famous faces",26,IF(J693="famous names",27,IF(J693="famous voices",28,IF(J693="television programs",29,IF(J693="race horses",30,IF(J693="new vocabulary",31,IF(J693="sentences",32,IF(J693="concepts",33,IF(J693="ad slides",34,IF(J693="scenes",35,IF(J693="famous scenes",36,IF(J693="poems",37,IF(J693="walk",38,IF(J693="faces and events",39,IF(J693="events and names",40,IF(J693="flashbulb",41,IF(J693="stories",42,IF(J693="course material",43,IF(J693="autobiographical",44,IF(J693="novels",45,IF(J693="public events",46,"99"))))))))))))))))))))))))))))))))))))))))))))))</f>
        <v>21</v>
      </c>
      <c r="L693" s="69">
        <f>IF(J693="syllables",1,IF(J693="trigrams",1,IF(J693="strings",1,IF(J693="visual array",1,IF(J693="characters",1,IF(J693="letters",1,IF(J693="free forms",1,IF(J693="odors",2,IF(J693="words",2,IF(J693="pictures",2,IF(J693="object pictures",2,IF(J693="faces",2,IF(J693="names",2,IF(J693="idioms","2",IF(J693="grades",2,IF(J693="syllable-digit pairs",3,IF(J693="trigram-word pairs",3,IF(J693="word-digit pairs",3,IF(J693="English-Swahili pairs",3,IF(J693="spatial position",3,IF(J693="word pairs",4,IF(J693="word triads",4,IF(J693="generated words",4,IF(J693="word definition pairs",4,IF(J693="math problems",4,IF(J693="famous faces",4,IF(J693="famous names",4,IF(J693="famous voices",4,IF(J693="television programs",4,IF(J693="race horses",4,IF(J693="new vocabulary",4,IF(J693="sentences",5,IF(J693="concepts",5,IF(J693="ad slides",5,IF(J693="scenes",5,IF(J693="famous scenes",5,IF(J693="poems",6,IF(J693="walk",6,IF(J693="faces and events",6,IF(J693="events and names",6,IF(J693="flashbulb",7,IF(J693="stories",7,IF(J693="course material",7,IF(J693="autobiographical",7,IF(J693="novels",7,IF(J693="public events",7,"99"))))))))))))))))))))))))))))))))))))))))))))))</f>
        <v>4</v>
      </c>
      <c r="M693" s="69">
        <v>1</v>
      </c>
      <c r="N693" s="92">
        <v>2</v>
      </c>
      <c r="O693" s="69">
        <v>0</v>
      </c>
      <c r="P693" s="69"/>
      <c r="Q693" s="69" t="s">
        <v>65</v>
      </c>
      <c r="R693" s="69">
        <f>IF(Q693="Free Recall",1,IF(Q693="Cued Recall",2,IF(Q693="Recognition",3,IF(Q693="Multiple Choice",4,IF(Q693="Savings",5,IF(Q693="Stem Completion",6,IF(Q693="Fragment Completion",7,IF(Q693="anagram solution",8,IF(Q693="Matching",9,IF(Q693="Problem Solving",10,"99"))))))))))</f>
        <v>2</v>
      </c>
      <c r="S693" s="69" t="s">
        <v>15</v>
      </c>
      <c r="T693" s="92" t="s">
        <v>261</v>
      </c>
      <c r="U693" s="69">
        <f>IF(T693="within",1,0)</f>
        <v>0</v>
      </c>
      <c r="V693" s="92">
        <v>10</v>
      </c>
      <c r="W693" s="69">
        <f>F693*V693</f>
        <v>1120</v>
      </c>
      <c r="X693" s="69">
        <v>7</v>
      </c>
      <c r="Y693" s="87">
        <f>AV692</f>
        <v>60</v>
      </c>
      <c r="Z693" s="92" t="s">
        <v>150</v>
      </c>
      <c r="AA693" s="69">
        <v>172800</v>
      </c>
      <c r="AB693" s="69" t="str">
        <f>IF(AA693&lt;60,"1",IF(AA693&lt;=43200,"2",IF(AA693&lt;=777600,"3","4")))</f>
        <v>3</v>
      </c>
      <c r="AC693" s="72">
        <f>AVERAGE(AV692:DA692)</f>
        <v>139808.57142857142</v>
      </c>
      <c r="AD693" s="69" t="str">
        <f>IF(AC693&lt;60,"1",IF(AC693&lt;=43200,"2",IF(AC693&lt;=777600,"3","4")))</f>
        <v>3</v>
      </c>
      <c r="AE693" s="87">
        <f>AA693-Y693</f>
        <v>172740</v>
      </c>
      <c r="AF693" s="88">
        <f>AV693</f>
        <v>0.943465503197355</v>
      </c>
      <c r="AG693" s="72">
        <f>((AW693-AV693)+(AX693-AW693)+(AY693-AX693)+(AZ693-AY693)+(BA693-AZ693)+(BB693-BA693))/6</f>
        <v>-8.8482215585120816E-2</v>
      </c>
      <c r="AH693" s="4"/>
      <c r="AI693" s="72">
        <f>RSQ(AV693:BB693,AV692:BB692)</f>
        <v>0.94014364172189713</v>
      </c>
      <c r="AJ693" s="110">
        <f>SLOPE(AV693:BB693,AV692:BB692)</f>
        <v>-8.109658672902818E-7</v>
      </c>
      <c r="AK693" s="72">
        <f>INTERCEPT(AV693:BB693,AV692:BB692)</f>
        <v>0.87746125281497012</v>
      </c>
      <c r="AL693" s="72">
        <f>INDEX(LINEST(LN(AV693:BB693),LN(AV692:BB692),TRUE,TRUE),3,1)</f>
        <v>0.64605146516848233</v>
      </c>
      <c r="AM693" s="72">
        <f>INDEX(LINEST(LN(AV693:BB693),LN(AV692:BB692)),1)</f>
        <v>-7.2498428077765964E-2</v>
      </c>
      <c r="AN693" s="72">
        <f>EXP(INDEX(LINEST(LN(AV693:BB693),LN(AV692:BB692)),1,2))</f>
        <v>1.4788924769248122</v>
      </c>
      <c r="AO693" s="89">
        <f>INDEX(LINEST((AV693:BB693),LN(AV692:BB692),TRUE,TRUE),3,1)</f>
        <v>0.73004420725919217</v>
      </c>
      <c r="AP693" s="89">
        <f>INDEX(LINEST((AV693:BB693),LN(AV692:BB692)),1)</f>
        <v>-4.9701025864938263E-2</v>
      </c>
      <c r="AQ693" s="90">
        <f>INDEX(LINEST(LN(AV693:BB693),SQRT(AV692:BB692),TRUE,TRUE),3,1)</f>
        <v>0.96729786266640216</v>
      </c>
      <c r="AR693" s="117">
        <f>INDEX(LINEST(LN(AV693:BB693),SQRT((AV692:BB692))),1)</f>
        <v>-1.0016751162456705E-3</v>
      </c>
      <c r="AS693" s="91">
        <f>INDEX(LINEST(1/(AV693:BB693),1/(SQRT(AV692:BB692)),TRUE,TRUE),3,1)</f>
        <v>0.18045900019928032</v>
      </c>
      <c r="AT693" s="91">
        <f>INDEX(LINEST(1/(AV693:BB693),1/SQRT(AV692:BB692)),1)</f>
        <v>-4.4296957814813087</v>
      </c>
      <c r="AU693" s="3"/>
      <c r="AV693" s="73">
        <v>0.943465503197355</v>
      </c>
      <c r="AW693" s="73">
        <v>0.88381323321505101</v>
      </c>
      <c r="AX693" s="73">
        <v>0.89381538663196203</v>
      </c>
      <c r="AY693" s="73">
        <v>0.85150580018163491</v>
      </c>
      <c r="AZ693" s="73">
        <v>0.72971771513103001</v>
      </c>
      <c r="BA693" s="73">
        <v>0.63367906597882107</v>
      </c>
      <c r="BB693" s="73">
        <v>0.41257220968663005</v>
      </c>
      <c r="BC693" s="53"/>
      <c r="BD693" s="53"/>
      <c r="BE693" s="53"/>
      <c r="BF693" s="53"/>
      <c r="BG693" s="53"/>
      <c r="BH693" s="53"/>
      <c r="BI693" s="53"/>
      <c r="BJ693" s="53"/>
      <c r="BK693" s="53"/>
      <c r="BL693" s="53"/>
      <c r="BM693" s="53"/>
      <c r="BN693" s="53"/>
      <c r="BO693" s="53"/>
      <c r="BP693" s="53"/>
      <c r="BQ693" s="53"/>
      <c r="BR693" s="53"/>
      <c r="BS693" s="53"/>
      <c r="BT693" s="53"/>
      <c r="BU693" s="53"/>
      <c r="BV693" s="53"/>
      <c r="BW693" s="53"/>
      <c r="BX693" s="53"/>
      <c r="BY693" s="53"/>
      <c r="BZ693" s="53"/>
      <c r="CA693" s="53"/>
      <c r="CB693" s="53"/>
      <c r="CC693" s="53"/>
      <c r="CD693" s="53"/>
      <c r="CE693" s="53"/>
      <c r="CF693" s="53"/>
      <c r="CG693" s="53"/>
      <c r="CH693" s="53"/>
      <c r="CI693" s="53"/>
      <c r="CJ693" s="53"/>
      <c r="CK693" s="53"/>
      <c r="CL693" s="53"/>
      <c r="CM693" s="53"/>
      <c r="CN693" s="53"/>
      <c r="CO693" s="53"/>
      <c r="CP693" s="53"/>
      <c r="CQ693" s="53"/>
      <c r="CR693" s="1"/>
      <c r="CS693" s="1"/>
      <c r="CT693" s="1"/>
      <c r="CU693" s="1"/>
    </row>
    <row r="694" spans="1:99" s="13" customFormat="1" ht="12" customHeight="1" x14ac:dyDescent="0.2">
      <c r="A694" s="68">
        <v>43951</v>
      </c>
      <c r="B694" s="70"/>
      <c r="C694" s="70"/>
      <c r="D694" s="69"/>
      <c r="E694" s="87"/>
      <c r="F694" s="69"/>
      <c r="G694" s="69"/>
      <c r="H694" s="69"/>
      <c r="I694" s="69"/>
      <c r="J694" s="69"/>
      <c r="K694" s="69"/>
      <c r="L694" s="69"/>
      <c r="M694" s="69"/>
      <c r="N694" s="92"/>
      <c r="O694" s="69"/>
      <c r="P694" s="69"/>
      <c r="Q694" s="69"/>
      <c r="R694" s="69"/>
      <c r="S694" s="69"/>
      <c r="T694" s="92"/>
      <c r="U694" s="69"/>
      <c r="V694" s="92"/>
      <c r="W694" s="69"/>
      <c r="X694" s="69"/>
      <c r="Y694" s="87"/>
      <c r="Z694" s="92"/>
      <c r="AA694" s="69"/>
      <c r="AB694" s="69"/>
      <c r="AC694" s="72"/>
      <c r="AD694" s="69"/>
      <c r="AE694" s="87"/>
      <c r="AF694" s="88"/>
      <c r="AG694" s="72"/>
      <c r="AH694" s="4"/>
      <c r="AI694" s="72"/>
      <c r="AJ694" s="110"/>
      <c r="AK694" s="72"/>
      <c r="AL694" s="72"/>
      <c r="AM694" s="72"/>
      <c r="AN694" s="72"/>
      <c r="AO694" s="89"/>
      <c r="AP694" s="89"/>
      <c r="AQ694" s="90"/>
      <c r="AR694" s="117"/>
      <c r="AS694" s="91"/>
      <c r="AT694" s="91"/>
      <c r="AU694" s="3"/>
      <c r="AV694" s="71">
        <v>60</v>
      </c>
      <c r="AW694" s="71">
        <f>60*20</f>
        <v>1200</v>
      </c>
      <c r="AX694" s="71">
        <f>60*90</f>
        <v>5400</v>
      </c>
      <c r="AY694" s="71">
        <f>60*60*6</f>
        <v>21600</v>
      </c>
      <c r="AZ694" s="71">
        <f>60*60*24</f>
        <v>86400</v>
      </c>
      <c r="BA694" s="71">
        <f>60*60*72</f>
        <v>259200</v>
      </c>
      <c r="BB694" s="71">
        <f>60*60*24*7</f>
        <v>604800</v>
      </c>
      <c r="BC694" s="53"/>
      <c r="BD694" s="53"/>
      <c r="BE694" s="53"/>
      <c r="BF694" s="53"/>
      <c r="BG694" s="53"/>
      <c r="BH694" s="53"/>
      <c r="BI694" s="53"/>
      <c r="BJ694" s="53"/>
      <c r="BK694" s="53"/>
      <c r="BL694" s="53"/>
      <c r="BM694" s="53"/>
      <c r="BN694" s="53"/>
      <c r="BO694" s="53"/>
      <c r="BP694" s="53"/>
      <c r="BQ694" s="53"/>
      <c r="BR694" s="53"/>
      <c r="BS694" s="53"/>
      <c r="BT694" s="53"/>
      <c r="BU694" s="53"/>
      <c r="BV694" s="53"/>
      <c r="BW694" s="53"/>
      <c r="BX694" s="53"/>
      <c r="BY694" s="53"/>
      <c r="BZ694" s="53"/>
      <c r="CA694" s="53"/>
      <c r="CB694" s="53"/>
      <c r="CC694" s="53"/>
      <c r="CD694" s="53"/>
      <c r="CE694" s="53"/>
      <c r="CF694" s="53"/>
      <c r="CG694" s="53"/>
      <c r="CH694" s="53"/>
      <c r="CI694" s="53"/>
      <c r="CJ694" s="53"/>
      <c r="CK694" s="53"/>
      <c r="CL694" s="53"/>
      <c r="CM694" s="53"/>
      <c r="CN694" s="53"/>
      <c r="CO694" s="53"/>
      <c r="CP694" s="53"/>
      <c r="CQ694" s="53"/>
      <c r="CR694" s="1"/>
      <c r="CS694" s="1"/>
      <c r="CT694" s="1"/>
      <c r="CU694" s="1"/>
    </row>
    <row r="695" spans="1:99" s="13" customFormat="1" ht="12" customHeight="1" x14ac:dyDescent="0.2">
      <c r="A695" s="68">
        <v>43951</v>
      </c>
      <c r="B695" s="70" t="s">
        <v>883</v>
      </c>
      <c r="C695" s="70" t="s">
        <v>884</v>
      </c>
      <c r="D695" s="69">
        <v>1963</v>
      </c>
      <c r="E695" s="87">
        <v>1</v>
      </c>
      <c r="F695" s="69">
        <v>56</v>
      </c>
      <c r="G695" s="69">
        <v>8</v>
      </c>
      <c r="H695" s="69" t="s">
        <v>50</v>
      </c>
      <c r="I695" s="69" t="s">
        <v>479</v>
      </c>
      <c r="J695" s="69" t="s">
        <v>320</v>
      </c>
      <c r="K695" s="69">
        <f>IF(J695="syllables",1,IF(J695="trigrams",2,IF(J695="strings",3,IF(J695="visual array",4,IF(J695="characters",5,IF(J695="letters",6,IF(J695="free forms",7,IF(J695="odors",8,IF(J695="words",9,IF(J695="pictures",10,IF(J695="object pictures",11,IF(J695="faces",12,IF(J695="names",13,IF(J695="idioms",14,IF(J695="grades",15,IF(J695="syllable-digit pairs",16,IF(J695="trigram-word pairs",17,IF(J695="word-digit pairs",18,IF(J695="English-Swahili pairs",19,IF(J695="spatial position",20,IF(J695="word pairs",21,IF(J695="word triads",22,IF(J695="generated words",23,IF(J695="word definition pairs",24,IF(J695="math problems",25,IF(J695="famous faces",26,IF(J695="famous names",27,IF(J695="famous voices",28,IF(J695="television programs",29,IF(J695="race horses",30,IF(J695="new vocabulary",31,IF(J695="sentences",32,IF(J695="concepts",33,IF(J695="ad slides",34,IF(J695="scenes",35,IF(J695="famous scenes",36,IF(J695="poems",37,IF(J695="walk",38,IF(J695="faces and events",39,IF(J695="events and names",40,IF(J695="flashbulb",41,IF(J695="stories",42,IF(J695="course material",43,IF(J695="autobiographical",44,IF(J695="novels",45,IF(J695="public events",46,"99"))))))))))))))))))))))))))))))))))))))))))))))</f>
        <v>21</v>
      </c>
      <c r="L695" s="69">
        <f>IF(J695="syllables",1,IF(J695="trigrams",1,IF(J695="strings",1,IF(J695="visual array",1,IF(J695="characters",1,IF(J695="letters",1,IF(J695="free forms",1,IF(J695="odors",2,IF(J695="words",2,IF(J695="pictures",2,IF(J695="object pictures",2,IF(J695="faces",2,IF(J695="names",2,IF(J695="idioms","2",IF(J695="grades",2,IF(J695="syllable-digit pairs",3,IF(J695="trigram-word pairs",3,IF(J695="word-digit pairs",3,IF(J695="English-Swahili pairs",3,IF(J695="spatial position",3,IF(J695="word pairs",4,IF(J695="word triads",4,IF(J695="generated words",4,IF(J695="word definition pairs",4,IF(J695="math problems",4,IF(J695="famous faces",4,IF(J695="famous names",4,IF(J695="famous voices",4,IF(J695="television programs",4,IF(J695="race horses",4,IF(J695="new vocabulary",4,IF(J695="sentences",5,IF(J695="concepts",5,IF(J695="ad slides",5,IF(J695="scenes",5,IF(J695="famous scenes",5,IF(J695="poems",6,IF(J695="walk",6,IF(J695="faces and events",6,IF(J695="events and names",6,IF(J695="flashbulb",7,IF(J695="stories",7,IF(J695="course material",7,IF(J695="autobiographical",7,IF(J695="novels",7,IF(J695="public events",7,"99"))))))))))))))))))))))))))))))))))))))))))))))</f>
        <v>4</v>
      </c>
      <c r="M695" s="69">
        <v>1</v>
      </c>
      <c r="N695" s="92">
        <v>2</v>
      </c>
      <c r="O695" s="69">
        <v>0</v>
      </c>
      <c r="P695" s="69"/>
      <c r="Q695" s="69" t="s">
        <v>65</v>
      </c>
      <c r="R695" s="69">
        <f>IF(Q695="Free Recall",1,IF(Q695="Cued Recall",2,IF(Q695="Recognition",3,IF(Q695="Multiple Choice",4,IF(Q695="Savings",5,IF(Q695="Stem Completion",6,IF(Q695="Fragment Completion",7,IF(Q695="anagram solution",8,IF(Q695="Matching",9,IF(Q695="Problem Solving",10,"99"))))))))))</f>
        <v>2</v>
      </c>
      <c r="S695" s="69" t="s">
        <v>15</v>
      </c>
      <c r="T695" s="92" t="s">
        <v>261</v>
      </c>
      <c r="U695" s="69">
        <f>IF(T695="within",1,0)</f>
        <v>0</v>
      </c>
      <c r="V695" s="92">
        <v>10</v>
      </c>
      <c r="W695" s="69">
        <f>F695*V695</f>
        <v>560</v>
      </c>
      <c r="X695" s="69">
        <v>7</v>
      </c>
      <c r="Y695" s="87">
        <f>AV694</f>
        <v>60</v>
      </c>
      <c r="Z695" s="92" t="s">
        <v>150</v>
      </c>
      <c r="AA695" s="69">
        <v>172800</v>
      </c>
      <c r="AB695" s="69" t="str">
        <f>IF(AA695&lt;60,"1",IF(AA695&lt;=43200,"2",IF(AA695&lt;=777600,"3","4")))</f>
        <v>3</v>
      </c>
      <c r="AC695" s="72">
        <f>AVERAGE(AV694:DA694)</f>
        <v>139808.57142857142</v>
      </c>
      <c r="AD695" s="69" t="str">
        <f>IF(AC695&lt;60,"1",IF(AC695&lt;=43200,"2",IF(AC695&lt;=777600,"3","4")))</f>
        <v>3</v>
      </c>
      <c r="AE695" s="87">
        <f>AA695-Y695</f>
        <v>172740</v>
      </c>
      <c r="AF695" s="88">
        <f>AV695</f>
        <v>0.98534927486026103</v>
      </c>
      <c r="AG695" s="72">
        <f>((AW695-AV695)+(AX695-AW695)+(AY695-AX695)+(AZ695-AY695)+(BA695-AZ695)+(BB695-BA695))/6</f>
        <v>-7.1727883003923007E-2</v>
      </c>
      <c r="AH695" s="4"/>
      <c r="AI695" s="72">
        <f>RSQ(AV695:BB695,AV694:BB694)</f>
        <v>0.92469446974817515</v>
      </c>
      <c r="AJ695" s="110">
        <f>SLOPE(AV695:BB695,AV694:BB694)</f>
        <v>-6.1010590568439386E-7</v>
      </c>
      <c r="AK695" s="72">
        <f>INTERCEPT(AV695:BB695,AV694:BB694)</f>
        <v>0.92537119776779775</v>
      </c>
      <c r="AL695" s="72">
        <f>INDEX(LINEST(LN(AV695:BB695),LN(AV694:BB694),TRUE,TRUE),3,1)</f>
        <v>0.59854673529355407</v>
      </c>
      <c r="AM695" s="72">
        <f>INDEX(LINEST(LN(AV695:BB695),LN(AV694:BB694)),1)</f>
        <v>-4.6015031429518342E-2</v>
      </c>
      <c r="AN695" s="72">
        <f>EXP(INDEX(LINEST(LN(AV695:BB695),LN(AV694:BB694)),1,2))</f>
        <v>1.285221559792586</v>
      </c>
      <c r="AO695" s="89">
        <f>INDEX(LINEST((AV695:BB695),LN(AV694:BB694),TRUE,TRUE),3,1)</f>
        <v>0.66462050482047752</v>
      </c>
      <c r="AP695" s="89">
        <f>INDEX(LINEST((AV695:BB695),LN(AV694:BB694)),1)</f>
        <v>-3.5973133637826872E-2</v>
      </c>
      <c r="AQ695" s="90">
        <f>INDEX(LINEST(LN(AV695:BB695),SQRT(AV694:BB694),TRUE,TRUE),3,1)</f>
        <v>0.88316795923081626</v>
      </c>
      <c r="AR695" s="117">
        <f>INDEX(LINEST(LN(AV695:BB695),SQRT((AV694:BB694))),1)</f>
        <v>-6.3113763901058136E-4</v>
      </c>
      <c r="AS695" s="91">
        <f>INDEX(LINEST(1/(AV695:BB695),1/(SQRT(AV694:BB694)),TRUE,TRUE),3,1)</f>
        <v>0.20424623326933958</v>
      </c>
      <c r="AT695" s="91">
        <f>INDEX(LINEST(1/(AV695:BB695),1/SQRT(AV694:BB694)),1)</f>
        <v>-2.6134514268357827</v>
      </c>
      <c r="AU695" s="3"/>
      <c r="AV695" s="73">
        <v>0.98534927486026103</v>
      </c>
      <c r="AW695" s="73">
        <v>0.94769163069836204</v>
      </c>
      <c r="AX695" s="73">
        <v>0.852980422631475</v>
      </c>
      <c r="AY695" s="73">
        <v>0.90072336082840998</v>
      </c>
      <c r="AZ695" s="73">
        <v>0.86269944853801694</v>
      </c>
      <c r="BA695" s="73">
        <v>0.776086024324248</v>
      </c>
      <c r="BB695" s="73">
        <v>0.55498197683672301</v>
      </c>
      <c r="BC695" s="53"/>
      <c r="BD695" s="53"/>
      <c r="BE695" s="53"/>
      <c r="BF695" s="53"/>
      <c r="BG695" s="53"/>
      <c r="BH695" s="53"/>
      <c r="BI695" s="53"/>
      <c r="BJ695" s="53"/>
      <c r="BK695" s="53"/>
      <c r="BL695" s="53"/>
      <c r="BM695" s="53"/>
      <c r="BN695" s="53"/>
      <c r="BO695" s="53"/>
      <c r="BP695" s="53"/>
      <c r="BQ695" s="53"/>
      <c r="BR695" s="53"/>
      <c r="BS695" s="53"/>
      <c r="BT695" s="53"/>
      <c r="BU695" s="53"/>
      <c r="BV695" s="53"/>
      <c r="BW695" s="53"/>
      <c r="BX695" s="53"/>
      <c r="BY695" s="53"/>
      <c r="BZ695" s="53"/>
      <c r="CA695" s="53"/>
      <c r="CB695" s="53"/>
      <c r="CC695" s="53"/>
      <c r="CD695" s="53"/>
      <c r="CE695" s="53"/>
      <c r="CF695" s="53"/>
      <c r="CG695" s="53"/>
      <c r="CH695" s="53"/>
      <c r="CI695" s="53"/>
      <c r="CJ695" s="53"/>
      <c r="CK695" s="53"/>
      <c r="CL695" s="53"/>
      <c r="CM695" s="53"/>
      <c r="CN695" s="53"/>
      <c r="CO695" s="53"/>
      <c r="CP695" s="53"/>
      <c r="CQ695" s="53"/>
      <c r="CR695" s="1"/>
      <c r="CS695" s="1"/>
      <c r="CT695" s="1"/>
      <c r="CU695" s="1"/>
    </row>
    <row r="696" spans="1:99" s="13" customFormat="1" ht="12" customHeight="1" x14ac:dyDescent="0.2">
      <c r="A696" s="65">
        <v>43509</v>
      </c>
      <c r="B696" s="1"/>
      <c r="C696" s="1"/>
      <c r="D696" s="60"/>
      <c r="E696" s="76"/>
      <c r="F696" s="60"/>
      <c r="G696" s="60"/>
      <c r="H696" s="60"/>
      <c r="I696" s="60"/>
      <c r="J696" s="60"/>
      <c r="K696" s="64"/>
      <c r="L696" s="64"/>
      <c r="M696" s="60"/>
      <c r="N696" s="60"/>
      <c r="O696" s="60"/>
      <c r="P696" s="60"/>
      <c r="Q696" s="60"/>
      <c r="R696" s="60"/>
      <c r="S696" s="60"/>
      <c r="T696" s="60"/>
      <c r="U696" s="60"/>
      <c r="V696" s="60"/>
      <c r="W696" s="60"/>
      <c r="X696" s="60"/>
      <c r="Y696" s="76"/>
      <c r="Z696" s="60"/>
      <c r="AA696" s="60"/>
      <c r="AB696" s="60"/>
      <c r="AC696" s="60"/>
      <c r="AD696" s="60"/>
      <c r="AE696" s="60"/>
      <c r="AF696" s="80"/>
      <c r="AG696" s="56"/>
      <c r="AH696" s="4"/>
      <c r="AI696" s="56"/>
      <c r="AJ696" s="109"/>
      <c r="AK696" s="56"/>
      <c r="AL696" s="56"/>
      <c r="AM696" s="56"/>
      <c r="AN696" s="56"/>
      <c r="AO696" s="56"/>
      <c r="AP696" s="56"/>
      <c r="AQ696" s="56"/>
      <c r="AR696" s="109"/>
      <c r="AS696" s="56"/>
      <c r="AT696" s="56"/>
      <c r="AU696" s="4"/>
      <c r="AV696" s="25">
        <f>2*24*3600</f>
        <v>172800</v>
      </c>
      <c r="AW696" s="25">
        <f>7*24*3600*1</f>
        <v>604800</v>
      </c>
      <c r="AX696" s="25">
        <f>7*24*3600*2.143</f>
        <v>1296086.3999999999</v>
      </c>
      <c r="AY696" s="25">
        <f>7*24*3600*4.429</f>
        <v>2678659.2000000002</v>
      </c>
      <c r="AZ696" s="25">
        <f>7*24*3600*6.571</f>
        <v>3974140.8</v>
      </c>
      <c r="BA696" s="42"/>
      <c r="BB696" s="4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1"/>
      <c r="CS696" s="1"/>
      <c r="CT696" s="1"/>
      <c r="CU696" s="1"/>
    </row>
    <row r="697" spans="1:99" s="13" customFormat="1" ht="12" customHeight="1" x14ac:dyDescent="0.2">
      <c r="A697" s="65">
        <v>43509</v>
      </c>
      <c r="B697" s="1" t="s">
        <v>151</v>
      </c>
      <c r="C697" s="1" t="s">
        <v>70</v>
      </c>
      <c r="D697" s="60">
        <v>2009</v>
      </c>
      <c r="E697" s="76">
        <v>1</v>
      </c>
      <c r="F697" s="60">
        <v>878</v>
      </c>
      <c r="G697" s="60">
        <v>175.6</v>
      </c>
      <c r="H697" s="60" t="s">
        <v>22</v>
      </c>
      <c r="I697" s="60" t="s">
        <v>864</v>
      </c>
      <c r="J697" s="60" t="s">
        <v>622</v>
      </c>
      <c r="K697" s="60">
        <f>IF(J697="syllables",1,IF(J697="trigrams",2,IF(J697="strings",3,IF(J697="visual array",4,IF(J697="characters",5,IF(J697="letters",6,IF(J697="free forms",7,IF(J697="odors",8,IF(J697="words",9,IF(J697="pictures",10,IF(J697="object pictures",11,IF(J697="faces",12,IF(J697="names",13,IF(J697="idioms",14,IF(J697="grades",15,IF(J697="syllable-digit pairs",16,IF(J697="trigram-word pairs",17,IF(J697="word-digit pairs",18,IF(J697="English-Swahili pairs",19,IF(J697="spatial position",20,IF(J697="word pairs",21,IF(J697="word triads",22,IF(J697="generated words",23,IF(J697="word definition pairs",24,IF(J697="math problems",25,IF(J697="famous faces",26,IF(J697="famous names",27,IF(J697="famous voices",28,IF(J697="television programs",29,IF(J697="race horses",30,IF(J697="new vocabulary",31,IF(J697="sentences",32,IF(J697="concepts",33,IF(J697="ad slides",34,IF(J697="scenes",35,IF(J697="famous scenes",36,IF(J697="poems",37,IF(J697="walk",38,IF(J697="faces and events",39,IF(J697="events and names",40,IF(J697="flashbulb",41,IF(J697="stories",42,IF(J697="course material",43,IF(J697="autobiographical",44,IF(J697="novels",45,IF(J697="public events",46,"99"))))))))))))))))))))))))))))))))))))))))))))))</f>
        <v>44</v>
      </c>
      <c r="L697" s="60">
        <f>IF(J697="syllables",1,IF(J697="trigrams",1,IF(J697="strings",1,IF(J697="visual array",1,IF(J697="characters",1,IF(J697="letters",1,IF(J697="free forms",1,IF(J697="odors",2,IF(J697="words",2,IF(J697="pictures",2,IF(J697="object pictures",2,IF(J697="faces",2,IF(J697="names",2,IF(J697="idioms","2",IF(J697="grades",2,IF(J697="syllable-digit pairs",3,IF(J697="trigram-word pairs",3,IF(J697="word-digit pairs",3,IF(J697="English-Swahili pairs",3,IF(J697="spatial position",3,IF(J697="word pairs",4,IF(J697="word triads",4,IF(J697="generated words",4,IF(J697="word definition pairs",4,IF(J697="math problems",4,IF(J697="famous faces",4,IF(J697="famous names",4,IF(J697="famous voices",4,IF(J697="television programs",4,IF(J697="race horses",4,IF(J697="new vocabulary",4,IF(J697="sentences",5,IF(J697="concepts",5,IF(J697="ad slides",5,IF(J697="scenes",5,IF(J697="famous scenes",5,IF(J697="poems",6,IF(J697="walk",6,IF(J697="faces and events",6,IF(J697="events and names",6,IF(J697="flashbulb",7,IF(J697="stories",7,IF(J697="course material",7,IF(J697="autobiographical",7,IF(J697="novels",7,IF(J697="public events",7,"99"))))))))))))))))))))))))))))))))))))))))))))))</f>
        <v>7</v>
      </c>
      <c r="M697" s="59">
        <v>0</v>
      </c>
      <c r="N697" s="60">
        <v>2</v>
      </c>
      <c r="O697" s="60">
        <v>0</v>
      </c>
      <c r="P697" s="60"/>
      <c r="Q697" s="60" t="s">
        <v>174</v>
      </c>
      <c r="R697" s="60">
        <f>IF(Q697="Free Recall",1,IF(Q697="Cued Recall",2,IF(Q697="Recognition",3,IF(Q697="Multiple Choice",4,IF(Q697="Savings",5,IF(Q697="Stem Completion",6,IF(Q697="Fragment Completion",7,IF(Q697="anagram solution",8,IF(Q697="Matching",9,IF(Q697="Problem Solving",10,"99"))))))))))</f>
        <v>1</v>
      </c>
      <c r="S697" s="60" t="s">
        <v>49</v>
      </c>
      <c r="T697" s="60" t="s">
        <v>261</v>
      </c>
      <c r="U697" s="60">
        <f>IF(T697="within",1,0)</f>
        <v>0</v>
      </c>
      <c r="V697" s="60">
        <v>3</v>
      </c>
      <c r="W697" s="60">
        <f>F697*V697</f>
        <v>2634</v>
      </c>
      <c r="X697" s="60">
        <v>5</v>
      </c>
      <c r="Y697" s="76">
        <f>AV696</f>
        <v>172800</v>
      </c>
      <c r="Z697" s="60" t="s">
        <v>152</v>
      </c>
      <c r="AA697" s="60">
        <v>3974140.8</v>
      </c>
      <c r="AB697" s="60" t="str">
        <f>IF(AA697&lt;60,"1",IF(AA697&lt;=43200,"2",IF(AA697&lt;=777600,"3","4")))</f>
        <v>4</v>
      </c>
      <c r="AC697" s="56">
        <f>AVERAGE(AV696:DA696)</f>
        <v>1745297.2799999998</v>
      </c>
      <c r="AD697" s="60" t="str">
        <f>IF(AC697&lt;60,"1",IF(AC697&lt;=43200,"2",IF(AC697&lt;=777600,"3","4")))</f>
        <v>4</v>
      </c>
      <c r="AE697" s="76">
        <f>AA697-Y697</f>
        <v>3801340.8</v>
      </c>
      <c r="AF697" s="80">
        <f>AV697</f>
        <v>0.88</v>
      </c>
      <c r="AG697" s="56">
        <f>((AW697-AV697)+(AX697-AW697)+(AY697-AX697)+(AZ697-AY697))/4</f>
        <v>-7.0000000000000007E-2</v>
      </c>
      <c r="AH697" s="4"/>
      <c r="AI697" s="56">
        <f>RSQ(AV697:AZ697,AV696:AZ696)</f>
        <v>0.91813407865515395</v>
      </c>
      <c r="AJ697" s="109">
        <f>SLOPE(AV697:AZ697,AV696:AZ696)</f>
        <v>-7.1554799122475902E-8</v>
      </c>
      <c r="AK697" s="56">
        <f>INTERCEPT(AV697:AZ697,AV696:AZ696)</f>
        <v>0.85288439627940349</v>
      </c>
      <c r="AL697" s="56">
        <f>INDEX(LINEST(LN(AV697:AZ697),LN(AV696:AZ696),TRUE,TRUE),3,1)</f>
        <v>0.9501343604980208</v>
      </c>
      <c r="AM697" s="56">
        <f>INDEX(LINEST(LN(AV697:AZ697),LN(AV696:AZ696)),1)</f>
        <v>-0.1257962676550925</v>
      </c>
      <c r="AN697" s="56">
        <f>EXP(INDEX(LINEST(LN(AV697:AZ697),LN(AV696:AZ696)),1,2))</f>
        <v>4.1342737659336253</v>
      </c>
      <c r="AO697" s="82">
        <f>INDEX(LINEST((AV697:AZ697),LN(AV696:AZ696),TRUE,TRUE),3,1)</f>
        <v>0.96832785187858916</v>
      </c>
      <c r="AP697" s="82">
        <f>INDEX(LINEST((AV697:AZ697),LN(AV696:AZ696)),1)</f>
        <v>-9.2082031070168546E-2</v>
      </c>
      <c r="AQ697" s="83">
        <f>INDEX(LINEST(LN(AV697:AZ697),SQRT(AV696:AZ696),TRUE,TRUE),3,1)</f>
        <v>0.98561288195948671</v>
      </c>
      <c r="AR697" s="116">
        <f>INDEX(LINEST(LN(AV697:AZ697),SQRT((AV696:AZ696))),1)</f>
        <v>-2.5187031400673941E-4</v>
      </c>
      <c r="AS697" s="84">
        <f>INDEX(LINEST(1/(AV697:AZ697),1/(SQRT(AV696:AZ696)),TRUE,TRUE),3,1)</f>
        <v>0.78941999316643185</v>
      </c>
      <c r="AT697" s="84">
        <f>INDEX(LINEST(1/(AV697:AZ697),1/SQRT(AV696:AZ696)),1)</f>
        <v>-259.64869594332549</v>
      </c>
      <c r="AU697" s="3"/>
      <c r="AV697" s="53">
        <v>0.88</v>
      </c>
      <c r="AW697" s="53">
        <v>0.79500000000000004</v>
      </c>
      <c r="AX697" s="53">
        <v>0.74</v>
      </c>
      <c r="AY697" s="53">
        <v>0.625</v>
      </c>
      <c r="AZ697" s="53">
        <v>0.6</v>
      </c>
      <c r="BA697" s="42"/>
      <c r="BB697" s="4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1"/>
      <c r="CS697" s="1"/>
      <c r="CT697" s="1"/>
      <c r="CU697" s="1"/>
    </row>
    <row r="698" spans="1:99" s="13" customFormat="1" ht="12" customHeight="1" x14ac:dyDescent="0.2">
      <c r="A698" s="65">
        <v>43509</v>
      </c>
      <c r="B698" s="1"/>
      <c r="C698" s="1"/>
      <c r="D698" s="60"/>
      <c r="E698" s="76"/>
      <c r="F698" s="60"/>
      <c r="G698" s="60"/>
      <c r="H698" s="60"/>
      <c r="I698" s="60"/>
      <c r="J698" s="60"/>
      <c r="K698" s="64"/>
      <c r="L698" s="64"/>
      <c r="M698" s="60"/>
      <c r="N698" s="60"/>
      <c r="O698" s="60"/>
      <c r="P698" s="60"/>
      <c r="Q698" s="60"/>
      <c r="R698" s="60"/>
      <c r="S698" s="60"/>
      <c r="T698" s="60"/>
      <c r="U698" s="60"/>
      <c r="V698" s="60"/>
      <c r="W698" s="60"/>
      <c r="X698" s="60"/>
      <c r="Y698" s="76"/>
      <c r="Z698" s="60"/>
      <c r="AA698" s="60"/>
      <c r="AB698" s="60"/>
      <c r="AC698" s="60"/>
      <c r="AD698" s="60"/>
      <c r="AE698" s="60"/>
      <c r="AF698" s="80"/>
      <c r="AG698" s="56"/>
      <c r="AH698" s="4"/>
      <c r="AI698" s="56"/>
      <c r="AJ698" s="109"/>
      <c r="AK698" s="56"/>
      <c r="AL698" s="56"/>
      <c r="AM698" s="56"/>
      <c r="AN698" s="56"/>
      <c r="AO698" s="56"/>
      <c r="AP698" s="56"/>
      <c r="AQ698" s="56"/>
      <c r="AR698" s="109"/>
      <c r="AS698" s="56"/>
      <c r="AT698" s="56"/>
      <c r="AU698" s="4"/>
      <c r="AV698" s="25">
        <f>2*24*3600</f>
        <v>172800</v>
      </c>
      <c r="AW698" s="25">
        <f>7*24*3600*1</f>
        <v>604800</v>
      </c>
      <c r="AX698" s="25">
        <f>7*24*3600*2.143</f>
        <v>1296086.3999999999</v>
      </c>
      <c r="AY698" s="25">
        <f>7*24*3600*4.429</f>
        <v>2678659.2000000002</v>
      </c>
      <c r="AZ698" s="25">
        <f>7*24*3600*6.571</f>
        <v>3974140.8</v>
      </c>
      <c r="BA698" s="53"/>
      <c r="BB698" s="53"/>
      <c r="BC698" s="53"/>
      <c r="BD698" s="53"/>
      <c r="BE698" s="53"/>
      <c r="BF698" s="53"/>
      <c r="BG698" s="53"/>
      <c r="BH698" s="53"/>
      <c r="BI698" s="53"/>
      <c r="BJ698" s="53"/>
      <c r="BK698" s="53"/>
      <c r="BL698" s="53"/>
      <c r="BM698" s="53"/>
      <c r="BN698" s="53"/>
      <c r="BO698" s="53"/>
      <c r="BP698" s="53"/>
      <c r="BQ698" s="53"/>
      <c r="BR698" s="53"/>
      <c r="BS698" s="53"/>
      <c r="BT698" s="53"/>
      <c r="BU698" s="53"/>
      <c r="BV698" s="53"/>
      <c r="BW698" s="53"/>
      <c r="BX698" s="53"/>
      <c r="BY698" s="53"/>
      <c r="BZ698" s="53"/>
      <c r="CA698" s="53"/>
      <c r="CB698" s="53"/>
      <c r="CC698" s="53"/>
      <c r="CD698" s="53"/>
      <c r="CE698" s="53"/>
      <c r="CF698" s="53"/>
      <c r="CG698" s="53"/>
      <c r="CH698" s="53"/>
      <c r="CI698" s="53"/>
      <c r="CJ698" s="53"/>
      <c r="CK698" s="53"/>
      <c r="CL698" s="53"/>
      <c r="CM698" s="53"/>
      <c r="CN698" s="53"/>
      <c r="CO698" s="53"/>
      <c r="CP698" s="53"/>
      <c r="CQ698" s="53"/>
      <c r="CR698" s="1"/>
      <c r="CS698" s="1"/>
      <c r="CT698" s="1"/>
      <c r="CU698" s="1"/>
    </row>
    <row r="699" spans="1:99" s="13" customFormat="1" ht="12" customHeight="1" x14ac:dyDescent="0.2">
      <c r="A699" s="65">
        <v>43509</v>
      </c>
      <c r="B699" s="1" t="s">
        <v>151</v>
      </c>
      <c r="C699" s="1" t="s">
        <v>70</v>
      </c>
      <c r="D699" s="60">
        <v>2009</v>
      </c>
      <c r="E699" s="76">
        <v>1</v>
      </c>
      <c r="F699" s="60">
        <v>878</v>
      </c>
      <c r="G699" s="60">
        <v>175.6</v>
      </c>
      <c r="H699" s="60" t="s">
        <v>22</v>
      </c>
      <c r="I699" s="60" t="s">
        <v>865</v>
      </c>
      <c r="J699" s="60" t="s">
        <v>622</v>
      </c>
      <c r="K699" s="60">
        <f>IF(J699="syllables",1,IF(J699="trigrams",2,IF(J699="strings",3,IF(J699="visual array",4,IF(J699="characters",5,IF(J699="letters",6,IF(J699="free forms",7,IF(J699="odors",8,IF(J699="words",9,IF(J699="pictures",10,IF(J699="object pictures",11,IF(J699="faces",12,IF(J699="names",13,IF(J699="idioms",14,IF(J699="grades",15,IF(J699="syllable-digit pairs",16,IF(J699="trigram-word pairs",17,IF(J699="word-digit pairs",18,IF(J699="English-Swahili pairs",19,IF(J699="spatial position",20,IF(J699="word pairs",21,IF(J699="word triads",22,IF(J699="generated words",23,IF(J699="word definition pairs",24,IF(J699="math problems",25,IF(J699="famous faces",26,IF(J699="famous names",27,IF(J699="famous voices",28,IF(J699="television programs",29,IF(J699="race horses",30,IF(J699="new vocabulary",31,IF(J699="sentences",32,IF(J699="concepts",33,IF(J699="ad slides",34,IF(J699="scenes",35,IF(J699="famous scenes",36,IF(J699="poems",37,IF(J699="walk",38,IF(J699="faces and events",39,IF(J699="events and names",40,IF(J699="flashbulb",41,IF(J699="stories",42,IF(J699="course material",43,IF(J699="autobiographical",44,IF(J699="novels",45,IF(J699="public events",46,"99"))))))))))))))))))))))))))))))))))))))))))))))</f>
        <v>44</v>
      </c>
      <c r="L699" s="60">
        <f>IF(J699="syllables",1,IF(J699="trigrams",1,IF(J699="strings",1,IF(J699="visual array",1,IF(J699="characters",1,IF(J699="letters",1,IF(J699="free forms",1,IF(J699="odors",2,IF(J699="words",2,IF(J699="pictures",2,IF(J699="object pictures",2,IF(J699="faces",2,IF(J699="names",2,IF(J699="idioms","2",IF(J699="grades",2,IF(J699="syllable-digit pairs",3,IF(J699="trigram-word pairs",3,IF(J699="word-digit pairs",3,IF(J699="English-Swahili pairs",3,IF(J699="spatial position",3,IF(J699="word pairs",4,IF(J699="word triads",4,IF(J699="generated words",4,IF(J699="word definition pairs",4,IF(J699="math problems",4,IF(J699="famous faces",4,IF(J699="famous names",4,IF(J699="famous voices",4,IF(J699="television programs",4,IF(J699="race horses",4,IF(J699="new vocabulary",4,IF(J699="sentences",5,IF(J699="concepts",5,IF(J699="ad slides",5,IF(J699="scenes",5,IF(J699="famous scenes",5,IF(J699="poems",6,IF(J699="walk",6,IF(J699="faces and events",6,IF(J699="events and names",6,IF(J699="flashbulb",7,IF(J699="stories",7,IF(J699="course material",7,IF(J699="autobiographical",7,IF(J699="novels",7,IF(J699="public events",7,"99"))))))))))))))))))))))))))))))))))))))))))))))</f>
        <v>7</v>
      </c>
      <c r="M699" s="59">
        <v>0</v>
      </c>
      <c r="N699" s="60">
        <v>2</v>
      </c>
      <c r="O699" s="60">
        <v>0</v>
      </c>
      <c r="P699" s="60"/>
      <c r="Q699" s="60" t="s">
        <v>174</v>
      </c>
      <c r="R699" s="60">
        <f>IF(Q699="Free Recall",1,IF(Q699="Cued Recall",2,IF(Q699="Recognition",3,IF(Q699="Multiple Choice",4,IF(Q699="Savings",5,IF(Q699="Stem Completion",6,IF(Q699="Fragment Completion",7,IF(Q699="anagram solution",8,IF(Q699="Matching",9,IF(Q699="Problem Solving",10,"99"))))))))))</f>
        <v>1</v>
      </c>
      <c r="S699" s="60" t="s">
        <v>49</v>
      </c>
      <c r="T699" s="60" t="s">
        <v>261</v>
      </c>
      <c r="U699" s="60">
        <f>IF(T699="within",1,0)</f>
        <v>0</v>
      </c>
      <c r="V699" s="60">
        <v>3</v>
      </c>
      <c r="W699" s="60">
        <f>F699*V699</f>
        <v>2634</v>
      </c>
      <c r="X699" s="60">
        <v>5</v>
      </c>
      <c r="Y699" s="76">
        <f>AV698</f>
        <v>172800</v>
      </c>
      <c r="Z699" s="60" t="s">
        <v>152</v>
      </c>
      <c r="AA699" s="60">
        <v>3974140.8</v>
      </c>
      <c r="AB699" s="60" t="str">
        <f>IF(AA699&lt;60,"1",IF(AA699&lt;=43200,"2",IF(AA699&lt;=777600,"3","4")))</f>
        <v>4</v>
      </c>
      <c r="AC699" s="56">
        <f>AVERAGE(AV698:DA698)</f>
        <v>1745297.2799999998</v>
      </c>
      <c r="AD699" s="60" t="str">
        <f>IF(AC699&lt;60,"1",IF(AC699&lt;=43200,"2",IF(AC699&lt;=777600,"3","4")))</f>
        <v>4</v>
      </c>
      <c r="AE699" s="76">
        <f>AA699-Y699</f>
        <v>3801340.8</v>
      </c>
      <c r="AF699" s="80">
        <f>AV699</f>
        <v>0.84</v>
      </c>
      <c r="AG699" s="56">
        <f>((AW699-AV699)+(AX699-AW699)+(AY699-AX699)+(AZ699-AY699))/4</f>
        <v>-5.3749999999999992E-2</v>
      </c>
      <c r="AH699" s="4"/>
      <c r="AI699" s="56">
        <f>RSQ(AV699:AZ699,AV698:AZ698)</f>
        <v>0.93163491043340141</v>
      </c>
      <c r="AJ699" s="109">
        <f>SLOPE(AV699:AZ699,AV698:AZ698)</f>
        <v>-6.0946783445559305E-8</v>
      </c>
      <c r="AK699" s="56">
        <f>INTERCEPT(AV699:AZ699,AV698:AZ698)</f>
        <v>0.83937025537228371</v>
      </c>
      <c r="AL699" s="56">
        <f>INDEX(LINEST(LN(AV699:AZ699),LN(AV698:AZ698),TRUE,TRUE),3,1)</f>
        <v>0.87316572889450128</v>
      </c>
      <c r="AM699" s="56">
        <f>INDEX(LINEST(LN(AV699:AZ699),LN(AV698:AZ698)),1)</f>
        <v>-0.10245942774086458</v>
      </c>
      <c r="AN699" s="56">
        <f>EXP(INDEX(LINEST(LN(AV699:AZ699),LN(AV698:AZ698)),1,2))</f>
        <v>3.0191643539951887</v>
      </c>
      <c r="AO699" s="82">
        <f>INDEX(LINEST((AV699:AZ699),LN(AV698:AZ698),TRUE,TRUE),3,1)</f>
        <v>0.8896002791291554</v>
      </c>
      <c r="AP699" s="82">
        <f>INDEX(LINEST((AV699:AZ699),LN(AV698:AZ698)),1)</f>
        <v>-7.4628263000733899E-2</v>
      </c>
      <c r="AQ699" s="83">
        <f>INDEX(LINEST(LN(AV699:AZ699),SQRT(AV698:AZ698),TRUE,TRUE),3,1)</f>
        <v>0.95287015176830736</v>
      </c>
      <c r="AR699" s="116">
        <f>INDEX(LINEST(LN(AV699:AZ699),SQRT((AV698:AZ698))),1)</f>
        <v>-2.1041127154444836E-4</v>
      </c>
      <c r="AS699" s="84">
        <f>INDEX(LINEST(1/(AV699:AZ699),1/(SQRT(AV698:AZ698)),TRUE,TRUE),3,1)</f>
        <v>0.68943392951956162</v>
      </c>
      <c r="AT699" s="84">
        <f>INDEX(LINEST(1/(AV699:AZ699),1/SQRT(AV698:AZ698)),1)</f>
        <v>-205.97012961377115</v>
      </c>
      <c r="AU699" s="3"/>
      <c r="AV699" s="53">
        <v>0.84</v>
      </c>
      <c r="AW699" s="53">
        <v>0.81</v>
      </c>
      <c r="AX699" s="53">
        <v>0.755</v>
      </c>
      <c r="AY699" s="53">
        <v>0.63500000000000001</v>
      </c>
      <c r="AZ699" s="53">
        <v>0.625</v>
      </c>
      <c r="BA699" s="53"/>
      <c r="BB699" s="53"/>
      <c r="BC699" s="53"/>
      <c r="BD699" s="53"/>
      <c r="BE699" s="53"/>
      <c r="BF699" s="53"/>
      <c r="BG699" s="53"/>
      <c r="BH699" s="53"/>
      <c r="BI699" s="53"/>
      <c r="BJ699" s="53"/>
      <c r="BK699" s="53"/>
      <c r="BL699" s="53"/>
      <c r="BM699" s="53"/>
      <c r="BN699" s="53"/>
      <c r="BO699" s="53"/>
      <c r="BP699" s="53"/>
      <c r="BQ699" s="53"/>
      <c r="BR699" s="53"/>
      <c r="BS699" s="53"/>
      <c r="BT699" s="53"/>
      <c r="BU699" s="53"/>
      <c r="BV699" s="53"/>
      <c r="BW699" s="53"/>
      <c r="BX699" s="53"/>
      <c r="BY699" s="53"/>
      <c r="BZ699" s="53"/>
      <c r="CA699" s="53"/>
      <c r="CB699" s="53"/>
      <c r="CC699" s="53"/>
      <c r="CD699" s="53"/>
      <c r="CE699" s="53"/>
      <c r="CF699" s="53"/>
      <c r="CG699" s="53"/>
      <c r="CH699" s="53"/>
      <c r="CI699" s="53"/>
      <c r="CJ699" s="53"/>
      <c r="CK699" s="53"/>
      <c r="CL699" s="53"/>
      <c r="CM699" s="53"/>
      <c r="CN699" s="53"/>
      <c r="CO699" s="53"/>
      <c r="CP699" s="53"/>
      <c r="CQ699" s="53"/>
      <c r="CR699" s="1"/>
      <c r="CS699" s="1"/>
      <c r="CT699" s="1"/>
      <c r="CU699" s="1"/>
    </row>
    <row r="700" spans="1:99" s="13" customFormat="1" ht="12" customHeight="1" x14ac:dyDescent="0.2">
      <c r="A700" s="65">
        <v>43509</v>
      </c>
      <c r="B700" s="1"/>
      <c r="C700" s="1"/>
      <c r="D700" s="60"/>
      <c r="E700" s="76"/>
      <c r="F700" s="60"/>
      <c r="G700" s="60"/>
      <c r="H700" s="60"/>
      <c r="I700" s="60"/>
      <c r="J700" s="60"/>
      <c r="K700" s="64"/>
      <c r="L700" s="64"/>
      <c r="M700" s="60"/>
      <c r="N700" s="60"/>
      <c r="O700" s="60"/>
      <c r="P700" s="60"/>
      <c r="Q700" s="60"/>
      <c r="R700" s="60"/>
      <c r="S700" s="60"/>
      <c r="T700" s="60"/>
      <c r="U700" s="60"/>
      <c r="V700" s="60"/>
      <c r="W700" s="60"/>
      <c r="X700" s="60"/>
      <c r="Y700" s="76"/>
      <c r="Z700" s="60"/>
      <c r="AA700" s="60"/>
      <c r="AB700" s="60"/>
      <c r="AC700" s="60"/>
      <c r="AD700" s="60"/>
      <c r="AE700" s="60"/>
      <c r="AF700" s="80"/>
      <c r="AG700" s="56"/>
      <c r="AH700" s="4"/>
      <c r="AI700" s="56"/>
      <c r="AJ700" s="109"/>
      <c r="AK700" s="56"/>
      <c r="AL700" s="56"/>
      <c r="AM700" s="56"/>
      <c r="AN700" s="56"/>
      <c r="AO700" s="56"/>
      <c r="AP700" s="56"/>
      <c r="AQ700" s="56"/>
      <c r="AR700" s="109"/>
      <c r="AS700" s="56"/>
      <c r="AT700" s="56"/>
      <c r="AU700" s="4"/>
      <c r="AV700" s="25">
        <f>2*24*3600</f>
        <v>172800</v>
      </c>
      <c r="AW700" s="25">
        <f>7*24*3600*1</f>
        <v>604800</v>
      </c>
      <c r="AX700" s="25">
        <f>7*24*3600*2.143</f>
        <v>1296086.3999999999</v>
      </c>
      <c r="AY700" s="25">
        <f>7*24*3600*4.429</f>
        <v>2678659.2000000002</v>
      </c>
      <c r="AZ700" s="25">
        <f>7*24*3600*6.571</f>
        <v>3974140.8</v>
      </c>
      <c r="BA700" s="53"/>
      <c r="BB700" s="53"/>
      <c r="BC700" s="53"/>
      <c r="BD700" s="53"/>
      <c r="BE700" s="53"/>
      <c r="BF700" s="53"/>
      <c r="BG700" s="53"/>
      <c r="BH700" s="53"/>
      <c r="BI700" s="53"/>
      <c r="BJ700" s="53"/>
      <c r="BK700" s="53"/>
      <c r="BL700" s="53"/>
      <c r="BM700" s="53"/>
      <c r="BN700" s="53"/>
      <c r="BO700" s="53"/>
      <c r="BP700" s="53"/>
      <c r="BQ700" s="53"/>
      <c r="BR700" s="53"/>
      <c r="BS700" s="53"/>
      <c r="BT700" s="53"/>
      <c r="BU700" s="53"/>
      <c r="BV700" s="53"/>
      <c r="BW700" s="53"/>
      <c r="BX700" s="53"/>
      <c r="BY700" s="53"/>
      <c r="BZ700" s="53"/>
      <c r="CA700" s="53"/>
      <c r="CB700" s="53"/>
      <c r="CC700" s="53"/>
      <c r="CD700" s="53"/>
      <c r="CE700" s="53"/>
      <c r="CF700" s="53"/>
      <c r="CG700" s="53"/>
      <c r="CH700" s="53"/>
      <c r="CI700" s="53"/>
      <c r="CJ700" s="53"/>
      <c r="CK700" s="53"/>
      <c r="CL700" s="53"/>
      <c r="CM700" s="53"/>
      <c r="CN700" s="53"/>
      <c r="CO700" s="53"/>
      <c r="CP700" s="53"/>
      <c r="CQ700" s="53"/>
      <c r="CR700" s="1"/>
      <c r="CS700" s="1"/>
      <c r="CT700" s="1"/>
      <c r="CU700" s="1"/>
    </row>
    <row r="701" spans="1:99" s="13" customFormat="1" ht="12" customHeight="1" x14ac:dyDescent="0.2">
      <c r="A701" s="65">
        <v>43509</v>
      </c>
      <c r="B701" s="1" t="s">
        <v>151</v>
      </c>
      <c r="C701" s="1" t="s">
        <v>70</v>
      </c>
      <c r="D701" s="60">
        <v>2009</v>
      </c>
      <c r="E701" s="76">
        <v>1</v>
      </c>
      <c r="F701" s="60">
        <v>878</v>
      </c>
      <c r="G701" s="60">
        <v>175.6</v>
      </c>
      <c r="H701" s="60" t="s">
        <v>22</v>
      </c>
      <c r="I701" s="60" t="s">
        <v>866</v>
      </c>
      <c r="J701" s="60" t="s">
        <v>622</v>
      </c>
      <c r="K701" s="60">
        <f>IF(J701="syllables",1,IF(J701="trigrams",2,IF(J701="strings",3,IF(J701="visual array",4,IF(J701="characters",5,IF(J701="letters",6,IF(J701="free forms",7,IF(J701="odors",8,IF(J701="words",9,IF(J701="pictures",10,IF(J701="object pictures",11,IF(J701="faces",12,IF(J701="names",13,IF(J701="idioms",14,IF(J701="grades",15,IF(J701="syllable-digit pairs",16,IF(J701="trigram-word pairs",17,IF(J701="word-digit pairs",18,IF(J701="English-Swahili pairs",19,IF(J701="spatial position",20,IF(J701="word pairs",21,IF(J701="word triads",22,IF(J701="generated words",23,IF(J701="word definition pairs",24,IF(J701="math problems",25,IF(J701="famous faces",26,IF(J701="famous names",27,IF(J701="famous voices",28,IF(J701="television programs",29,IF(J701="race horses",30,IF(J701="new vocabulary",31,IF(J701="sentences",32,IF(J701="concepts",33,IF(J701="ad slides",34,IF(J701="scenes",35,IF(J701="famous scenes",36,IF(J701="poems",37,IF(J701="walk",38,IF(J701="faces and events",39,IF(J701="events and names",40,IF(J701="flashbulb",41,IF(J701="stories",42,IF(J701="course material",43,IF(J701="autobiographical",44,IF(J701="novels",45,IF(J701="public events",46,"99"))))))))))))))))))))))))))))))))))))))))))))))</f>
        <v>44</v>
      </c>
      <c r="L701" s="60">
        <f>IF(J701="syllables",1,IF(J701="trigrams",1,IF(J701="strings",1,IF(J701="visual array",1,IF(J701="characters",1,IF(J701="letters",1,IF(J701="free forms",1,IF(J701="odors",2,IF(J701="words",2,IF(J701="pictures",2,IF(J701="object pictures",2,IF(J701="faces",2,IF(J701="names",2,IF(J701="idioms","2",IF(J701="grades",2,IF(J701="syllable-digit pairs",3,IF(J701="trigram-word pairs",3,IF(J701="word-digit pairs",3,IF(J701="English-Swahili pairs",3,IF(J701="spatial position",3,IF(J701="word pairs",4,IF(J701="word triads",4,IF(J701="generated words",4,IF(J701="word definition pairs",4,IF(J701="math problems",4,IF(J701="famous faces",4,IF(J701="famous names",4,IF(J701="famous voices",4,IF(J701="television programs",4,IF(J701="race horses",4,IF(J701="new vocabulary",4,IF(J701="sentences",5,IF(J701="concepts",5,IF(J701="ad slides",5,IF(J701="scenes",5,IF(J701="famous scenes",5,IF(J701="poems",6,IF(J701="walk",6,IF(J701="faces and events",6,IF(J701="events and names",6,IF(J701="flashbulb",7,IF(J701="stories",7,IF(J701="course material",7,IF(J701="autobiographical",7,IF(J701="novels",7,IF(J701="public events",7,"99"))))))))))))))))))))))))))))))))))))))))))))))</f>
        <v>7</v>
      </c>
      <c r="M701" s="59">
        <v>0</v>
      </c>
      <c r="N701" s="60">
        <v>2</v>
      </c>
      <c r="O701" s="60">
        <v>0</v>
      </c>
      <c r="P701" s="60"/>
      <c r="Q701" s="60" t="s">
        <v>174</v>
      </c>
      <c r="R701" s="60">
        <f>IF(Q701="Free Recall",1,IF(Q701="Cued Recall",2,IF(Q701="Recognition",3,IF(Q701="Multiple Choice",4,IF(Q701="Savings",5,IF(Q701="Stem Completion",6,IF(Q701="Fragment Completion",7,IF(Q701="anagram solution",8,IF(Q701="Matching",9,IF(Q701="Problem Solving",10,"99"))))))))))</f>
        <v>1</v>
      </c>
      <c r="S701" s="60" t="s">
        <v>49</v>
      </c>
      <c r="T701" s="60" t="s">
        <v>261</v>
      </c>
      <c r="U701" s="60">
        <f>IF(T701="within",1,0)</f>
        <v>0</v>
      </c>
      <c r="V701" s="60">
        <v>3</v>
      </c>
      <c r="W701" s="60">
        <f>F701*V701</f>
        <v>2634</v>
      </c>
      <c r="X701" s="60">
        <v>5</v>
      </c>
      <c r="Y701" s="76">
        <f>AV700</f>
        <v>172800</v>
      </c>
      <c r="Z701" s="60" t="s">
        <v>152</v>
      </c>
      <c r="AA701" s="60">
        <v>3974140.8</v>
      </c>
      <c r="AB701" s="60" t="str">
        <f>IF(AA701&lt;60,"1",IF(AA701&lt;=43200,"2",IF(AA701&lt;=777600,"3","4")))</f>
        <v>4</v>
      </c>
      <c r="AC701" s="56">
        <f>AVERAGE(AV700:DA700)</f>
        <v>1745297.2799999998</v>
      </c>
      <c r="AD701" s="60" t="str">
        <f>IF(AC701&lt;60,"1",IF(AC701&lt;=43200,"2",IF(AC701&lt;=777600,"3","4")))</f>
        <v>4</v>
      </c>
      <c r="AE701" s="76">
        <f>AA701-Y701</f>
        <v>3801340.8</v>
      </c>
      <c r="AF701" s="80">
        <f>AV701</f>
        <v>0.86</v>
      </c>
      <c r="AG701" s="56">
        <f>((AW701-AV701)+(AX701-AW701)+(AY701-AX701)+(AZ701-AY701))/4</f>
        <v>-0.06</v>
      </c>
      <c r="AH701" s="4"/>
      <c r="AI701" s="56">
        <f>RSQ(AV701:AZ701,AV700:AZ700)</f>
        <v>0.97506700522563494</v>
      </c>
      <c r="AJ701" s="109">
        <f>SLOPE(AV701:AZ701,AV700:AZ700)</f>
        <v>-6.3472506494494615E-8</v>
      </c>
      <c r="AK701" s="56">
        <f>INTERCEPT(AV701:AZ701,AV700:AZ700)</f>
        <v>0.85577839293962377</v>
      </c>
      <c r="AL701" s="56">
        <f>INDEX(LINEST(LN(AV701:AZ701),LN(AV700:AZ700),TRUE,TRUE),3,1)</f>
        <v>0.90063980509529684</v>
      </c>
      <c r="AM701" s="56">
        <f>INDEX(LINEST(LN(AV701:AZ701),LN(AV700:AZ700)),1)</f>
        <v>-0.10446228159936932</v>
      </c>
      <c r="AN701" s="56">
        <f>EXP(INDEX(LINEST(LN(AV701:AZ701),LN(AV700:AZ700)),1,2))</f>
        <v>3.1550098206316584</v>
      </c>
      <c r="AO701" s="82">
        <f>INDEX(LINEST((AV701:AZ701),LN(AV700:AZ700),TRUE,TRUE),3,1)</f>
        <v>0.92126432625947863</v>
      </c>
      <c r="AP701" s="82">
        <f>INDEX(LINEST((AV701:AZ701),LN(AV700:AZ700)),1)</f>
        <v>-7.7310505098930643E-2</v>
      </c>
      <c r="AQ701" s="83">
        <f>INDEX(LINEST(LN(AV701:AZ701),SQRT(AV700:AZ700),TRUE,TRUE),3,1)</f>
        <v>0.9874642625644291</v>
      </c>
      <c r="AR701" s="116">
        <f>INDEX(LINEST(LN(AV701:AZ701),SQRT((AV700:AZ700))),1)</f>
        <v>-2.1502709429739993E-4</v>
      </c>
      <c r="AS701" s="84">
        <f>INDEX(LINEST(1/(AV701:AZ701),1/(SQRT(AV700:AZ700)),TRUE,TRUE),3,1)</f>
        <v>0.70864116869967009</v>
      </c>
      <c r="AT701" s="84">
        <f>INDEX(LINEST(1/(AV701:AZ701),1/SQRT(AV700:AZ700)),1)</f>
        <v>-207.08717465718385</v>
      </c>
      <c r="AU701" s="3"/>
      <c r="AV701" s="53">
        <v>0.86</v>
      </c>
      <c r="AW701" s="53">
        <v>0.81499999999999995</v>
      </c>
      <c r="AX701" s="53">
        <v>0.76500000000000001</v>
      </c>
      <c r="AY701" s="53">
        <v>0.66500000000000004</v>
      </c>
      <c r="AZ701" s="53">
        <v>0.62</v>
      </c>
      <c r="BA701" s="53"/>
      <c r="BB701" s="53"/>
      <c r="BC701" s="53"/>
      <c r="BD701" s="53"/>
      <c r="BE701" s="53"/>
      <c r="BF701" s="53"/>
      <c r="BG701" s="53"/>
      <c r="BH701" s="53"/>
      <c r="BI701" s="53"/>
      <c r="BJ701" s="53"/>
      <c r="BK701" s="53"/>
      <c r="BL701" s="53"/>
      <c r="BM701" s="53"/>
      <c r="BN701" s="53"/>
      <c r="BO701" s="53"/>
      <c r="BP701" s="53"/>
      <c r="BQ701" s="53"/>
      <c r="BR701" s="53"/>
      <c r="BS701" s="53"/>
      <c r="BT701" s="53"/>
      <c r="BU701" s="53"/>
      <c r="BV701" s="53"/>
      <c r="BW701" s="53"/>
      <c r="BX701" s="53"/>
      <c r="BY701" s="53"/>
      <c r="BZ701" s="53"/>
      <c r="CA701" s="53"/>
      <c r="CB701" s="53"/>
      <c r="CC701" s="53"/>
      <c r="CD701" s="53"/>
      <c r="CE701" s="53"/>
      <c r="CF701" s="53"/>
      <c r="CG701" s="53"/>
      <c r="CH701" s="53"/>
      <c r="CI701" s="53"/>
      <c r="CJ701" s="53"/>
      <c r="CK701" s="53"/>
      <c r="CL701" s="53"/>
      <c r="CM701" s="53"/>
      <c r="CN701" s="53"/>
      <c r="CO701" s="53"/>
      <c r="CP701" s="53"/>
      <c r="CQ701" s="53"/>
      <c r="CR701" s="1"/>
      <c r="CS701" s="1"/>
      <c r="CT701" s="1"/>
      <c r="CU701" s="1"/>
    </row>
    <row r="702" spans="1:99" s="13" customFormat="1" ht="12" customHeight="1" x14ac:dyDescent="0.2">
      <c r="A702" s="65">
        <v>43509</v>
      </c>
      <c r="B702" s="1"/>
      <c r="C702" s="1"/>
      <c r="D702" s="60"/>
      <c r="E702" s="76"/>
      <c r="F702" s="60"/>
      <c r="G702" s="60"/>
      <c r="H702" s="60"/>
      <c r="I702" s="60"/>
      <c r="J702" s="60"/>
      <c r="K702" s="64"/>
      <c r="L702" s="64"/>
      <c r="M702" s="60"/>
      <c r="N702" s="60"/>
      <c r="O702" s="60"/>
      <c r="P702" s="60"/>
      <c r="Q702" s="60"/>
      <c r="R702" s="60"/>
      <c r="S702" s="60"/>
      <c r="T702" s="60"/>
      <c r="U702" s="60"/>
      <c r="V702" s="60"/>
      <c r="W702" s="60"/>
      <c r="X702" s="60"/>
      <c r="Y702" s="76"/>
      <c r="Z702" s="60"/>
      <c r="AA702" s="60"/>
      <c r="AB702" s="60"/>
      <c r="AC702" s="60"/>
      <c r="AD702" s="60"/>
      <c r="AE702" s="60"/>
      <c r="AF702" s="80"/>
      <c r="AG702" s="56"/>
      <c r="AH702" s="4"/>
      <c r="AI702" s="56"/>
      <c r="AJ702" s="109"/>
      <c r="AK702" s="56"/>
      <c r="AL702" s="56"/>
      <c r="AM702" s="56"/>
      <c r="AN702" s="56"/>
      <c r="AO702" s="56"/>
      <c r="AP702" s="56"/>
      <c r="AQ702" s="56"/>
      <c r="AR702" s="109"/>
      <c r="AS702" s="56"/>
      <c r="AT702" s="56"/>
      <c r="AU702" s="4"/>
      <c r="AV702" s="25">
        <f>2*24*3600</f>
        <v>172800</v>
      </c>
      <c r="AW702" s="25">
        <f>7*24*3600*1</f>
        <v>604800</v>
      </c>
      <c r="AX702" s="25">
        <f>7*24*3600*2.143</f>
        <v>1296086.3999999999</v>
      </c>
      <c r="AY702" s="25">
        <f>7*24*3600*4.429</f>
        <v>2678659.2000000002</v>
      </c>
      <c r="AZ702" s="25">
        <f>7*24*3600*6.571</f>
        <v>3974140.8</v>
      </c>
      <c r="BA702" s="53"/>
      <c r="BB702" s="53"/>
      <c r="BC702" s="53"/>
      <c r="BD702" s="53"/>
      <c r="BE702" s="53"/>
      <c r="BF702" s="53"/>
      <c r="BG702" s="53"/>
      <c r="BH702" s="53"/>
      <c r="BI702" s="53"/>
      <c r="BJ702" s="53"/>
      <c r="BK702" s="53"/>
      <c r="BL702" s="53"/>
      <c r="BM702" s="53"/>
      <c r="BN702" s="53"/>
      <c r="BO702" s="53"/>
      <c r="BP702" s="53"/>
      <c r="BQ702" s="53"/>
      <c r="BR702" s="53"/>
      <c r="BS702" s="53"/>
      <c r="BT702" s="53"/>
      <c r="BU702" s="53"/>
      <c r="BV702" s="53"/>
      <c r="BW702" s="53"/>
      <c r="BX702" s="53"/>
      <c r="BY702" s="53"/>
      <c r="BZ702" s="53"/>
      <c r="CA702" s="53"/>
      <c r="CB702" s="53"/>
      <c r="CC702" s="53"/>
      <c r="CD702" s="53"/>
      <c r="CE702" s="53"/>
      <c r="CF702" s="53"/>
      <c r="CG702" s="53"/>
      <c r="CH702" s="53"/>
      <c r="CI702" s="53"/>
      <c r="CJ702" s="53"/>
      <c r="CK702" s="53"/>
      <c r="CL702" s="53"/>
      <c r="CM702" s="53"/>
      <c r="CN702" s="53"/>
      <c r="CO702" s="53"/>
      <c r="CP702" s="53"/>
      <c r="CQ702" s="53"/>
      <c r="CR702" s="1"/>
      <c r="CS702" s="1"/>
      <c r="CT702" s="1"/>
      <c r="CU702" s="1"/>
    </row>
    <row r="703" spans="1:99" s="13" customFormat="1" ht="12" customHeight="1" x14ac:dyDescent="0.2">
      <c r="A703" s="65">
        <v>43509</v>
      </c>
      <c r="B703" s="1" t="s">
        <v>151</v>
      </c>
      <c r="C703" s="1" t="s">
        <v>70</v>
      </c>
      <c r="D703" s="60">
        <v>2009</v>
      </c>
      <c r="E703" s="76">
        <v>1</v>
      </c>
      <c r="F703" s="60">
        <v>878</v>
      </c>
      <c r="G703" s="60">
        <v>175.6</v>
      </c>
      <c r="H703" s="60" t="s">
        <v>22</v>
      </c>
      <c r="I703" s="60" t="s">
        <v>867</v>
      </c>
      <c r="J703" s="60" t="s">
        <v>622</v>
      </c>
      <c r="K703" s="60">
        <f>IF(J703="syllables",1,IF(J703="trigrams",2,IF(J703="strings",3,IF(J703="visual array",4,IF(J703="characters",5,IF(J703="letters",6,IF(J703="free forms",7,IF(J703="odors",8,IF(J703="words",9,IF(J703="pictures",10,IF(J703="object pictures",11,IF(J703="faces",12,IF(J703="names",13,IF(J703="idioms",14,IF(J703="grades",15,IF(J703="syllable-digit pairs",16,IF(J703="trigram-word pairs",17,IF(J703="word-digit pairs",18,IF(J703="English-Swahili pairs",19,IF(J703="spatial position",20,IF(J703="word pairs",21,IF(J703="word triads",22,IF(J703="generated words",23,IF(J703="word definition pairs",24,IF(J703="math problems",25,IF(J703="famous faces",26,IF(J703="famous names",27,IF(J703="famous voices",28,IF(J703="television programs",29,IF(J703="race horses",30,IF(J703="new vocabulary",31,IF(J703="sentences",32,IF(J703="concepts",33,IF(J703="ad slides",34,IF(J703="scenes",35,IF(J703="famous scenes",36,IF(J703="poems",37,IF(J703="walk",38,IF(J703="faces and events",39,IF(J703="events and names",40,IF(J703="flashbulb",41,IF(J703="stories",42,IF(J703="course material",43,IF(J703="autobiographical",44,IF(J703="novels",45,IF(J703="public events",46,"99"))))))))))))))))))))))))))))))))))))))))))))))</f>
        <v>44</v>
      </c>
      <c r="L703" s="60">
        <f>IF(J703="syllables",1,IF(J703="trigrams",1,IF(J703="strings",1,IF(J703="visual array",1,IF(J703="characters",1,IF(J703="letters",1,IF(J703="free forms",1,IF(J703="odors",2,IF(J703="words",2,IF(J703="pictures",2,IF(J703="object pictures",2,IF(J703="faces",2,IF(J703="names",2,IF(J703="idioms","2",IF(J703="grades",2,IF(J703="syllable-digit pairs",3,IF(J703="trigram-word pairs",3,IF(J703="word-digit pairs",3,IF(J703="English-Swahili pairs",3,IF(J703="spatial position",3,IF(J703="word pairs",4,IF(J703="word triads",4,IF(J703="generated words",4,IF(J703="word definition pairs",4,IF(J703="math problems",4,IF(J703="famous faces",4,IF(J703="famous names",4,IF(J703="famous voices",4,IF(J703="television programs",4,IF(J703="race horses",4,IF(J703="new vocabulary",4,IF(J703="sentences",5,IF(J703="concepts",5,IF(J703="ad slides",5,IF(J703="scenes",5,IF(J703="famous scenes",5,IF(J703="poems",6,IF(J703="walk",6,IF(J703="faces and events",6,IF(J703="events and names",6,IF(J703="flashbulb",7,IF(J703="stories",7,IF(J703="course material",7,IF(J703="autobiographical",7,IF(J703="novels",7,IF(J703="public events",7,"99"))))))))))))))))))))))))))))))))))))))))))))))</f>
        <v>7</v>
      </c>
      <c r="M703" s="59">
        <v>0</v>
      </c>
      <c r="N703" s="60">
        <v>2</v>
      </c>
      <c r="O703" s="60">
        <v>0</v>
      </c>
      <c r="P703" s="60"/>
      <c r="Q703" s="60" t="s">
        <v>174</v>
      </c>
      <c r="R703" s="60">
        <f>IF(Q703="Free Recall",1,IF(Q703="Cued Recall",2,IF(Q703="Recognition",3,IF(Q703="Multiple Choice",4,IF(Q703="Savings",5,IF(Q703="Stem Completion",6,IF(Q703="Fragment Completion",7,IF(Q703="anagram solution",8,IF(Q703="Matching",9,IF(Q703="Problem Solving",10,"99"))))))))))</f>
        <v>1</v>
      </c>
      <c r="S703" s="60" t="s">
        <v>49</v>
      </c>
      <c r="T703" s="60" t="s">
        <v>261</v>
      </c>
      <c r="U703" s="60">
        <f>IF(T703="within",1,0)</f>
        <v>0</v>
      </c>
      <c r="V703" s="60">
        <v>3</v>
      </c>
      <c r="W703" s="60">
        <f>F703*V703</f>
        <v>2634</v>
      </c>
      <c r="X703" s="60">
        <v>5</v>
      </c>
      <c r="Y703" s="76">
        <f>AV702</f>
        <v>172800</v>
      </c>
      <c r="Z703" s="60" t="s">
        <v>152</v>
      </c>
      <c r="AA703" s="60">
        <v>3974140.8</v>
      </c>
      <c r="AB703" s="60" t="str">
        <f>IF(AA703&lt;60,"1",IF(AA703&lt;=43200,"2",IF(AA703&lt;=777600,"3","4")))</f>
        <v>4</v>
      </c>
      <c r="AC703" s="56">
        <f>AVERAGE(AV702:DA702)</f>
        <v>1745297.2799999998</v>
      </c>
      <c r="AD703" s="60" t="str">
        <f>IF(AC703&lt;60,"1",IF(AC703&lt;=43200,"2",IF(AC703&lt;=777600,"3","4")))</f>
        <v>4</v>
      </c>
      <c r="AE703" s="76">
        <f>AA703-Y703</f>
        <v>3801340.8</v>
      </c>
      <c r="AF703" s="80">
        <f>AV703</f>
        <v>0.92</v>
      </c>
      <c r="AG703" s="56">
        <f>((AW703-AV703)+(AX703-AW703)+(AY703-AX703)+(AZ703-AY703))/4</f>
        <v>-5.2500000000000019E-2</v>
      </c>
      <c r="AH703" s="4"/>
      <c r="AI703" s="56">
        <f>RSQ(AV703:AZ703,AV702:AZ702)</f>
        <v>0.78797568772700499</v>
      </c>
      <c r="AJ703" s="109">
        <f>SLOPE(AV703:AZ703,AV702:AZ702)</f>
        <v>-4.5583905754243094E-8</v>
      </c>
      <c r="AK703" s="56">
        <f>INTERCEPT(AV703:AZ703,AV702:AZ702)</f>
        <v>0.87755746672465684</v>
      </c>
      <c r="AL703" s="56">
        <f>INDEX(LINEST(LN(AV703:AZ703),LN(AV702:AZ702),TRUE,TRUE),3,1)</f>
        <v>0.97115643228600135</v>
      </c>
      <c r="AM703" s="56">
        <f>INDEX(LINEST(LN(AV703:AZ703),LN(AV702:AZ702)),1)</f>
        <v>-7.7860164813678023E-2</v>
      </c>
      <c r="AN703" s="56">
        <f>EXP(INDEX(LINEST(LN(AV703:AZ703),LN(AV702:AZ702)),1,2))</f>
        <v>2.3438071976388102</v>
      </c>
      <c r="AO703" s="82">
        <f>INDEX(LINEST((AV703:AZ703),LN(AV702:AZ702),TRUE,TRUE),3,1)</f>
        <v>0.97143530087677687</v>
      </c>
      <c r="AP703" s="82">
        <f>INDEX(LINEST((AV703:AZ703),LN(AV702:AZ702)),1)</f>
        <v>-6.3422014235396812E-2</v>
      </c>
      <c r="AQ703" s="83">
        <f>INDEX(LINEST(LN(AV703:AZ703),SQRT(AV702:AZ702),TRUE,TRUE),3,1)</f>
        <v>0.91402098542302657</v>
      </c>
      <c r="AR703" s="116">
        <f>INDEX(LINEST(LN(AV703:AZ703),SQRT((AV702:AZ702))),1)</f>
        <v>-1.4849005255020487E-4</v>
      </c>
      <c r="AS703" s="84">
        <f>INDEX(LINEST(1/(AV703:AZ703),1/(SQRT(AV702:AZ702)),TRUE,TRUE),3,1)</f>
        <v>0.92137985158047997</v>
      </c>
      <c r="AT703" s="84">
        <f>INDEX(LINEST(1/(AV703:AZ703),1/SQRT(AV702:AZ702)),1)</f>
        <v>-151.92766419040564</v>
      </c>
      <c r="AU703" s="3"/>
      <c r="AV703" s="53">
        <v>0.92</v>
      </c>
      <c r="AW703" s="53">
        <v>0.83</v>
      </c>
      <c r="AX703" s="53">
        <v>0.77</v>
      </c>
      <c r="AY703" s="53">
        <v>0.76</v>
      </c>
      <c r="AZ703" s="53">
        <v>0.71</v>
      </c>
      <c r="BA703" s="53"/>
      <c r="BB703" s="53"/>
      <c r="BC703" s="53"/>
      <c r="BD703" s="53"/>
      <c r="BE703" s="53"/>
      <c r="BF703" s="53"/>
      <c r="BG703" s="53"/>
      <c r="BH703" s="53"/>
      <c r="BI703" s="53"/>
      <c r="BJ703" s="53"/>
      <c r="BK703" s="53"/>
      <c r="BL703" s="53"/>
      <c r="BM703" s="53"/>
      <c r="BN703" s="53"/>
      <c r="BO703" s="53"/>
      <c r="BP703" s="53"/>
      <c r="BQ703" s="53"/>
      <c r="BR703" s="53"/>
      <c r="BS703" s="53"/>
      <c r="BT703" s="53"/>
      <c r="BU703" s="53"/>
      <c r="BV703" s="53"/>
      <c r="BW703" s="53"/>
      <c r="BX703" s="53"/>
      <c r="BY703" s="53"/>
      <c r="BZ703" s="53"/>
      <c r="CA703" s="53"/>
      <c r="CB703" s="53"/>
      <c r="CC703" s="53"/>
      <c r="CD703" s="53"/>
      <c r="CE703" s="53"/>
      <c r="CF703" s="53"/>
      <c r="CG703" s="53"/>
      <c r="CH703" s="53"/>
      <c r="CI703" s="53"/>
      <c r="CJ703" s="53"/>
      <c r="CK703" s="53"/>
      <c r="CL703" s="53"/>
      <c r="CM703" s="53"/>
      <c r="CN703" s="53"/>
      <c r="CO703" s="53"/>
      <c r="CP703" s="53"/>
      <c r="CQ703" s="53"/>
      <c r="CR703" s="1"/>
      <c r="CS703" s="1"/>
      <c r="CT703" s="1"/>
      <c r="CU703" s="1"/>
    </row>
    <row r="704" spans="1:99" s="13" customFormat="1" ht="12" customHeight="1" x14ac:dyDescent="0.2">
      <c r="A704" s="65">
        <v>43509</v>
      </c>
      <c r="B704" s="1"/>
      <c r="C704" s="1"/>
      <c r="D704" s="60"/>
      <c r="E704" s="76"/>
      <c r="F704" s="60"/>
      <c r="G704" s="60"/>
      <c r="H704" s="60"/>
      <c r="I704" s="60"/>
      <c r="J704" s="60"/>
      <c r="K704" s="64"/>
      <c r="L704" s="64"/>
      <c r="M704" s="60"/>
      <c r="N704" s="60"/>
      <c r="O704" s="60"/>
      <c r="P704" s="60"/>
      <c r="Q704" s="60"/>
      <c r="R704" s="60"/>
      <c r="S704" s="60"/>
      <c r="T704" s="60"/>
      <c r="U704" s="60"/>
      <c r="V704" s="60"/>
      <c r="W704" s="60"/>
      <c r="X704" s="60"/>
      <c r="Y704" s="76"/>
      <c r="Z704" s="60"/>
      <c r="AA704" s="60"/>
      <c r="AB704" s="60"/>
      <c r="AC704" s="60"/>
      <c r="AD704" s="60"/>
      <c r="AE704" s="60"/>
      <c r="AF704" s="80"/>
      <c r="AG704" s="56"/>
      <c r="AH704" s="4"/>
      <c r="AI704" s="56"/>
      <c r="AJ704" s="109"/>
      <c r="AK704" s="56"/>
      <c r="AL704" s="56"/>
      <c r="AM704" s="56"/>
      <c r="AN704" s="56"/>
      <c r="AO704" s="56"/>
      <c r="AP704" s="56"/>
      <c r="AQ704" s="56"/>
      <c r="AR704" s="109"/>
      <c r="AS704" s="56"/>
      <c r="AT704" s="56"/>
      <c r="AU704" s="4"/>
      <c r="AV704" s="25">
        <f>2*24*3600</f>
        <v>172800</v>
      </c>
      <c r="AW704" s="25">
        <f>7*24*3600*1</f>
        <v>604800</v>
      </c>
      <c r="AX704" s="25">
        <f>7*24*3600*2.143</f>
        <v>1296086.3999999999</v>
      </c>
      <c r="AY704" s="25">
        <f>7*24*3600*4.429</f>
        <v>2678659.2000000002</v>
      </c>
      <c r="AZ704" s="25">
        <f>7*24*3600*6.571</f>
        <v>3974140.8</v>
      </c>
      <c r="BA704" s="53"/>
      <c r="BB704" s="53"/>
      <c r="BC704" s="53"/>
      <c r="BD704" s="53"/>
      <c r="BE704" s="53"/>
      <c r="BF704" s="53"/>
      <c r="BG704" s="53"/>
      <c r="BH704" s="53"/>
      <c r="BI704" s="53"/>
      <c r="BJ704" s="53"/>
      <c r="BK704" s="53"/>
      <c r="BL704" s="53"/>
      <c r="BM704" s="53"/>
      <c r="BN704" s="53"/>
      <c r="BO704" s="53"/>
      <c r="BP704" s="53"/>
      <c r="BQ704" s="53"/>
      <c r="BR704" s="53"/>
      <c r="BS704" s="53"/>
      <c r="BT704" s="53"/>
      <c r="BU704" s="53"/>
      <c r="BV704" s="53"/>
      <c r="BW704" s="53"/>
      <c r="BX704" s="53"/>
      <c r="BY704" s="53"/>
      <c r="BZ704" s="53"/>
      <c r="CA704" s="53"/>
      <c r="CB704" s="53"/>
      <c r="CC704" s="53"/>
      <c r="CD704" s="53"/>
      <c r="CE704" s="53"/>
      <c r="CF704" s="53"/>
      <c r="CG704" s="53"/>
      <c r="CH704" s="53"/>
      <c r="CI704" s="53"/>
      <c r="CJ704" s="53"/>
      <c r="CK704" s="53"/>
      <c r="CL704" s="53"/>
      <c r="CM704" s="53"/>
      <c r="CN704" s="53"/>
      <c r="CO704" s="53"/>
      <c r="CP704" s="53"/>
      <c r="CQ704" s="53"/>
      <c r="CR704" s="1"/>
      <c r="CS704" s="1"/>
      <c r="CT704" s="1"/>
      <c r="CU704" s="1"/>
    </row>
    <row r="705" spans="1:99" s="13" customFormat="1" ht="12" customHeight="1" x14ac:dyDescent="0.2">
      <c r="A705" s="65">
        <v>43509</v>
      </c>
      <c r="B705" s="1" t="s">
        <v>151</v>
      </c>
      <c r="C705" s="1" t="s">
        <v>70</v>
      </c>
      <c r="D705" s="60">
        <v>2009</v>
      </c>
      <c r="E705" s="76">
        <v>1</v>
      </c>
      <c r="F705" s="60">
        <v>878</v>
      </c>
      <c r="G705" s="60">
        <v>175.6</v>
      </c>
      <c r="H705" s="60" t="s">
        <v>22</v>
      </c>
      <c r="I705" s="60" t="s">
        <v>868</v>
      </c>
      <c r="J705" s="60" t="s">
        <v>622</v>
      </c>
      <c r="K705" s="60">
        <f>IF(J705="syllables",1,IF(J705="trigrams",2,IF(J705="strings",3,IF(J705="visual array",4,IF(J705="characters",5,IF(J705="letters",6,IF(J705="free forms",7,IF(J705="odors",8,IF(J705="words",9,IF(J705="pictures",10,IF(J705="object pictures",11,IF(J705="faces",12,IF(J705="names",13,IF(J705="idioms",14,IF(J705="grades",15,IF(J705="syllable-digit pairs",16,IF(J705="trigram-word pairs",17,IF(J705="word-digit pairs",18,IF(J705="English-Swahili pairs",19,IF(J705="spatial position",20,IF(J705="word pairs",21,IF(J705="word triads",22,IF(J705="generated words",23,IF(J705="word definition pairs",24,IF(J705="math problems",25,IF(J705="famous faces",26,IF(J705="famous names",27,IF(J705="famous voices",28,IF(J705="television programs",29,IF(J705="race horses",30,IF(J705="new vocabulary",31,IF(J705="sentences",32,IF(J705="concepts",33,IF(J705="ad slides",34,IF(J705="scenes",35,IF(J705="famous scenes",36,IF(J705="poems",37,IF(J705="walk",38,IF(J705="faces and events",39,IF(J705="events and names",40,IF(J705="flashbulb",41,IF(J705="stories",42,IF(J705="course material",43,IF(J705="autobiographical",44,IF(J705="novels",45,IF(J705="public events",46,"99"))))))))))))))))))))))))))))))))))))))))))))))</f>
        <v>44</v>
      </c>
      <c r="L705" s="60">
        <f>IF(J705="syllables",1,IF(J705="trigrams",1,IF(J705="strings",1,IF(J705="visual array",1,IF(J705="characters",1,IF(J705="letters",1,IF(J705="free forms",1,IF(J705="odors",2,IF(J705="words",2,IF(J705="pictures",2,IF(J705="object pictures",2,IF(J705="faces",2,IF(J705="names",2,IF(J705="idioms","2",IF(J705="grades",2,IF(J705="syllable-digit pairs",3,IF(J705="trigram-word pairs",3,IF(J705="word-digit pairs",3,IF(J705="English-Swahili pairs",3,IF(J705="spatial position",3,IF(J705="word pairs",4,IF(J705="word triads",4,IF(J705="generated words",4,IF(J705="word definition pairs",4,IF(J705="math problems",4,IF(J705="famous faces",4,IF(J705="famous names",4,IF(J705="famous voices",4,IF(J705="television programs",4,IF(J705="race horses",4,IF(J705="new vocabulary",4,IF(J705="sentences",5,IF(J705="concepts",5,IF(J705="ad slides",5,IF(J705="scenes",5,IF(J705="famous scenes",5,IF(J705="poems",6,IF(J705="walk",6,IF(J705="faces and events",6,IF(J705="events and names",6,IF(J705="flashbulb",7,IF(J705="stories",7,IF(J705="course material",7,IF(J705="autobiographical",7,IF(J705="novels",7,IF(J705="public events",7,"99"))))))))))))))))))))))))))))))))))))))))))))))</f>
        <v>7</v>
      </c>
      <c r="M705" s="59">
        <v>0</v>
      </c>
      <c r="N705" s="60">
        <v>2</v>
      </c>
      <c r="O705" s="60">
        <v>0</v>
      </c>
      <c r="P705" s="60"/>
      <c r="Q705" s="60" t="s">
        <v>174</v>
      </c>
      <c r="R705" s="60">
        <f>IF(Q705="Free Recall",1,IF(Q705="Cued Recall",2,IF(Q705="Recognition",3,IF(Q705="Multiple Choice",4,IF(Q705="Savings",5,IF(Q705="Stem Completion",6,IF(Q705="Fragment Completion",7,IF(Q705="anagram solution",8,IF(Q705="Matching",9,IF(Q705="Problem Solving",10,"99"))))))))))</f>
        <v>1</v>
      </c>
      <c r="S705" s="60" t="s">
        <v>49</v>
      </c>
      <c r="T705" s="60" t="s">
        <v>261</v>
      </c>
      <c r="U705" s="60">
        <f>IF(T705="within",1,0)</f>
        <v>0</v>
      </c>
      <c r="V705" s="60">
        <v>3</v>
      </c>
      <c r="W705" s="60">
        <f>F705*V705</f>
        <v>2634</v>
      </c>
      <c r="X705" s="60">
        <v>5</v>
      </c>
      <c r="Y705" s="76">
        <f>AV704</f>
        <v>172800</v>
      </c>
      <c r="Z705" s="60" t="s">
        <v>152</v>
      </c>
      <c r="AA705" s="60">
        <v>3974140.8</v>
      </c>
      <c r="AB705" s="60" t="str">
        <f>IF(AA705&lt;60,"1",IF(AA705&lt;=43200,"2",IF(AA705&lt;=777600,"3","4")))</f>
        <v>4</v>
      </c>
      <c r="AC705" s="56">
        <f>AVERAGE(AV704:DA704)</f>
        <v>1745297.2799999998</v>
      </c>
      <c r="AD705" s="60" t="str">
        <f>IF(AC705&lt;60,"1",IF(AC705&lt;=43200,"2",IF(AC705&lt;=777600,"3","4")))</f>
        <v>4</v>
      </c>
      <c r="AE705" s="76">
        <f>AA705-Y705</f>
        <v>3801340.8</v>
      </c>
      <c r="AF705" s="80">
        <f>AV705</f>
        <v>0.95</v>
      </c>
      <c r="AG705" s="56">
        <f>((AW705-AV705)+(AX705-AW705)+(AY705-AX705)+(AZ705-AY705))/4</f>
        <v>-3.2500000000000001E-2</v>
      </c>
      <c r="AH705" s="4"/>
      <c r="AI705" s="56">
        <f>RSQ(AV705:AZ705,AV704:AZ704)</f>
        <v>0.88867603212942903</v>
      </c>
      <c r="AJ705" s="109">
        <f>SLOPE(AV705:AZ705,AV704:AZ704)</f>
        <v>-3.1674852621221954E-8</v>
      </c>
      <c r="AK705" s="56">
        <f>INTERCEPT(AV705:AZ705,AV704:AZ704)</f>
        <v>0.9332820341242194</v>
      </c>
      <c r="AL705" s="56">
        <f>INDEX(LINEST(LN(AV705:AZ705),LN(AV704:AZ704),TRUE,TRUE),3,1)</f>
        <v>0.98829752468617504</v>
      </c>
      <c r="AM705" s="56">
        <f>INDEX(LINEST(LN(AV705:AZ705),LN(AV704:AZ704)),1)</f>
        <v>-4.7376859656874416E-2</v>
      </c>
      <c r="AN705" s="56">
        <f>EXP(INDEX(LINEST(LN(AV705:AZ705),LN(AV704:AZ704)),1,2))</f>
        <v>1.6929446052426196</v>
      </c>
      <c r="AO705" s="82">
        <f>INDEX(LINEST((AV705:AZ705),LN(AV704:AZ704),TRUE,TRUE),3,1)</f>
        <v>0.99152431841332411</v>
      </c>
      <c r="AP705" s="82">
        <f>INDEX(LINEST((AV705:AZ705),LN(AV704:AZ704)),1)</f>
        <v>-4.1924946736067822E-2</v>
      </c>
      <c r="AQ705" s="83">
        <f>INDEX(LINEST(LN(AV705:AZ705),SQRT(AV704:AZ704),TRUE,TRUE),3,1)</f>
        <v>0.97970733330864523</v>
      </c>
      <c r="AR705" s="116">
        <f>INDEX(LINEST(LN(AV705:AZ705),SQRT((AV704:AZ704))),1)</f>
        <v>-9.2729763099123211E-5</v>
      </c>
      <c r="AS705" s="84">
        <f>INDEX(LINEST(1/(AV705:AZ705),1/(SQRT(AV704:AZ704)),TRUE,TRUE),3,1)</f>
        <v>0.88867356015604115</v>
      </c>
      <c r="AT705" s="84">
        <f>INDEX(LINEST(1/(AV705:AZ705),1/SQRT(AV704:AZ704)),1)</f>
        <v>-82.586118373620309</v>
      </c>
      <c r="AU705" s="3"/>
      <c r="AV705" s="53">
        <v>0.95</v>
      </c>
      <c r="AW705" s="53">
        <v>0.91</v>
      </c>
      <c r="AX705" s="53">
        <v>0.87</v>
      </c>
      <c r="AY705" s="53">
        <v>0.84</v>
      </c>
      <c r="AZ705" s="53">
        <v>0.82</v>
      </c>
      <c r="BA705" s="53"/>
      <c r="BB705" s="53"/>
      <c r="BC705" s="53"/>
      <c r="BD705" s="53"/>
      <c r="BE705" s="53"/>
      <c r="BF705" s="53"/>
      <c r="BG705" s="53"/>
      <c r="BH705" s="53"/>
      <c r="BI705" s="53"/>
      <c r="BJ705" s="53"/>
      <c r="BK705" s="53"/>
      <c r="BL705" s="53"/>
      <c r="BM705" s="53"/>
      <c r="BN705" s="53"/>
      <c r="BO705" s="53"/>
      <c r="BP705" s="53"/>
      <c r="BQ705" s="53"/>
      <c r="BR705" s="53"/>
      <c r="BS705" s="53"/>
      <c r="BT705" s="53"/>
      <c r="BU705" s="53"/>
      <c r="BV705" s="53"/>
      <c r="BW705" s="53"/>
      <c r="BX705" s="53"/>
      <c r="BY705" s="53"/>
      <c r="BZ705" s="53"/>
      <c r="CA705" s="53"/>
      <c r="CB705" s="53"/>
      <c r="CC705" s="53"/>
      <c r="CD705" s="53"/>
      <c r="CE705" s="53"/>
      <c r="CF705" s="53"/>
      <c r="CG705" s="53"/>
      <c r="CH705" s="53"/>
      <c r="CI705" s="53"/>
      <c r="CJ705" s="53"/>
      <c r="CK705" s="53"/>
      <c r="CL705" s="53"/>
      <c r="CM705" s="53"/>
      <c r="CN705" s="53"/>
      <c r="CO705" s="53"/>
      <c r="CP705" s="53"/>
      <c r="CQ705" s="53"/>
      <c r="CR705" s="1"/>
      <c r="CS705" s="1"/>
      <c r="CT705" s="1"/>
      <c r="CU705" s="1"/>
    </row>
    <row r="706" spans="1:99" s="13" customFormat="1" ht="12" customHeight="1" x14ac:dyDescent="0.2">
      <c r="A706" s="65">
        <v>43509</v>
      </c>
      <c r="B706" s="1"/>
      <c r="C706" s="1"/>
      <c r="D706" s="60"/>
      <c r="E706" s="76"/>
      <c r="F706" s="60"/>
      <c r="G706" s="60"/>
      <c r="H706" s="60"/>
      <c r="I706" s="60"/>
      <c r="J706" s="60"/>
      <c r="K706" s="64"/>
      <c r="L706" s="64"/>
      <c r="M706" s="60"/>
      <c r="N706" s="60"/>
      <c r="O706" s="60"/>
      <c r="P706" s="60"/>
      <c r="Q706" s="60"/>
      <c r="R706" s="60"/>
      <c r="S706" s="60"/>
      <c r="T706" s="60"/>
      <c r="U706" s="60"/>
      <c r="V706" s="60"/>
      <c r="W706" s="60"/>
      <c r="X706" s="60"/>
      <c r="Y706" s="76"/>
      <c r="Z706" s="60"/>
      <c r="AA706" s="60"/>
      <c r="AB706" s="60"/>
      <c r="AC706" s="60"/>
      <c r="AD706" s="60"/>
      <c r="AE706" s="60"/>
      <c r="AF706" s="80"/>
      <c r="AG706" s="56"/>
      <c r="AH706" s="4"/>
      <c r="AI706" s="56"/>
      <c r="AJ706" s="109"/>
      <c r="AK706" s="56"/>
      <c r="AL706" s="56"/>
      <c r="AM706" s="56"/>
      <c r="AN706" s="56"/>
      <c r="AO706" s="56"/>
      <c r="AP706" s="56"/>
      <c r="AQ706" s="56"/>
      <c r="AR706" s="109"/>
      <c r="AS706" s="56"/>
      <c r="AT706" s="56"/>
      <c r="AU706" s="4"/>
      <c r="AV706" s="25">
        <f>2*24*3600</f>
        <v>172800</v>
      </c>
      <c r="AW706" s="25">
        <f>7*24*3600*1</f>
        <v>604800</v>
      </c>
      <c r="AX706" s="25">
        <f>7*24*3600*2.143</f>
        <v>1296086.3999999999</v>
      </c>
      <c r="AY706" s="25">
        <f>7*24*3600*4.429</f>
        <v>2678659.2000000002</v>
      </c>
      <c r="AZ706" s="25">
        <f>7*24*3600*6.571</f>
        <v>3974140.8</v>
      </c>
      <c r="BA706" s="53"/>
      <c r="BB706" s="53"/>
      <c r="BC706" s="53"/>
      <c r="BD706" s="53"/>
      <c r="BE706" s="53"/>
      <c r="BF706" s="53"/>
      <c r="BG706" s="53"/>
      <c r="BH706" s="53"/>
      <c r="BI706" s="53"/>
      <c r="BJ706" s="53"/>
      <c r="BK706" s="53"/>
      <c r="BL706" s="53"/>
      <c r="BM706" s="53"/>
      <c r="BN706" s="53"/>
      <c r="BO706" s="53"/>
      <c r="BP706" s="53"/>
      <c r="BQ706" s="53"/>
      <c r="BR706" s="53"/>
      <c r="BS706" s="53"/>
      <c r="BT706" s="53"/>
      <c r="BU706" s="53"/>
      <c r="BV706" s="53"/>
      <c r="BW706" s="53"/>
      <c r="BX706" s="53"/>
      <c r="BY706" s="53"/>
      <c r="BZ706" s="53"/>
      <c r="CA706" s="53"/>
      <c r="CB706" s="53"/>
      <c r="CC706" s="53"/>
      <c r="CD706" s="53"/>
      <c r="CE706" s="53"/>
      <c r="CF706" s="53"/>
      <c r="CG706" s="53"/>
      <c r="CH706" s="53"/>
      <c r="CI706" s="53"/>
      <c r="CJ706" s="53"/>
      <c r="CK706" s="53"/>
      <c r="CL706" s="53"/>
      <c r="CM706" s="53"/>
      <c r="CN706" s="53"/>
      <c r="CO706" s="53"/>
      <c r="CP706" s="53"/>
      <c r="CQ706" s="53"/>
      <c r="CR706" s="1"/>
      <c r="CS706" s="1"/>
      <c r="CT706" s="1"/>
      <c r="CU706" s="1"/>
    </row>
    <row r="707" spans="1:99" s="13" customFormat="1" ht="12" customHeight="1" x14ac:dyDescent="0.2">
      <c r="A707" s="65">
        <v>43509</v>
      </c>
      <c r="B707" s="1" t="s">
        <v>151</v>
      </c>
      <c r="C707" s="1" t="s">
        <v>70</v>
      </c>
      <c r="D707" s="60">
        <v>2009</v>
      </c>
      <c r="E707" s="76">
        <v>1</v>
      </c>
      <c r="F707" s="60">
        <v>878</v>
      </c>
      <c r="G707" s="60">
        <v>175.6</v>
      </c>
      <c r="H707" s="60" t="s">
        <v>22</v>
      </c>
      <c r="I707" s="60" t="s">
        <v>869</v>
      </c>
      <c r="J707" s="60" t="s">
        <v>622</v>
      </c>
      <c r="K707" s="60">
        <f>IF(J707="syllables",1,IF(J707="trigrams",2,IF(J707="strings",3,IF(J707="visual array",4,IF(J707="characters",5,IF(J707="letters",6,IF(J707="free forms",7,IF(J707="odors",8,IF(J707="words",9,IF(J707="pictures",10,IF(J707="object pictures",11,IF(J707="faces",12,IF(J707="names",13,IF(J707="idioms",14,IF(J707="grades",15,IF(J707="syllable-digit pairs",16,IF(J707="trigram-word pairs",17,IF(J707="word-digit pairs",18,IF(J707="English-Swahili pairs",19,IF(J707="spatial position",20,IF(J707="word pairs",21,IF(J707="word triads",22,IF(J707="generated words",23,IF(J707="word definition pairs",24,IF(J707="math problems",25,IF(J707="famous faces",26,IF(J707="famous names",27,IF(J707="famous voices",28,IF(J707="television programs",29,IF(J707="race horses",30,IF(J707="new vocabulary",31,IF(J707="sentences",32,IF(J707="concepts",33,IF(J707="ad slides",34,IF(J707="scenes",35,IF(J707="famous scenes",36,IF(J707="poems",37,IF(J707="walk",38,IF(J707="faces and events",39,IF(J707="events and names",40,IF(J707="flashbulb",41,IF(J707="stories",42,IF(J707="course material",43,IF(J707="autobiographical",44,IF(J707="novels",45,IF(J707="public events",46,"99"))))))))))))))))))))))))))))))))))))))))))))))</f>
        <v>44</v>
      </c>
      <c r="L707" s="60">
        <f>IF(J707="syllables",1,IF(J707="trigrams",1,IF(J707="strings",1,IF(J707="visual array",1,IF(J707="characters",1,IF(J707="letters",1,IF(J707="free forms",1,IF(J707="odors",2,IF(J707="words",2,IF(J707="pictures",2,IF(J707="object pictures",2,IF(J707="faces",2,IF(J707="names",2,IF(J707="idioms","2",IF(J707="grades",2,IF(J707="syllable-digit pairs",3,IF(J707="trigram-word pairs",3,IF(J707="word-digit pairs",3,IF(J707="English-Swahili pairs",3,IF(J707="spatial position",3,IF(J707="word pairs",4,IF(J707="word triads",4,IF(J707="generated words",4,IF(J707="word definition pairs",4,IF(J707="math problems",4,IF(J707="famous faces",4,IF(J707="famous names",4,IF(J707="famous voices",4,IF(J707="television programs",4,IF(J707="race horses",4,IF(J707="new vocabulary",4,IF(J707="sentences",5,IF(J707="concepts",5,IF(J707="ad slides",5,IF(J707="scenes",5,IF(J707="famous scenes",5,IF(J707="poems",6,IF(J707="walk",6,IF(J707="faces and events",6,IF(J707="events and names",6,IF(J707="flashbulb",7,IF(J707="stories",7,IF(J707="course material",7,IF(J707="autobiographical",7,IF(J707="novels",7,IF(J707="public events",7,"99"))))))))))))))))))))))))))))))))))))))))))))))</f>
        <v>7</v>
      </c>
      <c r="M707" s="59">
        <v>0</v>
      </c>
      <c r="N707" s="60">
        <v>2</v>
      </c>
      <c r="O707" s="60">
        <v>0</v>
      </c>
      <c r="P707" s="60"/>
      <c r="Q707" s="60" t="s">
        <v>174</v>
      </c>
      <c r="R707" s="60">
        <f>IF(Q707="Free Recall",1,IF(Q707="Cued Recall",2,IF(Q707="Recognition",3,IF(Q707="Multiple Choice",4,IF(Q707="Savings",5,IF(Q707="Stem Completion",6,IF(Q707="Fragment Completion",7,IF(Q707="anagram solution",8,IF(Q707="Matching",9,IF(Q707="Problem Solving",10,"99"))))))))))</f>
        <v>1</v>
      </c>
      <c r="S707" s="60" t="s">
        <v>49</v>
      </c>
      <c r="T707" s="60" t="s">
        <v>261</v>
      </c>
      <c r="U707" s="60">
        <f>IF(T707="within",1,0)</f>
        <v>0</v>
      </c>
      <c r="V707" s="60">
        <v>3</v>
      </c>
      <c r="W707" s="60">
        <f>F707*V707</f>
        <v>2634</v>
      </c>
      <c r="X707" s="60">
        <v>5</v>
      </c>
      <c r="Y707" s="76">
        <f>AV706</f>
        <v>172800</v>
      </c>
      <c r="Z707" s="60" t="s">
        <v>152</v>
      </c>
      <c r="AA707" s="60">
        <v>3974140.8</v>
      </c>
      <c r="AB707" s="60" t="str">
        <f>IF(AA707&lt;60,"1",IF(AA707&lt;=43200,"2",IF(AA707&lt;=777600,"3","4")))</f>
        <v>4</v>
      </c>
      <c r="AC707" s="56">
        <f>AVERAGE(AV706:DA706)</f>
        <v>1745297.2799999998</v>
      </c>
      <c r="AD707" s="60" t="str">
        <f>IF(AC707&lt;60,"1",IF(AC707&lt;=43200,"2",IF(AC707&lt;=777600,"3","4")))</f>
        <v>4</v>
      </c>
      <c r="AE707" s="76">
        <f>AA707-Y707</f>
        <v>3801340.8</v>
      </c>
      <c r="AF707" s="80">
        <f>AV707</f>
        <v>0.78</v>
      </c>
      <c r="AG707" s="56">
        <f>((AW707-AV707)+(AX707-AW707)+(AY707-AX707)+(AZ707-AY707))/4</f>
        <v>-0.13250000000000001</v>
      </c>
      <c r="AH707" s="4"/>
      <c r="AI707" s="56">
        <f>RSQ(AV707:AZ707,AV706:AZ706)</f>
        <v>0.81928618548267718</v>
      </c>
      <c r="AJ707" s="109">
        <f>SLOPE(AV707:AZ707,AV706:AZ706)</f>
        <v>-1.3731870355831144E-7</v>
      </c>
      <c r="AK707" s="56">
        <f>INTERCEPT(AV707:AZ707,AV706:AZ706)</f>
        <v>0.70766195981344726</v>
      </c>
      <c r="AL707" s="56">
        <f>INDEX(LINEST(LN(AV707:AZ707),LN(AV706:AZ706),TRUE,TRUE),3,1)</f>
        <v>0.93581919306822547</v>
      </c>
      <c r="AM707" s="56">
        <f>INDEX(LINEST(LN(AV707:AZ707),LN(AV706:AZ706)),1)</f>
        <v>-0.40127212015301539</v>
      </c>
      <c r="AN707" s="56">
        <f>EXP(INDEX(LINEST(LN(AV707:AZ707),LN(AV706:AZ706)),1,2))</f>
        <v>110.76063528802553</v>
      </c>
      <c r="AO707" s="82">
        <f>INDEX(LINEST((AV707:AZ707),LN(AV706:AZ706),TRUE,TRUE),3,1)</f>
        <v>0.95746895326498316</v>
      </c>
      <c r="AP707" s="82">
        <f>INDEX(LINEST((AV707:AZ707),LN(AV706:AZ706)),1)</f>
        <v>-0.18601681067242992</v>
      </c>
      <c r="AQ707" s="83">
        <f>INDEX(LINEST(LN(AV707:AZ707),SQRT(AV706:AZ706),TRUE,TRUE),3,1)</f>
        <v>0.95372704166038302</v>
      </c>
      <c r="AR707" s="116">
        <f>INDEX(LINEST(LN(AV707:AZ707),SQRT((AV706:AZ706))),1)</f>
        <v>-7.9634932287135814E-4</v>
      </c>
      <c r="AS707" s="84">
        <f>INDEX(LINEST(1/(AV707:AZ707),1/(SQRT(AV706:AZ706)),TRUE,TRUE),3,1)</f>
        <v>0.73889169907592933</v>
      </c>
      <c r="AT707" s="84">
        <f>INDEX(LINEST(1/(AV707:AZ707),1/SQRT(AV706:AZ706)),1)</f>
        <v>-1407.8600811472882</v>
      </c>
      <c r="AU707" s="3"/>
      <c r="AV707" s="53">
        <v>0.78</v>
      </c>
      <c r="AW707" s="53">
        <v>0.65</v>
      </c>
      <c r="AX707" s="53">
        <v>0.4</v>
      </c>
      <c r="AY707" s="53">
        <v>0.26</v>
      </c>
      <c r="AZ707" s="53">
        <v>0.25</v>
      </c>
      <c r="BA707" s="53"/>
      <c r="BB707" s="53"/>
      <c r="BC707" s="53"/>
      <c r="BD707" s="53"/>
      <c r="BE707" s="53"/>
      <c r="BF707" s="53"/>
      <c r="BG707" s="53"/>
      <c r="BH707" s="53"/>
      <c r="BI707" s="53"/>
      <c r="BJ707" s="53"/>
      <c r="BK707" s="53"/>
      <c r="BL707" s="53"/>
      <c r="BM707" s="53"/>
      <c r="BN707" s="53"/>
      <c r="BO707" s="53"/>
      <c r="BP707" s="53"/>
      <c r="BQ707" s="53"/>
      <c r="BR707" s="53"/>
      <c r="BS707" s="53"/>
      <c r="BT707" s="53"/>
      <c r="BU707" s="53"/>
      <c r="BV707" s="53"/>
      <c r="BW707" s="53"/>
      <c r="BX707" s="53"/>
      <c r="BY707" s="53"/>
      <c r="BZ707" s="53"/>
      <c r="CA707" s="53"/>
      <c r="CB707" s="53"/>
      <c r="CC707" s="53"/>
      <c r="CD707" s="53"/>
      <c r="CE707" s="53"/>
      <c r="CF707" s="53"/>
      <c r="CG707" s="53"/>
      <c r="CH707" s="53"/>
      <c r="CI707" s="53"/>
      <c r="CJ707" s="53"/>
      <c r="CK707" s="53"/>
      <c r="CL707" s="53"/>
      <c r="CM707" s="53"/>
      <c r="CN707" s="53"/>
      <c r="CO707" s="53"/>
      <c r="CP707" s="53"/>
      <c r="CQ707" s="53"/>
      <c r="CR707" s="1"/>
      <c r="CS707" s="1"/>
      <c r="CT707" s="1"/>
      <c r="CU707" s="1"/>
    </row>
    <row r="708" spans="1:99" s="13" customFormat="1" ht="12" customHeight="1" x14ac:dyDescent="0.2">
      <c r="A708" s="65">
        <v>43509</v>
      </c>
      <c r="B708" s="1"/>
      <c r="C708" s="1"/>
      <c r="D708" s="60"/>
      <c r="E708" s="76"/>
      <c r="F708" s="60"/>
      <c r="G708" s="60"/>
      <c r="H708" s="60"/>
      <c r="I708" s="60"/>
      <c r="J708" s="60"/>
      <c r="K708" s="64"/>
      <c r="L708" s="64"/>
      <c r="M708" s="60"/>
      <c r="N708" s="60"/>
      <c r="O708" s="60"/>
      <c r="P708" s="60"/>
      <c r="Q708" s="60"/>
      <c r="R708" s="60"/>
      <c r="S708" s="60"/>
      <c r="T708" s="60"/>
      <c r="U708" s="60"/>
      <c r="V708" s="60"/>
      <c r="W708" s="60"/>
      <c r="X708" s="60"/>
      <c r="Y708" s="76"/>
      <c r="Z708" s="60"/>
      <c r="AA708" s="60"/>
      <c r="AB708" s="60"/>
      <c r="AC708" s="60"/>
      <c r="AD708" s="60"/>
      <c r="AE708" s="60"/>
      <c r="AF708" s="80"/>
      <c r="AG708" s="56"/>
      <c r="AH708" s="4"/>
      <c r="AI708" s="56"/>
      <c r="AJ708" s="109"/>
      <c r="AK708" s="56"/>
      <c r="AL708" s="56"/>
      <c r="AM708" s="56"/>
      <c r="AN708" s="56"/>
      <c r="AO708" s="56"/>
      <c r="AP708" s="56"/>
      <c r="AQ708" s="56"/>
      <c r="AR708" s="109"/>
      <c r="AS708" s="56"/>
      <c r="AT708" s="56"/>
      <c r="AU708" s="4"/>
      <c r="AV708" s="25">
        <f>2*24*3600</f>
        <v>172800</v>
      </c>
      <c r="AW708" s="25">
        <f>7*24*3600*1</f>
        <v>604800</v>
      </c>
      <c r="AX708" s="25">
        <f>7*24*3600*2.143</f>
        <v>1296086.3999999999</v>
      </c>
      <c r="AY708" s="25">
        <f>7*24*3600*4.429</f>
        <v>2678659.2000000002</v>
      </c>
      <c r="AZ708" s="25">
        <f>7*24*3600*6.571</f>
        <v>3974140.8</v>
      </c>
      <c r="BA708" s="53"/>
      <c r="BB708" s="53"/>
      <c r="BC708" s="53"/>
      <c r="BD708" s="53"/>
      <c r="BE708" s="53"/>
      <c r="BF708" s="53"/>
      <c r="BG708" s="53"/>
      <c r="BH708" s="53"/>
      <c r="BI708" s="53"/>
      <c r="BJ708" s="53"/>
      <c r="BK708" s="53"/>
      <c r="BL708" s="53"/>
      <c r="BM708" s="53"/>
      <c r="BN708" s="53"/>
      <c r="BO708" s="53"/>
      <c r="BP708" s="53"/>
      <c r="BQ708" s="53"/>
      <c r="BR708" s="53"/>
      <c r="BS708" s="53"/>
      <c r="BT708" s="53"/>
      <c r="BU708" s="53"/>
      <c r="BV708" s="53"/>
      <c r="BW708" s="53"/>
      <c r="BX708" s="53"/>
      <c r="BY708" s="53"/>
      <c r="BZ708" s="53"/>
      <c r="CA708" s="53"/>
      <c r="CB708" s="53"/>
      <c r="CC708" s="53"/>
      <c r="CD708" s="53"/>
      <c r="CE708" s="53"/>
      <c r="CF708" s="53"/>
      <c r="CG708" s="53"/>
      <c r="CH708" s="53"/>
      <c r="CI708" s="53"/>
      <c r="CJ708" s="53"/>
      <c r="CK708" s="53"/>
      <c r="CL708" s="53"/>
      <c r="CM708" s="53"/>
      <c r="CN708" s="53"/>
      <c r="CO708" s="53"/>
      <c r="CP708" s="53"/>
      <c r="CQ708" s="53"/>
      <c r="CR708" s="1"/>
      <c r="CS708" s="1"/>
      <c r="CT708" s="1"/>
      <c r="CU708" s="1"/>
    </row>
    <row r="709" spans="1:99" s="13" customFormat="1" ht="12" customHeight="1" x14ac:dyDescent="0.2">
      <c r="A709" s="65">
        <v>43509</v>
      </c>
      <c r="B709" s="1" t="s">
        <v>151</v>
      </c>
      <c r="C709" s="1" t="s">
        <v>70</v>
      </c>
      <c r="D709" s="60">
        <v>2009</v>
      </c>
      <c r="E709" s="76">
        <v>1</v>
      </c>
      <c r="F709" s="60">
        <v>878</v>
      </c>
      <c r="G709" s="60">
        <v>175.6</v>
      </c>
      <c r="H709" s="60" t="s">
        <v>22</v>
      </c>
      <c r="I709" s="60" t="s">
        <v>870</v>
      </c>
      <c r="J709" s="60" t="s">
        <v>622</v>
      </c>
      <c r="K709" s="60">
        <f>IF(J709="syllables",1,IF(J709="trigrams",2,IF(J709="strings",3,IF(J709="visual array",4,IF(J709="characters",5,IF(J709="letters",6,IF(J709="free forms",7,IF(J709="odors",8,IF(J709="words",9,IF(J709="pictures",10,IF(J709="object pictures",11,IF(J709="faces",12,IF(J709="names",13,IF(J709="idioms",14,IF(J709="grades",15,IF(J709="syllable-digit pairs",16,IF(J709="trigram-word pairs",17,IF(J709="word-digit pairs",18,IF(J709="English-Swahili pairs",19,IF(J709="spatial position",20,IF(J709="word pairs",21,IF(J709="word triads",22,IF(J709="generated words",23,IF(J709="word definition pairs",24,IF(J709="math problems",25,IF(J709="famous faces",26,IF(J709="famous names",27,IF(J709="famous voices",28,IF(J709="television programs",29,IF(J709="race horses",30,IF(J709="new vocabulary",31,IF(J709="sentences",32,IF(J709="concepts",33,IF(J709="ad slides",34,IF(J709="scenes",35,IF(J709="famous scenes",36,IF(J709="poems",37,IF(J709="walk",38,IF(J709="faces and events",39,IF(J709="events and names",40,IF(J709="flashbulb",41,IF(J709="stories",42,IF(J709="course material",43,IF(J709="autobiographical",44,IF(J709="novels",45,IF(J709="public events",46,"99"))))))))))))))))))))))))))))))))))))))))))))))</f>
        <v>44</v>
      </c>
      <c r="L709" s="60">
        <f>IF(J709="syllables",1,IF(J709="trigrams",1,IF(J709="strings",1,IF(J709="visual array",1,IF(J709="characters",1,IF(J709="letters",1,IF(J709="free forms",1,IF(J709="odors",2,IF(J709="words",2,IF(J709="pictures",2,IF(J709="object pictures",2,IF(J709="faces",2,IF(J709="names",2,IF(J709="idioms","2",IF(J709="grades",2,IF(J709="syllable-digit pairs",3,IF(J709="trigram-word pairs",3,IF(J709="word-digit pairs",3,IF(J709="English-Swahili pairs",3,IF(J709="spatial position",3,IF(J709="word pairs",4,IF(J709="word triads",4,IF(J709="generated words",4,IF(J709="word definition pairs",4,IF(J709="math problems",4,IF(J709="famous faces",4,IF(J709="famous names",4,IF(J709="famous voices",4,IF(J709="television programs",4,IF(J709="race horses",4,IF(J709="new vocabulary",4,IF(J709="sentences",5,IF(J709="concepts",5,IF(J709="ad slides",5,IF(J709="scenes",5,IF(J709="famous scenes",5,IF(J709="poems",6,IF(J709="walk",6,IF(J709="faces and events",6,IF(J709="events and names",6,IF(J709="flashbulb",7,IF(J709="stories",7,IF(J709="course material",7,IF(J709="autobiographical",7,IF(J709="novels",7,IF(J709="public events",7,"99"))))))))))))))))))))))))))))))))))))))))))))))</f>
        <v>7</v>
      </c>
      <c r="M709" s="59">
        <v>0</v>
      </c>
      <c r="N709" s="60">
        <v>2</v>
      </c>
      <c r="O709" s="60">
        <v>0</v>
      </c>
      <c r="P709" s="60"/>
      <c r="Q709" s="60" t="s">
        <v>174</v>
      </c>
      <c r="R709" s="60">
        <f>IF(Q709="Free Recall",1,IF(Q709="Cued Recall",2,IF(Q709="Recognition",3,IF(Q709="Multiple Choice",4,IF(Q709="Savings",5,IF(Q709="Stem Completion",6,IF(Q709="Fragment Completion",7,IF(Q709="anagram solution",8,IF(Q709="Matching",9,IF(Q709="Problem Solving",10,"99"))))))))))</f>
        <v>1</v>
      </c>
      <c r="S709" s="60" t="s">
        <v>49</v>
      </c>
      <c r="T709" s="60" t="s">
        <v>261</v>
      </c>
      <c r="U709" s="60">
        <f>IF(T709="within",1,0)</f>
        <v>0</v>
      </c>
      <c r="V709" s="60">
        <v>3</v>
      </c>
      <c r="W709" s="60">
        <f>F709*V709</f>
        <v>2634</v>
      </c>
      <c r="X709" s="60">
        <v>5</v>
      </c>
      <c r="Y709" s="76">
        <f>AV708</f>
        <v>172800</v>
      </c>
      <c r="Z709" s="60" t="s">
        <v>152</v>
      </c>
      <c r="AA709" s="60">
        <v>3974140.8</v>
      </c>
      <c r="AB709" s="60" t="str">
        <f>IF(AA709&lt;60,"1",IF(AA709&lt;=43200,"2",IF(AA709&lt;=777600,"3","4")))</f>
        <v>4</v>
      </c>
      <c r="AC709" s="56">
        <f>AVERAGE(AV708:DA708)</f>
        <v>1745297.2799999998</v>
      </c>
      <c r="AD709" s="60" t="str">
        <f>IF(AC709&lt;60,"1",IF(AC709&lt;=43200,"2",IF(AC709&lt;=777600,"3","4")))</f>
        <v>4</v>
      </c>
      <c r="AE709" s="76">
        <f>AA709-Y709</f>
        <v>3801340.8</v>
      </c>
      <c r="AF709" s="80">
        <f>AV709</f>
        <v>0.94</v>
      </c>
      <c r="AG709" s="56">
        <f>((AW709-AV709)+(AX709-AW709)+(AY709-AX709)+(AZ709-AY709))/4</f>
        <v>-7.4999999999999983E-2</v>
      </c>
      <c r="AH709" s="4"/>
      <c r="AI709" s="56">
        <f>RSQ(AV709:AZ709,AV708:AZ708)</f>
        <v>0.98968631417438124</v>
      </c>
      <c r="AJ709" s="109">
        <f>SLOPE(AV709:AZ709,AV708:AZ708)</f>
        <v>-8.0461715055234576E-8</v>
      </c>
      <c r="AK709" s="56">
        <f>INTERCEPT(AV709:AZ709,AV708:AZ708)</f>
        <v>0.96042961243003588</v>
      </c>
      <c r="AL709" s="56">
        <f>INDEX(LINEST(LN(AV709:AZ709),LN(AV708:AZ708),TRUE,TRUE),3,1)</f>
        <v>0.80455333071384361</v>
      </c>
      <c r="AM709" s="56">
        <f>INDEX(LINEST(LN(AV709:AZ709),LN(AV708:AZ708)),1)</f>
        <v>-0.11567753955703121</v>
      </c>
      <c r="AN709" s="56">
        <f>EXP(INDEX(LINEST(LN(AV709:AZ709),LN(AV708:AZ708)),1,2))</f>
        <v>4.0473326058991406</v>
      </c>
      <c r="AO709" s="82">
        <f>INDEX(LINEST((AV709:AZ709),LN(AV708:AZ708),TRUE,TRUE),3,1)</f>
        <v>0.83297530706067668</v>
      </c>
      <c r="AP709" s="82">
        <f>INDEX(LINEST((AV709:AZ709),LN(AV708:AZ708)),1)</f>
        <v>-9.2498466299529541E-2</v>
      </c>
      <c r="AQ709" s="83">
        <f>INDEX(LINEST(LN(AV709:AZ709),SQRT(AV708:AZ708),TRUE,TRUE),3,1)</f>
        <v>0.94108107689844855</v>
      </c>
      <c r="AR709" s="116">
        <f>INDEX(LINEST(LN(AV709:AZ709),SQRT((AV708:AZ708))),1)</f>
        <v>-2.4594256537726201E-4</v>
      </c>
      <c r="AS709" s="84">
        <f>INDEX(LINEST(1/(AV709:AZ709),1/(SQRT(AV708:AZ708)),TRUE,TRUE),3,1)</f>
        <v>0.58079664673807496</v>
      </c>
      <c r="AT709" s="84">
        <f>INDEX(LINEST(1/(AV709:AZ709),1/SQRT(AV708:AZ708)),1)</f>
        <v>-205.64612602694407</v>
      </c>
      <c r="AU709" s="3"/>
      <c r="AV709" s="53">
        <v>0.94</v>
      </c>
      <c r="AW709" s="53">
        <v>0.93</v>
      </c>
      <c r="AX709" s="53">
        <v>0.84</v>
      </c>
      <c r="AY709" s="53">
        <v>0.75</v>
      </c>
      <c r="AZ709" s="53">
        <v>0.64</v>
      </c>
      <c r="BA709" s="53"/>
      <c r="BB709" s="53"/>
      <c r="BC709" s="53"/>
      <c r="BD709" s="53"/>
      <c r="BE709" s="53"/>
      <c r="BF709" s="53"/>
      <c r="BG709" s="53"/>
      <c r="BH709" s="53"/>
      <c r="BI709" s="53"/>
      <c r="BJ709" s="53"/>
      <c r="BK709" s="53"/>
      <c r="BL709" s="53"/>
      <c r="BM709" s="53"/>
      <c r="BN709" s="53"/>
      <c r="BO709" s="53"/>
      <c r="BP709" s="53"/>
      <c r="BQ709" s="53"/>
      <c r="BR709" s="53"/>
      <c r="BS709" s="53"/>
      <c r="BT709" s="53"/>
      <c r="BU709" s="53"/>
      <c r="BV709" s="53"/>
      <c r="BW709" s="53"/>
      <c r="BX709" s="53"/>
      <c r="BY709" s="53"/>
      <c r="BZ709" s="53"/>
      <c r="CA709" s="53"/>
      <c r="CB709" s="53"/>
      <c r="CC709" s="53"/>
      <c r="CD709" s="53"/>
      <c r="CE709" s="53"/>
      <c r="CF709" s="53"/>
      <c r="CG709" s="53"/>
      <c r="CH709" s="53"/>
      <c r="CI709" s="53"/>
      <c r="CJ709" s="53"/>
      <c r="CK709" s="53"/>
      <c r="CL709" s="53"/>
      <c r="CM709" s="53"/>
      <c r="CN709" s="53"/>
      <c r="CO709" s="53"/>
      <c r="CP709" s="53"/>
      <c r="CQ709" s="53"/>
      <c r="CR709" s="1"/>
      <c r="CS709" s="1"/>
      <c r="CT709" s="1"/>
      <c r="CU709" s="1"/>
    </row>
    <row r="710" spans="1:99" s="13" customFormat="1" ht="12" customHeight="1" x14ac:dyDescent="0.2">
      <c r="A710" s="65">
        <v>43509</v>
      </c>
      <c r="B710" s="1"/>
      <c r="C710" s="1"/>
      <c r="D710" s="60"/>
      <c r="E710" s="76"/>
      <c r="F710" s="60"/>
      <c r="G710" s="60"/>
      <c r="H710" s="60"/>
      <c r="I710" s="60"/>
      <c r="J710" s="60"/>
      <c r="K710" s="64"/>
      <c r="L710" s="64"/>
      <c r="M710" s="60"/>
      <c r="N710" s="60"/>
      <c r="O710" s="60"/>
      <c r="P710" s="60"/>
      <c r="Q710" s="60"/>
      <c r="R710" s="60"/>
      <c r="S710" s="60"/>
      <c r="T710" s="60"/>
      <c r="U710" s="60"/>
      <c r="V710" s="60"/>
      <c r="W710" s="60"/>
      <c r="X710" s="60"/>
      <c r="Y710" s="76"/>
      <c r="Z710" s="60"/>
      <c r="AA710" s="60"/>
      <c r="AB710" s="60"/>
      <c r="AC710" s="60"/>
      <c r="AD710" s="60"/>
      <c r="AE710" s="60"/>
      <c r="AF710" s="80"/>
      <c r="AG710" s="56"/>
      <c r="AH710" s="4"/>
      <c r="AI710" s="56"/>
      <c r="AJ710" s="109"/>
      <c r="AK710" s="56"/>
      <c r="AL710" s="56"/>
      <c r="AM710" s="56"/>
      <c r="AN710" s="56"/>
      <c r="AO710" s="56"/>
      <c r="AP710" s="56"/>
      <c r="AQ710" s="56"/>
      <c r="AR710" s="109"/>
      <c r="AS710" s="56"/>
      <c r="AT710" s="56"/>
      <c r="AU710" s="4"/>
      <c r="AV710" s="25">
        <f>2*24*3600</f>
        <v>172800</v>
      </c>
      <c r="AW710" s="25">
        <f>7*24*3600*1</f>
        <v>604800</v>
      </c>
      <c r="AX710" s="25">
        <f>7*24*3600*2.143</f>
        <v>1296086.3999999999</v>
      </c>
      <c r="AY710" s="25">
        <f>7*24*3600*4.429</f>
        <v>2678659.2000000002</v>
      </c>
      <c r="AZ710" s="25">
        <f>7*24*3600*6.571</f>
        <v>3974140.8</v>
      </c>
      <c r="BA710" s="53"/>
      <c r="BB710" s="53"/>
      <c r="BC710" s="53"/>
      <c r="BD710" s="53"/>
      <c r="BE710" s="53"/>
      <c r="BF710" s="53"/>
      <c r="BG710" s="53"/>
      <c r="BH710" s="53"/>
      <c r="BI710" s="53"/>
      <c r="BJ710" s="53"/>
      <c r="BK710" s="53"/>
      <c r="BL710" s="53"/>
      <c r="BM710" s="53"/>
      <c r="BN710" s="53"/>
      <c r="BO710" s="53"/>
      <c r="BP710" s="53"/>
      <c r="BQ710" s="53"/>
      <c r="BR710" s="53"/>
      <c r="BS710" s="53"/>
      <c r="BT710" s="53"/>
      <c r="BU710" s="53"/>
      <c r="BV710" s="53"/>
      <c r="BW710" s="53"/>
      <c r="BX710" s="53"/>
      <c r="BY710" s="53"/>
      <c r="BZ710" s="53"/>
      <c r="CA710" s="53"/>
      <c r="CB710" s="53"/>
      <c r="CC710" s="53"/>
      <c r="CD710" s="53"/>
      <c r="CE710" s="53"/>
      <c r="CF710" s="53"/>
      <c r="CG710" s="53"/>
      <c r="CH710" s="53"/>
      <c r="CI710" s="53"/>
      <c r="CJ710" s="53"/>
      <c r="CK710" s="53"/>
      <c r="CL710" s="53"/>
      <c r="CM710" s="53"/>
      <c r="CN710" s="53"/>
      <c r="CO710" s="53"/>
      <c r="CP710" s="53"/>
      <c r="CQ710" s="53"/>
      <c r="CR710" s="1"/>
      <c r="CS710" s="1"/>
      <c r="CT710" s="1"/>
      <c r="CU710" s="1"/>
    </row>
    <row r="711" spans="1:99" s="13" customFormat="1" ht="12" customHeight="1" x14ac:dyDescent="0.2">
      <c r="A711" s="65">
        <v>43509</v>
      </c>
      <c r="B711" s="1" t="s">
        <v>151</v>
      </c>
      <c r="C711" s="1" t="s">
        <v>70</v>
      </c>
      <c r="D711" s="60">
        <v>2009</v>
      </c>
      <c r="E711" s="76">
        <v>1</v>
      </c>
      <c r="F711" s="60">
        <v>878</v>
      </c>
      <c r="G711" s="60">
        <v>175.6</v>
      </c>
      <c r="H711" s="60" t="s">
        <v>22</v>
      </c>
      <c r="I711" s="60" t="s">
        <v>871</v>
      </c>
      <c r="J711" s="60" t="s">
        <v>622</v>
      </c>
      <c r="K711" s="60">
        <f>IF(J711="syllables",1,IF(J711="trigrams",2,IF(J711="strings",3,IF(J711="visual array",4,IF(J711="characters",5,IF(J711="letters",6,IF(J711="free forms",7,IF(J711="odors",8,IF(J711="words",9,IF(J711="pictures",10,IF(J711="object pictures",11,IF(J711="faces",12,IF(J711="names",13,IF(J711="idioms",14,IF(J711="grades",15,IF(J711="syllable-digit pairs",16,IF(J711="trigram-word pairs",17,IF(J711="word-digit pairs",18,IF(J711="English-Swahili pairs",19,IF(J711="spatial position",20,IF(J711="word pairs",21,IF(J711="word triads",22,IF(J711="generated words",23,IF(J711="word definition pairs",24,IF(J711="math problems",25,IF(J711="famous faces",26,IF(J711="famous names",27,IF(J711="famous voices",28,IF(J711="television programs",29,IF(J711="race horses",30,IF(J711="new vocabulary",31,IF(J711="sentences",32,IF(J711="concepts",33,IF(J711="ad slides",34,IF(J711="scenes",35,IF(J711="famous scenes",36,IF(J711="poems",37,IF(J711="walk",38,IF(J711="faces and events",39,IF(J711="events and names",40,IF(J711="flashbulb",41,IF(J711="stories",42,IF(J711="course material",43,IF(J711="autobiographical",44,IF(J711="novels",45,IF(J711="public events",46,"99"))))))))))))))))))))))))))))))))))))))))))))))</f>
        <v>44</v>
      </c>
      <c r="L711" s="60">
        <f>IF(J711="syllables",1,IF(J711="trigrams",1,IF(J711="strings",1,IF(J711="visual array",1,IF(J711="characters",1,IF(J711="letters",1,IF(J711="free forms",1,IF(J711="odors",2,IF(J711="words",2,IF(J711="pictures",2,IF(J711="object pictures",2,IF(J711="faces",2,IF(J711="names",2,IF(J711="idioms","2",IF(J711="grades",2,IF(J711="syllable-digit pairs",3,IF(J711="trigram-word pairs",3,IF(J711="word-digit pairs",3,IF(J711="English-Swahili pairs",3,IF(J711="spatial position",3,IF(J711="word pairs",4,IF(J711="word triads",4,IF(J711="generated words",4,IF(J711="word definition pairs",4,IF(J711="math problems",4,IF(J711="famous faces",4,IF(J711="famous names",4,IF(J711="famous voices",4,IF(J711="television programs",4,IF(J711="race horses",4,IF(J711="new vocabulary",4,IF(J711="sentences",5,IF(J711="concepts",5,IF(J711="ad slides",5,IF(J711="scenes",5,IF(J711="famous scenes",5,IF(J711="poems",6,IF(J711="walk",6,IF(J711="faces and events",6,IF(J711="events and names",6,IF(J711="flashbulb",7,IF(J711="stories",7,IF(J711="course material",7,IF(J711="autobiographical",7,IF(J711="novels",7,IF(J711="public events",7,"99"))))))))))))))))))))))))))))))))))))))))))))))</f>
        <v>7</v>
      </c>
      <c r="M711" s="59">
        <v>0</v>
      </c>
      <c r="N711" s="60">
        <v>2</v>
      </c>
      <c r="O711" s="60">
        <v>0</v>
      </c>
      <c r="P711" s="60"/>
      <c r="Q711" s="60" t="s">
        <v>174</v>
      </c>
      <c r="R711" s="60">
        <f>IF(Q711="Free Recall",1,IF(Q711="Cued Recall",2,IF(Q711="Recognition",3,IF(Q711="Multiple Choice",4,IF(Q711="Savings",5,IF(Q711="Stem Completion",6,IF(Q711="Fragment Completion",7,IF(Q711="anagram solution",8,IF(Q711="Matching",9,IF(Q711="Problem Solving",10,"99"))))))))))</f>
        <v>1</v>
      </c>
      <c r="S711" s="60" t="s">
        <v>49</v>
      </c>
      <c r="T711" s="60" t="s">
        <v>261</v>
      </c>
      <c r="U711" s="60">
        <f>IF(T711="within",1,0)</f>
        <v>0</v>
      </c>
      <c r="V711" s="60">
        <v>3</v>
      </c>
      <c r="W711" s="60">
        <f>F711*V711</f>
        <v>2634</v>
      </c>
      <c r="X711" s="60">
        <v>5</v>
      </c>
      <c r="Y711" s="76">
        <f>AV710</f>
        <v>172800</v>
      </c>
      <c r="Z711" s="60" t="s">
        <v>152</v>
      </c>
      <c r="AA711" s="60">
        <v>3974140.8</v>
      </c>
      <c r="AB711" s="60" t="str">
        <f>IF(AA711&lt;60,"1",IF(AA711&lt;=43200,"2",IF(AA711&lt;=777600,"3","4")))</f>
        <v>4</v>
      </c>
      <c r="AC711" s="56">
        <f>AVERAGE(AV710:DA710)</f>
        <v>1745297.2799999998</v>
      </c>
      <c r="AD711" s="60" t="str">
        <f>IF(AC711&lt;60,"1",IF(AC711&lt;=43200,"2",IF(AC711&lt;=777600,"3","4")))</f>
        <v>4</v>
      </c>
      <c r="AE711" s="76">
        <f>AA711-Y711</f>
        <v>3801340.8</v>
      </c>
      <c r="AF711" s="80">
        <f>AV711</f>
        <v>0.68500000000000005</v>
      </c>
      <c r="AG711" s="56">
        <f>((AW711-AV711)+(AX711-AW711)+(AY711-AX711)+(AZ711-AY711))/4</f>
        <v>-7.6250000000000012E-2</v>
      </c>
      <c r="AH711" s="4"/>
      <c r="AI711" s="56">
        <f>RSQ(AV711:AZ711,AV710:AZ710)</f>
        <v>0.73527370444209106</v>
      </c>
      <c r="AJ711" s="109">
        <f>SLOPE(AV711:AZ711,AV710:AZ710)</f>
        <v>-6.3446245390840788E-8</v>
      </c>
      <c r="AK711" s="56">
        <f>INTERCEPT(AV711:AZ711,AV710:AZ710)</f>
        <v>0.6077325595068469</v>
      </c>
      <c r="AL711" s="56">
        <f>INDEX(LINEST(LN(AV711:AZ711),LN(AV710:AZ710),TRUE,TRUE),3,1)</f>
        <v>0.96399323037859252</v>
      </c>
      <c r="AM711" s="56">
        <f>INDEX(LINEST(LN(AV711:AZ711),LN(AV710:AZ710)),1)</f>
        <v>-0.17331820916494636</v>
      </c>
      <c r="AN711" s="56">
        <f>EXP(INDEX(LINEST(LN(AV711:AZ711),LN(AV710:AZ710)),1,2))</f>
        <v>5.4077199840609209</v>
      </c>
      <c r="AO711" s="82">
        <f>INDEX(LINEST((AV711:AZ711),LN(AV710:AZ710),TRUE,TRUE),3,1)</f>
        <v>0.9493728231527897</v>
      </c>
      <c r="AP711" s="82">
        <f>INDEX(LINEST((AV711:AZ711),LN(AV710:AZ710)),1)</f>
        <v>-9.0339518639965921E-2</v>
      </c>
      <c r="AQ711" s="83">
        <f>INDEX(LINEST(LN(AV711:AZ711),SQRT(AV710:AZ710),TRUE,TRUE),3,1)</f>
        <v>0.90478207154807366</v>
      </c>
      <c r="AR711" s="116">
        <f>INDEX(LINEST(LN(AV711:AZ711),SQRT((AV710:AZ710))),1)</f>
        <v>-3.3008648905028708E-4</v>
      </c>
      <c r="AS711" s="84">
        <f>INDEX(LINEST(1/(AV711:AZ711),1/(SQRT(AV710:AZ710)),TRUE,TRUE),3,1)</f>
        <v>0.90281200574799458</v>
      </c>
      <c r="AT711" s="84">
        <f>INDEX(LINEST(1/(AV711:AZ711),1/SQRT(AV710:AZ710)),1)</f>
        <v>-536.60926660136238</v>
      </c>
      <c r="AU711" s="3"/>
      <c r="AV711" s="53">
        <v>0.68500000000000005</v>
      </c>
      <c r="AW711" s="53">
        <v>0.505</v>
      </c>
      <c r="AX711" s="53">
        <v>0.48499999999999999</v>
      </c>
      <c r="AY711" s="53">
        <v>0.43</v>
      </c>
      <c r="AZ711" s="53">
        <v>0.38</v>
      </c>
      <c r="BA711" s="53"/>
      <c r="BB711" s="53"/>
      <c r="BC711" s="53"/>
      <c r="BD711" s="53"/>
      <c r="BE711" s="53"/>
      <c r="BF711" s="53"/>
      <c r="BG711" s="53"/>
      <c r="BH711" s="53"/>
      <c r="BI711" s="53"/>
      <c r="BJ711" s="53"/>
      <c r="BK711" s="53"/>
      <c r="BL711" s="53"/>
      <c r="BM711" s="53"/>
      <c r="BN711" s="53"/>
      <c r="BO711" s="53"/>
      <c r="BP711" s="53"/>
      <c r="BQ711" s="53"/>
      <c r="BR711" s="53"/>
      <c r="BS711" s="53"/>
      <c r="BT711" s="53"/>
      <c r="BU711" s="53"/>
      <c r="BV711" s="53"/>
      <c r="BW711" s="53"/>
      <c r="BX711" s="53"/>
      <c r="BY711" s="53"/>
      <c r="BZ711" s="53"/>
      <c r="CA711" s="53"/>
      <c r="CB711" s="53"/>
      <c r="CC711" s="53"/>
      <c r="CD711" s="53"/>
      <c r="CE711" s="53"/>
      <c r="CF711" s="53"/>
      <c r="CG711" s="53"/>
      <c r="CH711" s="53"/>
      <c r="CI711" s="53"/>
      <c r="CJ711" s="53"/>
      <c r="CK711" s="53"/>
      <c r="CL711" s="53"/>
      <c r="CM711" s="53"/>
      <c r="CN711" s="53"/>
      <c r="CO711" s="53"/>
      <c r="CP711" s="53"/>
      <c r="CQ711" s="53"/>
      <c r="CR711" s="1"/>
      <c r="CS711" s="1"/>
      <c r="CT711" s="1"/>
      <c r="CU711" s="1"/>
    </row>
    <row r="712" spans="1:99" s="13" customFormat="1" ht="12" customHeight="1" x14ac:dyDescent="0.2">
      <c r="A712" s="65">
        <v>43509</v>
      </c>
      <c r="B712" s="1"/>
      <c r="C712" s="1"/>
      <c r="D712" s="60"/>
      <c r="E712" s="76"/>
      <c r="F712" s="60"/>
      <c r="G712" s="60"/>
      <c r="H712" s="60"/>
      <c r="I712" s="60"/>
      <c r="J712" s="60"/>
      <c r="K712" s="64"/>
      <c r="L712" s="64"/>
      <c r="M712" s="60"/>
      <c r="N712" s="60"/>
      <c r="O712" s="60"/>
      <c r="P712" s="60"/>
      <c r="Q712" s="60"/>
      <c r="R712" s="60"/>
      <c r="S712" s="60"/>
      <c r="T712" s="60"/>
      <c r="U712" s="60"/>
      <c r="V712" s="60"/>
      <c r="W712" s="60"/>
      <c r="X712" s="60"/>
      <c r="Y712" s="76"/>
      <c r="Z712" s="60"/>
      <c r="AA712" s="60"/>
      <c r="AB712" s="60"/>
      <c r="AC712" s="60"/>
      <c r="AD712" s="60"/>
      <c r="AE712" s="60"/>
      <c r="AF712" s="80"/>
      <c r="AG712" s="56"/>
      <c r="AH712" s="4"/>
      <c r="AI712" s="56"/>
      <c r="AJ712" s="109"/>
      <c r="AK712" s="56"/>
      <c r="AL712" s="56"/>
      <c r="AM712" s="56"/>
      <c r="AN712" s="56"/>
      <c r="AO712" s="56"/>
      <c r="AP712" s="56"/>
      <c r="AQ712" s="56"/>
      <c r="AR712" s="109"/>
      <c r="AS712" s="56"/>
      <c r="AT712" s="56"/>
      <c r="AU712" s="4"/>
      <c r="AV712" s="25">
        <f>2*24*3600</f>
        <v>172800</v>
      </c>
      <c r="AW712" s="25">
        <f>7*24*3600*1</f>
        <v>604800</v>
      </c>
      <c r="AX712" s="25">
        <f>7*24*3600*2.143</f>
        <v>1296086.3999999999</v>
      </c>
      <c r="AY712" s="25">
        <f>7*24*3600*4.429</f>
        <v>2678659.2000000002</v>
      </c>
      <c r="AZ712" s="25">
        <f>7*24*3600*6.571</f>
        <v>3974140.8</v>
      </c>
      <c r="BA712" s="53"/>
      <c r="BB712" s="53"/>
      <c r="BC712" s="53"/>
      <c r="BD712" s="53"/>
      <c r="BE712" s="53"/>
      <c r="BF712" s="53"/>
      <c r="BG712" s="53"/>
      <c r="BH712" s="53"/>
      <c r="BI712" s="53"/>
      <c r="BJ712" s="53"/>
      <c r="BK712" s="53"/>
      <c r="BL712" s="53"/>
      <c r="BM712" s="53"/>
      <c r="BN712" s="53"/>
      <c r="BO712" s="53"/>
      <c r="BP712" s="53"/>
      <c r="BQ712" s="53"/>
      <c r="BR712" s="53"/>
      <c r="BS712" s="53"/>
      <c r="BT712" s="53"/>
      <c r="BU712" s="53"/>
      <c r="BV712" s="53"/>
      <c r="BW712" s="53"/>
      <c r="BX712" s="53"/>
      <c r="BY712" s="53"/>
      <c r="BZ712" s="53"/>
      <c r="CA712" s="53"/>
      <c r="CB712" s="53"/>
      <c r="CC712" s="53"/>
      <c r="CD712" s="53"/>
      <c r="CE712" s="53"/>
      <c r="CF712" s="53"/>
      <c r="CG712" s="53"/>
      <c r="CH712" s="53"/>
      <c r="CI712" s="53"/>
      <c r="CJ712" s="53"/>
      <c r="CK712" s="53"/>
      <c r="CL712" s="53"/>
      <c r="CM712" s="53"/>
      <c r="CN712" s="53"/>
      <c r="CO712" s="53"/>
      <c r="CP712" s="53"/>
      <c r="CQ712" s="53"/>
      <c r="CR712" s="1"/>
      <c r="CS712" s="1"/>
      <c r="CT712" s="1"/>
      <c r="CU712" s="1"/>
    </row>
    <row r="713" spans="1:99" s="13" customFormat="1" ht="12" customHeight="1" x14ac:dyDescent="0.2">
      <c r="A713" s="65">
        <v>43509</v>
      </c>
      <c r="B713" s="1" t="s">
        <v>151</v>
      </c>
      <c r="C713" s="1" t="s">
        <v>70</v>
      </c>
      <c r="D713" s="60">
        <v>2009</v>
      </c>
      <c r="E713" s="76">
        <v>1</v>
      </c>
      <c r="F713" s="60">
        <v>878</v>
      </c>
      <c r="G713" s="60">
        <v>175.6</v>
      </c>
      <c r="H713" s="60" t="s">
        <v>22</v>
      </c>
      <c r="I713" s="60" t="s">
        <v>872</v>
      </c>
      <c r="J713" s="60" t="s">
        <v>622</v>
      </c>
      <c r="K713" s="60">
        <f>IF(J713="syllables",1,IF(J713="trigrams",2,IF(J713="strings",3,IF(J713="visual array",4,IF(J713="characters",5,IF(J713="letters",6,IF(J713="free forms",7,IF(J713="odors",8,IF(J713="words",9,IF(J713="pictures",10,IF(J713="object pictures",11,IF(J713="faces",12,IF(J713="names",13,IF(J713="idioms",14,IF(J713="grades",15,IF(J713="syllable-digit pairs",16,IF(J713="trigram-word pairs",17,IF(J713="word-digit pairs",18,IF(J713="English-Swahili pairs",19,IF(J713="spatial position",20,IF(J713="word pairs",21,IF(J713="word triads",22,IF(J713="generated words",23,IF(J713="word definition pairs",24,IF(J713="math problems",25,IF(J713="famous faces",26,IF(J713="famous names",27,IF(J713="famous voices",28,IF(J713="television programs",29,IF(J713="race horses",30,IF(J713="new vocabulary",31,IF(J713="sentences",32,IF(J713="concepts",33,IF(J713="ad slides",34,IF(J713="scenes",35,IF(J713="famous scenes",36,IF(J713="poems",37,IF(J713="walk",38,IF(J713="faces and events",39,IF(J713="events and names",40,IF(J713="flashbulb",41,IF(J713="stories",42,IF(J713="course material",43,IF(J713="autobiographical",44,IF(J713="novels",45,IF(J713="public events",46,"99"))))))))))))))))))))))))))))))))))))))))))))))</f>
        <v>44</v>
      </c>
      <c r="L713" s="60">
        <f>IF(J713="syllables",1,IF(J713="trigrams",1,IF(J713="strings",1,IF(J713="visual array",1,IF(J713="characters",1,IF(J713="letters",1,IF(J713="free forms",1,IF(J713="odors",2,IF(J713="words",2,IF(J713="pictures",2,IF(J713="object pictures",2,IF(J713="faces",2,IF(J713="names",2,IF(J713="idioms","2",IF(J713="grades",2,IF(J713="syllable-digit pairs",3,IF(J713="trigram-word pairs",3,IF(J713="word-digit pairs",3,IF(J713="English-Swahili pairs",3,IF(J713="spatial position",3,IF(J713="word pairs",4,IF(J713="word triads",4,IF(J713="generated words",4,IF(J713="word definition pairs",4,IF(J713="math problems",4,IF(J713="famous faces",4,IF(J713="famous names",4,IF(J713="famous voices",4,IF(J713="television programs",4,IF(J713="race horses",4,IF(J713="new vocabulary",4,IF(J713="sentences",5,IF(J713="concepts",5,IF(J713="ad slides",5,IF(J713="scenes",5,IF(J713="famous scenes",5,IF(J713="poems",6,IF(J713="walk",6,IF(J713="faces and events",6,IF(J713="events and names",6,IF(J713="flashbulb",7,IF(J713="stories",7,IF(J713="course material",7,IF(J713="autobiographical",7,IF(J713="novels",7,IF(J713="public events",7,"99"))))))))))))))))))))))))))))))))))))))))))))))</f>
        <v>7</v>
      </c>
      <c r="M713" s="59">
        <v>0</v>
      </c>
      <c r="N713" s="60">
        <v>2</v>
      </c>
      <c r="O713" s="60">
        <v>0</v>
      </c>
      <c r="P713" s="60"/>
      <c r="Q713" s="60" t="s">
        <v>174</v>
      </c>
      <c r="R713" s="60">
        <f>IF(Q713="Free Recall",1,IF(Q713="Cued Recall",2,IF(Q713="Recognition",3,IF(Q713="Multiple Choice",4,IF(Q713="Savings",5,IF(Q713="Stem Completion",6,IF(Q713="Fragment Completion",7,IF(Q713="anagram solution",8,IF(Q713="Matching",9,IF(Q713="Problem Solving",10,"99"))))))))))</f>
        <v>1</v>
      </c>
      <c r="S713" s="60" t="s">
        <v>49</v>
      </c>
      <c r="T713" s="60" t="s">
        <v>261</v>
      </c>
      <c r="U713" s="60">
        <f>IF(T713="within",1,0)</f>
        <v>0</v>
      </c>
      <c r="V713" s="60">
        <v>3</v>
      </c>
      <c r="W713" s="60">
        <f>F713*V713</f>
        <v>2634</v>
      </c>
      <c r="X713" s="60">
        <v>5</v>
      </c>
      <c r="Y713" s="76">
        <f>AV712</f>
        <v>172800</v>
      </c>
      <c r="Z713" s="60" t="s">
        <v>152</v>
      </c>
      <c r="AA713" s="60">
        <v>3974140.8</v>
      </c>
      <c r="AB713" s="60" t="str">
        <f>IF(AA713&lt;60,"1",IF(AA713&lt;=43200,"2",IF(AA713&lt;=777600,"3","4")))</f>
        <v>4</v>
      </c>
      <c r="AC713" s="56">
        <f>AVERAGE(AV712:DA712)</f>
        <v>1745297.2799999998</v>
      </c>
      <c r="AD713" s="60" t="str">
        <f>IF(AC713&lt;60,"1",IF(AC713&lt;=43200,"2",IF(AC713&lt;=777600,"3","4")))</f>
        <v>4</v>
      </c>
      <c r="AE713" s="76">
        <f>AA713-Y713</f>
        <v>3801340.8</v>
      </c>
      <c r="AF713" s="80">
        <f>AV713</f>
        <v>0.65</v>
      </c>
      <c r="AG713" s="56">
        <f>((AW713-AV713)+(AX713-AW713)+(AY713-AX713)+(AZ713-AY713))/4</f>
        <v>-0.10375000000000001</v>
      </c>
      <c r="AH713" s="4"/>
      <c r="AI713" s="56">
        <f>RSQ(AV713:AZ713,AV712:AZ712)</f>
        <v>0.72647266197119453</v>
      </c>
      <c r="AJ713" s="109">
        <f>SLOPE(AV713:AZ713,AV712:AZ712)</f>
        <v>-9.4436548599419464E-8</v>
      </c>
      <c r="AK713" s="56">
        <f>INTERCEPT(AV713:AZ713,AV712:AZ712)</f>
        <v>0.5418198514031547</v>
      </c>
      <c r="AL713" s="56">
        <f>INDEX(LINEST(LN(AV713:AZ713),LN(AV712:AZ712),TRUE,TRUE),3,1)</f>
        <v>0.94768089742660278</v>
      </c>
      <c r="AM713" s="56">
        <f>INDEX(LINEST(LN(AV713:AZ713),LN(AV712:AZ712)),1)</f>
        <v>-0.34508941196526083</v>
      </c>
      <c r="AN713" s="56">
        <f>EXP(INDEX(LINEST(LN(AV713:AZ713),LN(AV712:AZ712)),1,2))</f>
        <v>41.97442670623154</v>
      </c>
      <c r="AO713" s="82">
        <f>INDEX(LINEST((AV713:AZ713),LN(AV712:AZ712),TRUE,TRUE),3,1)</f>
        <v>0.95567011176106231</v>
      </c>
      <c r="AP713" s="82">
        <f>INDEX(LINEST((AV713:AZ713),LN(AV712:AZ712)),1)</f>
        <v>-0.13572580792048036</v>
      </c>
      <c r="AQ713" s="83">
        <f>INDEX(LINEST(LN(AV713:AZ713),SQRT(AV712:AZ712),TRUE,TRUE),3,1)</f>
        <v>0.90944474384658358</v>
      </c>
      <c r="AR713" s="116">
        <f>INDEX(LINEST(LN(AV713:AZ713),SQRT((AV712:AZ712))),1)</f>
        <v>-6.645647231698302E-4</v>
      </c>
      <c r="AS713" s="84">
        <f>INDEX(LINEST(1/(AV713:AZ713),1/(SQRT(AV712:AZ712)),TRUE,TRUE),3,1)</f>
        <v>0.78435370026421292</v>
      </c>
      <c r="AT713" s="84">
        <f>INDEX(LINEST(1/(AV713:AZ713),1/SQRT(AV712:AZ712)),1)</f>
        <v>-1459.1332524117729</v>
      </c>
      <c r="AU713" s="3"/>
      <c r="AV713" s="53">
        <v>0.65</v>
      </c>
      <c r="AW713" s="53">
        <v>0.41</v>
      </c>
      <c r="AX713" s="53">
        <v>0.37</v>
      </c>
      <c r="AY713" s="53">
        <v>0.22</v>
      </c>
      <c r="AZ713" s="53">
        <v>0.23499999999999999</v>
      </c>
      <c r="BA713" s="53"/>
      <c r="BB713" s="53"/>
      <c r="BC713" s="53"/>
      <c r="BD713" s="53"/>
      <c r="BE713" s="53"/>
      <c r="BF713" s="53"/>
      <c r="BG713" s="53"/>
      <c r="BH713" s="53"/>
      <c r="BI713" s="53"/>
      <c r="BJ713" s="53"/>
      <c r="BK713" s="53"/>
      <c r="BL713" s="53"/>
      <c r="BM713" s="53"/>
      <c r="BN713" s="53"/>
      <c r="BO713" s="53"/>
      <c r="BP713" s="53"/>
      <c r="BQ713" s="53"/>
      <c r="BR713" s="53"/>
      <c r="BS713" s="53"/>
      <c r="BT713" s="53"/>
      <c r="BU713" s="53"/>
      <c r="BV713" s="53"/>
      <c r="BW713" s="53"/>
      <c r="BX713" s="53"/>
      <c r="BY713" s="53"/>
      <c r="BZ713" s="53"/>
      <c r="CA713" s="53"/>
      <c r="CB713" s="53"/>
      <c r="CC713" s="53"/>
      <c r="CD713" s="53"/>
      <c r="CE713" s="53"/>
      <c r="CF713" s="53"/>
      <c r="CG713" s="53"/>
      <c r="CH713" s="53"/>
      <c r="CI713" s="53"/>
      <c r="CJ713" s="53"/>
      <c r="CK713" s="53"/>
      <c r="CL713" s="53"/>
      <c r="CM713" s="53"/>
      <c r="CN713" s="53"/>
      <c r="CO713" s="53"/>
      <c r="CP713" s="53"/>
      <c r="CQ713" s="53"/>
      <c r="CR713" s="1"/>
      <c r="CS713" s="1"/>
      <c r="CT713" s="1"/>
      <c r="CU713" s="1"/>
    </row>
    <row r="714" spans="1:99" s="13" customFormat="1" ht="12" customHeight="1" x14ac:dyDescent="0.2">
      <c r="A714" s="68">
        <v>43509</v>
      </c>
      <c r="B714" s="70"/>
      <c r="C714" s="70"/>
      <c r="D714" s="69"/>
      <c r="E714" s="87"/>
      <c r="F714" s="69"/>
      <c r="G714" s="69"/>
      <c r="H714" s="69"/>
      <c r="I714" s="69"/>
      <c r="J714" s="69"/>
      <c r="K714" s="107"/>
      <c r="L714" s="107"/>
      <c r="M714" s="69"/>
      <c r="N714" s="69"/>
      <c r="O714" s="69"/>
      <c r="P714" s="69"/>
      <c r="Q714" s="69"/>
      <c r="R714" s="69"/>
      <c r="S714" s="69"/>
      <c r="T714" s="69"/>
      <c r="U714" s="69"/>
      <c r="V714" s="69"/>
      <c r="W714" s="69"/>
      <c r="X714" s="69"/>
      <c r="Y714" s="87"/>
      <c r="Z714" s="69"/>
      <c r="AA714" s="69"/>
      <c r="AB714" s="69"/>
      <c r="AC714" s="69"/>
      <c r="AD714" s="69"/>
      <c r="AE714" s="69"/>
      <c r="AF714" s="88"/>
      <c r="AG714" s="72"/>
      <c r="AH714" s="4"/>
      <c r="AI714" s="72"/>
      <c r="AJ714" s="110"/>
      <c r="AK714" s="72"/>
      <c r="AL714" s="72"/>
      <c r="AM714" s="72"/>
      <c r="AN714" s="72"/>
      <c r="AO714" s="72"/>
      <c r="AP714" s="72"/>
      <c r="AQ714" s="72"/>
      <c r="AR714" s="110"/>
      <c r="AS714" s="72"/>
      <c r="AT714" s="72"/>
      <c r="AU714" s="4"/>
      <c r="AV714" s="71">
        <f>24*3600</f>
        <v>86400</v>
      </c>
      <c r="AW714" s="71">
        <f>2*24*3600</f>
        <v>172800</v>
      </c>
      <c r="AX714" s="71">
        <f>4*24*3600</f>
        <v>345600</v>
      </c>
      <c r="AY714" s="71">
        <f>7*24*3600*1</f>
        <v>604800</v>
      </c>
      <c r="AZ714" s="71">
        <f>7*24*3600*2</f>
        <v>1209600</v>
      </c>
      <c r="BA714" s="71">
        <f>7*24*3600*4</f>
        <v>2419200</v>
      </c>
      <c r="BB714" s="4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1"/>
      <c r="CS714" s="1"/>
      <c r="CT714" s="1"/>
      <c r="CU714" s="1"/>
    </row>
    <row r="715" spans="1:99" s="13" customFormat="1" ht="12" customHeight="1" x14ac:dyDescent="0.2">
      <c r="A715" s="68">
        <v>43509</v>
      </c>
      <c r="B715" s="70" t="s">
        <v>153</v>
      </c>
      <c r="C715" s="70" t="s">
        <v>119</v>
      </c>
      <c r="D715" s="69">
        <v>1929</v>
      </c>
      <c r="E715" s="87">
        <v>1</v>
      </c>
      <c r="F715" s="69">
        <v>120</v>
      </c>
      <c r="G715" s="69">
        <v>20</v>
      </c>
      <c r="H715" s="69" t="s">
        <v>647</v>
      </c>
      <c r="I715" s="104">
        <v>1</v>
      </c>
      <c r="J715" s="69" t="s">
        <v>16</v>
      </c>
      <c r="K715" s="69">
        <f>IF(J715="syllables",1,IF(J715="trigrams",2,IF(J715="strings",3,IF(J715="visual array",4,IF(J715="characters",5,IF(J715="letters",6,IF(J715="free forms",7,IF(J715="odors",8,IF(J715="words",9,IF(J715="pictures",10,IF(J715="object pictures",11,IF(J715="faces",12,IF(J715="names",13,IF(J715="idioms",14,IF(J715="grades",15,IF(J715="syllable-digit pairs",16,IF(J715="trigram-word pairs",17,IF(J715="word-digit pairs",18,IF(J715="English-Swahili pairs",19,IF(J715="spatial position",20,IF(J715="word pairs",21,IF(J715="word triads",22,IF(J715="generated words",23,IF(J715="word definition pairs",24,IF(J715="math problems",25,IF(J715="famous faces",26,IF(J715="famous names",27,IF(J715="famous voices",28,IF(J715="television programs",29,IF(J715="race horses",30,IF(J715="new vocabulary",31,IF(J715="sentences",32,IF(J715="concepts",33,IF(J715="ad slides",34,IF(J715="scenes",35,IF(J715="famous scenes",36,IF(J715="poems",37,IF(J715="walk",38,IF(J715="faces and events",39,IF(J715="events and names",40,IF(J715="flashbulb",41,IF(J715="stories",42,IF(J715="course material",43,IF(J715="autobiographical",44,IF(J715="novels",45,IF(J715="public events",46,"99"))))))))))))))))))))))))))))))))))))))))))))))</f>
        <v>9</v>
      </c>
      <c r="L715" s="69">
        <f>IF(J715="syllables",1,IF(J715="trigrams",1,IF(J715="strings",1,IF(J715="visual array",1,IF(J715="characters",1,IF(J715="letters",1,IF(J715="free forms",1,IF(J715="odors",2,IF(J715="words",2,IF(J715="pictures",2,IF(J715="object pictures",2,IF(J715="faces",2,IF(J715="names",2,IF(J715="idioms","2",IF(J715="grades",2,IF(J715="syllable-digit pairs",3,IF(J715="trigram-word pairs",3,IF(J715="word-digit pairs",3,IF(J715="English-Swahili pairs",3,IF(J715="spatial position",3,IF(J715="word pairs",4,IF(J715="word triads",4,IF(J715="generated words",4,IF(J715="word definition pairs",4,IF(J715="math problems",4,IF(J715="famous faces",4,IF(J715="famous names",4,IF(J715="famous voices",4,IF(J715="television programs",4,IF(J715="race horses",4,IF(J715="new vocabulary",4,IF(J715="sentences",5,IF(J715="concepts",5,IF(J715="ad slides",5,IF(J715="scenes",5,IF(J715="famous scenes",5,IF(J715="poems",6,IF(J715="walk",6,IF(J715="faces and events",6,IF(J715="events and names",6,IF(J715="flashbulb",7,IF(J715="stories",7,IF(J715="course material",7,IF(J715="autobiographical",7,IF(J715="novels",7,IF(J715="public events",7,"99"))))))))))))))))))))))))))))))))))))))))))))))</f>
        <v>2</v>
      </c>
      <c r="M715" s="69">
        <v>1</v>
      </c>
      <c r="N715" s="69">
        <v>2</v>
      </c>
      <c r="O715" s="69">
        <v>0</v>
      </c>
      <c r="P715" s="69"/>
      <c r="Q715" s="69" t="s">
        <v>87</v>
      </c>
      <c r="R715" s="69">
        <f>IF(Q715="Free Recall",1,IF(Q715="Cued Recall",2,IF(Q715="Recognition",3,IF(Q715="Multiple Choice",4,IF(Q715="Savings",5,IF(Q715="Stem Completion",6,IF(Q715="Fragment Completion",7,IF(Q715="anagram solution",8,IF(Q715="Matching",9,IF(Q715="Problem Solving",10,"99"))))))))))</f>
        <v>5</v>
      </c>
      <c r="S715" s="69" t="s">
        <v>87</v>
      </c>
      <c r="T715" s="69" t="s">
        <v>261</v>
      </c>
      <c r="U715" s="69">
        <f>IF(T715="within",1,0)</f>
        <v>0</v>
      </c>
      <c r="V715" s="69">
        <v>12</v>
      </c>
      <c r="W715" s="69">
        <f>F715*V715</f>
        <v>1440</v>
      </c>
      <c r="X715" s="69">
        <v>6</v>
      </c>
      <c r="Y715" s="87">
        <f>AV714</f>
        <v>86400</v>
      </c>
      <c r="Z715" s="69" t="s">
        <v>140</v>
      </c>
      <c r="AA715" s="69">
        <v>2419200</v>
      </c>
      <c r="AB715" s="69" t="str">
        <f>IF(AA715&lt;60,"1",IF(AA715&lt;=43200,"2",IF(AA715&lt;=777600,"3","4")))</f>
        <v>4</v>
      </c>
      <c r="AC715" s="72">
        <f>AVERAGE(AV714:DA714)</f>
        <v>806400</v>
      </c>
      <c r="AD715" s="69" t="str">
        <f>IF(AC715&lt;60,"1",IF(AC715&lt;=43200,"2",IF(AC715&lt;=777600,"3","4")))</f>
        <v>4</v>
      </c>
      <c r="AE715" s="87">
        <f>AA715-Y715</f>
        <v>2332800</v>
      </c>
      <c r="AF715" s="88">
        <f>AV715</f>
        <v>0.21729999999999999</v>
      </c>
      <c r="AG715" s="72">
        <f>((AW715-AV715)+(AX715-AW715)+(AY715-AX715)+(AZ715-AY715)+(BA715-AZ715))/5</f>
        <v>-4.0459999999999996E-2</v>
      </c>
      <c r="AH715" s="4"/>
      <c r="AI715" s="72">
        <f>RSQ(AV715:BA715,AV714:BA714)</f>
        <v>0.37548280553205715</v>
      </c>
      <c r="AJ715" s="110">
        <f>SLOPE(AV715:BA715,AV714:BA714)</f>
        <v>-5.8353233131994188E-8</v>
      </c>
      <c r="AK715" s="72">
        <f>INTERCEPT(AV715:BA715,AV714:BA714)</f>
        <v>0.11943938053097346</v>
      </c>
      <c r="AL715" s="72">
        <f>INDEX(LINEST(LN(AV715:BA715),LN(AV714:BA714),TRUE,TRUE),3,1)</f>
        <v>0.86497512137647259</v>
      </c>
      <c r="AM715" s="72">
        <f>INDEX(LINEST(LN(AV715:BA715),LN(AV714:BA714)),1)</f>
        <v>-0.87843214499940236</v>
      </c>
      <c r="AN715" s="72">
        <f>EXP(INDEX(LINEST(LN(AV715:BA715),LN(AV714:BA714)),1,2))</f>
        <v>3779.0578315735438</v>
      </c>
      <c r="AO715" s="89">
        <f>INDEX(LINEST((AV715:BA715),LN(AV714:BA714),TRUE,TRUE),3,1)</f>
        <v>0.766218327679418</v>
      </c>
      <c r="AP715" s="89">
        <f>INDEX(LINEST((AV715:BA715),LN(AV714:BA714)),1)</f>
        <v>-5.9985772404347874E-2</v>
      </c>
      <c r="AQ715" s="90">
        <f>INDEX(LINEST(LN(AV715:BA715),SQRT(AV714:BA714),TRUE,TRUE),3,1)</f>
        <v>0.68761792794250554</v>
      </c>
      <c r="AR715" s="117">
        <f>INDEX(LINEST(LN(AV715:BA715),SQRT((AV714:BA714))),1)</f>
        <v>-2.0505752389602034E-3</v>
      </c>
      <c r="AS715" s="91">
        <f>INDEX(LINEST(1/(AV715:BA715),1/(SQRT(AV714:BA714)),TRUE,TRUE),3,1)</f>
        <v>0.89196533510462694</v>
      </c>
      <c r="AT715" s="91">
        <f>INDEX(LINEST(1/(AV715:BA715),1/SQRT(AV714:BA714)),1)</f>
        <v>-25342.724187590098</v>
      </c>
      <c r="AU715" s="3"/>
      <c r="AV715" s="73">
        <v>0.21729999999999999</v>
      </c>
      <c r="AW715" s="73">
        <v>0.13400000000000001</v>
      </c>
      <c r="AX715" s="73">
        <v>3.4000000000000002E-2</v>
      </c>
      <c r="AY715" s="73">
        <v>1.7500000000000002E-2</v>
      </c>
      <c r="AZ715" s="73">
        <v>1.6500000000000001E-2</v>
      </c>
      <c r="BA715" s="73">
        <v>1.4999999999999999E-2</v>
      </c>
      <c r="BB715" s="4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1"/>
      <c r="CS715" s="1"/>
      <c r="CT715" s="1"/>
      <c r="CU715" s="1"/>
    </row>
    <row r="716" spans="1:99" s="13" customFormat="1" ht="12" customHeight="1" x14ac:dyDescent="0.2">
      <c r="A716" s="68">
        <v>43509</v>
      </c>
      <c r="B716" s="70"/>
      <c r="C716" s="70"/>
      <c r="D716" s="69"/>
      <c r="E716" s="87"/>
      <c r="F716" s="69"/>
      <c r="G716" s="69"/>
      <c r="H716" s="69"/>
      <c r="I716" s="104"/>
      <c r="J716" s="69"/>
      <c r="K716" s="107"/>
      <c r="L716" s="107"/>
      <c r="M716" s="69"/>
      <c r="N716" s="69"/>
      <c r="O716" s="69"/>
      <c r="P716" s="69"/>
      <c r="Q716" s="69"/>
      <c r="R716" s="69"/>
      <c r="S716" s="69"/>
      <c r="T716" s="69"/>
      <c r="U716" s="69"/>
      <c r="V716" s="69"/>
      <c r="W716" s="69"/>
      <c r="X716" s="69"/>
      <c r="Y716" s="87"/>
      <c r="Z716" s="69"/>
      <c r="AA716" s="69"/>
      <c r="AB716" s="69"/>
      <c r="AC716" s="69"/>
      <c r="AD716" s="69"/>
      <c r="AE716" s="69"/>
      <c r="AF716" s="88"/>
      <c r="AG716" s="72"/>
      <c r="AH716" s="4"/>
      <c r="AI716" s="72"/>
      <c r="AJ716" s="110"/>
      <c r="AK716" s="72"/>
      <c r="AL716" s="72"/>
      <c r="AM716" s="72"/>
      <c r="AN716" s="72"/>
      <c r="AO716" s="72"/>
      <c r="AP716" s="72"/>
      <c r="AQ716" s="72"/>
      <c r="AR716" s="110"/>
      <c r="AS716" s="72"/>
      <c r="AT716" s="72"/>
      <c r="AU716" s="4"/>
      <c r="AV716" s="71">
        <f>24*3600</f>
        <v>86400</v>
      </c>
      <c r="AW716" s="71">
        <f>2*24*3600</f>
        <v>172800</v>
      </c>
      <c r="AX716" s="71">
        <f>4*24*3600</f>
        <v>345600</v>
      </c>
      <c r="AY716" s="71">
        <f>7*24*3600*1</f>
        <v>604800</v>
      </c>
      <c r="AZ716" s="71">
        <f>7*24*3600*2</f>
        <v>1209600</v>
      </c>
      <c r="BA716" s="71">
        <f>7*24*3600*4</f>
        <v>2419200</v>
      </c>
      <c r="BB716" s="4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1"/>
      <c r="CS716" s="1"/>
      <c r="CT716" s="1"/>
      <c r="CU716" s="1"/>
    </row>
    <row r="717" spans="1:99" s="13" customFormat="1" ht="12" customHeight="1" x14ac:dyDescent="0.2">
      <c r="A717" s="68">
        <v>43509</v>
      </c>
      <c r="B717" s="70" t="s">
        <v>153</v>
      </c>
      <c r="C717" s="70" t="s">
        <v>119</v>
      </c>
      <c r="D717" s="69">
        <v>1929</v>
      </c>
      <c r="E717" s="87">
        <v>1</v>
      </c>
      <c r="F717" s="69">
        <v>120</v>
      </c>
      <c r="G717" s="69">
        <v>20</v>
      </c>
      <c r="H717" s="69" t="s">
        <v>647</v>
      </c>
      <c r="I717" s="104">
        <v>1.5</v>
      </c>
      <c r="J717" s="69" t="s">
        <v>16</v>
      </c>
      <c r="K717" s="69">
        <f>IF(J717="syllables",1,IF(J717="trigrams",2,IF(J717="strings",3,IF(J717="visual array",4,IF(J717="characters",5,IF(J717="letters",6,IF(J717="free forms",7,IF(J717="odors",8,IF(J717="words",9,IF(J717="pictures",10,IF(J717="object pictures",11,IF(J717="faces",12,IF(J717="names",13,IF(J717="idioms",14,IF(J717="grades",15,IF(J717="syllable-digit pairs",16,IF(J717="trigram-word pairs",17,IF(J717="word-digit pairs",18,IF(J717="English-Swahili pairs",19,IF(J717="spatial position",20,IF(J717="word pairs",21,IF(J717="word triads",22,IF(J717="generated words",23,IF(J717="word definition pairs",24,IF(J717="math problems",25,IF(J717="famous faces",26,IF(J717="famous names",27,IF(J717="famous voices",28,IF(J717="television programs",29,IF(J717="race horses",30,IF(J717="new vocabulary",31,IF(J717="sentences",32,IF(J717="concepts",33,IF(J717="ad slides",34,IF(J717="scenes",35,IF(J717="famous scenes",36,IF(J717="poems",37,IF(J717="walk",38,IF(J717="faces and events",39,IF(J717="events and names",40,IF(J717="flashbulb",41,IF(J717="stories",42,IF(J717="course material",43,IF(J717="autobiographical",44,IF(J717="novels",45,IF(J717="public events",46,"99"))))))))))))))))))))))))))))))))))))))))))))))</f>
        <v>9</v>
      </c>
      <c r="L717" s="69">
        <f>IF(J717="syllables",1,IF(J717="trigrams",1,IF(J717="strings",1,IF(J717="visual array",1,IF(J717="characters",1,IF(J717="letters",1,IF(J717="free forms",1,IF(J717="odors",2,IF(J717="words",2,IF(J717="pictures",2,IF(J717="object pictures",2,IF(J717="faces",2,IF(J717="names",2,IF(J717="idioms","2",IF(J717="grades",2,IF(J717="syllable-digit pairs",3,IF(J717="trigram-word pairs",3,IF(J717="word-digit pairs",3,IF(J717="English-Swahili pairs",3,IF(J717="spatial position",3,IF(J717="word pairs",4,IF(J717="word triads",4,IF(J717="generated words",4,IF(J717="word definition pairs",4,IF(J717="math problems",4,IF(J717="famous faces",4,IF(J717="famous names",4,IF(J717="famous voices",4,IF(J717="television programs",4,IF(J717="race horses",4,IF(J717="new vocabulary",4,IF(J717="sentences",5,IF(J717="concepts",5,IF(J717="ad slides",5,IF(J717="scenes",5,IF(J717="famous scenes",5,IF(J717="poems",6,IF(J717="walk",6,IF(J717="faces and events",6,IF(J717="events and names",6,IF(J717="flashbulb",7,IF(J717="stories",7,IF(J717="course material",7,IF(J717="autobiographical",7,IF(J717="novels",7,IF(J717="public events",7,"99"))))))))))))))))))))))))))))))))))))))))))))))</f>
        <v>2</v>
      </c>
      <c r="M717" s="69">
        <v>1</v>
      </c>
      <c r="N717" s="69">
        <v>2</v>
      </c>
      <c r="O717" s="69">
        <v>0</v>
      </c>
      <c r="P717" s="69"/>
      <c r="Q717" s="69" t="s">
        <v>87</v>
      </c>
      <c r="R717" s="69">
        <f>IF(Q717="Free Recall",1,IF(Q717="Cued Recall",2,IF(Q717="Recognition",3,IF(Q717="Multiple Choice",4,IF(Q717="Savings",5,IF(Q717="Stem Completion",6,IF(Q717="Fragment Completion",7,IF(Q717="anagram solution",8,IF(Q717="Matching",9,IF(Q717="Problem Solving",10,"99"))))))))))</f>
        <v>5</v>
      </c>
      <c r="S717" s="69" t="s">
        <v>87</v>
      </c>
      <c r="T717" s="69" t="s">
        <v>261</v>
      </c>
      <c r="U717" s="69">
        <f>IF(T717="within",1,0)</f>
        <v>0</v>
      </c>
      <c r="V717" s="69">
        <v>12</v>
      </c>
      <c r="W717" s="69">
        <f>F717*V717</f>
        <v>1440</v>
      </c>
      <c r="X717" s="69">
        <v>6</v>
      </c>
      <c r="Y717" s="87">
        <f>AV716</f>
        <v>86400</v>
      </c>
      <c r="Z717" s="69" t="s">
        <v>140</v>
      </c>
      <c r="AA717" s="69">
        <v>2419200</v>
      </c>
      <c r="AB717" s="69" t="str">
        <f>IF(AA717&lt;60,"1",IF(AA717&lt;=43200,"2",IF(AA717&lt;=777600,"3","4")))</f>
        <v>4</v>
      </c>
      <c r="AC717" s="72">
        <f>AVERAGE(AV716:DA716)</f>
        <v>806400</v>
      </c>
      <c r="AD717" s="69" t="str">
        <f>IF(AC717&lt;60,"1",IF(AC717&lt;=43200,"2",IF(AC717&lt;=777600,"3","4")))</f>
        <v>4</v>
      </c>
      <c r="AE717" s="87">
        <f>AA717-Y717</f>
        <v>2332800</v>
      </c>
      <c r="AF717" s="88">
        <f>AV717</f>
        <v>0.36149999999999999</v>
      </c>
      <c r="AG717" s="72">
        <f>((AW717-AV717)+(AX717-AW717)+(AY717-AX717)+(AZ717-AY717)+(BA717-AZ717))/5</f>
        <v>-3.1300000000000001E-2</v>
      </c>
      <c r="AH717" s="4"/>
      <c r="AI717" s="72">
        <f>RSQ(AV717:BA717,AV716:BA716)</f>
        <v>0.65014511982705481</v>
      </c>
      <c r="AJ717" s="110">
        <f>SLOPE(AV717:BA717,AV716:BA716)</f>
        <v>-6.1345519033572139E-8</v>
      </c>
      <c r="AK717" s="72">
        <f>INTERCEPT(AV717:BA717,AV716:BA716)</f>
        <v>0.32246902654867254</v>
      </c>
      <c r="AL717" s="72">
        <f>INDEX(LINEST(LN(AV717:BA717),LN(AV716:BA716),TRUE,TRUE),3,1)</f>
        <v>0.93613361982131083</v>
      </c>
      <c r="AM717" s="72">
        <f>INDEX(LINEST(LN(AV717:BA717),LN(AV716:BA716)),1)</f>
        <v>-0.19437002776632611</v>
      </c>
      <c r="AN717" s="72">
        <f>EXP(INDEX(LINEST(LN(AV717:BA717),LN(AV716:BA716)),1,2))</f>
        <v>3.3512923674009731</v>
      </c>
      <c r="AO717" s="89">
        <f>INDEX(LINEST((AV717:BA717),LN(AV716:BA716),TRUE,TRUE),3,1)</f>
        <v>0.93433865528220783</v>
      </c>
      <c r="AP717" s="89">
        <f>INDEX(LINEST((AV717:BA717),LN(AV716:BA716)),1)</f>
        <v>-5.2921475114349678E-2</v>
      </c>
      <c r="AQ717" s="90">
        <f>INDEX(LINEST(LN(AV717:BA717),SQRT(AV716:BA716),TRUE,TRUE),3,1)</f>
        <v>0.8395074902923777</v>
      </c>
      <c r="AR717" s="117">
        <f>INDEX(LINEST(LN(AV717:BA717),SQRT((AV716:BA716))),1)</f>
        <v>-4.819126924277476E-4</v>
      </c>
      <c r="AS717" s="91">
        <f>INDEX(LINEST(1/(AV717:BA717),1/(SQRT(AV716:BA716)),TRUE,TRUE),3,1)</f>
        <v>0.87440110355663014</v>
      </c>
      <c r="AT717" s="91">
        <f>INDEX(LINEST(1/(AV717:BA717),1/SQRT(AV716:BA716)),1)</f>
        <v>-846.53780948294889</v>
      </c>
      <c r="AU717" s="3"/>
      <c r="AV717" s="73">
        <v>0.36149999999999999</v>
      </c>
      <c r="AW717" s="73">
        <v>0.33450000000000002</v>
      </c>
      <c r="AX717" s="73">
        <v>0.29749999999999999</v>
      </c>
      <c r="AY717" s="73">
        <v>0.23150000000000001</v>
      </c>
      <c r="AZ717" s="73">
        <v>0.20799999999999999</v>
      </c>
      <c r="BA717" s="73">
        <v>0.20499999999999999</v>
      </c>
      <c r="BB717" s="4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1"/>
      <c r="CS717" s="1"/>
      <c r="CT717" s="1"/>
      <c r="CU717" s="1"/>
    </row>
    <row r="718" spans="1:99" s="13" customFormat="1" ht="12" customHeight="1" x14ac:dyDescent="0.2">
      <c r="A718" s="68">
        <v>43509</v>
      </c>
      <c r="B718" s="70"/>
      <c r="C718" s="70"/>
      <c r="D718" s="69"/>
      <c r="E718" s="87"/>
      <c r="F718" s="69"/>
      <c r="G718" s="69"/>
      <c r="H718" s="69"/>
      <c r="I718" s="104"/>
      <c r="J718" s="69"/>
      <c r="K718" s="107"/>
      <c r="L718" s="107"/>
      <c r="M718" s="69"/>
      <c r="N718" s="69"/>
      <c r="O718" s="69"/>
      <c r="P718" s="69"/>
      <c r="Q718" s="69"/>
      <c r="R718" s="69"/>
      <c r="S718" s="69"/>
      <c r="T718" s="69"/>
      <c r="U718" s="69"/>
      <c r="V718" s="69"/>
      <c r="W718" s="69"/>
      <c r="X718" s="69"/>
      <c r="Y718" s="87"/>
      <c r="Z718" s="69"/>
      <c r="AA718" s="69"/>
      <c r="AB718" s="69"/>
      <c r="AC718" s="69"/>
      <c r="AD718" s="69"/>
      <c r="AE718" s="69"/>
      <c r="AF718" s="88"/>
      <c r="AG718" s="72"/>
      <c r="AH718" s="4"/>
      <c r="AI718" s="72"/>
      <c r="AJ718" s="110"/>
      <c r="AK718" s="72"/>
      <c r="AL718" s="72"/>
      <c r="AM718" s="72"/>
      <c r="AN718" s="72"/>
      <c r="AO718" s="72"/>
      <c r="AP718" s="72"/>
      <c r="AQ718" s="72"/>
      <c r="AR718" s="110"/>
      <c r="AS718" s="72"/>
      <c r="AT718" s="72"/>
      <c r="AU718" s="4"/>
      <c r="AV718" s="71">
        <f>24*3600</f>
        <v>86400</v>
      </c>
      <c r="AW718" s="71">
        <f>2*24*3600</f>
        <v>172800</v>
      </c>
      <c r="AX718" s="71">
        <f>4*24*3600</f>
        <v>345600</v>
      </c>
      <c r="AY718" s="71">
        <f>7*24*3600*1</f>
        <v>604800</v>
      </c>
      <c r="AZ718" s="71">
        <f>7*24*3600*2</f>
        <v>1209600</v>
      </c>
      <c r="BA718" s="71">
        <f>7*24*3600*4</f>
        <v>2419200</v>
      </c>
      <c r="BB718" s="4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1"/>
      <c r="CS718" s="1"/>
      <c r="CT718" s="1"/>
      <c r="CU718" s="1"/>
    </row>
    <row r="719" spans="1:99" s="13" customFormat="1" ht="12" customHeight="1" x14ac:dyDescent="0.2">
      <c r="A719" s="68">
        <v>43509</v>
      </c>
      <c r="B719" s="70" t="s">
        <v>153</v>
      </c>
      <c r="C719" s="70" t="s">
        <v>119</v>
      </c>
      <c r="D719" s="69">
        <v>1929</v>
      </c>
      <c r="E719" s="87">
        <v>1</v>
      </c>
      <c r="F719" s="69">
        <v>120</v>
      </c>
      <c r="G719" s="69">
        <v>20</v>
      </c>
      <c r="H719" s="69" t="s">
        <v>647</v>
      </c>
      <c r="I719" s="104">
        <v>2</v>
      </c>
      <c r="J719" s="69" t="s">
        <v>16</v>
      </c>
      <c r="K719" s="69">
        <f>IF(J719="syllables",1,IF(J719="trigrams",2,IF(J719="strings",3,IF(J719="visual array",4,IF(J719="characters",5,IF(J719="letters",6,IF(J719="free forms",7,IF(J719="odors",8,IF(J719="words",9,IF(J719="pictures",10,IF(J719="object pictures",11,IF(J719="faces",12,IF(J719="names",13,IF(J719="idioms",14,IF(J719="grades",15,IF(J719="syllable-digit pairs",16,IF(J719="trigram-word pairs",17,IF(J719="word-digit pairs",18,IF(J719="English-Swahili pairs",19,IF(J719="spatial position",20,IF(J719="word pairs",21,IF(J719="word triads",22,IF(J719="generated words",23,IF(J719="word definition pairs",24,IF(J719="math problems",25,IF(J719="famous faces",26,IF(J719="famous names",27,IF(J719="famous voices",28,IF(J719="television programs",29,IF(J719="race horses",30,IF(J719="new vocabulary",31,IF(J719="sentences",32,IF(J719="concepts",33,IF(J719="ad slides",34,IF(J719="scenes",35,IF(J719="famous scenes",36,IF(J719="poems",37,IF(J719="walk",38,IF(J719="faces and events",39,IF(J719="events and names",40,IF(J719="flashbulb",41,IF(J719="stories",42,IF(J719="course material",43,IF(J719="autobiographical",44,IF(J719="novels",45,IF(J719="public events",46,"99"))))))))))))))))))))))))))))))))))))))))))))))</f>
        <v>9</v>
      </c>
      <c r="L719" s="69">
        <f>IF(J719="syllables",1,IF(J719="trigrams",1,IF(J719="strings",1,IF(J719="visual array",1,IF(J719="characters",1,IF(J719="letters",1,IF(J719="free forms",1,IF(J719="odors",2,IF(J719="words",2,IF(J719="pictures",2,IF(J719="object pictures",2,IF(J719="faces",2,IF(J719="names",2,IF(J719="idioms","2",IF(J719="grades",2,IF(J719="syllable-digit pairs",3,IF(J719="trigram-word pairs",3,IF(J719="word-digit pairs",3,IF(J719="English-Swahili pairs",3,IF(J719="spatial position",3,IF(J719="word pairs",4,IF(J719="word triads",4,IF(J719="generated words",4,IF(J719="word definition pairs",4,IF(J719="math problems",4,IF(J719="famous faces",4,IF(J719="famous names",4,IF(J719="famous voices",4,IF(J719="television programs",4,IF(J719="race horses",4,IF(J719="new vocabulary",4,IF(J719="sentences",5,IF(J719="concepts",5,IF(J719="ad slides",5,IF(J719="scenes",5,IF(J719="famous scenes",5,IF(J719="poems",6,IF(J719="walk",6,IF(J719="faces and events",6,IF(J719="events and names",6,IF(J719="flashbulb",7,IF(J719="stories",7,IF(J719="course material",7,IF(J719="autobiographical",7,IF(J719="novels",7,IF(J719="public events",7,"99"))))))))))))))))))))))))))))))))))))))))))))))</f>
        <v>2</v>
      </c>
      <c r="M719" s="69">
        <v>1</v>
      </c>
      <c r="N719" s="69">
        <v>2</v>
      </c>
      <c r="O719" s="69">
        <v>0</v>
      </c>
      <c r="P719" s="69"/>
      <c r="Q719" s="69" t="s">
        <v>87</v>
      </c>
      <c r="R719" s="69">
        <f>IF(Q719="Free Recall",1,IF(Q719="Cued Recall",2,IF(Q719="Recognition",3,IF(Q719="Multiple Choice",4,IF(Q719="Savings",5,IF(Q719="Stem Completion",6,IF(Q719="Fragment Completion",7,IF(Q719="anagram solution",8,IF(Q719="Matching",9,IF(Q719="Problem Solving",10,"99"))))))))))</f>
        <v>5</v>
      </c>
      <c r="S719" s="69" t="s">
        <v>87</v>
      </c>
      <c r="T719" s="69" t="s">
        <v>261</v>
      </c>
      <c r="U719" s="69">
        <f>IF(T719="within",1,0)</f>
        <v>0</v>
      </c>
      <c r="V719" s="69">
        <v>12</v>
      </c>
      <c r="W719" s="69">
        <f>F719*V719</f>
        <v>1440</v>
      </c>
      <c r="X719" s="69">
        <v>6</v>
      </c>
      <c r="Y719" s="87">
        <f>AV718</f>
        <v>86400</v>
      </c>
      <c r="Z719" s="69" t="s">
        <v>140</v>
      </c>
      <c r="AA719" s="69">
        <v>2419200</v>
      </c>
      <c r="AB719" s="69" t="str">
        <f>IF(AA719&lt;60,"1",IF(AA719&lt;=43200,"2",IF(AA719&lt;=777600,"3","4")))</f>
        <v>4</v>
      </c>
      <c r="AC719" s="72">
        <f>AVERAGE(AV718:DA718)</f>
        <v>806400</v>
      </c>
      <c r="AD719" s="69" t="str">
        <f>IF(AC719&lt;60,"1",IF(AC719&lt;=43200,"2",IF(AC719&lt;=777600,"3","4")))</f>
        <v>4</v>
      </c>
      <c r="AE719" s="87">
        <f>AA719-Y719</f>
        <v>2332800</v>
      </c>
      <c r="AF719" s="88">
        <f>AV719</f>
        <v>0.47099999999999997</v>
      </c>
      <c r="AG719" s="72">
        <f>((AW719-AV719)+(AX719-AW719)+(AY719-AX719)+(AZ719-AY719)+(BA719-AZ719))/5</f>
        <v>-4.3999999999999997E-2</v>
      </c>
      <c r="AH719" s="4"/>
      <c r="AI719" s="72">
        <f>RSQ(AV719:BA719,AV718:BA718)</f>
        <v>0.54069909532616967</v>
      </c>
      <c r="AJ719" s="110">
        <f>SLOPE(AV719:BA719,AV718:BA718)</f>
        <v>-7.6844682071451963E-8</v>
      </c>
      <c r="AK719" s="72">
        <f>INTERCEPT(AV719:BA719,AV718:BA718)</f>
        <v>0.39455088495575213</v>
      </c>
      <c r="AL719" s="72">
        <f>INDEX(LINEST(LN(AV719:BA719),LN(AV718:BA718),TRUE,TRUE),3,1)</f>
        <v>0.920417777394131</v>
      </c>
      <c r="AM719" s="72">
        <f>INDEX(LINEST(LN(AV719:BA719),LN(AV718:BA718)),1)</f>
        <v>-0.20807610380928487</v>
      </c>
      <c r="AN719" s="72">
        <f>EXP(INDEX(LINEST(LN(AV719:BA719),LN(AV718:BA718)),1,2))</f>
        <v>4.8563368730996137</v>
      </c>
      <c r="AO719" s="89">
        <f>INDEX(LINEST((AV719:BA719),LN(AV718:BA718),TRUE,TRUE),3,1)</f>
        <v>0.89671262836736432</v>
      </c>
      <c r="AP719" s="89">
        <f>INDEX(LINEST((AV719:BA719),LN(AV718:BA718)),1)</f>
        <v>-7.1213893459317182E-2</v>
      </c>
      <c r="AQ719" s="90">
        <f>INDEX(LINEST(LN(AV719:BA719),SQRT(AV718:BA718),TRUE,TRUE),3,1)</f>
        <v>0.76503279476562192</v>
      </c>
      <c r="AR719" s="117">
        <f>INDEX(LINEST(LN(AV719:BA719),SQRT((AV718:BA718))),1)</f>
        <v>-4.9666714952908064E-4</v>
      </c>
      <c r="AS719" s="91">
        <f>INDEX(LINEST(1/(AV719:BA719),1/(SQRT(AV718:BA718)),TRUE,TRUE),3,1)</f>
        <v>0.94694248441620554</v>
      </c>
      <c r="AT719" s="91">
        <f>INDEX(LINEST(1/(AV719:BA719),1/SQRT(AV718:BA718)),1)</f>
        <v>-752.97254723256583</v>
      </c>
      <c r="AU719" s="3"/>
      <c r="AV719" s="73">
        <v>0.47099999999999997</v>
      </c>
      <c r="AW719" s="73">
        <v>0.42049999999999998</v>
      </c>
      <c r="AX719" s="73">
        <v>0.32300000000000001</v>
      </c>
      <c r="AY719" s="73">
        <v>0.27550000000000002</v>
      </c>
      <c r="AZ719" s="73">
        <v>0.2545</v>
      </c>
      <c r="BA719" s="73">
        <v>0.251</v>
      </c>
      <c r="BB719" s="4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1"/>
      <c r="CS719" s="1"/>
      <c r="CT719" s="1"/>
      <c r="CU719" s="1"/>
    </row>
    <row r="720" spans="1:99" s="13" customFormat="1" ht="12" customHeight="1" x14ac:dyDescent="0.2">
      <c r="A720" s="65">
        <v>43509</v>
      </c>
      <c r="B720" s="1"/>
      <c r="C720" s="1"/>
      <c r="D720" s="60"/>
      <c r="E720" s="76"/>
      <c r="F720" s="60"/>
      <c r="G720" s="60"/>
      <c r="H720" s="60"/>
      <c r="I720" s="60"/>
      <c r="J720" s="60"/>
      <c r="K720" s="64"/>
      <c r="L720" s="64"/>
      <c r="M720" s="60"/>
      <c r="N720" s="60"/>
      <c r="O720" s="60"/>
      <c r="P720" s="60"/>
      <c r="Q720" s="60"/>
      <c r="R720" s="60"/>
      <c r="S720" s="60"/>
      <c r="T720" s="60"/>
      <c r="U720" s="60"/>
      <c r="V720" s="60"/>
      <c r="W720" s="60"/>
      <c r="X720" s="60"/>
      <c r="Y720" s="76"/>
      <c r="Z720" s="60"/>
      <c r="AA720" s="60"/>
      <c r="AB720" s="60"/>
      <c r="AC720" s="60"/>
      <c r="AD720" s="60"/>
      <c r="AE720" s="60"/>
      <c r="AF720" s="80"/>
      <c r="AG720" s="56"/>
      <c r="AH720" s="4"/>
      <c r="AI720" s="56"/>
      <c r="AJ720" s="109"/>
      <c r="AK720" s="56"/>
      <c r="AL720" s="56"/>
      <c r="AM720" s="56"/>
      <c r="AN720" s="56"/>
      <c r="AO720" s="56"/>
      <c r="AP720" s="56"/>
      <c r="AQ720" s="56"/>
      <c r="AR720" s="109"/>
      <c r="AS720" s="56"/>
      <c r="AT720" s="56"/>
      <c r="AU720" s="5"/>
      <c r="AV720" s="25">
        <f>30*24*60*60*((5/60)/24)/30</f>
        <v>300</v>
      </c>
      <c r="AW720" s="25">
        <f>30*24*60*60*(1/24)/30</f>
        <v>3600</v>
      </c>
      <c r="AX720" s="25">
        <f>30*24*60*60*1/30</f>
        <v>86400</v>
      </c>
      <c r="AY720" s="25">
        <f>30*24*60*60*7/30</f>
        <v>604800</v>
      </c>
      <c r="AZ720" s="25">
        <f>30*24*60*60*1</f>
        <v>2592000</v>
      </c>
      <c r="BA720" s="42"/>
      <c r="BB720" s="4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1"/>
      <c r="CS720" s="1"/>
      <c r="CT720" s="1"/>
      <c r="CU720" s="1"/>
    </row>
    <row r="721" spans="1:99" s="13" customFormat="1" ht="12" customHeight="1" x14ac:dyDescent="0.2">
      <c r="A721" s="65">
        <v>43509</v>
      </c>
      <c r="B721" s="1" t="s">
        <v>184</v>
      </c>
      <c r="C721" s="1" t="s">
        <v>167</v>
      </c>
      <c r="D721" s="60">
        <v>1971</v>
      </c>
      <c r="E721" s="76">
        <v>1</v>
      </c>
      <c r="F721" s="60">
        <v>50</v>
      </c>
      <c r="G721" s="60">
        <v>10</v>
      </c>
      <c r="H721" s="60" t="s">
        <v>32</v>
      </c>
      <c r="I721" s="60" t="s">
        <v>718</v>
      </c>
      <c r="J721" s="60" t="s">
        <v>16</v>
      </c>
      <c r="K721" s="60">
        <f>IF(J721="syllables",1,IF(J721="trigrams",2,IF(J721="strings",3,IF(J721="visual array",4,IF(J721="characters",5,IF(J721="letters",6,IF(J721="free forms",7,IF(J721="odors",8,IF(J721="words",9,IF(J721="pictures",10,IF(J721="object pictures",11,IF(J721="faces",12,IF(J721="names",13,IF(J721="idioms",14,IF(J721="grades",15,IF(J721="syllable-digit pairs",16,IF(J721="trigram-word pairs",17,IF(J721="word-digit pairs",18,IF(J721="English-Swahili pairs",19,IF(J721="spatial position",20,IF(J721="word pairs",21,IF(J721="word triads",22,IF(J721="generated words",23,IF(J721="word definition pairs",24,IF(J721="math problems",25,IF(J721="famous faces",26,IF(J721="famous names",27,IF(J721="famous voices",28,IF(J721="television programs",29,IF(J721="race horses",30,IF(J721="new vocabulary",31,IF(J721="sentences",32,IF(J721="concepts",33,IF(J721="ad slides",34,IF(J721="scenes",35,IF(J721="famous scenes",36,IF(J721="poems",37,IF(J721="walk",38,IF(J721="faces and events",39,IF(J721="events and names",40,IF(J721="flashbulb",41,IF(J721="stories",42,IF(J721="course material",43,IF(J721="autobiographical",44,IF(J721="novels",45,IF(J721="public events",46,"99"))))))))))))))))))))))))))))))))))))))))))))))</f>
        <v>9</v>
      </c>
      <c r="L721" s="60">
        <f>IF(J721="syllables",1,IF(J721="trigrams",1,IF(J721="strings",1,IF(J721="visual array",1,IF(J721="characters",1,IF(J721="letters",1,IF(J721="free forms",1,IF(J721="odors",2,IF(J721="words",2,IF(J721="pictures",2,IF(J721="object pictures",2,IF(J721="faces",2,IF(J721="names",2,IF(J721="idioms","2",IF(J721="grades",2,IF(J721="syllable-digit pairs",3,IF(J721="trigram-word pairs",3,IF(J721="word-digit pairs",3,IF(J721="English-Swahili pairs",3,IF(J721="spatial position",3,IF(J721="word pairs",4,IF(J721="word triads",4,IF(J721="generated words",4,IF(J721="word definition pairs",4,IF(J721="math problems",4,IF(J721="famous faces",4,IF(J721="famous names",4,IF(J721="famous voices",4,IF(J721="television programs",4,IF(J721="race horses",4,IF(J721="new vocabulary",4,IF(J721="sentences",5,IF(J721="concepts",5,IF(J721="ad slides",5,IF(J721="scenes",5,IF(J721="famous scenes",5,IF(J721="poems",6,IF(J721="walk",6,IF(J721="faces and events",6,IF(J721="events and names",6,IF(J721="flashbulb",7,IF(J721="stories",7,IF(J721="course material",7,IF(J721="autobiographical",7,IF(J721="novels",7,IF(J721="public events",7,"99"))))))))))))))))))))))))))))))))))))))))))))))</f>
        <v>2</v>
      </c>
      <c r="M721" s="60">
        <v>0</v>
      </c>
      <c r="N721" s="60">
        <v>3</v>
      </c>
      <c r="O721" s="60">
        <v>0</v>
      </c>
      <c r="P721" s="60"/>
      <c r="Q721" s="60" t="s">
        <v>65</v>
      </c>
      <c r="R721" s="60">
        <f>IF(Q721="Free Recall",1,IF(Q721="Cued Recall",2,IF(Q721="Recognition",3,IF(Q721="Multiple Choice",4,IF(Q721="Savings",5,IF(Q721="Stem Completion",6,IF(Q721="Fragment Completion",7,IF(Q721="anagram solution",8,IF(Q721="Matching",9,IF(Q721="Problem Solving",10,"99"))))))))))</f>
        <v>2</v>
      </c>
      <c r="S721" s="60" t="s">
        <v>15</v>
      </c>
      <c r="T721" s="60" t="s">
        <v>261</v>
      </c>
      <c r="U721" s="60">
        <f>IF(T721="within",1,0)</f>
        <v>0</v>
      </c>
      <c r="V721" s="60">
        <v>8</v>
      </c>
      <c r="W721" s="60">
        <f>F721*V721</f>
        <v>400</v>
      </c>
      <c r="X721" s="60">
        <v>5</v>
      </c>
      <c r="Y721" s="76">
        <f>AV720</f>
        <v>300</v>
      </c>
      <c r="Z721" s="60" t="s">
        <v>185</v>
      </c>
      <c r="AA721" s="60">
        <v>2628002.88</v>
      </c>
      <c r="AB721" s="60" t="str">
        <f>IF(AA721&lt;60,"1",IF(AA721&lt;=43200,"2",IF(AA721&lt;=777600,"3","4")))</f>
        <v>4</v>
      </c>
      <c r="AC721" s="56">
        <f>AVERAGE(AV720:DA720)</f>
        <v>657420</v>
      </c>
      <c r="AD721" s="60" t="str">
        <f>IF(AC721&lt;60,"1",IF(AC721&lt;=43200,"2",IF(AC721&lt;=777600,"3","4")))</f>
        <v>3</v>
      </c>
      <c r="AE721" s="76">
        <f>AA721-Y721</f>
        <v>2627702.88</v>
      </c>
      <c r="AF721" s="80">
        <f>AV721</f>
        <v>0.36249999999999999</v>
      </c>
      <c r="AG721" s="56">
        <f>((AW721-AV721)+(AX721-AW721)+(AY721-AX721)+(AZ721-AY721))/4</f>
        <v>-6.25E-2</v>
      </c>
      <c r="AH721" s="4"/>
      <c r="AI721" s="56">
        <f>RSQ(AV721:AZ721,AV720:AZ720)</f>
        <v>0.76071226605551423</v>
      </c>
      <c r="AJ721" s="109">
        <f>SLOPE(AV721:AZ721,AV720:AZ720)</f>
        <v>-7.0332125190043847E-8</v>
      </c>
      <c r="AK721" s="56">
        <f>INTERCEPT(AV721:AZ721,AV720:AZ720)</f>
        <v>0.28873774574243866</v>
      </c>
      <c r="AL721" s="56">
        <f>INDEX(LINEST(LN(AV721:AZ721),LN(AV720:AZ720),TRUE,TRUE),3,1)</f>
        <v>0.74457961368865933</v>
      </c>
      <c r="AM721" s="56">
        <f>INDEX(LINEST(LN(AV721:AZ721),LN(AV720:AZ720)),1)</f>
        <v>-0.10017691213249223</v>
      </c>
      <c r="AN721" s="56">
        <f>EXP(INDEX(LINEST(LN(AV721:AZ721),LN(AV720:AZ720)),1,2))</f>
        <v>0.66079355665019002</v>
      </c>
      <c r="AO721" s="82">
        <f>INDEX(LINEST((AV721:AZ721),LN(AV720:AZ720),TRUE,TRUE),3,1)</f>
        <v>0.84183925467245402</v>
      </c>
      <c r="AP721" s="82">
        <f>INDEX(LINEST((AV721:AZ721),LN(AV720:AZ720)),1)</f>
        <v>-2.2136396591228302E-2</v>
      </c>
      <c r="AQ721" s="83">
        <f>INDEX(LINEST(LN(AV721:AZ721),SQRT(AV720:AZ720),TRUE,TRUE),3,1)</f>
        <v>0.90908269596479974</v>
      </c>
      <c r="AR721" s="116">
        <f>INDEX(LINEST(LN(AV721:AZ721),SQRT((AV720:AZ720))),1)</f>
        <v>-6.1840844321196244E-4</v>
      </c>
      <c r="AS721" s="84">
        <f>INDEX(LINEST(1/(AV721:AZ721),1/(SQRT(AV720:AZ720)),TRUE,TRUE),3,1)</f>
        <v>0.33421395223980982</v>
      </c>
      <c r="AT721" s="84">
        <f>INDEX(LINEST(1/(AV721:AZ721),1/SQRT(AV720:AZ720)),1)</f>
        <v>-56.685452277463</v>
      </c>
      <c r="AU721" s="3"/>
      <c r="AV721" s="53">
        <f>2.9/8</f>
        <v>0.36249999999999999</v>
      </c>
      <c r="AW721" s="53">
        <f>2.1/8</f>
        <v>0.26250000000000001</v>
      </c>
      <c r="AX721" s="53">
        <f>2/8</f>
        <v>0.25</v>
      </c>
      <c r="AY721" s="53">
        <f>1.8/8</f>
        <v>0.22500000000000001</v>
      </c>
      <c r="AZ721" s="53">
        <f>0.9/8</f>
        <v>0.1125</v>
      </c>
      <c r="BA721" s="42"/>
      <c r="BB721" s="4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1"/>
      <c r="CS721" s="1"/>
      <c r="CT721" s="1"/>
      <c r="CU721" s="1"/>
    </row>
    <row r="722" spans="1:99" s="13" customFormat="1" ht="12" customHeight="1" x14ac:dyDescent="0.2">
      <c r="A722" s="65">
        <v>43509</v>
      </c>
      <c r="B722" s="1"/>
      <c r="C722" s="1"/>
      <c r="D722" s="60"/>
      <c r="E722" s="76"/>
      <c r="F722" s="60"/>
      <c r="G722" s="60"/>
      <c r="H722" s="60"/>
      <c r="I722" s="60"/>
      <c r="J722" s="60"/>
      <c r="K722" s="64"/>
      <c r="L722" s="64"/>
      <c r="M722" s="60"/>
      <c r="N722" s="60"/>
      <c r="O722" s="60"/>
      <c r="P722" s="60"/>
      <c r="Q722" s="60"/>
      <c r="R722" s="60"/>
      <c r="S722" s="60"/>
      <c r="T722" s="60"/>
      <c r="U722" s="60"/>
      <c r="V722" s="60"/>
      <c r="W722" s="60"/>
      <c r="X722" s="60"/>
      <c r="Y722" s="76"/>
      <c r="Z722" s="60"/>
      <c r="AA722" s="60"/>
      <c r="AB722" s="60"/>
      <c r="AC722" s="60"/>
      <c r="AD722" s="60"/>
      <c r="AE722" s="60"/>
      <c r="AF722" s="80"/>
      <c r="AG722" s="56"/>
      <c r="AH722" s="4"/>
      <c r="AI722" s="56"/>
      <c r="AJ722" s="109"/>
      <c r="AK722" s="56"/>
      <c r="AL722" s="56"/>
      <c r="AM722" s="56"/>
      <c r="AN722" s="56"/>
      <c r="AO722" s="56"/>
      <c r="AP722" s="56"/>
      <c r="AQ722" s="56"/>
      <c r="AR722" s="109"/>
      <c r="AS722" s="56"/>
      <c r="AT722" s="56"/>
      <c r="AU722" s="5"/>
      <c r="AV722" s="25">
        <f>30*24*60*60*((5/60)/24)/30</f>
        <v>300</v>
      </c>
      <c r="AW722" s="25">
        <f>30*24*60*60*(1/24)/30</f>
        <v>3600</v>
      </c>
      <c r="AX722" s="25">
        <f>30*24*60*60*1/30</f>
        <v>86400</v>
      </c>
      <c r="AY722" s="25">
        <f>30*24*60*60*7/30</f>
        <v>604800</v>
      </c>
      <c r="AZ722" s="25">
        <f>30*24*60*60*1</f>
        <v>2592000</v>
      </c>
      <c r="BA722" s="53"/>
      <c r="BB722" s="53"/>
      <c r="BC722" s="53"/>
      <c r="BD722" s="53"/>
      <c r="BE722" s="53"/>
      <c r="BF722" s="53"/>
      <c r="BG722" s="53"/>
      <c r="BH722" s="53"/>
      <c r="BI722" s="53"/>
      <c r="BJ722" s="53"/>
      <c r="BK722" s="53"/>
      <c r="BL722" s="53"/>
      <c r="BM722" s="53"/>
      <c r="BN722" s="53"/>
      <c r="BO722" s="53"/>
      <c r="BP722" s="53"/>
      <c r="BQ722" s="53"/>
      <c r="BR722" s="53"/>
      <c r="BS722" s="53"/>
      <c r="BT722" s="53"/>
      <c r="BU722" s="53"/>
      <c r="BV722" s="53"/>
      <c r="BW722" s="53"/>
      <c r="BX722" s="53"/>
      <c r="BY722" s="53"/>
      <c r="BZ722" s="53"/>
      <c r="CA722" s="53"/>
      <c r="CB722" s="53"/>
      <c r="CC722" s="53"/>
      <c r="CD722" s="53"/>
      <c r="CE722" s="53"/>
      <c r="CF722" s="53"/>
      <c r="CG722" s="53"/>
      <c r="CH722" s="53"/>
      <c r="CI722" s="53"/>
      <c r="CJ722" s="53"/>
      <c r="CK722" s="53"/>
      <c r="CL722" s="53"/>
      <c r="CM722" s="53"/>
      <c r="CN722" s="53"/>
      <c r="CO722" s="53"/>
      <c r="CP722" s="53"/>
      <c r="CQ722" s="53"/>
      <c r="CR722" s="1"/>
      <c r="CS722" s="1"/>
      <c r="CT722" s="1"/>
      <c r="CU722" s="1"/>
    </row>
    <row r="723" spans="1:99" s="13" customFormat="1" ht="12" customHeight="1" x14ac:dyDescent="0.2">
      <c r="A723" s="65">
        <v>43509</v>
      </c>
      <c r="B723" s="1" t="s">
        <v>184</v>
      </c>
      <c r="C723" s="1" t="s">
        <v>167</v>
      </c>
      <c r="D723" s="60">
        <v>1971</v>
      </c>
      <c r="E723" s="76">
        <v>1</v>
      </c>
      <c r="F723" s="60">
        <v>50</v>
      </c>
      <c r="G723" s="60">
        <v>10</v>
      </c>
      <c r="H723" s="60" t="s">
        <v>32</v>
      </c>
      <c r="I723" s="60" t="s">
        <v>717</v>
      </c>
      <c r="J723" s="60" t="s">
        <v>16</v>
      </c>
      <c r="K723" s="60">
        <f>IF(J723="syllables",1,IF(J723="trigrams",2,IF(J723="strings",3,IF(J723="visual array",4,IF(J723="characters",5,IF(J723="letters",6,IF(J723="free forms",7,IF(J723="odors",8,IF(J723="words",9,IF(J723="pictures",10,IF(J723="object pictures",11,IF(J723="faces",12,IF(J723="names",13,IF(J723="idioms",14,IF(J723="grades",15,IF(J723="syllable-digit pairs",16,IF(J723="trigram-word pairs",17,IF(J723="word-digit pairs",18,IF(J723="English-Swahili pairs",19,IF(J723="spatial position",20,IF(J723="word pairs",21,IF(J723="word triads",22,IF(J723="generated words",23,IF(J723="word definition pairs",24,IF(J723="math problems",25,IF(J723="famous faces",26,IF(J723="famous names",27,IF(J723="famous voices",28,IF(J723="television programs",29,IF(J723="race horses",30,IF(J723="new vocabulary",31,IF(J723="sentences",32,IF(J723="concepts",33,IF(J723="ad slides",34,IF(J723="scenes",35,IF(J723="famous scenes",36,IF(J723="poems",37,IF(J723="walk",38,IF(J723="faces and events",39,IF(J723="events and names",40,IF(J723="flashbulb",41,IF(J723="stories",42,IF(J723="course material",43,IF(J723="autobiographical",44,IF(J723="novels",45,IF(J723="public events",46,"99"))))))))))))))))))))))))))))))))))))))))))))))</f>
        <v>9</v>
      </c>
      <c r="L723" s="60">
        <f>IF(J723="syllables",1,IF(J723="trigrams",1,IF(J723="strings",1,IF(J723="visual array",1,IF(J723="characters",1,IF(J723="letters",1,IF(J723="free forms",1,IF(J723="odors",2,IF(J723="words",2,IF(J723="pictures",2,IF(J723="object pictures",2,IF(J723="faces",2,IF(J723="names",2,IF(J723="idioms","2",IF(J723="grades",2,IF(J723="syllable-digit pairs",3,IF(J723="trigram-word pairs",3,IF(J723="word-digit pairs",3,IF(J723="English-Swahili pairs",3,IF(J723="spatial position",3,IF(J723="word pairs",4,IF(J723="word triads",4,IF(J723="generated words",4,IF(J723="word definition pairs",4,IF(J723="math problems",4,IF(J723="famous faces",4,IF(J723="famous names",4,IF(J723="famous voices",4,IF(J723="television programs",4,IF(J723="race horses",4,IF(J723="new vocabulary",4,IF(J723="sentences",5,IF(J723="concepts",5,IF(J723="ad slides",5,IF(J723="scenes",5,IF(J723="famous scenes",5,IF(J723="poems",6,IF(J723="walk",6,IF(J723="faces and events",6,IF(J723="events and names",6,IF(J723="flashbulb",7,IF(J723="stories",7,IF(J723="course material",7,IF(J723="autobiographical",7,IF(J723="novels",7,IF(J723="public events",7,"99"))))))))))))))))))))))))))))))))))))))))))))))</f>
        <v>2</v>
      </c>
      <c r="M723" s="60">
        <v>0</v>
      </c>
      <c r="N723" s="60">
        <v>3</v>
      </c>
      <c r="O723" s="60">
        <v>0</v>
      </c>
      <c r="P723" s="60"/>
      <c r="Q723" s="60" t="s">
        <v>65</v>
      </c>
      <c r="R723" s="60">
        <f>IF(Q723="Free Recall",1,IF(Q723="Cued Recall",2,IF(Q723="Recognition",3,IF(Q723="Multiple Choice",4,IF(Q723="Savings",5,IF(Q723="Stem Completion",6,IF(Q723="Fragment Completion",7,IF(Q723="anagram solution",8,IF(Q723="Matching",9,IF(Q723="Problem Solving",10,"99"))))))))))</f>
        <v>2</v>
      </c>
      <c r="S723" s="60" t="s">
        <v>15</v>
      </c>
      <c r="T723" s="60" t="s">
        <v>261</v>
      </c>
      <c r="U723" s="60">
        <f>IF(T723="within",1,0)</f>
        <v>0</v>
      </c>
      <c r="V723" s="60">
        <v>8</v>
      </c>
      <c r="W723" s="60">
        <f>F723*V723</f>
        <v>400</v>
      </c>
      <c r="X723" s="60">
        <v>5</v>
      </c>
      <c r="Y723" s="76">
        <f>AV722</f>
        <v>300</v>
      </c>
      <c r="Z723" s="60" t="s">
        <v>185</v>
      </c>
      <c r="AA723" s="60">
        <v>2628002.88</v>
      </c>
      <c r="AB723" s="60" t="str">
        <f>IF(AA723&lt;60,"1",IF(AA723&lt;=43200,"2",IF(AA723&lt;=777600,"3","4")))</f>
        <v>4</v>
      </c>
      <c r="AC723" s="56">
        <f>AVERAGE(AV722:DA722)</f>
        <v>657420</v>
      </c>
      <c r="AD723" s="60" t="str">
        <f>IF(AC723&lt;60,"1",IF(AC723&lt;=43200,"2",IF(AC723&lt;=777600,"3","4")))</f>
        <v>3</v>
      </c>
      <c r="AE723" s="76">
        <f>AA723-Y723</f>
        <v>2627702.88</v>
      </c>
      <c r="AF723" s="80">
        <f>AV723</f>
        <v>0.19</v>
      </c>
      <c r="AG723" s="56">
        <f>((AW723-AV723)+(AX723-AW723)+(AY723-AX723)+(AZ723-AY723))/4</f>
        <v>1.0000000000000002E-2</v>
      </c>
      <c r="AH723" s="4"/>
      <c r="AI723" s="56">
        <f>RSQ(AV723:AZ723,AV722:AZ722)</f>
        <v>2.7732813197689259E-2</v>
      </c>
      <c r="AJ723" s="109">
        <f>SLOPE(AV723:AZ723,AV722:AZ722)</f>
        <v>4.295153851055365E-9</v>
      </c>
      <c r="AK723" s="56">
        <f>INTERCEPT(AV723:AZ723,AV722:AZ722)</f>
        <v>0.22517627995523923</v>
      </c>
      <c r="AL723" s="56">
        <f>INDEX(LINEST(LN(AV723:AZ723),LN(AV722:AZ722),TRUE,TRUE),3,1)</f>
        <v>0.60627546801937837</v>
      </c>
      <c r="AM723" s="56">
        <f>INDEX(LINEST(LN(AV723:AZ723),LN(AV722:AZ722)),1)</f>
        <v>2.6871879501124279E-2</v>
      </c>
      <c r="AN723" s="56">
        <f>EXP(INDEX(LINEST(LN(AV723:AZ723),LN(AV722:AZ722)),1,2))</f>
        <v>0.17006870688189632</v>
      </c>
      <c r="AO723" s="82">
        <f>INDEX(LINEST((AV723:AZ723),LN(AV722:AZ722),TRUE,TRUE),3,1)</f>
        <v>0.57392066564153121</v>
      </c>
      <c r="AP723" s="82">
        <f>INDEX(LINEST((AV723:AZ723),LN(AV722:AZ722)),1)</f>
        <v>5.8459689271229661E-3</v>
      </c>
      <c r="AQ723" s="83">
        <f>INDEX(LINEST(LN(AV723:AZ723),SQRT(AV722:AZ722),TRUE,TRUE),3,1)</f>
        <v>0.15526131170672461</v>
      </c>
      <c r="AR723" s="116">
        <f>INDEX(LINEST(LN(AV723:AZ723),SQRT((AV722:AZ722))),1)</f>
        <v>7.5972482135976051E-5</v>
      </c>
      <c r="AS723" s="84">
        <f>INDEX(LINEST(1/(AV723:AZ723),1/(SQRT(AV722:AZ722)),TRUE,TRUE),3,1)</f>
        <v>0.79320042149334313</v>
      </c>
      <c r="AT723" s="84">
        <f>INDEX(LINEST(1/(AV723:AZ723),1/SQRT(AV722:AZ722)),1)</f>
        <v>21.21664363291687</v>
      </c>
      <c r="AU723" s="3"/>
      <c r="AV723" s="53">
        <v>0.19</v>
      </c>
      <c r="AW723" s="53">
        <v>0.21</v>
      </c>
      <c r="AX723" s="53">
        <v>0.26</v>
      </c>
      <c r="AY723" s="53">
        <v>0.25</v>
      </c>
      <c r="AZ723" s="53">
        <v>0.23</v>
      </c>
      <c r="BA723" s="53"/>
      <c r="BB723" s="53"/>
      <c r="BC723" s="53"/>
      <c r="BD723" s="53"/>
      <c r="BE723" s="53"/>
      <c r="BF723" s="53"/>
      <c r="BG723" s="53"/>
      <c r="BH723" s="53"/>
      <c r="BI723" s="53"/>
      <c r="BJ723" s="53"/>
      <c r="BK723" s="53"/>
      <c r="BL723" s="53"/>
      <c r="BM723" s="53"/>
      <c r="BN723" s="53"/>
      <c r="BO723" s="53"/>
      <c r="BP723" s="53"/>
      <c r="BQ723" s="53"/>
      <c r="BR723" s="53"/>
      <c r="BS723" s="53"/>
      <c r="BT723" s="53"/>
      <c r="BU723" s="53"/>
      <c r="BV723" s="53"/>
      <c r="BW723" s="53"/>
      <c r="BX723" s="53"/>
      <c r="BY723" s="53"/>
      <c r="BZ723" s="53"/>
      <c r="CA723" s="53"/>
      <c r="CB723" s="53"/>
      <c r="CC723" s="53"/>
      <c r="CD723" s="53"/>
      <c r="CE723" s="53"/>
      <c r="CF723" s="53"/>
      <c r="CG723" s="53"/>
      <c r="CH723" s="53"/>
      <c r="CI723" s="53"/>
      <c r="CJ723" s="53"/>
      <c r="CK723" s="53"/>
      <c r="CL723" s="53"/>
      <c r="CM723" s="53"/>
      <c r="CN723" s="53"/>
      <c r="CO723" s="53"/>
      <c r="CP723" s="53"/>
      <c r="CQ723" s="53"/>
      <c r="CR723" s="1"/>
      <c r="CS723" s="1"/>
      <c r="CT723" s="1"/>
      <c r="CU723" s="1"/>
    </row>
    <row r="724" spans="1:99" ht="12" customHeight="1" x14ac:dyDescent="0.2">
      <c r="A724" s="68">
        <v>43648</v>
      </c>
      <c r="B724" s="94"/>
      <c r="C724" s="94"/>
      <c r="D724" s="92"/>
      <c r="E724" s="105"/>
      <c r="F724" s="92"/>
      <c r="G724" s="92"/>
      <c r="H724" s="92"/>
      <c r="I724" s="92"/>
      <c r="J724" s="92"/>
      <c r="K724" s="107"/>
      <c r="L724" s="107"/>
      <c r="M724" s="92"/>
      <c r="N724" s="92"/>
      <c r="O724" s="92"/>
      <c r="P724" s="92"/>
      <c r="Q724" s="92"/>
      <c r="R724" s="69"/>
      <c r="S724" s="92"/>
      <c r="T724" s="69"/>
      <c r="U724" s="69"/>
      <c r="V724" s="69"/>
      <c r="W724" s="69"/>
      <c r="X724" s="92"/>
      <c r="Y724" s="87"/>
      <c r="Z724" s="92"/>
      <c r="AA724" s="92"/>
      <c r="AB724" s="69"/>
      <c r="AC724" s="69"/>
      <c r="AD724" s="69"/>
      <c r="AE724" s="69"/>
      <c r="AF724" s="88"/>
      <c r="AG724" s="72"/>
      <c r="AH724" s="4"/>
      <c r="AI724" s="108"/>
      <c r="AJ724" s="113"/>
      <c r="AK724" s="108"/>
      <c r="AL724" s="108"/>
      <c r="AM724" s="108"/>
      <c r="AN724" s="108"/>
      <c r="AO724" s="108"/>
      <c r="AP724" s="108"/>
      <c r="AQ724" s="72"/>
      <c r="AR724" s="110"/>
      <c r="AS724" s="72"/>
      <c r="AT724" s="72"/>
      <c r="AU724" s="4"/>
      <c r="AV724" s="98">
        <f>20*60</f>
        <v>1200</v>
      </c>
      <c r="AW724" s="98">
        <f>1*7*(24*(3600))</f>
        <v>604800</v>
      </c>
      <c r="AX724" s="98">
        <f>4*7*(24*(3600))</f>
        <v>2419200</v>
      </c>
      <c r="AY724" s="98">
        <f>120*24*3600</f>
        <v>10368000</v>
      </c>
      <c r="AZ724" s="11"/>
      <c r="BA724" s="11"/>
      <c r="BB724" s="11"/>
      <c r="BC724" s="11"/>
      <c r="BD724" s="11"/>
      <c r="BE724" s="11"/>
      <c r="BF724" s="11"/>
      <c r="BG724" s="11"/>
      <c r="BH724" s="11"/>
      <c r="BI724" s="11"/>
      <c r="BJ724" s="11"/>
      <c r="BK724" s="11"/>
      <c r="BL724" s="11"/>
      <c r="BM724" s="11"/>
      <c r="BN724" s="11"/>
      <c r="BO724" s="11"/>
      <c r="BP724" s="11"/>
      <c r="BQ724" s="11"/>
      <c r="BR724" s="11"/>
      <c r="BS724" s="11"/>
      <c r="BT724" s="11"/>
      <c r="BU724" s="11"/>
      <c r="BV724" s="11"/>
      <c r="BW724" s="11"/>
      <c r="BX724" s="11"/>
      <c r="BY724" s="11"/>
      <c r="BZ724" s="11"/>
      <c r="CA724" s="11"/>
      <c r="CB724" s="11"/>
      <c r="CC724" s="11"/>
      <c r="CD724" s="11"/>
      <c r="CE724" s="11"/>
      <c r="CF724" s="11"/>
      <c r="CG724" s="11"/>
      <c r="CH724" s="11"/>
      <c r="CI724" s="11"/>
      <c r="CJ724" s="11"/>
      <c r="CK724" s="11"/>
      <c r="CL724" s="11"/>
      <c r="CM724" s="11"/>
      <c r="CN724" s="11"/>
      <c r="CO724" s="11"/>
      <c r="CP724" s="11"/>
      <c r="CQ724" s="11"/>
      <c r="CR724" s="15"/>
      <c r="CS724" s="15"/>
      <c r="CT724" s="15"/>
      <c r="CU724" s="15"/>
    </row>
    <row r="725" spans="1:99" ht="12" customHeight="1" x14ac:dyDescent="0.2">
      <c r="A725" s="68">
        <v>43648</v>
      </c>
      <c r="B725" s="94" t="s">
        <v>306</v>
      </c>
      <c r="C725" s="94" t="s">
        <v>308</v>
      </c>
      <c r="D725" s="92">
        <v>1978</v>
      </c>
      <c r="E725" s="87">
        <v>1</v>
      </c>
      <c r="F725" s="92">
        <v>60</v>
      </c>
      <c r="G725" s="92">
        <v>15</v>
      </c>
      <c r="H725" s="92" t="s">
        <v>41</v>
      </c>
      <c r="I725" s="92" t="s">
        <v>313</v>
      </c>
      <c r="J725" s="92" t="s">
        <v>313</v>
      </c>
      <c r="K725" s="69">
        <f>IF(J725="syllables",1,IF(J725="trigrams",2,IF(J725="strings",3,IF(J725="visual array",4,IF(J725="characters",5,IF(J725="letters",6,IF(J725="free forms",7,IF(J725="odors",8,IF(J725="words",9,IF(J725="pictures",10,IF(J725="object pictures",11,IF(J725="faces",12,IF(J725="names",13,IF(J725="idioms",14,IF(J725="grades",15,IF(J725="syllable-digit pairs",16,IF(J725="trigram-word pairs",17,IF(J725="word-digit pairs",18,IF(J725="English-Swahili pairs",19,IF(J725="spatial position",20,IF(J725="word pairs",21,IF(J725="word triads",22,IF(J725="generated words",23,IF(J725="word definition pairs",24,IF(J725="math problems",25,IF(J725="famous faces",26,IF(J725="famous names",27,IF(J725="famous voices",28,IF(J725="television programs",29,IF(J725="race horses",30,IF(J725="new vocabulary",31,IF(J725="sentences",32,IF(J725="concepts",33,IF(J725="ad slides",34,IF(J725="scenes",35,IF(J725="famous scenes",36,IF(J725="poems",37,IF(J725="walk",38,IF(J725="faces and events",39,IF(J725="events and names",40,IF(J725="flashbulb",41,IF(J725="stories",42,IF(J725="course material",43,IF(J725="autobiographical",44,IF(J725="novels",45,IF(J725="public events",46,"99"))))))))))))))))))))))))))))))))))))))))))))))</f>
        <v>10</v>
      </c>
      <c r="L725" s="69">
        <f>IF(J725="syllables",1,IF(J725="trigrams",1,IF(J725="strings",1,IF(J725="visual array",1,IF(J725="characters",1,IF(J725="letters",1,IF(J725="free forms",1,IF(J725="odors",2,IF(J725="words",2,IF(J725="pictures",2,IF(J725="object pictures",2,IF(J725="faces",2,IF(J725="names",2,IF(J725="idioms","2",IF(J725="grades",2,IF(J725="syllable-digit pairs",3,IF(J725="trigram-word pairs",3,IF(J725="word-digit pairs",3,IF(J725="English-Swahili pairs",3,IF(J725="spatial position",3,IF(J725="word pairs",4,IF(J725="word triads",4,IF(J725="generated words",4,IF(J725="word definition pairs",4,IF(J725="math problems",4,IF(J725="famous faces",4,IF(J725="famous names",4,IF(J725="famous voices",4,IF(J725="television programs",4,IF(J725="race horses",4,IF(J725="new vocabulary",4,IF(J725="sentences",5,IF(J725="concepts",5,IF(J725="ad slides",5,IF(J725="scenes",5,IF(J725="famous scenes",5,IF(J725="poems",6,IF(J725="walk",6,IF(J725="faces and events",6,IF(J725="events and names",6,IF(J725="flashbulb",7,IF(J725="stories",7,IF(J725="course material",7,IF(J725="autobiographical",7,IF(J725="novels",7,IF(J725="public events",7,"99"))))))))))))))))))))))))))))))))))))))))))))))</f>
        <v>2</v>
      </c>
      <c r="M725" s="92">
        <v>0</v>
      </c>
      <c r="N725" s="92">
        <v>1</v>
      </c>
      <c r="O725" s="92">
        <v>0</v>
      </c>
      <c r="P725" s="92"/>
      <c r="Q725" s="92" t="s">
        <v>182</v>
      </c>
      <c r="R725" s="69">
        <f>IF(Q725="Free Recall",1,IF(Q725="Cued Recall",2,IF(Q725="Recognition",3,IF(Q725="Multiple Choice",4,IF(Q725="Savings",5,IF(Q725="Stem Completion",6,IF(Q725="Fragment Completion",7,IF(Q725="anagram solution",8,IF(Q725="Matching",9,IF(Q725="Problem Solving",10,"99"))))))))))</f>
        <v>4</v>
      </c>
      <c r="S725" s="92" t="s">
        <v>15</v>
      </c>
      <c r="T725" s="69" t="s">
        <v>261</v>
      </c>
      <c r="U725" s="69">
        <f>IF(T725="within",1,0)</f>
        <v>0</v>
      </c>
      <c r="V725" s="69">
        <v>24</v>
      </c>
      <c r="W725" s="69">
        <f>F725*V725</f>
        <v>1440</v>
      </c>
      <c r="X725" s="92">
        <v>4</v>
      </c>
      <c r="Y725" s="87">
        <f>AV724</f>
        <v>1200</v>
      </c>
      <c r="Z725" s="92" t="s">
        <v>316</v>
      </c>
      <c r="AA725" s="92">
        <f>120*24*3600</f>
        <v>10368000</v>
      </c>
      <c r="AB725" s="69" t="str">
        <f>IF(AA725&lt;60,"1",IF(AA725&lt;=43200,"2",IF(AA725&lt;=777600,"3","4")))</f>
        <v>4</v>
      </c>
      <c r="AC725" s="72">
        <f>AVERAGE(AV724:DA724)</f>
        <v>3348300</v>
      </c>
      <c r="AD725" s="69" t="str">
        <f>IF(AC725&lt;60,"1",IF(AC725&lt;=43200,"2",IF(AC725&lt;=777600,"3","4")))</f>
        <v>4</v>
      </c>
      <c r="AE725" s="87">
        <f>AA725-Y725</f>
        <v>10366800</v>
      </c>
      <c r="AF725" s="88">
        <f>AV725</f>
        <v>1</v>
      </c>
      <c r="AG725" s="72">
        <f>((AW725-AV725)+(AX725-AW725)+(AY725-AX725))/3</f>
        <v>-6.3333333333333311E-2</v>
      </c>
      <c r="AH725" s="4"/>
      <c r="AI725" s="72">
        <f>RSQ(AV725:AY725,AV724:AY724)</f>
        <v>0.99400448935237706</v>
      </c>
      <c r="AJ725" s="110">
        <f>SLOPE(AV725:AY725,AV724:AY724)</f>
        <v>-1.8563209848985685E-8</v>
      </c>
      <c r="AK725" s="72">
        <f>INTERCEPT(AV725:AY725,AV724:AY724)</f>
        <v>1.0046551955373588</v>
      </c>
      <c r="AL725" s="72">
        <f>INDEX(LINEST(LN(AV725:AY725),LN(AV724:AY724),TRUE,TRUE),3,1)</f>
        <v>0.41495166724546584</v>
      </c>
      <c r="AM725" s="72">
        <f>INDEX(LINEST(LN(AV725:AY725),LN(AV724:AY724)),1)</f>
        <v>-1.6057300874033925E-2</v>
      </c>
      <c r="AN725" s="72">
        <f>EXP(INDEX(LINEST(LN(AV725:AY725),LN(AV724:AY724)),1,2))</f>
        <v>1.1536724129802147</v>
      </c>
      <c r="AO725" s="89">
        <f>INDEX(LINEST((AV725:AY725),LN(AV724:AY724),TRUE,TRUE),3,1)</f>
        <v>0.42538824084025983</v>
      </c>
      <c r="AP725" s="89">
        <f>INDEX(LINEST((AV725:AY725),LN(AV724:AY724)),1)</f>
        <v>-1.4588291993186713E-2</v>
      </c>
      <c r="AQ725" s="90">
        <f>INDEX(LINEST(LN(AV725:AY725),SQRT(AV724:AY724),TRUE,TRUE),3,1)</f>
        <v>0.8841648580836855</v>
      </c>
      <c r="AR725" s="117">
        <f>INDEX(LINEST(LN(AV725:AY725),SQRT((AV724:AY724))),1)</f>
        <v>-6.8498607924500298E-5</v>
      </c>
      <c r="AS725" s="91">
        <f>INDEX(LINEST(1/(AV725:AY725),1/(SQRT(AV724:AY724)),TRUE,TRUE),3,1)</f>
        <v>0.1885533773729467</v>
      </c>
      <c r="AT725" s="91">
        <f>INDEX(LINEST(1/(AV725:AY725),1/SQRT(AV724:AY724)),1)</f>
        <v>-3.4325477461966125</v>
      </c>
      <c r="AU725" s="4"/>
      <c r="AV725" s="140">
        <v>1</v>
      </c>
      <c r="AW725" s="140">
        <v>0.99</v>
      </c>
      <c r="AX725" s="140">
        <v>0.97</v>
      </c>
      <c r="AY725" s="97">
        <v>0.81</v>
      </c>
      <c r="AZ725" s="11"/>
      <c r="BA725" s="11"/>
      <c r="BB725" s="11"/>
      <c r="BC725" s="11"/>
      <c r="BD725" s="11"/>
      <c r="BE725" s="11"/>
      <c r="BF725" s="11"/>
      <c r="BG725" s="11"/>
      <c r="BH725" s="11"/>
      <c r="BI725" s="11"/>
      <c r="BJ725" s="11"/>
      <c r="BK725" s="11"/>
      <c r="BL725" s="11"/>
      <c r="BM725" s="11"/>
      <c r="BN725" s="11"/>
      <c r="BO725" s="11"/>
      <c r="BP725" s="11"/>
      <c r="BQ725" s="11"/>
      <c r="BR725" s="11"/>
      <c r="BS725" s="11"/>
      <c r="BT725" s="11"/>
      <c r="BU725" s="11"/>
      <c r="BV725" s="11"/>
      <c r="BW725" s="11"/>
      <c r="BX725" s="11"/>
      <c r="BY725" s="11"/>
      <c r="BZ725" s="11"/>
      <c r="CA725" s="11"/>
      <c r="CB725" s="11"/>
      <c r="CC725" s="11"/>
      <c r="CD725" s="11"/>
      <c r="CE725" s="11"/>
      <c r="CF725" s="11"/>
      <c r="CG725" s="11"/>
      <c r="CH725" s="11"/>
      <c r="CI725" s="11"/>
      <c r="CJ725" s="11"/>
      <c r="CK725" s="11"/>
      <c r="CL725" s="11"/>
      <c r="CM725" s="11"/>
      <c r="CN725" s="11"/>
      <c r="CO725" s="11"/>
      <c r="CP725" s="11"/>
      <c r="CQ725" s="11"/>
      <c r="CR725" s="15"/>
      <c r="CS725" s="15"/>
      <c r="CT725" s="15"/>
      <c r="CU725" s="15"/>
    </row>
    <row r="726" spans="1:99" ht="12" customHeight="1" x14ac:dyDescent="0.2">
      <c r="A726" s="68">
        <v>43648</v>
      </c>
      <c r="B726" s="94"/>
      <c r="C726" s="94"/>
      <c r="D726" s="92"/>
      <c r="E726" s="105"/>
      <c r="F726" s="92"/>
      <c r="G726" s="92"/>
      <c r="H726" s="92"/>
      <c r="I726" s="92"/>
      <c r="J726" s="92"/>
      <c r="K726" s="107"/>
      <c r="L726" s="107"/>
      <c r="M726" s="92"/>
      <c r="N726" s="92"/>
      <c r="O726" s="92"/>
      <c r="P726" s="92"/>
      <c r="Q726" s="92"/>
      <c r="R726" s="69"/>
      <c r="S726" s="92"/>
      <c r="T726" s="92"/>
      <c r="U726" s="69"/>
      <c r="V726" s="92"/>
      <c r="W726" s="69"/>
      <c r="X726" s="92"/>
      <c r="Y726" s="87"/>
      <c r="Z726" s="92"/>
      <c r="AA726" s="92"/>
      <c r="AB726" s="69"/>
      <c r="AC726" s="69"/>
      <c r="AD726" s="69"/>
      <c r="AE726" s="69"/>
      <c r="AF726" s="88"/>
      <c r="AG726" s="72"/>
      <c r="AH726" s="4"/>
      <c r="AI726" s="108"/>
      <c r="AJ726" s="113"/>
      <c r="AK726" s="108"/>
      <c r="AL726" s="108"/>
      <c r="AM726" s="108"/>
      <c r="AN726" s="108"/>
      <c r="AO726" s="108"/>
      <c r="AP726" s="108"/>
      <c r="AQ726" s="72"/>
      <c r="AR726" s="110"/>
      <c r="AS726" s="72"/>
      <c r="AT726" s="72"/>
      <c r="AU726" s="4"/>
      <c r="AV726" s="98">
        <f>20*60</f>
        <v>1200</v>
      </c>
      <c r="AW726" s="98">
        <f>1*7*(24*(3600))</f>
        <v>604800</v>
      </c>
      <c r="AX726" s="98">
        <f>4*7*(24*(3600))</f>
        <v>2419200</v>
      </c>
      <c r="AY726" s="98">
        <f>120*24*3600</f>
        <v>10368000</v>
      </c>
      <c r="AZ726" s="11"/>
      <c r="BA726" s="11"/>
      <c r="BB726" s="11"/>
      <c r="BC726" s="11"/>
      <c r="BD726" s="11"/>
      <c r="BE726" s="11"/>
      <c r="BF726" s="11"/>
      <c r="BG726" s="11"/>
      <c r="BH726" s="11"/>
      <c r="BI726" s="11"/>
      <c r="BJ726" s="11"/>
      <c r="BK726" s="11"/>
      <c r="BL726" s="11"/>
      <c r="BM726" s="11"/>
      <c r="BN726" s="11"/>
      <c r="BO726" s="11"/>
      <c r="BP726" s="11"/>
      <c r="BQ726" s="11"/>
      <c r="BR726" s="11"/>
      <c r="BS726" s="11"/>
      <c r="BT726" s="11"/>
      <c r="BU726" s="11"/>
      <c r="BV726" s="11"/>
      <c r="BW726" s="11"/>
      <c r="BX726" s="11"/>
      <c r="BY726" s="11"/>
      <c r="BZ726" s="11"/>
      <c r="CA726" s="11"/>
      <c r="CB726" s="11"/>
      <c r="CC726" s="11"/>
      <c r="CD726" s="11"/>
      <c r="CE726" s="11"/>
      <c r="CF726" s="11"/>
      <c r="CG726" s="11"/>
      <c r="CH726" s="11"/>
      <c r="CI726" s="11"/>
      <c r="CJ726" s="11"/>
      <c r="CK726" s="11"/>
      <c r="CL726" s="11"/>
      <c r="CM726" s="11"/>
      <c r="CN726" s="11"/>
      <c r="CO726" s="11"/>
      <c r="CP726" s="11"/>
      <c r="CQ726" s="11"/>
      <c r="CR726" s="15"/>
      <c r="CS726" s="15"/>
      <c r="CT726" s="15"/>
      <c r="CU726" s="15"/>
    </row>
    <row r="727" spans="1:99" ht="12" customHeight="1" x14ac:dyDescent="0.2">
      <c r="A727" s="68">
        <v>43648</v>
      </c>
      <c r="B727" s="94" t="s">
        <v>306</v>
      </c>
      <c r="C727" s="94" t="s">
        <v>308</v>
      </c>
      <c r="D727" s="92">
        <v>1978</v>
      </c>
      <c r="E727" s="87">
        <v>1</v>
      </c>
      <c r="F727" s="92">
        <v>60</v>
      </c>
      <c r="G727" s="92">
        <v>15</v>
      </c>
      <c r="H727" s="92" t="s">
        <v>41</v>
      </c>
      <c r="I727" s="92" t="s">
        <v>309</v>
      </c>
      <c r="J727" s="92" t="s">
        <v>309</v>
      </c>
      <c r="K727" s="69">
        <f>IF(J727="syllables",1,IF(J727="trigrams",2,IF(J727="strings",3,IF(J727="visual array",4,IF(J727="characters",5,IF(J727="letters",6,IF(J727="free forms",7,IF(J727="odors",8,IF(J727="words",9,IF(J727="pictures",10,IF(J727="object pictures",11,IF(J727="faces",12,IF(J727="names",13,IF(J727="idioms",14,IF(J727="grades",15,IF(J727="syllable-digit pairs",16,IF(J727="trigram-word pairs",17,IF(J727="word-digit pairs",18,IF(J727="English-Swahili pairs",19,IF(J727="spatial position",20,IF(J727="word pairs",21,IF(J727="word triads",22,IF(J727="generated words",23,IF(J727="word definition pairs",24,IF(J727="math problems",25,IF(J727="famous faces",26,IF(J727="famous names",27,IF(J727="famous voices",28,IF(J727="television programs",29,IF(J727="race horses",30,IF(J727="new vocabulary",31,IF(J727="sentences",32,IF(J727="concepts",33,IF(J727="ad slides",34,IF(J727="scenes",35,IF(J727="famous scenes",36,IF(J727="poems",37,IF(J727="walk",38,IF(J727="faces and events",39,IF(J727="events and names",40,IF(J727="flashbulb",41,IF(J727="stories",42,IF(J727="course material",43,IF(J727="autobiographical",44,IF(J727="novels",45,IF(J727="public events",46,"99"))))))))))))))))))))))))))))))))))))))))))))))</f>
        <v>8</v>
      </c>
      <c r="L727" s="69">
        <f>IF(J727="syllables",1,IF(J727="trigrams",1,IF(J727="strings",1,IF(J727="visual array",1,IF(J727="characters",1,IF(J727="letters",1,IF(J727="free forms",1,IF(J727="odors",2,IF(J727="words",2,IF(J727="pictures",2,IF(J727="object pictures",2,IF(J727="faces",2,IF(J727="names",2,IF(J727="idioms","2",IF(J727="grades",2,IF(J727="syllable-digit pairs",3,IF(J727="trigram-word pairs",3,IF(J727="word-digit pairs",3,IF(J727="English-Swahili pairs",3,IF(J727="spatial position",3,IF(J727="word pairs",4,IF(J727="word triads",4,IF(J727="generated words",4,IF(J727="word definition pairs",4,IF(J727="math problems",4,IF(J727="famous faces",4,IF(J727="famous names",4,IF(J727="famous voices",4,IF(J727="television programs",4,IF(J727="race horses",4,IF(J727="new vocabulary",4,IF(J727="sentences",5,IF(J727="concepts",5,IF(J727="ad slides",5,IF(J727="scenes",5,IF(J727="famous scenes",5,IF(J727="poems",6,IF(J727="walk",6,IF(J727="faces and events",6,IF(J727="events and names",6,IF(J727="flashbulb",7,IF(J727="stories",7,IF(J727="course material",7,IF(J727="autobiographical",7,IF(J727="novels",7,IF(J727="public events",7,"99"))))))))))))))))))))))))))))))))))))))))))))))</f>
        <v>2</v>
      </c>
      <c r="M727" s="92">
        <v>0</v>
      </c>
      <c r="N727" s="92">
        <v>1</v>
      </c>
      <c r="O727" s="92">
        <v>0</v>
      </c>
      <c r="P727" s="92"/>
      <c r="Q727" s="92" t="s">
        <v>182</v>
      </c>
      <c r="R727" s="69">
        <f>IF(Q727="Free Recall",1,IF(Q727="Cued Recall",2,IF(Q727="Recognition",3,IF(Q727="Multiple Choice",4,IF(Q727="Savings",5,IF(Q727="Stem Completion",6,IF(Q727="Fragment Completion",7,IF(Q727="anagram solution",8,IF(Q727="Matching",9,IF(Q727="Problem Solving",10,"99"))))))))))</f>
        <v>4</v>
      </c>
      <c r="S727" s="92" t="s">
        <v>15</v>
      </c>
      <c r="T727" s="69" t="s">
        <v>261</v>
      </c>
      <c r="U727" s="69">
        <f>IF(T727="within",1,0)</f>
        <v>0</v>
      </c>
      <c r="V727" s="69">
        <v>24</v>
      </c>
      <c r="W727" s="69">
        <f>F727*V727</f>
        <v>1440</v>
      </c>
      <c r="X727" s="92">
        <v>4</v>
      </c>
      <c r="Y727" s="87">
        <f>AV726</f>
        <v>1200</v>
      </c>
      <c r="Z727" s="92" t="s">
        <v>316</v>
      </c>
      <c r="AA727" s="92">
        <f>120*24*3600</f>
        <v>10368000</v>
      </c>
      <c r="AB727" s="69" t="str">
        <f>IF(AA727&lt;60,"1",IF(AA727&lt;=43200,"2",IF(AA727&lt;=777600,"3","4")))</f>
        <v>4</v>
      </c>
      <c r="AC727" s="72">
        <f>AVERAGE(AV726:DA726)</f>
        <v>3348300</v>
      </c>
      <c r="AD727" s="69" t="str">
        <f>IF(AC727&lt;60,"1",IF(AC727&lt;=43200,"2",IF(AC727&lt;=777600,"3","4")))</f>
        <v>4</v>
      </c>
      <c r="AE727" s="87">
        <f>AA727-Y727</f>
        <v>10366800</v>
      </c>
      <c r="AF727" s="88">
        <f>AV727</f>
        <v>0.91</v>
      </c>
      <c r="AG727" s="72">
        <f>((AW727-AV727)+(AX727-AW727)+(AY727-AX727))/3</f>
        <v>-6.3333333333333353E-2</v>
      </c>
      <c r="AH727" s="4"/>
      <c r="AI727" s="72">
        <f>RSQ(AV727:AY727,AV726:AY726)</f>
        <v>0.69358586191880423</v>
      </c>
      <c r="AJ727" s="110">
        <f>SLOPE(AV727:AY727,AV726:AY726)</f>
        <v>-1.4952500111284735E-8</v>
      </c>
      <c r="AK727" s="72">
        <f>INTERCEPT(AV727:AY727,AV726:AY726)</f>
        <v>0.86006545612261476</v>
      </c>
      <c r="AL727" s="72">
        <f>INDEX(LINEST(LN(AV727:AY727),LN(AV726:AY726),TRUE,TRUE),3,1)</f>
        <v>0.82977428463246061</v>
      </c>
      <c r="AM727" s="72">
        <f>INDEX(LINEST(LN(AV727:AY727),LN(AV726:AY726)),1)</f>
        <v>-2.4219616948029557E-2</v>
      </c>
      <c r="AN727" s="72">
        <f>EXP(INDEX(LINEST(LN(AV727:AY727),LN(AV726:AY726)),1,2))</f>
        <v>1.1001065172153568</v>
      </c>
      <c r="AO727" s="89">
        <f>INDEX(LINEST((AV727:AY727),LN(AV726:AY726),TRUE,TRUE),3,1)</f>
        <v>0.84706278549707237</v>
      </c>
      <c r="AP727" s="89">
        <f>INDEX(LINEST((AV727:AY727),LN(AV726:AY726)),1)</f>
        <v>-1.9850630493030902E-2</v>
      </c>
      <c r="AQ727" s="90">
        <f>INDEX(LINEST(LN(AV727:AY727),SQRT(AV726:AY726),TRUE,TRUE),3,1)</f>
        <v>0.90592233272490141</v>
      </c>
      <c r="AR727" s="117">
        <f>INDEX(LINEST(LN(AV727:AY727),SQRT((AV726:AY726))),1)</f>
        <v>-7.3956116868037594E-5</v>
      </c>
      <c r="AS727" s="91">
        <f>INDEX(LINEST(1/(AV727:AY727),1/(SQRT(AV726:AY726)),TRUE,TRUE),3,1)</f>
        <v>0.57851721266373402</v>
      </c>
      <c r="AT727" s="91">
        <f>INDEX(LINEST(1/(AV727:AY727),1/SQRT(AV726:AY726)),1)</f>
        <v>-7.1022769570531965</v>
      </c>
      <c r="AU727" s="4"/>
      <c r="AV727" s="97">
        <v>0.91</v>
      </c>
      <c r="AW727" s="97">
        <v>0.85</v>
      </c>
      <c r="AX727" s="97">
        <v>0.76</v>
      </c>
      <c r="AY727" s="97">
        <v>0.72</v>
      </c>
      <c r="AZ727" s="11"/>
      <c r="BA727" s="11"/>
      <c r="BB727" s="11"/>
      <c r="BC727" s="11"/>
      <c r="BD727" s="11"/>
      <c r="BE727" s="11"/>
      <c r="BF727" s="11"/>
      <c r="BG727" s="11"/>
      <c r="BH727" s="11"/>
      <c r="BI727" s="11"/>
      <c r="BJ727" s="11"/>
      <c r="BK727" s="11"/>
      <c r="BL727" s="11"/>
      <c r="BM727" s="11"/>
      <c r="BN727" s="11"/>
      <c r="BO727" s="11"/>
      <c r="BP727" s="11"/>
      <c r="BQ727" s="11"/>
      <c r="BR727" s="11"/>
      <c r="BS727" s="11"/>
      <c r="BT727" s="11"/>
      <c r="BU727" s="11"/>
      <c r="BV727" s="11"/>
      <c r="BW727" s="11"/>
      <c r="BX727" s="11"/>
      <c r="BY727" s="11"/>
      <c r="BZ727" s="11"/>
      <c r="CA727" s="11"/>
      <c r="CB727" s="11"/>
      <c r="CC727" s="11"/>
      <c r="CD727" s="11"/>
      <c r="CE727" s="11"/>
      <c r="CF727" s="11"/>
      <c r="CG727" s="11"/>
      <c r="CH727" s="11"/>
      <c r="CI727" s="11"/>
      <c r="CJ727" s="11"/>
      <c r="CK727" s="11"/>
      <c r="CL727" s="11"/>
      <c r="CM727" s="11"/>
      <c r="CN727" s="11"/>
      <c r="CO727" s="11"/>
      <c r="CP727" s="11"/>
      <c r="CQ727" s="11"/>
      <c r="CR727" s="15"/>
      <c r="CS727" s="15"/>
      <c r="CT727" s="15"/>
      <c r="CU727" s="15"/>
    </row>
    <row r="728" spans="1:99" ht="12" customHeight="1" x14ac:dyDescent="0.2">
      <c r="A728" s="68">
        <v>43648</v>
      </c>
      <c r="B728" s="94"/>
      <c r="C728" s="94"/>
      <c r="D728" s="92"/>
      <c r="E728" s="105"/>
      <c r="F728" s="92"/>
      <c r="G728" s="92"/>
      <c r="H728" s="92"/>
      <c r="I728" s="92"/>
      <c r="J728" s="92"/>
      <c r="K728" s="107"/>
      <c r="L728" s="107"/>
      <c r="M728" s="92"/>
      <c r="N728" s="92"/>
      <c r="O728" s="92"/>
      <c r="P728" s="92"/>
      <c r="Q728" s="92"/>
      <c r="R728" s="69"/>
      <c r="S728" s="92"/>
      <c r="T728" s="69"/>
      <c r="U728" s="69"/>
      <c r="V728" s="69"/>
      <c r="W728" s="69"/>
      <c r="X728" s="92"/>
      <c r="Y728" s="87"/>
      <c r="Z728" s="92"/>
      <c r="AA728" s="92"/>
      <c r="AB728" s="69"/>
      <c r="AC728" s="69"/>
      <c r="AD728" s="69"/>
      <c r="AE728" s="69"/>
      <c r="AF728" s="88"/>
      <c r="AG728" s="72"/>
      <c r="AH728" s="4"/>
      <c r="AI728" s="108"/>
      <c r="AJ728" s="113"/>
      <c r="AK728" s="108"/>
      <c r="AL728" s="108"/>
      <c r="AM728" s="108"/>
      <c r="AN728" s="108"/>
      <c r="AO728" s="108"/>
      <c r="AP728" s="108"/>
      <c r="AQ728" s="72"/>
      <c r="AR728" s="110"/>
      <c r="AS728" s="72"/>
      <c r="AT728" s="72"/>
      <c r="AU728" s="4"/>
      <c r="AV728" s="98">
        <f>20*60</f>
        <v>1200</v>
      </c>
      <c r="AW728" s="98">
        <f>1*7*(24*(3600))</f>
        <v>604800</v>
      </c>
      <c r="AX728" s="98">
        <f>4*7*(24*(3600))</f>
        <v>2419200</v>
      </c>
      <c r="AY728" s="98">
        <f>120*24*3600</f>
        <v>10368000</v>
      </c>
      <c r="AZ728" s="11"/>
      <c r="BA728" s="11"/>
      <c r="BB728" s="11"/>
      <c r="BC728" s="11"/>
      <c r="BD728" s="11"/>
      <c r="BE728" s="11"/>
      <c r="BF728" s="11"/>
      <c r="BG728" s="11"/>
      <c r="BH728" s="11"/>
      <c r="BI728" s="11"/>
      <c r="BJ728" s="11"/>
      <c r="BK728" s="11"/>
      <c r="BL728" s="11"/>
      <c r="BM728" s="11"/>
      <c r="BN728" s="11"/>
      <c r="BO728" s="11"/>
      <c r="BP728" s="11"/>
      <c r="BQ728" s="11"/>
      <c r="BR728" s="11"/>
      <c r="BS728" s="11"/>
      <c r="BT728" s="11"/>
      <c r="BU728" s="11"/>
      <c r="BV728" s="11"/>
      <c r="BW728" s="11"/>
      <c r="BX728" s="11"/>
      <c r="BY728" s="11"/>
      <c r="BZ728" s="11"/>
      <c r="CA728" s="11"/>
      <c r="CB728" s="11"/>
      <c r="CC728" s="11"/>
      <c r="CD728" s="11"/>
      <c r="CE728" s="11"/>
      <c r="CF728" s="11"/>
      <c r="CG728" s="11"/>
      <c r="CH728" s="11"/>
      <c r="CI728" s="11"/>
      <c r="CJ728" s="11"/>
      <c r="CK728" s="11"/>
      <c r="CL728" s="11"/>
      <c r="CM728" s="11"/>
      <c r="CN728" s="11"/>
      <c r="CO728" s="11"/>
      <c r="CP728" s="11"/>
      <c r="CQ728" s="11"/>
      <c r="CR728" s="15"/>
      <c r="CS728" s="15"/>
      <c r="CT728" s="15"/>
      <c r="CU728" s="15"/>
    </row>
    <row r="729" spans="1:99" ht="12" customHeight="1" x14ac:dyDescent="0.2">
      <c r="A729" s="68">
        <v>43648</v>
      </c>
      <c r="B729" s="94" t="s">
        <v>306</v>
      </c>
      <c r="C729" s="94" t="s">
        <v>308</v>
      </c>
      <c r="D729" s="92">
        <v>1978</v>
      </c>
      <c r="E729" s="87">
        <v>1</v>
      </c>
      <c r="F729" s="92">
        <v>60</v>
      </c>
      <c r="G729" s="92">
        <v>15</v>
      </c>
      <c r="H729" s="92" t="s">
        <v>41</v>
      </c>
      <c r="I729" s="92" t="s">
        <v>317</v>
      </c>
      <c r="J729" s="92" t="s">
        <v>317</v>
      </c>
      <c r="K729" s="69">
        <f>IF(J729="syllables",1,IF(J729="trigrams",2,IF(J729="strings",3,IF(J729="visual array",4,IF(J729="characters",5,IF(J729="letters",6,IF(J729="free forms",7,IF(J729="odors",8,IF(J729="words",9,IF(J729="pictures",10,IF(J729="object pictures",11,IF(J729="faces",12,IF(J729="names",13,IF(J729="idioms",14,IF(J729="grades",15,IF(J729="syllable-digit pairs",16,IF(J729="trigram-word pairs",17,IF(J729="word-digit pairs",18,IF(J729="English-Swahili pairs",19,IF(J729="spatial position",20,IF(J729="word pairs",21,IF(J729="word triads",22,IF(J729="generated words",23,IF(J729="word definition pairs",24,IF(J729="math problems",25,IF(J729="famous faces",26,IF(J729="famous names",27,IF(J729="famous voices",28,IF(J729="television programs",29,IF(J729="race horses",30,IF(J729="new vocabulary",31,IF(J729="sentences",32,IF(J729="concepts",33,IF(J729="ad slides",34,IF(J729="scenes",35,IF(J729="famous scenes",36,IF(J729="poems",37,IF(J729="walk",38,IF(J729="faces and events",39,IF(J729="events and names",40,IF(J729="flashbulb",41,IF(J729="stories",42,IF(J729="course material",43,IF(J729="autobiographical",44,IF(J729="novels",45,IF(J729="public events",46,"99"))))))))))))))))))))))))))))))))))))))))))))))</f>
        <v>7</v>
      </c>
      <c r="L729" s="69">
        <f>IF(J729="syllables",1,IF(J729="trigrams",1,IF(J729="strings",1,IF(J729="visual array",1,IF(J729="characters",1,IF(J729="letters",1,IF(J729="free forms",1,IF(J729="odors",2,IF(J729="words",2,IF(J729="pictures",2,IF(J729="object pictures",2,IF(J729="faces",2,IF(J729="names",2,IF(J729="idioms","2",IF(J729="grades",2,IF(J729="syllable-digit pairs",3,IF(J729="trigram-word pairs",3,IF(J729="word-digit pairs",3,IF(J729="English-Swahili pairs",3,IF(J729="spatial position",3,IF(J729="word pairs",4,IF(J729="word triads",4,IF(J729="generated words",4,IF(J729="word definition pairs",4,IF(J729="math problems",4,IF(J729="famous faces",4,IF(J729="famous names",4,IF(J729="famous voices",4,IF(J729="television programs",4,IF(J729="race horses",4,IF(J729="new vocabulary",4,IF(J729="sentences",5,IF(J729="concepts",5,IF(J729="ad slides",5,IF(J729="scenes",5,IF(J729="famous scenes",5,IF(J729="poems",6,IF(J729="walk",6,IF(J729="faces and events",6,IF(J729="events and names",6,IF(J729="flashbulb",7,IF(J729="stories",7,IF(J729="course material",7,IF(J729="autobiographical",7,IF(J729="novels",7,IF(J729="public events",7,"99"))))))))))))))))))))))))))))))))))))))))))))))</f>
        <v>1</v>
      </c>
      <c r="M729" s="92">
        <v>0</v>
      </c>
      <c r="N729" s="92">
        <v>1</v>
      </c>
      <c r="O729" s="92">
        <v>0</v>
      </c>
      <c r="P729" s="92"/>
      <c r="Q729" s="92" t="s">
        <v>182</v>
      </c>
      <c r="R729" s="69">
        <f>IF(Q729="Free Recall",1,IF(Q729="Cued Recall",2,IF(Q729="Recognition",3,IF(Q729="Multiple Choice",4,IF(Q729="Savings",5,IF(Q729="Stem Completion",6,IF(Q729="Fragment Completion",7,IF(Q729="anagram solution",8,IF(Q729="Matching",9,IF(Q729="Problem Solving",10,"99"))))))))))</f>
        <v>4</v>
      </c>
      <c r="S729" s="92" t="s">
        <v>15</v>
      </c>
      <c r="T729" s="69" t="s">
        <v>261</v>
      </c>
      <c r="U729" s="69">
        <f>IF(T729="within",1,0)</f>
        <v>0</v>
      </c>
      <c r="V729" s="69">
        <v>24</v>
      </c>
      <c r="W729" s="69">
        <f>F729*V729</f>
        <v>1440</v>
      </c>
      <c r="X729" s="92">
        <v>4</v>
      </c>
      <c r="Y729" s="87">
        <f>AV728</f>
        <v>1200</v>
      </c>
      <c r="Z729" s="92" t="s">
        <v>316</v>
      </c>
      <c r="AA729" s="92">
        <f>120*24*3600</f>
        <v>10368000</v>
      </c>
      <c r="AB729" s="69" t="str">
        <f>IF(AA729&lt;60,"1",IF(AA729&lt;=43200,"2",IF(AA729&lt;=777600,"3","4")))</f>
        <v>4</v>
      </c>
      <c r="AC729" s="72">
        <f>AVERAGE(AV728:DA728)</f>
        <v>3348300</v>
      </c>
      <c r="AD729" s="69" t="str">
        <f>IF(AC729&lt;60,"1",IF(AC729&lt;=43200,"2",IF(AC729&lt;=777600,"3","4")))</f>
        <v>4</v>
      </c>
      <c r="AE729" s="87">
        <f>AA729-Y729</f>
        <v>10366800</v>
      </c>
      <c r="AF729" s="88">
        <f>AV729</f>
        <v>0.85</v>
      </c>
      <c r="AG729" s="72">
        <f>((AW729-AV729)+(AX729-AW729)+(AY729-AX729))/3</f>
        <v>-4.6666666666666669E-2</v>
      </c>
      <c r="AH729" s="4"/>
      <c r="AI729" s="72">
        <f>RSQ(AV729:AY729,AV728:AY728)</f>
        <v>0.42193712022038776</v>
      </c>
      <c r="AJ729" s="110">
        <f>SLOPE(AV729:AY729,AV728:AY728)</f>
        <v>-9.4577429503393882E-9</v>
      </c>
      <c r="AK729" s="72">
        <f>INTERCEPT(AV729:AY729,AV728:AY728)</f>
        <v>0.79166736072062138</v>
      </c>
      <c r="AL729" s="72">
        <f>INDEX(LINEST(LN(AV729:AY729),LN(AV728:AY728),TRUE,TRUE),3,1)</f>
        <v>0.87045830140466229</v>
      </c>
      <c r="AM729" s="72">
        <f>INDEX(LINEST(LN(AV729:AY729),LN(AV728:AY728)),1)</f>
        <v>-2.116388690400554E-2</v>
      </c>
      <c r="AN729" s="72">
        <f>EXP(INDEX(LINEST(LN(AV729:AY729),LN(AV728:AY728)),1,2))</f>
        <v>0.99367726941952461</v>
      </c>
      <c r="AO729" s="89">
        <f>INDEX(LINEST((AV729:AY729),LN(AV728:AY728),TRUE,TRUE),3,1)</f>
        <v>0.88508660909906889</v>
      </c>
      <c r="AP729" s="89">
        <f>INDEX(LINEST((AV729:AY729),LN(AV728:AY728)),1)</f>
        <v>-1.6455433585399564E-2</v>
      </c>
      <c r="AQ729" s="90">
        <f>INDEX(LINEST(LN(AV729:AY729),SQRT(AV728:AY728),TRUE,TRUE),3,1)</f>
        <v>0.68081133991613196</v>
      </c>
      <c r="AR729" s="117">
        <f>INDEX(LINEST(LN(AV729:AY729),SQRT((AV728:AY728))),1)</f>
        <v>-5.4698594803887693E-5</v>
      </c>
      <c r="AS729" s="91">
        <f>INDEX(LINEST(1/(AV729:AY729),1/(SQRT(AV728:AY728)),TRUE,TRUE),3,1)</f>
        <v>0.71987489253049153</v>
      </c>
      <c r="AT729" s="91">
        <f>INDEX(LINEST(1/(AV729:AY729),1/SQRT(AV728:AY728)),1)</f>
        <v>-7.1021435079347901</v>
      </c>
      <c r="AU729" s="4"/>
      <c r="AV729" s="97">
        <v>0.85</v>
      </c>
      <c r="AW729" s="97">
        <v>0.78</v>
      </c>
      <c r="AX729" s="97">
        <v>0.7</v>
      </c>
      <c r="AY729" s="97">
        <v>0.71</v>
      </c>
      <c r="AZ729" s="11"/>
      <c r="BA729" s="11"/>
      <c r="BB729" s="11"/>
      <c r="BC729" s="11"/>
      <c r="BD729" s="11"/>
      <c r="BE729" s="11"/>
      <c r="BF729" s="11"/>
      <c r="BG729" s="11"/>
      <c r="BH729" s="11"/>
      <c r="BI729" s="11"/>
      <c r="BJ729" s="11"/>
      <c r="BK729" s="11"/>
      <c r="BL729" s="11"/>
      <c r="BM729" s="11"/>
      <c r="BN729" s="11"/>
      <c r="BO729" s="11"/>
      <c r="BP729" s="11"/>
      <c r="BQ729" s="11"/>
      <c r="BR729" s="11"/>
      <c r="BS729" s="11"/>
      <c r="BT729" s="11"/>
      <c r="BU729" s="11"/>
      <c r="BV729" s="11"/>
      <c r="BW729" s="11"/>
      <c r="BX729" s="11"/>
      <c r="BY729" s="11"/>
      <c r="BZ729" s="11"/>
      <c r="CA729" s="11"/>
      <c r="CB729" s="11"/>
      <c r="CC729" s="11"/>
      <c r="CD729" s="11"/>
      <c r="CE729" s="11"/>
      <c r="CF729" s="11"/>
      <c r="CG729" s="11"/>
      <c r="CH729" s="11"/>
      <c r="CI729" s="11"/>
      <c r="CJ729" s="11"/>
      <c r="CK729" s="11"/>
      <c r="CL729" s="11"/>
      <c r="CM729" s="11"/>
      <c r="CN729" s="11"/>
      <c r="CO729" s="11"/>
      <c r="CP729" s="11"/>
      <c r="CQ729" s="11"/>
      <c r="CR729" s="15"/>
      <c r="CS729" s="15"/>
      <c r="CT729" s="15"/>
      <c r="CU729" s="15"/>
    </row>
    <row r="730" spans="1:99" s="13" customFormat="1" ht="12" customHeight="1" x14ac:dyDescent="0.2">
      <c r="A730" s="65">
        <v>43509</v>
      </c>
      <c r="B730" s="1"/>
      <c r="C730" s="1"/>
      <c r="D730" s="60"/>
      <c r="E730" s="76"/>
      <c r="F730" s="60"/>
      <c r="G730" s="60"/>
      <c r="H730" s="60"/>
      <c r="I730" s="60"/>
      <c r="J730" s="60"/>
      <c r="K730" s="64"/>
      <c r="L730" s="64"/>
      <c r="M730" s="60"/>
      <c r="N730" s="60"/>
      <c r="O730" s="60"/>
      <c r="P730" s="60"/>
      <c r="Q730" s="60"/>
      <c r="R730" s="60"/>
      <c r="S730" s="59"/>
      <c r="T730" s="60"/>
      <c r="U730" s="60"/>
      <c r="V730" s="60"/>
      <c r="W730" s="60"/>
      <c r="X730" s="60"/>
      <c r="Y730" s="76"/>
      <c r="Z730" s="60"/>
      <c r="AA730" s="60"/>
      <c r="AB730" s="60"/>
      <c r="AC730" s="60"/>
      <c r="AD730" s="60"/>
      <c r="AE730" s="60"/>
      <c r="AF730" s="80"/>
      <c r="AG730" s="56"/>
      <c r="AH730" s="4"/>
      <c r="AI730" s="56"/>
      <c r="AJ730" s="109"/>
      <c r="AK730" s="56"/>
      <c r="AL730" s="56"/>
      <c r="AM730" s="56"/>
      <c r="AN730" s="56"/>
      <c r="AO730" s="56"/>
      <c r="AP730" s="56"/>
      <c r="AQ730" s="56"/>
      <c r="AR730" s="109"/>
      <c r="AS730" s="56"/>
      <c r="AT730" s="56"/>
      <c r="AU730" s="4"/>
      <c r="AV730" s="25">
        <v>60</v>
      </c>
      <c r="AW730" s="25">
        <f>30*60</f>
        <v>1800</v>
      </c>
      <c r="AX730" s="25">
        <f>7*24*3600</f>
        <v>604800</v>
      </c>
      <c r="AY730" s="42" t="s">
        <v>513</v>
      </c>
      <c r="AZ730" s="46"/>
      <c r="BA730" s="42"/>
      <c r="BB730" s="42"/>
      <c r="BC730" s="42"/>
      <c r="BD730" s="42"/>
      <c r="BE730" s="42"/>
      <c r="BF730" s="42"/>
      <c r="BG730" s="4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1"/>
      <c r="CS730" s="1"/>
      <c r="CT730" s="1"/>
      <c r="CU730" s="1"/>
    </row>
    <row r="731" spans="1:99" s="13" customFormat="1" ht="12" customHeight="1" x14ac:dyDescent="0.2">
      <c r="A731" s="65">
        <v>43509</v>
      </c>
      <c r="B731" s="1" t="s">
        <v>154</v>
      </c>
      <c r="C731" s="1" t="s">
        <v>155</v>
      </c>
      <c r="D731" s="60">
        <v>2007</v>
      </c>
      <c r="E731" s="76">
        <v>1</v>
      </c>
      <c r="F731" s="60">
        <v>18</v>
      </c>
      <c r="G731" s="60">
        <v>18</v>
      </c>
      <c r="H731" s="60" t="s">
        <v>41</v>
      </c>
      <c r="I731" s="60" t="s">
        <v>724</v>
      </c>
      <c r="J731" s="60" t="s">
        <v>300</v>
      </c>
      <c r="K731" s="60">
        <f>IF(J731="syllables",1,IF(J731="trigrams",2,IF(J731="strings",3,IF(J731="visual array",4,IF(J731="characters",5,IF(J731="letters",6,IF(J731="free forms",7,IF(J731="odors",8,IF(J731="words",9,IF(J731="pictures",10,IF(J731="object pictures",11,IF(J731="faces",12,IF(J731="names",13,IF(J731="idioms",14,IF(J731="grades",15,IF(J731="syllable-digit pairs",16,IF(J731="trigram-word pairs",17,IF(J731="word-digit pairs",18,IF(J731="English-Swahili pairs",19,IF(J731="spatial position",20,IF(J731="word pairs",21,IF(J731="word triads",22,IF(J731="generated words",23,IF(J731="word definition pairs",24,IF(J731="math problems",25,IF(J731="famous faces",26,IF(J731="famous names",27,IF(J731="famous voices",28,IF(J731="television programs",29,IF(J731="race horses",30,IF(J731="new vocabulary",31,IF(J731="sentences",32,IF(J731="concepts",33,IF(J731="ad slides",34,IF(J731="scenes",35,IF(J731="famous scenes",36,IF(J731="poems",37,IF(J731="walk",38,IF(J731="faces and events",39,IF(J731="events and names",40,IF(J731="flashbulb",41,IF(J731="stories",42,IF(J731="course material",43,IF(J731="autobiographical",44,IF(J731="novels",45,IF(J731="public events",46,"99"))))))))))))))))))))))))))))))))))))))))))))))</f>
        <v>23</v>
      </c>
      <c r="L731" s="60">
        <f>IF(J731="syllables",1,IF(J731="trigrams",1,IF(J731="strings",1,IF(J731="visual array",1,IF(J731="characters",1,IF(J731="letters",1,IF(J731="free forms",1,IF(J731="odors",2,IF(J731="words",2,IF(J731="pictures",2,IF(J731="object pictures",2,IF(J731="faces",2,IF(J731="names",2,IF(J731="idioms","2",IF(J731="grades",2,IF(J731="syllable-digit pairs",3,IF(J731="trigram-word pairs",3,IF(J731="word-digit pairs",3,IF(J731="English-Swahili pairs",3,IF(J731="spatial position",3,IF(J731="word pairs",4,IF(J731="word triads",4,IF(J731="generated words",4,IF(J731="word definition pairs",4,IF(J731="math problems",4,IF(J731="famous faces",4,IF(J731="famous names",4,IF(J731="famous voices",4,IF(J731="television programs",4,IF(J731="race horses",4,IF(J731="new vocabulary",4,IF(J731="sentences",5,IF(J731="concepts",5,IF(J731="ad slides",5,IF(J731="scenes",5,IF(J731="famous scenes",5,IF(J731="poems",6,IF(J731="walk",6,IF(J731="faces and events",6,IF(J731="events and names",6,IF(J731="flashbulb",7,IF(J731="stories",7,IF(J731="course material",7,IF(J731="autobiographical",7,IF(J731="novels",7,IF(J731="public events",7,"99"))))))))))))))))))))))))))))))))))))))))))))))</f>
        <v>4</v>
      </c>
      <c r="M731" s="60">
        <v>0</v>
      </c>
      <c r="N731" s="60">
        <v>2</v>
      </c>
      <c r="O731" s="60">
        <v>0</v>
      </c>
      <c r="P731" s="60"/>
      <c r="Q731" s="60" t="s">
        <v>174</v>
      </c>
      <c r="R731" s="60">
        <f>IF(Q731="Free Recall",1,IF(Q731="Cued Recall",2,IF(Q731="Recognition",3,IF(Q731="Multiple Choice",4,IF(Q731="Savings",5,IF(Q731="Stem Completion",6,IF(Q731="Fragment Completion",7,IF(Q731="anagram solution",8,IF(Q731="Matching",9,IF(Q731="Problem Solving",10,"99"))))))))))</f>
        <v>1</v>
      </c>
      <c r="S731" s="60" t="s">
        <v>49</v>
      </c>
      <c r="T731" s="59" t="s">
        <v>581</v>
      </c>
      <c r="U731" s="60">
        <f>IF(T731="within",1,0)</f>
        <v>1</v>
      </c>
      <c r="V731" s="59">
        <v>16</v>
      </c>
      <c r="W731" s="60">
        <f>F731*V731</f>
        <v>288</v>
      </c>
      <c r="X731" s="60">
        <v>3</v>
      </c>
      <c r="Y731" s="76">
        <f>AV730</f>
        <v>60</v>
      </c>
      <c r="Z731" s="60" t="s">
        <v>150</v>
      </c>
      <c r="AA731" s="60">
        <v>604800</v>
      </c>
      <c r="AB731" s="60" t="str">
        <f>IF(AA731&lt;60,"1",IF(AA731&lt;=43200,"2",IF(AA731&lt;=777600,"3","4")))</f>
        <v>3</v>
      </c>
      <c r="AC731" s="56">
        <f>AVERAGE(AV730:DA730)</f>
        <v>202220</v>
      </c>
      <c r="AD731" s="60" t="str">
        <f>IF(AC731&lt;60,"1",IF(AC731&lt;=43200,"2",IF(AC731&lt;=777600,"3","4")))</f>
        <v>3</v>
      </c>
      <c r="AE731" s="76">
        <f>AA731-Y731</f>
        <v>604740</v>
      </c>
      <c r="AF731" s="80">
        <f>AV731</f>
        <v>0.236875</v>
      </c>
      <c r="AG731" s="56">
        <f>((AW731-AV731)+(AX731-AW731))/2</f>
        <v>-4.8437499999999994E-2</v>
      </c>
      <c r="AH731" s="4"/>
      <c r="AI731" s="56">
        <f>RSQ(AV731:AX731,AV730:AX730)</f>
        <v>0.80129099892603006</v>
      </c>
      <c r="AJ731" s="109">
        <f>SLOPE(AV731:AX731,AV730:AX730)</f>
        <v>-2.2431429659267144E-7</v>
      </c>
      <c r="AK731" s="56">
        <f>INTERCEPT(AV731:AX731,AV730:AX730)</f>
        <v>0.27577750372363669</v>
      </c>
      <c r="AL731" s="56">
        <f>INDEX(LINEST(LN(AV731:AX731),LN(AV730:AX730),TRUE,TRUE),3,1)</f>
        <v>0.55983791611156986</v>
      </c>
      <c r="AM731" s="56">
        <f>INDEX(LINEST(LN(AV731:AX731),LN(AV730:AX730)),1)</f>
        <v>-6.5888483525902999E-2</v>
      </c>
      <c r="AN731" s="56">
        <f>EXP(INDEX(LINEST(LN(AV731:AX731),LN(AV730:AX730)),1,2))</f>
        <v>0.37747991804711173</v>
      </c>
      <c r="AO731" s="82">
        <f>INDEX(LINEST((AV731:AX731),LN(AV730:AX730),TRUE,TRUE),3,1)</f>
        <v>0.45250610574050409</v>
      </c>
      <c r="AP731" s="82">
        <f>INDEX(LINEST((AV731:AX731),LN(AV730:AX730)),1)</f>
        <v>-1.2607282017088431E-2</v>
      </c>
      <c r="AQ731" s="83">
        <f>INDEX(LINEST(LN(AV731:AX731),SQRT(AV730:AX730),TRUE,TRUE),3,1)</f>
        <v>0.85413554641482559</v>
      </c>
      <c r="AR731" s="116">
        <f>INDEX(LINEST(LN(AV731:AX731),SQRT((AV730:AX730))),1)</f>
        <v>-8.7242443478747632E-4</v>
      </c>
      <c r="AS731" s="84">
        <f>INDEX(LINEST(1/(AV731:AX731),1/(SQRT(AV730:AX730)),TRUE,TRUE),3,1)</f>
        <v>0.17484003719024363</v>
      </c>
      <c r="AT731" s="84">
        <f>INDEX(LINEST(1/(AV731:AX731),1/SQRT(AV730:AX730)),1)</f>
        <v>-12.579304944082843</v>
      </c>
      <c r="AU731" s="3"/>
      <c r="AV731" s="53">
        <v>0.236875</v>
      </c>
      <c r="AW731" s="53">
        <v>0.31437500000000002</v>
      </c>
      <c r="AX731" s="53">
        <v>0.14000000000000001</v>
      </c>
      <c r="AY731" s="42"/>
      <c r="AZ731" s="46"/>
      <c r="BA731" s="42"/>
      <c r="BB731" s="42"/>
      <c r="BC731" s="42"/>
      <c r="BD731" s="42"/>
      <c r="BE731" s="42"/>
      <c r="BF731" s="42"/>
      <c r="BG731" s="4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1"/>
      <c r="CS731" s="1"/>
      <c r="CT731" s="1"/>
      <c r="CU731" s="1"/>
    </row>
    <row r="732" spans="1:99" s="13" customFormat="1" ht="12" customHeight="1" x14ac:dyDescent="0.2">
      <c r="A732" s="65">
        <v>43509</v>
      </c>
      <c r="B732" s="1"/>
      <c r="C732" s="1"/>
      <c r="D732" s="60"/>
      <c r="E732" s="76"/>
      <c r="F732" s="60"/>
      <c r="G732" s="60"/>
      <c r="H732" s="60"/>
      <c r="I732" s="60"/>
      <c r="J732" s="60"/>
      <c r="K732" s="64"/>
      <c r="L732" s="64"/>
      <c r="M732" s="60"/>
      <c r="N732" s="60"/>
      <c r="O732" s="60"/>
      <c r="P732" s="60"/>
      <c r="Q732" s="60"/>
      <c r="R732" s="60"/>
      <c r="S732" s="60"/>
      <c r="T732" s="60"/>
      <c r="U732" s="60"/>
      <c r="V732" s="60"/>
      <c r="W732" s="60"/>
      <c r="X732" s="60"/>
      <c r="Y732" s="76"/>
      <c r="Z732" s="60"/>
      <c r="AA732" s="60"/>
      <c r="AB732" s="60"/>
      <c r="AC732" s="60"/>
      <c r="AD732" s="60"/>
      <c r="AE732" s="60"/>
      <c r="AF732" s="80"/>
      <c r="AG732" s="56"/>
      <c r="AH732" s="4"/>
      <c r="AI732" s="56"/>
      <c r="AJ732" s="109"/>
      <c r="AK732" s="56"/>
      <c r="AL732" s="56"/>
      <c r="AM732" s="56"/>
      <c r="AN732" s="56"/>
      <c r="AO732" s="56"/>
      <c r="AP732" s="56"/>
      <c r="AQ732" s="56"/>
      <c r="AR732" s="109"/>
      <c r="AS732" s="56"/>
      <c r="AT732" s="56"/>
      <c r="AU732" s="4"/>
      <c r="AV732" s="25">
        <v>60</v>
      </c>
      <c r="AW732" s="25">
        <f>7*24*3600*0.003</f>
        <v>1814.4</v>
      </c>
      <c r="AX732" s="25">
        <f>7*24*3600*1</f>
        <v>604800</v>
      </c>
      <c r="AY732" s="42"/>
      <c r="AZ732" s="53"/>
      <c r="BA732" s="53"/>
      <c r="BB732" s="53"/>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1"/>
      <c r="CS732" s="1"/>
      <c r="CT732" s="1"/>
      <c r="CU732" s="1"/>
    </row>
    <row r="733" spans="1:99" s="13" customFormat="1" ht="12" customHeight="1" x14ac:dyDescent="0.2">
      <c r="A733" s="65">
        <v>43509</v>
      </c>
      <c r="B733" s="1" t="s">
        <v>154</v>
      </c>
      <c r="C733" s="1" t="s">
        <v>155</v>
      </c>
      <c r="D733" s="60">
        <v>2007</v>
      </c>
      <c r="E733" s="76">
        <v>1</v>
      </c>
      <c r="F733" s="60">
        <v>18</v>
      </c>
      <c r="G733" s="60">
        <v>18</v>
      </c>
      <c r="H733" s="60" t="s">
        <v>41</v>
      </c>
      <c r="I733" s="60" t="s">
        <v>723</v>
      </c>
      <c r="J733" s="60" t="s">
        <v>475</v>
      </c>
      <c r="K733" s="60">
        <f>IF(J733="syllables",1,IF(J733="trigrams",2,IF(J733="strings",3,IF(J733="visual array",4,IF(J733="characters",5,IF(J733="letters",6,IF(J733="free forms",7,IF(J733="odors",8,IF(J733="words",9,IF(J733="pictures",10,IF(J733="object pictures",11,IF(J733="faces",12,IF(J733="names",13,IF(J733="idioms",14,IF(J733="grades",15,IF(J733="syllable-digit pairs",16,IF(J733="trigram-word pairs",17,IF(J733="word-digit pairs",18,IF(J733="English-Swahili pairs",19,IF(J733="spatial position",20,IF(J733="word pairs",21,IF(J733="word triads",22,IF(J733="generated words",23,IF(J733="word definition pairs",24,IF(J733="math problems",25,IF(J733="famous faces",26,IF(J733="famous names",27,IF(J733="famous voices",28,IF(J733="television programs",29,IF(J733="race horses",30,IF(J733="new vocabulary",31,IF(J733="sentences",32,IF(J733="concepts",33,IF(J733="ad slides",34,IF(J733="scenes",35,IF(J733="famous scenes",36,IF(J733="poems",37,IF(J733="walk",38,IF(J733="faces and events",39,IF(J733="events and names",40,IF(J733="flashbulb",41,IF(J733="stories",42,IF(J733="course material",43,IF(J733="autobiographical",44,IF(J733="novels",45,IF(J733="public events",46,"99"))))))))))))))))))))))))))))))))))))))))))))))</f>
        <v>32</v>
      </c>
      <c r="L733" s="60">
        <f>IF(J733="syllables",1,IF(J733="trigrams",1,IF(J733="strings",1,IF(J733="visual array",1,IF(J733="characters",1,IF(J733="letters",1,IF(J733="free forms",1,IF(J733="odors",2,IF(J733="words",2,IF(J733="pictures",2,IF(J733="object pictures",2,IF(J733="faces",2,IF(J733="names",2,IF(J733="idioms","2",IF(J733="grades",2,IF(J733="syllable-digit pairs",3,IF(J733="trigram-word pairs",3,IF(J733="word-digit pairs",3,IF(J733="English-Swahili pairs",3,IF(J733="spatial position",3,IF(J733="word pairs",4,IF(J733="word triads",4,IF(J733="generated words",4,IF(J733="word definition pairs",4,IF(J733="math problems",4,IF(J733="famous faces",4,IF(J733="famous names",4,IF(J733="famous voices",4,IF(J733="television programs",4,IF(J733="race horses",4,IF(J733="new vocabulary",4,IF(J733="sentences",5,IF(J733="concepts",5,IF(J733="ad slides",5,IF(J733="scenes",5,IF(J733="famous scenes",5,IF(J733="poems",6,IF(J733="walk",6,IF(J733="faces and events",6,IF(J733="events and names",6,IF(J733="flashbulb",7,IF(J733="stories",7,IF(J733="course material",7,IF(J733="autobiographical",7,IF(J733="novels",7,IF(J733="public events",7,"99"))))))))))))))))))))))))))))))))))))))))))))))</f>
        <v>5</v>
      </c>
      <c r="M733" s="60">
        <v>0</v>
      </c>
      <c r="N733" s="60">
        <v>2</v>
      </c>
      <c r="O733" s="60">
        <v>0</v>
      </c>
      <c r="P733" s="60"/>
      <c r="Q733" s="60" t="s">
        <v>174</v>
      </c>
      <c r="R733" s="60">
        <f>IF(Q733="Free Recall",1,IF(Q733="Cued Recall",2,IF(Q733="Recognition",3,IF(Q733="Multiple Choice",4,IF(Q733="Savings",5,IF(Q733="Stem Completion",6,IF(Q733="Fragment Completion",7,IF(Q733="anagram solution",8,IF(Q733="Matching",9,IF(Q733="Problem Solving",10,"99"))))))))))</f>
        <v>1</v>
      </c>
      <c r="S733" s="60" t="s">
        <v>49</v>
      </c>
      <c r="T733" s="59" t="s">
        <v>581</v>
      </c>
      <c r="U733" s="60">
        <f>IF(T733="within",1,0)</f>
        <v>1</v>
      </c>
      <c r="V733" s="59">
        <v>16</v>
      </c>
      <c r="W733" s="60">
        <f>F733*V733</f>
        <v>288</v>
      </c>
      <c r="X733" s="60">
        <v>3</v>
      </c>
      <c r="Y733" s="76">
        <f>AV732</f>
        <v>60</v>
      </c>
      <c r="Z733" s="60" t="s">
        <v>150</v>
      </c>
      <c r="AA733" s="60">
        <v>604800</v>
      </c>
      <c r="AB733" s="60" t="str">
        <f>IF(AA733&lt;60,"1",IF(AA733&lt;=43200,"2",IF(AA733&lt;=777600,"3","4")))</f>
        <v>3</v>
      </c>
      <c r="AC733" s="56">
        <f>AVERAGE(AV732:DA732)</f>
        <v>202224.80000000002</v>
      </c>
      <c r="AD733" s="60" t="str">
        <f>IF(AC733&lt;60,"1",IF(AC733&lt;=43200,"2",IF(AC733&lt;=777600,"3","4")))</f>
        <v>3</v>
      </c>
      <c r="AE733" s="76">
        <f>AA733-Y733</f>
        <v>604740</v>
      </c>
      <c r="AF733" s="80">
        <f>AV733</f>
        <v>0.13875000000000001</v>
      </c>
      <c r="AG733" s="56">
        <f>((AW733-AV733)+(AX733-AW733))/2</f>
        <v>-2.8750000000000005E-2</v>
      </c>
      <c r="AH733" s="4"/>
      <c r="AI733" s="56">
        <f>RSQ(AV733:AX733,AV732:AX732)</f>
        <v>0.81562015187343317</v>
      </c>
      <c r="AJ733" s="109">
        <f>SLOPE(AV733:AX733,AV732:AX732)</f>
        <v>-1.3077147976385666E-7</v>
      </c>
      <c r="AK733" s="56">
        <f>INTERCEPT(AV733:AX733,AV732:AX732)</f>
        <v>0.16040356967428332</v>
      </c>
      <c r="AL733" s="56">
        <f>INDEX(LINEST(LN(AV733:AX733),LN(AV732:AX732),TRUE,TRUE),3,1)</f>
        <v>0.57441064339199488</v>
      </c>
      <c r="AM733" s="56">
        <f>INDEX(LINEST(LN(AV733:AX733),LN(AV732:AX732)),1)</f>
        <v>-6.6679408592660666E-2</v>
      </c>
      <c r="AN733" s="56">
        <f>EXP(INDEX(LINEST(LN(AV733:AX733),LN(AV732:AX732)),1,2))</f>
        <v>0.22100398051809603</v>
      </c>
      <c r="AO733" s="82">
        <f>INDEX(LINEST((AV733:AX733),LN(AV732:AX732),TRUE,TRUE),3,1)</f>
        <v>0.46970714102815964</v>
      </c>
      <c r="AP733" s="82">
        <f>INDEX(LINEST((AV733:AX733),LN(AV732:AX732)),1)</f>
        <v>-7.4231601966291763E-3</v>
      </c>
      <c r="AQ733" s="83">
        <f>INDEX(LINEST(LN(AV733:AX733),SQRT(AV732:AX732),TRUE,TRUE),3,1)</f>
        <v>0.86489426004533421</v>
      </c>
      <c r="AR733" s="116">
        <f>INDEX(LINEST(LN(AV733:AX733),SQRT((AV732:AX732))),1)</f>
        <v>-8.7706052493128793E-4</v>
      </c>
      <c r="AS733" s="84">
        <f>INDEX(LINEST(1/(AV733:AX733),1/(SQRT(AV732:AX732)),TRUE,TRUE),3,1)</f>
        <v>0.18389082603374099</v>
      </c>
      <c r="AT733" s="84">
        <f>INDEX(LINEST(1/(AV733:AX733),1/SQRT(AV732:AX732)),1)</f>
        <v>-22.244633371051062</v>
      </c>
      <c r="AU733" s="3"/>
      <c r="AV733" s="53">
        <v>0.13875000000000001</v>
      </c>
      <c r="AW733" s="53">
        <v>0.18187500000000001</v>
      </c>
      <c r="AX733" s="53">
        <v>8.1250000000000003E-2</v>
      </c>
      <c r="AY733" s="42"/>
      <c r="AZ733" s="46"/>
      <c r="BA733" s="53"/>
      <c r="BB733" s="53"/>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1"/>
      <c r="CS733" s="1"/>
      <c r="CT733" s="1"/>
      <c r="CU733" s="1"/>
    </row>
    <row r="734" spans="1:99" s="13" customFormat="1" ht="12" customHeight="1" x14ac:dyDescent="0.2">
      <c r="A734" s="65">
        <v>43509</v>
      </c>
      <c r="B734" s="1"/>
      <c r="C734" s="1"/>
      <c r="D734" s="60"/>
      <c r="E734" s="76"/>
      <c r="F734" s="60"/>
      <c r="G734" s="60"/>
      <c r="H734" s="60"/>
      <c r="I734" s="60"/>
      <c r="J734" s="60"/>
      <c r="K734" s="64"/>
      <c r="L734" s="64"/>
      <c r="M734" s="60"/>
      <c r="N734" s="60"/>
      <c r="O734" s="60"/>
      <c r="P734" s="60"/>
      <c r="Q734" s="60"/>
      <c r="R734" s="60"/>
      <c r="S734" s="60"/>
      <c r="T734" s="60"/>
      <c r="U734" s="60"/>
      <c r="V734" s="60"/>
      <c r="W734" s="60"/>
      <c r="X734" s="60"/>
      <c r="Y734" s="76"/>
      <c r="Z734" s="60"/>
      <c r="AA734" s="60"/>
      <c r="AB734" s="60"/>
      <c r="AC734" s="60"/>
      <c r="AD734" s="60"/>
      <c r="AE734" s="60"/>
      <c r="AF734" s="80"/>
      <c r="AG734" s="56"/>
      <c r="AH734" s="4"/>
      <c r="AI734" s="56"/>
      <c r="AJ734" s="109"/>
      <c r="AK734" s="56"/>
      <c r="AL734" s="56"/>
      <c r="AM734" s="56"/>
      <c r="AN734" s="56"/>
      <c r="AO734" s="56"/>
      <c r="AP734" s="56"/>
      <c r="AQ734" s="56"/>
      <c r="AR734" s="109"/>
      <c r="AS734" s="56"/>
      <c r="AT734" s="56"/>
      <c r="AU734" s="4"/>
      <c r="AV734" s="25">
        <v>60</v>
      </c>
      <c r="AW734" s="25">
        <f>30*60</f>
        <v>1800</v>
      </c>
      <c r="AX734" s="25">
        <f>7*24*3600</f>
        <v>604800</v>
      </c>
      <c r="AY734" s="53"/>
      <c r="AZ734" s="53"/>
      <c r="BA734" s="53"/>
      <c r="BB734" s="53"/>
      <c r="BC734" s="53"/>
      <c r="BD734" s="53"/>
      <c r="BE734" s="53"/>
      <c r="BF734" s="53"/>
      <c r="BG734" s="53"/>
      <c r="BH734" s="53"/>
      <c r="BI734" s="53"/>
      <c r="BJ734" s="53"/>
      <c r="BK734" s="53"/>
      <c r="BL734" s="53"/>
      <c r="BM734" s="53"/>
      <c r="BN734" s="53"/>
      <c r="BO734" s="53"/>
      <c r="BP734" s="53"/>
      <c r="BQ734" s="53"/>
      <c r="BR734" s="53"/>
      <c r="BS734" s="53"/>
      <c r="BT734" s="53"/>
      <c r="BU734" s="53"/>
      <c r="BV734" s="53"/>
      <c r="BW734" s="53"/>
      <c r="BX734" s="53"/>
      <c r="BY734" s="53"/>
      <c r="BZ734" s="53"/>
      <c r="CA734" s="53"/>
      <c r="CB734" s="53"/>
      <c r="CC734" s="53"/>
      <c r="CD734" s="53"/>
      <c r="CE734" s="53"/>
      <c r="CF734" s="53"/>
      <c r="CG734" s="53"/>
      <c r="CH734" s="53"/>
      <c r="CI734" s="53"/>
      <c r="CJ734" s="53"/>
      <c r="CK734" s="53"/>
      <c r="CL734" s="53"/>
      <c r="CM734" s="53"/>
      <c r="CN734" s="53"/>
      <c r="CO734" s="53"/>
      <c r="CP734" s="53"/>
      <c r="CQ734" s="53"/>
      <c r="CR734" s="1"/>
      <c r="CS734" s="1"/>
      <c r="CT734" s="1"/>
      <c r="CU734" s="1"/>
    </row>
    <row r="735" spans="1:99" s="13" customFormat="1" ht="12" customHeight="1" x14ac:dyDescent="0.2">
      <c r="A735" s="65">
        <v>43509</v>
      </c>
      <c r="B735" s="1" t="s">
        <v>154</v>
      </c>
      <c r="C735" s="1" t="s">
        <v>155</v>
      </c>
      <c r="D735" s="60">
        <v>2007</v>
      </c>
      <c r="E735" s="76">
        <v>1</v>
      </c>
      <c r="F735" s="60">
        <v>18</v>
      </c>
      <c r="G735" s="60">
        <v>18</v>
      </c>
      <c r="H735" s="60" t="s">
        <v>32</v>
      </c>
      <c r="I735" s="60" t="s">
        <v>724</v>
      </c>
      <c r="J735" s="60" t="s">
        <v>300</v>
      </c>
      <c r="K735" s="60">
        <f>IF(J735="syllables",1,IF(J735="trigrams",2,IF(J735="strings",3,IF(J735="visual array",4,IF(J735="characters",5,IF(J735="letters",6,IF(J735="free forms",7,IF(J735="odors",8,IF(J735="words",9,IF(J735="pictures",10,IF(J735="object pictures",11,IF(J735="faces",12,IF(J735="names",13,IF(J735="idioms",14,IF(J735="grades",15,IF(J735="syllable-digit pairs",16,IF(J735="trigram-word pairs",17,IF(J735="word-digit pairs",18,IF(J735="English-Swahili pairs",19,IF(J735="spatial position",20,IF(J735="word pairs",21,IF(J735="word triads",22,IF(J735="generated words",23,IF(J735="word definition pairs",24,IF(J735="math problems",25,IF(J735="famous faces",26,IF(J735="famous names",27,IF(J735="famous voices",28,IF(J735="television programs",29,IF(J735="race horses",30,IF(J735="new vocabulary",31,IF(J735="sentences",32,IF(J735="concepts",33,IF(J735="ad slides",34,IF(J735="scenes",35,IF(J735="famous scenes",36,IF(J735="poems",37,IF(J735="walk",38,IF(J735="faces and events",39,IF(J735="events and names",40,IF(J735="flashbulb",41,IF(J735="stories",42,IF(J735="course material",43,IF(J735="autobiographical",44,IF(J735="novels",45,IF(J735="public events",46,"99"))))))))))))))))))))))))))))))))))))))))))))))</f>
        <v>23</v>
      </c>
      <c r="L735" s="60">
        <f>IF(J735="syllables",1,IF(J735="trigrams",1,IF(J735="strings",1,IF(J735="visual array",1,IF(J735="characters",1,IF(J735="letters",1,IF(J735="free forms",1,IF(J735="odors",2,IF(J735="words",2,IF(J735="pictures",2,IF(J735="object pictures",2,IF(J735="faces",2,IF(J735="names",2,IF(J735="idioms","2",IF(J735="grades",2,IF(J735="syllable-digit pairs",3,IF(J735="trigram-word pairs",3,IF(J735="word-digit pairs",3,IF(J735="English-Swahili pairs",3,IF(J735="spatial position",3,IF(J735="word pairs",4,IF(J735="word triads",4,IF(J735="generated words",4,IF(J735="word definition pairs",4,IF(J735="math problems",4,IF(J735="famous faces",4,IF(J735="famous names",4,IF(J735="famous voices",4,IF(J735="television programs",4,IF(J735="race horses",4,IF(J735="new vocabulary",4,IF(J735="sentences",5,IF(J735="concepts",5,IF(J735="ad slides",5,IF(J735="scenes",5,IF(J735="famous scenes",5,IF(J735="poems",6,IF(J735="walk",6,IF(J735="faces and events",6,IF(J735="events and names",6,IF(J735="flashbulb",7,IF(J735="stories",7,IF(J735="course material",7,IF(J735="autobiographical",7,IF(J735="novels",7,IF(J735="public events",7,"99"))))))))))))))))))))))))))))))))))))))))))))))</f>
        <v>4</v>
      </c>
      <c r="M735" s="60">
        <v>0</v>
      </c>
      <c r="N735" s="60">
        <v>2</v>
      </c>
      <c r="O735" s="60">
        <v>0</v>
      </c>
      <c r="P735" s="60"/>
      <c r="Q735" s="178" t="s">
        <v>182</v>
      </c>
      <c r="R735" s="60">
        <f>IF(Q735="Free Recall",1,IF(Q735="Cued Recall",2,IF(Q735="Recognition",3,IF(Q735="Multiple Choice",4,IF(Q735="Savings",5,IF(Q735="Stem Completion",6,IF(Q735="Fragment Completion",7,IF(Q735="anagram solution",8,IF(Q735="Matching",9,IF(Q735="Problem Solving",10,"99"))))))))))</f>
        <v>4</v>
      </c>
      <c r="S735" s="60" t="s">
        <v>15</v>
      </c>
      <c r="T735" s="59" t="s">
        <v>581</v>
      </c>
      <c r="U735" s="60">
        <f>IF(T735="within",1,0)</f>
        <v>1</v>
      </c>
      <c r="V735" s="59">
        <v>16</v>
      </c>
      <c r="W735" s="60">
        <f>F735*V735</f>
        <v>288</v>
      </c>
      <c r="X735" s="60">
        <v>3</v>
      </c>
      <c r="Y735" s="76">
        <f>AV734</f>
        <v>60</v>
      </c>
      <c r="Z735" s="60" t="s">
        <v>150</v>
      </c>
      <c r="AA735" s="60">
        <v>604800</v>
      </c>
      <c r="AB735" s="60" t="str">
        <f>IF(AA735&lt;60,"1",IF(AA735&lt;=43200,"2",IF(AA735&lt;=777600,"3","4")))</f>
        <v>3</v>
      </c>
      <c r="AC735" s="56">
        <f>AVERAGE(AV734:DA734)</f>
        <v>202220</v>
      </c>
      <c r="AD735" s="60" t="str">
        <f>IF(AC735&lt;60,"1",IF(AC735&lt;=43200,"2",IF(AC735&lt;=777600,"3","4")))</f>
        <v>3</v>
      </c>
      <c r="AE735" s="76">
        <f>AA735-Y735</f>
        <v>604740</v>
      </c>
      <c r="AF735" s="80">
        <f>AV735</f>
        <v>0.97</v>
      </c>
      <c r="AG735" s="56">
        <f>((AW735-AV735)+(AX735-AW735))/2</f>
        <v>-4.4999999999999984E-2</v>
      </c>
      <c r="AH735" s="4"/>
      <c r="AI735" s="56">
        <f>RSQ(AV735:AX735,AV734:AX734)</f>
        <v>0.99022318615506588</v>
      </c>
      <c r="AJ735" s="109">
        <f>SLOPE(AV735:AX735,AV734:AX734)</f>
        <v>-1.4079368273405749E-7</v>
      </c>
      <c r="AK735" s="56">
        <f>INTERCEPT(AV735:AX735,AV734:AX734)</f>
        <v>0.96513796518914774</v>
      </c>
      <c r="AL735" s="56">
        <f>INDEX(LINEST(LN(AV735:AX735),LN(AV734:AX734),TRUE,TRUE),3,1)</f>
        <v>0.92553474957801074</v>
      </c>
      <c r="AM735" s="56">
        <f>INDEX(LINEST(LN(AV735:AX735),LN(AV734:AX734)),1)</f>
        <v>-1.1036816622011864E-2</v>
      </c>
      <c r="AN735" s="56">
        <f>EXP(INDEX(LINEST(LN(AV735:AX735),LN(AV734:AX734)),1,2))</f>
        <v>1.0255647090376478</v>
      </c>
      <c r="AO735" s="82">
        <f>INDEX(LINEST((AV735:AX735),LN(AV734:AX734),TRUE,TRUE),3,1)</f>
        <v>0.92787838956540514</v>
      </c>
      <c r="AP735" s="82">
        <f>INDEX(LINEST((AV735:AX735),LN(AV734:AX734)),1)</f>
        <v>-1.0193177277919052E-2</v>
      </c>
      <c r="AQ735" s="83">
        <f>INDEX(LINEST(LN(AV735:AX735),SQRT(AV734:AX734),TRUE,TRUE),3,1)</f>
        <v>0.99673712967579964</v>
      </c>
      <c r="AR735" s="116">
        <f>INDEX(LINEST(LN(AV735:AX735),SQRT((AV734:AX734))),1)</f>
        <v>-1.227789303135561E-4</v>
      </c>
      <c r="AS735" s="84">
        <f>INDEX(LINEST(1/(AV735:AX735),1/(SQRT(AV734:AX734)),TRUE,TRUE),3,1)</f>
        <v>0.49480127563555992</v>
      </c>
      <c r="AT735" s="84">
        <f>INDEX(LINEST(1/(AV735:AX735),1/SQRT(AV734:AX734)),1)</f>
        <v>-0.59778533331501382</v>
      </c>
      <c r="AU735" s="3"/>
      <c r="AV735" s="53">
        <v>0.97</v>
      </c>
      <c r="AW735" s="53">
        <v>0.96</v>
      </c>
      <c r="AX735" s="53">
        <v>0.88</v>
      </c>
      <c r="AY735" s="53"/>
      <c r="AZ735" s="53"/>
      <c r="BA735" s="53"/>
      <c r="BB735" s="53"/>
      <c r="BC735" s="53"/>
      <c r="BD735" s="53"/>
      <c r="BE735" s="53"/>
      <c r="BF735" s="53"/>
      <c r="BG735" s="53"/>
      <c r="BH735" s="53"/>
      <c r="BI735" s="53"/>
      <c r="BJ735" s="53"/>
      <c r="BK735" s="53"/>
      <c r="BL735" s="53"/>
      <c r="BM735" s="53"/>
      <c r="BN735" s="53"/>
      <c r="BO735" s="53"/>
      <c r="BP735" s="53"/>
      <c r="BQ735" s="53"/>
      <c r="BR735" s="53"/>
      <c r="BS735" s="53"/>
      <c r="BT735" s="53"/>
      <c r="BU735" s="53"/>
      <c r="BV735" s="53"/>
      <c r="BW735" s="53"/>
      <c r="BX735" s="53"/>
      <c r="BY735" s="53"/>
      <c r="BZ735" s="53"/>
      <c r="CA735" s="53"/>
      <c r="CB735" s="53"/>
      <c r="CC735" s="53"/>
      <c r="CD735" s="53"/>
      <c r="CE735" s="53"/>
      <c r="CF735" s="53"/>
      <c r="CG735" s="53"/>
      <c r="CH735" s="53"/>
      <c r="CI735" s="53"/>
      <c r="CJ735" s="53"/>
      <c r="CK735" s="53"/>
      <c r="CL735" s="53"/>
      <c r="CM735" s="53"/>
      <c r="CN735" s="53"/>
      <c r="CO735" s="53"/>
      <c r="CP735" s="53"/>
      <c r="CQ735" s="53"/>
      <c r="CR735" s="1"/>
      <c r="CS735" s="1"/>
      <c r="CT735" s="1"/>
      <c r="CU735" s="1"/>
    </row>
    <row r="736" spans="1:99" s="13" customFormat="1" ht="12" customHeight="1" x14ac:dyDescent="0.2">
      <c r="A736" s="65">
        <v>43509</v>
      </c>
      <c r="B736" s="1"/>
      <c r="C736" s="1"/>
      <c r="D736" s="60"/>
      <c r="E736" s="76"/>
      <c r="F736" s="60"/>
      <c r="G736" s="60"/>
      <c r="H736" s="60"/>
      <c r="I736" s="60"/>
      <c r="J736" s="60"/>
      <c r="K736" s="64"/>
      <c r="L736" s="64"/>
      <c r="M736" s="60"/>
      <c r="N736" s="60"/>
      <c r="O736" s="60"/>
      <c r="P736" s="60"/>
      <c r="Q736" s="60"/>
      <c r="R736" s="60"/>
      <c r="S736" s="60"/>
      <c r="T736" s="60"/>
      <c r="U736" s="60"/>
      <c r="V736" s="60"/>
      <c r="W736" s="60"/>
      <c r="X736" s="60"/>
      <c r="Y736" s="76"/>
      <c r="Z736" s="60"/>
      <c r="AA736" s="60"/>
      <c r="AB736" s="60"/>
      <c r="AC736" s="60"/>
      <c r="AD736" s="60"/>
      <c r="AE736" s="60"/>
      <c r="AF736" s="80"/>
      <c r="AG736" s="56"/>
      <c r="AH736" s="4"/>
      <c r="AI736" s="56"/>
      <c r="AJ736" s="109"/>
      <c r="AK736" s="56"/>
      <c r="AL736" s="56"/>
      <c r="AM736" s="56"/>
      <c r="AN736" s="56"/>
      <c r="AO736" s="56"/>
      <c r="AP736" s="56"/>
      <c r="AQ736" s="56"/>
      <c r="AR736" s="109"/>
      <c r="AS736" s="56"/>
      <c r="AT736" s="56"/>
      <c r="AU736" s="4"/>
      <c r="AV736" s="25">
        <v>60</v>
      </c>
      <c r="AW736" s="25">
        <f>7*24*3600*0.003</f>
        <v>1814.4</v>
      </c>
      <c r="AX736" s="25">
        <f>7*24*3600*1</f>
        <v>604800</v>
      </c>
      <c r="AY736" s="53"/>
      <c r="AZ736" s="53"/>
      <c r="BA736" s="53"/>
      <c r="BB736" s="53"/>
      <c r="BC736" s="53"/>
      <c r="BD736" s="53"/>
      <c r="BE736" s="53"/>
      <c r="BF736" s="53"/>
      <c r="BG736" s="53"/>
      <c r="BH736" s="53"/>
      <c r="BI736" s="53"/>
      <c r="BJ736" s="53"/>
      <c r="BK736" s="53"/>
      <c r="BL736" s="53"/>
      <c r="BM736" s="53"/>
      <c r="BN736" s="53"/>
      <c r="BO736" s="53"/>
      <c r="BP736" s="53"/>
      <c r="BQ736" s="53"/>
      <c r="BR736" s="53"/>
      <c r="BS736" s="53"/>
      <c r="BT736" s="53"/>
      <c r="BU736" s="53"/>
      <c r="BV736" s="53"/>
      <c r="BW736" s="53"/>
      <c r="BX736" s="53"/>
      <c r="BY736" s="53"/>
      <c r="BZ736" s="53"/>
      <c r="CA736" s="53"/>
      <c r="CB736" s="53"/>
      <c r="CC736" s="53"/>
      <c r="CD736" s="53"/>
      <c r="CE736" s="53"/>
      <c r="CF736" s="53"/>
      <c r="CG736" s="53"/>
      <c r="CH736" s="53"/>
      <c r="CI736" s="53"/>
      <c r="CJ736" s="53"/>
      <c r="CK736" s="53"/>
      <c r="CL736" s="53"/>
      <c r="CM736" s="53"/>
      <c r="CN736" s="53"/>
      <c r="CO736" s="53"/>
      <c r="CP736" s="53"/>
      <c r="CQ736" s="53"/>
      <c r="CR736" s="1"/>
      <c r="CS736" s="1"/>
      <c r="CT736" s="1"/>
      <c r="CU736" s="1"/>
    </row>
    <row r="737" spans="1:99" s="13" customFormat="1" ht="12" customHeight="1" x14ac:dyDescent="0.2">
      <c r="A737" s="65">
        <v>43509</v>
      </c>
      <c r="B737" s="1" t="s">
        <v>154</v>
      </c>
      <c r="C737" s="1" t="s">
        <v>155</v>
      </c>
      <c r="D737" s="60">
        <v>2007</v>
      </c>
      <c r="E737" s="76">
        <v>1</v>
      </c>
      <c r="F737" s="60">
        <v>18</v>
      </c>
      <c r="G737" s="60">
        <v>18</v>
      </c>
      <c r="H737" s="60" t="s">
        <v>32</v>
      </c>
      <c r="I737" s="60" t="s">
        <v>723</v>
      </c>
      <c r="J737" s="60" t="s">
        <v>475</v>
      </c>
      <c r="K737" s="60">
        <f>IF(J737="syllables",1,IF(J737="trigrams",2,IF(J737="strings",3,IF(J737="visual array",4,IF(J737="characters",5,IF(J737="letters",6,IF(J737="free forms",7,IF(J737="odors",8,IF(J737="words",9,IF(J737="pictures",10,IF(J737="object pictures",11,IF(J737="faces",12,IF(J737="names",13,IF(J737="idioms",14,IF(J737="grades",15,IF(J737="syllable-digit pairs",16,IF(J737="trigram-word pairs",17,IF(J737="word-digit pairs",18,IF(J737="English-Swahili pairs",19,IF(J737="spatial position",20,IF(J737="word pairs",21,IF(J737="word triads",22,IF(J737="generated words",23,IF(J737="word definition pairs",24,IF(J737="math problems",25,IF(J737="famous faces",26,IF(J737="famous names",27,IF(J737="famous voices",28,IF(J737="television programs",29,IF(J737="race horses",30,IF(J737="new vocabulary",31,IF(J737="sentences",32,IF(J737="concepts",33,IF(J737="ad slides",34,IF(J737="scenes",35,IF(J737="famous scenes",36,IF(J737="poems",37,IF(J737="walk",38,IF(J737="faces and events",39,IF(J737="events and names",40,IF(J737="flashbulb",41,IF(J737="stories",42,IF(J737="course material",43,IF(J737="autobiographical",44,IF(J737="novels",45,IF(J737="public events",46,"99"))))))))))))))))))))))))))))))))))))))))))))))</f>
        <v>32</v>
      </c>
      <c r="L737" s="60">
        <f>IF(J737="syllables",1,IF(J737="trigrams",1,IF(J737="strings",1,IF(J737="visual array",1,IF(J737="characters",1,IF(J737="letters",1,IF(J737="free forms",1,IF(J737="odors",2,IF(J737="words",2,IF(J737="pictures",2,IF(J737="object pictures",2,IF(J737="faces",2,IF(J737="names",2,IF(J737="idioms","2",IF(J737="grades",2,IF(J737="syllable-digit pairs",3,IF(J737="trigram-word pairs",3,IF(J737="word-digit pairs",3,IF(J737="English-Swahili pairs",3,IF(J737="spatial position",3,IF(J737="word pairs",4,IF(J737="word triads",4,IF(J737="generated words",4,IF(J737="word definition pairs",4,IF(J737="math problems",4,IF(J737="famous faces",4,IF(J737="famous names",4,IF(J737="famous voices",4,IF(J737="television programs",4,IF(J737="race horses",4,IF(J737="new vocabulary",4,IF(J737="sentences",5,IF(J737="concepts",5,IF(J737="ad slides",5,IF(J737="scenes",5,IF(J737="famous scenes",5,IF(J737="poems",6,IF(J737="walk",6,IF(J737="faces and events",6,IF(J737="events and names",6,IF(J737="flashbulb",7,IF(J737="stories",7,IF(J737="course material",7,IF(J737="autobiographical",7,IF(J737="novels",7,IF(J737="public events",7,"99"))))))))))))))))))))))))))))))))))))))))))))))</f>
        <v>5</v>
      </c>
      <c r="M737" s="60">
        <v>0</v>
      </c>
      <c r="N737" s="60">
        <v>2</v>
      </c>
      <c r="O737" s="60">
        <v>0</v>
      </c>
      <c r="P737" s="60"/>
      <c r="Q737" s="178" t="s">
        <v>182</v>
      </c>
      <c r="R737" s="60">
        <f>IF(Q737="Free Recall",1,IF(Q737="Cued Recall",2,IF(Q737="Recognition",3,IF(Q737="Multiple Choice",4,IF(Q737="Savings",5,IF(Q737="Stem Completion",6,IF(Q737="Fragment Completion",7,IF(Q737="anagram solution",8,IF(Q737="Matching",9,IF(Q737="Problem Solving",10,"99"))))))))))</f>
        <v>4</v>
      </c>
      <c r="S737" s="60" t="s">
        <v>15</v>
      </c>
      <c r="T737" s="59" t="s">
        <v>581</v>
      </c>
      <c r="U737" s="60">
        <f>IF(T737="within",1,0)</f>
        <v>1</v>
      </c>
      <c r="V737" s="59">
        <v>16</v>
      </c>
      <c r="W737" s="60">
        <f>F737*V737</f>
        <v>288</v>
      </c>
      <c r="X737" s="60">
        <v>3</v>
      </c>
      <c r="Y737" s="76">
        <f>AV736</f>
        <v>60</v>
      </c>
      <c r="Z737" s="60" t="s">
        <v>150</v>
      </c>
      <c r="AA737" s="60">
        <v>604800</v>
      </c>
      <c r="AB737" s="60" t="str">
        <f>IF(AA737&lt;60,"1",IF(AA737&lt;=43200,"2",IF(AA737&lt;=777600,"3","4")))</f>
        <v>3</v>
      </c>
      <c r="AC737" s="56">
        <f>AVERAGE(AV736:DA736)</f>
        <v>202224.80000000002</v>
      </c>
      <c r="AD737" s="60" t="str">
        <f>IF(AC737&lt;60,"1",IF(AC737&lt;=43200,"2",IF(AC737&lt;=777600,"3","4")))</f>
        <v>3</v>
      </c>
      <c r="AE737" s="76">
        <f>AA737-Y737</f>
        <v>604740</v>
      </c>
      <c r="AF737" s="80">
        <f>AV737</f>
        <v>0.94</v>
      </c>
      <c r="AG737" s="56">
        <f>((AW737-AV737)+(AX737-AW737))/2</f>
        <v>-5.4999999999999993E-2</v>
      </c>
      <c r="AH737" s="4"/>
      <c r="AI737" s="56">
        <f>RSQ(AV737:AX737,AV736:AX736)</f>
        <v>0.99364923356807955</v>
      </c>
      <c r="AJ737" s="109">
        <f>SLOPE(AV737:AX737,AV736:AX736)</f>
        <v>-1.7391553988015541E-7</v>
      </c>
      <c r="AK737" s="56">
        <f>INTERCEPT(AV737:AX737,AV736:AX736)</f>
        <v>0.93517003526915643</v>
      </c>
      <c r="AL737" s="56">
        <f>INDEX(LINEST(LN(AV737:AX737),LN(AV736:AX736),TRUE,TRUE),3,1)</f>
        <v>0.91446970231108293</v>
      </c>
      <c r="AM737" s="56">
        <f>INDEX(LINEST(LN(AV737:AX737),LN(AV736:AX736)),1)</f>
        <v>-1.4151289308539197E-2</v>
      </c>
      <c r="AN737" s="56">
        <f>EXP(INDEX(LINEST(LN(AV737:AX737),LN(AV736:AX736)),1,2))</f>
        <v>1.0106362091127838</v>
      </c>
      <c r="AO737" s="82">
        <f>INDEX(LINEST((AV737:AX737),LN(AV736:AX736),TRUE,TRUE),3,1)</f>
        <v>0.91707082725134126</v>
      </c>
      <c r="AP737" s="82">
        <f>INDEX(LINEST((AV737:AX737),LN(AV736:AX736)),1)</f>
        <v>-1.2497681850556179E-2</v>
      </c>
      <c r="AQ737" s="83">
        <f>INDEX(LINEST(LN(AV737:AX737),SQRT(AV736:AX736),TRUE,TRUE),3,1)</f>
        <v>0.99859257581949656</v>
      </c>
      <c r="AR737" s="116">
        <f>INDEX(LINEST(LN(AV737:AX737),SQRT((AV736:AX736))),1)</f>
        <v>-1.5851598828516507E-4</v>
      </c>
      <c r="AS737" s="84">
        <f>INDEX(LINEST(1/(AV737:AX737),1/(SQRT(AV736:AX736)),TRUE,TRUE),3,1)</f>
        <v>0.47450201069555764</v>
      </c>
      <c r="AT737" s="84">
        <f>INDEX(LINEST(1/(AV737:AX737),1/SQRT(AV736:AX736)),1)</f>
        <v>-0.78983205856189131</v>
      </c>
      <c r="AU737" s="3"/>
      <c r="AV737" s="53">
        <v>0.94</v>
      </c>
      <c r="AW737" s="53">
        <v>0.93</v>
      </c>
      <c r="AX737" s="53">
        <v>0.83</v>
      </c>
      <c r="AY737" s="53"/>
      <c r="AZ737" s="53"/>
      <c r="BA737" s="53"/>
      <c r="BB737" s="53"/>
      <c r="BC737" s="53"/>
      <c r="BD737" s="53"/>
      <c r="BE737" s="53"/>
      <c r="BF737" s="53"/>
      <c r="BG737" s="53"/>
      <c r="BH737" s="53"/>
      <c r="BI737" s="53"/>
      <c r="BJ737" s="53"/>
      <c r="BK737" s="53"/>
      <c r="BL737" s="53"/>
      <c r="BM737" s="53"/>
      <c r="BN737" s="53"/>
      <c r="BO737" s="53"/>
      <c r="BP737" s="53"/>
      <c r="BQ737" s="53"/>
      <c r="BR737" s="53"/>
      <c r="BS737" s="53"/>
      <c r="BT737" s="53"/>
      <c r="BU737" s="53"/>
      <c r="BV737" s="53"/>
      <c r="BW737" s="53"/>
      <c r="BX737" s="53"/>
      <c r="BY737" s="53"/>
      <c r="BZ737" s="53"/>
      <c r="CA737" s="53"/>
      <c r="CB737" s="53"/>
      <c r="CC737" s="53"/>
      <c r="CD737" s="53"/>
      <c r="CE737" s="53"/>
      <c r="CF737" s="53"/>
      <c r="CG737" s="53"/>
      <c r="CH737" s="53"/>
      <c r="CI737" s="53"/>
      <c r="CJ737" s="53"/>
      <c r="CK737" s="53"/>
      <c r="CL737" s="53"/>
      <c r="CM737" s="53"/>
      <c r="CN737" s="53"/>
      <c r="CO737" s="53"/>
      <c r="CP737" s="53"/>
      <c r="CQ737" s="53"/>
      <c r="CR737" s="1"/>
      <c r="CS737" s="1"/>
      <c r="CT737" s="1"/>
      <c r="CU737" s="1"/>
    </row>
    <row r="738" spans="1:99" s="13" customFormat="1" ht="12" customHeight="1" x14ac:dyDescent="0.2">
      <c r="A738" s="68">
        <v>43976</v>
      </c>
      <c r="B738" s="70"/>
      <c r="C738" s="70"/>
      <c r="D738" s="69"/>
      <c r="E738" s="87"/>
      <c r="F738" s="69"/>
      <c r="G738" s="69"/>
      <c r="H738" s="69"/>
      <c r="I738" s="69"/>
      <c r="J738" s="69"/>
      <c r="K738" s="69"/>
      <c r="L738" s="69"/>
      <c r="M738" s="69"/>
      <c r="N738" s="69"/>
      <c r="O738" s="69"/>
      <c r="P738" s="69"/>
      <c r="Q738" s="153"/>
      <c r="R738" s="69"/>
      <c r="S738" s="69"/>
      <c r="T738" s="92"/>
      <c r="U738" s="69"/>
      <c r="V738" s="92"/>
      <c r="W738" s="69"/>
      <c r="X738" s="69"/>
      <c r="Y738" s="87"/>
      <c r="Z738" s="69"/>
      <c r="AA738" s="69"/>
      <c r="AB738" s="69"/>
      <c r="AC738" s="72"/>
      <c r="AD738" s="69"/>
      <c r="AE738" s="87"/>
      <c r="AF738" s="88"/>
      <c r="AG738" s="72"/>
      <c r="AH738" s="4"/>
      <c r="AI738" s="72"/>
      <c r="AJ738" s="110"/>
      <c r="AK738" s="72"/>
      <c r="AL738" s="72"/>
      <c r="AM738" s="72"/>
      <c r="AN738" s="72"/>
      <c r="AO738" s="89"/>
      <c r="AP738" s="89"/>
      <c r="AQ738" s="90"/>
      <c r="AR738" s="117"/>
      <c r="AS738" s="91"/>
      <c r="AT738" s="91"/>
      <c r="AU738" s="3"/>
      <c r="AV738" s="71">
        <f>60*10</f>
        <v>600</v>
      </c>
      <c r="AW738" s="71">
        <f>60*60*2</f>
        <v>7200</v>
      </c>
      <c r="AX738" s="71">
        <f>60*60*32</f>
        <v>115200</v>
      </c>
      <c r="AY738" s="53"/>
      <c r="AZ738" s="53"/>
      <c r="BA738" s="53"/>
      <c r="BB738" s="53"/>
      <c r="BC738" s="53"/>
      <c r="BD738" s="53"/>
      <c r="BE738" s="53"/>
      <c r="BF738" s="53"/>
      <c r="BG738" s="53"/>
      <c r="BH738" s="53"/>
      <c r="BI738" s="53"/>
      <c r="BJ738" s="53"/>
      <c r="BK738" s="53"/>
      <c r="BL738" s="53"/>
      <c r="BM738" s="53"/>
      <c r="BN738" s="53"/>
      <c r="BO738" s="53"/>
      <c r="BP738" s="53"/>
      <c r="BQ738" s="53"/>
      <c r="BR738" s="53"/>
      <c r="BS738" s="53"/>
      <c r="BT738" s="53"/>
      <c r="BU738" s="53"/>
      <c r="BV738" s="53"/>
      <c r="BW738" s="53"/>
      <c r="BX738" s="53"/>
      <c r="BY738" s="53"/>
      <c r="BZ738" s="53"/>
      <c r="CA738" s="53"/>
      <c r="CB738" s="53"/>
      <c r="CC738" s="53"/>
      <c r="CD738" s="53"/>
      <c r="CE738" s="53"/>
      <c r="CF738" s="53"/>
      <c r="CG738" s="53"/>
      <c r="CH738" s="53"/>
      <c r="CI738" s="53"/>
      <c r="CJ738" s="53"/>
      <c r="CK738" s="53"/>
      <c r="CL738" s="53"/>
      <c r="CM738" s="53"/>
      <c r="CN738" s="53"/>
      <c r="CO738" s="53"/>
      <c r="CP738" s="53"/>
      <c r="CQ738" s="53"/>
      <c r="CR738" s="1"/>
      <c r="CS738" s="1"/>
      <c r="CT738" s="1"/>
      <c r="CU738" s="1"/>
    </row>
    <row r="739" spans="1:99" s="13" customFormat="1" ht="12" customHeight="1" x14ac:dyDescent="0.2">
      <c r="A739" s="68">
        <v>43976</v>
      </c>
      <c r="B739" s="70" t="s">
        <v>930</v>
      </c>
      <c r="C739" s="70" t="s">
        <v>360</v>
      </c>
      <c r="D739" s="69">
        <v>1988</v>
      </c>
      <c r="E739" s="87">
        <v>1</v>
      </c>
      <c r="F739" s="69">
        <v>18</v>
      </c>
      <c r="G739" s="69">
        <v>18</v>
      </c>
      <c r="H739" s="69" t="s">
        <v>22</v>
      </c>
      <c r="I739" s="69" t="s">
        <v>330</v>
      </c>
      <c r="J739" s="69" t="s">
        <v>313</v>
      </c>
      <c r="K739" s="69">
        <f>IF(J739="syllables",1,IF(J739="trigrams",2,IF(J739="strings",3,IF(J739="visual array",4,IF(J739="characters",5,IF(J739="letters",6,IF(J739="free forms",7,IF(J739="odors",8,IF(J739="words",9,IF(J739="pictures",10,IF(J739="object pictures",11,IF(J739="faces",12,IF(J739="names",13,IF(J739="idioms",14,IF(J739="grades",15,IF(J739="syllable-digit pairs",16,IF(J739="trigram-word pairs",17,IF(J739="word-digit pairs",18,IF(J739="English-Swahili pairs",19,IF(J739="spatial position",20,IF(J739="word pairs",21,IF(J739="word triads",22,IF(J739="generated words",23,IF(J739="word definition pairs",24,IF(J739="math problems",25,IF(J739="famous faces",26,IF(J739="famous names",27,IF(J739="famous voices",28,IF(J739="television programs",29,IF(J739="race horses",30,IF(J739="new vocabulary",31,IF(J739="sentences",32,IF(J739="concepts",33,IF(J739="ad slides",34,IF(J739="scenes",35,IF(J739="famous scenes",36,IF(J739="poems",37,IF(J739="walk",38,IF(J739="faces and events",39,IF(J739="events and names",40,IF(J739="flashbulb",41,IF(J739="stories",42,IF(J739="course material",43,IF(J739="autobiographical",44,IF(J739="novels",45,IF(J739="public events",46,"99"))))))))))))))))))))))))))))))))))))))))))))))</f>
        <v>10</v>
      </c>
      <c r="L739" s="69">
        <f>IF(J739="syllables",1,IF(J739="trigrams",1,IF(J739="strings",1,IF(J739="visual array",1,IF(J739="characters",1,IF(J739="letters",1,IF(J739="free forms",1,IF(J739="odors",2,IF(J739="words",2,IF(J739="pictures",2,IF(J739="object pictures",2,IF(J739="faces",2,IF(J739="names",2,IF(J739="idioms","2",IF(J739="grades",2,IF(J739="syllable-digit pairs",3,IF(J739="trigram-word pairs",3,IF(J739="word-digit pairs",3,IF(J739="English-Swahili pairs",3,IF(J739="spatial position",3,IF(J739="word pairs",4,IF(J739="word triads",4,IF(J739="generated words",4,IF(J739="word definition pairs",4,IF(J739="math problems",4,IF(J739="famous faces",4,IF(J739="famous names",4,IF(J739="famous voices",4,IF(J739="television programs",4,IF(J739="race horses",4,IF(J739="new vocabulary",4,IF(J739="sentences",5,IF(J739="concepts",5,IF(J739="ad slides",5,IF(J739="scenes",5,IF(J739="famous scenes",5,IF(J739="poems",6,IF(J739="walk",6,IF(J739="faces and events",6,IF(J739="events and names",6,IF(J739="flashbulb",7,IF(J739="stories",7,IF(J739="course material",7,IF(J739="autobiographical",7,IF(J739="novels",7,IF(J739="public events",7,"99"))))))))))))))))))))))))))))))))))))))))))))))</f>
        <v>2</v>
      </c>
      <c r="M739" s="69">
        <v>0</v>
      </c>
      <c r="N739" s="69">
        <v>1</v>
      </c>
      <c r="O739" s="69">
        <v>0</v>
      </c>
      <c r="P739" s="69"/>
      <c r="Q739" s="153" t="s">
        <v>34</v>
      </c>
      <c r="R739" s="69">
        <f>IF(Q739="Free Recall",1,IF(Q739="Cued Recall",2,IF(Q739="Recognition",3,IF(Q739="Multiple Choice",4,IF(Q739="Savings",5,IF(Q739="Stem Completion",6,IF(Q739="Fragment Completion",7,IF(Q739="anagram solution",8,IF(Q739="Matching",9,IF(Q739="Problem Solving",10,"99"))))))))))</f>
        <v>3</v>
      </c>
      <c r="S739" s="92" t="s">
        <v>15</v>
      </c>
      <c r="T739" s="92" t="s">
        <v>581</v>
      </c>
      <c r="U739" s="69">
        <f>IF(T739="within",1,0)</f>
        <v>1</v>
      </c>
      <c r="V739" s="92">
        <v>22</v>
      </c>
      <c r="W739" s="69">
        <f>F739*V739</f>
        <v>396</v>
      </c>
      <c r="X739" s="69">
        <v>3</v>
      </c>
      <c r="Y739" s="87">
        <f>AV738</f>
        <v>600</v>
      </c>
      <c r="Z739" s="69" t="s">
        <v>931</v>
      </c>
      <c r="AA739" s="69">
        <f>60*60*32</f>
        <v>115200</v>
      </c>
      <c r="AB739" s="69" t="str">
        <f>IF(AA739&lt;60,"1",IF(AA739&lt;=43200,"2",IF(AA739&lt;=777600,"3","4")))</f>
        <v>3</v>
      </c>
      <c r="AC739" s="72">
        <f>AVERAGE(AV738:DA738)</f>
        <v>41000</v>
      </c>
      <c r="AD739" s="69" t="str">
        <f>IF(AC739&lt;60,"1",IF(AC739&lt;=43200,"2",IF(AC739&lt;=777600,"3","4")))</f>
        <v>2</v>
      </c>
      <c r="AE739" s="87">
        <f>AA739-Y739</f>
        <v>114600</v>
      </c>
      <c r="AF739" s="88">
        <f>AV739</f>
        <v>0.90500000000000003</v>
      </c>
      <c r="AG739" s="72">
        <f>((AW739-AV739)+(AX739-AW739))/2</f>
        <v>-6.6500000000000004E-2</v>
      </c>
      <c r="AH739" s="4"/>
      <c r="AI739" s="72">
        <f>RSQ(AV739:AX739,AV738:AX738)</f>
        <v>0.93255926007368251</v>
      </c>
      <c r="AJ739" s="110">
        <f>SLOPE(AV739:AX739,AV738:AX738)</f>
        <v>-1.0203810517569539E-6</v>
      </c>
      <c r="AK739" s="72">
        <f>INTERCEPT(AV739:AX739,AV738:AX738)</f>
        <v>0.88850228978870183</v>
      </c>
      <c r="AL739" s="72">
        <f>INDEX(LINEST(LN(AV739:AX739),LN(AV738:AX738),TRUE,TRUE),3,1)</f>
        <v>0.96187581239093423</v>
      </c>
      <c r="AM739" s="72">
        <f>INDEX(LINEST(LN(AV739:AX739),LN(AV738:AX738)),1)</f>
        <v>-3.0424455677092052E-2</v>
      </c>
      <c r="AN739" s="72">
        <f>EXP(INDEX(LINEST(LN(AV739:AX739),LN(AV738:AX738)),1,2))</f>
        <v>1.1101539222831247</v>
      </c>
      <c r="AO739" s="89">
        <f>INDEX(LINEST((AV739:AX739),LN(AV738:AX738),TRUE,TRUE),3,1)</f>
        <v>0.96864810805917334</v>
      </c>
      <c r="AP739" s="89">
        <f>INDEX(LINEST((AV739:AX739),LN(AV738:AX738)),1)</f>
        <v>-2.5441817408239427E-2</v>
      </c>
      <c r="AQ739" s="90">
        <f>INDEX(LINEST(LN(AV739:AX739),SQRT(AV738:AX738),TRUE,TRUE),3,1)</f>
        <v>0.98707271910119454</v>
      </c>
      <c r="AR739" s="117">
        <f>INDEX(LINEST(LN(AV739:AX739),SQRT((AV738:AX738))),1)</f>
        <v>-4.8497805183845346E-4</v>
      </c>
      <c r="AS739" s="91">
        <f>INDEX(LINEST(1/(AV739:AX739),1/(SQRT(AV738:AX738)),TRUE,TRUE),3,1)</f>
        <v>0.73145429358120617</v>
      </c>
      <c r="AT739" s="91">
        <f>INDEX(LINEST(1/(AV739:AX739),1/SQRT(AV738:AX738)),1)</f>
        <v>-4.2354602479122985</v>
      </c>
      <c r="AU739" s="3"/>
      <c r="AV739" s="73">
        <v>0.90500000000000003</v>
      </c>
      <c r="AW739" s="73">
        <v>0.86299999999999999</v>
      </c>
      <c r="AX739" s="73">
        <v>0.77200000000000002</v>
      </c>
      <c r="AY739" s="53"/>
      <c r="AZ739" s="53"/>
      <c r="BA739" s="53"/>
      <c r="BB739" s="53"/>
      <c r="BC739" s="53"/>
      <c r="BD739" s="53"/>
      <c r="BE739" s="53"/>
      <c r="BF739" s="53"/>
      <c r="BG739" s="53"/>
      <c r="BH739" s="53"/>
      <c r="BI739" s="53"/>
      <c r="BJ739" s="53"/>
      <c r="BK739" s="53"/>
      <c r="BL739" s="53"/>
      <c r="BM739" s="53"/>
      <c r="BN739" s="53"/>
      <c r="BO739" s="53"/>
      <c r="BP739" s="53"/>
      <c r="BQ739" s="53"/>
      <c r="BR739" s="53"/>
      <c r="BS739" s="53"/>
      <c r="BT739" s="53"/>
      <c r="BU739" s="53"/>
      <c r="BV739" s="53"/>
      <c r="BW739" s="53"/>
      <c r="BX739" s="53"/>
      <c r="BY739" s="53"/>
      <c r="BZ739" s="53"/>
      <c r="CA739" s="53"/>
      <c r="CB739" s="53"/>
      <c r="CC739" s="53"/>
      <c r="CD739" s="53"/>
      <c r="CE739" s="53"/>
      <c r="CF739" s="53"/>
      <c r="CG739" s="53"/>
      <c r="CH739" s="53"/>
      <c r="CI739" s="53"/>
      <c r="CJ739" s="53"/>
      <c r="CK739" s="53"/>
      <c r="CL739" s="53"/>
      <c r="CM739" s="53"/>
      <c r="CN739" s="53"/>
      <c r="CO739" s="53"/>
      <c r="CP739" s="53"/>
      <c r="CQ739" s="53"/>
      <c r="CR739" s="1"/>
      <c r="CS739" s="1"/>
      <c r="CT739" s="1"/>
      <c r="CU739" s="1"/>
    </row>
    <row r="740" spans="1:99" s="13" customFormat="1" ht="12" customHeight="1" x14ac:dyDescent="0.2">
      <c r="A740" s="65">
        <v>43978</v>
      </c>
      <c r="B740" s="1"/>
      <c r="C740" s="1"/>
      <c r="D740" s="60"/>
      <c r="E740" s="76"/>
      <c r="F740" s="60"/>
      <c r="G740" s="60"/>
      <c r="H740" s="60"/>
      <c r="I740" s="60"/>
      <c r="J740" s="60"/>
      <c r="K740" s="60"/>
      <c r="L740" s="60"/>
      <c r="M740" s="60"/>
      <c r="N740" s="60"/>
      <c r="O740" s="60"/>
      <c r="P740" s="60"/>
      <c r="Q740" s="178"/>
      <c r="R740" s="60"/>
      <c r="S740" s="59"/>
      <c r="T740" s="59"/>
      <c r="U740" s="60"/>
      <c r="V740" s="59"/>
      <c r="W740" s="60"/>
      <c r="X740" s="60"/>
      <c r="Y740" s="76"/>
      <c r="Z740" s="60"/>
      <c r="AA740" s="60"/>
      <c r="AB740" s="60"/>
      <c r="AC740" s="56"/>
      <c r="AD740" s="60"/>
      <c r="AE740" s="76"/>
      <c r="AF740" s="80"/>
      <c r="AG740" s="56"/>
      <c r="AH740" s="4"/>
      <c r="AI740" s="56"/>
      <c r="AJ740" s="109"/>
      <c r="AK740" s="56"/>
      <c r="AL740" s="56"/>
      <c r="AM740" s="56"/>
      <c r="AN740" s="56"/>
      <c r="AO740" s="82"/>
      <c r="AP740" s="82"/>
      <c r="AQ740" s="83"/>
      <c r="AR740" s="116"/>
      <c r="AS740" s="84"/>
      <c r="AT740" s="84"/>
      <c r="AU740" s="3"/>
      <c r="AV740" s="25">
        <v>30</v>
      </c>
      <c r="AW740" s="25">
        <f>60*30</f>
        <v>1800</v>
      </c>
      <c r="AX740" s="25">
        <f>60*60</f>
        <v>3600</v>
      </c>
      <c r="AY740" s="25">
        <f>60*60*24</f>
        <v>86400</v>
      </c>
      <c r="AZ740" s="25">
        <f>60*60*24*7</f>
        <v>604800</v>
      </c>
      <c r="BA740" s="25">
        <f>60*60*24*41</f>
        <v>3542400</v>
      </c>
      <c r="BB740" s="25"/>
      <c r="BC740" s="53"/>
      <c r="BD740" s="53"/>
      <c r="BE740" s="53"/>
      <c r="BF740" s="53"/>
      <c r="BG740" s="53"/>
      <c r="BH740" s="53"/>
      <c r="BI740" s="53"/>
      <c r="BJ740" s="53"/>
      <c r="BK740" s="53"/>
      <c r="BL740" s="53"/>
      <c r="BM740" s="53"/>
      <c r="BN740" s="53"/>
      <c r="BO740" s="53"/>
      <c r="BP740" s="53"/>
      <c r="BQ740" s="53"/>
      <c r="BR740" s="53"/>
      <c r="BS740" s="53"/>
      <c r="BT740" s="53"/>
      <c r="BU740" s="53"/>
      <c r="BV740" s="53"/>
      <c r="BW740" s="53"/>
      <c r="BX740" s="53"/>
      <c r="BY740" s="53"/>
      <c r="BZ740" s="53"/>
      <c r="CA740" s="53"/>
      <c r="CB740" s="53"/>
      <c r="CC740" s="53"/>
      <c r="CD740" s="53"/>
      <c r="CE740" s="53"/>
      <c r="CF740" s="53"/>
      <c r="CG740" s="53"/>
      <c r="CH740" s="53"/>
      <c r="CI740" s="53"/>
      <c r="CJ740" s="53"/>
      <c r="CK740" s="53"/>
      <c r="CL740" s="53"/>
      <c r="CM740" s="53"/>
      <c r="CN740" s="53"/>
      <c r="CO740" s="53"/>
      <c r="CP740" s="53"/>
      <c r="CQ740" s="53"/>
      <c r="CR740" s="1"/>
      <c r="CS740" s="1"/>
      <c r="CT740" s="1"/>
      <c r="CU740" s="1"/>
    </row>
    <row r="741" spans="1:99" s="13" customFormat="1" ht="12" customHeight="1" x14ac:dyDescent="0.2">
      <c r="A741" s="65">
        <v>43978</v>
      </c>
      <c r="B741" s="1" t="s">
        <v>971</v>
      </c>
      <c r="C741" s="1" t="s">
        <v>972</v>
      </c>
      <c r="D741" s="60">
        <v>1998</v>
      </c>
      <c r="E741" s="76">
        <v>1</v>
      </c>
      <c r="F741" s="60">
        <v>2</v>
      </c>
      <c r="G741" s="60">
        <v>2</v>
      </c>
      <c r="H741" s="60" t="s">
        <v>41</v>
      </c>
      <c r="I741" s="60" t="s">
        <v>330</v>
      </c>
      <c r="J741" s="60" t="s">
        <v>677</v>
      </c>
      <c r="K741" s="60">
        <f>IF(J741="syllables",1,IF(J741="trigrams",2,IF(J741="strings",3,IF(J741="visual array",4,IF(J741="characters",5,IF(J741="letters",6,IF(J741="free forms",7,IF(J741="odors",8,IF(J741="words",9,IF(J741="pictures",10,IF(J741="object pictures",11,IF(J741="faces",12,IF(J741="names",13,IF(J741="idioms",14,IF(J741="grades",15,IF(J741="syllable-digit pairs",16,IF(J741="trigram-word pairs",17,IF(J741="word-digit pairs",18,IF(J741="English-Swahili pairs",19,IF(J741="spatial position",20,IF(J741="word pairs",21,IF(J741="word triads",22,IF(J741="generated words",23,IF(J741="word definition pairs",24,IF(J741="math problems",25,IF(J741="famous faces",26,IF(J741="famous names",27,IF(J741="famous voices",28,IF(J741="television programs",29,IF(J741="race horses",30,IF(J741="new vocabulary",31,IF(J741="sentences",32,IF(J741="concepts",33,IF(J741="ad slides",34,IF(J741="scenes",35,IF(J741="famous scenes",36,IF(J741="poems",37,IF(J741="walk",38,IF(J741="faces and events",39,IF(J741="events and names",40,IF(J741="flashbulb",41,IF(J741="stories",42,IF(J741="course material",43,IF(J741="autobiographical",44,IF(J741="novels",45,IF(J741="public events",46,"99"))))))))))))))))))))))))))))))))))))))))))))))</f>
        <v>42</v>
      </c>
      <c r="L741" s="60">
        <f>IF(J741="syllables",1,IF(J741="trigrams",1,IF(J741="strings",1,IF(J741="visual array",1,IF(J741="characters",1,IF(J741="letters",1,IF(J741="free forms",1,IF(J741="odors",2,IF(J741="words",2,IF(J741="pictures",2,IF(J741="object pictures",2,IF(J741="faces",2,IF(J741="names",2,IF(J741="idioms","2",IF(J741="grades",2,IF(J741="syllable-digit pairs",3,IF(J741="trigram-word pairs",3,IF(J741="word-digit pairs",3,IF(J741="English-Swahili pairs",3,IF(J741="spatial position",3,IF(J741="word pairs",4,IF(J741="word triads",4,IF(J741="generated words",4,IF(J741="word definition pairs",4,IF(J741="math problems",4,IF(J741="famous faces",4,IF(J741="famous names",4,IF(J741="famous voices",4,IF(J741="television programs",4,IF(J741="race horses",4,IF(J741="new vocabulary",4,IF(J741="sentences",5,IF(J741="concepts",5,IF(J741="ad slides",5,IF(J741="scenes",5,IF(J741="famous scenes",5,IF(J741="poems",6,IF(J741="walk",6,IF(J741="faces and events",6,IF(J741="events and names",6,IF(J741="flashbulb",7,IF(J741="stories",7,IF(J741="course material",7,IF(J741="autobiographical",7,IF(J741="novels",7,IF(J741="public events",7,"99"))))))))))))))))))))))))))))))))))))))))))))))</f>
        <v>7</v>
      </c>
      <c r="M741" s="60">
        <v>1</v>
      </c>
      <c r="N741" s="60">
        <v>4</v>
      </c>
      <c r="O741" s="60">
        <v>0</v>
      </c>
      <c r="P741" s="60"/>
      <c r="Q741" s="178" t="s">
        <v>174</v>
      </c>
      <c r="R741" s="60">
        <f>IF(Q741="Free Recall",1,IF(Q741="Cued Recall",2,IF(Q741="Recognition",3,IF(Q741="Multiple Choice",4,IF(Q741="Savings",5,IF(Q741="Stem Completion",6,IF(Q741="Fragment Completion",7,IF(Q741="anagram solution",8,IF(Q741="Matching",9,IF(Q741="Problem Solving",10,"99"))))))))))</f>
        <v>1</v>
      </c>
      <c r="S741" s="60" t="s">
        <v>49</v>
      </c>
      <c r="T741" s="59" t="s">
        <v>581</v>
      </c>
      <c r="U741" s="60">
        <f>IF(T741="within",1,0)</f>
        <v>1</v>
      </c>
      <c r="V741" s="59">
        <v>8</v>
      </c>
      <c r="W741" s="60">
        <f>F741*V741</f>
        <v>16</v>
      </c>
      <c r="X741" s="60">
        <v>6</v>
      </c>
      <c r="Y741" s="76">
        <f>AV740</f>
        <v>30</v>
      </c>
      <c r="Z741" s="60" t="s">
        <v>973</v>
      </c>
      <c r="AA741" s="76">
        <f>60*60*24*41</f>
        <v>3542400</v>
      </c>
      <c r="AB741" s="60" t="str">
        <f>IF(AA741&lt;60,"1",IF(AA741&lt;=43200,"2",IF(AA741&lt;=777600,"3","4")))</f>
        <v>4</v>
      </c>
      <c r="AC741" s="56">
        <f>AVERAGE(AV740:DA740)</f>
        <v>706505</v>
      </c>
      <c r="AD741" s="60" t="str">
        <f>IF(AC741&lt;60,"1",IF(AC741&lt;=43200,"2",IF(AC741&lt;=777600,"3","4")))</f>
        <v>3</v>
      </c>
      <c r="AE741" s="76">
        <f>AA741-Y741</f>
        <v>3542370</v>
      </c>
      <c r="AF741" s="80">
        <f>AV741</f>
        <v>0.70500000000000007</v>
      </c>
      <c r="AG741" s="56">
        <f>((AW741-AV741)+(AX741-AW741)+(AY741-AX741)+(AZ741-AY741)+(BA741-AZ741))/5</f>
        <v>-2.0999999999999998E-2</v>
      </c>
      <c r="AH741" s="4"/>
      <c r="AI741" s="56">
        <f>RSQ(AV741:BA741,AV740:BA740)</f>
        <v>0.48180198562205073</v>
      </c>
      <c r="AJ741" s="109">
        <f>SLOPE(AV741:BA741,AV740:BA740)</f>
        <v>-4.9107700331161615E-8</v>
      </c>
      <c r="AK741" s="56">
        <f>INTERCEPT(AV741:BA741,AV740:BA740)</f>
        <v>0.77219483582246751</v>
      </c>
      <c r="AL741" s="56">
        <f>INDEX(LINEST(LN(AV741:BA741),LN(AV740:BA740),TRUE,TRUE),3,1)</f>
        <v>8.8772772627733823E-2</v>
      </c>
      <c r="AM741" s="56">
        <f>INDEX(LINEST(LN(AV741:BA741),LN(AV740:BA740)),1)</f>
        <v>-9.410267272012841E-3</v>
      </c>
      <c r="AN741" s="56">
        <f>EXP(INDEX(LINEST(LN(AV741:BA741),LN(AV740:BA740)),1,2))</f>
        <v>0.80267979047702254</v>
      </c>
      <c r="AO741" s="82">
        <f>INDEX(LINEST((AV741:BA741),LN(AV740:BA740),TRUE,TRUE),3,1)</f>
        <v>7.4046924327976854E-2</v>
      </c>
      <c r="AP741" s="82">
        <f>INDEX(LINEST((AV741:BA741),LN(AV740:BA740)),1)</f>
        <v>-6.3402162038255711E-3</v>
      </c>
      <c r="AQ741" s="83">
        <f>INDEX(LINEST(LN(AV741:BA741),SQRT(AV740:BA740),TRUE,TRUE),3,1)</f>
        <v>0.47532516057817153</v>
      </c>
      <c r="AR741" s="116">
        <f>INDEX(LINEST(LN(AV741:BA741),SQRT((AV740:BA740))),1)</f>
        <v>-1.2732905060834908E-4</v>
      </c>
      <c r="AS741" s="84">
        <f>INDEX(LINEST(1/(AV741:BA741),1/(SQRT(AV740:BA740)),TRUE,TRUE),3,1)</f>
        <v>4.8376925087935726E-3</v>
      </c>
      <c r="AT741" s="84">
        <f>INDEX(LINEST(1/(AV741:BA741),1/SQRT(AV740:BA740)),1)</f>
        <v>0.18111109126545416</v>
      </c>
      <c r="AU741" s="3"/>
      <c r="AV741" s="53">
        <f>(0.86+0.55)/2</f>
        <v>0.70500000000000007</v>
      </c>
      <c r="AW741" s="53">
        <f>(0.84+0.55)/2</f>
        <v>0.69500000000000006</v>
      </c>
      <c r="AX741" s="53">
        <f>(0.94+0.83)/2</f>
        <v>0.88500000000000001</v>
      </c>
      <c r="AY741" s="53">
        <f>(0.8+0.83)/2</f>
        <v>0.81499999999999995</v>
      </c>
      <c r="AZ741" s="53">
        <f>(0.8+0.65)/2</f>
        <v>0.72500000000000009</v>
      </c>
      <c r="BA741" s="53">
        <f>(0.55+0.65)/2</f>
        <v>0.60000000000000009</v>
      </c>
      <c r="BB741" s="53"/>
      <c r="BC741" s="53"/>
      <c r="BD741" s="53"/>
      <c r="BE741" s="53"/>
      <c r="BF741" s="53"/>
      <c r="BG741" s="53"/>
      <c r="BH741" s="53"/>
      <c r="BI741" s="53"/>
      <c r="BJ741" s="53"/>
      <c r="BK741" s="53"/>
      <c r="BL741" s="53"/>
      <c r="BM741" s="53"/>
      <c r="BN741" s="53"/>
      <c r="BO741" s="53"/>
      <c r="BP741" s="53"/>
      <c r="BQ741" s="53"/>
      <c r="BR741" s="53"/>
      <c r="BS741" s="53"/>
      <c r="BT741" s="53"/>
      <c r="BU741" s="53"/>
      <c r="BV741" s="53"/>
      <c r="BW741" s="53"/>
      <c r="BX741" s="53"/>
      <c r="BY741" s="53"/>
      <c r="BZ741" s="53"/>
      <c r="CA741" s="53"/>
      <c r="CB741" s="53"/>
      <c r="CC741" s="53"/>
      <c r="CD741" s="53"/>
      <c r="CE741" s="53"/>
      <c r="CF741" s="53"/>
      <c r="CG741" s="53"/>
      <c r="CH741" s="53"/>
      <c r="CI741" s="53"/>
      <c r="CJ741" s="53"/>
      <c r="CK741" s="53"/>
      <c r="CL741" s="53"/>
      <c r="CM741" s="53"/>
      <c r="CN741" s="53"/>
      <c r="CO741" s="53"/>
      <c r="CP741" s="53"/>
      <c r="CQ741" s="53"/>
      <c r="CR741" s="1"/>
      <c r="CS741" s="1"/>
      <c r="CT741" s="1"/>
      <c r="CU741" s="1"/>
    </row>
    <row r="742" spans="1:99" s="13" customFormat="1" ht="12" customHeight="1" x14ac:dyDescent="0.2">
      <c r="A742" s="65">
        <v>43978</v>
      </c>
      <c r="B742" s="1"/>
      <c r="C742" s="1"/>
      <c r="D742" s="60"/>
      <c r="E742" s="76"/>
      <c r="F742" s="60"/>
      <c r="G742" s="60"/>
      <c r="H742" s="60"/>
      <c r="I742" s="60"/>
      <c r="J742" s="60"/>
      <c r="K742" s="60"/>
      <c r="L742" s="60"/>
      <c r="M742" s="60"/>
      <c r="N742" s="60"/>
      <c r="O742" s="60"/>
      <c r="P742" s="60"/>
      <c r="Q742" s="178"/>
      <c r="R742" s="60"/>
      <c r="S742" s="59"/>
      <c r="T742" s="59"/>
      <c r="U742" s="60"/>
      <c r="V742" s="59"/>
      <c r="W742" s="60"/>
      <c r="X742" s="60"/>
      <c r="Y742" s="76"/>
      <c r="Z742" s="60"/>
      <c r="AA742" s="60"/>
      <c r="AB742" s="60"/>
      <c r="AC742" s="56"/>
      <c r="AD742" s="60"/>
      <c r="AE742" s="76"/>
      <c r="AF742" s="80"/>
      <c r="AG742" s="56"/>
      <c r="AH742" s="4"/>
      <c r="AI742" s="56"/>
      <c r="AJ742" s="109"/>
      <c r="AK742" s="56"/>
      <c r="AL742" s="56"/>
      <c r="AM742" s="56"/>
      <c r="AN742" s="56"/>
      <c r="AO742" s="82"/>
      <c r="AP742" s="82"/>
      <c r="AQ742" s="83"/>
      <c r="AR742" s="116"/>
      <c r="AS742" s="84"/>
      <c r="AT742" s="84"/>
      <c r="AU742" s="3"/>
      <c r="AV742" s="25">
        <v>30</v>
      </c>
      <c r="AW742" s="25">
        <f>60*30</f>
        <v>1800</v>
      </c>
      <c r="AX742" s="25">
        <f>60*60</f>
        <v>3600</v>
      </c>
      <c r="AY742" s="25">
        <f>60*60*24</f>
        <v>86400</v>
      </c>
      <c r="AZ742" s="25">
        <f>60*60*24*7</f>
        <v>604800</v>
      </c>
      <c r="BA742" s="25">
        <f>60*60*24*41</f>
        <v>3542400</v>
      </c>
      <c r="BB742" s="53"/>
      <c r="BC742" s="53"/>
      <c r="BD742" s="53"/>
      <c r="BE742" s="53"/>
      <c r="BF742" s="53"/>
      <c r="BG742" s="53"/>
      <c r="BH742" s="53"/>
      <c r="BI742" s="53"/>
      <c r="BJ742" s="53"/>
      <c r="BK742" s="53"/>
      <c r="BL742" s="53"/>
      <c r="BM742" s="53"/>
      <c r="BN742" s="53"/>
      <c r="BO742" s="53"/>
      <c r="BP742" s="53"/>
      <c r="BQ742" s="53"/>
      <c r="BR742" s="53"/>
      <c r="BS742" s="53"/>
      <c r="BT742" s="53"/>
      <c r="BU742" s="53"/>
      <c r="BV742" s="53"/>
      <c r="BW742" s="53"/>
      <c r="BX742" s="53"/>
      <c r="BY742" s="53"/>
      <c r="BZ742" s="53"/>
      <c r="CA742" s="53"/>
      <c r="CB742" s="53"/>
      <c r="CC742" s="53"/>
      <c r="CD742" s="53"/>
      <c r="CE742" s="53"/>
      <c r="CF742" s="53"/>
      <c r="CG742" s="53"/>
      <c r="CH742" s="53"/>
      <c r="CI742" s="53"/>
      <c r="CJ742" s="53"/>
      <c r="CK742" s="53"/>
      <c r="CL742" s="53"/>
      <c r="CM742" s="53"/>
      <c r="CN742" s="53"/>
      <c r="CO742" s="53"/>
      <c r="CP742" s="53"/>
      <c r="CQ742" s="53"/>
      <c r="CR742" s="1"/>
      <c r="CS742" s="1"/>
      <c r="CT742" s="1"/>
      <c r="CU742" s="1"/>
    </row>
    <row r="743" spans="1:99" s="13" customFormat="1" ht="12" customHeight="1" x14ac:dyDescent="0.2">
      <c r="A743" s="65">
        <v>43978</v>
      </c>
      <c r="B743" s="1" t="s">
        <v>971</v>
      </c>
      <c r="C743" s="1" t="s">
        <v>972</v>
      </c>
      <c r="D743" s="60">
        <v>1998</v>
      </c>
      <c r="E743" s="76">
        <v>1</v>
      </c>
      <c r="F743" s="60">
        <v>2</v>
      </c>
      <c r="G743" s="60">
        <v>2</v>
      </c>
      <c r="H743" s="60" t="s">
        <v>41</v>
      </c>
      <c r="I743" s="60" t="s">
        <v>330</v>
      </c>
      <c r="J743" s="60" t="s">
        <v>317</v>
      </c>
      <c r="K743" s="60">
        <f>IF(J743="syllables",1,IF(J743="trigrams",2,IF(J743="strings",3,IF(J743="visual array",4,IF(J743="characters",5,IF(J743="letters",6,IF(J743="free forms",7,IF(J743="odors",8,IF(J743="words",9,IF(J743="pictures",10,IF(J743="object pictures",11,IF(J743="faces",12,IF(J743="names",13,IF(J743="idioms",14,IF(J743="grades",15,IF(J743="syllable-digit pairs",16,IF(J743="trigram-word pairs",17,IF(J743="word-digit pairs",18,IF(J743="English-Swahili pairs",19,IF(J743="spatial position",20,IF(J743="word pairs",21,IF(J743="word triads",22,IF(J743="generated words",23,IF(J743="word definition pairs",24,IF(J743="math problems",25,IF(J743="famous faces",26,IF(J743="famous names",27,IF(J743="famous voices",28,IF(J743="television programs",29,IF(J743="race horses",30,IF(J743="new vocabulary",31,IF(J743="sentences",32,IF(J743="concepts",33,IF(J743="ad slides",34,IF(J743="scenes",35,IF(J743="famous scenes",36,IF(J743="poems",37,IF(J743="walk",38,IF(J743="faces and events",39,IF(J743="events and names",40,IF(J743="flashbulb",41,IF(J743="stories",42,IF(J743="course material",43,IF(J743="autobiographical",44,IF(J743="novels",45,IF(J743="public events",46,"99"))))))))))))))))))))))))))))))))))))))))))))))</f>
        <v>7</v>
      </c>
      <c r="L743" s="60">
        <f>IF(J743="syllables",1,IF(J743="trigrams",1,IF(J743="strings",1,IF(J743="visual array",1,IF(J743="characters",1,IF(J743="letters",1,IF(J743="free forms",1,IF(J743="odors",2,IF(J743="words",2,IF(J743="pictures",2,IF(J743="object pictures",2,IF(J743="faces",2,IF(J743="names",2,IF(J743="idioms","2",IF(J743="grades",2,IF(J743="syllable-digit pairs",3,IF(J743="trigram-word pairs",3,IF(J743="word-digit pairs",3,IF(J743="English-Swahili pairs",3,IF(J743="spatial position",3,IF(J743="word pairs",4,IF(J743="word triads",4,IF(J743="generated words",4,IF(J743="word definition pairs",4,IF(J743="math problems",4,IF(J743="famous faces",4,IF(J743="famous names",4,IF(J743="famous voices",4,IF(J743="television programs",4,IF(J743="race horses",4,IF(J743="new vocabulary",4,IF(J743="sentences",5,IF(J743="concepts",5,IF(J743="ad slides",5,IF(J743="scenes",5,IF(J743="famous scenes",5,IF(J743="poems",6,IF(J743="walk",6,IF(J743="faces and events",6,IF(J743="events and names",6,IF(J743="flashbulb",7,IF(J743="stories",7,IF(J743="course material",7,IF(J743="autobiographical",7,IF(J743="novels",7,IF(J743="public events",7,"99"))))))))))))))))))))))))))))))))))))))))))))))</f>
        <v>1</v>
      </c>
      <c r="M743" s="60">
        <v>1</v>
      </c>
      <c r="N743" s="60">
        <v>2</v>
      </c>
      <c r="O743" s="60">
        <v>0</v>
      </c>
      <c r="P743" s="60"/>
      <c r="Q743" s="178" t="s">
        <v>174</v>
      </c>
      <c r="R743" s="60">
        <f>IF(Q743="Free Recall",1,IF(Q743="Cued Recall",2,IF(Q743="Recognition",3,IF(Q743="Multiple Choice",4,IF(Q743="Savings",5,IF(Q743="Stem Completion",6,IF(Q743="Fragment Completion",7,IF(Q743="anagram solution",8,IF(Q743="Matching",9,IF(Q743="Problem Solving",10,"99"))))))))))</f>
        <v>1</v>
      </c>
      <c r="S743" s="60" t="s">
        <v>49</v>
      </c>
      <c r="T743" s="59" t="s">
        <v>581</v>
      </c>
      <c r="U743" s="60">
        <f>IF(T743="within",1,0)</f>
        <v>1</v>
      </c>
      <c r="V743" s="59">
        <v>8</v>
      </c>
      <c r="W743" s="60">
        <f>F743*V743</f>
        <v>16</v>
      </c>
      <c r="X743" s="60">
        <v>6</v>
      </c>
      <c r="Y743" s="76">
        <f>AV742</f>
        <v>30</v>
      </c>
      <c r="Z743" s="60" t="s">
        <v>973</v>
      </c>
      <c r="AA743" s="76">
        <f>60*60*24*41</f>
        <v>3542400</v>
      </c>
      <c r="AB743" s="60" t="str">
        <f>IF(AA743&lt;60,"1",IF(AA743&lt;=43200,"2",IF(AA743&lt;=777600,"3","4")))</f>
        <v>4</v>
      </c>
      <c r="AC743" s="56">
        <f>AVERAGE(AV742:DA742)</f>
        <v>706505</v>
      </c>
      <c r="AD743" s="60" t="str">
        <f>IF(AC743&lt;60,"1",IF(AC743&lt;=43200,"2",IF(AC743&lt;=777600,"3","4")))</f>
        <v>3</v>
      </c>
      <c r="AE743" s="76">
        <f>AA743-Y743</f>
        <v>3542370</v>
      </c>
      <c r="AF743" s="80">
        <f>AV743</f>
        <v>0.99</v>
      </c>
      <c r="AG743" s="56">
        <f>((AW743-AV743)+(AX743-AW743)+(AY743-AX743)+(AZ743-AY743)+(BA743-AZ743))/5</f>
        <v>-0.16599999999999998</v>
      </c>
      <c r="AH743" s="4"/>
      <c r="AI743" s="56">
        <f>RSQ(AV743:BA743,AV742:BA742)</f>
        <v>0.62356885119057182</v>
      </c>
      <c r="AJ743" s="109">
        <f>SLOPE(AV743:BA743,AV742:BA742)</f>
        <v>-1.5057311462001099E-7</v>
      </c>
      <c r="AK743" s="56">
        <f>INTERCEPT(AV743:BA743,AV742:BA742)</f>
        <v>0.66971399167794421</v>
      </c>
      <c r="AL743" s="56">
        <f>INDEX(LINEST(LN(AV743:BA743),LN(AV742:BA742),TRUE,TRUE),3,1)</f>
        <v>0.75234033542866263</v>
      </c>
      <c r="AM743" s="56">
        <f>INDEX(LINEST(LN(AV743:BA743),LN(AV742:BA742)),1)</f>
        <v>-0.12376574433129726</v>
      </c>
      <c r="AN743" s="56">
        <f>EXP(INDEX(LINEST(LN(AV743:BA743),LN(AV742:BA742)),1,2))</f>
        <v>1.6695920350654296</v>
      </c>
      <c r="AO743" s="82">
        <f>INDEX(LINEST((AV743:BA743),LN(AV742:BA742),TRUE,TRUE),3,1)</f>
        <v>0.89344098399317007</v>
      </c>
      <c r="AP743" s="82">
        <f>INDEX(LINEST((AV743:BA743),LN(AV742:BA742)),1)</f>
        <v>-5.9357201094800652E-2</v>
      </c>
      <c r="AQ743" s="83">
        <f>INDEX(LINEST(LN(AV743:BA743),SQRT(AV742:BA742),TRUE,TRUE),3,1)</f>
        <v>0.91651280206509655</v>
      </c>
      <c r="AR743" s="116">
        <f>INDEX(LINEST(LN(AV743:BA743),SQRT((AV742:BA742))),1)</f>
        <v>-7.9878993769156052E-4</v>
      </c>
      <c r="AS743" s="84">
        <f>INDEX(LINEST(1/(AV743:BA743),1/(SQRT(AV742:BA742)),TRUE,TRUE),3,1)</f>
        <v>0.17978820373245047</v>
      </c>
      <c r="AT743" s="84">
        <f>INDEX(LINEST(1/(AV743:BA743),1/SQRT(AV742:BA742)),1)</f>
        <v>-11.357996798864082</v>
      </c>
      <c r="AU743" s="3"/>
      <c r="AV743" s="53">
        <f>(1+0.98)/2</f>
        <v>0.99</v>
      </c>
      <c r="AW743" s="53">
        <f>(0.71+0.5)/2</f>
        <v>0.60499999999999998</v>
      </c>
      <c r="AX743" s="53">
        <f>(0.68+0.55)/2</f>
        <v>0.61499999999999999</v>
      </c>
      <c r="AY743" s="53">
        <f>(0.56+0.55)/2</f>
        <v>0.55500000000000005</v>
      </c>
      <c r="AZ743" s="53">
        <f>(0.52+0.39)/2</f>
        <v>0.45500000000000002</v>
      </c>
      <c r="BA743" s="53">
        <f>(0.22+0.1)/2</f>
        <v>0.16</v>
      </c>
      <c r="BB743" s="53"/>
      <c r="BC743" s="53"/>
      <c r="BD743" s="53"/>
      <c r="BE743" s="53"/>
      <c r="BF743" s="53"/>
      <c r="BG743" s="53"/>
      <c r="BH743" s="53"/>
      <c r="BI743" s="53"/>
      <c r="BJ743" s="53"/>
      <c r="BK743" s="53"/>
      <c r="BL743" s="53"/>
      <c r="BM743" s="53"/>
      <c r="BN743" s="53"/>
      <c r="BO743" s="53"/>
      <c r="BP743" s="53"/>
      <c r="BQ743" s="53"/>
      <c r="BR743" s="53"/>
      <c r="BS743" s="53"/>
      <c r="BT743" s="53"/>
      <c r="BU743" s="53"/>
      <c r="BV743" s="53"/>
      <c r="BW743" s="53"/>
      <c r="BX743" s="53"/>
      <c r="BY743" s="53"/>
      <c r="BZ743" s="53"/>
      <c r="CA743" s="53"/>
      <c r="CB743" s="53"/>
      <c r="CC743" s="53"/>
      <c r="CD743" s="53"/>
      <c r="CE743" s="53"/>
      <c r="CF743" s="53"/>
      <c r="CG743" s="53"/>
      <c r="CH743" s="53"/>
      <c r="CI743" s="53"/>
      <c r="CJ743" s="53"/>
      <c r="CK743" s="53"/>
      <c r="CL743" s="53"/>
      <c r="CM743" s="53"/>
      <c r="CN743" s="53"/>
      <c r="CO743" s="53"/>
      <c r="CP743" s="53"/>
      <c r="CQ743" s="53"/>
      <c r="CR743" s="1"/>
      <c r="CS743" s="1"/>
      <c r="CT743" s="1"/>
      <c r="CU743" s="1"/>
    </row>
    <row r="744" spans="1:99" s="13" customFormat="1" ht="12" customHeight="1" x14ac:dyDescent="0.2">
      <c r="A744" s="65">
        <v>43978</v>
      </c>
      <c r="B744" s="1"/>
      <c r="C744" s="1"/>
      <c r="D744" s="60"/>
      <c r="E744" s="76"/>
      <c r="F744" s="60"/>
      <c r="G744" s="60"/>
      <c r="H744" s="60"/>
      <c r="I744" s="60"/>
      <c r="J744" s="60"/>
      <c r="K744" s="60"/>
      <c r="L744" s="60"/>
      <c r="M744" s="60"/>
      <c r="N744" s="60"/>
      <c r="O744" s="60"/>
      <c r="P744" s="60"/>
      <c r="Q744" s="178"/>
      <c r="R744" s="60"/>
      <c r="S744" s="59"/>
      <c r="T744" s="59"/>
      <c r="U744" s="60"/>
      <c r="V744" s="59"/>
      <c r="W744" s="60"/>
      <c r="X744" s="60"/>
      <c r="Y744" s="76"/>
      <c r="Z744" s="60"/>
      <c r="AA744" s="60"/>
      <c r="AB744" s="60"/>
      <c r="AC744" s="56"/>
      <c r="AD744" s="60"/>
      <c r="AE744" s="76"/>
      <c r="AF744" s="80"/>
      <c r="AG744" s="56"/>
      <c r="AH744" s="4"/>
      <c r="AI744" s="56"/>
      <c r="AJ744" s="109"/>
      <c r="AK744" s="56"/>
      <c r="AL744" s="56"/>
      <c r="AM744" s="56"/>
      <c r="AN744" s="56"/>
      <c r="AO744" s="82"/>
      <c r="AP744" s="82"/>
      <c r="AQ744" s="83"/>
      <c r="AR744" s="116"/>
      <c r="AS744" s="84"/>
      <c r="AT744" s="84"/>
      <c r="AU744" s="3"/>
      <c r="AV744" s="25">
        <f>60*60*24*365*2</f>
        <v>63072000</v>
      </c>
      <c r="AW744" s="25">
        <f>60*60*24*365*7</f>
        <v>220752000</v>
      </c>
      <c r="AX744" s="25">
        <f>60*60*24*365*17</f>
        <v>536112000</v>
      </c>
      <c r="AY744" s="25">
        <f>60*60*24*365*27</f>
        <v>851472000</v>
      </c>
      <c r="AZ744" s="53"/>
      <c r="BA744" s="53"/>
      <c r="BB744" s="53"/>
      <c r="BC744" s="53"/>
      <c r="BD744" s="53"/>
      <c r="BE744" s="53"/>
      <c r="BF744" s="53"/>
      <c r="BG744" s="53"/>
      <c r="BH744" s="53"/>
      <c r="BI744" s="53"/>
      <c r="BJ744" s="53"/>
      <c r="BK744" s="53"/>
      <c r="BL744" s="53"/>
      <c r="BM744" s="53"/>
      <c r="BN744" s="53"/>
      <c r="BO744" s="53"/>
      <c r="BP744" s="53"/>
      <c r="BQ744" s="53"/>
      <c r="BR744" s="53"/>
      <c r="BS744" s="53"/>
      <c r="BT744" s="53"/>
      <c r="BU744" s="53"/>
      <c r="BV744" s="53"/>
      <c r="BW744" s="53"/>
      <c r="BX744" s="53"/>
      <c r="BY744" s="53"/>
      <c r="BZ744" s="53"/>
      <c r="CA744" s="53"/>
      <c r="CB744" s="53"/>
      <c r="CC744" s="53"/>
      <c r="CD744" s="53"/>
      <c r="CE744" s="53"/>
      <c r="CF744" s="53"/>
      <c r="CG744" s="53"/>
      <c r="CH744" s="53"/>
      <c r="CI744" s="53"/>
      <c r="CJ744" s="53"/>
      <c r="CK744" s="53"/>
      <c r="CL744" s="53"/>
      <c r="CM744" s="53"/>
      <c r="CN744" s="53"/>
      <c r="CO744" s="53"/>
      <c r="CP744" s="53"/>
      <c r="CQ744" s="53"/>
      <c r="CR744" s="1"/>
      <c r="CS744" s="1"/>
      <c r="CT744" s="1"/>
      <c r="CU744" s="1"/>
    </row>
    <row r="745" spans="1:99" s="13" customFormat="1" ht="12" customHeight="1" x14ac:dyDescent="0.2">
      <c r="A745" s="65">
        <v>43978</v>
      </c>
      <c r="B745" s="1" t="s">
        <v>971</v>
      </c>
      <c r="C745" s="1" t="s">
        <v>972</v>
      </c>
      <c r="D745" s="60">
        <v>1998</v>
      </c>
      <c r="E745" s="76">
        <v>1</v>
      </c>
      <c r="F745" s="60">
        <v>2</v>
      </c>
      <c r="G745" s="60">
        <v>2</v>
      </c>
      <c r="H745" s="60" t="s">
        <v>30</v>
      </c>
      <c r="I745" s="60" t="s">
        <v>330</v>
      </c>
      <c r="J745" s="60" t="s">
        <v>340</v>
      </c>
      <c r="K745" s="60">
        <f>IF(J745="syllables",1,IF(J745="trigrams",2,IF(J745="strings",3,IF(J745="visual array",4,IF(J745="characters",5,IF(J745="letters",6,IF(J745="free forms",7,IF(J745="odors",8,IF(J745="words",9,IF(J745="pictures",10,IF(J745="object pictures",11,IF(J745="faces",12,IF(J745="names",13,IF(J745="idioms",14,IF(J745="grades",15,IF(J745="syllable-digit pairs",16,IF(J745="trigram-word pairs",17,IF(J745="word-digit pairs",18,IF(J745="English-Swahili pairs",19,IF(J745="spatial position",20,IF(J745="word pairs",21,IF(J745="word triads",22,IF(J745="generated words",23,IF(J745="word definition pairs",24,IF(J745="math problems",25,IF(J745="famous faces",26,IF(J745="famous names",27,IF(J745="famous voices",28,IF(J745="television programs",29,IF(J745="race horses",30,IF(J745="new vocabulary",31,IF(J745="sentences",32,IF(J745="concepts",33,IF(J745="ad slides",34,IF(J745="scenes",35,IF(J745="famous scenes",36,IF(J745="poems",37,IF(J745="walk",38,IF(J745="faces and events",39,IF(J745="events and names",40,IF(J745="flashbulb",41,IF(J745="stories",42,IF(J745="course material",43,IF(J745="autobiographical",44,IF(J745="novels",45,IF(J745="public events",46,"99"))))))))))))))))))))))))))))))))))))))))))))))</f>
        <v>46</v>
      </c>
      <c r="L745" s="60">
        <f>IF(J745="syllables",1,IF(J745="trigrams",1,IF(J745="strings",1,IF(J745="visual array",1,IF(J745="characters",1,IF(J745="letters",1,IF(J745="free forms",1,IF(J745="odors",2,IF(J745="words",2,IF(J745="pictures",2,IF(J745="object pictures",2,IF(J745="faces",2,IF(J745="names",2,IF(J745="idioms","2",IF(J745="grades",2,IF(J745="syllable-digit pairs",3,IF(J745="trigram-word pairs",3,IF(J745="word-digit pairs",3,IF(J745="English-Swahili pairs",3,IF(J745="spatial position",3,IF(J745="word pairs",4,IF(J745="word triads",4,IF(J745="generated words",4,IF(J745="word definition pairs",4,IF(J745="math problems",4,IF(J745="famous faces",4,IF(J745="famous names",4,IF(J745="famous voices",4,IF(J745="television programs",4,IF(J745="race horses",4,IF(J745="new vocabulary",4,IF(J745="sentences",5,IF(J745="concepts",5,IF(J745="ad slides",5,IF(J745="scenes",5,IF(J745="famous scenes",5,IF(J745="poems",6,IF(J745="walk",6,IF(J745="faces and events",6,IF(J745="events and names",6,IF(J745="flashbulb",7,IF(J745="stories",7,IF(J745="course material",7,IF(J745="autobiographical",7,IF(J745="novels",7,IF(J745="public events",7,"99"))))))))))))))))))))))))))))))))))))))))))))))</f>
        <v>7</v>
      </c>
      <c r="M745" s="60">
        <v>1</v>
      </c>
      <c r="N745" s="60">
        <v>4</v>
      </c>
      <c r="O745" s="60">
        <v>0</v>
      </c>
      <c r="P745" s="60"/>
      <c r="Q745" s="178" t="s">
        <v>174</v>
      </c>
      <c r="R745" s="60">
        <f>IF(Q745="Free Recall",1,IF(Q745="Cued Recall",2,IF(Q745="Recognition",3,IF(Q745="Multiple Choice",4,IF(Q745="Savings",5,IF(Q745="Stem Completion",6,IF(Q745="Fragment Completion",7,IF(Q745="anagram solution",8,IF(Q745="Matching",9,IF(Q745="Problem Solving",10,"99"))))))))))</f>
        <v>1</v>
      </c>
      <c r="S745" s="60" t="s">
        <v>49</v>
      </c>
      <c r="T745" s="59" t="s">
        <v>581</v>
      </c>
      <c r="U745" s="60">
        <f>IF(T745="within",1,0)</f>
        <v>1</v>
      </c>
      <c r="V745" s="59">
        <v>8</v>
      </c>
      <c r="W745" s="60">
        <v>36</v>
      </c>
      <c r="X745" s="60">
        <v>4</v>
      </c>
      <c r="Y745" s="76">
        <f>AV744</f>
        <v>63072000</v>
      </c>
      <c r="Z745" s="60" t="s">
        <v>974</v>
      </c>
      <c r="AA745" s="76">
        <f>60*60*24*365*27</f>
        <v>851472000</v>
      </c>
      <c r="AB745" s="60" t="str">
        <f>IF(AA745&lt;60,"1",IF(AA745&lt;=43200,"2",IF(AA745&lt;=777600,"3","4")))</f>
        <v>4</v>
      </c>
      <c r="AC745" s="56">
        <f>AVERAGE(AV744:DA744)</f>
        <v>417852000</v>
      </c>
      <c r="AD745" s="60" t="str">
        <f>IF(AC745&lt;60,"1",IF(AC745&lt;=43200,"2",IF(AC745&lt;=777600,"3","4")))</f>
        <v>4</v>
      </c>
      <c r="AE745" s="76">
        <f>AA745-Y745</f>
        <v>788400000</v>
      </c>
      <c r="AF745" s="80">
        <f>AV745</f>
        <v>0.21428571428571427</v>
      </c>
      <c r="AG745" s="56">
        <f>((AW745-AV745)+(AX745-AW745)+(AY745-AX745))/3</f>
        <v>5.3571428571428582E-2</v>
      </c>
      <c r="AH745" s="4"/>
      <c r="AI745" s="56">
        <f>RSQ(AV745:AY745,AV744:AY744)</f>
        <v>0.37877733185659357</v>
      </c>
      <c r="AJ745" s="109">
        <f>SLOPE(AV745:AY745,AV744:AY744)</f>
        <v>2.7103042543023967E-10</v>
      </c>
      <c r="AK745" s="56">
        <f>INTERCEPT(AV745:AY745,AV744:AY744)</f>
        <v>6.7820823244552075E-2</v>
      </c>
      <c r="AL745" s="56">
        <f>INDEX(LINEST(LN(AV745:AY745),LN(AV744:AY744),TRUE,TRUE),3,1)</f>
        <v>3.4846052005003451E-2</v>
      </c>
      <c r="AM745" s="56">
        <f>INDEX(LINEST(LN(AV745:AY745),LN(AV744:AY744)),1)</f>
        <v>0.26072204296897544</v>
      </c>
      <c r="AN745" s="56">
        <f>EXP(INDEX(LINEST(LN(AV745:AY745),LN(AV744:AY744)),1,2))</f>
        <v>6.2686774694305171E-4</v>
      </c>
      <c r="AO745" s="82">
        <f>INDEX(LINEST((AV745:AY745),LN(AV744:AY744),TRUE,TRUE),3,1)</f>
        <v>0.10373986606167805</v>
      </c>
      <c r="AP745" s="82">
        <f>INDEX(LINEST((AV745:AY745),LN(AV744:AY744)),1)</f>
        <v>4.3291604717356776E-2</v>
      </c>
      <c r="AQ745" s="83">
        <f>INDEX(LINEST(LN(AV745:AY745),SQRT(AV744:AY744),TRUE,TRUE),3,1)</f>
        <v>0.12015561628532818</v>
      </c>
      <c r="AR745" s="116">
        <f>INDEX(LINEST(LN(AV745:AY745),SQRT((AV744:AY744))),1)</f>
        <v>5.9557201779002286E-5</v>
      </c>
      <c r="AS745" s="84">
        <f>INDEX(LINEST(1/(AV745:AY745),1/(SQRT(AV744:AY744)),TRUE,TRUE),3,1)</f>
        <v>7.117701116919518E-5</v>
      </c>
      <c r="AT745" s="84">
        <f>INDEX(LINEST(1/(AV745:AY745),1/SQRT(AV744:AY744)),1)</f>
        <v>-9711.1854860665135</v>
      </c>
      <c r="AU745" s="3"/>
      <c r="AV745" s="53">
        <f>3/14</f>
        <v>0.21428571428571427</v>
      </c>
      <c r="AW745" s="53">
        <v>0.01</v>
      </c>
      <c r="AX745" s="53">
        <f>1/8</f>
        <v>0.125</v>
      </c>
      <c r="AY745" s="53">
        <f>3/8</f>
        <v>0.375</v>
      </c>
      <c r="AZ745" s="53"/>
      <c r="BA745" s="53"/>
      <c r="BB745" s="53"/>
      <c r="BC745" s="53"/>
      <c r="BD745" s="53"/>
      <c r="BE745" s="53"/>
      <c r="BF745" s="53"/>
      <c r="BG745" s="53"/>
      <c r="BH745" s="53"/>
      <c r="BI745" s="53"/>
      <c r="BJ745" s="53"/>
      <c r="BK745" s="53"/>
      <c r="BL745" s="53"/>
      <c r="BM745" s="53"/>
      <c r="BN745" s="53"/>
      <c r="BO745" s="53"/>
      <c r="BP745" s="53"/>
      <c r="BQ745" s="53"/>
      <c r="BR745" s="53"/>
      <c r="BS745" s="53"/>
      <c r="BT745" s="53"/>
      <c r="BU745" s="53"/>
      <c r="BV745" s="53"/>
      <c r="BW745" s="53"/>
      <c r="BX745" s="53"/>
      <c r="BY745" s="53"/>
      <c r="BZ745" s="53"/>
      <c r="CA745" s="53"/>
      <c r="CB745" s="53"/>
      <c r="CC745" s="53"/>
      <c r="CD745" s="53"/>
      <c r="CE745" s="53"/>
      <c r="CF745" s="53"/>
      <c r="CG745" s="53"/>
      <c r="CH745" s="53"/>
      <c r="CI745" s="53"/>
      <c r="CJ745" s="53"/>
      <c r="CK745" s="53"/>
      <c r="CL745" s="53"/>
      <c r="CM745" s="53"/>
      <c r="CN745" s="53"/>
      <c r="CO745" s="53"/>
      <c r="CP745" s="53"/>
      <c r="CQ745" s="53"/>
      <c r="CR745" s="1"/>
      <c r="CS745" s="1"/>
      <c r="CT745" s="1"/>
      <c r="CU745" s="1"/>
    </row>
    <row r="746" spans="1:99" s="13" customFormat="1" ht="12" customHeight="1" x14ac:dyDescent="0.2">
      <c r="A746" s="68">
        <v>43509</v>
      </c>
      <c r="B746" s="70"/>
      <c r="C746" s="70"/>
      <c r="D746" s="69"/>
      <c r="E746" s="87"/>
      <c r="F746" s="69"/>
      <c r="G746" s="69"/>
      <c r="H746" s="69"/>
      <c r="I746" s="69"/>
      <c r="J746" s="69"/>
      <c r="K746" s="107"/>
      <c r="L746" s="107"/>
      <c r="M746" s="69"/>
      <c r="N746" s="69"/>
      <c r="O746" s="69"/>
      <c r="P746" s="69"/>
      <c r="Q746" s="69"/>
      <c r="R746" s="69"/>
      <c r="S746" s="69"/>
      <c r="T746" s="69"/>
      <c r="U746" s="69"/>
      <c r="V746" s="69"/>
      <c r="W746" s="69"/>
      <c r="X746" s="69"/>
      <c r="Y746" s="87"/>
      <c r="Z746" s="69"/>
      <c r="AA746" s="69"/>
      <c r="AB746" s="69"/>
      <c r="AC746" s="69"/>
      <c r="AD746" s="69"/>
      <c r="AE746" s="69"/>
      <c r="AF746" s="88"/>
      <c r="AG746" s="72"/>
      <c r="AH746" s="4"/>
      <c r="AI746" s="72"/>
      <c r="AJ746" s="110"/>
      <c r="AK746" s="72"/>
      <c r="AL746" s="72"/>
      <c r="AM746" s="72"/>
      <c r="AN746" s="72"/>
      <c r="AO746" s="72"/>
      <c r="AP746" s="72"/>
      <c r="AQ746" s="72"/>
      <c r="AR746" s="110"/>
      <c r="AS746" s="72"/>
      <c r="AT746" s="72"/>
      <c r="AU746" s="4"/>
      <c r="AV746" s="71">
        <f>20*60</f>
        <v>1200</v>
      </c>
      <c r="AW746" s="71">
        <f>60*60</f>
        <v>3600</v>
      </c>
      <c r="AX746" s="71">
        <f>4*60*60</f>
        <v>14400</v>
      </c>
      <c r="AY746" s="71">
        <f>24*3600</f>
        <v>86400</v>
      </c>
      <c r="AZ746" s="71">
        <f>24*3600*2</f>
        <v>172800</v>
      </c>
      <c r="BA746" s="73"/>
      <c r="BB746" s="73"/>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1"/>
      <c r="CS746" s="1"/>
      <c r="CT746" s="1"/>
      <c r="CU746" s="1"/>
    </row>
    <row r="747" spans="1:99" s="13" customFormat="1" ht="12" customHeight="1" x14ac:dyDescent="0.2">
      <c r="A747" s="68">
        <v>43509</v>
      </c>
      <c r="B747" s="70" t="s">
        <v>118</v>
      </c>
      <c r="C747" s="70" t="s">
        <v>119</v>
      </c>
      <c r="D747" s="69">
        <v>1922</v>
      </c>
      <c r="E747" s="87">
        <v>2</v>
      </c>
      <c r="F747" s="69">
        <v>20</v>
      </c>
      <c r="G747" s="69">
        <v>20</v>
      </c>
      <c r="H747" s="69" t="s">
        <v>725</v>
      </c>
      <c r="I747" s="69"/>
      <c r="J747" s="69" t="s">
        <v>281</v>
      </c>
      <c r="K747" s="69">
        <f>IF(J747="syllables",1,IF(J747="trigrams",2,IF(J747="strings",3,IF(J747="visual array",4,IF(J747="characters",5,IF(J747="letters",6,IF(J747="free forms",7,IF(J747="odors",8,IF(J747="words",9,IF(J747="pictures",10,IF(J747="object pictures",11,IF(J747="faces",12,IF(J747="names",13,IF(J747="idioms",14,IF(J747="grades",15,IF(J747="syllable-digit pairs",16,IF(J747="trigram-word pairs",17,IF(J747="word-digit pairs",18,IF(J747="English-Swahili pairs",19,IF(J747="spatial position",20,IF(J747="word pairs",21,IF(J747="word triads",22,IF(J747="generated words",23,IF(J747="word definition pairs",24,IF(J747="math problems",25,IF(J747="famous faces",26,IF(J747="famous names",27,IF(J747="famous voices",28,IF(J747="television programs",29,IF(J747="race horses",30,IF(J747="new vocabulary",31,IF(J747="sentences",32,IF(J747="concepts",33,IF(J747="ad slides",34,IF(J747="scenes",35,IF(J747="famous scenes",36,IF(J747="poems",37,IF(J747="walk",38,IF(J747="faces and events",39,IF(J747="events and names",40,IF(J747="flashbulb",41,IF(J747="stories",42,IF(J747="course material",43,IF(J747="autobiographical",44,IF(J747="novels",45,IF(J747="public events",46,"99"))))))))))))))))))))))))))))))))))))))))))))))</f>
        <v>1</v>
      </c>
      <c r="L747" s="69">
        <f>IF(J747="syllables",1,IF(J747="trigrams",1,IF(J747="strings",1,IF(J747="visual array",1,IF(J747="characters",1,IF(J747="letters",1,IF(J747="free forms",1,IF(J747="odors",2,IF(J747="words",2,IF(J747="pictures",2,IF(J747="object pictures",2,IF(J747="faces",2,IF(J747="names",2,IF(J747="idioms","2",IF(J747="grades",2,IF(J747="syllable-digit pairs",3,IF(J747="trigram-word pairs",3,IF(J747="word-digit pairs",3,IF(J747="English-Swahili pairs",3,IF(J747="spatial position",3,IF(J747="word pairs",4,IF(J747="word triads",4,IF(J747="generated words",4,IF(J747="word definition pairs",4,IF(J747="math problems",4,IF(J747="famous faces",4,IF(J747="famous names",4,IF(J747="famous voices",4,IF(J747="television programs",4,IF(J747="race horses",4,IF(J747="new vocabulary",4,IF(J747="sentences",5,IF(J747="concepts",5,IF(J747="ad slides",5,IF(J747="scenes",5,IF(J747="famous scenes",5,IF(J747="poems",6,IF(J747="walk",6,IF(J747="faces and events",6,IF(J747="events and names",6,IF(J747="flashbulb",7,IF(J747="stories",7,IF(J747="course material",7,IF(J747="autobiographical",7,IF(J747="novels",7,IF(J747="public events",7,"99"))))))))))))))))))))))))))))))))))))))))))))))</f>
        <v>1</v>
      </c>
      <c r="M747" s="69">
        <v>1</v>
      </c>
      <c r="N747" s="69">
        <v>2</v>
      </c>
      <c r="O747" s="69">
        <v>0</v>
      </c>
      <c r="P747" s="69"/>
      <c r="Q747" s="69" t="s">
        <v>174</v>
      </c>
      <c r="R747" s="69">
        <f>IF(Q747="Free Recall",1,IF(Q747="Cued Recall",2,IF(Q747="Recognition",3,IF(Q747="Multiple Choice",4,IF(Q747="Savings",5,IF(Q747="Stem Completion",6,IF(Q747="Fragment Completion",7,IF(Q747="anagram solution",8,IF(Q747="Matching",9,IF(Q747="Problem Solving",10,"99"))))))))))</f>
        <v>1</v>
      </c>
      <c r="S747" s="69" t="s">
        <v>49</v>
      </c>
      <c r="T747" s="92" t="s">
        <v>581</v>
      </c>
      <c r="U747" s="69">
        <f>IF(T747="within",1,0)</f>
        <v>1</v>
      </c>
      <c r="V747" s="92">
        <v>12</v>
      </c>
      <c r="W747" s="69">
        <f>F747*V747</f>
        <v>240</v>
      </c>
      <c r="X747" s="69">
        <v>5</v>
      </c>
      <c r="Y747" s="87">
        <f>AV746</f>
        <v>1200</v>
      </c>
      <c r="Z747" s="69" t="s">
        <v>88</v>
      </c>
      <c r="AA747" s="69">
        <v>172800</v>
      </c>
      <c r="AB747" s="69" t="str">
        <f>IF(AA747&lt;60,"1",IF(AA747&lt;=43200,"2",IF(AA747&lt;=777600,"3","4")))</f>
        <v>3</v>
      </c>
      <c r="AC747" s="72">
        <f>AVERAGE(AV746:DA746)</f>
        <v>55680</v>
      </c>
      <c r="AD747" s="69" t="str">
        <f>IF(AC747&lt;60,"1",IF(AC747&lt;=43200,"2",IF(AC747&lt;=777600,"3","4")))</f>
        <v>3</v>
      </c>
      <c r="AE747" s="87">
        <f>AA747-Y747</f>
        <v>171600</v>
      </c>
      <c r="AF747" s="88">
        <f>AV747</f>
        <v>0.97799999999999998</v>
      </c>
      <c r="AG747" s="72">
        <f>((AW747-AV747)+(AX747-AW747)+(AY747-AX747)+(AZ747-AY747))/4</f>
        <v>-6.5750000000000003E-2</v>
      </c>
      <c r="AH747" s="4"/>
      <c r="AI747" s="72">
        <f>RSQ(AV747:AZ747,AV746:AZ746)</f>
        <v>0.8859910911040636</v>
      </c>
      <c r="AJ747" s="110">
        <f>SLOPE(AV747:AZ747,AV746:AZ746)</f>
        <v>-1.5606737560856653E-6</v>
      </c>
      <c r="AK747" s="72">
        <f>INTERCEPT(AV747:AZ747,AV746:AZ746)</f>
        <v>0.95049831473884994</v>
      </c>
      <c r="AL747" s="72">
        <f>INDEX(LINEST(LN(AV747:AZ747),LN(AV746:AZ746),TRUE,TRUE),3,1)</f>
        <v>0.89715938094619674</v>
      </c>
      <c r="AM747" s="72">
        <f>INDEX(LINEST(LN(AV747:AZ747),LN(AV746:AZ746)),1)</f>
        <v>-6.6682039620420117E-2</v>
      </c>
      <c r="AN747" s="72">
        <f>EXP(INDEX(LINEST(LN(AV747:AZ747),LN(AV746:AZ746)),1,2))</f>
        <v>1.6303010871670902</v>
      </c>
      <c r="AO747" s="89">
        <f>INDEX(LINEST((AV747:AZ747),LN(AV746:AZ746),TRUE,TRUE),3,1)</f>
        <v>0.9053572397850046</v>
      </c>
      <c r="AP747" s="89">
        <f>INDEX(LINEST((AV747:AZ747),LN(AV746:AZ746)),1)</f>
        <v>-5.6076572031366449E-2</v>
      </c>
      <c r="AQ747" s="90">
        <f>INDEX(LINEST(LN(AV747:AZ747),SQRT(AV746:AZ746),TRUE,TRUE),3,1)</f>
        <v>0.96293416654847719</v>
      </c>
      <c r="AR747" s="117">
        <f>INDEX(LINEST(LN(AV747:AZ747),SQRT((AV746:AZ746))),1)</f>
        <v>-8.7995857429781473E-4</v>
      </c>
      <c r="AS747" s="91">
        <f>INDEX(LINEST(1/(AV747:AZ747),1/(SQRT(AV746:AZ746)),TRUE,TRUE),3,1)</f>
        <v>0.65536530555916461</v>
      </c>
      <c r="AT747" s="91">
        <f>INDEX(LINEST(1/(AV747:AZ747),1/SQRT(AV746:AZ746)),1)</f>
        <v>-12.994742269729803</v>
      </c>
      <c r="AU747" s="3"/>
      <c r="AV747" s="73">
        <v>0.97799999999999998</v>
      </c>
      <c r="AW747" s="73">
        <v>0.94599999999999995</v>
      </c>
      <c r="AX747" s="73">
        <v>0.93300000000000005</v>
      </c>
      <c r="AY747" s="73">
        <v>0.746</v>
      </c>
      <c r="AZ747" s="73">
        <v>0.71499999999999997</v>
      </c>
      <c r="BA747" s="73"/>
      <c r="BB747" s="73"/>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1"/>
      <c r="CS747" s="1"/>
      <c r="CT747" s="1"/>
      <c r="CU747" s="1"/>
    </row>
    <row r="748" spans="1:99" s="13" customFormat="1" ht="12" customHeight="1" x14ac:dyDescent="0.2">
      <c r="A748" s="68">
        <v>43509</v>
      </c>
      <c r="B748" s="70"/>
      <c r="C748" s="70"/>
      <c r="D748" s="69"/>
      <c r="E748" s="87"/>
      <c r="F748" s="69"/>
      <c r="G748" s="69"/>
      <c r="H748" s="69"/>
      <c r="I748" s="69"/>
      <c r="J748" s="69"/>
      <c r="K748" s="107"/>
      <c r="L748" s="107"/>
      <c r="M748" s="69"/>
      <c r="N748" s="69"/>
      <c r="O748" s="69"/>
      <c r="P748" s="69"/>
      <c r="Q748" s="69"/>
      <c r="R748" s="69"/>
      <c r="S748" s="69"/>
      <c r="T748" s="69"/>
      <c r="U748" s="69"/>
      <c r="V748" s="69"/>
      <c r="W748" s="69"/>
      <c r="X748" s="69"/>
      <c r="Y748" s="87"/>
      <c r="Z748" s="69"/>
      <c r="AA748" s="69"/>
      <c r="AB748" s="69"/>
      <c r="AC748" s="69"/>
      <c r="AD748" s="69"/>
      <c r="AE748" s="69"/>
      <c r="AF748" s="88"/>
      <c r="AG748" s="72"/>
      <c r="AH748" s="4"/>
      <c r="AI748" s="72"/>
      <c r="AJ748" s="110"/>
      <c r="AK748" s="72"/>
      <c r="AL748" s="72"/>
      <c r="AM748" s="72"/>
      <c r="AN748" s="72"/>
      <c r="AO748" s="72"/>
      <c r="AP748" s="72"/>
      <c r="AQ748" s="72"/>
      <c r="AR748" s="110"/>
      <c r="AS748" s="72"/>
      <c r="AT748" s="72"/>
      <c r="AU748" s="4"/>
      <c r="AV748" s="71">
        <f>20*60</f>
        <v>1200</v>
      </c>
      <c r="AW748" s="71">
        <f>60*60</f>
        <v>3600</v>
      </c>
      <c r="AX748" s="71">
        <f>4*60*60</f>
        <v>14400</v>
      </c>
      <c r="AY748" s="71">
        <f>24*3600</f>
        <v>86400</v>
      </c>
      <c r="AZ748" s="71">
        <f>24*3600*2</f>
        <v>172800</v>
      </c>
      <c r="BA748" s="73"/>
      <c r="BB748" s="73"/>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1"/>
      <c r="CS748" s="1"/>
      <c r="CT748" s="1"/>
      <c r="CU748" s="1"/>
    </row>
    <row r="749" spans="1:99" s="13" customFormat="1" ht="12" customHeight="1" x14ac:dyDescent="0.2">
      <c r="A749" s="68">
        <v>43509</v>
      </c>
      <c r="B749" s="70" t="s">
        <v>118</v>
      </c>
      <c r="C749" s="70" t="s">
        <v>119</v>
      </c>
      <c r="D749" s="69">
        <v>1922</v>
      </c>
      <c r="E749" s="87">
        <v>2</v>
      </c>
      <c r="F749" s="69">
        <v>20</v>
      </c>
      <c r="G749" s="69">
        <v>20</v>
      </c>
      <c r="H749" s="69" t="s">
        <v>725</v>
      </c>
      <c r="I749" s="69"/>
      <c r="J749" s="69" t="s">
        <v>281</v>
      </c>
      <c r="K749" s="69">
        <f>IF(J749="syllables",1,IF(J749="trigrams",2,IF(J749="strings",3,IF(J749="visual array",4,IF(J749="characters",5,IF(J749="letters",6,IF(J749="free forms",7,IF(J749="odors",8,IF(J749="words",9,IF(J749="pictures",10,IF(J749="object pictures",11,IF(J749="faces",12,IF(J749="names",13,IF(J749="idioms",14,IF(J749="grades",15,IF(J749="syllable-digit pairs",16,IF(J749="trigram-word pairs",17,IF(J749="word-digit pairs",18,IF(J749="English-Swahili pairs",19,IF(J749="spatial position",20,IF(J749="word pairs",21,IF(J749="word triads",22,IF(J749="generated words",23,IF(J749="word definition pairs",24,IF(J749="math problems",25,IF(J749="famous faces",26,IF(J749="famous names",27,IF(J749="famous voices",28,IF(J749="television programs",29,IF(J749="race horses",30,IF(J749="new vocabulary",31,IF(J749="sentences",32,IF(J749="concepts",33,IF(J749="ad slides",34,IF(J749="scenes",35,IF(J749="famous scenes",36,IF(J749="poems",37,IF(J749="walk",38,IF(J749="faces and events",39,IF(J749="events and names",40,IF(J749="flashbulb",41,IF(J749="stories",42,IF(J749="course material",43,IF(J749="autobiographical",44,IF(J749="novels",45,IF(J749="public events",46,"99"))))))))))))))))))))))))))))))))))))))))))))))</f>
        <v>1</v>
      </c>
      <c r="L749" s="69">
        <f>IF(J749="syllables",1,IF(J749="trigrams",1,IF(J749="strings",1,IF(J749="visual array",1,IF(J749="characters",1,IF(J749="letters",1,IF(J749="free forms",1,IF(J749="odors",2,IF(J749="words",2,IF(J749="pictures",2,IF(J749="object pictures",2,IF(J749="faces",2,IF(J749="names",2,IF(J749="idioms","2",IF(J749="grades",2,IF(J749="syllable-digit pairs",3,IF(J749="trigram-word pairs",3,IF(J749="word-digit pairs",3,IF(J749="English-Swahili pairs",3,IF(J749="spatial position",3,IF(J749="word pairs",4,IF(J749="word triads",4,IF(J749="generated words",4,IF(J749="word definition pairs",4,IF(J749="math problems",4,IF(J749="famous faces",4,IF(J749="famous names",4,IF(J749="famous voices",4,IF(J749="television programs",4,IF(J749="race horses",4,IF(J749="new vocabulary",4,IF(J749="sentences",5,IF(J749="concepts",5,IF(J749="ad slides",5,IF(J749="scenes",5,IF(J749="famous scenes",5,IF(J749="poems",6,IF(J749="walk",6,IF(J749="faces and events",6,IF(J749="events and names",6,IF(J749="flashbulb",7,IF(J749="stories",7,IF(J749="course material",7,IF(J749="autobiographical",7,IF(J749="novels",7,IF(J749="public events",7,"99"))))))))))))))))))))))))))))))))))))))))))))))</f>
        <v>1</v>
      </c>
      <c r="M749" s="69">
        <v>1</v>
      </c>
      <c r="N749" s="69">
        <v>2</v>
      </c>
      <c r="O749" s="69">
        <v>0</v>
      </c>
      <c r="P749" s="69"/>
      <c r="Q749" s="69" t="s">
        <v>182</v>
      </c>
      <c r="R749" s="69">
        <f>IF(Q749="Free Recall",1,IF(Q749="Cued Recall",2,IF(Q749="Recognition",3,IF(Q749="Multiple Choice",4,IF(Q749="Savings",5,IF(Q749="Stem Completion",6,IF(Q749="Fragment Completion",7,IF(Q749="anagram solution",8,IF(Q749="Matching",9,IF(Q749="Problem Solving",10,"99"))))))))))</f>
        <v>4</v>
      </c>
      <c r="S749" s="92" t="s">
        <v>15</v>
      </c>
      <c r="T749" s="92" t="s">
        <v>581</v>
      </c>
      <c r="U749" s="69">
        <f>IF(T749="within",1,0)</f>
        <v>1</v>
      </c>
      <c r="V749" s="92">
        <v>12</v>
      </c>
      <c r="W749" s="69">
        <f>F749*V749</f>
        <v>240</v>
      </c>
      <c r="X749" s="69">
        <v>5</v>
      </c>
      <c r="Y749" s="87">
        <f>AV748</f>
        <v>1200</v>
      </c>
      <c r="Z749" s="69" t="s">
        <v>88</v>
      </c>
      <c r="AA749" s="69">
        <v>172800</v>
      </c>
      <c r="AB749" s="69" t="str">
        <f>IF(AA749&lt;60,"1",IF(AA749&lt;=43200,"2",IF(AA749&lt;=777600,"3","4")))</f>
        <v>3</v>
      </c>
      <c r="AC749" s="72">
        <f>AVERAGE(AV748:DA748)</f>
        <v>55680</v>
      </c>
      <c r="AD749" s="69" t="str">
        <f>IF(AC749&lt;60,"1",IF(AC749&lt;=43200,"2",IF(AC749&lt;=777600,"3","4")))</f>
        <v>3</v>
      </c>
      <c r="AE749" s="87">
        <f>AA749-Y749</f>
        <v>171600</v>
      </c>
      <c r="AF749" s="88">
        <f>AV749</f>
        <v>0.91500000000000004</v>
      </c>
      <c r="AG749" s="72">
        <f>((AW749-AV749)+(AX749-AW749)+(AY749-AX749)+(AZ749-AY749))/4</f>
        <v>-0.13225000000000001</v>
      </c>
      <c r="AH749" s="4"/>
      <c r="AI749" s="72">
        <f>RSQ(AV749:AZ749,AV748:AZ748)</f>
        <v>0.91004281882293725</v>
      </c>
      <c r="AJ749" s="110">
        <f>SLOPE(AV749:AZ749,AV748:AZ748)</f>
        <v>-3.0321854396920371E-6</v>
      </c>
      <c r="AK749" s="72">
        <f>INTERCEPT(AV749:AZ749,AV748:AZ748)</f>
        <v>0.86103208528205255</v>
      </c>
      <c r="AL749" s="72">
        <f>INDEX(LINEST(LN(AV749:AZ749),LN(AV748:AZ748),TRUE,TRUE),3,1)</f>
        <v>0.91912988297147891</v>
      </c>
      <c r="AM749" s="72">
        <f>INDEX(LINEST(LN(AV749:AZ749),LN(AV748:AZ748)),1)</f>
        <v>-0.17382893632281318</v>
      </c>
      <c r="AN749" s="72">
        <f>EXP(INDEX(LINEST(LN(AV749:AZ749),LN(AV748:AZ748)),1,2))</f>
        <v>3.5151484778696522</v>
      </c>
      <c r="AO749" s="89">
        <f>INDEX(LINEST((AV749:AZ749),LN(AV748:AZ748),TRUE,TRUE),3,1)</f>
        <v>0.95518416415963436</v>
      </c>
      <c r="AP749" s="89">
        <f>INDEX(LINEST((AV749:AZ749),LN(AV748:AZ748)),1)</f>
        <v>-0.11041864648920337</v>
      </c>
      <c r="AQ749" s="90">
        <f>INDEX(LINEST(LN(AV749:AZ749),SQRT(AV748:AZ748),TRUE,TRUE),3,1)</f>
        <v>0.9983882793577552</v>
      </c>
      <c r="AR749" s="117">
        <f>INDEX(LINEST(LN(AV749:AZ749),SQRT((AV748:AZ748))),1)</f>
        <v>-2.3076674364709343E-3</v>
      </c>
      <c r="AS749" s="91">
        <f>INDEX(LINEST(1/(AV749:AZ749),1/(SQRT(AV748:AZ748)),TRUE,TRUE),3,1)</f>
        <v>0.61747943964498042</v>
      </c>
      <c r="AT749" s="91">
        <f>INDEX(LINEST(1/(AV749:AZ749),1/SQRT(AV748:AZ748)),1)</f>
        <v>-46.219178896754592</v>
      </c>
      <c r="AU749" s="3"/>
      <c r="AV749" s="73">
        <v>0.91500000000000004</v>
      </c>
      <c r="AW749" s="73">
        <v>0.89700000000000002</v>
      </c>
      <c r="AX749" s="73">
        <v>0.754</v>
      </c>
      <c r="AY749" s="73">
        <v>0.50900000000000001</v>
      </c>
      <c r="AZ749" s="73">
        <v>0.38600000000000001</v>
      </c>
      <c r="BA749" s="73"/>
      <c r="BB749" s="73"/>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1"/>
      <c r="CS749" s="1"/>
      <c r="CT749" s="1"/>
      <c r="CU749" s="1"/>
    </row>
    <row r="750" spans="1:99" s="13" customFormat="1" ht="12" customHeight="1" x14ac:dyDescent="0.2">
      <c r="A750" s="68">
        <v>43912</v>
      </c>
      <c r="B750" s="70"/>
      <c r="C750" s="70"/>
      <c r="D750" s="69"/>
      <c r="E750" s="87"/>
      <c r="F750" s="69"/>
      <c r="G750" s="69"/>
      <c r="H750" s="69"/>
      <c r="I750" s="69"/>
      <c r="J750" s="69"/>
      <c r="K750" s="107"/>
      <c r="L750" s="107"/>
      <c r="M750" s="69"/>
      <c r="N750" s="69"/>
      <c r="O750" s="69"/>
      <c r="P750" s="69"/>
      <c r="Q750" s="69"/>
      <c r="R750" s="69"/>
      <c r="S750" s="69"/>
      <c r="T750" s="92"/>
      <c r="U750" s="69"/>
      <c r="V750" s="92"/>
      <c r="W750" s="69"/>
      <c r="X750" s="69"/>
      <c r="Y750" s="87"/>
      <c r="Z750" s="69"/>
      <c r="AA750" s="69"/>
      <c r="AB750" s="69"/>
      <c r="AC750" s="72"/>
      <c r="AD750" s="69"/>
      <c r="AE750" s="69"/>
      <c r="AF750" s="88"/>
      <c r="AG750" s="72"/>
      <c r="AH750" s="4"/>
      <c r="AI750" s="72"/>
      <c r="AJ750" s="110"/>
      <c r="AK750" s="72"/>
      <c r="AL750" s="72"/>
      <c r="AM750" s="72"/>
      <c r="AN750" s="72"/>
      <c r="AO750" s="72"/>
      <c r="AP750" s="72"/>
      <c r="AQ750" s="72"/>
      <c r="AR750" s="110"/>
      <c r="AS750" s="72"/>
      <c r="AT750" s="72"/>
      <c r="AU750" s="4"/>
      <c r="AV750" s="71">
        <f>2*60*60</f>
        <v>7200</v>
      </c>
      <c r="AW750" s="71">
        <f>3*60*60</f>
        <v>10800</v>
      </c>
      <c r="AX750" s="71">
        <f>4*60*60</f>
        <v>14400</v>
      </c>
      <c r="AY750" s="71">
        <f>6*60*60</f>
        <v>21600</v>
      </c>
      <c r="AZ750" s="71">
        <f>12*60*60</f>
        <v>43200</v>
      </c>
      <c r="BA750" s="71">
        <f>24*3600</f>
        <v>86400</v>
      </c>
      <c r="BB750" s="71">
        <f>24*3600*2</f>
        <v>172800</v>
      </c>
      <c r="BC750" s="52"/>
      <c r="BD750" s="52"/>
      <c r="BE750" s="52"/>
      <c r="BF750" s="52"/>
      <c r="BG750" s="52"/>
      <c r="BH750" s="52"/>
      <c r="BI750" s="52"/>
      <c r="BJ750" s="52"/>
      <c r="BK750" s="52"/>
      <c r="BL750" s="52"/>
      <c r="BM750" s="52"/>
      <c r="BN750" s="52"/>
      <c r="BO750" s="52"/>
      <c r="BP750" s="52"/>
      <c r="BQ750" s="52"/>
      <c r="BR750" s="52"/>
      <c r="BS750" s="52"/>
      <c r="BT750" s="52"/>
      <c r="BU750" s="52"/>
      <c r="BV750" s="52"/>
      <c r="BW750" s="52"/>
      <c r="BX750" s="52"/>
      <c r="BY750" s="52"/>
      <c r="BZ750" s="52"/>
      <c r="CA750" s="52"/>
      <c r="CB750" s="52"/>
      <c r="CC750" s="52"/>
      <c r="CD750" s="52"/>
      <c r="CE750" s="52"/>
      <c r="CF750" s="52"/>
      <c r="CG750" s="52"/>
      <c r="CH750" s="52"/>
      <c r="CI750" s="52"/>
      <c r="CJ750" s="52"/>
      <c r="CK750" s="52"/>
      <c r="CL750" s="52"/>
      <c r="CM750" s="52"/>
      <c r="CN750" s="52"/>
      <c r="CO750" s="52"/>
      <c r="CP750" s="52"/>
      <c r="CQ750" s="52"/>
      <c r="CR750" s="1"/>
      <c r="CS750" s="1"/>
      <c r="CT750" s="1"/>
      <c r="CU750" s="1"/>
    </row>
    <row r="751" spans="1:99" s="13" customFormat="1" ht="12" customHeight="1" x14ac:dyDescent="0.2">
      <c r="A751" s="68">
        <v>43912</v>
      </c>
      <c r="B751" s="70" t="s">
        <v>118</v>
      </c>
      <c r="C751" s="70" t="s">
        <v>119</v>
      </c>
      <c r="D751" s="69">
        <v>1922</v>
      </c>
      <c r="E751" s="87">
        <v>3</v>
      </c>
      <c r="F751" s="69">
        <v>20</v>
      </c>
      <c r="G751" s="69">
        <v>20</v>
      </c>
      <c r="H751" s="69" t="s">
        <v>726</v>
      </c>
      <c r="I751" s="104">
        <v>1.5</v>
      </c>
      <c r="J751" s="69" t="s">
        <v>281</v>
      </c>
      <c r="K751" s="69">
        <f>IF(J751="syllables",1,IF(J751="trigrams",2,IF(J751="strings",3,IF(J751="visual array",4,IF(J751="characters",5,IF(J751="letters",6,IF(J751="free forms",7,IF(J751="odors",8,IF(J751="words",9,IF(J751="pictures",10,IF(J751="object pictures",11,IF(J751="faces",12,IF(J751="names",13,IF(J751="idioms",14,IF(J751="grades",15,IF(J751="syllable-digit pairs",16,IF(J751="trigram-word pairs",17,IF(J751="word-digit pairs",18,IF(J751="English-Swahili pairs",19,IF(J751="spatial position",20,IF(J751="word pairs",21,IF(J751="word triads",22,IF(J751="generated words",23,IF(J751="word definition pairs",24,IF(J751="math problems",25,IF(J751="famous faces",26,IF(J751="famous names",27,IF(J751="famous voices",28,IF(J751="television programs",29,IF(J751="race horses",30,IF(J751="new vocabulary",31,IF(J751="sentences",32,IF(J751="concepts",33,IF(J751="ad slides",34,IF(J751="scenes",35,IF(J751="famous scenes",36,IF(J751="poems",37,IF(J751="walk",38,IF(J751="faces and events",39,IF(J751="events and names",40,IF(J751="flashbulb",41,IF(J751="stories",42,IF(J751="course material",43,IF(J751="autobiographical",44,IF(J751="novels",45,IF(J751="public events",46,"99"))))))))))))))))))))))))))))))))))))))))))))))</f>
        <v>1</v>
      </c>
      <c r="L751" s="69">
        <f>IF(J751="syllables",1,IF(J751="trigrams",1,IF(J751="strings",1,IF(J751="visual array",1,IF(J751="characters",1,IF(J751="letters",1,IF(J751="free forms",1,IF(J751="odors",2,IF(J751="words",2,IF(J751="pictures",2,IF(J751="object pictures",2,IF(J751="faces",2,IF(J751="names",2,IF(J751="idioms","2",IF(J751="grades",2,IF(J751="syllable-digit pairs",3,IF(J751="trigram-word pairs",3,IF(J751="word-digit pairs",3,IF(J751="English-Swahili pairs",3,IF(J751="spatial position",3,IF(J751="word pairs",4,IF(J751="word triads",4,IF(J751="generated words",4,IF(J751="word definition pairs",4,IF(J751="math problems",4,IF(J751="famous faces",4,IF(J751="famous names",4,IF(J751="famous voices",4,IF(J751="television programs",4,IF(J751="race horses",4,IF(J751="new vocabulary",4,IF(J751="sentences",5,IF(J751="concepts",5,IF(J751="ad slides",5,IF(J751="scenes",5,IF(J751="famous scenes",5,IF(J751="poems",6,IF(J751="walk",6,IF(J751="faces and events",6,IF(J751="events and names",6,IF(J751="flashbulb",7,IF(J751="stories",7,IF(J751="course material",7,IF(J751="autobiographical",7,IF(J751="novels",7,IF(J751="public events",7,"99"))))))))))))))))))))))))))))))))))))))))))))))</f>
        <v>1</v>
      </c>
      <c r="M751" s="69">
        <v>1</v>
      </c>
      <c r="N751" s="69">
        <v>2</v>
      </c>
      <c r="O751" s="69">
        <v>0</v>
      </c>
      <c r="P751" s="69"/>
      <c r="Q751" s="69" t="s">
        <v>174</v>
      </c>
      <c r="R751" s="69">
        <f>IF(Q751="Free Recall",1,IF(Q751="Cued Recall",2,IF(Q751="Recognition",3,IF(Q751="Multiple Choice",4,IF(Q751="Savings",5,IF(Q751="Stem Completion",6,IF(Q751="Fragment Completion",7,IF(Q751="anagram solution",8,IF(Q751="Matching",9,IF(Q751="Problem Solving",10,"99"))))))))))</f>
        <v>1</v>
      </c>
      <c r="S751" s="69" t="s">
        <v>49</v>
      </c>
      <c r="T751" s="92" t="s">
        <v>581</v>
      </c>
      <c r="U751" s="69">
        <f>IF(T751="within",1,0)</f>
        <v>1</v>
      </c>
      <c r="V751" s="92">
        <v>12</v>
      </c>
      <c r="W751" s="69">
        <f>F751*V751</f>
        <v>240</v>
      </c>
      <c r="X751" s="69">
        <v>7</v>
      </c>
      <c r="Y751" s="87">
        <f>AV750</f>
        <v>7200</v>
      </c>
      <c r="Z751" s="69" t="s">
        <v>88</v>
      </c>
      <c r="AA751" s="69">
        <v>172800</v>
      </c>
      <c r="AB751" s="69" t="str">
        <f>IF(AA751&lt;60,"1",IF(AA751&lt;=43200,"2",IF(AA751&lt;=777600,"3","4")))</f>
        <v>3</v>
      </c>
      <c r="AC751" s="72">
        <f>AVERAGE(AV750:DA750)</f>
        <v>50914.285714285717</v>
      </c>
      <c r="AD751" s="69" t="str">
        <f>IF(AC751&lt;60,"1",IF(AC751&lt;=43200,"2",IF(AC751&lt;=777600,"3","4")))</f>
        <v>3</v>
      </c>
      <c r="AE751" s="87">
        <f>AA751-Y751</f>
        <v>165600</v>
      </c>
      <c r="AF751" s="88">
        <f>AV751</f>
        <v>0.88</v>
      </c>
      <c r="AG751" s="72">
        <f>((AW751-AV751)+(AX751-AW751)+(AY751-AX751)+(AZ751-AY751)+(BA751-AZ751)+(BB751-BA751))/6</f>
        <v>-9.5000000000000015E-2</v>
      </c>
      <c r="AH751" s="4"/>
      <c r="AI751" s="72">
        <f>RSQ(AV751:BB751,AV750:BB750)</f>
        <v>0.802886651772033</v>
      </c>
      <c r="AJ751" s="110">
        <f>SLOPE(AV751:BB751,AV750:BB750)</f>
        <v>-3.380702644786556E-6</v>
      </c>
      <c r="AK751" s="72">
        <f>INTERCEPT(AV751:BB751,AV750:BB750)</f>
        <v>0.80641177465741831</v>
      </c>
      <c r="AL751" s="72">
        <f>INDEX(LINEST(LN(AV751:BB751),LN(AV750:BB750),TRUE,TRUE),3,1)</f>
        <v>0.9811008851217965</v>
      </c>
      <c r="AM751" s="72">
        <f>INDEX(LINEST(LN(AV751:BB751),LN(AV750:BB750)),1)</f>
        <v>-0.34933459289627244</v>
      </c>
      <c r="AN751" s="72">
        <f>EXP(INDEX(LINEST(LN(AV751:BB751),LN(AV750:BB750)),1,2))</f>
        <v>21.406174925321391</v>
      </c>
      <c r="AO751" s="89">
        <f>INDEX(LINEST((AV751:BB751),LN(AV750:BB750),TRUE,TRUE),3,1)</f>
        <v>0.98060212916466805</v>
      </c>
      <c r="AP751" s="89">
        <f>INDEX(LINEST((AV751:BB751),LN(AV750:BB750)),1)</f>
        <v>-0.19507888680568869</v>
      </c>
      <c r="AQ751" s="90">
        <f>INDEX(LINEST(LN(AV751:BB751),SQRT(AV750:BB750),TRUE,TRUE),3,1)</f>
        <v>0.97101564722347755</v>
      </c>
      <c r="AR751" s="117">
        <f>INDEX(LINEST(LN(AV751:BB751),SQRT((AV750:BB750))),1)</f>
        <v>-3.3383482398798518E-3</v>
      </c>
      <c r="AS751" s="91">
        <f>INDEX(LINEST(1/(AV751:BB751),1/(SQRT(AV750:BB750)),TRUE,TRUE),3,1)</f>
        <v>0.82239080860818736</v>
      </c>
      <c r="AT751" s="91">
        <f>INDEX(LINEST(1/(AV751:BB751),1/SQRT(AV750:BB750)),1)</f>
        <v>-212.6919082366596</v>
      </c>
      <c r="AU751" s="3"/>
      <c r="AV751" s="73">
        <v>0.88</v>
      </c>
      <c r="AW751" s="73">
        <v>0.84</v>
      </c>
      <c r="AX751" s="73">
        <v>0.82</v>
      </c>
      <c r="AY751" s="73">
        <v>0.66</v>
      </c>
      <c r="AZ751" s="73">
        <v>0.54</v>
      </c>
      <c r="BA751" s="73">
        <v>0.39</v>
      </c>
      <c r="BB751" s="73">
        <v>0.31</v>
      </c>
      <c r="BC751" s="52"/>
      <c r="BD751" s="52"/>
      <c r="BE751" s="52"/>
      <c r="BF751" s="52"/>
      <c r="BG751" s="52"/>
      <c r="BH751" s="52"/>
      <c r="BI751" s="52"/>
      <c r="BJ751" s="52"/>
      <c r="BK751" s="52"/>
      <c r="BL751" s="52"/>
      <c r="BM751" s="52"/>
      <c r="BN751" s="52"/>
      <c r="BO751" s="52"/>
      <c r="BP751" s="52"/>
      <c r="BQ751" s="52"/>
      <c r="BR751" s="52"/>
      <c r="BS751" s="52"/>
      <c r="BT751" s="52"/>
      <c r="BU751" s="52"/>
      <c r="BV751" s="52"/>
      <c r="BW751" s="52"/>
      <c r="BX751" s="52"/>
      <c r="BY751" s="52"/>
      <c r="BZ751" s="52"/>
      <c r="CA751" s="52"/>
      <c r="CB751" s="52"/>
      <c r="CC751" s="52"/>
      <c r="CD751" s="52"/>
      <c r="CE751" s="52"/>
      <c r="CF751" s="52"/>
      <c r="CG751" s="52"/>
      <c r="CH751" s="52"/>
      <c r="CI751" s="52"/>
      <c r="CJ751" s="52"/>
      <c r="CK751" s="52"/>
      <c r="CL751" s="52"/>
      <c r="CM751" s="52"/>
      <c r="CN751" s="52"/>
      <c r="CO751" s="52"/>
      <c r="CP751" s="52"/>
      <c r="CQ751" s="52"/>
      <c r="CR751" s="1"/>
      <c r="CS751" s="1"/>
      <c r="CT751" s="1"/>
      <c r="CU751" s="1"/>
    </row>
    <row r="752" spans="1:99" s="13" customFormat="1" ht="12" customHeight="1" x14ac:dyDescent="0.2">
      <c r="A752" s="68">
        <v>43912</v>
      </c>
      <c r="B752" s="70"/>
      <c r="C752" s="70"/>
      <c r="D752" s="69"/>
      <c r="E752" s="87"/>
      <c r="F752" s="69"/>
      <c r="G752" s="69"/>
      <c r="H752" s="69"/>
      <c r="I752" s="69"/>
      <c r="J752" s="69"/>
      <c r="K752" s="107"/>
      <c r="L752" s="107"/>
      <c r="M752" s="69"/>
      <c r="N752" s="69"/>
      <c r="O752" s="69"/>
      <c r="P752" s="69"/>
      <c r="Q752" s="69"/>
      <c r="R752" s="69"/>
      <c r="S752" s="69"/>
      <c r="T752" s="92"/>
      <c r="U752" s="69"/>
      <c r="V752" s="92"/>
      <c r="W752" s="69"/>
      <c r="X752" s="69"/>
      <c r="Y752" s="87"/>
      <c r="Z752" s="69"/>
      <c r="AA752" s="69"/>
      <c r="AB752" s="69"/>
      <c r="AC752" s="72"/>
      <c r="AD752" s="69"/>
      <c r="AE752" s="69"/>
      <c r="AF752" s="88"/>
      <c r="AG752" s="72"/>
      <c r="AH752" s="4"/>
      <c r="AI752" s="72"/>
      <c r="AJ752" s="110"/>
      <c r="AK752" s="72"/>
      <c r="AL752" s="72"/>
      <c r="AM752" s="72"/>
      <c r="AN752" s="72"/>
      <c r="AO752" s="72"/>
      <c r="AP752" s="72"/>
      <c r="AQ752" s="72"/>
      <c r="AR752" s="110"/>
      <c r="AS752" s="72"/>
      <c r="AT752" s="72"/>
      <c r="AU752" s="4"/>
      <c r="AV752" s="71">
        <f>20*60</f>
        <v>1200</v>
      </c>
      <c r="AW752" s="71">
        <f>60*60</f>
        <v>3600</v>
      </c>
      <c r="AX752" s="71">
        <f>4*60*60</f>
        <v>14400</v>
      </c>
      <c r="AY752" s="71">
        <f>24*3600</f>
        <v>86400</v>
      </c>
      <c r="AZ752" s="71">
        <f>24*3600*2</f>
        <v>172800</v>
      </c>
      <c r="BA752" s="73"/>
      <c r="BB752" s="73"/>
      <c r="BC752" s="52"/>
      <c r="BD752" s="52"/>
      <c r="BE752" s="52"/>
      <c r="BF752" s="52"/>
      <c r="BG752" s="52"/>
      <c r="BH752" s="52"/>
      <c r="BI752" s="52"/>
      <c r="BJ752" s="52"/>
      <c r="BK752" s="52"/>
      <c r="BL752" s="52"/>
      <c r="BM752" s="52"/>
      <c r="BN752" s="52"/>
      <c r="BO752" s="52"/>
      <c r="BP752" s="52"/>
      <c r="BQ752" s="52"/>
      <c r="BR752" s="52"/>
      <c r="BS752" s="52"/>
      <c r="BT752" s="52"/>
      <c r="BU752" s="52"/>
      <c r="BV752" s="52"/>
      <c r="BW752" s="52"/>
      <c r="BX752" s="52"/>
      <c r="BY752" s="52"/>
      <c r="BZ752" s="52"/>
      <c r="CA752" s="52"/>
      <c r="CB752" s="52"/>
      <c r="CC752" s="52"/>
      <c r="CD752" s="52"/>
      <c r="CE752" s="52"/>
      <c r="CF752" s="52"/>
      <c r="CG752" s="52"/>
      <c r="CH752" s="52"/>
      <c r="CI752" s="52"/>
      <c r="CJ752" s="52"/>
      <c r="CK752" s="52"/>
      <c r="CL752" s="52"/>
      <c r="CM752" s="52"/>
      <c r="CN752" s="52"/>
      <c r="CO752" s="52"/>
      <c r="CP752" s="52"/>
      <c r="CQ752" s="52"/>
      <c r="CR752" s="1"/>
      <c r="CS752" s="1"/>
      <c r="CT752" s="1"/>
      <c r="CU752" s="1"/>
    </row>
    <row r="753" spans="1:99" s="13" customFormat="1" ht="12" customHeight="1" x14ac:dyDescent="0.2">
      <c r="A753" s="68">
        <v>43912</v>
      </c>
      <c r="B753" s="70" t="s">
        <v>118</v>
      </c>
      <c r="C753" s="70" t="s">
        <v>119</v>
      </c>
      <c r="D753" s="69">
        <v>1922</v>
      </c>
      <c r="E753" s="87">
        <v>3</v>
      </c>
      <c r="F753" s="69">
        <v>20</v>
      </c>
      <c r="G753" s="69">
        <v>20</v>
      </c>
      <c r="H753" s="69" t="s">
        <v>726</v>
      </c>
      <c r="I753" s="104">
        <v>1</v>
      </c>
      <c r="J753" s="69" t="s">
        <v>281</v>
      </c>
      <c r="K753" s="69">
        <f>IF(J753="syllables",1,IF(J753="trigrams",2,IF(J753="strings",3,IF(J753="visual array",4,IF(J753="characters",5,IF(J753="letters",6,IF(J753="free forms",7,IF(J753="odors",8,IF(J753="words",9,IF(J753="pictures",10,IF(J753="object pictures",11,IF(J753="faces",12,IF(J753="names",13,IF(J753="idioms",14,IF(J753="grades",15,IF(J753="syllable-digit pairs",16,IF(J753="trigram-word pairs",17,IF(J753="word-digit pairs",18,IF(J753="English-Swahili pairs",19,IF(J753="spatial position",20,IF(J753="word pairs",21,IF(J753="word triads",22,IF(J753="generated words",23,IF(J753="word definition pairs",24,IF(J753="math problems",25,IF(J753="famous faces",26,IF(J753="famous names",27,IF(J753="famous voices",28,IF(J753="television programs",29,IF(J753="race horses",30,IF(J753="new vocabulary",31,IF(J753="sentences",32,IF(J753="concepts",33,IF(J753="ad slides",34,IF(J753="scenes",35,IF(J753="famous scenes",36,IF(J753="poems",37,IF(J753="walk",38,IF(J753="faces and events",39,IF(J753="events and names",40,IF(J753="flashbulb",41,IF(J753="stories",42,IF(J753="course material",43,IF(J753="autobiographical",44,IF(J753="novels",45,IF(J753="public events",46,"99"))))))))))))))))))))))))))))))))))))))))))))))</f>
        <v>1</v>
      </c>
      <c r="L753" s="69">
        <f>IF(J753="syllables",1,IF(J753="trigrams",1,IF(J753="strings",1,IF(J753="visual array",1,IF(J753="characters",1,IF(J753="letters",1,IF(J753="free forms",1,IF(J753="odors",2,IF(J753="words",2,IF(J753="pictures",2,IF(J753="object pictures",2,IF(J753="faces",2,IF(J753="names",2,IF(J753="idioms","2",IF(J753="grades",2,IF(J753="syllable-digit pairs",3,IF(J753="trigram-word pairs",3,IF(J753="word-digit pairs",3,IF(J753="English-Swahili pairs",3,IF(J753="spatial position",3,IF(J753="word pairs",4,IF(J753="word triads",4,IF(J753="generated words",4,IF(J753="word definition pairs",4,IF(J753="math problems",4,IF(J753="famous faces",4,IF(J753="famous names",4,IF(J753="famous voices",4,IF(J753="television programs",4,IF(J753="race horses",4,IF(J753="new vocabulary",4,IF(J753="sentences",5,IF(J753="concepts",5,IF(J753="ad slides",5,IF(J753="scenes",5,IF(J753="famous scenes",5,IF(J753="poems",6,IF(J753="walk",6,IF(J753="faces and events",6,IF(J753="events and names",6,IF(J753="flashbulb",7,IF(J753="stories",7,IF(J753="course material",7,IF(J753="autobiographical",7,IF(J753="novels",7,IF(J753="public events",7,"99"))))))))))))))))))))))))))))))))))))))))))))))</f>
        <v>1</v>
      </c>
      <c r="M753" s="69">
        <v>1</v>
      </c>
      <c r="N753" s="69">
        <v>2</v>
      </c>
      <c r="O753" s="69">
        <v>0</v>
      </c>
      <c r="P753" s="69"/>
      <c r="Q753" s="69" t="s">
        <v>174</v>
      </c>
      <c r="R753" s="69">
        <f>IF(Q753="Free Recall",1,IF(Q753="Cued Recall",2,IF(Q753="Recognition",3,IF(Q753="Multiple Choice",4,IF(Q753="Savings",5,IF(Q753="Stem Completion",6,IF(Q753="Fragment Completion",7,IF(Q753="anagram solution",8,IF(Q753="Matching",9,IF(Q753="Problem Solving",10,"99"))))))))))</f>
        <v>1</v>
      </c>
      <c r="S753" s="69" t="s">
        <v>49</v>
      </c>
      <c r="T753" s="92" t="s">
        <v>581</v>
      </c>
      <c r="U753" s="69">
        <f>IF(T753="within",1,0)</f>
        <v>1</v>
      </c>
      <c r="V753" s="92">
        <v>12</v>
      </c>
      <c r="W753" s="69">
        <f>F753*V753</f>
        <v>240</v>
      </c>
      <c r="X753" s="69">
        <v>5</v>
      </c>
      <c r="Y753" s="87">
        <f>AV752</f>
        <v>1200</v>
      </c>
      <c r="Z753" s="69" t="s">
        <v>88</v>
      </c>
      <c r="AA753" s="69">
        <v>172800</v>
      </c>
      <c r="AB753" s="69" t="str">
        <f>IF(AA753&lt;60,"1",IF(AA753&lt;=43200,"2",IF(AA753&lt;=777600,"3","4")))</f>
        <v>3</v>
      </c>
      <c r="AC753" s="72">
        <f>AVERAGE(AV752:DA752)</f>
        <v>55680</v>
      </c>
      <c r="AD753" s="69" t="str">
        <f>IF(AC753&lt;60,"1",IF(AC753&lt;=43200,"2",IF(AC753&lt;=777600,"3","4")))</f>
        <v>3</v>
      </c>
      <c r="AE753" s="87">
        <f>AA753-Y753</f>
        <v>171600</v>
      </c>
      <c r="AF753" s="88">
        <f>AV753</f>
        <v>0.91</v>
      </c>
      <c r="AG753" s="72">
        <f>((AW753-AV753)+(AX753-AW753)+(AY753-AX753)+(AZ753-AY753))/4</f>
        <v>-0.1275</v>
      </c>
      <c r="AH753" s="4"/>
      <c r="AI753" s="72">
        <f>RSQ(AV753:AZ753,AV752:AZ752)</f>
        <v>0.78284547090079204</v>
      </c>
      <c r="AJ753" s="110">
        <f>SLOPE(AV753:AZ753,AV752:AZ752)</f>
        <v>-2.7315818810475614E-6</v>
      </c>
      <c r="AK753" s="72">
        <f>INTERCEPT(AV753:AZ753,AV752:AZ752)</f>
        <v>0.80809447913672816</v>
      </c>
      <c r="AL753" s="72">
        <f>INDEX(LINEST(LN(AV753:AZ753),LN(AV752:AZ752),TRUE,TRUE),3,1)</f>
        <v>0.98044590805907939</v>
      </c>
      <c r="AM753" s="72">
        <f>INDEX(LINEST(LN(AV753:AZ753),LN(AV752:AZ752)),1)</f>
        <v>-0.1738064470786348</v>
      </c>
      <c r="AN753" s="72">
        <f>EXP(INDEX(LINEST(LN(AV753:AZ753),LN(AV752:AZ752)),1,2))</f>
        <v>3.3352283543723154</v>
      </c>
      <c r="AO753" s="89">
        <f>INDEX(LINEST((AV753:AZ753),LN(AV752:AZ752),TRUE,TRUE),3,1)</f>
        <v>0.98596835286188</v>
      </c>
      <c r="AP753" s="89">
        <f>INDEX(LINEST((AV753:AZ753),LN(AV752:AZ752)),1)</f>
        <v>-0.10896366623413538</v>
      </c>
      <c r="AQ753" s="90">
        <f>INDEX(LINEST(LN(AV753:AZ753),SQRT(AV752:AZ752),TRUE,TRUE),3,1)</f>
        <v>0.95747948703363228</v>
      </c>
      <c r="AR753" s="117">
        <f>INDEX(LINEST(LN(AV753:AZ753),SQRT((AV752:AZ752))),1)</f>
        <v>-2.1878052349803873E-3</v>
      </c>
      <c r="AS753" s="91">
        <f>INDEX(LINEST(1/(AV753:AZ753),1/(SQRT(AV752:AZ752)),TRUE,TRUE),3,1)</f>
        <v>0.75743419944087531</v>
      </c>
      <c r="AT753" s="91">
        <f>INDEX(LINEST(1/(AV753:AZ753),1/SQRT(AV752:AZ752)),1)</f>
        <v>-49.013857984794541</v>
      </c>
      <c r="AU753" s="3"/>
      <c r="AV753" s="73">
        <v>0.91</v>
      </c>
      <c r="AW753" s="73">
        <v>0.86</v>
      </c>
      <c r="AX753" s="73">
        <v>0.65</v>
      </c>
      <c r="AY753" s="73">
        <v>0.46</v>
      </c>
      <c r="AZ753" s="73">
        <v>0.4</v>
      </c>
      <c r="BA753" s="73"/>
      <c r="BB753" s="73"/>
      <c r="BC753" s="52"/>
      <c r="BD753" s="52"/>
      <c r="BE753" s="52"/>
      <c r="BF753" s="52"/>
      <c r="BG753" s="52"/>
      <c r="BH753" s="52"/>
      <c r="BI753" s="52"/>
      <c r="BJ753" s="52"/>
      <c r="BK753" s="52"/>
      <c r="BL753" s="52"/>
      <c r="BM753" s="52"/>
      <c r="BN753" s="52"/>
      <c r="BO753" s="52"/>
      <c r="BP753" s="52"/>
      <c r="BQ753" s="52"/>
      <c r="BR753" s="52"/>
      <c r="BS753" s="52"/>
      <c r="BT753" s="52"/>
      <c r="BU753" s="52"/>
      <c r="BV753" s="52"/>
      <c r="BW753" s="52"/>
      <c r="BX753" s="52"/>
      <c r="BY753" s="52"/>
      <c r="BZ753" s="52"/>
      <c r="CA753" s="52"/>
      <c r="CB753" s="52"/>
      <c r="CC753" s="52"/>
      <c r="CD753" s="52"/>
      <c r="CE753" s="52"/>
      <c r="CF753" s="52"/>
      <c r="CG753" s="52"/>
      <c r="CH753" s="52"/>
      <c r="CI753" s="52"/>
      <c r="CJ753" s="52"/>
      <c r="CK753" s="52"/>
      <c r="CL753" s="52"/>
      <c r="CM753" s="52"/>
      <c r="CN753" s="52"/>
      <c r="CO753" s="52"/>
      <c r="CP753" s="52"/>
      <c r="CQ753" s="52"/>
      <c r="CR753" s="1"/>
      <c r="CS753" s="1"/>
      <c r="CT753" s="1"/>
      <c r="CU753" s="1"/>
    </row>
    <row r="754" spans="1:99" s="13" customFormat="1" ht="12" customHeight="1" x14ac:dyDescent="0.2">
      <c r="A754" s="68">
        <v>43912</v>
      </c>
      <c r="B754" s="70"/>
      <c r="C754" s="70"/>
      <c r="D754" s="69"/>
      <c r="E754" s="87"/>
      <c r="F754" s="69"/>
      <c r="G754" s="69"/>
      <c r="H754" s="69"/>
      <c r="I754" s="69"/>
      <c r="J754" s="69"/>
      <c r="K754" s="107"/>
      <c r="L754" s="107"/>
      <c r="M754" s="69"/>
      <c r="N754" s="69"/>
      <c r="O754" s="69"/>
      <c r="P754" s="69"/>
      <c r="Q754" s="69"/>
      <c r="R754" s="69"/>
      <c r="S754" s="69"/>
      <c r="T754" s="92"/>
      <c r="U754" s="69"/>
      <c r="V754" s="92"/>
      <c r="W754" s="69"/>
      <c r="X754" s="69"/>
      <c r="Y754" s="87"/>
      <c r="Z754" s="69"/>
      <c r="AA754" s="69"/>
      <c r="AB754" s="69"/>
      <c r="AC754" s="72"/>
      <c r="AD754" s="69"/>
      <c r="AE754" s="69"/>
      <c r="AF754" s="88"/>
      <c r="AG754" s="72"/>
      <c r="AH754" s="4"/>
      <c r="AI754" s="72"/>
      <c r="AJ754" s="110"/>
      <c r="AK754" s="72"/>
      <c r="AL754" s="72"/>
      <c r="AM754" s="72"/>
      <c r="AN754" s="72"/>
      <c r="AO754" s="72"/>
      <c r="AP754" s="72"/>
      <c r="AQ754" s="72"/>
      <c r="AR754" s="110"/>
      <c r="AS754" s="72"/>
      <c r="AT754" s="72"/>
      <c r="AU754" s="4"/>
      <c r="AV754" s="71">
        <f>20*60</f>
        <v>1200</v>
      </c>
      <c r="AW754" s="71">
        <f>60*60</f>
        <v>3600</v>
      </c>
      <c r="AX754" s="71">
        <f>4*60*60</f>
        <v>14400</v>
      </c>
      <c r="AY754" s="71">
        <f>24*3600</f>
        <v>86400</v>
      </c>
      <c r="AZ754" s="71">
        <f>24*3600*2</f>
        <v>172800</v>
      </c>
      <c r="BA754" s="73"/>
      <c r="BB754" s="73"/>
      <c r="BC754" s="52"/>
      <c r="BD754" s="52"/>
      <c r="BE754" s="52"/>
      <c r="BF754" s="52"/>
      <c r="BG754" s="52"/>
      <c r="BH754" s="52"/>
      <c r="BI754" s="52"/>
      <c r="BJ754" s="52"/>
      <c r="BK754" s="52"/>
      <c r="BL754" s="52"/>
      <c r="BM754" s="52"/>
      <c r="BN754" s="52"/>
      <c r="BO754" s="52"/>
      <c r="BP754" s="52"/>
      <c r="BQ754" s="52"/>
      <c r="BR754" s="52"/>
      <c r="BS754" s="52"/>
      <c r="BT754" s="52"/>
      <c r="BU754" s="52"/>
      <c r="BV754" s="52"/>
      <c r="BW754" s="52"/>
      <c r="BX754" s="52"/>
      <c r="BY754" s="52"/>
      <c r="BZ754" s="52"/>
      <c r="CA754" s="52"/>
      <c r="CB754" s="52"/>
      <c r="CC754" s="52"/>
      <c r="CD754" s="52"/>
      <c r="CE754" s="52"/>
      <c r="CF754" s="52"/>
      <c r="CG754" s="52"/>
      <c r="CH754" s="52"/>
      <c r="CI754" s="52"/>
      <c r="CJ754" s="52"/>
      <c r="CK754" s="52"/>
      <c r="CL754" s="52"/>
      <c r="CM754" s="52"/>
      <c r="CN754" s="52"/>
      <c r="CO754" s="52"/>
      <c r="CP754" s="52"/>
      <c r="CQ754" s="52"/>
      <c r="CR754" s="1"/>
      <c r="CS754" s="1"/>
      <c r="CT754" s="1"/>
      <c r="CU754" s="1"/>
    </row>
    <row r="755" spans="1:99" s="13" customFormat="1" ht="12" customHeight="1" x14ac:dyDescent="0.2">
      <c r="A755" s="68">
        <v>43912</v>
      </c>
      <c r="B755" s="70" t="s">
        <v>118</v>
      </c>
      <c r="C755" s="70" t="s">
        <v>119</v>
      </c>
      <c r="D755" s="69">
        <v>1922</v>
      </c>
      <c r="E755" s="87">
        <v>3</v>
      </c>
      <c r="F755" s="69">
        <v>20</v>
      </c>
      <c r="G755" s="69">
        <v>20</v>
      </c>
      <c r="H755" s="69" t="s">
        <v>726</v>
      </c>
      <c r="I755" s="104">
        <v>0.67</v>
      </c>
      <c r="J755" s="69" t="s">
        <v>281</v>
      </c>
      <c r="K755" s="69">
        <f>IF(J755="syllables",1,IF(J755="trigrams",2,IF(J755="strings",3,IF(J755="visual array",4,IF(J755="characters",5,IF(J755="letters",6,IF(J755="free forms",7,IF(J755="odors",8,IF(J755="words",9,IF(J755="pictures",10,IF(J755="object pictures",11,IF(J755="faces",12,IF(J755="names",13,IF(J755="idioms",14,IF(J755="grades",15,IF(J755="syllable-digit pairs",16,IF(J755="trigram-word pairs",17,IF(J755="word-digit pairs",18,IF(J755="English-Swahili pairs",19,IF(J755="spatial position",20,IF(J755="word pairs",21,IF(J755="word triads",22,IF(J755="generated words",23,IF(J755="word definition pairs",24,IF(J755="math problems",25,IF(J755="famous faces",26,IF(J755="famous names",27,IF(J755="famous voices",28,IF(J755="television programs",29,IF(J755="race horses",30,IF(J755="new vocabulary",31,IF(J755="sentences",32,IF(J755="concepts",33,IF(J755="ad slides",34,IF(J755="scenes",35,IF(J755="famous scenes",36,IF(J755="poems",37,IF(J755="walk",38,IF(J755="faces and events",39,IF(J755="events and names",40,IF(J755="flashbulb",41,IF(J755="stories",42,IF(J755="course material",43,IF(J755="autobiographical",44,IF(J755="novels",45,IF(J755="public events",46,"99"))))))))))))))))))))))))))))))))))))))))))))))</f>
        <v>1</v>
      </c>
      <c r="L755" s="69">
        <f>IF(J755="syllables",1,IF(J755="trigrams",1,IF(J755="strings",1,IF(J755="visual array",1,IF(J755="characters",1,IF(J755="letters",1,IF(J755="free forms",1,IF(J755="odors",2,IF(J755="words",2,IF(J755="pictures",2,IF(J755="object pictures",2,IF(J755="faces",2,IF(J755="names",2,IF(J755="idioms","2",IF(J755="grades",2,IF(J755="syllable-digit pairs",3,IF(J755="trigram-word pairs",3,IF(J755="word-digit pairs",3,IF(J755="English-Swahili pairs",3,IF(J755="spatial position",3,IF(J755="word pairs",4,IF(J755="word triads",4,IF(J755="generated words",4,IF(J755="word definition pairs",4,IF(J755="math problems",4,IF(J755="famous faces",4,IF(J755="famous names",4,IF(J755="famous voices",4,IF(J755="television programs",4,IF(J755="race horses",4,IF(J755="new vocabulary",4,IF(J755="sentences",5,IF(J755="concepts",5,IF(J755="ad slides",5,IF(J755="scenes",5,IF(J755="famous scenes",5,IF(J755="poems",6,IF(J755="walk",6,IF(J755="faces and events",6,IF(J755="events and names",6,IF(J755="flashbulb",7,IF(J755="stories",7,IF(J755="course material",7,IF(J755="autobiographical",7,IF(J755="novels",7,IF(J755="public events",7,"99"))))))))))))))))))))))))))))))))))))))))))))))</f>
        <v>1</v>
      </c>
      <c r="M755" s="69">
        <v>1</v>
      </c>
      <c r="N755" s="69">
        <v>2</v>
      </c>
      <c r="O755" s="69">
        <v>0</v>
      </c>
      <c r="P755" s="69"/>
      <c r="Q755" s="69" t="s">
        <v>174</v>
      </c>
      <c r="R755" s="69">
        <f>IF(Q755="Free Recall",1,IF(Q755="Cued Recall",2,IF(Q755="Recognition",3,IF(Q755="Multiple Choice",4,IF(Q755="Savings",5,IF(Q755="Stem Completion",6,IF(Q755="Fragment Completion",7,IF(Q755="anagram solution",8,IF(Q755="Matching",9,IF(Q755="Problem Solving",10,"99"))))))))))</f>
        <v>1</v>
      </c>
      <c r="S755" s="69" t="s">
        <v>49</v>
      </c>
      <c r="T755" s="92" t="s">
        <v>581</v>
      </c>
      <c r="U755" s="69">
        <f>IF(T755="within",1,0)</f>
        <v>1</v>
      </c>
      <c r="V755" s="92">
        <v>12</v>
      </c>
      <c r="W755" s="69">
        <f>F755*V755</f>
        <v>240</v>
      </c>
      <c r="X755" s="69">
        <v>5</v>
      </c>
      <c r="Y755" s="87">
        <f>AV754</f>
        <v>1200</v>
      </c>
      <c r="Z755" s="69" t="s">
        <v>88</v>
      </c>
      <c r="AA755" s="69">
        <v>172800</v>
      </c>
      <c r="AB755" s="69" t="str">
        <f>IF(AA755&lt;60,"1",IF(AA755&lt;=43200,"2",IF(AA755&lt;=777600,"3","4")))</f>
        <v>3</v>
      </c>
      <c r="AC755" s="72">
        <f>AVERAGE(AV754:DA754)</f>
        <v>55680</v>
      </c>
      <c r="AD755" s="69" t="str">
        <f>IF(AC755&lt;60,"1",IF(AC755&lt;=43200,"2",IF(AC755&lt;=777600,"3","4")))</f>
        <v>3</v>
      </c>
      <c r="AE755" s="87">
        <f>AA755-Y755</f>
        <v>171600</v>
      </c>
      <c r="AF755" s="88">
        <f>AV755</f>
        <v>0.85</v>
      </c>
      <c r="AG755" s="72">
        <f>((AW755-AV755)+(AX755-AW755)+(AY755-AX755)+(AZ755-AY755))/4</f>
        <v>-0.15</v>
      </c>
      <c r="AH755" s="4"/>
      <c r="AI755" s="72">
        <f>RSQ(AV755:AZ755,AV754:AZ754)</f>
        <v>0.9243507604529646</v>
      </c>
      <c r="AJ755" s="110">
        <f>SLOPE(AV755:AZ755,AV754:AZ754)</f>
        <v>-3.1475626856182339E-6</v>
      </c>
      <c r="AK755" s="72">
        <f>INTERCEPT(AV755:AZ755,AV754:AZ754)</f>
        <v>0.75725629033522335</v>
      </c>
      <c r="AL755" s="72">
        <f>INDEX(LINEST(LN(AV755:AZ755),LN(AV754:AZ754),TRUE,TRUE),3,1)</f>
        <v>0.88017056564130391</v>
      </c>
      <c r="AM755" s="72">
        <f>INDEX(LINEST(LN(AV755:AZ755),LN(AV754:AZ754)),1)</f>
        <v>-0.2237324867338856</v>
      </c>
      <c r="AN755" s="72">
        <f>EXP(INDEX(LINEST(LN(AV755:AZ755),LN(AV754:AZ754)),1,2))</f>
        <v>4.6231209143639473</v>
      </c>
      <c r="AO755" s="89">
        <f>INDEX(LINEST((AV755:AZ755),LN(AV754:AZ754),TRUE,TRUE),3,1)</f>
        <v>0.95704202841061514</v>
      </c>
      <c r="AP755" s="89">
        <f>INDEX(LINEST((AV755:AZ755),LN(AV754:AZ754)),1)</f>
        <v>-0.11384016320293178</v>
      </c>
      <c r="AQ755" s="90">
        <f>INDEX(LINEST(LN(AV755:AZ755),SQRT(AV754:AZ754),TRUE,TRUE),3,1)</f>
        <v>0.98357612845660591</v>
      </c>
      <c r="AR755" s="117">
        <f>INDEX(LINEST(LN(AV755:AZ755),SQRT((AV754:AZ754))),1)</f>
        <v>-3.0125861447676582E-3</v>
      </c>
      <c r="AS755" s="91">
        <f>INDEX(LINEST(1/(AV755:AZ755),1/(SQRT(AV754:AZ754)),TRUE,TRUE),3,1)</f>
        <v>0.53425313999422097</v>
      </c>
      <c r="AT755" s="91">
        <f>INDEX(LINEST(1/(AV755:AZ755),1/SQRT(AV754:AZ754)),1)</f>
        <v>-77.187345184790345</v>
      </c>
      <c r="AU755" s="3"/>
      <c r="AV755" s="73">
        <v>0.85</v>
      </c>
      <c r="AW755" s="73">
        <v>0.73</v>
      </c>
      <c r="AX755" s="73">
        <v>0.66</v>
      </c>
      <c r="AY755" s="73">
        <v>0.42</v>
      </c>
      <c r="AZ755" s="73">
        <v>0.25</v>
      </c>
      <c r="BA755" s="73"/>
      <c r="BB755" s="73"/>
      <c r="BC755" s="52"/>
      <c r="BD755" s="52"/>
      <c r="BE755" s="52"/>
      <c r="BF755" s="52"/>
      <c r="BG755" s="52"/>
      <c r="BH755" s="52"/>
      <c r="BI755" s="52"/>
      <c r="BJ755" s="52"/>
      <c r="BK755" s="52"/>
      <c r="BL755" s="52"/>
      <c r="BM755" s="52"/>
      <c r="BN755" s="52"/>
      <c r="BO755" s="52"/>
      <c r="BP755" s="52"/>
      <c r="BQ755" s="52"/>
      <c r="BR755" s="52"/>
      <c r="BS755" s="52"/>
      <c r="BT755" s="52"/>
      <c r="BU755" s="52"/>
      <c r="BV755" s="52"/>
      <c r="BW755" s="52"/>
      <c r="BX755" s="52"/>
      <c r="BY755" s="52"/>
      <c r="BZ755" s="52"/>
      <c r="CA755" s="52"/>
      <c r="CB755" s="52"/>
      <c r="CC755" s="52"/>
      <c r="CD755" s="52"/>
      <c r="CE755" s="52"/>
      <c r="CF755" s="52"/>
      <c r="CG755" s="52"/>
      <c r="CH755" s="52"/>
      <c r="CI755" s="52"/>
      <c r="CJ755" s="52"/>
      <c r="CK755" s="52"/>
      <c r="CL755" s="52"/>
      <c r="CM755" s="52"/>
      <c r="CN755" s="52"/>
      <c r="CO755" s="52"/>
      <c r="CP755" s="52"/>
      <c r="CQ755" s="52"/>
      <c r="CR755" s="1"/>
      <c r="CS755" s="1"/>
      <c r="CT755" s="1"/>
      <c r="CU755" s="1"/>
    </row>
    <row r="756" spans="1:99" s="13" customFormat="1" ht="12" customHeight="1" x14ac:dyDescent="0.2">
      <c r="A756" s="68">
        <v>43912</v>
      </c>
      <c r="B756" s="70"/>
      <c r="C756" s="70"/>
      <c r="D756" s="69"/>
      <c r="E756" s="87"/>
      <c r="F756" s="69"/>
      <c r="G756" s="69"/>
      <c r="H756" s="69"/>
      <c r="I756" s="69"/>
      <c r="J756" s="69"/>
      <c r="K756" s="107"/>
      <c r="L756" s="107"/>
      <c r="M756" s="69"/>
      <c r="N756" s="69"/>
      <c r="O756" s="69"/>
      <c r="P756" s="69"/>
      <c r="Q756" s="69"/>
      <c r="R756" s="69"/>
      <c r="S756" s="69"/>
      <c r="T756" s="92"/>
      <c r="U756" s="69"/>
      <c r="V756" s="92"/>
      <c r="W756" s="69"/>
      <c r="X756" s="69"/>
      <c r="Y756" s="87"/>
      <c r="Z756" s="69"/>
      <c r="AA756" s="69"/>
      <c r="AB756" s="69"/>
      <c r="AC756" s="72"/>
      <c r="AD756" s="69"/>
      <c r="AE756" s="69"/>
      <c r="AF756" s="88"/>
      <c r="AG756" s="72"/>
      <c r="AH756" s="4"/>
      <c r="AI756" s="72"/>
      <c r="AJ756" s="110"/>
      <c r="AK756" s="72"/>
      <c r="AL756" s="72"/>
      <c r="AM756" s="72"/>
      <c r="AN756" s="72"/>
      <c r="AO756" s="72"/>
      <c r="AP756" s="72"/>
      <c r="AQ756" s="72"/>
      <c r="AR756" s="110"/>
      <c r="AS756" s="72"/>
      <c r="AT756" s="72"/>
      <c r="AU756" s="4"/>
      <c r="AV756" s="71">
        <f>20*60</f>
        <v>1200</v>
      </c>
      <c r="AW756" s="71">
        <f>60*60</f>
        <v>3600</v>
      </c>
      <c r="AX756" s="71">
        <f>4*60*60</f>
        <v>14400</v>
      </c>
      <c r="AY756" s="71">
        <f>24*3600</f>
        <v>86400</v>
      </c>
      <c r="AZ756" s="71">
        <f>24*3600*2</f>
        <v>172800</v>
      </c>
      <c r="BA756" s="73"/>
      <c r="BB756" s="73"/>
      <c r="BC756" s="52"/>
      <c r="BD756" s="52"/>
      <c r="BE756" s="52"/>
      <c r="BF756" s="52"/>
      <c r="BG756" s="52"/>
      <c r="BH756" s="52"/>
      <c r="BI756" s="52"/>
      <c r="BJ756" s="52"/>
      <c r="BK756" s="52"/>
      <c r="BL756" s="52"/>
      <c r="BM756" s="52"/>
      <c r="BN756" s="52"/>
      <c r="BO756" s="52"/>
      <c r="BP756" s="52"/>
      <c r="BQ756" s="52"/>
      <c r="BR756" s="52"/>
      <c r="BS756" s="52"/>
      <c r="BT756" s="52"/>
      <c r="BU756" s="52"/>
      <c r="BV756" s="52"/>
      <c r="BW756" s="52"/>
      <c r="BX756" s="52"/>
      <c r="BY756" s="52"/>
      <c r="BZ756" s="52"/>
      <c r="CA756" s="52"/>
      <c r="CB756" s="52"/>
      <c r="CC756" s="52"/>
      <c r="CD756" s="52"/>
      <c r="CE756" s="52"/>
      <c r="CF756" s="52"/>
      <c r="CG756" s="52"/>
      <c r="CH756" s="52"/>
      <c r="CI756" s="52"/>
      <c r="CJ756" s="52"/>
      <c r="CK756" s="52"/>
      <c r="CL756" s="52"/>
      <c r="CM756" s="52"/>
      <c r="CN756" s="52"/>
      <c r="CO756" s="52"/>
      <c r="CP756" s="52"/>
      <c r="CQ756" s="52"/>
      <c r="CR756" s="1"/>
      <c r="CS756" s="1"/>
      <c r="CT756" s="1"/>
      <c r="CU756" s="1"/>
    </row>
    <row r="757" spans="1:99" s="13" customFormat="1" ht="12" customHeight="1" x14ac:dyDescent="0.2">
      <c r="A757" s="68">
        <v>43912</v>
      </c>
      <c r="B757" s="70" t="s">
        <v>118</v>
      </c>
      <c r="C757" s="70" t="s">
        <v>119</v>
      </c>
      <c r="D757" s="69">
        <v>1922</v>
      </c>
      <c r="E757" s="87">
        <v>3</v>
      </c>
      <c r="F757" s="69">
        <v>20</v>
      </c>
      <c r="G757" s="69">
        <v>20</v>
      </c>
      <c r="H757" s="69" t="s">
        <v>726</v>
      </c>
      <c r="I757" s="104">
        <v>0.33</v>
      </c>
      <c r="J757" s="69" t="s">
        <v>281</v>
      </c>
      <c r="K757" s="69">
        <f>IF(J757="syllables",1,IF(J757="trigrams",2,IF(J757="strings",3,IF(J757="visual array",4,IF(J757="characters",5,IF(J757="letters",6,IF(J757="free forms",7,IF(J757="odors",8,IF(J757="words",9,IF(J757="pictures",10,IF(J757="object pictures",11,IF(J757="faces",12,IF(J757="names",13,IF(J757="idioms",14,IF(J757="grades",15,IF(J757="syllable-digit pairs",16,IF(J757="trigram-word pairs",17,IF(J757="word-digit pairs",18,IF(J757="English-Swahili pairs",19,IF(J757="spatial position",20,IF(J757="word pairs",21,IF(J757="word triads",22,IF(J757="generated words",23,IF(J757="word definition pairs",24,IF(J757="math problems",25,IF(J757="famous faces",26,IF(J757="famous names",27,IF(J757="famous voices",28,IF(J757="television programs",29,IF(J757="race horses",30,IF(J757="new vocabulary",31,IF(J757="sentences",32,IF(J757="concepts",33,IF(J757="ad slides",34,IF(J757="scenes",35,IF(J757="famous scenes",36,IF(J757="poems",37,IF(J757="walk",38,IF(J757="faces and events",39,IF(J757="events and names",40,IF(J757="flashbulb",41,IF(J757="stories",42,IF(J757="course material",43,IF(J757="autobiographical",44,IF(J757="novels",45,IF(J757="public events",46,"99"))))))))))))))))))))))))))))))))))))))))))))))</f>
        <v>1</v>
      </c>
      <c r="L757" s="69">
        <f>IF(J757="syllables",1,IF(J757="trigrams",1,IF(J757="strings",1,IF(J757="visual array",1,IF(J757="characters",1,IF(J757="letters",1,IF(J757="free forms",1,IF(J757="odors",2,IF(J757="words",2,IF(J757="pictures",2,IF(J757="object pictures",2,IF(J757="faces",2,IF(J757="names",2,IF(J757="idioms","2",IF(J757="grades",2,IF(J757="syllable-digit pairs",3,IF(J757="trigram-word pairs",3,IF(J757="word-digit pairs",3,IF(J757="English-Swahili pairs",3,IF(J757="spatial position",3,IF(J757="word pairs",4,IF(J757="word triads",4,IF(J757="generated words",4,IF(J757="word definition pairs",4,IF(J757="math problems",4,IF(J757="famous faces",4,IF(J757="famous names",4,IF(J757="famous voices",4,IF(J757="television programs",4,IF(J757="race horses",4,IF(J757="new vocabulary",4,IF(J757="sentences",5,IF(J757="concepts",5,IF(J757="ad slides",5,IF(J757="scenes",5,IF(J757="famous scenes",5,IF(J757="poems",6,IF(J757="walk",6,IF(J757="faces and events",6,IF(J757="events and names",6,IF(J757="flashbulb",7,IF(J757="stories",7,IF(J757="course material",7,IF(J757="autobiographical",7,IF(J757="novels",7,IF(J757="public events",7,"99"))))))))))))))))))))))))))))))))))))))))))))))</f>
        <v>1</v>
      </c>
      <c r="M757" s="69">
        <v>1</v>
      </c>
      <c r="N757" s="69">
        <v>2</v>
      </c>
      <c r="O757" s="69">
        <v>0</v>
      </c>
      <c r="P757" s="69"/>
      <c r="Q757" s="69" t="s">
        <v>174</v>
      </c>
      <c r="R757" s="69">
        <f>IF(Q757="Free Recall",1,IF(Q757="Cued Recall",2,IF(Q757="Recognition",3,IF(Q757="Multiple Choice",4,IF(Q757="Savings",5,IF(Q757="Stem Completion",6,IF(Q757="Fragment Completion",7,IF(Q757="anagram solution",8,IF(Q757="Matching",9,IF(Q757="Problem Solving",10,"99"))))))))))</f>
        <v>1</v>
      </c>
      <c r="S757" s="69" t="s">
        <v>49</v>
      </c>
      <c r="T757" s="92" t="s">
        <v>581</v>
      </c>
      <c r="U757" s="69">
        <f>IF(T757="within",1,0)</f>
        <v>1</v>
      </c>
      <c r="V757" s="92">
        <v>12</v>
      </c>
      <c r="W757" s="69">
        <f>F757*V757</f>
        <v>240</v>
      </c>
      <c r="X757" s="69">
        <v>7</v>
      </c>
      <c r="Y757" s="87">
        <f>AV756</f>
        <v>1200</v>
      </c>
      <c r="Z757" s="69" t="s">
        <v>88</v>
      </c>
      <c r="AA757" s="69">
        <v>172800</v>
      </c>
      <c r="AB757" s="69" t="str">
        <f>IF(AA757&lt;60,"1",IF(AA757&lt;=43200,"2",IF(AA757&lt;=777600,"3","4")))</f>
        <v>3</v>
      </c>
      <c r="AC757" s="72">
        <f>AVERAGE(AV756:DA756)</f>
        <v>55680</v>
      </c>
      <c r="AD757" s="69" t="str">
        <f>IF(AC757&lt;60,"1",IF(AC757&lt;=43200,"2",IF(AC757&lt;=777600,"3","4")))</f>
        <v>3</v>
      </c>
      <c r="AE757" s="87">
        <f>AA757-Y757</f>
        <v>171600</v>
      </c>
      <c r="AF757" s="88">
        <f>AV757</f>
        <v>0.68</v>
      </c>
      <c r="AG757" s="72">
        <f>((AW757-AV757)+(AX757-AW757)+(AY757-AX757)+(AZ757-AY757))/4</f>
        <v>-0.13500000000000001</v>
      </c>
      <c r="AH757" s="4"/>
      <c r="AI757" s="72">
        <f>RSQ(AV757:AZ757,AV756:AZ756)</f>
        <v>0.83743888619599449</v>
      </c>
      <c r="AJ757" s="110">
        <f>SLOPE(AV757:AZ757,AV756:AZ756)</f>
        <v>-2.6552661144932458E-6</v>
      </c>
      <c r="AK757" s="72">
        <f>INTERCEPT(AV757:AZ757,AV756:AZ756)</f>
        <v>0.55784521725498393</v>
      </c>
      <c r="AL757" s="72">
        <f>INDEX(LINEST(LN(AV757:AZ757),LN(AV756:AZ756),TRUE,TRUE),3,1)</f>
        <v>0.92135614282643052</v>
      </c>
      <c r="AM757" s="72">
        <f>INDEX(LINEST(LN(AV757:AZ757),LN(AV756:AZ756)),1)</f>
        <v>-0.29046769524161198</v>
      </c>
      <c r="AN757" s="72">
        <f>EXP(INDEX(LINEST(LN(AV757:AZ757),LN(AV756:AZ756)),1,2))</f>
        <v>5.8883584000332219</v>
      </c>
      <c r="AO757" s="89">
        <f>INDEX(LINEST((AV757:AZ757),LN(AV756:AZ756),TRUE,TRUE),3,1)</f>
        <v>0.99029516744285617</v>
      </c>
      <c r="AP757" s="89">
        <f>INDEX(LINEST((AV757:AZ757),LN(AV756:AZ756)),1)</f>
        <v>-0.10263319275055648</v>
      </c>
      <c r="AQ757" s="90">
        <f>INDEX(LINEST(LN(AV757:AZ757),SQRT(AV756:AZ756),TRUE,TRUE),3,1)</f>
        <v>0.98396243909380021</v>
      </c>
      <c r="AR757" s="117">
        <f>INDEX(LINEST(LN(AV757:AZ757),SQRT((AV756:AZ756))),1)</f>
        <v>-3.823518416100517E-3</v>
      </c>
      <c r="AS757" s="91">
        <f>INDEX(LINEST(1/(AV757:AZ757),1/(SQRT(AV756:AZ756)),TRUE,TRUE),3,1)</f>
        <v>0.54845416499586597</v>
      </c>
      <c r="AT757" s="91">
        <f>INDEX(LINEST(1/(AV757:AZ757),1/SQRT(AV756:AZ756)),1)</f>
        <v>-155.65359919150461</v>
      </c>
      <c r="AU757" s="3"/>
      <c r="AV757" s="73">
        <v>0.68</v>
      </c>
      <c r="AW757" s="73">
        <v>0.54</v>
      </c>
      <c r="AX757" s="73">
        <v>0.43</v>
      </c>
      <c r="AY757" s="73">
        <v>0.26</v>
      </c>
      <c r="AZ757" s="73">
        <v>0.14000000000000001</v>
      </c>
      <c r="BA757" s="73"/>
      <c r="BB757" s="73"/>
      <c r="BC757" s="52"/>
      <c r="BD757" s="52"/>
      <c r="BE757" s="52"/>
      <c r="BF757" s="52"/>
      <c r="BG757" s="52"/>
      <c r="BH757" s="52"/>
      <c r="BI757" s="52"/>
      <c r="BJ757" s="52"/>
      <c r="BK757" s="52"/>
      <c r="BL757" s="52"/>
      <c r="BM757" s="52"/>
      <c r="BN757" s="52"/>
      <c r="BO757" s="52"/>
      <c r="BP757" s="52"/>
      <c r="BQ757" s="52"/>
      <c r="BR757" s="52"/>
      <c r="BS757" s="52"/>
      <c r="BT757" s="52"/>
      <c r="BU757" s="52"/>
      <c r="BV757" s="52"/>
      <c r="BW757" s="52"/>
      <c r="BX757" s="52"/>
      <c r="BY757" s="52"/>
      <c r="BZ757" s="52"/>
      <c r="CA757" s="52"/>
      <c r="CB757" s="52"/>
      <c r="CC757" s="52"/>
      <c r="CD757" s="52"/>
      <c r="CE757" s="52"/>
      <c r="CF757" s="52"/>
      <c r="CG757" s="52"/>
      <c r="CH757" s="52"/>
      <c r="CI757" s="52"/>
      <c r="CJ757" s="52"/>
      <c r="CK757" s="52"/>
      <c r="CL757" s="52"/>
      <c r="CM757" s="52"/>
      <c r="CN757" s="52"/>
      <c r="CO757" s="52"/>
      <c r="CP757" s="52"/>
      <c r="CQ757" s="52"/>
      <c r="CR757" s="1"/>
      <c r="CS757" s="1"/>
      <c r="CT757" s="1"/>
      <c r="CU757" s="1"/>
    </row>
    <row r="758" spans="1:99" s="13" customFormat="1" ht="12" customHeight="1" x14ac:dyDescent="0.2">
      <c r="A758" s="68">
        <v>43912</v>
      </c>
      <c r="B758" s="70"/>
      <c r="C758" s="70"/>
      <c r="D758" s="69"/>
      <c r="E758" s="87"/>
      <c r="F758" s="69"/>
      <c r="G758" s="69"/>
      <c r="H758" s="69"/>
      <c r="I758" s="69"/>
      <c r="J758" s="69"/>
      <c r="K758" s="107"/>
      <c r="L758" s="107"/>
      <c r="M758" s="69"/>
      <c r="N758" s="69"/>
      <c r="O758" s="69"/>
      <c r="P758" s="69"/>
      <c r="Q758" s="69"/>
      <c r="R758" s="69"/>
      <c r="S758" s="69"/>
      <c r="T758" s="92"/>
      <c r="U758" s="69"/>
      <c r="V758" s="92"/>
      <c r="W758" s="69"/>
      <c r="X758" s="69"/>
      <c r="Y758" s="87"/>
      <c r="Z758" s="69"/>
      <c r="AA758" s="69"/>
      <c r="AB758" s="69"/>
      <c r="AC758" s="72"/>
      <c r="AD758" s="69"/>
      <c r="AE758" s="69"/>
      <c r="AF758" s="88"/>
      <c r="AG758" s="72"/>
      <c r="AH758" s="4"/>
      <c r="AI758" s="72"/>
      <c r="AJ758" s="110"/>
      <c r="AK758" s="72"/>
      <c r="AL758" s="72"/>
      <c r="AM758" s="72"/>
      <c r="AN758" s="72"/>
      <c r="AO758" s="72"/>
      <c r="AP758" s="72"/>
      <c r="AQ758" s="72"/>
      <c r="AR758" s="110"/>
      <c r="AS758" s="72"/>
      <c r="AT758" s="72"/>
      <c r="AU758" s="4"/>
      <c r="AV758" s="71">
        <f>2*60*60</f>
        <v>7200</v>
      </c>
      <c r="AW758" s="71">
        <f>3*60*60</f>
        <v>10800</v>
      </c>
      <c r="AX758" s="71">
        <f>4*60*60</f>
        <v>14400</v>
      </c>
      <c r="AY758" s="71">
        <f>6*60*60</f>
        <v>21600</v>
      </c>
      <c r="AZ758" s="71">
        <f>12*60*60</f>
        <v>43200</v>
      </c>
      <c r="BA758" s="71">
        <f>24*3600</f>
        <v>86400</v>
      </c>
      <c r="BB758" s="71">
        <f>24*3600*2</f>
        <v>172800</v>
      </c>
      <c r="BC758" s="52"/>
      <c r="BD758" s="52"/>
      <c r="BE758" s="52"/>
      <c r="BF758" s="52"/>
      <c r="BG758" s="52"/>
      <c r="BH758" s="52"/>
      <c r="BI758" s="52"/>
      <c r="BJ758" s="52"/>
      <c r="BK758" s="52"/>
      <c r="BL758" s="52"/>
      <c r="BM758" s="52"/>
      <c r="BN758" s="52"/>
      <c r="BO758" s="52"/>
      <c r="BP758" s="52"/>
      <c r="BQ758" s="52"/>
      <c r="BR758" s="52"/>
      <c r="BS758" s="52"/>
      <c r="BT758" s="52"/>
      <c r="BU758" s="52"/>
      <c r="BV758" s="52"/>
      <c r="BW758" s="52"/>
      <c r="BX758" s="52"/>
      <c r="BY758" s="52"/>
      <c r="BZ758" s="52"/>
      <c r="CA758" s="52"/>
      <c r="CB758" s="52"/>
      <c r="CC758" s="52"/>
      <c r="CD758" s="52"/>
      <c r="CE758" s="52"/>
      <c r="CF758" s="52"/>
      <c r="CG758" s="52"/>
      <c r="CH758" s="52"/>
      <c r="CI758" s="52"/>
      <c r="CJ758" s="52"/>
      <c r="CK758" s="52"/>
      <c r="CL758" s="52"/>
      <c r="CM758" s="52"/>
      <c r="CN758" s="52"/>
      <c r="CO758" s="52"/>
      <c r="CP758" s="52"/>
      <c r="CQ758" s="52"/>
      <c r="CR758" s="1"/>
      <c r="CS758" s="1"/>
      <c r="CT758" s="1"/>
      <c r="CU758" s="1"/>
    </row>
    <row r="759" spans="1:99" s="13" customFormat="1" ht="12" customHeight="1" x14ac:dyDescent="0.2">
      <c r="A759" s="68">
        <v>43912</v>
      </c>
      <c r="B759" s="70" t="s">
        <v>118</v>
      </c>
      <c r="C759" s="70" t="s">
        <v>119</v>
      </c>
      <c r="D759" s="69">
        <v>1922</v>
      </c>
      <c r="E759" s="87">
        <v>3</v>
      </c>
      <c r="F759" s="69">
        <v>20</v>
      </c>
      <c r="G759" s="69">
        <v>20</v>
      </c>
      <c r="H759" s="69" t="s">
        <v>726</v>
      </c>
      <c r="I759" s="104">
        <v>1.5</v>
      </c>
      <c r="J759" s="69" t="s">
        <v>281</v>
      </c>
      <c r="K759" s="69">
        <f>IF(J759="syllables",1,IF(J759="trigrams",2,IF(J759="strings",3,IF(J759="visual array",4,IF(J759="characters",5,IF(J759="letters",6,IF(J759="free forms",7,IF(J759="odors",8,IF(J759="words",9,IF(J759="pictures",10,IF(J759="object pictures",11,IF(J759="faces",12,IF(J759="names",13,IF(J759="idioms",14,IF(J759="grades",15,IF(J759="syllable-digit pairs",16,IF(J759="trigram-word pairs",17,IF(J759="word-digit pairs",18,IF(J759="English-Swahili pairs",19,IF(J759="spatial position",20,IF(J759="word pairs",21,IF(J759="word triads",22,IF(J759="generated words",23,IF(J759="word definition pairs",24,IF(J759="math problems",25,IF(J759="famous faces",26,IF(J759="famous names",27,IF(J759="famous voices",28,IF(J759="television programs",29,IF(J759="race horses",30,IF(J759="new vocabulary",31,IF(J759="sentences",32,IF(J759="concepts",33,IF(J759="ad slides",34,IF(J759="scenes",35,IF(J759="famous scenes",36,IF(J759="poems",37,IF(J759="walk",38,IF(J759="faces and events",39,IF(J759="events and names",40,IF(J759="flashbulb",41,IF(J759="stories",42,IF(J759="course material",43,IF(J759="autobiographical",44,IF(J759="novels",45,IF(J759="public events",46,"99"))))))))))))))))))))))))))))))))))))))))))))))</f>
        <v>1</v>
      </c>
      <c r="L759" s="69">
        <f>IF(J759="syllables",1,IF(J759="trigrams",1,IF(J759="strings",1,IF(J759="visual array",1,IF(J759="characters",1,IF(J759="letters",1,IF(J759="free forms",1,IF(J759="odors",2,IF(J759="words",2,IF(J759="pictures",2,IF(J759="object pictures",2,IF(J759="faces",2,IF(J759="names",2,IF(J759="idioms","2",IF(J759="grades",2,IF(J759="syllable-digit pairs",3,IF(J759="trigram-word pairs",3,IF(J759="word-digit pairs",3,IF(J759="English-Swahili pairs",3,IF(J759="spatial position",3,IF(J759="word pairs",4,IF(J759="word triads",4,IF(J759="generated words",4,IF(J759="word definition pairs",4,IF(J759="math problems",4,IF(J759="famous faces",4,IF(J759="famous names",4,IF(J759="famous voices",4,IF(J759="television programs",4,IF(J759="race horses",4,IF(J759="new vocabulary",4,IF(J759="sentences",5,IF(J759="concepts",5,IF(J759="ad slides",5,IF(J759="scenes",5,IF(J759="famous scenes",5,IF(J759="poems",6,IF(J759="walk",6,IF(J759="faces and events",6,IF(J759="events and names",6,IF(J759="flashbulb",7,IF(J759="stories",7,IF(J759="course material",7,IF(J759="autobiographical",7,IF(J759="novels",7,IF(J759="public events",7,"99"))))))))))))))))))))))))))))))))))))))))))))))</f>
        <v>1</v>
      </c>
      <c r="M759" s="69">
        <v>1</v>
      </c>
      <c r="N759" s="69">
        <v>2</v>
      </c>
      <c r="O759" s="69">
        <v>0</v>
      </c>
      <c r="P759" s="69"/>
      <c r="Q759" s="69" t="s">
        <v>182</v>
      </c>
      <c r="R759" s="69">
        <f>IF(Q759="Free Recall",1,IF(Q759="Cued Recall",2,IF(Q759="Recognition",3,IF(Q759="Multiple Choice",4,IF(Q759="Savings",5,IF(Q759="Stem Completion",6,IF(Q759="Fragment Completion",7,IF(Q759="anagram solution",8,IF(Q759="Matching",9,IF(Q759="Problem Solving",10,"99"))))))))))</f>
        <v>4</v>
      </c>
      <c r="S759" s="92" t="s">
        <v>15</v>
      </c>
      <c r="T759" s="92" t="s">
        <v>581</v>
      </c>
      <c r="U759" s="69">
        <f>IF(T759="within",1,0)</f>
        <v>1</v>
      </c>
      <c r="V759" s="92">
        <v>12</v>
      </c>
      <c r="W759" s="69">
        <f>F759*V759</f>
        <v>240</v>
      </c>
      <c r="X759" s="69">
        <v>5</v>
      </c>
      <c r="Y759" s="87">
        <f>AV758</f>
        <v>7200</v>
      </c>
      <c r="Z759" s="69" t="s">
        <v>88</v>
      </c>
      <c r="AA759" s="69">
        <v>172800</v>
      </c>
      <c r="AB759" s="69" t="str">
        <f>IF(AA759&lt;60,"1",IF(AA759&lt;=43200,"2",IF(AA759&lt;=777600,"3","4")))</f>
        <v>3</v>
      </c>
      <c r="AC759" s="72">
        <f>AVERAGE(AV758:DA758)</f>
        <v>50914.285714285717</v>
      </c>
      <c r="AD759" s="69" t="str">
        <f>IF(AC759&lt;60,"1",IF(AC759&lt;=43200,"2",IF(AC759&lt;=777600,"3","4")))</f>
        <v>3</v>
      </c>
      <c r="AE759" s="87">
        <f>AA759-Y759</f>
        <v>165600</v>
      </c>
      <c r="AF759" s="88">
        <f>AV759</f>
        <v>0.98</v>
      </c>
      <c r="AG759" s="72">
        <f>((AW759-AV759)+(AX759-AW759)+(AY759-AX759)+(AZ759-AY759)+(BA759-AZ759)+(BB759-BA759))/6</f>
        <v>-4.1666666666666664E-2</v>
      </c>
      <c r="AH759" s="4"/>
      <c r="AI759" s="72">
        <f>RSQ(AV759:BB759,AV758:BB758)</f>
        <v>0.95700822566241706</v>
      </c>
      <c r="AJ759" s="110">
        <f>SLOPE(AV759:BB759,AV758:BB758)</f>
        <v>-1.4173198744337303E-6</v>
      </c>
      <c r="AK759" s="72">
        <f>INTERCEPT(AV759:BB759,AV758:BB758)</f>
        <v>0.96930468617831156</v>
      </c>
      <c r="AL759" s="72">
        <f>INDEX(LINEST(LN(AV759:BB759),LN(AV758:BB758),TRUE,TRUE),3,1)</f>
        <v>0.85137287904445702</v>
      </c>
      <c r="AM759" s="72">
        <f>INDEX(LINEST(LN(AV759:BB759),LN(AV758:BB758)),1)</f>
        <v>-8.2402916796141187E-2</v>
      </c>
      <c r="AN759" s="72">
        <f>EXP(INDEX(LINEST(LN(AV759:BB759),LN(AV758:BB758)),1,2))</f>
        <v>2.0804189044212098</v>
      </c>
      <c r="AO759" s="89">
        <f>INDEX(LINEST((AV759:BB759),LN(AV758:BB758),TRUE,TRUE),3,1)</f>
        <v>0.86788058834562221</v>
      </c>
      <c r="AP759" s="89">
        <f>INDEX(LINEST((AV759:BB759),LN(AV758:BB758)),1)</f>
        <v>-7.0473205719556842E-2</v>
      </c>
      <c r="AQ759" s="90">
        <f>INDEX(LINEST(LN(AV759:BB759),SQRT(AV758:BB758),TRUE,TRUE),3,1)</f>
        <v>0.9435048000257048</v>
      </c>
      <c r="AR759" s="117">
        <f>INDEX(LINEST(LN(AV759:BB759),SQRT((AV758:BB758))),1)</f>
        <v>-8.3327528306408798E-4</v>
      </c>
      <c r="AS759" s="91">
        <f>INDEX(LINEST(1/(AV759:BB759),1/(SQRT(AV758:BB758)),TRUE,TRUE),3,1)</f>
        <v>0.68351081859202767</v>
      </c>
      <c r="AT759" s="91">
        <f>INDEX(LINEST(1/(AV759:BB759),1/SQRT(AV758:BB758)),1)</f>
        <v>-29.754173790849642</v>
      </c>
      <c r="AU759" s="3"/>
      <c r="AV759" s="73">
        <v>0.98</v>
      </c>
      <c r="AW759" s="73">
        <v>0.96</v>
      </c>
      <c r="AX759" s="73">
        <v>0.93</v>
      </c>
      <c r="AY759" s="73">
        <v>0.92</v>
      </c>
      <c r="AZ759" s="73">
        <v>0.93</v>
      </c>
      <c r="BA759" s="73">
        <v>0.83</v>
      </c>
      <c r="BB759" s="73">
        <v>0.73</v>
      </c>
      <c r="BC759" s="52"/>
      <c r="BD759" s="52"/>
      <c r="BE759" s="52"/>
      <c r="BF759" s="52"/>
      <c r="BG759" s="52"/>
      <c r="BH759" s="52"/>
      <c r="BI759" s="52"/>
      <c r="BJ759" s="52"/>
      <c r="BK759" s="52"/>
      <c r="BL759" s="52"/>
      <c r="BM759" s="52"/>
      <c r="BN759" s="52"/>
      <c r="BO759" s="52"/>
      <c r="BP759" s="52"/>
      <c r="BQ759" s="52"/>
      <c r="BR759" s="52"/>
      <c r="BS759" s="52"/>
      <c r="BT759" s="52"/>
      <c r="BU759" s="52"/>
      <c r="BV759" s="52"/>
      <c r="BW759" s="52"/>
      <c r="BX759" s="52"/>
      <c r="BY759" s="52"/>
      <c r="BZ759" s="52"/>
      <c r="CA759" s="52"/>
      <c r="CB759" s="52"/>
      <c r="CC759" s="52"/>
      <c r="CD759" s="52"/>
      <c r="CE759" s="52"/>
      <c r="CF759" s="52"/>
      <c r="CG759" s="52"/>
      <c r="CH759" s="52"/>
      <c r="CI759" s="52"/>
      <c r="CJ759" s="52"/>
      <c r="CK759" s="52"/>
      <c r="CL759" s="52"/>
      <c r="CM759" s="52"/>
      <c r="CN759" s="52"/>
      <c r="CO759" s="52"/>
      <c r="CP759" s="52"/>
      <c r="CQ759" s="52"/>
      <c r="CR759" s="1"/>
      <c r="CS759" s="1"/>
      <c r="CT759" s="1"/>
      <c r="CU759" s="1"/>
    </row>
    <row r="760" spans="1:99" s="13" customFormat="1" ht="12" customHeight="1" x14ac:dyDescent="0.2">
      <c r="A760" s="68">
        <v>43912</v>
      </c>
      <c r="B760" s="70"/>
      <c r="C760" s="70"/>
      <c r="D760" s="69"/>
      <c r="E760" s="87"/>
      <c r="F760" s="69"/>
      <c r="G760" s="69"/>
      <c r="H760" s="69"/>
      <c r="I760" s="69"/>
      <c r="J760" s="69"/>
      <c r="K760" s="107"/>
      <c r="L760" s="107"/>
      <c r="M760" s="69"/>
      <c r="N760" s="69"/>
      <c r="O760" s="69"/>
      <c r="P760" s="69"/>
      <c r="Q760" s="69"/>
      <c r="R760" s="69"/>
      <c r="S760" s="69"/>
      <c r="T760" s="92"/>
      <c r="U760" s="69"/>
      <c r="V760" s="92"/>
      <c r="W760" s="69"/>
      <c r="X760" s="69"/>
      <c r="Y760" s="87"/>
      <c r="Z760" s="69"/>
      <c r="AA760" s="69"/>
      <c r="AB760" s="69"/>
      <c r="AC760" s="72"/>
      <c r="AD760" s="69"/>
      <c r="AE760" s="69"/>
      <c r="AF760" s="88"/>
      <c r="AG760" s="72"/>
      <c r="AH760" s="4"/>
      <c r="AI760" s="72"/>
      <c r="AJ760" s="110"/>
      <c r="AK760" s="72"/>
      <c r="AL760" s="72"/>
      <c r="AM760" s="72"/>
      <c r="AN760" s="72"/>
      <c r="AO760" s="72"/>
      <c r="AP760" s="72"/>
      <c r="AQ760" s="72"/>
      <c r="AR760" s="110"/>
      <c r="AS760" s="72"/>
      <c r="AT760" s="72"/>
      <c r="AU760" s="4"/>
      <c r="AV760" s="71">
        <f>20*60</f>
        <v>1200</v>
      </c>
      <c r="AW760" s="71">
        <f>60*60</f>
        <v>3600</v>
      </c>
      <c r="AX760" s="71">
        <f>4*60*60</f>
        <v>14400</v>
      </c>
      <c r="AY760" s="71">
        <f>24*3600</f>
        <v>86400</v>
      </c>
      <c r="AZ760" s="71">
        <f>24*3600*2</f>
        <v>172800</v>
      </c>
      <c r="BA760" s="73"/>
      <c r="BB760" s="73"/>
      <c r="BC760" s="52"/>
      <c r="BD760" s="52"/>
      <c r="BE760" s="52"/>
      <c r="BF760" s="52"/>
      <c r="BG760" s="52"/>
      <c r="BH760" s="52"/>
      <c r="BI760" s="52"/>
      <c r="BJ760" s="52"/>
      <c r="BK760" s="52"/>
      <c r="BL760" s="52"/>
      <c r="BM760" s="52"/>
      <c r="BN760" s="52"/>
      <c r="BO760" s="52"/>
      <c r="BP760" s="52"/>
      <c r="BQ760" s="52"/>
      <c r="BR760" s="52"/>
      <c r="BS760" s="52"/>
      <c r="BT760" s="52"/>
      <c r="BU760" s="52"/>
      <c r="BV760" s="52"/>
      <c r="BW760" s="52"/>
      <c r="BX760" s="52"/>
      <c r="BY760" s="52"/>
      <c r="BZ760" s="52"/>
      <c r="CA760" s="52"/>
      <c r="CB760" s="52"/>
      <c r="CC760" s="52"/>
      <c r="CD760" s="52"/>
      <c r="CE760" s="52"/>
      <c r="CF760" s="52"/>
      <c r="CG760" s="52"/>
      <c r="CH760" s="52"/>
      <c r="CI760" s="52"/>
      <c r="CJ760" s="52"/>
      <c r="CK760" s="52"/>
      <c r="CL760" s="52"/>
      <c r="CM760" s="52"/>
      <c r="CN760" s="52"/>
      <c r="CO760" s="52"/>
      <c r="CP760" s="52"/>
      <c r="CQ760" s="52"/>
      <c r="CR760" s="1"/>
      <c r="CS760" s="1"/>
      <c r="CT760" s="1"/>
      <c r="CU760" s="1"/>
    </row>
    <row r="761" spans="1:99" s="13" customFormat="1" ht="12" customHeight="1" x14ac:dyDescent="0.2">
      <c r="A761" s="68">
        <v>43912</v>
      </c>
      <c r="B761" s="70" t="s">
        <v>118</v>
      </c>
      <c r="C761" s="70" t="s">
        <v>119</v>
      </c>
      <c r="D761" s="69">
        <v>1922</v>
      </c>
      <c r="E761" s="87">
        <v>3</v>
      </c>
      <c r="F761" s="69">
        <v>20</v>
      </c>
      <c r="G761" s="69">
        <v>20</v>
      </c>
      <c r="H761" s="69" t="s">
        <v>726</v>
      </c>
      <c r="I761" s="104">
        <v>1</v>
      </c>
      <c r="J761" s="69" t="s">
        <v>281</v>
      </c>
      <c r="K761" s="69">
        <f>IF(J761="syllables",1,IF(J761="trigrams",2,IF(J761="strings",3,IF(J761="visual array",4,IF(J761="characters",5,IF(J761="letters",6,IF(J761="free forms",7,IF(J761="odors",8,IF(J761="words",9,IF(J761="pictures",10,IF(J761="object pictures",11,IF(J761="faces",12,IF(J761="names",13,IF(J761="idioms",14,IF(J761="grades",15,IF(J761="syllable-digit pairs",16,IF(J761="trigram-word pairs",17,IF(J761="word-digit pairs",18,IF(J761="English-Swahili pairs",19,IF(J761="spatial position",20,IF(J761="word pairs",21,IF(J761="word triads",22,IF(J761="generated words",23,IF(J761="word definition pairs",24,IF(J761="math problems",25,IF(J761="famous faces",26,IF(J761="famous names",27,IF(J761="famous voices",28,IF(J761="television programs",29,IF(J761="race horses",30,IF(J761="new vocabulary",31,IF(J761="sentences",32,IF(J761="concepts",33,IF(J761="ad slides",34,IF(J761="scenes",35,IF(J761="famous scenes",36,IF(J761="poems",37,IF(J761="walk",38,IF(J761="faces and events",39,IF(J761="events and names",40,IF(J761="flashbulb",41,IF(J761="stories",42,IF(J761="course material",43,IF(J761="autobiographical",44,IF(J761="novels",45,IF(J761="public events",46,"99"))))))))))))))))))))))))))))))))))))))))))))))</f>
        <v>1</v>
      </c>
      <c r="L761" s="69">
        <f>IF(J761="syllables",1,IF(J761="trigrams",1,IF(J761="strings",1,IF(J761="visual array",1,IF(J761="characters",1,IF(J761="letters",1,IF(J761="free forms",1,IF(J761="odors",2,IF(J761="words",2,IF(J761="pictures",2,IF(J761="object pictures",2,IF(J761="faces",2,IF(J761="names",2,IF(J761="idioms","2",IF(J761="grades",2,IF(J761="syllable-digit pairs",3,IF(J761="trigram-word pairs",3,IF(J761="word-digit pairs",3,IF(J761="English-Swahili pairs",3,IF(J761="spatial position",3,IF(J761="word pairs",4,IF(J761="word triads",4,IF(J761="generated words",4,IF(J761="word definition pairs",4,IF(J761="math problems",4,IF(J761="famous faces",4,IF(J761="famous names",4,IF(J761="famous voices",4,IF(J761="television programs",4,IF(J761="race horses",4,IF(J761="new vocabulary",4,IF(J761="sentences",5,IF(J761="concepts",5,IF(J761="ad slides",5,IF(J761="scenes",5,IF(J761="famous scenes",5,IF(J761="poems",6,IF(J761="walk",6,IF(J761="faces and events",6,IF(J761="events and names",6,IF(J761="flashbulb",7,IF(J761="stories",7,IF(J761="course material",7,IF(J761="autobiographical",7,IF(J761="novels",7,IF(J761="public events",7,"99"))))))))))))))))))))))))))))))))))))))))))))))</f>
        <v>1</v>
      </c>
      <c r="M761" s="69">
        <v>1</v>
      </c>
      <c r="N761" s="69">
        <v>2</v>
      </c>
      <c r="O761" s="69">
        <v>0</v>
      </c>
      <c r="P761" s="69"/>
      <c r="Q761" s="69" t="s">
        <v>182</v>
      </c>
      <c r="R761" s="69">
        <f>IF(Q761="Free Recall",1,IF(Q761="Cued Recall",2,IF(Q761="Recognition",3,IF(Q761="Multiple Choice",4,IF(Q761="Savings",5,IF(Q761="Stem Completion",6,IF(Q761="Fragment Completion",7,IF(Q761="anagram solution",8,IF(Q761="Matching",9,IF(Q761="Problem Solving",10,"99"))))))))))</f>
        <v>4</v>
      </c>
      <c r="S761" s="92" t="s">
        <v>15</v>
      </c>
      <c r="T761" s="92" t="s">
        <v>581</v>
      </c>
      <c r="U761" s="69">
        <f>IF(T761="within",1,0)</f>
        <v>1</v>
      </c>
      <c r="V761" s="92">
        <v>12</v>
      </c>
      <c r="W761" s="69">
        <f>F761*V761</f>
        <v>240</v>
      </c>
      <c r="X761" s="69">
        <v>5</v>
      </c>
      <c r="Y761" s="87">
        <f>AV760</f>
        <v>1200</v>
      </c>
      <c r="Z761" s="69" t="s">
        <v>88</v>
      </c>
      <c r="AA761" s="69">
        <v>172800</v>
      </c>
      <c r="AB761" s="69" t="str">
        <f>IF(AA761&lt;60,"1",IF(AA761&lt;=43200,"2",IF(AA761&lt;=777600,"3","4")))</f>
        <v>3</v>
      </c>
      <c r="AC761" s="72">
        <f>AVERAGE(AV760:DA760)</f>
        <v>55680</v>
      </c>
      <c r="AD761" s="69" t="str">
        <f>IF(AC761&lt;60,"1",IF(AC761&lt;=43200,"2",IF(AC761&lt;=777600,"3","4")))</f>
        <v>3</v>
      </c>
      <c r="AE761" s="87">
        <f>AA761-Y761</f>
        <v>171600</v>
      </c>
      <c r="AF761" s="88">
        <f>AV761</f>
        <v>0.96</v>
      </c>
      <c r="AG761" s="72">
        <f>((AW761-AV761)+(AX761-AW761)+(AY761-AX761)+(AZ761-AY761))/4</f>
        <v>-4.2499999999999982E-2</v>
      </c>
      <c r="AH761" s="4"/>
      <c r="AI761" s="72">
        <f>RSQ(AV761:AZ761,AV760:AZ760)</f>
        <v>0.78573073551570849</v>
      </c>
      <c r="AJ761" s="110">
        <f>SLOPE(AV761:AZ761,AV760:AZ760)</f>
        <v>-1.008217281112011E-6</v>
      </c>
      <c r="AK761" s="72">
        <f>INTERCEPT(AV761:AZ761,AV760:AZ760)</f>
        <v>0.93213753821231682</v>
      </c>
      <c r="AL761" s="72">
        <f>INDEX(LINEST(LN(AV761:AZ761),LN(AV760:AZ760),TRUE,TRUE),3,1)</f>
        <v>0.89233242076995911</v>
      </c>
      <c r="AM761" s="72">
        <f>INDEX(LINEST(LN(AV761:AZ761),LN(AV760:AZ760)),1)</f>
        <v>-4.4339117039679361E-2</v>
      </c>
      <c r="AN761" s="72">
        <f>EXP(INDEX(LINEST(LN(AV761:AZ761),LN(AV760:AZ760)),1,2))</f>
        <v>1.339036477353323</v>
      </c>
      <c r="AO761" s="89">
        <f>INDEX(LINEST((AV761:AZ761),LN(AV760:AZ760),TRUE,TRUE),3,1)</f>
        <v>0.90017922291214092</v>
      </c>
      <c r="AP761" s="89">
        <f>INDEX(LINEST((AV761:AZ761),LN(AV760:AZ760)),1)</f>
        <v>-3.8357984246786735E-2</v>
      </c>
      <c r="AQ761" s="90">
        <f>INDEX(LINEST(LN(AV761:AZ761),SQRT(AV760:AZ760),TRUE,TRUE),3,1)</f>
        <v>0.89756791160056548</v>
      </c>
      <c r="AR761" s="117">
        <f>INDEX(LINEST(LN(AV761:AZ761),SQRT((AV760:AZ760))),1)</f>
        <v>-5.6643126709409462E-4</v>
      </c>
      <c r="AS761" s="91">
        <f>INDEX(LINEST(1/(AV761:AZ761),1/(SQRT(AV760:AZ760)),TRUE,TRUE),3,1)</f>
        <v>0.69362991010146768</v>
      </c>
      <c r="AT761" s="91">
        <f>INDEX(LINEST(1/(AV761:AZ761),1/SQRT(AV760:AZ760)),1)</f>
        <v>-8.6297749563442299</v>
      </c>
      <c r="AU761" s="3"/>
      <c r="AV761" s="73">
        <v>0.96</v>
      </c>
      <c r="AW761" s="73">
        <v>0.93</v>
      </c>
      <c r="AX761" s="73">
        <v>0.92</v>
      </c>
      <c r="AY761" s="73">
        <v>0.78</v>
      </c>
      <c r="AZ761" s="73">
        <v>0.79</v>
      </c>
      <c r="BA761" s="73"/>
      <c r="BB761" s="73"/>
      <c r="BC761" s="52"/>
      <c r="BD761" s="52"/>
      <c r="BE761" s="52"/>
      <c r="BF761" s="52"/>
      <c r="BG761" s="52"/>
      <c r="BH761" s="52"/>
      <c r="BI761" s="52"/>
      <c r="BJ761" s="52"/>
      <c r="BK761" s="52"/>
      <c r="BL761" s="52"/>
      <c r="BM761" s="52"/>
      <c r="BN761" s="52"/>
      <c r="BO761" s="52"/>
      <c r="BP761" s="52"/>
      <c r="BQ761" s="52"/>
      <c r="BR761" s="52"/>
      <c r="BS761" s="52"/>
      <c r="BT761" s="52"/>
      <c r="BU761" s="52"/>
      <c r="BV761" s="52"/>
      <c r="BW761" s="52"/>
      <c r="BX761" s="52"/>
      <c r="BY761" s="52"/>
      <c r="BZ761" s="52"/>
      <c r="CA761" s="52"/>
      <c r="CB761" s="52"/>
      <c r="CC761" s="52"/>
      <c r="CD761" s="52"/>
      <c r="CE761" s="52"/>
      <c r="CF761" s="52"/>
      <c r="CG761" s="52"/>
      <c r="CH761" s="52"/>
      <c r="CI761" s="52"/>
      <c r="CJ761" s="52"/>
      <c r="CK761" s="52"/>
      <c r="CL761" s="52"/>
      <c r="CM761" s="52"/>
      <c r="CN761" s="52"/>
      <c r="CO761" s="52"/>
      <c r="CP761" s="52"/>
      <c r="CQ761" s="52"/>
      <c r="CR761" s="1"/>
      <c r="CS761" s="1"/>
      <c r="CT761" s="1"/>
      <c r="CU761" s="1"/>
    </row>
    <row r="762" spans="1:99" s="13" customFormat="1" ht="12" customHeight="1" x14ac:dyDescent="0.2">
      <c r="A762" s="68">
        <v>43912</v>
      </c>
      <c r="B762" s="70"/>
      <c r="C762" s="70"/>
      <c r="D762" s="69"/>
      <c r="E762" s="87"/>
      <c r="F762" s="69"/>
      <c r="G762" s="69"/>
      <c r="H762" s="69"/>
      <c r="I762" s="69"/>
      <c r="J762" s="69"/>
      <c r="K762" s="107"/>
      <c r="L762" s="107"/>
      <c r="M762" s="69"/>
      <c r="N762" s="69"/>
      <c r="O762" s="69"/>
      <c r="P762" s="69"/>
      <c r="Q762" s="69"/>
      <c r="R762" s="69"/>
      <c r="S762" s="69"/>
      <c r="T762" s="92"/>
      <c r="U762" s="69"/>
      <c r="V762" s="92"/>
      <c r="W762" s="69"/>
      <c r="X762" s="69"/>
      <c r="Y762" s="87"/>
      <c r="Z762" s="69"/>
      <c r="AA762" s="69"/>
      <c r="AB762" s="69"/>
      <c r="AC762" s="72"/>
      <c r="AD762" s="69"/>
      <c r="AE762" s="69"/>
      <c r="AF762" s="88"/>
      <c r="AG762" s="72"/>
      <c r="AH762" s="4"/>
      <c r="AI762" s="72"/>
      <c r="AJ762" s="110"/>
      <c r="AK762" s="72"/>
      <c r="AL762" s="72"/>
      <c r="AM762" s="72"/>
      <c r="AN762" s="72"/>
      <c r="AO762" s="72"/>
      <c r="AP762" s="72"/>
      <c r="AQ762" s="72"/>
      <c r="AR762" s="110"/>
      <c r="AS762" s="72"/>
      <c r="AT762" s="72"/>
      <c r="AU762" s="4"/>
      <c r="AV762" s="71">
        <f>20*60</f>
        <v>1200</v>
      </c>
      <c r="AW762" s="71">
        <f>60*60</f>
        <v>3600</v>
      </c>
      <c r="AX762" s="71">
        <f>4*60*60</f>
        <v>14400</v>
      </c>
      <c r="AY762" s="71">
        <f>24*3600</f>
        <v>86400</v>
      </c>
      <c r="AZ762" s="71">
        <f>24*3600*2</f>
        <v>172800</v>
      </c>
      <c r="BA762" s="73"/>
      <c r="BB762" s="73"/>
      <c r="BC762" s="52"/>
      <c r="BD762" s="52"/>
      <c r="BE762" s="52"/>
      <c r="BF762" s="52"/>
      <c r="BG762" s="52"/>
      <c r="BH762" s="52"/>
      <c r="BI762" s="52"/>
      <c r="BJ762" s="52"/>
      <c r="BK762" s="52"/>
      <c r="BL762" s="52"/>
      <c r="BM762" s="52"/>
      <c r="BN762" s="52"/>
      <c r="BO762" s="52"/>
      <c r="BP762" s="52"/>
      <c r="BQ762" s="52"/>
      <c r="BR762" s="52"/>
      <c r="BS762" s="52"/>
      <c r="BT762" s="52"/>
      <c r="BU762" s="52"/>
      <c r="BV762" s="52"/>
      <c r="BW762" s="52"/>
      <c r="BX762" s="52"/>
      <c r="BY762" s="52"/>
      <c r="BZ762" s="52"/>
      <c r="CA762" s="52"/>
      <c r="CB762" s="52"/>
      <c r="CC762" s="52"/>
      <c r="CD762" s="52"/>
      <c r="CE762" s="52"/>
      <c r="CF762" s="52"/>
      <c r="CG762" s="52"/>
      <c r="CH762" s="52"/>
      <c r="CI762" s="52"/>
      <c r="CJ762" s="52"/>
      <c r="CK762" s="52"/>
      <c r="CL762" s="52"/>
      <c r="CM762" s="52"/>
      <c r="CN762" s="52"/>
      <c r="CO762" s="52"/>
      <c r="CP762" s="52"/>
      <c r="CQ762" s="52"/>
      <c r="CR762" s="1"/>
      <c r="CS762" s="1"/>
      <c r="CT762" s="1"/>
      <c r="CU762" s="1"/>
    </row>
    <row r="763" spans="1:99" s="13" customFormat="1" ht="12" customHeight="1" x14ac:dyDescent="0.2">
      <c r="A763" s="68">
        <v>43912</v>
      </c>
      <c r="B763" s="70" t="s">
        <v>118</v>
      </c>
      <c r="C763" s="70" t="s">
        <v>119</v>
      </c>
      <c r="D763" s="69">
        <v>1922</v>
      </c>
      <c r="E763" s="87">
        <v>3</v>
      </c>
      <c r="F763" s="69">
        <v>20</v>
      </c>
      <c r="G763" s="69">
        <v>20</v>
      </c>
      <c r="H763" s="69" t="s">
        <v>726</v>
      </c>
      <c r="I763" s="104">
        <v>0.67</v>
      </c>
      <c r="J763" s="69" t="s">
        <v>281</v>
      </c>
      <c r="K763" s="69">
        <f>IF(J763="syllables",1,IF(J763="trigrams",2,IF(J763="strings",3,IF(J763="visual array",4,IF(J763="characters",5,IF(J763="letters",6,IF(J763="free forms",7,IF(J763="odors",8,IF(J763="words",9,IF(J763="pictures",10,IF(J763="object pictures",11,IF(J763="faces",12,IF(J763="names",13,IF(J763="idioms",14,IF(J763="grades",15,IF(J763="syllable-digit pairs",16,IF(J763="trigram-word pairs",17,IF(J763="word-digit pairs",18,IF(J763="English-Swahili pairs",19,IF(J763="spatial position",20,IF(J763="word pairs",21,IF(J763="word triads",22,IF(J763="generated words",23,IF(J763="word definition pairs",24,IF(J763="math problems",25,IF(J763="famous faces",26,IF(J763="famous names",27,IF(J763="famous voices",28,IF(J763="television programs",29,IF(J763="race horses",30,IF(J763="new vocabulary",31,IF(J763="sentences",32,IF(J763="concepts",33,IF(J763="ad slides",34,IF(J763="scenes",35,IF(J763="famous scenes",36,IF(J763="poems",37,IF(J763="walk",38,IF(J763="faces and events",39,IF(J763="events and names",40,IF(J763="flashbulb",41,IF(J763="stories",42,IF(J763="course material",43,IF(J763="autobiographical",44,IF(J763="novels",45,IF(J763="public events",46,"99"))))))))))))))))))))))))))))))))))))))))))))))</f>
        <v>1</v>
      </c>
      <c r="L763" s="69">
        <f>IF(J763="syllables",1,IF(J763="trigrams",1,IF(J763="strings",1,IF(J763="visual array",1,IF(J763="characters",1,IF(J763="letters",1,IF(J763="free forms",1,IF(J763="odors",2,IF(J763="words",2,IF(J763="pictures",2,IF(J763="object pictures",2,IF(J763="faces",2,IF(J763="names",2,IF(J763="idioms","2",IF(J763="grades",2,IF(J763="syllable-digit pairs",3,IF(J763="trigram-word pairs",3,IF(J763="word-digit pairs",3,IF(J763="English-Swahili pairs",3,IF(J763="spatial position",3,IF(J763="word pairs",4,IF(J763="word triads",4,IF(J763="generated words",4,IF(J763="word definition pairs",4,IF(J763="math problems",4,IF(J763="famous faces",4,IF(J763="famous names",4,IF(J763="famous voices",4,IF(J763="television programs",4,IF(J763="race horses",4,IF(J763="new vocabulary",4,IF(J763="sentences",5,IF(J763="concepts",5,IF(J763="ad slides",5,IF(J763="scenes",5,IF(J763="famous scenes",5,IF(J763="poems",6,IF(J763="walk",6,IF(J763="faces and events",6,IF(J763="events and names",6,IF(J763="flashbulb",7,IF(J763="stories",7,IF(J763="course material",7,IF(J763="autobiographical",7,IF(J763="novels",7,IF(J763="public events",7,"99"))))))))))))))))))))))))))))))))))))))))))))))</f>
        <v>1</v>
      </c>
      <c r="M763" s="69">
        <v>1</v>
      </c>
      <c r="N763" s="69">
        <v>2</v>
      </c>
      <c r="O763" s="69">
        <v>0</v>
      </c>
      <c r="P763" s="69"/>
      <c r="Q763" s="69" t="s">
        <v>182</v>
      </c>
      <c r="R763" s="69">
        <f>IF(Q763="Free Recall",1,IF(Q763="Cued Recall",2,IF(Q763="Recognition",3,IF(Q763="Multiple Choice",4,IF(Q763="Savings",5,IF(Q763="Stem Completion",6,IF(Q763="Fragment Completion",7,IF(Q763="anagram solution",8,IF(Q763="Matching",9,IF(Q763="Problem Solving",10,"99"))))))))))</f>
        <v>4</v>
      </c>
      <c r="S763" s="92" t="s">
        <v>15</v>
      </c>
      <c r="T763" s="92" t="s">
        <v>581</v>
      </c>
      <c r="U763" s="69">
        <f>IF(T763="within",1,0)</f>
        <v>1</v>
      </c>
      <c r="V763" s="92">
        <v>12</v>
      </c>
      <c r="W763" s="69">
        <f>F763*V763</f>
        <v>240</v>
      </c>
      <c r="X763" s="69">
        <v>7</v>
      </c>
      <c r="Y763" s="87">
        <f>AV762</f>
        <v>1200</v>
      </c>
      <c r="Z763" s="69" t="s">
        <v>88</v>
      </c>
      <c r="AA763" s="69">
        <v>172800</v>
      </c>
      <c r="AB763" s="69" t="str">
        <f>IF(AA763&lt;60,"1",IF(AA763&lt;=43200,"2",IF(AA763&lt;=777600,"3","4")))</f>
        <v>3</v>
      </c>
      <c r="AC763" s="72">
        <f>AVERAGE(AV762:DA762)</f>
        <v>55680</v>
      </c>
      <c r="AD763" s="69" t="str">
        <f>IF(AC763&lt;60,"1",IF(AC763&lt;=43200,"2",IF(AC763&lt;=777600,"3","4")))</f>
        <v>3</v>
      </c>
      <c r="AE763" s="87">
        <f>AA763-Y763</f>
        <v>171600</v>
      </c>
      <c r="AF763" s="88">
        <f>AV763</f>
        <v>0.93</v>
      </c>
      <c r="AG763" s="72">
        <f>((AW763-AV763)+(AX763-AW763)+(AY763-AX763)+(AZ763-AY763))/4</f>
        <v>-7.7500000000000013E-2</v>
      </c>
      <c r="AH763" s="4"/>
      <c r="AI763" s="72">
        <f>RSQ(AV763:AZ763,AV762:AZ762)</f>
        <v>0.95955064040246107</v>
      </c>
      <c r="AJ763" s="110">
        <f>SLOPE(AV763:AZ763,AV762:AZ762)</f>
        <v>-1.7619035177104838E-6</v>
      </c>
      <c r="AK763" s="72">
        <f>INTERCEPT(AV763:AZ763,AV762:AZ762)</f>
        <v>0.91210278786611976</v>
      </c>
      <c r="AL763" s="72">
        <f>INDEX(LINEST(LN(AV763:AZ763),LN(AV762:AZ762),TRUE,TRUE),3,1)</f>
        <v>0.88188625442108215</v>
      </c>
      <c r="AM763" s="72">
        <f>INDEX(LINEST(LN(AV763:AZ763),LN(AV762:AZ762)),1)</f>
        <v>-7.7845477423216666E-2</v>
      </c>
      <c r="AN763" s="72">
        <f>EXP(INDEX(LINEST(LN(AV763:AZ763),LN(AV762:AZ762)),1,2))</f>
        <v>1.7062903771896387</v>
      </c>
      <c r="AO763" s="89">
        <f>INDEX(LINEST((AV763:AZ763),LN(AV762:AZ762),TRUE,TRUE),3,1)</f>
        <v>0.90923786188435374</v>
      </c>
      <c r="AP763" s="89">
        <f>INDEX(LINEST((AV763:AZ763),LN(AV762:AZ762)),1)</f>
        <v>-6.0962244267178528E-2</v>
      </c>
      <c r="AQ763" s="90">
        <f>INDEX(LINEST(LN(AV763:AZ763),SQRT(AV762:AZ762),TRUE,TRUE),3,1)</f>
        <v>0.98487907678353792</v>
      </c>
      <c r="AR763" s="117">
        <f>INDEX(LINEST(LN(AV763:AZ763),SQRT((AV762:AZ762))),1)</f>
        <v>-1.0478724216700854E-3</v>
      </c>
      <c r="AS763" s="91">
        <f>INDEX(LINEST(1/(AV763:AZ763),1/(SQRT(AV762:AZ762)),TRUE,TRUE),3,1)</f>
        <v>0.60870455321883543</v>
      </c>
      <c r="AT763" s="91">
        <f>INDEX(LINEST(1/(AV763:AZ763),1/SQRT(AV762:AZ762)),1)</f>
        <v>-16.149471168956818</v>
      </c>
      <c r="AU763" s="3"/>
      <c r="AV763" s="73">
        <v>0.93</v>
      </c>
      <c r="AW763" s="73">
        <v>0.93</v>
      </c>
      <c r="AX763" s="73">
        <v>0.85</v>
      </c>
      <c r="AY763" s="73">
        <v>0.74</v>
      </c>
      <c r="AZ763" s="73">
        <v>0.62</v>
      </c>
      <c r="BA763" s="73"/>
      <c r="BB763" s="73"/>
      <c r="BC763" s="52"/>
      <c r="BD763" s="52"/>
      <c r="BE763" s="52"/>
      <c r="BF763" s="52"/>
      <c r="BG763" s="52"/>
      <c r="BH763" s="52"/>
      <c r="BI763" s="52"/>
      <c r="BJ763" s="52"/>
      <c r="BK763" s="52"/>
      <c r="BL763" s="52"/>
      <c r="BM763" s="52"/>
      <c r="BN763" s="52"/>
      <c r="BO763" s="52"/>
      <c r="BP763" s="52"/>
      <c r="BQ763" s="52"/>
      <c r="BR763" s="52"/>
      <c r="BS763" s="52"/>
      <c r="BT763" s="52"/>
      <c r="BU763" s="52"/>
      <c r="BV763" s="52"/>
      <c r="BW763" s="52"/>
      <c r="BX763" s="52"/>
      <c r="BY763" s="52"/>
      <c r="BZ763" s="52"/>
      <c r="CA763" s="52"/>
      <c r="CB763" s="52"/>
      <c r="CC763" s="52"/>
      <c r="CD763" s="52"/>
      <c r="CE763" s="52"/>
      <c r="CF763" s="52"/>
      <c r="CG763" s="52"/>
      <c r="CH763" s="52"/>
      <c r="CI763" s="52"/>
      <c r="CJ763" s="52"/>
      <c r="CK763" s="52"/>
      <c r="CL763" s="52"/>
      <c r="CM763" s="52"/>
      <c r="CN763" s="52"/>
      <c r="CO763" s="52"/>
      <c r="CP763" s="52"/>
      <c r="CQ763" s="52"/>
      <c r="CR763" s="1"/>
      <c r="CS763" s="1"/>
      <c r="CT763" s="1"/>
      <c r="CU763" s="1"/>
    </row>
    <row r="764" spans="1:99" s="13" customFormat="1" ht="12" customHeight="1" x14ac:dyDescent="0.2">
      <c r="A764" s="68">
        <v>43912</v>
      </c>
      <c r="B764" s="70"/>
      <c r="C764" s="70"/>
      <c r="D764" s="69"/>
      <c r="E764" s="87"/>
      <c r="F764" s="69"/>
      <c r="G764" s="69"/>
      <c r="H764" s="69"/>
      <c r="I764" s="69"/>
      <c r="J764" s="69"/>
      <c r="K764" s="107"/>
      <c r="L764" s="107"/>
      <c r="M764" s="69"/>
      <c r="N764" s="69"/>
      <c r="O764" s="69"/>
      <c r="P764" s="69"/>
      <c r="Q764" s="69"/>
      <c r="R764" s="69"/>
      <c r="S764" s="69"/>
      <c r="T764" s="92"/>
      <c r="U764" s="69"/>
      <c r="V764" s="92"/>
      <c r="W764" s="69"/>
      <c r="X764" s="69"/>
      <c r="Y764" s="87"/>
      <c r="Z764" s="69"/>
      <c r="AA764" s="69"/>
      <c r="AB764" s="69"/>
      <c r="AC764" s="72"/>
      <c r="AD764" s="69"/>
      <c r="AE764" s="69"/>
      <c r="AF764" s="88"/>
      <c r="AG764" s="72"/>
      <c r="AH764" s="4"/>
      <c r="AI764" s="72"/>
      <c r="AJ764" s="110"/>
      <c r="AK764" s="72"/>
      <c r="AL764" s="72"/>
      <c r="AM764" s="72"/>
      <c r="AN764" s="72"/>
      <c r="AO764" s="72"/>
      <c r="AP764" s="72"/>
      <c r="AQ764" s="72"/>
      <c r="AR764" s="110"/>
      <c r="AS764" s="72"/>
      <c r="AT764" s="72"/>
      <c r="AU764" s="4"/>
      <c r="AV764" s="71">
        <f>20*60</f>
        <v>1200</v>
      </c>
      <c r="AW764" s="71">
        <f>60*60</f>
        <v>3600</v>
      </c>
      <c r="AX764" s="71">
        <f>4*60*60</f>
        <v>14400</v>
      </c>
      <c r="AY764" s="71">
        <f>24*3600</f>
        <v>86400</v>
      </c>
      <c r="AZ764" s="71">
        <f>24*3600*2</f>
        <v>172800</v>
      </c>
      <c r="BA764" s="73"/>
      <c r="BB764" s="73"/>
      <c r="BC764" s="52"/>
      <c r="BD764" s="52"/>
      <c r="BE764" s="52"/>
      <c r="BF764" s="52"/>
      <c r="BG764" s="52"/>
      <c r="BH764" s="52"/>
      <c r="BI764" s="52"/>
      <c r="BJ764" s="52"/>
      <c r="BK764" s="52"/>
      <c r="BL764" s="52"/>
      <c r="BM764" s="52"/>
      <c r="BN764" s="52"/>
      <c r="BO764" s="52"/>
      <c r="BP764" s="52"/>
      <c r="BQ764" s="52"/>
      <c r="BR764" s="52"/>
      <c r="BS764" s="52"/>
      <c r="BT764" s="52"/>
      <c r="BU764" s="52"/>
      <c r="BV764" s="52"/>
      <c r="BW764" s="52"/>
      <c r="BX764" s="52"/>
      <c r="BY764" s="52"/>
      <c r="BZ764" s="52"/>
      <c r="CA764" s="52"/>
      <c r="CB764" s="52"/>
      <c r="CC764" s="52"/>
      <c r="CD764" s="52"/>
      <c r="CE764" s="52"/>
      <c r="CF764" s="52"/>
      <c r="CG764" s="52"/>
      <c r="CH764" s="52"/>
      <c r="CI764" s="52"/>
      <c r="CJ764" s="52"/>
      <c r="CK764" s="52"/>
      <c r="CL764" s="52"/>
      <c r="CM764" s="52"/>
      <c r="CN764" s="52"/>
      <c r="CO764" s="52"/>
      <c r="CP764" s="52"/>
      <c r="CQ764" s="52"/>
      <c r="CR764" s="1"/>
      <c r="CS764" s="1"/>
      <c r="CT764" s="1"/>
      <c r="CU764" s="1"/>
    </row>
    <row r="765" spans="1:99" s="13" customFormat="1" ht="12" customHeight="1" x14ac:dyDescent="0.2">
      <c r="A765" s="68">
        <v>43912</v>
      </c>
      <c r="B765" s="70" t="s">
        <v>118</v>
      </c>
      <c r="C765" s="70" t="s">
        <v>119</v>
      </c>
      <c r="D765" s="69">
        <v>1922</v>
      </c>
      <c r="E765" s="87">
        <v>3</v>
      </c>
      <c r="F765" s="69">
        <v>20</v>
      </c>
      <c r="G765" s="69">
        <v>20</v>
      </c>
      <c r="H765" s="69" t="s">
        <v>726</v>
      </c>
      <c r="I765" s="104">
        <v>0.33</v>
      </c>
      <c r="J765" s="69" t="s">
        <v>281</v>
      </c>
      <c r="K765" s="69">
        <f>IF(J765="syllables",1,IF(J765="trigrams",2,IF(J765="strings",3,IF(J765="visual array",4,IF(J765="characters",5,IF(J765="letters",6,IF(J765="free forms",7,IF(J765="odors",8,IF(J765="words",9,IF(J765="pictures",10,IF(J765="object pictures",11,IF(J765="faces",12,IF(J765="names",13,IF(J765="idioms",14,IF(J765="grades",15,IF(J765="syllable-digit pairs",16,IF(J765="trigram-word pairs",17,IF(J765="word-digit pairs",18,IF(J765="English-Swahili pairs",19,IF(J765="spatial position",20,IF(J765="word pairs",21,IF(J765="word triads",22,IF(J765="generated words",23,IF(J765="word definition pairs",24,IF(J765="math problems",25,IF(J765="famous faces",26,IF(J765="famous names",27,IF(J765="famous voices",28,IF(J765="television programs",29,IF(J765="race horses",30,IF(J765="new vocabulary",31,IF(J765="sentences",32,IF(J765="concepts",33,IF(J765="ad slides",34,IF(J765="scenes",35,IF(J765="famous scenes",36,IF(J765="poems",37,IF(J765="walk",38,IF(J765="faces and events",39,IF(J765="events and names",40,IF(J765="flashbulb",41,IF(J765="stories",42,IF(J765="course material",43,IF(J765="autobiographical",44,IF(J765="novels",45,IF(J765="public events",46,"99"))))))))))))))))))))))))))))))))))))))))))))))</f>
        <v>1</v>
      </c>
      <c r="L765" s="69">
        <f>IF(J765="syllables",1,IF(J765="trigrams",1,IF(J765="strings",1,IF(J765="visual array",1,IF(J765="characters",1,IF(J765="letters",1,IF(J765="free forms",1,IF(J765="odors",2,IF(J765="words",2,IF(J765="pictures",2,IF(J765="object pictures",2,IF(J765="faces",2,IF(J765="names",2,IF(J765="idioms","2",IF(J765="grades",2,IF(J765="syllable-digit pairs",3,IF(J765="trigram-word pairs",3,IF(J765="word-digit pairs",3,IF(J765="English-Swahili pairs",3,IF(J765="spatial position",3,IF(J765="word pairs",4,IF(J765="word triads",4,IF(J765="generated words",4,IF(J765="word definition pairs",4,IF(J765="math problems",4,IF(J765="famous faces",4,IF(J765="famous names",4,IF(J765="famous voices",4,IF(J765="television programs",4,IF(J765="race horses",4,IF(J765="new vocabulary",4,IF(J765="sentences",5,IF(J765="concepts",5,IF(J765="ad slides",5,IF(J765="scenes",5,IF(J765="famous scenes",5,IF(J765="poems",6,IF(J765="walk",6,IF(J765="faces and events",6,IF(J765="events and names",6,IF(J765="flashbulb",7,IF(J765="stories",7,IF(J765="course material",7,IF(J765="autobiographical",7,IF(J765="novels",7,IF(J765="public events",7,"99"))))))))))))))))))))))))))))))))))))))))))))))</f>
        <v>1</v>
      </c>
      <c r="M765" s="69">
        <v>1</v>
      </c>
      <c r="N765" s="69">
        <v>2</v>
      </c>
      <c r="O765" s="69">
        <v>0</v>
      </c>
      <c r="P765" s="69"/>
      <c r="Q765" s="69" t="s">
        <v>182</v>
      </c>
      <c r="R765" s="69">
        <f>IF(Q765="Free Recall",1,IF(Q765="Cued Recall",2,IF(Q765="Recognition",3,IF(Q765="Multiple Choice",4,IF(Q765="Savings",5,IF(Q765="Stem Completion",6,IF(Q765="Fragment Completion",7,IF(Q765="anagram solution",8,IF(Q765="Matching",9,IF(Q765="Problem Solving",10,"99"))))))))))</f>
        <v>4</v>
      </c>
      <c r="S765" s="92" t="s">
        <v>15</v>
      </c>
      <c r="T765" s="92" t="s">
        <v>581</v>
      </c>
      <c r="U765" s="69">
        <f>IF(T765="within",1,0)</f>
        <v>1</v>
      </c>
      <c r="V765" s="92">
        <v>12</v>
      </c>
      <c r="W765" s="69">
        <f>F765*V765</f>
        <v>240</v>
      </c>
      <c r="X765" s="69">
        <v>5</v>
      </c>
      <c r="Y765" s="87">
        <f>AV764</f>
        <v>1200</v>
      </c>
      <c r="Z765" s="69" t="s">
        <v>88</v>
      </c>
      <c r="AA765" s="69">
        <v>172800</v>
      </c>
      <c r="AB765" s="69" t="str">
        <f>IF(AA765&lt;60,"1",IF(AA765&lt;=43200,"2",IF(AA765&lt;=777600,"3","4")))</f>
        <v>3</v>
      </c>
      <c r="AC765" s="72">
        <f>AVERAGE(AV764:DA764)</f>
        <v>55680</v>
      </c>
      <c r="AD765" s="69" t="str">
        <f>IF(AC765&lt;60,"1",IF(AC765&lt;=43200,"2",IF(AC765&lt;=777600,"3","4")))</f>
        <v>3</v>
      </c>
      <c r="AE765" s="87">
        <f>AA765-Y765</f>
        <v>171600</v>
      </c>
      <c r="AF765" s="88">
        <f>AV765</f>
        <v>0.73</v>
      </c>
      <c r="AG765" s="72">
        <f>((AW765-AV765)+(AX765-AW765)+(AY765-AX765)+(AZ765-AY765))/4</f>
        <v>-0.11749999999999999</v>
      </c>
      <c r="AH765" s="4"/>
      <c r="AI765" s="72">
        <f>RSQ(AV765:AZ765,AV764:AZ764)</f>
        <v>0.91356756781213388</v>
      </c>
      <c r="AJ765" s="110">
        <f>SLOPE(AV765:AZ765,AV764:AZ764)</f>
        <v>-2.3235483674304775E-6</v>
      </c>
      <c r="AK765" s="72">
        <f>INTERCEPT(AV765:AZ765,AV764:AZ764)</f>
        <v>0.65737517309852911</v>
      </c>
      <c r="AL765" s="72">
        <f>INDEX(LINEST(LN(AV765:AZ765),LN(AV764:AZ764),TRUE,TRUE),3,1)</f>
        <v>0.82606297943249773</v>
      </c>
      <c r="AM765" s="72">
        <f>INDEX(LINEST(LN(AV765:AZ765),LN(AV764:AZ764)),1)</f>
        <v>-0.17511701843707009</v>
      </c>
      <c r="AN765" s="72">
        <f>EXP(INDEX(LINEST(LN(AV765:AZ765),LN(AV764:AZ764)),1,2))</f>
        <v>2.7032530215789028</v>
      </c>
      <c r="AO765" s="89">
        <f>INDEX(LINEST((AV765:AZ765),LN(AV764:AZ764),TRUE,TRUE),3,1)</f>
        <v>0.91853867237312348</v>
      </c>
      <c r="AP765" s="89">
        <f>INDEX(LINEST((AV765:AZ765),LN(AV764:AZ764)),1)</f>
        <v>-8.2814068511926256E-2</v>
      </c>
      <c r="AQ765" s="90">
        <f>INDEX(LINEST(LN(AV765:AZ765),SQRT(AV764:AZ764),TRUE,TRUE),3,1)</f>
        <v>0.92536431869365765</v>
      </c>
      <c r="AR765" s="117">
        <f>INDEX(LINEST(LN(AV765:AZ765),SQRT((AV764:AZ764))),1)</f>
        <v>-2.3608478803996478E-3</v>
      </c>
      <c r="AS765" s="91">
        <f>INDEX(LINEST(1/(AV765:AZ765),1/(SQRT(AV764:AZ764)),TRUE,TRUE),3,1)</f>
        <v>0.50727711767289629</v>
      </c>
      <c r="AT765" s="91">
        <f>INDEX(LINEST(1/(AV765:AZ765),1/SQRT(AV764:AZ764)),1)</f>
        <v>-64.159717286114684</v>
      </c>
      <c r="AU765" s="3"/>
      <c r="AV765" s="73">
        <v>0.73</v>
      </c>
      <c r="AW765" s="73">
        <v>0.64</v>
      </c>
      <c r="AX765" s="73">
        <v>0.55000000000000004</v>
      </c>
      <c r="AY765" s="73">
        <v>0.46</v>
      </c>
      <c r="AZ765" s="73">
        <v>0.26</v>
      </c>
      <c r="BA765" s="73"/>
      <c r="BB765" s="73"/>
      <c r="BC765" s="52"/>
      <c r="BD765" s="52"/>
      <c r="BE765" s="52"/>
      <c r="BF765" s="52"/>
      <c r="BG765" s="52"/>
      <c r="BH765" s="52"/>
      <c r="BI765" s="52"/>
      <c r="BJ765" s="52"/>
      <c r="BK765" s="52"/>
      <c r="BL765" s="52"/>
      <c r="BM765" s="52"/>
      <c r="BN765" s="52"/>
      <c r="BO765" s="52"/>
      <c r="BP765" s="52"/>
      <c r="BQ765" s="52"/>
      <c r="BR765" s="52"/>
      <c r="BS765" s="52"/>
      <c r="BT765" s="52"/>
      <c r="BU765" s="52"/>
      <c r="BV765" s="52"/>
      <c r="BW765" s="52"/>
      <c r="BX765" s="52"/>
      <c r="BY765" s="52"/>
      <c r="BZ765" s="52"/>
      <c r="CA765" s="52"/>
      <c r="CB765" s="52"/>
      <c r="CC765" s="52"/>
      <c r="CD765" s="52"/>
      <c r="CE765" s="52"/>
      <c r="CF765" s="52"/>
      <c r="CG765" s="52"/>
      <c r="CH765" s="52"/>
      <c r="CI765" s="52"/>
      <c r="CJ765" s="52"/>
      <c r="CK765" s="52"/>
      <c r="CL765" s="52"/>
      <c r="CM765" s="52"/>
      <c r="CN765" s="52"/>
      <c r="CO765" s="52"/>
      <c r="CP765" s="52"/>
      <c r="CQ765" s="52"/>
      <c r="CR765" s="1"/>
      <c r="CS765" s="1"/>
      <c r="CT765" s="1"/>
      <c r="CU765" s="1"/>
    </row>
    <row r="766" spans="1:99" s="13" customFormat="1" ht="12" customHeight="1" x14ac:dyDescent="0.2">
      <c r="A766" s="65">
        <v>43509</v>
      </c>
      <c r="B766" s="1"/>
      <c r="C766" s="1"/>
      <c r="D766" s="60"/>
      <c r="E766" s="76"/>
      <c r="F766" s="60"/>
      <c r="G766" s="60"/>
      <c r="H766" s="60"/>
      <c r="I766" s="60"/>
      <c r="J766" s="60"/>
      <c r="K766" s="64"/>
      <c r="L766" s="64"/>
      <c r="M766" s="60"/>
      <c r="N766" s="60"/>
      <c r="O766" s="60"/>
      <c r="P766" s="60"/>
      <c r="Q766" s="60"/>
      <c r="R766" s="60"/>
      <c r="S766" s="60"/>
      <c r="T766" s="60"/>
      <c r="U766" s="60"/>
      <c r="V766" s="60"/>
      <c r="W766" s="60"/>
      <c r="X766" s="60"/>
      <c r="Y766" s="76"/>
      <c r="Z766" s="60"/>
      <c r="AA766" s="60"/>
      <c r="AB766" s="60"/>
      <c r="AC766" s="60"/>
      <c r="AD766" s="60"/>
      <c r="AE766" s="60"/>
      <c r="AF766" s="80"/>
      <c r="AG766" s="56"/>
      <c r="AH766" s="4"/>
      <c r="AI766" s="56"/>
      <c r="AJ766" s="109"/>
      <c r="AK766" s="56"/>
      <c r="AL766" s="56"/>
      <c r="AM766" s="56"/>
      <c r="AN766" s="56"/>
      <c r="AO766" s="56"/>
      <c r="AP766" s="56"/>
      <c r="AQ766" s="56"/>
      <c r="AR766" s="109"/>
      <c r="AS766" s="56"/>
      <c r="AT766" s="56"/>
      <c r="AU766" s="4"/>
      <c r="AV766" s="25">
        <f>30*24*60*60*0.5</f>
        <v>1296000</v>
      </c>
      <c r="AW766" s="25">
        <f>30*24*60*60*1</f>
        <v>2592000</v>
      </c>
      <c r="AX766" s="25">
        <f>30*24*60*60*1.5</f>
        <v>3888000</v>
      </c>
      <c r="AY766" s="25">
        <f>30*24*60*60*2</f>
        <v>5184000</v>
      </c>
      <c r="AZ766" s="25">
        <f>30*24*60*60*2.5</f>
        <v>6480000</v>
      </c>
      <c r="BA766" s="42"/>
      <c r="BB766" s="4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1"/>
      <c r="CS766" s="1"/>
      <c r="CT766" s="1"/>
      <c r="CU766" s="1"/>
    </row>
    <row r="767" spans="1:99" s="13" customFormat="1" ht="12" customHeight="1" x14ac:dyDescent="0.2">
      <c r="A767" s="65">
        <v>43509</v>
      </c>
      <c r="B767" s="1" t="s">
        <v>878</v>
      </c>
      <c r="C767" s="1" t="s">
        <v>45</v>
      </c>
      <c r="D767" s="60">
        <v>1988</v>
      </c>
      <c r="E767" s="76">
        <v>2</v>
      </c>
      <c r="F767" s="60">
        <v>80</v>
      </c>
      <c r="G767" s="60">
        <v>16</v>
      </c>
      <c r="H767" s="60" t="s">
        <v>30</v>
      </c>
      <c r="I767" s="60"/>
      <c r="J767" s="60" t="s">
        <v>320</v>
      </c>
      <c r="K767" s="60">
        <f>IF(J767="syllables",1,IF(J767="trigrams",2,IF(J767="strings",3,IF(J767="visual array",4,IF(J767="characters",5,IF(J767="letters",6,IF(J767="free forms",7,IF(J767="odors",8,IF(J767="words",9,IF(J767="pictures",10,IF(J767="object pictures",11,IF(J767="faces",12,IF(J767="names",13,IF(J767="idioms",14,IF(J767="grades",15,IF(J767="syllable-digit pairs",16,IF(J767="trigram-word pairs",17,IF(J767="word-digit pairs",18,IF(J767="English-Swahili pairs",19,IF(J767="spatial position",20,IF(J767="word pairs",21,IF(J767="word triads",22,IF(J767="generated words",23,IF(J767="word definition pairs",24,IF(J767="math problems",25,IF(J767="famous faces",26,IF(J767="famous names",27,IF(J767="famous voices",28,IF(J767="television programs",29,IF(J767="race horses",30,IF(J767="new vocabulary",31,IF(J767="sentences",32,IF(J767="concepts",33,IF(J767="ad slides",34,IF(J767="scenes",35,IF(J767="famous scenes",36,IF(J767="poems",37,IF(J767="walk",38,IF(J767="faces and events",39,IF(J767="events and names",40,IF(J767="flashbulb",41,IF(J767="stories",42,IF(J767="course material",43,IF(J767="autobiographical",44,IF(J767="novels",45,IF(J767="public events",46,"99"))))))))))))))))))))))))))))))))))))))))))))))</f>
        <v>21</v>
      </c>
      <c r="L767" s="60">
        <f>IF(J767="syllables",1,IF(J767="trigrams",1,IF(J767="strings",1,IF(J767="visual array",1,IF(J767="characters",1,IF(J767="letters",1,IF(J767="free forms",1,IF(J767="odors",2,IF(J767="words",2,IF(J767="pictures",2,IF(J767="object pictures",2,IF(J767="faces",2,IF(J767="names",2,IF(J767="idioms","2",IF(J767="grades",2,IF(J767="syllable-digit pairs",3,IF(J767="trigram-word pairs",3,IF(J767="word-digit pairs",3,IF(J767="English-Swahili pairs",3,IF(J767="spatial position",3,IF(J767="word pairs",4,IF(J767="word triads",4,IF(J767="generated words",4,IF(J767="word definition pairs",4,IF(J767="math problems",4,IF(J767="famous faces",4,IF(J767="famous names",4,IF(J767="famous voices",4,IF(J767="television programs",4,IF(J767="race horses",4,IF(J767="new vocabulary",4,IF(J767="sentences",5,IF(J767="concepts",5,IF(J767="ad slides",5,IF(J767="scenes",5,IF(J767="famous scenes",5,IF(J767="poems",6,IF(J767="walk",6,IF(J767="faces and events",6,IF(J767="events and names",6,IF(J767="flashbulb",7,IF(J767="stories",7,IF(J767="course material",7,IF(J767="autobiographical",7,IF(J767="novels",7,IF(J767="public events",7,"99"))))))))))))))))))))))))))))))))))))))))))))))</f>
        <v>4</v>
      </c>
      <c r="M767" s="60">
        <v>1</v>
      </c>
      <c r="N767" s="60">
        <v>2</v>
      </c>
      <c r="O767" s="60">
        <v>1</v>
      </c>
      <c r="P767" s="60" t="s">
        <v>27</v>
      </c>
      <c r="Q767" s="60" t="s">
        <v>182</v>
      </c>
      <c r="R767" s="60">
        <f>IF(Q767="Free Recall",1,IF(Q767="Cued Recall",2,IF(Q767="Recognition",3,IF(Q767="Multiple Choice",4,IF(Q767="Savings",5,IF(Q767="Stem Completion",6,IF(Q767="Fragment Completion",7,IF(Q767="anagram solution",8,IF(Q767="Matching",9,IF(Q767="Problem Solving",10,"99"))))))))))</f>
        <v>4</v>
      </c>
      <c r="S767" s="60" t="s">
        <v>15</v>
      </c>
      <c r="T767" s="60" t="s">
        <v>261</v>
      </c>
      <c r="U767" s="60">
        <f>IF(T767="within",1,0)</f>
        <v>0</v>
      </c>
      <c r="V767" s="60">
        <v>20</v>
      </c>
      <c r="W767" s="60">
        <f>F767*V767</f>
        <v>1600</v>
      </c>
      <c r="X767" s="60">
        <v>5</v>
      </c>
      <c r="Y767" s="76">
        <f>AV766</f>
        <v>1296000</v>
      </c>
      <c r="Z767" s="60" t="s">
        <v>186</v>
      </c>
      <c r="AA767" s="60">
        <f>30*24*60*60*2.5</f>
        <v>6480000</v>
      </c>
      <c r="AB767" s="60" t="str">
        <f>IF(AA767&lt;60,"1",IF(AA767&lt;=43200,"2",IF(AA767&lt;=777600,"3","4")))</f>
        <v>4</v>
      </c>
      <c r="AC767" s="56">
        <f>AVERAGE(AV766:DA766)</f>
        <v>3888000</v>
      </c>
      <c r="AD767" s="60" t="str">
        <f>IF(AC767&lt;60,"1",IF(AC767&lt;=43200,"2",IF(AC767&lt;=777600,"3","4")))</f>
        <v>4</v>
      </c>
      <c r="AE767" s="76">
        <f>AA767-Y767</f>
        <v>5184000</v>
      </c>
      <c r="AF767" s="80">
        <f>AV767</f>
        <v>0.8</v>
      </c>
      <c r="AG767" s="56">
        <f>((AW767-AV767)+(AX767-AW767)+(AY767-AX767)+(AZ767-AY767))/4</f>
        <v>-4.7500000000000014E-2</v>
      </c>
      <c r="AH767" s="4"/>
      <c r="AI767" s="56">
        <f>RSQ(AV767:AZ767,AV766:AZ766)</f>
        <v>0.74611398963730569</v>
      </c>
      <c r="AJ767" s="109">
        <f>SLOPE(AV767:AZ767,AV766:AZ766)</f>
        <v>-3.703703703703705E-8</v>
      </c>
      <c r="AK767" s="56">
        <f>INTERCEPT(AV767:AZ767,AV766:AZ766)</f>
        <v>0.82200000000000006</v>
      </c>
      <c r="AL767" s="56">
        <f>INDEX(LINEST(LN(AV767:AZ767),LN(AV766:AZ766),TRUE,TRUE),3,1)</f>
        <v>0.76651333664583599</v>
      </c>
      <c r="AM767" s="56">
        <f>INDEX(LINEST(LN(AV767:AZ767),LN(AV766:AZ766)),1)</f>
        <v>-0.17739196345789193</v>
      </c>
      <c r="AN767" s="56">
        <f>EXP(INDEX(LINEST(LN(AV767:AZ767),LN(AV766:AZ766)),1,2))</f>
        <v>9.6923894616613904</v>
      </c>
      <c r="AO767" s="82">
        <f>INDEX(LINEST((AV767:AZ767),LN(AV766:AZ766),TRUE,TRUE),3,1)</f>
        <v>0.78404724750039745</v>
      </c>
      <c r="AP767" s="82">
        <f>INDEX(LINEST((AV767:AZ767),LN(AV766:AZ766)),1)</f>
        <v>-0.12242151853005373</v>
      </c>
      <c r="AQ767" s="83">
        <f>INDEX(LINEST(LN(AV767:AZ767),SQRT(AV766:AZ766),TRUE,TRUE),3,1)</f>
        <v>0.76350387970834332</v>
      </c>
      <c r="AR767" s="116">
        <f>INDEX(LINEST(LN(AV767:AZ767),SQRT((AV766:AZ766))),1)</f>
        <v>-2.0308845512981405E-4</v>
      </c>
      <c r="AS767" s="84">
        <f>INDEX(LINEST(1/(AV767:AZ767),1/(SQRT(AV766:AZ766)),TRUE,TRUE),3,1)</f>
        <v>0.72448664135099916</v>
      </c>
      <c r="AT767" s="84">
        <f>INDEX(LINEST(1/(AV767:AZ767),1/SQRT(AV766:AZ766)),1)</f>
        <v>-837.07533259576701</v>
      </c>
      <c r="AU767" s="3"/>
      <c r="AV767" s="53">
        <v>0.8</v>
      </c>
      <c r="AW767" s="53">
        <v>0.68</v>
      </c>
      <c r="AX767" s="53">
        <v>0.72</v>
      </c>
      <c r="AY767" s="53">
        <v>0.57999999999999996</v>
      </c>
      <c r="AZ767" s="53">
        <v>0.61</v>
      </c>
      <c r="BA767" s="42"/>
      <c r="BB767" s="4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1"/>
      <c r="CS767" s="1"/>
      <c r="CT767" s="1"/>
      <c r="CU767" s="1"/>
    </row>
    <row r="768" spans="1:99" s="13" customFormat="1" ht="12" customHeight="1" x14ac:dyDescent="0.2">
      <c r="A768" s="68">
        <v>43978</v>
      </c>
      <c r="B768" s="70"/>
      <c r="C768" s="70"/>
      <c r="D768" s="69"/>
      <c r="E768" s="87"/>
      <c r="F768" s="69"/>
      <c r="G768" s="69"/>
      <c r="H768" s="69"/>
      <c r="I768" s="69"/>
      <c r="J768" s="69"/>
      <c r="K768" s="69"/>
      <c r="L768" s="69"/>
      <c r="M768" s="69"/>
      <c r="N768" s="69"/>
      <c r="O768" s="69"/>
      <c r="P768" s="69"/>
      <c r="Q768" s="69"/>
      <c r="R768" s="69"/>
      <c r="S768" s="69"/>
      <c r="T768" s="69"/>
      <c r="U768" s="69"/>
      <c r="V768" s="69"/>
      <c r="W768" s="69"/>
      <c r="X768" s="69"/>
      <c r="Y768" s="87"/>
      <c r="Z768" s="69"/>
      <c r="AA768" s="69"/>
      <c r="AB768" s="69"/>
      <c r="AC768" s="72"/>
      <c r="AD768" s="69"/>
      <c r="AE768" s="87"/>
      <c r="AF768" s="88"/>
      <c r="AG768" s="72"/>
      <c r="AH768" s="4"/>
      <c r="AI768" s="72"/>
      <c r="AJ768" s="110"/>
      <c r="AK768" s="72"/>
      <c r="AL768" s="72"/>
      <c r="AM768" s="72"/>
      <c r="AN768" s="72"/>
      <c r="AO768" s="89"/>
      <c r="AP768" s="89"/>
      <c r="AQ768" s="90"/>
      <c r="AR768" s="117"/>
      <c r="AS768" s="91"/>
      <c r="AT768" s="91"/>
      <c r="AU768" s="3"/>
      <c r="AV768" s="71">
        <v>30</v>
      </c>
      <c r="AW768" s="71">
        <f>60*30</f>
        <v>1800</v>
      </c>
      <c r="AX768" s="71">
        <f>60*60*24*7*4</f>
        <v>2419200</v>
      </c>
      <c r="AY768" s="53"/>
      <c r="AZ768" s="53"/>
      <c r="BA768" s="53"/>
      <c r="BB768" s="53"/>
      <c r="BC768" s="53"/>
      <c r="BD768" s="53"/>
      <c r="BE768" s="53"/>
      <c r="BF768" s="53"/>
      <c r="BG768" s="53"/>
      <c r="BH768" s="53"/>
      <c r="BI768" s="53"/>
      <c r="BJ768" s="53"/>
      <c r="BK768" s="53"/>
      <c r="BL768" s="53"/>
      <c r="BM768" s="53"/>
      <c r="BN768" s="53"/>
      <c r="BO768" s="53"/>
      <c r="BP768" s="53"/>
      <c r="BQ768" s="53"/>
      <c r="BR768" s="53"/>
      <c r="BS768" s="53"/>
      <c r="BT768" s="53"/>
      <c r="BU768" s="53"/>
      <c r="BV768" s="53"/>
      <c r="BW768" s="53"/>
      <c r="BX768" s="53"/>
      <c r="BY768" s="53"/>
      <c r="BZ768" s="53"/>
      <c r="CA768" s="53"/>
      <c r="CB768" s="53"/>
      <c r="CC768" s="53"/>
      <c r="CD768" s="53"/>
      <c r="CE768" s="53"/>
      <c r="CF768" s="53"/>
      <c r="CG768" s="53"/>
      <c r="CH768" s="53"/>
      <c r="CI768" s="53"/>
      <c r="CJ768" s="53"/>
      <c r="CK768" s="53"/>
      <c r="CL768" s="53"/>
      <c r="CM768" s="53"/>
      <c r="CN768" s="53"/>
      <c r="CO768" s="53"/>
      <c r="CP768" s="53"/>
      <c r="CQ768" s="53"/>
      <c r="CR768" s="1"/>
      <c r="CS768" s="1"/>
      <c r="CT768" s="1"/>
      <c r="CU768" s="1"/>
    </row>
    <row r="769" spans="1:99" s="13" customFormat="1" ht="12" customHeight="1" x14ac:dyDescent="0.2">
      <c r="A769" s="68">
        <v>43978</v>
      </c>
      <c r="B769" s="70" t="s">
        <v>975</v>
      </c>
      <c r="C769" s="70" t="s">
        <v>976</v>
      </c>
      <c r="D769" s="69">
        <v>2006</v>
      </c>
      <c r="E769" s="87">
        <v>1</v>
      </c>
      <c r="F769" s="69">
        <v>59</v>
      </c>
      <c r="G769" s="69">
        <v>59</v>
      </c>
      <c r="H769" s="69" t="s">
        <v>38</v>
      </c>
      <c r="I769" s="69" t="s">
        <v>330</v>
      </c>
      <c r="J769" s="69" t="s">
        <v>16</v>
      </c>
      <c r="K769" s="69">
        <f>IF(J769="syllables",1,IF(J769="trigrams",2,IF(J769="strings",3,IF(J769="visual array",4,IF(J769="characters",5,IF(J769="letters",6,IF(J769="free forms",7,IF(J769="odors",8,IF(J769="words",9,IF(J769="pictures",10,IF(J769="object pictures",11,IF(J769="faces",12,IF(J769="names",13,IF(J769="idioms",14,IF(J769="grades",15,IF(J769="syllable-digit pairs",16,IF(J769="trigram-word pairs",17,IF(J769="word-digit pairs",18,IF(J769="English-Swahili pairs",19,IF(J769="spatial position",20,IF(J769="word pairs",21,IF(J769="word triads",22,IF(J769="generated words",23,IF(J769="word definition pairs",24,IF(J769="math problems",25,IF(J769="famous faces",26,IF(J769="famous names",27,IF(J769="famous voices",28,IF(J769="television programs",29,IF(J769="race horses",30,IF(J769="new vocabulary",31,IF(J769="sentences",32,IF(J769="concepts",33,IF(J769="ad slides",34,IF(J769="scenes",35,IF(J769="famous scenes",36,IF(J769="poems",37,IF(J769="walk",38,IF(J769="faces and events",39,IF(J769="events and names",40,IF(J769="flashbulb",41,IF(J769="stories",42,IF(J769="course material",43,IF(J769="autobiographical",44,IF(J769="novels",45,IF(J769="public events",46,"99"))))))))))))))))))))))))))))))))))))))))))))))</f>
        <v>9</v>
      </c>
      <c r="L769" s="69">
        <f>IF(J769="syllables",1,IF(J769="trigrams",1,IF(J769="strings",1,IF(J769="visual array",1,IF(J769="characters",1,IF(J769="letters",1,IF(J769="free forms",1,IF(J769="odors",2,IF(J769="words",2,IF(J769="pictures",2,IF(J769="object pictures",2,IF(J769="faces",2,IF(J769="names",2,IF(J769="idioms","2",IF(J769="grades",2,IF(J769="syllable-digit pairs",3,IF(J769="trigram-word pairs",3,IF(J769="word-digit pairs",3,IF(J769="English-Swahili pairs",3,IF(J769="spatial position",3,IF(J769="word pairs",4,IF(J769="word triads",4,IF(J769="generated words",4,IF(J769="word definition pairs",4,IF(J769="math problems",4,IF(J769="famous faces",4,IF(J769="famous names",4,IF(J769="famous voices",4,IF(J769="television programs",4,IF(J769="race horses",4,IF(J769="new vocabulary",4,IF(J769="sentences",5,IF(J769="concepts",5,IF(J769="ad slides",5,IF(J769="scenes",5,IF(J769="famous scenes",5,IF(J769="poems",6,IF(J769="walk",6,IF(J769="faces and events",6,IF(J769="events and names",6,IF(J769="flashbulb",7,IF(J769="stories",7,IF(J769="course material",7,IF(J769="autobiographical",7,IF(J769="novels",7,IF(J769="public events",7,"99"))))))))))))))))))))))))))))))))))))))))))))))</f>
        <v>2</v>
      </c>
      <c r="M769" s="69">
        <v>1</v>
      </c>
      <c r="N769" s="69">
        <v>2</v>
      </c>
      <c r="O769" s="69">
        <v>0</v>
      </c>
      <c r="P769" s="69"/>
      <c r="Q769" s="69" t="s">
        <v>174</v>
      </c>
      <c r="R769" s="69">
        <f>IF(Q769="Free Recall",1,IF(Q769="Cued Recall",2,IF(Q769="Recognition",3,IF(Q769="Multiple Choice",4,IF(Q769="Savings",5,IF(Q769="Stem Completion",6,IF(Q769="Fragment Completion",7,IF(Q769="anagram solution",8,IF(Q769="Matching",9,IF(Q769="Problem Solving",10,"99"))))))))))</f>
        <v>1</v>
      </c>
      <c r="S769" s="69" t="s">
        <v>49</v>
      </c>
      <c r="T769" s="69" t="s">
        <v>581</v>
      </c>
      <c r="U769" s="69">
        <f>IF(T769="within",1,0)</f>
        <v>1</v>
      </c>
      <c r="V769" s="69">
        <v>45</v>
      </c>
      <c r="W769" s="69">
        <f>F769*V769</f>
        <v>2655</v>
      </c>
      <c r="X769" s="69">
        <v>3</v>
      </c>
      <c r="Y769" s="87">
        <f>AV768</f>
        <v>30</v>
      </c>
      <c r="Z769" s="92" t="s">
        <v>140</v>
      </c>
      <c r="AA769" s="69">
        <f>60*60*24*7*4</f>
        <v>2419200</v>
      </c>
      <c r="AB769" s="69" t="str">
        <f>IF(AA769&lt;60,"1",IF(AA769&lt;=43200,"2",IF(AA769&lt;=777600,"3","4")))</f>
        <v>4</v>
      </c>
      <c r="AC769" s="72">
        <f>AVERAGE(AV768:DA768)</f>
        <v>807010</v>
      </c>
      <c r="AD769" s="69" t="str">
        <f>IF(AC769&lt;60,"1",IF(AC769&lt;=43200,"2",IF(AC769&lt;=777600,"3","4")))</f>
        <v>4</v>
      </c>
      <c r="AE769" s="87">
        <f>AA769-Y769</f>
        <v>2419170</v>
      </c>
      <c r="AF769" s="88">
        <f>AV769</f>
        <v>0.94666666666666666</v>
      </c>
      <c r="AG769" s="72">
        <f>((AW769-AV769)+(AX769-AW769))/2</f>
        <v>-0.20666666666666667</v>
      </c>
      <c r="AH769" s="4"/>
      <c r="AI769" s="72">
        <f>RSQ(AV769:AX769,AV768:AX768)</f>
        <v>0.98608091627917394</v>
      </c>
      <c r="AJ769" s="110">
        <f>SLOPE(AV769:AX769,AV768:AX768)</f>
        <v>-1.5990496911847955E-7</v>
      </c>
      <c r="AK769" s="72">
        <f>INTERCEPT(AV769:AX769,AV768:AX768)</f>
        <v>0.92015602023941523</v>
      </c>
      <c r="AL769" s="72">
        <f>INDEX(LINEST(LN(AV769:AX769),LN(AV768:AX768),TRUE,TRUE),3,1)</f>
        <v>0.92672352581825501</v>
      </c>
      <c r="AM769" s="72">
        <f>INDEX(LINEST(LN(AV769:AX769),LN(AV768:AX768)),1)</f>
        <v>-5.3164123577759008E-2</v>
      </c>
      <c r="AN769" s="72">
        <f>EXP(INDEX(LINEST(LN(AV769:AX769),LN(AV768:AX768)),1,2))</f>
        <v>1.2070587578600684</v>
      </c>
      <c r="AO769" s="89">
        <f>INDEX(LINEST((AV769:AX769),LN(AV768:AX768),TRUE,TRUE),3,1)</f>
        <v>0.94015304706243197</v>
      </c>
      <c r="AP769" s="89">
        <f>INDEX(LINEST((AV769:AX769),LN(AV768:AX768)),1)</f>
        <v>-3.8113284599088186E-2</v>
      </c>
      <c r="AQ769" s="90">
        <f>INDEX(LINEST(LN(AV769:AX769),SQRT(AV768:AX768),TRUE,TRUE),3,1)</f>
        <v>0.99496391994943245</v>
      </c>
      <c r="AR769" s="117">
        <f>INDEX(LINEST(LN(AV769:AX769),SQRT((AV768:AX768))),1)</f>
        <v>-3.5628094631879584E-4</v>
      </c>
      <c r="AS769" s="91">
        <f>INDEX(LINEST(1/(AV769:AX769),1/(SQRT(AV768:AX768)),TRUE,TRUE),3,1)</f>
        <v>0.42372949783099845</v>
      </c>
      <c r="AT769" s="91">
        <f>INDEX(LINEST(1/(AV769:AX769),1/SQRT(AV768:AX768)),1)</f>
        <v>-2.9927150945732723</v>
      </c>
      <c r="AU769" s="3"/>
      <c r="AV769" s="73">
        <f>14.2/15</f>
        <v>0.94666666666666666</v>
      </c>
      <c r="AW769" s="73">
        <f>13.4/15</f>
        <v>0.89333333333333331</v>
      </c>
      <c r="AX769" s="73">
        <f>8/15</f>
        <v>0.53333333333333333</v>
      </c>
      <c r="AY769" s="53"/>
      <c r="AZ769" s="53"/>
      <c r="BA769" s="53"/>
      <c r="BB769" s="53"/>
      <c r="BC769" s="53"/>
      <c r="BD769" s="53"/>
      <c r="BE769" s="53"/>
      <c r="BF769" s="53"/>
      <c r="BG769" s="53"/>
      <c r="BH769" s="53"/>
      <c r="BI769" s="53"/>
      <c r="BJ769" s="53"/>
      <c r="BK769" s="53"/>
      <c r="BL769" s="53"/>
      <c r="BM769" s="53"/>
      <c r="BN769" s="53"/>
      <c r="BO769" s="53"/>
      <c r="BP769" s="53"/>
      <c r="BQ769" s="53"/>
      <c r="BR769" s="53"/>
      <c r="BS769" s="53"/>
      <c r="BT769" s="53"/>
      <c r="BU769" s="53"/>
      <c r="BV769" s="53"/>
      <c r="BW769" s="53"/>
      <c r="BX769" s="53"/>
      <c r="BY769" s="53"/>
      <c r="BZ769" s="53"/>
      <c r="CA769" s="53"/>
      <c r="CB769" s="53"/>
      <c r="CC769" s="53"/>
      <c r="CD769" s="53"/>
      <c r="CE769" s="53"/>
      <c r="CF769" s="53"/>
      <c r="CG769" s="53"/>
      <c r="CH769" s="53"/>
      <c r="CI769" s="53"/>
      <c r="CJ769" s="53"/>
      <c r="CK769" s="53"/>
      <c r="CL769" s="53"/>
      <c r="CM769" s="53"/>
      <c r="CN769" s="53"/>
      <c r="CO769" s="53"/>
      <c r="CP769" s="53"/>
      <c r="CQ769" s="53"/>
      <c r="CR769" s="1"/>
      <c r="CS769" s="1"/>
      <c r="CT769" s="1"/>
      <c r="CU769" s="1"/>
    </row>
    <row r="770" spans="1:99" s="13" customFormat="1" ht="12" customHeight="1" x14ac:dyDescent="0.2">
      <c r="A770" s="68">
        <v>43978</v>
      </c>
      <c r="B770" s="70"/>
      <c r="C770" s="70"/>
      <c r="D770" s="69"/>
      <c r="E770" s="87"/>
      <c r="F770" s="69"/>
      <c r="G770" s="69"/>
      <c r="H770" s="69"/>
      <c r="I770" s="69"/>
      <c r="J770" s="69"/>
      <c r="K770" s="69"/>
      <c r="L770" s="69"/>
      <c r="M770" s="69"/>
      <c r="N770" s="69"/>
      <c r="O770" s="69"/>
      <c r="P770" s="69"/>
      <c r="Q770" s="69"/>
      <c r="R770" s="69"/>
      <c r="S770" s="69"/>
      <c r="T770" s="69"/>
      <c r="U770" s="69"/>
      <c r="V770" s="69"/>
      <c r="W770" s="69"/>
      <c r="X770" s="69"/>
      <c r="Y770" s="87"/>
      <c r="Z770" s="69"/>
      <c r="AA770" s="69"/>
      <c r="AB770" s="69"/>
      <c r="AC770" s="72"/>
      <c r="AD770" s="69"/>
      <c r="AE770" s="87"/>
      <c r="AF770" s="88"/>
      <c r="AG770" s="72"/>
      <c r="AH770" s="4"/>
      <c r="AI770" s="72"/>
      <c r="AJ770" s="110"/>
      <c r="AK770" s="72"/>
      <c r="AL770" s="72"/>
      <c r="AM770" s="72"/>
      <c r="AN770" s="72"/>
      <c r="AO770" s="89"/>
      <c r="AP770" s="89"/>
      <c r="AQ770" s="90"/>
      <c r="AR770" s="117"/>
      <c r="AS770" s="91"/>
      <c r="AT770" s="91"/>
      <c r="AU770" s="3"/>
      <c r="AV770" s="71">
        <v>30</v>
      </c>
      <c r="AW770" s="71">
        <f>60*30</f>
        <v>1800</v>
      </c>
      <c r="AX770" s="71">
        <f>60*60*24*7*4</f>
        <v>2419200</v>
      </c>
      <c r="AY770" s="53"/>
      <c r="AZ770" s="53"/>
      <c r="BA770" s="53"/>
      <c r="BB770" s="53"/>
      <c r="BC770" s="53"/>
      <c r="BD770" s="53"/>
      <c r="BE770" s="53"/>
      <c r="BF770" s="53"/>
      <c r="BG770" s="53"/>
      <c r="BH770" s="53"/>
      <c r="BI770" s="53"/>
      <c r="BJ770" s="53"/>
      <c r="BK770" s="53"/>
      <c r="BL770" s="53"/>
      <c r="BM770" s="53"/>
      <c r="BN770" s="53"/>
      <c r="BO770" s="53"/>
      <c r="BP770" s="53"/>
      <c r="BQ770" s="53"/>
      <c r="BR770" s="53"/>
      <c r="BS770" s="53"/>
      <c r="BT770" s="53"/>
      <c r="BU770" s="53"/>
      <c r="BV770" s="53"/>
      <c r="BW770" s="53"/>
      <c r="BX770" s="53"/>
      <c r="BY770" s="53"/>
      <c r="BZ770" s="53"/>
      <c r="CA770" s="53"/>
      <c r="CB770" s="53"/>
      <c r="CC770" s="53"/>
      <c r="CD770" s="53"/>
      <c r="CE770" s="53"/>
      <c r="CF770" s="53"/>
      <c r="CG770" s="53"/>
      <c r="CH770" s="53"/>
      <c r="CI770" s="53"/>
      <c r="CJ770" s="53"/>
      <c r="CK770" s="53"/>
      <c r="CL770" s="53"/>
      <c r="CM770" s="53"/>
      <c r="CN770" s="53"/>
      <c r="CO770" s="53"/>
      <c r="CP770" s="53"/>
      <c r="CQ770" s="53"/>
      <c r="CR770" s="1"/>
      <c r="CS770" s="1"/>
      <c r="CT770" s="1"/>
      <c r="CU770" s="1"/>
    </row>
    <row r="771" spans="1:99" s="13" customFormat="1" ht="12" customHeight="1" x14ac:dyDescent="0.2">
      <c r="A771" s="68">
        <v>43978</v>
      </c>
      <c r="B771" s="70" t="s">
        <v>975</v>
      </c>
      <c r="C771" s="70" t="s">
        <v>976</v>
      </c>
      <c r="D771" s="69">
        <v>2006</v>
      </c>
      <c r="E771" s="87">
        <v>1</v>
      </c>
      <c r="F771" s="69">
        <v>59</v>
      </c>
      <c r="G771" s="69">
        <v>59</v>
      </c>
      <c r="H771" s="69" t="s">
        <v>38</v>
      </c>
      <c r="I771" s="69" t="s">
        <v>330</v>
      </c>
      <c r="J771" s="69" t="s">
        <v>677</v>
      </c>
      <c r="K771" s="69">
        <f>IF(J771="syllables",1,IF(J771="trigrams",2,IF(J771="strings",3,IF(J771="visual array",4,IF(J771="characters",5,IF(J771="letters",6,IF(J771="free forms",7,IF(J771="odors",8,IF(J771="words",9,IF(J771="pictures",10,IF(J771="object pictures",11,IF(J771="faces",12,IF(J771="names",13,IF(J771="idioms",14,IF(J771="grades",15,IF(J771="syllable-digit pairs",16,IF(J771="trigram-word pairs",17,IF(J771="word-digit pairs",18,IF(J771="English-Swahili pairs",19,IF(J771="spatial position",20,IF(J771="word pairs",21,IF(J771="word triads",22,IF(J771="generated words",23,IF(J771="word definition pairs",24,IF(J771="math problems",25,IF(J771="famous faces",26,IF(J771="famous names",27,IF(J771="famous voices",28,IF(J771="television programs",29,IF(J771="race horses",30,IF(J771="new vocabulary",31,IF(J771="sentences",32,IF(J771="concepts",33,IF(J771="ad slides",34,IF(J771="scenes",35,IF(J771="famous scenes",36,IF(J771="poems",37,IF(J771="walk",38,IF(J771="faces and events",39,IF(J771="events and names",40,IF(J771="flashbulb",41,IF(J771="stories",42,IF(J771="course material",43,IF(J771="autobiographical",44,IF(J771="novels",45,IF(J771="public events",46,"99"))))))))))))))))))))))))))))))))))))))))))))))</f>
        <v>42</v>
      </c>
      <c r="L771" s="69">
        <f>IF(J771="syllables",1,IF(J771="trigrams",1,IF(J771="strings",1,IF(J771="visual array",1,IF(J771="characters",1,IF(J771="letters",1,IF(J771="free forms",1,IF(J771="odors",2,IF(J771="words",2,IF(J771="pictures",2,IF(J771="object pictures",2,IF(J771="faces",2,IF(J771="names",2,IF(J771="idioms","2",IF(J771="grades",2,IF(J771="syllable-digit pairs",3,IF(J771="trigram-word pairs",3,IF(J771="word-digit pairs",3,IF(J771="English-Swahili pairs",3,IF(J771="spatial position",3,IF(J771="word pairs",4,IF(J771="word triads",4,IF(J771="generated words",4,IF(J771="word definition pairs",4,IF(J771="math problems",4,IF(J771="famous faces",4,IF(J771="famous names",4,IF(J771="famous voices",4,IF(J771="television programs",4,IF(J771="race horses",4,IF(J771="new vocabulary",4,IF(J771="sentences",5,IF(J771="concepts",5,IF(J771="ad slides",5,IF(J771="scenes",5,IF(J771="famous scenes",5,IF(J771="poems",6,IF(J771="walk",6,IF(J771="faces and events",6,IF(J771="events and names",6,IF(J771="flashbulb",7,IF(J771="stories",7,IF(J771="course material",7,IF(J771="autobiographical",7,IF(J771="novels",7,IF(J771="public events",7,"99"))))))))))))))))))))))))))))))))))))))))))))))</f>
        <v>7</v>
      </c>
      <c r="M771" s="69">
        <v>1</v>
      </c>
      <c r="N771" s="69">
        <v>4</v>
      </c>
      <c r="O771" s="69">
        <v>0</v>
      </c>
      <c r="P771" s="69"/>
      <c r="Q771" s="69" t="s">
        <v>174</v>
      </c>
      <c r="R771" s="69">
        <f>IF(Q771="Free Recall",1,IF(Q771="Cued Recall",2,IF(Q771="Recognition",3,IF(Q771="Multiple Choice",4,IF(Q771="Savings",5,IF(Q771="Stem Completion",6,IF(Q771="Fragment Completion",7,IF(Q771="anagram solution",8,IF(Q771="Matching",9,IF(Q771="Problem Solving",10,"99"))))))))))</f>
        <v>1</v>
      </c>
      <c r="S771" s="69" t="s">
        <v>49</v>
      </c>
      <c r="T771" s="69" t="s">
        <v>581</v>
      </c>
      <c r="U771" s="69">
        <f>IF(T771="within",1,0)</f>
        <v>1</v>
      </c>
      <c r="V771" s="69">
        <v>48</v>
      </c>
      <c r="W771" s="69">
        <f>F771*V771</f>
        <v>2832</v>
      </c>
      <c r="X771" s="69">
        <v>3</v>
      </c>
      <c r="Y771" s="87">
        <f>AV770</f>
        <v>30</v>
      </c>
      <c r="Z771" s="92" t="s">
        <v>140</v>
      </c>
      <c r="AA771" s="69">
        <f>60*60*24*7*4</f>
        <v>2419200</v>
      </c>
      <c r="AB771" s="69" t="str">
        <f>IF(AA771&lt;60,"1",IF(AA771&lt;=43200,"2",IF(AA771&lt;=777600,"3","4")))</f>
        <v>4</v>
      </c>
      <c r="AC771" s="72">
        <f>AVERAGE(AV770:DA770)</f>
        <v>807010</v>
      </c>
      <c r="AD771" s="69" t="str">
        <f>IF(AC771&lt;60,"1",IF(AC771&lt;=43200,"2",IF(AC771&lt;=777600,"3","4")))</f>
        <v>4</v>
      </c>
      <c r="AE771" s="87">
        <f>AA771-Y771</f>
        <v>2419170</v>
      </c>
      <c r="AF771" s="88">
        <f>AV771</f>
        <v>0.6958333333333333</v>
      </c>
      <c r="AG771" s="72">
        <f>((AW771-AV771)+(AX771-AW771))/2</f>
        <v>-0.109375</v>
      </c>
      <c r="AH771" s="4"/>
      <c r="AI771" s="72">
        <f>RSQ(AV771:AX771,AV770:AX770)</f>
        <v>0.85038105707002531</v>
      </c>
      <c r="AJ771" s="110">
        <f>SLOPE(AV771:AX771,AV770:AX770)</f>
        <v>-7.2815439361511529E-8</v>
      </c>
      <c r="AK771" s="72">
        <f>INTERCEPT(AV771:AX771,AV770:AX770)</f>
        <v>0.6532072321635779</v>
      </c>
      <c r="AL771" s="72">
        <f>INDEX(LINEST(LN(AV771:AX771),LN(AV770:AX770),TRUE,TRUE),3,1)</f>
        <v>0.99970118030169108</v>
      </c>
      <c r="AM771" s="72">
        <f>INDEX(LINEST(LN(AV771:AX771),LN(AV770:AX770)),1)</f>
        <v>-3.3498580021113722E-2</v>
      </c>
      <c r="AN771" s="72">
        <f>EXP(INDEX(LINEST(LN(AV771:AX771),LN(AV770:AX770)),1,2))</f>
        <v>0.78168676000509674</v>
      </c>
      <c r="AO771" s="89">
        <f>INDEX(LINEST((AV771:AX771),LN(AV770:AX770),TRUE,TRUE),3,1)</f>
        <v>0.99899124081089652</v>
      </c>
      <c r="AP771" s="89">
        <f>INDEX(LINEST((AV771:AX771),LN(AV770:AX770)),1)</f>
        <v>-1.9264996827098726E-2</v>
      </c>
      <c r="AQ771" s="90">
        <f>INDEX(LINEST(LN(AV771:AX771),SQRT(AV770:AX770),TRUE,TRUE),3,1)</f>
        <v>0.89630821059967047</v>
      </c>
      <c r="AR771" s="117">
        <f>INDEX(LINEST(LN(AV771:AX771),SQRT((AV770:AX770))),1)</f>
        <v>-2.0514708448630782E-4</v>
      </c>
      <c r="AS771" s="91">
        <f>INDEX(LINEST(1/(AV771:AX771),1/(SQRT(AV770:AX770)),TRUE,TRUE),3,1)</f>
        <v>0.65394189072153819</v>
      </c>
      <c r="AT771" s="91">
        <f>INDEX(LINEST(1/(AV771:AX771),1/SQRT(AV770:AX770)),1)</f>
        <v>-2.7561335410504557</v>
      </c>
      <c r="AU771" s="3"/>
      <c r="AV771" s="73">
        <f>33.4/48</f>
        <v>0.6958333333333333</v>
      </c>
      <c r="AW771" s="73">
        <f>29.3/48</f>
        <v>0.61041666666666672</v>
      </c>
      <c r="AX771" s="73">
        <f>22.9/48</f>
        <v>0.4770833333333333</v>
      </c>
      <c r="AY771" s="53"/>
      <c r="AZ771" s="53"/>
      <c r="BA771" s="53"/>
      <c r="BB771" s="53"/>
      <c r="BC771" s="53"/>
      <c r="BD771" s="53"/>
      <c r="BE771" s="53"/>
      <c r="BF771" s="53"/>
      <c r="BG771" s="53"/>
      <c r="BH771" s="53"/>
      <c r="BI771" s="53"/>
      <c r="BJ771" s="53"/>
      <c r="BK771" s="53"/>
      <c r="BL771" s="53"/>
      <c r="BM771" s="53"/>
      <c r="BN771" s="53"/>
      <c r="BO771" s="53"/>
      <c r="BP771" s="53"/>
      <c r="BQ771" s="53"/>
      <c r="BR771" s="53"/>
      <c r="BS771" s="53"/>
      <c r="BT771" s="53"/>
      <c r="BU771" s="53"/>
      <c r="BV771" s="53"/>
      <c r="BW771" s="53"/>
      <c r="BX771" s="53"/>
      <c r="BY771" s="53"/>
      <c r="BZ771" s="53"/>
      <c r="CA771" s="53"/>
      <c r="CB771" s="53"/>
      <c r="CC771" s="53"/>
      <c r="CD771" s="53"/>
      <c r="CE771" s="53"/>
      <c r="CF771" s="53"/>
      <c r="CG771" s="53"/>
      <c r="CH771" s="53"/>
      <c r="CI771" s="53"/>
      <c r="CJ771" s="53"/>
      <c r="CK771" s="53"/>
      <c r="CL771" s="53"/>
      <c r="CM771" s="53"/>
      <c r="CN771" s="53"/>
      <c r="CO771" s="53"/>
      <c r="CP771" s="53"/>
      <c r="CQ771" s="53"/>
      <c r="CR771" s="1"/>
      <c r="CS771" s="1"/>
      <c r="CT771" s="1"/>
      <c r="CU771" s="1"/>
    </row>
    <row r="772" spans="1:99" s="13" customFormat="1" ht="12" customHeight="1" x14ac:dyDescent="0.2">
      <c r="A772" s="68">
        <v>43978</v>
      </c>
      <c r="B772" s="70"/>
      <c r="C772" s="70"/>
      <c r="D772" s="69"/>
      <c r="E772" s="87"/>
      <c r="F772" s="69"/>
      <c r="G772" s="69"/>
      <c r="H772" s="69"/>
      <c r="I772" s="69"/>
      <c r="J772" s="69"/>
      <c r="K772" s="69"/>
      <c r="L772" s="69"/>
      <c r="M772" s="69"/>
      <c r="N772" s="69"/>
      <c r="O772" s="69"/>
      <c r="P772" s="69"/>
      <c r="Q772" s="69"/>
      <c r="R772" s="69"/>
      <c r="S772" s="69"/>
      <c r="T772" s="69"/>
      <c r="U772" s="69"/>
      <c r="V772" s="69"/>
      <c r="W772" s="69"/>
      <c r="X772" s="69"/>
      <c r="Y772" s="87"/>
      <c r="Z772" s="69"/>
      <c r="AA772" s="69"/>
      <c r="AB772" s="69"/>
      <c r="AC772" s="72"/>
      <c r="AD772" s="69"/>
      <c r="AE772" s="87"/>
      <c r="AF772" s="88"/>
      <c r="AG772" s="72"/>
      <c r="AH772" s="4"/>
      <c r="AI772" s="72"/>
      <c r="AJ772" s="110"/>
      <c r="AK772" s="72"/>
      <c r="AL772" s="72"/>
      <c r="AM772" s="72"/>
      <c r="AN772" s="72"/>
      <c r="AO772" s="89"/>
      <c r="AP772" s="89"/>
      <c r="AQ772" s="90"/>
      <c r="AR772" s="117"/>
      <c r="AS772" s="91"/>
      <c r="AT772" s="91"/>
      <c r="AU772" s="3"/>
      <c r="AV772" s="71">
        <v>30</v>
      </c>
      <c r="AW772" s="71">
        <f>60*30</f>
        <v>1800</v>
      </c>
      <c r="AX772" s="71">
        <f>60*60*24*7*4</f>
        <v>2419200</v>
      </c>
      <c r="AY772" s="53"/>
      <c r="AZ772" s="53"/>
      <c r="BA772" s="53"/>
      <c r="BB772" s="53"/>
      <c r="BC772" s="53"/>
      <c r="BD772" s="53"/>
      <c r="BE772" s="53"/>
      <c r="BF772" s="53"/>
      <c r="BG772" s="53"/>
      <c r="BH772" s="53"/>
      <c r="BI772" s="53"/>
      <c r="BJ772" s="53"/>
      <c r="BK772" s="53"/>
      <c r="BL772" s="53"/>
      <c r="BM772" s="53"/>
      <c r="BN772" s="53"/>
      <c r="BO772" s="53"/>
      <c r="BP772" s="53"/>
      <c r="BQ772" s="53"/>
      <c r="BR772" s="53"/>
      <c r="BS772" s="53"/>
      <c r="BT772" s="53"/>
      <c r="BU772" s="53"/>
      <c r="BV772" s="53"/>
      <c r="BW772" s="53"/>
      <c r="BX772" s="53"/>
      <c r="BY772" s="53"/>
      <c r="BZ772" s="53"/>
      <c r="CA772" s="53"/>
      <c r="CB772" s="53"/>
      <c r="CC772" s="53"/>
      <c r="CD772" s="53"/>
      <c r="CE772" s="53"/>
      <c r="CF772" s="53"/>
      <c r="CG772" s="53"/>
      <c r="CH772" s="53"/>
      <c r="CI772" s="53"/>
      <c r="CJ772" s="53"/>
      <c r="CK772" s="53"/>
      <c r="CL772" s="53"/>
      <c r="CM772" s="53"/>
      <c r="CN772" s="53"/>
      <c r="CO772" s="53"/>
      <c r="CP772" s="53"/>
      <c r="CQ772" s="53"/>
      <c r="CR772" s="1"/>
      <c r="CS772" s="1"/>
      <c r="CT772" s="1"/>
      <c r="CU772" s="1"/>
    </row>
    <row r="773" spans="1:99" s="13" customFormat="1" ht="12" customHeight="1" x14ac:dyDescent="0.2">
      <c r="A773" s="68">
        <v>43978</v>
      </c>
      <c r="B773" s="70" t="s">
        <v>975</v>
      </c>
      <c r="C773" s="70" t="s">
        <v>976</v>
      </c>
      <c r="D773" s="69">
        <v>2006</v>
      </c>
      <c r="E773" s="87">
        <v>1</v>
      </c>
      <c r="F773" s="69">
        <v>59</v>
      </c>
      <c r="G773" s="69">
        <v>59</v>
      </c>
      <c r="H773" s="69" t="s">
        <v>38</v>
      </c>
      <c r="I773" s="69" t="s">
        <v>330</v>
      </c>
      <c r="J773" s="69" t="s">
        <v>317</v>
      </c>
      <c r="K773" s="69">
        <f>IF(J773="syllables",1,IF(J773="trigrams",2,IF(J773="strings",3,IF(J773="visual array",4,IF(J773="characters",5,IF(J773="letters",6,IF(J773="free forms",7,IF(J773="odors",8,IF(J773="words",9,IF(J773="pictures",10,IF(J773="object pictures",11,IF(J773="faces",12,IF(J773="names",13,IF(J773="idioms",14,IF(J773="grades",15,IF(J773="syllable-digit pairs",16,IF(J773="trigram-word pairs",17,IF(J773="word-digit pairs",18,IF(J773="English-Swahili pairs",19,IF(J773="spatial position",20,IF(J773="word pairs",21,IF(J773="word triads",22,IF(J773="generated words",23,IF(J773="word definition pairs",24,IF(J773="math problems",25,IF(J773="famous faces",26,IF(J773="famous names",27,IF(J773="famous voices",28,IF(J773="television programs",29,IF(J773="race horses",30,IF(J773="new vocabulary",31,IF(J773="sentences",32,IF(J773="concepts",33,IF(J773="ad slides",34,IF(J773="scenes",35,IF(J773="famous scenes",36,IF(J773="poems",37,IF(J773="walk",38,IF(J773="faces and events",39,IF(J773="events and names",40,IF(J773="flashbulb",41,IF(J773="stories",42,IF(J773="course material",43,IF(J773="autobiographical",44,IF(J773="novels",45,IF(J773="public events",46,"99"))))))))))))))))))))))))))))))))))))))))))))))</f>
        <v>7</v>
      </c>
      <c r="L773" s="69">
        <f>IF(J773="syllables",1,IF(J773="trigrams",1,IF(J773="strings",1,IF(J773="visual array",1,IF(J773="characters",1,IF(J773="letters",1,IF(J773="free forms",1,IF(J773="odors",2,IF(J773="words",2,IF(J773="pictures",2,IF(J773="object pictures",2,IF(J773="faces",2,IF(J773="names",2,IF(J773="idioms","2",IF(J773="grades",2,IF(J773="syllable-digit pairs",3,IF(J773="trigram-word pairs",3,IF(J773="word-digit pairs",3,IF(J773="English-Swahili pairs",3,IF(J773="spatial position",3,IF(J773="word pairs",4,IF(J773="word triads",4,IF(J773="generated words",4,IF(J773="word definition pairs",4,IF(J773="math problems",4,IF(J773="famous faces",4,IF(J773="famous names",4,IF(J773="famous voices",4,IF(J773="television programs",4,IF(J773="race horses",4,IF(J773="new vocabulary",4,IF(J773="sentences",5,IF(J773="concepts",5,IF(J773="ad slides",5,IF(J773="scenes",5,IF(J773="famous scenes",5,IF(J773="poems",6,IF(J773="walk",6,IF(J773="faces and events",6,IF(J773="events and names",6,IF(J773="flashbulb",7,IF(J773="stories",7,IF(J773="course material",7,IF(J773="autobiographical",7,IF(J773="novels",7,IF(J773="public events",7,"99"))))))))))))))))))))))))))))))))))))))))))))))</f>
        <v>1</v>
      </c>
      <c r="M773" s="69">
        <v>1</v>
      </c>
      <c r="N773" s="69">
        <v>2</v>
      </c>
      <c r="O773" s="69">
        <v>0</v>
      </c>
      <c r="P773" s="69"/>
      <c r="Q773" s="69" t="s">
        <v>174</v>
      </c>
      <c r="R773" s="69">
        <f>IF(Q773="Free Recall",1,IF(Q773="Cued Recall",2,IF(Q773="Recognition",3,IF(Q773="Multiple Choice",4,IF(Q773="Savings",5,IF(Q773="Stem Completion",6,IF(Q773="Fragment Completion",7,IF(Q773="anagram solution",8,IF(Q773="Matching",9,IF(Q773="Problem Solving",10,"99"))))))))))</f>
        <v>1</v>
      </c>
      <c r="S773" s="69" t="s">
        <v>49</v>
      </c>
      <c r="T773" s="69" t="s">
        <v>581</v>
      </c>
      <c r="U773" s="69">
        <f>IF(T773="within",1,0)</f>
        <v>1</v>
      </c>
      <c r="V773" s="69">
        <v>36</v>
      </c>
      <c r="W773" s="69">
        <f>F773*V773</f>
        <v>2124</v>
      </c>
      <c r="X773" s="69">
        <v>3</v>
      </c>
      <c r="Y773" s="87">
        <f>AV772</f>
        <v>30</v>
      </c>
      <c r="Z773" s="92" t="s">
        <v>140</v>
      </c>
      <c r="AA773" s="69">
        <f>60*60*24*7*4</f>
        <v>2419200</v>
      </c>
      <c r="AB773" s="69" t="str">
        <f>IF(AA773&lt;60,"1",IF(AA773&lt;=43200,"2",IF(AA773&lt;=777600,"3","4")))</f>
        <v>4</v>
      </c>
      <c r="AC773" s="72">
        <f>AVERAGE(AV772:DA772)</f>
        <v>807010</v>
      </c>
      <c r="AD773" s="69" t="str">
        <f>IF(AC773&lt;60,"1",IF(AC773&lt;=43200,"2",IF(AC773&lt;=777600,"3","4")))</f>
        <v>4</v>
      </c>
      <c r="AE773" s="87">
        <f>AA773-Y773</f>
        <v>2419170</v>
      </c>
      <c r="AF773" s="88">
        <f>AV773</f>
        <v>0.99722222222222223</v>
      </c>
      <c r="AG773" s="72">
        <f>((AW773-AV773)+(AX773-AW773))/2</f>
        <v>-0.23333333333333334</v>
      </c>
      <c r="AH773" s="4"/>
      <c r="AI773" s="72">
        <f>RSQ(AV773:AX773,AV772:AX772)</f>
        <v>0.7015975523786635</v>
      </c>
      <c r="AJ773" s="110">
        <f>SLOPE(AV773:AX773,AV772:AX772)</f>
        <v>-1.4019399617493716E-7</v>
      </c>
      <c r="AK773" s="72">
        <f>INTERCEPT(AV773:AX773,AV772:AX772)</f>
        <v>0.86961943833461741</v>
      </c>
      <c r="AL773" s="72">
        <f>INDEX(LINEST(LN(AV773:AX773),LN(AV772:AX772),TRUE,TRUE),3,1)</f>
        <v>0.98519223757164154</v>
      </c>
      <c r="AM773" s="72">
        <f>INDEX(LINEST(LN(AV773:AX773),LN(AV772:AX772)),1)</f>
        <v>-5.4788942536359318E-2</v>
      </c>
      <c r="AN773" s="72">
        <f>EXP(INDEX(LINEST(LN(AV773:AX773),LN(AV772:AX772)),1,2))</f>
        <v>1.168394983187216</v>
      </c>
      <c r="AO773" s="89">
        <f>INDEX(LINEST((AV773:AX773),LN(AV772:AX772),TRUE,TRUE),3,1)</f>
        <v>0.95552097488287169</v>
      </c>
      <c r="AP773" s="89">
        <f>INDEX(LINEST((AV773:AX773),LN(AV772:AX772)),1)</f>
        <v>-3.9937135434539986E-2</v>
      </c>
      <c r="AQ773" s="90">
        <f>INDEX(LINEST(LN(AV773:AX773),SQRT(AV772:AX772),TRUE,TRUE),3,1)</f>
        <v>0.79720621412961779</v>
      </c>
      <c r="AR773" s="117">
        <f>INDEX(LINEST(LN(AV773:AX773),SQRT((AV772:AX772))),1)</f>
        <v>-3.1875949607667719E-4</v>
      </c>
      <c r="AS773" s="91">
        <f>INDEX(LINEST(1/(AV773:AX773),1/(SQRT(AV772:AX772)),TRUE,TRUE),3,1)</f>
        <v>0.74268601383558897</v>
      </c>
      <c r="AT773" s="91">
        <f>INDEX(LINEST(1/(AV773:AX773),1/SQRT(AV772:AX772)),1)</f>
        <v>-3.8655926669712311</v>
      </c>
      <c r="AU773" s="3"/>
      <c r="AV773" s="73">
        <f>35.9/36</f>
        <v>0.99722222222222223</v>
      </c>
      <c r="AW773" s="73">
        <f>26.7/36</f>
        <v>0.7416666666666667</v>
      </c>
      <c r="AX773" s="73">
        <f>19.1/36</f>
        <v>0.53055555555555556</v>
      </c>
      <c r="AY773" s="53"/>
      <c r="AZ773" s="53"/>
      <c r="BA773" s="53"/>
      <c r="BB773" s="53"/>
      <c r="BC773" s="53"/>
      <c r="BD773" s="53"/>
      <c r="BE773" s="53"/>
      <c r="BF773" s="53"/>
      <c r="BG773" s="53"/>
      <c r="BH773" s="53"/>
      <c r="BI773" s="53"/>
      <c r="BJ773" s="53"/>
      <c r="BK773" s="53"/>
      <c r="BL773" s="53"/>
      <c r="BM773" s="53"/>
      <c r="BN773" s="53"/>
      <c r="BO773" s="53"/>
      <c r="BP773" s="53"/>
      <c r="BQ773" s="53"/>
      <c r="BR773" s="53"/>
      <c r="BS773" s="53"/>
      <c r="BT773" s="53"/>
      <c r="BU773" s="53"/>
      <c r="BV773" s="53"/>
      <c r="BW773" s="53"/>
      <c r="BX773" s="53"/>
      <c r="BY773" s="53"/>
      <c r="BZ773" s="53"/>
      <c r="CA773" s="53"/>
      <c r="CB773" s="53"/>
      <c r="CC773" s="53"/>
      <c r="CD773" s="53"/>
      <c r="CE773" s="53"/>
      <c r="CF773" s="53"/>
      <c r="CG773" s="53"/>
      <c r="CH773" s="53"/>
      <c r="CI773" s="53"/>
      <c r="CJ773" s="53"/>
      <c r="CK773" s="53"/>
      <c r="CL773" s="53"/>
      <c r="CM773" s="53"/>
      <c r="CN773" s="53"/>
      <c r="CO773" s="53"/>
      <c r="CP773" s="53"/>
      <c r="CQ773" s="53"/>
      <c r="CR773" s="1"/>
      <c r="CS773" s="1"/>
      <c r="CT773" s="1"/>
      <c r="CU773" s="1"/>
    </row>
    <row r="774" spans="1:99" s="13" customFormat="1" ht="12" customHeight="1" x14ac:dyDescent="0.2">
      <c r="A774" s="65">
        <v>43509</v>
      </c>
      <c r="B774" s="1"/>
      <c r="C774" s="1"/>
      <c r="D774" s="60"/>
      <c r="E774" s="76"/>
      <c r="F774" s="60"/>
      <c r="G774" s="60"/>
      <c r="H774" s="60"/>
      <c r="I774" s="60"/>
      <c r="J774" s="60"/>
      <c r="K774" s="64"/>
      <c r="L774" s="64"/>
      <c r="M774" s="60"/>
      <c r="N774" s="60"/>
      <c r="O774" s="60"/>
      <c r="P774" s="60"/>
      <c r="Q774" s="60"/>
      <c r="R774" s="60"/>
      <c r="S774" s="60"/>
      <c r="T774" s="60"/>
      <c r="U774" s="60"/>
      <c r="V774" s="60"/>
      <c r="W774" s="60"/>
      <c r="X774" s="60"/>
      <c r="Y774" s="76"/>
      <c r="Z774" s="60"/>
      <c r="AA774" s="60"/>
      <c r="AB774" s="60"/>
      <c r="AC774" s="60"/>
      <c r="AD774" s="60"/>
      <c r="AE774" s="60"/>
      <c r="AF774" s="80"/>
      <c r="AG774" s="56"/>
      <c r="AH774" s="4"/>
      <c r="AI774" s="56"/>
      <c r="AJ774" s="109"/>
      <c r="AK774" s="56"/>
      <c r="AL774" s="56"/>
      <c r="AM774" s="56"/>
      <c r="AN774" s="56"/>
      <c r="AO774" s="56"/>
      <c r="AP774" s="56"/>
      <c r="AQ774" s="56"/>
      <c r="AR774" s="109"/>
      <c r="AS774" s="56"/>
      <c r="AT774" s="56"/>
      <c r="AU774" s="4"/>
      <c r="AV774" s="25">
        <f>60*60</f>
        <v>3600</v>
      </c>
      <c r="AW774" s="25">
        <f>24*3600</f>
        <v>86400</v>
      </c>
      <c r="AX774" s="25">
        <f>24*3600*2</f>
        <v>172800</v>
      </c>
      <c r="AY774" s="42"/>
      <c r="AZ774" s="46"/>
      <c r="BA774" s="42"/>
      <c r="BB774" s="4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1"/>
      <c r="CS774" s="1"/>
      <c r="CT774" s="1"/>
      <c r="CU774" s="1"/>
    </row>
    <row r="775" spans="1:99" s="13" customFormat="1" ht="12" customHeight="1" x14ac:dyDescent="0.2">
      <c r="A775" s="65">
        <v>43509</v>
      </c>
      <c r="B775" s="1" t="s">
        <v>120</v>
      </c>
      <c r="C775" s="1" t="s">
        <v>48</v>
      </c>
      <c r="D775" s="60">
        <v>2007</v>
      </c>
      <c r="E775" s="76">
        <v>1</v>
      </c>
      <c r="F775" s="60">
        <v>72</v>
      </c>
      <c r="G775" s="60">
        <v>24</v>
      </c>
      <c r="H775" s="60" t="s">
        <v>22</v>
      </c>
      <c r="I775" s="60" t="s">
        <v>727</v>
      </c>
      <c r="J775" s="60" t="s">
        <v>475</v>
      </c>
      <c r="K775" s="60">
        <f>IF(J775="syllables",1,IF(J775="trigrams",2,IF(J775="strings",3,IF(J775="visual array",4,IF(J775="characters",5,IF(J775="letters",6,IF(J775="free forms",7,IF(J775="odors",8,IF(J775="words",9,IF(J775="pictures",10,IF(J775="object pictures",11,IF(J775="faces",12,IF(J775="names",13,IF(J775="idioms",14,IF(J775="grades",15,IF(J775="syllable-digit pairs",16,IF(J775="trigram-word pairs",17,IF(J775="word-digit pairs",18,IF(J775="English-Swahili pairs",19,IF(J775="spatial position",20,IF(J775="word pairs",21,IF(J775="word triads",22,IF(J775="generated words",23,IF(J775="word definition pairs",24,IF(J775="math problems",25,IF(J775="famous faces",26,IF(J775="famous names",27,IF(J775="famous voices",28,IF(J775="television programs",29,IF(J775="race horses",30,IF(J775="new vocabulary",31,IF(J775="sentences",32,IF(J775="concepts",33,IF(J775="ad slides",34,IF(J775="scenes",35,IF(J775="famous scenes",36,IF(J775="poems",37,IF(J775="walk",38,IF(J775="faces and events",39,IF(J775="events and names",40,IF(J775="flashbulb",41,IF(J775="stories",42,IF(J775="course material",43,IF(J775="autobiographical",44,IF(J775="novels",45,IF(J775="public events",46,"99"))))))))))))))))))))))))))))))))))))))))))))))</f>
        <v>32</v>
      </c>
      <c r="L775" s="60">
        <f>IF(J775="syllables",1,IF(J775="trigrams",1,IF(J775="strings",1,IF(J775="visual array",1,IF(J775="characters",1,IF(J775="letters",1,IF(J775="free forms",1,IF(J775="odors",2,IF(J775="words",2,IF(J775="pictures",2,IF(J775="object pictures",2,IF(J775="faces",2,IF(J775="names",2,IF(J775="idioms","2",IF(J775="grades",2,IF(J775="syllable-digit pairs",3,IF(J775="trigram-word pairs",3,IF(J775="word-digit pairs",3,IF(J775="English-Swahili pairs",3,IF(J775="spatial position",3,IF(J775="word pairs",4,IF(J775="word triads",4,IF(J775="generated words",4,IF(J775="word definition pairs",4,IF(J775="math problems",4,IF(J775="famous faces",4,IF(J775="famous names",4,IF(J775="famous voices",4,IF(J775="television programs",4,IF(J775="race horses",4,IF(J775="new vocabulary",4,IF(J775="sentences",5,IF(J775="concepts",5,IF(J775="ad slides",5,IF(J775="scenes",5,IF(J775="famous scenes",5,IF(J775="poems",6,IF(J775="walk",6,IF(J775="faces and events",6,IF(J775="events and names",6,IF(J775="flashbulb",7,IF(J775="stories",7,IF(J775="course material",7,IF(J775="autobiographical",7,IF(J775="novels",7,IF(J775="public events",7,"99"))))))))))))))))))))))))))))))))))))))))))))))</f>
        <v>5</v>
      </c>
      <c r="M775" s="60">
        <v>0</v>
      </c>
      <c r="N775" s="60">
        <v>3</v>
      </c>
      <c r="O775" s="60">
        <v>0</v>
      </c>
      <c r="P775" s="60"/>
      <c r="Q775" s="60" t="s">
        <v>34</v>
      </c>
      <c r="R775" s="60">
        <f>IF(Q775="Free Recall",1,IF(Q775="Cued Recall",2,IF(Q775="Recognition",3,IF(Q775="Multiple Choice",4,IF(Q775="Savings",5,IF(Q775="Stem Completion",6,IF(Q775="Fragment Completion",7,IF(Q775="anagram solution",8,IF(Q775="Matching",9,IF(Q775="Problem Solving",10,"99"))))))))))</f>
        <v>3</v>
      </c>
      <c r="S775" s="60" t="s">
        <v>229</v>
      </c>
      <c r="T775" s="60" t="s">
        <v>261</v>
      </c>
      <c r="U775" s="60">
        <f>IF(T775="within",1,0)</f>
        <v>0</v>
      </c>
      <c r="V775" s="60">
        <v>40</v>
      </c>
      <c r="W775" s="60">
        <f>F775*V775</f>
        <v>2880</v>
      </c>
      <c r="X775" s="60">
        <v>3</v>
      </c>
      <c r="Y775" s="76">
        <f>AV774</f>
        <v>3600</v>
      </c>
      <c r="Z775" s="60" t="s">
        <v>88</v>
      </c>
      <c r="AA775" s="60">
        <v>172800</v>
      </c>
      <c r="AB775" s="60" t="str">
        <f>IF(AA775&lt;60,"1",IF(AA775&lt;=43200,"2",IF(AA775&lt;=777600,"3","4")))</f>
        <v>3</v>
      </c>
      <c r="AC775" s="56">
        <f>AVERAGE(AV774:DA774)</f>
        <v>87600</v>
      </c>
      <c r="AD775" s="60" t="str">
        <f>IF(AC775&lt;60,"1",IF(AC775&lt;=43200,"2",IF(AC775&lt;=777600,"3","4")))</f>
        <v>3</v>
      </c>
      <c r="AE775" s="76">
        <f>AA775-Y775</f>
        <v>169200</v>
      </c>
      <c r="AF775" s="80">
        <f>AV775</f>
        <v>0.99</v>
      </c>
      <c r="AG775" s="56">
        <f>((AW775-AV775)+(AX775-AW775))/2</f>
        <v>-8.0000000000000016E-2</v>
      </c>
      <c r="AH775" s="4"/>
      <c r="AI775" s="56">
        <f>RSQ(AV775:AX775,AV774:AX774)</f>
        <v>0.99984912492456268</v>
      </c>
      <c r="AJ775" s="109">
        <f>SLOPE(AV775:AX775,AV774:AX774)</f>
        <v>-9.4548380607523665E-7</v>
      </c>
      <c r="AK775" s="56">
        <f>INTERCEPT(AV775:AX775,AV774:AX774)</f>
        <v>0.99282438141219076</v>
      </c>
      <c r="AL775" s="56">
        <f>INDEX(LINEST(LN(AV775:AX775),LN(AV774:AX774),TRUE,TRUE),3,1)</f>
        <v>0.86220321487196527</v>
      </c>
      <c r="AM775" s="56">
        <f>INDEX(LINEST(LN(AV775:AX775),LN(AV774:AX774)),1)</f>
        <v>-3.966017765075585E-2</v>
      </c>
      <c r="AN775" s="56">
        <f>EXP(INDEX(LINEST(LN(AV775:AX775),LN(AV774:AX774)),1,2))</f>
        <v>1.3785876972409998</v>
      </c>
      <c r="AO775" s="82">
        <f>INDEX(LINEST((AV775:AX775),LN(AV774:AX774),TRUE,TRUE),3,1)</f>
        <v>0.87924200716466017</v>
      </c>
      <c r="AP775" s="82">
        <f>INDEX(LINEST((AV775:AX775),LN(AV774:AX774)),1)</f>
        <v>-3.6339813083834958E-2</v>
      </c>
      <c r="AQ775" s="83">
        <f>INDEX(LINEST(LN(AV775:AX775),SQRT(AV774:AX774),TRUE,TRUE),3,1)</f>
        <v>0.95834965144669881</v>
      </c>
      <c r="AR775" s="116">
        <f>INDEX(LINEST(LN(AV775:AX775),SQRT((AV774:AX774))),1)</f>
        <v>-4.7746925148478331E-4</v>
      </c>
      <c r="AS775" s="84">
        <f>INDEX(LINEST(1/(AV775:AX775),1/(SQRT(AV774:AX774)),TRUE,TRUE),3,1)</f>
        <v>0.76023960606948116</v>
      </c>
      <c r="AT775" s="84">
        <f>INDEX(LINEST(1/(AV775:AX775),1/SQRT(AV774:AX774)),1)</f>
        <v>-10.676080415434951</v>
      </c>
      <c r="AU775" s="3"/>
      <c r="AV775" s="53">
        <v>0.99</v>
      </c>
      <c r="AW775" s="53">
        <v>0.91</v>
      </c>
      <c r="AX775" s="53">
        <v>0.83</v>
      </c>
      <c r="AY775" s="42"/>
      <c r="AZ775" s="46"/>
      <c r="BA775" s="42"/>
      <c r="BB775" s="4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1"/>
      <c r="CS775" s="1"/>
      <c r="CT775" s="1"/>
      <c r="CU775" s="1"/>
    </row>
    <row r="776" spans="1:99" s="13" customFormat="1" ht="12" customHeight="1" x14ac:dyDescent="0.2">
      <c r="A776" s="65">
        <v>43509</v>
      </c>
      <c r="B776" s="1"/>
      <c r="C776" s="1"/>
      <c r="D776" s="60"/>
      <c r="E776" s="76"/>
      <c r="F776" s="60"/>
      <c r="G776" s="60"/>
      <c r="H776" s="60"/>
      <c r="I776" s="60"/>
      <c r="J776" s="60"/>
      <c r="K776" s="64"/>
      <c r="L776" s="64"/>
      <c r="M776" s="60"/>
      <c r="N776" s="60"/>
      <c r="O776" s="60"/>
      <c r="P776" s="60"/>
      <c r="Q776" s="60"/>
      <c r="R776" s="60"/>
      <c r="S776" s="60"/>
      <c r="T776" s="60"/>
      <c r="U776" s="60"/>
      <c r="V776" s="60"/>
      <c r="W776" s="60"/>
      <c r="X776" s="60"/>
      <c r="Y776" s="76"/>
      <c r="Z776" s="60"/>
      <c r="AA776" s="60"/>
      <c r="AB776" s="60"/>
      <c r="AC776" s="60"/>
      <c r="AD776" s="60"/>
      <c r="AE776" s="60"/>
      <c r="AF776" s="80"/>
      <c r="AG776" s="56"/>
      <c r="AH776" s="4"/>
      <c r="AI776" s="56"/>
      <c r="AJ776" s="109"/>
      <c r="AK776" s="56"/>
      <c r="AL776" s="56"/>
      <c r="AM776" s="56"/>
      <c r="AN776" s="56"/>
      <c r="AO776" s="56"/>
      <c r="AP776" s="56"/>
      <c r="AQ776" s="56"/>
      <c r="AR776" s="109"/>
      <c r="AS776" s="56"/>
      <c r="AT776" s="56"/>
      <c r="AU776" s="4"/>
      <c r="AV776" s="25">
        <f>60*60</f>
        <v>3600</v>
      </c>
      <c r="AW776" s="25">
        <f>24*3600</f>
        <v>86400</v>
      </c>
      <c r="AX776" s="25">
        <f>24*3600*2</f>
        <v>172800</v>
      </c>
      <c r="AY776" s="42"/>
      <c r="AZ776" s="46"/>
      <c r="BA776" s="42"/>
      <c r="BB776" s="4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1"/>
      <c r="CS776" s="1"/>
      <c r="CT776" s="1"/>
      <c r="CU776" s="1"/>
    </row>
    <row r="777" spans="1:99" s="13" customFormat="1" ht="12" customHeight="1" x14ac:dyDescent="0.2">
      <c r="A777" s="65">
        <v>43509</v>
      </c>
      <c r="B777" s="1" t="s">
        <v>120</v>
      </c>
      <c r="C777" s="1" t="s">
        <v>48</v>
      </c>
      <c r="D777" s="60">
        <v>2007</v>
      </c>
      <c r="E777" s="76">
        <v>1</v>
      </c>
      <c r="F777" s="60">
        <v>72</v>
      </c>
      <c r="G777" s="60">
        <v>24</v>
      </c>
      <c r="H777" s="60" t="s">
        <v>22</v>
      </c>
      <c r="I777" s="60" t="s">
        <v>728</v>
      </c>
      <c r="J777" s="60" t="s">
        <v>475</v>
      </c>
      <c r="K777" s="60">
        <f>IF(J777="syllables",1,IF(J777="trigrams",2,IF(J777="strings",3,IF(J777="visual array",4,IF(J777="characters",5,IF(J777="letters",6,IF(J777="free forms",7,IF(J777="odors",8,IF(J777="words",9,IF(J777="pictures",10,IF(J777="object pictures",11,IF(J777="faces",12,IF(J777="names",13,IF(J777="idioms",14,IF(J777="grades",15,IF(J777="syllable-digit pairs",16,IF(J777="trigram-word pairs",17,IF(J777="word-digit pairs",18,IF(J777="English-Swahili pairs",19,IF(J777="spatial position",20,IF(J777="word pairs",21,IF(J777="word triads",22,IF(J777="generated words",23,IF(J777="word definition pairs",24,IF(J777="math problems",25,IF(J777="famous faces",26,IF(J777="famous names",27,IF(J777="famous voices",28,IF(J777="television programs",29,IF(J777="race horses",30,IF(J777="new vocabulary",31,IF(J777="sentences",32,IF(J777="concepts",33,IF(J777="ad slides",34,IF(J777="scenes",35,IF(J777="famous scenes",36,IF(J777="poems",37,IF(J777="walk",38,IF(J777="faces and events",39,IF(J777="events and names",40,IF(J777="flashbulb",41,IF(J777="stories",42,IF(J777="course material",43,IF(J777="autobiographical",44,IF(J777="novels",45,IF(J777="public events",46,"99"))))))))))))))))))))))))))))))))))))))))))))))</f>
        <v>32</v>
      </c>
      <c r="L777" s="60">
        <f>IF(J777="syllables",1,IF(J777="trigrams",1,IF(J777="strings",1,IF(J777="visual array",1,IF(J777="characters",1,IF(J777="letters",1,IF(J777="free forms",1,IF(J777="odors",2,IF(J777="words",2,IF(J777="pictures",2,IF(J777="object pictures",2,IF(J777="faces",2,IF(J777="names",2,IF(J777="idioms","2",IF(J777="grades",2,IF(J777="syllable-digit pairs",3,IF(J777="trigram-word pairs",3,IF(J777="word-digit pairs",3,IF(J777="English-Swahili pairs",3,IF(J777="spatial position",3,IF(J777="word pairs",4,IF(J777="word triads",4,IF(J777="generated words",4,IF(J777="word definition pairs",4,IF(J777="math problems",4,IF(J777="famous faces",4,IF(J777="famous names",4,IF(J777="famous voices",4,IF(J777="television programs",4,IF(J777="race horses",4,IF(J777="new vocabulary",4,IF(J777="sentences",5,IF(J777="concepts",5,IF(J777="ad slides",5,IF(J777="scenes",5,IF(J777="famous scenes",5,IF(J777="poems",6,IF(J777="walk",6,IF(J777="faces and events",6,IF(J777="events and names",6,IF(J777="flashbulb",7,IF(J777="stories",7,IF(J777="course material",7,IF(J777="autobiographical",7,IF(J777="novels",7,IF(J777="public events",7,"99"))))))))))))))))))))))))))))))))))))))))))))))</f>
        <v>5</v>
      </c>
      <c r="M777" s="60">
        <v>0</v>
      </c>
      <c r="N777" s="60">
        <v>3</v>
      </c>
      <c r="O777" s="60">
        <v>0</v>
      </c>
      <c r="P777" s="60"/>
      <c r="Q777" s="60" t="s">
        <v>34</v>
      </c>
      <c r="R777" s="60">
        <f>IF(Q777="Free Recall",1,IF(Q777="Cued Recall",2,IF(Q777="Recognition",3,IF(Q777="Multiple Choice",4,IF(Q777="Savings",5,IF(Q777="Stem Completion",6,IF(Q777="Fragment Completion",7,IF(Q777="anagram solution",8,IF(Q777="Matching",9,IF(Q777="Problem Solving",10,"99"))))))))))</f>
        <v>3</v>
      </c>
      <c r="S777" s="60" t="s">
        <v>229</v>
      </c>
      <c r="T777" s="60" t="s">
        <v>261</v>
      </c>
      <c r="U777" s="60">
        <f>IF(T777="within",1,0)</f>
        <v>0</v>
      </c>
      <c r="V777" s="60">
        <v>40</v>
      </c>
      <c r="W777" s="60">
        <f>F777*V777</f>
        <v>2880</v>
      </c>
      <c r="X777" s="60">
        <v>3</v>
      </c>
      <c r="Y777" s="76">
        <f>AV776</f>
        <v>3600</v>
      </c>
      <c r="Z777" s="60" t="s">
        <v>88</v>
      </c>
      <c r="AA777" s="60">
        <v>172800</v>
      </c>
      <c r="AB777" s="60" t="str">
        <f>IF(AA777&lt;60,"1",IF(AA777&lt;=43200,"2",IF(AA777&lt;=777600,"3","4")))</f>
        <v>3</v>
      </c>
      <c r="AC777" s="56">
        <f>AVERAGE(AV776:DA776)</f>
        <v>87600</v>
      </c>
      <c r="AD777" s="60" t="str">
        <f>IF(AC777&lt;60,"1",IF(AC777&lt;=43200,"2",IF(AC777&lt;=777600,"3","4")))</f>
        <v>3</v>
      </c>
      <c r="AE777" s="76">
        <f>AA777-Y777</f>
        <v>169200</v>
      </c>
      <c r="AF777" s="80">
        <f>AV777</f>
        <v>0.95</v>
      </c>
      <c r="AG777" s="56">
        <f>((AW777-AV777)+(AX777-AW777))/2</f>
        <v>-0.16999999999999998</v>
      </c>
      <c r="AH777" s="4"/>
      <c r="AI777" s="56">
        <f>RSQ(AV777:AX777,AV776:AX776)</f>
        <v>0.96777633142179775</v>
      </c>
      <c r="AJ777" s="109">
        <f>SLOPE(AV777:AX777,AV776:AX776)</f>
        <v>-2.0049621135921675E-6</v>
      </c>
      <c r="AK777" s="56">
        <f>INTERCEPT(AV777:AX777,AV776:AX776)</f>
        <v>0.93896801448400713</v>
      </c>
      <c r="AL777" s="56">
        <f>INDEX(LINEST(LN(AV777:AX777),LN(AV776:AX776),TRUE,TRUE),3,1)</f>
        <v>0.94065580339313215</v>
      </c>
      <c r="AM777" s="56">
        <f>INDEX(LINEST(LN(AV777:AX777),LN(AV776:AX776)),1)</f>
        <v>-0.10469048836856661</v>
      </c>
      <c r="AN777" s="56">
        <f>EXP(INDEX(LINEST(LN(AV777:AX777),LN(AV776:AX776)),1,2))</f>
        <v>2.2625844469426681</v>
      </c>
      <c r="AO777" s="82">
        <f>INDEX(LINEST((AV777:AX777),LN(AV776:AX776),TRUE,TRUE),3,1)</f>
        <v>0.9655455475512591</v>
      </c>
      <c r="AP777" s="82">
        <f>INDEX(LINEST((AV777:AX777),LN(AV776:AX776)),1)</f>
        <v>-8.2081761931416405E-2</v>
      </c>
      <c r="AQ777" s="83">
        <f>INDEX(LINEST(LN(AV777:AX777),SQRT(AV776:AX776),TRUE,TRUE),3,1)</f>
        <v>0.99492503009747013</v>
      </c>
      <c r="AR777" s="116">
        <f>INDEX(LINEST(LN(AV777:AX777),SQRT((AV776:AX776))),1)</f>
        <v>-1.2294775764911312E-3</v>
      </c>
      <c r="AS777" s="84">
        <f>INDEX(LINEST(1/(AV777:AX777),1/(SQRT(AV776:AX776)),TRUE,TRUE),3,1)</f>
        <v>0.83815606166273271</v>
      </c>
      <c r="AT777" s="84">
        <f>INDEX(LINEST(1/(AV777:AX777),1/SQRT(AV776:AX776)),1)</f>
        <v>-33.770542358911122</v>
      </c>
      <c r="AU777" s="3"/>
      <c r="AV777" s="53">
        <v>0.95</v>
      </c>
      <c r="AW777" s="53">
        <v>0.73</v>
      </c>
      <c r="AX777" s="53">
        <v>0.61</v>
      </c>
      <c r="AY777" s="42"/>
      <c r="AZ777" s="46"/>
      <c r="BA777" s="42"/>
      <c r="BB777" s="4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1"/>
      <c r="CS777" s="1"/>
      <c r="CT777" s="1"/>
      <c r="CU777" s="1"/>
    </row>
    <row r="778" spans="1:99" s="13" customFormat="1" ht="12" customHeight="1" x14ac:dyDescent="0.2">
      <c r="A778" s="65">
        <v>43509</v>
      </c>
      <c r="B778" s="1"/>
      <c r="C778" s="1"/>
      <c r="D778" s="60"/>
      <c r="E778" s="76"/>
      <c r="F778" s="60"/>
      <c r="G778" s="60"/>
      <c r="H778" s="60"/>
      <c r="I778" s="60"/>
      <c r="J778" s="60"/>
      <c r="K778" s="64"/>
      <c r="L778" s="64"/>
      <c r="M778" s="60"/>
      <c r="N778" s="60"/>
      <c r="O778" s="60"/>
      <c r="P778" s="60"/>
      <c r="Q778" s="60"/>
      <c r="R778" s="60"/>
      <c r="S778" s="60"/>
      <c r="T778" s="60"/>
      <c r="U778" s="60"/>
      <c r="V778" s="60"/>
      <c r="W778" s="60"/>
      <c r="X778" s="60"/>
      <c r="Y778" s="76"/>
      <c r="Z778" s="60"/>
      <c r="AA778" s="60"/>
      <c r="AB778" s="60"/>
      <c r="AC778" s="60"/>
      <c r="AD778" s="60"/>
      <c r="AE778" s="60"/>
      <c r="AF778" s="80"/>
      <c r="AG778" s="56"/>
      <c r="AH778" s="4"/>
      <c r="AI778" s="56"/>
      <c r="AJ778" s="109"/>
      <c r="AK778" s="56"/>
      <c r="AL778" s="56"/>
      <c r="AM778" s="56"/>
      <c r="AN778" s="56"/>
      <c r="AO778" s="56"/>
      <c r="AP778" s="56"/>
      <c r="AQ778" s="56"/>
      <c r="AR778" s="109"/>
      <c r="AS778" s="56"/>
      <c r="AT778" s="56"/>
      <c r="AU778" s="4"/>
      <c r="AV778" s="25">
        <f>60*60</f>
        <v>3600</v>
      </c>
      <c r="AW778" s="25">
        <f>24*3600</f>
        <v>86400</v>
      </c>
      <c r="AX778" s="25">
        <f>24*3600*2</f>
        <v>172800</v>
      </c>
      <c r="AY778" s="42"/>
      <c r="AZ778" s="46"/>
      <c r="BA778" s="42"/>
      <c r="BB778" s="4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1"/>
      <c r="CS778" s="1"/>
      <c r="CT778" s="1"/>
      <c r="CU778" s="1"/>
    </row>
    <row r="779" spans="1:99" s="13" customFormat="1" ht="12" customHeight="1" x14ac:dyDescent="0.2">
      <c r="A779" s="65">
        <v>43509</v>
      </c>
      <c r="B779" s="1" t="s">
        <v>120</v>
      </c>
      <c r="C779" s="1" t="s">
        <v>48</v>
      </c>
      <c r="D779" s="60">
        <v>2007</v>
      </c>
      <c r="E779" s="76">
        <v>1</v>
      </c>
      <c r="F779" s="60">
        <v>72</v>
      </c>
      <c r="G779" s="60">
        <v>24</v>
      </c>
      <c r="H779" s="60" t="s">
        <v>22</v>
      </c>
      <c r="I779" s="60" t="s">
        <v>727</v>
      </c>
      <c r="J779" s="60" t="s">
        <v>475</v>
      </c>
      <c r="K779" s="60">
        <f>IF(J779="syllables",1,IF(J779="trigrams",2,IF(J779="strings",3,IF(J779="visual array",4,IF(J779="characters",5,IF(J779="letters",6,IF(J779="free forms",7,IF(J779="odors",8,IF(J779="words",9,IF(J779="pictures",10,IF(J779="object pictures",11,IF(J779="faces",12,IF(J779="names",13,IF(J779="idioms",14,IF(J779="grades",15,IF(J779="syllable-digit pairs",16,IF(J779="trigram-word pairs",17,IF(J779="word-digit pairs",18,IF(J779="English-Swahili pairs",19,IF(J779="spatial position",20,IF(J779="word pairs",21,IF(J779="word triads",22,IF(J779="generated words",23,IF(J779="word definition pairs",24,IF(J779="math problems",25,IF(J779="famous faces",26,IF(J779="famous names",27,IF(J779="famous voices",28,IF(J779="television programs",29,IF(J779="race horses",30,IF(J779="new vocabulary",31,IF(J779="sentences",32,IF(J779="concepts",33,IF(J779="ad slides",34,IF(J779="scenes",35,IF(J779="famous scenes",36,IF(J779="poems",37,IF(J779="walk",38,IF(J779="faces and events",39,IF(J779="events and names",40,IF(J779="flashbulb",41,IF(J779="stories",42,IF(J779="course material",43,IF(J779="autobiographical",44,IF(J779="novels",45,IF(J779="public events",46,"99"))))))))))))))))))))))))))))))))))))))))))))))</f>
        <v>32</v>
      </c>
      <c r="L779" s="60">
        <f>IF(J779="syllables",1,IF(J779="trigrams",1,IF(J779="strings",1,IF(J779="visual array",1,IF(J779="characters",1,IF(J779="letters",1,IF(J779="free forms",1,IF(J779="odors",2,IF(J779="words",2,IF(J779="pictures",2,IF(J779="object pictures",2,IF(J779="faces",2,IF(J779="names",2,IF(J779="idioms","2",IF(J779="grades",2,IF(J779="syllable-digit pairs",3,IF(J779="trigram-word pairs",3,IF(J779="word-digit pairs",3,IF(J779="English-Swahili pairs",3,IF(J779="spatial position",3,IF(J779="word pairs",4,IF(J779="word triads",4,IF(J779="generated words",4,IF(J779="word definition pairs",4,IF(J779="math problems",4,IF(J779="famous faces",4,IF(J779="famous names",4,IF(J779="famous voices",4,IF(J779="television programs",4,IF(J779="race horses",4,IF(J779="new vocabulary",4,IF(J779="sentences",5,IF(J779="concepts",5,IF(J779="ad slides",5,IF(J779="scenes",5,IF(J779="famous scenes",5,IF(J779="poems",6,IF(J779="walk",6,IF(J779="faces and events",6,IF(J779="events and names",6,IF(J779="flashbulb",7,IF(J779="stories",7,IF(J779="course material",7,IF(J779="autobiographical",7,IF(J779="novels",7,IF(J779="public events",7,"99"))))))))))))))))))))))))))))))))))))))))))))))</f>
        <v>5</v>
      </c>
      <c r="M779" s="60">
        <v>0</v>
      </c>
      <c r="N779" s="60">
        <v>3</v>
      </c>
      <c r="O779" s="60">
        <v>0</v>
      </c>
      <c r="P779" s="60"/>
      <c r="Q779" s="60" t="s">
        <v>121</v>
      </c>
      <c r="R779" s="60" t="str">
        <f>IF(Q779="Free Recall",1,IF(Q779="Cued Recall",2,IF(Q779="Recognition",3,IF(Q779="Multiple Choice",4,IF(Q779="Savings",5,IF(Q779="Stem Completion",6,IF(Q779="Fragment Completion",7,IF(Q779="anagram solution",8,IF(Q779="Matching",9,IF(Q779="Problem Solving",10,"99"))))))))))</f>
        <v>99</v>
      </c>
      <c r="S779" s="60" t="s">
        <v>229</v>
      </c>
      <c r="T779" s="60" t="s">
        <v>261</v>
      </c>
      <c r="U779" s="60">
        <f>IF(T779="within",1,0)</f>
        <v>0</v>
      </c>
      <c r="V779" s="60">
        <v>40</v>
      </c>
      <c r="W779" s="60">
        <f>F779*V779</f>
        <v>2880</v>
      </c>
      <c r="X779" s="60">
        <v>3</v>
      </c>
      <c r="Y779" s="76">
        <f>AV778</f>
        <v>3600</v>
      </c>
      <c r="Z779" s="60" t="s">
        <v>88</v>
      </c>
      <c r="AA779" s="60">
        <v>172800</v>
      </c>
      <c r="AB779" s="60" t="str">
        <f>IF(AA779&lt;60,"1",IF(AA779&lt;=43200,"2",IF(AA779&lt;=777600,"3","4")))</f>
        <v>3</v>
      </c>
      <c r="AC779" s="56">
        <f>AVERAGE(AV778:DA778)</f>
        <v>87600</v>
      </c>
      <c r="AD779" s="60" t="str">
        <f>IF(AC779&lt;60,"1",IF(AC779&lt;=43200,"2",IF(AC779&lt;=777600,"3","4")))</f>
        <v>3</v>
      </c>
      <c r="AE779" s="76">
        <f>AA779-Y779</f>
        <v>169200</v>
      </c>
      <c r="AF779" s="80">
        <f>AV779</f>
        <v>0.98</v>
      </c>
      <c r="AG779" s="56">
        <f>((AW779-AV779)+(AX779-AW779))/2</f>
        <v>-1.5000000000000013E-2</v>
      </c>
      <c r="AH779" s="4"/>
      <c r="AI779" s="56">
        <f>RSQ(AV779:AX779,AV778:AX778)</f>
        <v>0.5069518592451604</v>
      </c>
      <c r="AJ779" s="109">
        <f>SLOPE(AV779:AX779,AV778:AX778)</f>
        <v>-1.7518272648025228E-7</v>
      </c>
      <c r="AK779" s="56">
        <f>INTERCEPT(AV779:AX779,AV778:AX778)</f>
        <v>0.9720126735063368</v>
      </c>
      <c r="AL779" s="56">
        <f>INDEX(LINEST(LN(AV779:AX779),LN(AV778:AX778),TRUE,TRUE),3,1)</f>
        <v>0.83710239897568528</v>
      </c>
      <c r="AM779" s="56">
        <f>INDEX(LINEST(LN(AV779:AX779),LN(AV778:AX778)),1)</f>
        <v>-9.6008187041175721E-3</v>
      </c>
      <c r="AN779" s="56">
        <f>EXP(INDEX(LINEST(LN(AV779:AX779),LN(AV778:AX778)),1,2))</f>
        <v>1.0583599826439036</v>
      </c>
      <c r="AO779" s="82">
        <f>INDEX(LINEST((AV779:AX779),LN(AV778:AX778),TRUE,TRUE),3,1)</f>
        <v>0.84019095406429378</v>
      </c>
      <c r="AP779" s="82">
        <f>INDEX(LINEST((AV779:AX779),LN(AV778:AX778)),1)</f>
        <v>-9.2435445173526323E-3</v>
      </c>
      <c r="AQ779" s="83">
        <f>INDEX(LINEST(LN(AV779:AX779),SQRT(AV778:AX778),TRUE,TRUE),3,1)</f>
        <v>0.69024232143547826</v>
      </c>
      <c r="AR779" s="116">
        <f>INDEX(LINEST(LN(AV779:AX779),SQRT((AV778:AX778))),1)</f>
        <v>-9.955276927989819E-5</v>
      </c>
      <c r="AS779" s="84">
        <f>INDEX(LINEST(1/(AV779:AX779),1/(SQRT(AV778:AX778)),TRUE,TRUE),3,1)</f>
        <v>0.9048262988834872</v>
      </c>
      <c r="AT779" s="84">
        <f>INDEX(LINEST(1/(AV779:AX779),1/SQRT(AV778:AX778)),1)</f>
        <v>-2.6933954844900696</v>
      </c>
      <c r="AU779" s="3"/>
      <c r="AV779" s="53">
        <v>0.98</v>
      </c>
      <c r="AW779" s="53">
        <v>0.94</v>
      </c>
      <c r="AX779" s="53">
        <v>0.95</v>
      </c>
      <c r="AY779" s="42"/>
      <c r="AZ779" s="46"/>
      <c r="BA779" s="42"/>
      <c r="BB779" s="4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1"/>
      <c r="CS779" s="1"/>
      <c r="CT779" s="1"/>
      <c r="CU779" s="1"/>
    </row>
    <row r="780" spans="1:99" s="13" customFormat="1" ht="12" customHeight="1" x14ac:dyDescent="0.2">
      <c r="A780" s="65">
        <v>43509</v>
      </c>
      <c r="B780" s="1"/>
      <c r="C780" s="1"/>
      <c r="D780" s="60"/>
      <c r="E780" s="76"/>
      <c r="F780" s="60"/>
      <c r="G780" s="60"/>
      <c r="H780" s="60"/>
      <c r="I780" s="60"/>
      <c r="J780" s="60"/>
      <c r="K780" s="64"/>
      <c r="L780" s="64"/>
      <c r="M780" s="60"/>
      <c r="N780" s="60"/>
      <c r="O780" s="60"/>
      <c r="P780" s="60"/>
      <c r="Q780" s="60"/>
      <c r="R780" s="60"/>
      <c r="S780" s="60"/>
      <c r="T780" s="60"/>
      <c r="U780" s="60"/>
      <c r="V780" s="60"/>
      <c r="W780" s="60"/>
      <c r="X780" s="60"/>
      <c r="Y780" s="76"/>
      <c r="Z780" s="60"/>
      <c r="AA780" s="60"/>
      <c r="AB780" s="60"/>
      <c r="AC780" s="60"/>
      <c r="AD780" s="60"/>
      <c r="AE780" s="60"/>
      <c r="AF780" s="80"/>
      <c r="AG780" s="56"/>
      <c r="AH780" s="4"/>
      <c r="AI780" s="56"/>
      <c r="AJ780" s="109"/>
      <c r="AK780" s="56"/>
      <c r="AL780" s="56"/>
      <c r="AM780" s="56"/>
      <c r="AN780" s="56"/>
      <c r="AO780" s="56"/>
      <c r="AP780" s="56"/>
      <c r="AQ780" s="56"/>
      <c r="AR780" s="109"/>
      <c r="AS780" s="56"/>
      <c r="AT780" s="56"/>
      <c r="AU780" s="4"/>
      <c r="AV780" s="25">
        <f>60*60</f>
        <v>3600</v>
      </c>
      <c r="AW780" s="25">
        <f>24*3600</f>
        <v>86400</v>
      </c>
      <c r="AX780" s="25">
        <f>24*3600*2</f>
        <v>172800</v>
      </c>
      <c r="AY780" s="42"/>
      <c r="AZ780" s="46"/>
      <c r="BA780" s="42"/>
      <c r="BB780" s="4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1"/>
      <c r="CS780" s="1"/>
      <c r="CT780" s="1"/>
      <c r="CU780" s="1"/>
    </row>
    <row r="781" spans="1:99" s="13" customFormat="1" ht="12" customHeight="1" x14ac:dyDescent="0.2">
      <c r="A781" s="65">
        <v>43509</v>
      </c>
      <c r="B781" s="1" t="s">
        <v>120</v>
      </c>
      <c r="C781" s="1" t="s">
        <v>48</v>
      </c>
      <c r="D781" s="60">
        <v>2007</v>
      </c>
      <c r="E781" s="76">
        <v>1</v>
      </c>
      <c r="F781" s="60">
        <v>72</v>
      </c>
      <c r="G781" s="60">
        <v>24</v>
      </c>
      <c r="H781" s="60" t="s">
        <v>22</v>
      </c>
      <c r="I781" s="60" t="s">
        <v>728</v>
      </c>
      <c r="J781" s="60" t="s">
        <v>475</v>
      </c>
      <c r="K781" s="60">
        <f>IF(J781="syllables",1,IF(J781="trigrams",2,IF(J781="strings",3,IF(J781="visual array",4,IF(J781="characters",5,IF(J781="letters",6,IF(J781="free forms",7,IF(J781="odors",8,IF(J781="words",9,IF(J781="pictures",10,IF(J781="object pictures",11,IF(J781="faces",12,IF(J781="names",13,IF(J781="idioms",14,IF(J781="grades",15,IF(J781="syllable-digit pairs",16,IF(J781="trigram-word pairs",17,IF(J781="word-digit pairs",18,IF(J781="English-Swahili pairs",19,IF(J781="spatial position",20,IF(J781="word pairs",21,IF(J781="word triads",22,IF(J781="generated words",23,IF(J781="word definition pairs",24,IF(J781="math problems",25,IF(J781="famous faces",26,IF(J781="famous names",27,IF(J781="famous voices",28,IF(J781="television programs",29,IF(J781="race horses",30,IF(J781="new vocabulary",31,IF(J781="sentences",32,IF(J781="concepts",33,IF(J781="ad slides",34,IF(J781="scenes",35,IF(J781="famous scenes",36,IF(J781="poems",37,IF(J781="walk",38,IF(J781="faces and events",39,IF(J781="events and names",40,IF(J781="flashbulb",41,IF(J781="stories",42,IF(J781="course material",43,IF(J781="autobiographical",44,IF(J781="novels",45,IF(J781="public events",46,"99"))))))))))))))))))))))))))))))))))))))))))))))</f>
        <v>32</v>
      </c>
      <c r="L781" s="60">
        <f>IF(J781="syllables",1,IF(J781="trigrams",1,IF(J781="strings",1,IF(J781="visual array",1,IF(J781="characters",1,IF(J781="letters",1,IF(J781="free forms",1,IF(J781="odors",2,IF(J781="words",2,IF(J781="pictures",2,IF(J781="object pictures",2,IF(J781="faces",2,IF(J781="names",2,IF(J781="idioms","2",IF(J781="grades",2,IF(J781="syllable-digit pairs",3,IF(J781="trigram-word pairs",3,IF(J781="word-digit pairs",3,IF(J781="English-Swahili pairs",3,IF(J781="spatial position",3,IF(J781="word pairs",4,IF(J781="word triads",4,IF(J781="generated words",4,IF(J781="word definition pairs",4,IF(J781="math problems",4,IF(J781="famous faces",4,IF(J781="famous names",4,IF(J781="famous voices",4,IF(J781="television programs",4,IF(J781="race horses",4,IF(J781="new vocabulary",4,IF(J781="sentences",5,IF(J781="concepts",5,IF(J781="ad slides",5,IF(J781="scenes",5,IF(J781="famous scenes",5,IF(J781="poems",6,IF(J781="walk",6,IF(J781="faces and events",6,IF(J781="events and names",6,IF(J781="flashbulb",7,IF(J781="stories",7,IF(J781="course material",7,IF(J781="autobiographical",7,IF(J781="novels",7,IF(J781="public events",7,"99"))))))))))))))))))))))))))))))))))))))))))))))</f>
        <v>5</v>
      </c>
      <c r="M781" s="60">
        <v>0</v>
      </c>
      <c r="N781" s="60">
        <v>3</v>
      </c>
      <c r="O781" s="60">
        <v>0</v>
      </c>
      <c r="P781" s="60"/>
      <c r="Q781" s="60" t="s">
        <v>121</v>
      </c>
      <c r="R781" s="60" t="str">
        <f>IF(Q781="Free Recall",1,IF(Q781="Cued Recall",2,IF(Q781="Recognition",3,IF(Q781="Multiple Choice",4,IF(Q781="Savings",5,IF(Q781="Stem Completion",6,IF(Q781="Fragment Completion",7,IF(Q781="anagram solution",8,IF(Q781="Matching",9,IF(Q781="Problem Solving",10,"99"))))))))))</f>
        <v>99</v>
      </c>
      <c r="S781" s="60" t="s">
        <v>229</v>
      </c>
      <c r="T781" s="60" t="s">
        <v>261</v>
      </c>
      <c r="U781" s="60">
        <f>IF(T781="within",1,0)</f>
        <v>0</v>
      </c>
      <c r="V781" s="60">
        <v>40</v>
      </c>
      <c r="W781" s="60">
        <f>F781*V781</f>
        <v>2880</v>
      </c>
      <c r="X781" s="60">
        <v>3</v>
      </c>
      <c r="Y781" s="76">
        <f>AV780</f>
        <v>3600</v>
      </c>
      <c r="Z781" s="60" t="s">
        <v>88</v>
      </c>
      <c r="AA781" s="60">
        <v>172800</v>
      </c>
      <c r="AB781" s="60" t="str">
        <f>IF(AA781&lt;60,"1",IF(AA781&lt;=43200,"2",IF(AA781&lt;=777600,"3","4")))</f>
        <v>3</v>
      </c>
      <c r="AC781" s="56">
        <f>AVERAGE(AV780:DA780)</f>
        <v>87600</v>
      </c>
      <c r="AD781" s="60" t="str">
        <f>IF(AC781&lt;60,"1",IF(AC781&lt;=43200,"2",IF(AC781&lt;=777600,"3","4")))</f>
        <v>3</v>
      </c>
      <c r="AE781" s="76">
        <f>AA781-Y781</f>
        <v>169200</v>
      </c>
      <c r="AF781" s="80">
        <f>AV781</f>
        <v>0.97</v>
      </c>
      <c r="AG781" s="56">
        <f>((AW781-AV781)+(AX781-AW781))/2</f>
        <v>-2.9999999999999971E-2</v>
      </c>
      <c r="AH781" s="4"/>
      <c r="AI781" s="56">
        <f>RSQ(AV781:AX781,AV780:AX780)</f>
        <v>0.73928786964393478</v>
      </c>
      <c r="AJ781" s="109">
        <f>SLOPE(AV781:AX781,AV780:AX780)</f>
        <v>-3.5204184268758771E-7</v>
      </c>
      <c r="AK781" s="56">
        <f>INTERCEPT(AV781:AX781,AV780:AX780)</f>
        <v>0.96083886541943275</v>
      </c>
      <c r="AL781" s="56">
        <f>INDEX(LINEST(LN(AV781:AX781),LN(AV780:AX780),TRUE,TRUE),3,1)</f>
        <v>0.97181176353256282</v>
      </c>
      <c r="AM781" s="56">
        <f>INDEX(LINEST(LN(AV781:AX781),LN(AV780:AX780)),1)</f>
        <v>-1.7605154868915986E-2</v>
      </c>
      <c r="AN781" s="56">
        <f>EXP(INDEX(LINEST(LN(AV781:AX781),LN(AV780:AX780)),1,2))</f>
        <v>1.1190767620797024</v>
      </c>
      <c r="AO781" s="82">
        <f>INDEX(LINEST((AV781:AX781),LN(AV780:AX780),TRUE,TRUE),3,1)</f>
        <v>0.97181176353256282</v>
      </c>
      <c r="AP781" s="82">
        <f>INDEX(LINEST((AV781:AX781),LN(AV780:AX780)),1)</f>
        <v>-1.6543225383398377E-2</v>
      </c>
      <c r="AQ781" s="83">
        <f>INDEX(LINEST(LN(AV781:AX781),SQRT(AV780:AX780),TRUE,TRUE),3,1)</f>
        <v>0.88659126363864871</v>
      </c>
      <c r="AR781" s="116">
        <f>INDEX(LINEST(LN(AV781:AX781),SQRT((AV780:AX780))),1)</f>
        <v>-1.9201894334195315E-4</v>
      </c>
      <c r="AS781" s="84">
        <f>INDEX(LINEST(1/(AV781:AX781),1/(SQRT(AV780:AX780)),TRUE,TRUE),3,1)</f>
        <v>0.99608395837045138</v>
      </c>
      <c r="AT781" s="84">
        <f>INDEX(LINEST(1/(AV781:AX781),1/SQRT(AV780:AX780)),1)</f>
        <v>-4.919564619163495</v>
      </c>
      <c r="AU781" s="3"/>
      <c r="AV781" s="53">
        <v>0.97</v>
      </c>
      <c r="AW781" s="53">
        <v>0.91</v>
      </c>
      <c r="AX781" s="53">
        <v>0.91</v>
      </c>
      <c r="AY781" s="42"/>
      <c r="AZ781" s="46"/>
      <c r="BA781" s="42"/>
      <c r="BB781" s="4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1"/>
      <c r="CS781" s="1"/>
      <c r="CT781" s="1"/>
      <c r="CU781" s="1"/>
    </row>
    <row r="782" spans="1:99" s="13" customFormat="1" ht="12" customHeight="1" x14ac:dyDescent="0.2">
      <c r="A782" s="68">
        <v>43978</v>
      </c>
      <c r="B782" s="70"/>
      <c r="C782" s="70"/>
      <c r="D782" s="69"/>
      <c r="E782" s="87"/>
      <c r="F782" s="69"/>
      <c r="G782" s="69"/>
      <c r="H782" s="69"/>
      <c r="I782" s="69"/>
      <c r="J782" s="69"/>
      <c r="K782" s="69"/>
      <c r="L782" s="69"/>
      <c r="M782" s="69"/>
      <c r="N782" s="69"/>
      <c r="O782" s="69"/>
      <c r="P782" s="69"/>
      <c r="Q782" s="69"/>
      <c r="R782" s="69"/>
      <c r="S782" s="69"/>
      <c r="T782" s="69"/>
      <c r="U782" s="69"/>
      <c r="V782" s="69"/>
      <c r="W782" s="69"/>
      <c r="X782" s="69"/>
      <c r="Y782" s="87"/>
      <c r="Z782" s="92"/>
      <c r="AA782" s="69"/>
      <c r="AB782" s="69"/>
      <c r="AC782" s="72"/>
      <c r="AD782" s="69"/>
      <c r="AE782" s="87"/>
      <c r="AF782" s="88"/>
      <c r="AG782" s="72"/>
      <c r="AH782" s="4"/>
      <c r="AI782" s="72"/>
      <c r="AJ782" s="110"/>
      <c r="AK782" s="72"/>
      <c r="AL782" s="72"/>
      <c r="AM782" s="72"/>
      <c r="AN782" s="72"/>
      <c r="AO782" s="89"/>
      <c r="AP782" s="89"/>
      <c r="AQ782" s="90"/>
      <c r="AR782" s="117"/>
      <c r="AS782" s="91"/>
      <c r="AT782" s="91"/>
      <c r="AU782" s="3"/>
      <c r="AV782" s="71">
        <v>30</v>
      </c>
      <c r="AW782" s="71">
        <f>60*30</f>
        <v>1800</v>
      </c>
      <c r="AX782" s="71">
        <f>60*60*24*7*6</f>
        <v>3628800</v>
      </c>
      <c r="AY782" s="53"/>
      <c r="AZ782" s="11" t="s">
        <v>947</v>
      </c>
      <c r="BA782" s="53"/>
      <c r="BB782" s="53"/>
      <c r="BC782" s="53"/>
      <c r="BD782" s="53"/>
      <c r="BE782" s="53"/>
      <c r="BF782" s="53"/>
      <c r="BG782" s="53"/>
      <c r="BH782" s="53"/>
      <c r="BI782" s="53"/>
      <c r="BJ782" s="53"/>
      <c r="BK782" s="53"/>
      <c r="BL782" s="53"/>
      <c r="BM782" s="53"/>
      <c r="BN782" s="53"/>
      <c r="BO782" s="53"/>
      <c r="BP782" s="53"/>
      <c r="BQ782" s="53"/>
      <c r="BR782" s="53"/>
      <c r="BS782" s="53"/>
      <c r="BT782" s="53"/>
      <c r="BU782" s="53"/>
      <c r="BV782" s="53"/>
      <c r="BW782" s="53"/>
      <c r="BX782" s="53"/>
      <c r="BY782" s="53"/>
      <c r="BZ782" s="53"/>
      <c r="CA782" s="53"/>
      <c r="CB782" s="53"/>
      <c r="CC782" s="53"/>
      <c r="CD782" s="53"/>
      <c r="CE782" s="53"/>
      <c r="CF782" s="53"/>
      <c r="CG782" s="53"/>
      <c r="CH782" s="53"/>
      <c r="CI782" s="53"/>
      <c r="CJ782" s="53"/>
      <c r="CK782" s="53"/>
      <c r="CL782" s="53"/>
      <c r="CM782" s="53"/>
      <c r="CN782" s="53"/>
      <c r="CO782" s="53"/>
      <c r="CP782" s="53"/>
      <c r="CQ782" s="53"/>
      <c r="CR782" s="1"/>
      <c r="CS782" s="1"/>
      <c r="CT782" s="1"/>
      <c r="CU782" s="1"/>
    </row>
    <row r="783" spans="1:99" s="13" customFormat="1" ht="12" customHeight="1" x14ac:dyDescent="0.2">
      <c r="A783" s="68">
        <v>43978</v>
      </c>
      <c r="B783" s="70" t="s">
        <v>977</v>
      </c>
      <c r="C783" s="70" t="s">
        <v>360</v>
      </c>
      <c r="D783" s="69">
        <v>2005</v>
      </c>
      <c r="E783" s="87">
        <v>1</v>
      </c>
      <c r="F783" s="69">
        <v>7</v>
      </c>
      <c r="G783" s="69">
        <v>7</v>
      </c>
      <c r="H783" s="69" t="s">
        <v>38</v>
      </c>
      <c r="I783" s="69" t="s">
        <v>330</v>
      </c>
      <c r="J783" s="69" t="s">
        <v>677</v>
      </c>
      <c r="K783" s="69">
        <f>IF(J783="syllables",1,IF(J783="trigrams",2,IF(J783="strings",3,IF(J783="visual array",4,IF(J783="characters",5,IF(J783="letters",6,IF(J783="free forms",7,IF(J783="odors",8,IF(J783="words",9,IF(J783="pictures",10,IF(J783="object pictures",11,IF(J783="faces",12,IF(J783="names",13,IF(J783="idioms",14,IF(J783="grades",15,IF(J783="syllable-digit pairs",16,IF(J783="trigram-word pairs",17,IF(J783="word-digit pairs",18,IF(J783="English-Swahili pairs",19,IF(J783="spatial position",20,IF(J783="word pairs",21,IF(J783="word triads",22,IF(J783="generated words",23,IF(J783="word definition pairs",24,IF(J783="math problems",25,IF(J783="famous faces",26,IF(J783="famous names",27,IF(J783="famous voices",28,IF(J783="television programs",29,IF(J783="race horses",30,IF(J783="new vocabulary",31,IF(J783="sentences",32,IF(J783="concepts",33,IF(J783="ad slides",34,IF(J783="scenes",35,IF(J783="famous scenes",36,IF(J783="poems",37,IF(J783="walk",38,IF(J783="faces and events",39,IF(J783="events and names",40,IF(J783="flashbulb",41,IF(J783="stories",42,IF(J783="course material",43,IF(J783="autobiographical",44,IF(J783="novels",45,IF(J783="public events",46,"99"))))))))))))))))))))))))))))))))))))))))))))))</f>
        <v>42</v>
      </c>
      <c r="L783" s="69">
        <f>IF(J783="syllables",1,IF(J783="trigrams",1,IF(J783="strings",1,IF(J783="visual array",1,IF(J783="characters",1,IF(J783="letters",1,IF(J783="free forms",1,IF(J783="odors",2,IF(J783="words",2,IF(J783="pictures",2,IF(J783="object pictures",2,IF(J783="faces",2,IF(J783="names",2,IF(J783="idioms","2",IF(J783="grades",2,IF(J783="syllable-digit pairs",3,IF(J783="trigram-word pairs",3,IF(J783="word-digit pairs",3,IF(J783="English-Swahili pairs",3,IF(J783="spatial position",3,IF(J783="word pairs",4,IF(J783="word triads",4,IF(J783="generated words",4,IF(J783="word definition pairs",4,IF(J783="math problems",4,IF(J783="famous faces",4,IF(J783="famous names",4,IF(J783="famous voices",4,IF(J783="television programs",4,IF(J783="race horses",4,IF(J783="new vocabulary",4,IF(J783="sentences",5,IF(J783="concepts",5,IF(J783="ad slides",5,IF(J783="scenes",5,IF(J783="famous scenes",5,IF(J783="poems",6,IF(J783="walk",6,IF(J783="faces and events",6,IF(J783="events and names",6,IF(J783="flashbulb",7,IF(J783="stories",7,IF(J783="course material",7,IF(J783="autobiographical",7,IF(J783="novels",7,IF(J783="public events",7,"99"))))))))))))))))))))))))))))))))))))))))))))))</f>
        <v>7</v>
      </c>
      <c r="M783" s="69">
        <v>0</v>
      </c>
      <c r="N783" s="69">
        <v>3</v>
      </c>
      <c r="O783" s="69">
        <v>0</v>
      </c>
      <c r="P783" s="69"/>
      <c r="Q783" s="69" t="s">
        <v>174</v>
      </c>
      <c r="R783" s="69">
        <f>IF(Q783="Free Recall",1,IF(Q783="Cued Recall",2,IF(Q783="Recognition",3,IF(Q783="Multiple Choice",4,IF(Q783="Savings",5,IF(Q783="Stem Completion",6,IF(Q783="Fragment Completion",7,IF(Q783="anagram solution",8,IF(Q783="Matching",9,IF(Q783="Problem Solving",10,"99"))))))))))</f>
        <v>1</v>
      </c>
      <c r="S783" s="69" t="s">
        <v>49</v>
      </c>
      <c r="T783" s="69" t="s">
        <v>581</v>
      </c>
      <c r="U783" s="69">
        <f>IF(T783="within",1,0)</f>
        <v>1</v>
      </c>
      <c r="V783" s="69">
        <v>150</v>
      </c>
      <c r="W783" s="69">
        <f>F783*V783</f>
        <v>1050</v>
      </c>
      <c r="X783" s="69">
        <v>3</v>
      </c>
      <c r="Y783" s="87">
        <f>AV782</f>
        <v>30</v>
      </c>
      <c r="Z783" s="92" t="s">
        <v>160</v>
      </c>
      <c r="AA783" s="69">
        <f>60*60*24*7*6</f>
        <v>3628800</v>
      </c>
      <c r="AB783" s="69" t="str">
        <f>IF(AA783&lt;60,"1",IF(AA783&lt;=43200,"2",IF(AA783&lt;=777600,"3","4")))</f>
        <v>4</v>
      </c>
      <c r="AC783" s="72">
        <f>AVERAGE(AV782:DA782)</f>
        <v>1210210</v>
      </c>
      <c r="AD783" s="69" t="str">
        <f>IF(AC783&lt;60,"1",IF(AC783&lt;=43200,"2",IF(AC783&lt;=777600,"3","4")))</f>
        <v>4</v>
      </c>
      <c r="AE783" s="87">
        <f>AA783-Y783</f>
        <v>3628770</v>
      </c>
      <c r="AF783" s="88">
        <f>AV783</f>
        <v>0.52</v>
      </c>
      <c r="AG783" s="72">
        <f>((AW783-AV783)+(AX783-AW783))/2</f>
        <v>-0.14200000000000002</v>
      </c>
      <c r="AH783" s="4"/>
      <c r="AI783" s="72">
        <f>RSQ(AV783:AX783,AV782:AX782)</f>
        <v>0.98318263243973891</v>
      </c>
      <c r="AJ783" s="110">
        <f>SLOPE(AV783:AX783,AV782:AX782)</f>
        <v>-7.2773693072887726E-8</v>
      </c>
      <c r="AK783" s="72">
        <f>INTERCEPT(AV783:AX783,AV782:AX782)</f>
        <v>0.50007145109373941</v>
      </c>
      <c r="AL783" s="72">
        <f>INDEX(LINEST(LN(AV783:AX783),LN(AV782:AX782),TRUE,TRUE),3,1)</f>
        <v>0.93402970875967029</v>
      </c>
      <c r="AM783" s="72">
        <f>INDEX(LINEST(LN(AV783:AX783),LN(AV782:AX782)),1)</f>
        <v>-7.0763197295137165E-2</v>
      </c>
      <c r="AN783" s="72">
        <f>EXP(INDEX(LINEST(LN(AV783:AX783),LN(AV782:AX782)),1,2))</f>
        <v>0.71846988246412591</v>
      </c>
      <c r="AO783" s="89">
        <f>INDEX(LINEST((AV783:AX783),LN(AV782:AX782),TRUE,TRUE),3,1)</f>
        <v>0.95175457548661024</v>
      </c>
      <c r="AP783" s="89">
        <f>INDEX(LINEST((AV783:AX783),LN(AV782:AX782)),1)</f>
        <v>-2.5252598903831931E-2</v>
      </c>
      <c r="AQ783" s="90">
        <f>INDEX(LINEST(LN(AV783:AX783),SQRT(AV782:AX782),TRUE,TRUE),3,1)</f>
        <v>0.99436214597385386</v>
      </c>
      <c r="AR783" s="117">
        <f>INDEX(LINEST(LN(AV783:AX783),SQRT((AV782:AX782))),1)</f>
        <v>-3.9922483266062773E-4</v>
      </c>
      <c r="AS783" s="91">
        <f>INDEX(LINEST(1/(AV783:AX783),1/(SQRT(AV782:AX782)),TRUE,TRUE),3,1)</f>
        <v>0.41713342774098361</v>
      </c>
      <c r="AT783" s="91">
        <f>INDEX(LINEST(1/(AV783:AX783),1/SQRT(AV782:AX782)),1)</f>
        <v>-8.4202868328174016</v>
      </c>
      <c r="AU783" s="3"/>
      <c r="AV783" s="73">
        <f>26/50</f>
        <v>0.52</v>
      </c>
      <c r="AW783" s="73">
        <f>24/50</f>
        <v>0.48</v>
      </c>
      <c r="AX783" s="73">
        <f>11.8/50</f>
        <v>0.23600000000000002</v>
      </c>
      <c r="AY783" s="53"/>
      <c r="AZ783" s="53"/>
      <c r="BA783" s="53"/>
      <c r="BB783" s="53"/>
      <c r="BC783" s="53"/>
      <c r="BD783" s="53"/>
      <c r="BE783" s="53"/>
      <c r="BF783" s="53"/>
      <c r="BG783" s="53"/>
      <c r="BH783" s="53"/>
      <c r="BI783" s="53"/>
      <c r="BJ783" s="53"/>
      <c r="BK783" s="53"/>
      <c r="BL783" s="53"/>
      <c r="BM783" s="53"/>
      <c r="BN783" s="53"/>
      <c r="BO783" s="53"/>
      <c r="BP783" s="53"/>
      <c r="BQ783" s="53"/>
      <c r="BR783" s="53"/>
      <c r="BS783" s="53"/>
      <c r="BT783" s="53"/>
      <c r="BU783" s="53"/>
      <c r="BV783" s="53"/>
      <c r="BW783" s="53"/>
      <c r="BX783" s="53"/>
      <c r="BY783" s="53"/>
      <c r="BZ783" s="53"/>
      <c r="CA783" s="53"/>
      <c r="CB783" s="53"/>
      <c r="CC783" s="53"/>
      <c r="CD783" s="53"/>
      <c r="CE783" s="53"/>
      <c r="CF783" s="53"/>
      <c r="CG783" s="53"/>
      <c r="CH783" s="53"/>
      <c r="CI783" s="53"/>
      <c r="CJ783" s="53"/>
      <c r="CK783" s="53"/>
      <c r="CL783" s="53"/>
      <c r="CM783" s="53"/>
      <c r="CN783" s="53"/>
      <c r="CO783" s="53"/>
      <c r="CP783" s="53"/>
      <c r="CQ783" s="53"/>
      <c r="CR783" s="1"/>
      <c r="CS783" s="1"/>
      <c r="CT783" s="1"/>
      <c r="CU783" s="1"/>
    </row>
    <row r="784" spans="1:99" s="13" customFormat="1" ht="12" customHeight="1" x14ac:dyDescent="0.2">
      <c r="A784" s="68">
        <v>43978</v>
      </c>
      <c r="B784" s="70"/>
      <c r="C784" s="70"/>
      <c r="D784" s="69"/>
      <c r="E784" s="87"/>
      <c r="F784" s="69"/>
      <c r="G784" s="69"/>
      <c r="H784" s="69"/>
      <c r="I784" s="69"/>
      <c r="J784" s="69"/>
      <c r="K784" s="69"/>
      <c r="L784" s="69"/>
      <c r="M784" s="69"/>
      <c r="N784" s="69"/>
      <c r="O784" s="69"/>
      <c r="P784" s="69"/>
      <c r="Q784" s="69"/>
      <c r="R784" s="69"/>
      <c r="S784" s="69"/>
      <c r="T784" s="69"/>
      <c r="U784" s="69"/>
      <c r="V784" s="69"/>
      <c r="W784" s="69"/>
      <c r="X784" s="69"/>
      <c r="Y784" s="87"/>
      <c r="Z784" s="92"/>
      <c r="AA784" s="69"/>
      <c r="AB784" s="69"/>
      <c r="AC784" s="72"/>
      <c r="AD784" s="69"/>
      <c r="AE784" s="87"/>
      <c r="AF784" s="88"/>
      <c r="AG784" s="72"/>
      <c r="AH784" s="4"/>
      <c r="AI784" s="72"/>
      <c r="AJ784" s="110"/>
      <c r="AK784" s="72"/>
      <c r="AL784" s="72"/>
      <c r="AM784" s="72"/>
      <c r="AN784" s="72"/>
      <c r="AO784" s="89"/>
      <c r="AP784" s="89"/>
      <c r="AQ784" s="90"/>
      <c r="AR784" s="117"/>
      <c r="AS784" s="91"/>
      <c r="AT784" s="91"/>
      <c r="AU784" s="3"/>
      <c r="AV784" s="71">
        <v>30</v>
      </c>
      <c r="AW784" s="71">
        <f>60*30</f>
        <v>1800</v>
      </c>
      <c r="AX784" s="71">
        <f>60*60*24*7*6</f>
        <v>3628800</v>
      </c>
      <c r="AY784" s="53"/>
      <c r="AZ784" s="53"/>
      <c r="BA784" s="53"/>
      <c r="BB784" s="53"/>
      <c r="BC784" s="53"/>
      <c r="BD784" s="53"/>
      <c r="BE784" s="53"/>
      <c r="BF784" s="53"/>
      <c r="BG784" s="53"/>
      <c r="BH784" s="53"/>
      <c r="BI784" s="53"/>
      <c r="BJ784" s="53"/>
      <c r="BK784" s="53"/>
      <c r="BL784" s="53"/>
      <c r="BM784" s="53"/>
      <c r="BN784" s="53"/>
      <c r="BO784" s="53"/>
      <c r="BP784" s="53"/>
      <c r="BQ784" s="53"/>
      <c r="BR784" s="53"/>
      <c r="BS784" s="53"/>
      <c r="BT784" s="53"/>
      <c r="BU784" s="53"/>
      <c r="BV784" s="53"/>
      <c r="BW784" s="53"/>
      <c r="BX784" s="53"/>
      <c r="BY784" s="53"/>
      <c r="BZ784" s="53"/>
      <c r="CA784" s="53"/>
      <c r="CB784" s="53"/>
      <c r="CC784" s="53"/>
      <c r="CD784" s="53"/>
      <c r="CE784" s="53"/>
      <c r="CF784" s="53"/>
      <c r="CG784" s="53"/>
      <c r="CH784" s="53"/>
      <c r="CI784" s="53"/>
      <c r="CJ784" s="53"/>
      <c r="CK784" s="53"/>
      <c r="CL784" s="53"/>
      <c r="CM784" s="53"/>
      <c r="CN784" s="53"/>
      <c r="CO784" s="53"/>
      <c r="CP784" s="53"/>
      <c r="CQ784" s="53"/>
      <c r="CR784" s="1"/>
      <c r="CS784" s="1"/>
      <c r="CT784" s="1"/>
      <c r="CU784" s="1"/>
    </row>
    <row r="785" spans="1:99" s="13" customFormat="1" ht="12" customHeight="1" x14ac:dyDescent="0.2">
      <c r="A785" s="68">
        <v>43978</v>
      </c>
      <c r="B785" s="70" t="s">
        <v>977</v>
      </c>
      <c r="C785" s="70" t="s">
        <v>360</v>
      </c>
      <c r="D785" s="69">
        <v>2005</v>
      </c>
      <c r="E785" s="87">
        <v>1</v>
      </c>
      <c r="F785" s="69">
        <v>7</v>
      </c>
      <c r="G785" s="69">
        <v>7</v>
      </c>
      <c r="H785" s="69" t="s">
        <v>38</v>
      </c>
      <c r="I785" s="69" t="s">
        <v>330</v>
      </c>
      <c r="J785" s="69" t="s">
        <v>317</v>
      </c>
      <c r="K785" s="69">
        <f>IF(J785="syllables",1,IF(J785="trigrams",2,IF(J785="strings",3,IF(J785="visual array",4,IF(J785="characters",5,IF(J785="letters",6,IF(J785="free forms",7,IF(J785="odors",8,IF(J785="words",9,IF(J785="pictures",10,IF(J785="object pictures",11,IF(J785="faces",12,IF(J785="names",13,IF(J785="idioms",14,IF(J785="grades",15,IF(J785="syllable-digit pairs",16,IF(J785="trigram-word pairs",17,IF(J785="word-digit pairs",18,IF(J785="English-Swahili pairs",19,IF(J785="spatial position",20,IF(J785="word pairs",21,IF(J785="word triads",22,IF(J785="generated words",23,IF(J785="word definition pairs",24,IF(J785="math problems",25,IF(J785="famous faces",26,IF(J785="famous names",27,IF(J785="famous voices",28,IF(J785="television programs",29,IF(J785="race horses",30,IF(J785="new vocabulary",31,IF(J785="sentences",32,IF(J785="concepts",33,IF(J785="ad slides",34,IF(J785="scenes",35,IF(J785="famous scenes",36,IF(J785="poems",37,IF(J785="walk",38,IF(J785="faces and events",39,IF(J785="events and names",40,IF(J785="flashbulb",41,IF(J785="stories",42,IF(J785="course material",43,IF(J785="autobiographical",44,IF(J785="novels",45,IF(J785="public events",46,"99"))))))))))))))))))))))))))))))))))))))))))))))</f>
        <v>7</v>
      </c>
      <c r="L785" s="69">
        <f>IF(J785="syllables",1,IF(J785="trigrams",1,IF(J785="strings",1,IF(J785="visual array",1,IF(J785="characters",1,IF(J785="letters",1,IF(J785="free forms",1,IF(J785="odors",2,IF(J785="words",2,IF(J785="pictures",2,IF(J785="object pictures",2,IF(J785="faces",2,IF(J785="names",2,IF(J785="idioms","2",IF(J785="grades",2,IF(J785="syllable-digit pairs",3,IF(J785="trigram-word pairs",3,IF(J785="word-digit pairs",3,IF(J785="English-Swahili pairs",3,IF(J785="spatial position",3,IF(J785="word pairs",4,IF(J785="word triads",4,IF(J785="generated words",4,IF(J785="word definition pairs",4,IF(J785="math problems",4,IF(J785="famous faces",4,IF(J785="famous names",4,IF(J785="famous voices",4,IF(J785="television programs",4,IF(J785="race horses",4,IF(J785="new vocabulary",4,IF(J785="sentences",5,IF(J785="concepts",5,IF(J785="ad slides",5,IF(J785="scenes",5,IF(J785="famous scenes",5,IF(J785="poems",6,IF(J785="walk",6,IF(J785="faces and events",6,IF(J785="events and names",6,IF(J785="flashbulb",7,IF(J785="stories",7,IF(J785="course material",7,IF(J785="autobiographical",7,IF(J785="novels",7,IF(J785="public events",7,"99"))))))))))))))))))))))))))))))))))))))))))))))</f>
        <v>1</v>
      </c>
      <c r="M785" s="69">
        <v>0</v>
      </c>
      <c r="N785" s="69">
        <v>1</v>
      </c>
      <c r="O785" s="69">
        <v>0</v>
      </c>
      <c r="P785" s="69"/>
      <c r="Q785" s="69" t="s">
        <v>174</v>
      </c>
      <c r="R785" s="69">
        <f>IF(Q785="Free Recall",1,IF(Q785="Cued Recall",2,IF(Q785="Recognition",3,IF(Q785="Multiple Choice",4,IF(Q785="Savings",5,IF(Q785="Stem Completion",6,IF(Q785="Fragment Completion",7,IF(Q785="anagram solution",8,IF(Q785="Matching",9,IF(Q785="Problem Solving",10,"99"))))))))))</f>
        <v>1</v>
      </c>
      <c r="S785" s="69" t="s">
        <v>49</v>
      </c>
      <c r="T785" s="69" t="s">
        <v>581</v>
      </c>
      <c r="U785" s="69">
        <f>IF(T785="within",1,0)</f>
        <v>1</v>
      </c>
      <c r="V785" s="69">
        <f>3*41</f>
        <v>123</v>
      </c>
      <c r="W785" s="69">
        <f>F785*V785</f>
        <v>861</v>
      </c>
      <c r="X785" s="69">
        <v>3</v>
      </c>
      <c r="Y785" s="87">
        <f>AV784</f>
        <v>30</v>
      </c>
      <c r="Z785" s="92" t="s">
        <v>160</v>
      </c>
      <c r="AA785" s="69">
        <f>60*60*24*7*6</f>
        <v>3628800</v>
      </c>
      <c r="AB785" s="69" t="str">
        <f>IF(AA785&lt;60,"1",IF(AA785&lt;=43200,"2",IF(AA785&lt;=777600,"3","4")))</f>
        <v>4</v>
      </c>
      <c r="AC785" s="72">
        <f>AVERAGE(AV784:DA784)</f>
        <v>1210210</v>
      </c>
      <c r="AD785" s="69" t="str">
        <f>IF(AC785&lt;60,"1",IF(AC785&lt;=43200,"2",IF(AC785&lt;=777600,"3","4")))</f>
        <v>4</v>
      </c>
      <c r="AE785" s="87">
        <f>AA785-Y785</f>
        <v>3628770</v>
      </c>
      <c r="AF785" s="88">
        <f>AV785</f>
        <v>0.73170731707317072</v>
      </c>
      <c r="AG785" s="72">
        <f>((AW785-AV785)+(AX785-AW785))/2</f>
        <v>-0.32560975609756093</v>
      </c>
      <c r="AH785" s="4"/>
      <c r="AI785" s="72">
        <f>RSQ(AV785:AX785,AV784:AX784)</f>
        <v>0.82260380987301007</v>
      </c>
      <c r="AJ785" s="110">
        <f>SLOPE(AV785:AX785,AV784:AX784)</f>
        <v>-1.4154676689074929E-7</v>
      </c>
      <c r="AK785" s="72">
        <f>INTERCEPT(AV785:AX785,AV784:AX784)</f>
        <v>0.59406554040113013</v>
      </c>
      <c r="AL785" s="72">
        <f>INDEX(LINEST(LN(AV785:AX785),LN(AV784:AX784),TRUE,TRUE),3,1)</f>
        <v>0.97850438785155369</v>
      </c>
      <c r="AM785" s="72">
        <f>INDEX(LINEST(LN(AV785:AX785),LN(AV784:AX784)),1)</f>
        <v>-0.193578675770681</v>
      </c>
      <c r="AN785" s="72">
        <f>EXP(INDEX(LINEST(LN(AV785:AX785),LN(AV784:AX784)),1,2))</f>
        <v>1.6033019834392768</v>
      </c>
      <c r="AO785" s="89">
        <f>INDEX(LINEST((AV785:AX785),LN(AV784:AX784),TRUE,TRUE),3,1)</f>
        <v>0.99308567567686457</v>
      </c>
      <c r="AP785" s="89">
        <f>INDEX(LINEST((AV785:AX785),LN(AV784:AX784)),1)</f>
        <v>-5.4850959992760059E-2</v>
      </c>
      <c r="AQ785" s="90">
        <f>INDEX(LINEST(LN(AV785:AX785),SQRT(AV784:AX784),TRUE,TRUE),3,1)</f>
        <v>0.96515473809531616</v>
      </c>
      <c r="AR785" s="117">
        <f>INDEX(LINEST(LN(AV785:AX785),SQRT((AV784:AX784))),1)</f>
        <v>-1.0512179137722273E-3</v>
      </c>
      <c r="AS785" s="91">
        <f>INDEX(LINEST(1/(AV785:AX785),1/(SQRT(AV784:AX784)),TRUE,TRUE),3,1)</f>
        <v>0.42211355548581286</v>
      </c>
      <c r="AT785" s="91">
        <f>INDEX(LINEST(1/(AV785:AX785),1/SQRT(AV784:AX784)),1)</f>
        <v>-40.371780178974021</v>
      </c>
      <c r="AU785" s="3"/>
      <c r="AV785" s="73">
        <f>30/41</f>
        <v>0.73170731707317072</v>
      </c>
      <c r="AW785" s="73">
        <f>18.7/41</f>
        <v>0.45609756097560972</v>
      </c>
      <c r="AX785" s="73">
        <f>3.3/41</f>
        <v>8.0487804878048783E-2</v>
      </c>
      <c r="AY785" s="53"/>
      <c r="AZ785" s="53"/>
      <c r="BA785" s="53"/>
      <c r="BB785" s="53"/>
      <c r="BC785" s="53"/>
      <c r="BD785" s="53"/>
      <c r="BE785" s="53"/>
      <c r="BF785" s="53"/>
      <c r="BG785" s="53"/>
      <c r="BH785" s="53"/>
      <c r="BI785" s="53"/>
      <c r="BJ785" s="53"/>
      <c r="BK785" s="53"/>
      <c r="BL785" s="53"/>
      <c r="BM785" s="53"/>
      <c r="BN785" s="53"/>
      <c r="BO785" s="53"/>
      <c r="BP785" s="53"/>
      <c r="BQ785" s="53"/>
      <c r="BR785" s="53"/>
      <c r="BS785" s="53"/>
      <c r="BT785" s="53"/>
      <c r="BU785" s="53"/>
      <c r="BV785" s="53"/>
      <c r="BW785" s="53"/>
      <c r="BX785" s="53"/>
      <c r="BY785" s="53"/>
      <c r="BZ785" s="53"/>
      <c r="CA785" s="53"/>
      <c r="CB785" s="53"/>
      <c r="CC785" s="53"/>
      <c r="CD785" s="53"/>
      <c r="CE785" s="53"/>
      <c r="CF785" s="53"/>
      <c r="CG785" s="53"/>
      <c r="CH785" s="53"/>
      <c r="CI785" s="53"/>
      <c r="CJ785" s="53"/>
      <c r="CK785" s="53"/>
      <c r="CL785" s="53"/>
      <c r="CM785" s="53"/>
      <c r="CN785" s="53"/>
      <c r="CO785" s="53"/>
      <c r="CP785" s="53"/>
      <c r="CQ785" s="53"/>
      <c r="CR785" s="1"/>
      <c r="CS785" s="1"/>
      <c r="CT785" s="1"/>
      <c r="CU785" s="1"/>
    </row>
    <row r="786" spans="1:99" s="13" customFormat="1" ht="12" customHeight="1" x14ac:dyDescent="0.2">
      <c r="A786" s="65">
        <v>43896</v>
      </c>
      <c r="B786" s="1"/>
      <c r="C786" s="1"/>
      <c r="D786" s="60"/>
      <c r="E786" s="76"/>
      <c r="F786" s="60"/>
      <c r="G786" s="60"/>
      <c r="H786" s="60"/>
      <c r="I786" s="60"/>
      <c r="J786" s="60"/>
      <c r="K786" s="64"/>
      <c r="L786" s="64"/>
      <c r="M786" s="60"/>
      <c r="N786" s="59"/>
      <c r="O786" s="60"/>
      <c r="P786" s="60"/>
      <c r="Q786" s="60"/>
      <c r="R786" s="60"/>
      <c r="S786" s="60"/>
      <c r="T786" s="60"/>
      <c r="U786" s="60"/>
      <c r="V786" s="60"/>
      <c r="W786" s="60"/>
      <c r="X786" s="60"/>
      <c r="Y786" s="76"/>
      <c r="Z786" s="60"/>
      <c r="AA786" s="60"/>
      <c r="AB786" s="60"/>
      <c r="AC786" s="56"/>
      <c r="AD786" s="60"/>
      <c r="AE786" s="60"/>
      <c r="AF786" s="80"/>
      <c r="AG786" s="56"/>
      <c r="AH786" s="4"/>
      <c r="AI786" s="56"/>
      <c r="AJ786" s="109"/>
      <c r="AK786" s="56"/>
      <c r="AL786" s="56"/>
      <c r="AM786" s="56"/>
      <c r="AN786" s="56"/>
      <c r="AO786" s="82"/>
      <c r="AP786" s="82"/>
      <c r="AQ786" s="83"/>
      <c r="AR786" s="116"/>
      <c r="AS786" s="84"/>
      <c r="AT786" s="84"/>
      <c r="AU786" s="3"/>
      <c r="AV786" s="25">
        <v>94608000</v>
      </c>
      <c r="AW786" s="25">
        <v>409968000</v>
      </c>
      <c r="AX786" s="25">
        <v>725328000</v>
      </c>
      <c r="AY786" s="25">
        <v>1040688000</v>
      </c>
      <c r="AZ786" s="25">
        <v>1324512000</v>
      </c>
      <c r="BA786" s="42"/>
      <c r="BB786" s="42"/>
      <c r="BC786" s="28"/>
      <c r="BD786" s="28"/>
      <c r="BE786" s="28"/>
      <c r="BF786" s="28"/>
      <c r="BG786" s="28"/>
      <c r="BH786" s="28"/>
      <c r="BI786" s="28"/>
      <c r="BJ786" s="28"/>
      <c r="BK786" s="28"/>
      <c r="BL786" s="28"/>
      <c r="BM786" s="28"/>
      <c r="BN786" s="28"/>
      <c r="BO786" s="28"/>
      <c r="BP786" s="28"/>
      <c r="BQ786" s="28"/>
      <c r="BR786" s="28"/>
      <c r="BS786" s="28"/>
      <c r="BT786" s="28"/>
      <c r="BU786" s="28"/>
      <c r="BV786" s="28"/>
      <c r="BW786" s="28"/>
      <c r="BX786" s="28"/>
      <c r="BY786" s="28"/>
      <c r="BZ786" s="28"/>
      <c r="CA786" s="28"/>
      <c r="CB786" s="28"/>
      <c r="CC786" s="28"/>
      <c r="CD786" s="28"/>
      <c r="CE786" s="28"/>
      <c r="CF786" s="28"/>
      <c r="CG786" s="28"/>
      <c r="CH786" s="28"/>
      <c r="CI786" s="28"/>
      <c r="CJ786" s="28"/>
      <c r="CK786" s="28"/>
      <c r="CL786" s="28"/>
      <c r="CM786" s="28"/>
      <c r="CN786" s="28"/>
      <c r="CO786" s="28"/>
      <c r="CP786" s="28"/>
      <c r="CQ786" s="28"/>
      <c r="CR786" s="1"/>
      <c r="CS786" s="1"/>
      <c r="CT786" s="1"/>
      <c r="CU786" s="1"/>
    </row>
    <row r="787" spans="1:99" s="13" customFormat="1" ht="12" customHeight="1" x14ac:dyDescent="0.2">
      <c r="A787" s="65">
        <v>43896</v>
      </c>
      <c r="B787" s="1" t="s">
        <v>359</v>
      </c>
      <c r="C787" s="1" t="s">
        <v>360</v>
      </c>
      <c r="D787" s="60">
        <v>1993</v>
      </c>
      <c r="E787" s="76">
        <v>1</v>
      </c>
      <c r="F787" s="60">
        <v>5</v>
      </c>
      <c r="G787" s="60">
        <v>5</v>
      </c>
      <c r="H787" s="60" t="s">
        <v>22</v>
      </c>
      <c r="I787" s="60" t="s">
        <v>330</v>
      </c>
      <c r="J787" s="60" t="s">
        <v>342</v>
      </c>
      <c r="K787" s="60">
        <f>IF(J787="syllables",1,IF(J787="trigrams",2,IF(J787="strings",3,IF(J787="visual array",4,IF(J787="characters",5,IF(J787="letters",6,IF(J787="free forms",7,IF(J787="odors",8,IF(J787="words",9,IF(J787="pictures",10,IF(J787="object pictures",11,IF(J787="faces",12,IF(J787="names",13,IF(J787="idioms",14,IF(J787="grades",15,IF(J787="syllable-digit pairs",16,IF(J787="trigram-word pairs",17,IF(J787="word-digit pairs",18,IF(J787="English-Swahili pairs",19,IF(J787="spatial position",20,IF(J787="word pairs",21,IF(J787="word triads",22,IF(J787="generated words",23,IF(J787="word definition pairs",24,IF(J787="math problems",25,IF(J787="famous faces",26,IF(J787="famous names",27,IF(J787="famous voices",28,IF(J787="television programs",29,IF(J787="race horses",30,IF(J787="new vocabulary",31,IF(J787="sentences",32,IF(J787="concepts",33,IF(J787="ad slides",34,IF(J787="scenes",35,IF(J787="famous scenes",36,IF(J787="poems",37,IF(J787="walk",38,IF(J787="faces and events",39,IF(J787="events and names",40,IF(J787="flashbulb",41,IF(J787="stories",42,IF(J787="course material",43,IF(J787="autobiographical",44,IF(J787="novels",45,IF(J787="public events",46,"99"))))))))))))))))))))))))))))))))))))))))))))))</f>
        <v>26</v>
      </c>
      <c r="L787" s="60">
        <f>IF(J787="syllables",1,IF(J787="trigrams",1,IF(J787="strings",1,IF(J787="visual array",1,IF(J787="characters",1,IF(J787="letters",1,IF(J787="free forms",1,IF(J787="odors",2,IF(J787="words",2,IF(J787="pictures",2,IF(J787="object pictures",2,IF(J787="faces",2,IF(J787="names",2,IF(J787="idioms","2",IF(J787="grades",2,IF(J787="syllable-digit pairs",3,IF(J787="trigram-word pairs",3,IF(J787="word-digit pairs",3,IF(J787="English-Swahili pairs",3,IF(J787="spatial position",3,IF(J787="word pairs",4,IF(J787="word triads",4,IF(J787="generated words",4,IF(J787="word definition pairs",4,IF(J787="math problems",4,IF(J787="famous faces",4,IF(J787="famous names",4,IF(J787="famous voices",4,IF(J787="television programs",4,IF(J787="race horses",4,IF(J787="new vocabulary",4,IF(J787="sentences",5,IF(J787="concepts",5,IF(J787="ad slides",5,IF(J787="scenes",5,IF(J787="famous scenes",5,IF(J787="poems",6,IF(J787="walk",6,IF(J787="faces and events",6,IF(J787="events and names",6,IF(J787="flashbulb",7,IF(J787="stories",7,IF(J787="course material",7,IF(J787="autobiographical",7,IF(J787="novels",7,IF(J787="public events",7,"99"))))))))))))))))))))))))))))))))))))))))))))))</f>
        <v>4</v>
      </c>
      <c r="M787" s="60">
        <v>1</v>
      </c>
      <c r="N787" s="61">
        <v>2</v>
      </c>
      <c r="O787" s="60">
        <v>0</v>
      </c>
      <c r="P787" s="60"/>
      <c r="Q787" s="60" t="s">
        <v>174</v>
      </c>
      <c r="R787" s="60">
        <f>IF(Q787="Free Recall",1,IF(Q787="Cued Recall",2,IF(Q787="Recognition",3,IF(Q787="Multiple Choice",4,IF(Q787="Savings",5,IF(Q787="Stem Completion",6,IF(Q787="Fragment Completion",7,IF(Q787="anagram solution",8,IF(Q787="Matching",9,IF(Q787="Problem Solving",10,"99"))))))))))</f>
        <v>1</v>
      </c>
      <c r="S787" s="60" t="s">
        <v>49</v>
      </c>
      <c r="T787" s="59" t="s">
        <v>581</v>
      </c>
      <c r="U787" s="60">
        <f>IF(T787="within",1,0)</f>
        <v>1</v>
      </c>
      <c r="V787" s="59">
        <v>100</v>
      </c>
      <c r="W787" s="60">
        <f>F787*V787</f>
        <v>500</v>
      </c>
      <c r="X787" s="60">
        <v>5</v>
      </c>
      <c r="Y787" s="76">
        <f>AV786</f>
        <v>94608000</v>
      </c>
      <c r="Z787" s="59" t="s">
        <v>426</v>
      </c>
      <c r="AA787" s="60">
        <f>43*365*24*60*60</f>
        <v>1356048000</v>
      </c>
      <c r="AB787" s="60" t="str">
        <f>IF(AA787&lt;60,"1",IF(AA787&lt;=43200,"2",IF(AA787&lt;=777600,"3","4")))</f>
        <v>4</v>
      </c>
      <c r="AC787" s="56">
        <f>AVERAGE(AV786:DA786)</f>
        <v>719020800</v>
      </c>
      <c r="AD787" s="60" t="str">
        <f>IF(AC787&lt;60,"1",IF(AC787&lt;=43200,"2",IF(AC787&lt;=777600,"3","4")))</f>
        <v>4</v>
      </c>
      <c r="AE787" s="76">
        <f>AA787-Y787</f>
        <v>1261440000</v>
      </c>
      <c r="AF787" s="80">
        <f>AV787</f>
        <v>0.75</v>
      </c>
      <c r="AG787" s="56">
        <f>((AW787-AV787)+(AX787-AW787)+(AY787-AX787)+(AZ787-AY787))/4</f>
        <v>4.9999999999999989E-2</v>
      </c>
      <c r="AH787" s="4"/>
      <c r="AI787" s="56">
        <f>RSQ(AV787:AZ787,AV786:AZ786)</f>
        <v>0.43168247951268679</v>
      </c>
      <c r="AJ787" s="109">
        <f>SLOPE(AV787:AZ787,AV786:AZ786)</f>
        <v>1.3102401558653764E-10</v>
      </c>
      <c r="AK787" s="56">
        <f>INTERCEPT(AV787:AZ787,AV786:AZ786)</f>
        <v>0.82579100749375534</v>
      </c>
      <c r="AL787" s="56">
        <f>INDEX(LINEST(LN(AV787:AZ787),LN(AV786:AZ786),TRUE,TRUE),3,1)</f>
        <v>0.77370983798272308</v>
      </c>
      <c r="AM787" s="56">
        <f>INDEX(LINEST(LN(AV787:AZ787),LN(AV786:AZ786)),1)</f>
        <v>9.5021670512148812E-2</v>
      </c>
      <c r="AN787" s="56">
        <f>EXP(INDEX(LINEST(LN(AV787:AZ787),LN(AV786:AZ786)),1,2))</f>
        <v>0.13591716677680632</v>
      </c>
      <c r="AO787" s="82">
        <f>INDEX(LINEST((AV787:AZ787),LN(AV786:AZ786),TRUE,TRUE),3,1)</f>
        <v>0.76212567263850306</v>
      </c>
      <c r="AP787" s="82">
        <f>INDEX(LINEST((AV787:AZ787),LN(AV786:AZ786)),1)</f>
        <v>8.0884895080563027E-2</v>
      </c>
      <c r="AQ787" s="83">
        <f>INDEX(LINEST(LN(AV787:AZ787),SQRT(AV786:AZ786),TRUE,TRUE),3,1)</f>
        <v>0.60934441739355427</v>
      </c>
      <c r="AR787" s="116">
        <f>INDEX(LINEST(LN(AV787:AZ787),SQRT((AV786:AZ786))),1)</f>
        <v>8.438514801178145E-6</v>
      </c>
      <c r="AS787" s="84">
        <f>INDEX(LINEST(1/(AV787:AZ787),1/(SQRT(AV786:AZ786)),TRUE,TRUE),3,1)</f>
        <v>0.89487980767166053</v>
      </c>
      <c r="AT787" s="84">
        <f>INDEX(LINEST(1/(AV787:AZ787),1/SQRT(AV786:AZ786)),1)</f>
        <v>4081.6907708299091</v>
      </c>
      <c r="AU787" s="3"/>
      <c r="AV787" s="26">
        <v>0.75</v>
      </c>
      <c r="AW787" s="27">
        <v>0.95</v>
      </c>
      <c r="AX787" s="27">
        <v>1</v>
      </c>
      <c r="AY787" s="27">
        <v>0.95</v>
      </c>
      <c r="AZ787" s="27">
        <v>0.95</v>
      </c>
      <c r="BA787" s="42"/>
      <c r="BB787" s="42"/>
      <c r="BC787" s="28"/>
      <c r="BD787" s="28"/>
      <c r="BE787" s="28"/>
      <c r="BF787" s="28"/>
      <c r="BG787" s="28"/>
      <c r="BH787" s="28"/>
      <c r="BI787" s="28"/>
      <c r="BJ787" s="28"/>
      <c r="BK787" s="28"/>
      <c r="BL787" s="28"/>
      <c r="BM787" s="28"/>
      <c r="BN787" s="28"/>
      <c r="BO787" s="28"/>
      <c r="BP787" s="28"/>
      <c r="BQ787" s="28"/>
      <c r="BR787" s="28"/>
      <c r="BS787" s="28"/>
      <c r="BT787" s="28"/>
      <c r="BU787" s="28"/>
      <c r="BV787" s="28"/>
      <c r="BW787" s="28"/>
      <c r="BX787" s="28"/>
      <c r="BY787" s="28"/>
      <c r="BZ787" s="28"/>
      <c r="CA787" s="28"/>
      <c r="CB787" s="28"/>
      <c r="CC787" s="28"/>
      <c r="CD787" s="28"/>
      <c r="CE787" s="28"/>
      <c r="CF787" s="28"/>
      <c r="CG787" s="28"/>
      <c r="CH787" s="28"/>
      <c r="CI787" s="28"/>
      <c r="CJ787" s="28"/>
      <c r="CK787" s="28"/>
      <c r="CL787" s="28"/>
      <c r="CM787" s="28"/>
      <c r="CN787" s="28"/>
      <c r="CO787" s="28"/>
      <c r="CP787" s="28"/>
      <c r="CQ787" s="28"/>
      <c r="CR787" s="1"/>
      <c r="CS787" s="1"/>
      <c r="CT787" s="1"/>
      <c r="CU787" s="1"/>
    </row>
    <row r="788" spans="1:99" s="13" customFormat="1" ht="12" customHeight="1" x14ac:dyDescent="0.2">
      <c r="A788" s="68">
        <v>43896</v>
      </c>
      <c r="B788" s="70"/>
      <c r="C788" s="67"/>
      <c r="D788" s="86"/>
      <c r="E788" s="87"/>
      <c r="F788" s="69"/>
      <c r="G788" s="69"/>
      <c r="H788" s="69"/>
      <c r="I788" s="69"/>
      <c r="J788" s="69"/>
      <c r="K788" s="107"/>
      <c r="L788" s="107"/>
      <c r="M788" s="69"/>
      <c r="N788" s="92"/>
      <c r="O788" s="69"/>
      <c r="P788" s="69"/>
      <c r="Q788" s="69"/>
      <c r="R788" s="69"/>
      <c r="S788" s="69"/>
      <c r="T788" s="69"/>
      <c r="U788" s="69"/>
      <c r="V788" s="69"/>
      <c r="W788" s="69"/>
      <c r="X788" s="69"/>
      <c r="Y788" s="87"/>
      <c r="Z788" s="69"/>
      <c r="AA788" s="69"/>
      <c r="AB788" s="69"/>
      <c r="AC788" s="72"/>
      <c r="AD788" s="69"/>
      <c r="AE788" s="69"/>
      <c r="AF788" s="88"/>
      <c r="AG788" s="72"/>
      <c r="AH788" s="4"/>
      <c r="AI788" s="72"/>
      <c r="AJ788" s="110"/>
      <c r="AK788" s="72"/>
      <c r="AL788" s="72"/>
      <c r="AM788" s="72"/>
      <c r="AN788" s="72"/>
      <c r="AO788" s="72"/>
      <c r="AP788" s="72"/>
      <c r="AQ788" s="72"/>
      <c r="AR788" s="110"/>
      <c r="AS788" s="72"/>
      <c r="AT788" s="72"/>
      <c r="AU788" s="5"/>
      <c r="AV788" s="71">
        <v>157680000</v>
      </c>
      <c r="AW788" s="71">
        <v>473040000</v>
      </c>
      <c r="AX788" s="71">
        <v>788400000</v>
      </c>
      <c r="AY788" s="42"/>
      <c r="AZ788" s="46"/>
      <c r="BA788" s="42"/>
      <c r="BB788" s="42"/>
      <c r="BC788" s="24"/>
      <c r="BD788" s="24"/>
      <c r="BE788" s="24"/>
      <c r="BF788" s="24"/>
      <c r="BG788" s="24"/>
      <c r="BH788" s="24"/>
      <c r="BI788" s="24"/>
      <c r="BJ788" s="24"/>
      <c r="BK788" s="24"/>
      <c r="BL788" s="24"/>
      <c r="BM788" s="24"/>
      <c r="BN788" s="24"/>
      <c r="BO788" s="24"/>
      <c r="BP788" s="24"/>
      <c r="BQ788" s="24"/>
      <c r="BR788" s="24"/>
      <c r="BS788" s="24"/>
      <c r="BT788" s="24"/>
      <c r="BU788" s="24"/>
      <c r="BV788" s="24"/>
      <c r="BW788" s="24"/>
      <c r="BX788" s="24"/>
      <c r="BY788" s="24"/>
      <c r="BZ788" s="24"/>
      <c r="CA788" s="24"/>
      <c r="CB788" s="24"/>
      <c r="CC788" s="24"/>
      <c r="CD788" s="24"/>
      <c r="CE788" s="24"/>
      <c r="CF788" s="24"/>
      <c r="CG788" s="24"/>
      <c r="CH788" s="24"/>
      <c r="CI788" s="24"/>
      <c r="CJ788" s="24"/>
      <c r="CK788" s="24"/>
      <c r="CL788" s="24"/>
      <c r="CM788" s="24"/>
      <c r="CN788" s="24"/>
      <c r="CO788" s="24"/>
      <c r="CP788" s="24"/>
      <c r="CQ788" s="24"/>
      <c r="CR788" s="1"/>
      <c r="CS788" s="1"/>
      <c r="CT788" s="1"/>
      <c r="CU788" s="1"/>
    </row>
    <row r="789" spans="1:99" s="13" customFormat="1" ht="12" customHeight="1" x14ac:dyDescent="0.2">
      <c r="A789" s="68">
        <v>43896</v>
      </c>
      <c r="B789" s="70" t="s">
        <v>351</v>
      </c>
      <c r="C789" s="70" t="s">
        <v>361</v>
      </c>
      <c r="D789" s="69">
        <v>1997</v>
      </c>
      <c r="E789" s="87">
        <v>1</v>
      </c>
      <c r="F789" s="69">
        <v>6</v>
      </c>
      <c r="G789" s="69">
        <v>6</v>
      </c>
      <c r="H789" s="69" t="s">
        <v>38</v>
      </c>
      <c r="I789" s="69" t="s">
        <v>330</v>
      </c>
      <c r="J789" s="69" t="s">
        <v>342</v>
      </c>
      <c r="K789" s="69">
        <f>IF(J789="syllables",1,IF(J789="trigrams",2,IF(J789="strings",3,IF(J789="visual array",4,IF(J789="characters",5,IF(J789="letters",6,IF(J789="free forms",7,IF(J789="odors",8,IF(J789="words",9,IF(J789="pictures",10,IF(J789="object pictures",11,IF(J789="faces",12,IF(J789="names",13,IF(J789="idioms",14,IF(J789="grades",15,IF(J789="syllable-digit pairs",16,IF(J789="trigram-word pairs",17,IF(J789="word-digit pairs",18,IF(J789="English-Swahili pairs",19,IF(J789="spatial position",20,IF(J789="word pairs",21,IF(J789="word triads",22,IF(J789="generated words",23,IF(J789="word definition pairs",24,IF(J789="math problems",25,IF(J789="famous faces",26,IF(J789="famous names",27,IF(J789="famous voices",28,IF(J789="television programs",29,IF(J789="race horses",30,IF(J789="new vocabulary",31,IF(J789="sentences",32,IF(J789="concepts",33,IF(J789="ad slides",34,IF(J789="scenes",35,IF(J789="famous scenes",36,IF(J789="poems",37,IF(J789="walk",38,IF(J789="faces and events",39,IF(J789="events and names",40,IF(J789="flashbulb",41,IF(J789="stories",42,IF(J789="course material",43,IF(J789="autobiographical",44,IF(J789="novels",45,IF(J789="public events",46,"99"))))))))))))))))))))))))))))))))))))))))))))))</f>
        <v>26</v>
      </c>
      <c r="L789" s="69">
        <f>IF(J789="syllables",1,IF(J789="trigrams",1,IF(J789="strings",1,IF(J789="visual array",1,IF(J789="characters",1,IF(J789="letters",1,IF(J789="free forms",1,IF(J789="odors",2,IF(J789="words",2,IF(J789="pictures",2,IF(J789="object pictures",2,IF(J789="faces",2,IF(J789="names",2,IF(J789="idioms","2",IF(J789="grades",2,IF(J789="syllable-digit pairs",3,IF(J789="trigram-word pairs",3,IF(J789="word-digit pairs",3,IF(J789="English-Swahili pairs",3,IF(J789="spatial position",3,IF(J789="word pairs",4,IF(J789="word triads",4,IF(J789="generated words",4,IF(J789="word definition pairs",4,IF(J789="math problems",4,IF(J789="famous faces",4,IF(J789="famous names",4,IF(J789="famous voices",4,IF(J789="television programs",4,IF(J789="race horses",4,IF(J789="new vocabulary",4,IF(J789="sentences",5,IF(J789="concepts",5,IF(J789="ad slides",5,IF(J789="scenes",5,IF(J789="famous scenes",5,IF(J789="poems",6,IF(J789="walk",6,IF(J789="faces and events",6,IF(J789="events and names",6,IF(J789="flashbulb",7,IF(J789="stories",7,IF(J789="course material",7,IF(J789="autobiographical",7,IF(J789="novels",7,IF(J789="public events",7,"99"))))))))))))))))))))))))))))))))))))))))))))))</f>
        <v>4</v>
      </c>
      <c r="M789" s="69">
        <v>1</v>
      </c>
      <c r="N789" s="86">
        <v>2</v>
      </c>
      <c r="O789" s="69">
        <v>0</v>
      </c>
      <c r="P789" s="69"/>
      <c r="Q789" s="69" t="s">
        <v>174</v>
      </c>
      <c r="R789" s="69">
        <f>IF(Q789="Free Recall",1,IF(Q789="Cued Recall",2,IF(Q789="Recognition",3,IF(Q789="Multiple Choice",4,IF(Q789="Savings",5,IF(Q789="Stem Completion",6,IF(Q789="Fragment Completion",7,IF(Q789="anagram solution",8,IF(Q789="Matching",9,IF(Q789="Problem Solving",10,"99"))))))))))</f>
        <v>1</v>
      </c>
      <c r="S789" s="69" t="s">
        <v>49</v>
      </c>
      <c r="T789" s="92" t="s">
        <v>581</v>
      </c>
      <c r="U789" s="69">
        <f>IF(T789="within",1,0)</f>
        <v>1</v>
      </c>
      <c r="V789" s="92">
        <v>240</v>
      </c>
      <c r="W789" s="69">
        <f>F789*V789</f>
        <v>1440</v>
      </c>
      <c r="X789" s="69">
        <v>3</v>
      </c>
      <c r="Y789" s="87">
        <f>AV788</f>
        <v>157680000</v>
      </c>
      <c r="Z789" s="92" t="s">
        <v>428</v>
      </c>
      <c r="AA789" s="69">
        <f>25*365*24*60*60</f>
        <v>788400000</v>
      </c>
      <c r="AB789" s="69" t="str">
        <f>IF(AA789&lt;60,"1",IF(AA789&lt;=43200,"2",IF(AA789&lt;=777600,"3","4")))</f>
        <v>4</v>
      </c>
      <c r="AC789" s="72">
        <f>AVERAGE(AV788:DA788)</f>
        <v>473040000</v>
      </c>
      <c r="AD789" s="69" t="str">
        <f>IF(AC789&lt;60,"1",IF(AC789&lt;=43200,"2",IF(AC789&lt;=777600,"3","4")))</f>
        <v>4</v>
      </c>
      <c r="AE789" s="87">
        <f>AA789-Y789</f>
        <v>630720000</v>
      </c>
      <c r="AF789" s="88">
        <f>AV789</f>
        <v>0.75</v>
      </c>
      <c r="AG789" s="72">
        <f>((AW789-AV789)+(AX789-AW789))/2</f>
        <v>-0.06</v>
      </c>
      <c r="AH789" s="4"/>
      <c r="AI789" s="72">
        <f>RSQ(AV789:AX789,AV788:AX788)</f>
        <v>0.74999999999999989</v>
      </c>
      <c r="AJ789" s="110">
        <f>SLOPE(AV789:AX789,AV788:AX788)</f>
        <v>-1.9025875190258752E-10</v>
      </c>
      <c r="AK789" s="72">
        <f>INTERCEPT(AV789:AX789,AV788:AX788)</f>
        <v>0.7599999999999999</v>
      </c>
      <c r="AL789" s="72">
        <f>INDEX(LINEST(LN(AV789:AX789),LN(AV788:AX788),TRUE,TRUE),3,1)</f>
        <v>0.9035493700903664</v>
      </c>
      <c r="AM789" s="72">
        <f>INDEX(LINEST(LN(AV789:AX789),LN(AV788:AX788)),1)</f>
        <v>-0.11634709952102547</v>
      </c>
      <c r="AN789" s="72">
        <f>EXP(INDEX(LINEST(LN(AV789:AX789),LN(AV788:AX788)),1,2))</f>
        <v>6.6677594093740797</v>
      </c>
      <c r="AO789" s="89">
        <f>INDEX(LINEST((AV789:AX789),LN(AV788:AX788),TRUE,TRUE),3,1)</f>
        <v>0.90354937009036662</v>
      </c>
      <c r="AP789" s="89">
        <f>INDEX(LINEST((AV789:AX789),LN(AV788:AX788)),1)</f>
        <v>-8.0076746263206905E-2</v>
      </c>
      <c r="AQ789" s="90">
        <f>INDEX(LINEST(LN(AV789:AX789),SQRT(AV788:AX788),TRUE,TRUE),3,1)</f>
        <v>0.83559812660742483</v>
      </c>
      <c r="AR789" s="117">
        <f>INDEX(LINEST(LN(AV789:AX789),SQRT((AV788:AX788))),1)</f>
        <v>-1.1790120122349022E-5</v>
      </c>
      <c r="AS789" s="91">
        <f>INDEX(LINEST(1/(AV789:AX789),1/(SQRT(AV788:AX788)),TRUE,TRUE),3,1)</f>
        <v>0.94930903127098454</v>
      </c>
      <c r="AT789" s="91">
        <f>INDEX(LINEST(1/(AV789:AX789),1/SQRT(AV788:AX788)),1)</f>
        <v>-6207.3539059462682</v>
      </c>
      <c r="AU789" s="3"/>
      <c r="AV789" s="73">
        <v>0.75</v>
      </c>
      <c r="AW789" s="73">
        <v>0.63</v>
      </c>
      <c r="AX789" s="73">
        <v>0.63</v>
      </c>
      <c r="AY789" s="42"/>
      <c r="AZ789" s="46"/>
      <c r="BA789" s="42"/>
      <c r="BB789" s="42"/>
      <c r="BC789" s="24"/>
      <c r="BD789" s="24"/>
      <c r="BE789" s="24"/>
      <c r="BF789" s="24"/>
      <c r="BG789" s="24"/>
      <c r="BH789" s="24"/>
      <c r="BI789" s="24"/>
      <c r="BJ789" s="24"/>
      <c r="BK789" s="24"/>
      <c r="BL789" s="24"/>
      <c r="BM789" s="24"/>
      <c r="BN789" s="24"/>
      <c r="BO789" s="24"/>
      <c r="BP789" s="24"/>
      <c r="BQ789" s="24"/>
      <c r="BR789" s="24"/>
      <c r="BS789" s="24"/>
      <c r="BT789" s="24"/>
      <c r="BU789" s="24"/>
      <c r="BV789" s="24"/>
      <c r="BW789" s="24"/>
      <c r="BX789" s="24"/>
      <c r="BY789" s="24"/>
      <c r="BZ789" s="24"/>
      <c r="CA789" s="24"/>
      <c r="CB789" s="24"/>
      <c r="CC789" s="24"/>
      <c r="CD789" s="24"/>
      <c r="CE789" s="24"/>
      <c r="CF789" s="24"/>
      <c r="CG789" s="24"/>
      <c r="CH789" s="24"/>
      <c r="CI789" s="24"/>
      <c r="CJ789" s="24"/>
      <c r="CK789" s="24"/>
      <c r="CL789" s="24"/>
      <c r="CM789" s="24"/>
      <c r="CN789" s="24"/>
      <c r="CO789" s="24"/>
      <c r="CP789" s="24"/>
      <c r="CQ789" s="24"/>
      <c r="CR789" s="1"/>
      <c r="CS789" s="1"/>
      <c r="CT789" s="1"/>
      <c r="CU789" s="1"/>
    </row>
    <row r="790" spans="1:99" s="13" customFormat="1" ht="12" customHeight="1" x14ac:dyDescent="0.2">
      <c r="A790" s="65">
        <v>43896</v>
      </c>
      <c r="B790" s="1"/>
      <c r="D790" s="61"/>
      <c r="E790" s="76"/>
      <c r="F790" s="60"/>
      <c r="G790" s="60"/>
      <c r="H790" s="60"/>
      <c r="I790" s="60"/>
      <c r="J790" s="60"/>
      <c r="K790" s="64"/>
      <c r="L790" s="64"/>
      <c r="M790" s="60"/>
      <c r="N790" s="59"/>
      <c r="O790" s="60"/>
      <c r="P790" s="60"/>
      <c r="Q790" s="60"/>
      <c r="R790" s="60"/>
      <c r="S790" s="60"/>
      <c r="T790" s="59"/>
      <c r="U790" s="60"/>
      <c r="V790" s="59"/>
      <c r="W790" s="60"/>
      <c r="X790" s="60"/>
      <c r="Y790" s="76"/>
      <c r="Z790" s="59"/>
      <c r="AA790" s="59"/>
      <c r="AB790" s="60"/>
      <c r="AC790" s="56"/>
      <c r="AD790" s="60"/>
      <c r="AE790" s="60"/>
      <c r="AF790" s="80"/>
      <c r="AG790" s="56"/>
      <c r="AH790" s="4"/>
      <c r="AI790" s="56"/>
      <c r="AJ790" s="109"/>
      <c r="AK790" s="56"/>
      <c r="AL790" s="56"/>
      <c r="AM790" s="56"/>
      <c r="AN790" s="56"/>
      <c r="AO790" s="82"/>
      <c r="AP790" s="82"/>
      <c r="AQ790" s="83"/>
      <c r="AR790" s="116"/>
      <c r="AS790" s="84"/>
      <c r="AT790" s="84"/>
      <c r="AU790" s="3"/>
      <c r="AV790" s="25">
        <v>315360000</v>
      </c>
      <c r="AW790" s="25">
        <v>630720000</v>
      </c>
      <c r="AX790" s="25">
        <v>646080000</v>
      </c>
      <c r="AY790" s="25">
        <v>12614400000</v>
      </c>
      <c r="AZ790" s="25">
        <v>1576800000</v>
      </c>
      <c r="BA790" s="42"/>
      <c r="BB790" s="42"/>
      <c r="BC790" s="42"/>
      <c r="BD790" s="42"/>
      <c r="BE790" s="42"/>
      <c r="BF790" s="42"/>
      <c r="BG790" s="42"/>
      <c r="BH790" s="28"/>
      <c r="BI790" s="28"/>
      <c r="BJ790" s="28"/>
      <c r="BK790" s="28"/>
      <c r="BL790" s="28"/>
      <c r="BM790" s="28"/>
      <c r="BN790" s="28"/>
      <c r="BO790" s="28"/>
      <c r="BP790" s="28"/>
      <c r="BQ790" s="28"/>
      <c r="BR790" s="28"/>
      <c r="BS790" s="28"/>
      <c r="BT790" s="28"/>
      <c r="BU790" s="28"/>
      <c r="BV790" s="28"/>
      <c r="BW790" s="28"/>
      <c r="BX790" s="28"/>
      <c r="BY790" s="28"/>
      <c r="BZ790" s="28"/>
      <c r="CA790" s="28"/>
      <c r="CB790" s="28"/>
      <c r="CC790" s="28"/>
      <c r="CD790" s="28"/>
      <c r="CE790" s="28"/>
      <c r="CF790" s="28"/>
      <c r="CG790" s="28"/>
      <c r="CH790" s="28"/>
      <c r="CI790" s="28"/>
      <c r="CJ790" s="28"/>
      <c r="CK790" s="28"/>
      <c r="CL790" s="28"/>
      <c r="CM790" s="28"/>
      <c r="CN790" s="28"/>
      <c r="CO790" s="28"/>
      <c r="CP790" s="28"/>
      <c r="CQ790" s="28"/>
      <c r="CR790" s="1"/>
      <c r="CS790" s="1"/>
      <c r="CT790" s="1"/>
      <c r="CU790" s="1"/>
    </row>
    <row r="791" spans="1:99" s="13" customFormat="1" ht="12" customHeight="1" x14ac:dyDescent="0.2">
      <c r="A791" s="65">
        <v>43896</v>
      </c>
      <c r="B791" s="1" t="s">
        <v>364</v>
      </c>
      <c r="C791" s="1" t="s">
        <v>54</v>
      </c>
      <c r="D791" s="60">
        <v>1975</v>
      </c>
      <c r="E791" s="76">
        <v>1</v>
      </c>
      <c r="F791" s="60">
        <v>15</v>
      </c>
      <c r="G791" s="60">
        <v>15</v>
      </c>
      <c r="H791" s="60" t="s">
        <v>365</v>
      </c>
      <c r="I791" s="60" t="s">
        <v>330</v>
      </c>
      <c r="J791" s="60" t="s">
        <v>342</v>
      </c>
      <c r="K791" s="60">
        <f>IF(J791="syllables",1,IF(J791="trigrams",2,IF(J791="strings",3,IF(J791="visual array",4,IF(J791="characters",5,IF(J791="letters",6,IF(J791="free forms",7,IF(J791="odors",8,IF(J791="words",9,IF(J791="pictures",10,IF(J791="object pictures",11,IF(J791="faces",12,IF(J791="names",13,IF(J791="idioms",14,IF(J791="grades",15,IF(J791="syllable-digit pairs",16,IF(J791="trigram-word pairs",17,IF(J791="word-digit pairs",18,IF(J791="English-Swahili pairs",19,IF(J791="spatial position",20,IF(J791="word pairs",21,IF(J791="word triads",22,IF(J791="generated words",23,IF(J791="word definition pairs",24,IF(J791="math problems",25,IF(J791="famous faces",26,IF(J791="famous names",27,IF(J791="famous voices",28,IF(J791="television programs",29,IF(J791="race horses",30,IF(J791="new vocabulary",31,IF(J791="sentences",32,IF(J791="concepts",33,IF(J791="ad slides",34,IF(J791="scenes",35,IF(J791="famous scenes",36,IF(J791="poems",37,IF(J791="walk",38,IF(J791="faces and events",39,IF(J791="events and names",40,IF(J791="flashbulb",41,IF(J791="stories",42,IF(J791="course material",43,IF(J791="autobiographical",44,IF(J791="novels",45,IF(J791="public events",46,"99"))))))))))))))))))))))))))))))))))))))))))))))</f>
        <v>26</v>
      </c>
      <c r="L791" s="60">
        <f>IF(J791="syllables",1,IF(J791="trigrams",1,IF(J791="strings",1,IF(J791="visual array",1,IF(J791="characters",1,IF(J791="letters",1,IF(J791="free forms",1,IF(J791="odors",2,IF(J791="words",2,IF(J791="pictures",2,IF(J791="object pictures",2,IF(J791="faces",2,IF(J791="names",2,IF(J791="idioms","2",IF(J791="grades",2,IF(J791="syllable-digit pairs",3,IF(J791="trigram-word pairs",3,IF(J791="word-digit pairs",3,IF(J791="English-Swahili pairs",3,IF(J791="spatial position",3,IF(J791="word pairs",4,IF(J791="word triads",4,IF(J791="generated words",4,IF(J791="word definition pairs",4,IF(J791="math problems",4,IF(J791="famous faces",4,IF(J791="famous names",4,IF(J791="famous voices",4,IF(J791="television programs",4,IF(J791="race horses",4,IF(J791="new vocabulary",4,IF(J791="sentences",5,IF(J791="concepts",5,IF(J791="ad slides",5,IF(J791="scenes",5,IF(J791="famous scenes",5,IF(J791="poems",6,IF(J791="walk",6,IF(J791="faces and events",6,IF(J791="events and names",6,IF(J791="flashbulb",7,IF(J791="stories",7,IF(J791="course material",7,IF(J791="autobiographical",7,IF(J791="novels",7,IF(J791="public events",7,"99"))))))))))))))))))))))))))))))))))))))))))))))</f>
        <v>4</v>
      </c>
      <c r="M791" s="60">
        <v>1</v>
      </c>
      <c r="N791" s="61">
        <v>2</v>
      </c>
      <c r="O791" s="60">
        <v>0</v>
      </c>
      <c r="P791" s="60"/>
      <c r="Q791" s="60" t="s">
        <v>174</v>
      </c>
      <c r="R791" s="60">
        <f>IF(Q791="Free Recall",1,IF(Q791="Cued Recall",2,IF(Q791="Recognition",3,IF(Q791="Multiple Choice",4,IF(Q791="Savings",5,IF(Q791="Stem Completion",6,IF(Q791="Fragment Completion",7,IF(Q791="anagram solution",8,IF(Q791="Matching",9,IF(Q791="Problem Solving",10,"99"))))))))))</f>
        <v>1</v>
      </c>
      <c r="S791" s="60" t="s">
        <v>49</v>
      </c>
      <c r="T791" s="59" t="s">
        <v>581</v>
      </c>
      <c r="U791" s="60">
        <f>IF(T791="within",1,0)</f>
        <v>1</v>
      </c>
      <c r="V791" s="59">
        <v>85</v>
      </c>
      <c r="W791" s="60">
        <f>F791*V791</f>
        <v>1275</v>
      </c>
      <c r="X791" s="60">
        <v>5</v>
      </c>
      <c r="Y791" s="76">
        <f>AV790</f>
        <v>315360000</v>
      </c>
      <c r="Z791" s="59" t="s">
        <v>209</v>
      </c>
      <c r="AA791" s="60">
        <f>50*365*24*60*60</f>
        <v>1576800000</v>
      </c>
      <c r="AB791" s="60" t="str">
        <f>IF(AA791&lt;60,"1",IF(AA791&lt;=43200,"2",IF(AA791&lt;=777600,"3","4")))</f>
        <v>4</v>
      </c>
      <c r="AC791" s="56">
        <f>AVERAGE(AV790:DA790)</f>
        <v>3156672000</v>
      </c>
      <c r="AD791" s="60" t="str">
        <f>IF(AC791&lt;60,"1",IF(AC791&lt;=43200,"2",IF(AC791&lt;=777600,"3","4")))</f>
        <v>4</v>
      </c>
      <c r="AE791" s="76">
        <f>AA791-Y791</f>
        <v>1261440000</v>
      </c>
      <c r="AF791" s="80">
        <f>AV791</f>
        <v>0.75</v>
      </c>
      <c r="AG791" s="56">
        <f>((AW791-AV791)+(AX791-AW791)+(AY791-AX791)+(AZ791-AY791))/4</f>
        <v>-9.2499999999999999E-2</v>
      </c>
      <c r="AH791" s="4"/>
      <c r="AI791" s="56">
        <f>RSQ(AV791:AZ791,AV790:AZ790)</f>
        <v>9.9372201196184187E-2</v>
      </c>
      <c r="AJ791" s="109">
        <f>SLOPE(AV791:AZ791,AV790:AZ790)</f>
        <v>-1.0578723515463009E-11</v>
      </c>
      <c r="AK791" s="56">
        <f>INTERCEPT(AV791:AZ791,AV790:AZ790)</f>
        <v>0.6793935603170036</v>
      </c>
      <c r="AL791" s="56">
        <f>INDEX(LINEST(LN(AV791:AZ791),LN(AV790:AZ790),TRUE,TRUE),3,1)</f>
        <v>0.22438971023580714</v>
      </c>
      <c r="AM791" s="56">
        <f>INDEX(LINEST(LN(AV791:AZ791),LN(AV790:AZ790)),1)</f>
        <v>-0.10289085895850124</v>
      </c>
      <c r="AN791" s="56">
        <f>EXP(INDEX(LINEST(LN(AV791:AZ791),LN(AV790:AZ790)),1,2))</f>
        <v>5.3601192335798968</v>
      </c>
      <c r="AO791" s="82">
        <f>INDEX(LINEST((AV791:AZ791),LN(AV790:AZ790),TRUE,TRUE),3,1)</f>
        <v>0.2792522153560118</v>
      </c>
      <c r="AP791" s="82">
        <f>INDEX(LINEST((AV791:AZ791),LN(AV790:AZ790)),1)</f>
        <v>-6.5777325732570738E-2</v>
      </c>
      <c r="AQ791" s="83">
        <f>INDEX(LINEST(LN(AV791:AZ791),SQRT(AV790:AZ790),TRUE,TRUE),3,1)</f>
        <v>0.1131976393388448</v>
      </c>
      <c r="AR791" s="116">
        <f>INDEX(LINEST(LN(AV791:AZ791),SQRT((AV790:AZ790))),1)</f>
        <v>-2.6833716190459296E-6</v>
      </c>
      <c r="AS791" s="84">
        <f>INDEX(LINEST(1/(AV791:AZ791),1/(SQRT(AV790:AZ790)),TRUE,TRUE),3,1)</f>
        <v>0.28716852998211084</v>
      </c>
      <c r="AT791" s="84">
        <f>INDEX(LINEST(1/(AV791:AZ791),1/SQRT(AV790:AZ790)),1)</f>
        <v>-17316.496844570713</v>
      </c>
      <c r="AU791" s="3"/>
      <c r="AV791" s="53">
        <v>0.75</v>
      </c>
      <c r="AW791" s="53">
        <v>0.69</v>
      </c>
      <c r="AX791" s="53">
        <v>0.84</v>
      </c>
      <c r="AY791" s="53">
        <v>0.56999999999999995</v>
      </c>
      <c r="AZ791" s="53">
        <v>0.38</v>
      </c>
      <c r="BA791" s="42"/>
      <c r="BB791" s="42"/>
      <c r="BC791" s="28"/>
      <c r="BD791" s="28"/>
      <c r="BE791" s="28"/>
      <c r="BF791" s="28"/>
      <c r="BG791" s="28"/>
      <c r="BH791" s="28"/>
      <c r="BI791" s="28"/>
      <c r="BJ791" s="28"/>
      <c r="BK791" s="28"/>
      <c r="BL791" s="28"/>
      <c r="BM791" s="28"/>
      <c r="BN791" s="28"/>
      <c r="BO791" s="28"/>
      <c r="BP791" s="28"/>
      <c r="BQ791" s="28"/>
      <c r="BR791" s="28"/>
      <c r="BS791" s="28"/>
      <c r="BT791" s="28"/>
      <c r="BU791" s="28"/>
      <c r="BV791" s="28"/>
      <c r="BW791" s="28"/>
      <c r="BX791" s="28"/>
      <c r="BY791" s="28"/>
      <c r="BZ791" s="28"/>
      <c r="CA791" s="28"/>
      <c r="CB791" s="28"/>
      <c r="CC791" s="28"/>
      <c r="CD791" s="28"/>
      <c r="CE791" s="28"/>
      <c r="CF791" s="28"/>
      <c r="CG791" s="28"/>
      <c r="CH791" s="28"/>
      <c r="CI791" s="28"/>
      <c r="CJ791" s="28"/>
      <c r="CK791" s="28"/>
      <c r="CL791" s="28"/>
      <c r="CM791" s="28"/>
      <c r="CN791" s="28"/>
      <c r="CO791" s="28"/>
      <c r="CP791" s="28"/>
      <c r="CQ791" s="28"/>
      <c r="CR791" s="1"/>
      <c r="CS791" s="1"/>
      <c r="CT791" s="1"/>
      <c r="CU791" s="1"/>
    </row>
    <row r="792" spans="1:99" s="13" customFormat="1" ht="12" customHeight="1" x14ac:dyDescent="0.2">
      <c r="A792" s="68">
        <v>43978</v>
      </c>
      <c r="B792" s="70"/>
      <c r="C792" s="70"/>
      <c r="D792" s="69"/>
      <c r="E792" s="87"/>
      <c r="F792" s="69"/>
      <c r="G792" s="69"/>
      <c r="H792" s="69"/>
      <c r="I792" s="69"/>
      <c r="J792" s="69"/>
      <c r="K792" s="69"/>
      <c r="L792" s="69"/>
      <c r="M792" s="69"/>
      <c r="N792" s="86"/>
      <c r="O792" s="69"/>
      <c r="P792" s="69"/>
      <c r="Q792" s="69"/>
      <c r="R792" s="69"/>
      <c r="S792" s="69"/>
      <c r="T792" s="92"/>
      <c r="U792" s="69"/>
      <c r="V792" s="92"/>
      <c r="W792" s="69"/>
      <c r="X792" s="69"/>
      <c r="Y792" s="87"/>
      <c r="Z792" s="92"/>
      <c r="AA792" s="69"/>
      <c r="AB792" s="69"/>
      <c r="AC792" s="72"/>
      <c r="AD792" s="69"/>
      <c r="AE792" s="87"/>
      <c r="AF792" s="88"/>
      <c r="AG792" s="72"/>
      <c r="AH792" s="4"/>
      <c r="AI792" s="72"/>
      <c r="AJ792" s="110"/>
      <c r="AK792" s="72"/>
      <c r="AL792" s="72"/>
      <c r="AM792" s="72"/>
      <c r="AN792" s="72"/>
      <c r="AO792" s="89"/>
      <c r="AP792" s="89"/>
      <c r="AQ792" s="90"/>
      <c r="AR792" s="117"/>
      <c r="AS792" s="91"/>
      <c r="AT792" s="91"/>
      <c r="AU792" s="3"/>
      <c r="AV792" s="71">
        <v>30</v>
      </c>
      <c r="AW792" s="71">
        <f>60*30</f>
        <v>1800</v>
      </c>
      <c r="AX792" s="71">
        <f>60*60*24</f>
        <v>86400</v>
      </c>
      <c r="AY792" s="53"/>
      <c r="AZ792" s="11" t="s">
        <v>947</v>
      </c>
      <c r="BA792" s="53"/>
      <c r="BB792" s="53"/>
      <c r="BC792" s="53"/>
      <c r="BD792" s="53"/>
      <c r="BE792" s="53"/>
      <c r="BF792" s="53"/>
      <c r="BG792" s="53"/>
      <c r="BH792" s="53"/>
      <c r="BI792" s="53"/>
      <c r="BJ792" s="53"/>
      <c r="BK792" s="53"/>
      <c r="BL792" s="53"/>
      <c r="BM792" s="53"/>
      <c r="BN792" s="53"/>
      <c r="BO792" s="53"/>
      <c r="BP792" s="53"/>
      <c r="BQ792" s="53"/>
      <c r="BR792" s="53"/>
      <c r="BS792" s="53"/>
      <c r="BT792" s="53"/>
      <c r="BU792" s="53"/>
      <c r="BV792" s="53"/>
      <c r="BW792" s="53"/>
      <c r="BX792" s="53"/>
      <c r="BY792" s="53"/>
      <c r="BZ792" s="53"/>
      <c r="CA792" s="53"/>
      <c r="CB792" s="53"/>
      <c r="CC792" s="53"/>
      <c r="CD792" s="53"/>
      <c r="CE792" s="53"/>
      <c r="CF792" s="53"/>
      <c r="CG792" s="53"/>
      <c r="CH792" s="53"/>
      <c r="CI792" s="53"/>
      <c r="CJ792" s="53"/>
      <c r="CK792" s="53"/>
      <c r="CL792" s="53"/>
      <c r="CM792" s="53"/>
      <c r="CN792" s="53"/>
      <c r="CO792" s="53"/>
      <c r="CP792" s="53"/>
      <c r="CQ792" s="53"/>
      <c r="CR792" s="1"/>
      <c r="CS792" s="1"/>
      <c r="CT792" s="1"/>
      <c r="CU792" s="1"/>
    </row>
    <row r="793" spans="1:99" s="13" customFormat="1" ht="12" customHeight="1" x14ac:dyDescent="0.2">
      <c r="A793" s="68">
        <v>43978</v>
      </c>
      <c r="B793" s="70" t="s">
        <v>978</v>
      </c>
      <c r="C793" s="70" t="s">
        <v>393</v>
      </c>
      <c r="D793" s="69">
        <v>1991</v>
      </c>
      <c r="E793" s="87">
        <v>1</v>
      </c>
      <c r="F793" s="69">
        <v>21</v>
      </c>
      <c r="G793" s="69">
        <v>21</v>
      </c>
      <c r="H793" s="69" t="s">
        <v>50</v>
      </c>
      <c r="I793" s="69" t="s">
        <v>330</v>
      </c>
      <c r="J793" s="69" t="s">
        <v>16</v>
      </c>
      <c r="K793" s="69">
        <f>IF(J793="syllables",1,IF(J793="trigrams",2,IF(J793="strings",3,IF(J793="visual array",4,IF(J793="characters",5,IF(J793="letters",6,IF(J793="free forms",7,IF(J793="odors",8,IF(J793="words",9,IF(J793="pictures",10,IF(J793="object pictures",11,IF(J793="faces",12,IF(J793="names",13,IF(J793="idioms",14,IF(J793="grades",15,IF(J793="syllable-digit pairs",16,IF(J793="trigram-word pairs",17,IF(J793="word-digit pairs",18,IF(J793="English-Swahili pairs",19,IF(J793="spatial position",20,IF(J793="word pairs",21,IF(J793="word triads",22,IF(J793="generated words",23,IF(J793="word definition pairs",24,IF(J793="math problems",25,IF(J793="famous faces",26,IF(J793="famous names",27,IF(J793="famous voices",28,IF(J793="television programs",29,IF(J793="race horses",30,IF(J793="new vocabulary",31,IF(J793="sentences",32,IF(J793="concepts",33,IF(J793="ad slides",34,IF(J793="scenes",35,IF(J793="famous scenes",36,IF(J793="poems",37,IF(J793="walk",38,IF(J793="faces and events",39,IF(J793="events and names",40,IF(J793="flashbulb",41,IF(J793="stories",42,IF(J793="course material",43,IF(J793="autobiographical",44,IF(J793="novels",45,IF(J793="public events",46,"99"))))))))))))))))))))))))))))))))))))))))))))))</f>
        <v>9</v>
      </c>
      <c r="L793" s="69">
        <f>IF(J793="syllables",1,IF(J793="trigrams",1,IF(J793="strings",1,IF(J793="visual array",1,IF(J793="characters",1,IF(J793="letters",1,IF(J793="free forms",1,IF(J793="odors",2,IF(J793="words",2,IF(J793="pictures",2,IF(J793="object pictures",2,IF(J793="faces",2,IF(J793="names",2,IF(J793="idioms","2",IF(J793="grades",2,IF(J793="syllable-digit pairs",3,IF(J793="trigram-word pairs",3,IF(J793="word-digit pairs",3,IF(J793="English-Swahili pairs",3,IF(J793="spatial position",3,IF(J793="word pairs",4,IF(J793="word triads",4,IF(J793="generated words",4,IF(J793="word definition pairs",4,IF(J793="math problems",4,IF(J793="famous faces",4,IF(J793="famous names",4,IF(J793="famous voices",4,IF(J793="television programs",4,IF(J793="race horses",4,IF(J793="new vocabulary",4,IF(J793="sentences",5,IF(J793="concepts",5,IF(J793="ad slides",5,IF(J793="scenes",5,IF(J793="famous scenes",5,IF(J793="poems",6,IF(J793="walk",6,IF(J793="faces and events",6,IF(J793="events and names",6,IF(J793="flashbulb",7,IF(J793="stories",7,IF(J793="course material",7,IF(J793="autobiographical",7,IF(J793="novels",7,IF(J793="public events",7,"99"))))))))))))))))))))))))))))))))))))))))))))))</f>
        <v>2</v>
      </c>
      <c r="M793" s="69">
        <v>1</v>
      </c>
      <c r="N793" s="86">
        <v>2</v>
      </c>
      <c r="O793" s="69">
        <v>0</v>
      </c>
      <c r="P793" s="69"/>
      <c r="Q793" s="69" t="s">
        <v>174</v>
      </c>
      <c r="R793" s="69">
        <f>IF(Q793="Free Recall",1,IF(Q793="Cued Recall",2,IF(Q793="Recognition",3,IF(Q793="Multiple Choice",4,IF(Q793="Savings",5,IF(Q793="Stem Completion",6,IF(Q793="Fragment Completion",7,IF(Q793="anagram solution",8,IF(Q793="Matching",9,IF(Q793="Problem Solving",10,"99"))))))))))</f>
        <v>1</v>
      </c>
      <c r="S793" s="69" t="s">
        <v>49</v>
      </c>
      <c r="T793" s="92" t="s">
        <v>581</v>
      </c>
      <c r="U793" s="69">
        <f>IF(T793="within",1,0)</f>
        <v>1</v>
      </c>
      <c r="V793" s="92">
        <v>12</v>
      </c>
      <c r="W793" s="69">
        <f>F793*V793</f>
        <v>252</v>
      </c>
      <c r="X793" s="69">
        <v>3</v>
      </c>
      <c r="Y793" s="87">
        <f>AV792</f>
        <v>30</v>
      </c>
      <c r="Z793" s="92" t="s">
        <v>79</v>
      </c>
      <c r="AA793" s="69">
        <f>60*60*24</f>
        <v>86400</v>
      </c>
      <c r="AB793" s="69" t="str">
        <f>IF(AA793&lt;60,"1",IF(AA793&lt;=43200,"2",IF(AA793&lt;=777600,"3","4")))</f>
        <v>3</v>
      </c>
      <c r="AC793" s="72">
        <f>AVERAGE(AV792:DA792)</f>
        <v>29410</v>
      </c>
      <c r="AD793" s="69" t="str">
        <f>IF(AC793&lt;60,"1",IF(AC793&lt;=43200,"2",IF(AC793&lt;=777600,"3","4")))</f>
        <v>2</v>
      </c>
      <c r="AE793" s="87">
        <f>AA793-Y793</f>
        <v>86370</v>
      </c>
      <c r="AF793" s="88">
        <f>AV793</f>
        <v>1</v>
      </c>
      <c r="AG793" s="72">
        <f>((AW793-AV793)+(AX793-AW793))/2</f>
        <v>-9.5521220301730825E-2</v>
      </c>
      <c r="AH793" s="4"/>
      <c r="AI793" s="72">
        <f>RSQ(AV793:AX793,AV792:AX792)</f>
        <v>0.71467056201420331</v>
      </c>
      <c r="AJ793" s="110">
        <f>SLOPE(AV793:AX793,AV792:AX792)</f>
        <v>-1.6386294600939364E-6</v>
      </c>
      <c r="AK793" s="72">
        <f>INTERCEPT(AV793:AX793,AV792:AX792)</f>
        <v>0.94947707635532819</v>
      </c>
      <c r="AL793" s="72">
        <f>INDEX(LINEST(LN(AV793:AX793),LN(AV792:AX792),TRUE,TRUE),3,1)</f>
        <v>0.9998727468771702</v>
      </c>
      <c r="AM793" s="72">
        <f>INDEX(LINEST(LN(AV793:AX793),LN(AV792:AX792)),1)</f>
        <v>-2.6620588926005297E-2</v>
      </c>
      <c r="AN793" s="72">
        <f>EXP(INDEX(LINEST(LN(AV793:AX793),LN(AV792:AX792)),1,2))</f>
        <v>1.0940327699252308</v>
      </c>
      <c r="AO793" s="89">
        <f>INDEX(LINEST((AV793:AX793),LN(AV792:AX792),TRUE,TRUE),3,1)</f>
        <v>0.99826419502537078</v>
      </c>
      <c r="AP793" s="89">
        <f>INDEX(LINEST((AV793:AX793),LN(AV792:AX792)),1)</f>
        <v>-2.3999783852446638E-2</v>
      </c>
      <c r="AQ793" s="90">
        <f>INDEX(LINEST(LN(AV793:AX793),SQRT(AV792:AX792),TRUE,TRUE),3,1)</f>
        <v>0.82387691566252996</v>
      </c>
      <c r="AR793" s="117">
        <f>INDEX(LINEST(LN(AV793:AX793),SQRT((AV792:AX792))),1)</f>
        <v>-6.1320767613276528E-4</v>
      </c>
      <c r="AS793" s="91">
        <f>INDEX(LINEST(1/(AV793:AX793),1/(SQRT(AV792:AX792)),TRUE,TRUE),3,1)</f>
        <v>0.8309206121318613</v>
      </c>
      <c r="AT793" s="91">
        <f>INDEX(LINEST(1/(AV793:AX793),1/SQRT(AV792:AX792)),1)</f>
        <v>-1.0967281877377142</v>
      </c>
      <c r="AU793" s="3"/>
      <c r="AV793" s="73">
        <v>1</v>
      </c>
      <c r="AW793" s="73">
        <v>0.89489739240535826</v>
      </c>
      <c r="AX793" s="73">
        <v>0.80895755939653835</v>
      </c>
      <c r="AY793" s="53"/>
      <c r="AZ793" s="53"/>
      <c r="BA793" s="53"/>
      <c r="BB793" s="53"/>
      <c r="BC793" s="53"/>
      <c r="BD793" s="53"/>
      <c r="BE793" s="53"/>
      <c r="BF793" s="53"/>
      <c r="BG793" s="53"/>
      <c r="BH793" s="53"/>
      <c r="BI793" s="53"/>
      <c r="BJ793" s="53"/>
      <c r="BK793" s="53"/>
      <c r="BL793" s="53"/>
      <c r="BM793" s="53"/>
      <c r="BN793" s="53"/>
      <c r="BO793" s="53"/>
      <c r="BP793" s="53"/>
      <c r="BQ793" s="53"/>
      <c r="BR793" s="53"/>
      <c r="BS793" s="53"/>
      <c r="BT793" s="53"/>
      <c r="BU793" s="53"/>
      <c r="BV793" s="53"/>
      <c r="BW793" s="53"/>
      <c r="BX793" s="53"/>
      <c r="BY793" s="53"/>
      <c r="BZ793" s="53"/>
      <c r="CA793" s="53"/>
      <c r="CB793" s="53"/>
      <c r="CC793" s="53"/>
      <c r="CD793" s="53"/>
      <c r="CE793" s="53"/>
      <c r="CF793" s="53"/>
      <c r="CG793" s="53"/>
      <c r="CH793" s="53"/>
      <c r="CI793" s="53"/>
      <c r="CJ793" s="53"/>
      <c r="CK793" s="53"/>
      <c r="CL793" s="53"/>
      <c r="CM793" s="53"/>
      <c r="CN793" s="53"/>
      <c r="CO793" s="53"/>
      <c r="CP793" s="53"/>
      <c r="CQ793" s="53"/>
      <c r="CR793" s="1"/>
      <c r="CS793" s="1"/>
      <c r="CT793" s="1"/>
      <c r="CU793" s="1"/>
    </row>
    <row r="794" spans="1:99" s="13" customFormat="1" ht="12" customHeight="1" x14ac:dyDescent="0.2">
      <c r="A794" s="65">
        <v>43900</v>
      </c>
      <c r="B794" s="1"/>
      <c r="C794" s="1"/>
      <c r="D794" s="60"/>
      <c r="E794" s="76"/>
      <c r="F794" s="60"/>
      <c r="G794" s="60"/>
      <c r="H794" s="60"/>
      <c r="I794" s="60"/>
      <c r="J794" s="60"/>
      <c r="K794" s="64"/>
      <c r="L794" s="64"/>
      <c r="M794" s="60"/>
      <c r="N794" s="61"/>
      <c r="O794" s="60"/>
      <c r="P794" s="60"/>
      <c r="Q794" s="60"/>
      <c r="R794" s="60"/>
      <c r="S794" s="60"/>
      <c r="T794" s="59"/>
      <c r="U794" s="60"/>
      <c r="V794" s="59"/>
      <c r="W794" s="60"/>
      <c r="X794" s="60"/>
      <c r="Y794" s="76"/>
      <c r="Z794" s="60"/>
      <c r="AA794" s="76"/>
      <c r="AB794" s="60"/>
      <c r="AC794" s="56"/>
      <c r="AD794" s="60"/>
      <c r="AE794" s="60"/>
      <c r="AF794" s="80"/>
      <c r="AG794" s="56"/>
      <c r="AH794" s="4"/>
      <c r="AI794" s="56"/>
      <c r="AJ794" s="109"/>
      <c r="AK794" s="56"/>
      <c r="AL794" s="56"/>
      <c r="AM794" s="56"/>
      <c r="AN794" s="56"/>
      <c r="AO794" s="82"/>
      <c r="AP794" s="82"/>
      <c r="AQ794" s="83"/>
      <c r="AR794" s="116"/>
      <c r="AS794" s="84"/>
      <c r="AT794" s="84"/>
      <c r="AU794" s="3"/>
      <c r="AV794" s="25">
        <v>30</v>
      </c>
      <c r="AW794" s="25">
        <f>20*60*60</f>
        <v>72000</v>
      </c>
      <c r="AX794" s="25">
        <f>7*24*60*60</f>
        <v>604800</v>
      </c>
      <c r="AY794" s="42"/>
      <c r="AZ794" s="46"/>
      <c r="BA794" s="42"/>
      <c r="BB794" s="42"/>
      <c r="BC794" s="42"/>
      <c r="BD794" s="42"/>
      <c r="BE794" s="42"/>
      <c r="BF794" s="42"/>
      <c r="BG794" s="42"/>
      <c r="BH794" s="30"/>
      <c r="BI794" s="30"/>
      <c r="BJ794" s="30"/>
      <c r="BK794" s="30"/>
      <c r="BL794" s="30"/>
      <c r="BM794" s="30"/>
      <c r="BN794" s="30"/>
      <c r="BO794" s="30"/>
      <c r="BP794" s="30"/>
      <c r="BQ794" s="30"/>
      <c r="BR794" s="30"/>
      <c r="BS794" s="30"/>
      <c r="BT794" s="30"/>
      <c r="BU794" s="30"/>
      <c r="BV794" s="30"/>
      <c r="BW794" s="30"/>
      <c r="BX794" s="30"/>
      <c r="BY794" s="30"/>
      <c r="BZ794" s="30"/>
      <c r="CA794" s="30"/>
      <c r="CB794" s="30"/>
      <c r="CC794" s="30"/>
      <c r="CD794" s="30"/>
      <c r="CE794" s="30"/>
      <c r="CF794" s="30"/>
      <c r="CG794" s="30"/>
      <c r="CH794" s="30"/>
      <c r="CI794" s="30"/>
      <c r="CJ794" s="30"/>
      <c r="CK794" s="30"/>
      <c r="CL794" s="30"/>
      <c r="CM794" s="30"/>
      <c r="CN794" s="30"/>
      <c r="CO794" s="30"/>
      <c r="CP794" s="30"/>
      <c r="CQ794" s="30"/>
      <c r="CR794" s="1"/>
      <c r="CS794" s="1"/>
      <c r="CT794" s="1"/>
      <c r="CU794" s="1"/>
    </row>
    <row r="795" spans="1:99" s="13" customFormat="1" ht="12" customHeight="1" x14ac:dyDescent="0.2">
      <c r="A795" s="65">
        <v>43900</v>
      </c>
      <c r="B795" s="1" t="s">
        <v>417</v>
      </c>
      <c r="C795" s="1" t="s">
        <v>418</v>
      </c>
      <c r="D795" s="60">
        <v>2018</v>
      </c>
      <c r="E795" s="76">
        <v>1</v>
      </c>
      <c r="F795" s="60">
        <v>28</v>
      </c>
      <c r="G795" s="60">
        <v>28</v>
      </c>
      <c r="H795" s="60" t="s">
        <v>22</v>
      </c>
      <c r="I795" s="60" t="s">
        <v>729</v>
      </c>
      <c r="J795" s="60" t="s">
        <v>16</v>
      </c>
      <c r="K795" s="60">
        <f>IF(J795="syllables",1,IF(J795="trigrams",2,IF(J795="strings",3,IF(J795="visual array",4,IF(J795="characters",5,IF(J795="letters",6,IF(J795="free forms",7,IF(J795="odors",8,IF(J795="words",9,IF(J795="pictures",10,IF(J795="object pictures",11,IF(J795="faces",12,IF(J795="names",13,IF(J795="idioms",14,IF(J795="grades",15,IF(J795="syllable-digit pairs",16,IF(J795="trigram-word pairs",17,IF(J795="word-digit pairs",18,IF(J795="English-Swahili pairs",19,IF(J795="spatial position",20,IF(J795="word pairs",21,IF(J795="word triads",22,IF(J795="generated words",23,IF(J795="word definition pairs",24,IF(J795="math problems",25,IF(J795="famous faces",26,IF(J795="famous names",27,IF(J795="famous voices",28,IF(J795="television programs",29,IF(J795="race horses",30,IF(J795="new vocabulary",31,IF(J795="sentences",32,IF(J795="concepts",33,IF(J795="ad slides",34,IF(J795="scenes",35,IF(J795="famous scenes",36,IF(J795="poems",37,IF(J795="walk",38,IF(J795="faces and events",39,IF(J795="events and names",40,IF(J795="flashbulb",41,IF(J795="stories",42,IF(J795="course material",43,IF(J795="autobiographical",44,IF(J795="novels",45,IF(J795="public events",46,"99"))))))))))))))))))))))))))))))))))))))))))))))</f>
        <v>9</v>
      </c>
      <c r="L795" s="60">
        <f>IF(J795="syllables",1,IF(J795="trigrams",1,IF(J795="strings",1,IF(J795="visual array",1,IF(J795="characters",1,IF(J795="letters",1,IF(J795="free forms",1,IF(J795="odors",2,IF(J795="words",2,IF(J795="pictures",2,IF(J795="object pictures",2,IF(J795="faces",2,IF(J795="names",2,IF(J795="idioms","2",IF(J795="grades",2,IF(J795="syllable-digit pairs",3,IF(J795="trigram-word pairs",3,IF(J795="word-digit pairs",3,IF(J795="English-Swahili pairs",3,IF(J795="spatial position",3,IF(J795="word pairs",4,IF(J795="word triads",4,IF(J795="generated words",4,IF(J795="word definition pairs",4,IF(J795="math problems",4,IF(J795="famous faces",4,IF(J795="famous names",4,IF(J795="famous voices",4,IF(J795="television programs",4,IF(J795="race horses",4,IF(J795="new vocabulary",4,IF(J795="sentences",5,IF(J795="concepts",5,IF(J795="ad slides",5,IF(J795="scenes",5,IF(J795="famous scenes",5,IF(J795="poems",6,IF(J795="walk",6,IF(J795="faces and events",6,IF(J795="events and names",6,IF(J795="flashbulb",7,IF(J795="stories",7,IF(J795="course material",7,IF(J795="autobiographical",7,IF(J795="novels",7,IF(J795="public events",7,"99"))))))))))))))))))))))))))))))))))))))))))))))</f>
        <v>2</v>
      </c>
      <c r="M795" s="60">
        <v>0</v>
      </c>
      <c r="N795" s="60">
        <v>1</v>
      </c>
      <c r="O795" s="60">
        <v>0</v>
      </c>
      <c r="P795" s="60"/>
      <c r="Q795" s="60" t="s">
        <v>174</v>
      </c>
      <c r="R795" s="60">
        <f>IF(Q795="Free Recall",1,IF(Q795="Cued Recall",2,IF(Q795="Recognition",3,IF(Q795="Multiple Choice",4,IF(Q795="Savings",5,IF(Q795="Stem Completion",6,IF(Q795="Fragment Completion",7,IF(Q795="anagram solution",8,IF(Q795="Matching",9,IF(Q795="Problem Solving",10,"99"))))))))))</f>
        <v>1</v>
      </c>
      <c r="S795" s="60" t="s">
        <v>49</v>
      </c>
      <c r="T795" s="59" t="s">
        <v>581</v>
      </c>
      <c r="U795" s="60">
        <f>IF(T795="within",1,0)</f>
        <v>1</v>
      </c>
      <c r="V795" s="59">
        <v>15</v>
      </c>
      <c r="W795" s="60">
        <f>F795*V795</f>
        <v>420</v>
      </c>
      <c r="X795" s="60">
        <v>3</v>
      </c>
      <c r="Y795" s="76">
        <f>AV794</f>
        <v>30</v>
      </c>
      <c r="Z795" s="60" t="s">
        <v>97</v>
      </c>
      <c r="AA795" s="60">
        <v>604800</v>
      </c>
      <c r="AB795" s="60" t="str">
        <f>IF(AA795&lt;60,"1",IF(AA795&lt;=43200,"2",IF(AA795&lt;=777600,"3","4")))</f>
        <v>3</v>
      </c>
      <c r="AC795" s="56">
        <f>AVERAGE(AV794:DA794)</f>
        <v>225610</v>
      </c>
      <c r="AD795" s="60" t="str">
        <f>IF(AC795&lt;60,"1",IF(AC795&lt;=43200,"2",IF(AC795&lt;=777600,"3","4")))</f>
        <v>3</v>
      </c>
      <c r="AE795" s="76">
        <f>AA795-Y795</f>
        <v>604770</v>
      </c>
      <c r="AF795" s="80">
        <f>AV795</f>
        <v>0.59</v>
      </c>
      <c r="AG795" s="56">
        <f>((AW795-AV795)+(AX795-AW795))/2</f>
        <v>-0.12</v>
      </c>
      <c r="AH795" s="4"/>
      <c r="AI795" s="56">
        <f>RSQ(AV795:AX795,AV794:AX794)</f>
        <v>0.76135631515335134</v>
      </c>
      <c r="AJ795" s="109">
        <f>SLOPE(AV795:AX795,AV794:AX794)</f>
        <v>-3.1841764810927266E-7</v>
      </c>
      <c r="AK795" s="56">
        <f>INTERCEPT(AV795:AX795,AV794:AX794)</f>
        <v>0.53517153892326641</v>
      </c>
      <c r="AL795" s="56">
        <f>INDEX(LINEST(LN(AV795:AX795),LN(AV794:AX794),TRUE,TRUE),3,1)</f>
        <v>0.91458359237472275</v>
      </c>
      <c r="AM795" s="56">
        <f>INDEX(LINEST(LN(AV795:AX795),LN(AV794:AX794)),1)</f>
        <v>-4.7866769554813511E-2</v>
      </c>
      <c r="AN795" s="56">
        <f>EXP(INDEX(LINEST(LN(AV795:AX795),LN(AV794:AX794)),1,2))</f>
        <v>0.70690843238759249</v>
      </c>
      <c r="AO795" s="82">
        <f>INDEX(LINEST((AV795:AX795),LN(AV794:AX794),TRUE,TRUE),3,1)</f>
        <v>0.95139836548777335</v>
      </c>
      <c r="AP795" s="82">
        <f>INDEX(LINEST((AV795:AX795),LN(AV794:AX794)),1)</f>
        <v>-2.253650948286183E-2</v>
      </c>
      <c r="AQ795" s="83">
        <f>INDEX(LINEST(LN(AV795:AX795),SQRT(AV794:AX794),TRUE,TRUE),3,1)</f>
        <v>0.9590044639595211</v>
      </c>
      <c r="AR795" s="116">
        <f>INDEX(LINEST(LN(AV795:AX795),SQRT((AV794:AX794))),1)</f>
        <v>-6.514032420287312E-4</v>
      </c>
      <c r="AS795" s="84">
        <f>INDEX(LINEST(1/(AV795:AX795),1/(SQRT(AV794:AX794)),TRUE,TRUE),3,1)</f>
        <v>0.71308804598786257</v>
      </c>
      <c r="AT795" s="84">
        <f>INDEX(LINEST(1/(AV795:AX795),1/SQRT(AV794:AX794)),1)</f>
        <v>-4.7265791305022944</v>
      </c>
      <c r="AU795" s="3"/>
      <c r="AV795" s="53">
        <v>0.59</v>
      </c>
      <c r="AW795" s="53">
        <v>0.45</v>
      </c>
      <c r="AX795" s="53">
        <v>0.35</v>
      </c>
      <c r="AY795" s="42"/>
      <c r="AZ795" s="46"/>
      <c r="BA795" s="42"/>
      <c r="BB795" s="42"/>
      <c r="BC795" s="30"/>
      <c r="BD795" s="30"/>
      <c r="BE795" s="30"/>
      <c r="BF795" s="30"/>
      <c r="BG795" s="30"/>
      <c r="BH795" s="30"/>
      <c r="BI795" s="30"/>
      <c r="BJ795" s="30"/>
      <c r="BK795" s="30"/>
      <c r="BL795" s="30"/>
      <c r="BM795" s="30"/>
      <c r="BN795" s="30"/>
      <c r="BO795" s="30"/>
      <c r="BP795" s="30"/>
      <c r="BQ795" s="30"/>
      <c r="BR795" s="30"/>
      <c r="BS795" s="30"/>
      <c r="BT795" s="30"/>
      <c r="BU795" s="30"/>
      <c r="BV795" s="30"/>
      <c r="BW795" s="30"/>
      <c r="BX795" s="30"/>
      <c r="BY795" s="30"/>
      <c r="BZ795" s="30"/>
      <c r="CA795" s="30"/>
      <c r="CB795" s="30"/>
      <c r="CC795" s="30"/>
      <c r="CD795" s="30"/>
      <c r="CE795" s="30"/>
      <c r="CF795" s="30"/>
      <c r="CG795" s="30"/>
      <c r="CH795" s="30"/>
      <c r="CI795" s="30"/>
      <c r="CJ795" s="30"/>
      <c r="CK795" s="30"/>
      <c r="CL795" s="30"/>
      <c r="CM795" s="30"/>
      <c r="CN795" s="30"/>
      <c r="CO795" s="30"/>
      <c r="CP795" s="30"/>
      <c r="CQ795" s="30"/>
      <c r="CR795" s="1"/>
      <c r="CS795" s="1"/>
      <c r="CT795" s="1"/>
      <c r="CU795" s="1"/>
    </row>
    <row r="796" spans="1:99" s="13" customFormat="1" ht="12" customHeight="1" x14ac:dyDescent="0.2">
      <c r="A796" s="65">
        <v>43900</v>
      </c>
      <c r="B796" s="1"/>
      <c r="C796" s="1"/>
      <c r="D796" s="60"/>
      <c r="E796" s="76"/>
      <c r="F796" s="60"/>
      <c r="G796" s="60"/>
      <c r="H796" s="60"/>
      <c r="I796" s="60"/>
      <c r="J796" s="60"/>
      <c r="K796" s="64"/>
      <c r="L796" s="64"/>
      <c r="M796" s="60"/>
      <c r="N796" s="61"/>
      <c r="O796" s="60"/>
      <c r="P796" s="60"/>
      <c r="Q796" s="60"/>
      <c r="R796" s="60"/>
      <c r="S796" s="60"/>
      <c r="T796" s="59"/>
      <c r="U796" s="60"/>
      <c r="V796" s="59"/>
      <c r="W796" s="60"/>
      <c r="X796" s="60"/>
      <c r="Y796" s="76"/>
      <c r="Z796" s="60"/>
      <c r="AA796" s="76"/>
      <c r="AB796" s="60"/>
      <c r="AC796" s="56"/>
      <c r="AD796" s="60"/>
      <c r="AE796" s="60"/>
      <c r="AF796" s="80"/>
      <c r="AG796" s="56"/>
      <c r="AH796" s="4"/>
      <c r="AI796" s="56"/>
      <c r="AJ796" s="109"/>
      <c r="AK796" s="56"/>
      <c r="AL796" s="56"/>
      <c r="AM796" s="56"/>
      <c r="AN796" s="56"/>
      <c r="AO796" s="82"/>
      <c r="AP796" s="82"/>
      <c r="AQ796" s="83"/>
      <c r="AR796" s="116"/>
      <c r="AS796" s="84"/>
      <c r="AT796" s="84"/>
      <c r="AU796" s="3"/>
      <c r="AV796" s="25">
        <v>30</v>
      </c>
      <c r="AW796" s="25">
        <f>20*60*60</f>
        <v>72000</v>
      </c>
      <c r="AX796" s="25">
        <f>7*24*60*60</f>
        <v>604800</v>
      </c>
      <c r="AY796" s="42"/>
      <c r="AZ796" s="46"/>
      <c r="BA796" s="42"/>
      <c r="BB796" s="42"/>
      <c r="BC796" s="30"/>
      <c r="BD796" s="30"/>
      <c r="BE796" s="30"/>
      <c r="BF796" s="30"/>
      <c r="BG796" s="30"/>
      <c r="BH796" s="30"/>
      <c r="BI796" s="30"/>
      <c r="BJ796" s="30"/>
      <c r="BK796" s="30"/>
      <c r="BL796" s="30"/>
      <c r="BM796" s="30"/>
      <c r="BN796" s="30"/>
      <c r="BO796" s="30"/>
      <c r="BP796" s="30"/>
      <c r="BQ796" s="30"/>
      <c r="BR796" s="30"/>
      <c r="BS796" s="30"/>
      <c r="BT796" s="30"/>
      <c r="BU796" s="30"/>
      <c r="BV796" s="30"/>
      <c r="BW796" s="30"/>
      <c r="BX796" s="30"/>
      <c r="BY796" s="30"/>
      <c r="BZ796" s="30"/>
      <c r="CA796" s="30"/>
      <c r="CB796" s="30"/>
      <c r="CC796" s="30"/>
      <c r="CD796" s="30"/>
      <c r="CE796" s="30"/>
      <c r="CF796" s="30"/>
      <c r="CG796" s="30"/>
      <c r="CH796" s="30"/>
      <c r="CI796" s="30"/>
      <c r="CJ796" s="30"/>
      <c r="CK796" s="30"/>
      <c r="CL796" s="30"/>
      <c r="CM796" s="30"/>
      <c r="CN796" s="30"/>
      <c r="CO796" s="30"/>
      <c r="CP796" s="30"/>
      <c r="CQ796" s="30"/>
      <c r="CR796" s="1"/>
      <c r="CS796" s="1"/>
      <c r="CT796" s="1"/>
      <c r="CU796" s="1"/>
    </row>
    <row r="797" spans="1:99" s="13" customFormat="1" ht="12" customHeight="1" x14ac:dyDescent="0.2">
      <c r="A797" s="65">
        <v>43900</v>
      </c>
      <c r="B797" s="1" t="s">
        <v>417</v>
      </c>
      <c r="C797" s="1" t="s">
        <v>418</v>
      </c>
      <c r="D797" s="60">
        <v>2018</v>
      </c>
      <c r="E797" s="76">
        <v>1</v>
      </c>
      <c r="F797" s="60">
        <v>28</v>
      </c>
      <c r="G797" s="60">
        <v>28</v>
      </c>
      <c r="H797" s="60" t="s">
        <v>22</v>
      </c>
      <c r="I797" s="60" t="s">
        <v>731</v>
      </c>
      <c r="J797" s="60" t="s">
        <v>16</v>
      </c>
      <c r="K797" s="60">
        <f>IF(J797="syllables",1,IF(J797="trigrams",2,IF(J797="strings",3,IF(J797="visual array",4,IF(J797="characters",5,IF(J797="letters",6,IF(J797="free forms",7,IF(J797="odors",8,IF(J797="words",9,IF(J797="pictures",10,IF(J797="object pictures",11,IF(J797="faces",12,IF(J797="names",13,IF(J797="idioms",14,IF(J797="grades",15,IF(J797="syllable-digit pairs",16,IF(J797="trigram-word pairs",17,IF(J797="word-digit pairs",18,IF(J797="English-Swahili pairs",19,IF(J797="spatial position",20,IF(J797="word pairs",21,IF(J797="word triads",22,IF(J797="generated words",23,IF(J797="word definition pairs",24,IF(J797="math problems",25,IF(J797="famous faces",26,IF(J797="famous names",27,IF(J797="famous voices",28,IF(J797="television programs",29,IF(J797="race horses",30,IF(J797="new vocabulary",31,IF(J797="sentences",32,IF(J797="concepts",33,IF(J797="ad slides",34,IF(J797="scenes",35,IF(J797="famous scenes",36,IF(J797="poems",37,IF(J797="walk",38,IF(J797="faces and events",39,IF(J797="events and names",40,IF(J797="flashbulb",41,IF(J797="stories",42,IF(J797="course material",43,IF(J797="autobiographical",44,IF(J797="novels",45,IF(J797="public events",46,"99"))))))))))))))))))))))))))))))))))))))))))))))</f>
        <v>9</v>
      </c>
      <c r="L797" s="60">
        <f>IF(J797="syllables",1,IF(J797="trigrams",1,IF(J797="strings",1,IF(J797="visual array",1,IF(J797="characters",1,IF(J797="letters",1,IF(J797="free forms",1,IF(J797="odors",2,IF(J797="words",2,IF(J797="pictures",2,IF(J797="object pictures",2,IF(J797="faces",2,IF(J797="names",2,IF(J797="idioms","2",IF(J797="grades",2,IF(J797="syllable-digit pairs",3,IF(J797="trigram-word pairs",3,IF(J797="word-digit pairs",3,IF(J797="English-Swahili pairs",3,IF(J797="spatial position",3,IF(J797="word pairs",4,IF(J797="word triads",4,IF(J797="generated words",4,IF(J797="word definition pairs",4,IF(J797="math problems",4,IF(J797="famous faces",4,IF(J797="famous names",4,IF(J797="famous voices",4,IF(J797="television programs",4,IF(J797="race horses",4,IF(J797="new vocabulary",4,IF(J797="sentences",5,IF(J797="concepts",5,IF(J797="ad slides",5,IF(J797="scenes",5,IF(J797="famous scenes",5,IF(J797="poems",6,IF(J797="walk",6,IF(J797="faces and events",6,IF(J797="events and names",6,IF(J797="flashbulb",7,IF(J797="stories",7,IF(J797="course material",7,IF(J797="autobiographical",7,IF(J797="novels",7,IF(J797="public events",7,"99"))))))))))))))))))))))))))))))))))))))))))))))</f>
        <v>2</v>
      </c>
      <c r="M797" s="60">
        <v>0</v>
      </c>
      <c r="N797" s="60">
        <v>1</v>
      </c>
      <c r="O797" s="60">
        <v>0</v>
      </c>
      <c r="P797" s="60"/>
      <c r="Q797" s="60" t="s">
        <v>174</v>
      </c>
      <c r="R797" s="60">
        <f>IF(Q797="Free Recall",1,IF(Q797="Cued Recall",2,IF(Q797="Recognition",3,IF(Q797="Multiple Choice",4,IF(Q797="Savings",5,IF(Q797="Stem Completion",6,IF(Q797="Fragment Completion",7,IF(Q797="anagram solution",8,IF(Q797="Matching",9,IF(Q797="Problem Solving",10,"99"))))))))))</f>
        <v>1</v>
      </c>
      <c r="S797" s="60" t="s">
        <v>49</v>
      </c>
      <c r="T797" s="59" t="s">
        <v>581</v>
      </c>
      <c r="U797" s="60">
        <f>IF(T797="within",1,0)</f>
        <v>1</v>
      </c>
      <c r="V797" s="59">
        <v>15</v>
      </c>
      <c r="W797" s="60">
        <f>F797*V797</f>
        <v>420</v>
      </c>
      <c r="X797" s="60">
        <v>3</v>
      </c>
      <c r="Y797" s="76">
        <f>AV796</f>
        <v>30</v>
      </c>
      <c r="Z797" s="60" t="s">
        <v>97</v>
      </c>
      <c r="AA797" s="60">
        <v>604800</v>
      </c>
      <c r="AB797" s="60" t="str">
        <f>IF(AA797&lt;60,"1",IF(AA797&lt;=43200,"2",IF(AA797&lt;=777600,"3","4")))</f>
        <v>3</v>
      </c>
      <c r="AC797" s="56">
        <f>AVERAGE(AV796:DA796)</f>
        <v>225610</v>
      </c>
      <c r="AD797" s="60" t="str">
        <f>IF(AC797&lt;60,"1",IF(AC797&lt;=43200,"2",IF(AC797&lt;=777600,"3","4")))</f>
        <v>3</v>
      </c>
      <c r="AE797" s="76">
        <f>AA797-Y797</f>
        <v>604770</v>
      </c>
      <c r="AF797" s="80">
        <f>AV797</f>
        <v>0.81</v>
      </c>
      <c r="AG797" s="56">
        <f>((AW797-AV797)+(AX797-AW797))/2</f>
        <v>-0.11000000000000004</v>
      </c>
      <c r="AH797" s="4"/>
      <c r="AI797" s="56">
        <f>RSQ(AV797:AX797,AV796:AX796)</f>
        <v>0.99971380347654959</v>
      </c>
      <c r="AJ797" s="109">
        <f>SLOPE(AV797:AX797,AV796:AX796)</f>
        <v>-3.6108686463147113E-7</v>
      </c>
      <c r="AK797" s="56">
        <f>INTERCEPT(AV797:AX797,AV796:AX796)</f>
        <v>0.80813147419617293</v>
      </c>
      <c r="AL797" s="56">
        <f>INDEX(LINEST(LN(AV797:AX797),LN(AV796:AX796),TRUE,TRUE),3,1)</f>
        <v>0.55271415861195661</v>
      </c>
      <c r="AM797" s="56">
        <f>INDEX(LINEST(LN(AV797:AX797),LN(AV796:AX796)),1)</f>
        <v>-2.4665227897221281E-2</v>
      </c>
      <c r="AN797" s="56">
        <f>EXP(INDEX(LINEST(LN(AV797:AX797),LN(AV796:AX796)),1,2))</f>
        <v>0.90523023325466356</v>
      </c>
      <c r="AO797" s="82">
        <f>INDEX(LINEST((AV797:AX797),LN(AV796:AX796),TRUE,TRUE),3,1)</f>
        <v>0.56942424372799938</v>
      </c>
      <c r="AP797" s="82">
        <f>INDEX(LINEST((AV797:AX797),LN(AV796:AX796)),1)</f>
        <v>-1.7254171935692349E-2</v>
      </c>
      <c r="AQ797" s="83">
        <f>INDEX(LINEST(LN(AV797:AX797),SQRT(AV796:AX796),TRUE,TRUE),3,1)</f>
        <v>0.94708433466905861</v>
      </c>
      <c r="AR797" s="116">
        <f>INDEX(LINEST(LN(AV797:AX797),SQRT((AV796:AX796))),1)</f>
        <v>-4.2908798093960204E-4</v>
      </c>
      <c r="AS797" s="84">
        <f>INDEX(LINEST(1/(AV797:AX797),1/(SQRT(AV796:AX796)),TRUE,TRUE),3,1)</f>
        <v>0.34637375696104095</v>
      </c>
      <c r="AT797" s="84">
        <f>INDEX(LINEST(1/(AV797:AX797),1/SQRT(AV796:AX796)),1)</f>
        <v>-1.4332221243604191</v>
      </c>
      <c r="AU797" s="3"/>
      <c r="AV797" s="53">
        <v>0.81</v>
      </c>
      <c r="AW797" s="53">
        <v>0.78</v>
      </c>
      <c r="AX797" s="53">
        <v>0.59</v>
      </c>
      <c r="AY797" s="42"/>
      <c r="AZ797" s="46"/>
      <c r="BA797" s="42"/>
      <c r="BB797" s="42"/>
      <c r="BC797" s="30"/>
      <c r="BD797" s="30"/>
      <c r="BE797" s="30"/>
      <c r="BF797" s="30"/>
      <c r="BG797" s="30"/>
      <c r="BH797" s="30"/>
      <c r="BI797" s="30"/>
      <c r="BJ797" s="30"/>
      <c r="BK797" s="30"/>
      <c r="BL797" s="30"/>
      <c r="BM797" s="30"/>
      <c r="BN797" s="30"/>
      <c r="BO797" s="30"/>
      <c r="BP797" s="30"/>
      <c r="BQ797" s="30"/>
      <c r="BR797" s="30"/>
      <c r="BS797" s="30"/>
      <c r="BT797" s="30"/>
      <c r="BU797" s="30"/>
      <c r="BV797" s="30"/>
      <c r="BW797" s="30"/>
      <c r="BX797" s="30"/>
      <c r="BY797" s="30"/>
      <c r="BZ797" s="30"/>
      <c r="CA797" s="30"/>
      <c r="CB797" s="30"/>
      <c r="CC797" s="30"/>
      <c r="CD797" s="30"/>
      <c r="CE797" s="30"/>
      <c r="CF797" s="30"/>
      <c r="CG797" s="30"/>
      <c r="CH797" s="30"/>
      <c r="CI797" s="30"/>
      <c r="CJ797" s="30"/>
      <c r="CK797" s="30"/>
      <c r="CL797" s="30"/>
      <c r="CM797" s="30"/>
      <c r="CN797" s="30"/>
      <c r="CO797" s="30"/>
      <c r="CP797" s="30"/>
      <c r="CQ797" s="30"/>
      <c r="CR797" s="1"/>
      <c r="CS797" s="1"/>
      <c r="CT797" s="1"/>
      <c r="CU797" s="1"/>
    </row>
    <row r="798" spans="1:99" s="13" customFormat="1" ht="12" customHeight="1" x14ac:dyDescent="0.2">
      <c r="A798" s="65">
        <v>43900</v>
      </c>
      <c r="B798" s="1"/>
      <c r="C798" s="1"/>
      <c r="D798" s="60"/>
      <c r="E798" s="76"/>
      <c r="F798" s="60"/>
      <c r="G798" s="60"/>
      <c r="H798" s="60"/>
      <c r="I798" s="60"/>
      <c r="J798" s="60"/>
      <c r="K798" s="64"/>
      <c r="L798" s="64"/>
      <c r="M798" s="60"/>
      <c r="N798" s="61"/>
      <c r="O798" s="60"/>
      <c r="P798" s="60"/>
      <c r="Q798" s="60"/>
      <c r="R798" s="60"/>
      <c r="S798" s="60"/>
      <c r="T798" s="59"/>
      <c r="U798" s="60"/>
      <c r="V798" s="59"/>
      <c r="W798" s="60"/>
      <c r="X798" s="60"/>
      <c r="Y798" s="76"/>
      <c r="Z798" s="60"/>
      <c r="AA798" s="76"/>
      <c r="AB798" s="60"/>
      <c r="AC798" s="56"/>
      <c r="AD798" s="60"/>
      <c r="AE798" s="60"/>
      <c r="AF798" s="80"/>
      <c r="AG798" s="56"/>
      <c r="AH798" s="4"/>
      <c r="AI798" s="56"/>
      <c r="AJ798" s="109"/>
      <c r="AK798" s="56"/>
      <c r="AL798" s="56"/>
      <c r="AM798" s="56"/>
      <c r="AN798" s="56"/>
      <c r="AO798" s="82"/>
      <c r="AP798" s="82"/>
      <c r="AQ798" s="83"/>
      <c r="AR798" s="116"/>
      <c r="AS798" s="84"/>
      <c r="AT798" s="84"/>
      <c r="AU798" s="3"/>
      <c r="AV798" s="25">
        <v>30</v>
      </c>
      <c r="AW798" s="25">
        <f>20*60*60</f>
        <v>72000</v>
      </c>
      <c r="AX798" s="25">
        <f>7*24*60*60</f>
        <v>604800</v>
      </c>
      <c r="AY798" s="42"/>
      <c r="AZ798" s="46"/>
      <c r="BA798" s="42"/>
      <c r="BB798" s="42"/>
      <c r="BC798" s="30"/>
      <c r="BD798" s="30"/>
      <c r="BE798" s="30"/>
      <c r="BF798" s="30"/>
      <c r="BG798" s="30"/>
      <c r="BH798" s="30"/>
      <c r="BI798" s="30"/>
      <c r="BJ798" s="30"/>
      <c r="BK798" s="30"/>
      <c r="BL798" s="30"/>
      <c r="BM798" s="30"/>
      <c r="BN798" s="30"/>
      <c r="BO798" s="30"/>
      <c r="BP798" s="30"/>
      <c r="BQ798" s="30"/>
      <c r="BR798" s="30"/>
      <c r="BS798" s="30"/>
      <c r="BT798" s="30"/>
      <c r="BU798" s="30"/>
      <c r="BV798" s="30"/>
      <c r="BW798" s="30"/>
      <c r="BX798" s="30"/>
      <c r="BY798" s="30"/>
      <c r="BZ798" s="30"/>
      <c r="CA798" s="30"/>
      <c r="CB798" s="30"/>
      <c r="CC798" s="30"/>
      <c r="CD798" s="30"/>
      <c r="CE798" s="30"/>
      <c r="CF798" s="30"/>
      <c r="CG798" s="30"/>
      <c r="CH798" s="30"/>
      <c r="CI798" s="30"/>
      <c r="CJ798" s="30"/>
      <c r="CK798" s="30"/>
      <c r="CL798" s="30"/>
      <c r="CM798" s="30"/>
      <c r="CN798" s="30"/>
      <c r="CO798" s="30"/>
      <c r="CP798" s="30"/>
      <c r="CQ798" s="30"/>
      <c r="CR798" s="1"/>
      <c r="CS798" s="1"/>
      <c r="CT798" s="1"/>
      <c r="CU798" s="1"/>
    </row>
    <row r="799" spans="1:99" s="13" customFormat="1" ht="12" customHeight="1" x14ac:dyDescent="0.2">
      <c r="A799" s="65">
        <v>43900</v>
      </c>
      <c r="B799" s="1" t="s">
        <v>417</v>
      </c>
      <c r="C799" s="1" t="s">
        <v>418</v>
      </c>
      <c r="D799" s="60">
        <v>2018</v>
      </c>
      <c r="E799" s="76">
        <v>1</v>
      </c>
      <c r="F799" s="60">
        <v>28</v>
      </c>
      <c r="G799" s="60">
        <v>28</v>
      </c>
      <c r="H799" s="60" t="s">
        <v>22</v>
      </c>
      <c r="I799" s="60" t="s">
        <v>730</v>
      </c>
      <c r="J799" s="60" t="s">
        <v>16</v>
      </c>
      <c r="K799" s="60">
        <f>IF(J799="syllables",1,IF(J799="trigrams",2,IF(J799="strings",3,IF(J799="visual array",4,IF(J799="characters",5,IF(J799="letters",6,IF(J799="free forms",7,IF(J799="odors",8,IF(J799="words",9,IF(J799="pictures",10,IF(J799="object pictures",11,IF(J799="faces",12,IF(J799="names",13,IF(J799="idioms",14,IF(J799="grades",15,IF(J799="syllable-digit pairs",16,IF(J799="trigram-word pairs",17,IF(J799="word-digit pairs",18,IF(J799="English-Swahili pairs",19,IF(J799="spatial position",20,IF(J799="word pairs",21,IF(J799="word triads",22,IF(J799="generated words",23,IF(J799="word definition pairs",24,IF(J799="math problems",25,IF(J799="famous faces",26,IF(J799="famous names",27,IF(J799="famous voices",28,IF(J799="television programs",29,IF(J799="race horses",30,IF(J799="new vocabulary",31,IF(J799="sentences",32,IF(J799="concepts",33,IF(J799="ad slides",34,IF(J799="scenes",35,IF(J799="famous scenes",36,IF(J799="poems",37,IF(J799="walk",38,IF(J799="faces and events",39,IF(J799="events and names",40,IF(J799="flashbulb",41,IF(J799="stories",42,IF(J799="course material",43,IF(J799="autobiographical",44,IF(J799="novels",45,IF(J799="public events",46,"99"))))))))))))))))))))))))))))))))))))))))))))))</f>
        <v>9</v>
      </c>
      <c r="L799" s="60">
        <f>IF(J799="syllables",1,IF(J799="trigrams",1,IF(J799="strings",1,IF(J799="visual array",1,IF(J799="characters",1,IF(J799="letters",1,IF(J799="free forms",1,IF(J799="odors",2,IF(J799="words",2,IF(J799="pictures",2,IF(J799="object pictures",2,IF(J799="faces",2,IF(J799="names",2,IF(J799="idioms","2",IF(J799="grades",2,IF(J799="syllable-digit pairs",3,IF(J799="trigram-word pairs",3,IF(J799="word-digit pairs",3,IF(J799="English-Swahili pairs",3,IF(J799="spatial position",3,IF(J799="word pairs",4,IF(J799="word triads",4,IF(J799="generated words",4,IF(J799="word definition pairs",4,IF(J799="math problems",4,IF(J799="famous faces",4,IF(J799="famous names",4,IF(J799="famous voices",4,IF(J799="television programs",4,IF(J799="race horses",4,IF(J799="new vocabulary",4,IF(J799="sentences",5,IF(J799="concepts",5,IF(J799="ad slides",5,IF(J799="scenes",5,IF(J799="famous scenes",5,IF(J799="poems",6,IF(J799="walk",6,IF(J799="faces and events",6,IF(J799="events and names",6,IF(J799="flashbulb",7,IF(J799="stories",7,IF(J799="course material",7,IF(J799="autobiographical",7,IF(J799="novels",7,IF(J799="public events",7,"99"))))))))))))))))))))))))))))))))))))))))))))))</f>
        <v>2</v>
      </c>
      <c r="M799" s="60">
        <v>0</v>
      </c>
      <c r="N799" s="60">
        <v>1</v>
      </c>
      <c r="O799" s="60">
        <v>1</v>
      </c>
      <c r="P799" s="60"/>
      <c r="Q799" s="60" t="s">
        <v>174</v>
      </c>
      <c r="R799" s="60">
        <f>IF(Q799="Free Recall",1,IF(Q799="Cued Recall",2,IF(Q799="Recognition",3,IF(Q799="Multiple Choice",4,IF(Q799="Savings",5,IF(Q799="Stem Completion",6,IF(Q799="Fragment Completion",7,IF(Q799="anagram solution",8,IF(Q799="Matching",9,IF(Q799="Problem Solving",10,"99"))))))))))</f>
        <v>1</v>
      </c>
      <c r="S799" s="60" t="s">
        <v>49</v>
      </c>
      <c r="T799" s="59" t="s">
        <v>581</v>
      </c>
      <c r="U799" s="60">
        <f>IF(T799="within",1,0)</f>
        <v>1</v>
      </c>
      <c r="V799" s="59">
        <v>15</v>
      </c>
      <c r="W799" s="60">
        <f>F799*V799</f>
        <v>420</v>
      </c>
      <c r="X799" s="60">
        <v>3</v>
      </c>
      <c r="Y799" s="76">
        <f>AV798</f>
        <v>30</v>
      </c>
      <c r="Z799" s="60" t="s">
        <v>97</v>
      </c>
      <c r="AA799" s="60">
        <v>604800</v>
      </c>
      <c r="AB799" s="60" t="str">
        <f>IF(AA799&lt;60,"1",IF(AA799&lt;=43200,"2",IF(AA799&lt;=777600,"3","4")))</f>
        <v>3</v>
      </c>
      <c r="AC799" s="56">
        <f>AVERAGE(AV798:DA798)</f>
        <v>225610</v>
      </c>
      <c r="AD799" s="60" t="str">
        <f>IF(AC799&lt;60,"1",IF(AC799&lt;=43200,"2",IF(AC799&lt;=777600,"3","4")))</f>
        <v>3</v>
      </c>
      <c r="AE799" s="76">
        <f>AA799-Y799</f>
        <v>604770</v>
      </c>
      <c r="AF799" s="80">
        <f>AV799</f>
        <v>0.61</v>
      </c>
      <c r="AG799" s="56">
        <f>((AW799-AV799)+(AX799-AW799))/2</f>
        <v>-0.18</v>
      </c>
      <c r="AH799" s="4"/>
      <c r="AI799" s="56">
        <f>RSQ(AV799:AX799,AV798:AX798)</f>
        <v>0.90192766249110368</v>
      </c>
      <c r="AJ799" s="109">
        <f>SLOPE(AV799:AX799,AV798:AX798)</f>
        <v>-5.1985265418301002E-7</v>
      </c>
      <c r="AK799" s="56">
        <f>INTERCEPT(AV799:AX799,AV798:AX798)</f>
        <v>0.55728395731022884</v>
      </c>
      <c r="AL799" s="56">
        <f>INDEX(LINEST(LN(AV799:AX799),LN(AV798:AX798),TRUE,TRUE),3,1)</f>
        <v>0.74694610047542642</v>
      </c>
      <c r="AM799" s="56">
        <f>INDEX(LINEST(LN(AV799:AX799),LN(AV798:AX798)),1)</f>
        <v>-7.551750898022197E-2</v>
      </c>
      <c r="AN799" s="56">
        <f>EXP(INDEX(LINEST(LN(AV799:AX799),LN(AV798:AX798)),1,2))</f>
        <v>0.83240418377771341</v>
      </c>
      <c r="AO799" s="82">
        <f>INDEX(LINEST((AV799:AX799),LN(AV798:AX798),TRUE,TRUE),3,1)</f>
        <v>0.83806967117397957</v>
      </c>
      <c r="AP799" s="82">
        <f>INDEX(LINEST((AV799:AX799),LN(AV798:AX798)),1)</f>
        <v>-3.1727567220063667E-2</v>
      </c>
      <c r="AQ799" s="83">
        <f>INDEX(LINEST(LN(AV799:AX799),SQRT(AV798:AX798),TRUE,TRUE),3,1)</f>
        <v>0.99929022217941488</v>
      </c>
      <c r="AR799" s="116">
        <f>INDEX(LINEST(LN(AV799:AX799),SQRT((AV798:AX798))),1)</f>
        <v>-1.1608230638644745E-3</v>
      </c>
      <c r="AS799" s="84">
        <f>INDEX(LINEST(1/(AV799:AX799),1/(SQRT(AV798:AX798)),TRUE,TRUE),3,1)</f>
        <v>0.46760965721404768</v>
      </c>
      <c r="AT799" s="84">
        <f>INDEX(LINEST(1/(AV799:AX799),1/SQRT(AV798:AX798)),1)</f>
        <v>-8.141238485982548</v>
      </c>
      <c r="AU799" s="3"/>
      <c r="AV799" s="53">
        <v>0.61</v>
      </c>
      <c r="AW799" s="53">
        <v>0.46</v>
      </c>
      <c r="AX799" s="53">
        <v>0.25</v>
      </c>
      <c r="AY799" s="42"/>
      <c r="AZ799" s="46"/>
      <c r="BA799" s="42"/>
      <c r="BB799" s="42"/>
      <c r="BC799" s="30"/>
      <c r="BD799" s="30"/>
      <c r="BE799" s="30"/>
      <c r="BF799" s="30"/>
      <c r="BG799" s="30"/>
      <c r="BH799" s="30"/>
      <c r="BI799" s="30"/>
      <c r="BJ799" s="30"/>
      <c r="BK799" s="30"/>
      <c r="BL799" s="30"/>
      <c r="BM799" s="30"/>
      <c r="BN799" s="30"/>
      <c r="BO799" s="30"/>
      <c r="BP799" s="30"/>
      <c r="BQ799" s="30"/>
      <c r="BR799" s="30"/>
      <c r="BS799" s="30"/>
      <c r="BT799" s="30"/>
      <c r="BU799" s="30"/>
      <c r="BV799" s="30"/>
      <c r="BW799" s="30"/>
      <c r="BX799" s="30"/>
      <c r="BY799" s="30"/>
      <c r="BZ799" s="30"/>
      <c r="CA799" s="30"/>
      <c r="CB799" s="30"/>
      <c r="CC799" s="30"/>
      <c r="CD799" s="30"/>
      <c r="CE799" s="30"/>
      <c r="CF799" s="30"/>
      <c r="CG799" s="30"/>
      <c r="CH799" s="30"/>
      <c r="CI799" s="30"/>
      <c r="CJ799" s="30"/>
      <c r="CK799" s="30"/>
      <c r="CL799" s="30"/>
      <c r="CM799" s="30"/>
      <c r="CN799" s="30"/>
      <c r="CO799" s="30"/>
      <c r="CP799" s="30"/>
      <c r="CQ799" s="30"/>
      <c r="CR799" s="1"/>
      <c r="CS799" s="1"/>
      <c r="CT799" s="1"/>
      <c r="CU799" s="1"/>
    </row>
    <row r="800" spans="1:99" s="13" customFormat="1" ht="12" customHeight="1" x14ac:dyDescent="0.2">
      <c r="A800" s="65">
        <v>43900</v>
      </c>
      <c r="B800" s="1"/>
      <c r="C800" s="1"/>
      <c r="D800" s="60"/>
      <c r="E800" s="76"/>
      <c r="F800" s="60"/>
      <c r="G800" s="60"/>
      <c r="H800" s="60"/>
      <c r="I800" s="60"/>
      <c r="J800" s="60"/>
      <c r="K800" s="64"/>
      <c r="L800" s="64"/>
      <c r="M800" s="60"/>
      <c r="N800" s="61"/>
      <c r="O800" s="60"/>
      <c r="P800" s="60"/>
      <c r="Q800" s="60"/>
      <c r="R800" s="60"/>
      <c r="S800" s="60"/>
      <c r="T800" s="59"/>
      <c r="U800" s="60"/>
      <c r="V800" s="59"/>
      <c r="W800" s="60"/>
      <c r="X800" s="60"/>
      <c r="Y800" s="76"/>
      <c r="Z800" s="60"/>
      <c r="AA800" s="76"/>
      <c r="AB800" s="60"/>
      <c r="AC800" s="56"/>
      <c r="AD800" s="60"/>
      <c r="AE800" s="60"/>
      <c r="AF800" s="80"/>
      <c r="AG800" s="56"/>
      <c r="AH800" s="4"/>
      <c r="AI800" s="56"/>
      <c r="AJ800" s="109"/>
      <c r="AK800" s="56"/>
      <c r="AL800" s="56"/>
      <c r="AM800" s="56"/>
      <c r="AN800" s="56"/>
      <c r="AO800" s="82"/>
      <c r="AP800" s="82"/>
      <c r="AQ800" s="83"/>
      <c r="AR800" s="116"/>
      <c r="AS800" s="84"/>
      <c r="AT800" s="84"/>
      <c r="AU800" s="3"/>
      <c r="AV800" s="25">
        <v>30</v>
      </c>
      <c r="AW800" s="25">
        <f>20*60*60</f>
        <v>72000</v>
      </c>
      <c r="AX800" s="25">
        <f>7*24*60*60</f>
        <v>604800</v>
      </c>
      <c r="AY800" s="42"/>
      <c r="AZ800" s="46"/>
      <c r="BA800" s="42"/>
      <c r="BB800" s="42"/>
      <c r="BC800" s="42"/>
      <c r="BD800" s="42"/>
      <c r="BE800" s="42"/>
      <c r="BF800" s="42"/>
      <c r="BG800" s="42"/>
      <c r="BH800" s="30"/>
      <c r="BI800" s="30"/>
      <c r="BJ800" s="30"/>
      <c r="BK800" s="30"/>
      <c r="BL800" s="30"/>
      <c r="BM800" s="30"/>
      <c r="BN800" s="30"/>
      <c r="BO800" s="30"/>
      <c r="BP800" s="30"/>
      <c r="BQ800" s="30"/>
      <c r="BR800" s="30"/>
      <c r="BS800" s="30"/>
      <c r="BT800" s="30"/>
      <c r="BU800" s="30"/>
      <c r="BV800" s="30"/>
      <c r="BW800" s="30"/>
      <c r="BX800" s="30"/>
      <c r="BY800" s="30"/>
      <c r="BZ800" s="30"/>
      <c r="CA800" s="30"/>
      <c r="CB800" s="30"/>
      <c r="CC800" s="30"/>
      <c r="CD800" s="30"/>
      <c r="CE800" s="30"/>
      <c r="CF800" s="30"/>
      <c r="CG800" s="30"/>
      <c r="CH800" s="30"/>
      <c r="CI800" s="30"/>
      <c r="CJ800" s="30"/>
      <c r="CK800" s="30"/>
      <c r="CL800" s="30"/>
      <c r="CM800" s="30"/>
      <c r="CN800" s="30"/>
      <c r="CO800" s="30"/>
      <c r="CP800" s="30"/>
      <c r="CQ800" s="30"/>
      <c r="CR800" s="1"/>
      <c r="CS800" s="1"/>
      <c r="CT800" s="1"/>
      <c r="CU800" s="1"/>
    </row>
    <row r="801" spans="1:99" s="13" customFormat="1" ht="12" customHeight="1" x14ac:dyDescent="0.2">
      <c r="A801" s="65">
        <v>43900</v>
      </c>
      <c r="B801" s="1" t="s">
        <v>417</v>
      </c>
      <c r="C801" s="1" t="s">
        <v>418</v>
      </c>
      <c r="D801" s="60">
        <v>2018</v>
      </c>
      <c r="E801" s="76">
        <v>1</v>
      </c>
      <c r="F801" s="60">
        <v>28</v>
      </c>
      <c r="G801" s="60">
        <v>28</v>
      </c>
      <c r="H801" s="60" t="s">
        <v>22</v>
      </c>
      <c r="I801" s="60" t="s">
        <v>732</v>
      </c>
      <c r="J801" s="60" t="s">
        <v>16</v>
      </c>
      <c r="K801" s="60">
        <f>IF(J801="syllables",1,IF(J801="trigrams",2,IF(J801="strings",3,IF(J801="visual array",4,IF(J801="characters",5,IF(J801="letters",6,IF(J801="free forms",7,IF(J801="odors",8,IF(J801="words",9,IF(J801="pictures",10,IF(J801="object pictures",11,IF(J801="faces",12,IF(J801="names",13,IF(J801="idioms",14,IF(J801="grades",15,IF(J801="syllable-digit pairs",16,IF(J801="trigram-word pairs",17,IF(J801="word-digit pairs",18,IF(J801="English-Swahili pairs",19,IF(J801="spatial position",20,IF(J801="word pairs",21,IF(J801="word triads",22,IF(J801="generated words",23,IF(J801="word definition pairs",24,IF(J801="math problems",25,IF(J801="famous faces",26,IF(J801="famous names",27,IF(J801="famous voices",28,IF(J801="television programs",29,IF(J801="race horses",30,IF(J801="new vocabulary",31,IF(J801="sentences",32,IF(J801="concepts",33,IF(J801="ad slides",34,IF(J801="scenes",35,IF(J801="famous scenes",36,IF(J801="poems",37,IF(J801="walk",38,IF(J801="faces and events",39,IF(J801="events and names",40,IF(J801="flashbulb",41,IF(J801="stories",42,IF(J801="course material",43,IF(J801="autobiographical",44,IF(J801="novels",45,IF(J801="public events",46,"99"))))))))))))))))))))))))))))))))))))))))))))))</f>
        <v>9</v>
      </c>
      <c r="L801" s="60">
        <f>IF(J801="syllables",1,IF(J801="trigrams",1,IF(J801="strings",1,IF(J801="visual array",1,IF(J801="characters",1,IF(J801="letters",1,IF(J801="free forms",1,IF(J801="odors",2,IF(J801="words",2,IF(J801="pictures",2,IF(J801="object pictures",2,IF(J801="faces",2,IF(J801="names",2,IF(J801="idioms","2",IF(J801="grades",2,IF(J801="syllable-digit pairs",3,IF(J801="trigram-word pairs",3,IF(J801="word-digit pairs",3,IF(J801="English-Swahili pairs",3,IF(J801="spatial position",3,IF(J801="word pairs",4,IF(J801="word triads",4,IF(J801="generated words",4,IF(J801="word definition pairs",4,IF(J801="math problems",4,IF(J801="famous faces",4,IF(J801="famous names",4,IF(J801="famous voices",4,IF(J801="television programs",4,IF(J801="race horses",4,IF(J801="new vocabulary",4,IF(J801="sentences",5,IF(J801="concepts",5,IF(J801="ad slides",5,IF(J801="scenes",5,IF(J801="famous scenes",5,IF(J801="poems",6,IF(J801="walk",6,IF(J801="faces and events",6,IF(J801="events and names",6,IF(J801="flashbulb",7,IF(J801="stories",7,IF(J801="course material",7,IF(J801="autobiographical",7,IF(J801="novels",7,IF(J801="public events",7,"99"))))))))))))))))))))))))))))))))))))))))))))))</f>
        <v>2</v>
      </c>
      <c r="M801" s="60">
        <v>0</v>
      </c>
      <c r="N801" s="60">
        <v>1</v>
      </c>
      <c r="O801" s="60">
        <v>1</v>
      </c>
      <c r="P801" s="60"/>
      <c r="Q801" s="60" t="s">
        <v>174</v>
      </c>
      <c r="R801" s="60">
        <f>IF(Q801="Free Recall",1,IF(Q801="Cued Recall",2,IF(Q801="Recognition",3,IF(Q801="Multiple Choice",4,IF(Q801="Savings",5,IF(Q801="Stem Completion",6,IF(Q801="Fragment Completion",7,IF(Q801="anagram solution",8,IF(Q801="Matching",9,IF(Q801="Problem Solving",10,"99"))))))))))</f>
        <v>1</v>
      </c>
      <c r="S801" s="60" t="s">
        <v>49</v>
      </c>
      <c r="T801" s="59" t="s">
        <v>581</v>
      </c>
      <c r="U801" s="60">
        <f>IF(T801="within",1,0)</f>
        <v>1</v>
      </c>
      <c r="V801" s="59">
        <v>15</v>
      </c>
      <c r="W801" s="60">
        <f>F801*V801</f>
        <v>420</v>
      </c>
      <c r="X801" s="60">
        <v>3</v>
      </c>
      <c r="Y801" s="76">
        <f>AV800</f>
        <v>30</v>
      </c>
      <c r="Z801" s="60" t="s">
        <v>97</v>
      </c>
      <c r="AA801" s="60">
        <v>604800</v>
      </c>
      <c r="AB801" s="60" t="str">
        <f>IF(AA801&lt;60,"1",IF(AA801&lt;=43200,"2",IF(AA801&lt;=777600,"3","4")))</f>
        <v>3</v>
      </c>
      <c r="AC801" s="56">
        <f>AVERAGE(AV800:DA800)</f>
        <v>225610</v>
      </c>
      <c r="AD801" s="60" t="str">
        <f>IF(AC801&lt;60,"1",IF(AC801&lt;=43200,"2",IF(AC801&lt;=777600,"3","4")))</f>
        <v>3</v>
      </c>
      <c r="AE801" s="76">
        <f>AA801-Y801</f>
        <v>604770</v>
      </c>
      <c r="AF801" s="80">
        <f>AV801</f>
        <v>0.89</v>
      </c>
      <c r="AG801" s="56">
        <f>((AW801-AV801)+(AX801-AW801))/2</f>
        <v>-0.185</v>
      </c>
      <c r="AH801" s="4"/>
      <c r="AI801" s="56">
        <f>RSQ(AV801:AX801,AV800:AX800)</f>
        <v>0.92629910801850202</v>
      </c>
      <c r="AJ801" s="109">
        <f>SLOPE(AV801:AX801,AV800:AX800)</f>
        <v>-5.4426307644260353E-7</v>
      </c>
      <c r="AK801" s="56">
        <f>INTERCEPT(AV801:AX801,AV800:AX800)</f>
        <v>0.84279119267621583</v>
      </c>
      <c r="AL801" s="56">
        <f>INDEX(LINEST(LN(AV801:AX801),LN(AV800:AX800),TRUE,TRUE),3,1)</f>
        <v>0.74893742853849088</v>
      </c>
      <c r="AM801" s="56">
        <f>INDEX(LINEST(LN(AV801:AX801),LN(AV800:AX800)),1)</f>
        <v>-4.5534825890511214E-2</v>
      </c>
      <c r="AN801" s="56">
        <f>EXP(INDEX(LINEST(LN(AV801:AX801),LN(AV800:AX800)),1,2))</f>
        <v>1.0732951892051488</v>
      </c>
      <c r="AO801" s="82">
        <f>INDEX(LINEST((AV801:AX801),LN(AV800:AX800),TRUE,TRUE),3,1)</f>
        <v>0.80470698348366854</v>
      </c>
      <c r="AP801" s="82">
        <f>INDEX(LINEST((AV801:AX801),LN(AV800:AX800)),1)</f>
        <v>-3.2118439239066897E-2</v>
      </c>
      <c r="AQ801" s="83">
        <f>INDEX(LINEST(LN(AV801:AX801),SQRT(AV800:AX800),TRUE,TRUE),3,1)</f>
        <v>0.99940711311319785</v>
      </c>
      <c r="AR801" s="116">
        <f>INDEX(LINEST(LN(AV801:AX801),SQRT((AV800:AX800))),1)</f>
        <v>-6.9905173248809536E-4</v>
      </c>
      <c r="AS801" s="84">
        <f>INDEX(LINEST(1/(AV801:AX801),1/(SQRT(AV800:AX800)),TRUE,TRUE),3,1)</f>
        <v>0.50570807910787829</v>
      </c>
      <c r="AT801" s="84">
        <f>INDEX(LINEST(1/(AV801:AX801),1/SQRT(AV800:AX800)),1)</f>
        <v>-2.8352365158508981</v>
      </c>
      <c r="AU801" s="3"/>
      <c r="AV801" s="53">
        <v>0.89</v>
      </c>
      <c r="AW801" s="53">
        <v>0.75</v>
      </c>
      <c r="AX801" s="53">
        <v>0.52</v>
      </c>
      <c r="AY801" s="42"/>
      <c r="AZ801" s="46"/>
      <c r="BA801" s="42"/>
      <c r="BB801" s="42"/>
      <c r="BC801" s="30"/>
      <c r="BD801" s="30"/>
      <c r="BE801" s="30"/>
      <c r="BF801" s="30"/>
      <c r="BG801" s="30"/>
      <c r="BH801" s="30"/>
      <c r="BI801" s="30"/>
      <c r="BJ801" s="30"/>
      <c r="BK801" s="30"/>
      <c r="BL801" s="30"/>
      <c r="BM801" s="30"/>
      <c r="BN801" s="30"/>
      <c r="BO801" s="30"/>
      <c r="BP801" s="30"/>
      <c r="BQ801" s="30"/>
      <c r="BR801" s="30"/>
      <c r="BS801" s="30"/>
      <c r="BT801" s="30"/>
      <c r="BU801" s="30"/>
      <c r="BV801" s="30"/>
      <c r="BW801" s="30"/>
      <c r="BX801" s="30"/>
      <c r="BY801" s="30"/>
      <c r="BZ801" s="30"/>
      <c r="CA801" s="30"/>
      <c r="CB801" s="30"/>
      <c r="CC801" s="30"/>
      <c r="CD801" s="30"/>
      <c r="CE801" s="30"/>
      <c r="CF801" s="30"/>
      <c r="CG801" s="30"/>
      <c r="CH801" s="30"/>
      <c r="CI801" s="30"/>
      <c r="CJ801" s="30"/>
      <c r="CK801" s="30"/>
      <c r="CL801" s="30"/>
      <c r="CM801" s="30"/>
      <c r="CN801" s="30"/>
      <c r="CO801" s="30"/>
      <c r="CP801" s="30"/>
      <c r="CQ801" s="30"/>
      <c r="CR801" s="1"/>
      <c r="CS801" s="1"/>
      <c r="CT801" s="1"/>
      <c r="CU801" s="1"/>
    </row>
    <row r="802" spans="1:99" s="13" customFormat="1" ht="12" customHeight="1" x14ac:dyDescent="0.2">
      <c r="A802" s="68">
        <v>43896</v>
      </c>
      <c r="B802" s="70"/>
      <c r="C802" s="70"/>
      <c r="D802" s="69"/>
      <c r="E802" s="87"/>
      <c r="F802" s="69"/>
      <c r="G802" s="69"/>
      <c r="H802" s="69"/>
      <c r="I802" s="69"/>
      <c r="J802" s="69"/>
      <c r="K802" s="107"/>
      <c r="L802" s="107"/>
      <c r="M802" s="69"/>
      <c r="N802" s="69"/>
      <c r="O802" s="69"/>
      <c r="P802" s="69"/>
      <c r="Q802" s="69"/>
      <c r="R802" s="69"/>
      <c r="S802" s="69"/>
      <c r="T802" s="92"/>
      <c r="U802" s="69"/>
      <c r="V802" s="92"/>
      <c r="W802" s="69"/>
      <c r="X802" s="69"/>
      <c r="Y802" s="87"/>
      <c r="Z802" s="69"/>
      <c r="AA802" s="87"/>
      <c r="AB802" s="69"/>
      <c r="AC802" s="72"/>
      <c r="AD802" s="69"/>
      <c r="AE802" s="69"/>
      <c r="AF802" s="88"/>
      <c r="AG802" s="72"/>
      <c r="AH802" s="4"/>
      <c r="AI802" s="72"/>
      <c r="AJ802" s="110"/>
      <c r="AK802" s="72"/>
      <c r="AL802" s="72"/>
      <c r="AM802" s="72"/>
      <c r="AN802" s="72"/>
      <c r="AO802" s="89"/>
      <c r="AP802" s="89"/>
      <c r="AQ802" s="90"/>
      <c r="AR802" s="117"/>
      <c r="AS802" s="91"/>
      <c r="AT802" s="91"/>
      <c r="AU802" s="3"/>
      <c r="AV802" s="71">
        <v>94608000</v>
      </c>
      <c r="AW802" s="71">
        <v>252288000</v>
      </c>
      <c r="AX802" s="71">
        <v>409968000</v>
      </c>
      <c r="AY802" s="71">
        <v>567648000</v>
      </c>
      <c r="AZ802" s="46"/>
      <c r="BA802" s="42"/>
      <c r="BB802" s="42"/>
      <c r="BC802" s="30"/>
      <c r="BD802" s="30"/>
      <c r="BE802" s="30"/>
      <c r="BF802" s="30"/>
      <c r="BG802" s="30"/>
      <c r="BH802" s="30"/>
      <c r="BI802" s="30"/>
      <c r="BJ802" s="30"/>
      <c r="BK802" s="30"/>
      <c r="BL802" s="30"/>
      <c r="BM802" s="30"/>
      <c r="BN802" s="30"/>
      <c r="BO802" s="30"/>
      <c r="BP802" s="30"/>
      <c r="BQ802" s="30"/>
      <c r="BR802" s="30"/>
      <c r="BS802" s="30"/>
      <c r="BT802" s="30"/>
      <c r="BU802" s="30"/>
      <c r="BV802" s="30"/>
      <c r="BW802" s="30"/>
      <c r="BX802" s="30"/>
      <c r="BY802" s="30"/>
      <c r="BZ802" s="30"/>
      <c r="CA802" s="30"/>
      <c r="CB802" s="30"/>
      <c r="CC802" s="30"/>
      <c r="CD802" s="30"/>
      <c r="CE802" s="30"/>
      <c r="CF802" s="30"/>
      <c r="CG802" s="30"/>
      <c r="CH802" s="30"/>
      <c r="CI802" s="30"/>
      <c r="CJ802" s="30"/>
      <c r="CK802" s="30"/>
      <c r="CL802" s="30"/>
      <c r="CM802" s="30"/>
      <c r="CN802" s="30"/>
      <c r="CO802" s="30"/>
      <c r="CP802" s="30"/>
      <c r="CQ802" s="30"/>
      <c r="CR802" s="1"/>
      <c r="CS802" s="1"/>
      <c r="CT802" s="1"/>
      <c r="CU802" s="1"/>
    </row>
    <row r="803" spans="1:99" s="13" customFormat="1" ht="12" customHeight="1" x14ac:dyDescent="0.2">
      <c r="A803" s="68">
        <v>43896</v>
      </c>
      <c r="B803" s="70" t="s">
        <v>366</v>
      </c>
      <c r="C803" s="70" t="s">
        <v>357</v>
      </c>
      <c r="D803" s="69">
        <v>1997</v>
      </c>
      <c r="E803" s="87">
        <v>1</v>
      </c>
      <c r="F803" s="69">
        <v>10</v>
      </c>
      <c r="G803" s="69">
        <v>10</v>
      </c>
      <c r="H803" s="69" t="s">
        <v>50</v>
      </c>
      <c r="I803" s="69" t="s">
        <v>330</v>
      </c>
      <c r="J803" s="69" t="s">
        <v>340</v>
      </c>
      <c r="K803" s="69">
        <f>IF(J803="syllables",1,IF(J803="trigrams",2,IF(J803="strings",3,IF(J803="visual array",4,IF(J803="characters",5,IF(J803="letters",6,IF(J803="free forms",7,IF(J803="odors",8,IF(J803="words",9,IF(J803="pictures",10,IF(J803="object pictures",11,IF(J803="faces",12,IF(J803="names",13,IF(J803="idioms",14,IF(J803="grades",15,IF(J803="syllable-digit pairs",16,IF(J803="trigram-word pairs",17,IF(J803="word-digit pairs",18,IF(J803="English-Swahili pairs",19,IF(J803="spatial position",20,IF(J803="word pairs",21,IF(J803="word triads",22,IF(J803="generated words",23,IF(J803="word definition pairs",24,IF(J803="math problems",25,IF(J803="famous faces",26,IF(J803="famous names",27,IF(J803="famous voices",28,IF(J803="television programs",29,IF(J803="race horses",30,IF(J803="new vocabulary",31,IF(J803="sentences",32,IF(J803="concepts",33,IF(J803="ad slides",34,IF(J803="scenes",35,IF(J803="famous scenes",36,IF(J803="poems",37,IF(J803="walk",38,IF(J803="faces and events",39,IF(J803="events and names",40,IF(J803="flashbulb",41,IF(J803="stories",42,IF(J803="course material",43,IF(J803="autobiographical",44,IF(J803="novels",45,IF(J803="public events",46,"99"))))))))))))))))))))))))))))))))))))))))))))))</f>
        <v>46</v>
      </c>
      <c r="L803" s="69">
        <f>IF(J803="syllables",1,IF(J803="trigrams",1,IF(J803="strings",1,IF(J803="visual array",1,IF(J803="characters",1,IF(J803="letters",1,IF(J803="free forms",1,IF(J803="odors",2,IF(J803="words",2,IF(J803="pictures",2,IF(J803="object pictures",2,IF(J803="faces",2,IF(J803="names",2,IF(J803="idioms","2",IF(J803="grades",2,IF(J803="syllable-digit pairs",3,IF(J803="trigram-word pairs",3,IF(J803="word-digit pairs",3,IF(J803="English-Swahili pairs",3,IF(J803="spatial position",3,IF(J803="word pairs",4,IF(J803="word triads",4,IF(J803="generated words",4,IF(J803="word definition pairs",4,IF(J803="math problems",4,IF(J803="famous faces",4,IF(J803="famous names",4,IF(J803="famous voices",4,IF(J803="television programs",4,IF(J803="race horses",4,IF(J803="new vocabulary",4,IF(J803="sentences",5,IF(J803="concepts",5,IF(J803="ad slides",5,IF(J803="scenes",5,IF(J803="famous scenes",5,IF(J803="poems",6,IF(J803="walk",6,IF(J803="faces and events",6,IF(J803="events and names",6,IF(J803="flashbulb",7,IF(J803="stories",7,IF(J803="course material",7,IF(J803="autobiographical",7,IF(J803="novels",7,IF(J803="public events",7,"99"))))))))))))))))))))))))))))))))))))))))))))))</f>
        <v>7</v>
      </c>
      <c r="M803" s="69">
        <v>1</v>
      </c>
      <c r="N803" s="69">
        <v>4</v>
      </c>
      <c r="O803" s="69">
        <v>0</v>
      </c>
      <c r="P803" s="69"/>
      <c r="Q803" s="69" t="s">
        <v>174</v>
      </c>
      <c r="R803" s="69">
        <f>IF(Q803="Free Recall",1,IF(Q803="Cued Recall",2,IF(Q803="Recognition",3,IF(Q803="Multiple Choice",4,IF(Q803="Savings",5,IF(Q803="Stem Completion",6,IF(Q803="Fragment Completion",7,IF(Q803="anagram solution",8,IF(Q803="Matching",9,IF(Q803="Problem Solving",10,"99"))))))))))</f>
        <v>1</v>
      </c>
      <c r="S803" s="69" t="s">
        <v>49</v>
      </c>
      <c r="T803" s="92" t="s">
        <v>581</v>
      </c>
      <c r="U803" s="69">
        <f>IF(T803="within",1,0)</f>
        <v>1</v>
      </c>
      <c r="V803" s="92">
        <v>40</v>
      </c>
      <c r="W803" s="69">
        <f>F803*V803</f>
        <v>400</v>
      </c>
      <c r="X803" s="69">
        <v>4</v>
      </c>
      <c r="Y803" s="87">
        <f>AV802</f>
        <v>94608000</v>
      </c>
      <c r="Z803" s="92" t="s">
        <v>377</v>
      </c>
      <c r="AA803" s="69">
        <f>18*365*24*60*60</f>
        <v>567648000</v>
      </c>
      <c r="AB803" s="69" t="str">
        <f>IF(AA803&lt;60,"1",IF(AA803&lt;=43200,"2",IF(AA803&lt;=777600,"3","4")))</f>
        <v>4</v>
      </c>
      <c r="AC803" s="72">
        <f>AVERAGE(AV802:DA802)</f>
        <v>331128000</v>
      </c>
      <c r="AD803" s="69" t="str">
        <f>IF(AC803&lt;60,"1",IF(AC803&lt;=43200,"2",IF(AC803&lt;=777600,"3","4")))</f>
        <v>4</v>
      </c>
      <c r="AE803" s="87">
        <f>AA803-Y803</f>
        <v>473040000</v>
      </c>
      <c r="AF803" s="88">
        <f>AV803</f>
        <v>0.97</v>
      </c>
      <c r="AG803" s="72">
        <f>((AW803-AV803)+(AX803-AW803)+(AY803-AX803))/3</f>
        <v>-5.6666666666666643E-2</v>
      </c>
      <c r="AH803" s="4"/>
      <c r="AI803" s="72">
        <f>RSQ(AV803:AY803,AV802:AY802)</f>
        <v>0.95706984667802386</v>
      </c>
      <c r="AJ803" s="110">
        <f>SLOPE(AV803:AY803,AV802:AY802)</f>
        <v>-3.361237950279045E-10</v>
      </c>
      <c r="AK803" s="72">
        <f>INTERCEPT(AV803:AY803,AV802:AY802)</f>
        <v>0.99879999999999991</v>
      </c>
      <c r="AL803" s="72">
        <f>INDEX(LINEST(LN(AV803:AY803),LN(AV802:AY802),TRUE,TRUE),3,1)</f>
        <v>0.88158954190447458</v>
      </c>
      <c r="AM803" s="72">
        <f>INDEX(LINEST(LN(AV803:AY803),LN(AV802:AY802)),1)</f>
        <v>-9.5459256484472982E-2</v>
      </c>
      <c r="AN803" s="72">
        <f>EXP(INDEX(LINEST(LN(AV803:AY803),LN(AV802:AY802)),1,2))</f>
        <v>5.6553125213511697</v>
      </c>
      <c r="AO803" s="89">
        <f>INDEX(LINEST((AV803:AY803),LN(AV802:AY802),TRUE,TRUE),3,1)</f>
        <v>0.90035742732873492</v>
      </c>
      <c r="AP803" s="89">
        <f>INDEX(LINEST((AV803:AY803),LN(AV802:AY802)),1)</f>
        <v>-8.49606175454585E-2</v>
      </c>
      <c r="AQ803" s="90">
        <f>INDEX(LINEST(LN(AV803:AY803),SQRT(AV802:AY802),TRUE,TRUE),3,1)</f>
        <v>0.92909763001653811</v>
      </c>
      <c r="AR803" s="117">
        <f>INDEX(LINEST(LN(AV803:AY803),SQRT((AV802:AY802))),1)</f>
        <v>-1.260872019998919E-5</v>
      </c>
      <c r="AS803" s="91">
        <f>INDEX(LINEST(1/(AV803:AY803),1/(SQRT(AV802:AY802)),TRUE,TRUE),3,1)</f>
        <v>0.79422694793442006</v>
      </c>
      <c r="AT803" s="91">
        <f>INDEX(LINEST(1/(AV803:AY803),1/SQRT(AV802:AY802)),1)</f>
        <v>-2975.9079009167422</v>
      </c>
      <c r="AU803" s="3"/>
      <c r="AV803" s="73">
        <v>0.97</v>
      </c>
      <c r="AW803" s="73">
        <v>0.9</v>
      </c>
      <c r="AX803" s="73">
        <v>0.88</v>
      </c>
      <c r="AY803" s="73">
        <v>0.8</v>
      </c>
      <c r="AZ803" s="46"/>
      <c r="BA803" s="42"/>
      <c r="BB803" s="42"/>
      <c r="BC803" s="30"/>
      <c r="BD803" s="30"/>
      <c r="BE803" s="30"/>
      <c r="BF803" s="30"/>
      <c r="BG803" s="30"/>
      <c r="BH803" s="30"/>
      <c r="BI803" s="30"/>
      <c r="BJ803" s="30"/>
      <c r="BK803" s="30"/>
      <c r="BL803" s="30"/>
      <c r="BM803" s="30"/>
      <c r="BN803" s="30"/>
      <c r="BO803" s="30"/>
      <c r="BP803" s="30"/>
      <c r="BQ803" s="30"/>
      <c r="BR803" s="30"/>
      <c r="BS803" s="30"/>
      <c r="BT803" s="30"/>
      <c r="BU803" s="30"/>
      <c r="BV803" s="30"/>
      <c r="BW803" s="30"/>
      <c r="BX803" s="30"/>
      <c r="BY803" s="30"/>
      <c r="BZ803" s="30"/>
      <c r="CA803" s="30"/>
      <c r="CB803" s="30"/>
      <c r="CC803" s="30"/>
      <c r="CD803" s="30"/>
      <c r="CE803" s="30"/>
      <c r="CF803" s="30"/>
      <c r="CG803" s="30"/>
      <c r="CH803" s="30"/>
      <c r="CI803" s="30"/>
      <c r="CJ803" s="30"/>
      <c r="CK803" s="30"/>
      <c r="CL803" s="30"/>
      <c r="CM803" s="30"/>
      <c r="CN803" s="30"/>
      <c r="CO803" s="30"/>
      <c r="CP803" s="30"/>
      <c r="CQ803" s="30"/>
      <c r="CR803" s="1"/>
      <c r="CS803" s="1"/>
      <c r="CT803" s="1"/>
      <c r="CU803" s="1"/>
    </row>
    <row r="804" spans="1:99" s="13" customFormat="1" ht="12" customHeight="1" x14ac:dyDescent="0.2">
      <c r="A804" s="68">
        <v>43896</v>
      </c>
      <c r="B804" s="70"/>
      <c r="C804" s="70"/>
      <c r="D804" s="69"/>
      <c r="E804" s="87"/>
      <c r="F804" s="69"/>
      <c r="G804" s="69"/>
      <c r="H804" s="69"/>
      <c r="I804" s="69"/>
      <c r="J804" s="69"/>
      <c r="K804" s="107"/>
      <c r="L804" s="107"/>
      <c r="M804" s="69"/>
      <c r="N804" s="92"/>
      <c r="O804" s="69"/>
      <c r="P804" s="69"/>
      <c r="Q804" s="69"/>
      <c r="R804" s="69"/>
      <c r="S804" s="69"/>
      <c r="T804" s="92"/>
      <c r="U804" s="69"/>
      <c r="V804" s="92"/>
      <c r="W804" s="69"/>
      <c r="X804" s="69"/>
      <c r="Y804" s="87"/>
      <c r="Z804" s="69"/>
      <c r="AA804" s="69"/>
      <c r="AB804" s="69"/>
      <c r="AC804" s="72"/>
      <c r="AD804" s="69"/>
      <c r="AE804" s="69"/>
      <c r="AF804" s="88"/>
      <c r="AG804" s="72"/>
      <c r="AH804" s="4"/>
      <c r="AI804" s="72"/>
      <c r="AJ804" s="110"/>
      <c r="AK804" s="72"/>
      <c r="AL804" s="72"/>
      <c r="AM804" s="72"/>
      <c r="AN804" s="72"/>
      <c r="AO804" s="72"/>
      <c r="AP804" s="72"/>
      <c r="AQ804" s="72"/>
      <c r="AR804" s="110"/>
      <c r="AS804" s="72"/>
      <c r="AT804" s="72"/>
      <c r="AU804" s="5"/>
      <c r="AV804" s="71">
        <v>94608000</v>
      </c>
      <c r="AW804" s="71">
        <v>409968000</v>
      </c>
      <c r="AX804" s="71">
        <v>725302000</v>
      </c>
      <c r="AY804" s="73"/>
      <c r="AZ804" s="46"/>
      <c r="BA804" s="42"/>
      <c r="BB804" s="42"/>
      <c r="BC804" s="28"/>
      <c r="BD804" s="28"/>
      <c r="BE804" s="28"/>
      <c r="BF804" s="28"/>
      <c r="BG804" s="28"/>
      <c r="BH804" s="28"/>
      <c r="BI804" s="28"/>
      <c r="BJ804" s="28"/>
      <c r="BK804" s="28"/>
      <c r="BL804" s="28"/>
      <c r="BM804" s="28"/>
      <c r="BN804" s="28"/>
      <c r="BO804" s="28"/>
      <c r="BP804" s="28"/>
      <c r="BQ804" s="28"/>
      <c r="BR804" s="28"/>
      <c r="BS804" s="28"/>
      <c r="BT804" s="28"/>
      <c r="BU804" s="28"/>
      <c r="BV804" s="28"/>
      <c r="BW804" s="28"/>
      <c r="BX804" s="28"/>
      <c r="BY804" s="28"/>
      <c r="BZ804" s="28"/>
      <c r="CA804" s="28"/>
      <c r="CB804" s="28"/>
      <c r="CC804" s="28"/>
      <c r="CD804" s="28"/>
      <c r="CE804" s="28"/>
      <c r="CF804" s="28"/>
      <c r="CG804" s="28"/>
      <c r="CH804" s="28"/>
      <c r="CI804" s="28"/>
      <c r="CJ804" s="28"/>
      <c r="CK804" s="28"/>
      <c r="CL804" s="28"/>
      <c r="CM804" s="28"/>
      <c r="CN804" s="28"/>
      <c r="CO804" s="28"/>
      <c r="CP804" s="28"/>
      <c r="CQ804" s="28"/>
      <c r="CR804" s="1"/>
      <c r="CS804" s="1"/>
      <c r="CT804" s="1"/>
      <c r="CU804" s="1"/>
    </row>
    <row r="805" spans="1:99" s="13" customFormat="1" ht="12" customHeight="1" x14ac:dyDescent="0.2">
      <c r="A805" s="68">
        <v>43896</v>
      </c>
      <c r="B805" s="70" t="s">
        <v>366</v>
      </c>
      <c r="C805" s="70" t="s">
        <v>357</v>
      </c>
      <c r="D805" s="69">
        <v>1997</v>
      </c>
      <c r="E805" s="87">
        <v>1</v>
      </c>
      <c r="F805" s="69">
        <v>10</v>
      </c>
      <c r="G805" s="69">
        <v>10</v>
      </c>
      <c r="H805" s="69" t="s">
        <v>41</v>
      </c>
      <c r="I805" s="69" t="s">
        <v>330</v>
      </c>
      <c r="J805" s="69" t="s">
        <v>342</v>
      </c>
      <c r="K805" s="69">
        <f>IF(J805="syllables",1,IF(J805="trigrams",2,IF(J805="strings",3,IF(J805="visual array",4,IF(J805="characters",5,IF(J805="letters",6,IF(J805="free forms",7,IF(J805="odors",8,IF(J805="words",9,IF(J805="pictures",10,IF(J805="object pictures",11,IF(J805="faces",12,IF(J805="names",13,IF(J805="idioms",14,IF(J805="grades",15,IF(J805="syllable-digit pairs",16,IF(J805="trigram-word pairs",17,IF(J805="word-digit pairs",18,IF(J805="English-Swahili pairs",19,IF(J805="spatial position",20,IF(J805="word pairs",21,IF(J805="word triads",22,IF(J805="generated words",23,IF(J805="word definition pairs",24,IF(J805="math problems",25,IF(J805="famous faces",26,IF(J805="famous names",27,IF(J805="famous voices",28,IF(J805="television programs",29,IF(J805="race horses",30,IF(J805="new vocabulary",31,IF(J805="sentences",32,IF(J805="concepts",33,IF(J805="ad slides",34,IF(J805="scenes",35,IF(J805="famous scenes",36,IF(J805="poems",37,IF(J805="walk",38,IF(J805="faces and events",39,IF(J805="events and names",40,IF(J805="flashbulb",41,IF(J805="stories",42,IF(J805="course material",43,IF(J805="autobiographical",44,IF(J805="novels",45,IF(J805="public events",46,"99"))))))))))))))))))))))))))))))))))))))))))))))</f>
        <v>26</v>
      </c>
      <c r="L805" s="69">
        <f>IF(J805="syllables",1,IF(J805="trigrams",1,IF(J805="strings",1,IF(J805="visual array",1,IF(J805="characters",1,IF(J805="letters",1,IF(J805="free forms",1,IF(J805="odors",2,IF(J805="words",2,IF(J805="pictures",2,IF(J805="object pictures",2,IF(J805="faces",2,IF(J805="names",2,IF(J805="idioms","2",IF(J805="grades",2,IF(J805="syllable-digit pairs",3,IF(J805="trigram-word pairs",3,IF(J805="word-digit pairs",3,IF(J805="English-Swahili pairs",3,IF(J805="spatial position",3,IF(J805="word pairs",4,IF(J805="word triads",4,IF(J805="generated words",4,IF(J805="word definition pairs",4,IF(J805="math problems",4,IF(J805="famous faces",4,IF(J805="famous names",4,IF(J805="famous voices",4,IF(J805="television programs",4,IF(J805="race horses",4,IF(J805="new vocabulary",4,IF(J805="sentences",5,IF(J805="concepts",5,IF(J805="ad slides",5,IF(J805="scenes",5,IF(J805="famous scenes",5,IF(J805="poems",6,IF(J805="walk",6,IF(J805="faces and events",6,IF(J805="events and names",6,IF(J805="flashbulb",7,IF(J805="stories",7,IF(J805="course material",7,IF(J805="autobiographical",7,IF(J805="novels",7,IF(J805="public events",7,"99"))))))))))))))))))))))))))))))))))))))))))))))</f>
        <v>4</v>
      </c>
      <c r="M805" s="69">
        <v>1</v>
      </c>
      <c r="N805" s="86">
        <v>2</v>
      </c>
      <c r="O805" s="69">
        <v>0</v>
      </c>
      <c r="P805" s="69"/>
      <c r="Q805" s="69" t="s">
        <v>174</v>
      </c>
      <c r="R805" s="69">
        <f>IF(Q805="Free Recall",1,IF(Q805="Cued Recall",2,IF(Q805="Recognition",3,IF(Q805="Multiple Choice",4,IF(Q805="Savings",5,IF(Q805="Stem Completion",6,IF(Q805="Fragment Completion",7,IF(Q805="anagram solution",8,IF(Q805="Matching",9,IF(Q805="Problem Solving",10,"99"))))))))))</f>
        <v>1</v>
      </c>
      <c r="S805" s="69" t="s">
        <v>49</v>
      </c>
      <c r="T805" s="92" t="s">
        <v>581</v>
      </c>
      <c r="U805" s="69">
        <f>IF(T805="within",1,0)</f>
        <v>1</v>
      </c>
      <c r="V805" s="92">
        <v>105</v>
      </c>
      <c r="W805" s="69">
        <f>F805*V805</f>
        <v>1050</v>
      </c>
      <c r="X805" s="69">
        <v>3</v>
      </c>
      <c r="Y805" s="87">
        <f>AV804</f>
        <v>94608000</v>
      </c>
      <c r="Z805" s="92" t="s">
        <v>432</v>
      </c>
      <c r="AA805" s="69">
        <f>23*365*24*60*60</f>
        <v>725328000</v>
      </c>
      <c r="AB805" s="69" t="str">
        <f>IF(AA805&lt;60,"1",IF(AA805&lt;=43200,"2",IF(AA805&lt;=777600,"3","4")))</f>
        <v>4</v>
      </c>
      <c r="AC805" s="72">
        <f>AVERAGE(AV804:DA804)</f>
        <v>409959333.33333331</v>
      </c>
      <c r="AD805" s="69" t="str">
        <f>IF(AC805&lt;60,"1",IF(AC805&lt;=43200,"2",IF(AC805&lt;=777600,"3","4")))</f>
        <v>4</v>
      </c>
      <c r="AE805" s="87">
        <f>AA805-Y805</f>
        <v>630720000</v>
      </c>
      <c r="AF805" s="88">
        <f>AV805</f>
        <v>0.30769230769230771</v>
      </c>
      <c r="AG805" s="72">
        <f>((AW805-AV805)+(AX805-AW805))/2</f>
        <v>3.6630036630036639E-2</v>
      </c>
      <c r="AH805" s="4"/>
      <c r="AI805" s="72">
        <f>RSQ(AV805:AX805,AV804:AX804)</f>
        <v>0.19987792879259139</v>
      </c>
      <c r="AJ805" s="110">
        <f>SLOPE(AV805:AX805,AV804:AX804)</f>
        <v>1.1615234135541829E-10</v>
      </c>
      <c r="AK805" s="72">
        <f>INTERCEPT(AV805:AX805,AV804:AX804)</f>
        <v>0.25439426123699854</v>
      </c>
      <c r="AL805" s="72">
        <f>INDEX(LINEST(LN(AV805:AX805),LN(AV804:AX804),TRUE,TRUE),3,1)</f>
        <v>1.8938891814693617E-2</v>
      </c>
      <c r="AM805" s="72">
        <f>INDEX(LINEST(LN(AV805:AX805),LN(AV804:AX804)),1)</f>
        <v>3.7083042695148616E-2</v>
      </c>
      <c r="AN805" s="72">
        <f>EXP(INDEX(LINEST(LN(AV805:AX805),LN(AV804:AX804)),1,2))</f>
        <v>0.14261502552357558</v>
      </c>
      <c r="AO805" s="89">
        <f>INDEX(LINEST((AV805:AX805),LN(AV804:AX804),TRUE,TRUE),3,1)</f>
        <v>4.5454302629607493E-2</v>
      </c>
      <c r="AP805" s="89">
        <f>INDEX(LINEST((AV805:AX805),LN(AV804:AX804)),1)</f>
        <v>1.6623604127427173E-2</v>
      </c>
      <c r="AQ805" s="90">
        <f>INDEX(LINEST(LN(AV805:AX805),SQRT(AV804:AX804),TRUE,TRUE),3,1)</f>
        <v>6.5427472450542493E-2</v>
      </c>
      <c r="AR805" s="117">
        <f>INDEX(LINEST(LN(AV805:AX805),SQRT((AV804:AX804))),1)</f>
        <v>8.3499688640769633E-6</v>
      </c>
      <c r="AS805" s="91">
        <f>INDEX(LINEST(1/(AV805:AX805),1/(SQRT(AV804:AX804)),TRUE,TRUE),3,1)</f>
        <v>1.0525934053465644E-3</v>
      </c>
      <c r="AT805" s="91">
        <f>INDEX(LINEST(1/(AV805:AX805),1/SQRT(AV804:AX804)),1)</f>
        <v>-937.76283597129179</v>
      </c>
      <c r="AU805" s="3"/>
      <c r="AV805" s="73">
        <v>0.30769230769230771</v>
      </c>
      <c r="AW805" s="73">
        <v>0.21739130434782608</v>
      </c>
      <c r="AX805" s="73">
        <v>0.38095238095238099</v>
      </c>
      <c r="AY805" s="73"/>
      <c r="AZ805" s="46"/>
      <c r="BA805" s="42"/>
      <c r="BB805" s="42"/>
      <c r="BC805" s="28"/>
      <c r="BD805" s="28"/>
      <c r="BE805" s="28"/>
      <c r="BF805" s="28"/>
      <c r="BG805" s="28"/>
      <c r="BH805" s="28"/>
      <c r="BI805" s="28"/>
      <c r="BJ805" s="28"/>
      <c r="BK805" s="28"/>
      <c r="BL805" s="28"/>
      <c r="BM805" s="28"/>
      <c r="BN805" s="28"/>
      <c r="BO805" s="28"/>
      <c r="BP805" s="28"/>
      <c r="BQ805" s="28"/>
      <c r="BR805" s="28"/>
      <c r="BS805" s="28"/>
      <c r="BT805" s="28"/>
      <c r="BU805" s="28"/>
      <c r="BV805" s="28"/>
      <c r="BW805" s="28"/>
      <c r="BX805" s="28"/>
      <c r="BY805" s="28"/>
      <c r="BZ805" s="28"/>
      <c r="CA805" s="28"/>
      <c r="CB805" s="28"/>
      <c r="CC805" s="28"/>
      <c r="CD805" s="28"/>
      <c r="CE805" s="28"/>
      <c r="CF805" s="28"/>
      <c r="CG805" s="28"/>
      <c r="CH805" s="28"/>
      <c r="CI805" s="28"/>
      <c r="CJ805" s="28"/>
      <c r="CK805" s="28"/>
      <c r="CL805" s="28"/>
      <c r="CM805" s="28"/>
      <c r="CN805" s="28"/>
      <c r="CO805" s="28"/>
      <c r="CP805" s="28"/>
      <c r="CQ805" s="28"/>
      <c r="CR805" s="1"/>
      <c r="CS805" s="1"/>
      <c r="CT805" s="1"/>
      <c r="CU805" s="1"/>
    </row>
    <row r="806" spans="1:99" s="13" customFormat="1" ht="12" customHeight="1" x14ac:dyDescent="0.2">
      <c r="A806" s="68">
        <v>43896</v>
      </c>
      <c r="B806" s="70"/>
      <c r="C806" s="70"/>
      <c r="D806" s="69"/>
      <c r="E806" s="87"/>
      <c r="F806" s="69"/>
      <c r="G806" s="69"/>
      <c r="H806" s="69"/>
      <c r="I806" s="69"/>
      <c r="J806" s="69"/>
      <c r="K806" s="107"/>
      <c r="L806" s="107"/>
      <c r="M806" s="69"/>
      <c r="N806" s="92"/>
      <c r="O806" s="69"/>
      <c r="P806" s="69"/>
      <c r="Q806" s="69"/>
      <c r="R806" s="69"/>
      <c r="S806" s="69"/>
      <c r="T806" s="92"/>
      <c r="U806" s="69"/>
      <c r="V806" s="92"/>
      <c r="W806" s="69"/>
      <c r="X806" s="69"/>
      <c r="Y806" s="87"/>
      <c r="Z806" s="69"/>
      <c r="AA806" s="69"/>
      <c r="AB806" s="69"/>
      <c r="AC806" s="72"/>
      <c r="AD806" s="69"/>
      <c r="AE806" s="69"/>
      <c r="AF806" s="88"/>
      <c r="AG806" s="72"/>
      <c r="AH806" s="4"/>
      <c r="AI806" s="72"/>
      <c r="AJ806" s="110"/>
      <c r="AK806" s="72"/>
      <c r="AL806" s="72"/>
      <c r="AM806" s="72"/>
      <c r="AN806" s="72"/>
      <c r="AO806" s="72"/>
      <c r="AP806" s="72"/>
      <c r="AQ806" s="72"/>
      <c r="AR806" s="110"/>
      <c r="AS806" s="72"/>
      <c r="AT806" s="72"/>
      <c r="AU806" s="5"/>
      <c r="AV806" s="71">
        <v>94608000</v>
      </c>
      <c r="AW806" s="71">
        <v>409968000</v>
      </c>
      <c r="AX806" s="71">
        <v>725302000</v>
      </c>
      <c r="AY806" s="73"/>
      <c r="AZ806" s="46"/>
      <c r="BA806" s="42"/>
      <c r="BB806" s="42"/>
      <c r="BC806" s="28"/>
      <c r="BD806" s="28"/>
      <c r="BE806" s="28"/>
      <c r="BF806" s="28"/>
      <c r="BG806" s="28"/>
      <c r="BH806" s="28"/>
      <c r="BI806" s="28"/>
      <c r="BJ806" s="28"/>
      <c r="BK806" s="28"/>
      <c r="BL806" s="28"/>
      <c r="BM806" s="28"/>
      <c r="BN806" s="28"/>
      <c r="BO806" s="28"/>
      <c r="BP806" s="28"/>
      <c r="BQ806" s="28"/>
      <c r="BR806" s="28"/>
      <c r="BS806" s="28"/>
      <c r="BT806" s="28"/>
      <c r="BU806" s="28"/>
      <c r="BV806" s="28"/>
      <c r="BW806" s="28"/>
      <c r="BX806" s="28"/>
      <c r="BY806" s="28"/>
      <c r="BZ806" s="28"/>
      <c r="CA806" s="28"/>
      <c r="CB806" s="28"/>
      <c r="CC806" s="28"/>
      <c r="CD806" s="28"/>
      <c r="CE806" s="28"/>
      <c r="CF806" s="28"/>
      <c r="CG806" s="28"/>
      <c r="CH806" s="28"/>
      <c r="CI806" s="28"/>
      <c r="CJ806" s="28"/>
      <c r="CK806" s="28"/>
      <c r="CL806" s="28"/>
      <c r="CM806" s="28"/>
      <c r="CN806" s="28"/>
      <c r="CO806" s="28"/>
      <c r="CP806" s="28"/>
      <c r="CQ806" s="28"/>
      <c r="CR806" s="1"/>
      <c r="CS806" s="1"/>
      <c r="CT806" s="1"/>
      <c r="CU806" s="1"/>
    </row>
    <row r="807" spans="1:99" s="13" customFormat="1" ht="12" customHeight="1" x14ac:dyDescent="0.2">
      <c r="A807" s="68">
        <v>43896</v>
      </c>
      <c r="B807" s="70" t="s">
        <v>366</v>
      </c>
      <c r="C807" s="70" t="s">
        <v>357</v>
      </c>
      <c r="D807" s="69">
        <v>1997</v>
      </c>
      <c r="E807" s="87">
        <v>1</v>
      </c>
      <c r="F807" s="69">
        <v>10</v>
      </c>
      <c r="G807" s="69">
        <v>10</v>
      </c>
      <c r="H807" s="69" t="s">
        <v>32</v>
      </c>
      <c r="I807" s="69" t="s">
        <v>330</v>
      </c>
      <c r="J807" s="69" t="s">
        <v>367</v>
      </c>
      <c r="K807" s="69">
        <f>IF(J807="syllables",1,IF(J807="trigrams",2,IF(J807="strings",3,IF(J807="visual array",4,IF(J807="characters",5,IF(J807="letters",6,IF(J807="free forms",7,IF(J807="odors",8,IF(J807="words",9,IF(J807="pictures",10,IF(J807="object pictures",11,IF(J807="faces",12,IF(J807="names",13,IF(J807="idioms",14,IF(J807="grades",15,IF(J807="syllable-digit pairs",16,IF(J807="trigram-word pairs",17,IF(J807="word-digit pairs",18,IF(J807="English-Swahili pairs",19,IF(J807="spatial position",20,IF(J807="word pairs",21,IF(J807="word triads",22,IF(J807="generated words",23,IF(J807="word definition pairs",24,IF(J807="math problems",25,IF(J807="famous faces",26,IF(J807="famous names",27,IF(J807="famous voices",28,IF(J807="television programs",29,IF(J807="race horses",30,IF(J807="new vocabulary",31,IF(J807="sentences",32,IF(J807="concepts",33,IF(J807="ad slides",34,IF(J807="scenes",35,IF(J807="famous scenes",36,IF(J807="poems",37,IF(J807="walk",38,IF(J807="faces and events",39,IF(J807="events and names",40,IF(J807="flashbulb",41,IF(J807="stories",42,IF(J807="course material",43,IF(J807="autobiographical",44,IF(J807="novels",45,IF(J807="public events",46,"99"))))))))))))))))))))))))))))))))))))))))))))))</f>
        <v>27</v>
      </c>
      <c r="L807" s="69">
        <f>IF(J807="syllables",1,IF(J807="trigrams",1,IF(J807="strings",1,IF(J807="visual array",1,IF(J807="characters",1,IF(J807="letters",1,IF(J807="free forms",1,IF(J807="odors",2,IF(J807="words",2,IF(J807="pictures",2,IF(J807="object pictures",2,IF(J807="faces",2,IF(J807="names",2,IF(J807="idioms","2",IF(J807="grades",2,IF(J807="syllable-digit pairs",3,IF(J807="trigram-word pairs",3,IF(J807="word-digit pairs",3,IF(J807="English-Swahili pairs",3,IF(J807="spatial position",3,IF(J807="word pairs",4,IF(J807="word triads",4,IF(J807="generated words",4,IF(J807="word definition pairs",4,IF(J807="math problems",4,IF(J807="famous faces",4,IF(J807="famous names",4,IF(J807="famous voices",4,IF(J807="television programs",4,IF(J807="race horses",4,IF(J807="new vocabulary",4,IF(J807="sentences",5,IF(J807="concepts",5,IF(J807="ad slides",5,IF(J807="scenes",5,IF(J807="famous scenes",5,IF(J807="poems",6,IF(J807="walk",6,IF(J807="faces and events",6,IF(J807="events and names",6,IF(J807="flashbulb",7,IF(J807="stories",7,IF(J807="course material",7,IF(J807="autobiographical",7,IF(J807="novels",7,IF(J807="public events",7,"99"))))))))))))))))))))))))))))))))))))))))))))))</f>
        <v>4</v>
      </c>
      <c r="M807" s="69">
        <v>1</v>
      </c>
      <c r="N807" s="86">
        <v>2</v>
      </c>
      <c r="O807" s="69">
        <v>0</v>
      </c>
      <c r="P807" s="69"/>
      <c r="Q807" s="69" t="s">
        <v>174</v>
      </c>
      <c r="R807" s="69">
        <f>IF(Q807="Free Recall",1,IF(Q807="Cued Recall",2,IF(Q807="Recognition",3,IF(Q807="Multiple Choice",4,IF(Q807="Savings",5,IF(Q807="Stem Completion",6,IF(Q807="Fragment Completion",7,IF(Q807="anagram solution",8,IF(Q807="Matching",9,IF(Q807="Problem Solving",10,"99"))))))))))</f>
        <v>1</v>
      </c>
      <c r="S807" s="69" t="s">
        <v>49</v>
      </c>
      <c r="T807" s="92" t="s">
        <v>581</v>
      </c>
      <c r="U807" s="69">
        <f>IF(T807="within",1,0)</f>
        <v>1</v>
      </c>
      <c r="V807" s="92">
        <v>70</v>
      </c>
      <c r="W807" s="69">
        <f>F807*V807</f>
        <v>700</v>
      </c>
      <c r="X807" s="69">
        <v>3</v>
      </c>
      <c r="Y807" s="87">
        <f>AV806</f>
        <v>94608000</v>
      </c>
      <c r="Z807" s="92" t="s">
        <v>432</v>
      </c>
      <c r="AA807" s="69">
        <f>23*365*24*60*60</f>
        <v>725328000</v>
      </c>
      <c r="AB807" s="69" t="str">
        <f>IF(AA807&lt;60,"1",IF(AA807&lt;=43200,"2",IF(AA807&lt;=777600,"3","4")))</f>
        <v>4</v>
      </c>
      <c r="AC807" s="72">
        <f>AVERAGE(AV806:DA806)</f>
        <v>409959333.33333331</v>
      </c>
      <c r="AD807" s="69" t="str">
        <f>IF(AC807&lt;60,"1",IF(AC807&lt;=43200,"2",IF(AC807&lt;=777600,"3","4")))</f>
        <v>4</v>
      </c>
      <c r="AE807" s="87">
        <f>AA807-Y807</f>
        <v>630720000</v>
      </c>
      <c r="AF807" s="88">
        <f>AV807</f>
        <v>0.63888888888888895</v>
      </c>
      <c r="AG807" s="72">
        <f>((AW807-AV807)+(AX807-AW807))/2</f>
        <v>3.8764510779436101E-2</v>
      </c>
      <c r="AH807" s="4"/>
      <c r="AI807" s="72">
        <f>RSQ(AV807:AX807,AV806:AX806)</f>
        <v>0.15109806509166843</v>
      </c>
      <c r="AJ807" s="110">
        <f>SLOPE(AV807:AX807,AV806:AX806)</f>
        <v>1.2291959019517139E-10</v>
      </c>
      <c r="AK807" s="72">
        <f>INTERCEPT(AV807:AX807,AV806:AX806)</f>
        <v>0.57421640603503721</v>
      </c>
      <c r="AL807" s="72">
        <f>INDEX(LINEST(LN(AV807:AX807),LN(AV806:AX806),TRUE,TRUE),3,1)</f>
        <v>1.1666599212243143E-2</v>
      </c>
      <c r="AM807" s="72">
        <f>INDEX(LINEST(LN(AV807:AX807),LN(AV806:AX806)),1)</f>
        <v>1.6849924047015595E-2</v>
      </c>
      <c r="AN807" s="72">
        <f>EXP(INDEX(LINEST(LN(AV807:AX807),LN(AV806:AX806)),1,2))</f>
        <v>0.44549859292441335</v>
      </c>
      <c r="AO807" s="89">
        <f>INDEX(LINEST((AV807:AX807),LN(AV806:AX806),TRUE,TRUE),3,1)</f>
        <v>2.2506134408436216E-2</v>
      </c>
      <c r="AP807" s="89">
        <f>INDEX(LINEST((AV807:AX807),LN(AV806:AX806)),1)</f>
        <v>1.4237516700441455E-2</v>
      </c>
      <c r="AQ807" s="90">
        <f>INDEX(LINEST(LN(AV807:AX807),SQRT(AV806:AX806),TRUE,TRUE),3,1)</f>
        <v>5.1455142866412978E-2</v>
      </c>
      <c r="AR807" s="117">
        <f>INDEX(LINEST(LN(AV807:AX807),SQRT((AV806:AX806))),1)</f>
        <v>4.2869350858264726E-6</v>
      </c>
      <c r="AS807" s="91">
        <f>INDEX(LINEST(1/(AV807:AX807),1/(SQRT(AV806:AX806)),TRUE,TRUE),3,1)</f>
        <v>9.4818947466317541E-4</v>
      </c>
      <c r="AT807" s="91">
        <f>INDEX(LINEST(1/(AV807:AX807),1/SQRT(AV806:AX806)),1)</f>
        <v>-239.99682226846764</v>
      </c>
      <c r="AU807" s="3"/>
      <c r="AV807" s="73">
        <v>0.63888888888888895</v>
      </c>
      <c r="AW807" s="73">
        <v>0.51851851851851849</v>
      </c>
      <c r="AX807" s="73">
        <v>0.71641791044776115</v>
      </c>
      <c r="AY807" s="73"/>
      <c r="AZ807" s="46"/>
      <c r="BA807" s="42"/>
      <c r="BB807" s="42"/>
      <c r="BC807" s="28"/>
      <c r="BD807" s="28"/>
      <c r="BE807" s="28"/>
      <c r="BF807" s="28"/>
      <c r="BG807" s="28"/>
      <c r="BH807" s="28"/>
      <c r="BI807" s="28"/>
      <c r="BJ807" s="28"/>
      <c r="BK807" s="28"/>
      <c r="BL807" s="28"/>
      <c r="BM807" s="28"/>
      <c r="BN807" s="28"/>
      <c r="BO807" s="28"/>
      <c r="BP807" s="28"/>
      <c r="BQ807" s="28"/>
      <c r="BR807" s="28"/>
      <c r="BS807" s="28"/>
      <c r="BT807" s="28"/>
      <c r="BU807" s="28"/>
      <c r="BV807" s="28"/>
      <c r="BW807" s="28"/>
      <c r="BX807" s="28"/>
      <c r="BY807" s="28"/>
      <c r="BZ807" s="28"/>
      <c r="CA807" s="28"/>
      <c r="CB807" s="28"/>
      <c r="CC807" s="28"/>
      <c r="CD807" s="28"/>
      <c r="CE807" s="28"/>
      <c r="CF807" s="28"/>
      <c r="CG807" s="28"/>
      <c r="CH807" s="28"/>
      <c r="CI807" s="28"/>
      <c r="CJ807" s="28"/>
      <c r="CK807" s="28"/>
      <c r="CL807" s="28"/>
      <c r="CM807" s="28"/>
      <c r="CN807" s="28"/>
      <c r="CO807" s="28"/>
      <c r="CP807" s="28"/>
      <c r="CQ807" s="28"/>
      <c r="CR807" s="1"/>
      <c r="CS807" s="1"/>
      <c r="CT807" s="1"/>
      <c r="CU807" s="1"/>
    </row>
    <row r="808" spans="1:99" s="13" customFormat="1" ht="12" customHeight="1" x14ac:dyDescent="0.2">
      <c r="A808" s="65">
        <v>43979</v>
      </c>
      <c r="B808" s="1"/>
      <c r="C808" s="1"/>
      <c r="D808" s="60"/>
      <c r="E808" s="76"/>
      <c r="F808" s="60"/>
      <c r="G808" s="60"/>
      <c r="H808" s="60"/>
      <c r="I808" s="60"/>
      <c r="J808" s="60"/>
      <c r="K808" s="60"/>
      <c r="L808" s="60"/>
      <c r="M808" s="60"/>
      <c r="N808" s="61"/>
      <c r="O808" s="60"/>
      <c r="P808" s="60"/>
      <c r="Q808" s="60"/>
      <c r="R808" s="60"/>
      <c r="S808" s="60"/>
      <c r="T808" s="59"/>
      <c r="U808" s="60"/>
      <c r="V808" s="59"/>
      <c r="W808" s="60"/>
      <c r="X808" s="60"/>
      <c r="Y808" s="76"/>
      <c r="Z808" s="59"/>
      <c r="AA808" s="60"/>
      <c r="AB808" s="60"/>
      <c r="AC808" s="56"/>
      <c r="AD808" s="60"/>
      <c r="AE808" s="76"/>
      <c r="AF808" s="80"/>
      <c r="AG808" s="56"/>
      <c r="AH808" s="4"/>
      <c r="AI808" s="56"/>
      <c r="AJ808" s="109"/>
      <c r="AK808" s="56"/>
      <c r="AL808" s="56"/>
      <c r="AM808" s="56"/>
      <c r="AN808" s="56"/>
      <c r="AO808" s="82"/>
      <c r="AP808" s="82"/>
      <c r="AQ808" s="83"/>
      <c r="AR808" s="116"/>
      <c r="AS808" s="84"/>
      <c r="AT808" s="84"/>
      <c r="AU808" s="3"/>
      <c r="AV808" s="25">
        <v>20</v>
      </c>
      <c r="AW808" s="25">
        <f>60*30</f>
        <v>1800</v>
      </c>
      <c r="AX808" s="25">
        <f>60*60*24*7*3</f>
        <v>1814400</v>
      </c>
      <c r="AY808" s="53"/>
      <c r="AZ808" s="53"/>
      <c r="BA808" s="53"/>
      <c r="BB808" s="53"/>
      <c r="BC808" s="53"/>
      <c r="BD808" s="53"/>
      <c r="BE808" s="53"/>
      <c r="BF808" s="53"/>
      <c r="BG808" s="53"/>
      <c r="BH808" s="53"/>
      <c r="BI808" s="53"/>
      <c r="BJ808" s="53"/>
      <c r="BK808" s="53"/>
      <c r="BL808" s="53"/>
      <c r="BM808" s="53"/>
      <c r="BN808" s="53"/>
      <c r="BO808" s="53"/>
      <c r="BP808" s="53"/>
      <c r="BQ808" s="53"/>
      <c r="BR808" s="53"/>
      <c r="BS808" s="53"/>
      <c r="BT808" s="53"/>
      <c r="BU808" s="53"/>
      <c r="BV808" s="53"/>
      <c r="BW808" s="53"/>
      <c r="BX808" s="53"/>
      <c r="BY808" s="53"/>
      <c r="BZ808" s="53"/>
      <c r="CA808" s="53"/>
      <c r="CB808" s="53"/>
      <c r="CC808" s="53"/>
      <c r="CD808" s="53"/>
      <c r="CE808" s="53"/>
      <c r="CF808" s="53"/>
      <c r="CG808" s="53"/>
      <c r="CH808" s="53"/>
      <c r="CI808" s="53"/>
      <c r="CJ808" s="53"/>
      <c r="CK808" s="53"/>
      <c r="CL808" s="53"/>
      <c r="CM808" s="53"/>
      <c r="CN808" s="53"/>
      <c r="CO808" s="53"/>
      <c r="CP808" s="53"/>
      <c r="CQ808" s="53"/>
      <c r="CR808" s="1"/>
      <c r="CS808" s="1"/>
      <c r="CT808" s="1"/>
      <c r="CU808" s="1"/>
    </row>
    <row r="809" spans="1:99" s="13" customFormat="1" ht="12" customHeight="1" x14ac:dyDescent="0.2">
      <c r="A809" s="65">
        <v>43979</v>
      </c>
      <c r="B809" s="1" t="s">
        <v>979</v>
      </c>
      <c r="C809" s="1" t="s">
        <v>357</v>
      </c>
      <c r="D809" s="60">
        <v>2003</v>
      </c>
      <c r="E809" s="76">
        <v>1</v>
      </c>
      <c r="F809" s="60">
        <v>10</v>
      </c>
      <c r="G809" s="60">
        <v>10</v>
      </c>
      <c r="H809" s="60" t="s">
        <v>452</v>
      </c>
      <c r="I809" s="60" t="s">
        <v>330</v>
      </c>
      <c r="J809" s="60" t="s">
        <v>677</v>
      </c>
      <c r="K809" s="60">
        <f>IF(J809="syllables",1,IF(J809="trigrams",2,IF(J809="strings",3,IF(J809="visual array",4,IF(J809="characters",5,IF(J809="letters",6,IF(J809="free forms",7,IF(J809="odors",8,IF(J809="words",9,IF(J809="pictures",10,IF(J809="object pictures",11,IF(J809="faces",12,IF(J809="names",13,IF(J809="idioms",14,IF(J809="grades",15,IF(J809="syllable-digit pairs",16,IF(J809="trigram-word pairs",17,IF(J809="word-digit pairs",18,IF(J809="English-Swahili pairs",19,IF(J809="spatial position",20,IF(J809="word pairs",21,IF(J809="word triads",22,IF(J809="generated words",23,IF(J809="word definition pairs",24,IF(J809="math problems",25,IF(J809="famous faces",26,IF(J809="famous names",27,IF(J809="famous voices",28,IF(J809="television programs",29,IF(J809="race horses",30,IF(J809="new vocabulary",31,IF(J809="sentences",32,IF(J809="concepts",33,IF(J809="ad slides",34,IF(J809="scenes",35,IF(J809="famous scenes",36,IF(J809="poems",37,IF(J809="walk",38,IF(J809="faces and events",39,IF(J809="events and names",40,IF(J809="flashbulb",41,IF(J809="stories",42,IF(J809="course material",43,IF(J809="autobiographical",44,IF(J809="novels",45,IF(J809="public events",46,"99"))))))))))))))))))))))))))))))))))))))))))))))</f>
        <v>42</v>
      </c>
      <c r="L809" s="60">
        <f>IF(J809="syllables",1,IF(J809="trigrams",1,IF(J809="strings",1,IF(J809="visual array",1,IF(J809="characters",1,IF(J809="letters",1,IF(J809="free forms",1,IF(J809="odors",2,IF(J809="words",2,IF(J809="pictures",2,IF(J809="object pictures",2,IF(J809="faces",2,IF(J809="names",2,IF(J809="idioms","2",IF(J809="grades",2,IF(J809="syllable-digit pairs",3,IF(J809="trigram-word pairs",3,IF(J809="word-digit pairs",3,IF(J809="English-Swahili pairs",3,IF(J809="spatial position",3,IF(J809="word pairs",4,IF(J809="word triads",4,IF(J809="generated words",4,IF(J809="word definition pairs",4,IF(J809="math problems",4,IF(J809="famous faces",4,IF(J809="famous names",4,IF(J809="famous voices",4,IF(J809="television programs",4,IF(J809="race horses",4,IF(J809="new vocabulary",4,IF(J809="sentences",5,IF(J809="concepts",5,IF(J809="ad slides",5,IF(J809="scenes",5,IF(J809="famous scenes",5,IF(J809="poems",6,IF(J809="walk",6,IF(J809="faces and events",6,IF(J809="events and names",6,IF(J809="flashbulb",7,IF(J809="stories",7,IF(J809="course material",7,IF(J809="autobiographical",7,IF(J809="novels",7,IF(J809="public events",7,"99"))))))))))))))))))))))))))))))))))))))))))))))</f>
        <v>7</v>
      </c>
      <c r="M809" s="60">
        <v>0</v>
      </c>
      <c r="N809" s="61">
        <v>3</v>
      </c>
      <c r="O809" s="60">
        <v>0</v>
      </c>
      <c r="P809" s="60"/>
      <c r="Q809" s="60" t="s">
        <v>174</v>
      </c>
      <c r="R809" s="60">
        <f>IF(Q809="Free Recall",1,IF(Q809="Cued Recall",2,IF(Q809="Recognition",3,IF(Q809="Multiple Choice",4,IF(Q809="Savings",5,IF(Q809="Stem Completion",6,IF(Q809="Fragment Completion",7,IF(Q809="anagram solution",8,IF(Q809="Matching",9,IF(Q809="Problem Solving",10,"99"))))))))))</f>
        <v>1</v>
      </c>
      <c r="S809" s="60" t="s">
        <v>49</v>
      </c>
      <c r="T809" s="59" t="s">
        <v>581</v>
      </c>
      <c r="U809" s="60">
        <f>IF(T809="within",1,0)</f>
        <v>1</v>
      </c>
      <c r="V809" s="59">
        <v>100</v>
      </c>
      <c r="W809" s="60">
        <f>F809*V809</f>
        <v>1000</v>
      </c>
      <c r="X809" s="60">
        <v>3</v>
      </c>
      <c r="Y809" s="76">
        <f>AV808</f>
        <v>20</v>
      </c>
      <c r="Z809" s="59" t="s">
        <v>165</v>
      </c>
      <c r="AA809" s="60">
        <f>60*60*24*7*3</f>
        <v>1814400</v>
      </c>
      <c r="AB809" s="60" t="str">
        <f>IF(AA809&lt;60,"1",IF(AA809&lt;=43200,"2",IF(AA809&lt;=777600,"3","4")))</f>
        <v>4</v>
      </c>
      <c r="AC809" s="56">
        <f>AVERAGE(AV808:DA808)</f>
        <v>605406.66666666663</v>
      </c>
      <c r="AD809" s="60" t="str">
        <f>IF(AC809&lt;60,"1",IF(AC809&lt;=43200,"2",IF(AC809&lt;=777600,"3","4")))</f>
        <v>3</v>
      </c>
      <c r="AE809" s="76">
        <f>AA809-Y809</f>
        <v>1814380</v>
      </c>
      <c r="AF809" s="80">
        <f>AV809</f>
        <v>0.32800000000000001</v>
      </c>
      <c r="AG809" s="56">
        <f>((AW809-AV809)+(AX809-AW809))/2</f>
        <v>-5.2000000000000005E-2</v>
      </c>
      <c r="AH809" s="4"/>
      <c r="AI809" s="56">
        <f>RSQ(AV809:AX809,AV808:AX808)</f>
        <v>0.98802560572758469</v>
      </c>
      <c r="AJ809" s="109">
        <f>SLOPE(AV809:AX809,AV808:AX808)</f>
        <v>-6.1202219868329481E-8</v>
      </c>
      <c r="AK809" s="56">
        <f>INTERCEPT(AV809:AX809,AV808:AX808)</f>
        <v>0.33505223192308575</v>
      </c>
      <c r="AL809" s="56">
        <f>INDEX(LINEST(LN(AV809:AX809),LN(AV808:AX808),TRUE,TRUE),3,1)</f>
        <v>0.77705076806684892</v>
      </c>
      <c r="AM809" s="56">
        <f>INDEX(LINEST(LN(AV809:AX809),LN(AV808:AX808)),1)</f>
        <v>-3.5747405860801697E-2</v>
      </c>
      <c r="AN809" s="56">
        <f>EXP(INDEX(LINEST(LN(AV809:AX809),LN(AV808:AX808)),1,2))</f>
        <v>0.39408128530542003</v>
      </c>
      <c r="AO809" s="82">
        <f>INDEX(LINEST((AV809:AX809),LN(AV808:AX808),TRUE,TRUE),3,1)</f>
        <v>0.7609909895088558</v>
      </c>
      <c r="AP809" s="82">
        <f>INDEX(LINEST((AV809:AX809),LN(AV808:AX808)),1)</f>
        <v>-9.780101387685914E-3</v>
      </c>
      <c r="AQ809" s="83">
        <f>INDEX(LINEST(LN(AV809:AX809),SQRT(AV808:AX808),TRUE,TRUE),3,1)</f>
        <v>0.98693078707503867</v>
      </c>
      <c r="AR809" s="116">
        <f>INDEX(LINEST(LN(AV809:AX809),SQRT((AV808:AX808))),1)</f>
        <v>-3.0306417503530973E-4</v>
      </c>
      <c r="AS809" s="84">
        <f>INDEX(LINEST(1/(AV809:AX809),1/(SQRT(AV808:AX808)),TRUE,TRUE),3,1)</f>
        <v>0.26771145048578238</v>
      </c>
      <c r="AT809" s="84">
        <f>INDEX(LINEST(1/(AV809:AX809),1/SQRT(AV808:AX808)),1)</f>
        <v>-3.6102754654817728</v>
      </c>
      <c r="AU809" s="3"/>
      <c r="AV809" s="53">
        <v>0.32800000000000001</v>
      </c>
      <c r="AW809" s="53">
        <v>0.34200000000000003</v>
      </c>
      <c r="AX809" s="53">
        <v>0.224</v>
      </c>
      <c r="AY809" s="53"/>
      <c r="AZ809" s="53"/>
      <c r="BA809" s="53"/>
      <c r="BB809" s="53"/>
      <c r="BC809" s="53"/>
      <c r="BD809" s="53"/>
      <c r="BE809" s="53"/>
      <c r="BF809" s="53"/>
      <c r="BG809" s="53"/>
      <c r="BH809" s="53"/>
      <c r="BI809" s="53"/>
      <c r="BJ809" s="53"/>
      <c r="BK809" s="53"/>
      <c r="BL809" s="53"/>
      <c r="BM809" s="53"/>
      <c r="BN809" s="53"/>
      <c r="BO809" s="53"/>
      <c r="BP809" s="53"/>
      <c r="BQ809" s="53"/>
      <c r="BR809" s="53"/>
      <c r="BS809" s="53"/>
      <c r="BT809" s="53"/>
      <c r="BU809" s="53"/>
      <c r="BV809" s="53"/>
      <c r="BW809" s="53"/>
      <c r="BX809" s="53"/>
      <c r="BY809" s="53"/>
      <c r="BZ809" s="53"/>
      <c r="CA809" s="53"/>
      <c r="CB809" s="53"/>
      <c r="CC809" s="53"/>
      <c r="CD809" s="53"/>
      <c r="CE809" s="53"/>
      <c r="CF809" s="53"/>
      <c r="CG809" s="53"/>
      <c r="CH809" s="53"/>
      <c r="CI809" s="53"/>
      <c r="CJ809" s="53"/>
      <c r="CK809" s="53"/>
      <c r="CL809" s="53"/>
      <c r="CM809" s="53"/>
      <c r="CN809" s="53"/>
      <c r="CO809" s="53"/>
      <c r="CP809" s="53"/>
      <c r="CQ809" s="53"/>
      <c r="CR809" s="1"/>
      <c r="CS809" s="1"/>
      <c r="CT809" s="1"/>
      <c r="CU809" s="1"/>
    </row>
    <row r="810" spans="1:99" s="13" customFormat="1" ht="12" customHeight="1" x14ac:dyDescent="0.2">
      <c r="A810" s="65">
        <v>43979</v>
      </c>
      <c r="B810" s="1"/>
      <c r="C810" s="1"/>
      <c r="D810" s="60"/>
      <c r="E810" s="76"/>
      <c r="F810" s="60"/>
      <c r="G810" s="60"/>
      <c r="H810" s="60"/>
      <c r="I810" s="60"/>
      <c r="J810" s="60"/>
      <c r="K810" s="60"/>
      <c r="L810" s="60"/>
      <c r="M810" s="60"/>
      <c r="N810" s="61"/>
      <c r="O810" s="60"/>
      <c r="P810" s="60"/>
      <c r="Q810" s="60"/>
      <c r="R810" s="60"/>
      <c r="S810" s="60"/>
      <c r="T810" s="59"/>
      <c r="U810" s="60"/>
      <c r="V810" s="59"/>
      <c r="W810" s="60"/>
      <c r="X810" s="60"/>
      <c r="Y810" s="76"/>
      <c r="Z810" s="59"/>
      <c r="AA810" s="60"/>
      <c r="AB810" s="60"/>
      <c r="AC810" s="56"/>
      <c r="AD810" s="60"/>
      <c r="AE810" s="76"/>
      <c r="AF810" s="80"/>
      <c r="AG810" s="56"/>
      <c r="AH810" s="4"/>
      <c r="AI810" s="56"/>
      <c r="AJ810" s="109"/>
      <c r="AK810" s="56"/>
      <c r="AL810" s="56"/>
      <c r="AM810" s="56"/>
      <c r="AN810" s="56"/>
      <c r="AO810" s="82"/>
      <c r="AP810" s="82"/>
      <c r="AQ810" s="83"/>
      <c r="AR810" s="116"/>
      <c r="AS810" s="84"/>
      <c r="AT810" s="84"/>
      <c r="AU810" s="3"/>
      <c r="AV810" s="25">
        <v>20</v>
      </c>
      <c r="AW810" s="25">
        <f>60*30</f>
        <v>1800</v>
      </c>
      <c r="AX810" s="25">
        <f>60*60*24*7*3</f>
        <v>1814400</v>
      </c>
      <c r="AY810" s="53"/>
      <c r="AZ810" s="53"/>
      <c r="BA810" s="53"/>
      <c r="BB810" s="53"/>
      <c r="BC810" s="53"/>
      <c r="BD810" s="53"/>
      <c r="BE810" s="53"/>
      <c r="BF810" s="53"/>
      <c r="BG810" s="53"/>
      <c r="BH810" s="53"/>
      <c r="BI810" s="53"/>
      <c r="BJ810" s="53"/>
      <c r="BK810" s="53"/>
      <c r="BL810" s="53"/>
      <c r="BM810" s="53"/>
      <c r="BN810" s="53"/>
      <c r="BO810" s="53"/>
      <c r="BP810" s="53"/>
      <c r="BQ810" s="53"/>
      <c r="BR810" s="53"/>
      <c r="BS810" s="53"/>
      <c r="BT810" s="53"/>
      <c r="BU810" s="53"/>
      <c r="BV810" s="53"/>
      <c r="BW810" s="53"/>
      <c r="BX810" s="53"/>
      <c r="BY810" s="53"/>
      <c r="BZ810" s="53"/>
      <c r="CA810" s="53"/>
      <c r="CB810" s="53"/>
      <c r="CC810" s="53"/>
      <c r="CD810" s="53"/>
      <c r="CE810" s="53"/>
      <c r="CF810" s="53"/>
      <c r="CG810" s="53"/>
      <c r="CH810" s="53"/>
      <c r="CI810" s="53"/>
      <c r="CJ810" s="53"/>
      <c r="CK810" s="53"/>
      <c r="CL810" s="53"/>
      <c r="CM810" s="53"/>
      <c r="CN810" s="53"/>
      <c r="CO810" s="53"/>
      <c r="CP810" s="53"/>
      <c r="CQ810" s="53"/>
      <c r="CR810" s="1"/>
      <c r="CS810" s="1"/>
      <c r="CT810" s="1"/>
      <c r="CU810" s="1"/>
    </row>
    <row r="811" spans="1:99" s="13" customFormat="1" ht="12" customHeight="1" x14ac:dyDescent="0.2">
      <c r="A811" s="65">
        <v>43979</v>
      </c>
      <c r="B811" s="1" t="s">
        <v>979</v>
      </c>
      <c r="C811" s="1" t="s">
        <v>357</v>
      </c>
      <c r="D811" s="60">
        <v>2003</v>
      </c>
      <c r="E811" s="76">
        <v>1</v>
      </c>
      <c r="F811" s="60">
        <v>10</v>
      </c>
      <c r="G811" s="60">
        <v>10</v>
      </c>
      <c r="H811" s="60" t="s">
        <v>452</v>
      </c>
      <c r="I811" s="60" t="s">
        <v>330</v>
      </c>
      <c r="J811" s="60" t="s">
        <v>677</v>
      </c>
      <c r="K811" s="60">
        <f>IF(J811="syllables",1,IF(J811="trigrams",2,IF(J811="strings",3,IF(J811="visual array",4,IF(J811="characters",5,IF(J811="letters",6,IF(J811="free forms",7,IF(J811="odors",8,IF(J811="words",9,IF(J811="pictures",10,IF(J811="object pictures",11,IF(J811="faces",12,IF(J811="names",13,IF(J811="idioms",14,IF(J811="grades",15,IF(J811="syllable-digit pairs",16,IF(J811="trigram-word pairs",17,IF(J811="word-digit pairs",18,IF(J811="English-Swahili pairs",19,IF(J811="spatial position",20,IF(J811="word pairs",21,IF(J811="word triads",22,IF(J811="generated words",23,IF(J811="word definition pairs",24,IF(J811="math problems",25,IF(J811="famous faces",26,IF(J811="famous names",27,IF(J811="famous voices",28,IF(J811="television programs",29,IF(J811="race horses",30,IF(J811="new vocabulary",31,IF(J811="sentences",32,IF(J811="concepts",33,IF(J811="ad slides",34,IF(J811="scenes",35,IF(J811="famous scenes",36,IF(J811="poems",37,IF(J811="walk",38,IF(J811="faces and events",39,IF(J811="events and names",40,IF(J811="flashbulb",41,IF(J811="stories",42,IF(J811="course material",43,IF(J811="autobiographical",44,IF(J811="novels",45,IF(J811="public events",46,"99"))))))))))))))))))))))))))))))))))))))))))))))</f>
        <v>42</v>
      </c>
      <c r="L811" s="60">
        <f>IF(J811="syllables",1,IF(J811="trigrams",1,IF(J811="strings",1,IF(J811="visual array",1,IF(J811="characters",1,IF(J811="letters",1,IF(J811="free forms",1,IF(J811="odors",2,IF(J811="words",2,IF(J811="pictures",2,IF(J811="object pictures",2,IF(J811="faces",2,IF(J811="names",2,IF(J811="idioms","2",IF(J811="grades",2,IF(J811="syllable-digit pairs",3,IF(J811="trigram-word pairs",3,IF(J811="word-digit pairs",3,IF(J811="English-Swahili pairs",3,IF(J811="spatial position",3,IF(J811="word pairs",4,IF(J811="word triads",4,IF(J811="generated words",4,IF(J811="word definition pairs",4,IF(J811="math problems",4,IF(J811="famous faces",4,IF(J811="famous names",4,IF(J811="famous voices",4,IF(J811="television programs",4,IF(J811="race horses",4,IF(J811="new vocabulary",4,IF(J811="sentences",5,IF(J811="concepts",5,IF(J811="ad slides",5,IF(J811="scenes",5,IF(J811="famous scenes",5,IF(J811="poems",6,IF(J811="walk",6,IF(J811="faces and events",6,IF(J811="events and names",6,IF(J811="flashbulb",7,IF(J811="stories",7,IF(J811="course material",7,IF(J811="autobiographical",7,IF(J811="novels",7,IF(J811="public events",7,"99"))))))))))))))))))))))))))))))))))))))))))))))</f>
        <v>7</v>
      </c>
      <c r="M811" s="60">
        <v>0</v>
      </c>
      <c r="N811" s="61">
        <v>3</v>
      </c>
      <c r="O811" s="60">
        <v>0</v>
      </c>
      <c r="P811" s="60"/>
      <c r="Q811" s="60" t="s">
        <v>182</v>
      </c>
      <c r="R811" s="60">
        <f>IF(Q811="Free Recall",1,IF(Q811="Cued Recall",2,IF(Q811="Recognition",3,IF(Q811="Multiple Choice",4,IF(Q811="Savings",5,IF(Q811="Stem Completion",6,IF(Q811="Fragment Completion",7,IF(Q811="anagram solution",8,IF(Q811="Matching",9,IF(Q811="Problem Solving",10,"99"))))))))))</f>
        <v>4</v>
      </c>
      <c r="S811" s="60" t="s">
        <v>15</v>
      </c>
      <c r="T811" s="59" t="s">
        <v>581</v>
      </c>
      <c r="U811" s="60">
        <f>IF(T811="within",1,0)</f>
        <v>1</v>
      </c>
      <c r="V811" s="59">
        <v>36</v>
      </c>
      <c r="W811" s="60">
        <f>F811*V811</f>
        <v>360</v>
      </c>
      <c r="X811" s="60">
        <v>3</v>
      </c>
      <c r="Y811" s="76">
        <f>AV810</f>
        <v>20</v>
      </c>
      <c r="Z811" s="59" t="s">
        <v>165</v>
      </c>
      <c r="AA811" s="60">
        <f>60*60*24*7*3</f>
        <v>1814400</v>
      </c>
      <c r="AB811" s="60" t="str">
        <f>IF(AA811&lt;60,"1",IF(AA811&lt;=43200,"2",IF(AA811&lt;=777600,"3","4")))</f>
        <v>4</v>
      </c>
      <c r="AC811" s="56">
        <f>AVERAGE(AV810:DA810)</f>
        <v>605406.66666666663</v>
      </c>
      <c r="AD811" s="60" t="str">
        <f>IF(AC811&lt;60,"1",IF(AC811&lt;=43200,"2",IF(AC811&lt;=777600,"3","4")))</f>
        <v>3</v>
      </c>
      <c r="AE811" s="76">
        <f>AA811-Y811</f>
        <v>1814380</v>
      </c>
      <c r="AF811" s="80">
        <f>AV811</f>
        <v>0.90833333333333333</v>
      </c>
      <c r="AG811" s="56">
        <f>((AW811-AV811)+(AX811-AW811))/2</f>
        <v>-0.10416666666666663</v>
      </c>
      <c r="AH811" s="4"/>
      <c r="AI811" s="56">
        <f>RSQ(AV811:AX811,AV810:AX810)</f>
        <v>0.64555027142614685</v>
      </c>
      <c r="AJ811" s="109">
        <f>SLOPE(AV811:AX811,AV810:AX810)</f>
        <v>-8.0466529508614036E-8</v>
      </c>
      <c r="AK811" s="56">
        <f>INTERCEPT(AV811:AX811,AV810:AX810)</f>
        <v>0.84593719563026715</v>
      </c>
      <c r="AL811" s="56">
        <f>INDEX(LINEST(LN(AV811:AX811),LN(AV810:AX810),TRUE,TRUE),3,1)</f>
        <v>0.96043005336436826</v>
      </c>
      <c r="AM811" s="56">
        <f>INDEX(LINEST(LN(AV811:AX811),LN(AV810:AX810)),1)</f>
        <v>-2.2270177520680771E-2</v>
      </c>
      <c r="AN811" s="56">
        <f>EXP(INDEX(LINEST(LN(AV811:AX811),LN(AV810:AX810)),1,2))</f>
        <v>0.95363215620082431</v>
      </c>
      <c r="AO811" s="82">
        <f>INDEX(LINEST((AV811:AX811),LN(AV810:AX810),TRUE,TRUE),3,1)</f>
        <v>0.94508224858077294</v>
      </c>
      <c r="AP811" s="82">
        <f>INDEX(LINEST((AV811:AX811),LN(AV810:AX810)),1)</f>
        <v>-1.772782943850874E-2</v>
      </c>
      <c r="AQ811" s="83">
        <f>INDEX(LINEST(LN(AV811:AX811),SQRT(AV810:AX810),TRUE,TRUE),3,1)</f>
        <v>0.70201126923910306</v>
      </c>
      <c r="AR811" s="116">
        <f>INDEX(LINEST(LN(AV811:AX811),SQRT((AV810:AX810))),1)</f>
        <v>-1.4323009150943691E-4</v>
      </c>
      <c r="AS811" s="84">
        <f>INDEX(LINEST(1/(AV811:AX811),1/(SQRT(AV810:AX810)),TRUE,TRUE),3,1)</f>
        <v>0.85641636842115176</v>
      </c>
      <c r="AT811" s="84">
        <f>INDEX(LINEST(1/(AV811:AX811),1/SQRT(AV810:AX810)),1)</f>
        <v>-1.2375662498862186</v>
      </c>
      <c r="AU811" s="3"/>
      <c r="AV811" s="53">
        <f>10.9/12</f>
        <v>0.90833333333333333</v>
      </c>
      <c r="AW811" s="53">
        <f>9.4/12</f>
        <v>0.78333333333333333</v>
      </c>
      <c r="AX811" s="53">
        <f>8.4/12</f>
        <v>0.70000000000000007</v>
      </c>
      <c r="AY811" s="53"/>
      <c r="AZ811" s="53"/>
      <c r="BA811" s="53"/>
      <c r="BB811" s="53"/>
      <c r="BC811" s="53"/>
      <c r="BD811" s="53"/>
      <c r="BE811" s="53"/>
      <c r="BF811" s="53"/>
      <c r="BG811" s="53"/>
      <c r="BH811" s="53"/>
      <c r="BI811" s="53"/>
      <c r="BJ811" s="53"/>
      <c r="BK811" s="53"/>
      <c r="BL811" s="53"/>
      <c r="BM811" s="53"/>
      <c r="BN811" s="53"/>
      <c r="BO811" s="53"/>
      <c r="BP811" s="53"/>
      <c r="BQ811" s="53"/>
      <c r="BR811" s="53"/>
      <c r="BS811" s="53"/>
      <c r="BT811" s="53"/>
      <c r="BU811" s="53"/>
      <c r="BV811" s="53"/>
      <c r="BW811" s="53"/>
      <c r="BX811" s="53"/>
      <c r="BY811" s="53"/>
      <c r="BZ811" s="53"/>
      <c r="CA811" s="53"/>
      <c r="CB811" s="53"/>
      <c r="CC811" s="53"/>
      <c r="CD811" s="53"/>
      <c r="CE811" s="53"/>
      <c r="CF811" s="53"/>
      <c r="CG811" s="53"/>
      <c r="CH811" s="53"/>
      <c r="CI811" s="53"/>
      <c r="CJ811" s="53"/>
      <c r="CK811" s="53"/>
      <c r="CL811" s="53"/>
      <c r="CM811" s="53"/>
      <c r="CN811" s="53"/>
      <c r="CO811" s="53"/>
      <c r="CP811" s="53"/>
      <c r="CQ811" s="53"/>
      <c r="CR811" s="1"/>
      <c r="CS811" s="1"/>
      <c r="CT811" s="1"/>
      <c r="CU811" s="1"/>
    </row>
    <row r="812" spans="1:99" s="13" customFormat="1" ht="12" customHeight="1" x14ac:dyDescent="0.2">
      <c r="A812" s="65">
        <v>43979</v>
      </c>
      <c r="B812" s="1"/>
      <c r="C812" s="1"/>
      <c r="D812" s="60"/>
      <c r="E812" s="76"/>
      <c r="F812" s="60"/>
      <c r="G812" s="60"/>
      <c r="H812" s="60"/>
      <c r="I812" s="60"/>
      <c r="J812" s="60"/>
      <c r="K812" s="60"/>
      <c r="L812" s="60"/>
      <c r="M812" s="60"/>
      <c r="N812" s="61"/>
      <c r="O812" s="60"/>
      <c r="P812" s="60"/>
      <c r="Q812" s="60"/>
      <c r="R812" s="60"/>
      <c r="S812" s="60"/>
      <c r="T812" s="59"/>
      <c r="U812" s="60"/>
      <c r="V812" s="59"/>
      <c r="W812" s="60"/>
      <c r="X812" s="60"/>
      <c r="Y812" s="76"/>
      <c r="Z812" s="59"/>
      <c r="AA812" s="60"/>
      <c r="AB812" s="60"/>
      <c r="AC812" s="56"/>
      <c r="AD812" s="60"/>
      <c r="AE812" s="76"/>
      <c r="AF812" s="80"/>
      <c r="AG812" s="56"/>
      <c r="AH812" s="4"/>
      <c r="AI812" s="56"/>
      <c r="AJ812" s="109"/>
      <c r="AK812" s="56"/>
      <c r="AL812" s="56"/>
      <c r="AM812" s="56"/>
      <c r="AN812" s="56"/>
      <c r="AO812" s="82"/>
      <c r="AP812" s="82"/>
      <c r="AQ812" s="83"/>
      <c r="AR812" s="116"/>
      <c r="AS812" s="84"/>
      <c r="AT812" s="84"/>
      <c r="AU812" s="3"/>
      <c r="AV812" s="25">
        <v>20</v>
      </c>
      <c r="AW812" s="25">
        <f>60*30</f>
        <v>1800</v>
      </c>
      <c r="AX812" s="25">
        <f>60*60*24*7*3</f>
        <v>1814400</v>
      </c>
      <c r="AY812" s="53"/>
      <c r="AZ812" s="53"/>
      <c r="BA812" s="53"/>
      <c r="BB812" s="53"/>
      <c r="BC812" s="53"/>
      <c r="BD812" s="53"/>
      <c r="BE812" s="53"/>
      <c r="BF812" s="53"/>
      <c r="BG812" s="53"/>
      <c r="BH812" s="53"/>
      <c r="BI812" s="53"/>
      <c r="BJ812" s="53"/>
      <c r="BK812" s="53"/>
      <c r="BL812" s="53"/>
      <c r="BM812" s="53"/>
      <c r="BN812" s="53"/>
      <c r="BO812" s="53"/>
      <c r="BP812" s="53"/>
      <c r="BQ812" s="53"/>
      <c r="BR812" s="53"/>
      <c r="BS812" s="53"/>
      <c r="BT812" s="53"/>
      <c r="BU812" s="53"/>
      <c r="BV812" s="53"/>
      <c r="BW812" s="53"/>
      <c r="BX812" s="53"/>
      <c r="BY812" s="53"/>
      <c r="BZ812" s="53"/>
      <c r="CA812" s="53"/>
      <c r="CB812" s="53"/>
      <c r="CC812" s="53"/>
      <c r="CD812" s="53"/>
      <c r="CE812" s="53"/>
      <c r="CF812" s="53"/>
      <c r="CG812" s="53"/>
      <c r="CH812" s="53"/>
      <c r="CI812" s="53"/>
      <c r="CJ812" s="53"/>
      <c r="CK812" s="53"/>
      <c r="CL812" s="53"/>
      <c r="CM812" s="53"/>
      <c r="CN812" s="53"/>
      <c r="CO812" s="53"/>
      <c r="CP812" s="53"/>
      <c r="CQ812" s="53"/>
      <c r="CR812" s="1"/>
      <c r="CS812" s="1"/>
      <c r="CT812" s="1"/>
      <c r="CU812" s="1"/>
    </row>
    <row r="813" spans="1:99" s="13" customFormat="1" ht="12" customHeight="1" x14ac:dyDescent="0.2">
      <c r="A813" s="65">
        <v>43979</v>
      </c>
      <c r="B813" s="1" t="s">
        <v>979</v>
      </c>
      <c r="C813" s="1" t="s">
        <v>357</v>
      </c>
      <c r="D813" s="60">
        <v>2003</v>
      </c>
      <c r="E813" s="76">
        <v>1</v>
      </c>
      <c r="F813" s="60">
        <v>10</v>
      </c>
      <c r="G813" s="60">
        <v>10</v>
      </c>
      <c r="H813" s="60" t="s">
        <v>452</v>
      </c>
      <c r="I813" s="60" t="s">
        <v>330</v>
      </c>
      <c r="J813" s="60" t="s">
        <v>317</v>
      </c>
      <c r="K813" s="60">
        <f>IF(J813="syllables",1,IF(J813="trigrams",2,IF(J813="strings",3,IF(J813="visual array",4,IF(J813="characters",5,IF(J813="letters",6,IF(J813="free forms",7,IF(J813="odors",8,IF(J813="words",9,IF(J813="pictures",10,IF(J813="object pictures",11,IF(J813="faces",12,IF(J813="names",13,IF(J813="idioms",14,IF(J813="grades",15,IF(J813="syllable-digit pairs",16,IF(J813="trigram-word pairs",17,IF(J813="word-digit pairs",18,IF(J813="English-Swahili pairs",19,IF(J813="spatial position",20,IF(J813="word pairs",21,IF(J813="word triads",22,IF(J813="generated words",23,IF(J813="word definition pairs",24,IF(J813="math problems",25,IF(J813="famous faces",26,IF(J813="famous names",27,IF(J813="famous voices",28,IF(J813="television programs",29,IF(J813="race horses",30,IF(J813="new vocabulary",31,IF(J813="sentences",32,IF(J813="concepts",33,IF(J813="ad slides",34,IF(J813="scenes",35,IF(J813="famous scenes",36,IF(J813="poems",37,IF(J813="walk",38,IF(J813="faces and events",39,IF(J813="events and names",40,IF(J813="flashbulb",41,IF(J813="stories",42,IF(J813="course material",43,IF(J813="autobiographical",44,IF(J813="novels",45,IF(J813="public events",46,"99"))))))))))))))))))))))))))))))))))))))))))))))</f>
        <v>7</v>
      </c>
      <c r="L813" s="60">
        <f>IF(J813="syllables",1,IF(J813="trigrams",1,IF(J813="strings",1,IF(J813="visual array",1,IF(J813="characters",1,IF(J813="letters",1,IF(J813="free forms",1,IF(J813="odors",2,IF(J813="words",2,IF(J813="pictures",2,IF(J813="object pictures",2,IF(J813="faces",2,IF(J813="names",2,IF(J813="idioms","2",IF(J813="grades",2,IF(J813="syllable-digit pairs",3,IF(J813="trigram-word pairs",3,IF(J813="word-digit pairs",3,IF(J813="English-Swahili pairs",3,IF(J813="spatial position",3,IF(J813="word pairs",4,IF(J813="word triads",4,IF(J813="generated words",4,IF(J813="word definition pairs",4,IF(J813="math problems",4,IF(J813="famous faces",4,IF(J813="famous names",4,IF(J813="famous voices",4,IF(J813="television programs",4,IF(J813="race horses",4,IF(J813="new vocabulary",4,IF(J813="sentences",5,IF(J813="concepts",5,IF(J813="ad slides",5,IF(J813="scenes",5,IF(J813="famous scenes",5,IF(J813="poems",6,IF(J813="walk",6,IF(J813="faces and events",6,IF(J813="events and names",6,IF(J813="flashbulb",7,IF(J813="stories",7,IF(J813="course material",7,IF(J813="autobiographical",7,IF(J813="novels",7,IF(J813="public events",7,"99"))))))))))))))))))))))))))))))))))))))))))))))</f>
        <v>1</v>
      </c>
      <c r="M813" s="60">
        <v>0</v>
      </c>
      <c r="N813" s="61">
        <v>1</v>
      </c>
      <c r="O813" s="60">
        <v>0</v>
      </c>
      <c r="P813" s="60"/>
      <c r="Q813" s="60" t="s">
        <v>174</v>
      </c>
      <c r="R813" s="60">
        <f>IF(Q813="Free Recall",1,IF(Q813="Cued Recall",2,IF(Q813="Recognition",3,IF(Q813="Multiple Choice",4,IF(Q813="Savings",5,IF(Q813="Stem Completion",6,IF(Q813="Fragment Completion",7,IF(Q813="anagram solution",8,IF(Q813="Matching",9,IF(Q813="Problem Solving",10,"99"))))))))))</f>
        <v>1</v>
      </c>
      <c r="S813" s="60" t="s">
        <v>49</v>
      </c>
      <c r="T813" s="59" t="s">
        <v>581</v>
      </c>
      <c r="U813" s="60">
        <f>IF(T813="within",1,0)</f>
        <v>1</v>
      </c>
      <c r="V813" s="59">
        <v>90</v>
      </c>
      <c r="W813" s="60">
        <f>F813*V813</f>
        <v>900</v>
      </c>
      <c r="X813" s="60">
        <v>3</v>
      </c>
      <c r="Y813" s="76">
        <f>AV812</f>
        <v>20</v>
      </c>
      <c r="Z813" s="59" t="s">
        <v>165</v>
      </c>
      <c r="AA813" s="60">
        <f>60*60*24*7*3</f>
        <v>1814400</v>
      </c>
      <c r="AB813" s="60" t="str">
        <f>IF(AA813&lt;60,"1",IF(AA813&lt;=43200,"2",IF(AA813&lt;=777600,"3","4")))</f>
        <v>4</v>
      </c>
      <c r="AC813" s="56">
        <f>AVERAGE(AV812:DA812)</f>
        <v>605406.66666666663</v>
      </c>
      <c r="AD813" s="60" t="str">
        <f>IF(AC813&lt;60,"1",IF(AC813&lt;=43200,"2",IF(AC813&lt;=777600,"3","4")))</f>
        <v>3</v>
      </c>
      <c r="AE813" s="76">
        <f>AA813-Y813</f>
        <v>1814380</v>
      </c>
      <c r="AF813" s="80">
        <f>AV813</f>
        <v>0.74666666666666659</v>
      </c>
      <c r="AG813" s="56">
        <f>((AW813-AV813)+(AX813-AW813))/2</f>
        <v>-0.11833333333333329</v>
      </c>
      <c r="AH813" s="4"/>
      <c r="AI813" s="56">
        <f>RSQ(AV813:AX813,AV812:AX812)</f>
        <v>0.9818842786929296</v>
      </c>
      <c r="AJ813" s="109">
        <f>SLOPE(AV813:AX813,AV812:AX812)</f>
        <v>-1.415155502632586E-7</v>
      </c>
      <c r="AK813" s="56">
        <f>INTERCEPT(AV813:AX813,AV812:AX812)</f>
        <v>0.76678556867748948</v>
      </c>
      <c r="AL813" s="56">
        <f>INDEX(LINEST(LN(AV813:AX813),LN(AV812:AX812),TRUE,TRUE),3,1)</f>
        <v>0.75953005635477955</v>
      </c>
      <c r="AM813" s="56">
        <f>INDEX(LINEST(LN(AV813:AX813),LN(AV812:AX812)),1)</f>
        <v>-3.5859183422681816E-2</v>
      </c>
      <c r="AN813" s="56">
        <f>EXP(INDEX(LINEST(LN(AV813:AX813),LN(AV812:AX812)),1,2))</f>
        <v>0.90109105184865146</v>
      </c>
      <c r="AO813" s="82">
        <f>INDEX(LINEST((AV813:AX813),LN(AV812:AX812),TRUE,TRUE),3,1)</f>
        <v>0.73903608342283178</v>
      </c>
      <c r="AP813" s="82">
        <f>INDEX(LINEST((AV813:AX813),LN(AV812:AX812)),1)</f>
        <v>-2.2355138137705979E-2</v>
      </c>
      <c r="AQ813" s="83">
        <f>INDEX(LINEST(LN(AV813:AX813),SQRT(AV812:AX812),TRUE,TRUE),3,1)</f>
        <v>0.98179536877842544</v>
      </c>
      <c r="AR813" s="116">
        <f>INDEX(LINEST(LN(AV813:AX813),SQRT((AV812:AX812))),1)</f>
        <v>-3.0669720785868061E-4</v>
      </c>
      <c r="AS813" s="84">
        <f>INDEX(LINEST(1/(AV813:AX813),1/(SQRT(AV812:AX812)),TRUE,TRUE),3,1)</f>
        <v>0.25303825176368672</v>
      </c>
      <c r="AT813" s="84">
        <f>INDEX(LINEST(1/(AV813:AX813),1/SQRT(AV812:AX812)),1)</f>
        <v>-1.5590124011608113</v>
      </c>
      <c r="AU813" s="3"/>
      <c r="AV813" s="53">
        <f>22.4/30</f>
        <v>0.74666666666666659</v>
      </c>
      <c r="AW813" s="53">
        <f>23.6/30</f>
        <v>0.78666666666666674</v>
      </c>
      <c r="AX813" s="53">
        <f>15.3/30</f>
        <v>0.51</v>
      </c>
      <c r="AY813" s="53"/>
      <c r="AZ813" s="53"/>
      <c r="BA813" s="53"/>
      <c r="BB813" s="53"/>
      <c r="BC813" s="53"/>
      <c r="BD813" s="53"/>
      <c r="BE813" s="53"/>
      <c r="BF813" s="53"/>
      <c r="BG813" s="53"/>
      <c r="BH813" s="53"/>
      <c r="BI813" s="53"/>
      <c r="BJ813" s="53"/>
      <c r="BK813" s="53"/>
      <c r="BL813" s="53"/>
      <c r="BM813" s="53"/>
      <c r="BN813" s="53"/>
      <c r="BO813" s="53"/>
      <c r="BP813" s="53"/>
      <c r="BQ813" s="53"/>
      <c r="BR813" s="53"/>
      <c r="BS813" s="53"/>
      <c r="BT813" s="53"/>
      <c r="BU813" s="53"/>
      <c r="BV813" s="53"/>
      <c r="BW813" s="53"/>
      <c r="BX813" s="53"/>
      <c r="BY813" s="53"/>
      <c r="BZ813" s="53"/>
      <c r="CA813" s="53"/>
      <c r="CB813" s="53"/>
      <c r="CC813" s="53"/>
      <c r="CD813" s="53"/>
      <c r="CE813" s="53"/>
      <c r="CF813" s="53"/>
      <c r="CG813" s="53"/>
      <c r="CH813" s="53"/>
      <c r="CI813" s="53"/>
      <c r="CJ813" s="53"/>
      <c r="CK813" s="53"/>
      <c r="CL813" s="53"/>
      <c r="CM813" s="53"/>
      <c r="CN813" s="53"/>
      <c r="CO813" s="53"/>
      <c r="CP813" s="53"/>
      <c r="CQ813" s="53"/>
      <c r="CR813" s="1"/>
      <c r="CS813" s="1"/>
      <c r="CT813" s="1"/>
      <c r="CU813" s="1"/>
    </row>
    <row r="814" spans="1:99" s="13" customFormat="1" ht="12" customHeight="1" x14ac:dyDescent="0.2">
      <c r="A814" s="65">
        <v>43979</v>
      </c>
      <c r="B814" s="1"/>
      <c r="C814" s="1"/>
      <c r="D814" s="60"/>
      <c r="E814" s="76"/>
      <c r="F814" s="60"/>
      <c r="G814" s="60"/>
      <c r="H814" s="60"/>
      <c r="I814" s="60"/>
      <c r="J814" s="60"/>
      <c r="K814" s="60"/>
      <c r="L814" s="60"/>
      <c r="M814" s="60"/>
      <c r="N814" s="61"/>
      <c r="O814" s="60"/>
      <c r="P814" s="60"/>
      <c r="Q814" s="60"/>
      <c r="R814" s="60"/>
      <c r="S814" s="60"/>
      <c r="T814" s="59"/>
      <c r="U814" s="60"/>
      <c r="V814" s="59"/>
      <c r="W814" s="60"/>
      <c r="X814" s="60"/>
      <c r="Y814" s="76"/>
      <c r="Z814" s="59"/>
      <c r="AA814" s="60"/>
      <c r="AB814" s="60"/>
      <c r="AC814" s="56"/>
      <c r="AD814" s="60"/>
      <c r="AE814" s="76"/>
      <c r="AF814" s="80"/>
      <c r="AG814" s="56"/>
      <c r="AH814" s="4"/>
      <c r="AI814" s="56"/>
      <c r="AJ814" s="109"/>
      <c r="AK814" s="56"/>
      <c r="AL814" s="56"/>
      <c r="AM814" s="56"/>
      <c r="AN814" s="56"/>
      <c r="AO814" s="82"/>
      <c r="AP814" s="82"/>
      <c r="AQ814" s="83"/>
      <c r="AR814" s="116"/>
      <c r="AS814" s="84"/>
      <c r="AT814" s="84"/>
      <c r="AU814" s="3"/>
      <c r="AV814" s="25">
        <v>20</v>
      </c>
      <c r="AW814" s="25">
        <f>60*30</f>
        <v>1800</v>
      </c>
      <c r="AX814" s="25">
        <f>60*60*24*7*3</f>
        <v>1814400</v>
      </c>
      <c r="AY814" s="53"/>
      <c r="AZ814" s="53"/>
      <c r="BA814" s="53"/>
      <c r="BB814" s="53"/>
      <c r="BC814" s="53"/>
      <c r="BD814" s="53"/>
      <c r="BE814" s="53"/>
      <c r="BF814" s="53"/>
      <c r="BG814" s="53"/>
      <c r="BH814" s="53"/>
      <c r="BI814" s="53"/>
      <c r="BJ814" s="53"/>
      <c r="BK814" s="53"/>
      <c r="BL814" s="53"/>
      <c r="BM814" s="53"/>
      <c r="BN814" s="53"/>
      <c r="BO814" s="53"/>
      <c r="BP814" s="53"/>
      <c r="BQ814" s="53"/>
      <c r="BR814" s="53"/>
      <c r="BS814" s="53"/>
      <c r="BT814" s="53"/>
      <c r="BU814" s="53"/>
      <c r="BV814" s="53"/>
      <c r="BW814" s="53"/>
      <c r="BX814" s="53"/>
      <c r="BY814" s="53"/>
      <c r="BZ814" s="53"/>
      <c r="CA814" s="53"/>
      <c r="CB814" s="53"/>
      <c r="CC814" s="53"/>
      <c r="CD814" s="53"/>
      <c r="CE814" s="53"/>
      <c r="CF814" s="53"/>
      <c r="CG814" s="53"/>
      <c r="CH814" s="53"/>
      <c r="CI814" s="53"/>
      <c r="CJ814" s="53"/>
      <c r="CK814" s="53"/>
      <c r="CL814" s="53"/>
      <c r="CM814" s="53"/>
      <c r="CN814" s="53"/>
      <c r="CO814" s="53"/>
      <c r="CP814" s="53"/>
      <c r="CQ814" s="53"/>
      <c r="CR814" s="1"/>
      <c r="CS814" s="1"/>
      <c r="CT814" s="1"/>
      <c r="CU814" s="1"/>
    </row>
    <row r="815" spans="1:99" s="13" customFormat="1" ht="12" customHeight="1" x14ac:dyDescent="0.2">
      <c r="A815" s="65">
        <v>43979</v>
      </c>
      <c r="B815" s="1" t="s">
        <v>979</v>
      </c>
      <c r="C815" s="1" t="s">
        <v>357</v>
      </c>
      <c r="D815" s="60">
        <v>2003</v>
      </c>
      <c r="E815" s="76">
        <v>1</v>
      </c>
      <c r="F815" s="60">
        <v>10</v>
      </c>
      <c r="G815" s="60">
        <v>10</v>
      </c>
      <c r="H815" s="60" t="s">
        <v>452</v>
      </c>
      <c r="I815" s="60" t="s">
        <v>330</v>
      </c>
      <c r="J815" s="60" t="s">
        <v>317</v>
      </c>
      <c r="K815" s="60">
        <f>IF(J815="syllables",1,IF(J815="trigrams",2,IF(J815="strings",3,IF(J815="visual array",4,IF(J815="characters",5,IF(J815="letters",6,IF(J815="free forms",7,IF(J815="odors",8,IF(J815="words",9,IF(J815="pictures",10,IF(J815="object pictures",11,IF(J815="faces",12,IF(J815="names",13,IF(J815="idioms",14,IF(J815="grades",15,IF(J815="syllable-digit pairs",16,IF(J815="trigram-word pairs",17,IF(J815="word-digit pairs",18,IF(J815="English-Swahili pairs",19,IF(J815="spatial position",20,IF(J815="word pairs",21,IF(J815="word triads",22,IF(J815="generated words",23,IF(J815="word definition pairs",24,IF(J815="math problems",25,IF(J815="famous faces",26,IF(J815="famous names",27,IF(J815="famous voices",28,IF(J815="television programs",29,IF(J815="race horses",30,IF(J815="new vocabulary",31,IF(J815="sentences",32,IF(J815="concepts",33,IF(J815="ad slides",34,IF(J815="scenes",35,IF(J815="famous scenes",36,IF(J815="poems",37,IF(J815="walk",38,IF(J815="faces and events",39,IF(J815="events and names",40,IF(J815="flashbulb",41,IF(J815="stories",42,IF(J815="course material",43,IF(J815="autobiographical",44,IF(J815="novels",45,IF(J815="public events",46,"99"))))))))))))))))))))))))))))))))))))))))))))))</f>
        <v>7</v>
      </c>
      <c r="L815" s="60">
        <f>IF(J815="syllables",1,IF(J815="trigrams",1,IF(J815="strings",1,IF(J815="visual array",1,IF(J815="characters",1,IF(J815="letters",1,IF(J815="free forms",1,IF(J815="odors",2,IF(J815="words",2,IF(J815="pictures",2,IF(J815="object pictures",2,IF(J815="faces",2,IF(J815="names",2,IF(J815="idioms","2",IF(J815="grades",2,IF(J815="syllable-digit pairs",3,IF(J815="trigram-word pairs",3,IF(J815="word-digit pairs",3,IF(J815="English-Swahili pairs",3,IF(J815="spatial position",3,IF(J815="word pairs",4,IF(J815="word triads",4,IF(J815="generated words",4,IF(J815="word definition pairs",4,IF(J815="math problems",4,IF(J815="famous faces",4,IF(J815="famous names",4,IF(J815="famous voices",4,IF(J815="television programs",4,IF(J815="race horses",4,IF(J815="new vocabulary",4,IF(J815="sentences",5,IF(J815="concepts",5,IF(J815="ad slides",5,IF(J815="scenes",5,IF(J815="famous scenes",5,IF(J815="poems",6,IF(J815="walk",6,IF(J815="faces and events",6,IF(J815="events and names",6,IF(J815="flashbulb",7,IF(J815="stories",7,IF(J815="course material",7,IF(J815="autobiographical",7,IF(J815="novels",7,IF(J815="public events",7,"99"))))))))))))))))))))))))))))))))))))))))))))))</f>
        <v>1</v>
      </c>
      <c r="M815" s="60">
        <v>0</v>
      </c>
      <c r="N815" s="61">
        <v>1</v>
      </c>
      <c r="O815" s="60">
        <v>0</v>
      </c>
      <c r="P815" s="60"/>
      <c r="Q815" s="60" t="s">
        <v>182</v>
      </c>
      <c r="R815" s="60">
        <f>IF(Q815="Free Recall",1,IF(Q815="Cued Recall",2,IF(Q815="Recognition",3,IF(Q815="Multiple Choice",4,IF(Q815="Savings",5,IF(Q815="Stem Completion",6,IF(Q815="Fragment Completion",7,IF(Q815="anagram solution",8,IF(Q815="Matching",9,IF(Q815="Problem Solving",10,"99"))))))))))</f>
        <v>4</v>
      </c>
      <c r="S815" s="60" t="s">
        <v>15</v>
      </c>
      <c r="T815" s="59" t="s">
        <v>581</v>
      </c>
      <c r="U815" s="60">
        <f>IF(T815="within",1,0)</f>
        <v>1</v>
      </c>
      <c r="V815" s="59">
        <v>15</v>
      </c>
      <c r="W815" s="60">
        <f>F815*V815</f>
        <v>150</v>
      </c>
      <c r="X815" s="60">
        <v>3</v>
      </c>
      <c r="Y815" s="76">
        <f>AV814</f>
        <v>20</v>
      </c>
      <c r="Z815" s="59" t="s">
        <v>165</v>
      </c>
      <c r="AA815" s="60">
        <f>60*60*24*7*3</f>
        <v>1814400</v>
      </c>
      <c r="AB815" s="60" t="str">
        <f>IF(AA815&lt;60,"1",IF(AA815&lt;=43200,"2",IF(AA815&lt;=777600,"3","4")))</f>
        <v>4</v>
      </c>
      <c r="AC815" s="56">
        <f>AVERAGE(AV814:DA814)</f>
        <v>605406.66666666663</v>
      </c>
      <c r="AD815" s="60" t="str">
        <f>IF(AC815&lt;60,"1",IF(AC815&lt;=43200,"2",IF(AC815&lt;=777600,"3","4")))</f>
        <v>3</v>
      </c>
      <c r="AE815" s="76">
        <f>AA815-Y815</f>
        <v>1814380</v>
      </c>
      <c r="AF815" s="80">
        <f>AV815</f>
        <v>0.82</v>
      </c>
      <c r="AG815" s="56">
        <f>((AW815-AV815)+(AX815-AW815))/2</f>
        <v>-0.12</v>
      </c>
      <c r="AH815" s="4"/>
      <c r="AI815" s="56">
        <f>RSQ(AV815:AX815,AV814:AX814)</f>
        <v>0.99448749183031082</v>
      </c>
      <c r="AJ815" s="109">
        <f>SLOPE(AV815:AX815,AV814:AX814)</f>
        <v>-1.2683530474086107E-7</v>
      </c>
      <c r="AK815" s="56">
        <f>INTERCEPT(AV815:AX815,AV814:AX814)</f>
        <v>0.81012027239214901</v>
      </c>
      <c r="AL815" s="56">
        <f>INDEX(LINEST(LN(AV815:AX815),LN(AV814:AX814),TRUE,TRUE),3,1)</f>
        <v>0.89000127463873746</v>
      </c>
      <c r="AM815" s="56">
        <f>INDEX(LINEST(LN(AV815:AX815),LN(AV814:AX814)),1)</f>
        <v>-3.1695277143817535E-2</v>
      </c>
      <c r="AN815" s="56">
        <f>EXP(INDEX(LINEST(LN(AV815:AX815),LN(AV814:AX814)),1,2))</f>
        <v>0.9426977283417054</v>
      </c>
      <c r="AO815" s="82">
        <f>INDEX(LINEST((AV815:AX815),LN(AV814:AX814),TRUE,TRUE),3,1)</f>
        <v>0.8969196532379119</v>
      </c>
      <c r="AP815" s="82">
        <f>INDEX(LINEST((AV815:AX815),LN(AV814:AX814)),1)</f>
        <v>-2.193248238706013E-2</v>
      </c>
      <c r="AQ815" s="83">
        <f>INDEX(LINEST(LN(AV815:AX815),SQRT(AV814:AX814),TRUE,TRUE),3,1)</f>
        <v>0.99847023732058837</v>
      </c>
      <c r="AR815" s="116">
        <f>INDEX(LINEST(LN(AV815:AX815),SQRT((AV814:AX814))),1)</f>
        <v>-2.5254467777207468E-4</v>
      </c>
      <c r="AS815" s="84">
        <f>INDEX(LINEST(1/(AV815:AX815),1/(SQRT(AV814:AX814)),TRUE,TRUE),3,1)</f>
        <v>0.38632687823243039</v>
      </c>
      <c r="AT815" s="84">
        <f>INDEX(LINEST(1/(AV815:AX815),1/SQRT(AV814:AX814)),1)</f>
        <v>-1.4343590768561645</v>
      </c>
      <c r="AU815" s="3"/>
      <c r="AV815" s="53">
        <f>4.1/5</f>
        <v>0.82</v>
      </c>
      <c r="AW815" s="53">
        <f>4/5</f>
        <v>0.8</v>
      </c>
      <c r="AX815" s="53">
        <f>2.9/5</f>
        <v>0.57999999999999996</v>
      </c>
      <c r="AY815" s="53"/>
      <c r="AZ815" s="53"/>
      <c r="BA815" s="53"/>
      <c r="BB815" s="53"/>
      <c r="BC815" s="53"/>
      <c r="BD815" s="53"/>
      <c r="BE815" s="53"/>
      <c r="BF815" s="53"/>
      <c r="BG815" s="53"/>
      <c r="BH815" s="53"/>
      <c r="BI815" s="53"/>
      <c r="BJ815" s="53"/>
      <c r="BK815" s="53"/>
      <c r="BL815" s="53"/>
      <c r="BM815" s="53"/>
      <c r="BN815" s="53"/>
      <c r="BO815" s="53"/>
      <c r="BP815" s="53"/>
      <c r="BQ815" s="53"/>
      <c r="BR815" s="53"/>
      <c r="BS815" s="53"/>
      <c r="BT815" s="53"/>
      <c r="BU815" s="53"/>
      <c r="BV815" s="53"/>
      <c r="BW815" s="53"/>
      <c r="BX815" s="53"/>
      <c r="BY815" s="53"/>
      <c r="BZ815" s="53"/>
      <c r="CA815" s="53"/>
      <c r="CB815" s="53"/>
      <c r="CC815" s="53"/>
      <c r="CD815" s="53"/>
      <c r="CE815" s="53"/>
      <c r="CF815" s="53"/>
      <c r="CG815" s="53"/>
      <c r="CH815" s="53"/>
      <c r="CI815" s="53"/>
      <c r="CJ815" s="53"/>
      <c r="CK815" s="53"/>
      <c r="CL815" s="53"/>
      <c r="CM815" s="53"/>
      <c r="CN815" s="53"/>
      <c r="CO815" s="53"/>
      <c r="CP815" s="53"/>
      <c r="CQ815" s="53"/>
      <c r="CR815" s="1"/>
      <c r="CS815" s="1"/>
      <c r="CT815" s="1"/>
      <c r="CU815" s="1"/>
    </row>
    <row r="816" spans="1:99" s="13" customFormat="1" ht="12" customHeight="1" x14ac:dyDescent="0.2">
      <c r="A816" s="65">
        <v>43979</v>
      </c>
      <c r="B816" s="1"/>
      <c r="C816" s="1"/>
      <c r="D816" s="60"/>
      <c r="E816" s="76"/>
      <c r="F816" s="60"/>
      <c r="G816" s="60"/>
      <c r="H816" s="60"/>
      <c r="I816" s="60"/>
      <c r="J816" s="60"/>
      <c r="K816" s="60"/>
      <c r="L816" s="60"/>
      <c r="M816" s="60"/>
      <c r="N816" s="61"/>
      <c r="O816" s="60"/>
      <c r="P816" s="60"/>
      <c r="Q816" s="60"/>
      <c r="R816" s="60"/>
      <c r="S816" s="60"/>
      <c r="T816" s="59"/>
      <c r="U816" s="60"/>
      <c r="V816" s="59"/>
      <c r="W816" s="60"/>
      <c r="X816" s="60"/>
      <c r="Y816" s="76"/>
      <c r="Z816" s="59"/>
      <c r="AA816" s="60"/>
      <c r="AB816" s="60"/>
      <c r="AC816" s="56"/>
      <c r="AD816" s="60"/>
      <c r="AE816" s="76"/>
      <c r="AF816" s="80"/>
      <c r="AG816" s="56"/>
      <c r="AH816" s="4"/>
      <c r="AI816" s="56"/>
      <c r="AJ816" s="109"/>
      <c r="AK816" s="56"/>
      <c r="AL816" s="56"/>
      <c r="AM816" s="56"/>
      <c r="AN816" s="56"/>
      <c r="AO816" s="82"/>
      <c r="AP816" s="82"/>
      <c r="AQ816" s="83"/>
      <c r="AR816" s="116"/>
      <c r="AS816" s="84"/>
      <c r="AT816" s="84"/>
      <c r="AU816" s="3"/>
      <c r="AV816" s="25">
        <v>20</v>
      </c>
      <c r="AW816" s="25">
        <f>60*30</f>
        <v>1800</v>
      </c>
      <c r="AX816" s="25">
        <f>60*60*24*7*3</f>
        <v>1814400</v>
      </c>
      <c r="AY816" s="53"/>
      <c r="AZ816" s="53"/>
      <c r="BA816" s="53"/>
      <c r="BB816" s="53"/>
      <c r="BC816" s="53"/>
      <c r="BD816" s="53"/>
      <c r="BE816" s="53"/>
      <c r="BF816" s="53"/>
      <c r="BG816" s="53"/>
      <c r="BH816" s="53"/>
      <c r="BI816" s="53"/>
      <c r="BJ816" s="53"/>
      <c r="BK816" s="53"/>
      <c r="BL816" s="53"/>
      <c r="BM816" s="53"/>
      <c r="BN816" s="53"/>
      <c r="BO816" s="53"/>
      <c r="BP816" s="53"/>
      <c r="BQ816" s="53"/>
      <c r="BR816" s="53"/>
      <c r="BS816" s="53"/>
      <c r="BT816" s="53"/>
      <c r="BU816" s="53"/>
      <c r="BV816" s="53"/>
      <c r="BW816" s="53"/>
      <c r="BX816" s="53"/>
      <c r="BY816" s="53"/>
      <c r="BZ816" s="53"/>
      <c r="CA816" s="53"/>
      <c r="CB816" s="53"/>
      <c r="CC816" s="53"/>
      <c r="CD816" s="53"/>
      <c r="CE816" s="53"/>
      <c r="CF816" s="53"/>
      <c r="CG816" s="53"/>
      <c r="CH816" s="53"/>
      <c r="CI816" s="53"/>
      <c r="CJ816" s="53"/>
      <c r="CK816" s="53"/>
      <c r="CL816" s="53"/>
      <c r="CM816" s="53"/>
      <c r="CN816" s="53"/>
      <c r="CO816" s="53"/>
      <c r="CP816" s="53"/>
      <c r="CQ816" s="53"/>
      <c r="CR816" s="1"/>
      <c r="CS816" s="1"/>
      <c r="CT816" s="1"/>
      <c r="CU816" s="1"/>
    </row>
    <row r="817" spans="1:99" s="13" customFormat="1" ht="12" customHeight="1" x14ac:dyDescent="0.2">
      <c r="A817" s="65">
        <v>43979</v>
      </c>
      <c r="B817" s="1" t="s">
        <v>979</v>
      </c>
      <c r="C817" s="1" t="s">
        <v>357</v>
      </c>
      <c r="D817" s="60">
        <v>2003</v>
      </c>
      <c r="E817" s="76">
        <v>1</v>
      </c>
      <c r="F817" s="60">
        <v>10</v>
      </c>
      <c r="G817" s="60">
        <v>10</v>
      </c>
      <c r="H817" s="60" t="s">
        <v>452</v>
      </c>
      <c r="I817" s="60" t="s">
        <v>330</v>
      </c>
      <c r="J817" s="60" t="s">
        <v>16</v>
      </c>
      <c r="K817" s="60">
        <f>IF(J817="syllables",1,IF(J817="trigrams",2,IF(J817="strings",3,IF(J817="visual array",4,IF(J817="characters",5,IF(J817="letters",6,IF(J817="free forms",7,IF(J817="odors",8,IF(J817="words",9,IF(J817="pictures",10,IF(J817="object pictures",11,IF(J817="faces",12,IF(J817="names",13,IF(J817="idioms",14,IF(J817="grades",15,IF(J817="syllable-digit pairs",16,IF(J817="trigram-word pairs",17,IF(J817="word-digit pairs",18,IF(J817="English-Swahili pairs",19,IF(J817="spatial position",20,IF(J817="word pairs",21,IF(J817="word triads",22,IF(J817="generated words",23,IF(J817="word definition pairs",24,IF(J817="math problems",25,IF(J817="famous faces",26,IF(J817="famous names",27,IF(J817="famous voices",28,IF(J817="television programs",29,IF(J817="race horses",30,IF(J817="new vocabulary",31,IF(J817="sentences",32,IF(J817="concepts",33,IF(J817="ad slides",34,IF(J817="scenes",35,IF(J817="famous scenes",36,IF(J817="poems",37,IF(J817="walk",38,IF(J817="faces and events",39,IF(J817="events and names",40,IF(J817="flashbulb",41,IF(J817="stories",42,IF(J817="course material",43,IF(J817="autobiographical",44,IF(J817="novels",45,IF(J817="public events",46,"99"))))))))))))))))))))))))))))))))))))))))))))))</f>
        <v>9</v>
      </c>
      <c r="L817" s="60">
        <f>IF(J817="syllables",1,IF(J817="trigrams",1,IF(J817="strings",1,IF(J817="visual array",1,IF(J817="characters",1,IF(J817="letters",1,IF(J817="free forms",1,IF(J817="odors",2,IF(J817="words",2,IF(J817="pictures",2,IF(J817="object pictures",2,IF(J817="faces",2,IF(J817="names",2,IF(J817="idioms","2",IF(J817="grades",2,IF(J817="syllable-digit pairs",3,IF(J817="trigram-word pairs",3,IF(J817="word-digit pairs",3,IF(J817="English-Swahili pairs",3,IF(J817="spatial position",3,IF(J817="word pairs",4,IF(J817="word triads",4,IF(J817="generated words",4,IF(J817="word definition pairs",4,IF(J817="math problems",4,IF(J817="famous faces",4,IF(J817="famous names",4,IF(J817="famous voices",4,IF(J817="television programs",4,IF(J817="race horses",4,IF(J817="new vocabulary",4,IF(J817="sentences",5,IF(J817="concepts",5,IF(J817="ad slides",5,IF(J817="scenes",5,IF(J817="famous scenes",5,IF(J817="poems",6,IF(J817="walk",6,IF(J817="faces and events",6,IF(J817="events and names",6,IF(J817="flashbulb",7,IF(J817="stories",7,IF(J817="course material",7,IF(J817="autobiographical",7,IF(J817="novels",7,IF(J817="public events",7,"99"))))))))))))))))))))))))))))))))))))))))))))))</f>
        <v>2</v>
      </c>
      <c r="M817" s="60">
        <v>0</v>
      </c>
      <c r="N817" s="61">
        <v>1</v>
      </c>
      <c r="O817" s="60">
        <v>0</v>
      </c>
      <c r="P817" s="60"/>
      <c r="Q817" s="60" t="s">
        <v>182</v>
      </c>
      <c r="R817" s="60">
        <f>IF(Q817="Free Recall",1,IF(Q817="Cued Recall",2,IF(Q817="Recognition",3,IF(Q817="Multiple Choice",4,IF(Q817="Savings",5,IF(Q817="Stem Completion",6,IF(Q817="Fragment Completion",7,IF(Q817="anagram solution",8,IF(Q817="Matching",9,IF(Q817="Problem Solving",10,"99"))))))))))</f>
        <v>4</v>
      </c>
      <c r="S817" s="60" t="s">
        <v>15</v>
      </c>
      <c r="T817" s="59" t="s">
        <v>581</v>
      </c>
      <c r="U817" s="60">
        <f>IF(T817="within",1,0)</f>
        <v>1</v>
      </c>
      <c r="V817" s="59">
        <v>150</v>
      </c>
      <c r="W817" s="60">
        <f>F817*V817</f>
        <v>1500</v>
      </c>
      <c r="X817" s="60">
        <v>3</v>
      </c>
      <c r="Y817" s="76">
        <f>AV816</f>
        <v>20</v>
      </c>
      <c r="Z817" s="59" t="s">
        <v>165</v>
      </c>
      <c r="AA817" s="60">
        <f>60*60*24*7*3</f>
        <v>1814400</v>
      </c>
      <c r="AB817" s="60" t="str">
        <f>IF(AA817&lt;60,"1",IF(AA817&lt;=43200,"2",IF(AA817&lt;=777600,"3","4")))</f>
        <v>4</v>
      </c>
      <c r="AC817" s="56">
        <f>AVERAGE(AV816:DA816)</f>
        <v>605406.66666666663</v>
      </c>
      <c r="AD817" s="60" t="str">
        <f>IF(AC817&lt;60,"1",IF(AC817&lt;=43200,"2",IF(AC817&lt;=777600,"3","4")))</f>
        <v>3</v>
      </c>
      <c r="AE817" s="76">
        <f>AA817-Y817</f>
        <v>1814380</v>
      </c>
      <c r="AF817" s="80">
        <f>AV817</f>
        <v>0.95200000000000007</v>
      </c>
      <c r="AG817" s="56">
        <f>((AW817-AV817)+(AX817-AW817))/2</f>
        <v>-0.14200000000000007</v>
      </c>
      <c r="AH817" s="4"/>
      <c r="AI817" s="56">
        <f>RSQ(AV817:AX817,AV816:AX816)</f>
        <v>0.99527037646260141</v>
      </c>
      <c r="AJ817" s="109">
        <f>SLOPE(AV817:AX817,AV816:AX816)</f>
        <v>-1.5054728618457463E-7</v>
      </c>
      <c r="AK817" s="56">
        <f>INTERCEPT(AV817:AX817,AV816:AX816)</f>
        <v>0.94114233070471598</v>
      </c>
      <c r="AL817" s="56">
        <f>INDEX(LINEST(LN(AV817:AX817),LN(AV816:AX816),TRUE,TRUE),3,1)</f>
        <v>0.88690581232497678</v>
      </c>
      <c r="AM817" s="56">
        <f>INDEX(LINEST(LN(AV817:AX817),LN(AV816:AX816)),1)</f>
        <v>-3.245051501258598E-2</v>
      </c>
      <c r="AN817" s="56">
        <f>EXP(INDEX(LINEST(LN(AV817:AX817),LN(AV816:AX816)),1,2))</f>
        <v>1.0988791777202964</v>
      </c>
      <c r="AO817" s="82">
        <f>INDEX(LINEST((AV817:AX817),LN(AV816:AX816),TRUE,TRUE),3,1)</f>
        <v>0.89355836705785707</v>
      </c>
      <c r="AP817" s="82">
        <f>INDEX(LINEST((AV817:AX817),LN(AV816:AX816)),1)</f>
        <v>-2.597373349772409E-2</v>
      </c>
      <c r="AQ817" s="83">
        <f>INDEX(LINEST(LN(AV817:AX817),SQRT(AV816:AX816),TRUE,TRUE),3,1)</f>
        <v>0.9988304321732735</v>
      </c>
      <c r="AR817" s="116">
        <f>INDEX(LINEST(LN(AV817:AX817),SQRT((AV816:AX816))),1)</f>
        <v>-2.5905987129000435E-4</v>
      </c>
      <c r="AS817" s="84">
        <f>INDEX(LINEST(1/(AV817:AX817),1/(SQRT(AV816:AX816)),TRUE,TRUE),3,1)</f>
        <v>0.38207119015909125</v>
      </c>
      <c r="AT817" s="84">
        <f>INDEX(LINEST(1/(AV817:AX817),1/SQRT(AV816:AX816)),1)</f>
        <v>-1.2651956620167515</v>
      </c>
      <c r="AU817" s="3"/>
      <c r="AV817" s="53">
        <f>47.6/50</f>
        <v>0.95200000000000007</v>
      </c>
      <c r="AW817" s="53">
        <f>46.5/50</f>
        <v>0.93</v>
      </c>
      <c r="AX817" s="53">
        <f>33.4/50</f>
        <v>0.66799999999999993</v>
      </c>
      <c r="AY817" s="53"/>
      <c r="AZ817" s="53"/>
      <c r="BA817" s="53"/>
      <c r="BB817" s="53"/>
      <c r="BC817" s="53"/>
      <c r="BD817" s="53"/>
      <c r="BE817" s="53"/>
      <c r="BF817" s="53"/>
      <c r="BG817" s="53"/>
      <c r="BH817" s="53"/>
      <c r="BI817" s="53"/>
      <c r="BJ817" s="53"/>
      <c r="BK817" s="53"/>
      <c r="BL817" s="53"/>
      <c r="BM817" s="53"/>
      <c r="BN817" s="53"/>
      <c r="BO817" s="53"/>
      <c r="BP817" s="53"/>
      <c r="BQ817" s="53"/>
      <c r="BR817" s="53"/>
      <c r="BS817" s="53"/>
      <c r="BT817" s="53"/>
      <c r="BU817" s="53"/>
      <c r="BV817" s="53"/>
      <c r="BW817" s="53"/>
      <c r="BX817" s="53"/>
      <c r="BY817" s="53"/>
      <c r="BZ817" s="53"/>
      <c r="CA817" s="53"/>
      <c r="CB817" s="53"/>
      <c r="CC817" s="53"/>
      <c r="CD817" s="53"/>
      <c r="CE817" s="53"/>
      <c r="CF817" s="53"/>
      <c r="CG817" s="53"/>
      <c r="CH817" s="53"/>
      <c r="CI817" s="53"/>
      <c r="CJ817" s="53"/>
      <c r="CK817" s="53"/>
      <c r="CL817" s="53"/>
      <c r="CM817" s="53"/>
      <c r="CN817" s="53"/>
      <c r="CO817" s="53"/>
      <c r="CP817" s="53"/>
      <c r="CQ817" s="53"/>
      <c r="CR817" s="1"/>
      <c r="CS817" s="1"/>
      <c r="CT817" s="1"/>
      <c r="CU817" s="1"/>
    </row>
    <row r="818" spans="1:99" s="13" customFormat="1" ht="12" customHeight="1" x14ac:dyDescent="0.2">
      <c r="A818" s="65">
        <v>43979</v>
      </c>
      <c r="B818" s="1"/>
      <c r="C818" s="1"/>
      <c r="D818" s="60"/>
      <c r="E818" s="76"/>
      <c r="F818" s="60"/>
      <c r="G818" s="60"/>
      <c r="H818" s="60"/>
      <c r="I818" s="60"/>
      <c r="J818" s="60"/>
      <c r="K818" s="60"/>
      <c r="L818" s="60"/>
      <c r="M818" s="60"/>
      <c r="N818" s="61"/>
      <c r="O818" s="60"/>
      <c r="P818" s="60"/>
      <c r="Q818" s="60"/>
      <c r="R818" s="60"/>
      <c r="S818" s="60"/>
      <c r="T818" s="59"/>
      <c r="U818" s="60"/>
      <c r="V818" s="59"/>
      <c r="W818" s="60"/>
      <c r="X818" s="60"/>
      <c r="Y818" s="76"/>
      <c r="Z818" s="59"/>
      <c r="AA818" s="60"/>
      <c r="AB818" s="60"/>
      <c r="AC818" s="56"/>
      <c r="AD818" s="60"/>
      <c r="AE818" s="76"/>
      <c r="AF818" s="80"/>
      <c r="AG818" s="56"/>
      <c r="AH818" s="4"/>
      <c r="AI818" s="56"/>
      <c r="AJ818" s="109"/>
      <c r="AK818" s="56"/>
      <c r="AL818" s="56"/>
      <c r="AM818" s="56"/>
      <c r="AN818" s="56"/>
      <c r="AO818" s="82"/>
      <c r="AP818" s="82"/>
      <c r="AQ818" s="83"/>
      <c r="AR818" s="116"/>
      <c r="AS818" s="84"/>
      <c r="AT818" s="84"/>
      <c r="AU818" s="3"/>
      <c r="AV818" s="25">
        <v>20</v>
      </c>
      <c r="AW818" s="25">
        <f>60*30</f>
        <v>1800</v>
      </c>
      <c r="AX818" s="25">
        <f>60*60*24*7*3</f>
        <v>1814400</v>
      </c>
      <c r="AY818" s="53"/>
      <c r="AZ818" s="53"/>
      <c r="BA818" s="53"/>
      <c r="BB818" s="53"/>
      <c r="BC818" s="53"/>
      <c r="BD818" s="53"/>
      <c r="BE818" s="53"/>
      <c r="BF818" s="53"/>
      <c r="BG818" s="53"/>
      <c r="BH818" s="53"/>
      <c r="BI818" s="53"/>
      <c r="BJ818" s="53"/>
      <c r="BK818" s="53"/>
      <c r="BL818" s="53"/>
      <c r="BM818" s="53"/>
      <c r="BN818" s="53"/>
      <c r="BO818" s="53"/>
      <c r="BP818" s="53"/>
      <c r="BQ818" s="53"/>
      <c r="BR818" s="53"/>
      <c r="BS818" s="53"/>
      <c r="BT818" s="53"/>
      <c r="BU818" s="53"/>
      <c r="BV818" s="53"/>
      <c r="BW818" s="53"/>
      <c r="BX818" s="53"/>
      <c r="BY818" s="53"/>
      <c r="BZ818" s="53"/>
      <c r="CA818" s="53"/>
      <c r="CB818" s="53"/>
      <c r="CC818" s="53"/>
      <c r="CD818" s="53"/>
      <c r="CE818" s="53"/>
      <c r="CF818" s="53"/>
      <c r="CG818" s="53"/>
      <c r="CH818" s="53"/>
      <c r="CI818" s="53"/>
      <c r="CJ818" s="53"/>
      <c r="CK818" s="53"/>
      <c r="CL818" s="53"/>
      <c r="CM818" s="53"/>
      <c r="CN818" s="53"/>
      <c r="CO818" s="53"/>
      <c r="CP818" s="53"/>
      <c r="CQ818" s="53"/>
      <c r="CR818" s="1"/>
      <c r="CS818" s="1"/>
      <c r="CT818" s="1"/>
      <c r="CU818" s="1"/>
    </row>
    <row r="819" spans="1:99" s="13" customFormat="1" ht="12" customHeight="1" x14ac:dyDescent="0.2">
      <c r="A819" s="65">
        <v>43979</v>
      </c>
      <c r="B819" s="1" t="s">
        <v>979</v>
      </c>
      <c r="C819" s="1" t="s">
        <v>357</v>
      </c>
      <c r="D819" s="60">
        <v>2003</v>
      </c>
      <c r="E819" s="76">
        <v>1</v>
      </c>
      <c r="F819" s="60">
        <v>10</v>
      </c>
      <c r="G819" s="60">
        <v>10</v>
      </c>
      <c r="H819" s="60" t="s">
        <v>452</v>
      </c>
      <c r="I819" s="60" t="s">
        <v>330</v>
      </c>
      <c r="J819" s="60" t="s">
        <v>328</v>
      </c>
      <c r="K819" s="60">
        <f>IF(J819="syllables",1,IF(J819="trigrams",2,IF(J819="strings",3,IF(J819="visual array",4,IF(J819="characters",5,IF(J819="letters",6,IF(J819="free forms",7,IF(J819="odors",8,IF(J819="words",9,IF(J819="pictures",10,IF(J819="object pictures",11,IF(J819="faces",12,IF(J819="names",13,IF(J819="idioms",14,IF(J819="grades",15,IF(J819="syllable-digit pairs",16,IF(J819="trigram-word pairs",17,IF(J819="word-digit pairs",18,IF(J819="English-Swahili pairs",19,IF(J819="spatial position",20,IF(J819="word pairs",21,IF(J819="word triads",22,IF(J819="generated words",23,IF(J819="word definition pairs",24,IF(J819="math problems",25,IF(J819="famous faces",26,IF(J819="famous names",27,IF(J819="famous voices",28,IF(J819="television programs",29,IF(J819="race horses",30,IF(J819="new vocabulary",31,IF(J819="sentences",32,IF(J819="concepts",33,IF(J819="ad slides",34,IF(J819="scenes",35,IF(J819="famous scenes",36,IF(J819="poems",37,IF(J819="walk",38,IF(J819="faces and events",39,IF(J819="events and names",40,IF(J819="flashbulb",41,IF(J819="stories",42,IF(J819="course material",43,IF(J819="autobiographical",44,IF(J819="novels",45,IF(J819="public events",46,"99"))))))))))))))))))))))))))))))))))))))))))))))</f>
        <v>12</v>
      </c>
      <c r="L819" s="60">
        <f>IF(J819="syllables",1,IF(J819="trigrams",1,IF(J819="strings",1,IF(J819="visual array",1,IF(J819="characters",1,IF(J819="letters",1,IF(J819="free forms",1,IF(J819="odors",2,IF(J819="words",2,IF(J819="pictures",2,IF(J819="object pictures",2,IF(J819="faces",2,IF(J819="names",2,IF(J819="idioms","2",IF(J819="grades",2,IF(J819="syllable-digit pairs",3,IF(J819="trigram-word pairs",3,IF(J819="word-digit pairs",3,IF(J819="English-Swahili pairs",3,IF(J819="spatial position",3,IF(J819="word pairs",4,IF(J819="word triads",4,IF(J819="generated words",4,IF(J819="word definition pairs",4,IF(J819="math problems",4,IF(J819="famous faces",4,IF(J819="famous names",4,IF(J819="famous voices",4,IF(J819="television programs",4,IF(J819="race horses",4,IF(J819="new vocabulary",4,IF(J819="sentences",5,IF(J819="concepts",5,IF(J819="ad slides",5,IF(J819="scenes",5,IF(J819="famous scenes",5,IF(J819="poems",6,IF(J819="walk",6,IF(J819="faces and events",6,IF(J819="events and names",6,IF(J819="flashbulb",7,IF(J819="stories",7,IF(J819="course material",7,IF(J819="autobiographical",7,IF(J819="novels",7,IF(J819="public events",7,"99"))))))))))))))))))))))))))))))))))))))))))))))</f>
        <v>2</v>
      </c>
      <c r="M819" s="60">
        <v>0</v>
      </c>
      <c r="N819" s="61">
        <v>1</v>
      </c>
      <c r="O819" s="60">
        <v>0</v>
      </c>
      <c r="P819" s="60"/>
      <c r="Q819" s="60" t="s">
        <v>182</v>
      </c>
      <c r="R819" s="60">
        <f>IF(Q819="Free Recall",1,IF(Q819="Cued Recall",2,IF(Q819="Recognition",3,IF(Q819="Multiple Choice",4,IF(Q819="Savings",5,IF(Q819="Stem Completion",6,IF(Q819="Fragment Completion",7,IF(Q819="anagram solution",8,IF(Q819="Matching",9,IF(Q819="Problem Solving",10,"99"))))))))))</f>
        <v>4</v>
      </c>
      <c r="S819" s="60" t="s">
        <v>15</v>
      </c>
      <c r="T819" s="59" t="s">
        <v>581</v>
      </c>
      <c r="U819" s="60">
        <f>IF(T819="within",1,0)</f>
        <v>1</v>
      </c>
      <c r="V819" s="59">
        <v>150</v>
      </c>
      <c r="W819" s="60">
        <f>F819*V819</f>
        <v>1500</v>
      </c>
      <c r="X819" s="60">
        <v>3</v>
      </c>
      <c r="Y819" s="76">
        <f>AV818</f>
        <v>20</v>
      </c>
      <c r="Z819" s="59" t="s">
        <v>165</v>
      </c>
      <c r="AA819" s="60">
        <f>60*60*24*7*3</f>
        <v>1814400</v>
      </c>
      <c r="AB819" s="60" t="str">
        <f>IF(AA819&lt;60,"1",IF(AA819&lt;=43200,"2",IF(AA819&lt;=777600,"3","4")))</f>
        <v>4</v>
      </c>
      <c r="AC819" s="56">
        <f>AVERAGE(AV818:DA818)</f>
        <v>605406.66666666663</v>
      </c>
      <c r="AD819" s="60" t="str">
        <f>IF(AC819&lt;60,"1",IF(AC819&lt;=43200,"2",IF(AC819&lt;=777600,"3","4")))</f>
        <v>3</v>
      </c>
      <c r="AE819" s="76">
        <f>AA819-Y819</f>
        <v>1814380</v>
      </c>
      <c r="AF819" s="80">
        <f>AV819</f>
        <v>0.88400000000000001</v>
      </c>
      <c r="AG819" s="56">
        <f>((AW819-AV819)+(AX819-AW819))/2</f>
        <v>-8.9000000000000024E-2</v>
      </c>
      <c r="AH819" s="4"/>
      <c r="AI819" s="56">
        <f>RSQ(AV819:AX819,AV818:AX818)</f>
        <v>0.963738621202198</v>
      </c>
      <c r="AJ819" s="109">
        <f>SLOPE(AV819:AX819,AV818:AX818)</f>
        <v>-8.8242221219282349E-8</v>
      </c>
      <c r="AK819" s="56">
        <f>INTERCEPT(AV819:AX819,AV818:AX818)</f>
        <v>0.86608909567429482</v>
      </c>
      <c r="AL819" s="56">
        <f>INDEX(LINEST(LN(AV819:AX819),LN(AV818:AX818),TRUE,TRUE),3,1)</f>
        <v>0.94919304613758848</v>
      </c>
      <c r="AM819" s="56">
        <f>INDEX(LINEST(LN(AV819:AX819),LN(AV818:AX818)),1)</f>
        <v>-2.0269115675704209E-2</v>
      </c>
      <c r="AN819" s="56">
        <f>EXP(INDEX(LINEST(LN(AV819:AX819),LN(AV818:AX818)),1,2))</f>
        <v>0.95709417902807392</v>
      </c>
      <c r="AO819" s="82">
        <f>INDEX(LINEST((AV819:AX819),LN(AV818:AX818),TRUE,TRUE),3,1)</f>
        <v>0.9567195197211239</v>
      </c>
      <c r="AP819" s="82">
        <f>INDEX(LINEST((AV819:AX819),LN(AV818:AX818)),1)</f>
        <v>-1.6008831822842375E-2</v>
      </c>
      <c r="AQ819" s="83">
        <f>INDEX(LINEST(LN(AV819:AX819),SQRT(AV818:AX818),TRUE,TRUE),3,1)</f>
        <v>0.97771913105154673</v>
      </c>
      <c r="AR819" s="116">
        <f>INDEX(LINEST(LN(AV819:AX819),SQRT((AV818:AX818))),1)</f>
        <v>-1.5475190470558064E-4</v>
      </c>
      <c r="AS819" s="84">
        <f>INDEX(LINEST(1/(AV819:AX819),1/(SQRT(AV818:AX818)),TRUE,TRUE),3,1)</f>
        <v>0.48932649981933685</v>
      </c>
      <c r="AT819" s="84">
        <f>INDEX(LINEST(1/(AV819:AX819),1/SQRT(AV818:AX818)),1)</f>
        <v>-0.87117595215390142</v>
      </c>
      <c r="AU819" s="3"/>
      <c r="AV819" s="53">
        <f>44.2/50</f>
        <v>0.88400000000000001</v>
      </c>
      <c r="AW819" s="53">
        <f>42.4/50</f>
        <v>0.84799999999999998</v>
      </c>
      <c r="AX819" s="53">
        <f>35.3/50</f>
        <v>0.70599999999999996</v>
      </c>
      <c r="AY819" s="53"/>
      <c r="AZ819" s="53"/>
      <c r="BA819" s="53"/>
      <c r="BB819" s="53"/>
      <c r="BC819" s="53"/>
      <c r="BD819" s="53"/>
      <c r="BE819" s="53"/>
      <c r="BF819" s="53"/>
      <c r="BG819" s="53"/>
      <c r="BH819" s="53"/>
      <c r="BI819" s="53"/>
      <c r="BJ819" s="53"/>
      <c r="BK819" s="53"/>
      <c r="BL819" s="53"/>
      <c r="BM819" s="53"/>
      <c r="BN819" s="53"/>
      <c r="BO819" s="53"/>
      <c r="BP819" s="53"/>
      <c r="BQ819" s="53"/>
      <c r="BR819" s="53"/>
      <c r="BS819" s="53"/>
      <c r="BT819" s="53"/>
      <c r="BU819" s="53"/>
      <c r="BV819" s="53"/>
      <c r="BW819" s="53"/>
      <c r="BX819" s="53"/>
      <c r="BY819" s="53"/>
      <c r="BZ819" s="53"/>
      <c r="CA819" s="53"/>
      <c r="CB819" s="53"/>
      <c r="CC819" s="53"/>
      <c r="CD819" s="53"/>
      <c r="CE819" s="53"/>
      <c r="CF819" s="53"/>
      <c r="CG819" s="53"/>
      <c r="CH819" s="53"/>
      <c r="CI819" s="53"/>
      <c r="CJ819" s="53"/>
      <c r="CK819" s="53"/>
      <c r="CL819" s="53"/>
      <c r="CM819" s="53"/>
      <c r="CN819" s="53"/>
      <c r="CO819" s="53"/>
      <c r="CP819" s="53"/>
      <c r="CQ819" s="53"/>
      <c r="CR819" s="1"/>
      <c r="CS819" s="1"/>
      <c r="CT819" s="1"/>
      <c r="CU819" s="1"/>
    </row>
    <row r="820" spans="1:99" s="13" customFormat="1" ht="12" customHeight="1" x14ac:dyDescent="0.2">
      <c r="A820" s="68">
        <v>43902</v>
      </c>
      <c r="B820" s="70"/>
      <c r="C820" s="70"/>
      <c r="D820" s="69"/>
      <c r="E820" s="87"/>
      <c r="F820" s="69"/>
      <c r="G820" s="69"/>
      <c r="H820" s="69"/>
      <c r="I820" s="69"/>
      <c r="J820" s="69"/>
      <c r="K820" s="107"/>
      <c r="L820" s="107"/>
      <c r="M820" s="69"/>
      <c r="N820" s="86"/>
      <c r="O820" s="69"/>
      <c r="P820" s="69"/>
      <c r="Q820" s="69"/>
      <c r="R820" s="69"/>
      <c r="S820" s="69"/>
      <c r="T820" s="92"/>
      <c r="U820" s="69"/>
      <c r="V820" s="92"/>
      <c r="W820" s="69"/>
      <c r="X820" s="69"/>
      <c r="Y820" s="87"/>
      <c r="Z820" s="92"/>
      <c r="AA820" s="92"/>
      <c r="AB820" s="69"/>
      <c r="AC820" s="72"/>
      <c r="AD820" s="69"/>
      <c r="AE820" s="69"/>
      <c r="AF820" s="88"/>
      <c r="AG820" s="72"/>
      <c r="AH820" s="4"/>
      <c r="AI820" s="72"/>
      <c r="AJ820" s="110"/>
      <c r="AK820" s="72"/>
      <c r="AL820" s="72"/>
      <c r="AM820" s="72"/>
      <c r="AN820" s="72"/>
      <c r="AO820" s="89"/>
      <c r="AP820" s="89"/>
      <c r="AQ820" s="90"/>
      <c r="AR820" s="117"/>
      <c r="AS820" s="91"/>
      <c r="AT820" s="91"/>
      <c r="AU820" s="3"/>
      <c r="AV820" s="73">
        <v>0.01</v>
      </c>
      <c r="AW820" s="71">
        <v>5</v>
      </c>
      <c r="AX820" s="71">
        <v>10</v>
      </c>
      <c r="AY820" s="71">
        <v>15</v>
      </c>
      <c r="AZ820" s="71">
        <v>30</v>
      </c>
      <c r="BA820" s="42"/>
      <c r="BB820" s="42"/>
      <c r="BC820" s="34"/>
      <c r="BD820" s="34"/>
      <c r="BE820" s="34"/>
      <c r="BF820" s="34"/>
      <c r="BG820" s="34"/>
      <c r="BH820" s="34"/>
      <c r="BI820" s="34"/>
      <c r="BJ820" s="34"/>
      <c r="BK820" s="34"/>
      <c r="BL820" s="34"/>
      <c r="BM820" s="34"/>
      <c r="BN820" s="34"/>
      <c r="BO820" s="34"/>
      <c r="BP820" s="34"/>
      <c r="BQ820" s="34"/>
      <c r="BR820" s="34"/>
      <c r="BS820" s="34"/>
      <c r="BT820" s="34"/>
      <c r="BU820" s="34"/>
      <c r="BV820" s="34"/>
      <c r="BW820" s="34"/>
      <c r="BX820" s="34"/>
      <c r="BY820" s="34"/>
      <c r="BZ820" s="34"/>
      <c r="CA820" s="34"/>
      <c r="CB820" s="34"/>
      <c r="CC820" s="34"/>
      <c r="CD820" s="34"/>
      <c r="CE820" s="34"/>
      <c r="CF820" s="34"/>
      <c r="CG820" s="34"/>
      <c r="CH820" s="34"/>
      <c r="CI820" s="34"/>
      <c r="CJ820" s="34"/>
      <c r="CK820" s="34"/>
      <c r="CL820" s="34"/>
      <c r="CM820" s="34"/>
      <c r="CN820" s="34"/>
      <c r="CO820" s="34"/>
      <c r="CP820" s="34"/>
      <c r="CQ820" s="34"/>
      <c r="CR820" s="1"/>
      <c r="CS820" s="1"/>
      <c r="CT820" s="1"/>
      <c r="CU820" s="1"/>
    </row>
    <row r="821" spans="1:99" s="13" customFormat="1" ht="12" customHeight="1" x14ac:dyDescent="0.2">
      <c r="A821" s="68">
        <v>43902</v>
      </c>
      <c r="B821" s="70" t="s">
        <v>448</v>
      </c>
      <c r="C821" s="70" t="s">
        <v>357</v>
      </c>
      <c r="D821" s="69">
        <v>1988</v>
      </c>
      <c r="E821" s="87">
        <v>1</v>
      </c>
      <c r="F821" s="69">
        <v>4</v>
      </c>
      <c r="G821" s="69">
        <v>4</v>
      </c>
      <c r="H821" s="69" t="s">
        <v>450</v>
      </c>
      <c r="I821" s="69" t="s">
        <v>330</v>
      </c>
      <c r="J821" s="92" t="s">
        <v>16</v>
      </c>
      <c r="K821" s="69">
        <f>IF(J821="syllables",1,IF(J821="trigrams",2,IF(J821="strings",3,IF(J821="visual array",4,IF(J821="characters",5,IF(J821="letters",6,IF(J821="free forms",7,IF(J821="odors",8,IF(J821="words",9,IF(J821="pictures",10,IF(J821="object pictures",11,IF(J821="faces",12,IF(J821="names",13,IF(J821="idioms",14,IF(J821="grades",15,IF(J821="syllable-digit pairs",16,IF(J821="trigram-word pairs",17,IF(J821="word-digit pairs",18,IF(J821="English-Swahili pairs",19,IF(J821="spatial position",20,IF(J821="word pairs",21,IF(J821="word triads",22,IF(J821="generated words",23,IF(J821="word definition pairs",24,IF(J821="math problems",25,IF(J821="famous faces",26,IF(J821="famous names",27,IF(J821="famous voices",28,IF(J821="television programs",29,IF(J821="race horses",30,IF(J821="new vocabulary",31,IF(J821="sentences",32,IF(J821="concepts",33,IF(J821="ad slides",34,IF(J821="scenes",35,IF(J821="famous scenes",36,IF(J821="poems",37,IF(J821="walk",38,IF(J821="faces and events",39,IF(J821="events and names",40,IF(J821="flashbulb",41,IF(J821="stories",42,IF(J821="course material",43,IF(J821="autobiographical",44,IF(J821="novels",45,IF(J821="public events",46,"99"))))))))))))))))))))))))))))))))))))))))))))))</f>
        <v>9</v>
      </c>
      <c r="L821" s="69">
        <f>IF(J821="syllables",1,IF(J821="trigrams",1,IF(J821="strings",1,IF(J821="visual array",1,IF(J821="characters",1,IF(J821="letters",1,IF(J821="free forms",1,IF(J821="odors",2,IF(J821="words",2,IF(J821="pictures",2,IF(J821="object pictures",2,IF(J821="faces",2,IF(J821="names",2,IF(J821="idioms","2",IF(J821="grades",2,IF(J821="syllable-digit pairs",3,IF(J821="trigram-word pairs",3,IF(J821="word-digit pairs",3,IF(J821="English-Swahili pairs",3,IF(J821="spatial position",3,IF(J821="word pairs",4,IF(J821="word triads",4,IF(J821="generated words",4,IF(J821="word definition pairs",4,IF(J821="math problems",4,IF(J821="famous faces",4,IF(J821="famous names",4,IF(J821="famous voices",4,IF(J821="television programs",4,IF(J821="race horses",4,IF(J821="new vocabulary",4,IF(J821="sentences",5,IF(J821="concepts",5,IF(J821="ad slides",5,IF(J821="scenes",5,IF(J821="famous scenes",5,IF(J821="poems",6,IF(J821="walk",6,IF(J821="faces and events",6,IF(J821="events and names",6,IF(J821="flashbulb",7,IF(J821="stories",7,IF(J821="course material",7,IF(J821="autobiographical",7,IF(J821="novels",7,IF(J821="public events",7,"99"))))))))))))))))))))))))))))))))))))))))))))))</f>
        <v>2</v>
      </c>
      <c r="M821" s="69">
        <v>0</v>
      </c>
      <c r="N821" s="69">
        <v>1</v>
      </c>
      <c r="O821" s="69">
        <v>1</v>
      </c>
      <c r="P821" s="69" t="s">
        <v>27</v>
      </c>
      <c r="Q821" s="69" t="s">
        <v>174</v>
      </c>
      <c r="R821" s="69">
        <f>IF(Q821="Free Recall",1,IF(Q821="Cued Recall",2,IF(Q821="Recognition",3,IF(Q821="Multiple Choice",4,IF(Q821="Savings",5,IF(Q821="Stem Completion",6,IF(Q821="Fragment Completion",7,IF(Q821="anagram solution",8,IF(Q821="Matching",9,IF(Q821="Problem Solving",10,"99"))))))))))</f>
        <v>1</v>
      </c>
      <c r="S821" s="69" t="s">
        <v>49</v>
      </c>
      <c r="T821" s="92" t="s">
        <v>581</v>
      </c>
      <c r="U821" s="69">
        <f>IF(T821="within",1,0)</f>
        <v>1</v>
      </c>
      <c r="V821" s="92">
        <v>15</v>
      </c>
      <c r="W821" s="69">
        <f>F821*V821</f>
        <v>60</v>
      </c>
      <c r="X821" s="69">
        <v>5</v>
      </c>
      <c r="Y821" s="87">
        <f>AV820</f>
        <v>0.01</v>
      </c>
      <c r="Z821" s="92" t="s">
        <v>52</v>
      </c>
      <c r="AA821" s="92">
        <v>30</v>
      </c>
      <c r="AB821" s="69" t="str">
        <f>IF(AA821&lt;60,"1",IF(AA821&lt;=43200,"2",IF(AA821&lt;=777600,"3","4")))</f>
        <v>1</v>
      </c>
      <c r="AC821" s="72">
        <f>AVERAGE(AV820:DA820)</f>
        <v>12.001999999999999</v>
      </c>
      <c r="AD821" s="69" t="str">
        <f>IF(AC821&lt;60,"1",IF(AC821&lt;=43200,"2",IF(AC821&lt;=777600,"3","4")))</f>
        <v>1</v>
      </c>
      <c r="AE821" s="87">
        <f>AA821-Y821</f>
        <v>29.99</v>
      </c>
      <c r="AF821" s="88">
        <f>AV821</f>
        <v>1</v>
      </c>
      <c r="AG821" s="72">
        <f>((AW821-AV821)+(AX821-AW821)+(AY821-AX821)+(AZ821-AY821))/4</f>
        <v>-0.1225</v>
      </c>
      <c r="AH821" s="4"/>
      <c r="AI821" s="72">
        <f>RSQ(AV821:AZ821,AV820:AZ820)</f>
        <v>0.87744486458926696</v>
      </c>
      <c r="AJ821" s="110">
        <f>SLOPE(AV821:AZ821,AV820:AZ820)</f>
        <v>-1.5133869656618898E-2</v>
      </c>
      <c r="AK821" s="72">
        <f>INTERCEPT(AV821:AZ821,AV820:AZ820)</f>
        <v>0.91363670361873994</v>
      </c>
      <c r="AL821" s="72">
        <f>INDEX(LINEST(LN(AV821:AZ821),LN(AV820:AZ820),TRUE,TRUE),3,1)</f>
        <v>0.73544565890084335</v>
      </c>
      <c r="AM821" s="72">
        <f>INDEX(LINEST(LN(AV821:AZ821),LN(AV820:AZ820)),1)</f>
        <v>-6.737198421982793E-2</v>
      </c>
      <c r="AN821" s="72">
        <f>EXP(INDEX(LINEST(LN(AV821:AZ821),LN(AV820:AZ820)),1,2))</f>
        <v>0.76730704069457645</v>
      </c>
      <c r="AO821" s="89">
        <f>INDEX(LINEST((AV821:AZ821),LN(AV820:AZ820),TRUE,TRUE),3,1)</f>
        <v>0.82145445368287273</v>
      </c>
      <c r="AP821" s="89">
        <f>INDEX(LINEST((AV821:AZ821),LN(AV820:AZ820)),1)</f>
        <v>-5.1922049681702984E-2</v>
      </c>
      <c r="AQ821" s="90">
        <f>INDEX(LINEST(LN(AV821:AZ821),SQRT(AV820:AZ820),TRUE,TRUE),3,1)</f>
        <v>0.98317651352563162</v>
      </c>
      <c r="AR821" s="117">
        <f>INDEX(LINEST(LN(AV821:AZ821),SQRT((AV820:AZ820))),1)</f>
        <v>-0.12675016966523908</v>
      </c>
      <c r="AS821" s="91">
        <f>INDEX(LINEST(1/(AV821:AZ821),1/(SQRT(AV820:AZ820)),TRUE,TRUE),3,1)</f>
        <v>0.46976052142011815</v>
      </c>
      <c r="AT821" s="91">
        <f>INDEX(LINEST(1/(AV821:AZ821),1/SQRT(AV820:AZ820)),1)</f>
        <v>-5.7813684707007811E-2</v>
      </c>
      <c r="AU821" s="3"/>
      <c r="AV821" s="73">
        <v>1</v>
      </c>
      <c r="AW821" s="73">
        <v>0.8</v>
      </c>
      <c r="AX821" s="73">
        <v>0.73</v>
      </c>
      <c r="AY821" s="73">
        <v>0.62</v>
      </c>
      <c r="AZ821" s="73">
        <v>0.51</v>
      </c>
      <c r="BA821" s="42"/>
      <c r="BB821" s="42"/>
      <c r="BC821" s="34"/>
      <c r="BD821" s="34"/>
      <c r="BE821" s="34"/>
      <c r="BF821" s="34"/>
      <c r="BG821" s="34"/>
      <c r="BH821" s="34"/>
      <c r="BI821" s="34"/>
      <c r="BJ821" s="34"/>
      <c r="BK821" s="34"/>
      <c r="BL821" s="34"/>
      <c r="BM821" s="34"/>
      <c r="BN821" s="34"/>
      <c r="BO821" s="34"/>
      <c r="BP821" s="34"/>
      <c r="BQ821" s="34"/>
      <c r="BR821" s="34"/>
      <c r="BS821" s="34"/>
      <c r="BT821" s="34"/>
      <c r="BU821" s="34"/>
      <c r="BV821" s="34"/>
      <c r="BW821" s="34"/>
      <c r="BX821" s="34"/>
      <c r="BY821" s="34"/>
      <c r="BZ821" s="34"/>
      <c r="CA821" s="34"/>
      <c r="CB821" s="34"/>
      <c r="CC821" s="34"/>
      <c r="CD821" s="34"/>
      <c r="CE821" s="34"/>
      <c r="CF821" s="34"/>
      <c r="CG821" s="34"/>
      <c r="CH821" s="34"/>
      <c r="CI821" s="34"/>
      <c r="CJ821" s="34"/>
      <c r="CK821" s="34"/>
      <c r="CL821" s="34"/>
      <c r="CM821" s="34"/>
      <c r="CN821" s="34"/>
      <c r="CO821" s="34"/>
      <c r="CP821" s="34"/>
      <c r="CQ821" s="34"/>
      <c r="CR821" s="1"/>
      <c r="CS821" s="1"/>
      <c r="CT821" s="1"/>
      <c r="CU821" s="1"/>
    </row>
    <row r="822" spans="1:99" s="13" customFormat="1" ht="12" customHeight="1" x14ac:dyDescent="0.2">
      <c r="A822" s="68">
        <v>43902</v>
      </c>
      <c r="B822" s="70"/>
      <c r="C822" s="70"/>
      <c r="D822" s="69"/>
      <c r="E822" s="87"/>
      <c r="F822" s="69"/>
      <c r="G822" s="69"/>
      <c r="H822" s="69"/>
      <c r="I822" s="69"/>
      <c r="J822" s="69"/>
      <c r="K822" s="107"/>
      <c r="L822" s="107"/>
      <c r="M822" s="69"/>
      <c r="N822" s="92"/>
      <c r="O822" s="69"/>
      <c r="P822" s="69"/>
      <c r="Q822" s="69"/>
      <c r="R822" s="69"/>
      <c r="S822" s="69"/>
      <c r="T822" s="92"/>
      <c r="U822" s="69"/>
      <c r="V822" s="92"/>
      <c r="W822" s="69"/>
      <c r="X822" s="69"/>
      <c r="Y822" s="87"/>
      <c r="Z822" s="92"/>
      <c r="AA822" s="92"/>
      <c r="AB822" s="69"/>
      <c r="AC822" s="72"/>
      <c r="AD822" s="69"/>
      <c r="AE822" s="69"/>
      <c r="AF822" s="88"/>
      <c r="AG822" s="72"/>
      <c r="AH822" s="4"/>
      <c r="AI822" s="72"/>
      <c r="AJ822" s="110"/>
      <c r="AK822" s="72"/>
      <c r="AL822" s="72"/>
      <c r="AM822" s="72"/>
      <c r="AN822" s="72"/>
      <c r="AO822" s="89"/>
      <c r="AP822" s="89"/>
      <c r="AQ822" s="90"/>
      <c r="AR822" s="117"/>
      <c r="AS822" s="91"/>
      <c r="AT822" s="91"/>
      <c r="AU822" s="3"/>
      <c r="AV822" s="71">
        <v>315360000</v>
      </c>
      <c r="AW822" s="71">
        <v>630720000</v>
      </c>
      <c r="AX822" s="71">
        <v>946080000</v>
      </c>
      <c r="AY822" s="71">
        <v>1261440000</v>
      </c>
      <c r="AZ822" s="71">
        <v>1576800000</v>
      </c>
      <c r="BA822" s="42"/>
      <c r="BB822" s="42"/>
      <c r="BC822" s="34"/>
      <c r="BD822" s="34"/>
      <c r="BE822" s="34"/>
      <c r="BF822" s="34"/>
      <c r="BG822" s="34"/>
      <c r="BH822" s="34"/>
      <c r="BI822" s="34"/>
      <c r="BJ822" s="34"/>
      <c r="BK822" s="34"/>
      <c r="BL822" s="34"/>
      <c r="BM822" s="34"/>
      <c r="BN822" s="34"/>
      <c r="BO822" s="34"/>
      <c r="BP822" s="34"/>
      <c r="BQ822" s="34"/>
      <c r="BR822" s="34"/>
      <c r="BS822" s="34"/>
      <c r="BT822" s="34"/>
      <c r="BU822" s="34"/>
      <c r="BV822" s="34"/>
      <c r="BW822" s="34"/>
      <c r="BX822" s="34"/>
      <c r="BY822" s="34"/>
      <c r="BZ822" s="34"/>
      <c r="CA822" s="34"/>
      <c r="CB822" s="34"/>
      <c r="CC822" s="34"/>
      <c r="CD822" s="34"/>
      <c r="CE822" s="34"/>
      <c r="CF822" s="34"/>
      <c r="CG822" s="34"/>
      <c r="CH822" s="34"/>
      <c r="CI822" s="34"/>
      <c r="CJ822" s="34"/>
      <c r="CK822" s="34"/>
      <c r="CL822" s="34"/>
      <c r="CM822" s="34"/>
      <c r="CN822" s="34"/>
      <c r="CO822" s="34"/>
      <c r="CP822" s="34"/>
      <c r="CQ822" s="34"/>
      <c r="CR822" s="1"/>
      <c r="CS822" s="1"/>
      <c r="CT822" s="1"/>
      <c r="CU822" s="1"/>
    </row>
    <row r="823" spans="1:99" s="13" customFormat="1" ht="12" customHeight="1" x14ac:dyDescent="0.2">
      <c r="A823" s="68">
        <v>43902</v>
      </c>
      <c r="B823" s="70" t="s">
        <v>448</v>
      </c>
      <c r="C823" s="70" t="s">
        <v>357</v>
      </c>
      <c r="D823" s="69">
        <v>1988</v>
      </c>
      <c r="E823" s="87">
        <v>1</v>
      </c>
      <c r="F823" s="69">
        <v>5</v>
      </c>
      <c r="G823" s="69">
        <v>5</v>
      </c>
      <c r="H823" s="69" t="s">
        <v>451</v>
      </c>
      <c r="I823" s="69" t="s">
        <v>330</v>
      </c>
      <c r="J823" s="92" t="s">
        <v>353</v>
      </c>
      <c r="K823" s="69">
        <f>IF(J823="syllables",1,IF(J823="trigrams",2,IF(J823="strings",3,IF(J823="visual array",4,IF(J823="characters",5,IF(J823="letters",6,IF(J823="free forms",7,IF(J823="odors",8,IF(J823="words",9,IF(J823="pictures",10,IF(J823="object pictures",11,IF(J823="faces",12,IF(J823="names",13,IF(J823="idioms",14,IF(J823="grades",15,IF(J823="syllable-digit pairs",16,IF(J823="trigram-word pairs",17,IF(J823="word-digit pairs",18,IF(J823="English-Swahili pairs",19,IF(J823="spatial position",20,IF(J823="word pairs",21,IF(J823="word triads",22,IF(J823="generated words",23,IF(J823="word definition pairs",24,IF(J823="math problems",25,IF(J823="famous faces",26,IF(J823="famous names",27,IF(J823="famous voices",28,IF(J823="television programs",29,IF(J823="race horses",30,IF(J823="new vocabulary",31,IF(J823="sentences",32,IF(J823="concepts",33,IF(J823="ad slides",34,IF(J823="scenes",35,IF(J823="famous scenes",36,IF(J823="poems",37,IF(J823="walk",38,IF(J823="faces and events",39,IF(J823="events and names",40,IF(J823="flashbulb",41,IF(J823="stories",42,IF(J823="course material",43,IF(J823="autobiographical",44,IF(J823="novels",45,IF(J823="public events",46,"99"))))))))))))))))))))))))))))))))))))))))))))))</f>
        <v>28</v>
      </c>
      <c r="L823" s="69">
        <f>IF(J823="syllables",1,IF(J823="trigrams",1,IF(J823="strings",1,IF(J823="visual array",1,IF(J823="characters",1,IF(J823="letters",1,IF(J823="free forms",1,IF(J823="odors",2,IF(J823="words",2,IF(J823="pictures",2,IF(J823="object pictures",2,IF(J823="faces",2,IF(J823="names",2,IF(J823="idioms","2",IF(J823="grades",2,IF(J823="syllable-digit pairs",3,IF(J823="trigram-word pairs",3,IF(J823="word-digit pairs",3,IF(J823="English-Swahili pairs",3,IF(J823="spatial position",3,IF(J823="word pairs",4,IF(J823="word triads",4,IF(J823="generated words",4,IF(J823="word definition pairs",4,IF(J823="math problems",4,IF(J823="famous faces",4,IF(J823="famous names",4,IF(J823="famous voices",4,IF(J823="television programs",4,IF(J823="race horses",4,IF(J823="new vocabulary",4,IF(J823="sentences",5,IF(J823="concepts",5,IF(J823="ad slides",5,IF(J823="scenes",5,IF(J823="famous scenes",5,IF(J823="poems",6,IF(J823="walk",6,IF(J823="faces and events",6,IF(J823="events and names",6,IF(J823="flashbulb",7,IF(J823="stories",7,IF(J823="course material",7,IF(J823="autobiographical",7,IF(J823="novels",7,IF(J823="public events",7,"99"))))))))))))))))))))))))))))))))))))))))))))))</f>
        <v>4</v>
      </c>
      <c r="M823" s="69">
        <v>1</v>
      </c>
      <c r="N823" s="92">
        <v>3</v>
      </c>
      <c r="O823" s="69">
        <v>0</v>
      </c>
      <c r="P823" s="69"/>
      <c r="Q823" s="69" t="s">
        <v>174</v>
      </c>
      <c r="R823" s="69">
        <f>IF(Q823="Free Recall",1,IF(Q823="Cued Recall",2,IF(Q823="Recognition",3,IF(Q823="Multiple Choice",4,IF(Q823="Savings",5,IF(Q823="Stem Completion",6,IF(Q823="Fragment Completion",7,IF(Q823="anagram solution",8,IF(Q823="Matching",9,IF(Q823="Problem Solving",10,"99"))))))))))</f>
        <v>1</v>
      </c>
      <c r="S823" s="69" t="s">
        <v>49</v>
      </c>
      <c r="T823" s="92" t="s">
        <v>581</v>
      </c>
      <c r="U823" s="69">
        <f>IF(T823="within",1,0)</f>
        <v>1</v>
      </c>
      <c r="V823" s="92">
        <v>75</v>
      </c>
      <c r="W823" s="69">
        <f>F823*V823</f>
        <v>375</v>
      </c>
      <c r="X823" s="69">
        <v>5</v>
      </c>
      <c r="Y823" s="87">
        <f>AV822</f>
        <v>315360000</v>
      </c>
      <c r="Z823" s="92" t="s">
        <v>209</v>
      </c>
      <c r="AA823" s="69">
        <f>50*365*24*60*60</f>
        <v>1576800000</v>
      </c>
      <c r="AB823" s="69" t="str">
        <f>IF(AA823&lt;60,"1",IF(AA823&lt;=43200,"2",IF(AA823&lt;=777600,"3","4")))</f>
        <v>4</v>
      </c>
      <c r="AC823" s="72">
        <f>AVERAGE(AV822:DA822)</f>
        <v>946080000</v>
      </c>
      <c r="AD823" s="69" t="str">
        <f>IF(AC823&lt;60,"1",IF(AC823&lt;=43200,"2",IF(AC823&lt;=777600,"3","4")))</f>
        <v>4</v>
      </c>
      <c r="AE823" s="87">
        <f>AA823-Y823</f>
        <v>1261440000</v>
      </c>
      <c r="AF823" s="88">
        <f>AV823</f>
        <v>0.64</v>
      </c>
      <c r="AG823" s="72">
        <f>((AW823-AV823)+(AX823-AW823)+(AY823-AX823)+(AZ823-AY823))/4</f>
        <v>-8.7500000000000008E-2</v>
      </c>
      <c r="AH823" s="4"/>
      <c r="AI823" s="72">
        <f>RSQ(AV823:AZ823,AV822:AZ822)</f>
        <v>0.76370533529123807</v>
      </c>
      <c r="AJ823" s="110">
        <f>SLOPE(AV823:AZ823,AV822:AZ822)</f>
        <v>-2.5050735667174024E-10</v>
      </c>
      <c r="AK823" s="72">
        <f>INTERCEPT(AV823:AZ823,AV822:AZ822)</f>
        <v>0.71299999999999997</v>
      </c>
      <c r="AL823" s="72">
        <f>INDEX(LINEST(LN(AV823:AZ823),LN(AV822:AZ822),TRUE,TRUE),3,1)</f>
        <v>0.68429305295440535</v>
      </c>
      <c r="AM823" s="72">
        <f>INDEX(LINEST(LN(AV823:AZ823),LN(AV822:AZ822)),1)</f>
        <v>-0.41976270112104347</v>
      </c>
      <c r="AN823" s="72">
        <f>EXP(INDEX(LINEST(LN(AV823:AZ823),LN(AV822:AZ822)),1,2))</f>
        <v>2525.9903857627628</v>
      </c>
      <c r="AO823" s="89">
        <f>INDEX(LINEST((AV823:AZ823),LN(AV822:AZ822),TRUE,TRUE),3,1)</f>
        <v>0.74363999085354504</v>
      </c>
      <c r="AP823" s="89">
        <f>INDEX(LINEST((AV823:AZ823),LN(AV822:AZ822)),1)</f>
        <v>-0.19395168034166685</v>
      </c>
      <c r="AQ823" s="90">
        <f>INDEX(LINEST(LN(AV823:AZ823),SQRT(AV822:AZ822),TRUE,TRUE),3,1)</f>
        <v>0.71968419487952484</v>
      </c>
      <c r="AR823" s="117">
        <f>INDEX(LINEST(LN(AV823:AZ823),SQRT((AV822:AZ822))),1)</f>
        <v>-3.1656178720381467E-5</v>
      </c>
      <c r="AS823" s="91">
        <f>INDEX(LINEST(1/(AV823:AZ823),1/(SQRT(AV822:AZ822)),TRUE,TRUE),3,1)</f>
        <v>0.56281582614682635</v>
      </c>
      <c r="AT823" s="91">
        <f>INDEX(LINEST(1/(AV823:AZ823),1/SQRT(AV822:AZ822)),1)</f>
        <v>-46488.591402182086</v>
      </c>
      <c r="AU823" s="3"/>
      <c r="AV823" s="73">
        <v>0.64</v>
      </c>
      <c r="AW823" s="73">
        <v>0.57999999999999996</v>
      </c>
      <c r="AX823" s="73">
        <v>0.38</v>
      </c>
      <c r="AY823" s="73">
        <v>0.49</v>
      </c>
      <c r="AZ823" s="73">
        <v>0.28999999999999998</v>
      </c>
      <c r="BA823" s="42"/>
      <c r="BB823" s="42"/>
      <c r="BC823" s="34"/>
      <c r="BD823" s="34"/>
      <c r="BE823" s="34"/>
      <c r="BF823" s="34"/>
      <c r="BG823" s="34"/>
      <c r="BH823" s="34"/>
      <c r="BI823" s="34"/>
      <c r="BJ823" s="34"/>
      <c r="BK823" s="34"/>
      <c r="BL823" s="34"/>
      <c r="BM823" s="34"/>
      <c r="BN823" s="34"/>
      <c r="BO823" s="34"/>
      <c r="BP823" s="34"/>
      <c r="BQ823" s="34"/>
      <c r="BR823" s="34"/>
      <c r="BS823" s="34"/>
      <c r="BT823" s="34"/>
      <c r="BU823" s="34"/>
      <c r="BV823" s="34"/>
      <c r="BW823" s="34"/>
      <c r="BX823" s="34"/>
      <c r="BY823" s="34"/>
      <c r="BZ823" s="34"/>
      <c r="CA823" s="34"/>
      <c r="CB823" s="34"/>
      <c r="CC823" s="34"/>
      <c r="CD823" s="34"/>
      <c r="CE823" s="34"/>
      <c r="CF823" s="34"/>
      <c r="CG823" s="34"/>
      <c r="CH823" s="34"/>
      <c r="CI823" s="34"/>
      <c r="CJ823" s="34"/>
      <c r="CK823" s="34"/>
      <c r="CL823" s="34"/>
      <c r="CM823" s="34"/>
      <c r="CN823" s="34"/>
      <c r="CO823" s="34"/>
      <c r="CP823" s="34"/>
      <c r="CQ823" s="34"/>
      <c r="CR823" s="1"/>
      <c r="CS823" s="1"/>
      <c r="CT823" s="1"/>
      <c r="CU823" s="1"/>
    </row>
    <row r="824" spans="1:99" s="13" customFormat="1" ht="12" customHeight="1" x14ac:dyDescent="0.2">
      <c r="A824" s="68">
        <v>43902</v>
      </c>
      <c r="B824" s="70"/>
      <c r="C824" s="70"/>
      <c r="D824" s="69"/>
      <c r="E824" s="87"/>
      <c r="F824" s="69"/>
      <c r="G824" s="69"/>
      <c r="H824" s="69"/>
      <c r="I824" s="69"/>
      <c r="J824" s="69"/>
      <c r="K824" s="107"/>
      <c r="L824" s="107"/>
      <c r="M824" s="69"/>
      <c r="N824" s="92"/>
      <c r="O824" s="69"/>
      <c r="P824" s="69"/>
      <c r="Q824" s="69"/>
      <c r="R824" s="69"/>
      <c r="S824" s="69"/>
      <c r="T824" s="92"/>
      <c r="U824" s="69"/>
      <c r="V824" s="92"/>
      <c r="W824" s="69"/>
      <c r="X824" s="69"/>
      <c r="Y824" s="87"/>
      <c r="Z824" s="92"/>
      <c r="AA824" s="92"/>
      <c r="AB824" s="69"/>
      <c r="AC824" s="72"/>
      <c r="AD824" s="69"/>
      <c r="AE824" s="69"/>
      <c r="AF824" s="88"/>
      <c r="AG824" s="72"/>
      <c r="AH824" s="4"/>
      <c r="AI824" s="72"/>
      <c r="AJ824" s="110"/>
      <c r="AK824" s="72"/>
      <c r="AL824" s="72"/>
      <c r="AM824" s="72"/>
      <c r="AN824" s="72"/>
      <c r="AO824" s="89"/>
      <c r="AP824" s="89"/>
      <c r="AQ824" s="90"/>
      <c r="AR824" s="117"/>
      <c r="AS824" s="91"/>
      <c r="AT824" s="91"/>
      <c r="AU824" s="3"/>
      <c r="AV824" s="71">
        <v>315360000</v>
      </c>
      <c r="AW824" s="71">
        <v>630720000</v>
      </c>
      <c r="AX824" s="71">
        <v>946080000</v>
      </c>
      <c r="AY824" s="71">
        <v>1261440000</v>
      </c>
      <c r="AZ824" s="71">
        <v>1576800000</v>
      </c>
      <c r="BA824" s="42"/>
      <c r="BB824" s="42"/>
      <c r="BC824" s="34"/>
      <c r="BD824" s="34"/>
      <c r="BE824" s="34"/>
      <c r="BF824" s="34"/>
      <c r="BG824" s="34"/>
      <c r="BH824" s="34"/>
      <c r="BI824" s="34"/>
      <c r="BJ824" s="34"/>
      <c r="BK824" s="34"/>
      <c r="BL824" s="34"/>
      <c r="BM824" s="34"/>
      <c r="BN824" s="34"/>
      <c r="BO824" s="34"/>
      <c r="BP824" s="34"/>
      <c r="BQ824" s="34"/>
      <c r="BR824" s="34"/>
      <c r="BS824" s="34"/>
      <c r="BT824" s="34"/>
      <c r="BU824" s="34"/>
      <c r="BV824" s="34"/>
      <c r="BW824" s="34"/>
      <c r="BX824" s="34"/>
      <c r="BY824" s="34"/>
      <c r="BZ824" s="34"/>
      <c r="CA824" s="34"/>
      <c r="CB824" s="34"/>
      <c r="CC824" s="34"/>
      <c r="CD824" s="34"/>
      <c r="CE824" s="34"/>
      <c r="CF824" s="34"/>
      <c r="CG824" s="34"/>
      <c r="CH824" s="34"/>
      <c r="CI824" s="34"/>
      <c r="CJ824" s="34"/>
      <c r="CK824" s="34"/>
      <c r="CL824" s="34"/>
      <c r="CM824" s="34"/>
      <c r="CN824" s="34"/>
      <c r="CO824" s="34"/>
      <c r="CP824" s="34"/>
      <c r="CQ824" s="34"/>
      <c r="CR824" s="1"/>
      <c r="CS824" s="1"/>
      <c r="CT824" s="1"/>
      <c r="CU824" s="1"/>
    </row>
    <row r="825" spans="1:99" s="13" customFormat="1" ht="12" customHeight="1" x14ac:dyDescent="0.2">
      <c r="A825" s="68">
        <v>43902</v>
      </c>
      <c r="B825" s="70" t="s">
        <v>448</v>
      </c>
      <c r="C825" s="70" t="s">
        <v>357</v>
      </c>
      <c r="D825" s="69">
        <v>1988</v>
      </c>
      <c r="E825" s="87">
        <v>1</v>
      </c>
      <c r="F825" s="69">
        <v>5</v>
      </c>
      <c r="G825" s="69">
        <v>5</v>
      </c>
      <c r="H825" s="69" t="s">
        <v>451</v>
      </c>
      <c r="I825" s="69" t="s">
        <v>330</v>
      </c>
      <c r="J825" s="92" t="s">
        <v>353</v>
      </c>
      <c r="K825" s="69">
        <f>IF(J825="syllables",1,IF(J825="trigrams",2,IF(J825="strings",3,IF(J825="visual array",4,IF(J825="characters",5,IF(J825="letters",6,IF(J825="free forms",7,IF(J825="odors",8,IF(J825="words",9,IF(J825="pictures",10,IF(J825="object pictures",11,IF(J825="faces",12,IF(J825="names",13,IF(J825="idioms",14,IF(J825="grades",15,IF(J825="syllable-digit pairs",16,IF(J825="trigram-word pairs",17,IF(J825="word-digit pairs",18,IF(J825="English-Swahili pairs",19,IF(J825="spatial position",20,IF(J825="word pairs",21,IF(J825="word triads",22,IF(J825="generated words",23,IF(J825="word definition pairs",24,IF(J825="math problems",25,IF(J825="famous faces",26,IF(J825="famous names",27,IF(J825="famous voices",28,IF(J825="television programs",29,IF(J825="race horses",30,IF(J825="new vocabulary",31,IF(J825="sentences",32,IF(J825="concepts",33,IF(J825="ad slides",34,IF(J825="scenes",35,IF(J825="famous scenes",36,IF(J825="poems",37,IF(J825="walk",38,IF(J825="faces and events",39,IF(J825="events and names",40,IF(J825="flashbulb",41,IF(J825="stories",42,IF(J825="course material",43,IF(J825="autobiographical",44,IF(J825="novels",45,IF(J825="public events",46,"99"))))))))))))))))))))))))))))))))))))))))))))))</f>
        <v>28</v>
      </c>
      <c r="L825" s="69">
        <f>IF(J825="syllables",1,IF(J825="trigrams",1,IF(J825="strings",1,IF(J825="visual array",1,IF(J825="characters",1,IF(J825="letters",1,IF(J825="free forms",1,IF(J825="odors",2,IF(J825="words",2,IF(J825="pictures",2,IF(J825="object pictures",2,IF(J825="faces",2,IF(J825="names",2,IF(J825="idioms","2",IF(J825="grades",2,IF(J825="syllable-digit pairs",3,IF(J825="trigram-word pairs",3,IF(J825="word-digit pairs",3,IF(J825="English-Swahili pairs",3,IF(J825="spatial position",3,IF(J825="word pairs",4,IF(J825="word triads",4,IF(J825="generated words",4,IF(J825="word definition pairs",4,IF(J825="math problems",4,IF(J825="famous faces",4,IF(J825="famous names",4,IF(J825="famous voices",4,IF(J825="television programs",4,IF(J825="race horses",4,IF(J825="new vocabulary",4,IF(J825="sentences",5,IF(J825="concepts",5,IF(J825="ad slides",5,IF(J825="scenes",5,IF(J825="famous scenes",5,IF(J825="poems",6,IF(J825="walk",6,IF(J825="faces and events",6,IF(J825="events and names",6,IF(J825="flashbulb",7,IF(J825="stories",7,IF(J825="course material",7,IF(J825="autobiographical",7,IF(J825="novels",7,IF(J825="public events",7,"99"))))))))))))))))))))))))))))))))))))))))))))))</f>
        <v>4</v>
      </c>
      <c r="M825" s="69">
        <v>1</v>
      </c>
      <c r="N825" s="92">
        <v>3</v>
      </c>
      <c r="O825" s="69">
        <v>0</v>
      </c>
      <c r="P825" s="69"/>
      <c r="Q825" s="69" t="s">
        <v>182</v>
      </c>
      <c r="R825" s="69">
        <f>IF(Q825="Free Recall",1,IF(Q825="Cued Recall",2,IF(Q825="Recognition",3,IF(Q825="Multiple Choice",4,IF(Q825="Savings",5,IF(Q825="Stem Completion",6,IF(Q825="Fragment Completion",7,IF(Q825="anagram solution",8,IF(Q825="Matching",9,IF(Q825="Problem Solving",10,"99"))))))))))</f>
        <v>4</v>
      </c>
      <c r="S825" s="69" t="s">
        <v>15</v>
      </c>
      <c r="T825" s="92" t="s">
        <v>581</v>
      </c>
      <c r="U825" s="69">
        <f>IF(T825="within",1,0)</f>
        <v>1</v>
      </c>
      <c r="V825" s="92">
        <v>75</v>
      </c>
      <c r="W825" s="69">
        <f>F825*V825</f>
        <v>375</v>
      </c>
      <c r="X825" s="69">
        <v>5</v>
      </c>
      <c r="Y825" s="87">
        <f>AV824</f>
        <v>315360000</v>
      </c>
      <c r="Z825" s="92" t="s">
        <v>209</v>
      </c>
      <c r="AA825" s="69">
        <f>50*365*24*60*60</f>
        <v>1576800000</v>
      </c>
      <c r="AB825" s="69" t="str">
        <f>IF(AA825&lt;60,"1",IF(AA825&lt;=43200,"2",IF(AA825&lt;=777600,"3","4")))</f>
        <v>4</v>
      </c>
      <c r="AC825" s="72">
        <f>AVERAGE(AV824:DA824)</f>
        <v>946080000</v>
      </c>
      <c r="AD825" s="69" t="str">
        <f>IF(AC825&lt;60,"1",IF(AC825&lt;=43200,"2",IF(AC825&lt;=777600,"3","4")))</f>
        <v>4</v>
      </c>
      <c r="AE825" s="87">
        <f>AA825-Y825</f>
        <v>1261440000</v>
      </c>
      <c r="AF825" s="88">
        <f>AV825</f>
        <v>0.92</v>
      </c>
      <c r="AG825" s="72">
        <f>((AW825-AV825)+(AX825-AW825)+(AY825-AX825)+(AZ825-AY825))/4</f>
        <v>-0.11000000000000001</v>
      </c>
      <c r="AH825" s="4"/>
      <c r="AI825" s="72">
        <f>RSQ(AV825:AZ825,AV824:AZ824)</f>
        <v>0.59900990099009899</v>
      </c>
      <c r="AJ825" s="110">
        <f>SLOPE(AV825:AZ825,AV824:AZ824)</f>
        <v>-2.7904616945712838E-10</v>
      </c>
      <c r="AK825" s="72">
        <f>INTERCEPT(AV825:AZ825,AV824:AZ824)</f>
        <v>1.052</v>
      </c>
      <c r="AL825" s="72">
        <f>INDEX(LINEST(LN(AV825:AZ825),LN(AV824:AZ824),TRUE,TRUE),3,1)</f>
        <v>0.4401675434526473</v>
      </c>
      <c r="AM825" s="72">
        <f>INDEX(LINEST(LN(AV825:AZ825),LN(AV824:AZ824)),1)</f>
        <v>-0.28149290710271108</v>
      </c>
      <c r="AN825" s="72">
        <f>EXP(INDEX(LINEST(LN(AV825:AZ825),LN(AV824:AZ824)),1,2))</f>
        <v>248.09986942386752</v>
      </c>
      <c r="AO825" s="89">
        <f>INDEX(LINEST((AV825:AZ825),LN(AV824:AZ824),TRUE,TRUE),3,1)</f>
        <v>0.46964806146866789</v>
      </c>
      <c r="AP825" s="89">
        <f>INDEX(LINEST((AV825:AZ825),LN(AV824:AZ824)),1)</f>
        <v>-0.1938652358734009</v>
      </c>
      <c r="AQ825" s="90">
        <f>INDEX(LINEST(LN(AV825:AZ825),SQRT(AV824:AZ824),TRUE,TRUE),3,1)</f>
        <v>0.51309379991300741</v>
      </c>
      <c r="AR825" s="117">
        <f>INDEX(LINEST(LN(AV825:AZ825),SQRT((AV824:AZ824))),1)</f>
        <v>-2.2349178176397365E-5</v>
      </c>
      <c r="AS825" s="91">
        <f>INDEX(LINEST(1/(AV825:AZ825),1/(SQRT(AV824:AZ824)),TRUE,TRUE),3,1)</f>
        <v>0.34144569867690416</v>
      </c>
      <c r="AT825" s="91">
        <f>INDEX(LINEST(1/(AV825:AZ825),1/SQRT(AV824:AZ824)),1)</f>
        <v>-19719.570036715031</v>
      </c>
      <c r="AU825" s="3"/>
      <c r="AV825" s="73">
        <v>0.92</v>
      </c>
      <c r="AW825" s="73">
        <v>0.88</v>
      </c>
      <c r="AX825" s="73">
        <v>0.78</v>
      </c>
      <c r="AY825" s="73">
        <v>0.88</v>
      </c>
      <c r="AZ825" s="73">
        <v>0.48</v>
      </c>
      <c r="BA825" s="42"/>
      <c r="BB825" s="42"/>
      <c r="BC825" s="34"/>
      <c r="BD825" s="34"/>
      <c r="BE825" s="34"/>
      <c r="BF825" s="34"/>
      <c r="BG825" s="34"/>
      <c r="BH825" s="34"/>
      <c r="BI825" s="34"/>
      <c r="BJ825" s="34"/>
      <c r="BK825" s="34"/>
      <c r="BL825" s="34"/>
      <c r="BM825" s="34"/>
      <c r="BN825" s="34"/>
      <c r="BO825" s="34"/>
      <c r="BP825" s="34"/>
      <c r="BQ825" s="34"/>
      <c r="BR825" s="34"/>
      <c r="BS825" s="34"/>
      <c r="BT825" s="34"/>
      <c r="BU825" s="34"/>
      <c r="BV825" s="34"/>
      <c r="BW825" s="34"/>
      <c r="BX825" s="34"/>
      <c r="BY825" s="34"/>
      <c r="BZ825" s="34"/>
      <c r="CA825" s="34"/>
      <c r="CB825" s="34"/>
      <c r="CC825" s="34"/>
      <c r="CD825" s="34"/>
      <c r="CE825" s="34"/>
      <c r="CF825" s="34"/>
      <c r="CG825" s="34"/>
      <c r="CH825" s="34"/>
      <c r="CI825" s="34"/>
      <c r="CJ825" s="34"/>
      <c r="CK825" s="34"/>
      <c r="CL825" s="34"/>
      <c r="CM825" s="34"/>
      <c r="CN825" s="34"/>
      <c r="CO825" s="34"/>
      <c r="CP825" s="34"/>
      <c r="CQ825" s="34"/>
      <c r="CR825" s="1"/>
      <c r="CS825" s="1"/>
      <c r="CT825" s="1"/>
      <c r="CU825" s="1"/>
    </row>
    <row r="826" spans="1:99" s="13" customFormat="1" ht="12" customHeight="1" x14ac:dyDescent="0.2">
      <c r="A826" s="68">
        <v>43902</v>
      </c>
      <c r="B826" s="70"/>
      <c r="C826" s="70"/>
      <c r="D826" s="69"/>
      <c r="E826" s="87"/>
      <c r="F826" s="69"/>
      <c r="G826" s="69"/>
      <c r="H826" s="69"/>
      <c r="I826" s="69"/>
      <c r="J826" s="69"/>
      <c r="K826" s="107"/>
      <c r="L826" s="107"/>
      <c r="M826" s="69"/>
      <c r="N826" s="92"/>
      <c r="O826" s="69"/>
      <c r="P826" s="69"/>
      <c r="Q826" s="69"/>
      <c r="R826" s="69"/>
      <c r="S826" s="69"/>
      <c r="T826" s="92"/>
      <c r="U826" s="69"/>
      <c r="V826" s="92"/>
      <c r="W826" s="69"/>
      <c r="X826" s="69"/>
      <c r="Y826" s="87"/>
      <c r="Z826" s="92"/>
      <c r="AA826" s="92"/>
      <c r="AB826" s="69"/>
      <c r="AC826" s="72"/>
      <c r="AD826" s="69"/>
      <c r="AE826" s="69"/>
      <c r="AF826" s="88"/>
      <c r="AG826" s="72"/>
      <c r="AH826" s="4"/>
      <c r="AI826" s="72"/>
      <c r="AJ826" s="110"/>
      <c r="AK826" s="72"/>
      <c r="AL826" s="72"/>
      <c r="AM826" s="72"/>
      <c r="AN826" s="72"/>
      <c r="AO826" s="89"/>
      <c r="AP826" s="89"/>
      <c r="AQ826" s="90"/>
      <c r="AR826" s="117"/>
      <c r="AS826" s="91"/>
      <c r="AT826" s="91"/>
      <c r="AU826" s="3"/>
      <c r="AV826" s="71">
        <v>315360000</v>
      </c>
      <c r="AW826" s="71">
        <v>630720000</v>
      </c>
      <c r="AX826" s="71">
        <v>946080000</v>
      </c>
      <c r="AY826" s="71">
        <v>1261440000</v>
      </c>
      <c r="AZ826" s="71">
        <v>1576800000</v>
      </c>
      <c r="BA826" s="42"/>
      <c r="BB826" s="42"/>
      <c r="BC826" s="34"/>
      <c r="BD826" s="34"/>
      <c r="BE826" s="34"/>
      <c r="BF826" s="34"/>
      <c r="BG826" s="34"/>
      <c r="BH826" s="34"/>
      <c r="BI826" s="34"/>
      <c r="BJ826" s="34"/>
      <c r="BK826" s="34"/>
      <c r="BL826" s="34"/>
      <c r="BM826" s="34"/>
      <c r="BN826" s="34"/>
      <c r="BO826" s="34"/>
      <c r="BP826" s="34"/>
      <c r="BQ826" s="34"/>
      <c r="BR826" s="34"/>
      <c r="BS826" s="34"/>
      <c r="BT826" s="34"/>
      <c r="BU826" s="34"/>
      <c r="BV826" s="34"/>
      <c r="BW826" s="34"/>
      <c r="BX826" s="34"/>
      <c r="BY826" s="34"/>
      <c r="BZ826" s="34"/>
      <c r="CA826" s="34"/>
      <c r="CB826" s="34"/>
      <c r="CC826" s="34"/>
      <c r="CD826" s="34"/>
      <c r="CE826" s="34"/>
      <c r="CF826" s="34"/>
      <c r="CG826" s="34"/>
      <c r="CH826" s="34"/>
      <c r="CI826" s="34"/>
      <c r="CJ826" s="34"/>
      <c r="CK826" s="34"/>
      <c r="CL826" s="34"/>
      <c r="CM826" s="34"/>
      <c r="CN826" s="34"/>
      <c r="CO826" s="34"/>
      <c r="CP826" s="34"/>
      <c r="CQ826" s="34"/>
      <c r="CR826" s="1"/>
      <c r="CS826" s="1"/>
      <c r="CT826" s="1"/>
      <c r="CU826" s="1"/>
    </row>
    <row r="827" spans="1:99" s="13" customFormat="1" ht="12" customHeight="1" x14ac:dyDescent="0.2">
      <c r="A827" s="68">
        <v>43902</v>
      </c>
      <c r="B827" s="70" t="s">
        <v>448</v>
      </c>
      <c r="C827" s="70" t="s">
        <v>357</v>
      </c>
      <c r="D827" s="69">
        <v>1988</v>
      </c>
      <c r="E827" s="87">
        <v>1</v>
      </c>
      <c r="F827" s="69">
        <v>8</v>
      </c>
      <c r="G827" s="69">
        <v>8</v>
      </c>
      <c r="H827" s="69" t="s">
        <v>452</v>
      </c>
      <c r="I827" s="69" t="s">
        <v>330</v>
      </c>
      <c r="J827" s="69" t="s">
        <v>340</v>
      </c>
      <c r="K827" s="69">
        <f>IF(J827="syllables",1,IF(J827="trigrams",2,IF(J827="strings",3,IF(J827="visual array",4,IF(J827="characters",5,IF(J827="letters",6,IF(J827="free forms",7,IF(J827="odors",8,IF(J827="words",9,IF(J827="pictures",10,IF(J827="object pictures",11,IF(J827="faces",12,IF(J827="names",13,IF(J827="idioms",14,IF(J827="grades",15,IF(J827="syllable-digit pairs",16,IF(J827="trigram-word pairs",17,IF(J827="word-digit pairs",18,IF(J827="English-Swahili pairs",19,IF(J827="spatial position",20,IF(J827="word pairs",21,IF(J827="word triads",22,IF(J827="generated words",23,IF(J827="word definition pairs",24,IF(J827="math problems",25,IF(J827="famous faces",26,IF(J827="famous names",27,IF(J827="famous voices",28,IF(J827="television programs",29,IF(J827="race horses",30,IF(J827="new vocabulary",31,IF(J827="sentences",32,IF(J827="concepts",33,IF(J827="ad slides",34,IF(J827="scenes",35,IF(J827="famous scenes",36,IF(J827="poems",37,IF(J827="walk",38,IF(J827="faces and events",39,IF(J827="events and names",40,IF(J827="flashbulb",41,IF(J827="stories",42,IF(J827="course material",43,IF(J827="autobiographical",44,IF(J827="novels",45,IF(J827="public events",46,"99"))))))))))))))))))))))))))))))))))))))))))))))</f>
        <v>46</v>
      </c>
      <c r="L827" s="69">
        <f>IF(J827="syllables",1,IF(J827="trigrams",1,IF(J827="strings",1,IF(J827="visual array",1,IF(J827="characters",1,IF(J827="letters",1,IF(J827="free forms",1,IF(J827="odors",2,IF(J827="words",2,IF(J827="pictures",2,IF(J827="object pictures",2,IF(J827="faces",2,IF(J827="names",2,IF(J827="idioms","2",IF(J827="grades",2,IF(J827="syllable-digit pairs",3,IF(J827="trigram-word pairs",3,IF(J827="word-digit pairs",3,IF(J827="English-Swahili pairs",3,IF(J827="spatial position",3,IF(J827="word pairs",4,IF(J827="word triads",4,IF(J827="generated words",4,IF(J827="word definition pairs",4,IF(J827="math problems",4,IF(J827="famous faces",4,IF(J827="famous names",4,IF(J827="famous voices",4,IF(J827="television programs",4,IF(J827="race horses",4,IF(J827="new vocabulary",4,IF(J827="sentences",5,IF(J827="concepts",5,IF(J827="ad slides",5,IF(J827="scenes",5,IF(J827="famous scenes",5,IF(J827="poems",6,IF(J827="walk",6,IF(J827="faces and events",6,IF(J827="events and names",6,IF(J827="flashbulb",7,IF(J827="stories",7,IF(J827="course material",7,IF(J827="autobiographical",7,IF(J827="novels",7,IF(J827="public events",7,"99"))))))))))))))))))))))))))))))))))))))))))))))</f>
        <v>7</v>
      </c>
      <c r="M827" s="69">
        <v>1</v>
      </c>
      <c r="N827" s="92">
        <v>4</v>
      </c>
      <c r="O827" s="69">
        <v>0</v>
      </c>
      <c r="P827" s="69"/>
      <c r="Q827" s="69" t="s">
        <v>174</v>
      </c>
      <c r="R827" s="69">
        <f>IF(Q827="Free Recall",1,IF(Q827="Cued Recall",2,IF(Q827="Recognition",3,IF(Q827="Multiple Choice",4,IF(Q827="Savings",5,IF(Q827="Stem Completion",6,IF(Q827="Fragment Completion",7,IF(Q827="anagram solution",8,IF(Q827="Matching",9,IF(Q827="Problem Solving",10,"99"))))))))))</f>
        <v>1</v>
      </c>
      <c r="S827" s="69" t="s">
        <v>49</v>
      </c>
      <c r="T827" s="92" t="s">
        <v>581</v>
      </c>
      <c r="U827" s="69">
        <f>IF(T827="within",1,0)</f>
        <v>1</v>
      </c>
      <c r="V827" s="92">
        <v>75</v>
      </c>
      <c r="W827" s="69">
        <f>F827*V827</f>
        <v>600</v>
      </c>
      <c r="X827" s="69">
        <v>5</v>
      </c>
      <c r="Y827" s="87">
        <f>AV826</f>
        <v>315360000</v>
      </c>
      <c r="Z827" s="92" t="s">
        <v>209</v>
      </c>
      <c r="AA827" s="69">
        <f>50*365*24*60*60</f>
        <v>1576800000</v>
      </c>
      <c r="AB827" s="69" t="str">
        <f>IF(AA827&lt;60,"1",IF(AA827&lt;=43200,"2",IF(AA827&lt;=777600,"3","4")))</f>
        <v>4</v>
      </c>
      <c r="AC827" s="72">
        <f>AVERAGE(AV826:DA826)</f>
        <v>946080000</v>
      </c>
      <c r="AD827" s="69" t="str">
        <f>IF(AC827&lt;60,"1",IF(AC827&lt;=43200,"2",IF(AC827&lt;=777600,"3","4")))</f>
        <v>4</v>
      </c>
      <c r="AE827" s="87">
        <f>AA827-Y827</f>
        <v>1261440000</v>
      </c>
      <c r="AF827" s="88">
        <f>AV827</f>
        <v>0.64</v>
      </c>
      <c r="AG827" s="72">
        <f>((AW827-AV827)+(AX827-AW827)+(AY827-AX827)+(AZ827-AY827))/4</f>
        <v>-7.4999999999999997E-2</v>
      </c>
      <c r="AH827" s="4"/>
      <c r="AI827" s="72">
        <f>RSQ(AV827:AZ827,AV826:AZ826)</f>
        <v>0.79134366925064592</v>
      </c>
      <c r="AJ827" s="110">
        <f>SLOPE(AV827:AZ827,AV826:AZ826)</f>
        <v>-2.219685438863521E-10</v>
      </c>
      <c r="AK827" s="72">
        <f>INTERCEPT(AV827:AZ827,AV826:AZ826)</f>
        <v>0.68599999999999994</v>
      </c>
      <c r="AL827" s="72">
        <f>INDEX(LINEST(LN(AV827:AZ827),LN(AV826:AZ826),TRUE,TRUE),3,1)</f>
        <v>0.78834199201300792</v>
      </c>
      <c r="AM827" s="72">
        <f>INDEX(LINEST(LN(AV827:AZ827),LN(AV826:AZ826)),1)</f>
        <v>-0.36659852691459716</v>
      </c>
      <c r="AN827" s="72">
        <f>EXP(INDEX(LINEST(LN(AV827:AZ827),LN(AV826:AZ826)),1,2))</f>
        <v>858.5638694230405</v>
      </c>
      <c r="AO827" s="89">
        <f>INDEX(LINEST((AV827:AZ827),LN(AV826:AZ826),TRUE,TRUE),3,1)</f>
        <v>0.83094918826328734</v>
      </c>
      <c r="AP827" s="89">
        <f>INDEX(LINEST((AV827:AZ827),LN(AV826:AZ826)),1)</f>
        <v>-0.17846403457054849</v>
      </c>
      <c r="AQ827" s="90">
        <f>INDEX(LINEST(LN(AV827:AZ827),SQRT(AV826:AZ826),TRUE,TRUE),3,1)</f>
        <v>0.79270064317151567</v>
      </c>
      <c r="AR827" s="117">
        <f>INDEX(LINEST(LN(AV827:AZ827),SQRT((AV826:AZ826))),1)</f>
        <v>-2.7032904914994559E-5</v>
      </c>
      <c r="AS827" s="91">
        <f>INDEX(LINEST(1/(AV827:AZ827),1/(SQRT(AV826:AZ826)),TRUE,TRUE),3,1)</f>
        <v>0.70446287075016867</v>
      </c>
      <c r="AT827" s="91">
        <f>INDEX(LINEST(1/(AV827:AZ827),1/SQRT(AV826:AZ826)),1)</f>
        <v>-38709.767931215516</v>
      </c>
      <c r="AU827" s="3"/>
      <c r="AV827" s="73">
        <v>0.64</v>
      </c>
      <c r="AW827" s="73">
        <v>0.56000000000000005</v>
      </c>
      <c r="AX827" s="73">
        <v>0.38</v>
      </c>
      <c r="AY827" s="73">
        <v>0.46</v>
      </c>
      <c r="AZ827" s="73">
        <v>0.34</v>
      </c>
      <c r="BA827" s="42"/>
      <c r="BB827" s="42"/>
      <c r="BC827" s="34"/>
      <c r="BD827" s="34"/>
      <c r="BE827" s="34"/>
      <c r="BF827" s="34"/>
      <c r="BG827" s="34"/>
      <c r="BH827" s="34"/>
      <c r="BI827" s="34"/>
      <c r="BJ827" s="34"/>
      <c r="BK827" s="34"/>
      <c r="BL827" s="34"/>
      <c r="BM827" s="34"/>
      <c r="BN827" s="34"/>
      <c r="BO827" s="34"/>
      <c r="BP827" s="34"/>
      <c r="BQ827" s="34"/>
      <c r="BR827" s="34"/>
      <c r="BS827" s="34"/>
      <c r="BT827" s="34"/>
      <c r="BU827" s="34"/>
      <c r="BV827" s="34"/>
      <c r="BW827" s="34"/>
      <c r="BX827" s="34"/>
      <c r="BY827" s="34"/>
      <c r="BZ827" s="34"/>
      <c r="CA827" s="34"/>
      <c r="CB827" s="34"/>
      <c r="CC827" s="34"/>
      <c r="CD827" s="34"/>
      <c r="CE827" s="34"/>
      <c r="CF827" s="34"/>
      <c r="CG827" s="34"/>
      <c r="CH827" s="34"/>
      <c r="CI827" s="34"/>
      <c r="CJ827" s="34"/>
      <c r="CK827" s="34"/>
      <c r="CL827" s="34"/>
      <c r="CM827" s="34"/>
      <c r="CN827" s="34"/>
      <c r="CO827" s="34"/>
      <c r="CP827" s="34"/>
      <c r="CQ827" s="34"/>
      <c r="CR827" s="1"/>
      <c r="CS827" s="1"/>
      <c r="CT827" s="1"/>
      <c r="CU827" s="1"/>
    </row>
    <row r="828" spans="1:99" s="13" customFormat="1" ht="12" customHeight="1" x14ac:dyDescent="0.2">
      <c r="A828" s="68">
        <v>43902</v>
      </c>
      <c r="B828" s="70"/>
      <c r="C828" s="70"/>
      <c r="D828" s="69"/>
      <c r="E828" s="87"/>
      <c r="F828" s="69"/>
      <c r="G828" s="69"/>
      <c r="H828" s="69"/>
      <c r="I828" s="69"/>
      <c r="J828" s="69"/>
      <c r="K828" s="107"/>
      <c r="L828" s="107"/>
      <c r="M828" s="69"/>
      <c r="N828" s="92"/>
      <c r="O828" s="69"/>
      <c r="P828" s="69"/>
      <c r="Q828" s="69"/>
      <c r="R828" s="69"/>
      <c r="S828" s="69"/>
      <c r="T828" s="92"/>
      <c r="U828" s="69"/>
      <c r="V828" s="92"/>
      <c r="W828" s="69"/>
      <c r="X828" s="69"/>
      <c r="Y828" s="87"/>
      <c r="Z828" s="92"/>
      <c r="AA828" s="92"/>
      <c r="AB828" s="69"/>
      <c r="AC828" s="72"/>
      <c r="AD828" s="69"/>
      <c r="AE828" s="69"/>
      <c r="AF828" s="88"/>
      <c r="AG828" s="72"/>
      <c r="AH828" s="4"/>
      <c r="AI828" s="72"/>
      <c r="AJ828" s="110"/>
      <c r="AK828" s="72"/>
      <c r="AL828" s="72"/>
      <c r="AM828" s="72"/>
      <c r="AN828" s="72"/>
      <c r="AO828" s="89"/>
      <c r="AP828" s="89"/>
      <c r="AQ828" s="90"/>
      <c r="AR828" s="117"/>
      <c r="AS828" s="91"/>
      <c r="AT828" s="91"/>
      <c r="AU828" s="3"/>
      <c r="AV828" s="71">
        <v>315360000</v>
      </c>
      <c r="AW828" s="71">
        <v>630720000</v>
      </c>
      <c r="AX828" s="71">
        <v>946080000</v>
      </c>
      <c r="AY828" s="71">
        <v>1261440000</v>
      </c>
      <c r="AZ828" s="71">
        <v>1576800000</v>
      </c>
      <c r="BA828" s="42"/>
      <c r="BB828" s="42"/>
      <c r="BC828" s="34"/>
      <c r="BD828" s="34"/>
      <c r="BE828" s="34"/>
      <c r="BF828" s="34"/>
      <c r="BG828" s="34"/>
      <c r="BH828" s="34"/>
      <c r="BI828" s="34"/>
      <c r="BJ828" s="34"/>
      <c r="BK828" s="34"/>
      <c r="BL828" s="34"/>
      <c r="BM828" s="34"/>
      <c r="BN828" s="34"/>
      <c r="BO828" s="34"/>
      <c r="BP828" s="34"/>
      <c r="BQ828" s="34"/>
      <c r="BR828" s="34"/>
      <c r="BS828" s="34"/>
      <c r="BT828" s="34"/>
      <c r="BU828" s="34"/>
      <c r="BV828" s="34"/>
      <c r="BW828" s="34"/>
      <c r="BX828" s="34"/>
      <c r="BY828" s="34"/>
      <c r="BZ828" s="34"/>
      <c r="CA828" s="34"/>
      <c r="CB828" s="34"/>
      <c r="CC828" s="34"/>
      <c r="CD828" s="34"/>
      <c r="CE828" s="34"/>
      <c r="CF828" s="34"/>
      <c r="CG828" s="34"/>
      <c r="CH828" s="34"/>
      <c r="CI828" s="34"/>
      <c r="CJ828" s="34"/>
      <c r="CK828" s="34"/>
      <c r="CL828" s="34"/>
      <c r="CM828" s="34"/>
      <c r="CN828" s="34"/>
      <c r="CO828" s="34"/>
      <c r="CP828" s="34"/>
      <c r="CQ828" s="34"/>
      <c r="CR828" s="1"/>
      <c r="CS828" s="1"/>
      <c r="CT828" s="1"/>
      <c r="CU828" s="1"/>
    </row>
    <row r="829" spans="1:99" s="13" customFormat="1" ht="12" customHeight="1" x14ac:dyDescent="0.2">
      <c r="A829" s="68">
        <v>43902</v>
      </c>
      <c r="B829" s="70" t="s">
        <v>448</v>
      </c>
      <c r="C829" s="70" t="s">
        <v>357</v>
      </c>
      <c r="D829" s="69">
        <v>1988</v>
      </c>
      <c r="E829" s="87">
        <v>1</v>
      </c>
      <c r="F829" s="69">
        <v>8</v>
      </c>
      <c r="G829" s="69">
        <v>8</v>
      </c>
      <c r="H829" s="69" t="s">
        <v>452</v>
      </c>
      <c r="I829" s="69" t="s">
        <v>330</v>
      </c>
      <c r="J829" s="69" t="s">
        <v>340</v>
      </c>
      <c r="K829" s="69">
        <f>IF(J829="syllables",1,IF(J829="trigrams",2,IF(J829="strings",3,IF(J829="visual array",4,IF(J829="characters",5,IF(J829="letters",6,IF(J829="free forms",7,IF(J829="odors",8,IF(J829="words",9,IF(J829="pictures",10,IF(J829="object pictures",11,IF(J829="faces",12,IF(J829="names",13,IF(J829="idioms",14,IF(J829="grades",15,IF(J829="syllable-digit pairs",16,IF(J829="trigram-word pairs",17,IF(J829="word-digit pairs",18,IF(J829="English-Swahili pairs",19,IF(J829="spatial position",20,IF(J829="word pairs",21,IF(J829="word triads",22,IF(J829="generated words",23,IF(J829="word definition pairs",24,IF(J829="math problems",25,IF(J829="famous faces",26,IF(J829="famous names",27,IF(J829="famous voices",28,IF(J829="television programs",29,IF(J829="race horses",30,IF(J829="new vocabulary",31,IF(J829="sentences",32,IF(J829="concepts",33,IF(J829="ad slides",34,IF(J829="scenes",35,IF(J829="famous scenes",36,IF(J829="poems",37,IF(J829="walk",38,IF(J829="faces and events",39,IF(J829="events and names",40,IF(J829="flashbulb",41,IF(J829="stories",42,IF(J829="course material",43,IF(J829="autobiographical",44,IF(J829="novels",45,IF(J829="public events",46,"99"))))))))))))))))))))))))))))))))))))))))))))))</f>
        <v>46</v>
      </c>
      <c r="L829" s="69">
        <f>IF(J829="syllables",1,IF(J829="trigrams",1,IF(J829="strings",1,IF(J829="visual array",1,IF(J829="characters",1,IF(J829="letters",1,IF(J829="free forms",1,IF(J829="odors",2,IF(J829="words",2,IF(J829="pictures",2,IF(J829="object pictures",2,IF(J829="faces",2,IF(J829="names",2,IF(J829="idioms","2",IF(J829="grades",2,IF(J829="syllable-digit pairs",3,IF(J829="trigram-word pairs",3,IF(J829="word-digit pairs",3,IF(J829="English-Swahili pairs",3,IF(J829="spatial position",3,IF(J829="word pairs",4,IF(J829="word triads",4,IF(J829="generated words",4,IF(J829="word definition pairs",4,IF(J829="math problems",4,IF(J829="famous faces",4,IF(J829="famous names",4,IF(J829="famous voices",4,IF(J829="television programs",4,IF(J829="race horses",4,IF(J829="new vocabulary",4,IF(J829="sentences",5,IF(J829="concepts",5,IF(J829="ad slides",5,IF(J829="scenes",5,IF(J829="famous scenes",5,IF(J829="poems",6,IF(J829="walk",6,IF(J829="faces and events",6,IF(J829="events and names",6,IF(J829="flashbulb",7,IF(J829="stories",7,IF(J829="course material",7,IF(J829="autobiographical",7,IF(J829="novels",7,IF(J829="public events",7,"99"))))))))))))))))))))))))))))))))))))))))))))))</f>
        <v>7</v>
      </c>
      <c r="M829" s="69">
        <v>1</v>
      </c>
      <c r="N829" s="92">
        <v>4</v>
      </c>
      <c r="O829" s="69">
        <v>0</v>
      </c>
      <c r="P829" s="69"/>
      <c r="Q829" s="69" t="s">
        <v>182</v>
      </c>
      <c r="R829" s="69">
        <f>IF(Q829="Free Recall",1,IF(Q829="Cued Recall",2,IF(Q829="Recognition",3,IF(Q829="Multiple Choice",4,IF(Q829="Savings",5,IF(Q829="Stem Completion",6,IF(Q829="Fragment Completion",7,IF(Q829="anagram solution",8,IF(Q829="Matching",9,IF(Q829="Problem Solving",10,"99"))))))))))</f>
        <v>4</v>
      </c>
      <c r="S829" s="69" t="s">
        <v>15</v>
      </c>
      <c r="T829" s="92" t="s">
        <v>581</v>
      </c>
      <c r="U829" s="69">
        <f>IF(T829="within",1,0)</f>
        <v>1</v>
      </c>
      <c r="V829" s="92">
        <v>75</v>
      </c>
      <c r="W829" s="69">
        <f>F829*V829</f>
        <v>600</v>
      </c>
      <c r="X829" s="69">
        <v>5</v>
      </c>
      <c r="Y829" s="87">
        <f>AV828</f>
        <v>315360000</v>
      </c>
      <c r="Z829" s="92" t="s">
        <v>209</v>
      </c>
      <c r="AA829" s="69">
        <f>50*365*24*60*60</f>
        <v>1576800000</v>
      </c>
      <c r="AB829" s="69" t="str">
        <f>IF(AA829&lt;60,"1",IF(AA829&lt;=43200,"2",IF(AA829&lt;=777600,"3","4")))</f>
        <v>4</v>
      </c>
      <c r="AC829" s="72">
        <f>AVERAGE(AV828:DA828)</f>
        <v>946080000</v>
      </c>
      <c r="AD829" s="69" t="str">
        <f>IF(AC829&lt;60,"1",IF(AC829&lt;=43200,"2",IF(AC829&lt;=777600,"3","4")))</f>
        <v>4</v>
      </c>
      <c r="AE829" s="87">
        <f>AA829-Y829</f>
        <v>1261440000</v>
      </c>
      <c r="AF829" s="88">
        <f>AV829</f>
        <v>0.83</v>
      </c>
      <c r="AG829" s="72">
        <f>((AW829-AV829)+(AX829-AW829)+(AY829-AX829)+(AZ829-AY829))/4</f>
        <v>-5.4999999999999993E-2</v>
      </c>
      <c r="AH829" s="4"/>
      <c r="AI829" s="72">
        <f>RSQ(AV829:AZ829,AV828:AZ828)</f>
        <v>0.92113910186199377</v>
      </c>
      <c r="AJ829" s="110">
        <f>SLOPE(AV829:AZ829,AV828:AZ828)</f>
        <v>-1.8391679350583459E-10</v>
      </c>
      <c r="AK829" s="72">
        <f>INTERCEPT(AV829:AZ829,AV828:AZ828)</f>
        <v>0.8879999999999999</v>
      </c>
      <c r="AL829" s="72">
        <f>INDEX(LINEST(LN(AV829:AZ829),LN(AV828:AZ828),TRUE,TRUE),3,1)</f>
        <v>0.8982901060774412</v>
      </c>
      <c r="AM829" s="72">
        <f>INDEX(LINEST(LN(AV829:AZ829),LN(AV828:AZ828)),1)</f>
        <v>-0.19779592563291784</v>
      </c>
      <c r="AN829" s="72">
        <f>EXP(INDEX(LINEST(LN(AV829:AZ829),LN(AV828:AZ828)),1,2))</f>
        <v>41.105824712179611</v>
      </c>
      <c r="AO829" s="89">
        <f>INDEX(LINEST((AV829:AZ829),LN(AV828:AZ828),TRUE,TRUE),3,1)</f>
        <v>0.90422254487926623</v>
      </c>
      <c r="AP829" s="89">
        <f>INDEX(LINEST((AV829:AZ829),LN(AV828:AZ828)),1)</f>
        <v>-0.14297201864804351</v>
      </c>
      <c r="AQ829" s="90">
        <f>INDEX(LINEST(LN(AV829:AZ829),SQRT(AV828:AZ828),TRUE,TRUE),3,1)</f>
        <v>0.92825996102427388</v>
      </c>
      <c r="AR829" s="117">
        <f>INDEX(LINEST(LN(AV829:AZ829),SQRT((AV828:AZ828))),1)</f>
        <v>-1.478592737119345E-5</v>
      </c>
      <c r="AS829" s="91">
        <f>INDEX(LINEST(1/(AV829:AZ829),1/(SQRT(AV828:AZ828)),TRUE,TRUE),3,1)</f>
        <v>0.82936915812726009</v>
      </c>
      <c r="AT829" s="91">
        <f>INDEX(LINEST(1/(AV829:AZ829),1/SQRT(AV828:AZ828)),1)</f>
        <v>-13600.906338574458</v>
      </c>
      <c r="AU829" s="3"/>
      <c r="AV829" s="73">
        <v>0.83</v>
      </c>
      <c r="AW829" s="73">
        <v>0.8</v>
      </c>
      <c r="AX829" s="73">
        <v>0.67</v>
      </c>
      <c r="AY829" s="73">
        <v>0.66</v>
      </c>
      <c r="AZ829" s="73">
        <v>0.61</v>
      </c>
      <c r="BA829" s="42"/>
      <c r="BB829" s="42"/>
      <c r="BC829" s="34"/>
      <c r="BD829" s="34"/>
      <c r="BE829" s="34"/>
      <c r="BF829" s="34"/>
      <c r="BG829" s="34"/>
      <c r="BH829" s="34"/>
      <c r="BI829" s="34"/>
      <c r="BJ829" s="34"/>
      <c r="BK829" s="34"/>
      <c r="BL829" s="34"/>
      <c r="BM829" s="34"/>
      <c r="BN829" s="34"/>
      <c r="BO829" s="34"/>
      <c r="BP829" s="34"/>
      <c r="BQ829" s="34"/>
      <c r="BR829" s="34"/>
      <c r="BS829" s="34"/>
      <c r="BT829" s="34"/>
      <c r="BU829" s="34"/>
      <c r="BV829" s="34"/>
      <c r="BW829" s="34"/>
      <c r="BX829" s="34"/>
      <c r="BY829" s="34"/>
      <c r="BZ829" s="34"/>
      <c r="CA829" s="34"/>
      <c r="CB829" s="34"/>
      <c r="CC829" s="34"/>
      <c r="CD829" s="34"/>
      <c r="CE829" s="34"/>
      <c r="CF829" s="34"/>
      <c r="CG829" s="34"/>
      <c r="CH829" s="34"/>
      <c r="CI829" s="34"/>
      <c r="CJ829" s="34"/>
      <c r="CK829" s="34"/>
      <c r="CL829" s="34"/>
      <c r="CM829" s="34"/>
      <c r="CN829" s="34"/>
      <c r="CO829" s="34"/>
      <c r="CP829" s="34"/>
      <c r="CQ829" s="34"/>
      <c r="CR829" s="1"/>
      <c r="CS829" s="1"/>
      <c r="CT829" s="1"/>
      <c r="CU829" s="1"/>
    </row>
    <row r="830" spans="1:99" s="13" customFormat="1" ht="12" customHeight="1" x14ac:dyDescent="0.2">
      <c r="A830" s="65">
        <v>43509</v>
      </c>
      <c r="B830" s="1"/>
      <c r="C830" s="1"/>
      <c r="D830" s="60"/>
      <c r="E830" s="76"/>
      <c r="F830" s="60"/>
      <c r="G830" s="60"/>
      <c r="H830" s="60"/>
      <c r="I830" s="60"/>
      <c r="J830" s="60"/>
      <c r="K830" s="64"/>
      <c r="L830" s="64"/>
      <c r="M830" s="60"/>
      <c r="N830" s="60"/>
      <c r="O830" s="60"/>
      <c r="P830" s="60"/>
      <c r="Q830" s="60"/>
      <c r="R830" s="60"/>
      <c r="S830" s="60"/>
      <c r="T830" s="60"/>
      <c r="U830" s="60"/>
      <c r="V830" s="60"/>
      <c r="W830" s="60"/>
      <c r="X830" s="60"/>
      <c r="Y830" s="76"/>
      <c r="Z830" s="60"/>
      <c r="AA830" s="60"/>
      <c r="AB830" s="60"/>
      <c r="AC830" s="60"/>
      <c r="AD830" s="60"/>
      <c r="AE830" s="60"/>
      <c r="AF830" s="80"/>
      <c r="AG830" s="56"/>
      <c r="AH830" s="4"/>
      <c r="AI830" s="56"/>
      <c r="AJ830" s="109"/>
      <c r="AK830" s="56"/>
      <c r="AL830" s="56"/>
      <c r="AM830" s="56"/>
      <c r="AN830" s="56"/>
      <c r="AO830" s="56"/>
      <c r="AP830" s="56"/>
      <c r="AQ830" s="56"/>
      <c r="AR830" s="109"/>
      <c r="AS830" s="56"/>
      <c r="AT830" s="56"/>
      <c r="AU830" s="4"/>
      <c r="AV830" s="25">
        <f>60*3</f>
        <v>180</v>
      </c>
      <c r="AW830" s="25">
        <f>60*9</f>
        <v>540</v>
      </c>
      <c r="AX830" s="25">
        <f>60*12</f>
        <v>720</v>
      </c>
      <c r="AY830" s="25">
        <f>60*15</f>
        <v>900</v>
      </c>
      <c r="AZ830" s="25">
        <f>60*42</f>
        <v>2520</v>
      </c>
      <c r="BA830" s="25">
        <f>60*66</f>
        <v>3960</v>
      </c>
      <c r="BB830" s="25">
        <f>60*90</f>
        <v>5400</v>
      </c>
      <c r="BC830" s="53"/>
      <c r="BD830" s="53"/>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1"/>
      <c r="CS830" s="1"/>
      <c r="CT830" s="1"/>
      <c r="CU830" s="1"/>
    </row>
    <row r="831" spans="1:99" s="13" customFormat="1" ht="12" customHeight="1" x14ac:dyDescent="0.2">
      <c r="A831" s="65">
        <v>43509</v>
      </c>
      <c r="B831" s="1" t="s">
        <v>246</v>
      </c>
      <c r="C831" s="1" t="s">
        <v>45</v>
      </c>
      <c r="D831" s="60">
        <v>1997</v>
      </c>
      <c r="E831" s="76">
        <v>1</v>
      </c>
      <c r="F831" s="60">
        <v>14</v>
      </c>
      <c r="G831" s="60">
        <v>14</v>
      </c>
      <c r="H831" s="60" t="s">
        <v>32</v>
      </c>
      <c r="I831" s="60" t="s">
        <v>733</v>
      </c>
      <c r="J831" s="60" t="s">
        <v>16</v>
      </c>
      <c r="K831" s="60">
        <f>IF(J831="syllables",1,IF(J831="trigrams",2,IF(J831="strings",3,IF(J831="visual array",4,IF(J831="characters",5,IF(J831="letters",6,IF(J831="free forms",7,IF(J831="odors",8,IF(J831="words",9,IF(J831="pictures",10,IF(J831="object pictures",11,IF(J831="faces",12,IF(J831="names",13,IF(J831="idioms",14,IF(J831="grades",15,IF(J831="syllable-digit pairs",16,IF(J831="trigram-word pairs",17,IF(J831="word-digit pairs",18,IF(J831="English-Swahili pairs",19,IF(J831="spatial position",20,IF(J831="word pairs",21,IF(J831="word triads",22,IF(J831="generated words",23,IF(J831="word definition pairs",24,IF(J831="math problems",25,IF(J831="famous faces",26,IF(J831="famous names",27,IF(J831="famous voices",28,IF(J831="television programs",29,IF(J831="race horses",30,IF(J831="new vocabulary",31,IF(J831="sentences",32,IF(J831="concepts",33,IF(J831="ad slides",34,IF(J831="scenes",35,IF(J831="famous scenes",36,IF(J831="poems",37,IF(J831="walk",38,IF(J831="faces and events",39,IF(J831="events and names",40,IF(J831="flashbulb",41,IF(J831="stories",42,IF(J831="course material",43,IF(J831="autobiographical",44,IF(J831="novels",45,IF(J831="public events",46,"99"))))))))))))))))))))))))))))))))))))))))))))))</f>
        <v>9</v>
      </c>
      <c r="L831" s="60">
        <f>IF(J831="syllables",1,IF(J831="trigrams",1,IF(J831="strings",1,IF(J831="visual array",1,IF(J831="characters",1,IF(J831="letters",1,IF(J831="free forms",1,IF(J831="odors",2,IF(J831="words",2,IF(J831="pictures",2,IF(J831="object pictures",2,IF(J831="faces",2,IF(J831="names",2,IF(J831="idioms","2",IF(J831="grades",2,IF(J831="syllable-digit pairs",3,IF(J831="trigram-word pairs",3,IF(J831="word-digit pairs",3,IF(J831="English-Swahili pairs",3,IF(J831="spatial position",3,IF(J831="word pairs",4,IF(J831="word triads",4,IF(J831="generated words",4,IF(J831="word definition pairs",4,IF(J831="math problems",4,IF(J831="famous faces",4,IF(J831="famous names",4,IF(J831="famous voices",4,IF(J831="television programs",4,IF(J831="race horses",4,IF(J831="new vocabulary",4,IF(J831="sentences",5,IF(J831="concepts",5,IF(J831="ad slides",5,IF(J831="scenes",5,IF(J831="famous scenes",5,IF(J831="poems",6,IF(J831="walk",6,IF(J831="faces and events",6,IF(J831="events and names",6,IF(J831="flashbulb",7,IF(J831="stories",7,IF(J831="course material",7,IF(J831="autobiographical",7,IF(J831="novels",7,IF(J831="public events",7,"99"))))))))))))))))))))))))))))))))))))))))))))))</f>
        <v>2</v>
      </c>
      <c r="M831" s="60">
        <v>0</v>
      </c>
      <c r="N831" s="60">
        <v>1</v>
      </c>
      <c r="O831" s="60">
        <v>0</v>
      </c>
      <c r="P831" s="60"/>
      <c r="Q831" s="60" t="s">
        <v>64</v>
      </c>
      <c r="R831" s="60">
        <f>IF(Q831="Free Recall",1,IF(Q831="Cued Recall",2,IF(Q831="Recognition",3,IF(Q831="Multiple Choice",4,IF(Q831="Savings",5,IF(Q831="Stem Completion",6,IF(Q831="Fragment Completion",7,IF(Q831="anagram solution",8,IF(Q831="Matching",9,IF(Q831="Problem Solving",10,"99"))))))))))</f>
        <v>6</v>
      </c>
      <c r="S831" s="60" t="s">
        <v>15</v>
      </c>
      <c r="T831" s="59" t="s">
        <v>581</v>
      </c>
      <c r="U831" s="60">
        <f>IF(T831="within",1,0)</f>
        <v>1</v>
      </c>
      <c r="V831" s="59">
        <v>22</v>
      </c>
      <c r="W831" s="60">
        <f>F831*V831</f>
        <v>308</v>
      </c>
      <c r="X831" s="60">
        <v>7</v>
      </c>
      <c r="Y831" s="76">
        <f>AV830</f>
        <v>180</v>
      </c>
      <c r="Z831" s="60" t="s">
        <v>59</v>
      </c>
      <c r="AA831" s="60">
        <v>5400</v>
      </c>
      <c r="AB831" s="60" t="str">
        <f>IF(AA831&lt;60,"1",IF(AA831&lt;=43200,"2",IF(AA831&lt;=777600,"3","4")))</f>
        <v>2</v>
      </c>
      <c r="AC831" s="56">
        <f>AVERAGE(AV830:DA830)</f>
        <v>2031.4285714285713</v>
      </c>
      <c r="AD831" s="60" t="str">
        <f>IF(AC831&lt;60,"1",IF(AC831&lt;=43200,"2",IF(AC831&lt;=777600,"3","4")))</f>
        <v>2</v>
      </c>
      <c r="AE831" s="76">
        <f>AA831-Y831</f>
        <v>5220</v>
      </c>
      <c r="AF831" s="80">
        <f>AV831</f>
        <v>0.539087135221889</v>
      </c>
      <c r="AG831" s="56">
        <f>((AW831-AV831)+(AX831-AW831)+(AY831-AX831)+(AZ831-AY831)+(BA831-AZ831)+(BB831-BA831))/6</f>
        <v>-5.1910417920531166E-2</v>
      </c>
      <c r="AH831" s="4"/>
      <c r="AI831" s="56">
        <f>RSQ(AV831:BB831,AV830:BB830)</f>
        <v>0.63156945985823354</v>
      </c>
      <c r="AJ831" s="109">
        <f>SLOPE(AV831:BB831,AV830:BB830)</f>
        <v>-4.2722244679667778E-5</v>
      </c>
      <c r="AK831" s="56">
        <f>INTERCEPT(AV831:BB831,AV830:BB830)</f>
        <v>0.42435138817610324</v>
      </c>
      <c r="AL831" s="56">
        <f>INDEX(LINEST(LN(AV831:BB831),LN(AV830:BB830),TRUE,TRUE),3,1)</f>
        <v>0.96385578516889714</v>
      </c>
      <c r="AM831" s="56">
        <f>INDEX(LINEST(LN(AV831:BB831),LN(AV830:BB830)),1)</f>
        <v>-0.24040884614397717</v>
      </c>
      <c r="AN831" s="56">
        <f>EXP(INDEX(LINEST(LN(AV831:BB831),LN(AV830:BB830)),1,2))</f>
        <v>1.7810855631323417</v>
      </c>
      <c r="AO831" s="82">
        <f>INDEX(LINEST((AV831:BB831),LN(AV830:BB830),TRUE,TRUE),3,1)</f>
        <v>0.91729047345106784</v>
      </c>
      <c r="AP831" s="82">
        <f>INDEX(LINEST((AV831:BB831),LN(AV830:BB830)),1)</f>
        <v>-8.4865119064540431E-2</v>
      </c>
      <c r="AQ831" s="83">
        <f>INDEX(LINEST(LN(AV831:BB831),SQRT(AV830:BB830),TRUE,TRUE),3,1)</f>
        <v>0.86068682328048784</v>
      </c>
      <c r="AR831" s="116">
        <f>INDEX(LINEST(LN(AV831:BB831),SQRT((AV830:BB830))),1)</f>
        <v>-1.2292144351938518E-2</v>
      </c>
      <c r="AS831" s="84">
        <f>INDEX(LINEST(1/(AV831:BB831),1/(SQRT(AV830:BB830)),TRUE,TRUE),3,1)</f>
        <v>0.91225221261723755</v>
      </c>
      <c r="AT831" s="84">
        <f>INDEX(LINEST(1/(AV831:BB831),1/SQRT(AV830:BB830)),1)</f>
        <v>-39.691162718826185</v>
      </c>
      <c r="AU831" s="3"/>
      <c r="AV831" s="53">
        <v>0.539087135221889</v>
      </c>
      <c r="AW831" s="53">
        <v>0.408685229862293</v>
      </c>
      <c r="AX831" s="53">
        <v>0.33933816531978001</v>
      </c>
      <c r="AY831" s="53">
        <v>0.32276915004706802</v>
      </c>
      <c r="AZ831" s="53">
        <v>0.26793862108344102</v>
      </c>
      <c r="BA831" s="53">
        <v>0.25750646865467403</v>
      </c>
      <c r="BB831" s="53">
        <v>0.22762462769870201</v>
      </c>
      <c r="BC831" s="53"/>
      <c r="BD831" s="53"/>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1"/>
      <c r="CS831" s="1"/>
      <c r="CT831" s="1"/>
      <c r="CU831" s="1"/>
    </row>
    <row r="832" spans="1:99" s="13" customFormat="1" ht="12" customHeight="1" x14ac:dyDescent="0.2">
      <c r="A832" s="65">
        <v>43509</v>
      </c>
      <c r="B832" s="1"/>
      <c r="C832" s="1"/>
      <c r="D832" s="60"/>
      <c r="E832" s="76"/>
      <c r="F832" s="60"/>
      <c r="G832" s="60"/>
      <c r="H832" s="60"/>
      <c r="I832" s="60"/>
      <c r="J832" s="60"/>
      <c r="K832" s="64"/>
      <c r="L832" s="64"/>
      <c r="M832" s="60"/>
      <c r="N832" s="60"/>
      <c r="O832" s="60"/>
      <c r="P832" s="60"/>
      <c r="Q832" s="60"/>
      <c r="R832" s="60"/>
      <c r="S832" s="60"/>
      <c r="T832" s="59"/>
      <c r="U832" s="60"/>
      <c r="V832" s="59"/>
      <c r="W832" s="60"/>
      <c r="X832" s="60"/>
      <c r="Y832" s="76"/>
      <c r="Z832" s="60"/>
      <c r="AA832" s="60"/>
      <c r="AB832" s="60"/>
      <c r="AC832" s="60"/>
      <c r="AD832" s="60"/>
      <c r="AE832" s="60"/>
      <c r="AF832" s="80"/>
      <c r="AG832" s="56"/>
      <c r="AH832" s="4"/>
      <c r="AI832" s="56"/>
      <c r="AJ832" s="109"/>
      <c r="AK832" s="56"/>
      <c r="AL832" s="56"/>
      <c r="AM832" s="56"/>
      <c r="AN832" s="56"/>
      <c r="AO832" s="56"/>
      <c r="AP832" s="56"/>
      <c r="AQ832" s="56"/>
      <c r="AR832" s="109"/>
      <c r="AS832" s="56"/>
      <c r="AT832" s="56"/>
      <c r="AU832" s="5"/>
      <c r="AV832" s="25">
        <f>60*3</f>
        <v>180</v>
      </c>
      <c r="AW832" s="25">
        <f>60*9</f>
        <v>540</v>
      </c>
      <c r="AX832" s="25">
        <f>60*12</f>
        <v>720</v>
      </c>
      <c r="AY832" s="25">
        <f>60*15</f>
        <v>900</v>
      </c>
      <c r="AZ832" s="25">
        <f>60*42</f>
        <v>2520</v>
      </c>
      <c r="BA832" s="25">
        <f>60*66</f>
        <v>3960</v>
      </c>
      <c r="BB832" s="25">
        <f>60*90</f>
        <v>5400</v>
      </c>
      <c r="BC832" s="53"/>
      <c r="BD832" s="53"/>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1"/>
      <c r="CS832" s="1"/>
      <c r="CT832" s="1"/>
      <c r="CU832" s="1"/>
    </row>
    <row r="833" spans="1:99" s="13" customFormat="1" ht="12" customHeight="1" x14ac:dyDescent="0.2">
      <c r="A833" s="65">
        <v>43509</v>
      </c>
      <c r="B833" s="1" t="s">
        <v>246</v>
      </c>
      <c r="C833" s="1" t="s">
        <v>45</v>
      </c>
      <c r="D833" s="60">
        <v>1997</v>
      </c>
      <c r="E833" s="76">
        <v>1</v>
      </c>
      <c r="F833" s="60">
        <v>14</v>
      </c>
      <c r="G833" s="60">
        <v>14</v>
      </c>
      <c r="H833" s="60" t="s">
        <v>32</v>
      </c>
      <c r="I833" s="60" t="s">
        <v>734</v>
      </c>
      <c r="J833" s="60" t="s">
        <v>16</v>
      </c>
      <c r="K833" s="60">
        <f>IF(J833="syllables",1,IF(J833="trigrams",2,IF(J833="strings",3,IF(J833="visual array",4,IF(J833="characters",5,IF(J833="letters",6,IF(J833="free forms",7,IF(J833="odors",8,IF(J833="words",9,IF(J833="pictures",10,IF(J833="object pictures",11,IF(J833="faces",12,IF(J833="names",13,IF(J833="idioms",14,IF(J833="grades",15,IF(J833="syllable-digit pairs",16,IF(J833="trigram-word pairs",17,IF(J833="word-digit pairs",18,IF(J833="English-Swahili pairs",19,IF(J833="spatial position",20,IF(J833="word pairs",21,IF(J833="word triads",22,IF(J833="generated words",23,IF(J833="word definition pairs",24,IF(J833="math problems",25,IF(J833="famous faces",26,IF(J833="famous names",27,IF(J833="famous voices",28,IF(J833="television programs",29,IF(J833="race horses",30,IF(J833="new vocabulary",31,IF(J833="sentences",32,IF(J833="concepts",33,IF(J833="ad slides",34,IF(J833="scenes",35,IF(J833="famous scenes",36,IF(J833="poems",37,IF(J833="walk",38,IF(J833="faces and events",39,IF(J833="events and names",40,IF(J833="flashbulb",41,IF(J833="stories",42,IF(J833="course material",43,IF(J833="autobiographical",44,IF(J833="novels",45,IF(J833="public events",46,"99"))))))))))))))))))))))))))))))))))))))))))))))</f>
        <v>9</v>
      </c>
      <c r="L833" s="60">
        <f>IF(J833="syllables",1,IF(J833="trigrams",1,IF(J833="strings",1,IF(J833="visual array",1,IF(J833="characters",1,IF(J833="letters",1,IF(J833="free forms",1,IF(J833="odors",2,IF(J833="words",2,IF(J833="pictures",2,IF(J833="object pictures",2,IF(J833="faces",2,IF(J833="names",2,IF(J833="idioms","2",IF(J833="grades",2,IF(J833="syllable-digit pairs",3,IF(J833="trigram-word pairs",3,IF(J833="word-digit pairs",3,IF(J833="English-Swahili pairs",3,IF(J833="spatial position",3,IF(J833="word pairs",4,IF(J833="word triads",4,IF(J833="generated words",4,IF(J833="word definition pairs",4,IF(J833="math problems",4,IF(J833="famous faces",4,IF(J833="famous names",4,IF(J833="famous voices",4,IF(J833="television programs",4,IF(J833="race horses",4,IF(J833="new vocabulary",4,IF(J833="sentences",5,IF(J833="concepts",5,IF(J833="ad slides",5,IF(J833="scenes",5,IF(J833="famous scenes",5,IF(J833="poems",6,IF(J833="walk",6,IF(J833="faces and events",6,IF(J833="events and names",6,IF(J833="flashbulb",7,IF(J833="stories",7,IF(J833="course material",7,IF(J833="autobiographical",7,IF(J833="novels",7,IF(J833="public events",7,"99"))))))))))))))))))))))))))))))))))))))))))))))</f>
        <v>2</v>
      </c>
      <c r="M833" s="60">
        <v>0</v>
      </c>
      <c r="N833" s="60">
        <v>1</v>
      </c>
      <c r="O833" s="60">
        <v>0</v>
      </c>
      <c r="P833" s="60"/>
      <c r="Q833" s="60" t="s">
        <v>64</v>
      </c>
      <c r="R833" s="60">
        <f>IF(Q833="Free Recall",1,IF(Q833="Cued Recall",2,IF(Q833="Recognition",3,IF(Q833="Multiple Choice",4,IF(Q833="Savings",5,IF(Q833="Stem Completion",6,IF(Q833="Fragment Completion",7,IF(Q833="anagram solution",8,IF(Q833="Matching",9,IF(Q833="Problem Solving",10,"99"))))))))))</f>
        <v>6</v>
      </c>
      <c r="S833" s="60" t="s">
        <v>15</v>
      </c>
      <c r="T833" s="59" t="s">
        <v>581</v>
      </c>
      <c r="U833" s="60">
        <f>IF(T833="within",1,0)</f>
        <v>1</v>
      </c>
      <c r="V833" s="59">
        <v>22</v>
      </c>
      <c r="W833" s="60">
        <f>F833*V833</f>
        <v>308</v>
      </c>
      <c r="X833" s="60">
        <v>7</v>
      </c>
      <c r="Y833" s="76">
        <f>AV832</f>
        <v>180</v>
      </c>
      <c r="Z833" s="60" t="s">
        <v>59</v>
      </c>
      <c r="AA833" s="60">
        <v>5400</v>
      </c>
      <c r="AB833" s="60" t="str">
        <f>IF(AA833&lt;60,"1",IF(AA833&lt;=43200,"2",IF(AA833&lt;=777600,"3","4")))</f>
        <v>2</v>
      </c>
      <c r="AC833" s="56">
        <f>AVERAGE(AV832:DA832)</f>
        <v>2031.4285714285713</v>
      </c>
      <c r="AD833" s="60" t="str">
        <f>IF(AC833&lt;60,"1",IF(AC833&lt;=43200,"2",IF(AC833&lt;=777600,"3","4")))</f>
        <v>2</v>
      </c>
      <c r="AE833" s="76">
        <f>AA833-Y833</f>
        <v>5220</v>
      </c>
      <c r="AF833" s="80">
        <f>AV833</f>
        <v>0.48075350181842502</v>
      </c>
      <c r="AG833" s="56">
        <f>((AW833-AV833)+(AX833-AW833)+(AY833-AX833)+(AZ833-AY833)+(BA833-AZ833)+(BB833-BA833))/6</f>
        <v>-4.3808524392272341E-2</v>
      </c>
      <c r="AH833" s="4"/>
      <c r="AI833" s="56">
        <f>RSQ(AV833:BB833,AV832:BB832)</f>
        <v>0.45008678042235667</v>
      </c>
      <c r="AJ833" s="109">
        <f>SLOPE(AV833:BB833,AV832:BB832)</f>
        <v>-3.1837806373005864E-5</v>
      </c>
      <c r="AK833" s="56">
        <f>INTERCEPT(AV833:BB833,AV832:BB832)</f>
        <v>0.35363053777769754</v>
      </c>
      <c r="AL833" s="56">
        <f>INDEX(LINEST(LN(AV833:BB833),LN(AV832:BB832),TRUE,TRUE),3,1)</f>
        <v>0.81491721861112776</v>
      </c>
      <c r="AM833" s="56">
        <f>INDEX(LINEST(LN(AV833:BB833),LN(AV832:BB832)),1)</f>
        <v>-0.2149309009739736</v>
      </c>
      <c r="AN833" s="56">
        <f>EXP(INDEX(LINEST(LN(AV833:BB833),LN(AV832:BB832)),1,2))</f>
        <v>1.2736533776315786</v>
      </c>
      <c r="AO833" s="82">
        <f>INDEX(LINEST((AV833:BB833),LN(AV832:BB832),TRUE,TRUE),3,1)</f>
        <v>0.76711390217270925</v>
      </c>
      <c r="AP833" s="82">
        <f>INDEX(LINEST((AV833:BB833),LN(AV832:BB832)),1)</f>
        <v>-6.8510512457607545E-2</v>
      </c>
      <c r="AQ833" s="83">
        <f>INDEX(LINEST(LN(AV833:BB833),SQRT(AV832:BB832),TRUE,TRUE),3,1)</f>
        <v>0.66003724717273216</v>
      </c>
      <c r="AR833" s="116">
        <f>INDEX(LINEST(LN(AV833:BB833),SQRT((AV832:BB832))),1)</f>
        <v>-1.0466150948096541E-2</v>
      </c>
      <c r="AS833" s="84">
        <f>INDEX(LINEST(1/(AV833:BB833),1/(SQRT(AV832:BB832)),TRUE,TRUE),3,1)</f>
        <v>0.88654431195573535</v>
      </c>
      <c r="AT833" s="84">
        <f>INDEX(LINEST(1/(AV833:BB833),1/SQRT(AV832:BB832)),1)</f>
        <v>-41.726653912753932</v>
      </c>
      <c r="AU833" s="3"/>
      <c r="AV833" s="53">
        <v>0.48075350181842502</v>
      </c>
      <c r="AW833" s="53">
        <v>0.342018220258334</v>
      </c>
      <c r="AX833" s="53">
        <v>0.25044881918116801</v>
      </c>
      <c r="AY833" s="53">
        <v>0.26443551664360399</v>
      </c>
      <c r="AZ833" s="53">
        <v>0.25683259687549798</v>
      </c>
      <c r="BA833" s="53">
        <v>0.210289147577919</v>
      </c>
      <c r="BB833" s="53">
        <v>0.217902355464791</v>
      </c>
      <c r="BC833" s="53"/>
      <c r="BD833" s="53"/>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1"/>
      <c r="CS833" s="1"/>
      <c r="CT833" s="1"/>
      <c r="CU833" s="1"/>
    </row>
    <row r="834" spans="1:99" s="13" customFormat="1" ht="12" customHeight="1" x14ac:dyDescent="0.2">
      <c r="A834" s="65">
        <v>43509</v>
      </c>
      <c r="B834" s="1"/>
      <c r="C834" s="1"/>
      <c r="D834" s="60"/>
      <c r="E834" s="76"/>
      <c r="F834" s="60"/>
      <c r="G834" s="60"/>
      <c r="H834" s="60"/>
      <c r="I834" s="60"/>
      <c r="J834" s="60"/>
      <c r="K834" s="64"/>
      <c r="L834" s="64"/>
      <c r="M834" s="60"/>
      <c r="N834" s="60"/>
      <c r="O834" s="60"/>
      <c r="P834" s="60"/>
      <c r="Q834" s="60"/>
      <c r="R834" s="60"/>
      <c r="S834" s="60"/>
      <c r="T834" s="60"/>
      <c r="U834" s="60"/>
      <c r="V834" s="60"/>
      <c r="W834" s="60"/>
      <c r="X834" s="60"/>
      <c r="Y834" s="76"/>
      <c r="Z834" s="60"/>
      <c r="AA834" s="60"/>
      <c r="AB834" s="60"/>
      <c r="AC834" s="60"/>
      <c r="AD834" s="60"/>
      <c r="AE834" s="60"/>
      <c r="AF834" s="80"/>
      <c r="AG834" s="56"/>
      <c r="AH834" s="4"/>
      <c r="AI834" s="56"/>
      <c r="AJ834" s="109"/>
      <c r="AK834" s="56"/>
      <c r="AL834" s="56"/>
      <c r="AM834" s="56"/>
      <c r="AN834" s="56"/>
      <c r="AO834" s="56"/>
      <c r="AP834" s="56"/>
      <c r="AQ834" s="56"/>
      <c r="AR834" s="109"/>
      <c r="AS834" s="56"/>
      <c r="AT834" s="56"/>
      <c r="AU834" s="5"/>
      <c r="AV834" s="25">
        <f>60*3</f>
        <v>180</v>
      </c>
      <c r="AW834" s="25">
        <f>60*9</f>
        <v>540</v>
      </c>
      <c r="AX834" s="25">
        <f>60*12</f>
        <v>720</v>
      </c>
      <c r="AY834" s="25">
        <f>60*15</f>
        <v>900</v>
      </c>
      <c r="AZ834" s="25">
        <f>60*42</f>
        <v>2520</v>
      </c>
      <c r="BA834" s="25">
        <f>60*66</f>
        <v>3960</v>
      </c>
      <c r="BB834" s="25">
        <f>60*90</f>
        <v>5400</v>
      </c>
      <c r="BC834" s="53"/>
      <c r="BD834" s="53"/>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1"/>
      <c r="CS834" s="1"/>
      <c r="CT834" s="1"/>
      <c r="CU834" s="1"/>
    </row>
    <row r="835" spans="1:99" s="13" customFormat="1" ht="12" customHeight="1" x14ac:dyDescent="0.2">
      <c r="A835" s="65">
        <v>43509</v>
      </c>
      <c r="B835" s="1" t="s">
        <v>246</v>
      </c>
      <c r="C835" s="1" t="s">
        <v>45</v>
      </c>
      <c r="D835" s="60">
        <v>1997</v>
      </c>
      <c r="E835" s="76">
        <v>1</v>
      </c>
      <c r="F835" s="60">
        <v>12</v>
      </c>
      <c r="G835" s="60">
        <v>12</v>
      </c>
      <c r="H835" s="60" t="s">
        <v>32</v>
      </c>
      <c r="I835" s="60" t="s">
        <v>733</v>
      </c>
      <c r="J835" s="60" t="s">
        <v>16</v>
      </c>
      <c r="K835" s="60">
        <f>IF(J835="syllables",1,IF(J835="trigrams",2,IF(J835="strings",3,IF(J835="visual array",4,IF(J835="characters",5,IF(J835="letters",6,IF(J835="free forms",7,IF(J835="odors",8,IF(J835="words",9,IF(J835="pictures",10,IF(J835="object pictures",11,IF(J835="faces",12,IF(J835="names",13,IF(J835="idioms",14,IF(J835="grades",15,IF(J835="syllable-digit pairs",16,IF(J835="trigram-word pairs",17,IF(J835="word-digit pairs",18,IF(J835="English-Swahili pairs",19,IF(J835="spatial position",20,IF(J835="word pairs",21,IF(J835="word triads",22,IF(J835="generated words",23,IF(J835="word definition pairs",24,IF(J835="math problems",25,IF(J835="famous faces",26,IF(J835="famous names",27,IF(J835="famous voices",28,IF(J835="television programs",29,IF(J835="race horses",30,IF(J835="new vocabulary",31,IF(J835="sentences",32,IF(J835="concepts",33,IF(J835="ad slides",34,IF(J835="scenes",35,IF(J835="famous scenes",36,IF(J835="poems",37,IF(J835="walk",38,IF(J835="faces and events",39,IF(J835="events and names",40,IF(J835="flashbulb",41,IF(J835="stories",42,IF(J835="course material",43,IF(J835="autobiographical",44,IF(J835="novels",45,IF(J835="public events",46,"99"))))))))))))))))))))))))))))))))))))))))))))))</f>
        <v>9</v>
      </c>
      <c r="L835" s="60">
        <f>IF(J835="syllables",1,IF(J835="trigrams",1,IF(J835="strings",1,IF(J835="visual array",1,IF(J835="characters",1,IF(J835="letters",1,IF(J835="free forms",1,IF(J835="odors",2,IF(J835="words",2,IF(J835="pictures",2,IF(J835="object pictures",2,IF(J835="faces",2,IF(J835="names",2,IF(J835="idioms","2",IF(J835="grades",2,IF(J835="syllable-digit pairs",3,IF(J835="trigram-word pairs",3,IF(J835="word-digit pairs",3,IF(J835="English-Swahili pairs",3,IF(J835="spatial position",3,IF(J835="word pairs",4,IF(J835="word triads",4,IF(J835="generated words",4,IF(J835="word definition pairs",4,IF(J835="math problems",4,IF(J835="famous faces",4,IF(J835="famous names",4,IF(J835="famous voices",4,IF(J835="television programs",4,IF(J835="race horses",4,IF(J835="new vocabulary",4,IF(J835="sentences",5,IF(J835="concepts",5,IF(J835="ad slides",5,IF(J835="scenes",5,IF(J835="famous scenes",5,IF(J835="poems",6,IF(J835="walk",6,IF(J835="faces and events",6,IF(J835="events and names",6,IF(J835="flashbulb",7,IF(J835="stories",7,IF(J835="course material",7,IF(J835="autobiographical",7,IF(J835="novels",7,IF(J835="public events",7,"99"))))))))))))))))))))))))))))))))))))))))))))))</f>
        <v>2</v>
      </c>
      <c r="M835" s="60">
        <v>0</v>
      </c>
      <c r="N835" s="60">
        <v>1</v>
      </c>
      <c r="O835" s="60">
        <v>0</v>
      </c>
      <c r="P835" s="60"/>
      <c r="Q835" s="60" t="s">
        <v>65</v>
      </c>
      <c r="R835" s="60">
        <f>IF(Q835="Free Recall",1,IF(Q835="Cued Recall",2,IF(Q835="Recognition",3,IF(Q835="Multiple Choice",4,IF(Q835="Savings",5,IF(Q835="Stem Completion",6,IF(Q835="Fragment Completion",7,IF(Q835="anagram solution",8,IF(Q835="Matching",9,IF(Q835="Problem Solving",10,"99"))))))))))</f>
        <v>2</v>
      </c>
      <c r="S835" s="60" t="s">
        <v>49</v>
      </c>
      <c r="T835" s="59" t="s">
        <v>581</v>
      </c>
      <c r="U835" s="60">
        <f>IF(T835="within",1,0)</f>
        <v>1</v>
      </c>
      <c r="V835" s="59">
        <v>22</v>
      </c>
      <c r="W835" s="60">
        <f>F835*V835</f>
        <v>264</v>
      </c>
      <c r="X835" s="60">
        <v>7</v>
      </c>
      <c r="Y835" s="76">
        <f>AV834</f>
        <v>180</v>
      </c>
      <c r="Z835" s="60" t="s">
        <v>59</v>
      </c>
      <c r="AA835" s="60">
        <v>5400</v>
      </c>
      <c r="AB835" s="60" t="str">
        <f>IF(AA835&lt;60,"1",IF(AA835&lt;=43200,"2",IF(AA835&lt;=777600,"3","4")))</f>
        <v>2</v>
      </c>
      <c r="AC835" s="56">
        <f>AVERAGE(AV834:DA834)</f>
        <v>2031.4285714285713</v>
      </c>
      <c r="AD835" s="60" t="str">
        <f>IF(AC835&lt;60,"1",IF(AC835&lt;=43200,"2",IF(AC835&lt;=777600,"3","4")))</f>
        <v>2</v>
      </c>
      <c r="AE835" s="76">
        <f>AA835-Y835</f>
        <v>5220</v>
      </c>
      <c r="AF835" s="80">
        <f>AV835</f>
        <v>0.58908739242485797</v>
      </c>
      <c r="AG835" s="56">
        <f>((AW835-AV835)+(AX835-AW835)+(AY835-AX835)+(AZ835-AY835)+(BA835-AZ835)+(BB835-BA835))/6</f>
        <v>-6.0475276793261999E-2</v>
      </c>
      <c r="AH835" s="4"/>
      <c r="AI835" s="56">
        <f>RSQ(AV835:BB835,AV834:BB834)</f>
        <v>0.60172725415542472</v>
      </c>
      <c r="AJ835" s="109">
        <f>SLOPE(AV835:BB835,AV834:BB834)</f>
        <v>-4.845713545820829E-5</v>
      </c>
      <c r="AK835" s="56">
        <f>INTERCEPT(AV835:BB835,AV834:BB834)</f>
        <v>0.46278726123067188</v>
      </c>
      <c r="AL835" s="56">
        <f>INDEX(LINEST(LN(AV835:BB835),LN(AV834:BB834),TRUE,TRUE),3,1)</f>
        <v>0.87153079773888675</v>
      </c>
      <c r="AM835" s="56">
        <f>INDEX(LINEST(LN(AV835:BB835),LN(AV834:BB834)),1)</f>
        <v>-0.24951026457854411</v>
      </c>
      <c r="AN835" s="56">
        <f>EXP(INDEX(LINEST(LN(AV835:BB835),LN(AV834:BB834)),1,2))</f>
        <v>2.0359608522852364</v>
      </c>
      <c r="AO835" s="82">
        <f>INDEX(LINEST((AV835:BB835),LN(AV834:BB834),TRUE,TRUE),3,1)</f>
        <v>0.84497262275805241</v>
      </c>
      <c r="AP835" s="82">
        <f>INDEX(LINEST((AV835:BB835),LN(AV834:BB834)),1)</f>
        <v>-9.4648011875192103E-2</v>
      </c>
      <c r="AQ835" s="83">
        <f>INDEX(LINEST(LN(AV835:BB835),SQRT(AV834:BB834),TRUE,TRUE),3,1)</f>
        <v>0.7937882717027368</v>
      </c>
      <c r="AR835" s="116">
        <f>INDEX(LINEST(LN(AV835:BB835),SQRT((AV834:BB834))),1)</f>
        <v>-1.2884276791866427E-2</v>
      </c>
      <c r="AS835" s="84">
        <f>INDEX(LINEST(1/(AV835:BB835),1/(SQRT(AV834:BB834)),TRUE,TRUE),3,1)</f>
        <v>0.7940801068207004</v>
      </c>
      <c r="AT835" s="84">
        <f>INDEX(LINEST(1/(AV835:BB835),1/SQRT(AV834:BB834)),1)</f>
        <v>-38.563540637843438</v>
      </c>
      <c r="AU835" s="3"/>
      <c r="AV835" s="53">
        <v>0.58908739242485797</v>
      </c>
      <c r="AW835" s="53">
        <v>0.46979665533258902</v>
      </c>
      <c r="AX835" s="53">
        <v>0.35322712565393799</v>
      </c>
      <c r="AY835" s="53">
        <v>0.31165798177974102</v>
      </c>
      <c r="AZ835" s="53">
        <v>0.32905004655373699</v>
      </c>
      <c r="BA835" s="53">
        <v>0.27139542898883201</v>
      </c>
      <c r="BB835" s="53">
        <v>0.22623573166528599</v>
      </c>
      <c r="BC835" s="53"/>
      <c r="BD835" s="53"/>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1"/>
      <c r="CS835" s="1"/>
      <c r="CT835" s="1"/>
      <c r="CU835" s="1"/>
    </row>
    <row r="836" spans="1:99" s="13" customFormat="1" ht="12" customHeight="1" x14ac:dyDescent="0.2">
      <c r="A836" s="65">
        <v>43509</v>
      </c>
      <c r="B836" s="1"/>
      <c r="C836" s="1"/>
      <c r="D836" s="60"/>
      <c r="E836" s="76"/>
      <c r="F836" s="60"/>
      <c r="G836" s="60"/>
      <c r="H836" s="60"/>
      <c r="I836" s="60"/>
      <c r="J836" s="60"/>
      <c r="K836" s="64"/>
      <c r="L836" s="64"/>
      <c r="M836" s="60"/>
      <c r="N836" s="60"/>
      <c r="O836" s="60"/>
      <c r="P836" s="60"/>
      <c r="Q836" s="60"/>
      <c r="R836" s="60"/>
      <c r="S836" s="60"/>
      <c r="T836" s="59"/>
      <c r="U836" s="60"/>
      <c r="V836" s="59"/>
      <c r="W836" s="60"/>
      <c r="X836" s="60"/>
      <c r="Y836" s="76"/>
      <c r="Z836" s="60"/>
      <c r="AA836" s="60"/>
      <c r="AB836" s="60"/>
      <c r="AC836" s="60"/>
      <c r="AD836" s="60"/>
      <c r="AE836" s="60"/>
      <c r="AF836" s="80"/>
      <c r="AG836" s="56"/>
      <c r="AH836" s="4"/>
      <c r="AI836" s="56"/>
      <c r="AJ836" s="109"/>
      <c r="AK836" s="56"/>
      <c r="AL836" s="56"/>
      <c r="AM836" s="56"/>
      <c r="AN836" s="56"/>
      <c r="AO836" s="56"/>
      <c r="AP836" s="56"/>
      <c r="AQ836" s="56"/>
      <c r="AR836" s="109"/>
      <c r="AS836" s="56"/>
      <c r="AT836" s="56"/>
      <c r="AU836" s="5"/>
      <c r="AV836" s="25">
        <f>60*3</f>
        <v>180</v>
      </c>
      <c r="AW836" s="25">
        <f>60*9</f>
        <v>540</v>
      </c>
      <c r="AX836" s="25">
        <f>60*12</f>
        <v>720</v>
      </c>
      <c r="AY836" s="25">
        <f>60*15</f>
        <v>900</v>
      </c>
      <c r="AZ836" s="25">
        <f>60*42</f>
        <v>2520</v>
      </c>
      <c r="BA836" s="25">
        <f>60*66</f>
        <v>3960</v>
      </c>
      <c r="BB836" s="25">
        <f>60*90</f>
        <v>5400</v>
      </c>
      <c r="BC836" s="53"/>
      <c r="BD836" s="53"/>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1"/>
      <c r="CS836" s="1"/>
      <c r="CT836" s="1"/>
      <c r="CU836" s="1"/>
    </row>
    <row r="837" spans="1:99" s="13" customFormat="1" ht="12" customHeight="1" x14ac:dyDescent="0.2">
      <c r="A837" s="65">
        <v>43509</v>
      </c>
      <c r="B837" s="1" t="s">
        <v>246</v>
      </c>
      <c r="C837" s="1" t="s">
        <v>45</v>
      </c>
      <c r="D837" s="60">
        <v>1997</v>
      </c>
      <c r="E837" s="76">
        <v>1</v>
      </c>
      <c r="F837" s="60">
        <v>12</v>
      </c>
      <c r="G837" s="60">
        <v>12</v>
      </c>
      <c r="H837" s="60" t="s">
        <v>32</v>
      </c>
      <c r="I837" s="60" t="s">
        <v>734</v>
      </c>
      <c r="J837" s="60" t="s">
        <v>16</v>
      </c>
      <c r="K837" s="60">
        <f>IF(J837="syllables",1,IF(J837="trigrams",2,IF(J837="strings",3,IF(J837="visual array",4,IF(J837="characters",5,IF(J837="letters",6,IF(J837="free forms",7,IF(J837="odors",8,IF(J837="words",9,IF(J837="pictures",10,IF(J837="object pictures",11,IF(J837="faces",12,IF(J837="names",13,IF(J837="idioms",14,IF(J837="grades",15,IF(J837="syllable-digit pairs",16,IF(J837="trigram-word pairs",17,IF(J837="word-digit pairs",18,IF(J837="English-Swahili pairs",19,IF(J837="spatial position",20,IF(J837="word pairs",21,IF(J837="word triads",22,IF(J837="generated words",23,IF(J837="word definition pairs",24,IF(J837="math problems",25,IF(J837="famous faces",26,IF(J837="famous names",27,IF(J837="famous voices",28,IF(J837="television programs",29,IF(J837="race horses",30,IF(J837="new vocabulary",31,IF(J837="sentences",32,IF(J837="concepts",33,IF(J837="ad slides",34,IF(J837="scenes",35,IF(J837="famous scenes",36,IF(J837="poems",37,IF(J837="walk",38,IF(J837="faces and events",39,IF(J837="events and names",40,IF(J837="flashbulb",41,IF(J837="stories",42,IF(J837="course material",43,IF(J837="autobiographical",44,IF(J837="novels",45,IF(J837="public events",46,"99"))))))))))))))))))))))))))))))))))))))))))))))</f>
        <v>9</v>
      </c>
      <c r="L837" s="60">
        <f>IF(J837="syllables",1,IF(J837="trigrams",1,IF(J837="strings",1,IF(J837="visual array",1,IF(J837="characters",1,IF(J837="letters",1,IF(J837="free forms",1,IF(J837="odors",2,IF(J837="words",2,IF(J837="pictures",2,IF(J837="object pictures",2,IF(J837="faces",2,IF(J837="names",2,IF(J837="idioms","2",IF(J837="grades",2,IF(J837="syllable-digit pairs",3,IF(J837="trigram-word pairs",3,IF(J837="word-digit pairs",3,IF(J837="English-Swahili pairs",3,IF(J837="spatial position",3,IF(J837="word pairs",4,IF(J837="word triads",4,IF(J837="generated words",4,IF(J837="word definition pairs",4,IF(J837="math problems",4,IF(J837="famous faces",4,IF(J837="famous names",4,IF(J837="famous voices",4,IF(J837="television programs",4,IF(J837="race horses",4,IF(J837="new vocabulary",4,IF(J837="sentences",5,IF(J837="concepts",5,IF(J837="ad slides",5,IF(J837="scenes",5,IF(J837="famous scenes",5,IF(J837="poems",6,IF(J837="walk",6,IF(J837="faces and events",6,IF(J837="events and names",6,IF(J837="flashbulb",7,IF(J837="stories",7,IF(J837="course material",7,IF(J837="autobiographical",7,IF(J837="novels",7,IF(J837="public events",7,"99"))))))))))))))))))))))))))))))))))))))))))))))</f>
        <v>2</v>
      </c>
      <c r="M837" s="60">
        <v>0</v>
      </c>
      <c r="N837" s="60">
        <v>1</v>
      </c>
      <c r="O837" s="60">
        <v>0</v>
      </c>
      <c r="P837" s="60"/>
      <c r="Q837" s="60" t="s">
        <v>65</v>
      </c>
      <c r="R837" s="60">
        <f>IF(Q837="Free Recall",1,IF(Q837="Cued Recall",2,IF(Q837="Recognition",3,IF(Q837="Multiple Choice",4,IF(Q837="Savings",5,IF(Q837="Stem Completion",6,IF(Q837="Fragment Completion",7,IF(Q837="anagram solution",8,IF(Q837="Matching",9,IF(Q837="Problem Solving",10,"99"))))))))))</f>
        <v>2</v>
      </c>
      <c r="S837" s="60" t="s">
        <v>49</v>
      </c>
      <c r="T837" s="59" t="s">
        <v>581</v>
      </c>
      <c r="U837" s="60">
        <f>IF(T837="within",1,0)</f>
        <v>1</v>
      </c>
      <c r="V837" s="59">
        <v>22</v>
      </c>
      <c r="W837" s="60">
        <f>F837*V837</f>
        <v>264</v>
      </c>
      <c r="X837" s="60">
        <v>7</v>
      </c>
      <c r="Y837" s="76">
        <f>AV836</f>
        <v>180</v>
      </c>
      <c r="Z837" s="60" t="s">
        <v>59</v>
      </c>
      <c r="AA837" s="60">
        <v>5400</v>
      </c>
      <c r="AB837" s="60" t="str">
        <f>IF(AA837&lt;60,"1",IF(AA837&lt;=43200,"2",IF(AA837&lt;=777600,"3","4")))</f>
        <v>2</v>
      </c>
      <c r="AC837" s="56">
        <f>AVERAGE(AV836:DA836)</f>
        <v>2031.4285714285713</v>
      </c>
      <c r="AD837" s="60" t="str">
        <f>IF(AC837&lt;60,"1",IF(AC837&lt;=43200,"2",IF(AC837&lt;=777600,"3","4")))</f>
        <v>2</v>
      </c>
      <c r="AE837" s="76">
        <f>AA837-Y837</f>
        <v>5220</v>
      </c>
      <c r="AF837" s="80">
        <f>AV837</f>
        <v>0.49186467008575102</v>
      </c>
      <c r="AG837" s="56">
        <f>((AW837-AV837)+(AX837-AW837)+(AY837-AX837)+(AZ837-AY837)+(BA837-AZ837)+(BB837-BA837))/6</f>
        <v>-5.7929396070281504E-2</v>
      </c>
      <c r="AH837" s="4"/>
      <c r="AI837" s="56">
        <f>RSQ(AV837:BB837,AV836:BB836)</f>
        <v>0.61773969151675057</v>
      </c>
      <c r="AJ837" s="109">
        <f>SLOPE(AV837:BB837,AV836:BB836)</f>
        <v>-4.7433251317521194E-5</v>
      </c>
      <c r="AK837" s="56">
        <f>INTERCEPT(AV837:BB837,AV836:BB836)</f>
        <v>0.35296903171700578</v>
      </c>
      <c r="AL837" s="56">
        <f>INDEX(LINEST(LN(AV837:BB837),LN(AV836:BB836),TRUE,TRUE),3,1)</f>
        <v>0.98219887946656093</v>
      </c>
      <c r="AM837" s="56">
        <f>INDEX(LINEST(LN(AV837:BB837),LN(AV836:BB836)),1)</f>
        <v>-0.35645670893384496</v>
      </c>
      <c r="AN837" s="56">
        <f>EXP(INDEX(LINEST(LN(AV837:BB837),LN(AV836:BB836)),1,2))</f>
        <v>2.9431732047849382</v>
      </c>
      <c r="AO837" s="82">
        <f>INDEX(LINEST((AV837:BB837),LN(AV836:BB836),TRUE,TRUE),3,1)</f>
        <v>0.91331025249150832</v>
      </c>
      <c r="AP837" s="82">
        <f>INDEX(LINEST((AV837:BB837),LN(AV836:BB836)),1)</f>
        <v>-9.5065204837352521E-2</v>
      </c>
      <c r="AQ837" s="83">
        <f>INDEX(LINEST(LN(AV837:BB837),SQRT(AV836:BB836),TRUE,TRUE),3,1)</f>
        <v>0.89738254600462308</v>
      </c>
      <c r="AR837" s="116">
        <f>INDEX(LINEST(LN(AV837:BB837),SQRT((AV836:BB836))),1)</f>
        <v>-1.8435568937114493E-2</v>
      </c>
      <c r="AS837" s="84">
        <f>INDEX(LINEST(1/(AV837:BB837),1/(SQRT(AV836:BB836)),TRUE,TRUE),3,1)</f>
        <v>0.85494397785868448</v>
      </c>
      <c r="AT837" s="84">
        <f>INDEX(LINEST(1/(AV837:BB837),1/SQRT(AV836:BB836)),1)</f>
        <v>-80.322203293405252</v>
      </c>
      <c r="AU837" s="3"/>
      <c r="AV837" s="53">
        <v>0.49186467008575102</v>
      </c>
      <c r="AW837" s="53">
        <v>0.30868471545635501</v>
      </c>
      <c r="AX837" s="53">
        <v>0.26989336364899003</v>
      </c>
      <c r="AY837" s="53">
        <v>0.24221318010895099</v>
      </c>
      <c r="AZ837" s="53">
        <v>0.192943379338371</v>
      </c>
      <c r="BA837" s="53">
        <v>0.14639478598140901</v>
      </c>
      <c r="BB837" s="53">
        <v>0.14428829366406201</v>
      </c>
      <c r="BC837" s="53"/>
      <c r="BD837" s="53"/>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1"/>
      <c r="CS837" s="1"/>
      <c r="CT837" s="1"/>
      <c r="CU837" s="1"/>
    </row>
    <row r="838" spans="1:99" s="13" customFormat="1" ht="12" customHeight="1" x14ac:dyDescent="0.2">
      <c r="A838" s="65">
        <v>43509</v>
      </c>
      <c r="B838" s="1"/>
      <c r="C838" s="1"/>
      <c r="D838" s="60"/>
      <c r="E838" s="76"/>
      <c r="F838" s="60"/>
      <c r="G838" s="60"/>
      <c r="H838" s="60"/>
      <c r="J838" s="60"/>
      <c r="K838" s="64"/>
      <c r="L838" s="64"/>
      <c r="M838" s="60"/>
      <c r="N838" s="60"/>
      <c r="O838" s="60"/>
      <c r="P838" s="60"/>
      <c r="Q838" s="60"/>
      <c r="R838" s="60"/>
      <c r="S838" s="60"/>
      <c r="T838" s="60"/>
      <c r="U838" s="60"/>
      <c r="V838" s="60"/>
      <c r="W838" s="60"/>
      <c r="X838" s="60"/>
      <c r="Y838" s="76"/>
      <c r="Z838" s="60"/>
      <c r="AA838" s="60"/>
      <c r="AB838" s="60"/>
      <c r="AC838" s="60"/>
      <c r="AD838" s="60"/>
      <c r="AE838" s="60"/>
      <c r="AF838" s="80"/>
      <c r="AG838" s="56"/>
      <c r="AH838" s="4"/>
      <c r="AI838" s="56"/>
      <c r="AJ838" s="109"/>
      <c r="AK838" s="56"/>
      <c r="AL838" s="56"/>
      <c r="AM838" s="56"/>
      <c r="AN838" s="56"/>
      <c r="AO838" s="56"/>
      <c r="AP838" s="56"/>
      <c r="AQ838" s="56"/>
      <c r="AR838" s="109"/>
      <c r="AS838" s="56"/>
      <c r="AT838" s="56"/>
      <c r="AU838" s="6"/>
      <c r="AV838" s="25">
        <f>60*1.5</f>
        <v>90</v>
      </c>
      <c r="AW838" s="25">
        <f>60*4.5</f>
        <v>270</v>
      </c>
      <c r="AX838" s="25">
        <f>60*9.54858818246651</f>
        <v>572.91529094799057</v>
      </c>
      <c r="AY838" s="25">
        <f>60*15</f>
        <v>900</v>
      </c>
      <c r="AZ838" s="25">
        <f>60*22</f>
        <v>1320</v>
      </c>
      <c r="BA838" s="25">
        <f>60*28</f>
        <v>1680</v>
      </c>
      <c r="BB838" s="25">
        <f>60*35</f>
        <v>2100</v>
      </c>
      <c r="BC838" s="25">
        <f>60*46</f>
        <v>2760</v>
      </c>
      <c r="BD838" s="25">
        <f>60*62.8</f>
        <v>3768</v>
      </c>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1"/>
      <c r="CS838" s="1"/>
      <c r="CT838" s="1"/>
      <c r="CU838" s="1"/>
    </row>
    <row r="839" spans="1:99" s="13" customFormat="1" ht="12" customHeight="1" x14ac:dyDescent="0.2">
      <c r="A839" s="65">
        <v>43509</v>
      </c>
      <c r="B839" s="1" t="s">
        <v>246</v>
      </c>
      <c r="C839" s="1" t="s">
        <v>45</v>
      </c>
      <c r="D839" s="60">
        <v>1997</v>
      </c>
      <c r="E839" s="76">
        <v>3</v>
      </c>
      <c r="F839" s="60">
        <v>12</v>
      </c>
      <c r="G839" s="60">
        <v>12</v>
      </c>
      <c r="H839" s="60" t="s">
        <v>43</v>
      </c>
      <c r="I839" s="60" t="s">
        <v>733</v>
      </c>
      <c r="J839" s="60" t="s">
        <v>16</v>
      </c>
      <c r="K839" s="60">
        <f>IF(J839="syllables",1,IF(J839="trigrams",2,IF(J839="strings",3,IF(J839="visual array",4,IF(J839="characters",5,IF(J839="letters",6,IF(J839="free forms",7,IF(J839="odors",8,IF(J839="words",9,IF(J839="pictures",10,IF(J839="object pictures",11,IF(J839="faces",12,IF(J839="names",13,IF(J839="idioms",14,IF(J839="grades",15,IF(J839="syllable-digit pairs",16,IF(J839="trigram-word pairs",17,IF(J839="word-digit pairs",18,IF(J839="English-Swahili pairs",19,IF(J839="spatial position",20,IF(J839="word pairs",21,IF(J839="word triads",22,IF(J839="generated words",23,IF(J839="word definition pairs",24,IF(J839="math problems",25,IF(J839="famous faces",26,IF(J839="famous names",27,IF(J839="famous voices",28,IF(J839="television programs",29,IF(J839="race horses",30,IF(J839="new vocabulary",31,IF(J839="sentences",32,IF(J839="concepts",33,IF(J839="ad slides",34,IF(J839="scenes",35,IF(J839="famous scenes",36,IF(J839="poems",37,IF(J839="walk",38,IF(J839="faces and events",39,IF(J839="events and names",40,IF(J839="flashbulb",41,IF(J839="stories",42,IF(J839="course material",43,IF(J839="autobiographical",44,IF(J839="novels",45,IF(J839="public events",46,"99"))))))))))))))))))))))))))))))))))))))))))))))</f>
        <v>9</v>
      </c>
      <c r="L839" s="60">
        <f>IF(J839="syllables",1,IF(J839="trigrams",1,IF(J839="strings",1,IF(J839="visual array",1,IF(J839="characters",1,IF(J839="letters",1,IF(J839="free forms",1,IF(J839="odors",2,IF(J839="words",2,IF(J839="pictures",2,IF(J839="object pictures",2,IF(J839="faces",2,IF(J839="names",2,IF(J839="idioms","2",IF(J839="grades",2,IF(J839="syllable-digit pairs",3,IF(J839="trigram-word pairs",3,IF(J839="word-digit pairs",3,IF(J839="English-Swahili pairs",3,IF(J839="spatial position",3,IF(J839="word pairs",4,IF(J839="word triads",4,IF(J839="generated words",4,IF(J839="word definition pairs",4,IF(J839="math problems",4,IF(J839="famous faces",4,IF(J839="famous names",4,IF(J839="famous voices",4,IF(J839="television programs",4,IF(J839="race horses",4,IF(J839="new vocabulary",4,IF(J839="sentences",5,IF(J839="concepts",5,IF(J839="ad slides",5,IF(J839="scenes",5,IF(J839="famous scenes",5,IF(J839="poems",6,IF(J839="walk",6,IF(J839="faces and events",6,IF(J839="events and names",6,IF(J839="flashbulb",7,IF(J839="stories",7,IF(J839="course material",7,IF(J839="autobiographical",7,IF(J839="novels",7,IF(J839="public events",7,"99"))))))))))))))))))))))))))))))))))))))))))))))</f>
        <v>2</v>
      </c>
      <c r="M839" s="60">
        <v>0</v>
      </c>
      <c r="N839" s="60">
        <v>1</v>
      </c>
      <c r="O839" s="60">
        <v>0</v>
      </c>
      <c r="P839" s="60"/>
      <c r="Q839" s="60" t="s">
        <v>64</v>
      </c>
      <c r="R839" s="60">
        <f>IF(Q839="Free Recall",1,IF(Q839="Cued Recall",2,IF(Q839="Recognition",3,IF(Q839="Multiple Choice",4,IF(Q839="Savings",5,IF(Q839="Stem Completion",6,IF(Q839="Fragment Completion",7,IF(Q839="anagram solution",8,IF(Q839="Matching",9,IF(Q839="Problem Solving",10,"99"))))))))))</f>
        <v>6</v>
      </c>
      <c r="S839" s="60" t="s">
        <v>15</v>
      </c>
      <c r="T839" s="59" t="s">
        <v>581</v>
      </c>
      <c r="U839" s="60">
        <f>IF(T839="within",1,0)</f>
        <v>1</v>
      </c>
      <c r="V839" s="59">
        <v>22</v>
      </c>
      <c r="W839" s="60">
        <f>F839*V839</f>
        <v>264</v>
      </c>
      <c r="X839" s="60">
        <v>9</v>
      </c>
      <c r="Y839" s="76">
        <f>AV838</f>
        <v>90</v>
      </c>
      <c r="Z839" s="60" t="s">
        <v>66</v>
      </c>
      <c r="AA839" s="60">
        <v>3768</v>
      </c>
      <c r="AB839" s="60" t="str">
        <f>IF(AA839&lt;60,"1",IF(AA839&lt;=43200,"2",IF(AA839&lt;=777600,"3","4")))</f>
        <v>2</v>
      </c>
      <c r="AC839" s="56">
        <f>AVERAGE(AV838:DA838)</f>
        <v>1495.6572545497768</v>
      </c>
      <c r="AD839" s="60" t="str">
        <f>IF(AC839&lt;60,"1",IF(AC839&lt;=43200,"2",IF(AC839&lt;=777600,"3","4")))</f>
        <v>2</v>
      </c>
      <c r="AE839" s="76">
        <f>AA839-Y839</f>
        <v>3678</v>
      </c>
      <c r="AF839" s="80">
        <f>AV839</f>
        <v>0.54761615467920399</v>
      </c>
      <c r="AG839" s="56">
        <f>((AW839-AV839)+(AX839-AW839)+(AY839-AX839)+(AZ839-AY839)+(BA839-AZ839)+(BB839-BA839)+(BC839-BB839)+(BD839-BC839))/8</f>
        <v>-2.9126165508861872E-2</v>
      </c>
      <c r="AH839" s="4"/>
      <c r="AI839" s="56">
        <f>RSQ(AV839:BD839,AV838:BD838)</f>
        <v>0.17729310649075267</v>
      </c>
      <c r="AJ839" s="109">
        <f>SLOPE(AV839:BD839,AV838:BD838)</f>
        <v>-3.135241228324958E-5</v>
      </c>
      <c r="AK839" s="56">
        <f>INTERCEPT(AV839:BD839,AV838:BD838)</f>
        <v>0.37350113658355388</v>
      </c>
      <c r="AL839" s="56">
        <f>INDEX(LINEST(LN(AV839:BD839),LN(AV838:BD838),TRUE,TRUE),3,1)</f>
        <v>0.55129204890876904</v>
      </c>
      <c r="AM839" s="56">
        <f>INDEX(LINEST(LN(AV839:BD839),LN(AV838:BD838)),1)</f>
        <v>-0.14575647814423051</v>
      </c>
      <c r="AN839" s="56">
        <f>EXP(INDEX(LINEST(LN(AV839:BD839),LN(AV838:BD838)),1,2))</f>
        <v>0.86271630070125283</v>
      </c>
      <c r="AO839" s="82">
        <f>INDEX(LINEST((AV839:BD839),LN(AV838:BD838),TRUE,TRUE),3,1)</f>
        <v>0.59570726015847508</v>
      </c>
      <c r="AP839" s="82">
        <f>INDEX(LINEST((AV839:BD839),LN(AV838:BD838)),1)</f>
        <v>-5.8420311887098231E-2</v>
      </c>
      <c r="AQ839" s="83">
        <f>INDEX(LINEST(LN(AV839:BD839),SQRT(AV838:BD838),TRUE,TRUE),3,1)</f>
        <v>0.30661307511792724</v>
      </c>
      <c r="AR839" s="116">
        <f>INDEX(LINEST(LN(AV839:BD839),SQRT((AV838:BD838))),1)</f>
        <v>-7.6821314736269554E-3</v>
      </c>
      <c r="AS839" s="84">
        <f>INDEX(LINEST(1/(AV839:BD839),1/(SQRT(AV838:BD838)),TRUE,TRUE),3,1)</f>
        <v>0.68607117429832454</v>
      </c>
      <c r="AT839" s="84">
        <f>INDEX(LINEST(1/(AV839:BD839),1/SQRT(AV838:BD838)),1)</f>
        <v>-18.740928443447309</v>
      </c>
      <c r="AU839" s="3"/>
      <c r="AV839" s="53">
        <v>0.54761615467920399</v>
      </c>
      <c r="AW839" s="53">
        <v>0.38245067223117302</v>
      </c>
      <c r="AX839" s="53">
        <v>0.27967986476135098</v>
      </c>
      <c r="AY839" s="53">
        <v>0.25553765286985902</v>
      </c>
      <c r="AZ839" s="53">
        <v>0.26398478565202399</v>
      </c>
      <c r="BA839" s="53">
        <v>0.30898333289310298</v>
      </c>
      <c r="BB839" s="53">
        <v>0.28898280461713199</v>
      </c>
      <c r="BC839" s="53">
        <v>0.29763596502813</v>
      </c>
      <c r="BD839" s="53">
        <v>0.31460683060830902</v>
      </c>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1"/>
      <c r="CS839" s="1"/>
      <c r="CT839" s="1"/>
      <c r="CU839" s="1"/>
    </row>
    <row r="840" spans="1:99" s="13" customFormat="1" ht="12" customHeight="1" x14ac:dyDescent="0.2">
      <c r="A840" s="65">
        <v>43509</v>
      </c>
      <c r="B840" s="1"/>
      <c r="C840" s="1"/>
      <c r="D840" s="60"/>
      <c r="E840" s="76"/>
      <c r="F840" s="60"/>
      <c r="G840" s="60"/>
      <c r="H840" s="60"/>
      <c r="I840" s="60"/>
      <c r="J840" s="60"/>
      <c r="K840" s="64"/>
      <c r="L840" s="64"/>
      <c r="M840" s="60"/>
      <c r="N840" s="60"/>
      <c r="O840" s="60"/>
      <c r="P840" s="60"/>
      <c r="Q840" s="60"/>
      <c r="R840" s="60"/>
      <c r="S840" s="60"/>
      <c r="T840" s="59"/>
      <c r="U840" s="60"/>
      <c r="V840" s="59"/>
      <c r="W840" s="60"/>
      <c r="X840" s="60"/>
      <c r="Y840" s="76"/>
      <c r="Z840" s="60"/>
      <c r="AA840" s="60"/>
      <c r="AB840" s="60"/>
      <c r="AC840" s="60"/>
      <c r="AD840" s="60"/>
      <c r="AE840" s="60"/>
      <c r="AF840" s="80"/>
      <c r="AG840" s="56"/>
      <c r="AH840" s="4"/>
      <c r="AI840" s="56"/>
      <c r="AJ840" s="109"/>
      <c r="AK840" s="56"/>
      <c r="AL840" s="56"/>
      <c r="AM840" s="56"/>
      <c r="AN840" s="56"/>
      <c r="AO840" s="56"/>
      <c r="AP840" s="56"/>
      <c r="AQ840" s="82"/>
      <c r="AR840" s="115"/>
      <c r="AS840" s="82"/>
      <c r="AT840" s="82"/>
      <c r="AU840" s="5"/>
      <c r="AV840" s="25">
        <f>60*1.5</f>
        <v>90</v>
      </c>
      <c r="AW840" s="25">
        <f>60*4.5</f>
        <v>270</v>
      </c>
      <c r="AX840" s="25">
        <f>60*9.54858818246651</f>
        <v>572.91529094799057</v>
      </c>
      <c r="AY840" s="25">
        <f>60*15</f>
        <v>900</v>
      </c>
      <c r="AZ840" s="25">
        <f>60*22</f>
        <v>1320</v>
      </c>
      <c r="BA840" s="25">
        <f>60*28</f>
        <v>1680</v>
      </c>
      <c r="BB840" s="25">
        <f>60*35</f>
        <v>2100</v>
      </c>
      <c r="BC840" s="25">
        <f>60*46</f>
        <v>2760</v>
      </c>
      <c r="BD840" s="25">
        <f>60*62.8</f>
        <v>3768</v>
      </c>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1"/>
      <c r="CS840" s="1"/>
      <c r="CT840" s="1"/>
      <c r="CU840" s="1"/>
    </row>
    <row r="841" spans="1:99" s="13" customFormat="1" ht="12" customHeight="1" x14ac:dyDescent="0.2">
      <c r="A841" s="65">
        <v>43509</v>
      </c>
      <c r="B841" s="1" t="s">
        <v>246</v>
      </c>
      <c r="C841" s="1" t="s">
        <v>45</v>
      </c>
      <c r="D841" s="60">
        <v>1997</v>
      </c>
      <c r="E841" s="76">
        <v>3</v>
      </c>
      <c r="F841" s="60">
        <v>12</v>
      </c>
      <c r="G841" s="60">
        <v>12</v>
      </c>
      <c r="H841" s="60" t="s">
        <v>43</v>
      </c>
      <c r="I841" s="60" t="s">
        <v>734</v>
      </c>
      <c r="J841" s="60" t="s">
        <v>16</v>
      </c>
      <c r="K841" s="60">
        <f>IF(J841="syllables",1,IF(J841="trigrams",2,IF(J841="strings",3,IF(J841="visual array",4,IF(J841="characters",5,IF(J841="letters",6,IF(J841="free forms",7,IF(J841="odors",8,IF(J841="words",9,IF(J841="pictures",10,IF(J841="object pictures",11,IF(J841="faces",12,IF(J841="names",13,IF(J841="idioms",14,IF(J841="grades",15,IF(J841="syllable-digit pairs",16,IF(J841="trigram-word pairs",17,IF(J841="word-digit pairs",18,IF(J841="English-Swahili pairs",19,IF(J841="spatial position",20,IF(J841="word pairs",21,IF(J841="word triads",22,IF(J841="generated words",23,IF(J841="word definition pairs",24,IF(J841="math problems",25,IF(J841="famous faces",26,IF(J841="famous names",27,IF(J841="famous voices",28,IF(J841="television programs",29,IF(J841="race horses",30,IF(J841="new vocabulary",31,IF(J841="sentences",32,IF(J841="concepts",33,IF(J841="ad slides",34,IF(J841="scenes",35,IF(J841="famous scenes",36,IF(J841="poems",37,IF(J841="walk",38,IF(J841="faces and events",39,IF(J841="events and names",40,IF(J841="flashbulb",41,IF(J841="stories",42,IF(J841="course material",43,IF(J841="autobiographical",44,IF(J841="novels",45,IF(J841="public events",46,"99"))))))))))))))))))))))))))))))))))))))))))))))</f>
        <v>9</v>
      </c>
      <c r="L841" s="60">
        <f>IF(J841="syllables",1,IF(J841="trigrams",1,IF(J841="strings",1,IF(J841="visual array",1,IF(J841="characters",1,IF(J841="letters",1,IF(J841="free forms",1,IF(J841="odors",2,IF(J841="words",2,IF(J841="pictures",2,IF(J841="object pictures",2,IF(J841="faces",2,IF(J841="names",2,IF(J841="idioms","2",IF(J841="grades",2,IF(J841="syllable-digit pairs",3,IF(J841="trigram-word pairs",3,IF(J841="word-digit pairs",3,IF(J841="English-Swahili pairs",3,IF(J841="spatial position",3,IF(J841="word pairs",4,IF(J841="word triads",4,IF(J841="generated words",4,IF(J841="word definition pairs",4,IF(J841="math problems",4,IF(J841="famous faces",4,IF(J841="famous names",4,IF(J841="famous voices",4,IF(J841="television programs",4,IF(J841="race horses",4,IF(J841="new vocabulary",4,IF(J841="sentences",5,IF(J841="concepts",5,IF(J841="ad slides",5,IF(J841="scenes",5,IF(J841="famous scenes",5,IF(J841="poems",6,IF(J841="walk",6,IF(J841="faces and events",6,IF(J841="events and names",6,IF(J841="flashbulb",7,IF(J841="stories",7,IF(J841="course material",7,IF(J841="autobiographical",7,IF(J841="novels",7,IF(J841="public events",7,"99"))))))))))))))))))))))))))))))))))))))))))))))</f>
        <v>2</v>
      </c>
      <c r="M841" s="60">
        <v>0</v>
      </c>
      <c r="N841" s="60">
        <v>1</v>
      </c>
      <c r="O841" s="60">
        <v>0</v>
      </c>
      <c r="P841" s="60"/>
      <c r="Q841" s="60" t="s">
        <v>64</v>
      </c>
      <c r="R841" s="60">
        <f>IF(Q841="Free Recall",1,IF(Q841="Cued Recall",2,IF(Q841="Recognition",3,IF(Q841="Multiple Choice",4,IF(Q841="Savings",5,IF(Q841="Stem Completion",6,IF(Q841="Fragment Completion",7,IF(Q841="anagram solution",8,IF(Q841="Matching",9,IF(Q841="Problem Solving",10,"99"))))))))))</f>
        <v>6</v>
      </c>
      <c r="S841" s="60" t="s">
        <v>15</v>
      </c>
      <c r="T841" s="59" t="s">
        <v>581</v>
      </c>
      <c r="U841" s="60">
        <f>IF(T841="within",1,0)</f>
        <v>1</v>
      </c>
      <c r="V841" s="59">
        <v>22</v>
      </c>
      <c r="W841" s="60">
        <f>F841*V841</f>
        <v>264</v>
      </c>
      <c r="X841" s="60">
        <v>9</v>
      </c>
      <c r="Y841" s="76">
        <f>AV840</f>
        <v>90</v>
      </c>
      <c r="Z841" s="60" t="s">
        <v>66</v>
      </c>
      <c r="AA841" s="60">
        <v>3768</v>
      </c>
      <c r="AB841" s="60" t="str">
        <f>IF(AA841&lt;60,"1",IF(AA841&lt;=43200,"2",IF(AA841&lt;=777600,"3","4")))</f>
        <v>2</v>
      </c>
      <c r="AC841" s="56">
        <f>AVERAGE(AV840:DA840)</f>
        <v>1495.6572545497768</v>
      </c>
      <c r="AD841" s="60" t="str">
        <f>IF(AC841&lt;60,"1",IF(AC841&lt;=43200,"2",IF(AC841&lt;=777600,"3","4")))</f>
        <v>2</v>
      </c>
      <c r="AE841" s="76">
        <f>AA841-Y841</f>
        <v>3678</v>
      </c>
      <c r="AF841" s="80">
        <f>AV841</f>
        <v>0.479870044111043</v>
      </c>
      <c r="AG841" s="56">
        <f>((AW841-AV841)+(AX841-AW841)+(AY841-AX841)+(AZ841-AY841)+(BA841-AZ841)+(BB841-BA841)+(BC841-BB841)+(BD841-BC841))/8</f>
        <v>-2.7433041020629122E-2</v>
      </c>
      <c r="AH841" s="4"/>
      <c r="AI841" s="56">
        <f>RSQ(AV841:BD841,AV840:BD840)</f>
        <v>0.14176199335336603</v>
      </c>
      <c r="AJ841" s="109">
        <f>SLOPE(AV841:BD841,AV840:BD840)</f>
        <v>-2.6654573117146435E-5</v>
      </c>
      <c r="AK841" s="56">
        <f>INTERCEPT(AV841:BD841,AV840:BD840)</f>
        <v>0.30519770154194797</v>
      </c>
      <c r="AL841" s="56">
        <f>INDEX(LINEST(LN(AV841:BD841),LN(AV840:BD840),TRUE,TRUE),3,1)</f>
        <v>0.4429026527062187</v>
      </c>
      <c r="AM841" s="56">
        <f>INDEX(LINEST(LN(AV841:BD841),LN(AV840:BD840)),1)</f>
        <v>-0.14951745200006822</v>
      </c>
      <c r="AN841" s="56">
        <f>EXP(INDEX(LINEST(LN(AV841:BD841),LN(AV840:BD840)),1,2))</f>
        <v>0.7127441409056231</v>
      </c>
      <c r="AO841" s="82">
        <f>INDEX(LINEST((AV841:BD841),LN(AV840:BD840),TRUE,TRUE),3,1)</f>
        <v>0.51447441653504222</v>
      </c>
      <c r="AP841" s="82">
        <f>INDEX(LINEST((AV841:BD841),LN(AV840:BD840)),1)</f>
        <v>-5.1617397680963933E-2</v>
      </c>
      <c r="AQ841" s="83">
        <f>INDEX(LINEST(LN(AV841:BD841),SQRT(AV840:BD840),TRUE,TRUE),3,1)</f>
        <v>0.22784457785476189</v>
      </c>
      <c r="AR841" s="116">
        <f>INDEX(LINEST(LN(AV841:BD841),SQRT((AV840:BD840))),1)</f>
        <v>-7.5789055367910746E-3</v>
      </c>
      <c r="AS841" s="84">
        <f>INDEX(LINEST(1/(AV841:BD841),1/(SQRT(AV840:BD840)),TRUE,TRUE),3,1)</f>
        <v>0.54320441589976998</v>
      </c>
      <c r="AT841" s="84">
        <f>INDEX(LINEST(1/(AV841:BD841),1/SQRT(AV840:BD840)),1)</f>
        <v>-23.641878822542076</v>
      </c>
      <c r="AU841" s="3"/>
      <c r="AV841" s="53">
        <v>0.479870044111043</v>
      </c>
      <c r="AW841" s="53">
        <v>0.295728888771494</v>
      </c>
      <c r="AX841" s="53">
        <v>0.19024538418869999</v>
      </c>
      <c r="AY841" s="53">
        <v>0.20946670540690401</v>
      </c>
      <c r="AZ841" s="53">
        <v>0.236884228320874</v>
      </c>
      <c r="BA841" s="53">
        <v>0.261559998943448</v>
      </c>
      <c r="BB841" s="53">
        <v>0.229358937108745</v>
      </c>
      <c r="BC841" s="53">
        <v>0.224464460234026</v>
      </c>
      <c r="BD841" s="53">
        <v>0.26040571594600997</v>
      </c>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1"/>
      <c r="CS841" s="1"/>
      <c r="CT841" s="1"/>
      <c r="CU841" s="1"/>
    </row>
    <row r="842" spans="1:99" s="13" customFormat="1" ht="12" customHeight="1" x14ac:dyDescent="0.2">
      <c r="A842" s="65">
        <v>43509</v>
      </c>
      <c r="B842" s="1"/>
      <c r="C842" s="1"/>
      <c r="D842" s="60"/>
      <c r="E842" s="76"/>
      <c r="F842" s="60"/>
      <c r="G842" s="60"/>
      <c r="H842" s="60"/>
      <c r="I842" s="60"/>
      <c r="J842" s="60"/>
      <c r="K842" s="64"/>
      <c r="L842" s="64"/>
      <c r="M842" s="60"/>
      <c r="N842" s="60"/>
      <c r="O842" s="60"/>
      <c r="P842" s="60"/>
      <c r="Q842" s="60"/>
      <c r="R842" s="60"/>
      <c r="S842" s="60"/>
      <c r="T842" s="60"/>
      <c r="U842" s="60"/>
      <c r="V842" s="60"/>
      <c r="W842" s="60"/>
      <c r="X842" s="60"/>
      <c r="Y842" s="76"/>
      <c r="Z842" s="60"/>
      <c r="AA842" s="60"/>
      <c r="AB842" s="60"/>
      <c r="AC842" s="60"/>
      <c r="AD842" s="60"/>
      <c r="AE842" s="60"/>
      <c r="AF842" s="80"/>
      <c r="AG842" s="56"/>
      <c r="AH842" s="4"/>
      <c r="AI842" s="56"/>
      <c r="AJ842" s="109"/>
      <c r="AK842" s="56"/>
      <c r="AL842" s="56"/>
      <c r="AM842" s="56"/>
      <c r="AN842" s="56"/>
      <c r="AO842" s="56"/>
      <c r="AP842" s="56"/>
      <c r="AQ842" s="82"/>
      <c r="AR842" s="115"/>
      <c r="AS842" s="82"/>
      <c r="AT842" s="82"/>
      <c r="AU842" s="5"/>
      <c r="AV842" s="25">
        <f>60*1.5</f>
        <v>90</v>
      </c>
      <c r="AW842" s="25">
        <f>60*4.5</f>
        <v>270</v>
      </c>
      <c r="AX842" s="25">
        <f>60*9.54858818246651</f>
        <v>572.91529094799057</v>
      </c>
      <c r="AY842" s="25">
        <f>60*15</f>
        <v>900</v>
      </c>
      <c r="AZ842" s="25">
        <f>60*22</f>
        <v>1320</v>
      </c>
      <c r="BA842" s="25">
        <f>60*28</f>
        <v>1680</v>
      </c>
      <c r="BB842" s="25">
        <f>60*35</f>
        <v>2100</v>
      </c>
      <c r="BC842" s="25">
        <f>60*46</f>
        <v>2760</v>
      </c>
      <c r="BD842" s="25">
        <f>60*62.8</f>
        <v>3768</v>
      </c>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1"/>
      <c r="CS842" s="1"/>
      <c r="CT842" s="1"/>
      <c r="CU842" s="1"/>
    </row>
    <row r="843" spans="1:99" s="13" customFormat="1" ht="12" customHeight="1" x14ac:dyDescent="0.2">
      <c r="A843" s="65">
        <v>43509</v>
      </c>
      <c r="B843" s="1" t="s">
        <v>246</v>
      </c>
      <c r="C843" s="1" t="s">
        <v>45</v>
      </c>
      <c r="D843" s="60">
        <v>1997</v>
      </c>
      <c r="E843" s="76">
        <v>3</v>
      </c>
      <c r="F843" s="60">
        <v>18</v>
      </c>
      <c r="G843" s="60">
        <v>18</v>
      </c>
      <c r="H843" s="60" t="s">
        <v>43</v>
      </c>
      <c r="I843" s="60" t="s">
        <v>733</v>
      </c>
      <c r="J843" s="60" t="s">
        <v>16</v>
      </c>
      <c r="K843" s="60">
        <f>IF(J843="syllables",1,IF(J843="trigrams",2,IF(J843="strings",3,IF(J843="visual array",4,IF(J843="characters",5,IF(J843="letters",6,IF(J843="free forms",7,IF(J843="odors",8,IF(J843="words",9,IF(J843="pictures",10,IF(J843="object pictures",11,IF(J843="faces",12,IF(J843="names",13,IF(J843="idioms",14,IF(J843="grades",15,IF(J843="syllable-digit pairs",16,IF(J843="trigram-word pairs",17,IF(J843="word-digit pairs",18,IF(J843="English-Swahili pairs",19,IF(J843="spatial position",20,IF(J843="word pairs",21,IF(J843="word triads",22,IF(J843="generated words",23,IF(J843="word definition pairs",24,IF(J843="math problems",25,IF(J843="famous faces",26,IF(J843="famous names",27,IF(J843="famous voices",28,IF(J843="television programs",29,IF(J843="race horses",30,IF(J843="new vocabulary",31,IF(J843="sentences",32,IF(J843="concepts",33,IF(J843="ad slides",34,IF(J843="scenes",35,IF(J843="famous scenes",36,IF(J843="poems",37,IF(J843="walk",38,IF(J843="faces and events",39,IF(J843="events and names",40,IF(J843="flashbulb",41,IF(J843="stories",42,IF(J843="course material",43,IF(J843="autobiographical",44,IF(J843="novels",45,IF(J843="public events",46,"99"))))))))))))))))))))))))))))))))))))))))))))))</f>
        <v>9</v>
      </c>
      <c r="L843" s="60">
        <f>IF(J843="syllables",1,IF(J843="trigrams",1,IF(J843="strings",1,IF(J843="visual array",1,IF(J843="characters",1,IF(J843="letters",1,IF(J843="free forms",1,IF(J843="odors",2,IF(J843="words",2,IF(J843="pictures",2,IF(J843="object pictures",2,IF(J843="faces",2,IF(J843="names",2,IF(J843="idioms","2",IF(J843="grades",2,IF(J843="syllable-digit pairs",3,IF(J843="trigram-word pairs",3,IF(J843="word-digit pairs",3,IF(J843="English-Swahili pairs",3,IF(J843="spatial position",3,IF(J843="word pairs",4,IF(J843="word triads",4,IF(J843="generated words",4,IF(J843="word definition pairs",4,IF(J843="math problems",4,IF(J843="famous faces",4,IF(J843="famous names",4,IF(J843="famous voices",4,IF(J843="television programs",4,IF(J843="race horses",4,IF(J843="new vocabulary",4,IF(J843="sentences",5,IF(J843="concepts",5,IF(J843="ad slides",5,IF(J843="scenes",5,IF(J843="famous scenes",5,IF(J843="poems",6,IF(J843="walk",6,IF(J843="faces and events",6,IF(J843="events and names",6,IF(J843="flashbulb",7,IF(J843="stories",7,IF(J843="course material",7,IF(J843="autobiographical",7,IF(J843="novels",7,IF(J843="public events",7,"99"))))))))))))))))))))))))))))))))))))))))))))))</f>
        <v>2</v>
      </c>
      <c r="M843" s="60">
        <v>0</v>
      </c>
      <c r="N843" s="60">
        <v>1</v>
      </c>
      <c r="O843" s="60">
        <v>0</v>
      </c>
      <c r="P843" s="60"/>
      <c r="Q843" s="60" t="s">
        <v>65</v>
      </c>
      <c r="R843" s="60">
        <f>IF(Q843="Free Recall",1,IF(Q843="Cued Recall",2,IF(Q843="Recognition",3,IF(Q843="Multiple Choice",4,IF(Q843="Savings",5,IF(Q843="Stem Completion",6,IF(Q843="Fragment Completion",7,IF(Q843="anagram solution",8,IF(Q843="Matching",9,IF(Q843="Problem Solving",10,"99"))))))))))</f>
        <v>2</v>
      </c>
      <c r="S843" s="60" t="s">
        <v>49</v>
      </c>
      <c r="T843" s="59" t="s">
        <v>581</v>
      </c>
      <c r="U843" s="60">
        <f>IF(T843="within",1,0)</f>
        <v>1</v>
      </c>
      <c r="V843" s="59">
        <v>22</v>
      </c>
      <c r="W843" s="60">
        <f>F843*V843</f>
        <v>396</v>
      </c>
      <c r="X843" s="60">
        <v>9</v>
      </c>
      <c r="Y843" s="76">
        <f>AV842</f>
        <v>90</v>
      </c>
      <c r="Z843" s="60" t="s">
        <v>66</v>
      </c>
      <c r="AA843" s="60">
        <v>3768</v>
      </c>
      <c r="AB843" s="60" t="str">
        <f>IF(AA843&lt;60,"1",IF(AA843&lt;=43200,"2",IF(AA843&lt;=777600,"3","4")))</f>
        <v>2</v>
      </c>
      <c r="AC843" s="56">
        <f>AVERAGE(AV842:DA842)</f>
        <v>1495.6572545497768</v>
      </c>
      <c r="AD843" s="60" t="str">
        <f>IF(AC843&lt;60,"1",IF(AC843&lt;=43200,"2",IF(AC843&lt;=777600,"3","4")))</f>
        <v>2</v>
      </c>
      <c r="AE843" s="76">
        <f>AA843-Y843</f>
        <v>3678</v>
      </c>
      <c r="AF843" s="80">
        <f>AV843</f>
        <v>0.72106500435827603</v>
      </c>
      <c r="AG843" s="56">
        <f>((AW843-AV843)+(AX843-AW843)+(AY843-AX843)+(AZ843-AY843)+(BA843-AZ843)+(BB843-BA843)+(BC843-BB843)+(BD843-BC843))/8</f>
        <v>-5.0130087957949127E-2</v>
      </c>
      <c r="AH843" s="4"/>
      <c r="AI843" s="56">
        <f>RSQ(AV843:BD843,AV842:BD842)</f>
        <v>0.38500168023610715</v>
      </c>
      <c r="AJ843" s="109">
        <f>SLOPE(AV843:BD843,AV842:BD842)</f>
        <v>-7.1853527648162323E-5</v>
      </c>
      <c r="AK843" s="56">
        <f>INTERCEPT(AV843:BD843,AV842:BD842)</f>
        <v>0.49460062117605874</v>
      </c>
      <c r="AL843" s="56">
        <f>INDEX(LINEST(LN(AV843:BD843),LN(AV842:BD842),TRUE,TRUE),3,1)</f>
        <v>0.82079157586455909</v>
      </c>
      <c r="AM843" s="56">
        <f>INDEX(LINEST(LN(AV843:BD843),LN(AV842:BD842)),1)</f>
        <v>-0.2265743324061473</v>
      </c>
      <c r="AN843" s="56">
        <f>EXP(INDEX(LINEST(LN(AV843:BD843),LN(AV842:BD842)),1,2))</f>
        <v>1.7472635017091722</v>
      </c>
      <c r="AO843" s="82">
        <f>INDEX(LINEST((AV843:BD843),LN(AV842:BD842),TRUE,TRUE),3,1)</f>
        <v>0.80447635469819578</v>
      </c>
      <c r="AP843" s="82">
        <f>INDEX(LINEST((AV843:BD843),LN(AV842:BD842)),1)</f>
        <v>-0.10558344111348335</v>
      </c>
      <c r="AQ843" s="83">
        <f>INDEX(LINEST(LN(AV843:BD843),SQRT(AV842:BD842),TRUE,TRUE),3,1)</f>
        <v>0.6131094578187346</v>
      </c>
      <c r="AR843" s="116">
        <f>INDEX(LINEST(LN(AV843:BD843),SQRT((AV842:BD842))),1)</f>
        <v>-1.383925367439039E-2</v>
      </c>
      <c r="AS843" s="84">
        <f>INDEX(LINEST(1/(AV843:BD843),1/(SQRT(AV842:BD842)),TRUE,TRUE),3,1)</f>
        <v>0.88138748993239879</v>
      </c>
      <c r="AT843" s="84">
        <f>INDEX(LINEST(1/(AV843:BD843),1/SQRT(AV842:BD842)),1)</f>
        <v>-22.496825305217499</v>
      </c>
      <c r="AU843" s="3"/>
      <c r="AV843" s="53">
        <v>0.72106500435827603</v>
      </c>
      <c r="AW843" s="53">
        <v>0.50710795319474899</v>
      </c>
      <c r="AX843" s="53">
        <v>0.34743125808922498</v>
      </c>
      <c r="AY843" s="53">
        <v>0.30431865606592901</v>
      </c>
      <c r="AZ843" s="53">
        <v>0.36696690351039302</v>
      </c>
      <c r="BA843" s="53">
        <v>0.31575847222588999</v>
      </c>
      <c r="BB843" s="53">
        <v>0.29981774478987799</v>
      </c>
      <c r="BC843" s="53">
        <v>0.301701048627803</v>
      </c>
      <c r="BD843" s="53">
        <v>0.32002430069468302</v>
      </c>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1"/>
      <c r="CS843" s="1"/>
      <c r="CT843" s="1"/>
      <c r="CU843" s="1"/>
    </row>
    <row r="844" spans="1:99" s="13" customFormat="1" ht="12" customHeight="1" x14ac:dyDescent="0.2">
      <c r="A844" s="65">
        <v>43509</v>
      </c>
      <c r="B844" s="1"/>
      <c r="C844" s="1"/>
      <c r="D844" s="60"/>
      <c r="E844" s="76"/>
      <c r="F844" s="60"/>
      <c r="G844" s="60"/>
      <c r="H844" s="60"/>
      <c r="I844" s="60"/>
      <c r="J844" s="60"/>
      <c r="K844" s="64"/>
      <c r="L844" s="64"/>
      <c r="M844" s="60"/>
      <c r="N844" s="60"/>
      <c r="O844" s="60"/>
      <c r="P844" s="60"/>
      <c r="Q844" s="60"/>
      <c r="R844" s="60"/>
      <c r="S844" s="60"/>
      <c r="T844" s="59"/>
      <c r="U844" s="60"/>
      <c r="V844" s="59"/>
      <c r="W844" s="60"/>
      <c r="X844" s="60"/>
      <c r="Y844" s="76"/>
      <c r="Z844" s="60"/>
      <c r="AA844" s="60"/>
      <c r="AB844" s="60"/>
      <c r="AC844" s="60"/>
      <c r="AD844" s="60"/>
      <c r="AE844" s="60"/>
      <c r="AF844" s="80"/>
      <c r="AG844" s="56"/>
      <c r="AH844" s="4"/>
      <c r="AI844" s="56"/>
      <c r="AJ844" s="109"/>
      <c r="AK844" s="56"/>
      <c r="AL844" s="56"/>
      <c r="AM844" s="56"/>
      <c r="AN844" s="56"/>
      <c r="AO844" s="56"/>
      <c r="AP844" s="56"/>
      <c r="AQ844" s="82"/>
      <c r="AR844" s="115"/>
      <c r="AS844" s="82"/>
      <c r="AT844" s="82"/>
      <c r="AU844" s="5"/>
      <c r="AV844" s="25">
        <f>60*1.5</f>
        <v>90</v>
      </c>
      <c r="AW844" s="25">
        <f>60*4.5</f>
        <v>270</v>
      </c>
      <c r="AX844" s="25">
        <f>60*9.54858818246651</f>
        <v>572.91529094799057</v>
      </c>
      <c r="AY844" s="25">
        <f>60*15</f>
        <v>900</v>
      </c>
      <c r="AZ844" s="25">
        <f>60*22</f>
        <v>1320</v>
      </c>
      <c r="BA844" s="25">
        <f>60*28</f>
        <v>1680</v>
      </c>
      <c r="BB844" s="25">
        <f>60*35</f>
        <v>2100</v>
      </c>
      <c r="BC844" s="25">
        <f>60*46</f>
        <v>2760</v>
      </c>
      <c r="BD844" s="25">
        <f>60*62.8</f>
        <v>3768</v>
      </c>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1"/>
      <c r="CS844" s="1"/>
      <c r="CT844" s="1"/>
      <c r="CU844" s="1"/>
    </row>
    <row r="845" spans="1:99" s="13" customFormat="1" ht="12" customHeight="1" x14ac:dyDescent="0.2">
      <c r="A845" s="65">
        <v>43509</v>
      </c>
      <c r="B845" s="1" t="s">
        <v>246</v>
      </c>
      <c r="C845" s="1" t="s">
        <v>45</v>
      </c>
      <c r="D845" s="60">
        <v>1997</v>
      </c>
      <c r="E845" s="76">
        <v>3</v>
      </c>
      <c r="F845" s="60">
        <v>18</v>
      </c>
      <c r="G845" s="60">
        <v>18</v>
      </c>
      <c r="H845" s="60" t="s">
        <v>43</v>
      </c>
      <c r="I845" s="60" t="s">
        <v>734</v>
      </c>
      <c r="J845" s="60" t="s">
        <v>16</v>
      </c>
      <c r="K845" s="60">
        <f>IF(J845="syllables",1,IF(J845="trigrams",2,IF(J845="strings",3,IF(J845="visual array",4,IF(J845="characters",5,IF(J845="letters",6,IF(J845="free forms",7,IF(J845="odors",8,IF(J845="words",9,IF(J845="pictures",10,IF(J845="object pictures",11,IF(J845="faces",12,IF(J845="names",13,IF(J845="idioms",14,IF(J845="grades",15,IF(J845="syllable-digit pairs",16,IF(J845="trigram-word pairs",17,IF(J845="word-digit pairs",18,IF(J845="English-Swahili pairs",19,IF(J845="spatial position",20,IF(J845="word pairs",21,IF(J845="word triads",22,IF(J845="generated words",23,IF(J845="word definition pairs",24,IF(J845="math problems",25,IF(J845="famous faces",26,IF(J845="famous names",27,IF(J845="famous voices",28,IF(J845="television programs",29,IF(J845="race horses",30,IF(J845="new vocabulary",31,IF(J845="sentences",32,IF(J845="concepts",33,IF(J845="ad slides",34,IF(J845="scenes",35,IF(J845="famous scenes",36,IF(J845="poems",37,IF(J845="walk",38,IF(J845="faces and events",39,IF(J845="events and names",40,IF(J845="flashbulb",41,IF(J845="stories",42,IF(J845="course material",43,IF(J845="autobiographical",44,IF(J845="novels",45,IF(J845="public events",46,"99"))))))))))))))))))))))))))))))))))))))))))))))</f>
        <v>9</v>
      </c>
      <c r="L845" s="60">
        <f>IF(J845="syllables",1,IF(J845="trigrams",1,IF(J845="strings",1,IF(J845="visual array",1,IF(J845="characters",1,IF(J845="letters",1,IF(J845="free forms",1,IF(J845="odors",2,IF(J845="words",2,IF(J845="pictures",2,IF(J845="object pictures",2,IF(J845="faces",2,IF(J845="names",2,IF(J845="idioms","2",IF(J845="grades",2,IF(J845="syllable-digit pairs",3,IF(J845="trigram-word pairs",3,IF(J845="word-digit pairs",3,IF(J845="English-Swahili pairs",3,IF(J845="spatial position",3,IF(J845="word pairs",4,IF(J845="word triads",4,IF(J845="generated words",4,IF(J845="word definition pairs",4,IF(J845="math problems",4,IF(J845="famous faces",4,IF(J845="famous names",4,IF(J845="famous voices",4,IF(J845="television programs",4,IF(J845="race horses",4,IF(J845="new vocabulary",4,IF(J845="sentences",5,IF(J845="concepts",5,IF(J845="ad slides",5,IF(J845="scenes",5,IF(J845="famous scenes",5,IF(J845="poems",6,IF(J845="walk",6,IF(J845="faces and events",6,IF(J845="events and names",6,IF(J845="flashbulb",7,IF(J845="stories",7,IF(J845="course material",7,IF(J845="autobiographical",7,IF(J845="novels",7,IF(J845="public events",7,"99"))))))))))))))))))))))))))))))))))))))))))))))</f>
        <v>2</v>
      </c>
      <c r="M845" s="60">
        <v>0</v>
      </c>
      <c r="N845" s="60">
        <v>1</v>
      </c>
      <c r="O845" s="60">
        <v>0</v>
      </c>
      <c r="P845" s="60"/>
      <c r="Q845" s="60" t="s">
        <v>65</v>
      </c>
      <c r="R845" s="60">
        <f>IF(Q845="Free Recall",1,IF(Q845="Cued Recall",2,IF(Q845="Recognition",3,IF(Q845="Multiple Choice",4,IF(Q845="Savings",5,IF(Q845="Stem Completion",6,IF(Q845="Fragment Completion",7,IF(Q845="anagram solution",8,IF(Q845="Matching",9,IF(Q845="Problem Solving",10,"99"))))))))))</f>
        <v>2</v>
      </c>
      <c r="S845" s="60" t="s">
        <v>49</v>
      </c>
      <c r="T845" s="59" t="s">
        <v>581</v>
      </c>
      <c r="U845" s="60">
        <f>IF(T845="within",1,0)</f>
        <v>1</v>
      </c>
      <c r="V845" s="59">
        <v>22</v>
      </c>
      <c r="W845" s="60">
        <f>F845*V845</f>
        <v>396</v>
      </c>
      <c r="X845" s="60">
        <v>9</v>
      </c>
      <c r="Y845" s="76">
        <f>AV844</f>
        <v>90</v>
      </c>
      <c r="Z845" s="60" t="s">
        <v>66</v>
      </c>
      <c r="AA845" s="60">
        <v>3768</v>
      </c>
      <c r="AB845" s="60" t="str">
        <f>IF(AA845&lt;60,"1",IF(AA845&lt;=43200,"2",IF(AA845&lt;=777600,"3","4")))</f>
        <v>2</v>
      </c>
      <c r="AC845" s="56">
        <f>AVERAGE(AV844:DA844)</f>
        <v>1495.6572545497768</v>
      </c>
      <c r="AD845" s="60" t="str">
        <f>IF(AC845&lt;60,"1",IF(AC845&lt;=43200,"2",IF(AC845&lt;=777600,"3","4")))</f>
        <v>2</v>
      </c>
      <c r="AE845" s="76">
        <f>AA845-Y845</f>
        <v>3678</v>
      </c>
      <c r="AF845" s="80">
        <f>AV845</f>
        <v>0.46089965397923799</v>
      </c>
      <c r="AG845" s="56">
        <f>((AW845-AV845)+(AX845-AW845)+(AY845-AX845)+(AZ845-AY845)+(BA845-AZ845)+(BB845-BA845)+(BC845-BB845)+(BD845-BC845))/8</f>
        <v>-3.4886024459177378E-2</v>
      </c>
      <c r="AH845" s="4"/>
      <c r="AI845" s="56">
        <f>RSQ(AV845:BD845,AV844:BD844)</f>
        <v>0.35622471060028787</v>
      </c>
      <c r="AJ845" s="109">
        <f>SLOPE(AV845:BD845,AV844:BD844)</f>
        <v>-4.3887547824253566E-5</v>
      </c>
      <c r="AK845" s="56">
        <f>INTERCEPT(AV845:BD845,AV844:BD844)</f>
        <v>0.30206418356692699</v>
      </c>
      <c r="AL845" s="56">
        <f>INDEX(LINEST(LN(AV845:BD845),LN(AV844:BD844),TRUE,TRUE),3,1)</f>
        <v>0.79906340473359405</v>
      </c>
      <c r="AM845" s="56">
        <f>INDEX(LINEST(LN(AV845:BD845),LN(AV844:BD844)),1)</f>
        <v>-0.22268948822304618</v>
      </c>
      <c r="AN845" s="56">
        <f>EXP(INDEX(LINEST(LN(AV845:BD845),LN(AV844:BD844)),1,2))</f>
        <v>1.0380337618424229</v>
      </c>
      <c r="AO845" s="82">
        <f>INDEX(LINEST((AV845:BD845),LN(AV844:BD844),TRUE,TRUE),3,1)</f>
        <v>0.76055582159941659</v>
      </c>
      <c r="AP845" s="82">
        <f>INDEX(LINEST((AV845:BD845),LN(AV844:BD844)),1)</f>
        <v>-6.5187935937966304E-2</v>
      </c>
      <c r="AQ845" s="83">
        <f>INDEX(LINEST(LN(AV845:BD845),SQRT(AV844:BD844),TRUE,TRUE),3,1)</f>
        <v>0.58935556110370169</v>
      </c>
      <c r="AR845" s="116">
        <f>INDEX(LINEST(LN(AV845:BD845),SQRT((AV844:BD844))),1)</f>
        <v>-1.3515969025569452E-2</v>
      </c>
      <c r="AS845" s="84">
        <f>INDEX(LINEST(1/(AV845:BD845),1/(SQRT(AV844:BD844)),TRUE,TRUE),3,1)</f>
        <v>0.90834176688501578</v>
      </c>
      <c r="AT845" s="84">
        <f>INDEX(LINEST(1/(AV845:BD845),1/SQRT(AV844:BD844)),1)</f>
        <v>-35.987235218875966</v>
      </c>
      <c r="AU845" s="3"/>
      <c r="AV845" s="53">
        <v>0.46089965397923799</v>
      </c>
      <c r="AW845" s="53">
        <v>0.28488338307931999</v>
      </c>
      <c r="AX845" s="53">
        <v>0.19024802556855699</v>
      </c>
      <c r="AY845" s="53">
        <v>0.217602155365963</v>
      </c>
      <c r="AZ845" s="53">
        <v>0.204363559523495</v>
      </c>
      <c r="BA845" s="53">
        <v>0.19922343432209</v>
      </c>
      <c r="BB845" s="53">
        <v>0.18870545973216399</v>
      </c>
      <c r="BC845" s="53">
        <v>0.20007395863599101</v>
      </c>
      <c r="BD845" s="53">
        <v>0.18181145830581899</v>
      </c>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1"/>
      <c r="CS845" s="1"/>
      <c r="CT845" s="1"/>
      <c r="CU845" s="1"/>
    </row>
    <row r="846" spans="1:99" s="13" customFormat="1" ht="12" customHeight="1" x14ac:dyDescent="0.2">
      <c r="A846" s="65">
        <v>43509</v>
      </c>
      <c r="B846" s="1"/>
      <c r="C846" s="1"/>
      <c r="D846" s="60"/>
      <c r="E846" s="76"/>
      <c r="F846" s="60"/>
      <c r="G846" s="60"/>
      <c r="H846" s="60"/>
      <c r="I846" s="60"/>
      <c r="J846" s="60"/>
      <c r="K846" s="64"/>
      <c r="L846" s="64"/>
      <c r="M846" s="60"/>
      <c r="N846" s="60"/>
      <c r="O846" s="60"/>
      <c r="P846" s="60"/>
      <c r="Q846" s="60"/>
      <c r="R846" s="60"/>
      <c r="S846" s="60"/>
      <c r="T846" s="60"/>
      <c r="U846" s="60"/>
      <c r="V846" s="60"/>
      <c r="W846" s="60"/>
      <c r="X846" s="60"/>
      <c r="Y846" s="76"/>
      <c r="Z846" s="60"/>
      <c r="AA846" s="60"/>
      <c r="AB846" s="60"/>
      <c r="AC846" s="60"/>
      <c r="AD846" s="60"/>
      <c r="AE846" s="60"/>
      <c r="AF846" s="80"/>
      <c r="AG846" s="56"/>
      <c r="AH846" s="4"/>
      <c r="AI846" s="56"/>
      <c r="AJ846" s="109"/>
      <c r="AK846" s="56"/>
      <c r="AL846" s="56"/>
      <c r="AM846" s="56"/>
      <c r="AN846" s="56"/>
      <c r="AO846" s="56"/>
      <c r="AP846" s="56"/>
      <c r="AQ846" s="82"/>
      <c r="AR846" s="115"/>
      <c r="AS846" s="82"/>
      <c r="AT846" s="82"/>
      <c r="AU846" s="5"/>
      <c r="AV846" s="25">
        <f>60*1.5</f>
        <v>90</v>
      </c>
      <c r="AW846" s="25">
        <f>60*4.5</f>
        <v>270</v>
      </c>
      <c r="AX846" s="25">
        <f>60*9.54858818246651</f>
        <v>572.91529094799057</v>
      </c>
      <c r="AY846" s="25">
        <f>60*15</f>
        <v>900</v>
      </c>
      <c r="AZ846" s="25">
        <f>60*22</f>
        <v>1320</v>
      </c>
      <c r="BA846" s="25">
        <f>60*28</f>
        <v>1680</v>
      </c>
      <c r="BB846" s="25">
        <f>60*35</f>
        <v>2100</v>
      </c>
      <c r="BC846" s="25">
        <f>60*46</f>
        <v>2760</v>
      </c>
      <c r="BD846" s="25">
        <f>60*62.8</f>
        <v>3768</v>
      </c>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1"/>
      <c r="CS846" s="1"/>
      <c r="CT846" s="1"/>
      <c r="CU846" s="1"/>
    </row>
    <row r="847" spans="1:99" s="13" customFormat="1" ht="12" customHeight="1" x14ac:dyDescent="0.2">
      <c r="A847" s="65">
        <v>43509</v>
      </c>
      <c r="B847" s="1" t="s">
        <v>246</v>
      </c>
      <c r="C847" s="1" t="s">
        <v>45</v>
      </c>
      <c r="D847" s="60">
        <v>1997</v>
      </c>
      <c r="E847" s="76">
        <v>4</v>
      </c>
      <c r="F847" s="60">
        <v>9</v>
      </c>
      <c r="G847" s="60">
        <v>9</v>
      </c>
      <c r="H847" s="60" t="s">
        <v>67</v>
      </c>
      <c r="I847" s="60" t="s">
        <v>733</v>
      </c>
      <c r="J847" s="60" t="s">
        <v>16</v>
      </c>
      <c r="K847" s="60">
        <f>IF(J847="syllables",1,IF(J847="trigrams",2,IF(J847="strings",3,IF(J847="visual array",4,IF(J847="characters",5,IF(J847="letters",6,IF(J847="free forms",7,IF(J847="odors",8,IF(J847="words",9,IF(J847="pictures",10,IF(J847="object pictures",11,IF(J847="faces",12,IF(J847="names",13,IF(J847="idioms",14,IF(J847="grades",15,IF(J847="syllable-digit pairs",16,IF(J847="trigram-word pairs",17,IF(J847="word-digit pairs",18,IF(J847="English-Swahili pairs",19,IF(J847="spatial position",20,IF(J847="word pairs",21,IF(J847="word triads",22,IF(J847="generated words",23,IF(J847="word definition pairs",24,IF(J847="math problems",25,IF(J847="famous faces",26,IF(J847="famous names",27,IF(J847="famous voices",28,IF(J847="television programs",29,IF(J847="race horses",30,IF(J847="new vocabulary",31,IF(J847="sentences",32,IF(J847="concepts",33,IF(J847="ad slides",34,IF(J847="scenes",35,IF(J847="famous scenes",36,IF(J847="poems",37,IF(J847="walk",38,IF(J847="faces and events",39,IF(J847="events and names",40,IF(J847="flashbulb",41,IF(J847="stories",42,IF(J847="course material",43,IF(J847="autobiographical",44,IF(J847="novels",45,IF(J847="public events",46,"99"))))))))))))))))))))))))))))))))))))))))))))))</f>
        <v>9</v>
      </c>
      <c r="L847" s="60">
        <f>IF(J847="syllables",1,IF(J847="trigrams",1,IF(J847="strings",1,IF(J847="visual array",1,IF(J847="characters",1,IF(J847="letters",1,IF(J847="free forms",1,IF(J847="odors",2,IF(J847="words",2,IF(J847="pictures",2,IF(J847="object pictures",2,IF(J847="faces",2,IF(J847="names",2,IF(J847="idioms","2",IF(J847="grades",2,IF(J847="syllable-digit pairs",3,IF(J847="trigram-word pairs",3,IF(J847="word-digit pairs",3,IF(J847="English-Swahili pairs",3,IF(J847="spatial position",3,IF(J847="word pairs",4,IF(J847="word triads",4,IF(J847="generated words",4,IF(J847="word definition pairs",4,IF(J847="math problems",4,IF(J847="famous faces",4,IF(J847="famous names",4,IF(J847="famous voices",4,IF(J847="television programs",4,IF(J847="race horses",4,IF(J847="new vocabulary",4,IF(J847="sentences",5,IF(J847="concepts",5,IF(J847="ad slides",5,IF(J847="scenes",5,IF(J847="famous scenes",5,IF(J847="poems",6,IF(J847="walk",6,IF(J847="faces and events",6,IF(J847="events and names",6,IF(J847="flashbulb",7,IF(J847="stories",7,IF(J847="course material",7,IF(J847="autobiographical",7,IF(J847="novels",7,IF(J847="public events",7,"99"))))))))))))))))))))))))))))))))))))))))))))))</f>
        <v>2</v>
      </c>
      <c r="M847" s="60">
        <v>0</v>
      </c>
      <c r="N847" s="60">
        <v>1</v>
      </c>
      <c r="O847" s="60">
        <v>0</v>
      </c>
      <c r="P847" s="60"/>
      <c r="Q847" s="60" t="s">
        <v>34</v>
      </c>
      <c r="R847" s="60">
        <f>IF(Q847="Free Recall",1,IF(Q847="Cued Recall",2,IF(Q847="Recognition",3,IF(Q847="Multiple Choice",4,IF(Q847="Savings",5,IF(Q847="Stem Completion",6,IF(Q847="Fragment Completion",7,IF(Q847="anagram solution",8,IF(Q847="Matching",9,IF(Q847="Problem Solving",10,"99"))))))))))</f>
        <v>3</v>
      </c>
      <c r="S847" s="60" t="s">
        <v>15</v>
      </c>
      <c r="T847" s="59" t="s">
        <v>581</v>
      </c>
      <c r="U847" s="60">
        <f>IF(T847="within",1,0)</f>
        <v>1</v>
      </c>
      <c r="V847" s="59">
        <v>22</v>
      </c>
      <c r="W847" s="60">
        <f>F847*V847</f>
        <v>198</v>
      </c>
      <c r="X847" s="60">
        <v>9</v>
      </c>
      <c r="Y847" s="76">
        <f>AV846</f>
        <v>90</v>
      </c>
      <c r="Z847" s="60" t="s">
        <v>66</v>
      </c>
      <c r="AA847" s="60">
        <v>3768</v>
      </c>
      <c r="AB847" s="60" t="str">
        <f>IF(AA847&lt;60,"1",IF(AA847&lt;=43200,"2",IF(AA847&lt;=777600,"3","4")))</f>
        <v>2</v>
      </c>
      <c r="AC847" s="56">
        <f>AVERAGE(AV846:DA846)</f>
        <v>1495.6572545497768</v>
      </c>
      <c r="AD847" s="60" t="str">
        <f>IF(AC847&lt;60,"1",IF(AC847&lt;=43200,"2",IF(AC847&lt;=777600,"3","4")))</f>
        <v>2</v>
      </c>
      <c r="AE847" s="76">
        <f>AA847-Y847</f>
        <v>3678</v>
      </c>
      <c r="AF847" s="80">
        <f>AV847</f>
        <v>0.87083267498814898</v>
      </c>
      <c r="AG847" s="56">
        <f>((AW847-AV847)+(AX847-AW847)+(AY847-AX847)+(AZ847-AY847)+(BA847-AZ847)+(BB847-BA847)+(BC847-BB847)+(BD847-BC847))/8</f>
        <v>-9.2177730627722443E-3</v>
      </c>
      <c r="AH847" s="4"/>
      <c r="AI847" s="56">
        <f>RSQ(AV847:BD847,AV846:BD846)</f>
        <v>0.48118484190166427</v>
      </c>
      <c r="AJ847" s="109">
        <f>SLOPE(AV847:BD847,AV846:BD846)</f>
        <v>-1.2652734624503988E-5</v>
      </c>
      <c r="AK847" s="56">
        <f>INTERCEPT(AV847:BD847,AV846:BD846)</f>
        <v>0.83929711628244252</v>
      </c>
      <c r="AL847" s="56">
        <f>INDEX(LINEST(LN(AV847:BD847),LN(AV846:BD846),TRUE,TRUE),3,1)</f>
        <v>0.74951419398093377</v>
      </c>
      <c r="AM847" s="56">
        <f>INDEX(LINEST(LN(AV847:BD847),LN(AV846:BD846)),1)</f>
        <v>-1.9249060332196644E-2</v>
      </c>
      <c r="AN847" s="56">
        <f>EXP(INDEX(LINEST(LN(AV847:BD847),LN(AV846:BD846)),1,2))</f>
        <v>0.9357416238682047</v>
      </c>
      <c r="AO847" s="82">
        <f>INDEX(LINEST((AV847:BD847),LN(AV846:BD846),TRUE,TRUE),3,1)</f>
        <v>0.75021666857882596</v>
      </c>
      <c r="AP847" s="82">
        <f>INDEX(LINEST((AV847:BD847),LN(AV846:BD846)),1)</f>
        <v>-1.6059949416026426E-2</v>
      </c>
      <c r="AQ847" s="83">
        <f>INDEX(LINEST(LN(AV847:BD847),SQRT(AV846:BD846),TRUE,TRUE),3,1)</f>
        <v>0.61039512222996761</v>
      </c>
      <c r="AR847" s="116">
        <f>INDEX(LINEST(LN(AV847:BD847),SQRT((AV846:BD846))),1)</f>
        <v>-1.2276498878732926E-3</v>
      </c>
      <c r="AS847" s="84">
        <f>INDEX(LINEST(1/(AV847:BD847),1/(SQRT(AV846:BD846)),TRUE,TRUE),3,1)</f>
        <v>0.82456085006196467</v>
      </c>
      <c r="AT847" s="84">
        <f>INDEX(LINEST(1/(AV847:BD847),1/SQRT(AV846:BD846)),1)</f>
        <v>-1.0202052079761947</v>
      </c>
      <c r="AU847" s="3"/>
      <c r="AV847" s="53">
        <v>0.87083267498814898</v>
      </c>
      <c r="AW847" s="53">
        <v>0.83554951131977495</v>
      </c>
      <c r="AX847" s="53">
        <v>0.80525020878947196</v>
      </c>
      <c r="AY847" s="53">
        <v>0.81348102837279601</v>
      </c>
      <c r="AZ847" s="53">
        <v>0.82585942261246403</v>
      </c>
      <c r="BA847" s="53">
        <v>0.81982258537796504</v>
      </c>
      <c r="BB847" s="53">
        <v>0.80957384375775898</v>
      </c>
      <c r="BC847" s="53">
        <v>0.80589689185833902</v>
      </c>
      <c r="BD847" s="53">
        <v>0.79709049048597103</v>
      </c>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1"/>
      <c r="CS847" s="1"/>
      <c r="CT847" s="1"/>
      <c r="CU847" s="1"/>
    </row>
    <row r="848" spans="1:99" s="13" customFormat="1" ht="12" customHeight="1" x14ac:dyDescent="0.2">
      <c r="A848" s="65">
        <v>43509</v>
      </c>
      <c r="B848" s="1"/>
      <c r="C848" s="1"/>
      <c r="D848" s="60"/>
      <c r="E848" s="76"/>
      <c r="F848" s="60"/>
      <c r="G848" s="60"/>
      <c r="H848" s="60"/>
      <c r="I848" s="60"/>
      <c r="J848" s="60"/>
      <c r="K848" s="64"/>
      <c r="L848" s="64"/>
      <c r="M848" s="60"/>
      <c r="N848" s="60"/>
      <c r="O848" s="60"/>
      <c r="P848" s="60"/>
      <c r="Q848" s="60"/>
      <c r="R848" s="60"/>
      <c r="S848" s="60"/>
      <c r="T848" s="59"/>
      <c r="U848" s="60"/>
      <c r="V848" s="59"/>
      <c r="W848" s="60"/>
      <c r="X848" s="60"/>
      <c r="Y848" s="76"/>
      <c r="Z848" s="60"/>
      <c r="AA848" s="60"/>
      <c r="AB848" s="60"/>
      <c r="AC848" s="60"/>
      <c r="AD848" s="60"/>
      <c r="AE848" s="60"/>
      <c r="AF848" s="80"/>
      <c r="AG848" s="56"/>
      <c r="AH848" s="4"/>
      <c r="AI848" s="56"/>
      <c r="AJ848" s="109"/>
      <c r="AK848" s="56"/>
      <c r="AL848" s="56"/>
      <c r="AM848" s="56"/>
      <c r="AN848" s="56"/>
      <c r="AO848" s="56"/>
      <c r="AP848" s="56"/>
      <c r="AQ848" s="82"/>
      <c r="AR848" s="115"/>
      <c r="AS848" s="82"/>
      <c r="AT848" s="82"/>
      <c r="AU848" s="5"/>
      <c r="AV848" s="25">
        <f>60*1.5</f>
        <v>90</v>
      </c>
      <c r="AW848" s="25">
        <f>60*4.5</f>
        <v>270</v>
      </c>
      <c r="AX848" s="25">
        <f>60*9.54858818246651</f>
        <v>572.91529094799057</v>
      </c>
      <c r="AY848" s="25">
        <f>60*15</f>
        <v>900</v>
      </c>
      <c r="AZ848" s="25">
        <f>60*22</f>
        <v>1320</v>
      </c>
      <c r="BA848" s="25">
        <f>60*28</f>
        <v>1680</v>
      </c>
      <c r="BB848" s="25">
        <f>60*35</f>
        <v>2100</v>
      </c>
      <c r="BC848" s="25">
        <f>60*46</f>
        <v>2760</v>
      </c>
      <c r="BD848" s="25">
        <f>60*62.8</f>
        <v>3768</v>
      </c>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1"/>
      <c r="CS848" s="1"/>
      <c r="CT848" s="1"/>
      <c r="CU848" s="1"/>
    </row>
    <row r="849" spans="1:99" s="13" customFormat="1" ht="12" customHeight="1" x14ac:dyDescent="0.2">
      <c r="A849" s="65">
        <v>43509</v>
      </c>
      <c r="B849" s="1" t="s">
        <v>246</v>
      </c>
      <c r="C849" s="1" t="s">
        <v>45</v>
      </c>
      <c r="D849" s="60">
        <v>1997</v>
      </c>
      <c r="E849" s="76">
        <v>4</v>
      </c>
      <c r="F849" s="60">
        <v>9</v>
      </c>
      <c r="G849" s="60">
        <v>9</v>
      </c>
      <c r="H849" s="60" t="s">
        <v>67</v>
      </c>
      <c r="I849" s="60" t="s">
        <v>734</v>
      </c>
      <c r="J849" s="60" t="s">
        <v>16</v>
      </c>
      <c r="K849" s="60">
        <f>IF(J849="syllables",1,IF(J849="trigrams",2,IF(J849="strings",3,IF(J849="visual array",4,IF(J849="characters",5,IF(J849="letters",6,IF(J849="free forms",7,IF(J849="odors",8,IF(J849="words",9,IF(J849="pictures",10,IF(J849="object pictures",11,IF(J849="faces",12,IF(J849="names",13,IF(J849="idioms",14,IF(J849="grades",15,IF(J849="syllable-digit pairs",16,IF(J849="trigram-word pairs",17,IF(J849="word-digit pairs",18,IF(J849="English-Swahili pairs",19,IF(J849="spatial position",20,IF(J849="word pairs",21,IF(J849="word triads",22,IF(J849="generated words",23,IF(J849="word definition pairs",24,IF(J849="math problems",25,IF(J849="famous faces",26,IF(J849="famous names",27,IF(J849="famous voices",28,IF(J849="television programs",29,IF(J849="race horses",30,IF(J849="new vocabulary",31,IF(J849="sentences",32,IF(J849="concepts",33,IF(J849="ad slides",34,IF(J849="scenes",35,IF(J849="famous scenes",36,IF(J849="poems",37,IF(J849="walk",38,IF(J849="faces and events",39,IF(J849="events and names",40,IF(J849="flashbulb",41,IF(J849="stories",42,IF(J849="course material",43,IF(J849="autobiographical",44,IF(J849="novels",45,IF(J849="public events",46,"99"))))))))))))))))))))))))))))))))))))))))))))))</f>
        <v>9</v>
      </c>
      <c r="L849" s="60">
        <f>IF(J849="syllables",1,IF(J849="trigrams",1,IF(J849="strings",1,IF(J849="visual array",1,IF(J849="characters",1,IF(J849="letters",1,IF(J849="free forms",1,IF(J849="odors",2,IF(J849="words",2,IF(J849="pictures",2,IF(J849="object pictures",2,IF(J849="faces",2,IF(J849="names",2,IF(J849="idioms","2",IF(J849="grades",2,IF(J849="syllable-digit pairs",3,IF(J849="trigram-word pairs",3,IF(J849="word-digit pairs",3,IF(J849="English-Swahili pairs",3,IF(J849="spatial position",3,IF(J849="word pairs",4,IF(J849="word triads",4,IF(J849="generated words",4,IF(J849="word definition pairs",4,IF(J849="math problems",4,IF(J849="famous faces",4,IF(J849="famous names",4,IF(J849="famous voices",4,IF(J849="television programs",4,IF(J849="race horses",4,IF(J849="new vocabulary",4,IF(J849="sentences",5,IF(J849="concepts",5,IF(J849="ad slides",5,IF(J849="scenes",5,IF(J849="famous scenes",5,IF(J849="poems",6,IF(J849="walk",6,IF(J849="faces and events",6,IF(J849="events and names",6,IF(J849="flashbulb",7,IF(J849="stories",7,IF(J849="course material",7,IF(J849="autobiographical",7,IF(J849="novels",7,IF(J849="public events",7,"99"))))))))))))))))))))))))))))))))))))))))))))))</f>
        <v>2</v>
      </c>
      <c r="M849" s="60">
        <v>0</v>
      </c>
      <c r="N849" s="60">
        <v>1</v>
      </c>
      <c r="O849" s="60">
        <v>0</v>
      </c>
      <c r="P849" s="60"/>
      <c r="Q849" s="60" t="s">
        <v>34</v>
      </c>
      <c r="R849" s="60">
        <f>IF(Q849="Free Recall",1,IF(Q849="Cued Recall",2,IF(Q849="Recognition",3,IF(Q849="Multiple Choice",4,IF(Q849="Savings",5,IF(Q849="Stem Completion",6,IF(Q849="Fragment Completion",7,IF(Q849="anagram solution",8,IF(Q849="Matching",9,IF(Q849="Problem Solving",10,"99"))))))))))</f>
        <v>3</v>
      </c>
      <c r="S849" s="60" t="s">
        <v>15</v>
      </c>
      <c r="T849" s="59" t="s">
        <v>581</v>
      </c>
      <c r="U849" s="60">
        <f>IF(T849="within",1,0)</f>
        <v>1</v>
      </c>
      <c r="V849" s="59">
        <v>22</v>
      </c>
      <c r="W849" s="60">
        <f>F849*V849</f>
        <v>198</v>
      </c>
      <c r="X849" s="60">
        <v>9</v>
      </c>
      <c r="Y849" s="76">
        <f>AV848</f>
        <v>90</v>
      </c>
      <c r="Z849" s="60" t="s">
        <v>66</v>
      </c>
      <c r="AA849" s="60">
        <v>3768</v>
      </c>
      <c r="AB849" s="60" t="str">
        <f>IF(AA849&lt;60,"1",IF(AA849&lt;=43200,"2",IF(AA849&lt;=777600,"3","4")))</f>
        <v>2</v>
      </c>
      <c r="AC849" s="56">
        <f>AVERAGE(AV848:DA848)</f>
        <v>1495.6572545497768</v>
      </c>
      <c r="AD849" s="60" t="str">
        <f>IF(AC849&lt;60,"1",IF(AC849&lt;=43200,"2",IF(AC849&lt;=777600,"3","4")))</f>
        <v>2</v>
      </c>
      <c r="AE849" s="76">
        <f>AA849-Y849</f>
        <v>3678</v>
      </c>
      <c r="AF849" s="80">
        <f>AV849</f>
        <v>0.72167234724510698</v>
      </c>
      <c r="AG849" s="56">
        <f>((AW849-AV849)+(AX849-AW849)+(AY849-AX849)+(AZ849-AY849)+(BA849-AZ849)+(BB849-BA849)+(BC849-BB849)+(BD849-BC849))/8</f>
        <v>-1.1836881813872629E-2</v>
      </c>
      <c r="AH849" s="4"/>
      <c r="AI849" s="56">
        <f>RSQ(AV849:BD849,AV848:BD848)</f>
        <v>0.27770672644299293</v>
      </c>
      <c r="AJ849" s="109">
        <f>SLOPE(AV849:BD849,AV848:BD848)</f>
        <v>-1.5018463829441097E-5</v>
      </c>
      <c r="AK849" s="56">
        <f>INTERCEPT(AV849:BD849,AV848:BD848)</f>
        <v>0.66360058391228716</v>
      </c>
      <c r="AL849" s="56">
        <f>INDEX(LINEST(LN(AV849:BD849),LN(AV848:BD848),TRUE,TRUE),3,1)</f>
        <v>0.7096634534787758</v>
      </c>
      <c r="AM849" s="56">
        <f>INDEX(LINEST(LN(AV849:BD849),LN(AV848:BD848)),1)</f>
        <v>-3.6593837642734404E-2</v>
      </c>
      <c r="AN849" s="56">
        <f>EXP(INDEX(LINEST(LN(AV849:BD849),LN(AV848:BD848)),1,2))</f>
        <v>0.82283705081279657</v>
      </c>
      <c r="AO849" s="82">
        <f>INDEX(LINEST((AV849:BD849),LN(AV848:BD848),TRUE,TRUE),3,1)</f>
        <v>0.7124996918132902</v>
      </c>
      <c r="AP849" s="82">
        <f>INDEX(LINEST((AV849:BD849),LN(AV848:BD848)),1)</f>
        <v>-2.4453838621626922E-2</v>
      </c>
      <c r="AQ849" s="83">
        <f>INDEX(LINEST(LN(AV849:BD849),SQRT(AV848:BD848),TRUE,TRUE),3,1)</f>
        <v>0.46563293534413441</v>
      </c>
      <c r="AR849" s="116">
        <f>INDEX(LINEST(LN(AV849:BD849),SQRT((AV848:BD848))),1)</f>
        <v>-2.0948502399892686E-3</v>
      </c>
      <c r="AS849" s="84">
        <f>INDEX(LINEST(1/(AV849:BD849),1/(SQRT(AV848:BD848)),TRUE,TRUE),3,1)</f>
        <v>0.86913851756780813</v>
      </c>
      <c r="AT849" s="84">
        <f>INDEX(LINEST(1/(AV849:BD849),1/SQRT(AV848:BD848)),1)</f>
        <v>-2.5621880953765266</v>
      </c>
      <c r="AU849" s="3"/>
      <c r="AV849" s="53">
        <v>0.72167234724510698</v>
      </c>
      <c r="AW849" s="53">
        <v>0.67465747240593099</v>
      </c>
      <c r="AX849" s="53">
        <v>0.62508633726835605</v>
      </c>
      <c r="AY849" s="53">
        <v>0.62242173216260699</v>
      </c>
      <c r="AZ849" s="53">
        <v>0.61887682549714396</v>
      </c>
      <c r="BA849" s="53">
        <v>0.62289574069476095</v>
      </c>
      <c r="BB849" s="53">
        <v>0.62186646502494103</v>
      </c>
      <c r="BC849" s="53">
        <v>0.63578877276933798</v>
      </c>
      <c r="BD849" s="53">
        <v>0.62697729273412595</v>
      </c>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1"/>
      <c r="CS849" s="1"/>
      <c r="CT849" s="1"/>
      <c r="CU849" s="1"/>
    </row>
    <row r="850" spans="1:99" s="13" customFormat="1" ht="12" customHeight="1" x14ac:dyDescent="0.2">
      <c r="A850" s="68">
        <v>43509</v>
      </c>
      <c r="B850" s="70"/>
      <c r="C850" s="70"/>
      <c r="D850" s="69"/>
      <c r="E850" s="87"/>
      <c r="F850" s="69"/>
      <c r="G850" s="69"/>
      <c r="H850" s="69"/>
      <c r="I850" s="69"/>
      <c r="J850" s="69"/>
      <c r="K850" s="107"/>
      <c r="L850" s="107"/>
      <c r="M850" s="69"/>
      <c r="N850" s="69"/>
      <c r="O850" s="69"/>
      <c r="P850" s="69"/>
      <c r="Q850" s="69"/>
      <c r="R850" s="69"/>
      <c r="S850" s="69"/>
      <c r="T850" s="69"/>
      <c r="U850" s="69"/>
      <c r="V850" s="69"/>
      <c r="W850" s="69"/>
      <c r="X850" s="69"/>
      <c r="Y850" s="87"/>
      <c r="Z850" s="69"/>
      <c r="AA850" s="69"/>
      <c r="AB850" s="69"/>
      <c r="AC850" s="69"/>
      <c r="AD850" s="69"/>
      <c r="AE850" s="69"/>
      <c r="AF850" s="88"/>
      <c r="AG850" s="72"/>
      <c r="AH850" s="4"/>
      <c r="AI850" s="72"/>
      <c r="AJ850" s="110"/>
      <c r="AK850" s="72"/>
      <c r="AL850" s="72"/>
      <c r="AM850" s="72"/>
      <c r="AN850" s="72"/>
      <c r="AO850" s="72"/>
      <c r="AP850" s="72"/>
      <c r="AQ850" s="89"/>
      <c r="AR850" s="118"/>
      <c r="AS850" s="89"/>
      <c r="AT850" s="89"/>
      <c r="AU850" s="8"/>
      <c r="AV850" s="71">
        <f>60*0.88</f>
        <v>52.8</v>
      </c>
      <c r="AW850" s="71">
        <f>60*3.52</f>
        <v>211.2</v>
      </c>
      <c r="AX850" s="71">
        <f>60*7.04</f>
        <v>422.4</v>
      </c>
      <c r="AY850" s="71">
        <f>60*10.56</f>
        <v>633.6</v>
      </c>
      <c r="AZ850" s="71">
        <f>60*18.48</f>
        <v>1108.8</v>
      </c>
      <c r="BA850" s="71">
        <f>60*29.92</f>
        <v>1795.2</v>
      </c>
      <c r="BB850" s="71">
        <f>60*39.6</f>
        <v>2376</v>
      </c>
      <c r="BC850" s="71">
        <f>60*52.8</f>
        <v>3168</v>
      </c>
      <c r="BD850" s="71">
        <f>60*70.4</f>
        <v>4224</v>
      </c>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1"/>
      <c r="CS850" s="1"/>
      <c r="CT850" s="1"/>
      <c r="CU850" s="1"/>
    </row>
    <row r="851" spans="1:99" s="13" customFormat="1" ht="12" customHeight="1" x14ac:dyDescent="0.2">
      <c r="A851" s="68">
        <v>43509</v>
      </c>
      <c r="B851" s="70" t="s">
        <v>247</v>
      </c>
      <c r="C851" s="70" t="s">
        <v>45</v>
      </c>
      <c r="D851" s="69">
        <v>1999</v>
      </c>
      <c r="E851" s="87">
        <v>1</v>
      </c>
      <c r="F851" s="69">
        <v>32</v>
      </c>
      <c r="G851" s="69">
        <v>32</v>
      </c>
      <c r="H851" s="69" t="s">
        <v>41</v>
      </c>
      <c r="I851" s="69" t="s">
        <v>735</v>
      </c>
      <c r="J851" s="69" t="s">
        <v>16</v>
      </c>
      <c r="K851" s="69">
        <f>IF(J851="syllables",1,IF(J851="trigrams",2,IF(J851="strings",3,IF(J851="visual array",4,IF(J851="characters",5,IF(J851="letters",6,IF(J851="free forms",7,IF(J851="odors",8,IF(J851="words",9,IF(J851="pictures",10,IF(J851="object pictures",11,IF(J851="faces",12,IF(J851="names",13,IF(J851="idioms",14,IF(J851="grades",15,IF(J851="syllable-digit pairs",16,IF(J851="trigram-word pairs",17,IF(J851="word-digit pairs",18,IF(J851="English-Swahili pairs",19,IF(J851="spatial position",20,IF(J851="word pairs",21,IF(J851="word triads",22,IF(J851="generated words",23,IF(J851="word definition pairs",24,IF(J851="math problems",25,IF(J851="famous faces",26,IF(J851="famous names",27,IF(J851="famous voices",28,IF(J851="television programs",29,IF(J851="race horses",30,IF(J851="new vocabulary",31,IF(J851="sentences",32,IF(J851="concepts",33,IF(J851="ad slides",34,IF(J851="scenes",35,IF(J851="famous scenes",36,IF(J851="poems",37,IF(J851="walk",38,IF(J851="faces and events",39,IF(J851="events and names",40,IF(J851="flashbulb",41,IF(J851="stories",42,IF(J851="course material",43,IF(J851="autobiographical",44,IF(J851="novels",45,IF(J851="public events",46,"99"))))))))))))))))))))))))))))))))))))))))))))))</f>
        <v>9</v>
      </c>
      <c r="L851" s="69">
        <f>IF(J851="syllables",1,IF(J851="trigrams",1,IF(J851="strings",1,IF(J851="visual array",1,IF(J851="characters",1,IF(J851="letters",1,IF(J851="free forms",1,IF(J851="odors",2,IF(J851="words",2,IF(J851="pictures",2,IF(J851="object pictures",2,IF(J851="faces",2,IF(J851="names",2,IF(J851="idioms","2",IF(J851="grades",2,IF(J851="syllable-digit pairs",3,IF(J851="trigram-word pairs",3,IF(J851="word-digit pairs",3,IF(J851="English-Swahili pairs",3,IF(J851="spatial position",3,IF(J851="word pairs",4,IF(J851="word triads",4,IF(J851="generated words",4,IF(J851="word definition pairs",4,IF(J851="math problems",4,IF(J851="famous faces",4,IF(J851="famous names",4,IF(J851="famous voices",4,IF(J851="television programs",4,IF(J851="race horses",4,IF(J851="new vocabulary",4,IF(J851="sentences",5,IF(J851="concepts",5,IF(J851="ad slides",5,IF(J851="scenes",5,IF(J851="famous scenes",5,IF(J851="poems",6,IF(J851="walk",6,IF(J851="faces and events",6,IF(J851="events and names",6,IF(J851="flashbulb",7,IF(J851="stories",7,IF(J851="course material",7,IF(J851="autobiographical",7,IF(J851="novels",7,IF(J851="public events",7,"99"))))))))))))))))))))))))))))))))))))))))))))))</f>
        <v>2</v>
      </c>
      <c r="M851" s="69">
        <v>0</v>
      </c>
      <c r="N851" s="69">
        <v>1</v>
      </c>
      <c r="O851" s="69">
        <v>0</v>
      </c>
      <c r="P851" s="69"/>
      <c r="Q851" s="69" t="s">
        <v>64</v>
      </c>
      <c r="R851" s="69">
        <f>IF(Q851="Free Recall",1,IF(Q851="Cued Recall",2,IF(Q851="Recognition",3,IF(Q851="Multiple Choice",4,IF(Q851="Savings",5,IF(Q851="Stem Completion",6,IF(Q851="Fragment Completion",7,IF(Q851="anagram solution",8,IF(Q851="Matching",9,IF(Q851="Problem Solving",10,"99"))))))))))</f>
        <v>6</v>
      </c>
      <c r="S851" s="69" t="s">
        <v>49</v>
      </c>
      <c r="T851" s="92" t="s">
        <v>581</v>
      </c>
      <c r="U851" s="69">
        <f>IF(T851="within",1,0)</f>
        <v>1</v>
      </c>
      <c r="V851" s="92">
        <v>180</v>
      </c>
      <c r="W851" s="69">
        <f>F851*V851</f>
        <v>5760</v>
      </c>
      <c r="X851" s="69">
        <v>9</v>
      </c>
      <c r="Y851" s="87">
        <f>AV850</f>
        <v>52.8</v>
      </c>
      <c r="Z851" s="69" t="s">
        <v>68</v>
      </c>
      <c r="AA851" s="69">
        <v>4224</v>
      </c>
      <c r="AB851" s="69" t="str">
        <f>IF(AA851&lt;60,"1",IF(AA851&lt;=43200,"2",IF(AA851&lt;=777600,"3","4")))</f>
        <v>2</v>
      </c>
      <c r="AC851" s="72">
        <f>AVERAGE(AV850:DA850)</f>
        <v>1554.6666666666667</v>
      </c>
      <c r="AD851" s="69" t="str">
        <f>IF(AC851&lt;60,"1",IF(AC851&lt;=43200,"2",IF(AC851&lt;=777600,"3","4")))</f>
        <v>2</v>
      </c>
      <c r="AE851" s="87">
        <f>AA851-Y851</f>
        <v>4171.2</v>
      </c>
      <c r="AF851" s="88">
        <f>AV851</f>
        <v>0.675111875646635</v>
      </c>
      <c r="AG851" s="72">
        <f>((AW851-AV851)+(AX851-AW851)+(AY851-AX851)+(AZ851-AY851)+(BA851-AZ851)+(BB851-BA851)+(BC851-BB851)+(BD851-BC851))/8</f>
        <v>-5.1254783540879874E-2</v>
      </c>
      <c r="AH851" s="4"/>
      <c r="AI851" s="72">
        <f>RSQ(AV851:BD851,AV850:BD850)</f>
        <v>0.39758326358304447</v>
      </c>
      <c r="AJ851" s="110">
        <f>SLOPE(AV851:BD851,AV850:BD850)</f>
        <v>-5.7590122394409863E-5</v>
      </c>
      <c r="AK851" s="72">
        <f>INTERCEPT(AV851:BD851,AV850:BD850)</f>
        <v>0.46827180764832377</v>
      </c>
      <c r="AL851" s="72">
        <f>INDEX(LINEST(LN(AV851:BD851),LN(AV850:BD850),TRUE,TRUE),3,1)</f>
        <v>0.82095517721876776</v>
      </c>
      <c r="AM851" s="72">
        <f>INDEX(LINEST(LN(AV851:BD851),LN(AV850:BD850)),1)</f>
        <v>-0.19073528606652271</v>
      </c>
      <c r="AN851" s="72">
        <f>EXP(INDEX(LINEST(LN(AV851:BD851),LN(AV850:BD850)),1,2))</f>
        <v>1.3061550557609947</v>
      </c>
      <c r="AO851" s="89">
        <f>INDEX(LINEST((AV851:BD851),LN(AV850:BD850),TRUE,TRUE),3,1)</f>
        <v>0.81315564131684359</v>
      </c>
      <c r="AP851" s="89">
        <f>INDEX(LINEST((AV851:BD851),LN(AV850:BD850)),1)</f>
        <v>-8.3949594421529605E-2</v>
      </c>
      <c r="AQ851" s="90">
        <f>INDEX(LINEST(LN(AV851:BD851),SQRT(AV850:BD850),TRUE,TRUE),3,1)</f>
        <v>0.61952814662351685</v>
      </c>
      <c r="AR851" s="117">
        <f>INDEX(LINEST(LN(AV851:BD851),SQRT((AV850:BD850))),1)</f>
        <v>-1.2000691113491772E-2</v>
      </c>
      <c r="AS851" s="91">
        <f>INDEX(LINEST(1/(AV851:BD851),1/(SQRT(AV850:BD850)),TRUE,TRUE),3,1)</f>
        <v>0.81190198977152805</v>
      </c>
      <c r="AT851" s="91">
        <f>INDEX(LINEST(1/(AV851:BD851),1/SQRT(AV850:BD850)),1)</f>
        <v>-16.850512281621466</v>
      </c>
      <c r="AU851" s="3"/>
      <c r="AV851" s="73">
        <v>0.675111875646635</v>
      </c>
      <c r="AW851" s="73">
        <v>0.51545691385263503</v>
      </c>
      <c r="AX851" s="73">
        <v>0.37373945127955799</v>
      </c>
      <c r="AY851" s="73">
        <v>0.30916632387220599</v>
      </c>
      <c r="AZ851" s="73">
        <v>0.30126335340239002</v>
      </c>
      <c r="BA851" s="73">
        <v>0.304538598656245</v>
      </c>
      <c r="BB851" s="73">
        <v>0.34630966181768302</v>
      </c>
      <c r="BC851" s="73">
        <v>0.31798549044538299</v>
      </c>
      <c r="BD851" s="73">
        <v>0.26507360731959601</v>
      </c>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1"/>
      <c r="CS851" s="1"/>
      <c r="CT851" s="1"/>
      <c r="CU851" s="1"/>
    </row>
    <row r="852" spans="1:99" s="13" customFormat="1" ht="12" customHeight="1" x14ac:dyDescent="0.2">
      <c r="A852" s="68">
        <v>43509</v>
      </c>
      <c r="B852" s="70"/>
      <c r="C852" s="70"/>
      <c r="D852" s="69"/>
      <c r="E852" s="87"/>
      <c r="F852" s="69"/>
      <c r="G852" s="69"/>
      <c r="H852" s="69"/>
      <c r="I852" s="69"/>
      <c r="J852" s="69"/>
      <c r="K852" s="107"/>
      <c r="L852" s="107"/>
      <c r="M852" s="69"/>
      <c r="N852" s="69"/>
      <c r="O852" s="69"/>
      <c r="P852" s="69"/>
      <c r="Q852" s="69"/>
      <c r="R852" s="69"/>
      <c r="S852" s="69"/>
      <c r="T852" s="92"/>
      <c r="U852" s="69"/>
      <c r="V852" s="92"/>
      <c r="W852" s="69"/>
      <c r="X852" s="69"/>
      <c r="Y852" s="87"/>
      <c r="Z852" s="69"/>
      <c r="AA852" s="69"/>
      <c r="AB852" s="69"/>
      <c r="AC852" s="69"/>
      <c r="AD852" s="69"/>
      <c r="AE852" s="69"/>
      <c r="AF852" s="88"/>
      <c r="AG852" s="72"/>
      <c r="AH852" s="4"/>
      <c r="AI852" s="72"/>
      <c r="AJ852" s="110"/>
      <c r="AK852" s="72"/>
      <c r="AL852" s="72"/>
      <c r="AM852" s="72"/>
      <c r="AN852" s="72"/>
      <c r="AO852" s="72"/>
      <c r="AP852" s="72"/>
      <c r="AQ852" s="89"/>
      <c r="AR852" s="118"/>
      <c r="AS852" s="89"/>
      <c r="AT852" s="89"/>
      <c r="AU852" s="5"/>
      <c r="AV852" s="71">
        <f>60*0.88</f>
        <v>52.8</v>
      </c>
      <c r="AW852" s="71">
        <f>60*3.52</f>
        <v>211.2</v>
      </c>
      <c r="AX852" s="71">
        <f>60*7.04</f>
        <v>422.4</v>
      </c>
      <c r="AY852" s="71">
        <f>60*10.56</f>
        <v>633.6</v>
      </c>
      <c r="AZ852" s="71">
        <f>60*18.48</f>
        <v>1108.8</v>
      </c>
      <c r="BA852" s="71">
        <f>60*29.92</f>
        <v>1795.2</v>
      </c>
      <c r="BB852" s="71">
        <f>60*39.6</f>
        <v>2376</v>
      </c>
      <c r="BC852" s="71">
        <f>60*52.8</f>
        <v>3168</v>
      </c>
      <c r="BD852" s="71">
        <f>60*70.4</f>
        <v>4224</v>
      </c>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1"/>
      <c r="CS852" s="1"/>
      <c r="CT852" s="1"/>
      <c r="CU852" s="1"/>
    </row>
    <row r="853" spans="1:99" s="13" customFormat="1" ht="12" customHeight="1" x14ac:dyDescent="0.2">
      <c r="A853" s="68">
        <v>43509</v>
      </c>
      <c r="B853" s="70" t="s">
        <v>247</v>
      </c>
      <c r="C853" s="70" t="s">
        <v>45</v>
      </c>
      <c r="D853" s="69">
        <v>1999</v>
      </c>
      <c r="E853" s="87">
        <v>1</v>
      </c>
      <c r="F853" s="69">
        <v>32</v>
      </c>
      <c r="G853" s="69">
        <v>32</v>
      </c>
      <c r="H853" s="69" t="s">
        <v>41</v>
      </c>
      <c r="I853" s="69" t="s">
        <v>736</v>
      </c>
      <c r="J853" s="69" t="s">
        <v>16</v>
      </c>
      <c r="K853" s="69">
        <f>IF(J853="syllables",1,IF(J853="trigrams",2,IF(J853="strings",3,IF(J853="visual array",4,IF(J853="characters",5,IF(J853="letters",6,IF(J853="free forms",7,IF(J853="odors",8,IF(J853="words",9,IF(J853="pictures",10,IF(J853="object pictures",11,IF(J853="faces",12,IF(J853="names",13,IF(J853="idioms",14,IF(J853="grades",15,IF(J853="syllable-digit pairs",16,IF(J853="trigram-word pairs",17,IF(J853="word-digit pairs",18,IF(J853="English-Swahili pairs",19,IF(J853="spatial position",20,IF(J853="word pairs",21,IF(J853="word triads",22,IF(J853="generated words",23,IF(J853="word definition pairs",24,IF(J853="math problems",25,IF(J853="famous faces",26,IF(J853="famous names",27,IF(J853="famous voices",28,IF(J853="television programs",29,IF(J853="race horses",30,IF(J853="new vocabulary",31,IF(J853="sentences",32,IF(J853="concepts",33,IF(J853="ad slides",34,IF(J853="scenes",35,IF(J853="famous scenes",36,IF(J853="poems",37,IF(J853="walk",38,IF(J853="faces and events",39,IF(J853="events and names",40,IF(J853="flashbulb",41,IF(J853="stories",42,IF(J853="course material",43,IF(J853="autobiographical",44,IF(J853="novels",45,IF(J853="public events",46,"99"))))))))))))))))))))))))))))))))))))))))))))))</f>
        <v>9</v>
      </c>
      <c r="L853" s="69">
        <f>IF(J853="syllables",1,IF(J853="trigrams",1,IF(J853="strings",1,IF(J853="visual array",1,IF(J853="characters",1,IF(J853="letters",1,IF(J853="free forms",1,IF(J853="odors",2,IF(J853="words",2,IF(J853="pictures",2,IF(J853="object pictures",2,IF(J853="faces",2,IF(J853="names",2,IF(J853="idioms","2",IF(J853="grades",2,IF(J853="syllable-digit pairs",3,IF(J853="trigram-word pairs",3,IF(J853="word-digit pairs",3,IF(J853="English-Swahili pairs",3,IF(J853="spatial position",3,IF(J853="word pairs",4,IF(J853="word triads",4,IF(J853="generated words",4,IF(J853="word definition pairs",4,IF(J853="math problems",4,IF(J853="famous faces",4,IF(J853="famous names",4,IF(J853="famous voices",4,IF(J853="television programs",4,IF(J853="race horses",4,IF(J853="new vocabulary",4,IF(J853="sentences",5,IF(J853="concepts",5,IF(J853="ad slides",5,IF(J853="scenes",5,IF(J853="famous scenes",5,IF(J853="poems",6,IF(J853="walk",6,IF(J853="faces and events",6,IF(J853="events and names",6,IF(J853="flashbulb",7,IF(J853="stories",7,IF(J853="course material",7,IF(J853="autobiographical",7,IF(J853="novels",7,IF(J853="public events",7,"99"))))))))))))))))))))))))))))))))))))))))))))))</f>
        <v>2</v>
      </c>
      <c r="M853" s="69">
        <v>0</v>
      </c>
      <c r="N853" s="69">
        <v>1</v>
      </c>
      <c r="O853" s="69">
        <v>0</v>
      </c>
      <c r="P853" s="69"/>
      <c r="Q853" s="69" t="s">
        <v>64</v>
      </c>
      <c r="R853" s="69">
        <f>IF(Q853="Free Recall",1,IF(Q853="Cued Recall",2,IF(Q853="Recognition",3,IF(Q853="Multiple Choice",4,IF(Q853="Savings",5,IF(Q853="Stem Completion",6,IF(Q853="Fragment Completion",7,IF(Q853="anagram solution",8,IF(Q853="Matching",9,IF(Q853="Problem Solving",10,"99"))))))))))</f>
        <v>6</v>
      </c>
      <c r="S853" s="69" t="s">
        <v>49</v>
      </c>
      <c r="T853" s="92" t="s">
        <v>581</v>
      </c>
      <c r="U853" s="69">
        <f>IF(T853="within",1,0)</f>
        <v>1</v>
      </c>
      <c r="V853" s="92">
        <v>180</v>
      </c>
      <c r="W853" s="69">
        <f>F853*V853</f>
        <v>5760</v>
      </c>
      <c r="X853" s="69">
        <v>9</v>
      </c>
      <c r="Y853" s="87">
        <f>AV852</f>
        <v>52.8</v>
      </c>
      <c r="Z853" s="69" t="s">
        <v>68</v>
      </c>
      <c r="AA853" s="69">
        <v>4224</v>
      </c>
      <c r="AB853" s="69" t="str">
        <f>IF(AA853&lt;60,"1",IF(AA853&lt;=43200,"2",IF(AA853&lt;=777600,"3","4")))</f>
        <v>2</v>
      </c>
      <c r="AC853" s="72">
        <f>AVERAGE(AV852:DA852)</f>
        <v>1554.6666666666667</v>
      </c>
      <c r="AD853" s="69" t="str">
        <f>IF(AC853&lt;60,"1",IF(AC853&lt;=43200,"2",IF(AC853&lt;=777600,"3","4")))</f>
        <v>2</v>
      </c>
      <c r="AE853" s="87">
        <f>AA853-Y853</f>
        <v>4171.2</v>
      </c>
      <c r="AF853" s="88">
        <f>AV853</f>
        <v>0.50155815663837</v>
      </c>
      <c r="AG853" s="72">
        <f>((AW853-AV853)+(AX853-AW853)+(AY853-AX853)+(AZ853-AY853)+(BA853-AZ853)+(BB853-BA853)+(BC853-BB853)+(BD853-BC853))/8</f>
        <v>-3.0249273899006494E-2</v>
      </c>
      <c r="AH853" s="4"/>
      <c r="AI853" s="72">
        <f>RSQ(AV853:BD853,AV852:BD852)</f>
        <v>0.26768765388966359</v>
      </c>
      <c r="AJ853" s="110">
        <f>SLOPE(AV853:BD853,AV852:BD852)</f>
        <v>-3.3212806427779019E-5</v>
      </c>
      <c r="AK853" s="72">
        <f>INTERCEPT(AV853:BD853,AV852:BD852)</f>
        <v>0.34497341179935831</v>
      </c>
      <c r="AL853" s="72">
        <f>INDEX(LINEST(LN(AV853:BD853),LN(AV852:BD852),TRUE,TRUE),3,1)</f>
        <v>0.68499199472360295</v>
      </c>
      <c r="AM853" s="72">
        <f>INDEX(LINEST(LN(AV853:BD853),LN(AV852:BD852)),1)</f>
        <v>-0.15658516371995584</v>
      </c>
      <c r="AN853" s="72">
        <f>EXP(INDEX(LINEST(LN(AV853:BD853),LN(AV852:BD852)),1,2))</f>
        <v>0.81072565736884405</v>
      </c>
      <c r="AO853" s="89">
        <f>INDEX(LINEST((AV853:BD853),LN(AV852:BD852),TRUE,TRUE),3,1)</f>
        <v>0.70567157137799008</v>
      </c>
      <c r="AP853" s="89">
        <f>INDEX(LINEST((AV853:BD853),LN(AV852:BD852)),1)</f>
        <v>-5.4965543019159055E-2</v>
      </c>
      <c r="AQ853" s="90">
        <f>INDEX(LINEST(LN(AV853:BD853),SQRT(AV852:BD852),TRUE,TRUE),3,1)</f>
        <v>0.43627427012643355</v>
      </c>
      <c r="AR853" s="117">
        <f>INDEX(LINEST(LN(AV853:BD853),SQRT((AV852:BD852))),1)</f>
        <v>-9.0509064786974333E-3</v>
      </c>
      <c r="AS853" s="91">
        <f>INDEX(LINEST(1/(AV853:BD853),1/(SQRT(AV852:BD852)),TRUE,TRUE),3,1)</f>
        <v>0.77734964797465578</v>
      </c>
      <c r="AT853" s="91">
        <f>INDEX(LINEST(1/(AV853:BD853),1/SQRT(AV852:BD852)),1)</f>
        <v>-18.501117023980193</v>
      </c>
      <c r="AU853" s="3"/>
      <c r="AV853" s="73">
        <v>0.50155815663837</v>
      </c>
      <c r="AW853" s="73">
        <v>0.398373907732196</v>
      </c>
      <c r="AX853" s="73">
        <v>0.249775625444074</v>
      </c>
      <c r="AY853" s="73">
        <v>0.232028221333034</v>
      </c>
      <c r="AZ853" s="73">
        <v>0.27096343941263701</v>
      </c>
      <c r="BA853" s="73">
        <v>0.23842289617690701</v>
      </c>
      <c r="BB853" s="73">
        <v>0.244375054535482</v>
      </c>
      <c r="BC853" s="73">
        <v>0.24498585193772299</v>
      </c>
      <c r="BD853" s="73">
        <v>0.25956396544631799</v>
      </c>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1"/>
      <c r="CS853" s="1"/>
      <c r="CT853" s="1"/>
      <c r="CU853" s="1"/>
    </row>
    <row r="854" spans="1:99" s="13" customFormat="1" ht="12" customHeight="1" x14ac:dyDescent="0.2">
      <c r="A854" s="68">
        <v>43509</v>
      </c>
      <c r="B854" s="70"/>
      <c r="C854" s="70"/>
      <c r="D854" s="69"/>
      <c r="E854" s="87"/>
      <c r="F854" s="69"/>
      <c r="G854" s="69"/>
      <c r="H854" s="69"/>
      <c r="I854" s="69"/>
      <c r="J854" s="69"/>
      <c r="K854" s="107"/>
      <c r="L854" s="107"/>
      <c r="M854" s="69"/>
      <c r="N854" s="69"/>
      <c r="O854" s="69"/>
      <c r="P854" s="69"/>
      <c r="Q854" s="69"/>
      <c r="R854" s="69"/>
      <c r="S854" s="69"/>
      <c r="T854" s="69"/>
      <c r="U854" s="69"/>
      <c r="V854" s="69"/>
      <c r="W854" s="69"/>
      <c r="X854" s="69"/>
      <c r="Y854" s="87"/>
      <c r="Z854" s="69"/>
      <c r="AA854" s="69"/>
      <c r="AB854" s="69"/>
      <c r="AC854" s="69"/>
      <c r="AD854" s="69"/>
      <c r="AE854" s="69"/>
      <c r="AF854" s="88"/>
      <c r="AG854" s="72"/>
      <c r="AH854" s="4"/>
      <c r="AI854" s="72"/>
      <c r="AJ854" s="110"/>
      <c r="AK854" s="72"/>
      <c r="AL854" s="72"/>
      <c r="AM854" s="72"/>
      <c r="AN854" s="72"/>
      <c r="AO854" s="72"/>
      <c r="AP854" s="72"/>
      <c r="AQ854" s="89"/>
      <c r="AR854" s="118"/>
      <c r="AS854" s="89"/>
      <c r="AT854" s="89"/>
      <c r="AU854" s="5"/>
      <c r="AV854" s="71">
        <f>60*0.88</f>
        <v>52.8</v>
      </c>
      <c r="AW854" s="71">
        <f>60*3.52</f>
        <v>211.2</v>
      </c>
      <c r="AX854" s="71">
        <f>60*7.04</f>
        <v>422.4</v>
      </c>
      <c r="AY854" s="71">
        <f>60*10.56</f>
        <v>633.6</v>
      </c>
      <c r="AZ854" s="71">
        <f>60*18.48</f>
        <v>1108.8</v>
      </c>
      <c r="BA854" s="71">
        <f>60*29.92</f>
        <v>1795.2</v>
      </c>
      <c r="BB854" s="71">
        <f>60*39.6</f>
        <v>2376</v>
      </c>
      <c r="BC854" s="71">
        <f>60*52.8</f>
        <v>3168</v>
      </c>
      <c r="BD854" s="71">
        <f>60*70.4</f>
        <v>4224</v>
      </c>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1"/>
      <c r="CS854" s="1"/>
      <c r="CT854" s="1"/>
      <c r="CU854" s="1"/>
    </row>
    <row r="855" spans="1:99" s="13" customFormat="1" ht="12" customHeight="1" x14ac:dyDescent="0.2">
      <c r="A855" s="68">
        <v>43509</v>
      </c>
      <c r="B855" s="70" t="s">
        <v>247</v>
      </c>
      <c r="C855" s="70" t="s">
        <v>45</v>
      </c>
      <c r="D855" s="69">
        <v>1999</v>
      </c>
      <c r="E855" s="87">
        <v>1</v>
      </c>
      <c r="F855" s="69">
        <v>32</v>
      </c>
      <c r="G855" s="69">
        <v>32</v>
      </c>
      <c r="H855" s="69" t="s">
        <v>41</v>
      </c>
      <c r="I855" s="69" t="s">
        <v>737</v>
      </c>
      <c r="J855" s="69" t="s">
        <v>16</v>
      </c>
      <c r="K855" s="69">
        <f>IF(J855="syllables",1,IF(J855="trigrams",2,IF(J855="strings",3,IF(J855="visual array",4,IF(J855="characters",5,IF(J855="letters",6,IF(J855="free forms",7,IF(J855="odors",8,IF(J855="words",9,IF(J855="pictures",10,IF(J855="object pictures",11,IF(J855="faces",12,IF(J855="names",13,IF(J855="idioms",14,IF(J855="grades",15,IF(J855="syllable-digit pairs",16,IF(J855="trigram-word pairs",17,IF(J855="word-digit pairs",18,IF(J855="English-Swahili pairs",19,IF(J855="spatial position",20,IF(J855="word pairs",21,IF(J855="word triads",22,IF(J855="generated words",23,IF(J855="word definition pairs",24,IF(J855="math problems",25,IF(J855="famous faces",26,IF(J855="famous names",27,IF(J855="famous voices",28,IF(J855="television programs",29,IF(J855="race horses",30,IF(J855="new vocabulary",31,IF(J855="sentences",32,IF(J855="concepts",33,IF(J855="ad slides",34,IF(J855="scenes",35,IF(J855="famous scenes",36,IF(J855="poems",37,IF(J855="walk",38,IF(J855="faces and events",39,IF(J855="events and names",40,IF(J855="flashbulb",41,IF(J855="stories",42,IF(J855="course material",43,IF(J855="autobiographical",44,IF(J855="novels",45,IF(J855="public events",46,"99"))))))))))))))))))))))))))))))))))))))))))))))</f>
        <v>9</v>
      </c>
      <c r="L855" s="69">
        <f>IF(J855="syllables",1,IF(J855="trigrams",1,IF(J855="strings",1,IF(J855="visual array",1,IF(J855="characters",1,IF(J855="letters",1,IF(J855="free forms",1,IF(J855="odors",2,IF(J855="words",2,IF(J855="pictures",2,IF(J855="object pictures",2,IF(J855="faces",2,IF(J855="names",2,IF(J855="idioms","2",IF(J855="grades",2,IF(J855="syllable-digit pairs",3,IF(J855="trigram-word pairs",3,IF(J855="word-digit pairs",3,IF(J855="English-Swahili pairs",3,IF(J855="spatial position",3,IF(J855="word pairs",4,IF(J855="word triads",4,IF(J855="generated words",4,IF(J855="word definition pairs",4,IF(J855="math problems",4,IF(J855="famous faces",4,IF(J855="famous names",4,IF(J855="famous voices",4,IF(J855="television programs",4,IF(J855="race horses",4,IF(J855="new vocabulary",4,IF(J855="sentences",5,IF(J855="concepts",5,IF(J855="ad slides",5,IF(J855="scenes",5,IF(J855="famous scenes",5,IF(J855="poems",6,IF(J855="walk",6,IF(J855="faces and events",6,IF(J855="events and names",6,IF(J855="flashbulb",7,IF(J855="stories",7,IF(J855="course material",7,IF(J855="autobiographical",7,IF(J855="novels",7,IF(J855="public events",7,"99"))))))))))))))))))))))))))))))))))))))))))))))</f>
        <v>2</v>
      </c>
      <c r="M855" s="69">
        <v>0</v>
      </c>
      <c r="N855" s="69">
        <v>1</v>
      </c>
      <c r="O855" s="69">
        <v>0</v>
      </c>
      <c r="P855" s="69"/>
      <c r="Q855" s="69" t="s">
        <v>64</v>
      </c>
      <c r="R855" s="69">
        <f>IF(Q855="Free Recall",1,IF(Q855="Cued Recall",2,IF(Q855="Recognition",3,IF(Q855="Multiple Choice",4,IF(Q855="Savings",5,IF(Q855="Stem Completion",6,IF(Q855="Fragment Completion",7,IF(Q855="anagram solution",8,IF(Q855="Matching",9,IF(Q855="Problem Solving",10,"99"))))))))))</f>
        <v>6</v>
      </c>
      <c r="S855" s="69" t="s">
        <v>49</v>
      </c>
      <c r="T855" s="92" t="s">
        <v>581</v>
      </c>
      <c r="U855" s="69">
        <f>IF(T855="within",1,0)</f>
        <v>1</v>
      </c>
      <c r="V855" s="92">
        <v>180</v>
      </c>
      <c r="W855" s="69">
        <f>F855*V855</f>
        <v>5760</v>
      </c>
      <c r="X855" s="69">
        <v>9</v>
      </c>
      <c r="Y855" s="87">
        <f>AV854</f>
        <v>52.8</v>
      </c>
      <c r="Z855" s="69" t="s">
        <v>68</v>
      </c>
      <c r="AA855" s="69">
        <v>4224</v>
      </c>
      <c r="AB855" s="69" t="str">
        <f>IF(AA855&lt;60,"1",IF(AA855&lt;=43200,"2",IF(AA855&lt;=777600,"3","4")))</f>
        <v>2</v>
      </c>
      <c r="AC855" s="72">
        <f>AVERAGE(AV854:DA854)</f>
        <v>1554.6666666666667</v>
      </c>
      <c r="AD855" s="69" t="str">
        <f>IF(AC855&lt;60,"1",IF(AC855&lt;=43200,"2",IF(AC855&lt;=777600,"3","4")))</f>
        <v>2</v>
      </c>
      <c r="AE855" s="87">
        <f>AA855-Y855</f>
        <v>4171.2</v>
      </c>
      <c r="AF855" s="88">
        <f>AV855</f>
        <v>0.20679231641798401</v>
      </c>
      <c r="AG855" s="72">
        <f>((AW855-AV855)+(AX855-AW855)+(AY855-AX855)+(AZ855-AY855)+(BA855-AZ855)+(BB855-BA855)+(BC855-BB855)+(BD855-BC855))/8</f>
        <v>-7.694567019433253E-3</v>
      </c>
      <c r="AH855" s="4"/>
      <c r="AI855" s="72">
        <f>RSQ(AV855:BD855,AV854:BD854)</f>
        <v>2.1375681095973795E-2</v>
      </c>
      <c r="AJ855" s="110">
        <f>SLOPE(AV855:BD855,AV854:BD854)</f>
        <v>-3.287121151083069E-6</v>
      </c>
      <c r="AK855" s="72">
        <f>INTERCEPT(AV855:BD855,AV854:BD854)</f>
        <v>0.17325729315600225</v>
      </c>
      <c r="AL855" s="72">
        <f>INDEX(LINEST(LN(AV855:BD855),LN(AV854:BD854),TRUE,TRUE),3,1)</f>
        <v>9.5307926813173793E-2</v>
      </c>
      <c r="AM855" s="72">
        <f>INDEX(LINEST(LN(AV855:BD855),LN(AV854:BD854)),1)</f>
        <v>-4.656993122468521E-2</v>
      </c>
      <c r="AN855" s="72">
        <f>EXP(INDEX(LINEST(LN(AV855:BD855),LN(AV854:BD854)),1,2))</f>
        <v>0.22561463686222014</v>
      </c>
      <c r="AO855" s="89">
        <f>INDEX(LINEST((AV855:BD855),LN(AV854:BD854),TRUE,TRUE),3,1)</f>
        <v>9.8777651397519289E-2</v>
      </c>
      <c r="AP855" s="89">
        <f>INDEX(LINEST((AV855:BD855),LN(AV854:BD854)),1)</f>
        <v>-7.2024936871050178E-3</v>
      </c>
      <c r="AQ855" s="90">
        <f>INDEX(LINEST(LN(AV855:BD855),SQRT(AV854:BD854),TRUE,TRUE),3,1)</f>
        <v>4.7854784218713392E-2</v>
      </c>
      <c r="AR855" s="117">
        <f>INDEX(LINEST(LN(AV855:BD855),SQRT((AV854:BD854))),1)</f>
        <v>-2.3900565725873718E-3</v>
      </c>
      <c r="AS855" s="91">
        <f>INDEX(LINEST(1/(AV855:BD855),1/(SQRT(AV854:BD854)),TRUE,TRUE),3,1)</f>
        <v>0.12055394623761148</v>
      </c>
      <c r="AT855" s="91">
        <f>INDEX(LINEST(1/(AV855:BD855),1/SQRT(AV854:BD854)),1)</f>
        <v>-13.281314347420542</v>
      </c>
      <c r="AU855" s="3"/>
      <c r="AV855" s="73">
        <v>0.20679231641798401</v>
      </c>
      <c r="AW855" s="73">
        <v>0.16008501302618899</v>
      </c>
      <c r="AX855" s="73">
        <v>0.176769754309861</v>
      </c>
      <c r="AY855" s="73">
        <v>0.15076100370218001</v>
      </c>
      <c r="AZ855" s="73">
        <v>0.185557757750271</v>
      </c>
      <c r="BA855" s="73">
        <v>0.10343667028159</v>
      </c>
      <c r="BB855" s="73">
        <v>0.17826558468269699</v>
      </c>
      <c r="BC855" s="73">
        <v>0.20641835882477599</v>
      </c>
      <c r="BD855" s="73">
        <v>0.14523578026251799</v>
      </c>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1"/>
      <c r="CS855" s="1"/>
      <c r="CT855" s="1"/>
      <c r="CU855" s="1"/>
    </row>
    <row r="856" spans="1:99" s="13" customFormat="1" ht="12" customHeight="1" x14ac:dyDescent="0.2">
      <c r="A856" s="68">
        <v>43509</v>
      </c>
      <c r="B856" s="70"/>
      <c r="C856" s="70"/>
      <c r="D856" s="69"/>
      <c r="E856" s="87"/>
      <c r="F856" s="69"/>
      <c r="G856" s="69"/>
      <c r="H856" s="69"/>
      <c r="I856" s="69"/>
      <c r="J856" s="69"/>
      <c r="K856" s="107"/>
      <c r="L856" s="107"/>
      <c r="M856" s="69"/>
      <c r="N856" s="69"/>
      <c r="O856" s="69"/>
      <c r="P856" s="69"/>
      <c r="Q856" s="69"/>
      <c r="R856" s="69"/>
      <c r="S856" s="69"/>
      <c r="T856" s="92"/>
      <c r="U856" s="69"/>
      <c r="V856" s="92"/>
      <c r="W856" s="69"/>
      <c r="X856" s="69"/>
      <c r="Y856" s="87"/>
      <c r="Z856" s="69"/>
      <c r="AA856" s="69"/>
      <c r="AB856" s="69"/>
      <c r="AC856" s="69"/>
      <c r="AD856" s="69"/>
      <c r="AE856" s="69"/>
      <c r="AF856" s="88"/>
      <c r="AG856" s="72"/>
      <c r="AH856" s="4"/>
      <c r="AI856" s="72"/>
      <c r="AJ856" s="110"/>
      <c r="AK856" s="72"/>
      <c r="AL856" s="72"/>
      <c r="AM856" s="72"/>
      <c r="AN856" s="72"/>
      <c r="AO856" s="72"/>
      <c r="AP856" s="72"/>
      <c r="AQ856" s="89"/>
      <c r="AR856" s="118"/>
      <c r="AS856" s="89"/>
      <c r="AT856" s="89"/>
      <c r="AU856" s="5"/>
      <c r="AV856" s="71">
        <f>60*0.88</f>
        <v>52.8</v>
      </c>
      <c r="AW856" s="71">
        <f>60*3.52</f>
        <v>211.2</v>
      </c>
      <c r="AX856" s="71">
        <f>60*7.04</f>
        <v>422.4</v>
      </c>
      <c r="AY856" s="71">
        <f>60*10.56</f>
        <v>633.6</v>
      </c>
      <c r="AZ856" s="71">
        <f>60*18.48</f>
        <v>1108.8</v>
      </c>
      <c r="BA856" s="71">
        <f>60*29.92</f>
        <v>1795.2</v>
      </c>
      <c r="BB856" s="71">
        <f>60*39.6</f>
        <v>2376</v>
      </c>
      <c r="BC856" s="71">
        <f>60*52.8</f>
        <v>3168</v>
      </c>
      <c r="BD856" s="71">
        <f>60*70.4</f>
        <v>4224</v>
      </c>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1"/>
      <c r="CS856" s="1"/>
      <c r="CT856" s="1"/>
      <c r="CU856" s="1"/>
    </row>
    <row r="857" spans="1:99" s="13" customFormat="1" ht="12" customHeight="1" x14ac:dyDescent="0.2">
      <c r="A857" s="68">
        <v>43509</v>
      </c>
      <c r="B857" s="70" t="s">
        <v>247</v>
      </c>
      <c r="C857" s="70" t="s">
        <v>45</v>
      </c>
      <c r="D857" s="69">
        <v>1999</v>
      </c>
      <c r="E857" s="87">
        <v>1</v>
      </c>
      <c r="F857" s="69">
        <v>32</v>
      </c>
      <c r="G857" s="69">
        <v>32</v>
      </c>
      <c r="H857" s="69" t="s">
        <v>41</v>
      </c>
      <c r="I857" s="69" t="s">
        <v>738</v>
      </c>
      <c r="J857" s="69" t="s">
        <v>16</v>
      </c>
      <c r="K857" s="69">
        <f>IF(J857="syllables",1,IF(J857="trigrams",2,IF(J857="strings",3,IF(J857="visual array",4,IF(J857="characters",5,IF(J857="letters",6,IF(J857="free forms",7,IF(J857="odors",8,IF(J857="words",9,IF(J857="pictures",10,IF(J857="object pictures",11,IF(J857="faces",12,IF(J857="names",13,IF(J857="idioms",14,IF(J857="grades",15,IF(J857="syllable-digit pairs",16,IF(J857="trigram-word pairs",17,IF(J857="word-digit pairs",18,IF(J857="English-Swahili pairs",19,IF(J857="spatial position",20,IF(J857="word pairs",21,IF(J857="word triads",22,IF(J857="generated words",23,IF(J857="word definition pairs",24,IF(J857="math problems",25,IF(J857="famous faces",26,IF(J857="famous names",27,IF(J857="famous voices",28,IF(J857="television programs",29,IF(J857="race horses",30,IF(J857="new vocabulary",31,IF(J857="sentences",32,IF(J857="concepts",33,IF(J857="ad slides",34,IF(J857="scenes",35,IF(J857="famous scenes",36,IF(J857="poems",37,IF(J857="walk",38,IF(J857="faces and events",39,IF(J857="events and names",40,IF(J857="flashbulb",41,IF(J857="stories",42,IF(J857="course material",43,IF(J857="autobiographical",44,IF(J857="novels",45,IF(J857="public events",46,"99"))))))))))))))))))))))))))))))))))))))))))))))</f>
        <v>9</v>
      </c>
      <c r="L857" s="69">
        <f>IF(J857="syllables",1,IF(J857="trigrams",1,IF(J857="strings",1,IF(J857="visual array",1,IF(J857="characters",1,IF(J857="letters",1,IF(J857="free forms",1,IF(J857="odors",2,IF(J857="words",2,IF(J857="pictures",2,IF(J857="object pictures",2,IF(J857="faces",2,IF(J857="names",2,IF(J857="idioms","2",IF(J857="grades",2,IF(J857="syllable-digit pairs",3,IF(J857="trigram-word pairs",3,IF(J857="word-digit pairs",3,IF(J857="English-Swahili pairs",3,IF(J857="spatial position",3,IF(J857="word pairs",4,IF(J857="word triads",4,IF(J857="generated words",4,IF(J857="word definition pairs",4,IF(J857="math problems",4,IF(J857="famous faces",4,IF(J857="famous names",4,IF(J857="famous voices",4,IF(J857="television programs",4,IF(J857="race horses",4,IF(J857="new vocabulary",4,IF(J857="sentences",5,IF(J857="concepts",5,IF(J857="ad slides",5,IF(J857="scenes",5,IF(J857="famous scenes",5,IF(J857="poems",6,IF(J857="walk",6,IF(J857="faces and events",6,IF(J857="events and names",6,IF(J857="flashbulb",7,IF(J857="stories",7,IF(J857="course material",7,IF(J857="autobiographical",7,IF(J857="novels",7,IF(J857="public events",7,"99"))))))))))))))))))))))))))))))))))))))))))))))</f>
        <v>2</v>
      </c>
      <c r="M857" s="69">
        <v>0</v>
      </c>
      <c r="N857" s="69">
        <v>1</v>
      </c>
      <c r="O857" s="69">
        <v>0</v>
      </c>
      <c r="P857" s="69"/>
      <c r="Q857" s="69" t="s">
        <v>64</v>
      </c>
      <c r="R857" s="69">
        <f>IF(Q857="Free Recall",1,IF(Q857="Cued Recall",2,IF(Q857="Recognition",3,IF(Q857="Multiple Choice",4,IF(Q857="Savings",5,IF(Q857="Stem Completion",6,IF(Q857="Fragment Completion",7,IF(Q857="anagram solution",8,IF(Q857="Matching",9,IF(Q857="Problem Solving",10,"99"))))))))))</f>
        <v>6</v>
      </c>
      <c r="S857" s="69" t="s">
        <v>49</v>
      </c>
      <c r="T857" s="92" t="s">
        <v>581</v>
      </c>
      <c r="U857" s="69">
        <f>IF(T857="within",1,0)</f>
        <v>1</v>
      </c>
      <c r="V857" s="92">
        <v>180</v>
      </c>
      <c r="W857" s="69">
        <f>F857*V857</f>
        <v>5760</v>
      </c>
      <c r="X857" s="69">
        <v>9</v>
      </c>
      <c r="Y857" s="87">
        <f>AV856</f>
        <v>52.8</v>
      </c>
      <c r="Z857" s="69" t="s">
        <v>68</v>
      </c>
      <c r="AA857" s="69">
        <v>4224</v>
      </c>
      <c r="AB857" s="69" t="str">
        <f>IF(AA857&lt;60,"1",IF(AA857&lt;=43200,"2",IF(AA857&lt;=777600,"3","4")))</f>
        <v>2</v>
      </c>
      <c r="AC857" s="72">
        <f>AVERAGE(AV856:DA856)</f>
        <v>1554.6666666666667</v>
      </c>
      <c r="AD857" s="69" t="str">
        <f>IF(AC857&lt;60,"1",IF(AC857&lt;=43200,"2",IF(AC857&lt;=777600,"3","4")))</f>
        <v>2</v>
      </c>
      <c r="AE857" s="87">
        <f>AA857-Y857</f>
        <v>4171.2</v>
      </c>
      <c r="AF857" s="88">
        <f>AV857</f>
        <v>0.328004437630106</v>
      </c>
      <c r="AG857" s="72">
        <f>((AW857-AV857)+(AX857-AW857)+(AY857-AX857)+(AZ857-AY857)+(BA857-AZ857)+(BB857-BA857)+(BC857-BB857)+(BD857-BC857))/8</f>
        <v>-2.0091261234309377E-2</v>
      </c>
      <c r="AH857" s="4"/>
      <c r="AI857" s="72">
        <f>RSQ(AV857:BD857,AV856:BD856)</f>
        <v>0.57789981511899402</v>
      </c>
      <c r="AJ857" s="110">
        <f>SLOPE(AV857:BD857,AV856:BD856)</f>
        <v>-2.7497725717648903E-5</v>
      </c>
      <c r="AK857" s="72">
        <f>INTERCEPT(AV857:BD857,AV856:BD856)</f>
        <v>0.26124767918185704</v>
      </c>
      <c r="AL857" s="72">
        <f>INDEX(LINEST(LN(AV857:BD857),LN(AV856:BD856),TRUE,TRUE),3,1)</f>
        <v>0.84950715423643408</v>
      </c>
      <c r="AM857" s="72">
        <f>INDEX(LINEST(LN(AV857:BD857),LN(AV856:BD856)),1)</f>
        <v>-0.14891790493837317</v>
      </c>
      <c r="AN857" s="72">
        <f>EXP(INDEX(LINEST(LN(AV857:BD857),LN(AV856:BD856)),1,2))</f>
        <v>0.58044119745598721</v>
      </c>
      <c r="AO857" s="89">
        <f>INDEX(LINEST((AV857:BD857),LN(AV856:BD856),TRUE,TRUE),3,1)</f>
        <v>0.88544006718890833</v>
      </c>
      <c r="AP857" s="89">
        <f>INDEX(LINEST((AV857:BD857),LN(AV856:BD856)),1)</f>
        <v>-3.4693482125625251E-2</v>
      </c>
      <c r="AQ857" s="90">
        <f>INDEX(LINEST(LN(AV857:BD857),SQRT(AV856:BD856),TRUE,TRUE),3,1)</f>
        <v>0.75146650590043984</v>
      </c>
      <c r="AR857" s="117">
        <f>INDEX(LINEST(LN(AV857:BD857),SQRT((AV856:BD856))),1)</f>
        <v>-1.0144312650974947E-2</v>
      </c>
      <c r="AS857" s="91">
        <f>INDEX(LINEST(1/(AV857:BD857),1/(SQRT(AV856:BD856)),TRUE,TRUE),3,1)</f>
        <v>0.6814319380134134</v>
      </c>
      <c r="AT857" s="91">
        <f>INDEX(LINEST(1/(AV857:BD857),1/SQRT(AV856:BD856)),1)</f>
        <v>-22.601497269375209</v>
      </c>
      <c r="AU857" s="3"/>
      <c r="AV857" s="73">
        <v>0.328004437630106</v>
      </c>
      <c r="AW857" s="73">
        <v>0.253742692245366</v>
      </c>
      <c r="AX857" s="73">
        <v>0.23737893122919801</v>
      </c>
      <c r="AY857" s="73">
        <v>0.219631527118158</v>
      </c>
      <c r="AZ857" s="73">
        <v>0.22413148348977199</v>
      </c>
      <c r="BA857" s="73">
        <v>0.15440085760941299</v>
      </c>
      <c r="BB857" s="73">
        <v>0.20029791954925599</v>
      </c>
      <c r="BC857" s="73">
        <v>0.18161873776847001</v>
      </c>
      <c r="BD857" s="73">
        <v>0.16727434775563099</v>
      </c>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1"/>
      <c r="CS857" s="1"/>
      <c r="CT857" s="1"/>
      <c r="CU857" s="1"/>
    </row>
    <row r="858" spans="1:99" s="13" customFormat="1" ht="12" customHeight="1" x14ac:dyDescent="0.2">
      <c r="A858" s="68">
        <v>43509</v>
      </c>
      <c r="B858" s="70"/>
      <c r="C858" s="70"/>
      <c r="D858" s="69"/>
      <c r="E858" s="87"/>
      <c r="F858" s="69"/>
      <c r="G858" s="69"/>
      <c r="H858" s="69"/>
      <c r="I858" s="69"/>
      <c r="J858" s="69"/>
      <c r="K858" s="107"/>
      <c r="L858" s="107"/>
      <c r="M858" s="69"/>
      <c r="N858" s="69"/>
      <c r="O858" s="69"/>
      <c r="P858" s="69"/>
      <c r="Q858" s="69"/>
      <c r="R858" s="69"/>
      <c r="S858" s="69"/>
      <c r="T858" s="69"/>
      <c r="U858" s="69"/>
      <c r="V858" s="69"/>
      <c r="W858" s="69"/>
      <c r="X858" s="69"/>
      <c r="Y858" s="87"/>
      <c r="Z858" s="69"/>
      <c r="AA858" s="69"/>
      <c r="AB858" s="69"/>
      <c r="AC858" s="69"/>
      <c r="AD858" s="69"/>
      <c r="AE858" s="69"/>
      <c r="AF858" s="88"/>
      <c r="AG858" s="72"/>
      <c r="AH858" s="4"/>
      <c r="AI858" s="72"/>
      <c r="AJ858" s="110"/>
      <c r="AK858" s="72"/>
      <c r="AL858" s="72"/>
      <c r="AM858" s="72"/>
      <c r="AN858" s="72"/>
      <c r="AO858" s="72"/>
      <c r="AP858" s="72"/>
      <c r="AQ858" s="89"/>
      <c r="AR858" s="118"/>
      <c r="AS858" s="89"/>
      <c r="AT858" s="89"/>
      <c r="AU858" s="4"/>
      <c r="AV858" s="71">
        <f>60*0.85</f>
        <v>51</v>
      </c>
      <c r="AW858" s="71">
        <f>60*2.55</f>
        <v>153</v>
      </c>
      <c r="AX858" s="71">
        <f>60*5.1</f>
        <v>306</v>
      </c>
      <c r="AY858" s="71">
        <f>60*7.65</f>
        <v>459</v>
      </c>
      <c r="AZ858" s="71">
        <f>60*10.2</f>
        <v>612</v>
      </c>
      <c r="BA858" s="71">
        <f>60*12.75</f>
        <v>765</v>
      </c>
      <c r="BB858" s="73"/>
      <c r="BC858" s="73"/>
      <c r="BD858" s="73"/>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1"/>
      <c r="CS858" s="1"/>
      <c r="CT858" s="1"/>
      <c r="CU858" s="1"/>
    </row>
    <row r="859" spans="1:99" s="13" customFormat="1" ht="12" customHeight="1" x14ac:dyDescent="0.2">
      <c r="A859" s="68">
        <v>43509</v>
      </c>
      <c r="B859" s="70" t="s">
        <v>247</v>
      </c>
      <c r="C859" s="70" t="s">
        <v>45</v>
      </c>
      <c r="D859" s="69">
        <v>1999</v>
      </c>
      <c r="E859" s="87">
        <v>2</v>
      </c>
      <c r="F859" s="69">
        <v>25</v>
      </c>
      <c r="G859" s="69">
        <v>25</v>
      </c>
      <c r="H859" s="69" t="s">
        <v>769</v>
      </c>
      <c r="I859" s="69" t="s">
        <v>735</v>
      </c>
      <c r="J859" s="69" t="s">
        <v>16</v>
      </c>
      <c r="K859" s="69">
        <f>IF(J859="syllables",1,IF(J859="trigrams",2,IF(J859="strings",3,IF(J859="visual array",4,IF(J859="characters",5,IF(J859="letters",6,IF(J859="free forms",7,IF(J859="odors",8,IF(J859="words",9,IF(J859="pictures",10,IF(J859="object pictures",11,IF(J859="faces",12,IF(J859="names",13,IF(J859="idioms",14,IF(J859="grades",15,IF(J859="syllable-digit pairs",16,IF(J859="trigram-word pairs",17,IF(J859="word-digit pairs",18,IF(J859="English-Swahili pairs",19,IF(J859="spatial position",20,IF(J859="word pairs",21,IF(J859="word triads",22,IF(J859="generated words",23,IF(J859="word definition pairs",24,IF(J859="math problems",25,IF(J859="famous faces",26,IF(J859="famous names",27,IF(J859="famous voices",28,IF(J859="television programs",29,IF(J859="race horses",30,IF(J859="new vocabulary",31,IF(J859="sentences",32,IF(J859="concepts",33,IF(J859="ad slides",34,IF(J859="scenes",35,IF(J859="famous scenes",36,IF(J859="poems",37,IF(J859="walk",38,IF(J859="faces and events",39,IF(J859="events and names",40,IF(J859="flashbulb",41,IF(J859="stories",42,IF(J859="course material",43,IF(J859="autobiographical",44,IF(J859="novels",45,IF(J859="public events",46,"99"))))))))))))))))))))))))))))))))))))))))))))))</f>
        <v>9</v>
      </c>
      <c r="L859" s="69">
        <f>IF(J859="syllables",1,IF(J859="trigrams",1,IF(J859="strings",1,IF(J859="visual array",1,IF(J859="characters",1,IF(J859="letters",1,IF(J859="free forms",1,IF(J859="odors",2,IF(J859="words",2,IF(J859="pictures",2,IF(J859="object pictures",2,IF(J859="faces",2,IF(J859="names",2,IF(J859="idioms","2",IF(J859="grades",2,IF(J859="syllable-digit pairs",3,IF(J859="trigram-word pairs",3,IF(J859="word-digit pairs",3,IF(J859="English-Swahili pairs",3,IF(J859="spatial position",3,IF(J859="word pairs",4,IF(J859="word triads",4,IF(J859="generated words",4,IF(J859="word definition pairs",4,IF(J859="math problems",4,IF(J859="famous faces",4,IF(J859="famous names",4,IF(J859="famous voices",4,IF(J859="television programs",4,IF(J859="race horses",4,IF(J859="new vocabulary",4,IF(J859="sentences",5,IF(J859="concepts",5,IF(J859="ad slides",5,IF(J859="scenes",5,IF(J859="famous scenes",5,IF(J859="poems",6,IF(J859="walk",6,IF(J859="faces and events",6,IF(J859="events and names",6,IF(J859="flashbulb",7,IF(J859="stories",7,IF(J859="course material",7,IF(J859="autobiographical",7,IF(J859="novels",7,IF(J859="public events",7,"99"))))))))))))))))))))))))))))))))))))))))))))))</f>
        <v>2</v>
      </c>
      <c r="M859" s="69">
        <v>0</v>
      </c>
      <c r="N859" s="69">
        <v>1</v>
      </c>
      <c r="O859" s="69">
        <v>0</v>
      </c>
      <c r="P859" s="69"/>
      <c r="Q859" s="69" t="s">
        <v>64</v>
      </c>
      <c r="R859" s="69">
        <f>IF(Q859="Free Recall",1,IF(Q859="Cued Recall",2,IF(Q859="Recognition",3,IF(Q859="Multiple Choice",4,IF(Q859="Savings",5,IF(Q859="Stem Completion",6,IF(Q859="Fragment Completion",7,IF(Q859="anagram solution",8,IF(Q859="Matching",9,IF(Q859="Problem Solving",10,"99"))))))))))</f>
        <v>6</v>
      </c>
      <c r="S859" s="69" t="s">
        <v>49</v>
      </c>
      <c r="T859" s="92" t="s">
        <v>581</v>
      </c>
      <c r="U859" s="69">
        <f>IF(T859="within",1,0)</f>
        <v>1</v>
      </c>
      <c r="V859" s="92">
        <v>180</v>
      </c>
      <c r="W859" s="69">
        <f>F859*V859</f>
        <v>4500</v>
      </c>
      <c r="X859" s="69">
        <v>6</v>
      </c>
      <c r="Y859" s="87">
        <f>AV858</f>
        <v>51</v>
      </c>
      <c r="Z859" s="69" t="s">
        <v>69</v>
      </c>
      <c r="AA859" s="69">
        <v>765</v>
      </c>
      <c r="AB859" s="69" t="str">
        <f>IF(AA859&lt;60,"1",IF(AA859&lt;=43200,"2",IF(AA859&lt;=777600,"3","4")))</f>
        <v>2</v>
      </c>
      <c r="AC859" s="72">
        <f>AVERAGE(AV858:DA858)</f>
        <v>391</v>
      </c>
      <c r="AD859" s="69" t="str">
        <f>IF(AC859&lt;60,"1",IF(AC859&lt;=43200,"2",IF(AC859&lt;=777600,"3","4")))</f>
        <v>2</v>
      </c>
      <c r="AE859" s="87">
        <f>AA859-Y859</f>
        <v>714</v>
      </c>
      <c r="AF859" s="88">
        <f>AV859</f>
        <v>0.65440439093830804</v>
      </c>
      <c r="AG859" s="72">
        <f>((AW859-AV859)+(AX859-AW859)+(AY859-AX859)+(AZ859-AY859)+(BA859-AZ859))/5</f>
        <v>-6.6926587777185409E-2</v>
      </c>
      <c r="AH859" s="4"/>
      <c r="AI859" s="72">
        <f>RSQ(AV859:BA859,AV858:BA858)</f>
        <v>0.73542813598814294</v>
      </c>
      <c r="AJ859" s="110">
        <f>SLOPE(AV859:BA859,AV858:BA858)</f>
        <v>-4.5419039937949143E-4</v>
      </c>
      <c r="AK859" s="72">
        <f>INTERCEPT(AV859:BA859,AV858:BA858)</f>
        <v>0.59012270959737312</v>
      </c>
      <c r="AL859" s="72">
        <f>INDEX(LINEST(LN(AV859:BA859),LN(AV858:BA858),TRUE,TRUE),3,1)</f>
        <v>0.91837595205787137</v>
      </c>
      <c r="AM859" s="72">
        <f>INDEX(LINEST(LN(AV859:BA859),LN(AV858:BA858)),1)</f>
        <v>-0.30475135206540238</v>
      </c>
      <c r="AN859" s="72">
        <f>EXP(INDEX(LINEST(LN(AV859:BA859),LN(AV858:BA858)),1,2))</f>
        <v>2.2014195339278282</v>
      </c>
      <c r="AO859" s="89">
        <f>INDEX(LINEST((AV859:BA859),LN(AV858:BA858),TRUE,TRUE),3,1)</f>
        <v>0.93296604937998584</v>
      </c>
      <c r="AP859" s="89">
        <f>INDEX(LINEST((AV859:BA859),LN(AV858:BA858)),1)</f>
        <v>-0.1377929917236897</v>
      </c>
      <c r="AQ859" s="90">
        <f>INDEX(LINEST(LN(AV859:BA859),SQRT(AV858:BA858),TRUE,TRUE),3,1)</f>
        <v>0.8663688155877366</v>
      </c>
      <c r="AR859" s="117">
        <f>INDEX(LINEST(LN(AV859:BA859),SQRT((AV858:BA858))),1)</f>
        <v>-3.8805615640286485E-2</v>
      </c>
      <c r="AS859" s="91">
        <f>INDEX(LINEST(1/(AV859:BA859),1/(SQRT(AV858:BA858)),TRUE,TRUE),3,1)</f>
        <v>0.84023965909410514</v>
      </c>
      <c r="AT859" s="91">
        <f>INDEX(LINEST(1/(AV859:BA859),1/SQRT(AV858:BA858)),1)</f>
        <v>-17.711340349532467</v>
      </c>
      <c r="AU859" s="3"/>
      <c r="AV859" s="73">
        <v>0.65440439093830804</v>
      </c>
      <c r="AW859" s="73">
        <v>0.52407531515842298</v>
      </c>
      <c r="AX859" s="73">
        <v>0.339495453011187</v>
      </c>
      <c r="AY859" s="73">
        <v>0.35107939008223199</v>
      </c>
      <c r="AZ859" s="73">
        <v>0.28637957939741998</v>
      </c>
      <c r="BA859" s="73">
        <v>0.319771452052381</v>
      </c>
      <c r="BB859" s="73"/>
      <c r="BC859" s="73"/>
      <c r="BD859" s="73"/>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1"/>
      <c r="CS859" s="1"/>
      <c r="CT859" s="1"/>
      <c r="CU859" s="1"/>
    </row>
    <row r="860" spans="1:99" s="13" customFormat="1" ht="12" customHeight="1" x14ac:dyDescent="0.2">
      <c r="A860" s="68">
        <v>43509</v>
      </c>
      <c r="B860" s="70"/>
      <c r="C860" s="70"/>
      <c r="D860" s="69"/>
      <c r="E860" s="87"/>
      <c r="F860" s="69"/>
      <c r="G860" s="69"/>
      <c r="H860" s="69"/>
      <c r="I860" s="69"/>
      <c r="J860" s="69"/>
      <c r="K860" s="107"/>
      <c r="L860" s="107"/>
      <c r="M860" s="69"/>
      <c r="N860" s="69"/>
      <c r="O860" s="69"/>
      <c r="P860" s="69"/>
      <c r="Q860" s="69"/>
      <c r="R860" s="69"/>
      <c r="S860" s="69"/>
      <c r="T860" s="92"/>
      <c r="U860" s="69"/>
      <c r="V860" s="92"/>
      <c r="W860" s="69"/>
      <c r="X860" s="69"/>
      <c r="Y860" s="87"/>
      <c r="Z860" s="69"/>
      <c r="AA860" s="69"/>
      <c r="AB860" s="69"/>
      <c r="AC860" s="69"/>
      <c r="AD860" s="69"/>
      <c r="AE860" s="69"/>
      <c r="AF860" s="88"/>
      <c r="AG860" s="72"/>
      <c r="AH860" s="4"/>
      <c r="AI860" s="72"/>
      <c r="AJ860" s="110"/>
      <c r="AK860" s="72"/>
      <c r="AL860" s="72"/>
      <c r="AM860" s="72"/>
      <c r="AN860" s="72"/>
      <c r="AO860" s="72"/>
      <c r="AP860" s="72"/>
      <c r="AQ860" s="72"/>
      <c r="AR860" s="110"/>
      <c r="AS860" s="72"/>
      <c r="AT860" s="72"/>
      <c r="AU860" s="5"/>
      <c r="AV860" s="71">
        <f>60*0.85</f>
        <v>51</v>
      </c>
      <c r="AW860" s="71">
        <f>60*2.55</f>
        <v>153</v>
      </c>
      <c r="AX860" s="71">
        <f>60*5.1</f>
        <v>306</v>
      </c>
      <c r="AY860" s="71">
        <f>60*7.65</f>
        <v>459</v>
      </c>
      <c r="AZ860" s="71">
        <f>60*10.2</f>
        <v>612</v>
      </c>
      <c r="BA860" s="71">
        <f>60*12.75</f>
        <v>765</v>
      </c>
      <c r="BB860" s="73"/>
      <c r="BC860" s="73"/>
      <c r="BD860" s="73"/>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1"/>
      <c r="CS860" s="1"/>
      <c r="CT860" s="1"/>
      <c r="CU860" s="1"/>
    </row>
    <row r="861" spans="1:99" s="13" customFormat="1" ht="12" customHeight="1" x14ac:dyDescent="0.2">
      <c r="A861" s="68">
        <v>43509</v>
      </c>
      <c r="B861" s="70" t="s">
        <v>247</v>
      </c>
      <c r="C861" s="70" t="s">
        <v>45</v>
      </c>
      <c r="D861" s="69">
        <v>1999</v>
      </c>
      <c r="E861" s="87">
        <v>2</v>
      </c>
      <c r="F861" s="69">
        <v>25</v>
      </c>
      <c r="G861" s="69">
        <v>25</v>
      </c>
      <c r="H861" s="69" t="s">
        <v>769</v>
      </c>
      <c r="I861" s="69" t="s">
        <v>736</v>
      </c>
      <c r="J861" s="69" t="s">
        <v>16</v>
      </c>
      <c r="K861" s="69">
        <f>IF(J861="syllables",1,IF(J861="trigrams",2,IF(J861="strings",3,IF(J861="visual array",4,IF(J861="characters",5,IF(J861="letters",6,IF(J861="free forms",7,IF(J861="odors",8,IF(J861="words",9,IF(J861="pictures",10,IF(J861="object pictures",11,IF(J861="faces",12,IF(J861="names",13,IF(J861="idioms",14,IF(J861="grades",15,IF(J861="syllable-digit pairs",16,IF(J861="trigram-word pairs",17,IF(J861="word-digit pairs",18,IF(J861="English-Swahili pairs",19,IF(J861="spatial position",20,IF(J861="word pairs",21,IF(J861="word triads",22,IF(J861="generated words",23,IF(J861="word definition pairs",24,IF(J861="math problems",25,IF(J861="famous faces",26,IF(J861="famous names",27,IF(J861="famous voices",28,IF(J861="television programs",29,IF(J861="race horses",30,IF(J861="new vocabulary",31,IF(J861="sentences",32,IF(J861="concepts",33,IF(J861="ad slides",34,IF(J861="scenes",35,IF(J861="famous scenes",36,IF(J861="poems",37,IF(J861="walk",38,IF(J861="faces and events",39,IF(J861="events and names",40,IF(J861="flashbulb",41,IF(J861="stories",42,IF(J861="course material",43,IF(J861="autobiographical",44,IF(J861="novels",45,IF(J861="public events",46,"99"))))))))))))))))))))))))))))))))))))))))))))))</f>
        <v>9</v>
      </c>
      <c r="L861" s="69">
        <f>IF(J861="syllables",1,IF(J861="trigrams",1,IF(J861="strings",1,IF(J861="visual array",1,IF(J861="characters",1,IF(J861="letters",1,IF(J861="free forms",1,IF(J861="odors",2,IF(J861="words",2,IF(J861="pictures",2,IF(J861="object pictures",2,IF(J861="faces",2,IF(J861="names",2,IF(J861="idioms","2",IF(J861="grades",2,IF(J861="syllable-digit pairs",3,IF(J861="trigram-word pairs",3,IF(J861="word-digit pairs",3,IF(J861="English-Swahili pairs",3,IF(J861="spatial position",3,IF(J861="word pairs",4,IF(J861="word triads",4,IF(J861="generated words",4,IF(J861="word definition pairs",4,IF(J861="math problems",4,IF(J861="famous faces",4,IF(J861="famous names",4,IF(J861="famous voices",4,IF(J861="television programs",4,IF(J861="race horses",4,IF(J861="new vocabulary",4,IF(J861="sentences",5,IF(J861="concepts",5,IF(J861="ad slides",5,IF(J861="scenes",5,IF(J861="famous scenes",5,IF(J861="poems",6,IF(J861="walk",6,IF(J861="faces and events",6,IF(J861="events and names",6,IF(J861="flashbulb",7,IF(J861="stories",7,IF(J861="course material",7,IF(J861="autobiographical",7,IF(J861="novels",7,IF(J861="public events",7,"99"))))))))))))))))))))))))))))))))))))))))))))))</f>
        <v>2</v>
      </c>
      <c r="M861" s="69">
        <v>0</v>
      </c>
      <c r="N861" s="69">
        <v>1</v>
      </c>
      <c r="O861" s="69">
        <v>0</v>
      </c>
      <c r="P861" s="69"/>
      <c r="Q861" s="69" t="s">
        <v>64</v>
      </c>
      <c r="R861" s="69">
        <f>IF(Q861="Free Recall",1,IF(Q861="Cued Recall",2,IF(Q861="Recognition",3,IF(Q861="Multiple Choice",4,IF(Q861="Savings",5,IF(Q861="Stem Completion",6,IF(Q861="Fragment Completion",7,IF(Q861="anagram solution",8,IF(Q861="Matching",9,IF(Q861="Problem Solving",10,"99"))))))))))</f>
        <v>6</v>
      </c>
      <c r="S861" s="69" t="s">
        <v>49</v>
      </c>
      <c r="T861" s="92" t="s">
        <v>581</v>
      </c>
      <c r="U861" s="69">
        <f>IF(T861="within",1,0)</f>
        <v>1</v>
      </c>
      <c r="V861" s="92">
        <v>180</v>
      </c>
      <c r="W861" s="69">
        <f>F861*V861</f>
        <v>4500</v>
      </c>
      <c r="X861" s="69">
        <v>6</v>
      </c>
      <c r="Y861" s="87">
        <f>AV860</f>
        <v>51</v>
      </c>
      <c r="Z861" s="69" t="s">
        <v>69</v>
      </c>
      <c r="AA861" s="69">
        <v>765</v>
      </c>
      <c r="AB861" s="69" t="str">
        <f>IF(AA861&lt;60,"1",IF(AA861&lt;=43200,"2",IF(AA861&lt;=777600,"3","4")))</f>
        <v>2</v>
      </c>
      <c r="AC861" s="72">
        <f>AVERAGE(AV860:DA860)</f>
        <v>391</v>
      </c>
      <c r="AD861" s="69" t="str">
        <f>IF(AC861&lt;60,"1",IF(AC861&lt;=43200,"2",IF(AC861&lt;=777600,"3","4")))</f>
        <v>2</v>
      </c>
      <c r="AE861" s="87">
        <f>AA861-Y861</f>
        <v>714</v>
      </c>
      <c r="AF861" s="88">
        <f>AV861</f>
        <v>0.60263378028676096</v>
      </c>
      <c r="AG861" s="72">
        <f>((AW861-AV861)+(AX861-AW861)+(AY861-AX861)+(AZ861-AY861)+(BA861-AZ861))/5</f>
        <v>-6.9377901487616384E-2</v>
      </c>
      <c r="AH861" s="4"/>
      <c r="AI861" s="72">
        <f>RSQ(AV861:BA861,AV860:BA860)</f>
        <v>0.70818549260499519</v>
      </c>
      <c r="AJ861" s="110">
        <f>SLOPE(AV861:BA861,AV860:BA860)</f>
        <v>-4.3206636408438682E-4</v>
      </c>
      <c r="AK861" s="72">
        <f>INTERCEPT(AV861:BA861,AV860:BA860)</f>
        <v>0.51925828400418039</v>
      </c>
      <c r="AL861" s="72">
        <f>INDEX(LINEST(LN(AV861:BA861),LN(AV860:BA860),TRUE,TRUE),3,1)</f>
        <v>0.95282467639303337</v>
      </c>
      <c r="AM861" s="72">
        <f>INDEX(LINEST(LN(AV861:BA861),LN(AV860:BA860)),1)</f>
        <v>-0.34061755633118523</v>
      </c>
      <c r="AN861" s="72">
        <f>EXP(INDEX(LINEST(LN(AV861:BA861),LN(AV860:BA860)),1,2))</f>
        <v>2.2642765376595708</v>
      </c>
      <c r="AO861" s="89">
        <f>INDEX(LINEST((AV861:BA861),LN(AV860:BA860),TRUE,TRUE),3,1)</f>
        <v>0.94400157161077414</v>
      </c>
      <c r="AP861" s="89">
        <f>INDEX(LINEST((AV861:BA861),LN(AV860:BA860)),1)</f>
        <v>-0.13436609140778485</v>
      </c>
      <c r="AQ861" s="90">
        <f>INDEX(LINEST(LN(AV861:BA861),SQRT(AV860:BA860),TRUE,TRUE),3,1)</f>
        <v>0.88065508558406047</v>
      </c>
      <c r="AR861" s="117">
        <f>INDEX(LINEST(LN(AV861:BA861),SQRT((AV860:BA860))),1)</f>
        <v>-4.2931022956378406E-2</v>
      </c>
      <c r="AS861" s="91">
        <f>INDEX(LINEST(1/(AV861:BA861),1/(SQRT(AV860:BA860)),TRUE,TRUE),3,1)</f>
        <v>0.90753686727355953</v>
      </c>
      <c r="AT861" s="91">
        <f>INDEX(LINEST(1/(AV861:BA861),1/SQRT(AV860:BA860)),1)</f>
        <v>-23.186968252541945</v>
      </c>
      <c r="AU861" s="3"/>
      <c r="AV861" s="73">
        <v>0.60263378028676096</v>
      </c>
      <c r="AW861" s="73">
        <v>0.42871329266562602</v>
      </c>
      <c r="AX861" s="73">
        <v>0.28090313617485402</v>
      </c>
      <c r="AY861" s="73">
        <v>0.28705221087853</v>
      </c>
      <c r="AZ861" s="73">
        <v>0.246875321028661</v>
      </c>
      <c r="BA861" s="73">
        <v>0.25574427284867901</v>
      </c>
      <c r="BB861" s="73"/>
      <c r="BC861" s="73"/>
      <c r="BD861" s="73"/>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1"/>
      <c r="CS861" s="1"/>
      <c r="CT861" s="1"/>
      <c r="CU861" s="1"/>
    </row>
    <row r="862" spans="1:99" s="13" customFormat="1" ht="12" customHeight="1" x14ac:dyDescent="0.2">
      <c r="A862" s="68">
        <v>43509</v>
      </c>
      <c r="B862" s="70"/>
      <c r="C862" s="70"/>
      <c r="D862" s="69"/>
      <c r="E862" s="87"/>
      <c r="F862" s="69"/>
      <c r="G862" s="69"/>
      <c r="H862" s="69"/>
      <c r="I862" s="69"/>
      <c r="J862" s="69"/>
      <c r="K862" s="107"/>
      <c r="L862" s="107"/>
      <c r="M862" s="69"/>
      <c r="N862" s="69"/>
      <c r="O862" s="69"/>
      <c r="P862" s="69"/>
      <c r="Q862" s="69"/>
      <c r="R862" s="69"/>
      <c r="S862" s="69"/>
      <c r="T862" s="69"/>
      <c r="U862" s="69"/>
      <c r="V862" s="69"/>
      <c r="W862" s="69"/>
      <c r="X862" s="69"/>
      <c r="Y862" s="87"/>
      <c r="Z862" s="69"/>
      <c r="AA862" s="69"/>
      <c r="AB862" s="69"/>
      <c r="AC862" s="69"/>
      <c r="AD862" s="69"/>
      <c r="AE862" s="69"/>
      <c r="AF862" s="88"/>
      <c r="AG862" s="72"/>
      <c r="AH862" s="4"/>
      <c r="AI862" s="72"/>
      <c r="AJ862" s="110"/>
      <c r="AK862" s="72"/>
      <c r="AL862" s="72"/>
      <c r="AM862" s="72"/>
      <c r="AN862" s="72"/>
      <c r="AO862" s="72"/>
      <c r="AP862" s="72"/>
      <c r="AQ862" s="72"/>
      <c r="AR862" s="110"/>
      <c r="AS862" s="72"/>
      <c r="AT862" s="72"/>
      <c r="AU862" s="5"/>
      <c r="AV862" s="71">
        <f>60*0.85</f>
        <v>51</v>
      </c>
      <c r="AW862" s="71">
        <f>60*2.55</f>
        <v>153</v>
      </c>
      <c r="AX862" s="71">
        <f>60*5.1</f>
        <v>306</v>
      </c>
      <c r="AY862" s="71">
        <f>60*7.65</f>
        <v>459</v>
      </c>
      <c r="AZ862" s="71">
        <f>60*10.2</f>
        <v>612</v>
      </c>
      <c r="BA862" s="71">
        <f>60*12.75</f>
        <v>765</v>
      </c>
      <c r="BB862" s="73"/>
      <c r="BC862" s="73"/>
      <c r="BD862" s="73"/>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1"/>
      <c r="CS862" s="1"/>
      <c r="CT862" s="1"/>
      <c r="CU862" s="1"/>
    </row>
    <row r="863" spans="1:99" s="13" customFormat="1" ht="12" customHeight="1" x14ac:dyDescent="0.2">
      <c r="A863" s="68">
        <v>43509</v>
      </c>
      <c r="B863" s="70" t="s">
        <v>247</v>
      </c>
      <c r="C863" s="70" t="s">
        <v>45</v>
      </c>
      <c r="D863" s="69">
        <v>1999</v>
      </c>
      <c r="E863" s="87">
        <v>2</v>
      </c>
      <c r="F863" s="69">
        <v>25</v>
      </c>
      <c r="G863" s="69">
        <v>25</v>
      </c>
      <c r="H863" s="69" t="s">
        <v>769</v>
      </c>
      <c r="I863" s="69" t="s">
        <v>737</v>
      </c>
      <c r="J863" s="69" t="s">
        <v>16</v>
      </c>
      <c r="K863" s="69">
        <f>IF(J863="syllables",1,IF(J863="trigrams",2,IF(J863="strings",3,IF(J863="visual array",4,IF(J863="characters",5,IF(J863="letters",6,IF(J863="free forms",7,IF(J863="odors",8,IF(J863="words",9,IF(J863="pictures",10,IF(J863="object pictures",11,IF(J863="faces",12,IF(J863="names",13,IF(J863="idioms",14,IF(J863="grades",15,IF(J863="syllable-digit pairs",16,IF(J863="trigram-word pairs",17,IF(J863="word-digit pairs",18,IF(J863="English-Swahili pairs",19,IF(J863="spatial position",20,IF(J863="word pairs",21,IF(J863="word triads",22,IF(J863="generated words",23,IF(J863="word definition pairs",24,IF(J863="math problems",25,IF(J863="famous faces",26,IF(J863="famous names",27,IF(J863="famous voices",28,IF(J863="television programs",29,IF(J863="race horses",30,IF(J863="new vocabulary",31,IF(J863="sentences",32,IF(J863="concepts",33,IF(J863="ad slides",34,IF(J863="scenes",35,IF(J863="famous scenes",36,IF(J863="poems",37,IF(J863="walk",38,IF(J863="faces and events",39,IF(J863="events and names",40,IF(J863="flashbulb",41,IF(J863="stories",42,IF(J863="course material",43,IF(J863="autobiographical",44,IF(J863="novels",45,IF(J863="public events",46,"99"))))))))))))))))))))))))))))))))))))))))))))))</f>
        <v>9</v>
      </c>
      <c r="L863" s="69">
        <f>IF(J863="syllables",1,IF(J863="trigrams",1,IF(J863="strings",1,IF(J863="visual array",1,IF(J863="characters",1,IF(J863="letters",1,IF(J863="free forms",1,IF(J863="odors",2,IF(J863="words",2,IF(J863="pictures",2,IF(J863="object pictures",2,IF(J863="faces",2,IF(J863="names",2,IF(J863="idioms","2",IF(J863="grades",2,IF(J863="syllable-digit pairs",3,IF(J863="trigram-word pairs",3,IF(J863="word-digit pairs",3,IF(J863="English-Swahili pairs",3,IF(J863="spatial position",3,IF(J863="word pairs",4,IF(J863="word triads",4,IF(J863="generated words",4,IF(J863="word definition pairs",4,IF(J863="math problems",4,IF(J863="famous faces",4,IF(J863="famous names",4,IF(J863="famous voices",4,IF(J863="television programs",4,IF(J863="race horses",4,IF(J863="new vocabulary",4,IF(J863="sentences",5,IF(J863="concepts",5,IF(J863="ad slides",5,IF(J863="scenes",5,IF(J863="famous scenes",5,IF(J863="poems",6,IF(J863="walk",6,IF(J863="faces and events",6,IF(J863="events and names",6,IF(J863="flashbulb",7,IF(J863="stories",7,IF(J863="course material",7,IF(J863="autobiographical",7,IF(J863="novels",7,IF(J863="public events",7,"99"))))))))))))))))))))))))))))))))))))))))))))))</f>
        <v>2</v>
      </c>
      <c r="M863" s="69">
        <v>0</v>
      </c>
      <c r="N863" s="69">
        <v>1</v>
      </c>
      <c r="O863" s="69">
        <v>0</v>
      </c>
      <c r="P863" s="69"/>
      <c r="Q863" s="69" t="s">
        <v>64</v>
      </c>
      <c r="R863" s="69">
        <f>IF(Q863="Free Recall",1,IF(Q863="Cued Recall",2,IF(Q863="Recognition",3,IF(Q863="Multiple Choice",4,IF(Q863="Savings",5,IF(Q863="Stem Completion",6,IF(Q863="Fragment Completion",7,IF(Q863="anagram solution",8,IF(Q863="Matching",9,IF(Q863="Problem Solving",10,"99"))))))))))</f>
        <v>6</v>
      </c>
      <c r="S863" s="69" t="s">
        <v>49</v>
      </c>
      <c r="T863" s="92" t="s">
        <v>581</v>
      </c>
      <c r="U863" s="69">
        <f>IF(T863="within",1,0)</f>
        <v>1</v>
      </c>
      <c r="V863" s="92">
        <v>180</v>
      </c>
      <c r="W863" s="69">
        <f>F863*V863</f>
        <v>4500</v>
      </c>
      <c r="X863" s="69">
        <v>6</v>
      </c>
      <c r="Y863" s="87">
        <f>AV862</f>
        <v>51</v>
      </c>
      <c r="Z863" s="69" t="s">
        <v>69</v>
      </c>
      <c r="AA863" s="69">
        <v>765</v>
      </c>
      <c r="AB863" s="69" t="str">
        <f>IF(AA863&lt;60,"1",IF(AA863&lt;=43200,"2",IF(AA863&lt;=777600,"3","4")))</f>
        <v>2</v>
      </c>
      <c r="AC863" s="72">
        <f>AVERAGE(AV862:DA862)</f>
        <v>391</v>
      </c>
      <c r="AD863" s="69" t="str">
        <f>IF(AC863&lt;60,"1",IF(AC863&lt;=43200,"2",IF(AC863&lt;=777600,"3","4")))</f>
        <v>2</v>
      </c>
      <c r="AE863" s="87">
        <f>AA863-Y863</f>
        <v>714</v>
      </c>
      <c r="AF863" s="88">
        <f>AV863</f>
        <v>0.20345512447351199</v>
      </c>
      <c r="AG863" s="72">
        <f>((AW863-AV863)+(AX863-AW863)+(AY863-AX863)+(AZ863-AY863)+(BA863-AZ863))/5</f>
        <v>-1.73348139379026E-2</v>
      </c>
      <c r="AH863" s="4"/>
      <c r="AI863" s="72">
        <f>RSQ(AV863:BA863,AV862:BA862)</f>
        <v>0.87853101643644627</v>
      </c>
      <c r="AJ863" s="110">
        <f>SLOPE(AV863:BA863,AV862:BA862)</f>
        <v>-1.1144608305722961E-4</v>
      </c>
      <c r="AK863" s="72">
        <f>INTERCEPT(AV863:BA863,AV862:BA862)</f>
        <v>0.19930102070476194</v>
      </c>
      <c r="AL863" s="72">
        <f>INDEX(LINEST(LN(AV863:BA863),LN(AV862:BA862),TRUE,TRUE),3,1)</f>
        <v>0.83171069799690533</v>
      </c>
      <c r="AM863" s="72">
        <f>INDEX(LINEST(LN(AV863:BA863),LN(AV862:BA862)),1)</f>
        <v>-0.18699373208102818</v>
      </c>
      <c r="AN863" s="72">
        <f>EXP(INDEX(LINEST(LN(AV863:BA863),LN(AV862:BA862)),1,2))</f>
        <v>0.43952509538595225</v>
      </c>
      <c r="AO863" s="89">
        <f>INDEX(LINEST((AV863:BA863),LN(AV862:BA862),TRUE,TRUE),3,1)</f>
        <v>0.85738380433495509</v>
      </c>
      <c r="AP863" s="89">
        <f>INDEX(LINEST((AV863:BA863),LN(AV862:BA862)),1)</f>
        <v>-2.9655160415908023E-2</v>
      </c>
      <c r="AQ863" s="90">
        <f>INDEX(LINEST(LN(AV863:BA863),SQRT(AV862:BA862),TRUE,TRUE),3,1)</f>
        <v>0.89126218850899208</v>
      </c>
      <c r="AR863" s="117">
        <f>INDEX(LINEST(LN(AV863:BA863),SQRT((AV862:BA862))),1)</f>
        <v>-2.5377651497057792E-2</v>
      </c>
      <c r="AS863" s="91">
        <f>INDEX(LINEST(1/(AV863:BA863),1/(SQRT(AV862:BA862)),TRUE,TRUE),3,1)</f>
        <v>0.68312991024828917</v>
      </c>
      <c r="AT863" s="91">
        <f>INDEX(LINEST(1/(AV863:BA863),1/SQRT(AV862:BA862)),1)</f>
        <v>-28.77780360528158</v>
      </c>
      <c r="AU863" s="3"/>
      <c r="AV863" s="73">
        <v>0.20345512447351199</v>
      </c>
      <c r="AW863" s="73">
        <v>0.16713057856090999</v>
      </c>
      <c r="AX863" s="73">
        <v>0.17737169860239299</v>
      </c>
      <c r="AY863" s="73">
        <v>0.13582264053106</v>
      </c>
      <c r="AZ863" s="73">
        <v>0.13379251642443701</v>
      </c>
      <c r="BA863" s="73">
        <v>0.116781054783999</v>
      </c>
      <c r="BB863" s="73"/>
      <c r="BC863" s="73"/>
      <c r="BD863" s="73"/>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1"/>
      <c r="CS863" s="1"/>
      <c r="CT863" s="1"/>
      <c r="CU863" s="1"/>
    </row>
    <row r="864" spans="1:99" s="13" customFormat="1" ht="12" customHeight="1" x14ac:dyDescent="0.2">
      <c r="A864" s="68">
        <v>43509</v>
      </c>
      <c r="B864" s="70"/>
      <c r="C864" s="70"/>
      <c r="D864" s="69"/>
      <c r="E864" s="87"/>
      <c r="F864" s="69"/>
      <c r="G864" s="69"/>
      <c r="H864" s="69"/>
      <c r="I864" s="69"/>
      <c r="J864" s="69"/>
      <c r="K864" s="107"/>
      <c r="L864" s="107"/>
      <c r="M864" s="69"/>
      <c r="N864" s="69"/>
      <c r="O864" s="69"/>
      <c r="P864" s="69"/>
      <c r="Q864" s="69"/>
      <c r="R864" s="69"/>
      <c r="S864" s="69"/>
      <c r="T864" s="92"/>
      <c r="U864" s="69"/>
      <c r="V864" s="92"/>
      <c r="W864" s="69"/>
      <c r="X864" s="69"/>
      <c r="Y864" s="87"/>
      <c r="Z864" s="69"/>
      <c r="AA864" s="69"/>
      <c r="AB864" s="69"/>
      <c r="AC864" s="69"/>
      <c r="AD864" s="69"/>
      <c r="AE864" s="69"/>
      <c r="AF864" s="88"/>
      <c r="AG864" s="72"/>
      <c r="AH864" s="4"/>
      <c r="AI864" s="72"/>
      <c r="AJ864" s="110"/>
      <c r="AK864" s="72"/>
      <c r="AL864" s="72"/>
      <c r="AM864" s="72"/>
      <c r="AN864" s="72"/>
      <c r="AO864" s="72"/>
      <c r="AP864" s="72"/>
      <c r="AQ864" s="72"/>
      <c r="AR864" s="110"/>
      <c r="AS864" s="72"/>
      <c r="AT864" s="72"/>
      <c r="AU864" s="5"/>
      <c r="AV864" s="71">
        <f>60*0.85</f>
        <v>51</v>
      </c>
      <c r="AW864" s="71">
        <f>60*2.55</f>
        <v>153</v>
      </c>
      <c r="AX864" s="71">
        <f>60*5.1</f>
        <v>306</v>
      </c>
      <c r="AY864" s="71">
        <f>60*7.65</f>
        <v>459</v>
      </c>
      <c r="AZ864" s="71">
        <f>60*10.2</f>
        <v>612</v>
      </c>
      <c r="BA864" s="71">
        <f>60*12.75</f>
        <v>765</v>
      </c>
      <c r="BB864" s="73"/>
      <c r="BC864" s="73"/>
      <c r="BD864" s="73"/>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1"/>
      <c r="CS864" s="1"/>
      <c r="CT864" s="1"/>
      <c r="CU864" s="1"/>
    </row>
    <row r="865" spans="1:99" s="13" customFormat="1" ht="12" customHeight="1" x14ac:dyDescent="0.2">
      <c r="A865" s="68">
        <v>43509</v>
      </c>
      <c r="B865" s="70" t="s">
        <v>247</v>
      </c>
      <c r="C865" s="70" t="s">
        <v>45</v>
      </c>
      <c r="D865" s="69">
        <v>1999</v>
      </c>
      <c r="E865" s="87">
        <v>2</v>
      </c>
      <c r="F865" s="69">
        <v>25</v>
      </c>
      <c r="G865" s="69">
        <v>25</v>
      </c>
      <c r="H865" s="69" t="s">
        <v>769</v>
      </c>
      <c r="I865" s="69" t="s">
        <v>738</v>
      </c>
      <c r="J865" s="69" t="s">
        <v>16</v>
      </c>
      <c r="K865" s="69">
        <f>IF(J865="syllables",1,IF(J865="trigrams",2,IF(J865="strings",3,IF(J865="visual array",4,IF(J865="characters",5,IF(J865="letters",6,IF(J865="free forms",7,IF(J865="odors",8,IF(J865="words",9,IF(J865="pictures",10,IF(J865="object pictures",11,IF(J865="faces",12,IF(J865="names",13,IF(J865="idioms",14,IF(J865="grades",15,IF(J865="syllable-digit pairs",16,IF(J865="trigram-word pairs",17,IF(J865="word-digit pairs",18,IF(J865="English-Swahili pairs",19,IF(J865="spatial position",20,IF(J865="word pairs",21,IF(J865="word triads",22,IF(J865="generated words",23,IF(J865="word definition pairs",24,IF(J865="math problems",25,IF(J865="famous faces",26,IF(J865="famous names",27,IF(J865="famous voices",28,IF(J865="television programs",29,IF(J865="race horses",30,IF(J865="new vocabulary",31,IF(J865="sentences",32,IF(J865="concepts",33,IF(J865="ad slides",34,IF(J865="scenes",35,IF(J865="famous scenes",36,IF(J865="poems",37,IF(J865="walk",38,IF(J865="faces and events",39,IF(J865="events and names",40,IF(J865="flashbulb",41,IF(J865="stories",42,IF(J865="course material",43,IF(J865="autobiographical",44,IF(J865="novels",45,IF(J865="public events",46,"99"))))))))))))))))))))))))))))))))))))))))))))))</f>
        <v>9</v>
      </c>
      <c r="L865" s="69">
        <f>IF(J865="syllables",1,IF(J865="trigrams",1,IF(J865="strings",1,IF(J865="visual array",1,IF(J865="characters",1,IF(J865="letters",1,IF(J865="free forms",1,IF(J865="odors",2,IF(J865="words",2,IF(J865="pictures",2,IF(J865="object pictures",2,IF(J865="faces",2,IF(J865="names",2,IF(J865="idioms","2",IF(J865="grades",2,IF(J865="syllable-digit pairs",3,IF(J865="trigram-word pairs",3,IF(J865="word-digit pairs",3,IF(J865="English-Swahili pairs",3,IF(J865="spatial position",3,IF(J865="word pairs",4,IF(J865="word triads",4,IF(J865="generated words",4,IF(J865="word definition pairs",4,IF(J865="math problems",4,IF(J865="famous faces",4,IF(J865="famous names",4,IF(J865="famous voices",4,IF(J865="television programs",4,IF(J865="race horses",4,IF(J865="new vocabulary",4,IF(J865="sentences",5,IF(J865="concepts",5,IF(J865="ad slides",5,IF(J865="scenes",5,IF(J865="famous scenes",5,IF(J865="poems",6,IF(J865="walk",6,IF(J865="faces and events",6,IF(J865="events and names",6,IF(J865="flashbulb",7,IF(J865="stories",7,IF(J865="course material",7,IF(J865="autobiographical",7,IF(J865="novels",7,IF(J865="public events",7,"99"))))))))))))))))))))))))))))))))))))))))))))))</f>
        <v>2</v>
      </c>
      <c r="M865" s="69">
        <v>0</v>
      </c>
      <c r="N865" s="69">
        <v>1</v>
      </c>
      <c r="O865" s="69">
        <v>0</v>
      </c>
      <c r="P865" s="69"/>
      <c r="Q865" s="69" t="s">
        <v>64</v>
      </c>
      <c r="R865" s="69">
        <f>IF(Q865="Free Recall",1,IF(Q865="Cued Recall",2,IF(Q865="Recognition",3,IF(Q865="Multiple Choice",4,IF(Q865="Savings",5,IF(Q865="Stem Completion",6,IF(Q865="Fragment Completion",7,IF(Q865="anagram solution",8,IF(Q865="Matching",9,IF(Q865="Problem Solving",10,"99"))))))))))</f>
        <v>6</v>
      </c>
      <c r="S865" s="69" t="s">
        <v>49</v>
      </c>
      <c r="T865" s="92" t="s">
        <v>581</v>
      </c>
      <c r="U865" s="69">
        <f>IF(T865="within",1,0)</f>
        <v>1</v>
      </c>
      <c r="V865" s="92">
        <v>180</v>
      </c>
      <c r="W865" s="69">
        <f>F865*V865</f>
        <v>4500</v>
      </c>
      <c r="X865" s="69">
        <v>6</v>
      </c>
      <c r="Y865" s="87">
        <f>AV864</f>
        <v>51</v>
      </c>
      <c r="Z865" s="69" t="s">
        <v>69</v>
      </c>
      <c r="AA865" s="69">
        <v>765</v>
      </c>
      <c r="AB865" s="69" t="str">
        <f>IF(AA865&lt;60,"1",IF(AA865&lt;=43200,"2",IF(AA865&lt;=777600,"3","4")))</f>
        <v>2</v>
      </c>
      <c r="AC865" s="72">
        <f>AVERAGE(AV864:DA864)</f>
        <v>391</v>
      </c>
      <c r="AD865" s="69" t="str">
        <f>IF(AC865&lt;60,"1",IF(AC865&lt;=43200,"2",IF(AC865&lt;=777600,"3","4")))</f>
        <v>2</v>
      </c>
      <c r="AE865" s="87">
        <f>AA865-Y865</f>
        <v>714</v>
      </c>
      <c r="AF865" s="88">
        <f>AV865</f>
        <v>0.353317418464834</v>
      </c>
      <c r="AG865" s="72">
        <f>((AW865-AV865)+(AX865-AW865)+(AY865-AX865)+(AZ865-AY865)+(BA865-AZ865))/5</f>
        <v>-2.3057807172452999E-2</v>
      </c>
      <c r="AH865" s="4"/>
      <c r="AI865" s="72">
        <f>RSQ(AV865:BA865,AV864:BA864)</f>
        <v>0.74261846216398342</v>
      </c>
      <c r="AJ865" s="110">
        <f>SLOPE(AV865:BA865,AV864:BA864)</f>
        <v>-1.5021584446712905E-4</v>
      </c>
      <c r="AK865" s="72">
        <f>INTERCEPT(AV865:BA865,AV864:BA864)</f>
        <v>0.33911980894876831</v>
      </c>
      <c r="AL865" s="72">
        <f>INDEX(LINEST(LN(AV865:BA865),LN(AV864:BA864),TRUE,TRUE),3,1)</f>
        <v>0.85050289743167851</v>
      </c>
      <c r="AM865" s="72">
        <f>INDEX(LINEST(LN(AV865:BA865),LN(AV864:BA864)),1)</f>
        <v>-0.14920548299381145</v>
      </c>
      <c r="AN865" s="72">
        <f>EXP(INDEX(LINEST(LN(AV865:BA865),LN(AV864:BA864)),1,2))</f>
        <v>0.64354666251084847</v>
      </c>
      <c r="AO865" s="89">
        <f>INDEX(LINEST((AV865:BA865),LN(AV864:BA864),TRUE,TRUE),3,1)</f>
        <v>0.86911809066873102</v>
      </c>
      <c r="AP865" s="89">
        <f>INDEX(LINEST((AV865:BA865),LN(AV864:BA864)),1)</f>
        <v>-4.3772227490241129E-2</v>
      </c>
      <c r="AQ865" s="90">
        <f>INDEX(LINEST(LN(AV865:BA865),SQRT(AV864:BA864),TRUE,TRUE),3,1)</f>
        <v>0.82224999995399028</v>
      </c>
      <c r="AR865" s="117">
        <f>INDEX(LINEST(LN(AV865:BA865),SQRT((AV864:BA864))),1)</f>
        <v>-1.9233424081337363E-2</v>
      </c>
      <c r="AS865" s="91">
        <f>INDEX(LINEST(1/(AV865:BA865),1/(SQRT(AV864:BA864)),TRUE,TRUE),3,1)</f>
        <v>0.78245365358710584</v>
      </c>
      <c r="AT865" s="91">
        <f>INDEX(LINEST(1/(AV865:BA865),1/SQRT(AV864:BA864)),1)</f>
        <v>-12.909824957933752</v>
      </c>
      <c r="AU865" s="3"/>
      <c r="AV865" s="73">
        <v>0.353317418464834</v>
      </c>
      <c r="AW865" s="73">
        <v>0.32244730238086999</v>
      </c>
      <c r="AX865" s="73">
        <v>0.24685330763473401</v>
      </c>
      <c r="AY865" s="73">
        <v>0.27751551944271802</v>
      </c>
      <c r="AZ865" s="73">
        <v>0.24415055204700001</v>
      </c>
      <c r="BA865" s="73">
        <v>0.23802838260256901</v>
      </c>
      <c r="BB865" s="73"/>
      <c r="BC865" s="73"/>
      <c r="BD865" s="73"/>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1"/>
      <c r="CS865" s="1"/>
      <c r="CT865" s="1"/>
      <c r="CU865" s="1"/>
    </row>
    <row r="866" spans="1:99" s="13" customFormat="1" ht="12" customHeight="1" x14ac:dyDescent="0.2">
      <c r="A866" s="65">
        <v>43979</v>
      </c>
      <c r="B866" s="1"/>
      <c r="C866" s="1"/>
      <c r="D866" s="60"/>
      <c r="E866" s="76"/>
      <c r="F866" s="60"/>
      <c r="G866" s="60"/>
      <c r="H866" s="60"/>
      <c r="I866" s="60"/>
      <c r="J866" s="60"/>
      <c r="K866" s="60"/>
      <c r="L866" s="60"/>
      <c r="M866" s="60"/>
      <c r="N866" s="60"/>
      <c r="O866" s="60"/>
      <c r="P866" s="60"/>
      <c r="Q866" s="60"/>
      <c r="R866" s="60"/>
      <c r="S866" s="60"/>
      <c r="T866" s="59"/>
      <c r="U866" s="60"/>
      <c r="V866" s="59"/>
      <c r="W866" s="60"/>
      <c r="X866" s="60"/>
      <c r="Y866" s="76"/>
      <c r="Z866" s="60"/>
      <c r="AA866" s="60"/>
      <c r="AB866" s="60"/>
      <c r="AC866" s="56"/>
      <c r="AD866" s="60"/>
      <c r="AE866" s="76"/>
      <c r="AF866" s="80"/>
      <c r="AG866" s="56"/>
      <c r="AH866" s="4"/>
      <c r="AI866" s="56"/>
      <c r="AJ866" s="109"/>
      <c r="AK866" s="56"/>
      <c r="AL866" s="56"/>
      <c r="AM866" s="56"/>
      <c r="AN866" s="56"/>
      <c r="AO866" s="82"/>
      <c r="AP866" s="82"/>
      <c r="AQ866" s="83"/>
      <c r="AR866" s="116"/>
      <c r="AS866" s="84"/>
      <c r="AT866" s="84"/>
      <c r="AU866" s="3"/>
      <c r="AV866" s="25">
        <f>60*5</f>
        <v>300</v>
      </c>
      <c r="AW866" s="25">
        <f>60*30</f>
        <v>1800</v>
      </c>
      <c r="AX866" s="25">
        <f>60*55</f>
        <v>3300</v>
      </c>
      <c r="AY866" s="25">
        <f>60*60*4</f>
        <v>14400</v>
      </c>
      <c r="AZ866" s="53"/>
      <c r="BA866" s="53"/>
      <c r="BB866" s="53"/>
      <c r="BC866" s="53"/>
      <c r="BD866" s="53"/>
      <c r="BE866" s="53"/>
      <c r="BF866" s="53"/>
      <c r="BG866" s="53"/>
      <c r="BH866" s="53"/>
      <c r="BI866" s="53"/>
      <c r="BJ866" s="53"/>
      <c r="BK866" s="53"/>
      <c r="BL866" s="53"/>
      <c r="BM866" s="53"/>
      <c r="BN866" s="53"/>
      <c r="BO866" s="53"/>
      <c r="BP866" s="53"/>
      <c r="BQ866" s="53"/>
      <c r="BR866" s="53"/>
      <c r="BS866" s="53"/>
      <c r="BT866" s="53"/>
      <c r="BU866" s="53"/>
      <c r="BV866" s="53"/>
      <c r="BW866" s="53"/>
      <c r="BX866" s="53"/>
      <c r="BY866" s="53"/>
      <c r="BZ866" s="53"/>
      <c r="CA866" s="53"/>
      <c r="CB866" s="53"/>
      <c r="CC866" s="53"/>
      <c r="CD866" s="53"/>
      <c r="CE866" s="53"/>
      <c r="CF866" s="53"/>
      <c r="CG866" s="53"/>
      <c r="CH866" s="53"/>
      <c r="CI866" s="53"/>
      <c r="CJ866" s="53"/>
      <c r="CK866" s="53"/>
      <c r="CL866" s="53"/>
      <c r="CM866" s="53"/>
      <c r="CN866" s="53"/>
      <c r="CO866" s="53"/>
      <c r="CP866" s="53"/>
      <c r="CQ866" s="53"/>
      <c r="CR866" s="1"/>
      <c r="CS866" s="1"/>
      <c r="CT866" s="1"/>
      <c r="CU866" s="1"/>
    </row>
    <row r="867" spans="1:99" s="13" customFormat="1" ht="12" customHeight="1" x14ac:dyDescent="0.2">
      <c r="A867" s="65">
        <v>43979</v>
      </c>
      <c r="B867" s="1" t="s">
        <v>980</v>
      </c>
      <c r="C867" s="1" t="s">
        <v>981</v>
      </c>
      <c r="D867" s="60">
        <v>2013</v>
      </c>
      <c r="E867" s="76">
        <v>1</v>
      </c>
      <c r="F867" s="60">
        <v>5</v>
      </c>
      <c r="G867" s="60">
        <v>5</v>
      </c>
      <c r="H867" s="60" t="s">
        <v>17</v>
      </c>
      <c r="I867" s="60" t="s">
        <v>330</v>
      </c>
      <c r="J867" s="60" t="s">
        <v>320</v>
      </c>
      <c r="K867" s="60">
        <f>IF(J867="syllables",1,IF(J867="trigrams",2,IF(J867="strings",3,IF(J867="visual array",4,IF(J867="characters",5,IF(J867="letters",6,IF(J867="free forms",7,IF(J867="odors",8,IF(J867="words",9,IF(J867="pictures",10,IF(J867="object pictures",11,IF(J867="faces",12,IF(J867="names",13,IF(J867="idioms",14,IF(J867="grades",15,IF(J867="syllable-digit pairs",16,IF(J867="trigram-word pairs",17,IF(J867="word-digit pairs",18,IF(J867="English-Swahili pairs",19,IF(J867="spatial position",20,IF(J867="word pairs",21,IF(J867="word triads",22,IF(J867="generated words",23,IF(J867="word definition pairs",24,IF(J867="math problems",25,IF(J867="famous faces",26,IF(J867="famous names",27,IF(J867="famous voices",28,IF(J867="television programs",29,IF(J867="race horses",30,IF(J867="new vocabulary",31,IF(J867="sentences",32,IF(J867="concepts",33,IF(J867="ad slides",34,IF(J867="scenes",35,IF(J867="famous scenes",36,IF(J867="poems",37,IF(J867="walk",38,IF(J867="faces and events",39,IF(J867="events and names",40,IF(J867="flashbulb",41,IF(J867="stories",42,IF(J867="course material",43,IF(J867="autobiographical",44,IF(J867="novels",45,IF(J867="public events",46,"99"))))))))))))))))))))))))))))))))))))))))))))))</f>
        <v>21</v>
      </c>
      <c r="L867" s="60">
        <f>IF(J867="syllables",1,IF(J867="trigrams",1,IF(J867="strings",1,IF(J867="visual array",1,IF(J867="characters",1,IF(J867="letters",1,IF(J867="free forms",1,IF(J867="odors",2,IF(J867="words",2,IF(J867="pictures",2,IF(J867="object pictures",2,IF(J867="faces",2,IF(J867="names",2,IF(J867="idioms","2",IF(J867="grades",2,IF(J867="syllable-digit pairs",3,IF(J867="trigram-word pairs",3,IF(J867="word-digit pairs",3,IF(J867="English-Swahili pairs",3,IF(J867="spatial position",3,IF(J867="word pairs",4,IF(J867="word triads",4,IF(J867="generated words",4,IF(J867="word definition pairs",4,IF(J867="math problems",4,IF(J867="famous faces",4,IF(J867="famous names",4,IF(J867="famous voices",4,IF(J867="television programs",4,IF(J867="race horses",4,IF(J867="new vocabulary",4,IF(J867="sentences",5,IF(J867="concepts",5,IF(J867="ad slides",5,IF(J867="scenes",5,IF(J867="famous scenes",5,IF(J867="poems",6,IF(J867="walk",6,IF(J867="faces and events",6,IF(J867="events and names",6,IF(J867="flashbulb",7,IF(J867="stories",7,IF(J867="course material",7,IF(J867="autobiographical",7,IF(J867="novels",7,IF(J867="public events",7,"99"))))))))))))))))))))))))))))))))))))))))))))))</f>
        <v>4</v>
      </c>
      <c r="M867" s="60">
        <v>0</v>
      </c>
      <c r="N867" s="60">
        <v>1</v>
      </c>
      <c r="O867" s="60">
        <v>0</v>
      </c>
      <c r="P867" s="60"/>
      <c r="Q867" s="60" t="s">
        <v>65</v>
      </c>
      <c r="R867" s="60">
        <f>IF(Q867="Free Recall",1,IF(Q867="Cued Recall",2,IF(Q867="Recognition",3,IF(Q867="Multiple Choice",4,IF(Q867="Savings",5,IF(Q867="Stem Completion",6,IF(Q867="Fragment Completion",7,IF(Q867="anagram solution",8,IF(Q867="Matching",9,IF(Q867="Problem Solving",10,"99"))))))))))</f>
        <v>2</v>
      </c>
      <c r="S867" s="60" t="s">
        <v>49</v>
      </c>
      <c r="T867" s="59" t="s">
        <v>581</v>
      </c>
      <c r="U867" s="60">
        <f>IF(T867="within",1,0)</f>
        <v>1</v>
      </c>
      <c r="V867" s="59">
        <v>48</v>
      </c>
      <c r="W867" s="60">
        <f>F867*V867</f>
        <v>240</v>
      </c>
      <c r="X867" s="60">
        <v>4</v>
      </c>
      <c r="Y867" s="76">
        <f>AV866</f>
        <v>300</v>
      </c>
      <c r="Z867" s="60" t="s">
        <v>982</v>
      </c>
      <c r="AA867" s="60">
        <f>60*60*4</f>
        <v>14400</v>
      </c>
      <c r="AB867" s="60" t="str">
        <f>IF(AA867&lt;60,"1",IF(AA867&lt;=43200,"2",IF(AA867&lt;=777600,"3","4")))</f>
        <v>2</v>
      </c>
      <c r="AC867" s="56">
        <f>AVERAGE(AV866:DA866)</f>
        <v>4950</v>
      </c>
      <c r="AD867" s="60" t="str">
        <f>IF(AC867&lt;60,"1",IF(AC867&lt;=43200,"2",IF(AC867&lt;=777600,"3","4")))</f>
        <v>2</v>
      </c>
      <c r="AE867" s="76">
        <f>AA867-Y867</f>
        <v>14100</v>
      </c>
      <c r="AF867" s="80">
        <f>AV867</f>
        <v>0.66674610740387663</v>
      </c>
      <c r="AG867" s="56">
        <f>((AW867-AV867)+(AX867-AW867)+(AY867-AX867))/3</f>
        <v>-4.4698654803516646E-2</v>
      </c>
      <c r="AH867" s="4"/>
      <c r="AI867" s="56">
        <f>RSQ(AV867:AY867,AV866:AY866)</f>
        <v>0.12444270492093906</v>
      </c>
      <c r="AJ867" s="109">
        <f>SLOPE(AV867:AY867,AV866:AY866)</f>
        <v>-4.5924807828247344E-6</v>
      </c>
      <c r="AK867" s="56">
        <f>INTERCEPT(AV867:AY867,AV866:AY866)</f>
        <v>0.57651415896618019</v>
      </c>
      <c r="AL867" s="56">
        <f>INDEX(LINEST(LN(AV867:AY867),LN(AV866:AY866),TRUE,TRUE),3,1)</f>
        <v>0.51645479129748728</v>
      </c>
      <c r="AM867" s="56">
        <f>INDEX(LINEST(LN(AV867:AY867),LN(AV866:AY866)),1)</f>
        <v>-6.6320753200862073E-2</v>
      </c>
      <c r="AN867" s="56">
        <f>EXP(INDEX(LINEST(LN(AV867:AY867),LN(AV866:AY866)),1,2))</f>
        <v>0.91634646383376916</v>
      </c>
      <c r="AO867" s="82">
        <f>INDEX(LINEST((AV867:AY867),LN(AV866:AY866),TRUE,TRUE),3,1)</f>
        <v>0.55646934392918945</v>
      </c>
      <c r="AP867" s="82">
        <f>INDEX(LINEST((AV867:AY867),LN(AV866:AY866)),1)</f>
        <v>-3.8898578011814199E-2</v>
      </c>
      <c r="AQ867" s="83">
        <f>INDEX(LINEST(LN(AV867:AY867),SQRT(AV866:AY866),TRUE,TRUE),3,1)</f>
        <v>0.25077570747736344</v>
      </c>
      <c r="AR867" s="116">
        <f>INDEX(LINEST(LN(AV867:AY867),SQRT((AV866:AY866))),1)</f>
        <v>-1.6936287509694843E-3</v>
      </c>
      <c r="AS867" s="84">
        <f>INDEX(LINEST(1/(AV867:AY867),1/(SQRT(AV866:AY866)),TRUE,TRUE),3,1)</f>
        <v>0.66634534815667823</v>
      </c>
      <c r="AT867" s="84">
        <f>INDEX(LINEST(1/(AV867:AY867),1/SQRT(AV866:AY866)),1)</f>
        <v>-10.040711315514772</v>
      </c>
      <c r="AU867" s="3"/>
      <c r="AV867" s="53">
        <v>0.66674610740387663</v>
      </c>
      <c r="AW867" s="53">
        <v>0.54980934223069589</v>
      </c>
      <c r="AX867" s="53">
        <v>0.46591992373689167</v>
      </c>
      <c r="AY867" s="53">
        <v>0.53265014299332669</v>
      </c>
      <c r="AZ867" s="53"/>
      <c r="BA867" s="53"/>
      <c r="BB867" s="53"/>
      <c r="BC867" s="53"/>
      <c r="BD867" s="53"/>
      <c r="BE867" s="53"/>
      <c r="BF867" s="53"/>
      <c r="BG867" s="53"/>
      <c r="BH867" s="53"/>
      <c r="BI867" s="53"/>
      <c r="BJ867" s="53"/>
      <c r="BK867" s="53"/>
      <c r="BL867" s="53"/>
      <c r="BM867" s="53"/>
      <c r="BN867" s="53"/>
      <c r="BO867" s="53"/>
      <c r="BP867" s="53"/>
      <c r="BQ867" s="53"/>
      <c r="BR867" s="53"/>
      <c r="BS867" s="53"/>
      <c r="BT867" s="53"/>
      <c r="BU867" s="53"/>
      <c r="BV867" s="53"/>
      <c r="BW867" s="53"/>
      <c r="BX867" s="53"/>
      <c r="BY867" s="53"/>
      <c r="BZ867" s="53"/>
      <c r="CA867" s="53"/>
      <c r="CB867" s="53"/>
      <c r="CC867" s="53"/>
      <c r="CD867" s="53"/>
      <c r="CE867" s="53"/>
      <c r="CF867" s="53"/>
      <c r="CG867" s="53"/>
      <c r="CH867" s="53"/>
      <c r="CI867" s="53"/>
      <c r="CJ867" s="53"/>
      <c r="CK867" s="53"/>
      <c r="CL867" s="53"/>
      <c r="CM867" s="53"/>
      <c r="CN867" s="53"/>
      <c r="CO867" s="53"/>
      <c r="CP867" s="53"/>
      <c r="CQ867" s="53"/>
      <c r="CR867" s="1"/>
      <c r="CS867" s="1"/>
      <c r="CT867" s="1"/>
      <c r="CU867" s="1"/>
    </row>
    <row r="868" spans="1:99" s="13" customFormat="1" ht="12" customHeight="1" x14ac:dyDescent="0.2">
      <c r="A868" s="68">
        <v>43979</v>
      </c>
      <c r="B868" s="70"/>
      <c r="C868" s="70"/>
      <c r="D868" s="69"/>
      <c r="E868" s="87"/>
      <c r="F868" s="69"/>
      <c r="G868" s="69"/>
      <c r="H868" s="69"/>
      <c r="I868" s="69"/>
      <c r="J868" s="69"/>
      <c r="K868" s="69"/>
      <c r="L868" s="69"/>
      <c r="M868" s="69"/>
      <c r="N868" s="69"/>
      <c r="O868" s="69"/>
      <c r="P868" s="69"/>
      <c r="Q868" s="69"/>
      <c r="R868" s="69"/>
      <c r="S868" s="69"/>
      <c r="T868" s="92"/>
      <c r="U868" s="69"/>
      <c r="V868" s="92"/>
      <c r="W868" s="69"/>
      <c r="X868" s="69"/>
      <c r="Y868" s="87"/>
      <c r="Z868" s="69"/>
      <c r="AA868" s="69"/>
      <c r="AB868" s="69"/>
      <c r="AC868" s="72"/>
      <c r="AD868" s="69"/>
      <c r="AE868" s="87"/>
      <c r="AF868" s="88"/>
      <c r="AG868" s="72"/>
      <c r="AH868" s="4"/>
      <c r="AI868" s="72"/>
      <c r="AJ868" s="110"/>
      <c r="AK868" s="72"/>
      <c r="AL868" s="72"/>
      <c r="AM868" s="72"/>
      <c r="AN868" s="72"/>
      <c r="AO868" s="89"/>
      <c r="AP868" s="89"/>
      <c r="AQ868" s="90"/>
      <c r="AR868" s="117"/>
      <c r="AS868" s="91"/>
      <c r="AT868" s="91"/>
      <c r="AU868" s="3"/>
      <c r="AV868" s="71">
        <f>60*10</f>
        <v>600</v>
      </c>
      <c r="AW868" s="71">
        <f>60*60*2</f>
        <v>7200</v>
      </c>
      <c r="AX868" s="71">
        <f>60*60*31</f>
        <v>111600</v>
      </c>
      <c r="AY868" s="53"/>
      <c r="AZ868" s="53"/>
      <c r="BA868" s="53"/>
      <c r="BB868" s="53"/>
      <c r="BC868" s="53"/>
      <c r="BD868" s="53"/>
      <c r="BE868" s="53"/>
      <c r="BF868" s="53"/>
      <c r="BG868" s="53"/>
      <c r="BH868" s="53"/>
      <c r="BI868" s="53"/>
      <c r="BJ868" s="53"/>
      <c r="BK868" s="53"/>
      <c r="BL868" s="53"/>
      <c r="BM868" s="53"/>
      <c r="BN868" s="53"/>
      <c r="BO868" s="53"/>
      <c r="BP868" s="53"/>
      <c r="BQ868" s="53"/>
      <c r="BR868" s="53"/>
      <c r="BS868" s="53"/>
      <c r="BT868" s="53"/>
      <c r="BU868" s="53"/>
      <c r="BV868" s="53"/>
      <c r="BW868" s="53"/>
      <c r="BX868" s="53"/>
      <c r="BY868" s="53"/>
      <c r="BZ868" s="53"/>
      <c r="CA868" s="53"/>
      <c r="CB868" s="53"/>
      <c r="CC868" s="53"/>
      <c r="CD868" s="53"/>
      <c r="CE868" s="53"/>
      <c r="CF868" s="53"/>
      <c r="CG868" s="53"/>
      <c r="CH868" s="53"/>
      <c r="CI868" s="53"/>
      <c r="CJ868" s="53"/>
      <c r="CK868" s="53"/>
      <c r="CL868" s="53"/>
      <c r="CM868" s="53"/>
      <c r="CN868" s="53"/>
      <c r="CO868" s="53"/>
      <c r="CP868" s="53"/>
      <c r="CQ868" s="53"/>
      <c r="CR868" s="1"/>
      <c r="CS868" s="1"/>
      <c r="CT868" s="1"/>
      <c r="CU868" s="1"/>
    </row>
    <row r="869" spans="1:99" s="13" customFormat="1" ht="12" customHeight="1" x14ac:dyDescent="0.2">
      <c r="A869" s="68">
        <v>43979</v>
      </c>
      <c r="B869" s="70" t="s">
        <v>983</v>
      </c>
      <c r="C869" s="70" t="s">
        <v>984</v>
      </c>
      <c r="D869" s="69">
        <v>1992</v>
      </c>
      <c r="E869" s="87">
        <v>1</v>
      </c>
      <c r="F869" s="69">
        <v>10</v>
      </c>
      <c r="G869" s="69">
        <v>10</v>
      </c>
      <c r="H869" s="69" t="s">
        <v>50</v>
      </c>
      <c r="I869" s="69" t="s">
        <v>330</v>
      </c>
      <c r="J869" s="69" t="s">
        <v>313</v>
      </c>
      <c r="K869" s="69">
        <f>IF(J869="syllables",1,IF(J869="trigrams",2,IF(J869="strings",3,IF(J869="visual array",4,IF(J869="characters",5,IF(J869="letters",6,IF(J869="free forms",7,IF(J869="odors",8,IF(J869="words",9,IF(J869="pictures",10,IF(J869="object pictures",11,IF(J869="faces",12,IF(J869="names",13,IF(J869="idioms",14,IF(J869="grades",15,IF(J869="syllable-digit pairs",16,IF(J869="trigram-word pairs",17,IF(J869="word-digit pairs",18,IF(J869="English-Swahili pairs",19,IF(J869="spatial position",20,IF(J869="word pairs",21,IF(J869="word triads",22,IF(J869="generated words",23,IF(J869="word definition pairs",24,IF(J869="math problems",25,IF(J869="famous faces",26,IF(J869="famous names",27,IF(J869="famous voices",28,IF(J869="television programs",29,IF(J869="race horses",30,IF(J869="new vocabulary",31,IF(J869="sentences",32,IF(J869="concepts",33,IF(J869="ad slides",34,IF(J869="scenes",35,IF(J869="famous scenes",36,IF(J869="poems",37,IF(J869="walk",38,IF(J869="faces and events",39,IF(J869="events and names",40,IF(J869="flashbulb",41,IF(J869="stories",42,IF(J869="course material",43,IF(J869="autobiographical",44,IF(J869="novels",45,IF(J869="public events",46,"99"))))))))))))))))))))))))))))))))))))))))))))))</f>
        <v>10</v>
      </c>
      <c r="L869" s="69">
        <f>IF(J869="syllables",1,IF(J869="trigrams",1,IF(J869="strings",1,IF(J869="visual array",1,IF(J869="characters",1,IF(J869="letters",1,IF(J869="free forms",1,IF(J869="odors",2,IF(J869="words",2,IF(J869="pictures",2,IF(J869="object pictures",2,IF(J869="faces",2,IF(J869="names",2,IF(J869="idioms","2",IF(J869="grades",2,IF(J869="syllable-digit pairs",3,IF(J869="trigram-word pairs",3,IF(J869="word-digit pairs",3,IF(J869="English-Swahili pairs",3,IF(J869="spatial position",3,IF(J869="word pairs",4,IF(J869="word triads",4,IF(J869="generated words",4,IF(J869="word definition pairs",4,IF(J869="math problems",4,IF(J869="famous faces",4,IF(J869="famous names",4,IF(J869="famous voices",4,IF(J869="television programs",4,IF(J869="race horses",4,IF(J869="new vocabulary",4,IF(J869="sentences",5,IF(J869="concepts",5,IF(J869="ad slides",5,IF(J869="scenes",5,IF(J869="famous scenes",5,IF(J869="poems",6,IF(J869="walk",6,IF(J869="faces and events",6,IF(J869="events and names",6,IF(J869="flashbulb",7,IF(J869="stories",7,IF(J869="course material",7,IF(J869="autobiographical",7,IF(J869="novels",7,IF(J869="public events",7,"99"))))))))))))))))))))))))))))))))))))))))))))))</f>
        <v>2</v>
      </c>
      <c r="M869" s="69">
        <v>0</v>
      </c>
      <c r="N869" s="69">
        <v>1</v>
      </c>
      <c r="O869" s="69">
        <v>0</v>
      </c>
      <c r="P869" s="69"/>
      <c r="Q869" s="69" t="s">
        <v>34</v>
      </c>
      <c r="R869" s="69">
        <f>IF(Q869="Free Recall",1,IF(Q869="Cued Recall",2,IF(Q869="Recognition",3,IF(Q869="Multiple Choice",4,IF(Q869="Savings",5,IF(Q869="Stem Completion",6,IF(Q869="Fragment Completion",7,IF(Q869="anagram solution",8,IF(Q869="Matching",9,IF(Q869="Problem Solving",10,"99"))))))))))</f>
        <v>3</v>
      </c>
      <c r="S869" s="69" t="s">
        <v>15</v>
      </c>
      <c r="T869" s="92" t="s">
        <v>581</v>
      </c>
      <c r="U869" s="69">
        <f>IF(T869="within",1,0)</f>
        <v>1</v>
      </c>
      <c r="V869" s="92">
        <v>30</v>
      </c>
      <c r="W869" s="69">
        <f>F869*V869</f>
        <v>300</v>
      </c>
      <c r="X869" s="69">
        <v>3</v>
      </c>
      <c r="Y869" s="87">
        <f>AV868</f>
        <v>600</v>
      </c>
      <c r="Z869" s="69" t="s">
        <v>985</v>
      </c>
      <c r="AA869" s="69">
        <f>60*60*31</f>
        <v>111600</v>
      </c>
      <c r="AB869" s="69" t="str">
        <f>IF(AA869&lt;60,"1",IF(AA869&lt;=43200,"2",IF(AA869&lt;=777600,"3","4")))</f>
        <v>3</v>
      </c>
      <c r="AC869" s="72">
        <f>AVERAGE(AV868:DA868)</f>
        <v>39800</v>
      </c>
      <c r="AD869" s="69" t="str">
        <f>IF(AC869&lt;60,"1",IF(AC869&lt;=43200,"2",IF(AC869&lt;=777600,"3","4")))</f>
        <v>2</v>
      </c>
      <c r="AE869" s="87">
        <f>AA869-Y869</f>
        <v>111000</v>
      </c>
      <c r="AF869" s="88">
        <f>AV869</f>
        <v>0.82963620230700996</v>
      </c>
      <c r="AG869" s="72">
        <f>((AW869-AV869)+(AX869-AW869))/2</f>
        <v>-8.4472049689441497E-2</v>
      </c>
      <c r="AH869" s="4"/>
      <c r="AI869" s="72">
        <f>RSQ(AV869:AX869,AV868:AX868)</f>
        <v>0.86334320317806001</v>
      </c>
      <c r="AJ869" s="110">
        <f>SLOPE(AV869:AX869,AV868:AX868)</f>
        <v>-1.2658328540599352E-6</v>
      </c>
      <c r="AK869" s="72">
        <f>INTERCEPT(AV869:AX869,AV868:AX868)</f>
        <v>0.80004001153716331</v>
      </c>
      <c r="AL869" s="72">
        <f>INDEX(LINEST(LN(AV869:AX869),LN(AV868:AX868),TRUE,TRUE),3,1)</f>
        <v>0.99102755049658664</v>
      </c>
      <c r="AM869" s="72">
        <f>INDEX(LINEST(LN(AV869:AX869),LN(AV868:AX868)),1)</f>
        <v>-4.3690147371452458E-2</v>
      </c>
      <c r="AN869" s="72">
        <f>EXP(INDEX(LINEST(LN(AV869:AX869),LN(AV868:AX868)),1,2))</f>
        <v>1.1043900576619294</v>
      </c>
      <c r="AO869" s="89">
        <f>INDEX(LINEST((AV869:AX869),LN(AV868:AX868),TRUE,TRUE),3,1)</f>
        <v>0.99595367240211619</v>
      </c>
      <c r="AP869" s="89">
        <f>INDEX(LINEST((AV869:AX869),LN(AV868:AX868)),1)</f>
        <v>-3.2387551280389899E-2</v>
      </c>
      <c r="AQ869" s="90">
        <f>INDEX(LINEST(LN(AV869:AX869),SQRT(AV868:AX868),TRUE,TRUE),3,1)</f>
        <v>0.95426874222406155</v>
      </c>
      <c r="AR869" s="117">
        <f>INDEX(LINEST(LN(AV869:AX869),SQRT((AV868:AX868))),1)</f>
        <v>-6.8287907404222033E-4</v>
      </c>
      <c r="AS869" s="91">
        <f>INDEX(LINEST(1/(AV869:AX869),1/(SQRT(AV868:AX868)),TRUE,TRUE),3,1)</f>
        <v>0.80820627739166473</v>
      </c>
      <c r="AT869" s="91">
        <f>INDEX(LINEST(1/(AV869:AX869),1/SQRT(AV868:AX868)),1)</f>
        <v>-7.081176794358222</v>
      </c>
      <c r="AU869" s="3"/>
      <c r="AV869" s="73">
        <v>0.82963620230700996</v>
      </c>
      <c r="AW869" s="73">
        <v>0.75865128660159697</v>
      </c>
      <c r="AX869" s="73">
        <v>0.66069210292812697</v>
      </c>
      <c r="AY869" s="53"/>
      <c r="AZ869" s="53"/>
      <c r="BA869" s="53"/>
      <c r="BB869" s="53"/>
      <c r="BC869" s="53"/>
      <c r="BD869" s="53"/>
      <c r="BE869" s="53"/>
      <c r="BF869" s="53"/>
      <c r="BG869" s="53"/>
      <c r="BH869" s="53"/>
      <c r="BI869" s="53"/>
      <c r="BJ869" s="53"/>
      <c r="BK869" s="53"/>
      <c r="BL869" s="53"/>
      <c r="BM869" s="53"/>
      <c r="BN869" s="53"/>
      <c r="BO869" s="53"/>
      <c r="BP869" s="53"/>
      <c r="BQ869" s="53"/>
      <c r="BR869" s="53"/>
      <c r="BS869" s="53"/>
      <c r="BT869" s="53"/>
      <c r="BU869" s="53"/>
      <c r="BV869" s="53"/>
      <c r="BW869" s="53"/>
      <c r="BX869" s="53"/>
      <c r="BY869" s="53"/>
      <c r="BZ869" s="53"/>
      <c r="CA869" s="53"/>
      <c r="CB869" s="53"/>
      <c r="CC869" s="53"/>
      <c r="CD869" s="53"/>
      <c r="CE869" s="53"/>
      <c r="CF869" s="53"/>
      <c r="CG869" s="53"/>
      <c r="CH869" s="53"/>
      <c r="CI869" s="53"/>
      <c r="CJ869" s="53"/>
      <c r="CK869" s="53"/>
      <c r="CL869" s="53"/>
      <c r="CM869" s="53"/>
      <c r="CN869" s="53"/>
      <c r="CO869" s="53"/>
      <c r="CP869" s="53"/>
      <c r="CQ869" s="53"/>
      <c r="CR869" s="1"/>
      <c r="CS869" s="1"/>
      <c r="CT869" s="1"/>
      <c r="CU869" s="1"/>
    </row>
    <row r="870" spans="1:99" s="13" customFormat="1" ht="12" customHeight="1" x14ac:dyDescent="0.2">
      <c r="A870" s="65">
        <v>43509</v>
      </c>
      <c r="B870" s="1"/>
      <c r="C870" s="1"/>
      <c r="D870" s="60"/>
      <c r="E870" s="76"/>
      <c r="F870" s="60"/>
      <c r="G870" s="60"/>
      <c r="H870" s="60"/>
      <c r="I870" s="60"/>
      <c r="J870" s="60"/>
      <c r="K870" s="64"/>
      <c r="L870" s="64"/>
      <c r="M870" s="60"/>
      <c r="N870" s="60"/>
      <c r="O870" s="60"/>
      <c r="P870" s="60"/>
      <c r="Q870" s="60"/>
      <c r="R870" s="60"/>
      <c r="S870" s="60"/>
      <c r="T870" s="60"/>
      <c r="U870" s="60"/>
      <c r="V870" s="60"/>
      <c r="W870" s="60"/>
      <c r="X870" s="60"/>
      <c r="Y870" s="76"/>
      <c r="Z870" s="60"/>
      <c r="AA870" s="60"/>
      <c r="AB870" s="60"/>
      <c r="AC870" s="60"/>
      <c r="AD870" s="60"/>
      <c r="AE870" s="60"/>
      <c r="AF870" s="80"/>
      <c r="AG870" s="56"/>
      <c r="AH870" s="4"/>
      <c r="AI870" s="56"/>
      <c r="AJ870" s="109"/>
      <c r="AK870" s="56"/>
      <c r="AL870" s="56"/>
      <c r="AM870" s="56"/>
      <c r="AN870" s="56"/>
      <c r="AO870" s="56"/>
      <c r="AP870" s="56"/>
      <c r="AQ870" s="56"/>
      <c r="AR870" s="109"/>
      <c r="AS870" s="56"/>
      <c r="AT870" s="56"/>
      <c r="AU870" s="5"/>
      <c r="AV870" s="25">
        <f>24*60*60</f>
        <v>86400</v>
      </c>
      <c r="AW870" s="25">
        <f>4*24*60*60</f>
        <v>345600</v>
      </c>
      <c r="AX870" s="25">
        <f>7*24*60*60</f>
        <v>604800</v>
      </c>
      <c r="AY870" s="25">
        <f>10*24*60*60</f>
        <v>864000</v>
      </c>
      <c r="AZ870" s="25">
        <f>13*24*60*60</f>
        <v>1123200</v>
      </c>
      <c r="BA870" s="25">
        <f>16*24*60*60</f>
        <v>1382400</v>
      </c>
      <c r="BB870" s="25">
        <f>19*24*60*60</f>
        <v>1641600</v>
      </c>
      <c r="BC870" s="25">
        <f>22*24*60*60</f>
        <v>1900800</v>
      </c>
      <c r="BD870" s="25">
        <f>25*24*60*60</f>
        <v>2160000</v>
      </c>
      <c r="BE870" s="25">
        <f>28*24*60*60</f>
        <v>2419200</v>
      </c>
      <c r="BF870" s="25">
        <f>31*24*60*60</f>
        <v>2678400</v>
      </c>
      <c r="BG870" s="25">
        <f>34*24*60*60</f>
        <v>2937600</v>
      </c>
      <c r="BH870" s="25">
        <f>37*24*60*60</f>
        <v>3196800</v>
      </c>
      <c r="BI870" s="25">
        <f>40*24*60*60</f>
        <v>3456000</v>
      </c>
      <c r="BJ870" s="25">
        <f>43*24*60*60</f>
        <v>3715200</v>
      </c>
      <c r="BK870" s="25">
        <f>46*24*60*60</f>
        <v>3974400</v>
      </c>
      <c r="BL870" s="25">
        <f>49*24*60*60</f>
        <v>4233600</v>
      </c>
      <c r="BM870" s="25">
        <f>52*24*60*60</f>
        <v>4492800</v>
      </c>
      <c r="BN870" s="25">
        <f>55*24*60*60</f>
        <v>4752000</v>
      </c>
      <c r="BO870" s="25">
        <f>58*24*60*60</f>
        <v>5011200</v>
      </c>
      <c r="BP870" s="25">
        <f>64.5*24*60*60</f>
        <v>5572800</v>
      </c>
      <c r="BQ870" s="25">
        <f>74.5*24*60*60</f>
        <v>6436800</v>
      </c>
      <c r="BR870" s="25">
        <f>84.5*24*60*60</f>
        <v>7300800</v>
      </c>
      <c r="BS870" s="25">
        <f>94.5*24*60*60</f>
        <v>8164800</v>
      </c>
      <c r="BT870" s="25">
        <f>104.5*24*60*60</f>
        <v>9028800</v>
      </c>
      <c r="BU870" s="25">
        <f>114.5*24*60*60</f>
        <v>9892800</v>
      </c>
      <c r="BV870" s="25">
        <f>124.5*24*60*60</f>
        <v>10756800</v>
      </c>
      <c r="BW870" s="25">
        <f>134.5*24*60*60</f>
        <v>11620800</v>
      </c>
      <c r="BX870" s="25">
        <f>144.5*24*60*60</f>
        <v>12484800</v>
      </c>
      <c r="BY870" s="25">
        <f>154.5*24*60*60</f>
        <v>13348800</v>
      </c>
      <c r="BZ870" s="25">
        <f>164.5*24*60*60</f>
        <v>14212800</v>
      </c>
      <c r="CA870" s="25">
        <f>174.5*24*60*60</f>
        <v>15076800</v>
      </c>
      <c r="CB870" s="25">
        <f>184.5*24*60*60</f>
        <v>15940800</v>
      </c>
      <c r="CC870" s="25">
        <f>194.5*24*60*60</f>
        <v>16804800</v>
      </c>
      <c r="CD870" s="25">
        <f>204.5*24*60*60</f>
        <v>17668800</v>
      </c>
      <c r="CE870" s="25">
        <f>214.5*24*60*60</f>
        <v>18532800</v>
      </c>
      <c r="CF870" s="25">
        <f>224.5*24*60*60</f>
        <v>19396800</v>
      </c>
      <c r="CG870" s="25">
        <f>234.5*24*60*60</f>
        <v>20260800</v>
      </c>
      <c r="CH870" s="25">
        <f>244.5*24*60*60</f>
        <v>21124800</v>
      </c>
      <c r="CI870" s="25">
        <f>254.5*24*60*60</f>
        <v>21988800</v>
      </c>
      <c r="CJ870" s="25">
        <f>264.5*24*60*60</f>
        <v>22852800</v>
      </c>
      <c r="CK870" s="25">
        <f>274.5*24*60*60</f>
        <v>23716800</v>
      </c>
      <c r="CL870" s="25">
        <f>284.5*24*60*60</f>
        <v>24580800</v>
      </c>
      <c r="CM870" s="25">
        <f>294.5*24*60*60</f>
        <v>25444800</v>
      </c>
      <c r="CN870" s="25">
        <f>304.5*24*60*60</f>
        <v>26308800</v>
      </c>
      <c r="CO870" s="25">
        <f>314.5*24*60*60</f>
        <v>27172800</v>
      </c>
      <c r="CP870" s="25">
        <f>324.5*24*60*60</f>
        <v>28036800</v>
      </c>
      <c r="CQ870" s="25">
        <f>334.5*24*60*60</f>
        <v>28900800</v>
      </c>
      <c r="CR870" s="25">
        <f>344.5*24*60*60</f>
        <v>29764800</v>
      </c>
      <c r="CS870" s="25">
        <f>354.5*24*60*60</f>
        <v>30628800</v>
      </c>
      <c r="CT870" s="25">
        <f>364.5*24*60*60</f>
        <v>31492800</v>
      </c>
      <c r="CU870" s="25">
        <f>374.5*24*60*60</f>
        <v>32356800</v>
      </c>
    </row>
    <row r="871" spans="1:99" s="13" customFormat="1" ht="12" customHeight="1" x14ac:dyDescent="0.2">
      <c r="A871" s="65">
        <v>43509</v>
      </c>
      <c r="B871" s="1" t="s">
        <v>187</v>
      </c>
      <c r="C871" s="1" t="s">
        <v>188</v>
      </c>
      <c r="D871" s="60">
        <v>2005</v>
      </c>
      <c r="E871" s="76">
        <v>1</v>
      </c>
      <c r="F871" s="60">
        <v>4239</v>
      </c>
      <c r="G871" s="60">
        <v>81.5</v>
      </c>
      <c r="H871" s="60" t="s">
        <v>41</v>
      </c>
      <c r="I871" s="60" t="s">
        <v>739</v>
      </c>
      <c r="J871" s="60" t="s">
        <v>677</v>
      </c>
      <c r="K871" s="60">
        <f>IF(J871="syllables",1,IF(J871="trigrams",2,IF(J871="strings",3,IF(J871="visual array",4,IF(J871="characters",5,IF(J871="letters",6,IF(J871="free forms",7,IF(J871="odors",8,IF(J871="words",9,IF(J871="pictures",10,IF(J871="object pictures",11,IF(J871="faces",12,IF(J871="names",13,IF(J871="idioms",14,IF(J871="grades",15,IF(J871="syllable-digit pairs",16,IF(J871="trigram-word pairs",17,IF(J871="word-digit pairs",18,IF(J871="English-Swahili pairs",19,IF(J871="spatial position",20,IF(J871="word pairs",21,IF(J871="word triads",22,IF(J871="generated words",23,IF(J871="word definition pairs",24,IF(J871="math problems",25,IF(J871="famous faces",26,IF(J871="famous names",27,IF(J871="famous voices",28,IF(J871="television programs",29,IF(J871="race horses",30,IF(J871="new vocabulary",31,IF(J871="sentences",32,IF(J871="concepts",33,IF(J871="ad slides",34,IF(J871="scenes",35,IF(J871="famous scenes",36,IF(J871="poems",37,IF(J871="walk",38,IF(J871="faces and events",39,IF(J871="events and names",40,IF(J871="flashbulb",41,IF(J871="stories",42,IF(J871="course material",43,IF(J871="autobiographical",44,IF(J871="novels",45,IF(J871="public events",46,"99"))))))))))))))))))))))))))))))))))))))))))))))</f>
        <v>42</v>
      </c>
      <c r="L871" s="60">
        <f>IF(J871="syllables",1,IF(J871="trigrams",1,IF(J871="strings",1,IF(J871="visual array",1,IF(J871="characters",1,IF(J871="letters",1,IF(J871="free forms",1,IF(J871="odors",2,IF(J871="words",2,IF(J871="pictures",2,IF(J871="object pictures",2,IF(J871="faces",2,IF(J871="names",2,IF(J871="idioms","2",IF(J871="grades",2,IF(J871="syllable-digit pairs",3,IF(J871="trigram-word pairs",3,IF(J871="word-digit pairs",3,IF(J871="English-Swahili pairs",3,IF(J871="spatial position",3,IF(J871="word pairs",4,IF(J871="word triads",4,IF(J871="generated words",4,IF(J871="word definition pairs",4,IF(J871="math problems",4,IF(J871="famous faces",4,IF(J871="famous names",4,IF(J871="famous voices",4,IF(J871="television programs",4,IF(J871="race horses",4,IF(J871="new vocabulary",4,IF(J871="sentences",5,IF(J871="concepts",5,IF(J871="ad slides",5,IF(J871="scenes",5,IF(J871="famous scenes",5,IF(J871="poems",6,IF(J871="walk",6,IF(J871="faces and events",6,IF(J871="events and names",6,IF(J871="flashbulb",7,IF(J871="stories",7,IF(J871="course material",7,IF(J871="autobiographical",7,IF(J871="novels",7,IF(J871="public events",7,"99"))))))))))))))))))))))))))))))))))))))))))))))</f>
        <v>7</v>
      </c>
      <c r="M871" s="60">
        <v>0</v>
      </c>
      <c r="N871" s="60">
        <v>3</v>
      </c>
      <c r="O871" s="60">
        <v>0</v>
      </c>
      <c r="P871" s="60"/>
      <c r="Q871" s="60" t="s">
        <v>182</v>
      </c>
      <c r="R871" s="60">
        <f>IF(Q871="Free Recall",1,IF(Q871="Cued Recall",2,IF(Q871="Recognition",3,IF(Q871="Multiple Choice",4,IF(Q871="Savings",5,IF(Q871="Stem Completion",6,IF(Q871="Fragment Completion",7,IF(Q871="anagram solution",8,IF(Q871="Matching",9,IF(Q871="Problem Solving",10,"99"))))))))))</f>
        <v>4</v>
      </c>
      <c r="S871" s="60" t="s">
        <v>15</v>
      </c>
      <c r="T871" s="60" t="s">
        <v>261</v>
      </c>
      <c r="U871" s="60">
        <f>IF(T871="within",1,0)</f>
        <v>0</v>
      </c>
      <c r="V871" s="60">
        <v>30</v>
      </c>
      <c r="W871" s="60">
        <f>F871*V871</f>
        <v>127170</v>
      </c>
      <c r="X871" s="60">
        <v>52</v>
      </c>
      <c r="Y871" s="76">
        <f>AV870</f>
        <v>86400</v>
      </c>
      <c r="Z871" s="60" t="s">
        <v>189</v>
      </c>
      <c r="AA871" s="76">
        <f>374.5*24*60*60</f>
        <v>32356800</v>
      </c>
      <c r="AB871" s="60" t="str">
        <f>IF(AA871&lt;60,"1",IF(AA871&lt;=43200,"2",IF(AA871&lt;=777600,"3","4")))</f>
        <v>4</v>
      </c>
      <c r="AC871" s="56">
        <f>AVERAGE(AV870:DA870)</f>
        <v>12650953.846153846</v>
      </c>
      <c r="AD871" s="60" t="str">
        <f>IF(AC871&lt;60,"1",IF(AC871&lt;=43200,"2",IF(AC871&lt;=777600,"3","4")))</f>
        <v>4</v>
      </c>
      <c r="AE871" s="76">
        <f>AA871-Y871</f>
        <v>32270400</v>
      </c>
      <c r="AF871" s="80">
        <f>AV871</f>
        <v>0.78902439024390203</v>
      </c>
      <c r="AG871" s="58">
        <f>((AW871-AV871)+(AX871-AW871)+(AY871-AX871)+(AZ871-AY871)+(BA871-AZ871)+(BB871-BA871)+(BC871-BB871)+(BD871-BC871)+(BE871-BD871)+(BF871-BE871)+(BG871-BF871)+(BH871-BG871)+(BI871-BH871)+(BJ871-BI871)+(BK871-BJ871)+(BL871-BK871)+(BM871-BL871)+(BN871-BM871)+(BO871-BN871)+(BP871-BO871)+(BQ871-BP871)+(BR871-BQ871)+(BS871-BR871)+(BT871-BS871)+(BU871-BT871)+(BV871-BU871)+(BW871-BV871)+(BX871-BW871)+(BY871-BX871)+(BZ871-BY871)+(CA871-BZ871)+(CB871-CA871)+(CC871-CB871)+(CD871-CC871)+(CE871-CD871)+(CF871-CE871)+(CG871-CF871)+(CH871-CG871)+(CI871-CH871)+(CJ871-CI871)+(CK871-CJ871)+(CL871-CK871)+(CM871-CL871)+(CN871-CM871)+(CO871-CN871)+(CP871-CO871)+(CQ871-CP871)+(CR871-CQ871)+(CS871-CR871)+(CT871-CS871)+(CU871-CT871))/51</f>
        <v>-4.3519846963175485E-3</v>
      </c>
      <c r="AH871" s="4"/>
      <c r="AI871" s="56">
        <f>RSQ(AV871:CU871,AV870:CU870)</f>
        <v>0.77652397228479209</v>
      </c>
      <c r="AJ871" s="109">
        <f>SLOPE(AV871:CU871,AV870:CU870)</f>
        <v>-5.2070740796136494E-9</v>
      </c>
      <c r="AK871" s="56">
        <f>INTERCEPT(AV871:CU871,AV870:CU870)</f>
        <v>0.69950484785094358</v>
      </c>
      <c r="AL871" s="56">
        <f>INDEX(LINEST(LN(AV871:CU871),LN(AV870:CU870),TRUE,TRUE),3,1)</f>
        <v>0.91005477002053914</v>
      </c>
      <c r="AM871" s="56">
        <f>INDEX(LINEST(LN(AV871:CU871),LN(AV870:CU870)),1)</f>
        <v>-6.812349177381842E-2</v>
      </c>
      <c r="AN871" s="56">
        <f>EXP(INDEX(LINEST(LN(AV871:CU871),LN(AV870:CU870)),1,2))</f>
        <v>1.8505792786453077</v>
      </c>
      <c r="AO871" s="82">
        <f>INDEX(LINEST((AV871:CU871),LN(AV870:CU870),TRUE,TRUE),3,1)</f>
        <v>0.92521043973231809</v>
      </c>
      <c r="AP871" s="82">
        <f>INDEX(LINEST((AV871:CU871),LN(AV870:CU870)),1)</f>
        <v>-4.4458207079897054E-2</v>
      </c>
      <c r="AQ871" s="83">
        <f>INDEX(LINEST(LN(AV871:CU871),SQRT(AV870:CU870),TRUE,TRUE),3,1)</f>
        <v>0.90143938215654074</v>
      </c>
      <c r="AR871" s="116">
        <f>INDEX(LINEST(LN(AV871:CU871),SQRT((AV870:CU870))),1)</f>
        <v>-5.6174076245665551E-5</v>
      </c>
      <c r="AS871" s="84">
        <f>INDEX(LINEST(1/(AV871:CU871),1/(SQRT(AV870:CU870)),TRUE,TRUE),3,1)</f>
        <v>0.54842157308642014</v>
      </c>
      <c r="AT871" s="84">
        <f>INDEX(LINEST(1/(AV871:CU871),1/SQRT(AV870:CU870)),1)</f>
        <v>-210.88356575788177</v>
      </c>
      <c r="AU871" s="3"/>
      <c r="AV871" s="53">
        <v>0.78902439024390203</v>
      </c>
      <c r="AW871" s="53">
        <v>0.76951219512195101</v>
      </c>
      <c r="AX871" s="53">
        <v>0.75731707317073105</v>
      </c>
      <c r="AY871" s="53">
        <v>0.732926829268292</v>
      </c>
      <c r="AZ871" s="53">
        <v>0.71341463414634099</v>
      </c>
      <c r="BA871" s="53">
        <v>0.70365853658536504</v>
      </c>
      <c r="BB871" s="53">
        <v>0.69146341463414596</v>
      </c>
      <c r="BC871" s="53">
        <v>0.698780487804878</v>
      </c>
      <c r="BD871" s="53">
        <v>0.70853658536585296</v>
      </c>
      <c r="BE871" s="53">
        <v>0.71097560975609697</v>
      </c>
      <c r="BF871" s="53">
        <v>0.68170731707317</v>
      </c>
      <c r="BG871" s="53">
        <v>0.65731707317073096</v>
      </c>
      <c r="BH871" s="53">
        <v>0.66463414634146301</v>
      </c>
      <c r="BI871" s="53">
        <v>0.65487804878048705</v>
      </c>
      <c r="BJ871" s="53">
        <v>0.68414634146341402</v>
      </c>
      <c r="BK871" s="53">
        <v>0.66707317073170702</v>
      </c>
      <c r="BL871" s="53">
        <v>0.68414634146341402</v>
      </c>
      <c r="BM871" s="53">
        <v>0.65975609756097497</v>
      </c>
      <c r="BN871" s="53">
        <v>0.63536585365853604</v>
      </c>
      <c r="BO871" s="53">
        <v>0.63536585365853604</v>
      </c>
      <c r="BP871" s="53">
        <v>0.65</v>
      </c>
      <c r="BQ871" s="53">
        <v>0.65975609756097497</v>
      </c>
      <c r="BR871" s="53">
        <v>0.66951219512195104</v>
      </c>
      <c r="BS871" s="53">
        <v>0.63780487804878006</v>
      </c>
      <c r="BT871" s="53">
        <v>0.64756097560975601</v>
      </c>
      <c r="BU871" s="53">
        <v>0.59878048780487803</v>
      </c>
      <c r="BV871" s="53">
        <v>0.60609756097560896</v>
      </c>
      <c r="BW871" s="53">
        <v>0.58902439024390196</v>
      </c>
      <c r="BX871" s="53">
        <v>0.58170731707317003</v>
      </c>
      <c r="BY871" s="53">
        <v>0.60853658536585298</v>
      </c>
      <c r="BZ871" s="53">
        <v>0.63048780487804801</v>
      </c>
      <c r="CA871" s="53">
        <v>0.60609756097560896</v>
      </c>
      <c r="CB871" s="53">
        <v>0.59634146341463401</v>
      </c>
      <c r="CC871" s="53">
        <v>0.60853658536585298</v>
      </c>
      <c r="CD871" s="53">
        <v>0.61341463414634101</v>
      </c>
      <c r="CE871" s="53">
        <v>0.59390243902438999</v>
      </c>
      <c r="CF871" s="53">
        <v>0.57926829268292601</v>
      </c>
      <c r="CG871" s="53">
        <v>0.57926829268292601</v>
      </c>
      <c r="CH871" s="53">
        <v>0.56951219512195095</v>
      </c>
      <c r="CI871" s="53">
        <v>0.59146341463414598</v>
      </c>
      <c r="CJ871" s="53">
        <v>0.59878048780487803</v>
      </c>
      <c r="CK871" s="53">
        <v>0.59878048780487803</v>
      </c>
      <c r="CL871" s="53">
        <v>0.54999999999999905</v>
      </c>
      <c r="CM871" s="53">
        <v>0.56951219512195095</v>
      </c>
      <c r="CN871" s="53">
        <v>0.58658536585365795</v>
      </c>
      <c r="CO871" s="53">
        <v>0.559756097560975</v>
      </c>
      <c r="CP871" s="53">
        <v>0.56707317073170704</v>
      </c>
      <c r="CQ871" s="53">
        <v>0.56707317073170704</v>
      </c>
      <c r="CR871" s="16">
        <v>0.55243902439024395</v>
      </c>
      <c r="CS871" s="16">
        <v>0.55487804878048697</v>
      </c>
      <c r="CT871" s="16">
        <v>0.559756097560975</v>
      </c>
      <c r="CU871" s="16">
        <v>0.56707317073170704</v>
      </c>
    </row>
    <row r="872" spans="1:99" s="13" customFormat="1" ht="12" customHeight="1" x14ac:dyDescent="0.2">
      <c r="A872" s="65">
        <v>43509</v>
      </c>
      <c r="B872" s="1"/>
      <c r="C872" s="1"/>
      <c r="D872" s="60"/>
      <c r="E872" s="76"/>
      <c r="F872" s="60"/>
      <c r="G872" s="60"/>
      <c r="H872" s="60"/>
      <c r="I872" s="60"/>
      <c r="J872" s="60"/>
      <c r="K872" s="64"/>
      <c r="L872" s="64"/>
      <c r="M872" s="60"/>
      <c r="N872" s="60"/>
      <c r="O872" s="60"/>
      <c r="P872" s="60"/>
      <c r="Q872" s="60"/>
      <c r="R872" s="60"/>
      <c r="S872" s="60"/>
      <c r="T872" s="60"/>
      <c r="U872" s="60"/>
      <c r="V872" s="60"/>
      <c r="W872" s="60"/>
      <c r="X872" s="60"/>
      <c r="Y872" s="76"/>
      <c r="Z872" s="60"/>
      <c r="AA872" s="60"/>
      <c r="AB872" s="60"/>
      <c r="AC872" s="60"/>
      <c r="AD872" s="60"/>
      <c r="AE872" s="60"/>
      <c r="AF872" s="80"/>
      <c r="AG872" s="56"/>
      <c r="AH872" s="4"/>
      <c r="AI872" s="56"/>
      <c r="AJ872" s="109"/>
      <c r="AK872" s="56"/>
      <c r="AL872" s="56"/>
      <c r="AM872" s="56"/>
      <c r="AN872" s="56"/>
      <c r="AO872" s="56"/>
      <c r="AP872" s="56"/>
      <c r="AQ872" s="56"/>
      <c r="AR872" s="109"/>
      <c r="AS872" s="56"/>
      <c r="AT872" s="56"/>
      <c r="AU872" s="5"/>
      <c r="AV872" s="25">
        <f>24*60*60</f>
        <v>86400</v>
      </c>
      <c r="AW872" s="25">
        <f>4*24*60*60</f>
        <v>345600</v>
      </c>
      <c r="AX872" s="25">
        <f>7*24*60*60</f>
        <v>604800</v>
      </c>
      <c r="AY872" s="25">
        <f>10*24*60*60</f>
        <v>864000</v>
      </c>
      <c r="AZ872" s="25">
        <f>13*24*60*60</f>
        <v>1123200</v>
      </c>
      <c r="BA872" s="25">
        <f>16*24*60*60</f>
        <v>1382400</v>
      </c>
      <c r="BB872" s="25">
        <f>19*24*60*60</f>
        <v>1641600</v>
      </c>
      <c r="BC872" s="25">
        <f>22*24*60*60</f>
        <v>1900800</v>
      </c>
      <c r="BD872" s="25">
        <f>25*24*60*60</f>
        <v>2160000</v>
      </c>
      <c r="BE872" s="25">
        <f>28*24*60*60</f>
        <v>2419200</v>
      </c>
      <c r="BF872" s="25">
        <f>31*24*60*60</f>
        <v>2678400</v>
      </c>
      <c r="BG872" s="25">
        <f>34*24*60*60</f>
        <v>2937600</v>
      </c>
      <c r="BH872" s="25">
        <f>37*24*60*60</f>
        <v>3196800</v>
      </c>
      <c r="BI872" s="25">
        <f>40*24*60*60</f>
        <v>3456000</v>
      </c>
      <c r="BJ872" s="25">
        <f>43*24*60*60</f>
        <v>3715200</v>
      </c>
      <c r="BK872" s="25">
        <f>46*24*60*60</f>
        <v>3974400</v>
      </c>
      <c r="BL872" s="25">
        <f>49*24*60*60</f>
        <v>4233600</v>
      </c>
      <c r="BM872" s="25">
        <f>52*24*60*60</f>
        <v>4492800</v>
      </c>
      <c r="BN872" s="25">
        <f>55*24*60*60</f>
        <v>4752000</v>
      </c>
      <c r="BO872" s="25">
        <f>58*24*60*60</f>
        <v>5011200</v>
      </c>
      <c r="BP872" s="25">
        <f>64.5*24*60*60</f>
        <v>5572800</v>
      </c>
      <c r="BQ872" s="25">
        <f>74.5*24*60*60</f>
        <v>6436800</v>
      </c>
      <c r="BR872" s="25">
        <f>84.5*24*60*60</f>
        <v>7300800</v>
      </c>
      <c r="BS872" s="25">
        <f>94.5*24*60*60</f>
        <v>8164800</v>
      </c>
      <c r="BT872" s="25">
        <f>104.5*24*60*60</f>
        <v>9028800</v>
      </c>
      <c r="BU872" s="25">
        <f>114.5*24*60*60</f>
        <v>9892800</v>
      </c>
      <c r="BV872" s="25">
        <f>124.5*24*60*60</f>
        <v>10756800</v>
      </c>
      <c r="BW872" s="25">
        <f>134.5*24*60*60</f>
        <v>11620800</v>
      </c>
      <c r="BX872" s="25">
        <f>144.5*24*60*60</f>
        <v>12484800</v>
      </c>
      <c r="BY872" s="25">
        <f>154.5*24*60*60</f>
        <v>13348800</v>
      </c>
      <c r="BZ872" s="25">
        <f>164.5*24*60*60</f>
        <v>14212800</v>
      </c>
      <c r="CA872" s="25">
        <f>174.5*24*60*60</f>
        <v>15076800</v>
      </c>
      <c r="CB872" s="25">
        <f>184.5*24*60*60</f>
        <v>15940800</v>
      </c>
      <c r="CC872" s="25">
        <f>194.5*24*60*60</f>
        <v>16804800</v>
      </c>
      <c r="CD872" s="25">
        <f>204.5*24*60*60</f>
        <v>17668800</v>
      </c>
      <c r="CE872" s="25">
        <f>214.5*24*60*60</f>
        <v>18532800</v>
      </c>
      <c r="CF872" s="25">
        <f>224.5*24*60*60</f>
        <v>19396800</v>
      </c>
      <c r="CG872" s="25">
        <f>234.5*24*60*60</f>
        <v>20260800</v>
      </c>
      <c r="CH872" s="25">
        <f>244.5*24*60*60</f>
        <v>21124800</v>
      </c>
      <c r="CI872" s="25">
        <f>254.5*24*60*60</f>
        <v>21988800</v>
      </c>
      <c r="CJ872" s="25">
        <f>264.5*24*60*60</f>
        <v>22852800</v>
      </c>
      <c r="CK872" s="25">
        <f>274.5*24*60*60</f>
        <v>23716800</v>
      </c>
      <c r="CL872" s="25">
        <f>284.5*24*60*60</f>
        <v>24580800</v>
      </c>
      <c r="CM872" s="25">
        <f>294.5*24*60*60</f>
        <v>25444800</v>
      </c>
      <c r="CN872" s="25">
        <f>304.5*24*60*60</f>
        <v>26308800</v>
      </c>
      <c r="CO872" s="25">
        <f>314.5*24*60*60</f>
        <v>27172800</v>
      </c>
      <c r="CP872" s="25">
        <f>324.5*24*60*60</f>
        <v>28036800</v>
      </c>
      <c r="CQ872" s="25">
        <f>334.5*24*60*60</f>
        <v>28900800</v>
      </c>
      <c r="CR872" s="25">
        <f>344.5*24*60*60</f>
        <v>29764800</v>
      </c>
      <c r="CS872" s="25">
        <f>354.5*24*60*60</f>
        <v>30628800</v>
      </c>
      <c r="CT872" s="25">
        <f>364.5*24*60*60</f>
        <v>31492800</v>
      </c>
      <c r="CU872" s="25">
        <f>374.5*24*60*60</f>
        <v>32356800</v>
      </c>
    </row>
    <row r="873" spans="1:99" s="13" customFormat="1" ht="12" customHeight="1" x14ac:dyDescent="0.2">
      <c r="A873" s="65">
        <v>43509</v>
      </c>
      <c r="B873" s="1" t="s">
        <v>187</v>
      </c>
      <c r="C873" s="1" t="s">
        <v>188</v>
      </c>
      <c r="D873" s="60">
        <v>2005</v>
      </c>
      <c r="E873" s="76">
        <v>1</v>
      </c>
      <c r="F873" s="60">
        <v>4239</v>
      </c>
      <c r="G873" s="60">
        <v>81.5</v>
      </c>
      <c r="H873" s="60" t="s">
        <v>41</v>
      </c>
      <c r="I873" s="60" t="s">
        <v>740</v>
      </c>
      <c r="J873" s="60" t="s">
        <v>677</v>
      </c>
      <c r="K873" s="60">
        <f>IF(J873="syllables",1,IF(J873="trigrams",2,IF(J873="strings",3,IF(J873="visual array",4,IF(J873="characters",5,IF(J873="letters",6,IF(J873="free forms",7,IF(J873="odors",8,IF(J873="words",9,IF(J873="pictures",10,IF(J873="object pictures",11,IF(J873="faces",12,IF(J873="names",13,IF(J873="idioms",14,IF(J873="grades",15,IF(J873="syllable-digit pairs",16,IF(J873="trigram-word pairs",17,IF(J873="word-digit pairs",18,IF(J873="English-Swahili pairs",19,IF(J873="spatial position",20,IF(J873="word pairs",21,IF(J873="word triads",22,IF(J873="generated words",23,IF(J873="word definition pairs",24,IF(J873="math problems",25,IF(J873="famous faces",26,IF(J873="famous names",27,IF(J873="famous voices",28,IF(J873="television programs",29,IF(J873="race horses",30,IF(J873="new vocabulary",31,IF(J873="sentences",32,IF(J873="concepts",33,IF(J873="ad slides",34,IF(J873="scenes",35,IF(J873="famous scenes",36,IF(J873="poems",37,IF(J873="walk",38,IF(J873="faces and events",39,IF(J873="events and names",40,IF(J873="flashbulb",41,IF(J873="stories",42,IF(J873="course material",43,IF(J873="autobiographical",44,IF(J873="novels",45,IF(J873="public events",46,"99"))))))))))))))))))))))))))))))))))))))))))))))</f>
        <v>42</v>
      </c>
      <c r="L873" s="60">
        <f>IF(J873="syllables",1,IF(J873="trigrams",1,IF(J873="strings",1,IF(J873="visual array",1,IF(J873="characters",1,IF(J873="letters",1,IF(J873="free forms",1,IF(J873="odors",2,IF(J873="words",2,IF(J873="pictures",2,IF(J873="object pictures",2,IF(J873="faces",2,IF(J873="names",2,IF(J873="idioms","2",IF(J873="grades",2,IF(J873="syllable-digit pairs",3,IF(J873="trigram-word pairs",3,IF(J873="word-digit pairs",3,IF(J873="English-Swahili pairs",3,IF(J873="spatial position",3,IF(J873="word pairs",4,IF(J873="word triads",4,IF(J873="generated words",4,IF(J873="word definition pairs",4,IF(J873="math problems",4,IF(J873="famous faces",4,IF(J873="famous names",4,IF(J873="famous voices",4,IF(J873="television programs",4,IF(J873="race horses",4,IF(J873="new vocabulary",4,IF(J873="sentences",5,IF(J873="concepts",5,IF(J873="ad slides",5,IF(J873="scenes",5,IF(J873="famous scenes",5,IF(J873="poems",6,IF(J873="walk",6,IF(J873="faces and events",6,IF(J873="events and names",6,IF(J873="flashbulb",7,IF(J873="stories",7,IF(J873="course material",7,IF(J873="autobiographical",7,IF(J873="novels",7,IF(J873="public events",7,"99"))))))))))))))))))))))))))))))))))))))))))))))</f>
        <v>7</v>
      </c>
      <c r="M873" s="60">
        <v>0</v>
      </c>
      <c r="N873" s="60">
        <v>3</v>
      </c>
      <c r="O873" s="60">
        <v>0</v>
      </c>
      <c r="P873" s="60"/>
      <c r="Q873" s="60" t="s">
        <v>65</v>
      </c>
      <c r="R873" s="60">
        <f>IF(Q873="Free Recall",1,IF(Q873="Cued Recall",2,IF(Q873="Recognition",3,IF(Q873="Multiple Choice",4,IF(Q873="Savings",5,IF(Q873="Stem Completion",6,IF(Q873="Fragment Completion",7,IF(Q873="anagram solution",8,IF(Q873="Matching",9,IF(Q873="Problem Solving",10,"99"))))))))))</f>
        <v>2</v>
      </c>
      <c r="S873" s="60" t="s">
        <v>15</v>
      </c>
      <c r="T873" s="60" t="s">
        <v>261</v>
      </c>
      <c r="U873" s="60">
        <f>IF(T873="within",1,0)</f>
        <v>0</v>
      </c>
      <c r="V873" s="60">
        <v>30</v>
      </c>
      <c r="W873" s="60">
        <f>F873*V873</f>
        <v>127170</v>
      </c>
      <c r="X873" s="60">
        <v>52</v>
      </c>
      <c r="Y873" s="76">
        <f>AV872</f>
        <v>86400</v>
      </c>
      <c r="Z873" s="60" t="s">
        <v>189</v>
      </c>
      <c r="AA873" s="76">
        <f>374.5*24*60*60</f>
        <v>32356800</v>
      </c>
      <c r="AB873" s="60" t="str">
        <f>IF(AA873&lt;60,"1",IF(AA873&lt;=43200,"2",IF(AA873&lt;=777600,"3","4")))</f>
        <v>4</v>
      </c>
      <c r="AC873" s="56">
        <f>AVERAGE(AV872:DA872)</f>
        <v>12650953.846153846</v>
      </c>
      <c r="AD873" s="60" t="str">
        <f>IF(AC873&lt;60,"1",IF(AC873&lt;=43200,"2",IF(AC873&lt;=777600,"3","4")))</f>
        <v>4</v>
      </c>
      <c r="AE873" s="76">
        <f>AA873-Y873</f>
        <v>32270400</v>
      </c>
      <c r="AF873" s="80">
        <f>AV873</f>
        <v>0.62560975609756098</v>
      </c>
      <c r="AG873" s="56">
        <f>((AW873-AV873)+(AX873-AW873)+(AY873-AX873)+(AZ873-AY873)+(BA873-AZ873)+(BB873-BA873)+(BC873-BB873)+(BD873-BC873)+(BE873-BD873)+(BF873-BE873)+(BG873-BF873)+(BH873-BG873)+(BI873-BH873)+(BJ873-BI873)+(BK873-BJ873)+(BL873-BK873)+(BM873-BL873)+(BN873-BM873)+(BO873-BN873)+(BP873-BO873)+(BQ873-BP873)+(BR873-BQ873)+(BS873-BR873)+(BT873-BS873)+(BU873-BT873)+(BV873-BU873)+(BW873-BV873)+(BX873-BW873)+(BY873-BX873)+(BZ873-BY873)+(CA873-BZ873)+(CB873-CA873)+(CC873-CB873)+(CD873-CC873)+(CE873-CD873)+(CF873-CE873)+(CG873-CF873)+(CH873-CG873)+(CI873-CH873)+(CJ873-CI873)+(CK873-CJ873)+(CL873-CK873)+(CM873-CL873)+(CN873-CM873)+(CO873-CN873)+(CP873-CO873)+(CQ873-CP873)+(CR873-CQ873)+(CS873-CR873)+(CT873-CS873)+(CU873-CT873))/51</f>
        <v>-6.0736489717838427E-3</v>
      </c>
      <c r="AH873" s="4"/>
      <c r="AI873" s="56">
        <f>RSQ(AV873:CU873,AV872:CU872)</f>
        <v>0.76456434156351927</v>
      </c>
      <c r="AJ873" s="109">
        <f>SLOPE(AV873:CU873,AV872:CU872)</f>
        <v>-7.9386611615569551E-9</v>
      </c>
      <c r="AK873" s="56">
        <f>INTERCEPT(AV873:CU873,AV872:CU872)</f>
        <v>0.5065291969307204</v>
      </c>
      <c r="AL873" s="56">
        <f>INDEX(LINEST(LN(AV873:CU873),LN(AV872:CU872),TRUE,TRUE),3,1)</f>
        <v>0.88586791126068598</v>
      </c>
      <c r="AM873" s="56">
        <f>INDEX(LINEST(LN(AV873:CU873),LN(AV872:CU872)),1)</f>
        <v>-0.1593494789550107</v>
      </c>
      <c r="AN873" s="56">
        <f>EXP(INDEX(LINEST(LN(AV873:CU873),LN(AV872:CU872)),1,2))</f>
        <v>4.9103795715116103</v>
      </c>
      <c r="AO873" s="82">
        <f>INDEX(LINEST((AV873:CU873),LN(AV872:CU872),TRUE,TRUE),3,1)</f>
        <v>0.91825482678518033</v>
      </c>
      <c r="AP873" s="82">
        <f>INDEX(LINEST((AV873:CU873),LN(AV872:CU872)),1)</f>
        <v>-6.8051423731975078E-2</v>
      </c>
      <c r="AQ873" s="83">
        <f>INDEX(LINEST(LN(AV873:CU873),SQRT(AV872:CU872),TRUE,TRUE),3,1)</f>
        <v>0.90866370308973077</v>
      </c>
      <c r="AR873" s="116">
        <f>INDEX(LINEST(LN(AV873:CU873),SQRT((AV872:CU872))),1)</f>
        <v>-1.3371258752841868E-4</v>
      </c>
      <c r="AS873" s="84">
        <f>INDEX(LINEST(1/(AV873:CU873),1/(SQRT(AV872:CU872)),TRUE,TRUE),3,1)</f>
        <v>0.46066038912968427</v>
      </c>
      <c r="AT873" s="84">
        <f>INDEX(LINEST(1/(AV873:CU873),1/SQRT(AV872:CU872)),1)</f>
        <v>-730.51802000417695</v>
      </c>
      <c r="AU873" s="3"/>
      <c r="AV873" s="53">
        <v>0.62560975609756098</v>
      </c>
      <c r="AW873" s="53">
        <v>0.63536585365853604</v>
      </c>
      <c r="AX873" s="53">
        <v>0.59146341463414598</v>
      </c>
      <c r="AY873" s="53">
        <v>0.57804878048780495</v>
      </c>
      <c r="AZ873" s="53">
        <v>0.51219512195121897</v>
      </c>
      <c r="BA873" s="53">
        <v>0.49878048780487799</v>
      </c>
      <c r="BB873" s="53">
        <v>0.49390243902439002</v>
      </c>
      <c r="BC873" s="53">
        <v>0.51097560975609702</v>
      </c>
      <c r="BD873" s="53">
        <v>0.48170731707316999</v>
      </c>
      <c r="BE873" s="53">
        <v>0.50365853658536497</v>
      </c>
      <c r="BF873" s="53">
        <v>0.48902439024390199</v>
      </c>
      <c r="BG873" s="53">
        <v>0.46707317073170701</v>
      </c>
      <c r="BH873" s="53">
        <v>0.45243902439024303</v>
      </c>
      <c r="BI873" s="53">
        <v>0.45243902439024303</v>
      </c>
      <c r="BJ873" s="53">
        <v>0.49634146341463398</v>
      </c>
      <c r="BK873" s="53">
        <v>0.48658536585365803</v>
      </c>
      <c r="BL873" s="53">
        <v>0.46707317073170701</v>
      </c>
      <c r="BM873" s="53">
        <v>0.48414634146341401</v>
      </c>
      <c r="BN873" s="53">
        <v>0.41829268292682897</v>
      </c>
      <c r="BO873" s="53">
        <v>0.413414634146341</v>
      </c>
      <c r="BP873" s="53">
        <v>0.42073170731707299</v>
      </c>
      <c r="BQ873" s="53">
        <v>0.440243902439024</v>
      </c>
      <c r="BR873" s="53">
        <v>0.48902439024390199</v>
      </c>
      <c r="BS873" s="53">
        <v>0.413414634146341</v>
      </c>
      <c r="BT873" s="53">
        <v>0.40609756097560901</v>
      </c>
      <c r="BU873" s="53">
        <v>0.39146341463414602</v>
      </c>
      <c r="BV873" s="53">
        <v>0.34024390243902403</v>
      </c>
      <c r="BW873" s="53">
        <v>0.36707317073170698</v>
      </c>
      <c r="BX873" s="53">
        <v>0.37317073170731702</v>
      </c>
      <c r="BY873" s="53">
        <v>0.35487804878048701</v>
      </c>
      <c r="BZ873" s="53">
        <v>0.35975609756097499</v>
      </c>
      <c r="CA873" s="53">
        <v>0.319512195121951</v>
      </c>
      <c r="CB873" s="53">
        <v>0.345121951219512</v>
      </c>
      <c r="CC873" s="53">
        <v>0.29024390243902398</v>
      </c>
      <c r="CD873" s="53">
        <v>0.35731707317073103</v>
      </c>
      <c r="CE873" s="53">
        <v>0.326829268292682</v>
      </c>
      <c r="CF873" s="53">
        <v>0.31707317073170699</v>
      </c>
      <c r="CG873" s="53">
        <v>0.32317073170731703</v>
      </c>
      <c r="CH873" s="53">
        <v>0.34146341463414598</v>
      </c>
      <c r="CI873" s="53">
        <v>0.32560975609755999</v>
      </c>
      <c r="CJ873" s="53">
        <v>0.34878048780487703</v>
      </c>
      <c r="CK873" s="53">
        <v>0.30487804878048702</v>
      </c>
      <c r="CL873" s="53">
        <v>0.32317073170731703</v>
      </c>
      <c r="CM873" s="53">
        <v>0.32317073170731703</v>
      </c>
      <c r="CN873" s="53">
        <v>0.30365853658536501</v>
      </c>
      <c r="CO873" s="53">
        <v>0.29878048780487798</v>
      </c>
      <c r="CP873" s="53">
        <v>0.32926829268292601</v>
      </c>
      <c r="CQ873" s="53">
        <v>0.31219512195121901</v>
      </c>
      <c r="CR873" s="16">
        <v>0.27926829268292602</v>
      </c>
      <c r="CS873" s="16">
        <v>0.29024390243902398</v>
      </c>
      <c r="CT873" s="16">
        <v>0.326829268292682</v>
      </c>
      <c r="CU873" s="16">
        <v>0.31585365853658498</v>
      </c>
    </row>
    <row r="874" spans="1:99" s="13" customFormat="1" ht="12" customHeight="1" x14ac:dyDescent="0.2">
      <c r="A874" s="68">
        <v>43896</v>
      </c>
      <c r="B874" s="70"/>
      <c r="C874" s="70"/>
      <c r="D874" s="69"/>
      <c r="E874" s="87"/>
      <c r="F874" s="69"/>
      <c r="G874" s="69"/>
      <c r="H874" s="69"/>
      <c r="I874" s="69"/>
      <c r="J874" s="69"/>
      <c r="K874" s="107"/>
      <c r="L874" s="107"/>
      <c r="M874" s="69"/>
      <c r="N874" s="69"/>
      <c r="O874" s="69"/>
      <c r="P874" s="69"/>
      <c r="Q874" s="69"/>
      <c r="R874" s="69"/>
      <c r="S874" s="69"/>
      <c r="T874" s="69"/>
      <c r="U874" s="69"/>
      <c r="V874" s="69"/>
      <c r="W874" s="69"/>
      <c r="X874" s="69"/>
      <c r="Y874" s="87"/>
      <c r="Z874" s="92"/>
      <c r="AA874" s="92"/>
      <c r="AB874" s="69"/>
      <c r="AC874" s="72"/>
      <c r="AD874" s="69"/>
      <c r="AE874" s="69"/>
      <c r="AF874" s="88"/>
      <c r="AG874" s="72"/>
      <c r="AH874" s="4"/>
      <c r="AI874" s="72"/>
      <c r="AJ874" s="110"/>
      <c r="AK874" s="72"/>
      <c r="AL874" s="72"/>
      <c r="AM874" s="72"/>
      <c r="AN874" s="72"/>
      <c r="AO874" s="89"/>
      <c r="AP874" s="89"/>
      <c r="AQ874" s="90"/>
      <c r="AR874" s="117"/>
      <c r="AS874" s="91"/>
      <c r="AT874" s="91"/>
      <c r="AU874" s="3"/>
      <c r="AV874" s="71">
        <v>157680000</v>
      </c>
      <c r="AW874" s="71">
        <v>473040000</v>
      </c>
      <c r="AX874" s="71">
        <v>788400000</v>
      </c>
      <c r="AY874" s="71">
        <v>1103760000</v>
      </c>
      <c r="AZ874" s="71">
        <v>1419120000</v>
      </c>
      <c r="BA874" s="42"/>
      <c r="BB874" s="42"/>
      <c r="BC874" s="28"/>
      <c r="BD874" s="28"/>
      <c r="BE874" s="28"/>
      <c r="BF874" s="28"/>
      <c r="BG874" s="28"/>
      <c r="BH874" s="28"/>
      <c r="BI874" s="28"/>
      <c r="BJ874" s="28"/>
      <c r="BK874" s="28"/>
      <c r="BL874" s="28"/>
      <c r="BM874" s="28"/>
      <c r="BN874" s="28"/>
      <c r="BO874" s="28"/>
      <c r="BP874" s="28"/>
      <c r="BQ874" s="28"/>
      <c r="BR874" s="28"/>
      <c r="BS874" s="28"/>
      <c r="BT874" s="28"/>
      <c r="BU874" s="28"/>
      <c r="BV874" s="28"/>
      <c r="BW874" s="28"/>
      <c r="BX874" s="28"/>
      <c r="BY874" s="28"/>
      <c r="BZ874" s="28"/>
      <c r="CA874" s="28"/>
      <c r="CB874" s="28"/>
      <c r="CC874" s="28"/>
      <c r="CD874" s="28"/>
      <c r="CE874" s="28"/>
      <c r="CF874" s="28"/>
      <c r="CG874" s="28"/>
      <c r="CH874" s="28"/>
      <c r="CI874" s="28"/>
      <c r="CJ874" s="28"/>
      <c r="CK874" s="28"/>
      <c r="CL874" s="28"/>
      <c r="CM874" s="28"/>
      <c r="CN874" s="28"/>
      <c r="CO874" s="28"/>
      <c r="CP874" s="28"/>
      <c r="CQ874" s="28"/>
      <c r="CR874" s="16"/>
      <c r="CS874" s="16"/>
      <c r="CT874" s="16"/>
      <c r="CU874" s="16"/>
    </row>
    <row r="875" spans="1:99" s="13" customFormat="1" ht="12" customHeight="1" x14ac:dyDescent="0.2">
      <c r="A875" s="68">
        <v>43896</v>
      </c>
      <c r="B875" s="70" t="s">
        <v>368</v>
      </c>
      <c r="C875" s="70" t="s">
        <v>54</v>
      </c>
      <c r="D875" s="69">
        <v>1980</v>
      </c>
      <c r="E875" s="87">
        <v>1</v>
      </c>
      <c r="F875" s="69">
        <v>5</v>
      </c>
      <c r="G875" s="69">
        <v>5</v>
      </c>
      <c r="H875" s="69" t="s">
        <v>50</v>
      </c>
      <c r="I875" s="69" t="s">
        <v>330</v>
      </c>
      <c r="J875" s="92" t="s">
        <v>353</v>
      </c>
      <c r="K875" s="69">
        <f>IF(J875="syllables",1,IF(J875="trigrams",2,IF(J875="strings",3,IF(J875="visual array",4,IF(J875="characters",5,IF(J875="letters",6,IF(J875="free forms",7,IF(J875="odors",8,IF(J875="words",9,IF(J875="pictures",10,IF(J875="object pictures",11,IF(J875="faces",12,IF(J875="names",13,IF(J875="idioms",14,IF(J875="grades",15,IF(J875="syllable-digit pairs",16,IF(J875="trigram-word pairs",17,IF(J875="word-digit pairs",18,IF(J875="English-Swahili pairs",19,IF(J875="spatial position",20,IF(J875="word pairs",21,IF(J875="word triads",22,IF(J875="generated words",23,IF(J875="word definition pairs",24,IF(J875="math problems",25,IF(J875="famous faces",26,IF(J875="famous names",27,IF(J875="famous voices",28,IF(J875="television programs",29,IF(J875="race horses",30,IF(J875="new vocabulary",31,IF(J875="sentences",32,IF(J875="concepts",33,IF(J875="ad slides",34,IF(J875="scenes",35,IF(J875="famous scenes",36,IF(J875="poems",37,IF(J875="walk",38,IF(J875="faces and events",39,IF(J875="events and names",40,IF(J875="flashbulb",41,IF(J875="stories",42,IF(J875="course material",43,IF(J875="autobiographical",44,IF(J875="novels",45,IF(J875="public events",46,"99"))))))))))))))))))))))))))))))))))))))))))))))</f>
        <v>28</v>
      </c>
      <c r="L875" s="69">
        <f>IF(J875="syllables",1,IF(J875="trigrams",1,IF(J875="strings",1,IF(J875="visual array",1,IF(J875="characters",1,IF(J875="letters",1,IF(J875="free forms",1,IF(J875="odors",2,IF(J875="words",2,IF(J875="pictures",2,IF(J875="object pictures",2,IF(J875="faces",2,IF(J875="names",2,IF(J875="idioms","2",IF(J875="grades",2,IF(J875="syllable-digit pairs",3,IF(J875="trigram-word pairs",3,IF(J875="word-digit pairs",3,IF(J875="English-Swahili pairs",3,IF(J875="spatial position",3,IF(J875="word pairs",4,IF(J875="word triads",4,IF(J875="generated words",4,IF(J875="word definition pairs",4,IF(J875="math problems",4,IF(J875="famous faces",4,IF(J875="famous names",4,IF(J875="famous voices",4,IF(J875="television programs",4,IF(J875="race horses",4,IF(J875="new vocabulary",4,IF(J875="sentences",5,IF(J875="concepts",5,IF(J875="ad slides",5,IF(J875="scenes",5,IF(J875="famous scenes",5,IF(J875="poems",6,IF(J875="walk",6,IF(J875="faces and events",6,IF(J875="events and names",6,IF(J875="flashbulb",7,IF(J875="stories",7,IF(J875="course material",7,IF(J875="autobiographical",7,IF(J875="novels",7,IF(J875="public events",7,"99"))))))))))))))))))))))))))))))))))))))))))))))</f>
        <v>4</v>
      </c>
      <c r="M875" s="69">
        <v>1</v>
      </c>
      <c r="N875" s="69">
        <v>2</v>
      </c>
      <c r="O875" s="69">
        <v>0</v>
      </c>
      <c r="P875" s="69"/>
      <c r="Q875" s="69" t="s">
        <v>174</v>
      </c>
      <c r="R875" s="69">
        <f>IF(Q875="Free Recall",1,IF(Q875="Cued Recall",2,IF(Q875="Recognition",3,IF(Q875="Multiple Choice",4,IF(Q875="Savings",5,IF(Q875="Stem Completion",6,IF(Q875="Fragment Completion",7,IF(Q875="anagram solution",8,IF(Q875="Matching",9,IF(Q875="Problem Solving",10,"99"))))))))))</f>
        <v>1</v>
      </c>
      <c r="S875" s="69" t="s">
        <v>49</v>
      </c>
      <c r="T875" s="92" t="s">
        <v>581</v>
      </c>
      <c r="U875" s="69">
        <f>IF(T875="within",1,0)</f>
        <v>1</v>
      </c>
      <c r="V875" s="92">
        <v>80</v>
      </c>
      <c r="W875" s="69">
        <f>F875*V875</f>
        <v>400</v>
      </c>
      <c r="X875" s="69">
        <v>5</v>
      </c>
      <c r="Y875" s="87">
        <f>AV874</f>
        <v>157680000</v>
      </c>
      <c r="Z875" s="69" t="s">
        <v>373</v>
      </c>
      <c r="AA875" s="69">
        <f>45*365*24*60*60</f>
        <v>1419120000</v>
      </c>
      <c r="AB875" s="69" t="str">
        <f>IF(AA875&lt;60,"1",IF(AA875&lt;=43200,"2",IF(AA875&lt;=777600,"3","4")))</f>
        <v>4</v>
      </c>
      <c r="AC875" s="72">
        <f>AVERAGE(AV874:DA874)</f>
        <v>788400000</v>
      </c>
      <c r="AD875" s="69" t="str">
        <f>IF(AC875&lt;60,"1",IF(AC875&lt;=43200,"2",IF(AC875&lt;=777600,"3","4")))</f>
        <v>4</v>
      </c>
      <c r="AE875" s="87">
        <f>AA875-Y875</f>
        <v>1261440000</v>
      </c>
      <c r="AF875" s="88">
        <f>AV875</f>
        <v>0.63157894736842102</v>
      </c>
      <c r="AG875" s="72">
        <f>((AW875-AV875)+(AX875-AW875)+(AY875-AX875)+(AZ875-AY875))/4</f>
        <v>-8.2313341493268036E-2</v>
      </c>
      <c r="AH875" s="4"/>
      <c r="AI875" s="72">
        <f>RSQ(AV875:AZ875,AV874:AZ874)</f>
        <v>0.74291117948532459</v>
      </c>
      <c r="AJ875" s="110">
        <f>SLOPE(AV875:AZ875,AV874:AZ874)</f>
        <v>-2.435123966927623E-10</v>
      </c>
      <c r="AK875" s="72">
        <f>INTERCEPT(AV875:AZ875,AV874:AZ874)</f>
        <v>0.67255496252817326</v>
      </c>
      <c r="AL875" s="72">
        <f>INDEX(LINEST(LN(AV875:AZ875),LN(AV874:AZ874),TRUE,TRUE),3,1)</f>
        <v>0.6330801143760495</v>
      </c>
      <c r="AM875" s="72">
        <f>INDEX(LINEST(LN(AV875:AZ875),LN(AV874:AZ874)),1)</f>
        <v>-0.28550487306301897</v>
      </c>
      <c r="AN875" s="72">
        <f>EXP(INDEX(LINEST(LN(AV875:AZ875),LN(AV874:AZ874)),1,2))</f>
        <v>149.94802274061576</v>
      </c>
      <c r="AO875" s="89">
        <f>INDEX(LINEST((AV875:AZ875),LN(AV874:AZ874),TRUE,TRUE),3,1)</f>
        <v>0.68486312324743626</v>
      </c>
      <c r="AP875" s="89">
        <f>INDEX(LINEST((AV875:AZ875),LN(AV874:AZ874)),1)</f>
        <v>-0.1340851491326111</v>
      </c>
      <c r="AQ875" s="90">
        <f>INDEX(LINEST(LN(AV875:AZ875),SQRT(AV874:AZ874),TRUE,TRUE),3,1)</f>
        <v>0.69332543686257131</v>
      </c>
      <c r="AR875" s="117">
        <f>INDEX(LINEST(LN(AV875:AZ875),SQRT((AV874:AZ874))),1)</f>
        <v>-2.633121848574387E-5</v>
      </c>
      <c r="AS875" s="91">
        <f>INDEX(LINEST(1/(AV875:AZ875),1/(SQRT(AV874:AZ874)),TRUE,TRUE),3,1)</f>
        <v>0.4940418702587176</v>
      </c>
      <c r="AT875" s="91">
        <f>INDEX(LINEST(1/(AV875:AZ875),1/SQRT(AV874:AZ874)),1)</f>
        <v>-23752.20815122603</v>
      </c>
      <c r="AU875" s="3"/>
      <c r="AV875" s="73">
        <v>0.63157894736842102</v>
      </c>
      <c r="AW875" s="73">
        <v>0.6</v>
      </c>
      <c r="AX875" s="73">
        <v>0.3783783783783784</v>
      </c>
      <c r="AY875" s="73">
        <v>0.49056603773584906</v>
      </c>
      <c r="AZ875" s="73">
        <v>0.30232558139534887</v>
      </c>
      <c r="BA875" s="42"/>
      <c r="BB875" s="42"/>
      <c r="BC875" s="28"/>
      <c r="BD875" s="28"/>
      <c r="BE875" s="28"/>
      <c r="BF875" s="28"/>
      <c r="BG875" s="28"/>
      <c r="BH875" s="28"/>
      <c r="BI875" s="28"/>
      <c r="BJ875" s="28"/>
      <c r="BK875" s="28"/>
      <c r="BL875" s="28"/>
      <c r="BM875" s="28"/>
      <c r="BN875" s="28"/>
      <c r="BO875" s="28"/>
      <c r="BP875" s="28"/>
      <c r="BQ875" s="28"/>
      <c r="BR875" s="28"/>
      <c r="BS875" s="28"/>
      <c r="BT875" s="28"/>
      <c r="BU875" s="28"/>
      <c r="BV875" s="28"/>
      <c r="BW875" s="28"/>
      <c r="BX875" s="28"/>
      <c r="BY875" s="28"/>
      <c r="BZ875" s="28"/>
      <c r="CA875" s="28"/>
      <c r="CB875" s="28"/>
      <c r="CC875" s="28"/>
      <c r="CD875" s="28"/>
      <c r="CE875" s="28"/>
      <c r="CF875" s="28"/>
      <c r="CG875" s="28"/>
      <c r="CH875" s="28"/>
      <c r="CI875" s="28"/>
      <c r="CJ875" s="28"/>
      <c r="CK875" s="28"/>
      <c r="CL875" s="28"/>
      <c r="CM875" s="28"/>
      <c r="CN875" s="28"/>
      <c r="CO875" s="28"/>
      <c r="CP875" s="28"/>
      <c r="CQ875" s="28"/>
      <c r="CR875" s="16"/>
      <c r="CS875" s="16"/>
      <c r="CT875" s="16"/>
      <c r="CU875" s="16"/>
    </row>
    <row r="876" spans="1:99" s="13" customFormat="1" ht="12" customHeight="1" x14ac:dyDescent="0.2">
      <c r="A876" s="68">
        <v>43896</v>
      </c>
      <c r="B876" s="70"/>
      <c r="C876" s="70"/>
      <c r="D876" s="69"/>
      <c r="E876" s="87"/>
      <c r="F876" s="69"/>
      <c r="G876" s="69"/>
      <c r="H876" s="69"/>
      <c r="I876" s="69"/>
      <c r="J876" s="69"/>
      <c r="K876" s="107"/>
      <c r="L876" s="107"/>
      <c r="M876" s="69"/>
      <c r="N876" s="69"/>
      <c r="O876" s="69"/>
      <c r="P876" s="69"/>
      <c r="Q876" s="69"/>
      <c r="R876" s="69"/>
      <c r="S876" s="69"/>
      <c r="T876" s="69"/>
      <c r="U876" s="69"/>
      <c r="V876" s="69"/>
      <c r="W876" s="69"/>
      <c r="X876" s="69"/>
      <c r="Y876" s="87"/>
      <c r="Z876" s="92"/>
      <c r="AA876" s="92"/>
      <c r="AB876" s="69"/>
      <c r="AC876" s="72"/>
      <c r="AD876" s="69"/>
      <c r="AE876" s="69"/>
      <c r="AF876" s="88"/>
      <c r="AG876" s="72"/>
      <c r="AH876" s="4"/>
      <c r="AI876" s="72"/>
      <c r="AJ876" s="110"/>
      <c r="AK876" s="72"/>
      <c r="AL876" s="72"/>
      <c r="AM876" s="72"/>
      <c r="AN876" s="72"/>
      <c r="AO876" s="89"/>
      <c r="AP876" s="89"/>
      <c r="AQ876" s="90"/>
      <c r="AR876" s="117"/>
      <c r="AS876" s="91"/>
      <c r="AT876" s="91"/>
      <c r="AU876" s="3"/>
      <c r="AV876" s="71">
        <v>157680000</v>
      </c>
      <c r="AW876" s="71">
        <v>473040000</v>
      </c>
      <c r="AX876" s="71">
        <v>788400000</v>
      </c>
      <c r="AY876" s="71">
        <v>1103760000</v>
      </c>
      <c r="AZ876" s="71">
        <v>1419120000</v>
      </c>
      <c r="BA876" s="42"/>
      <c r="BB876" s="42"/>
      <c r="BC876" s="28"/>
      <c r="BD876" s="28"/>
      <c r="BE876" s="28"/>
      <c r="BF876" s="28"/>
      <c r="BG876" s="28"/>
      <c r="BH876" s="28"/>
      <c r="BI876" s="28"/>
      <c r="BJ876" s="28"/>
      <c r="BK876" s="28"/>
      <c r="BL876" s="28"/>
      <c r="BM876" s="28"/>
      <c r="BN876" s="28"/>
      <c r="BO876" s="28"/>
      <c r="BP876" s="28"/>
      <c r="BQ876" s="28"/>
      <c r="BR876" s="28"/>
      <c r="BS876" s="28"/>
      <c r="BT876" s="28"/>
      <c r="BU876" s="28"/>
      <c r="BV876" s="28"/>
      <c r="BW876" s="28"/>
      <c r="BX876" s="28"/>
      <c r="BY876" s="28"/>
      <c r="BZ876" s="28"/>
      <c r="CA876" s="28"/>
      <c r="CB876" s="28"/>
      <c r="CC876" s="28"/>
      <c r="CD876" s="28"/>
      <c r="CE876" s="28"/>
      <c r="CF876" s="28"/>
      <c r="CG876" s="28"/>
      <c r="CH876" s="28"/>
      <c r="CI876" s="28"/>
      <c r="CJ876" s="28"/>
      <c r="CK876" s="28"/>
      <c r="CL876" s="28"/>
      <c r="CM876" s="28"/>
      <c r="CN876" s="28"/>
      <c r="CO876" s="28"/>
      <c r="CP876" s="28"/>
      <c r="CQ876" s="28"/>
      <c r="CR876" s="16"/>
      <c r="CS876" s="16"/>
      <c r="CT876" s="16"/>
      <c r="CU876" s="16"/>
    </row>
    <row r="877" spans="1:99" s="13" customFormat="1" ht="12" customHeight="1" x14ac:dyDescent="0.2">
      <c r="A877" s="68">
        <v>43896</v>
      </c>
      <c r="B877" s="70" t="s">
        <v>368</v>
      </c>
      <c r="C877" s="70" t="s">
        <v>54</v>
      </c>
      <c r="D877" s="69">
        <v>1980</v>
      </c>
      <c r="E877" s="87">
        <v>1</v>
      </c>
      <c r="F877" s="69">
        <v>5</v>
      </c>
      <c r="G877" s="69">
        <v>5</v>
      </c>
      <c r="H877" s="69" t="s">
        <v>50</v>
      </c>
      <c r="I877" s="69" t="s">
        <v>330</v>
      </c>
      <c r="J877" s="92" t="s">
        <v>353</v>
      </c>
      <c r="K877" s="69">
        <f>IF(J877="syllables",1,IF(J877="trigrams",2,IF(J877="strings",3,IF(J877="visual array",4,IF(J877="characters",5,IF(J877="letters",6,IF(J877="free forms",7,IF(J877="odors",8,IF(J877="words",9,IF(J877="pictures",10,IF(J877="object pictures",11,IF(J877="faces",12,IF(J877="names",13,IF(J877="idioms",14,IF(J877="grades",15,IF(J877="syllable-digit pairs",16,IF(J877="trigram-word pairs",17,IF(J877="word-digit pairs",18,IF(J877="English-Swahili pairs",19,IF(J877="spatial position",20,IF(J877="word pairs",21,IF(J877="word triads",22,IF(J877="generated words",23,IF(J877="word definition pairs",24,IF(J877="math problems",25,IF(J877="famous faces",26,IF(J877="famous names",27,IF(J877="famous voices",28,IF(J877="television programs",29,IF(J877="race horses",30,IF(J877="new vocabulary",31,IF(J877="sentences",32,IF(J877="concepts",33,IF(J877="ad slides",34,IF(J877="scenes",35,IF(J877="famous scenes",36,IF(J877="poems",37,IF(J877="walk",38,IF(J877="faces and events",39,IF(J877="events and names",40,IF(J877="flashbulb",41,IF(J877="stories",42,IF(J877="course material",43,IF(J877="autobiographical",44,IF(J877="novels",45,IF(J877="public events",46,"99"))))))))))))))))))))))))))))))))))))))))))))))</f>
        <v>28</v>
      </c>
      <c r="L877" s="69">
        <f>IF(J877="syllables",1,IF(J877="trigrams",1,IF(J877="strings",1,IF(J877="visual array",1,IF(J877="characters",1,IF(J877="letters",1,IF(J877="free forms",1,IF(J877="odors",2,IF(J877="words",2,IF(J877="pictures",2,IF(J877="object pictures",2,IF(J877="faces",2,IF(J877="names",2,IF(J877="idioms","2",IF(J877="grades",2,IF(J877="syllable-digit pairs",3,IF(J877="trigram-word pairs",3,IF(J877="word-digit pairs",3,IF(J877="English-Swahili pairs",3,IF(J877="spatial position",3,IF(J877="word pairs",4,IF(J877="word triads",4,IF(J877="generated words",4,IF(J877="word definition pairs",4,IF(J877="math problems",4,IF(J877="famous faces",4,IF(J877="famous names",4,IF(J877="famous voices",4,IF(J877="television programs",4,IF(J877="race horses",4,IF(J877="new vocabulary",4,IF(J877="sentences",5,IF(J877="concepts",5,IF(J877="ad slides",5,IF(J877="scenes",5,IF(J877="famous scenes",5,IF(J877="poems",6,IF(J877="walk",6,IF(J877="faces and events",6,IF(J877="events and names",6,IF(J877="flashbulb",7,IF(J877="stories",7,IF(J877="course material",7,IF(J877="autobiographical",7,IF(J877="novels",7,IF(J877="public events",7,"99"))))))))))))))))))))))))))))))))))))))))))))))</f>
        <v>4</v>
      </c>
      <c r="M877" s="69">
        <v>1</v>
      </c>
      <c r="N877" s="69">
        <v>2</v>
      </c>
      <c r="O877" s="69">
        <v>0</v>
      </c>
      <c r="P877" s="69"/>
      <c r="Q877" s="69" t="s">
        <v>182</v>
      </c>
      <c r="R877" s="69">
        <f>IF(Q877="Free Recall",1,IF(Q877="Cued Recall",2,IF(Q877="Recognition",3,IF(Q877="Multiple Choice",4,IF(Q877="Savings",5,IF(Q877="Stem Completion",6,IF(Q877="Fragment Completion",7,IF(Q877="anagram solution",8,IF(Q877="Matching",9,IF(Q877="Problem Solving",10,"99"))))))))))</f>
        <v>4</v>
      </c>
      <c r="S877" s="69" t="s">
        <v>15</v>
      </c>
      <c r="T877" s="92" t="s">
        <v>581</v>
      </c>
      <c r="U877" s="69">
        <f>IF(T877="within",1,0)</f>
        <v>1</v>
      </c>
      <c r="V877" s="92">
        <v>80</v>
      </c>
      <c r="W877" s="69">
        <f>F877*V877</f>
        <v>400</v>
      </c>
      <c r="X877" s="69">
        <v>5</v>
      </c>
      <c r="Y877" s="87">
        <f>AV876</f>
        <v>157680000</v>
      </c>
      <c r="Z877" s="69" t="s">
        <v>373</v>
      </c>
      <c r="AA877" s="69">
        <f>45*365*24*60*60</f>
        <v>1419120000</v>
      </c>
      <c r="AB877" s="69" t="str">
        <f>IF(AA877&lt;60,"1",IF(AA877&lt;=43200,"2",IF(AA877&lt;=777600,"3","4")))</f>
        <v>4</v>
      </c>
      <c r="AC877" s="72">
        <f>AVERAGE(AV876:DA876)</f>
        <v>788400000</v>
      </c>
      <c r="AD877" s="69" t="str">
        <f>IF(AC877&lt;60,"1",IF(AC877&lt;=43200,"2",IF(AC877&lt;=777600,"3","4")))</f>
        <v>4</v>
      </c>
      <c r="AE877" s="87">
        <f>AA877-Y877</f>
        <v>1261440000</v>
      </c>
      <c r="AF877" s="88">
        <f>AV877</f>
        <v>0.90624999999999989</v>
      </c>
      <c r="AG877" s="72">
        <f>((AW877-AV877)+(AX877-AW877)+(AY877-AX877)+(AZ877-AY877))/4</f>
        <v>-0.10422207446808507</v>
      </c>
      <c r="AH877" s="4"/>
      <c r="AI877" s="72">
        <f>RSQ(AV877:AZ877,AV876:AZ876)</f>
        <v>0.58066452422558823</v>
      </c>
      <c r="AJ877" s="110">
        <f>SLOPE(AV877:AZ877,AV876:AZ876)</f>
        <v>-2.6342206216922747E-10</v>
      </c>
      <c r="AK877" s="72">
        <f>INTERCEPT(AV877:AZ877,AV876:AZ876)</f>
        <v>0.9943371272603887</v>
      </c>
      <c r="AL877" s="72">
        <f>INDEX(LINEST(LN(AV877:AZ877),LN(AV876:AZ876),TRUE,TRUE),3,1)</f>
        <v>0.37995294015537817</v>
      </c>
      <c r="AM877" s="72">
        <f>INDEX(LINEST(LN(AV877:AZ877),LN(AV876:AZ876)),1)</f>
        <v>-0.182793811559819</v>
      </c>
      <c r="AN877" s="72">
        <f>EXP(INDEX(LINEST(LN(AV877:AZ877),LN(AV876:AZ876)),1,2))</f>
        <v>31.095191816908233</v>
      </c>
      <c r="AO877" s="89">
        <f>INDEX(LINEST((AV877:AZ877),LN(AV876:AZ876),TRUE,TRUE),3,1)</f>
        <v>0.40520089959568656</v>
      </c>
      <c r="AP877" s="89">
        <f>INDEX(LINEST((AV877:AZ877),LN(AV876:AZ876)),1)</f>
        <v>-0.12619753123240668</v>
      </c>
      <c r="AQ877" s="90">
        <f>INDEX(LINEST(LN(AV877:AZ877),SQRT(AV876:AZ876),TRUE,TRUE),3,1)</f>
        <v>0.47711341162366294</v>
      </c>
      <c r="AR877" s="117">
        <f>INDEX(LINEST(LN(AV877:AZ877),SQRT((AV876:AZ876))),1)</f>
        <v>-1.8052011304237449E-5</v>
      </c>
      <c r="AS877" s="91">
        <f>INDEX(LINEST(1/(AV877:AZ877),1/(SQRT(AV876:AZ876)),TRUE,TRUE),3,1)</f>
        <v>0.2698044468937128</v>
      </c>
      <c r="AT877" s="91">
        <f>INDEX(LINEST(1/(AV877:AZ877),1/SQRT(AV876:AZ876)),1)</f>
        <v>-9642.1315711000861</v>
      </c>
      <c r="AU877" s="3"/>
      <c r="AV877" s="73">
        <v>0.90624999999999989</v>
      </c>
      <c r="AW877" s="73">
        <v>0.87500000000000011</v>
      </c>
      <c r="AX877" s="73">
        <v>0.7846153846153846</v>
      </c>
      <c r="AY877" s="73">
        <v>0.87804878048780488</v>
      </c>
      <c r="AZ877" s="73">
        <v>0.48936170212765961</v>
      </c>
      <c r="BA877" s="42"/>
      <c r="BB877" s="42"/>
      <c r="BC877" s="28"/>
      <c r="BD877" s="28"/>
      <c r="BE877" s="28"/>
      <c r="BF877" s="28"/>
      <c r="BG877" s="28"/>
      <c r="BH877" s="28"/>
      <c r="BI877" s="28"/>
      <c r="BJ877" s="28"/>
      <c r="BK877" s="28"/>
      <c r="BL877" s="28"/>
      <c r="BM877" s="28"/>
      <c r="BN877" s="28"/>
      <c r="BO877" s="28"/>
      <c r="BP877" s="28"/>
      <c r="BQ877" s="28"/>
      <c r="BR877" s="28"/>
      <c r="BS877" s="28"/>
      <c r="BT877" s="28"/>
      <c r="BU877" s="28"/>
      <c r="BV877" s="28"/>
      <c r="BW877" s="28"/>
      <c r="BX877" s="28"/>
      <c r="BY877" s="28"/>
      <c r="BZ877" s="28"/>
      <c r="CA877" s="28"/>
      <c r="CB877" s="28"/>
      <c r="CC877" s="28"/>
      <c r="CD877" s="28"/>
      <c r="CE877" s="28"/>
      <c r="CF877" s="28"/>
      <c r="CG877" s="28"/>
      <c r="CH877" s="28"/>
      <c r="CI877" s="28"/>
      <c r="CJ877" s="28"/>
      <c r="CK877" s="28"/>
      <c r="CL877" s="28"/>
      <c r="CM877" s="28"/>
      <c r="CN877" s="28"/>
      <c r="CO877" s="28"/>
      <c r="CP877" s="28"/>
      <c r="CQ877" s="28"/>
      <c r="CR877" s="16"/>
      <c r="CS877" s="16"/>
      <c r="CT877" s="16"/>
      <c r="CU877" s="16"/>
    </row>
    <row r="878" spans="1:99" s="13" customFormat="1" ht="12" customHeight="1" x14ac:dyDescent="0.2">
      <c r="A878" s="65">
        <v>43902</v>
      </c>
      <c r="B878" s="1"/>
      <c r="C878" s="1"/>
      <c r="D878" s="60"/>
      <c r="E878" s="76"/>
      <c r="F878" s="60"/>
      <c r="G878" s="60"/>
      <c r="H878" s="60"/>
      <c r="I878" s="60"/>
      <c r="J878" s="60"/>
      <c r="K878" s="64"/>
      <c r="L878" s="64"/>
      <c r="M878" s="60"/>
      <c r="N878" s="60"/>
      <c r="O878" s="60"/>
      <c r="P878" s="60"/>
      <c r="Q878" s="60"/>
      <c r="R878" s="60"/>
      <c r="S878" s="60"/>
      <c r="T878" s="59"/>
      <c r="U878" s="60"/>
      <c r="V878" s="59"/>
      <c r="W878" s="60"/>
      <c r="X878" s="60"/>
      <c r="Y878" s="76"/>
      <c r="Z878" s="60"/>
      <c r="AA878" s="76"/>
      <c r="AB878" s="60"/>
      <c r="AC878" s="56"/>
      <c r="AD878" s="60"/>
      <c r="AE878" s="60"/>
      <c r="AF878" s="80"/>
      <c r="AG878" s="56"/>
      <c r="AH878" s="4"/>
      <c r="AI878" s="56"/>
      <c r="AJ878" s="109"/>
      <c r="AK878" s="56"/>
      <c r="AL878" s="56"/>
      <c r="AM878" s="56"/>
      <c r="AN878" s="56"/>
      <c r="AO878" s="82"/>
      <c r="AP878" s="82"/>
      <c r="AQ878" s="83"/>
      <c r="AR878" s="116"/>
      <c r="AS878" s="84"/>
      <c r="AT878" s="84"/>
      <c r="AU878" s="3"/>
      <c r="AV878" s="25">
        <v>157680000</v>
      </c>
      <c r="AW878" s="25">
        <v>473040000</v>
      </c>
      <c r="AX878" s="25">
        <v>788400000</v>
      </c>
      <c r="AY878" s="25">
        <v>1103760000</v>
      </c>
      <c r="AZ878" s="25">
        <v>1419120000</v>
      </c>
      <c r="BA878" s="42"/>
      <c r="BB878" s="42"/>
      <c r="BC878" s="35"/>
      <c r="BD878" s="35"/>
      <c r="BE878" s="35"/>
      <c r="BF878" s="35"/>
      <c r="BG878" s="35"/>
      <c r="BH878" s="35"/>
      <c r="BI878" s="35"/>
      <c r="BJ878" s="35"/>
      <c r="BK878" s="35"/>
      <c r="BL878" s="35"/>
      <c r="BM878" s="35"/>
      <c r="BN878" s="35"/>
      <c r="BO878" s="35"/>
      <c r="BP878" s="35"/>
      <c r="BQ878" s="35"/>
      <c r="BR878" s="35"/>
      <c r="BS878" s="35"/>
      <c r="BT878" s="35"/>
      <c r="BU878" s="35"/>
      <c r="BV878" s="35"/>
      <c r="BW878" s="35"/>
      <c r="BX878" s="35"/>
      <c r="BY878" s="35"/>
      <c r="BZ878" s="35"/>
      <c r="CA878" s="35"/>
      <c r="CB878" s="35"/>
      <c r="CC878" s="35"/>
      <c r="CD878" s="35"/>
      <c r="CE878" s="35"/>
      <c r="CF878" s="35"/>
      <c r="CG878" s="35"/>
      <c r="CH878" s="35"/>
      <c r="CI878" s="35"/>
      <c r="CJ878" s="35"/>
      <c r="CK878" s="35"/>
      <c r="CL878" s="35"/>
      <c r="CM878" s="35"/>
      <c r="CN878" s="35"/>
      <c r="CO878" s="35"/>
      <c r="CP878" s="35"/>
      <c r="CQ878" s="35"/>
      <c r="CR878" s="16"/>
      <c r="CS878" s="16"/>
      <c r="CT878" s="16"/>
      <c r="CU878" s="16"/>
    </row>
    <row r="879" spans="1:99" s="13" customFormat="1" ht="12" customHeight="1" x14ac:dyDescent="0.2">
      <c r="A879" s="65">
        <v>43902</v>
      </c>
      <c r="B879" s="1" t="s">
        <v>455</v>
      </c>
      <c r="C879" s="1" t="s">
        <v>139</v>
      </c>
      <c r="D879" s="60">
        <v>1989</v>
      </c>
      <c r="E879" s="76">
        <v>1</v>
      </c>
      <c r="F879" s="60">
        <v>23</v>
      </c>
      <c r="G879" s="60">
        <v>23</v>
      </c>
      <c r="H879" s="60" t="s">
        <v>50</v>
      </c>
      <c r="I879" s="60" t="s">
        <v>330</v>
      </c>
      <c r="J879" s="60" t="s">
        <v>342</v>
      </c>
      <c r="K879" s="60">
        <f>IF(J879="syllables",1,IF(J879="trigrams",2,IF(J879="strings",3,IF(J879="visual array",4,IF(J879="characters",5,IF(J879="letters",6,IF(J879="free forms",7,IF(J879="odors",8,IF(J879="words",9,IF(J879="pictures",10,IF(J879="object pictures",11,IF(J879="faces",12,IF(J879="names",13,IF(J879="idioms",14,IF(J879="grades",15,IF(J879="syllable-digit pairs",16,IF(J879="trigram-word pairs",17,IF(J879="word-digit pairs",18,IF(J879="English-Swahili pairs",19,IF(J879="spatial position",20,IF(J879="word pairs",21,IF(J879="word triads",22,IF(J879="generated words",23,IF(J879="word definition pairs",24,IF(J879="math problems",25,IF(J879="famous faces",26,IF(J879="famous names",27,IF(J879="famous voices",28,IF(J879="television programs",29,IF(J879="race horses",30,IF(J879="new vocabulary",31,IF(J879="sentences",32,IF(J879="concepts",33,IF(J879="ad slides",34,IF(J879="scenes",35,IF(J879="famous scenes",36,IF(J879="poems",37,IF(J879="walk",38,IF(J879="faces and events",39,IF(J879="events and names",40,IF(J879="flashbulb",41,IF(J879="stories",42,IF(J879="course material",43,IF(J879="autobiographical",44,IF(J879="novels",45,IF(J879="public events",46,"99"))))))))))))))))))))))))))))))))))))))))))))))</f>
        <v>26</v>
      </c>
      <c r="L879" s="60">
        <f>IF(J879="syllables",1,IF(J879="trigrams",1,IF(J879="strings",1,IF(J879="visual array",1,IF(J879="characters",1,IF(J879="letters",1,IF(J879="free forms",1,IF(J879="odors",2,IF(J879="words",2,IF(J879="pictures",2,IF(J879="object pictures",2,IF(J879="faces",2,IF(J879="names",2,IF(J879="idioms","2",IF(J879="grades",2,IF(J879="syllable-digit pairs",3,IF(J879="trigram-word pairs",3,IF(J879="word-digit pairs",3,IF(J879="English-Swahili pairs",3,IF(J879="spatial position",3,IF(J879="word pairs",4,IF(J879="word triads",4,IF(J879="generated words",4,IF(J879="word definition pairs",4,IF(J879="math problems",4,IF(J879="famous faces",4,IF(J879="famous names",4,IF(J879="famous voices",4,IF(J879="television programs",4,IF(J879="race horses",4,IF(J879="new vocabulary",4,IF(J879="sentences",5,IF(J879="concepts",5,IF(J879="ad slides",5,IF(J879="scenes",5,IF(J879="famous scenes",5,IF(J879="poems",6,IF(J879="walk",6,IF(J879="faces and events",6,IF(J879="events and names",6,IF(J879="flashbulb",7,IF(J879="stories",7,IF(J879="course material",7,IF(J879="autobiographical",7,IF(J879="novels",7,IF(J879="public events",7,"99"))))))))))))))))))))))))))))))))))))))))))))))</f>
        <v>4</v>
      </c>
      <c r="M879" s="60">
        <v>1</v>
      </c>
      <c r="N879" s="61">
        <v>3</v>
      </c>
      <c r="O879" s="60">
        <v>0</v>
      </c>
      <c r="P879" s="60"/>
      <c r="Q879" s="60" t="s">
        <v>174</v>
      </c>
      <c r="R879" s="60">
        <f>IF(Q879="Free Recall",1,IF(Q879="Cued Recall",2,IF(Q879="Recognition",3,IF(Q879="Multiple Choice",4,IF(Q879="Savings",5,IF(Q879="Stem Completion",6,IF(Q879="Fragment Completion",7,IF(Q879="anagram solution",8,IF(Q879="Matching",9,IF(Q879="Problem Solving",10,"99"))))))))))</f>
        <v>1</v>
      </c>
      <c r="S879" s="60" t="s">
        <v>49</v>
      </c>
      <c r="T879" s="59" t="s">
        <v>581</v>
      </c>
      <c r="U879" s="60">
        <f>IF(T879="within",1,0)</f>
        <v>1</v>
      </c>
      <c r="V879" s="59">
        <v>132</v>
      </c>
      <c r="W879" s="60">
        <f>F879*V879</f>
        <v>3036</v>
      </c>
      <c r="X879" s="60">
        <v>5</v>
      </c>
      <c r="Y879" s="76">
        <f>AV878</f>
        <v>157680000</v>
      </c>
      <c r="Z879" s="60" t="s">
        <v>373</v>
      </c>
      <c r="AA879" s="60">
        <f>45*365*24*60*60</f>
        <v>1419120000</v>
      </c>
      <c r="AB879" s="60" t="str">
        <f>IF(AA879&lt;60,"1",IF(AA879&lt;=43200,"2",IF(AA879&lt;=777600,"3","4")))</f>
        <v>4</v>
      </c>
      <c r="AC879" s="56">
        <f>AVERAGE(AV878:DA878)</f>
        <v>788400000</v>
      </c>
      <c r="AD879" s="60" t="str">
        <f>IF(AC879&lt;60,"1",IF(AC879&lt;=43200,"2",IF(AC879&lt;=777600,"3","4")))</f>
        <v>4</v>
      </c>
      <c r="AE879" s="76">
        <f>AA879-Y879</f>
        <v>1261440000</v>
      </c>
      <c r="AF879" s="80">
        <f>AV879</f>
        <v>0.81132075471698106</v>
      </c>
      <c r="AG879" s="56">
        <f>((AW879-AV879)+(AX879-AW879)+(AY879-AX879)+(AZ879-AY879))/4</f>
        <v>-3.6163522012578608E-2</v>
      </c>
      <c r="AH879" s="4"/>
      <c r="AI879" s="56">
        <f>RSQ(AV879:AZ879,AV878:AZ878)</f>
        <v>0.86508677842846893</v>
      </c>
      <c r="AJ879" s="109">
        <f>SLOPE(AV879:AZ879,AV878:AZ878)</f>
        <v>-9.9084482269543754E-11</v>
      </c>
      <c r="AK879" s="56">
        <f>INTERCEPT(AV879:AZ879,AV878:AZ878)</f>
        <v>0.82700201531950213</v>
      </c>
      <c r="AL879" s="56">
        <f>INDEX(LINEST(LN(AV879:AZ879),LN(AV878:AZ878),TRUE,TRUE),3,1)</f>
        <v>0.71303554731401952</v>
      </c>
      <c r="AM879" s="56">
        <f>INDEX(LINEST(LN(AV879:AZ879),LN(AV878:AZ878)),1)</f>
        <v>-7.0402760275188284E-2</v>
      </c>
      <c r="AN879" s="56">
        <f>EXP(INDEX(LINEST(LN(AV879:AZ879),LN(AV878:AZ878)),1,2))</f>
        <v>3.1085420990615136</v>
      </c>
      <c r="AO879" s="82">
        <f>INDEX(LINEST((AV879:AZ879),LN(AV878:AZ878),TRUE,TRUE),3,1)</f>
        <v>0.73793849554548396</v>
      </c>
      <c r="AP879" s="82">
        <f>INDEX(LINEST((AV879:AZ879),LN(AV878:AZ878)),1)</f>
        <v>-5.2482202250693992E-2</v>
      </c>
      <c r="AQ879" s="83">
        <f>INDEX(LINEST(LN(AV879:AZ879),SQRT(AV878:AZ878),TRUE,TRUE),3,1)</f>
        <v>0.79525835004526857</v>
      </c>
      <c r="AR879" s="116">
        <f>INDEX(LINEST(LN(AV879:AZ879),SQRT((AV878:AZ878))),1)</f>
        <v>-6.552490734007736E-6</v>
      </c>
      <c r="AS879" s="84">
        <f>INDEX(LINEST(1/(AV879:AZ879),1/(SQRT(AV878:AZ878)),TRUE,TRUE),3,1)</f>
        <v>0.59423591502222761</v>
      </c>
      <c r="AT879" s="84">
        <f>INDEX(LINEST(1/(AV879:AZ879),1/SQRT(AV878:AZ878)),1)</f>
        <v>-3568.8036609443288</v>
      </c>
      <c r="AU879" s="3"/>
      <c r="AV879" s="53">
        <v>0.81132075471698106</v>
      </c>
      <c r="AW879" s="53">
        <v>0.76086956521739124</v>
      </c>
      <c r="AX879" s="53">
        <v>0.76785714285714279</v>
      </c>
      <c r="AY879" s="53">
        <v>0.73770491803278693</v>
      </c>
      <c r="AZ879" s="53">
        <v>0.66666666666666663</v>
      </c>
      <c r="BA879" s="42"/>
      <c r="BB879" s="42"/>
      <c r="BC879" s="35"/>
      <c r="BD879" s="35"/>
      <c r="BE879" s="35"/>
      <c r="BF879" s="35"/>
      <c r="BG879" s="35"/>
      <c r="BH879" s="35"/>
      <c r="BI879" s="35"/>
      <c r="BJ879" s="35"/>
      <c r="BK879" s="35"/>
      <c r="BL879" s="35"/>
      <c r="BM879" s="35"/>
      <c r="BN879" s="35"/>
      <c r="BO879" s="35"/>
      <c r="BP879" s="35"/>
      <c r="BQ879" s="35"/>
      <c r="BR879" s="35"/>
      <c r="BS879" s="35"/>
      <c r="BT879" s="35"/>
      <c r="BU879" s="35"/>
      <c r="BV879" s="35"/>
      <c r="BW879" s="35"/>
      <c r="BX879" s="35"/>
      <c r="BY879" s="35"/>
      <c r="BZ879" s="35"/>
      <c r="CA879" s="35"/>
      <c r="CB879" s="35"/>
      <c r="CC879" s="35"/>
      <c r="CD879" s="35"/>
      <c r="CE879" s="35"/>
      <c r="CF879" s="35"/>
      <c r="CG879" s="35"/>
      <c r="CH879" s="35"/>
      <c r="CI879" s="35"/>
      <c r="CJ879" s="35"/>
      <c r="CK879" s="35"/>
      <c r="CL879" s="35"/>
      <c r="CM879" s="35"/>
      <c r="CN879" s="35"/>
      <c r="CO879" s="35"/>
      <c r="CP879" s="35"/>
      <c r="CQ879" s="35"/>
      <c r="CR879" s="16"/>
      <c r="CS879" s="16"/>
      <c r="CT879" s="16"/>
      <c r="CU879" s="16"/>
    </row>
    <row r="880" spans="1:99" s="13" customFormat="1" ht="12" customHeight="1" x14ac:dyDescent="0.2">
      <c r="A880" s="68">
        <v>43979</v>
      </c>
      <c r="B880" s="70"/>
      <c r="C880" s="70"/>
      <c r="D880" s="69"/>
      <c r="E880" s="87"/>
      <c r="F880" s="69"/>
      <c r="G880" s="69"/>
      <c r="H880" s="69"/>
      <c r="I880" s="69"/>
      <c r="J880" s="69"/>
      <c r="K880" s="69"/>
      <c r="L880" s="69"/>
      <c r="M880" s="69"/>
      <c r="N880" s="86"/>
      <c r="O880" s="69"/>
      <c r="P880" s="69"/>
      <c r="Q880" s="69"/>
      <c r="R880" s="69"/>
      <c r="S880" s="69"/>
      <c r="T880" s="92"/>
      <c r="U880" s="69"/>
      <c r="V880" s="92"/>
      <c r="W880" s="69"/>
      <c r="X880" s="69"/>
      <c r="Y880" s="87"/>
      <c r="Z880" s="69"/>
      <c r="AA880" s="69"/>
      <c r="AB880" s="69"/>
      <c r="AC880" s="72"/>
      <c r="AD880" s="69"/>
      <c r="AE880" s="87"/>
      <c r="AF880" s="88"/>
      <c r="AG880" s="72"/>
      <c r="AH880" s="4"/>
      <c r="AI880" s="72"/>
      <c r="AJ880" s="110"/>
      <c r="AK880" s="72"/>
      <c r="AL880" s="72"/>
      <c r="AM880" s="72"/>
      <c r="AN880" s="72"/>
      <c r="AO880" s="89"/>
      <c r="AP880" s="89"/>
      <c r="AQ880" s="90"/>
      <c r="AR880" s="117"/>
      <c r="AS880" s="91"/>
      <c r="AT880" s="91"/>
      <c r="AU880" s="3"/>
      <c r="AV880" s="71">
        <v>40</v>
      </c>
      <c r="AW880" s="71">
        <f>60*30</f>
        <v>1800</v>
      </c>
      <c r="AX880" s="71">
        <f>60*60*24*7*3</f>
        <v>1814400</v>
      </c>
      <c r="AY880" s="53"/>
      <c r="AZ880" s="53"/>
      <c r="BA880" s="53"/>
      <c r="BB880" s="53"/>
      <c r="BC880" s="53"/>
      <c r="BD880" s="53"/>
      <c r="BE880" s="53"/>
      <c r="BF880" s="53"/>
      <c r="BG880" s="53"/>
      <c r="BH880" s="53"/>
      <c r="BI880" s="53"/>
      <c r="BJ880" s="53"/>
      <c r="BK880" s="53"/>
      <c r="BL880" s="53"/>
      <c r="BM880" s="53"/>
      <c r="BN880" s="53"/>
      <c r="BO880" s="53"/>
      <c r="BP880" s="53"/>
      <c r="BQ880" s="53"/>
      <c r="BR880" s="53"/>
      <c r="BS880" s="53"/>
      <c r="BT880" s="53"/>
      <c r="BU880" s="53"/>
      <c r="BV880" s="53"/>
      <c r="BW880" s="53"/>
      <c r="BX880" s="53"/>
      <c r="BY880" s="53"/>
      <c r="BZ880" s="53"/>
      <c r="CA880" s="53"/>
      <c r="CB880" s="53"/>
      <c r="CC880" s="53"/>
      <c r="CD880" s="53"/>
      <c r="CE880" s="53"/>
      <c r="CF880" s="53"/>
      <c r="CG880" s="53"/>
      <c r="CH880" s="53"/>
      <c r="CI880" s="53"/>
      <c r="CJ880" s="53"/>
      <c r="CK880" s="53"/>
      <c r="CL880" s="53"/>
      <c r="CM880" s="53"/>
      <c r="CN880" s="53"/>
      <c r="CO880" s="53"/>
      <c r="CP880" s="53"/>
      <c r="CQ880" s="53"/>
      <c r="CR880" s="16"/>
      <c r="CS880" s="16"/>
      <c r="CT880" s="16"/>
      <c r="CU880" s="16"/>
    </row>
    <row r="881" spans="1:99" s="13" customFormat="1" ht="12" customHeight="1" x14ac:dyDescent="0.2">
      <c r="A881" s="68">
        <v>43979</v>
      </c>
      <c r="B881" s="70" t="s">
        <v>986</v>
      </c>
      <c r="C881" s="70" t="s">
        <v>54</v>
      </c>
      <c r="D881" s="69">
        <v>2011</v>
      </c>
      <c r="E881" s="87">
        <v>1</v>
      </c>
      <c r="F881" s="69">
        <v>15</v>
      </c>
      <c r="G881" s="69">
        <v>15</v>
      </c>
      <c r="H881" s="69" t="s">
        <v>41</v>
      </c>
      <c r="I881" s="69" t="s">
        <v>987</v>
      </c>
      <c r="J881" s="69" t="s">
        <v>686</v>
      </c>
      <c r="K881" s="69">
        <f>IF(J881="syllables",1,IF(J881="trigrams",2,IF(J881="strings",3,IF(J881="visual array",4,IF(J881="characters",5,IF(J881="letters",6,IF(J881="free forms",7,IF(J881="odors",8,IF(J881="words",9,IF(J881="pictures",10,IF(J881="object pictures",11,IF(J881="faces",12,IF(J881="names",13,IF(J881="idioms",14,IF(J881="grades",15,IF(J881="syllable-digit pairs",16,IF(J881="trigram-word pairs",17,IF(J881="word-digit pairs",18,IF(J881="English-Swahili pairs",19,IF(J881="spatial position",20,IF(J881="word pairs",21,IF(J881="word triads",22,IF(J881="generated words",23,IF(J881="word definition pairs",24,IF(J881="math problems",25,IF(J881="famous faces",26,IF(J881="famous names",27,IF(J881="famous voices",28,IF(J881="television programs",29,IF(J881="race horses",30,IF(J881="new vocabulary",31,IF(J881="sentences",32,IF(J881="concepts",33,IF(J881="ad slides",34,IF(J881="scenes",35,IF(J881="famous scenes",36,IF(J881="poems",37,IF(J881="walk",38,IF(J881="faces and events",39,IF(J881="events and names",40,IF(J881="flashbulb",41,IF(J881="stories",42,IF(J881="course material",43,IF(J881="autobiographical",44,IF(J881="novels",45,IF(J881="public events",46,"99"))))))))))))))))))))))))))))))))))))))))))))))</f>
        <v>35</v>
      </c>
      <c r="L881" s="69">
        <f>IF(J881="syllables",1,IF(J881="trigrams",1,IF(J881="strings",1,IF(J881="visual array",1,IF(J881="characters",1,IF(J881="letters",1,IF(J881="free forms",1,IF(J881="odors",2,IF(J881="words",2,IF(J881="pictures",2,IF(J881="object pictures",2,IF(J881="faces",2,IF(J881="names",2,IF(J881="idioms","2",IF(J881="grades",2,IF(J881="syllable-digit pairs",3,IF(J881="trigram-word pairs",3,IF(J881="word-digit pairs",3,IF(J881="English-Swahili pairs",3,IF(J881="spatial position",3,IF(J881="word pairs",4,IF(J881="word triads",4,IF(J881="generated words",4,IF(J881="word definition pairs",4,IF(J881="math problems",4,IF(J881="famous faces",4,IF(J881="famous names",4,IF(J881="famous voices",4,IF(J881="television programs",4,IF(J881="race horses",4,IF(J881="new vocabulary",4,IF(J881="sentences",5,IF(J881="concepts",5,IF(J881="ad slides",5,IF(J881="scenes",5,IF(J881="famous scenes",5,IF(J881="poems",6,IF(J881="walk",6,IF(J881="faces and events",6,IF(J881="events and names",6,IF(J881="flashbulb",7,IF(J881="stories",7,IF(J881="course material",7,IF(J881="autobiographical",7,IF(J881="novels",7,IF(J881="public events",7,"99"))))))))))))))))))))))))))))))))))))))))))))))</f>
        <v>5</v>
      </c>
      <c r="M881" s="69">
        <v>0</v>
      </c>
      <c r="N881" s="86">
        <v>3</v>
      </c>
      <c r="O881" s="69">
        <v>0</v>
      </c>
      <c r="P881" s="69"/>
      <c r="Q881" s="69" t="s">
        <v>174</v>
      </c>
      <c r="R881" s="69">
        <f>IF(Q881="Free Recall",1,IF(Q881="Cued Recall",2,IF(Q881="Recognition",3,IF(Q881="Multiple Choice",4,IF(Q881="Savings",5,IF(Q881="Stem Completion",6,IF(Q881="Fragment Completion",7,IF(Q881="anagram solution",8,IF(Q881="Matching",9,IF(Q881="Problem Solving",10,"99"))))))))))</f>
        <v>1</v>
      </c>
      <c r="S881" s="69" t="s">
        <v>49</v>
      </c>
      <c r="T881" s="92" t="s">
        <v>581</v>
      </c>
      <c r="U881" s="69">
        <f>IF(T881="within",1,0)</f>
        <v>1</v>
      </c>
      <c r="V881" s="92">
        <v>60</v>
      </c>
      <c r="W881" s="69">
        <f>F881*V881</f>
        <v>900</v>
      </c>
      <c r="X881" s="69">
        <v>3</v>
      </c>
      <c r="Y881" s="87">
        <f>AV880</f>
        <v>40</v>
      </c>
      <c r="Z881" s="69" t="s">
        <v>165</v>
      </c>
      <c r="AA881" s="69">
        <f>60*60*24*7*3</f>
        <v>1814400</v>
      </c>
      <c r="AB881" s="69" t="str">
        <f>IF(AA881&lt;60,"1",IF(AA881&lt;=43200,"2",IF(AA881&lt;=777600,"3","4")))</f>
        <v>4</v>
      </c>
      <c r="AC881" s="72">
        <f>AVERAGE(AV880:DA880)</f>
        <v>605413.33333333337</v>
      </c>
      <c r="AD881" s="69" t="str">
        <f>IF(AC881&lt;60,"1",IF(AC881&lt;=43200,"2",IF(AC881&lt;=777600,"3","4")))</f>
        <v>3</v>
      </c>
      <c r="AE881" s="87">
        <f>AA881-Y881</f>
        <v>1814360</v>
      </c>
      <c r="AF881" s="88">
        <f>AV881</f>
        <v>0.83366141732283006</v>
      </c>
      <c r="AG881" s="72">
        <f>((AW881-AV881)+(AX881-AW881))/2</f>
        <v>-3.0511811023619995E-2</v>
      </c>
      <c r="AH881" s="4"/>
      <c r="AI881" s="72">
        <f>RSQ(AV881:AX881,AV880:AX880)</f>
        <v>0.9358149219305153</v>
      </c>
      <c r="AJ881" s="110">
        <f>SLOPE(AV881:AX881,AV880:AX880)</f>
        <v>-3.9611455171626265E-8</v>
      </c>
      <c r="AK881" s="72">
        <f>INTERCEPT(AV881:AX881,AV880:AX880)</f>
        <v>0.8445193608564181</v>
      </c>
      <c r="AL881" s="72">
        <f>INDEX(LINEST(LN(AV881:AX881),LN(AV880:AX880),TRUE,TRUE),3,1)</f>
        <v>0.67867827756176258</v>
      </c>
      <c r="AM881" s="72">
        <f>INDEX(LINEST(LN(AV881:AX881),LN(AV880:AX880)),1)</f>
        <v>-8.0125213049529343E-3</v>
      </c>
      <c r="AN881" s="72">
        <f>EXP(INDEX(LINEST(LN(AV881:AX881),LN(AV880:AX880)),1,2))</f>
        <v>0.87778160858338528</v>
      </c>
      <c r="AO881" s="89">
        <f>INDEX(LINEST((AV881:AX881),LN(AV880:AX880),TRUE,TRUE),3,1)</f>
        <v>0.66897673185097672</v>
      </c>
      <c r="AP881" s="89">
        <f>INDEX(LINEST((AV881:AX881),LN(AV880:AX880)),1)</f>
        <v>-6.4508986719673733E-3</v>
      </c>
      <c r="AQ881" s="90">
        <f>INDEX(LINEST(LN(AV881:AX881),SQRT(AV880:AX880),TRUE,TRUE),3,1)</f>
        <v>0.92957962092637458</v>
      </c>
      <c r="AR881" s="117">
        <f>INDEX(LINEST(LN(AV881:AX881),SQRT((AV880:AX880))),1)</f>
        <v>-6.6734093460847936E-5</v>
      </c>
      <c r="AS881" s="91">
        <f>INDEX(LINEST(1/(AV881:AX881),1/(SQRT(AV880:AX880)),TRUE,TRUE),3,1)</f>
        <v>0.1688007294917899</v>
      </c>
      <c r="AT881" s="91">
        <f>INDEX(LINEST(1/(AV881:AX881),1/SQRT(AV880:AX880)),1)</f>
        <v>-0.31527608578278027</v>
      </c>
      <c r="AU881" s="3"/>
      <c r="AV881" s="73">
        <v>0.83366141732283006</v>
      </c>
      <c r="AW881" s="73">
        <v>0.85531496062992007</v>
      </c>
      <c r="AX881" s="73">
        <v>0.77263779527559007</v>
      </c>
      <c r="AY881" s="53"/>
      <c r="AZ881" s="53"/>
      <c r="BA881" s="53"/>
      <c r="BB881" s="53"/>
      <c r="BC881" s="53"/>
      <c r="BD881" s="53"/>
      <c r="BE881" s="53"/>
      <c r="BF881" s="53"/>
      <c r="BG881" s="53"/>
      <c r="BH881" s="53"/>
      <c r="BI881" s="53"/>
      <c r="BJ881" s="53"/>
      <c r="BK881" s="53"/>
      <c r="BL881" s="53"/>
      <c r="BM881" s="53"/>
      <c r="BN881" s="53"/>
      <c r="BO881" s="53"/>
      <c r="BP881" s="53"/>
      <c r="BQ881" s="53"/>
      <c r="BR881" s="53"/>
      <c r="BS881" s="53"/>
      <c r="BT881" s="53"/>
      <c r="BU881" s="53"/>
      <c r="BV881" s="53"/>
      <c r="BW881" s="53"/>
      <c r="BX881" s="53"/>
      <c r="BY881" s="53"/>
      <c r="BZ881" s="53"/>
      <c r="CA881" s="53"/>
      <c r="CB881" s="53"/>
      <c r="CC881" s="53"/>
      <c r="CD881" s="53"/>
      <c r="CE881" s="53"/>
      <c r="CF881" s="53"/>
      <c r="CG881" s="53"/>
      <c r="CH881" s="53"/>
      <c r="CI881" s="53"/>
      <c r="CJ881" s="53"/>
      <c r="CK881" s="53"/>
      <c r="CL881" s="53"/>
      <c r="CM881" s="53"/>
      <c r="CN881" s="53"/>
      <c r="CO881" s="53"/>
      <c r="CP881" s="53"/>
      <c r="CQ881" s="53"/>
      <c r="CR881" s="16"/>
      <c r="CS881" s="16"/>
      <c r="CT881" s="16"/>
      <c r="CU881" s="16"/>
    </row>
    <row r="882" spans="1:99" s="13" customFormat="1" ht="12" customHeight="1" x14ac:dyDescent="0.2">
      <c r="A882" s="68">
        <v>43979</v>
      </c>
      <c r="B882" s="70"/>
      <c r="C882" s="70"/>
      <c r="D882" s="69"/>
      <c r="E882" s="87"/>
      <c r="F882" s="69"/>
      <c r="G882" s="69"/>
      <c r="H882" s="69"/>
      <c r="I882" s="69"/>
      <c r="J882" s="69"/>
      <c r="K882" s="69"/>
      <c r="L882" s="69"/>
      <c r="M882" s="69"/>
      <c r="N882" s="86"/>
      <c r="O882" s="69"/>
      <c r="P882" s="69"/>
      <c r="Q882" s="69"/>
      <c r="R882" s="69"/>
      <c r="S882" s="69"/>
      <c r="T882" s="92"/>
      <c r="U882" s="69"/>
      <c r="V882" s="92"/>
      <c r="W882" s="69"/>
      <c r="X882" s="69"/>
      <c r="Y882" s="87"/>
      <c r="Z882" s="69"/>
      <c r="AA882" s="69"/>
      <c r="AB882" s="69"/>
      <c r="AC882" s="72"/>
      <c r="AD882" s="69"/>
      <c r="AE882" s="87"/>
      <c r="AF882" s="88"/>
      <c r="AG882" s="72"/>
      <c r="AH882" s="4"/>
      <c r="AI882" s="72"/>
      <c r="AJ882" s="110"/>
      <c r="AK882" s="72"/>
      <c r="AL882" s="72"/>
      <c r="AM882" s="72"/>
      <c r="AN882" s="72"/>
      <c r="AO882" s="89"/>
      <c r="AP882" s="89"/>
      <c r="AQ882" s="90"/>
      <c r="AR882" s="117"/>
      <c r="AS882" s="91"/>
      <c r="AT882" s="91"/>
      <c r="AU882" s="3"/>
      <c r="AV882" s="71">
        <v>40</v>
      </c>
      <c r="AW882" s="71">
        <f>60*30</f>
        <v>1800</v>
      </c>
      <c r="AX882" s="71">
        <f>60*60*24*7*3</f>
        <v>1814400</v>
      </c>
      <c r="AY882" s="53"/>
      <c r="AZ882" s="53"/>
      <c r="BA882" s="53"/>
      <c r="BB882" s="53"/>
      <c r="BC882" s="53"/>
      <c r="BD882" s="53"/>
      <c r="BE882" s="53"/>
      <c r="BF882" s="53"/>
      <c r="BG882" s="53"/>
      <c r="BH882" s="53"/>
      <c r="BI882" s="53"/>
      <c r="BJ882" s="53"/>
      <c r="BK882" s="53"/>
      <c r="BL882" s="53"/>
      <c r="BM882" s="53"/>
      <c r="BN882" s="53"/>
      <c r="BO882" s="53"/>
      <c r="BP882" s="53"/>
      <c r="BQ882" s="53"/>
      <c r="BR882" s="53"/>
      <c r="BS882" s="53"/>
      <c r="BT882" s="53"/>
      <c r="BU882" s="53"/>
      <c r="BV882" s="53"/>
      <c r="BW882" s="53"/>
      <c r="BX882" s="53"/>
      <c r="BY882" s="53"/>
      <c r="BZ882" s="53"/>
      <c r="CA882" s="53"/>
      <c r="CB882" s="53"/>
      <c r="CC882" s="53"/>
      <c r="CD882" s="53"/>
      <c r="CE882" s="53"/>
      <c r="CF882" s="53"/>
      <c r="CG882" s="53"/>
      <c r="CH882" s="53"/>
      <c r="CI882" s="53"/>
      <c r="CJ882" s="53"/>
      <c r="CK882" s="53"/>
      <c r="CL882" s="53"/>
      <c r="CM882" s="53"/>
      <c r="CN882" s="53"/>
      <c r="CO882" s="53"/>
      <c r="CP882" s="53"/>
      <c r="CQ882" s="53"/>
      <c r="CR882" s="16"/>
      <c r="CS882" s="16"/>
      <c r="CT882" s="16"/>
      <c r="CU882" s="16"/>
    </row>
    <row r="883" spans="1:99" s="13" customFormat="1" ht="12" customHeight="1" x14ac:dyDescent="0.2">
      <c r="A883" s="68">
        <v>43979</v>
      </c>
      <c r="B883" s="70" t="s">
        <v>986</v>
      </c>
      <c r="C883" s="70" t="s">
        <v>54</v>
      </c>
      <c r="D883" s="69">
        <v>2011</v>
      </c>
      <c r="E883" s="87">
        <v>1</v>
      </c>
      <c r="F883" s="69">
        <v>10</v>
      </c>
      <c r="G883" s="69">
        <v>10</v>
      </c>
      <c r="H883" s="69" t="s">
        <v>41</v>
      </c>
      <c r="I883" s="69" t="s">
        <v>988</v>
      </c>
      <c r="J883" s="69" t="s">
        <v>686</v>
      </c>
      <c r="K883" s="69">
        <f>IF(J883="syllables",1,IF(J883="trigrams",2,IF(J883="strings",3,IF(J883="visual array",4,IF(J883="characters",5,IF(J883="letters",6,IF(J883="free forms",7,IF(J883="odors",8,IF(J883="words",9,IF(J883="pictures",10,IF(J883="object pictures",11,IF(J883="faces",12,IF(J883="names",13,IF(J883="idioms",14,IF(J883="grades",15,IF(J883="syllable-digit pairs",16,IF(J883="trigram-word pairs",17,IF(J883="word-digit pairs",18,IF(J883="English-Swahili pairs",19,IF(J883="spatial position",20,IF(J883="word pairs",21,IF(J883="word triads",22,IF(J883="generated words",23,IF(J883="word definition pairs",24,IF(J883="math problems",25,IF(J883="famous faces",26,IF(J883="famous names",27,IF(J883="famous voices",28,IF(J883="television programs",29,IF(J883="race horses",30,IF(J883="new vocabulary",31,IF(J883="sentences",32,IF(J883="concepts",33,IF(J883="ad slides",34,IF(J883="scenes",35,IF(J883="famous scenes",36,IF(J883="poems",37,IF(J883="walk",38,IF(J883="faces and events",39,IF(J883="events and names",40,IF(J883="flashbulb",41,IF(J883="stories",42,IF(J883="course material",43,IF(J883="autobiographical",44,IF(J883="novels",45,IF(J883="public events",46,"99"))))))))))))))))))))))))))))))))))))))))))))))</f>
        <v>35</v>
      </c>
      <c r="L883" s="69">
        <f>IF(J883="syllables",1,IF(J883="trigrams",1,IF(J883="strings",1,IF(J883="visual array",1,IF(J883="characters",1,IF(J883="letters",1,IF(J883="free forms",1,IF(J883="odors",2,IF(J883="words",2,IF(J883="pictures",2,IF(J883="object pictures",2,IF(J883="faces",2,IF(J883="names",2,IF(J883="idioms","2",IF(J883="grades",2,IF(J883="syllable-digit pairs",3,IF(J883="trigram-word pairs",3,IF(J883="word-digit pairs",3,IF(J883="English-Swahili pairs",3,IF(J883="spatial position",3,IF(J883="word pairs",4,IF(J883="word triads",4,IF(J883="generated words",4,IF(J883="word definition pairs",4,IF(J883="math problems",4,IF(J883="famous faces",4,IF(J883="famous names",4,IF(J883="famous voices",4,IF(J883="television programs",4,IF(J883="race horses",4,IF(J883="new vocabulary",4,IF(J883="sentences",5,IF(J883="concepts",5,IF(J883="ad slides",5,IF(J883="scenes",5,IF(J883="famous scenes",5,IF(J883="poems",6,IF(J883="walk",6,IF(J883="faces and events",6,IF(J883="events and names",6,IF(J883="flashbulb",7,IF(J883="stories",7,IF(J883="course material",7,IF(J883="autobiographical",7,IF(J883="novels",7,IF(J883="public events",7,"99"))))))))))))))))))))))))))))))))))))))))))))))</f>
        <v>5</v>
      </c>
      <c r="M883" s="69">
        <v>0</v>
      </c>
      <c r="N883" s="86">
        <v>3</v>
      </c>
      <c r="O883" s="69">
        <v>0</v>
      </c>
      <c r="P883" s="69"/>
      <c r="Q883" s="69" t="s">
        <v>174</v>
      </c>
      <c r="R883" s="69">
        <f>IF(Q883="Free Recall",1,IF(Q883="Cued Recall",2,IF(Q883="Recognition",3,IF(Q883="Multiple Choice",4,IF(Q883="Savings",5,IF(Q883="Stem Completion",6,IF(Q883="Fragment Completion",7,IF(Q883="anagram solution",8,IF(Q883="Matching",9,IF(Q883="Problem Solving",10,"99"))))))))))</f>
        <v>1</v>
      </c>
      <c r="S883" s="69" t="s">
        <v>49</v>
      </c>
      <c r="T883" s="92" t="s">
        <v>581</v>
      </c>
      <c r="U883" s="69">
        <f>IF(T883="within",1,0)</f>
        <v>1</v>
      </c>
      <c r="V883" s="92">
        <v>60</v>
      </c>
      <c r="W883" s="69">
        <f>F883*V883</f>
        <v>600</v>
      </c>
      <c r="X883" s="69">
        <v>3</v>
      </c>
      <c r="Y883" s="87">
        <f>AV882</f>
        <v>40</v>
      </c>
      <c r="Z883" s="69" t="s">
        <v>165</v>
      </c>
      <c r="AA883" s="69">
        <f>60*60*24*7*3</f>
        <v>1814400</v>
      </c>
      <c r="AB883" s="69" t="str">
        <f>IF(AA883&lt;60,"1",IF(AA883&lt;=43200,"2",IF(AA883&lt;=777600,"3","4")))</f>
        <v>4</v>
      </c>
      <c r="AC883" s="72">
        <f>AVERAGE(AV882:DA882)</f>
        <v>605413.33333333337</v>
      </c>
      <c r="AD883" s="69" t="str">
        <f>IF(AC883&lt;60,"1",IF(AC883&lt;=43200,"2",IF(AC883&lt;=777600,"3","4")))</f>
        <v>3</v>
      </c>
      <c r="AE883" s="87">
        <f>AA883-Y883</f>
        <v>1814360</v>
      </c>
      <c r="AF883" s="88">
        <f>AV883</f>
        <v>0.8228346456692901</v>
      </c>
      <c r="AG883" s="72">
        <f>((AW883-AV883)+(AX883-AW883))/2</f>
        <v>-5.019685039370253E-2</v>
      </c>
      <c r="AH883" s="4"/>
      <c r="AI883" s="72">
        <f>RSQ(AV883:AX883,AV882:AX882)</f>
        <v>0.98759313399476145</v>
      </c>
      <c r="AJ883" s="110">
        <f>SLOPE(AV883:AX883,AV882:AX882)</f>
        <v>-5.9153317882171334E-8</v>
      </c>
      <c r="AK883" s="72">
        <f>INTERCEPT(AV883:AX883,AV882:AX882)</f>
        <v>0.829775461949945</v>
      </c>
      <c r="AL883" s="72">
        <f>INDEX(LINEST(LN(AV883:AX883),LN(AV882:AX882),TRUE,TRUE),3,1)</f>
        <v>0.80190601739456713</v>
      </c>
      <c r="AM883" s="72">
        <f>INDEX(LINEST(LN(AV883:AX883),LN(AV882:AX882)),1)</f>
        <v>-1.3236682347725693E-2</v>
      </c>
      <c r="AN883" s="72">
        <f>EXP(INDEX(LINEST(LN(AV883:AX883),LN(AV882:AX882)),1,2))</f>
        <v>0.88700620083285175</v>
      </c>
      <c r="AO883" s="89">
        <f>INDEX(LINEST((AV883:AX883),LN(AV882:AX882),TRUE,TRUE),3,1)</f>
        <v>0.7960993694373294</v>
      </c>
      <c r="AP883" s="89">
        <f>INDEX(LINEST((AV883:AX883),LN(AV882:AX882)),1)</f>
        <v>-1.0229693412254806E-2</v>
      </c>
      <c r="AQ883" s="90">
        <f>INDEX(LINEST(LN(AV883:AX883),SQRT(AV882:AX882),TRUE,TRUE),3,1)</f>
        <v>0.98391562988868064</v>
      </c>
      <c r="AR883" s="117">
        <f>INDEX(LINEST(LN(AV883:AX883),SQRT((AV882:AX882))),1)</f>
        <v>-1.0434306406788991E-4</v>
      </c>
      <c r="AS883" s="91">
        <f>INDEX(LINEST(1/(AV883:AX883),1/(SQRT(AV882:AX882)),TRUE,TRUE),3,1)</f>
        <v>0.28362345802300309</v>
      </c>
      <c r="AT883" s="91">
        <f>INDEX(LINEST(1/(AV883:AX883),1/SQRT(AV882:AX882)),1)</f>
        <v>-0.64986201060893944</v>
      </c>
      <c r="AU883" s="3"/>
      <c r="AV883" s="73">
        <v>0.8228346456692901</v>
      </c>
      <c r="AW883" s="73">
        <v>0.83661417322834508</v>
      </c>
      <c r="AX883" s="73">
        <v>0.72244094488188504</v>
      </c>
      <c r="AY883" s="53"/>
      <c r="AZ883" s="53"/>
      <c r="BA883" s="53"/>
      <c r="BB883" s="53"/>
      <c r="BC883" s="53"/>
      <c r="BD883" s="53"/>
      <c r="BE883" s="53"/>
      <c r="BF883" s="53"/>
      <c r="BG883" s="53"/>
      <c r="BH883" s="53"/>
      <c r="BI883" s="53"/>
      <c r="BJ883" s="53"/>
      <c r="BK883" s="53"/>
      <c r="BL883" s="53"/>
      <c r="BM883" s="53"/>
      <c r="BN883" s="53"/>
      <c r="BO883" s="53"/>
      <c r="BP883" s="53"/>
      <c r="BQ883" s="53"/>
      <c r="BR883" s="53"/>
      <c r="BS883" s="53"/>
      <c r="BT883" s="53"/>
      <c r="BU883" s="53"/>
      <c r="BV883" s="53"/>
      <c r="BW883" s="53"/>
      <c r="BX883" s="53"/>
      <c r="BY883" s="53"/>
      <c r="BZ883" s="53"/>
      <c r="CA883" s="53"/>
      <c r="CB883" s="53"/>
      <c r="CC883" s="53"/>
      <c r="CD883" s="53"/>
      <c r="CE883" s="53"/>
      <c r="CF883" s="53"/>
      <c r="CG883" s="53"/>
      <c r="CH883" s="53"/>
      <c r="CI883" s="53"/>
      <c r="CJ883" s="53"/>
      <c r="CK883" s="53"/>
      <c r="CL883" s="53"/>
      <c r="CM883" s="53"/>
      <c r="CN883" s="53"/>
      <c r="CO883" s="53"/>
      <c r="CP883" s="53"/>
      <c r="CQ883" s="53"/>
      <c r="CR883" s="16"/>
      <c r="CS883" s="16"/>
      <c r="CT883" s="16"/>
      <c r="CU883" s="16"/>
    </row>
    <row r="884" spans="1:99" s="13" customFormat="1" ht="12" customHeight="1" x14ac:dyDescent="0.2">
      <c r="A884" s="68">
        <v>43979</v>
      </c>
      <c r="B884" s="70"/>
      <c r="C884" s="70"/>
      <c r="D884" s="69"/>
      <c r="E884" s="87"/>
      <c r="F884" s="69"/>
      <c r="G884" s="69"/>
      <c r="H884" s="69"/>
      <c r="I884" s="69"/>
      <c r="J884" s="69"/>
      <c r="K884" s="69"/>
      <c r="L884" s="69"/>
      <c r="M884" s="69"/>
      <c r="N884" s="86"/>
      <c r="O884" s="69"/>
      <c r="P884" s="69"/>
      <c r="Q884" s="69"/>
      <c r="R884" s="69"/>
      <c r="S884" s="69"/>
      <c r="T884" s="92"/>
      <c r="U884" s="69"/>
      <c r="V884" s="92"/>
      <c r="W884" s="69"/>
      <c r="X884" s="69"/>
      <c r="Y884" s="87"/>
      <c r="Z884" s="69"/>
      <c r="AA884" s="69"/>
      <c r="AB884" s="69"/>
      <c r="AC884" s="72"/>
      <c r="AD884" s="69"/>
      <c r="AE884" s="87"/>
      <c r="AF884" s="88"/>
      <c r="AG884" s="72"/>
      <c r="AH884" s="4"/>
      <c r="AI884" s="72"/>
      <c r="AJ884" s="110"/>
      <c r="AK884" s="72"/>
      <c r="AL884" s="72"/>
      <c r="AM884" s="72"/>
      <c r="AN884" s="72"/>
      <c r="AO884" s="89"/>
      <c r="AP884" s="89"/>
      <c r="AQ884" s="90"/>
      <c r="AR884" s="117"/>
      <c r="AS884" s="91"/>
      <c r="AT884" s="91"/>
      <c r="AU884" s="3"/>
      <c r="AV884" s="71">
        <v>40</v>
      </c>
      <c r="AW884" s="71">
        <f>60*30</f>
        <v>1800</v>
      </c>
      <c r="AX884" s="71">
        <f>60*60*24*7*3</f>
        <v>1814400</v>
      </c>
      <c r="AY884" s="53"/>
      <c r="AZ884" s="53"/>
      <c r="BA884" s="53"/>
      <c r="BB884" s="53"/>
      <c r="BC884" s="53"/>
      <c r="BD884" s="53"/>
      <c r="BE884" s="53"/>
      <c r="BF884" s="53"/>
      <c r="BG884" s="53"/>
      <c r="BH884" s="53"/>
      <c r="BI884" s="53"/>
      <c r="BJ884" s="53"/>
      <c r="BK884" s="53"/>
      <c r="BL884" s="53"/>
      <c r="BM884" s="53"/>
      <c r="BN884" s="53"/>
      <c r="BO884" s="53"/>
      <c r="BP884" s="53"/>
      <c r="BQ884" s="53"/>
      <c r="BR884" s="53"/>
      <c r="BS884" s="53"/>
      <c r="BT884" s="53"/>
      <c r="BU884" s="53"/>
      <c r="BV884" s="53"/>
      <c r="BW884" s="53"/>
      <c r="BX884" s="53"/>
      <c r="BY884" s="53"/>
      <c r="BZ884" s="53"/>
      <c r="CA884" s="53"/>
      <c r="CB884" s="53"/>
      <c r="CC884" s="53"/>
      <c r="CD884" s="53"/>
      <c r="CE884" s="53"/>
      <c r="CF884" s="53"/>
      <c r="CG884" s="53"/>
      <c r="CH884" s="53"/>
      <c r="CI884" s="53"/>
      <c r="CJ884" s="53"/>
      <c r="CK884" s="53"/>
      <c r="CL884" s="53"/>
      <c r="CM884" s="53"/>
      <c r="CN884" s="53"/>
      <c r="CO884" s="53"/>
      <c r="CP884" s="53"/>
      <c r="CQ884" s="53"/>
      <c r="CR884" s="16"/>
      <c r="CS884" s="16"/>
      <c r="CT884" s="16"/>
      <c r="CU884" s="16"/>
    </row>
    <row r="885" spans="1:99" s="13" customFormat="1" ht="12" customHeight="1" x14ac:dyDescent="0.2">
      <c r="A885" s="68">
        <v>43979</v>
      </c>
      <c r="B885" s="70" t="s">
        <v>986</v>
      </c>
      <c r="C885" s="70" t="s">
        <v>54</v>
      </c>
      <c r="D885" s="69">
        <v>2011</v>
      </c>
      <c r="E885" s="87">
        <v>1</v>
      </c>
      <c r="F885" s="69">
        <v>15</v>
      </c>
      <c r="G885" s="69">
        <v>15</v>
      </c>
      <c r="H885" s="69" t="s">
        <v>41</v>
      </c>
      <c r="I885" s="69" t="s">
        <v>989</v>
      </c>
      <c r="J885" s="69" t="s">
        <v>686</v>
      </c>
      <c r="K885" s="69">
        <f>IF(J885="syllables",1,IF(J885="trigrams",2,IF(J885="strings",3,IF(J885="visual array",4,IF(J885="characters",5,IF(J885="letters",6,IF(J885="free forms",7,IF(J885="odors",8,IF(J885="words",9,IF(J885="pictures",10,IF(J885="object pictures",11,IF(J885="faces",12,IF(J885="names",13,IF(J885="idioms",14,IF(J885="grades",15,IF(J885="syllable-digit pairs",16,IF(J885="trigram-word pairs",17,IF(J885="word-digit pairs",18,IF(J885="English-Swahili pairs",19,IF(J885="spatial position",20,IF(J885="word pairs",21,IF(J885="word triads",22,IF(J885="generated words",23,IF(J885="word definition pairs",24,IF(J885="math problems",25,IF(J885="famous faces",26,IF(J885="famous names",27,IF(J885="famous voices",28,IF(J885="television programs",29,IF(J885="race horses",30,IF(J885="new vocabulary",31,IF(J885="sentences",32,IF(J885="concepts",33,IF(J885="ad slides",34,IF(J885="scenes",35,IF(J885="famous scenes",36,IF(J885="poems",37,IF(J885="walk",38,IF(J885="faces and events",39,IF(J885="events and names",40,IF(J885="flashbulb",41,IF(J885="stories",42,IF(J885="course material",43,IF(J885="autobiographical",44,IF(J885="novels",45,IF(J885="public events",46,"99"))))))))))))))))))))))))))))))))))))))))))))))</f>
        <v>35</v>
      </c>
      <c r="L885" s="69">
        <f>IF(J885="syllables",1,IF(J885="trigrams",1,IF(J885="strings",1,IF(J885="visual array",1,IF(J885="characters",1,IF(J885="letters",1,IF(J885="free forms",1,IF(J885="odors",2,IF(J885="words",2,IF(J885="pictures",2,IF(J885="object pictures",2,IF(J885="faces",2,IF(J885="names",2,IF(J885="idioms","2",IF(J885="grades",2,IF(J885="syllable-digit pairs",3,IF(J885="trigram-word pairs",3,IF(J885="word-digit pairs",3,IF(J885="English-Swahili pairs",3,IF(J885="spatial position",3,IF(J885="word pairs",4,IF(J885="word triads",4,IF(J885="generated words",4,IF(J885="word definition pairs",4,IF(J885="math problems",4,IF(J885="famous faces",4,IF(J885="famous names",4,IF(J885="famous voices",4,IF(J885="television programs",4,IF(J885="race horses",4,IF(J885="new vocabulary",4,IF(J885="sentences",5,IF(J885="concepts",5,IF(J885="ad slides",5,IF(J885="scenes",5,IF(J885="famous scenes",5,IF(J885="poems",6,IF(J885="walk",6,IF(J885="faces and events",6,IF(J885="events and names",6,IF(J885="flashbulb",7,IF(J885="stories",7,IF(J885="course material",7,IF(J885="autobiographical",7,IF(J885="novels",7,IF(J885="public events",7,"99"))))))))))))))))))))))))))))))))))))))))))))))</f>
        <v>5</v>
      </c>
      <c r="M885" s="69">
        <v>0</v>
      </c>
      <c r="N885" s="86">
        <v>3</v>
      </c>
      <c r="O885" s="69">
        <v>0</v>
      </c>
      <c r="P885" s="69"/>
      <c r="Q885" s="69" t="s">
        <v>174</v>
      </c>
      <c r="R885" s="69">
        <f>IF(Q885="Free Recall",1,IF(Q885="Cued Recall",2,IF(Q885="Recognition",3,IF(Q885="Multiple Choice",4,IF(Q885="Savings",5,IF(Q885="Stem Completion",6,IF(Q885="Fragment Completion",7,IF(Q885="anagram solution",8,IF(Q885="Matching",9,IF(Q885="Problem Solving",10,"99"))))))))))</f>
        <v>1</v>
      </c>
      <c r="S885" s="69" t="s">
        <v>49</v>
      </c>
      <c r="T885" s="92" t="s">
        <v>581</v>
      </c>
      <c r="U885" s="69">
        <f>IF(T885="within",1,0)</f>
        <v>1</v>
      </c>
      <c r="V885" s="92">
        <v>24</v>
      </c>
      <c r="W885" s="69">
        <f>F885*V885</f>
        <v>360</v>
      </c>
      <c r="X885" s="69">
        <v>3</v>
      </c>
      <c r="Y885" s="87">
        <f>AV884</f>
        <v>40</v>
      </c>
      <c r="Z885" s="69" t="s">
        <v>165</v>
      </c>
      <c r="AA885" s="69">
        <f>60*60*24*7*3</f>
        <v>1814400</v>
      </c>
      <c r="AB885" s="69" t="str">
        <f>IF(AA885&lt;60,"1",IF(AA885&lt;=43200,"2",IF(AA885&lt;=777600,"3","4")))</f>
        <v>4</v>
      </c>
      <c r="AC885" s="72">
        <f>AVERAGE(AV884:DA884)</f>
        <v>605413.33333333337</v>
      </c>
      <c r="AD885" s="69" t="str">
        <f>IF(AC885&lt;60,"1",IF(AC885&lt;=43200,"2",IF(AC885&lt;=777600,"3","4")))</f>
        <v>3</v>
      </c>
      <c r="AE885" s="87">
        <f>AA885-Y885</f>
        <v>1814360</v>
      </c>
      <c r="AF885" s="88">
        <f>AV885</f>
        <v>0.98695955070872377</v>
      </c>
      <c r="AG885" s="72">
        <f>((AW885-AV885)+(AX885-AW885))/2</f>
        <v>-7.8181822281041258E-2</v>
      </c>
      <c r="AH885" s="4"/>
      <c r="AI885" s="72">
        <f>RSQ(AV885:AX885,AV884:AX884)</f>
        <v>0.99966817936839747</v>
      </c>
      <c r="AJ885" s="110">
        <f>SLOPE(AV885:AX885,AV884:AX884)</f>
        <v>-8.5285799804815157E-8</v>
      </c>
      <c r="AK885" s="72">
        <f>INTERCEPT(AV885:AX885,AV884:AX884)</f>
        <v>0.98533688242012873</v>
      </c>
      <c r="AL885" s="72">
        <f>INDEX(LINEST(LN(AV885:AX885),LN(AV884:AX884),TRUE,TRUE),3,1)</f>
        <v>0.88865495999214583</v>
      </c>
      <c r="AM885" s="72">
        <f>INDEX(LINEST(LN(AV885:AX885),LN(AV884:AX884)),1)</f>
        <v>-1.7099796840932026E-2</v>
      </c>
      <c r="AN885" s="72">
        <f>EXP(INDEX(LINEST(LN(AV885:AX885),LN(AV884:AX884)),1,2))</f>
        <v>1.0769367287550693</v>
      </c>
      <c r="AO885" s="89">
        <f>INDEX(LINEST((AV885:AX885),LN(AV884:AX884),TRUE,TRUE),3,1)</f>
        <v>0.88962059623727585</v>
      </c>
      <c r="AP885" s="89">
        <f>INDEX(LINEST((AV885:AX885),LN(AV884:AX884)),1)</f>
        <v>-1.5496731446574218E-2</v>
      </c>
      <c r="AQ885" s="90">
        <f>INDEX(LINEST(LN(AV885:AX885),SQRT(AV884:AX884),TRUE,TRUE),3,1)</f>
        <v>0.99996261033441414</v>
      </c>
      <c r="AR885" s="117">
        <f>INDEX(LINEST(LN(AV885:AX885),SQRT((AV884:AX884))),1)</f>
        <v>-1.2908729257264141E-4</v>
      </c>
      <c r="AS885" s="91">
        <f>INDEX(LINEST(1/(AV885:AX885),1/(SQRT(AV884:AX884)),TRUE,TRUE),3,1)</f>
        <v>0.38980694065105215</v>
      </c>
      <c r="AT885" s="91">
        <f>INDEX(LINEST(1/(AV885:AX885),1/SQRT(AV884:AX884)),1)</f>
        <v>-0.80120353021905077</v>
      </c>
      <c r="AU885" s="3"/>
      <c r="AV885" s="73">
        <v>0.98695955070872377</v>
      </c>
      <c r="AW885" s="73">
        <v>0.98355570936752379</v>
      </c>
      <c r="AX885" s="73">
        <v>0.83059590614664125</v>
      </c>
      <c r="AY885" s="53"/>
      <c r="AZ885" s="53"/>
      <c r="BA885" s="53"/>
      <c r="BB885" s="53"/>
      <c r="BC885" s="53"/>
      <c r="BD885" s="53"/>
      <c r="BE885" s="53"/>
      <c r="BF885" s="53"/>
      <c r="BG885" s="53"/>
      <c r="BH885" s="53"/>
      <c r="BI885" s="53"/>
      <c r="BJ885" s="53"/>
      <c r="BK885" s="53"/>
      <c r="BL885" s="53"/>
      <c r="BM885" s="53"/>
      <c r="BN885" s="53"/>
      <c r="BO885" s="53"/>
      <c r="BP885" s="53"/>
      <c r="BQ885" s="53"/>
      <c r="BR885" s="53"/>
      <c r="BS885" s="53"/>
      <c r="BT885" s="53"/>
      <c r="BU885" s="53"/>
      <c r="BV885" s="53"/>
      <c r="BW885" s="53"/>
      <c r="BX885" s="53"/>
      <c r="BY885" s="53"/>
      <c r="BZ885" s="53"/>
      <c r="CA885" s="53"/>
      <c r="CB885" s="53"/>
      <c r="CC885" s="53"/>
      <c r="CD885" s="53"/>
      <c r="CE885" s="53"/>
      <c r="CF885" s="53"/>
      <c r="CG885" s="53"/>
      <c r="CH885" s="53"/>
      <c r="CI885" s="53"/>
      <c r="CJ885" s="53"/>
      <c r="CK885" s="53"/>
      <c r="CL885" s="53"/>
      <c r="CM885" s="53"/>
      <c r="CN885" s="53"/>
      <c r="CO885" s="53"/>
      <c r="CP885" s="53"/>
      <c r="CQ885" s="53"/>
      <c r="CR885" s="16"/>
      <c r="CS885" s="16"/>
      <c r="CT885" s="16"/>
      <c r="CU885" s="16"/>
    </row>
    <row r="886" spans="1:99" s="13" customFormat="1" ht="12" customHeight="1" x14ac:dyDescent="0.2">
      <c r="A886" s="68">
        <v>43979</v>
      </c>
      <c r="B886" s="70"/>
      <c r="C886" s="70"/>
      <c r="D886" s="69"/>
      <c r="E886" s="87"/>
      <c r="F886" s="69"/>
      <c r="G886" s="69"/>
      <c r="H886" s="69"/>
      <c r="I886" s="69"/>
      <c r="J886" s="69"/>
      <c r="K886" s="69"/>
      <c r="L886" s="69"/>
      <c r="M886" s="69"/>
      <c r="N886" s="86"/>
      <c r="O886" s="69"/>
      <c r="P886" s="69"/>
      <c r="Q886" s="69"/>
      <c r="R886" s="69"/>
      <c r="S886" s="69"/>
      <c r="T886" s="92"/>
      <c r="U886" s="69"/>
      <c r="V886" s="92"/>
      <c r="W886" s="69"/>
      <c r="X886" s="69"/>
      <c r="Y886" s="87"/>
      <c r="Z886" s="69"/>
      <c r="AA886" s="69"/>
      <c r="AB886" s="69"/>
      <c r="AC886" s="72"/>
      <c r="AD886" s="69"/>
      <c r="AE886" s="87"/>
      <c r="AF886" s="88"/>
      <c r="AG886" s="72"/>
      <c r="AH886" s="4"/>
      <c r="AI886" s="72"/>
      <c r="AJ886" s="110"/>
      <c r="AK886" s="72"/>
      <c r="AL886" s="72"/>
      <c r="AM886" s="72"/>
      <c r="AN886" s="72"/>
      <c r="AO886" s="89"/>
      <c r="AP886" s="89"/>
      <c r="AQ886" s="90"/>
      <c r="AR886" s="117"/>
      <c r="AS886" s="91"/>
      <c r="AT886" s="91"/>
      <c r="AU886" s="3"/>
      <c r="AV886" s="71">
        <v>40</v>
      </c>
      <c r="AW886" s="71">
        <f>60*30</f>
        <v>1800</v>
      </c>
      <c r="AX886" s="71">
        <f>60*60*24*7*3</f>
        <v>1814400</v>
      </c>
      <c r="AY886" s="53"/>
      <c r="AZ886" s="53"/>
      <c r="BA886" s="53"/>
      <c r="BB886" s="53"/>
      <c r="BC886" s="53"/>
      <c r="BD886" s="53"/>
      <c r="BE886" s="53"/>
      <c r="BF886" s="53"/>
      <c r="BG886" s="53"/>
      <c r="BH886" s="53"/>
      <c r="BI886" s="53"/>
      <c r="BJ886" s="53"/>
      <c r="BK886" s="53"/>
      <c r="BL886" s="53"/>
      <c r="BM886" s="53"/>
      <c r="BN886" s="53"/>
      <c r="BO886" s="53"/>
      <c r="BP886" s="53"/>
      <c r="BQ886" s="53"/>
      <c r="BR886" s="53"/>
      <c r="BS886" s="53"/>
      <c r="BT886" s="53"/>
      <c r="BU886" s="53"/>
      <c r="BV886" s="53"/>
      <c r="BW886" s="53"/>
      <c r="BX886" s="53"/>
      <c r="BY886" s="53"/>
      <c r="BZ886" s="53"/>
      <c r="CA886" s="53"/>
      <c r="CB886" s="53"/>
      <c r="CC886" s="53"/>
      <c r="CD886" s="53"/>
      <c r="CE886" s="53"/>
      <c r="CF886" s="53"/>
      <c r="CG886" s="53"/>
      <c r="CH886" s="53"/>
      <c r="CI886" s="53"/>
      <c r="CJ886" s="53"/>
      <c r="CK886" s="53"/>
      <c r="CL886" s="53"/>
      <c r="CM886" s="53"/>
      <c r="CN886" s="53"/>
      <c r="CO886" s="53"/>
      <c r="CP886" s="53"/>
      <c r="CQ886" s="53"/>
      <c r="CR886" s="16"/>
      <c r="CS886" s="16"/>
      <c r="CT886" s="16"/>
      <c r="CU886" s="16"/>
    </row>
    <row r="887" spans="1:99" s="13" customFormat="1" ht="12" customHeight="1" x14ac:dyDescent="0.2">
      <c r="A887" s="68">
        <v>43979</v>
      </c>
      <c r="B887" s="70" t="s">
        <v>986</v>
      </c>
      <c r="C887" s="70" t="s">
        <v>54</v>
      </c>
      <c r="D887" s="69">
        <v>2011</v>
      </c>
      <c r="E887" s="87">
        <v>1</v>
      </c>
      <c r="F887" s="69">
        <v>10</v>
      </c>
      <c r="G887" s="69">
        <v>10</v>
      </c>
      <c r="H887" s="69" t="s">
        <v>41</v>
      </c>
      <c r="I887" s="69" t="s">
        <v>990</v>
      </c>
      <c r="J887" s="69" t="s">
        <v>686</v>
      </c>
      <c r="K887" s="69">
        <f>IF(J887="syllables",1,IF(J887="trigrams",2,IF(J887="strings",3,IF(J887="visual array",4,IF(J887="characters",5,IF(J887="letters",6,IF(J887="free forms",7,IF(J887="odors",8,IF(J887="words",9,IF(J887="pictures",10,IF(J887="object pictures",11,IF(J887="faces",12,IF(J887="names",13,IF(J887="idioms",14,IF(J887="grades",15,IF(J887="syllable-digit pairs",16,IF(J887="trigram-word pairs",17,IF(J887="word-digit pairs",18,IF(J887="English-Swahili pairs",19,IF(J887="spatial position",20,IF(J887="word pairs",21,IF(J887="word triads",22,IF(J887="generated words",23,IF(J887="word definition pairs",24,IF(J887="math problems",25,IF(J887="famous faces",26,IF(J887="famous names",27,IF(J887="famous voices",28,IF(J887="television programs",29,IF(J887="race horses",30,IF(J887="new vocabulary",31,IF(J887="sentences",32,IF(J887="concepts",33,IF(J887="ad slides",34,IF(J887="scenes",35,IF(J887="famous scenes",36,IF(J887="poems",37,IF(J887="walk",38,IF(J887="faces and events",39,IF(J887="events and names",40,IF(J887="flashbulb",41,IF(J887="stories",42,IF(J887="course material",43,IF(J887="autobiographical",44,IF(J887="novels",45,IF(J887="public events",46,"99"))))))))))))))))))))))))))))))))))))))))))))))</f>
        <v>35</v>
      </c>
      <c r="L887" s="69">
        <f>IF(J887="syllables",1,IF(J887="trigrams",1,IF(J887="strings",1,IF(J887="visual array",1,IF(J887="characters",1,IF(J887="letters",1,IF(J887="free forms",1,IF(J887="odors",2,IF(J887="words",2,IF(J887="pictures",2,IF(J887="object pictures",2,IF(J887="faces",2,IF(J887="names",2,IF(J887="idioms","2",IF(J887="grades",2,IF(J887="syllable-digit pairs",3,IF(J887="trigram-word pairs",3,IF(J887="word-digit pairs",3,IF(J887="English-Swahili pairs",3,IF(J887="spatial position",3,IF(J887="word pairs",4,IF(J887="word triads",4,IF(J887="generated words",4,IF(J887="word definition pairs",4,IF(J887="math problems",4,IF(J887="famous faces",4,IF(J887="famous names",4,IF(J887="famous voices",4,IF(J887="television programs",4,IF(J887="race horses",4,IF(J887="new vocabulary",4,IF(J887="sentences",5,IF(J887="concepts",5,IF(J887="ad slides",5,IF(J887="scenes",5,IF(J887="famous scenes",5,IF(J887="poems",6,IF(J887="walk",6,IF(J887="faces and events",6,IF(J887="events and names",6,IF(J887="flashbulb",7,IF(J887="stories",7,IF(J887="course material",7,IF(J887="autobiographical",7,IF(J887="novels",7,IF(J887="public events",7,"99"))))))))))))))))))))))))))))))))))))))))))))))</f>
        <v>5</v>
      </c>
      <c r="M887" s="69">
        <v>0</v>
      </c>
      <c r="N887" s="86">
        <v>3</v>
      </c>
      <c r="O887" s="69">
        <v>0</v>
      </c>
      <c r="P887" s="69"/>
      <c r="Q887" s="69" t="s">
        <v>174</v>
      </c>
      <c r="R887" s="69">
        <f>IF(Q887="Free Recall",1,IF(Q887="Cued Recall",2,IF(Q887="Recognition",3,IF(Q887="Multiple Choice",4,IF(Q887="Savings",5,IF(Q887="Stem Completion",6,IF(Q887="Fragment Completion",7,IF(Q887="anagram solution",8,IF(Q887="Matching",9,IF(Q887="Problem Solving",10,"99"))))))))))</f>
        <v>1</v>
      </c>
      <c r="S887" s="69" t="s">
        <v>49</v>
      </c>
      <c r="T887" s="92" t="s">
        <v>581</v>
      </c>
      <c r="U887" s="69">
        <f>IF(T887="within",1,0)</f>
        <v>1</v>
      </c>
      <c r="V887" s="92">
        <v>24</v>
      </c>
      <c r="W887" s="69">
        <f>F887*V887</f>
        <v>240</v>
      </c>
      <c r="X887" s="69">
        <v>3</v>
      </c>
      <c r="Y887" s="87">
        <f>AV886</f>
        <v>40</v>
      </c>
      <c r="Z887" s="69" t="s">
        <v>165</v>
      </c>
      <c r="AA887" s="69">
        <f>60*60*24*7*3</f>
        <v>1814400</v>
      </c>
      <c r="AB887" s="69" t="str">
        <f>IF(AA887&lt;60,"1",IF(AA887&lt;=43200,"2",IF(AA887&lt;=777600,"3","4")))</f>
        <v>4</v>
      </c>
      <c r="AC887" s="72">
        <f>AVERAGE(AV886:DA886)</f>
        <v>605413.33333333337</v>
      </c>
      <c r="AD887" s="69" t="str">
        <f>IF(AC887&lt;60,"1",IF(AC887&lt;=43200,"2",IF(AC887&lt;=777600,"3","4")))</f>
        <v>3</v>
      </c>
      <c r="AE887" s="87">
        <f>AA887-Y887</f>
        <v>1814360</v>
      </c>
      <c r="AF887" s="88">
        <f>AV887</f>
        <v>0.969964017017515</v>
      </c>
      <c r="AG887" s="72">
        <f>((AW887-AV887)+(AX887-AW887))/2</f>
        <v>-0.11500350586076252</v>
      </c>
      <c r="AH887" s="4"/>
      <c r="AI887" s="72">
        <f>RSQ(AV887:AX887,AV886:AX886)</f>
        <v>0.99884557521650552</v>
      </c>
      <c r="AJ887" s="110">
        <f>SLOPE(AV887:AX887,AV886:AX886)</f>
        <v>-1.2433463902364323E-7</v>
      </c>
      <c r="AK887" s="72">
        <f>INTERCEPT(AV887:AX887,AV886:AX886)</f>
        <v>0.96554547919554434</v>
      </c>
      <c r="AL887" s="72">
        <f>INDEX(LINEST(LN(AV887:AX887),LN(AV886:AX886),TRUE,TRUE),3,1)</f>
        <v>0.89673896708152878</v>
      </c>
      <c r="AM887" s="72">
        <f>INDEX(LINEST(LN(AV887:AX887),LN(AV886:AX886)),1)</f>
        <v>-2.6763552856926078E-2</v>
      </c>
      <c r="AN887" s="72">
        <f>EXP(INDEX(LINEST(LN(AV887:AX887),LN(AV886:AX886)),1,2))</f>
        <v>1.1101482534550551</v>
      </c>
      <c r="AO887" s="89">
        <f>INDEX(LINEST((AV887:AX887),LN(AV886:AX886),TRUE,TRUE),3,1)</f>
        <v>0.89930646480190712</v>
      </c>
      <c r="AP887" s="89">
        <f>INDEX(LINEST((AV887:AX887),LN(AV886:AX886)),1)</f>
        <v>-2.2724049174646817E-2</v>
      </c>
      <c r="AQ887" s="90">
        <f>INDEX(LINEST(LN(AV887:AX887),SQRT(AV886:AX886),TRUE,TRUE),3,1)</f>
        <v>0.99995173604113086</v>
      </c>
      <c r="AR887" s="117">
        <f>INDEX(LINEST(LN(AV887:AX887),SQRT((AV886:AX886))),1)</f>
        <v>-2.011256724265467E-4</v>
      </c>
      <c r="AS887" s="91">
        <f>INDEX(LINEST(1/(AV887:AX887),1/(SQRT(AV886:AX886)),TRUE,TRUE),3,1)</f>
        <v>0.40020078863247027</v>
      </c>
      <c r="AT887" s="91">
        <f>INDEX(LINEST(1/(AV887:AX887),1/SQRT(AV886:AX886)),1)</f>
        <v>-1.3559813942446997</v>
      </c>
      <c r="AU887" s="3"/>
      <c r="AV887" s="73">
        <v>0.969964017017515</v>
      </c>
      <c r="AW887" s="73">
        <v>0.96089387049282626</v>
      </c>
      <c r="AX887" s="73">
        <v>0.73995700529598996</v>
      </c>
      <c r="AY887" s="53"/>
      <c r="AZ887" s="53"/>
      <c r="BA887" s="53"/>
      <c r="BB887" s="53"/>
      <c r="BC887" s="53"/>
      <c r="BD887" s="53"/>
      <c r="BE887" s="53"/>
      <c r="BF887" s="53"/>
      <c r="BG887" s="53"/>
      <c r="BH887" s="53"/>
      <c r="BI887" s="53"/>
      <c r="BJ887" s="53"/>
      <c r="BK887" s="53"/>
      <c r="BL887" s="53"/>
      <c r="BM887" s="53"/>
      <c r="BN887" s="53"/>
      <c r="BO887" s="53"/>
      <c r="BP887" s="53"/>
      <c r="BQ887" s="53"/>
      <c r="BR887" s="53"/>
      <c r="BS887" s="53"/>
      <c r="BT887" s="53"/>
      <c r="BU887" s="53"/>
      <c r="BV887" s="53"/>
      <c r="BW887" s="53"/>
      <c r="BX887" s="53"/>
      <c r="BY887" s="53"/>
      <c r="BZ887" s="53"/>
      <c r="CA887" s="53"/>
      <c r="CB887" s="53"/>
      <c r="CC887" s="53"/>
      <c r="CD887" s="53"/>
      <c r="CE887" s="53"/>
      <c r="CF887" s="53"/>
      <c r="CG887" s="53"/>
      <c r="CH887" s="53"/>
      <c r="CI887" s="53"/>
      <c r="CJ887" s="53"/>
      <c r="CK887" s="53"/>
      <c r="CL887" s="53"/>
      <c r="CM887" s="53"/>
      <c r="CN887" s="53"/>
      <c r="CO887" s="53"/>
      <c r="CP887" s="53"/>
      <c r="CQ887" s="53"/>
      <c r="CR887" s="16"/>
      <c r="CS887" s="16"/>
      <c r="CT887" s="16"/>
      <c r="CU887" s="16"/>
    </row>
    <row r="888" spans="1:99" s="13" customFormat="1" ht="12" customHeight="1" x14ac:dyDescent="0.2">
      <c r="A888" s="68">
        <v>43979</v>
      </c>
      <c r="B888" s="70"/>
      <c r="C888" s="70"/>
      <c r="D888" s="69"/>
      <c r="E888" s="87"/>
      <c r="F888" s="69"/>
      <c r="G888" s="69"/>
      <c r="H888" s="69"/>
      <c r="I888" s="69"/>
      <c r="J888" s="69"/>
      <c r="K888" s="69"/>
      <c r="L888" s="69"/>
      <c r="M888" s="69"/>
      <c r="N888" s="86"/>
      <c r="O888" s="69"/>
      <c r="P888" s="69"/>
      <c r="Q888" s="69"/>
      <c r="R888" s="69"/>
      <c r="S888" s="69"/>
      <c r="T888" s="92"/>
      <c r="U888" s="69"/>
      <c r="V888" s="92"/>
      <c r="W888" s="69"/>
      <c r="X888" s="69"/>
      <c r="Y888" s="87"/>
      <c r="Z888" s="69"/>
      <c r="AA888" s="69"/>
      <c r="AB888" s="69"/>
      <c r="AC888" s="72"/>
      <c r="AD888" s="69"/>
      <c r="AE888" s="87"/>
      <c r="AF888" s="88"/>
      <c r="AG888" s="72"/>
      <c r="AH888" s="4"/>
      <c r="AI888" s="72"/>
      <c r="AJ888" s="110"/>
      <c r="AK888" s="72"/>
      <c r="AL888" s="72"/>
      <c r="AM888" s="72"/>
      <c r="AN888" s="72"/>
      <c r="AO888" s="89"/>
      <c r="AP888" s="89"/>
      <c r="AQ888" s="90"/>
      <c r="AR888" s="117"/>
      <c r="AS888" s="91"/>
      <c r="AT888" s="91"/>
      <c r="AU888" s="3"/>
      <c r="AV888" s="71">
        <v>40</v>
      </c>
      <c r="AW888" s="71">
        <f>60*30</f>
        <v>1800</v>
      </c>
      <c r="AX888" s="71">
        <f>60*60*24*7*3</f>
        <v>1814400</v>
      </c>
      <c r="AY888" s="53"/>
      <c r="AZ888" s="53"/>
      <c r="BA888" s="53"/>
      <c r="BB888" s="53"/>
      <c r="BC888" s="53"/>
      <c r="BD888" s="53"/>
      <c r="BE888" s="53"/>
      <c r="BF888" s="53"/>
      <c r="BG888" s="53"/>
      <c r="BH888" s="53"/>
      <c r="BI888" s="53"/>
      <c r="BJ888" s="53"/>
      <c r="BK888" s="53"/>
      <c r="BL888" s="53"/>
      <c r="BM888" s="53"/>
      <c r="BN888" s="53"/>
      <c r="BO888" s="53"/>
      <c r="BP888" s="53"/>
      <c r="BQ888" s="53"/>
      <c r="BR888" s="53"/>
      <c r="BS888" s="53"/>
      <c r="BT888" s="53"/>
      <c r="BU888" s="53"/>
      <c r="BV888" s="53"/>
      <c r="BW888" s="53"/>
      <c r="BX888" s="53"/>
      <c r="BY888" s="53"/>
      <c r="BZ888" s="53"/>
      <c r="CA888" s="53"/>
      <c r="CB888" s="53"/>
      <c r="CC888" s="53"/>
      <c r="CD888" s="53"/>
      <c r="CE888" s="53"/>
      <c r="CF888" s="53"/>
      <c r="CG888" s="53"/>
      <c r="CH888" s="53"/>
      <c r="CI888" s="53"/>
      <c r="CJ888" s="53"/>
      <c r="CK888" s="53"/>
      <c r="CL888" s="53"/>
      <c r="CM888" s="53"/>
      <c r="CN888" s="53"/>
      <c r="CO888" s="53"/>
      <c r="CP888" s="53"/>
      <c r="CQ888" s="53"/>
      <c r="CR888" s="16"/>
      <c r="CS888" s="16"/>
      <c r="CT888" s="16"/>
      <c r="CU888" s="16"/>
    </row>
    <row r="889" spans="1:99" s="13" customFormat="1" ht="12" customHeight="1" x14ac:dyDescent="0.2">
      <c r="A889" s="68">
        <v>43979</v>
      </c>
      <c r="B889" s="70" t="s">
        <v>986</v>
      </c>
      <c r="C889" s="70" t="s">
        <v>54</v>
      </c>
      <c r="D889" s="69">
        <v>2011</v>
      </c>
      <c r="E889" s="87">
        <v>1</v>
      </c>
      <c r="F889" s="69">
        <v>15</v>
      </c>
      <c r="G889" s="69">
        <v>15</v>
      </c>
      <c r="H889" s="69" t="s">
        <v>41</v>
      </c>
      <c r="I889" s="69" t="s">
        <v>991</v>
      </c>
      <c r="J889" s="69" t="s">
        <v>686</v>
      </c>
      <c r="K889" s="69">
        <f>IF(J889="syllables",1,IF(J889="trigrams",2,IF(J889="strings",3,IF(J889="visual array",4,IF(J889="characters",5,IF(J889="letters",6,IF(J889="free forms",7,IF(J889="odors",8,IF(J889="words",9,IF(J889="pictures",10,IF(J889="object pictures",11,IF(J889="faces",12,IF(J889="names",13,IF(J889="idioms",14,IF(J889="grades",15,IF(J889="syllable-digit pairs",16,IF(J889="trigram-word pairs",17,IF(J889="word-digit pairs",18,IF(J889="English-Swahili pairs",19,IF(J889="spatial position",20,IF(J889="word pairs",21,IF(J889="word triads",22,IF(J889="generated words",23,IF(J889="word definition pairs",24,IF(J889="math problems",25,IF(J889="famous faces",26,IF(J889="famous names",27,IF(J889="famous voices",28,IF(J889="television programs",29,IF(J889="race horses",30,IF(J889="new vocabulary",31,IF(J889="sentences",32,IF(J889="concepts",33,IF(J889="ad slides",34,IF(J889="scenes",35,IF(J889="famous scenes",36,IF(J889="poems",37,IF(J889="walk",38,IF(J889="faces and events",39,IF(J889="events and names",40,IF(J889="flashbulb",41,IF(J889="stories",42,IF(J889="course material",43,IF(J889="autobiographical",44,IF(J889="novels",45,IF(J889="public events",46,"99"))))))))))))))))))))))))))))))))))))))))))))))</f>
        <v>35</v>
      </c>
      <c r="L889" s="69">
        <f>IF(J889="syllables",1,IF(J889="trigrams",1,IF(J889="strings",1,IF(J889="visual array",1,IF(J889="characters",1,IF(J889="letters",1,IF(J889="free forms",1,IF(J889="odors",2,IF(J889="words",2,IF(J889="pictures",2,IF(J889="object pictures",2,IF(J889="faces",2,IF(J889="names",2,IF(J889="idioms","2",IF(J889="grades",2,IF(J889="syllable-digit pairs",3,IF(J889="trigram-word pairs",3,IF(J889="word-digit pairs",3,IF(J889="English-Swahili pairs",3,IF(J889="spatial position",3,IF(J889="word pairs",4,IF(J889="word triads",4,IF(J889="generated words",4,IF(J889="word definition pairs",4,IF(J889="math problems",4,IF(J889="famous faces",4,IF(J889="famous names",4,IF(J889="famous voices",4,IF(J889="television programs",4,IF(J889="race horses",4,IF(J889="new vocabulary",4,IF(J889="sentences",5,IF(J889="concepts",5,IF(J889="ad slides",5,IF(J889="scenes",5,IF(J889="famous scenes",5,IF(J889="poems",6,IF(J889="walk",6,IF(J889="faces and events",6,IF(J889="events and names",6,IF(J889="flashbulb",7,IF(J889="stories",7,IF(J889="course material",7,IF(J889="autobiographical",7,IF(J889="novels",7,IF(J889="public events",7,"99"))))))))))))))))))))))))))))))))))))))))))))))</f>
        <v>5</v>
      </c>
      <c r="M889" s="69">
        <v>0</v>
      </c>
      <c r="N889" s="86">
        <v>3</v>
      </c>
      <c r="O889" s="69">
        <v>0</v>
      </c>
      <c r="P889" s="69"/>
      <c r="Q889" s="69" t="s">
        <v>174</v>
      </c>
      <c r="R889" s="69">
        <f>IF(Q889="Free Recall",1,IF(Q889="Cued Recall",2,IF(Q889="Recognition",3,IF(Q889="Multiple Choice",4,IF(Q889="Savings",5,IF(Q889="Stem Completion",6,IF(Q889="Fragment Completion",7,IF(Q889="anagram solution",8,IF(Q889="Matching",9,IF(Q889="Problem Solving",10,"99"))))))))))</f>
        <v>1</v>
      </c>
      <c r="S889" s="69" t="s">
        <v>49</v>
      </c>
      <c r="T889" s="92" t="s">
        <v>581</v>
      </c>
      <c r="U889" s="69">
        <f>IF(T889="within",1,0)</f>
        <v>1</v>
      </c>
      <c r="V889" s="92">
        <f>60*3</f>
        <v>180</v>
      </c>
      <c r="W889" s="69">
        <f>F889*V889</f>
        <v>2700</v>
      </c>
      <c r="X889" s="69">
        <v>3</v>
      </c>
      <c r="Y889" s="87">
        <f>AV888</f>
        <v>40</v>
      </c>
      <c r="Z889" s="69" t="s">
        <v>165</v>
      </c>
      <c r="AA889" s="69">
        <f>60*60*24*7*3</f>
        <v>1814400</v>
      </c>
      <c r="AB889" s="69" t="str">
        <f>IF(AA889&lt;60,"1",IF(AA889&lt;=43200,"2",IF(AA889&lt;=777600,"3","4")))</f>
        <v>4</v>
      </c>
      <c r="AC889" s="72">
        <f>AVERAGE(AV888:DA888)</f>
        <v>605413.33333333337</v>
      </c>
      <c r="AD889" s="69" t="str">
        <f>IF(AC889&lt;60,"1",IF(AC889&lt;=43200,"2",IF(AC889&lt;=777600,"3","4")))</f>
        <v>3</v>
      </c>
      <c r="AE889" s="87">
        <f>AA889-Y889</f>
        <v>1814360</v>
      </c>
      <c r="AF889" s="88">
        <f>AV889</f>
        <v>0.90106382978723398</v>
      </c>
      <c r="AG889" s="72">
        <f>((AW889-AV889)+(AX889-AW889))/2</f>
        <v>-8.5106382978724637E-3</v>
      </c>
      <c r="AH889" s="4"/>
      <c r="AI889" s="72">
        <f>RSQ(AV889:AX889,AV888:AX888)</f>
        <v>0.96397310898932853</v>
      </c>
      <c r="AJ889" s="110">
        <f>SLOPE(AV889:AX889,AV888:AX888)</f>
        <v>-1.0557505610083529E-8</v>
      </c>
      <c r="AK889" s="72">
        <f>INTERCEPT(AV889:AX889,AV888:AX888)</f>
        <v>0.90320016530138358</v>
      </c>
      <c r="AL889" s="72">
        <f>INDEX(LINEST(LN(AV889:AX889),LN(AV888:AX888),TRUE,TRUE),3,1)</f>
        <v>0.73044146743931315</v>
      </c>
      <c r="AM889" s="72">
        <f>INDEX(LINEST(LN(AV889:AX889),LN(AV888:AX888)),1)</f>
        <v>-1.9799636788292896E-3</v>
      </c>
      <c r="AN889" s="72">
        <f>EXP(INDEX(LINEST(LN(AV889:AX889),LN(AV888:AX888)),1,2))</f>
        <v>0.91203872713661449</v>
      </c>
      <c r="AO889" s="89">
        <f>INDEX(LINEST((AV889:AX889),LN(AV888:AX888),TRUE,TRUE),3,1)</f>
        <v>0.72870838260849469</v>
      </c>
      <c r="AP889" s="89">
        <f>INDEX(LINEST((AV889:AX889),LN(AV888:AX888)),1)</f>
        <v>-1.768050412887199E-3</v>
      </c>
      <c r="AQ889" s="90">
        <f>INDEX(LINEST(LN(AV889:AX889),SQRT(AV888:AX888),TRUE,TRUE),3,1)</f>
        <v>0.95580381514663704</v>
      </c>
      <c r="AR889" s="117">
        <f>INDEX(LINEST(LN(AV889:AX889),SQRT((AV888:AX888))),1)</f>
        <v>-1.6118185087166273E-5</v>
      </c>
      <c r="AS889" s="91">
        <f>INDEX(LINEST(1/(AV889:AX889),1/(SQRT(AV888:AX888)),TRUE,TRUE),3,1)</f>
        <v>0.20671575335629136</v>
      </c>
      <c r="AT889" s="91">
        <f>INDEX(LINEST(1/(AV889:AX889),1/SQRT(AV888:AX888)),1)</f>
        <v>-7.5312714167434597E-2</v>
      </c>
      <c r="AU889" s="3"/>
      <c r="AV889" s="73">
        <v>0.90106382978723398</v>
      </c>
      <c r="AW889" s="73">
        <v>0.90531914893617005</v>
      </c>
      <c r="AX889" s="73">
        <v>0.88404255319148906</v>
      </c>
      <c r="AY889" s="53"/>
      <c r="AZ889" s="53"/>
      <c r="BA889" s="53"/>
      <c r="BB889" s="53"/>
      <c r="BC889" s="53"/>
      <c r="BD889" s="53"/>
      <c r="BE889" s="53"/>
      <c r="BF889" s="53"/>
      <c r="BG889" s="53"/>
      <c r="BH889" s="53"/>
      <c r="BI889" s="53"/>
      <c r="BJ889" s="53"/>
      <c r="BK889" s="53"/>
      <c r="BL889" s="53"/>
      <c r="BM889" s="53"/>
      <c r="BN889" s="53"/>
      <c r="BO889" s="53"/>
      <c r="BP889" s="53"/>
      <c r="BQ889" s="53"/>
      <c r="BR889" s="53"/>
      <c r="BS889" s="53"/>
      <c r="BT889" s="53"/>
      <c r="BU889" s="53"/>
      <c r="BV889" s="53"/>
      <c r="BW889" s="53"/>
      <c r="BX889" s="53"/>
      <c r="BY889" s="53"/>
      <c r="BZ889" s="53"/>
      <c r="CA889" s="53"/>
      <c r="CB889" s="53"/>
      <c r="CC889" s="53"/>
      <c r="CD889" s="53"/>
      <c r="CE889" s="53"/>
      <c r="CF889" s="53"/>
      <c r="CG889" s="53"/>
      <c r="CH889" s="53"/>
      <c r="CI889" s="53"/>
      <c r="CJ889" s="53"/>
      <c r="CK889" s="53"/>
      <c r="CL889" s="53"/>
      <c r="CM889" s="53"/>
      <c r="CN889" s="53"/>
      <c r="CO889" s="53"/>
      <c r="CP889" s="53"/>
      <c r="CQ889" s="53"/>
      <c r="CR889" s="16"/>
      <c r="CS889" s="16"/>
      <c r="CT889" s="16"/>
      <c r="CU889" s="16"/>
    </row>
    <row r="890" spans="1:99" s="13" customFormat="1" ht="12" customHeight="1" x14ac:dyDescent="0.2">
      <c r="A890" s="68">
        <v>43979</v>
      </c>
      <c r="B890" s="70"/>
      <c r="C890" s="70"/>
      <c r="D890" s="69"/>
      <c r="E890" s="87"/>
      <c r="F890" s="69"/>
      <c r="G890" s="69"/>
      <c r="H890" s="69"/>
      <c r="I890" s="69"/>
      <c r="J890" s="69"/>
      <c r="K890" s="69"/>
      <c r="L890" s="69"/>
      <c r="M890" s="69"/>
      <c r="N890" s="86"/>
      <c r="O890" s="69"/>
      <c r="P890" s="69"/>
      <c r="Q890" s="69"/>
      <c r="R890" s="69"/>
      <c r="S890" s="69"/>
      <c r="T890" s="92"/>
      <c r="U890" s="69"/>
      <c r="V890" s="92"/>
      <c r="W890" s="69"/>
      <c r="X890" s="69"/>
      <c r="Y890" s="87"/>
      <c r="Z890" s="69"/>
      <c r="AA890" s="69"/>
      <c r="AB890" s="69"/>
      <c r="AC890" s="72"/>
      <c r="AD890" s="69"/>
      <c r="AE890" s="87"/>
      <c r="AF890" s="88"/>
      <c r="AG890" s="72"/>
      <c r="AH890" s="4"/>
      <c r="AI890" s="72"/>
      <c r="AJ890" s="110"/>
      <c r="AK890" s="72"/>
      <c r="AL890" s="72"/>
      <c r="AM890" s="72"/>
      <c r="AN890" s="72"/>
      <c r="AO890" s="89"/>
      <c r="AP890" s="89"/>
      <c r="AQ890" s="90"/>
      <c r="AR890" s="117"/>
      <c r="AS890" s="91"/>
      <c r="AT890" s="91"/>
      <c r="AU890" s="3"/>
      <c r="AV890" s="71">
        <v>40</v>
      </c>
      <c r="AW890" s="71">
        <f>60*30</f>
        <v>1800</v>
      </c>
      <c r="AX890" s="71">
        <f>60*60*24*7*3</f>
        <v>1814400</v>
      </c>
      <c r="AY890" s="53"/>
      <c r="AZ890" s="53"/>
      <c r="BA890" s="53"/>
      <c r="BB890" s="53"/>
      <c r="BC890" s="53"/>
      <c r="BD890" s="53"/>
      <c r="BE890" s="53"/>
      <c r="BF890" s="53"/>
      <c r="BG890" s="53"/>
      <c r="BH890" s="53"/>
      <c r="BI890" s="53"/>
      <c r="BJ890" s="53"/>
      <c r="BK890" s="53"/>
      <c r="BL890" s="53"/>
      <c r="BM890" s="53"/>
      <c r="BN890" s="53"/>
      <c r="BO890" s="53"/>
      <c r="BP890" s="53"/>
      <c r="BQ890" s="53"/>
      <c r="BR890" s="53"/>
      <c r="BS890" s="53"/>
      <c r="BT890" s="53"/>
      <c r="BU890" s="53"/>
      <c r="BV890" s="53"/>
      <c r="BW890" s="53"/>
      <c r="BX890" s="53"/>
      <c r="BY890" s="53"/>
      <c r="BZ890" s="53"/>
      <c r="CA890" s="53"/>
      <c r="CB890" s="53"/>
      <c r="CC890" s="53"/>
      <c r="CD890" s="53"/>
      <c r="CE890" s="53"/>
      <c r="CF890" s="53"/>
      <c r="CG890" s="53"/>
      <c r="CH890" s="53"/>
      <c r="CI890" s="53"/>
      <c r="CJ890" s="53"/>
      <c r="CK890" s="53"/>
      <c r="CL890" s="53"/>
      <c r="CM890" s="53"/>
      <c r="CN890" s="53"/>
      <c r="CO890" s="53"/>
      <c r="CP890" s="53"/>
      <c r="CQ890" s="53"/>
      <c r="CR890" s="16"/>
      <c r="CS890" s="16"/>
      <c r="CT890" s="16"/>
      <c r="CU890" s="16"/>
    </row>
    <row r="891" spans="1:99" s="13" customFormat="1" ht="12" customHeight="1" x14ac:dyDescent="0.2">
      <c r="A891" s="68">
        <v>43979</v>
      </c>
      <c r="B891" s="70" t="s">
        <v>986</v>
      </c>
      <c r="C891" s="70" t="s">
        <v>54</v>
      </c>
      <c r="D891" s="69">
        <v>2011</v>
      </c>
      <c r="E891" s="87">
        <v>1</v>
      </c>
      <c r="F891" s="69">
        <v>10</v>
      </c>
      <c r="G891" s="69">
        <v>10</v>
      </c>
      <c r="H891" s="69" t="s">
        <v>41</v>
      </c>
      <c r="I891" s="69" t="s">
        <v>992</v>
      </c>
      <c r="J891" s="69" t="s">
        <v>686</v>
      </c>
      <c r="K891" s="69">
        <f>IF(J891="syllables",1,IF(J891="trigrams",2,IF(J891="strings",3,IF(J891="visual array",4,IF(J891="characters",5,IF(J891="letters",6,IF(J891="free forms",7,IF(J891="odors",8,IF(J891="words",9,IF(J891="pictures",10,IF(J891="object pictures",11,IF(J891="faces",12,IF(J891="names",13,IF(J891="idioms",14,IF(J891="grades",15,IF(J891="syllable-digit pairs",16,IF(J891="trigram-word pairs",17,IF(J891="word-digit pairs",18,IF(J891="English-Swahili pairs",19,IF(J891="spatial position",20,IF(J891="word pairs",21,IF(J891="word triads",22,IF(J891="generated words",23,IF(J891="word definition pairs",24,IF(J891="math problems",25,IF(J891="famous faces",26,IF(J891="famous names",27,IF(J891="famous voices",28,IF(J891="television programs",29,IF(J891="race horses",30,IF(J891="new vocabulary",31,IF(J891="sentences",32,IF(J891="concepts",33,IF(J891="ad slides",34,IF(J891="scenes",35,IF(J891="famous scenes",36,IF(J891="poems",37,IF(J891="walk",38,IF(J891="faces and events",39,IF(J891="events and names",40,IF(J891="flashbulb",41,IF(J891="stories",42,IF(J891="course material",43,IF(J891="autobiographical",44,IF(J891="novels",45,IF(J891="public events",46,"99"))))))))))))))))))))))))))))))))))))))))))))))</f>
        <v>35</v>
      </c>
      <c r="L891" s="69">
        <f>IF(J891="syllables",1,IF(J891="trigrams",1,IF(J891="strings",1,IF(J891="visual array",1,IF(J891="characters",1,IF(J891="letters",1,IF(J891="free forms",1,IF(J891="odors",2,IF(J891="words",2,IF(J891="pictures",2,IF(J891="object pictures",2,IF(J891="faces",2,IF(J891="names",2,IF(J891="idioms","2",IF(J891="grades",2,IF(J891="syllable-digit pairs",3,IF(J891="trigram-word pairs",3,IF(J891="word-digit pairs",3,IF(J891="English-Swahili pairs",3,IF(J891="spatial position",3,IF(J891="word pairs",4,IF(J891="word triads",4,IF(J891="generated words",4,IF(J891="word definition pairs",4,IF(J891="math problems",4,IF(J891="famous faces",4,IF(J891="famous names",4,IF(J891="famous voices",4,IF(J891="television programs",4,IF(J891="race horses",4,IF(J891="new vocabulary",4,IF(J891="sentences",5,IF(J891="concepts",5,IF(J891="ad slides",5,IF(J891="scenes",5,IF(J891="famous scenes",5,IF(J891="poems",6,IF(J891="walk",6,IF(J891="faces and events",6,IF(J891="events and names",6,IF(J891="flashbulb",7,IF(J891="stories",7,IF(J891="course material",7,IF(J891="autobiographical",7,IF(J891="novels",7,IF(J891="public events",7,"99"))))))))))))))))))))))))))))))))))))))))))))))</f>
        <v>5</v>
      </c>
      <c r="M891" s="69">
        <v>0</v>
      </c>
      <c r="N891" s="86">
        <v>3</v>
      </c>
      <c r="O891" s="69">
        <v>0</v>
      </c>
      <c r="P891" s="69"/>
      <c r="Q891" s="69" t="s">
        <v>174</v>
      </c>
      <c r="R891" s="69">
        <f>IF(Q891="Free Recall",1,IF(Q891="Cued Recall",2,IF(Q891="Recognition",3,IF(Q891="Multiple Choice",4,IF(Q891="Savings",5,IF(Q891="Stem Completion",6,IF(Q891="Fragment Completion",7,IF(Q891="anagram solution",8,IF(Q891="Matching",9,IF(Q891="Problem Solving",10,"99"))))))))))</f>
        <v>1</v>
      </c>
      <c r="S891" s="69" t="s">
        <v>49</v>
      </c>
      <c r="T891" s="92" t="s">
        <v>581</v>
      </c>
      <c r="U891" s="69">
        <f>IF(T891="within",1,0)</f>
        <v>1</v>
      </c>
      <c r="V891" s="92">
        <f>60*3</f>
        <v>180</v>
      </c>
      <c r="W891" s="69">
        <f>F891*V891</f>
        <v>1800</v>
      </c>
      <c r="X891" s="69">
        <v>3</v>
      </c>
      <c r="Y891" s="87">
        <f>AV890</f>
        <v>40</v>
      </c>
      <c r="Z891" s="69" t="s">
        <v>165</v>
      </c>
      <c r="AA891" s="69">
        <f>60*60*24*7*3</f>
        <v>1814400</v>
      </c>
      <c r="AB891" s="69" t="str">
        <f>IF(AA891&lt;60,"1",IF(AA891&lt;=43200,"2",IF(AA891&lt;=777600,"3","4")))</f>
        <v>4</v>
      </c>
      <c r="AC891" s="72">
        <f>AVERAGE(AV890:DA890)</f>
        <v>605413.33333333337</v>
      </c>
      <c r="AD891" s="69" t="str">
        <f>IF(AC891&lt;60,"1",IF(AC891&lt;=43200,"2",IF(AC891&lt;=777600,"3","4")))</f>
        <v>3</v>
      </c>
      <c r="AE891" s="87">
        <f>AA891-Y891</f>
        <v>1814360</v>
      </c>
      <c r="AF891" s="88">
        <f>AV891</f>
        <v>0.90106382978723398</v>
      </c>
      <c r="AG891" s="72">
        <f>((AW891-AV891)+(AX891-AW891))/2</f>
        <v>-6.3829787234044866E-3</v>
      </c>
      <c r="AH891" s="4"/>
      <c r="AI891" s="72">
        <f>RSQ(AV891:AX891,AV890:AX890)</f>
        <v>0.89233667225183044</v>
      </c>
      <c r="AJ891" s="110">
        <f>SLOPE(AV891:AX891,AV890:AX890)</f>
        <v>-8.7967826951134003E-9</v>
      </c>
      <c r="AK891" s="72">
        <f>INTERCEPT(AV891:AX891,AV890:AX890)</f>
        <v>0.90426185974682316</v>
      </c>
      <c r="AL891" s="72">
        <f>INDEX(LINEST(LN(AV891:AX891),LN(AV890:AX890),TRUE,TRUE),3,1)</f>
        <v>0.59622340073218894</v>
      </c>
      <c r="AM891" s="72">
        <f>INDEX(LINEST(LN(AV891:AX891),LN(AV890:AX890)),1)</f>
        <v>-1.5433919466815139E-3</v>
      </c>
      <c r="AN891" s="72">
        <f>EXP(INDEX(LINEST(LN(AV891:AX891),LN(AV890:AX890)),1,2))</f>
        <v>0.91081589434018417</v>
      </c>
      <c r="AO891" s="89">
        <f>INDEX(LINEST((AV891:AX891),LN(AV890:AX890),TRUE,TRUE),3,1)</f>
        <v>0.59364025208041737</v>
      </c>
      <c r="AP891" s="89">
        <f>INDEX(LINEST((AV891:AX891),LN(AV890:AX890)),1)</f>
        <v>-1.3820064291961945E-3</v>
      </c>
      <c r="AQ891" s="90">
        <f>INDEX(LINEST(LN(AV891:AX891),SQRT(AV890:AX890),TRUE,TRUE),3,1)</f>
        <v>0.87952195280929257</v>
      </c>
      <c r="AR891" s="117">
        <f>INDEX(LINEST(LN(AV891:AX891),SQRT((AV890:AX890))),1)</f>
        <v>-1.3340199008528806E-5</v>
      </c>
      <c r="AS891" s="91">
        <f>INDEX(LINEST(1/(AV891:AX891),1/(SQRT(AV890:AX890)),TRUE,TRUE),3,1)</f>
        <v>0.10500762682904399</v>
      </c>
      <c r="AT891" s="91">
        <f>INDEX(LINEST(1/(AV891:AX891),1/SQRT(AV890:AX890)),1)</f>
        <v>-4.613962106834938E-2</v>
      </c>
      <c r="AU891" s="3"/>
      <c r="AV891" s="73">
        <v>0.90106382978723398</v>
      </c>
      <c r="AW891" s="73">
        <v>0.90744680851063808</v>
      </c>
      <c r="AX891" s="73">
        <v>0.88829787234042501</v>
      </c>
      <c r="AY891" s="53"/>
      <c r="AZ891" s="53"/>
      <c r="BA891" s="53"/>
      <c r="BB891" s="53"/>
      <c r="BC891" s="53"/>
      <c r="BD891" s="53"/>
      <c r="BE891" s="53"/>
      <c r="BF891" s="53"/>
      <c r="BG891" s="53"/>
      <c r="BH891" s="53"/>
      <c r="BI891" s="53"/>
      <c r="BJ891" s="53"/>
      <c r="BK891" s="53"/>
      <c r="BL891" s="53"/>
      <c r="BM891" s="53"/>
      <c r="BN891" s="53"/>
      <c r="BO891" s="53"/>
      <c r="BP891" s="53"/>
      <c r="BQ891" s="53"/>
      <c r="BR891" s="53"/>
      <c r="BS891" s="53"/>
      <c r="BT891" s="53"/>
      <c r="BU891" s="53"/>
      <c r="BV891" s="53"/>
      <c r="BW891" s="53"/>
      <c r="BX891" s="53"/>
      <c r="BY891" s="53"/>
      <c r="BZ891" s="53"/>
      <c r="CA891" s="53"/>
      <c r="CB891" s="53"/>
      <c r="CC891" s="53"/>
      <c r="CD891" s="53"/>
      <c r="CE891" s="53"/>
      <c r="CF891" s="53"/>
      <c r="CG891" s="53"/>
      <c r="CH891" s="53"/>
      <c r="CI891" s="53"/>
      <c r="CJ891" s="53"/>
      <c r="CK891" s="53"/>
      <c r="CL891" s="53"/>
      <c r="CM891" s="53"/>
      <c r="CN891" s="53"/>
      <c r="CO891" s="53"/>
      <c r="CP891" s="53"/>
      <c r="CQ891" s="53"/>
      <c r="CR891" s="16"/>
      <c r="CS891" s="16"/>
      <c r="CT891" s="16"/>
      <c r="CU891" s="16"/>
    </row>
    <row r="892" spans="1:99" s="13" customFormat="1" ht="12" customHeight="1" x14ac:dyDescent="0.2">
      <c r="A892" s="68">
        <v>43979</v>
      </c>
      <c r="B892" s="70"/>
      <c r="C892" s="70"/>
      <c r="D892" s="69"/>
      <c r="E892" s="87"/>
      <c r="F892" s="69"/>
      <c r="G892" s="69"/>
      <c r="H892" s="69"/>
      <c r="I892" s="69"/>
      <c r="J892" s="69"/>
      <c r="K892" s="69"/>
      <c r="L892" s="69"/>
      <c r="M892" s="69"/>
      <c r="N892" s="86"/>
      <c r="O892" s="69"/>
      <c r="P892" s="69"/>
      <c r="Q892" s="69"/>
      <c r="R892" s="69"/>
      <c r="S892" s="69"/>
      <c r="T892" s="92"/>
      <c r="U892" s="69"/>
      <c r="V892" s="92"/>
      <c r="W892" s="69"/>
      <c r="X892" s="69"/>
      <c r="Y892" s="87"/>
      <c r="Z892" s="69"/>
      <c r="AA892" s="69"/>
      <c r="AB892" s="69"/>
      <c r="AC892" s="72"/>
      <c r="AD892" s="69"/>
      <c r="AE892" s="87"/>
      <c r="AF892" s="88"/>
      <c r="AG892" s="72"/>
      <c r="AH892" s="4"/>
      <c r="AI892" s="72"/>
      <c r="AJ892" s="110"/>
      <c r="AK892" s="72"/>
      <c r="AL892" s="72"/>
      <c r="AM892" s="72"/>
      <c r="AN892" s="72"/>
      <c r="AO892" s="89"/>
      <c r="AP892" s="89"/>
      <c r="AQ892" s="90"/>
      <c r="AR892" s="117"/>
      <c r="AS892" s="91"/>
      <c r="AT892" s="91"/>
      <c r="AU892" s="3"/>
      <c r="AV892" s="71">
        <v>40</v>
      </c>
      <c r="AW892" s="71">
        <f>60*30</f>
        <v>1800</v>
      </c>
      <c r="AX892" s="71">
        <f>60*60*24*7*3</f>
        <v>1814400</v>
      </c>
      <c r="AY892" s="53"/>
      <c r="AZ892" s="53"/>
      <c r="BA892" s="53"/>
      <c r="BB892" s="53"/>
      <c r="BC892" s="53"/>
      <c r="BD892" s="53"/>
      <c r="BE892" s="53"/>
      <c r="BF892" s="53"/>
      <c r="BG892" s="53"/>
      <c r="BH892" s="53"/>
      <c r="BI892" s="53"/>
      <c r="BJ892" s="53"/>
      <c r="BK892" s="53"/>
      <c r="BL892" s="53"/>
      <c r="BM892" s="53"/>
      <c r="BN892" s="53"/>
      <c r="BO892" s="53"/>
      <c r="BP892" s="53"/>
      <c r="BQ892" s="53"/>
      <c r="BR892" s="53"/>
      <c r="BS892" s="53"/>
      <c r="BT892" s="53"/>
      <c r="BU892" s="53"/>
      <c r="BV892" s="53"/>
      <c r="BW892" s="53"/>
      <c r="BX892" s="53"/>
      <c r="BY892" s="53"/>
      <c r="BZ892" s="53"/>
      <c r="CA892" s="53"/>
      <c r="CB892" s="53"/>
      <c r="CC892" s="53"/>
      <c r="CD892" s="53"/>
      <c r="CE892" s="53"/>
      <c r="CF892" s="53"/>
      <c r="CG892" s="53"/>
      <c r="CH892" s="53"/>
      <c r="CI892" s="53"/>
      <c r="CJ892" s="53"/>
      <c r="CK892" s="53"/>
      <c r="CL892" s="53"/>
      <c r="CM892" s="53"/>
      <c r="CN892" s="53"/>
      <c r="CO892" s="53"/>
      <c r="CP892" s="53"/>
      <c r="CQ892" s="53"/>
      <c r="CR892" s="16"/>
      <c r="CS892" s="16"/>
      <c r="CT892" s="16"/>
      <c r="CU892" s="16"/>
    </row>
    <row r="893" spans="1:99" s="13" customFormat="1" ht="12" customHeight="1" x14ac:dyDescent="0.2">
      <c r="A893" s="68">
        <v>43979</v>
      </c>
      <c r="B893" s="70" t="s">
        <v>986</v>
      </c>
      <c r="C893" s="70" t="s">
        <v>54</v>
      </c>
      <c r="D893" s="69">
        <v>2011</v>
      </c>
      <c r="E893" s="87">
        <v>1</v>
      </c>
      <c r="F893" s="69">
        <v>15</v>
      </c>
      <c r="G893" s="69">
        <v>15</v>
      </c>
      <c r="H893" s="69" t="s">
        <v>32</v>
      </c>
      <c r="I893" s="69" t="s">
        <v>994</v>
      </c>
      <c r="J893" s="69" t="s">
        <v>686</v>
      </c>
      <c r="K893" s="69">
        <f>IF(J893="syllables",1,IF(J893="trigrams",2,IF(J893="strings",3,IF(J893="visual array",4,IF(J893="characters",5,IF(J893="letters",6,IF(J893="free forms",7,IF(J893="odors",8,IF(J893="words",9,IF(J893="pictures",10,IF(J893="object pictures",11,IF(J893="faces",12,IF(J893="names",13,IF(J893="idioms",14,IF(J893="grades",15,IF(J893="syllable-digit pairs",16,IF(J893="trigram-word pairs",17,IF(J893="word-digit pairs",18,IF(J893="English-Swahili pairs",19,IF(J893="spatial position",20,IF(J893="word pairs",21,IF(J893="word triads",22,IF(J893="generated words",23,IF(J893="word definition pairs",24,IF(J893="math problems",25,IF(J893="famous faces",26,IF(J893="famous names",27,IF(J893="famous voices",28,IF(J893="television programs",29,IF(J893="race horses",30,IF(J893="new vocabulary",31,IF(J893="sentences",32,IF(J893="concepts",33,IF(J893="ad slides",34,IF(J893="scenes",35,IF(J893="famous scenes",36,IF(J893="poems",37,IF(J893="walk",38,IF(J893="faces and events",39,IF(J893="events and names",40,IF(J893="flashbulb",41,IF(J893="stories",42,IF(J893="course material",43,IF(J893="autobiographical",44,IF(J893="novels",45,IF(J893="public events",46,"99"))))))))))))))))))))))))))))))))))))))))))))))</f>
        <v>35</v>
      </c>
      <c r="L893" s="69">
        <f>IF(J893="syllables",1,IF(J893="trigrams",1,IF(J893="strings",1,IF(J893="visual array",1,IF(J893="characters",1,IF(J893="letters",1,IF(J893="free forms",1,IF(J893="odors",2,IF(J893="words",2,IF(J893="pictures",2,IF(J893="object pictures",2,IF(J893="faces",2,IF(J893="names",2,IF(J893="idioms","2",IF(J893="grades",2,IF(J893="syllable-digit pairs",3,IF(J893="trigram-word pairs",3,IF(J893="word-digit pairs",3,IF(J893="English-Swahili pairs",3,IF(J893="spatial position",3,IF(J893="word pairs",4,IF(J893="word triads",4,IF(J893="generated words",4,IF(J893="word definition pairs",4,IF(J893="math problems",4,IF(J893="famous faces",4,IF(J893="famous names",4,IF(J893="famous voices",4,IF(J893="television programs",4,IF(J893="race horses",4,IF(J893="new vocabulary",4,IF(J893="sentences",5,IF(J893="concepts",5,IF(J893="ad slides",5,IF(J893="scenes",5,IF(J893="famous scenes",5,IF(J893="poems",6,IF(J893="walk",6,IF(J893="faces and events",6,IF(J893="events and names",6,IF(J893="flashbulb",7,IF(J893="stories",7,IF(J893="course material",7,IF(J893="autobiographical",7,IF(J893="novels",7,IF(J893="public events",7,"99"))))))))))))))))))))))))))))))))))))))))))))))</f>
        <v>5</v>
      </c>
      <c r="M893" s="69">
        <v>0</v>
      </c>
      <c r="N893" s="86">
        <v>3</v>
      </c>
      <c r="O893" s="69">
        <v>0</v>
      </c>
      <c r="P893" s="69"/>
      <c r="Q893" s="69" t="s">
        <v>182</v>
      </c>
      <c r="R893" s="69">
        <f>IF(Q893="Free Recall",1,IF(Q893="Cued Recall",2,IF(Q893="Recognition",3,IF(Q893="Multiple Choice",4,IF(Q893="Savings",5,IF(Q893="Stem Completion",6,IF(Q893="Fragment Completion",7,IF(Q893="anagram solution",8,IF(Q893="Matching",9,IF(Q893="Problem Solving",10,"99"))))))))))</f>
        <v>4</v>
      </c>
      <c r="S893" s="69" t="s">
        <v>15</v>
      </c>
      <c r="T893" s="92" t="s">
        <v>581</v>
      </c>
      <c r="U893" s="69">
        <f>IF(T893="within",1,0)</f>
        <v>1</v>
      </c>
      <c r="V893" s="92">
        <v>18</v>
      </c>
      <c r="W893" s="69">
        <f>F893*V893</f>
        <v>270</v>
      </c>
      <c r="X893" s="69">
        <v>3</v>
      </c>
      <c r="Y893" s="87">
        <f>AV892</f>
        <v>40</v>
      </c>
      <c r="Z893" s="69" t="s">
        <v>165</v>
      </c>
      <c r="AA893" s="69">
        <f>60*60*24*7*3</f>
        <v>1814400</v>
      </c>
      <c r="AB893" s="69" t="str">
        <f>IF(AA893&lt;60,"1",IF(AA893&lt;=43200,"2",IF(AA893&lt;=777600,"3","4")))</f>
        <v>4</v>
      </c>
      <c r="AC893" s="72">
        <f>AVERAGE(AV892:DA892)</f>
        <v>605413.33333333337</v>
      </c>
      <c r="AD893" s="69" t="str">
        <f>IF(AC893&lt;60,"1",IF(AC893&lt;=43200,"2",IF(AC893&lt;=777600,"3","4")))</f>
        <v>3</v>
      </c>
      <c r="AE893" s="87">
        <f>AA893-Y893</f>
        <v>1814360</v>
      </c>
      <c r="AF893" s="88">
        <f>AV893</f>
        <v>0.89677632727988843</v>
      </c>
      <c r="AG893" s="72">
        <f>((AW893-AV893)+(AX893-AW893))/2</f>
        <v>-6.2437802625760042E-2</v>
      </c>
      <c r="AH893" s="4"/>
      <c r="AI893" s="72">
        <f>RSQ(AV893:AX893,AV892:AX892)</f>
        <v>0.99677446997483099</v>
      </c>
      <c r="AJ893" s="110">
        <f>SLOPE(AV893:AX893,AV892:AX892)</f>
        <v>-6.6641792392522329E-8</v>
      </c>
      <c r="AK893" s="72">
        <f>INTERCEPT(AV893:AX893,AV892:AX892)</f>
        <v>0.89281173801654823</v>
      </c>
      <c r="AL893" s="72">
        <f>INDEX(LINEST(LN(AV893:AX893),LN(AV892:AX892),TRUE,TRUE),3,1)</f>
        <v>0.91036797922204538</v>
      </c>
      <c r="AM893" s="72">
        <f>INDEX(LINEST(LN(AV893:AX893),LN(AV892:AX892)),1)</f>
        <v>-1.4760147964970787E-2</v>
      </c>
      <c r="AN893" s="72">
        <f>EXP(INDEX(LINEST(LN(AV893:AX893),LN(AV892:AX892)),1,2))</f>
        <v>0.96463247698128785</v>
      </c>
      <c r="AO893" s="89">
        <f>INDEX(LINEST((AV893:AX893),LN(AV892:AX892),TRUE,TRUE),3,1)</f>
        <v>0.91263182884918626</v>
      </c>
      <c r="AP893" s="89">
        <f>INDEX(LINEST((AV893:AX893),LN(AV892:AX892)),1)</f>
        <v>-1.228244764994787E-2</v>
      </c>
      <c r="AQ893" s="90">
        <f>INDEX(LINEST(LN(AV893:AX893),SQRT(AV892:AX892),TRUE,TRUE),3,1)</f>
        <v>0.99909756830891872</v>
      </c>
      <c r="AR893" s="117">
        <f>INDEX(LINEST(LN(AV893:AX893),SQRT((AV892:AX892))),1)</f>
        <v>-1.1004071931297462E-4</v>
      </c>
      <c r="AS893" s="91">
        <f>INDEX(LINEST(1/(AV893:AX893),1/(SQRT(AV892:AX892)),TRUE,TRUE),3,1)</f>
        <v>0.42301595125315161</v>
      </c>
      <c r="AT893" s="91">
        <f>INDEX(LINEST(1/(AV893:AX893),1/SQRT(AV892:AX892)),1)</f>
        <v>-0.77524007736917278</v>
      </c>
      <c r="AU893" s="3"/>
      <c r="AV893" s="73">
        <v>0.89677632727988843</v>
      </c>
      <c r="AW893" s="73">
        <v>0.88872067572639335</v>
      </c>
      <c r="AX893" s="73">
        <v>0.77190072202836835</v>
      </c>
      <c r="AY893" s="53"/>
      <c r="AZ893" s="53"/>
      <c r="BA893" s="53"/>
      <c r="BB893" s="53"/>
      <c r="BC893" s="53"/>
      <c r="BD893" s="53"/>
      <c r="BE893" s="53"/>
      <c r="BF893" s="53"/>
      <c r="BG893" s="53"/>
      <c r="BH893" s="53"/>
      <c r="BI893" s="53"/>
      <c r="BJ893" s="53"/>
      <c r="BK893" s="53"/>
      <c r="BL893" s="53"/>
      <c r="BM893" s="53"/>
      <c r="BN893" s="53"/>
      <c r="BO893" s="53"/>
      <c r="BP893" s="53"/>
      <c r="BQ893" s="53"/>
      <c r="BR893" s="53"/>
      <c r="BS893" s="53"/>
      <c r="BT893" s="53"/>
      <c r="BU893" s="53"/>
      <c r="BV893" s="53"/>
      <c r="BW893" s="53"/>
      <c r="BX893" s="53"/>
      <c r="BY893" s="53"/>
      <c r="BZ893" s="53"/>
      <c r="CA893" s="53"/>
      <c r="CB893" s="53"/>
      <c r="CC893" s="53"/>
      <c r="CD893" s="53"/>
      <c r="CE893" s="53"/>
      <c r="CF893" s="53"/>
      <c r="CG893" s="53"/>
      <c r="CH893" s="53"/>
      <c r="CI893" s="53"/>
      <c r="CJ893" s="53"/>
      <c r="CK893" s="53"/>
      <c r="CL893" s="53"/>
      <c r="CM893" s="53"/>
      <c r="CN893" s="53"/>
      <c r="CO893" s="53"/>
      <c r="CP893" s="53"/>
      <c r="CQ893" s="53"/>
      <c r="CR893" s="16"/>
      <c r="CS893" s="16"/>
      <c r="CT893" s="16"/>
      <c r="CU893" s="16"/>
    </row>
    <row r="894" spans="1:99" s="13" customFormat="1" ht="12" customHeight="1" x14ac:dyDescent="0.2">
      <c r="A894" s="68">
        <v>43979</v>
      </c>
      <c r="B894" s="70"/>
      <c r="C894" s="70"/>
      <c r="D894" s="69"/>
      <c r="E894" s="87"/>
      <c r="F894" s="69"/>
      <c r="G894" s="69"/>
      <c r="H894" s="69"/>
      <c r="I894" s="69"/>
      <c r="J894" s="69"/>
      <c r="K894" s="69"/>
      <c r="L894" s="69"/>
      <c r="M894" s="69"/>
      <c r="N894" s="86"/>
      <c r="O894" s="69"/>
      <c r="P894" s="69"/>
      <c r="Q894" s="69"/>
      <c r="R894" s="69"/>
      <c r="S894" s="69"/>
      <c r="T894" s="92"/>
      <c r="U894" s="69"/>
      <c r="V894" s="92"/>
      <c r="W894" s="69"/>
      <c r="X894" s="69"/>
      <c r="Y894" s="87"/>
      <c r="Z894" s="69"/>
      <c r="AA894" s="69"/>
      <c r="AB894" s="69"/>
      <c r="AC894" s="72"/>
      <c r="AD894" s="69"/>
      <c r="AE894" s="87"/>
      <c r="AF894" s="88"/>
      <c r="AG894" s="72"/>
      <c r="AH894" s="4"/>
      <c r="AI894" s="72"/>
      <c r="AJ894" s="110"/>
      <c r="AK894" s="72"/>
      <c r="AL894" s="72"/>
      <c r="AM894" s="72"/>
      <c r="AN894" s="72"/>
      <c r="AO894" s="89"/>
      <c r="AP894" s="89"/>
      <c r="AQ894" s="90"/>
      <c r="AR894" s="117"/>
      <c r="AS894" s="91"/>
      <c r="AT894" s="91"/>
      <c r="AU894" s="3"/>
      <c r="AV894" s="71">
        <v>40</v>
      </c>
      <c r="AW894" s="71">
        <f>60*30</f>
        <v>1800</v>
      </c>
      <c r="AX894" s="71">
        <f>60*60*24*7*3</f>
        <v>1814400</v>
      </c>
      <c r="AY894" s="53"/>
      <c r="AZ894" s="53"/>
      <c r="BA894" s="53"/>
      <c r="BB894" s="53"/>
      <c r="BC894" s="53"/>
      <c r="BD894" s="53"/>
      <c r="BE894" s="53"/>
      <c r="BF894" s="53"/>
      <c r="BG894" s="53"/>
      <c r="BH894" s="53"/>
      <c r="BI894" s="53"/>
      <c r="BJ894" s="53"/>
      <c r="BK894" s="53"/>
      <c r="BL894" s="53"/>
      <c r="BM894" s="53"/>
      <c r="BN894" s="53"/>
      <c r="BO894" s="53"/>
      <c r="BP894" s="53"/>
      <c r="BQ894" s="53"/>
      <c r="BR894" s="53"/>
      <c r="BS894" s="53"/>
      <c r="BT894" s="53"/>
      <c r="BU894" s="53"/>
      <c r="BV894" s="53"/>
      <c r="BW894" s="53"/>
      <c r="BX894" s="53"/>
      <c r="BY894" s="53"/>
      <c r="BZ894" s="53"/>
      <c r="CA894" s="53"/>
      <c r="CB894" s="53"/>
      <c r="CC894" s="53"/>
      <c r="CD894" s="53"/>
      <c r="CE894" s="53"/>
      <c r="CF894" s="53"/>
      <c r="CG894" s="53"/>
      <c r="CH894" s="53"/>
      <c r="CI894" s="53"/>
      <c r="CJ894" s="53"/>
      <c r="CK894" s="53"/>
      <c r="CL894" s="53"/>
      <c r="CM894" s="53"/>
      <c r="CN894" s="53"/>
      <c r="CO894" s="53"/>
      <c r="CP894" s="53"/>
      <c r="CQ894" s="53"/>
      <c r="CR894" s="16"/>
      <c r="CS894" s="16"/>
      <c r="CT894" s="16"/>
      <c r="CU894" s="16"/>
    </row>
    <row r="895" spans="1:99" s="13" customFormat="1" ht="12" customHeight="1" x14ac:dyDescent="0.2">
      <c r="A895" s="68">
        <v>43979</v>
      </c>
      <c r="B895" s="70" t="s">
        <v>986</v>
      </c>
      <c r="C895" s="70" t="s">
        <v>54</v>
      </c>
      <c r="D895" s="69">
        <v>2011</v>
      </c>
      <c r="E895" s="87">
        <v>1</v>
      </c>
      <c r="F895" s="69">
        <v>10</v>
      </c>
      <c r="G895" s="69">
        <v>10</v>
      </c>
      <c r="H895" s="69" t="s">
        <v>32</v>
      </c>
      <c r="I895" s="69" t="s">
        <v>995</v>
      </c>
      <c r="J895" s="69" t="s">
        <v>686</v>
      </c>
      <c r="K895" s="69">
        <f>IF(J895="syllables",1,IF(J895="trigrams",2,IF(J895="strings",3,IF(J895="visual array",4,IF(J895="characters",5,IF(J895="letters",6,IF(J895="free forms",7,IF(J895="odors",8,IF(J895="words",9,IF(J895="pictures",10,IF(J895="object pictures",11,IF(J895="faces",12,IF(J895="names",13,IF(J895="idioms",14,IF(J895="grades",15,IF(J895="syllable-digit pairs",16,IF(J895="trigram-word pairs",17,IF(J895="word-digit pairs",18,IF(J895="English-Swahili pairs",19,IF(J895="spatial position",20,IF(J895="word pairs",21,IF(J895="word triads",22,IF(J895="generated words",23,IF(J895="word definition pairs",24,IF(J895="math problems",25,IF(J895="famous faces",26,IF(J895="famous names",27,IF(J895="famous voices",28,IF(J895="television programs",29,IF(J895="race horses",30,IF(J895="new vocabulary",31,IF(J895="sentences",32,IF(J895="concepts",33,IF(J895="ad slides",34,IF(J895="scenes",35,IF(J895="famous scenes",36,IF(J895="poems",37,IF(J895="walk",38,IF(J895="faces and events",39,IF(J895="events and names",40,IF(J895="flashbulb",41,IF(J895="stories",42,IF(J895="course material",43,IF(J895="autobiographical",44,IF(J895="novels",45,IF(J895="public events",46,"99"))))))))))))))))))))))))))))))))))))))))))))))</f>
        <v>35</v>
      </c>
      <c r="L895" s="69">
        <f>IF(J895="syllables",1,IF(J895="trigrams",1,IF(J895="strings",1,IF(J895="visual array",1,IF(J895="characters",1,IF(J895="letters",1,IF(J895="free forms",1,IF(J895="odors",2,IF(J895="words",2,IF(J895="pictures",2,IF(J895="object pictures",2,IF(J895="faces",2,IF(J895="names",2,IF(J895="idioms","2",IF(J895="grades",2,IF(J895="syllable-digit pairs",3,IF(J895="trigram-word pairs",3,IF(J895="word-digit pairs",3,IF(J895="English-Swahili pairs",3,IF(J895="spatial position",3,IF(J895="word pairs",4,IF(J895="word triads",4,IF(J895="generated words",4,IF(J895="word definition pairs",4,IF(J895="math problems",4,IF(J895="famous faces",4,IF(J895="famous names",4,IF(J895="famous voices",4,IF(J895="television programs",4,IF(J895="race horses",4,IF(J895="new vocabulary",4,IF(J895="sentences",5,IF(J895="concepts",5,IF(J895="ad slides",5,IF(J895="scenes",5,IF(J895="famous scenes",5,IF(J895="poems",6,IF(J895="walk",6,IF(J895="faces and events",6,IF(J895="events and names",6,IF(J895="flashbulb",7,IF(J895="stories",7,IF(J895="course material",7,IF(J895="autobiographical",7,IF(J895="novels",7,IF(J895="public events",7,"99"))))))))))))))))))))))))))))))))))))))))))))))</f>
        <v>5</v>
      </c>
      <c r="M895" s="69">
        <v>0</v>
      </c>
      <c r="N895" s="86">
        <v>3</v>
      </c>
      <c r="O895" s="69">
        <v>0</v>
      </c>
      <c r="P895" s="69"/>
      <c r="Q895" s="69" t="s">
        <v>182</v>
      </c>
      <c r="R895" s="69">
        <f>IF(Q895="Free Recall",1,IF(Q895="Cued Recall",2,IF(Q895="Recognition",3,IF(Q895="Multiple Choice",4,IF(Q895="Savings",5,IF(Q895="Stem Completion",6,IF(Q895="Fragment Completion",7,IF(Q895="anagram solution",8,IF(Q895="Matching",9,IF(Q895="Problem Solving",10,"99"))))))))))</f>
        <v>4</v>
      </c>
      <c r="S895" s="69" t="s">
        <v>15</v>
      </c>
      <c r="T895" s="92" t="s">
        <v>581</v>
      </c>
      <c r="U895" s="69">
        <f>IF(T895="within",1,0)</f>
        <v>1</v>
      </c>
      <c r="V895" s="92">
        <v>18</v>
      </c>
      <c r="W895" s="69">
        <f>F895*V895</f>
        <v>180</v>
      </c>
      <c r="X895" s="69">
        <v>3</v>
      </c>
      <c r="Y895" s="87">
        <f>AV894</f>
        <v>40</v>
      </c>
      <c r="Z895" s="69" t="s">
        <v>165</v>
      </c>
      <c r="AA895" s="69">
        <f>60*60*24*7*3</f>
        <v>1814400</v>
      </c>
      <c r="AB895" s="69" t="str">
        <f>IF(AA895&lt;60,"1",IF(AA895&lt;=43200,"2",IF(AA895&lt;=777600,"3","4")))</f>
        <v>4</v>
      </c>
      <c r="AC895" s="72">
        <f>AVERAGE(AV894:DA894)</f>
        <v>605413.33333333337</v>
      </c>
      <c r="AD895" s="69" t="str">
        <f>IF(AC895&lt;60,"1",IF(AC895&lt;=43200,"2",IF(AC895&lt;=777600,"3","4")))</f>
        <v>3</v>
      </c>
      <c r="AE895" s="87">
        <f>AA895-Y895</f>
        <v>1814360</v>
      </c>
      <c r="AF895" s="88">
        <f>AV895</f>
        <v>0.90583977138865002</v>
      </c>
      <c r="AG895" s="72">
        <f>((AW895-AV895)+(AX895-AW895))/2</f>
        <v>-8.2580275953817561E-2</v>
      </c>
      <c r="AH895" s="4"/>
      <c r="AI895" s="72">
        <f>RSQ(AV895:AX895,AV894:AX894)</f>
        <v>0.98896250570358402</v>
      </c>
      <c r="AJ895" s="110">
        <f>SLOPE(AV895:AX895,AV894:AX894)</f>
        <v>-8.5806169089660223E-8</v>
      </c>
      <c r="AK895" s="72">
        <f>INTERCEPT(AV895:AX895,AV894:AX894)</f>
        <v>0.8963567214842092</v>
      </c>
      <c r="AL895" s="72">
        <f>INDEX(LINEST(LN(AV895:AX895),LN(AV894:AX894),TRUE,TRUE),3,1)</f>
        <v>0.93339112466341123</v>
      </c>
      <c r="AM895" s="72">
        <f>INDEX(LINEST(LN(AV895:AX895),LN(AV894:AX894)),1)</f>
        <v>-1.9652187665199831E-2</v>
      </c>
      <c r="AN895" s="72">
        <f>EXP(INDEX(LINEST(LN(AV895:AX895),LN(AV894:AX894)),1,2))</f>
        <v>0.99457795068734367</v>
      </c>
      <c r="AO895" s="89">
        <f>INDEX(LINEST((AV895:AX895),LN(AV894:AX894),TRUE,TRUE),3,1)</f>
        <v>0.93800539989567921</v>
      </c>
      <c r="AP895" s="89">
        <f>INDEX(LINEST((AV895:AX895),LN(AV894:AX894)),1)</f>
        <v>-1.6096081736059725E-2</v>
      </c>
      <c r="AQ895" s="90">
        <f>INDEX(LINEST(LN(AV895:AX895),SQRT(AV894:AX894),TRUE,TRUE),3,1)</f>
        <v>0.99467280098832223</v>
      </c>
      <c r="AR895" s="117">
        <f>INDEX(LINEST(LN(AV895:AX895),SQRT((AV894:AX894))),1)</f>
        <v>-1.443731511835275E-4</v>
      </c>
      <c r="AS895" s="91">
        <f>INDEX(LINEST(1/(AV895:AX895),1/(SQRT(AV894:AX894)),TRUE,TRUE),3,1)</f>
        <v>0.4607064331851814</v>
      </c>
      <c r="AT895" s="91">
        <f>INDEX(LINEST(1/(AV895:AX895),1/SQRT(AV894:AX894)),1)</f>
        <v>-1.0836822144234408</v>
      </c>
      <c r="AU895" s="3"/>
      <c r="AV895" s="73">
        <v>0.90583977138865002</v>
      </c>
      <c r="AW895" s="73">
        <v>0.88670657703555833</v>
      </c>
      <c r="AX895" s="73">
        <v>0.74067921948101489</v>
      </c>
      <c r="AY895" s="53"/>
      <c r="AZ895" s="53"/>
      <c r="BA895" s="53"/>
      <c r="BB895" s="53"/>
      <c r="BC895" s="53"/>
      <c r="BD895" s="53"/>
      <c r="BE895" s="53"/>
      <c r="BF895" s="53"/>
      <c r="BG895" s="53"/>
      <c r="BH895" s="53"/>
      <c r="BI895" s="53"/>
      <c r="BJ895" s="53"/>
      <c r="BK895" s="53"/>
      <c r="BL895" s="53"/>
      <c r="BM895" s="53"/>
      <c r="BN895" s="53"/>
      <c r="BO895" s="53"/>
      <c r="BP895" s="53"/>
      <c r="BQ895" s="53"/>
      <c r="BR895" s="53"/>
      <c r="BS895" s="53"/>
      <c r="BT895" s="53"/>
      <c r="BU895" s="53"/>
      <c r="BV895" s="53"/>
      <c r="BW895" s="53"/>
      <c r="BX895" s="53"/>
      <c r="BY895" s="53"/>
      <c r="BZ895" s="53"/>
      <c r="CA895" s="53"/>
      <c r="CB895" s="53"/>
      <c r="CC895" s="53"/>
      <c r="CD895" s="53"/>
      <c r="CE895" s="53"/>
      <c r="CF895" s="53"/>
      <c r="CG895" s="53"/>
      <c r="CH895" s="53"/>
      <c r="CI895" s="53"/>
      <c r="CJ895" s="53"/>
      <c r="CK895" s="53"/>
      <c r="CL895" s="53"/>
      <c r="CM895" s="53"/>
      <c r="CN895" s="53"/>
      <c r="CO895" s="53"/>
      <c r="CP895" s="53"/>
      <c r="CQ895" s="53"/>
      <c r="CR895" s="16"/>
      <c r="CS895" s="16"/>
      <c r="CT895" s="16"/>
      <c r="CU895" s="16"/>
    </row>
    <row r="896" spans="1:99" s="13" customFormat="1" ht="12" customHeight="1" x14ac:dyDescent="0.2">
      <c r="A896" s="68">
        <v>43979</v>
      </c>
      <c r="B896" s="70"/>
      <c r="C896" s="70"/>
      <c r="D896" s="69"/>
      <c r="E896" s="87"/>
      <c r="F896" s="69"/>
      <c r="G896" s="69"/>
      <c r="H896" s="69"/>
      <c r="I896" s="69"/>
      <c r="J896" s="69"/>
      <c r="K896" s="69"/>
      <c r="L896" s="69"/>
      <c r="M896" s="69"/>
      <c r="N896" s="86"/>
      <c r="O896" s="69"/>
      <c r="P896" s="69"/>
      <c r="Q896" s="69"/>
      <c r="R896" s="69"/>
      <c r="S896" s="69"/>
      <c r="T896" s="92"/>
      <c r="U896" s="69"/>
      <c r="V896" s="92"/>
      <c r="W896" s="69"/>
      <c r="X896" s="69"/>
      <c r="Y896" s="87"/>
      <c r="Z896" s="69"/>
      <c r="AA896" s="69"/>
      <c r="AB896" s="69"/>
      <c r="AC896" s="72"/>
      <c r="AD896" s="69"/>
      <c r="AE896" s="87"/>
      <c r="AF896" s="88"/>
      <c r="AG896" s="72"/>
      <c r="AH896" s="4"/>
      <c r="AI896" s="72"/>
      <c r="AJ896" s="110"/>
      <c r="AK896" s="72"/>
      <c r="AL896" s="72"/>
      <c r="AM896" s="72"/>
      <c r="AN896" s="72"/>
      <c r="AO896" s="89"/>
      <c r="AP896" s="89"/>
      <c r="AQ896" s="90"/>
      <c r="AR896" s="117"/>
      <c r="AS896" s="91"/>
      <c r="AT896" s="91"/>
      <c r="AU896" s="3"/>
      <c r="AV896" s="71">
        <v>40</v>
      </c>
      <c r="AW896" s="71">
        <f>60*30</f>
        <v>1800</v>
      </c>
      <c r="AX896" s="71">
        <f>60*60*24*7*3</f>
        <v>1814400</v>
      </c>
      <c r="AY896" s="53"/>
      <c r="AZ896" s="53"/>
      <c r="BA896" s="53"/>
      <c r="BB896" s="53"/>
      <c r="BC896" s="53"/>
      <c r="BD896" s="53"/>
      <c r="BE896" s="53"/>
      <c r="BF896" s="53"/>
      <c r="BG896" s="53"/>
      <c r="BH896" s="53"/>
      <c r="BI896" s="53"/>
      <c r="BJ896" s="53"/>
      <c r="BK896" s="53"/>
      <c r="BL896" s="53"/>
      <c r="BM896" s="53"/>
      <c r="BN896" s="53"/>
      <c r="BO896" s="53"/>
      <c r="BP896" s="53"/>
      <c r="BQ896" s="53"/>
      <c r="BR896" s="53"/>
      <c r="BS896" s="53"/>
      <c r="BT896" s="53"/>
      <c r="BU896" s="53"/>
      <c r="BV896" s="53"/>
      <c r="BW896" s="53"/>
      <c r="BX896" s="53"/>
      <c r="BY896" s="53"/>
      <c r="BZ896" s="53"/>
      <c r="CA896" s="53"/>
      <c r="CB896" s="53"/>
      <c r="CC896" s="53"/>
      <c r="CD896" s="53"/>
      <c r="CE896" s="53"/>
      <c r="CF896" s="53"/>
      <c r="CG896" s="53"/>
      <c r="CH896" s="53"/>
      <c r="CI896" s="53"/>
      <c r="CJ896" s="53"/>
      <c r="CK896" s="53"/>
      <c r="CL896" s="53"/>
      <c r="CM896" s="53"/>
      <c r="CN896" s="53"/>
      <c r="CO896" s="53"/>
      <c r="CP896" s="53"/>
      <c r="CQ896" s="53"/>
      <c r="CR896" s="16"/>
      <c r="CS896" s="16"/>
      <c r="CT896" s="16"/>
      <c r="CU896" s="16"/>
    </row>
    <row r="897" spans="1:99" s="13" customFormat="1" ht="12" customHeight="1" x14ac:dyDescent="0.2">
      <c r="A897" s="68">
        <v>43979</v>
      </c>
      <c r="B897" s="70" t="s">
        <v>986</v>
      </c>
      <c r="C897" s="70" t="s">
        <v>54</v>
      </c>
      <c r="D897" s="69">
        <v>2011</v>
      </c>
      <c r="E897" s="87">
        <v>1</v>
      </c>
      <c r="F897" s="69">
        <v>15</v>
      </c>
      <c r="G897" s="69">
        <v>15</v>
      </c>
      <c r="H897" s="69" t="s">
        <v>32</v>
      </c>
      <c r="I897" s="69" t="s">
        <v>330</v>
      </c>
      <c r="J897" s="69" t="s">
        <v>677</v>
      </c>
      <c r="K897" s="69">
        <f>IF(J897="syllables",1,IF(J897="trigrams",2,IF(J897="strings",3,IF(J897="visual array",4,IF(J897="characters",5,IF(J897="letters",6,IF(J897="free forms",7,IF(J897="odors",8,IF(J897="words",9,IF(J897="pictures",10,IF(J897="object pictures",11,IF(J897="faces",12,IF(J897="names",13,IF(J897="idioms",14,IF(J897="grades",15,IF(J897="syllable-digit pairs",16,IF(J897="trigram-word pairs",17,IF(J897="word-digit pairs",18,IF(J897="English-Swahili pairs",19,IF(J897="spatial position",20,IF(J897="word pairs",21,IF(J897="word triads",22,IF(J897="generated words",23,IF(J897="word definition pairs",24,IF(J897="math problems",25,IF(J897="famous faces",26,IF(J897="famous names",27,IF(J897="famous voices",28,IF(J897="television programs",29,IF(J897="race horses",30,IF(J897="new vocabulary",31,IF(J897="sentences",32,IF(J897="concepts",33,IF(J897="ad slides",34,IF(J897="scenes",35,IF(J897="famous scenes",36,IF(J897="poems",37,IF(J897="walk",38,IF(J897="faces and events",39,IF(J897="events and names",40,IF(J897="flashbulb",41,IF(J897="stories",42,IF(J897="course material",43,IF(J897="autobiographical",44,IF(J897="novels",45,IF(J897="public events",46,"99"))))))))))))))))))))))))))))))))))))))))))))))</f>
        <v>42</v>
      </c>
      <c r="L897" s="69">
        <f>IF(J897="syllables",1,IF(J897="trigrams",1,IF(J897="strings",1,IF(J897="visual array",1,IF(J897="characters",1,IF(J897="letters",1,IF(J897="free forms",1,IF(J897="odors",2,IF(J897="words",2,IF(J897="pictures",2,IF(J897="object pictures",2,IF(J897="faces",2,IF(J897="names",2,IF(J897="idioms","2",IF(J897="grades",2,IF(J897="syllable-digit pairs",3,IF(J897="trigram-word pairs",3,IF(J897="word-digit pairs",3,IF(J897="English-Swahili pairs",3,IF(J897="spatial position",3,IF(J897="word pairs",4,IF(J897="word triads",4,IF(J897="generated words",4,IF(J897="word definition pairs",4,IF(J897="math problems",4,IF(J897="famous faces",4,IF(J897="famous names",4,IF(J897="famous voices",4,IF(J897="television programs",4,IF(J897="race horses",4,IF(J897="new vocabulary",4,IF(J897="sentences",5,IF(J897="concepts",5,IF(J897="ad slides",5,IF(J897="scenes",5,IF(J897="famous scenes",5,IF(J897="poems",6,IF(J897="walk",6,IF(J897="faces and events",6,IF(J897="events and names",6,IF(J897="flashbulb",7,IF(J897="stories",7,IF(J897="course material",7,IF(J897="autobiographical",7,IF(J897="novels",7,IF(J897="public events",7,"99"))))))))))))))))))))))))))))))))))))))))))))))</f>
        <v>7</v>
      </c>
      <c r="M897" s="69">
        <v>0</v>
      </c>
      <c r="N897" s="86">
        <v>3</v>
      </c>
      <c r="O897" s="69">
        <v>0</v>
      </c>
      <c r="P897" s="69"/>
      <c r="Q897" s="69" t="s">
        <v>174</v>
      </c>
      <c r="R897" s="69">
        <f>IF(Q897="Free Recall",1,IF(Q897="Cued Recall",2,IF(Q897="Recognition",3,IF(Q897="Multiple Choice",4,IF(Q897="Savings",5,IF(Q897="Stem Completion",6,IF(Q897="Fragment Completion",7,IF(Q897="anagram solution",8,IF(Q897="Matching",9,IF(Q897="Problem Solving",10,"99"))))))))))</f>
        <v>1</v>
      </c>
      <c r="S897" s="69" t="s">
        <v>15</v>
      </c>
      <c r="T897" s="92" t="s">
        <v>581</v>
      </c>
      <c r="U897" s="69">
        <f>IF(T897="within",1,0)</f>
        <v>1</v>
      </c>
      <c r="V897" s="92">
        <f>152*3</f>
        <v>456</v>
      </c>
      <c r="W897" s="69">
        <f>F897*V897</f>
        <v>6840</v>
      </c>
      <c r="X897" s="69">
        <v>3</v>
      </c>
      <c r="Y897" s="87">
        <f>AV896</f>
        <v>40</v>
      </c>
      <c r="Z897" s="69" t="s">
        <v>165</v>
      </c>
      <c r="AA897" s="69">
        <f>60*60*24*7*3</f>
        <v>1814400</v>
      </c>
      <c r="AB897" s="69" t="str">
        <f>IF(AA897&lt;60,"1",IF(AA897&lt;=43200,"2",IF(AA897&lt;=777600,"3","4")))</f>
        <v>4</v>
      </c>
      <c r="AC897" s="72">
        <f>AVERAGE(AV896:DA896)</f>
        <v>605413.33333333337</v>
      </c>
      <c r="AD897" s="69" t="str">
        <f>IF(AC897&lt;60,"1",IF(AC897&lt;=43200,"2",IF(AC897&lt;=777600,"3","4")))</f>
        <v>3</v>
      </c>
      <c r="AE897" s="87">
        <f>AA897-Y897</f>
        <v>1814360</v>
      </c>
      <c r="AF897" s="88">
        <f>AV897</f>
        <v>0.37295249422489868</v>
      </c>
      <c r="AG897" s="72">
        <f>((AW897-AV897)+(AX897-AW897))/2</f>
        <v>-5.4415753794964467E-2</v>
      </c>
      <c r="AH897" s="4"/>
      <c r="AI897" s="72">
        <f>RSQ(AV897:AX897,AV896:AX896)</f>
        <v>0.93356016917510265</v>
      </c>
      <c r="AJ897" s="110">
        <f>SLOPE(AV897:AX897,AV896:AX896)</f>
        <v>-7.0879180602908351E-8</v>
      </c>
      <c r="AK897" s="72">
        <f>INTERCEPT(AV897:AX897,AV896:AX896)</f>
        <v>0.39274338574587975</v>
      </c>
      <c r="AL897" s="72">
        <f>INDEX(LINEST(LN(AV897:AX897),LN(AV896:AX896),TRUE,TRUE),3,1)</f>
        <v>0.70458151483580556</v>
      </c>
      <c r="AM897" s="72">
        <f>INDEX(LINEST(LN(AV897:AX897),LN(AV896:AX896)),1)</f>
        <v>-3.6092156247544707E-2</v>
      </c>
      <c r="AN897" s="72">
        <f>EXP(INDEX(LINEST(LN(AV897:AX897),LN(AV896:AX896)),1,2))</f>
        <v>0.46773591504021078</v>
      </c>
      <c r="AO897" s="89">
        <f>INDEX(LINEST((AV897:AX897),LN(AV896:AX896),TRUE,TRUE),3,1)</f>
        <v>0.6646752019190626</v>
      </c>
      <c r="AP897" s="89">
        <f>INDEX(LINEST((AV897:AX897),LN(AV896:AX896)),1)</f>
        <v>-1.1519700001551744E-2</v>
      </c>
      <c r="AQ897" s="90">
        <f>INDEX(LINEST(LN(AV897:AX897),SQRT(AV896:AX896),TRUE,TRUE),3,1)</f>
        <v>0.94324983628356762</v>
      </c>
      <c r="AR897" s="117">
        <f>INDEX(LINEST(LN(AV897:AX897),SQRT((AV896:AX896))),1)</f>
        <v>-2.9718564027728984E-4</v>
      </c>
      <c r="AS897" s="91">
        <f>INDEX(LINEST(1/(AV897:AX897),1/(SQRT(AV896:AX896)),TRUE,TRUE),3,1)</f>
        <v>0.21317756146448372</v>
      </c>
      <c r="AT897" s="91">
        <f>INDEX(LINEST(1/(AV897:AX897),1/SQRT(AV896:AX896)),1)</f>
        <v>-3.927808544054495</v>
      </c>
      <c r="AU897" s="3"/>
      <c r="AV897" s="73">
        <v>0.37295249422489868</v>
      </c>
      <c r="AW897" s="73">
        <v>0.41242307339954476</v>
      </c>
      <c r="AX897" s="73">
        <v>0.26412098663496975</v>
      </c>
      <c r="AY897" s="53"/>
      <c r="AZ897" s="53"/>
      <c r="BA897" s="53"/>
      <c r="BB897" s="53"/>
      <c r="BC897" s="53"/>
      <c r="BD897" s="53"/>
      <c r="BE897" s="53"/>
      <c r="BF897" s="53"/>
      <c r="BG897" s="53"/>
      <c r="BH897" s="53"/>
      <c r="BI897" s="53"/>
      <c r="BJ897" s="53"/>
      <c r="BK897" s="53"/>
      <c r="BL897" s="53"/>
      <c r="BM897" s="53"/>
      <c r="BN897" s="53"/>
      <c r="BO897" s="53"/>
      <c r="BP897" s="53"/>
      <c r="BQ897" s="53"/>
      <c r="BR897" s="53"/>
      <c r="BS897" s="53"/>
      <c r="BT897" s="53"/>
      <c r="BU897" s="53"/>
      <c r="BV897" s="53"/>
      <c r="BW897" s="53"/>
      <c r="BX897" s="53"/>
      <c r="BY897" s="53"/>
      <c r="BZ897" s="53"/>
      <c r="CA897" s="53"/>
      <c r="CB897" s="53"/>
      <c r="CC897" s="53"/>
      <c r="CD897" s="53"/>
      <c r="CE897" s="53"/>
      <c r="CF897" s="53"/>
      <c r="CG897" s="53"/>
      <c r="CH897" s="53"/>
      <c r="CI897" s="53"/>
      <c r="CJ897" s="53"/>
      <c r="CK897" s="53"/>
      <c r="CL897" s="53"/>
      <c r="CM897" s="53"/>
      <c r="CN897" s="53"/>
      <c r="CO897" s="53"/>
      <c r="CP897" s="53"/>
      <c r="CQ897" s="53"/>
      <c r="CR897" s="16"/>
      <c r="CS897" s="16"/>
      <c r="CT897" s="16"/>
      <c r="CU897" s="16"/>
    </row>
    <row r="898" spans="1:99" s="13" customFormat="1" ht="12" customHeight="1" x14ac:dyDescent="0.2">
      <c r="A898" s="68">
        <v>43979</v>
      </c>
      <c r="B898" s="70"/>
      <c r="C898" s="70"/>
      <c r="D898" s="69"/>
      <c r="E898" s="87"/>
      <c r="F898" s="69"/>
      <c r="G898" s="69"/>
      <c r="H898" s="69"/>
      <c r="I898" s="69"/>
      <c r="J898" s="69"/>
      <c r="K898" s="69"/>
      <c r="L898" s="69"/>
      <c r="M898" s="69"/>
      <c r="N898" s="86"/>
      <c r="O898" s="69"/>
      <c r="P898" s="69"/>
      <c r="Q898" s="69"/>
      <c r="R898" s="69"/>
      <c r="S898" s="69"/>
      <c r="T898" s="92"/>
      <c r="U898" s="69"/>
      <c r="V898" s="92"/>
      <c r="W898" s="69"/>
      <c r="X898" s="69"/>
      <c r="Y898" s="87"/>
      <c r="Z898" s="69"/>
      <c r="AA898" s="69"/>
      <c r="AB898" s="69"/>
      <c r="AC898" s="72"/>
      <c r="AD898" s="69"/>
      <c r="AE898" s="87"/>
      <c r="AF898" s="88"/>
      <c r="AG898" s="72"/>
      <c r="AH898" s="4"/>
      <c r="AI898" s="72"/>
      <c r="AJ898" s="110"/>
      <c r="AK898" s="72"/>
      <c r="AL898" s="72"/>
      <c r="AM898" s="72"/>
      <c r="AN898" s="72"/>
      <c r="AO898" s="89"/>
      <c r="AP898" s="89"/>
      <c r="AQ898" s="90"/>
      <c r="AR898" s="117"/>
      <c r="AS898" s="91"/>
      <c r="AT898" s="91"/>
      <c r="AU898" s="3"/>
      <c r="AV898" s="71">
        <v>40</v>
      </c>
      <c r="AW898" s="71">
        <f>60*30</f>
        <v>1800</v>
      </c>
      <c r="AX898" s="71">
        <f>60*60*24*7*3</f>
        <v>1814400</v>
      </c>
      <c r="AY898" s="53"/>
      <c r="AZ898" s="53"/>
      <c r="BA898" s="53"/>
      <c r="BB898" s="53"/>
      <c r="BC898" s="53"/>
      <c r="BD898" s="53"/>
      <c r="BE898" s="53"/>
      <c r="BF898" s="53"/>
      <c r="BG898" s="53"/>
      <c r="BH898" s="53"/>
      <c r="BI898" s="53"/>
      <c r="BJ898" s="53"/>
      <c r="BK898" s="53"/>
      <c r="BL898" s="53"/>
      <c r="BM898" s="53"/>
      <c r="BN898" s="53"/>
      <c r="BO898" s="53"/>
      <c r="BP898" s="53"/>
      <c r="BQ898" s="53"/>
      <c r="BR898" s="53"/>
      <c r="BS898" s="53"/>
      <c r="BT898" s="53"/>
      <c r="BU898" s="53"/>
      <c r="BV898" s="53"/>
      <c r="BW898" s="53"/>
      <c r="BX898" s="53"/>
      <c r="BY898" s="53"/>
      <c r="BZ898" s="53"/>
      <c r="CA898" s="53"/>
      <c r="CB898" s="53"/>
      <c r="CC898" s="53"/>
      <c r="CD898" s="53"/>
      <c r="CE898" s="53"/>
      <c r="CF898" s="53"/>
      <c r="CG898" s="53"/>
      <c r="CH898" s="53"/>
      <c r="CI898" s="53"/>
      <c r="CJ898" s="53"/>
      <c r="CK898" s="53"/>
      <c r="CL898" s="53"/>
      <c r="CM898" s="53"/>
      <c r="CN898" s="53"/>
      <c r="CO898" s="53"/>
      <c r="CP898" s="53"/>
      <c r="CQ898" s="53"/>
      <c r="CR898" s="16"/>
      <c r="CS898" s="16"/>
      <c r="CT898" s="16"/>
      <c r="CU898" s="16"/>
    </row>
    <row r="899" spans="1:99" s="13" customFormat="1" ht="12" customHeight="1" x14ac:dyDescent="0.2">
      <c r="A899" s="68">
        <v>43979</v>
      </c>
      <c r="B899" s="70" t="s">
        <v>986</v>
      </c>
      <c r="C899" s="70" t="s">
        <v>54</v>
      </c>
      <c r="D899" s="69">
        <v>2011</v>
      </c>
      <c r="E899" s="87">
        <v>1</v>
      </c>
      <c r="F899" s="69">
        <v>10</v>
      </c>
      <c r="G899" s="69">
        <v>10</v>
      </c>
      <c r="H899" s="69" t="s">
        <v>32</v>
      </c>
      <c r="I899" s="69" t="s">
        <v>330</v>
      </c>
      <c r="J899" s="69" t="s">
        <v>677</v>
      </c>
      <c r="K899" s="69">
        <f>IF(J899="syllables",1,IF(J899="trigrams",2,IF(J899="strings",3,IF(J899="visual array",4,IF(J899="characters",5,IF(J899="letters",6,IF(J899="free forms",7,IF(J899="odors",8,IF(J899="words",9,IF(J899="pictures",10,IF(J899="object pictures",11,IF(J899="faces",12,IF(J899="names",13,IF(J899="idioms",14,IF(J899="grades",15,IF(J899="syllable-digit pairs",16,IF(J899="trigram-word pairs",17,IF(J899="word-digit pairs",18,IF(J899="English-Swahili pairs",19,IF(J899="spatial position",20,IF(J899="word pairs",21,IF(J899="word triads",22,IF(J899="generated words",23,IF(J899="word definition pairs",24,IF(J899="math problems",25,IF(J899="famous faces",26,IF(J899="famous names",27,IF(J899="famous voices",28,IF(J899="television programs",29,IF(J899="race horses",30,IF(J899="new vocabulary",31,IF(J899="sentences",32,IF(J899="concepts",33,IF(J899="ad slides",34,IF(J899="scenes",35,IF(J899="famous scenes",36,IF(J899="poems",37,IF(J899="walk",38,IF(J899="faces and events",39,IF(J899="events and names",40,IF(J899="flashbulb",41,IF(J899="stories",42,IF(J899="course material",43,IF(J899="autobiographical",44,IF(J899="novels",45,IF(J899="public events",46,"99"))))))))))))))))))))))))))))))))))))))))))))))</f>
        <v>42</v>
      </c>
      <c r="L899" s="69">
        <f>IF(J899="syllables",1,IF(J899="trigrams",1,IF(J899="strings",1,IF(J899="visual array",1,IF(J899="characters",1,IF(J899="letters",1,IF(J899="free forms",1,IF(J899="odors",2,IF(J899="words",2,IF(J899="pictures",2,IF(J899="object pictures",2,IF(J899="faces",2,IF(J899="names",2,IF(J899="idioms","2",IF(J899="grades",2,IF(J899="syllable-digit pairs",3,IF(J899="trigram-word pairs",3,IF(J899="word-digit pairs",3,IF(J899="English-Swahili pairs",3,IF(J899="spatial position",3,IF(J899="word pairs",4,IF(J899="word triads",4,IF(J899="generated words",4,IF(J899="word definition pairs",4,IF(J899="math problems",4,IF(J899="famous faces",4,IF(J899="famous names",4,IF(J899="famous voices",4,IF(J899="television programs",4,IF(J899="race horses",4,IF(J899="new vocabulary",4,IF(J899="sentences",5,IF(J899="concepts",5,IF(J899="ad slides",5,IF(J899="scenes",5,IF(J899="famous scenes",5,IF(J899="poems",6,IF(J899="walk",6,IF(J899="faces and events",6,IF(J899="events and names",6,IF(J899="flashbulb",7,IF(J899="stories",7,IF(J899="course material",7,IF(J899="autobiographical",7,IF(J899="novels",7,IF(J899="public events",7,"99"))))))))))))))))))))))))))))))))))))))))))))))</f>
        <v>7</v>
      </c>
      <c r="M899" s="69">
        <v>0</v>
      </c>
      <c r="N899" s="86">
        <v>3</v>
      </c>
      <c r="O899" s="69">
        <v>0</v>
      </c>
      <c r="P899" s="69"/>
      <c r="Q899" s="69" t="s">
        <v>174</v>
      </c>
      <c r="R899" s="69">
        <f>IF(Q899="Free Recall",1,IF(Q899="Cued Recall",2,IF(Q899="Recognition",3,IF(Q899="Multiple Choice",4,IF(Q899="Savings",5,IF(Q899="Stem Completion",6,IF(Q899="Fragment Completion",7,IF(Q899="anagram solution",8,IF(Q899="Matching",9,IF(Q899="Problem Solving",10,"99"))))))))))</f>
        <v>1</v>
      </c>
      <c r="S899" s="69" t="s">
        <v>15</v>
      </c>
      <c r="T899" s="92" t="s">
        <v>581</v>
      </c>
      <c r="U899" s="69">
        <f>IF(T899="within",1,0)</f>
        <v>1</v>
      </c>
      <c r="V899" s="92">
        <f>152*3</f>
        <v>456</v>
      </c>
      <c r="W899" s="69">
        <f>F899*V899</f>
        <v>4560</v>
      </c>
      <c r="X899" s="69">
        <v>3</v>
      </c>
      <c r="Y899" s="87">
        <f>AV898</f>
        <v>40</v>
      </c>
      <c r="Z899" s="69" t="s">
        <v>165</v>
      </c>
      <c r="AA899" s="69">
        <f>60*60*24*7*3</f>
        <v>1814400</v>
      </c>
      <c r="AB899" s="69" t="str">
        <f>IF(AA899&lt;60,"1",IF(AA899&lt;=43200,"2",IF(AA899&lt;=777600,"3","4")))</f>
        <v>4</v>
      </c>
      <c r="AC899" s="72">
        <f>AVERAGE(AV898:DA898)</f>
        <v>605413.33333333337</v>
      </c>
      <c r="AD899" s="69" t="str">
        <f>IF(AC899&lt;60,"1",IF(AC899&lt;=43200,"2",IF(AC899&lt;=777600,"3","4")))</f>
        <v>3</v>
      </c>
      <c r="AE899" s="87">
        <f>AA899-Y899</f>
        <v>1814360</v>
      </c>
      <c r="AF899" s="88">
        <f>AV899</f>
        <v>0.35694961699780459</v>
      </c>
      <c r="AG899" s="72">
        <f>((AW899-AV899)+(AX899-AW899))/2</f>
        <v>-6.7484770197090468E-2</v>
      </c>
      <c r="AH899" s="4"/>
      <c r="AI899" s="72">
        <f>RSQ(AV899:AX899,AV898:AX898)</f>
        <v>0.95204388217253566</v>
      </c>
      <c r="AJ899" s="110">
        <f>SLOPE(AV899:AX899,AV898:AX898)</f>
        <v>-8.5439220139339903E-8</v>
      </c>
      <c r="AK899" s="72">
        <f>INTERCEPT(AV899:AX899,AV898:AX898)</f>
        <v>0.37702048273355249</v>
      </c>
      <c r="AL899" s="72">
        <f>INDEX(LINEST(LN(AV899:AX899),LN(AV898:AX898),TRUE,TRUE),3,1)</f>
        <v>0.74427145528357219</v>
      </c>
      <c r="AM899" s="72">
        <f>INDEX(LINEST(LN(AV899:AX899),LN(AV898:AX898)),1)</f>
        <v>-4.9120702232254843E-2</v>
      </c>
      <c r="AN899" s="72">
        <f>EXP(INDEX(LINEST(LN(AV899:AX899),LN(AV898:AX898)),1,2))</f>
        <v>0.47998744570704321</v>
      </c>
      <c r="AO899" s="89">
        <f>INDEX(LINEST((AV899:AX899),LN(AV898:AX898),TRUE,TRUE),3,1)</f>
        <v>0.70180731899927462</v>
      </c>
      <c r="AP899" s="89">
        <f>INDEX(LINEST((AV899:AX899),LN(AV898:AX898)),1)</f>
        <v>-1.4129494957171026E-2</v>
      </c>
      <c r="AQ899" s="90">
        <f>INDEX(LINEST(LN(AV899:AX899),SQRT(AV898:AX898),TRUE,TRUE),3,1)</f>
        <v>0.96203731432868478</v>
      </c>
      <c r="AR899" s="117">
        <f>INDEX(LINEST(LN(AV899:AX899),SQRT((AV898:AX898))),1)</f>
        <v>-3.9743132015725185E-4</v>
      </c>
      <c r="AS899" s="91">
        <f>INDEX(LINEST(1/(AV899:AX899),1/(SQRT(AV898:AX898)),TRUE,TRUE),3,1)</f>
        <v>0.25246445244070842</v>
      </c>
      <c r="AT899" s="91">
        <f>INDEX(LINEST(1/(AV899:AX899),1/SQRT(AV898:AX898)),1)</f>
        <v>-6.3474668140103363</v>
      </c>
      <c r="AU899" s="3"/>
      <c r="AV899" s="73">
        <v>0.35694961699780459</v>
      </c>
      <c r="AW899" s="73">
        <v>0.3969536254133546</v>
      </c>
      <c r="AX899" s="73">
        <v>0.22198007660362365</v>
      </c>
      <c r="AY899" s="53"/>
      <c r="AZ899" s="53"/>
      <c r="BA899" s="53"/>
      <c r="BB899" s="53"/>
      <c r="BC899" s="53"/>
      <c r="BD899" s="53"/>
      <c r="BE899" s="53"/>
      <c r="BF899" s="53"/>
      <c r="BG899" s="53"/>
      <c r="BH899" s="53"/>
      <c r="BI899" s="53"/>
      <c r="BJ899" s="53"/>
      <c r="BK899" s="53"/>
      <c r="BL899" s="53"/>
      <c r="BM899" s="53"/>
      <c r="BN899" s="53"/>
      <c r="BO899" s="53"/>
      <c r="BP899" s="53"/>
      <c r="BQ899" s="53"/>
      <c r="BR899" s="53"/>
      <c r="BS899" s="53"/>
      <c r="BT899" s="53"/>
      <c r="BU899" s="53"/>
      <c r="BV899" s="53"/>
      <c r="BW899" s="53"/>
      <c r="BX899" s="53"/>
      <c r="BY899" s="53"/>
      <c r="BZ899" s="53"/>
      <c r="CA899" s="53"/>
      <c r="CB899" s="53"/>
      <c r="CC899" s="53"/>
      <c r="CD899" s="53"/>
      <c r="CE899" s="53"/>
      <c r="CF899" s="53"/>
      <c r="CG899" s="53"/>
      <c r="CH899" s="53"/>
      <c r="CI899" s="53"/>
      <c r="CJ899" s="53"/>
      <c r="CK899" s="53"/>
      <c r="CL899" s="53"/>
      <c r="CM899" s="53"/>
      <c r="CN899" s="53"/>
      <c r="CO899" s="53"/>
      <c r="CP899" s="53"/>
      <c r="CQ899" s="53"/>
      <c r="CR899" s="16"/>
      <c r="CS899" s="16"/>
      <c r="CT899" s="16"/>
      <c r="CU899" s="16"/>
    </row>
    <row r="900" spans="1:99" s="13" customFormat="1" ht="12" customHeight="1" x14ac:dyDescent="0.2">
      <c r="A900" s="68">
        <v>43979</v>
      </c>
      <c r="B900" s="70"/>
      <c r="C900" s="70"/>
      <c r="D900" s="69"/>
      <c r="E900" s="87"/>
      <c r="F900" s="69"/>
      <c r="G900" s="69"/>
      <c r="H900" s="69"/>
      <c r="I900" s="69"/>
      <c r="J900" s="69"/>
      <c r="K900" s="69"/>
      <c r="L900" s="69"/>
      <c r="M900" s="69"/>
      <c r="N900" s="86"/>
      <c r="O900" s="69"/>
      <c r="P900" s="69"/>
      <c r="Q900" s="69"/>
      <c r="R900" s="69"/>
      <c r="S900" s="69"/>
      <c r="T900" s="92"/>
      <c r="U900" s="69"/>
      <c r="V900" s="92"/>
      <c r="W900" s="69"/>
      <c r="X900" s="69"/>
      <c r="Y900" s="87"/>
      <c r="Z900" s="69"/>
      <c r="AA900" s="69"/>
      <c r="AB900" s="69"/>
      <c r="AC900" s="72"/>
      <c r="AD900" s="69"/>
      <c r="AE900" s="87"/>
      <c r="AF900" s="88"/>
      <c r="AG900" s="72"/>
      <c r="AH900" s="4"/>
      <c r="AI900" s="72"/>
      <c r="AJ900" s="110"/>
      <c r="AK900" s="72"/>
      <c r="AL900" s="72"/>
      <c r="AM900" s="72"/>
      <c r="AN900" s="72"/>
      <c r="AO900" s="89"/>
      <c r="AP900" s="89"/>
      <c r="AQ900" s="90"/>
      <c r="AR900" s="117"/>
      <c r="AS900" s="91"/>
      <c r="AT900" s="91"/>
      <c r="AU900" s="3"/>
      <c r="AV900" s="71">
        <v>40</v>
      </c>
      <c r="AW900" s="71">
        <f>60*30</f>
        <v>1800</v>
      </c>
      <c r="AX900" s="71">
        <f>60*60*24*7*3</f>
        <v>1814400</v>
      </c>
      <c r="AY900" s="53"/>
      <c r="AZ900" s="53"/>
      <c r="BA900" s="53"/>
      <c r="BB900" s="53"/>
      <c r="BC900" s="53"/>
      <c r="BD900" s="53"/>
      <c r="BE900" s="53"/>
      <c r="BF900" s="53"/>
      <c r="BG900" s="53"/>
      <c r="BH900" s="53"/>
      <c r="BI900" s="53"/>
      <c r="BJ900" s="53"/>
      <c r="BK900" s="53"/>
      <c r="BL900" s="53"/>
      <c r="BM900" s="53"/>
      <c r="BN900" s="53"/>
      <c r="BO900" s="53"/>
      <c r="BP900" s="53"/>
      <c r="BQ900" s="53"/>
      <c r="BR900" s="53"/>
      <c r="BS900" s="53"/>
      <c r="BT900" s="53"/>
      <c r="BU900" s="53"/>
      <c r="BV900" s="53"/>
      <c r="BW900" s="53"/>
      <c r="BX900" s="53"/>
      <c r="BY900" s="53"/>
      <c r="BZ900" s="53"/>
      <c r="CA900" s="53"/>
      <c r="CB900" s="53"/>
      <c r="CC900" s="53"/>
      <c r="CD900" s="53"/>
      <c r="CE900" s="53"/>
      <c r="CF900" s="53"/>
      <c r="CG900" s="53"/>
      <c r="CH900" s="53"/>
      <c r="CI900" s="53"/>
      <c r="CJ900" s="53"/>
      <c r="CK900" s="53"/>
      <c r="CL900" s="53"/>
      <c r="CM900" s="53"/>
      <c r="CN900" s="53"/>
      <c r="CO900" s="53"/>
      <c r="CP900" s="53"/>
      <c r="CQ900" s="53"/>
      <c r="CR900" s="16"/>
      <c r="CS900" s="16"/>
      <c r="CT900" s="16"/>
      <c r="CU900" s="16"/>
    </row>
    <row r="901" spans="1:99" s="13" customFormat="1" ht="12" customHeight="1" x14ac:dyDescent="0.2">
      <c r="A901" s="68">
        <v>43979</v>
      </c>
      <c r="B901" s="70" t="s">
        <v>986</v>
      </c>
      <c r="C901" s="70" t="s">
        <v>54</v>
      </c>
      <c r="D901" s="69">
        <v>2011</v>
      </c>
      <c r="E901" s="87">
        <v>1</v>
      </c>
      <c r="F901" s="69">
        <v>15</v>
      </c>
      <c r="G901" s="69">
        <v>15</v>
      </c>
      <c r="H901" s="69" t="s">
        <v>32</v>
      </c>
      <c r="I901" s="69" t="s">
        <v>330</v>
      </c>
      <c r="J901" s="69" t="s">
        <v>677</v>
      </c>
      <c r="K901" s="69">
        <f>IF(J901="syllables",1,IF(J901="trigrams",2,IF(J901="strings",3,IF(J901="visual array",4,IF(J901="characters",5,IF(J901="letters",6,IF(J901="free forms",7,IF(J901="odors",8,IF(J901="words",9,IF(J901="pictures",10,IF(J901="object pictures",11,IF(J901="faces",12,IF(J901="names",13,IF(J901="idioms",14,IF(J901="grades",15,IF(J901="syllable-digit pairs",16,IF(J901="trigram-word pairs",17,IF(J901="word-digit pairs",18,IF(J901="English-Swahili pairs",19,IF(J901="spatial position",20,IF(J901="word pairs",21,IF(J901="word triads",22,IF(J901="generated words",23,IF(J901="word definition pairs",24,IF(J901="math problems",25,IF(J901="famous faces",26,IF(J901="famous names",27,IF(J901="famous voices",28,IF(J901="television programs",29,IF(J901="race horses",30,IF(J901="new vocabulary",31,IF(J901="sentences",32,IF(J901="concepts",33,IF(J901="ad slides",34,IF(J901="scenes",35,IF(J901="famous scenes",36,IF(J901="poems",37,IF(J901="walk",38,IF(J901="faces and events",39,IF(J901="events and names",40,IF(J901="flashbulb",41,IF(J901="stories",42,IF(J901="course material",43,IF(J901="autobiographical",44,IF(J901="novels",45,IF(J901="public events",46,"99"))))))))))))))))))))))))))))))))))))))))))))))</f>
        <v>42</v>
      </c>
      <c r="L901" s="69">
        <f>IF(J901="syllables",1,IF(J901="trigrams",1,IF(J901="strings",1,IF(J901="visual array",1,IF(J901="characters",1,IF(J901="letters",1,IF(J901="free forms",1,IF(J901="odors",2,IF(J901="words",2,IF(J901="pictures",2,IF(J901="object pictures",2,IF(J901="faces",2,IF(J901="names",2,IF(J901="idioms","2",IF(J901="grades",2,IF(J901="syllable-digit pairs",3,IF(J901="trigram-word pairs",3,IF(J901="word-digit pairs",3,IF(J901="English-Swahili pairs",3,IF(J901="spatial position",3,IF(J901="word pairs",4,IF(J901="word triads",4,IF(J901="generated words",4,IF(J901="word definition pairs",4,IF(J901="math problems",4,IF(J901="famous faces",4,IF(J901="famous names",4,IF(J901="famous voices",4,IF(J901="television programs",4,IF(J901="race horses",4,IF(J901="new vocabulary",4,IF(J901="sentences",5,IF(J901="concepts",5,IF(J901="ad slides",5,IF(J901="scenes",5,IF(J901="famous scenes",5,IF(J901="poems",6,IF(J901="walk",6,IF(J901="faces and events",6,IF(J901="events and names",6,IF(J901="flashbulb",7,IF(J901="stories",7,IF(J901="course material",7,IF(J901="autobiographical",7,IF(J901="novels",7,IF(J901="public events",7,"99"))))))))))))))))))))))))))))))))))))))))))))))</f>
        <v>7</v>
      </c>
      <c r="M901" s="69">
        <v>0</v>
      </c>
      <c r="N901" s="86">
        <v>3</v>
      </c>
      <c r="O901" s="69">
        <v>0</v>
      </c>
      <c r="P901" s="69"/>
      <c r="Q901" s="69" t="s">
        <v>182</v>
      </c>
      <c r="R901" s="69">
        <f>IF(Q901="Free Recall",1,IF(Q901="Cued Recall",2,IF(Q901="Recognition",3,IF(Q901="Multiple Choice",4,IF(Q901="Savings",5,IF(Q901="Stem Completion",6,IF(Q901="Fragment Completion",7,IF(Q901="anagram solution",8,IF(Q901="Matching",9,IF(Q901="Problem Solving",10,"99"))))))))))</f>
        <v>4</v>
      </c>
      <c r="S901" s="69" t="s">
        <v>15</v>
      </c>
      <c r="T901" s="92" t="s">
        <v>581</v>
      </c>
      <c r="U901" s="69">
        <f>IF(T901="within",1,0)</f>
        <v>1</v>
      </c>
      <c r="V901" s="92">
        <f>12*3</f>
        <v>36</v>
      </c>
      <c r="W901" s="69">
        <f>F901*V901</f>
        <v>540</v>
      </c>
      <c r="X901" s="69">
        <v>3</v>
      </c>
      <c r="Y901" s="87">
        <f>AV900</f>
        <v>40</v>
      </c>
      <c r="Z901" s="69" t="s">
        <v>165</v>
      </c>
      <c r="AA901" s="69">
        <f>60*60*24*7*3</f>
        <v>1814400</v>
      </c>
      <c r="AB901" s="69" t="str">
        <f>IF(AA901&lt;60,"1",IF(AA901&lt;=43200,"2",IF(AA901&lt;=777600,"3","4")))</f>
        <v>4</v>
      </c>
      <c r="AC901" s="72">
        <f>AVERAGE(AV900:DA900)</f>
        <v>605413.33333333337</v>
      </c>
      <c r="AD901" s="69" t="str">
        <f>IF(AC901&lt;60,"1",IF(AC901&lt;=43200,"2",IF(AC901&lt;=777600,"3","4")))</f>
        <v>3</v>
      </c>
      <c r="AE901" s="87">
        <f>AA901-Y901</f>
        <v>1814360</v>
      </c>
      <c r="AF901" s="88">
        <f>AV901</f>
        <v>0.86202365308804163</v>
      </c>
      <c r="AG901" s="72">
        <f>((AW901-AV901)+(AX901-AW901))/2</f>
        <v>-5.1741130091984167E-2</v>
      </c>
      <c r="AH901" s="4"/>
      <c r="AI901" s="72">
        <f>RSQ(AV901:AX901,AV900:AX900)</f>
        <v>0.99654483686097228</v>
      </c>
      <c r="AJ901" s="110">
        <f>SLOPE(AV901:AX901,AV900:AX900)</f>
        <v>-5.5163443969516944E-8</v>
      </c>
      <c r="AK901" s="72">
        <f>INTERCEPT(AV901:AX901,AV900:AX900)</f>
        <v>0.85862664506991737</v>
      </c>
      <c r="AL901" s="72">
        <f>INDEX(LINEST(LN(AV901:AX901),LN(AV900:AX900),TRUE,TRUE),3,1)</f>
        <v>0.91175726323079698</v>
      </c>
      <c r="AM901" s="72">
        <f>INDEX(LINEST(LN(AV901:AX901),LN(AV900:AX900)),1)</f>
        <v>-1.2582240343330695E-2</v>
      </c>
      <c r="AN901" s="72">
        <f>EXP(INDEX(LINEST(LN(AV901:AX901),LN(AV900:AX900)),1,2))</f>
        <v>0.91720060364447287</v>
      </c>
      <c r="AO901" s="89">
        <f>INDEX(LINEST((AV901:AX901),LN(AV900:AX900),TRUE,TRUE),3,1)</f>
        <v>0.91375252458866574</v>
      </c>
      <c r="AP901" s="89">
        <f>INDEX(LINEST((AV901:AX901),LN(AV900:AX900)),1)</f>
        <v>-1.0174337631425416E-2</v>
      </c>
      <c r="AQ901" s="90">
        <f>INDEX(LINEST(LN(AV901:AX901),SQRT(AV900:AX900),TRUE,TRUE),3,1)</f>
        <v>0.99894507338396865</v>
      </c>
      <c r="AR901" s="117">
        <f>INDEX(LINEST(LN(AV901:AX901),SQRT((AV900:AX900))),1)</f>
        <v>-9.3725207570924372E-5</v>
      </c>
      <c r="AS901" s="91">
        <f>INDEX(LINEST(1/(AV901:AX901),1/(SQRT(AV900:AX900)),TRUE,TRUE),3,1)</f>
        <v>0.4258284617683602</v>
      </c>
      <c r="AT901" s="91">
        <f>INDEX(LINEST(1/(AV901:AX901),1/SQRT(AV900:AX900)),1)</f>
        <v>-0.68136427073619654</v>
      </c>
      <c r="AU901" s="3" t="s">
        <v>993</v>
      </c>
      <c r="AV901" s="73">
        <v>0.86202365308804163</v>
      </c>
      <c r="AW901" s="73">
        <v>0.85512483574244158</v>
      </c>
      <c r="AX901" s="73">
        <v>0.7585413929040733</v>
      </c>
      <c r="AY901" s="53"/>
      <c r="AZ901" s="53"/>
      <c r="BA901" s="53"/>
      <c r="BB901" s="53"/>
      <c r="BC901" s="53"/>
      <c r="BD901" s="53"/>
      <c r="BE901" s="53"/>
      <c r="BF901" s="53"/>
      <c r="BG901" s="53"/>
      <c r="BH901" s="53"/>
      <c r="BI901" s="53"/>
      <c r="BJ901" s="53"/>
      <c r="BK901" s="53"/>
      <c r="BL901" s="53"/>
      <c r="BM901" s="53"/>
      <c r="BN901" s="53"/>
      <c r="BO901" s="53"/>
      <c r="BP901" s="53"/>
      <c r="BQ901" s="53"/>
      <c r="BR901" s="53"/>
      <c r="BS901" s="53"/>
      <c r="BT901" s="53"/>
      <c r="BU901" s="53"/>
      <c r="BV901" s="53"/>
      <c r="BW901" s="53"/>
      <c r="BX901" s="53"/>
      <c r="BY901" s="53"/>
      <c r="BZ901" s="53"/>
      <c r="CA901" s="53"/>
      <c r="CB901" s="53"/>
      <c r="CC901" s="53"/>
      <c r="CD901" s="53"/>
      <c r="CE901" s="53"/>
      <c r="CF901" s="53"/>
      <c r="CG901" s="53"/>
      <c r="CH901" s="53"/>
      <c r="CI901" s="53"/>
      <c r="CJ901" s="53"/>
      <c r="CK901" s="53"/>
      <c r="CL901" s="53"/>
      <c r="CM901" s="53"/>
      <c r="CN901" s="53"/>
      <c r="CO901" s="53"/>
      <c r="CP901" s="53"/>
      <c r="CQ901" s="53"/>
      <c r="CR901" s="16"/>
      <c r="CS901" s="16"/>
      <c r="CT901" s="16"/>
      <c r="CU901" s="16"/>
    </row>
    <row r="902" spans="1:99" s="13" customFormat="1" ht="12" customHeight="1" x14ac:dyDescent="0.2">
      <c r="A902" s="68">
        <v>43979</v>
      </c>
      <c r="B902" s="70"/>
      <c r="C902" s="70"/>
      <c r="D902" s="69"/>
      <c r="E902" s="87"/>
      <c r="F902" s="69"/>
      <c r="G902" s="69"/>
      <c r="H902" s="69"/>
      <c r="I902" s="69"/>
      <c r="J902" s="69"/>
      <c r="K902" s="69"/>
      <c r="L902" s="69"/>
      <c r="M902" s="69"/>
      <c r="N902" s="86"/>
      <c r="O902" s="69"/>
      <c r="P902" s="69"/>
      <c r="Q902" s="69"/>
      <c r="R902" s="69"/>
      <c r="S902" s="69"/>
      <c r="T902" s="92"/>
      <c r="U902" s="69"/>
      <c r="V902" s="92"/>
      <c r="W902" s="69"/>
      <c r="X902" s="69"/>
      <c r="Y902" s="87"/>
      <c r="Z902" s="69"/>
      <c r="AA902" s="69"/>
      <c r="AB902" s="69"/>
      <c r="AC902" s="72"/>
      <c r="AD902" s="69"/>
      <c r="AE902" s="87"/>
      <c r="AF902" s="88"/>
      <c r="AG902" s="72"/>
      <c r="AH902" s="4"/>
      <c r="AI902" s="72"/>
      <c r="AJ902" s="110"/>
      <c r="AK902" s="72"/>
      <c r="AL902" s="72"/>
      <c r="AM902" s="72"/>
      <c r="AN902" s="72"/>
      <c r="AO902" s="89"/>
      <c r="AP902" s="89"/>
      <c r="AQ902" s="90"/>
      <c r="AR902" s="117"/>
      <c r="AS902" s="91"/>
      <c r="AT902" s="91"/>
      <c r="AU902" s="3"/>
      <c r="AV902" s="71">
        <v>40</v>
      </c>
      <c r="AW902" s="71">
        <f>60*30</f>
        <v>1800</v>
      </c>
      <c r="AX902" s="71">
        <f>60*60*24*7*3</f>
        <v>1814400</v>
      </c>
      <c r="AY902" s="53"/>
      <c r="AZ902" s="53"/>
      <c r="BA902" s="53"/>
      <c r="BB902" s="53"/>
      <c r="BC902" s="53"/>
      <c r="BD902" s="53"/>
      <c r="BE902" s="53"/>
      <c r="BF902" s="53"/>
      <c r="BG902" s="53"/>
      <c r="BH902" s="53"/>
      <c r="BI902" s="53"/>
      <c r="BJ902" s="53"/>
      <c r="BK902" s="53"/>
      <c r="BL902" s="53"/>
      <c r="BM902" s="53"/>
      <c r="BN902" s="53"/>
      <c r="BO902" s="53"/>
      <c r="BP902" s="53"/>
      <c r="BQ902" s="53"/>
      <c r="BR902" s="53"/>
      <c r="BS902" s="53"/>
      <c r="BT902" s="53"/>
      <c r="BU902" s="53"/>
      <c r="BV902" s="53"/>
      <c r="BW902" s="53"/>
      <c r="BX902" s="53"/>
      <c r="BY902" s="53"/>
      <c r="BZ902" s="53"/>
      <c r="CA902" s="53"/>
      <c r="CB902" s="53"/>
      <c r="CC902" s="53"/>
      <c r="CD902" s="53"/>
      <c r="CE902" s="53"/>
      <c r="CF902" s="53"/>
      <c r="CG902" s="53"/>
      <c r="CH902" s="53"/>
      <c r="CI902" s="53"/>
      <c r="CJ902" s="53"/>
      <c r="CK902" s="53"/>
      <c r="CL902" s="53"/>
      <c r="CM902" s="53"/>
      <c r="CN902" s="53"/>
      <c r="CO902" s="53"/>
      <c r="CP902" s="53"/>
      <c r="CQ902" s="53"/>
      <c r="CR902" s="16"/>
      <c r="CS902" s="16"/>
      <c r="CT902" s="16"/>
      <c r="CU902" s="16"/>
    </row>
    <row r="903" spans="1:99" s="13" customFormat="1" ht="12" customHeight="1" x14ac:dyDescent="0.2">
      <c r="A903" s="68">
        <v>43979</v>
      </c>
      <c r="B903" s="70" t="s">
        <v>986</v>
      </c>
      <c r="C903" s="70" t="s">
        <v>54</v>
      </c>
      <c r="D903" s="69">
        <v>2011</v>
      </c>
      <c r="E903" s="87">
        <v>1</v>
      </c>
      <c r="F903" s="69">
        <v>10</v>
      </c>
      <c r="G903" s="69">
        <v>10</v>
      </c>
      <c r="H903" s="69" t="s">
        <v>32</v>
      </c>
      <c r="I903" s="69" t="s">
        <v>330</v>
      </c>
      <c r="J903" s="69" t="s">
        <v>677</v>
      </c>
      <c r="K903" s="69">
        <f>IF(J903="syllables",1,IF(J903="trigrams",2,IF(J903="strings",3,IF(J903="visual array",4,IF(J903="characters",5,IF(J903="letters",6,IF(J903="free forms",7,IF(J903="odors",8,IF(J903="words",9,IF(J903="pictures",10,IF(J903="object pictures",11,IF(J903="faces",12,IF(J903="names",13,IF(J903="idioms",14,IF(J903="grades",15,IF(J903="syllable-digit pairs",16,IF(J903="trigram-word pairs",17,IF(J903="word-digit pairs",18,IF(J903="English-Swahili pairs",19,IF(J903="spatial position",20,IF(J903="word pairs",21,IF(J903="word triads",22,IF(J903="generated words",23,IF(J903="word definition pairs",24,IF(J903="math problems",25,IF(J903="famous faces",26,IF(J903="famous names",27,IF(J903="famous voices",28,IF(J903="television programs",29,IF(J903="race horses",30,IF(J903="new vocabulary",31,IF(J903="sentences",32,IF(J903="concepts",33,IF(J903="ad slides",34,IF(J903="scenes",35,IF(J903="famous scenes",36,IF(J903="poems",37,IF(J903="walk",38,IF(J903="faces and events",39,IF(J903="events and names",40,IF(J903="flashbulb",41,IF(J903="stories",42,IF(J903="course material",43,IF(J903="autobiographical",44,IF(J903="novels",45,IF(J903="public events",46,"99"))))))))))))))))))))))))))))))))))))))))))))))</f>
        <v>42</v>
      </c>
      <c r="L903" s="69">
        <f>IF(J903="syllables",1,IF(J903="trigrams",1,IF(J903="strings",1,IF(J903="visual array",1,IF(J903="characters",1,IF(J903="letters",1,IF(J903="free forms",1,IF(J903="odors",2,IF(J903="words",2,IF(J903="pictures",2,IF(J903="object pictures",2,IF(J903="faces",2,IF(J903="names",2,IF(J903="idioms","2",IF(J903="grades",2,IF(J903="syllable-digit pairs",3,IF(J903="trigram-word pairs",3,IF(J903="word-digit pairs",3,IF(J903="English-Swahili pairs",3,IF(J903="spatial position",3,IF(J903="word pairs",4,IF(J903="word triads",4,IF(J903="generated words",4,IF(J903="word definition pairs",4,IF(J903="math problems",4,IF(J903="famous faces",4,IF(J903="famous names",4,IF(J903="famous voices",4,IF(J903="television programs",4,IF(J903="race horses",4,IF(J903="new vocabulary",4,IF(J903="sentences",5,IF(J903="concepts",5,IF(J903="ad slides",5,IF(J903="scenes",5,IF(J903="famous scenes",5,IF(J903="poems",6,IF(J903="walk",6,IF(J903="faces and events",6,IF(J903="events and names",6,IF(J903="flashbulb",7,IF(J903="stories",7,IF(J903="course material",7,IF(J903="autobiographical",7,IF(J903="novels",7,IF(J903="public events",7,"99"))))))))))))))))))))))))))))))))))))))))))))))</f>
        <v>7</v>
      </c>
      <c r="M903" s="69">
        <v>0</v>
      </c>
      <c r="N903" s="86">
        <v>3</v>
      </c>
      <c r="O903" s="69">
        <v>0</v>
      </c>
      <c r="P903" s="69"/>
      <c r="Q903" s="69" t="s">
        <v>182</v>
      </c>
      <c r="R903" s="69">
        <f>IF(Q903="Free Recall",1,IF(Q903="Cued Recall",2,IF(Q903="Recognition",3,IF(Q903="Multiple Choice",4,IF(Q903="Savings",5,IF(Q903="Stem Completion",6,IF(Q903="Fragment Completion",7,IF(Q903="anagram solution",8,IF(Q903="Matching",9,IF(Q903="Problem Solving",10,"99"))))))))))</f>
        <v>4</v>
      </c>
      <c r="S903" s="69" t="s">
        <v>15</v>
      </c>
      <c r="T903" s="92" t="s">
        <v>581</v>
      </c>
      <c r="U903" s="69">
        <f>IF(T903="within",1,0)</f>
        <v>1</v>
      </c>
      <c r="V903" s="92">
        <f>12*3</f>
        <v>36</v>
      </c>
      <c r="W903" s="69">
        <f>F903*V903</f>
        <v>360</v>
      </c>
      <c r="X903" s="69">
        <v>3</v>
      </c>
      <c r="Y903" s="87">
        <f>AV902</f>
        <v>40</v>
      </c>
      <c r="Z903" s="69" t="s">
        <v>165</v>
      </c>
      <c r="AA903" s="69">
        <f>60*60*24*7*3</f>
        <v>1814400</v>
      </c>
      <c r="AB903" s="69" t="str">
        <f>IF(AA903&lt;60,"1",IF(AA903&lt;=43200,"2",IF(AA903&lt;=777600,"3","4")))</f>
        <v>4</v>
      </c>
      <c r="AC903" s="72">
        <f>AVERAGE(AV902:DA902)</f>
        <v>605413.33333333337</v>
      </c>
      <c r="AD903" s="69" t="str">
        <f>IF(AC903&lt;60,"1",IF(AC903&lt;=43200,"2",IF(AC903&lt;=777600,"3","4")))</f>
        <v>3</v>
      </c>
      <c r="AE903" s="87">
        <f>AA903-Y903</f>
        <v>1814360</v>
      </c>
      <c r="AF903" s="88">
        <f>AV903</f>
        <v>0.884691195795</v>
      </c>
      <c r="AG903" s="72">
        <f>((AW903-AV903)+(AX903-AW903))/2</f>
        <v>-6.4060446780548785E-2</v>
      </c>
      <c r="AH903" s="4"/>
      <c r="AI903" s="72">
        <f>RSQ(AV903:AX903,AV902:AX902)</f>
        <v>0.88438127462016358</v>
      </c>
      <c r="AJ903" s="110">
        <f>SLOPE(AV903:AX903,AV902:AX902)</f>
        <v>-5.8439205230934507E-8</v>
      </c>
      <c r="AK903" s="72">
        <f>INTERCEPT(AV903:AX903,AV902:AX902)</f>
        <v>0.86258092528456431</v>
      </c>
      <c r="AL903" s="72">
        <f>INDEX(LINEST(LN(AV903:AX903),LN(AV902:AX902),TRUE,TRUE),3,1)</f>
        <v>0.99913836426692693</v>
      </c>
      <c r="AM903" s="72">
        <f>INDEX(LINEST(LN(AV903:AX903),LN(AV902:AX902)),1)</f>
        <v>-1.4662416901925495E-2</v>
      </c>
      <c r="AN903" s="72">
        <f>EXP(INDEX(LINEST(LN(AV903:AX903),LN(AV902:AX902)),1,2))</f>
        <v>0.93546689892969104</v>
      </c>
      <c r="AO903" s="89">
        <f>INDEX(LINEST((AV903:AX903),LN(AV902:AX902),TRUE,TRUE),3,1)</f>
        <v>0.99990116265622409</v>
      </c>
      <c r="AP903" s="89">
        <f>INDEX(LINEST((AV903:AX903),LN(AV902:AX902)),1)</f>
        <v>-1.1968837435104837E-2</v>
      </c>
      <c r="AQ903" s="90">
        <f>INDEX(LINEST(LN(AV903:AX903),SQRT(AV902:AX902),TRUE,TRUE),3,1)</f>
        <v>0.90997500537961029</v>
      </c>
      <c r="AR903" s="117">
        <f>INDEX(LINEST(LN(AV903:AX903),SQRT((AV902:AX902))),1)</f>
        <v>-9.9580596492972141E-5</v>
      </c>
      <c r="AS903" s="91">
        <f>INDEX(LINEST(1/(AV903:AX903),1/(SQRT(AV902:AX902)),TRUE,TRUE),3,1)</f>
        <v>0.67826014604307105</v>
      </c>
      <c r="AT903" s="91">
        <f>INDEX(LINEST(1/(AV903:AX903),1/SQRT(AV902:AX902)),1)</f>
        <v>-0.94857037619716189</v>
      </c>
      <c r="AU903" s="3"/>
      <c r="AV903" s="73">
        <v>0.884691195795</v>
      </c>
      <c r="AW903" s="73">
        <v>0.84034165571615826</v>
      </c>
      <c r="AX903" s="73">
        <v>0.75657030223390243</v>
      </c>
      <c r="AY903" s="53"/>
      <c r="AZ903" s="53"/>
      <c r="BA903" s="53"/>
      <c r="BB903" s="53"/>
      <c r="BC903" s="53"/>
      <c r="BD903" s="53"/>
      <c r="BE903" s="53"/>
      <c r="BF903" s="53"/>
      <c r="BG903" s="53"/>
      <c r="BH903" s="53"/>
      <c r="BI903" s="53"/>
      <c r="BJ903" s="53"/>
      <c r="BK903" s="53"/>
      <c r="BL903" s="53"/>
      <c r="BM903" s="53"/>
      <c r="BN903" s="53"/>
      <c r="BO903" s="53"/>
      <c r="BP903" s="53"/>
      <c r="BQ903" s="53"/>
      <c r="BR903" s="53"/>
      <c r="BS903" s="53"/>
      <c r="BT903" s="53"/>
      <c r="BU903" s="53"/>
      <c r="BV903" s="53"/>
      <c r="BW903" s="53"/>
      <c r="BX903" s="53"/>
      <c r="BY903" s="53"/>
      <c r="BZ903" s="53"/>
      <c r="CA903" s="53"/>
      <c r="CB903" s="53"/>
      <c r="CC903" s="53"/>
      <c r="CD903" s="53"/>
      <c r="CE903" s="53"/>
      <c r="CF903" s="53"/>
      <c r="CG903" s="53"/>
      <c r="CH903" s="53"/>
      <c r="CI903" s="53"/>
      <c r="CJ903" s="53"/>
      <c r="CK903" s="53"/>
      <c r="CL903" s="53"/>
      <c r="CM903" s="53"/>
      <c r="CN903" s="53"/>
      <c r="CO903" s="53"/>
      <c r="CP903" s="53"/>
      <c r="CQ903" s="53"/>
      <c r="CR903" s="16"/>
      <c r="CS903" s="16"/>
      <c r="CT903" s="16"/>
      <c r="CU903" s="16"/>
    </row>
    <row r="904" spans="1:99" s="13" customFormat="1" ht="12" customHeight="1" x14ac:dyDescent="0.2">
      <c r="A904" s="65">
        <v>43979</v>
      </c>
      <c r="B904" s="1"/>
      <c r="C904" s="1"/>
      <c r="D904" s="60"/>
      <c r="E904" s="76"/>
      <c r="F904" s="60"/>
      <c r="G904" s="60"/>
      <c r="H904" s="60"/>
      <c r="I904" s="60"/>
      <c r="J904" s="60"/>
      <c r="K904" s="60"/>
      <c r="L904" s="60"/>
      <c r="M904" s="60"/>
      <c r="N904" s="61"/>
      <c r="O904" s="60"/>
      <c r="P904" s="60"/>
      <c r="Q904" s="60"/>
      <c r="R904" s="60"/>
      <c r="S904" s="60"/>
      <c r="T904" s="59"/>
      <c r="U904" s="60"/>
      <c r="V904" s="59"/>
      <c r="W904" s="60"/>
      <c r="X904" s="60"/>
      <c r="Y904" s="76"/>
      <c r="Z904" s="60"/>
      <c r="AA904" s="60"/>
      <c r="AB904" s="60"/>
      <c r="AC904" s="56"/>
      <c r="AD904" s="60"/>
      <c r="AE904" s="76"/>
      <c r="AF904" s="80"/>
      <c r="AG904" s="56"/>
      <c r="AH904" s="4"/>
      <c r="AI904" s="56"/>
      <c r="AJ904" s="109"/>
      <c r="AK904" s="56"/>
      <c r="AL904" s="56"/>
      <c r="AM904" s="56"/>
      <c r="AN904" s="56"/>
      <c r="AO904" s="82"/>
      <c r="AP904" s="82"/>
      <c r="AQ904" s="83"/>
      <c r="AR904" s="116"/>
      <c r="AS904" s="84"/>
      <c r="AT904" s="84"/>
      <c r="AU904" s="3"/>
      <c r="AV904" s="25">
        <f>60*60*3</f>
        <v>10800</v>
      </c>
      <c r="AW904" s="25">
        <f>60*60*24</f>
        <v>86400</v>
      </c>
      <c r="AX904" s="25">
        <f>60*60*24*7</f>
        <v>604800</v>
      </c>
      <c r="AY904" s="25">
        <f>60*60*24*7*3</f>
        <v>1814400</v>
      </c>
      <c r="AZ904" s="53"/>
      <c r="BA904" s="53"/>
      <c r="BB904" s="53"/>
      <c r="BC904" s="53"/>
      <c r="BD904" s="53"/>
      <c r="BE904" s="53"/>
      <c r="BF904" s="53"/>
      <c r="BG904" s="53"/>
      <c r="BH904" s="53"/>
      <c r="BI904" s="53"/>
      <c r="BJ904" s="53"/>
      <c r="BK904" s="53"/>
      <c r="BL904" s="53"/>
      <c r="BM904" s="53"/>
      <c r="BN904" s="53"/>
      <c r="BO904" s="53"/>
      <c r="BP904" s="53"/>
      <c r="BQ904" s="53"/>
      <c r="BR904" s="53"/>
      <c r="BS904" s="53"/>
      <c r="BT904" s="53"/>
      <c r="BU904" s="53"/>
      <c r="BV904" s="53"/>
      <c r="BW904" s="53"/>
      <c r="BX904" s="53"/>
      <c r="BY904" s="53"/>
      <c r="BZ904" s="53"/>
      <c r="CA904" s="53"/>
      <c r="CB904" s="53"/>
      <c r="CC904" s="53"/>
      <c r="CD904" s="53"/>
      <c r="CE904" s="53"/>
      <c r="CF904" s="53"/>
      <c r="CG904" s="53"/>
      <c r="CH904" s="53"/>
      <c r="CI904" s="53"/>
      <c r="CJ904" s="53"/>
      <c r="CK904" s="53"/>
      <c r="CL904" s="53"/>
      <c r="CM904" s="53"/>
      <c r="CN904" s="53"/>
      <c r="CO904" s="53"/>
      <c r="CP904" s="53"/>
      <c r="CQ904" s="53"/>
      <c r="CR904" s="16"/>
      <c r="CS904" s="16"/>
      <c r="CT904" s="16"/>
      <c r="CU904" s="16"/>
    </row>
    <row r="905" spans="1:99" s="13" customFormat="1" ht="12" customHeight="1" x14ac:dyDescent="0.2">
      <c r="A905" s="65">
        <v>43979</v>
      </c>
      <c r="B905" s="1" t="s">
        <v>996</v>
      </c>
      <c r="C905" s="1" t="s">
        <v>54</v>
      </c>
      <c r="D905" s="60">
        <v>2010</v>
      </c>
      <c r="E905" s="76">
        <v>1</v>
      </c>
      <c r="F905" s="60">
        <v>11</v>
      </c>
      <c r="G905" s="60">
        <v>11</v>
      </c>
      <c r="H905" s="60" t="s">
        <v>32</v>
      </c>
      <c r="I905" s="60" t="s">
        <v>997</v>
      </c>
      <c r="J905" s="60" t="s">
        <v>622</v>
      </c>
      <c r="K905" s="60">
        <f>IF(J905="syllables",1,IF(J905="trigrams",2,IF(J905="strings",3,IF(J905="visual array",4,IF(J905="characters",5,IF(J905="letters",6,IF(J905="free forms",7,IF(J905="odors",8,IF(J905="words",9,IF(J905="pictures",10,IF(J905="object pictures",11,IF(J905="faces",12,IF(J905="names",13,IF(J905="idioms",14,IF(J905="grades",15,IF(J905="syllable-digit pairs",16,IF(J905="trigram-word pairs",17,IF(J905="word-digit pairs",18,IF(J905="English-Swahili pairs",19,IF(J905="spatial position",20,IF(J905="word pairs",21,IF(J905="word triads",22,IF(J905="generated words",23,IF(J905="word definition pairs",24,IF(J905="math problems",25,IF(J905="famous faces",26,IF(J905="famous names",27,IF(J905="famous voices",28,IF(J905="television programs",29,IF(J905="race horses",30,IF(J905="new vocabulary",31,IF(J905="sentences",32,IF(J905="concepts",33,IF(J905="ad slides",34,IF(J905="scenes",35,IF(J905="famous scenes",36,IF(J905="poems",37,IF(J905="walk",38,IF(J905="faces and events",39,IF(J905="events and names",40,IF(J905="flashbulb",41,IF(J905="stories",42,IF(J905="course material",43,IF(J905="autobiographical",44,IF(J905="novels",45,IF(J905="public events",46,"99"))))))))))))))))))))))))))))))))))))))))))))))</f>
        <v>44</v>
      </c>
      <c r="L905" s="60">
        <f>IF(J905="syllables",1,IF(J905="trigrams",1,IF(J905="strings",1,IF(J905="visual array",1,IF(J905="characters",1,IF(J905="letters",1,IF(J905="free forms",1,IF(J905="odors",2,IF(J905="words",2,IF(J905="pictures",2,IF(J905="object pictures",2,IF(J905="faces",2,IF(J905="names",2,IF(J905="idioms","2",IF(J905="grades",2,IF(J905="syllable-digit pairs",3,IF(J905="trigram-word pairs",3,IF(J905="word-digit pairs",3,IF(J905="English-Swahili pairs",3,IF(J905="spatial position",3,IF(J905="word pairs",4,IF(J905="word triads",4,IF(J905="generated words",4,IF(J905="word definition pairs",4,IF(J905="math problems",4,IF(J905="famous faces",4,IF(J905="famous names",4,IF(J905="famous voices",4,IF(J905="television programs",4,IF(J905="race horses",4,IF(J905="new vocabulary",4,IF(J905="sentences",5,IF(J905="concepts",5,IF(J905="ad slides",5,IF(J905="scenes",5,IF(J905="famous scenes",5,IF(J905="poems",6,IF(J905="walk",6,IF(J905="faces and events",6,IF(J905="events and names",6,IF(J905="flashbulb",7,IF(J905="stories",7,IF(J905="course material",7,IF(J905="autobiographical",7,IF(J905="novels",7,IF(J905="public events",7,"99"))))))))))))))))))))))))))))))))))))))))))))))</f>
        <v>7</v>
      </c>
      <c r="M905" s="60">
        <v>0</v>
      </c>
      <c r="N905" s="61">
        <v>3</v>
      </c>
      <c r="O905" s="60">
        <v>0</v>
      </c>
      <c r="P905" s="60"/>
      <c r="Q905" s="60" t="s">
        <v>174</v>
      </c>
      <c r="R905" s="60">
        <f>IF(Q905="Free Recall",1,IF(Q905="Cued Recall",2,IF(Q905="Recognition",3,IF(Q905="Multiple Choice",4,IF(Q905="Savings",5,IF(Q905="Stem Completion",6,IF(Q905="Fragment Completion",7,IF(Q905="anagram solution",8,IF(Q905="Matching",9,IF(Q905="Problem Solving",10,"99"))))))))))</f>
        <v>1</v>
      </c>
      <c r="S905" s="60" t="s">
        <v>15</v>
      </c>
      <c r="T905" s="59" t="s">
        <v>581</v>
      </c>
      <c r="U905" s="60">
        <f>IF(T905="within",1,0)</f>
        <v>1</v>
      </c>
      <c r="V905" s="59">
        <v>20</v>
      </c>
      <c r="W905" s="60">
        <f>F905*V905</f>
        <v>220</v>
      </c>
      <c r="X905" s="60">
        <v>4</v>
      </c>
      <c r="Y905" s="76">
        <f>AV904</f>
        <v>10800</v>
      </c>
      <c r="Z905" s="60" t="s">
        <v>165</v>
      </c>
      <c r="AA905" s="60">
        <f>60*60*24*7*3</f>
        <v>1814400</v>
      </c>
      <c r="AB905" s="60" t="str">
        <f>IF(AA905&lt;60,"1",IF(AA905&lt;=43200,"2",IF(AA905&lt;=777600,"3","4")))</f>
        <v>4</v>
      </c>
      <c r="AC905" s="56">
        <f>AVERAGE(AV904:DA904)</f>
        <v>629100</v>
      </c>
      <c r="AD905" s="60" t="str">
        <f>IF(AC905&lt;60,"1",IF(AC905&lt;=43200,"2",IF(AC905&lt;=777600,"3","4")))</f>
        <v>3</v>
      </c>
      <c r="AE905" s="76">
        <f>AA905-Y905</f>
        <v>1803600</v>
      </c>
      <c r="AF905" s="80">
        <f>AV905</f>
        <v>0.98437149160340098</v>
      </c>
      <c r="AG905" s="192">
        <f>((AW905-AV905)+(AX905-AW905)+(AY905-AX905))/3</f>
        <v>2.8695249385668475E-4</v>
      </c>
      <c r="AH905" s="4"/>
      <c r="AI905" s="56">
        <f>RSQ(AV905:AY905,AV904:AY904)</f>
        <v>2.3034963840300994E-2</v>
      </c>
      <c r="AJ905" s="109">
        <f>SLOPE(AV905:AY905,AV904:AY904)</f>
        <v>6.5502183757913336E-9</v>
      </c>
      <c r="AK905" s="56">
        <f>INTERCEPT(AV905:AY905,AV904:AY904)</f>
        <v>0.95658658962892817</v>
      </c>
      <c r="AL905" s="56">
        <f>INDEX(LINEST(LN(AV905:AY905),LN(AV904:AY904),TRUE,TRUE),3,1)</f>
        <v>9.8028354513377686E-2</v>
      </c>
      <c r="AM905" s="56">
        <f>INDEX(LINEST(LN(AV905:AY905),LN(AV904:AY904)),1)</f>
        <v>-5.278078043003882E-3</v>
      </c>
      <c r="AN905" s="56">
        <f>EXP(INDEX(LINEST(LN(AV905:AY905),LN(AV904:AY904)),1,2))</f>
        <v>1.0234852663454086</v>
      </c>
      <c r="AO905" s="82">
        <f>INDEX(LINEST((AV905:AY905),LN(AV904:AY904),TRUE,TRUE),3,1)</f>
        <v>9.6822554181143175E-2</v>
      </c>
      <c r="AP905" s="82">
        <f>INDEX(LINEST((AV905:AY905),LN(AV904:AY904)),1)</f>
        <v>-4.9605625462665814E-3</v>
      </c>
      <c r="AQ905" s="83">
        <f>INDEX(LINEST(LN(AV905:AY905),SQRT(AV904:AY904),TRUE,TRUE),3,1)</f>
        <v>4.539097705890463E-3</v>
      </c>
      <c r="AR905" s="116">
        <f>INDEX(LINEST(LN(AV905:AY905),SQRT((AV904:AY904))),1)</f>
        <v>-4.6118095099281721E-6</v>
      </c>
      <c r="AS905" s="84">
        <f>INDEX(LINEST(1/(AV905:AY905),1/(SQRT(AV904:AY904)),TRUE,TRUE),3,1)</f>
        <v>0.19037927760973489</v>
      </c>
      <c r="AT905" s="84">
        <f>INDEX(LINEST(1/(AV905:AY905),1/SQRT(AV904:AY904)),1)</f>
        <v>-4.3115878073388121</v>
      </c>
      <c r="AU905" s="3"/>
      <c r="AV905" s="53">
        <v>0.98437149160340098</v>
      </c>
      <c r="AW905" s="53">
        <v>0.96450582148493003</v>
      </c>
      <c r="AX905" s="53">
        <v>0.90871966586325204</v>
      </c>
      <c r="AY905" s="53">
        <v>0.98523234908497104</v>
      </c>
      <c r="AZ905" s="53"/>
      <c r="BA905" s="53"/>
      <c r="BB905" s="53"/>
      <c r="BC905" s="53"/>
      <c r="BD905" s="53"/>
      <c r="BE905" s="53"/>
      <c r="BF905" s="53"/>
      <c r="BG905" s="53"/>
      <c r="BH905" s="53"/>
      <c r="BI905" s="53"/>
      <c r="BJ905" s="53"/>
      <c r="BK905" s="53"/>
      <c r="BL905" s="53"/>
      <c r="BM905" s="53"/>
      <c r="BN905" s="53"/>
      <c r="BO905" s="53"/>
      <c r="BP905" s="53"/>
      <c r="BQ905" s="53"/>
      <c r="BR905" s="53"/>
      <c r="BS905" s="53"/>
      <c r="BT905" s="53"/>
      <c r="BU905" s="53"/>
      <c r="BV905" s="53"/>
      <c r="BW905" s="53"/>
      <c r="BX905" s="53"/>
      <c r="BY905" s="53"/>
      <c r="BZ905" s="53"/>
      <c r="CA905" s="53"/>
      <c r="CB905" s="53"/>
      <c r="CC905" s="53"/>
      <c r="CD905" s="53"/>
      <c r="CE905" s="53"/>
      <c r="CF905" s="53"/>
      <c r="CG905" s="53"/>
      <c r="CH905" s="53"/>
      <c r="CI905" s="53"/>
      <c r="CJ905" s="53"/>
      <c r="CK905" s="53"/>
      <c r="CL905" s="53"/>
      <c r="CM905" s="53"/>
      <c r="CN905" s="53"/>
      <c r="CO905" s="53"/>
      <c r="CP905" s="53"/>
      <c r="CQ905" s="53"/>
      <c r="CR905" s="16"/>
      <c r="CS905" s="16"/>
      <c r="CT905" s="16"/>
      <c r="CU905" s="16"/>
    </row>
    <row r="906" spans="1:99" s="13" customFormat="1" ht="12" customHeight="1" x14ac:dyDescent="0.2">
      <c r="A906" s="65">
        <v>43979</v>
      </c>
      <c r="B906" s="1"/>
      <c r="C906" s="1"/>
      <c r="D906" s="60"/>
      <c r="E906" s="76"/>
      <c r="F906" s="60"/>
      <c r="G906" s="60"/>
      <c r="H906" s="60"/>
      <c r="I906" s="60"/>
      <c r="J906" s="60"/>
      <c r="K906" s="60"/>
      <c r="L906" s="60"/>
      <c r="M906" s="60"/>
      <c r="N906" s="61"/>
      <c r="O906" s="60"/>
      <c r="P906" s="60"/>
      <c r="Q906" s="60"/>
      <c r="R906" s="60"/>
      <c r="S906" s="60"/>
      <c r="T906" s="59"/>
      <c r="U906" s="60"/>
      <c r="V906" s="59"/>
      <c r="W906" s="60"/>
      <c r="X906" s="60"/>
      <c r="Y906" s="76"/>
      <c r="Z906" s="60"/>
      <c r="AA906" s="60"/>
      <c r="AB906" s="60"/>
      <c r="AC906" s="56"/>
      <c r="AD906" s="60"/>
      <c r="AE906" s="76"/>
      <c r="AF906" s="80"/>
      <c r="AG906" s="56"/>
      <c r="AH906" s="4"/>
      <c r="AI906" s="56"/>
      <c r="AJ906" s="109"/>
      <c r="AK906" s="56"/>
      <c r="AL906" s="56"/>
      <c r="AM906" s="56"/>
      <c r="AN906" s="56"/>
      <c r="AO906" s="82"/>
      <c r="AP906" s="82"/>
      <c r="AQ906" s="83"/>
      <c r="AR906" s="116"/>
      <c r="AS906" s="84"/>
      <c r="AT906" s="84"/>
      <c r="AU906" s="3"/>
      <c r="AV906" s="25">
        <f>60*60*3</f>
        <v>10800</v>
      </c>
      <c r="AW906" s="25">
        <f>60*60*24</f>
        <v>86400</v>
      </c>
      <c r="AX906" s="25">
        <f>60*60*24*7</f>
        <v>604800</v>
      </c>
      <c r="AY906" s="25">
        <f>60*60*24*7*3</f>
        <v>1814400</v>
      </c>
      <c r="AZ906" s="53"/>
      <c r="BA906" s="53"/>
      <c r="BB906" s="53"/>
      <c r="BC906" s="53"/>
      <c r="BD906" s="53"/>
      <c r="BE906" s="53"/>
      <c r="BF906" s="53"/>
      <c r="BG906" s="53"/>
      <c r="BH906" s="53"/>
      <c r="BI906" s="53"/>
      <c r="BJ906" s="53"/>
      <c r="BK906" s="53"/>
      <c r="BL906" s="53"/>
      <c r="BM906" s="53"/>
      <c r="BN906" s="53"/>
      <c r="BO906" s="53"/>
      <c r="BP906" s="53"/>
      <c r="BQ906" s="53"/>
      <c r="BR906" s="53"/>
      <c r="BS906" s="53"/>
      <c r="BT906" s="53"/>
      <c r="BU906" s="53"/>
      <c r="BV906" s="53"/>
      <c r="BW906" s="53"/>
      <c r="BX906" s="53"/>
      <c r="BY906" s="53"/>
      <c r="BZ906" s="53"/>
      <c r="CA906" s="53"/>
      <c r="CB906" s="53"/>
      <c r="CC906" s="53"/>
      <c r="CD906" s="53"/>
      <c r="CE906" s="53"/>
      <c r="CF906" s="53"/>
      <c r="CG906" s="53"/>
      <c r="CH906" s="53"/>
      <c r="CI906" s="53"/>
      <c r="CJ906" s="53"/>
      <c r="CK906" s="53"/>
      <c r="CL906" s="53"/>
      <c r="CM906" s="53"/>
      <c r="CN906" s="53"/>
      <c r="CO906" s="53"/>
      <c r="CP906" s="53"/>
      <c r="CQ906" s="53"/>
      <c r="CR906" s="16"/>
      <c r="CS906" s="16"/>
      <c r="CT906" s="16"/>
      <c r="CU906" s="16"/>
    </row>
    <row r="907" spans="1:99" s="13" customFormat="1" ht="12" customHeight="1" x14ac:dyDescent="0.2">
      <c r="A907" s="65">
        <v>43979</v>
      </c>
      <c r="B907" s="1" t="s">
        <v>996</v>
      </c>
      <c r="C907" s="1" t="s">
        <v>54</v>
      </c>
      <c r="D907" s="60">
        <v>2010</v>
      </c>
      <c r="E907" s="76">
        <v>1</v>
      </c>
      <c r="F907" s="60">
        <v>11</v>
      </c>
      <c r="G907" s="60">
        <v>11</v>
      </c>
      <c r="H907" s="60" t="s">
        <v>32</v>
      </c>
      <c r="I907" s="60" t="s">
        <v>998</v>
      </c>
      <c r="J907" s="60" t="s">
        <v>622</v>
      </c>
      <c r="K907" s="60">
        <f>IF(J907="syllables",1,IF(J907="trigrams",2,IF(J907="strings",3,IF(J907="visual array",4,IF(J907="characters",5,IF(J907="letters",6,IF(J907="free forms",7,IF(J907="odors",8,IF(J907="words",9,IF(J907="pictures",10,IF(J907="object pictures",11,IF(J907="faces",12,IF(J907="names",13,IF(J907="idioms",14,IF(J907="grades",15,IF(J907="syllable-digit pairs",16,IF(J907="trigram-word pairs",17,IF(J907="word-digit pairs",18,IF(J907="English-Swahili pairs",19,IF(J907="spatial position",20,IF(J907="word pairs",21,IF(J907="word triads",22,IF(J907="generated words",23,IF(J907="word definition pairs",24,IF(J907="math problems",25,IF(J907="famous faces",26,IF(J907="famous names",27,IF(J907="famous voices",28,IF(J907="television programs",29,IF(J907="race horses",30,IF(J907="new vocabulary",31,IF(J907="sentences",32,IF(J907="concepts",33,IF(J907="ad slides",34,IF(J907="scenes",35,IF(J907="famous scenes",36,IF(J907="poems",37,IF(J907="walk",38,IF(J907="faces and events",39,IF(J907="events and names",40,IF(J907="flashbulb",41,IF(J907="stories",42,IF(J907="course material",43,IF(J907="autobiographical",44,IF(J907="novels",45,IF(J907="public events",46,"99"))))))))))))))))))))))))))))))))))))))))))))))</f>
        <v>44</v>
      </c>
      <c r="L907" s="60">
        <f>IF(J907="syllables",1,IF(J907="trigrams",1,IF(J907="strings",1,IF(J907="visual array",1,IF(J907="characters",1,IF(J907="letters",1,IF(J907="free forms",1,IF(J907="odors",2,IF(J907="words",2,IF(J907="pictures",2,IF(J907="object pictures",2,IF(J907="faces",2,IF(J907="names",2,IF(J907="idioms","2",IF(J907="grades",2,IF(J907="syllable-digit pairs",3,IF(J907="trigram-word pairs",3,IF(J907="word-digit pairs",3,IF(J907="English-Swahili pairs",3,IF(J907="spatial position",3,IF(J907="word pairs",4,IF(J907="word triads",4,IF(J907="generated words",4,IF(J907="word definition pairs",4,IF(J907="math problems",4,IF(J907="famous faces",4,IF(J907="famous names",4,IF(J907="famous voices",4,IF(J907="television programs",4,IF(J907="race horses",4,IF(J907="new vocabulary",4,IF(J907="sentences",5,IF(J907="concepts",5,IF(J907="ad slides",5,IF(J907="scenes",5,IF(J907="famous scenes",5,IF(J907="poems",6,IF(J907="walk",6,IF(J907="faces and events",6,IF(J907="events and names",6,IF(J907="flashbulb",7,IF(J907="stories",7,IF(J907="course material",7,IF(J907="autobiographical",7,IF(J907="novels",7,IF(J907="public events",7,"99"))))))))))))))))))))))))))))))))))))))))))))))</f>
        <v>7</v>
      </c>
      <c r="M907" s="60">
        <v>0</v>
      </c>
      <c r="N907" s="61">
        <v>3</v>
      </c>
      <c r="O907" s="60">
        <v>0</v>
      </c>
      <c r="P907" s="60"/>
      <c r="Q907" s="60" t="s">
        <v>174</v>
      </c>
      <c r="R907" s="60">
        <f>IF(Q907="Free Recall",1,IF(Q907="Cued Recall",2,IF(Q907="Recognition",3,IF(Q907="Multiple Choice",4,IF(Q907="Savings",5,IF(Q907="Stem Completion",6,IF(Q907="Fragment Completion",7,IF(Q907="anagram solution",8,IF(Q907="Matching",9,IF(Q907="Problem Solving",10,"99"))))))))))</f>
        <v>1</v>
      </c>
      <c r="S907" s="60" t="s">
        <v>15</v>
      </c>
      <c r="T907" s="59" t="s">
        <v>581</v>
      </c>
      <c r="U907" s="60">
        <f>IF(T907="within",1,0)</f>
        <v>1</v>
      </c>
      <c r="V907" s="59">
        <v>40</v>
      </c>
      <c r="W907" s="60">
        <f>F907*V907</f>
        <v>440</v>
      </c>
      <c r="X907" s="60">
        <v>4</v>
      </c>
      <c r="Y907" s="76">
        <f>AV906</f>
        <v>10800</v>
      </c>
      <c r="Z907" s="60" t="s">
        <v>165</v>
      </c>
      <c r="AA907" s="60">
        <f>60*60*24*7*3</f>
        <v>1814400</v>
      </c>
      <c r="AB907" s="60" t="str">
        <f>IF(AA907&lt;60,"1",IF(AA907&lt;=43200,"2",IF(AA907&lt;=777600,"3","4")))</f>
        <v>4</v>
      </c>
      <c r="AC907" s="56">
        <f>AVERAGE(AV906:DA906)</f>
        <v>629100</v>
      </c>
      <c r="AD907" s="60" t="str">
        <f>IF(AC907&lt;60,"1",IF(AC907&lt;=43200,"2",IF(AC907&lt;=777600,"3","4")))</f>
        <v>3</v>
      </c>
      <c r="AE907" s="76">
        <f>AA907-Y907</f>
        <v>1803600</v>
      </c>
      <c r="AF907" s="80">
        <f>AV907</f>
        <v>0.88722493887530507</v>
      </c>
      <c r="AG907" s="58">
        <f>((AW907-AV907)+(AX907-AW907)+(AY907-AX907))/3</f>
        <v>-2.1393643031783669E-3</v>
      </c>
      <c r="AH907" s="4"/>
      <c r="AI907" s="56">
        <f>RSQ(AV907:AY907,AV906:AY906)</f>
        <v>1.627219441281874E-3</v>
      </c>
      <c r="AJ907" s="109">
        <f>SLOPE(AV907:AY907,AV906:AY906)</f>
        <v>1.3861736528887394E-9</v>
      </c>
      <c r="AK907" s="56">
        <f>INTERCEPT(AV907:AY907,AV906:AY906)</f>
        <v>0.86480644226254699</v>
      </c>
      <c r="AL907" s="56">
        <f>INDEX(LINEST(LN(AV907:AY907),LN(AV906:AY906),TRUE,TRUE),3,1)</f>
        <v>0.16879329139880955</v>
      </c>
      <c r="AM907" s="56">
        <f>INDEX(LINEST(LN(AV907:AY907),LN(AV906:AY906)),1)</f>
        <v>-6.1115221213029116E-3</v>
      </c>
      <c r="AN907" s="56">
        <f>EXP(INDEX(LINEST(LN(AV907:AY907),LN(AV906:AY906)),1,2))</f>
        <v>0.93170031783907981</v>
      </c>
      <c r="AO907" s="82">
        <f>INDEX(LINEST((AV907:AY907),LN(AV906:AY906),TRUE,TRUE),3,1)</f>
        <v>0.17022703107303505</v>
      </c>
      <c r="AP907" s="82">
        <f>INDEX(LINEST((AV907:AY907),LN(AV906:AY906)),1)</f>
        <v>-5.2370834087365073E-3</v>
      </c>
      <c r="AQ907" s="83">
        <f>INDEX(LINEST(LN(AV907:AY907),SQRT(AV906:AY906),TRUE,TRUE),3,1)</f>
        <v>3.0457092529913389E-2</v>
      </c>
      <c r="AR907" s="116">
        <f>INDEX(LINEST(LN(AV907:AY907),SQRT((AV906:AY906))),1)</f>
        <v>-1.0541506048369215E-5</v>
      </c>
      <c r="AS907" s="84">
        <f>INDEX(LINEST(1/(AV907:AY907),1/(SQRT(AV906:AY906)),TRUE,TRUE),3,1)</f>
        <v>0.26411387501985062</v>
      </c>
      <c r="AT907" s="84">
        <f>INDEX(LINEST(1/(AV907:AY907),1/SQRT(AV906:AY906)),1)</f>
        <v>-4.9656523687648244</v>
      </c>
      <c r="AU907" s="3"/>
      <c r="AV907" s="53">
        <v>0.88722493887530507</v>
      </c>
      <c r="AW907" s="53">
        <v>0.87072127139364297</v>
      </c>
      <c r="AX907" s="53">
        <v>0.82396088019559899</v>
      </c>
      <c r="AY907" s="53">
        <v>0.88080684596576997</v>
      </c>
      <c r="AZ907" s="53"/>
      <c r="BA907" s="53"/>
      <c r="BB907" s="53"/>
      <c r="BC907" s="53"/>
      <c r="BD907" s="53"/>
      <c r="BE907" s="53"/>
      <c r="BF907" s="53"/>
      <c r="BG907" s="53"/>
      <c r="BH907" s="53"/>
      <c r="BI907" s="53"/>
      <c r="BJ907" s="53"/>
      <c r="BK907" s="53"/>
      <c r="BL907" s="53"/>
      <c r="BM907" s="53"/>
      <c r="BN907" s="53"/>
      <c r="BO907" s="53"/>
      <c r="BP907" s="53"/>
      <c r="BQ907" s="53"/>
      <c r="BR907" s="53"/>
      <c r="BS907" s="53"/>
      <c r="BT907" s="53"/>
      <c r="BU907" s="53"/>
      <c r="BV907" s="53"/>
      <c r="BW907" s="53"/>
      <c r="BX907" s="53"/>
      <c r="BY907" s="53"/>
      <c r="BZ907" s="53"/>
      <c r="CA907" s="53"/>
      <c r="CB907" s="53"/>
      <c r="CC907" s="53"/>
      <c r="CD907" s="53"/>
      <c r="CE907" s="53"/>
      <c r="CF907" s="53"/>
      <c r="CG907" s="53"/>
      <c r="CH907" s="53"/>
      <c r="CI907" s="53"/>
      <c r="CJ907" s="53"/>
      <c r="CK907" s="53"/>
      <c r="CL907" s="53"/>
      <c r="CM907" s="53"/>
      <c r="CN907" s="53"/>
      <c r="CO907" s="53"/>
      <c r="CP907" s="53"/>
      <c r="CQ907" s="53"/>
      <c r="CR907" s="16"/>
      <c r="CS907" s="16"/>
      <c r="CT907" s="16"/>
      <c r="CU907" s="16"/>
    </row>
    <row r="908" spans="1:99" s="13" customFormat="1" ht="12" customHeight="1" x14ac:dyDescent="0.2">
      <c r="A908" s="65">
        <v>43979</v>
      </c>
      <c r="B908" s="1"/>
      <c r="C908" s="1"/>
      <c r="D908" s="60"/>
      <c r="E908" s="76"/>
      <c r="F908" s="60"/>
      <c r="G908" s="60"/>
      <c r="H908" s="60"/>
      <c r="I908" s="60"/>
      <c r="J908" s="60"/>
      <c r="K908" s="60"/>
      <c r="L908" s="60"/>
      <c r="M908" s="60"/>
      <c r="N908" s="61"/>
      <c r="O908" s="60"/>
      <c r="P908" s="60"/>
      <c r="Q908" s="60"/>
      <c r="R908" s="60"/>
      <c r="S908" s="60"/>
      <c r="T908" s="59"/>
      <c r="U908" s="60"/>
      <c r="V908" s="59"/>
      <c r="W908" s="60"/>
      <c r="X908" s="60"/>
      <c r="Y908" s="76"/>
      <c r="Z908" s="60"/>
      <c r="AA908" s="60"/>
      <c r="AB908" s="60"/>
      <c r="AC908" s="56"/>
      <c r="AD908" s="60"/>
      <c r="AE908" s="76"/>
      <c r="AF908" s="80"/>
      <c r="AG908" s="56"/>
      <c r="AH908" s="4"/>
      <c r="AI908" s="56"/>
      <c r="AJ908" s="109"/>
      <c r="AK908" s="56"/>
      <c r="AL908" s="56"/>
      <c r="AM908" s="56"/>
      <c r="AN908" s="56"/>
      <c r="AO908" s="82"/>
      <c r="AP908" s="82"/>
      <c r="AQ908" s="83"/>
      <c r="AR908" s="116"/>
      <c r="AS908" s="84"/>
      <c r="AT908" s="84"/>
      <c r="AU908" s="3"/>
      <c r="AV908" s="25">
        <f>60*60*3</f>
        <v>10800</v>
      </c>
      <c r="AW908" s="25">
        <f>60*60*24</f>
        <v>86400</v>
      </c>
      <c r="AX908" s="25">
        <f>60*60*24*7</f>
        <v>604800</v>
      </c>
      <c r="AY908" s="25">
        <f>60*60*24*7*3</f>
        <v>1814400</v>
      </c>
      <c r="AZ908" s="53"/>
      <c r="BA908" s="53"/>
      <c r="BB908" s="53"/>
      <c r="BC908" s="53"/>
      <c r="BD908" s="53"/>
      <c r="BE908" s="53"/>
      <c r="BF908" s="53"/>
      <c r="BG908" s="53"/>
      <c r="BH908" s="53"/>
      <c r="BI908" s="53"/>
      <c r="BJ908" s="53"/>
      <c r="BK908" s="53"/>
      <c r="BL908" s="53"/>
      <c r="BM908" s="53"/>
      <c r="BN908" s="53"/>
      <c r="BO908" s="53"/>
      <c r="BP908" s="53"/>
      <c r="BQ908" s="53"/>
      <c r="BR908" s="53"/>
      <c r="BS908" s="53"/>
      <c r="BT908" s="53"/>
      <c r="BU908" s="53"/>
      <c r="BV908" s="53"/>
      <c r="BW908" s="53"/>
      <c r="BX908" s="53"/>
      <c r="BY908" s="53"/>
      <c r="BZ908" s="53"/>
      <c r="CA908" s="53"/>
      <c r="CB908" s="53"/>
      <c r="CC908" s="53"/>
      <c r="CD908" s="53"/>
      <c r="CE908" s="53"/>
      <c r="CF908" s="53"/>
      <c r="CG908" s="53"/>
      <c r="CH908" s="53"/>
      <c r="CI908" s="53"/>
      <c r="CJ908" s="53"/>
      <c r="CK908" s="53"/>
      <c r="CL908" s="53"/>
      <c r="CM908" s="53"/>
      <c r="CN908" s="53"/>
      <c r="CO908" s="53"/>
      <c r="CP908" s="53"/>
      <c r="CQ908" s="53"/>
      <c r="CR908" s="16"/>
      <c r="CS908" s="16"/>
      <c r="CT908" s="16"/>
      <c r="CU908" s="16"/>
    </row>
    <row r="909" spans="1:99" s="13" customFormat="1" ht="12" customHeight="1" x14ac:dyDescent="0.2">
      <c r="A909" s="65">
        <v>43979</v>
      </c>
      <c r="B909" s="1" t="s">
        <v>996</v>
      </c>
      <c r="C909" s="1" t="s">
        <v>54</v>
      </c>
      <c r="D909" s="60">
        <v>2010</v>
      </c>
      <c r="E909" s="76">
        <v>1</v>
      </c>
      <c r="F909" s="60">
        <v>11</v>
      </c>
      <c r="G909" s="60">
        <v>11</v>
      </c>
      <c r="H909" s="60" t="s">
        <v>32</v>
      </c>
      <c r="I909" s="60" t="s">
        <v>999</v>
      </c>
      <c r="J909" s="60" t="s">
        <v>622</v>
      </c>
      <c r="K909" s="60">
        <f>IF(J909="syllables",1,IF(J909="trigrams",2,IF(J909="strings",3,IF(J909="visual array",4,IF(J909="characters",5,IF(J909="letters",6,IF(J909="free forms",7,IF(J909="odors",8,IF(J909="words",9,IF(J909="pictures",10,IF(J909="object pictures",11,IF(J909="faces",12,IF(J909="names",13,IF(J909="idioms",14,IF(J909="grades",15,IF(J909="syllable-digit pairs",16,IF(J909="trigram-word pairs",17,IF(J909="word-digit pairs",18,IF(J909="English-Swahili pairs",19,IF(J909="spatial position",20,IF(J909="word pairs",21,IF(J909="word triads",22,IF(J909="generated words",23,IF(J909="word definition pairs",24,IF(J909="math problems",25,IF(J909="famous faces",26,IF(J909="famous names",27,IF(J909="famous voices",28,IF(J909="television programs",29,IF(J909="race horses",30,IF(J909="new vocabulary",31,IF(J909="sentences",32,IF(J909="concepts",33,IF(J909="ad slides",34,IF(J909="scenes",35,IF(J909="famous scenes",36,IF(J909="poems",37,IF(J909="walk",38,IF(J909="faces and events",39,IF(J909="events and names",40,IF(J909="flashbulb",41,IF(J909="stories",42,IF(J909="course material",43,IF(J909="autobiographical",44,IF(J909="novels",45,IF(J909="public events",46,"99"))))))))))))))))))))))))))))))))))))))))))))))</f>
        <v>44</v>
      </c>
      <c r="L909" s="60">
        <f>IF(J909="syllables",1,IF(J909="trigrams",1,IF(J909="strings",1,IF(J909="visual array",1,IF(J909="characters",1,IF(J909="letters",1,IF(J909="free forms",1,IF(J909="odors",2,IF(J909="words",2,IF(J909="pictures",2,IF(J909="object pictures",2,IF(J909="faces",2,IF(J909="names",2,IF(J909="idioms","2",IF(J909="grades",2,IF(J909="syllable-digit pairs",3,IF(J909="trigram-word pairs",3,IF(J909="word-digit pairs",3,IF(J909="English-Swahili pairs",3,IF(J909="spatial position",3,IF(J909="word pairs",4,IF(J909="word triads",4,IF(J909="generated words",4,IF(J909="word definition pairs",4,IF(J909="math problems",4,IF(J909="famous faces",4,IF(J909="famous names",4,IF(J909="famous voices",4,IF(J909="television programs",4,IF(J909="race horses",4,IF(J909="new vocabulary",4,IF(J909="sentences",5,IF(J909="concepts",5,IF(J909="ad slides",5,IF(J909="scenes",5,IF(J909="famous scenes",5,IF(J909="poems",6,IF(J909="walk",6,IF(J909="faces and events",6,IF(J909="events and names",6,IF(J909="flashbulb",7,IF(J909="stories",7,IF(J909="course material",7,IF(J909="autobiographical",7,IF(J909="novels",7,IF(J909="public events",7,"99"))))))))))))))))))))))))))))))))))))))))))))))</f>
        <v>7</v>
      </c>
      <c r="M909" s="60">
        <v>0</v>
      </c>
      <c r="N909" s="61">
        <v>3</v>
      </c>
      <c r="O909" s="60">
        <v>0</v>
      </c>
      <c r="P909" s="60"/>
      <c r="Q909" s="60" t="s">
        <v>174</v>
      </c>
      <c r="R909" s="60">
        <f>IF(Q909="Free Recall",1,IF(Q909="Cued Recall",2,IF(Q909="Recognition",3,IF(Q909="Multiple Choice",4,IF(Q909="Savings",5,IF(Q909="Stem Completion",6,IF(Q909="Fragment Completion",7,IF(Q909="anagram solution",8,IF(Q909="Matching",9,IF(Q909="Problem Solving",10,"99"))))))))))</f>
        <v>1</v>
      </c>
      <c r="S909" s="60" t="s">
        <v>15</v>
      </c>
      <c r="T909" s="59" t="s">
        <v>581</v>
      </c>
      <c r="U909" s="60">
        <f>IF(T909="within",1,0)</f>
        <v>1</v>
      </c>
      <c r="V909" s="59">
        <v>40</v>
      </c>
      <c r="W909" s="60">
        <f>F909*V909</f>
        <v>440</v>
      </c>
      <c r="X909" s="60">
        <v>4</v>
      </c>
      <c r="Y909" s="76">
        <f>AV908</f>
        <v>10800</v>
      </c>
      <c r="Z909" s="60" t="s">
        <v>165</v>
      </c>
      <c r="AA909" s="60">
        <f>60*60*24*7*3</f>
        <v>1814400</v>
      </c>
      <c r="AB909" s="60" t="str">
        <f>IF(AA909&lt;60,"1",IF(AA909&lt;=43200,"2",IF(AA909&lt;=777600,"3","4")))</f>
        <v>4</v>
      </c>
      <c r="AC909" s="56">
        <f>AVERAGE(AV908:DA908)</f>
        <v>629100</v>
      </c>
      <c r="AD909" s="60" t="str">
        <f>IF(AC909&lt;60,"1",IF(AC909&lt;=43200,"2",IF(AC909&lt;=777600,"3","4")))</f>
        <v>3</v>
      </c>
      <c r="AE909" s="76">
        <f>AA909-Y909</f>
        <v>1803600</v>
      </c>
      <c r="AF909" s="80">
        <f>AV909</f>
        <v>0.83031927876254696</v>
      </c>
      <c r="AG909" s="58">
        <f>((AW909-AV909)+(AX909-AW909)+(AY909-AX909))/3</f>
        <v>-2.672548585898667E-2</v>
      </c>
      <c r="AH909" s="4"/>
      <c r="AI909" s="56">
        <f>RSQ(AV909:AY909,AV908:AY908)</f>
        <v>0.86048333934124466</v>
      </c>
      <c r="AJ909" s="109">
        <f>SLOPE(AV909:AY909,AV908:AY908)</f>
        <v>-5.5278610017150303E-8</v>
      </c>
      <c r="AK909" s="56">
        <f>INTERCEPT(AV909:AY909,AV908:AY908)</f>
        <v>0.84818289784100909</v>
      </c>
      <c r="AL909" s="56">
        <f>INDEX(LINEST(LN(AV909:AY909),LN(AV908:AY908),TRUE,TRUE),3,1)</f>
        <v>0.53974398262131162</v>
      </c>
      <c r="AM909" s="56">
        <f>INDEX(LINEST(LN(AV909:AY909),LN(AV908:AY908)),1)</f>
        <v>-2.0057967977810107E-2</v>
      </c>
      <c r="AN909" s="56">
        <f>EXP(INDEX(LINEST(LN(AV909:AY909),LN(AV908:AY908)),1,2))</f>
        <v>1.03526133060083</v>
      </c>
      <c r="AO909" s="82">
        <f>INDEX(LINEST((AV909:AY909),LN(AV908:AY908),TRUE,TRUE),3,1)</f>
        <v>0.53060755857755748</v>
      </c>
      <c r="AP909" s="82">
        <f>INDEX(LINEST((AV909:AY909),LN(AV908:AY908)),1)</f>
        <v>-1.6034419735631921E-2</v>
      </c>
      <c r="AQ909" s="83">
        <f>INDEX(LINEST(LN(AV909:AY909),SQRT(AV908:AY908),TRUE,TRUE),3,1)</f>
        <v>0.81213564137798999</v>
      </c>
      <c r="AR909" s="116">
        <f>INDEX(LINEST(LN(AV909:AY909),SQRT((AV908:AY908))),1)</f>
        <v>-9.9906549052019523E-5</v>
      </c>
      <c r="AS909" s="84">
        <f>INDEX(LINEST(1/(AV909:AY909),1/(SQRT(AV908:AY908)),TRUE,TRUE),3,1)</f>
        <v>0.2470703199944598</v>
      </c>
      <c r="AT909" s="84">
        <f>INDEX(LINEST(1/(AV909:AY909),1/SQRT(AV908:AY908)),1)</f>
        <v>-9.3457051588124678</v>
      </c>
      <c r="AU909" s="3"/>
      <c r="AV909" s="53">
        <v>0.83031927876254696</v>
      </c>
      <c r="AW909" s="53">
        <v>0.86845882783659212</v>
      </c>
      <c r="AX909" s="53">
        <v>0.80470756933215304</v>
      </c>
      <c r="AY909" s="53">
        <v>0.75014282118558695</v>
      </c>
      <c r="AZ909" s="53"/>
      <c r="BA909" s="53"/>
      <c r="BB909" s="53"/>
      <c r="BC909" s="53"/>
      <c r="BD909" s="53"/>
      <c r="BE909" s="53"/>
      <c r="BF909" s="53"/>
      <c r="BG909" s="53"/>
      <c r="BH909" s="53"/>
      <c r="BI909" s="53"/>
      <c r="BJ909" s="53"/>
      <c r="BK909" s="53"/>
      <c r="BL909" s="53"/>
      <c r="BM909" s="53"/>
      <c r="BN909" s="53"/>
      <c r="BO909" s="53"/>
      <c r="BP909" s="53"/>
      <c r="BQ909" s="53"/>
      <c r="BR909" s="53"/>
      <c r="BS909" s="53"/>
      <c r="BT909" s="53"/>
      <c r="BU909" s="53"/>
      <c r="BV909" s="53"/>
      <c r="BW909" s="53"/>
      <c r="BX909" s="53"/>
      <c r="BY909" s="53"/>
      <c r="BZ909" s="53"/>
      <c r="CA909" s="53"/>
      <c r="CB909" s="53"/>
      <c r="CC909" s="53"/>
      <c r="CD909" s="53"/>
      <c r="CE909" s="53"/>
      <c r="CF909" s="53"/>
      <c r="CG909" s="53"/>
      <c r="CH909" s="53"/>
      <c r="CI909" s="53"/>
      <c r="CJ909" s="53"/>
      <c r="CK909" s="53"/>
      <c r="CL909" s="53"/>
      <c r="CM909" s="53"/>
      <c r="CN909" s="53"/>
      <c r="CO909" s="53"/>
      <c r="CP909" s="53"/>
      <c r="CQ909" s="53"/>
      <c r="CR909" s="16"/>
      <c r="CS909" s="16"/>
      <c r="CT909" s="16"/>
      <c r="CU909" s="16"/>
    </row>
    <row r="910" spans="1:99" s="13" customFormat="1" ht="12" customHeight="1" x14ac:dyDescent="0.2">
      <c r="A910" s="65">
        <v>43979</v>
      </c>
      <c r="B910" s="1"/>
      <c r="C910" s="1"/>
      <c r="D910" s="60"/>
      <c r="E910" s="76"/>
      <c r="F910" s="60"/>
      <c r="G910" s="60"/>
      <c r="H910" s="60"/>
      <c r="I910" s="60"/>
      <c r="J910" s="60"/>
      <c r="K910" s="60"/>
      <c r="L910" s="60"/>
      <c r="M910" s="60"/>
      <c r="N910" s="61"/>
      <c r="O910" s="60"/>
      <c r="P910" s="60"/>
      <c r="Q910" s="60"/>
      <c r="R910" s="60"/>
      <c r="S910" s="60"/>
      <c r="T910" s="59"/>
      <c r="U910" s="60"/>
      <c r="V910" s="59"/>
      <c r="W910" s="60"/>
      <c r="X910" s="60"/>
      <c r="Y910" s="76"/>
      <c r="Z910" s="60"/>
      <c r="AA910" s="60"/>
      <c r="AB910" s="60"/>
      <c r="AC910" s="56"/>
      <c r="AD910" s="60"/>
      <c r="AE910" s="76"/>
      <c r="AF910" s="80"/>
      <c r="AG910" s="56"/>
      <c r="AH910" s="4"/>
      <c r="AI910" s="56"/>
      <c r="AJ910" s="109"/>
      <c r="AK910" s="56"/>
      <c r="AL910" s="56"/>
      <c r="AM910" s="56"/>
      <c r="AN910" s="56"/>
      <c r="AO910" s="82"/>
      <c r="AP910" s="82"/>
      <c r="AQ910" s="83"/>
      <c r="AR910" s="116"/>
      <c r="AS910" s="84"/>
      <c r="AT910" s="84"/>
      <c r="AU910" s="3"/>
      <c r="AV910" s="25">
        <f>60*60*3</f>
        <v>10800</v>
      </c>
      <c r="AW910" s="25">
        <f>60*60*24</f>
        <v>86400</v>
      </c>
      <c r="AX910" s="25">
        <f>60*60*24*7</f>
        <v>604800</v>
      </c>
      <c r="AY910" s="25">
        <f>60*60*24*7*3</f>
        <v>1814400</v>
      </c>
      <c r="AZ910" s="53"/>
      <c r="BA910" s="53"/>
      <c r="BB910" s="53"/>
      <c r="BC910" s="53"/>
      <c r="BD910" s="53"/>
      <c r="BE910" s="53"/>
      <c r="BF910" s="53"/>
      <c r="BG910" s="53"/>
      <c r="BH910" s="53"/>
      <c r="BI910" s="53"/>
      <c r="BJ910" s="53"/>
      <c r="BK910" s="53"/>
      <c r="BL910" s="53"/>
      <c r="BM910" s="53"/>
      <c r="BN910" s="53"/>
      <c r="BO910" s="53"/>
      <c r="BP910" s="53"/>
      <c r="BQ910" s="53"/>
      <c r="BR910" s="53"/>
      <c r="BS910" s="53"/>
      <c r="BT910" s="53"/>
      <c r="BU910" s="53"/>
      <c r="BV910" s="53"/>
      <c r="BW910" s="53"/>
      <c r="BX910" s="53"/>
      <c r="BY910" s="53"/>
      <c r="BZ910" s="53"/>
      <c r="CA910" s="53"/>
      <c r="CB910" s="53"/>
      <c r="CC910" s="53"/>
      <c r="CD910" s="53"/>
      <c r="CE910" s="53"/>
      <c r="CF910" s="53"/>
      <c r="CG910" s="53"/>
      <c r="CH910" s="53"/>
      <c r="CI910" s="53"/>
      <c r="CJ910" s="53"/>
      <c r="CK910" s="53"/>
      <c r="CL910" s="53"/>
      <c r="CM910" s="53"/>
      <c r="CN910" s="53"/>
      <c r="CO910" s="53"/>
      <c r="CP910" s="53"/>
      <c r="CQ910" s="53"/>
      <c r="CR910" s="16"/>
      <c r="CS910" s="16"/>
      <c r="CT910" s="16"/>
      <c r="CU910" s="16"/>
    </row>
    <row r="911" spans="1:99" s="13" customFormat="1" ht="12" customHeight="1" x14ac:dyDescent="0.2">
      <c r="A911" s="65">
        <v>43979</v>
      </c>
      <c r="B911" s="1" t="s">
        <v>996</v>
      </c>
      <c r="C911" s="1" t="s">
        <v>54</v>
      </c>
      <c r="D911" s="60">
        <v>2010</v>
      </c>
      <c r="E911" s="76">
        <v>1</v>
      </c>
      <c r="F911" s="60">
        <v>11</v>
      </c>
      <c r="G911" s="60">
        <v>11</v>
      </c>
      <c r="H911" s="60" t="s">
        <v>32</v>
      </c>
      <c r="I911" s="60" t="s">
        <v>1000</v>
      </c>
      <c r="J911" s="60" t="s">
        <v>622</v>
      </c>
      <c r="K911" s="60">
        <f>IF(J911="syllables",1,IF(J911="trigrams",2,IF(J911="strings",3,IF(J911="visual array",4,IF(J911="characters",5,IF(J911="letters",6,IF(J911="free forms",7,IF(J911="odors",8,IF(J911="words",9,IF(J911="pictures",10,IF(J911="object pictures",11,IF(J911="faces",12,IF(J911="names",13,IF(J911="idioms",14,IF(J911="grades",15,IF(J911="syllable-digit pairs",16,IF(J911="trigram-word pairs",17,IF(J911="word-digit pairs",18,IF(J911="English-Swahili pairs",19,IF(J911="spatial position",20,IF(J911="word pairs",21,IF(J911="word triads",22,IF(J911="generated words",23,IF(J911="word definition pairs",24,IF(J911="math problems",25,IF(J911="famous faces",26,IF(J911="famous names",27,IF(J911="famous voices",28,IF(J911="television programs",29,IF(J911="race horses",30,IF(J911="new vocabulary",31,IF(J911="sentences",32,IF(J911="concepts",33,IF(J911="ad slides",34,IF(J911="scenes",35,IF(J911="famous scenes",36,IF(J911="poems",37,IF(J911="walk",38,IF(J911="faces and events",39,IF(J911="events and names",40,IF(J911="flashbulb",41,IF(J911="stories",42,IF(J911="course material",43,IF(J911="autobiographical",44,IF(J911="novels",45,IF(J911="public events",46,"99"))))))))))))))))))))))))))))))))))))))))))))))</f>
        <v>44</v>
      </c>
      <c r="L911" s="60">
        <f>IF(J911="syllables",1,IF(J911="trigrams",1,IF(J911="strings",1,IF(J911="visual array",1,IF(J911="characters",1,IF(J911="letters",1,IF(J911="free forms",1,IF(J911="odors",2,IF(J911="words",2,IF(J911="pictures",2,IF(J911="object pictures",2,IF(J911="faces",2,IF(J911="names",2,IF(J911="idioms","2",IF(J911="grades",2,IF(J911="syllable-digit pairs",3,IF(J911="trigram-word pairs",3,IF(J911="word-digit pairs",3,IF(J911="English-Swahili pairs",3,IF(J911="spatial position",3,IF(J911="word pairs",4,IF(J911="word triads",4,IF(J911="generated words",4,IF(J911="word definition pairs",4,IF(J911="math problems",4,IF(J911="famous faces",4,IF(J911="famous names",4,IF(J911="famous voices",4,IF(J911="television programs",4,IF(J911="race horses",4,IF(J911="new vocabulary",4,IF(J911="sentences",5,IF(J911="concepts",5,IF(J911="ad slides",5,IF(J911="scenes",5,IF(J911="famous scenes",5,IF(J911="poems",6,IF(J911="walk",6,IF(J911="faces and events",6,IF(J911="events and names",6,IF(J911="flashbulb",7,IF(J911="stories",7,IF(J911="course material",7,IF(J911="autobiographical",7,IF(J911="novels",7,IF(J911="public events",7,"99"))))))))))))))))))))))))))))))))))))))))))))))</f>
        <v>7</v>
      </c>
      <c r="M911" s="60">
        <v>0</v>
      </c>
      <c r="N911" s="61">
        <v>3</v>
      </c>
      <c r="O911" s="60">
        <v>0</v>
      </c>
      <c r="P911" s="60"/>
      <c r="Q911" s="60" t="s">
        <v>174</v>
      </c>
      <c r="R911" s="60">
        <f>IF(Q911="Free Recall",1,IF(Q911="Cued Recall",2,IF(Q911="Recognition",3,IF(Q911="Multiple Choice",4,IF(Q911="Savings",5,IF(Q911="Stem Completion",6,IF(Q911="Fragment Completion",7,IF(Q911="anagram solution",8,IF(Q911="Matching",9,IF(Q911="Problem Solving",10,"99"))))))))))</f>
        <v>1</v>
      </c>
      <c r="S911" s="60" t="s">
        <v>15</v>
      </c>
      <c r="T911" s="59" t="s">
        <v>581</v>
      </c>
      <c r="U911" s="60">
        <f>IF(T911="within",1,0)</f>
        <v>1</v>
      </c>
      <c r="V911" s="59">
        <v>60</v>
      </c>
      <c r="W911" s="60">
        <f>F911*V911</f>
        <v>660</v>
      </c>
      <c r="X911" s="60">
        <v>4</v>
      </c>
      <c r="Y911" s="76">
        <f>AV910</f>
        <v>10800</v>
      </c>
      <c r="Z911" s="60" t="s">
        <v>165</v>
      </c>
      <c r="AA911" s="60">
        <f>60*60*24*7*3</f>
        <v>1814400</v>
      </c>
      <c r="AB911" s="60" t="str">
        <f>IF(AA911&lt;60,"1",IF(AA911&lt;=43200,"2",IF(AA911&lt;=777600,"3","4")))</f>
        <v>4</v>
      </c>
      <c r="AC911" s="56">
        <f>AVERAGE(AV910:DA910)</f>
        <v>629100</v>
      </c>
      <c r="AD911" s="60" t="str">
        <f>IF(AC911&lt;60,"1",IF(AC911&lt;=43200,"2",IF(AC911&lt;=777600,"3","4")))</f>
        <v>3</v>
      </c>
      <c r="AE911" s="76">
        <f>AA911-Y911</f>
        <v>1803600</v>
      </c>
      <c r="AF911" s="80">
        <f>AV911</f>
        <v>0.53914057801409898</v>
      </c>
      <c r="AG911" s="58">
        <f>((AW911-AV911)+(AX911-AW911)+(AY911-AX911))/3</f>
        <v>1.1106539550751989E-2</v>
      </c>
      <c r="AH911" s="4"/>
      <c r="AI911" s="56">
        <f>RSQ(AV911:AY911,AV910:AY910)</f>
        <v>0.24290441308095709</v>
      </c>
      <c r="AJ911" s="109">
        <f>SLOPE(AV911:AY911,AV910:AY910)</f>
        <v>3.0193496037208573E-8</v>
      </c>
      <c r="AK911" s="56">
        <f>INTERCEPT(AV911:AY911,AV910:AY910)</f>
        <v>0.49739598915602412</v>
      </c>
      <c r="AL911" s="56">
        <f>INDEX(LINEST(LN(AV911:AY911),LN(AV910:AY910),TRUE,TRUE),3,1)</f>
        <v>5.0148125032108007E-4</v>
      </c>
      <c r="AM911" s="56">
        <f>INDEX(LINEST(LN(AV911:AY911),LN(AV910:AY910)),1)</f>
        <v>-9.9310100937835522E-4</v>
      </c>
      <c r="AN911" s="56">
        <f>EXP(INDEX(LINEST(LN(AV911:AY911),LN(AV910:AY910)),1,2))</f>
        <v>0.52068905098498008</v>
      </c>
      <c r="AO911" s="82">
        <f>INDEX(LINEST((AV911:AY911),LN(AV910:AY910),TRUE,TRUE),3,1)</f>
        <v>3.9586293174746595E-5</v>
      </c>
      <c r="AP911" s="82">
        <f>INDEX(LINEST((AV911:AY911),LN(AV910:AY910)),1)</f>
        <v>1.423799278089923E-4</v>
      </c>
      <c r="AQ911" s="83">
        <f>INDEX(LINEST(LN(AV911:AY911),SQRT(AV910:AY910),TRUE,TRUE),3,1)</f>
        <v>6.7108632878150526E-2</v>
      </c>
      <c r="AR911" s="116">
        <f>INDEX(LINEST(LN(AV911:AY911),SQRT((AV910:AY910))),1)</f>
        <v>4.6648954295000374E-5</v>
      </c>
      <c r="AS911" s="84">
        <f>INDEX(LINEST(1/(AV911:AY911),1/(SQRT(AV910:AY910)),TRUE,TRUE),3,1)</f>
        <v>5.9511392025293847E-2</v>
      </c>
      <c r="AT911" s="84">
        <f>INDEX(LINEST(1/(AV911:AY911),1/SQRT(AV910:AY910)),1)</f>
        <v>-11.807120891824679</v>
      </c>
      <c r="AU911" s="3"/>
      <c r="AV911" s="53">
        <v>0.53914057801409898</v>
      </c>
      <c r="AW911" s="53">
        <v>0.499868643028201</v>
      </c>
      <c r="AX911" s="53">
        <v>0.45409345234347298</v>
      </c>
      <c r="AY911" s="53">
        <v>0.57246019666635495</v>
      </c>
      <c r="AZ911" s="53"/>
      <c r="BA911" s="53"/>
      <c r="BB911" s="53"/>
      <c r="BC911" s="53"/>
      <c r="BD911" s="53"/>
      <c r="BE911" s="53"/>
      <c r="BF911" s="53"/>
      <c r="BG911" s="53"/>
      <c r="BH911" s="53"/>
      <c r="BI911" s="53"/>
      <c r="BJ911" s="53"/>
      <c r="BK911" s="53"/>
      <c r="BL911" s="53"/>
      <c r="BM911" s="53"/>
      <c r="BN911" s="53"/>
      <c r="BO911" s="53"/>
      <c r="BP911" s="53"/>
      <c r="BQ911" s="53"/>
      <c r="BR911" s="53"/>
      <c r="BS911" s="53"/>
      <c r="BT911" s="53"/>
      <c r="BU911" s="53"/>
      <c r="BV911" s="53"/>
      <c r="BW911" s="53"/>
      <c r="BX911" s="53"/>
      <c r="BY911" s="53"/>
      <c r="BZ911" s="53"/>
      <c r="CA911" s="53"/>
      <c r="CB911" s="53"/>
      <c r="CC911" s="53"/>
      <c r="CD911" s="53"/>
      <c r="CE911" s="53"/>
      <c r="CF911" s="53"/>
      <c r="CG911" s="53"/>
      <c r="CH911" s="53"/>
      <c r="CI911" s="53"/>
      <c r="CJ911" s="53"/>
      <c r="CK911" s="53"/>
      <c r="CL911" s="53"/>
      <c r="CM911" s="53"/>
      <c r="CN911" s="53"/>
      <c r="CO911" s="53"/>
      <c r="CP911" s="53"/>
      <c r="CQ911" s="53"/>
      <c r="CR911" s="16"/>
      <c r="CS911" s="16"/>
      <c r="CT911" s="16"/>
      <c r="CU911" s="16"/>
    </row>
    <row r="912" spans="1:99" s="13" customFormat="1" ht="12" customHeight="1" x14ac:dyDescent="0.2">
      <c r="A912" s="65">
        <v>43979</v>
      </c>
      <c r="B912" s="1"/>
      <c r="C912" s="1"/>
      <c r="D912" s="60"/>
      <c r="E912" s="76"/>
      <c r="F912" s="60"/>
      <c r="G912" s="60"/>
      <c r="H912" s="60"/>
      <c r="I912" s="60"/>
      <c r="J912" s="60"/>
      <c r="K912" s="60"/>
      <c r="L912" s="60"/>
      <c r="M912" s="60"/>
      <c r="N912" s="61"/>
      <c r="O912" s="60"/>
      <c r="P912" s="60"/>
      <c r="Q912" s="60"/>
      <c r="R912" s="60"/>
      <c r="S912" s="60"/>
      <c r="T912" s="59"/>
      <c r="U912" s="60"/>
      <c r="V912" s="59"/>
      <c r="W912" s="60"/>
      <c r="X912" s="60"/>
      <c r="Y912" s="76"/>
      <c r="Z912" s="60"/>
      <c r="AA912" s="60"/>
      <c r="AB912" s="60"/>
      <c r="AC912" s="56"/>
      <c r="AD912" s="60"/>
      <c r="AE912" s="76"/>
      <c r="AF912" s="80"/>
      <c r="AG912" s="56"/>
      <c r="AH912" s="4"/>
      <c r="AI912" s="56"/>
      <c r="AJ912" s="109"/>
      <c r="AK912" s="56"/>
      <c r="AL912" s="56"/>
      <c r="AM912" s="56"/>
      <c r="AN912" s="56"/>
      <c r="AO912" s="82"/>
      <c r="AP912" s="82"/>
      <c r="AQ912" s="83"/>
      <c r="AR912" s="116"/>
      <c r="AS912" s="84"/>
      <c r="AT912" s="84"/>
      <c r="AU912" s="3"/>
      <c r="AV912" s="25">
        <v>2</v>
      </c>
      <c r="AW912" s="25">
        <v>40</v>
      </c>
      <c r="AX912" s="25">
        <f>60*30</f>
        <v>1800</v>
      </c>
      <c r="AY912" s="25">
        <f>60*60*24</f>
        <v>86400</v>
      </c>
      <c r="AZ912" s="25">
        <f>60*60*24*7</f>
        <v>604800</v>
      </c>
      <c r="BA912" s="25">
        <f>60*60*24*7*3</f>
        <v>1814400</v>
      </c>
      <c r="BB912" s="53"/>
      <c r="BC912" s="53"/>
      <c r="BD912" s="53"/>
      <c r="BE912" s="53"/>
      <c r="BF912" s="53"/>
      <c r="BG912" s="53"/>
      <c r="BH912" s="53"/>
      <c r="BI912" s="53"/>
      <c r="BJ912" s="53"/>
      <c r="BK912" s="53"/>
      <c r="BL912" s="53"/>
      <c r="BM912" s="53"/>
      <c r="BN912" s="53"/>
      <c r="BO912" s="53"/>
      <c r="BP912" s="53"/>
      <c r="BQ912" s="53"/>
      <c r="BR912" s="53"/>
      <c r="BS912" s="53"/>
      <c r="BT912" s="53"/>
      <c r="BU912" s="53"/>
      <c r="BV912" s="53"/>
      <c r="BW912" s="53"/>
      <c r="BX912" s="53"/>
      <c r="BY912" s="53"/>
      <c r="BZ912" s="53"/>
      <c r="CA912" s="53"/>
      <c r="CB912" s="53"/>
      <c r="CC912" s="53"/>
      <c r="CD912" s="53"/>
      <c r="CE912" s="53"/>
      <c r="CF912" s="53"/>
      <c r="CG912" s="53"/>
      <c r="CH912" s="53"/>
      <c r="CI912" s="53"/>
      <c r="CJ912" s="53"/>
      <c r="CK912" s="53"/>
      <c r="CL912" s="53"/>
      <c r="CM912" s="53"/>
      <c r="CN912" s="53"/>
      <c r="CO912" s="53"/>
      <c r="CP912" s="53"/>
      <c r="CQ912" s="53"/>
      <c r="CR912" s="16"/>
      <c r="CS912" s="16"/>
      <c r="CT912" s="16"/>
      <c r="CU912" s="16"/>
    </row>
    <row r="913" spans="1:99" s="13" customFormat="1" ht="12" customHeight="1" x14ac:dyDescent="0.2">
      <c r="A913" s="65">
        <v>43979</v>
      </c>
      <c r="B913" s="1" t="s">
        <v>996</v>
      </c>
      <c r="C913" s="1" t="s">
        <v>54</v>
      </c>
      <c r="D913" s="60">
        <v>2010</v>
      </c>
      <c r="E913" s="76">
        <v>1</v>
      </c>
      <c r="F913" s="60">
        <v>11</v>
      </c>
      <c r="G913" s="60">
        <v>11</v>
      </c>
      <c r="H913" s="60" t="s">
        <v>43</v>
      </c>
      <c r="I913" s="60" t="s">
        <v>330</v>
      </c>
      <c r="J913" s="60" t="s">
        <v>16</v>
      </c>
      <c r="K913" s="60">
        <f>IF(J913="syllables",1,IF(J913="trigrams",2,IF(J913="strings",3,IF(J913="visual array",4,IF(J913="characters",5,IF(J913="letters",6,IF(J913="free forms",7,IF(J913="odors",8,IF(J913="words",9,IF(J913="pictures",10,IF(J913="object pictures",11,IF(J913="faces",12,IF(J913="names",13,IF(J913="idioms",14,IF(J913="grades",15,IF(J913="syllable-digit pairs",16,IF(J913="trigram-word pairs",17,IF(J913="word-digit pairs",18,IF(J913="English-Swahili pairs",19,IF(J913="spatial position",20,IF(J913="word pairs",21,IF(J913="word triads",22,IF(J913="generated words",23,IF(J913="word definition pairs",24,IF(J913="math problems",25,IF(J913="famous faces",26,IF(J913="famous names",27,IF(J913="famous voices",28,IF(J913="television programs",29,IF(J913="race horses",30,IF(J913="new vocabulary",31,IF(J913="sentences",32,IF(J913="concepts",33,IF(J913="ad slides",34,IF(J913="scenes",35,IF(J913="famous scenes",36,IF(J913="poems",37,IF(J913="walk",38,IF(J913="faces and events",39,IF(J913="events and names",40,IF(J913="flashbulb",41,IF(J913="stories",42,IF(J913="course material",43,IF(J913="autobiographical",44,IF(J913="novels",45,IF(J913="public events",46,"99"))))))))))))))))))))))))))))))))))))))))))))))</f>
        <v>9</v>
      </c>
      <c r="L913" s="60">
        <f>IF(J913="syllables",1,IF(J913="trigrams",1,IF(J913="strings",1,IF(J913="visual array",1,IF(J913="characters",1,IF(J913="letters",1,IF(J913="free forms",1,IF(J913="odors",2,IF(J913="words",2,IF(J913="pictures",2,IF(J913="object pictures",2,IF(J913="faces",2,IF(J913="names",2,IF(J913="idioms","2",IF(J913="grades",2,IF(J913="syllable-digit pairs",3,IF(J913="trigram-word pairs",3,IF(J913="word-digit pairs",3,IF(J913="English-Swahili pairs",3,IF(J913="spatial position",3,IF(J913="word pairs",4,IF(J913="word triads",4,IF(J913="generated words",4,IF(J913="word definition pairs",4,IF(J913="math problems",4,IF(J913="famous faces",4,IF(J913="famous names",4,IF(J913="famous voices",4,IF(J913="television programs",4,IF(J913="race horses",4,IF(J913="new vocabulary",4,IF(J913="sentences",5,IF(J913="concepts",5,IF(J913="ad slides",5,IF(J913="scenes",5,IF(J913="famous scenes",5,IF(J913="poems",6,IF(J913="walk",6,IF(J913="faces and events",6,IF(J913="events and names",6,IF(J913="flashbulb",7,IF(J913="stories",7,IF(J913="course material",7,IF(J913="autobiographical",7,IF(J913="novels",7,IF(J913="public events",7,"99"))))))))))))))))))))))))))))))))))))))))))))))</f>
        <v>2</v>
      </c>
      <c r="M913" s="60">
        <v>1</v>
      </c>
      <c r="N913" s="61">
        <v>1</v>
      </c>
      <c r="O913" s="60">
        <v>0</v>
      </c>
      <c r="P913" s="60"/>
      <c r="Q913" s="60" t="s">
        <v>174</v>
      </c>
      <c r="R913" s="60">
        <f>IF(Q913="Free Recall",1,IF(Q913="Cued Recall",2,IF(Q913="Recognition",3,IF(Q913="Multiple Choice",4,IF(Q913="Savings",5,IF(Q913="Stem Completion",6,IF(Q913="Fragment Completion",7,IF(Q913="anagram solution",8,IF(Q913="Matching",9,IF(Q913="Problem Solving",10,"99"))))))))))</f>
        <v>1</v>
      </c>
      <c r="S913" s="60" t="s">
        <v>15</v>
      </c>
      <c r="T913" s="59" t="s">
        <v>581</v>
      </c>
      <c r="U913" s="60">
        <f>IF(T913="within",1,0)</f>
        <v>1</v>
      </c>
      <c r="V913" s="59">
        <v>120</v>
      </c>
      <c r="W913" s="60">
        <f>F913*V913</f>
        <v>1320</v>
      </c>
      <c r="X913" s="60">
        <v>6</v>
      </c>
      <c r="Y913" s="76">
        <f>AV912</f>
        <v>2</v>
      </c>
      <c r="Z913" s="60" t="s">
        <v>165</v>
      </c>
      <c r="AA913" s="60">
        <f>60*60*24*7*3</f>
        <v>1814400</v>
      </c>
      <c r="AB913" s="60" t="str">
        <f>IF(AA913&lt;60,"1",IF(AA913&lt;=43200,"2",IF(AA913&lt;=777600,"3","4")))</f>
        <v>4</v>
      </c>
      <c r="AC913" s="56">
        <f>AVERAGE(AV912:DA912)</f>
        <v>417907</v>
      </c>
      <c r="AD913" s="60" t="str">
        <f>IF(AC913&lt;60,"1",IF(AC913&lt;=43200,"2",IF(AC913&lt;=777600,"3","4")))</f>
        <v>3</v>
      </c>
      <c r="AE913" s="76">
        <f>AA913-Y913</f>
        <v>1814398</v>
      </c>
      <c r="AF913" s="80">
        <f>AV913</f>
        <v>0.84312749003984</v>
      </c>
      <c r="AG913" s="56">
        <f>((AW913-AV913)+(AX913-AW913)+(AY913-AX913)+(AZ913-AY913)+(BA913-AZ913))/5</f>
        <v>-4.795816733067719E-2</v>
      </c>
      <c r="AH913" s="4"/>
      <c r="AI913" s="56">
        <f>RSQ(AV913:BA913,AV912:BA912)</f>
        <v>0.4827664481227153</v>
      </c>
      <c r="AJ913" s="109">
        <f>SLOPE(AV913:BA913,AV912:BA912)</f>
        <v>-8.8703440771287719E-8</v>
      </c>
      <c r="AK913" s="56">
        <f>INTERCEPT(AV913:BA913,AV912:BA912)</f>
        <v>0.74025703981842195</v>
      </c>
      <c r="AL913" s="56">
        <f>INDEX(LINEST(LN(AV913:BA913),LN(AV912:BA912),TRUE,TRUE),3,1)</f>
        <v>0.97217173662312839</v>
      </c>
      <c r="AM913" s="56">
        <f>INDEX(LINEST(LN(AV913:BA913),LN(AV912:BA912)),1)</f>
        <v>-2.3219369023365778E-2</v>
      </c>
      <c r="AN913" s="56">
        <f>EXP(INDEX(LINEST(LN(AV913:BA913),LN(AV912:BA912)),1,2))</f>
        <v>0.85048315016090148</v>
      </c>
      <c r="AO913" s="82">
        <f>INDEX(LINEST((AV913:BA913),LN(AV912:BA912),TRUE,TRUE),3,1)</f>
        <v>0.97095956827307817</v>
      </c>
      <c r="AP913" s="82">
        <f>INDEX(LINEST((AV913:BA913),LN(AV912:BA912)),1)</f>
        <v>-1.6539020331656856E-2</v>
      </c>
      <c r="AQ913" s="83">
        <f>INDEX(LINEST(LN(AV913:BA913),SQRT(AV912:BA912),TRUE,TRUE),3,1)</f>
        <v>0.71559194053924247</v>
      </c>
      <c r="AR913" s="116">
        <f>INDEX(LINEST(LN(AV913:BA913),SQRT((AV912:BA912))),1)</f>
        <v>-2.0071590993617236E-4</v>
      </c>
      <c r="AS913" s="84">
        <f>INDEX(LINEST(1/(AV913:BA913),1/(SQRT(AV912:BA912)),TRUE,TRUE),3,1)</f>
        <v>0.61560797977741999</v>
      </c>
      <c r="AT913" s="84">
        <f>INDEX(LINEST(1/(AV913:BA913),1/SQRT(AV912:BA912)),1)</f>
        <v>-0.51417333975166979</v>
      </c>
      <c r="AU913" s="3"/>
      <c r="AV913" s="53">
        <v>0.84312749003984</v>
      </c>
      <c r="AW913" s="53">
        <v>0.75722111553784799</v>
      </c>
      <c r="AX913" s="53">
        <v>0.74003984063744999</v>
      </c>
      <c r="AY913" s="53">
        <v>0.64890438247011906</v>
      </c>
      <c r="AZ913" s="53">
        <v>0.62649402390438202</v>
      </c>
      <c r="BA913" s="53">
        <v>0.60333665338645404</v>
      </c>
      <c r="BB913" s="53"/>
      <c r="BC913" s="53"/>
      <c r="BD913" s="53"/>
      <c r="BE913" s="53"/>
      <c r="BF913" s="53"/>
      <c r="BG913" s="53"/>
      <c r="BH913" s="53"/>
      <c r="BI913" s="53"/>
      <c r="BJ913" s="53"/>
      <c r="BK913" s="53"/>
      <c r="BL913" s="53"/>
      <c r="BM913" s="53"/>
      <c r="BN913" s="53"/>
      <c r="BO913" s="53"/>
      <c r="BP913" s="53"/>
      <c r="BQ913" s="53"/>
      <c r="BR913" s="53"/>
      <c r="BS913" s="53"/>
      <c r="BT913" s="53"/>
      <c r="BU913" s="53"/>
      <c r="BV913" s="53"/>
      <c r="BW913" s="53"/>
      <c r="BX913" s="53"/>
      <c r="BY913" s="53"/>
      <c r="BZ913" s="53"/>
      <c r="CA913" s="53"/>
      <c r="CB913" s="53"/>
      <c r="CC913" s="53"/>
      <c r="CD913" s="53"/>
      <c r="CE913" s="53"/>
      <c r="CF913" s="53"/>
      <c r="CG913" s="53"/>
      <c r="CH913" s="53"/>
      <c r="CI913" s="53"/>
      <c r="CJ913" s="53"/>
      <c r="CK913" s="53"/>
      <c r="CL913" s="53"/>
      <c r="CM913" s="53"/>
      <c r="CN913" s="53"/>
      <c r="CO913" s="53"/>
      <c r="CP913" s="53"/>
      <c r="CQ913" s="53"/>
      <c r="CR913" s="16"/>
      <c r="CS913" s="16"/>
      <c r="CT913" s="16"/>
      <c r="CU913" s="16"/>
    </row>
    <row r="914" spans="1:99" s="13" customFormat="1" ht="12" customHeight="1" x14ac:dyDescent="0.2">
      <c r="A914" s="68">
        <v>43509</v>
      </c>
      <c r="B914" s="70"/>
      <c r="C914" s="70"/>
      <c r="D914" s="69"/>
      <c r="E914" s="87"/>
      <c r="F914" s="69"/>
      <c r="G914" s="69"/>
      <c r="H914" s="69"/>
      <c r="I914" s="69"/>
      <c r="J914" s="69"/>
      <c r="K914" s="107"/>
      <c r="L914" s="107"/>
      <c r="M914" s="69"/>
      <c r="N914" s="69"/>
      <c r="O914" s="69"/>
      <c r="P914" s="69"/>
      <c r="Q914" s="69"/>
      <c r="R914" s="69"/>
      <c r="S914" s="69"/>
      <c r="T914" s="69"/>
      <c r="U914" s="69"/>
      <c r="V914" s="69"/>
      <c r="W914" s="69"/>
      <c r="X914" s="69"/>
      <c r="Y914" s="87"/>
      <c r="Z914" s="69"/>
      <c r="AA914" s="69"/>
      <c r="AB914" s="69"/>
      <c r="AC914" s="69"/>
      <c r="AD914" s="69"/>
      <c r="AE914" s="69"/>
      <c r="AF914" s="88"/>
      <c r="AG914" s="72"/>
      <c r="AH914" s="4"/>
      <c r="AI914" s="72"/>
      <c r="AJ914" s="110"/>
      <c r="AK914" s="72"/>
      <c r="AL914" s="72"/>
      <c r="AM914" s="72"/>
      <c r="AN914" s="72"/>
      <c r="AO914" s="72"/>
      <c r="AP914" s="72"/>
      <c r="AQ914" s="72"/>
      <c r="AR914" s="110"/>
      <c r="AS914" s="72"/>
      <c r="AT914" s="72"/>
      <c r="AU914" s="4"/>
      <c r="AV914" s="73">
        <v>0.01</v>
      </c>
      <c r="AW914" s="71">
        <v>3</v>
      </c>
      <c r="AX914" s="71">
        <v>6</v>
      </c>
      <c r="AY914" s="71">
        <v>9</v>
      </c>
      <c r="AZ914" s="71">
        <v>12</v>
      </c>
      <c r="BA914" s="71">
        <v>18</v>
      </c>
      <c r="BB914" s="4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1"/>
      <c r="CS914" s="1"/>
      <c r="CT914" s="1"/>
      <c r="CU914" s="1"/>
    </row>
    <row r="915" spans="1:99" s="13" customFormat="1" ht="12" customHeight="1" x14ac:dyDescent="0.2">
      <c r="A915" s="68">
        <v>43509</v>
      </c>
      <c r="B915" s="70" t="s">
        <v>248</v>
      </c>
      <c r="C915" s="70" t="s">
        <v>19</v>
      </c>
      <c r="D915" s="69">
        <v>1961</v>
      </c>
      <c r="E915" s="87">
        <v>1</v>
      </c>
      <c r="F915" s="69">
        <v>24</v>
      </c>
      <c r="G915" s="69">
        <v>24</v>
      </c>
      <c r="H915" s="69" t="s">
        <v>22</v>
      </c>
      <c r="I915" s="69" t="s">
        <v>443</v>
      </c>
      <c r="J915" s="69" t="s">
        <v>443</v>
      </c>
      <c r="K915" s="69">
        <f>IF(J915="syllables",1,IF(J915="trigrams",2,IF(J915="strings",3,IF(J915="visual array",4,IF(J915="characters",5,IF(J915="letters",6,IF(J915="free forms",7,IF(J915="odors",8,IF(J915="words",9,IF(J915="pictures",10,IF(J915="object pictures",11,IF(J915="faces",12,IF(J915="names",13,IF(J915="idioms",14,IF(J915="grades",15,IF(J915="syllable-digit pairs",16,IF(J915="trigram-word pairs",17,IF(J915="word-digit pairs",18,IF(J915="English-Swahili pairs",19,IF(J915="spatial position",20,IF(J915="word pairs",21,IF(J915="word triads",22,IF(J915="generated words",23,IF(J915="word definition pairs",24,IF(J915="math problems",25,IF(J915="famous faces",26,IF(J915="famous names",27,IF(J915="famous voices",28,IF(J915="television programs",29,IF(J915="race horses",30,IF(J915="new vocabulary",31,IF(J915="sentences",32,IF(J915="concepts",33,IF(J915="ad slides",34,IF(J915="scenes",35,IF(J915="famous scenes",36,IF(J915="poems",37,IF(J915="walk",38,IF(J915="faces and events",39,IF(J915="events and names",40,IF(J915="flashbulb",41,IF(J915="stories",42,IF(J915="course material",43,IF(J915="autobiographical",44,IF(J915="novels",45,IF(J915="public events",46,"99"))))))))))))))))))))))))))))))))))))))))))))))</f>
        <v>2</v>
      </c>
      <c r="L915" s="69">
        <f>IF(J915="syllables",1,IF(J915="trigrams",1,IF(J915="strings",1,IF(J915="visual array",1,IF(J915="characters",1,IF(J915="letters",1,IF(J915="free forms",1,IF(J915="odors",2,IF(J915="words",2,IF(J915="pictures",2,IF(J915="object pictures",2,IF(J915="faces",2,IF(J915="names",2,IF(J915="idioms","2",IF(J915="grades",2,IF(J915="syllable-digit pairs",3,IF(J915="trigram-word pairs",3,IF(J915="word-digit pairs",3,IF(J915="English-Swahili pairs",3,IF(J915="spatial position",3,IF(J915="word pairs",4,IF(J915="word triads",4,IF(J915="generated words",4,IF(J915="word definition pairs",4,IF(J915="math problems",4,IF(J915="famous faces",4,IF(J915="famous names",4,IF(J915="famous voices",4,IF(J915="television programs",4,IF(J915="race horses",4,IF(J915="new vocabulary",4,IF(J915="sentences",5,IF(J915="concepts",5,IF(J915="ad slides",5,IF(J915="scenes",5,IF(J915="famous scenes",5,IF(J915="poems",6,IF(J915="walk",6,IF(J915="faces and events",6,IF(J915="events and names",6,IF(J915="flashbulb",7,IF(J915="stories",7,IF(J915="course material",7,IF(J915="autobiographical",7,IF(J915="novels",7,IF(J915="public events",7,"99"))))))))))))))))))))))))))))))))))))))))))))))</f>
        <v>1</v>
      </c>
      <c r="M915" s="69">
        <v>0</v>
      </c>
      <c r="N915" s="69">
        <v>1</v>
      </c>
      <c r="O915" s="69">
        <v>1</v>
      </c>
      <c r="P915" s="69" t="s">
        <v>27</v>
      </c>
      <c r="Q915" s="69" t="s">
        <v>174</v>
      </c>
      <c r="R915" s="69">
        <f>IF(Q915="Free Recall",1,IF(Q915="Cued Recall",2,IF(Q915="Recognition",3,IF(Q915="Multiple Choice",4,IF(Q915="Savings",5,IF(Q915="Stem Completion",6,IF(Q915="Fragment Completion",7,IF(Q915="anagram solution",8,IF(Q915="Matching",9,IF(Q915="Problem Solving",10,"99"))))))))))</f>
        <v>1</v>
      </c>
      <c r="S915" s="69" t="s">
        <v>49</v>
      </c>
      <c r="T915" s="92" t="s">
        <v>581</v>
      </c>
      <c r="U915" s="69">
        <f>IF(T915="within",1,0)</f>
        <v>1</v>
      </c>
      <c r="V915" s="92">
        <v>48</v>
      </c>
      <c r="W915" s="69">
        <f>F915*V915</f>
        <v>1152</v>
      </c>
      <c r="X915" s="69">
        <v>6</v>
      </c>
      <c r="Y915" s="87">
        <f>AV914</f>
        <v>0.01</v>
      </c>
      <c r="Z915" s="69" t="s">
        <v>28</v>
      </c>
      <c r="AA915" s="69">
        <v>18</v>
      </c>
      <c r="AB915" s="69" t="str">
        <f>IF(AA915&lt;60,"1",IF(AA915&lt;=43200,"2",IF(AA915&lt;=777600,"3","4")))</f>
        <v>1</v>
      </c>
      <c r="AC915" s="72">
        <f>AVERAGE(AV914:DA914)</f>
        <v>8.0016666666666669</v>
      </c>
      <c r="AD915" s="69" t="str">
        <f>IF(AC915&lt;60,"1",IF(AC915&lt;=43200,"2",IF(AC915&lt;=777600,"3","4")))</f>
        <v>1</v>
      </c>
      <c r="AE915" s="87">
        <f>AA915-Y915</f>
        <v>17.989999999999998</v>
      </c>
      <c r="AF915" s="88">
        <f>AV915</f>
        <v>0.94</v>
      </c>
      <c r="AG915" s="72">
        <f>((AW915-AV915)+(AX915-AW915)+(AY915-AX915)+(AZ915-AY915)+(BA915-AZ915))/5</f>
        <v>-0.15599999999999997</v>
      </c>
      <c r="AH915" s="4"/>
      <c r="AI915" s="72">
        <f>RSQ(AV915:BA915,AV914:BA914)</f>
        <v>0.81849037575686934</v>
      </c>
      <c r="AJ915" s="110">
        <f>SLOPE(AV915:BA915,AV914:BA914)</f>
        <v>-4.4534945460451836E-2</v>
      </c>
      <c r="AK915" s="72">
        <f>INTERCEPT(AV915:BA915,AV914:BA914)</f>
        <v>0.81802045525938216</v>
      </c>
      <c r="AL915" s="72">
        <f>INDEX(LINEST(LN(AV915:BA915),LN(AV914:BA914),TRUE,TRUE),3,1)</f>
        <v>0.62912140782443227</v>
      </c>
      <c r="AM915" s="72">
        <f>INDEX(LINEST(LN(AV915:BA915),LN(AV914:BA914)),1)</f>
        <v>-0.19711267967239077</v>
      </c>
      <c r="AN915" s="72">
        <f>EXP(INDEX(LINEST(LN(AV915:BA915),LN(AV914:BA914)),1,2))</f>
        <v>0.45751493307901042</v>
      </c>
      <c r="AO915" s="89">
        <f>INDEX(LINEST((AV915:BA915),LN(AV914:BA914),TRUE,TRUE),3,1)</f>
        <v>0.7387487597159994</v>
      </c>
      <c r="AP915" s="89">
        <f>INDEX(LINEST((AV915:BA915),LN(AV914:BA914)),1)</f>
        <v>-9.7812688207783757E-2</v>
      </c>
      <c r="AQ915" s="90">
        <f>INDEX(LINEST(LN(AV915:BA915),SQRT(AV914:BA914),TRUE,TRUE),3,1)</f>
        <v>0.92124945739510899</v>
      </c>
      <c r="AR915" s="117">
        <f>INDEX(LINEST(LN(AV915:BA915),SQRT((AV914:BA914))),1)</f>
        <v>-0.45974766711566617</v>
      </c>
      <c r="AS915" s="91">
        <f>INDEX(LINEST(1/(AV915:BA915),1/(SQRT(AV914:BA914)),TRUE,TRUE),3,1)</f>
        <v>0.30589057199593844</v>
      </c>
      <c r="AT915" s="91">
        <f>INDEX(LINEST(1/(AV915:BA915),1/SQRT(AV914:BA914)),1)</f>
        <v>-0.27638330850290699</v>
      </c>
      <c r="AU915" s="3"/>
      <c r="AV915" s="73">
        <v>0.94</v>
      </c>
      <c r="AW915" s="73">
        <v>0.77</v>
      </c>
      <c r="AX915" s="73">
        <v>0.4</v>
      </c>
      <c r="AY915" s="73">
        <v>0.26</v>
      </c>
      <c r="AZ915" s="73">
        <v>0.24</v>
      </c>
      <c r="BA915" s="73">
        <v>0.16</v>
      </c>
      <c r="BB915" s="4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1"/>
      <c r="CS915" s="1"/>
      <c r="CT915" s="1"/>
      <c r="CU915" s="1"/>
    </row>
    <row r="916" spans="1:99" s="13" customFormat="1" ht="12" customHeight="1" x14ac:dyDescent="0.2">
      <c r="A916" s="68">
        <v>43509</v>
      </c>
      <c r="B916" s="70"/>
      <c r="C916" s="70"/>
      <c r="D916" s="69"/>
      <c r="E916" s="87"/>
      <c r="F916" s="69"/>
      <c r="G916" s="69"/>
      <c r="H916" s="69"/>
      <c r="I916" s="69"/>
      <c r="J916" s="69"/>
      <c r="K916" s="107"/>
      <c r="L916" s="107"/>
      <c r="M916" s="69"/>
      <c r="N916" s="69"/>
      <c r="O916" s="69"/>
      <c r="P916" s="69"/>
      <c r="Q916" s="69"/>
      <c r="R916" s="69"/>
      <c r="S916" s="69"/>
      <c r="T916" s="69"/>
      <c r="U916" s="69"/>
      <c r="V916" s="69"/>
      <c r="W916" s="69"/>
      <c r="X916" s="69"/>
      <c r="Y916" s="87"/>
      <c r="Z916" s="69"/>
      <c r="AA916" s="69"/>
      <c r="AB916" s="69"/>
      <c r="AC916" s="69"/>
      <c r="AD916" s="69"/>
      <c r="AE916" s="69"/>
      <c r="AF916" s="88"/>
      <c r="AG916" s="72"/>
      <c r="AH916" s="4"/>
      <c r="AI916" s="72"/>
      <c r="AJ916" s="110"/>
      <c r="AK916" s="72"/>
      <c r="AL916" s="72"/>
      <c r="AM916" s="72"/>
      <c r="AN916" s="72"/>
      <c r="AO916" s="89"/>
      <c r="AP916" s="89"/>
      <c r="AQ916" s="72"/>
      <c r="AR916" s="110"/>
      <c r="AS916" s="72"/>
      <c r="AT916" s="72"/>
      <c r="AU916" s="3"/>
      <c r="AV916" s="73">
        <v>0.01</v>
      </c>
      <c r="AW916" s="71">
        <v>3</v>
      </c>
      <c r="AX916" s="71">
        <v>6</v>
      </c>
      <c r="AY916" s="71">
        <v>9</v>
      </c>
      <c r="AZ916" s="71">
        <v>12</v>
      </c>
      <c r="BA916" s="71">
        <v>18</v>
      </c>
      <c r="BB916" s="4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1"/>
      <c r="CS916" s="1"/>
      <c r="CT916" s="1"/>
      <c r="CU916" s="1"/>
    </row>
    <row r="917" spans="1:99" s="13" customFormat="1" ht="12" customHeight="1" x14ac:dyDescent="0.2">
      <c r="A917" s="68">
        <v>43509</v>
      </c>
      <c r="B917" s="70" t="s">
        <v>248</v>
      </c>
      <c r="C917" s="70" t="s">
        <v>19</v>
      </c>
      <c r="D917" s="69">
        <v>1961</v>
      </c>
      <c r="E917" s="87">
        <v>1</v>
      </c>
      <c r="F917" s="69">
        <v>24</v>
      </c>
      <c r="G917" s="69">
        <v>24</v>
      </c>
      <c r="H917" s="69" t="s">
        <v>22</v>
      </c>
      <c r="I917" s="69" t="s">
        <v>16</v>
      </c>
      <c r="J917" s="69" t="s">
        <v>16</v>
      </c>
      <c r="K917" s="69">
        <f>IF(J917="syllables",1,IF(J917="trigrams",2,IF(J917="strings",3,IF(J917="visual array",4,IF(J917="characters",5,IF(J917="letters",6,IF(J917="free forms",7,IF(J917="odors",8,IF(J917="words",9,IF(J917="pictures",10,IF(J917="object pictures",11,IF(J917="faces",12,IF(J917="names",13,IF(J917="idioms",14,IF(J917="grades",15,IF(J917="syllable-digit pairs",16,IF(J917="trigram-word pairs",17,IF(J917="word-digit pairs",18,IF(J917="English-Swahili pairs",19,IF(J917="spatial position",20,IF(J917="word pairs",21,IF(J917="word triads",22,IF(J917="generated words",23,IF(J917="word definition pairs",24,IF(J917="math problems",25,IF(J917="famous faces",26,IF(J917="famous names",27,IF(J917="famous voices",28,IF(J917="television programs",29,IF(J917="race horses",30,IF(J917="new vocabulary",31,IF(J917="sentences",32,IF(J917="concepts",33,IF(J917="ad slides",34,IF(J917="scenes",35,IF(J917="famous scenes",36,IF(J917="poems",37,IF(J917="walk",38,IF(J917="faces and events",39,IF(J917="events and names",40,IF(J917="flashbulb",41,IF(J917="stories",42,IF(J917="course material",43,IF(J917="autobiographical",44,IF(J917="novels",45,IF(J917="public events",46,"99"))))))))))))))))))))))))))))))))))))))))))))))</f>
        <v>9</v>
      </c>
      <c r="L917" s="69">
        <f>IF(J917="syllables",1,IF(J917="trigrams",1,IF(J917="strings",1,IF(J917="visual array",1,IF(J917="characters",1,IF(J917="letters",1,IF(J917="free forms",1,IF(J917="odors",2,IF(J917="words",2,IF(J917="pictures",2,IF(J917="object pictures",2,IF(J917="faces",2,IF(J917="names",2,IF(J917="idioms","2",IF(J917="grades",2,IF(J917="syllable-digit pairs",3,IF(J917="trigram-word pairs",3,IF(J917="word-digit pairs",3,IF(J917="English-Swahili pairs",3,IF(J917="spatial position",3,IF(J917="word pairs",4,IF(J917="word triads",4,IF(J917="generated words",4,IF(J917="word definition pairs",4,IF(J917="math problems",4,IF(J917="famous faces",4,IF(J917="famous names",4,IF(J917="famous voices",4,IF(J917="television programs",4,IF(J917="race horses",4,IF(J917="new vocabulary",4,IF(J917="sentences",5,IF(J917="concepts",5,IF(J917="ad slides",5,IF(J917="scenes",5,IF(J917="famous scenes",5,IF(J917="poems",6,IF(J917="walk",6,IF(J917="faces and events",6,IF(J917="events and names",6,IF(J917="flashbulb",7,IF(J917="stories",7,IF(J917="course material",7,IF(J917="autobiographical",7,IF(J917="novels",7,IF(J917="public events",7,"99"))))))))))))))))))))))))))))))))))))))))))))))</f>
        <v>2</v>
      </c>
      <c r="M917" s="69">
        <v>0</v>
      </c>
      <c r="N917" s="69">
        <v>1</v>
      </c>
      <c r="O917" s="69">
        <v>1</v>
      </c>
      <c r="P917" s="69" t="s">
        <v>27</v>
      </c>
      <c r="Q917" s="69" t="s">
        <v>174</v>
      </c>
      <c r="R917" s="69">
        <f>IF(Q917="Free Recall",1,IF(Q917="Cued Recall",2,IF(Q917="Recognition",3,IF(Q917="Multiple Choice",4,IF(Q917="Savings",5,IF(Q917="Stem Completion",6,IF(Q917="Fragment Completion",7,IF(Q917="anagram solution",8,IF(Q917="Matching",9,IF(Q917="Problem Solving",10,"99"))))))))))</f>
        <v>1</v>
      </c>
      <c r="S917" s="69" t="s">
        <v>49</v>
      </c>
      <c r="T917" s="92" t="s">
        <v>581</v>
      </c>
      <c r="U917" s="69">
        <f>IF(T917="within",1,0)</f>
        <v>1</v>
      </c>
      <c r="V917" s="92">
        <v>48</v>
      </c>
      <c r="W917" s="69">
        <f>F917*V917</f>
        <v>1152</v>
      </c>
      <c r="X917" s="69">
        <v>6</v>
      </c>
      <c r="Y917" s="87">
        <f>AV916</f>
        <v>0.01</v>
      </c>
      <c r="Z917" s="69" t="s">
        <v>28</v>
      </c>
      <c r="AA917" s="69">
        <v>18</v>
      </c>
      <c r="AB917" s="69" t="str">
        <f>IF(AA917&lt;60,"1",IF(AA917&lt;=43200,"2",IF(AA917&lt;=777600,"3","4")))</f>
        <v>1</v>
      </c>
      <c r="AC917" s="72">
        <f>AVERAGE(AV916:DA916)</f>
        <v>8.0016666666666669</v>
      </c>
      <c r="AD917" s="69" t="str">
        <f>IF(AC917&lt;60,"1",IF(AC917&lt;=43200,"2",IF(AC917&lt;=777600,"3","4")))</f>
        <v>1</v>
      </c>
      <c r="AE917" s="87">
        <f>AA917-Y917</f>
        <v>17.989999999999998</v>
      </c>
      <c r="AF917" s="88">
        <f>AV917</f>
        <v>0.98</v>
      </c>
      <c r="AG917" s="72">
        <f>((AW917-AV917)+(AX917-AW917)+(AY917-AX917)+(AZ917-AY917)+(BA917-AZ917))/5</f>
        <v>-2.8000000000000004E-2</v>
      </c>
      <c r="AH917" s="4"/>
      <c r="AI917" s="72">
        <f>RSQ(AV917:BA917,AV916:BA916)</f>
        <v>0.90877600129590974</v>
      </c>
      <c r="AJ917" s="110">
        <f>SLOPE(AV917:BA917,AV916:BA916)</f>
        <v>-9.3377456880854911E-3</v>
      </c>
      <c r="AK917" s="72">
        <f>INTERCEPT(AV917:BA917,AV916:BA916)</f>
        <v>0.99805086174749746</v>
      </c>
      <c r="AL917" s="72">
        <f>INDEX(LINEST(LN(AV917:BA917),LN(AV916:BA916),TRUE,TRUE),3,1)</f>
        <v>0.3780058904665447</v>
      </c>
      <c r="AM917" s="72">
        <f>INDEX(LINEST(LN(AV917:BA917),LN(AV916:BA916)),1)</f>
        <v>-1.523492902687193E-2</v>
      </c>
      <c r="AN917" s="72">
        <f>EXP(INDEX(LINEST(LN(AV917:BA917),LN(AV916:BA916)),1,2))</f>
        <v>0.93530115235158784</v>
      </c>
      <c r="AO917" s="89">
        <f>INDEX(LINEST((AV917:BA917),LN(AV916:BA916),TRUE,TRUE),3,1)</f>
        <v>0.38205855615865225</v>
      </c>
      <c r="AP917" s="89">
        <f>INDEX(LINEST((AV917:BA917),LN(AV916:BA916)),1)</f>
        <v>-1.3996880611666767E-2</v>
      </c>
      <c r="AQ917" s="90">
        <f>INDEX(LINEST(LN(AV917:BA917),SQRT(AV916:BA916),TRUE,TRUE),3,1)</f>
        <v>0.75670580483261896</v>
      </c>
      <c r="AR917" s="117">
        <f>INDEX(LINEST(LN(AV917:BA917),SQRT((AV916:BA916))),1)</f>
        <v>-4.1546865669824865E-2</v>
      </c>
      <c r="AS917" s="91">
        <f>INDEX(LINEST(1/(AV917:BA917),1/(SQRT(AV916:BA916)),TRUE,TRUE),3,1)</f>
        <v>0.20806471826762604</v>
      </c>
      <c r="AT917" s="91">
        <f>INDEX(LINEST(1/(AV917:BA917),1/SQRT(AV916:BA916)),1)</f>
        <v>-8.8301750245386723E-3</v>
      </c>
      <c r="AU917" s="3"/>
      <c r="AV917" s="73">
        <v>0.98</v>
      </c>
      <c r="AW917" s="73">
        <v>0.99</v>
      </c>
      <c r="AX917" s="73">
        <v>0.96</v>
      </c>
      <c r="AY917" s="73">
        <v>0.91</v>
      </c>
      <c r="AZ917" s="73">
        <v>0.86</v>
      </c>
      <c r="BA917" s="73">
        <v>0.84</v>
      </c>
      <c r="BB917" s="4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1"/>
      <c r="CS917" s="1"/>
      <c r="CT917" s="1"/>
      <c r="CU917" s="1"/>
    </row>
    <row r="918" spans="1:99" s="13" customFormat="1" ht="12" customHeight="1" x14ac:dyDescent="0.2">
      <c r="A918" s="68">
        <v>43509</v>
      </c>
      <c r="B918" s="70"/>
      <c r="C918" s="70"/>
      <c r="D918" s="69"/>
      <c r="E918" s="87"/>
      <c r="F918" s="69"/>
      <c r="G918" s="69"/>
      <c r="H918" s="69"/>
      <c r="I918" s="69"/>
      <c r="J918" s="69"/>
      <c r="K918" s="107"/>
      <c r="L918" s="107"/>
      <c r="M918" s="69"/>
      <c r="N918" s="69"/>
      <c r="O918" s="69"/>
      <c r="P918" s="69"/>
      <c r="Q918" s="69"/>
      <c r="R918" s="69"/>
      <c r="S918" s="69"/>
      <c r="T918" s="69"/>
      <c r="U918" s="69"/>
      <c r="V918" s="92"/>
      <c r="W918" s="69"/>
      <c r="X918" s="69"/>
      <c r="Y918" s="87"/>
      <c r="Z918" s="69"/>
      <c r="AA918" s="69"/>
      <c r="AB918" s="69"/>
      <c r="AC918" s="69"/>
      <c r="AD918" s="69"/>
      <c r="AE918" s="69"/>
      <c r="AF918" s="88"/>
      <c r="AG918" s="72"/>
      <c r="AH918" s="4"/>
      <c r="AI918" s="72"/>
      <c r="AJ918" s="110"/>
      <c r="AK918" s="72"/>
      <c r="AL918" s="72"/>
      <c r="AM918" s="72"/>
      <c r="AN918" s="72"/>
      <c r="AO918" s="89"/>
      <c r="AP918" s="89"/>
      <c r="AQ918" s="72"/>
      <c r="AR918" s="110"/>
      <c r="AS918" s="72"/>
      <c r="AT918" s="72"/>
      <c r="AU918" s="3"/>
      <c r="AV918" s="73">
        <v>0.01</v>
      </c>
      <c r="AW918" s="71">
        <v>3</v>
      </c>
      <c r="AX918" s="71">
        <v>6</v>
      </c>
      <c r="AY918" s="71">
        <v>9</v>
      </c>
      <c r="AZ918" s="71">
        <v>12</v>
      </c>
      <c r="BA918" s="71">
        <v>18</v>
      </c>
      <c r="BB918" s="4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1"/>
      <c r="CS918" s="1"/>
      <c r="CT918" s="1"/>
      <c r="CU918" s="1"/>
    </row>
    <row r="919" spans="1:99" s="13" customFormat="1" ht="12" customHeight="1" x14ac:dyDescent="0.2">
      <c r="A919" s="68">
        <v>43509</v>
      </c>
      <c r="B919" s="70" t="s">
        <v>248</v>
      </c>
      <c r="C919" s="70" t="s">
        <v>19</v>
      </c>
      <c r="D919" s="69">
        <v>1961</v>
      </c>
      <c r="E919" s="87">
        <v>1</v>
      </c>
      <c r="F919" s="69">
        <v>24</v>
      </c>
      <c r="G919" s="69">
        <v>24</v>
      </c>
      <c r="H919" s="69" t="s">
        <v>22</v>
      </c>
      <c r="I919" s="69" t="s">
        <v>741</v>
      </c>
      <c r="J919" s="69" t="s">
        <v>741</v>
      </c>
      <c r="K919" s="69">
        <f>IF(J919="syllables",1,IF(J919="trigrams",2,IF(J919="strings",3,IF(J919="visual array",4,IF(J919="characters",5,IF(J919="letters",6,IF(J919="free forms",7,IF(J919="odors",8,IF(J919="words",9,IF(J919="pictures",10,IF(J919="object pictures",11,IF(J919="faces",12,IF(J919="names",13,IF(J919="idioms",14,IF(J919="grades",15,IF(J919="syllable-digit pairs",16,IF(J919="trigram-word pairs",17,IF(J919="word-digit pairs",18,IF(J919="English-Swahili pairs",19,IF(J919="spatial position",20,IF(J919="word pairs",21,IF(J919="word triads",22,IF(J919="generated words",23,IF(J919="word definition pairs",24,IF(J919="math problems",25,IF(J919="famous faces",26,IF(J919="famous names",27,IF(J919="famous voices",28,IF(J919="television programs",29,IF(J919="race horses",30,IF(J919="new vocabulary",31,IF(J919="sentences",32,IF(J919="concepts",33,IF(J919="ad slides",34,IF(J919="scenes",35,IF(J919="famous scenes",36,IF(J919="poems",37,IF(J919="walk",38,IF(J919="faces and events",39,IF(J919="events and names",40,IF(J919="flashbulb",41,IF(J919="stories",42,IF(J919="course material",43,IF(J919="autobiographical",44,IF(J919="novels",45,IF(J919="public events",46,"99"))))))))))))))))))))))))))))))))))))))))))))))</f>
        <v>22</v>
      </c>
      <c r="L919" s="69">
        <f>IF(J919="syllables",1,IF(J919="trigrams",1,IF(J919="strings",1,IF(J919="visual array",1,IF(J919="characters",1,IF(J919="letters",1,IF(J919="free forms",1,IF(J919="odors",2,IF(J919="words",2,IF(J919="pictures",2,IF(J919="object pictures",2,IF(J919="faces",2,IF(J919="names",2,IF(J919="idioms","2",IF(J919="grades",2,IF(J919="syllable-digit pairs",3,IF(J919="trigram-word pairs",3,IF(J919="word-digit pairs",3,IF(J919="English-Swahili pairs",3,IF(J919="spatial position",3,IF(J919="word pairs",4,IF(J919="word triads",4,IF(J919="generated words",4,IF(J919="word definition pairs",4,IF(J919="math problems",4,IF(J919="famous faces",4,IF(J919="famous names",4,IF(J919="famous voices",4,IF(J919="television programs",4,IF(J919="race horses",4,IF(J919="new vocabulary",4,IF(J919="sentences",5,IF(J919="concepts",5,IF(J919="ad slides",5,IF(J919="scenes",5,IF(J919="famous scenes",5,IF(J919="poems",6,IF(J919="walk",6,IF(J919="faces and events",6,IF(J919="events and names",6,IF(J919="flashbulb",7,IF(J919="stories",7,IF(J919="course material",7,IF(J919="autobiographical",7,IF(J919="novels",7,IF(J919="public events",7,"99"))))))))))))))))))))))))))))))))))))))))))))))</f>
        <v>4</v>
      </c>
      <c r="M919" s="69">
        <v>0</v>
      </c>
      <c r="N919" s="69">
        <v>1</v>
      </c>
      <c r="O919" s="69">
        <v>1</v>
      </c>
      <c r="P919" s="69" t="s">
        <v>27</v>
      </c>
      <c r="Q919" s="69" t="s">
        <v>174</v>
      </c>
      <c r="R919" s="69">
        <f>IF(Q919="Free Recall",1,IF(Q919="Cued Recall",2,IF(Q919="Recognition",3,IF(Q919="Multiple Choice",4,IF(Q919="Savings",5,IF(Q919="Stem Completion",6,IF(Q919="Fragment Completion",7,IF(Q919="anagram solution",8,IF(Q919="Matching",9,IF(Q919="Problem Solving",10,"99"))))))))))</f>
        <v>1</v>
      </c>
      <c r="S919" s="69" t="s">
        <v>49</v>
      </c>
      <c r="T919" s="92" t="s">
        <v>581</v>
      </c>
      <c r="U919" s="69">
        <f>IF(T919="within",1,0)</f>
        <v>1</v>
      </c>
      <c r="V919" s="92">
        <v>48</v>
      </c>
      <c r="W919" s="69">
        <f>F919*V919</f>
        <v>1152</v>
      </c>
      <c r="X919" s="69">
        <v>6</v>
      </c>
      <c r="Y919" s="87">
        <f>AV918</f>
        <v>0.01</v>
      </c>
      <c r="Z919" s="69" t="s">
        <v>28</v>
      </c>
      <c r="AA919" s="69">
        <v>18</v>
      </c>
      <c r="AB919" s="69" t="str">
        <f>IF(AA919&lt;60,"1",IF(AA919&lt;=43200,"2",IF(AA919&lt;=777600,"3","4")))</f>
        <v>1</v>
      </c>
      <c r="AC919" s="72">
        <f>AVERAGE(AV918:DA918)</f>
        <v>8.0016666666666669</v>
      </c>
      <c r="AD919" s="69" t="str">
        <f>IF(AC919&lt;60,"1",IF(AC919&lt;=43200,"2",IF(AC919&lt;=777600,"3","4")))</f>
        <v>1</v>
      </c>
      <c r="AE919" s="87">
        <f>AA919-Y919</f>
        <v>17.989999999999998</v>
      </c>
      <c r="AF919" s="88">
        <f>AV919</f>
        <v>0.93</v>
      </c>
      <c r="AG919" s="72">
        <f>((AW919-AV919)+(AX919-AW919)+(AY919-AX919)+(AZ919-AY919)+(BA919-AZ919))/5</f>
        <v>-0.14000000000000001</v>
      </c>
      <c r="AH919" s="4"/>
      <c r="AI919" s="72">
        <f>RSQ(AV919:BA919,AV918:BA918)</f>
        <v>0.7733831226381368</v>
      </c>
      <c r="AJ919" s="110">
        <f>SLOPE(AV919:BA919,AV918:BA918)</f>
        <v>-3.8245870565720493E-2</v>
      </c>
      <c r="AK919" s="72">
        <f>INTERCEPT(AV919:BA919,AV918:BA918)</f>
        <v>0.78769737431004017</v>
      </c>
      <c r="AL919" s="72">
        <f>INDEX(LINEST(LN(AV919:BA919),LN(AV918:BA918),TRUE,TRUE),3,1)</f>
        <v>0.7015796379290582</v>
      </c>
      <c r="AM919" s="72">
        <f>INDEX(LINEST(LN(AV919:BA919),LN(AV918:BA918)),1)</f>
        <v>-0.16430871566677174</v>
      </c>
      <c r="AN919" s="72">
        <f>EXP(INDEX(LINEST(LN(AV919:BA919),LN(AV918:BA918)),1,2))</f>
        <v>0.4956550934992876</v>
      </c>
      <c r="AO919" s="89">
        <f>INDEX(LINEST((AV919:BA919),LN(AV918:BA918),TRUE,TRUE),3,1)</f>
        <v>0.79027051149362137</v>
      </c>
      <c r="AP919" s="89">
        <f>INDEX(LINEST((AV919:BA919),LN(AV918:BA918)),1)</f>
        <v>-8.9377411030479137E-2</v>
      </c>
      <c r="AQ919" s="90">
        <f>INDEX(LINEST(LN(AV919:BA919),SQRT(AV918:BA918),TRUE,TRUE),3,1)</f>
        <v>0.92294973756443077</v>
      </c>
      <c r="AR919" s="117">
        <f>INDEX(LINEST(LN(AV919:BA919),SQRT((AV918:BA918))),1)</f>
        <v>-0.36324088051232856</v>
      </c>
      <c r="AS919" s="91">
        <f>INDEX(LINEST(1/(AV919:BA919),1/(SQRT(AV918:BA918)),TRUE,TRUE),3,1)</f>
        <v>0.41115114811717846</v>
      </c>
      <c r="AT919" s="91">
        <f>INDEX(LINEST(1/(AV919:BA919),1/SQRT(AV918:BA918)),1)</f>
        <v>-0.20367997901953955</v>
      </c>
      <c r="AU919" s="3"/>
      <c r="AV919" s="73">
        <v>0.93</v>
      </c>
      <c r="AW919" s="73">
        <v>0.73</v>
      </c>
      <c r="AX919" s="73">
        <v>0.39</v>
      </c>
      <c r="AY919" s="73">
        <v>0.3</v>
      </c>
      <c r="AZ919" s="73">
        <v>0.31</v>
      </c>
      <c r="BA919" s="73">
        <v>0.23</v>
      </c>
      <c r="BB919" s="4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1"/>
      <c r="CS919" s="1"/>
      <c r="CT919" s="1"/>
      <c r="CU919" s="1"/>
    </row>
    <row r="920" spans="1:99" s="13" customFormat="1" ht="12" customHeight="1" x14ac:dyDescent="0.2">
      <c r="A920" s="68">
        <v>43509</v>
      </c>
      <c r="B920" s="70"/>
      <c r="C920" s="70"/>
      <c r="D920" s="69"/>
      <c r="E920" s="87"/>
      <c r="F920" s="69"/>
      <c r="G920" s="69"/>
      <c r="H920" s="69"/>
      <c r="I920" s="69"/>
      <c r="J920" s="69"/>
      <c r="K920" s="107"/>
      <c r="L920" s="107"/>
      <c r="M920" s="69"/>
      <c r="N920" s="69"/>
      <c r="O920" s="69"/>
      <c r="P920" s="69"/>
      <c r="Q920" s="69"/>
      <c r="R920" s="69"/>
      <c r="S920" s="69"/>
      <c r="T920" s="69"/>
      <c r="U920" s="69"/>
      <c r="V920" s="69"/>
      <c r="W920" s="69"/>
      <c r="X920" s="69"/>
      <c r="Y920" s="87"/>
      <c r="Z920" s="69"/>
      <c r="AA920" s="69"/>
      <c r="AB920" s="69"/>
      <c r="AC920" s="69"/>
      <c r="AD920" s="69"/>
      <c r="AE920" s="69"/>
      <c r="AF920" s="88"/>
      <c r="AG920" s="72"/>
      <c r="AH920" s="4"/>
      <c r="AI920" s="72"/>
      <c r="AJ920" s="110"/>
      <c r="AK920" s="72"/>
      <c r="AL920" s="72"/>
      <c r="AM920" s="72"/>
      <c r="AN920" s="72"/>
      <c r="AO920" s="89"/>
      <c r="AP920" s="89"/>
      <c r="AQ920" s="72"/>
      <c r="AR920" s="110"/>
      <c r="AS920" s="72"/>
      <c r="AT920" s="72"/>
      <c r="AU920" s="3"/>
      <c r="AV920" s="73">
        <v>0.01</v>
      </c>
      <c r="AW920" s="71">
        <v>3</v>
      </c>
      <c r="AX920" s="71">
        <v>6</v>
      </c>
      <c r="AY920" s="71">
        <v>9</v>
      </c>
      <c r="AZ920" s="71">
        <v>12</v>
      </c>
      <c r="BA920" s="71">
        <v>18</v>
      </c>
      <c r="BB920" s="4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1"/>
      <c r="CS920" s="1"/>
      <c r="CT920" s="1"/>
      <c r="CU920" s="1"/>
    </row>
    <row r="921" spans="1:99" s="13" customFormat="1" ht="12" customHeight="1" x14ac:dyDescent="0.2">
      <c r="A921" s="68">
        <v>43509</v>
      </c>
      <c r="B921" s="70" t="s">
        <v>248</v>
      </c>
      <c r="C921" s="70" t="s">
        <v>19</v>
      </c>
      <c r="D921" s="69">
        <v>1961</v>
      </c>
      <c r="E921" s="87">
        <v>2</v>
      </c>
      <c r="F921" s="69">
        <v>24</v>
      </c>
      <c r="G921" s="69">
        <v>24</v>
      </c>
      <c r="H921" s="69" t="s">
        <v>30</v>
      </c>
      <c r="I921" s="69">
        <v>0</v>
      </c>
      <c r="J921" s="69" t="s">
        <v>16</v>
      </c>
      <c r="K921" s="69">
        <f>IF(J921="syllables",1,IF(J921="trigrams",2,IF(J921="strings",3,IF(J921="visual array",4,IF(J921="characters",5,IF(J921="letters",6,IF(J921="free forms",7,IF(J921="odors",8,IF(J921="words",9,IF(J921="pictures",10,IF(J921="object pictures",11,IF(J921="faces",12,IF(J921="names",13,IF(J921="idioms",14,IF(J921="grades",15,IF(J921="syllable-digit pairs",16,IF(J921="trigram-word pairs",17,IF(J921="word-digit pairs",18,IF(J921="English-Swahili pairs",19,IF(J921="spatial position",20,IF(J921="word pairs",21,IF(J921="word triads",22,IF(J921="generated words",23,IF(J921="word definition pairs",24,IF(J921="math problems",25,IF(J921="famous faces",26,IF(J921="famous names",27,IF(J921="famous voices",28,IF(J921="television programs",29,IF(J921="race horses",30,IF(J921="new vocabulary",31,IF(J921="sentences",32,IF(J921="concepts",33,IF(J921="ad slides",34,IF(J921="scenes",35,IF(J921="famous scenes",36,IF(J921="poems",37,IF(J921="walk",38,IF(J921="faces and events",39,IF(J921="events and names",40,IF(J921="flashbulb",41,IF(J921="stories",42,IF(J921="course material",43,IF(J921="autobiographical",44,IF(J921="novels",45,IF(J921="public events",46,"99"))))))))))))))))))))))))))))))))))))))))))))))</f>
        <v>9</v>
      </c>
      <c r="L921" s="69">
        <f>IF(J921="syllables",1,IF(J921="trigrams",1,IF(J921="strings",1,IF(J921="visual array",1,IF(J921="characters",1,IF(J921="letters",1,IF(J921="free forms",1,IF(J921="odors",2,IF(J921="words",2,IF(J921="pictures",2,IF(J921="object pictures",2,IF(J921="faces",2,IF(J921="names",2,IF(J921="idioms","2",IF(J921="grades",2,IF(J921="syllable-digit pairs",3,IF(J921="trigram-word pairs",3,IF(J921="word-digit pairs",3,IF(J921="English-Swahili pairs",3,IF(J921="spatial position",3,IF(J921="word pairs",4,IF(J921="word triads",4,IF(J921="generated words",4,IF(J921="word definition pairs",4,IF(J921="math problems",4,IF(J921="famous faces",4,IF(J921="famous names",4,IF(J921="famous voices",4,IF(J921="television programs",4,IF(J921="race horses",4,IF(J921="new vocabulary",4,IF(J921="sentences",5,IF(J921="concepts",5,IF(J921="ad slides",5,IF(J921="scenes",5,IF(J921="famous scenes",5,IF(J921="poems",6,IF(J921="walk",6,IF(J921="faces and events",6,IF(J921="events and names",6,IF(J921="flashbulb",7,IF(J921="stories",7,IF(J921="course material",7,IF(J921="autobiographical",7,IF(J921="novels",7,IF(J921="public events",7,"99"))))))))))))))))))))))))))))))))))))))))))))))</f>
        <v>2</v>
      </c>
      <c r="M921" s="69">
        <v>0</v>
      </c>
      <c r="N921" s="69">
        <v>1</v>
      </c>
      <c r="O921" s="69">
        <v>1</v>
      </c>
      <c r="P921" s="69" t="s">
        <v>27</v>
      </c>
      <c r="Q921" s="69" t="s">
        <v>174</v>
      </c>
      <c r="R921" s="69">
        <f>IF(Q921="Free Recall",1,IF(Q921="Cued Recall",2,IF(Q921="Recognition",3,IF(Q921="Multiple Choice",4,IF(Q921="Savings",5,IF(Q921="Stem Completion",6,IF(Q921="Fragment Completion",7,IF(Q921="anagram solution",8,IF(Q921="Matching",9,IF(Q921="Problem Solving",10,"99"))))))))))</f>
        <v>1</v>
      </c>
      <c r="S921" s="69" t="s">
        <v>49</v>
      </c>
      <c r="T921" s="92" t="s">
        <v>581</v>
      </c>
      <c r="U921" s="69">
        <f>IF(T921="within",1,0)</f>
        <v>1</v>
      </c>
      <c r="V921" s="92">
        <v>48</v>
      </c>
      <c r="W921" s="69">
        <f>F921*V921</f>
        <v>1152</v>
      </c>
      <c r="X921" s="69">
        <v>6</v>
      </c>
      <c r="Y921" s="87">
        <f>AV920</f>
        <v>0.01</v>
      </c>
      <c r="Z921" s="69" t="s">
        <v>28</v>
      </c>
      <c r="AA921" s="69">
        <v>18</v>
      </c>
      <c r="AB921" s="69" t="str">
        <f>IF(AA921&lt;60,"1",IF(AA921&lt;=43200,"2",IF(AA921&lt;=777600,"3","4")))</f>
        <v>1</v>
      </c>
      <c r="AC921" s="72">
        <f>AVERAGE(AV920:DA920)</f>
        <v>8.0016666666666669</v>
      </c>
      <c r="AD921" s="69" t="str">
        <f>IF(AC921&lt;60,"1",IF(AC921&lt;=43200,"2",IF(AC921&lt;=777600,"3","4")))</f>
        <v>1</v>
      </c>
      <c r="AE921" s="87">
        <f>AA921-Y921</f>
        <v>17.989999999999998</v>
      </c>
      <c r="AF921" s="88">
        <f>AV921</f>
        <v>1</v>
      </c>
      <c r="AG921" s="72">
        <f>((AW921-AV921)+(AX921-AW921)+(AY921-AX921)+(AZ921-AY921)+(BA921-AZ921))/5</f>
        <v>-1.7999999999999995E-2</v>
      </c>
      <c r="AH921" s="4"/>
      <c r="AI921" s="72">
        <f>RSQ(AV921:BA921,AV920:BA920)</f>
        <v>0.88190106040339156</v>
      </c>
      <c r="AJ921" s="110">
        <f>SLOPE(AV921:BA921,AV920:BA920)</f>
        <v>-5.2400220644212795E-3</v>
      </c>
      <c r="AK921" s="72">
        <f>INTERCEPT(AV921:BA921,AV920:BA920)</f>
        <v>0.99859557655214426</v>
      </c>
      <c r="AL921" s="72">
        <f>INDEX(LINEST(LN(AV921:BA921),LN(AV920:BA920),TRUE,TRUE),3,1)</f>
        <v>0.54981732147451501</v>
      </c>
      <c r="AM921" s="72">
        <f>INDEX(LINEST(LN(AV921:BA921),LN(AV920:BA920)),1)</f>
        <v>-9.9646101051534958E-3</v>
      </c>
      <c r="AN921" s="72">
        <f>EXP(INDEX(LINEST(LN(AV921:BA921),LN(AV920:BA920)),1,2))</f>
        <v>0.96544690272672784</v>
      </c>
      <c r="AO921" s="89">
        <f>INDEX(LINEST((AV921:BA921),LN(AV920:BA920),TRUE,TRUE),3,1)</f>
        <v>0.55352783879158307</v>
      </c>
      <c r="AP921" s="89">
        <f>INDEX(LINEST((AV921:BA921),LN(AV920:BA920)),1)</f>
        <v>-9.5972231629234284E-3</v>
      </c>
      <c r="AQ921" s="90">
        <f>INDEX(LINEST(LN(AV921:BA921),SQRT(AV920:BA920),TRUE,TRUE),3,1)</f>
        <v>0.85332864944118048</v>
      </c>
      <c r="AR921" s="117">
        <f>INDEX(LINEST(LN(AV921:BA921),SQRT((AV920:BA920))),1)</f>
        <v>-2.3927253249590649E-2</v>
      </c>
      <c r="AS921" s="91">
        <f>INDEX(LINEST(1/(AV921:BA921),1/(SQRT(AV920:BA920)),TRUE,TRUE),3,1)</f>
        <v>0.36501639628073557</v>
      </c>
      <c r="AT921" s="91">
        <f>INDEX(LINEST(1/(AV921:BA921),1/SQRT(AV920:BA920)),1)</f>
        <v>-6.030459176797647E-3</v>
      </c>
      <c r="AU921" s="3"/>
      <c r="AV921" s="73">
        <v>1</v>
      </c>
      <c r="AW921" s="73">
        <v>1</v>
      </c>
      <c r="AX921" s="73">
        <v>0.95</v>
      </c>
      <c r="AY921" s="73">
        <v>0.94</v>
      </c>
      <c r="AZ921" s="73">
        <v>0.94</v>
      </c>
      <c r="BA921" s="73">
        <v>0.91</v>
      </c>
      <c r="BB921" s="4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1"/>
      <c r="CS921" s="1"/>
      <c r="CT921" s="1"/>
      <c r="CU921" s="1"/>
    </row>
    <row r="922" spans="1:99" s="13" customFormat="1" ht="12" customHeight="1" x14ac:dyDescent="0.2">
      <c r="A922" s="68">
        <v>43509</v>
      </c>
      <c r="B922" s="70"/>
      <c r="C922" s="70"/>
      <c r="D922" s="69"/>
      <c r="E922" s="87"/>
      <c r="F922" s="69"/>
      <c r="G922" s="69"/>
      <c r="H922" s="69"/>
      <c r="I922" s="69"/>
      <c r="J922" s="69"/>
      <c r="K922" s="107"/>
      <c r="L922" s="107"/>
      <c r="M922" s="69"/>
      <c r="N922" s="69"/>
      <c r="O922" s="69"/>
      <c r="P922" s="69"/>
      <c r="Q922" s="69"/>
      <c r="R922" s="69"/>
      <c r="S922" s="69"/>
      <c r="T922" s="69"/>
      <c r="U922" s="69"/>
      <c r="V922" s="69"/>
      <c r="W922" s="69"/>
      <c r="X922" s="69"/>
      <c r="Y922" s="87"/>
      <c r="Z922" s="69"/>
      <c r="AA922" s="69"/>
      <c r="AB922" s="69"/>
      <c r="AC922" s="69"/>
      <c r="AD922" s="69"/>
      <c r="AE922" s="69"/>
      <c r="AF922" s="88"/>
      <c r="AG922" s="72"/>
      <c r="AH922" s="4"/>
      <c r="AI922" s="72"/>
      <c r="AJ922" s="110"/>
      <c r="AK922" s="72"/>
      <c r="AL922" s="72"/>
      <c r="AM922" s="72"/>
      <c r="AN922" s="72"/>
      <c r="AO922" s="89"/>
      <c r="AP922" s="89"/>
      <c r="AQ922" s="72"/>
      <c r="AR922" s="110"/>
      <c r="AS922" s="72"/>
      <c r="AT922" s="72"/>
      <c r="AU922" s="3"/>
      <c r="AV922" s="73">
        <v>0.01</v>
      </c>
      <c r="AW922" s="71">
        <v>3</v>
      </c>
      <c r="AX922" s="71">
        <v>6</v>
      </c>
      <c r="AY922" s="71">
        <v>9</v>
      </c>
      <c r="AZ922" s="71">
        <v>12</v>
      </c>
      <c r="BA922" s="71">
        <v>18</v>
      </c>
      <c r="BB922" s="4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1"/>
      <c r="CS922" s="1"/>
      <c r="CT922" s="1"/>
      <c r="CU922" s="1"/>
    </row>
    <row r="923" spans="1:99" s="13" customFormat="1" ht="12" customHeight="1" x14ac:dyDescent="0.2">
      <c r="A923" s="68">
        <v>43509</v>
      </c>
      <c r="B923" s="70" t="s">
        <v>248</v>
      </c>
      <c r="C923" s="70" t="s">
        <v>19</v>
      </c>
      <c r="D923" s="69">
        <v>1961</v>
      </c>
      <c r="E923" s="87">
        <v>2</v>
      </c>
      <c r="F923" s="69">
        <v>24</v>
      </c>
      <c r="G923" s="69">
        <v>24</v>
      </c>
      <c r="H923" s="69" t="s">
        <v>30</v>
      </c>
      <c r="I923" s="69">
        <v>3</v>
      </c>
      <c r="J923" s="69" t="s">
        <v>16</v>
      </c>
      <c r="K923" s="69">
        <f>IF(J923="syllables",1,IF(J923="trigrams",2,IF(J923="strings",3,IF(J923="visual array",4,IF(J923="characters",5,IF(J923="letters",6,IF(J923="free forms",7,IF(J923="odors",8,IF(J923="words",9,IF(J923="pictures",10,IF(J923="object pictures",11,IF(J923="faces",12,IF(J923="names",13,IF(J923="idioms",14,IF(J923="grades",15,IF(J923="syllable-digit pairs",16,IF(J923="trigram-word pairs",17,IF(J923="word-digit pairs",18,IF(J923="English-Swahili pairs",19,IF(J923="spatial position",20,IF(J923="word pairs",21,IF(J923="word triads",22,IF(J923="generated words",23,IF(J923="word definition pairs",24,IF(J923="math problems",25,IF(J923="famous faces",26,IF(J923="famous names",27,IF(J923="famous voices",28,IF(J923="television programs",29,IF(J923="race horses",30,IF(J923="new vocabulary",31,IF(J923="sentences",32,IF(J923="concepts",33,IF(J923="ad slides",34,IF(J923="scenes",35,IF(J923="famous scenes",36,IF(J923="poems",37,IF(J923="walk",38,IF(J923="faces and events",39,IF(J923="events and names",40,IF(J923="flashbulb",41,IF(J923="stories",42,IF(J923="course material",43,IF(J923="autobiographical",44,IF(J923="novels",45,IF(J923="public events",46,"99"))))))))))))))))))))))))))))))))))))))))))))))</f>
        <v>9</v>
      </c>
      <c r="L923" s="69">
        <f>IF(J923="syllables",1,IF(J923="trigrams",1,IF(J923="strings",1,IF(J923="visual array",1,IF(J923="characters",1,IF(J923="letters",1,IF(J923="free forms",1,IF(J923="odors",2,IF(J923="words",2,IF(J923="pictures",2,IF(J923="object pictures",2,IF(J923="faces",2,IF(J923="names",2,IF(J923="idioms","2",IF(J923="grades",2,IF(J923="syllable-digit pairs",3,IF(J923="trigram-word pairs",3,IF(J923="word-digit pairs",3,IF(J923="English-Swahili pairs",3,IF(J923="spatial position",3,IF(J923="word pairs",4,IF(J923="word triads",4,IF(J923="generated words",4,IF(J923="word definition pairs",4,IF(J923="math problems",4,IF(J923="famous faces",4,IF(J923="famous names",4,IF(J923="famous voices",4,IF(J923="television programs",4,IF(J923="race horses",4,IF(J923="new vocabulary",4,IF(J923="sentences",5,IF(J923="concepts",5,IF(J923="ad slides",5,IF(J923="scenes",5,IF(J923="famous scenes",5,IF(J923="poems",6,IF(J923="walk",6,IF(J923="faces and events",6,IF(J923="events and names",6,IF(J923="flashbulb",7,IF(J923="stories",7,IF(J923="course material",7,IF(J923="autobiographical",7,IF(J923="novels",7,IF(J923="public events",7,"99"))))))))))))))))))))))))))))))))))))))))))))))</f>
        <v>2</v>
      </c>
      <c r="M923" s="69">
        <v>0</v>
      </c>
      <c r="N923" s="69">
        <v>1</v>
      </c>
      <c r="O923" s="69">
        <v>1</v>
      </c>
      <c r="P923" s="69" t="s">
        <v>27</v>
      </c>
      <c r="Q923" s="69" t="s">
        <v>174</v>
      </c>
      <c r="R923" s="69">
        <f>IF(Q923="Free Recall",1,IF(Q923="Cued Recall",2,IF(Q923="Recognition",3,IF(Q923="Multiple Choice",4,IF(Q923="Savings",5,IF(Q923="Stem Completion",6,IF(Q923="Fragment Completion",7,IF(Q923="anagram solution",8,IF(Q923="Matching",9,IF(Q923="Problem Solving",10,"99"))))))))))</f>
        <v>1</v>
      </c>
      <c r="S923" s="69" t="s">
        <v>49</v>
      </c>
      <c r="T923" s="92" t="s">
        <v>581</v>
      </c>
      <c r="U923" s="69">
        <f>IF(T923="within",1,0)</f>
        <v>1</v>
      </c>
      <c r="V923" s="92">
        <v>48</v>
      </c>
      <c r="W923" s="69">
        <f>F923*V923</f>
        <v>1152</v>
      </c>
      <c r="X923" s="69">
        <v>6</v>
      </c>
      <c r="Y923" s="87">
        <f>AV922</f>
        <v>0.01</v>
      </c>
      <c r="Z923" s="69" t="s">
        <v>28</v>
      </c>
      <c r="AA923" s="69">
        <v>18</v>
      </c>
      <c r="AB923" s="69" t="str">
        <f>IF(AA923&lt;60,"1",IF(AA923&lt;=43200,"2",IF(AA923&lt;=777600,"3","4")))</f>
        <v>1</v>
      </c>
      <c r="AC923" s="72">
        <f>AVERAGE(AV922:DA922)</f>
        <v>8.0016666666666669</v>
      </c>
      <c r="AD923" s="69" t="str">
        <f>IF(AC923&lt;60,"1",IF(AC923&lt;=43200,"2",IF(AC923&lt;=777600,"3","4")))</f>
        <v>1</v>
      </c>
      <c r="AE923" s="87">
        <f>AA923-Y923</f>
        <v>17.989999999999998</v>
      </c>
      <c r="AF923" s="88">
        <f>AV923</f>
        <v>1</v>
      </c>
      <c r="AG923" s="72">
        <f>((AW923-AV923)+(AX923-AW923)+(AY923-AX923)+(AZ923-AY923)+(BA923-AZ923))/5</f>
        <v>-3.6000000000000011E-2</v>
      </c>
      <c r="AH923" s="4"/>
      <c r="AI923" s="72">
        <f>RSQ(AV923:BA923,AV922:BA922)</f>
        <v>0.65162927920110603</v>
      </c>
      <c r="AJ923" s="110">
        <f>SLOPE(AV923:BA923,AV922:BA922)</f>
        <v>-1.114515378973115E-2</v>
      </c>
      <c r="AK923" s="72">
        <f>INTERCEPT(AV923:BA923,AV922:BA922)</f>
        <v>0.95917980557416549</v>
      </c>
      <c r="AL923" s="72">
        <f>INDEX(LINEST(LN(AV923:BA923),LN(AV922:BA922),TRUE,TRUE),3,1)</f>
        <v>0.65569172637069217</v>
      </c>
      <c r="AM923" s="72">
        <f>INDEX(LINEST(LN(AV923:BA923),LN(AV922:BA922)),1)</f>
        <v>-2.9136088762513113E-2</v>
      </c>
      <c r="AN923" s="72">
        <f>EXP(INDEX(LINEST(LN(AV923:BA923),LN(AV922:BA922)),1,2))</f>
        <v>0.89126957514308724</v>
      </c>
      <c r="AO923" s="89">
        <f>INDEX(LINEST((AV923:BA923),LN(AV922:BA922),TRUE,TRUE),3,1)</f>
        <v>0.67602543578315655</v>
      </c>
      <c r="AP923" s="89">
        <f>INDEX(LINEST((AV923:BA923),LN(AV922:BA922)),1)</f>
        <v>-2.6243391862041734E-2</v>
      </c>
      <c r="AQ923" s="90">
        <f>INDEX(LINEST(LN(AV923:BA923),SQRT(AV922:BA922),TRUE,TRUE),3,1)</f>
        <v>0.77657000303296253</v>
      </c>
      <c r="AR923" s="117">
        <f>INDEX(LINEST(LN(AV923:BA923),SQRT((AV922:BA922))),1)</f>
        <v>-6.1116051264878291E-2</v>
      </c>
      <c r="AS923" s="91">
        <f>INDEX(LINEST(1/(AV923:BA923),1/(SQRT(AV922:BA922)),TRUE,TRUE),3,1)</f>
        <v>0.49164869325441068</v>
      </c>
      <c r="AT923" s="91">
        <f>INDEX(LINEST(1/(AV923:BA923),1/SQRT(AV922:BA922)),1)</f>
        <v>-2.037249213837131E-2</v>
      </c>
      <c r="AU923" s="3"/>
      <c r="AV923" s="73">
        <v>1</v>
      </c>
      <c r="AW923" s="73">
        <v>0.96</v>
      </c>
      <c r="AX923" s="73">
        <v>0.83</v>
      </c>
      <c r="AY923" s="73">
        <v>0.84</v>
      </c>
      <c r="AZ923" s="73">
        <v>0.77</v>
      </c>
      <c r="BA923" s="73">
        <v>0.82</v>
      </c>
      <c r="BB923" s="4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1"/>
      <c r="CS923" s="1"/>
      <c r="CT923" s="1"/>
      <c r="CU923" s="1"/>
    </row>
    <row r="924" spans="1:99" s="13" customFormat="1" ht="12" customHeight="1" x14ac:dyDescent="0.2">
      <c r="A924" s="68">
        <v>43509</v>
      </c>
      <c r="B924" s="70"/>
      <c r="C924" s="70"/>
      <c r="D924" s="69"/>
      <c r="E924" s="87"/>
      <c r="F924" s="69"/>
      <c r="G924" s="69"/>
      <c r="H924" s="69"/>
      <c r="I924" s="69"/>
      <c r="J924" s="69"/>
      <c r="K924" s="107"/>
      <c r="L924" s="107"/>
      <c r="M924" s="69"/>
      <c r="N924" s="69"/>
      <c r="O924" s="69"/>
      <c r="P924" s="69"/>
      <c r="Q924" s="69"/>
      <c r="R924" s="69"/>
      <c r="S924" s="69"/>
      <c r="T924" s="69"/>
      <c r="U924" s="69"/>
      <c r="V924" s="92"/>
      <c r="W924" s="69"/>
      <c r="X924" s="69"/>
      <c r="Y924" s="87"/>
      <c r="Z924" s="69"/>
      <c r="AA924" s="69"/>
      <c r="AB924" s="69"/>
      <c r="AC924" s="69"/>
      <c r="AD924" s="69"/>
      <c r="AE924" s="69"/>
      <c r="AF924" s="88"/>
      <c r="AG924" s="72"/>
      <c r="AH924" s="4"/>
      <c r="AI924" s="72"/>
      <c r="AJ924" s="110"/>
      <c r="AK924" s="72"/>
      <c r="AL924" s="72"/>
      <c r="AM924" s="72"/>
      <c r="AN924" s="72"/>
      <c r="AO924" s="89"/>
      <c r="AP924" s="89"/>
      <c r="AQ924" s="72"/>
      <c r="AR924" s="110"/>
      <c r="AS924" s="72"/>
      <c r="AT924" s="72"/>
      <c r="AU924" s="3"/>
      <c r="AV924" s="73">
        <v>0.01</v>
      </c>
      <c r="AW924" s="71">
        <v>3</v>
      </c>
      <c r="AX924" s="71">
        <v>6</v>
      </c>
      <c r="AY924" s="71">
        <v>9</v>
      </c>
      <c r="AZ924" s="71">
        <v>12</v>
      </c>
      <c r="BA924" s="71">
        <v>18</v>
      </c>
      <c r="BB924" s="4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1"/>
      <c r="CS924" s="1"/>
      <c r="CT924" s="1"/>
      <c r="CU924" s="1"/>
    </row>
    <row r="925" spans="1:99" s="13" customFormat="1" ht="12" customHeight="1" x14ac:dyDescent="0.2">
      <c r="A925" s="68">
        <v>43509</v>
      </c>
      <c r="B925" s="70" t="s">
        <v>248</v>
      </c>
      <c r="C925" s="70" t="s">
        <v>19</v>
      </c>
      <c r="D925" s="69">
        <v>1961</v>
      </c>
      <c r="E925" s="87">
        <v>2</v>
      </c>
      <c r="F925" s="69">
        <v>24</v>
      </c>
      <c r="G925" s="69">
        <v>24</v>
      </c>
      <c r="H925" s="69" t="s">
        <v>30</v>
      </c>
      <c r="I925" s="69">
        <v>6</v>
      </c>
      <c r="J925" s="69" t="s">
        <v>16</v>
      </c>
      <c r="K925" s="69">
        <f>IF(J925="syllables",1,IF(J925="trigrams",2,IF(J925="strings",3,IF(J925="visual array",4,IF(J925="characters",5,IF(J925="letters",6,IF(J925="free forms",7,IF(J925="odors",8,IF(J925="words",9,IF(J925="pictures",10,IF(J925="object pictures",11,IF(J925="faces",12,IF(J925="names",13,IF(J925="idioms",14,IF(J925="grades",15,IF(J925="syllable-digit pairs",16,IF(J925="trigram-word pairs",17,IF(J925="word-digit pairs",18,IF(J925="English-Swahili pairs",19,IF(J925="spatial position",20,IF(J925="word pairs",21,IF(J925="word triads",22,IF(J925="generated words",23,IF(J925="word definition pairs",24,IF(J925="math problems",25,IF(J925="famous faces",26,IF(J925="famous names",27,IF(J925="famous voices",28,IF(J925="television programs",29,IF(J925="race horses",30,IF(J925="new vocabulary",31,IF(J925="sentences",32,IF(J925="concepts",33,IF(J925="ad slides",34,IF(J925="scenes",35,IF(J925="famous scenes",36,IF(J925="poems",37,IF(J925="walk",38,IF(J925="faces and events",39,IF(J925="events and names",40,IF(J925="flashbulb",41,IF(J925="stories",42,IF(J925="course material",43,IF(J925="autobiographical",44,IF(J925="novels",45,IF(J925="public events",46,"99"))))))))))))))))))))))))))))))))))))))))))))))</f>
        <v>9</v>
      </c>
      <c r="L925" s="69">
        <f>IF(J925="syllables",1,IF(J925="trigrams",1,IF(J925="strings",1,IF(J925="visual array",1,IF(J925="characters",1,IF(J925="letters",1,IF(J925="free forms",1,IF(J925="odors",2,IF(J925="words",2,IF(J925="pictures",2,IF(J925="object pictures",2,IF(J925="faces",2,IF(J925="names",2,IF(J925="idioms","2",IF(J925="grades",2,IF(J925="syllable-digit pairs",3,IF(J925="trigram-word pairs",3,IF(J925="word-digit pairs",3,IF(J925="English-Swahili pairs",3,IF(J925="spatial position",3,IF(J925="word pairs",4,IF(J925="word triads",4,IF(J925="generated words",4,IF(J925="word definition pairs",4,IF(J925="math problems",4,IF(J925="famous faces",4,IF(J925="famous names",4,IF(J925="famous voices",4,IF(J925="television programs",4,IF(J925="race horses",4,IF(J925="new vocabulary",4,IF(J925="sentences",5,IF(J925="concepts",5,IF(J925="ad slides",5,IF(J925="scenes",5,IF(J925="famous scenes",5,IF(J925="poems",6,IF(J925="walk",6,IF(J925="faces and events",6,IF(J925="events and names",6,IF(J925="flashbulb",7,IF(J925="stories",7,IF(J925="course material",7,IF(J925="autobiographical",7,IF(J925="novels",7,IF(J925="public events",7,"99"))))))))))))))))))))))))))))))))))))))))))))))</f>
        <v>2</v>
      </c>
      <c r="M925" s="69">
        <v>0</v>
      </c>
      <c r="N925" s="69">
        <v>1</v>
      </c>
      <c r="O925" s="69">
        <v>1</v>
      </c>
      <c r="P925" s="69" t="s">
        <v>27</v>
      </c>
      <c r="Q925" s="69" t="s">
        <v>174</v>
      </c>
      <c r="R925" s="69">
        <f>IF(Q925="Free Recall",1,IF(Q925="Cued Recall",2,IF(Q925="Recognition",3,IF(Q925="Multiple Choice",4,IF(Q925="Savings",5,IF(Q925="Stem Completion",6,IF(Q925="Fragment Completion",7,IF(Q925="anagram solution",8,IF(Q925="Matching",9,IF(Q925="Problem Solving",10,"99"))))))))))</f>
        <v>1</v>
      </c>
      <c r="S925" s="69" t="s">
        <v>49</v>
      </c>
      <c r="T925" s="92" t="s">
        <v>581</v>
      </c>
      <c r="U925" s="69">
        <f>IF(T925="within",1,0)</f>
        <v>1</v>
      </c>
      <c r="V925" s="92">
        <v>48</v>
      </c>
      <c r="W925" s="69">
        <f>F925*V925</f>
        <v>1152</v>
      </c>
      <c r="X925" s="69">
        <v>6</v>
      </c>
      <c r="Y925" s="87">
        <f>AV924</f>
        <v>0.01</v>
      </c>
      <c r="Z925" s="69" t="s">
        <v>28</v>
      </c>
      <c r="AA925" s="69">
        <v>18</v>
      </c>
      <c r="AB925" s="69" t="str">
        <f>IF(AA925&lt;60,"1",IF(AA925&lt;=43200,"2",IF(AA925&lt;=777600,"3","4")))</f>
        <v>1</v>
      </c>
      <c r="AC925" s="72">
        <f>AVERAGE(AV924:DA924)</f>
        <v>8.0016666666666669</v>
      </c>
      <c r="AD925" s="69" t="str">
        <f>IF(AC925&lt;60,"1",IF(AC925&lt;=43200,"2",IF(AC925&lt;=777600,"3","4")))</f>
        <v>1</v>
      </c>
      <c r="AE925" s="87">
        <f>AA925-Y925</f>
        <v>17.989999999999998</v>
      </c>
      <c r="AF925" s="88">
        <f>AV925</f>
        <v>0.99</v>
      </c>
      <c r="AG925" s="72">
        <f>((AW925-AV925)+(AX925-AW925)+(AY925-AX925)+(AZ925-AY925)+(BA925-AZ925))/5</f>
        <v>-3.7999999999999992E-2</v>
      </c>
      <c r="AH925" s="4"/>
      <c r="AI925" s="72">
        <f>RSQ(AV925:BA925,AV924:BA924)</f>
        <v>0.9455099379002857</v>
      </c>
      <c r="AJ925" s="110">
        <f>SLOPE(AV925:BA925,AV924:BA924)</f>
        <v>-1.0431515110117588E-2</v>
      </c>
      <c r="AK925" s="72">
        <f>INTERCEPT(AV925:BA925,AV924:BA924)</f>
        <v>0.96846950673945742</v>
      </c>
      <c r="AL925" s="72">
        <f>INDEX(LINEST(LN(AV925:BA925),LN(AV924:BA924),TRUE,TRUE),3,1)</f>
        <v>0.72609155848457119</v>
      </c>
      <c r="AM925" s="72">
        <f>INDEX(LINEST(LN(AV925:BA925),LN(AV924:BA924)),1)</f>
        <v>-2.3713541347856918E-2</v>
      </c>
      <c r="AN925" s="72">
        <f>EXP(INDEX(LINEST(LN(AV925:BA925),LN(AV924:BA924)),1,2))</f>
        <v>0.90342536936362472</v>
      </c>
      <c r="AO925" s="89">
        <f>INDEX(LINEST((AV925:BA925),LN(AV924:BA924),TRUE,TRUE),3,1)</f>
        <v>0.75216027583992651</v>
      </c>
      <c r="AP925" s="89">
        <f>INDEX(LINEST((AV925:BA925),LN(AV924:BA924)),1)</f>
        <v>-2.1509098843583496E-2</v>
      </c>
      <c r="AQ925" s="90">
        <f>INDEX(LINEST(LN(AV925:BA925),SQRT(AV924:BA924),TRUE,TRUE),3,1)</f>
        <v>0.97652755282777548</v>
      </c>
      <c r="AR925" s="117">
        <f>INDEX(LINEST(LN(AV925:BA925),SQRT((AV924:BA924))),1)</f>
        <v>-5.3006185743624853E-2</v>
      </c>
      <c r="AS925" s="91">
        <f>INDEX(LINEST(1/(AV925:BA925),1/(SQRT(AV924:BA924)),TRUE,TRUE),3,1)</f>
        <v>0.51871042866903727</v>
      </c>
      <c r="AT925" s="91">
        <f>INDEX(LINEST(1/(AV925:BA925),1/SQRT(AV924:BA924)),1)</f>
        <v>-1.6088095117661797E-2</v>
      </c>
      <c r="AU925" s="3"/>
      <c r="AV925" s="73">
        <v>0.99</v>
      </c>
      <c r="AW925" s="73">
        <v>0.93</v>
      </c>
      <c r="AX925" s="73">
        <v>0.9</v>
      </c>
      <c r="AY925" s="73">
        <v>0.86</v>
      </c>
      <c r="AZ925" s="73">
        <v>0.83</v>
      </c>
      <c r="BA925" s="73">
        <v>0.8</v>
      </c>
      <c r="BB925" s="4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1"/>
      <c r="CS925" s="1"/>
      <c r="CT925" s="1"/>
      <c r="CU925" s="1"/>
    </row>
    <row r="926" spans="1:99" s="13" customFormat="1" ht="12" customHeight="1" x14ac:dyDescent="0.2">
      <c r="A926" s="68">
        <v>43509</v>
      </c>
      <c r="B926" s="70"/>
      <c r="C926" s="70"/>
      <c r="D926" s="69"/>
      <c r="E926" s="87"/>
      <c r="F926" s="69"/>
      <c r="G926" s="69"/>
      <c r="H926" s="69"/>
      <c r="I926" s="69"/>
      <c r="J926" s="69"/>
      <c r="K926" s="107"/>
      <c r="L926" s="107"/>
      <c r="M926" s="69"/>
      <c r="N926" s="69"/>
      <c r="O926" s="69"/>
      <c r="P926" s="69"/>
      <c r="Q926" s="69"/>
      <c r="R926" s="69"/>
      <c r="S926" s="69"/>
      <c r="T926" s="69"/>
      <c r="U926" s="69"/>
      <c r="V926" s="69"/>
      <c r="W926" s="69"/>
      <c r="X926" s="69"/>
      <c r="Y926" s="87"/>
      <c r="Z926" s="69"/>
      <c r="AA926" s="69"/>
      <c r="AB926" s="69"/>
      <c r="AC926" s="69"/>
      <c r="AD926" s="69"/>
      <c r="AE926" s="69"/>
      <c r="AF926" s="88"/>
      <c r="AG926" s="72"/>
      <c r="AH926" s="4"/>
      <c r="AI926" s="72"/>
      <c r="AJ926" s="110"/>
      <c r="AK926" s="72"/>
      <c r="AL926" s="72"/>
      <c r="AM926" s="72"/>
      <c r="AN926" s="72"/>
      <c r="AO926" s="89"/>
      <c r="AP926" s="89"/>
      <c r="AQ926" s="72"/>
      <c r="AR926" s="110"/>
      <c r="AS926" s="72"/>
      <c r="AT926" s="72"/>
      <c r="AU926" s="3"/>
      <c r="AV926" s="73">
        <v>0.01</v>
      </c>
      <c r="AW926" s="71">
        <v>3</v>
      </c>
      <c r="AX926" s="71">
        <v>6</v>
      </c>
      <c r="AY926" s="71">
        <v>9</v>
      </c>
      <c r="AZ926" s="71">
        <v>12</v>
      </c>
      <c r="BA926" s="71">
        <v>18</v>
      </c>
      <c r="BB926" s="4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1"/>
      <c r="CS926" s="1"/>
      <c r="CT926" s="1"/>
      <c r="CU926" s="1"/>
    </row>
    <row r="927" spans="1:99" s="13" customFormat="1" ht="12" customHeight="1" x14ac:dyDescent="0.2">
      <c r="A927" s="68">
        <v>43509</v>
      </c>
      <c r="B927" s="70" t="s">
        <v>248</v>
      </c>
      <c r="C927" s="70" t="s">
        <v>19</v>
      </c>
      <c r="D927" s="69">
        <v>1961</v>
      </c>
      <c r="E927" s="87">
        <v>2</v>
      </c>
      <c r="F927" s="69">
        <v>24</v>
      </c>
      <c r="G927" s="69">
        <v>24</v>
      </c>
      <c r="H927" s="69" t="s">
        <v>30</v>
      </c>
      <c r="I927" s="69">
        <v>9</v>
      </c>
      <c r="J927" s="69" t="s">
        <v>16</v>
      </c>
      <c r="K927" s="69">
        <f>IF(J927="syllables",1,IF(J927="trigrams",2,IF(J927="strings",3,IF(J927="visual array",4,IF(J927="characters",5,IF(J927="letters",6,IF(J927="free forms",7,IF(J927="odors",8,IF(J927="words",9,IF(J927="pictures",10,IF(J927="object pictures",11,IF(J927="faces",12,IF(J927="names",13,IF(J927="idioms",14,IF(J927="grades",15,IF(J927="syllable-digit pairs",16,IF(J927="trigram-word pairs",17,IF(J927="word-digit pairs",18,IF(J927="English-Swahili pairs",19,IF(J927="spatial position",20,IF(J927="word pairs",21,IF(J927="word triads",22,IF(J927="generated words",23,IF(J927="word definition pairs",24,IF(J927="math problems",25,IF(J927="famous faces",26,IF(J927="famous names",27,IF(J927="famous voices",28,IF(J927="television programs",29,IF(J927="race horses",30,IF(J927="new vocabulary",31,IF(J927="sentences",32,IF(J927="concepts",33,IF(J927="ad slides",34,IF(J927="scenes",35,IF(J927="famous scenes",36,IF(J927="poems",37,IF(J927="walk",38,IF(J927="faces and events",39,IF(J927="events and names",40,IF(J927="flashbulb",41,IF(J927="stories",42,IF(J927="course material",43,IF(J927="autobiographical",44,IF(J927="novels",45,IF(J927="public events",46,"99"))))))))))))))))))))))))))))))))))))))))))))))</f>
        <v>9</v>
      </c>
      <c r="L927" s="69">
        <f>IF(J927="syllables",1,IF(J927="trigrams",1,IF(J927="strings",1,IF(J927="visual array",1,IF(J927="characters",1,IF(J927="letters",1,IF(J927="free forms",1,IF(J927="odors",2,IF(J927="words",2,IF(J927="pictures",2,IF(J927="object pictures",2,IF(J927="faces",2,IF(J927="names",2,IF(J927="idioms","2",IF(J927="grades",2,IF(J927="syllable-digit pairs",3,IF(J927="trigram-word pairs",3,IF(J927="word-digit pairs",3,IF(J927="English-Swahili pairs",3,IF(J927="spatial position",3,IF(J927="word pairs",4,IF(J927="word triads",4,IF(J927="generated words",4,IF(J927="word definition pairs",4,IF(J927="math problems",4,IF(J927="famous faces",4,IF(J927="famous names",4,IF(J927="famous voices",4,IF(J927="television programs",4,IF(J927="race horses",4,IF(J927="new vocabulary",4,IF(J927="sentences",5,IF(J927="concepts",5,IF(J927="ad slides",5,IF(J927="scenes",5,IF(J927="famous scenes",5,IF(J927="poems",6,IF(J927="walk",6,IF(J927="faces and events",6,IF(J927="events and names",6,IF(J927="flashbulb",7,IF(J927="stories",7,IF(J927="course material",7,IF(J927="autobiographical",7,IF(J927="novels",7,IF(J927="public events",7,"99"))))))))))))))))))))))))))))))))))))))))))))))</f>
        <v>2</v>
      </c>
      <c r="M927" s="69">
        <v>0</v>
      </c>
      <c r="N927" s="69">
        <v>1</v>
      </c>
      <c r="O927" s="69">
        <v>1</v>
      </c>
      <c r="P927" s="69" t="s">
        <v>27</v>
      </c>
      <c r="Q927" s="69" t="s">
        <v>174</v>
      </c>
      <c r="R927" s="69">
        <f>IF(Q927="Free Recall",1,IF(Q927="Cued Recall",2,IF(Q927="Recognition",3,IF(Q927="Multiple Choice",4,IF(Q927="Savings",5,IF(Q927="Stem Completion",6,IF(Q927="Fragment Completion",7,IF(Q927="anagram solution",8,IF(Q927="Matching",9,IF(Q927="Problem Solving",10,"99"))))))))))</f>
        <v>1</v>
      </c>
      <c r="S927" s="69" t="s">
        <v>49</v>
      </c>
      <c r="T927" s="92" t="s">
        <v>581</v>
      </c>
      <c r="U927" s="69">
        <f>IF(T927="within",1,0)</f>
        <v>1</v>
      </c>
      <c r="V927" s="92">
        <v>48</v>
      </c>
      <c r="W927" s="69">
        <f>F927*V927</f>
        <v>1152</v>
      </c>
      <c r="X927" s="69">
        <v>6</v>
      </c>
      <c r="Y927" s="87">
        <f>AV926</f>
        <v>0.01</v>
      </c>
      <c r="Z927" s="69" t="s">
        <v>28</v>
      </c>
      <c r="AA927" s="69">
        <v>18</v>
      </c>
      <c r="AB927" s="69" t="str">
        <f>IF(AA927&lt;60,"1",IF(AA927&lt;=43200,"2",IF(AA927&lt;=777600,"3","4")))</f>
        <v>1</v>
      </c>
      <c r="AC927" s="72">
        <f>AVERAGE(AV926:DA926)</f>
        <v>8.0016666666666669</v>
      </c>
      <c r="AD927" s="69" t="str">
        <f>IF(AC927&lt;60,"1",IF(AC927&lt;=43200,"2",IF(AC927&lt;=777600,"3","4")))</f>
        <v>1</v>
      </c>
      <c r="AE927" s="87">
        <f>AA927-Y927</f>
        <v>17.989999999999998</v>
      </c>
      <c r="AF927" s="88">
        <f>AV927</f>
        <v>0.99</v>
      </c>
      <c r="AG927" s="72">
        <f>((AW927-AV927)+(AX927-AW927)+(AY927-AX927)+(AZ927-AY927)+(BA927-AZ927))/5</f>
        <v>-3.2000000000000008E-2</v>
      </c>
      <c r="AH927" s="4"/>
      <c r="AI927" s="72">
        <f>RSQ(AV927:BA927,AV926:BA926)</f>
        <v>0.83247086794676295</v>
      </c>
      <c r="AJ927" s="110">
        <f>SLOPE(AV927:BA927,AV926:BA926)</f>
        <v>-9.7169233237532904E-3</v>
      </c>
      <c r="AK927" s="72">
        <f>INTERCEPT(AV927:BA927,AV926:BA926)</f>
        <v>0.96775158146223261</v>
      </c>
      <c r="AL927" s="72">
        <f>INDEX(LINEST(LN(AV927:BA927),LN(AV926:BA926),TRUE,TRUE),3,1)</f>
        <v>0.68753658735228618</v>
      </c>
      <c r="AM927" s="72">
        <f>INDEX(LINEST(LN(AV927:BA927),LN(AV926:BA926)),1)</f>
        <v>-2.2682002573009813E-2</v>
      </c>
      <c r="AN927" s="72">
        <f>EXP(INDEX(LINEST(LN(AV927:BA927),LN(AV926:BA926)),1,2))</f>
        <v>0.90768623123603798</v>
      </c>
      <c r="AO927" s="89">
        <f>INDEX(LINEST((AV927:BA927),LN(AV926:BA926),TRUE,TRUE),3,1)</f>
        <v>0.70548061064865542</v>
      </c>
      <c r="AP927" s="89">
        <f>INDEX(LINEST((AV927:BA927),LN(AV926:BA926)),1)</f>
        <v>-2.0679473187278474E-2</v>
      </c>
      <c r="AQ927" s="90">
        <f>INDEX(LINEST(LN(AV927:BA927),SQRT(AV926:BA926),TRUE,TRUE),3,1)</f>
        <v>0.90415878199580602</v>
      </c>
      <c r="AR927" s="117">
        <f>INDEX(LINEST(LN(AV927:BA927),SQRT((AV926:BA926))),1)</f>
        <v>-5.013481563145223E-2</v>
      </c>
      <c r="AS927" s="91">
        <f>INDEX(LINEST(1/(AV927:BA927),1/(SQRT(AV926:BA926)),TRUE,TRUE),3,1)</f>
        <v>0.49480045946691981</v>
      </c>
      <c r="AT927" s="91">
        <f>INDEX(LINEST(1/(AV927:BA927),1/SQRT(AV926:BA926)),1)</f>
        <v>-1.5274593152339113E-2</v>
      </c>
      <c r="AU927" s="3"/>
      <c r="AV927" s="73">
        <v>0.99</v>
      </c>
      <c r="AW927" s="73">
        <v>0.95</v>
      </c>
      <c r="AX927" s="73">
        <v>0.9</v>
      </c>
      <c r="AY927" s="73">
        <v>0.85</v>
      </c>
      <c r="AZ927" s="73">
        <v>0.82</v>
      </c>
      <c r="BA927" s="73">
        <v>0.83</v>
      </c>
      <c r="BB927" s="4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1"/>
      <c r="CS927" s="1"/>
      <c r="CT927" s="1"/>
      <c r="CU927" s="1"/>
    </row>
    <row r="928" spans="1:99" s="13" customFormat="1" ht="12" customHeight="1" x14ac:dyDescent="0.2">
      <c r="A928" s="68">
        <v>43509</v>
      </c>
      <c r="B928" s="70"/>
      <c r="C928" s="70"/>
      <c r="D928" s="69"/>
      <c r="E928" s="87"/>
      <c r="F928" s="69"/>
      <c r="G928" s="69"/>
      <c r="H928" s="69"/>
      <c r="I928" s="69"/>
      <c r="J928" s="69"/>
      <c r="K928" s="107"/>
      <c r="L928" s="107"/>
      <c r="M928" s="69"/>
      <c r="N928" s="69"/>
      <c r="O928" s="69"/>
      <c r="P928" s="69"/>
      <c r="Q928" s="69"/>
      <c r="R928" s="69"/>
      <c r="S928" s="69"/>
      <c r="T928" s="69"/>
      <c r="U928" s="69"/>
      <c r="V928" s="92"/>
      <c r="W928" s="69"/>
      <c r="X928" s="69"/>
      <c r="Y928" s="87"/>
      <c r="Z928" s="69"/>
      <c r="AA928" s="69"/>
      <c r="AB928" s="69"/>
      <c r="AC928" s="69"/>
      <c r="AD928" s="69"/>
      <c r="AE928" s="69"/>
      <c r="AF928" s="88"/>
      <c r="AG928" s="72"/>
      <c r="AH928" s="4"/>
      <c r="AI928" s="72"/>
      <c r="AJ928" s="110"/>
      <c r="AK928" s="72"/>
      <c r="AL928" s="72"/>
      <c r="AM928" s="72"/>
      <c r="AN928" s="72"/>
      <c r="AO928" s="89"/>
      <c r="AP928" s="89"/>
      <c r="AQ928" s="72"/>
      <c r="AR928" s="110"/>
      <c r="AS928" s="72"/>
      <c r="AT928" s="72"/>
      <c r="AU928" s="3"/>
      <c r="AV928" s="73">
        <v>0.01</v>
      </c>
      <c r="AW928" s="71">
        <v>3</v>
      </c>
      <c r="AX928" s="71">
        <v>6</v>
      </c>
      <c r="AY928" s="71">
        <v>9</v>
      </c>
      <c r="AZ928" s="71">
        <v>12</v>
      </c>
      <c r="BA928" s="71">
        <v>18</v>
      </c>
      <c r="BB928" s="4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1"/>
      <c r="CS928" s="1"/>
      <c r="CT928" s="1"/>
      <c r="CU928" s="1"/>
    </row>
    <row r="929" spans="1:99" s="13" customFormat="1" ht="12" customHeight="1" x14ac:dyDescent="0.2">
      <c r="A929" s="68">
        <v>43509</v>
      </c>
      <c r="B929" s="70" t="s">
        <v>248</v>
      </c>
      <c r="C929" s="70" t="s">
        <v>19</v>
      </c>
      <c r="D929" s="69">
        <v>1961</v>
      </c>
      <c r="E929" s="87">
        <v>2</v>
      </c>
      <c r="F929" s="69">
        <v>24</v>
      </c>
      <c r="G929" s="69">
        <v>24</v>
      </c>
      <c r="H929" s="69" t="s">
        <v>30</v>
      </c>
      <c r="I929" s="69">
        <v>12</v>
      </c>
      <c r="J929" s="69" t="s">
        <v>16</v>
      </c>
      <c r="K929" s="69">
        <f>IF(J929="syllables",1,IF(J929="trigrams",2,IF(J929="strings",3,IF(J929="visual array",4,IF(J929="characters",5,IF(J929="letters",6,IF(J929="free forms",7,IF(J929="odors",8,IF(J929="words",9,IF(J929="pictures",10,IF(J929="object pictures",11,IF(J929="faces",12,IF(J929="names",13,IF(J929="idioms",14,IF(J929="grades",15,IF(J929="syllable-digit pairs",16,IF(J929="trigram-word pairs",17,IF(J929="word-digit pairs",18,IF(J929="English-Swahili pairs",19,IF(J929="spatial position",20,IF(J929="word pairs",21,IF(J929="word triads",22,IF(J929="generated words",23,IF(J929="word definition pairs",24,IF(J929="math problems",25,IF(J929="famous faces",26,IF(J929="famous names",27,IF(J929="famous voices",28,IF(J929="television programs",29,IF(J929="race horses",30,IF(J929="new vocabulary",31,IF(J929="sentences",32,IF(J929="concepts",33,IF(J929="ad slides",34,IF(J929="scenes",35,IF(J929="famous scenes",36,IF(J929="poems",37,IF(J929="walk",38,IF(J929="faces and events",39,IF(J929="events and names",40,IF(J929="flashbulb",41,IF(J929="stories",42,IF(J929="course material",43,IF(J929="autobiographical",44,IF(J929="novels",45,IF(J929="public events",46,"99"))))))))))))))))))))))))))))))))))))))))))))))</f>
        <v>9</v>
      </c>
      <c r="L929" s="69">
        <f>IF(J929="syllables",1,IF(J929="trigrams",1,IF(J929="strings",1,IF(J929="visual array",1,IF(J929="characters",1,IF(J929="letters",1,IF(J929="free forms",1,IF(J929="odors",2,IF(J929="words",2,IF(J929="pictures",2,IF(J929="object pictures",2,IF(J929="faces",2,IF(J929="names",2,IF(J929="idioms","2",IF(J929="grades",2,IF(J929="syllable-digit pairs",3,IF(J929="trigram-word pairs",3,IF(J929="word-digit pairs",3,IF(J929="English-Swahili pairs",3,IF(J929="spatial position",3,IF(J929="word pairs",4,IF(J929="word triads",4,IF(J929="generated words",4,IF(J929="word definition pairs",4,IF(J929="math problems",4,IF(J929="famous faces",4,IF(J929="famous names",4,IF(J929="famous voices",4,IF(J929="television programs",4,IF(J929="race horses",4,IF(J929="new vocabulary",4,IF(J929="sentences",5,IF(J929="concepts",5,IF(J929="ad slides",5,IF(J929="scenes",5,IF(J929="famous scenes",5,IF(J929="poems",6,IF(J929="walk",6,IF(J929="faces and events",6,IF(J929="events and names",6,IF(J929="flashbulb",7,IF(J929="stories",7,IF(J929="course material",7,IF(J929="autobiographical",7,IF(J929="novels",7,IF(J929="public events",7,"99"))))))))))))))))))))))))))))))))))))))))))))))</f>
        <v>2</v>
      </c>
      <c r="M929" s="69">
        <v>0</v>
      </c>
      <c r="N929" s="69">
        <v>1</v>
      </c>
      <c r="O929" s="69">
        <v>1</v>
      </c>
      <c r="P929" s="69" t="s">
        <v>27</v>
      </c>
      <c r="Q929" s="69" t="s">
        <v>174</v>
      </c>
      <c r="R929" s="69">
        <f>IF(Q929="Free Recall",1,IF(Q929="Cued Recall",2,IF(Q929="Recognition",3,IF(Q929="Multiple Choice",4,IF(Q929="Savings",5,IF(Q929="Stem Completion",6,IF(Q929="Fragment Completion",7,IF(Q929="anagram solution",8,IF(Q929="Matching",9,IF(Q929="Problem Solving",10,"99"))))))))))</f>
        <v>1</v>
      </c>
      <c r="S929" s="69" t="s">
        <v>49</v>
      </c>
      <c r="T929" s="92" t="s">
        <v>581</v>
      </c>
      <c r="U929" s="69">
        <f>IF(T929="within",1,0)</f>
        <v>1</v>
      </c>
      <c r="V929" s="92">
        <v>48</v>
      </c>
      <c r="W929" s="69">
        <f>F929*V929</f>
        <v>1152</v>
      </c>
      <c r="X929" s="69">
        <v>6</v>
      </c>
      <c r="Y929" s="87">
        <f>AV928</f>
        <v>0.01</v>
      </c>
      <c r="Z929" s="69" t="s">
        <v>28</v>
      </c>
      <c r="AA929" s="69">
        <v>18</v>
      </c>
      <c r="AB929" s="69" t="str">
        <f>IF(AA929&lt;60,"1",IF(AA929&lt;=43200,"2",IF(AA929&lt;=777600,"3","4")))</f>
        <v>1</v>
      </c>
      <c r="AC929" s="72">
        <f>AVERAGE(AV928:DA928)</f>
        <v>8.0016666666666669</v>
      </c>
      <c r="AD929" s="69" t="str">
        <f>IF(AC929&lt;60,"1",IF(AC929&lt;=43200,"2",IF(AC929&lt;=777600,"3","4")))</f>
        <v>1</v>
      </c>
      <c r="AE929" s="87">
        <f>AA929-Y929</f>
        <v>17.989999999999998</v>
      </c>
      <c r="AF929" s="88">
        <f>AV929</f>
        <v>0.97</v>
      </c>
      <c r="AG929" s="72">
        <f>((AW929-AV929)+(AX929-AW929)+(AY929-AX929)+(AZ929-AY929)+(BA929-AZ929))/5</f>
        <v>-3.0000000000000006E-2</v>
      </c>
      <c r="AH929" s="4"/>
      <c r="AI929" s="72">
        <f>RSQ(AV929:BA929,AV928:BA928)</f>
        <v>0.84148903842519551</v>
      </c>
      <c r="AJ929" s="110">
        <f>SLOPE(AV929:BA929,AV928:BA928)</f>
        <v>-8.7173526189189311E-3</v>
      </c>
      <c r="AK929" s="72">
        <f>INTERCEPT(AV929:BA929,AV928:BA928)</f>
        <v>0.96475334987238304</v>
      </c>
      <c r="AL929" s="72">
        <f>INDEX(LINEST(LN(AV929:BA929),LN(AV928:BA928),TRUE,TRUE),3,1)</f>
        <v>0.55295382844142149</v>
      </c>
      <c r="AM929" s="72">
        <f>INDEX(LINEST(LN(AV929:BA929),LN(AV928:BA928)),1)</f>
        <v>-1.8102259245743782E-2</v>
      </c>
      <c r="AN929" s="72">
        <f>EXP(INDEX(LINEST(LN(AV929:BA929),LN(AV928:BA928)),1,2))</f>
        <v>0.90918350214375854</v>
      </c>
      <c r="AO929" s="89">
        <f>INDEX(LINEST((AV929:BA929),LN(AV928:BA928),TRUE,TRUE),3,1)</f>
        <v>0.55827115916699799</v>
      </c>
      <c r="AP929" s="89">
        <f>INDEX(LINEST((AV929:BA929),LN(AV928:BA928)),1)</f>
        <v>-1.6414802228866342E-2</v>
      </c>
      <c r="AQ929" s="90">
        <f>INDEX(LINEST(LN(AV929:BA929),SQRT(AV928:BA928),TRUE,TRUE),3,1)</f>
        <v>0.83430204501052341</v>
      </c>
      <c r="AR929" s="117">
        <f>INDEX(LINEST(LN(AV929:BA929),SQRT((AV928:BA928))),1)</f>
        <v>-4.2858165843655975E-2</v>
      </c>
      <c r="AS929" s="91">
        <f>INDEX(LINEST(1/(AV929:BA929),1/(SQRT(AV928:BA928)),TRUE,TRUE),3,1)</f>
        <v>0.37145563619134525</v>
      </c>
      <c r="AT929" s="91">
        <f>INDEX(LINEST(1/(AV929:BA929),1/SQRT(AV928:BA928)),1)</f>
        <v>-1.1741968357681407E-2</v>
      </c>
      <c r="AU929" s="3"/>
      <c r="AV929" s="73">
        <v>0.97</v>
      </c>
      <c r="AW929" s="73">
        <v>0.97</v>
      </c>
      <c r="AX929" s="73">
        <v>0.87</v>
      </c>
      <c r="AY929" s="73">
        <v>0.88</v>
      </c>
      <c r="AZ929" s="73">
        <v>0.86</v>
      </c>
      <c r="BA929" s="73">
        <v>0.82</v>
      </c>
      <c r="BB929" s="4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1"/>
      <c r="CS929" s="1"/>
      <c r="CT929" s="1"/>
      <c r="CU929" s="1"/>
    </row>
    <row r="930" spans="1:99" ht="12" customHeight="1" x14ac:dyDescent="0.2">
      <c r="A930" s="65">
        <v>43509</v>
      </c>
      <c r="B930" s="15"/>
      <c r="C930" s="15"/>
      <c r="D930" s="59"/>
      <c r="E930" s="75"/>
      <c r="F930" s="59"/>
      <c r="G930" s="59"/>
      <c r="H930" s="59"/>
      <c r="I930" s="59"/>
      <c r="J930" s="59"/>
      <c r="M930" s="59"/>
      <c r="N930" s="59"/>
      <c r="O930" s="59"/>
      <c r="P930" s="59"/>
      <c r="Q930" s="59"/>
      <c r="R930" s="60"/>
      <c r="S930" s="59"/>
      <c r="T930" s="59"/>
      <c r="U930" s="60"/>
      <c r="V930" s="59"/>
      <c r="W930" s="60"/>
      <c r="X930" s="59"/>
      <c r="Y930" s="76"/>
      <c r="AB930" s="60"/>
      <c r="AC930" s="60"/>
      <c r="AD930" s="60"/>
      <c r="AE930" s="60"/>
      <c r="AF930" s="80"/>
      <c r="AG930" s="56"/>
      <c r="AI930" s="55"/>
      <c r="AJ930" s="111"/>
      <c r="AK930" s="55"/>
      <c r="AL930" s="55"/>
      <c r="AM930" s="55"/>
      <c r="AN930" s="55"/>
      <c r="AO930" s="55"/>
      <c r="AP930" s="55"/>
      <c r="AQ930" s="56"/>
      <c r="AR930" s="109"/>
      <c r="AS930" s="56"/>
      <c r="AT930" s="56"/>
      <c r="AU930" s="4"/>
      <c r="AV930" s="142">
        <v>30</v>
      </c>
      <c r="AW930" s="47">
        <f>20*60</f>
        <v>1200</v>
      </c>
      <c r="AX930" s="47">
        <f>3600</f>
        <v>3600</v>
      </c>
      <c r="AY930" s="47">
        <f>9*3600</f>
        <v>32400</v>
      </c>
      <c r="AZ930" s="47">
        <f>1*24*3600</f>
        <v>86400</v>
      </c>
      <c r="BA930" s="47">
        <f>2*24*3600</f>
        <v>172800</v>
      </c>
      <c r="BB930" s="47">
        <f>6*24*3600</f>
        <v>518400</v>
      </c>
      <c r="BC930" s="47">
        <f>31*24*3600</f>
        <v>2678400</v>
      </c>
      <c r="BD930" s="11" t="s">
        <v>898</v>
      </c>
      <c r="BE930" s="11"/>
      <c r="BF930" s="11"/>
      <c r="BG930" s="11"/>
      <c r="BH930" s="11"/>
      <c r="BI930" s="11"/>
      <c r="BJ930" s="11"/>
      <c r="BK930" s="11"/>
      <c r="BL930" s="11"/>
      <c r="BM930" s="11"/>
      <c r="BN930" s="11"/>
      <c r="BO930" s="11"/>
      <c r="BP930" s="11"/>
      <c r="BQ930" s="11"/>
      <c r="BR930" s="11"/>
      <c r="BS930" s="11"/>
      <c r="BT930" s="11"/>
      <c r="BU930" s="11"/>
      <c r="BV930" s="11"/>
      <c r="BW930" s="11"/>
      <c r="BX930" s="11"/>
      <c r="BY930" s="11"/>
      <c r="BZ930" s="11"/>
      <c r="CA930" s="11"/>
      <c r="CB930" s="11"/>
      <c r="CC930" s="11"/>
      <c r="CD930" s="11"/>
      <c r="CE930" s="11"/>
      <c r="CF930" s="11"/>
      <c r="CG930" s="11"/>
      <c r="CH930" s="11"/>
      <c r="CI930" s="11"/>
      <c r="CJ930" s="11"/>
      <c r="CK930" s="11"/>
      <c r="CL930" s="11"/>
      <c r="CM930" s="11"/>
      <c r="CN930" s="11"/>
      <c r="CO930" s="11"/>
      <c r="CP930" s="11"/>
      <c r="CQ930" s="11"/>
      <c r="CR930" s="15"/>
      <c r="CS930" s="15"/>
      <c r="CT930" s="15"/>
      <c r="CU930" s="15"/>
    </row>
    <row r="931" spans="1:99" ht="12" customHeight="1" x14ac:dyDescent="0.2">
      <c r="A931" s="65">
        <v>43509</v>
      </c>
      <c r="B931" s="15" t="s">
        <v>279</v>
      </c>
      <c r="C931" s="15" t="s">
        <v>280</v>
      </c>
      <c r="D931" s="59">
        <v>2015</v>
      </c>
      <c r="E931" s="75">
        <v>1</v>
      </c>
      <c r="F931" s="59">
        <v>1</v>
      </c>
      <c r="G931" s="59">
        <v>1</v>
      </c>
      <c r="H931" s="64" t="s">
        <v>30</v>
      </c>
      <c r="I931" s="59" t="s">
        <v>895</v>
      </c>
      <c r="J931" s="59" t="s">
        <v>281</v>
      </c>
      <c r="K931" s="60">
        <f>IF(J931="syllables",1,IF(J931="trigrams",2,IF(J931="strings",3,IF(J931="visual array",4,IF(J931="characters",5,IF(J931="letters",6,IF(J931="free forms",7,IF(J931="odors",8,IF(J931="words",9,IF(J931="pictures",10,IF(J931="object pictures",11,IF(J931="faces",12,IF(J931="names",13,IF(J931="idioms",14,IF(J931="grades",15,IF(J931="syllable-digit pairs",16,IF(J931="trigram-word pairs",17,IF(J931="word-digit pairs",18,IF(J931="English-Swahili pairs",19,IF(J931="spatial position",20,IF(J931="word pairs",21,IF(J931="word triads",22,IF(J931="generated words",23,IF(J931="word definition pairs",24,IF(J931="math problems",25,IF(J931="famous faces",26,IF(J931="famous names",27,IF(J931="famous voices",28,IF(J931="television programs",29,IF(J931="race horses",30,IF(J931="new vocabulary",31,IF(J931="sentences",32,IF(J931="concepts",33,IF(J931="ad slides",34,IF(J931="scenes",35,IF(J931="famous scenes",36,IF(J931="poems",37,IF(J931="walk",38,IF(J931="faces and events",39,IF(J931="events and names",40,IF(J931="flashbulb",41,IF(J931="stories",42,IF(J931="course material",43,IF(J931="autobiographical",44,IF(J931="novels",45,IF(J931="public events",46,"99"))))))))))))))))))))))))))))))))))))))))))))))</f>
        <v>1</v>
      </c>
      <c r="L931" s="60">
        <f>IF(J931="syllables",1,IF(J931="trigrams",1,IF(J931="strings",1,IF(J931="visual array",1,IF(J931="characters",1,IF(J931="letters",1,IF(J931="free forms",1,IF(J931="odors",2,IF(J931="words",2,IF(J931="pictures",2,IF(J931="object pictures",2,IF(J931="faces",2,IF(J931="names",2,IF(J931="idioms","2",IF(J931="grades",2,IF(J931="syllable-digit pairs",3,IF(J931="trigram-word pairs",3,IF(J931="word-digit pairs",3,IF(J931="English-Swahili pairs",3,IF(J931="spatial position",3,IF(J931="word pairs",4,IF(J931="word triads",4,IF(J931="generated words",4,IF(J931="word definition pairs",4,IF(J931="math problems",4,IF(J931="famous faces",4,IF(J931="famous names",4,IF(J931="famous voices",4,IF(J931="television programs",4,IF(J931="race horses",4,IF(J931="new vocabulary",4,IF(J931="sentences",5,IF(J931="concepts",5,IF(J931="ad slides",5,IF(J931="scenes",5,IF(J931="famous scenes",5,IF(J931="poems",6,IF(J931="walk",6,IF(J931="faces and events",6,IF(J931="events and names",6,IF(J931="flashbulb",7,IF(J931="stories",7,IF(J931="course material",7,IF(J931="autobiographical",7,IF(J931="novels",7,IF(J931="public events",7,"99"))))))))))))))))))))))))))))))))))))))))))))))</f>
        <v>1</v>
      </c>
      <c r="M931" s="59">
        <v>1</v>
      </c>
      <c r="N931" s="59">
        <v>3</v>
      </c>
      <c r="O931" s="59">
        <v>0</v>
      </c>
      <c r="P931" s="59"/>
      <c r="Q931" s="59" t="s">
        <v>87</v>
      </c>
      <c r="R931" s="60">
        <f>IF(Q931="Free Recall",1,IF(Q931="Cued Recall",2,IF(Q931="Recognition",3,IF(Q931="Multiple Choice",4,IF(Q931="Savings",5,IF(Q931="Stem Completion",6,IF(Q931="Fragment Completion",7,IF(Q931="anagram solution",8,IF(Q931="Matching",9,IF(Q931="Problem Solving",10,"99"))))))))))</f>
        <v>5</v>
      </c>
      <c r="S931" s="59" t="s">
        <v>99</v>
      </c>
      <c r="T931" s="59" t="s">
        <v>581</v>
      </c>
      <c r="U931" s="60">
        <f>IF(T931="within",1,0)</f>
        <v>1</v>
      </c>
      <c r="V931" s="59">
        <v>7280</v>
      </c>
      <c r="W931" s="60">
        <f>F931*V931</f>
        <v>7280</v>
      </c>
      <c r="X931" s="59">
        <v>7</v>
      </c>
      <c r="Y931" s="76">
        <f>AV930</f>
        <v>30</v>
      </c>
      <c r="Z931" s="59" t="s">
        <v>282</v>
      </c>
      <c r="AA931" s="59">
        <f>31*24*3600</f>
        <v>2678400</v>
      </c>
      <c r="AB931" s="60" t="str">
        <f>IF(AA931&lt;60,"1",IF(AA931&lt;=43200,"2",IF(AA931&lt;=777600,"3","4")))</f>
        <v>4</v>
      </c>
      <c r="AC931" s="56">
        <f>AVERAGE(AW930:DA930)</f>
        <v>499028.57142857142</v>
      </c>
      <c r="AD931" s="60" t="str">
        <f>IF(AC931&lt;60,"1",IF(AC931&lt;=43200,"2",IF(AC931&lt;=777600,"3","4")))</f>
        <v>3</v>
      </c>
      <c r="AE931" s="76">
        <f>AA931-Y931</f>
        <v>2678370</v>
      </c>
      <c r="AF931" s="80">
        <f>AV931</f>
        <v>1</v>
      </c>
      <c r="AG931" s="56">
        <f>((AW931-AV931)+(AX931-AW931)+(AY931-AX931)+(AZ931-AY931)+(BA931-AZ931)+(BB931-BA931))/6</f>
        <v>-0.11516666666666668</v>
      </c>
      <c r="AH931" s="4"/>
      <c r="AI931" s="56">
        <f>RSQ(AV931:BB931,AW930:BC930)</f>
        <v>0.11810622482071136</v>
      </c>
      <c r="AJ931" s="109">
        <f>SLOPE(AV931:BB931,AW930:BC930)</f>
        <v>-8.8731037396807888E-8</v>
      </c>
      <c r="AK931" s="56">
        <f>INTERCEPT(AV931:BB931,AW930:BC930)</f>
        <v>0.50870789426207563</v>
      </c>
      <c r="AL931" s="56">
        <f>INDEX(LINEST(LN(AV931:BB931),LN(AW930:BC930),TRUE,TRUE),3,1)</f>
        <v>0.71497827408420123</v>
      </c>
      <c r="AM931" s="56">
        <f>INDEX(LINEST(LN(AV931:BB931),LN(AW930:BC930)),1)</f>
        <v>-0.13771605010460941</v>
      </c>
      <c r="AN931" s="56">
        <f>EXP(INDEX(LINEST(LN(AV931:BB931),LN(AW930:BC930)),1,2))</f>
        <v>1.9219576543336088</v>
      </c>
      <c r="AO931" s="82">
        <f>INDEX(LINEST((AV931:BB931),LN(AW930:BC930),TRUE,TRUE),3,1)</f>
        <v>0.65847913554599591</v>
      </c>
      <c r="AP931" s="82">
        <f>INDEX(LINEST((AV931:BB931),LN(AW930:BC930)),1)</f>
        <v>-7.5717981478367835E-2</v>
      </c>
      <c r="AQ931" s="83">
        <f>INDEX(LINEST(LN(AV931:BB931),SQRT(AW930:BC930),TRUE,TRUE),3,1)</f>
        <v>0.29038802909340444</v>
      </c>
      <c r="AR931" s="116">
        <f>INDEX(LINEST(LN(AV931:BB931),SQRT((AW930:BC930))),1)</f>
        <v>-4.221608682359574E-4</v>
      </c>
      <c r="AS931" s="84">
        <f>INDEX(LINEST(1/(AV931:BB931),1/(SQRT(AW930:BC930)),TRUE,TRUE),3,1)</f>
        <v>0.85437768456775209</v>
      </c>
      <c r="AT931" s="84">
        <f>INDEX(LINEST(1/(AV931:BB931),1/SQRT(AW930:BC930)),1)</f>
        <v>-78.203638632846605</v>
      </c>
      <c r="AU931" s="3"/>
      <c r="AV931" s="11">
        <v>1</v>
      </c>
      <c r="AW931" s="11">
        <v>0.54400000000000004</v>
      </c>
      <c r="AX931" s="11">
        <v>0.432</v>
      </c>
      <c r="AY931" s="11">
        <v>0.28499999999999998</v>
      </c>
      <c r="AZ931" s="11">
        <v>0.316</v>
      </c>
      <c r="BA931" s="11">
        <v>0.36499999999999999</v>
      </c>
      <c r="BB931" s="11">
        <v>0.309</v>
      </c>
      <c r="BC931" s="11">
        <v>0.25800000000000001</v>
      </c>
      <c r="BD931" s="11"/>
      <c r="BE931" s="11"/>
      <c r="BF931" s="11"/>
      <c r="BG931" s="11"/>
      <c r="BH931" s="11"/>
      <c r="BI931" s="11"/>
      <c r="BJ931" s="11"/>
      <c r="BK931" s="11"/>
      <c r="BL931" s="11"/>
      <c r="BM931" s="11"/>
      <c r="BN931" s="11"/>
      <c r="BO931" s="11"/>
      <c r="BP931" s="11"/>
      <c r="BQ931" s="11"/>
      <c r="BR931" s="11"/>
      <c r="BS931" s="11"/>
      <c r="BT931" s="11"/>
      <c r="BU931" s="11"/>
      <c r="BV931" s="11"/>
      <c r="BW931" s="11"/>
      <c r="BX931" s="11"/>
      <c r="BY931" s="11"/>
      <c r="BZ931" s="11"/>
      <c r="CA931" s="11"/>
      <c r="CB931" s="11"/>
      <c r="CC931" s="11"/>
      <c r="CD931" s="11"/>
      <c r="CE931" s="11"/>
      <c r="CF931" s="11"/>
      <c r="CG931" s="11"/>
      <c r="CH931" s="11"/>
      <c r="CI931" s="11"/>
      <c r="CJ931" s="11"/>
      <c r="CK931" s="11"/>
      <c r="CL931" s="11"/>
      <c r="CM931" s="11"/>
      <c r="CN931" s="11"/>
      <c r="CO931" s="11"/>
      <c r="CP931" s="11"/>
      <c r="CQ931" s="11"/>
      <c r="CR931" s="15"/>
      <c r="CS931" s="15"/>
      <c r="CT931" s="15"/>
      <c r="CU931" s="15"/>
    </row>
    <row r="932" spans="1:99" ht="12" customHeight="1" x14ac:dyDescent="0.2">
      <c r="A932" s="65">
        <v>43509</v>
      </c>
      <c r="B932" s="15"/>
      <c r="C932" s="15"/>
      <c r="D932" s="59"/>
      <c r="E932" s="75"/>
      <c r="F932" s="59"/>
      <c r="G932" s="59"/>
      <c r="H932" s="59"/>
      <c r="I932" s="59"/>
      <c r="J932" s="59"/>
      <c r="M932" s="59"/>
      <c r="N932" s="59"/>
      <c r="O932" s="59"/>
      <c r="P932" s="59"/>
      <c r="Q932" s="59"/>
      <c r="R932" s="60"/>
      <c r="S932" s="59"/>
      <c r="T932" s="59"/>
      <c r="U932" s="60"/>
      <c r="V932" s="59"/>
      <c r="W932" s="60"/>
      <c r="X932" s="59"/>
      <c r="Y932" s="76"/>
      <c r="AB932" s="60"/>
      <c r="AC932" s="60"/>
      <c r="AD932" s="60"/>
      <c r="AE932" s="60"/>
      <c r="AF932" s="80"/>
      <c r="AG932" s="56"/>
      <c r="AI932" s="55"/>
      <c r="AJ932" s="111"/>
      <c r="AK932" s="55"/>
      <c r="AL932" s="55"/>
      <c r="AM932" s="55"/>
      <c r="AN932" s="55"/>
      <c r="AO932" s="55"/>
      <c r="AP932" s="55"/>
      <c r="AQ932" s="56"/>
      <c r="AR932" s="109"/>
      <c r="AS932" s="56"/>
      <c r="AT932" s="56"/>
      <c r="AU932" s="4"/>
      <c r="AV932" s="142">
        <v>30</v>
      </c>
      <c r="AW932" s="47">
        <f>20*60</f>
        <v>1200</v>
      </c>
      <c r="AX932" s="47">
        <f>3600</f>
        <v>3600</v>
      </c>
      <c r="AY932" s="47">
        <f>9*3600</f>
        <v>32400</v>
      </c>
      <c r="AZ932" s="47">
        <f>1*24*3600</f>
        <v>86400</v>
      </c>
      <c r="BA932" s="47">
        <f>2*24*3600</f>
        <v>172800</v>
      </c>
      <c r="BB932" s="47">
        <f>6*24*3600</f>
        <v>518400</v>
      </c>
      <c r="BC932" s="47">
        <f>31*24*3600</f>
        <v>2678400</v>
      </c>
      <c r="BD932" s="11"/>
      <c r="BE932" s="11"/>
      <c r="BF932" s="11"/>
      <c r="BG932" s="11"/>
      <c r="BH932" s="11"/>
      <c r="BI932" s="11"/>
      <c r="BJ932" s="11"/>
      <c r="BK932" s="11"/>
      <c r="BL932" s="11"/>
      <c r="BM932" s="11"/>
      <c r="BN932" s="11"/>
      <c r="BO932" s="11"/>
      <c r="BP932" s="11"/>
      <c r="BQ932" s="11"/>
      <c r="BR932" s="11"/>
      <c r="BS932" s="11"/>
      <c r="BT932" s="11"/>
      <c r="BU932" s="11"/>
      <c r="BV932" s="11"/>
      <c r="BW932" s="11"/>
      <c r="BX932" s="11"/>
      <c r="BY932" s="11"/>
      <c r="BZ932" s="11"/>
      <c r="CA932" s="11"/>
      <c r="CB932" s="11"/>
      <c r="CC932" s="11"/>
      <c r="CD932" s="11"/>
      <c r="CE932" s="11"/>
      <c r="CF932" s="11"/>
      <c r="CG932" s="11"/>
      <c r="CH932" s="11"/>
      <c r="CI932" s="11"/>
      <c r="CJ932" s="11"/>
      <c r="CK932" s="11"/>
      <c r="CL932" s="11"/>
      <c r="CM932" s="11"/>
      <c r="CN932" s="11"/>
      <c r="CO932" s="11"/>
      <c r="CP932" s="11"/>
      <c r="CQ932" s="11"/>
      <c r="CR932" s="15"/>
      <c r="CS932" s="15"/>
      <c r="CT932" s="15"/>
      <c r="CU932" s="15"/>
    </row>
    <row r="933" spans="1:99" ht="12" customHeight="1" x14ac:dyDescent="0.2">
      <c r="A933" s="65">
        <v>43509</v>
      </c>
      <c r="B933" s="15" t="s">
        <v>279</v>
      </c>
      <c r="C933" s="15" t="s">
        <v>280</v>
      </c>
      <c r="D933" s="59">
        <v>2015</v>
      </c>
      <c r="E933" s="75">
        <v>1</v>
      </c>
      <c r="F933" s="59">
        <v>1</v>
      </c>
      <c r="G933" s="59">
        <v>1</v>
      </c>
      <c r="H933" s="64" t="s">
        <v>30</v>
      </c>
      <c r="I933" s="59" t="s">
        <v>896</v>
      </c>
      <c r="J933" s="59" t="s">
        <v>281</v>
      </c>
      <c r="K933" s="60">
        <f>IF(J933="syllables",1,IF(J933="trigrams",2,IF(J933="strings",3,IF(J933="visual array",4,IF(J933="characters",5,IF(J933="letters",6,IF(J933="free forms",7,IF(J933="odors",8,IF(J933="words",9,IF(J933="pictures",10,IF(J933="object pictures",11,IF(J933="faces",12,IF(J933="names",13,IF(J933="idioms",14,IF(J933="grades",15,IF(J933="syllable-digit pairs",16,IF(J933="trigram-word pairs",17,IF(J933="word-digit pairs",18,IF(J933="English-Swahili pairs",19,IF(J933="spatial position",20,IF(J933="word pairs",21,IF(J933="word triads",22,IF(J933="generated words",23,IF(J933="word definition pairs",24,IF(J933="math problems",25,IF(J933="famous faces",26,IF(J933="famous names",27,IF(J933="famous voices",28,IF(J933="television programs",29,IF(J933="race horses",30,IF(J933="new vocabulary",31,IF(J933="sentences",32,IF(J933="concepts",33,IF(J933="ad slides",34,IF(J933="scenes",35,IF(J933="famous scenes",36,IF(J933="poems",37,IF(J933="walk",38,IF(J933="faces and events",39,IF(J933="events and names",40,IF(J933="flashbulb",41,IF(J933="stories",42,IF(J933="course material",43,IF(J933="autobiographical",44,IF(J933="novels",45,IF(J933="public events",46,"99"))))))))))))))))))))))))))))))))))))))))))))))</f>
        <v>1</v>
      </c>
      <c r="L933" s="60">
        <f>IF(J933="syllables",1,IF(J933="trigrams",1,IF(J933="strings",1,IF(J933="visual array",1,IF(J933="characters",1,IF(J933="letters",1,IF(J933="free forms",1,IF(J933="odors",2,IF(J933="words",2,IF(J933="pictures",2,IF(J933="object pictures",2,IF(J933="faces",2,IF(J933="names",2,IF(J933="idioms","2",IF(J933="grades",2,IF(J933="syllable-digit pairs",3,IF(J933="trigram-word pairs",3,IF(J933="word-digit pairs",3,IF(J933="English-Swahili pairs",3,IF(J933="spatial position",3,IF(J933="word pairs",4,IF(J933="word triads",4,IF(J933="generated words",4,IF(J933="word definition pairs",4,IF(J933="math problems",4,IF(J933="famous faces",4,IF(J933="famous names",4,IF(J933="famous voices",4,IF(J933="television programs",4,IF(J933="race horses",4,IF(J933="new vocabulary",4,IF(J933="sentences",5,IF(J933="concepts",5,IF(J933="ad slides",5,IF(J933="scenes",5,IF(J933="famous scenes",5,IF(J933="poems",6,IF(J933="walk",6,IF(J933="faces and events",6,IF(J933="events and names",6,IF(J933="flashbulb",7,IF(J933="stories",7,IF(J933="course material",7,IF(J933="autobiographical",7,IF(J933="novels",7,IF(J933="public events",7,"99"))))))))))))))))))))))))))))))))))))))))))))))</f>
        <v>1</v>
      </c>
      <c r="M933" s="59">
        <v>1</v>
      </c>
      <c r="N933" s="59">
        <v>3</v>
      </c>
      <c r="O933" s="59">
        <v>0</v>
      </c>
      <c r="P933" s="59"/>
      <c r="Q933" s="59" t="s">
        <v>87</v>
      </c>
      <c r="R933" s="60">
        <f>IF(Q933="Free Recall",1,IF(Q933="Cued Recall",2,IF(Q933="Recognition",3,IF(Q933="Multiple Choice",4,IF(Q933="Savings",5,IF(Q933="Stem Completion",6,IF(Q933="Fragment Completion",7,IF(Q933="anagram solution",8,IF(Q933="Matching",9,IF(Q933="Problem Solving",10,"99"))))))))))</f>
        <v>5</v>
      </c>
      <c r="S933" s="59" t="s">
        <v>99</v>
      </c>
      <c r="T933" s="59" t="s">
        <v>581</v>
      </c>
      <c r="U933" s="60">
        <f>IF(T933="within",1,0)</f>
        <v>1</v>
      </c>
      <c r="V933" s="59">
        <v>7280</v>
      </c>
      <c r="W933" s="60">
        <f>F933*V933</f>
        <v>7280</v>
      </c>
      <c r="X933" s="59">
        <v>7</v>
      </c>
      <c r="Y933" s="76">
        <f>AV932</f>
        <v>30</v>
      </c>
      <c r="Z933" s="59" t="s">
        <v>282</v>
      </c>
      <c r="AA933" s="59">
        <f>31*24*3600</f>
        <v>2678400</v>
      </c>
      <c r="AB933" s="60" t="str">
        <f>IF(AA933&lt;60,"1",IF(AA933&lt;=43200,"2",IF(AA933&lt;=777600,"3","4")))</f>
        <v>4</v>
      </c>
      <c r="AC933" s="56">
        <f>AVERAGE(AV932:DA932)</f>
        <v>436653.75</v>
      </c>
      <c r="AD933" s="60" t="str">
        <f>IF(AC933&lt;60,"1",IF(AC933&lt;=43200,"2",IF(AC933&lt;=777600,"3","4")))</f>
        <v>3</v>
      </c>
      <c r="AE933" s="76">
        <f>AA933-Y933</f>
        <v>2678370</v>
      </c>
      <c r="AF933" s="80">
        <f>AV933</f>
        <v>1</v>
      </c>
      <c r="AG933" s="56">
        <f>((AW933-AV933)+(AX933-AW933)+(AY933-AX933)+(AZ933-AY933)+(BA933-AZ933)+(BB933-BA933))/6</f>
        <v>-0.13250000000000001</v>
      </c>
      <c r="AH933" s="4"/>
      <c r="AI933" s="56">
        <f>RSQ(AV933:BB933,AV932:BB932)</f>
        <v>0.19435733971480346</v>
      </c>
      <c r="AJ933" s="109">
        <f>SLOPE(AV933:BB933,AV932:BB932)</f>
        <v>-6.4692537262221053E-7</v>
      </c>
      <c r="AK933" s="56">
        <f>INTERCEPT(AV933:BB933,AV932:BB932)</f>
        <v>0.47216202876767938</v>
      </c>
      <c r="AL933" s="56">
        <f>INDEX(LINEST(LN(AV933:BB933),LN(AV932:BB932),TRUE,TRUE),3,1)</f>
        <v>0.92279764624619454</v>
      </c>
      <c r="AM933" s="56">
        <f>INDEX(LINEST(LN(AV933:BB933),LN(AV932:BB932)),1)</f>
        <v>-0.14901517490609484</v>
      </c>
      <c r="AN933" s="56">
        <f>EXP(INDEX(LINEST(LN(AV933:BB933),LN(AV932:BB932)),1,2))</f>
        <v>1.3919522317769082</v>
      </c>
      <c r="AO933" s="82">
        <f>INDEX(LINEST((AV933:BB933),LN(AV932:BB932),TRUE,TRUE),3,1)</f>
        <v>0.81997855540148301</v>
      </c>
      <c r="AP933" s="82">
        <f>INDEX(LINEST((AV933:BB933),LN(AV932:BB932)),1)</f>
        <v>-7.3795186148611636E-2</v>
      </c>
      <c r="AQ933" s="83">
        <f>INDEX(LINEST(LN(AV933:BB933),SQRT(AV932:BB932),TRUE,TRUE),3,1)</f>
        <v>0.51787043414274037</v>
      </c>
      <c r="AR933" s="116">
        <f>INDEX(LINEST(LN(AV933:BB933),SQRT((AV932:BB932))),1)</f>
        <v>-1.4694314664775619E-3</v>
      </c>
      <c r="AS933" s="84">
        <f>INDEX(LINEST(1/(AV933:BB933),1/(SQRT(AV932:BB932)),TRUE,TRUE),3,1)</f>
        <v>0.72535912469500485</v>
      </c>
      <c r="AT933" s="84">
        <f>INDEX(LINEST(1/(AV933:BB933),1/SQRT(AV932:BB932)),1)</f>
        <v>-16.104458210004129</v>
      </c>
      <c r="AU933" s="3"/>
      <c r="AV933" s="11">
        <v>1</v>
      </c>
      <c r="AW933" s="11">
        <v>0.442</v>
      </c>
      <c r="AX933" s="11">
        <v>0.32500000000000001</v>
      </c>
      <c r="AY933" s="11">
        <v>0.27</v>
      </c>
      <c r="AZ933" s="11">
        <v>0.27</v>
      </c>
      <c r="BA933" s="11">
        <v>0.26600000000000001</v>
      </c>
      <c r="BB933" s="11">
        <v>0.20499999999999999</v>
      </c>
      <c r="BC933" s="11">
        <v>0.20100000000000001</v>
      </c>
      <c r="BD933" s="11"/>
      <c r="BE933" s="11"/>
      <c r="BF933" s="11"/>
      <c r="BG933" s="11"/>
      <c r="BH933" s="11"/>
      <c r="BI933" s="11"/>
      <c r="BJ933" s="11"/>
      <c r="BK933" s="11"/>
      <c r="BL933" s="11"/>
      <c r="BM933" s="11"/>
      <c r="BN933" s="11"/>
      <c r="BO933" s="11"/>
      <c r="BP933" s="11"/>
      <c r="BQ933" s="11"/>
      <c r="BR933" s="11"/>
      <c r="BS933" s="11"/>
      <c r="BT933" s="11"/>
      <c r="BU933" s="11"/>
      <c r="BV933" s="11"/>
      <c r="BW933" s="11"/>
      <c r="BX933" s="11"/>
      <c r="BY933" s="11"/>
      <c r="BZ933" s="11"/>
      <c r="CA933" s="11"/>
      <c r="CB933" s="11"/>
      <c r="CC933" s="11"/>
      <c r="CD933" s="11"/>
      <c r="CE933" s="11"/>
      <c r="CF933" s="11"/>
      <c r="CG933" s="11"/>
      <c r="CH933" s="11"/>
      <c r="CI933" s="11"/>
      <c r="CJ933" s="11"/>
      <c r="CK933" s="11"/>
      <c r="CL933" s="11"/>
      <c r="CM933" s="11"/>
      <c r="CN933" s="11"/>
      <c r="CO933" s="11"/>
      <c r="CP933" s="11"/>
      <c r="CQ933" s="11"/>
      <c r="CR933" s="15"/>
      <c r="CS933" s="15"/>
      <c r="CT933" s="15"/>
      <c r="CU933" s="15"/>
    </row>
    <row r="934" spans="1:99" ht="12" customHeight="1" x14ac:dyDescent="0.2">
      <c r="A934" s="65">
        <v>43509</v>
      </c>
      <c r="B934" s="15"/>
      <c r="C934" s="15"/>
      <c r="D934" s="59"/>
      <c r="E934" s="75"/>
      <c r="F934" s="59"/>
      <c r="G934" s="59"/>
      <c r="H934" s="59"/>
      <c r="I934" s="59"/>
      <c r="J934" s="59"/>
      <c r="M934" s="59"/>
      <c r="N934" s="59"/>
      <c r="O934" s="59"/>
      <c r="P934" s="59"/>
      <c r="Q934" s="59"/>
      <c r="R934" s="60"/>
      <c r="S934" s="59"/>
      <c r="T934" s="59"/>
      <c r="U934" s="60"/>
      <c r="V934" s="59"/>
      <c r="W934" s="60"/>
      <c r="X934" s="59"/>
      <c r="Y934" s="76"/>
      <c r="AB934" s="60"/>
      <c r="AC934" s="60"/>
      <c r="AD934" s="60"/>
      <c r="AE934" s="60"/>
      <c r="AF934" s="80"/>
      <c r="AG934" s="56"/>
      <c r="AI934" s="55"/>
      <c r="AJ934" s="111"/>
      <c r="AK934" s="55"/>
      <c r="AL934" s="55"/>
      <c r="AM934" s="55"/>
      <c r="AN934" s="55"/>
      <c r="AO934" s="55"/>
      <c r="AP934" s="55"/>
      <c r="AQ934" s="56"/>
      <c r="AR934" s="109"/>
      <c r="AS934" s="56"/>
      <c r="AT934" s="56"/>
      <c r="AU934" s="4"/>
      <c r="AV934" s="142">
        <v>30</v>
      </c>
      <c r="AW934" s="47">
        <f>20*60</f>
        <v>1200</v>
      </c>
      <c r="AX934" s="47">
        <f>3600</f>
        <v>3600</v>
      </c>
      <c r="AY934" s="47">
        <f>9*3600</f>
        <v>32400</v>
      </c>
      <c r="AZ934" s="47">
        <f>1*24*3600</f>
        <v>86400</v>
      </c>
      <c r="BA934" s="47">
        <f>2*24*3600</f>
        <v>172800</v>
      </c>
      <c r="BB934" s="47">
        <f>6*24*3600</f>
        <v>518400</v>
      </c>
      <c r="BC934" s="47">
        <f>31*24*3600</f>
        <v>2678400</v>
      </c>
      <c r="BD934" s="11"/>
      <c r="BE934" s="11"/>
      <c r="BF934" s="11"/>
      <c r="BG934" s="11"/>
      <c r="BH934" s="11"/>
      <c r="BI934" s="11"/>
      <c r="BJ934" s="11"/>
      <c r="BK934" s="11"/>
      <c r="BL934" s="11"/>
      <c r="BM934" s="11"/>
      <c r="BN934" s="11"/>
      <c r="BO934" s="11"/>
      <c r="BP934" s="11"/>
      <c r="BQ934" s="11"/>
      <c r="BR934" s="11"/>
      <c r="BS934" s="11"/>
      <c r="BT934" s="11"/>
      <c r="BU934" s="11"/>
      <c r="BV934" s="11"/>
      <c r="BW934" s="11"/>
      <c r="BX934" s="11"/>
      <c r="BY934" s="11"/>
      <c r="BZ934" s="11"/>
      <c r="CA934" s="11"/>
      <c r="CB934" s="11"/>
      <c r="CC934" s="11"/>
      <c r="CD934" s="11"/>
      <c r="CE934" s="11"/>
      <c r="CF934" s="11"/>
      <c r="CG934" s="11"/>
      <c r="CH934" s="11"/>
      <c r="CI934" s="11"/>
      <c r="CJ934" s="11"/>
      <c r="CK934" s="11"/>
      <c r="CL934" s="11"/>
      <c r="CM934" s="11"/>
      <c r="CN934" s="11"/>
      <c r="CO934" s="11"/>
      <c r="CP934" s="11"/>
      <c r="CQ934" s="11"/>
      <c r="CR934" s="15"/>
      <c r="CS934" s="15"/>
      <c r="CT934" s="15"/>
      <c r="CU934" s="15"/>
    </row>
    <row r="935" spans="1:99" ht="12" customHeight="1" x14ac:dyDescent="0.2">
      <c r="A935" s="65">
        <v>43509</v>
      </c>
      <c r="B935" s="15" t="s">
        <v>279</v>
      </c>
      <c r="C935" s="15" t="s">
        <v>280</v>
      </c>
      <c r="D935" s="59">
        <v>2015</v>
      </c>
      <c r="E935" s="75">
        <v>1</v>
      </c>
      <c r="F935" s="59">
        <v>1</v>
      </c>
      <c r="G935" s="59">
        <v>1</v>
      </c>
      <c r="H935" s="64" t="s">
        <v>30</v>
      </c>
      <c r="I935" s="59" t="s">
        <v>897</v>
      </c>
      <c r="J935" s="59" t="s">
        <v>281</v>
      </c>
      <c r="K935" s="60">
        <f>IF(J935="syllables",1,IF(J935="trigrams",2,IF(J935="strings",3,IF(J935="visual array",4,IF(J935="characters",5,IF(J935="letters",6,IF(J935="free forms",7,IF(J935="odors",8,IF(J935="words",9,IF(J935="pictures",10,IF(J935="object pictures",11,IF(J935="faces",12,IF(J935="names",13,IF(J935="idioms",14,IF(J935="grades",15,IF(J935="syllable-digit pairs",16,IF(J935="trigram-word pairs",17,IF(J935="word-digit pairs",18,IF(J935="English-Swahili pairs",19,IF(J935="spatial position",20,IF(J935="word pairs",21,IF(J935="word triads",22,IF(J935="generated words",23,IF(J935="word definition pairs",24,IF(J935="math problems",25,IF(J935="famous faces",26,IF(J935="famous names",27,IF(J935="famous voices",28,IF(J935="television programs",29,IF(J935="race horses",30,IF(J935="new vocabulary",31,IF(J935="sentences",32,IF(J935="concepts",33,IF(J935="ad slides",34,IF(J935="scenes",35,IF(J935="famous scenes",36,IF(J935="poems",37,IF(J935="walk",38,IF(J935="faces and events",39,IF(J935="events and names",40,IF(J935="flashbulb",41,IF(J935="stories",42,IF(J935="course material",43,IF(J935="autobiographical",44,IF(J935="novels",45,IF(J935="public events",46,"99"))))))))))))))))))))))))))))))))))))))))))))))</f>
        <v>1</v>
      </c>
      <c r="L935" s="60">
        <f>IF(J935="syllables",1,IF(J935="trigrams",1,IF(J935="strings",1,IF(J935="visual array",1,IF(J935="characters",1,IF(J935="letters",1,IF(J935="free forms",1,IF(J935="odors",2,IF(J935="words",2,IF(J935="pictures",2,IF(J935="object pictures",2,IF(J935="faces",2,IF(J935="names",2,IF(J935="idioms","2",IF(J935="grades",2,IF(J935="syllable-digit pairs",3,IF(J935="trigram-word pairs",3,IF(J935="word-digit pairs",3,IF(J935="English-Swahili pairs",3,IF(J935="spatial position",3,IF(J935="word pairs",4,IF(J935="word triads",4,IF(J935="generated words",4,IF(J935="word definition pairs",4,IF(J935="math problems",4,IF(J935="famous faces",4,IF(J935="famous names",4,IF(J935="famous voices",4,IF(J935="television programs",4,IF(J935="race horses",4,IF(J935="new vocabulary",4,IF(J935="sentences",5,IF(J935="concepts",5,IF(J935="ad slides",5,IF(J935="scenes",5,IF(J935="famous scenes",5,IF(J935="poems",6,IF(J935="walk",6,IF(J935="faces and events",6,IF(J935="events and names",6,IF(J935="flashbulb",7,IF(J935="stories",7,IF(J935="course material",7,IF(J935="autobiographical",7,IF(J935="novels",7,IF(J935="public events",7,"99"))))))))))))))))))))))))))))))))))))))))))))))</f>
        <v>1</v>
      </c>
      <c r="M935" s="59">
        <v>1</v>
      </c>
      <c r="N935" s="59">
        <v>3</v>
      </c>
      <c r="O935" s="59">
        <v>0</v>
      </c>
      <c r="P935" s="59"/>
      <c r="Q935" s="59" t="s">
        <v>87</v>
      </c>
      <c r="R935" s="60">
        <f>IF(Q935="Free Recall",1,IF(Q935="Cued Recall",2,IF(Q935="Recognition",3,IF(Q935="Multiple Choice",4,IF(Q935="Savings",5,IF(Q935="Stem Completion",6,IF(Q935="Fragment Completion",7,IF(Q935="anagram solution",8,IF(Q935="Matching",9,IF(Q935="Problem Solving",10,"99"))))))))))</f>
        <v>5</v>
      </c>
      <c r="S935" s="59" t="s">
        <v>99</v>
      </c>
      <c r="T935" s="59" t="s">
        <v>581</v>
      </c>
      <c r="U935" s="60">
        <f>IF(T935="within",1,0)</f>
        <v>1</v>
      </c>
      <c r="V935" s="59">
        <v>7280</v>
      </c>
      <c r="W935" s="60">
        <f>F935*V935</f>
        <v>7280</v>
      </c>
      <c r="X935" s="59">
        <v>7</v>
      </c>
      <c r="Y935" s="76">
        <f>AV934</f>
        <v>30</v>
      </c>
      <c r="Z935" s="59" t="s">
        <v>282</v>
      </c>
      <c r="AA935" s="59">
        <f>31*24*3600</f>
        <v>2678400</v>
      </c>
      <c r="AB935" s="60" t="str">
        <f>IF(AA935&lt;60,"1",IF(AA935&lt;=43200,"2",IF(AA935&lt;=777600,"3","4")))</f>
        <v>4</v>
      </c>
      <c r="AC935" s="56">
        <f>AVERAGE(AV934:DA934)</f>
        <v>436653.75</v>
      </c>
      <c r="AD935" s="60" t="str">
        <f>IF(AC935&lt;60,"1",IF(AC935&lt;=43200,"2",IF(AC935&lt;=777600,"3","4")))</f>
        <v>3</v>
      </c>
      <c r="AE935" s="76">
        <f>AA935-Y935</f>
        <v>2678370</v>
      </c>
      <c r="AF935" s="80">
        <f>AW935</f>
        <v>0.47199999999999998</v>
      </c>
      <c r="AG935" s="56">
        <f>((AX935-AW935)+(AY935-AX935)+(AZ935-AY935)+(BA935-AZ935)+(BB935-BA935)+(BC935-BB935))/6</f>
        <v>-7.1833333333333318E-2</v>
      </c>
      <c r="AH935" s="4"/>
      <c r="AI935" s="56">
        <f>RSQ(AW935:BC935,AV934:BB934)</f>
        <v>0.7445172714999545</v>
      </c>
      <c r="AJ935" s="109">
        <f>SLOPE(AW935:BC935,AV934:BB934)</f>
        <v>-6.4353349004341637E-7</v>
      </c>
      <c r="AK935" s="56">
        <f>INTERCEPT(AW935:BC935,AV934:BB934)</f>
        <v>0.34305291338458244</v>
      </c>
      <c r="AL935" s="56">
        <f>INDEX(LINEST(LN(AW935:BC935),LN(AV934:BB934),TRUE,TRUE),3,1)</f>
        <v>0.59033183013662915</v>
      </c>
      <c r="AM935" s="56">
        <f>INDEX(LINEST(LN(AW935:BC935),LN(AV934:BB934)),1)</f>
        <v>-0.18391190913912323</v>
      </c>
      <c r="AN935" s="56">
        <f>EXP(INDEX(LINEST(LN(AW935:BC935),LN(AV934:BB934)),1,2))</f>
        <v>1.2307192889180767</v>
      </c>
      <c r="AO935" s="82">
        <f>INDEX(LINEST((AW935:BC935),LN(AV934:BB934),TRUE,TRUE),3,1)</f>
        <v>0.84564832102592769</v>
      </c>
      <c r="AP935" s="82">
        <f>INDEX(LINEST((AW935:BC935),LN(AV934:BB934)),1)</f>
        <v>-3.8089189681043911E-2</v>
      </c>
      <c r="AQ935" s="83">
        <f>INDEX(LINEST(LN(AW935:BC935),SQRT(AV934:BB934),TRUE,TRUE),3,1)</f>
        <v>0.92156159613228783</v>
      </c>
      <c r="AR935" s="116">
        <f>INDEX(LINEST(LN(AW935:BC935),SQRT((AV934:BB934))),1)</f>
        <v>-3.0247219340505532E-3</v>
      </c>
      <c r="AS935" s="84">
        <f>INDEX(LINEST(1/(AW935:BC935),1/(SQRT(AV934:BB934)),TRUE,TRUE),3,1)</f>
        <v>9.8280775320060285E-2</v>
      </c>
      <c r="AT935" s="84">
        <f>INDEX(LINEST(1/(AW935:BC935),1/SQRT(AV934:BB934)),1)</f>
        <v>-37.658475319928669</v>
      </c>
      <c r="AU935" s="3"/>
      <c r="AV935" s="45">
        <v>1</v>
      </c>
      <c r="AW935" s="11">
        <v>0.47199999999999998</v>
      </c>
      <c r="AX935" s="11">
        <v>0.373</v>
      </c>
      <c r="AY935" s="11">
        <v>0.27600000000000002</v>
      </c>
      <c r="AZ935" s="11">
        <v>0.317</v>
      </c>
      <c r="BA935" s="11">
        <v>0.23</v>
      </c>
      <c r="BB935" s="11">
        <v>0.16800000000000001</v>
      </c>
      <c r="BC935" s="11">
        <v>4.1000000000000002E-2</v>
      </c>
      <c r="BD935" s="11"/>
      <c r="BE935" s="11"/>
      <c r="BF935" s="11"/>
      <c r="BG935" s="11"/>
      <c r="BH935" s="11"/>
      <c r="BI935" s="11"/>
      <c r="BJ935" s="11"/>
      <c r="BK935" s="11"/>
      <c r="BL935" s="11"/>
      <c r="BM935" s="11"/>
      <c r="BN935" s="11"/>
      <c r="BO935" s="11"/>
      <c r="BP935" s="11"/>
      <c r="BQ935" s="11"/>
      <c r="BR935" s="11"/>
      <c r="BS935" s="11"/>
      <c r="BT935" s="11"/>
      <c r="BU935" s="11"/>
      <c r="BV935" s="11"/>
      <c r="BW935" s="11"/>
      <c r="BX935" s="11"/>
      <c r="BY935" s="11"/>
      <c r="BZ935" s="11"/>
      <c r="CA935" s="11"/>
      <c r="CB935" s="11"/>
      <c r="CC935" s="11"/>
      <c r="CD935" s="11"/>
      <c r="CE935" s="11"/>
      <c r="CF935" s="11"/>
      <c r="CG935" s="11"/>
      <c r="CH935" s="11"/>
      <c r="CI935" s="11"/>
      <c r="CJ935" s="11"/>
      <c r="CK935" s="11"/>
      <c r="CL935" s="11"/>
      <c r="CM935" s="11"/>
      <c r="CN935" s="11"/>
      <c r="CO935" s="11"/>
      <c r="CP935" s="11"/>
      <c r="CQ935" s="11"/>
      <c r="CR935" s="15"/>
      <c r="CS935" s="15"/>
      <c r="CT935" s="15"/>
      <c r="CU935" s="15"/>
    </row>
    <row r="936" spans="1:99" s="13" customFormat="1" ht="12" customHeight="1" x14ac:dyDescent="0.2">
      <c r="A936" s="68">
        <v>43509</v>
      </c>
      <c r="B936" s="70"/>
      <c r="C936" s="70"/>
      <c r="D936" s="69"/>
      <c r="E936" s="87"/>
      <c r="F936" s="69"/>
      <c r="G936" s="69"/>
      <c r="H936" s="69"/>
      <c r="I936" s="69"/>
      <c r="J936" s="69"/>
      <c r="K936" s="107"/>
      <c r="L936" s="107"/>
      <c r="M936" s="69"/>
      <c r="N936" s="69"/>
      <c r="O936" s="69"/>
      <c r="P936" s="69"/>
      <c r="Q936" s="69"/>
      <c r="R936" s="69"/>
      <c r="S936" s="69"/>
      <c r="T936" s="69"/>
      <c r="U936" s="69"/>
      <c r="V936" s="69"/>
      <c r="W936" s="69"/>
      <c r="X936" s="69"/>
      <c r="Y936" s="87"/>
      <c r="Z936" s="69"/>
      <c r="AA936" s="69"/>
      <c r="AB936" s="69"/>
      <c r="AC936" s="69"/>
      <c r="AD936" s="69"/>
      <c r="AE936" s="69"/>
      <c r="AF936" s="88"/>
      <c r="AG936" s="72"/>
      <c r="AH936" s="4"/>
      <c r="AI936" s="72"/>
      <c r="AJ936" s="110"/>
      <c r="AK936" s="72"/>
      <c r="AL936" s="72"/>
      <c r="AM936" s="72"/>
      <c r="AN936" s="72"/>
      <c r="AO936" s="72"/>
      <c r="AP936" s="72"/>
      <c r="AQ936" s="72"/>
      <c r="AR936" s="110"/>
      <c r="AS936" s="72"/>
      <c r="AT936" s="72"/>
      <c r="AU936" s="4"/>
      <c r="AV936" s="71">
        <f>7*24*3600*1</f>
        <v>604800</v>
      </c>
      <c r="AW936" s="71">
        <f>7*24*3600*3</f>
        <v>1814400</v>
      </c>
      <c r="AX936" s="71">
        <f>7*24*3600*4</f>
        <v>2419200</v>
      </c>
      <c r="AY936" s="71">
        <f>7*24*3600*5</f>
        <v>3024000</v>
      </c>
      <c r="AZ936" s="71">
        <f>7*24*3600*7</f>
        <v>4233600</v>
      </c>
      <c r="BA936" s="42"/>
      <c r="BB936" s="4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1"/>
      <c r="CS936" s="1"/>
      <c r="CT936" s="1"/>
      <c r="CU936" s="1"/>
    </row>
    <row r="937" spans="1:99" s="13" customFormat="1" ht="12" customHeight="1" x14ac:dyDescent="0.2">
      <c r="A937" s="68">
        <v>43509</v>
      </c>
      <c r="B937" s="70" t="s">
        <v>249</v>
      </c>
      <c r="C937" s="70" t="s">
        <v>156</v>
      </c>
      <c r="D937" s="69">
        <v>1980</v>
      </c>
      <c r="E937" s="87">
        <v>1</v>
      </c>
      <c r="F937" s="69">
        <v>126</v>
      </c>
      <c r="G937" s="69">
        <v>21</v>
      </c>
      <c r="H937" s="69" t="s">
        <v>50</v>
      </c>
      <c r="I937" s="69" t="s">
        <v>904</v>
      </c>
      <c r="J937" s="69" t="s">
        <v>90</v>
      </c>
      <c r="K937" s="69">
        <f>IF(J937="syllables",1,IF(J937="trigrams",2,IF(J937="strings",3,IF(J937="visual array",4,IF(J937="characters",5,IF(J937="letters",6,IF(J937="free forms",7,IF(J937="odors",8,IF(J937="words",9,IF(J937="pictures",10,IF(J937="object pictures",11,IF(J937="faces",12,IF(J937="names",13,IF(J937="idioms",14,IF(J937="grades",15,IF(J937="syllable-digit pairs",16,IF(J937="trigram-word pairs",17,IF(J937="word-digit pairs",18,IF(J937="English-Swahili pairs",19,IF(J937="spatial position",20,IF(J937="word pairs",21,IF(J937="word triads",22,IF(J937="generated words",23,IF(J937="word definition pairs",24,IF(J937="math problems",25,IF(J937="famous faces",26,IF(J937="famous names",27,IF(J937="famous voices",28,IF(J937="television programs",29,IF(J937="race horses",30,IF(J937="new vocabulary",31,IF(J937="sentences",32,IF(J937="concepts",33,IF(J937="ad slides",34,IF(J937="scenes",35,IF(J937="famous scenes",36,IF(J937="poems",37,IF(J937="walk",38,IF(J937="faces and events",39,IF(J937="events and names",40,IF(J937="flashbulb",41,IF(J937="stories",42,IF(J937="course material",43,IF(J937="autobiographical",44,IF(J937="novels",45,IF(J937="public events",46,"99"))))))))))))))))))))))))))))))))))))))))))))))</f>
        <v>18</v>
      </c>
      <c r="L937" s="69">
        <f>IF(J937="syllables",1,IF(J937="trigrams",1,IF(J937="strings",1,IF(J937="visual array",1,IF(J937="characters",1,IF(J937="letters",1,IF(J937="free forms",1,IF(J937="odors",2,IF(J937="words",2,IF(J937="pictures",2,IF(J937="object pictures",2,IF(J937="faces",2,IF(J937="names",2,IF(J937="idioms","2",IF(J937="grades",2,IF(J937="syllable-digit pairs",3,IF(J937="trigram-word pairs",3,IF(J937="word-digit pairs",3,IF(J937="English-Swahili pairs",3,IF(J937="spatial position",3,IF(J937="word pairs",4,IF(J937="word triads",4,IF(J937="generated words",4,IF(J937="word definition pairs",4,IF(J937="math problems",4,IF(J937="famous faces",4,IF(J937="famous names",4,IF(J937="famous voices",4,IF(J937="television programs",4,IF(J937="race horses",4,IF(J937="new vocabulary",4,IF(J937="sentences",5,IF(J937="concepts",5,IF(J937="ad slides",5,IF(J937="scenes",5,IF(J937="famous scenes",5,IF(J937="poems",6,IF(J937="walk",6,IF(J937="faces and events",6,IF(J937="events and names",6,IF(J937="flashbulb",7,IF(J937="stories",7,IF(J937="course material",7,IF(J937="autobiographical",7,IF(J937="novels",7,IF(J937="public events",7,"99"))))))))))))))))))))))))))))))))))))))))))))))</f>
        <v>3</v>
      </c>
      <c r="M937" s="69">
        <v>1</v>
      </c>
      <c r="N937" s="69">
        <v>2</v>
      </c>
      <c r="O937" s="69">
        <v>0</v>
      </c>
      <c r="P937" s="69"/>
      <c r="Q937" s="69" t="s">
        <v>174</v>
      </c>
      <c r="R937" s="69">
        <f>IF(Q937="Free Recall",1,IF(Q937="Cued Recall",2,IF(Q937="Recognition",3,IF(Q937="Multiple Choice",4,IF(Q937="Savings",5,IF(Q937="Stem Completion",6,IF(Q937="Fragment Completion",7,IF(Q937="anagram solution",8,IF(Q937="Matching",9,IF(Q937="Problem Solving",10,"99"))))))))))</f>
        <v>1</v>
      </c>
      <c r="S937" s="69" t="s">
        <v>49</v>
      </c>
      <c r="T937" s="69" t="s">
        <v>261</v>
      </c>
      <c r="U937" s="69">
        <f>IF(T937="within",1,0)</f>
        <v>0</v>
      </c>
      <c r="V937" s="69">
        <v>20</v>
      </c>
      <c r="W937" s="69">
        <f>F937*V937</f>
        <v>2520</v>
      </c>
      <c r="X937" s="69">
        <v>5</v>
      </c>
      <c r="Y937" s="87">
        <f>AV936</f>
        <v>604800</v>
      </c>
      <c r="Z937" s="69" t="s">
        <v>157</v>
      </c>
      <c r="AA937" s="69">
        <v>4233600</v>
      </c>
      <c r="AB937" s="69" t="str">
        <f>IF(AA937&lt;60,"1",IF(AA937&lt;=43200,"2",IF(AA937&lt;=777600,"3","4")))</f>
        <v>4</v>
      </c>
      <c r="AC937" s="72">
        <f>AVERAGE(AV936:DA936)</f>
        <v>2419200</v>
      </c>
      <c r="AD937" s="69" t="str">
        <f>IF(AC937&lt;60,"1",IF(AC937&lt;=43200,"2",IF(AC937&lt;=777600,"3","4")))</f>
        <v>4</v>
      </c>
      <c r="AE937" s="87">
        <f>AA937-Y937</f>
        <v>3628800</v>
      </c>
      <c r="AF937" s="88">
        <f>AV937</f>
        <v>0.411373036524952</v>
      </c>
      <c r="AG937" s="72">
        <f>((AW937-AV937)+(AX937-AW937)+(AY937-AX937)+(AZ937-AY937))/4</f>
        <v>-6.7294820455050003E-2</v>
      </c>
      <c r="AH937" s="4"/>
      <c r="AI937" s="72">
        <f>RSQ(AV937:AZ937,AV936:AZ936)</f>
        <v>0.83758852264875328</v>
      </c>
      <c r="AJ937" s="110">
        <f>SLOPE(AV937:AZ937,AV936:AZ936)</f>
        <v>-7.8085891061785882E-8</v>
      </c>
      <c r="AK937" s="72">
        <f>INTERCEPT(AV937:AZ937,AV936:AZ936)</f>
        <v>0.41996800581277521</v>
      </c>
      <c r="AL937" s="72">
        <f>INDEX(LINEST(LN(AV937:AZ937),LN(AV936:AZ936),TRUE,TRUE),3,1)</f>
        <v>0.90942449303650286</v>
      </c>
      <c r="AM937" s="72">
        <f>INDEX(LINEST(LN(AV937:AZ937),LN(AV936:AZ936)),1)</f>
        <v>-0.59517119578547173</v>
      </c>
      <c r="AN937" s="72">
        <f>EXP(INDEX(LINEST(LN(AV937:AZ937),LN(AV936:AZ936)),1,2))</f>
        <v>1195.8922019718161</v>
      </c>
      <c r="AO937" s="89">
        <f>INDEX(LINEST((AV937:AZ937),LN(AV936:AZ936),TRUE,TRUE),3,1)</f>
        <v>0.94501006722139846</v>
      </c>
      <c r="AP937" s="89">
        <f>INDEX(LINEST((AV937:AZ937),LN(AV936:AZ936)),1)</f>
        <v>-0.15095085660822027</v>
      </c>
      <c r="AQ937" s="90">
        <f>INDEX(LINEST(LN(AV937:AZ937),SQRT(AV936:AZ936),TRUE,TRUE),3,1)</f>
        <v>0.91216347158154898</v>
      </c>
      <c r="AR937" s="117">
        <f>INDEX(LINEST(LN(AV937:AZ937),SQRT((AV936:AZ936))),1)</f>
        <v>-9.2553381903205266E-4</v>
      </c>
      <c r="AS937" s="91">
        <f>INDEX(LINEST(1/(AV937:AZ937),1/(SQRT(AV936:AZ936)),TRUE,TRUE),3,1)</f>
        <v>0.78686403011097705</v>
      </c>
      <c r="AT937" s="91">
        <f>INDEX(LINEST(1/(AV937:AZ937),1/SQRT(AV936:AZ936)),1)</f>
        <v>-5798.636299518771</v>
      </c>
      <c r="AU937" s="3"/>
      <c r="AV937" s="73">
        <v>0.411373036524952</v>
      </c>
      <c r="AW937" s="73">
        <v>0.27969281095098197</v>
      </c>
      <c r="AX937" s="73">
        <v>0.17934977047160799</v>
      </c>
      <c r="AY937" s="73">
        <v>0.14270371812822</v>
      </c>
      <c r="AZ937" s="73">
        <v>0.14219375470475198</v>
      </c>
      <c r="BA937" s="42"/>
      <c r="BB937" s="4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1"/>
      <c r="CS937" s="1"/>
      <c r="CT937" s="1"/>
      <c r="CU937" s="1"/>
    </row>
    <row r="938" spans="1:99" s="13" customFormat="1" ht="12" customHeight="1" x14ac:dyDescent="0.2">
      <c r="A938" s="68">
        <v>43509</v>
      </c>
      <c r="B938" s="70"/>
      <c r="C938" s="70"/>
      <c r="D938" s="69"/>
      <c r="E938" s="87"/>
      <c r="F938" s="69"/>
      <c r="G938" s="69"/>
      <c r="H938" s="69"/>
      <c r="I938" s="69"/>
      <c r="J938" s="69"/>
      <c r="K938" s="69"/>
      <c r="L938" s="69"/>
      <c r="M938" s="69"/>
      <c r="N938" s="69"/>
      <c r="O938" s="69"/>
      <c r="P938" s="69"/>
      <c r="Q938" s="69"/>
      <c r="R938" s="69"/>
      <c r="S938" s="69"/>
      <c r="T938" s="69"/>
      <c r="U938" s="69"/>
      <c r="V938" s="69"/>
      <c r="W938" s="69"/>
      <c r="X938" s="69"/>
      <c r="Y938" s="87"/>
      <c r="Z938" s="69"/>
      <c r="AA938" s="69"/>
      <c r="AB938" s="69"/>
      <c r="AC938" s="72"/>
      <c r="AD938" s="69"/>
      <c r="AE938" s="87"/>
      <c r="AF938" s="88"/>
      <c r="AG938" s="72"/>
      <c r="AH938" s="4"/>
      <c r="AI938" s="72"/>
      <c r="AJ938" s="110"/>
      <c r="AK938" s="72"/>
      <c r="AL938" s="72"/>
      <c r="AM938" s="72"/>
      <c r="AN938" s="72"/>
      <c r="AO938" s="89"/>
      <c r="AP938" s="89"/>
      <c r="AQ938" s="90"/>
      <c r="AR938" s="117"/>
      <c r="AS938" s="91"/>
      <c r="AT938" s="91"/>
      <c r="AU938" s="3"/>
      <c r="AV938" s="71">
        <f>7*24*3600*1</f>
        <v>604800</v>
      </c>
      <c r="AW938" s="71">
        <f>7*24*3600*2</f>
        <v>1209600</v>
      </c>
      <c r="AX938" s="71">
        <f>7*24*3600*4</f>
        <v>2419200</v>
      </c>
      <c r="AY938" s="71"/>
      <c r="AZ938" s="71"/>
      <c r="BA938" s="53"/>
      <c r="BB938" s="53"/>
      <c r="BC938" s="53"/>
      <c r="BD938" s="53"/>
      <c r="BE938" s="53"/>
      <c r="BF938" s="53"/>
      <c r="BG938" s="53"/>
      <c r="BH938" s="53"/>
      <c r="BI938" s="53"/>
      <c r="BJ938" s="53"/>
      <c r="BK938" s="53"/>
      <c r="BL938" s="53"/>
      <c r="BM938" s="53"/>
      <c r="BN938" s="53"/>
      <c r="BO938" s="53"/>
      <c r="BP938" s="53"/>
      <c r="BQ938" s="53"/>
      <c r="BR938" s="53"/>
      <c r="BS938" s="53"/>
      <c r="BT938" s="53"/>
      <c r="BU938" s="53"/>
      <c r="BV938" s="53"/>
      <c r="BW938" s="53"/>
      <c r="BX938" s="53"/>
      <c r="BY938" s="53"/>
      <c r="BZ938" s="53"/>
      <c r="CA938" s="53"/>
      <c r="CB938" s="53"/>
      <c r="CC938" s="53"/>
      <c r="CD938" s="53"/>
      <c r="CE938" s="53"/>
      <c r="CF938" s="53"/>
      <c r="CG938" s="53"/>
      <c r="CH938" s="53"/>
      <c r="CI938" s="53"/>
      <c r="CJ938" s="53"/>
      <c r="CK938" s="53"/>
      <c r="CL938" s="53"/>
      <c r="CM938" s="53"/>
      <c r="CN938" s="53"/>
      <c r="CO938" s="53"/>
      <c r="CP938" s="53"/>
      <c r="CQ938" s="53"/>
      <c r="CR938" s="1"/>
      <c r="CS938" s="1"/>
      <c r="CT938" s="1"/>
      <c r="CU938" s="1"/>
    </row>
    <row r="939" spans="1:99" s="13" customFormat="1" ht="12" customHeight="1" x14ac:dyDescent="0.2">
      <c r="A939" s="68">
        <v>43509</v>
      </c>
      <c r="B939" s="70" t="s">
        <v>249</v>
      </c>
      <c r="C939" s="70" t="s">
        <v>156</v>
      </c>
      <c r="D939" s="69">
        <v>1980</v>
      </c>
      <c r="E939" s="87">
        <v>1</v>
      </c>
      <c r="F939" s="69">
        <v>63</v>
      </c>
      <c r="G939" s="69">
        <v>21</v>
      </c>
      <c r="H939" s="69" t="s">
        <v>50</v>
      </c>
      <c r="I939" s="69" t="s">
        <v>903</v>
      </c>
      <c r="J939" s="69" t="s">
        <v>90</v>
      </c>
      <c r="K939" s="69">
        <f>IF(J939="syllables",1,IF(J939="trigrams",2,IF(J939="strings",3,IF(J939="visual array",4,IF(J939="characters",5,IF(J939="letters",6,IF(J939="free forms",7,IF(J939="odors",8,IF(J939="words",9,IF(J939="pictures",10,IF(J939="object pictures",11,IF(J939="faces",12,IF(J939="names",13,IF(J939="idioms",14,IF(J939="grades",15,IF(J939="syllable-digit pairs",16,IF(J939="trigram-word pairs",17,IF(J939="word-digit pairs",18,IF(J939="English-Swahili pairs",19,IF(J939="spatial position",20,IF(J939="word pairs",21,IF(J939="word triads",22,IF(J939="generated words",23,IF(J939="word definition pairs",24,IF(J939="math problems",25,IF(J939="famous faces",26,IF(J939="famous names",27,IF(J939="famous voices",28,IF(J939="television programs",29,IF(J939="race horses",30,IF(J939="new vocabulary",31,IF(J939="sentences",32,IF(J939="concepts",33,IF(J939="ad slides",34,IF(J939="scenes",35,IF(J939="famous scenes",36,IF(J939="poems",37,IF(J939="walk",38,IF(J939="faces and events",39,IF(J939="events and names",40,IF(J939="flashbulb",41,IF(J939="stories",42,IF(J939="course material",43,IF(J939="autobiographical",44,IF(J939="novels",45,IF(J939="public events",46,"99"))))))))))))))))))))))))))))))))))))))))))))))</f>
        <v>18</v>
      </c>
      <c r="L939" s="69">
        <f>IF(J939="syllables",1,IF(J939="trigrams",1,IF(J939="strings",1,IF(J939="visual array",1,IF(J939="characters",1,IF(J939="letters",1,IF(J939="free forms",1,IF(J939="odors",2,IF(J939="words",2,IF(J939="pictures",2,IF(J939="object pictures",2,IF(J939="faces",2,IF(J939="names",2,IF(J939="idioms","2",IF(J939="grades",2,IF(J939="syllable-digit pairs",3,IF(J939="trigram-word pairs",3,IF(J939="word-digit pairs",3,IF(J939="English-Swahili pairs",3,IF(J939="spatial position",3,IF(J939="word pairs",4,IF(J939="word triads",4,IF(J939="generated words",4,IF(J939="word definition pairs",4,IF(J939="math problems",4,IF(J939="famous faces",4,IF(J939="famous names",4,IF(J939="famous voices",4,IF(J939="television programs",4,IF(J939="race horses",4,IF(J939="new vocabulary",4,IF(J939="sentences",5,IF(J939="concepts",5,IF(J939="ad slides",5,IF(J939="scenes",5,IF(J939="famous scenes",5,IF(J939="poems",6,IF(J939="walk",6,IF(J939="faces and events",6,IF(J939="events and names",6,IF(J939="flashbulb",7,IF(J939="stories",7,IF(J939="course material",7,IF(J939="autobiographical",7,IF(J939="novels",7,IF(J939="public events",7,"99"))))))))))))))))))))))))))))))))))))))))))))))</f>
        <v>3</v>
      </c>
      <c r="M939" s="69">
        <v>1</v>
      </c>
      <c r="N939" s="69">
        <v>2</v>
      </c>
      <c r="O939" s="69">
        <v>0</v>
      </c>
      <c r="P939" s="69"/>
      <c r="Q939" s="69" t="s">
        <v>174</v>
      </c>
      <c r="R939" s="69">
        <f>IF(Q939="Free Recall",1,IF(Q939="Cued Recall",2,IF(Q939="Recognition",3,IF(Q939="Multiple Choice",4,IF(Q939="Savings",5,IF(Q939="Stem Completion",6,IF(Q939="Fragment Completion",7,IF(Q939="anagram solution",8,IF(Q939="Matching",9,IF(Q939="Problem Solving",10,"99"))))))))))</f>
        <v>1</v>
      </c>
      <c r="S939" s="69" t="s">
        <v>49</v>
      </c>
      <c r="T939" s="69" t="s">
        <v>261</v>
      </c>
      <c r="U939" s="69">
        <f>IF(T939="within",1,0)</f>
        <v>0</v>
      </c>
      <c r="V939" s="69">
        <v>20</v>
      </c>
      <c r="W939" s="69">
        <f>F939*V939</f>
        <v>1260</v>
      </c>
      <c r="X939" s="69">
        <v>3</v>
      </c>
      <c r="Y939" s="87">
        <f>AV938</f>
        <v>604800</v>
      </c>
      <c r="Z939" s="69" t="s">
        <v>140</v>
      </c>
      <c r="AA939" s="69">
        <f>60*60*24*28</f>
        <v>2419200</v>
      </c>
      <c r="AB939" s="69" t="str">
        <f>IF(AA939&lt;60,"1",IF(AA939&lt;=43200,"2",IF(AA939&lt;=777600,"3","4")))</f>
        <v>4</v>
      </c>
      <c r="AC939" s="72">
        <f>AVERAGE(AV938:DA938)</f>
        <v>1411200</v>
      </c>
      <c r="AD939" s="69" t="str">
        <f>IF(AC939&lt;60,"1",IF(AC939&lt;=43200,"2",IF(AC939&lt;=777600,"3","4")))</f>
        <v>4</v>
      </c>
      <c r="AE939" s="87">
        <f>AA939-Y939</f>
        <v>1814400</v>
      </c>
      <c r="AF939" s="88">
        <f>AV939</f>
        <v>0.86251238092817506</v>
      </c>
      <c r="AG939" s="72">
        <f>((AW939-AV939)+(AX939-AW939))/2</f>
        <v>-0.2422514638461945</v>
      </c>
      <c r="AH939" s="4"/>
      <c r="AI939" s="72">
        <f>RSQ(AV939:AX939,AV938:AX938)</f>
        <v>0.99999464518306502</v>
      </c>
      <c r="AJ939" s="110">
        <f>SLOPE(AV939:AX939,AV938:AX938)</f>
        <v>-2.6691316978657E-7</v>
      </c>
      <c r="AK939" s="72">
        <f>INTERCEPT(AV939:AX939,AV938:AX938)</f>
        <v>1.0235101211518201</v>
      </c>
      <c r="AL939" s="72">
        <f>INDEX(LINEST(LN(AV939:AX939),LN(AV938:AX938),TRUE,TRUE),3,1)</f>
        <v>0.92481133956556438</v>
      </c>
      <c r="AM939" s="72">
        <f>INDEX(LINEST(LN(AV939:AX939),LN(AV938:AX938)),1)</f>
        <v>-0.59506142618098612</v>
      </c>
      <c r="AN939" s="72">
        <f>EXP(INDEX(LINEST(LN(AV939:AX939),LN(AV938:AX938)),1,2))</f>
        <v>2544.8871255963995</v>
      </c>
      <c r="AO939" s="89">
        <f>INDEX(LINEST((AV939:AX939),LN(AV938:AX938),TRUE,TRUE),3,1)</f>
        <v>0.9651396071390943</v>
      </c>
      <c r="AP939" s="89">
        <f>INDEX(LINEST((AV939:AX939),LN(AV938:AX938)),1)</f>
        <v>-0.34949498553899677</v>
      </c>
      <c r="AQ939" s="90">
        <f>INDEX(LINEST(LN(AV939:AX939),SQRT(AV938:AX938),TRUE,TRUE),3,1)</f>
        <v>0.96828997115828797</v>
      </c>
      <c r="AR939" s="117">
        <f>INDEX(LINEST(LN(AV939:AX939),SQRT((AV938:AX938))),1)</f>
        <v>-1.0801079301765756E-3</v>
      </c>
      <c r="AS939" s="91">
        <f>INDEX(LINEST(1/(AV939:AX939),1/(SQRT(AV938:AX938)),TRUE,TRUE),3,1)</f>
        <v>0.80960049228901521</v>
      </c>
      <c r="AT939" s="91">
        <f>INDEX(LINEST(1/(AV939:AX939),1/SQRT(AV938:AX938)),1)</f>
        <v>-2205.3993192365965</v>
      </c>
      <c r="AU939" s="3"/>
      <c r="AV939" s="73">
        <v>0.86251238092817506</v>
      </c>
      <c r="AW939" s="73">
        <v>0.70000493368307604</v>
      </c>
      <c r="AX939" s="73">
        <v>0.37800945323578605</v>
      </c>
      <c r="AY939" s="71"/>
      <c r="AZ939" s="71"/>
      <c r="BA939" s="53"/>
      <c r="BB939" s="53"/>
      <c r="BC939" s="53"/>
      <c r="BD939" s="53"/>
      <c r="BE939" s="53"/>
      <c r="BF939" s="53"/>
      <c r="BG939" s="53"/>
      <c r="BH939" s="53"/>
      <c r="BI939" s="53"/>
      <c r="BJ939" s="53"/>
      <c r="BK939" s="53"/>
      <c r="BL939" s="53"/>
      <c r="BM939" s="53"/>
      <c r="BN939" s="53"/>
      <c r="BO939" s="53"/>
      <c r="BP939" s="53"/>
      <c r="BQ939" s="53"/>
      <c r="BR939" s="53"/>
      <c r="BS939" s="53"/>
      <c r="BT939" s="53"/>
      <c r="BU939" s="53"/>
      <c r="BV939" s="53"/>
      <c r="BW939" s="53"/>
      <c r="BX939" s="53"/>
      <c r="BY939" s="53"/>
      <c r="BZ939" s="53"/>
      <c r="CA939" s="53"/>
      <c r="CB939" s="53"/>
      <c r="CC939" s="53"/>
      <c r="CD939" s="53"/>
      <c r="CE939" s="53"/>
      <c r="CF939" s="53"/>
      <c r="CG939" s="53"/>
      <c r="CH939" s="53"/>
      <c r="CI939" s="53"/>
      <c r="CJ939" s="53"/>
      <c r="CK939" s="53"/>
      <c r="CL939" s="53"/>
      <c r="CM939" s="53"/>
      <c r="CN939" s="53"/>
      <c r="CO939" s="53"/>
      <c r="CP939" s="53"/>
      <c r="CQ939" s="53"/>
      <c r="CR939" s="1"/>
      <c r="CS939" s="1"/>
      <c r="CT939" s="1"/>
      <c r="CU939" s="1"/>
    </row>
    <row r="940" spans="1:99" s="13" customFormat="1" ht="12" customHeight="1" x14ac:dyDescent="0.2">
      <c r="A940" s="65">
        <v>43509</v>
      </c>
      <c r="B940" s="1"/>
      <c r="C940" s="1"/>
      <c r="D940" s="60"/>
      <c r="E940" s="76"/>
      <c r="F940" s="60"/>
      <c r="G940" s="60"/>
      <c r="H940" s="60"/>
      <c r="I940" s="60"/>
      <c r="J940" s="60"/>
      <c r="K940" s="64"/>
      <c r="L940" s="64"/>
      <c r="M940" s="60"/>
      <c r="N940" s="60"/>
      <c r="O940" s="60"/>
      <c r="P940" s="60"/>
      <c r="Q940" s="60"/>
      <c r="R940" s="60"/>
      <c r="S940" s="60"/>
      <c r="T940" s="60"/>
      <c r="U940" s="60"/>
      <c r="V940" s="60"/>
      <c r="W940" s="60"/>
      <c r="X940" s="60"/>
      <c r="Y940" s="76"/>
      <c r="Z940" s="60"/>
      <c r="AA940" s="60"/>
      <c r="AB940" s="60"/>
      <c r="AC940" s="60"/>
      <c r="AD940" s="60"/>
      <c r="AE940" s="60"/>
      <c r="AF940" s="80"/>
      <c r="AG940" s="56"/>
      <c r="AH940" s="4"/>
      <c r="AI940" s="56"/>
      <c r="AJ940" s="109"/>
      <c r="AK940" s="56"/>
      <c r="AL940" s="56"/>
      <c r="AM940" s="56"/>
      <c r="AN940" s="56"/>
      <c r="AO940" s="56"/>
      <c r="AP940" s="56"/>
      <c r="AQ940" s="56"/>
      <c r="AR940" s="109"/>
      <c r="AS940" s="56"/>
      <c r="AT940" s="56"/>
      <c r="AU940" s="4"/>
      <c r="AV940" s="25">
        <v>40</v>
      </c>
      <c r="AW940" s="25">
        <f>24*3600</f>
        <v>86400</v>
      </c>
      <c r="AX940" s="25">
        <f>7*24*3600*1</f>
        <v>604800</v>
      </c>
      <c r="AY940" s="25">
        <f>7*24*3600*6</f>
        <v>3628800</v>
      </c>
      <c r="AZ940" s="46" t="s">
        <v>518</v>
      </c>
      <c r="BB940" s="4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1"/>
      <c r="CS940" s="1"/>
      <c r="CT940" s="1"/>
      <c r="CU940" s="1"/>
    </row>
    <row r="941" spans="1:99" s="13" customFormat="1" ht="12" customHeight="1" x14ac:dyDescent="0.2">
      <c r="A941" s="65">
        <v>43509</v>
      </c>
      <c r="B941" s="1" t="s">
        <v>158</v>
      </c>
      <c r="C941" s="1" t="s">
        <v>159</v>
      </c>
      <c r="D941" s="60">
        <v>2016</v>
      </c>
      <c r="E941" s="76">
        <v>1</v>
      </c>
      <c r="F941" s="60">
        <v>95</v>
      </c>
      <c r="G941" s="60">
        <v>23.8</v>
      </c>
      <c r="H941" s="60" t="s">
        <v>746</v>
      </c>
      <c r="I941" s="60" t="s">
        <v>742</v>
      </c>
      <c r="J941" s="60" t="s">
        <v>317</v>
      </c>
      <c r="K941" s="60">
        <f>IF(J941="syllables",1,IF(J941="trigrams",2,IF(J941="strings",3,IF(J941="visual array",4,IF(J941="characters",5,IF(J941="letters",6,IF(J941="free forms",7,IF(J941="odors",8,IF(J941="words",9,IF(J941="pictures",10,IF(J941="object pictures",11,IF(J941="faces",12,IF(J941="names",13,IF(J941="idioms",14,IF(J941="grades",15,IF(J941="syllable-digit pairs",16,IF(J941="trigram-word pairs",17,IF(J941="word-digit pairs",18,IF(J941="English-Swahili pairs",19,IF(J941="spatial position",20,IF(J941="word pairs",21,IF(J941="word triads",22,IF(J941="generated words",23,IF(J941="word definition pairs",24,IF(J941="math problems",25,IF(J941="famous faces",26,IF(J941="famous names",27,IF(J941="famous voices",28,IF(J941="television programs",29,IF(J941="race horses",30,IF(J941="new vocabulary",31,IF(J941="sentences",32,IF(J941="concepts",33,IF(J941="ad slides",34,IF(J941="scenes",35,IF(J941="famous scenes",36,IF(J941="poems",37,IF(J941="walk",38,IF(J941="faces and events",39,IF(J941="events and names",40,IF(J941="flashbulb",41,IF(J941="stories",42,IF(J941="course material",43,IF(J941="autobiographical",44,IF(J941="novels",45,IF(J941="public events",46,"99"))))))))))))))))))))))))))))))))))))))))))))))</f>
        <v>7</v>
      </c>
      <c r="L941" s="60">
        <f>IF(J941="syllables",1,IF(J941="trigrams",1,IF(J941="strings",1,IF(J941="visual array",1,IF(J941="characters",1,IF(J941="letters",1,IF(J941="free forms",1,IF(J941="odors",2,IF(J941="words",2,IF(J941="pictures",2,IF(J941="object pictures",2,IF(J941="faces",2,IF(J941="names",2,IF(J941="idioms","2",IF(J941="grades",2,IF(J941="syllable-digit pairs",3,IF(J941="trigram-word pairs",3,IF(J941="word-digit pairs",3,IF(J941="English-Swahili pairs",3,IF(J941="spatial position",3,IF(J941="word pairs",4,IF(J941="word triads",4,IF(J941="generated words",4,IF(J941="word definition pairs",4,IF(J941="math problems",4,IF(J941="famous faces",4,IF(J941="famous names",4,IF(J941="famous voices",4,IF(J941="television programs",4,IF(J941="race horses",4,IF(J941="new vocabulary",4,IF(J941="sentences",5,IF(J941="concepts",5,IF(J941="ad slides",5,IF(J941="scenes",5,IF(J941="famous scenes",5,IF(J941="poems",6,IF(J941="walk",6,IF(J941="faces and events",6,IF(J941="events and names",6,IF(J941="flashbulb",7,IF(J941="stories",7,IF(J941="course material",7,IF(J941="autobiographical",7,IF(J941="novels",7,IF(J941="public events",7,"99"))))))))))))))))))))))))))))))))))))))))))))))</f>
        <v>1</v>
      </c>
      <c r="M941" s="60">
        <v>1</v>
      </c>
      <c r="N941" s="60">
        <v>2</v>
      </c>
      <c r="O941" s="60">
        <v>0</v>
      </c>
      <c r="P941" s="60"/>
      <c r="Q941" s="60" t="s">
        <v>34</v>
      </c>
      <c r="R941" s="60">
        <f>IF(Q941="Free Recall",1,IF(Q941="Cued Recall",2,IF(Q941="Recognition",3,IF(Q941="Multiple Choice",4,IF(Q941="Savings",5,IF(Q941="Stem Completion",6,IF(Q941="Fragment Completion",7,IF(Q941="anagram solution",8,IF(Q941="Matching",9,IF(Q941="Problem Solving",10,"99"))))))))))</f>
        <v>3</v>
      </c>
      <c r="S941" s="62" t="s">
        <v>15</v>
      </c>
      <c r="T941" s="60" t="s">
        <v>261</v>
      </c>
      <c r="U941" s="60">
        <f>IF(T941="within",1,0)</f>
        <v>0</v>
      </c>
      <c r="V941" s="60">
        <v>40</v>
      </c>
      <c r="W941" s="60">
        <f>F941*V941</f>
        <v>3800</v>
      </c>
      <c r="X941" s="60">
        <v>4</v>
      </c>
      <c r="Y941" s="76">
        <f>AV940</f>
        <v>40</v>
      </c>
      <c r="Z941" s="60" t="s">
        <v>160</v>
      </c>
      <c r="AA941" s="60">
        <v>3628800</v>
      </c>
      <c r="AB941" s="60" t="str">
        <f>IF(AA941&lt;60,"1",IF(AA941&lt;=43200,"2",IF(AA941&lt;=777600,"3","4")))</f>
        <v>4</v>
      </c>
      <c r="AC941" s="56">
        <f>AVERAGE(AV940:DA940)</f>
        <v>1080010</v>
      </c>
      <c r="AD941" s="60" t="str">
        <f>IF(AC941&lt;60,"1",IF(AC941&lt;=43200,"2",IF(AC941&lt;=777600,"3","4")))</f>
        <v>4</v>
      </c>
      <c r="AE941" s="76">
        <f>AA941-Y941</f>
        <v>3628760</v>
      </c>
      <c r="AF941" s="80">
        <f>AV941</f>
        <v>0.8208333333333333</v>
      </c>
      <c r="AG941" s="56">
        <f>((AW941-AV941)+(AX941-AW941)+(AY941-AX941))/3</f>
        <v>-1.4009661835748774E-2</v>
      </c>
      <c r="AH941" s="4"/>
      <c r="AI941" s="56">
        <f>RSQ(AV941:AY941,AV940:AY940)</f>
        <v>0.89692672641344839</v>
      </c>
      <c r="AJ941" s="109">
        <f>SLOPE(AV941:AY941,AV940:AY940)</f>
        <v>-1.4201142210680998E-8</v>
      </c>
      <c r="AK941" s="56">
        <f>INTERCEPT(AV941:AY941,AV940:AY940)</f>
        <v>0.83178325422214605</v>
      </c>
      <c r="AL941" s="56">
        <f>INDEX(LINEST(LN(AV941:AY941),LN(AV940:AY940),TRUE,TRUE),3,1)</f>
        <v>0.14425810382320323</v>
      </c>
      <c r="AM941" s="56">
        <f>INDEX(LINEST(LN(AV941:AY941),LN(AV940:AY940)),1)</f>
        <v>-2.4218402444285553E-3</v>
      </c>
      <c r="AN941" s="56">
        <f>EXP(INDEX(LINEST(LN(AV941:AY941),LN(AV940:AY940)),1,2))</f>
        <v>0.83790133188251625</v>
      </c>
      <c r="AO941" s="82">
        <f>INDEX(LINEST((AV941:AY941),LN(AV940:AY940),TRUE,TRUE),3,1)</f>
        <v>0.14024471020063992</v>
      </c>
      <c r="AP941" s="82">
        <f>INDEX(LINEST((AV941:AY941),LN(AV940:AY940)),1)</f>
        <v>-1.9226849664697181E-3</v>
      </c>
      <c r="AQ941" s="83">
        <f>INDEX(LINEST(LN(AV941:AY941),SQRT(AV940:AY940),TRUE,TRUE),3,1)</f>
        <v>0.72100739274293879</v>
      </c>
      <c r="AR941" s="116">
        <f>INDEX(LINEST(LN(AV941:AY941),SQRT((AV940:AY940))),1)</f>
        <v>-3.254398273459573E-5</v>
      </c>
      <c r="AS941" s="84">
        <f>INDEX(LINEST(1/(AV941:AY941),1/(SQRT(AV940:AY940)),TRUE,TRUE),3,1)</f>
        <v>1.8741089002515268E-2</v>
      </c>
      <c r="AT941" s="84">
        <f>INDEX(LINEST(1/(AV941:AY941),1/SQRT(AV940:AY940)),1)</f>
        <v>-6.9677289912485868E-2</v>
      </c>
      <c r="AU941" s="3"/>
      <c r="AV941" s="53">
        <v>0.8208333333333333</v>
      </c>
      <c r="AW941" s="53">
        <v>0.83489583333333339</v>
      </c>
      <c r="AX941" s="53">
        <v>0.83125000000000004</v>
      </c>
      <c r="AY941" s="53">
        <v>0.77880434782608698</v>
      </c>
      <c r="AZ941" s="46"/>
      <c r="BA941" s="42"/>
      <c r="BB941" s="4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1"/>
      <c r="CS941" s="1"/>
      <c r="CT941" s="1"/>
      <c r="CU941" s="1"/>
    </row>
    <row r="942" spans="1:99" s="13" customFormat="1" ht="12" customHeight="1" x14ac:dyDescent="0.2">
      <c r="A942" s="65">
        <v>43509</v>
      </c>
      <c r="B942" s="1"/>
      <c r="C942" s="1"/>
      <c r="D942" s="60"/>
      <c r="E942" s="76"/>
      <c r="F942" s="60"/>
      <c r="G942" s="60"/>
      <c r="H942" s="60"/>
      <c r="I942" s="60"/>
      <c r="J942" s="60"/>
      <c r="K942" s="64"/>
      <c r="L942" s="64"/>
      <c r="M942" s="60"/>
      <c r="N942" s="60"/>
      <c r="O942" s="60"/>
      <c r="P942" s="60"/>
      <c r="Q942" s="60"/>
      <c r="R942" s="60"/>
      <c r="S942" s="60"/>
      <c r="T942" s="60"/>
      <c r="U942" s="60"/>
      <c r="V942" s="60"/>
      <c r="W942" s="60"/>
      <c r="X942" s="60"/>
      <c r="Y942" s="76"/>
      <c r="Z942" s="60"/>
      <c r="AA942" s="60"/>
      <c r="AB942" s="60"/>
      <c r="AC942" s="60"/>
      <c r="AD942" s="60"/>
      <c r="AE942" s="60"/>
      <c r="AF942" s="80"/>
      <c r="AG942" s="56"/>
      <c r="AH942" s="4"/>
      <c r="AI942" s="56"/>
      <c r="AJ942" s="109"/>
      <c r="AK942" s="56"/>
      <c r="AL942" s="56"/>
      <c r="AM942" s="56"/>
      <c r="AN942" s="56"/>
      <c r="AO942" s="56"/>
      <c r="AP942" s="56"/>
      <c r="AQ942" s="56"/>
      <c r="AR942" s="109"/>
      <c r="AS942" s="56"/>
      <c r="AT942" s="56"/>
      <c r="AU942" s="4"/>
      <c r="AV942" s="25">
        <v>40</v>
      </c>
      <c r="AW942" s="25">
        <f>24*3600</f>
        <v>86400</v>
      </c>
      <c r="AX942" s="25">
        <f>7*24*3600*1</f>
        <v>604800</v>
      </c>
      <c r="AY942" s="25">
        <f>7*24*3600*6</f>
        <v>3628800</v>
      </c>
      <c r="AZ942" s="46"/>
      <c r="BA942" s="42"/>
      <c r="BB942" s="4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1"/>
      <c r="CS942" s="1"/>
      <c r="CT942" s="1"/>
      <c r="CU942" s="1"/>
    </row>
    <row r="943" spans="1:99" s="13" customFormat="1" ht="12" customHeight="1" x14ac:dyDescent="0.2">
      <c r="A943" s="65">
        <v>43509</v>
      </c>
      <c r="B943" s="1" t="s">
        <v>158</v>
      </c>
      <c r="C943" s="1" t="s">
        <v>159</v>
      </c>
      <c r="D943" s="60">
        <v>2016</v>
      </c>
      <c r="E943" s="76">
        <v>1</v>
      </c>
      <c r="F943" s="60">
        <v>95</v>
      </c>
      <c r="G943" s="60">
        <v>23.8</v>
      </c>
      <c r="H943" s="60" t="s">
        <v>746</v>
      </c>
      <c r="I943" s="60" t="s">
        <v>743</v>
      </c>
      <c r="J943" s="60" t="s">
        <v>317</v>
      </c>
      <c r="K943" s="60">
        <f>IF(J943="syllables",1,IF(J943="trigrams",2,IF(J943="strings",3,IF(J943="visual array",4,IF(J943="characters",5,IF(J943="letters",6,IF(J943="free forms",7,IF(J943="odors",8,IF(J943="words",9,IF(J943="pictures",10,IF(J943="object pictures",11,IF(J943="faces",12,IF(J943="names",13,IF(J943="idioms",14,IF(J943="grades",15,IF(J943="syllable-digit pairs",16,IF(J943="trigram-word pairs",17,IF(J943="word-digit pairs",18,IF(J943="English-Swahili pairs",19,IF(J943="spatial position",20,IF(J943="word pairs",21,IF(J943="word triads",22,IF(J943="generated words",23,IF(J943="word definition pairs",24,IF(J943="math problems",25,IF(J943="famous faces",26,IF(J943="famous names",27,IF(J943="famous voices",28,IF(J943="television programs",29,IF(J943="race horses",30,IF(J943="new vocabulary",31,IF(J943="sentences",32,IF(J943="concepts",33,IF(J943="ad slides",34,IF(J943="scenes",35,IF(J943="famous scenes",36,IF(J943="poems",37,IF(J943="walk",38,IF(J943="faces and events",39,IF(J943="events and names",40,IF(J943="flashbulb",41,IF(J943="stories",42,IF(J943="course material",43,IF(J943="autobiographical",44,IF(J943="novels",45,IF(J943="public events",46,"99"))))))))))))))))))))))))))))))))))))))))))))))</f>
        <v>7</v>
      </c>
      <c r="L943" s="60">
        <f>IF(J943="syllables",1,IF(J943="trigrams",1,IF(J943="strings",1,IF(J943="visual array",1,IF(J943="characters",1,IF(J943="letters",1,IF(J943="free forms",1,IF(J943="odors",2,IF(J943="words",2,IF(J943="pictures",2,IF(J943="object pictures",2,IF(J943="faces",2,IF(J943="names",2,IF(J943="idioms","2",IF(J943="grades",2,IF(J943="syllable-digit pairs",3,IF(J943="trigram-word pairs",3,IF(J943="word-digit pairs",3,IF(J943="English-Swahili pairs",3,IF(J943="spatial position",3,IF(J943="word pairs",4,IF(J943="word triads",4,IF(J943="generated words",4,IF(J943="word definition pairs",4,IF(J943="math problems",4,IF(J943="famous faces",4,IF(J943="famous names",4,IF(J943="famous voices",4,IF(J943="television programs",4,IF(J943="race horses",4,IF(J943="new vocabulary",4,IF(J943="sentences",5,IF(J943="concepts",5,IF(J943="ad slides",5,IF(J943="scenes",5,IF(J943="famous scenes",5,IF(J943="poems",6,IF(J943="walk",6,IF(J943="faces and events",6,IF(J943="events and names",6,IF(J943="flashbulb",7,IF(J943="stories",7,IF(J943="course material",7,IF(J943="autobiographical",7,IF(J943="novels",7,IF(J943="public events",7,"99"))))))))))))))))))))))))))))))))))))))))))))))</f>
        <v>1</v>
      </c>
      <c r="M943" s="60">
        <v>0</v>
      </c>
      <c r="N943" s="60">
        <v>1</v>
      </c>
      <c r="O943" s="60">
        <v>0</v>
      </c>
      <c r="P943" s="60"/>
      <c r="Q943" s="60" t="s">
        <v>34</v>
      </c>
      <c r="R943" s="60">
        <f>IF(Q943="Free Recall",1,IF(Q943="Cued Recall",2,IF(Q943="Recognition",3,IF(Q943="Multiple Choice",4,IF(Q943="Savings",5,IF(Q943="Stem Completion",6,IF(Q943="Fragment Completion",7,IF(Q943="anagram solution",8,IF(Q943="Matching",9,IF(Q943="Problem Solving",10,"99"))))))))))</f>
        <v>3</v>
      </c>
      <c r="S943" s="62" t="s">
        <v>15</v>
      </c>
      <c r="T943" s="60" t="s">
        <v>261</v>
      </c>
      <c r="U943" s="60">
        <f>IF(T943="within",1,0)</f>
        <v>0</v>
      </c>
      <c r="V943" s="60">
        <v>40</v>
      </c>
      <c r="W943" s="60">
        <f>F943*V943</f>
        <v>3800</v>
      </c>
      <c r="X943" s="60">
        <v>4</v>
      </c>
      <c r="Y943" s="76">
        <f>AV942</f>
        <v>40</v>
      </c>
      <c r="Z943" s="60" t="s">
        <v>160</v>
      </c>
      <c r="AA943" s="60">
        <v>3628800</v>
      </c>
      <c r="AB943" s="60" t="str">
        <f>IF(AA943&lt;60,"1",IF(AA943&lt;=43200,"2",IF(AA943&lt;=777600,"3","4")))</f>
        <v>4</v>
      </c>
      <c r="AC943" s="56">
        <f>AVERAGE(AV942:DA942)</f>
        <v>1080010</v>
      </c>
      <c r="AD943" s="60" t="str">
        <f>IF(AC943&lt;60,"1",IF(AC943&lt;=43200,"2",IF(AC943&lt;=777600,"3","4")))</f>
        <v>4</v>
      </c>
      <c r="AE943" s="76">
        <f>AA943-Y943</f>
        <v>3628760</v>
      </c>
      <c r="AF943" s="80">
        <f>AV943</f>
        <v>0.66249999999999998</v>
      </c>
      <c r="AG943" s="56">
        <f>((AW943-AV943)+(AX943-AW943)+(AY943-AX943))/3</f>
        <v>-3.2246376811594181E-2</v>
      </c>
      <c r="AH943" s="4"/>
      <c r="AI943" s="56">
        <f>RSQ(AV943:AY943,AV942:AY942)</f>
        <v>0.73649351990294543</v>
      </c>
      <c r="AJ943" s="109">
        <f>SLOPE(AV943:AY943,AV942:AY942)</f>
        <v>-2.3685828246347442E-8</v>
      </c>
      <c r="AK943" s="56">
        <f>INTERCEPT(AV943:AY943,AV942:AY942)</f>
        <v>0.64605760708897531</v>
      </c>
      <c r="AL943" s="56">
        <f>INDEX(LINEST(LN(AV943:AY943),LN(AV942:AY942),TRUE,TRUE),3,1)</f>
        <v>0.64188401333215428</v>
      </c>
      <c r="AM943" s="56">
        <f>INDEX(LINEST(LN(AV943:AY943),LN(AV942:AY942)),1)</f>
        <v>-1.230302890150585E-2</v>
      </c>
      <c r="AN943" s="56">
        <f>EXP(INDEX(LINEST(LN(AV943:AY943),LN(AV942:AY942)),1,2))</f>
        <v>0.70767127056120571</v>
      </c>
      <c r="AO943" s="82">
        <f>INDEX(LINEST((AV943:AY943),LN(AV942:AY942),TRUE,TRUE),3,1)</f>
        <v>0.64614149232424745</v>
      </c>
      <c r="AP943" s="82">
        <f>INDEX(LINEST((AV943:AY943),LN(AV942:AY942)),1)</f>
        <v>-7.5960535534413077E-3</v>
      </c>
      <c r="AQ943" s="83">
        <f>INDEX(LINEST(LN(AV943:AY943),SQRT(AV942:AY942),TRUE,TRUE),3,1)</f>
        <v>0.89666964591064413</v>
      </c>
      <c r="AR943" s="116">
        <f>INDEX(LINEST(LN(AV943:AY943),SQRT((AV942:AY942))),1)</f>
        <v>-8.7402822721113283E-5</v>
      </c>
      <c r="AS943" s="84">
        <f>INDEX(LINEST(1/(AV943:AY943),1/(SQRT(AV942:AY942)),TRUE,TRUE),3,1)</f>
        <v>0.35195629180485566</v>
      </c>
      <c r="AT943" s="84">
        <f>INDEX(LINEST(1/(AV943:AY943),1/SQRT(AV942:AY942)),1)</f>
        <v>-0.95311230422845017</v>
      </c>
      <c r="AU943" s="3"/>
      <c r="AV943" s="53">
        <v>0.66249999999999998</v>
      </c>
      <c r="AW943" s="53">
        <v>0.65781249999999991</v>
      </c>
      <c r="AX943" s="53">
        <v>0.59583333333333333</v>
      </c>
      <c r="AY943" s="53">
        <v>0.56576086956521743</v>
      </c>
      <c r="AZ943" s="46"/>
      <c r="BA943" s="42"/>
      <c r="BB943" s="4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1"/>
      <c r="CS943" s="1"/>
      <c r="CT943" s="1"/>
      <c r="CU943" s="1"/>
    </row>
    <row r="944" spans="1:99" s="13" customFormat="1" ht="12" customHeight="1" x14ac:dyDescent="0.2">
      <c r="A944" s="65">
        <v>43509</v>
      </c>
      <c r="B944" s="1"/>
      <c r="C944" s="1"/>
      <c r="D944" s="60"/>
      <c r="E944" s="76"/>
      <c r="F944" s="60"/>
      <c r="G944" s="60"/>
      <c r="H944" s="60"/>
      <c r="I944" s="60"/>
      <c r="J944" s="60"/>
      <c r="K944" s="64"/>
      <c r="L944" s="64"/>
      <c r="M944" s="60"/>
      <c r="N944" s="60"/>
      <c r="O944" s="60"/>
      <c r="P944" s="60"/>
      <c r="Q944" s="60"/>
      <c r="R944" s="60"/>
      <c r="S944" s="60"/>
      <c r="T944" s="60"/>
      <c r="U944" s="60"/>
      <c r="V944" s="60"/>
      <c r="W944" s="60"/>
      <c r="X944" s="60"/>
      <c r="Y944" s="76"/>
      <c r="Z944" s="60"/>
      <c r="AA944" s="60"/>
      <c r="AB944" s="60"/>
      <c r="AC944" s="60"/>
      <c r="AD944" s="60"/>
      <c r="AE944" s="60"/>
      <c r="AF944" s="80"/>
      <c r="AG944" s="56"/>
      <c r="AH944" s="4"/>
      <c r="AI944" s="56"/>
      <c r="AJ944" s="109"/>
      <c r="AK944" s="56"/>
      <c r="AL944" s="56"/>
      <c r="AM944" s="56"/>
      <c r="AN944" s="56"/>
      <c r="AO944" s="56"/>
      <c r="AP944" s="56"/>
      <c r="AQ944" s="56"/>
      <c r="AR944" s="109"/>
      <c r="AS944" s="56"/>
      <c r="AT944" s="56"/>
      <c r="AU944" s="4"/>
      <c r="AV944" s="25">
        <v>40</v>
      </c>
      <c r="AW944" s="25">
        <f>24*3600</f>
        <v>86400</v>
      </c>
      <c r="AX944" s="25">
        <f>7*24*3600*1</f>
        <v>604800</v>
      </c>
      <c r="AY944" s="25">
        <f>7*24*3600*6</f>
        <v>3628800</v>
      </c>
      <c r="AZ944" s="46"/>
      <c r="BA944" s="42"/>
      <c r="BB944" s="4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1"/>
      <c r="CS944" s="1"/>
      <c r="CT944" s="1"/>
      <c r="CU944" s="1"/>
    </row>
    <row r="945" spans="1:133" s="13" customFormat="1" ht="12" customHeight="1" x14ac:dyDescent="0.2">
      <c r="A945" s="65">
        <v>43509</v>
      </c>
      <c r="B945" s="1" t="s">
        <v>158</v>
      </c>
      <c r="C945" s="1" t="s">
        <v>159</v>
      </c>
      <c r="D945" s="60">
        <v>2016</v>
      </c>
      <c r="E945" s="76">
        <v>1</v>
      </c>
      <c r="F945" s="60">
        <v>95</v>
      </c>
      <c r="G945" s="60">
        <v>23.8</v>
      </c>
      <c r="H945" s="60" t="s">
        <v>746</v>
      </c>
      <c r="I945" s="60" t="s">
        <v>744</v>
      </c>
      <c r="J945" s="60" t="s">
        <v>317</v>
      </c>
      <c r="K945" s="60">
        <f>IF(J945="syllables",1,IF(J945="trigrams",2,IF(J945="strings",3,IF(J945="visual array",4,IF(J945="characters",5,IF(J945="letters",6,IF(J945="free forms",7,IF(J945="odors",8,IF(J945="words",9,IF(J945="pictures",10,IF(J945="object pictures",11,IF(J945="faces",12,IF(J945="names",13,IF(J945="idioms",14,IF(J945="grades",15,IF(J945="syllable-digit pairs",16,IF(J945="trigram-word pairs",17,IF(J945="word-digit pairs",18,IF(J945="English-Swahili pairs",19,IF(J945="spatial position",20,IF(J945="word pairs",21,IF(J945="word triads",22,IF(J945="generated words",23,IF(J945="word definition pairs",24,IF(J945="math problems",25,IF(J945="famous faces",26,IF(J945="famous names",27,IF(J945="famous voices",28,IF(J945="television programs",29,IF(J945="race horses",30,IF(J945="new vocabulary",31,IF(J945="sentences",32,IF(J945="concepts",33,IF(J945="ad slides",34,IF(J945="scenes",35,IF(J945="famous scenes",36,IF(J945="poems",37,IF(J945="walk",38,IF(J945="faces and events",39,IF(J945="events and names",40,IF(J945="flashbulb",41,IF(J945="stories",42,IF(J945="course material",43,IF(J945="autobiographical",44,IF(J945="novels",45,IF(J945="public events",46,"99"))))))))))))))))))))))))))))))))))))))))))))))</f>
        <v>7</v>
      </c>
      <c r="L945" s="60">
        <f>IF(J945="syllables",1,IF(J945="trigrams",1,IF(J945="strings",1,IF(J945="visual array",1,IF(J945="characters",1,IF(J945="letters",1,IF(J945="free forms",1,IF(J945="odors",2,IF(J945="words",2,IF(J945="pictures",2,IF(J945="object pictures",2,IF(J945="faces",2,IF(J945="names",2,IF(J945="idioms","2",IF(J945="grades",2,IF(J945="syllable-digit pairs",3,IF(J945="trigram-word pairs",3,IF(J945="word-digit pairs",3,IF(J945="English-Swahili pairs",3,IF(J945="spatial position",3,IF(J945="word pairs",4,IF(J945="word triads",4,IF(J945="generated words",4,IF(J945="word definition pairs",4,IF(J945="math problems",4,IF(J945="famous faces",4,IF(J945="famous names",4,IF(J945="famous voices",4,IF(J945="television programs",4,IF(J945="race horses",4,IF(J945="new vocabulary",4,IF(J945="sentences",5,IF(J945="concepts",5,IF(J945="ad slides",5,IF(J945="scenes",5,IF(J945="famous scenes",5,IF(J945="poems",6,IF(J945="walk",6,IF(J945="faces and events",6,IF(J945="events and names",6,IF(J945="flashbulb",7,IF(J945="stories",7,IF(J945="course material",7,IF(J945="autobiographical",7,IF(J945="novels",7,IF(J945="public events",7,"99"))))))))))))))))))))))))))))))))))))))))))))))</f>
        <v>1</v>
      </c>
      <c r="M945" s="60">
        <v>1</v>
      </c>
      <c r="N945" s="60">
        <v>2</v>
      </c>
      <c r="O945" s="60">
        <v>0</v>
      </c>
      <c r="P945" s="60"/>
      <c r="Q945" s="60" t="s">
        <v>34</v>
      </c>
      <c r="R945" s="60">
        <f>IF(Q945="Free Recall",1,IF(Q945="Cued Recall",2,IF(Q945="Recognition",3,IF(Q945="Multiple Choice",4,IF(Q945="Savings",5,IF(Q945="Stem Completion",6,IF(Q945="Fragment Completion",7,IF(Q945="anagram solution",8,IF(Q945="Matching",9,IF(Q945="Problem Solving",10,"99"))))))))))</f>
        <v>3</v>
      </c>
      <c r="S945" s="62" t="s">
        <v>15</v>
      </c>
      <c r="T945" s="60" t="s">
        <v>261</v>
      </c>
      <c r="U945" s="60">
        <f>IF(T945="within",1,0)</f>
        <v>0</v>
      </c>
      <c r="V945" s="60">
        <v>40</v>
      </c>
      <c r="W945" s="60">
        <f>F945*V945</f>
        <v>3800</v>
      </c>
      <c r="X945" s="60">
        <v>4</v>
      </c>
      <c r="Y945" s="76">
        <f>AV944</f>
        <v>40</v>
      </c>
      <c r="Z945" s="60" t="s">
        <v>160</v>
      </c>
      <c r="AA945" s="60">
        <v>3628800</v>
      </c>
      <c r="AB945" s="60" t="str">
        <f>IF(AA945&lt;60,"1",IF(AA945&lt;=43200,"2",IF(AA945&lt;=777600,"3","4")))</f>
        <v>4</v>
      </c>
      <c r="AC945" s="56">
        <f>AVERAGE(AV944:DA944)</f>
        <v>1080010</v>
      </c>
      <c r="AD945" s="60" t="str">
        <f>IF(AC945&lt;60,"1",IF(AC945&lt;=43200,"2",IF(AC945&lt;=777600,"3","4")))</f>
        <v>4</v>
      </c>
      <c r="AE945" s="76">
        <f>AA945-Y945</f>
        <v>3628760</v>
      </c>
      <c r="AF945" s="80">
        <f>AV945</f>
        <v>0.70833333333333326</v>
      </c>
      <c r="AG945" s="56">
        <f>((AW945-AV945)+(AX945-AW945)+(AY945-AX945))/3</f>
        <v>-3.448067632850238E-2</v>
      </c>
      <c r="AH945" s="4"/>
      <c r="AI945" s="56">
        <f>RSQ(AV945:AY945,AV944:AY944)</f>
        <v>0.89024057260359279</v>
      </c>
      <c r="AJ945" s="109">
        <f>SLOPE(AV945:AY945,AV944:AY944)</f>
        <v>-2.6046714087613114E-8</v>
      </c>
      <c r="AK945" s="56">
        <f>INTERCEPT(AV945:AY945,AV944:AY944)</f>
        <v>0.70161916276871961</v>
      </c>
      <c r="AL945" s="56">
        <f>INDEX(LINEST(LN(AV945:AY945),LN(AV944:AY944),TRUE,TRUE),3,1)</f>
        <v>0.42200226638193139</v>
      </c>
      <c r="AM945" s="56">
        <f>INDEX(LINEST(LN(AV945:AY945),LN(AV944:AY944)),1)</f>
        <v>-9.4010097333786929E-3</v>
      </c>
      <c r="AN945" s="56">
        <f>EXP(INDEX(LINEST(LN(AV945:AY945),LN(AV944:AY944)),1,2))</f>
        <v>0.74449084721002834</v>
      </c>
      <c r="AO945" s="82">
        <f>INDEX(LINEST((AV945:AY945),LN(AV944:AY944),TRUE,TRUE),3,1)</f>
        <v>0.42820457249292687</v>
      </c>
      <c r="AP945" s="82">
        <f>INDEX(LINEST((AV945:AY945),LN(AV944:AY944)),1)</f>
        <v>-6.1850753304840637E-3</v>
      </c>
      <c r="AQ945" s="83">
        <f>INDEX(LINEST(LN(AV945:AY945),SQRT(AV944:AY944),TRUE,TRUE),3,1)</f>
        <v>0.80883919411595839</v>
      </c>
      <c r="AR945" s="116">
        <f>INDEX(LINEST(LN(AV945:AY945),SQRT((AV944:AY944))),1)</f>
        <v>-7.8230060210411352E-5</v>
      </c>
      <c r="AS945" s="84">
        <f>INDEX(LINEST(1/(AV945:AY945),1/(SQRT(AV944:AY944)),TRUE,TRUE),3,1)</f>
        <v>0.22959564873414437</v>
      </c>
      <c r="AT945" s="84">
        <f>INDEX(LINEST(1/(AV945:AY945),1/SQRT(AV944:AY944)),1)</f>
        <v>-0.68355956331257661</v>
      </c>
      <c r="AU945" s="3"/>
      <c r="AV945" s="53">
        <v>0.70833333333333326</v>
      </c>
      <c r="AW945" s="53">
        <v>0.67864583333333328</v>
      </c>
      <c r="AX945" s="53">
        <v>0.70208333333333339</v>
      </c>
      <c r="AY945" s="53">
        <v>0.60489130434782612</v>
      </c>
      <c r="AZ945" s="46"/>
      <c r="BA945" s="42"/>
      <c r="BB945" s="4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1"/>
      <c r="CS945" s="1"/>
      <c r="CT945" s="1"/>
      <c r="CU945" s="1"/>
    </row>
    <row r="946" spans="1:133" s="13" customFormat="1" ht="12" customHeight="1" x14ac:dyDescent="0.2">
      <c r="A946" s="65">
        <v>43509</v>
      </c>
      <c r="B946" s="1"/>
      <c r="C946" s="1"/>
      <c r="D946" s="60"/>
      <c r="E946" s="76"/>
      <c r="F946" s="60"/>
      <c r="G946" s="60"/>
      <c r="H946" s="60"/>
      <c r="I946" s="60"/>
      <c r="J946" s="60"/>
      <c r="K946" s="64"/>
      <c r="L946" s="64"/>
      <c r="M946" s="60"/>
      <c r="N946" s="60"/>
      <c r="O946" s="60"/>
      <c r="P946" s="60"/>
      <c r="Q946" s="60"/>
      <c r="R946" s="60"/>
      <c r="S946" s="60"/>
      <c r="T946" s="60"/>
      <c r="U946" s="60"/>
      <c r="V946" s="60"/>
      <c r="W946" s="60"/>
      <c r="X946" s="60"/>
      <c r="Y946" s="76"/>
      <c r="Z946" s="60"/>
      <c r="AA946" s="60"/>
      <c r="AB946" s="60"/>
      <c r="AC946" s="60"/>
      <c r="AD946" s="60"/>
      <c r="AE946" s="60"/>
      <c r="AF946" s="80"/>
      <c r="AG946" s="56"/>
      <c r="AH946" s="4"/>
      <c r="AI946" s="56"/>
      <c r="AJ946" s="109"/>
      <c r="AK946" s="56"/>
      <c r="AL946" s="56"/>
      <c r="AM946" s="56"/>
      <c r="AN946" s="56"/>
      <c r="AO946" s="56"/>
      <c r="AP946" s="56"/>
      <c r="AQ946" s="56"/>
      <c r="AR946" s="109"/>
      <c r="AS946" s="56"/>
      <c r="AT946" s="56"/>
      <c r="AU946" s="4"/>
      <c r="AV946" s="25">
        <v>40</v>
      </c>
      <c r="AW946" s="25">
        <f>24*3600</f>
        <v>86400</v>
      </c>
      <c r="AX946" s="25">
        <f>7*24*3600*1</f>
        <v>604800</v>
      </c>
      <c r="AY946" s="25">
        <f>7*24*3600*6</f>
        <v>3628800</v>
      </c>
      <c r="AZ946" s="46"/>
      <c r="BA946" s="42"/>
      <c r="BB946" s="4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1"/>
      <c r="CS946" s="1"/>
      <c r="CT946" s="1"/>
      <c r="CU946" s="1"/>
    </row>
    <row r="947" spans="1:133" s="13" customFormat="1" ht="12" customHeight="1" x14ac:dyDescent="0.2">
      <c r="A947" s="65">
        <v>43509</v>
      </c>
      <c r="B947" s="1" t="s">
        <v>158</v>
      </c>
      <c r="C947" s="1" t="s">
        <v>159</v>
      </c>
      <c r="D947" s="60">
        <v>2016</v>
      </c>
      <c r="E947" s="76">
        <v>1</v>
      </c>
      <c r="F947" s="60">
        <v>95</v>
      </c>
      <c r="G947" s="60">
        <v>23.8</v>
      </c>
      <c r="H947" s="60" t="s">
        <v>746</v>
      </c>
      <c r="I947" s="60" t="s">
        <v>745</v>
      </c>
      <c r="J947" s="60" t="s">
        <v>317</v>
      </c>
      <c r="K947" s="60">
        <f>IF(J947="syllables",1,IF(J947="trigrams",2,IF(J947="strings",3,IF(J947="visual array",4,IF(J947="characters",5,IF(J947="letters",6,IF(J947="free forms",7,IF(J947="odors",8,IF(J947="words",9,IF(J947="pictures",10,IF(J947="object pictures",11,IF(J947="faces",12,IF(J947="names",13,IF(J947="idioms",14,IF(J947="grades",15,IF(J947="syllable-digit pairs",16,IF(J947="trigram-word pairs",17,IF(J947="word-digit pairs",18,IF(J947="English-Swahili pairs",19,IF(J947="spatial position",20,IF(J947="word pairs",21,IF(J947="word triads",22,IF(J947="generated words",23,IF(J947="word definition pairs",24,IF(J947="math problems",25,IF(J947="famous faces",26,IF(J947="famous names",27,IF(J947="famous voices",28,IF(J947="television programs",29,IF(J947="race horses",30,IF(J947="new vocabulary",31,IF(J947="sentences",32,IF(J947="concepts",33,IF(J947="ad slides",34,IF(J947="scenes",35,IF(J947="famous scenes",36,IF(J947="poems",37,IF(J947="walk",38,IF(J947="faces and events",39,IF(J947="events and names",40,IF(J947="flashbulb",41,IF(J947="stories",42,IF(J947="course material",43,IF(J947="autobiographical",44,IF(J947="novels",45,IF(J947="public events",46,"99"))))))))))))))))))))))))))))))))))))))))))))))</f>
        <v>7</v>
      </c>
      <c r="L947" s="60">
        <f>IF(J947="syllables",1,IF(J947="trigrams",1,IF(J947="strings",1,IF(J947="visual array",1,IF(J947="characters",1,IF(J947="letters",1,IF(J947="free forms",1,IF(J947="odors",2,IF(J947="words",2,IF(J947="pictures",2,IF(J947="object pictures",2,IF(J947="faces",2,IF(J947="names",2,IF(J947="idioms","2",IF(J947="grades",2,IF(J947="syllable-digit pairs",3,IF(J947="trigram-word pairs",3,IF(J947="word-digit pairs",3,IF(J947="English-Swahili pairs",3,IF(J947="spatial position",3,IF(J947="word pairs",4,IF(J947="word triads",4,IF(J947="generated words",4,IF(J947="word definition pairs",4,IF(J947="math problems",4,IF(J947="famous faces",4,IF(J947="famous names",4,IF(J947="famous voices",4,IF(J947="television programs",4,IF(J947="race horses",4,IF(J947="new vocabulary",4,IF(J947="sentences",5,IF(J947="concepts",5,IF(J947="ad slides",5,IF(J947="scenes",5,IF(J947="famous scenes",5,IF(J947="poems",6,IF(J947="walk",6,IF(J947="faces and events",6,IF(J947="events and names",6,IF(J947="flashbulb",7,IF(J947="stories",7,IF(J947="course material",7,IF(J947="autobiographical",7,IF(J947="novels",7,IF(J947="public events",7,"99"))))))))))))))))))))))))))))))))))))))))))))))</f>
        <v>1</v>
      </c>
      <c r="M947" s="60">
        <v>0</v>
      </c>
      <c r="N947" s="60">
        <v>1</v>
      </c>
      <c r="O947" s="60">
        <v>0</v>
      </c>
      <c r="P947" s="60"/>
      <c r="Q947" s="60" t="s">
        <v>34</v>
      </c>
      <c r="R947" s="60">
        <f>IF(Q947="Free Recall",1,IF(Q947="Cued Recall",2,IF(Q947="Recognition",3,IF(Q947="Multiple Choice",4,IF(Q947="Savings",5,IF(Q947="Stem Completion",6,IF(Q947="Fragment Completion",7,IF(Q947="anagram solution",8,IF(Q947="Matching",9,IF(Q947="Problem Solving",10,"99"))))))))))</f>
        <v>3</v>
      </c>
      <c r="S947" s="62" t="s">
        <v>15</v>
      </c>
      <c r="T947" s="60" t="s">
        <v>261</v>
      </c>
      <c r="U947" s="60">
        <f>IF(T947="within",1,0)</f>
        <v>0</v>
      </c>
      <c r="V947" s="60">
        <v>40</v>
      </c>
      <c r="W947" s="60">
        <f>F947*V947</f>
        <v>3800</v>
      </c>
      <c r="X947" s="60">
        <v>4</v>
      </c>
      <c r="Y947" s="76">
        <f>AV946</f>
        <v>40</v>
      </c>
      <c r="Z947" s="60" t="s">
        <v>160</v>
      </c>
      <c r="AA947" s="60">
        <v>3628800</v>
      </c>
      <c r="AB947" s="60" t="str">
        <f>IF(AA947&lt;60,"1",IF(AA947&lt;=43200,"2",IF(AA947&lt;=777600,"3","4")))</f>
        <v>4</v>
      </c>
      <c r="AC947" s="56">
        <f>AVERAGE(AV946:DA946)</f>
        <v>1080010</v>
      </c>
      <c r="AD947" s="60" t="str">
        <f>IF(AC947&lt;60,"1",IF(AC947&lt;=43200,"2",IF(AC947&lt;=777600,"3","4")))</f>
        <v>4</v>
      </c>
      <c r="AE947" s="76">
        <f>AA947-Y947</f>
        <v>3628760</v>
      </c>
      <c r="AF947" s="80">
        <f>AV947</f>
        <v>0.57291666666666663</v>
      </c>
      <c r="AG947" s="56">
        <f>((AW947-AV947)+(AX947-AW947)+(AY947-AX947))/3</f>
        <v>-2.2675120772946828E-2</v>
      </c>
      <c r="AH947" s="4"/>
      <c r="AI947" s="56">
        <f>RSQ(AV947:AY947,AV946:AY946)</f>
        <v>0.9750498521009765</v>
      </c>
      <c r="AJ947" s="109">
        <f>SLOPE(AV947:AY947,AV946:AY946)</f>
        <v>-1.7194550050794433E-8</v>
      </c>
      <c r="AK947" s="56">
        <f>INTERCEPT(AV947:AY947,AV946:AY946)</f>
        <v>0.56653790375398172</v>
      </c>
      <c r="AL947" s="56">
        <f>INDEX(LINEST(LN(AV947:AY947),LN(AV946:AY946),TRUE,TRUE),3,1)</f>
        <v>0.56924262318449947</v>
      </c>
      <c r="AM947" s="56">
        <f>INDEX(LINEST(LN(AV947:AY947),LN(AV946:AY946)),1)</f>
        <v>-8.3950381219197508E-3</v>
      </c>
      <c r="AN947" s="56">
        <f>EXP(INDEX(LINEST(LN(AV947:AY947),LN(AV946:AY946)),1,2))</f>
        <v>0.59962263968254925</v>
      </c>
      <c r="AO947" s="82">
        <f>INDEX(LINEST((AV947:AY947),LN(AV946:AY946),TRUE,TRUE),3,1)</f>
        <v>0.58261774704848646</v>
      </c>
      <c r="AP947" s="82">
        <f>INDEX(LINEST((AV947:AY947),LN(AV946:AY946)),1)</f>
        <v>-4.5508167927658678E-3</v>
      </c>
      <c r="AQ947" s="83">
        <f>INDEX(LINEST(LN(AV947:AY947),SQRT(AV946:AY946),TRUE,TRUE),3,1)</f>
        <v>0.98352791412183782</v>
      </c>
      <c r="AR947" s="116">
        <f>INDEX(LINEST(LN(AV947:AY947),SQRT((AV946:AY946))),1)</f>
        <v>-6.6327369242836682E-5</v>
      </c>
      <c r="AS947" s="84">
        <f>INDEX(LINEST(1/(AV947:AY947),1/(SQRT(AV946:AY946)),TRUE,TRUE),3,1)</f>
        <v>0.29697170337563644</v>
      </c>
      <c r="AT947" s="84">
        <f>INDEX(LINEST(1/(AV947:AY947),1/SQRT(AV946:AY946)),1)</f>
        <v>-0.72801700715031115</v>
      </c>
      <c r="AU947" s="3"/>
      <c r="AV947" s="53">
        <v>0.57291666666666663</v>
      </c>
      <c r="AW947" s="53">
        <v>0.5619791666666667</v>
      </c>
      <c r="AX947" s="53">
        <v>0.55208333333333337</v>
      </c>
      <c r="AY947" s="53">
        <v>0.50489130434782614</v>
      </c>
      <c r="AZ947" s="46"/>
      <c r="BA947" s="42"/>
      <c r="BB947" s="4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1"/>
      <c r="CS947" s="1"/>
      <c r="CT947" s="1"/>
      <c r="CU947" s="1"/>
    </row>
    <row r="948" spans="1:133" s="13" customFormat="1" ht="12" customHeight="1" x14ac:dyDescent="0.2">
      <c r="A948" s="68">
        <v>43979</v>
      </c>
      <c r="B948" s="70"/>
      <c r="C948" s="70"/>
      <c r="D948" s="69"/>
      <c r="E948" s="87"/>
      <c r="F948" s="69"/>
      <c r="G948" s="69"/>
      <c r="H948" s="69"/>
      <c r="I948" s="69"/>
      <c r="J948" s="69"/>
      <c r="K948" s="69"/>
      <c r="L948" s="69"/>
      <c r="M948" s="69"/>
      <c r="N948" s="69"/>
      <c r="O948" s="69"/>
      <c r="P948" s="69"/>
      <c r="Q948" s="69"/>
      <c r="R948" s="69"/>
      <c r="S948" s="99"/>
      <c r="T948" s="69"/>
      <c r="U948" s="69"/>
      <c r="V948" s="69"/>
      <c r="W948" s="69"/>
      <c r="X948" s="69"/>
      <c r="Y948" s="87"/>
      <c r="Z948" s="69"/>
      <c r="AA948" s="69"/>
      <c r="AB948" s="69"/>
      <c r="AC948" s="72"/>
      <c r="AD948" s="69"/>
      <c r="AE948" s="87"/>
      <c r="AF948" s="88"/>
      <c r="AG948" s="72"/>
      <c r="AH948" s="4"/>
      <c r="AI948" s="72"/>
      <c r="AJ948" s="110"/>
      <c r="AK948" s="72"/>
      <c r="AL948" s="72"/>
      <c r="AM948" s="72"/>
      <c r="AN948" s="72"/>
      <c r="AO948" s="89"/>
      <c r="AP948" s="89"/>
      <c r="AQ948" s="90"/>
      <c r="AR948" s="117"/>
      <c r="AS948" s="91"/>
      <c r="AT948" s="91"/>
      <c r="AU948" s="3"/>
      <c r="AV948" s="71">
        <f>60*60*24*265*8</f>
        <v>183168000</v>
      </c>
      <c r="AW948" s="71">
        <f>60*60*24*265*13</f>
        <v>297648000</v>
      </c>
      <c r="AX948" s="71">
        <f>60*60*24*265*18</f>
        <v>412128000</v>
      </c>
      <c r="AY948" s="71">
        <f>60*60*24*265*23</f>
        <v>526608000</v>
      </c>
      <c r="AZ948" s="71">
        <f>60*60*24*265*28</f>
        <v>641088000</v>
      </c>
      <c r="BA948" s="71">
        <f>60*60*24*265*33</f>
        <v>755568000</v>
      </c>
      <c r="BB948" s="71">
        <f>60*60*24*265*38</f>
        <v>870048000</v>
      </c>
      <c r="BC948" s="71">
        <f>60*60*24*265*43</f>
        <v>984528000</v>
      </c>
      <c r="BD948" s="53"/>
      <c r="BE948" s="53"/>
      <c r="BF948" s="53"/>
      <c r="BG948" s="53"/>
      <c r="BH948" s="53"/>
      <c r="BI948" s="53"/>
      <c r="BJ948" s="53"/>
      <c r="BK948" s="53"/>
      <c r="BL948" s="53"/>
      <c r="BM948" s="53"/>
      <c r="BN948" s="53"/>
      <c r="BO948" s="53"/>
      <c r="BP948" s="53"/>
      <c r="BQ948" s="53"/>
      <c r="BR948" s="53"/>
      <c r="BS948" s="53"/>
      <c r="BT948" s="53"/>
      <c r="BU948" s="53"/>
      <c r="BV948" s="53"/>
      <c r="BW948" s="53"/>
      <c r="BX948" s="53"/>
      <c r="BY948" s="53"/>
      <c r="BZ948" s="53"/>
      <c r="CA948" s="53"/>
      <c r="CB948" s="53"/>
      <c r="CC948" s="53"/>
      <c r="CD948" s="53"/>
      <c r="CE948" s="53"/>
      <c r="CF948" s="53"/>
      <c r="CG948" s="53"/>
      <c r="CH948" s="53"/>
      <c r="CI948" s="53"/>
      <c r="CJ948" s="53"/>
      <c r="CK948" s="53"/>
      <c r="CL948" s="53"/>
      <c r="CM948" s="53"/>
      <c r="CN948" s="53"/>
      <c r="CO948" s="53"/>
      <c r="CP948" s="53"/>
      <c r="CQ948" s="53"/>
      <c r="CR948" s="1"/>
      <c r="CS948" s="1"/>
      <c r="CT948" s="1"/>
      <c r="CU948" s="1"/>
    </row>
    <row r="949" spans="1:133" s="13" customFormat="1" ht="12" customHeight="1" x14ac:dyDescent="0.2">
      <c r="A949" s="68">
        <v>43979</v>
      </c>
      <c r="B949" s="70" t="s">
        <v>1001</v>
      </c>
      <c r="C949" s="70" t="s">
        <v>408</v>
      </c>
      <c r="D949" s="69">
        <v>1997</v>
      </c>
      <c r="E949" s="87">
        <v>1</v>
      </c>
      <c r="F949" s="69">
        <v>15</v>
      </c>
      <c r="G949" s="69">
        <v>15</v>
      </c>
      <c r="H949" s="69" t="s">
        <v>41</v>
      </c>
      <c r="I949" s="69" t="s">
        <v>330</v>
      </c>
      <c r="J949" s="69" t="s">
        <v>403</v>
      </c>
      <c r="K949" s="69">
        <f>IF(J949="syllables",1,IF(J949="trigrams",2,IF(J949="strings",3,IF(J949="visual array",4,IF(J949="characters",5,IF(J949="letters",6,IF(J949="free forms",7,IF(J949="odors",8,IF(J949="words",9,IF(J949="pictures",10,IF(J949="object pictures",11,IF(J949="faces",12,IF(J949="names",13,IF(J949="idioms",14,IF(J949="grades",15,IF(J949="syllable-digit pairs",16,IF(J949="trigram-word pairs",17,IF(J949="word-digit pairs",18,IF(J949="English-Swahili pairs",19,IF(J949="spatial position",20,IF(J949="word pairs",21,IF(J949="word triads",22,IF(J949="generated words",23,IF(J949="word definition pairs",24,IF(J949="math problems",25,IF(J949="famous faces",26,IF(J949="famous names",27,IF(J949="famous voices",28,IF(J949="television programs",29,IF(J949="race horses",30,IF(J949="new vocabulary",31,IF(J949="sentences",32,IF(J949="concepts",33,IF(J949="ad slides",34,IF(J949="scenes",35,IF(J949="famous scenes",36,IF(J949="poems",37,IF(J949="walk",38,IF(J949="faces and events",39,IF(J949="events and names",40,IF(J949="flashbulb",41,IF(J949="stories",42,IF(J949="course material",43,IF(J949="autobiographical",44,IF(J949="novels",45,IF(J949="public events",46,"99"))))))))))))))))))))))))))))))))))))))))))))))</f>
        <v>40</v>
      </c>
      <c r="L949" s="69">
        <f>IF(J949="syllables",1,IF(J949="trigrams",1,IF(J949="strings",1,IF(J949="visual array",1,IF(J949="characters",1,IF(J949="letters",1,IF(J949="free forms",1,IF(J949="odors",2,IF(J949="words",2,IF(J949="pictures",2,IF(J949="object pictures",2,IF(J949="faces",2,IF(J949="names",2,IF(J949="idioms","2",IF(J949="grades",2,IF(J949="syllable-digit pairs",3,IF(J949="trigram-word pairs",3,IF(J949="word-digit pairs",3,IF(J949="English-Swahili pairs",3,IF(J949="spatial position",3,IF(J949="word pairs",4,IF(J949="word triads",4,IF(J949="generated words",4,IF(J949="word definition pairs",4,IF(J949="math problems",4,IF(J949="famous faces",4,IF(J949="famous names",4,IF(J949="famous voices",4,IF(J949="television programs",4,IF(J949="race horses",4,IF(J949="new vocabulary",4,IF(J949="sentences",5,IF(J949="concepts",5,IF(J949="ad slides",5,IF(J949="scenes",5,IF(J949="famous scenes",5,IF(J949="poems",6,IF(J949="walk",6,IF(J949="faces and events",6,IF(J949="events and names",6,IF(J949="flashbulb",7,IF(J949="stories",7,IF(J949="course material",7,IF(J949="autobiographical",7,IF(J949="novels",7,IF(J949="public events",7,"99"))))))))))))))))))))))))))))))))))))))))))))))</f>
        <v>6</v>
      </c>
      <c r="M949" s="69">
        <v>1</v>
      </c>
      <c r="N949" s="69">
        <v>4</v>
      </c>
      <c r="O949" s="69">
        <v>0</v>
      </c>
      <c r="P949" s="69"/>
      <c r="Q949" s="69" t="s">
        <v>182</v>
      </c>
      <c r="R949" s="69">
        <f>IF(Q949="Free Recall",1,IF(Q949="Cued Recall",2,IF(Q949="Recognition",3,IF(Q949="Multiple Choice",4,IF(Q949="Savings",5,IF(Q949="Stem Completion",6,IF(Q949="Fragment Completion",7,IF(Q949="anagram solution",8,IF(Q949="Matching",9,IF(Q949="Problem Solving",10,"99"))))))))))</f>
        <v>4</v>
      </c>
      <c r="S949" s="99" t="s">
        <v>15</v>
      </c>
      <c r="T949" s="69" t="s">
        <v>581</v>
      </c>
      <c r="U949" s="69">
        <f>IF(T949="within",1,0)</f>
        <v>1</v>
      </c>
      <c r="V949" s="69">
        <v>40</v>
      </c>
      <c r="W949" s="69">
        <f>F949*V949</f>
        <v>600</v>
      </c>
      <c r="X949" s="69">
        <v>8</v>
      </c>
      <c r="Y949" s="87">
        <f>AV948</f>
        <v>183168000</v>
      </c>
      <c r="Z949" s="69" t="s">
        <v>426</v>
      </c>
      <c r="AA949" s="69">
        <f>60*60*24*365*43</f>
        <v>1356048000</v>
      </c>
      <c r="AB949" s="69" t="str">
        <f>IF(AA949&lt;60,"1",IF(AA949&lt;=43200,"2",IF(AA949&lt;=777600,"3","4")))</f>
        <v>4</v>
      </c>
      <c r="AC949" s="72">
        <f>AVERAGE(AV948:DA948)</f>
        <v>583848000</v>
      </c>
      <c r="AD949" s="69" t="str">
        <f>IF(AC949&lt;60,"1",IF(AC949&lt;=43200,"2",IF(AC949&lt;=777600,"3","4")))</f>
        <v>4</v>
      </c>
      <c r="AE949" s="87">
        <f>AA949-Y949</f>
        <v>1172880000</v>
      </c>
      <c r="AF949" s="88">
        <f>AV949</f>
        <v>0.71297933899288912</v>
      </c>
      <c r="AG949" s="72">
        <f>((AW949-AV949)+(AX949-AW949)+(AY949-AX949)+(AZ949-AY949)+(BA949-AZ949)+(BB949-BA949)+(BC949-BB949))/7</f>
        <v>-8.7405458119977159E-2</v>
      </c>
      <c r="AH949" s="4"/>
      <c r="AI949" s="72">
        <f>RSQ(AV949:BC949,AV948:BC948)</f>
        <v>0.94290134268660608</v>
      </c>
      <c r="AJ949" s="110">
        <f>SLOPE(AV949:BC949,AV948:BC948)</f>
        <v>-8.4458879810761777E-10</v>
      </c>
      <c r="AK949" s="72">
        <f>INTERCEPT(AV949:BC949,AV948:BC948)</f>
        <v>0.96413903994426875</v>
      </c>
      <c r="AL949" s="72">
        <f>INDEX(LINEST(LN(AV949:BC949),LN(AV948:BC948),TRUE,TRUE),3,1)</f>
        <v>0.68328081463795343</v>
      </c>
      <c r="AM949" s="72">
        <f>INDEX(LINEST(LN(AV949:BC949),LN(AV948:BC948)),1)</f>
        <v>-1.0042897286851371</v>
      </c>
      <c r="AN949" s="72">
        <f>EXP(INDEX(LINEST(LN(AV949:BC949),LN(AV948:BC948)),1,2))</f>
        <v>222660799.59059179</v>
      </c>
      <c r="AO949" s="89">
        <f>INDEX(LINEST((AV949:BC949),LN(AV948:BC948),TRUE,TRUE),3,1)</f>
        <v>0.82148442493604645</v>
      </c>
      <c r="AP949" s="89">
        <f>INDEX(LINEST((AV949:BC949),LN(AV948:BC948)),1)</f>
        <v>-0.38489305499602056</v>
      </c>
      <c r="AQ949" s="90">
        <f>INDEX(LINEST(LN(AV949:BC949),SQRT(AV948:BC948),TRUE,TRUE),3,1)</f>
        <v>0.78030591299584751</v>
      </c>
      <c r="AR949" s="117">
        <f>INDEX(LINEST(LN(AV949:BC949),SQRT((AV948:BC948))),1)</f>
        <v>-9.9975258380854165E-5</v>
      </c>
      <c r="AS949" s="91">
        <f>INDEX(LINEST(1/(AV949:BC949),1/(SQRT(AV948:BC948)),TRUE,TRUE),3,1)</f>
        <v>0.38010794513117241</v>
      </c>
      <c r="AT949" s="91">
        <f>INDEX(LINEST(1/(AV949:BC949),1/SQRT(AV948:BC948)),1)</f>
        <v>-125850.21260076578</v>
      </c>
      <c r="AU949" s="3"/>
      <c r="AV949" s="73">
        <v>0.71297933899288912</v>
      </c>
      <c r="AW949" s="73">
        <v>0.76308167658298298</v>
      </c>
      <c r="AX949" s="73">
        <v>0.70613768562859802</v>
      </c>
      <c r="AY949" s="73">
        <v>0.48122022081942606</v>
      </c>
      <c r="AZ949" s="73">
        <v>0.43124108136216299</v>
      </c>
      <c r="BA949" s="73">
        <v>0.35863241002757201</v>
      </c>
      <c r="BB949" s="73">
        <v>0.21378692920717801</v>
      </c>
      <c r="BC949" s="73">
        <v>0.10114113215304901</v>
      </c>
      <c r="BD949" s="53"/>
      <c r="BE949" s="53"/>
      <c r="BF949" s="53"/>
      <c r="BG949" s="53"/>
      <c r="BH949" s="53"/>
      <c r="BI949" s="53"/>
      <c r="BJ949" s="53"/>
      <c r="BK949" s="53"/>
      <c r="BL949" s="53"/>
      <c r="BM949" s="53"/>
      <c r="BN949" s="53"/>
      <c r="BO949" s="53"/>
      <c r="BP949" s="53"/>
      <c r="BQ949" s="53"/>
      <c r="BR949" s="53"/>
      <c r="BS949" s="53"/>
      <c r="BT949" s="53"/>
      <c r="BU949" s="53"/>
      <c r="BV949" s="53"/>
      <c r="BW949" s="53"/>
      <c r="BX949" s="53"/>
      <c r="BY949" s="53"/>
      <c r="BZ949" s="53"/>
      <c r="CA949" s="53"/>
      <c r="CB949" s="53"/>
      <c r="CC949" s="53"/>
      <c r="CD949" s="53"/>
      <c r="CE949" s="53"/>
      <c r="CF949" s="53"/>
      <c r="CG949" s="53"/>
      <c r="CH949" s="53"/>
      <c r="CI949" s="53"/>
      <c r="CJ949" s="53"/>
      <c r="CK949" s="53"/>
      <c r="CL949" s="53"/>
      <c r="CM949" s="53"/>
      <c r="CN949" s="53"/>
      <c r="CO949" s="53"/>
      <c r="CP949" s="53"/>
      <c r="CQ949" s="53"/>
      <c r="CR949" s="1"/>
      <c r="CS949" s="1"/>
      <c r="CT949" s="1"/>
      <c r="CU949" s="1"/>
    </row>
    <row r="950" spans="1:133" s="13" customFormat="1" ht="12" customHeight="1" x14ac:dyDescent="0.2">
      <c r="A950" s="68">
        <v>43979</v>
      </c>
      <c r="B950" s="70"/>
      <c r="C950" s="70"/>
      <c r="D950" s="69"/>
      <c r="E950" s="87"/>
      <c r="F950" s="69"/>
      <c r="G950" s="69"/>
      <c r="H950" s="69"/>
      <c r="I950" s="69"/>
      <c r="J950" s="69"/>
      <c r="K950" s="69"/>
      <c r="L950" s="69"/>
      <c r="M950" s="69"/>
      <c r="N950" s="69"/>
      <c r="O950" s="69"/>
      <c r="P950" s="69"/>
      <c r="Q950" s="69"/>
      <c r="R950" s="69"/>
      <c r="S950" s="99"/>
      <c r="T950" s="69"/>
      <c r="U950" s="69"/>
      <c r="V950" s="69"/>
      <c r="W950" s="69"/>
      <c r="X950" s="69"/>
      <c r="Y950" s="87"/>
      <c r="Z950" s="69"/>
      <c r="AA950" s="69"/>
      <c r="AB950" s="69"/>
      <c r="AC950" s="72"/>
      <c r="AD950" s="69"/>
      <c r="AE950" s="87"/>
      <c r="AF950" s="88"/>
      <c r="AG950" s="72"/>
      <c r="AH950" s="4"/>
      <c r="AI950" s="72"/>
      <c r="AJ950" s="110"/>
      <c r="AK950" s="72"/>
      <c r="AL950" s="72"/>
      <c r="AM950" s="72"/>
      <c r="AN950" s="72"/>
      <c r="AO950" s="89"/>
      <c r="AP950" s="89"/>
      <c r="AQ950" s="90"/>
      <c r="AR950" s="117"/>
      <c r="AS950" s="91"/>
      <c r="AT950" s="91"/>
      <c r="AU950" s="3"/>
      <c r="AV950" s="71">
        <f>60*60*2</f>
        <v>7200</v>
      </c>
      <c r="AW950" s="71">
        <f>60*60*18</f>
        <v>64800</v>
      </c>
      <c r="AX950" s="71">
        <f>60*60*20</f>
        <v>72000</v>
      </c>
      <c r="AY950" s="71">
        <f>60*60*24*3</f>
        <v>259200</v>
      </c>
      <c r="AZ950" s="71">
        <f>60*60*24*4</f>
        <v>345600</v>
      </c>
      <c r="BA950" s="71">
        <f>60*60*24*7</f>
        <v>604800</v>
      </c>
      <c r="BB950" s="53"/>
      <c r="BC950" s="53"/>
      <c r="BD950" s="53"/>
      <c r="BE950" s="53"/>
      <c r="BF950" s="53"/>
      <c r="BG950" s="53"/>
      <c r="BH950" s="53"/>
      <c r="BI950" s="53"/>
      <c r="BJ950" s="53"/>
      <c r="BK950" s="53"/>
      <c r="BL950" s="53"/>
      <c r="BM950" s="53"/>
      <c r="BN950" s="53"/>
      <c r="BO950" s="53"/>
      <c r="BP950" s="53"/>
      <c r="BQ950" s="53"/>
      <c r="BR950" s="53"/>
      <c r="BS950" s="53"/>
      <c r="BT950" s="53"/>
      <c r="BU950" s="53"/>
      <c r="BV950" s="53"/>
      <c r="BW950" s="53"/>
      <c r="BX950" s="53"/>
      <c r="BY950" s="53"/>
      <c r="BZ950" s="53"/>
      <c r="CA950" s="53"/>
      <c r="CB950" s="53"/>
      <c r="CC950" s="53"/>
      <c r="CD950" s="53"/>
      <c r="CE950" s="53"/>
      <c r="CF950" s="53"/>
      <c r="CG950" s="53"/>
      <c r="CH950" s="53"/>
      <c r="CI950" s="53"/>
      <c r="CJ950" s="53"/>
      <c r="CK950" s="53"/>
      <c r="CL950" s="53"/>
      <c r="CM950" s="53"/>
      <c r="CN950" s="53"/>
      <c r="CO950" s="53"/>
      <c r="CP950" s="53"/>
      <c r="CQ950" s="53"/>
      <c r="CR950" s="1"/>
      <c r="CS950" s="1"/>
      <c r="CT950" s="1"/>
      <c r="CU950" s="1"/>
    </row>
    <row r="951" spans="1:133" s="13" customFormat="1" ht="12" customHeight="1" x14ac:dyDescent="0.2">
      <c r="A951" s="68">
        <v>43979</v>
      </c>
      <c r="B951" s="70" t="s">
        <v>1001</v>
      </c>
      <c r="C951" s="70" t="s">
        <v>408</v>
      </c>
      <c r="D951" s="69">
        <v>1997</v>
      </c>
      <c r="E951" s="87">
        <v>1</v>
      </c>
      <c r="F951" s="69">
        <v>1</v>
      </c>
      <c r="G951" s="69">
        <v>1</v>
      </c>
      <c r="H951" s="69" t="s">
        <v>43</v>
      </c>
      <c r="I951" s="69" t="s">
        <v>330</v>
      </c>
      <c r="J951" s="69" t="s">
        <v>16</v>
      </c>
      <c r="K951" s="69">
        <f>IF(J951="syllables",1,IF(J951="trigrams",2,IF(J951="strings",3,IF(J951="visual array",4,IF(J951="characters",5,IF(J951="letters",6,IF(J951="free forms",7,IF(J951="odors",8,IF(J951="words",9,IF(J951="pictures",10,IF(J951="object pictures",11,IF(J951="faces",12,IF(J951="names",13,IF(J951="idioms",14,IF(J951="grades",15,IF(J951="syllable-digit pairs",16,IF(J951="trigram-word pairs",17,IF(J951="word-digit pairs",18,IF(J951="English-Swahili pairs",19,IF(J951="spatial position",20,IF(J951="word pairs",21,IF(J951="word triads",22,IF(J951="generated words",23,IF(J951="word definition pairs",24,IF(J951="math problems",25,IF(J951="famous faces",26,IF(J951="famous names",27,IF(J951="famous voices",28,IF(J951="television programs",29,IF(J951="race horses",30,IF(J951="new vocabulary",31,IF(J951="sentences",32,IF(J951="concepts",33,IF(J951="ad slides",34,IF(J951="scenes",35,IF(J951="famous scenes",36,IF(J951="poems",37,IF(J951="walk",38,IF(J951="faces and events",39,IF(J951="events and names",40,IF(J951="flashbulb",41,IF(J951="stories",42,IF(J951="course material",43,IF(J951="autobiographical",44,IF(J951="novels",45,IF(J951="public events",46,"99"))))))))))))))))))))))))))))))))))))))))))))))</f>
        <v>9</v>
      </c>
      <c r="L951" s="69">
        <f>IF(J951="syllables",1,IF(J951="trigrams",1,IF(J951="strings",1,IF(J951="visual array",1,IF(J951="characters",1,IF(J951="letters",1,IF(J951="free forms",1,IF(J951="odors",2,IF(J951="words",2,IF(J951="pictures",2,IF(J951="object pictures",2,IF(J951="faces",2,IF(J951="names",2,IF(J951="idioms","2",IF(J951="grades",2,IF(J951="syllable-digit pairs",3,IF(J951="trigram-word pairs",3,IF(J951="word-digit pairs",3,IF(J951="English-Swahili pairs",3,IF(J951="spatial position",3,IF(J951="word pairs",4,IF(J951="word triads",4,IF(J951="generated words",4,IF(J951="word definition pairs",4,IF(J951="math problems",4,IF(J951="famous faces",4,IF(J951="famous names",4,IF(J951="famous voices",4,IF(J951="television programs",4,IF(J951="race horses",4,IF(J951="new vocabulary",4,IF(J951="sentences",5,IF(J951="concepts",5,IF(J951="ad slides",5,IF(J951="scenes",5,IF(J951="famous scenes",5,IF(J951="poems",6,IF(J951="walk",6,IF(J951="faces and events",6,IF(J951="events and names",6,IF(J951="flashbulb",7,IF(J951="stories",7,IF(J951="course material",7,IF(J951="autobiographical",7,IF(J951="novels",7,IF(J951="public events",7,"99"))))))))))))))))))))))))))))))))))))))))))))))</f>
        <v>2</v>
      </c>
      <c r="M951" s="69">
        <v>1</v>
      </c>
      <c r="N951" s="69">
        <v>2</v>
      </c>
      <c r="O951" s="69">
        <v>0</v>
      </c>
      <c r="P951" s="69"/>
      <c r="Q951" s="69" t="s">
        <v>174</v>
      </c>
      <c r="R951" s="69">
        <f>IF(Q951="Free Recall",1,IF(Q951="Cued Recall",2,IF(Q951="Recognition",3,IF(Q951="Multiple Choice",4,IF(Q951="Savings",5,IF(Q951="Stem Completion",6,IF(Q951="Fragment Completion",7,IF(Q951="anagram solution",8,IF(Q951="Matching",9,IF(Q951="Problem Solving",10,"99"))))))))))</f>
        <v>1</v>
      </c>
      <c r="S951" s="99" t="s">
        <v>15</v>
      </c>
      <c r="T951" s="69" t="s">
        <v>581</v>
      </c>
      <c r="U951" s="69">
        <f>IF(T951="within",1,0)</f>
        <v>1</v>
      </c>
      <c r="V951" s="69">
        <v>60</v>
      </c>
      <c r="W951" s="69">
        <f>F951*V951</f>
        <v>60</v>
      </c>
      <c r="X951" s="69">
        <v>6</v>
      </c>
      <c r="Y951" s="87">
        <f>AV950</f>
        <v>7200</v>
      </c>
      <c r="Z951" s="69" t="s">
        <v>150</v>
      </c>
      <c r="AA951" s="69">
        <f>60*60*24*7</f>
        <v>604800</v>
      </c>
      <c r="AB951" s="69" t="str">
        <f>IF(AA951&lt;60,"1",IF(AA951&lt;=43200,"2",IF(AA951&lt;=777600,"3","4")))</f>
        <v>3</v>
      </c>
      <c r="AC951" s="72">
        <f>AVERAGE(AV950:DA950)</f>
        <v>225600</v>
      </c>
      <c r="AD951" s="69" t="str">
        <f>IF(AC951&lt;60,"1",IF(AC951&lt;=43200,"2",IF(AC951&lt;=777600,"3","4")))</f>
        <v>3</v>
      </c>
      <c r="AE951" s="87">
        <f>AA951-Y951</f>
        <v>597600</v>
      </c>
      <c r="AF951" s="88">
        <f>AV951</f>
        <v>1</v>
      </c>
      <c r="AG951" s="72">
        <f>((AW951-AV951)+(AX951-AW951)+(AY951-AX951)+(AZ951-AY951)+(BA951-AZ951))/5</f>
        <v>-3.9999999999999994E-2</v>
      </c>
      <c r="AH951" s="4"/>
      <c r="AI951" s="72">
        <f>RSQ(AV951:BA951,AV950:BA950)</f>
        <v>0.85956840626022635</v>
      </c>
      <c r="AJ951" s="110">
        <f>SLOPE(AV951:BA951,AV950:BA950)</f>
        <v>-3.4249651888784069E-7</v>
      </c>
      <c r="AK951" s="72">
        <f>INTERCEPT(AV951:BA951,AV950:BA950)</f>
        <v>1.0272672146610968</v>
      </c>
      <c r="AL951" s="72">
        <f>INDEX(LINEST(LN(AV951:BA951),LN(AV950:BA950),TRUE,TRUE),3,1)</f>
        <v>0.45270363990479262</v>
      </c>
      <c r="AM951" s="72">
        <f>INDEX(LINEST(LN(AV951:BA951),LN(AV950:BA950)),1)</f>
        <v>-3.8890409761290982E-2</v>
      </c>
      <c r="AN951" s="72">
        <f>EXP(INDEX(LINEST(LN(AV951:BA951),LN(AV950:BA950)),1,2))</f>
        <v>1.4871671195565173</v>
      </c>
      <c r="AO951" s="89">
        <f>INDEX(LINEST((AV951:BA951),LN(AV950:BA950),TRUE,TRUE),3,1)</f>
        <v>0.4585711067028328</v>
      </c>
      <c r="AP951" s="89">
        <f>INDEX(LINEST((AV951:BA951),LN(AV950:BA950)),1)</f>
        <v>-3.5351141342646497E-2</v>
      </c>
      <c r="AQ951" s="90">
        <f>INDEX(LINEST(LN(AV951:BA951),SQRT(AV950:BA950),TRUE,TRUE),3,1)</f>
        <v>0.70748492466487312</v>
      </c>
      <c r="AR951" s="117">
        <f>INDEX(LINEST(LN(AV951:BA951),SQRT((AV950:BA950))),1)</f>
        <v>-3.0490657167694409E-4</v>
      </c>
      <c r="AS951" s="91">
        <f>INDEX(LINEST(1/(AV951:BA951),1/(SQRT(AV950:BA950)),TRUE,TRUE),3,1)</f>
        <v>0.22286410191249745</v>
      </c>
      <c r="AT951" s="91">
        <f>INDEX(LINEST(1/(AV951:BA951),1/SQRT(AV950:BA950)),1)</f>
        <v>-12.361814381445866</v>
      </c>
      <c r="AU951" s="3"/>
      <c r="AV951" s="73">
        <v>1</v>
      </c>
      <c r="AW951" s="73">
        <v>1</v>
      </c>
      <c r="AX951" s="73">
        <v>1</v>
      </c>
      <c r="AY951" s="73">
        <v>1</v>
      </c>
      <c r="AZ951" s="73">
        <v>0.9</v>
      </c>
      <c r="BA951" s="73">
        <v>0.8</v>
      </c>
      <c r="BB951" s="53"/>
      <c r="BC951" s="53"/>
      <c r="BD951" s="53"/>
      <c r="BE951" s="53"/>
      <c r="BF951" s="53"/>
      <c r="BG951" s="53"/>
      <c r="BH951" s="53"/>
      <c r="BI951" s="53"/>
      <c r="BJ951" s="53"/>
      <c r="BK951" s="53"/>
      <c r="BL951" s="53"/>
      <c r="BM951" s="53"/>
      <c r="BN951" s="53"/>
      <c r="BO951" s="53"/>
      <c r="BP951" s="53"/>
      <c r="BQ951" s="53"/>
      <c r="BR951" s="53"/>
      <c r="BS951" s="53"/>
      <c r="BT951" s="53"/>
      <c r="BU951" s="53"/>
      <c r="BV951" s="53"/>
      <c r="BW951" s="53"/>
      <c r="BX951" s="53"/>
      <c r="BY951" s="53"/>
      <c r="BZ951" s="53"/>
      <c r="CA951" s="53"/>
      <c r="CB951" s="53"/>
      <c r="CC951" s="53"/>
      <c r="CD951" s="53"/>
      <c r="CE951" s="53"/>
      <c r="CF951" s="53"/>
      <c r="CG951" s="53"/>
      <c r="CH951" s="53"/>
      <c r="CI951" s="53"/>
      <c r="CJ951" s="53"/>
      <c r="CK951" s="53"/>
      <c r="CL951" s="53"/>
      <c r="CM951" s="53"/>
      <c r="CN951" s="53"/>
      <c r="CO951" s="53"/>
      <c r="CP951" s="53"/>
      <c r="CQ951" s="53"/>
      <c r="CR951" s="1"/>
      <c r="CS951" s="1"/>
      <c r="CT951" s="1"/>
      <c r="CU951" s="1"/>
    </row>
    <row r="952" spans="1:133" s="13" customFormat="1" ht="12" customHeight="1" x14ac:dyDescent="0.2">
      <c r="A952" s="65">
        <v>43903</v>
      </c>
      <c r="B952" s="1"/>
      <c r="C952" s="1"/>
      <c r="D952" s="60"/>
      <c r="E952" s="76"/>
      <c r="F952" s="60"/>
      <c r="G952" s="60"/>
      <c r="H952" s="60"/>
      <c r="I952" s="60"/>
      <c r="J952" s="60"/>
      <c r="K952" s="64"/>
      <c r="L952" s="64"/>
      <c r="M952" s="60"/>
      <c r="N952" s="61"/>
      <c r="O952" s="60"/>
      <c r="P952" s="60"/>
      <c r="Q952" s="60"/>
      <c r="R952" s="60"/>
      <c r="S952" s="60"/>
      <c r="T952" s="60"/>
      <c r="U952" s="60"/>
      <c r="V952" s="60"/>
      <c r="W952" s="60"/>
      <c r="X952" s="60"/>
      <c r="Y952" s="76"/>
      <c r="Z952" s="60"/>
      <c r="AA952" s="60"/>
      <c r="AB952" s="60"/>
      <c r="AC952" s="56"/>
      <c r="AD952" s="60"/>
      <c r="AE952" s="60"/>
      <c r="AF952" s="80"/>
      <c r="AG952" s="56"/>
      <c r="AH952" s="4"/>
      <c r="AI952" s="56"/>
      <c r="AJ952" s="109"/>
      <c r="AK952" s="56"/>
      <c r="AL952" s="56"/>
      <c r="AM952" s="56"/>
      <c r="AN952" s="56"/>
      <c r="AO952" s="82"/>
      <c r="AP952" s="82"/>
      <c r="AQ952" s="83"/>
      <c r="AR952" s="116"/>
      <c r="AS952" s="84"/>
      <c r="AT952" s="84"/>
      <c r="AU952" s="3"/>
      <c r="AV952" s="25">
        <f>(60*60*24)*7</f>
        <v>604800</v>
      </c>
      <c r="AW952" s="25">
        <f>((60*60*24)*7)*2</f>
        <v>1209600</v>
      </c>
      <c r="AX952" s="25">
        <f>((60*60*24)*7)*3</f>
        <v>1814400</v>
      </c>
      <c r="AY952" s="25">
        <f>((60*60*24)*7)*4</f>
        <v>2419200</v>
      </c>
      <c r="AZ952" s="25">
        <f>((60*60*24)*7)*5</f>
        <v>3024000</v>
      </c>
      <c r="BA952" s="25">
        <f>((60*60*24)*7)*6</f>
        <v>3628800</v>
      </c>
      <c r="BB952" s="25">
        <f>((60*60*24)*7)*7</f>
        <v>4233600</v>
      </c>
      <c r="BC952" s="25">
        <f>((60*60*24)*7)*8</f>
        <v>4838400</v>
      </c>
      <c r="BD952" s="25">
        <f>((60*60*24)*7)*9</f>
        <v>5443200</v>
      </c>
      <c r="BE952" s="25">
        <f>((60*60*24)*7)*10</f>
        <v>6048000</v>
      </c>
      <c r="BF952" s="25">
        <f>((60*60*24)*7)*11</f>
        <v>6652800</v>
      </c>
      <c r="BG952" s="25">
        <f>((60*60*24)*7)*12</f>
        <v>7257600</v>
      </c>
      <c r="BH952" s="25"/>
      <c r="BI952" s="25"/>
      <c r="BJ952" s="25"/>
      <c r="BK952" s="25"/>
      <c r="BL952" s="25"/>
      <c r="BM952" s="25"/>
      <c r="BN952" s="25"/>
      <c r="BO952" s="25"/>
      <c r="BP952" s="25"/>
      <c r="BQ952" s="25"/>
      <c r="BR952" s="25"/>
      <c r="BS952" s="25"/>
      <c r="BT952" s="25"/>
      <c r="BU952" s="25"/>
      <c r="BV952" s="25"/>
      <c r="BW952" s="25"/>
      <c r="BX952" s="25"/>
      <c r="BY952" s="25"/>
      <c r="BZ952" s="25"/>
      <c r="CA952" s="25"/>
      <c r="CB952" s="25"/>
      <c r="CC952" s="25"/>
      <c r="CD952" s="25"/>
      <c r="CE952" s="25"/>
      <c r="CF952" s="25"/>
      <c r="CG952" s="25"/>
      <c r="CH952" s="25"/>
      <c r="CI952" s="25"/>
      <c r="CJ952" s="25"/>
      <c r="CK952" s="25"/>
      <c r="CL952" s="25"/>
      <c r="CM952" s="25"/>
      <c r="CN952" s="25"/>
      <c r="CO952" s="25"/>
      <c r="CP952" s="25"/>
      <c r="CQ952" s="25"/>
      <c r="CR952" s="25"/>
      <c r="CS952" s="25"/>
      <c r="CT952" s="25"/>
      <c r="CU952" s="25"/>
      <c r="CV952" s="25"/>
      <c r="CW952" s="25"/>
      <c r="CX952" s="25"/>
      <c r="CY952" s="25"/>
      <c r="CZ952" s="25"/>
      <c r="DA952" s="25"/>
      <c r="DB952" s="25"/>
      <c r="DC952" s="25"/>
      <c r="DD952" s="25"/>
      <c r="DE952" s="25"/>
      <c r="DF952" s="25"/>
      <c r="DG952" s="25"/>
      <c r="DH952" s="25"/>
      <c r="DI952" s="25"/>
      <c r="DJ952" s="25"/>
      <c r="DK952" s="25"/>
      <c r="DL952" s="25"/>
      <c r="DM952" s="25"/>
      <c r="DN952" s="25"/>
      <c r="DO952" s="25"/>
      <c r="DP952" s="25"/>
      <c r="DQ952" s="25"/>
      <c r="DR952" s="25"/>
      <c r="DS952" s="25"/>
      <c r="DT952" s="25"/>
      <c r="DU952" s="25"/>
      <c r="DV952" s="25"/>
      <c r="DW952" s="25"/>
      <c r="DX952" s="25"/>
      <c r="DY952" s="25"/>
      <c r="DZ952" s="25"/>
      <c r="EA952" s="25"/>
      <c r="EB952" s="25"/>
      <c r="EC952" s="25"/>
    </row>
    <row r="953" spans="1:133" s="13" customFormat="1" ht="12" customHeight="1" x14ac:dyDescent="0.2">
      <c r="A953" s="65">
        <v>43903</v>
      </c>
      <c r="B953" s="1" t="s">
        <v>472</v>
      </c>
      <c r="C953" s="1" t="s">
        <v>262</v>
      </c>
      <c r="D953" s="60">
        <v>2020</v>
      </c>
      <c r="E953" s="76">
        <v>1</v>
      </c>
      <c r="F953" s="60">
        <v>13</v>
      </c>
      <c r="G953" s="60">
        <v>13</v>
      </c>
      <c r="H953" s="60" t="s">
        <v>747</v>
      </c>
      <c r="I953" s="60" t="s">
        <v>873</v>
      </c>
      <c r="J953" s="60" t="s">
        <v>622</v>
      </c>
      <c r="K953" s="60">
        <f>IF(J953="syllables",1,IF(J953="trigrams",2,IF(J953="strings",3,IF(J953="visual array",4,IF(J953="characters",5,IF(J953="letters",6,IF(J953="free forms",7,IF(J953="odors",8,IF(J953="words",9,IF(J953="pictures",10,IF(J953="object pictures",11,IF(J953="faces",12,IF(J953="names",13,IF(J953="idioms",14,IF(J953="grades",15,IF(J953="syllable-digit pairs",16,IF(J953="trigram-word pairs",17,IF(J953="word-digit pairs",18,IF(J953="English-Swahili pairs",19,IF(J953="spatial position",20,IF(J953="word pairs",21,IF(J953="word triads",22,IF(J953="generated words",23,IF(J953="word definition pairs",24,IF(J953="math problems",25,IF(J953="famous faces",26,IF(J953="famous names",27,IF(J953="famous voices",28,IF(J953="television programs",29,IF(J953="race horses",30,IF(J953="new vocabulary",31,IF(J953="sentences",32,IF(J953="concepts",33,IF(J953="ad slides",34,IF(J953="scenes",35,IF(J953="famous scenes",36,IF(J953="poems",37,IF(J953="walk",38,IF(J953="faces and events",39,IF(J953="events and names",40,IF(J953="flashbulb",41,IF(J953="stories",42,IF(J953="course material",43,IF(J953="autobiographical",44,IF(J953="novels",45,IF(J953="public events",46,"99"))))))))))))))))))))))))))))))))))))))))))))))</f>
        <v>44</v>
      </c>
      <c r="L953" s="60">
        <f>IF(J953="syllables",1,IF(J953="trigrams",1,IF(J953="strings",1,IF(J953="visual array",1,IF(J953="characters",1,IF(J953="letters",1,IF(J953="free forms",1,IF(J953="odors",2,IF(J953="words",2,IF(J953="pictures",2,IF(J953="object pictures",2,IF(J953="faces",2,IF(J953="names",2,IF(J953="idioms","2",IF(J953="grades",2,IF(J953="syllable-digit pairs",3,IF(J953="trigram-word pairs",3,IF(J953="word-digit pairs",3,IF(J953="English-Swahili pairs",3,IF(J953="spatial position",3,IF(J953="word pairs",4,IF(J953="word triads",4,IF(J953="generated words",4,IF(J953="word definition pairs",4,IF(J953="math problems",4,IF(J953="famous faces",4,IF(J953="famous names",4,IF(J953="famous voices",4,IF(J953="television programs",4,IF(J953="race horses",4,IF(J953="new vocabulary",4,IF(J953="sentences",5,IF(J953="concepts",5,IF(J953="ad slides",5,IF(J953="scenes",5,IF(J953="famous scenes",5,IF(J953="poems",6,IF(J953="walk",6,IF(J953="faces and events",6,IF(J953="events and names",6,IF(J953="flashbulb",7,IF(J953="stories",7,IF(J953="course material",7,IF(J953="autobiographical",7,IF(J953="novels",7,IF(J953="public events",7,"99"))))))))))))))))))))))))))))))))))))))))))))))</f>
        <v>7</v>
      </c>
      <c r="M953" s="60">
        <v>0</v>
      </c>
      <c r="N953" s="61">
        <v>3</v>
      </c>
      <c r="O953" s="60">
        <v>0</v>
      </c>
      <c r="P953" s="60"/>
      <c r="Q953" s="60" t="s">
        <v>65</v>
      </c>
      <c r="R953" s="60">
        <f>IF(Q953="Free Recall",1,IF(Q953="Cued Recall",2,IF(Q953="Recognition",3,IF(Q953="Multiple Choice",4,IF(Q953="Savings",5,IF(Q953="Stem Completion",6,IF(Q953="Fragment Completion",7,IF(Q953="anagram solution",8,IF(Q953="Matching",9,IF(Q953="Problem Solving",10,"99"))))))))))</f>
        <v>2</v>
      </c>
      <c r="S953" s="60" t="s">
        <v>49</v>
      </c>
      <c r="T953" s="59" t="s">
        <v>581</v>
      </c>
      <c r="U953" s="60">
        <f>IF(T953="within",1,0)</f>
        <v>1</v>
      </c>
      <c r="V953" s="59">
        <v>12</v>
      </c>
      <c r="W953" s="60">
        <f>F953*V953</f>
        <v>156</v>
      </c>
      <c r="X953" s="60">
        <v>12</v>
      </c>
      <c r="Y953" s="76">
        <f>AV952</f>
        <v>604800</v>
      </c>
      <c r="Z953" s="60" t="s">
        <v>874</v>
      </c>
      <c r="AA953" s="60">
        <v>7430400</v>
      </c>
      <c r="AB953" s="60" t="str">
        <f>IF(AA953&lt;60,"1",IF(AA953&lt;=43200,"2",IF(AA953&lt;=777600,"3","4")))</f>
        <v>4</v>
      </c>
      <c r="AC953" s="56">
        <f>AVERAGE(AV952:DA952)</f>
        <v>3931200</v>
      </c>
      <c r="AD953" s="60" t="str">
        <f>IF(AC953&lt;60,"1",IF(AC953&lt;=43200,"2",IF(AC953&lt;=777600,"3","4")))</f>
        <v>4</v>
      </c>
      <c r="AE953" s="76">
        <f>AA953-Y953</f>
        <v>6825600</v>
      </c>
      <c r="AF953" s="80">
        <f>AV953</f>
        <v>0.79589743589743622</v>
      </c>
      <c r="AG953" s="56">
        <f>((AW953-AV953)+(AX953-AW953)+(AY953-AX953)+(AZ953-AY953)+(BA953-AZ953)+(BB953-BA953)+(BC953-BB953)+(BD953-BC953)+(BE953-BD953)+(BF953-BE953)+(BG953-BF953))/11</f>
        <v>-4.5550793292728799E-2</v>
      </c>
      <c r="AH953" s="4"/>
      <c r="AI953" s="56">
        <f>RSQ(AV953:BG953,AV952:BG952)</f>
        <v>0.74459673064385745</v>
      </c>
      <c r="AJ953" s="109">
        <f>SLOPE(AV953:BG953,AV952:BG952)</f>
        <v>-6.2127050095080885E-8</v>
      </c>
      <c r="AK953" s="56">
        <f>INTERCEPT(AV953:BG953,AV952:BG952)</f>
        <v>0.83004032012730555</v>
      </c>
      <c r="AL953" s="56">
        <f>INDEX(LINEST(LN(AV953:BG953),LN(AV952:BG952),TRUE,TRUE),3,1)</f>
        <v>0.59072079695056479</v>
      </c>
      <c r="AM953" s="56">
        <f>INDEX(LINEST(LN(AV953:BG953),LN(AV952:BG952)),1)</f>
        <v>-0.30272886338985389</v>
      </c>
      <c r="AN953" s="56">
        <f>EXP(INDEX(LINEST(LN(AV953:BG953),LN(AV952:BG952)),1,2))</f>
        <v>52.557909102049756</v>
      </c>
      <c r="AO953" s="82">
        <f>INDEX(LINEST((AV953:BG953),LN(AV952:BG952),TRUE,TRUE),3,1)</f>
        <v>0.67112002922158176</v>
      </c>
      <c r="AP953" s="82">
        <f>INDEX(LINEST((AV953:BG953),LN(AV952:BG952)),1)</f>
        <v>-0.17016719222508206</v>
      </c>
      <c r="AQ953" s="83">
        <f>INDEX(LINEST(LN(AV953:BG953),SQRT(AV952:BG952),TRUE,TRUE),3,1)</f>
        <v>0.66520334416862337</v>
      </c>
      <c r="AR953" s="116">
        <f>INDEX(LINEST(LN(AV953:BG953),SQRT((AV952:BG952))),1)</f>
        <v>-3.9981810805720975E-4</v>
      </c>
      <c r="AS953" s="84">
        <f>INDEX(LINEST(1/(AV953:BG953),1/(SQRT(AV952:BG952)),TRUE,TRUE),3,1)</f>
        <v>0.38962273313308138</v>
      </c>
      <c r="AT953" s="84">
        <f>INDEX(LINEST(1/(AV953:BG953),1/SQRT(AV952:BG952)),1)</f>
        <v>-1429.5255737654466</v>
      </c>
      <c r="AU953" s="3"/>
      <c r="AV953" s="53">
        <v>0.79589743589743622</v>
      </c>
      <c r="AW953" s="53">
        <v>0.73250000000000015</v>
      </c>
      <c r="AX953" s="53">
        <v>0.74822222222222223</v>
      </c>
      <c r="AY953" s="53">
        <v>0.65999999999999992</v>
      </c>
      <c r="AZ953" s="53">
        <v>0.6579487179487179</v>
      </c>
      <c r="BA953" s="53">
        <v>0.72080000000000044</v>
      </c>
      <c r="BB953" s="53">
        <v>0.47854166666666659</v>
      </c>
      <c r="BC953" s="53">
        <v>0.42581395348837209</v>
      </c>
      <c r="BD953" s="53">
        <v>0.46765957446808509</v>
      </c>
      <c r="BE953" s="53">
        <v>0.4656603773584907</v>
      </c>
      <c r="BF953" s="53">
        <v>0.58179487179487188</v>
      </c>
      <c r="BG953" s="53">
        <v>0.29483870967741937</v>
      </c>
      <c r="BH953" s="53"/>
      <c r="BI953" s="53"/>
      <c r="BJ953" s="53"/>
      <c r="BK953" s="53"/>
      <c r="BL953" s="53"/>
      <c r="BM953" s="53"/>
      <c r="BN953" s="53"/>
      <c r="BO953" s="53"/>
      <c r="BP953" s="53"/>
      <c r="BQ953" s="53"/>
      <c r="BR953" s="53"/>
      <c r="BS953" s="53"/>
      <c r="BT953" s="53"/>
      <c r="BU953" s="53"/>
      <c r="BV953" s="53"/>
      <c r="BW953" s="53"/>
      <c r="BX953" s="53"/>
      <c r="BY953" s="53"/>
      <c r="BZ953" s="53"/>
      <c r="CA953" s="53"/>
      <c r="CB953" s="53"/>
      <c r="CC953" s="53"/>
      <c r="CD953" s="53"/>
      <c r="CE953" s="53"/>
      <c r="CF953" s="53"/>
      <c r="CG953" s="53"/>
      <c r="CH953" s="53"/>
      <c r="CI953" s="53"/>
      <c r="CJ953" s="53"/>
      <c r="CK953" s="53"/>
      <c r="CL953" s="53"/>
      <c r="CM953" s="53"/>
      <c r="CN953" s="53"/>
      <c r="CO953" s="53"/>
      <c r="CP953" s="53"/>
      <c r="CQ953" s="53"/>
      <c r="CR953" s="53"/>
      <c r="CS953" s="53"/>
      <c r="CT953" s="53"/>
      <c r="CU953" s="53"/>
      <c r="CV953" s="136"/>
      <c r="CW953" s="136"/>
      <c r="CX953" s="136"/>
      <c r="CY953" s="136"/>
      <c r="CZ953" s="136"/>
      <c r="DA953" s="136"/>
      <c r="DB953" s="136"/>
      <c r="DC953" s="136"/>
      <c r="DD953" s="136"/>
      <c r="DE953" s="136"/>
      <c r="DF953" s="136"/>
      <c r="DG953" s="136"/>
      <c r="DH953" s="136"/>
      <c r="DI953" s="136"/>
      <c r="DJ953" s="136"/>
      <c r="DK953" s="136"/>
      <c r="DL953" s="136"/>
      <c r="DM953" s="136"/>
      <c r="DN953" s="136"/>
      <c r="DO953" s="136"/>
      <c r="DP953" s="136"/>
      <c r="DQ953" s="136"/>
      <c r="DR953" s="136"/>
      <c r="DS953" s="136"/>
      <c r="DT953" s="136"/>
      <c r="DU953" s="136"/>
      <c r="DV953" s="136"/>
      <c r="DW953" s="136"/>
      <c r="DX953" s="136"/>
      <c r="DY953" s="136"/>
      <c r="DZ953" s="136"/>
      <c r="EA953" s="136"/>
      <c r="EB953" s="136"/>
      <c r="EC953" s="136"/>
    </row>
    <row r="954" spans="1:133" s="13" customFormat="1" ht="12" customHeight="1" x14ac:dyDescent="0.2">
      <c r="A954" s="65">
        <v>43903</v>
      </c>
      <c r="B954" s="1"/>
      <c r="C954" s="1"/>
      <c r="D954" s="60"/>
      <c r="E954" s="76"/>
      <c r="F954" s="60"/>
      <c r="G954" s="60"/>
      <c r="H954" s="60"/>
      <c r="I954" s="60"/>
      <c r="J954" s="60"/>
      <c r="K954" s="64"/>
      <c r="L954" s="64"/>
      <c r="M954" s="60"/>
      <c r="N954" s="61"/>
      <c r="O954" s="60"/>
      <c r="P954" s="60"/>
      <c r="Q954" s="60"/>
      <c r="R954" s="60"/>
      <c r="S954" s="60"/>
      <c r="T954" s="60"/>
      <c r="U954" s="60"/>
      <c r="V954" s="60"/>
      <c r="W954" s="60"/>
      <c r="X954" s="60"/>
      <c r="Y954" s="76"/>
      <c r="Z954" s="60"/>
      <c r="AA954" s="60"/>
      <c r="AB954" s="60"/>
      <c r="AC954" s="56"/>
      <c r="AD954" s="60"/>
      <c r="AE954" s="60"/>
      <c r="AF954" s="80"/>
      <c r="AG954" s="56"/>
      <c r="AH954" s="4"/>
      <c r="AI954" s="56"/>
      <c r="AJ954" s="109"/>
      <c r="AK954" s="56"/>
      <c r="AL954" s="56"/>
      <c r="AM954" s="56"/>
      <c r="AN954" s="56"/>
      <c r="AO954" s="82"/>
      <c r="AP954" s="82"/>
      <c r="AQ954" s="83"/>
      <c r="AR954" s="116"/>
      <c r="AS954" s="84"/>
      <c r="AT954" s="84"/>
      <c r="AU954" s="3"/>
      <c r="AV954" s="25">
        <f>(60*60*24)*7</f>
        <v>604800</v>
      </c>
      <c r="AW954" s="25">
        <f>((60*60*24)*7)*2</f>
        <v>1209600</v>
      </c>
      <c r="AX954" s="25">
        <f>((60*60*24)*7)*3</f>
        <v>1814400</v>
      </c>
      <c r="AY954" s="25">
        <f>((60*60*24)*7)*4</f>
        <v>2419200</v>
      </c>
      <c r="AZ954" s="25">
        <f>((60*60*24)*7)*5</f>
        <v>3024000</v>
      </c>
      <c r="BA954" s="25">
        <f>((60*60*24)*7)*6</f>
        <v>3628800</v>
      </c>
      <c r="BB954" s="25">
        <f>((60*60*24)*7)*7</f>
        <v>4233600</v>
      </c>
      <c r="BC954" s="25">
        <f>((60*60*24)*7)*8</f>
        <v>4838400</v>
      </c>
      <c r="BD954" s="25">
        <f>((60*60*24)*7)*9</f>
        <v>5443200</v>
      </c>
      <c r="BE954" s="25">
        <f>((60*60*24)*7)*10</f>
        <v>6048000</v>
      </c>
      <c r="BF954" s="25">
        <f>((60*60*24)*7)*11</f>
        <v>6652800</v>
      </c>
      <c r="BG954" s="25">
        <f>((60*60*24)*7)*12</f>
        <v>7257600</v>
      </c>
      <c r="BH954" s="25"/>
      <c r="BI954" s="25"/>
      <c r="BJ954" s="25"/>
      <c r="BK954" s="25"/>
      <c r="BL954" s="25"/>
      <c r="BM954" s="25"/>
      <c r="BN954" s="25"/>
      <c r="BO954" s="25"/>
      <c r="BP954" s="25"/>
      <c r="BQ954" s="25"/>
      <c r="BR954" s="25"/>
      <c r="BS954" s="25"/>
      <c r="BT954" s="25"/>
      <c r="BU954" s="25"/>
      <c r="BV954" s="25"/>
      <c r="BW954" s="25"/>
      <c r="BX954" s="25"/>
      <c r="BY954" s="25"/>
      <c r="BZ954" s="25"/>
      <c r="CA954" s="25"/>
      <c r="CB954" s="25"/>
      <c r="CC954" s="25"/>
      <c r="CD954" s="25"/>
      <c r="CE954" s="25"/>
      <c r="CF954" s="25"/>
      <c r="CG954" s="25"/>
      <c r="CH954" s="25"/>
      <c r="CI954" s="25"/>
      <c r="CJ954" s="25"/>
      <c r="CK954" s="25"/>
      <c r="CL954" s="25"/>
      <c r="CM954" s="25"/>
      <c r="CN954" s="25"/>
      <c r="CO954" s="25"/>
      <c r="CP954" s="25"/>
      <c r="CQ954" s="25"/>
      <c r="CR954" s="25"/>
      <c r="CS954" s="25"/>
      <c r="CT954" s="25"/>
      <c r="CU954" s="25"/>
      <c r="CV954" s="25"/>
      <c r="CW954" s="25"/>
      <c r="CX954" s="25"/>
      <c r="CY954" s="25"/>
      <c r="CZ954" s="25"/>
      <c r="DA954" s="25"/>
      <c r="DB954" s="25"/>
      <c r="DC954" s="25"/>
      <c r="DD954" s="25"/>
      <c r="DE954" s="25"/>
      <c r="DF954" s="25"/>
      <c r="DG954" s="25"/>
      <c r="DH954" s="25"/>
      <c r="DI954" s="25"/>
      <c r="DJ954" s="25"/>
      <c r="DK954" s="25"/>
      <c r="DL954" s="25"/>
      <c r="DM954" s="25"/>
      <c r="DN954" s="25"/>
      <c r="DO954" s="25"/>
      <c r="DP954" s="25"/>
      <c r="DQ954" s="25"/>
      <c r="DR954" s="25"/>
      <c r="DS954" s="25"/>
      <c r="DT954" s="25"/>
      <c r="DU954" s="25"/>
      <c r="DV954" s="25"/>
      <c r="DW954" s="25"/>
      <c r="DX954" s="25"/>
      <c r="DY954" s="25"/>
      <c r="DZ954" s="25"/>
      <c r="EA954" s="25"/>
      <c r="EB954" s="25"/>
      <c r="EC954" s="25"/>
    </row>
    <row r="955" spans="1:133" s="13" customFormat="1" ht="12" customHeight="1" x14ac:dyDescent="0.2">
      <c r="A955" s="65">
        <v>43903</v>
      </c>
      <c r="B955" s="1" t="s">
        <v>472</v>
      </c>
      <c r="C955" s="1" t="s">
        <v>262</v>
      </c>
      <c r="D955" s="60">
        <v>2020</v>
      </c>
      <c r="E955" s="76">
        <v>1</v>
      </c>
      <c r="F955" s="60">
        <v>13</v>
      </c>
      <c r="G955" s="60">
        <v>13</v>
      </c>
      <c r="H955" s="60" t="s">
        <v>747</v>
      </c>
      <c r="I955" s="60" t="s">
        <v>875</v>
      </c>
      <c r="J955" s="60" t="s">
        <v>622</v>
      </c>
      <c r="K955" s="60">
        <f>IF(J955="syllables",1,IF(J955="trigrams",2,IF(J955="strings",3,IF(J955="visual array",4,IF(J955="characters",5,IF(J955="letters",6,IF(J955="free forms",7,IF(J955="odors",8,IF(J955="words",9,IF(J955="pictures",10,IF(J955="object pictures",11,IF(J955="faces",12,IF(J955="names",13,IF(J955="idioms",14,IF(J955="grades",15,IF(J955="syllable-digit pairs",16,IF(J955="trigram-word pairs",17,IF(J955="word-digit pairs",18,IF(J955="English-Swahili pairs",19,IF(J955="spatial position",20,IF(J955="word pairs",21,IF(J955="word triads",22,IF(J955="generated words",23,IF(J955="word definition pairs",24,IF(J955="math problems",25,IF(J955="famous faces",26,IF(J955="famous names",27,IF(J955="famous voices",28,IF(J955="television programs",29,IF(J955="race horses",30,IF(J955="new vocabulary",31,IF(J955="sentences",32,IF(J955="concepts",33,IF(J955="ad slides",34,IF(J955="scenes",35,IF(J955="famous scenes",36,IF(J955="poems",37,IF(J955="walk",38,IF(J955="faces and events",39,IF(J955="events and names",40,IF(J955="flashbulb",41,IF(J955="stories",42,IF(J955="course material",43,IF(J955="autobiographical",44,IF(J955="novels",45,IF(J955="public events",46,"99"))))))))))))))))))))))))))))))))))))))))))))))</f>
        <v>44</v>
      </c>
      <c r="L955" s="60">
        <f>IF(J955="syllables",1,IF(J955="trigrams",1,IF(J955="strings",1,IF(J955="visual array",1,IF(J955="characters",1,IF(J955="letters",1,IF(J955="free forms",1,IF(J955="odors",2,IF(J955="words",2,IF(J955="pictures",2,IF(J955="object pictures",2,IF(J955="faces",2,IF(J955="names",2,IF(J955="idioms","2",IF(J955="grades",2,IF(J955="syllable-digit pairs",3,IF(J955="trigram-word pairs",3,IF(J955="word-digit pairs",3,IF(J955="English-Swahili pairs",3,IF(J955="spatial position",3,IF(J955="word pairs",4,IF(J955="word triads",4,IF(J955="generated words",4,IF(J955="word definition pairs",4,IF(J955="math problems",4,IF(J955="famous faces",4,IF(J955="famous names",4,IF(J955="famous voices",4,IF(J955="television programs",4,IF(J955="race horses",4,IF(J955="new vocabulary",4,IF(J955="sentences",5,IF(J955="concepts",5,IF(J955="ad slides",5,IF(J955="scenes",5,IF(J955="famous scenes",5,IF(J955="poems",6,IF(J955="walk",6,IF(J955="faces and events",6,IF(J955="events and names",6,IF(J955="flashbulb",7,IF(J955="stories",7,IF(J955="course material",7,IF(J955="autobiographical",7,IF(J955="novels",7,IF(J955="public events",7,"99"))))))))))))))))))))))))))))))))))))))))))))))</f>
        <v>7</v>
      </c>
      <c r="M955" s="60">
        <v>0</v>
      </c>
      <c r="N955" s="61">
        <v>3</v>
      </c>
      <c r="O955" s="60">
        <v>0</v>
      </c>
      <c r="P955" s="60"/>
      <c r="Q955" s="60" t="s">
        <v>65</v>
      </c>
      <c r="R955" s="60">
        <f>IF(Q955="Free Recall",1,IF(Q955="Cued Recall",2,IF(Q955="Recognition",3,IF(Q955="Multiple Choice",4,IF(Q955="Savings",5,IF(Q955="Stem Completion",6,IF(Q955="Fragment Completion",7,IF(Q955="anagram solution",8,IF(Q955="Matching",9,IF(Q955="Problem Solving",10,"99"))))))))))</f>
        <v>2</v>
      </c>
      <c r="S955" s="60" t="s">
        <v>49</v>
      </c>
      <c r="T955" s="59" t="s">
        <v>581</v>
      </c>
      <c r="U955" s="60">
        <f>IF(T955="within",1,0)</f>
        <v>1</v>
      </c>
      <c r="V955" s="59">
        <v>12</v>
      </c>
      <c r="W955" s="60">
        <f>F955*V955</f>
        <v>156</v>
      </c>
      <c r="X955" s="60">
        <v>12</v>
      </c>
      <c r="Y955" s="76">
        <f>AV954</f>
        <v>604800</v>
      </c>
      <c r="Z955" s="60" t="s">
        <v>874</v>
      </c>
      <c r="AA955" s="60">
        <v>7430400</v>
      </c>
      <c r="AB955" s="60" t="str">
        <f>IF(AA955&lt;60,"1",IF(AA955&lt;=43200,"2",IF(AA955&lt;=777600,"3","4")))</f>
        <v>4</v>
      </c>
      <c r="AC955" s="56">
        <f>AVERAGE(AV954:DA954)</f>
        <v>3931200</v>
      </c>
      <c r="AD955" s="60" t="str">
        <f>IF(AC955&lt;60,"1",IF(AC955&lt;=43200,"2",IF(AC955&lt;=777600,"3","4")))</f>
        <v>4</v>
      </c>
      <c r="AE955" s="76">
        <f>AA955-Y955</f>
        <v>6825600</v>
      </c>
      <c r="AF955" s="80">
        <f>AV955</f>
        <v>0.84729729729729752</v>
      </c>
      <c r="AG955" s="56">
        <f>((AW955-AV955)+(AX955-AW955)+(AY955-AX955)+(AZ955-AY955)+(BA955-AZ955)+(BB955-BA955)+(BC955-BB955)+(BD955-BC955)+(BE955-BD955)+(BF955-BE955)+(BG955-BF955))/11</f>
        <v>-1.968818405182042E-2</v>
      </c>
      <c r="AH955" s="4"/>
      <c r="AI955" s="56">
        <f>RSQ(AV955:BG955,AV954:BG954)</f>
        <v>0.53107437102443444</v>
      </c>
      <c r="AJ955" s="109">
        <f>SLOPE(AV955:BG955,AV954:BG954)</f>
        <v>-2.4675600158057639E-8</v>
      </c>
      <c r="AK955" s="56">
        <f>INTERCEPT(AV955:BG955,AV954:BG954)</f>
        <v>0.81228172827725298</v>
      </c>
      <c r="AL955" s="56">
        <f>INDEX(LINEST(LN(AV955:BG955),LN(AV954:BG954),TRUE,TRUE),3,1)</f>
        <v>0.539826708454757</v>
      </c>
      <c r="AM955" s="56">
        <f>INDEX(LINEST(LN(AV955:BG955),LN(AV954:BG954)),1)</f>
        <v>-0.1001762268856861</v>
      </c>
      <c r="AN955" s="56">
        <f>EXP(INDEX(LINEST(LN(AV955:BG955),LN(AV954:BG954)),1,2))</f>
        <v>3.1915566951719199</v>
      </c>
      <c r="AO955" s="82">
        <f>INDEX(LINEST((AV955:BG955),LN(AV954:BG954),TRUE,TRUE),3,1)</f>
        <v>0.55206099400442954</v>
      </c>
      <c r="AP955" s="82">
        <f>INDEX(LINEST((AV955:BG955),LN(AV954:BG954)),1)</f>
        <v>-7.2583707294737967E-2</v>
      </c>
      <c r="AQ955" s="83">
        <f>INDEX(LINEST(LN(AV955:BG955),SQRT(AV954:BG954),TRUE,TRUE),3,1)</f>
        <v>0.54826987129964166</v>
      </c>
      <c r="AR955" s="116">
        <f>INDEX(LINEST(LN(AV955:BG955),SQRT((AV954:BG954))),1)</f>
        <v>-1.2564847577442871E-4</v>
      </c>
      <c r="AS955" s="84">
        <f>INDEX(LINEST(1/(AV955:BG955),1/(SQRT(AV954:BG954)),TRUE,TRUE),3,1)</f>
        <v>0.48363260183448831</v>
      </c>
      <c r="AT955" s="84">
        <f>INDEX(LINEST(1/(AV955:BG955),1/SQRT(AV954:BG954)),1)</f>
        <v>-375.7632104670065</v>
      </c>
      <c r="AU955" s="3"/>
      <c r="AV955" s="53">
        <v>0.84729729729729752</v>
      </c>
      <c r="AW955" s="53">
        <v>0.73254901960784335</v>
      </c>
      <c r="AX955" s="53">
        <v>0.7925000000000002</v>
      </c>
      <c r="AY955" s="53">
        <v>0.76916666666666678</v>
      </c>
      <c r="AZ955" s="53">
        <v>0.68977777777777805</v>
      </c>
      <c r="BA955" s="53">
        <v>0.66739130434782634</v>
      </c>
      <c r="BB955" s="53">
        <v>0.69199999999999995</v>
      </c>
      <c r="BC955" s="53">
        <v>0.7834782608695654</v>
      </c>
      <c r="BD955" s="53">
        <v>0.6357142857142859</v>
      </c>
      <c r="BE955" s="53">
        <v>0.73422222222222255</v>
      </c>
      <c r="BF955" s="53">
        <v>0.60850000000000004</v>
      </c>
      <c r="BG955" s="53">
        <v>0.63072727272727291</v>
      </c>
      <c r="BH955" s="53"/>
      <c r="BI955" s="53"/>
      <c r="BJ955" s="53"/>
      <c r="BK955" s="53"/>
      <c r="BL955" s="53"/>
      <c r="BM955" s="53"/>
      <c r="BN955" s="53"/>
      <c r="BO955" s="53"/>
      <c r="BP955" s="53"/>
      <c r="BQ955" s="53"/>
      <c r="BR955" s="53"/>
      <c r="BS955" s="53"/>
      <c r="BT955" s="53"/>
      <c r="BU955" s="53"/>
      <c r="BV955" s="53"/>
      <c r="BW955" s="53"/>
      <c r="BX955" s="53"/>
      <c r="BY955" s="53"/>
      <c r="BZ955" s="53"/>
      <c r="CA955" s="53"/>
      <c r="CB955" s="53"/>
      <c r="CC955" s="53"/>
      <c r="CD955" s="53"/>
      <c r="CE955" s="53"/>
      <c r="CF955" s="53"/>
      <c r="CG955" s="53"/>
      <c r="CH955" s="53"/>
      <c r="CI955" s="53"/>
      <c r="CJ955" s="53"/>
      <c r="CK955" s="53"/>
      <c r="CL955" s="53"/>
      <c r="CM955" s="53"/>
      <c r="CN955" s="53"/>
      <c r="CO955" s="53"/>
      <c r="CP955" s="53"/>
      <c r="CQ955" s="53"/>
      <c r="CR955" s="53"/>
      <c r="CS955" s="53"/>
      <c r="CT955" s="53"/>
      <c r="CU955" s="53"/>
      <c r="CV955" s="136"/>
      <c r="CW955" s="136"/>
      <c r="CX955" s="136"/>
      <c r="CY955" s="136"/>
      <c r="CZ955" s="136"/>
      <c r="DA955" s="136"/>
      <c r="DB955" s="136"/>
      <c r="DC955" s="136"/>
      <c r="DD955" s="136"/>
      <c r="DE955" s="136"/>
      <c r="DF955" s="136"/>
      <c r="DG955" s="136"/>
      <c r="DH955" s="136"/>
      <c r="DI955" s="136"/>
      <c r="DJ955" s="136"/>
      <c r="DK955" s="136"/>
      <c r="DL955" s="136"/>
      <c r="DM955" s="136"/>
      <c r="DN955" s="136"/>
      <c r="DO955" s="136"/>
      <c r="DP955" s="136"/>
      <c r="DQ955" s="136"/>
      <c r="DR955" s="136"/>
      <c r="DS955" s="136"/>
      <c r="DT955" s="136"/>
      <c r="DU955" s="136"/>
      <c r="DV955" s="136"/>
      <c r="DW955" s="136"/>
      <c r="DX955" s="136"/>
      <c r="DY955" s="136"/>
      <c r="DZ955" s="136"/>
      <c r="EA955" s="136"/>
      <c r="EB955" s="136"/>
      <c r="EC955" s="136"/>
    </row>
    <row r="956" spans="1:133" s="13" customFormat="1" ht="12" customHeight="1" x14ac:dyDescent="0.2">
      <c r="A956" s="65">
        <v>43903</v>
      </c>
      <c r="B956" s="1"/>
      <c r="C956" s="1"/>
      <c r="D956" s="60"/>
      <c r="E956" s="76"/>
      <c r="F956" s="60"/>
      <c r="G956" s="60"/>
      <c r="H956" s="60"/>
      <c r="I956" s="60"/>
      <c r="J956" s="60"/>
      <c r="K956" s="64"/>
      <c r="L956" s="64"/>
      <c r="M956" s="60"/>
      <c r="N956" s="61"/>
      <c r="O956" s="60"/>
      <c r="P956" s="60"/>
      <c r="Q956" s="60"/>
      <c r="R956" s="60"/>
      <c r="S956" s="60"/>
      <c r="T956" s="60"/>
      <c r="U956" s="60"/>
      <c r="V956" s="60"/>
      <c r="W956" s="60"/>
      <c r="X956" s="60"/>
      <c r="Y956" s="76"/>
      <c r="Z956" s="60"/>
      <c r="AA956" s="60"/>
      <c r="AB956" s="60"/>
      <c r="AC956" s="56"/>
      <c r="AD956" s="60"/>
      <c r="AE956" s="60"/>
      <c r="AF956" s="80"/>
      <c r="AG956" s="56"/>
      <c r="AH956" s="4"/>
      <c r="AI956" s="56"/>
      <c r="AJ956" s="109"/>
      <c r="AK956" s="56"/>
      <c r="AL956" s="56"/>
      <c r="AM956" s="56"/>
      <c r="AN956" s="56"/>
      <c r="AO956" s="82"/>
      <c r="AP956" s="82"/>
      <c r="AQ956" s="83"/>
      <c r="AR956" s="116"/>
      <c r="AS956" s="84"/>
      <c r="AT956" s="84"/>
      <c r="AU956" s="3"/>
      <c r="AV956" s="25">
        <f>(60*60*24)*7</f>
        <v>604800</v>
      </c>
      <c r="AW956" s="25">
        <f>((60*60*24)*7)*2</f>
        <v>1209600</v>
      </c>
      <c r="AX956" s="25">
        <f>((60*60*24)*7)*3</f>
        <v>1814400</v>
      </c>
      <c r="AY956" s="25">
        <f>((60*60*24)*7)*4</f>
        <v>2419200</v>
      </c>
      <c r="AZ956" s="25">
        <f>((60*60*24)*7)*5</f>
        <v>3024000</v>
      </c>
      <c r="BA956" s="25">
        <f>((60*60*24)*7)*6</f>
        <v>3628800</v>
      </c>
      <c r="BB956" s="25">
        <f>((60*60*24)*7)*7</f>
        <v>4233600</v>
      </c>
      <c r="BC956" s="25">
        <f>((60*60*24)*7)*8</f>
        <v>4838400</v>
      </c>
      <c r="BD956" s="25">
        <f>((60*60*24)*7)*9</f>
        <v>5443200</v>
      </c>
      <c r="BE956" s="25">
        <f>((60*60*24)*7)*10</f>
        <v>6048000</v>
      </c>
      <c r="BF956" s="25">
        <f>((60*60*24)*7)*11</f>
        <v>6652800</v>
      </c>
      <c r="BG956" s="25">
        <f>((60*60*24)*7)*12</f>
        <v>7257600</v>
      </c>
      <c r="BH956" s="25"/>
      <c r="BI956" s="25"/>
      <c r="BJ956" s="25"/>
      <c r="BK956" s="25"/>
      <c r="BL956" s="25"/>
      <c r="BM956" s="25"/>
      <c r="BN956" s="25"/>
      <c r="BO956" s="25"/>
      <c r="BP956" s="25"/>
      <c r="BQ956" s="25"/>
      <c r="BR956" s="25"/>
      <c r="BS956" s="25"/>
      <c r="BT956" s="25"/>
      <c r="BU956" s="25"/>
      <c r="BV956" s="25"/>
      <c r="BW956" s="25"/>
      <c r="BX956" s="25"/>
      <c r="BY956" s="25"/>
      <c r="BZ956" s="25"/>
      <c r="CA956" s="25"/>
      <c r="CB956" s="25"/>
      <c r="CC956" s="25"/>
      <c r="CD956" s="25"/>
      <c r="CE956" s="25"/>
      <c r="CF956" s="25"/>
      <c r="CG956" s="25"/>
      <c r="CH956" s="25"/>
      <c r="CI956" s="25"/>
      <c r="CJ956" s="25"/>
      <c r="CK956" s="25"/>
      <c r="CL956" s="25"/>
      <c r="CM956" s="25"/>
      <c r="CN956" s="25"/>
      <c r="CO956" s="25"/>
      <c r="CP956" s="25"/>
      <c r="CQ956" s="25"/>
      <c r="CR956" s="25"/>
      <c r="CS956" s="25"/>
      <c r="CT956" s="25"/>
      <c r="CU956" s="25"/>
      <c r="CV956" s="25"/>
      <c r="CW956" s="25"/>
      <c r="CX956" s="25"/>
      <c r="CY956" s="25"/>
      <c r="CZ956" s="25"/>
      <c r="DA956" s="25"/>
      <c r="DB956" s="25"/>
      <c r="DC956" s="25"/>
      <c r="DD956" s="25"/>
      <c r="DE956" s="25"/>
      <c r="DF956" s="25"/>
      <c r="DG956" s="25"/>
      <c r="DH956" s="25"/>
      <c r="DI956" s="25"/>
      <c r="DJ956" s="25"/>
      <c r="DK956" s="25"/>
      <c r="DL956" s="25"/>
      <c r="DM956" s="25"/>
      <c r="DN956" s="25"/>
      <c r="DO956" s="25"/>
      <c r="DP956" s="25"/>
      <c r="DQ956" s="25"/>
      <c r="DR956" s="25"/>
      <c r="DS956" s="25"/>
      <c r="DT956" s="25"/>
      <c r="DU956" s="25"/>
      <c r="DV956" s="25"/>
      <c r="DW956" s="25"/>
      <c r="DX956" s="25"/>
      <c r="DY956" s="25"/>
      <c r="DZ956" s="25"/>
      <c r="EA956" s="25"/>
      <c r="EB956" s="25"/>
      <c r="EC956" s="25"/>
    </row>
    <row r="957" spans="1:133" s="13" customFormat="1" ht="12" customHeight="1" x14ac:dyDescent="0.2">
      <c r="A957" s="65">
        <v>43903</v>
      </c>
      <c r="B957" s="1" t="s">
        <v>472</v>
      </c>
      <c r="C957" s="1" t="s">
        <v>262</v>
      </c>
      <c r="D957" s="60">
        <v>2020</v>
      </c>
      <c r="E957" s="76">
        <v>1</v>
      </c>
      <c r="F957" s="60">
        <v>13</v>
      </c>
      <c r="G957" s="60">
        <v>13</v>
      </c>
      <c r="H957" s="60" t="s">
        <v>747</v>
      </c>
      <c r="I957" s="60" t="s">
        <v>864</v>
      </c>
      <c r="J957" s="60" t="s">
        <v>622</v>
      </c>
      <c r="K957" s="60">
        <f>IF(J957="syllables",1,IF(J957="trigrams",2,IF(J957="strings",3,IF(J957="visual array",4,IF(J957="characters",5,IF(J957="letters",6,IF(J957="free forms",7,IF(J957="odors",8,IF(J957="words",9,IF(J957="pictures",10,IF(J957="object pictures",11,IF(J957="faces",12,IF(J957="names",13,IF(J957="idioms",14,IF(J957="grades",15,IF(J957="syllable-digit pairs",16,IF(J957="trigram-word pairs",17,IF(J957="word-digit pairs",18,IF(J957="English-Swahili pairs",19,IF(J957="spatial position",20,IF(J957="word pairs",21,IF(J957="word triads",22,IF(J957="generated words",23,IF(J957="word definition pairs",24,IF(J957="math problems",25,IF(J957="famous faces",26,IF(J957="famous names",27,IF(J957="famous voices",28,IF(J957="television programs",29,IF(J957="race horses",30,IF(J957="new vocabulary",31,IF(J957="sentences",32,IF(J957="concepts",33,IF(J957="ad slides",34,IF(J957="scenes",35,IF(J957="famous scenes",36,IF(J957="poems",37,IF(J957="walk",38,IF(J957="faces and events",39,IF(J957="events and names",40,IF(J957="flashbulb",41,IF(J957="stories",42,IF(J957="course material",43,IF(J957="autobiographical",44,IF(J957="novels",45,IF(J957="public events",46,"99"))))))))))))))))))))))))))))))))))))))))))))))</f>
        <v>44</v>
      </c>
      <c r="L957" s="60">
        <f>IF(J957="syllables",1,IF(J957="trigrams",1,IF(J957="strings",1,IF(J957="visual array",1,IF(J957="characters",1,IF(J957="letters",1,IF(J957="free forms",1,IF(J957="odors",2,IF(J957="words",2,IF(J957="pictures",2,IF(J957="object pictures",2,IF(J957="faces",2,IF(J957="names",2,IF(J957="idioms","2",IF(J957="grades",2,IF(J957="syllable-digit pairs",3,IF(J957="trigram-word pairs",3,IF(J957="word-digit pairs",3,IF(J957="English-Swahili pairs",3,IF(J957="spatial position",3,IF(J957="word pairs",4,IF(J957="word triads",4,IF(J957="generated words",4,IF(J957="word definition pairs",4,IF(J957="math problems",4,IF(J957="famous faces",4,IF(J957="famous names",4,IF(J957="famous voices",4,IF(J957="television programs",4,IF(J957="race horses",4,IF(J957="new vocabulary",4,IF(J957="sentences",5,IF(J957="concepts",5,IF(J957="ad slides",5,IF(J957="scenes",5,IF(J957="famous scenes",5,IF(J957="poems",6,IF(J957="walk",6,IF(J957="faces and events",6,IF(J957="events and names",6,IF(J957="flashbulb",7,IF(J957="stories",7,IF(J957="course material",7,IF(J957="autobiographical",7,IF(J957="novels",7,IF(J957="public events",7,"99"))))))))))))))))))))))))))))))))))))))))))))))</f>
        <v>7</v>
      </c>
      <c r="M957" s="60">
        <v>0</v>
      </c>
      <c r="N957" s="61">
        <v>3</v>
      </c>
      <c r="O957" s="60">
        <v>0</v>
      </c>
      <c r="P957" s="60"/>
      <c r="Q957" s="60" t="s">
        <v>65</v>
      </c>
      <c r="R957" s="60">
        <f>IF(Q957="Free Recall",1,IF(Q957="Cued Recall",2,IF(Q957="Recognition",3,IF(Q957="Multiple Choice",4,IF(Q957="Savings",5,IF(Q957="Stem Completion",6,IF(Q957="Fragment Completion",7,IF(Q957="anagram solution",8,IF(Q957="Matching",9,IF(Q957="Problem Solving",10,"99"))))))))))</f>
        <v>2</v>
      </c>
      <c r="S957" s="60" t="s">
        <v>49</v>
      </c>
      <c r="T957" s="59" t="s">
        <v>581</v>
      </c>
      <c r="U957" s="60">
        <f>IF(T957="within",1,0)</f>
        <v>1</v>
      </c>
      <c r="V957" s="59">
        <v>12</v>
      </c>
      <c r="W957" s="60">
        <f>F957*V957</f>
        <v>156</v>
      </c>
      <c r="X957" s="60">
        <v>12</v>
      </c>
      <c r="Y957" s="76">
        <f>AV956</f>
        <v>604800</v>
      </c>
      <c r="Z957" s="60" t="s">
        <v>874</v>
      </c>
      <c r="AA957" s="60">
        <v>7430400</v>
      </c>
      <c r="AB957" s="60" t="str">
        <f>IF(AA957&lt;60,"1",IF(AA957&lt;=43200,"2",IF(AA957&lt;=777600,"3","4")))</f>
        <v>4</v>
      </c>
      <c r="AC957" s="56">
        <f>AVERAGE(AV956:DA956)</f>
        <v>3931200</v>
      </c>
      <c r="AD957" s="60" t="str">
        <f>IF(AC957&lt;60,"1",IF(AC957&lt;=43200,"2",IF(AC957&lt;=777600,"3","4")))</f>
        <v>4</v>
      </c>
      <c r="AE957" s="76">
        <f>AA957-Y957</f>
        <v>6825600</v>
      </c>
      <c r="AF957" s="80">
        <f>AV957</f>
        <v>0.87804878048780488</v>
      </c>
      <c r="AG957" s="56">
        <f>((AW957-AV957)+(AX957-AW957)+(AY957-AX957)+(AZ957-AY957)+(BA957-AZ957)+(BB957-BA957)+(BC957-BB957)+(BD957-BC957)+(BE957-BD957)+(BF957-BE957)+(BG957-BF957))/11</f>
        <v>-1.164079822616408E-2</v>
      </c>
      <c r="AH957" s="4"/>
      <c r="AI957" s="56">
        <f>RSQ(AV957:BG957,AV956:BG956)</f>
        <v>0.32575544589737637</v>
      </c>
      <c r="AJ957" s="109">
        <f>SLOPE(AV957:BG957,AV956:BG956)</f>
        <v>-1.7994860890415965E-8</v>
      </c>
      <c r="AK957" s="56">
        <f>INTERCEPT(AV957:BG957,AV956:BG956)</f>
        <v>0.82411900982785125</v>
      </c>
      <c r="AL957" s="56">
        <f>INDEX(LINEST(LN(AV957:BG957),LN(AV956:BG956),TRUE,TRUE),3,1)</f>
        <v>0.40972010431611383</v>
      </c>
      <c r="AM957" s="56">
        <f>INDEX(LINEST(LN(AV957:BG957),LN(AV956:BG956)),1)</f>
        <v>-7.6700916801430596E-2</v>
      </c>
      <c r="AN957" s="56">
        <f>EXP(INDEX(LINEST(LN(AV957:BG957),LN(AV956:BG956)),1,2))</f>
        <v>2.3676112983593551</v>
      </c>
      <c r="AO957" s="82">
        <f>INDEX(LINEST((AV957:BG957),LN(AV956:BG956),TRUE,TRUE),3,1)</f>
        <v>0.43168703770736178</v>
      </c>
      <c r="AP957" s="82">
        <f>INDEX(LINEST((AV957:BG957),LN(AV956:BG956)),1)</f>
        <v>-5.9764421183196019E-2</v>
      </c>
      <c r="AQ957" s="83">
        <f>INDEX(LINEST(LN(AV957:BG957),SQRT(AV956:BG956),TRUE,TRUE),3,1)</f>
        <v>0.3663854138662832</v>
      </c>
      <c r="AR957" s="116">
        <f>INDEX(LINEST(LN(AV957:BG957),SQRT((AV956:BG956))),1)</f>
        <v>-9.0271062370979397E-5</v>
      </c>
      <c r="AS957" s="84">
        <f>INDEX(LINEST(1/(AV957:BG957),1/(SQRT(AV956:BG956)),TRUE,TRUE),3,1)</f>
        <v>0.40009061764303305</v>
      </c>
      <c r="AT957" s="84">
        <f>INDEX(LINEST(1/(AV957:BG957),1/SQRT(AV956:BG956)),1)</f>
        <v>-283.71835478883065</v>
      </c>
      <c r="AU957" s="3"/>
      <c r="AV957" s="53">
        <v>0.87804878048780488</v>
      </c>
      <c r="AW957" s="53">
        <v>0.765625</v>
      </c>
      <c r="AX957" s="53">
        <v>0.86111111111111116</v>
      </c>
      <c r="AY957" s="53">
        <v>0.69444444444444442</v>
      </c>
      <c r="AZ957" s="53">
        <v>0.78333333333333333</v>
      </c>
      <c r="BA957" s="53">
        <v>0.7</v>
      </c>
      <c r="BB957" s="53">
        <v>0.77027027027027029</v>
      </c>
      <c r="BC957" s="53">
        <v>0.7</v>
      </c>
      <c r="BD957" s="53">
        <v>0.77380952380952384</v>
      </c>
      <c r="BE957" s="53">
        <v>0.63888888888888884</v>
      </c>
      <c r="BF957" s="53">
        <v>0.72499999999999998</v>
      </c>
      <c r="BG957" s="53">
        <v>0.75</v>
      </c>
      <c r="BH957" s="53"/>
      <c r="BI957" s="53"/>
      <c r="BJ957" s="53"/>
      <c r="BK957" s="53"/>
      <c r="BL957" s="53"/>
      <c r="BM957" s="53"/>
      <c r="BN957" s="53"/>
      <c r="BO957" s="53"/>
      <c r="BP957" s="53"/>
      <c r="BQ957" s="53"/>
      <c r="BR957" s="53"/>
      <c r="BS957" s="53"/>
      <c r="BT957" s="53"/>
      <c r="BU957" s="53"/>
      <c r="BV957" s="53"/>
      <c r="BW957" s="53"/>
      <c r="BX957" s="53"/>
      <c r="BY957" s="53"/>
      <c r="BZ957" s="53"/>
      <c r="CA957" s="53"/>
      <c r="CB957" s="53"/>
      <c r="CC957" s="53"/>
      <c r="CD957" s="53"/>
      <c r="CE957" s="53"/>
      <c r="CF957" s="53"/>
      <c r="CG957" s="53"/>
      <c r="CH957" s="53"/>
      <c r="CI957" s="53"/>
      <c r="CJ957" s="53"/>
      <c r="CK957" s="53"/>
      <c r="CL957" s="53"/>
      <c r="CM957" s="53"/>
      <c r="CN957" s="53"/>
      <c r="CO957" s="53"/>
      <c r="CP957" s="53"/>
      <c r="CQ957" s="53"/>
      <c r="CR957" s="53"/>
      <c r="CS957" s="53"/>
      <c r="CT957" s="53"/>
      <c r="CU957" s="53"/>
      <c r="CV957" s="136"/>
      <c r="CW957" s="136"/>
      <c r="CX957" s="136"/>
      <c r="CY957" s="136"/>
      <c r="CZ957" s="136"/>
      <c r="DA957" s="136"/>
      <c r="DB957" s="136"/>
      <c r="DC957" s="136"/>
      <c r="DD957" s="136"/>
      <c r="DE957" s="136"/>
      <c r="DF957" s="136"/>
      <c r="DG957" s="136"/>
      <c r="DH957" s="136"/>
      <c r="DI957" s="136"/>
      <c r="DJ957" s="136"/>
      <c r="DK957" s="136"/>
      <c r="DL957" s="136"/>
      <c r="DM957" s="136"/>
      <c r="DN957" s="136"/>
      <c r="DO957" s="136"/>
      <c r="DP957" s="136"/>
      <c r="DQ957" s="136"/>
      <c r="DR957" s="136"/>
      <c r="DS957" s="136"/>
      <c r="DT957" s="136"/>
      <c r="DU957" s="136"/>
      <c r="DV957" s="136"/>
      <c r="DW957" s="136"/>
      <c r="DX957" s="136"/>
      <c r="DY957" s="136"/>
      <c r="DZ957" s="136"/>
      <c r="EA957" s="136"/>
      <c r="EB957" s="136"/>
      <c r="EC957" s="136"/>
    </row>
    <row r="958" spans="1:133" s="13" customFormat="1" ht="12" customHeight="1" x14ac:dyDescent="0.2">
      <c r="A958" s="65">
        <v>43903</v>
      </c>
      <c r="B958" s="1"/>
      <c r="C958" s="1"/>
      <c r="D958" s="60"/>
      <c r="E958" s="76"/>
      <c r="F958" s="60"/>
      <c r="G958" s="60"/>
      <c r="H958" s="60"/>
      <c r="I958" s="60"/>
      <c r="J958" s="60"/>
      <c r="K958" s="64"/>
      <c r="L958" s="64"/>
      <c r="M958" s="60"/>
      <c r="N958" s="61"/>
      <c r="O958" s="60"/>
      <c r="P958" s="60"/>
      <c r="Q958" s="60"/>
      <c r="R958" s="60"/>
      <c r="S958" s="60"/>
      <c r="T958" s="60"/>
      <c r="U958" s="60"/>
      <c r="V958" s="60"/>
      <c r="W958" s="60"/>
      <c r="X958" s="60"/>
      <c r="Y958" s="76"/>
      <c r="Z958" s="60"/>
      <c r="AA958" s="60"/>
      <c r="AB958" s="60"/>
      <c r="AC958" s="56"/>
      <c r="AD958" s="60"/>
      <c r="AE958" s="60"/>
      <c r="AF958" s="80"/>
      <c r="AG958" s="56"/>
      <c r="AH958" s="4"/>
      <c r="AI958" s="56"/>
      <c r="AJ958" s="109"/>
      <c r="AK958" s="56"/>
      <c r="AL958" s="56"/>
      <c r="AM958" s="56"/>
      <c r="AN958" s="56"/>
      <c r="AO958" s="82"/>
      <c r="AP958" s="82"/>
      <c r="AQ958" s="83"/>
      <c r="AR958" s="116"/>
      <c r="AS958" s="84"/>
      <c r="AT958" s="84"/>
      <c r="AU958" s="3"/>
      <c r="AV958" s="25">
        <f>(60*60*24)*7</f>
        <v>604800</v>
      </c>
      <c r="AW958" s="25">
        <f>((60*60*24)*7)*2</f>
        <v>1209600</v>
      </c>
      <c r="AX958" s="25">
        <f>((60*60*24)*7)*3</f>
        <v>1814400</v>
      </c>
      <c r="AY958" s="25">
        <f>((60*60*24)*7)*4</f>
        <v>2419200</v>
      </c>
      <c r="AZ958" s="25">
        <f>((60*60*24)*7)*5</f>
        <v>3024000</v>
      </c>
      <c r="BA958" s="25">
        <f>((60*60*24)*7)*6</f>
        <v>3628800</v>
      </c>
      <c r="BB958" s="25">
        <f>((60*60*24)*7)*7</f>
        <v>4233600</v>
      </c>
      <c r="BC958" s="25">
        <f>((60*60*24)*7)*8</f>
        <v>4838400</v>
      </c>
      <c r="BD958" s="25">
        <f>((60*60*24)*7)*9</f>
        <v>5443200</v>
      </c>
      <c r="BE958" s="25">
        <f>((60*60*24)*7)*10</f>
        <v>6048000</v>
      </c>
      <c r="BF958" s="25">
        <f>((60*60*24)*7)*11</f>
        <v>6652800</v>
      </c>
      <c r="BG958" s="25">
        <f>((60*60*24)*7)*12</f>
        <v>7257600</v>
      </c>
      <c r="BH958" s="25"/>
      <c r="BI958" s="25"/>
      <c r="BJ958" s="25"/>
      <c r="BK958" s="25"/>
      <c r="BL958" s="25"/>
      <c r="BM958" s="25"/>
      <c r="BN958" s="25"/>
      <c r="BO958" s="25"/>
      <c r="BP958" s="25"/>
      <c r="BQ958" s="25"/>
      <c r="BR958" s="25"/>
      <c r="BS958" s="25"/>
      <c r="BT958" s="25"/>
      <c r="BU958" s="25"/>
      <c r="BV958" s="25"/>
      <c r="BW958" s="25"/>
      <c r="BX958" s="25"/>
      <c r="BY958" s="25"/>
      <c r="BZ958" s="25"/>
      <c r="CA958" s="25"/>
      <c r="CB958" s="25"/>
      <c r="CC958" s="25"/>
      <c r="CD958" s="25"/>
      <c r="CE958" s="25"/>
      <c r="CF958" s="25"/>
      <c r="CG958" s="25"/>
      <c r="CH958" s="25"/>
      <c r="CI958" s="25"/>
      <c r="CJ958" s="25"/>
      <c r="CK958" s="25"/>
      <c r="CL958" s="25"/>
      <c r="CM958" s="25"/>
      <c r="CN958" s="25"/>
      <c r="CO958" s="25"/>
      <c r="CP958" s="25"/>
      <c r="CQ958" s="25"/>
      <c r="CR958" s="25"/>
      <c r="CS958" s="25"/>
      <c r="CT958" s="25"/>
      <c r="CU958" s="25"/>
      <c r="CV958" s="25"/>
      <c r="CW958" s="25"/>
      <c r="CX958" s="25"/>
      <c r="CY958" s="25"/>
      <c r="CZ958" s="25"/>
      <c r="DA958" s="25"/>
      <c r="DB958" s="25"/>
      <c r="DC958" s="25"/>
      <c r="DD958" s="25"/>
      <c r="DE958" s="25"/>
      <c r="DF958" s="25"/>
      <c r="DG958" s="25"/>
      <c r="DH958" s="25"/>
      <c r="DI958" s="25"/>
      <c r="DJ958" s="25"/>
      <c r="DK958" s="25"/>
      <c r="DL958" s="25"/>
      <c r="DM958" s="25"/>
      <c r="DN958" s="25"/>
      <c r="DO958" s="25"/>
      <c r="DP958" s="25"/>
      <c r="DQ958" s="25"/>
      <c r="DR958" s="25"/>
      <c r="DS958" s="25"/>
      <c r="DT958" s="25"/>
      <c r="DU958" s="25"/>
      <c r="DV958" s="25"/>
      <c r="DW958" s="25"/>
      <c r="DX958" s="25"/>
      <c r="DY958" s="25"/>
      <c r="DZ958" s="25"/>
      <c r="EA958" s="25"/>
      <c r="EB958" s="25"/>
      <c r="EC958" s="25"/>
    </row>
    <row r="959" spans="1:133" s="13" customFormat="1" ht="12" customHeight="1" x14ac:dyDescent="0.2">
      <c r="A959" s="65">
        <v>43903</v>
      </c>
      <c r="B959" s="1" t="s">
        <v>472</v>
      </c>
      <c r="C959" s="1" t="s">
        <v>262</v>
      </c>
      <c r="D959" s="60">
        <v>2020</v>
      </c>
      <c r="E959" s="76">
        <v>1</v>
      </c>
      <c r="F959" s="60">
        <v>13</v>
      </c>
      <c r="G959" s="60">
        <v>13</v>
      </c>
      <c r="H959" s="60" t="s">
        <v>747</v>
      </c>
      <c r="I959" s="60" t="s">
        <v>866</v>
      </c>
      <c r="J959" s="60" t="s">
        <v>622</v>
      </c>
      <c r="K959" s="60">
        <f>IF(J959="syllables",1,IF(J959="trigrams",2,IF(J959="strings",3,IF(J959="visual array",4,IF(J959="characters",5,IF(J959="letters",6,IF(J959="free forms",7,IF(J959="odors",8,IF(J959="words",9,IF(J959="pictures",10,IF(J959="object pictures",11,IF(J959="faces",12,IF(J959="names",13,IF(J959="idioms",14,IF(J959="grades",15,IF(J959="syllable-digit pairs",16,IF(J959="trigram-word pairs",17,IF(J959="word-digit pairs",18,IF(J959="English-Swahili pairs",19,IF(J959="spatial position",20,IF(J959="word pairs",21,IF(J959="word triads",22,IF(J959="generated words",23,IF(J959="word definition pairs",24,IF(J959="math problems",25,IF(J959="famous faces",26,IF(J959="famous names",27,IF(J959="famous voices",28,IF(J959="television programs",29,IF(J959="race horses",30,IF(J959="new vocabulary",31,IF(J959="sentences",32,IF(J959="concepts",33,IF(J959="ad slides",34,IF(J959="scenes",35,IF(J959="famous scenes",36,IF(J959="poems",37,IF(J959="walk",38,IF(J959="faces and events",39,IF(J959="events and names",40,IF(J959="flashbulb",41,IF(J959="stories",42,IF(J959="course material",43,IF(J959="autobiographical",44,IF(J959="novels",45,IF(J959="public events",46,"99"))))))))))))))))))))))))))))))))))))))))))))))</f>
        <v>44</v>
      </c>
      <c r="L959" s="60">
        <f>IF(J959="syllables",1,IF(J959="trigrams",1,IF(J959="strings",1,IF(J959="visual array",1,IF(J959="characters",1,IF(J959="letters",1,IF(J959="free forms",1,IF(J959="odors",2,IF(J959="words",2,IF(J959="pictures",2,IF(J959="object pictures",2,IF(J959="faces",2,IF(J959="names",2,IF(J959="idioms","2",IF(J959="grades",2,IF(J959="syllable-digit pairs",3,IF(J959="trigram-word pairs",3,IF(J959="word-digit pairs",3,IF(J959="English-Swahili pairs",3,IF(J959="spatial position",3,IF(J959="word pairs",4,IF(J959="word triads",4,IF(J959="generated words",4,IF(J959="word definition pairs",4,IF(J959="math problems",4,IF(J959="famous faces",4,IF(J959="famous names",4,IF(J959="famous voices",4,IF(J959="television programs",4,IF(J959="race horses",4,IF(J959="new vocabulary",4,IF(J959="sentences",5,IF(J959="concepts",5,IF(J959="ad slides",5,IF(J959="scenes",5,IF(J959="famous scenes",5,IF(J959="poems",6,IF(J959="walk",6,IF(J959="faces and events",6,IF(J959="events and names",6,IF(J959="flashbulb",7,IF(J959="stories",7,IF(J959="course material",7,IF(J959="autobiographical",7,IF(J959="novels",7,IF(J959="public events",7,"99"))))))))))))))))))))))))))))))))))))))))))))))</f>
        <v>7</v>
      </c>
      <c r="M959" s="60">
        <v>0</v>
      </c>
      <c r="N959" s="61">
        <v>3</v>
      </c>
      <c r="O959" s="60">
        <v>0</v>
      </c>
      <c r="P959" s="60"/>
      <c r="Q959" s="60" t="s">
        <v>65</v>
      </c>
      <c r="R959" s="60">
        <f>IF(Q959="Free Recall",1,IF(Q959="Cued Recall",2,IF(Q959="Recognition",3,IF(Q959="Multiple Choice",4,IF(Q959="Savings",5,IF(Q959="Stem Completion",6,IF(Q959="Fragment Completion",7,IF(Q959="anagram solution",8,IF(Q959="Matching",9,IF(Q959="Problem Solving",10,"99"))))))))))</f>
        <v>2</v>
      </c>
      <c r="S959" s="60" t="s">
        <v>49</v>
      </c>
      <c r="T959" s="59" t="s">
        <v>581</v>
      </c>
      <c r="U959" s="60">
        <f>IF(T959="within",1,0)</f>
        <v>1</v>
      </c>
      <c r="V959" s="59">
        <v>12</v>
      </c>
      <c r="W959" s="60">
        <f>F959*V959</f>
        <v>156</v>
      </c>
      <c r="X959" s="60">
        <v>12</v>
      </c>
      <c r="Y959" s="76">
        <f>AV958</f>
        <v>604800</v>
      </c>
      <c r="Z959" s="60" t="s">
        <v>874</v>
      </c>
      <c r="AA959" s="60">
        <v>7430400</v>
      </c>
      <c r="AB959" s="60" t="str">
        <f>IF(AA959&lt;60,"1",IF(AA959&lt;=43200,"2",IF(AA959&lt;=777600,"3","4")))</f>
        <v>4</v>
      </c>
      <c r="AC959" s="56">
        <f>AVERAGE(AV958:DA958)</f>
        <v>3931200</v>
      </c>
      <c r="AD959" s="60" t="str">
        <f>IF(AC959&lt;60,"1",IF(AC959&lt;=43200,"2",IF(AC959&lt;=777600,"3","4")))</f>
        <v>4</v>
      </c>
      <c r="AE959" s="76">
        <f>AA959-Y959</f>
        <v>6825600</v>
      </c>
      <c r="AF959" s="80">
        <f>AV959</f>
        <v>0.9464285714285714</v>
      </c>
      <c r="AG959" s="56">
        <f>((AW959-AV959)+(AX959-AW959)+(AY959-AX959)+(AZ959-AY959)+(BA959-AZ959)+(BB959-BA959)+(BC959-BB959)+(BD959-BC959)+(BE959-BD959)+(BF959-BE959)+(BG959-BF959))/11</f>
        <v>-1.0281385281385275E-2</v>
      </c>
      <c r="AH959" s="4"/>
      <c r="AI959" s="56">
        <f>RSQ(AV959:BG959,AV958:BG958)</f>
        <v>0.47260768581770618</v>
      </c>
      <c r="AJ959" s="109">
        <f>SLOPE(AV959:BG959,AV958:BG958)</f>
        <v>-2.6115331856772214E-8</v>
      </c>
      <c r="AK959" s="56">
        <f>INTERCEPT(AV959:BG959,AV958:BG958)</f>
        <v>0.96461650025990842</v>
      </c>
      <c r="AL959" s="56">
        <f>INDEX(LINEST(LN(AV959:BG959),LN(AV958:BG958),TRUE,TRUE),3,1)</f>
        <v>0.44785879183780131</v>
      </c>
      <c r="AM959" s="56">
        <f>INDEX(LINEST(LN(AV959:BG959),LN(AV958:BG958)),1)</f>
        <v>-8.6888183909583347E-2</v>
      </c>
      <c r="AN959" s="56">
        <f>EXP(INDEX(LINEST(LN(AV959:BG959),LN(AV958:BG958)),1,2))</f>
        <v>3.1535493812412625</v>
      </c>
      <c r="AO959" s="82">
        <f>INDEX(LINEST((AV959:BG959),LN(AV958:BG958),TRUE,TRUE),3,1)</f>
        <v>0.46802751545211618</v>
      </c>
      <c r="AP959" s="82">
        <f>INDEX(LINEST((AV959:BG959),LN(AV958:BG958)),1)</f>
        <v>-7.4978442423752345E-2</v>
      </c>
      <c r="AQ959" s="83">
        <f>INDEX(LINEST(LN(AV959:BG959),SQRT(AV958:BG958),TRUE,TRUE),3,1)</f>
        <v>0.46903877782830516</v>
      </c>
      <c r="AR959" s="116">
        <f>INDEX(LINEST(LN(AV959:BG959),SQRT((AV958:BG958))),1)</f>
        <v>-1.1066673331907369E-4</v>
      </c>
      <c r="AS959" s="84">
        <f>INDEX(LINEST(1/(AV959:BG959),1/(SQRT(AV958:BG958)),TRUE,TRUE),3,1)</f>
        <v>0.36778188793494543</v>
      </c>
      <c r="AT959" s="84">
        <f>INDEX(LINEST(1/(AV959:BG959),1/SQRT(AV958:BG958)),1)</f>
        <v>-265.32976780017924</v>
      </c>
      <c r="AU959" s="3"/>
      <c r="AV959" s="53">
        <v>0.9464285714285714</v>
      </c>
      <c r="AW959" s="53">
        <v>0.9375</v>
      </c>
      <c r="AX959" s="53">
        <v>1</v>
      </c>
      <c r="AY959" s="53">
        <v>0.86956521739130432</v>
      </c>
      <c r="AZ959" s="53">
        <v>0.8928571428571429</v>
      </c>
      <c r="BA959" s="53">
        <v>0.81666666666666665</v>
      </c>
      <c r="BB959" s="53">
        <v>0.74</v>
      </c>
      <c r="BC959" s="53">
        <v>0.90322580645161288</v>
      </c>
      <c r="BD959" s="53">
        <v>0.84615384615384615</v>
      </c>
      <c r="BE959" s="53">
        <v>0.84615384615384615</v>
      </c>
      <c r="BF959" s="53">
        <v>0.71153846153846156</v>
      </c>
      <c r="BG959" s="53">
        <v>0.83333333333333337</v>
      </c>
      <c r="BH959" s="53"/>
      <c r="BI959" s="53"/>
      <c r="BJ959" s="53"/>
      <c r="BK959" s="53"/>
      <c r="BL959" s="53"/>
      <c r="BM959" s="53"/>
      <c r="BN959" s="53"/>
      <c r="BO959" s="53"/>
      <c r="BP959" s="53"/>
      <c r="BQ959" s="53"/>
      <c r="BR959" s="53"/>
      <c r="BS959" s="53"/>
      <c r="BT959" s="53"/>
      <c r="BU959" s="53"/>
      <c r="BV959" s="53"/>
      <c r="BW959" s="53"/>
      <c r="BX959" s="53"/>
      <c r="BY959" s="53"/>
      <c r="BZ959" s="53"/>
      <c r="CA959" s="53"/>
      <c r="CB959" s="53"/>
      <c r="CC959" s="53"/>
      <c r="CD959" s="53"/>
      <c r="CE959" s="53"/>
      <c r="CF959" s="53"/>
      <c r="CG959" s="53"/>
      <c r="CH959" s="53"/>
      <c r="CI959" s="53"/>
      <c r="CJ959" s="53"/>
      <c r="CK959" s="53"/>
      <c r="CL959" s="53"/>
      <c r="CM959" s="53"/>
      <c r="CN959" s="53"/>
      <c r="CO959" s="53"/>
      <c r="CP959" s="53"/>
      <c r="CQ959" s="53"/>
      <c r="CR959" s="53"/>
      <c r="CS959" s="53"/>
      <c r="CT959" s="53"/>
      <c r="CU959" s="53"/>
      <c r="CV959" s="136"/>
      <c r="CW959" s="136"/>
      <c r="CX959" s="136"/>
      <c r="CY959" s="136"/>
      <c r="CZ959" s="136"/>
      <c r="DA959" s="136"/>
      <c r="DB959" s="136"/>
      <c r="DC959" s="136"/>
      <c r="DD959" s="136"/>
      <c r="DE959" s="136"/>
      <c r="DF959" s="136"/>
      <c r="DG959" s="136"/>
      <c r="DH959" s="136"/>
      <c r="DI959" s="136"/>
      <c r="DJ959" s="136"/>
      <c r="DK959" s="136"/>
      <c r="DL959" s="136"/>
      <c r="DM959" s="136"/>
      <c r="DN959" s="136"/>
      <c r="DO959" s="136"/>
      <c r="DP959" s="136"/>
      <c r="DQ959" s="136"/>
      <c r="DR959" s="136"/>
      <c r="DS959" s="136"/>
      <c r="DT959" s="136"/>
      <c r="DU959" s="136"/>
      <c r="DV959" s="136"/>
      <c r="DW959" s="136"/>
      <c r="DX959" s="136"/>
      <c r="DY959" s="136"/>
      <c r="DZ959" s="136"/>
      <c r="EA959" s="136"/>
      <c r="EB959" s="136"/>
      <c r="EC959" s="136"/>
    </row>
    <row r="960" spans="1:133" s="13" customFormat="1" ht="12" customHeight="1" x14ac:dyDescent="0.2">
      <c r="A960" s="65">
        <v>43903</v>
      </c>
      <c r="B960" s="1"/>
      <c r="C960" s="1"/>
      <c r="D960" s="60"/>
      <c r="E960" s="76"/>
      <c r="F960" s="60"/>
      <c r="G960" s="60"/>
      <c r="H960" s="60"/>
      <c r="I960" s="60"/>
      <c r="J960" s="60"/>
      <c r="K960" s="64"/>
      <c r="L960" s="64"/>
      <c r="M960" s="60"/>
      <c r="N960" s="61"/>
      <c r="O960" s="60"/>
      <c r="P960" s="60"/>
      <c r="Q960" s="60"/>
      <c r="R960" s="60"/>
      <c r="S960" s="60"/>
      <c r="T960" s="60"/>
      <c r="U960" s="60"/>
      <c r="V960" s="60"/>
      <c r="W960" s="60"/>
      <c r="X960" s="60"/>
      <c r="Y960" s="76"/>
      <c r="Z960" s="60"/>
      <c r="AA960" s="60"/>
      <c r="AB960" s="60"/>
      <c r="AC960" s="56"/>
      <c r="AD960" s="60"/>
      <c r="AE960" s="60"/>
      <c r="AF960" s="80"/>
      <c r="AG960" s="56"/>
      <c r="AH960" s="4"/>
      <c r="AI960" s="56"/>
      <c r="AJ960" s="109"/>
      <c r="AK960" s="56"/>
      <c r="AL960" s="56"/>
      <c r="AM960" s="56"/>
      <c r="AN960" s="56"/>
      <c r="AO960" s="82"/>
      <c r="AP960" s="82"/>
      <c r="AQ960" s="83"/>
      <c r="AR960" s="116"/>
      <c r="AS960" s="84"/>
      <c r="AT960" s="84"/>
      <c r="AU960" s="3"/>
      <c r="AV960" s="25">
        <f>(60*60*24)*7</f>
        <v>604800</v>
      </c>
      <c r="AW960" s="25">
        <f>((60*60*24)*7)*2</f>
        <v>1209600</v>
      </c>
      <c r="AX960" s="25">
        <f>((60*60*24)*7)*3</f>
        <v>1814400</v>
      </c>
      <c r="AY960" s="25">
        <f>((60*60*24)*7)*4</f>
        <v>2419200</v>
      </c>
      <c r="AZ960" s="25">
        <f>((60*60*24)*7)*5</f>
        <v>3024000</v>
      </c>
      <c r="BA960" s="25">
        <f>((60*60*24)*7)*6</f>
        <v>3628800</v>
      </c>
      <c r="BB960" s="25">
        <f>((60*60*24)*7)*7</f>
        <v>4233600</v>
      </c>
      <c r="BC960" s="25">
        <f>((60*60*24)*7)*8</f>
        <v>4838400</v>
      </c>
      <c r="BD960" s="25">
        <f>((60*60*24)*7)*9</f>
        <v>5443200</v>
      </c>
      <c r="BE960" s="25">
        <f>((60*60*24)*7)*10</f>
        <v>6048000</v>
      </c>
      <c r="BF960" s="25">
        <f>((60*60*24)*7)*11</f>
        <v>6652800</v>
      </c>
      <c r="BG960" s="25">
        <f>((60*60*24)*7)*12</f>
        <v>7257600</v>
      </c>
      <c r="BH960" s="25"/>
      <c r="BI960" s="25"/>
      <c r="BJ960" s="25"/>
      <c r="BK960" s="25"/>
      <c r="BL960" s="25"/>
      <c r="BM960" s="25"/>
      <c r="BN960" s="25"/>
      <c r="BO960" s="25"/>
      <c r="BP960" s="25"/>
      <c r="BQ960" s="25"/>
      <c r="BR960" s="25"/>
      <c r="BS960" s="25"/>
      <c r="BT960" s="25"/>
      <c r="BU960" s="25"/>
      <c r="BV960" s="25"/>
      <c r="BW960" s="25"/>
      <c r="BX960" s="25"/>
      <c r="BY960" s="25"/>
      <c r="BZ960" s="25"/>
      <c r="CA960" s="25"/>
      <c r="CB960" s="25"/>
      <c r="CC960" s="25"/>
      <c r="CD960" s="25"/>
      <c r="CE960" s="25"/>
      <c r="CF960" s="25"/>
      <c r="CG960" s="25"/>
      <c r="CH960" s="25"/>
      <c r="CI960" s="25"/>
      <c r="CJ960" s="25"/>
      <c r="CK960" s="25"/>
      <c r="CL960" s="25"/>
      <c r="CM960" s="25"/>
      <c r="CN960" s="25"/>
      <c r="CO960" s="25"/>
      <c r="CP960" s="25"/>
      <c r="CQ960" s="25"/>
      <c r="CR960" s="25"/>
      <c r="CS960" s="25"/>
      <c r="CT960" s="25"/>
      <c r="CU960" s="25"/>
      <c r="CV960" s="25"/>
      <c r="CW960" s="25"/>
      <c r="CX960" s="25"/>
      <c r="CY960" s="25"/>
      <c r="CZ960" s="25"/>
      <c r="DA960" s="25"/>
      <c r="DB960" s="25"/>
      <c r="DC960" s="25"/>
      <c r="DD960" s="25"/>
      <c r="DE960" s="25"/>
      <c r="DF960" s="25"/>
      <c r="DG960" s="25"/>
      <c r="DH960" s="25"/>
      <c r="DI960" s="25"/>
      <c r="DJ960" s="25"/>
      <c r="DK960" s="25"/>
      <c r="DL960" s="25"/>
      <c r="DM960" s="25"/>
      <c r="DN960" s="25"/>
      <c r="DO960" s="25"/>
      <c r="DP960" s="25"/>
      <c r="DQ960" s="25"/>
      <c r="DR960" s="25"/>
      <c r="DS960" s="25"/>
      <c r="DT960" s="25"/>
      <c r="DU960" s="25"/>
      <c r="DV960" s="25"/>
      <c r="DW960" s="25"/>
      <c r="DX960" s="25"/>
      <c r="DY960" s="25"/>
      <c r="DZ960" s="25"/>
      <c r="EA960" s="25"/>
      <c r="EB960" s="25"/>
      <c r="EC960" s="25"/>
    </row>
    <row r="961" spans="1:133" s="13" customFormat="1" ht="12" customHeight="1" x14ac:dyDescent="0.2">
      <c r="A961" s="65">
        <v>43903</v>
      </c>
      <c r="B961" s="1" t="s">
        <v>472</v>
      </c>
      <c r="C961" s="1" t="s">
        <v>262</v>
      </c>
      <c r="D961" s="60">
        <v>2020</v>
      </c>
      <c r="E961" s="76">
        <v>1</v>
      </c>
      <c r="F961" s="60">
        <v>13</v>
      </c>
      <c r="G961" s="60">
        <v>13</v>
      </c>
      <c r="H961" s="60" t="s">
        <v>747</v>
      </c>
      <c r="I961" s="60" t="s">
        <v>865</v>
      </c>
      <c r="J961" s="60" t="s">
        <v>622</v>
      </c>
      <c r="K961" s="60">
        <f>IF(J961="syllables",1,IF(J961="trigrams",2,IF(J961="strings",3,IF(J961="visual array",4,IF(J961="characters",5,IF(J961="letters",6,IF(J961="free forms",7,IF(J961="odors",8,IF(J961="words",9,IF(J961="pictures",10,IF(J961="object pictures",11,IF(J961="faces",12,IF(J961="names",13,IF(J961="idioms",14,IF(J961="grades",15,IF(J961="syllable-digit pairs",16,IF(J961="trigram-word pairs",17,IF(J961="word-digit pairs",18,IF(J961="English-Swahili pairs",19,IF(J961="spatial position",20,IF(J961="word pairs",21,IF(J961="word triads",22,IF(J961="generated words",23,IF(J961="word definition pairs",24,IF(J961="math problems",25,IF(J961="famous faces",26,IF(J961="famous names",27,IF(J961="famous voices",28,IF(J961="television programs",29,IF(J961="race horses",30,IF(J961="new vocabulary",31,IF(J961="sentences",32,IF(J961="concepts",33,IF(J961="ad slides",34,IF(J961="scenes",35,IF(J961="famous scenes",36,IF(J961="poems",37,IF(J961="walk",38,IF(J961="faces and events",39,IF(J961="events and names",40,IF(J961="flashbulb",41,IF(J961="stories",42,IF(J961="course material",43,IF(J961="autobiographical",44,IF(J961="novels",45,IF(J961="public events",46,"99"))))))))))))))))))))))))))))))))))))))))))))))</f>
        <v>44</v>
      </c>
      <c r="L961" s="60">
        <f>IF(J961="syllables",1,IF(J961="trigrams",1,IF(J961="strings",1,IF(J961="visual array",1,IF(J961="characters",1,IF(J961="letters",1,IF(J961="free forms",1,IF(J961="odors",2,IF(J961="words",2,IF(J961="pictures",2,IF(J961="object pictures",2,IF(J961="faces",2,IF(J961="names",2,IF(J961="idioms","2",IF(J961="grades",2,IF(J961="syllable-digit pairs",3,IF(J961="trigram-word pairs",3,IF(J961="word-digit pairs",3,IF(J961="English-Swahili pairs",3,IF(J961="spatial position",3,IF(J961="word pairs",4,IF(J961="word triads",4,IF(J961="generated words",4,IF(J961="word definition pairs",4,IF(J961="math problems",4,IF(J961="famous faces",4,IF(J961="famous names",4,IF(J961="famous voices",4,IF(J961="television programs",4,IF(J961="race horses",4,IF(J961="new vocabulary",4,IF(J961="sentences",5,IF(J961="concepts",5,IF(J961="ad slides",5,IF(J961="scenes",5,IF(J961="famous scenes",5,IF(J961="poems",6,IF(J961="walk",6,IF(J961="faces and events",6,IF(J961="events and names",6,IF(J961="flashbulb",7,IF(J961="stories",7,IF(J961="course material",7,IF(J961="autobiographical",7,IF(J961="novels",7,IF(J961="public events",7,"99"))))))))))))))))))))))))))))))))))))))))))))))</f>
        <v>7</v>
      </c>
      <c r="M961" s="60">
        <v>0</v>
      </c>
      <c r="N961" s="61">
        <v>3</v>
      </c>
      <c r="O961" s="60">
        <v>0</v>
      </c>
      <c r="P961" s="60"/>
      <c r="Q961" s="60" t="s">
        <v>65</v>
      </c>
      <c r="R961" s="60">
        <f>IF(Q961="Free Recall",1,IF(Q961="Cued Recall",2,IF(Q961="Recognition",3,IF(Q961="Multiple Choice",4,IF(Q961="Savings",5,IF(Q961="Stem Completion",6,IF(Q961="Fragment Completion",7,IF(Q961="anagram solution",8,IF(Q961="Matching",9,IF(Q961="Problem Solving",10,"99"))))))))))</f>
        <v>2</v>
      </c>
      <c r="S961" s="60" t="s">
        <v>49</v>
      </c>
      <c r="T961" s="59" t="s">
        <v>581</v>
      </c>
      <c r="U961" s="60">
        <f>IF(T961="within",1,0)</f>
        <v>1</v>
      </c>
      <c r="V961" s="59">
        <v>12</v>
      </c>
      <c r="W961" s="60">
        <f>F961*V961</f>
        <v>156</v>
      </c>
      <c r="X961" s="60">
        <v>12</v>
      </c>
      <c r="Y961" s="76">
        <f>AV960</f>
        <v>604800</v>
      </c>
      <c r="Z961" s="60" t="s">
        <v>874</v>
      </c>
      <c r="AA961" s="60">
        <v>7430400</v>
      </c>
      <c r="AB961" s="60" t="str">
        <f>IF(AA961&lt;60,"1",IF(AA961&lt;=43200,"2",IF(AA961&lt;=777600,"3","4")))</f>
        <v>4</v>
      </c>
      <c r="AC961" s="56">
        <f>AVERAGE(AV960:DA960)</f>
        <v>3931200</v>
      </c>
      <c r="AD961" s="60" t="str">
        <f>IF(AC961&lt;60,"1",IF(AC961&lt;=43200,"2",IF(AC961&lt;=777600,"3","4")))</f>
        <v>4</v>
      </c>
      <c r="AE961" s="76">
        <f>AA961-Y961</f>
        <v>6825600</v>
      </c>
      <c r="AF961" s="80">
        <f>AV961</f>
        <v>0.94625000000000004</v>
      </c>
      <c r="AG961" s="56">
        <f>((AW961-AV961)+(AX961-AW961)+(AY961-AX961)+(AZ961-AY961)+(BA961-AZ961)+(BB961-BA961)+(BC961-BB961)+(BD961-BC961)+(BE961-BD961)+(BF961-BE961)+(BG961-BF961))/11</f>
        <v>-1.3017676767676773E-2</v>
      </c>
      <c r="AH961" s="4"/>
      <c r="AI961" s="56">
        <f>RSQ(AV961:BG961,AV960:BG960)</f>
        <v>0.45144452072088165</v>
      </c>
      <c r="AJ961" s="109">
        <f>SLOPE(AV961:BG961,AV960:BG960)</f>
        <v>-1.7300716318825871E-8</v>
      </c>
      <c r="AK961" s="56">
        <f>INTERCEPT(AV961:BG961,AV960:BG960)</f>
        <v>0.89715647049729785</v>
      </c>
      <c r="AL961" s="56">
        <f>INDEX(LINEST(LN(AV961:BG961),LN(AV960:BG960),TRUE,TRUE),3,1)</f>
        <v>0.50008719021308989</v>
      </c>
      <c r="AM961" s="56">
        <f>INDEX(LINEST(LN(AV961:BG961),LN(AV960:BG960)),1)</f>
        <v>-6.2898280047467836E-2</v>
      </c>
      <c r="AN961" s="56">
        <f>EXP(INDEX(LINEST(LN(AV961:BG961),LN(AV960:BG960)),1,2))</f>
        <v>2.1226488332808713</v>
      </c>
      <c r="AO961" s="82">
        <f>INDEX(LINEST((AV961:BG961),LN(AV960:BG960),TRUE,TRUE),3,1)</f>
        <v>0.51353207650411337</v>
      </c>
      <c r="AP961" s="82">
        <f>INDEX(LINEST((AV961:BG961),LN(AV960:BG960)),1)</f>
        <v>-5.3235488328658216E-2</v>
      </c>
      <c r="AQ961" s="83">
        <f>INDEX(LINEST(LN(AV961:BG961),SQRT(AV960:BG960),TRUE,TRUE),3,1)</f>
        <v>0.47955790024813399</v>
      </c>
      <c r="AR961" s="116">
        <f>INDEX(LINEST(LN(AV961:BG961),SQRT((AV960:BG960))),1)</f>
        <v>-7.6658263586261227E-5</v>
      </c>
      <c r="AS961" s="84">
        <f>INDEX(LINEST(1/(AV961:BG961),1/(SQRT(AV960:BG960)),TRUE,TRUE),3,1)</f>
        <v>0.48099595729657507</v>
      </c>
      <c r="AT961" s="84">
        <f>INDEX(LINEST(1/(AV961:BG961),1/SQRT(AV960:BG960)),1)</f>
        <v>-209.24387709394171</v>
      </c>
      <c r="AU961" s="3"/>
      <c r="AV961" s="53">
        <v>0.94625000000000004</v>
      </c>
      <c r="AW961" s="53">
        <v>0.83240000000000003</v>
      </c>
      <c r="AX961" s="53">
        <v>0.86848484848484842</v>
      </c>
      <c r="AY961" s="53">
        <v>0.82189999999999985</v>
      </c>
      <c r="AZ961" s="53">
        <v>0.81612903225806455</v>
      </c>
      <c r="BA961" s="53">
        <v>0.89284375000000005</v>
      </c>
      <c r="BB961" s="53">
        <v>0.76848148148148154</v>
      </c>
      <c r="BC961" s="53">
        <v>0.8418000000000001</v>
      </c>
      <c r="BD961" s="53">
        <v>0.83078947368421052</v>
      </c>
      <c r="BE961" s="53">
        <v>0.79592592592592604</v>
      </c>
      <c r="BF961" s="53">
        <v>0.7316666666666668</v>
      </c>
      <c r="BG961" s="53">
        <v>0.80305555555555552</v>
      </c>
      <c r="BH961" s="53"/>
      <c r="BI961" s="53"/>
      <c r="BJ961" s="53"/>
      <c r="BK961" s="53"/>
      <c r="BL961" s="53"/>
      <c r="BM961" s="53"/>
      <c r="BN961" s="53"/>
      <c r="BO961" s="53"/>
      <c r="BP961" s="53"/>
      <c r="BQ961" s="53"/>
      <c r="BR961" s="53"/>
      <c r="BS961" s="53"/>
      <c r="BT961" s="53"/>
      <c r="BU961" s="53"/>
      <c r="BV961" s="53"/>
      <c r="BW961" s="53"/>
      <c r="BX961" s="53"/>
      <c r="BY961" s="53"/>
      <c r="BZ961" s="53"/>
      <c r="CA961" s="53"/>
      <c r="CB961" s="53"/>
      <c r="CC961" s="53"/>
      <c r="CD961" s="53"/>
      <c r="CE961" s="53"/>
      <c r="CF961" s="53"/>
      <c r="CG961" s="53"/>
      <c r="CH961" s="53"/>
      <c r="CI961" s="53"/>
      <c r="CJ961" s="53"/>
      <c r="CK961" s="53"/>
      <c r="CL961" s="53"/>
      <c r="CM961" s="53"/>
      <c r="CN961" s="53"/>
      <c r="CO961" s="53"/>
      <c r="CP961" s="53"/>
      <c r="CQ961" s="53"/>
      <c r="CR961" s="53"/>
      <c r="CS961" s="53"/>
      <c r="CT961" s="53"/>
      <c r="CU961" s="53"/>
      <c r="CV961" s="136"/>
      <c r="CW961" s="136"/>
      <c r="CX961" s="136"/>
      <c r="CY961" s="136"/>
      <c r="CZ961" s="136"/>
      <c r="DA961" s="136"/>
      <c r="DB961" s="136"/>
      <c r="DC961" s="136"/>
      <c r="DD961" s="136"/>
      <c r="DE961" s="136"/>
      <c r="DF961" s="136"/>
      <c r="DG961" s="136"/>
      <c r="DH961" s="136"/>
      <c r="DI961" s="136"/>
      <c r="DJ961" s="136"/>
      <c r="DK961" s="136"/>
      <c r="DL961" s="136"/>
      <c r="DM961" s="136"/>
      <c r="DN961" s="136"/>
      <c r="DO961" s="136"/>
      <c r="DP961" s="136"/>
      <c r="DQ961" s="136"/>
      <c r="DR961" s="136"/>
      <c r="DS961" s="136"/>
      <c r="DT961" s="136"/>
      <c r="DU961" s="136"/>
      <c r="DV961" s="136"/>
      <c r="DW961" s="136"/>
      <c r="DX961" s="136"/>
      <c r="DY961" s="136"/>
      <c r="DZ961" s="136"/>
      <c r="EA961" s="136"/>
      <c r="EB961" s="136"/>
      <c r="EC961" s="136"/>
    </row>
    <row r="962" spans="1:133" s="13" customFormat="1" ht="12" customHeight="1" x14ac:dyDescent="0.2">
      <c r="A962" s="65">
        <v>43903</v>
      </c>
      <c r="B962" s="1"/>
      <c r="C962" s="1"/>
      <c r="D962" s="60"/>
      <c r="E962" s="76"/>
      <c r="F962" s="60"/>
      <c r="G962" s="60"/>
      <c r="H962" s="60"/>
      <c r="I962" s="60"/>
      <c r="J962" s="60"/>
      <c r="K962" s="64"/>
      <c r="L962" s="64"/>
      <c r="M962" s="60"/>
      <c r="N962" s="61"/>
      <c r="O962" s="60"/>
      <c r="P962" s="60"/>
      <c r="Q962" s="60"/>
      <c r="R962" s="60"/>
      <c r="S962" s="60"/>
      <c r="T962" s="60"/>
      <c r="U962" s="60"/>
      <c r="V962" s="60"/>
      <c r="W962" s="60"/>
      <c r="X962" s="60"/>
      <c r="Y962" s="76"/>
      <c r="Z962" s="60"/>
      <c r="AA962" s="60"/>
      <c r="AB962" s="60"/>
      <c r="AC962" s="56"/>
      <c r="AD962" s="60"/>
      <c r="AE962" s="60"/>
      <c r="AF962" s="80"/>
      <c r="AG962" s="56"/>
      <c r="AH962" s="4"/>
      <c r="AI962" s="56"/>
      <c r="AJ962" s="109"/>
      <c r="AK962" s="56"/>
      <c r="AL962" s="56"/>
      <c r="AM962" s="56"/>
      <c r="AN962" s="56"/>
      <c r="AO962" s="82"/>
      <c r="AP962" s="82"/>
      <c r="AQ962" s="83"/>
      <c r="AR962" s="116"/>
      <c r="AS962" s="84"/>
      <c r="AT962" s="84"/>
      <c r="AU962" s="3"/>
      <c r="AV962" s="25">
        <f>(60*60*24)*7</f>
        <v>604800</v>
      </c>
      <c r="AW962" s="25">
        <f>((60*60*24)*7)*2</f>
        <v>1209600</v>
      </c>
      <c r="AX962" s="25">
        <f>((60*60*24)*7)*3</f>
        <v>1814400</v>
      </c>
      <c r="AY962" s="25">
        <f>((60*60*24)*7)*4</f>
        <v>2419200</v>
      </c>
      <c r="AZ962" s="25">
        <f>((60*60*24)*7)*5</f>
        <v>3024000</v>
      </c>
      <c r="BA962" s="25">
        <f>((60*60*24)*7)*6</f>
        <v>3628800</v>
      </c>
      <c r="BB962" s="25">
        <f>((60*60*24)*7)*7</f>
        <v>4233600</v>
      </c>
      <c r="BC962" s="25">
        <f>((60*60*24)*7)*8</f>
        <v>4838400</v>
      </c>
      <c r="BD962" s="25">
        <f>((60*60*24)*7)*9</f>
        <v>5443200</v>
      </c>
      <c r="BE962" s="25">
        <f>((60*60*24)*7)*10</f>
        <v>6048000</v>
      </c>
      <c r="BF962" s="25">
        <f>((60*60*24)*7)*11</f>
        <v>6652800</v>
      </c>
      <c r="BG962" s="25">
        <f>((60*60*24)*7)*12</f>
        <v>7257600</v>
      </c>
      <c r="BH962" s="25"/>
      <c r="BI962" s="25"/>
      <c r="BJ962" s="25"/>
      <c r="BK962" s="25"/>
      <c r="BL962" s="25"/>
      <c r="BM962" s="25"/>
      <c r="BN962" s="25"/>
      <c r="BO962" s="25"/>
      <c r="BP962" s="25"/>
      <c r="BQ962" s="25"/>
      <c r="BR962" s="25"/>
      <c r="BS962" s="25"/>
      <c r="BT962" s="25"/>
      <c r="BU962" s="25"/>
      <c r="BV962" s="25"/>
      <c r="BW962" s="25"/>
      <c r="BX962" s="25"/>
      <c r="BY962" s="25"/>
      <c r="BZ962" s="25"/>
      <c r="CA962" s="25"/>
      <c r="CB962" s="25"/>
      <c r="CC962" s="25"/>
      <c r="CD962" s="25"/>
      <c r="CE962" s="25"/>
      <c r="CF962" s="25"/>
      <c r="CG962" s="25"/>
      <c r="CH962" s="25"/>
      <c r="CI962" s="25"/>
      <c r="CJ962" s="25"/>
      <c r="CK962" s="25"/>
      <c r="CL962" s="25"/>
      <c r="CM962" s="25"/>
      <c r="CN962" s="25"/>
      <c r="CO962" s="25"/>
      <c r="CP962" s="25"/>
      <c r="CQ962" s="25"/>
      <c r="CR962" s="25"/>
      <c r="CS962" s="25"/>
      <c r="CT962" s="25"/>
      <c r="CU962" s="25"/>
      <c r="CV962" s="25"/>
      <c r="CW962" s="25"/>
      <c r="CX962" s="25"/>
      <c r="CY962" s="25"/>
      <c r="CZ962" s="25"/>
      <c r="DA962" s="25"/>
      <c r="DB962" s="25"/>
      <c r="DC962" s="25"/>
      <c r="DD962" s="25"/>
      <c r="DE962" s="25"/>
      <c r="DF962" s="25"/>
      <c r="DG962" s="25"/>
      <c r="DH962" s="25"/>
      <c r="DI962" s="25"/>
      <c r="DJ962" s="25"/>
      <c r="DK962" s="25"/>
      <c r="DL962" s="25"/>
      <c r="DM962" s="25"/>
      <c r="DN962" s="25"/>
      <c r="DO962" s="25"/>
      <c r="DP962" s="25"/>
      <c r="DQ962" s="25"/>
      <c r="DR962" s="25"/>
      <c r="DS962" s="25"/>
      <c r="DT962" s="25"/>
      <c r="DU962" s="25"/>
      <c r="DV962" s="25"/>
      <c r="DW962" s="25"/>
      <c r="DX962" s="25"/>
      <c r="DY962" s="25"/>
      <c r="DZ962" s="25"/>
      <c r="EA962" s="25"/>
      <c r="EB962" s="25"/>
      <c r="EC962" s="25"/>
    </row>
    <row r="963" spans="1:133" s="13" customFormat="1" ht="12" customHeight="1" x14ac:dyDescent="0.2">
      <c r="A963" s="65">
        <v>43903</v>
      </c>
      <c r="B963" s="1" t="s">
        <v>472</v>
      </c>
      <c r="C963" s="1" t="s">
        <v>262</v>
      </c>
      <c r="D963" s="60">
        <v>2020</v>
      </c>
      <c r="E963" s="76">
        <v>1</v>
      </c>
      <c r="F963" s="60">
        <v>13</v>
      </c>
      <c r="G963" s="60">
        <v>13</v>
      </c>
      <c r="H963" s="60" t="s">
        <v>747</v>
      </c>
      <c r="I963" s="60" t="s">
        <v>876</v>
      </c>
      <c r="J963" s="60" t="s">
        <v>622</v>
      </c>
      <c r="K963" s="60">
        <f>IF(J963="syllables",1,IF(J963="trigrams",2,IF(J963="strings",3,IF(J963="visual array",4,IF(J963="characters",5,IF(J963="letters",6,IF(J963="free forms",7,IF(J963="odors",8,IF(J963="words",9,IF(J963="pictures",10,IF(J963="object pictures",11,IF(J963="faces",12,IF(J963="names",13,IF(J963="idioms",14,IF(J963="grades",15,IF(J963="syllable-digit pairs",16,IF(J963="trigram-word pairs",17,IF(J963="word-digit pairs",18,IF(J963="English-Swahili pairs",19,IF(J963="spatial position",20,IF(J963="word pairs",21,IF(J963="word triads",22,IF(J963="generated words",23,IF(J963="word definition pairs",24,IF(J963="math problems",25,IF(J963="famous faces",26,IF(J963="famous names",27,IF(J963="famous voices",28,IF(J963="television programs",29,IF(J963="race horses",30,IF(J963="new vocabulary",31,IF(J963="sentences",32,IF(J963="concepts",33,IF(J963="ad slides",34,IF(J963="scenes",35,IF(J963="famous scenes",36,IF(J963="poems",37,IF(J963="walk",38,IF(J963="faces and events",39,IF(J963="events and names",40,IF(J963="flashbulb",41,IF(J963="stories",42,IF(J963="course material",43,IF(J963="autobiographical",44,IF(J963="novels",45,IF(J963="public events",46,"99"))))))))))))))))))))))))))))))))))))))))))))))</f>
        <v>44</v>
      </c>
      <c r="L963" s="60">
        <f>IF(J963="syllables",1,IF(J963="trigrams",1,IF(J963="strings",1,IF(J963="visual array",1,IF(J963="characters",1,IF(J963="letters",1,IF(J963="free forms",1,IF(J963="odors",2,IF(J963="words",2,IF(J963="pictures",2,IF(J963="object pictures",2,IF(J963="faces",2,IF(J963="names",2,IF(J963="idioms","2",IF(J963="grades",2,IF(J963="syllable-digit pairs",3,IF(J963="trigram-word pairs",3,IF(J963="word-digit pairs",3,IF(J963="English-Swahili pairs",3,IF(J963="spatial position",3,IF(J963="word pairs",4,IF(J963="word triads",4,IF(J963="generated words",4,IF(J963="word definition pairs",4,IF(J963="math problems",4,IF(J963="famous faces",4,IF(J963="famous names",4,IF(J963="famous voices",4,IF(J963="television programs",4,IF(J963="race horses",4,IF(J963="new vocabulary",4,IF(J963="sentences",5,IF(J963="concepts",5,IF(J963="ad slides",5,IF(J963="scenes",5,IF(J963="famous scenes",5,IF(J963="poems",6,IF(J963="walk",6,IF(J963="faces and events",6,IF(J963="events and names",6,IF(J963="flashbulb",7,IF(J963="stories",7,IF(J963="course material",7,IF(J963="autobiographical",7,IF(J963="novels",7,IF(J963="public events",7,"99"))))))))))))))))))))))))))))))))))))))))))))))</f>
        <v>7</v>
      </c>
      <c r="M963" s="60">
        <v>0</v>
      </c>
      <c r="N963" s="61">
        <v>3</v>
      </c>
      <c r="O963" s="60">
        <v>0</v>
      </c>
      <c r="P963" s="60"/>
      <c r="Q963" s="60" t="s">
        <v>65</v>
      </c>
      <c r="R963" s="60">
        <f>IF(Q963="Free Recall",1,IF(Q963="Cued Recall",2,IF(Q963="Recognition",3,IF(Q963="Multiple Choice",4,IF(Q963="Savings",5,IF(Q963="Stem Completion",6,IF(Q963="Fragment Completion",7,IF(Q963="anagram solution",8,IF(Q963="Matching",9,IF(Q963="Problem Solving",10,"99"))))))))))</f>
        <v>2</v>
      </c>
      <c r="S963" s="60" t="s">
        <v>49</v>
      </c>
      <c r="T963" s="59" t="s">
        <v>581</v>
      </c>
      <c r="U963" s="60">
        <f>IF(T963="within",1,0)</f>
        <v>1</v>
      </c>
      <c r="V963" s="59">
        <v>12</v>
      </c>
      <c r="W963" s="60">
        <f>F963*V963</f>
        <v>156</v>
      </c>
      <c r="X963" s="60">
        <v>12</v>
      </c>
      <c r="Y963" s="76">
        <f>AV962</f>
        <v>604800</v>
      </c>
      <c r="Z963" s="60" t="s">
        <v>874</v>
      </c>
      <c r="AA963" s="60">
        <v>7430400</v>
      </c>
      <c r="AB963" s="60" t="str">
        <f>IF(AA963&lt;60,"1",IF(AA963&lt;=43200,"2",IF(AA963&lt;=777600,"3","4")))</f>
        <v>4</v>
      </c>
      <c r="AC963" s="56">
        <f>AVERAGE(AV962:DA962)</f>
        <v>3931200</v>
      </c>
      <c r="AD963" s="60" t="str">
        <f>IF(AC963&lt;60,"1",IF(AC963&lt;=43200,"2",IF(AC963&lt;=777600,"3","4")))</f>
        <v>4</v>
      </c>
      <c r="AE963" s="76">
        <f>AA963-Y963</f>
        <v>6825600</v>
      </c>
      <c r="AF963" s="80">
        <f>AV963</f>
        <v>0.78260869565217395</v>
      </c>
      <c r="AG963" s="56">
        <f>((AW963-AV963)+(AX963-AW963)+(AY963-AX963)+(AZ963-AY963)+(BA963-AZ963)+(BB963-BA963)+(BC963-BB963)+(BD963-BC963)+(BE963-BD963)+(BF963-BE963)+(BG963-BF963))/11</f>
        <v>-8.1478399556202744E-3</v>
      </c>
      <c r="AH963" s="4"/>
      <c r="AI963" s="56">
        <f>RSQ(AV963:BG963,AV962:BG962)</f>
        <v>0.34663886901856233</v>
      </c>
      <c r="AJ963" s="109">
        <f>SLOPE(AV963:BG963,AV962:BG962)</f>
        <v>-2.4119845796287912E-8</v>
      </c>
      <c r="AK963" s="56">
        <f>INTERCEPT(AV963:BG963,AV962:BG962)</f>
        <v>0.76647225716939948</v>
      </c>
      <c r="AL963" s="56">
        <f>INDEX(LINEST(LN(AV963:BG963),LN(AV962:BG962),TRUE,TRUE),3,1)</f>
        <v>0.3601881773186234</v>
      </c>
      <c r="AM963" s="56">
        <f>INDEX(LINEST(LN(AV963:BG963),LN(AV962:BG962)),1)</f>
        <v>-0.11060405425667763</v>
      </c>
      <c r="AN963" s="56">
        <f>EXP(INDEX(LINEST(LN(AV963:BG963),LN(AV962:BG962)),1,2))</f>
        <v>3.4904383821408378</v>
      </c>
      <c r="AO963" s="82">
        <f>INDEX(LINEST((AV963:BG963),LN(AV962:BG962),TRUE,TRUE),3,1)</f>
        <v>0.37836458348081475</v>
      </c>
      <c r="AP963" s="82">
        <f>INDEX(LINEST((AV963:BG963),LN(AV962:BG962)),1)</f>
        <v>-7.270205698464513E-2</v>
      </c>
      <c r="AQ963" s="83">
        <f>INDEX(LINEST(LN(AV963:BG963),SQRT(AV962:BG962),TRUE,TRUE),3,1)</f>
        <v>0.36124724816651749</v>
      </c>
      <c r="AR963" s="116">
        <f>INDEX(LINEST(LN(AV963:BG963),SQRT((AV962:BG962))),1)</f>
        <v>-1.3785773586220403E-4</v>
      </c>
      <c r="AS963" s="84">
        <f>INDEX(LINEST(1/(AV963:BG963),1/(SQRT(AV962:BG962)),TRUE,TRUE),3,1)</f>
        <v>0.30920287209037539</v>
      </c>
      <c r="AT963" s="84">
        <f>INDEX(LINEST(1/(AV963:BG963),1/SQRT(AV962:BG962)),1)</f>
        <v>-457.83107640208948</v>
      </c>
      <c r="AU963" s="3"/>
      <c r="AV963" s="53">
        <v>0.78260869565217395</v>
      </c>
      <c r="AW963" s="53">
        <v>0.77380952380952384</v>
      </c>
      <c r="AX963" s="53">
        <v>0.6785714285714286</v>
      </c>
      <c r="AY963" s="53">
        <v>0.66279069767441856</v>
      </c>
      <c r="AZ963" s="53">
        <v>0.75</v>
      </c>
      <c r="BA963" s="53">
        <v>0.63513513513513509</v>
      </c>
      <c r="BB963" s="53">
        <v>0.68478260869565222</v>
      </c>
      <c r="BC963" s="53">
        <v>0.56000000000000005</v>
      </c>
      <c r="BD963" s="53">
        <v>0.7558139534883721</v>
      </c>
      <c r="BE963" s="53">
        <v>0.58333333333333337</v>
      </c>
      <c r="BF963" s="53">
        <v>0.5</v>
      </c>
      <c r="BG963" s="53">
        <v>0.69298245614035092</v>
      </c>
      <c r="BH963" s="53"/>
      <c r="BI963" s="53"/>
      <c r="BJ963" s="53"/>
      <c r="BK963" s="53"/>
      <c r="BL963" s="53"/>
      <c r="BM963" s="53"/>
      <c r="BN963" s="53"/>
      <c r="BO963" s="53"/>
      <c r="BP963" s="53"/>
      <c r="BQ963" s="53"/>
      <c r="BR963" s="53"/>
      <c r="BS963" s="53"/>
      <c r="BT963" s="53"/>
      <c r="BU963" s="53"/>
      <c r="BV963" s="53"/>
      <c r="BW963" s="53"/>
      <c r="BX963" s="53"/>
      <c r="BY963" s="53"/>
      <c r="BZ963" s="53"/>
      <c r="CA963" s="53"/>
      <c r="CB963" s="53"/>
      <c r="CC963" s="53"/>
      <c r="CD963" s="53"/>
      <c r="CE963" s="53"/>
      <c r="CF963" s="53"/>
      <c r="CG963" s="53"/>
      <c r="CH963" s="53"/>
      <c r="CI963" s="53"/>
      <c r="CJ963" s="53"/>
      <c r="CK963" s="53"/>
      <c r="CL963" s="53"/>
      <c r="CM963" s="53"/>
      <c r="CN963" s="53"/>
      <c r="CO963" s="53"/>
      <c r="CP963" s="53"/>
      <c r="CQ963" s="53"/>
      <c r="CR963" s="53"/>
      <c r="CS963" s="53"/>
      <c r="CT963" s="53"/>
      <c r="CU963" s="53"/>
      <c r="CV963" s="136"/>
      <c r="CW963" s="136"/>
      <c r="CX963" s="136"/>
      <c r="CY963" s="136"/>
      <c r="CZ963" s="136"/>
      <c r="DA963" s="136"/>
      <c r="DB963" s="136"/>
      <c r="DC963" s="136"/>
      <c r="DD963" s="136"/>
      <c r="DE963" s="136"/>
      <c r="DF963" s="136"/>
      <c r="DG963" s="136"/>
      <c r="DH963" s="136"/>
      <c r="DI963" s="136"/>
      <c r="DJ963" s="136"/>
      <c r="DK963" s="136"/>
      <c r="DL963" s="136"/>
      <c r="DM963" s="136"/>
      <c r="DN963" s="136"/>
      <c r="DO963" s="136"/>
      <c r="DP963" s="136"/>
      <c r="DQ963" s="136"/>
      <c r="DR963" s="136"/>
      <c r="DS963" s="136"/>
      <c r="DT963" s="136"/>
      <c r="DU963" s="136"/>
      <c r="DV963" s="136"/>
      <c r="DW963" s="136"/>
      <c r="DX963" s="136"/>
      <c r="DY963" s="136"/>
      <c r="DZ963" s="136"/>
      <c r="EA963" s="136"/>
      <c r="EB963" s="136"/>
      <c r="EC963" s="136"/>
    </row>
    <row r="964" spans="1:133" s="13" customFormat="1" ht="12" customHeight="1" x14ac:dyDescent="0.2">
      <c r="A964" s="68">
        <v>43896</v>
      </c>
      <c r="B964" s="70"/>
      <c r="C964" s="70"/>
      <c r="D964" s="69"/>
      <c r="E964" s="87"/>
      <c r="F964" s="69"/>
      <c r="G964" s="69"/>
      <c r="H964" s="69"/>
      <c r="I964" s="69"/>
      <c r="J964" s="69"/>
      <c r="K964" s="86"/>
      <c r="L964" s="86"/>
      <c r="M964" s="69"/>
      <c r="N964" s="69"/>
      <c r="O964" s="69"/>
      <c r="P964" s="69"/>
      <c r="Q964" s="69"/>
      <c r="R964" s="69"/>
      <c r="S964" s="69"/>
      <c r="T964" s="69"/>
      <c r="U964" s="69"/>
      <c r="V964" s="69"/>
      <c r="W964" s="69"/>
      <c r="X964" s="69"/>
      <c r="Y964" s="87"/>
      <c r="Z964" s="69"/>
      <c r="AA964" s="69"/>
      <c r="AB964" s="69"/>
      <c r="AC964" s="72"/>
      <c r="AD964" s="69"/>
      <c r="AE964" s="69"/>
      <c r="AF964" s="88"/>
      <c r="AG964" s="72"/>
      <c r="AH964" s="4"/>
      <c r="AI964" s="72"/>
      <c r="AJ964" s="110"/>
      <c r="AK964" s="72"/>
      <c r="AL964" s="72"/>
      <c r="AM964" s="72"/>
      <c r="AN964" s="72"/>
      <c r="AO964" s="89"/>
      <c r="AP964" s="89"/>
      <c r="AQ964" s="90"/>
      <c r="AR964" s="117"/>
      <c r="AS964" s="91"/>
      <c r="AT964" s="91"/>
      <c r="AU964" s="3"/>
      <c r="AV964" s="71">
        <v>94608000</v>
      </c>
      <c r="AW964" s="71">
        <v>252288000</v>
      </c>
      <c r="AX964" s="71">
        <v>409968000</v>
      </c>
      <c r="AY964" s="71">
        <v>567648000</v>
      </c>
      <c r="AZ964" s="71">
        <v>725328000</v>
      </c>
      <c r="BA964" s="71">
        <v>883008000</v>
      </c>
      <c r="BB964" s="42"/>
      <c r="BC964" s="28"/>
      <c r="BD964" s="28"/>
      <c r="BE964" s="28"/>
      <c r="BF964" s="28"/>
      <c r="BG964" s="28"/>
      <c r="BH964" s="28"/>
      <c r="BI964" s="28"/>
      <c r="BJ964" s="28"/>
      <c r="BK964" s="28"/>
      <c r="BL964" s="28"/>
      <c r="BM964" s="28"/>
      <c r="BN964" s="28"/>
      <c r="BO964" s="28"/>
      <c r="BP964" s="28"/>
      <c r="BQ964" s="28"/>
      <c r="BR964" s="28"/>
      <c r="BS964" s="28"/>
      <c r="BT964" s="28"/>
      <c r="BU964" s="28"/>
      <c r="BV964" s="28"/>
      <c r="BW964" s="28"/>
      <c r="BX964" s="28"/>
      <c r="BY964" s="28"/>
      <c r="BZ964" s="28"/>
      <c r="CA964" s="28"/>
      <c r="CB964" s="28"/>
      <c r="CC964" s="28"/>
      <c r="CD964" s="28"/>
      <c r="CE964" s="28"/>
      <c r="CF964" s="28"/>
      <c r="CG964" s="28"/>
      <c r="CH964" s="28"/>
      <c r="CI964" s="28"/>
      <c r="CJ964" s="28"/>
      <c r="CK964" s="28"/>
      <c r="CL964" s="28"/>
      <c r="CM964" s="28"/>
      <c r="CN964" s="28"/>
      <c r="CO964" s="28"/>
      <c r="CP964" s="28"/>
      <c r="CQ964" s="28"/>
      <c r="CR964" s="1"/>
      <c r="CS964" s="1"/>
      <c r="CT964" s="1"/>
      <c r="CU964" s="1"/>
    </row>
    <row r="965" spans="1:133" s="13" customFormat="1" ht="12" customHeight="1" x14ac:dyDescent="0.2">
      <c r="A965" s="68">
        <v>43896</v>
      </c>
      <c r="B965" s="70" t="s">
        <v>369</v>
      </c>
      <c r="C965" s="70" t="s">
        <v>370</v>
      </c>
      <c r="D965" s="69">
        <v>1991</v>
      </c>
      <c r="E965" s="87">
        <v>1</v>
      </c>
      <c r="F965" s="69">
        <v>10</v>
      </c>
      <c r="G965" s="69">
        <v>10</v>
      </c>
      <c r="H965" s="69" t="s">
        <v>50</v>
      </c>
      <c r="I965" s="69" t="s">
        <v>330</v>
      </c>
      <c r="J965" s="69" t="s">
        <v>340</v>
      </c>
      <c r="K965" s="69">
        <f>IF(J965="syllables",1,IF(J965="trigrams",2,IF(J965="strings",3,IF(J965="visual array",4,IF(J965="characters",5,IF(J965="letters",6,IF(J965="free forms",7,IF(J965="odors",8,IF(J965="words",9,IF(J965="pictures",10,IF(J965="object pictures",11,IF(J965="faces",12,IF(J965="names",13,IF(J965="idioms",14,IF(J965="grades",15,IF(J965="syllable-digit pairs",16,IF(J965="trigram-word pairs",17,IF(J965="word-digit pairs",18,IF(J965="English-Swahili pairs",19,IF(J965="spatial position",20,IF(J965="word pairs",21,IF(J965="word triads",22,IF(J965="generated words",23,IF(J965="word definition pairs",24,IF(J965="math problems",25,IF(J965="famous faces",26,IF(J965="famous names",27,IF(J965="famous voices",28,IF(J965="television programs",29,IF(J965="race horses",30,IF(J965="new vocabulary",31,IF(J965="sentences",32,IF(J965="concepts",33,IF(J965="ad slides",34,IF(J965="scenes",35,IF(J965="famous scenes",36,IF(J965="poems",37,IF(J965="walk",38,IF(J965="faces and events",39,IF(J965="events and names",40,IF(J965="flashbulb",41,IF(J965="stories",42,IF(J965="course material",43,IF(J965="autobiographical",44,IF(J965="novels",45,IF(J965="public events",46,"99"))))))))))))))))))))))))))))))))))))))))))))))</f>
        <v>46</v>
      </c>
      <c r="L965" s="69">
        <f>IF(J965="syllables",1,IF(J965="trigrams",1,IF(J965="strings",1,IF(J965="visual array",1,IF(J965="characters",1,IF(J965="letters",1,IF(J965="free forms",1,IF(J965="odors",2,IF(J965="words",2,IF(J965="pictures",2,IF(J965="object pictures",2,IF(J965="faces",2,IF(J965="names",2,IF(J965="idioms","2",IF(J965="grades",2,IF(J965="syllable-digit pairs",3,IF(J965="trigram-word pairs",3,IF(J965="word-digit pairs",3,IF(J965="English-Swahili pairs",3,IF(J965="spatial position",3,IF(J965="word pairs",4,IF(J965="word triads",4,IF(J965="generated words",4,IF(J965="word definition pairs",4,IF(J965="math problems",4,IF(J965="famous faces",4,IF(J965="famous names",4,IF(J965="famous voices",4,IF(J965="television programs",4,IF(J965="race horses",4,IF(J965="new vocabulary",4,IF(J965="sentences",5,IF(J965="concepts",5,IF(J965="ad slides",5,IF(J965="scenes",5,IF(J965="famous scenes",5,IF(J965="poems",6,IF(J965="walk",6,IF(J965="faces and events",6,IF(J965="events and names",6,IF(J965="flashbulb",7,IF(J965="stories",7,IF(J965="course material",7,IF(J965="autobiographical",7,IF(J965="novels",7,IF(J965="public events",7,"99"))))))))))))))))))))))))))))))))))))))))))))))</f>
        <v>7</v>
      </c>
      <c r="M965" s="69">
        <v>1</v>
      </c>
      <c r="N965" s="69">
        <v>4</v>
      </c>
      <c r="O965" s="69">
        <v>0</v>
      </c>
      <c r="P965" s="69"/>
      <c r="Q965" s="69" t="s">
        <v>174</v>
      </c>
      <c r="R965" s="69">
        <f>IF(Q965="Free Recall",1,IF(Q965="Cued Recall",2,IF(Q965="Recognition",3,IF(Q965="Multiple Choice",4,IF(Q965="Savings",5,IF(Q965="Stem Completion",6,IF(Q965="Fragment Completion",7,IF(Q965="anagram solution",8,IF(Q965="Matching",9,IF(Q965="Problem Solving",10,"99"))))))))))</f>
        <v>1</v>
      </c>
      <c r="S965" s="69" t="s">
        <v>49</v>
      </c>
      <c r="T965" s="69" t="s">
        <v>581</v>
      </c>
      <c r="U965" s="69">
        <f>IF(T965="within",1,0)</f>
        <v>1</v>
      </c>
      <c r="V965" s="69">
        <v>40</v>
      </c>
      <c r="W965" s="69">
        <f>F965*V965</f>
        <v>400</v>
      </c>
      <c r="X965" s="69">
        <v>6</v>
      </c>
      <c r="Y965" s="87">
        <f>AV964</f>
        <v>94608000</v>
      </c>
      <c r="Z965" s="69" t="s">
        <v>435</v>
      </c>
      <c r="AA965" s="69">
        <f>28*365*24*60*60</f>
        <v>883008000</v>
      </c>
      <c r="AB965" s="69" t="str">
        <f>IF(AA965&lt;60,"1",IF(AA965&lt;=43200,"2",IF(AA965&lt;=777600,"3","4")))</f>
        <v>4</v>
      </c>
      <c r="AC965" s="72">
        <f>AVERAGE(AV964:DA964)</f>
        <v>488808000</v>
      </c>
      <c r="AD965" s="69" t="str">
        <f>IF(AC965&lt;60,"1",IF(AC965&lt;=43200,"2",IF(AC965&lt;=777600,"3","4")))</f>
        <v>4</v>
      </c>
      <c r="AE965" s="87">
        <f>AA965-Y965</f>
        <v>788400000</v>
      </c>
      <c r="AF965" s="88">
        <f>AV965</f>
        <v>0.88</v>
      </c>
      <c r="AG965" s="72">
        <f>((AW965-AV965)+(AX965-AW965)+(AY965-AX965)+(AZ965-AY965)+(BA965-AZ965))/5</f>
        <v>-8.0000000000000071E-3</v>
      </c>
      <c r="AH965" s="4"/>
      <c r="AI965" s="72">
        <f>RSQ(AV965:BA965,AV964:BA964)</f>
        <v>3.1120698107657593E-2</v>
      </c>
      <c r="AJ965" s="110">
        <f>SLOPE(AV965:BA965,AV964:BA964)</f>
        <v>-4.1675726607233436E-11</v>
      </c>
      <c r="AK965" s="72">
        <f>INTERCEPT(AV965:BA965,AV964:BA964)</f>
        <v>0.88870476190476189</v>
      </c>
      <c r="AL965" s="72">
        <f>INDEX(LINEST(LN(AV965:BA965),LN(AV964:BA964),TRUE,TRUE),3,1)</f>
        <v>4.4546804358807465E-2</v>
      </c>
      <c r="AM965" s="72">
        <f>INDEX(LINEST(LN(AV965:BA965),LN(AV964:BA964)),1)</f>
        <v>-2.0658322225105122E-2</v>
      </c>
      <c r="AN965" s="72">
        <f>EXP(INDEX(LINEST(LN(AV965:BA965),LN(AV964:BA964)),1,2))</f>
        <v>1.3031894230762004</v>
      </c>
      <c r="AO965" s="89">
        <f>INDEX(LINEST((AV965:BA965),LN(AV964:BA964),TRUE,TRUE),3,1)</f>
        <v>4.4644937210159295E-2</v>
      </c>
      <c r="AP965" s="89">
        <f>INDEX(LINEST((AV965:BA965),LN(AV964:BA964)),1)</f>
        <v>-1.7877517505267171E-2</v>
      </c>
      <c r="AQ965" s="90">
        <f>INDEX(LINEST(LN(AV965:BA965),SQRT(AV964:BA964),TRUE,TRUE),3,1)</f>
        <v>3.8231208649423913E-2</v>
      </c>
      <c r="AR965" s="117">
        <f>INDEX(LINEST(LN(AV965:BA965),SQRT((AV964:BA964))),1)</f>
        <v>-2.1335008409430641E-6</v>
      </c>
      <c r="AS965" s="91">
        <f>INDEX(LINEST(1/(AV965:BA965),1/(SQRT(AV964:BA964)),TRUE,TRUE),3,1)</f>
        <v>4.5438228262911093E-2</v>
      </c>
      <c r="AT965" s="91">
        <f>INDEX(LINEST(1/(AV965:BA965),1/SQRT(AV964:BA964)),1)</f>
        <v>-774.49304665941611</v>
      </c>
      <c r="AU965" s="3"/>
      <c r="AV965" s="73">
        <v>0.88</v>
      </c>
      <c r="AW965" s="73">
        <v>0.96</v>
      </c>
      <c r="AX965" s="73">
        <v>0.77</v>
      </c>
      <c r="AY965" s="73">
        <v>0.83</v>
      </c>
      <c r="AZ965" s="73">
        <v>0.93</v>
      </c>
      <c r="BA965" s="73">
        <v>0.84</v>
      </c>
      <c r="BB965" s="42"/>
      <c r="BC965" s="42"/>
      <c r="BD965" s="42"/>
      <c r="BE965" s="42"/>
      <c r="BF965" s="42"/>
      <c r="BG965" s="42"/>
      <c r="BH965" s="28"/>
      <c r="BI965" s="28"/>
      <c r="BJ965" s="28"/>
      <c r="BK965" s="28"/>
      <c r="BL965" s="28"/>
      <c r="BM965" s="28"/>
      <c r="BN965" s="28"/>
      <c r="BO965" s="28"/>
      <c r="BP965" s="28"/>
      <c r="BQ965" s="28"/>
      <c r="BR965" s="28"/>
      <c r="BS965" s="28"/>
      <c r="BT965" s="28"/>
      <c r="BU965" s="28"/>
      <c r="BV965" s="28"/>
      <c r="BW965" s="28"/>
      <c r="BX965" s="28"/>
      <c r="BY965" s="28"/>
      <c r="BZ965" s="28"/>
      <c r="CA965" s="28"/>
      <c r="CB965" s="28"/>
      <c r="CC965" s="28"/>
      <c r="CD965" s="28"/>
      <c r="CE965" s="28"/>
      <c r="CF965" s="28"/>
      <c r="CG965" s="28"/>
      <c r="CH965" s="28"/>
      <c r="CI965" s="28"/>
      <c r="CJ965" s="28"/>
      <c r="CK965" s="28"/>
      <c r="CL965" s="28"/>
      <c r="CM965" s="28"/>
      <c r="CN965" s="28"/>
      <c r="CO965" s="28"/>
      <c r="CP965" s="28"/>
      <c r="CQ965" s="28"/>
      <c r="CR965" s="1"/>
      <c r="CS965" s="1"/>
      <c r="CT965" s="1"/>
      <c r="CU965" s="1"/>
    </row>
    <row r="966" spans="1:133" s="13" customFormat="1" ht="12" customHeight="1" x14ac:dyDescent="0.2">
      <c r="A966" s="68">
        <v>43896</v>
      </c>
      <c r="B966" s="70"/>
      <c r="C966" s="70"/>
      <c r="D966" s="69"/>
      <c r="E966" s="87"/>
      <c r="F966" s="69"/>
      <c r="G966" s="69"/>
      <c r="H966" s="69"/>
      <c r="I966" s="69"/>
      <c r="J966" s="69"/>
      <c r="K966" s="86"/>
      <c r="L966" s="86"/>
      <c r="M966" s="69"/>
      <c r="N966" s="69"/>
      <c r="O966" s="69"/>
      <c r="P966" s="69"/>
      <c r="Q966" s="69"/>
      <c r="R966" s="69"/>
      <c r="S966" s="69"/>
      <c r="T966" s="69"/>
      <c r="U966" s="69"/>
      <c r="V966" s="69"/>
      <c r="W966" s="69"/>
      <c r="X966" s="69"/>
      <c r="Y966" s="87"/>
      <c r="Z966" s="92"/>
      <c r="AA966" s="92"/>
      <c r="AB966" s="69"/>
      <c r="AC966" s="72"/>
      <c r="AD966" s="69"/>
      <c r="AE966" s="69"/>
      <c r="AF966" s="88"/>
      <c r="AG966" s="72"/>
      <c r="AH966" s="4"/>
      <c r="AI966" s="72"/>
      <c r="AJ966" s="110"/>
      <c r="AK966" s="72"/>
      <c r="AL966" s="72"/>
      <c r="AM966" s="72"/>
      <c r="AN966" s="72"/>
      <c r="AO966" s="89"/>
      <c r="AP966" s="89"/>
      <c r="AQ966" s="90"/>
      <c r="AR966" s="117"/>
      <c r="AS966" s="91"/>
      <c r="AT966" s="91"/>
      <c r="AU966" s="3"/>
      <c r="AV966" s="71">
        <v>157680000</v>
      </c>
      <c r="AW966" s="71">
        <v>473040000</v>
      </c>
      <c r="AX966" s="71">
        <v>788400000</v>
      </c>
      <c r="AY966" s="71">
        <v>1103760000</v>
      </c>
      <c r="AZ966" s="71">
        <v>1419120000</v>
      </c>
      <c r="BA966" s="73"/>
      <c r="BB966" s="42"/>
      <c r="BC966" s="28"/>
      <c r="BD966" s="28"/>
      <c r="BE966" s="28"/>
      <c r="BF966" s="28"/>
      <c r="BG966" s="28"/>
      <c r="BH966" s="28"/>
      <c r="BI966" s="28"/>
      <c r="BJ966" s="28"/>
      <c r="BK966" s="28"/>
      <c r="BL966" s="28"/>
      <c r="BM966" s="28"/>
      <c r="BN966" s="28"/>
      <c r="BO966" s="28"/>
      <c r="BP966" s="28"/>
      <c r="BQ966" s="28"/>
      <c r="BR966" s="28"/>
      <c r="BS966" s="28"/>
      <c r="BT966" s="28"/>
      <c r="BU966" s="28"/>
      <c r="BV966" s="28"/>
      <c r="BW966" s="28"/>
      <c r="BX966" s="28"/>
      <c r="BY966" s="28"/>
      <c r="BZ966" s="28"/>
      <c r="CA966" s="28"/>
      <c r="CB966" s="28"/>
      <c r="CC966" s="28"/>
      <c r="CD966" s="28"/>
      <c r="CE966" s="28"/>
      <c r="CF966" s="28"/>
      <c r="CG966" s="28"/>
      <c r="CH966" s="28"/>
      <c r="CI966" s="28"/>
      <c r="CJ966" s="28"/>
      <c r="CK966" s="28"/>
      <c r="CL966" s="28"/>
      <c r="CM966" s="28"/>
      <c r="CN966" s="28"/>
      <c r="CO966" s="28"/>
      <c r="CP966" s="28"/>
      <c r="CQ966" s="28"/>
      <c r="CR966" s="1"/>
      <c r="CS966" s="1"/>
      <c r="CT966" s="1"/>
      <c r="CU966" s="1"/>
    </row>
    <row r="967" spans="1:133" s="13" customFormat="1" ht="12" customHeight="1" x14ac:dyDescent="0.2">
      <c r="A967" s="68">
        <v>43896</v>
      </c>
      <c r="B967" s="70" t="s">
        <v>369</v>
      </c>
      <c r="C967" s="70" t="s">
        <v>370</v>
      </c>
      <c r="D967" s="69">
        <v>1991</v>
      </c>
      <c r="E967" s="87">
        <v>1</v>
      </c>
      <c r="F967" s="69">
        <v>7</v>
      </c>
      <c r="G967" s="69">
        <v>7</v>
      </c>
      <c r="H967" s="69" t="s">
        <v>50</v>
      </c>
      <c r="I967" s="69" t="s">
        <v>330</v>
      </c>
      <c r="J967" s="69" t="s">
        <v>342</v>
      </c>
      <c r="K967" s="69">
        <f>IF(J967="syllables",1,IF(J967="trigrams",2,IF(J967="strings",3,IF(J967="visual array",4,IF(J967="characters",5,IF(J967="letters",6,IF(J967="free forms",7,IF(J967="odors",8,IF(J967="words",9,IF(J967="pictures",10,IF(J967="object pictures",11,IF(J967="faces",12,IF(J967="names",13,IF(J967="idioms",14,IF(J967="grades",15,IF(J967="syllable-digit pairs",16,IF(J967="trigram-word pairs",17,IF(J967="word-digit pairs",18,IF(J967="English-Swahili pairs",19,IF(J967="spatial position",20,IF(J967="word pairs",21,IF(J967="word triads",22,IF(J967="generated words",23,IF(J967="word definition pairs",24,IF(J967="math problems",25,IF(J967="famous faces",26,IF(J967="famous names",27,IF(J967="famous voices",28,IF(J967="television programs",29,IF(J967="race horses",30,IF(J967="new vocabulary",31,IF(J967="sentences",32,IF(J967="concepts",33,IF(J967="ad slides",34,IF(J967="scenes",35,IF(J967="famous scenes",36,IF(J967="poems",37,IF(J967="walk",38,IF(J967="faces and events",39,IF(J967="events and names",40,IF(J967="flashbulb",41,IF(J967="stories",42,IF(J967="course material",43,IF(J967="autobiographical",44,IF(J967="novels",45,IF(J967="public events",46,"99"))))))))))))))))))))))))))))))))))))))))))))))</f>
        <v>26</v>
      </c>
      <c r="L967" s="69">
        <f>IF(J967="syllables",1,IF(J967="trigrams",1,IF(J967="strings",1,IF(J967="visual array",1,IF(J967="characters",1,IF(J967="letters",1,IF(J967="free forms",1,IF(J967="odors",2,IF(J967="words",2,IF(J967="pictures",2,IF(J967="object pictures",2,IF(J967="faces",2,IF(J967="names",2,IF(J967="idioms","2",IF(J967="grades",2,IF(J967="syllable-digit pairs",3,IF(J967="trigram-word pairs",3,IF(J967="word-digit pairs",3,IF(J967="English-Swahili pairs",3,IF(J967="spatial position",3,IF(J967="word pairs",4,IF(J967="word triads",4,IF(J967="generated words",4,IF(J967="word definition pairs",4,IF(J967="math problems",4,IF(J967="famous faces",4,IF(J967="famous names",4,IF(J967="famous voices",4,IF(J967="television programs",4,IF(J967="race horses",4,IF(J967="new vocabulary",4,IF(J967="sentences",5,IF(J967="concepts",5,IF(J967="ad slides",5,IF(J967="scenes",5,IF(J967="famous scenes",5,IF(J967="poems",6,IF(J967="walk",6,IF(J967="faces and events",6,IF(J967="events and names",6,IF(J967="flashbulb",7,IF(J967="stories",7,IF(J967="course material",7,IF(J967="autobiographical",7,IF(J967="novels",7,IF(J967="public events",7,"99"))))))))))))))))))))))))))))))))))))))))))))))</f>
        <v>4</v>
      </c>
      <c r="M967" s="69">
        <v>1</v>
      </c>
      <c r="N967" s="86">
        <v>2</v>
      </c>
      <c r="O967" s="69">
        <v>0</v>
      </c>
      <c r="P967" s="69"/>
      <c r="Q967" s="69" t="s">
        <v>174</v>
      </c>
      <c r="R967" s="69">
        <f>IF(Q967="Free Recall",1,IF(Q967="Cued Recall",2,IF(Q967="Recognition",3,IF(Q967="Multiple Choice",4,IF(Q967="Savings",5,IF(Q967="Stem Completion",6,IF(Q967="Fragment Completion",7,IF(Q967="anagram solution",8,IF(Q967="Matching",9,IF(Q967="Problem Solving",10,"99"))))))))))</f>
        <v>1</v>
      </c>
      <c r="S967" s="69" t="s">
        <v>49</v>
      </c>
      <c r="T967" s="69" t="s">
        <v>581</v>
      </c>
      <c r="U967" s="69">
        <f>IF(T967="within",1,0)</f>
        <v>1</v>
      </c>
      <c r="V967" s="69">
        <v>30</v>
      </c>
      <c r="W967" s="69">
        <f>F967*V967</f>
        <v>210</v>
      </c>
      <c r="X967" s="69">
        <v>5</v>
      </c>
      <c r="Y967" s="87">
        <f>AV966</f>
        <v>157680000</v>
      </c>
      <c r="Z967" s="69" t="s">
        <v>373</v>
      </c>
      <c r="AA967" s="69">
        <f>45*365*24*60*60</f>
        <v>1419120000</v>
      </c>
      <c r="AB967" s="69" t="str">
        <f>IF(AA967&lt;60,"1",IF(AA967&lt;=43200,"2",IF(AA967&lt;=777600,"3","4")))</f>
        <v>4</v>
      </c>
      <c r="AC967" s="72">
        <f>AVERAGE(AV966:DA966)</f>
        <v>788400000</v>
      </c>
      <c r="AD967" s="69" t="str">
        <f>IF(AC967&lt;60,"1",IF(AC967&lt;=43200,"2",IF(AC967&lt;=777600,"3","4")))</f>
        <v>4</v>
      </c>
      <c r="AE967" s="87">
        <f>AA967-Y967</f>
        <v>1261440000</v>
      </c>
      <c r="AF967" s="88">
        <f>AV967</f>
        <v>0.89473684210526316</v>
      </c>
      <c r="AG967" s="72">
        <f>((AW967-AV967)+(AX967-AW967)+(AY967-AX967)+(AZ967-AY967))/4</f>
        <v>-0.10054988216810684</v>
      </c>
      <c r="AH967" s="4"/>
      <c r="AI967" s="72">
        <f>RSQ(AV967:AZ967,AV966:AZ966)</f>
        <v>0.78754355140561672</v>
      </c>
      <c r="AJ967" s="110">
        <f>SLOPE(AV967:AZ967,AV966:AZ966)</f>
        <v>-2.8771570072788015E-10</v>
      </c>
      <c r="AK967" s="72">
        <f>INTERCEPT(AV967:AZ967,AV966:AZ966)</f>
        <v>0.95319317969109174</v>
      </c>
      <c r="AL967" s="72">
        <f>INDEX(LINEST(LN(AV967:AZ967),LN(AV966:AZ966),TRUE,TRUE),3,1)</f>
        <v>0.59834608095752873</v>
      </c>
      <c r="AM967" s="72">
        <f>INDEX(LINEST(LN(AV967:AZ967),LN(AV966:AZ966)),1)</f>
        <v>-0.21340489568808363</v>
      </c>
      <c r="AN967" s="72">
        <f>EXP(INDEX(LINEST(LN(AV967:AZ967),LN(AV966:AZ966)),1,2))</f>
        <v>53.467699805639043</v>
      </c>
      <c r="AO967" s="89">
        <f>INDEX(LINEST((AV967:AZ967),LN(AV966:AZ966),TRUE,TRUE),3,1)</f>
        <v>0.63264335495738466</v>
      </c>
      <c r="AP967" s="89">
        <f>INDEX(LINEST((AV967:AZ967),LN(AV966:AZ966)),1)</f>
        <v>-0.14788764994511075</v>
      </c>
      <c r="AQ967" s="90">
        <f>INDEX(LINEST(LN(AV967:AZ967),SQRT(AV966:AZ966),TRUE,TRUE),3,1)</f>
        <v>0.69923128073759711</v>
      </c>
      <c r="AR967" s="117">
        <f>INDEX(LINEST(LN(AV967:AZ967),SQRT((AV966:AZ966))),1)</f>
        <v>-2.0330908119004071E-5</v>
      </c>
      <c r="AS967" s="91">
        <f>INDEX(LINEST(1/(AV967:AZ967),1/(SQRT(AV966:AZ966)),TRUE,TRUE),3,1)</f>
        <v>0.45360514245465838</v>
      </c>
      <c r="AT967" s="91">
        <f>INDEX(LINEST(1/(AV967:AZ967),1/SQRT(AV966:AZ966)),1)</f>
        <v>-11560.502434010989</v>
      </c>
      <c r="AU967" s="3"/>
      <c r="AV967" s="73">
        <v>0.89473684210526316</v>
      </c>
      <c r="AW967" s="73">
        <v>0.75</v>
      </c>
      <c r="AX967" s="73">
        <v>0.84745762711864414</v>
      </c>
      <c r="AY967" s="73">
        <v>0.6470588235294118</v>
      </c>
      <c r="AZ967" s="73">
        <v>0.4925373134328358</v>
      </c>
      <c r="BA967" s="73"/>
      <c r="BB967" s="42"/>
      <c r="BC967" s="28"/>
      <c r="BD967" s="28"/>
      <c r="BE967" s="28"/>
      <c r="BF967" s="28"/>
      <c r="BG967" s="28"/>
      <c r="BH967" s="28"/>
      <c r="BI967" s="28"/>
      <c r="BJ967" s="28"/>
      <c r="BK967" s="28"/>
      <c r="BL967" s="28"/>
      <c r="BM967" s="28"/>
      <c r="BN967" s="28"/>
      <c r="BO967" s="28"/>
      <c r="BP967" s="28"/>
      <c r="BQ967" s="28"/>
      <c r="BR967" s="28"/>
      <c r="BS967" s="28"/>
      <c r="BT967" s="28"/>
      <c r="BU967" s="28"/>
      <c r="BV967" s="28"/>
      <c r="BW967" s="28"/>
      <c r="BX967" s="28"/>
      <c r="BY967" s="28"/>
      <c r="BZ967" s="28"/>
      <c r="CA967" s="28"/>
      <c r="CB967" s="28"/>
      <c r="CC967" s="28"/>
      <c r="CD967" s="28"/>
      <c r="CE967" s="28"/>
      <c r="CF967" s="28"/>
      <c r="CG967" s="28"/>
      <c r="CH967" s="28"/>
      <c r="CI967" s="28"/>
      <c r="CJ967" s="28"/>
      <c r="CK967" s="28"/>
      <c r="CL967" s="28"/>
      <c r="CM967" s="28"/>
      <c r="CN967" s="28"/>
      <c r="CO967" s="28"/>
      <c r="CP967" s="28"/>
      <c r="CQ967" s="28"/>
      <c r="CR967" s="1"/>
      <c r="CS967" s="1"/>
      <c r="CT967" s="1"/>
      <c r="CU967" s="1"/>
    </row>
    <row r="968" spans="1:133" s="13" customFormat="1" ht="12" customHeight="1" x14ac:dyDescent="0.2">
      <c r="A968" s="65">
        <v>43896</v>
      </c>
      <c r="B968" s="1"/>
      <c r="C968" s="1"/>
      <c r="D968" s="60"/>
      <c r="E968" s="76"/>
      <c r="F968" s="60"/>
      <c r="G968" s="60"/>
      <c r="H968" s="60"/>
      <c r="I968" s="60"/>
      <c r="J968" s="60"/>
      <c r="K968" s="64"/>
      <c r="L968" s="64"/>
      <c r="M968" s="60"/>
      <c r="N968" s="60"/>
      <c r="O968" s="60"/>
      <c r="P968" s="60"/>
      <c r="Q968" s="60"/>
      <c r="R968" s="60"/>
      <c r="S968" s="60"/>
      <c r="T968" s="59"/>
      <c r="U968" s="60"/>
      <c r="V968" s="59"/>
      <c r="W968" s="60"/>
      <c r="X968" s="60"/>
      <c r="Y968" s="76"/>
      <c r="Z968" s="59"/>
      <c r="AA968" s="59"/>
      <c r="AB968" s="60"/>
      <c r="AC968" s="56"/>
      <c r="AD968" s="60"/>
      <c r="AE968" s="60"/>
      <c r="AF968" s="80"/>
      <c r="AG968" s="56"/>
      <c r="AH968" s="4"/>
      <c r="AI968" s="56"/>
      <c r="AJ968" s="109"/>
      <c r="AK968" s="56"/>
      <c r="AL968" s="56"/>
      <c r="AM968" s="56"/>
      <c r="AN968" s="56"/>
      <c r="AO968" s="82"/>
      <c r="AP968" s="82"/>
      <c r="AQ968" s="83"/>
      <c r="AR968" s="116"/>
      <c r="AS968" s="84"/>
      <c r="AT968" s="84"/>
      <c r="AU968" s="3"/>
      <c r="AV968" s="25">
        <v>315360000</v>
      </c>
      <c r="AW968" s="25">
        <v>630720000</v>
      </c>
      <c r="AX968" s="25">
        <v>646080000</v>
      </c>
      <c r="AY968" s="25">
        <v>12614400000</v>
      </c>
      <c r="AZ968" s="25">
        <v>1576800000</v>
      </c>
      <c r="BA968" s="42"/>
      <c r="BB968" s="42"/>
      <c r="BC968" s="28"/>
      <c r="BD968" s="28"/>
      <c r="BE968" s="28"/>
      <c r="BF968" s="28"/>
      <c r="BG968" s="28"/>
      <c r="BH968" s="28"/>
      <c r="BI968" s="28"/>
      <c r="BJ968" s="28"/>
      <c r="BK968" s="28"/>
      <c r="BL968" s="28"/>
      <c r="BM968" s="28"/>
      <c r="BN968" s="28"/>
      <c r="BO968" s="28"/>
      <c r="BP968" s="28"/>
      <c r="BQ968" s="28"/>
      <c r="BR968" s="28"/>
      <c r="BS968" s="28"/>
      <c r="BT968" s="28"/>
      <c r="BU968" s="28"/>
      <c r="BV968" s="28"/>
      <c r="BW968" s="28"/>
      <c r="BX968" s="28"/>
      <c r="BY968" s="28"/>
      <c r="BZ968" s="28"/>
      <c r="CA968" s="28"/>
      <c r="CB968" s="28"/>
      <c r="CC968" s="28"/>
      <c r="CD968" s="28"/>
      <c r="CE968" s="28"/>
      <c r="CF968" s="28"/>
      <c r="CG968" s="28"/>
      <c r="CH968" s="28"/>
      <c r="CI968" s="28"/>
      <c r="CJ968" s="28"/>
      <c r="CK968" s="28"/>
      <c r="CL968" s="28"/>
      <c r="CM968" s="28"/>
      <c r="CN968" s="28"/>
      <c r="CO968" s="28"/>
      <c r="CP968" s="28"/>
      <c r="CQ968" s="28"/>
      <c r="CR968" s="1"/>
      <c r="CS968" s="1"/>
      <c r="CT968" s="1"/>
      <c r="CU968" s="1"/>
    </row>
    <row r="969" spans="1:133" s="13" customFormat="1" ht="12" customHeight="1" x14ac:dyDescent="0.2">
      <c r="A969" s="65">
        <v>43896</v>
      </c>
      <c r="B969" s="1" t="s">
        <v>371</v>
      </c>
      <c r="C969" s="1" t="s">
        <v>372</v>
      </c>
      <c r="D969" s="60">
        <v>1990</v>
      </c>
      <c r="E969" s="76">
        <v>1</v>
      </c>
      <c r="F969" s="60">
        <v>20</v>
      </c>
      <c r="G969" s="60">
        <v>20</v>
      </c>
      <c r="H969" s="60" t="s">
        <v>50</v>
      </c>
      <c r="I969" s="60" t="s">
        <v>330</v>
      </c>
      <c r="J969" s="60" t="s">
        <v>342</v>
      </c>
      <c r="K969" s="60">
        <f>IF(J969="syllables",1,IF(J969="trigrams",2,IF(J969="strings",3,IF(J969="visual array",4,IF(J969="characters",5,IF(J969="letters",6,IF(J969="free forms",7,IF(J969="odors",8,IF(J969="words",9,IF(J969="pictures",10,IF(J969="object pictures",11,IF(J969="faces",12,IF(J969="names",13,IF(J969="idioms",14,IF(J969="grades",15,IF(J969="syllable-digit pairs",16,IF(J969="trigram-word pairs",17,IF(J969="word-digit pairs",18,IF(J969="English-Swahili pairs",19,IF(J969="spatial position",20,IF(J969="word pairs",21,IF(J969="word triads",22,IF(J969="generated words",23,IF(J969="word definition pairs",24,IF(J969="math problems",25,IF(J969="famous faces",26,IF(J969="famous names",27,IF(J969="famous voices",28,IF(J969="television programs",29,IF(J969="race horses",30,IF(J969="new vocabulary",31,IF(J969="sentences",32,IF(J969="concepts",33,IF(J969="ad slides",34,IF(J969="scenes",35,IF(J969="famous scenes",36,IF(J969="poems",37,IF(J969="walk",38,IF(J969="faces and events",39,IF(J969="events and names",40,IF(J969="flashbulb",41,IF(J969="stories",42,IF(J969="course material",43,IF(J969="autobiographical",44,IF(J969="novels",45,IF(J969="public events",46,"99"))))))))))))))))))))))))))))))))))))))))))))))</f>
        <v>26</v>
      </c>
      <c r="L969" s="60">
        <f>IF(J969="syllables",1,IF(J969="trigrams",1,IF(J969="strings",1,IF(J969="visual array",1,IF(J969="characters",1,IF(J969="letters",1,IF(J969="free forms",1,IF(J969="odors",2,IF(J969="words",2,IF(J969="pictures",2,IF(J969="object pictures",2,IF(J969="faces",2,IF(J969="names",2,IF(J969="idioms","2",IF(J969="grades",2,IF(J969="syllable-digit pairs",3,IF(J969="trigram-word pairs",3,IF(J969="word-digit pairs",3,IF(J969="English-Swahili pairs",3,IF(J969="spatial position",3,IF(J969="word pairs",4,IF(J969="word triads",4,IF(J969="generated words",4,IF(J969="word definition pairs",4,IF(J969="math problems",4,IF(J969="famous faces",4,IF(J969="famous names",4,IF(J969="famous voices",4,IF(J969="television programs",4,IF(J969="race horses",4,IF(J969="new vocabulary",4,IF(J969="sentences",5,IF(J969="concepts",5,IF(J969="ad slides",5,IF(J969="scenes",5,IF(J969="famous scenes",5,IF(J969="poems",6,IF(J969="walk",6,IF(J969="faces and events",6,IF(J969="events and names",6,IF(J969="flashbulb",7,IF(J969="stories",7,IF(J969="course material",7,IF(J969="autobiographical",7,IF(J969="novels",7,IF(J969="public events",7,"99"))))))))))))))))))))))))))))))))))))))))))))))</f>
        <v>4</v>
      </c>
      <c r="M969" s="60">
        <v>1</v>
      </c>
      <c r="N969" s="61">
        <v>2</v>
      </c>
      <c r="O969" s="60">
        <v>0</v>
      </c>
      <c r="P969" s="60"/>
      <c r="Q969" s="60" t="s">
        <v>174</v>
      </c>
      <c r="R969" s="60">
        <f>IF(Q969="Free Recall",1,IF(Q969="Cued Recall",2,IF(Q969="Recognition",3,IF(Q969="Multiple Choice",4,IF(Q969="Savings",5,IF(Q969="Stem Completion",6,IF(Q969="Fragment Completion",7,IF(Q969="anagram solution",8,IF(Q969="Matching",9,IF(Q969="Problem Solving",10,"99"))))))))))</f>
        <v>1</v>
      </c>
      <c r="S969" s="60" t="s">
        <v>49</v>
      </c>
      <c r="T969" s="59" t="s">
        <v>581</v>
      </c>
      <c r="U969" s="60">
        <f>IF(T969="within",1,0)</f>
        <v>1</v>
      </c>
      <c r="V969" s="59">
        <v>30</v>
      </c>
      <c r="W969" s="60">
        <f>F969*V969</f>
        <v>600</v>
      </c>
      <c r="X969" s="60">
        <v>5</v>
      </c>
      <c r="Y969" s="76">
        <f>AV968</f>
        <v>315360000</v>
      </c>
      <c r="Z969" s="60" t="s">
        <v>209</v>
      </c>
      <c r="AA969" s="60">
        <f>50*365*24*60*60</f>
        <v>1576800000</v>
      </c>
      <c r="AB969" s="60" t="str">
        <f>IF(AA969&lt;60,"1",IF(AA969&lt;=43200,"2",IF(AA969&lt;=777600,"3","4")))</f>
        <v>4</v>
      </c>
      <c r="AC969" s="56">
        <f>AVERAGE(AV968:DA968)</f>
        <v>3156672000</v>
      </c>
      <c r="AD969" s="60" t="str">
        <f>IF(AC969&lt;60,"1",IF(AC969&lt;=43200,"2",IF(AC969&lt;=777600,"3","4")))</f>
        <v>4</v>
      </c>
      <c r="AE969" s="76">
        <f>AA969-Y969</f>
        <v>1261440000</v>
      </c>
      <c r="AF969" s="80">
        <f>AV969</f>
        <v>0.78947368421052633</v>
      </c>
      <c r="AG969" s="56">
        <f>((AW969-AV969)+(AX969-AW969)+(AY969-AX969)+(AZ969-AY969))/4</f>
        <v>-3.9140572951365776E-2</v>
      </c>
      <c r="AH969" s="4"/>
      <c r="AI969" s="56">
        <f>RSQ(AV969:AZ969,AV968:AZ968)</f>
        <v>3.5383586516101913E-3</v>
      </c>
      <c r="AJ969" s="109">
        <f>SLOPE(AV969:AZ969,AV968:AZ968)</f>
        <v>-6.9602508795215246E-13</v>
      </c>
      <c r="AK969" s="56">
        <f>INTERCEPT(AV969:AZ969,AV968:AZ968)</f>
        <v>0.74050555585407507</v>
      </c>
      <c r="AL969" s="56">
        <f>INDEX(LINEST(LN(AV969:AZ969),LN(AV968:AZ968),TRUE,TRUE),3,1)</f>
        <v>0.10555851332660079</v>
      </c>
      <c r="AM969" s="56">
        <f>INDEX(LINEST(LN(AV969:AZ969),LN(AV968:AZ968)),1)</f>
        <v>-2.0033701517740796E-2</v>
      </c>
      <c r="AN969" s="56">
        <f>EXP(INDEX(LINEST(LN(AV969:AZ969),LN(AV968:AZ968)),1,2))</f>
        <v>1.119087171038847</v>
      </c>
      <c r="AO969" s="82">
        <f>INDEX(LINEST((AV969:AZ969),LN(AV968:AZ968),TRUE,TRUE),3,1)</f>
        <v>0.11754028142521085</v>
      </c>
      <c r="AP969" s="82">
        <f>INDEX(LINEST((AV969:AZ969),LN(AV968:AZ968)),1)</f>
        <v>-1.4879708346781968E-2</v>
      </c>
      <c r="AQ969" s="83">
        <f>INDEX(LINEST(LN(AV969:AZ969),SQRT(AV968:AZ968),TRUE,TRUE),3,1)</f>
        <v>2.2803507306179319E-2</v>
      </c>
      <c r="AR969" s="116">
        <f>INDEX(LINEST(LN(AV969:AZ969),SQRT((AV968:AZ968))),1)</f>
        <v>-3.4190244306306381E-7</v>
      </c>
      <c r="AS969" s="84">
        <f>INDEX(LINEST(1/(AV969:AZ969),1/(SQRT(AV968:AZ968)),TRUE,TRUE),3,1)</f>
        <v>0.22918346623810526</v>
      </c>
      <c r="AT969" s="84">
        <f>INDEX(LINEST(1/(AV969:AZ969),1/SQRT(AV968:AZ968)),1)</f>
        <v>-3386.1318692370305</v>
      </c>
      <c r="AU969" s="3"/>
      <c r="AV969" s="53">
        <v>0.78947368421052633</v>
      </c>
      <c r="AW969" s="53">
        <v>0.75000000000000011</v>
      </c>
      <c r="AX969" s="53">
        <v>0.77777777777777768</v>
      </c>
      <c r="AY969" s="53">
        <v>0.74137931034482762</v>
      </c>
      <c r="AZ969" s="53">
        <v>0.63291139240506322</v>
      </c>
      <c r="BA969" s="42"/>
      <c r="BB969" s="42"/>
      <c r="BC969" s="28"/>
      <c r="BD969" s="28"/>
      <c r="BE969" s="28"/>
      <c r="BF969" s="28"/>
      <c r="BG969" s="28"/>
      <c r="BH969" s="28"/>
      <c r="BI969" s="28"/>
      <c r="BJ969" s="28"/>
      <c r="BK969" s="28"/>
      <c r="BL969" s="28"/>
      <c r="BM969" s="28"/>
      <c r="BN969" s="28"/>
      <c r="BO969" s="28"/>
      <c r="BP969" s="28"/>
      <c r="BQ969" s="28"/>
      <c r="BR969" s="28"/>
      <c r="BS969" s="28"/>
      <c r="BT969" s="28"/>
      <c r="BU969" s="28"/>
      <c r="BV969" s="28"/>
      <c r="BW969" s="28"/>
      <c r="BX969" s="28"/>
      <c r="BY969" s="28"/>
      <c r="BZ969" s="28"/>
      <c r="CA969" s="28"/>
      <c r="CB969" s="28"/>
      <c r="CC969" s="28"/>
      <c r="CD969" s="28"/>
      <c r="CE969" s="28"/>
      <c r="CF969" s="28"/>
      <c r="CG969" s="28"/>
      <c r="CH969" s="28"/>
      <c r="CI969" s="28"/>
      <c r="CJ969" s="28"/>
      <c r="CK969" s="28"/>
      <c r="CL969" s="28"/>
      <c r="CM969" s="28"/>
      <c r="CN969" s="28"/>
      <c r="CO969" s="28"/>
      <c r="CP969" s="28"/>
      <c r="CQ969" s="28"/>
      <c r="CR969" s="1"/>
      <c r="CS969" s="1"/>
      <c r="CT969" s="1"/>
      <c r="CU969" s="1"/>
    </row>
    <row r="970" spans="1:133" s="13" customFormat="1" ht="12" customHeight="1" x14ac:dyDescent="0.2">
      <c r="A970" s="68">
        <v>43509</v>
      </c>
      <c r="B970" s="70"/>
      <c r="C970" s="70"/>
      <c r="D970" s="69"/>
      <c r="E970" s="87"/>
      <c r="F970" s="69"/>
      <c r="G970" s="69"/>
      <c r="H970" s="69"/>
      <c r="I970" s="69"/>
      <c r="J970" s="69"/>
      <c r="K970" s="107"/>
      <c r="L970" s="107"/>
      <c r="M970" s="69"/>
      <c r="N970" s="69"/>
      <c r="O970" s="69"/>
      <c r="P970" s="69"/>
      <c r="Q970" s="69"/>
      <c r="R970" s="69"/>
      <c r="S970" s="69"/>
      <c r="T970" s="69"/>
      <c r="U970" s="69"/>
      <c r="V970" s="69"/>
      <c r="W970" s="69"/>
      <c r="X970" s="69"/>
      <c r="Y970" s="87"/>
      <c r="Z970" s="69"/>
      <c r="AA970" s="69"/>
      <c r="AB970" s="69"/>
      <c r="AC970" s="69"/>
      <c r="AD970" s="69"/>
      <c r="AE970" s="69"/>
      <c r="AF970" s="88"/>
      <c r="AG970" s="72"/>
      <c r="AH970" s="4"/>
      <c r="AI970" s="72"/>
      <c r="AJ970" s="110"/>
      <c r="AK970" s="72"/>
      <c r="AL970" s="72"/>
      <c r="AM970" s="72"/>
      <c r="AN970" s="72"/>
      <c r="AO970" s="72"/>
      <c r="AP970" s="72"/>
      <c r="AQ970" s="72"/>
      <c r="AR970" s="110"/>
      <c r="AS970" s="72"/>
      <c r="AT970" s="72"/>
      <c r="AU970" s="4"/>
      <c r="AV970" s="71">
        <v>3</v>
      </c>
      <c r="AW970" s="71">
        <v>6</v>
      </c>
      <c r="AX970" s="71">
        <v>9</v>
      </c>
      <c r="AY970" s="71">
        <v>12</v>
      </c>
      <c r="AZ970" s="71">
        <v>15</v>
      </c>
      <c r="BA970" s="71">
        <v>18</v>
      </c>
      <c r="BB970" s="4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1"/>
      <c r="CS970" s="1"/>
      <c r="CT970" s="1"/>
      <c r="CU970" s="1"/>
    </row>
    <row r="971" spans="1:133" s="13" customFormat="1" ht="12" customHeight="1" x14ac:dyDescent="0.2">
      <c r="A971" s="68">
        <v>43509</v>
      </c>
      <c r="B971" s="70" t="s">
        <v>31</v>
      </c>
      <c r="C971" s="70" t="s">
        <v>19</v>
      </c>
      <c r="D971" s="69">
        <v>1959</v>
      </c>
      <c r="E971" s="87">
        <v>1</v>
      </c>
      <c r="F971" s="69">
        <v>24</v>
      </c>
      <c r="G971" s="69">
        <v>24</v>
      </c>
      <c r="H971" s="69" t="s">
        <v>32</v>
      </c>
      <c r="I971" s="69"/>
      <c r="J971" s="69" t="s">
        <v>443</v>
      </c>
      <c r="K971" s="69">
        <f>IF(J971="syllables",1,IF(J971="trigrams",2,IF(J971="strings",3,IF(J971="visual array",4,IF(J971="characters",5,IF(J971="letters",6,IF(J971="free forms",7,IF(J971="odors",8,IF(J971="words",9,IF(J971="pictures",10,IF(J971="object pictures",11,IF(J971="faces",12,IF(J971="names",13,IF(J971="idioms",14,IF(J971="grades",15,IF(J971="syllable-digit pairs",16,IF(J971="trigram-word pairs",17,IF(J971="word-digit pairs",18,IF(J971="English-Swahili pairs",19,IF(J971="spatial position",20,IF(J971="word pairs",21,IF(J971="word triads",22,IF(J971="generated words",23,IF(J971="word definition pairs",24,IF(J971="math problems",25,IF(J971="famous faces",26,IF(J971="famous names",27,IF(J971="famous voices",28,IF(J971="television programs",29,IF(J971="race horses",30,IF(J971="new vocabulary",31,IF(J971="sentences",32,IF(J971="concepts",33,IF(J971="ad slides",34,IF(J971="scenes",35,IF(J971="famous scenes",36,IF(J971="poems",37,IF(J971="walk",38,IF(J971="faces and events",39,IF(J971="events and names",40,IF(J971="flashbulb",41,IF(J971="stories",42,IF(J971="course material",43,IF(J971="autobiographical",44,IF(J971="novels",45,IF(J971="public events",46,"99"))))))))))))))))))))))))))))))))))))))))))))))</f>
        <v>2</v>
      </c>
      <c r="L971" s="69">
        <f>IF(J971="syllables",1,IF(J971="trigrams",1,IF(J971="strings",1,IF(J971="visual array",1,IF(J971="characters",1,IF(J971="letters",1,IF(J971="free forms",1,IF(J971="odors",2,IF(J971="words",2,IF(J971="pictures",2,IF(J971="object pictures",2,IF(J971="faces",2,IF(J971="names",2,IF(J971="idioms","2",IF(J971="grades",2,IF(J971="syllable-digit pairs",3,IF(J971="trigram-word pairs",3,IF(J971="word-digit pairs",3,IF(J971="English-Swahili pairs",3,IF(J971="spatial position",3,IF(J971="word pairs",4,IF(J971="word triads",4,IF(J971="generated words",4,IF(J971="word definition pairs",4,IF(J971="math problems",4,IF(J971="famous faces",4,IF(J971="famous names",4,IF(J971="famous voices",4,IF(J971="television programs",4,IF(J971="race horses",4,IF(J971="new vocabulary",4,IF(J971="sentences",5,IF(J971="concepts",5,IF(J971="ad slides",5,IF(J971="scenes",5,IF(J971="famous scenes",5,IF(J971="poems",6,IF(J971="walk",6,IF(J971="faces and events",6,IF(J971="events and names",6,IF(J971="flashbulb",7,IF(J971="stories",7,IF(J971="course material",7,IF(J971="autobiographical",7,IF(J971="novels",7,IF(J971="public events",7,"99"))))))))))))))))))))))))))))))))))))))))))))))</f>
        <v>1</v>
      </c>
      <c r="M971" s="69">
        <v>0</v>
      </c>
      <c r="N971" s="69">
        <v>1</v>
      </c>
      <c r="O971" s="69">
        <v>1</v>
      </c>
      <c r="P971" s="69" t="s">
        <v>27</v>
      </c>
      <c r="Q971" s="69" t="s">
        <v>174</v>
      </c>
      <c r="R971" s="69">
        <f>IF(Q971="Free Recall",1,IF(Q971="Cued Recall",2,IF(Q971="Recognition",3,IF(Q971="Multiple Choice",4,IF(Q971="Savings",5,IF(Q971="Stem Completion",6,IF(Q971="Fragment Completion",7,IF(Q971="anagram solution",8,IF(Q971="Matching",9,IF(Q971="Problem Solving",10,"99"))))))))))</f>
        <v>1</v>
      </c>
      <c r="S971" s="69" t="s">
        <v>49</v>
      </c>
      <c r="T971" s="92" t="s">
        <v>581</v>
      </c>
      <c r="U971" s="69">
        <f>IF(T971="within",1,0)</f>
        <v>1</v>
      </c>
      <c r="V971" s="92">
        <v>48</v>
      </c>
      <c r="W971" s="69">
        <f>F971*V971</f>
        <v>1152</v>
      </c>
      <c r="X971" s="69">
        <v>6</v>
      </c>
      <c r="Y971" s="87">
        <f>AV970</f>
        <v>3</v>
      </c>
      <c r="Z971" s="69" t="s">
        <v>28</v>
      </c>
      <c r="AA971" s="69">
        <v>18</v>
      </c>
      <c r="AB971" s="69" t="str">
        <f>IF(AA971&lt;60,"1",IF(AA971&lt;=43200,"2",IF(AA971&lt;=777600,"3","4")))</f>
        <v>1</v>
      </c>
      <c r="AC971" s="72">
        <f>AVERAGE(AV970:DA970)</f>
        <v>10.5</v>
      </c>
      <c r="AD971" s="69" t="str">
        <f>IF(AC971&lt;60,"1",IF(AC971&lt;=43200,"2",IF(AC971&lt;=777600,"3","4")))</f>
        <v>1</v>
      </c>
      <c r="AE971" s="87">
        <f>AA971-Y971</f>
        <v>15</v>
      </c>
      <c r="AF971" s="88">
        <f>AV971</f>
        <v>0.53</v>
      </c>
      <c r="AG971" s="72">
        <f>((AW971-AV971)+(AX971-AW971)+(AY971-AX971)+(AZ971-AY971)+(BA971-AZ971))/5</f>
        <v>-9.6000000000000002E-2</v>
      </c>
      <c r="AH971" s="4"/>
      <c r="AI971" s="72">
        <f>RSQ(AV971:BA971,AV970:BA970)</f>
        <v>0.93013824884792651</v>
      </c>
      <c r="AJ971" s="110">
        <f>SLOPE(AV971:BA971,AV970:BA970)</f>
        <v>-3.3142857142857148E-2</v>
      </c>
      <c r="AK971" s="72">
        <f>INTERCEPT(AV971:BA971,AV970:BA970)</f>
        <v>0.58800000000000008</v>
      </c>
      <c r="AL971" s="72">
        <f>INDEX(LINEST(LN(AV971:BA971),LN(AV970:BA970),TRUE,TRUE),3,1)</f>
        <v>0.89763981789080094</v>
      </c>
      <c r="AM971" s="72">
        <f>INDEX(LINEST(LN(AV971:BA971),LN(AV970:BA970)),1)</f>
        <v>-1.3114119812826739</v>
      </c>
      <c r="AN971" s="72">
        <f>EXP(INDEX(LINEST(LN(AV971:BA971),LN(AV970:BA970)),1,2))</f>
        <v>3.103392191023556</v>
      </c>
      <c r="AO971" s="89">
        <f>INDEX(LINEST((AV971:BA971),LN(AV970:BA970),TRUE,TRUE),3,1)</f>
        <v>0.97308022133274763</v>
      </c>
      <c r="AP971" s="89">
        <f>INDEX(LINEST((AV971:BA971),LN(AV970:BA970)),1)</f>
        <v>-0.28712159253779418</v>
      </c>
      <c r="AQ971" s="90">
        <f>INDEX(LINEST(LN(AV971:BA971),SQRT(AV970:BA970),TRUE,TRUE),3,1)</f>
        <v>0.95964604317589086</v>
      </c>
      <c r="AR971" s="117">
        <f>INDEX(LINEST(LN(AV971:BA971),SQRT((AV970:BA970))),1)</f>
        <v>-0.96487975635921275</v>
      </c>
      <c r="AS971" s="91">
        <f>INDEX(LINEST(1/(AV971:BA971),1/(SQRT(AV970:BA970)),TRUE,TRUE),3,1)</f>
        <v>0.58008538596257375</v>
      </c>
      <c r="AT971" s="91">
        <f>INDEX(LINEST(1/(AV971:BA971),1/SQRT(AV970:BA970)),1)</f>
        <v>-41.278336013628795</v>
      </c>
      <c r="AU971" s="3"/>
      <c r="AV971" s="73">
        <v>0.53</v>
      </c>
      <c r="AW971" s="73">
        <v>0.41</v>
      </c>
      <c r="AX971" s="73">
        <v>0.24</v>
      </c>
      <c r="AY971" s="73">
        <v>0.12</v>
      </c>
      <c r="AZ971" s="73">
        <v>0.09</v>
      </c>
      <c r="BA971" s="73">
        <v>0.05</v>
      </c>
      <c r="BB971" s="4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1"/>
      <c r="CS971" s="1"/>
      <c r="CT971" s="1"/>
      <c r="CU971" s="1"/>
    </row>
    <row r="972" spans="1:133" s="13" customFormat="1" ht="12" customHeight="1" x14ac:dyDescent="0.2">
      <c r="A972" s="68">
        <v>43509</v>
      </c>
      <c r="B972" s="70"/>
      <c r="C972" s="70"/>
      <c r="D972" s="69"/>
      <c r="E972" s="87"/>
      <c r="F972" s="69"/>
      <c r="G972" s="69"/>
      <c r="H972" s="69"/>
      <c r="I972" s="69"/>
      <c r="J972" s="69"/>
      <c r="K972" s="107"/>
      <c r="L972" s="107"/>
      <c r="M972" s="69"/>
      <c r="N972" s="69"/>
      <c r="O972" s="69"/>
      <c r="P972" s="69"/>
      <c r="Q972" s="69"/>
      <c r="R972" s="69"/>
      <c r="S972" s="69"/>
      <c r="T972" s="69"/>
      <c r="U972" s="69"/>
      <c r="V972" s="69"/>
      <c r="W972" s="69"/>
      <c r="X972" s="69"/>
      <c r="Y972" s="87"/>
      <c r="Z972" s="69"/>
      <c r="AA972" s="69"/>
      <c r="AB972" s="69"/>
      <c r="AC972" s="69"/>
      <c r="AD972" s="69"/>
      <c r="AE972" s="69"/>
      <c r="AF972" s="88"/>
      <c r="AG972" s="72"/>
      <c r="AH972" s="4"/>
      <c r="AI972" s="72"/>
      <c r="AJ972" s="110"/>
      <c r="AK972" s="72"/>
      <c r="AL972" s="72"/>
      <c r="AM972" s="72"/>
      <c r="AN972" s="72"/>
      <c r="AO972" s="72"/>
      <c r="AP972" s="72"/>
      <c r="AQ972" s="72"/>
      <c r="AR972" s="110"/>
      <c r="AS972" s="72"/>
      <c r="AT972" s="72"/>
      <c r="AU972" s="4"/>
      <c r="AV972" s="71">
        <v>3</v>
      </c>
      <c r="AW972" s="71">
        <v>9</v>
      </c>
      <c r="AX972" s="71">
        <v>18</v>
      </c>
      <c r="AY972" s="73"/>
      <c r="AZ972" s="73"/>
      <c r="BA972" s="73"/>
      <c r="BB972" s="4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1"/>
      <c r="CS972" s="1"/>
      <c r="CT972" s="1"/>
      <c r="CU972" s="1"/>
    </row>
    <row r="973" spans="1:133" s="13" customFormat="1" ht="12" customHeight="1" x14ac:dyDescent="0.2">
      <c r="A973" s="68">
        <v>43509</v>
      </c>
      <c r="B973" s="70" t="s">
        <v>31</v>
      </c>
      <c r="C973" s="70" t="s">
        <v>19</v>
      </c>
      <c r="D973" s="69">
        <v>1959</v>
      </c>
      <c r="E973" s="87">
        <v>2</v>
      </c>
      <c r="F973" s="69">
        <v>24</v>
      </c>
      <c r="G973" s="69">
        <v>24</v>
      </c>
      <c r="H973" s="69" t="s">
        <v>22</v>
      </c>
      <c r="I973" s="69" t="s">
        <v>748</v>
      </c>
      <c r="J973" s="69" t="s">
        <v>443</v>
      </c>
      <c r="K973" s="69">
        <f>IF(J973="syllables",1,IF(J973="trigrams",2,IF(J973="strings",3,IF(J973="visual array",4,IF(J973="characters",5,IF(J973="letters",6,IF(J973="free forms",7,IF(J973="odors",8,IF(J973="words",9,IF(J973="pictures",10,IF(J973="object pictures",11,IF(J973="faces",12,IF(J973="names",13,IF(J973="idioms",14,IF(J973="grades",15,IF(J973="syllable-digit pairs",16,IF(J973="trigram-word pairs",17,IF(J973="word-digit pairs",18,IF(J973="English-Swahili pairs",19,IF(J973="spatial position",20,IF(J973="word pairs",21,IF(J973="word triads",22,IF(J973="generated words",23,IF(J973="word definition pairs",24,IF(J973="math problems",25,IF(J973="famous faces",26,IF(J973="famous names",27,IF(J973="famous voices",28,IF(J973="television programs",29,IF(J973="race horses",30,IF(J973="new vocabulary",31,IF(J973="sentences",32,IF(J973="concepts",33,IF(J973="ad slides",34,IF(J973="scenes",35,IF(J973="famous scenes",36,IF(J973="poems",37,IF(J973="walk",38,IF(J973="faces and events",39,IF(J973="events and names",40,IF(J973="flashbulb",41,IF(J973="stories",42,IF(J973="course material",43,IF(J973="autobiographical",44,IF(J973="novels",45,IF(J973="public events",46,"99"))))))))))))))))))))))))))))))))))))))))))))))</f>
        <v>2</v>
      </c>
      <c r="L973" s="69">
        <f>IF(J973="syllables",1,IF(J973="trigrams",1,IF(J973="strings",1,IF(J973="visual array",1,IF(J973="characters",1,IF(J973="letters",1,IF(J973="free forms",1,IF(J973="odors",2,IF(J973="words",2,IF(J973="pictures",2,IF(J973="object pictures",2,IF(J973="faces",2,IF(J973="names",2,IF(J973="idioms","2",IF(J973="grades",2,IF(J973="syllable-digit pairs",3,IF(J973="trigram-word pairs",3,IF(J973="word-digit pairs",3,IF(J973="English-Swahili pairs",3,IF(J973="spatial position",3,IF(J973="word pairs",4,IF(J973="word triads",4,IF(J973="generated words",4,IF(J973="word definition pairs",4,IF(J973="math problems",4,IF(J973="famous faces",4,IF(J973="famous names",4,IF(J973="famous voices",4,IF(J973="television programs",4,IF(J973="race horses",4,IF(J973="new vocabulary",4,IF(J973="sentences",5,IF(J973="concepts",5,IF(J973="ad slides",5,IF(J973="scenes",5,IF(J973="famous scenes",5,IF(J973="poems",6,IF(J973="walk",6,IF(J973="faces and events",6,IF(J973="events and names",6,IF(J973="flashbulb",7,IF(J973="stories",7,IF(J973="course material",7,IF(J973="autobiographical",7,IF(J973="novels",7,IF(J973="public events",7,"99"))))))))))))))))))))))))))))))))))))))))))))))</f>
        <v>1</v>
      </c>
      <c r="M973" s="69">
        <v>0</v>
      </c>
      <c r="N973" s="69">
        <v>1</v>
      </c>
      <c r="O973" s="69">
        <v>1</v>
      </c>
      <c r="P973" s="69" t="s">
        <v>27</v>
      </c>
      <c r="Q973" s="69" t="s">
        <v>174</v>
      </c>
      <c r="R973" s="69">
        <f>IF(Q973="Free Recall",1,IF(Q973="Cued Recall",2,IF(Q973="Recognition",3,IF(Q973="Multiple Choice",4,IF(Q973="Savings",5,IF(Q973="Stem Completion",6,IF(Q973="Fragment Completion",7,IF(Q973="anagram solution",8,IF(Q973="Matching",9,IF(Q973="Problem Solving",10,"99"))))))))))</f>
        <v>1</v>
      </c>
      <c r="S973" s="69" t="s">
        <v>49</v>
      </c>
      <c r="T973" s="92" t="s">
        <v>581</v>
      </c>
      <c r="U973" s="69">
        <f>IF(T973="within",1,0)</f>
        <v>1</v>
      </c>
      <c r="V973" s="92">
        <v>16</v>
      </c>
      <c r="W973" s="69">
        <f>F973*V973</f>
        <v>384</v>
      </c>
      <c r="X973" s="69">
        <v>3</v>
      </c>
      <c r="Y973" s="87">
        <f>AV972</f>
        <v>3</v>
      </c>
      <c r="Z973" s="69" t="s">
        <v>28</v>
      </c>
      <c r="AA973" s="69">
        <v>18</v>
      </c>
      <c r="AB973" s="69" t="str">
        <f>IF(AA973&lt;60,"1",IF(AA973&lt;=43200,"2",IF(AA973&lt;=777600,"3","4")))</f>
        <v>1</v>
      </c>
      <c r="AC973" s="72">
        <f>AVERAGE(AV972:DA972)</f>
        <v>10</v>
      </c>
      <c r="AD973" s="69" t="str">
        <f>IF(AC973&lt;60,"1",IF(AC973&lt;=43200,"2",IF(AC973&lt;=777600,"3","4")))</f>
        <v>1</v>
      </c>
      <c r="AE973" s="87">
        <f>AA973-Y973</f>
        <v>15</v>
      </c>
      <c r="AF973" s="88">
        <f>AV973</f>
        <v>0.8</v>
      </c>
      <c r="AG973" s="72">
        <f>((AW973-AV973)+(AX973-AW973))/2</f>
        <v>-0.23</v>
      </c>
      <c r="AH973" s="4"/>
      <c r="AI973" s="72">
        <f>RSQ(AV973:AX973,AV972:AX972)</f>
        <v>0.89057175312381676</v>
      </c>
      <c r="AJ973" s="110">
        <f>SLOPE(AV973:AX973,AV972:AX972)</f>
        <v>-2.9473684210526319E-2</v>
      </c>
      <c r="AK973" s="72">
        <f>INTERCEPT(AV973:AX973,AV972:AX972)</f>
        <v>0.83473684210526322</v>
      </c>
      <c r="AL973" s="72">
        <f>INDEX(LINEST(LN(AV973:AX973),LN(AV972:AX972),TRUE,TRUE),3,1)</f>
        <v>0.99966208208366714</v>
      </c>
      <c r="AM973" s="72">
        <f>INDEX(LINEST(LN(AV973:AX973),LN(AV972:AX972)),1)</f>
        <v>-0.47641195682701493</v>
      </c>
      <c r="AN973" s="72">
        <f>EXP(INDEX(LINEST(LN(AV973:AX973),LN(AV972:AX972)),1,2))</f>
        <v>1.3549354155054387</v>
      </c>
      <c r="AO973" s="89">
        <f>INDEX(LINEST((AV973:AX973),LN(AV972:AX972),TRUE,TRUE),3,1)</f>
        <v>0.99150957885817881</v>
      </c>
      <c r="AP973" s="89">
        <f>INDEX(LINEST((AV973:AX973),LN(AV972:AX972)),1)</f>
        <v>-0.25987277180048968</v>
      </c>
      <c r="AQ973" s="90">
        <f>INDEX(LINEST(LN(AV973:AX973),SQRT(AV972:AX972),TRUE,TRUE),3,1)</f>
        <v>0.98886661263120423</v>
      </c>
      <c r="AR973" s="117">
        <f>INDEX(LINEST(LN(AV973:AX973),SQRT((AV972:AX972))),1)</f>
        <v>-0.34103334182186767</v>
      </c>
      <c r="AS973" s="91">
        <f>INDEX(LINEST(1/(AV973:AX973),1/(SQRT(AV972:AX972)),TRUE,TRUE),3,1)</f>
        <v>0.93837072843843594</v>
      </c>
      <c r="AT973" s="91">
        <f>INDEX(LINEST(1/(AV973:AX973),1/SQRT(AV972:AX972)),1)</f>
        <v>-4.6549473143271181</v>
      </c>
      <c r="AU973" s="3"/>
      <c r="AV973" s="73">
        <v>0.8</v>
      </c>
      <c r="AW973" s="73">
        <v>0.48</v>
      </c>
      <c r="AX973" s="73">
        <v>0.34</v>
      </c>
      <c r="AY973" s="102"/>
      <c r="AZ973" s="73"/>
      <c r="BA973" s="73"/>
      <c r="BB973" s="4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1"/>
      <c r="CS973" s="1"/>
      <c r="CT973" s="1"/>
      <c r="CU973" s="1"/>
    </row>
    <row r="974" spans="1:133" s="13" customFormat="1" ht="12" customHeight="1" x14ac:dyDescent="0.2">
      <c r="A974" s="68">
        <v>43509</v>
      </c>
      <c r="B974" s="70"/>
      <c r="C974" s="70"/>
      <c r="D974" s="69"/>
      <c r="E974" s="87"/>
      <c r="F974" s="69"/>
      <c r="G974" s="69"/>
      <c r="H974" s="69"/>
      <c r="I974" s="69"/>
      <c r="J974" s="69"/>
      <c r="K974" s="107"/>
      <c r="L974" s="107"/>
      <c r="M974" s="69"/>
      <c r="N974" s="69"/>
      <c r="O974" s="69"/>
      <c r="P974" s="69"/>
      <c r="Q974" s="69"/>
      <c r="R974" s="69"/>
      <c r="S974" s="69"/>
      <c r="T974" s="69"/>
      <c r="U974" s="69"/>
      <c r="V974" s="69"/>
      <c r="W974" s="69"/>
      <c r="X974" s="69"/>
      <c r="Y974" s="87"/>
      <c r="Z974" s="69"/>
      <c r="AA974" s="69"/>
      <c r="AB974" s="69"/>
      <c r="AC974" s="69"/>
      <c r="AD974" s="69"/>
      <c r="AE974" s="69"/>
      <c r="AF974" s="88"/>
      <c r="AG974" s="72"/>
      <c r="AH974" s="4"/>
      <c r="AI974" s="72"/>
      <c r="AJ974" s="110"/>
      <c r="AK974" s="72"/>
      <c r="AL974" s="72"/>
      <c r="AM974" s="72"/>
      <c r="AN974" s="72"/>
      <c r="AO974" s="89"/>
      <c r="AP974" s="89"/>
      <c r="AQ974" s="89"/>
      <c r="AR974" s="118"/>
      <c r="AS974" s="89"/>
      <c r="AT974" s="89"/>
      <c r="AU974" s="3"/>
      <c r="AV974" s="71">
        <v>3</v>
      </c>
      <c r="AW974" s="71">
        <v>9</v>
      </c>
      <c r="AX974" s="71">
        <v>18</v>
      </c>
      <c r="AY974" s="102"/>
      <c r="AZ974" s="73"/>
      <c r="BA974" s="73"/>
      <c r="BB974" s="4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1"/>
      <c r="CS974" s="1"/>
      <c r="CT974" s="1"/>
      <c r="CU974" s="1"/>
    </row>
    <row r="975" spans="1:133" s="13" customFormat="1" ht="12" customHeight="1" x14ac:dyDescent="0.2">
      <c r="A975" s="68">
        <v>43509</v>
      </c>
      <c r="B975" s="70" t="s">
        <v>31</v>
      </c>
      <c r="C975" s="70" t="s">
        <v>19</v>
      </c>
      <c r="D975" s="69">
        <v>1959</v>
      </c>
      <c r="E975" s="87">
        <v>2</v>
      </c>
      <c r="F975" s="69">
        <v>24</v>
      </c>
      <c r="G975" s="69">
        <v>24</v>
      </c>
      <c r="H975" s="69" t="s">
        <v>22</v>
      </c>
      <c r="I975" s="69" t="s">
        <v>749</v>
      </c>
      <c r="J975" s="69" t="s">
        <v>443</v>
      </c>
      <c r="K975" s="69">
        <f>IF(J975="syllables",1,IF(J975="trigrams",2,IF(J975="strings",3,IF(J975="visual array",4,IF(J975="characters",5,IF(J975="letters",6,IF(J975="free forms",7,IF(J975="odors",8,IF(J975="words",9,IF(J975="pictures",10,IF(J975="object pictures",11,IF(J975="faces",12,IF(J975="names",13,IF(J975="idioms",14,IF(J975="grades",15,IF(J975="syllable-digit pairs",16,IF(J975="trigram-word pairs",17,IF(J975="word-digit pairs",18,IF(J975="English-Swahili pairs",19,IF(J975="spatial position",20,IF(J975="word pairs",21,IF(J975="word triads",22,IF(J975="generated words",23,IF(J975="word definition pairs",24,IF(J975="math problems",25,IF(J975="famous faces",26,IF(J975="famous names",27,IF(J975="famous voices",28,IF(J975="television programs",29,IF(J975="race horses",30,IF(J975="new vocabulary",31,IF(J975="sentences",32,IF(J975="concepts",33,IF(J975="ad slides",34,IF(J975="scenes",35,IF(J975="famous scenes",36,IF(J975="poems",37,IF(J975="walk",38,IF(J975="faces and events",39,IF(J975="events and names",40,IF(J975="flashbulb",41,IF(J975="stories",42,IF(J975="course material",43,IF(J975="autobiographical",44,IF(J975="novels",45,IF(J975="public events",46,"99"))))))))))))))))))))))))))))))))))))))))))))))</f>
        <v>2</v>
      </c>
      <c r="L975" s="69">
        <f>IF(J975="syllables",1,IF(J975="trigrams",1,IF(J975="strings",1,IF(J975="visual array",1,IF(J975="characters",1,IF(J975="letters",1,IF(J975="free forms",1,IF(J975="odors",2,IF(J975="words",2,IF(J975="pictures",2,IF(J975="object pictures",2,IF(J975="faces",2,IF(J975="names",2,IF(J975="idioms","2",IF(J975="grades",2,IF(J975="syllable-digit pairs",3,IF(J975="trigram-word pairs",3,IF(J975="word-digit pairs",3,IF(J975="English-Swahili pairs",3,IF(J975="spatial position",3,IF(J975="word pairs",4,IF(J975="word triads",4,IF(J975="generated words",4,IF(J975="word definition pairs",4,IF(J975="math problems",4,IF(J975="famous faces",4,IF(J975="famous names",4,IF(J975="famous voices",4,IF(J975="television programs",4,IF(J975="race horses",4,IF(J975="new vocabulary",4,IF(J975="sentences",5,IF(J975="concepts",5,IF(J975="ad slides",5,IF(J975="scenes",5,IF(J975="famous scenes",5,IF(J975="poems",6,IF(J975="walk",6,IF(J975="faces and events",6,IF(J975="events and names",6,IF(J975="flashbulb",7,IF(J975="stories",7,IF(J975="course material",7,IF(J975="autobiographical",7,IF(J975="novels",7,IF(J975="public events",7,"99"))))))))))))))))))))))))))))))))))))))))))))))</f>
        <v>1</v>
      </c>
      <c r="M975" s="69">
        <v>0</v>
      </c>
      <c r="N975" s="69">
        <v>1</v>
      </c>
      <c r="O975" s="69">
        <v>1</v>
      </c>
      <c r="P975" s="69" t="s">
        <v>27</v>
      </c>
      <c r="Q975" s="69" t="s">
        <v>174</v>
      </c>
      <c r="R975" s="69">
        <f>IF(Q975="Free Recall",1,IF(Q975="Cued Recall",2,IF(Q975="Recognition",3,IF(Q975="Multiple Choice",4,IF(Q975="Savings",5,IF(Q975="Stem Completion",6,IF(Q975="Fragment Completion",7,IF(Q975="anagram solution",8,IF(Q975="Matching",9,IF(Q975="Problem Solving",10,"99"))))))))))</f>
        <v>1</v>
      </c>
      <c r="S975" s="69" t="s">
        <v>49</v>
      </c>
      <c r="T975" s="92" t="s">
        <v>581</v>
      </c>
      <c r="U975" s="69">
        <f>IF(T975="within",1,0)</f>
        <v>1</v>
      </c>
      <c r="V975" s="92">
        <v>16</v>
      </c>
      <c r="W975" s="69">
        <f>F975*V975</f>
        <v>384</v>
      </c>
      <c r="X975" s="69">
        <v>3</v>
      </c>
      <c r="Y975" s="87">
        <f>AV974</f>
        <v>3</v>
      </c>
      <c r="Z975" s="69" t="s">
        <v>28</v>
      </c>
      <c r="AA975" s="69">
        <v>18</v>
      </c>
      <c r="AB975" s="69" t="str">
        <f>IF(AA975&lt;60,"1",IF(AA975&lt;=43200,"2",IF(AA975&lt;=777600,"3","4")))</f>
        <v>1</v>
      </c>
      <c r="AC975" s="72">
        <f>AVERAGE(AV974:DA974)</f>
        <v>10</v>
      </c>
      <c r="AD975" s="69" t="str">
        <f>IF(AC975&lt;60,"1",IF(AC975&lt;=43200,"2",IF(AC975&lt;=777600,"3","4")))</f>
        <v>1</v>
      </c>
      <c r="AE975" s="87">
        <f>AA975-Y975</f>
        <v>15</v>
      </c>
      <c r="AF975" s="88">
        <f>AV975</f>
        <v>0.68</v>
      </c>
      <c r="AG975" s="72">
        <f>((AW975-AV975)+(AX975-AW975))/2</f>
        <v>-0.23500000000000004</v>
      </c>
      <c r="AH975" s="4"/>
      <c r="AI975" s="72">
        <f>RSQ(AV975:AX975,AV974:AX974)</f>
        <v>0.87096774193548399</v>
      </c>
      <c r="AJ975" s="110">
        <f>SLOPE(AV975:AX975,AV974:AX974)</f>
        <v>-3.0000000000000006E-2</v>
      </c>
      <c r="AK975" s="72">
        <f>INTERCEPT(AV975:AX975,AV974:AX974)</f>
        <v>0.71</v>
      </c>
      <c r="AL975" s="72">
        <f>INDEX(LINEST(LN(AV975:AX975),LN(AV974:AX974),TRUE,TRUE),3,1)</f>
        <v>0.99930027309590574</v>
      </c>
      <c r="AM975" s="72">
        <f>INDEX(LINEST(LN(AV975:AX975),LN(AV974:AX974)),1)</f>
        <v>-0.65351241503468982</v>
      </c>
      <c r="AN975" s="72">
        <f>EXP(INDEX(LINEST(LN(AV975:AX975),LN(AV974:AX974)),1,2))</f>
        <v>1.403844787232613</v>
      </c>
      <c r="AO975" s="89">
        <f>INDEX(LINEST((AV975:AX975),LN(AV974:AX974),TRUE,TRUE),3,1)</f>
        <v>0.98505756831423763</v>
      </c>
      <c r="AP975" s="89">
        <f>INDEX(LINEST((AV975:AX975),LN(AV974:AX974)),1)</f>
        <v>-0.2666019853133022</v>
      </c>
      <c r="AQ975" s="90">
        <f>INDEX(LINEST(LN(AV975:AX975),SQRT(AV974:AX974),TRUE,TRUE),3,1)</f>
        <v>0.99049672958102153</v>
      </c>
      <c r="AR975" s="117">
        <f>INDEX(LINEST(LN(AV975:AX975),SQRT((AV974:AX974))),1)</f>
        <v>-0.46827859116513726</v>
      </c>
      <c r="AS975" s="91">
        <f>INDEX(LINEST(1/(AV975:AX975),1/(SQRT(AV974:AX974)),TRUE,TRUE),3,1)</f>
        <v>0.91048070657290237</v>
      </c>
      <c r="AT975" s="91">
        <f>INDEX(LINEST(1/(AV975:AX975),1/SQRT(AV974:AX974)),1)</f>
        <v>-8.9401760866967752</v>
      </c>
      <c r="AU975" s="3"/>
      <c r="AV975" s="73">
        <v>0.68</v>
      </c>
      <c r="AW975" s="73">
        <v>0.34</v>
      </c>
      <c r="AX975" s="73">
        <v>0.21</v>
      </c>
      <c r="AY975" s="102"/>
      <c r="AZ975" s="73"/>
      <c r="BA975" s="73"/>
      <c r="BB975" s="4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1"/>
      <c r="CS975" s="1"/>
      <c r="CT975" s="1"/>
      <c r="CU975" s="1"/>
    </row>
    <row r="976" spans="1:133" s="13" customFormat="1" ht="12" customHeight="1" x14ac:dyDescent="0.2">
      <c r="A976" s="68">
        <v>43509</v>
      </c>
      <c r="B976" s="70"/>
      <c r="C976" s="70"/>
      <c r="D976" s="69"/>
      <c r="E976" s="87"/>
      <c r="F976" s="69"/>
      <c r="G976" s="69"/>
      <c r="H976" s="69"/>
      <c r="I976" s="69"/>
      <c r="J976" s="69"/>
      <c r="K976" s="107"/>
      <c r="L976" s="107"/>
      <c r="M976" s="69"/>
      <c r="N976" s="69"/>
      <c r="O976" s="69"/>
      <c r="P976" s="69"/>
      <c r="Q976" s="69"/>
      <c r="R976" s="69"/>
      <c r="S976" s="69"/>
      <c r="T976" s="92"/>
      <c r="U976" s="69"/>
      <c r="V976" s="92"/>
      <c r="W976" s="69"/>
      <c r="X976" s="69"/>
      <c r="Y976" s="87"/>
      <c r="Z976" s="69"/>
      <c r="AA976" s="69"/>
      <c r="AB976" s="69"/>
      <c r="AC976" s="69"/>
      <c r="AD976" s="69"/>
      <c r="AE976" s="69"/>
      <c r="AF976" s="88"/>
      <c r="AG976" s="72"/>
      <c r="AH976" s="4"/>
      <c r="AI976" s="72"/>
      <c r="AJ976" s="110"/>
      <c r="AK976" s="72"/>
      <c r="AL976" s="72"/>
      <c r="AM976" s="72"/>
      <c r="AN976" s="72"/>
      <c r="AO976" s="89"/>
      <c r="AP976" s="89"/>
      <c r="AQ976" s="89"/>
      <c r="AR976" s="118"/>
      <c r="AS976" s="89"/>
      <c r="AT976" s="89"/>
      <c r="AU976" s="3"/>
      <c r="AV976" s="71">
        <v>3</v>
      </c>
      <c r="AW976" s="71">
        <v>9</v>
      </c>
      <c r="AX976" s="71">
        <v>18</v>
      </c>
      <c r="AY976" s="102"/>
      <c r="AZ976" s="73"/>
      <c r="BA976" s="73"/>
      <c r="BB976" s="4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1"/>
      <c r="CS976" s="1"/>
      <c r="CT976" s="1"/>
      <c r="CU976" s="1"/>
    </row>
    <row r="977" spans="1:99" s="13" customFormat="1" ht="12" customHeight="1" x14ac:dyDescent="0.2">
      <c r="A977" s="68">
        <v>43509</v>
      </c>
      <c r="B977" s="70" t="s">
        <v>31</v>
      </c>
      <c r="C977" s="70" t="s">
        <v>19</v>
      </c>
      <c r="D977" s="69">
        <v>1959</v>
      </c>
      <c r="E977" s="87">
        <v>2</v>
      </c>
      <c r="F977" s="69">
        <v>24</v>
      </c>
      <c r="G977" s="69">
        <v>24</v>
      </c>
      <c r="H977" s="69" t="s">
        <v>22</v>
      </c>
      <c r="I977" s="69" t="s">
        <v>750</v>
      </c>
      <c r="J977" s="69" t="s">
        <v>443</v>
      </c>
      <c r="K977" s="69">
        <f>IF(J977="syllables",1,IF(J977="trigrams",2,IF(J977="strings",3,IF(J977="visual array",4,IF(J977="characters",5,IF(J977="letters",6,IF(J977="free forms",7,IF(J977="odors",8,IF(J977="words",9,IF(J977="pictures",10,IF(J977="object pictures",11,IF(J977="faces",12,IF(J977="names",13,IF(J977="idioms",14,IF(J977="grades",15,IF(J977="syllable-digit pairs",16,IF(J977="trigram-word pairs",17,IF(J977="word-digit pairs",18,IF(J977="English-Swahili pairs",19,IF(J977="spatial position",20,IF(J977="word pairs",21,IF(J977="word triads",22,IF(J977="generated words",23,IF(J977="word definition pairs",24,IF(J977="math problems",25,IF(J977="famous faces",26,IF(J977="famous names",27,IF(J977="famous voices",28,IF(J977="television programs",29,IF(J977="race horses",30,IF(J977="new vocabulary",31,IF(J977="sentences",32,IF(J977="concepts",33,IF(J977="ad slides",34,IF(J977="scenes",35,IF(J977="famous scenes",36,IF(J977="poems",37,IF(J977="walk",38,IF(J977="faces and events",39,IF(J977="events and names",40,IF(J977="flashbulb",41,IF(J977="stories",42,IF(J977="course material",43,IF(J977="autobiographical",44,IF(J977="novels",45,IF(J977="public events",46,"99"))))))))))))))))))))))))))))))))))))))))))))))</f>
        <v>2</v>
      </c>
      <c r="L977" s="69">
        <f>IF(J977="syllables",1,IF(J977="trigrams",1,IF(J977="strings",1,IF(J977="visual array",1,IF(J977="characters",1,IF(J977="letters",1,IF(J977="free forms",1,IF(J977="odors",2,IF(J977="words",2,IF(J977="pictures",2,IF(J977="object pictures",2,IF(J977="faces",2,IF(J977="names",2,IF(J977="idioms","2",IF(J977="grades",2,IF(J977="syllable-digit pairs",3,IF(J977="trigram-word pairs",3,IF(J977="word-digit pairs",3,IF(J977="English-Swahili pairs",3,IF(J977="spatial position",3,IF(J977="word pairs",4,IF(J977="word triads",4,IF(J977="generated words",4,IF(J977="word definition pairs",4,IF(J977="math problems",4,IF(J977="famous faces",4,IF(J977="famous names",4,IF(J977="famous voices",4,IF(J977="television programs",4,IF(J977="race horses",4,IF(J977="new vocabulary",4,IF(J977="sentences",5,IF(J977="concepts",5,IF(J977="ad slides",5,IF(J977="scenes",5,IF(J977="famous scenes",5,IF(J977="poems",6,IF(J977="walk",6,IF(J977="faces and events",6,IF(J977="events and names",6,IF(J977="flashbulb",7,IF(J977="stories",7,IF(J977="course material",7,IF(J977="autobiographical",7,IF(J977="novels",7,IF(J977="public events",7,"99"))))))))))))))))))))))))))))))))))))))))))))))</f>
        <v>1</v>
      </c>
      <c r="M977" s="69">
        <v>0</v>
      </c>
      <c r="N977" s="69">
        <v>1</v>
      </c>
      <c r="O977" s="69">
        <v>1</v>
      </c>
      <c r="P977" s="69" t="s">
        <v>27</v>
      </c>
      <c r="Q977" s="69" t="s">
        <v>174</v>
      </c>
      <c r="R977" s="69">
        <f>IF(Q977="Free Recall",1,IF(Q977="Cued Recall",2,IF(Q977="Recognition",3,IF(Q977="Multiple Choice",4,IF(Q977="Savings",5,IF(Q977="Stem Completion",6,IF(Q977="Fragment Completion",7,IF(Q977="anagram solution",8,IF(Q977="Matching",9,IF(Q977="Problem Solving",10,"99"))))))))))</f>
        <v>1</v>
      </c>
      <c r="S977" s="69" t="s">
        <v>49</v>
      </c>
      <c r="T977" s="92" t="s">
        <v>581</v>
      </c>
      <c r="U977" s="69">
        <f>IF(T977="within",1,0)</f>
        <v>1</v>
      </c>
      <c r="V977" s="92">
        <v>16</v>
      </c>
      <c r="W977" s="69">
        <f>F977*V977</f>
        <v>384</v>
      </c>
      <c r="X977" s="69">
        <v>3</v>
      </c>
      <c r="Y977" s="87">
        <f>AV976</f>
        <v>3</v>
      </c>
      <c r="Z977" s="69" t="s">
        <v>28</v>
      </c>
      <c r="AA977" s="69">
        <v>18</v>
      </c>
      <c r="AB977" s="69" t="str">
        <f>IF(AA977&lt;60,"1",IF(AA977&lt;=43200,"2",IF(AA977&lt;=777600,"3","4")))</f>
        <v>1</v>
      </c>
      <c r="AC977" s="72">
        <f>AVERAGE(AV976:DA976)</f>
        <v>10</v>
      </c>
      <c r="AD977" s="69" t="str">
        <f>IF(AC977&lt;60,"1",IF(AC977&lt;=43200,"2",IF(AC977&lt;=777600,"3","4")))</f>
        <v>1</v>
      </c>
      <c r="AE977" s="87">
        <f>AA977-Y977</f>
        <v>15</v>
      </c>
      <c r="AF977" s="88">
        <f>AV977</f>
        <v>0.6</v>
      </c>
      <c r="AG977" s="72">
        <f>((AW977-AV977)+(AX977-AW977))/2</f>
        <v>-0.22999999999999998</v>
      </c>
      <c r="AH977" s="4"/>
      <c r="AI977" s="72">
        <f>RSQ(AV977:AX977,AV976:AX976)</f>
        <v>0.84290340235337036</v>
      </c>
      <c r="AJ977" s="110">
        <f>SLOPE(AV977:AX977,AV976:AX976)</f>
        <v>-2.9210526315789472E-2</v>
      </c>
      <c r="AK977" s="72">
        <f>INTERCEPT(AV977:AX977,AV976:AX976)</f>
        <v>0.62210526315789472</v>
      </c>
      <c r="AL977" s="72">
        <f>INDEX(LINEST(LN(AV977:AX977),LN(AV976:AX976),TRUE,TRUE),3,1)</f>
        <v>0.99982691381057243</v>
      </c>
      <c r="AM977" s="72">
        <f>INDEX(LINEST(LN(AV977:AX977),LN(AV976:AX976)),1)</f>
        <v>-0.81081745451120035</v>
      </c>
      <c r="AN977" s="72">
        <f>EXP(INDEX(LINEST(LN(AV977:AX977),LN(AV976:AX976)),1,2))</f>
        <v>1.4684650859845874</v>
      </c>
      <c r="AO977" s="89">
        <f>INDEX(LINEST((AV977:AX977),LN(AV976:AX976),TRUE,TRUE),3,1)</f>
        <v>0.97377228715827391</v>
      </c>
      <c r="AP977" s="89">
        <f>INDEX(LINEST((AV977:AX977),LN(AV976:AX976)),1)</f>
        <v>-0.26235632428993372</v>
      </c>
      <c r="AQ977" s="90">
        <f>INDEX(LINEST(LN(AV977:AX977),SQRT(AV976:AX976),TRUE,TRUE),3,1)</f>
        <v>0.98774302980853201</v>
      </c>
      <c r="AR977" s="117">
        <f>INDEX(LINEST(LN(AV977:AX977),SQRT((AV976:AX976))),1)</f>
        <v>-0.5800355409202792</v>
      </c>
      <c r="AS977" s="91">
        <f>INDEX(LINEST(1/(AV977:AX977),1/(SQRT(AV976:AX976)),TRUE,TRUE),3,1)</f>
        <v>0.89643275472467565</v>
      </c>
      <c r="AT977" s="91">
        <f>INDEX(LINEST(1/(AV977:AX977),1/SQRT(AV976:AX976)),1)</f>
        <v>-14.785527559120688</v>
      </c>
      <c r="AU977" s="3"/>
      <c r="AV977" s="73">
        <v>0.6</v>
      </c>
      <c r="AW977" s="73">
        <v>0.25</v>
      </c>
      <c r="AX977" s="73">
        <v>0.14000000000000001</v>
      </c>
      <c r="AY977" s="102"/>
      <c r="AZ977" s="73"/>
      <c r="BA977" s="73"/>
      <c r="BB977" s="4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1"/>
      <c r="CS977" s="1"/>
      <c r="CT977" s="1"/>
      <c r="CU977" s="1"/>
    </row>
    <row r="978" spans="1:99" s="13" customFormat="1" ht="12" customHeight="1" x14ac:dyDescent="0.2">
      <c r="A978" s="68">
        <v>43509</v>
      </c>
      <c r="B978" s="70"/>
      <c r="C978" s="70"/>
      <c r="D978" s="69"/>
      <c r="E978" s="87"/>
      <c r="F978" s="69"/>
      <c r="G978" s="69"/>
      <c r="H978" s="69"/>
      <c r="I978" s="69"/>
      <c r="J978" s="69"/>
      <c r="K978" s="107"/>
      <c r="L978" s="107"/>
      <c r="M978" s="69"/>
      <c r="N978" s="69"/>
      <c r="O978" s="69"/>
      <c r="P978" s="69"/>
      <c r="Q978" s="69"/>
      <c r="R978" s="69"/>
      <c r="S978" s="69"/>
      <c r="T978" s="69"/>
      <c r="U978" s="69"/>
      <c r="V978" s="69"/>
      <c r="W978" s="69"/>
      <c r="X978" s="69"/>
      <c r="Y978" s="87"/>
      <c r="Z978" s="69"/>
      <c r="AA978" s="69"/>
      <c r="AB978" s="69"/>
      <c r="AC978" s="69"/>
      <c r="AD978" s="69"/>
      <c r="AE978" s="69"/>
      <c r="AF978" s="88"/>
      <c r="AG978" s="72"/>
      <c r="AH978" s="4"/>
      <c r="AI978" s="72"/>
      <c r="AJ978" s="110"/>
      <c r="AK978" s="72"/>
      <c r="AL978" s="72"/>
      <c r="AM978" s="72"/>
      <c r="AN978" s="72"/>
      <c r="AO978" s="89"/>
      <c r="AP978" s="89"/>
      <c r="AQ978" s="89"/>
      <c r="AR978" s="118"/>
      <c r="AS978" s="89"/>
      <c r="AT978" s="89"/>
      <c r="AU978" s="3"/>
      <c r="AV978" s="71">
        <v>3</v>
      </c>
      <c r="AW978" s="71">
        <v>9</v>
      </c>
      <c r="AX978" s="71">
        <v>18</v>
      </c>
      <c r="AY978" s="102"/>
      <c r="AZ978" s="73"/>
      <c r="BA978" s="73"/>
      <c r="BB978" s="4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1"/>
      <c r="CS978" s="1"/>
      <c r="CT978" s="1"/>
      <c r="CU978" s="1"/>
    </row>
    <row r="979" spans="1:99" s="13" customFormat="1" ht="12" customHeight="1" x14ac:dyDescent="0.2">
      <c r="A979" s="68">
        <v>43509</v>
      </c>
      <c r="B979" s="70" t="s">
        <v>31</v>
      </c>
      <c r="C979" s="70" t="s">
        <v>19</v>
      </c>
      <c r="D979" s="69">
        <v>1959</v>
      </c>
      <c r="E979" s="87">
        <v>2</v>
      </c>
      <c r="F979" s="69">
        <v>24</v>
      </c>
      <c r="G979" s="69">
        <v>24</v>
      </c>
      <c r="H979" s="69" t="s">
        <v>22</v>
      </c>
      <c r="I979" s="69" t="s">
        <v>751</v>
      </c>
      <c r="J979" s="69" t="s">
        <v>443</v>
      </c>
      <c r="K979" s="69">
        <f>IF(J979="syllables",1,IF(J979="trigrams",2,IF(J979="strings",3,IF(J979="visual array",4,IF(J979="characters",5,IF(J979="letters",6,IF(J979="free forms",7,IF(J979="odors",8,IF(J979="words",9,IF(J979="pictures",10,IF(J979="object pictures",11,IF(J979="faces",12,IF(J979="names",13,IF(J979="idioms",14,IF(J979="grades",15,IF(J979="syllable-digit pairs",16,IF(J979="trigram-word pairs",17,IF(J979="word-digit pairs",18,IF(J979="English-Swahili pairs",19,IF(J979="spatial position",20,IF(J979="word pairs",21,IF(J979="word triads",22,IF(J979="generated words",23,IF(J979="word definition pairs",24,IF(J979="math problems",25,IF(J979="famous faces",26,IF(J979="famous names",27,IF(J979="famous voices",28,IF(J979="television programs",29,IF(J979="race horses",30,IF(J979="new vocabulary",31,IF(J979="sentences",32,IF(J979="concepts",33,IF(J979="ad slides",34,IF(J979="scenes",35,IF(J979="famous scenes",36,IF(J979="poems",37,IF(J979="walk",38,IF(J979="faces and events",39,IF(J979="events and names",40,IF(J979="flashbulb",41,IF(J979="stories",42,IF(J979="course material",43,IF(J979="autobiographical",44,IF(J979="novels",45,IF(J979="public events",46,"99"))))))))))))))))))))))))))))))))))))))))))))))</f>
        <v>2</v>
      </c>
      <c r="L979" s="69">
        <f>IF(J979="syllables",1,IF(J979="trigrams",1,IF(J979="strings",1,IF(J979="visual array",1,IF(J979="characters",1,IF(J979="letters",1,IF(J979="free forms",1,IF(J979="odors",2,IF(J979="words",2,IF(J979="pictures",2,IF(J979="object pictures",2,IF(J979="faces",2,IF(J979="names",2,IF(J979="idioms","2",IF(J979="grades",2,IF(J979="syllable-digit pairs",3,IF(J979="trigram-word pairs",3,IF(J979="word-digit pairs",3,IF(J979="English-Swahili pairs",3,IF(J979="spatial position",3,IF(J979="word pairs",4,IF(J979="word triads",4,IF(J979="generated words",4,IF(J979="word definition pairs",4,IF(J979="math problems",4,IF(J979="famous faces",4,IF(J979="famous names",4,IF(J979="famous voices",4,IF(J979="television programs",4,IF(J979="race horses",4,IF(J979="new vocabulary",4,IF(J979="sentences",5,IF(J979="concepts",5,IF(J979="ad slides",5,IF(J979="scenes",5,IF(J979="famous scenes",5,IF(J979="poems",6,IF(J979="walk",6,IF(J979="faces and events",6,IF(J979="events and names",6,IF(J979="flashbulb",7,IF(J979="stories",7,IF(J979="course material",7,IF(J979="autobiographical",7,IF(J979="novels",7,IF(J979="public events",7,"99"))))))))))))))))))))))))))))))))))))))))))))))</f>
        <v>1</v>
      </c>
      <c r="M979" s="69">
        <v>0</v>
      </c>
      <c r="N979" s="69">
        <v>1</v>
      </c>
      <c r="O979" s="69">
        <v>1</v>
      </c>
      <c r="P979" s="69" t="s">
        <v>27</v>
      </c>
      <c r="Q979" s="69" t="s">
        <v>174</v>
      </c>
      <c r="R979" s="69">
        <f>IF(Q979="Free Recall",1,IF(Q979="Cued Recall",2,IF(Q979="Recognition",3,IF(Q979="Multiple Choice",4,IF(Q979="Savings",5,IF(Q979="Stem Completion",6,IF(Q979="Fragment Completion",7,IF(Q979="anagram solution",8,IF(Q979="Matching",9,IF(Q979="Problem Solving",10,"99"))))))))))</f>
        <v>1</v>
      </c>
      <c r="S979" s="69" t="s">
        <v>49</v>
      </c>
      <c r="T979" s="92" t="s">
        <v>581</v>
      </c>
      <c r="U979" s="69">
        <f>IF(T979="within",1,0)</f>
        <v>1</v>
      </c>
      <c r="V979" s="92">
        <v>16</v>
      </c>
      <c r="W979" s="69">
        <f>F979*V979</f>
        <v>384</v>
      </c>
      <c r="X979" s="69">
        <v>3</v>
      </c>
      <c r="Y979" s="87">
        <f>AV978</f>
        <v>3</v>
      </c>
      <c r="Z979" s="69" t="s">
        <v>28</v>
      </c>
      <c r="AA979" s="69">
        <v>18</v>
      </c>
      <c r="AB979" s="69" t="str">
        <f>IF(AA979&lt;60,"1",IF(AA979&lt;=43200,"2",IF(AA979&lt;=777600,"3","4")))</f>
        <v>1</v>
      </c>
      <c r="AC979" s="72">
        <f>AVERAGE(AV978:DA978)</f>
        <v>10</v>
      </c>
      <c r="AD979" s="69" t="str">
        <f>IF(AC979&lt;60,"1",IF(AC979&lt;=43200,"2",IF(AC979&lt;=777600,"3","4")))</f>
        <v>1</v>
      </c>
      <c r="AE979" s="87">
        <f>AA979-Y979</f>
        <v>15</v>
      </c>
      <c r="AF979" s="88">
        <f>AV979</f>
        <v>0.7</v>
      </c>
      <c r="AG979" s="72">
        <f>((AW979-AV979)+(AX979-AW979))/2</f>
        <v>-0.19999999999999998</v>
      </c>
      <c r="AH979" s="4"/>
      <c r="AI979" s="72">
        <f>RSQ(AV979:AX979,AV978:AX978)</f>
        <v>0.83191561416789506</v>
      </c>
      <c r="AJ979" s="110">
        <f>SLOPE(AV979:AX979,AV978:AX978)</f>
        <v>-2.5350877192982454E-2</v>
      </c>
      <c r="AK979" s="72">
        <f>INTERCEPT(AV979:AX979,AV978:AX978)</f>
        <v>0.71684210526315784</v>
      </c>
      <c r="AL979" s="72">
        <f>INDEX(LINEST(LN(AV979:AX979),LN(AV978:AX978),TRUE,TRUE),3,1)</f>
        <v>0.99254609410921246</v>
      </c>
      <c r="AM979" s="72">
        <f>INDEX(LINEST(LN(AV979:AX979),LN(AV978:AX978)),1)</f>
        <v>-0.47830135006197272</v>
      </c>
      <c r="AN979" s="72">
        <f>EXP(INDEX(LINEST(LN(AV979:AX979),LN(AV978:AX978)),1,2))</f>
        <v>1.1643991654303845</v>
      </c>
      <c r="AO979" s="89">
        <f>INDEX(LINEST((AV979:AX979),LN(AV978:AX978),TRUE,TRUE),3,1)</f>
        <v>0.96880342513426199</v>
      </c>
      <c r="AP979" s="89">
        <f>INDEX(LINEST((AV979:AX979),LN(AV978:AX978)),1)</f>
        <v>-0.2286038498515767</v>
      </c>
      <c r="AQ979" s="90">
        <f>INDEX(LINEST(LN(AV979:AX979),SQRT(AV978:AX978),TRUE,TRUE),3,1)</f>
        <v>0.95632448407599546</v>
      </c>
      <c r="AR979" s="117">
        <f>INDEX(LINEST(LN(AV979:AX979),SQRT((AV978:AX978))),1)</f>
        <v>-0.33790984298343807</v>
      </c>
      <c r="AS979" s="91">
        <f>INDEX(LINEST(1/(AV979:AX979),1/(SQRT(AV978:AX978)),TRUE,TRUE),3,1)</f>
        <v>0.98269455027740582</v>
      </c>
      <c r="AT979" s="91">
        <f>INDEX(LINEST(1/(AV979:AX979),1/SQRT(AV978:AX978)),1)</f>
        <v>-5.3980124686605047</v>
      </c>
      <c r="AU979" s="3"/>
      <c r="AV979" s="73">
        <v>0.7</v>
      </c>
      <c r="AW979" s="73">
        <v>0.39</v>
      </c>
      <c r="AX979" s="73">
        <v>0.3</v>
      </c>
      <c r="AY979" s="102"/>
      <c r="AZ979" s="73"/>
      <c r="BA979" s="73"/>
      <c r="BB979" s="4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1"/>
      <c r="CS979" s="1"/>
      <c r="CT979" s="1"/>
      <c r="CU979" s="1"/>
    </row>
    <row r="980" spans="1:99" s="13" customFormat="1" ht="12" customHeight="1" x14ac:dyDescent="0.2">
      <c r="A980" s="68">
        <v>43509</v>
      </c>
      <c r="B980" s="70"/>
      <c r="C980" s="70"/>
      <c r="D980" s="69"/>
      <c r="E980" s="87"/>
      <c r="F980" s="69"/>
      <c r="G980" s="69"/>
      <c r="H980" s="69"/>
      <c r="I980" s="69"/>
      <c r="J980" s="69"/>
      <c r="K980" s="107"/>
      <c r="L980" s="107"/>
      <c r="M980" s="69"/>
      <c r="N980" s="69"/>
      <c r="O980" s="69"/>
      <c r="P980" s="69"/>
      <c r="Q980" s="69"/>
      <c r="R980" s="69"/>
      <c r="S980" s="69"/>
      <c r="T980" s="69"/>
      <c r="U980" s="69"/>
      <c r="V980" s="69"/>
      <c r="W980" s="69"/>
      <c r="X980" s="69"/>
      <c r="Y980" s="87"/>
      <c r="Z980" s="69"/>
      <c r="AA980" s="69"/>
      <c r="AB980" s="69"/>
      <c r="AC980" s="69"/>
      <c r="AD980" s="69"/>
      <c r="AE980" s="69"/>
      <c r="AF980" s="88"/>
      <c r="AG980" s="72"/>
      <c r="AH980" s="4"/>
      <c r="AI980" s="72"/>
      <c r="AJ980" s="110"/>
      <c r="AK980" s="72"/>
      <c r="AL980" s="72"/>
      <c r="AM980" s="72"/>
      <c r="AN980" s="72"/>
      <c r="AO980" s="89"/>
      <c r="AP980" s="89"/>
      <c r="AQ980" s="89"/>
      <c r="AR980" s="118"/>
      <c r="AS980" s="89"/>
      <c r="AT980" s="89"/>
      <c r="AU980" s="3"/>
      <c r="AV980" s="71">
        <v>3</v>
      </c>
      <c r="AW980" s="71">
        <v>9</v>
      </c>
      <c r="AX980" s="71">
        <v>18</v>
      </c>
      <c r="AY980" s="102"/>
      <c r="AZ980" s="73"/>
      <c r="BA980" s="73"/>
      <c r="BB980" s="4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1"/>
      <c r="CS980" s="1"/>
      <c r="CT980" s="1"/>
      <c r="CU980" s="1"/>
    </row>
    <row r="981" spans="1:99" s="13" customFormat="1" ht="12" customHeight="1" x14ac:dyDescent="0.2">
      <c r="A981" s="68">
        <v>43509</v>
      </c>
      <c r="B981" s="70" t="s">
        <v>31</v>
      </c>
      <c r="C981" s="70" t="s">
        <v>19</v>
      </c>
      <c r="D981" s="69">
        <v>1959</v>
      </c>
      <c r="E981" s="87">
        <v>2</v>
      </c>
      <c r="F981" s="69">
        <v>24</v>
      </c>
      <c r="G981" s="69">
        <v>24</v>
      </c>
      <c r="H981" s="69" t="s">
        <v>22</v>
      </c>
      <c r="I981" s="69" t="s">
        <v>752</v>
      </c>
      <c r="J981" s="69" t="s">
        <v>443</v>
      </c>
      <c r="K981" s="69">
        <f>IF(J981="syllables",1,IF(J981="trigrams",2,IF(J981="strings",3,IF(J981="visual array",4,IF(J981="characters",5,IF(J981="letters",6,IF(J981="free forms",7,IF(J981="odors",8,IF(J981="words",9,IF(J981="pictures",10,IF(J981="object pictures",11,IF(J981="faces",12,IF(J981="names",13,IF(J981="idioms",14,IF(J981="grades",15,IF(J981="syllable-digit pairs",16,IF(J981="trigram-word pairs",17,IF(J981="word-digit pairs",18,IF(J981="English-Swahili pairs",19,IF(J981="spatial position",20,IF(J981="word pairs",21,IF(J981="word triads",22,IF(J981="generated words",23,IF(J981="word definition pairs",24,IF(J981="math problems",25,IF(J981="famous faces",26,IF(J981="famous names",27,IF(J981="famous voices",28,IF(J981="television programs",29,IF(J981="race horses",30,IF(J981="new vocabulary",31,IF(J981="sentences",32,IF(J981="concepts",33,IF(J981="ad slides",34,IF(J981="scenes",35,IF(J981="famous scenes",36,IF(J981="poems",37,IF(J981="walk",38,IF(J981="faces and events",39,IF(J981="events and names",40,IF(J981="flashbulb",41,IF(J981="stories",42,IF(J981="course material",43,IF(J981="autobiographical",44,IF(J981="novels",45,IF(J981="public events",46,"99"))))))))))))))))))))))))))))))))))))))))))))))</f>
        <v>2</v>
      </c>
      <c r="L981" s="69">
        <f>IF(J981="syllables",1,IF(J981="trigrams",1,IF(J981="strings",1,IF(J981="visual array",1,IF(J981="characters",1,IF(J981="letters",1,IF(J981="free forms",1,IF(J981="odors",2,IF(J981="words",2,IF(J981="pictures",2,IF(J981="object pictures",2,IF(J981="faces",2,IF(J981="names",2,IF(J981="idioms","2",IF(J981="grades",2,IF(J981="syllable-digit pairs",3,IF(J981="trigram-word pairs",3,IF(J981="word-digit pairs",3,IF(J981="English-Swahili pairs",3,IF(J981="spatial position",3,IF(J981="word pairs",4,IF(J981="word triads",4,IF(J981="generated words",4,IF(J981="word definition pairs",4,IF(J981="math problems",4,IF(J981="famous faces",4,IF(J981="famous names",4,IF(J981="famous voices",4,IF(J981="television programs",4,IF(J981="race horses",4,IF(J981="new vocabulary",4,IF(J981="sentences",5,IF(J981="concepts",5,IF(J981="ad slides",5,IF(J981="scenes",5,IF(J981="famous scenes",5,IF(J981="poems",6,IF(J981="walk",6,IF(J981="faces and events",6,IF(J981="events and names",6,IF(J981="flashbulb",7,IF(J981="stories",7,IF(J981="course material",7,IF(J981="autobiographical",7,IF(J981="novels",7,IF(J981="public events",7,"99"))))))))))))))))))))))))))))))))))))))))))))))</f>
        <v>1</v>
      </c>
      <c r="M981" s="69">
        <v>0</v>
      </c>
      <c r="N981" s="69">
        <v>1</v>
      </c>
      <c r="O981" s="69">
        <v>1</v>
      </c>
      <c r="P981" s="69" t="s">
        <v>27</v>
      </c>
      <c r="Q981" s="69" t="s">
        <v>174</v>
      </c>
      <c r="R981" s="69">
        <f>IF(Q981="Free Recall",1,IF(Q981="Cued Recall",2,IF(Q981="Recognition",3,IF(Q981="Multiple Choice",4,IF(Q981="Savings",5,IF(Q981="Stem Completion",6,IF(Q981="Fragment Completion",7,IF(Q981="anagram solution",8,IF(Q981="Matching",9,IF(Q981="Problem Solving",10,"99"))))))))))</f>
        <v>1</v>
      </c>
      <c r="S981" s="69" t="s">
        <v>49</v>
      </c>
      <c r="T981" s="92" t="s">
        <v>581</v>
      </c>
      <c r="U981" s="69">
        <f>IF(T981="within",1,0)</f>
        <v>1</v>
      </c>
      <c r="V981" s="92">
        <v>16</v>
      </c>
      <c r="W981" s="69">
        <f>F981*V981</f>
        <v>384</v>
      </c>
      <c r="X981" s="69">
        <v>3</v>
      </c>
      <c r="Y981" s="87">
        <f>AV980</f>
        <v>3</v>
      </c>
      <c r="Z981" s="69" t="s">
        <v>28</v>
      </c>
      <c r="AA981" s="69">
        <v>18</v>
      </c>
      <c r="AB981" s="69" t="str">
        <f>IF(AA981&lt;60,"1",IF(AA981&lt;=43200,"2",IF(AA981&lt;=777600,"3","4")))</f>
        <v>1</v>
      </c>
      <c r="AC981" s="72">
        <f>AVERAGE(AV980:DA980)</f>
        <v>10</v>
      </c>
      <c r="AD981" s="69" t="str">
        <f>IF(AC981&lt;60,"1",IF(AC981&lt;=43200,"2",IF(AC981&lt;=777600,"3","4")))</f>
        <v>1</v>
      </c>
      <c r="AE981" s="87">
        <f>AA981-Y981</f>
        <v>15</v>
      </c>
      <c r="AF981" s="88">
        <f>AV981</f>
        <v>0.74</v>
      </c>
      <c r="AG981" s="72">
        <f>((AW981-AV981)+(AX981-AW981))/2</f>
        <v>-0.26</v>
      </c>
      <c r="AH981" s="4"/>
      <c r="AI981" s="72">
        <f>RSQ(AV981:AX981,AV980:AX980)</f>
        <v>0.85121457489878527</v>
      </c>
      <c r="AJ981" s="110">
        <f>SLOPE(AV981:AX981,AV980:AX980)</f>
        <v>-3.3070175438596493E-2</v>
      </c>
      <c r="AK981" s="72">
        <f>INTERCEPT(AV981:AX981,AV980:AX980)</f>
        <v>0.76736842105263148</v>
      </c>
      <c r="AL981" s="72">
        <f>INDEX(LINEST(LN(AV981:AX981),LN(AV980:AX980),TRUE,TRUE),3,1)</f>
        <v>0.99997851391056913</v>
      </c>
      <c r="AM981" s="72">
        <f>INDEX(LINEST(LN(AV981:AX981),LN(AV980:AX980)),1)</f>
        <v>-0.67741107574387727</v>
      </c>
      <c r="AN981" s="72">
        <f>EXP(INDEX(LINEST(LN(AV981:AX981),LN(AV980:AX980)),1,2))</f>
        <v>1.5555830538431168</v>
      </c>
      <c r="AO981" s="89">
        <f>INDEX(LINEST((AV981:AX981),LN(AV980:AX980),TRUE,TRUE),3,1)</f>
        <v>0.97733616874174545</v>
      </c>
      <c r="AP981" s="89">
        <f>INDEX(LINEST((AV981:AX981),LN(AV980:AX980)),1)</f>
        <v>-0.29610879872829071</v>
      </c>
      <c r="AQ981" s="90">
        <f>INDEX(LINEST(LN(AV981:AX981),SQRT(AV980:AX980),TRUE,TRUE),3,1)</f>
        <v>0.98351978229656178</v>
      </c>
      <c r="AR981" s="117">
        <f>INDEX(LINEST(LN(AV981:AX981),SQRT((AV980:AX980))),1)</f>
        <v>-0.48352668758789563</v>
      </c>
      <c r="AS981" s="91">
        <f>INDEX(LINEST(1/(AV981:AX981),1/(SQRT(AV980:AX980)),TRUE,TRUE),3,1)</f>
        <v>0.92600694508381265</v>
      </c>
      <c r="AT981" s="91">
        <f>INDEX(LINEST(1/(AV981:AX981),1/SQRT(AV980:AX980)),1)</f>
        <v>-8.7380736496896247</v>
      </c>
      <c r="AU981" s="3"/>
      <c r="AV981" s="73">
        <v>0.74</v>
      </c>
      <c r="AW981" s="73">
        <v>0.35</v>
      </c>
      <c r="AX981" s="73">
        <v>0.22</v>
      </c>
      <c r="AY981" s="102"/>
      <c r="AZ981" s="73"/>
      <c r="BA981" s="73"/>
      <c r="BB981" s="4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1"/>
      <c r="CS981" s="1"/>
      <c r="CT981" s="1"/>
      <c r="CU981" s="1"/>
    </row>
    <row r="982" spans="1:99" s="13" customFormat="1" ht="12" customHeight="1" x14ac:dyDescent="0.2">
      <c r="A982" s="68">
        <v>43509</v>
      </c>
      <c r="B982" s="70"/>
      <c r="C982" s="70"/>
      <c r="D982" s="69"/>
      <c r="E982" s="87"/>
      <c r="F982" s="69"/>
      <c r="G982" s="69"/>
      <c r="H982" s="69"/>
      <c r="I982" s="69"/>
      <c r="J982" s="69"/>
      <c r="K982" s="107"/>
      <c r="L982" s="107"/>
      <c r="M982" s="69"/>
      <c r="N982" s="69"/>
      <c r="O982" s="69"/>
      <c r="P982" s="69"/>
      <c r="Q982" s="69"/>
      <c r="R982" s="69"/>
      <c r="S982" s="69"/>
      <c r="T982" s="92"/>
      <c r="U982" s="69"/>
      <c r="V982" s="92"/>
      <c r="W982" s="69"/>
      <c r="X982" s="69"/>
      <c r="Y982" s="87"/>
      <c r="Z982" s="69"/>
      <c r="AA982" s="69"/>
      <c r="AB982" s="69"/>
      <c r="AC982" s="69"/>
      <c r="AD982" s="69"/>
      <c r="AE982" s="69"/>
      <c r="AF982" s="88"/>
      <c r="AG982" s="72"/>
      <c r="AH982" s="4"/>
      <c r="AI982" s="72"/>
      <c r="AJ982" s="110"/>
      <c r="AK982" s="72"/>
      <c r="AL982" s="72"/>
      <c r="AM982" s="72"/>
      <c r="AN982" s="72"/>
      <c r="AO982" s="89"/>
      <c r="AP982" s="89"/>
      <c r="AQ982" s="89"/>
      <c r="AR982" s="118"/>
      <c r="AS982" s="89"/>
      <c r="AT982" s="89"/>
      <c r="AU982" s="3"/>
      <c r="AV982" s="71">
        <v>3</v>
      </c>
      <c r="AW982" s="71">
        <v>9</v>
      </c>
      <c r="AX982" s="71">
        <v>18</v>
      </c>
      <c r="AY982" s="102"/>
      <c r="AZ982" s="73"/>
      <c r="BA982" s="73"/>
      <c r="BB982" s="4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1"/>
      <c r="CS982" s="1"/>
      <c r="CT982" s="1"/>
      <c r="CU982" s="1"/>
    </row>
    <row r="983" spans="1:99" s="19" customFormat="1" ht="12" customHeight="1" x14ac:dyDescent="0.2">
      <c r="A983" s="68">
        <v>43509</v>
      </c>
      <c r="B983" s="100" t="s">
        <v>31</v>
      </c>
      <c r="C983" s="100" t="s">
        <v>19</v>
      </c>
      <c r="D983" s="99">
        <v>1959</v>
      </c>
      <c r="E983" s="106">
        <v>2</v>
      </c>
      <c r="F983" s="99">
        <v>24</v>
      </c>
      <c r="G983" s="99">
        <v>24</v>
      </c>
      <c r="H983" s="69" t="s">
        <v>22</v>
      </c>
      <c r="I983" s="99" t="s">
        <v>753</v>
      </c>
      <c r="J983" s="69" t="s">
        <v>443</v>
      </c>
      <c r="K983" s="69">
        <f>IF(J983="syllables",1,IF(J983="trigrams",2,IF(J983="strings",3,IF(J983="visual array",4,IF(J983="characters",5,IF(J983="letters",6,IF(J983="free forms",7,IF(J983="odors",8,IF(J983="words",9,IF(J983="pictures",10,IF(J983="object pictures",11,IF(J983="faces",12,IF(J983="names",13,IF(J983="idioms",14,IF(J983="grades",15,IF(J983="syllable-digit pairs",16,IF(J983="trigram-word pairs",17,IF(J983="word-digit pairs",18,IF(J983="English-Swahili pairs",19,IF(J983="spatial position",20,IF(J983="word pairs",21,IF(J983="word triads",22,IF(J983="generated words",23,IF(J983="word definition pairs",24,IF(J983="math problems",25,IF(J983="famous faces",26,IF(J983="famous names",27,IF(J983="famous voices",28,IF(J983="television programs",29,IF(J983="race horses",30,IF(J983="new vocabulary",31,IF(J983="sentences",32,IF(J983="concepts",33,IF(J983="ad slides",34,IF(J983="scenes",35,IF(J983="famous scenes",36,IF(J983="poems",37,IF(J983="walk",38,IF(J983="faces and events",39,IF(J983="events and names",40,IF(J983="flashbulb",41,IF(J983="stories",42,IF(J983="course material",43,IF(J983="autobiographical",44,IF(J983="novels",45,IF(J983="public events",46,"99"))))))))))))))))))))))))))))))))))))))))))))))</f>
        <v>2</v>
      </c>
      <c r="L983" s="69">
        <f>IF(J983="syllables",1,IF(J983="trigrams",1,IF(J983="strings",1,IF(J983="visual array",1,IF(J983="characters",1,IF(J983="letters",1,IF(J983="free forms",1,IF(J983="odors",2,IF(J983="words",2,IF(J983="pictures",2,IF(J983="object pictures",2,IF(J983="faces",2,IF(J983="names",2,IF(J983="idioms","2",IF(J983="grades",2,IF(J983="syllable-digit pairs",3,IF(J983="trigram-word pairs",3,IF(J983="word-digit pairs",3,IF(J983="English-Swahili pairs",3,IF(J983="spatial position",3,IF(J983="word pairs",4,IF(J983="word triads",4,IF(J983="generated words",4,IF(J983="word definition pairs",4,IF(J983="math problems",4,IF(J983="famous faces",4,IF(J983="famous names",4,IF(J983="famous voices",4,IF(J983="television programs",4,IF(J983="race horses",4,IF(J983="new vocabulary",4,IF(J983="sentences",5,IF(J983="concepts",5,IF(J983="ad slides",5,IF(J983="scenes",5,IF(J983="famous scenes",5,IF(J983="poems",6,IF(J983="walk",6,IF(J983="faces and events",6,IF(J983="events and names",6,IF(J983="flashbulb",7,IF(J983="stories",7,IF(J983="course material",7,IF(J983="autobiographical",7,IF(J983="novels",7,IF(J983="public events",7,"99"))))))))))))))))))))))))))))))))))))))))))))))</f>
        <v>1</v>
      </c>
      <c r="M983" s="99">
        <v>0</v>
      </c>
      <c r="N983" s="99">
        <v>1</v>
      </c>
      <c r="O983" s="99">
        <v>1</v>
      </c>
      <c r="P983" s="99" t="s">
        <v>27</v>
      </c>
      <c r="Q983" s="69" t="s">
        <v>174</v>
      </c>
      <c r="R983" s="69">
        <f>IF(Q983="Free Recall",1,IF(Q983="Cued Recall",2,IF(Q983="Recognition",3,IF(Q983="Multiple Choice",4,IF(Q983="Savings",5,IF(Q983="Stem Completion",6,IF(Q983="Fragment Completion",7,IF(Q983="anagram solution",8,IF(Q983="Matching",9,IF(Q983="Problem Solving",10,"99"))))))))))</f>
        <v>1</v>
      </c>
      <c r="S983" s="69" t="s">
        <v>49</v>
      </c>
      <c r="T983" s="92" t="s">
        <v>581</v>
      </c>
      <c r="U983" s="69">
        <f>IF(T983="within",1,0)</f>
        <v>1</v>
      </c>
      <c r="V983" s="92">
        <v>16</v>
      </c>
      <c r="W983" s="69">
        <f>F983*V983</f>
        <v>384</v>
      </c>
      <c r="X983" s="99">
        <v>3</v>
      </c>
      <c r="Y983" s="87">
        <f>AV982</f>
        <v>3</v>
      </c>
      <c r="Z983" s="99" t="s">
        <v>28</v>
      </c>
      <c r="AA983" s="99">
        <v>18</v>
      </c>
      <c r="AB983" s="69" t="str">
        <f>IF(AA983&lt;60,"1",IF(AA983&lt;=43200,"2",IF(AA983&lt;=777600,"3","4")))</f>
        <v>1</v>
      </c>
      <c r="AC983" s="72">
        <f>AVERAGE(AV982:DA982)</f>
        <v>10</v>
      </c>
      <c r="AD983" s="69" t="str">
        <f>IF(AC983&lt;60,"1",IF(AC983&lt;=43200,"2",IF(AC983&lt;=777600,"3","4")))</f>
        <v>1</v>
      </c>
      <c r="AE983" s="87">
        <f>AA983-Y983</f>
        <v>15</v>
      </c>
      <c r="AF983" s="88">
        <f>AV983</f>
        <v>0.72</v>
      </c>
      <c r="AG983" s="72">
        <f>((AW983-AV983)+(AX983-AW983))/2</f>
        <v>-0.28499999999999998</v>
      </c>
      <c r="AH983" s="4"/>
      <c r="AI983" s="72">
        <f>RSQ(AV983:AX983,AV982:AX982)</f>
        <v>0.94982185906598715</v>
      </c>
      <c r="AJ983" s="110">
        <f>SLOPE(AV983:AX983,AV982:AX982)</f>
        <v>-3.701754385964913E-2</v>
      </c>
      <c r="AK983" s="72">
        <f>INTERCEPT(AV983:AX983,AV982:AX982)</f>
        <v>0.78684210526315801</v>
      </c>
      <c r="AL983" s="72">
        <f>INDEX(LINEST(LN(AV983:AX983),LN(AV982:AX982),TRUE,TRUE),3,1)</f>
        <v>0.94514061428620411</v>
      </c>
      <c r="AM983" s="72">
        <f>INDEX(LINEST(LN(AV983:AX983),LN(AV982:AX982)),1)</f>
        <v>-0.84874543272433944</v>
      </c>
      <c r="AN983" s="72">
        <f>EXP(INDEX(LINEST(LN(AV983:AX983),LN(AV982:AX982)),1,2))</f>
        <v>1.9852987615921858</v>
      </c>
      <c r="AO983" s="89">
        <f>INDEX(LINEST((AV983:AX983),LN(AV982:AX982),TRUE,TRUE),3,1)</f>
        <v>0.99964077262737294</v>
      </c>
      <c r="AP983" s="89">
        <f>INDEX(LINEST((AV983:AX983),LN(AV982:AX982)),1)</f>
        <v>-0.3173371038451327</v>
      </c>
      <c r="AQ983" s="90">
        <f>INDEX(LINEST(LN(AV983:AX983),SQRT(AV982:AX982),TRUE,TRUE),3,1)</f>
        <v>0.98743678524814171</v>
      </c>
      <c r="AR983" s="117">
        <f>INDEX(LINEST(LN(AV983:AX983),SQRT((AV982:AX982))),1)</f>
        <v>-0.6243898420092886</v>
      </c>
      <c r="AS983" s="91">
        <f>INDEX(LINEST(1/(AV983:AX983),1/(SQRT(AV982:AX982)),TRUE,TRUE),3,1)</f>
        <v>0.7365683912770864</v>
      </c>
      <c r="AT983" s="91">
        <f>INDEX(LINEST(1/(AV983:AX983),1/SQRT(AV982:AX982)),1)</f>
        <v>-13.457142031048164</v>
      </c>
      <c r="AU983" s="3"/>
      <c r="AV983" s="101">
        <v>0.72</v>
      </c>
      <c r="AW983" s="101">
        <v>0.38</v>
      </c>
      <c r="AX983" s="101">
        <v>0.15</v>
      </c>
      <c r="AY983" s="157"/>
      <c r="AZ983" s="101"/>
      <c r="BA983" s="101"/>
      <c r="BB983" s="18"/>
      <c r="BC983" s="18"/>
      <c r="BD983" s="18"/>
      <c r="BE983" s="18"/>
      <c r="BF983" s="18"/>
      <c r="BG983" s="18"/>
      <c r="BH983" s="18"/>
      <c r="BI983" s="18"/>
      <c r="BJ983" s="18"/>
      <c r="BK983" s="18"/>
      <c r="BL983" s="18"/>
      <c r="BM983" s="18"/>
      <c r="BN983" s="18"/>
      <c r="BO983" s="18"/>
      <c r="BP983" s="18"/>
      <c r="BQ983" s="18"/>
      <c r="BR983" s="18"/>
      <c r="BS983" s="18"/>
      <c r="BT983" s="18"/>
      <c r="BU983" s="18"/>
      <c r="BV983" s="18"/>
      <c r="BW983" s="18"/>
      <c r="BX983" s="18"/>
      <c r="BY983" s="18"/>
      <c r="BZ983" s="18"/>
      <c r="CA983" s="18"/>
      <c r="CB983" s="18"/>
      <c r="CC983" s="18"/>
      <c r="CD983" s="18"/>
      <c r="CE983" s="18"/>
      <c r="CF983" s="18"/>
      <c r="CG983" s="18"/>
      <c r="CH983" s="18"/>
      <c r="CI983" s="18"/>
      <c r="CJ983" s="18"/>
      <c r="CK983" s="18"/>
      <c r="CL983" s="18"/>
      <c r="CM983" s="18"/>
      <c r="CN983" s="18"/>
      <c r="CO983" s="18"/>
      <c r="CP983" s="18"/>
      <c r="CQ983" s="18"/>
      <c r="CR983" s="17"/>
      <c r="CS983" s="17"/>
      <c r="CT983" s="17"/>
      <c r="CU983" s="17"/>
    </row>
    <row r="984" spans="1:99" s="19" customFormat="1" ht="12" customHeight="1" x14ac:dyDescent="0.2">
      <c r="A984" s="65">
        <v>43951</v>
      </c>
      <c r="B984" s="17"/>
      <c r="C984" s="17"/>
      <c r="D984" s="62"/>
      <c r="E984" s="78"/>
      <c r="F984" s="62"/>
      <c r="G984" s="62"/>
      <c r="H984" s="60"/>
      <c r="I984" s="62"/>
      <c r="J984" s="60"/>
      <c r="K984" s="60"/>
      <c r="L984" s="60"/>
      <c r="M984" s="62"/>
      <c r="N984" s="62"/>
      <c r="O984" s="62"/>
      <c r="P984" s="62"/>
      <c r="Q984" s="60"/>
      <c r="R984" s="60"/>
      <c r="S984" s="60"/>
      <c r="T984" s="59"/>
      <c r="U984" s="60"/>
      <c r="V984" s="59"/>
      <c r="W984" s="60"/>
      <c r="X984" s="62"/>
      <c r="Y984" s="76"/>
      <c r="Z984" s="62"/>
      <c r="AA984" s="62"/>
      <c r="AB984" s="60"/>
      <c r="AC984" s="56"/>
      <c r="AD984" s="60"/>
      <c r="AE984" s="76"/>
      <c r="AF984" s="80"/>
      <c r="AG984" s="56"/>
      <c r="AH984" s="4"/>
      <c r="AI984" s="56"/>
      <c r="AJ984" s="109"/>
      <c r="AK984" s="56"/>
      <c r="AL984" s="56"/>
      <c r="AM984" s="56"/>
      <c r="AN984" s="56"/>
      <c r="AO984" s="82"/>
      <c r="AP984" s="82"/>
      <c r="AQ984" s="83"/>
      <c r="AR984" s="116"/>
      <c r="AS984" s="84"/>
      <c r="AT984" s="84"/>
      <c r="AU984" s="3"/>
      <c r="AV984" s="18">
        <v>0.01</v>
      </c>
      <c r="AW984" s="18">
        <v>20</v>
      </c>
      <c r="AX984" s="18">
        <v>30</v>
      </c>
      <c r="AY984" s="141" t="s">
        <v>892</v>
      </c>
      <c r="AZ984" s="18"/>
      <c r="BA984" s="18"/>
      <c r="BB984" s="18"/>
      <c r="BC984" s="18"/>
      <c r="BD984" s="18"/>
      <c r="BE984" s="18"/>
      <c r="BF984" s="18"/>
      <c r="BG984" s="18"/>
      <c r="BH984" s="18"/>
      <c r="BI984" s="18"/>
      <c r="BJ984" s="18"/>
      <c r="BK984" s="18"/>
      <c r="BL984" s="18"/>
      <c r="BM984" s="18"/>
      <c r="BN984" s="18"/>
      <c r="BO984" s="18"/>
      <c r="BP984" s="18"/>
      <c r="BQ984" s="18"/>
      <c r="BR984" s="18"/>
      <c r="BS984" s="18"/>
      <c r="BT984" s="18"/>
      <c r="BU984" s="18"/>
      <c r="BV984" s="18"/>
      <c r="BW984" s="18"/>
      <c r="BX984" s="18"/>
      <c r="BY984" s="18"/>
      <c r="BZ984" s="18"/>
      <c r="CA984" s="18"/>
      <c r="CB984" s="18"/>
      <c r="CC984" s="18"/>
      <c r="CD984" s="18"/>
      <c r="CE984" s="18"/>
      <c r="CF984" s="18"/>
      <c r="CG984" s="18"/>
      <c r="CH984" s="18"/>
      <c r="CI984" s="18"/>
      <c r="CJ984" s="18"/>
      <c r="CK984" s="18"/>
      <c r="CL984" s="18"/>
      <c r="CM984" s="18"/>
      <c r="CN984" s="18"/>
      <c r="CO984" s="18"/>
      <c r="CP984" s="18"/>
      <c r="CQ984" s="18"/>
      <c r="CR984" s="17"/>
      <c r="CS984" s="17"/>
      <c r="CT984" s="17"/>
      <c r="CU984" s="17"/>
    </row>
    <row r="985" spans="1:99" s="19" customFormat="1" ht="12" customHeight="1" x14ac:dyDescent="0.2">
      <c r="A985" s="65">
        <v>43951</v>
      </c>
      <c r="B985" s="17" t="s">
        <v>890</v>
      </c>
      <c r="C985" s="17" t="s">
        <v>48</v>
      </c>
      <c r="D985" s="62">
        <v>1965</v>
      </c>
      <c r="E985" s="78">
        <v>1</v>
      </c>
      <c r="F985" s="62">
        <v>18</v>
      </c>
      <c r="G985" s="62">
        <v>18</v>
      </c>
      <c r="H985" s="60" t="s">
        <v>22</v>
      </c>
      <c r="I985" s="62" t="s">
        <v>891</v>
      </c>
      <c r="J985" s="60" t="s">
        <v>16</v>
      </c>
      <c r="K985" s="60">
        <f>IF(J985="syllables",1,IF(J985="trigrams",2,IF(J985="strings",3,IF(J985="visual array",4,IF(J985="characters",5,IF(J985="letters",6,IF(J985="free forms",7,IF(J985="odors",8,IF(J985="words",9,IF(J985="pictures",10,IF(J985="object pictures",11,IF(J985="faces",12,IF(J985="names",13,IF(J985="idioms",14,IF(J985="grades",15,IF(J985="syllable-digit pairs",16,IF(J985="trigram-word pairs",17,IF(J985="word-digit pairs",18,IF(J985="English-Swahili pairs",19,IF(J985="spatial position",20,IF(J985="word pairs",21,IF(J985="word triads",22,IF(J985="generated words",23,IF(J985="word definition pairs",24,IF(J985="math problems",25,IF(J985="famous faces",26,IF(J985="famous names",27,IF(J985="famous voices",28,IF(J985="television programs",29,IF(J985="race horses",30,IF(J985="new vocabulary",31,IF(J985="sentences",32,IF(J985="concepts",33,IF(J985="ad slides",34,IF(J985="scenes",35,IF(J985="famous scenes",36,IF(J985="poems",37,IF(J985="walk",38,IF(J985="faces and events",39,IF(J985="events and names",40,IF(J985="flashbulb",41,IF(J985="stories",42,IF(J985="course material",43,IF(J985="autobiographical",44,IF(J985="novels",45,IF(J985="public events",46,"99"))))))))))))))))))))))))))))))))))))))))))))))</f>
        <v>9</v>
      </c>
      <c r="L985" s="60">
        <f>IF(J985="syllables",1,IF(J985="trigrams",1,IF(J985="strings",1,IF(J985="visual array",1,IF(J985="characters",1,IF(J985="letters",1,IF(J985="free forms",1,IF(J985="odors",2,IF(J985="words",2,IF(J985="pictures",2,IF(J985="object pictures",2,IF(J985="faces",2,IF(J985="names",2,IF(J985="idioms","2",IF(J985="grades",2,IF(J985="syllable-digit pairs",3,IF(J985="trigram-word pairs",3,IF(J985="word-digit pairs",3,IF(J985="English-Swahili pairs",3,IF(J985="spatial position",3,IF(J985="word pairs",4,IF(J985="word triads",4,IF(J985="generated words",4,IF(J985="word definition pairs",4,IF(J985="math problems",4,IF(J985="famous faces",4,IF(J985="famous names",4,IF(J985="famous voices",4,IF(J985="television programs",4,IF(J985="race horses",4,IF(J985="new vocabulary",4,IF(J985="sentences",5,IF(J985="concepts",5,IF(J985="ad slides",5,IF(J985="scenes",5,IF(J985="famous scenes",5,IF(J985="poems",6,IF(J985="walk",6,IF(J985="faces and events",6,IF(J985="events and names",6,IF(J985="flashbulb",7,IF(J985="stories",7,IF(J985="course material",7,IF(J985="autobiographical",7,IF(J985="novels",7,IF(J985="public events",7,"99"))))))))))))))))))))))))))))))))))))))))))))))</f>
        <v>2</v>
      </c>
      <c r="M985" s="62">
        <v>0</v>
      </c>
      <c r="N985" s="62">
        <v>1</v>
      </c>
      <c r="O985" s="62">
        <v>1</v>
      </c>
      <c r="P985" s="62" t="s">
        <v>27</v>
      </c>
      <c r="Q985" s="60" t="s">
        <v>174</v>
      </c>
      <c r="R985" s="60">
        <f>IF(Q985="Free Recall",1,IF(Q985="Cued Recall",2,IF(Q985="Recognition",3,IF(Q985="Multiple Choice",4,IF(Q985="Savings",5,IF(Q985="Stem Completion",6,IF(Q985="Fragment Completion",7,IF(Q985="anagram solution",8,IF(Q985="Matching",9,IF(Q985="Problem Solving",10,"99"))))))))))</f>
        <v>1</v>
      </c>
      <c r="S985" s="60" t="s">
        <v>49</v>
      </c>
      <c r="T985" s="59" t="s">
        <v>581</v>
      </c>
      <c r="U985" s="60">
        <f>IF(T985="within",1,0)</f>
        <v>1</v>
      </c>
      <c r="V985" s="59">
        <v>10</v>
      </c>
      <c r="W985" s="60">
        <f>F985*V985</f>
        <v>180</v>
      </c>
      <c r="X985" s="62">
        <v>3</v>
      </c>
      <c r="Y985" s="76">
        <f>AV984</f>
        <v>0.01</v>
      </c>
      <c r="Z985" s="62" t="s">
        <v>52</v>
      </c>
      <c r="AA985" s="62">
        <v>18</v>
      </c>
      <c r="AB985" s="60" t="str">
        <f>IF(AA985&lt;60,"1",IF(AA985&lt;=43200,"2",IF(AA985&lt;=777600,"3","4")))</f>
        <v>1</v>
      </c>
      <c r="AC985" s="56">
        <f>AVERAGE(AV984:DA984)</f>
        <v>16.670000000000002</v>
      </c>
      <c r="AD985" s="60" t="str">
        <f>IF(AC985&lt;60,"1",IF(AC985&lt;=43200,"2",IF(AC985&lt;=777600,"3","4")))</f>
        <v>1</v>
      </c>
      <c r="AE985" s="76">
        <f>AA985-Y985</f>
        <v>17.989999999999998</v>
      </c>
      <c r="AF985" s="80">
        <f>AV985</f>
        <v>0.55800000000000005</v>
      </c>
      <c r="AG985" s="56">
        <f>((AW985-AV985)+(AX985-AW985))/2</f>
        <v>-0.10150000000000003</v>
      </c>
      <c r="AH985" s="4"/>
      <c r="AI985" s="56">
        <f>RSQ(AV985:AX985,AV984:AX984)</f>
        <v>0.99197191422472675</v>
      </c>
      <c r="AJ985" s="109">
        <f>SLOPE(AV985:AX985,AV984:AX984)</f>
        <v>-6.8880976571697441E-3</v>
      </c>
      <c r="AK985" s="56">
        <f>INTERCEPT(AV985:AX985,AV984:AX984)</f>
        <v>0.55449125461168625</v>
      </c>
      <c r="AL985" s="56">
        <f>INDEX(LINEST(LN(AV985:AX985),LN(AV984:AX984),TRUE,TRUE),3,1)</f>
        <v>0.93965606005749613</v>
      </c>
      <c r="AM985" s="56">
        <f>INDEX(LINEST(LN(AV985:AX985),LN(AV984:AX984)),1)</f>
        <v>-4.992105720321207E-2</v>
      </c>
      <c r="AN985" s="56">
        <f>EXP(INDEX(LINEST(LN(AV985:AX985),LN(AV984:AX984)),1,2))</f>
        <v>0.44471137644108716</v>
      </c>
      <c r="AO985" s="82">
        <f>INDEX(LINEST((AV985:AX985),LN(AV984:AX984),TRUE,TRUE),3,1)</f>
        <v>0.96095387353420447</v>
      </c>
      <c r="AP985" s="82">
        <f>INDEX(LINEST((AV985:AX985),LN(AV984:AX984)),1)</f>
        <v>-2.295401140232364E-2</v>
      </c>
      <c r="AQ985" s="83">
        <f>INDEX(LINEST(LN(AV985:AX985),SQRT(AV984:AX984),TRUE,TRUE),3,1)</f>
        <v>0.9864988611035318</v>
      </c>
      <c r="AR985" s="116">
        <f>INDEX(LINEST(LN(AV985:AX985),SQRT((AV984:AX984))),1)</f>
        <v>-8.0690438938809436E-2</v>
      </c>
      <c r="AS985" s="84">
        <f>INDEX(LINEST(1/(AV985:AX985),1/(SQRT(AV984:AX984)),TRUE,TRUE),3,1)</f>
        <v>0.88677186579179323</v>
      </c>
      <c r="AT985" s="84">
        <f>INDEX(LINEST(1/(AV985:AX985),1/SQRT(AV984:AX984)),1)</f>
        <v>-8.6656251335134243E-2</v>
      </c>
      <c r="AU985" s="3"/>
      <c r="AV985" s="18">
        <v>0.55800000000000005</v>
      </c>
      <c r="AW985" s="18">
        <v>0.40600000000000003</v>
      </c>
      <c r="AX985" s="18">
        <v>0.35499999999999998</v>
      </c>
      <c r="AY985" s="141"/>
      <c r="AZ985" s="18"/>
      <c r="BA985" s="18"/>
      <c r="BB985" s="18"/>
      <c r="BC985" s="18"/>
      <c r="BD985" s="18"/>
      <c r="BE985" s="18"/>
      <c r="BF985" s="18"/>
      <c r="BG985" s="18"/>
      <c r="BH985" s="18"/>
      <c r="BI985" s="18"/>
      <c r="BJ985" s="18"/>
      <c r="BK985" s="18"/>
      <c r="BL985" s="18"/>
      <c r="BM985" s="18"/>
      <c r="BN985" s="18"/>
      <c r="BO985" s="18"/>
      <c r="BP985" s="18"/>
      <c r="BQ985" s="18"/>
      <c r="BR985" s="18"/>
      <c r="BS985" s="18"/>
      <c r="BT985" s="18"/>
      <c r="BU985" s="18"/>
      <c r="BV985" s="18"/>
      <c r="BW985" s="18"/>
      <c r="BX985" s="18"/>
      <c r="BY985" s="18"/>
      <c r="BZ985" s="18"/>
      <c r="CA985" s="18"/>
      <c r="CB985" s="18"/>
      <c r="CC985" s="18"/>
      <c r="CD985" s="18"/>
      <c r="CE985" s="18"/>
      <c r="CF985" s="18"/>
      <c r="CG985" s="18"/>
      <c r="CH985" s="18"/>
      <c r="CI985" s="18"/>
      <c r="CJ985" s="18"/>
      <c r="CK985" s="18"/>
      <c r="CL985" s="18"/>
      <c r="CM985" s="18"/>
      <c r="CN985" s="18"/>
      <c r="CO985" s="18"/>
      <c r="CP985" s="18"/>
      <c r="CQ985" s="18"/>
      <c r="CR985" s="17"/>
      <c r="CS985" s="17"/>
      <c r="CT985" s="17"/>
      <c r="CU985" s="17"/>
    </row>
    <row r="986" spans="1:99" s="19" customFormat="1" ht="12" customHeight="1" x14ac:dyDescent="0.2">
      <c r="A986" s="65">
        <v>43951</v>
      </c>
      <c r="B986" s="17"/>
      <c r="C986" s="17"/>
      <c r="D986" s="62"/>
      <c r="E986" s="78"/>
      <c r="F986" s="62"/>
      <c r="G986" s="62"/>
      <c r="H986" s="60"/>
      <c r="I986" s="62"/>
      <c r="J986" s="60"/>
      <c r="K986" s="60"/>
      <c r="L986" s="60"/>
      <c r="M986" s="62"/>
      <c r="N986" s="62"/>
      <c r="O986" s="62"/>
      <c r="P986" s="62"/>
      <c r="Q986" s="60"/>
      <c r="R986" s="60"/>
      <c r="S986" s="60"/>
      <c r="T986" s="59"/>
      <c r="U986" s="60"/>
      <c r="V986" s="59"/>
      <c r="W986" s="60"/>
      <c r="X986" s="62"/>
      <c r="Y986" s="76"/>
      <c r="Z986" s="62"/>
      <c r="AA986" s="62"/>
      <c r="AB986" s="60"/>
      <c r="AC986" s="56"/>
      <c r="AD986" s="60"/>
      <c r="AE986" s="76"/>
      <c r="AF986" s="80"/>
      <c r="AG986" s="56"/>
      <c r="AH986" s="4"/>
      <c r="AI986" s="56"/>
      <c r="AJ986" s="109"/>
      <c r="AK986" s="56"/>
      <c r="AL986" s="56"/>
      <c r="AM986" s="56"/>
      <c r="AN986" s="56"/>
      <c r="AO986" s="82"/>
      <c r="AP986" s="82"/>
      <c r="AQ986" s="83"/>
      <c r="AR986" s="116"/>
      <c r="AS986" s="84"/>
      <c r="AT986" s="84"/>
      <c r="AU986" s="3"/>
      <c r="AV986" s="18">
        <v>0.01</v>
      </c>
      <c r="AW986" s="18">
        <v>20</v>
      </c>
      <c r="AX986" s="18">
        <v>30</v>
      </c>
      <c r="AY986" s="141"/>
      <c r="AZ986" s="18"/>
      <c r="BA986" s="18"/>
      <c r="BB986" s="18"/>
      <c r="BC986" s="18"/>
      <c r="BD986" s="18"/>
      <c r="BE986" s="18"/>
      <c r="BF986" s="18"/>
      <c r="BG986" s="18"/>
      <c r="BH986" s="18"/>
      <c r="BI986" s="18"/>
      <c r="BJ986" s="18"/>
      <c r="BK986" s="18"/>
      <c r="BL986" s="18"/>
      <c r="BM986" s="18"/>
      <c r="BN986" s="18"/>
      <c r="BO986" s="18"/>
      <c r="BP986" s="18"/>
      <c r="BQ986" s="18"/>
      <c r="BR986" s="18"/>
      <c r="BS986" s="18"/>
      <c r="BT986" s="18"/>
      <c r="BU986" s="18"/>
      <c r="BV986" s="18"/>
      <c r="BW986" s="18"/>
      <c r="BX986" s="18"/>
      <c r="BY986" s="18"/>
      <c r="BZ986" s="18"/>
      <c r="CA986" s="18"/>
      <c r="CB986" s="18"/>
      <c r="CC986" s="18"/>
      <c r="CD986" s="18"/>
      <c r="CE986" s="18"/>
      <c r="CF986" s="18"/>
      <c r="CG986" s="18"/>
      <c r="CH986" s="18"/>
      <c r="CI986" s="18"/>
      <c r="CJ986" s="18"/>
      <c r="CK986" s="18"/>
      <c r="CL986" s="18"/>
      <c r="CM986" s="18"/>
      <c r="CN986" s="18"/>
      <c r="CO986" s="18"/>
      <c r="CP986" s="18"/>
      <c r="CQ986" s="18"/>
      <c r="CR986" s="17"/>
      <c r="CS986" s="17"/>
      <c r="CT986" s="17"/>
      <c r="CU986" s="17"/>
    </row>
    <row r="987" spans="1:99" s="19" customFormat="1" ht="12" customHeight="1" x14ac:dyDescent="0.2">
      <c r="A987" s="65">
        <v>43951</v>
      </c>
      <c r="B987" s="17" t="s">
        <v>890</v>
      </c>
      <c r="C987" s="17" t="s">
        <v>48</v>
      </c>
      <c r="D987" s="62">
        <v>1965</v>
      </c>
      <c r="E987" s="78">
        <v>1</v>
      </c>
      <c r="F987" s="62">
        <v>18</v>
      </c>
      <c r="G987" s="62">
        <v>18</v>
      </c>
      <c r="H987" s="60" t="s">
        <v>22</v>
      </c>
      <c r="I987" s="62" t="s">
        <v>893</v>
      </c>
      <c r="J987" s="60" t="s">
        <v>16</v>
      </c>
      <c r="K987" s="60">
        <f>IF(J987="syllables",1,IF(J987="trigrams",2,IF(J987="strings",3,IF(J987="visual array",4,IF(J987="characters",5,IF(J987="letters",6,IF(J987="free forms",7,IF(J987="odors",8,IF(J987="words",9,IF(J987="pictures",10,IF(J987="object pictures",11,IF(J987="faces",12,IF(J987="names",13,IF(J987="idioms",14,IF(J987="grades",15,IF(J987="syllable-digit pairs",16,IF(J987="trigram-word pairs",17,IF(J987="word-digit pairs",18,IF(J987="English-Swahili pairs",19,IF(J987="spatial position",20,IF(J987="word pairs",21,IF(J987="word triads",22,IF(J987="generated words",23,IF(J987="word definition pairs",24,IF(J987="math problems",25,IF(J987="famous faces",26,IF(J987="famous names",27,IF(J987="famous voices",28,IF(J987="television programs",29,IF(J987="race horses",30,IF(J987="new vocabulary",31,IF(J987="sentences",32,IF(J987="concepts",33,IF(J987="ad slides",34,IF(J987="scenes",35,IF(J987="famous scenes",36,IF(J987="poems",37,IF(J987="walk",38,IF(J987="faces and events",39,IF(J987="events and names",40,IF(J987="flashbulb",41,IF(J987="stories",42,IF(J987="course material",43,IF(J987="autobiographical",44,IF(J987="novels",45,IF(J987="public events",46,"99"))))))))))))))))))))))))))))))))))))))))))))))</f>
        <v>9</v>
      </c>
      <c r="L987" s="60">
        <f>IF(J987="syllables",1,IF(J987="trigrams",1,IF(J987="strings",1,IF(J987="visual array",1,IF(J987="characters",1,IF(J987="letters",1,IF(J987="free forms",1,IF(J987="odors",2,IF(J987="words",2,IF(J987="pictures",2,IF(J987="object pictures",2,IF(J987="faces",2,IF(J987="names",2,IF(J987="idioms","2",IF(J987="grades",2,IF(J987="syllable-digit pairs",3,IF(J987="trigram-word pairs",3,IF(J987="word-digit pairs",3,IF(J987="English-Swahili pairs",3,IF(J987="spatial position",3,IF(J987="word pairs",4,IF(J987="word triads",4,IF(J987="generated words",4,IF(J987="word definition pairs",4,IF(J987="math problems",4,IF(J987="famous faces",4,IF(J987="famous names",4,IF(J987="famous voices",4,IF(J987="television programs",4,IF(J987="race horses",4,IF(J987="new vocabulary",4,IF(J987="sentences",5,IF(J987="concepts",5,IF(J987="ad slides",5,IF(J987="scenes",5,IF(J987="famous scenes",5,IF(J987="poems",6,IF(J987="walk",6,IF(J987="faces and events",6,IF(J987="events and names",6,IF(J987="flashbulb",7,IF(J987="stories",7,IF(J987="course material",7,IF(J987="autobiographical",7,IF(J987="novels",7,IF(J987="public events",7,"99"))))))))))))))))))))))))))))))))))))))))))))))</f>
        <v>2</v>
      </c>
      <c r="M987" s="62">
        <v>0</v>
      </c>
      <c r="N987" s="62">
        <v>1</v>
      </c>
      <c r="O987" s="62">
        <v>1</v>
      </c>
      <c r="P987" s="62" t="s">
        <v>27</v>
      </c>
      <c r="Q987" s="60" t="s">
        <v>174</v>
      </c>
      <c r="R987" s="60">
        <f>IF(Q987="Free Recall",1,IF(Q987="Cued Recall",2,IF(Q987="Recognition",3,IF(Q987="Multiple Choice",4,IF(Q987="Savings",5,IF(Q987="Stem Completion",6,IF(Q987="Fragment Completion",7,IF(Q987="anagram solution",8,IF(Q987="Matching",9,IF(Q987="Problem Solving",10,"99"))))))))))</f>
        <v>1</v>
      </c>
      <c r="S987" s="60" t="s">
        <v>49</v>
      </c>
      <c r="T987" s="59" t="s">
        <v>581</v>
      </c>
      <c r="U987" s="60">
        <f>IF(T987="within",1,0)</f>
        <v>1</v>
      </c>
      <c r="V987" s="59">
        <v>20</v>
      </c>
      <c r="W987" s="60">
        <f>F987*V987</f>
        <v>360</v>
      </c>
      <c r="X987" s="62">
        <v>3</v>
      </c>
      <c r="Y987" s="76">
        <f>AV986</f>
        <v>0.01</v>
      </c>
      <c r="Z987" s="62" t="s">
        <v>52</v>
      </c>
      <c r="AA987" s="62">
        <v>18</v>
      </c>
      <c r="AB987" s="60" t="str">
        <f>IF(AA987&lt;60,"1",IF(AA987&lt;=43200,"2",IF(AA987&lt;=777600,"3","4")))</f>
        <v>1</v>
      </c>
      <c r="AC987" s="56">
        <f>AVERAGE(AV986:DA986)</f>
        <v>16.670000000000002</v>
      </c>
      <c r="AD987" s="60" t="str">
        <f>IF(AC987&lt;60,"1",IF(AC987&lt;=43200,"2",IF(AC987&lt;=777600,"3","4")))</f>
        <v>1</v>
      </c>
      <c r="AE987" s="76">
        <f>AA987-Y987</f>
        <v>17.989999999999998</v>
      </c>
      <c r="AF987" s="80">
        <f>AV987</f>
        <v>0.31</v>
      </c>
      <c r="AG987" s="56">
        <f>((AW987-AV987)+(AX987-AW987))/2</f>
        <v>-5.3000000000000005E-2</v>
      </c>
      <c r="AH987" s="4"/>
      <c r="AI987" s="56">
        <f>RSQ(AV987:AX987,AV986:AX986)</f>
        <v>0.98172811602692978</v>
      </c>
      <c r="AJ987" s="109">
        <f>SLOPE(AV987:AX987,AV986:AX986)</f>
        <v>-3.4441453260692892E-3</v>
      </c>
      <c r="AK987" s="56">
        <f>INTERCEPT(AV987:AX987,AV986:AX986)</f>
        <v>0.31274723591890841</v>
      </c>
      <c r="AL987" s="56">
        <f>INDEX(LINEST(LN(AV987:AX987),LN(AV986:AX986),TRUE,TRUE),3,1)</f>
        <v>0.78316142520536136</v>
      </c>
      <c r="AM987" s="56">
        <f>INDEX(LINEST(LN(AV987:AX987),LN(AV986:AX986)),1)</f>
        <v>-4.1055678758485072E-2</v>
      </c>
      <c r="AN987" s="56">
        <f>EXP(INDEX(LINEST(LN(AV987:AX987),LN(AV986:AX986)),1,2))</f>
        <v>0.25789720965349705</v>
      </c>
      <c r="AO987" s="82">
        <f>INDEX(LINEST((AV987:AX987),LN(AV986:AX986),TRUE,TRUE),3,1)</f>
        <v>0.83057829994688015</v>
      </c>
      <c r="AP987" s="82">
        <f>INDEX(LINEST((AV987:AX987),LN(AV986:AX986)),1)</f>
        <v>-1.0725902834048145E-2</v>
      </c>
      <c r="AQ987" s="83">
        <f>INDEX(LINEST(LN(AV987:AX987),SQRT(AV986:AX986),TRUE,TRUE),3,1)</f>
        <v>0.88071069295847548</v>
      </c>
      <c r="AR987" s="116">
        <f>INDEX(LINEST(LN(AV987:AX987),SQRT((AV986:AX986))),1)</f>
        <v>-6.8681329976916713E-2</v>
      </c>
      <c r="AS987" s="84">
        <f>INDEX(LINEST(1/(AV987:AX987),1/(SQRT(AV986:AX986)),TRUE,TRUE),3,1)</f>
        <v>0.69437982647045471</v>
      </c>
      <c r="AT987" s="84">
        <f>INDEX(LINEST(1/(AV987:AX987),1/SQRT(AV986:AX986)),1)</f>
        <v>-0.12373473223286331</v>
      </c>
      <c r="AU987" s="3"/>
      <c r="AV987" s="18">
        <v>0.31</v>
      </c>
      <c r="AW987" s="18">
        <v>0.252</v>
      </c>
      <c r="AX987" s="18">
        <v>0.20399999999999999</v>
      </c>
      <c r="AY987" s="141"/>
      <c r="AZ987" s="18"/>
      <c r="BA987" s="18"/>
      <c r="BB987" s="18"/>
      <c r="BC987" s="18"/>
      <c r="BD987" s="18"/>
      <c r="BE987" s="18"/>
      <c r="BF987" s="18"/>
      <c r="BG987" s="18"/>
      <c r="BH987" s="18"/>
      <c r="BI987" s="18"/>
      <c r="BJ987" s="18"/>
      <c r="BK987" s="18"/>
      <c r="BL987" s="18"/>
      <c r="BM987" s="18"/>
      <c r="BN987" s="18"/>
      <c r="BO987" s="18"/>
      <c r="BP987" s="18"/>
      <c r="BQ987" s="18"/>
      <c r="BR987" s="18"/>
      <c r="BS987" s="18"/>
      <c r="BT987" s="18"/>
      <c r="BU987" s="18"/>
      <c r="BV987" s="18"/>
      <c r="BW987" s="18"/>
      <c r="BX987" s="18"/>
      <c r="BY987" s="18"/>
      <c r="BZ987" s="18"/>
      <c r="CA987" s="18"/>
      <c r="CB987" s="18"/>
      <c r="CC987" s="18"/>
      <c r="CD987" s="18"/>
      <c r="CE987" s="18"/>
      <c r="CF987" s="18"/>
      <c r="CG987" s="18"/>
      <c r="CH987" s="18"/>
      <c r="CI987" s="18"/>
      <c r="CJ987" s="18"/>
      <c r="CK987" s="18"/>
      <c r="CL987" s="18"/>
      <c r="CM987" s="18"/>
      <c r="CN987" s="18"/>
      <c r="CO987" s="18"/>
      <c r="CP987" s="18"/>
      <c r="CQ987" s="18"/>
      <c r="CR987" s="17"/>
      <c r="CS987" s="17"/>
      <c r="CT987" s="17"/>
      <c r="CU987" s="17"/>
    </row>
    <row r="988" spans="1:99" s="19" customFormat="1" ht="12" customHeight="1" x14ac:dyDescent="0.2">
      <c r="A988" s="65">
        <v>43951</v>
      </c>
      <c r="B988" s="17"/>
      <c r="C988" s="17"/>
      <c r="D988" s="62"/>
      <c r="E988" s="78"/>
      <c r="F988" s="62"/>
      <c r="G988" s="62"/>
      <c r="H988" s="60"/>
      <c r="I988" s="62"/>
      <c r="J988" s="60"/>
      <c r="K988" s="60"/>
      <c r="L988" s="60"/>
      <c r="M988" s="62"/>
      <c r="N988" s="62"/>
      <c r="O988" s="62"/>
      <c r="P988" s="62"/>
      <c r="Q988" s="60"/>
      <c r="R988" s="60"/>
      <c r="S988" s="60"/>
      <c r="T988" s="59"/>
      <c r="U988" s="60"/>
      <c r="V988" s="59"/>
      <c r="W988" s="60"/>
      <c r="X988" s="62"/>
      <c r="Y988" s="76"/>
      <c r="Z988" s="62"/>
      <c r="AA988" s="62"/>
      <c r="AB988" s="60"/>
      <c r="AC988" s="56"/>
      <c r="AD988" s="60"/>
      <c r="AE988" s="76"/>
      <c r="AF988" s="80"/>
      <c r="AG988" s="56"/>
      <c r="AH988" s="4"/>
      <c r="AI988" s="56"/>
      <c r="AJ988" s="109"/>
      <c r="AK988" s="56"/>
      <c r="AL988" s="56"/>
      <c r="AM988" s="56"/>
      <c r="AN988" s="56"/>
      <c r="AO988" s="82"/>
      <c r="AP988" s="82"/>
      <c r="AQ988" s="83"/>
      <c r="AR988" s="116"/>
      <c r="AS988" s="84"/>
      <c r="AT988" s="84"/>
      <c r="AU988" s="3"/>
      <c r="AV988" s="18">
        <v>0.01</v>
      </c>
      <c r="AW988" s="18">
        <v>20</v>
      </c>
      <c r="AX988" s="18">
        <v>30</v>
      </c>
      <c r="AY988" s="141"/>
      <c r="AZ988" s="18"/>
      <c r="BA988" s="18"/>
      <c r="BB988" s="18"/>
      <c r="BC988" s="18"/>
      <c r="BD988" s="18"/>
      <c r="BE988" s="18"/>
      <c r="BF988" s="18"/>
      <c r="BG988" s="18"/>
      <c r="BH988" s="18"/>
      <c r="BI988" s="18"/>
      <c r="BJ988" s="18"/>
      <c r="BK988" s="18"/>
      <c r="BL988" s="18"/>
      <c r="BM988" s="18"/>
      <c r="BN988" s="18"/>
      <c r="BO988" s="18"/>
      <c r="BP988" s="18"/>
      <c r="BQ988" s="18"/>
      <c r="BR988" s="18"/>
      <c r="BS988" s="18"/>
      <c r="BT988" s="18"/>
      <c r="BU988" s="18"/>
      <c r="BV988" s="18"/>
      <c r="BW988" s="18"/>
      <c r="BX988" s="18"/>
      <c r="BY988" s="18"/>
      <c r="BZ988" s="18"/>
      <c r="CA988" s="18"/>
      <c r="CB988" s="18"/>
      <c r="CC988" s="18"/>
      <c r="CD988" s="18"/>
      <c r="CE988" s="18"/>
      <c r="CF988" s="18"/>
      <c r="CG988" s="18"/>
      <c r="CH988" s="18"/>
      <c r="CI988" s="18"/>
      <c r="CJ988" s="18"/>
      <c r="CK988" s="18"/>
      <c r="CL988" s="18"/>
      <c r="CM988" s="18"/>
      <c r="CN988" s="18"/>
      <c r="CO988" s="18"/>
      <c r="CP988" s="18"/>
      <c r="CQ988" s="18"/>
      <c r="CR988" s="17"/>
      <c r="CS988" s="17"/>
      <c r="CT988" s="17"/>
      <c r="CU988" s="17"/>
    </row>
    <row r="989" spans="1:99" s="19" customFormat="1" ht="12" customHeight="1" x14ac:dyDescent="0.2">
      <c r="A989" s="65">
        <v>43951</v>
      </c>
      <c r="B989" s="17" t="s">
        <v>890</v>
      </c>
      <c r="C989" s="17" t="s">
        <v>48</v>
      </c>
      <c r="D989" s="62">
        <v>1965</v>
      </c>
      <c r="E989" s="78">
        <v>1</v>
      </c>
      <c r="F989" s="62">
        <v>18</v>
      </c>
      <c r="G989" s="62">
        <v>18</v>
      </c>
      <c r="H989" s="60" t="s">
        <v>22</v>
      </c>
      <c r="I989" s="62" t="s">
        <v>894</v>
      </c>
      <c r="J989" s="60" t="s">
        <v>16</v>
      </c>
      <c r="K989" s="60">
        <f>IF(J989="syllables",1,IF(J989="trigrams",2,IF(J989="strings",3,IF(J989="visual array",4,IF(J989="characters",5,IF(J989="letters",6,IF(J989="free forms",7,IF(J989="odors",8,IF(J989="words",9,IF(J989="pictures",10,IF(J989="object pictures",11,IF(J989="faces",12,IF(J989="names",13,IF(J989="idioms",14,IF(J989="grades",15,IF(J989="syllable-digit pairs",16,IF(J989="trigram-word pairs",17,IF(J989="word-digit pairs",18,IF(J989="English-Swahili pairs",19,IF(J989="spatial position",20,IF(J989="word pairs",21,IF(J989="word triads",22,IF(J989="generated words",23,IF(J989="word definition pairs",24,IF(J989="math problems",25,IF(J989="famous faces",26,IF(J989="famous names",27,IF(J989="famous voices",28,IF(J989="television programs",29,IF(J989="race horses",30,IF(J989="new vocabulary",31,IF(J989="sentences",32,IF(J989="concepts",33,IF(J989="ad slides",34,IF(J989="scenes",35,IF(J989="famous scenes",36,IF(J989="poems",37,IF(J989="walk",38,IF(J989="faces and events",39,IF(J989="events and names",40,IF(J989="flashbulb",41,IF(J989="stories",42,IF(J989="course material",43,IF(J989="autobiographical",44,IF(J989="novels",45,IF(J989="public events",46,"99"))))))))))))))))))))))))))))))))))))))))))))))</f>
        <v>9</v>
      </c>
      <c r="L989" s="60">
        <f>IF(J989="syllables",1,IF(J989="trigrams",1,IF(J989="strings",1,IF(J989="visual array",1,IF(J989="characters",1,IF(J989="letters",1,IF(J989="free forms",1,IF(J989="odors",2,IF(J989="words",2,IF(J989="pictures",2,IF(J989="object pictures",2,IF(J989="faces",2,IF(J989="names",2,IF(J989="idioms","2",IF(J989="grades",2,IF(J989="syllable-digit pairs",3,IF(J989="trigram-word pairs",3,IF(J989="word-digit pairs",3,IF(J989="English-Swahili pairs",3,IF(J989="spatial position",3,IF(J989="word pairs",4,IF(J989="word triads",4,IF(J989="generated words",4,IF(J989="word definition pairs",4,IF(J989="math problems",4,IF(J989="famous faces",4,IF(J989="famous names",4,IF(J989="famous voices",4,IF(J989="television programs",4,IF(J989="race horses",4,IF(J989="new vocabulary",4,IF(J989="sentences",5,IF(J989="concepts",5,IF(J989="ad slides",5,IF(J989="scenes",5,IF(J989="famous scenes",5,IF(J989="poems",6,IF(J989="walk",6,IF(J989="faces and events",6,IF(J989="events and names",6,IF(J989="flashbulb",7,IF(J989="stories",7,IF(J989="course material",7,IF(J989="autobiographical",7,IF(J989="novels",7,IF(J989="public events",7,"99"))))))))))))))))))))))))))))))))))))))))))))))</f>
        <v>2</v>
      </c>
      <c r="M989" s="62">
        <v>0</v>
      </c>
      <c r="N989" s="62">
        <v>1</v>
      </c>
      <c r="O989" s="62">
        <v>1</v>
      </c>
      <c r="P989" s="62" t="s">
        <v>27</v>
      </c>
      <c r="Q989" s="60" t="s">
        <v>174</v>
      </c>
      <c r="R989" s="60">
        <f>IF(Q989="Free Recall",1,IF(Q989="Cued Recall",2,IF(Q989="Recognition",3,IF(Q989="Multiple Choice",4,IF(Q989="Savings",5,IF(Q989="Stem Completion",6,IF(Q989="Fragment Completion",7,IF(Q989="anagram solution",8,IF(Q989="Matching",9,IF(Q989="Problem Solving",10,"99"))))))))))</f>
        <v>1</v>
      </c>
      <c r="S989" s="60" t="s">
        <v>49</v>
      </c>
      <c r="T989" s="59" t="s">
        <v>581</v>
      </c>
      <c r="U989" s="60">
        <f>IF(T989="within",1,0)</f>
        <v>1</v>
      </c>
      <c r="V989" s="59">
        <v>30</v>
      </c>
      <c r="W989" s="60">
        <f>F989*V989</f>
        <v>540</v>
      </c>
      <c r="X989" s="62">
        <v>3</v>
      </c>
      <c r="Y989" s="76">
        <f>AV988</f>
        <v>0.01</v>
      </c>
      <c r="Z989" s="62" t="s">
        <v>52</v>
      </c>
      <c r="AA989" s="62">
        <v>18</v>
      </c>
      <c r="AB989" s="60" t="str">
        <f>IF(AA989&lt;60,"1",IF(AA989&lt;=43200,"2",IF(AA989&lt;=777600,"3","4")))</f>
        <v>1</v>
      </c>
      <c r="AC989" s="56">
        <f>AVERAGE(AV988:DA988)</f>
        <v>16.670000000000002</v>
      </c>
      <c r="AD989" s="60" t="str">
        <f>IF(AC989&lt;60,"1",IF(AC989&lt;=43200,"2",IF(AC989&lt;=777600,"3","4")))</f>
        <v>1</v>
      </c>
      <c r="AE989" s="76">
        <f>AA989-Y989</f>
        <v>17.989999999999998</v>
      </c>
      <c r="AF989" s="80">
        <f>AV989</f>
        <v>0.35499999999999998</v>
      </c>
      <c r="AG989" s="56">
        <f>((AW989-AV989)+(AX989-AW989))/2</f>
        <v>-7.9999999999999988E-2</v>
      </c>
      <c r="AH989" s="4"/>
      <c r="AI989" s="56">
        <f>RSQ(AV989:AX989,AV988:AX988)</f>
        <v>0.94770323436401216</v>
      </c>
      <c r="AJ989" s="109">
        <f>SLOPE(AV989:AX989,AV988:AX988)</f>
        <v>-5.5875474499574758E-3</v>
      </c>
      <c r="AK989" s="56">
        <f>INTERCEPT(AV989:AX989,AV988:AX988)</f>
        <v>0.34747774932412445</v>
      </c>
      <c r="AL989" s="56">
        <f>INDEX(LINEST(LN(AV989:AX989),LN(AV988:AX988),TRUE,TRUE),3,1)</f>
        <v>0.99156895773113973</v>
      </c>
      <c r="AM989" s="56">
        <f>INDEX(LINEST(LN(AV989:AX989),LN(AV988:AX988)),1)</f>
        <v>-7.1413414462206712E-2</v>
      </c>
      <c r="AN989" s="56">
        <f>EXP(INDEX(LINEST(LN(AV989:AX989),LN(AV988:AX988)),1,2))</f>
        <v>0.25590042188083456</v>
      </c>
      <c r="AO989" s="82">
        <f>INDEX(LINEST((AV989:AX989),LN(AV988:AX988),TRUE,TRUE),3,1)</f>
        <v>0.99665094593137182</v>
      </c>
      <c r="AP989" s="82">
        <f>INDEX(LINEST((AV989:AX989),LN(AV988:AX988)),1)</f>
        <v>-1.9400561467033433E-2</v>
      </c>
      <c r="AQ989" s="83">
        <f>INDEX(LINEST(LN(AV989:AX989),SQRT(AV988:AX988),TRUE,TRUE),3,1)</f>
        <v>0.9984181847900625</v>
      </c>
      <c r="AR989" s="116">
        <f>INDEX(LINEST(LN(AV989:AX989),SQRT((AV988:AX988))),1)</f>
        <v>-0.11304439860524775</v>
      </c>
      <c r="AS989" s="84">
        <f>INDEX(LINEST(1/(AV989:AX989),1/(SQRT(AV988:AX988)),TRUE,TRUE),3,1)</f>
        <v>0.97014104653505295</v>
      </c>
      <c r="AT989" s="84">
        <f>INDEX(LINEST(1/(AV989:AX989),1/SQRT(AV988:AX988)),1)</f>
        <v>-0.21394019582471377</v>
      </c>
      <c r="AU989" s="3"/>
      <c r="AV989" s="18">
        <v>0.35499999999999998</v>
      </c>
      <c r="AW989" s="18">
        <v>0.21299999999999999</v>
      </c>
      <c r="AX989" s="18">
        <v>0.19500000000000001</v>
      </c>
      <c r="AY989" s="141"/>
      <c r="AZ989" s="18"/>
      <c r="BA989" s="18"/>
      <c r="BB989" s="18"/>
      <c r="BC989" s="18"/>
      <c r="BD989" s="18"/>
      <c r="BE989" s="18"/>
      <c r="BF989" s="18"/>
      <c r="BG989" s="18"/>
      <c r="BH989" s="18"/>
      <c r="BI989" s="18"/>
      <c r="BJ989" s="18"/>
      <c r="BK989" s="18"/>
      <c r="BL989" s="18"/>
      <c r="BM989" s="18"/>
      <c r="BN989" s="18"/>
      <c r="BO989" s="18"/>
      <c r="BP989" s="18"/>
      <c r="BQ989" s="18"/>
      <c r="BR989" s="18"/>
      <c r="BS989" s="18"/>
      <c r="BT989" s="18"/>
      <c r="BU989" s="18"/>
      <c r="BV989" s="18"/>
      <c r="BW989" s="18"/>
      <c r="BX989" s="18"/>
      <c r="BY989" s="18"/>
      <c r="BZ989" s="18"/>
      <c r="CA989" s="18"/>
      <c r="CB989" s="18"/>
      <c r="CC989" s="18"/>
      <c r="CD989" s="18"/>
      <c r="CE989" s="18"/>
      <c r="CF989" s="18"/>
      <c r="CG989" s="18"/>
      <c r="CH989" s="18"/>
      <c r="CI989" s="18"/>
      <c r="CJ989" s="18"/>
      <c r="CK989" s="18"/>
      <c r="CL989" s="18"/>
      <c r="CM989" s="18"/>
      <c r="CN989" s="18"/>
      <c r="CO989" s="18"/>
      <c r="CP989" s="18"/>
      <c r="CQ989" s="18"/>
      <c r="CR989" s="17"/>
      <c r="CS989" s="17"/>
      <c r="CT989" s="17"/>
      <c r="CU989" s="17"/>
    </row>
    <row r="990" spans="1:99" s="19" customFormat="1" ht="12" customHeight="1" x14ac:dyDescent="0.2">
      <c r="A990" s="68">
        <v>43951</v>
      </c>
      <c r="B990" s="100"/>
      <c r="C990" s="100"/>
      <c r="D990" s="99"/>
      <c r="E990" s="106"/>
      <c r="F990" s="99"/>
      <c r="G990" s="99"/>
      <c r="H990" s="69"/>
      <c r="I990" s="99"/>
      <c r="J990" s="69"/>
      <c r="K990" s="69"/>
      <c r="L990" s="69"/>
      <c r="M990" s="99"/>
      <c r="N990" s="99"/>
      <c r="O990" s="99"/>
      <c r="P990" s="99"/>
      <c r="Q990" s="69"/>
      <c r="R990" s="69"/>
      <c r="S990" s="69"/>
      <c r="T990" s="92"/>
      <c r="U990" s="69"/>
      <c r="V990" s="92"/>
      <c r="W990" s="69"/>
      <c r="X990" s="99"/>
      <c r="Y990" s="87"/>
      <c r="Z990" s="99"/>
      <c r="AA990" s="99"/>
      <c r="AB990" s="69"/>
      <c r="AC990" s="72"/>
      <c r="AD990" s="69"/>
      <c r="AE990" s="87"/>
      <c r="AF990" s="88"/>
      <c r="AG990" s="72"/>
      <c r="AH990" s="4"/>
      <c r="AI990" s="72"/>
      <c r="AJ990" s="110"/>
      <c r="AK990" s="72"/>
      <c r="AL990" s="72"/>
      <c r="AM990" s="72"/>
      <c r="AN990" s="72"/>
      <c r="AO990" s="89"/>
      <c r="AP990" s="89"/>
      <c r="AQ990" s="90"/>
      <c r="AR990" s="117"/>
      <c r="AS990" s="91"/>
      <c r="AT990" s="91"/>
      <c r="AU990" s="3"/>
      <c r="AV990" s="158">
        <f>60*2</f>
        <v>120</v>
      </c>
      <c r="AW990" s="158">
        <f>60*8</f>
        <v>480</v>
      </c>
      <c r="AX990" s="158">
        <f>60*26</f>
        <v>1560</v>
      </c>
      <c r="AY990" s="141"/>
      <c r="AZ990" s="18"/>
      <c r="BA990" s="18"/>
      <c r="BB990" s="18"/>
      <c r="BC990" s="18"/>
      <c r="BD990" s="18"/>
      <c r="BE990" s="18"/>
      <c r="BF990" s="18"/>
      <c r="BG990" s="18"/>
      <c r="BH990" s="18"/>
      <c r="BI990" s="18"/>
      <c r="BJ990" s="18"/>
      <c r="BK990" s="18"/>
      <c r="BL990" s="18"/>
      <c r="BM990" s="18"/>
      <c r="BN990" s="18"/>
      <c r="BO990" s="18"/>
      <c r="BP990" s="18"/>
      <c r="BQ990" s="18"/>
      <c r="BR990" s="18"/>
      <c r="BS990" s="18"/>
      <c r="BT990" s="18"/>
      <c r="BU990" s="18"/>
      <c r="BV990" s="18"/>
      <c r="BW990" s="18"/>
      <c r="BX990" s="18"/>
      <c r="BY990" s="18"/>
      <c r="BZ990" s="18"/>
      <c r="CA990" s="18"/>
      <c r="CB990" s="18"/>
      <c r="CC990" s="18"/>
      <c r="CD990" s="18"/>
      <c r="CE990" s="18"/>
      <c r="CF990" s="18"/>
      <c r="CG990" s="18"/>
      <c r="CH990" s="18"/>
      <c r="CI990" s="18"/>
      <c r="CJ990" s="18"/>
      <c r="CK990" s="18"/>
      <c r="CL990" s="18"/>
      <c r="CM990" s="18"/>
      <c r="CN990" s="18"/>
      <c r="CO990" s="18"/>
      <c r="CP990" s="18"/>
      <c r="CQ990" s="18"/>
      <c r="CR990" s="17"/>
      <c r="CS990" s="17"/>
      <c r="CT990" s="17"/>
      <c r="CU990" s="17"/>
    </row>
    <row r="991" spans="1:99" s="19" customFormat="1" ht="12" customHeight="1" x14ac:dyDescent="0.2">
      <c r="A991" s="68">
        <v>43951</v>
      </c>
      <c r="B991" s="100" t="s">
        <v>887</v>
      </c>
      <c r="C991" s="100" t="s">
        <v>58</v>
      </c>
      <c r="D991" s="99">
        <v>1968</v>
      </c>
      <c r="E991" s="106">
        <v>2</v>
      </c>
      <c r="F991" s="99">
        <f>3*16</f>
        <v>48</v>
      </c>
      <c r="G991" s="99">
        <v>16</v>
      </c>
      <c r="H991" s="69" t="s">
        <v>50</v>
      </c>
      <c r="I991" s="99" t="s">
        <v>888</v>
      </c>
      <c r="J991" s="69" t="s">
        <v>828</v>
      </c>
      <c r="K991" s="69">
        <f>IF(J991="syllables",1,IF(J991="trigrams",2,IF(J991="strings",3,IF(J991="visual array",4,IF(J991="characters",5,IF(J991="letters",6,IF(J991="free forms",7,IF(J991="odors",8,IF(J991="words",9,IF(J991="pictures",10,IF(J991="object pictures",11,IF(J991="faces",12,IF(J991="names",13,IF(J991="idioms",14,IF(J991="grades",15,IF(J991="syllable-digit pairs",16,IF(J991="trigram-word pairs",17,IF(J991="word-digit pairs",18,IF(J991="English-Swahili pairs",19,IF(J991="spatial position",20,IF(J991="word pairs",21,IF(J991="word triads",22,IF(J991="generated words",23,IF(J991="word definition pairs",24,IF(J991="math problems",25,IF(J991="famous faces",26,IF(J991="famous names",27,IF(J991="famous voices",28,IF(J991="television programs",29,IF(J991="race horses",30,IF(J991="new vocabulary",31,IF(J991="sentences",32,IF(J991="concepts",33,IF(J991="ad slides",34,IF(J991="scenes",35,IF(J991="famous scenes",36,IF(J991="poems",37,IF(J991="walk",38,IF(J991="faces and events",39,IF(J991="events and names",40,IF(J991="flashbulb",41,IF(J991="stories",42,IF(J991="course material",43,IF(J991="autobiographical",44,IF(J991="novels",45,IF(J991="public events",46,"99"))))))))))))))))))))))))))))))))))))))))))))))</f>
        <v>17</v>
      </c>
      <c r="L991" s="69">
        <f>IF(J991="syllables",1,IF(J991="trigrams",1,IF(J991="strings",1,IF(J991="visual array",1,IF(J991="characters",1,IF(J991="letters",1,IF(J991="free forms",1,IF(J991="odors",2,IF(J991="words",2,IF(J991="pictures",2,IF(J991="object pictures",2,IF(J991="faces",2,IF(J991="names",2,IF(J991="idioms","2",IF(J991="grades",2,IF(J991="syllable-digit pairs",3,IF(J991="trigram-word pairs",3,IF(J991="word-digit pairs",3,IF(J991="English-Swahili pairs",3,IF(J991="spatial position",3,IF(J991="word pairs",4,IF(J991="word triads",4,IF(J991="generated words",4,IF(J991="word definition pairs",4,IF(J991="math problems",4,IF(J991="famous faces",4,IF(J991="famous names",4,IF(J991="famous voices",4,IF(J991="television programs",4,IF(J991="race horses",4,IF(J991="new vocabulary",4,IF(J991="sentences",5,IF(J991="concepts",5,IF(J991="ad slides",5,IF(J991="scenes",5,IF(J991="famous scenes",5,IF(J991="poems",6,IF(J991="walk",6,IF(J991="faces and events",6,IF(J991="events and names",6,IF(J991="flashbulb",7,IF(J991="stories",7,IF(J991="course material",7,IF(J991="autobiographical",7,IF(J991="novels",7,IF(J991="public events",7,"99"))))))))))))))))))))))))))))))))))))))))))))))</f>
        <v>3</v>
      </c>
      <c r="M991" s="99">
        <v>1</v>
      </c>
      <c r="N991" s="99">
        <v>2</v>
      </c>
      <c r="O991" s="99">
        <v>0</v>
      </c>
      <c r="P991" s="99"/>
      <c r="Q991" s="69" t="s">
        <v>65</v>
      </c>
      <c r="R991" s="69">
        <f>IF(Q991="Free Recall",1,IF(Q991="Cued Recall",2,IF(Q991="Recognition",3,IF(Q991="Multiple Choice",4,IF(Q991="Savings",5,IF(Q991="Stem Completion",6,IF(Q991="Fragment Completion",7,IF(Q991="anagram solution",8,IF(Q991="Matching",9,IF(Q991="Problem Solving",10,"99"))))))))))</f>
        <v>2</v>
      </c>
      <c r="S991" s="69" t="s">
        <v>49</v>
      </c>
      <c r="T991" s="92" t="s">
        <v>261</v>
      </c>
      <c r="U991" s="69">
        <f>IF(T991="within",1,0)</f>
        <v>0</v>
      </c>
      <c r="V991" s="92">
        <v>8</v>
      </c>
      <c r="W991" s="69">
        <f>F991*V991</f>
        <v>384</v>
      </c>
      <c r="X991" s="99">
        <v>3</v>
      </c>
      <c r="Y991" s="87">
        <f>AV990</f>
        <v>120</v>
      </c>
      <c r="Z991" s="99" t="s">
        <v>889</v>
      </c>
      <c r="AA991" s="99">
        <f>60*26</f>
        <v>1560</v>
      </c>
      <c r="AB991" s="69" t="str">
        <f>IF(AA991&lt;60,"1",IF(AA991&lt;=43200,"2",IF(AA991&lt;=777600,"3","4")))</f>
        <v>2</v>
      </c>
      <c r="AC991" s="72">
        <f>AVERAGE(AV990:DA990)</f>
        <v>720</v>
      </c>
      <c r="AD991" s="69" t="str">
        <f>IF(AC991&lt;60,"1",IF(AC991&lt;=43200,"2",IF(AC991&lt;=777600,"3","4")))</f>
        <v>2</v>
      </c>
      <c r="AE991" s="87">
        <f>AA991-Y991</f>
        <v>1440</v>
      </c>
      <c r="AF991" s="88">
        <f>AV991</f>
        <v>0.81384711139697496</v>
      </c>
      <c r="AG991" s="72">
        <f>((AW991-AV991)+(AX991-AW991))/2</f>
        <v>-3.9568001134763109E-2</v>
      </c>
      <c r="AH991" s="4"/>
      <c r="AI991" s="72">
        <f>RSQ(AV991:AX991,AV990:AX990)</f>
        <v>0.44648555143867708</v>
      </c>
      <c r="AJ991" s="110">
        <f>SLOPE(AV991:AX991,AV990:AX990)</f>
        <v>-4.1588322846442433E-5</v>
      </c>
      <c r="AK991" s="72">
        <f>INTERCEPT(AV991:AX991,AV990:AX990)</f>
        <v>0.78996448408257436</v>
      </c>
      <c r="AL991" s="72">
        <f>INDEX(LINEST(LN(AV991:AX991),LN(AV990:AX990),TRUE,TRUE),3,1)</f>
        <v>0.75900705694144888</v>
      </c>
      <c r="AM991" s="72">
        <f>INDEX(LINEST(LN(AV991:AX991),LN(AV990:AX990)),1)</f>
        <v>-4.0960677745524365E-2</v>
      </c>
      <c r="AN991" s="72">
        <f>EXP(INDEX(LINEST(LN(AV991:AX991),LN(AV990:AX990)),1,2))</f>
        <v>0.97473455488349425</v>
      </c>
      <c r="AO991" s="89">
        <f>INDEX(LINEST((AV991:AX991),LN(AV990:AX990),TRUE,TRUE),3,1)</f>
        <v>0.76059450848757448</v>
      </c>
      <c r="AP991" s="89">
        <f>INDEX(LINEST((AV991:AX991),LN(AV990:AX990)),1)</f>
        <v>-3.1683650715659956E-2</v>
      </c>
      <c r="AQ991" s="90">
        <f>INDEX(LINEST(LN(AV991:AX991),SQRT(AV990:AX990),TRUE,TRUE),3,1)</f>
        <v>0.59165438727446729</v>
      </c>
      <c r="AR991" s="117">
        <f>INDEX(LINEST(LN(AV991:AX991),SQRT((AV990:AX990))),1)</f>
        <v>-3.2245253545823984E-3</v>
      </c>
      <c r="AS991" s="91">
        <f>INDEX(LINEST(1/(AV991:AX991),1/(SQRT(AV990:AX990)),TRUE,TRUE),3,1)</f>
        <v>0.88644889708052754</v>
      </c>
      <c r="AT991" s="91">
        <f>INDEX(LINEST(1/(AV991:AX991),1/SQRT(AV990:AX990)),1)</f>
        <v>-2.1790252062563069</v>
      </c>
      <c r="AU991" s="3"/>
      <c r="AV991" s="101">
        <v>0.81384711139697496</v>
      </c>
      <c r="AW991" s="101">
        <v>0.73150445437498379</v>
      </c>
      <c r="AX991" s="101">
        <v>0.73471110912744875</v>
      </c>
      <c r="AY991" s="141"/>
      <c r="AZ991" s="18"/>
      <c r="BA991" s="18"/>
      <c r="BB991" s="18"/>
      <c r="BC991" s="18"/>
      <c r="BD991" s="18"/>
      <c r="BE991" s="18"/>
      <c r="BF991" s="18"/>
      <c r="BG991" s="18"/>
      <c r="BH991" s="18"/>
      <c r="BI991" s="18"/>
      <c r="BJ991" s="18"/>
      <c r="BK991" s="18"/>
      <c r="BL991" s="18"/>
      <c r="BM991" s="18"/>
      <c r="BN991" s="18"/>
      <c r="BO991" s="18"/>
      <c r="BP991" s="18"/>
      <c r="BQ991" s="18"/>
      <c r="BR991" s="18"/>
      <c r="BS991" s="18"/>
      <c r="BT991" s="18"/>
      <c r="BU991" s="18"/>
      <c r="BV991" s="18"/>
      <c r="BW991" s="18"/>
      <c r="BX991" s="18"/>
      <c r="BY991" s="18"/>
      <c r="BZ991" s="18"/>
      <c r="CA991" s="18"/>
      <c r="CB991" s="18"/>
      <c r="CC991" s="18"/>
      <c r="CD991" s="18"/>
      <c r="CE991" s="18"/>
      <c r="CF991" s="18"/>
      <c r="CG991" s="18"/>
      <c r="CH991" s="18"/>
      <c r="CI991" s="18"/>
      <c r="CJ991" s="18"/>
      <c r="CK991" s="18"/>
      <c r="CL991" s="18"/>
      <c r="CM991" s="18"/>
      <c r="CN991" s="18"/>
      <c r="CO991" s="18"/>
      <c r="CP991" s="18"/>
      <c r="CQ991" s="18"/>
      <c r="CR991" s="17"/>
      <c r="CS991" s="17"/>
      <c r="CT991" s="17"/>
      <c r="CU991" s="17"/>
    </row>
    <row r="992" spans="1:99" s="19" customFormat="1" ht="12" customHeight="1" x14ac:dyDescent="0.2">
      <c r="A992" s="68">
        <v>43951</v>
      </c>
      <c r="B992" s="100"/>
      <c r="C992" s="100"/>
      <c r="D992" s="99"/>
      <c r="E992" s="106"/>
      <c r="F992" s="99"/>
      <c r="G992" s="99"/>
      <c r="H992" s="69"/>
      <c r="I992" s="99"/>
      <c r="J992" s="69"/>
      <c r="K992" s="69"/>
      <c r="L992" s="69"/>
      <c r="M992" s="99"/>
      <c r="N992" s="99"/>
      <c r="O992" s="99"/>
      <c r="P992" s="99"/>
      <c r="Q992" s="69"/>
      <c r="R992" s="69"/>
      <c r="S992" s="69"/>
      <c r="T992" s="92"/>
      <c r="U992" s="69"/>
      <c r="V992" s="92"/>
      <c r="W992" s="69"/>
      <c r="X992" s="99"/>
      <c r="Y992" s="87"/>
      <c r="Z992" s="99"/>
      <c r="AA992" s="99"/>
      <c r="AB992" s="69"/>
      <c r="AC992" s="72"/>
      <c r="AD992" s="69"/>
      <c r="AE992" s="87"/>
      <c r="AF992" s="88"/>
      <c r="AG992" s="72"/>
      <c r="AH992" s="4"/>
      <c r="AI992" s="72"/>
      <c r="AJ992" s="110"/>
      <c r="AK992" s="72"/>
      <c r="AL992" s="72"/>
      <c r="AM992" s="72"/>
      <c r="AN992" s="72"/>
      <c r="AO992" s="89"/>
      <c r="AP992" s="89"/>
      <c r="AQ992" s="90"/>
      <c r="AR992" s="117"/>
      <c r="AS992" s="91"/>
      <c r="AT992" s="91"/>
      <c r="AU992" s="3"/>
      <c r="AV992" s="158">
        <f>60*2</f>
        <v>120</v>
      </c>
      <c r="AW992" s="158">
        <f>60*8</f>
        <v>480</v>
      </c>
      <c r="AX992" s="158">
        <f>60*26</f>
        <v>1560</v>
      </c>
      <c r="AY992" s="141"/>
      <c r="AZ992" s="18"/>
      <c r="BA992" s="18"/>
      <c r="BB992" s="18"/>
      <c r="BC992" s="18"/>
      <c r="BD992" s="18"/>
      <c r="BE992" s="18"/>
      <c r="BF992" s="18"/>
      <c r="BG992" s="18"/>
      <c r="BH992" s="18"/>
      <c r="BI992" s="18"/>
      <c r="BJ992" s="18"/>
      <c r="BK992" s="18"/>
      <c r="BL992" s="18"/>
      <c r="BM992" s="18"/>
      <c r="BN992" s="18"/>
      <c r="BO992" s="18"/>
      <c r="BP992" s="18"/>
      <c r="BQ992" s="18"/>
      <c r="BR992" s="18"/>
      <c r="BS992" s="18"/>
      <c r="BT992" s="18"/>
      <c r="BU992" s="18"/>
      <c r="BV992" s="18"/>
      <c r="BW992" s="18"/>
      <c r="BX992" s="18"/>
      <c r="BY992" s="18"/>
      <c r="BZ992" s="18"/>
      <c r="CA992" s="18"/>
      <c r="CB992" s="18"/>
      <c r="CC992" s="18"/>
      <c r="CD992" s="18"/>
      <c r="CE992" s="18"/>
      <c r="CF992" s="18"/>
      <c r="CG992" s="18"/>
      <c r="CH992" s="18"/>
      <c r="CI992" s="18"/>
      <c r="CJ992" s="18"/>
      <c r="CK992" s="18"/>
      <c r="CL992" s="18"/>
      <c r="CM992" s="18"/>
      <c r="CN992" s="18"/>
      <c r="CO992" s="18"/>
      <c r="CP992" s="18"/>
      <c r="CQ992" s="18"/>
      <c r="CR992" s="17"/>
      <c r="CS992" s="17"/>
      <c r="CT992" s="17"/>
      <c r="CU992" s="17"/>
    </row>
    <row r="993" spans="1:99" s="19" customFormat="1" ht="12" customHeight="1" x14ac:dyDescent="0.2">
      <c r="A993" s="68">
        <v>43951</v>
      </c>
      <c r="B993" s="100" t="s">
        <v>887</v>
      </c>
      <c r="C993" s="100" t="s">
        <v>58</v>
      </c>
      <c r="D993" s="99">
        <v>1968</v>
      </c>
      <c r="E993" s="106">
        <v>2</v>
      </c>
      <c r="F993" s="99">
        <f>3*16</f>
        <v>48</v>
      </c>
      <c r="G993" s="99">
        <v>16</v>
      </c>
      <c r="H993" s="69" t="s">
        <v>50</v>
      </c>
      <c r="I993" s="99" t="s">
        <v>479</v>
      </c>
      <c r="J993" s="69" t="s">
        <v>828</v>
      </c>
      <c r="K993" s="69">
        <f>IF(J993="syllables",1,IF(J993="trigrams",2,IF(J993="strings",3,IF(J993="visual array",4,IF(J993="characters",5,IF(J993="letters",6,IF(J993="free forms",7,IF(J993="odors",8,IF(J993="words",9,IF(J993="pictures",10,IF(J993="object pictures",11,IF(J993="faces",12,IF(J993="names",13,IF(J993="idioms",14,IF(J993="grades",15,IF(J993="syllable-digit pairs",16,IF(J993="trigram-word pairs",17,IF(J993="word-digit pairs",18,IF(J993="English-Swahili pairs",19,IF(J993="spatial position",20,IF(J993="word pairs",21,IF(J993="word triads",22,IF(J993="generated words",23,IF(J993="word definition pairs",24,IF(J993="math problems",25,IF(J993="famous faces",26,IF(J993="famous names",27,IF(J993="famous voices",28,IF(J993="television programs",29,IF(J993="race horses",30,IF(J993="new vocabulary",31,IF(J993="sentences",32,IF(J993="concepts",33,IF(J993="ad slides",34,IF(J993="scenes",35,IF(J993="famous scenes",36,IF(J993="poems",37,IF(J993="walk",38,IF(J993="faces and events",39,IF(J993="events and names",40,IF(J993="flashbulb",41,IF(J993="stories",42,IF(J993="course material",43,IF(J993="autobiographical",44,IF(J993="novels",45,IF(J993="public events",46,"99"))))))))))))))))))))))))))))))))))))))))))))))</f>
        <v>17</v>
      </c>
      <c r="L993" s="69">
        <f>IF(J993="syllables",1,IF(J993="trigrams",1,IF(J993="strings",1,IF(J993="visual array",1,IF(J993="characters",1,IF(J993="letters",1,IF(J993="free forms",1,IF(J993="odors",2,IF(J993="words",2,IF(J993="pictures",2,IF(J993="object pictures",2,IF(J993="faces",2,IF(J993="names",2,IF(J993="idioms","2",IF(J993="grades",2,IF(J993="syllable-digit pairs",3,IF(J993="trigram-word pairs",3,IF(J993="word-digit pairs",3,IF(J993="English-Swahili pairs",3,IF(J993="spatial position",3,IF(J993="word pairs",4,IF(J993="word triads",4,IF(J993="generated words",4,IF(J993="word definition pairs",4,IF(J993="math problems",4,IF(J993="famous faces",4,IF(J993="famous names",4,IF(J993="famous voices",4,IF(J993="television programs",4,IF(J993="race horses",4,IF(J993="new vocabulary",4,IF(J993="sentences",5,IF(J993="concepts",5,IF(J993="ad slides",5,IF(J993="scenes",5,IF(J993="famous scenes",5,IF(J993="poems",6,IF(J993="walk",6,IF(J993="faces and events",6,IF(J993="events and names",6,IF(J993="flashbulb",7,IF(J993="stories",7,IF(J993="course material",7,IF(J993="autobiographical",7,IF(J993="novels",7,IF(J993="public events",7,"99"))))))))))))))))))))))))))))))))))))))))))))))</f>
        <v>3</v>
      </c>
      <c r="M993" s="99">
        <v>1</v>
      </c>
      <c r="N993" s="99">
        <v>2</v>
      </c>
      <c r="O993" s="99">
        <v>0</v>
      </c>
      <c r="P993" s="99"/>
      <c r="Q993" s="69" t="s">
        <v>65</v>
      </c>
      <c r="R993" s="69">
        <f>IF(Q993="Free Recall",1,IF(Q993="Cued Recall",2,IF(Q993="Recognition",3,IF(Q993="Multiple Choice",4,IF(Q993="Savings",5,IF(Q993="Stem Completion",6,IF(Q993="Fragment Completion",7,IF(Q993="anagram solution",8,IF(Q993="Matching",9,IF(Q993="Problem Solving",10,"99"))))))))))</f>
        <v>2</v>
      </c>
      <c r="S993" s="69" t="s">
        <v>49</v>
      </c>
      <c r="T993" s="92" t="s">
        <v>261</v>
      </c>
      <c r="U993" s="69">
        <f>IF(T993="within",1,0)</f>
        <v>0</v>
      </c>
      <c r="V993" s="92">
        <v>8</v>
      </c>
      <c r="W993" s="69">
        <f>F993*V993</f>
        <v>384</v>
      </c>
      <c r="X993" s="99">
        <v>3</v>
      </c>
      <c r="Y993" s="87">
        <f>AV992</f>
        <v>120</v>
      </c>
      <c r="Z993" s="99" t="s">
        <v>889</v>
      </c>
      <c r="AA993" s="99">
        <f>60*26</f>
        <v>1560</v>
      </c>
      <c r="AB993" s="69" t="str">
        <f>IF(AA993&lt;60,"1",IF(AA993&lt;=43200,"2",IF(AA993&lt;=777600,"3","4")))</f>
        <v>2</v>
      </c>
      <c r="AC993" s="72">
        <f>AVERAGE(AV992:DA992)</f>
        <v>720</v>
      </c>
      <c r="AD993" s="69" t="str">
        <f>IF(AC993&lt;60,"1",IF(AC993&lt;=43200,"2",IF(AC993&lt;=777600,"3","4")))</f>
        <v>2</v>
      </c>
      <c r="AE993" s="87">
        <f>AA993-Y993</f>
        <v>1440</v>
      </c>
      <c r="AF993" s="88">
        <f>AV993</f>
        <v>0.91340855217986505</v>
      </c>
      <c r="AG993" s="72">
        <f>((AW993-AV993)+(AX993-AW993))/2</f>
        <v>-2.8079895670229393E-2</v>
      </c>
      <c r="AH993" s="4"/>
      <c r="AI993" s="72">
        <f>RSQ(AV993:AX993,AV992:AX992)</f>
        <v>0.98095776481407204</v>
      </c>
      <c r="AJ993" s="110">
        <f>SLOPE(AV993:AX993,AV992:AX992)</f>
        <v>-4.0634165440504155E-5</v>
      </c>
      <c r="AK993" s="72">
        <f>INTERCEPT(AV993:AX993,AV992:AX992)</f>
        <v>0.92181476237352633</v>
      </c>
      <c r="AL993" s="72">
        <f>INDEX(LINEST(LN(AV993:AX993),LN(AV992:AX992),TRUE,TRUE),3,1)</f>
        <v>0.79553786475235699</v>
      </c>
      <c r="AM993" s="72">
        <f>INDEX(LINEST(LN(AV993:AX993),LN(AV992:AX992)),1)</f>
        <v>-2.4166709395687224E-2</v>
      </c>
      <c r="AN993" s="72">
        <f>EXP(INDEX(LINEST(LN(AV993:AX993),LN(AV992:AX992)),1,2))</f>
        <v>1.0340292819218277</v>
      </c>
      <c r="AO993" s="89">
        <f>INDEX(LINEST((AV993:AX993),LN(AV992:AX992),TRUE,TRUE),3,1)</f>
        <v>0.7979748396727413</v>
      </c>
      <c r="AP993" s="89">
        <f>INDEX(LINEST((AV993:AX993),LN(AV992:AX992)),1)</f>
        <v>-2.1392015822880469E-2</v>
      </c>
      <c r="AQ993" s="90">
        <f>INDEX(LINEST(LN(AV993:AX993),SQRT(AV992:AX992),TRUE,TRUE),3,1)</f>
        <v>0.91871620028618628</v>
      </c>
      <c r="AR993" s="117">
        <f>INDEX(LINEST(LN(AV993:AX993),SQRT((AV992:AX992))),1)</f>
        <v>-2.3156093997505635E-3</v>
      </c>
      <c r="AS993" s="91">
        <f>INDEX(LINEST(1/(AV993:AX993),1/(SQRT(AV992:AX992)),TRUE,TRUE),3,1)</f>
        <v>0.63997222279033972</v>
      </c>
      <c r="AT993" s="91">
        <f>INDEX(LINEST(1/(AV993:AX993),1/SQRT(AV992:AX992)),1)</f>
        <v>-0.93227433708464813</v>
      </c>
      <c r="AU993" s="3"/>
      <c r="AV993" s="101">
        <v>0.91340855217986505</v>
      </c>
      <c r="AW993" s="101">
        <v>0.90701717674981874</v>
      </c>
      <c r="AX993" s="101">
        <v>0.85724876083940627</v>
      </c>
      <c r="AY993" s="141"/>
      <c r="AZ993" s="18"/>
      <c r="BA993" s="18"/>
      <c r="BB993" s="18"/>
      <c r="BC993" s="18"/>
      <c r="BD993" s="18"/>
      <c r="BE993" s="18"/>
      <c r="BF993" s="18"/>
      <c r="BG993" s="18"/>
      <c r="BH993" s="18"/>
      <c r="BI993" s="18"/>
      <c r="BJ993" s="18"/>
      <c r="BK993" s="18"/>
      <c r="BL993" s="18"/>
      <c r="BM993" s="18"/>
      <c r="BN993" s="18"/>
      <c r="BO993" s="18"/>
      <c r="BP993" s="18"/>
      <c r="BQ993" s="18"/>
      <c r="BR993" s="18"/>
      <c r="BS993" s="18"/>
      <c r="BT993" s="18"/>
      <c r="BU993" s="18"/>
      <c r="BV993" s="18"/>
      <c r="BW993" s="18"/>
      <c r="BX993" s="18"/>
      <c r="BY993" s="18"/>
      <c r="BZ993" s="18"/>
      <c r="CA993" s="18"/>
      <c r="CB993" s="18"/>
      <c r="CC993" s="18"/>
      <c r="CD993" s="18"/>
      <c r="CE993" s="18"/>
      <c r="CF993" s="18"/>
      <c r="CG993" s="18"/>
      <c r="CH993" s="18"/>
      <c r="CI993" s="18"/>
      <c r="CJ993" s="18"/>
      <c r="CK993" s="18"/>
      <c r="CL993" s="18"/>
      <c r="CM993" s="18"/>
      <c r="CN993" s="18"/>
      <c r="CO993" s="18"/>
      <c r="CP993" s="18"/>
      <c r="CQ993" s="18"/>
      <c r="CR993" s="17"/>
      <c r="CS993" s="17"/>
      <c r="CT993" s="17"/>
      <c r="CU993" s="17"/>
    </row>
    <row r="994" spans="1:99" s="19" customFormat="1" ht="12" customHeight="1" x14ac:dyDescent="0.2">
      <c r="A994" s="65">
        <v>43509</v>
      </c>
      <c r="B994" s="17"/>
      <c r="C994" s="17"/>
      <c r="D994" s="62"/>
      <c r="E994" s="78"/>
      <c r="F994" s="62"/>
      <c r="G994" s="62"/>
      <c r="H994" s="62"/>
      <c r="I994" s="62"/>
      <c r="J994" s="62"/>
      <c r="K994" s="64"/>
      <c r="L994" s="64"/>
      <c r="M994" s="62"/>
      <c r="N994" s="62"/>
      <c r="O994" s="62"/>
      <c r="P994" s="62"/>
      <c r="Q994" s="62"/>
      <c r="R994" s="60"/>
      <c r="S994" s="62"/>
      <c r="T994" s="62"/>
      <c r="U994" s="60"/>
      <c r="V994" s="62"/>
      <c r="W994" s="60"/>
      <c r="X994" s="62"/>
      <c r="Y994" s="76"/>
      <c r="Z994" s="62"/>
      <c r="AA994" s="62"/>
      <c r="AB994" s="60"/>
      <c r="AC994" s="60"/>
      <c r="AD994" s="60"/>
      <c r="AE994" s="60"/>
      <c r="AF994" s="80"/>
      <c r="AG994" s="56"/>
      <c r="AH994" s="4"/>
      <c r="AI994" s="85"/>
      <c r="AJ994" s="112"/>
      <c r="AK994" s="85"/>
      <c r="AL994" s="85"/>
      <c r="AM994" s="85"/>
      <c r="AN994" s="85"/>
      <c r="AO994" s="85"/>
      <c r="AP994" s="85"/>
      <c r="AQ994" s="85"/>
      <c r="AR994" s="112"/>
      <c r="AS994" s="85"/>
      <c r="AT994" s="85"/>
      <c r="AU994" s="4"/>
      <c r="AV994" s="137">
        <v>30</v>
      </c>
      <c r="AW994" s="137">
        <f>5*60</f>
        <v>300</v>
      </c>
      <c r="AX994" s="137">
        <f>20*60</f>
        <v>1200</v>
      </c>
      <c r="AY994" s="137">
        <f>60*60</f>
        <v>3600</v>
      </c>
      <c r="AZ994" s="137">
        <f>8*60*60</f>
        <v>28800</v>
      </c>
      <c r="BA994" s="137">
        <f>24*60*60</f>
        <v>86400</v>
      </c>
      <c r="BB994" s="137">
        <f>2*24*60*60</f>
        <v>172800</v>
      </c>
      <c r="BC994" s="137">
        <f>6*24*60*60</f>
        <v>518400</v>
      </c>
      <c r="BD994" s="137">
        <f>14*24*60*60</f>
        <v>1209600</v>
      </c>
      <c r="BE994" s="137">
        <f>21*24*60*60</f>
        <v>1814400</v>
      </c>
      <c r="BF994" s="137">
        <f>30*24*60*60</f>
        <v>2592000</v>
      </c>
      <c r="BG994" s="137">
        <f>120*24*60*60</f>
        <v>10368000</v>
      </c>
      <c r="BH994" s="18"/>
      <c r="BI994" s="18"/>
      <c r="BJ994" s="18"/>
      <c r="BK994" s="18"/>
      <c r="BL994" s="18"/>
      <c r="BM994" s="18"/>
      <c r="BN994" s="18"/>
      <c r="BO994" s="18"/>
      <c r="BP994" s="18"/>
      <c r="BQ994" s="18"/>
      <c r="BR994" s="18"/>
      <c r="BS994" s="18"/>
      <c r="BT994" s="18"/>
      <c r="BU994" s="18"/>
      <c r="BV994" s="18"/>
      <c r="BW994" s="18"/>
      <c r="BX994" s="18"/>
      <c r="BY994" s="18"/>
      <c r="BZ994" s="18"/>
      <c r="CA994" s="18"/>
      <c r="CB994" s="18"/>
      <c r="CC994" s="18"/>
      <c r="CD994" s="18"/>
      <c r="CE994" s="18"/>
      <c r="CF994" s="18"/>
      <c r="CG994" s="18"/>
      <c r="CH994" s="18"/>
      <c r="CI994" s="18"/>
      <c r="CJ994" s="18"/>
      <c r="CK994" s="18"/>
      <c r="CL994" s="18"/>
      <c r="CM994" s="18"/>
      <c r="CN994" s="18"/>
      <c r="CO994" s="18"/>
      <c r="CP994" s="18"/>
      <c r="CQ994" s="18"/>
      <c r="CR994" s="17"/>
      <c r="CS994" s="17"/>
      <c r="CT994" s="17"/>
      <c r="CU994" s="17"/>
    </row>
    <row r="995" spans="1:99" s="19" customFormat="1" ht="12" customHeight="1" x14ac:dyDescent="0.2">
      <c r="A995" s="65">
        <v>43509</v>
      </c>
      <c r="B995" s="17" t="s">
        <v>190</v>
      </c>
      <c r="C995" s="17" t="s">
        <v>191</v>
      </c>
      <c r="D995" s="62">
        <v>1907</v>
      </c>
      <c r="E995" s="78"/>
      <c r="F995" s="62">
        <v>18</v>
      </c>
      <c r="G995" s="62">
        <v>18</v>
      </c>
      <c r="H995" s="62" t="s">
        <v>754</v>
      </c>
      <c r="I995" s="62"/>
      <c r="J995" s="62" t="s">
        <v>281</v>
      </c>
      <c r="K995" s="60">
        <f>IF(J995="syllables",1,IF(J995="trigrams",2,IF(J995="strings",3,IF(J995="visual array",4,IF(J995="characters",5,IF(J995="letters",6,IF(J995="free forms",7,IF(J995="odors",8,IF(J995="words",9,IF(J995="pictures",10,IF(J995="object pictures",11,IF(J995="faces",12,IF(J995="names",13,IF(J995="idioms",14,IF(J995="grades",15,IF(J995="syllable-digit pairs",16,IF(J995="trigram-word pairs",17,IF(J995="word-digit pairs",18,IF(J995="English-Swahili pairs",19,IF(J995="spatial position",20,IF(J995="word pairs",21,IF(J995="word triads",22,IF(J995="generated words",23,IF(J995="word definition pairs",24,IF(J995="math problems",25,IF(J995="famous faces",26,IF(J995="famous names",27,IF(J995="famous voices",28,IF(J995="television programs",29,IF(J995="race horses",30,IF(J995="new vocabulary",31,IF(J995="sentences",32,IF(J995="concepts",33,IF(J995="ad slides",34,IF(J995="scenes",35,IF(J995="famous scenes",36,IF(J995="poems",37,IF(J995="walk",38,IF(J995="faces and events",39,IF(J995="events and names",40,IF(J995="flashbulb",41,IF(J995="stories",42,IF(J995="course material",43,IF(J995="autobiographical",44,IF(J995="novels",45,IF(J995="public events",46,"99"))))))))))))))))))))))))))))))))))))))))))))))</f>
        <v>1</v>
      </c>
      <c r="L995" s="60">
        <f>IF(J995="syllables",1,IF(J995="trigrams",1,IF(J995="strings",1,IF(J995="visual array",1,IF(J995="characters",1,IF(J995="letters",1,IF(J995="free forms",1,IF(J995="odors",2,IF(J995="words",2,IF(J995="pictures",2,IF(J995="object pictures",2,IF(J995="faces",2,IF(J995="names",2,IF(J995="idioms","2",IF(J995="grades",2,IF(J995="syllable-digit pairs",3,IF(J995="trigram-word pairs",3,IF(J995="word-digit pairs",3,IF(J995="English-Swahili pairs",3,IF(J995="spatial position",3,IF(J995="word pairs",4,IF(J995="word triads",4,IF(J995="generated words",4,IF(J995="word definition pairs",4,IF(J995="math problems",4,IF(J995="famous faces",4,IF(J995="famous names",4,IF(J995="famous voices",4,IF(J995="television programs",4,IF(J995="race horses",4,IF(J995="new vocabulary",4,IF(J995="sentences",5,IF(J995="concepts",5,IF(J995="ad slides",5,IF(J995="scenes",5,IF(J995="famous scenes",5,IF(J995="poems",6,IF(J995="walk",6,IF(J995="faces and events",6,IF(J995="events and names",6,IF(J995="flashbulb",7,IF(J995="stories",7,IF(J995="course material",7,IF(J995="autobiographical",7,IF(J995="novels",7,IF(J995="public events",7,"99"))))))))))))))))))))))))))))))))))))))))))))))</f>
        <v>1</v>
      </c>
      <c r="M995" s="62">
        <v>1</v>
      </c>
      <c r="N995" s="62">
        <v>1</v>
      </c>
      <c r="O995" s="62">
        <v>0</v>
      </c>
      <c r="P995" s="62"/>
      <c r="Q995" s="62" t="s">
        <v>87</v>
      </c>
      <c r="R995" s="60">
        <f>IF(Q995="Free Recall",1,IF(Q995="Cued Recall",2,IF(Q995="Recognition",3,IF(Q995="Multiple Choice",4,IF(Q995="Savings",5,IF(Q995="Stem Completion",6,IF(Q995="Fragment Completion",7,IF(Q995="anagram solution",8,IF(Q995="Matching",9,IF(Q995="Problem Solving",10,"99"))))))))))</f>
        <v>5</v>
      </c>
      <c r="S995" s="62" t="s">
        <v>99</v>
      </c>
      <c r="T995" s="59" t="s">
        <v>581</v>
      </c>
      <c r="U995" s="60">
        <f>IF(T995="within",1,0)</f>
        <v>1</v>
      </c>
      <c r="V995" s="59">
        <v>132</v>
      </c>
      <c r="W995" s="60">
        <f>F995*V995</f>
        <v>2376</v>
      </c>
      <c r="X995" s="62">
        <v>12</v>
      </c>
      <c r="Y995" s="76">
        <f>AV994</f>
        <v>30</v>
      </c>
      <c r="Z995" s="62" t="s">
        <v>179</v>
      </c>
      <c r="AA995" s="78">
        <f>120*24*60*60</f>
        <v>10368000</v>
      </c>
      <c r="AB995" s="60" t="str">
        <f>IF(AA995&lt;60,"1",IF(AA995&lt;=43200,"2",IF(AA995&lt;=777600,"3","4")))</f>
        <v>4</v>
      </c>
      <c r="AC995" s="56">
        <f>AVERAGE(AV994:DA994)</f>
        <v>1399627.5</v>
      </c>
      <c r="AD995" s="60" t="str">
        <f>IF(AC995&lt;60,"1",IF(AC995&lt;=43200,"2",IF(AC995&lt;=777600,"3","4")))</f>
        <v>4</v>
      </c>
      <c r="AE995" s="76">
        <f>AA995-Y995</f>
        <v>10367970</v>
      </c>
      <c r="AF995" s="80">
        <f>AV995</f>
        <v>1</v>
      </c>
      <c r="AG995" s="56">
        <f>((AW995-AV995)+(AX995-AW995)+(AY995-AX995)+(AZ995-AY995)+(BA995-AZ995)+(BB995-BA995)+(BC995-BB995)+(BD995-BC995)+(BE995-BD995)+(BF995-BE995)+(BG995-BF995))/11</f>
        <v>-8.8363636363636366E-2</v>
      </c>
      <c r="AH995" s="4"/>
      <c r="AI995" s="56">
        <f>RSQ(AV995:BG995,AV994:BG994)</f>
        <v>0.53998915512795886</v>
      </c>
      <c r="AJ995" s="109">
        <f>SLOPE(AV995:BG995,AV994:BG994)</f>
        <v>-7.4714165027755701E-8</v>
      </c>
      <c r="AK995" s="56">
        <f>INTERCEPT(AV995:BG995,AV994:BG994)</f>
        <v>0.67548866667905183</v>
      </c>
      <c r="AL995" s="56">
        <f>INDEX(LINEST(LN(AV995:BG995),LN(AV994:BG994),TRUE,TRUE),3,1)</f>
        <v>0.53754507993514233</v>
      </c>
      <c r="AM995" s="56">
        <f>INDEX(LINEST(LN(AV995:BG995),LN(AV994:BG994)),1)</f>
        <v>-0.17930958726966884</v>
      </c>
      <c r="AN995" s="56">
        <f>EXP(INDEX(LINEST(LN(AV995:BG995),LN(AV994:BG994)),1,2))</f>
        <v>3.0953342065135714</v>
      </c>
      <c r="AO995" s="82">
        <f>INDEX(LINEST((AV995:BG995),LN(AV994:BG994),TRUE,TRUE),3,1)</f>
        <v>0.87312248918521063</v>
      </c>
      <c r="AP995" s="82">
        <f>INDEX(LINEST((AV995:BG995),LN(AV994:BG994)),1)</f>
        <v>-6.9942192684847068E-2</v>
      </c>
      <c r="AQ995" s="83">
        <f>INDEX(LINEST(LN(AV995:BG995),SQRT(AV994:BG994),TRUE,TRUE),3,1)</f>
        <v>0.93540932344351368</v>
      </c>
      <c r="AR995" s="116">
        <f>INDEX(LINEST(LN(AV995:BG995),SQRT((AV994:BG994))),1)</f>
        <v>-9.9156205187925987E-4</v>
      </c>
      <c r="AS995" s="84">
        <f>INDEX(LINEST(1/(AV995:BG995),1/(SQRT(AV994:BG994)),TRUE,TRUE),3,1)</f>
        <v>3.8266474121413228E-2</v>
      </c>
      <c r="AT995" s="84">
        <f>INDEX(LINEST(1/(AV995:BG995),1/SQRT(AV994:BG994)),1)</f>
        <v>-36.538800599225745</v>
      </c>
      <c r="AU995" s="3"/>
      <c r="AV995" s="18">
        <v>1</v>
      </c>
      <c r="AW995" s="18">
        <f>1-0.025</f>
        <v>0.97499999999999998</v>
      </c>
      <c r="AX995" s="18">
        <f>1-0.114</f>
        <v>0.88600000000000001</v>
      </c>
      <c r="AY995" s="18">
        <f>1-0.293</f>
        <v>0.70700000000000007</v>
      </c>
      <c r="AZ995" s="18">
        <f>1-0.526</f>
        <v>0.47399999999999998</v>
      </c>
      <c r="BA995" s="18">
        <f>1-0.311</f>
        <v>0.68900000000000006</v>
      </c>
      <c r="BB995" s="18">
        <f>1-0.391</f>
        <v>0.60899999999999999</v>
      </c>
      <c r="BC995" s="18">
        <f>1-0.507</f>
        <v>0.49299999999999999</v>
      </c>
      <c r="BD995" s="18">
        <f>1-0.59</f>
        <v>0.41000000000000003</v>
      </c>
      <c r="BE995" s="18">
        <f>1-0.622</f>
        <v>0.378</v>
      </c>
      <c r="BF995" s="18">
        <f>1-0.798</f>
        <v>0.20199999999999996</v>
      </c>
      <c r="BG995" s="18">
        <f>1-0.972</f>
        <v>2.8000000000000025E-2</v>
      </c>
      <c r="BH995" s="18"/>
      <c r="BI995" s="18"/>
      <c r="BJ995" s="18"/>
      <c r="BK995" s="18"/>
      <c r="BL995" s="18"/>
      <c r="BM995" s="18"/>
      <c r="BN995" s="18"/>
      <c r="BO995" s="18"/>
      <c r="BP995" s="18"/>
      <c r="BQ995" s="18"/>
      <c r="BR995" s="18"/>
      <c r="BS995" s="18"/>
      <c r="BT995" s="18"/>
      <c r="BU995" s="18"/>
      <c r="BV995" s="18"/>
      <c r="BW995" s="18"/>
      <c r="BX995" s="18"/>
      <c r="BY995" s="18"/>
      <c r="BZ995" s="18"/>
      <c r="CA995" s="18"/>
      <c r="CB995" s="18"/>
      <c r="CC995" s="18"/>
      <c r="CD995" s="18"/>
      <c r="CE995" s="18"/>
      <c r="CF995" s="18"/>
      <c r="CG995" s="18"/>
      <c r="CH995" s="18"/>
      <c r="CI995" s="18"/>
      <c r="CJ995" s="18"/>
      <c r="CK995" s="18"/>
      <c r="CL995" s="18"/>
      <c r="CM995" s="18"/>
      <c r="CN995" s="18"/>
      <c r="CO995" s="18"/>
      <c r="CP995" s="18"/>
      <c r="CQ995" s="18"/>
      <c r="CR995" s="17"/>
      <c r="CS995" s="17"/>
      <c r="CT995" s="17"/>
      <c r="CU995" s="17"/>
    </row>
    <row r="996" spans="1:99" s="19" customFormat="1" ht="12" customHeight="1" x14ac:dyDescent="0.2">
      <c r="A996" s="65">
        <v>43912</v>
      </c>
      <c r="B996" s="17"/>
      <c r="C996" s="17"/>
      <c r="D996" s="62"/>
      <c r="E996" s="78"/>
      <c r="F996" s="62"/>
      <c r="G996" s="62"/>
      <c r="H996" s="62"/>
      <c r="I996" s="62"/>
      <c r="J996" s="62"/>
      <c r="K996" s="64"/>
      <c r="L996" s="64"/>
      <c r="M996" s="62"/>
      <c r="N996" s="62"/>
      <c r="O996" s="62"/>
      <c r="P996" s="62"/>
      <c r="Q996" s="62"/>
      <c r="R996" s="60"/>
      <c r="S996" s="62"/>
      <c r="T996" s="62"/>
      <c r="U996" s="60"/>
      <c r="V996" s="62"/>
      <c r="W996" s="60"/>
      <c r="X996" s="62"/>
      <c r="Y996" s="76"/>
      <c r="Z996" s="62"/>
      <c r="AA996" s="62"/>
      <c r="AB996" s="60"/>
      <c r="AC996" s="60"/>
      <c r="AD996" s="60"/>
      <c r="AE996" s="60"/>
      <c r="AF996" s="80"/>
      <c r="AG996" s="56"/>
      <c r="AH996" s="4"/>
      <c r="AI996" s="85"/>
      <c r="AJ996" s="112"/>
      <c r="AK996" s="85"/>
      <c r="AL996" s="85"/>
      <c r="AM996" s="85"/>
      <c r="AN996" s="85"/>
      <c r="AO996" s="85"/>
      <c r="AP996" s="85"/>
      <c r="AQ996" s="85"/>
      <c r="AR996" s="112"/>
      <c r="AS996" s="85"/>
      <c r="AT996" s="85"/>
      <c r="AU996" s="4"/>
      <c r="AV996" s="137">
        <v>30</v>
      </c>
      <c r="AW996" s="137">
        <f>20*60</f>
        <v>1200</v>
      </c>
      <c r="AX996" s="137">
        <f>60*60</f>
        <v>3600</v>
      </c>
      <c r="AY996" s="137">
        <f>8*60*60</f>
        <v>28800</v>
      </c>
      <c r="AZ996" s="137">
        <f>24*60*60</f>
        <v>86400</v>
      </c>
      <c r="BA996" s="137">
        <f>2*24*60*60</f>
        <v>172800</v>
      </c>
      <c r="BB996" s="137">
        <f>3*24*60*60</f>
        <v>259200</v>
      </c>
      <c r="BC996" s="137">
        <f>4*24*60*60</f>
        <v>345600</v>
      </c>
      <c r="BD996" s="137">
        <f>5*24*60*60</f>
        <v>432000</v>
      </c>
      <c r="BE996" s="137">
        <f>6*24*60*60</f>
        <v>518400</v>
      </c>
      <c r="BF996" s="137">
        <f>7*24*60*60</f>
        <v>604800</v>
      </c>
      <c r="BG996" s="137">
        <f>14*24*60*60</f>
        <v>1209600</v>
      </c>
      <c r="BH996" s="137">
        <f>21*24*60*60</f>
        <v>1814400</v>
      </c>
      <c r="BI996" s="137">
        <f>30*24*60*60</f>
        <v>2592000</v>
      </c>
      <c r="BJ996" s="18"/>
      <c r="BK996" s="18"/>
      <c r="BL996" s="18"/>
      <c r="BM996" s="18"/>
      <c r="BN996" s="18"/>
      <c r="BO996" s="18"/>
      <c r="BP996" s="18"/>
      <c r="BQ996" s="18"/>
      <c r="BR996" s="18"/>
      <c r="BS996" s="18"/>
      <c r="BT996" s="18"/>
      <c r="BU996" s="18"/>
      <c r="BV996" s="18"/>
      <c r="BW996" s="18"/>
      <c r="BX996" s="18"/>
      <c r="BY996" s="18"/>
      <c r="BZ996" s="18"/>
      <c r="CA996" s="18"/>
      <c r="CB996" s="18"/>
      <c r="CC996" s="18"/>
      <c r="CD996" s="18"/>
      <c r="CE996" s="18"/>
      <c r="CF996" s="18"/>
      <c r="CG996" s="18"/>
      <c r="CH996" s="18"/>
      <c r="CI996" s="18"/>
      <c r="CJ996" s="18"/>
      <c r="CK996" s="18"/>
      <c r="CL996" s="18"/>
      <c r="CM996" s="18"/>
      <c r="CN996" s="18"/>
      <c r="CO996" s="18"/>
      <c r="CP996" s="18"/>
      <c r="CQ996" s="18"/>
      <c r="CR996" s="17"/>
      <c r="CS996" s="17"/>
      <c r="CT996" s="17"/>
      <c r="CU996" s="17"/>
    </row>
    <row r="997" spans="1:99" s="19" customFormat="1" ht="12" customHeight="1" x14ac:dyDescent="0.2">
      <c r="A997" s="65">
        <v>43912</v>
      </c>
      <c r="B997" s="17" t="s">
        <v>190</v>
      </c>
      <c r="C997" s="17" t="s">
        <v>191</v>
      </c>
      <c r="D997" s="62">
        <v>1907</v>
      </c>
      <c r="E997" s="78"/>
      <c r="F997" s="62">
        <v>18</v>
      </c>
      <c r="G997" s="62">
        <v>18</v>
      </c>
      <c r="H997" s="62" t="s">
        <v>755</v>
      </c>
      <c r="I997" s="62"/>
      <c r="J997" s="62" t="s">
        <v>677</v>
      </c>
      <c r="K997" s="60">
        <f>IF(J997="syllables",1,IF(J997="trigrams",2,IF(J997="strings",3,IF(J997="visual array",4,IF(J997="characters",5,IF(J997="letters",6,IF(J997="free forms",7,IF(J997="odors",8,IF(J997="words",9,IF(J997="pictures",10,IF(J997="object pictures",11,IF(J997="faces",12,IF(J997="names",13,IF(J997="idioms",14,IF(J997="grades",15,IF(J997="syllable-digit pairs",16,IF(J997="trigram-word pairs",17,IF(J997="word-digit pairs",18,IF(J997="English-Swahili pairs",19,IF(J997="spatial position",20,IF(J997="word pairs",21,IF(J997="word triads",22,IF(J997="generated words",23,IF(J997="word definition pairs",24,IF(J997="math problems",25,IF(J997="famous faces",26,IF(J997="famous names",27,IF(J997="famous voices",28,IF(J997="television programs",29,IF(J997="race horses",30,IF(J997="new vocabulary",31,IF(J997="sentences",32,IF(J997="concepts",33,IF(J997="ad slides",34,IF(J997="scenes",35,IF(J997="famous scenes",36,IF(J997="poems",37,IF(J997="walk",38,IF(J997="faces and events",39,IF(J997="events and names",40,IF(J997="flashbulb",41,IF(J997="stories",42,IF(J997="course material",43,IF(J997="autobiographical",44,IF(J997="novels",45,IF(J997="public events",46,"99"))))))))))))))))))))))))))))))))))))))))))))))</f>
        <v>42</v>
      </c>
      <c r="L997" s="60">
        <f>IF(J997="syllables",1,IF(J997="trigrams",1,IF(J997="strings",1,IF(J997="visual array",1,IF(J997="characters",1,IF(J997="letters",1,IF(J997="free forms",1,IF(J997="odors",2,IF(J997="words",2,IF(J997="pictures",2,IF(J997="object pictures",2,IF(J997="faces",2,IF(J997="names",2,IF(J997="idioms","2",IF(J997="grades",2,IF(J997="syllable-digit pairs",3,IF(J997="trigram-word pairs",3,IF(J997="word-digit pairs",3,IF(J997="English-Swahili pairs",3,IF(J997="spatial position",3,IF(J997="word pairs",4,IF(J997="word triads",4,IF(J997="generated words",4,IF(J997="word definition pairs",4,IF(J997="math problems",4,IF(J997="famous faces",4,IF(J997="famous names",4,IF(J997="famous voices",4,IF(J997="television programs",4,IF(J997="race horses",4,IF(J997="new vocabulary",4,IF(J997="sentences",5,IF(J997="concepts",5,IF(J997="ad slides",5,IF(J997="scenes",5,IF(J997="famous scenes",5,IF(J997="poems",6,IF(J997="walk",6,IF(J997="faces and events",6,IF(J997="events and names",6,IF(J997="flashbulb",7,IF(J997="stories",7,IF(J997="course material",7,IF(J997="autobiographical",7,IF(J997="novels",7,IF(J997="public events",7,"99"))))))))))))))))))))))))))))))))))))))))))))))</f>
        <v>7</v>
      </c>
      <c r="M997" s="62">
        <v>1</v>
      </c>
      <c r="N997" s="62">
        <v>3</v>
      </c>
      <c r="O997" s="62">
        <v>0</v>
      </c>
      <c r="P997" s="62"/>
      <c r="Q997" s="62" t="s">
        <v>87</v>
      </c>
      <c r="R997" s="60">
        <f>IF(Q997="Free Recall",1,IF(Q997="Cued Recall",2,IF(Q997="Recognition",3,IF(Q997="Multiple Choice",4,IF(Q997="Savings",5,IF(Q997="Stem Completion",6,IF(Q997="Fragment Completion",7,IF(Q997="anagram solution",8,IF(Q997="Matching",9,IF(Q997="Problem Solving",10,"99"))))))))))</f>
        <v>5</v>
      </c>
      <c r="S997" s="62" t="s">
        <v>99</v>
      </c>
      <c r="T997" s="59" t="s">
        <v>581</v>
      </c>
      <c r="U997" s="60">
        <f>IF(T997="within",1,0)</f>
        <v>1</v>
      </c>
      <c r="V997" s="59">
        <v>132</v>
      </c>
      <c r="W997" s="60">
        <f>F997*V997</f>
        <v>2376</v>
      </c>
      <c r="X997" s="62">
        <v>14</v>
      </c>
      <c r="Y997" s="76">
        <f>AV996</f>
        <v>30</v>
      </c>
      <c r="Z997" s="62" t="s">
        <v>185</v>
      </c>
      <c r="AA997" s="78">
        <f>30*24*60*60</f>
        <v>2592000</v>
      </c>
      <c r="AB997" s="60" t="str">
        <f>IF(AA997&lt;60,"1",IF(AA997&lt;=43200,"2",IF(AA997&lt;=777600,"3","4")))</f>
        <v>4</v>
      </c>
      <c r="AC997" s="56">
        <f>AVERAGE(AV996:DA996)</f>
        <v>576345</v>
      </c>
      <c r="AD997" s="60" t="str">
        <f>IF(AC997&lt;60,"1",IF(AC997&lt;=43200,"2",IF(AC997&lt;=777600,"3","4")))</f>
        <v>3</v>
      </c>
      <c r="AE997" s="76">
        <f>AA997-Y997</f>
        <v>2591970</v>
      </c>
      <c r="AF997" s="80">
        <f>AV997</f>
        <v>1</v>
      </c>
      <c r="AG997" s="56">
        <f>((AW997-AV997)+(AX997-AW997)+(AY997-AX997)+(AZ997-AY997)+(BA997-AZ997)+(BB997-BA997)+(BC997-BB997)+(BD997-BC997)+(BE997-BD997)+(BF997-BE997)+(BG997-BF997)+(BH997-BG997)+(BI997-BH997))/13</f>
        <v>-5.8538461538461539E-2</v>
      </c>
      <c r="AH997" s="4"/>
      <c r="AI997" s="56">
        <f>RSQ(AV997:BI997,AV996:BI996)</f>
        <v>0.55957144339909293</v>
      </c>
      <c r="AJ997" s="109">
        <f>SLOPE(AV997:BI997,AV996:BI996)</f>
        <v>-2.1494989473687514E-7</v>
      </c>
      <c r="AK997" s="56">
        <f>INTERCEPT(AV997:BI997,AV996:BI996)</f>
        <v>0.72417101136783857</v>
      </c>
      <c r="AL997" s="56" cm="1">
        <f t="array" ref="AL997">INDEX(LINEST(LN(AV997:BI997),LN(AV996:BI996),TRUE,TRUE),3,1)</f>
        <v>0.65616176743180732</v>
      </c>
      <c r="AM997" s="56" cm="1">
        <f t="array" ref="AM997">_xlfn.SINGLE(INDEX(LINEST(LN(AV997:BI997),LN(AV996:BI996)),1))</f>
        <v>-0.10212579563002942</v>
      </c>
      <c r="AN997" s="56" cm="1">
        <f t="array" ref="AN997">EXP(INDEX(LINEST(LN(AV997:BI997),LN(AV996:BI996)),1,2))</f>
        <v>1.7998411266496612</v>
      </c>
      <c r="AO997" s="82" cm="1">
        <f t="array" ref="AO997">INDEX(LINEST((AV997:BI997),LN(AV996:BI996),TRUE,TRUE),3,1)</f>
        <v>0.79567437159459786</v>
      </c>
      <c r="AP997" s="82" cm="1">
        <f t="array" ref="AP997">_xlfn.SINGLE(INDEX(LINEST((AV997:BI997),LN(AV996:BI996)),1))</f>
        <v>-6.2123139761289518E-2</v>
      </c>
      <c r="AQ997" s="83" cm="1">
        <f t="array" ref="AQ997">INDEX(LINEST(LN(AV997:BI997),SQRT(AV996:BI996),TRUE,TRUE),3,1)</f>
        <v>0.80932217832985442</v>
      </c>
      <c r="AR997" s="116" cm="1">
        <f t="array" ref="AR997">_xlfn.SINGLE(INDEX(LINEST(LN(AV997:BI997),SQRT((AV996:BI996))),1))</f>
        <v>-7.3822700359478478E-4</v>
      </c>
      <c r="AS997" s="84" cm="1">
        <f t="array" ref="AS997">INDEX(LINEST(1/(AV997:BI997),1/(SQRT(AV996:BI996)),TRUE,TRUE),3,1)</f>
        <v>0.14581641244332327</v>
      </c>
      <c r="AT997" s="84" cm="1">
        <f t="array" ref="AT997">_xlfn.SINGLE(INDEX(LINEST(1/(AV997:BI997),1/SQRT(AV996:BI996)),1))</f>
        <v>-6.9996605514066381</v>
      </c>
      <c r="AU997" s="3"/>
      <c r="AV997" s="18">
        <v>1</v>
      </c>
      <c r="AW997" s="18">
        <f>1-0.039</f>
        <v>0.96099999999999997</v>
      </c>
      <c r="AX997" s="18">
        <f>1-0.217</f>
        <v>0.78300000000000003</v>
      </c>
      <c r="AY997" s="18">
        <f>1-0.419</f>
        <v>0.58099999999999996</v>
      </c>
      <c r="AZ997" s="18">
        <f>1-0.203</f>
        <v>0.79699999999999993</v>
      </c>
      <c r="BA997" s="18">
        <f>1-0.332</f>
        <v>0.66799999999999993</v>
      </c>
      <c r="BB997" s="18">
        <f>1-0.435</f>
        <v>0.56499999999999995</v>
      </c>
      <c r="BC997" s="18">
        <f>1-0.455</f>
        <v>0.54499999999999993</v>
      </c>
      <c r="BD997" s="18">
        <f>1-0.435</f>
        <v>0.56499999999999995</v>
      </c>
      <c r="BE997" s="18">
        <f>1-0.576</f>
        <v>0.42400000000000004</v>
      </c>
      <c r="BF997" s="18">
        <f>1-0.5</f>
        <v>0.5</v>
      </c>
      <c r="BG997" s="18">
        <f>1-0.7</f>
        <v>0.30000000000000004</v>
      </c>
      <c r="BH997" s="18">
        <f>1-0.524</f>
        <v>0.47599999999999998</v>
      </c>
      <c r="BI997" s="18">
        <f>1-0.761</f>
        <v>0.23899999999999999</v>
      </c>
      <c r="BJ997" s="18"/>
      <c r="BK997" s="18"/>
      <c r="BL997" s="18"/>
      <c r="BM997" s="18"/>
      <c r="BN997" s="18"/>
      <c r="BO997" s="18"/>
      <c r="BP997" s="18"/>
      <c r="BQ997" s="18"/>
      <c r="BR997" s="18"/>
      <c r="BS997" s="18"/>
      <c r="BT997" s="18"/>
      <c r="BU997" s="18"/>
      <c r="BV997" s="18"/>
      <c r="BW997" s="18"/>
      <c r="BX997" s="18"/>
      <c r="BY997" s="18"/>
      <c r="BZ997" s="18"/>
      <c r="CA997" s="18"/>
      <c r="CB997" s="18"/>
      <c r="CC997" s="18"/>
      <c r="CD997" s="18"/>
      <c r="CE997" s="18"/>
      <c r="CF997" s="18"/>
      <c r="CG997" s="18"/>
      <c r="CH997" s="18"/>
      <c r="CI997" s="18"/>
      <c r="CJ997" s="18"/>
      <c r="CK997" s="18"/>
      <c r="CL997" s="18"/>
      <c r="CM997" s="18"/>
      <c r="CN997" s="18"/>
      <c r="CO997" s="18"/>
      <c r="CP997" s="18"/>
      <c r="CQ997" s="18"/>
      <c r="CR997" s="17"/>
      <c r="CS997" s="17"/>
      <c r="CT997" s="17"/>
      <c r="CU997" s="17"/>
    </row>
    <row r="998" spans="1:99" s="19" customFormat="1" ht="12" customHeight="1" x14ac:dyDescent="0.2">
      <c r="A998" s="68">
        <v>43509</v>
      </c>
      <c r="B998" s="100"/>
      <c r="C998" s="100"/>
      <c r="D998" s="99"/>
      <c r="E998" s="106"/>
      <c r="F998" s="99"/>
      <c r="G998" s="99"/>
      <c r="H998" s="99"/>
      <c r="I998" s="99"/>
      <c r="J998" s="99"/>
      <c r="K998" s="107"/>
      <c r="L998" s="107"/>
      <c r="M998" s="99"/>
      <c r="N998" s="99"/>
      <c r="O998" s="99"/>
      <c r="P998" s="99"/>
      <c r="Q998" s="99"/>
      <c r="R998" s="69"/>
      <c r="S998" s="99"/>
      <c r="T998" s="99"/>
      <c r="U998" s="69"/>
      <c r="V998" s="99"/>
      <c r="W998" s="69"/>
      <c r="X998" s="99"/>
      <c r="Y998" s="87"/>
      <c r="Z998" s="99"/>
      <c r="AA998" s="99"/>
      <c r="AB998" s="69"/>
      <c r="AC998" s="69"/>
      <c r="AD998" s="69"/>
      <c r="AE998" s="69"/>
      <c r="AF998" s="88"/>
      <c r="AG998" s="72"/>
      <c r="AH998" s="4"/>
      <c r="AI998" s="123"/>
      <c r="AJ998" s="124"/>
      <c r="AK998" s="123"/>
      <c r="AL998" s="123"/>
      <c r="AM998" s="123"/>
      <c r="AN998" s="123"/>
      <c r="AO998" s="123"/>
      <c r="AP998" s="123"/>
      <c r="AQ998" s="72"/>
      <c r="AR998" s="110"/>
      <c r="AS998" s="72"/>
      <c r="AT998" s="72"/>
      <c r="AU998" s="4"/>
      <c r="AV998" s="71">
        <f>60</f>
        <v>60</v>
      </c>
      <c r="AW998" s="71">
        <f>3600</f>
        <v>3600</v>
      </c>
      <c r="AX998" s="71">
        <f>24*3600</f>
        <v>86400</v>
      </c>
      <c r="AY998" s="71">
        <f>7*24*3600</f>
        <v>604800</v>
      </c>
      <c r="AZ998" s="71">
        <f>14*24*3600</f>
        <v>1209600</v>
      </c>
      <c r="BA998" s="18"/>
      <c r="BB998" s="18"/>
      <c r="BC998" s="18"/>
      <c r="BD998" s="18"/>
      <c r="BE998" s="18"/>
      <c r="BF998" s="18"/>
      <c r="BG998" s="18"/>
      <c r="BH998" s="18"/>
      <c r="BI998" s="18"/>
      <c r="BJ998" s="18"/>
      <c r="BK998" s="18"/>
      <c r="BL998" s="18"/>
      <c r="BM998" s="18"/>
      <c r="BN998" s="18"/>
      <c r="BO998" s="18"/>
      <c r="BP998" s="18"/>
      <c r="BQ998" s="18"/>
      <c r="BR998" s="18"/>
      <c r="BS998" s="18"/>
      <c r="BT998" s="18"/>
      <c r="BU998" s="18"/>
      <c r="BV998" s="18"/>
      <c r="BW998" s="18"/>
      <c r="BX998" s="18"/>
      <c r="BY998" s="18"/>
      <c r="BZ998" s="18"/>
      <c r="CA998" s="18"/>
      <c r="CB998" s="18"/>
      <c r="CC998" s="18"/>
      <c r="CD998" s="18"/>
      <c r="CE998" s="18"/>
      <c r="CF998" s="18"/>
      <c r="CG998" s="18"/>
      <c r="CH998" s="18"/>
      <c r="CI998" s="18"/>
      <c r="CJ998" s="18"/>
      <c r="CK998" s="18"/>
      <c r="CL998" s="18"/>
      <c r="CM998" s="18"/>
      <c r="CN998" s="18"/>
      <c r="CO998" s="18"/>
      <c r="CP998" s="18"/>
      <c r="CQ998" s="18"/>
      <c r="CR998" s="17"/>
      <c r="CS998" s="17"/>
      <c r="CT998" s="17"/>
      <c r="CU998" s="17"/>
    </row>
    <row r="999" spans="1:99" s="19" customFormat="1" ht="12" customHeight="1" x14ac:dyDescent="0.2">
      <c r="A999" s="68">
        <v>43509</v>
      </c>
      <c r="B999" s="100" t="s">
        <v>161</v>
      </c>
      <c r="C999" s="100" t="s">
        <v>75</v>
      </c>
      <c r="D999" s="99">
        <v>2017</v>
      </c>
      <c r="E999" s="106">
        <v>1</v>
      </c>
      <c r="F999" s="99">
        <v>200</v>
      </c>
      <c r="G999" s="99">
        <v>40</v>
      </c>
      <c r="H999" s="99" t="s">
        <v>17</v>
      </c>
      <c r="I999" s="99"/>
      <c r="J999" s="99" t="s">
        <v>475</v>
      </c>
      <c r="K999" s="69">
        <f>IF(J999="syllables",1,IF(J999="trigrams",2,IF(J999="strings",3,IF(J999="visual array",4,IF(J999="characters",5,IF(J999="letters",6,IF(J999="free forms",7,IF(J999="odors",8,IF(J999="words",9,IF(J999="pictures",10,IF(J999="object pictures",11,IF(J999="faces",12,IF(J999="names",13,IF(J999="idioms",14,IF(J999="grades",15,IF(J999="syllable-digit pairs",16,IF(J999="trigram-word pairs",17,IF(J999="word-digit pairs",18,IF(J999="English-Swahili pairs",19,IF(J999="spatial position",20,IF(J999="word pairs",21,IF(J999="word triads",22,IF(J999="generated words",23,IF(J999="word definition pairs",24,IF(J999="math problems",25,IF(J999="famous faces",26,IF(J999="famous names",27,IF(J999="famous voices",28,IF(J999="television programs",29,IF(J999="race horses",30,IF(J999="new vocabulary",31,IF(J999="sentences",32,IF(J999="concepts",33,IF(J999="ad slides",34,IF(J999="scenes",35,IF(J999="famous scenes",36,IF(J999="poems",37,IF(J999="walk",38,IF(J999="faces and events",39,IF(J999="events and names",40,IF(J999="flashbulb",41,IF(J999="stories",42,IF(J999="course material",43,IF(J999="autobiographical",44,IF(J999="novels",45,IF(J999="public events",46,"99"))))))))))))))))))))))))))))))))))))))))))))))</f>
        <v>32</v>
      </c>
      <c r="L999" s="69">
        <f>IF(J999="syllables",1,IF(J999="trigrams",1,IF(J999="strings",1,IF(J999="visual array",1,IF(J999="characters",1,IF(J999="letters",1,IF(J999="free forms",1,IF(J999="odors",2,IF(J999="words",2,IF(J999="pictures",2,IF(J999="object pictures",2,IF(J999="faces",2,IF(J999="names",2,IF(J999="idioms","2",IF(J999="grades",2,IF(J999="syllable-digit pairs",3,IF(J999="trigram-word pairs",3,IF(J999="word-digit pairs",3,IF(J999="English-Swahili pairs",3,IF(J999="spatial position",3,IF(J999="word pairs",4,IF(J999="word triads",4,IF(J999="generated words",4,IF(J999="word definition pairs",4,IF(J999="math problems",4,IF(J999="famous faces",4,IF(J999="famous names",4,IF(J999="famous voices",4,IF(J999="television programs",4,IF(J999="race horses",4,IF(J999="new vocabulary",4,IF(J999="sentences",5,IF(J999="concepts",5,IF(J999="ad slides",5,IF(J999="scenes",5,IF(J999="famous scenes",5,IF(J999="poems",6,IF(J999="walk",6,IF(J999="faces and events",6,IF(J999="events and names",6,IF(J999="flashbulb",7,IF(J999="stories",7,IF(J999="course material",7,IF(J999="autobiographical",7,IF(J999="novels",7,IF(J999="public events",7,"99"))))))))))))))))))))))))))))))))))))))))))))))</f>
        <v>5</v>
      </c>
      <c r="M999" s="99">
        <v>1</v>
      </c>
      <c r="N999" s="99">
        <v>4</v>
      </c>
      <c r="O999" s="99">
        <v>0</v>
      </c>
      <c r="P999" s="99"/>
      <c r="Q999" s="99" t="s">
        <v>34</v>
      </c>
      <c r="R999" s="69">
        <f>IF(Q999="Free Recall",1,IF(Q999="Cued Recall",2,IF(Q999="Recognition",3,IF(Q999="Multiple Choice",4,IF(Q999="Savings",5,IF(Q999="Stem Completion",6,IF(Q999="Fragment Completion",7,IF(Q999="anagram solution",8,IF(Q999="Matching",9,IF(Q999="Problem Solving",10,"99"))))))))))</f>
        <v>3</v>
      </c>
      <c r="S999" s="99" t="s">
        <v>15</v>
      </c>
      <c r="T999" s="99" t="s">
        <v>261</v>
      </c>
      <c r="U999" s="69">
        <f>IF(T999="within",1,0)</f>
        <v>0</v>
      </c>
      <c r="V999" s="99">
        <v>18</v>
      </c>
      <c r="W999" s="69">
        <f>F999*V999</f>
        <v>3600</v>
      </c>
      <c r="X999" s="99">
        <v>5</v>
      </c>
      <c r="Y999" s="87">
        <f>AV998</f>
        <v>60</v>
      </c>
      <c r="Z999" s="99" t="s">
        <v>162</v>
      </c>
      <c r="AA999" s="99">
        <v>1209600</v>
      </c>
      <c r="AB999" s="69" t="str">
        <f>IF(AA999&lt;60,"1",IF(AA999&lt;=43200,"2",IF(AA999&lt;=777600,"3","4")))</f>
        <v>4</v>
      </c>
      <c r="AC999" s="72">
        <f>AVERAGE(AV998:DA998)</f>
        <v>380892</v>
      </c>
      <c r="AD999" s="69" t="str">
        <f>IF(AC999&lt;60,"1",IF(AC999&lt;=43200,"2",IF(AC999&lt;=777600,"3","4")))</f>
        <v>3</v>
      </c>
      <c r="AE999" s="87">
        <f>AA999-Y999</f>
        <v>1209540</v>
      </c>
      <c r="AF999" s="88">
        <f>AV999</f>
        <v>0.97799999999999998</v>
      </c>
      <c r="AG999" s="72">
        <f>((AW999-AV999)+(AX999-AW999)+(AY999-AX999)+(AZ999-AY999))/4</f>
        <v>-3.4000000000000002E-2</v>
      </c>
      <c r="AH999" s="4"/>
      <c r="AI999" s="72">
        <f>RSQ(AV999:AZ999,AV998:AZ998)</f>
        <v>0.91156745691797425</v>
      </c>
      <c r="AJ999" s="110">
        <f>SLOPE(AV999:AZ999,AV998:AZ998)</f>
        <v>-9.7679834758752889E-8</v>
      </c>
      <c r="AK999" s="72">
        <f>INTERCEPT(AV999:AZ999,AV998:AZ998)</f>
        <v>0.97140546762093083</v>
      </c>
      <c r="AL999" s="72">
        <f>INDEX(LINEST(LN(AV999:AZ999),LN(AV998:AZ998),TRUE,TRUE),3,1)</f>
        <v>0.53903566619691801</v>
      </c>
      <c r="AM999" s="72">
        <f>INDEX(LINEST(LN(AV999:AZ999),LN(AV998:AZ998)),1)</f>
        <v>-1.0711676187510158E-2</v>
      </c>
      <c r="AN999" s="72">
        <f>EXP(INDEX(LINEST(LN(AV999:AZ999),LN(AV998:AZ998)),1,2))</f>
        <v>1.0405339728262208</v>
      </c>
      <c r="AO999" s="89">
        <f>INDEX(LINEST((AV999:AZ999),LN(AV998:AZ998),TRUE,TRUE),3,1)</f>
        <v>0.55597663309119283</v>
      </c>
      <c r="AP999" s="89">
        <f>INDEX(LINEST((AV999:AZ999),LN(AV998:AZ998)),1)</f>
        <v>-9.8337313763421814E-3</v>
      </c>
      <c r="AQ999" s="90">
        <f>INDEX(LINEST(LN(AV999:AZ999),SQRT(AV998:AZ998),TRUE,TRUE),3,1)</f>
        <v>0.81339114248204525</v>
      </c>
      <c r="AR999" s="117">
        <f>INDEX(LINEST(LN(AV999:AZ999),SQRT((AV998:AZ998))),1)</f>
        <v>-1.1330613132549288E-4</v>
      </c>
      <c r="AS999" s="91">
        <f>INDEX(LINEST(1/(AV999:AZ999),1/(SQRT(AV998:AZ998)),TRUE,TRUE),3,1)</f>
        <v>0.23879486838813058</v>
      </c>
      <c r="AT999" s="91">
        <f>INDEX(LINEST(1/(AV999:AZ999),1/SQRT(AV998:AZ998)),1)</f>
        <v>-0.5808389108307882</v>
      </c>
      <c r="AU999" s="3"/>
      <c r="AV999" s="73">
        <v>0.97799999999999998</v>
      </c>
      <c r="AW999" s="73">
        <v>0.96599999999999997</v>
      </c>
      <c r="AX999" s="73">
        <v>0.94799999999999995</v>
      </c>
      <c r="AY999" s="73">
        <v>0.93700000000000006</v>
      </c>
      <c r="AZ999" s="73">
        <v>0.84199999999999997</v>
      </c>
      <c r="BA999" s="18"/>
      <c r="BB999" s="18"/>
      <c r="BC999" s="18"/>
      <c r="BD999" s="18"/>
      <c r="BE999" s="18"/>
      <c r="BF999" s="18"/>
      <c r="BG999" s="18"/>
      <c r="BH999" s="18"/>
      <c r="BI999" s="18"/>
      <c r="BJ999" s="18"/>
      <c r="BK999" s="18"/>
      <c r="BL999" s="18"/>
      <c r="BM999" s="18"/>
      <c r="BN999" s="18"/>
      <c r="BO999" s="18"/>
      <c r="BP999" s="18"/>
      <c r="BQ999" s="18"/>
      <c r="BR999" s="18"/>
      <c r="BS999" s="18"/>
      <c r="BT999" s="18"/>
      <c r="BU999" s="18"/>
      <c r="BV999" s="18"/>
      <c r="BW999" s="18"/>
      <c r="BX999" s="18"/>
      <c r="BY999" s="18"/>
      <c r="BZ999" s="18"/>
      <c r="CA999" s="18"/>
      <c r="CB999" s="18"/>
      <c r="CC999" s="18"/>
      <c r="CD999" s="18"/>
      <c r="CE999" s="18"/>
      <c r="CF999" s="18"/>
      <c r="CG999" s="18"/>
      <c r="CH999" s="18"/>
      <c r="CI999" s="18"/>
      <c r="CJ999" s="18"/>
      <c r="CK999" s="18"/>
      <c r="CL999" s="18"/>
      <c r="CM999" s="18"/>
      <c r="CN999" s="18"/>
      <c r="CO999" s="18"/>
      <c r="CP999" s="18"/>
      <c r="CQ999" s="18"/>
      <c r="CR999" s="17"/>
      <c r="CS999" s="17"/>
      <c r="CT999" s="17"/>
      <c r="CU999" s="17"/>
    </row>
    <row r="1000" spans="1:99" s="19" customFormat="1" ht="12" customHeight="1" x14ac:dyDescent="0.2">
      <c r="A1000" s="65">
        <v>43509</v>
      </c>
      <c r="B1000" s="17"/>
      <c r="C1000" s="17"/>
      <c r="D1000" s="62"/>
      <c r="E1000" s="78"/>
      <c r="F1000" s="62"/>
      <c r="G1000" s="62"/>
      <c r="H1000" s="62"/>
      <c r="I1000" s="62"/>
      <c r="J1000" s="62"/>
      <c r="K1000" s="64"/>
      <c r="L1000" s="64"/>
      <c r="M1000" s="62"/>
      <c r="N1000" s="62"/>
      <c r="O1000" s="62"/>
      <c r="P1000" s="62"/>
      <c r="Q1000" s="62"/>
      <c r="R1000" s="60"/>
      <c r="S1000" s="62"/>
      <c r="T1000" s="62"/>
      <c r="U1000" s="60"/>
      <c r="V1000" s="62"/>
      <c r="W1000" s="60"/>
      <c r="X1000" s="62"/>
      <c r="Y1000" s="76"/>
      <c r="Z1000" s="62"/>
      <c r="AA1000" s="62"/>
      <c r="AB1000" s="60"/>
      <c r="AC1000" s="60"/>
      <c r="AD1000" s="60"/>
      <c r="AE1000" s="60"/>
      <c r="AF1000" s="80"/>
      <c r="AG1000" s="56"/>
      <c r="AH1000" s="4"/>
      <c r="AI1000" s="85"/>
      <c r="AJ1000" s="112"/>
      <c r="AK1000" s="85"/>
      <c r="AL1000" s="85"/>
      <c r="AM1000" s="85"/>
      <c r="AN1000" s="85"/>
      <c r="AO1000" s="85"/>
      <c r="AP1000" s="85"/>
      <c r="AQ1000" s="56"/>
      <c r="AR1000" s="109"/>
      <c r="AS1000" s="56"/>
      <c r="AT1000" s="56"/>
      <c r="AU1000" s="21"/>
      <c r="AV1000" s="137">
        <v>80</v>
      </c>
      <c r="AW1000" s="137">
        <f>24*3600*1</f>
        <v>86400</v>
      </c>
      <c r="AX1000" s="137">
        <f>24*3600*2</f>
        <v>172800</v>
      </c>
      <c r="AY1000" s="18" t="s">
        <v>519</v>
      </c>
      <c r="AZ1000" s="18"/>
      <c r="BA1000" s="18"/>
      <c r="BB1000" s="18"/>
      <c r="BC1000" s="18"/>
      <c r="BD1000" s="18"/>
      <c r="BE1000" s="18"/>
      <c r="BF1000" s="18"/>
      <c r="BG1000" s="18"/>
      <c r="BH1000" s="18"/>
      <c r="BI1000" s="18"/>
      <c r="BJ1000" s="18"/>
      <c r="BK1000" s="18"/>
      <c r="BL1000" s="18"/>
      <c r="BM1000" s="18"/>
      <c r="BN1000" s="18"/>
      <c r="BO1000" s="18"/>
      <c r="BP1000" s="18"/>
      <c r="BQ1000" s="18"/>
      <c r="BR1000" s="18"/>
      <c r="BS1000" s="18"/>
      <c r="BT1000" s="18"/>
      <c r="BU1000" s="18"/>
      <c r="BV1000" s="18"/>
      <c r="BW1000" s="18"/>
      <c r="BX1000" s="18"/>
      <c r="BY1000" s="18"/>
      <c r="BZ1000" s="18"/>
      <c r="CA1000" s="18"/>
      <c r="CB1000" s="18"/>
      <c r="CC1000" s="18"/>
      <c r="CD1000" s="18"/>
      <c r="CE1000" s="18"/>
      <c r="CF1000" s="18"/>
      <c r="CG1000" s="18"/>
      <c r="CH1000" s="18"/>
      <c r="CI1000" s="18"/>
      <c r="CJ1000" s="18"/>
      <c r="CK1000" s="18"/>
      <c r="CL1000" s="18"/>
      <c r="CM1000" s="18"/>
      <c r="CN1000" s="18"/>
      <c r="CO1000" s="18"/>
      <c r="CP1000" s="18"/>
      <c r="CQ1000" s="18"/>
      <c r="CR1000" s="17"/>
      <c r="CS1000" s="17"/>
      <c r="CT1000" s="17"/>
      <c r="CU1000" s="17"/>
    </row>
    <row r="1001" spans="1:99" s="13" customFormat="1" ht="12" customHeight="1" x14ac:dyDescent="0.2">
      <c r="A1001" s="65">
        <v>43509</v>
      </c>
      <c r="B1001" s="1" t="s">
        <v>122</v>
      </c>
      <c r="C1001" s="1" t="s">
        <v>70</v>
      </c>
      <c r="D1001" s="60">
        <v>2014</v>
      </c>
      <c r="E1001" s="76">
        <v>1</v>
      </c>
      <c r="F1001" s="60">
        <v>81</v>
      </c>
      <c r="G1001" s="60">
        <v>27</v>
      </c>
      <c r="H1001" s="60" t="s">
        <v>50</v>
      </c>
      <c r="I1001" s="60" t="s">
        <v>756</v>
      </c>
      <c r="J1001" s="60" t="s">
        <v>16</v>
      </c>
      <c r="K1001" s="60">
        <f>IF(J1001="syllables",1,IF(J1001="trigrams",2,IF(J1001="strings",3,IF(J1001="visual array",4,IF(J1001="characters",5,IF(J1001="letters",6,IF(J1001="free forms",7,IF(J1001="odors",8,IF(J1001="words",9,IF(J1001="pictures",10,IF(J1001="object pictures",11,IF(J1001="faces",12,IF(J1001="names",13,IF(J1001="idioms",14,IF(J1001="grades",15,IF(J1001="syllable-digit pairs",16,IF(J1001="trigram-word pairs",17,IF(J1001="word-digit pairs",18,IF(J1001="English-Swahili pairs",19,IF(J1001="spatial position",20,IF(J1001="word pairs",21,IF(J1001="word triads",22,IF(J1001="generated words",23,IF(J1001="word definition pairs",24,IF(J1001="math problems",25,IF(J1001="famous faces",26,IF(J1001="famous names",27,IF(J1001="famous voices",28,IF(J1001="television programs",29,IF(J1001="race horses",30,IF(J1001="new vocabulary",31,IF(J1001="sentences",32,IF(J1001="concepts",33,IF(J1001="ad slides",34,IF(J1001="scenes",35,IF(J1001="famous scenes",36,IF(J1001="poems",37,IF(J1001="walk",38,IF(J1001="faces and events",39,IF(J1001="events and names",40,IF(J1001="flashbulb",41,IF(J1001="stories",42,IF(J1001="course material",43,IF(J1001="autobiographical",44,IF(J1001="novels",45,IF(J1001="public events",46,"99"))))))))))))))))))))))))))))))))))))))))))))))</f>
        <v>9</v>
      </c>
      <c r="L1001" s="60">
        <f>IF(J1001="syllables",1,IF(J1001="trigrams",1,IF(J1001="strings",1,IF(J1001="visual array",1,IF(J1001="characters",1,IF(J1001="letters",1,IF(J1001="free forms",1,IF(J1001="odors",2,IF(J1001="words",2,IF(J1001="pictures",2,IF(J1001="object pictures",2,IF(J1001="faces",2,IF(J1001="names",2,IF(J1001="idioms","2",IF(J1001="grades",2,IF(J1001="syllable-digit pairs",3,IF(J1001="trigram-word pairs",3,IF(J1001="word-digit pairs",3,IF(J1001="English-Swahili pairs",3,IF(J1001="spatial position",3,IF(J1001="word pairs",4,IF(J1001="word triads",4,IF(J1001="generated words",4,IF(J1001="word definition pairs",4,IF(J1001="math problems",4,IF(J1001="famous faces",4,IF(J1001="famous names",4,IF(J1001="famous voices",4,IF(J1001="television programs",4,IF(J1001="race horses",4,IF(J1001="new vocabulary",4,IF(J1001="sentences",5,IF(J1001="concepts",5,IF(J1001="ad slides",5,IF(J1001="scenes",5,IF(J1001="famous scenes",5,IF(J1001="poems",6,IF(J1001="walk",6,IF(J1001="faces and events",6,IF(J1001="events and names",6,IF(J1001="flashbulb",7,IF(J1001="stories",7,IF(J1001="course material",7,IF(J1001="autobiographical",7,IF(J1001="novels",7,IF(J1001="public events",7,"99"))))))))))))))))))))))))))))))))))))))))))))))</f>
        <v>2</v>
      </c>
      <c r="M1001" s="60">
        <v>0</v>
      </c>
      <c r="N1001" s="60">
        <v>1</v>
      </c>
      <c r="O1001" s="60">
        <v>1</v>
      </c>
      <c r="P1001" s="60" t="s">
        <v>123</v>
      </c>
      <c r="Q1001" s="60" t="s">
        <v>174</v>
      </c>
      <c r="R1001" s="60">
        <f>IF(Q1001="Free Recall",1,IF(Q1001="Cued Recall",2,IF(Q1001="Recognition",3,IF(Q1001="Multiple Choice",4,IF(Q1001="Savings",5,IF(Q1001="Stem Completion",6,IF(Q1001="Fragment Completion",7,IF(Q1001="anagram solution",8,IF(Q1001="Matching",9,IF(Q1001="Problem Solving",10,"99"))))))))))</f>
        <v>1</v>
      </c>
      <c r="S1001" s="60" t="s">
        <v>49</v>
      </c>
      <c r="T1001" s="62" t="s">
        <v>261</v>
      </c>
      <c r="U1001" s="60">
        <f>IF(T1001="within",1,0)</f>
        <v>0</v>
      </c>
      <c r="V1001" s="62">
        <v>16</v>
      </c>
      <c r="W1001" s="60">
        <f>F1001*V1001</f>
        <v>1296</v>
      </c>
      <c r="X1001" s="60">
        <v>3</v>
      </c>
      <c r="Y1001" s="76">
        <f>AV1000</f>
        <v>80</v>
      </c>
      <c r="Z1001" s="60" t="s">
        <v>88</v>
      </c>
      <c r="AA1001" s="60">
        <v>172800</v>
      </c>
      <c r="AB1001" s="60" t="str">
        <f>IF(AA1001&lt;60,"1",IF(AA1001&lt;=43200,"2",IF(AA1001&lt;=777600,"3","4")))</f>
        <v>3</v>
      </c>
      <c r="AC1001" s="56">
        <f>AVERAGE(AV1000:DA1000)</f>
        <v>86426.666666666672</v>
      </c>
      <c r="AD1001" s="60" t="str">
        <f>IF(AC1001&lt;60,"1",IF(AC1001&lt;=43200,"2",IF(AC1001&lt;=777600,"3","4")))</f>
        <v>3</v>
      </c>
      <c r="AE1001" s="76">
        <f>AA1001-Y1001</f>
        <v>172720</v>
      </c>
      <c r="AF1001" s="80">
        <f>AV1001</f>
        <v>0.57499999999999996</v>
      </c>
      <c r="AG1001" s="56">
        <f>((AW1001-AV1001)+(AX1001-AW1001))/2</f>
        <v>-0.15099999999999997</v>
      </c>
      <c r="AH1001" s="4"/>
      <c r="AI1001" s="56">
        <f>RSQ(AV1001:AX1001,AV1000:AX1000)</f>
        <v>0.82828291329143666</v>
      </c>
      <c r="AJ1001" s="109">
        <f>SLOPE(AV1001:AX1001,AV1000:AX1000)</f>
        <v>-1.7482818029148491E-6</v>
      </c>
      <c r="AK1001" s="56">
        <f>INTERCEPT(AV1001:AX1001,AV1000:AX1000)</f>
        <v>0.53543150195325406</v>
      </c>
      <c r="AL1001" s="56">
        <f>INDEX(LINEST(LN(AV1001:AX1001),LN(AV1000:AX1000),TRUE,TRUE),3,1)</f>
        <v>0.99679590051877642</v>
      </c>
      <c r="AM1001" s="56">
        <f>INDEX(LINEST(LN(AV1001:AX1001),LN(AV1000:AX1000)),1)</f>
        <v>-9.4484585895395296E-2</v>
      </c>
      <c r="AN1001" s="56">
        <f>EXP(INDEX(LINEST(LN(AV1001:AX1001),LN(AV1000:AX1000)),1,2))</f>
        <v>0.87178930353941975</v>
      </c>
      <c r="AO1001" s="82">
        <f>INDEX(LINEST((AV1001:AX1001),LN(AV1000:AX1000),TRUE,TRUE),3,1)</f>
        <v>0.99977803532598697</v>
      </c>
      <c r="AP1001" s="82">
        <f>INDEX(LINEST((AV1001:AX1001),LN(AV1000:AX1000)),1)</f>
        <v>-3.9058522379712503E-2</v>
      </c>
      <c r="AQ1001" s="83">
        <f>INDEX(LINEST(LN(AV1001:AX1001),SQRT(AV1000:AX1000),TRUE,TRUE),3,1)</f>
        <v>0.97537489033719749</v>
      </c>
      <c r="AR1001" s="116">
        <f>INDEX(LINEST(LN(AV1001:AX1001),SQRT((AV1000:AX1000))),1)</f>
        <v>-1.9013529273409961E-3</v>
      </c>
      <c r="AS1001" s="84">
        <f>INDEX(LINEST(1/(AV1001:AX1001),1/(SQRT(AV1000:AX1000)),TRUE,TRUE),3,1)</f>
        <v>0.96725602766773633</v>
      </c>
      <c r="AT1001" s="84">
        <f>INDEX(LINEST(1/(AV1001:AX1001),1/SQRT(AV1000:AX1000)),1)</f>
        <v>-15.925172641095715</v>
      </c>
      <c r="AU1001" s="3"/>
      <c r="AV1001" s="53">
        <v>0.57499999999999996</v>
      </c>
      <c r="AW1001" s="53">
        <v>0.30499999999999999</v>
      </c>
      <c r="AX1001" s="53">
        <v>0.27300000000000002</v>
      </c>
      <c r="AY1001" s="42"/>
      <c r="AZ1001" s="46"/>
      <c r="BA1001" s="42"/>
      <c r="BB1001" s="42"/>
      <c r="BC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1"/>
      <c r="CS1001" s="1"/>
      <c r="CT1001" s="1"/>
      <c r="CU1001" s="1"/>
    </row>
    <row r="1002" spans="1:99" s="13" customFormat="1" ht="12" customHeight="1" x14ac:dyDescent="0.2">
      <c r="A1002" s="65">
        <v>43509</v>
      </c>
      <c r="B1002" s="1"/>
      <c r="C1002" s="1"/>
      <c r="D1002" s="60"/>
      <c r="E1002" s="76"/>
      <c r="F1002" s="60"/>
      <c r="G1002" s="60"/>
      <c r="H1002" s="60"/>
      <c r="I1002" s="60"/>
      <c r="J1002" s="60"/>
      <c r="K1002" s="64"/>
      <c r="L1002" s="64"/>
      <c r="M1002" s="60"/>
      <c r="N1002" s="60"/>
      <c r="O1002" s="60"/>
      <c r="P1002" s="60"/>
      <c r="Q1002" s="60"/>
      <c r="R1002" s="60"/>
      <c r="S1002" s="60"/>
      <c r="T1002" s="60"/>
      <c r="U1002" s="60"/>
      <c r="V1002" s="60"/>
      <c r="W1002" s="60"/>
      <c r="X1002" s="60"/>
      <c r="Y1002" s="76"/>
      <c r="Z1002" s="60"/>
      <c r="AA1002" s="60"/>
      <c r="AB1002" s="60"/>
      <c r="AC1002" s="60"/>
      <c r="AD1002" s="60"/>
      <c r="AE1002" s="60"/>
      <c r="AF1002" s="80"/>
      <c r="AG1002" s="56"/>
      <c r="AH1002" s="4"/>
      <c r="AI1002" s="56"/>
      <c r="AJ1002" s="109"/>
      <c r="AK1002" s="56"/>
      <c r="AL1002" s="56"/>
      <c r="AM1002" s="56"/>
      <c r="AN1002" s="56"/>
      <c r="AO1002" s="56"/>
      <c r="AP1002" s="56"/>
      <c r="AQ1002" s="56"/>
      <c r="AR1002" s="109"/>
      <c r="AS1002" s="56"/>
      <c r="AT1002" s="56"/>
      <c r="AU1002" s="4"/>
      <c r="AV1002" s="137">
        <v>80</v>
      </c>
      <c r="AW1002" s="137">
        <f>24*3600*1</f>
        <v>86400</v>
      </c>
      <c r="AX1002" s="137">
        <f>24*3600*2</f>
        <v>172800</v>
      </c>
      <c r="AY1002" s="42"/>
      <c r="AZ1002" s="46"/>
      <c r="BA1002" s="42"/>
      <c r="BB1002" s="42"/>
      <c r="BC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1"/>
      <c r="CS1002" s="1"/>
      <c r="CT1002" s="1"/>
      <c r="CU1002" s="1"/>
    </row>
    <row r="1003" spans="1:99" s="13" customFormat="1" ht="12" customHeight="1" x14ac:dyDescent="0.2">
      <c r="A1003" s="65">
        <v>43509</v>
      </c>
      <c r="B1003" s="1" t="s">
        <v>122</v>
      </c>
      <c r="C1003" s="1" t="s">
        <v>70</v>
      </c>
      <c r="D1003" s="60">
        <v>2014</v>
      </c>
      <c r="E1003" s="76">
        <v>1</v>
      </c>
      <c r="F1003" s="60">
        <v>81</v>
      </c>
      <c r="G1003" s="60">
        <v>27</v>
      </c>
      <c r="H1003" s="60" t="s">
        <v>50</v>
      </c>
      <c r="I1003" s="60" t="s">
        <v>757</v>
      </c>
      <c r="J1003" s="60" t="s">
        <v>16</v>
      </c>
      <c r="K1003" s="60">
        <f>IF(J1003="syllables",1,IF(J1003="trigrams",2,IF(J1003="strings",3,IF(J1003="visual array",4,IF(J1003="characters",5,IF(J1003="letters",6,IF(J1003="free forms",7,IF(J1003="odors",8,IF(J1003="words",9,IF(J1003="pictures",10,IF(J1003="object pictures",11,IF(J1003="faces",12,IF(J1003="names",13,IF(J1003="idioms",14,IF(J1003="grades",15,IF(J1003="syllable-digit pairs",16,IF(J1003="trigram-word pairs",17,IF(J1003="word-digit pairs",18,IF(J1003="English-Swahili pairs",19,IF(J1003="spatial position",20,IF(J1003="word pairs",21,IF(J1003="word triads",22,IF(J1003="generated words",23,IF(J1003="word definition pairs",24,IF(J1003="math problems",25,IF(J1003="famous faces",26,IF(J1003="famous names",27,IF(J1003="famous voices",28,IF(J1003="television programs",29,IF(J1003="race horses",30,IF(J1003="new vocabulary",31,IF(J1003="sentences",32,IF(J1003="concepts",33,IF(J1003="ad slides",34,IF(J1003="scenes",35,IF(J1003="famous scenes",36,IF(J1003="poems",37,IF(J1003="walk",38,IF(J1003="faces and events",39,IF(J1003="events and names",40,IF(J1003="flashbulb",41,IF(J1003="stories",42,IF(J1003="course material",43,IF(J1003="autobiographical",44,IF(J1003="novels",45,IF(J1003="public events",46,"99"))))))))))))))))))))))))))))))))))))))))))))))</f>
        <v>9</v>
      </c>
      <c r="L1003" s="60">
        <f>IF(J1003="syllables",1,IF(J1003="trigrams",1,IF(J1003="strings",1,IF(J1003="visual array",1,IF(J1003="characters",1,IF(J1003="letters",1,IF(J1003="free forms",1,IF(J1003="odors",2,IF(J1003="words",2,IF(J1003="pictures",2,IF(J1003="object pictures",2,IF(J1003="faces",2,IF(J1003="names",2,IF(J1003="idioms","2",IF(J1003="grades",2,IF(J1003="syllable-digit pairs",3,IF(J1003="trigram-word pairs",3,IF(J1003="word-digit pairs",3,IF(J1003="English-Swahili pairs",3,IF(J1003="spatial position",3,IF(J1003="word pairs",4,IF(J1003="word triads",4,IF(J1003="generated words",4,IF(J1003="word definition pairs",4,IF(J1003="math problems",4,IF(J1003="famous faces",4,IF(J1003="famous names",4,IF(J1003="famous voices",4,IF(J1003="television programs",4,IF(J1003="race horses",4,IF(J1003="new vocabulary",4,IF(J1003="sentences",5,IF(J1003="concepts",5,IF(J1003="ad slides",5,IF(J1003="scenes",5,IF(J1003="famous scenes",5,IF(J1003="poems",6,IF(J1003="walk",6,IF(J1003="faces and events",6,IF(J1003="events and names",6,IF(J1003="flashbulb",7,IF(J1003="stories",7,IF(J1003="course material",7,IF(J1003="autobiographical",7,IF(J1003="novels",7,IF(J1003="public events",7,"99"))))))))))))))))))))))))))))))))))))))))))))))</f>
        <v>2</v>
      </c>
      <c r="M1003" s="60">
        <v>0</v>
      </c>
      <c r="N1003" s="60">
        <v>1</v>
      </c>
      <c r="O1003" s="60">
        <v>1</v>
      </c>
      <c r="P1003" s="60" t="s">
        <v>123</v>
      </c>
      <c r="Q1003" s="60" t="s">
        <v>174</v>
      </c>
      <c r="R1003" s="60">
        <f>IF(Q1003="Free Recall",1,IF(Q1003="Cued Recall",2,IF(Q1003="Recognition",3,IF(Q1003="Multiple Choice",4,IF(Q1003="Savings",5,IF(Q1003="Stem Completion",6,IF(Q1003="Fragment Completion",7,IF(Q1003="anagram solution",8,IF(Q1003="Matching",9,IF(Q1003="Problem Solving",10,"99"))))))))))</f>
        <v>1</v>
      </c>
      <c r="S1003" s="60" t="s">
        <v>49</v>
      </c>
      <c r="T1003" s="62" t="s">
        <v>261</v>
      </c>
      <c r="U1003" s="60">
        <f>IF(T1003="within",1,0)</f>
        <v>0</v>
      </c>
      <c r="V1003" s="62">
        <v>16</v>
      </c>
      <c r="W1003" s="60">
        <f>F1003*V1003</f>
        <v>1296</v>
      </c>
      <c r="X1003" s="60">
        <v>3</v>
      </c>
      <c r="Y1003" s="76">
        <f>AV1002</f>
        <v>80</v>
      </c>
      <c r="Z1003" s="60" t="s">
        <v>88</v>
      </c>
      <c r="AA1003" s="60">
        <v>172800</v>
      </c>
      <c r="AB1003" s="60" t="str">
        <f>IF(AA1003&lt;60,"1",IF(AA1003&lt;=43200,"2",IF(AA1003&lt;=777600,"3","4")))</f>
        <v>3</v>
      </c>
      <c r="AC1003" s="56">
        <f>AVERAGE(AV1002:DA1002)</f>
        <v>86426.666666666672</v>
      </c>
      <c r="AD1003" s="60" t="str">
        <f>IF(AC1003&lt;60,"1",IF(AC1003&lt;=43200,"2",IF(AC1003&lt;=777600,"3","4")))</f>
        <v>3</v>
      </c>
      <c r="AE1003" s="76">
        <f>AA1003-Y1003</f>
        <v>172720</v>
      </c>
      <c r="AF1003" s="80">
        <f>AV1003</f>
        <v>0.49199999999999999</v>
      </c>
      <c r="AG1003" s="56">
        <f>((AW1003-AV1003)+(AX1003-AW1003))/2</f>
        <v>-0.125</v>
      </c>
      <c r="AH1003" s="4"/>
      <c r="AI1003" s="56">
        <f>RSQ(AV1003:AX1003,AV1002:AX1002)</f>
        <v>0.76476707232578622</v>
      </c>
      <c r="AJ1003" s="109">
        <f>SLOPE(AV1003:AX1003,AV1002:AX1002)</f>
        <v>-1.4472147286540093E-6</v>
      </c>
      <c r="AK1003" s="56">
        <f>INTERCEPT(AV1003:AX1003,AV1002:AX1002)</f>
        <v>0.45207794494847053</v>
      </c>
      <c r="AL1003" s="56">
        <f>INDEX(LINEST(LN(AV1003:AX1003),LN(AV1002:AX1002),TRUE,TRUE),3,1)</f>
        <v>0.99682500715479072</v>
      </c>
      <c r="AM1003" s="56">
        <f>INDEX(LINEST(LN(AV1003:AX1003),LN(AV1002:AX1002)),1)</f>
        <v>-9.4949048251594365E-2</v>
      </c>
      <c r="AN1003" s="56">
        <f>EXP(INDEX(LINEST(LN(AV1003:AX1003),LN(AV1002:AX1002)),1,2))</f>
        <v>0.7442697361872308</v>
      </c>
      <c r="AO1003" s="82">
        <f>INDEX(LINEST((AV1003:AX1003),LN(AV1002:AX1002),TRUE,TRUE),3,1)</f>
        <v>0.9958835494346252</v>
      </c>
      <c r="AP1003" s="82">
        <f>INDEX(LINEST((AV1003:AX1003),LN(AV1002:AX1002)),1)</f>
        <v>-3.3582621176585503E-2</v>
      </c>
      <c r="AQ1003" s="83">
        <f>INDEX(LINEST(LN(AV1003:AX1003),SQRT(AV1002:AX1002),TRUE,TRUE),3,1)</f>
        <v>0.92855216641519289</v>
      </c>
      <c r="AR1003" s="116">
        <f>INDEX(LINEST(LN(AV1003:AX1003),SQRT((AV1002:AX1002))),1)</f>
        <v>-1.8642468464226537E-3</v>
      </c>
      <c r="AS1003" s="84">
        <f>INDEX(LINEST(1/(AV1003:AX1003),1/(SQRT(AV1002:AX1002)),TRUE,TRUE),3,1)</f>
        <v>0.99925689303630472</v>
      </c>
      <c r="AT1003" s="84">
        <f>INDEX(LINEST(1/(AV1003:AX1003),1/SQRT(AV1002:AX1002)),1)</f>
        <v>-18.901195145075832</v>
      </c>
      <c r="AU1003" s="3"/>
      <c r="AV1003" s="53">
        <v>0.49199999999999999</v>
      </c>
      <c r="AW1003" s="53">
        <v>0.247</v>
      </c>
      <c r="AX1003" s="53">
        <v>0.24199999999999999</v>
      </c>
      <c r="AY1003" s="42"/>
      <c r="AZ1003" s="46"/>
      <c r="BA1003" s="42"/>
      <c r="BB1003" s="42"/>
      <c r="BC1003" s="2"/>
      <c r="BD1003" s="2"/>
      <c r="BE1003" s="2"/>
      <c r="BF1003" s="2"/>
      <c r="BG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1"/>
      <c r="CS1003" s="1"/>
      <c r="CT1003" s="1"/>
      <c r="CU1003" s="1"/>
    </row>
    <row r="1004" spans="1:99" s="13" customFormat="1" ht="12" customHeight="1" x14ac:dyDescent="0.2">
      <c r="A1004" s="65">
        <v>43509</v>
      </c>
      <c r="B1004" s="1"/>
      <c r="C1004" s="1"/>
      <c r="D1004" s="60"/>
      <c r="E1004" s="76"/>
      <c r="F1004" s="60"/>
      <c r="G1004" s="60"/>
      <c r="H1004" s="60"/>
      <c r="I1004" s="60"/>
      <c r="J1004" s="60"/>
      <c r="K1004" s="64"/>
      <c r="L1004" s="64"/>
      <c r="M1004" s="60"/>
      <c r="N1004" s="60"/>
      <c r="O1004" s="60"/>
      <c r="P1004" s="60"/>
      <c r="Q1004" s="60"/>
      <c r="R1004" s="60"/>
      <c r="S1004" s="60"/>
      <c r="T1004" s="60"/>
      <c r="U1004" s="60"/>
      <c r="V1004" s="60"/>
      <c r="W1004" s="60"/>
      <c r="X1004" s="60"/>
      <c r="Y1004" s="76"/>
      <c r="Z1004" s="60"/>
      <c r="AA1004" s="60"/>
      <c r="AB1004" s="60"/>
      <c r="AC1004" s="60"/>
      <c r="AD1004" s="60"/>
      <c r="AE1004" s="60"/>
      <c r="AF1004" s="80"/>
      <c r="AG1004" s="56"/>
      <c r="AH1004" s="4"/>
      <c r="AI1004" s="56"/>
      <c r="AJ1004" s="109"/>
      <c r="AK1004" s="56"/>
      <c r="AL1004" s="56"/>
      <c r="AM1004" s="56"/>
      <c r="AN1004" s="56"/>
      <c r="AO1004" s="56"/>
      <c r="AP1004" s="56"/>
      <c r="AQ1004" s="56"/>
      <c r="AR1004" s="109"/>
      <c r="AS1004" s="56"/>
      <c r="AT1004" s="56"/>
      <c r="AU1004" s="4"/>
      <c r="AV1004" s="137">
        <v>80</v>
      </c>
      <c r="AW1004" s="137">
        <f>24*3600*1</f>
        <v>86400</v>
      </c>
      <c r="AX1004" s="137">
        <f>24*3600*2</f>
        <v>172800</v>
      </c>
      <c r="AY1004" s="42"/>
      <c r="AZ1004" s="46"/>
      <c r="BA1004" s="42"/>
      <c r="BB1004" s="4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1"/>
      <c r="CS1004" s="1"/>
      <c r="CT1004" s="1"/>
      <c r="CU1004" s="1"/>
    </row>
    <row r="1005" spans="1:99" s="13" customFormat="1" ht="12" customHeight="1" x14ac:dyDescent="0.2">
      <c r="A1005" s="65">
        <v>43509</v>
      </c>
      <c r="B1005" s="1" t="s">
        <v>122</v>
      </c>
      <c r="C1005" s="1" t="s">
        <v>70</v>
      </c>
      <c r="D1005" s="60">
        <v>2014</v>
      </c>
      <c r="E1005" s="76">
        <v>1</v>
      </c>
      <c r="F1005" s="60">
        <v>81</v>
      </c>
      <c r="G1005" s="60">
        <v>27</v>
      </c>
      <c r="H1005" s="60" t="s">
        <v>50</v>
      </c>
      <c r="I1005" s="60" t="s">
        <v>758</v>
      </c>
      <c r="J1005" s="60" t="s">
        <v>16</v>
      </c>
      <c r="K1005" s="60">
        <f>IF(J1005="syllables",1,IF(J1005="trigrams",2,IF(J1005="strings",3,IF(J1005="visual array",4,IF(J1005="characters",5,IF(J1005="letters",6,IF(J1005="free forms",7,IF(J1005="odors",8,IF(J1005="words",9,IF(J1005="pictures",10,IF(J1005="object pictures",11,IF(J1005="faces",12,IF(J1005="names",13,IF(J1005="idioms",14,IF(J1005="grades",15,IF(J1005="syllable-digit pairs",16,IF(J1005="trigram-word pairs",17,IF(J1005="word-digit pairs",18,IF(J1005="English-Swahili pairs",19,IF(J1005="spatial position",20,IF(J1005="word pairs",21,IF(J1005="word triads",22,IF(J1005="generated words",23,IF(J1005="word definition pairs",24,IF(J1005="math problems",25,IF(J1005="famous faces",26,IF(J1005="famous names",27,IF(J1005="famous voices",28,IF(J1005="television programs",29,IF(J1005="race horses",30,IF(J1005="new vocabulary",31,IF(J1005="sentences",32,IF(J1005="concepts",33,IF(J1005="ad slides",34,IF(J1005="scenes",35,IF(J1005="famous scenes",36,IF(J1005="poems",37,IF(J1005="walk",38,IF(J1005="faces and events",39,IF(J1005="events and names",40,IF(J1005="flashbulb",41,IF(J1005="stories",42,IF(J1005="course material",43,IF(J1005="autobiographical",44,IF(J1005="novels",45,IF(J1005="public events",46,"99"))))))))))))))))))))))))))))))))))))))))))))))</f>
        <v>9</v>
      </c>
      <c r="L1005" s="60">
        <f>IF(J1005="syllables",1,IF(J1005="trigrams",1,IF(J1005="strings",1,IF(J1005="visual array",1,IF(J1005="characters",1,IF(J1005="letters",1,IF(J1005="free forms",1,IF(J1005="odors",2,IF(J1005="words",2,IF(J1005="pictures",2,IF(J1005="object pictures",2,IF(J1005="faces",2,IF(J1005="names",2,IF(J1005="idioms","2",IF(J1005="grades",2,IF(J1005="syllable-digit pairs",3,IF(J1005="trigram-word pairs",3,IF(J1005="word-digit pairs",3,IF(J1005="English-Swahili pairs",3,IF(J1005="spatial position",3,IF(J1005="word pairs",4,IF(J1005="word triads",4,IF(J1005="generated words",4,IF(J1005="word definition pairs",4,IF(J1005="math problems",4,IF(J1005="famous faces",4,IF(J1005="famous names",4,IF(J1005="famous voices",4,IF(J1005="television programs",4,IF(J1005="race horses",4,IF(J1005="new vocabulary",4,IF(J1005="sentences",5,IF(J1005="concepts",5,IF(J1005="ad slides",5,IF(J1005="scenes",5,IF(J1005="famous scenes",5,IF(J1005="poems",6,IF(J1005="walk",6,IF(J1005="faces and events",6,IF(J1005="events and names",6,IF(J1005="flashbulb",7,IF(J1005="stories",7,IF(J1005="course material",7,IF(J1005="autobiographical",7,IF(J1005="novels",7,IF(J1005="public events",7,"99"))))))))))))))))))))))))))))))))))))))))))))))</f>
        <v>2</v>
      </c>
      <c r="M1005" s="60">
        <v>0</v>
      </c>
      <c r="N1005" s="60">
        <v>1</v>
      </c>
      <c r="O1005" s="60">
        <v>1</v>
      </c>
      <c r="P1005" s="60" t="s">
        <v>123</v>
      </c>
      <c r="Q1005" s="60" t="s">
        <v>34</v>
      </c>
      <c r="R1005" s="60">
        <f>IF(Q1005="Free Recall",1,IF(Q1005="Cued Recall",2,IF(Q1005="Recognition",3,IF(Q1005="Multiple Choice",4,IF(Q1005="Savings",5,IF(Q1005="Stem Completion",6,IF(Q1005="Fragment Completion",7,IF(Q1005="anagram solution",8,IF(Q1005="Matching",9,IF(Q1005="Problem Solving",10,"99"))))))))))</f>
        <v>3</v>
      </c>
      <c r="S1005" s="60" t="s">
        <v>15</v>
      </c>
      <c r="T1005" s="62" t="s">
        <v>261</v>
      </c>
      <c r="U1005" s="60">
        <f>IF(T1005="within",1,0)</f>
        <v>0</v>
      </c>
      <c r="V1005" s="62">
        <v>16</v>
      </c>
      <c r="W1005" s="60">
        <f>F1005*V1005</f>
        <v>1296</v>
      </c>
      <c r="X1005" s="60">
        <v>3</v>
      </c>
      <c r="Y1005" s="76">
        <f>AV1004</f>
        <v>80</v>
      </c>
      <c r="Z1005" s="60" t="s">
        <v>88</v>
      </c>
      <c r="AA1005" s="60">
        <v>172800</v>
      </c>
      <c r="AB1005" s="60" t="str">
        <f>IF(AA1005&lt;60,"1",IF(AA1005&lt;=43200,"2",IF(AA1005&lt;=777600,"3","4")))</f>
        <v>3</v>
      </c>
      <c r="AC1005" s="56">
        <f>AVERAGE(AV1004:DA1004)</f>
        <v>86426.666666666672</v>
      </c>
      <c r="AD1005" s="60" t="str">
        <f>IF(AC1005&lt;60,"1",IF(AC1005&lt;=43200,"2",IF(AC1005&lt;=777600,"3","4")))</f>
        <v>3</v>
      </c>
      <c r="AE1005" s="76">
        <f>AA1005-Y1005</f>
        <v>172720</v>
      </c>
      <c r="AF1005" s="80">
        <f>AV1005</f>
        <v>0.95299999999999996</v>
      </c>
      <c r="AG1005" s="56">
        <f>((AW1005-AV1005)+(AX1005-AW1005))/2</f>
        <v>-6.8500000000000005E-2</v>
      </c>
      <c r="AH1005" s="4"/>
      <c r="AI1005" s="56">
        <f>RSQ(AV1005:AX1005,AV1004:AX1004)</f>
        <v>0.64745765436038405</v>
      </c>
      <c r="AJ1005" s="109">
        <f>SLOPE(AV1005:AX1005,AV1004:AX1004)</f>
        <v>-7.9303480502213839E-7</v>
      </c>
      <c r="AK1005" s="56">
        <f>INTERCEPT(AV1005:AX1005,AV1004:AX1004)</f>
        <v>0.92387268808204659</v>
      </c>
      <c r="AL1005" s="56">
        <f>INDEX(LINEST(LN(AV1005:AX1005),LN(AV1004:AX1004),TRUE,TRUE),3,1)</f>
        <v>0.95924160544215797</v>
      </c>
      <c r="AM1005" s="56">
        <f>INDEX(LINEST(LN(AV1005:AX1005),LN(AV1004:AX1004)),1)</f>
        <v>-2.2398360480603421E-2</v>
      </c>
      <c r="AN1005" s="56">
        <f>EXP(INDEX(LINEST(LN(AV1005:AX1005),LN(AV1004:AX1004)),1,2))</f>
        <v>1.0493408045432684</v>
      </c>
      <c r="AO1005" s="82">
        <f>INDEX(LINEST((AV1005:AX1005),LN(AV1004:AX1004),TRUE,TRUE),3,1)</f>
        <v>0.96300541331461853</v>
      </c>
      <c r="AP1005" s="82">
        <f>INDEX(LINEST((AV1005:AX1005),LN(AV1004:AX1004)),1)</f>
        <v>-1.9667214547867625E-2</v>
      </c>
      <c r="AQ1005" s="83">
        <f>INDEX(LINEST(LN(AV1005:AX1005),SQRT(AV1004:AX1004),TRUE,TRUE),3,1)</f>
        <v>0.83559290349933057</v>
      </c>
      <c r="AR1005" s="116">
        <f>INDEX(LINEST(LN(AV1005:AX1005),SQRT((AV1004:AX1004))),1)</f>
        <v>-4.2527387806516641E-4</v>
      </c>
      <c r="AS1005" s="84">
        <f>INDEX(LINEST(1/(AV1005:AX1005),1/(SQRT(AV1004:AX1004)),TRUE,TRUE),3,1)</f>
        <v>0.98059040028623112</v>
      </c>
      <c r="AT1005" s="84">
        <f>INDEX(LINEST(1/(AV1005:AX1005),1/SQRT(AV1004:AX1004)),1)</f>
        <v>-1.7499362324948682</v>
      </c>
      <c r="AU1005" s="3"/>
      <c r="AV1005" s="53">
        <v>0.95299999999999996</v>
      </c>
      <c r="AW1005" s="53">
        <v>0.79700000000000004</v>
      </c>
      <c r="AX1005" s="53">
        <v>0.81599999999999995</v>
      </c>
      <c r="AY1005" s="42"/>
      <c r="AZ1005" s="46"/>
      <c r="BA1005" s="42"/>
      <c r="BB1005" s="4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1"/>
      <c r="CS1005" s="1"/>
      <c r="CT1005" s="1"/>
      <c r="CU1005" s="1"/>
    </row>
    <row r="1006" spans="1:99" s="13" customFormat="1" ht="12" customHeight="1" x14ac:dyDescent="0.2">
      <c r="A1006" s="65">
        <v>43509</v>
      </c>
      <c r="B1006" s="1"/>
      <c r="C1006" s="1"/>
      <c r="D1006" s="60"/>
      <c r="E1006" s="76"/>
      <c r="F1006" s="60"/>
      <c r="G1006" s="60"/>
      <c r="H1006" s="60"/>
      <c r="I1006" s="60"/>
      <c r="J1006" s="60"/>
      <c r="K1006" s="64"/>
      <c r="L1006" s="64"/>
      <c r="M1006" s="60"/>
      <c r="N1006" s="60"/>
      <c r="O1006" s="60"/>
      <c r="P1006" s="60"/>
      <c r="Q1006" s="60"/>
      <c r="R1006" s="60"/>
      <c r="S1006" s="60"/>
      <c r="T1006" s="60"/>
      <c r="U1006" s="60"/>
      <c r="V1006" s="60"/>
      <c r="W1006" s="60"/>
      <c r="X1006" s="60"/>
      <c r="Y1006" s="76"/>
      <c r="Z1006" s="60"/>
      <c r="AA1006" s="60"/>
      <c r="AB1006" s="60"/>
      <c r="AC1006" s="60"/>
      <c r="AD1006" s="60"/>
      <c r="AE1006" s="60"/>
      <c r="AF1006" s="80"/>
      <c r="AG1006" s="56"/>
      <c r="AH1006" s="4"/>
      <c r="AI1006" s="56"/>
      <c r="AJ1006" s="109"/>
      <c r="AK1006" s="56"/>
      <c r="AL1006" s="56"/>
      <c r="AM1006" s="56"/>
      <c r="AN1006" s="56"/>
      <c r="AO1006" s="56"/>
      <c r="AP1006" s="56"/>
      <c r="AQ1006" s="56"/>
      <c r="AR1006" s="109"/>
      <c r="AS1006" s="56"/>
      <c r="AT1006" s="56"/>
      <c r="AU1006" s="4"/>
      <c r="AV1006" s="137">
        <v>80</v>
      </c>
      <c r="AW1006" s="137">
        <f>24*3600*1</f>
        <v>86400</v>
      </c>
      <c r="AX1006" s="137">
        <f>24*3600*2</f>
        <v>172800</v>
      </c>
      <c r="AY1006" s="42"/>
      <c r="AZ1006" s="46"/>
      <c r="BA1006" s="42"/>
      <c r="BB1006" s="4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1"/>
      <c r="CS1006" s="1"/>
      <c r="CT1006" s="1"/>
      <c r="CU1006" s="1"/>
    </row>
    <row r="1007" spans="1:99" s="13" customFormat="1" ht="12" customHeight="1" x14ac:dyDescent="0.2">
      <c r="A1007" s="65">
        <v>43509</v>
      </c>
      <c r="B1007" s="1" t="s">
        <v>122</v>
      </c>
      <c r="C1007" s="1" t="s">
        <v>70</v>
      </c>
      <c r="D1007" s="60">
        <v>2014</v>
      </c>
      <c r="E1007" s="76">
        <v>1</v>
      </c>
      <c r="F1007" s="60">
        <v>81</v>
      </c>
      <c r="G1007" s="60">
        <v>27</v>
      </c>
      <c r="H1007" s="60" t="s">
        <v>50</v>
      </c>
      <c r="I1007" s="60" t="s">
        <v>759</v>
      </c>
      <c r="J1007" s="60" t="s">
        <v>16</v>
      </c>
      <c r="K1007" s="60">
        <f>IF(J1007="syllables",1,IF(J1007="trigrams",2,IF(J1007="strings",3,IF(J1007="visual array",4,IF(J1007="characters",5,IF(J1007="letters",6,IF(J1007="free forms",7,IF(J1007="odors",8,IF(J1007="words",9,IF(J1007="pictures",10,IF(J1007="object pictures",11,IF(J1007="faces",12,IF(J1007="names",13,IF(J1007="idioms",14,IF(J1007="grades",15,IF(J1007="syllable-digit pairs",16,IF(J1007="trigram-word pairs",17,IF(J1007="word-digit pairs",18,IF(J1007="English-Swahili pairs",19,IF(J1007="spatial position",20,IF(J1007="word pairs",21,IF(J1007="word triads",22,IF(J1007="generated words",23,IF(J1007="word definition pairs",24,IF(J1007="math problems",25,IF(J1007="famous faces",26,IF(J1007="famous names",27,IF(J1007="famous voices",28,IF(J1007="television programs",29,IF(J1007="race horses",30,IF(J1007="new vocabulary",31,IF(J1007="sentences",32,IF(J1007="concepts",33,IF(J1007="ad slides",34,IF(J1007="scenes",35,IF(J1007="famous scenes",36,IF(J1007="poems",37,IF(J1007="walk",38,IF(J1007="faces and events",39,IF(J1007="events and names",40,IF(J1007="flashbulb",41,IF(J1007="stories",42,IF(J1007="course material",43,IF(J1007="autobiographical",44,IF(J1007="novels",45,IF(J1007="public events",46,"99"))))))))))))))))))))))))))))))))))))))))))))))</f>
        <v>9</v>
      </c>
      <c r="L1007" s="60">
        <f>IF(J1007="syllables",1,IF(J1007="trigrams",1,IF(J1007="strings",1,IF(J1007="visual array",1,IF(J1007="characters",1,IF(J1007="letters",1,IF(J1007="free forms",1,IF(J1007="odors",2,IF(J1007="words",2,IF(J1007="pictures",2,IF(J1007="object pictures",2,IF(J1007="faces",2,IF(J1007="names",2,IF(J1007="idioms","2",IF(J1007="grades",2,IF(J1007="syllable-digit pairs",3,IF(J1007="trigram-word pairs",3,IF(J1007="word-digit pairs",3,IF(J1007="English-Swahili pairs",3,IF(J1007="spatial position",3,IF(J1007="word pairs",4,IF(J1007="word triads",4,IF(J1007="generated words",4,IF(J1007="word definition pairs",4,IF(J1007="math problems",4,IF(J1007="famous faces",4,IF(J1007="famous names",4,IF(J1007="famous voices",4,IF(J1007="television programs",4,IF(J1007="race horses",4,IF(J1007="new vocabulary",4,IF(J1007="sentences",5,IF(J1007="concepts",5,IF(J1007="ad slides",5,IF(J1007="scenes",5,IF(J1007="famous scenes",5,IF(J1007="poems",6,IF(J1007="walk",6,IF(J1007="faces and events",6,IF(J1007="events and names",6,IF(J1007="flashbulb",7,IF(J1007="stories",7,IF(J1007="course material",7,IF(J1007="autobiographical",7,IF(J1007="novels",7,IF(J1007="public events",7,"99"))))))))))))))))))))))))))))))))))))))))))))))</f>
        <v>2</v>
      </c>
      <c r="M1007" s="60">
        <v>0</v>
      </c>
      <c r="N1007" s="60">
        <v>1</v>
      </c>
      <c r="O1007" s="60">
        <v>1</v>
      </c>
      <c r="P1007" s="60" t="s">
        <v>123</v>
      </c>
      <c r="Q1007" s="60" t="s">
        <v>34</v>
      </c>
      <c r="R1007" s="60">
        <f>IF(Q1007="Free Recall",1,IF(Q1007="Cued Recall",2,IF(Q1007="Recognition",3,IF(Q1007="Multiple Choice",4,IF(Q1007="Savings",5,IF(Q1007="Stem Completion",6,IF(Q1007="Fragment Completion",7,IF(Q1007="anagram solution",8,IF(Q1007="Matching",9,IF(Q1007="Problem Solving",10,"99"))))))))))</f>
        <v>3</v>
      </c>
      <c r="S1007" s="60" t="s">
        <v>15</v>
      </c>
      <c r="T1007" s="62" t="s">
        <v>261</v>
      </c>
      <c r="U1007" s="60">
        <f>IF(T1007="within",1,0)</f>
        <v>0</v>
      </c>
      <c r="V1007" s="62">
        <v>16</v>
      </c>
      <c r="W1007" s="60">
        <f>F1007*V1007</f>
        <v>1296</v>
      </c>
      <c r="X1007" s="60">
        <v>3</v>
      </c>
      <c r="Y1007" s="76">
        <f>AV1006</f>
        <v>80</v>
      </c>
      <c r="Z1007" s="60" t="s">
        <v>88</v>
      </c>
      <c r="AA1007" s="60">
        <v>172800</v>
      </c>
      <c r="AB1007" s="60" t="str">
        <f>IF(AA1007&lt;60,"1",IF(AA1007&lt;=43200,"2",IF(AA1007&lt;=777600,"3","4")))</f>
        <v>3</v>
      </c>
      <c r="AC1007" s="56">
        <f>AVERAGE(AV1006:DA1006)</f>
        <v>86426.666666666672</v>
      </c>
      <c r="AD1007" s="60" t="str">
        <f>IF(AC1007&lt;60,"1",IF(AC1007&lt;=43200,"2",IF(AC1007&lt;=777600,"3","4")))</f>
        <v>3</v>
      </c>
      <c r="AE1007" s="76">
        <f>AA1007-Y1007</f>
        <v>172720</v>
      </c>
      <c r="AF1007" s="80">
        <f>AV1007</f>
        <v>0.94299999999999995</v>
      </c>
      <c r="AG1007" s="56">
        <f>((AW1007-AV1007)+(AX1007-AW1007))/2</f>
        <v>-9.0499999999999969E-2</v>
      </c>
      <c r="AH1007" s="4"/>
      <c r="AI1007" s="56">
        <f>RSQ(AV1007:AX1007,AV1006:AX1006)</f>
        <v>0.79108563268651544</v>
      </c>
      <c r="AJ1007" s="109">
        <f>SLOPE(AV1007:AX1007,AV1006:AX1006)</f>
        <v>-1.0477948695651921E-6</v>
      </c>
      <c r="AK1007" s="56">
        <f>INTERCEPT(AV1007:AX1007,AV1006:AX1006)</f>
        <v>0.91622408459362104</v>
      </c>
      <c r="AL1007" s="56">
        <f>INDEX(LINEST(LN(AV1007:AX1007),LN(AV1006:AX1006),TRUE,TRUE),3,1)</f>
        <v>0.99926581181595209</v>
      </c>
      <c r="AM1007" s="56">
        <f>INDEX(LINEST(LN(AV1007:AX1007),LN(AV1006:AX1006)),1)</f>
        <v>-2.8118273124892797E-2</v>
      </c>
      <c r="AN1007" s="56">
        <f>EXP(INDEX(LINEST(LN(AV1007:AX1007),LN(AV1006:AX1006)),1,2))</f>
        <v>1.0663280457123399</v>
      </c>
      <c r="AO1007" s="82">
        <f>INDEX(LINEST((AV1007:AX1007),LN(AV1006:AX1006),TRUE,TRUE),3,1)</f>
        <v>0.99894210627789815</v>
      </c>
      <c r="AP1007" s="82">
        <f>INDEX(LINEST((AV1007:AX1007),LN(AV1006:AX1006)),1)</f>
        <v>-2.3942892002640433E-2</v>
      </c>
      <c r="AQ1007" s="83">
        <f>INDEX(LINEST(LN(AV1007:AX1007),SQRT(AV1006:AX1006),TRUE,TRUE),3,1)</f>
        <v>0.94289126605447193</v>
      </c>
      <c r="AR1007" s="116">
        <f>INDEX(LINEST(LN(AV1007:AX1007),SQRT((AV1006:AX1006))),1)</f>
        <v>-5.5564581386198747E-4</v>
      </c>
      <c r="AS1007" s="84">
        <f>INDEX(LINEST(1/(AV1007:AX1007),1/(SQRT(AV1006:AX1006)),TRUE,TRUE),3,1)</f>
        <v>0.99724751826683622</v>
      </c>
      <c r="AT1007" s="84">
        <f>INDEX(LINEST(1/(AV1007:AX1007),1/SQRT(AV1006:AX1006)),1)</f>
        <v>-2.2359353311376924</v>
      </c>
      <c r="AU1007" s="3"/>
      <c r="AV1007" s="53">
        <v>0.94299999999999995</v>
      </c>
      <c r="AW1007" s="53">
        <v>0.77200000000000002</v>
      </c>
      <c r="AX1007" s="53">
        <v>0.76200000000000001</v>
      </c>
      <c r="AY1007" s="42"/>
      <c r="AZ1007" s="46"/>
      <c r="BA1007" s="42"/>
      <c r="BB1007" s="4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1"/>
      <c r="CS1007" s="1"/>
      <c r="CT1007" s="1"/>
      <c r="CU1007" s="1"/>
    </row>
    <row r="1008" spans="1:99" s="13" customFormat="1" ht="12" customHeight="1" x14ac:dyDescent="0.2">
      <c r="A1008" s="68">
        <v>43897</v>
      </c>
      <c r="B1008" s="67"/>
      <c r="C1008" s="67"/>
      <c r="D1008" s="86"/>
      <c r="E1008" s="87"/>
      <c r="F1008" s="69"/>
      <c r="G1008" s="69"/>
      <c r="H1008" s="69"/>
      <c r="I1008" s="69"/>
      <c r="J1008" s="69"/>
      <c r="K1008" s="107"/>
      <c r="L1008" s="107"/>
      <c r="M1008" s="69"/>
      <c r="N1008" s="69"/>
      <c r="O1008" s="69"/>
      <c r="P1008" s="69"/>
      <c r="Q1008" s="69"/>
      <c r="R1008" s="69"/>
      <c r="S1008" s="69"/>
      <c r="T1008" s="69"/>
      <c r="U1008" s="69"/>
      <c r="V1008" s="69"/>
      <c r="W1008" s="69"/>
      <c r="X1008" s="69"/>
      <c r="Y1008" s="87"/>
      <c r="Z1008" s="69"/>
      <c r="AA1008" s="69"/>
      <c r="AB1008" s="69"/>
      <c r="AC1008" s="72"/>
      <c r="AD1008" s="69"/>
      <c r="AE1008" s="69"/>
      <c r="AF1008" s="88"/>
      <c r="AG1008" s="72"/>
      <c r="AH1008" s="4"/>
      <c r="AI1008" s="72"/>
      <c r="AJ1008" s="110"/>
      <c r="AK1008" s="72"/>
      <c r="AL1008" s="72"/>
      <c r="AM1008" s="72"/>
      <c r="AN1008" s="72"/>
      <c r="AO1008" s="72"/>
      <c r="AP1008" s="72"/>
      <c r="AQ1008" s="72"/>
      <c r="AR1008" s="110"/>
      <c r="AS1008" s="72"/>
      <c r="AT1008" s="72"/>
      <c r="AU1008" s="5"/>
      <c r="AV1008" s="71">
        <v>157680000</v>
      </c>
      <c r="AW1008" s="71">
        <v>473040000</v>
      </c>
      <c r="AX1008" s="71">
        <v>788400000</v>
      </c>
      <c r="AY1008" s="73"/>
      <c r="AZ1008" s="46"/>
      <c r="BA1008" s="42"/>
      <c r="BB1008" s="42"/>
      <c r="BC1008" s="30"/>
      <c r="BD1008" s="30"/>
      <c r="BE1008" s="30"/>
      <c r="BF1008" s="30"/>
      <c r="BG1008" s="30"/>
      <c r="BH1008" s="30"/>
      <c r="BI1008" s="30"/>
      <c r="BJ1008" s="30"/>
      <c r="BK1008" s="30"/>
      <c r="BL1008" s="30"/>
      <c r="BM1008" s="30"/>
      <c r="BN1008" s="30"/>
      <c r="BO1008" s="30"/>
      <c r="BP1008" s="30"/>
      <c r="BQ1008" s="30"/>
      <c r="BR1008" s="30"/>
      <c r="BS1008" s="30"/>
      <c r="BT1008" s="30"/>
      <c r="BU1008" s="30"/>
      <c r="BV1008" s="30"/>
      <c r="BW1008" s="30"/>
      <c r="BX1008" s="30"/>
      <c r="BY1008" s="30"/>
      <c r="BZ1008" s="30"/>
      <c r="CA1008" s="30"/>
      <c r="CB1008" s="30"/>
      <c r="CC1008" s="30"/>
      <c r="CD1008" s="30"/>
      <c r="CE1008" s="30"/>
      <c r="CF1008" s="30"/>
      <c r="CG1008" s="30"/>
      <c r="CH1008" s="30"/>
      <c r="CI1008" s="30"/>
      <c r="CJ1008" s="30"/>
      <c r="CK1008" s="30"/>
      <c r="CL1008" s="30"/>
      <c r="CM1008" s="30"/>
      <c r="CN1008" s="30"/>
      <c r="CO1008" s="30"/>
      <c r="CP1008" s="30"/>
      <c r="CQ1008" s="30"/>
      <c r="CR1008" s="1"/>
      <c r="CS1008" s="1"/>
      <c r="CT1008" s="1"/>
      <c r="CU1008" s="1"/>
    </row>
    <row r="1009" spans="1:99" s="13" customFormat="1" ht="12" customHeight="1" x14ac:dyDescent="0.2">
      <c r="A1009" s="68">
        <v>43897</v>
      </c>
      <c r="B1009" s="70" t="s">
        <v>400</v>
      </c>
      <c r="C1009" s="70" t="s">
        <v>401</v>
      </c>
      <c r="D1009" s="69">
        <v>1998</v>
      </c>
      <c r="E1009" s="106">
        <v>1</v>
      </c>
      <c r="F1009" s="69">
        <v>9</v>
      </c>
      <c r="G1009" s="69">
        <v>9</v>
      </c>
      <c r="H1009" s="69" t="s">
        <v>32</v>
      </c>
      <c r="I1009" s="69" t="s">
        <v>330</v>
      </c>
      <c r="J1009" s="69" t="s">
        <v>340</v>
      </c>
      <c r="K1009" s="69">
        <f>IF(J1009="syllables",1,IF(J1009="trigrams",2,IF(J1009="strings",3,IF(J1009="visual array",4,IF(J1009="characters",5,IF(J1009="letters",6,IF(J1009="free forms",7,IF(J1009="odors",8,IF(J1009="words",9,IF(J1009="pictures",10,IF(J1009="object pictures",11,IF(J1009="faces",12,IF(J1009="names",13,IF(J1009="idioms",14,IF(J1009="grades",15,IF(J1009="syllable-digit pairs",16,IF(J1009="trigram-word pairs",17,IF(J1009="word-digit pairs",18,IF(J1009="English-Swahili pairs",19,IF(J1009="spatial position",20,IF(J1009="word pairs",21,IF(J1009="word triads",22,IF(J1009="generated words",23,IF(J1009="word definition pairs",24,IF(J1009="math problems",25,IF(J1009="famous faces",26,IF(J1009="famous names",27,IF(J1009="famous voices",28,IF(J1009="television programs",29,IF(J1009="race horses",30,IF(J1009="new vocabulary",31,IF(J1009="sentences",32,IF(J1009="concepts",33,IF(J1009="ad slides",34,IF(J1009="scenes",35,IF(J1009="famous scenes",36,IF(J1009="poems",37,IF(J1009="walk",38,IF(J1009="faces and events",39,IF(J1009="events and names",40,IF(J1009="flashbulb",41,IF(J1009="stories",42,IF(J1009="course material",43,IF(J1009="autobiographical",44,IF(J1009="novels",45,IF(J1009="public events",46,"99"))))))))))))))))))))))))))))))))))))))))))))))</f>
        <v>46</v>
      </c>
      <c r="L1009" s="69">
        <f>IF(J1009="syllables",1,IF(J1009="trigrams",1,IF(J1009="strings",1,IF(J1009="visual array",1,IF(J1009="characters",1,IF(J1009="letters",1,IF(J1009="free forms",1,IF(J1009="odors",2,IF(J1009="words",2,IF(J1009="pictures",2,IF(J1009="object pictures",2,IF(J1009="faces",2,IF(J1009="names",2,IF(J1009="idioms","2",IF(J1009="grades",2,IF(J1009="syllable-digit pairs",3,IF(J1009="trigram-word pairs",3,IF(J1009="word-digit pairs",3,IF(J1009="English-Swahili pairs",3,IF(J1009="spatial position",3,IF(J1009="word pairs",4,IF(J1009="word triads",4,IF(J1009="generated words",4,IF(J1009="word definition pairs",4,IF(J1009="math problems",4,IF(J1009="famous faces",4,IF(J1009="famous names",4,IF(J1009="famous voices",4,IF(J1009="television programs",4,IF(J1009="race horses",4,IF(J1009="new vocabulary",4,IF(J1009="sentences",5,IF(J1009="concepts",5,IF(J1009="ad slides",5,IF(J1009="scenes",5,IF(J1009="famous scenes",5,IF(J1009="poems",6,IF(J1009="walk",6,IF(J1009="faces and events",6,IF(J1009="events and names",6,IF(J1009="flashbulb",7,IF(J1009="stories",7,IF(J1009="course material",7,IF(J1009="autobiographical",7,IF(J1009="novels",7,IF(J1009="public events",7,"99"))))))))))))))))))))))))))))))))))))))))))))))</f>
        <v>7</v>
      </c>
      <c r="M1009" s="99">
        <v>1</v>
      </c>
      <c r="N1009" s="69">
        <v>4</v>
      </c>
      <c r="O1009" s="99">
        <v>0</v>
      </c>
      <c r="P1009" s="69"/>
      <c r="Q1009" s="69" t="s">
        <v>174</v>
      </c>
      <c r="R1009" s="69">
        <f>IF(Q1009="Free Recall",1,IF(Q1009="Cued Recall",2,IF(Q1009="Recognition",3,IF(Q1009="Multiple Choice",4,IF(Q1009="Savings",5,IF(Q1009="Stem Completion",6,IF(Q1009="Fragment Completion",7,IF(Q1009="anagram solution",8,IF(Q1009="Matching",9,IF(Q1009="Problem Solving",10,"99"))))))))))</f>
        <v>1</v>
      </c>
      <c r="S1009" s="69" t="s">
        <v>49</v>
      </c>
      <c r="T1009" s="92" t="s">
        <v>581</v>
      </c>
      <c r="U1009" s="69">
        <f>IF(T1009="within",1,0)</f>
        <v>1</v>
      </c>
      <c r="V1009" s="92">
        <v>145</v>
      </c>
      <c r="W1009" s="69">
        <f>F1009*V1009</f>
        <v>1305</v>
      </c>
      <c r="X1009" s="69">
        <v>3</v>
      </c>
      <c r="Y1009" s="87">
        <f>AV1008</f>
        <v>157680000</v>
      </c>
      <c r="Z1009" s="92" t="s">
        <v>428</v>
      </c>
      <c r="AA1009" s="69">
        <f>25*365*24*60*60</f>
        <v>788400000</v>
      </c>
      <c r="AB1009" s="69" t="str">
        <f>IF(AA1009&lt;60,"1",IF(AA1009&lt;=43200,"2",IF(AA1009&lt;=777600,"3","4")))</f>
        <v>4</v>
      </c>
      <c r="AC1009" s="72">
        <f>AVERAGE(AV1008:DA1008)</f>
        <v>473040000</v>
      </c>
      <c r="AD1009" s="69" t="str">
        <f>IF(AC1009&lt;60,"1",IF(AC1009&lt;=43200,"2",IF(AC1009&lt;=777600,"3","4")))</f>
        <v>4</v>
      </c>
      <c r="AE1009" s="87">
        <f>AA1009-Y1009</f>
        <v>630720000</v>
      </c>
      <c r="AF1009" s="88">
        <f>AV1009</f>
        <v>0.51190476190476186</v>
      </c>
      <c r="AG1009" s="72">
        <f>((AW1009-AV1009)+(AX1009-AW1009))/2</f>
        <v>-4.0762507534659403E-2</v>
      </c>
      <c r="AH1009" s="4"/>
      <c r="AI1009" s="72">
        <f>RSQ(AV1009:AX1009,AV1008:AX1008)</f>
        <v>0.99844327800848764</v>
      </c>
      <c r="AJ1009" s="110">
        <f>SLOPE(AV1009:AX1009,AV1008:AX1008)</f>
        <v>-1.2925706346606863E-10</v>
      </c>
      <c r="AK1009" s="72">
        <f>INTERCEPT(AV1009:AX1009,AV1008:AX1008)</f>
        <v>0.53135674100863972</v>
      </c>
      <c r="AL1009" s="72">
        <f>INDEX(LINEST(LN(AV1009:AX1009),LN(AV1008:AX1008),TRUE,TRUE),3,1)</f>
        <v>0.96309249282449216</v>
      </c>
      <c r="AM1009" s="72">
        <f>INDEX(LINEST(LN(AV1009:AX1009),LN(AV1008:AX1008)),1)</f>
        <v>-0.10351075710531889</v>
      </c>
      <c r="AN1009" s="72">
        <f>EXP(INDEX(LINEST(LN(AV1009:AX1009),LN(AV1008:AX1008)),1,2))</f>
        <v>3.6336461980170962</v>
      </c>
      <c r="AO1009" s="89">
        <f>INDEX(LINEST((AV1009:AX1009),LN(AV1008:AX1008),TRUE,TRUE),3,1)</f>
        <v>0.97192639614832377</v>
      </c>
      <c r="AP1009" s="89">
        <f>INDEX(LINEST((AV1009:AX1009),LN(AV1008:AX1008)),1)</f>
        <v>-4.8901900510450957E-2</v>
      </c>
      <c r="AQ1009" s="90">
        <f>INDEX(LINEST(LN(AV1009:AX1009),SQRT(AV1008:AX1008),TRUE,TRUE),3,1)</f>
        <v>0.99163015121441966</v>
      </c>
      <c r="AR1009" s="117">
        <f>INDEX(LINEST(LN(AV1009:AX1009),SQRT((AV1008:AX1008))),1)</f>
        <v>-1.106792561801317E-5</v>
      </c>
      <c r="AS1009" s="91">
        <f>INDEX(LINEST(1/(AV1009:AX1009),1/(SQRT(AV1008:AX1008)),TRUE,TRUE),3,1)</f>
        <v>0.90865619480639881</v>
      </c>
      <c r="AT1009" s="91">
        <f>INDEX(LINEST(1/(AV1009:AX1009),1/SQRT(AV1008:AX1008)),1)</f>
        <v>-7663.5086709659936</v>
      </c>
      <c r="AU1009" s="3"/>
      <c r="AV1009" s="73">
        <v>0.51190476190476186</v>
      </c>
      <c r="AW1009" s="73">
        <v>0.46835443037974683</v>
      </c>
      <c r="AX1009" s="73">
        <v>0.43037974683544306</v>
      </c>
      <c r="AY1009" s="73"/>
      <c r="AZ1009" s="46"/>
      <c r="BA1009" s="42"/>
      <c r="BB1009" s="42"/>
      <c r="BC1009" s="30"/>
      <c r="BD1009" s="30"/>
      <c r="BE1009" s="30"/>
      <c r="BF1009" s="30"/>
      <c r="BG1009" s="30"/>
      <c r="BH1009" s="30"/>
      <c r="BI1009" s="30"/>
      <c r="BJ1009" s="30"/>
      <c r="BK1009" s="30"/>
      <c r="BL1009" s="30"/>
      <c r="BM1009" s="30"/>
      <c r="BN1009" s="30"/>
      <c r="BO1009" s="30"/>
      <c r="BP1009" s="30"/>
      <c r="BQ1009" s="30"/>
      <c r="BR1009" s="30"/>
      <c r="BS1009" s="30"/>
      <c r="BT1009" s="30"/>
      <c r="BU1009" s="30"/>
      <c r="BV1009" s="30"/>
      <c r="BW1009" s="30"/>
      <c r="BX1009" s="30"/>
      <c r="BY1009" s="30"/>
      <c r="BZ1009" s="30"/>
      <c r="CA1009" s="30"/>
      <c r="CB1009" s="30"/>
      <c r="CC1009" s="30"/>
      <c r="CD1009" s="30"/>
      <c r="CE1009" s="30"/>
      <c r="CF1009" s="30"/>
      <c r="CG1009" s="30"/>
      <c r="CH1009" s="30"/>
      <c r="CI1009" s="30"/>
      <c r="CJ1009" s="30"/>
      <c r="CK1009" s="30"/>
      <c r="CL1009" s="30"/>
      <c r="CM1009" s="30"/>
      <c r="CN1009" s="30"/>
      <c r="CO1009" s="30"/>
      <c r="CP1009" s="30"/>
      <c r="CQ1009" s="30"/>
      <c r="CR1009" s="1"/>
      <c r="CS1009" s="1"/>
      <c r="CT1009" s="1"/>
      <c r="CU1009" s="1"/>
    </row>
    <row r="1010" spans="1:99" s="13" customFormat="1" ht="12" customHeight="1" x14ac:dyDescent="0.2">
      <c r="A1010" s="68">
        <v>43897</v>
      </c>
      <c r="B1010" s="67"/>
      <c r="C1010" s="67"/>
      <c r="D1010" s="86"/>
      <c r="E1010" s="87"/>
      <c r="F1010" s="69"/>
      <c r="G1010" s="69"/>
      <c r="H1010" s="69"/>
      <c r="I1010" s="69"/>
      <c r="J1010" s="69"/>
      <c r="K1010" s="107"/>
      <c r="L1010" s="107"/>
      <c r="M1010" s="69"/>
      <c r="N1010" s="69"/>
      <c r="O1010" s="69"/>
      <c r="P1010" s="69"/>
      <c r="Q1010" s="69"/>
      <c r="R1010" s="69"/>
      <c r="S1010" s="69"/>
      <c r="T1010" s="69"/>
      <c r="U1010" s="69"/>
      <c r="V1010" s="69"/>
      <c r="W1010" s="69"/>
      <c r="X1010" s="69"/>
      <c r="Y1010" s="87"/>
      <c r="Z1010" s="69"/>
      <c r="AA1010" s="69"/>
      <c r="AB1010" s="69"/>
      <c r="AC1010" s="72"/>
      <c r="AD1010" s="69"/>
      <c r="AE1010" s="69"/>
      <c r="AF1010" s="88"/>
      <c r="AG1010" s="72"/>
      <c r="AH1010" s="4"/>
      <c r="AI1010" s="72"/>
      <c r="AJ1010" s="110"/>
      <c r="AK1010" s="72"/>
      <c r="AL1010" s="72"/>
      <c r="AM1010" s="72"/>
      <c r="AN1010" s="72"/>
      <c r="AO1010" s="72"/>
      <c r="AP1010" s="72"/>
      <c r="AQ1010" s="72"/>
      <c r="AR1010" s="110"/>
      <c r="AS1010" s="72"/>
      <c r="AT1010" s="72"/>
      <c r="AU1010" s="5"/>
      <c r="AV1010" s="71">
        <v>157680000</v>
      </c>
      <c r="AW1010" s="71">
        <v>473040000</v>
      </c>
      <c r="AX1010" s="71">
        <v>788400000</v>
      </c>
      <c r="AY1010" s="73"/>
      <c r="AZ1010" s="46"/>
      <c r="BA1010" s="42"/>
      <c r="BB1010" s="42"/>
      <c r="BC1010" s="30"/>
      <c r="BD1010" s="30"/>
      <c r="BE1010" s="30"/>
      <c r="BF1010" s="30"/>
      <c r="BG1010" s="30"/>
      <c r="BH1010" s="30"/>
      <c r="BI1010" s="30"/>
      <c r="BJ1010" s="30"/>
      <c r="BK1010" s="30"/>
      <c r="BL1010" s="30"/>
      <c r="BM1010" s="30"/>
      <c r="BN1010" s="30"/>
      <c r="BO1010" s="30"/>
      <c r="BP1010" s="30"/>
      <c r="BQ1010" s="30"/>
      <c r="BR1010" s="30"/>
      <c r="BS1010" s="30"/>
      <c r="BT1010" s="30"/>
      <c r="BU1010" s="30"/>
      <c r="BV1010" s="30"/>
      <c r="BW1010" s="30"/>
      <c r="BX1010" s="30"/>
      <c r="BY1010" s="30"/>
      <c r="BZ1010" s="30"/>
      <c r="CA1010" s="30"/>
      <c r="CB1010" s="30"/>
      <c r="CC1010" s="30"/>
      <c r="CD1010" s="30"/>
      <c r="CE1010" s="30"/>
      <c r="CF1010" s="30"/>
      <c r="CG1010" s="30"/>
      <c r="CH1010" s="30"/>
      <c r="CI1010" s="30"/>
      <c r="CJ1010" s="30"/>
      <c r="CK1010" s="30"/>
      <c r="CL1010" s="30"/>
      <c r="CM1010" s="30"/>
      <c r="CN1010" s="30"/>
      <c r="CO1010" s="30"/>
      <c r="CP1010" s="30"/>
      <c r="CQ1010" s="30"/>
      <c r="CR1010" s="1"/>
      <c r="CS1010" s="1"/>
      <c r="CT1010" s="1"/>
      <c r="CU1010" s="1"/>
    </row>
    <row r="1011" spans="1:99" s="13" customFormat="1" ht="12" customHeight="1" x14ac:dyDescent="0.2">
      <c r="A1011" s="68">
        <v>43897</v>
      </c>
      <c r="B1011" s="70" t="s">
        <v>400</v>
      </c>
      <c r="C1011" s="70" t="s">
        <v>401</v>
      </c>
      <c r="D1011" s="69">
        <v>1998</v>
      </c>
      <c r="E1011" s="106">
        <v>1</v>
      </c>
      <c r="F1011" s="69">
        <v>9</v>
      </c>
      <c r="G1011" s="69">
        <v>9</v>
      </c>
      <c r="H1011" s="69" t="s">
        <v>32</v>
      </c>
      <c r="I1011" s="69" t="s">
        <v>330</v>
      </c>
      <c r="J1011" s="69" t="s">
        <v>340</v>
      </c>
      <c r="K1011" s="69">
        <f>IF(J1011="syllables",1,IF(J1011="trigrams",2,IF(J1011="strings",3,IF(J1011="visual array",4,IF(J1011="characters",5,IF(J1011="letters",6,IF(J1011="free forms",7,IF(J1011="odors",8,IF(J1011="words",9,IF(J1011="pictures",10,IF(J1011="object pictures",11,IF(J1011="faces",12,IF(J1011="names",13,IF(J1011="idioms",14,IF(J1011="grades",15,IF(J1011="syllable-digit pairs",16,IF(J1011="trigram-word pairs",17,IF(J1011="word-digit pairs",18,IF(J1011="English-Swahili pairs",19,IF(J1011="spatial position",20,IF(J1011="word pairs",21,IF(J1011="word triads",22,IF(J1011="generated words",23,IF(J1011="word definition pairs",24,IF(J1011="math problems",25,IF(J1011="famous faces",26,IF(J1011="famous names",27,IF(J1011="famous voices",28,IF(J1011="television programs",29,IF(J1011="race horses",30,IF(J1011="new vocabulary",31,IF(J1011="sentences",32,IF(J1011="concepts",33,IF(J1011="ad slides",34,IF(J1011="scenes",35,IF(J1011="famous scenes",36,IF(J1011="poems",37,IF(J1011="walk",38,IF(J1011="faces and events",39,IF(J1011="events and names",40,IF(J1011="flashbulb",41,IF(J1011="stories",42,IF(J1011="course material",43,IF(J1011="autobiographical",44,IF(J1011="novels",45,IF(J1011="public events",46,"99"))))))))))))))))))))))))))))))))))))))))))))))</f>
        <v>46</v>
      </c>
      <c r="L1011" s="69">
        <f>IF(J1011="syllables",1,IF(J1011="trigrams",1,IF(J1011="strings",1,IF(J1011="visual array",1,IF(J1011="characters",1,IF(J1011="letters",1,IF(J1011="free forms",1,IF(J1011="odors",2,IF(J1011="words",2,IF(J1011="pictures",2,IF(J1011="object pictures",2,IF(J1011="faces",2,IF(J1011="names",2,IF(J1011="idioms","2",IF(J1011="grades",2,IF(J1011="syllable-digit pairs",3,IF(J1011="trigram-word pairs",3,IF(J1011="word-digit pairs",3,IF(J1011="English-Swahili pairs",3,IF(J1011="spatial position",3,IF(J1011="word pairs",4,IF(J1011="word triads",4,IF(J1011="generated words",4,IF(J1011="word definition pairs",4,IF(J1011="math problems",4,IF(J1011="famous faces",4,IF(J1011="famous names",4,IF(J1011="famous voices",4,IF(J1011="television programs",4,IF(J1011="race horses",4,IF(J1011="new vocabulary",4,IF(J1011="sentences",5,IF(J1011="concepts",5,IF(J1011="ad slides",5,IF(J1011="scenes",5,IF(J1011="famous scenes",5,IF(J1011="poems",6,IF(J1011="walk",6,IF(J1011="faces and events",6,IF(J1011="events and names",6,IF(J1011="flashbulb",7,IF(J1011="stories",7,IF(J1011="course material",7,IF(J1011="autobiographical",7,IF(J1011="novels",7,IF(J1011="public events",7,"99"))))))))))))))))))))))))))))))))))))))))))))))</f>
        <v>7</v>
      </c>
      <c r="M1011" s="99">
        <v>1</v>
      </c>
      <c r="N1011" s="69">
        <v>4</v>
      </c>
      <c r="O1011" s="99">
        <v>0</v>
      </c>
      <c r="P1011" s="69"/>
      <c r="Q1011" s="69" t="s">
        <v>182</v>
      </c>
      <c r="R1011" s="69">
        <f>IF(Q1011="Free Recall",1,IF(Q1011="Cued Recall",2,IF(Q1011="Recognition",3,IF(Q1011="Multiple Choice",4,IF(Q1011="Savings",5,IF(Q1011="Stem Completion",6,IF(Q1011="Fragment Completion",7,IF(Q1011="anagram solution",8,IF(Q1011="Matching",9,IF(Q1011="Problem Solving",10,"99"))))))))))</f>
        <v>4</v>
      </c>
      <c r="S1011" s="69" t="s">
        <v>15</v>
      </c>
      <c r="T1011" s="92" t="s">
        <v>581</v>
      </c>
      <c r="U1011" s="69">
        <f>IF(T1011="within",1,0)</f>
        <v>1</v>
      </c>
      <c r="V1011" s="92">
        <v>145</v>
      </c>
      <c r="W1011" s="69">
        <f>F1011*V1011</f>
        <v>1305</v>
      </c>
      <c r="X1011" s="69">
        <v>3</v>
      </c>
      <c r="Y1011" s="87">
        <f>AV1010</f>
        <v>157680000</v>
      </c>
      <c r="Z1011" s="92" t="s">
        <v>428</v>
      </c>
      <c r="AA1011" s="69">
        <f>25*365*24*60*60</f>
        <v>788400000</v>
      </c>
      <c r="AB1011" s="69" t="str">
        <f>IF(AA1011&lt;60,"1",IF(AA1011&lt;=43200,"2",IF(AA1011&lt;=777600,"3","4")))</f>
        <v>4</v>
      </c>
      <c r="AC1011" s="72">
        <f>AVERAGE(AV1010:DA1010)</f>
        <v>473040000</v>
      </c>
      <c r="AD1011" s="69" t="str">
        <f>IF(AC1011&lt;60,"1",IF(AC1011&lt;=43200,"2",IF(AC1011&lt;=777600,"3","4")))</f>
        <v>4</v>
      </c>
      <c r="AE1011" s="87">
        <f>AA1011-Y1011</f>
        <v>630720000</v>
      </c>
      <c r="AF1011" s="88">
        <f>AV1011</f>
        <v>0.79120879120879117</v>
      </c>
      <c r="AG1011" s="72">
        <f>((AW1011-AV1011)+(AX1011-AW1011))/2</f>
        <v>-3.513927932532579E-2</v>
      </c>
      <c r="AH1011" s="4"/>
      <c r="AI1011" s="72">
        <f>RSQ(AV1011:AX1011,AV1010:AX1010)</f>
        <v>0.56453731095689519</v>
      </c>
      <c r="AJ1011" s="110">
        <f>SLOPE(AV1011:AX1011,AV1010:AX1010)</f>
        <v>-1.1142592378654803E-10</v>
      </c>
      <c r="AK1011" s="72">
        <f>INTERCEPT(AV1011:AX1011,AV1010:AX1010)</f>
        <v>0.82659653008490208</v>
      </c>
      <c r="AL1011" s="72">
        <f>INDEX(LINEST(LN(AV1011:AX1011),LN(AV1010:AX1010),TRUE,TRUE),3,1)</f>
        <v>0.36807776218202282</v>
      </c>
      <c r="AM1011" s="72">
        <f>INDEX(LINEST(LN(AV1011:AX1011),LN(AV1010:AX1010)),1)</f>
        <v>-4.5285010307737343E-2</v>
      </c>
      <c r="AN1011" s="72">
        <f>EXP(INDEX(LINEST(LN(AV1011:AX1011),LN(AV1010:AX1010)),1,2))</f>
        <v>1.8928992083901401</v>
      </c>
      <c r="AO1011" s="89">
        <f>INDEX(LINEST((AV1011:AX1011),LN(AV1010:AX1010),TRUE,TRUE),3,1)</f>
        <v>0.35885179317813354</v>
      </c>
      <c r="AP1011" s="89">
        <f>INDEX(LINEST((AV1011:AX1011),LN(AV1010:AX1010)),1)</f>
        <v>-3.4065435179583783E-2</v>
      </c>
      <c r="AQ1011" s="90">
        <f>INDEX(LINEST(LN(AV1011:AX1011),SQRT(AV1010:AX1010),TRUE,TRUE),3,1)</f>
        <v>0.46821865377756761</v>
      </c>
      <c r="AR1011" s="117">
        <f>INDEX(LINEST(LN(AV1011:AX1011),SQRT((AV1010:AX1010))),1)</f>
        <v>-5.3820647803383603E-6</v>
      </c>
      <c r="AS1011" s="91">
        <f>INDEX(LINEST(1/(AV1011:AX1011),1/(SQRT(AV1010:AX1010)),TRUE,TRUE),3,1)</f>
        <v>0.29348491804640425</v>
      </c>
      <c r="AT1011" s="91">
        <f>INDEX(LINEST(1/(AV1011:AX1011),1/SQRT(AV1010:AX1010)),1)</f>
        <v>-1898.744737075328</v>
      </c>
      <c r="AU1011" s="3"/>
      <c r="AV1011" s="73">
        <v>0.79120879120879117</v>
      </c>
      <c r="AW1011" s="73">
        <v>0.80952380952380965</v>
      </c>
      <c r="AX1011" s="73">
        <v>0.72093023255813959</v>
      </c>
      <c r="AY1011" s="73"/>
      <c r="AZ1011" s="46"/>
      <c r="BA1011" s="42"/>
      <c r="BB1011" s="42"/>
      <c r="BC1011" s="30"/>
      <c r="BD1011" s="30"/>
      <c r="BE1011" s="30"/>
      <c r="BF1011" s="30"/>
      <c r="BG1011" s="30"/>
      <c r="BH1011" s="30"/>
      <c r="BI1011" s="30"/>
      <c r="BJ1011" s="30"/>
      <c r="BK1011" s="30"/>
      <c r="BL1011" s="30"/>
      <c r="BM1011" s="30"/>
      <c r="BN1011" s="30"/>
      <c r="BO1011" s="30"/>
      <c r="BP1011" s="30"/>
      <c r="BQ1011" s="30"/>
      <c r="BR1011" s="30"/>
      <c r="BS1011" s="30"/>
      <c r="BT1011" s="30"/>
      <c r="BU1011" s="30"/>
      <c r="BV1011" s="30"/>
      <c r="BW1011" s="30"/>
      <c r="BX1011" s="30"/>
      <c r="BY1011" s="30"/>
      <c r="BZ1011" s="30"/>
      <c r="CA1011" s="30"/>
      <c r="CB1011" s="30"/>
      <c r="CC1011" s="30"/>
      <c r="CD1011" s="30"/>
      <c r="CE1011" s="30"/>
      <c r="CF1011" s="30"/>
      <c r="CG1011" s="30"/>
      <c r="CH1011" s="30"/>
      <c r="CI1011" s="30"/>
      <c r="CJ1011" s="30"/>
      <c r="CK1011" s="30"/>
      <c r="CL1011" s="30"/>
      <c r="CM1011" s="30"/>
      <c r="CN1011" s="30"/>
      <c r="CO1011" s="30"/>
      <c r="CP1011" s="30"/>
      <c r="CQ1011" s="30"/>
      <c r="CR1011" s="1"/>
      <c r="CS1011" s="1"/>
      <c r="CT1011" s="1"/>
      <c r="CU1011" s="1"/>
    </row>
    <row r="1012" spans="1:99" s="13" customFormat="1" ht="12" customHeight="1" x14ac:dyDescent="0.2">
      <c r="A1012" s="68">
        <v>43897</v>
      </c>
      <c r="B1012" s="67"/>
      <c r="C1012" s="67"/>
      <c r="D1012" s="86"/>
      <c r="E1012" s="87"/>
      <c r="F1012" s="69"/>
      <c r="G1012" s="69"/>
      <c r="H1012" s="69"/>
      <c r="I1012" s="69"/>
      <c r="J1012" s="69"/>
      <c r="K1012" s="107"/>
      <c r="L1012" s="107"/>
      <c r="M1012" s="69"/>
      <c r="N1012" s="69"/>
      <c r="O1012" s="69"/>
      <c r="P1012" s="69"/>
      <c r="Q1012" s="69"/>
      <c r="R1012" s="69"/>
      <c r="S1012" s="69"/>
      <c r="T1012" s="69"/>
      <c r="U1012" s="69"/>
      <c r="V1012" s="69"/>
      <c r="W1012" s="69"/>
      <c r="X1012" s="69"/>
      <c r="Y1012" s="87"/>
      <c r="Z1012" s="69"/>
      <c r="AA1012" s="69"/>
      <c r="AB1012" s="69"/>
      <c r="AC1012" s="72"/>
      <c r="AD1012" s="69"/>
      <c r="AE1012" s="69"/>
      <c r="AF1012" s="88"/>
      <c r="AG1012" s="72"/>
      <c r="AH1012" s="4"/>
      <c r="AI1012" s="72"/>
      <c r="AJ1012" s="110"/>
      <c r="AK1012" s="72"/>
      <c r="AL1012" s="72"/>
      <c r="AM1012" s="72"/>
      <c r="AN1012" s="72"/>
      <c r="AO1012" s="72"/>
      <c r="AP1012" s="72"/>
      <c r="AQ1012" s="72"/>
      <c r="AR1012" s="110"/>
      <c r="AS1012" s="72"/>
      <c r="AT1012" s="72"/>
      <c r="AU1012" s="5"/>
      <c r="AV1012" s="71">
        <v>157680000</v>
      </c>
      <c r="AW1012" s="71">
        <v>473040000</v>
      </c>
      <c r="AX1012" s="71">
        <v>788400000</v>
      </c>
      <c r="AY1012" s="73"/>
      <c r="AZ1012" s="46"/>
      <c r="BA1012" s="42"/>
      <c r="BB1012" s="42"/>
      <c r="BC1012" s="30"/>
      <c r="BD1012" s="30"/>
      <c r="BE1012" s="30"/>
      <c r="BF1012" s="30"/>
      <c r="BG1012" s="30"/>
      <c r="BH1012" s="30"/>
      <c r="BI1012" s="30"/>
      <c r="BJ1012" s="30"/>
      <c r="BK1012" s="30"/>
      <c r="BL1012" s="30"/>
      <c r="BM1012" s="30"/>
      <c r="BN1012" s="30"/>
      <c r="BO1012" s="30"/>
      <c r="BP1012" s="30"/>
      <c r="BQ1012" s="30"/>
      <c r="BR1012" s="30"/>
      <c r="BS1012" s="30"/>
      <c r="BT1012" s="30"/>
      <c r="BU1012" s="30"/>
      <c r="BV1012" s="30"/>
      <c r="BW1012" s="30"/>
      <c r="BX1012" s="30"/>
      <c r="BY1012" s="30"/>
      <c r="BZ1012" s="30"/>
      <c r="CA1012" s="30"/>
      <c r="CB1012" s="30"/>
      <c r="CC1012" s="30"/>
      <c r="CD1012" s="30"/>
      <c r="CE1012" s="30"/>
      <c r="CF1012" s="30"/>
      <c r="CG1012" s="30"/>
      <c r="CH1012" s="30"/>
      <c r="CI1012" s="30"/>
      <c r="CJ1012" s="30"/>
      <c r="CK1012" s="30"/>
      <c r="CL1012" s="30"/>
      <c r="CM1012" s="30"/>
      <c r="CN1012" s="30"/>
      <c r="CO1012" s="30"/>
      <c r="CP1012" s="30"/>
      <c r="CQ1012" s="30"/>
      <c r="CR1012" s="1"/>
      <c r="CS1012" s="1"/>
      <c r="CT1012" s="1"/>
      <c r="CU1012" s="1"/>
    </row>
    <row r="1013" spans="1:99" s="13" customFormat="1" ht="12" customHeight="1" x14ac:dyDescent="0.2">
      <c r="A1013" s="68">
        <v>43897</v>
      </c>
      <c r="B1013" s="70" t="s">
        <v>400</v>
      </c>
      <c r="C1013" s="70" t="s">
        <v>401</v>
      </c>
      <c r="D1013" s="69">
        <v>1998</v>
      </c>
      <c r="E1013" s="106">
        <v>1</v>
      </c>
      <c r="F1013" s="69">
        <v>9</v>
      </c>
      <c r="G1013" s="69">
        <v>9</v>
      </c>
      <c r="H1013" s="69" t="s">
        <v>32</v>
      </c>
      <c r="I1013" s="69" t="s">
        <v>330</v>
      </c>
      <c r="J1013" s="69" t="s">
        <v>342</v>
      </c>
      <c r="K1013" s="69">
        <f>IF(J1013="syllables",1,IF(J1013="trigrams",2,IF(J1013="strings",3,IF(J1013="visual array",4,IF(J1013="characters",5,IF(J1013="letters",6,IF(J1013="free forms",7,IF(J1013="odors",8,IF(J1013="words",9,IF(J1013="pictures",10,IF(J1013="object pictures",11,IF(J1013="faces",12,IF(J1013="names",13,IF(J1013="idioms",14,IF(J1013="grades",15,IF(J1013="syllable-digit pairs",16,IF(J1013="trigram-word pairs",17,IF(J1013="word-digit pairs",18,IF(J1013="English-Swahili pairs",19,IF(J1013="spatial position",20,IF(J1013="word pairs",21,IF(J1013="word triads",22,IF(J1013="generated words",23,IF(J1013="word definition pairs",24,IF(J1013="math problems",25,IF(J1013="famous faces",26,IF(J1013="famous names",27,IF(J1013="famous voices",28,IF(J1013="television programs",29,IF(J1013="race horses",30,IF(J1013="new vocabulary",31,IF(J1013="sentences",32,IF(J1013="concepts",33,IF(J1013="ad slides",34,IF(J1013="scenes",35,IF(J1013="famous scenes",36,IF(J1013="poems",37,IF(J1013="walk",38,IF(J1013="faces and events",39,IF(J1013="events and names",40,IF(J1013="flashbulb",41,IF(J1013="stories",42,IF(J1013="course material",43,IF(J1013="autobiographical",44,IF(J1013="novels",45,IF(J1013="public events",46,"99"))))))))))))))))))))))))))))))))))))))))))))))</f>
        <v>26</v>
      </c>
      <c r="L1013" s="69">
        <f>IF(J1013="syllables",1,IF(J1013="trigrams",1,IF(J1013="strings",1,IF(J1013="visual array",1,IF(J1013="characters",1,IF(J1013="letters",1,IF(J1013="free forms",1,IF(J1013="odors",2,IF(J1013="words",2,IF(J1013="pictures",2,IF(J1013="object pictures",2,IF(J1013="faces",2,IF(J1013="names",2,IF(J1013="idioms","2",IF(J1013="grades",2,IF(J1013="syllable-digit pairs",3,IF(J1013="trigram-word pairs",3,IF(J1013="word-digit pairs",3,IF(J1013="English-Swahili pairs",3,IF(J1013="spatial position",3,IF(J1013="word pairs",4,IF(J1013="word triads",4,IF(J1013="generated words",4,IF(J1013="word definition pairs",4,IF(J1013="math problems",4,IF(J1013="famous faces",4,IF(J1013="famous names",4,IF(J1013="famous voices",4,IF(J1013="television programs",4,IF(J1013="race horses",4,IF(J1013="new vocabulary",4,IF(J1013="sentences",5,IF(J1013="concepts",5,IF(J1013="ad slides",5,IF(J1013="scenes",5,IF(J1013="famous scenes",5,IF(J1013="poems",6,IF(J1013="walk",6,IF(J1013="faces and events",6,IF(J1013="events and names",6,IF(J1013="flashbulb",7,IF(J1013="stories",7,IF(J1013="course material",7,IF(J1013="autobiographical",7,IF(J1013="novels",7,IF(J1013="public events",7,"99"))))))))))))))))))))))))))))))))))))))))))))))</f>
        <v>4</v>
      </c>
      <c r="M1013" s="99">
        <v>1</v>
      </c>
      <c r="N1013" s="86">
        <v>3</v>
      </c>
      <c r="O1013" s="99">
        <v>0</v>
      </c>
      <c r="P1013" s="69"/>
      <c r="Q1013" s="69" t="s">
        <v>174</v>
      </c>
      <c r="R1013" s="69">
        <f>IF(Q1013="Free Recall",1,IF(Q1013="Cued Recall",2,IF(Q1013="Recognition",3,IF(Q1013="Multiple Choice",4,IF(Q1013="Savings",5,IF(Q1013="Stem Completion",6,IF(Q1013="Fragment Completion",7,IF(Q1013="anagram solution",8,IF(Q1013="Matching",9,IF(Q1013="Problem Solving",10,"99"))))))))))</f>
        <v>1</v>
      </c>
      <c r="S1013" s="69" t="s">
        <v>49</v>
      </c>
      <c r="T1013" s="92" t="s">
        <v>581</v>
      </c>
      <c r="U1013" s="69">
        <f>IF(T1013="within",1,0)</f>
        <v>1</v>
      </c>
      <c r="V1013" s="92">
        <v>141</v>
      </c>
      <c r="W1013" s="69">
        <f>F1013*V1013</f>
        <v>1269</v>
      </c>
      <c r="X1013" s="69">
        <v>3</v>
      </c>
      <c r="Y1013" s="87">
        <f>AV1012</f>
        <v>157680000</v>
      </c>
      <c r="Z1013" s="92" t="s">
        <v>428</v>
      </c>
      <c r="AA1013" s="69">
        <f>25*365*24*60*60</f>
        <v>788400000</v>
      </c>
      <c r="AB1013" s="69" t="str">
        <f>IF(AA1013&lt;60,"1",IF(AA1013&lt;=43200,"2",IF(AA1013&lt;=777600,"3","4")))</f>
        <v>4</v>
      </c>
      <c r="AC1013" s="72">
        <f>AVERAGE(AV1012:DA1012)</f>
        <v>473040000</v>
      </c>
      <c r="AD1013" s="69" t="str">
        <f>IF(AC1013&lt;60,"1",IF(AC1013&lt;=43200,"2",IF(AC1013&lt;=777600,"3","4")))</f>
        <v>4</v>
      </c>
      <c r="AE1013" s="87">
        <f>AA1013-Y1013</f>
        <v>630720000</v>
      </c>
      <c r="AF1013" s="88">
        <f>AV1013</f>
        <v>0.48749999999999999</v>
      </c>
      <c r="AG1013" s="72">
        <f>((AW1013-AV1013)+(AX1013-AW1013))/2</f>
        <v>2.2554347826086923E-2</v>
      </c>
      <c r="AH1013" s="4"/>
      <c r="AI1013" s="72">
        <f>RSQ(AV1013:AX1013,AV1012:AX1012)</f>
        <v>0.24480882789964825</v>
      </c>
      <c r="AJ1013" s="110">
        <f>SLOPE(AV1013:AX1013,AV1012:AX1012)</f>
        <v>7.1519367789468937E-11</v>
      </c>
      <c r="AK1013" s="72">
        <f>INTERCEPT(AV1013:AX1013,AV1012:AX1012)</f>
        <v>0.45335185729207467</v>
      </c>
      <c r="AL1013" s="72">
        <f>INDEX(LINEST(LN(AV1013:AX1013),LN(AV1012:AX1012),TRUE,TRUE),3,1)</f>
        <v>7.7837527278624696E-2</v>
      </c>
      <c r="AM1013" s="72">
        <f>INDEX(LINEST(LN(AV1013:AX1013),LN(AV1012:AX1012)),1)</f>
        <v>3.1861928211624056E-2</v>
      </c>
      <c r="AN1013" s="72">
        <f>EXP(INDEX(LINEST(LN(AV1013:AX1013),LN(AV1012:AX1012)),1,2))</f>
        <v>0.25866093493985987</v>
      </c>
      <c r="AO1013" s="89">
        <f>INDEX(LINEST((AV1013:AX1013),LN(AV1012:AX1012),TRUE,TRUE),3,1)</f>
        <v>9.2928395763138327E-2</v>
      </c>
      <c r="AP1013" s="89">
        <f>INDEX(LINEST((AV1013:AX1013),LN(AV1012:AX1012)),1)</f>
        <v>1.6896657940342643E-2</v>
      </c>
      <c r="AQ1013" s="90">
        <f>INDEX(LINEST(LN(AV1013:AX1013),SQRT(AV1012:AX1012),TRUE,TRUE),3,1)</f>
        <v>0.1406593723630444</v>
      </c>
      <c r="AR1013" s="117">
        <f>INDEX(LINEST(LN(AV1013:AX1013),SQRT((AV1012:AX1012))),1)</f>
        <v>4.5133785515368847E-6</v>
      </c>
      <c r="AS1013" s="91">
        <f>INDEX(LINEST(1/(AV1013:AX1013),1/(SQRT(AV1012:AX1012)),TRUE,TRUE),3,1)</f>
        <v>2.7686686482883142E-2</v>
      </c>
      <c r="AT1013" s="91">
        <f>INDEX(LINEST(1/(AV1013:AX1013),1/SQRT(AV1012:AX1012)),1)</f>
        <v>1404.1939472171773</v>
      </c>
      <c r="AU1013" s="3"/>
      <c r="AV1013" s="73">
        <v>0.48749999999999999</v>
      </c>
      <c r="AW1013" s="73">
        <v>0.44144144144144137</v>
      </c>
      <c r="AX1013" s="73">
        <v>0.53260869565217384</v>
      </c>
      <c r="AY1013" s="73"/>
      <c r="AZ1013" s="46"/>
      <c r="BA1013" s="42"/>
      <c r="BB1013" s="42"/>
      <c r="BC1013" s="30"/>
      <c r="BD1013" s="30"/>
      <c r="BE1013" s="30"/>
      <c r="BF1013" s="30"/>
      <c r="BG1013" s="30"/>
      <c r="BH1013" s="30"/>
      <c r="BI1013" s="30"/>
      <c r="BJ1013" s="30"/>
      <c r="BK1013" s="30"/>
      <c r="BL1013" s="30"/>
      <c r="BM1013" s="30"/>
      <c r="BN1013" s="30"/>
      <c r="BO1013" s="30"/>
      <c r="BP1013" s="30"/>
      <c r="BQ1013" s="30"/>
      <c r="BR1013" s="30"/>
      <c r="BS1013" s="30"/>
      <c r="BT1013" s="30"/>
      <c r="BU1013" s="30"/>
      <c r="BV1013" s="30"/>
      <c r="BW1013" s="30"/>
      <c r="BX1013" s="30"/>
      <c r="BY1013" s="30"/>
      <c r="BZ1013" s="30"/>
      <c r="CA1013" s="30"/>
      <c r="CB1013" s="30"/>
      <c r="CC1013" s="30"/>
      <c r="CD1013" s="30"/>
      <c r="CE1013" s="30"/>
      <c r="CF1013" s="30"/>
      <c r="CG1013" s="30"/>
      <c r="CH1013" s="30"/>
      <c r="CI1013" s="30"/>
      <c r="CJ1013" s="30"/>
      <c r="CK1013" s="30"/>
      <c r="CL1013" s="30"/>
      <c r="CM1013" s="30"/>
      <c r="CN1013" s="30"/>
      <c r="CO1013" s="30"/>
      <c r="CP1013" s="30"/>
      <c r="CQ1013" s="30"/>
      <c r="CR1013" s="1"/>
      <c r="CS1013" s="1"/>
      <c r="CT1013" s="1"/>
      <c r="CU1013" s="1"/>
    </row>
    <row r="1014" spans="1:99" s="13" customFormat="1" ht="12" customHeight="1" x14ac:dyDescent="0.2">
      <c r="A1014" s="68">
        <v>43897</v>
      </c>
      <c r="B1014" s="67"/>
      <c r="C1014" s="67"/>
      <c r="D1014" s="86"/>
      <c r="E1014" s="87"/>
      <c r="F1014" s="69"/>
      <c r="G1014" s="69"/>
      <c r="H1014" s="69"/>
      <c r="I1014" s="69"/>
      <c r="J1014" s="69"/>
      <c r="K1014" s="107"/>
      <c r="L1014" s="107"/>
      <c r="M1014" s="69"/>
      <c r="N1014" s="69"/>
      <c r="O1014" s="69"/>
      <c r="P1014" s="69"/>
      <c r="Q1014" s="69"/>
      <c r="R1014" s="69"/>
      <c r="S1014" s="69"/>
      <c r="T1014" s="69"/>
      <c r="U1014" s="69"/>
      <c r="V1014" s="69"/>
      <c r="W1014" s="69"/>
      <c r="X1014" s="69"/>
      <c r="Y1014" s="87"/>
      <c r="Z1014" s="69"/>
      <c r="AA1014" s="69"/>
      <c r="AB1014" s="69"/>
      <c r="AC1014" s="72"/>
      <c r="AD1014" s="69"/>
      <c r="AE1014" s="69"/>
      <c r="AF1014" s="88"/>
      <c r="AG1014" s="72"/>
      <c r="AH1014" s="4"/>
      <c r="AI1014" s="72"/>
      <c r="AJ1014" s="110"/>
      <c r="AK1014" s="72"/>
      <c r="AL1014" s="72"/>
      <c r="AM1014" s="72"/>
      <c r="AN1014" s="72"/>
      <c r="AO1014" s="72"/>
      <c r="AP1014" s="72"/>
      <c r="AQ1014" s="72"/>
      <c r="AR1014" s="110"/>
      <c r="AS1014" s="72"/>
      <c r="AT1014" s="72"/>
      <c r="AU1014" s="5"/>
      <c r="AV1014" s="71">
        <v>157680000</v>
      </c>
      <c r="AW1014" s="71">
        <v>473040000</v>
      </c>
      <c r="AX1014" s="71">
        <v>788400000</v>
      </c>
      <c r="AY1014" s="73"/>
      <c r="AZ1014" s="46"/>
      <c r="BA1014" s="42"/>
      <c r="BB1014" s="42"/>
      <c r="BC1014" s="30"/>
      <c r="BD1014" s="30"/>
      <c r="BE1014" s="30"/>
      <c r="BF1014" s="30"/>
      <c r="BG1014" s="30"/>
      <c r="BH1014" s="30"/>
      <c r="BI1014" s="30"/>
      <c r="BJ1014" s="30"/>
      <c r="BK1014" s="30"/>
      <c r="BL1014" s="30"/>
      <c r="BM1014" s="30"/>
      <c r="BN1014" s="30"/>
      <c r="BO1014" s="30"/>
      <c r="BP1014" s="30"/>
      <c r="BQ1014" s="30"/>
      <c r="BR1014" s="30"/>
      <c r="BS1014" s="30"/>
      <c r="BT1014" s="30"/>
      <c r="BU1014" s="30"/>
      <c r="BV1014" s="30"/>
      <c r="BW1014" s="30"/>
      <c r="BX1014" s="30"/>
      <c r="BY1014" s="30"/>
      <c r="BZ1014" s="30"/>
      <c r="CA1014" s="30"/>
      <c r="CB1014" s="30"/>
      <c r="CC1014" s="30"/>
      <c r="CD1014" s="30"/>
      <c r="CE1014" s="30"/>
      <c r="CF1014" s="30"/>
      <c r="CG1014" s="30"/>
      <c r="CH1014" s="30"/>
      <c r="CI1014" s="30"/>
      <c r="CJ1014" s="30"/>
      <c r="CK1014" s="30"/>
      <c r="CL1014" s="30"/>
      <c r="CM1014" s="30"/>
      <c r="CN1014" s="30"/>
      <c r="CO1014" s="30"/>
      <c r="CP1014" s="30"/>
      <c r="CQ1014" s="30"/>
      <c r="CR1014" s="1"/>
      <c r="CS1014" s="1"/>
      <c r="CT1014" s="1"/>
      <c r="CU1014" s="1"/>
    </row>
    <row r="1015" spans="1:99" s="13" customFormat="1" ht="12" customHeight="1" x14ac:dyDescent="0.2">
      <c r="A1015" s="68">
        <v>43897</v>
      </c>
      <c r="B1015" s="70" t="s">
        <v>400</v>
      </c>
      <c r="C1015" s="70" t="s">
        <v>401</v>
      </c>
      <c r="D1015" s="69">
        <v>1998</v>
      </c>
      <c r="E1015" s="106">
        <v>1</v>
      </c>
      <c r="F1015" s="69">
        <v>9</v>
      </c>
      <c r="G1015" s="69">
        <v>9</v>
      </c>
      <c r="H1015" s="69" t="s">
        <v>32</v>
      </c>
      <c r="I1015" s="69" t="s">
        <v>330</v>
      </c>
      <c r="J1015" s="69" t="s">
        <v>342</v>
      </c>
      <c r="K1015" s="69">
        <f>IF(J1015="syllables",1,IF(J1015="trigrams",2,IF(J1015="strings",3,IF(J1015="visual array",4,IF(J1015="characters",5,IF(J1015="letters",6,IF(J1015="free forms",7,IF(J1015="odors",8,IF(J1015="words",9,IF(J1015="pictures",10,IF(J1015="object pictures",11,IF(J1015="faces",12,IF(J1015="names",13,IF(J1015="idioms",14,IF(J1015="grades",15,IF(J1015="syllable-digit pairs",16,IF(J1015="trigram-word pairs",17,IF(J1015="word-digit pairs",18,IF(J1015="English-Swahili pairs",19,IF(J1015="spatial position",20,IF(J1015="word pairs",21,IF(J1015="word triads",22,IF(J1015="generated words",23,IF(J1015="word definition pairs",24,IF(J1015="math problems",25,IF(J1015="famous faces",26,IF(J1015="famous names",27,IF(J1015="famous voices",28,IF(J1015="television programs",29,IF(J1015="race horses",30,IF(J1015="new vocabulary",31,IF(J1015="sentences",32,IF(J1015="concepts",33,IF(J1015="ad slides",34,IF(J1015="scenes",35,IF(J1015="famous scenes",36,IF(J1015="poems",37,IF(J1015="walk",38,IF(J1015="faces and events",39,IF(J1015="events and names",40,IF(J1015="flashbulb",41,IF(J1015="stories",42,IF(J1015="course material",43,IF(J1015="autobiographical",44,IF(J1015="novels",45,IF(J1015="public events",46,"99"))))))))))))))))))))))))))))))))))))))))))))))</f>
        <v>26</v>
      </c>
      <c r="L1015" s="69">
        <f>IF(J1015="syllables",1,IF(J1015="trigrams",1,IF(J1015="strings",1,IF(J1015="visual array",1,IF(J1015="characters",1,IF(J1015="letters",1,IF(J1015="free forms",1,IF(J1015="odors",2,IF(J1015="words",2,IF(J1015="pictures",2,IF(J1015="object pictures",2,IF(J1015="faces",2,IF(J1015="names",2,IF(J1015="idioms","2",IF(J1015="grades",2,IF(J1015="syllable-digit pairs",3,IF(J1015="trigram-word pairs",3,IF(J1015="word-digit pairs",3,IF(J1015="English-Swahili pairs",3,IF(J1015="spatial position",3,IF(J1015="word pairs",4,IF(J1015="word triads",4,IF(J1015="generated words",4,IF(J1015="word definition pairs",4,IF(J1015="math problems",4,IF(J1015="famous faces",4,IF(J1015="famous names",4,IF(J1015="famous voices",4,IF(J1015="television programs",4,IF(J1015="race horses",4,IF(J1015="new vocabulary",4,IF(J1015="sentences",5,IF(J1015="concepts",5,IF(J1015="ad slides",5,IF(J1015="scenes",5,IF(J1015="famous scenes",5,IF(J1015="poems",6,IF(J1015="walk",6,IF(J1015="faces and events",6,IF(J1015="events and names",6,IF(J1015="flashbulb",7,IF(J1015="stories",7,IF(J1015="course material",7,IF(J1015="autobiographical",7,IF(J1015="novels",7,IF(J1015="public events",7,"99"))))))))))))))))))))))))))))))))))))))))))))))</f>
        <v>4</v>
      </c>
      <c r="M1015" s="99">
        <v>1</v>
      </c>
      <c r="N1015" s="86">
        <v>3</v>
      </c>
      <c r="O1015" s="99">
        <v>0</v>
      </c>
      <c r="P1015" s="69"/>
      <c r="Q1015" s="69" t="s">
        <v>182</v>
      </c>
      <c r="R1015" s="69">
        <f>IF(Q1015="Free Recall",1,IF(Q1015="Cued Recall",2,IF(Q1015="Recognition",3,IF(Q1015="Multiple Choice",4,IF(Q1015="Savings",5,IF(Q1015="Stem Completion",6,IF(Q1015="Fragment Completion",7,IF(Q1015="anagram solution",8,IF(Q1015="Matching",9,IF(Q1015="Problem Solving",10,"99"))))))))))</f>
        <v>4</v>
      </c>
      <c r="S1015" s="69" t="s">
        <v>15</v>
      </c>
      <c r="T1015" s="92" t="s">
        <v>581</v>
      </c>
      <c r="U1015" s="69">
        <f>IF(T1015="within",1,0)</f>
        <v>1</v>
      </c>
      <c r="V1015" s="92">
        <v>141</v>
      </c>
      <c r="W1015" s="69">
        <f>F1015*V1015</f>
        <v>1269</v>
      </c>
      <c r="X1015" s="69">
        <v>3</v>
      </c>
      <c r="Y1015" s="87">
        <f>AV1014</f>
        <v>157680000</v>
      </c>
      <c r="Z1015" s="92" t="s">
        <v>428</v>
      </c>
      <c r="AA1015" s="69">
        <f>25*365*24*60*60</f>
        <v>788400000</v>
      </c>
      <c r="AB1015" s="69" t="str">
        <f>IF(AA1015&lt;60,"1",IF(AA1015&lt;=43200,"2",IF(AA1015&lt;=777600,"3","4")))</f>
        <v>4</v>
      </c>
      <c r="AC1015" s="72">
        <f>AVERAGE(AV1014:DA1014)</f>
        <v>473040000</v>
      </c>
      <c r="AD1015" s="69" t="str">
        <f>IF(AC1015&lt;60,"1",IF(AC1015&lt;=43200,"2",IF(AC1015&lt;=777600,"3","4")))</f>
        <v>4</v>
      </c>
      <c r="AE1015" s="87">
        <f>AA1015-Y1015</f>
        <v>630720000</v>
      </c>
      <c r="AF1015" s="88">
        <f>AV1015</f>
        <v>0.87356321839080464</v>
      </c>
      <c r="AG1015" s="72">
        <f>((AW1015-AV1015)+(AX1015-AW1015))/2</f>
        <v>3.7445194928309056E-2</v>
      </c>
      <c r="AH1015" s="4"/>
      <c r="AI1015" s="72">
        <f>RSQ(AV1015:AX1015,AV1014:AX1014)</f>
        <v>0.87764818614543161</v>
      </c>
      <c r="AJ1015" s="110">
        <f>SLOPE(AV1015:AX1015,AV1014:AX1014)</f>
        <v>1.187379341968197E-10</v>
      </c>
      <c r="AK1015" s="72">
        <f>INTERCEPT(AV1015:AX1015,AV1014:AX1014)</f>
        <v>0.84676863409700842</v>
      </c>
      <c r="AL1015" s="72">
        <f>INDEX(LINEST(LN(AV1015:AX1015),LN(AV1014:AX1014),TRUE,TRUE),3,1)</f>
        <v>0.71876554404654114</v>
      </c>
      <c r="AM1015" s="72">
        <f>INDEX(LINEST(LN(AV1015:AX1015),LN(AV1014:AX1014)),1)</f>
        <v>4.5151108434913531E-2</v>
      </c>
      <c r="AN1015" s="72">
        <f>EXP(INDEX(LINEST(LN(AV1015:AX1015),LN(AV1014:AX1014)),1,2))</f>
        <v>0.36943510821147624</v>
      </c>
      <c r="AO1015" s="89">
        <f>INDEX(LINEST((AV1015:AX1015),LN(AV1014:AX1014),TRUE,TRUE),3,1)</f>
        <v>0.71318840019718532</v>
      </c>
      <c r="AP1015" s="89">
        <f>INDEX(LINEST((AV1015:AX1015),LN(AV1014:AX1014)),1)</f>
        <v>4.104382783407054E-2</v>
      </c>
      <c r="AQ1015" s="90">
        <f>INDEX(LINEST(LN(AV1015:AX1015),SQRT(AV1014:AX1014),TRUE,TRUE),3,1)</f>
        <v>0.80507557220309056</v>
      </c>
      <c r="AR1015" s="117">
        <f>INDEX(LINEST(LN(AV1015:AX1015),SQRT((AV1014:AX1014))),1)</f>
        <v>5.0353886892040469E-6</v>
      </c>
      <c r="AS1015" s="91">
        <f>INDEX(LINEST(1/(AV1015:AX1015),1/(SQRT(AV1014:AX1014)),TRUE,TRUE),3,1)</f>
        <v>0.64206832136907632</v>
      </c>
      <c r="AT1015" s="91">
        <f>INDEX(LINEST(1/(AV1015:AX1015),1/SQRT(AV1014:AX1014)),1)</f>
        <v>1671.9017610907324</v>
      </c>
      <c r="AU1015" s="3"/>
      <c r="AV1015" s="73">
        <v>0.87356321839080464</v>
      </c>
      <c r="AW1015" s="73">
        <v>0.88679245283018859</v>
      </c>
      <c r="AX1015" s="73">
        <v>0.94845360824742275</v>
      </c>
      <c r="AY1015" s="73"/>
      <c r="AZ1015" s="46"/>
      <c r="BA1015" s="42"/>
      <c r="BB1015" s="42"/>
      <c r="BC1015" s="30"/>
      <c r="BD1015" s="30"/>
      <c r="BE1015" s="30"/>
      <c r="BF1015" s="30"/>
      <c r="BG1015" s="30"/>
      <c r="BH1015" s="30"/>
      <c r="BI1015" s="30"/>
      <c r="BJ1015" s="30"/>
      <c r="BK1015" s="30"/>
      <c r="BL1015" s="30"/>
      <c r="BM1015" s="30"/>
      <c r="BN1015" s="30"/>
      <c r="BO1015" s="30"/>
      <c r="BP1015" s="30"/>
      <c r="BQ1015" s="30"/>
      <c r="BR1015" s="30"/>
      <c r="BS1015" s="30"/>
      <c r="BT1015" s="30"/>
      <c r="BU1015" s="30"/>
      <c r="BV1015" s="30"/>
      <c r="BW1015" s="30"/>
      <c r="BX1015" s="30"/>
      <c r="BY1015" s="30"/>
      <c r="BZ1015" s="30"/>
      <c r="CA1015" s="30"/>
      <c r="CB1015" s="30"/>
      <c r="CC1015" s="30"/>
      <c r="CD1015" s="30"/>
      <c r="CE1015" s="30"/>
      <c r="CF1015" s="30"/>
      <c r="CG1015" s="30"/>
      <c r="CH1015" s="30"/>
      <c r="CI1015" s="30"/>
      <c r="CJ1015" s="30"/>
      <c r="CK1015" s="30"/>
      <c r="CL1015" s="30"/>
      <c r="CM1015" s="30"/>
      <c r="CN1015" s="30"/>
      <c r="CO1015" s="30"/>
      <c r="CP1015" s="30"/>
      <c r="CQ1015" s="30"/>
      <c r="CR1015" s="1"/>
      <c r="CS1015" s="1"/>
      <c r="CT1015" s="1"/>
      <c r="CU1015" s="1"/>
    </row>
    <row r="1016" spans="1:99" s="13" customFormat="1" ht="12" customHeight="1" x14ac:dyDescent="0.2">
      <c r="A1016" s="68">
        <v>43897</v>
      </c>
      <c r="B1016" s="67"/>
      <c r="C1016" s="67"/>
      <c r="D1016" s="86"/>
      <c r="E1016" s="87"/>
      <c r="F1016" s="69"/>
      <c r="G1016" s="69"/>
      <c r="H1016" s="69"/>
      <c r="I1016" s="69"/>
      <c r="J1016" s="69"/>
      <c r="K1016" s="107"/>
      <c r="L1016" s="107"/>
      <c r="M1016" s="69"/>
      <c r="N1016" s="69"/>
      <c r="O1016" s="69"/>
      <c r="P1016" s="69"/>
      <c r="Q1016" s="69"/>
      <c r="R1016" s="69"/>
      <c r="S1016" s="69"/>
      <c r="T1016" s="69"/>
      <c r="U1016" s="69"/>
      <c r="V1016" s="69"/>
      <c r="W1016" s="69"/>
      <c r="X1016" s="69"/>
      <c r="Y1016" s="87"/>
      <c r="Z1016" s="69"/>
      <c r="AA1016" s="69"/>
      <c r="AB1016" s="69"/>
      <c r="AC1016" s="72"/>
      <c r="AD1016" s="69"/>
      <c r="AE1016" s="69"/>
      <c r="AF1016" s="88"/>
      <c r="AG1016" s="72"/>
      <c r="AH1016" s="4"/>
      <c r="AI1016" s="72"/>
      <c r="AJ1016" s="110"/>
      <c r="AK1016" s="72"/>
      <c r="AL1016" s="72"/>
      <c r="AM1016" s="72"/>
      <c r="AN1016" s="72"/>
      <c r="AO1016" s="72"/>
      <c r="AP1016" s="72"/>
      <c r="AQ1016" s="72"/>
      <c r="AR1016" s="110"/>
      <c r="AS1016" s="72"/>
      <c r="AT1016" s="72"/>
      <c r="AU1016" s="5"/>
      <c r="AV1016" s="71">
        <v>157680000</v>
      </c>
      <c r="AW1016" s="71">
        <v>473040000</v>
      </c>
      <c r="AX1016" s="71">
        <v>788400000</v>
      </c>
      <c r="AY1016" s="73"/>
      <c r="AZ1016" s="46"/>
      <c r="BA1016" s="42"/>
      <c r="BB1016" s="42"/>
      <c r="BC1016" s="30"/>
      <c r="BD1016" s="30"/>
      <c r="BE1016" s="30"/>
      <c r="BF1016" s="30"/>
      <c r="BG1016" s="30"/>
      <c r="BH1016" s="30"/>
      <c r="BI1016" s="30"/>
      <c r="BJ1016" s="30"/>
      <c r="BK1016" s="30"/>
      <c r="BL1016" s="30"/>
      <c r="BM1016" s="30"/>
      <c r="BN1016" s="30"/>
      <c r="BO1016" s="30"/>
      <c r="BP1016" s="30"/>
      <c r="BQ1016" s="30"/>
      <c r="BR1016" s="30"/>
      <c r="BS1016" s="30"/>
      <c r="BT1016" s="30"/>
      <c r="BU1016" s="30"/>
      <c r="BV1016" s="30"/>
      <c r="BW1016" s="30"/>
      <c r="BX1016" s="30"/>
      <c r="BY1016" s="30"/>
      <c r="BZ1016" s="30"/>
      <c r="CA1016" s="30"/>
      <c r="CB1016" s="30"/>
      <c r="CC1016" s="30"/>
      <c r="CD1016" s="30"/>
      <c r="CE1016" s="30"/>
      <c r="CF1016" s="30"/>
      <c r="CG1016" s="30"/>
      <c r="CH1016" s="30"/>
      <c r="CI1016" s="30"/>
      <c r="CJ1016" s="30"/>
      <c r="CK1016" s="30"/>
      <c r="CL1016" s="30"/>
      <c r="CM1016" s="30"/>
      <c r="CN1016" s="30"/>
      <c r="CO1016" s="30"/>
      <c r="CP1016" s="30"/>
      <c r="CQ1016" s="30"/>
      <c r="CR1016" s="1"/>
      <c r="CS1016" s="1"/>
      <c r="CT1016" s="1"/>
      <c r="CU1016" s="1"/>
    </row>
    <row r="1017" spans="1:99" s="13" customFormat="1" ht="12" customHeight="1" x14ac:dyDescent="0.2">
      <c r="A1017" s="68">
        <v>43897</v>
      </c>
      <c r="B1017" s="70" t="s">
        <v>400</v>
      </c>
      <c r="C1017" s="70" t="s">
        <v>401</v>
      </c>
      <c r="D1017" s="69">
        <v>1998</v>
      </c>
      <c r="E1017" s="106">
        <v>1</v>
      </c>
      <c r="F1017" s="69">
        <v>9</v>
      </c>
      <c r="G1017" s="69">
        <v>9</v>
      </c>
      <c r="H1017" s="69" t="s">
        <v>32</v>
      </c>
      <c r="I1017" s="69" t="s">
        <v>330</v>
      </c>
      <c r="J1017" s="69" t="s">
        <v>367</v>
      </c>
      <c r="K1017" s="69">
        <f>IF(J1017="syllables",1,IF(J1017="trigrams",2,IF(J1017="strings",3,IF(J1017="visual array",4,IF(J1017="characters",5,IF(J1017="letters",6,IF(J1017="free forms",7,IF(J1017="odors",8,IF(J1017="words",9,IF(J1017="pictures",10,IF(J1017="object pictures",11,IF(J1017="faces",12,IF(J1017="names",13,IF(J1017="idioms",14,IF(J1017="grades",15,IF(J1017="syllable-digit pairs",16,IF(J1017="trigram-word pairs",17,IF(J1017="word-digit pairs",18,IF(J1017="English-Swahili pairs",19,IF(J1017="spatial position",20,IF(J1017="word pairs",21,IF(J1017="word triads",22,IF(J1017="generated words",23,IF(J1017="word definition pairs",24,IF(J1017="math problems",25,IF(J1017="famous faces",26,IF(J1017="famous names",27,IF(J1017="famous voices",28,IF(J1017="television programs",29,IF(J1017="race horses",30,IF(J1017="new vocabulary",31,IF(J1017="sentences",32,IF(J1017="concepts",33,IF(J1017="ad slides",34,IF(J1017="scenes",35,IF(J1017="famous scenes",36,IF(J1017="poems",37,IF(J1017="walk",38,IF(J1017="faces and events",39,IF(J1017="events and names",40,IF(J1017="flashbulb",41,IF(J1017="stories",42,IF(J1017="course material",43,IF(J1017="autobiographical",44,IF(J1017="novels",45,IF(J1017="public events",46,"99"))))))))))))))))))))))))))))))))))))))))))))))</f>
        <v>27</v>
      </c>
      <c r="L1017" s="69">
        <f>IF(J1017="syllables",1,IF(J1017="trigrams",1,IF(J1017="strings",1,IF(J1017="visual array",1,IF(J1017="characters",1,IF(J1017="letters",1,IF(J1017="free forms",1,IF(J1017="odors",2,IF(J1017="words",2,IF(J1017="pictures",2,IF(J1017="object pictures",2,IF(J1017="faces",2,IF(J1017="names",2,IF(J1017="idioms","2",IF(J1017="grades",2,IF(J1017="syllable-digit pairs",3,IF(J1017="trigram-word pairs",3,IF(J1017="word-digit pairs",3,IF(J1017="English-Swahili pairs",3,IF(J1017="spatial position",3,IF(J1017="word pairs",4,IF(J1017="word triads",4,IF(J1017="generated words",4,IF(J1017="word definition pairs",4,IF(J1017="math problems",4,IF(J1017="famous faces",4,IF(J1017="famous names",4,IF(J1017="famous voices",4,IF(J1017="television programs",4,IF(J1017="race horses",4,IF(J1017="new vocabulary",4,IF(J1017="sentences",5,IF(J1017="concepts",5,IF(J1017="ad slides",5,IF(J1017="scenes",5,IF(J1017="famous scenes",5,IF(J1017="poems",6,IF(J1017="walk",6,IF(J1017="faces and events",6,IF(J1017="events and names",6,IF(J1017="flashbulb",7,IF(J1017="stories",7,IF(J1017="course material",7,IF(J1017="autobiographical",7,IF(J1017="novels",7,IF(J1017="public events",7,"99"))))))))))))))))))))))))))))))))))))))))))))))</f>
        <v>4</v>
      </c>
      <c r="M1017" s="99">
        <v>1</v>
      </c>
      <c r="N1017" s="69">
        <v>3</v>
      </c>
      <c r="O1017" s="99">
        <v>0</v>
      </c>
      <c r="P1017" s="69"/>
      <c r="Q1017" s="69" t="s">
        <v>65</v>
      </c>
      <c r="R1017" s="69">
        <f>IF(Q1017="Free Recall",1,IF(Q1017="Cued Recall",2,IF(Q1017="Recognition",3,IF(Q1017="Multiple Choice",4,IF(Q1017="Savings",5,IF(Q1017="Stem Completion",6,IF(Q1017="Fragment Completion",7,IF(Q1017="anagram solution",8,IF(Q1017="Matching",9,IF(Q1017="Problem Solving",10,"99"))))))))))</f>
        <v>2</v>
      </c>
      <c r="S1017" s="69" t="s">
        <v>49</v>
      </c>
      <c r="T1017" s="92" t="s">
        <v>581</v>
      </c>
      <c r="U1017" s="69">
        <f>IF(T1017="within",1,0)</f>
        <v>1</v>
      </c>
      <c r="V1017" s="92">
        <v>65</v>
      </c>
      <c r="W1017" s="69">
        <f>F1017*V1017</f>
        <v>585</v>
      </c>
      <c r="X1017" s="69">
        <v>3</v>
      </c>
      <c r="Y1017" s="87">
        <f>AV1016</f>
        <v>157680000</v>
      </c>
      <c r="Z1017" s="92" t="s">
        <v>428</v>
      </c>
      <c r="AA1017" s="69">
        <f>25*365*24*60*60</f>
        <v>788400000</v>
      </c>
      <c r="AB1017" s="69" t="str">
        <f>IF(AA1017&lt;60,"1",IF(AA1017&lt;=43200,"2",IF(AA1017&lt;=777600,"3","4")))</f>
        <v>4</v>
      </c>
      <c r="AC1017" s="72">
        <f>AVERAGE(AV1016:DA1016)</f>
        <v>473040000</v>
      </c>
      <c r="AD1017" s="69" t="str">
        <f>IF(AC1017&lt;60,"1",IF(AC1017&lt;=43200,"2",IF(AC1017&lt;=777600,"3","4")))</f>
        <v>4</v>
      </c>
      <c r="AE1017" s="87">
        <f>AA1017-Y1017</f>
        <v>630720000</v>
      </c>
      <c r="AF1017" s="88">
        <f>AV1017</f>
        <v>0.87179487179487181</v>
      </c>
      <c r="AG1017" s="72">
        <f>((AW1017-AV1017)+(AX1017-AW1017))/2</f>
        <v>1.0180995475113142E-2</v>
      </c>
      <c r="AH1017" s="4"/>
      <c r="AI1017" s="72">
        <f>RSQ(AV1017:AX1017,AV1016:AX1016)</f>
        <v>0.15545919818026827</v>
      </c>
      <c r="AJ1017" s="110">
        <f>SLOPE(AV1017:AX1017,AV1016:AX1016)</f>
        <v>3.2283724870348618E-11</v>
      </c>
      <c r="AK1017" s="72">
        <f>INTERCEPT(AV1017:AX1017,AV1016:AX1016)</f>
        <v>0.88040472599296116</v>
      </c>
      <c r="AL1017" s="72">
        <f>INDEX(LINEST(LN(AV1017:AX1017),LN(AV1016:AX1016),TRUE,TRUE),3,1)</f>
        <v>0.3384780616601466</v>
      </c>
      <c r="AM1017" s="72">
        <f>INDEX(LINEST(LN(AV1017:AX1017),LN(AV1016:AX1016)),1)</f>
        <v>2.0341424230348949E-2</v>
      </c>
      <c r="AN1017" s="72">
        <f>EXP(INDEX(LINEST(LN(AV1017:AX1017),LN(AV1016:AX1016)),1,2))</f>
        <v>0.59882818432172846</v>
      </c>
      <c r="AO1017" s="89">
        <f>INDEX(LINEST((AV1017:AX1017),LN(AV1016:AX1016),TRUE,TRUE),3,1)</f>
        <v>0.33109073764390784</v>
      </c>
      <c r="AP1017" s="89">
        <f>INDEX(LINEST((AV1017:AX1017),LN(AV1016:AX1016)),1)</f>
        <v>1.8066141367932307E-2</v>
      </c>
      <c r="AQ1017" s="90">
        <f>INDEX(LINEST(LN(AV1017:AX1017),SQRT(AV1016:AX1016),TRUE,TRUE),3,1)</f>
        <v>0.24622271485432212</v>
      </c>
      <c r="AR1017" s="117">
        <f>INDEX(LINEST(LN(AV1017:AX1017),SQRT((AV1016:AX1016))),1)</f>
        <v>1.8281845578043712E-6</v>
      </c>
      <c r="AS1017" s="91">
        <f>INDEX(LINEST(1/(AV1017:AX1017),1/(SQRT(AV1016:AX1016)),TRUE,TRUE),3,1)</f>
        <v>0.43229996725072894</v>
      </c>
      <c r="AT1017" s="91">
        <f>INDEX(LINEST(1/(AV1017:AX1017),1/SQRT(AV1016:AX1016)),1)</f>
        <v>915.06135619428323</v>
      </c>
      <c r="AU1017" s="3"/>
      <c r="AV1017" s="73">
        <v>0.87179487179487181</v>
      </c>
      <c r="AW1017" s="73">
        <v>0.92307692307692302</v>
      </c>
      <c r="AX1017" s="73">
        <v>0.89215686274509809</v>
      </c>
      <c r="AY1017" s="73"/>
      <c r="AZ1017" s="46"/>
      <c r="BA1017" s="42"/>
      <c r="BB1017" s="42"/>
      <c r="BC1017" s="30"/>
      <c r="BD1017" s="30"/>
      <c r="BE1017" s="30"/>
      <c r="BF1017" s="30"/>
      <c r="BG1017" s="30"/>
      <c r="BH1017" s="30"/>
      <c r="BI1017" s="30"/>
      <c r="BJ1017" s="30"/>
      <c r="BK1017" s="30"/>
      <c r="BL1017" s="30"/>
      <c r="BM1017" s="30"/>
      <c r="BN1017" s="30"/>
      <c r="BO1017" s="30"/>
      <c r="BP1017" s="30"/>
      <c r="BQ1017" s="30"/>
      <c r="BR1017" s="30"/>
      <c r="BS1017" s="30"/>
      <c r="BT1017" s="30"/>
      <c r="BU1017" s="30"/>
      <c r="BV1017" s="30"/>
      <c r="BW1017" s="30"/>
      <c r="BX1017" s="30"/>
      <c r="BY1017" s="30"/>
      <c r="BZ1017" s="30"/>
      <c r="CA1017" s="30"/>
      <c r="CB1017" s="30"/>
      <c r="CC1017" s="30"/>
      <c r="CD1017" s="30"/>
      <c r="CE1017" s="30"/>
      <c r="CF1017" s="30"/>
      <c r="CG1017" s="30"/>
      <c r="CH1017" s="30"/>
      <c r="CI1017" s="30"/>
      <c r="CJ1017" s="30"/>
      <c r="CK1017" s="30"/>
      <c r="CL1017" s="30"/>
      <c r="CM1017" s="30"/>
      <c r="CN1017" s="30"/>
      <c r="CO1017" s="30"/>
      <c r="CP1017" s="30"/>
      <c r="CQ1017" s="30"/>
      <c r="CR1017" s="1"/>
      <c r="CS1017" s="1"/>
      <c r="CT1017" s="1"/>
      <c r="CU1017" s="1"/>
    </row>
    <row r="1018" spans="1:99" s="13" customFormat="1" ht="12" customHeight="1" x14ac:dyDescent="0.2">
      <c r="A1018" s="68">
        <v>43897</v>
      </c>
      <c r="B1018" s="67"/>
      <c r="C1018" s="67"/>
      <c r="D1018" s="86"/>
      <c r="E1018" s="87"/>
      <c r="F1018" s="69"/>
      <c r="G1018" s="69"/>
      <c r="H1018" s="69"/>
      <c r="I1018" s="69"/>
      <c r="J1018" s="69"/>
      <c r="K1018" s="107"/>
      <c r="L1018" s="107"/>
      <c r="M1018" s="69"/>
      <c r="N1018" s="69"/>
      <c r="O1018" s="69"/>
      <c r="P1018" s="69"/>
      <c r="Q1018" s="69"/>
      <c r="R1018" s="69"/>
      <c r="S1018" s="69"/>
      <c r="T1018" s="69"/>
      <c r="U1018" s="69"/>
      <c r="V1018" s="69"/>
      <c r="W1018" s="69"/>
      <c r="X1018" s="69"/>
      <c r="Y1018" s="87"/>
      <c r="Z1018" s="69"/>
      <c r="AA1018" s="69"/>
      <c r="AB1018" s="69"/>
      <c r="AC1018" s="72"/>
      <c r="AD1018" s="69"/>
      <c r="AE1018" s="69"/>
      <c r="AF1018" s="88"/>
      <c r="AG1018" s="72"/>
      <c r="AH1018" s="4"/>
      <c r="AI1018" s="72"/>
      <c r="AJ1018" s="110"/>
      <c r="AK1018" s="72"/>
      <c r="AL1018" s="72"/>
      <c r="AM1018" s="72"/>
      <c r="AN1018" s="72"/>
      <c r="AO1018" s="72"/>
      <c r="AP1018" s="72"/>
      <c r="AQ1018" s="72"/>
      <c r="AR1018" s="110"/>
      <c r="AS1018" s="72"/>
      <c r="AT1018" s="72"/>
      <c r="AU1018" s="5"/>
      <c r="AV1018" s="71">
        <v>157680000</v>
      </c>
      <c r="AW1018" s="71">
        <v>473040000</v>
      </c>
      <c r="AX1018" s="71">
        <v>788400000</v>
      </c>
      <c r="AY1018" s="73"/>
      <c r="AZ1018" s="46"/>
      <c r="BA1018" s="42"/>
      <c r="BB1018" s="42"/>
      <c r="BC1018" s="30"/>
      <c r="BD1018" s="30"/>
      <c r="BE1018" s="30"/>
      <c r="BF1018" s="30"/>
      <c r="BG1018" s="30"/>
      <c r="BH1018" s="30"/>
      <c r="BI1018" s="30"/>
      <c r="BJ1018" s="30"/>
      <c r="BK1018" s="30"/>
      <c r="BL1018" s="30"/>
      <c r="BM1018" s="30"/>
      <c r="BN1018" s="30"/>
      <c r="BO1018" s="30"/>
      <c r="BP1018" s="30"/>
      <c r="BQ1018" s="30"/>
      <c r="BR1018" s="30"/>
      <c r="BS1018" s="30"/>
      <c r="BT1018" s="30"/>
      <c r="BU1018" s="30"/>
      <c r="BV1018" s="30"/>
      <c r="BW1018" s="30"/>
      <c r="BX1018" s="30"/>
      <c r="BY1018" s="30"/>
      <c r="BZ1018" s="30"/>
      <c r="CA1018" s="30"/>
      <c r="CB1018" s="30"/>
      <c r="CC1018" s="30"/>
      <c r="CD1018" s="30"/>
      <c r="CE1018" s="30"/>
      <c r="CF1018" s="30"/>
      <c r="CG1018" s="30"/>
      <c r="CH1018" s="30"/>
      <c r="CI1018" s="30"/>
      <c r="CJ1018" s="30"/>
      <c r="CK1018" s="30"/>
      <c r="CL1018" s="30"/>
      <c r="CM1018" s="30"/>
      <c r="CN1018" s="30"/>
      <c r="CO1018" s="30"/>
      <c r="CP1018" s="30"/>
      <c r="CQ1018" s="30"/>
      <c r="CR1018" s="1"/>
      <c r="CS1018" s="1"/>
      <c r="CT1018" s="1"/>
      <c r="CU1018" s="1"/>
    </row>
    <row r="1019" spans="1:99" s="13" customFormat="1" ht="12" customHeight="1" x14ac:dyDescent="0.2">
      <c r="A1019" s="68">
        <v>43897</v>
      </c>
      <c r="B1019" s="70" t="s">
        <v>400</v>
      </c>
      <c r="C1019" s="70" t="s">
        <v>401</v>
      </c>
      <c r="D1019" s="69">
        <v>1998</v>
      </c>
      <c r="E1019" s="106">
        <v>1</v>
      </c>
      <c r="F1019" s="69">
        <v>9</v>
      </c>
      <c r="G1019" s="69">
        <v>9</v>
      </c>
      <c r="H1019" s="69" t="s">
        <v>32</v>
      </c>
      <c r="I1019" s="69" t="s">
        <v>330</v>
      </c>
      <c r="J1019" s="69" t="s">
        <v>367</v>
      </c>
      <c r="K1019" s="69">
        <f>IF(J1019="syllables",1,IF(J1019="trigrams",2,IF(J1019="strings",3,IF(J1019="visual array",4,IF(J1019="characters",5,IF(J1019="letters",6,IF(J1019="free forms",7,IF(J1019="odors",8,IF(J1019="words",9,IF(J1019="pictures",10,IF(J1019="object pictures",11,IF(J1019="faces",12,IF(J1019="names",13,IF(J1019="idioms",14,IF(J1019="grades",15,IF(J1019="syllable-digit pairs",16,IF(J1019="trigram-word pairs",17,IF(J1019="word-digit pairs",18,IF(J1019="English-Swahili pairs",19,IF(J1019="spatial position",20,IF(J1019="word pairs",21,IF(J1019="word triads",22,IF(J1019="generated words",23,IF(J1019="word definition pairs",24,IF(J1019="math problems",25,IF(J1019="famous faces",26,IF(J1019="famous names",27,IF(J1019="famous voices",28,IF(J1019="television programs",29,IF(J1019="race horses",30,IF(J1019="new vocabulary",31,IF(J1019="sentences",32,IF(J1019="concepts",33,IF(J1019="ad slides",34,IF(J1019="scenes",35,IF(J1019="famous scenes",36,IF(J1019="poems",37,IF(J1019="walk",38,IF(J1019="faces and events",39,IF(J1019="events and names",40,IF(J1019="flashbulb",41,IF(J1019="stories",42,IF(J1019="course material",43,IF(J1019="autobiographical",44,IF(J1019="novels",45,IF(J1019="public events",46,"99"))))))))))))))))))))))))))))))))))))))))))))))</f>
        <v>27</v>
      </c>
      <c r="L1019" s="69">
        <f>IF(J1019="syllables",1,IF(J1019="trigrams",1,IF(J1019="strings",1,IF(J1019="visual array",1,IF(J1019="characters",1,IF(J1019="letters",1,IF(J1019="free forms",1,IF(J1019="odors",2,IF(J1019="words",2,IF(J1019="pictures",2,IF(J1019="object pictures",2,IF(J1019="faces",2,IF(J1019="names",2,IF(J1019="idioms","2",IF(J1019="grades",2,IF(J1019="syllable-digit pairs",3,IF(J1019="trigram-word pairs",3,IF(J1019="word-digit pairs",3,IF(J1019="English-Swahili pairs",3,IF(J1019="spatial position",3,IF(J1019="word pairs",4,IF(J1019="word triads",4,IF(J1019="generated words",4,IF(J1019="word definition pairs",4,IF(J1019="math problems",4,IF(J1019="famous faces",4,IF(J1019="famous names",4,IF(J1019="famous voices",4,IF(J1019="television programs",4,IF(J1019="race horses",4,IF(J1019="new vocabulary",4,IF(J1019="sentences",5,IF(J1019="concepts",5,IF(J1019="ad slides",5,IF(J1019="scenes",5,IF(J1019="famous scenes",5,IF(J1019="poems",6,IF(J1019="walk",6,IF(J1019="faces and events",6,IF(J1019="events and names",6,IF(J1019="flashbulb",7,IF(J1019="stories",7,IF(J1019="course material",7,IF(J1019="autobiographical",7,IF(J1019="novels",7,IF(J1019="public events",7,"99"))))))))))))))))))))))))))))))))))))))))))))))</f>
        <v>4</v>
      </c>
      <c r="M1019" s="99">
        <v>1</v>
      </c>
      <c r="N1019" s="69">
        <v>3</v>
      </c>
      <c r="O1019" s="99">
        <v>0</v>
      </c>
      <c r="P1019" s="69"/>
      <c r="Q1019" s="69" t="s">
        <v>182</v>
      </c>
      <c r="R1019" s="69">
        <f>IF(Q1019="Free Recall",1,IF(Q1019="Cued Recall",2,IF(Q1019="Recognition",3,IF(Q1019="Multiple Choice",4,IF(Q1019="Savings",5,IF(Q1019="Stem Completion",6,IF(Q1019="Fragment Completion",7,IF(Q1019="anagram solution",8,IF(Q1019="Matching",9,IF(Q1019="Problem Solving",10,"99"))))))))))</f>
        <v>4</v>
      </c>
      <c r="S1019" s="69" t="s">
        <v>15</v>
      </c>
      <c r="T1019" s="92" t="s">
        <v>581</v>
      </c>
      <c r="U1019" s="69">
        <f>IF(T1019="within",1,0)</f>
        <v>1</v>
      </c>
      <c r="V1019" s="92">
        <v>70</v>
      </c>
      <c r="W1019" s="69">
        <f>F1019*V1019</f>
        <v>630</v>
      </c>
      <c r="X1019" s="69">
        <v>3</v>
      </c>
      <c r="Y1019" s="87">
        <f>AV1018</f>
        <v>157680000</v>
      </c>
      <c r="Z1019" s="92" t="s">
        <v>428</v>
      </c>
      <c r="AA1019" s="69">
        <f>25*365*24*60*60</f>
        <v>788400000</v>
      </c>
      <c r="AB1019" s="69" t="str">
        <f>IF(AA1019&lt;60,"1",IF(AA1019&lt;=43200,"2",IF(AA1019&lt;=777600,"3","4")))</f>
        <v>4</v>
      </c>
      <c r="AC1019" s="72">
        <f>AVERAGE(AV1018:DA1018)</f>
        <v>473040000</v>
      </c>
      <c r="AD1019" s="69" t="str">
        <f>IF(AC1019&lt;60,"1",IF(AC1019&lt;=43200,"2",IF(AC1019&lt;=777600,"3","4")))</f>
        <v>4</v>
      </c>
      <c r="AE1019" s="87">
        <f>AA1019-Y1019</f>
        <v>630720000</v>
      </c>
      <c r="AF1019" s="88">
        <f>AV1019</f>
        <v>0.98039215686274506</v>
      </c>
      <c r="AG1019" s="72">
        <f>((AW1019-AV1019)+(AX1019-AW1019))/2</f>
        <v>-5.3475935828876664E-3</v>
      </c>
      <c r="AH1019" s="4"/>
      <c r="AI1019" s="72">
        <f>RSQ(AV1019:AX1019,AV1018:AX1018)</f>
        <v>0.74999999999999989</v>
      </c>
      <c r="AJ1019" s="110">
        <f>SLOPE(AV1019:AX1019,AV1018:AX1018)</f>
        <v>-1.6957108012708224E-11</v>
      </c>
      <c r="AK1019" s="72">
        <f>INTERCEPT(AV1019:AX1019,AV1018:AX1018)</f>
        <v>0.98484848484848486</v>
      </c>
      <c r="AL1019" s="72">
        <f>INDEX(LINEST(LN(AV1019:AX1019),LN(AV1018:AX1018),TRUE,TRUE),3,1)</f>
        <v>0.55388315157390289</v>
      </c>
      <c r="AM1019" s="72">
        <f>INDEX(LINEST(LN(AV1019:AX1019),LN(AV1018:AX1018)),1)</f>
        <v>-5.7309495367118589E-3</v>
      </c>
      <c r="AN1019" s="72">
        <f>EXP(INDEX(LINEST(LN(AV1019:AX1019),LN(AV1018:AX1018)),1,2))</f>
        <v>1.0940562436175381</v>
      </c>
      <c r="AO1019" s="89">
        <f>INDEX(LINEST((AV1019:AX1019),LN(AV1018:AX1018),TRUE,TRUE),3,1)</f>
        <v>0.55388315157390278</v>
      </c>
      <c r="AP1019" s="89">
        <f>INDEX(LINEST((AV1019:AX1019),LN(AV1018:AX1018)),1)</f>
        <v>-5.5878751607162051E-3</v>
      </c>
      <c r="AQ1019" s="90">
        <f>INDEX(LINEST(LN(AV1019:AX1019),SQRT(AV1018:AX1018),TRUE,TRUE),3,1)</f>
        <v>0.65318446129403118</v>
      </c>
      <c r="AR1019" s="117">
        <f>INDEX(LINEST(LN(AV1019:AX1019),SQRT((AV1018:AX1018))),1)</f>
        <v>-6.5580589040447953E-7</v>
      </c>
      <c r="AS1019" s="91">
        <f>INDEX(LINEST(1/(AV1019:AX1019),1/(SQRT(AV1018:AX1018)),TRUE,TRUE),3,1)</f>
        <v>0.4653219192551204</v>
      </c>
      <c r="AT1019" s="91">
        <f>INDEX(LINEST(1/(AV1019:AX1019),1/SQRT(AV1018:AX1018)),1)</f>
        <v>-192.50966810282424</v>
      </c>
      <c r="AU1019" s="3"/>
      <c r="AV1019" s="73">
        <v>0.98039215686274506</v>
      </c>
      <c r="AW1019" s="73">
        <v>0.98039215686274506</v>
      </c>
      <c r="AX1019" s="73">
        <v>0.96969696969696972</v>
      </c>
      <c r="AY1019" s="73"/>
      <c r="AZ1019" s="46"/>
      <c r="BA1019" s="42"/>
      <c r="BB1019" s="42"/>
      <c r="BC1019" s="30"/>
      <c r="BD1019" s="30"/>
      <c r="BE1019" s="30"/>
      <c r="BF1019" s="30"/>
      <c r="BG1019" s="30"/>
      <c r="BH1019" s="30"/>
      <c r="BI1019" s="30"/>
      <c r="BJ1019" s="30"/>
      <c r="BK1019" s="30"/>
      <c r="BL1019" s="30"/>
      <c r="BM1019" s="30"/>
      <c r="BN1019" s="30"/>
      <c r="BO1019" s="30"/>
      <c r="BP1019" s="30"/>
      <c r="BQ1019" s="30"/>
      <c r="BR1019" s="30"/>
      <c r="BS1019" s="30"/>
      <c r="BT1019" s="30"/>
      <c r="BU1019" s="30"/>
      <c r="BV1019" s="30"/>
      <c r="BW1019" s="30"/>
      <c r="BX1019" s="30"/>
      <c r="BY1019" s="30"/>
      <c r="BZ1019" s="30"/>
      <c r="CA1019" s="30"/>
      <c r="CB1019" s="30"/>
      <c r="CC1019" s="30"/>
      <c r="CD1019" s="30"/>
      <c r="CE1019" s="30"/>
      <c r="CF1019" s="30"/>
      <c r="CG1019" s="30"/>
      <c r="CH1019" s="30"/>
      <c r="CI1019" s="30"/>
      <c r="CJ1019" s="30"/>
      <c r="CK1019" s="30"/>
      <c r="CL1019" s="30"/>
      <c r="CM1019" s="30"/>
      <c r="CN1019" s="30"/>
      <c r="CO1019" s="30"/>
      <c r="CP1019" s="30"/>
      <c r="CQ1019" s="30"/>
      <c r="CR1019" s="1"/>
      <c r="CS1019" s="1"/>
      <c r="CT1019" s="1"/>
      <c r="CU1019" s="1"/>
    </row>
    <row r="1020" spans="1:99" s="13" customFormat="1" ht="12" customHeight="1" x14ac:dyDescent="0.2">
      <c r="A1020" s="68">
        <v>43897</v>
      </c>
      <c r="B1020" s="67"/>
      <c r="C1020" s="67"/>
      <c r="D1020" s="86"/>
      <c r="E1020" s="87"/>
      <c r="F1020" s="69"/>
      <c r="G1020" s="69"/>
      <c r="H1020" s="69"/>
      <c r="I1020" s="69"/>
      <c r="J1020" s="69"/>
      <c r="K1020" s="107"/>
      <c r="L1020" s="107"/>
      <c r="M1020" s="69"/>
      <c r="N1020" s="69"/>
      <c r="O1020" s="69"/>
      <c r="P1020" s="69"/>
      <c r="Q1020" s="69"/>
      <c r="R1020" s="69"/>
      <c r="S1020" s="69"/>
      <c r="T1020" s="69"/>
      <c r="U1020" s="69"/>
      <c r="V1020" s="69"/>
      <c r="W1020" s="69"/>
      <c r="X1020" s="69"/>
      <c r="Y1020" s="87"/>
      <c r="Z1020" s="69"/>
      <c r="AA1020" s="69"/>
      <c r="AB1020" s="69"/>
      <c r="AC1020" s="72"/>
      <c r="AD1020" s="69"/>
      <c r="AE1020" s="69"/>
      <c r="AF1020" s="88"/>
      <c r="AG1020" s="72"/>
      <c r="AH1020" s="4"/>
      <c r="AI1020" s="72"/>
      <c r="AJ1020" s="110"/>
      <c r="AK1020" s="72"/>
      <c r="AL1020" s="72"/>
      <c r="AM1020" s="72"/>
      <c r="AN1020" s="72"/>
      <c r="AO1020" s="89"/>
      <c r="AP1020" s="89"/>
      <c r="AQ1020" s="90"/>
      <c r="AR1020" s="117"/>
      <c r="AS1020" s="91"/>
      <c r="AT1020" s="91"/>
      <c r="AU1020" s="3"/>
      <c r="AV1020" s="71">
        <v>157680000</v>
      </c>
      <c r="AW1020" s="71">
        <v>473040000</v>
      </c>
      <c r="AX1020" s="71">
        <v>788400000</v>
      </c>
      <c r="AY1020" s="71">
        <v>1103760000</v>
      </c>
      <c r="AZ1020" s="46"/>
      <c r="BA1020" s="42"/>
      <c r="BB1020" s="42"/>
      <c r="BC1020" s="30"/>
      <c r="BD1020" s="30"/>
      <c r="BE1020" s="30"/>
      <c r="BF1020" s="30"/>
      <c r="BG1020" s="30"/>
      <c r="BH1020" s="30"/>
      <c r="BI1020" s="30"/>
      <c r="BJ1020" s="30"/>
      <c r="BK1020" s="30"/>
      <c r="BL1020" s="30"/>
      <c r="BM1020" s="30"/>
      <c r="BN1020" s="30"/>
      <c r="BO1020" s="30"/>
      <c r="BP1020" s="30"/>
      <c r="BQ1020" s="30"/>
      <c r="BR1020" s="30"/>
      <c r="BS1020" s="30"/>
      <c r="BT1020" s="30"/>
      <c r="BU1020" s="30"/>
      <c r="BV1020" s="30"/>
      <c r="BW1020" s="30"/>
      <c r="BX1020" s="30"/>
      <c r="BY1020" s="30"/>
      <c r="BZ1020" s="30"/>
      <c r="CA1020" s="30"/>
      <c r="CB1020" s="30"/>
      <c r="CC1020" s="30"/>
      <c r="CD1020" s="30"/>
      <c r="CE1020" s="30"/>
      <c r="CF1020" s="30"/>
      <c r="CG1020" s="30"/>
      <c r="CH1020" s="30"/>
      <c r="CI1020" s="30"/>
      <c r="CJ1020" s="30"/>
      <c r="CK1020" s="30"/>
      <c r="CL1020" s="30"/>
      <c r="CM1020" s="30"/>
      <c r="CN1020" s="30"/>
      <c r="CO1020" s="30"/>
      <c r="CP1020" s="30"/>
      <c r="CQ1020" s="30"/>
      <c r="CR1020" s="1"/>
      <c r="CS1020" s="1"/>
      <c r="CT1020" s="1"/>
      <c r="CU1020" s="1"/>
    </row>
    <row r="1021" spans="1:99" s="13" customFormat="1" ht="12" customHeight="1" x14ac:dyDescent="0.2">
      <c r="A1021" s="68">
        <v>43897</v>
      </c>
      <c r="B1021" s="70" t="s">
        <v>400</v>
      </c>
      <c r="C1021" s="70" t="s">
        <v>401</v>
      </c>
      <c r="D1021" s="69">
        <v>1998</v>
      </c>
      <c r="E1021" s="106">
        <v>2</v>
      </c>
      <c r="F1021" s="69">
        <v>4</v>
      </c>
      <c r="G1021" s="69">
        <v>4</v>
      </c>
      <c r="H1021" s="69" t="s">
        <v>44</v>
      </c>
      <c r="I1021" s="69" t="s">
        <v>330</v>
      </c>
      <c r="J1021" s="69" t="s">
        <v>760</v>
      </c>
      <c r="K1021" s="69">
        <f>IF(J1021="syllables",1,IF(J1021="trigrams",2,IF(J1021="strings",3,IF(J1021="visual array",4,IF(J1021="characters",5,IF(J1021="letters",6,IF(J1021="free forms",7,IF(J1021="odors",8,IF(J1021="words",9,IF(J1021="pictures",10,IF(J1021="object pictures",11,IF(J1021="faces",12,IF(J1021="names",13,IF(J1021="idioms",14,IF(J1021="grades",15,IF(J1021="syllable-digit pairs",16,IF(J1021="trigram-word pairs",17,IF(J1021="word-digit pairs",18,IF(J1021="English-Swahili pairs",19,IF(J1021="spatial position",20,IF(J1021="word pairs",21,IF(J1021="word triads",22,IF(J1021="generated words",23,IF(J1021="word definition pairs",24,IF(J1021="math problems",25,IF(J1021="famous faces",26,IF(J1021="famous names",27,IF(J1021="famous voices",28,IF(J1021="television programs",29,IF(J1021="race horses",30,IF(J1021="new vocabulary",31,IF(J1021="sentences",32,IF(J1021="concepts",33,IF(J1021="ad slides",34,IF(J1021="scenes",35,IF(J1021="famous scenes",36,IF(J1021="poems",37,IF(J1021="walk",38,IF(J1021="faces and events",39,IF(J1021="events and names",40,IF(J1021="flashbulb",41,IF(J1021="stories",42,IF(J1021="course material",43,IF(J1021="autobiographical",44,IF(J1021="novels",45,IF(J1021="public events",46,"99"))))))))))))))))))))))))))))))))))))))))))))))</f>
        <v>31</v>
      </c>
      <c r="L1021" s="69">
        <f>IF(J1021="syllables",1,IF(J1021="trigrams",1,IF(J1021="strings",1,IF(J1021="visual array",1,IF(J1021="characters",1,IF(J1021="letters",1,IF(J1021="free forms",1,IF(J1021="odors",2,IF(J1021="words",2,IF(J1021="pictures",2,IF(J1021="object pictures",2,IF(J1021="faces",2,IF(J1021="names",2,IF(J1021="idioms","2",IF(J1021="grades",2,IF(J1021="syllable-digit pairs",3,IF(J1021="trigram-word pairs",3,IF(J1021="word-digit pairs",3,IF(J1021="English-Swahili pairs",3,IF(J1021="spatial position",3,IF(J1021="word pairs",4,IF(J1021="word triads",4,IF(J1021="generated words",4,IF(J1021="word definition pairs",4,IF(J1021="math problems",4,IF(J1021="famous faces",4,IF(J1021="famous names",4,IF(J1021="famous voices",4,IF(J1021="television programs",4,IF(J1021="race horses",4,IF(J1021="new vocabulary",4,IF(J1021="sentences",5,IF(J1021="concepts",5,IF(J1021="ad slides",5,IF(J1021="scenes",5,IF(J1021="famous scenes",5,IF(J1021="poems",6,IF(J1021="walk",6,IF(J1021="faces and events",6,IF(J1021="events and names",6,IF(J1021="flashbulb",7,IF(J1021="stories",7,IF(J1021="course material",7,IF(J1021="autobiographical",7,IF(J1021="novels",7,IF(J1021="public events",7,"99"))))))))))))))))))))))))))))))))))))))))))))))</f>
        <v>4</v>
      </c>
      <c r="M1021" s="99">
        <v>1</v>
      </c>
      <c r="N1021" s="69">
        <v>3</v>
      </c>
      <c r="O1021" s="99">
        <v>0</v>
      </c>
      <c r="P1021" s="69"/>
      <c r="Q1021" s="69" t="s">
        <v>174</v>
      </c>
      <c r="R1021" s="69">
        <f>IF(Q1021="Free Recall",1,IF(Q1021="Cued Recall",2,IF(Q1021="Recognition",3,IF(Q1021="Multiple Choice",4,IF(Q1021="Savings",5,IF(Q1021="Stem Completion",6,IF(Q1021="Fragment Completion",7,IF(Q1021="anagram solution",8,IF(Q1021="Matching",9,IF(Q1021="Problem Solving",10,"99"))))))))))</f>
        <v>1</v>
      </c>
      <c r="S1021" s="69" t="s">
        <v>49</v>
      </c>
      <c r="T1021" s="92" t="s">
        <v>581</v>
      </c>
      <c r="U1021" s="69">
        <f>IF(T1021="within",1,0)</f>
        <v>1</v>
      </c>
      <c r="V1021" s="92">
        <v>82</v>
      </c>
      <c r="W1021" s="69">
        <f>F1021*V1021</f>
        <v>328</v>
      </c>
      <c r="X1021" s="69">
        <v>4</v>
      </c>
      <c r="Y1021" s="87">
        <f>AV1020</f>
        <v>157680000</v>
      </c>
      <c r="Z1021" s="92" t="s">
        <v>375</v>
      </c>
      <c r="AA1021" s="69">
        <f>35*365*24*60*60</f>
        <v>1103760000</v>
      </c>
      <c r="AB1021" s="69" t="str">
        <f>IF(AA1021&lt;60,"1",IF(AA1021&lt;=43200,"2",IF(AA1021&lt;=777600,"3","4")))</f>
        <v>4</v>
      </c>
      <c r="AC1021" s="72">
        <f>AVERAGE(AV1020:DA1020)</f>
        <v>630720000</v>
      </c>
      <c r="AD1021" s="69" t="str">
        <f>IF(AC1021&lt;60,"1",IF(AC1021&lt;=43200,"2",IF(AC1021&lt;=777600,"3","4")))</f>
        <v>4</v>
      </c>
      <c r="AE1021" s="87">
        <f>AA1021-Y1021</f>
        <v>946080000</v>
      </c>
      <c r="AF1021" s="88">
        <f>AV1021</f>
        <v>0.75</v>
      </c>
      <c r="AG1021" s="72">
        <f>((AW1021-AV1021)+(AX1021-AW1021)+(AY1021-AX1021))/3</f>
        <v>1.0869565217391278E-2</v>
      </c>
      <c r="AH1021" s="4"/>
      <c r="AI1021" s="72">
        <f>RSQ(AV1021:AY1021,AV1020:AY1020)</f>
        <v>0.15263728065907645</v>
      </c>
      <c r="AJ1021" s="110">
        <f>SLOPE(AV1021:AY1021,AV1020:AY1020)</f>
        <v>3.5824962616703692E-11</v>
      </c>
      <c r="AK1021" s="72">
        <f>INTERCEPT(AV1021:AY1021,AV1020:AY1020)</f>
        <v>0.77343544137022391</v>
      </c>
      <c r="AL1021" s="72">
        <f>INDEX(LINEST(LN(AV1021:AY1021),LN(AV1020:AY1020),TRUE,TRUE),3,1)</f>
        <v>0.38422800152244496</v>
      </c>
      <c r="AM1021" s="72">
        <f>INDEX(LINEST(LN(AV1021:AY1021),LN(AV1020:AY1020)),1)</f>
        <v>3.4412518015923217E-2</v>
      </c>
      <c r="AN1021" s="72">
        <f>EXP(INDEX(LINEST(LN(AV1021:AY1021),LN(AV1020:AY1020)),1,2))</f>
        <v>0.39909284252491306</v>
      </c>
      <c r="AO1021" s="89">
        <f>INDEX(LINEST((AV1021:AY1021),LN(AV1020:AY1020),TRUE,TRUE),3,1)</f>
        <v>0.3741813743903129</v>
      </c>
      <c r="AP1021" s="89">
        <f>INDEX(LINEST((AV1021:AY1021),LN(AV1020:AY1020)),1)</f>
        <v>2.6857245102311487E-2</v>
      </c>
      <c r="AQ1021" s="90">
        <f>INDEX(LINEST(LN(AV1021:AY1021),SQRT(AV1020:AY1020),TRUE,TRUE),3,1)</f>
        <v>0.26547281720565097</v>
      </c>
      <c r="AR1021" s="117">
        <f>INDEX(LINEST(LN(AV1021:AY1021),SQRT((AV1020:AY1020))),1)</f>
        <v>2.7326142640914406E-6</v>
      </c>
      <c r="AS1021" s="91">
        <f>INDEX(LINEST(1/(AV1021:AY1021),1/(SQRT(AV1020:AY1020)),TRUE,TRUE),3,1)</f>
        <v>0.50222540642430979</v>
      </c>
      <c r="AT1021" s="91">
        <f>INDEX(LINEST(1/(AV1021:AY1021),1/SQRT(AV1020:AY1020)),1)</f>
        <v>1907.250024526815</v>
      </c>
      <c r="AU1021" s="3"/>
      <c r="AV1021" s="95">
        <v>0.75</v>
      </c>
      <c r="AW1021" s="95">
        <v>0.81818181818181812</v>
      </c>
      <c r="AX1021" s="95">
        <v>0.83333333333333337</v>
      </c>
      <c r="AY1021" s="95">
        <v>0.78260869565217384</v>
      </c>
      <c r="AZ1021" s="46"/>
      <c r="BA1021" s="42"/>
      <c r="BB1021" s="42"/>
      <c r="BC1021" s="30"/>
      <c r="BD1021" s="30"/>
      <c r="BE1021" s="30"/>
      <c r="BF1021" s="30"/>
      <c r="BG1021" s="30"/>
      <c r="BH1021" s="30"/>
      <c r="BI1021" s="30"/>
      <c r="BJ1021" s="30"/>
      <c r="BK1021" s="30"/>
      <c r="BL1021" s="30"/>
      <c r="BM1021" s="30"/>
      <c r="BN1021" s="30"/>
      <c r="BO1021" s="30"/>
      <c r="BP1021" s="30"/>
      <c r="BQ1021" s="30"/>
      <c r="BR1021" s="30"/>
      <c r="BS1021" s="30"/>
      <c r="BT1021" s="30"/>
      <c r="BU1021" s="30"/>
      <c r="BV1021" s="30"/>
      <c r="BW1021" s="30"/>
      <c r="BX1021" s="30"/>
      <c r="BY1021" s="30"/>
      <c r="BZ1021" s="30"/>
      <c r="CA1021" s="30"/>
      <c r="CB1021" s="30"/>
      <c r="CC1021" s="30"/>
      <c r="CD1021" s="30"/>
      <c r="CE1021" s="30"/>
      <c r="CF1021" s="30"/>
      <c r="CG1021" s="30"/>
      <c r="CH1021" s="30"/>
      <c r="CI1021" s="30"/>
      <c r="CJ1021" s="30"/>
      <c r="CK1021" s="30"/>
      <c r="CL1021" s="30"/>
      <c r="CM1021" s="30"/>
      <c r="CN1021" s="30"/>
      <c r="CO1021" s="30"/>
      <c r="CP1021" s="30"/>
      <c r="CQ1021" s="30"/>
      <c r="CR1021" s="1"/>
      <c r="CS1021" s="1"/>
      <c r="CT1021" s="1"/>
      <c r="CU1021" s="1"/>
    </row>
    <row r="1022" spans="1:99" s="13" customFormat="1" ht="12" customHeight="1" x14ac:dyDescent="0.2">
      <c r="A1022" s="68">
        <v>43897</v>
      </c>
      <c r="B1022" s="67"/>
      <c r="C1022" s="67"/>
      <c r="D1022" s="86"/>
      <c r="E1022" s="87"/>
      <c r="F1022" s="69"/>
      <c r="G1022" s="69"/>
      <c r="H1022" s="69"/>
      <c r="I1022" s="69"/>
      <c r="J1022" s="69"/>
      <c r="K1022" s="107"/>
      <c r="L1022" s="107"/>
      <c r="M1022" s="69"/>
      <c r="N1022" s="69"/>
      <c r="O1022" s="69"/>
      <c r="P1022" s="69"/>
      <c r="Q1022" s="69"/>
      <c r="R1022" s="69"/>
      <c r="S1022" s="69"/>
      <c r="T1022" s="69"/>
      <c r="U1022" s="69"/>
      <c r="V1022" s="69"/>
      <c r="W1022" s="69"/>
      <c r="X1022" s="69"/>
      <c r="Y1022" s="87"/>
      <c r="Z1022" s="69"/>
      <c r="AA1022" s="69"/>
      <c r="AB1022" s="69"/>
      <c r="AC1022" s="72"/>
      <c r="AD1022" s="69"/>
      <c r="AE1022" s="69"/>
      <c r="AF1022" s="88"/>
      <c r="AG1022" s="72"/>
      <c r="AH1022" s="4"/>
      <c r="AI1022" s="72"/>
      <c r="AJ1022" s="110"/>
      <c r="AK1022" s="72"/>
      <c r="AL1022" s="72"/>
      <c r="AM1022" s="72"/>
      <c r="AN1022" s="72"/>
      <c r="AO1022" s="89"/>
      <c r="AP1022" s="89"/>
      <c r="AQ1022" s="90"/>
      <c r="AR1022" s="117"/>
      <c r="AS1022" s="91"/>
      <c r="AT1022" s="91"/>
      <c r="AU1022" s="3"/>
      <c r="AV1022" s="71">
        <v>157680000</v>
      </c>
      <c r="AW1022" s="71">
        <v>473040000</v>
      </c>
      <c r="AX1022" s="71">
        <v>788400000</v>
      </c>
      <c r="AY1022" s="71">
        <v>1103760000</v>
      </c>
      <c r="AZ1022" s="46"/>
      <c r="BA1022" s="42"/>
      <c r="BB1022" s="42"/>
      <c r="BC1022" s="30"/>
      <c r="BD1022" s="30"/>
      <c r="BE1022" s="30"/>
      <c r="BF1022" s="30"/>
      <c r="BG1022" s="30"/>
      <c r="BH1022" s="30"/>
      <c r="BI1022" s="30"/>
      <c r="BJ1022" s="30"/>
      <c r="BK1022" s="30"/>
      <c r="BL1022" s="30"/>
      <c r="BM1022" s="30"/>
      <c r="BN1022" s="30"/>
      <c r="BO1022" s="30"/>
      <c r="BP1022" s="30"/>
      <c r="BQ1022" s="30"/>
      <c r="BR1022" s="30"/>
      <c r="BS1022" s="30"/>
      <c r="BT1022" s="30"/>
      <c r="BU1022" s="30"/>
      <c r="BV1022" s="30"/>
      <c r="BW1022" s="30"/>
      <c r="BX1022" s="30"/>
      <c r="BY1022" s="30"/>
      <c r="BZ1022" s="30"/>
      <c r="CA1022" s="30"/>
      <c r="CB1022" s="30"/>
      <c r="CC1022" s="30"/>
      <c r="CD1022" s="30"/>
      <c r="CE1022" s="30"/>
      <c r="CF1022" s="30"/>
      <c r="CG1022" s="30"/>
      <c r="CH1022" s="30"/>
      <c r="CI1022" s="30"/>
      <c r="CJ1022" s="30"/>
      <c r="CK1022" s="30"/>
      <c r="CL1022" s="30"/>
      <c r="CM1022" s="30"/>
      <c r="CN1022" s="30"/>
      <c r="CO1022" s="30"/>
      <c r="CP1022" s="30"/>
      <c r="CQ1022" s="30"/>
      <c r="CR1022" s="1"/>
      <c r="CS1022" s="1"/>
      <c r="CT1022" s="1"/>
      <c r="CU1022" s="1"/>
    </row>
    <row r="1023" spans="1:99" s="13" customFormat="1" ht="12" customHeight="1" x14ac:dyDescent="0.2">
      <c r="A1023" s="68">
        <v>43897</v>
      </c>
      <c r="B1023" s="70" t="s">
        <v>400</v>
      </c>
      <c r="C1023" s="70" t="s">
        <v>401</v>
      </c>
      <c r="D1023" s="69">
        <v>1998</v>
      </c>
      <c r="E1023" s="106">
        <v>2</v>
      </c>
      <c r="F1023" s="69">
        <v>4</v>
      </c>
      <c r="G1023" s="69">
        <v>4</v>
      </c>
      <c r="H1023" s="69" t="s">
        <v>44</v>
      </c>
      <c r="I1023" s="69" t="s">
        <v>330</v>
      </c>
      <c r="J1023" s="69" t="s">
        <v>760</v>
      </c>
      <c r="K1023" s="69">
        <f>IF(J1023="syllables",1,IF(J1023="trigrams",2,IF(J1023="strings",3,IF(J1023="visual array",4,IF(J1023="characters",5,IF(J1023="letters",6,IF(J1023="free forms",7,IF(J1023="odors",8,IF(J1023="words",9,IF(J1023="pictures",10,IF(J1023="object pictures",11,IF(J1023="faces",12,IF(J1023="names",13,IF(J1023="idioms",14,IF(J1023="grades",15,IF(J1023="syllable-digit pairs",16,IF(J1023="trigram-word pairs",17,IF(J1023="word-digit pairs",18,IF(J1023="English-Swahili pairs",19,IF(J1023="spatial position",20,IF(J1023="word pairs",21,IF(J1023="word triads",22,IF(J1023="generated words",23,IF(J1023="word definition pairs",24,IF(J1023="math problems",25,IF(J1023="famous faces",26,IF(J1023="famous names",27,IF(J1023="famous voices",28,IF(J1023="television programs",29,IF(J1023="race horses",30,IF(J1023="new vocabulary",31,IF(J1023="sentences",32,IF(J1023="concepts",33,IF(J1023="ad slides",34,IF(J1023="scenes",35,IF(J1023="famous scenes",36,IF(J1023="poems",37,IF(J1023="walk",38,IF(J1023="faces and events",39,IF(J1023="events and names",40,IF(J1023="flashbulb",41,IF(J1023="stories",42,IF(J1023="course material",43,IF(J1023="autobiographical",44,IF(J1023="novels",45,IF(J1023="public events",46,"99"))))))))))))))))))))))))))))))))))))))))))))))</f>
        <v>31</v>
      </c>
      <c r="L1023" s="69">
        <f>IF(J1023="syllables",1,IF(J1023="trigrams",1,IF(J1023="strings",1,IF(J1023="visual array",1,IF(J1023="characters",1,IF(J1023="letters",1,IF(J1023="free forms",1,IF(J1023="odors",2,IF(J1023="words",2,IF(J1023="pictures",2,IF(J1023="object pictures",2,IF(J1023="faces",2,IF(J1023="names",2,IF(J1023="idioms","2",IF(J1023="grades",2,IF(J1023="syllable-digit pairs",3,IF(J1023="trigram-word pairs",3,IF(J1023="word-digit pairs",3,IF(J1023="English-Swahili pairs",3,IF(J1023="spatial position",3,IF(J1023="word pairs",4,IF(J1023="word triads",4,IF(J1023="generated words",4,IF(J1023="word definition pairs",4,IF(J1023="math problems",4,IF(J1023="famous faces",4,IF(J1023="famous names",4,IF(J1023="famous voices",4,IF(J1023="television programs",4,IF(J1023="race horses",4,IF(J1023="new vocabulary",4,IF(J1023="sentences",5,IF(J1023="concepts",5,IF(J1023="ad slides",5,IF(J1023="scenes",5,IF(J1023="famous scenes",5,IF(J1023="poems",6,IF(J1023="walk",6,IF(J1023="faces and events",6,IF(J1023="events and names",6,IF(J1023="flashbulb",7,IF(J1023="stories",7,IF(J1023="course material",7,IF(J1023="autobiographical",7,IF(J1023="novels",7,IF(J1023="public events",7,"99"))))))))))))))))))))))))))))))))))))))))))))))</f>
        <v>4</v>
      </c>
      <c r="M1023" s="99">
        <v>1</v>
      </c>
      <c r="N1023" s="69">
        <v>3</v>
      </c>
      <c r="O1023" s="99">
        <v>0</v>
      </c>
      <c r="P1023" s="69"/>
      <c r="Q1023" s="69" t="s">
        <v>182</v>
      </c>
      <c r="R1023" s="69">
        <f>IF(Q1023="Free Recall",1,IF(Q1023="Cued Recall",2,IF(Q1023="Recognition",3,IF(Q1023="Multiple Choice",4,IF(Q1023="Savings",5,IF(Q1023="Stem Completion",6,IF(Q1023="Fragment Completion",7,IF(Q1023="anagram solution",8,IF(Q1023="Matching",9,IF(Q1023="Problem Solving",10,"99"))))))))))</f>
        <v>4</v>
      </c>
      <c r="S1023" s="69" t="s">
        <v>15</v>
      </c>
      <c r="T1023" s="92" t="s">
        <v>581</v>
      </c>
      <c r="U1023" s="69">
        <f>IF(T1023="within",1,0)</f>
        <v>1</v>
      </c>
      <c r="V1023" s="92">
        <v>82</v>
      </c>
      <c r="W1023" s="69">
        <f>F1023*V1023</f>
        <v>328</v>
      </c>
      <c r="X1023" s="69">
        <v>4</v>
      </c>
      <c r="Y1023" s="87">
        <f>AV1022</f>
        <v>157680000</v>
      </c>
      <c r="Z1023" s="92" t="s">
        <v>375</v>
      </c>
      <c r="AA1023" s="69">
        <f>35*365*24*60*60</f>
        <v>1103760000</v>
      </c>
      <c r="AB1023" s="69" t="str">
        <f>IF(AA1023&lt;60,"1",IF(AA1023&lt;=43200,"2",IF(AA1023&lt;=777600,"3","4")))</f>
        <v>4</v>
      </c>
      <c r="AC1023" s="72">
        <f>AVERAGE(AV1022:DA1022)</f>
        <v>630720000</v>
      </c>
      <c r="AD1023" s="69" t="str">
        <f>IF(AC1023&lt;60,"1",IF(AC1023&lt;=43200,"2",IF(AC1023&lt;=777600,"3","4")))</f>
        <v>4</v>
      </c>
      <c r="AE1023" s="87">
        <f>AA1023-Y1023</f>
        <v>946080000</v>
      </c>
      <c r="AF1023" s="88">
        <f>AV1023</f>
        <v>0.96875</v>
      </c>
      <c r="AG1023" s="72">
        <f>((AW1023-AV1023)+(AX1023-AW1023)+(AY1023-AX1023))/3</f>
        <v>-6.4609704641350367E-3</v>
      </c>
      <c r="AH1023" s="4"/>
      <c r="AI1023" s="72">
        <f>RSQ(AV1023:AY1023,AV1022:AY1022)</f>
        <v>0.31154947873879185</v>
      </c>
      <c r="AJ1023" s="110">
        <f>SLOPE(AV1023:AY1023,AV1022:AY1022)</f>
        <v>-1.7558015093682641E-11</v>
      </c>
      <c r="AK1023" s="72">
        <f>INTERCEPT(AV1023:AY1023,AV1022:AY1022)</f>
        <v>0.97879790787623078</v>
      </c>
      <c r="AL1023" s="72">
        <f>INDEX(LINEST(LN(AV1023:AY1023),LN(AV1022:AY1022),TRUE,TRUE),3,1)</f>
        <v>0.12704596041746455</v>
      </c>
      <c r="AM1023" s="72">
        <f>INDEX(LINEST(LN(AV1023:AY1023),LN(AV1022:AY1022)),1)</f>
        <v>-5.5760152791762942E-3</v>
      </c>
      <c r="AN1023" s="72">
        <f>EXP(INDEX(LINEST(LN(AV1023:AY1023),LN(AV1022:AY1022)),1,2))</f>
        <v>1.0820594936535337</v>
      </c>
      <c r="AO1023" s="89">
        <f>INDEX(LINEST((AV1023:AY1023),LN(AV1022:AY1022),TRUE,TRUE),3,1)</f>
        <v>0.12489314042161019</v>
      </c>
      <c r="AP1023" s="89">
        <f>INDEX(LINEST((AV1023:AY1023),LN(AV1022:AY1022)),1)</f>
        <v>-5.3228734425137267E-3</v>
      </c>
      <c r="AQ1023" s="90">
        <f>INDEX(LINEST(LN(AV1023:AY1023),SQRT(AV1022:AY1022),TRUE,TRUE),3,1)</f>
        <v>0.21186875958438076</v>
      </c>
      <c r="AR1023" s="117">
        <f>INDEX(LINEST(LN(AV1023:AY1023),SQRT((AV1022:AY1022))),1)</f>
        <v>-6.8789688471268594E-7</v>
      </c>
      <c r="AS1023" s="91">
        <f>INDEX(LINEST(1/(AV1023:AY1023),1/(SQRT(AV1022:AY1022)),TRUE,TRUE),3,1)</f>
        <v>7.0881832868444877E-2</v>
      </c>
      <c r="AT1023" s="91">
        <f>INDEX(LINEST(1/(AV1023:AY1023),1/SQRT(AV1022:AY1022)),1)</f>
        <v>-165.69295152547929</v>
      </c>
      <c r="AU1023" s="3"/>
      <c r="AV1023" s="95">
        <v>0.96875</v>
      </c>
      <c r="AW1023" s="95">
        <v>0.97499999999999998</v>
      </c>
      <c r="AX1023" s="95">
        <v>0.97777777777777775</v>
      </c>
      <c r="AY1023" s="95">
        <v>0.94936708860759489</v>
      </c>
      <c r="AZ1023" s="46"/>
      <c r="BA1023" s="42"/>
      <c r="BB1023" s="42"/>
      <c r="BC1023" s="30"/>
      <c r="BD1023" s="30"/>
      <c r="BE1023" s="30"/>
      <c r="BF1023" s="30"/>
      <c r="BG1023" s="30"/>
      <c r="BH1023" s="30"/>
      <c r="BI1023" s="30"/>
      <c r="BJ1023" s="30"/>
      <c r="BK1023" s="30"/>
      <c r="BL1023" s="30"/>
      <c r="BM1023" s="30"/>
      <c r="BN1023" s="30"/>
      <c r="BO1023" s="30"/>
      <c r="BP1023" s="30"/>
      <c r="BQ1023" s="30"/>
      <c r="BR1023" s="30"/>
      <c r="BS1023" s="30"/>
      <c r="BT1023" s="30"/>
      <c r="BU1023" s="30"/>
      <c r="BV1023" s="30"/>
      <c r="BW1023" s="30"/>
      <c r="BX1023" s="30"/>
      <c r="BY1023" s="30"/>
      <c r="BZ1023" s="30"/>
      <c r="CA1023" s="30"/>
      <c r="CB1023" s="30"/>
      <c r="CC1023" s="30"/>
      <c r="CD1023" s="30"/>
      <c r="CE1023" s="30"/>
      <c r="CF1023" s="30"/>
      <c r="CG1023" s="30"/>
      <c r="CH1023" s="30"/>
      <c r="CI1023" s="30"/>
      <c r="CJ1023" s="30"/>
      <c r="CK1023" s="30"/>
      <c r="CL1023" s="30"/>
      <c r="CM1023" s="30"/>
      <c r="CN1023" s="30"/>
      <c r="CO1023" s="30"/>
      <c r="CP1023" s="30"/>
      <c r="CQ1023" s="30"/>
      <c r="CR1023" s="1"/>
      <c r="CS1023" s="1"/>
      <c r="CT1023" s="1"/>
      <c r="CU1023" s="1"/>
    </row>
    <row r="1024" spans="1:99" s="13" customFormat="1" ht="12" customHeight="1" x14ac:dyDescent="0.2">
      <c r="A1024" s="68">
        <v>43897</v>
      </c>
      <c r="B1024" s="67"/>
      <c r="C1024" s="67"/>
      <c r="D1024" s="86"/>
      <c r="E1024" s="87"/>
      <c r="F1024" s="69"/>
      <c r="G1024" s="69"/>
      <c r="H1024" s="69"/>
      <c r="I1024" s="69"/>
      <c r="J1024" s="69"/>
      <c r="K1024" s="107"/>
      <c r="L1024" s="107"/>
      <c r="M1024" s="69"/>
      <c r="N1024" s="69"/>
      <c r="O1024" s="69"/>
      <c r="P1024" s="69"/>
      <c r="Q1024" s="69"/>
      <c r="R1024" s="69"/>
      <c r="S1024" s="69"/>
      <c r="T1024" s="69"/>
      <c r="U1024" s="69"/>
      <c r="V1024" s="69"/>
      <c r="W1024" s="69"/>
      <c r="X1024" s="69"/>
      <c r="Y1024" s="87"/>
      <c r="Z1024" s="69"/>
      <c r="AA1024" s="69"/>
      <c r="AB1024" s="69"/>
      <c r="AC1024" s="72"/>
      <c r="AD1024" s="69"/>
      <c r="AE1024" s="69"/>
      <c r="AF1024" s="88"/>
      <c r="AG1024" s="72"/>
      <c r="AH1024" s="4"/>
      <c r="AI1024" s="72"/>
      <c r="AJ1024" s="110"/>
      <c r="AK1024" s="72"/>
      <c r="AL1024" s="72"/>
      <c r="AM1024" s="72"/>
      <c r="AN1024" s="72"/>
      <c r="AO1024" s="89"/>
      <c r="AP1024" s="89"/>
      <c r="AQ1024" s="90"/>
      <c r="AR1024" s="117"/>
      <c r="AS1024" s="91"/>
      <c r="AT1024" s="91"/>
      <c r="AU1024" s="3"/>
      <c r="AV1024" s="71">
        <v>157680000</v>
      </c>
      <c r="AW1024" s="71">
        <v>473040000</v>
      </c>
      <c r="AX1024" s="71">
        <v>788400000</v>
      </c>
      <c r="AY1024" s="71">
        <v>1103760000</v>
      </c>
      <c r="AZ1024" s="46"/>
      <c r="BA1024" s="42"/>
      <c r="BB1024" s="42"/>
      <c r="BC1024" s="30"/>
      <c r="BD1024" s="30"/>
      <c r="BE1024" s="30"/>
      <c r="BF1024" s="30"/>
      <c r="BG1024" s="30"/>
      <c r="BH1024" s="30"/>
      <c r="BI1024" s="30"/>
      <c r="BJ1024" s="30"/>
      <c r="BK1024" s="30"/>
      <c r="BL1024" s="30"/>
      <c r="BM1024" s="30"/>
      <c r="BN1024" s="30"/>
      <c r="BO1024" s="30"/>
      <c r="BP1024" s="30"/>
      <c r="BQ1024" s="30"/>
      <c r="BR1024" s="30"/>
      <c r="BS1024" s="30"/>
      <c r="BT1024" s="30"/>
      <c r="BU1024" s="30"/>
      <c r="BV1024" s="30"/>
      <c r="BW1024" s="30"/>
      <c r="BX1024" s="30"/>
      <c r="BY1024" s="30"/>
      <c r="BZ1024" s="30"/>
      <c r="CA1024" s="30"/>
      <c r="CB1024" s="30"/>
      <c r="CC1024" s="30"/>
      <c r="CD1024" s="30"/>
      <c r="CE1024" s="30"/>
      <c r="CF1024" s="30"/>
      <c r="CG1024" s="30"/>
      <c r="CH1024" s="30"/>
      <c r="CI1024" s="30"/>
      <c r="CJ1024" s="30"/>
      <c r="CK1024" s="30"/>
      <c r="CL1024" s="30"/>
      <c r="CM1024" s="30"/>
      <c r="CN1024" s="30"/>
      <c r="CO1024" s="30"/>
      <c r="CP1024" s="30"/>
      <c r="CQ1024" s="30"/>
      <c r="CR1024" s="1"/>
      <c r="CS1024" s="1"/>
      <c r="CT1024" s="1"/>
      <c r="CU1024" s="1"/>
    </row>
    <row r="1025" spans="1:99" s="13" customFormat="1" ht="12" customHeight="1" x14ac:dyDescent="0.2">
      <c r="A1025" s="68">
        <v>43897</v>
      </c>
      <c r="B1025" s="70" t="s">
        <v>400</v>
      </c>
      <c r="C1025" s="70" t="s">
        <v>401</v>
      </c>
      <c r="D1025" s="69">
        <v>1998</v>
      </c>
      <c r="E1025" s="106">
        <v>2</v>
      </c>
      <c r="F1025" s="69">
        <v>4</v>
      </c>
      <c r="G1025" s="69">
        <v>4</v>
      </c>
      <c r="H1025" s="69" t="s">
        <v>44</v>
      </c>
      <c r="I1025" s="69" t="s">
        <v>330</v>
      </c>
      <c r="J1025" s="69" t="s">
        <v>340</v>
      </c>
      <c r="K1025" s="69">
        <f>IF(J1025="syllables",1,IF(J1025="trigrams",2,IF(J1025="strings",3,IF(J1025="visual array",4,IF(J1025="characters",5,IF(J1025="letters",6,IF(J1025="free forms",7,IF(J1025="odors",8,IF(J1025="words",9,IF(J1025="pictures",10,IF(J1025="object pictures",11,IF(J1025="faces",12,IF(J1025="names",13,IF(J1025="idioms",14,IF(J1025="grades",15,IF(J1025="syllable-digit pairs",16,IF(J1025="trigram-word pairs",17,IF(J1025="word-digit pairs",18,IF(J1025="English-Swahili pairs",19,IF(J1025="spatial position",20,IF(J1025="word pairs",21,IF(J1025="word triads",22,IF(J1025="generated words",23,IF(J1025="word definition pairs",24,IF(J1025="math problems",25,IF(J1025="famous faces",26,IF(J1025="famous names",27,IF(J1025="famous voices",28,IF(J1025="television programs",29,IF(J1025="race horses",30,IF(J1025="new vocabulary",31,IF(J1025="sentences",32,IF(J1025="concepts",33,IF(J1025="ad slides",34,IF(J1025="scenes",35,IF(J1025="famous scenes",36,IF(J1025="poems",37,IF(J1025="walk",38,IF(J1025="faces and events",39,IF(J1025="events and names",40,IF(J1025="flashbulb",41,IF(J1025="stories",42,IF(J1025="course material",43,IF(J1025="autobiographical",44,IF(J1025="novels",45,IF(J1025="public events",46,"99"))))))))))))))))))))))))))))))))))))))))))))))</f>
        <v>46</v>
      </c>
      <c r="L1025" s="69">
        <f>IF(J1025="syllables",1,IF(J1025="trigrams",1,IF(J1025="strings",1,IF(J1025="visual array",1,IF(J1025="characters",1,IF(J1025="letters",1,IF(J1025="free forms",1,IF(J1025="odors",2,IF(J1025="words",2,IF(J1025="pictures",2,IF(J1025="object pictures",2,IF(J1025="faces",2,IF(J1025="names",2,IF(J1025="idioms","2",IF(J1025="grades",2,IF(J1025="syllable-digit pairs",3,IF(J1025="trigram-word pairs",3,IF(J1025="word-digit pairs",3,IF(J1025="English-Swahili pairs",3,IF(J1025="spatial position",3,IF(J1025="word pairs",4,IF(J1025="word triads",4,IF(J1025="generated words",4,IF(J1025="word definition pairs",4,IF(J1025="math problems",4,IF(J1025="famous faces",4,IF(J1025="famous names",4,IF(J1025="famous voices",4,IF(J1025="television programs",4,IF(J1025="race horses",4,IF(J1025="new vocabulary",4,IF(J1025="sentences",5,IF(J1025="concepts",5,IF(J1025="ad slides",5,IF(J1025="scenes",5,IF(J1025="famous scenes",5,IF(J1025="poems",6,IF(J1025="walk",6,IF(J1025="faces and events",6,IF(J1025="events and names",6,IF(J1025="flashbulb",7,IF(J1025="stories",7,IF(J1025="course material",7,IF(J1025="autobiographical",7,IF(J1025="novels",7,IF(J1025="public events",7,"99"))))))))))))))))))))))))))))))))))))))))))))))</f>
        <v>7</v>
      </c>
      <c r="M1025" s="99">
        <v>1</v>
      </c>
      <c r="N1025" s="69">
        <v>4</v>
      </c>
      <c r="O1025" s="99">
        <v>0</v>
      </c>
      <c r="P1025" s="69"/>
      <c r="Q1025" s="69" t="s">
        <v>174</v>
      </c>
      <c r="R1025" s="69">
        <f>IF(Q1025="Free Recall",1,IF(Q1025="Cued Recall",2,IF(Q1025="Recognition",3,IF(Q1025="Multiple Choice",4,IF(Q1025="Savings",5,IF(Q1025="Stem Completion",6,IF(Q1025="Fragment Completion",7,IF(Q1025="anagram solution",8,IF(Q1025="Matching",9,IF(Q1025="Problem Solving",10,"99"))))))))))</f>
        <v>1</v>
      </c>
      <c r="S1025" s="69" t="s">
        <v>49</v>
      </c>
      <c r="T1025" s="92" t="s">
        <v>581</v>
      </c>
      <c r="U1025" s="69">
        <f>IF(T1025="within",1,0)</f>
        <v>1</v>
      </c>
      <c r="V1025" s="92">
        <v>145</v>
      </c>
      <c r="W1025" s="69">
        <f>F1025*V1025</f>
        <v>580</v>
      </c>
      <c r="X1025" s="69">
        <v>4</v>
      </c>
      <c r="Y1025" s="87">
        <f>AV1024</f>
        <v>157680000</v>
      </c>
      <c r="Z1025" s="92" t="s">
        <v>375</v>
      </c>
      <c r="AA1025" s="69">
        <f>35*365*24*60*60</f>
        <v>1103760000</v>
      </c>
      <c r="AB1025" s="69" t="str">
        <f>IF(AA1025&lt;60,"1",IF(AA1025&lt;=43200,"2",IF(AA1025&lt;=777600,"3","4")))</f>
        <v>4</v>
      </c>
      <c r="AC1025" s="72">
        <f>AVERAGE(AV1024:DA1024)</f>
        <v>630720000</v>
      </c>
      <c r="AD1025" s="69" t="str">
        <f>IF(AC1025&lt;60,"1",IF(AC1025&lt;=43200,"2",IF(AC1025&lt;=777600,"3","4")))</f>
        <v>4</v>
      </c>
      <c r="AE1025" s="87">
        <f>AA1025-Y1025</f>
        <v>946080000</v>
      </c>
      <c r="AF1025" s="88">
        <f>AV1025</f>
        <v>0.28000000000000003</v>
      </c>
      <c r="AG1025" s="72">
        <f>((AW1025-AV1025)+(AX1025-AW1025)+(AY1025-AX1025))/3</f>
        <v>3.666666666666666E-2</v>
      </c>
      <c r="AH1025" s="4"/>
      <c r="AI1025" s="72">
        <f>RSQ(AV1025:AY1025,AV1024:AY1024)</f>
        <v>0.39729729729729718</v>
      </c>
      <c r="AJ1025" s="110">
        <f>SLOPE(AV1025:AY1025,AV1024:AY1024)</f>
        <v>1.3318112633181127E-10</v>
      </c>
      <c r="AK1025" s="72">
        <f>INTERCEPT(AV1025:AY1025,AV1024:AY1024)</f>
        <v>0.19600000000000001</v>
      </c>
      <c r="AL1025" s="72">
        <f>INDEX(LINEST(LN(AV1025:AY1025),LN(AV1024:AY1024),TRUE,TRUE),3,1)</f>
        <v>0.11309985134668447</v>
      </c>
      <c r="AM1025" s="72">
        <f>INDEX(LINEST(LN(AV1025:AY1025),LN(AV1024:AY1024)),1)</f>
        <v>0.12527036779540632</v>
      </c>
      <c r="AN1025" s="72">
        <f>EXP(INDEX(LINEST(LN(AV1025:AY1025),LN(AV1024:AY1024)),1,2))</f>
        <v>2.1926911007939882E-2</v>
      </c>
      <c r="AO1025" s="89">
        <f>INDEX(LINEST((AV1025:AY1025),LN(AV1024:AY1024),TRUE,TRUE),3,1)</f>
        <v>0.16117265789724378</v>
      </c>
      <c r="AP1025" s="89">
        <f>INDEX(LINEST((AV1025:AY1025),LN(AV1024:AY1024)),1)</f>
        <v>4.0615846209983222E-2</v>
      </c>
      <c r="AQ1025" s="90">
        <f>INDEX(LINEST(LN(AV1025:AY1025),SQRT(AV1024:AY1024),TRUE,TRUE),3,1)</f>
        <v>0.21131841386021541</v>
      </c>
      <c r="AR1025" s="117">
        <f>INDEX(LINEST(LN(AV1025:AY1025),SQRT((AV1024:AY1024))),1)</f>
        <v>1.63580813062828E-5</v>
      </c>
      <c r="AS1025" s="91">
        <f>INDEX(LINEST(1/(AV1025:AY1025),1/(SQRT(AV1024:AY1024)),TRUE,TRUE),3,1)</f>
        <v>2.2914529467732963E-2</v>
      </c>
      <c r="AT1025" s="91">
        <f>INDEX(LINEST(1/(AV1025:AY1025),1/SQRT(AV1024:AY1024)),1)</f>
        <v>8499.2780365541421</v>
      </c>
      <c r="AU1025" s="3"/>
      <c r="AV1025" s="95">
        <v>0.28000000000000003</v>
      </c>
      <c r="AW1025" s="95">
        <v>0.18</v>
      </c>
      <c r="AX1025" s="95">
        <v>0.27</v>
      </c>
      <c r="AY1025" s="95">
        <v>0.39</v>
      </c>
      <c r="AZ1025" s="46"/>
      <c r="BA1025" s="42"/>
      <c r="BB1025" s="42"/>
      <c r="BC1025" s="30"/>
      <c r="BD1025" s="30"/>
      <c r="BE1025" s="30"/>
      <c r="BF1025" s="30"/>
      <c r="BG1025" s="30"/>
      <c r="BH1025" s="30"/>
      <c r="BI1025" s="30"/>
      <c r="BJ1025" s="30"/>
      <c r="BK1025" s="30"/>
      <c r="BL1025" s="30"/>
      <c r="BM1025" s="30"/>
      <c r="BN1025" s="30"/>
      <c r="BO1025" s="30"/>
      <c r="BP1025" s="30"/>
      <c r="BQ1025" s="30"/>
      <c r="BR1025" s="30"/>
      <c r="BS1025" s="30"/>
      <c r="BT1025" s="30"/>
      <c r="BU1025" s="30"/>
      <c r="BV1025" s="30"/>
      <c r="BW1025" s="30"/>
      <c r="BX1025" s="30"/>
      <c r="BY1025" s="30"/>
      <c r="BZ1025" s="30"/>
      <c r="CA1025" s="30"/>
      <c r="CB1025" s="30"/>
      <c r="CC1025" s="30"/>
      <c r="CD1025" s="30"/>
      <c r="CE1025" s="30"/>
      <c r="CF1025" s="30"/>
      <c r="CG1025" s="30"/>
      <c r="CH1025" s="30"/>
      <c r="CI1025" s="30"/>
      <c r="CJ1025" s="30"/>
      <c r="CK1025" s="30"/>
      <c r="CL1025" s="30"/>
      <c r="CM1025" s="30"/>
      <c r="CN1025" s="30"/>
      <c r="CO1025" s="30"/>
      <c r="CP1025" s="30"/>
      <c r="CQ1025" s="30"/>
      <c r="CR1025" s="1"/>
      <c r="CS1025" s="1"/>
      <c r="CT1025" s="1"/>
      <c r="CU1025" s="1"/>
    </row>
    <row r="1026" spans="1:99" s="13" customFormat="1" ht="12" customHeight="1" x14ac:dyDescent="0.2">
      <c r="A1026" s="68">
        <v>43897</v>
      </c>
      <c r="B1026" s="67"/>
      <c r="C1026" s="67"/>
      <c r="D1026" s="86"/>
      <c r="E1026" s="87"/>
      <c r="F1026" s="69"/>
      <c r="G1026" s="69"/>
      <c r="H1026" s="69"/>
      <c r="I1026" s="69"/>
      <c r="J1026" s="69"/>
      <c r="K1026" s="107"/>
      <c r="L1026" s="107"/>
      <c r="M1026" s="69"/>
      <c r="N1026" s="69"/>
      <c r="O1026" s="69"/>
      <c r="P1026" s="69"/>
      <c r="Q1026" s="69"/>
      <c r="R1026" s="69"/>
      <c r="S1026" s="69"/>
      <c r="T1026" s="69"/>
      <c r="U1026" s="69"/>
      <c r="V1026" s="69"/>
      <c r="W1026" s="69"/>
      <c r="X1026" s="69"/>
      <c r="Y1026" s="87"/>
      <c r="Z1026" s="69"/>
      <c r="AA1026" s="69"/>
      <c r="AB1026" s="69"/>
      <c r="AC1026" s="72"/>
      <c r="AD1026" s="69"/>
      <c r="AE1026" s="69"/>
      <c r="AF1026" s="88"/>
      <c r="AG1026" s="72"/>
      <c r="AH1026" s="4"/>
      <c r="AI1026" s="72"/>
      <c r="AJ1026" s="110"/>
      <c r="AK1026" s="72"/>
      <c r="AL1026" s="72"/>
      <c r="AM1026" s="72"/>
      <c r="AN1026" s="72"/>
      <c r="AO1026" s="89"/>
      <c r="AP1026" s="89"/>
      <c r="AQ1026" s="90"/>
      <c r="AR1026" s="117"/>
      <c r="AS1026" s="91"/>
      <c r="AT1026" s="91"/>
      <c r="AU1026" s="3"/>
      <c r="AV1026" s="71">
        <v>157680000</v>
      </c>
      <c r="AW1026" s="71">
        <v>473040000</v>
      </c>
      <c r="AX1026" s="71">
        <v>788400000</v>
      </c>
      <c r="AY1026" s="71">
        <v>1103760000</v>
      </c>
      <c r="AZ1026" s="46"/>
      <c r="BA1026" s="42"/>
      <c r="BB1026" s="42"/>
      <c r="BC1026" s="30"/>
      <c r="BD1026" s="30"/>
      <c r="BE1026" s="30"/>
      <c r="BF1026" s="30"/>
      <c r="BG1026" s="30"/>
      <c r="BH1026" s="30"/>
      <c r="BI1026" s="30"/>
      <c r="BJ1026" s="30"/>
      <c r="BK1026" s="30"/>
      <c r="BL1026" s="30"/>
      <c r="BM1026" s="30"/>
      <c r="BN1026" s="30"/>
      <c r="BO1026" s="30"/>
      <c r="BP1026" s="30"/>
      <c r="BQ1026" s="30"/>
      <c r="BR1026" s="30"/>
      <c r="BS1026" s="30"/>
      <c r="BT1026" s="30"/>
      <c r="BU1026" s="30"/>
      <c r="BV1026" s="30"/>
      <c r="BW1026" s="30"/>
      <c r="BX1026" s="30"/>
      <c r="BY1026" s="30"/>
      <c r="BZ1026" s="30"/>
      <c r="CA1026" s="30"/>
      <c r="CB1026" s="30"/>
      <c r="CC1026" s="30"/>
      <c r="CD1026" s="30"/>
      <c r="CE1026" s="30"/>
      <c r="CF1026" s="30"/>
      <c r="CG1026" s="30"/>
      <c r="CH1026" s="30"/>
      <c r="CI1026" s="30"/>
      <c r="CJ1026" s="30"/>
      <c r="CK1026" s="30"/>
      <c r="CL1026" s="30"/>
      <c r="CM1026" s="30"/>
      <c r="CN1026" s="30"/>
      <c r="CO1026" s="30"/>
      <c r="CP1026" s="30"/>
      <c r="CQ1026" s="30"/>
      <c r="CR1026" s="1"/>
      <c r="CS1026" s="1"/>
      <c r="CT1026" s="1"/>
      <c r="CU1026" s="1"/>
    </row>
    <row r="1027" spans="1:99" s="13" customFormat="1" ht="12" customHeight="1" x14ac:dyDescent="0.2">
      <c r="A1027" s="68">
        <v>43897</v>
      </c>
      <c r="B1027" s="70" t="s">
        <v>400</v>
      </c>
      <c r="C1027" s="70" t="s">
        <v>401</v>
      </c>
      <c r="D1027" s="69">
        <v>1998</v>
      </c>
      <c r="E1027" s="106">
        <v>2</v>
      </c>
      <c r="F1027" s="69">
        <v>4</v>
      </c>
      <c r="G1027" s="69">
        <v>4</v>
      </c>
      <c r="H1027" s="69" t="s">
        <v>44</v>
      </c>
      <c r="I1027" s="69" t="s">
        <v>330</v>
      </c>
      <c r="J1027" s="69" t="s">
        <v>340</v>
      </c>
      <c r="K1027" s="69">
        <f>IF(J1027="syllables",1,IF(J1027="trigrams",2,IF(J1027="strings",3,IF(J1027="visual array",4,IF(J1027="characters",5,IF(J1027="letters",6,IF(J1027="free forms",7,IF(J1027="odors",8,IF(J1027="words",9,IF(J1027="pictures",10,IF(J1027="object pictures",11,IF(J1027="faces",12,IF(J1027="names",13,IF(J1027="idioms",14,IF(J1027="grades",15,IF(J1027="syllable-digit pairs",16,IF(J1027="trigram-word pairs",17,IF(J1027="word-digit pairs",18,IF(J1027="English-Swahili pairs",19,IF(J1027="spatial position",20,IF(J1027="word pairs",21,IF(J1027="word triads",22,IF(J1027="generated words",23,IF(J1027="word definition pairs",24,IF(J1027="math problems",25,IF(J1027="famous faces",26,IF(J1027="famous names",27,IF(J1027="famous voices",28,IF(J1027="television programs",29,IF(J1027="race horses",30,IF(J1027="new vocabulary",31,IF(J1027="sentences",32,IF(J1027="concepts",33,IF(J1027="ad slides",34,IF(J1027="scenes",35,IF(J1027="famous scenes",36,IF(J1027="poems",37,IF(J1027="walk",38,IF(J1027="faces and events",39,IF(J1027="events and names",40,IF(J1027="flashbulb",41,IF(J1027="stories",42,IF(J1027="course material",43,IF(J1027="autobiographical",44,IF(J1027="novels",45,IF(J1027="public events",46,"99"))))))))))))))))))))))))))))))))))))))))))))))</f>
        <v>46</v>
      </c>
      <c r="L1027" s="69">
        <f>IF(J1027="syllables",1,IF(J1027="trigrams",1,IF(J1027="strings",1,IF(J1027="visual array",1,IF(J1027="characters",1,IF(J1027="letters",1,IF(J1027="free forms",1,IF(J1027="odors",2,IF(J1027="words",2,IF(J1027="pictures",2,IF(J1027="object pictures",2,IF(J1027="faces",2,IF(J1027="names",2,IF(J1027="idioms","2",IF(J1027="grades",2,IF(J1027="syllable-digit pairs",3,IF(J1027="trigram-word pairs",3,IF(J1027="word-digit pairs",3,IF(J1027="English-Swahili pairs",3,IF(J1027="spatial position",3,IF(J1027="word pairs",4,IF(J1027="word triads",4,IF(J1027="generated words",4,IF(J1027="word definition pairs",4,IF(J1027="math problems",4,IF(J1027="famous faces",4,IF(J1027="famous names",4,IF(J1027="famous voices",4,IF(J1027="television programs",4,IF(J1027="race horses",4,IF(J1027="new vocabulary",4,IF(J1027="sentences",5,IF(J1027="concepts",5,IF(J1027="ad slides",5,IF(J1027="scenes",5,IF(J1027="famous scenes",5,IF(J1027="poems",6,IF(J1027="walk",6,IF(J1027="faces and events",6,IF(J1027="events and names",6,IF(J1027="flashbulb",7,IF(J1027="stories",7,IF(J1027="course material",7,IF(J1027="autobiographical",7,IF(J1027="novels",7,IF(J1027="public events",7,"99"))))))))))))))))))))))))))))))))))))))))))))))</f>
        <v>7</v>
      </c>
      <c r="M1027" s="99">
        <v>1</v>
      </c>
      <c r="N1027" s="69">
        <v>4</v>
      </c>
      <c r="O1027" s="99">
        <v>0</v>
      </c>
      <c r="P1027" s="69"/>
      <c r="Q1027" s="69" t="s">
        <v>182</v>
      </c>
      <c r="R1027" s="69">
        <f>IF(Q1027="Free Recall",1,IF(Q1027="Cued Recall",2,IF(Q1027="Recognition",3,IF(Q1027="Multiple Choice",4,IF(Q1027="Savings",5,IF(Q1027="Stem Completion",6,IF(Q1027="Fragment Completion",7,IF(Q1027="anagram solution",8,IF(Q1027="Matching",9,IF(Q1027="Problem Solving",10,"99"))))))))))</f>
        <v>4</v>
      </c>
      <c r="S1027" s="69" t="s">
        <v>15</v>
      </c>
      <c r="T1027" s="92" t="s">
        <v>581</v>
      </c>
      <c r="U1027" s="69">
        <f>IF(T1027="within",1,0)</f>
        <v>1</v>
      </c>
      <c r="V1027" s="92">
        <v>145</v>
      </c>
      <c r="W1027" s="69">
        <f>F1027*V1027</f>
        <v>580</v>
      </c>
      <c r="X1027" s="69">
        <v>4</v>
      </c>
      <c r="Y1027" s="87">
        <f>AV1026</f>
        <v>157680000</v>
      </c>
      <c r="Z1027" s="92" t="s">
        <v>375</v>
      </c>
      <c r="AA1027" s="69">
        <f>35*365*24*60*60</f>
        <v>1103760000</v>
      </c>
      <c r="AB1027" s="69" t="str">
        <f>IF(AA1027&lt;60,"1",IF(AA1027&lt;=43200,"2",IF(AA1027&lt;=777600,"3","4")))</f>
        <v>4</v>
      </c>
      <c r="AC1027" s="72">
        <f>AVERAGE(AV1026:DA1026)</f>
        <v>630720000</v>
      </c>
      <c r="AD1027" s="69" t="str">
        <f>IF(AC1027&lt;60,"1",IF(AC1027&lt;=43200,"2",IF(AC1027&lt;=777600,"3","4")))</f>
        <v>4</v>
      </c>
      <c r="AE1027" s="87">
        <f>AA1027-Y1027</f>
        <v>946080000</v>
      </c>
      <c r="AF1027" s="88">
        <f>AV1027</f>
        <v>0.71</v>
      </c>
      <c r="AG1027" s="72">
        <f>((AW1027-AV1027)+(AX1027-AW1027)+(AY1027-AX1027))/3</f>
        <v>3.0000000000000027E-2</v>
      </c>
      <c r="AH1027" s="4"/>
      <c r="AI1027" s="72">
        <f>RSQ(AV1027:AY1027,AV1026:AY1026)</f>
        <v>0.4114285714285717</v>
      </c>
      <c r="AJ1027" s="110">
        <f>SLOPE(AV1027:AY1027,AV1026:AY1026)</f>
        <v>7.6103500761035081E-11</v>
      </c>
      <c r="AK1027" s="72">
        <f>INTERCEPT(AV1027:AY1027,AV1026:AY1026)</f>
        <v>0.68199999999999994</v>
      </c>
      <c r="AL1027" s="72">
        <f>INDEX(LINEST(LN(AV1027:AY1027),LN(AV1026:AY1026),TRUE,TRUE),3,1)</f>
        <v>0.23423828922101447</v>
      </c>
      <c r="AM1027" s="72">
        <f>INDEX(LINEST(LN(AV1027:AY1027),LN(AV1026:AY1026)),1)</f>
        <v>3.675924838862512E-2</v>
      </c>
      <c r="AN1027" s="72">
        <f>EXP(INDEX(LINEST(LN(AV1027:AY1027),LN(AV1026:AY1026)),1,2))</f>
        <v>0.34891048794720597</v>
      </c>
      <c r="AO1027" s="89">
        <f>INDEX(LINEST((AV1027:AY1027),LN(AV1026:AY1026),TRUE,TRUE),3,1)</f>
        <v>0.24387698026501767</v>
      </c>
      <c r="AP1027" s="89">
        <f>INDEX(LINEST((AV1027:AY1027),LN(AV1026:AY1026)),1)</f>
        <v>2.8054837609922306E-2</v>
      </c>
      <c r="AQ1027" s="90">
        <f>INDEX(LINEST(LN(AV1027:AY1027),SQRT(AV1026:AY1026),TRUE,TRUE),3,1)</f>
        <v>0.31184878988285142</v>
      </c>
      <c r="AR1027" s="117">
        <f>INDEX(LINEST(LN(AV1027:AY1027),SQRT((AV1026:AY1026))),1)</f>
        <v>4.0518752576029016E-6</v>
      </c>
      <c r="AS1027" s="91">
        <f>INDEX(LINEST(1/(AV1027:AY1027),1/(SQRT(AV1026:AY1026)),TRUE,TRUE),3,1)</f>
        <v>0.16595947045104106</v>
      </c>
      <c r="AT1027" s="91">
        <f>INDEX(LINEST(1/(AV1027:AY1027),1/SQRT(AV1026:AY1026)),1)</f>
        <v>1587.3881708381216</v>
      </c>
      <c r="AU1027" s="3"/>
      <c r="AV1027" s="95">
        <v>0.71</v>
      </c>
      <c r="AW1027" s="95">
        <v>0.72</v>
      </c>
      <c r="AX1027" s="95">
        <v>0.69</v>
      </c>
      <c r="AY1027" s="95">
        <v>0.8</v>
      </c>
      <c r="AZ1027" s="46"/>
      <c r="BA1027" s="42"/>
      <c r="BB1027" s="42"/>
      <c r="BC1027" s="30"/>
      <c r="BD1027" s="30"/>
      <c r="BE1027" s="30"/>
      <c r="BF1027" s="30"/>
      <c r="BG1027" s="30"/>
      <c r="BH1027" s="30"/>
      <c r="BI1027" s="30"/>
      <c r="BJ1027" s="30"/>
      <c r="BK1027" s="30"/>
      <c r="BL1027" s="30"/>
      <c r="BM1027" s="30"/>
      <c r="BN1027" s="30"/>
      <c r="BO1027" s="30"/>
      <c r="BP1027" s="30"/>
      <c r="BQ1027" s="30"/>
      <c r="BR1027" s="30"/>
      <c r="BS1027" s="30"/>
      <c r="BT1027" s="30"/>
      <c r="BU1027" s="30"/>
      <c r="BV1027" s="30"/>
      <c r="BW1027" s="30"/>
      <c r="BX1027" s="30"/>
      <c r="BY1027" s="30"/>
      <c r="BZ1027" s="30"/>
      <c r="CA1027" s="30"/>
      <c r="CB1027" s="30"/>
      <c r="CC1027" s="30"/>
      <c r="CD1027" s="30"/>
      <c r="CE1027" s="30"/>
      <c r="CF1027" s="30"/>
      <c r="CG1027" s="30"/>
      <c r="CH1027" s="30"/>
      <c r="CI1027" s="30"/>
      <c r="CJ1027" s="30"/>
      <c r="CK1027" s="30"/>
      <c r="CL1027" s="30"/>
      <c r="CM1027" s="30"/>
      <c r="CN1027" s="30"/>
      <c r="CO1027" s="30"/>
      <c r="CP1027" s="30"/>
      <c r="CQ1027" s="30"/>
      <c r="CR1027" s="1"/>
      <c r="CS1027" s="1"/>
      <c r="CT1027" s="1"/>
      <c r="CU1027" s="1"/>
    </row>
    <row r="1028" spans="1:99" s="13" customFormat="1" ht="12" customHeight="1" x14ac:dyDescent="0.2">
      <c r="A1028" s="68">
        <v>43897</v>
      </c>
      <c r="B1028" s="67"/>
      <c r="C1028" s="67"/>
      <c r="D1028" s="86"/>
      <c r="E1028" s="87"/>
      <c r="F1028" s="69"/>
      <c r="G1028" s="69"/>
      <c r="H1028" s="69"/>
      <c r="I1028" s="69"/>
      <c r="J1028" s="69"/>
      <c r="K1028" s="107"/>
      <c r="L1028" s="107"/>
      <c r="M1028" s="69"/>
      <c r="N1028" s="69"/>
      <c r="O1028" s="69"/>
      <c r="P1028" s="69"/>
      <c r="Q1028" s="69"/>
      <c r="R1028" s="69"/>
      <c r="S1028" s="69"/>
      <c r="T1028" s="69"/>
      <c r="U1028" s="69"/>
      <c r="V1028" s="69"/>
      <c r="W1028" s="69"/>
      <c r="X1028" s="69"/>
      <c r="Y1028" s="87"/>
      <c r="Z1028" s="69"/>
      <c r="AA1028" s="69"/>
      <c r="AB1028" s="69"/>
      <c r="AC1028" s="72"/>
      <c r="AD1028" s="69"/>
      <c r="AE1028" s="69"/>
      <c r="AF1028" s="88"/>
      <c r="AG1028" s="72"/>
      <c r="AH1028" s="4"/>
      <c r="AI1028" s="72"/>
      <c r="AJ1028" s="110"/>
      <c r="AK1028" s="72"/>
      <c r="AL1028" s="72"/>
      <c r="AM1028" s="72"/>
      <c r="AN1028" s="72"/>
      <c r="AO1028" s="89"/>
      <c r="AP1028" s="89"/>
      <c r="AQ1028" s="90"/>
      <c r="AR1028" s="117"/>
      <c r="AS1028" s="91"/>
      <c r="AT1028" s="91"/>
      <c r="AU1028" s="3"/>
      <c r="AV1028" s="71">
        <v>157680000</v>
      </c>
      <c r="AW1028" s="71">
        <v>473040000</v>
      </c>
      <c r="AX1028" s="71">
        <v>788400000</v>
      </c>
      <c r="AY1028" s="71">
        <v>1103760000</v>
      </c>
      <c r="AZ1028" s="46"/>
      <c r="BA1028" s="42"/>
      <c r="BB1028" s="42"/>
      <c r="BC1028" s="30"/>
      <c r="BD1028" s="30"/>
      <c r="BE1028" s="30"/>
      <c r="BF1028" s="30"/>
      <c r="BG1028" s="30"/>
      <c r="BH1028" s="30"/>
      <c r="BI1028" s="30"/>
      <c r="BJ1028" s="30"/>
      <c r="BK1028" s="30"/>
      <c r="BL1028" s="30"/>
      <c r="BM1028" s="30"/>
      <c r="BN1028" s="30"/>
      <c r="BO1028" s="30"/>
      <c r="BP1028" s="30"/>
      <c r="BQ1028" s="30"/>
      <c r="BR1028" s="30"/>
      <c r="BS1028" s="30"/>
      <c r="BT1028" s="30"/>
      <c r="BU1028" s="30"/>
      <c r="BV1028" s="30"/>
      <c r="BW1028" s="30"/>
      <c r="BX1028" s="30"/>
      <c r="BY1028" s="30"/>
      <c r="BZ1028" s="30"/>
      <c r="CA1028" s="30"/>
      <c r="CB1028" s="30"/>
      <c r="CC1028" s="30"/>
      <c r="CD1028" s="30"/>
      <c r="CE1028" s="30"/>
      <c r="CF1028" s="30"/>
      <c r="CG1028" s="30"/>
      <c r="CH1028" s="30"/>
      <c r="CI1028" s="30"/>
      <c r="CJ1028" s="30"/>
      <c r="CK1028" s="30"/>
      <c r="CL1028" s="30"/>
      <c r="CM1028" s="30"/>
      <c r="CN1028" s="30"/>
      <c r="CO1028" s="30"/>
      <c r="CP1028" s="30"/>
      <c r="CQ1028" s="30"/>
      <c r="CR1028" s="1"/>
      <c r="CS1028" s="1"/>
      <c r="CT1028" s="1"/>
      <c r="CU1028" s="1"/>
    </row>
    <row r="1029" spans="1:99" s="13" customFormat="1" ht="12" customHeight="1" x14ac:dyDescent="0.2">
      <c r="A1029" s="68">
        <v>43897</v>
      </c>
      <c r="B1029" s="70" t="s">
        <v>400</v>
      </c>
      <c r="C1029" s="70" t="s">
        <v>401</v>
      </c>
      <c r="D1029" s="69">
        <v>1998</v>
      </c>
      <c r="E1029" s="106">
        <v>2</v>
      </c>
      <c r="F1029" s="69">
        <v>4</v>
      </c>
      <c r="G1029" s="69">
        <v>4</v>
      </c>
      <c r="H1029" s="69" t="s">
        <v>44</v>
      </c>
      <c r="I1029" s="69" t="s">
        <v>330</v>
      </c>
      <c r="J1029" s="69" t="s">
        <v>342</v>
      </c>
      <c r="K1029" s="69">
        <f>IF(J1029="syllables",1,IF(J1029="trigrams",2,IF(J1029="strings",3,IF(J1029="visual array",4,IF(J1029="characters",5,IF(J1029="letters",6,IF(J1029="free forms",7,IF(J1029="odors",8,IF(J1029="words",9,IF(J1029="pictures",10,IF(J1029="object pictures",11,IF(J1029="faces",12,IF(J1029="names",13,IF(J1029="idioms",14,IF(J1029="grades",15,IF(J1029="syllable-digit pairs",16,IF(J1029="trigram-word pairs",17,IF(J1029="word-digit pairs",18,IF(J1029="English-Swahili pairs",19,IF(J1029="spatial position",20,IF(J1029="word pairs",21,IF(J1029="word triads",22,IF(J1029="generated words",23,IF(J1029="word definition pairs",24,IF(J1029="math problems",25,IF(J1029="famous faces",26,IF(J1029="famous names",27,IF(J1029="famous voices",28,IF(J1029="television programs",29,IF(J1029="race horses",30,IF(J1029="new vocabulary",31,IF(J1029="sentences",32,IF(J1029="concepts",33,IF(J1029="ad slides",34,IF(J1029="scenes",35,IF(J1029="famous scenes",36,IF(J1029="poems",37,IF(J1029="walk",38,IF(J1029="faces and events",39,IF(J1029="events and names",40,IF(J1029="flashbulb",41,IF(J1029="stories",42,IF(J1029="course material",43,IF(J1029="autobiographical",44,IF(J1029="novels",45,IF(J1029="public events",46,"99"))))))))))))))))))))))))))))))))))))))))))))))</f>
        <v>26</v>
      </c>
      <c r="L1029" s="69">
        <f>IF(J1029="syllables",1,IF(J1029="trigrams",1,IF(J1029="strings",1,IF(J1029="visual array",1,IF(J1029="characters",1,IF(J1029="letters",1,IF(J1029="free forms",1,IF(J1029="odors",2,IF(J1029="words",2,IF(J1029="pictures",2,IF(J1029="object pictures",2,IF(J1029="faces",2,IF(J1029="names",2,IF(J1029="idioms","2",IF(J1029="grades",2,IF(J1029="syllable-digit pairs",3,IF(J1029="trigram-word pairs",3,IF(J1029="word-digit pairs",3,IF(J1029="English-Swahili pairs",3,IF(J1029="spatial position",3,IF(J1029="word pairs",4,IF(J1029="word triads",4,IF(J1029="generated words",4,IF(J1029="word definition pairs",4,IF(J1029="math problems",4,IF(J1029="famous faces",4,IF(J1029="famous names",4,IF(J1029="famous voices",4,IF(J1029="television programs",4,IF(J1029="race horses",4,IF(J1029="new vocabulary",4,IF(J1029="sentences",5,IF(J1029="concepts",5,IF(J1029="ad slides",5,IF(J1029="scenes",5,IF(J1029="famous scenes",5,IF(J1029="poems",6,IF(J1029="walk",6,IF(J1029="faces and events",6,IF(J1029="events and names",6,IF(J1029="flashbulb",7,IF(J1029="stories",7,IF(J1029="course material",7,IF(J1029="autobiographical",7,IF(J1029="novels",7,IF(J1029="public events",7,"99"))))))))))))))))))))))))))))))))))))))))))))))</f>
        <v>4</v>
      </c>
      <c r="M1029" s="99">
        <v>1</v>
      </c>
      <c r="N1029" s="86">
        <v>3</v>
      </c>
      <c r="O1029" s="99">
        <v>0</v>
      </c>
      <c r="P1029" s="69"/>
      <c r="Q1029" s="69" t="s">
        <v>174</v>
      </c>
      <c r="R1029" s="69">
        <f>IF(Q1029="Free Recall",1,IF(Q1029="Cued Recall",2,IF(Q1029="Recognition",3,IF(Q1029="Multiple Choice",4,IF(Q1029="Savings",5,IF(Q1029="Stem Completion",6,IF(Q1029="Fragment Completion",7,IF(Q1029="anagram solution",8,IF(Q1029="Matching",9,IF(Q1029="Problem Solving",10,"99"))))))))))</f>
        <v>1</v>
      </c>
      <c r="S1029" s="69" t="s">
        <v>49</v>
      </c>
      <c r="T1029" s="92" t="s">
        <v>581</v>
      </c>
      <c r="U1029" s="69">
        <f>IF(T1029="within",1,0)</f>
        <v>1</v>
      </c>
      <c r="V1029" s="92">
        <v>141</v>
      </c>
      <c r="W1029" s="69">
        <f>F1029*V1029</f>
        <v>564</v>
      </c>
      <c r="X1029" s="69">
        <v>4</v>
      </c>
      <c r="Y1029" s="87">
        <f>AV1028</f>
        <v>157680000</v>
      </c>
      <c r="Z1029" s="92" t="s">
        <v>375</v>
      </c>
      <c r="AA1029" s="69">
        <f>35*365*24*60*60</f>
        <v>1103760000</v>
      </c>
      <c r="AB1029" s="69" t="str">
        <f>IF(AA1029&lt;60,"1",IF(AA1029&lt;=43200,"2",IF(AA1029&lt;=777600,"3","4")))</f>
        <v>4</v>
      </c>
      <c r="AC1029" s="72">
        <f>AVERAGE(AV1028:DA1028)</f>
        <v>630720000</v>
      </c>
      <c r="AD1029" s="69" t="str">
        <f>IF(AC1029&lt;60,"1",IF(AC1029&lt;=43200,"2",IF(AC1029&lt;=777600,"3","4")))</f>
        <v>4</v>
      </c>
      <c r="AE1029" s="87">
        <f>AA1029-Y1029</f>
        <v>946080000</v>
      </c>
      <c r="AF1029" s="88">
        <f>AV1029</f>
        <v>0.28999999999999998</v>
      </c>
      <c r="AG1029" s="93">
        <f>((AW1029-AV1029)+(AX1029-AW1029)+(AY1029-AX1029))/3</f>
        <v>3.3333333333333361E-3</v>
      </c>
      <c r="AH1029" s="4"/>
      <c r="AI1029" s="72">
        <f>RSQ(AV1029:AY1029,AV1028:AY1028)</f>
        <v>4.6511627906976726E-3</v>
      </c>
      <c r="AJ1029" s="110">
        <f>SLOPE(AV1029:AY1029,AV1028:AY1028)</f>
        <v>-3.1709791983764612E-12</v>
      </c>
      <c r="AK1029" s="72">
        <f>INTERCEPT(AV1029:AY1029,AV1028:AY1028)</f>
        <v>0.30449999999999999</v>
      </c>
      <c r="AL1029" s="72">
        <f>INDEX(LINEST(LN(AV1029:AY1029),LN(AV1028:AY1028),TRUE,TRUE),3,1)</f>
        <v>1.3557029060226973E-2</v>
      </c>
      <c r="AM1029" s="72">
        <f>INDEX(LINEST(LN(AV1029:AY1029),LN(AV1028:AY1028)),1)</f>
        <v>8.3644727171702984E-3</v>
      </c>
      <c r="AN1029" s="72">
        <f>EXP(INDEX(LINEST(LN(AV1029:AY1029),LN(AV1028:AY1028)),1,2))</f>
        <v>0.2554530975067702</v>
      </c>
      <c r="AO1029" s="89">
        <f>INDEX(LINEST((AV1029:AY1029),LN(AV1028:AY1028),TRUE,TRUE),3,1)</f>
        <v>1.1727088866611213E-2</v>
      </c>
      <c r="AP1029" s="89">
        <f>INDEX(LINEST((AV1029:AY1029),LN(AV1028:AY1028)),1)</f>
        <v>2.4108637949282531E-3</v>
      </c>
      <c r="AQ1029" s="90">
        <f>INDEX(LINEST(LN(AV1029:AY1029),SQRT(AV1028:AY1028),TRUE,TRUE),3,1)</f>
        <v>5.3898277761186219E-4</v>
      </c>
      <c r="AR1029" s="117">
        <f>INDEX(LINEST(LN(AV1029:AY1029),SQRT((AV1028:AY1028))),1)</f>
        <v>1.5932726657440599E-7</v>
      </c>
      <c r="AS1029" s="91">
        <f>INDEX(LINEST(1/(AV1029:AY1029),1/(SQRT(AV1028:AY1028)),TRUE,TRUE),3,1)</f>
        <v>4.5778250547422704E-2</v>
      </c>
      <c r="AT1029" s="91">
        <f>INDEX(LINEST(1/(AV1029:AY1029),1/SQRT(AV1028:AY1028)),1)</f>
        <v>1902.5135433337136</v>
      </c>
      <c r="AU1029" s="3"/>
      <c r="AV1029" s="95">
        <v>0.28999999999999998</v>
      </c>
      <c r="AW1029" s="95">
        <v>0.33</v>
      </c>
      <c r="AX1029" s="95">
        <v>0.28999999999999998</v>
      </c>
      <c r="AY1029" s="95">
        <v>0.3</v>
      </c>
      <c r="AZ1029" s="46"/>
      <c r="BA1029" s="42"/>
      <c r="BB1029" s="42"/>
      <c r="BC1029" s="30"/>
      <c r="BD1029" s="30"/>
      <c r="BE1029" s="30"/>
      <c r="BF1029" s="30"/>
      <c r="BG1029" s="30"/>
      <c r="BH1029" s="30"/>
      <c r="BI1029" s="30"/>
      <c r="BJ1029" s="30"/>
      <c r="BK1029" s="30"/>
      <c r="BL1029" s="30"/>
      <c r="BM1029" s="30"/>
      <c r="BN1029" s="30"/>
      <c r="BO1029" s="30"/>
      <c r="BP1029" s="30"/>
      <c r="BQ1029" s="30"/>
      <c r="BR1029" s="30"/>
      <c r="BS1029" s="30"/>
      <c r="BT1029" s="30"/>
      <c r="BU1029" s="30"/>
      <c r="BV1029" s="30"/>
      <c r="BW1029" s="30"/>
      <c r="BX1029" s="30"/>
      <c r="BY1029" s="30"/>
      <c r="BZ1029" s="30"/>
      <c r="CA1029" s="30"/>
      <c r="CB1029" s="30"/>
      <c r="CC1029" s="30"/>
      <c r="CD1029" s="30"/>
      <c r="CE1029" s="30"/>
      <c r="CF1029" s="30"/>
      <c r="CG1029" s="30"/>
      <c r="CH1029" s="30"/>
      <c r="CI1029" s="30"/>
      <c r="CJ1029" s="30"/>
      <c r="CK1029" s="30"/>
      <c r="CL1029" s="30"/>
      <c r="CM1029" s="30"/>
      <c r="CN1029" s="30"/>
      <c r="CO1029" s="30"/>
      <c r="CP1029" s="30"/>
      <c r="CQ1029" s="30"/>
      <c r="CR1029" s="1"/>
      <c r="CS1029" s="1"/>
      <c r="CT1029" s="1"/>
      <c r="CU1029" s="1"/>
    </row>
    <row r="1030" spans="1:99" s="13" customFormat="1" ht="12" customHeight="1" x14ac:dyDescent="0.2">
      <c r="A1030" s="68">
        <v>43897</v>
      </c>
      <c r="B1030" s="67"/>
      <c r="C1030" s="67"/>
      <c r="D1030" s="86"/>
      <c r="E1030" s="87"/>
      <c r="F1030" s="69"/>
      <c r="G1030" s="69"/>
      <c r="H1030" s="69"/>
      <c r="I1030" s="69"/>
      <c r="J1030" s="69"/>
      <c r="K1030" s="107"/>
      <c r="L1030" s="107"/>
      <c r="M1030" s="69"/>
      <c r="N1030" s="69"/>
      <c r="O1030" s="69"/>
      <c r="P1030" s="69"/>
      <c r="Q1030" s="69"/>
      <c r="R1030" s="69"/>
      <c r="S1030" s="69"/>
      <c r="T1030" s="69"/>
      <c r="U1030" s="69"/>
      <c r="V1030" s="69"/>
      <c r="W1030" s="69"/>
      <c r="X1030" s="69"/>
      <c r="Y1030" s="87"/>
      <c r="Z1030" s="69"/>
      <c r="AA1030" s="69"/>
      <c r="AB1030" s="69"/>
      <c r="AC1030" s="72"/>
      <c r="AD1030" s="69"/>
      <c r="AE1030" s="69"/>
      <c r="AF1030" s="88"/>
      <c r="AG1030" s="72"/>
      <c r="AH1030" s="4"/>
      <c r="AI1030" s="72"/>
      <c r="AJ1030" s="110"/>
      <c r="AK1030" s="72"/>
      <c r="AL1030" s="72"/>
      <c r="AM1030" s="72"/>
      <c r="AN1030" s="72"/>
      <c r="AO1030" s="89"/>
      <c r="AP1030" s="89"/>
      <c r="AQ1030" s="90"/>
      <c r="AR1030" s="117"/>
      <c r="AS1030" s="91"/>
      <c r="AT1030" s="91"/>
      <c r="AU1030" s="3"/>
      <c r="AV1030" s="71">
        <v>157680000</v>
      </c>
      <c r="AW1030" s="71">
        <v>473040000</v>
      </c>
      <c r="AX1030" s="71">
        <v>788400000</v>
      </c>
      <c r="AY1030" s="71">
        <v>1103760000</v>
      </c>
      <c r="AZ1030" s="46"/>
      <c r="BA1030" s="42"/>
      <c r="BB1030" s="42"/>
      <c r="BC1030" s="30"/>
      <c r="BD1030" s="30"/>
      <c r="BE1030" s="30"/>
      <c r="BF1030" s="30"/>
      <c r="BG1030" s="30"/>
      <c r="BH1030" s="30"/>
      <c r="BI1030" s="30"/>
      <c r="BJ1030" s="30"/>
      <c r="BK1030" s="30"/>
      <c r="BL1030" s="30"/>
      <c r="BM1030" s="30"/>
      <c r="BN1030" s="30"/>
      <c r="BO1030" s="30"/>
      <c r="BP1030" s="30"/>
      <c r="BQ1030" s="30"/>
      <c r="BR1030" s="30"/>
      <c r="BS1030" s="30"/>
      <c r="BT1030" s="30"/>
      <c r="BU1030" s="30"/>
      <c r="BV1030" s="30"/>
      <c r="BW1030" s="30"/>
      <c r="BX1030" s="30"/>
      <c r="BY1030" s="30"/>
      <c r="BZ1030" s="30"/>
      <c r="CA1030" s="30"/>
      <c r="CB1030" s="30"/>
      <c r="CC1030" s="30"/>
      <c r="CD1030" s="30"/>
      <c r="CE1030" s="30"/>
      <c r="CF1030" s="30"/>
      <c r="CG1030" s="30"/>
      <c r="CH1030" s="30"/>
      <c r="CI1030" s="30"/>
      <c r="CJ1030" s="30"/>
      <c r="CK1030" s="30"/>
      <c r="CL1030" s="30"/>
      <c r="CM1030" s="30"/>
      <c r="CN1030" s="30"/>
      <c r="CO1030" s="30"/>
      <c r="CP1030" s="30"/>
      <c r="CQ1030" s="30"/>
      <c r="CR1030" s="1"/>
      <c r="CS1030" s="1"/>
      <c r="CT1030" s="1"/>
      <c r="CU1030" s="1"/>
    </row>
    <row r="1031" spans="1:99" s="13" customFormat="1" ht="12" customHeight="1" x14ac:dyDescent="0.2">
      <c r="A1031" s="68">
        <v>43897</v>
      </c>
      <c r="B1031" s="70" t="s">
        <v>400</v>
      </c>
      <c r="C1031" s="70" t="s">
        <v>401</v>
      </c>
      <c r="D1031" s="69">
        <v>1998</v>
      </c>
      <c r="E1031" s="106">
        <v>2</v>
      </c>
      <c r="F1031" s="69">
        <v>4</v>
      </c>
      <c r="G1031" s="69">
        <v>4</v>
      </c>
      <c r="H1031" s="69" t="s">
        <v>44</v>
      </c>
      <c r="I1031" s="69" t="s">
        <v>330</v>
      </c>
      <c r="J1031" s="69" t="s">
        <v>342</v>
      </c>
      <c r="K1031" s="69">
        <f>IF(J1031="syllables",1,IF(J1031="trigrams",2,IF(J1031="strings",3,IF(J1031="visual array",4,IF(J1031="characters",5,IF(J1031="letters",6,IF(J1031="free forms",7,IF(J1031="odors",8,IF(J1031="words",9,IF(J1031="pictures",10,IF(J1031="object pictures",11,IF(J1031="faces",12,IF(J1031="names",13,IF(J1031="idioms",14,IF(J1031="grades",15,IF(J1031="syllable-digit pairs",16,IF(J1031="trigram-word pairs",17,IF(J1031="word-digit pairs",18,IF(J1031="English-Swahili pairs",19,IF(J1031="spatial position",20,IF(J1031="word pairs",21,IF(J1031="word triads",22,IF(J1031="generated words",23,IF(J1031="word definition pairs",24,IF(J1031="math problems",25,IF(J1031="famous faces",26,IF(J1031="famous names",27,IF(J1031="famous voices",28,IF(J1031="television programs",29,IF(J1031="race horses",30,IF(J1031="new vocabulary",31,IF(J1031="sentences",32,IF(J1031="concepts",33,IF(J1031="ad slides",34,IF(J1031="scenes",35,IF(J1031="famous scenes",36,IF(J1031="poems",37,IF(J1031="walk",38,IF(J1031="faces and events",39,IF(J1031="events and names",40,IF(J1031="flashbulb",41,IF(J1031="stories",42,IF(J1031="course material",43,IF(J1031="autobiographical",44,IF(J1031="novels",45,IF(J1031="public events",46,"99"))))))))))))))))))))))))))))))))))))))))))))))</f>
        <v>26</v>
      </c>
      <c r="L1031" s="69">
        <f>IF(J1031="syllables",1,IF(J1031="trigrams",1,IF(J1031="strings",1,IF(J1031="visual array",1,IF(J1031="characters",1,IF(J1031="letters",1,IF(J1031="free forms",1,IF(J1031="odors",2,IF(J1031="words",2,IF(J1031="pictures",2,IF(J1031="object pictures",2,IF(J1031="faces",2,IF(J1031="names",2,IF(J1031="idioms","2",IF(J1031="grades",2,IF(J1031="syllable-digit pairs",3,IF(J1031="trigram-word pairs",3,IF(J1031="word-digit pairs",3,IF(J1031="English-Swahili pairs",3,IF(J1031="spatial position",3,IF(J1031="word pairs",4,IF(J1031="word triads",4,IF(J1031="generated words",4,IF(J1031="word definition pairs",4,IF(J1031="math problems",4,IF(J1031="famous faces",4,IF(J1031="famous names",4,IF(J1031="famous voices",4,IF(J1031="television programs",4,IF(J1031="race horses",4,IF(J1031="new vocabulary",4,IF(J1031="sentences",5,IF(J1031="concepts",5,IF(J1031="ad slides",5,IF(J1031="scenes",5,IF(J1031="famous scenes",5,IF(J1031="poems",6,IF(J1031="walk",6,IF(J1031="faces and events",6,IF(J1031="events and names",6,IF(J1031="flashbulb",7,IF(J1031="stories",7,IF(J1031="course material",7,IF(J1031="autobiographical",7,IF(J1031="novels",7,IF(J1031="public events",7,"99"))))))))))))))))))))))))))))))))))))))))))))))</f>
        <v>4</v>
      </c>
      <c r="M1031" s="99">
        <v>1</v>
      </c>
      <c r="N1031" s="86">
        <v>3</v>
      </c>
      <c r="O1031" s="99">
        <v>0</v>
      </c>
      <c r="P1031" s="69"/>
      <c r="Q1031" s="69" t="s">
        <v>182</v>
      </c>
      <c r="R1031" s="69">
        <f>IF(Q1031="Free Recall",1,IF(Q1031="Cued Recall",2,IF(Q1031="Recognition",3,IF(Q1031="Multiple Choice",4,IF(Q1031="Savings",5,IF(Q1031="Stem Completion",6,IF(Q1031="Fragment Completion",7,IF(Q1031="anagram solution",8,IF(Q1031="Matching",9,IF(Q1031="Problem Solving",10,"99"))))))))))</f>
        <v>4</v>
      </c>
      <c r="S1031" s="69" t="s">
        <v>15</v>
      </c>
      <c r="T1031" s="92" t="s">
        <v>581</v>
      </c>
      <c r="U1031" s="69">
        <f>IF(T1031="within",1,0)</f>
        <v>1</v>
      </c>
      <c r="V1031" s="92">
        <v>141</v>
      </c>
      <c r="W1031" s="69">
        <f>F1031*V1031</f>
        <v>564</v>
      </c>
      <c r="X1031" s="69">
        <v>4</v>
      </c>
      <c r="Y1031" s="87">
        <f>AV1030</f>
        <v>157680000</v>
      </c>
      <c r="Z1031" s="92" t="s">
        <v>375</v>
      </c>
      <c r="AA1031" s="69">
        <f>35*365*24*60*60</f>
        <v>1103760000</v>
      </c>
      <c r="AB1031" s="69" t="str">
        <f>IF(AA1031&lt;60,"1",IF(AA1031&lt;=43200,"2",IF(AA1031&lt;=777600,"3","4")))</f>
        <v>4</v>
      </c>
      <c r="AC1031" s="72">
        <f>AVERAGE(AV1030:DA1030)</f>
        <v>630720000</v>
      </c>
      <c r="AD1031" s="69" t="str">
        <f>IF(AC1031&lt;60,"1",IF(AC1031&lt;=43200,"2",IF(AC1031&lt;=777600,"3","4")))</f>
        <v>4</v>
      </c>
      <c r="AE1031" s="87">
        <f>AA1031-Y1031</f>
        <v>946080000</v>
      </c>
      <c r="AF1031" s="88">
        <f>AV1031</f>
        <v>0.8</v>
      </c>
      <c r="AG1031" s="72">
        <f>((AW1031-AV1031)+(AX1031-AW1031)+(AY1031-AX1031))/3</f>
        <v>1.1111111111111108E-2</v>
      </c>
      <c r="AH1031" s="4"/>
      <c r="AI1031" s="72">
        <f>RSQ(AV1031:AY1031,AV1030:AY1030)</f>
        <v>4.3517240026618668E-3</v>
      </c>
      <c r="AJ1031" s="110">
        <f>SLOPE(AV1031:AY1031,AV1030:AY1030)</f>
        <v>-1.1606744136256142E-11</v>
      </c>
      <c r="AK1031" s="72">
        <f>INTERCEPT(AV1031:AY1031,AV1030:AY1030)</f>
        <v>0.86109501865262239</v>
      </c>
      <c r="AL1031" s="72">
        <f>INDEX(LINEST(LN(AV1031:AY1031),LN(AV1030:AY1030),TRUE,TRUE),3,1)</f>
        <v>2.480064981848638E-2</v>
      </c>
      <c r="AM1031" s="72">
        <f>INDEX(LINEST(LN(AV1031:AY1031),LN(AV1030:AY1030)),1)</f>
        <v>1.502067894467923E-2</v>
      </c>
      <c r="AN1031" s="72">
        <f>EXP(INDEX(LINEST(LN(AV1031:AY1031),LN(AV1030:AY1030)),1,2))</f>
        <v>0.63026207063652961</v>
      </c>
      <c r="AO1031" s="89">
        <f>INDEX(LINEST((AV1031:AY1031),LN(AV1030:AY1030),TRUE,TRUE),3,1)</f>
        <v>1.9971763776646365E-2</v>
      </c>
      <c r="AP1031" s="89">
        <f>INDEX(LINEST((AV1031:AY1031),LN(AV1030:AY1030)),1)</f>
        <v>1.1905644027409606E-2</v>
      </c>
      <c r="AQ1031" s="90">
        <f>INDEX(LINEST(LN(AV1031:AY1031),SQRT(AV1030:AY1030),TRUE,TRUE),3,1)</f>
        <v>2.4020915454977068E-3</v>
      </c>
      <c r="AR1031" s="117">
        <f>INDEX(LINEST(LN(AV1031:AY1031),SQRT((AV1030:AY1030))),1)</f>
        <v>4.46579894346543E-7</v>
      </c>
      <c r="AS1031" s="91">
        <f>INDEX(LINEST(1/(AV1031:AY1031),1/(SQRT(AV1030:AY1030)),TRUE,TRUE),3,1)</f>
        <v>7.599699964598193E-2</v>
      </c>
      <c r="AT1031" s="91">
        <f>INDEX(LINEST(1/(AV1031:AY1031),1/SQRT(AV1030:AY1030)),1)</f>
        <v>1143.2526692259078</v>
      </c>
      <c r="AU1031" s="3"/>
      <c r="AV1031" s="95">
        <v>0.8</v>
      </c>
      <c r="AW1031" s="95">
        <v>0.95918367346938771</v>
      </c>
      <c r="AX1031" s="95">
        <v>0.82258064516129037</v>
      </c>
      <c r="AY1031" s="95">
        <v>0.83333333333333337</v>
      </c>
      <c r="AZ1031" s="46"/>
      <c r="BA1031" s="42"/>
      <c r="BB1031" s="42"/>
      <c r="BC1031" s="30"/>
      <c r="BD1031" s="30"/>
      <c r="BE1031" s="30"/>
      <c r="BF1031" s="30"/>
      <c r="BG1031" s="30"/>
      <c r="BH1031" s="30"/>
      <c r="BI1031" s="30"/>
      <c r="BJ1031" s="30"/>
      <c r="BK1031" s="30"/>
      <c r="BL1031" s="30"/>
      <c r="BM1031" s="30"/>
      <c r="BN1031" s="30"/>
      <c r="BO1031" s="30"/>
      <c r="BP1031" s="30"/>
      <c r="BQ1031" s="30"/>
      <c r="BR1031" s="30"/>
      <c r="BS1031" s="30"/>
      <c r="BT1031" s="30"/>
      <c r="BU1031" s="30"/>
      <c r="BV1031" s="30"/>
      <c r="BW1031" s="30"/>
      <c r="BX1031" s="30"/>
      <c r="BY1031" s="30"/>
      <c r="BZ1031" s="30"/>
      <c r="CA1031" s="30"/>
      <c r="CB1031" s="30"/>
      <c r="CC1031" s="30"/>
      <c r="CD1031" s="30"/>
      <c r="CE1031" s="30"/>
      <c r="CF1031" s="30"/>
      <c r="CG1031" s="30"/>
      <c r="CH1031" s="30"/>
      <c r="CI1031" s="30"/>
      <c r="CJ1031" s="30"/>
      <c r="CK1031" s="30"/>
      <c r="CL1031" s="30"/>
      <c r="CM1031" s="30"/>
      <c r="CN1031" s="30"/>
      <c r="CO1031" s="30"/>
      <c r="CP1031" s="30"/>
      <c r="CQ1031" s="30"/>
      <c r="CR1031" s="1"/>
      <c r="CS1031" s="1"/>
      <c r="CT1031" s="1"/>
      <c r="CU1031" s="1"/>
    </row>
    <row r="1032" spans="1:99" s="13" customFormat="1" ht="12" customHeight="1" x14ac:dyDescent="0.2">
      <c r="A1032" s="68">
        <v>43897</v>
      </c>
      <c r="B1032" s="67"/>
      <c r="C1032" s="67"/>
      <c r="D1032" s="86"/>
      <c r="E1032" s="87"/>
      <c r="F1032" s="69"/>
      <c r="G1032" s="69"/>
      <c r="H1032" s="69"/>
      <c r="I1032" s="69"/>
      <c r="J1032" s="69"/>
      <c r="K1032" s="107"/>
      <c r="L1032" s="107"/>
      <c r="M1032" s="69"/>
      <c r="N1032" s="69"/>
      <c r="O1032" s="69"/>
      <c r="P1032" s="69"/>
      <c r="Q1032" s="69"/>
      <c r="R1032" s="69"/>
      <c r="S1032" s="69"/>
      <c r="T1032" s="69"/>
      <c r="U1032" s="69"/>
      <c r="V1032" s="69"/>
      <c r="W1032" s="69"/>
      <c r="X1032" s="69"/>
      <c r="Y1032" s="87"/>
      <c r="Z1032" s="69"/>
      <c r="AA1032" s="69"/>
      <c r="AB1032" s="69"/>
      <c r="AC1032" s="72"/>
      <c r="AD1032" s="69"/>
      <c r="AE1032" s="69"/>
      <c r="AF1032" s="88"/>
      <c r="AG1032" s="72"/>
      <c r="AH1032" s="4"/>
      <c r="AI1032" s="72"/>
      <c r="AJ1032" s="110"/>
      <c r="AK1032" s="72"/>
      <c r="AL1032" s="72"/>
      <c r="AM1032" s="72"/>
      <c r="AN1032" s="72"/>
      <c r="AO1032" s="89"/>
      <c r="AP1032" s="89"/>
      <c r="AQ1032" s="90"/>
      <c r="AR1032" s="117"/>
      <c r="AS1032" s="91"/>
      <c r="AT1032" s="91"/>
      <c r="AU1032" s="3"/>
      <c r="AV1032" s="71">
        <v>157680000</v>
      </c>
      <c r="AW1032" s="71">
        <v>473040000</v>
      </c>
      <c r="AX1032" s="71">
        <v>788400000</v>
      </c>
      <c r="AY1032" s="71">
        <v>1103760000</v>
      </c>
      <c r="AZ1032" s="46"/>
      <c r="BA1032" s="42"/>
      <c r="BB1032" s="42"/>
      <c r="BC1032" s="30"/>
      <c r="BD1032" s="30"/>
      <c r="BE1032" s="30"/>
      <c r="BF1032" s="30"/>
      <c r="BG1032" s="30"/>
      <c r="BH1032" s="30"/>
      <c r="BI1032" s="30"/>
      <c r="BJ1032" s="30"/>
      <c r="BK1032" s="30"/>
      <c r="BL1032" s="30"/>
      <c r="BM1032" s="30"/>
      <c r="BN1032" s="30"/>
      <c r="BO1032" s="30"/>
      <c r="BP1032" s="30"/>
      <c r="BQ1032" s="30"/>
      <c r="BR1032" s="30"/>
      <c r="BS1032" s="30"/>
      <c r="BT1032" s="30"/>
      <c r="BU1032" s="30"/>
      <c r="BV1032" s="30"/>
      <c r="BW1032" s="30"/>
      <c r="BX1032" s="30"/>
      <c r="BY1032" s="30"/>
      <c r="BZ1032" s="30"/>
      <c r="CA1032" s="30"/>
      <c r="CB1032" s="30"/>
      <c r="CC1032" s="30"/>
      <c r="CD1032" s="30"/>
      <c r="CE1032" s="30"/>
      <c r="CF1032" s="30"/>
      <c r="CG1032" s="30"/>
      <c r="CH1032" s="30"/>
      <c r="CI1032" s="30"/>
      <c r="CJ1032" s="30"/>
      <c r="CK1032" s="30"/>
      <c r="CL1032" s="30"/>
      <c r="CM1032" s="30"/>
      <c r="CN1032" s="30"/>
      <c r="CO1032" s="30"/>
      <c r="CP1032" s="30"/>
      <c r="CQ1032" s="30"/>
      <c r="CR1032" s="1"/>
      <c r="CS1032" s="1"/>
      <c r="CT1032" s="1"/>
      <c r="CU1032" s="1"/>
    </row>
    <row r="1033" spans="1:99" s="13" customFormat="1" ht="12" customHeight="1" x14ac:dyDescent="0.2">
      <c r="A1033" s="68">
        <v>43897</v>
      </c>
      <c r="B1033" s="70" t="s">
        <v>400</v>
      </c>
      <c r="C1033" s="70" t="s">
        <v>401</v>
      </c>
      <c r="D1033" s="69">
        <v>1998</v>
      </c>
      <c r="E1033" s="106">
        <v>2</v>
      </c>
      <c r="F1033" s="69">
        <v>4</v>
      </c>
      <c r="G1033" s="69">
        <v>4</v>
      </c>
      <c r="H1033" s="69" t="s">
        <v>44</v>
      </c>
      <c r="I1033" s="69" t="s">
        <v>330</v>
      </c>
      <c r="J1033" s="69" t="s">
        <v>367</v>
      </c>
      <c r="K1033" s="69">
        <f>IF(J1033="syllables",1,IF(J1033="trigrams",2,IF(J1033="strings",3,IF(J1033="visual array",4,IF(J1033="characters",5,IF(J1033="letters",6,IF(J1033="free forms",7,IF(J1033="odors",8,IF(J1033="words",9,IF(J1033="pictures",10,IF(J1033="object pictures",11,IF(J1033="faces",12,IF(J1033="names",13,IF(J1033="idioms",14,IF(J1033="grades",15,IF(J1033="syllable-digit pairs",16,IF(J1033="trigram-word pairs",17,IF(J1033="word-digit pairs",18,IF(J1033="English-Swahili pairs",19,IF(J1033="spatial position",20,IF(J1033="word pairs",21,IF(J1033="word triads",22,IF(J1033="generated words",23,IF(J1033="word definition pairs",24,IF(J1033="math problems",25,IF(J1033="famous faces",26,IF(J1033="famous names",27,IF(J1033="famous voices",28,IF(J1033="television programs",29,IF(J1033="race horses",30,IF(J1033="new vocabulary",31,IF(J1033="sentences",32,IF(J1033="concepts",33,IF(J1033="ad slides",34,IF(J1033="scenes",35,IF(J1033="famous scenes",36,IF(J1033="poems",37,IF(J1033="walk",38,IF(J1033="faces and events",39,IF(J1033="events and names",40,IF(J1033="flashbulb",41,IF(J1033="stories",42,IF(J1033="course material",43,IF(J1033="autobiographical",44,IF(J1033="novels",45,IF(J1033="public events",46,"99"))))))))))))))))))))))))))))))))))))))))))))))</f>
        <v>27</v>
      </c>
      <c r="L1033" s="69">
        <f>IF(J1033="syllables",1,IF(J1033="trigrams",1,IF(J1033="strings",1,IF(J1033="visual array",1,IF(J1033="characters",1,IF(J1033="letters",1,IF(J1033="free forms",1,IF(J1033="odors",2,IF(J1033="words",2,IF(J1033="pictures",2,IF(J1033="object pictures",2,IF(J1033="faces",2,IF(J1033="names",2,IF(J1033="idioms","2",IF(J1033="grades",2,IF(J1033="syllable-digit pairs",3,IF(J1033="trigram-word pairs",3,IF(J1033="word-digit pairs",3,IF(J1033="English-Swahili pairs",3,IF(J1033="spatial position",3,IF(J1033="word pairs",4,IF(J1033="word triads",4,IF(J1033="generated words",4,IF(J1033="word definition pairs",4,IF(J1033="math problems",4,IF(J1033="famous faces",4,IF(J1033="famous names",4,IF(J1033="famous voices",4,IF(J1033="television programs",4,IF(J1033="race horses",4,IF(J1033="new vocabulary",4,IF(J1033="sentences",5,IF(J1033="concepts",5,IF(J1033="ad slides",5,IF(J1033="scenes",5,IF(J1033="famous scenes",5,IF(J1033="poems",6,IF(J1033="walk",6,IF(J1033="faces and events",6,IF(J1033="events and names",6,IF(J1033="flashbulb",7,IF(J1033="stories",7,IF(J1033="course material",7,IF(J1033="autobiographical",7,IF(J1033="novels",7,IF(J1033="public events",7,"99"))))))))))))))))))))))))))))))))))))))))))))))</f>
        <v>4</v>
      </c>
      <c r="M1033" s="99">
        <v>1</v>
      </c>
      <c r="N1033" s="69">
        <v>3</v>
      </c>
      <c r="O1033" s="99">
        <v>0</v>
      </c>
      <c r="P1033" s="69"/>
      <c r="Q1033" s="69" t="s">
        <v>65</v>
      </c>
      <c r="R1033" s="69">
        <f>IF(Q1033="Free Recall",1,IF(Q1033="Cued Recall",2,IF(Q1033="Recognition",3,IF(Q1033="Multiple Choice",4,IF(Q1033="Savings",5,IF(Q1033="Stem Completion",6,IF(Q1033="Fragment Completion",7,IF(Q1033="anagram solution",8,IF(Q1033="Matching",9,IF(Q1033="Problem Solving",10,"99"))))))))))</f>
        <v>2</v>
      </c>
      <c r="S1033" s="69" t="s">
        <v>49</v>
      </c>
      <c r="T1033" s="92" t="s">
        <v>581</v>
      </c>
      <c r="U1033" s="69">
        <f>IF(T1033="within",1,0)</f>
        <v>1</v>
      </c>
      <c r="V1033" s="92">
        <v>65</v>
      </c>
      <c r="W1033" s="69">
        <f>F1033*V1033</f>
        <v>260</v>
      </c>
      <c r="X1033" s="69">
        <v>4</v>
      </c>
      <c r="Y1033" s="87">
        <f>AV1032</f>
        <v>157680000</v>
      </c>
      <c r="Z1033" s="92" t="s">
        <v>375</v>
      </c>
      <c r="AA1033" s="69">
        <f>35*365*24*60*60</f>
        <v>1103760000</v>
      </c>
      <c r="AB1033" s="69" t="str">
        <f>IF(AA1033&lt;60,"1",IF(AA1033&lt;=43200,"2",IF(AA1033&lt;=777600,"3","4")))</f>
        <v>4</v>
      </c>
      <c r="AC1033" s="72">
        <f>AVERAGE(AV1032:DA1032)</f>
        <v>630720000</v>
      </c>
      <c r="AD1033" s="69" t="str">
        <f>IF(AC1033&lt;60,"1",IF(AC1033&lt;=43200,"2",IF(AC1033&lt;=777600,"3","4")))</f>
        <v>4</v>
      </c>
      <c r="AE1033" s="87">
        <f>AA1033-Y1033</f>
        <v>946080000</v>
      </c>
      <c r="AF1033" s="88">
        <f>AV1033</f>
        <v>0.86</v>
      </c>
      <c r="AG1033" s="72">
        <f>((AW1033-AV1033)+(AX1033-AW1033)+(AY1033-AX1033))/3</f>
        <v>1.666666666666668E-2</v>
      </c>
      <c r="AH1033" s="4"/>
      <c r="AI1033" s="72">
        <f>RSQ(AV1033:AY1033,AV1032:AY1032)</f>
        <v>8.9887640449438904E-3</v>
      </c>
      <c r="AJ1033" s="110">
        <f>SLOPE(AV1033:AY1033,AV1032:AY1032)</f>
        <v>1.2683916793505883E-11</v>
      </c>
      <c r="AK1033" s="72">
        <f>INTERCEPT(AV1033:AY1033,AV1032:AY1032)</f>
        <v>0.89700000000000002</v>
      </c>
      <c r="AL1033" s="72">
        <f>INDEX(LINEST(LN(AV1033:AY1033),LN(AV1032:AY1032),TRUE,TRUE),3,1)</f>
        <v>7.3309126117614809E-2</v>
      </c>
      <c r="AM1033" s="72">
        <f>INDEX(LINEST(LN(AV1033:AY1033),LN(AV1032:AY1032)),1)</f>
        <v>1.8855715352677622E-2</v>
      </c>
      <c r="AN1033" s="72">
        <f>EXP(INDEX(LINEST(LN(AV1033:AY1033),LN(AV1032:AY1032)),1,2))</f>
        <v>0.61939630198620299</v>
      </c>
      <c r="AO1033" s="89">
        <f>INDEX(LINEST((AV1033:AY1033),LN(AV1032:AY1032),TRUE,TRUE),3,1)</f>
        <v>6.6375059912586049E-2</v>
      </c>
      <c r="AP1033" s="89">
        <f>INDEX(LINEST((AV1033:AY1033),LN(AV1032:AY1032)),1)</f>
        <v>1.6503300255588927E-2</v>
      </c>
      <c r="AQ1033" s="90">
        <f>INDEX(LINEST(LN(AV1033:AY1033),SQRT(AV1032:AY1032),TRUE,TRUE),3,1)</f>
        <v>3.4543667436089651E-2</v>
      </c>
      <c r="AR1033" s="117">
        <f>INDEX(LINEST(LN(AV1033:AY1033),SQRT((AV1032:AY1032))),1)</f>
        <v>1.2365012792471456E-6</v>
      </c>
      <c r="AS1033" s="91">
        <f>INDEX(LINEST(1/(AV1033:AY1033),1/(SQRT(AV1032:AY1032)),TRUE,TRUE),3,1)</f>
        <v>0.13198306413887681</v>
      </c>
      <c r="AT1033" s="91">
        <f>INDEX(LINEST(1/(AV1033:AY1033),1/SQRT(AV1032:AY1032)),1)</f>
        <v>1055.147157163834</v>
      </c>
      <c r="AU1033" s="3"/>
      <c r="AV1033" s="95">
        <v>0.86</v>
      </c>
      <c r="AW1033" s="95">
        <v>0.98</v>
      </c>
      <c r="AX1033" s="95">
        <v>0.87</v>
      </c>
      <c r="AY1033" s="95">
        <v>0.91</v>
      </c>
      <c r="AZ1033" s="46"/>
      <c r="BA1033" s="42"/>
      <c r="BB1033" s="42"/>
      <c r="BC1033" s="30"/>
      <c r="BD1033" s="30"/>
      <c r="BE1033" s="30"/>
      <c r="BF1033" s="30"/>
      <c r="BG1033" s="30"/>
      <c r="BH1033" s="30"/>
      <c r="BI1033" s="30"/>
      <c r="BJ1033" s="30"/>
      <c r="BK1033" s="30"/>
      <c r="BL1033" s="30"/>
      <c r="BM1033" s="30"/>
      <c r="BN1033" s="30"/>
      <c r="BO1033" s="30"/>
      <c r="BP1033" s="30"/>
      <c r="BQ1033" s="30"/>
      <c r="BR1033" s="30"/>
      <c r="BS1033" s="30"/>
      <c r="BT1033" s="30"/>
      <c r="BU1033" s="30"/>
      <c r="BV1033" s="30"/>
      <c r="BW1033" s="30"/>
      <c r="BX1033" s="30"/>
      <c r="BY1033" s="30"/>
      <c r="BZ1033" s="30"/>
      <c r="CA1033" s="30"/>
      <c r="CB1033" s="30"/>
      <c r="CC1033" s="30"/>
      <c r="CD1033" s="30"/>
      <c r="CE1033" s="30"/>
      <c r="CF1033" s="30"/>
      <c r="CG1033" s="30"/>
      <c r="CH1033" s="30"/>
      <c r="CI1033" s="30"/>
      <c r="CJ1033" s="30"/>
      <c r="CK1033" s="30"/>
      <c r="CL1033" s="30"/>
      <c r="CM1033" s="30"/>
      <c r="CN1033" s="30"/>
      <c r="CO1033" s="30"/>
      <c r="CP1033" s="30"/>
      <c r="CQ1033" s="30"/>
      <c r="CR1033" s="1"/>
      <c r="CS1033" s="1"/>
      <c r="CT1033" s="1"/>
      <c r="CU1033" s="1"/>
    </row>
    <row r="1034" spans="1:99" s="13" customFormat="1" ht="12" customHeight="1" x14ac:dyDescent="0.2">
      <c r="A1034" s="68">
        <v>43897</v>
      </c>
      <c r="B1034" s="67"/>
      <c r="C1034" s="67"/>
      <c r="D1034" s="86"/>
      <c r="E1034" s="87"/>
      <c r="F1034" s="69"/>
      <c r="G1034" s="69"/>
      <c r="H1034" s="69"/>
      <c r="I1034" s="69"/>
      <c r="J1034" s="69"/>
      <c r="K1034" s="107"/>
      <c r="L1034" s="107"/>
      <c r="M1034" s="69"/>
      <c r="N1034" s="69"/>
      <c r="O1034" s="69"/>
      <c r="P1034" s="69"/>
      <c r="Q1034" s="69"/>
      <c r="R1034" s="69"/>
      <c r="S1034" s="69"/>
      <c r="T1034" s="69"/>
      <c r="U1034" s="69"/>
      <c r="V1034" s="69"/>
      <c r="W1034" s="69"/>
      <c r="X1034" s="69"/>
      <c r="Y1034" s="87"/>
      <c r="Z1034" s="69"/>
      <c r="AA1034" s="69"/>
      <c r="AB1034" s="69"/>
      <c r="AC1034" s="72"/>
      <c r="AD1034" s="69"/>
      <c r="AE1034" s="69"/>
      <c r="AF1034" s="88"/>
      <c r="AG1034" s="72"/>
      <c r="AH1034" s="4"/>
      <c r="AI1034" s="72"/>
      <c r="AJ1034" s="110"/>
      <c r="AK1034" s="72"/>
      <c r="AL1034" s="72"/>
      <c r="AM1034" s="72"/>
      <c r="AN1034" s="72"/>
      <c r="AO1034" s="89"/>
      <c r="AP1034" s="89"/>
      <c r="AQ1034" s="90"/>
      <c r="AR1034" s="117"/>
      <c r="AS1034" s="91"/>
      <c r="AT1034" s="91"/>
      <c r="AU1034" s="3"/>
      <c r="AV1034" s="71">
        <v>157680000</v>
      </c>
      <c r="AW1034" s="71">
        <v>473040000</v>
      </c>
      <c r="AX1034" s="71">
        <v>788400000</v>
      </c>
      <c r="AY1034" s="71">
        <v>1103760000</v>
      </c>
      <c r="AZ1034" s="46"/>
      <c r="BA1034" s="42"/>
      <c r="BB1034" s="42"/>
      <c r="BC1034" s="30"/>
      <c r="BD1034" s="30"/>
      <c r="BE1034" s="30"/>
      <c r="BF1034" s="30"/>
      <c r="BG1034" s="30"/>
      <c r="BH1034" s="30"/>
      <c r="BI1034" s="30"/>
      <c r="BJ1034" s="30"/>
      <c r="BK1034" s="30"/>
      <c r="BL1034" s="30"/>
      <c r="BM1034" s="30"/>
      <c r="BN1034" s="30"/>
      <c r="BO1034" s="30"/>
      <c r="BP1034" s="30"/>
      <c r="BQ1034" s="30"/>
      <c r="BR1034" s="30"/>
      <c r="BS1034" s="30"/>
      <c r="BT1034" s="30"/>
      <c r="BU1034" s="30"/>
      <c r="BV1034" s="30"/>
      <c r="BW1034" s="30"/>
      <c r="BX1034" s="30"/>
      <c r="BY1034" s="30"/>
      <c r="BZ1034" s="30"/>
      <c r="CA1034" s="30"/>
      <c r="CB1034" s="30"/>
      <c r="CC1034" s="30"/>
      <c r="CD1034" s="30"/>
      <c r="CE1034" s="30"/>
      <c r="CF1034" s="30"/>
      <c r="CG1034" s="30"/>
      <c r="CH1034" s="30"/>
      <c r="CI1034" s="30"/>
      <c r="CJ1034" s="30"/>
      <c r="CK1034" s="30"/>
      <c r="CL1034" s="30"/>
      <c r="CM1034" s="30"/>
      <c r="CN1034" s="30"/>
      <c r="CO1034" s="30"/>
      <c r="CP1034" s="30"/>
      <c r="CQ1034" s="30"/>
      <c r="CR1034" s="1"/>
      <c r="CS1034" s="1"/>
      <c r="CT1034" s="1"/>
      <c r="CU1034" s="1"/>
    </row>
    <row r="1035" spans="1:99" s="13" customFormat="1" ht="12" customHeight="1" x14ac:dyDescent="0.2">
      <c r="A1035" s="68">
        <v>43897</v>
      </c>
      <c r="B1035" s="70" t="s">
        <v>400</v>
      </c>
      <c r="C1035" s="70" t="s">
        <v>401</v>
      </c>
      <c r="D1035" s="69">
        <v>1998</v>
      </c>
      <c r="E1035" s="106">
        <v>2</v>
      </c>
      <c r="F1035" s="69">
        <v>4</v>
      </c>
      <c r="G1035" s="69">
        <v>4</v>
      </c>
      <c r="H1035" s="69" t="s">
        <v>44</v>
      </c>
      <c r="I1035" s="69" t="s">
        <v>330</v>
      </c>
      <c r="J1035" s="69" t="s">
        <v>367</v>
      </c>
      <c r="K1035" s="69">
        <f>IF(J1035="syllables",1,IF(J1035="trigrams",2,IF(J1035="strings",3,IF(J1035="visual array",4,IF(J1035="characters",5,IF(J1035="letters",6,IF(J1035="free forms",7,IF(J1035="odors",8,IF(J1035="words",9,IF(J1035="pictures",10,IF(J1035="object pictures",11,IF(J1035="faces",12,IF(J1035="names",13,IF(J1035="idioms",14,IF(J1035="grades",15,IF(J1035="syllable-digit pairs",16,IF(J1035="trigram-word pairs",17,IF(J1035="word-digit pairs",18,IF(J1035="English-Swahili pairs",19,IF(J1035="spatial position",20,IF(J1035="word pairs",21,IF(J1035="word triads",22,IF(J1035="generated words",23,IF(J1035="word definition pairs",24,IF(J1035="math problems",25,IF(J1035="famous faces",26,IF(J1035="famous names",27,IF(J1035="famous voices",28,IF(J1035="television programs",29,IF(J1035="race horses",30,IF(J1035="new vocabulary",31,IF(J1035="sentences",32,IF(J1035="concepts",33,IF(J1035="ad slides",34,IF(J1035="scenes",35,IF(J1035="famous scenes",36,IF(J1035="poems",37,IF(J1035="walk",38,IF(J1035="faces and events",39,IF(J1035="events and names",40,IF(J1035="flashbulb",41,IF(J1035="stories",42,IF(J1035="course material",43,IF(J1035="autobiographical",44,IF(J1035="novels",45,IF(J1035="public events",46,"99"))))))))))))))))))))))))))))))))))))))))))))))</f>
        <v>27</v>
      </c>
      <c r="L1035" s="69">
        <f>IF(J1035="syllables",1,IF(J1035="trigrams",1,IF(J1035="strings",1,IF(J1035="visual array",1,IF(J1035="characters",1,IF(J1035="letters",1,IF(J1035="free forms",1,IF(J1035="odors",2,IF(J1035="words",2,IF(J1035="pictures",2,IF(J1035="object pictures",2,IF(J1035="faces",2,IF(J1035="names",2,IF(J1035="idioms","2",IF(J1035="grades",2,IF(J1035="syllable-digit pairs",3,IF(J1035="trigram-word pairs",3,IF(J1035="word-digit pairs",3,IF(J1035="English-Swahili pairs",3,IF(J1035="spatial position",3,IF(J1035="word pairs",4,IF(J1035="word triads",4,IF(J1035="generated words",4,IF(J1035="word definition pairs",4,IF(J1035="math problems",4,IF(J1035="famous faces",4,IF(J1035="famous names",4,IF(J1035="famous voices",4,IF(J1035="television programs",4,IF(J1035="race horses",4,IF(J1035="new vocabulary",4,IF(J1035="sentences",5,IF(J1035="concepts",5,IF(J1035="ad slides",5,IF(J1035="scenes",5,IF(J1035="famous scenes",5,IF(J1035="poems",6,IF(J1035="walk",6,IF(J1035="faces and events",6,IF(J1035="events and names",6,IF(J1035="flashbulb",7,IF(J1035="stories",7,IF(J1035="course material",7,IF(J1035="autobiographical",7,IF(J1035="novels",7,IF(J1035="public events",7,"99"))))))))))))))))))))))))))))))))))))))))))))))</f>
        <v>4</v>
      </c>
      <c r="M1035" s="99">
        <v>1</v>
      </c>
      <c r="N1035" s="69">
        <v>3</v>
      </c>
      <c r="O1035" s="99">
        <v>0</v>
      </c>
      <c r="P1035" s="69"/>
      <c r="Q1035" s="69" t="s">
        <v>182</v>
      </c>
      <c r="R1035" s="69">
        <f>IF(Q1035="Free Recall",1,IF(Q1035="Cued Recall",2,IF(Q1035="Recognition",3,IF(Q1035="Multiple Choice",4,IF(Q1035="Savings",5,IF(Q1035="Stem Completion",6,IF(Q1035="Fragment Completion",7,IF(Q1035="anagram solution",8,IF(Q1035="Matching",9,IF(Q1035="Problem Solving",10,"99"))))))))))</f>
        <v>4</v>
      </c>
      <c r="S1035" s="69" t="s">
        <v>15</v>
      </c>
      <c r="T1035" s="92" t="s">
        <v>581</v>
      </c>
      <c r="U1035" s="69">
        <f>IF(T1035="within",1,0)</f>
        <v>1</v>
      </c>
      <c r="V1035" s="92">
        <v>70</v>
      </c>
      <c r="W1035" s="69">
        <f>F1035*V1035</f>
        <v>280</v>
      </c>
      <c r="X1035" s="69">
        <v>4</v>
      </c>
      <c r="Y1035" s="87">
        <f>AV1034</f>
        <v>157680000</v>
      </c>
      <c r="Z1035" s="92" t="s">
        <v>375</v>
      </c>
      <c r="AA1035" s="69">
        <f>35*365*24*60*60</f>
        <v>1103760000</v>
      </c>
      <c r="AB1035" s="69" t="str">
        <f>IF(AA1035&lt;60,"1",IF(AA1035&lt;=43200,"2",IF(AA1035&lt;=777600,"3","4")))</f>
        <v>4</v>
      </c>
      <c r="AC1035" s="72">
        <f>AVERAGE(AV1034:DA1034)</f>
        <v>630720000</v>
      </c>
      <c r="AD1035" s="69" t="str">
        <f>IF(AC1035&lt;60,"1",IF(AC1035&lt;=43200,"2",IF(AC1035&lt;=777600,"3","4")))</f>
        <v>4</v>
      </c>
      <c r="AE1035" s="87">
        <f>AA1035-Y1035</f>
        <v>946080000</v>
      </c>
      <c r="AF1035" s="88">
        <f>AV1035</f>
        <v>1</v>
      </c>
      <c r="AG1035" s="72">
        <f>((AW1035-AV1035)+(AX1035-AW1035)+(AY1035-AX1035))/3</f>
        <v>-1.3888888888888876E-2</v>
      </c>
      <c r="AH1035" s="4"/>
      <c r="AI1035" s="72">
        <f>RSQ(AV1035:AY1035,AV1034:AY1034)</f>
        <v>0.59999999999999987</v>
      </c>
      <c r="AJ1035" s="110">
        <f>SLOPE(AV1035:AY1035,AV1034:AY1034)</f>
        <v>-3.9637239979705694E-11</v>
      </c>
      <c r="AK1035" s="72">
        <f>INTERCEPT(AV1035:AY1035,AV1034:AY1034)</f>
        <v>1.0145833333333334</v>
      </c>
      <c r="AL1035" s="72">
        <f>INDEX(LINEST(LN(AV1035:AY1035),LN(AV1034:AY1034),TRUE,TRUE),3,1)</f>
        <v>0.3763269848771037</v>
      </c>
      <c r="AM1035" s="72">
        <f>INDEX(LINEST(LN(AV1035:AY1035),LN(AV1034:AY1034)),1)</f>
        <v>-1.5352684727363144E-2</v>
      </c>
      <c r="AN1035" s="72">
        <f>EXP(INDEX(LINEST(LN(AV1035:AY1035),LN(AV1034:AY1034)),1,2))</f>
        <v>1.345843926193885</v>
      </c>
      <c r="AO1035" s="89">
        <f>INDEX(LINEST((AV1035:AY1035),LN(AV1034:AY1034),TRUE,TRUE),3,1)</f>
        <v>0.37632698487710392</v>
      </c>
      <c r="AP1035" s="89">
        <f>INDEX(LINEST((AV1035:AY1035),LN(AV1034:AY1034)),1)</f>
        <v>-1.5030568432287082E-2</v>
      </c>
      <c r="AQ1035" s="90">
        <f>INDEX(LINEST(LN(AV1035:AY1035),SQRT(AV1034:AY1034),TRUE,TRUE),3,1)</f>
        <v>0.48741027341118975</v>
      </c>
      <c r="AR1035" s="117">
        <f>INDEX(LINEST(LN(AV1035:AY1035),SQRT((AV1034:AY1034))),1)</f>
        <v>-1.6691499218757742E-6</v>
      </c>
      <c r="AS1035" s="91">
        <f>INDEX(LINEST(1/(AV1035:AY1035),1/(SQRT(AV1034:AY1034)),TRUE,TRUE),3,1)</f>
        <v>0.28353608667563918</v>
      </c>
      <c r="AT1035" s="91">
        <f>INDEX(LINEST(1/(AV1035:AY1035),1/SQRT(AV1034:AY1034)),1)</f>
        <v>-521.4023972509475</v>
      </c>
      <c r="AU1035" s="3"/>
      <c r="AV1035" s="95">
        <v>1</v>
      </c>
      <c r="AW1035" s="95">
        <v>1</v>
      </c>
      <c r="AX1035" s="95">
        <v>1</v>
      </c>
      <c r="AY1035" s="95">
        <v>0.95833333333333337</v>
      </c>
      <c r="AZ1035" s="46"/>
      <c r="BA1035" s="42"/>
      <c r="BB1035" s="42"/>
      <c r="BC1035" s="30"/>
      <c r="BD1035" s="30"/>
      <c r="BE1035" s="30"/>
      <c r="BF1035" s="30"/>
      <c r="BG1035" s="30"/>
      <c r="BH1035" s="30"/>
      <c r="BI1035" s="30"/>
      <c r="BJ1035" s="30"/>
      <c r="BK1035" s="30"/>
      <c r="BL1035" s="30"/>
      <c r="BM1035" s="30"/>
      <c r="BN1035" s="30"/>
      <c r="BO1035" s="30"/>
      <c r="BP1035" s="30"/>
      <c r="BQ1035" s="30"/>
      <c r="BR1035" s="30"/>
      <c r="BS1035" s="30"/>
      <c r="BT1035" s="30"/>
      <c r="BU1035" s="30"/>
      <c r="BV1035" s="30"/>
      <c r="BW1035" s="30"/>
      <c r="BX1035" s="30"/>
      <c r="BY1035" s="30"/>
      <c r="BZ1035" s="30"/>
      <c r="CA1035" s="30"/>
      <c r="CB1035" s="30"/>
      <c r="CC1035" s="30"/>
      <c r="CD1035" s="30"/>
      <c r="CE1035" s="30"/>
      <c r="CF1035" s="30"/>
      <c r="CG1035" s="30"/>
      <c r="CH1035" s="30"/>
      <c r="CI1035" s="30"/>
      <c r="CJ1035" s="30"/>
      <c r="CK1035" s="30"/>
      <c r="CL1035" s="30"/>
      <c r="CM1035" s="30"/>
      <c r="CN1035" s="30"/>
      <c r="CO1035" s="30"/>
      <c r="CP1035" s="30"/>
      <c r="CQ1035" s="30"/>
      <c r="CR1035" s="1"/>
      <c r="CS1035" s="1"/>
      <c r="CT1035" s="1"/>
      <c r="CU1035" s="1"/>
    </row>
    <row r="1036" spans="1:99" s="13" customFormat="1" ht="12" customHeight="1" x14ac:dyDescent="0.2">
      <c r="A1036" s="65">
        <v>43897</v>
      </c>
      <c r="B1036" s="1"/>
      <c r="C1036" s="1"/>
      <c r="D1036" s="60"/>
      <c r="E1036" s="76"/>
      <c r="F1036" s="60"/>
      <c r="G1036" s="60"/>
      <c r="H1036" s="60"/>
      <c r="I1036" s="60"/>
      <c r="J1036" s="60"/>
      <c r="K1036" s="64"/>
      <c r="L1036" s="64"/>
      <c r="M1036" s="62"/>
      <c r="N1036" s="60"/>
      <c r="O1036" s="62"/>
      <c r="P1036" s="60"/>
      <c r="Q1036" s="60"/>
      <c r="R1036" s="60"/>
      <c r="S1036" s="60"/>
      <c r="T1036" s="60"/>
      <c r="U1036" s="60"/>
      <c r="V1036" s="60"/>
      <c r="W1036" s="60"/>
      <c r="X1036" s="60"/>
      <c r="Y1036" s="76"/>
      <c r="Z1036" s="60"/>
      <c r="AA1036" s="60"/>
      <c r="AB1036" s="60"/>
      <c r="AC1036" s="56"/>
      <c r="AD1036" s="60"/>
      <c r="AE1036" s="60"/>
      <c r="AF1036" s="80"/>
      <c r="AG1036" s="56"/>
      <c r="AH1036" s="4"/>
      <c r="AI1036" s="56"/>
      <c r="AJ1036" s="109"/>
      <c r="AK1036" s="56"/>
      <c r="AL1036" s="56"/>
      <c r="AM1036" s="56"/>
      <c r="AN1036" s="56"/>
      <c r="AO1036" s="56"/>
      <c r="AP1036" s="56"/>
      <c r="AQ1036" s="56"/>
      <c r="AR1036" s="109"/>
      <c r="AS1036" s="56"/>
      <c r="AT1036" s="56"/>
      <c r="AU1036" s="5"/>
      <c r="AV1036" s="25">
        <v>315360000</v>
      </c>
      <c r="AW1036" s="25">
        <v>473040000</v>
      </c>
      <c r="AX1036" s="25">
        <v>788400000</v>
      </c>
      <c r="AY1036" s="49">
        <v>1419120000</v>
      </c>
      <c r="AZ1036" s="46"/>
      <c r="BA1036" s="42"/>
      <c r="BB1036" s="42"/>
      <c r="BC1036" s="30"/>
      <c r="BD1036" s="30"/>
      <c r="BE1036" s="30"/>
      <c r="BF1036" s="30"/>
      <c r="BG1036" s="30"/>
      <c r="BH1036" s="30"/>
      <c r="BI1036" s="30"/>
      <c r="BJ1036" s="30"/>
      <c r="BK1036" s="30"/>
      <c r="BL1036" s="30"/>
      <c r="BM1036" s="30"/>
      <c r="BN1036" s="30"/>
      <c r="BO1036" s="30"/>
      <c r="BP1036" s="30"/>
      <c r="BQ1036" s="30"/>
      <c r="BR1036" s="30"/>
      <c r="BS1036" s="30"/>
      <c r="BT1036" s="30"/>
      <c r="BU1036" s="30"/>
      <c r="BV1036" s="30"/>
      <c r="BW1036" s="30"/>
      <c r="BX1036" s="30"/>
      <c r="BY1036" s="30"/>
      <c r="BZ1036" s="30"/>
      <c r="CA1036" s="30"/>
      <c r="CB1036" s="30"/>
      <c r="CC1036" s="30"/>
      <c r="CD1036" s="30"/>
      <c r="CE1036" s="30"/>
      <c r="CF1036" s="30"/>
      <c r="CG1036" s="30"/>
      <c r="CH1036" s="30"/>
      <c r="CI1036" s="30"/>
      <c r="CJ1036" s="30"/>
      <c r="CK1036" s="30"/>
      <c r="CL1036" s="30"/>
      <c r="CM1036" s="30"/>
      <c r="CN1036" s="30"/>
      <c r="CO1036" s="30"/>
      <c r="CP1036" s="30"/>
      <c r="CQ1036" s="30"/>
      <c r="CR1036" s="1"/>
      <c r="CS1036" s="1"/>
      <c r="CT1036" s="1"/>
      <c r="CU1036" s="1"/>
    </row>
    <row r="1037" spans="1:99" s="13" customFormat="1" ht="12" customHeight="1" x14ac:dyDescent="0.2">
      <c r="A1037" s="65">
        <v>43897</v>
      </c>
      <c r="B1037" s="1" t="s">
        <v>402</v>
      </c>
      <c r="C1037" s="1" t="s">
        <v>54</v>
      </c>
      <c r="D1037" s="60">
        <v>1998</v>
      </c>
      <c r="E1037" s="78">
        <v>1</v>
      </c>
      <c r="F1037" s="60">
        <v>1</v>
      </c>
      <c r="G1037" s="60">
        <v>1</v>
      </c>
      <c r="H1037" s="60" t="s">
        <v>38</v>
      </c>
      <c r="I1037" s="60" t="s">
        <v>330</v>
      </c>
      <c r="J1037" s="60" t="s">
        <v>403</v>
      </c>
      <c r="K1037" s="60">
        <f>IF(J1037="syllables",1,IF(J1037="trigrams",2,IF(J1037="strings",3,IF(J1037="visual array",4,IF(J1037="characters",5,IF(J1037="letters",6,IF(J1037="free forms",7,IF(J1037="odors",8,IF(J1037="words",9,IF(J1037="pictures",10,IF(J1037="object pictures",11,IF(J1037="faces",12,IF(J1037="names",13,IF(J1037="idioms",14,IF(J1037="grades",15,IF(J1037="syllable-digit pairs",16,IF(J1037="trigram-word pairs",17,IF(J1037="word-digit pairs",18,IF(J1037="English-Swahili pairs",19,IF(J1037="spatial position",20,IF(J1037="word pairs",21,IF(J1037="word triads",22,IF(J1037="generated words",23,IF(J1037="word definition pairs",24,IF(J1037="math problems",25,IF(J1037="famous faces",26,IF(J1037="famous names",27,IF(J1037="famous voices",28,IF(J1037="television programs",29,IF(J1037="race horses",30,IF(J1037="new vocabulary",31,IF(J1037="sentences",32,IF(J1037="concepts",33,IF(J1037="ad slides",34,IF(J1037="scenes",35,IF(J1037="famous scenes",36,IF(J1037="poems",37,IF(J1037="walk",38,IF(J1037="faces and events",39,IF(J1037="events and names",40,IF(J1037="flashbulb",41,IF(J1037="stories",42,IF(J1037="course material",43,IF(J1037="autobiographical",44,IF(J1037="novels",45,IF(J1037="public events",46,"99"))))))))))))))))))))))))))))))))))))))))))))))</f>
        <v>40</v>
      </c>
      <c r="L1037" s="60">
        <f>IF(J1037="syllables",1,IF(J1037="trigrams",1,IF(J1037="strings",1,IF(J1037="visual array",1,IF(J1037="characters",1,IF(J1037="letters",1,IF(J1037="free forms",1,IF(J1037="odors",2,IF(J1037="words",2,IF(J1037="pictures",2,IF(J1037="object pictures",2,IF(J1037="faces",2,IF(J1037="names",2,IF(J1037="idioms","2",IF(J1037="grades",2,IF(J1037="syllable-digit pairs",3,IF(J1037="trigram-word pairs",3,IF(J1037="word-digit pairs",3,IF(J1037="English-Swahili pairs",3,IF(J1037="spatial position",3,IF(J1037="word pairs",4,IF(J1037="word triads",4,IF(J1037="generated words",4,IF(J1037="word definition pairs",4,IF(J1037="math problems",4,IF(J1037="famous faces",4,IF(J1037="famous names",4,IF(J1037="famous voices",4,IF(J1037="television programs",4,IF(J1037="race horses",4,IF(J1037="new vocabulary",4,IF(J1037="sentences",5,IF(J1037="concepts",5,IF(J1037="ad slides",5,IF(J1037="scenes",5,IF(J1037="famous scenes",5,IF(J1037="poems",6,IF(J1037="walk",6,IF(J1037="faces and events",6,IF(J1037="events and names",6,IF(J1037="flashbulb",7,IF(J1037="stories",7,IF(J1037="course material",7,IF(J1037="autobiographical",7,IF(J1037="novels",7,IF(J1037="public events",7,"99"))))))))))))))))))))))))))))))))))))))))))))))</f>
        <v>6</v>
      </c>
      <c r="M1037" s="62">
        <v>1</v>
      </c>
      <c r="N1037" s="60">
        <v>4</v>
      </c>
      <c r="O1037" s="62">
        <v>0</v>
      </c>
      <c r="P1037" s="60"/>
      <c r="Q1037" s="60" t="s">
        <v>34</v>
      </c>
      <c r="R1037" s="60">
        <f>IF(Q1037="Free Recall",1,IF(Q1037="Cued Recall",2,IF(Q1037="Recognition",3,IF(Q1037="Multiple Choice",4,IF(Q1037="Savings",5,IF(Q1037="Stem Completion",6,IF(Q1037="Fragment Completion",7,IF(Q1037="anagram solution",8,IF(Q1037="Matching",9,IF(Q1037="Problem Solving",10,"99"))))))))))</f>
        <v>3</v>
      </c>
      <c r="S1037" s="60" t="s">
        <v>15</v>
      </c>
      <c r="T1037" s="59" t="s">
        <v>581</v>
      </c>
      <c r="U1037" s="60">
        <f>IF(T1037="within",1,0)</f>
        <v>1</v>
      </c>
      <c r="V1037" s="59">
        <v>40</v>
      </c>
      <c r="W1037" s="60">
        <f>F1037*V1037</f>
        <v>40</v>
      </c>
      <c r="X1037" s="60">
        <v>4</v>
      </c>
      <c r="Y1037" s="76">
        <f>AV1036</f>
        <v>315360000</v>
      </c>
      <c r="Z1037" s="59" t="s">
        <v>375</v>
      </c>
      <c r="AA1037" s="60">
        <f>35*365*24*60*60</f>
        <v>1103760000</v>
      </c>
      <c r="AB1037" s="60" t="str">
        <f>IF(AA1037&lt;60,"1",IF(AA1037&lt;=43200,"2",IF(AA1037&lt;=777600,"3","4")))</f>
        <v>4</v>
      </c>
      <c r="AC1037" s="56">
        <f>AVERAGE(AV1036:DA1036)</f>
        <v>748980000</v>
      </c>
      <c r="AD1037" s="60" t="str">
        <f>IF(AC1037&lt;60,"1",IF(AC1037&lt;=43200,"2",IF(AC1037&lt;=777600,"3","4")))</f>
        <v>4</v>
      </c>
      <c r="AE1037" s="76">
        <f>AA1037-Y1037</f>
        <v>788400000</v>
      </c>
      <c r="AF1037" s="80">
        <f>AV1037</f>
        <v>0.8</v>
      </c>
      <c r="AG1037" s="56">
        <f>((AW1037-AV1037)+(AX1037-AW1037)+(AY1037-AX1037))/3</f>
        <v>4.3333333333333335E-2</v>
      </c>
      <c r="AH1037" s="4"/>
      <c r="AI1037" s="56">
        <f>RSQ(AV1037:AY1037,AV1036:AY1036)</f>
        <v>0.17700722192334642</v>
      </c>
      <c r="AJ1037" s="109">
        <f>SLOPE(AV1037:AY1037,AV1036:AY1036)</f>
        <v>1.2849359186464605E-10</v>
      </c>
      <c r="AK1037" s="56">
        <f>INTERCEPT(AV1037:AY1037,AV1036:AY1036)</f>
        <v>0.66626086956521746</v>
      </c>
      <c r="AL1037" s="56">
        <f>INDEX(LINEST(LN(AV1037:AY1037),LN(AV1036:AY1036),TRUE,TRUE),3,1)</f>
        <v>2.9296145685140402E-2</v>
      </c>
      <c r="AM1037" s="56">
        <f>INDEX(LINEST(LN(AV1037:AY1037),LN(AV1036:AY1036)),1)</f>
        <v>5.3860217999374932E-2</v>
      </c>
      <c r="AN1037" s="56">
        <f>EXP(INDEX(LINEST(LN(AV1037:AY1037),LN(AV1036:AY1036)),1,2))</f>
        <v>0.2519734501860536</v>
      </c>
      <c r="AO1037" s="82">
        <f>INDEX(LINEST((AV1037:AY1037),LN(AV1036:AY1036),TRUE,TRUE),3,1)</f>
        <v>5.8665251926536412E-2</v>
      </c>
      <c r="AP1037" s="82">
        <f>INDEX(LINEST((AV1037:AY1037),LN(AV1036:AY1036)),1)</f>
        <v>5.5499130202702522E-2</v>
      </c>
      <c r="AQ1037" s="83">
        <f>INDEX(LINEST(LN(AV1037:AY1037),SQRT(AV1036:AY1036),TRUE,TRUE),3,1)</f>
        <v>6.9585465992431303E-2</v>
      </c>
      <c r="AR1037" s="116">
        <f>INDEX(LINEST(LN(AV1037:AY1037),SQRT((AV1036:AY1036))),1)</f>
        <v>6.2205095731081584E-6</v>
      </c>
      <c r="AS1037" s="84">
        <f>INDEX(LINEST(1/(AV1037:AY1037),1/(SQRT(AV1036:AY1036)),TRUE,TRUE),3,1)</f>
        <v>2.5489332945824233E-4</v>
      </c>
      <c r="AT1037" s="84">
        <f>INDEX(LINEST(1/(AV1037:AY1037),1/SQRT(AV1036:AY1036)),1)</f>
        <v>357.48941869497156</v>
      </c>
      <c r="AU1037" s="3"/>
      <c r="AV1037" s="53">
        <v>0.8</v>
      </c>
      <c r="AW1037" s="53">
        <v>0.75</v>
      </c>
      <c r="AX1037" s="53">
        <v>0.56999999999999995</v>
      </c>
      <c r="AY1037" s="27">
        <v>0.93</v>
      </c>
      <c r="AZ1037" s="46"/>
      <c r="BA1037" s="42"/>
      <c r="BB1037" s="42"/>
      <c r="BC1037" s="30"/>
      <c r="BD1037" s="30"/>
      <c r="BE1037" s="30"/>
      <c r="BF1037" s="30"/>
      <c r="BG1037" s="30"/>
      <c r="BH1037" s="30"/>
      <c r="BI1037" s="30"/>
      <c r="BJ1037" s="30"/>
      <c r="BK1037" s="30"/>
      <c r="BL1037" s="30"/>
      <c r="BM1037" s="30"/>
      <c r="BN1037" s="30"/>
      <c r="BO1037" s="30"/>
      <c r="BP1037" s="30"/>
      <c r="BQ1037" s="30"/>
      <c r="BR1037" s="30"/>
      <c r="BS1037" s="30"/>
      <c r="BT1037" s="30"/>
      <c r="BU1037" s="30"/>
      <c r="BV1037" s="30"/>
      <c r="BW1037" s="30"/>
      <c r="BX1037" s="30"/>
      <c r="BY1037" s="30"/>
      <c r="BZ1037" s="30"/>
      <c r="CA1037" s="30"/>
      <c r="CB1037" s="30"/>
      <c r="CC1037" s="30"/>
      <c r="CD1037" s="30"/>
      <c r="CE1037" s="30"/>
      <c r="CF1037" s="30"/>
      <c r="CG1037" s="30"/>
      <c r="CH1037" s="30"/>
      <c r="CI1037" s="30"/>
      <c r="CJ1037" s="30"/>
      <c r="CK1037" s="30"/>
      <c r="CL1037" s="30"/>
      <c r="CM1037" s="30"/>
      <c r="CN1037" s="30"/>
      <c r="CO1037" s="30"/>
      <c r="CP1037" s="30"/>
      <c r="CQ1037" s="30"/>
      <c r="CR1037" s="1"/>
      <c r="CS1037" s="1"/>
      <c r="CT1037" s="1"/>
      <c r="CU1037" s="1"/>
    </row>
    <row r="1038" spans="1:99" s="13" customFormat="1" ht="12" customHeight="1" x14ac:dyDescent="0.2">
      <c r="A1038" s="68">
        <v>43509</v>
      </c>
      <c r="B1038" s="70"/>
      <c r="C1038" s="70"/>
      <c r="D1038" s="69"/>
      <c r="E1038" s="87"/>
      <c r="F1038" s="69"/>
      <c r="G1038" s="69"/>
      <c r="H1038" s="69"/>
      <c r="I1038" s="69"/>
      <c r="J1038" s="69"/>
      <c r="K1038" s="107"/>
      <c r="L1038" s="107"/>
      <c r="M1038" s="69"/>
      <c r="N1038" s="69"/>
      <c r="O1038" s="69"/>
      <c r="P1038" s="69"/>
      <c r="Q1038" s="69"/>
      <c r="R1038" s="69"/>
      <c r="S1038" s="69"/>
      <c r="T1038" s="69"/>
      <c r="U1038" s="69"/>
      <c r="V1038" s="69"/>
      <c r="W1038" s="69"/>
      <c r="X1038" s="69"/>
      <c r="Y1038" s="87"/>
      <c r="Z1038" s="69"/>
      <c r="AA1038" s="69"/>
      <c r="AB1038" s="69"/>
      <c r="AC1038" s="69"/>
      <c r="AD1038" s="69"/>
      <c r="AE1038" s="69"/>
      <c r="AF1038" s="88"/>
      <c r="AG1038" s="72"/>
      <c r="AH1038" s="4"/>
      <c r="AI1038" s="72"/>
      <c r="AJ1038" s="110"/>
      <c r="AK1038" s="72"/>
      <c r="AL1038" s="72"/>
      <c r="AM1038" s="72"/>
      <c r="AN1038" s="72"/>
      <c r="AO1038" s="72"/>
      <c r="AP1038" s="72"/>
      <c r="AQ1038" s="72"/>
      <c r="AR1038" s="110"/>
      <c r="AS1038" s="72"/>
      <c r="AT1038" s="72"/>
      <c r="AU1038" s="4"/>
      <c r="AV1038" s="125">
        <v>1.5</v>
      </c>
      <c r="AW1038" s="71">
        <v>3</v>
      </c>
      <c r="AX1038" s="71">
        <v>6</v>
      </c>
      <c r="AY1038" s="42"/>
      <c r="AZ1038" s="46"/>
      <c r="BA1038" s="42"/>
      <c r="BB1038" s="42"/>
      <c r="BC1038" s="2"/>
      <c r="BD1038" s="2"/>
      <c r="BE1038" s="2"/>
      <c r="BF1038" s="2"/>
      <c r="BG1038" s="2"/>
      <c r="BH1038" s="2"/>
      <c r="BI1038" s="2"/>
      <c r="BJ1038" s="2"/>
      <c r="BK1038" s="2"/>
      <c r="BL1038" s="2"/>
      <c r="BM1038" s="2"/>
      <c r="BN1038" s="2"/>
      <c r="BO1038" s="2"/>
      <c r="BP1038" s="2"/>
      <c r="BQ1038" s="2"/>
      <c r="BR1038" s="2"/>
      <c r="BS1038" s="2"/>
      <c r="BT1038" s="2"/>
      <c r="BU1038" s="2"/>
      <c r="BV1038" s="2"/>
      <c r="BW1038" s="2"/>
      <c r="BX1038" s="2"/>
      <c r="BY1038" s="2"/>
      <c r="BZ1038" s="2"/>
      <c r="CA1038" s="2"/>
      <c r="CB1038" s="2"/>
      <c r="CC1038" s="2"/>
      <c r="CD1038" s="2"/>
      <c r="CE1038" s="2"/>
      <c r="CF1038" s="2"/>
      <c r="CG1038" s="2"/>
      <c r="CH1038" s="2"/>
      <c r="CI1038" s="2"/>
      <c r="CJ1038" s="2"/>
      <c r="CK1038" s="2"/>
      <c r="CL1038" s="2"/>
      <c r="CM1038" s="2"/>
      <c r="CN1038" s="2"/>
      <c r="CO1038" s="2"/>
      <c r="CP1038" s="2"/>
      <c r="CQ1038" s="2"/>
      <c r="CR1038" s="1"/>
      <c r="CS1038" s="1"/>
      <c r="CT1038" s="1"/>
      <c r="CU1038" s="1"/>
    </row>
    <row r="1039" spans="1:99" s="13" customFormat="1" ht="12" customHeight="1" x14ac:dyDescent="0.2">
      <c r="A1039" s="68">
        <v>43509</v>
      </c>
      <c r="B1039" s="70" t="s">
        <v>250</v>
      </c>
      <c r="C1039" s="70" t="s">
        <v>33</v>
      </c>
      <c r="D1039" s="69">
        <v>2010</v>
      </c>
      <c r="E1039" s="87">
        <v>1</v>
      </c>
      <c r="F1039" s="69">
        <v>30</v>
      </c>
      <c r="G1039" s="69">
        <v>30</v>
      </c>
      <c r="H1039" s="69" t="s">
        <v>22</v>
      </c>
      <c r="I1039" s="69" t="s">
        <v>761</v>
      </c>
      <c r="J1039" s="69" t="s">
        <v>764</v>
      </c>
      <c r="K1039" s="69">
        <f>IF(J1039="syllables",1,IF(J1039="trigrams",2,IF(J1039="strings",3,IF(J1039="visual array",4,IF(J1039="characters",5,IF(J1039="letters",6,IF(J1039="free forms",7,IF(J1039="odors",8,IF(J1039="words",9,IF(J1039="pictures",10,IF(J1039="object pictures",11,IF(J1039="faces",12,IF(J1039="names",13,IF(J1039="idioms",14,IF(J1039="grades",15,IF(J1039="syllable-digit pairs",16,IF(J1039="trigram-word pairs",17,IF(J1039="word-digit pairs",18,IF(J1039="English-Swahili pairs",19,IF(J1039="spatial position",20,IF(J1039="word pairs",21,IF(J1039="word triads",22,IF(J1039="generated words",23,IF(J1039="word definition pairs",24,IF(J1039="math problems",25,IF(J1039="famous faces",26,IF(J1039="famous names",27,IF(J1039="famous voices",28,IF(J1039="television programs",29,IF(J1039="race horses",30,IF(J1039="new vocabulary",31,IF(J1039="sentences",32,IF(J1039="concepts",33,IF(J1039="ad slides",34,IF(J1039="scenes",35,IF(J1039="famous scenes",36,IF(J1039="poems",37,IF(J1039="walk",38,IF(J1039="faces and events",39,IF(J1039="events and names",40,IF(J1039="flashbulb",41,IF(J1039="stories",42,IF(J1039="course material",43,IF(J1039="autobiographical",44,IF(J1039="novels",45,IF(J1039="public events",46,"99"))))))))))))))))))))))))))))))))))))))))))))))</f>
        <v>4</v>
      </c>
      <c r="L1039" s="69">
        <f>IF(J1039="syllables",1,IF(J1039="trigrams",1,IF(J1039="strings",1,IF(J1039="visual array",1,IF(J1039="characters",1,IF(J1039="letters",1,IF(J1039="free forms",1,IF(J1039="odors",2,IF(J1039="words",2,IF(J1039="pictures",2,IF(J1039="object pictures",2,IF(J1039="faces",2,IF(J1039="names",2,IF(J1039="idioms","2",IF(J1039="grades",2,IF(J1039="syllable-digit pairs",3,IF(J1039="trigram-word pairs",3,IF(J1039="word-digit pairs",3,IF(J1039="English-Swahili pairs",3,IF(J1039="spatial position",3,IF(J1039="word pairs",4,IF(J1039="word triads",4,IF(J1039="generated words",4,IF(J1039="word definition pairs",4,IF(J1039="math problems",4,IF(J1039="famous faces",4,IF(J1039="famous names",4,IF(J1039="famous voices",4,IF(J1039="television programs",4,IF(J1039="race horses",4,IF(J1039="new vocabulary",4,IF(J1039="sentences",5,IF(J1039="concepts",5,IF(J1039="ad slides",5,IF(J1039="scenes",5,IF(J1039="famous scenes",5,IF(J1039="poems",6,IF(J1039="walk",6,IF(J1039="faces and events",6,IF(J1039="events and names",6,IF(J1039="flashbulb",7,IF(J1039="stories",7,IF(J1039="course material",7,IF(J1039="autobiographical",7,IF(J1039="novels",7,IF(J1039="public events",7,"99"))))))))))))))))))))))))))))))))))))))))))))))</f>
        <v>1</v>
      </c>
      <c r="M1039" s="69">
        <v>0</v>
      </c>
      <c r="N1039" s="69">
        <v>1</v>
      </c>
      <c r="O1039" s="69">
        <v>1</v>
      </c>
      <c r="P1039" s="69" t="s">
        <v>35</v>
      </c>
      <c r="Q1039" s="69" t="s">
        <v>34</v>
      </c>
      <c r="R1039" s="69">
        <f>IF(Q1039="Free Recall",1,IF(Q1039="Cued Recall",2,IF(Q1039="Recognition",3,IF(Q1039="Multiple Choice",4,IF(Q1039="Savings",5,IF(Q1039="Stem Completion",6,IF(Q1039="Fragment Completion",7,IF(Q1039="anagram solution",8,IF(Q1039="Matching",9,IF(Q1039="Problem Solving",10,"99"))))))))))</f>
        <v>3</v>
      </c>
      <c r="S1039" s="69" t="s">
        <v>15</v>
      </c>
      <c r="T1039" s="92" t="s">
        <v>581</v>
      </c>
      <c r="U1039" s="69">
        <f>IF(T1039="within",1,0)</f>
        <v>1</v>
      </c>
      <c r="V1039" s="92">
        <v>30</v>
      </c>
      <c r="W1039" s="69">
        <f>F1039*V1039</f>
        <v>900</v>
      </c>
      <c r="X1039" s="69">
        <v>3</v>
      </c>
      <c r="Y1039" s="87">
        <f>AV1038</f>
        <v>1.5</v>
      </c>
      <c r="Z1039" s="69" t="s">
        <v>36</v>
      </c>
      <c r="AA1039" s="69">
        <v>5.9</v>
      </c>
      <c r="AB1039" s="69" t="str">
        <f>IF(AA1039&lt;60,"1",IF(AA1039&lt;=43200,"2",IF(AA1039&lt;=777600,"3","4")))</f>
        <v>1</v>
      </c>
      <c r="AC1039" s="72">
        <f>AVERAGE(AV1038:DA1038)</f>
        <v>3.5</v>
      </c>
      <c r="AD1039" s="69" t="str">
        <f>IF(AC1039&lt;60,"1",IF(AC1039&lt;=43200,"2",IF(AC1039&lt;=777600,"3","4")))</f>
        <v>1</v>
      </c>
      <c r="AE1039" s="87">
        <f>AA1039-Y1039</f>
        <v>4.4000000000000004</v>
      </c>
      <c r="AF1039" s="88">
        <f>AV1039</f>
        <v>0.85399999999999998</v>
      </c>
      <c r="AG1039" s="72">
        <f>((AW1039-AV1039)+(AX1039-AW1039))/2</f>
        <v>-2.5999999999999968E-2</v>
      </c>
      <c r="AH1039" s="4"/>
      <c r="AI1039" s="72">
        <f>RSQ(AV1039:AX1039,AV1038:AX1038)</f>
        <v>0.94600674915635519</v>
      </c>
      <c r="AJ1039" s="110">
        <f>SLOPE(AV1039:AX1039,AV1038:AX1038)</f>
        <v>-1.1047619047619032E-2</v>
      </c>
      <c r="AK1039" s="72">
        <f>INTERCEPT(AV1039:AX1039,AV1038:AX1038)</f>
        <v>0.86599999999999999</v>
      </c>
      <c r="AL1039" s="72">
        <f>INDEX(LINEST(LN(AV1039:AX1039),LN(AV1038:AX1038),TRUE,TRUE),3,1)</f>
        <v>0.99874950314641109</v>
      </c>
      <c r="AM1039" s="72">
        <f>INDEX(LINEST(LN(AV1039:AX1039),LN(AV1038:AX1038)),1)</f>
        <v>-4.5316916582784965E-2</v>
      </c>
      <c r="AN1039" s="72">
        <f>EXP(INDEX(LINEST(LN(AV1039:AX1039),LN(AV1038:AX1038)),1,2))</f>
        <v>0.86927880940409952</v>
      </c>
      <c r="AO1039" s="89">
        <f>INDEX(LINEST((AV1039:AX1039),LN(AV1038:AX1038),TRUE,TRUE),3,1)</f>
        <v>0.99803149606299202</v>
      </c>
      <c r="AP1039" s="89">
        <f>INDEX(LINEST((AV1039:AX1039),LN(AV1038:AX1038)),1)</f>
        <v>-3.7510071063113E-2</v>
      </c>
      <c r="AQ1039" s="90">
        <f>INDEX(LINEST(LN(AV1039:AX1039),SQRT(AV1038:AX1038),TRUE,TRUE),3,1)</f>
        <v>0.9821233262667034</v>
      </c>
      <c r="AR1039" s="117">
        <f>INDEX(LINEST(LN(AV1039:AX1039),SQRT((AV1038:AX1038))),1)</f>
        <v>-5.0617949825993838E-2</v>
      </c>
      <c r="AS1039" s="91">
        <f>INDEX(LINEST(1/(AV1039:AX1039),1/(SQRT(AV1038:AX1038)),TRUE,TRUE),3,1)</f>
        <v>0.99476799909561953</v>
      </c>
      <c r="AT1039" s="91">
        <f>INDEX(LINEST(1/(AV1039:AX1039),1/SQRT(AV1038:AX1038)),1)</f>
        <v>-0.18464516917101689</v>
      </c>
      <c r="AU1039" s="3"/>
      <c r="AV1039" s="73">
        <v>0.85399999999999998</v>
      </c>
      <c r="AW1039" s="73">
        <v>0.82599999999999996</v>
      </c>
      <c r="AX1039" s="73">
        <v>0.80200000000000005</v>
      </c>
      <c r="AY1039" s="42"/>
      <c r="AZ1039" s="46"/>
      <c r="BA1039" s="42"/>
      <c r="BB1039" s="42"/>
      <c r="BC1039" s="2"/>
      <c r="BD1039" s="2"/>
      <c r="BE1039" s="2"/>
      <c r="BF1039" s="2"/>
      <c r="BG1039" s="2"/>
      <c r="BH1039" s="2"/>
      <c r="BI1039" s="2"/>
      <c r="BJ1039" s="2"/>
      <c r="BK1039" s="2"/>
      <c r="BL1039" s="2"/>
      <c r="BM1039" s="2"/>
      <c r="BN1039" s="2"/>
      <c r="BO1039" s="2"/>
      <c r="BP1039" s="2"/>
      <c r="BQ1039" s="2"/>
      <c r="BR1039" s="2"/>
      <c r="BS1039" s="2"/>
      <c r="BT1039" s="2"/>
      <c r="BU1039" s="2"/>
      <c r="BV1039" s="2"/>
      <c r="BW1039" s="2"/>
      <c r="BX1039" s="2"/>
      <c r="BY1039" s="2"/>
      <c r="BZ1039" s="2"/>
      <c r="CA1039" s="2"/>
      <c r="CB1039" s="2"/>
      <c r="CC1039" s="2"/>
      <c r="CD1039" s="2"/>
      <c r="CE1039" s="2"/>
      <c r="CF1039" s="2"/>
      <c r="CG1039" s="2"/>
      <c r="CH1039" s="2"/>
      <c r="CI1039" s="2"/>
      <c r="CJ1039" s="2"/>
      <c r="CK1039" s="2"/>
      <c r="CL1039" s="2"/>
      <c r="CM1039" s="2"/>
      <c r="CN1039" s="2"/>
      <c r="CO1039" s="2"/>
      <c r="CP1039" s="2"/>
      <c r="CQ1039" s="2"/>
      <c r="CR1039" s="1"/>
      <c r="CS1039" s="1"/>
      <c r="CT1039" s="1"/>
      <c r="CU1039" s="1"/>
    </row>
    <row r="1040" spans="1:99" s="13" customFormat="1" ht="12" customHeight="1" x14ac:dyDescent="0.2">
      <c r="A1040" s="68">
        <v>43509</v>
      </c>
      <c r="B1040" s="70"/>
      <c r="C1040" s="70"/>
      <c r="D1040" s="69"/>
      <c r="E1040" s="87"/>
      <c r="F1040" s="69"/>
      <c r="G1040" s="69"/>
      <c r="H1040" s="69"/>
      <c r="I1040" s="69"/>
      <c r="J1040" s="69"/>
      <c r="K1040" s="107"/>
      <c r="L1040" s="107"/>
      <c r="M1040" s="69"/>
      <c r="N1040" s="69"/>
      <c r="O1040" s="69"/>
      <c r="P1040" s="69"/>
      <c r="Q1040" s="69"/>
      <c r="R1040" s="69"/>
      <c r="S1040" s="69"/>
      <c r="T1040" s="69"/>
      <c r="U1040" s="69"/>
      <c r="V1040" s="69"/>
      <c r="W1040" s="69"/>
      <c r="X1040" s="69"/>
      <c r="Y1040" s="87"/>
      <c r="Z1040" s="69"/>
      <c r="AA1040" s="69"/>
      <c r="AB1040" s="69"/>
      <c r="AC1040" s="69"/>
      <c r="AD1040" s="69"/>
      <c r="AE1040" s="69"/>
      <c r="AF1040" s="88"/>
      <c r="AG1040" s="72"/>
      <c r="AH1040" s="4"/>
      <c r="AI1040" s="72"/>
      <c r="AJ1040" s="110"/>
      <c r="AK1040" s="72"/>
      <c r="AL1040" s="72"/>
      <c r="AM1040" s="72"/>
      <c r="AN1040" s="72"/>
      <c r="AO1040" s="89"/>
      <c r="AP1040" s="89"/>
      <c r="AQ1040" s="89"/>
      <c r="AR1040" s="118"/>
      <c r="AS1040" s="89"/>
      <c r="AT1040" s="89"/>
      <c r="AU1040" s="3"/>
      <c r="AV1040" s="125">
        <v>1.5</v>
      </c>
      <c r="AW1040" s="71">
        <v>3</v>
      </c>
      <c r="AX1040" s="71">
        <v>6</v>
      </c>
      <c r="AY1040" s="42"/>
      <c r="AZ1040" s="46"/>
      <c r="BA1040" s="42"/>
      <c r="BB1040" s="42"/>
      <c r="BC1040" s="2"/>
      <c r="BD1040" s="2"/>
      <c r="BE1040" s="2"/>
      <c r="BF1040" s="2"/>
      <c r="BG1040" s="2"/>
      <c r="BH1040" s="2"/>
      <c r="BI1040" s="2"/>
      <c r="BJ1040" s="2"/>
      <c r="BK1040" s="2"/>
      <c r="BL1040" s="2"/>
      <c r="BM1040" s="2"/>
      <c r="BN1040" s="2"/>
      <c r="BO1040" s="2"/>
      <c r="BP1040" s="2"/>
      <c r="BQ1040" s="2"/>
      <c r="BR1040" s="2"/>
      <c r="BS1040" s="2"/>
      <c r="BT1040" s="2"/>
      <c r="BU1040" s="2"/>
      <c r="BV1040" s="2"/>
      <c r="BW1040" s="2"/>
      <c r="BX1040" s="2"/>
      <c r="BY1040" s="2"/>
      <c r="BZ1040" s="2"/>
      <c r="CA1040" s="2"/>
      <c r="CB1040" s="2"/>
      <c r="CC1040" s="2"/>
      <c r="CD1040" s="2"/>
      <c r="CE1040" s="2"/>
      <c r="CF1040" s="2"/>
      <c r="CG1040" s="2"/>
      <c r="CH1040" s="2"/>
      <c r="CI1040" s="2"/>
      <c r="CJ1040" s="2"/>
      <c r="CK1040" s="2"/>
      <c r="CL1040" s="2"/>
      <c r="CM1040" s="2"/>
      <c r="CN1040" s="2"/>
      <c r="CO1040" s="2"/>
      <c r="CP1040" s="2"/>
      <c r="CQ1040" s="2"/>
      <c r="CR1040" s="1"/>
      <c r="CS1040" s="1"/>
      <c r="CT1040" s="1"/>
      <c r="CU1040" s="1"/>
    </row>
    <row r="1041" spans="1:99" s="13" customFormat="1" ht="12" customHeight="1" x14ac:dyDescent="0.2">
      <c r="A1041" s="68">
        <v>43509</v>
      </c>
      <c r="B1041" s="70" t="s">
        <v>250</v>
      </c>
      <c r="C1041" s="70" t="s">
        <v>33</v>
      </c>
      <c r="D1041" s="69">
        <v>2010</v>
      </c>
      <c r="E1041" s="87">
        <v>1</v>
      </c>
      <c r="F1041" s="69">
        <v>30</v>
      </c>
      <c r="G1041" s="69">
        <v>30</v>
      </c>
      <c r="H1041" s="69" t="s">
        <v>22</v>
      </c>
      <c r="I1041" s="69" t="s">
        <v>762</v>
      </c>
      <c r="J1041" s="69" t="s">
        <v>764</v>
      </c>
      <c r="K1041" s="69">
        <f>IF(J1041="syllables",1,IF(J1041="trigrams",2,IF(J1041="strings",3,IF(J1041="visual array",4,IF(J1041="characters",5,IF(J1041="letters",6,IF(J1041="free forms",7,IF(J1041="odors",8,IF(J1041="words",9,IF(J1041="pictures",10,IF(J1041="object pictures",11,IF(J1041="faces",12,IF(J1041="names",13,IF(J1041="idioms",14,IF(J1041="grades",15,IF(J1041="syllable-digit pairs",16,IF(J1041="trigram-word pairs",17,IF(J1041="word-digit pairs",18,IF(J1041="English-Swahili pairs",19,IF(J1041="spatial position",20,IF(J1041="word pairs",21,IF(J1041="word triads",22,IF(J1041="generated words",23,IF(J1041="word definition pairs",24,IF(J1041="math problems",25,IF(J1041="famous faces",26,IF(J1041="famous names",27,IF(J1041="famous voices",28,IF(J1041="television programs",29,IF(J1041="race horses",30,IF(J1041="new vocabulary",31,IF(J1041="sentences",32,IF(J1041="concepts",33,IF(J1041="ad slides",34,IF(J1041="scenes",35,IF(J1041="famous scenes",36,IF(J1041="poems",37,IF(J1041="walk",38,IF(J1041="faces and events",39,IF(J1041="events and names",40,IF(J1041="flashbulb",41,IF(J1041="stories",42,IF(J1041="course material",43,IF(J1041="autobiographical",44,IF(J1041="novels",45,IF(J1041="public events",46,"99"))))))))))))))))))))))))))))))))))))))))))))))</f>
        <v>4</v>
      </c>
      <c r="L1041" s="69">
        <f>IF(J1041="syllables",1,IF(J1041="trigrams",1,IF(J1041="strings",1,IF(J1041="visual array",1,IF(J1041="characters",1,IF(J1041="letters",1,IF(J1041="free forms",1,IF(J1041="odors",2,IF(J1041="words",2,IF(J1041="pictures",2,IF(J1041="object pictures",2,IF(J1041="faces",2,IF(J1041="names",2,IF(J1041="idioms","2",IF(J1041="grades",2,IF(J1041="syllable-digit pairs",3,IF(J1041="trigram-word pairs",3,IF(J1041="word-digit pairs",3,IF(J1041="English-Swahili pairs",3,IF(J1041="spatial position",3,IF(J1041="word pairs",4,IF(J1041="word triads",4,IF(J1041="generated words",4,IF(J1041="word definition pairs",4,IF(J1041="math problems",4,IF(J1041="famous faces",4,IF(J1041="famous names",4,IF(J1041="famous voices",4,IF(J1041="television programs",4,IF(J1041="race horses",4,IF(J1041="new vocabulary",4,IF(J1041="sentences",5,IF(J1041="concepts",5,IF(J1041="ad slides",5,IF(J1041="scenes",5,IF(J1041="famous scenes",5,IF(J1041="poems",6,IF(J1041="walk",6,IF(J1041="faces and events",6,IF(J1041="events and names",6,IF(J1041="flashbulb",7,IF(J1041="stories",7,IF(J1041="course material",7,IF(J1041="autobiographical",7,IF(J1041="novels",7,IF(J1041="public events",7,"99"))))))))))))))))))))))))))))))))))))))))))))))</f>
        <v>1</v>
      </c>
      <c r="M1041" s="69">
        <v>0</v>
      </c>
      <c r="N1041" s="69">
        <v>1</v>
      </c>
      <c r="O1041" s="69">
        <v>1</v>
      </c>
      <c r="P1041" s="69" t="s">
        <v>35</v>
      </c>
      <c r="Q1041" s="69" t="s">
        <v>34</v>
      </c>
      <c r="R1041" s="69">
        <f>IF(Q1041="Free Recall",1,IF(Q1041="Cued Recall",2,IF(Q1041="Recognition",3,IF(Q1041="Multiple Choice",4,IF(Q1041="Savings",5,IF(Q1041="Stem Completion",6,IF(Q1041="Fragment Completion",7,IF(Q1041="anagram solution",8,IF(Q1041="Matching",9,IF(Q1041="Problem Solving",10,"99"))))))))))</f>
        <v>3</v>
      </c>
      <c r="S1041" s="69" t="s">
        <v>15</v>
      </c>
      <c r="T1041" s="92" t="s">
        <v>581</v>
      </c>
      <c r="U1041" s="69">
        <f>IF(T1041="within",1,0)</f>
        <v>1</v>
      </c>
      <c r="V1041" s="92">
        <v>30</v>
      </c>
      <c r="W1041" s="69">
        <f>F1041*V1041</f>
        <v>900</v>
      </c>
      <c r="X1041" s="69">
        <v>3</v>
      </c>
      <c r="Y1041" s="87">
        <f>AV1040</f>
        <v>1.5</v>
      </c>
      <c r="Z1041" s="69" t="s">
        <v>36</v>
      </c>
      <c r="AA1041" s="69">
        <v>5.9</v>
      </c>
      <c r="AB1041" s="69" t="str">
        <f>IF(AA1041&lt;60,"1",IF(AA1041&lt;=43200,"2",IF(AA1041&lt;=777600,"3","4")))</f>
        <v>1</v>
      </c>
      <c r="AC1041" s="72">
        <f>AVERAGE(AV1040:DA1040)</f>
        <v>3.5</v>
      </c>
      <c r="AD1041" s="69" t="str">
        <f>IF(AC1041&lt;60,"1",IF(AC1041&lt;=43200,"2",IF(AC1041&lt;=777600,"3","4")))</f>
        <v>1</v>
      </c>
      <c r="AE1041" s="87">
        <f>AA1041-Y1041</f>
        <v>4.4000000000000004</v>
      </c>
      <c r="AF1041" s="88">
        <f>AV1041</f>
        <v>0.82899999999999996</v>
      </c>
      <c r="AG1041" s="72">
        <f>((AW1041-AV1041)+(AX1041-AW1041))/2</f>
        <v>-3.7499999999999978E-2</v>
      </c>
      <c r="AH1041" s="4"/>
      <c r="AI1041" s="72">
        <f>RSQ(AV1041:AX1041,AV1040:AX1040)</f>
        <v>0.89168849252395377</v>
      </c>
      <c r="AJ1041" s="110">
        <f>SLOPE(AV1041:AX1041,AV1040:AX1040)</f>
        <v>-1.5619047619047612E-2</v>
      </c>
      <c r="AK1041" s="72">
        <f>INTERCEPT(AV1041:AX1041,AV1040:AX1040)</f>
        <v>0.84300000000000008</v>
      </c>
      <c r="AL1041" s="72">
        <f>INDEX(LINEST(LN(AV1041:AX1041),LN(AV1040:AX1040),TRUE,TRUE),3,1)</f>
        <v>0.98252726074625907</v>
      </c>
      <c r="AM1041" s="72">
        <f>INDEX(LINEST(LN(AV1041:AX1041),LN(AV1040:AX1040)),1)</f>
        <v>-6.8403789113543001E-2</v>
      </c>
      <c r="AN1041" s="72">
        <f>EXP(INDEX(LINEST(LN(AV1041:AX1041),LN(AV1040:AX1040)),1,2))</f>
        <v>0.8492087196688809</v>
      </c>
      <c r="AO1041" s="89">
        <f>INDEX(LINEST((AV1041:AX1041),LN(AV1040:AX1040),TRUE,TRUE),3,1)</f>
        <v>0.97905546530517529</v>
      </c>
      <c r="AP1041" s="89">
        <f>INDEX(LINEST((AV1041:AX1041),LN(AV1040:AX1040)),1)</f>
        <v>-5.4101064033336102E-2</v>
      </c>
      <c r="AQ1041" s="90">
        <f>INDEX(LINEST(LN(AV1041:AX1041),SQRT(AV1040:AX1040),TRUE,TRUE),3,1)</f>
        <v>0.94744402016023299</v>
      </c>
      <c r="AR1041" s="117">
        <f>INDEX(LINEST(LN(AV1041:AX1041),SQRT((AV1040:AX1040))),1)</f>
        <v>-7.5661353883790305E-2</v>
      </c>
      <c r="AS1041" s="91">
        <f>INDEX(LINEST(1/(AV1041:AX1041),1/(SQRT(AV1040:AX1040)),TRUE,TRUE),3,1)</f>
        <v>0.99955734003198149</v>
      </c>
      <c r="AT1041" s="91">
        <f>INDEX(LINEST(1/(AV1041:AX1041),1/SQRT(AV1040:AX1040)),1)</f>
        <v>-0.29452168749066243</v>
      </c>
      <c r="AU1041" s="3"/>
      <c r="AV1041" s="73">
        <v>0.82899999999999996</v>
      </c>
      <c r="AW1041" s="73">
        <v>0.78200000000000003</v>
      </c>
      <c r="AX1041" s="73">
        <v>0.754</v>
      </c>
      <c r="AY1041" s="42"/>
      <c r="AZ1041" s="46"/>
      <c r="BA1041" s="42"/>
      <c r="BB1041" s="42"/>
      <c r="BC1041" s="2"/>
      <c r="BD1041" s="2"/>
      <c r="BE1041" s="2"/>
      <c r="BF1041" s="2"/>
      <c r="BG1041" s="2"/>
      <c r="BH1041" s="2"/>
      <c r="BI1041" s="2"/>
      <c r="BJ1041" s="2"/>
      <c r="BK1041" s="2"/>
      <c r="BL1041" s="2"/>
      <c r="BM1041" s="2"/>
      <c r="BN1041" s="2"/>
      <c r="BO1041" s="2"/>
      <c r="BP1041" s="2"/>
      <c r="BQ1041" s="2"/>
      <c r="BR1041" s="2"/>
      <c r="BS1041" s="2"/>
      <c r="BT1041" s="2"/>
      <c r="BU1041" s="2"/>
      <c r="BV1041" s="2"/>
      <c r="BW1041" s="2"/>
      <c r="BX1041" s="2"/>
      <c r="BY1041" s="2"/>
      <c r="BZ1041" s="2"/>
      <c r="CA1041" s="2"/>
      <c r="CB1041" s="2"/>
      <c r="CC1041" s="2"/>
      <c r="CD1041" s="2"/>
      <c r="CE1041" s="2"/>
      <c r="CF1041" s="2"/>
      <c r="CG1041" s="2"/>
      <c r="CH1041" s="2"/>
      <c r="CI1041" s="2"/>
      <c r="CJ1041" s="2"/>
      <c r="CK1041" s="2"/>
      <c r="CL1041" s="2"/>
      <c r="CM1041" s="2"/>
      <c r="CN1041" s="2"/>
      <c r="CO1041" s="2"/>
      <c r="CP1041" s="2"/>
      <c r="CQ1041" s="2"/>
      <c r="CR1041" s="1"/>
      <c r="CS1041" s="1"/>
      <c r="CT1041" s="1"/>
      <c r="CU1041" s="1"/>
    </row>
    <row r="1042" spans="1:99" s="13" customFormat="1" ht="12" customHeight="1" x14ac:dyDescent="0.2">
      <c r="A1042" s="68">
        <v>43509</v>
      </c>
      <c r="B1042" s="70"/>
      <c r="C1042" s="70"/>
      <c r="D1042" s="69"/>
      <c r="E1042" s="87"/>
      <c r="F1042" s="69"/>
      <c r="G1042" s="69"/>
      <c r="H1042" s="69"/>
      <c r="I1042" s="69"/>
      <c r="J1042" s="69"/>
      <c r="K1042" s="107"/>
      <c r="L1042" s="107"/>
      <c r="M1042" s="69"/>
      <c r="N1042" s="69"/>
      <c r="O1042" s="69"/>
      <c r="P1042" s="69"/>
      <c r="Q1042" s="69"/>
      <c r="R1042" s="69"/>
      <c r="S1042" s="69"/>
      <c r="T1042" s="69"/>
      <c r="U1042" s="69"/>
      <c r="V1042" s="69"/>
      <c r="W1042" s="69"/>
      <c r="X1042" s="69"/>
      <c r="Y1042" s="87"/>
      <c r="Z1042" s="69"/>
      <c r="AA1042" s="69"/>
      <c r="AB1042" s="69"/>
      <c r="AC1042" s="69"/>
      <c r="AD1042" s="69"/>
      <c r="AE1042" s="69"/>
      <c r="AF1042" s="88"/>
      <c r="AG1042" s="72"/>
      <c r="AH1042" s="4"/>
      <c r="AI1042" s="72"/>
      <c r="AJ1042" s="110"/>
      <c r="AK1042" s="72"/>
      <c r="AL1042" s="72"/>
      <c r="AM1042" s="72"/>
      <c r="AN1042" s="72"/>
      <c r="AO1042" s="89"/>
      <c r="AP1042" s="89"/>
      <c r="AQ1042" s="89"/>
      <c r="AR1042" s="118"/>
      <c r="AS1042" s="89"/>
      <c r="AT1042" s="89"/>
      <c r="AU1042" s="3"/>
      <c r="AV1042" s="125">
        <v>1.5</v>
      </c>
      <c r="AW1042" s="71">
        <v>3</v>
      </c>
      <c r="AX1042" s="71">
        <v>6</v>
      </c>
      <c r="AY1042" s="42"/>
      <c r="AZ1042" s="46"/>
      <c r="BA1042" s="42"/>
      <c r="BB1042" s="42"/>
      <c r="BC1042" s="2"/>
      <c r="BD1042" s="2"/>
      <c r="BE1042" s="2"/>
      <c r="BF1042" s="2"/>
      <c r="BG1042" s="2"/>
      <c r="BH1042" s="2"/>
      <c r="BI1042" s="2"/>
      <c r="BJ1042" s="2"/>
      <c r="BK1042" s="2"/>
      <c r="BL1042" s="2"/>
      <c r="BM1042" s="2"/>
      <c r="BN1042" s="2"/>
      <c r="BO1042" s="2"/>
      <c r="BP1042" s="2"/>
      <c r="BQ1042" s="2"/>
      <c r="BR1042" s="2"/>
      <c r="BS1042" s="2"/>
      <c r="BT1042" s="2"/>
      <c r="BU1042" s="2"/>
      <c r="BV1042" s="2"/>
      <c r="BW1042" s="2"/>
      <c r="BX1042" s="2"/>
      <c r="BY1042" s="2"/>
      <c r="BZ1042" s="2"/>
      <c r="CA1042" s="2"/>
      <c r="CB1042" s="2"/>
      <c r="CC1042" s="2"/>
      <c r="CD1042" s="2"/>
      <c r="CE1042" s="2"/>
      <c r="CF1042" s="2"/>
      <c r="CG1042" s="2"/>
      <c r="CH1042" s="2"/>
      <c r="CI1042" s="2"/>
      <c r="CJ1042" s="2"/>
      <c r="CK1042" s="2"/>
      <c r="CL1042" s="2"/>
      <c r="CM1042" s="2"/>
      <c r="CN1042" s="2"/>
      <c r="CO1042" s="2"/>
      <c r="CP1042" s="2"/>
      <c r="CQ1042" s="2"/>
      <c r="CR1042" s="1"/>
      <c r="CS1042" s="1"/>
      <c r="CT1042" s="1"/>
      <c r="CU1042" s="1"/>
    </row>
    <row r="1043" spans="1:99" s="13" customFormat="1" ht="12" customHeight="1" x14ac:dyDescent="0.2">
      <c r="A1043" s="68">
        <v>43509</v>
      </c>
      <c r="B1043" s="70" t="s">
        <v>250</v>
      </c>
      <c r="C1043" s="70" t="s">
        <v>33</v>
      </c>
      <c r="D1043" s="69">
        <v>2010</v>
      </c>
      <c r="E1043" s="87">
        <v>1</v>
      </c>
      <c r="F1043" s="69">
        <v>30</v>
      </c>
      <c r="G1043" s="69">
        <v>30</v>
      </c>
      <c r="H1043" s="69" t="s">
        <v>22</v>
      </c>
      <c r="I1043" s="69" t="s">
        <v>763</v>
      </c>
      <c r="J1043" s="69" t="s">
        <v>764</v>
      </c>
      <c r="K1043" s="69">
        <f>IF(J1043="syllables",1,IF(J1043="trigrams",2,IF(J1043="strings",3,IF(J1043="visual array",4,IF(J1043="characters",5,IF(J1043="letters",6,IF(J1043="free forms",7,IF(J1043="odors",8,IF(J1043="words",9,IF(J1043="pictures",10,IF(J1043="object pictures",11,IF(J1043="faces",12,IF(J1043="names",13,IF(J1043="idioms",14,IF(J1043="grades",15,IF(J1043="syllable-digit pairs",16,IF(J1043="trigram-word pairs",17,IF(J1043="word-digit pairs",18,IF(J1043="English-Swahili pairs",19,IF(J1043="spatial position",20,IF(J1043="word pairs",21,IF(J1043="word triads",22,IF(J1043="generated words",23,IF(J1043="word definition pairs",24,IF(J1043="math problems",25,IF(J1043="famous faces",26,IF(J1043="famous names",27,IF(J1043="famous voices",28,IF(J1043="television programs",29,IF(J1043="race horses",30,IF(J1043="new vocabulary",31,IF(J1043="sentences",32,IF(J1043="concepts",33,IF(J1043="ad slides",34,IF(J1043="scenes",35,IF(J1043="famous scenes",36,IF(J1043="poems",37,IF(J1043="walk",38,IF(J1043="faces and events",39,IF(J1043="events and names",40,IF(J1043="flashbulb",41,IF(J1043="stories",42,IF(J1043="course material",43,IF(J1043="autobiographical",44,IF(J1043="novels",45,IF(J1043="public events",46,"99"))))))))))))))))))))))))))))))))))))))))))))))</f>
        <v>4</v>
      </c>
      <c r="L1043" s="69">
        <f>IF(J1043="syllables",1,IF(J1043="trigrams",1,IF(J1043="strings",1,IF(J1043="visual array",1,IF(J1043="characters",1,IF(J1043="letters",1,IF(J1043="free forms",1,IF(J1043="odors",2,IF(J1043="words",2,IF(J1043="pictures",2,IF(J1043="object pictures",2,IF(J1043="faces",2,IF(J1043="names",2,IF(J1043="idioms","2",IF(J1043="grades",2,IF(J1043="syllable-digit pairs",3,IF(J1043="trigram-word pairs",3,IF(J1043="word-digit pairs",3,IF(J1043="English-Swahili pairs",3,IF(J1043="spatial position",3,IF(J1043="word pairs",4,IF(J1043="word triads",4,IF(J1043="generated words",4,IF(J1043="word definition pairs",4,IF(J1043="math problems",4,IF(J1043="famous faces",4,IF(J1043="famous names",4,IF(J1043="famous voices",4,IF(J1043="television programs",4,IF(J1043="race horses",4,IF(J1043="new vocabulary",4,IF(J1043="sentences",5,IF(J1043="concepts",5,IF(J1043="ad slides",5,IF(J1043="scenes",5,IF(J1043="famous scenes",5,IF(J1043="poems",6,IF(J1043="walk",6,IF(J1043="faces and events",6,IF(J1043="events and names",6,IF(J1043="flashbulb",7,IF(J1043="stories",7,IF(J1043="course material",7,IF(J1043="autobiographical",7,IF(J1043="novels",7,IF(J1043="public events",7,"99"))))))))))))))))))))))))))))))))))))))))))))))</f>
        <v>1</v>
      </c>
      <c r="M1043" s="69">
        <v>0</v>
      </c>
      <c r="N1043" s="69">
        <v>1</v>
      </c>
      <c r="O1043" s="69">
        <v>1</v>
      </c>
      <c r="P1043" s="69" t="s">
        <v>35</v>
      </c>
      <c r="Q1043" s="69" t="s">
        <v>34</v>
      </c>
      <c r="R1043" s="69">
        <f>IF(Q1043="Free Recall",1,IF(Q1043="Cued Recall",2,IF(Q1043="Recognition",3,IF(Q1043="Multiple Choice",4,IF(Q1043="Savings",5,IF(Q1043="Stem Completion",6,IF(Q1043="Fragment Completion",7,IF(Q1043="anagram solution",8,IF(Q1043="Matching",9,IF(Q1043="Problem Solving",10,"99"))))))))))</f>
        <v>3</v>
      </c>
      <c r="S1043" s="69" t="s">
        <v>15</v>
      </c>
      <c r="T1043" s="92" t="s">
        <v>581</v>
      </c>
      <c r="U1043" s="69">
        <f>IF(T1043="within",1,0)</f>
        <v>1</v>
      </c>
      <c r="V1043" s="92">
        <v>30</v>
      </c>
      <c r="W1043" s="69">
        <f>F1043*V1043</f>
        <v>900</v>
      </c>
      <c r="X1043" s="69">
        <v>3</v>
      </c>
      <c r="Y1043" s="87">
        <f>AV1042</f>
        <v>1.5</v>
      </c>
      <c r="Z1043" s="69" t="s">
        <v>36</v>
      </c>
      <c r="AA1043" s="69">
        <v>5.9</v>
      </c>
      <c r="AB1043" s="69" t="str">
        <f>IF(AA1043&lt;60,"1",IF(AA1043&lt;=43200,"2",IF(AA1043&lt;=777600,"3","4")))</f>
        <v>1</v>
      </c>
      <c r="AC1043" s="72">
        <f>AVERAGE(AV1042:DA1042)</f>
        <v>3.5</v>
      </c>
      <c r="AD1043" s="69" t="str">
        <f>IF(AC1043&lt;60,"1",IF(AC1043&lt;=43200,"2",IF(AC1043&lt;=777600,"3","4")))</f>
        <v>1</v>
      </c>
      <c r="AE1043" s="87">
        <f>AA1043-Y1043</f>
        <v>4.4000000000000004</v>
      </c>
      <c r="AF1043" s="88">
        <f>AV1043</f>
        <v>0.78300000000000003</v>
      </c>
      <c r="AG1043" s="72">
        <f>((AW1043-AV1043)+(AX1043-AW1043))/2</f>
        <v>-4.500000000000004E-2</v>
      </c>
      <c r="AH1043" s="4"/>
      <c r="AI1043" s="72">
        <f>RSQ(AV1043:AX1043,AV1042:AX1042)</f>
        <v>0.98992255295325182</v>
      </c>
      <c r="AJ1043" s="110">
        <f>SLOPE(AV1043:AX1043,AV1042:AX1042)</f>
        <v>-1.9619047619047637E-2</v>
      </c>
      <c r="AK1043" s="72">
        <f>INTERCEPT(AV1043:AX1043,AV1042:AX1042)</f>
        <v>0.80900000000000016</v>
      </c>
      <c r="AL1043" s="72">
        <f>INDEX(LINEST(LN(AV1043:AX1043),LN(AV1042:AX1042),TRUE,TRUE),3,1)</f>
        <v>0.98870381078212843</v>
      </c>
      <c r="AM1043" s="72">
        <f>INDEX(LINEST(LN(AV1043:AX1043),LN(AV1042:AX1042)),1)</f>
        <v>-8.8078477576913547E-2</v>
      </c>
      <c r="AN1043" s="72">
        <f>EXP(INDEX(LINEST(LN(AV1043:AX1043),LN(AV1042:AX1042)),1,2))</f>
        <v>0.81453147368452661</v>
      </c>
      <c r="AO1043" s="89">
        <f>INDEX(LINEST((AV1043:AX1043),LN(AV1042:AX1042),TRUE,TRUE),3,1)</f>
        <v>0.99199869366427162</v>
      </c>
      <c r="AP1043" s="89">
        <f>INDEX(LINEST((AV1043:AX1043),LN(AV1042:AX1042)),1)</f>
        <v>-6.49212768400034E-2</v>
      </c>
      <c r="AQ1043" s="90">
        <f>INDEX(LINEST(LN(AV1043:AX1043),SQRT(AV1042:AX1042),TRUE,TRUE),3,1)</f>
        <v>0.99993995242761635</v>
      </c>
      <c r="AR1043" s="117">
        <f>INDEX(LINEST(LN(AV1043:AX1043),SQRT((AV1042:AX1042))),1)</f>
        <v>-9.9773022666254943E-2</v>
      </c>
      <c r="AS1043" s="91">
        <f>INDEX(LINEST(1/(AV1043:AX1043),1/(SQRT(AV1042:AX1042)),TRUE,TRUE),3,1)</f>
        <v>0.95154270486055814</v>
      </c>
      <c r="AT1043" s="91">
        <f>INDEX(LINEST(1/(AV1043:AX1043),1/SQRT(AV1042:AX1042)),1)</f>
        <v>-0.39739452263512554</v>
      </c>
      <c r="AU1043" s="3"/>
      <c r="AV1043" s="73">
        <v>0.78300000000000003</v>
      </c>
      <c r="AW1043" s="73">
        <v>0.745</v>
      </c>
      <c r="AX1043" s="73">
        <v>0.69299999999999995</v>
      </c>
      <c r="AY1043" s="42"/>
      <c r="AZ1043" s="46"/>
      <c r="BA1043" s="42"/>
      <c r="BB1043" s="42"/>
      <c r="BC1043" s="2"/>
      <c r="BD1043" s="2"/>
      <c r="BE1043" s="2"/>
      <c r="BF1043" s="2"/>
      <c r="BG1043" s="2"/>
      <c r="BH1043" s="2"/>
      <c r="BI1043" s="2"/>
      <c r="BJ1043" s="2"/>
      <c r="BK1043" s="2"/>
      <c r="BL1043" s="2"/>
      <c r="BM1043" s="2"/>
      <c r="BN1043" s="2"/>
      <c r="BO1043" s="2"/>
      <c r="BP1043" s="2"/>
      <c r="BQ1043" s="2"/>
      <c r="BR1043" s="2"/>
      <c r="BS1043" s="2"/>
      <c r="BT1043" s="2"/>
      <c r="BU1043" s="2"/>
      <c r="BV1043" s="2"/>
      <c r="BW1043" s="2"/>
      <c r="BX1043" s="2"/>
      <c r="BY1043" s="2"/>
      <c r="BZ1043" s="2"/>
      <c r="CA1043" s="2"/>
      <c r="CB1043" s="2"/>
      <c r="CC1043" s="2"/>
      <c r="CD1043" s="2"/>
      <c r="CE1043" s="2"/>
      <c r="CF1043" s="2"/>
      <c r="CG1043" s="2"/>
      <c r="CH1043" s="2"/>
      <c r="CI1043" s="2"/>
      <c r="CJ1043" s="2"/>
      <c r="CK1043" s="2"/>
      <c r="CL1043" s="2"/>
      <c r="CM1043" s="2"/>
      <c r="CN1043" s="2"/>
      <c r="CO1043" s="2"/>
      <c r="CP1043" s="2"/>
      <c r="CQ1043" s="2"/>
      <c r="CR1043" s="1"/>
      <c r="CS1043" s="1"/>
      <c r="CT1043" s="1"/>
      <c r="CU1043" s="1"/>
    </row>
    <row r="1044" spans="1:99" s="13" customFormat="1" ht="12" customHeight="1" x14ac:dyDescent="0.2">
      <c r="A1044" s="68">
        <v>43509</v>
      </c>
      <c r="B1044" s="70"/>
      <c r="C1044" s="70"/>
      <c r="D1044" s="69"/>
      <c r="E1044" s="87"/>
      <c r="F1044" s="69"/>
      <c r="G1044" s="69"/>
      <c r="H1044" s="69"/>
      <c r="I1044" s="69"/>
      <c r="J1044" s="69"/>
      <c r="K1044" s="107"/>
      <c r="L1044" s="107"/>
      <c r="M1044" s="69"/>
      <c r="N1044" s="69"/>
      <c r="O1044" s="69"/>
      <c r="P1044" s="69"/>
      <c r="Q1044" s="69"/>
      <c r="R1044" s="69"/>
      <c r="S1044" s="69"/>
      <c r="T1044" s="69"/>
      <c r="U1044" s="69"/>
      <c r="V1044" s="69"/>
      <c r="W1044" s="69"/>
      <c r="X1044" s="69"/>
      <c r="Y1044" s="87"/>
      <c r="Z1044" s="69"/>
      <c r="AA1044" s="69"/>
      <c r="AB1044" s="69"/>
      <c r="AC1044" s="69"/>
      <c r="AD1044" s="69"/>
      <c r="AE1044" s="69"/>
      <c r="AF1044" s="88"/>
      <c r="AG1044" s="72"/>
      <c r="AH1044" s="4"/>
      <c r="AI1044" s="72"/>
      <c r="AJ1044" s="110"/>
      <c r="AK1044" s="72"/>
      <c r="AL1044" s="72"/>
      <c r="AM1044" s="72"/>
      <c r="AN1044" s="72"/>
      <c r="AO1044" s="72"/>
      <c r="AP1044" s="72"/>
      <c r="AQ1044" s="72"/>
      <c r="AR1044" s="110"/>
      <c r="AS1044" s="72"/>
      <c r="AT1044" s="72"/>
      <c r="AU1044" s="4"/>
      <c r="AV1044" s="125">
        <v>1.5</v>
      </c>
      <c r="AW1044" s="71">
        <v>3</v>
      </c>
      <c r="AX1044" s="71">
        <v>6</v>
      </c>
      <c r="AY1044" s="42"/>
      <c r="AZ1044" s="46"/>
      <c r="BA1044" s="42"/>
      <c r="BB1044" s="42"/>
      <c r="BC1044" s="2"/>
      <c r="BD1044" s="2"/>
      <c r="BE1044" s="2"/>
      <c r="BF1044" s="2"/>
      <c r="BG1044" s="2"/>
      <c r="BH1044" s="2"/>
      <c r="BI1044" s="2"/>
      <c r="BJ1044" s="2"/>
      <c r="BK1044" s="2"/>
      <c r="BL1044" s="2"/>
      <c r="BM1044" s="2"/>
      <c r="BN1044" s="2"/>
      <c r="BO1044" s="2"/>
      <c r="BP1044" s="2"/>
      <c r="BQ1044" s="2"/>
      <c r="BR1044" s="2"/>
      <c r="BS1044" s="2"/>
      <c r="BT1044" s="2"/>
      <c r="BU1044" s="2"/>
      <c r="BV1044" s="2"/>
      <c r="BW1044" s="2"/>
      <c r="BX1044" s="2"/>
      <c r="BY1044" s="2"/>
      <c r="BZ1044" s="2"/>
      <c r="CA1044" s="2"/>
      <c r="CB1044" s="2"/>
      <c r="CC1044" s="2"/>
      <c r="CD1044" s="2"/>
      <c r="CE1044" s="2"/>
      <c r="CF1044" s="2"/>
      <c r="CG1044" s="2"/>
      <c r="CH1044" s="2"/>
      <c r="CI1044" s="2"/>
      <c r="CJ1044" s="2"/>
      <c r="CK1044" s="2"/>
      <c r="CL1044" s="2"/>
      <c r="CM1044" s="2"/>
      <c r="CN1044" s="2"/>
      <c r="CO1044" s="2"/>
      <c r="CP1044" s="2"/>
      <c r="CQ1044" s="2"/>
      <c r="CR1044" s="1"/>
      <c r="CS1044" s="1"/>
      <c r="CT1044" s="1"/>
      <c r="CU1044" s="1"/>
    </row>
    <row r="1045" spans="1:99" s="13" customFormat="1" ht="12" customHeight="1" x14ac:dyDescent="0.2">
      <c r="A1045" s="68">
        <v>43509</v>
      </c>
      <c r="B1045" s="70" t="s">
        <v>250</v>
      </c>
      <c r="C1045" s="70" t="s">
        <v>33</v>
      </c>
      <c r="D1045" s="69">
        <v>2010</v>
      </c>
      <c r="E1045" s="87">
        <v>2</v>
      </c>
      <c r="F1045" s="69">
        <v>32</v>
      </c>
      <c r="G1045" s="69">
        <v>32</v>
      </c>
      <c r="H1045" s="69" t="s">
        <v>38</v>
      </c>
      <c r="I1045" s="69" t="s">
        <v>761</v>
      </c>
      <c r="J1045" s="69" t="s">
        <v>765</v>
      </c>
      <c r="K1045" s="69">
        <f>IF(J1045="syllables",1,IF(J1045="trigrams",2,IF(J1045="strings",3,IF(J1045="visual array",4,IF(J1045="characters",5,IF(J1045="letters",6,IF(J1045="free forms",7,IF(J1045="odors",8,IF(J1045="words",9,IF(J1045="pictures",10,IF(J1045="object pictures",11,IF(J1045="faces",12,IF(J1045="names",13,IF(J1045="idioms",14,IF(J1045="grades",15,IF(J1045="syllable-digit pairs",16,IF(J1045="trigram-word pairs",17,IF(J1045="word-digit pairs",18,IF(J1045="English-Swahili pairs",19,IF(J1045="spatial position",20,IF(J1045="word pairs",21,IF(J1045="word triads",22,IF(J1045="generated words",23,IF(J1045="word definition pairs",24,IF(J1045="math problems",25,IF(J1045="famous faces",26,IF(J1045="famous names",27,IF(J1045="famous voices",28,IF(J1045="television programs",29,IF(J1045="race horses",30,IF(J1045="new vocabulary",31,IF(J1045="sentences",32,IF(J1045="concepts",33,IF(J1045="ad slides",34,IF(J1045="scenes",35,IF(J1045="famous scenes",36,IF(J1045="poems",37,IF(J1045="walk",38,IF(J1045="faces and events",39,IF(J1045="events and names",40,IF(J1045="flashbulb",41,IF(J1045="stories",42,IF(J1045="course material",43,IF(J1045="autobiographical",44,IF(J1045="novels",45,IF(J1045="public events",46,"99"))))))))))))))))))))))))))))))))))))))))))))))</f>
        <v>5</v>
      </c>
      <c r="L1045" s="69">
        <f>IF(J1045="syllables",1,IF(J1045="trigrams",1,IF(J1045="strings",1,IF(J1045="visual array",1,IF(J1045="characters",1,IF(J1045="letters",1,IF(J1045="free forms",1,IF(J1045="odors",2,IF(J1045="words",2,IF(J1045="pictures",2,IF(J1045="object pictures",2,IF(J1045="faces",2,IF(J1045="names",2,IF(J1045="idioms","2",IF(J1045="grades",2,IF(J1045="syllable-digit pairs",3,IF(J1045="trigram-word pairs",3,IF(J1045="word-digit pairs",3,IF(J1045="English-Swahili pairs",3,IF(J1045="spatial position",3,IF(J1045="word pairs",4,IF(J1045="word triads",4,IF(J1045="generated words",4,IF(J1045="word definition pairs",4,IF(J1045="math problems",4,IF(J1045="famous faces",4,IF(J1045="famous names",4,IF(J1045="famous voices",4,IF(J1045="television programs",4,IF(J1045="race horses",4,IF(J1045="new vocabulary",4,IF(J1045="sentences",5,IF(J1045="concepts",5,IF(J1045="ad slides",5,IF(J1045="scenes",5,IF(J1045="famous scenes",5,IF(J1045="poems",6,IF(J1045="walk",6,IF(J1045="faces and events",6,IF(J1045="events and names",6,IF(J1045="flashbulb",7,IF(J1045="stories",7,IF(J1045="course material",7,IF(J1045="autobiographical",7,IF(J1045="novels",7,IF(J1045="public events",7,"99"))))))))))))))))))))))))))))))))))))))))))))))</f>
        <v>1</v>
      </c>
      <c r="M1045" s="69">
        <v>0</v>
      </c>
      <c r="N1045" s="69">
        <v>1</v>
      </c>
      <c r="O1045" s="69">
        <v>1</v>
      </c>
      <c r="P1045" s="69" t="s">
        <v>37</v>
      </c>
      <c r="Q1045" s="69" t="s">
        <v>34</v>
      </c>
      <c r="R1045" s="69">
        <f>IF(Q1045="Free Recall",1,IF(Q1045="Cued Recall",2,IF(Q1045="Recognition",3,IF(Q1045="Multiple Choice",4,IF(Q1045="Savings",5,IF(Q1045="Stem Completion",6,IF(Q1045="Fragment Completion",7,IF(Q1045="anagram solution",8,IF(Q1045="Matching",9,IF(Q1045="Problem Solving",10,"99"))))))))))</f>
        <v>3</v>
      </c>
      <c r="S1045" s="69" t="s">
        <v>15</v>
      </c>
      <c r="T1045" s="92" t="s">
        <v>581</v>
      </c>
      <c r="U1045" s="69">
        <f>IF(T1045="within",1,0)</f>
        <v>1</v>
      </c>
      <c r="V1045" s="92">
        <v>24</v>
      </c>
      <c r="W1045" s="69">
        <f>F1045*V1045</f>
        <v>768</v>
      </c>
      <c r="X1045" s="69">
        <v>3</v>
      </c>
      <c r="Y1045" s="87">
        <f>AV1044</f>
        <v>1.5</v>
      </c>
      <c r="Z1045" s="69" t="s">
        <v>39</v>
      </c>
      <c r="AA1045" s="69">
        <v>6</v>
      </c>
      <c r="AB1045" s="69" t="str">
        <f>IF(AA1045&lt;60,"1",IF(AA1045&lt;=43200,"2",IF(AA1045&lt;=777600,"3","4")))</f>
        <v>1</v>
      </c>
      <c r="AC1045" s="72">
        <f>AVERAGE(AV1044:DA1044)</f>
        <v>3.5</v>
      </c>
      <c r="AD1045" s="69" t="str">
        <f>IF(AC1045&lt;60,"1",IF(AC1045&lt;=43200,"2",IF(AC1045&lt;=777600,"3","4")))</f>
        <v>1</v>
      </c>
      <c r="AE1045" s="87">
        <f>AA1045-Y1045</f>
        <v>4.5</v>
      </c>
      <c r="AF1045" s="88">
        <f>AV1045</f>
        <v>0.85199999999999998</v>
      </c>
      <c r="AG1045" s="72">
        <f>((AW1045-AV1045)+(AX1045-AW1045))/2</f>
        <v>-3.7499999999999978E-2</v>
      </c>
      <c r="AH1045" s="4"/>
      <c r="AI1045" s="72">
        <f>RSQ(AV1045:AX1045,AV1044:AX1044)</f>
        <v>0.97717666948436188</v>
      </c>
      <c r="AJ1045" s="110">
        <f>SLOPE(AV1045:AX1045,AV1044:AX1044)</f>
        <v>-1.6190476190476179E-2</v>
      </c>
      <c r="AK1045" s="72">
        <f>INTERCEPT(AV1045:AX1045,AV1044:AX1044)</f>
        <v>0.872</v>
      </c>
      <c r="AL1045" s="72">
        <f>INDEX(LINEST(LN(AV1045:AX1045),LN(AV1044:AX1044),TRUE,TRUE),3,1)</f>
        <v>0.99733430206016405</v>
      </c>
      <c r="AM1045" s="72">
        <f>INDEX(LINEST(LN(AV1045:AX1045),LN(AV1044:AX1044)),1)</f>
        <v>-6.6469415909064036E-2</v>
      </c>
      <c r="AN1045" s="72">
        <f>EXP(INDEX(LINEST(LN(AV1045:AX1045),LN(AV1044:AX1044)),1,2))</f>
        <v>0.8764790257193078</v>
      </c>
      <c r="AO1045" s="89">
        <f>INDEX(LINEST((AV1045:AX1045),LN(AV1044:AX1044),TRUE,TRUE),3,1)</f>
        <v>0.99852071005917165</v>
      </c>
      <c r="AP1045" s="89">
        <f>INDEX(LINEST((AV1045:AX1045),LN(AV1044:AX1044)),1)</f>
        <v>-5.4101064033336095E-2</v>
      </c>
      <c r="AQ1045" s="90">
        <f>INDEX(LINEST(LN(AV1045:AX1045),SQRT(AV1044:AX1044),TRUE,TRUE),3,1)</f>
        <v>0.99778490598308212</v>
      </c>
      <c r="AR1045" s="117">
        <f>INDEX(LINEST(LN(AV1045:AX1045),SQRT((AV1044:AX1044))),1)</f>
        <v>-7.4887515603700869E-2</v>
      </c>
      <c r="AS1045" s="91">
        <f>INDEX(LINEST(1/(AV1045:AX1045),1/(SQRT(AV1044:AX1044)),TRUE,TRUE),3,1)</f>
        <v>0.97349959102852801</v>
      </c>
      <c r="AT1045" s="91">
        <f>INDEX(LINEST(1/(AV1045:AX1045),1/SQRT(AV1044:AX1044)),1)</f>
        <v>-0.27304595022937844</v>
      </c>
      <c r="AU1045" s="3"/>
      <c r="AV1045" s="73">
        <v>0.85199999999999998</v>
      </c>
      <c r="AW1045" s="73">
        <v>0.81699999999999995</v>
      </c>
      <c r="AX1045" s="73">
        <v>0.77700000000000002</v>
      </c>
      <c r="AY1045" s="42"/>
      <c r="AZ1045" s="46"/>
      <c r="BA1045" s="42"/>
      <c r="BB1045" s="42"/>
      <c r="BC1045" s="2"/>
      <c r="BD1045" s="2"/>
      <c r="BE1045" s="2"/>
      <c r="BF1045" s="2"/>
      <c r="BG1045" s="2"/>
      <c r="BH1045" s="2"/>
      <c r="BI1045" s="2"/>
      <c r="BJ1045" s="2"/>
      <c r="BK1045" s="2"/>
      <c r="BL1045" s="2"/>
      <c r="BM1045" s="2"/>
      <c r="BN1045" s="2"/>
      <c r="BO1045" s="2"/>
      <c r="BP1045" s="2"/>
      <c r="BQ1045" s="2"/>
      <c r="BR1045" s="2"/>
      <c r="BS1045" s="2"/>
      <c r="BT1045" s="2"/>
      <c r="BU1045" s="2"/>
      <c r="BV1045" s="2"/>
      <c r="BW1045" s="2"/>
      <c r="BX1045" s="2"/>
      <c r="BY1045" s="2"/>
      <c r="BZ1045" s="2"/>
      <c r="CA1045" s="2"/>
      <c r="CB1045" s="2"/>
      <c r="CC1045" s="2"/>
      <c r="CD1045" s="2"/>
      <c r="CE1045" s="2"/>
      <c r="CF1045" s="2"/>
      <c r="CG1045" s="2"/>
      <c r="CH1045" s="2"/>
      <c r="CI1045" s="2"/>
      <c r="CJ1045" s="2"/>
      <c r="CK1045" s="2"/>
      <c r="CL1045" s="2"/>
      <c r="CM1045" s="2"/>
      <c r="CN1045" s="2"/>
      <c r="CO1045" s="2"/>
      <c r="CP1045" s="2"/>
      <c r="CQ1045" s="2"/>
      <c r="CR1045" s="1"/>
      <c r="CS1045" s="1"/>
      <c r="CT1045" s="1"/>
      <c r="CU1045" s="1"/>
    </row>
    <row r="1046" spans="1:99" s="13" customFormat="1" ht="12" customHeight="1" x14ac:dyDescent="0.2">
      <c r="A1046" s="68">
        <v>43509</v>
      </c>
      <c r="B1046" s="70"/>
      <c r="C1046" s="70"/>
      <c r="D1046" s="69"/>
      <c r="E1046" s="87"/>
      <c r="F1046" s="69"/>
      <c r="G1046" s="69"/>
      <c r="H1046" s="69"/>
      <c r="I1046" s="69"/>
      <c r="J1046" s="69"/>
      <c r="K1046" s="107"/>
      <c r="L1046" s="107"/>
      <c r="M1046" s="69"/>
      <c r="N1046" s="69"/>
      <c r="O1046" s="69"/>
      <c r="P1046" s="69"/>
      <c r="Q1046" s="69"/>
      <c r="R1046" s="69"/>
      <c r="S1046" s="69"/>
      <c r="T1046" s="69"/>
      <c r="U1046" s="69"/>
      <c r="V1046" s="69"/>
      <c r="W1046" s="69"/>
      <c r="X1046" s="69"/>
      <c r="Y1046" s="87"/>
      <c r="Z1046" s="69"/>
      <c r="AA1046" s="69"/>
      <c r="AB1046" s="69"/>
      <c r="AC1046" s="69"/>
      <c r="AD1046" s="69"/>
      <c r="AE1046" s="69"/>
      <c r="AF1046" s="88"/>
      <c r="AG1046" s="72"/>
      <c r="AH1046" s="4"/>
      <c r="AI1046" s="72"/>
      <c r="AJ1046" s="110"/>
      <c r="AK1046" s="72"/>
      <c r="AL1046" s="72"/>
      <c r="AM1046" s="72"/>
      <c r="AN1046" s="72"/>
      <c r="AO1046" s="89"/>
      <c r="AP1046" s="89"/>
      <c r="AQ1046" s="89"/>
      <c r="AR1046" s="118"/>
      <c r="AS1046" s="89"/>
      <c r="AT1046" s="89"/>
      <c r="AU1046" s="3"/>
      <c r="AV1046" s="125">
        <v>1.5</v>
      </c>
      <c r="AW1046" s="71">
        <v>3</v>
      </c>
      <c r="AX1046" s="71">
        <v>6</v>
      </c>
      <c r="AY1046" s="42"/>
      <c r="AZ1046" s="46"/>
      <c r="BA1046" s="42"/>
      <c r="BB1046" s="42"/>
      <c r="BC1046" s="2"/>
      <c r="BD1046" s="2"/>
      <c r="BE1046" s="2"/>
      <c r="BF1046" s="2"/>
      <c r="BG1046" s="2"/>
      <c r="BH1046" s="2"/>
      <c r="BI1046" s="2"/>
      <c r="BJ1046" s="2"/>
      <c r="BK1046" s="2"/>
      <c r="BL1046" s="2"/>
      <c r="BM1046" s="2"/>
      <c r="BN1046" s="2"/>
      <c r="BO1046" s="2"/>
      <c r="BP1046" s="2"/>
      <c r="BQ1046" s="2"/>
      <c r="BR1046" s="2"/>
      <c r="BS1046" s="2"/>
      <c r="BT1046" s="2"/>
      <c r="BU1046" s="2"/>
      <c r="BV1046" s="2"/>
      <c r="BW1046" s="2"/>
      <c r="BX1046" s="2"/>
      <c r="BY1046" s="2"/>
      <c r="BZ1046" s="2"/>
      <c r="CA1046" s="2"/>
      <c r="CB1046" s="2"/>
      <c r="CC1046" s="2"/>
      <c r="CD1046" s="2"/>
      <c r="CE1046" s="2"/>
      <c r="CF1046" s="2"/>
      <c r="CG1046" s="2"/>
      <c r="CH1046" s="2"/>
      <c r="CI1046" s="2"/>
      <c r="CJ1046" s="2"/>
      <c r="CK1046" s="2"/>
      <c r="CL1046" s="2"/>
      <c r="CM1046" s="2"/>
      <c r="CN1046" s="2"/>
      <c r="CO1046" s="2"/>
      <c r="CP1046" s="2"/>
      <c r="CQ1046" s="2"/>
      <c r="CR1046" s="1"/>
      <c r="CS1046" s="1"/>
      <c r="CT1046" s="1"/>
      <c r="CU1046" s="1"/>
    </row>
    <row r="1047" spans="1:99" s="13" customFormat="1" ht="12" customHeight="1" x14ac:dyDescent="0.2">
      <c r="A1047" s="68">
        <v>43509</v>
      </c>
      <c r="B1047" s="70" t="s">
        <v>250</v>
      </c>
      <c r="C1047" s="70" t="s">
        <v>33</v>
      </c>
      <c r="D1047" s="69">
        <v>2010</v>
      </c>
      <c r="E1047" s="87">
        <v>2</v>
      </c>
      <c r="F1047" s="69">
        <v>32</v>
      </c>
      <c r="G1047" s="69">
        <v>32</v>
      </c>
      <c r="H1047" s="69" t="s">
        <v>38</v>
      </c>
      <c r="I1047" s="69" t="s">
        <v>766</v>
      </c>
      <c r="J1047" s="69" t="s">
        <v>765</v>
      </c>
      <c r="K1047" s="69">
        <f>IF(J1047="syllables",1,IF(J1047="trigrams",2,IF(J1047="strings",3,IF(J1047="visual array",4,IF(J1047="characters",5,IF(J1047="letters",6,IF(J1047="free forms",7,IF(J1047="odors",8,IF(J1047="words",9,IF(J1047="pictures",10,IF(J1047="object pictures",11,IF(J1047="faces",12,IF(J1047="names",13,IF(J1047="idioms",14,IF(J1047="grades",15,IF(J1047="syllable-digit pairs",16,IF(J1047="trigram-word pairs",17,IF(J1047="word-digit pairs",18,IF(J1047="English-Swahili pairs",19,IF(J1047="spatial position",20,IF(J1047="word pairs",21,IF(J1047="word triads",22,IF(J1047="generated words",23,IF(J1047="word definition pairs",24,IF(J1047="math problems",25,IF(J1047="famous faces",26,IF(J1047="famous names",27,IF(J1047="famous voices",28,IF(J1047="television programs",29,IF(J1047="race horses",30,IF(J1047="new vocabulary",31,IF(J1047="sentences",32,IF(J1047="concepts",33,IF(J1047="ad slides",34,IF(J1047="scenes",35,IF(J1047="famous scenes",36,IF(J1047="poems",37,IF(J1047="walk",38,IF(J1047="faces and events",39,IF(J1047="events and names",40,IF(J1047="flashbulb",41,IF(J1047="stories",42,IF(J1047="course material",43,IF(J1047="autobiographical",44,IF(J1047="novels",45,IF(J1047="public events",46,"99"))))))))))))))))))))))))))))))))))))))))))))))</f>
        <v>5</v>
      </c>
      <c r="L1047" s="69">
        <f>IF(J1047="syllables",1,IF(J1047="trigrams",1,IF(J1047="strings",1,IF(J1047="visual array",1,IF(J1047="characters",1,IF(J1047="letters",1,IF(J1047="free forms",1,IF(J1047="odors",2,IF(J1047="words",2,IF(J1047="pictures",2,IF(J1047="object pictures",2,IF(J1047="faces",2,IF(J1047="names",2,IF(J1047="idioms","2",IF(J1047="grades",2,IF(J1047="syllable-digit pairs",3,IF(J1047="trigram-word pairs",3,IF(J1047="word-digit pairs",3,IF(J1047="English-Swahili pairs",3,IF(J1047="spatial position",3,IF(J1047="word pairs",4,IF(J1047="word triads",4,IF(J1047="generated words",4,IF(J1047="word definition pairs",4,IF(J1047="math problems",4,IF(J1047="famous faces",4,IF(J1047="famous names",4,IF(J1047="famous voices",4,IF(J1047="television programs",4,IF(J1047="race horses",4,IF(J1047="new vocabulary",4,IF(J1047="sentences",5,IF(J1047="concepts",5,IF(J1047="ad slides",5,IF(J1047="scenes",5,IF(J1047="famous scenes",5,IF(J1047="poems",6,IF(J1047="walk",6,IF(J1047="faces and events",6,IF(J1047="events and names",6,IF(J1047="flashbulb",7,IF(J1047="stories",7,IF(J1047="course material",7,IF(J1047="autobiographical",7,IF(J1047="novels",7,IF(J1047="public events",7,"99"))))))))))))))))))))))))))))))))))))))))))))))</f>
        <v>1</v>
      </c>
      <c r="M1047" s="69">
        <v>0</v>
      </c>
      <c r="N1047" s="69">
        <v>1</v>
      </c>
      <c r="O1047" s="69">
        <v>1</v>
      </c>
      <c r="P1047" s="69" t="s">
        <v>37</v>
      </c>
      <c r="Q1047" s="69" t="s">
        <v>34</v>
      </c>
      <c r="R1047" s="69">
        <f>IF(Q1047="Free Recall",1,IF(Q1047="Cued Recall",2,IF(Q1047="Recognition",3,IF(Q1047="Multiple Choice",4,IF(Q1047="Savings",5,IF(Q1047="Stem Completion",6,IF(Q1047="Fragment Completion",7,IF(Q1047="anagram solution",8,IF(Q1047="Matching",9,IF(Q1047="Problem Solving",10,"99"))))))))))</f>
        <v>3</v>
      </c>
      <c r="S1047" s="69" t="s">
        <v>15</v>
      </c>
      <c r="T1047" s="92" t="s">
        <v>581</v>
      </c>
      <c r="U1047" s="69">
        <f>IF(T1047="within",1,0)</f>
        <v>1</v>
      </c>
      <c r="V1047" s="92">
        <v>24</v>
      </c>
      <c r="W1047" s="69">
        <f>F1047*V1047</f>
        <v>768</v>
      </c>
      <c r="X1047" s="69">
        <v>3</v>
      </c>
      <c r="Y1047" s="87">
        <f>AV1046</f>
        <v>1.5</v>
      </c>
      <c r="Z1047" s="69" t="s">
        <v>39</v>
      </c>
      <c r="AA1047" s="69">
        <v>6</v>
      </c>
      <c r="AB1047" s="69" t="str">
        <f>IF(AA1047&lt;60,"1",IF(AA1047&lt;=43200,"2",IF(AA1047&lt;=777600,"3","4")))</f>
        <v>1</v>
      </c>
      <c r="AC1047" s="72">
        <f>AVERAGE(AV1046:DA1046)</f>
        <v>3.5</v>
      </c>
      <c r="AD1047" s="69" t="str">
        <f>IF(AC1047&lt;60,"1",IF(AC1047&lt;=43200,"2",IF(AC1047&lt;=777600,"3","4")))</f>
        <v>1</v>
      </c>
      <c r="AE1047" s="87">
        <f>AA1047-Y1047</f>
        <v>4.5</v>
      </c>
      <c r="AF1047" s="88">
        <f>AV1047</f>
        <v>0.79200000000000004</v>
      </c>
      <c r="AG1047" s="72">
        <f>((AW1047-AV1047)+(AX1047-AW1047))/2</f>
        <v>-3.7000000000000033E-2</v>
      </c>
      <c r="AH1047" s="4"/>
      <c r="AI1047" s="72">
        <f>RSQ(AV1047:AX1047,AV1046:AX1046)</f>
        <v>0.75241155054921105</v>
      </c>
      <c r="AJ1047" s="110">
        <f>SLOPE(AV1047:AX1047,AV1046:AX1046)</f>
        <v>-1.4809523809523823E-2</v>
      </c>
      <c r="AK1047" s="72">
        <f>INTERCEPT(AV1047:AX1047,AV1046:AX1046)</f>
        <v>0.79949999999999999</v>
      </c>
      <c r="AL1047" s="72">
        <f>INDEX(LINEST(LN(AV1047:AX1047),LN(AV1046:AX1046),TRUE,TRUE),3,1)</f>
        <v>0.89966221712579653</v>
      </c>
      <c r="AM1047" s="72">
        <f>INDEX(LINEST(LN(AV1047:AX1047),LN(AV1046:AX1046)),1)</f>
        <v>-7.075829312827922E-2</v>
      </c>
      <c r="AN1047" s="72">
        <f>EXP(INDEX(LINEST(LN(AV1047:AX1047),LN(AV1046:AX1046)),1,2))</f>
        <v>0.80738030736674093</v>
      </c>
      <c r="AO1047" s="89">
        <f>INDEX(LINEST((AV1047:AX1047),LN(AV1046:AX1046),TRUE,TRUE),3,1)</f>
        <v>0.89457634502287087</v>
      </c>
      <c r="AP1047" s="89">
        <f>INDEX(LINEST((AV1047:AX1047),LN(AV1046:AX1046)),1)</f>
        <v>-5.3379716512891702E-2</v>
      </c>
      <c r="AQ1047" s="90">
        <f>INDEX(LINEST(LN(AV1047:AX1047),SQRT(AV1046:AX1046),TRUE,TRUE),3,1)</f>
        <v>0.83294981272382496</v>
      </c>
      <c r="AR1047" s="117">
        <f>INDEX(LINEST(LN(AV1047:AX1047),SQRT((AV1046:AX1046))),1)</f>
        <v>-7.6689604558223393E-2</v>
      </c>
      <c r="AS1047" s="91">
        <f>INDEX(LINEST(1/(AV1047:AX1047),1/(SQRT(AV1046:AX1046)),TRUE,TRUE),3,1)</f>
        <v>0.95448354714236616</v>
      </c>
      <c r="AT1047" s="91">
        <f>INDEX(LINEST(1/(AV1047:AX1047),1/SQRT(AV1046:AX1046)),1)</f>
        <v>-0.32580315633484025</v>
      </c>
      <c r="AU1047" s="3"/>
      <c r="AV1047" s="73">
        <v>0.79200000000000004</v>
      </c>
      <c r="AW1047" s="73">
        <v>0.73299999999999998</v>
      </c>
      <c r="AX1047" s="73">
        <v>0.71799999999999997</v>
      </c>
      <c r="AY1047" s="42"/>
      <c r="AZ1047" s="46"/>
      <c r="BA1047" s="42"/>
      <c r="BB1047" s="42"/>
      <c r="BC1047" s="2"/>
      <c r="BD1047" s="2"/>
      <c r="BE1047" s="2"/>
      <c r="BF1047" s="2"/>
      <c r="BG1047" s="2"/>
      <c r="BH1047" s="2"/>
      <c r="BI1047" s="2"/>
      <c r="BJ1047" s="2"/>
      <c r="BK1047" s="2"/>
      <c r="BL1047" s="2"/>
      <c r="BM1047" s="2"/>
      <c r="BN1047" s="2"/>
      <c r="BO1047" s="2"/>
      <c r="BP1047" s="2"/>
      <c r="BQ1047" s="2"/>
      <c r="BR1047" s="2"/>
      <c r="BS1047" s="2"/>
      <c r="BT1047" s="2"/>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c r="CQ1047" s="2"/>
      <c r="CR1047" s="1"/>
      <c r="CS1047" s="1"/>
      <c r="CT1047" s="1"/>
      <c r="CU1047" s="1"/>
    </row>
    <row r="1048" spans="1:99" s="13" customFormat="1" ht="12" customHeight="1" x14ac:dyDescent="0.2">
      <c r="A1048" s="68">
        <v>43509</v>
      </c>
      <c r="B1048" s="70"/>
      <c r="C1048" s="70"/>
      <c r="D1048" s="69"/>
      <c r="E1048" s="87"/>
      <c r="F1048" s="69"/>
      <c r="G1048" s="69"/>
      <c r="H1048" s="69"/>
      <c r="I1048" s="69"/>
      <c r="J1048" s="69"/>
      <c r="K1048" s="107"/>
      <c r="L1048" s="107"/>
      <c r="M1048" s="69"/>
      <c r="N1048" s="69"/>
      <c r="O1048" s="69"/>
      <c r="P1048" s="69"/>
      <c r="Q1048" s="69"/>
      <c r="R1048" s="69"/>
      <c r="S1048" s="69"/>
      <c r="T1048" s="69"/>
      <c r="U1048" s="69"/>
      <c r="V1048" s="69"/>
      <c r="W1048" s="69"/>
      <c r="X1048" s="69"/>
      <c r="Y1048" s="87"/>
      <c r="Z1048" s="69"/>
      <c r="AA1048" s="69"/>
      <c r="AB1048" s="69"/>
      <c r="AC1048" s="69"/>
      <c r="AD1048" s="69"/>
      <c r="AE1048" s="69"/>
      <c r="AF1048" s="88"/>
      <c r="AG1048" s="72"/>
      <c r="AH1048" s="4"/>
      <c r="AI1048" s="72"/>
      <c r="AJ1048" s="110"/>
      <c r="AK1048" s="72"/>
      <c r="AL1048" s="72"/>
      <c r="AM1048" s="72"/>
      <c r="AN1048" s="72"/>
      <c r="AO1048" s="89"/>
      <c r="AP1048" s="89"/>
      <c r="AQ1048" s="89"/>
      <c r="AR1048" s="118"/>
      <c r="AS1048" s="89"/>
      <c r="AT1048" s="89"/>
      <c r="AU1048" s="3"/>
      <c r="AV1048" s="125">
        <v>1.5</v>
      </c>
      <c r="AW1048" s="71">
        <v>3</v>
      </c>
      <c r="AX1048" s="71">
        <v>6</v>
      </c>
      <c r="AY1048" s="42"/>
      <c r="AZ1048" s="46"/>
      <c r="BA1048" s="42"/>
      <c r="BB1048" s="42"/>
      <c r="BC1048" s="2"/>
      <c r="BD1048" s="2"/>
      <c r="BE1048" s="2"/>
      <c r="BF1048" s="2"/>
      <c r="BG1048" s="2"/>
      <c r="BH1048" s="2"/>
      <c r="BI1048" s="2"/>
      <c r="BJ1048" s="2"/>
      <c r="BK1048" s="2"/>
      <c r="BL1048" s="2"/>
      <c r="BM1048" s="2"/>
      <c r="BN1048" s="2"/>
      <c r="BO1048" s="2"/>
      <c r="BP1048" s="2"/>
      <c r="BQ1048" s="2"/>
      <c r="BR1048" s="2"/>
      <c r="BS1048" s="2"/>
      <c r="BT1048" s="2"/>
      <c r="BU1048" s="2"/>
      <c r="BV1048" s="2"/>
      <c r="BW1048" s="2"/>
      <c r="BX1048" s="2"/>
      <c r="BY1048" s="2"/>
      <c r="BZ1048" s="2"/>
      <c r="CA1048" s="2"/>
      <c r="CB1048" s="2"/>
      <c r="CC1048" s="2"/>
      <c r="CD1048" s="2"/>
      <c r="CE1048" s="2"/>
      <c r="CF1048" s="2"/>
      <c r="CG1048" s="2"/>
      <c r="CH1048" s="2"/>
      <c r="CI1048" s="2"/>
      <c r="CJ1048" s="2"/>
      <c r="CK1048" s="2"/>
      <c r="CL1048" s="2"/>
      <c r="CM1048" s="2"/>
      <c r="CN1048" s="2"/>
      <c r="CO1048" s="2"/>
      <c r="CP1048" s="2"/>
      <c r="CQ1048" s="2"/>
      <c r="CR1048" s="1"/>
      <c r="CS1048" s="1"/>
      <c r="CT1048" s="1"/>
      <c r="CU1048" s="1"/>
    </row>
    <row r="1049" spans="1:99" s="13" customFormat="1" ht="12" customHeight="1" x14ac:dyDescent="0.2">
      <c r="A1049" s="68">
        <v>43509</v>
      </c>
      <c r="B1049" s="70" t="s">
        <v>250</v>
      </c>
      <c r="C1049" s="70" t="s">
        <v>33</v>
      </c>
      <c r="D1049" s="69">
        <v>2010</v>
      </c>
      <c r="E1049" s="87">
        <v>2</v>
      </c>
      <c r="F1049" s="69">
        <v>32</v>
      </c>
      <c r="G1049" s="69">
        <v>32</v>
      </c>
      <c r="H1049" s="69" t="s">
        <v>38</v>
      </c>
      <c r="I1049" s="69" t="s">
        <v>761</v>
      </c>
      <c r="J1049" s="69" t="s">
        <v>630</v>
      </c>
      <c r="K1049" s="69">
        <f>IF(J1049="syllables",1,IF(J1049="trigrams",2,IF(J1049="strings",3,IF(J1049="visual array",4,IF(J1049="characters",5,IF(J1049="letters",6,IF(J1049="free forms",7,IF(J1049="odors",8,IF(J1049="words",9,IF(J1049="pictures",10,IF(J1049="object pictures",11,IF(J1049="faces",12,IF(J1049="names",13,IF(J1049="idioms",14,IF(J1049="grades",15,IF(J1049="syllable-digit pairs",16,IF(J1049="trigram-word pairs",17,IF(J1049="word-digit pairs",18,IF(J1049="English-Swahili pairs",19,IF(J1049="spatial position",20,IF(J1049="word pairs",21,IF(J1049="word triads",22,IF(J1049="generated words",23,IF(J1049="word definition pairs",24,IF(J1049="math problems",25,IF(J1049="famous faces",26,IF(J1049="famous names",27,IF(J1049="famous voices",28,IF(J1049="television programs",29,IF(J1049="race horses",30,IF(J1049="new vocabulary",31,IF(J1049="sentences",32,IF(J1049="concepts",33,IF(J1049="ad slides",34,IF(J1049="scenes",35,IF(J1049="famous scenes",36,IF(J1049="poems",37,IF(J1049="walk",38,IF(J1049="faces and events",39,IF(J1049="events and names",40,IF(J1049="flashbulb",41,IF(J1049="stories",42,IF(J1049="course material",43,IF(J1049="autobiographical",44,IF(J1049="novels",45,IF(J1049="public events",46,"99"))))))))))))))))))))))))))))))))))))))))))))))</f>
        <v>6</v>
      </c>
      <c r="L1049" s="69">
        <f>IF(J1049="syllables",1,IF(J1049="trigrams",1,IF(J1049="strings",1,IF(J1049="visual array",1,IF(J1049="characters",1,IF(J1049="letters",1,IF(J1049="free forms",1,IF(J1049="odors",2,IF(J1049="words",2,IF(J1049="pictures",2,IF(J1049="object pictures",2,IF(J1049="faces",2,IF(J1049="names",2,IF(J1049="idioms","2",IF(J1049="grades",2,IF(J1049="syllable-digit pairs",3,IF(J1049="trigram-word pairs",3,IF(J1049="word-digit pairs",3,IF(J1049="English-Swahili pairs",3,IF(J1049="spatial position",3,IF(J1049="word pairs",4,IF(J1049="word triads",4,IF(J1049="generated words",4,IF(J1049="word definition pairs",4,IF(J1049="math problems",4,IF(J1049="famous faces",4,IF(J1049="famous names",4,IF(J1049="famous voices",4,IF(J1049="television programs",4,IF(J1049="race horses",4,IF(J1049="new vocabulary",4,IF(J1049="sentences",5,IF(J1049="concepts",5,IF(J1049="ad slides",5,IF(J1049="scenes",5,IF(J1049="famous scenes",5,IF(J1049="poems",6,IF(J1049="walk",6,IF(J1049="faces and events",6,IF(J1049="events and names",6,IF(J1049="flashbulb",7,IF(J1049="stories",7,IF(J1049="course material",7,IF(J1049="autobiographical",7,IF(J1049="novels",7,IF(J1049="public events",7,"99"))))))))))))))))))))))))))))))))))))))))))))))</f>
        <v>1</v>
      </c>
      <c r="M1049" s="69">
        <v>0</v>
      </c>
      <c r="N1049" s="69">
        <v>1</v>
      </c>
      <c r="O1049" s="69">
        <v>1</v>
      </c>
      <c r="P1049" s="69" t="s">
        <v>37</v>
      </c>
      <c r="Q1049" s="69" t="s">
        <v>34</v>
      </c>
      <c r="R1049" s="69">
        <f>IF(Q1049="Free Recall",1,IF(Q1049="Cued Recall",2,IF(Q1049="Recognition",3,IF(Q1049="Multiple Choice",4,IF(Q1049="Savings",5,IF(Q1049="Stem Completion",6,IF(Q1049="Fragment Completion",7,IF(Q1049="anagram solution",8,IF(Q1049="Matching",9,IF(Q1049="Problem Solving",10,"99"))))))))))</f>
        <v>3</v>
      </c>
      <c r="S1049" s="69" t="s">
        <v>15</v>
      </c>
      <c r="T1049" s="92" t="s">
        <v>581</v>
      </c>
      <c r="U1049" s="69">
        <f>IF(T1049="within",1,0)</f>
        <v>1</v>
      </c>
      <c r="V1049" s="92">
        <v>24</v>
      </c>
      <c r="W1049" s="69">
        <f>F1049*V1049</f>
        <v>768</v>
      </c>
      <c r="X1049" s="69">
        <v>3</v>
      </c>
      <c r="Y1049" s="87">
        <f>AV1048</f>
        <v>1.5</v>
      </c>
      <c r="Z1049" s="69" t="s">
        <v>39</v>
      </c>
      <c r="AA1049" s="69">
        <v>6</v>
      </c>
      <c r="AB1049" s="69" t="str">
        <f>IF(AA1049&lt;60,"1",IF(AA1049&lt;=43200,"2",IF(AA1049&lt;=777600,"3","4")))</f>
        <v>1</v>
      </c>
      <c r="AC1049" s="72">
        <f>AVERAGE(AV1048:DA1048)</f>
        <v>3.5</v>
      </c>
      <c r="AD1049" s="69" t="str">
        <f>IF(AC1049&lt;60,"1",IF(AC1049&lt;=43200,"2",IF(AC1049&lt;=777600,"3","4")))</f>
        <v>1</v>
      </c>
      <c r="AE1049" s="87">
        <f>AA1049-Y1049</f>
        <v>4.5</v>
      </c>
      <c r="AF1049" s="88">
        <f>AV1049</f>
        <v>0.80300000000000005</v>
      </c>
      <c r="AG1049" s="93">
        <f>((AW1049-AV1049)+(AX1049-AW1049))/2</f>
        <v>5.0000000000000044E-4</v>
      </c>
      <c r="AH1049" s="4"/>
      <c r="AI1049" s="72">
        <f>RSQ(AV1049:AX1049,AV1048:AX1048)</f>
        <v>2.593217738223105E-2</v>
      </c>
      <c r="AJ1049" s="110">
        <f>SLOPE(AV1049:AX1049,AV1048:AX1048)</f>
        <v>-1.2380952380952339E-3</v>
      </c>
      <c r="AK1049" s="72">
        <f>INTERCEPT(AV1049:AX1049,AV1048:AX1048)</f>
        <v>0.81799999999999995</v>
      </c>
      <c r="AL1049" s="72">
        <f>INDEX(LINEST(LN(AV1049:AX1049),LN(AV1048:AX1048),TRUE,TRUE),3,1)</f>
        <v>8.3622715312998486E-4</v>
      </c>
      <c r="AM1049" s="72">
        <f>INDEX(LINEST(LN(AV1049:AX1049),LN(AV1048:AX1048)),1)</f>
        <v>8.9775683080707189E-4</v>
      </c>
      <c r="AN1049" s="72">
        <f>EXP(INDEX(LINEST(LN(AV1049:AX1049),LN(AV1048:AX1048)),1,2))</f>
        <v>0.81273858036641955</v>
      </c>
      <c r="AO1049" s="89">
        <f>INDEX(LINEST((AV1049:AX1049),LN(AV1048:AX1048),TRUE,TRUE),3,1)</f>
        <v>8.0558539205131941E-4</v>
      </c>
      <c r="AP1049" s="89">
        <f>INDEX(LINEST((AV1049:AX1049),LN(AV1048:AX1048)),1)</f>
        <v>7.2134752044448265E-4</v>
      </c>
      <c r="AQ1049" s="90">
        <f>INDEX(LINEST(LN(AV1049:AX1049),SQRT(AV1048:AX1048),TRUE,TRUE),3,1)</f>
        <v>4.8660696376460772E-3</v>
      </c>
      <c r="AR1049" s="117">
        <f>INDEX(LINEST(LN(AV1049:AX1049),SQRT((AV1048:AX1048))),1)</f>
        <v>-2.4393561870930422E-3</v>
      </c>
      <c r="AS1049" s="91">
        <f>INDEX(LINEST(1/(AV1049:AX1049),1/(SQRT(AV1048:AX1048)),TRUE,TRUE),3,1)</f>
        <v>1.6345094825725597E-2</v>
      </c>
      <c r="AT1049" s="91">
        <f>INDEX(LINEST(1/(AV1049:AX1049),1/SQRT(AV1048:AX1048)),1)</f>
        <v>1.6385488661130827E-2</v>
      </c>
      <c r="AU1049" s="3"/>
      <c r="AV1049" s="73">
        <v>0.80300000000000005</v>
      </c>
      <c r="AW1049" s="73">
        <v>0.83399999999999996</v>
      </c>
      <c r="AX1049" s="73">
        <v>0.80400000000000005</v>
      </c>
      <c r="AY1049" s="42"/>
      <c r="AZ1049" s="46"/>
      <c r="BA1049" s="42"/>
      <c r="BB1049" s="42"/>
      <c r="BC1049" s="42"/>
      <c r="BD1049" s="42"/>
      <c r="BE1049" s="42"/>
      <c r="BF1049" s="42"/>
      <c r="BG1049" s="42"/>
      <c r="BH1049" s="2"/>
      <c r="BI1049" s="2"/>
      <c r="BJ1049" s="2"/>
      <c r="BK1049" s="2"/>
      <c r="BL1049" s="2"/>
      <c r="BM1049" s="2"/>
      <c r="BN1049" s="2"/>
      <c r="BO1049" s="2"/>
      <c r="BP1049" s="2"/>
      <c r="BQ1049" s="2"/>
      <c r="BR1049" s="2"/>
      <c r="BS1049" s="2"/>
      <c r="BT1049" s="2"/>
      <c r="BU1049" s="2"/>
      <c r="BV1049" s="2"/>
      <c r="BW1049" s="2"/>
      <c r="BX1049" s="2"/>
      <c r="BY1049" s="2"/>
      <c r="BZ1049" s="2"/>
      <c r="CA1049" s="2"/>
      <c r="CB1049" s="2"/>
      <c r="CC1049" s="2"/>
      <c r="CD1049" s="2"/>
      <c r="CE1049" s="2"/>
      <c r="CF1049" s="2"/>
      <c r="CG1049" s="2"/>
      <c r="CH1049" s="2"/>
      <c r="CI1049" s="2"/>
      <c r="CJ1049" s="2"/>
      <c r="CK1049" s="2"/>
      <c r="CL1049" s="2"/>
      <c r="CM1049" s="2"/>
      <c r="CN1049" s="2"/>
      <c r="CO1049" s="2"/>
      <c r="CP1049" s="2"/>
      <c r="CQ1049" s="2"/>
      <c r="CR1049" s="1"/>
      <c r="CS1049" s="1"/>
      <c r="CT1049" s="1"/>
      <c r="CU1049" s="1"/>
    </row>
    <row r="1050" spans="1:99" s="13" customFormat="1" ht="12" customHeight="1" x14ac:dyDescent="0.2">
      <c r="A1050" s="68">
        <v>43509</v>
      </c>
      <c r="B1050" s="70"/>
      <c r="C1050" s="70"/>
      <c r="D1050" s="69"/>
      <c r="E1050" s="87"/>
      <c r="F1050" s="69"/>
      <c r="G1050" s="69"/>
      <c r="H1050" s="69"/>
      <c r="I1050" s="69"/>
      <c r="J1050" s="69"/>
      <c r="K1050" s="107"/>
      <c r="L1050" s="107"/>
      <c r="M1050" s="69"/>
      <c r="N1050" s="69"/>
      <c r="O1050" s="69"/>
      <c r="P1050" s="69"/>
      <c r="Q1050" s="69"/>
      <c r="R1050" s="69"/>
      <c r="S1050" s="69"/>
      <c r="T1050" s="69"/>
      <c r="U1050" s="69"/>
      <c r="V1050" s="69"/>
      <c r="W1050" s="69"/>
      <c r="X1050" s="69"/>
      <c r="Y1050" s="87"/>
      <c r="Z1050" s="69"/>
      <c r="AA1050" s="69"/>
      <c r="AB1050" s="69"/>
      <c r="AC1050" s="69"/>
      <c r="AD1050" s="69"/>
      <c r="AE1050" s="69"/>
      <c r="AF1050" s="88"/>
      <c r="AG1050" s="72"/>
      <c r="AH1050" s="4"/>
      <c r="AI1050" s="72"/>
      <c r="AJ1050" s="110"/>
      <c r="AK1050" s="72"/>
      <c r="AL1050" s="72"/>
      <c r="AM1050" s="72"/>
      <c r="AN1050" s="72"/>
      <c r="AO1050" s="89"/>
      <c r="AP1050" s="89"/>
      <c r="AQ1050" s="89"/>
      <c r="AR1050" s="118"/>
      <c r="AS1050" s="89"/>
      <c r="AT1050" s="89"/>
      <c r="AU1050" s="3"/>
      <c r="AV1050" s="125">
        <v>1.5</v>
      </c>
      <c r="AW1050" s="71">
        <v>3</v>
      </c>
      <c r="AX1050" s="71">
        <v>6</v>
      </c>
      <c r="AY1050" s="42"/>
      <c r="AZ1050" s="46"/>
      <c r="BA1050" s="42"/>
      <c r="BB1050" s="42"/>
      <c r="BC1050" s="2"/>
      <c r="BD1050" s="2"/>
      <c r="BE1050" s="2"/>
      <c r="BF1050" s="2"/>
      <c r="BG1050" s="2"/>
      <c r="BH1050" s="2"/>
      <c r="BI1050" s="2"/>
      <c r="BJ1050" s="2"/>
      <c r="BK1050" s="2"/>
      <c r="BL1050" s="2"/>
      <c r="BM1050" s="2"/>
      <c r="BN1050" s="2"/>
      <c r="BO1050" s="2"/>
      <c r="BP1050" s="2"/>
      <c r="BQ1050" s="2"/>
      <c r="BR1050" s="2"/>
      <c r="BS1050" s="2"/>
      <c r="BT1050" s="2"/>
      <c r="BU1050" s="2"/>
      <c r="BV1050" s="2"/>
      <c r="BW1050" s="2"/>
      <c r="BX1050" s="2"/>
      <c r="BY1050" s="2"/>
      <c r="BZ1050" s="2"/>
      <c r="CA1050" s="2"/>
      <c r="CB1050" s="2"/>
      <c r="CC1050" s="2"/>
      <c r="CD1050" s="2"/>
      <c r="CE1050" s="2"/>
      <c r="CF1050" s="2"/>
      <c r="CG1050" s="2"/>
      <c r="CH1050" s="2"/>
      <c r="CI1050" s="2"/>
      <c r="CJ1050" s="2"/>
      <c r="CK1050" s="2"/>
      <c r="CL1050" s="2"/>
      <c r="CM1050" s="2"/>
      <c r="CN1050" s="2"/>
      <c r="CO1050" s="2"/>
      <c r="CP1050" s="2"/>
      <c r="CQ1050" s="2"/>
      <c r="CR1050" s="1"/>
      <c r="CS1050" s="1"/>
      <c r="CT1050" s="1"/>
      <c r="CU1050" s="1"/>
    </row>
    <row r="1051" spans="1:99" s="13" customFormat="1" ht="12" customHeight="1" x14ac:dyDescent="0.2">
      <c r="A1051" s="68">
        <v>43509</v>
      </c>
      <c r="B1051" s="70" t="s">
        <v>250</v>
      </c>
      <c r="C1051" s="70" t="s">
        <v>33</v>
      </c>
      <c r="D1051" s="69">
        <v>2010</v>
      </c>
      <c r="E1051" s="87">
        <v>2</v>
      </c>
      <c r="F1051" s="69">
        <v>32</v>
      </c>
      <c r="G1051" s="69">
        <v>32</v>
      </c>
      <c r="H1051" s="69" t="s">
        <v>38</v>
      </c>
      <c r="I1051" s="69" t="s">
        <v>766</v>
      </c>
      <c r="J1051" s="69" t="s">
        <v>630</v>
      </c>
      <c r="K1051" s="69">
        <f>IF(J1051="syllables",1,IF(J1051="trigrams",2,IF(J1051="strings",3,IF(J1051="visual array",4,IF(J1051="characters",5,IF(J1051="letters",6,IF(J1051="free forms",7,IF(J1051="odors",8,IF(J1051="words",9,IF(J1051="pictures",10,IF(J1051="object pictures",11,IF(J1051="faces",12,IF(J1051="names",13,IF(J1051="idioms",14,IF(J1051="grades",15,IF(J1051="syllable-digit pairs",16,IF(J1051="trigram-word pairs",17,IF(J1051="word-digit pairs",18,IF(J1051="English-Swahili pairs",19,IF(J1051="spatial position",20,IF(J1051="word pairs",21,IF(J1051="word triads",22,IF(J1051="generated words",23,IF(J1051="word definition pairs",24,IF(J1051="math problems",25,IF(J1051="famous faces",26,IF(J1051="famous names",27,IF(J1051="famous voices",28,IF(J1051="television programs",29,IF(J1051="race horses",30,IF(J1051="new vocabulary",31,IF(J1051="sentences",32,IF(J1051="concepts",33,IF(J1051="ad slides",34,IF(J1051="scenes",35,IF(J1051="famous scenes",36,IF(J1051="poems",37,IF(J1051="walk",38,IF(J1051="faces and events",39,IF(J1051="events and names",40,IF(J1051="flashbulb",41,IF(J1051="stories",42,IF(J1051="course material",43,IF(J1051="autobiographical",44,IF(J1051="novels",45,IF(J1051="public events",46,"99"))))))))))))))))))))))))))))))))))))))))))))))</f>
        <v>6</v>
      </c>
      <c r="L1051" s="69">
        <f>IF(J1051="syllables",1,IF(J1051="trigrams",1,IF(J1051="strings",1,IF(J1051="visual array",1,IF(J1051="characters",1,IF(J1051="letters",1,IF(J1051="free forms",1,IF(J1051="odors",2,IF(J1051="words",2,IF(J1051="pictures",2,IF(J1051="object pictures",2,IF(J1051="faces",2,IF(J1051="names",2,IF(J1051="idioms","2",IF(J1051="grades",2,IF(J1051="syllable-digit pairs",3,IF(J1051="trigram-word pairs",3,IF(J1051="word-digit pairs",3,IF(J1051="English-Swahili pairs",3,IF(J1051="spatial position",3,IF(J1051="word pairs",4,IF(J1051="word triads",4,IF(J1051="generated words",4,IF(J1051="word definition pairs",4,IF(J1051="math problems",4,IF(J1051="famous faces",4,IF(J1051="famous names",4,IF(J1051="famous voices",4,IF(J1051="television programs",4,IF(J1051="race horses",4,IF(J1051="new vocabulary",4,IF(J1051="sentences",5,IF(J1051="concepts",5,IF(J1051="ad slides",5,IF(J1051="scenes",5,IF(J1051="famous scenes",5,IF(J1051="poems",6,IF(J1051="walk",6,IF(J1051="faces and events",6,IF(J1051="events and names",6,IF(J1051="flashbulb",7,IF(J1051="stories",7,IF(J1051="course material",7,IF(J1051="autobiographical",7,IF(J1051="novels",7,IF(J1051="public events",7,"99"))))))))))))))))))))))))))))))))))))))))))))))</f>
        <v>1</v>
      </c>
      <c r="M1051" s="69">
        <v>0</v>
      </c>
      <c r="N1051" s="69">
        <v>1</v>
      </c>
      <c r="O1051" s="69">
        <v>1</v>
      </c>
      <c r="P1051" s="69" t="s">
        <v>37</v>
      </c>
      <c r="Q1051" s="69" t="s">
        <v>34</v>
      </c>
      <c r="R1051" s="69">
        <f>IF(Q1051="Free Recall",1,IF(Q1051="Cued Recall",2,IF(Q1051="Recognition",3,IF(Q1051="Multiple Choice",4,IF(Q1051="Savings",5,IF(Q1051="Stem Completion",6,IF(Q1051="Fragment Completion",7,IF(Q1051="anagram solution",8,IF(Q1051="Matching",9,IF(Q1051="Problem Solving",10,"99"))))))))))</f>
        <v>3</v>
      </c>
      <c r="S1051" s="69" t="s">
        <v>15</v>
      </c>
      <c r="T1051" s="92" t="s">
        <v>581</v>
      </c>
      <c r="U1051" s="69">
        <f>IF(T1051="within",1,0)</f>
        <v>1</v>
      </c>
      <c r="V1051" s="92">
        <v>24</v>
      </c>
      <c r="W1051" s="69">
        <f>F1051*V1051</f>
        <v>768</v>
      </c>
      <c r="X1051" s="69">
        <v>3</v>
      </c>
      <c r="Y1051" s="87">
        <f>AV1050</f>
        <v>1.5</v>
      </c>
      <c r="Z1051" s="69" t="s">
        <v>39</v>
      </c>
      <c r="AA1051" s="69">
        <v>6</v>
      </c>
      <c r="AB1051" s="69" t="str">
        <f>IF(AA1051&lt;60,"1",IF(AA1051&lt;=43200,"2",IF(AA1051&lt;=777600,"3","4")))</f>
        <v>1</v>
      </c>
      <c r="AC1051" s="72">
        <f>AVERAGE(AV1050:DA1050)</f>
        <v>3.5</v>
      </c>
      <c r="AD1051" s="69" t="str">
        <f>IF(AC1051&lt;60,"1",IF(AC1051&lt;=43200,"2",IF(AC1051&lt;=777600,"3","4")))</f>
        <v>1</v>
      </c>
      <c r="AE1051" s="87">
        <f>AA1051-Y1051</f>
        <v>4.5</v>
      </c>
      <c r="AF1051" s="88">
        <f>AV1051</f>
        <v>0.74399999999999999</v>
      </c>
      <c r="AG1051" s="72">
        <f>((AW1051-AV1051)+(AX1051-AW1051))/2</f>
        <v>-5.2499999999999991E-2</v>
      </c>
      <c r="AH1051" s="4"/>
      <c r="AI1051" s="72">
        <f>RSQ(AV1051:AX1051,AV1050:AX1050)</f>
        <v>0.99467245461720621</v>
      </c>
      <c r="AJ1051" s="110">
        <f>SLOPE(AV1051:AX1051,AV1050:AX1050)</f>
        <v>-2.3666666666666662E-2</v>
      </c>
      <c r="AK1051" s="72">
        <f>INTERCEPT(AV1051:AX1051,AV1050:AX1050)</f>
        <v>0.78250000000000008</v>
      </c>
      <c r="AL1051" s="72">
        <f>INDEX(LINEST(LN(AV1051:AX1051),LN(AV1050:AX1050),TRUE,TRUE),3,1)</f>
        <v>0.92429320083115285</v>
      </c>
      <c r="AM1051" s="72">
        <f>INDEX(LINEST(LN(AV1051:AX1051),LN(AV1050:AX1050)),1)</f>
        <v>-0.10974334508051847</v>
      </c>
      <c r="AN1051" s="72">
        <f>EXP(INDEX(LINEST(LN(AV1051:AX1051),LN(AV1050:AX1050)),1,2))</f>
        <v>0.78769209640448046</v>
      </c>
      <c r="AO1051" s="89">
        <f>INDEX(LINEST((AV1051:AX1051),LN(AV1050:AX1050),TRUE,TRUE),3,1)</f>
        <v>0.93232044198895037</v>
      </c>
      <c r="AP1051" s="89">
        <f>INDEX(LINEST((AV1051:AX1051),LN(AV1050:AX1050)),1)</f>
        <v>-7.5741489646670559E-2</v>
      </c>
      <c r="AQ1051" s="90">
        <f>INDEX(LINEST(LN(AV1051:AX1051),SQRT(AV1050:AX1050),TRUE,TRUE),3,1)</f>
        <v>0.96794530741880347</v>
      </c>
      <c r="AR1051" s="117">
        <f>INDEX(LINEST(LN(AV1051:AX1051),SQRT((AV1050:AX1050))),1)</f>
        <v>-0.12649932198771541</v>
      </c>
      <c r="AS1051" s="91">
        <f>INDEX(LINEST(1/(AV1051:AX1051),1/(SQRT(AV1050:AX1050)),TRUE,TRUE),3,1)</f>
        <v>0.85367642857772885</v>
      </c>
      <c r="AT1051" s="91">
        <f>INDEX(LINEST(1/(AV1051:AX1051),1/SQRT(AV1050:AX1050)),1)</f>
        <v>-0.51967985864343202</v>
      </c>
      <c r="AU1051" s="3"/>
      <c r="AV1051" s="73">
        <v>0.74399999999999999</v>
      </c>
      <c r="AW1051" s="73">
        <v>0.71599999999999997</v>
      </c>
      <c r="AX1051" s="73">
        <v>0.63900000000000001</v>
      </c>
      <c r="AY1051" s="42"/>
      <c r="AZ1051" s="46"/>
      <c r="BA1051" s="42"/>
      <c r="BB1051" s="42"/>
      <c r="BC1051" s="2"/>
      <c r="BD1051" s="2"/>
      <c r="BE1051" s="2"/>
      <c r="BF1051" s="2"/>
      <c r="BG1051" s="2"/>
      <c r="BH1051" s="2"/>
      <c r="BI1051" s="2"/>
      <c r="BJ1051" s="2"/>
      <c r="BK1051" s="2"/>
      <c r="BL1051" s="2"/>
      <c r="BM1051" s="2"/>
      <c r="BN1051" s="2"/>
      <c r="BO1051" s="2"/>
      <c r="BP1051" s="2"/>
      <c r="BQ1051" s="2"/>
      <c r="BR1051" s="2"/>
      <c r="BS1051" s="2"/>
      <c r="BT1051" s="2"/>
      <c r="BU1051" s="2"/>
      <c r="BV1051" s="2"/>
      <c r="BW1051" s="2"/>
      <c r="BX1051" s="2"/>
      <c r="BY1051" s="2"/>
      <c r="BZ1051" s="2"/>
      <c r="CA1051" s="2"/>
      <c r="CB1051" s="2"/>
      <c r="CC1051" s="2"/>
      <c r="CD1051" s="2"/>
      <c r="CE1051" s="2"/>
      <c r="CF1051" s="2"/>
      <c r="CG1051" s="2"/>
      <c r="CH1051" s="2"/>
      <c r="CI1051" s="2"/>
      <c r="CJ1051" s="2"/>
      <c r="CK1051" s="2"/>
      <c r="CL1051" s="2"/>
      <c r="CM1051" s="2"/>
      <c r="CN1051" s="2"/>
      <c r="CO1051" s="2"/>
      <c r="CP1051" s="2"/>
      <c r="CQ1051" s="2"/>
      <c r="CR1051" s="1"/>
      <c r="CS1051" s="1"/>
      <c r="CT1051" s="1"/>
      <c r="CU1051" s="1"/>
    </row>
    <row r="1052" spans="1:99" s="13" customFormat="1" ht="12" customHeight="1" x14ac:dyDescent="0.2">
      <c r="A1052" s="65">
        <v>43509</v>
      </c>
      <c r="B1052" s="1"/>
      <c r="C1052" s="1"/>
      <c r="D1052" s="60"/>
      <c r="E1052" s="76"/>
      <c r="F1052" s="60"/>
      <c r="G1052" s="60"/>
      <c r="H1052" s="60"/>
      <c r="I1052" s="60"/>
      <c r="J1052" s="60"/>
      <c r="K1052" s="64"/>
      <c r="L1052" s="64"/>
      <c r="M1052" s="60"/>
      <c r="N1052" s="60"/>
      <c r="O1052" s="60"/>
      <c r="P1052" s="60"/>
      <c r="Q1052" s="60"/>
      <c r="R1052" s="60"/>
      <c r="S1052" s="60"/>
      <c r="T1052" s="60"/>
      <c r="U1052" s="60"/>
      <c r="V1052" s="60"/>
      <c r="W1052" s="60"/>
      <c r="X1052" s="60"/>
      <c r="Y1052" s="76"/>
      <c r="Z1052" s="60"/>
      <c r="AA1052" s="60"/>
      <c r="AB1052" s="60"/>
      <c r="AC1052" s="60"/>
      <c r="AD1052" s="60"/>
      <c r="AE1052" s="60"/>
      <c r="AF1052" s="80"/>
      <c r="AG1052" s="56"/>
      <c r="AH1052" s="4"/>
      <c r="AI1052" s="56"/>
      <c r="AJ1052" s="109"/>
      <c r="AK1052" s="56"/>
      <c r="AL1052" s="56"/>
      <c r="AM1052" s="56"/>
      <c r="AN1052" s="56"/>
      <c r="AO1052" s="56"/>
      <c r="AP1052" s="56"/>
      <c r="AQ1052" s="56"/>
      <c r="AR1052" s="109"/>
      <c r="AS1052" s="56"/>
      <c r="AT1052" s="56"/>
      <c r="AU1052" s="4"/>
      <c r="AV1052" s="53">
        <v>1</v>
      </c>
      <c r="AW1052" s="25">
        <v>6</v>
      </c>
      <c r="AX1052" s="25">
        <v>12</v>
      </c>
      <c r="AY1052" s="42"/>
      <c r="AZ1052" s="46"/>
      <c r="BA1052" s="42"/>
      <c r="BB1052" s="42"/>
      <c r="BC1052" s="2"/>
      <c r="BD1052" s="2"/>
      <c r="BE1052" s="2"/>
      <c r="BF1052" s="2"/>
      <c r="BG1052" s="2"/>
      <c r="BH1052" s="2"/>
      <c r="BI1052" s="2"/>
      <c r="BJ1052" s="2"/>
      <c r="BK1052" s="2"/>
      <c r="BL1052" s="2"/>
      <c r="BM1052" s="2"/>
      <c r="BN1052" s="2"/>
      <c r="BO1052" s="2"/>
      <c r="BP1052" s="2"/>
      <c r="BQ1052" s="2"/>
      <c r="BR1052" s="2"/>
      <c r="BS1052" s="2"/>
      <c r="BT1052" s="2"/>
      <c r="BU1052" s="2"/>
      <c r="BV1052" s="2"/>
      <c r="BW1052" s="2"/>
      <c r="BX1052" s="2"/>
      <c r="BY1052" s="2"/>
      <c r="BZ1052" s="2"/>
      <c r="CA1052" s="2"/>
      <c r="CB1052" s="2"/>
      <c r="CC1052" s="2"/>
      <c r="CD1052" s="2"/>
      <c r="CE1052" s="2"/>
      <c r="CF1052" s="2"/>
      <c r="CG1052" s="2"/>
      <c r="CH1052" s="2"/>
      <c r="CI1052" s="2"/>
      <c r="CJ1052" s="2"/>
      <c r="CK1052" s="2"/>
      <c r="CL1052" s="2"/>
      <c r="CM1052" s="2"/>
      <c r="CN1052" s="2"/>
      <c r="CO1052" s="2"/>
      <c r="CP1052" s="2"/>
      <c r="CQ1052" s="2"/>
      <c r="CR1052" s="1"/>
      <c r="CS1052" s="1"/>
      <c r="CT1052" s="1"/>
      <c r="CU1052" s="1"/>
    </row>
    <row r="1053" spans="1:99" s="13" customFormat="1" ht="12" customHeight="1" x14ac:dyDescent="0.2">
      <c r="A1053" s="65">
        <v>43509</v>
      </c>
      <c r="B1053" s="1" t="s">
        <v>251</v>
      </c>
      <c r="C1053" s="1" t="s">
        <v>33</v>
      </c>
      <c r="D1053" s="60">
        <v>2014</v>
      </c>
      <c r="E1053" s="76">
        <v>1</v>
      </c>
      <c r="F1053" s="60">
        <v>16</v>
      </c>
      <c r="G1053" s="60">
        <v>16</v>
      </c>
      <c r="H1053" s="60" t="s">
        <v>41</v>
      </c>
      <c r="I1053" s="60" t="s">
        <v>767</v>
      </c>
      <c r="J1053" s="60" t="s">
        <v>764</v>
      </c>
      <c r="K1053" s="60">
        <f>IF(J1053="syllables",1,IF(J1053="trigrams",2,IF(J1053="strings",3,IF(J1053="visual array",4,IF(J1053="characters",5,IF(J1053="letters",6,IF(J1053="free forms",7,IF(J1053="odors",8,IF(J1053="words",9,IF(J1053="pictures",10,IF(J1053="object pictures",11,IF(J1053="faces",12,IF(J1053="names",13,IF(J1053="idioms",14,IF(J1053="grades",15,IF(J1053="syllable-digit pairs",16,IF(J1053="trigram-word pairs",17,IF(J1053="word-digit pairs",18,IF(J1053="English-Swahili pairs",19,IF(J1053="spatial position",20,IF(J1053="word pairs",21,IF(J1053="word triads",22,IF(J1053="generated words",23,IF(J1053="word definition pairs",24,IF(J1053="math problems",25,IF(J1053="famous faces",26,IF(J1053="famous names",27,IF(J1053="famous voices",28,IF(J1053="television programs",29,IF(J1053="race horses",30,IF(J1053="new vocabulary",31,IF(J1053="sentences",32,IF(J1053="concepts",33,IF(J1053="ad slides",34,IF(J1053="scenes",35,IF(J1053="famous scenes",36,IF(J1053="poems",37,IF(J1053="walk",38,IF(J1053="faces and events",39,IF(J1053="events and names",40,IF(J1053="flashbulb",41,IF(J1053="stories",42,IF(J1053="course material",43,IF(J1053="autobiographical",44,IF(J1053="novels",45,IF(J1053="public events",46,"99"))))))))))))))))))))))))))))))))))))))))))))))</f>
        <v>4</v>
      </c>
      <c r="L1053" s="60">
        <f>IF(J1053="syllables",1,IF(J1053="trigrams",1,IF(J1053="strings",1,IF(J1053="visual array",1,IF(J1053="characters",1,IF(J1053="letters",1,IF(J1053="free forms",1,IF(J1053="odors",2,IF(J1053="words",2,IF(J1053="pictures",2,IF(J1053="object pictures",2,IF(J1053="faces",2,IF(J1053="names",2,IF(J1053="idioms","2",IF(J1053="grades",2,IF(J1053="syllable-digit pairs",3,IF(J1053="trigram-word pairs",3,IF(J1053="word-digit pairs",3,IF(J1053="English-Swahili pairs",3,IF(J1053="spatial position",3,IF(J1053="word pairs",4,IF(J1053="word triads",4,IF(J1053="generated words",4,IF(J1053="word definition pairs",4,IF(J1053="math problems",4,IF(J1053="famous faces",4,IF(J1053="famous names",4,IF(J1053="famous voices",4,IF(J1053="television programs",4,IF(J1053="race horses",4,IF(J1053="new vocabulary",4,IF(J1053="sentences",5,IF(J1053="concepts",5,IF(J1053="ad slides",5,IF(J1053="scenes",5,IF(J1053="famous scenes",5,IF(J1053="poems",6,IF(J1053="walk",6,IF(J1053="faces and events",6,IF(J1053="events and names",6,IF(J1053="flashbulb",7,IF(J1053="stories",7,IF(J1053="course material",7,IF(J1053="autobiographical",7,IF(J1053="novels",7,IF(J1053="public events",7,"99"))))))))))))))))))))))))))))))))))))))))))))))</f>
        <v>1</v>
      </c>
      <c r="M1053" s="60">
        <v>0</v>
      </c>
      <c r="N1053" s="60">
        <v>1</v>
      </c>
      <c r="O1053" s="60">
        <v>0</v>
      </c>
      <c r="P1053" s="60"/>
      <c r="Q1053" s="60" t="s">
        <v>34</v>
      </c>
      <c r="R1053" s="60">
        <f>IF(Q1053="Free Recall",1,IF(Q1053="Cued Recall",2,IF(Q1053="Recognition",3,IF(Q1053="Multiple Choice",4,IF(Q1053="Savings",5,IF(Q1053="Stem Completion",6,IF(Q1053="Fragment Completion",7,IF(Q1053="anagram solution",8,IF(Q1053="Matching",9,IF(Q1053="Problem Solving",10,"99"))))))))))</f>
        <v>3</v>
      </c>
      <c r="S1053" s="60" t="s">
        <v>40</v>
      </c>
      <c r="T1053" s="59" t="s">
        <v>581</v>
      </c>
      <c r="U1053" s="60">
        <f>IF(T1053="within",1,0)</f>
        <v>1</v>
      </c>
      <c r="V1053" s="59">
        <v>108</v>
      </c>
      <c r="W1053" s="60">
        <f>F1053*V1053</f>
        <v>1728</v>
      </c>
      <c r="X1053" s="60">
        <v>3</v>
      </c>
      <c r="Y1053" s="76">
        <f>AV1052</f>
        <v>1</v>
      </c>
      <c r="Z1053" s="60" t="s">
        <v>42</v>
      </c>
      <c r="AA1053" s="60">
        <v>12</v>
      </c>
      <c r="AB1053" s="60" t="str">
        <f>IF(AA1053&lt;60,"1",IF(AA1053&lt;=43200,"2",IF(AA1053&lt;=777600,"3","4")))</f>
        <v>1</v>
      </c>
      <c r="AC1053" s="56">
        <f>AVERAGE(AV1052:DA1052)</f>
        <v>6.333333333333333</v>
      </c>
      <c r="AD1053" s="60" t="str">
        <f>IF(AC1053&lt;60,"1",IF(AC1053&lt;=43200,"2",IF(AC1053&lt;=777600,"3","4")))</f>
        <v>1</v>
      </c>
      <c r="AE1053" s="76">
        <f>AA1053-Y1053</f>
        <v>11</v>
      </c>
      <c r="AF1053" s="80">
        <f>AV1053</f>
        <v>0.85599999999999998</v>
      </c>
      <c r="AG1053" s="56">
        <f>((AW1053-AV1053)+(AX1053-AW1053))/2</f>
        <v>-2.1500000000000019E-2</v>
      </c>
      <c r="AH1053" s="4"/>
      <c r="AI1053" s="56">
        <f>RSQ(AV1053:AX1053,AV1052:AX1052)</f>
        <v>0.77705873571201367</v>
      </c>
      <c r="AJ1053" s="109">
        <f>SLOPE(AV1053:AX1053,AV1052:AX1052)</f>
        <v>-3.8021978021978049E-3</v>
      </c>
      <c r="AK1053" s="56">
        <f>INTERCEPT(AV1053:AX1053,AV1052:AX1052)</f>
        <v>0.8527472527472526</v>
      </c>
      <c r="AL1053" s="56">
        <f>INDEX(LINEST(LN(AV1053:AX1053),LN(AV1052:AX1052),TRUE,TRUE),3,1)</f>
        <v>0.96532587566803452</v>
      </c>
      <c r="AM1053" s="56">
        <f>INDEX(LINEST(LN(AV1053:AX1053),LN(AV1052:AX1052)),1)</f>
        <v>-2.1795320311497328E-2</v>
      </c>
      <c r="AN1053" s="56">
        <f>EXP(INDEX(LINEST(LN(AV1053:AX1053),LN(AV1052:AX1052)),1,2))</f>
        <v>0.85458613247531845</v>
      </c>
      <c r="AO1053" s="82">
        <f>INDEX(LINEST((AV1053:AX1053),LN(AV1052:AX1052),TRUE,TRUE),3,1)</f>
        <v>0.96455802371067456</v>
      </c>
      <c r="AP1053" s="82">
        <f>INDEX(LINEST((AV1053:AX1053),LN(AV1052:AX1052)),1)</f>
        <v>-1.8194727296521093E-2</v>
      </c>
      <c r="AQ1053" s="83">
        <f>INDEX(LINEST(LN(AV1053:AX1053),SQRT(AV1052:AX1052),TRUE,TRUE),3,1)</f>
        <v>0.89148954039786998</v>
      </c>
      <c r="AR1053" s="116">
        <f>INDEX(LINEST(LN(AV1053:AX1053),SQRT((AV1052:AX1052))),1)</f>
        <v>-2.1686995655371074E-2</v>
      </c>
      <c r="AS1053" s="84">
        <f>INDEX(LINEST(1/(AV1053:AX1053),1/(SQRT(AV1052:AX1052)),TRUE,TRUE),3,1)</f>
        <v>0.9952300194353475</v>
      </c>
      <c r="AT1053" s="84">
        <f>INDEX(LINEST(1/(AV1053:AX1053),1/SQRT(AV1052:AX1052)),1)</f>
        <v>-8.9230759617749691E-2</v>
      </c>
      <c r="AU1053" s="3"/>
      <c r="AV1053" s="53">
        <v>0.85599999999999998</v>
      </c>
      <c r="AW1053" s="53">
        <v>0.81699999999999995</v>
      </c>
      <c r="AX1053" s="53">
        <v>0.81299999999999994</v>
      </c>
      <c r="AY1053" s="42"/>
      <c r="AZ1053" s="46"/>
      <c r="BA1053" s="42"/>
      <c r="BB1053" s="42"/>
      <c r="BC1053" s="2"/>
      <c r="BD1053" s="2"/>
      <c r="BE1053" s="2"/>
      <c r="BF1053" s="2"/>
      <c r="BG1053" s="2"/>
      <c r="BH1053" s="2"/>
      <c r="BI1053" s="2"/>
      <c r="BJ1053" s="2"/>
      <c r="BK1053" s="2"/>
      <c r="BL1053" s="2"/>
      <c r="BM1053" s="2"/>
      <c r="BN1053" s="2"/>
      <c r="BO1053" s="2"/>
      <c r="BP1053" s="2"/>
      <c r="BQ1053" s="2"/>
      <c r="BR1053" s="2"/>
      <c r="BS1053" s="2"/>
      <c r="BT1053" s="2"/>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c r="CQ1053" s="2"/>
      <c r="CR1053" s="1"/>
      <c r="CS1053" s="1"/>
      <c r="CT1053" s="1"/>
      <c r="CU1053" s="1"/>
    </row>
    <row r="1054" spans="1:99" s="13" customFormat="1" ht="12" customHeight="1" x14ac:dyDescent="0.2">
      <c r="A1054" s="65">
        <v>43509</v>
      </c>
      <c r="B1054" s="1"/>
      <c r="C1054" s="1"/>
      <c r="D1054" s="60"/>
      <c r="E1054" s="76"/>
      <c r="F1054" s="60"/>
      <c r="G1054" s="60"/>
      <c r="H1054" s="60"/>
      <c r="I1054" s="60"/>
      <c r="J1054" s="60"/>
      <c r="K1054" s="64"/>
      <c r="L1054" s="64"/>
      <c r="M1054" s="60"/>
      <c r="N1054" s="60"/>
      <c r="O1054" s="60"/>
      <c r="P1054" s="60"/>
      <c r="Q1054" s="60"/>
      <c r="R1054" s="60"/>
      <c r="S1054" s="60"/>
      <c r="T1054" s="60"/>
      <c r="U1054" s="60"/>
      <c r="V1054" s="60"/>
      <c r="W1054" s="60"/>
      <c r="X1054" s="60"/>
      <c r="Y1054" s="76"/>
      <c r="Z1054" s="60"/>
      <c r="AA1054" s="60"/>
      <c r="AB1054" s="60"/>
      <c r="AC1054" s="60"/>
      <c r="AD1054" s="60"/>
      <c r="AE1054" s="60"/>
      <c r="AF1054" s="80"/>
      <c r="AG1054" s="56"/>
      <c r="AH1054" s="4"/>
      <c r="AI1054" s="56"/>
      <c r="AJ1054" s="109"/>
      <c r="AK1054" s="56"/>
      <c r="AL1054" s="56"/>
      <c r="AM1054" s="56"/>
      <c r="AN1054" s="56"/>
      <c r="AO1054" s="82"/>
      <c r="AP1054" s="82"/>
      <c r="AQ1054" s="82"/>
      <c r="AR1054" s="115"/>
      <c r="AS1054" s="82"/>
      <c r="AT1054" s="82"/>
      <c r="AU1054" s="3"/>
      <c r="AV1054" s="25">
        <v>1</v>
      </c>
      <c r="AW1054" s="25">
        <v>6</v>
      </c>
      <c r="AX1054" s="25">
        <v>12</v>
      </c>
      <c r="AY1054" s="42"/>
      <c r="AZ1054" s="46"/>
      <c r="BA1054" s="42"/>
      <c r="BB1054" s="42"/>
      <c r="BC1054" s="2"/>
      <c r="BD1054" s="2"/>
      <c r="BE1054" s="2"/>
      <c r="BF1054" s="2"/>
      <c r="BG1054" s="2"/>
      <c r="BH1054" s="2"/>
      <c r="BI1054" s="2"/>
      <c r="BJ1054" s="2"/>
      <c r="BK1054" s="2"/>
      <c r="BL1054" s="2"/>
      <c r="BM1054" s="2"/>
      <c r="BN1054" s="2"/>
      <c r="BO1054" s="2"/>
      <c r="BP1054" s="2"/>
      <c r="BQ1054" s="2"/>
      <c r="BR1054" s="2"/>
      <c r="BS1054" s="2"/>
      <c r="BT1054" s="2"/>
      <c r="BU1054" s="2"/>
      <c r="BV1054" s="2"/>
      <c r="BW1054" s="2"/>
      <c r="BX1054" s="2"/>
      <c r="BY1054" s="2"/>
      <c r="BZ1054" s="2"/>
      <c r="CA1054" s="2"/>
      <c r="CB1054" s="2"/>
      <c r="CC1054" s="2"/>
      <c r="CD1054" s="2"/>
      <c r="CE1054" s="2"/>
      <c r="CF1054" s="2"/>
      <c r="CG1054" s="2"/>
      <c r="CH1054" s="2"/>
      <c r="CI1054" s="2"/>
      <c r="CJ1054" s="2"/>
      <c r="CK1054" s="2"/>
      <c r="CL1054" s="2"/>
      <c r="CM1054" s="2"/>
      <c r="CN1054" s="2"/>
      <c r="CO1054" s="2"/>
      <c r="CP1054" s="2"/>
      <c r="CQ1054" s="2"/>
      <c r="CR1054" s="1"/>
      <c r="CS1054" s="1"/>
      <c r="CT1054" s="1"/>
      <c r="CU1054" s="1"/>
    </row>
    <row r="1055" spans="1:99" s="13" customFormat="1" ht="12" customHeight="1" x14ac:dyDescent="0.2">
      <c r="A1055" s="65">
        <v>43509</v>
      </c>
      <c r="B1055" s="1" t="s">
        <v>251</v>
      </c>
      <c r="C1055" s="1" t="s">
        <v>33</v>
      </c>
      <c r="D1055" s="60">
        <v>2014</v>
      </c>
      <c r="E1055" s="76">
        <v>1</v>
      </c>
      <c r="F1055" s="60">
        <v>16</v>
      </c>
      <c r="G1055" s="60">
        <v>16</v>
      </c>
      <c r="H1055" s="60" t="s">
        <v>41</v>
      </c>
      <c r="I1055" s="60" t="s">
        <v>768</v>
      </c>
      <c r="J1055" s="60" t="s">
        <v>764</v>
      </c>
      <c r="K1055" s="60">
        <f>IF(J1055="syllables",1,IF(J1055="trigrams",2,IF(J1055="strings",3,IF(J1055="visual array",4,IF(J1055="characters",5,IF(J1055="letters",6,IF(J1055="free forms",7,IF(J1055="odors",8,IF(J1055="words",9,IF(J1055="pictures",10,IF(J1055="object pictures",11,IF(J1055="faces",12,IF(J1055="names",13,IF(J1055="idioms",14,IF(J1055="grades",15,IF(J1055="syllable-digit pairs",16,IF(J1055="trigram-word pairs",17,IF(J1055="word-digit pairs",18,IF(J1055="English-Swahili pairs",19,IF(J1055="spatial position",20,IF(J1055="word pairs",21,IF(J1055="word triads",22,IF(J1055="generated words",23,IF(J1055="word definition pairs",24,IF(J1055="math problems",25,IF(J1055="famous faces",26,IF(J1055="famous names",27,IF(J1055="famous voices",28,IF(J1055="television programs",29,IF(J1055="race horses",30,IF(J1055="new vocabulary",31,IF(J1055="sentences",32,IF(J1055="concepts",33,IF(J1055="ad slides",34,IF(J1055="scenes",35,IF(J1055="famous scenes",36,IF(J1055="poems",37,IF(J1055="walk",38,IF(J1055="faces and events",39,IF(J1055="events and names",40,IF(J1055="flashbulb",41,IF(J1055="stories",42,IF(J1055="course material",43,IF(J1055="autobiographical",44,IF(J1055="novels",45,IF(J1055="public events",46,"99"))))))))))))))))))))))))))))))))))))))))))))))</f>
        <v>4</v>
      </c>
      <c r="L1055" s="60">
        <f>IF(J1055="syllables",1,IF(J1055="trigrams",1,IF(J1055="strings",1,IF(J1055="visual array",1,IF(J1055="characters",1,IF(J1055="letters",1,IF(J1055="free forms",1,IF(J1055="odors",2,IF(J1055="words",2,IF(J1055="pictures",2,IF(J1055="object pictures",2,IF(J1055="faces",2,IF(J1055="names",2,IF(J1055="idioms","2",IF(J1055="grades",2,IF(J1055="syllable-digit pairs",3,IF(J1055="trigram-word pairs",3,IF(J1055="word-digit pairs",3,IF(J1055="English-Swahili pairs",3,IF(J1055="spatial position",3,IF(J1055="word pairs",4,IF(J1055="word triads",4,IF(J1055="generated words",4,IF(J1055="word definition pairs",4,IF(J1055="math problems",4,IF(J1055="famous faces",4,IF(J1055="famous names",4,IF(J1055="famous voices",4,IF(J1055="television programs",4,IF(J1055="race horses",4,IF(J1055="new vocabulary",4,IF(J1055="sentences",5,IF(J1055="concepts",5,IF(J1055="ad slides",5,IF(J1055="scenes",5,IF(J1055="famous scenes",5,IF(J1055="poems",6,IF(J1055="walk",6,IF(J1055="faces and events",6,IF(J1055="events and names",6,IF(J1055="flashbulb",7,IF(J1055="stories",7,IF(J1055="course material",7,IF(J1055="autobiographical",7,IF(J1055="novels",7,IF(J1055="public events",7,"99"))))))))))))))))))))))))))))))))))))))))))))))</f>
        <v>1</v>
      </c>
      <c r="M1055" s="60">
        <v>0</v>
      </c>
      <c r="N1055" s="60">
        <v>1</v>
      </c>
      <c r="O1055" s="60">
        <v>0</v>
      </c>
      <c r="P1055" s="60"/>
      <c r="Q1055" s="60" t="s">
        <v>34</v>
      </c>
      <c r="R1055" s="60">
        <f>IF(Q1055="Free Recall",1,IF(Q1055="Cued Recall",2,IF(Q1055="Recognition",3,IF(Q1055="Multiple Choice",4,IF(Q1055="Savings",5,IF(Q1055="Stem Completion",6,IF(Q1055="Fragment Completion",7,IF(Q1055="anagram solution",8,IF(Q1055="Matching",9,IF(Q1055="Problem Solving",10,"99"))))))))))</f>
        <v>3</v>
      </c>
      <c r="S1055" s="60" t="s">
        <v>40</v>
      </c>
      <c r="T1055" s="59" t="s">
        <v>581</v>
      </c>
      <c r="U1055" s="60">
        <f>IF(T1055="within",1,0)</f>
        <v>1</v>
      </c>
      <c r="V1055" s="59">
        <v>108</v>
      </c>
      <c r="W1055" s="60">
        <f>F1055*V1055</f>
        <v>1728</v>
      </c>
      <c r="X1055" s="60">
        <v>3</v>
      </c>
      <c r="Y1055" s="76">
        <f>AV1054</f>
        <v>1</v>
      </c>
      <c r="Z1055" s="60" t="s">
        <v>42</v>
      </c>
      <c r="AA1055" s="60">
        <v>12</v>
      </c>
      <c r="AB1055" s="60" t="str">
        <f>IF(AA1055&lt;60,"1",IF(AA1055&lt;=43200,"2",IF(AA1055&lt;=777600,"3","4")))</f>
        <v>1</v>
      </c>
      <c r="AC1055" s="56">
        <f>AVERAGE(AV1054:DA1054)</f>
        <v>6.333333333333333</v>
      </c>
      <c r="AD1055" s="60" t="str">
        <f>IF(AC1055&lt;60,"1",IF(AC1055&lt;=43200,"2",IF(AC1055&lt;=777600,"3","4")))</f>
        <v>1</v>
      </c>
      <c r="AE1055" s="76">
        <f>AA1055-Y1055</f>
        <v>11</v>
      </c>
      <c r="AF1055" s="80">
        <f>AV1055</f>
        <v>0.84899999999999998</v>
      </c>
      <c r="AG1055" s="56">
        <f>((AW1055-AV1055)+(AX1055-AW1055))/2</f>
        <v>-4.4499999999999984E-2</v>
      </c>
      <c r="AH1055" s="4"/>
      <c r="AI1055" s="56">
        <f>RSQ(AV1055:AX1055,AV1054:AX1054)</f>
        <v>0.47132350590430461</v>
      </c>
      <c r="AJ1055" s="109">
        <f>SLOPE(AV1055:AX1055,AV1054:AX1054)</f>
        <v>-7.6648351648351621E-3</v>
      </c>
      <c r="AK1055" s="56">
        <f>INTERCEPT(AV1055:AX1055,AV1054:AX1054)</f>
        <v>0.82854395604395592</v>
      </c>
      <c r="AL1055" s="56">
        <f>INDEX(LINEST(LN(AV1055:AX1055),LN(AV1054:AX1054),TRUE,TRUE),3,1)</f>
        <v>0.74712266833455454</v>
      </c>
      <c r="AM1055" s="56">
        <f>INDEX(LINEST(LN(AV1055:AX1055),LN(AV1054:AX1054)),1)</f>
        <v>-5.2337604154915944E-2</v>
      </c>
      <c r="AN1055" s="56">
        <f>EXP(INDEX(LINEST(LN(AV1055:AX1055),LN(AV1054:AX1054)),1,2))</f>
        <v>0.83871742160428009</v>
      </c>
      <c r="AO1055" s="82">
        <f>INDEX(LINEST((AV1055:AX1055),LN(AV1054:AX1054),TRUE,TRUE),3,1)</f>
        <v>0.76020383611185549</v>
      </c>
      <c r="AP1055" s="82">
        <f>INDEX(LINEST((AV1055:AX1055),LN(AV1054:AX1054)),1)</f>
        <v>-4.1810165542168105E-2</v>
      </c>
      <c r="AQ1055" s="83">
        <f>INDEX(LINEST(LN(AV1055:AX1055),SQRT(AV1054:AX1054),TRUE,TRUE),3,1)</f>
        <v>0.6092207528759449</v>
      </c>
      <c r="AR1055" s="116">
        <f>INDEX(LINEST(LN(AV1055:AX1055),SQRT((AV1054:AX1054))),1)</f>
        <v>-4.8935069587966555E-2</v>
      </c>
      <c r="AS1055" s="84">
        <f>INDEX(LINEST(1/(AV1055:AX1055),1/(SQRT(AV1054:AX1054)),TRUE,TRUE),3,1)</f>
        <v>0.82883691032559426</v>
      </c>
      <c r="AT1055" s="84">
        <f>INDEX(LINEST(1/(AV1055:AX1055),1/SQRT(AV1054:AX1054)),1)</f>
        <v>-0.23480360733685793</v>
      </c>
      <c r="AU1055" s="3"/>
      <c r="AV1055" s="53">
        <v>0.84899999999999998</v>
      </c>
      <c r="AW1055" s="53">
        <v>0.73099999999999998</v>
      </c>
      <c r="AX1055" s="53">
        <v>0.76</v>
      </c>
      <c r="AY1055" s="42"/>
      <c r="AZ1055" s="46"/>
      <c r="BA1055" s="42"/>
      <c r="BB1055" s="42"/>
      <c r="BC1055" s="2"/>
      <c r="BD1055" s="2"/>
      <c r="BE1055" s="2"/>
      <c r="BF1055" s="2"/>
      <c r="BG1055" s="2"/>
      <c r="BH1055" s="2"/>
      <c r="BI1055" s="2"/>
      <c r="BJ1055" s="2"/>
      <c r="BK1055" s="2"/>
      <c r="BL1055" s="2"/>
      <c r="BM1055" s="2"/>
      <c r="BN1055" s="2"/>
      <c r="BO1055" s="2"/>
      <c r="BP1055" s="2"/>
      <c r="BQ1055" s="2"/>
      <c r="BR1055" s="2"/>
      <c r="BS1055" s="2"/>
      <c r="BT1055" s="2"/>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c r="CQ1055" s="2"/>
      <c r="CR1055" s="1"/>
      <c r="CS1055" s="1"/>
      <c r="CT1055" s="1"/>
      <c r="CU1055" s="1"/>
    </row>
    <row r="1056" spans="1:99" s="13" customFormat="1" ht="12" customHeight="1" x14ac:dyDescent="0.2">
      <c r="A1056" s="65">
        <v>43509</v>
      </c>
      <c r="B1056" s="1"/>
      <c r="C1056" s="1"/>
      <c r="D1056" s="60"/>
      <c r="E1056" s="76"/>
      <c r="F1056" s="60"/>
      <c r="G1056" s="60"/>
      <c r="H1056" s="60"/>
      <c r="I1056" s="60"/>
      <c r="J1056" s="60"/>
      <c r="K1056" s="64"/>
      <c r="L1056" s="64"/>
      <c r="M1056" s="60"/>
      <c r="N1056" s="60"/>
      <c r="O1056" s="60"/>
      <c r="P1056" s="60"/>
      <c r="Q1056" s="60"/>
      <c r="R1056" s="60"/>
      <c r="S1056" s="60"/>
      <c r="T1056" s="60"/>
      <c r="U1056" s="60"/>
      <c r="V1056" s="60"/>
      <c r="W1056" s="60"/>
      <c r="X1056" s="60"/>
      <c r="Y1056" s="76"/>
      <c r="Z1056" s="60"/>
      <c r="AA1056" s="60"/>
      <c r="AB1056" s="60"/>
      <c r="AC1056" s="60"/>
      <c r="AD1056" s="60"/>
      <c r="AE1056" s="60"/>
      <c r="AF1056" s="80"/>
      <c r="AG1056" s="56"/>
      <c r="AH1056" s="4"/>
      <c r="AI1056" s="56"/>
      <c r="AJ1056" s="109"/>
      <c r="AK1056" s="56"/>
      <c r="AL1056" s="56"/>
      <c r="AM1056" s="56"/>
      <c r="AN1056" s="56"/>
      <c r="AO1056" s="82"/>
      <c r="AP1056" s="82"/>
      <c r="AQ1056" s="82"/>
      <c r="AR1056" s="115"/>
      <c r="AS1056" s="82"/>
      <c r="AT1056" s="82"/>
      <c r="AU1056" s="3"/>
      <c r="AV1056" s="25">
        <v>1</v>
      </c>
      <c r="AW1056" s="25">
        <v>6</v>
      </c>
      <c r="AX1056" s="25">
        <v>12</v>
      </c>
      <c r="AY1056" s="42"/>
      <c r="AZ1056" s="46"/>
      <c r="BA1056" s="42"/>
      <c r="BB1056" s="42"/>
      <c r="BC1056" s="2"/>
      <c r="BD1056" s="2"/>
      <c r="BE1056" s="2"/>
      <c r="BF1056" s="2"/>
      <c r="BG1056" s="2"/>
      <c r="BH1056" s="2"/>
      <c r="BI1056" s="2"/>
      <c r="BJ1056" s="2"/>
      <c r="BK1056" s="2"/>
      <c r="BL1056" s="2"/>
      <c r="BM1056" s="2"/>
      <c r="BN1056" s="2"/>
      <c r="BO1056" s="2"/>
      <c r="BP1056" s="2"/>
      <c r="BQ1056" s="2"/>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Q1056" s="2"/>
      <c r="CR1056" s="1"/>
      <c r="CS1056" s="1"/>
      <c r="CT1056" s="1"/>
      <c r="CU1056" s="1"/>
    </row>
    <row r="1057" spans="1:99" s="13" customFormat="1" ht="12" customHeight="1" x14ac:dyDescent="0.2">
      <c r="A1057" s="65">
        <v>43509</v>
      </c>
      <c r="B1057" s="1" t="s">
        <v>251</v>
      </c>
      <c r="C1057" s="1" t="s">
        <v>33</v>
      </c>
      <c r="D1057" s="60">
        <v>2014</v>
      </c>
      <c r="E1057" s="76">
        <v>2</v>
      </c>
      <c r="F1057" s="60">
        <v>18</v>
      </c>
      <c r="G1057" s="60">
        <v>18</v>
      </c>
      <c r="H1057" s="60" t="s">
        <v>43</v>
      </c>
      <c r="I1057" s="60" t="s">
        <v>767</v>
      </c>
      <c r="J1057" s="60" t="s">
        <v>764</v>
      </c>
      <c r="K1057" s="60">
        <f>IF(J1057="syllables",1,IF(J1057="trigrams",2,IF(J1057="strings",3,IF(J1057="visual array",4,IF(J1057="characters",5,IF(J1057="letters",6,IF(J1057="free forms",7,IF(J1057="odors",8,IF(J1057="words",9,IF(J1057="pictures",10,IF(J1057="object pictures",11,IF(J1057="faces",12,IF(J1057="names",13,IF(J1057="idioms",14,IF(J1057="grades",15,IF(J1057="syllable-digit pairs",16,IF(J1057="trigram-word pairs",17,IF(J1057="word-digit pairs",18,IF(J1057="English-Swahili pairs",19,IF(J1057="spatial position",20,IF(J1057="word pairs",21,IF(J1057="word triads",22,IF(J1057="generated words",23,IF(J1057="word definition pairs",24,IF(J1057="math problems",25,IF(J1057="famous faces",26,IF(J1057="famous names",27,IF(J1057="famous voices",28,IF(J1057="television programs",29,IF(J1057="race horses",30,IF(J1057="new vocabulary",31,IF(J1057="sentences",32,IF(J1057="concepts",33,IF(J1057="ad slides",34,IF(J1057="scenes",35,IF(J1057="famous scenes",36,IF(J1057="poems",37,IF(J1057="walk",38,IF(J1057="faces and events",39,IF(J1057="events and names",40,IF(J1057="flashbulb",41,IF(J1057="stories",42,IF(J1057="course material",43,IF(J1057="autobiographical",44,IF(J1057="novels",45,IF(J1057="public events",46,"99"))))))))))))))))))))))))))))))))))))))))))))))</f>
        <v>4</v>
      </c>
      <c r="L1057" s="60">
        <f>IF(J1057="syllables",1,IF(J1057="trigrams",1,IF(J1057="strings",1,IF(J1057="visual array",1,IF(J1057="characters",1,IF(J1057="letters",1,IF(J1057="free forms",1,IF(J1057="odors",2,IF(J1057="words",2,IF(J1057="pictures",2,IF(J1057="object pictures",2,IF(J1057="faces",2,IF(J1057="names",2,IF(J1057="idioms","2",IF(J1057="grades",2,IF(J1057="syllable-digit pairs",3,IF(J1057="trigram-word pairs",3,IF(J1057="word-digit pairs",3,IF(J1057="English-Swahili pairs",3,IF(J1057="spatial position",3,IF(J1057="word pairs",4,IF(J1057="word triads",4,IF(J1057="generated words",4,IF(J1057="word definition pairs",4,IF(J1057="math problems",4,IF(J1057="famous faces",4,IF(J1057="famous names",4,IF(J1057="famous voices",4,IF(J1057="television programs",4,IF(J1057="race horses",4,IF(J1057="new vocabulary",4,IF(J1057="sentences",5,IF(J1057="concepts",5,IF(J1057="ad slides",5,IF(J1057="scenes",5,IF(J1057="famous scenes",5,IF(J1057="poems",6,IF(J1057="walk",6,IF(J1057="faces and events",6,IF(J1057="events and names",6,IF(J1057="flashbulb",7,IF(J1057="stories",7,IF(J1057="course material",7,IF(J1057="autobiographical",7,IF(J1057="novels",7,IF(J1057="public events",7,"99"))))))))))))))))))))))))))))))))))))))))))))))</f>
        <v>1</v>
      </c>
      <c r="M1057" s="60">
        <v>0</v>
      </c>
      <c r="N1057" s="60">
        <v>1</v>
      </c>
      <c r="O1057" s="60">
        <v>0</v>
      </c>
      <c r="P1057" s="60"/>
      <c r="Q1057" s="60" t="s">
        <v>34</v>
      </c>
      <c r="R1057" s="60">
        <f>IF(Q1057="Free Recall",1,IF(Q1057="Cued Recall",2,IF(Q1057="Recognition",3,IF(Q1057="Multiple Choice",4,IF(Q1057="Savings",5,IF(Q1057="Stem Completion",6,IF(Q1057="Fragment Completion",7,IF(Q1057="anagram solution",8,IF(Q1057="Matching",9,IF(Q1057="Problem Solving",10,"99"))))))))))</f>
        <v>3</v>
      </c>
      <c r="S1057" s="60" t="s">
        <v>40</v>
      </c>
      <c r="T1057" s="59" t="s">
        <v>581</v>
      </c>
      <c r="U1057" s="60">
        <f>IF(T1057="within",1,0)</f>
        <v>1</v>
      </c>
      <c r="V1057" s="59">
        <v>108</v>
      </c>
      <c r="W1057" s="60">
        <f>F1057*V1057</f>
        <v>1944</v>
      </c>
      <c r="X1057" s="60">
        <v>3</v>
      </c>
      <c r="Y1057" s="76">
        <f>AV1056</f>
        <v>1</v>
      </c>
      <c r="Z1057" s="60" t="s">
        <v>42</v>
      </c>
      <c r="AA1057" s="60">
        <v>12</v>
      </c>
      <c r="AB1057" s="60" t="str">
        <f>IF(AA1057&lt;60,"1",IF(AA1057&lt;=43200,"2",IF(AA1057&lt;=777600,"3","4")))</f>
        <v>1</v>
      </c>
      <c r="AC1057" s="56">
        <f>AVERAGE(AV1056:DA1056)</f>
        <v>6.333333333333333</v>
      </c>
      <c r="AD1057" s="60" t="str">
        <f>IF(AC1057&lt;60,"1",IF(AC1057&lt;=43200,"2",IF(AC1057&lt;=777600,"3","4")))</f>
        <v>1</v>
      </c>
      <c r="AE1057" s="76">
        <f>AA1057-Y1057</f>
        <v>11</v>
      </c>
      <c r="AF1057" s="80">
        <f>AV1057</f>
        <v>0.78700000000000003</v>
      </c>
      <c r="AG1057" s="56">
        <f>((AW1057-AV1057)+(AX1057-AW1057))/2</f>
        <v>-2.1500000000000019E-2</v>
      </c>
      <c r="AH1057" s="4"/>
      <c r="AI1057" s="56">
        <f>RSQ(AV1057:AX1057,AV1056:AX1056)</f>
        <v>0.54665349755984194</v>
      </c>
      <c r="AJ1057" s="109">
        <f>SLOPE(AV1057:AX1057,AV1056:AX1056)</f>
        <v>-3.7307692307692337E-3</v>
      </c>
      <c r="AK1057" s="56">
        <f>INTERCEPT(AV1057:AX1057,AV1056:AX1056)</f>
        <v>0.77896153846153848</v>
      </c>
      <c r="AL1057" s="56">
        <f>INDEX(LINEST(LN(AV1057:AX1057),LN(AV1056:AX1056),TRUE,TRUE),3,1)</f>
        <v>0.81753572526357865</v>
      </c>
      <c r="AM1057" s="56">
        <f>INDEX(LINEST(LN(AV1057:AX1057),LN(AV1056:AX1056)),1)</f>
        <v>-2.5711993139676571E-2</v>
      </c>
      <c r="AN1057" s="56">
        <f>EXP(INDEX(LINEST(LN(AV1057:AX1057),LN(AV1056:AX1056)),1,2))</f>
        <v>0.78318358396777354</v>
      </c>
      <c r="AO1057" s="82">
        <f>INDEX(LINEST((AV1057:AX1057),LN(AV1056:AX1056),TRUE,TRUE),3,1)</f>
        <v>0.82140299399756234</v>
      </c>
      <c r="AP1057" s="82">
        <f>INDEX(LINEST((AV1057:AX1057),LN(AV1056:AX1056)),1)</f>
        <v>-1.9642377362645288E-2</v>
      </c>
      <c r="AQ1057" s="83">
        <f>INDEX(LINEST(LN(AV1057:AX1057),SQRT(AV1056:AX1056),TRUE,TRUE),3,1)</f>
        <v>0.69071909821668442</v>
      </c>
      <c r="AR1057" s="116">
        <f>INDEX(LINEST(LN(AV1057:AX1057),SQRT((AV1056:AX1056))),1)</f>
        <v>-2.4470795634764102E-2</v>
      </c>
      <c r="AS1057" s="84">
        <f>INDEX(LINEST(1/(AV1057:AX1057),1/(SQRT(AV1056:AX1056)),TRUE,TRUE),3,1)</f>
        <v>0.89474686421592331</v>
      </c>
      <c r="AT1057" s="84">
        <f>INDEX(LINEST(1/(AV1057:AX1057),1/SQRT(AV1056:AX1056)),1)</f>
        <v>-0.11886544584457649</v>
      </c>
      <c r="AU1057" s="3"/>
      <c r="AV1057" s="53">
        <v>0.78700000000000003</v>
      </c>
      <c r="AW1057" s="53">
        <v>0.73499999999999999</v>
      </c>
      <c r="AX1057" s="53">
        <v>0.74399999999999999</v>
      </c>
      <c r="AY1057" s="42"/>
      <c r="AZ1057" s="46"/>
      <c r="BA1057" s="42"/>
      <c r="BB1057" s="42"/>
      <c r="BC1057" s="2"/>
      <c r="BD1057" s="2"/>
      <c r="BE1057" s="2"/>
      <c r="BF1057" s="2"/>
      <c r="BG1057" s="2"/>
      <c r="BH1057" s="2"/>
      <c r="BI1057" s="2"/>
      <c r="BJ1057" s="2"/>
      <c r="BK1057" s="2"/>
      <c r="BL1057" s="2"/>
      <c r="BM1057" s="2"/>
      <c r="BN1057" s="2"/>
      <c r="BO1057" s="2"/>
      <c r="BP1057" s="2"/>
      <c r="BQ1057" s="2"/>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Q1057" s="2"/>
      <c r="CR1057" s="1"/>
      <c r="CS1057" s="1"/>
      <c r="CT1057" s="1"/>
      <c r="CU1057" s="1"/>
    </row>
    <row r="1058" spans="1:99" s="13" customFormat="1" ht="12" customHeight="1" x14ac:dyDescent="0.2">
      <c r="A1058" s="65">
        <v>43509</v>
      </c>
      <c r="B1058" s="1"/>
      <c r="C1058" s="1"/>
      <c r="D1058" s="60"/>
      <c r="E1058" s="76"/>
      <c r="F1058" s="60"/>
      <c r="G1058" s="60"/>
      <c r="H1058" s="60"/>
      <c r="I1058" s="60"/>
      <c r="J1058" s="60"/>
      <c r="K1058" s="64"/>
      <c r="L1058" s="64"/>
      <c r="M1058" s="60"/>
      <c r="N1058" s="60"/>
      <c r="O1058" s="60"/>
      <c r="P1058" s="60"/>
      <c r="Q1058" s="60"/>
      <c r="R1058" s="60"/>
      <c r="S1058" s="60"/>
      <c r="T1058" s="60"/>
      <c r="U1058" s="60"/>
      <c r="V1058" s="60"/>
      <c r="W1058" s="60"/>
      <c r="X1058" s="60"/>
      <c r="Y1058" s="76"/>
      <c r="Z1058" s="60"/>
      <c r="AA1058" s="60"/>
      <c r="AB1058" s="60"/>
      <c r="AC1058" s="60"/>
      <c r="AD1058" s="60"/>
      <c r="AE1058" s="60"/>
      <c r="AF1058" s="80"/>
      <c r="AG1058" s="56"/>
      <c r="AH1058" s="4"/>
      <c r="AI1058" s="56"/>
      <c r="AJ1058" s="109"/>
      <c r="AK1058" s="56"/>
      <c r="AL1058" s="56"/>
      <c r="AM1058" s="56"/>
      <c r="AN1058" s="56"/>
      <c r="AO1058" s="82"/>
      <c r="AP1058" s="82"/>
      <c r="AQ1058" s="82"/>
      <c r="AR1058" s="115"/>
      <c r="AS1058" s="82"/>
      <c r="AT1058" s="82"/>
      <c r="AU1058" s="3"/>
      <c r="AV1058" s="25">
        <v>1</v>
      </c>
      <c r="AW1058" s="25">
        <v>6</v>
      </c>
      <c r="AX1058" s="25">
        <v>12</v>
      </c>
      <c r="AY1058" s="42"/>
      <c r="AZ1058" s="46"/>
      <c r="BA1058" s="42"/>
      <c r="BB1058" s="42"/>
      <c r="BC1058" s="2"/>
      <c r="BD1058" s="2"/>
      <c r="BE1058" s="2"/>
      <c r="BF1058" s="2"/>
      <c r="BG1058" s="2"/>
      <c r="BH1058" s="2"/>
      <c r="BI1058" s="2"/>
      <c r="BJ1058" s="2"/>
      <c r="BK1058" s="2"/>
      <c r="BL1058" s="2"/>
      <c r="BM1058" s="2"/>
      <c r="BN1058" s="2"/>
      <c r="BO1058" s="2"/>
      <c r="BP1058" s="2"/>
      <c r="BQ1058" s="2"/>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1"/>
      <c r="CS1058" s="1"/>
      <c r="CT1058" s="1"/>
      <c r="CU1058" s="1"/>
    </row>
    <row r="1059" spans="1:99" s="13" customFormat="1" ht="12" customHeight="1" x14ac:dyDescent="0.2">
      <c r="A1059" s="65">
        <v>43509</v>
      </c>
      <c r="B1059" s="1" t="s">
        <v>251</v>
      </c>
      <c r="C1059" s="1" t="s">
        <v>33</v>
      </c>
      <c r="D1059" s="60">
        <v>2014</v>
      </c>
      <c r="E1059" s="76">
        <v>2</v>
      </c>
      <c r="F1059" s="60">
        <v>18</v>
      </c>
      <c r="G1059" s="60">
        <v>18</v>
      </c>
      <c r="H1059" s="60" t="s">
        <v>43</v>
      </c>
      <c r="I1059" s="60" t="s">
        <v>768</v>
      </c>
      <c r="J1059" s="60" t="s">
        <v>764</v>
      </c>
      <c r="K1059" s="60">
        <f>IF(J1059="syllables",1,IF(J1059="trigrams",2,IF(J1059="strings",3,IF(J1059="visual array",4,IF(J1059="characters",5,IF(J1059="letters",6,IF(J1059="free forms",7,IF(J1059="odors",8,IF(J1059="words",9,IF(J1059="pictures",10,IF(J1059="object pictures",11,IF(J1059="faces",12,IF(J1059="names",13,IF(J1059="idioms",14,IF(J1059="grades",15,IF(J1059="syllable-digit pairs",16,IF(J1059="trigram-word pairs",17,IF(J1059="word-digit pairs",18,IF(J1059="English-Swahili pairs",19,IF(J1059="spatial position",20,IF(J1059="word pairs",21,IF(J1059="word triads",22,IF(J1059="generated words",23,IF(J1059="word definition pairs",24,IF(J1059="math problems",25,IF(J1059="famous faces",26,IF(J1059="famous names",27,IF(J1059="famous voices",28,IF(J1059="television programs",29,IF(J1059="race horses",30,IF(J1059="new vocabulary",31,IF(J1059="sentences",32,IF(J1059="concepts",33,IF(J1059="ad slides",34,IF(J1059="scenes",35,IF(J1059="famous scenes",36,IF(J1059="poems",37,IF(J1059="walk",38,IF(J1059="faces and events",39,IF(J1059="events and names",40,IF(J1059="flashbulb",41,IF(J1059="stories",42,IF(J1059="course material",43,IF(J1059="autobiographical",44,IF(J1059="novels",45,IF(J1059="public events",46,"99"))))))))))))))))))))))))))))))))))))))))))))))</f>
        <v>4</v>
      </c>
      <c r="L1059" s="60">
        <f>IF(J1059="syllables",1,IF(J1059="trigrams",1,IF(J1059="strings",1,IF(J1059="visual array",1,IF(J1059="characters",1,IF(J1059="letters",1,IF(J1059="free forms",1,IF(J1059="odors",2,IF(J1059="words",2,IF(J1059="pictures",2,IF(J1059="object pictures",2,IF(J1059="faces",2,IF(J1059="names",2,IF(J1059="idioms","2",IF(J1059="grades",2,IF(J1059="syllable-digit pairs",3,IF(J1059="trigram-word pairs",3,IF(J1059="word-digit pairs",3,IF(J1059="English-Swahili pairs",3,IF(J1059="spatial position",3,IF(J1059="word pairs",4,IF(J1059="word triads",4,IF(J1059="generated words",4,IF(J1059="word definition pairs",4,IF(J1059="math problems",4,IF(J1059="famous faces",4,IF(J1059="famous names",4,IF(J1059="famous voices",4,IF(J1059="television programs",4,IF(J1059="race horses",4,IF(J1059="new vocabulary",4,IF(J1059="sentences",5,IF(J1059="concepts",5,IF(J1059="ad slides",5,IF(J1059="scenes",5,IF(J1059="famous scenes",5,IF(J1059="poems",6,IF(J1059="walk",6,IF(J1059="faces and events",6,IF(J1059="events and names",6,IF(J1059="flashbulb",7,IF(J1059="stories",7,IF(J1059="course material",7,IF(J1059="autobiographical",7,IF(J1059="novels",7,IF(J1059="public events",7,"99"))))))))))))))))))))))))))))))))))))))))))))))</f>
        <v>1</v>
      </c>
      <c r="M1059" s="60">
        <v>0</v>
      </c>
      <c r="N1059" s="60">
        <v>1</v>
      </c>
      <c r="O1059" s="60">
        <v>0</v>
      </c>
      <c r="P1059" s="60"/>
      <c r="Q1059" s="60" t="s">
        <v>34</v>
      </c>
      <c r="R1059" s="60">
        <f>IF(Q1059="Free Recall",1,IF(Q1059="Cued Recall",2,IF(Q1059="Recognition",3,IF(Q1059="Multiple Choice",4,IF(Q1059="Savings",5,IF(Q1059="Stem Completion",6,IF(Q1059="Fragment Completion",7,IF(Q1059="anagram solution",8,IF(Q1059="Matching",9,IF(Q1059="Problem Solving",10,"99"))))))))))</f>
        <v>3</v>
      </c>
      <c r="S1059" s="60" t="s">
        <v>40</v>
      </c>
      <c r="T1059" s="59" t="s">
        <v>581</v>
      </c>
      <c r="U1059" s="60">
        <f>IF(T1059="within",1,0)</f>
        <v>1</v>
      </c>
      <c r="V1059" s="59">
        <v>108</v>
      </c>
      <c r="W1059" s="60">
        <f>F1059*V1059</f>
        <v>1944</v>
      </c>
      <c r="X1059" s="60">
        <v>3</v>
      </c>
      <c r="Y1059" s="76">
        <f>AV1058</f>
        <v>1</v>
      </c>
      <c r="Z1059" s="60" t="s">
        <v>42</v>
      </c>
      <c r="AA1059" s="60">
        <v>12</v>
      </c>
      <c r="AB1059" s="60" t="str">
        <f>IF(AA1059&lt;60,"1",IF(AA1059&lt;=43200,"2",IF(AA1059&lt;=777600,"3","4")))</f>
        <v>1</v>
      </c>
      <c r="AC1059" s="56">
        <f>AVERAGE(AV1058:DA1058)</f>
        <v>6.333333333333333</v>
      </c>
      <c r="AD1059" s="60" t="str">
        <f>IF(AC1059&lt;60,"1",IF(AC1059&lt;=43200,"2",IF(AC1059&lt;=777600,"3","4")))</f>
        <v>1</v>
      </c>
      <c r="AE1059" s="76">
        <f>AA1059-Y1059</f>
        <v>11</v>
      </c>
      <c r="AF1059" s="80">
        <f>AV1059</f>
        <v>0.81100000000000005</v>
      </c>
      <c r="AG1059" s="56">
        <f>((AW1059-AV1059)+(AX1059-AW1059))/2</f>
        <v>-6.5000000000000002E-2</v>
      </c>
      <c r="AH1059" s="4"/>
      <c r="AI1059" s="56">
        <f>RSQ(AV1059:AX1059,AV1058:AX1058)</f>
        <v>0.90037118938556238</v>
      </c>
      <c r="AJ1059" s="109">
        <f>SLOPE(AV1059:AX1059,AV1058:AX1058)</f>
        <v>-1.1615384615384614E-2</v>
      </c>
      <c r="AK1059" s="56">
        <f>INTERCEPT(AV1059:AX1059,AV1058:AX1058)</f>
        <v>0.80923076923076909</v>
      </c>
      <c r="AL1059" s="56">
        <f>INDEX(LINEST(LN(AV1059:AX1059),LN(AV1058:AX1058),TRUE,TRUE),3,1)</f>
        <v>0.99999999379061277</v>
      </c>
      <c r="AM1059" s="56">
        <f>INDEX(LINEST(LN(AV1059:AX1059),LN(AV1058:AX1058)),1)</f>
        <v>-7.0308179214797345E-2</v>
      </c>
      <c r="AN1059" s="56">
        <f>EXP(INDEX(LINEST(LN(AV1059:AX1059),LN(AV1058:AX1058)),1,2))</f>
        <v>0.81099820189343175</v>
      </c>
      <c r="AO1059" s="82">
        <f>INDEX(LINEST((AV1059:AX1059),LN(AV1058:AX1058),TRUE,TRUE),3,1)</f>
        <v>0.99964754049493021</v>
      </c>
      <c r="AP1059" s="82">
        <f>INDEX(LINEST((AV1059:AX1059),LN(AV1058:AX1058)),1)</f>
        <v>-5.2567804595405422E-2</v>
      </c>
      <c r="AQ1059" s="83">
        <f>INDEX(LINEST(LN(AV1059:AX1059),SQRT(AV1058:AX1058),TRUE,TRUE),3,1)</f>
        <v>0.97812298240396844</v>
      </c>
      <c r="AR1059" s="116">
        <f>INDEX(LINEST(LN(AV1059:AX1059),SQRT((AV1058:AX1058))),1)</f>
        <v>-7.1997525186275793E-2</v>
      </c>
      <c r="AS1059" s="84">
        <f>INDEX(LINEST(1/(AV1059:AX1059),1/(SQRT(AV1058:AX1058)),TRUE,TRUE),3,1)</f>
        <v>0.98179075932451598</v>
      </c>
      <c r="AT1059" s="84">
        <f>INDEX(LINEST(1/(AV1059:AX1059),1/SQRT(AV1058:AX1058)),1)</f>
        <v>-0.31449366159598108</v>
      </c>
      <c r="AU1059" s="3"/>
      <c r="AV1059" s="53">
        <v>0.81100000000000005</v>
      </c>
      <c r="AW1059" s="53">
        <v>0.71499999999999997</v>
      </c>
      <c r="AX1059" s="53">
        <v>0.68100000000000005</v>
      </c>
      <c r="AY1059" s="42"/>
      <c r="AZ1059" s="46"/>
      <c r="BA1059" s="42"/>
      <c r="BB1059" s="42"/>
      <c r="BC1059" s="2"/>
      <c r="BD1059" s="2"/>
      <c r="BE1059" s="2"/>
      <c r="BF1059" s="2"/>
      <c r="BG1059" s="2"/>
      <c r="BH1059" s="2"/>
      <c r="BI1059" s="2"/>
      <c r="BJ1059" s="2"/>
      <c r="BK1059" s="2"/>
      <c r="BL1059" s="2"/>
      <c r="BM1059" s="2"/>
      <c r="BN1059" s="2"/>
      <c r="BO1059" s="2"/>
      <c r="BP1059" s="2"/>
      <c r="BQ1059" s="2"/>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c r="CR1059" s="1"/>
      <c r="CS1059" s="1"/>
      <c r="CT1059" s="1"/>
      <c r="CU1059" s="1"/>
    </row>
    <row r="1060" spans="1:99" s="13" customFormat="1" ht="12" customHeight="1" x14ac:dyDescent="0.2">
      <c r="A1060" s="65">
        <v>43509</v>
      </c>
      <c r="B1060" s="1"/>
      <c r="C1060" s="1"/>
      <c r="D1060" s="60"/>
      <c r="E1060" s="76"/>
      <c r="F1060" s="60"/>
      <c r="G1060" s="60"/>
      <c r="H1060" s="60"/>
      <c r="I1060" s="60"/>
      <c r="J1060" s="60"/>
      <c r="K1060" s="64"/>
      <c r="L1060" s="64"/>
      <c r="M1060" s="60"/>
      <c r="N1060" s="60"/>
      <c r="O1060" s="60"/>
      <c r="P1060" s="60"/>
      <c r="Q1060" s="60"/>
      <c r="R1060" s="60"/>
      <c r="S1060" s="60"/>
      <c r="T1060" s="60"/>
      <c r="U1060" s="60"/>
      <c r="V1060" s="60"/>
      <c r="W1060" s="60"/>
      <c r="X1060" s="60"/>
      <c r="Y1060" s="76"/>
      <c r="Z1060" s="60"/>
      <c r="AA1060" s="60"/>
      <c r="AB1060" s="60"/>
      <c r="AC1060" s="60"/>
      <c r="AD1060" s="60"/>
      <c r="AE1060" s="60"/>
      <c r="AF1060" s="80"/>
      <c r="AG1060" s="56"/>
      <c r="AH1060" s="4"/>
      <c r="AI1060" s="56"/>
      <c r="AJ1060" s="109"/>
      <c r="AK1060" s="56"/>
      <c r="AL1060" s="56"/>
      <c r="AM1060" s="56"/>
      <c r="AN1060" s="56"/>
      <c r="AO1060" s="82"/>
      <c r="AP1060" s="82"/>
      <c r="AQ1060" s="82"/>
      <c r="AR1060" s="115"/>
      <c r="AS1060" s="82"/>
      <c r="AT1060" s="82"/>
      <c r="AU1060" s="3"/>
      <c r="AV1060" s="25">
        <v>1</v>
      </c>
      <c r="AW1060" s="25">
        <v>6</v>
      </c>
      <c r="AX1060" s="25">
        <v>12</v>
      </c>
      <c r="AY1060" s="42"/>
      <c r="AZ1060" s="46"/>
      <c r="BA1060" s="42"/>
      <c r="BB1060" s="42"/>
      <c r="BC1060" s="2"/>
      <c r="BD1060" s="2"/>
      <c r="BE1060" s="2"/>
      <c r="BF1060" s="2"/>
      <c r="BG1060" s="2"/>
      <c r="BH1060" s="2"/>
      <c r="BI1060" s="2"/>
      <c r="BJ1060" s="2"/>
      <c r="BK1060" s="2"/>
      <c r="BL1060" s="2"/>
      <c r="BM1060" s="2"/>
      <c r="BN1060" s="2"/>
      <c r="BO1060" s="2"/>
      <c r="BP1060" s="2"/>
      <c r="BQ1060" s="2"/>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1"/>
      <c r="CS1060" s="1"/>
      <c r="CT1060" s="1"/>
      <c r="CU1060" s="1"/>
    </row>
    <row r="1061" spans="1:99" s="13" customFormat="1" ht="12" customHeight="1" x14ac:dyDescent="0.2">
      <c r="A1061" s="65">
        <v>43509</v>
      </c>
      <c r="B1061" s="1" t="s">
        <v>251</v>
      </c>
      <c r="C1061" s="1" t="s">
        <v>33</v>
      </c>
      <c r="D1061" s="60">
        <v>2014</v>
      </c>
      <c r="E1061" s="76">
        <v>3</v>
      </c>
      <c r="F1061" s="60">
        <v>15</v>
      </c>
      <c r="G1061" s="60">
        <v>15</v>
      </c>
      <c r="H1061" s="60" t="s">
        <v>769</v>
      </c>
      <c r="I1061" s="60" t="s">
        <v>767</v>
      </c>
      <c r="J1061" s="60" t="s">
        <v>764</v>
      </c>
      <c r="K1061" s="60">
        <f>IF(J1061="syllables",1,IF(J1061="trigrams",2,IF(J1061="strings",3,IF(J1061="visual array",4,IF(J1061="characters",5,IF(J1061="letters",6,IF(J1061="free forms",7,IF(J1061="odors",8,IF(J1061="words",9,IF(J1061="pictures",10,IF(J1061="object pictures",11,IF(J1061="faces",12,IF(J1061="names",13,IF(J1061="idioms",14,IF(J1061="grades",15,IF(J1061="syllable-digit pairs",16,IF(J1061="trigram-word pairs",17,IF(J1061="word-digit pairs",18,IF(J1061="English-Swahili pairs",19,IF(J1061="spatial position",20,IF(J1061="word pairs",21,IF(J1061="word triads",22,IF(J1061="generated words",23,IF(J1061="word definition pairs",24,IF(J1061="math problems",25,IF(J1061="famous faces",26,IF(J1061="famous names",27,IF(J1061="famous voices",28,IF(J1061="television programs",29,IF(J1061="race horses",30,IF(J1061="new vocabulary",31,IF(J1061="sentences",32,IF(J1061="concepts",33,IF(J1061="ad slides",34,IF(J1061="scenes",35,IF(J1061="famous scenes",36,IF(J1061="poems",37,IF(J1061="walk",38,IF(J1061="faces and events",39,IF(J1061="events and names",40,IF(J1061="flashbulb",41,IF(J1061="stories",42,IF(J1061="course material",43,IF(J1061="autobiographical",44,IF(J1061="novels",45,IF(J1061="public events",46,"99"))))))))))))))))))))))))))))))))))))))))))))))</f>
        <v>4</v>
      </c>
      <c r="L1061" s="60">
        <f>IF(J1061="syllables",1,IF(J1061="trigrams",1,IF(J1061="strings",1,IF(J1061="visual array",1,IF(J1061="characters",1,IF(J1061="letters",1,IF(J1061="free forms",1,IF(J1061="odors",2,IF(J1061="words",2,IF(J1061="pictures",2,IF(J1061="object pictures",2,IF(J1061="faces",2,IF(J1061="names",2,IF(J1061="idioms","2",IF(J1061="grades",2,IF(J1061="syllable-digit pairs",3,IF(J1061="trigram-word pairs",3,IF(J1061="word-digit pairs",3,IF(J1061="English-Swahili pairs",3,IF(J1061="spatial position",3,IF(J1061="word pairs",4,IF(J1061="word triads",4,IF(J1061="generated words",4,IF(J1061="word definition pairs",4,IF(J1061="math problems",4,IF(J1061="famous faces",4,IF(J1061="famous names",4,IF(J1061="famous voices",4,IF(J1061="television programs",4,IF(J1061="race horses",4,IF(J1061="new vocabulary",4,IF(J1061="sentences",5,IF(J1061="concepts",5,IF(J1061="ad slides",5,IF(J1061="scenes",5,IF(J1061="famous scenes",5,IF(J1061="poems",6,IF(J1061="walk",6,IF(J1061="faces and events",6,IF(J1061="events and names",6,IF(J1061="flashbulb",7,IF(J1061="stories",7,IF(J1061="course material",7,IF(J1061="autobiographical",7,IF(J1061="novels",7,IF(J1061="public events",7,"99"))))))))))))))))))))))))))))))))))))))))))))))</f>
        <v>1</v>
      </c>
      <c r="M1061" s="60">
        <v>0</v>
      </c>
      <c r="N1061" s="60">
        <v>1</v>
      </c>
      <c r="O1061" s="60">
        <v>0</v>
      </c>
      <c r="P1061" s="60"/>
      <c r="Q1061" s="60" t="s">
        <v>34</v>
      </c>
      <c r="R1061" s="60">
        <f>IF(Q1061="Free Recall",1,IF(Q1061="Cued Recall",2,IF(Q1061="Recognition",3,IF(Q1061="Multiple Choice",4,IF(Q1061="Savings",5,IF(Q1061="Stem Completion",6,IF(Q1061="Fragment Completion",7,IF(Q1061="anagram solution",8,IF(Q1061="Matching",9,IF(Q1061="Problem Solving",10,"99"))))))))))</f>
        <v>3</v>
      </c>
      <c r="S1061" s="60" t="s">
        <v>40</v>
      </c>
      <c r="T1061" s="59" t="s">
        <v>581</v>
      </c>
      <c r="U1061" s="60">
        <f>IF(T1061="within",1,0)</f>
        <v>1</v>
      </c>
      <c r="V1061" s="59">
        <v>108</v>
      </c>
      <c r="W1061" s="60">
        <f>F1061*V1061</f>
        <v>1620</v>
      </c>
      <c r="X1061" s="60">
        <v>3</v>
      </c>
      <c r="Y1061" s="76">
        <f>AV1060</f>
        <v>1</v>
      </c>
      <c r="Z1061" s="60" t="s">
        <v>42</v>
      </c>
      <c r="AA1061" s="60">
        <v>12</v>
      </c>
      <c r="AB1061" s="60" t="str">
        <f>IF(AA1061&lt;60,"1",IF(AA1061&lt;=43200,"2",IF(AA1061&lt;=777600,"3","4")))</f>
        <v>1</v>
      </c>
      <c r="AC1061" s="56">
        <f>AVERAGE(AV1060:DA1060)</f>
        <v>6.333333333333333</v>
      </c>
      <c r="AD1061" s="60" t="str">
        <f>IF(AC1061&lt;60,"1",IF(AC1061&lt;=43200,"2",IF(AC1061&lt;=777600,"3","4")))</f>
        <v>1</v>
      </c>
      <c r="AE1061" s="76">
        <f>AA1061-Y1061</f>
        <v>11</v>
      </c>
      <c r="AF1061" s="80">
        <f>AV1061</f>
        <v>0.753</v>
      </c>
      <c r="AG1061" s="56">
        <f>((AW1061-AV1061)+(AX1061-AW1061))/2</f>
        <v>-5.1999999999999991E-2</v>
      </c>
      <c r="AH1061" s="4"/>
      <c r="AI1061" s="56">
        <f>RSQ(AV1061:AX1061,AV1060:AX1060)</f>
        <v>0.80948049439049885</v>
      </c>
      <c r="AJ1061" s="109">
        <f>SLOPE(AV1061:AX1061,AV1060:AX1060)</f>
        <v>-9.2197802197802169E-3</v>
      </c>
      <c r="AK1061" s="56">
        <f>INTERCEPT(AV1061:AX1061,AV1060:AX1060)</f>
        <v>0.74672527472527472</v>
      </c>
      <c r="AL1061" s="56">
        <f>INDEX(LINEST(LN(AV1061:AX1061),LN(AV1060:AX1060),TRUE,TRUE),3,1)</f>
        <v>0.98038881789340426</v>
      </c>
      <c r="AM1061" s="56">
        <f>INDEX(LINEST(LN(AV1061:AX1061),LN(AV1060:AX1060)),1)</f>
        <v>-6.2054385278598211E-2</v>
      </c>
      <c r="AN1061" s="56">
        <f>EXP(INDEX(LINEST(LN(AV1061:AX1061),LN(AV1060:AX1060)),1,2))</f>
        <v>0.75035988685711985</v>
      </c>
      <c r="AO1061" s="82">
        <f>INDEX(LINEST((AV1061:AX1061),LN(AV1060:AX1060),TRUE,TRUE),3,1)</f>
        <v>0.97786516504748844</v>
      </c>
      <c r="AP1061" s="82">
        <f>INDEX(LINEST((AV1061:AX1061),LN(AV1060:AX1060)),1)</f>
        <v>-4.3524165281927353E-2</v>
      </c>
      <c r="AQ1061" s="83">
        <f>INDEX(LINEST(LN(AV1061:AX1061),SQRT(AV1060:AX1060),TRUE,TRUE),3,1)</f>
        <v>0.91884600741879552</v>
      </c>
      <c r="AR1061" s="116">
        <f>INDEX(LINEST(LN(AV1061:AX1061),SQRT((AV1060:AX1060))),1)</f>
        <v>-6.2202759798624302E-2</v>
      </c>
      <c r="AS1061" s="84">
        <f>INDEX(LINEST(1/(AV1061:AX1061),1/(SQRT(AV1060:AX1060)),TRUE,TRUE),3,1)</f>
        <v>0.99976826366895921</v>
      </c>
      <c r="AT1061" s="84">
        <f>INDEX(LINEST(1/(AV1061:AX1061),1/SQRT(AV1060:AX1060)),1)</f>
        <v>-0.30093112830638513</v>
      </c>
      <c r="AU1061" s="3"/>
      <c r="AV1061" s="53">
        <v>0.753</v>
      </c>
      <c r="AW1061" s="53">
        <v>0.66300000000000003</v>
      </c>
      <c r="AX1061" s="53">
        <v>0.64900000000000002</v>
      </c>
      <c r="AY1061" s="42"/>
      <c r="AZ1061" s="46"/>
      <c r="BA1061" s="42"/>
      <c r="BB1061" s="42"/>
      <c r="BC1061" s="2"/>
      <c r="BD1061" s="2"/>
      <c r="BE1061" s="2"/>
      <c r="BF1061" s="2"/>
      <c r="BG1061" s="2"/>
      <c r="BH1061" s="2"/>
      <c r="BI1061" s="2"/>
      <c r="BJ1061" s="2"/>
      <c r="BK1061" s="2"/>
      <c r="BL1061" s="2"/>
      <c r="BM1061" s="2"/>
      <c r="BN1061" s="2"/>
      <c r="BO1061" s="2"/>
      <c r="BP1061" s="2"/>
      <c r="BQ1061" s="2"/>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1"/>
      <c r="CS1061" s="1"/>
      <c r="CT1061" s="1"/>
      <c r="CU1061" s="1"/>
    </row>
    <row r="1062" spans="1:99" s="13" customFormat="1" ht="12" customHeight="1" x14ac:dyDescent="0.2">
      <c r="A1062" s="65">
        <v>43509</v>
      </c>
      <c r="B1062" s="1"/>
      <c r="C1062" s="1"/>
      <c r="D1062" s="60"/>
      <c r="E1062" s="76"/>
      <c r="F1062" s="60"/>
      <c r="G1062" s="60"/>
      <c r="H1062" s="60"/>
      <c r="I1062" s="60"/>
      <c r="J1062" s="60"/>
      <c r="K1062" s="64"/>
      <c r="L1062" s="64"/>
      <c r="M1062" s="60"/>
      <c r="N1062" s="60"/>
      <c r="O1062" s="60"/>
      <c r="P1062" s="60"/>
      <c r="Q1062" s="60"/>
      <c r="R1062" s="60"/>
      <c r="S1062" s="60"/>
      <c r="T1062" s="60"/>
      <c r="U1062" s="60"/>
      <c r="V1062" s="60"/>
      <c r="W1062" s="60"/>
      <c r="X1062" s="60"/>
      <c r="Y1062" s="76"/>
      <c r="Z1062" s="60"/>
      <c r="AA1062" s="60"/>
      <c r="AB1062" s="60"/>
      <c r="AC1062" s="60"/>
      <c r="AD1062" s="60"/>
      <c r="AE1062" s="60"/>
      <c r="AF1062" s="80"/>
      <c r="AG1062" s="56"/>
      <c r="AH1062" s="4"/>
      <c r="AI1062" s="56"/>
      <c r="AJ1062" s="109"/>
      <c r="AK1062" s="56"/>
      <c r="AL1062" s="56"/>
      <c r="AM1062" s="56"/>
      <c r="AN1062" s="56"/>
      <c r="AO1062" s="82"/>
      <c r="AP1062" s="82"/>
      <c r="AQ1062" s="82"/>
      <c r="AR1062" s="115"/>
      <c r="AS1062" s="82"/>
      <c r="AT1062" s="82"/>
      <c r="AU1062" s="3"/>
      <c r="AV1062" s="25">
        <v>1</v>
      </c>
      <c r="AW1062" s="25">
        <v>6</v>
      </c>
      <c r="AX1062" s="25">
        <v>12</v>
      </c>
      <c r="AY1062" s="42"/>
      <c r="AZ1062" s="46"/>
      <c r="BA1062" s="42"/>
      <c r="BB1062" s="42"/>
      <c r="BC1062" s="2"/>
      <c r="BD1062" s="2"/>
      <c r="BE1062" s="2"/>
      <c r="BF1062" s="2"/>
      <c r="BG1062" s="2"/>
      <c r="BH1062" s="2"/>
      <c r="BI1062" s="2"/>
      <c r="BJ1062" s="2"/>
      <c r="BK1062" s="2"/>
      <c r="BL1062" s="2"/>
      <c r="BM1062" s="2"/>
      <c r="BN1062" s="2"/>
      <c r="BO1062" s="2"/>
      <c r="BP1062" s="2"/>
      <c r="BQ1062" s="2"/>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c r="CR1062" s="1"/>
      <c r="CS1062" s="1"/>
      <c r="CT1062" s="1"/>
      <c r="CU1062" s="1"/>
    </row>
    <row r="1063" spans="1:99" s="13" customFormat="1" ht="12" customHeight="1" x14ac:dyDescent="0.2">
      <c r="A1063" s="65">
        <v>43509</v>
      </c>
      <c r="B1063" s="1" t="s">
        <v>251</v>
      </c>
      <c r="C1063" s="1" t="s">
        <v>33</v>
      </c>
      <c r="D1063" s="60">
        <v>2014</v>
      </c>
      <c r="E1063" s="76">
        <v>3</v>
      </c>
      <c r="F1063" s="60">
        <v>15</v>
      </c>
      <c r="G1063" s="60">
        <v>15</v>
      </c>
      <c r="H1063" s="60" t="s">
        <v>769</v>
      </c>
      <c r="I1063" s="60" t="s">
        <v>768</v>
      </c>
      <c r="J1063" s="60" t="s">
        <v>764</v>
      </c>
      <c r="K1063" s="60">
        <f>IF(J1063="syllables",1,IF(J1063="trigrams",2,IF(J1063="strings",3,IF(J1063="visual array",4,IF(J1063="characters",5,IF(J1063="letters",6,IF(J1063="free forms",7,IF(J1063="odors",8,IF(J1063="words",9,IF(J1063="pictures",10,IF(J1063="object pictures",11,IF(J1063="faces",12,IF(J1063="names",13,IF(J1063="idioms",14,IF(J1063="grades",15,IF(J1063="syllable-digit pairs",16,IF(J1063="trigram-word pairs",17,IF(J1063="word-digit pairs",18,IF(J1063="English-Swahili pairs",19,IF(J1063="spatial position",20,IF(J1063="word pairs",21,IF(J1063="word triads",22,IF(J1063="generated words",23,IF(J1063="word definition pairs",24,IF(J1063="math problems",25,IF(J1063="famous faces",26,IF(J1063="famous names",27,IF(J1063="famous voices",28,IF(J1063="television programs",29,IF(J1063="race horses",30,IF(J1063="new vocabulary",31,IF(J1063="sentences",32,IF(J1063="concepts",33,IF(J1063="ad slides",34,IF(J1063="scenes",35,IF(J1063="famous scenes",36,IF(J1063="poems",37,IF(J1063="walk",38,IF(J1063="faces and events",39,IF(J1063="events and names",40,IF(J1063="flashbulb",41,IF(J1063="stories",42,IF(J1063="course material",43,IF(J1063="autobiographical",44,IF(J1063="novels",45,IF(J1063="public events",46,"99"))))))))))))))))))))))))))))))))))))))))))))))</f>
        <v>4</v>
      </c>
      <c r="L1063" s="60">
        <f>IF(J1063="syllables",1,IF(J1063="trigrams",1,IF(J1063="strings",1,IF(J1063="visual array",1,IF(J1063="characters",1,IF(J1063="letters",1,IF(J1063="free forms",1,IF(J1063="odors",2,IF(J1063="words",2,IF(J1063="pictures",2,IF(J1063="object pictures",2,IF(J1063="faces",2,IF(J1063="names",2,IF(J1063="idioms","2",IF(J1063="grades",2,IF(J1063="syllable-digit pairs",3,IF(J1063="trigram-word pairs",3,IF(J1063="word-digit pairs",3,IF(J1063="English-Swahili pairs",3,IF(J1063="spatial position",3,IF(J1063="word pairs",4,IF(J1063="word triads",4,IF(J1063="generated words",4,IF(J1063="word definition pairs",4,IF(J1063="math problems",4,IF(J1063="famous faces",4,IF(J1063="famous names",4,IF(J1063="famous voices",4,IF(J1063="television programs",4,IF(J1063="race horses",4,IF(J1063="new vocabulary",4,IF(J1063="sentences",5,IF(J1063="concepts",5,IF(J1063="ad slides",5,IF(J1063="scenes",5,IF(J1063="famous scenes",5,IF(J1063="poems",6,IF(J1063="walk",6,IF(J1063="faces and events",6,IF(J1063="events and names",6,IF(J1063="flashbulb",7,IF(J1063="stories",7,IF(J1063="course material",7,IF(J1063="autobiographical",7,IF(J1063="novels",7,IF(J1063="public events",7,"99"))))))))))))))))))))))))))))))))))))))))))))))</f>
        <v>1</v>
      </c>
      <c r="M1063" s="60">
        <v>0</v>
      </c>
      <c r="N1063" s="60">
        <v>1</v>
      </c>
      <c r="O1063" s="60">
        <v>0</v>
      </c>
      <c r="P1063" s="60"/>
      <c r="Q1063" s="60" t="s">
        <v>34</v>
      </c>
      <c r="R1063" s="60">
        <f>IF(Q1063="Free Recall",1,IF(Q1063="Cued Recall",2,IF(Q1063="Recognition",3,IF(Q1063="Multiple Choice",4,IF(Q1063="Savings",5,IF(Q1063="Stem Completion",6,IF(Q1063="Fragment Completion",7,IF(Q1063="anagram solution",8,IF(Q1063="Matching",9,IF(Q1063="Problem Solving",10,"99"))))))))))</f>
        <v>3</v>
      </c>
      <c r="S1063" s="60" t="s">
        <v>40</v>
      </c>
      <c r="T1063" s="59" t="s">
        <v>581</v>
      </c>
      <c r="U1063" s="60">
        <f>IF(T1063="within",1,0)</f>
        <v>1</v>
      </c>
      <c r="V1063" s="59">
        <v>108</v>
      </c>
      <c r="W1063" s="60">
        <f>F1063*V1063</f>
        <v>1620</v>
      </c>
      <c r="X1063" s="60">
        <v>3</v>
      </c>
      <c r="Y1063" s="76">
        <f>AV1062</f>
        <v>1</v>
      </c>
      <c r="Z1063" s="60" t="s">
        <v>42</v>
      </c>
      <c r="AA1063" s="60">
        <v>12</v>
      </c>
      <c r="AB1063" s="60" t="str">
        <f>IF(AA1063&lt;60,"1",IF(AA1063&lt;=43200,"2",IF(AA1063&lt;=777600,"3","4")))</f>
        <v>1</v>
      </c>
      <c r="AC1063" s="56">
        <f>AVERAGE(AV1062:DA1062)</f>
        <v>6.333333333333333</v>
      </c>
      <c r="AD1063" s="60" t="str">
        <f>IF(AC1063&lt;60,"1",IF(AC1063&lt;=43200,"2",IF(AC1063&lt;=777600,"3","4")))</f>
        <v>1</v>
      </c>
      <c r="AE1063" s="76">
        <f>AA1063-Y1063</f>
        <v>11</v>
      </c>
      <c r="AF1063" s="80">
        <f>AV1063</f>
        <v>0.78300000000000003</v>
      </c>
      <c r="AG1063" s="56">
        <f>((AW1063-AV1063)+(AX1063-AW1063))/2</f>
        <v>-4.7500000000000042E-2</v>
      </c>
      <c r="AH1063" s="4"/>
      <c r="AI1063" s="56">
        <f>RSQ(AV1063:AX1063,AV1062:AX1062)</f>
        <v>0.96816757163464551</v>
      </c>
      <c r="AJ1063" s="109">
        <f>SLOPE(AV1063:AX1063,AV1062:AX1062)</f>
        <v>-8.554945054945062E-3</v>
      </c>
      <c r="AK1063" s="56">
        <f>INTERCEPT(AV1063:AX1063,AV1062:AX1062)</f>
        <v>0.78618131868131857</v>
      </c>
      <c r="AL1063" s="56">
        <f>INDEX(LINEST(LN(AV1063:AX1063),LN(AV1062:AX1062),TRUE,TRUE),3,1)</f>
        <v>0.98034888463448611</v>
      </c>
      <c r="AM1063" s="56">
        <f>INDEX(LINEST(LN(AV1063:AX1063),LN(AV1062:AX1062)),1)</f>
        <v>-5.0236304116639673E-2</v>
      </c>
      <c r="AN1063" s="56">
        <f>EXP(INDEX(LINEST(LN(AV1063:AX1063),LN(AV1062:AX1062)),1,2))</f>
        <v>0.78523185394143458</v>
      </c>
      <c r="AO1063" s="82">
        <f>INDEX(LINEST((AV1063:AX1063),LN(AV1062:AX1062),TRUE,TRUE),3,1)</f>
        <v>0.98495212238888064</v>
      </c>
      <c r="AP1063" s="82">
        <f>INDEX(LINEST((AV1063:AX1063),LN(AV1062:AX1062)),1)</f>
        <v>-3.7061509805236412E-2</v>
      </c>
      <c r="AQ1063" s="83">
        <f>INDEX(LINEST(LN(AV1063:AX1063),SQRT(AV1062:AX1062),TRUE,TRUE),3,1)</f>
        <v>0.9999402633187644</v>
      </c>
      <c r="AR1063" s="116">
        <f>INDEX(LINEST(LN(AV1063:AX1063),SQRT((AV1062:AX1062))),1)</f>
        <v>-5.2532656573409081E-2</v>
      </c>
      <c r="AS1063" s="84">
        <f>INDEX(LINEST(1/(AV1063:AX1063),1/(SQRT(AV1062:AX1062)),TRUE,TRUE),3,1)</f>
        <v>0.92647698493019448</v>
      </c>
      <c r="AT1063" s="84">
        <f>INDEX(LINEST(1/(AV1063:AX1063),1/SQRT(AV1062:AX1062)),1)</f>
        <v>-0.22375896588543526</v>
      </c>
      <c r="AU1063" s="3"/>
      <c r="AV1063" s="53">
        <v>0.78300000000000003</v>
      </c>
      <c r="AW1063" s="53">
        <v>0.72499999999999998</v>
      </c>
      <c r="AX1063" s="53">
        <v>0.68799999999999994</v>
      </c>
      <c r="AY1063" s="42"/>
      <c r="AZ1063" s="46"/>
      <c r="BA1063" s="42"/>
      <c r="BB1063" s="42"/>
      <c r="BC1063" s="2"/>
      <c r="BD1063" s="2"/>
      <c r="BE1063" s="2"/>
      <c r="BF1063" s="2"/>
      <c r="BG1063" s="2"/>
      <c r="BH1063" s="2"/>
      <c r="BI1063" s="2"/>
      <c r="BJ1063" s="2"/>
      <c r="BK1063" s="2"/>
      <c r="BL1063" s="2"/>
      <c r="BM1063" s="2"/>
      <c r="BN1063" s="2"/>
      <c r="BO1063" s="2"/>
      <c r="BP1063" s="2"/>
      <c r="BQ1063" s="2"/>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Q1063" s="2"/>
      <c r="CR1063" s="1"/>
      <c r="CS1063" s="1"/>
      <c r="CT1063" s="1"/>
      <c r="CU1063" s="1"/>
    </row>
    <row r="1064" spans="1:99" s="13" customFormat="1" ht="12" customHeight="1" x14ac:dyDescent="0.2">
      <c r="A1064" s="65">
        <v>43509</v>
      </c>
      <c r="B1064" s="1"/>
      <c r="C1064" s="1"/>
      <c r="D1064" s="60"/>
      <c r="E1064" s="76"/>
      <c r="F1064" s="60"/>
      <c r="G1064" s="60"/>
      <c r="H1064" s="60"/>
      <c r="I1064" s="60"/>
      <c r="J1064" s="60"/>
      <c r="K1064" s="64"/>
      <c r="L1064" s="64"/>
      <c r="M1064" s="60"/>
      <c r="N1064" s="60"/>
      <c r="O1064" s="60"/>
      <c r="P1064" s="60"/>
      <c r="Q1064" s="60"/>
      <c r="R1064" s="60"/>
      <c r="S1064" s="60"/>
      <c r="T1064" s="60"/>
      <c r="U1064" s="60"/>
      <c r="V1064" s="60"/>
      <c r="W1064" s="60"/>
      <c r="X1064" s="60"/>
      <c r="Y1064" s="76"/>
      <c r="Z1064" s="60"/>
      <c r="AA1064" s="60"/>
      <c r="AB1064" s="60"/>
      <c r="AC1064" s="60"/>
      <c r="AD1064" s="60"/>
      <c r="AE1064" s="60"/>
      <c r="AF1064" s="80"/>
      <c r="AG1064" s="56"/>
      <c r="AH1064" s="4"/>
      <c r="AI1064" s="56"/>
      <c r="AJ1064" s="109"/>
      <c r="AK1064" s="56"/>
      <c r="AL1064" s="56"/>
      <c r="AM1064" s="56"/>
      <c r="AN1064" s="56"/>
      <c r="AO1064" s="82"/>
      <c r="AP1064" s="82"/>
      <c r="AQ1064" s="82"/>
      <c r="AR1064" s="115"/>
      <c r="AS1064" s="82"/>
      <c r="AT1064" s="82"/>
      <c r="AU1064" s="3"/>
      <c r="AV1064" s="25">
        <v>1</v>
      </c>
      <c r="AW1064" s="25">
        <v>6</v>
      </c>
      <c r="AX1064" s="25">
        <v>12</v>
      </c>
      <c r="AY1064" s="42"/>
      <c r="AZ1064" s="46"/>
      <c r="BA1064" s="42"/>
      <c r="BB1064" s="42"/>
      <c r="BC1064" s="2"/>
      <c r="BD1064" s="2"/>
      <c r="BE1064" s="2"/>
      <c r="BF1064" s="2"/>
      <c r="BG1064" s="2"/>
      <c r="BH1064" s="2"/>
      <c r="BI1064" s="2"/>
      <c r="BJ1064" s="2"/>
      <c r="BK1064" s="2"/>
      <c r="BL1064" s="2"/>
      <c r="BM1064" s="2"/>
      <c r="BN1064" s="2"/>
      <c r="BO1064" s="2"/>
      <c r="BP1064" s="2"/>
      <c r="BQ1064" s="2"/>
      <c r="BR1064" s="2"/>
      <c r="BS1064" s="2"/>
      <c r="BT1064" s="2"/>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c r="CQ1064" s="2"/>
      <c r="CR1064" s="1"/>
      <c r="CS1064" s="1"/>
      <c r="CT1064" s="1"/>
      <c r="CU1064" s="1"/>
    </row>
    <row r="1065" spans="1:99" s="13" customFormat="1" ht="12" customHeight="1" x14ac:dyDescent="0.2">
      <c r="A1065" s="65">
        <v>43509</v>
      </c>
      <c r="B1065" s="1" t="s">
        <v>251</v>
      </c>
      <c r="C1065" s="1" t="s">
        <v>33</v>
      </c>
      <c r="D1065" s="60">
        <v>2014</v>
      </c>
      <c r="E1065" s="76">
        <v>4</v>
      </c>
      <c r="F1065" s="60">
        <v>15</v>
      </c>
      <c r="G1065" s="60">
        <v>15</v>
      </c>
      <c r="H1065" s="60" t="s">
        <v>44</v>
      </c>
      <c r="I1065" s="60" t="s">
        <v>767</v>
      </c>
      <c r="J1065" s="60" t="s">
        <v>764</v>
      </c>
      <c r="K1065" s="60">
        <f>IF(J1065="syllables",1,IF(J1065="trigrams",2,IF(J1065="strings",3,IF(J1065="visual array",4,IF(J1065="characters",5,IF(J1065="letters",6,IF(J1065="free forms",7,IF(J1065="odors",8,IF(J1065="words",9,IF(J1065="pictures",10,IF(J1065="object pictures",11,IF(J1065="faces",12,IF(J1065="names",13,IF(J1065="idioms",14,IF(J1065="grades",15,IF(J1065="syllable-digit pairs",16,IF(J1065="trigram-word pairs",17,IF(J1065="word-digit pairs",18,IF(J1065="English-Swahili pairs",19,IF(J1065="spatial position",20,IF(J1065="word pairs",21,IF(J1065="word triads",22,IF(J1065="generated words",23,IF(J1065="word definition pairs",24,IF(J1065="math problems",25,IF(J1065="famous faces",26,IF(J1065="famous names",27,IF(J1065="famous voices",28,IF(J1065="television programs",29,IF(J1065="race horses",30,IF(J1065="new vocabulary",31,IF(J1065="sentences",32,IF(J1065="concepts",33,IF(J1065="ad slides",34,IF(J1065="scenes",35,IF(J1065="famous scenes",36,IF(J1065="poems",37,IF(J1065="walk",38,IF(J1065="faces and events",39,IF(J1065="events and names",40,IF(J1065="flashbulb",41,IF(J1065="stories",42,IF(J1065="course material",43,IF(J1065="autobiographical",44,IF(J1065="novels",45,IF(J1065="public events",46,"99"))))))))))))))))))))))))))))))))))))))))))))))</f>
        <v>4</v>
      </c>
      <c r="L1065" s="60">
        <f>IF(J1065="syllables",1,IF(J1065="trigrams",1,IF(J1065="strings",1,IF(J1065="visual array",1,IF(J1065="characters",1,IF(J1065="letters",1,IF(J1065="free forms",1,IF(J1065="odors",2,IF(J1065="words",2,IF(J1065="pictures",2,IF(J1065="object pictures",2,IF(J1065="faces",2,IF(J1065="names",2,IF(J1065="idioms","2",IF(J1065="grades",2,IF(J1065="syllable-digit pairs",3,IF(J1065="trigram-word pairs",3,IF(J1065="word-digit pairs",3,IF(J1065="English-Swahili pairs",3,IF(J1065="spatial position",3,IF(J1065="word pairs",4,IF(J1065="word triads",4,IF(J1065="generated words",4,IF(J1065="word definition pairs",4,IF(J1065="math problems",4,IF(J1065="famous faces",4,IF(J1065="famous names",4,IF(J1065="famous voices",4,IF(J1065="television programs",4,IF(J1065="race horses",4,IF(J1065="new vocabulary",4,IF(J1065="sentences",5,IF(J1065="concepts",5,IF(J1065="ad slides",5,IF(J1065="scenes",5,IF(J1065="famous scenes",5,IF(J1065="poems",6,IF(J1065="walk",6,IF(J1065="faces and events",6,IF(J1065="events and names",6,IF(J1065="flashbulb",7,IF(J1065="stories",7,IF(J1065="course material",7,IF(J1065="autobiographical",7,IF(J1065="novels",7,IF(J1065="public events",7,"99"))))))))))))))))))))))))))))))))))))))))))))))</f>
        <v>1</v>
      </c>
      <c r="M1065" s="60">
        <v>0</v>
      </c>
      <c r="N1065" s="60">
        <v>1</v>
      </c>
      <c r="O1065" s="60">
        <v>0</v>
      </c>
      <c r="P1065" s="60"/>
      <c r="Q1065" s="60" t="s">
        <v>34</v>
      </c>
      <c r="R1065" s="60">
        <f>IF(Q1065="Free Recall",1,IF(Q1065="Cued Recall",2,IF(Q1065="Recognition",3,IF(Q1065="Multiple Choice",4,IF(Q1065="Savings",5,IF(Q1065="Stem Completion",6,IF(Q1065="Fragment Completion",7,IF(Q1065="anagram solution",8,IF(Q1065="Matching",9,IF(Q1065="Problem Solving",10,"99"))))))))))</f>
        <v>3</v>
      </c>
      <c r="S1065" s="60" t="s">
        <v>40</v>
      </c>
      <c r="T1065" s="59" t="s">
        <v>581</v>
      </c>
      <c r="U1065" s="60">
        <f>IF(T1065="within",1,0)</f>
        <v>1</v>
      </c>
      <c r="V1065" s="59">
        <v>108</v>
      </c>
      <c r="W1065" s="60">
        <f>F1065*V1065</f>
        <v>1620</v>
      </c>
      <c r="X1065" s="60">
        <v>3</v>
      </c>
      <c r="Y1065" s="76">
        <f>AV1064</f>
        <v>1</v>
      </c>
      <c r="Z1065" s="60" t="s">
        <v>42</v>
      </c>
      <c r="AA1065" s="60">
        <v>12</v>
      </c>
      <c r="AB1065" s="60" t="str">
        <f>IF(AA1065&lt;60,"1",IF(AA1065&lt;=43200,"2",IF(AA1065&lt;=777600,"3","4")))</f>
        <v>1</v>
      </c>
      <c r="AC1065" s="56">
        <f>AVERAGE(AV1064:DA1064)</f>
        <v>6.333333333333333</v>
      </c>
      <c r="AD1065" s="60" t="str">
        <f>IF(AC1065&lt;60,"1",IF(AC1065&lt;=43200,"2",IF(AC1065&lt;=777600,"3","4")))</f>
        <v>1</v>
      </c>
      <c r="AE1065" s="76">
        <f>AA1065-Y1065</f>
        <v>11</v>
      </c>
      <c r="AF1065" s="80">
        <f>AV1065</f>
        <v>0.84</v>
      </c>
      <c r="AG1065" s="56">
        <f>((AW1065-AV1065)+(AX1065-AW1065))/2</f>
        <v>-2.4999999999999967E-2</v>
      </c>
      <c r="AH1065" s="4"/>
      <c r="AI1065" s="56">
        <f>RSQ(AV1065:AX1065,AV1064:AX1064)</f>
        <v>0.99609600925390396</v>
      </c>
      <c r="AJ1065" s="109">
        <f>SLOPE(AV1065:AX1065,AV1064:AX1064)</f>
        <v>-4.5604395604395536E-3</v>
      </c>
      <c r="AK1065" s="56">
        <f>INTERCEPT(AV1065:AX1065,AV1064:AX1064)</f>
        <v>0.84554945054945063</v>
      </c>
      <c r="AL1065" s="56">
        <f>INDEX(LINEST(LN(AV1065:AX1065),LN(AV1064:AX1064),TRUE,TRUE),3,1)</f>
        <v>0.86705071109304421</v>
      </c>
      <c r="AM1065" s="56">
        <f>INDEX(LINEST(LN(AV1065:AX1065),LN(AV1064:AX1064)),1)</f>
        <v>-2.2452493576509889E-2</v>
      </c>
      <c r="AN1065" s="56">
        <f>EXP(INDEX(LINEST(LN(AV1065:AX1065),LN(AV1064:AX1064)),1,2))</f>
        <v>0.84296069523126405</v>
      </c>
      <c r="AO1065" s="82">
        <f>INDEX(LINEST((AV1065:AX1065),LN(AV1064:AX1064),TRUE,TRUE),3,1)</f>
        <v>0.87266785751561338</v>
      </c>
      <c r="AP1065" s="82">
        <f>INDEX(LINEST((AV1065:AX1065),LN(AV1064:AX1064)),1)</f>
        <v>-1.8333871503869979E-2</v>
      </c>
      <c r="AQ1065" s="83">
        <f>INDEX(LINEST(LN(AV1065:AX1065),SQRT(AV1064:AX1064),TRUE,TRUE),3,1)</f>
        <v>0.95028779559681664</v>
      </c>
      <c r="AR1065" s="116">
        <f>INDEX(LINEST(LN(AV1065:AX1065),SQRT((AV1064:AX1064))),1)</f>
        <v>-2.4338000271264162E-2</v>
      </c>
      <c r="AS1065" s="84">
        <f>INDEX(LINEST(1/(AV1065:AX1065),1/(SQRT(AV1064:AX1064)),TRUE,TRUE),3,1)</f>
        <v>0.77218146676836896</v>
      </c>
      <c r="AT1065" s="84">
        <f>INDEX(LINEST(1/(AV1065:AX1065),1/SQRT(AV1064:AX1064)),1)</f>
        <v>-8.7673544528963726E-2</v>
      </c>
      <c r="AU1065" s="3"/>
      <c r="AV1065" s="53">
        <v>0.84</v>
      </c>
      <c r="AW1065" s="53">
        <v>0.82</v>
      </c>
      <c r="AX1065" s="53">
        <v>0.79</v>
      </c>
      <c r="AY1065" s="42"/>
      <c r="AZ1065" s="46"/>
      <c r="BA1065" s="42"/>
      <c r="BB1065" s="42"/>
      <c r="BC1065" s="2"/>
      <c r="BD1065" s="2"/>
      <c r="BE1065" s="2"/>
      <c r="BF1065" s="2"/>
      <c r="BG1065" s="2"/>
      <c r="BH1065" s="2"/>
      <c r="BI1065" s="2"/>
      <c r="BJ1065" s="2"/>
      <c r="BK1065" s="2"/>
      <c r="BL1065" s="2"/>
      <c r="BM1065" s="2"/>
      <c r="BN1065" s="2"/>
      <c r="BO1065" s="2"/>
      <c r="BP1065" s="2"/>
      <c r="BQ1065" s="2"/>
      <c r="BR1065" s="2"/>
      <c r="BS1065" s="2"/>
      <c r="BT1065" s="2"/>
      <c r="BU1065" s="2"/>
      <c r="BV1065" s="2"/>
      <c r="BW1065" s="2"/>
      <c r="BX1065" s="2"/>
      <c r="BY1065" s="2"/>
      <c r="BZ1065" s="2"/>
      <c r="CA1065" s="2"/>
      <c r="CB1065" s="2"/>
      <c r="CC1065" s="2"/>
      <c r="CD1065" s="2"/>
      <c r="CE1065" s="2"/>
      <c r="CF1065" s="2"/>
      <c r="CG1065" s="2"/>
      <c r="CH1065" s="2"/>
      <c r="CI1065" s="2"/>
      <c r="CJ1065" s="2"/>
      <c r="CK1065" s="2"/>
      <c r="CL1065" s="2"/>
      <c r="CM1065" s="2"/>
      <c r="CN1065" s="2"/>
      <c r="CO1065" s="2"/>
      <c r="CP1065" s="2"/>
      <c r="CQ1065" s="2"/>
      <c r="CR1065" s="1"/>
      <c r="CS1065" s="1"/>
      <c r="CT1065" s="1"/>
      <c r="CU1065" s="1"/>
    </row>
    <row r="1066" spans="1:99" s="13" customFormat="1" ht="12" customHeight="1" x14ac:dyDescent="0.2">
      <c r="A1066" s="65">
        <v>43509</v>
      </c>
      <c r="B1066" s="1"/>
      <c r="C1066" s="1"/>
      <c r="D1066" s="60"/>
      <c r="E1066" s="76"/>
      <c r="F1066" s="60"/>
      <c r="G1066" s="60"/>
      <c r="H1066" s="60"/>
      <c r="I1066" s="60"/>
      <c r="J1066" s="60"/>
      <c r="K1066" s="64"/>
      <c r="L1066" s="64"/>
      <c r="M1066" s="60"/>
      <c r="N1066" s="60"/>
      <c r="O1066" s="60"/>
      <c r="P1066" s="60"/>
      <c r="Q1066" s="60"/>
      <c r="R1066" s="60"/>
      <c r="S1066" s="60"/>
      <c r="T1066" s="60"/>
      <c r="U1066" s="60"/>
      <c r="V1066" s="60"/>
      <c r="W1066" s="60"/>
      <c r="X1066" s="60"/>
      <c r="Y1066" s="76"/>
      <c r="Z1066" s="60"/>
      <c r="AA1066" s="60"/>
      <c r="AB1066" s="60"/>
      <c r="AC1066" s="60"/>
      <c r="AD1066" s="60"/>
      <c r="AE1066" s="60"/>
      <c r="AF1066" s="80"/>
      <c r="AG1066" s="56"/>
      <c r="AH1066" s="4"/>
      <c r="AI1066" s="56"/>
      <c r="AJ1066" s="109"/>
      <c r="AK1066" s="56"/>
      <c r="AL1066" s="56"/>
      <c r="AM1066" s="56"/>
      <c r="AN1066" s="56"/>
      <c r="AO1066" s="82"/>
      <c r="AP1066" s="82"/>
      <c r="AQ1066" s="82"/>
      <c r="AR1066" s="115"/>
      <c r="AS1066" s="82"/>
      <c r="AT1066" s="82"/>
      <c r="AU1066" s="3"/>
      <c r="AV1066" s="25">
        <v>1</v>
      </c>
      <c r="AW1066" s="25">
        <v>6</v>
      </c>
      <c r="AX1066" s="25">
        <v>12</v>
      </c>
      <c r="AY1066" s="53"/>
      <c r="AZ1066" s="53"/>
      <c r="BA1066" s="53"/>
      <c r="BB1066" s="53"/>
      <c r="BC1066" s="53"/>
      <c r="BD1066" s="53"/>
      <c r="BE1066" s="53"/>
      <c r="BF1066" s="53"/>
      <c r="BG1066" s="53"/>
      <c r="BH1066" s="53"/>
      <c r="BI1066" s="53"/>
      <c r="BJ1066" s="53"/>
      <c r="BK1066" s="53"/>
      <c r="BL1066" s="53"/>
      <c r="BM1066" s="53"/>
      <c r="BN1066" s="53"/>
      <c r="BO1066" s="53"/>
      <c r="BP1066" s="53"/>
      <c r="BQ1066" s="53"/>
      <c r="BR1066" s="53"/>
      <c r="BS1066" s="53"/>
      <c r="BT1066" s="53"/>
      <c r="BU1066" s="53"/>
      <c r="BV1066" s="53"/>
      <c r="BW1066" s="53"/>
      <c r="BX1066" s="53"/>
      <c r="BY1066" s="53"/>
      <c r="BZ1066" s="53"/>
      <c r="CA1066" s="53"/>
      <c r="CB1066" s="53"/>
      <c r="CC1066" s="53"/>
      <c r="CD1066" s="53"/>
      <c r="CE1066" s="53"/>
      <c r="CF1066" s="53"/>
      <c r="CG1066" s="53"/>
      <c r="CH1066" s="53"/>
      <c r="CI1066" s="53"/>
      <c r="CJ1066" s="53"/>
      <c r="CK1066" s="53"/>
      <c r="CL1066" s="53"/>
      <c r="CM1066" s="53"/>
      <c r="CN1066" s="53"/>
      <c r="CO1066" s="53"/>
      <c r="CP1066" s="53"/>
      <c r="CQ1066" s="53"/>
      <c r="CR1066" s="1"/>
      <c r="CS1066" s="1"/>
      <c r="CT1066" s="1"/>
      <c r="CU1066" s="1"/>
    </row>
    <row r="1067" spans="1:99" s="13" customFormat="1" ht="12" customHeight="1" x14ac:dyDescent="0.2">
      <c r="A1067" s="65">
        <v>43509</v>
      </c>
      <c r="B1067" s="1" t="s">
        <v>251</v>
      </c>
      <c r="C1067" s="1" t="s">
        <v>33</v>
      </c>
      <c r="D1067" s="60">
        <v>2014</v>
      </c>
      <c r="E1067" s="76">
        <v>4</v>
      </c>
      <c r="F1067" s="60">
        <v>15</v>
      </c>
      <c r="G1067" s="60">
        <v>15</v>
      </c>
      <c r="H1067" s="60" t="s">
        <v>44</v>
      </c>
      <c r="I1067" s="60" t="s">
        <v>768</v>
      </c>
      <c r="J1067" s="60" t="s">
        <v>764</v>
      </c>
      <c r="K1067" s="60">
        <f>IF(J1067="syllables",1,IF(J1067="trigrams",2,IF(J1067="strings",3,IF(J1067="visual array",4,IF(J1067="characters",5,IF(J1067="letters",6,IF(J1067="free forms",7,IF(J1067="odors",8,IF(J1067="words",9,IF(J1067="pictures",10,IF(J1067="object pictures",11,IF(J1067="faces",12,IF(J1067="names",13,IF(J1067="idioms",14,IF(J1067="grades",15,IF(J1067="syllable-digit pairs",16,IF(J1067="trigram-word pairs",17,IF(J1067="word-digit pairs",18,IF(J1067="English-Swahili pairs",19,IF(J1067="spatial position",20,IF(J1067="word pairs",21,IF(J1067="word triads",22,IF(J1067="generated words",23,IF(J1067="word definition pairs",24,IF(J1067="math problems",25,IF(J1067="famous faces",26,IF(J1067="famous names",27,IF(J1067="famous voices",28,IF(J1067="television programs",29,IF(J1067="race horses",30,IF(J1067="new vocabulary",31,IF(J1067="sentences",32,IF(J1067="concepts",33,IF(J1067="ad slides",34,IF(J1067="scenes",35,IF(J1067="famous scenes",36,IF(J1067="poems",37,IF(J1067="walk",38,IF(J1067="faces and events",39,IF(J1067="events and names",40,IF(J1067="flashbulb",41,IF(J1067="stories",42,IF(J1067="course material",43,IF(J1067="autobiographical",44,IF(J1067="novels",45,IF(J1067="public events",46,"99"))))))))))))))))))))))))))))))))))))))))))))))</f>
        <v>4</v>
      </c>
      <c r="L1067" s="60">
        <f>IF(J1067="syllables",1,IF(J1067="trigrams",1,IF(J1067="strings",1,IF(J1067="visual array",1,IF(J1067="characters",1,IF(J1067="letters",1,IF(J1067="free forms",1,IF(J1067="odors",2,IF(J1067="words",2,IF(J1067="pictures",2,IF(J1067="object pictures",2,IF(J1067="faces",2,IF(J1067="names",2,IF(J1067="idioms","2",IF(J1067="grades",2,IF(J1067="syllable-digit pairs",3,IF(J1067="trigram-word pairs",3,IF(J1067="word-digit pairs",3,IF(J1067="English-Swahili pairs",3,IF(J1067="spatial position",3,IF(J1067="word pairs",4,IF(J1067="word triads",4,IF(J1067="generated words",4,IF(J1067="word definition pairs",4,IF(J1067="math problems",4,IF(J1067="famous faces",4,IF(J1067="famous names",4,IF(J1067="famous voices",4,IF(J1067="television programs",4,IF(J1067="race horses",4,IF(J1067="new vocabulary",4,IF(J1067="sentences",5,IF(J1067="concepts",5,IF(J1067="ad slides",5,IF(J1067="scenes",5,IF(J1067="famous scenes",5,IF(J1067="poems",6,IF(J1067="walk",6,IF(J1067="faces and events",6,IF(J1067="events and names",6,IF(J1067="flashbulb",7,IF(J1067="stories",7,IF(J1067="course material",7,IF(J1067="autobiographical",7,IF(J1067="novels",7,IF(J1067="public events",7,"99"))))))))))))))))))))))))))))))))))))))))))))))</f>
        <v>1</v>
      </c>
      <c r="M1067" s="60">
        <v>0</v>
      </c>
      <c r="N1067" s="60">
        <v>1</v>
      </c>
      <c r="O1067" s="60">
        <v>0</v>
      </c>
      <c r="P1067" s="60"/>
      <c r="Q1067" s="60" t="s">
        <v>34</v>
      </c>
      <c r="R1067" s="60">
        <f>IF(Q1067="Free Recall",1,IF(Q1067="Cued Recall",2,IF(Q1067="Recognition",3,IF(Q1067="Multiple Choice",4,IF(Q1067="Savings",5,IF(Q1067="Stem Completion",6,IF(Q1067="Fragment Completion",7,IF(Q1067="anagram solution",8,IF(Q1067="Matching",9,IF(Q1067="Problem Solving",10,"99"))))))))))</f>
        <v>3</v>
      </c>
      <c r="S1067" s="60" t="s">
        <v>40</v>
      </c>
      <c r="T1067" s="59" t="s">
        <v>581</v>
      </c>
      <c r="U1067" s="60">
        <f>IF(T1067="within",1,0)</f>
        <v>1</v>
      </c>
      <c r="V1067" s="59">
        <v>108</v>
      </c>
      <c r="W1067" s="60">
        <f>F1067*V1067</f>
        <v>1620</v>
      </c>
      <c r="X1067" s="60">
        <v>3</v>
      </c>
      <c r="Y1067" s="76">
        <f>AV1066</f>
        <v>1</v>
      </c>
      <c r="Z1067" s="60" t="s">
        <v>42</v>
      </c>
      <c r="AA1067" s="60">
        <v>12</v>
      </c>
      <c r="AB1067" s="60" t="str">
        <f>IF(AA1067&lt;60,"1",IF(AA1067&lt;=43200,"2",IF(AA1067&lt;=777600,"3","4")))</f>
        <v>1</v>
      </c>
      <c r="AC1067" s="56">
        <f>AVERAGE(AV1066:DA1066)</f>
        <v>6.333333333333333</v>
      </c>
      <c r="AD1067" s="60" t="str">
        <f>IF(AC1067&lt;60,"1",IF(AC1067&lt;=43200,"2",IF(AC1067&lt;=777600,"3","4")))</f>
        <v>1</v>
      </c>
      <c r="AE1067" s="76">
        <f>AA1067-Y1067</f>
        <v>11</v>
      </c>
      <c r="AF1067" s="80">
        <f>AV1067</f>
        <v>0.83199999999999996</v>
      </c>
      <c r="AG1067" s="56">
        <f>((AW1067-AV1067)+(AX1067-AW1067))/2</f>
        <v>-2.4999999999999967E-2</v>
      </c>
      <c r="AH1067" s="4"/>
      <c r="AI1067" s="56">
        <f>RSQ(AV1067:AX1067,AV1066:AX1066)</f>
        <v>0.87248953364356585</v>
      </c>
      <c r="AJ1067" s="109">
        <f>SLOPE(AV1067:AX1067,AV1066:AX1066)</f>
        <v>-4.4560439560439495E-3</v>
      </c>
      <c r="AK1067" s="56">
        <f>INTERCEPT(AV1067:AX1067,AV1066:AX1066)</f>
        <v>0.83055494505494498</v>
      </c>
      <c r="AL1067" s="56">
        <f>INDEX(LINEST(LN(AV1067:AX1067),LN(AV1066:AX1066),TRUE,TRUE),3,1)</f>
        <v>0.99673670172613815</v>
      </c>
      <c r="AM1067" s="56">
        <f>INDEX(LINEST(LN(AV1067:AX1067),LN(AV1066:AX1066)),1)</f>
        <v>-2.531134236455454E-2</v>
      </c>
      <c r="AN1067" s="56">
        <f>EXP(INDEX(LINEST(LN(AV1067:AX1067),LN(AV1066:AX1066)),1,2))</f>
        <v>0.83151792384634837</v>
      </c>
      <c r="AO1067" s="82">
        <f>INDEX(LINEST((AV1067:AX1067),LN(AV1066:AX1066),TRUE,TRUE),3,1)</f>
        <v>0.99606258867089548</v>
      </c>
      <c r="AP1067" s="82">
        <f>INDEX(LINEST((AV1067:AX1067),LN(AV1066:AX1066)),1)</f>
        <v>-2.0449667754359174E-2</v>
      </c>
      <c r="AQ1067" s="83">
        <f>INDEX(LINEST(LN(AV1067:AX1067),SQRT(AV1066:AX1066),TRUE,TRUE),3,1)</f>
        <v>0.95834845275562841</v>
      </c>
      <c r="AR1067" s="116">
        <f>INDEX(LINEST(LN(AV1067:AX1067),SQRT((AV1066:AX1066))),1)</f>
        <v>-2.5698138207032952E-2</v>
      </c>
      <c r="AS1067" s="84">
        <f>INDEX(LINEST(1/(AV1067:AX1067),1/(SQRT(AV1066:AX1066)),TRUE,TRUE),3,1)</f>
        <v>0.99582950547051263</v>
      </c>
      <c r="AT1067" s="84">
        <f>INDEX(LINEST(1/(AV1067:AX1067),1/SQRT(AV1066:AX1066)),1)</f>
        <v>-0.10542222028781423</v>
      </c>
      <c r="AU1067" s="3"/>
      <c r="AV1067" s="53">
        <v>0.83199999999999996</v>
      </c>
      <c r="AW1067" s="53">
        <v>0.79300000000000004</v>
      </c>
      <c r="AX1067" s="53">
        <v>0.78200000000000003</v>
      </c>
      <c r="AY1067" s="53"/>
      <c r="AZ1067" s="53"/>
      <c r="BA1067" s="53"/>
      <c r="BB1067" s="53"/>
      <c r="BC1067" s="53"/>
      <c r="BD1067" s="53"/>
      <c r="BE1067" s="53"/>
      <c r="BF1067" s="53"/>
      <c r="BG1067" s="53"/>
      <c r="BH1067" s="53"/>
      <c r="BI1067" s="53"/>
      <c r="BJ1067" s="53"/>
      <c r="BK1067" s="53"/>
      <c r="BL1067" s="53"/>
      <c r="BM1067" s="53"/>
      <c r="BN1067" s="53"/>
      <c r="BO1067" s="53"/>
      <c r="BP1067" s="53"/>
      <c r="BQ1067" s="53"/>
      <c r="BR1067" s="53"/>
      <c r="BS1067" s="53"/>
      <c r="BT1067" s="53"/>
      <c r="BU1067" s="53"/>
      <c r="BV1067" s="53"/>
      <c r="BW1067" s="53"/>
      <c r="BX1067" s="53"/>
      <c r="BY1067" s="53"/>
      <c r="BZ1067" s="53"/>
      <c r="CA1067" s="53"/>
      <c r="CB1067" s="53"/>
      <c r="CC1067" s="53"/>
      <c r="CD1067" s="53"/>
      <c r="CE1067" s="53"/>
      <c r="CF1067" s="53"/>
      <c r="CG1067" s="53"/>
      <c r="CH1067" s="53"/>
      <c r="CI1067" s="53"/>
      <c r="CJ1067" s="53"/>
      <c r="CK1067" s="53"/>
      <c r="CL1067" s="53"/>
      <c r="CM1067" s="53"/>
      <c r="CN1067" s="53"/>
      <c r="CO1067" s="53"/>
      <c r="CP1067" s="53"/>
      <c r="CQ1067" s="53"/>
      <c r="CR1067" s="1"/>
      <c r="CS1067" s="1"/>
      <c r="CT1067" s="1"/>
      <c r="CU1067" s="1"/>
    </row>
    <row r="1068" spans="1:99" s="13" customFormat="1" ht="12" customHeight="1" x14ac:dyDescent="0.2">
      <c r="A1068" s="68">
        <v>43509</v>
      </c>
      <c r="B1068" s="70"/>
      <c r="C1068" s="70"/>
      <c r="D1068" s="69"/>
      <c r="E1068" s="87"/>
      <c r="F1068" s="69"/>
      <c r="G1068" s="69"/>
      <c r="H1068" s="69"/>
      <c r="I1068" s="69"/>
      <c r="J1068" s="69"/>
      <c r="K1068" s="107"/>
      <c r="L1068" s="107"/>
      <c r="M1068" s="69"/>
      <c r="N1068" s="69"/>
      <c r="O1068" s="69"/>
      <c r="P1068" s="69"/>
      <c r="Q1068" s="69"/>
      <c r="R1068" s="69"/>
      <c r="S1068" s="69"/>
      <c r="T1068" s="69"/>
      <c r="U1068" s="69"/>
      <c r="V1068" s="69"/>
      <c r="W1068" s="69"/>
      <c r="X1068" s="69"/>
      <c r="Y1068" s="87"/>
      <c r="Z1068" s="69"/>
      <c r="AA1068" s="69"/>
      <c r="AB1068" s="69"/>
      <c r="AC1068" s="69"/>
      <c r="AD1068" s="69"/>
      <c r="AE1068" s="69"/>
      <c r="AF1068" s="88"/>
      <c r="AG1068" s="72"/>
      <c r="AH1068" s="4"/>
      <c r="AI1068" s="72"/>
      <c r="AJ1068" s="110"/>
      <c r="AK1068" s="72"/>
      <c r="AL1068" s="72"/>
      <c r="AM1068" s="72"/>
      <c r="AN1068" s="72"/>
      <c r="AO1068" s="72"/>
      <c r="AP1068" s="72"/>
      <c r="AQ1068" s="72"/>
      <c r="AR1068" s="110"/>
      <c r="AS1068" s="72"/>
      <c r="AT1068" s="72"/>
      <c r="AU1068" s="4"/>
      <c r="AV1068" s="71">
        <v>1</v>
      </c>
      <c r="AW1068" s="71">
        <v>6</v>
      </c>
      <c r="AX1068" s="71">
        <v>12</v>
      </c>
      <c r="AY1068" s="42"/>
      <c r="AZ1068" s="46"/>
      <c r="BA1068" s="42"/>
      <c r="BB1068" s="42"/>
      <c r="BC1068" s="2"/>
      <c r="BD1068" s="2"/>
      <c r="BE1068" s="2"/>
      <c r="BF1068" s="2"/>
      <c r="BG1068" s="2"/>
      <c r="BH1068" s="2"/>
      <c r="BI1068" s="2"/>
      <c r="BJ1068" s="2"/>
      <c r="BK1068" s="2"/>
      <c r="BL1068" s="2"/>
      <c r="BM1068" s="2"/>
      <c r="BN1068" s="2"/>
      <c r="BO1068" s="2"/>
      <c r="BP1068" s="2"/>
      <c r="BQ1068" s="2"/>
      <c r="BR1068" s="2"/>
      <c r="BS1068" s="2"/>
      <c r="BT1068" s="2"/>
      <c r="BU1068" s="2"/>
      <c r="BV1068" s="2"/>
      <c r="BW1068" s="2"/>
      <c r="BX1068" s="2"/>
      <c r="BY1068" s="2"/>
      <c r="BZ1068" s="2"/>
      <c r="CA1068" s="2"/>
      <c r="CB1068" s="2"/>
      <c r="CC1068" s="2"/>
      <c r="CD1068" s="2"/>
      <c r="CE1068" s="2"/>
      <c r="CF1068" s="2"/>
      <c r="CG1068" s="2"/>
      <c r="CH1068" s="2"/>
      <c r="CI1068" s="2"/>
      <c r="CJ1068" s="2"/>
      <c r="CK1068" s="2"/>
      <c r="CL1068" s="2"/>
      <c r="CM1068" s="2"/>
      <c r="CN1068" s="2"/>
      <c r="CO1068" s="2"/>
      <c r="CP1068" s="2"/>
      <c r="CQ1068" s="2"/>
      <c r="CR1068" s="1"/>
      <c r="CS1068" s="1"/>
      <c r="CT1068" s="1"/>
      <c r="CU1068" s="1"/>
    </row>
    <row r="1069" spans="1:99" s="13" customFormat="1" ht="12" customHeight="1" x14ac:dyDescent="0.2">
      <c r="A1069" s="68">
        <v>43509</v>
      </c>
      <c r="B1069" s="70" t="s">
        <v>252</v>
      </c>
      <c r="C1069" s="70" t="s">
        <v>45</v>
      </c>
      <c r="D1069" s="69">
        <v>2014</v>
      </c>
      <c r="E1069" s="87">
        <v>1</v>
      </c>
      <c r="F1069" s="69">
        <v>68</v>
      </c>
      <c r="G1069" s="69">
        <v>68</v>
      </c>
      <c r="H1069" s="69" t="s">
        <v>41</v>
      </c>
      <c r="I1069" s="69" t="s">
        <v>770</v>
      </c>
      <c r="J1069" s="69" t="s">
        <v>764</v>
      </c>
      <c r="K1069" s="69">
        <f>IF(J1069="syllables",1,IF(J1069="trigrams",2,IF(J1069="strings",3,IF(J1069="visual array",4,IF(J1069="characters",5,IF(J1069="letters",6,IF(J1069="free forms",7,IF(J1069="odors",8,IF(J1069="words",9,IF(J1069="pictures",10,IF(J1069="object pictures",11,IF(J1069="faces",12,IF(J1069="names",13,IF(J1069="idioms",14,IF(J1069="grades",15,IF(J1069="syllable-digit pairs",16,IF(J1069="trigram-word pairs",17,IF(J1069="word-digit pairs",18,IF(J1069="English-Swahili pairs",19,IF(J1069="spatial position",20,IF(J1069="word pairs",21,IF(J1069="word triads",22,IF(J1069="generated words",23,IF(J1069="word definition pairs",24,IF(J1069="math problems",25,IF(J1069="famous faces",26,IF(J1069="famous names",27,IF(J1069="famous voices",28,IF(J1069="television programs",29,IF(J1069="race horses",30,IF(J1069="new vocabulary",31,IF(J1069="sentences",32,IF(J1069="concepts",33,IF(J1069="ad slides",34,IF(J1069="scenes",35,IF(J1069="famous scenes",36,IF(J1069="poems",37,IF(J1069="walk",38,IF(J1069="faces and events",39,IF(J1069="events and names",40,IF(J1069="flashbulb",41,IF(J1069="stories",42,IF(J1069="course material",43,IF(J1069="autobiographical",44,IF(J1069="novels",45,IF(J1069="public events",46,"99"))))))))))))))))))))))))))))))))))))))))))))))</f>
        <v>4</v>
      </c>
      <c r="L1069" s="69">
        <f>IF(J1069="syllables",1,IF(J1069="trigrams",1,IF(J1069="strings",1,IF(J1069="visual array",1,IF(J1069="characters",1,IF(J1069="letters",1,IF(J1069="free forms",1,IF(J1069="odors",2,IF(J1069="words",2,IF(J1069="pictures",2,IF(J1069="object pictures",2,IF(J1069="faces",2,IF(J1069="names",2,IF(J1069="idioms","2",IF(J1069="grades",2,IF(J1069="syllable-digit pairs",3,IF(J1069="trigram-word pairs",3,IF(J1069="word-digit pairs",3,IF(J1069="English-Swahili pairs",3,IF(J1069="spatial position",3,IF(J1069="word pairs",4,IF(J1069="word triads",4,IF(J1069="generated words",4,IF(J1069="word definition pairs",4,IF(J1069="math problems",4,IF(J1069="famous faces",4,IF(J1069="famous names",4,IF(J1069="famous voices",4,IF(J1069="television programs",4,IF(J1069="race horses",4,IF(J1069="new vocabulary",4,IF(J1069="sentences",5,IF(J1069="concepts",5,IF(J1069="ad slides",5,IF(J1069="scenes",5,IF(J1069="famous scenes",5,IF(J1069="poems",6,IF(J1069="walk",6,IF(J1069="faces and events",6,IF(J1069="events and names",6,IF(J1069="flashbulb",7,IF(J1069="stories",7,IF(J1069="course material",7,IF(J1069="autobiographical",7,IF(J1069="novels",7,IF(J1069="public events",7,"99"))))))))))))))))))))))))))))))))))))))))))))))</f>
        <v>1</v>
      </c>
      <c r="M1069" s="69">
        <v>0</v>
      </c>
      <c r="N1069" s="69">
        <v>1</v>
      </c>
      <c r="O1069" s="69">
        <v>0</v>
      </c>
      <c r="P1069" s="69"/>
      <c r="Q1069" s="69" t="s">
        <v>34</v>
      </c>
      <c r="R1069" s="69">
        <f>IF(Q1069="Free Recall",1,IF(Q1069="Cued Recall",2,IF(Q1069="Recognition",3,IF(Q1069="Multiple Choice",4,IF(Q1069="Savings",5,IF(Q1069="Stem Completion",6,IF(Q1069="Fragment Completion",7,IF(Q1069="anagram solution",8,IF(Q1069="Matching",9,IF(Q1069="Problem Solving",10,"99"))))))))))</f>
        <v>3</v>
      </c>
      <c r="S1069" s="69" t="s">
        <v>40</v>
      </c>
      <c r="T1069" s="92" t="s">
        <v>581</v>
      </c>
      <c r="U1069" s="69">
        <f>IF(T1069="within",1,0)</f>
        <v>1</v>
      </c>
      <c r="V1069" s="92">
        <v>48</v>
      </c>
      <c r="W1069" s="69">
        <f>F1069*V1069</f>
        <v>3264</v>
      </c>
      <c r="X1069" s="69">
        <v>3</v>
      </c>
      <c r="Y1069" s="87">
        <f>AV1068</f>
        <v>1</v>
      </c>
      <c r="Z1069" s="69" t="s">
        <v>42</v>
      </c>
      <c r="AA1069" s="69">
        <v>12</v>
      </c>
      <c r="AB1069" s="69" t="str">
        <f>IF(AA1069&lt;60,"1",IF(AA1069&lt;=43200,"2",IF(AA1069&lt;=777600,"3","4")))</f>
        <v>1</v>
      </c>
      <c r="AC1069" s="72">
        <f>AVERAGE(AV1068:DA1068)</f>
        <v>6.333333333333333</v>
      </c>
      <c r="AD1069" s="69" t="str">
        <f>IF(AC1069&lt;60,"1",IF(AC1069&lt;=43200,"2",IF(AC1069&lt;=777600,"3","4")))</f>
        <v>1</v>
      </c>
      <c r="AE1069" s="87">
        <f>AA1069-Y1069</f>
        <v>11</v>
      </c>
      <c r="AF1069" s="88">
        <f>AV1069</f>
        <v>0.83399999999999996</v>
      </c>
      <c r="AG1069" s="72">
        <f>((AW1069-AV1069)+(AX1069-AW1069))/2</f>
        <v>-6.4500000000000002E-2</v>
      </c>
      <c r="AH1069" s="4"/>
      <c r="AI1069" s="72">
        <f>RSQ(AV1069:AX1069,AV1068:AX1068)</f>
        <v>0.9501168880105203</v>
      </c>
      <c r="AJ1069" s="110">
        <f>SLOPE(AV1069:AX1069,AV1068:AX1068)</f>
        <v>-1.1587912087912088E-2</v>
      </c>
      <c r="AK1069" s="72">
        <f>INTERCEPT(AV1069:AX1069,AV1068:AX1068)</f>
        <v>0.83639010989010987</v>
      </c>
      <c r="AL1069" s="72">
        <f>INDEX(LINEST(LN(AV1069:AX1069),LN(AV1068:AX1068),TRUE,TRUE),3,1)</f>
        <v>0.99024689572848323</v>
      </c>
      <c r="AM1069" s="72">
        <f>INDEX(LINEST(LN(AV1069:AX1069),LN(AV1068:AX1068)),1)</f>
        <v>-6.5951793787283552E-2</v>
      </c>
      <c r="AN1069" s="72">
        <f>EXP(INDEX(LINEST(LN(AV1069:AX1069),LN(AV1068:AX1068)),1,2))</f>
        <v>0.83618738933847037</v>
      </c>
      <c r="AO1069" s="89">
        <f>INDEX(LINEST((AV1069:AX1069),LN(AV1068:AX1068),TRUE,TRUE),3,1)</f>
        <v>0.99406562542415378</v>
      </c>
      <c r="AP1069" s="89">
        <f>INDEX(LINEST((AV1069:AX1069),LN(AV1068:AX1068)),1)</f>
        <v>-5.0909377875555661E-2</v>
      </c>
      <c r="AQ1069" s="90">
        <f>INDEX(LINEST(LN(AV1069:AX1069),SQRT(AV1068:AX1068),TRUE,TRUE),3,1)</f>
        <v>0.99755613229223716</v>
      </c>
      <c r="AR1069" s="117">
        <f>INDEX(LINEST(LN(AV1069:AX1069),SQRT((AV1068:AX1068))),1)</f>
        <v>-6.8539119838707294E-2</v>
      </c>
      <c r="AS1069" s="91">
        <f>INDEX(LINEST(1/(AV1069:AX1069),1/(SQRT(AV1068:AX1068)),TRUE,TRUE),3,1)</f>
        <v>0.94475509775436239</v>
      </c>
      <c r="AT1069" s="91">
        <f>INDEX(LINEST(1/(AV1069:AX1069),1/SQRT(AV1068:AX1068)),1)</f>
        <v>-0.28227694986240243</v>
      </c>
      <c r="AU1069" s="3"/>
      <c r="AV1069" s="73">
        <v>0.83399999999999996</v>
      </c>
      <c r="AW1069" s="73">
        <v>0.75</v>
      </c>
      <c r="AX1069" s="73">
        <v>0.70499999999999996</v>
      </c>
      <c r="AY1069" s="42"/>
      <c r="AZ1069" s="46"/>
      <c r="BA1069" s="42"/>
      <c r="BB1069" s="42"/>
      <c r="BC1069" s="2"/>
      <c r="BD1069" s="2"/>
      <c r="BE1069" s="2"/>
      <c r="BF1069" s="2"/>
      <c r="BG1069" s="2"/>
      <c r="BH1069" s="2"/>
      <c r="BI1069" s="2"/>
      <c r="BJ1069" s="2"/>
      <c r="BK1069" s="2"/>
      <c r="BL1069" s="2"/>
      <c r="BM1069" s="2"/>
      <c r="BN1069" s="2"/>
      <c r="BO1069" s="2"/>
      <c r="BP1069" s="2"/>
      <c r="BQ1069" s="2"/>
      <c r="BR1069" s="2"/>
      <c r="BS1069" s="2"/>
      <c r="BT1069" s="2"/>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c r="CQ1069" s="2"/>
      <c r="CR1069" s="1"/>
      <c r="CS1069" s="1"/>
      <c r="CT1069" s="1"/>
      <c r="CU1069" s="1"/>
    </row>
    <row r="1070" spans="1:99" s="13" customFormat="1" ht="12" customHeight="1" x14ac:dyDescent="0.2">
      <c r="A1070" s="68">
        <v>43509</v>
      </c>
      <c r="B1070" s="70"/>
      <c r="C1070" s="70"/>
      <c r="D1070" s="69"/>
      <c r="E1070" s="87"/>
      <c r="F1070" s="69"/>
      <c r="G1070" s="69"/>
      <c r="H1070" s="69"/>
      <c r="I1070" s="69"/>
      <c r="J1070" s="69"/>
      <c r="K1070" s="107"/>
      <c r="L1070" s="107"/>
      <c r="M1070" s="69"/>
      <c r="N1070" s="69"/>
      <c r="O1070" s="69"/>
      <c r="P1070" s="69"/>
      <c r="Q1070" s="69"/>
      <c r="R1070" s="69"/>
      <c r="S1070" s="69"/>
      <c r="T1070" s="92"/>
      <c r="U1070" s="69"/>
      <c r="V1070" s="69"/>
      <c r="W1070" s="69"/>
      <c r="X1070" s="69"/>
      <c r="Y1070" s="87"/>
      <c r="Z1070" s="69"/>
      <c r="AA1070" s="69"/>
      <c r="AB1070" s="69"/>
      <c r="AC1070" s="69"/>
      <c r="AD1070" s="69"/>
      <c r="AE1070" s="69"/>
      <c r="AF1070" s="88"/>
      <c r="AG1070" s="72"/>
      <c r="AH1070" s="4"/>
      <c r="AI1070" s="72"/>
      <c r="AJ1070" s="110"/>
      <c r="AK1070" s="72"/>
      <c r="AL1070" s="72"/>
      <c r="AM1070" s="72"/>
      <c r="AN1070" s="72"/>
      <c r="AO1070" s="89"/>
      <c r="AP1070" s="89"/>
      <c r="AQ1070" s="89"/>
      <c r="AR1070" s="118"/>
      <c r="AS1070" s="89"/>
      <c r="AT1070" s="89"/>
      <c r="AU1070" s="3"/>
      <c r="AV1070" s="71">
        <v>1</v>
      </c>
      <c r="AW1070" s="71">
        <v>6</v>
      </c>
      <c r="AX1070" s="71">
        <v>12</v>
      </c>
      <c r="AY1070" s="42"/>
      <c r="AZ1070" s="46"/>
      <c r="BA1070" s="42"/>
      <c r="BB1070" s="42"/>
      <c r="BC1070" s="2"/>
      <c r="BD1070" s="2"/>
      <c r="BE1070" s="2"/>
      <c r="BF1070" s="2"/>
      <c r="BG1070" s="2"/>
      <c r="BH1070" s="2"/>
      <c r="BI1070" s="2"/>
      <c r="BJ1070" s="2"/>
      <c r="BK1070" s="2"/>
      <c r="BL1070" s="2"/>
      <c r="BM1070" s="2"/>
      <c r="BN1070" s="2"/>
      <c r="BO1070" s="2"/>
      <c r="BP1070" s="2"/>
      <c r="BQ1070" s="2"/>
      <c r="BR1070" s="2"/>
      <c r="BS1070" s="2"/>
      <c r="BT1070" s="2"/>
      <c r="BU1070" s="2"/>
      <c r="BV1070" s="2"/>
      <c r="BW1070" s="2"/>
      <c r="BX1070" s="2"/>
      <c r="BY1070" s="2"/>
      <c r="BZ1070" s="2"/>
      <c r="CA1070" s="2"/>
      <c r="CB1070" s="2"/>
      <c r="CC1070" s="2"/>
      <c r="CD1070" s="2"/>
      <c r="CE1070" s="2"/>
      <c r="CF1070" s="2"/>
      <c r="CG1070" s="2"/>
      <c r="CH1070" s="2"/>
      <c r="CI1070" s="2"/>
      <c r="CJ1070" s="2"/>
      <c r="CK1070" s="2"/>
      <c r="CL1070" s="2"/>
      <c r="CM1070" s="2"/>
      <c r="CN1070" s="2"/>
      <c r="CO1070" s="2"/>
      <c r="CP1070" s="2"/>
      <c r="CQ1070" s="2"/>
      <c r="CR1070" s="1"/>
      <c r="CS1070" s="1"/>
      <c r="CT1070" s="1"/>
      <c r="CU1070" s="1"/>
    </row>
    <row r="1071" spans="1:99" s="13" customFormat="1" ht="12" customHeight="1" x14ac:dyDescent="0.2">
      <c r="A1071" s="68">
        <v>43509</v>
      </c>
      <c r="B1071" s="70" t="s">
        <v>252</v>
      </c>
      <c r="C1071" s="70" t="s">
        <v>45</v>
      </c>
      <c r="D1071" s="69">
        <v>2014</v>
      </c>
      <c r="E1071" s="87">
        <v>1</v>
      </c>
      <c r="F1071" s="69">
        <v>68</v>
      </c>
      <c r="G1071" s="69">
        <v>68</v>
      </c>
      <c r="H1071" s="69" t="s">
        <v>41</v>
      </c>
      <c r="I1071" s="69" t="s">
        <v>771</v>
      </c>
      <c r="J1071" s="69" t="s">
        <v>764</v>
      </c>
      <c r="K1071" s="69">
        <f>IF(J1071="syllables",1,IF(J1071="trigrams",2,IF(J1071="strings",3,IF(J1071="visual array",4,IF(J1071="characters",5,IF(J1071="letters",6,IF(J1071="free forms",7,IF(J1071="odors",8,IF(J1071="words",9,IF(J1071="pictures",10,IF(J1071="object pictures",11,IF(J1071="faces",12,IF(J1071="names",13,IF(J1071="idioms",14,IF(J1071="grades",15,IF(J1071="syllable-digit pairs",16,IF(J1071="trigram-word pairs",17,IF(J1071="word-digit pairs",18,IF(J1071="English-Swahili pairs",19,IF(J1071="spatial position",20,IF(J1071="word pairs",21,IF(J1071="word triads",22,IF(J1071="generated words",23,IF(J1071="word definition pairs",24,IF(J1071="math problems",25,IF(J1071="famous faces",26,IF(J1071="famous names",27,IF(J1071="famous voices",28,IF(J1071="television programs",29,IF(J1071="race horses",30,IF(J1071="new vocabulary",31,IF(J1071="sentences",32,IF(J1071="concepts",33,IF(J1071="ad slides",34,IF(J1071="scenes",35,IF(J1071="famous scenes",36,IF(J1071="poems",37,IF(J1071="walk",38,IF(J1071="faces and events",39,IF(J1071="events and names",40,IF(J1071="flashbulb",41,IF(J1071="stories",42,IF(J1071="course material",43,IF(J1071="autobiographical",44,IF(J1071="novels",45,IF(J1071="public events",46,"99"))))))))))))))))))))))))))))))))))))))))))))))</f>
        <v>4</v>
      </c>
      <c r="L1071" s="69">
        <f>IF(J1071="syllables",1,IF(J1071="trigrams",1,IF(J1071="strings",1,IF(J1071="visual array",1,IF(J1071="characters",1,IF(J1071="letters",1,IF(J1071="free forms",1,IF(J1071="odors",2,IF(J1071="words",2,IF(J1071="pictures",2,IF(J1071="object pictures",2,IF(J1071="faces",2,IF(J1071="names",2,IF(J1071="idioms","2",IF(J1071="grades",2,IF(J1071="syllable-digit pairs",3,IF(J1071="trigram-word pairs",3,IF(J1071="word-digit pairs",3,IF(J1071="English-Swahili pairs",3,IF(J1071="spatial position",3,IF(J1071="word pairs",4,IF(J1071="word triads",4,IF(J1071="generated words",4,IF(J1071="word definition pairs",4,IF(J1071="math problems",4,IF(J1071="famous faces",4,IF(J1071="famous names",4,IF(J1071="famous voices",4,IF(J1071="television programs",4,IF(J1071="race horses",4,IF(J1071="new vocabulary",4,IF(J1071="sentences",5,IF(J1071="concepts",5,IF(J1071="ad slides",5,IF(J1071="scenes",5,IF(J1071="famous scenes",5,IF(J1071="poems",6,IF(J1071="walk",6,IF(J1071="faces and events",6,IF(J1071="events and names",6,IF(J1071="flashbulb",7,IF(J1071="stories",7,IF(J1071="course material",7,IF(J1071="autobiographical",7,IF(J1071="novels",7,IF(J1071="public events",7,"99"))))))))))))))))))))))))))))))))))))))))))))))</f>
        <v>1</v>
      </c>
      <c r="M1071" s="69">
        <v>0</v>
      </c>
      <c r="N1071" s="69">
        <v>1</v>
      </c>
      <c r="O1071" s="69">
        <v>0</v>
      </c>
      <c r="P1071" s="69"/>
      <c r="Q1071" s="69" t="s">
        <v>34</v>
      </c>
      <c r="R1071" s="69">
        <f>IF(Q1071="Free Recall",1,IF(Q1071="Cued Recall",2,IF(Q1071="Recognition",3,IF(Q1071="Multiple Choice",4,IF(Q1071="Savings",5,IF(Q1071="Stem Completion",6,IF(Q1071="Fragment Completion",7,IF(Q1071="anagram solution",8,IF(Q1071="Matching",9,IF(Q1071="Problem Solving",10,"99"))))))))))</f>
        <v>3</v>
      </c>
      <c r="S1071" s="69" t="s">
        <v>40</v>
      </c>
      <c r="T1071" s="92" t="s">
        <v>581</v>
      </c>
      <c r="U1071" s="69">
        <f>IF(T1071="within",1,0)</f>
        <v>1</v>
      </c>
      <c r="V1071" s="92">
        <v>48</v>
      </c>
      <c r="W1071" s="69">
        <f>F1071*V1071</f>
        <v>3264</v>
      </c>
      <c r="X1071" s="69">
        <v>3</v>
      </c>
      <c r="Y1071" s="87">
        <f>AV1070</f>
        <v>1</v>
      </c>
      <c r="Z1071" s="69" t="s">
        <v>42</v>
      </c>
      <c r="AA1071" s="69">
        <v>12</v>
      </c>
      <c r="AB1071" s="69" t="str">
        <f>IF(AA1071&lt;60,"1",IF(AA1071&lt;=43200,"2",IF(AA1071&lt;=777600,"3","4")))</f>
        <v>1</v>
      </c>
      <c r="AC1071" s="72">
        <f>AVERAGE(AV1070:DA1070)</f>
        <v>6.333333333333333</v>
      </c>
      <c r="AD1071" s="69" t="str">
        <f>IF(AC1071&lt;60,"1",IF(AC1071&lt;=43200,"2",IF(AC1071&lt;=777600,"3","4")))</f>
        <v>1</v>
      </c>
      <c r="AE1071" s="87">
        <f>AA1071-Y1071</f>
        <v>11</v>
      </c>
      <c r="AF1071" s="88">
        <f>AV1071</f>
        <v>0.82099999999999995</v>
      </c>
      <c r="AG1071" s="72">
        <f>((AW1071-AV1071)+(AX1071-AW1071))/2</f>
        <v>-4.1499999999999981E-2</v>
      </c>
      <c r="AH1071" s="4"/>
      <c r="AI1071" s="72">
        <f>RSQ(AV1071:AX1071,AV1070:AX1070)</f>
        <v>0.96658144974675331</v>
      </c>
      <c r="AJ1071" s="110">
        <f>SLOPE(AV1071:AX1071,AV1070:AX1070)</f>
        <v>-7.4725274725274691E-3</v>
      </c>
      <c r="AK1071" s="72">
        <f>INTERCEPT(AV1071:AX1071,AV1070:AX1070)</f>
        <v>0.82365934065934054</v>
      </c>
      <c r="AL1071" s="72">
        <f>INDEX(LINEST(LN(AV1071:AX1071),LN(AV1070:AX1070),TRUE,TRUE),3,1)</f>
        <v>0.98242045805717959</v>
      </c>
      <c r="AM1071" s="72">
        <f>INDEX(LINEST(LN(AV1071:AX1071),LN(AV1070:AX1070)),1)</f>
        <v>-4.14745068316828E-2</v>
      </c>
      <c r="AN1071" s="72">
        <f>EXP(INDEX(LINEST(LN(AV1071:AX1071),LN(AV1070:AX1070)),1,2))</f>
        <v>0.82282484721665994</v>
      </c>
      <c r="AO1071" s="89">
        <f>INDEX(LINEST((AV1071:AX1071),LN(AV1070:AX1070),TRUE,TRUE),3,1)</f>
        <v>0.98601979655521321</v>
      </c>
      <c r="AP1071" s="89">
        <f>INDEX(LINEST((AV1071:AX1071),LN(AV1070:AX1070)),1)</f>
        <v>-3.2416393710040389E-2</v>
      </c>
      <c r="AQ1071" s="90">
        <f>INDEX(LINEST(LN(AV1071:AX1071),SQRT(AV1070:AX1070),TRUE,TRUE),3,1)</f>
        <v>0.99976300492415271</v>
      </c>
      <c r="AR1071" s="117">
        <f>INDEX(LINEST(LN(AV1071:AX1071),SQRT((AV1070:AX1070))),1)</f>
        <v>-4.3320758008030501E-2</v>
      </c>
      <c r="AS1071" s="91">
        <f>INDEX(LINEST(1/(AV1071:AX1071),1/(SQRT(AV1070:AX1070)),TRUE,TRUE),3,1)</f>
        <v>0.93207901787471581</v>
      </c>
      <c r="AT1071" s="91">
        <f>INDEX(LINEST(1/(AV1071:AX1071),1/SQRT(AV1070:AX1070)),1)</f>
        <v>-0.17452425406399533</v>
      </c>
      <c r="AU1071" s="3"/>
      <c r="AV1071" s="73">
        <v>0.82099999999999995</v>
      </c>
      <c r="AW1071" s="73">
        <v>0.77</v>
      </c>
      <c r="AX1071" s="73">
        <v>0.73799999999999999</v>
      </c>
      <c r="AY1071" s="42"/>
      <c r="AZ1071" s="46"/>
      <c r="BA1071" s="42"/>
      <c r="BB1071" s="42"/>
      <c r="BC1071" s="2"/>
      <c r="BD1071" s="2"/>
      <c r="BE1071" s="2"/>
      <c r="BF1071" s="2"/>
      <c r="BG1071" s="2"/>
      <c r="BH1071" s="2"/>
      <c r="BI1071" s="2"/>
      <c r="BJ1071" s="2"/>
      <c r="BK1071" s="2"/>
      <c r="BL1071" s="2"/>
      <c r="BM1071" s="2"/>
      <c r="BN1071" s="2"/>
      <c r="BO1071" s="2"/>
      <c r="BP1071" s="2"/>
      <c r="BQ1071" s="2"/>
      <c r="BR1071" s="2"/>
      <c r="BS1071" s="2"/>
      <c r="BT1071" s="2"/>
      <c r="BU1071" s="2"/>
      <c r="BV1071" s="2"/>
      <c r="BW1071" s="2"/>
      <c r="BX1071" s="2"/>
      <c r="BY1071" s="2"/>
      <c r="BZ1071" s="2"/>
      <c r="CA1071" s="2"/>
      <c r="CB1071" s="2"/>
      <c r="CC1071" s="2"/>
      <c r="CD1071" s="2"/>
      <c r="CE1071" s="2"/>
      <c r="CF1071" s="2"/>
      <c r="CG1071" s="2"/>
      <c r="CH1071" s="2"/>
      <c r="CI1071" s="2"/>
      <c r="CJ1071" s="2"/>
      <c r="CK1071" s="2"/>
      <c r="CL1071" s="2"/>
      <c r="CM1071" s="2"/>
      <c r="CN1071" s="2"/>
      <c r="CO1071" s="2"/>
      <c r="CP1071" s="2"/>
      <c r="CQ1071" s="2"/>
      <c r="CR1071" s="1"/>
      <c r="CS1071" s="1"/>
      <c r="CT1071" s="1"/>
      <c r="CU1071" s="1"/>
    </row>
    <row r="1072" spans="1:99" s="13" customFormat="1" ht="12" customHeight="1" x14ac:dyDescent="0.2">
      <c r="A1072" s="68">
        <v>43509</v>
      </c>
      <c r="B1072" s="70"/>
      <c r="C1072" s="70"/>
      <c r="D1072" s="69"/>
      <c r="E1072" s="87"/>
      <c r="F1072" s="69"/>
      <c r="G1072" s="69"/>
      <c r="H1072" s="69"/>
      <c r="I1072" s="69"/>
      <c r="J1072" s="69"/>
      <c r="K1072" s="107"/>
      <c r="L1072" s="107"/>
      <c r="M1072" s="69"/>
      <c r="N1072" s="69"/>
      <c r="O1072" s="69"/>
      <c r="P1072" s="69"/>
      <c r="Q1072" s="69"/>
      <c r="R1072" s="69"/>
      <c r="S1072" s="69"/>
      <c r="T1072" s="69"/>
      <c r="U1072" s="69"/>
      <c r="V1072" s="69"/>
      <c r="W1072" s="69"/>
      <c r="X1072" s="69"/>
      <c r="Y1072" s="87"/>
      <c r="Z1072" s="69"/>
      <c r="AA1072" s="69"/>
      <c r="AB1072" s="69"/>
      <c r="AC1072" s="69"/>
      <c r="AD1072" s="69"/>
      <c r="AE1072" s="69"/>
      <c r="AF1072" s="88"/>
      <c r="AG1072" s="72"/>
      <c r="AH1072" s="4"/>
      <c r="AI1072" s="72"/>
      <c r="AJ1072" s="110"/>
      <c r="AK1072" s="72"/>
      <c r="AL1072" s="72"/>
      <c r="AM1072" s="72"/>
      <c r="AN1072" s="72"/>
      <c r="AO1072" s="89"/>
      <c r="AP1072" s="89"/>
      <c r="AQ1072" s="89"/>
      <c r="AR1072" s="118"/>
      <c r="AS1072" s="89"/>
      <c r="AT1072" s="89"/>
      <c r="AU1072" s="3"/>
      <c r="AV1072" s="71">
        <v>1</v>
      </c>
      <c r="AW1072" s="71">
        <v>6</v>
      </c>
      <c r="AX1072" s="71">
        <v>12</v>
      </c>
      <c r="AY1072" s="42"/>
      <c r="AZ1072" s="46"/>
      <c r="BA1072" s="42"/>
      <c r="BB1072" s="42"/>
      <c r="BC1072" s="2"/>
      <c r="BD1072" s="2"/>
      <c r="BE1072" s="2"/>
      <c r="BF1072" s="2"/>
      <c r="BG1072" s="2"/>
      <c r="BH1072" s="2"/>
      <c r="BI1072" s="2"/>
      <c r="BJ1072" s="2"/>
      <c r="BK1072" s="2"/>
      <c r="BL1072" s="2"/>
      <c r="BM1072" s="2"/>
      <c r="BN1072" s="2"/>
      <c r="BO1072" s="2"/>
      <c r="BP1072" s="2"/>
      <c r="BQ1072" s="2"/>
      <c r="BR1072" s="2"/>
      <c r="BS1072" s="2"/>
      <c r="BT1072" s="2"/>
      <c r="BU1072" s="2"/>
      <c r="BV1072" s="2"/>
      <c r="BW1072" s="2"/>
      <c r="BX1072" s="2"/>
      <c r="BY1072" s="2"/>
      <c r="BZ1072" s="2"/>
      <c r="CA1072" s="2"/>
      <c r="CB1072" s="2"/>
      <c r="CC1072" s="2"/>
      <c r="CD1072" s="2"/>
      <c r="CE1072" s="2"/>
      <c r="CF1072" s="2"/>
      <c r="CG1072" s="2"/>
      <c r="CH1072" s="2"/>
      <c r="CI1072" s="2"/>
      <c r="CJ1072" s="2"/>
      <c r="CK1072" s="2"/>
      <c r="CL1072" s="2"/>
      <c r="CM1072" s="2"/>
      <c r="CN1072" s="2"/>
      <c r="CO1072" s="2"/>
      <c r="CP1072" s="2"/>
      <c r="CQ1072" s="2"/>
      <c r="CR1072" s="1"/>
      <c r="CS1072" s="1"/>
      <c r="CT1072" s="1"/>
      <c r="CU1072" s="1"/>
    </row>
    <row r="1073" spans="1:99" s="13" customFormat="1" ht="12" customHeight="1" x14ac:dyDescent="0.2">
      <c r="A1073" s="68">
        <v>43509</v>
      </c>
      <c r="B1073" s="70" t="s">
        <v>252</v>
      </c>
      <c r="C1073" s="70" t="s">
        <v>45</v>
      </c>
      <c r="D1073" s="69">
        <v>2014</v>
      </c>
      <c r="E1073" s="87">
        <v>1</v>
      </c>
      <c r="F1073" s="69">
        <v>68</v>
      </c>
      <c r="G1073" s="69">
        <v>68</v>
      </c>
      <c r="H1073" s="69" t="s">
        <v>41</v>
      </c>
      <c r="I1073" s="69" t="s">
        <v>772</v>
      </c>
      <c r="J1073" s="69" t="s">
        <v>764</v>
      </c>
      <c r="K1073" s="69">
        <f>IF(J1073="syllables",1,IF(J1073="trigrams",2,IF(J1073="strings",3,IF(J1073="visual array",4,IF(J1073="characters",5,IF(J1073="letters",6,IF(J1073="free forms",7,IF(J1073="odors",8,IF(J1073="words",9,IF(J1073="pictures",10,IF(J1073="object pictures",11,IF(J1073="faces",12,IF(J1073="names",13,IF(J1073="idioms",14,IF(J1073="grades",15,IF(J1073="syllable-digit pairs",16,IF(J1073="trigram-word pairs",17,IF(J1073="word-digit pairs",18,IF(J1073="English-Swahili pairs",19,IF(J1073="spatial position",20,IF(J1073="word pairs",21,IF(J1073="word triads",22,IF(J1073="generated words",23,IF(J1073="word definition pairs",24,IF(J1073="math problems",25,IF(J1073="famous faces",26,IF(J1073="famous names",27,IF(J1073="famous voices",28,IF(J1073="television programs",29,IF(J1073="race horses",30,IF(J1073="new vocabulary",31,IF(J1073="sentences",32,IF(J1073="concepts",33,IF(J1073="ad slides",34,IF(J1073="scenes",35,IF(J1073="famous scenes",36,IF(J1073="poems",37,IF(J1073="walk",38,IF(J1073="faces and events",39,IF(J1073="events and names",40,IF(J1073="flashbulb",41,IF(J1073="stories",42,IF(J1073="course material",43,IF(J1073="autobiographical",44,IF(J1073="novels",45,IF(J1073="public events",46,"99"))))))))))))))))))))))))))))))))))))))))))))))</f>
        <v>4</v>
      </c>
      <c r="L1073" s="69">
        <f>IF(J1073="syllables",1,IF(J1073="trigrams",1,IF(J1073="strings",1,IF(J1073="visual array",1,IF(J1073="characters",1,IF(J1073="letters",1,IF(J1073="free forms",1,IF(J1073="odors",2,IF(J1073="words",2,IF(J1073="pictures",2,IF(J1073="object pictures",2,IF(J1073="faces",2,IF(J1073="names",2,IF(J1073="idioms","2",IF(J1073="grades",2,IF(J1073="syllable-digit pairs",3,IF(J1073="trigram-word pairs",3,IF(J1073="word-digit pairs",3,IF(J1073="English-Swahili pairs",3,IF(J1073="spatial position",3,IF(J1073="word pairs",4,IF(J1073="word triads",4,IF(J1073="generated words",4,IF(J1073="word definition pairs",4,IF(J1073="math problems",4,IF(J1073="famous faces",4,IF(J1073="famous names",4,IF(J1073="famous voices",4,IF(J1073="television programs",4,IF(J1073="race horses",4,IF(J1073="new vocabulary",4,IF(J1073="sentences",5,IF(J1073="concepts",5,IF(J1073="ad slides",5,IF(J1073="scenes",5,IF(J1073="famous scenes",5,IF(J1073="poems",6,IF(J1073="walk",6,IF(J1073="faces and events",6,IF(J1073="events and names",6,IF(J1073="flashbulb",7,IF(J1073="stories",7,IF(J1073="course material",7,IF(J1073="autobiographical",7,IF(J1073="novels",7,IF(J1073="public events",7,"99"))))))))))))))))))))))))))))))))))))))))))))))</f>
        <v>1</v>
      </c>
      <c r="M1073" s="69">
        <v>0</v>
      </c>
      <c r="N1073" s="69">
        <v>1</v>
      </c>
      <c r="O1073" s="69">
        <v>0</v>
      </c>
      <c r="P1073" s="69"/>
      <c r="Q1073" s="69" t="s">
        <v>34</v>
      </c>
      <c r="R1073" s="69">
        <f>IF(Q1073="Free Recall",1,IF(Q1073="Cued Recall",2,IF(Q1073="Recognition",3,IF(Q1073="Multiple Choice",4,IF(Q1073="Savings",5,IF(Q1073="Stem Completion",6,IF(Q1073="Fragment Completion",7,IF(Q1073="anagram solution",8,IF(Q1073="Matching",9,IF(Q1073="Problem Solving",10,"99"))))))))))</f>
        <v>3</v>
      </c>
      <c r="S1073" s="69" t="s">
        <v>40</v>
      </c>
      <c r="T1073" s="92" t="s">
        <v>581</v>
      </c>
      <c r="U1073" s="69">
        <f>IF(T1073="within",1,0)</f>
        <v>1</v>
      </c>
      <c r="V1073" s="92">
        <v>48</v>
      </c>
      <c r="W1073" s="69">
        <f>F1073*V1073</f>
        <v>3264</v>
      </c>
      <c r="X1073" s="69">
        <v>3</v>
      </c>
      <c r="Y1073" s="87">
        <f>AV1072</f>
        <v>1</v>
      </c>
      <c r="Z1073" s="69" t="s">
        <v>42</v>
      </c>
      <c r="AA1073" s="69">
        <v>12</v>
      </c>
      <c r="AB1073" s="69" t="str">
        <f>IF(AA1073&lt;60,"1",IF(AA1073&lt;=43200,"2",IF(AA1073&lt;=777600,"3","4")))</f>
        <v>1</v>
      </c>
      <c r="AC1073" s="72">
        <f>AVERAGE(AV1072:DA1072)</f>
        <v>6.333333333333333</v>
      </c>
      <c r="AD1073" s="69" t="str">
        <f>IF(AC1073&lt;60,"1",IF(AC1073&lt;=43200,"2",IF(AC1073&lt;=777600,"3","4")))</f>
        <v>1</v>
      </c>
      <c r="AE1073" s="87">
        <f>AA1073-Y1073</f>
        <v>11</v>
      </c>
      <c r="AF1073" s="88">
        <f>AV1073</f>
        <v>0.78100000000000003</v>
      </c>
      <c r="AG1073" s="72">
        <f>((AW1073-AV1073)+(AX1073-AW1073))/2</f>
        <v>-4.3000000000000038E-2</v>
      </c>
      <c r="AH1073" s="4"/>
      <c r="AI1073" s="72">
        <f>RSQ(AV1073:AX1073,AV1072:AX1072)</f>
        <v>0.99372699899631978</v>
      </c>
      <c r="AJ1073" s="110">
        <f>SLOPE(AV1073:AX1073,AV1072:AX1072)</f>
        <v>-7.7857142857142916E-3</v>
      </c>
      <c r="AK1073" s="72">
        <f>INTERCEPT(AV1073:AX1073,AV1072:AX1072)</f>
        <v>0.78664285714285709</v>
      </c>
      <c r="AL1073" s="72">
        <f>INDEX(LINEST(LN(AV1073:AX1073),LN(AV1072:AX1072),TRUE,TRUE),3,1)</f>
        <v>0.9435490255000798</v>
      </c>
      <c r="AM1073" s="72">
        <f>INDEX(LINEST(LN(AV1073:AX1073),LN(AV1072:AX1072)),1)</f>
        <v>-4.4189783838361953E-2</v>
      </c>
      <c r="AN1073" s="72">
        <f>EXP(INDEX(LINEST(LN(AV1073:AX1073),LN(AV1072:AX1072)),1,2))</f>
        <v>0.78438556260110792</v>
      </c>
      <c r="AO1073" s="89">
        <f>INDEX(LINEST((AV1073:AX1073),LN(AV1072:AX1072),TRUE,TRUE),3,1)</f>
        <v>0.95105921829718021</v>
      </c>
      <c r="AP1073" s="89">
        <f>INDEX(LINEST((AV1073:AX1073),LN(AV1072:AX1072)),1)</f>
        <v>-3.2714650579034617E-2</v>
      </c>
      <c r="AQ1073" s="90">
        <f>INDEX(LINEST(LN(AV1073:AX1073),SQRT(AV1072:AX1072),TRUE,TRUE),3,1)</f>
        <v>0.99164861066883447</v>
      </c>
      <c r="AR1073" s="117">
        <f>INDEX(LINEST(LN(AV1073:AX1073),SQRT((AV1072:AX1072))),1)</f>
        <v>-4.6906554165917803E-2</v>
      </c>
      <c r="AS1073" s="91">
        <f>INDEX(LINEST(1/(AV1073:AX1073),1/(SQRT(AV1072:AX1072)),TRUE,TRUE),3,1)</f>
        <v>0.86735076395613619</v>
      </c>
      <c r="AT1073" s="91">
        <f>INDEX(LINEST(1/(AV1073:AX1073),1/SQRT(AV1072:AX1072)),1)</f>
        <v>-0.1937062093565815</v>
      </c>
      <c r="AU1073" s="3"/>
      <c r="AV1073" s="73">
        <v>0.78100000000000003</v>
      </c>
      <c r="AW1073" s="73">
        <v>0.73599999999999999</v>
      </c>
      <c r="AX1073" s="73">
        <v>0.69499999999999995</v>
      </c>
      <c r="AY1073" s="42"/>
      <c r="AZ1073" s="46"/>
      <c r="BA1073" s="42"/>
      <c r="BB1073" s="42"/>
      <c r="BC1073" s="2"/>
      <c r="BD1073" s="2"/>
      <c r="BE1073" s="2"/>
      <c r="BF1073" s="2"/>
      <c r="BG1073" s="2"/>
      <c r="BH1073" s="2"/>
      <c r="BI1073" s="2"/>
      <c r="BJ1073" s="2"/>
      <c r="BK1073" s="2"/>
      <c r="BL1073" s="2"/>
      <c r="BM1073" s="2"/>
      <c r="BN1073" s="2"/>
      <c r="BO1073" s="2"/>
      <c r="BP1073" s="2"/>
      <c r="BQ1073" s="2"/>
      <c r="BR1073" s="2"/>
      <c r="BS1073" s="2"/>
      <c r="BT1073" s="2"/>
      <c r="BU1073" s="2"/>
      <c r="BV1073" s="2"/>
      <c r="BW1073" s="2"/>
      <c r="BX1073" s="2"/>
      <c r="BY1073" s="2"/>
      <c r="BZ1073" s="2"/>
      <c r="CA1073" s="2"/>
      <c r="CB1073" s="2"/>
      <c r="CC1073" s="2"/>
      <c r="CD1073" s="2"/>
      <c r="CE1073" s="2"/>
      <c r="CF1073" s="2"/>
      <c r="CG1073" s="2"/>
      <c r="CH1073" s="2"/>
      <c r="CI1073" s="2"/>
      <c r="CJ1073" s="2"/>
      <c r="CK1073" s="2"/>
      <c r="CL1073" s="2"/>
      <c r="CM1073" s="2"/>
      <c r="CN1073" s="2"/>
      <c r="CO1073" s="2"/>
      <c r="CP1073" s="2"/>
      <c r="CQ1073" s="2"/>
      <c r="CR1073" s="1"/>
      <c r="CS1073" s="1"/>
      <c r="CT1073" s="1"/>
      <c r="CU1073" s="1"/>
    </row>
    <row r="1074" spans="1:99" s="13" customFormat="1" ht="12" customHeight="1" x14ac:dyDescent="0.2">
      <c r="A1074" s="68">
        <v>43509</v>
      </c>
      <c r="B1074" s="70"/>
      <c r="C1074" s="70"/>
      <c r="D1074" s="69"/>
      <c r="E1074" s="87"/>
      <c r="F1074" s="69"/>
      <c r="G1074" s="69"/>
      <c r="H1074" s="69"/>
      <c r="I1074" s="69"/>
      <c r="J1074" s="69"/>
      <c r="K1074" s="107"/>
      <c r="L1074" s="107"/>
      <c r="M1074" s="69"/>
      <c r="N1074" s="69"/>
      <c r="O1074" s="69"/>
      <c r="P1074" s="69"/>
      <c r="Q1074" s="69"/>
      <c r="R1074" s="69"/>
      <c r="S1074" s="69"/>
      <c r="T1074" s="69"/>
      <c r="U1074" s="69"/>
      <c r="V1074" s="69"/>
      <c r="W1074" s="69"/>
      <c r="X1074" s="69"/>
      <c r="Y1074" s="87"/>
      <c r="Z1074" s="69"/>
      <c r="AA1074" s="69"/>
      <c r="AB1074" s="69"/>
      <c r="AC1074" s="69"/>
      <c r="AD1074" s="69"/>
      <c r="AE1074" s="69"/>
      <c r="AF1074" s="88"/>
      <c r="AG1074" s="72"/>
      <c r="AH1074" s="4"/>
      <c r="AI1074" s="72"/>
      <c r="AJ1074" s="110"/>
      <c r="AK1074" s="72"/>
      <c r="AL1074" s="72"/>
      <c r="AM1074" s="72"/>
      <c r="AN1074" s="72"/>
      <c r="AO1074" s="89"/>
      <c r="AP1074" s="89"/>
      <c r="AQ1074" s="89"/>
      <c r="AR1074" s="118"/>
      <c r="AS1074" s="89"/>
      <c r="AT1074" s="89"/>
      <c r="AU1074" s="3"/>
      <c r="AV1074" s="71">
        <v>1</v>
      </c>
      <c r="AW1074" s="71">
        <v>6</v>
      </c>
      <c r="AX1074" s="71">
        <v>12</v>
      </c>
      <c r="AY1074" s="42"/>
      <c r="AZ1074" s="46"/>
      <c r="BA1074" s="42"/>
      <c r="BB1074" s="42"/>
      <c r="BC1074" s="2"/>
      <c r="BD1074" s="2"/>
      <c r="BE1074" s="2"/>
      <c r="BF1074" s="2"/>
      <c r="BG1074" s="2"/>
      <c r="BH1074" s="2"/>
      <c r="BI1074" s="2"/>
      <c r="BJ1074" s="2"/>
      <c r="BK1074" s="2"/>
      <c r="BL1074" s="2"/>
      <c r="BM1074" s="2"/>
      <c r="BN1074" s="2"/>
      <c r="BO1074" s="2"/>
      <c r="BP1074" s="2"/>
      <c r="BQ1074" s="2"/>
      <c r="BR1074" s="2"/>
      <c r="BS1074" s="2"/>
      <c r="BT1074" s="2"/>
      <c r="BU1074" s="2"/>
      <c r="BV1074" s="2"/>
      <c r="BW1074" s="2"/>
      <c r="BX1074" s="2"/>
      <c r="BY1074" s="2"/>
      <c r="BZ1074" s="2"/>
      <c r="CA1074" s="2"/>
      <c r="CB1074" s="2"/>
      <c r="CC1074" s="2"/>
      <c r="CD1074" s="2"/>
      <c r="CE1074" s="2"/>
      <c r="CF1074" s="2"/>
      <c r="CG1074" s="2"/>
      <c r="CH1074" s="2"/>
      <c r="CI1074" s="2"/>
      <c r="CJ1074" s="2"/>
      <c r="CK1074" s="2"/>
      <c r="CL1074" s="2"/>
      <c r="CM1074" s="2"/>
      <c r="CN1074" s="2"/>
      <c r="CO1074" s="2"/>
      <c r="CP1074" s="2"/>
      <c r="CQ1074" s="2"/>
      <c r="CR1074" s="1"/>
      <c r="CS1074" s="1"/>
      <c r="CT1074" s="1"/>
      <c r="CU1074" s="1"/>
    </row>
    <row r="1075" spans="1:99" s="13" customFormat="1" ht="12" customHeight="1" x14ac:dyDescent="0.2">
      <c r="A1075" s="68">
        <v>43509</v>
      </c>
      <c r="B1075" s="70" t="s">
        <v>252</v>
      </c>
      <c r="C1075" s="70" t="s">
        <v>45</v>
      </c>
      <c r="D1075" s="69">
        <v>2014</v>
      </c>
      <c r="E1075" s="87">
        <v>2</v>
      </c>
      <c r="F1075" s="69">
        <v>52</v>
      </c>
      <c r="G1075" s="69">
        <v>52</v>
      </c>
      <c r="H1075" s="69" t="s">
        <v>32</v>
      </c>
      <c r="I1075" s="69" t="s">
        <v>770</v>
      </c>
      <c r="J1075" s="69" t="s">
        <v>764</v>
      </c>
      <c r="K1075" s="69">
        <f>IF(J1075="syllables",1,IF(J1075="trigrams",2,IF(J1075="strings",3,IF(J1075="visual array",4,IF(J1075="characters",5,IF(J1075="letters",6,IF(J1075="free forms",7,IF(J1075="odors",8,IF(J1075="words",9,IF(J1075="pictures",10,IF(J1075="object pictures",11,IF(J1075="faces",12,IF(J1075="names",13,IF(J1075="idioms",14,IF(J1075="grades",15,IF(J1075="syllable-digit pairs",16,IF(J1075="trigram-word pairs",17,IF(J1075="word-digit pairs",18,IF(J1075="English-Swahili pairs",19,IF(J1075="spatial position",20,IF(J1075="word pairs",21,IF(J1075="word triads",22,IF(J1075="generated words",23,IF(J1075="word definition pairs",24,IF(J1075="math problems",25,IF(J1075="famous faces",26,IF(J1075="famous names",27,IF(J1075="famous voices",28,IF(J1075="television programs",29,IF(J1075="race horses",30,IF(J1075="new vocabulary",31,IF(J1075="sentences",32,IF(J1075="concepts",33,IF(J1075="ad slides",34,IF(J1075="scenes",35,IF(J1075="famous scenes",36,IF(J1075="poems",37,IF(J1075="walk",38,IF(J1075="faces and events",39,IF(J1075="events and names",40,IF(J1075="flashbulb",41,IF(J1075="stories",42,IF(J1075="course material",43,IF(J1075="autobiographical",44,IF(J1075="novels",45,IF(J1075="public events",46,"99"))))))))))))))))))))))))))))))))))))))))))))))</f>
        <v>4</v>
      </c>
      <c r="L1075" s="69">
        <f>IF(J1075="syllables",1,IF(J1075="trigrams",1,IF(J1075="strings",1,IF(J1075="visual array",1,IF(J1075="characters",1,IF(J1075="letters",1,IF(J1075="free forms",1,IF(J1075="odors",2,IF(J1075="words",2,IF(J1075="pictures",2,IF(J1075="object pictures",2,IF(J1075="faces",2,IF(J1075="names",2,IF(J1075="idioms","2",IF(J1075="grades",2,IF(J1075="syllable-digit pairs",3,IF(J1075="trigram-word pairs",3,IF(J1075="word-digit pairs",3,IF(J1075="English-Swahili pairs",3,IF(J1075="spatial position",3,IF(J1075="word pairs",4,IF(J1075="word triads",4,IF(J1075="generated words",4,IF(J1075="word definition pairs",4,IF(J1075="math problems",4,IF(J1075="famous faces",4,IF(J1075="famous names",4,IF(J1075="famous voices",4,IF(J1075="television programs",4,IF(J1075="race horses",4,IF(J1075="new vocabulary",4,IF(J1075="sentences",5,IF(J1075="concepts",5,IF(J1075="ad slides",5,IF(J1075="scenes",5,IF(J1075="famous scenes",5,IF(J1075="poems",6,IF(J1075="walk",6,IF(J1075="faces and events",6,IF(J1075="events and names",6,IF(J1075="flashbulb",7,IF(J1075="stories",7,IF(J1075="course material",7,IF(J1075="autobiographical",7,IF(J1075="novels",7,IF(J1075="public events",7,"99"))))))))))))))))))))))))))))))))))))))))))))))</f>
        <v>1</v>
      </c>
      <c r="M1075" s="69">
        <v>0</v>
      </c>
      <c r="N1075" s="69">
        <v>1</v>
      </c>
      <c r="O1075" s="69">
        <v>0</v>
      </c>
      <c r="P1075" s="69"/>
      <c r="Q1075" s="69" t="s">
        <v>34</v>
      </c>
      <c r="R1075" s="69">
        <f>IF(Q1075="Free Recall",1,IF(Q1075="Cued Recall",2,IF(Q1075="Recognition",3,IF(Q1075="Multiple Choice",4,IF(Q1075="Savings",5,IF(Q1075="Stem Completion",6,IF(Q1075="Fragment Completion",7,IF(Q1075="anagram solution",8,IF(Q1075="Matching",9,IF(Q1075="Problem Solving",10,"99"))))))))))</f>
        <v>3</v>
      </c>
      <c r="S1075" s="69" t="s">
        <v>40</v>
      </c>
      <c r="T1075" s="92" t="s">
        <v>581</v>
      </c>
      <c r="U1075" s="69">
        <f>IF(T1075="within",1,0)</f>
        <v>1</v>
      </c>
      <c r="V1075" s="92">
        <v>48</v>
      </c>
      <c r="W1075" s="69">
        <f>F1075*V1075</f>
        <v>2496</v>
      </c>
      <c r="X1075" s="69">
        <v>3</v>
      </c>
      <c r="Y1075" s="87">
        <f>AV1074</f>
        <v>1</v>
      </c>
      <c r="Z1075" s="69" t="s">
        <v>42</v>
      </c>
      <c r="AA1075" s="69">
        <v>12</v>
      </c>
      <c r="AB1075" s="69" t="str">
        <f>IF(AA1075&lt;60,"1",IF(AA1075&lt;=43200,"2",IF(AA1075&lt;=777600,"3","4")))</f>
        <v>1</v>
      </c>
      <c r="AC1075" s="72">
        <f>AVERAGE(AV1074:DA1074)</f>
        <v>6.333333333333333</v>
      </c>
      <c r="AD1075" s="69" t="str">
        <f>IF(AC1075&lt;60,"1",IF(AC1075&lt;=43200,"2",IF(AC1075&lt;=777600,"3","4")))</f>
        <v>1</v>
      </c>
      <c r="AE1075" s="87">
        <f>AA1075-Y1075</f>
        <v>11</v>
      </c>
      <c r="AF1075" s="88">
        <f>AV1075</f>
        <v>0.83799999999999997</v>
      </c>
      <c r="AG1075" s="72">
        <f>((AW1075-AV1075)+(AX1075-AW1075))/2</f>
        <v>-4.049999999999998E-2</v>
      </c>
      <c r="AH1075" s="4"/>
      <c r="AI1075" s="72">
        <f>RSQ(AV1075:AX1075,AV1074:AX1074)</f>
        <v>0.7228771540812774</v>
      </c>
      <c r="AJ1075" s="110">
        <f>SLOPE(AV1075:AX1075,AV1074:AX1074)</f>
        <v>-7.1318681318681271E-3</v>
      </c>
      <c r="AK1075" s="72">
        <f>INTERCEPT(AV1075:AX1075,AV1074:AX1074)</f>
        <v>0.82983516483516484</v>
      </c>
      <c r="AL1075" s="72">
        <f>INDEX(LINEST(LN(AV1075:AX1075),LN(AV1074:AX1074),TRUE,TRUE),3,1)</f>
        <v>0.93835392412678054</v>
      </c>
      <c r="AM1075" s="72">
        <f>INDEX(LINEST(LN(AV1075:AX1075),LN(AV1074:AX1074)),1)</f>
        <v>-4.3772747934243385E-2</v>
      </c>
      <c r="AN1075" s="72">
        <f>EXP(INDEX(LINEST(LN(AV1075:AX1075),LN(AV1074:AX1074)),1,2))</f>
        <v>0.83424588616970208</v>
      </c>
      <c r="AO1075" s="89">
        <f>INDEX(LINEST((AV1075:AX1075),LN(AV1074:AX1074),TRUE,TRUE),3,1)</f>
        <v>0.93781278780783262</v>
      </c>
      <c r="AP1075" s="89">
        <f>INDEX(LINEST((AV1075:AX1075),LN(AV1074:AX1074)),1)</f>
        <v>-3.4890140534837646E-2</v>
      </c>
      <c r="AQ1075" s="90">
        <f>INDEX(LINEST(LN(AV1075:AX1075),SQRT(AV1074:AX1074),TRUE,TRUE),3,1)</f>
        <v>0.84886560021008073</v>
      </c>
      <c r="AR1075" s="117">
        <f>INDEX(LINEST(LN(AV1075:AX1075),SQRT((AV1074:AX1074))),1)</f>
        <v>-4.310770731960524E-2</v>
      </c>
      <c r="AS1075" s="91">
        <f>INDEX(LINEST(1/(AV1075:AX1075),1/(SQRT(AV1074:AX1074)),TRUE,TRUE),3,1)</f>
        <v>0.982233819509988</v>
      </c>
      <c r="AT1075" s="91">
        <f>INDEX(LINEST(1/(AV1075:AX1075),1/SQRT(AV1074:AX1074)),1)</f>
        <v>-0.1892602243524269</v>
      </c>
      <c r="AU1075" s="3"/>
      <c r="AV1075" s="73">
        <v>0.83799999999999997</v>
      </c>
      <c r="AW1075" s="73">
        <v>0.75900000000000001</v>
      </c>
      <c r="AX1075" s="73">
        <v>0.75700000000000001</v>
      </c>
      <c r="AY1075" s="42"/>
      <c r="AZ1075" s="46"/>
      <c r="BA1075" s="42"/>
      <c r="BB1075" s="42"/>
      <c r="BC1075" s="2"/>
      <c r="BD1075" s="2"/>
      <c r="BE1075" s="2"/>
      <c r="BF1075" s="2"/>
      <c r="BG1075" s="2"/>
      <c r="BH1075" s="2"/>
      <c r="BI1075" s="2"/>
      <c r="BJ1075" s="2"/>
      <c r="BK1075" s="2"/>
      <c r="BL1075" s="2"/>
      <c r="BM1075" s="2"/>
      <c r="BN1075" s="2"/>
      <c r="BO1075" s="2"/>
      <c r="BP1075" s="2"/>
      <c r="BQ1075" s="2"/>
      <c r="BR1075" s="2"/>
      <c r="BS1075" s="2"/>
      <c r="BT1075" s="2"/>
      <c r="BU1075" s="2"/>
      <c r="BV1075" s="2"/>
      <c r="BW1075" s="2"/>
      <c r="BX1075" s="2"/>
      <c r="BY1075" s="2"/>
      <c r="BZ1075" s="2"/>
      <c r="CA1075" s="2"/>
      <c r="CB1075" s="2"/>
      <c r="CC1075" s="2"/>
      <c r="CD1075" s="2"/>
      <c r="CE1075" s="2"/>
      <c r="CF1075" s="2"/>
      <c r="CG1075" s="2"/>
      <c r="CH1075" s="2"/>
      <c r="CI1075" s="2"/>
      <c r="CJ1075" s="2"/>
      <c r="CK1075" s="2"/>
      <c r="CL1075" s="2"/>
      <c r="CM1075" s="2"/>
      <c r="CN1075" s="2"/>
      <c r="CO1075" s="2"/>
      <c r="CP1075" s="2"/>
      <c r="CQ1075" s="2"/>
      <c r="CR1075" s="1"/>
      <c r="CS1075" s="1"/>
      <c r="CT1075" s="1"/>
      <c r="CU1075" s="1"/>
    </row>
    <row r="1076" spans="1:99" s="13" customFormat="1" ht="12" customHeight="1" x14ac:dyDescent="0.2">
      <c r="A1076" s="68">
        <v>43509</v>
      </c>
      <c r="B1076" s="70"/>
      <c r="C1076" s="70"/>
      <c r="D1076" s="69"/>
      <c r="E1076" s="87"/>
      <c r="F1076" s="69"/>
      <c r="G1076" s="69"/>
      <c r="H1076" s="69"/>
      <c r="I1076" s="69"/>
      <c r="J1076" s="69"/>
      <c r="K1076" s="107"/>
      <c r="L1076" s="107"/>
      <c r="M1076" s="69"/>
      <c r="N1076" s="69"/>
      <c r="O1076" s="69"/>
      <c r="P1076" s="69"/>
      <c r="Q1076" s="69"/>
      <c r="R1076" s="69"/>
      <c r="S1076" s="69"/>
      <c r="T1076" s="69"/>
      <c r="U1076" s="69"/>
      <c r="V1076" s="69"/>
      <c r="W1076" s="69"/>
      <c r="X1076" s="69"/>
      <c r="Y1076" s="87"/>
      <c r="Z1076" s="69"/>
      <c r="AA1076" s="69"/>
      <c r="AB1076" s="69"/>
      <c r="AC1076" s="69"/>
      <c r="AD1076" s="69"/>
      <c r="AE1076" s="69"/>
      <c r="AF1076" s="88"/>
      <c r="AG1076" s="72"/>
      <c r="AH1076" s="4"/>
      <c r="AI1076" s="72"/>
      <c r="AJ1076" s="110"/>
      <c r="AK1076" s="72"/>
      <c r="AL1076" s="72"/>
      <c r="AM1076" s="72"/>
      <c r="AN1076" s="72"/>
      <c r="AO1076" s="89"/>
      <c r="AP1076" s="89"/>
      <c r="AQ1076" s="89"/>
      <c r="AR1076" s="118"/>
      <c r="AS1076" s="89"/>
      <c r="AT1076" s="89"/>
      <c r="AU1076" s="3"/>
      <c r="AV1076" s="71">
        <v>1</v>
      </c>
      <c r="AW1076" s="71">
        <v>6</v>
      </c>
      <c r="AX1076" s="71">
        <v>12</v>
      </c>
      <c r="AY1076" s="42"/>
      <c r="AZ1076" s="46"/>
      <c r="BA1076" s="42"/>
      <c r="BB1076" s="42"/>
      <c r="BC1076" s="2"/>
      <c r="BD1076" s="2"/>
      <c r="BE1076" s="2"/>
      <c r="BF1076" s="2"/>
      <c r="BG1076" s="2"/>
      <c r="BH1076" s="2"/>
      <c r="BI1076" s="2"/>
      <c r="BJ1076" s="2"/>
      <c r="BK1076" s="2"/>
      <c r="BL1076" s="2"/>
      <c r="BM1076" s="2"/>
      <c r="BN1076" s="2"/>
      <c r="BO1076" s="2"/>
      <c r="BP1076" s="2"/>
      <c r="BQ1076" s="2"/>
      <c r="BR1076" s="2"/>
      <c r="BS1076" s="2"/>
      <c r="BT1076" s="2"/>
      <c r="BU1076" s="2"/>
      <c r="BV1076" s="2"/>
      <c r="BW1076" s="2"/>
      <c r="BX1076" s="2"/>
      <c r="BY1076" s="2"/>
      <c r="BZ1076" s="2"/>
      <c r="CA1076" s="2"/>
      <c r="CB1076" s="2"/>
      <c r="CC1076" s="2"/>
      <c r="CD1076" s="2"/>
      <c r="CE1076" s="2"/>
      <c r="CF1076" s="2"/>
      <c r="CG1076" s="2"/>
      <c r="CH1076" s="2"/>
      <c r="CI1076" s="2"/>
      <c r="CJ1076" s="2"/>
      <c r="CK1076" s="2"/>
      <c r="CL1076" s="2"/>
      <c r="CM1076" s="2"/>
      <c r="CN1076" s="2"/>
      <c r="CO1076" s="2"/>
      <c r="CP1076" s="2"/>
      <c r="CQ1076" s="2"/>
      <c r="CR1076" s="1"/>
      <c r="CS1076" s="1"/>
      <c r="CT1076" s="1"/>
      <c r="CU1076" s="1"/>
    </row>
    <row r="1077" spans="1:99" s="13" customFormat="1" ht="12" customHeight="1" x14ac:dyDescent="0.2">
      <c r="A1077" s="68">
        <v>43509</v>
      </c>
      <c r="B1077" s="70" t="s">
        <v>252</v>
      </c>
      <c r="C1077" s="70" t="s">
        <v>45</v>
      </c>
      <c r="D1077" s="69">
        <v>2014</v>
      </c>
      <c r="E1077" s="87">
        <v>2</v>
      </c>
      <c r="F1077" s="69">
        <v>52</v>
      </c>
      <c r="G1077" s="69">
        <v>52</v>
      </c>
      <c r="H1077" s="69" t="s">
        <v>32</v>
      </c>
      <c r="I1077" s="69" t="s">
        <v>771</v>
      </c>
      <c r="J1077" s="69" t="s">
        <v>764</v>
      </c>
      <c r="K1077" s="69">
        <f>IF(J1077="syllables",1,IF(J1077="trigrams",2,IF(J1077="strings",3,IF(J1077="visual array",4,IF(J1077="characters",5,IF(J1077="letters",6,IF(J1077="free forms",7,IF(J1077="odors",8,IF(J1077="words",9,IF(J1077="pictures",10,IF(J1077="object pictures",11,IF(J1077="faces",12,IF(J1077="names",13,IF(J1077="idioms",14,IF(J1077="grades",15,IF(J1077="syllable-digit pairs",16,IF(J1077="trigram-word pairs",17,IF(J1077="word-digit pairs",18,IF(J1077="English-Swahili pairs",19,IF(J1077="spatial position",20,IF(J1077="word pairs",21,IF(J1077="word triads",22,IF(J1077="generated words",23,IF(J1077="word definition pairs",24,IF(J1077="math problems",25,IF(J1077="famous faces",26,IF(J1077="famous names",27,IF(J1077="famous voices",28,IF(J1077="television programs",29,IF(J1077="race horses",30,IF(J1077="new vocabulary",31,IF(J1077="sentences",32,IF(J1077="concepts",33,IF(J1077="ad slides",34,IF(J1077="scenes",35,IF(J1077="famous scenes",36,IF(J1077="poems",37,IF(J1077="walk",38,IF(J1077="faces and events",39,IF(J1077="events and names",40,IF(J1077="flashbulb",41,IF(J1077="stories",42,IF(J1077="course material",43,IF(J1077="autobiographical",44,IF(J1077="novels",45,IF(J1077="public events",46,"99"))))))))))))))))))))))))))))))))))))))))))))))</f>
        <v>4</v>
      </c>
      <c r="L1077" s="69">
        <f>IF(J1077="syllables",1,IF(J1077="trigrams",1,IF(J1077="strings",1,IF(J1077="visual array",1,IF(J1077="characters",1,IF(J1077="letters",1,IF(J1077="free forms",1,IF(J1077="odors",2,IF(J1077="words",2,IF(J1077="pictures",2,IF(J1077="object pictures",2,IF(J1077="faces",2,IF(J1077="names",2,IF(J1077="idioms","2",IF(J1077="grades",2,IF(J1077="syllable-digit pairs",3,IF(J1077="trigram-word pairs",3,IF(J1077="word-digit pairs",3,IF(J1077="English-Swahili pairs",3,IF(J1077="spatial position",3,IF(J1077="word pairs",4,IF(J1077="word triads",4,IF(J1077="generated words",4,IF(J1077="word definition pairs",4,IF(J1077="math problems",4,IF(J1077="famous faces",4,IF(J1077="famous names",4,IF(J1077="famous voices",4,IF(J1077="television programs",4,IF(J1077="race horses",4,IF(J1077="new vocabulary",4,IF(J1077="sentences",5,IF(J1077="concepts",5,IF(J1077="ad slides",5,IF(J1077="scenes",5,IF(J1077="famous scenes",5,IF(J1077="poems",6,IF(J1077="walk",6,IF(J1077="faces and events",6,IF(J1077="events and names",6,IF(J1077="flashbulb",7,IF(J1077="stories",7,IF(J1077="course material",7,IF(J1077="autobiographical",7,IF(J1077="novels",7,IF(J1077="public events",7,"99"))))))))))))))))))))))))))))))))))))))))))))))</f>
        <v>1</v>
      </c>
      <c r="M1077" s="69">
        <v>0</v>
      </c>
      <c r="N1077" s="69">
        <v>1</v>
      </c>
      <c r="O1077" s="69">
        <v>0</v>
      </c>
      <c r="P1077" s="69"/>
      <c r="Q1077" s="69" t="s">
        <v>34</v>
      </c>
      <c r="R1077" s="69">
        <f>IF(Q1077="Free Recall",1,IF(Q1077="Cued Recall",2,IF(Q1077="Recognition",3,IF(Q1077="Multiple Choice",4,IF(Q1077="Savings",5,IF(Q1077="Stem Completion",6,IF(Q1077="Fragment Completion",7,IF(Q1077="anagram solution",8,IF(Q1077="Matching",9,IF(Q1077="Problem Solving",10,"99"))))))))))</f>
        <v>3</v>
      </c>
      <c r="S1077" s="69" t="s">
        <v>40</v>
      </c>
      <c r="T1077" s="92" t="s">
        <v>581</v>
      </c>
      <c r="U1077" s="69">
        <f>IF(T1077="within",1,0)</f>
        <v>1</v>
      </c>
      <c r="V1077" s="92">
        <v>48</v>
      </c>
      <c r="W1077" s="69">
        <f>F1077*V1077</f>
        <v>2496</v>
      </c>
      <c r="X1077" s="69">
        <v>3</v>
      </c>
      <c r="Y1077" s="87">
        <f>AV1076</f>
        <v>1</v>
      </c>
      <c r="Z1077" s="69" t="s">
        <v>42</v>
      </c>
      <c r="AA1077" s="69">
        <v>12</v>
      </c>
      <c r="AB1077" s="69" t="str">
        <f>IF(AA1077&lt;60,"1",IF(AA1077&lt;=43200,"2",IF(AA1077&lt;=777600,"3","4")))</f>
        <v>1</v>
      </c>
      <c r="AC1077" s="72">
        <f>AVERAGE(AV1076:DA1076)</f>
        <v>6.333333333333333</v>
      </c>
      <c r="AD1077" s="69" t="str">
        <f>IF(AC1077&lt;60,"1",IF(AC1077&lt;=43200,"2",IF(AC1077&lt;=777600,"3","4")))</f>
        <v>1</v>
      </c>
      <c r="AE1077" s="87">
        <f>AA1077-Y1077</f>
        <v>11</v>
      </c>
      <c r="AF1077" s="88">
        <f>AV1077</f>
        <v>0.83699999999999997</v>
      </c>
      <c r="AG1077" s="72">
        <f>((AW1077-AV1077)+(AX1077-AW1077))/2</f>
        <v>-4.1999999999999982E-2</v>
      </c>
      <c r="AH1077" s="4"/>
      <c r="AI1077" s="72">
        <f>RSQ(AV1077:AX1077,AV1076:AX1076)</f>
        <v>0.98195723195723228</v>
      </c>
      <c r="AJ1077" s="110">
        <f>SLOPE(AV1077:AX1077,AV1076:AX1076)</f>
        <v>-7.5824175824175796E-3</v>
      </c>
      <c r="AK1077" s="72">
        <f>INTERCEPT(AV1077:AX1077,AV1076:AX1076)</f>
        <v>0.84102197802197809</v>
      </c>
      <c r="AL1077" s="72">
        <f>INDEX(LINEST(LN(AV1077:AX1077),LN(AV1076:AX1076),TRUE,TRUE),3,1)</f>
        <v>0.96703914741656549</v>
      </c>
      <c r="AM1077" s="72">
        <f>INDEX(LINEST(LN(AV1077:AX1077),LN(AV1076:AX1076)),1)</f>
        <v>-4.0645091178574962E-2</v>
      </c>
      <c r="AN1077" s="72">
        <f>EXP(INDEX(LINEST(LN(AV1077:AX1077),LN(AV1076:AX1076)),1,2))</f>
        <v>0.83951725859886417</v>
      </c>
      <c r="AO1077" s="89">
        <f>INDEX(LINEST((AV1077:AX1077),LN(AV1076:AX1076),TRUE,TRUE),3,1)</f>
        <v>0.97216378985081386</v>
      </c>
      <c r="AP1077" s="89">
        <f>INDEX(LINEST((AV1077:AX1077),LN(AV1076:AX1076)),1)</f>
        <v>-3.2404454968977606E-2</v>
      </c>
      <c r="AQ1077" s="90">
        <f>INDEX(LINEST(LN(AV1077:AX1077),SQRT(AV1076:AX1076),TRUE,TRUE),3,1)</f>
        <v>0.99883156892150149</v>
      </c>
      <c r="AR1077" s="117">
        <f>INDEX(LINEST(LN(AV1077:AX1077),SQRT((AV1076:AX1076))),1)</f>
        <v>-4.277078180754925E-2</v>
      </c>
      <c r="AS1077" s="91">
        <f>INDEX(LINEST(1/(AV1077:AX1077),1/(SQRT(AV1076:AX1076)),TRUE,TRUE),3,1)</f>
        <v>0.90480420293695696</v>
      </c>
      <c r="AT1077" s="91">
        <f>INDEX(LINEST(1/(AV1077:AX1077),1/SQRT(AV1076:AX1076)),1)</f>
        <v>-0.16664966274992038</v>
      </c>
      <c r="AU1077" s="3"/>
      <c r="AV1077" s="73">
        <v>0.83699999999999997</v>
      </c>
      <c r="AW1077" s="73">
        <v>0.78900000000000003</v>
      </c>
      <c r="AX1077" s="73">
        <v>0.753</v>
      </c>
      <c r="AY1077" s="42"/>
      <c r="AZ1077" s="46"/>
      <c r="BA1077" s="42"/>
      <c r="BB1077" s="42"/>
      <c r="BC1077" s="2"/>
      <c r="BD1077" s="2"/>
      <c r="BE1077" s="2"/>
      <c r="BF1077" s="2"/>
      <c r="BG1077" s="2"/>
      <c r="BH1077" s="2"/>
      <c r="BI1077" s="2"/>
      <c r="BJ1077" s="2"/>
      <c r="BK1077" s="2"/>
      <c r="BL1077" s="2"/>
      <c r="BM1077" s="2"/>
      <c r="BN1077" s="2"/>
      <c r="BO1077" s="2"/>
      <c r="BP1077" s="2"/>
      <c r="BQ1077" s="2"/>
      <c r="BR1077" s="2"/>
      <c r="BS1077" s="2"/>
      <c r="BT1077" s="2"/>
      <c r="BU1077" s="2"/>
      <c r="BV1077" s="2"/>
      <c r="BW1077" s="2"/>
      <c r="BX1077" s="2"/>
      <c r="BY1077" s="2"/>
      <c r="BZ1077" s="2"/>
      <c r="CA1077" s="2"/>
      <c r="CB1077" s="2"/>
      <c r="CC1077" s="2"/>
      <c r="CD1077" s="2"/>
      <c r="CE1077" s="2"/>
      <c r="CF1077" s="2"/>
      <c r="CG1077" s="2"/>
      <c r="CH1077" s="2"/>
      <c r="CI1077" s="2"/>
      <c r="CJ1077" s="2"/>
      <c r="CK1077" s="2"/>
      <c r="CL1077" s="2"/>
      <c r="CM1077" s="2"/>
      <c r="CN1077" s="2"/>
      <c r="CO1077" s="2"/>
      <c r="CP1077" s="2"/>
      <c r="CQ1077" s="2"/>
      <c r="CR1077" s="1"/>
      <c r="CS1077" s="1"/>
      <c r="CT1077" s="1"/>
      <c r="CU1077" s="1"/>
    </row>
    <row r="1078" spans="1:99" s="13" customFormat="1" ht="12" customHeight="1" x14ac:dyDescent="0.2">
      <c r="A1078" s="68">
        <v>43509</v>
      </c>
      <c r="B1078" s="70"/>
      <c r="C1078" s="70"/>
      <c r="D1078" s="69"/>
      <c r="E1078" s="87"/>
      <c r="F1078" s="69"/>
      <c r="G1078" s="69"/>
      <c r="H1078" s="69"/>
      <c r="I1078" s="69"/>
      <c r="J1078" s="69"/>
      <c r="K1078" s="107"/>
      <c r="L1078" s="107"/>
      <c r="M1078" s="69"/>
      <c r="N1078" s="69"/>
      <c r="O1078" s="69"/>
      <c r="P1078" s="69"/>
      <c r="Q1078" s="69"/>
      <c r="R1078" s="69"/>
      <c r="S1078" s="69"/>
      <c r="T1078" s="69"/>
      <c r="U1078" s="69"/>
      <c r="V1078" s="69"/>
      <c r="W1078" s="69"/>
      <c r="X1078" s="69"/>
      <c r="Y1078" s="87"/>
      <c r="Z1078" s="69"/>
      <c r="AA1078" s="69"/>
      <c r="AB1078" s="69"/>
      <c r="AC1078" s="69"/>
      <c r="AD1078" s="69"/>
      <c r="AE1078" s="69"/>
      <c r="AF1078" s="88"/>
      <c r="AG1078" s="72"/>
      <c r="AH1078" s="4"/>
      <c r="AI1078" s="72"/>
      <c r="AJ1078" s="110"/>
      <c r="AK1078" s="72"/>
      <c r="AL1078" s="72"/>
      <c r="AM1078" s="72"/>
      <c r="AN1078" s="72"/>
      <c r="AO1078" s="89"/>
      <c r="AP1078" s="89"/>
      <c r="AQ1078" s="89"/>
      <c r="AR1078" s="118"/>
      <c r="AS1078" s="89"/>
      <c r="AT1078" s="89"/>
      <c r="AU1078" s="3"/>
      <c r="AV1078" s="71">
        <v>1</v>
      </c>
      <c r="AW1078" s="71">
        <v>6</v>
      </c>
      <c r="AX1078" s="71">
        <v>12</v>
      </c>
      <c r="AY1078" s="42"/>
      <c r="AZ1078" s="46"/>
      <c r="BA1078" s="42"/>
      <c r="BB1078" s="42"/>
      <c r="BC1078" s="2"/>
      <c r="BD1078" s="2"/>
      <c r="BE1078" s="2"/>
      <c r="BF1078" s="2"/>
      <c r="BG1078" s="2"/>
      <c r="BH1078" s="2"/>
      <c r="BI1078" s="2"/>
      <c r="BJ1078" s="2"/>
      <c r="BK1078" s="2"/>
      <c r="BL1078" s="2"/>
      <c r="BM1078" s="2"/>
      <c r="BN1078" s="2"/>
      <c r="BO1078" s="2"/>
      <c r="BP1078" s="2"/>
      <c r="BQ1078" s="2"/>
      <c r="BR1078" s="2"/>
      <c r="BS1078" s="2"/>
      <c r="BT1078" s="2"/>
      <c r="BU1078" s="2"/>
      <c r="BV1078" s="2"/>
      <c r="BW1078" s="2"/>
      <c r="BX1078" s="2"/>
      <c r="BY1078" s="2"/>
      <c r="BZ1078" s="2"/>
      <c r="CA1078" s="2"/>
      <c r="CB1078" s="2"/>
      <c r="CC1078" s="2"/>
      <c r="CD1078" s="2"/>
      <c r="CE1078" s="2"/>
      <c r="CF1078" s="2"/>
      <c r="CG1078" s="2"/>
      <c r="CH1078" s="2"/>
      <c r="CI1078" s="2"/>
      <c r="CJ1078" s="2"/>
      <c r="CK1078" s="2"/>
      <c r="CL1078" s="2"/>
      <c r="CM1078" s="2"/>
      <c r="CN1078" s="2"/>
      <c r="CO1078" s="2"/>
      <c r="CP1078" s="2"/>
      <c r="CQ1078" s="2"/>
      <c r="CR1078" s="1"/>
      <c r="CS1078" s="1"/>
      <c r="CT1078" s="1"/>
      <c r="CU1078" s="1"/>
    </row>
    <row r="1079" spans="1:99" s="13" customFormat="1" ht="12" customHeight="1" x14ac:dyDescent="0.2">
      <c r="A1079" s="68">
        <v>43509</v>
      </c>
      <c r="B1079" s="70" t="s">
        <v>252</v>
      </c>
      <c r="C1079" s="70" t="s">
        <v>45</v>
      </c>
      <c r="D1079" s="69">
        <v>2014</v>
      </c>
      <c r="E1079" s="87">
        <v>2</v>
      </c>
      <c r="F1079" s="69">
        <v>52</v>
      </c>
      <c r="G1079" s="69">
        <v>52</v>
      </c>
      <c r="H1079" s="69" t="s">
        <v>32</v>
      </c>
      <c r="I1079" s="69" t="s">
        <v>772</v>
      </c>
      <c r="J1079" s="69" t="s">
        <v>764</v>
      </c>
      <c r="K1079" s="69">
        <f>IF(J1079="syllables",1,IF(J1079="trigrams",2,IF(J1079="strings",3,IF(J1079="visual array",4,IF(J1079="characters",5,IF(J1079="letters",6,IF(J1079="free forms",7,IF(J1079="odors",8,IF(J1079="words",9,IF(J1079="pictures",10,IF(J1079="object pictures",11,IF(J1079="faces",12,IF(J1079="names",13,IF(J1079="idioms",14,IF(J1079="grades",15,IF(J1079="syllable-digit pairs",16,IF(J1079="trigram-word pairs",17,IF(J1079="word-digit pairs",18,IF(J1079="English-Swahili pairs",19,IF(J1079="spatial position",20,IF(J1079="word pairs",21,IF(J1079="word triads",22,IF(J1079="generated words",23,IF(J1079="word definition pairs",24,IF(J1079="math problems",25,IF(J1079="famous faces",26,IF(J1079="famous names",27,IF(J1079="famous voices",28,IF(J1079="television programs",29,IF(J1079="race horses",30,IF(J1079="new vocabulary",31,IF(J1079="sentences",32,IF(J1079="concepts",33,IF(J1079="ad slides",34,IF(J1079="scenes",35,IF(J1079="famous scenes",36,IF(J1079="poems",37,IF(J1079="walk",38,IF(J1079="faces and events",39,IF(J1079="events and names",40,IF(J1079="flashbulb",41,IF(J1079="stories",42,IF(J1079="course material",43,IF(J1079="autobiographical",44,IF(J1079="novels",45,IF(J1079="public events",46,"99"))))))))))))))))))))))))))))))))))))))))))))))</f>
        <v>4</v>
      </c>
      <c r="L1079" s="69">
        <f>IF(J1079="syllables",1,IF(J1079="trigrams",1,IF(J1079="strings",1,IF(J1079="visual array",1,IF(J1079="characters",1,IF(J1079="letters",1,IF(J1079="free forms",1,IF(J1079="odors",2,IF(J1079="words",2,IF(J1079="pictures",2,IF(J1079="object pictures",2,IF(J1079="faces",2,IF(J1079="names",2,IF(J1079="idioms","2",IF(J1079="grades",2,IF(J1079="syllable-digit pairs",3,IF(J1079="trigram-word pairs",3,IF(J1079="word-digit pairs",3,IF(J1079="English-Swahili pairs",3,IF(J1079="spatial position",3,IF(J1079="word pairs",4,IF(J1079="word triads",4,IF(J1079="generated words",4,IF(J1079="word definition pairs",4,IF(J1079="math problems",4,IF(J1079="famous faces",4,IF(J1079="famous names",4,IF(J1079="famous voices",4,IF(J1079="television programs",4,IF(J1079="race horses",4,IF(J1079="new vocabulary",4,IF(J1079="sentences",5,IF(J1079="concepts",5,IF(J1079="ad slides",5,IF(J1079="scenes",5,IF(J1079="famous scenes",5,IF(J1079="poems",6,IF(J1079="walk",6,IF(J1079="faces and events",6,IF(J1079="events and names",6,IF(J1079="flashbulb",7,IF(J1079="stories",7,IF(J1079="course material",7,IF(J1079="autobiographical",7,IF(J1079="novels",7,IF(J1079="public events",7,"99"))))))))))))))))))))))))))))))))))))))))))))))</f>
        <v>1</v>
      </c>
      <c r="M1079" s="69">
        <v>0</v>
      </c>
      <c r="N1079" s="69">
        <v>1</v>
      </c>
      <c r="O1079" s="69">
        <v>0</v>
      </c>
      <c r="P1079" s="69"/>
      <c r="Q1079" s="69" t="s">
        <v>34</v>
      </c>
      <c r="R1079" s="69">
        <f>IF(Q1079="Free Recall",1,IF(Q1079="Cued Recall",2,IF(Q1079="Recognition",3,IF(Q1079="Multiple Choice",4,IF(Q1079="Savings",5,IF(Q1079="Stem Completion",6,IF(Q1079="Fragment Completion",7,IF(Q1079="anagram solution",8,IF(Q1079="Matching",9,IF(Q1079="Problem Solving",10,"99"))))))))))</f>
        <v>3</v>
      </c>
      <c r="S1079" s="69" t="s">
        <v>40</v>
      </c>
      <c r="T1079" s="92" t="s">
        <v>581</v>
      </c>
      <c r="U1079" s="69">
        <f>IF(T1079="within",1,0)</f>
        <v>1</v>
      </c>
      <c r="V1079" s="92">
        <v>48</v>
      </c>
      <c r="W1079" s="69">
        <f>F1079*V1079</f>
        <v>2496</v>
      </c>
      <c r="X1079" s="69">
        <v>3</v>
      </c>
      <c r="Y1079" s="87">
        <f>AV1078</f>
        <v>1</v>
      </c>
      <c r="Z1079" s="69" t="s">
        <v>42</v>
      </c>
      <c r="AA1079" s="69">
        <v>12</v>
      </c>
      <c r="AB1079" s="69" t="str">
        <f>IF(AA1079&lt;60,"1",IF(AA1079&lt;=43200,"2",IF(AA1079&lt;=777600,"3","4")))</f>
        <v>1</v>
      </c>
      <c r="AC1079" s="72">
        <f>AVERAGE(AV1078:DA1078)</f>
        <v>6.333333333333333</v>
      </c>
      <c r="AD1079" s="69" t="str">
        <f>IF(AC1079&lt;60,"1",IF(AC1079&lt;=43200,"2",IF(AC1079&lt;=777600,"3","4")))</f>
        <v>1</v>
      </c>
      <c r="AE1079" s="87">
        <f>AA1079-Y1079</f>
        <v>11</v>
      </c>
      <c r="AF1079" s="88">
        <f>AV1079</f>
        <v>0.80800000000000005</v>
      </c>
      <c r="AG1079" s="72">
        <f>((AW1079-AV1079)+(AX1079-AW1079))/2</f>
        <v>-4.2000000000000037E-2</v>
      </c>
      <c r="AH1079" s="4"/>
      <c r="AI1079" s="72">
        <f>RSQ(AV1079:AX1079,AV1078:AX1078)</f>
        <v>0.9540972272760353</v>
      </c>
      <c r="AJ1079" s="110">
        <f>SLOPE(AV1079:AX1079,AV1078:AX1078)</f>
        <v>-7.5494505494505555E-3</v>
      </c>
      <c r="AK1079" s="72">
        <f>INTERCEPT(AV1079:AX1079,AV1078:AX1078)</f>
        <v>0.80981318681318681</v>
      </c>
      <c r="AL1079" s="72">
        <f>INDEX(LINEST(LN(AV1079:AX1079),LN(AV1078:AX1078),TRUE,TRUE),3,1)</f>
        <v>0.98987897868292507</v>
      </c>
      <c r="AM1079" s="72">
        <f>INDEX(LINEST(LN(AV1079:AX1079),LN(AV1078:AX1078)),1)</f>
        <v>-4.3063479772511619E-2</v>
      </c>
      <c r="AN1079" s="72">
        <f>EXP(INDEX(LINEST(LN(AV1079:AX1079),LN(AV1078:AX1078)),1,2))</f>
        <v>0.80940923975830481</v>
      </c>
      <c r="AO1079" s="89">
        <f>INDEX(LINEST((AV1079:AX1079),LN(AV1078:AX1078),TRUE,TRUE),3,1)</f>
        <v>0.99254789694085999</v>
      </c>
      <c r="AP1079" s="89">
        <f>INDEX(LINEST((AV1079:AX1079),LN(AV1078:AX1078)),1)</f>
        <v>-3.3072601153342672E-2</v>
      </c>
      <c r="AQ1079" s="90">
        <f>INDEX(LINEST(LN(AV1079:AX1079),SQRT(AV1078:AX1078),TRUE,TRUE),3,1)</f>
        <v>0.99773586232347866</v>
      </c>
      <c r="AR1079" s="117">
        <f>INDEX(LINEST(LN(AV1079:AX1079),SQRT((AV1078:AX1078))),1)</f>
        <v>-4.4765232577239911E-2</v>
      </c>
      <c r="AS1079" s="91">
        <f>INDEX(LINEST(1/(AV1079:AX1079),1/(SQRT(AV1078:AX1078)),TRUE,TRUE),3,1)</f>
        <v>0.94741332606609008</v>
      </c>
      <c r="AT1079" s="91">
        <f>INDEX(LINEST(1/(AV1079:AX1079),1/SQRT(AV1078:AX1078)),1)</f>
        <v>-0.18514791907905087</v>
      </c>
      <c r="AU1079" s="3"/>
      <c r="AV1079" s="73">
        <v>0.80800000000000005</v>
      </c>
      <c r="AW1079" s="73">
        <v>0.754</v>
      </c>
      <c r="AX1079" s="73">
        <v>0.72399999999999998</v>
      </c>
      <c r="AY1079" s="42"/>
      <c r="AZ1079" s="46"/>
      <c r="BA1079" s="42"/>
      <c r="BB1079" s="42"/>
      <c r="BC1079" s="2"/>
      <c r="BD1079" s="2"/>
      <c r="BE1079" s="2"/>
      <c r="BF1079" s="2"/>
      <c r="BG1079" s="2"/>
      <c r="BH1079" s="2"/>
      <c r="BI1079" s="2"/>
      <c r="BJ1079" s="2"/>
      <c r="BK1079" s="2"/>
      <c r="BL1079" s="2"/>
      <c r="BM1079" s="2"/>
      <c r="BN1079" s="2"/>
      <c r="BO1079" s="2"/>
      <c r="BP1079" s="2"/>
      <c r="BQ1079" s="2"/>
      <c r="BR1079" s="2"/>
      <c r="BS1079" s="2"/>
      <c r="BT1079" s="2"/>
      <c r="BU1079" s="2"/>
      <c r="BV1079" s="2"/>
      <c r="BW1079" s="2"/>
      <c r="BX1079" s="2"/>
      <c r="BY1079" s="2"/>
      <c r="BZ1079" s="2"/>
      <c r="CA1079" s="2"/>
      <c r="CB1079" s="2"/>
      <c r="CC1079" s="2"/>
      <c r="CD1079" s="2"/>
      <c r="CE1079" s="2"/>
      <c r="CF1079" s="2"/>
      <c r="CG1079" s="2"/>
      <c r="CH1079" s="2"/>
      <c r="CI1079" s="2"/>
      <c r="CJ1079" s="2"/>
      <c r="CK1079" s="2"/>
      <c r="CL1079" s="2"/>
      <c r="CM1079" s="2"/>
      <c r="CN1079" s="2"/>
      <c r="CO1079" s="2"/>
      <c r="CP1079" s="2"/>
      <c r="CQ1079" s="2"/>
      <c r="CR1079" s="1"/>
      <c r="CS1079" s="1"/>
      <c r="CT1079" s="1"/>
      <c r="CU1079" s="1"/>
    </row>
    <row r="1080" spans="1:99" s="13" customFormat="1" ht="12" customHeight="1" x14ac:dyDescent="0.2">
      <c r="A1080" s="65">
        <v>43916</v>
      </c>
      <c r="B1080" s="1"/>
      <c r="C1080" s="1"/>
      <c r="D1080" s="60"/>
      <c r="E1080" s="76"/>
      <c r="F1080" s="60"/>
      <c r="G1080" s="60"/>
      <c r="H1080" s="60"/>
      <c r="I1080" s="60"/>
      <c r="J1080" s="60"/>
      <c r="K1080" s="64"/>
      <c r="L1080" s="64"/>
      <c r="M1080" s="60"/>
      <c r="N1080" s="60"/>
      <c r="O1080" s="60"/>
      <c r="P1080" s="60"/>
      <c r="Q1080" s="60"/>
      <c r="R1080" s="60"/>
      <c r="S1080" s="60"/>
      <c r="T1080" s="59"/>
      <c r="U1080" s="60"/>
      <c r="V1080" s="59"/>
      <c r="W1080" s="60"/>
      <c r="X1080" s="60"/>
      <c r="Y1080" s="76"/>
      <c r="Z1080" s="60"/>
      <c r="AA1080" s="60"/>
      <c r="AB1080" s="60"/>
      <c r="AC1080" s="60"/>
      <c r="AD1080" s="60"/>
      <c r="AE1080" s="60"/>
      <c r="AF1080" s="80"/>
      <c r="AG1080" s="56"/>
      <c r="AH1080" s="4"/>
      <c r="AI1080" s="56"/>
      <c r="AJ1080" s="109"/>
      <c r="AK1080" s="56"/>
      <c r="AL1080" s="56"/>
      <c r="AM1080" s="56"/>
      <c r="AN1080" s="56"/>
      <c r="AO1080" s="82"/>
      <c r="AP1080" s="82"/>
      <c r="AQ1080" s="82"/>
      <c r="AR1080" s="115"/>
      <c r="AS1080" s="82"/>
      <c r="AT1080" s="82"/>
      <c r="AU1080" s="3"/>
      <c r="AV1080" s="54">
        <v>1.5</v>
      </c>
      <c r="AW1080" s="25">
        <v>3</v>
      </c>
      <c r="AX1080" s="25">
        <v>6</v>
      </c>
      <c r="AY1080" s="53"/>
      <c r="AZ1080" s="53"/>
      <c r="BA1080" s="53"/>
      <c r="BB1080" s="53"/>
      <c r="BC1080" s="53"/>
      <c r="BD1080" s="53"/>
      <c r="BE1080" s="53"/>
      <c r="BF1080" s="53"/>
      <c r="BG1080" s="53"/>
      <c r="BH1080" s="53"/>
      <c r="BI1080" s="53"/>
      <c r="BJ1080" s="53"/>
      <c r="BK1080" s="53"/>
      <c r="BL1080" s="53"/>
      <c r="BM1080" s="53"/>
      <c r="BN1080" s="53"/>
      <c r="BO1080" s="53"/>
      <c r="BP1080" s="53"/>
      <c r="BQ1080" s="53"/>
      <c r="BR1080" s="53"/>
      <c r="BS1080" s="53"/>
      <c r="BT1080" s="53"/>
      <c r="BU1080" s="53"/>
      <c r="BV1080" s="53"/>
      <c r="BW1080" s="53"/>
      <c r="BX1080" s="53"/>
      <c r="BY1080" s="53"/>
      <c r="BZ1080" s="53"/>
      <c r="CA1080" s="53"/>
      <c r="CB1080" s="53"/>
      <c r="CC1080" s="53"/>
      <c r="CD1080" s="53"/>
      <c r="CE1080" s="53"/>
      <c r="CF1080" s="53"/>
      <c r="CG1080" s="53"/>
      <c r="CH1080" s="53"/>
      <c r="CI1080" s="53"/>
      <c r="CJ1080" s="53"/>
      <c r="CK1080" s="53"/>
      <c r="CL1080" s="53"/>
      <c r="CM1080" s="53"/>
      <c r="CN1080" s="53"/>
      <c r="CO1080" s="53"/>
      <c r="CP1080" s="53"/>
      <c r="CQ1080" s="53"/>
      <c r="CR1080" s="1"/>
      <c r="CS1080" s="1"/>
      <c r="CT1080" s="1"/>
      <c r="CU1080" s="1"/>
    </row>
    <row r="1081" spans="1:99" s="13" customFormat="1" ht="12" customHeight="1" x14ac:dyDescent="0.2">
      <c r="A1081" s="65">
        <v>43916</v>
      </c>
      <c r="B1081" s="1" t="s">
        <v>567</v>
      </c>
      <c r="C1081" s="1" t="s">
        <v>45</v>
      </c>
      <c r="D1081" s="60">
        <v>2020</v>
      </c>
      <c r="E1081" s="76">
        <v>1</v>
      </c>
      <c r="F1081" s="60">
        <v>60</v>
      </c>
      <c r="G1081" s="60">
        <v>60</v>
      </c>
      <c r="H1081" s="60" t="s">
        <v>41</v>
      </c>
      <c r="I1081" s="60" t="s">
        <v>773</v>
      </c>
      <c r="J1081" s="60" t="s">
        <v>764</v>
      </c>
      <c r="K1081" s="60">
        <f>IF(J1081="syllables",1,IF(J1081="trigrams",2,IF(J1081="strings",3,IF(J1081="visual array",4,IF(J1081="characters",5,IF(J1081="letters",6,IF(J1081="free forms",7,IF(J1081="odors",8,IF(J1081="words",9,IF(J1081="pictures",10,IF(J1081="object pictures",11,IF(J1081="faces",12,IF(J1081="names",13,IF(J1081="idioms",14,IF(J1081="grades",15,IF(J1081="syllable-digit pairs",16,IF(J1081="trigram-word pairs",17,IF(J1081="word-digit pairs",18,IF(J1081="English-Swahili pairs",19,IF(J1081="spatial position",20,IF(J1081="word pairs",21,IF(J1081="word triads",22,IF(J1081="generated words",23,IF(J1081="word definition pairs",24,IF(J1081="math problems",25,IF(J1081="famous faces",26,IF(J1081="famous names",27,IF(J1081="famous voices",28,IF(J1081="television programs",29,IF(J1081="race horses",30,IF(J1081="new vocabulary",31,IF(J1081="sentences",32,IF(J1081="concepts",33,IF(J1081="ad slides",34,IF(J1081="scenes",35,IF(J1081="famous scenes",36,IF(J1081="poems",37,IF(J1081="walk",38,IF(J1081="faces and events",39,IF(J1081="events and names",40,IF(J1081="flashbulb",41,IF(J1081="stories",42,IF(J1081="course material",43,IF(J1081="autobiographical",44,IF(J1081="novels",45,IF(J1081="public events",46,"99"))))))))))))))))))))))))))))))))))))))))))))))</f>
        <v>4</v>
      </c>
      <c r="L1081" s="60">
        <f>IF(J1081="syllables",1,IF(J1081="trigrams",1,IF(J1081="strings",1,IF(J1081="visual array",1,IF(J1081="characters",1,IF(J1081="letters",1,IF(J1081="free forms",1,IF(J1081="odors",2,IF(J1081="words",2,IF(J1081="pictures",2,IF(J1081="object pictures",2,IF(J1081="faces",2,IF(J1081="names",2,IF(J1081="idioms","2",IF(J1081="grades",2,IF(J1081="syllable-digit pairs",3,IF(J1081="trigram-word pairs",3,IF(J1081="word-digit pairs",3,IF(J1081="English-Swahili pairs",3,IF(J1081="spatial position",3,IF(J1081="word pairs",4,IF(J1081="word triads",4,IF(J1081="generated words",4,IF(J1081="word definition pairs",4,IF(J1081="math problems",4,IF(J1081="famous faces",4,IF(J1081="famous names",4,IF(J1081="famous voices",4,IF(J1081="television programs",4,IF(J1081="race horses",4,IF(J1081="new vocabulary",4,IF(J1081="sentences",5,IF(J1081="concepts",5,IF(J1081="ad slides",5,IF(J1081="scenes",5,IF(J1081="famous scenes",5,IF(J1081="poems",6,IF(J1081="walk",6,IF(J1081="faces and events",6,IF(J1081="events and names",6,IF(J1081="flashbulb",7,IF(J1081="stories",7,IF(J1081="course material",7,IF(J1081="autobiographical",7,IF(J1081="novels",7,IF(J1081="public events",7,"99"))))))))))))))))))))))))))))))))))))))))))))))</f>
        <v>1</v>
      </c>
      <c r="M1081" s="60">
        <v>0</v>
      </c>
      <c r="N1081" s="60">
        <v>1</v>
      </c>
      <c r="O1081" s="60">
        <v>0</v>
      </c>
      <c r="P1081" s="60"/>
      <c r="Q1081" s="60" t="s">
        <v>174</v>
      </c>
      <c r="R1081" s="60">
        <f>IF(Q1081="Free Recall",1,IF(Q1081="Cued Recall",2,IF(Q1081="Recognition",3,IF(Q1081="Multiple Choice",4,IF(Q1081="Savings",5,IF(Q1081="Stem Completion",6,IF(Q1081="Fragment Completion",7,IF(Q1081="anagram solution",8,IF(Q1081="Matching",9,IF(Q1081="Problem Solving",10,"99"))))))))))</f>
        <v>1</v>
      </c>
      <c r="S1081" s="60" t="s">
        <v>49</v>
      </c>
      <c r="T1081" s="59" t="s">
        <v>581</v>
      </c>
      <c r="U1081" s="60">
        <f>IF(T1081="within",1,0)</f>
        <v>1</v>
      </c>
      <c r="V1081" s="59">
        <v>270</v>
      </c>
      <c r="W1081" s="60">
        <f>F1081*V1081</f>
        <v>16200</v>
      </c>
      <c r="X1081" s="60">
        <v>3</v>
      </c>
      <c r="Y1081" s="76">
        <f>AV1080</f>
        <v>1.5</v>
      </c>
      <c r="Z1081" s="60" t="s">
        <v>39</v>
      </c>
      <c r="AA1081" s="60">
        <v>6</v>
      </c>
      <c r="AB1081" s="60" t="str">
        <f>IF(AA1081&lt;60,"1",IF(AA1081&lt;=43200,"2",IF(AA1081&lt;=777600,"3","4")))</f>
        <v>1</v>
      </c>
      <c r="AC1081" s="56">
        <f>AVERAGE(AV1080:DA1080)</f>
        <v>3.5</v>
      </c>
      <c r="AD1081" s="60" t="str">
        <f>IF(AC1081&lt;60,"1",IF(AC1081&lt;=43200,"2",IF(AC1081&lt;=777600,"3","4")))</f>
        <v>1</v>
      </c>
      <c r="AE1081" s="76">
        <f>AA1081-Y1081</f>
        <v>4.5</v>
      </c>
      <c r="AF1081" s="80">
        <f>AV1081</f>
        <v>0.85</v>
      </c>
      <c r="AG1081" s="56">
        <f>((AW1081-AV1081)+(AX1081-AW1081))/2</f>
        <v>-2.9999999999999971E-2</v>
      </c>
      <c r="AH1081" s="4"/>
      <c r="AI1081" s="56">
        <f>RSQ(AV1081:AX1081,AV1080:AX1080)</f>
        <v>1</v>
      </c>
      <c r="AJ1081" s="109">
        <f>SLOPE(AV1081:AX1081,AV1080:AX1080)</f>
        <v>-1.3333333333333319E-2</v>
      </c>
      <c r="AK1081" s="56">
        <f>INTERCEPT(AV1081:AX1081,AV1080:AX1080)</f>
        <v>0.86999999999999988</v>
      </c>
      <c r="AL1081" s="56">
        <f>INDEX(LINEST(LN(AV1081:AX1081),LN(AV1080:AX1080),TRUE,TRUE),3,1)</f>
        <v>0.96088353903508672</v>
      </c>
      <c r="AM1081" s="56">
        <f>INDEX(LINEST(LN(AV1081:AX1081),LN(AV1080:AX1080)),1)</f>
        <v>-5.280509398029936E-2</v>
      </c>
      <c r="AN1081" s="56">
        <f>EXP(INDEX(LINEST(LN(AV1081:AX1081),LN(AV1080:AX1080)),1,2))</f>
        <v>0.87210572171871348</v>
      </c>
      <c r="AO1081" s="82">
        <f>INDEX(LINEST((AV1081:AX1081),LN(AV1080:AX1080),TRUE,TRUE),3,1)</f>
        <v>0.96428571428571452</v>
      </c>
      <c r="AP1081" s="82">
        <f>INDEX(LINEST((AV1081:AX1081),LN(AV1080:AX1080)),1)</f>
        <v>-4.3280851226668859E-2</v>
      </c>
      <c r="AQ1081" s="83">
        <f>INDEX(LINEST(LN(AV1081:AX1081),SQRT(AV1080:AX1080),TRUE,TRUE),3,1)</f>
        <v>0.98996245490585466</v>
      </c>
      <c r="AR1081" s="116">
        <f>INDEX(LINEST(LN(AV1081:AX1081),SQRT((AV1080:AX1080))),1)</f>
        <v>-6.0372516510336413E-2</v>
      </c>
      <c r="AS1081" s="84">
        <f>INDEX(LINEST(1/(AV1081:AX1081),1/(SQRT(AV1080:AX1080)),TRUE,TRUE),3,1)</f>
        <v>0.90885650374259142</v>
      </c>
      <c r="AT1081" s="84">
        <f>INDEX(LINEST(1/(AV1081:AX1081),1/SQRT(AV1080:AX1080)),1)</f>
        <v>-0.21221042180871011</v>
      </c>
      <c r="AU1081" s="3"/>
      <c r="AV1081" s="53">
        <v>0.85</v>
      </c>
      <c r="AW1081" s="53">
        <v>0.83</v>
      </c>
      <c r="AX1081" s="53">
        <v>0.79</v>
      </c>
      <c r="AY1081" s="53"/>
      <c r="AZ1081" s="53"/>
      <c r="BA1081" s="53"/>
      <c r="BB1081" s="53"/>
      <c r="BC1081" s="53"/>
      <c r="BD1081" s="53"/>
      <c r="BE1081" s="53"/>
      <c r="BF1081" s="53"/>
      <c r="BG1081" s="53"/>
      <c r="BH1081" s="53"/>
      <c r="BI1081" s="53"/>
      <c r="BJ1081" s="53"/>
      <c r="BK1081" s="53"/>
      <c r="BL1081" s="53"/>
      <c r="BM1081" s="53"/>
      <c r="BN1081" s="53"/>
      <c r="BO1081" s="53"/>
      <c r="BP1081" s="53"/>
      <c r="BQ1081" s="53"/>
      <c r="BR1081" s="53"/>
      <c r="BS1081" s="53"/>
      <c r="BT1081" s="53"/>
      <c r="BU1081" s="53"/>
      <c r="BV1081" s="53"/>
      <c r="BW1081" s="53"/>
      <c r="BX1081" s="53"/>
      <c r="BY1081" s="53"/>
      <c r="BZ1081" s="53"/>
      <c r="CA1081" s="53"/>
      <c r="CB1081" s="53"/>
      <c r="CC1081" s="53"/>
      <c r="CD1081" s="53"/>
      <c r="CE1081" s="53"/>
      <c r="CF1081" s="53"/>
      <c r="CG1081" s="53"/>
      <c r="CH1081" s="53"/>
      <c r="CI1081" s="53"/>
      <c r="CJ1081" s="53"/>
      <c r="CK1081" s="53"/>
      <c r="CL1081" s="53"/>
      <c r="CM1081" s="53"/>
      <c r="CN1081" s="53"/>
      <c r="CO1081" s="53"/>
      <c r="CP1081" s="53"/>
      <c r="CQ1081" s="53"/>
      <c r="CR1081" s="1"/>
      <c r="CS1081" s="1"/>
      <c r="CT1081" s="1"/>
      <c r="CU1081" s="1"/>
    </row>
    <row r="1082" spans="1:99" s="13" customFormat="1" ht="12" customHeight="1" x14ac:dyDescent="0.2">
      <c r="A1082" s="65">
        <v>43916</v>
      </c>
      <c r="B1082" s="1"/>
      <c r="C1082" s="1"/>
      <c r="D1082" s="60"/>
      <c r="E1082" s="76"/>
      <c r="F1082" s="60"/>
      <c r="G1082" s="60"/>
      <c r="H1082" s="60"/>
      <c r="I1082" s="60"/>
      <c r="J1082" s="60"/>
      <c r="K1082" s="64"/>
      <c r="L1082" s="64"/>
      <c r="M1082" s="60"/>
      <c r="N1082" s="60"/>
      <c r="O1082" s="60"/>
      <c r="P1082" s="60"/>
      <c r="Q1082" s="60"/>
      <c r="R1082" s="60"/>
      <c r="S1082" s="60"/>
      <c r="T1082" s="59"/>
      <c r="U1082" s="60"/>
      <c r="V1082" s="59"/>
      <c r="W1082" s="60"/>
      <c r="X1082" s="60"/>
      <c r="Y1082" s="76"/>
      <c r="Z1082" s="60"/>
      <c r="AA1082" s="60"/>
      <c r="AB1082" s="60"/>
      <c r="AC1082" s="60"/>
      <c r="AD1082" s="60"/>
      <c r="AE1082" s="60"/>
      <c r="AF1082" s="80"/>
      <c r="AG1082" s="56"/>
      <c r="AH1082" s="4"/>
      <c r="AI1082" s="56"/>
      <c r="AJ1082" s="109"/>
      <c r="AK1082" s="56"/>
      <c r="AL1082" s="56"/>
      <c r="AM1082" s="56"/>
      <c r="AN1082" s="56"/>
      <c r="AO1082" s="82"/>
      <c r="AP1082" s="82"/>
      <c r="AQ1082" s="82"/>
      <c r="AR1082" s="115"/>
      <c r="AS1082" s="82"/>
      <c r="AT1082" s="82"/>
      <c r="AU1082" s="3"/>
      <c r="AV1082" s="54">
        <v>1.5</v>
      </c>
      <c r="AW1082" s="25">
        <v>3</v>
      </c>
      <c r="AX1082" s="25">
        <v>6</v>
      </c>
      <c r="AY1082" s="53"/>
      <c r="AZ1082" s="53"/>
      <c r="BA1082" s="53"/>
      <c r="BB1082" s="53"/>
      <c r="BC1082" s="53"/>
      <c r="BD1082" s="53"/>
      <c r="BE1082" s="53"/>
      <c r="BF1082" s="53"/>
      <c r="BG1082" s="53"/>
      <c r="BH1082" s="53"/>
      <c r="BI1082" s="53"/>
      <c r="BJ1082" s="53"/>
      <c r="BK1082" s="53"/>
      <c r="BL1082" s="53"/>
      <c r="BM1082" s="53"/>
      <c r="BN1082" s="53"/>
      <c r="BO1082" s="53"/>
      <c r="BP1082" s="53"/>
      <c r="BQ1082" s="53"/>
      <c r="BR1082" s="53"/>
      <c r="BS1082" s="53"/>
      <c r="BT1082" s="53"/>
      <c r="BU1082" s="53"/>
      <c r="BV1082" s="53"/>
      <c r="BW1082" s="53"/>
      <c r="BX1082" s="53"/>
      <c r="BY1082" s="53"/>
      <c r="BZ1082" s="53"/>
      <c r="CA1082" s="53"/>
      <c r="CB1082" s="53"/>
      <c r="CC1082" s="53"/>
      <c r="CD1082" s="53"/>
      <c r="CE1082" s="53"/>
      <c r="CF1082" s="53"/>
      <c r="CG1082" s="53"/>
      <c r="CH1082" s="53"/>
      <c r="CI1082" s="53"/>
      <c r="CJ1082" s="53"/>
      <c r="CK1082" s="53"/>
      <c r="CL1082" s="53"/>
      <c r="CM1082" s="53"/>
      <c r="CN1082" s="53"/>
      <c r="CO1082" s="53"/>
      <c r="CP1082" s="53"/>
      <c r="CQ1082" s="53"/>
      <c r="CR1082" s="1"/>
      <c r="CS1082" s="1"/>
      <c r="CT1082" s="1"/>
      <c r="CU1082" s="1"/>
    </row>
    <row r="1083" spans="1:99" s="13" customFormat="1" ht="12" customHeight="1" x14ac:dyDescent="0.2">
      <c r="A1083" s="65">
        <v>43916</v>
      </c>
      <c r="B1083" s="1" t="s">
        <v>567</v>
      </c>
      <c r="C1083" s="1" t="s">
        <v>45</v>
      </c>
      <c r="D1083" s="60">
        <v>2020</v>
      </c>
      <c r="E1083" s="76">
        <v>1</v>
      </c>
      <c r="F1083" s="60">
        <v>60</v>
      </c>
      <c r="G1083" s="60">
        <v>60</v>
      </c>
      <c r="H1083" s="60" t="s">
        <v>41</v>
      </c>
      <c r="I1083" s="60" t="s">
        <v>774</v>
      </c>
      <c r="J1083" s="60" t="s">
        <v>764</v>
      </c>
      <c r="K1083" s="60">
        <f>IF(J1083="syllables",1,IF(J1083="trigrams",2,IF(J1083="strings",3,IF(J1083="visual array",4,IF(J1083="characters",5,IF(J1083="letters",6,IF(J1083="free forms",7,IF(J1083="odors",8,IF(J1083="words",9,IF(J1083="pictures",10,IF(J1083="object pictures",11,IF(J1083="faces",12,IF(J1083="names",13,IF(J1083="idioms",14,IF(J1083="grades",15,IF(J1083="syllable-digit pairs",16,IF(J1083="trigram-word pairs",17,IF(J1083="word-digit pairs",18,IF(J1083="English-Swahili pairs",19,IF(J1083="spatial position",20,IF(J1083="word pairs",21,IF(J1083="word triads",22,IF(J1083="generated words",23,IF(J1083="word definition pairs",24,IF(J1083="math problems",25,IF(J1083="famous faces",26,IF(J1083="famous names",27,IF(J1083="famous voices",28,IF(J1083="television programs",29,IF(J1083="race horses",30,IF(J1083="new vocabulary",31,IF(J1083="sentences",32,IF(J1083="concepts",33,IF(J1083="ad slides",34,IF(J1083="scenes",35,IF(J1083="famous scenes",36,IF(J1083="poems",37,IF(J1083="walk",38,IF(J1083="faces and events",39,IF(J1083="events and names",40,IF(J1083="flashbulb",41,IF(J1083="stories",42,IF(J1083="course material",43,IF(J1083="autobiographical",44,IF(J1083="novels",45,IF(J1083="public events",46,"99"))))))))))))))))))))))))))))))))))))))))))))))</f>
        <v>4</v>
      </c>
      <c r="L1083" s="60">
        <f>IF(J1083="syllables",1,IF(J1083="trigrams",1,IF(J1083="strings",1,IF(J1083="visual array",1,IF(J1083="characters",1,IF(J1083="letters",1,IF(J1083="free forms",1,IF(J1083="odors",2,IF(J1083="words",2,IF(J1083="pictures",2,IF(J1083="object pictures",2,IF(J1083="faces",2,IF(J1083="names",2,IF(J1083="idioms","2",IF(J1083="grades",2,IF(J1083="syllable-digit pairs",3,IF(J1083="trigram-word pairs",3,IF(J1083="word-digit pairs",3,IF(J1083="English-Swahili pairs",3,IF(J1083="spatial position",3,IF(J1083="word pairs",4,IF(J1083="word triads",4,IF(J1083="generated words",4,IF(J1083="word definition pairs",4,IF(J1083="math problems",4,IF(J1083="famous faces",4,IF(J1083="famous names",4,IF(J1083="famous voices",4,IF(J1083="television programs",4,IF(J1083="race horses",4,IF(J1083="new vocabulary",4,IF(J1083="sentences",5,IF(J1083="concepts",5,IF(J1083="ad slides",5,IF(J1083="scenes",5,IF(J1083="famous scenes",5,IF(J1083="poems",6,IF(J1083="walk",6,IF(J1083="faces and events",6,IF(J1083="events and names",6,IF(J1083="flashbulb",7,IF(J1083="stories",7,IF(J1083="course material",7,IF(J1083="autobiographical",7,IF(J1083="novels",7,IF(J1083="public events",7,"99"))))))))))))))))))))))))))))))))))))))))))))))</f>
        <v>1</v>
      </c>
      <c r="M1083" s="60">
        <v>0</v>
      </c>
      <c r="N1083" s="60">
        <v>1</v>
      </c>
      <c r="O1083" s="60">
        <v>1</v>
      </c>
      <c r="P1083" s="60" t="s">
        <v>550</v>
      </c>
      <c r="Q1083" s="60" t="s">
        <v>174</v>
      </c>
      <c r="R1083" s="60">
        <f>IF(Q1083="Free Recall",1,IF(Q1083="Cued Recall",2,IF(Q1083="Recognition",3,IF(Q1083="Multiple Choice",4,IF(Q1083="Savings",5,IF(Q1083="Stem Completion",6,IF(Q1083="Fragment Completion",7,IF(Q1083="anagram solution",8,IF(Q1083="Matching",9,IF(Q1083="Problem Solving",10,"99"))))))))))</f>
        <v>1</v>
      </c>
      <c r="S1083" s="60" t="s">
        <v>49</v>
      </c>
      <c r="T1083" s="59" t="s">
        <v>581</v>
      </c>
      <c r="U1083" s="60">
        <f>IF(T1083="within",1,0)</f>
        <v>1</v>
      </c>
      <c r="V1083" s="59">
        <v>270</v>
      </c>
      <c r="W1083" s="60">
        <f>F1083*V1083</f>
        <v>16200</v>
      </c>
      <c r="X1083" s="60">
        <v>3</v>
      </c>
      <c r="Y1083" s="76">
        <f>AV1082</f>
        <v>1.5</v>
      </c>
      <c r="Z1083" s="60" t="s">
        <v>39</v>
      </c>
      <c r="AA1083" s="60">
        <v>6</v>
      </c>
      <c r="AB1083" s="60" t="str">
        <f>IF(AA1083&lt;60,"1",IF(AA1083&lt;=43200,"2",IF(AA1083&lt;=777600,"3","4")))</f>
        <v>1</v>
      </c>
      <c r="AC1083" s="56">
        <f>AVERAGE(AV1082:DA1082)</f>
        <v>3.5</v>
      </c>
      <c r="AD1083" s="60" t="str">
        <f>IF(AC1083&lt;60,"1",IF(AC1083&lt;=43200,"2",IF(AC1083&lt;=777600,"3","4")))</f>
        <v>1</v>
      </c>
      <c r="AE1083" s="76">
        <f>AA1083-Y1083</f>
        <v>4.5</v>
      </c>
      <c r="AF1083" s="80">
        <f>AV1083</f>
        <v>0.79</v>
      </c>
      <c r="AG1083" s="56">
        <f>((AW1083-AV1083)+(AX1083-AW1083))/2</f>
        <v>-4.0000000000000036E-2</v>
      </c>
      <c r="AH1083" s="4"/>
      <c r="AI1083" s="56">
        <f>RSQ(AV1083:AX1083,AV1082:AX1082)</f>
        <v>0.95300751879699253</v>
      </c>
      <c r="AJ1083" s="109">
        <f>SLOPE(AV1083:AX1083,AV1082:AX1082)</f>
        <v>-1.8571428571428589E-2</v>
      </c>
      <c r="AK1083" s="56">
        <f>INTERCEPT(AV1083:AX1083,AV1082:AX1082)</f>
        <v>0.82500000000000018</v>
      </c>
      <c r="AL1083" s="56">
        <f>INDEX(LINEST(LN(AV1083:AX1083),LN(AV1082:AX1082),TRUE,TRUE),3,1)</f>
        <v>0.83806276823159775</v>
      </c>
      <c r="AM1083" s="56">
        <f>INDEX(LINEST(LN(AV1083:AX1083),LN(AV1082:AX1082)),1)</f>
        <v>-7.7016814336210507E-2</v>
      </c>
      <c r="AN1083" s="56">
        <f>EXP(INDEX(LINEST(LN(AV1083:AX1083),LN(AV1082:AX1082)),1,2))</f>
        <v>0.82617688497785069</v>
      </c>
      <c r="AO1083" s="82">
        <f>INDEX(LINEST((AV1083:AX1083),LN(AV1082:AX1082),TRUE,TRUE),3,1)</f>
        <v>0.84210526315789469</v>
      </c>
      <c r="AP1083" s="82">
        <f>INDEX(LINEST((AV1083:AX1083),LN(AV1082:AX1082)),1)</f>
        <v>-5.7707801635558588E-2</v>
      </c>
      <c r="AQ1083" s="83">
        <f>INDEX(LINEST(LN(AV1083:AX1083),SQRT(AV1082:AX1082),TRUE,TRUE),3,1)</f>
        <v>0.90376794598306331</v>
      </c>
      <c r="AR1083" s="116">
        <f>INDEX(LINEST(LN(AV1083:AX1083),SQRT((AV1082:AX1082))),1)</f>
        <v>-9.0087641697188886E-2</v>
      </c>
      <c r="AS1083" s="84">
        <f>INDEX(LINEST(1/(AV1083:AX1083),1/(SQRT(AV1082:AX1082)),TRUE,TRUE),3,1)</f>
        <v>0.75463517403855318</v>
      </c>
      <c r="AT1083" s="84">
        <f>INDEX(LINEST(1/(AV1083:AX1083),1/SQRT(AV1082:AX1082)),1)</f>
        <v>-0.33068708807123964</v>
      </c>
      <c r="AU1083" s="3"/>
      <c r="AV1083" s="53">
        <v>0.79</v>
      </c>
      <c r="AW1083" s="53">
        <v>0.78</v>
      </c>
      <c r="AX1083" s="53">
        <v>0.71</v>
      </c>
      <c r="AY1083" s="53"/>
      <c r="AZ1083" s="53"/>
      <c r="BA1083" s="53"/>
      <c r="BB1083" s="53"/>
      <c r="BC1083" s="53"/>
      <c r="BD1083" s="53"/>
      <c r="BE1083" s="53"/>
      <c r="BF1083" s="53"/>
      <c r="BG1083" s="53"/>
      <c r="BH1083" s="53"/>
      <c r="BI1083" s="53"/>
      <c r="BJ1083" s="53"/>
      <c r="BK1083" s="53"/>
      <c r="BL1083" s="53"/>
      <c r="BM1083" s="53"/>
      <c r="BN1083" s="53"/>
      <c r="BO1083" s="53"/>
      <c r="BP1083" s="53"/>
      <c r="BQ1083" s="53"/>
      <c r="BR1083" s="53"/>
      <c r="BS1083" s="53"/>
      <c r="BT1083" s="53"/>
      <c r="BU1083" s="53"/>
      <c r="BV1083" s="53"/>
      <c r="BW1083" s="53"/>
      <c r="BX1083" s="53"/>
      <c r="BY1083" s="53"/>
      <c r="BZ1083" s="53"/>
      <c r="CA1083" s="53"/>
      <c r="CB1083" s="53"/>
      <c r="CC1083" s="53"/>
      <c r="CD1083" s="53"/>
      <c r="CE1083" s="53"/>
      <c r="CF1083" s="53"/>
      <c r="CG1083" s="53"/>
      <c r="CH1083" s="53"/>
      <c r="CI1083" s="53"/>
      <c r="CJ1083" s="53"/>
      <c r="CK1083" s="53"/>
      <c r="CL1083" s="53"/>
      <c r="CM1083" s="53"/>
      <c r="CN1083" s="53"/>
      <c r="CO1083" s="53"/>
      <c r="CP1083" s="53"/>
      <c r="CQ1083" s="53"/>
      <c r="CR1083" s="1"/>
      <c r="CS1083" s="1"/>
      <c r="CT1083" s="1"/>
      <c r="CU1083" s="1"/>
    </row>
    <row r="1084" spans="1:99" s="13" customFormat="1" ht="12" customHeight="1" x14ac:dyDescent="0.2">
      <c r="A1084" s="65">
        <v>43916</v>
      </c>
      <c r="B1084" s="1"/>
      <c r="C1084" s="1"/>
      <c r="D1084" s="60"/>
      <c r="E1084" s="76"/>
      <c r="F1084" s="60"/>
      <c r="G1084" s="60"/>
      <c r="H1084" s="60"/>
      <c r="I1084" s="60"/>
      <c r="J1084" s="60"/>
      <c r="K1084" s="64"/>
      <c r="L1084" s="64"/>
      <c r="M1084" s="60"/>
      <c r="N1084" s="60"/>
      <c r="O1084" s="60"/>
      <c r="P1084" s="60"/>
      <c r="Q1084" s="60"/>
      <c r="R1084" s="60"/>
      <c r="S1084" s="60"/>
      <c r="T1084" s="59"/>
      <c r="U1084" s="60"/>
      <c r="V1084" s="59"/>
      <c r="W1084" s="60"/>
      <c r="X1084" s="60"/>
      <c r="Y1084" s="76"/>
      <c r="Z1084" s="60"/>
      <c r="AA1084" s="60"/>
      <c r="AB1084" s="60"/>
      <c r="AC1084" s="60"/>
      <c r="AD1084" s="60"/>
      <c r="AE1084" s="60"/>
      <c r="AF1084" s="80"/>
      <c r="AG1084" s="56"/>
      <c r="AH1084" s="4"/>
      <c r="AI1084" s="56"/>
      <c r="AJ1084" s="109"/>
      <c r="AK1084" s="56"/>
      <c r="AL1084" s="56"/>
      <c r="AM1084" s="56"/>
      <c r="AN1084" s="56"/>
      <c r="AO1084" s="82"/>
      <c r="AP1084" s="82"/>
      <c r="AQ1084" s="82"/>
      <c r="AR1084" s="115"/>
      <c r="AS1084" s="82"/>
      <c r="AT1084" s="82"/>
      <c r="AU1084" s="3"/>
      <c r="AV1084" s="54">
        <v>1.5</v>
      </c>
      <c r="AW1084" s="25">
        <v>3</v>
      </c>
      <c r="AX1084" s="25">
        <v>6</v>
      </c>
      <c r="AY1084" s="53"/>
      <c r="AZ1084" s="53"/>
      <c r="BA1084" s="53"/>
      <c r="BB1084" s="53"/>
      <c r="BC1084" s="53"/>
      <c r="BD1084" s="53"/>
      <c r="BE1084" s="53"/>
      <c r="BF1084" s="53"/>
      <c r="BG1084" s="53"/>
      <c r="BH1084" s="53"/>
      <c r="BI1084" s="53"/>
      <c r="BJ1084" s="53"/>
      <c r="BK1084" s="53"/>
      <c r="BL1084" s="53"/>
      <c r="BM1084" s="53"/>
      <c r="BN1084" s="53"/>
      <c r="BO1084" s="53"/>
      <c r="BP1084" s="53"/>
      <c r="BQ1084" s="53"/>
      <c r="BR1084" s="53"/>
      <c r="BS1084" s="53"/>
      <c r="BT1084" s="53"/>
      <c r="BU1084" s="53"/>
      <c r="BV1084" s="53"/>
      <c r="BW1084" s="53"/>
      <c r="BX1084" s="53"/>
      <c r="BY1084" s="53"/>
      <c r="BZ1084" s="53"/>
      <c r="CA1084" s="53"/>
      <c r="CB1084" s="53"/>
      <c r="CC1084" s="53"/>
      <c r="CD1084" s="53"/>
      <c r="CE1084" s="53"/>
      <c r="CF1084" s="53"/>
      <c r="CG1084" s="53"/>
      <c r="CH1084" s="53"/>
      <c r="CI1084" s="53"/>
      <c r="CJ1084" s="53"/>
      <c r="CK1084" s="53"/>
      <c r="CL1084" s="53"/>
      <c r="CM1084" s="53"/>
      <c r="CN1084" s="53"/>
      <c r="CO1084" s="53"/>
      <c r="CP1084" s="53"/>
      <c r="CQ1084" s="53"/>
      <c r="CR1084" s="1"/>
      <c r="CS1084" s="1"/>
      <c r="CT1084" s="1"/>
      <c r="CU1084" s="1"/>
    </row>
    <row r="1085" spans="1:99" s="13" customFormat="1" ht="12" customHeight="1" x14ac:dyDescent="0.2">
      <c r="A1085" s="65">
        <v>43916</v>
      </c>
      <c r="B1085" s="1" t="s">
        <v>567</v>
      </c>
      <c r="C1085" s="1" t="s">
        <v>45</v>
      </c>
      <c r="D1085" s="60">
        <v>2020</v>
      </c>
      <c r="E1085" s="76">
        <v>1</v>
      </c>
      <c r="F1085" s="60">
        <v>60</v>
      </c>
      <c r="G1085" s="60">
        <v>60</v>
      </c>
      <c r="H1085" s="60" t="s">
        <v>41</v>
      </c>
      <c r="I1085" s="76" t="s">
        <v>775</v>
      </c>
      <c r="J1085" s="60" t="s">
        <v>764</v>
      </c>
      <c r="K1085" s="60">
        <f>IF(J1085="syllables",1,IF(J1085="trigrams",2,IF(J1085="strings",3,IF(J1085="visual array",4,IF(J1085="characters",5,IF(J1085="letters",6,IF(J1085="free forms",7,IF(J1085="odors",8,IF(J1085="words",9,IF(J1085="pictures",10,IF(J1085="object pictures",11,IF(J1085="faces",12,IF(J1085="names",13,IF(J1085="idioms",14,IF(J1085="grades",15,IF(J1085="syllable-digit pairs",16,IF(J1085="trigram-word pairs",17,IF(J1085="word-digit pairs",18,IF(J1085="English-Swahili pairs",19,IF(J1085="spatial position",20,IF(J1085="word pairs",21,IF(J1085="word triads",22,IF(J1085="generated words",23,IF(J1085="word definition pairs",24,IF(J1085="math problems",25,IF(J1085="famous faces",26,IF(J1085="famous names",27,IF(J1085="famous voices",28,IF(J1085="television programs",29,IF(J1085="race horses",30,IF(J1085="new vocabulary",31,IF(J1085="sentences",32,IF(J1085="concepts",33,IF(J1085="ad slides",34,IF(J1085="scenes",35,IF(J1085="famous scenes",36,IF(J1085="poems",37,IF(J1085="walk",38,IF(J1085="faces and events",39,IF(J1085="events and names",40,IF(J1085="flashbulb",41,IF(J1085="stories",42,IF(J1085="course material",43,IF(J1085="autobiographical",44,IF(J1085="novels",45,IF(J1085="public events",46,"99"))))))))))))))))))))))))))))))))))))))))))))))</f>
        <v>4</v>
      </c>
      <c r="L1085" s="60">
        <f>IF(J1085="syllables",1,IF(J1085="trigrams",1,IF(J1085="strings",1,IF(J1085="visual array",1,IF(J1085="characters",1,IF(J1085="letters",1,IF(J1085="free forms",1,IF(J1085="odors",2,IF(J1085="words",2,IF(J1085="pictures",2,IF(J1085="object pictures",2,IF(J1085="faces",2,IF(J1085="names",2,IF(J1085="idioms","2",IF(J1085="grades",2,IF(J1085="syllable-digit pairs",3,IF(J1085="trigram-word pairs",3,IF(J1085="word-digit pairs",3,IF(J1085="English-Swahili pairs",3,IF(J1085="spatial position",3,IF(J1085="word pairs",4,IF(J1085="word triads",4,IF(J1085="generated words",4,IF(J1085="word definition pairs",4,IF(J1085="math problems",4,IF(J1085="famous faces",4,IF(J1085="famous names",4,IF(J1085="famous voices",4,IF(J1085="television programs",4,IF(J1085="race horses",4,IF(J1085="new vocabulary",4,IF(J1085="sentences",5,IF(J1085="concepts",5,IF(J1085="ad slides",5,IF(J1085="scenes",5,IF(J1085="famous scenes",5,IF(J1085="poems",6,IF(J1085="walk",6,IF(J1085="faces and events",6,IF(J1085="events and names",6,IF(J1085="flashbulb",7,IF(J1085="stories",7,IF(J1085="course material",7,IF(J1085="autobiographical",7,IF(J1085="novels",7,IF(J1085="public events",7,"99"))))))))))))))))))))))))))))))))))))))))))))))</f>
        <v>1</v>
      </c>
      <c r="M1085" s="60">
        <v>0</v>
      </c>
      <c r="N1085" s="60">
        <v>1</v>
      </c>
      <c r="O1085" s="60">
        <v>1</v>
      </c>
      <c r="P1085" s="60" t="s">
        <v>550</v>
      </c>
      <c r="Q1085" s="60" t="s">
        <v>174</v>
      </c>
      <c r="R1085" s="60">
        <f>IF(Q1085="Free Recall",1,IF(Q1085="Cued Recall",2,IF(Q1085="Recognition",3,IF(Q1085="Multiple Choice",4,IF(Q1085="Savings",5,IF(Q1085="Stem Completion",6,IF(Q1085="Fragment Completion",7,IF(Q1085="anagram solution",8,IF(Q1085="Matching",9,IF(Q1085="Problem Solving",10,"99"))))))))))</f>
        <v>1</v>
      </c>
      <c r="S1085" s="60" t="s">
        <v>49</v>
      </c>
      <c r="T1085" s="59" t="s">
        <v>581</v>
      </c>
      <c r="U1085" s="60">
        <f>IF(T1085="within",1,0)</f>
        <v>1</v>
      </c>
      <c r="V1085" s="59">
        <v>270</v>
      </c>
      <c r="W1085" s="60">
        <f>F1085*V1085</f>
        <v>16200</v>
      </c>
      <c r="X1085" s="60">
        <v>3</v>
      </c>
      <c r="Y1085" s="76">
        <f>AV1084</f>
        <v>1.5</v>
      </c>
      <c r="Z1085" s="60" t="s">
        <v>39</v>
      </c>
      <c r="AA1085" s="60">
        <v>6</v>
      </c>
      <c r="AB1085" s="60" t="str">
        <f>IF(AA1085&lt;60,"1",IF(AA1085&lt;=43200,"2",IF(AA1085&lt;=777600,"3","4")))</f>
        <v>1</v>
      </c>
      <c r="AC1085" s="56">
        <f>AVERAGE(AV1084:DA1084)</f>
        <v>3.5</v>
      </c>
      <c r="AD1085" s="60" t="str">
        <f>IF(AC1085&lt;60,"1",IF(AC1085&lt;=43200,"2",IF(AC1085&lt;=777600,"3","4")))</f>
        <v>1</v>
      </c>
      <c r="AE1085" s="76">
        <f>AA1085-Y1085</f>
        <v>4.5</v>
      </c>
      <c r="AF1085" s="80">
        <f>AV1085</f>
        <v>0.78</v>
      </c>
      <c r="AG1085" s="56">
        <f>((AW1085-AV1085)+(AX1085-AW1085))/2</f>
        <v>-3.5000000000000031E-2</v>
      </c>
      <c r="AH1085" s="4"/>
      <c r="AI1085" s="56">
        <f>RSQ(AV1085:AX1085,AV1084:AX1084)</f>
        <v>0.99725274725274726</v>
      </c>
      <c r="AJ1085" s="109">
        <f>SLOPE(AV1085:AX1085,AV1084:AX1084)</f>
        <v>-1.5714285714285729E-2</v>
      </c>
      <c r="AK1085" s="56">
        <f>INTERCEPT(AV1085:AX1085,AV1084:AX1084)</f>
        <v>0.80500000000000005</v>
      </c>
      <c r="AL1085" s="56">
        <f>INDEX(LINEST(LN(AV1085:AX1085),LN(AV1084:AX1084),TRUE,TRUE),3,1)</f>
        <v>0.93742487178104128</v>
      </c>
      <c r="AM1085" s="56">
        <f>INDEX(LINEST(LN(AV1085:AX1085),LN(AV1084:AX1084)),1)</f>
        <v>-6.7827549678783197E-2</v>
      </c>
      <c r="AN1085" s="56">
        <f>EXP(INDEX(LINEST(LN(AV1085:AX1085),LN(AV1084:AX1084)),1,2))</f>
        <v>0.80739145142994828</v>
      </c>
      <c r="AO1085" s="82">
        <f>INDEX(LINEST((AV1085:AX1085),LN(AV1084:AX1084),TRUE,TRUE),3,1)</f>
        <v>0.94230769230769229</v>
      </c>
      <c r="AP1085" s="82">
        <f>INDEX(LINEST((AV1085:AX1085),LN(AV1084:AX1084)),1)</f>
        <v>-5.0494326431113755E-2</v>
      </c>
      <c r="AQ1085" s="83">
        <f>INDEX(LINEST(LN(AV1085:AX1085),SQRT(AV1084:AX1084),TRUE,TRUE),3,1)</f>
        <v>0.97644061041387575</v>
      </c>
      <c r="AR1085" s="116">
        <f>INDEX(LINEST(LN(AV1085:AX1085),SQRT((AV1084:AX1084))),1)</f>
        <v>-7.79740842013361E-2</v>
      </c>
      <c r="AS1085" s="84">
        <f>INDEX(LINEST(1/(AV1085:AX1085),1/(SQRT(AV1084:AX1084)),TRUE,TRUE),3,1)</f>
        <v>0.87481527412362559</v>
      </c>
      <c r="AT1085" s="84">
        <f>INDEX(LINEST(1/(AV1085:AX1085),1/SQRT(AV1084:AX1084)),1)</f>
        <v>-0.29843130572073534</v>
      </c>
      <c r="AU1085" s="3"/>
      <c r="AV1085" s="53">
        <v>0.78</v>
      </c>
      <c r="AW1085" s="53">
        <v>0.76</v>
      </c>
      <c r="AX1085" s="53">
        <v>0.71</v>
      </c>
      <c r="AY1085" s="53"/>
      <c r="AZ1085" s="53"/>
      <c r="BA1085" s="53"/>
      <c r="BB1085" s="53"/>
      <c r="BC1085" s="53"/>
      <c r="BD1085" s="53"/>
      <c r="BE1085" s="53"/>
      <c r="BF1085" s="53"/>
      <c r="BG1085" s="53"/>
      <c r="BH1085" s="53"/>
      <c r="BI1085" s="53"/>
      <c r="BJ1085" s="53"/>
      <c r="BK1085" s="53"/>
      <c r="BL1085" s="53"/>
      <c r="BM1085" s="53"/>
      <c r="BN1085" s="53"/>
      <c r="BO1085" s="53"/>
      <c r="BP1085" s="53"/>
      <c r="BQ1085" s="53"/>
      <c r="BR1085" s="53"/>
      <c r="BS1085" s="53"/>
      <c r="BT1085" s="53"/>
      <c r="BU1085" s="53"/>
      <c r="BV1085" s="53"/>
      <c r="BW1085" s="53"/>
      <c r="BX1085" s="53"/>
      <c r="BY1085" s="53"/>
      <c r="BZ1085" s="53"/>
      <c r="CA1085" s="53"/>
      <c r="CB1085" s="53"/>
      <c r="CC1085" s="53"/>
      <c r="CD1085" s="53"/>
      <c r="CE1085" s="53"/>
      <c r="CF1085" s="53"/>
      <c r="CG1085" s="53"/>
      <c r="CH1085" s="53"/>
      <c r="CI1085" s="53"/>
      <c r="CJ1085" s="53"/>
      <c r="CK1085" s="53"/>
      <c r="CL1085" s="53"/>
      <c r="CM1085" s="53"/>
      <c r="CN1085" s="53"/>
      <c r="CO1085" s="53"/>
      <c r="CP1085" s="53"/>
      <c r="CQ1085" s="53"/>
      <c r="CR1085" s="1"/>
      <c r="CS1085" s="1"/>
      <c r="CT1085" s="1"/>
      <c r="CU1085" s="1"/>
    </row>
    <row r="1086" spans="1:99" s="13" customFormat="1" ht="12" customHeight="1" x14ac:dyDescent="0.2">
      <c r="A1086" s="65">
        <v>43916</v>
      </c>
      <c r="B1086" s="1"/>
      <c r="C1086" s="1"/>
      <c r="D1086" s="60"/>
      <c r="E1086" s="76"/>
      <c r="F1086" s="60"/>
      <c r="G1086" s="60"/>
      <c r="H1086" s="60"/>
      <c r="I1086" s="60"/>
      <c r="J1086" s="60"/>
      <c r="K1086" s="64"/>
      <c r="L1086" s="64"/>
      <c r="M1086" s="60"/>
      <c r="N1086" s="60"/>
      <c r="O1086" s="60"/>
      <c r="P1086" s="60"/>
      <c r="Q1086" s="60"/>
      <c r="R1086" s="60"/>
      <c r="S1086" s="60"/>
      <c r="T1086" s="59"/>
      <c r="U1086" s="60"/>
      <c r="V1086" s="59"/>
      <c r="W1086" s="60"/>
      <c r="X1086" s="60"/>
      <c r="Y1086" s="76"/>
      <c r="Z1086" s="60"/>
      <c r="AA1086" s="60"/>
      <c r="AB1086" s="60"/>
      <c r="AC1086" s="60"/>
      <c r="AD1086" s="60"/>
      <c r="AE1086" s="60"/>
      <c r="AF1086" s="80"/>
      <c r="AG1086" s="56"/>
      <c r="AH1086" s="4"/>
      <c r="AI1086" s="56"/>
      <c r="AJ1086" s="109"/>
      <c r="AK1086" s="56"/>
      <c r="AL1086" s="56"/>
      <c r="AM1086" s="56"/>
      <c r="AN1086" s="56"/>
      <c r="AO1086" s="82"/>
      <c r="AP1086" s="82"/>
      <c r="AQ1086" s="82"/>
      <c r="AR1086" s="115"/>
      <c r="AS1086" s="82"/>
      <c r="AT1086" s="82"/>
      <c r="AU1086" s="3"/>
      <c r="AV1086" s="54">
        <v>1.5</v>
      </c>
      <c r="AW1086" s="25">
        <v>3</v>
      </c>
      <c r="AX1086" s="25">
        <v>6</v>
      </c>
      <c r="AY1086" s="53"/>
      <c r="AZ1086" s="53"/>
      <c r="BA1086" s="53"/>
      <c r="BB1086" s="53"/>
      <c r="BC1086" s="53"/>
      <c r="BD1086" s="53"/>
      <c r="BE1086" s="53"/>
      <c r="BF1086" s="53"/>
      <c r="BG1086" s="53"/>
      <c r="BH1086" s="53"/>
      <c r="BI1086" s="53"/>
      <c r="BJ1086" s="53"/>
      <c r="BK1086" s="53"/>
      <c r="BL1086" s="53"/>
      <c r="BM1086" s="53"/>
      <c r="BN1086" s="53"/>
      <c r="BO1086" s="53"/>
      <c r="BP1086" s="53"/>
      <c r="BQ1086" s="53"/>
      <c r="BR1086" s="53"/>
      <c r="BS1086" s="53"/>
      <c r="BT1086" s="53"/>
      <c r="BU1086" s="53"/>
      <c r="BV1086" s="53"/>
      <c r="BW1086" s="53"/>
      <c r="BX1086" s="53"/>
      <c r="BY1086" s="53"/>
      <c r="BZ1086" s="53"/>
      <c r="CA1086" s="53"/>
      <c r="CB1086" s="53"/>
      <c r="CC1086" s="53"/>
      <c r="CD1086" s="53"/>
      <c r="CE1086" s="53"/>
      <c r="CF1086" s="53"/>
      <c r="CG1086" s="53"/>
      <c r="CH1086" s="53"/>
      <c r="CI1086" s="53"/>
      <c r="CJ1086" s="53"/>
      <c r="CK1086" s="53"/>
      <c r="CL1086" s="53"/>
      <c r="CM1086" s="53"/>
      <c r="CN1086" s="53"/>
      <c r="CO1086" s="53"/>
      <c r="CP1086" s="53"/>
      <c r="CQ1086" s="53"/>
      <c r="CR1086" s="1"/>
      <c r="CS1086" s="1"/>
      <c r="CT1086" s="1"/>
      <c r="CU1086" s="1"/>
    </row>
    <row r="1087" spans="1:99" s="13" customFormat="1" ht="12" customHeight="1" x14ac:dyDescent="0.2">
      <c r="A1087" s="65">
        <v>43916</v>
      </c>
      <c r="B1087" s="1" t="s">
        <v>567</v>
      </c>
      <c r="C1087" s="1" t="s">
        <v>45</v>
      </c>
      <c r="D1087" s="60">
        <v>2020</v>
      </c>
      <c r="E1087" s="76">
        <v>2</v>
      </c>
      <c r="F1087" s="60">
        <v>75</v>
      </c>
      <c r="G1087" s="60">
        <v>75</v>
      </c>
      <c r="H1087" s="60" t="s">
        <v>43</v>
      </c>
      <c r="I1087" s="60" t="s">
        <v>776</v>
      </c>
      <c r="J1087" s="60" t="s">
        <v>764</v>
      </c>
      <c r="K1087" s="60">
        <f>IF(J1087="syllables",1,IF(J1087="trigrams",2,IF(J1087="strings",3,IF(J1087="visual array",4,IF(J1087="characters",5,IF(J1087="letters",6,IF(J1087="free forms",7,IF(J1087="odors",8,IF(J1087="words",9,IF(J1087="pictures",10,IF(J1087="object pictures",11,IF(J1087="faces",12,IF(J1087="names",13,IF(J1087="idioms",14,IF(J1087="grades",15,IF(J1087="syllable-digit pairs",16,IF(J1087="trigram-word pairs",17,IF(J1087="word-digit pairs",18,IF(J1087="English-Swahili pairs",19,IF(J1087="spatial position",20,IF(J1087="word pairs",21,IF(J1087="word triads",22,IF(J1087="generated words",23,IF(J1087="word definition pairs",24,IF(J1087="math problems",25,IF(J1087="famous faces",26,IF(J1087="famous names",27,IF(J1087="famous voices",28,IF(J1087="television programs",29,IF(J1087="race horses",30,IF(J1087="new vocabulary",31,IF(J1087="sentences",32,IF(J1087="concepts",33,IF(J1087="ad slides",34,IF(J1087="scenes",35,IF(J1087="famous scenes",36,IF(J1087="poems",37,IF(J1087="walk",38,IF(J1087="faces and events",39,IF(J1087="events and names",40,IF(J1087="flashbulb",41,IF(J1087="stories",42,IF(J1087="course material",43,IF(J1087="autobiographical",44,IF(J1087="novels",45,IF(J1087="public events",46,"99"))))))))))))))))))))))))))))))))))))))))))))))</f>
        <v>4</v>
      </c>
      <c r="L1087" s="60">
        <f>IF(J1087="syllables",1,IF(J1087="trigrams",1,IF(J1087="strings",1,IF(J1087="visual array",1,IF(J1087="characters",1,IF(J1087="letters",1,IF(J1087="free forms",1,IF(J1087="odors",2,IF(J1087="words",2,IF(J1087="pictures",2,IF(J1087="object pictures",2,IF(J1087="faces",2,IF(J1087="names",2,IF(J1087="idioms","2",IF(J1087="grades",2,IF(J1087="syllable-digit pairs",3,IF(J1087="trigram-word pairs",3,IF(J1087="word-digit pairs",3,IF(J1087="English-Swahili pairs",3,IF(J1087="spatial position",3,IF(J1087="word pairs",4,IF(J1087="word triads",4,IF(J1087="generated words",4,IF(J1087="word definition pairs",4,IF(J1087="math problems",4,IF(J1087="famous faces",4,IF(J1087="famous names",4,IF(J1087="famous voices",4,IF(J1087="television programs",4,IF(J1087="race horses",4,IF(J1087="new vocabulary",4,IF(J1087="sentences",5,IF(J1087="concepts",5,IF(J1087="ad slides",5,IF(J1087="scenes",5,IF(J1087="famous scenes",5,IF(J1087="poems",6,IF(J1087="walk",6,IF(J1087="faces and events",6,IF(J1087="events and names",6,IF(J1087="flashbulb",7,IF(J1087="stories",7,IF(J1087="course material",7,IF(J1087="autobiographical",7,IF(J1087="novels",7,IF(J1087="public events",7,"99"))))))))))))))))))))))))))))))))))))))))))))))</f>
        <v>1</v>
      </c>
      <c r="M1087" s="60">
        <v>0</v>
      </c>
      <c r="N1087" s="60">
        <v>1</v>
      </c>
      <c r="O1087" s="60">
        <v>0</v>
      </c>
      <c r="P1087" s="60"/>
      <c r="Q1087" s="60" t="s">
        <v>174</v>
      </c>
      <c r="R1087" s="60">
        <f>IF(Q1087="Free Recall",1,IF(Q1087="Cued Recall",2,IF(Q1087="Recognition",3,IF(Q1087="Multiple Choice",4,IF(Q1087="Savings",5,IF(Q1087="Stem Completion",6,IF(Q1087="Fragment Completion",7,IF(Q1087="anagram solution",8,IF(Q1087="Matching",9,IF(Q1087="Problem Solving",10,"99"))))))))))</f>
        <v>1</v>
      </c>
      <c r="S1087" s="60" t="s">
        <v>49</v>
      </c>
      <c r="T1087" s="59" t="s">
        <v>581</v>
      </c>
      <c r="U1087" s="60">
        <f>IF(T1087="within",1,0)</f>
        <v>1</v>
      </c>
      <c r="V1087" s="59">
        <v>270</v>
      </c>
      <c r="W1087" s="60">
        <f>F1087*V1087</f>
        <v>20250</v>
      </c>
      <c r="X1087" s="60">
        <v>3</v>
      </c>
      <c r="Y1087" s="76">
        <f>AV1086</f>
        <v>1.5</v>
      </c>
      <c r="Z1087" s="60" t="s">
        <v>39</v>
      </c>
      <c r="AA1087" s="60">
        <v>6</v>
      </c>
      <c r="AB1087" s="60" t="str">
        <f>IF(AA1087&lt;60,"1",IF(AA1087&lt;=43200,"2",IF(AA1087&lt;=777600,"3","4")))</f>
        <v>1</v>
      </c>
      <c r="AC1087" s="56">
        <f>AVERAGE(AV1086:DA1086)</f>
        <v>3.5</v>
      </c>
      <c r="AD1087" s="60" t="str">
        <f>IF(AC1087&lt;60,"1",IF(AC1087&lt;=43200,"2",IF(AC1087&lt;=777600,"3","4")))</f>
        <v>1</v>
      </c>
      <c r="AE1087" s="76">
        <f>AA1087-Y1087</f>
        <v>4.5</v>
      </c>
      <c r="AF1087" s="80">
        <f>AV1087</f>
        <v>0.88</v>
      </c>
      <c r="AG1087" s="56">
        <f>((AW1087-AV1087)+(AX1087-AW1087))/2</f>
        <v>-2.5000000000000022E-2</v>
      </c>
      <c r="AH1087" s="4"/>
      <c r="AI1087" s="56">
        <f>RSQ(AV1087:AX1087,AV1086:AX1086)</f>
        <v>0.99436090225563922</v>
      </c>
      <c r="AJ1087" s="109">
        <f>SLOPE(AV1087:AX1087,AV1086:AX1086)</f>
        <v>-1.0952380952380962E-2</v>
      </c>
      <c r="AK1087" s="56">
        <f>INTERCEPT(AV1087:AX1087,AV1086:AX1086)</f>
        <v>0.89499999999999991</v>
      </c>
      <c r="AL1087" s="56">
        <f>INDEX(LINEST(LN(AV1087:AX1087),LN(AV1086:AX1086),TRUE,TRUE),3,1)</f>
        <v>0.98496660187497864</v>
      </c>
      <c r="AM1087" s="56">
        <f>INDEX(LINEST(LN(AV1087:AX1087),LN(AV1086:AX1086)),1)</f>
        <v>-4.2196093645186297E-2</v>
      </c>
      <c r="AN1087" s="56">
        <f>EXP(INDEX(LINEST(LN(AV1087:AX1087),LN(AV1086:AX1086)),1,2))</f>
        <v>0.89705497354348529</v>
      </c>
      <c r="AO1087" s="82">
        <f>INDEX(LINEST((AV1087:AX1087),LN(AV1086:AX1086),TRUE,TRUE),3,1)</f>
        <v>0.98684210526315785</v>
      </c>
      <c r="AP1087" s="82">
        <f>INDEX(LINEST((AV1087:AX1087),LN(AV1086:AX1086)),1)</f>
        <v>-3.606737602222411E-2</v>
      </c>
      <c r="AQ1087" s="83">
        <f>INDEX(LINEST(LN(AV1087:AX1087),SQRT(AV1086:AX1086),TRUE,TRUE),3,1)</f>
        <v>0.99941522285111928</v>
      </c>
      <c r="AR1087" s="116">
        <f>INDEX(LINEST(LN(AV1087:AX1087),SQRT((AV1086:AX1086))),1)</f>
        <v>-4.7876671439769834E-2</v>
      </c>
      <c r="AS1087" s="84">
        <f>INDEX(LINEST(1/(AV1087:AX1087),1/(SQRT(AV1086:AX1086)),TRUE,TRUE),3,1)</f>
        <v>0.94821871348652054</v>
      </c>
      <c r="AT1087" s="84">
        <f>INDEX(LINEST(1/(AV1087:AX1087),1/SQRT(AV1086:AX1086)),1)</f>
        <v>-0.16388765988963322</v>
      </c>
      <c r="AU1087" s="3"/>
      <c r="AV1087" s="53">
        <v>0.88</v>
      </c>
      <c r="AW1087" s="53">
        <v>0.86</v>
      </c>
      <c r="AX1087" s="53">
        <v>0.83</v>
      </c>
      <c r="AY1087" s="53"/>
      <c r="AZ1087" s="53"/>
      <c r="BA1087" s="53"/>
      <c r="BB1087" s="53"/>
      <c r="BC1087" s="53"/>
      <c r="BD1087" s="53"/>
      <c r="BE1087" s="53"/>
      <c r="BF1087" s="53"/>
      <c r="BG1087" s="53"/>
      <c r="BH1087" s="53"/>
      <c r="BI1087" s="53"/>
      <c r="BJ1087" s="53"/>
      <c r="BK1087" s="53"/>
      <c r="BL1087" s="53"/>
      <c r="BM1087" s="53"/>
      <c r="BN1087" s="53"/>
      <c r="BO1087" s="53"/>
      <c r="BP1087" s="53"/>
      <c r="BQ1087" s="53"/>
      <c r="BR1087" s="53"/>
      <c r="BS1087" s="53"/>
      <c r="BT1087" s="53"/>
      <c r="BU1087" s="53"/>
      <c r="BV1087" s="53"/>
      <c r="BW1087" s="53"/>
      <c r="BX1087" s="53"/>
      <c r="BY1087" s="53"/>
      <c r="BZ1087" s="53"/>
      <c r="CA1087" s="53"/>
      <c r="CB1087" s="53"/>
      <c r="CC1087" s="53"/>
      <c r="CD1087" s="53"/>
      <c r="CE1087" s="53"/>
      <c r="CF1087" s="53"/>
      <c r="CG1087" s="53"/>
      <c r="CH1087" s="53"/>
      <c r="CI1087" s="53"/>
      <c r="CJ1087" s="53"/>
      <c r="CK1087" s="53"/>
      <c r="CL1087" s="53"/>
      <c r="CM1087" s="53"/>
      <c r="CN1087" s="53"/>
      <c r="CO1087" s="53"/>
      <c r="CP1087" s="53"/>
      <c r="CQ1087" s="53"/>
      <c r="CR1087" s="1"/>
      <c r="CS1087" s="1"/>
      <c r="CT1087" s="1"/>
      <c r="CU1087" s="1"/>
    </row>
    <row r="1088" spans="1:99" s="13" customFormat="1" ht="12" customHeight="1" x14ac:dyDescent="0.2">
      <c r="A1088" s="65">
        <v>43916</v>
      </c>
      <c r="B1088" s="1"/>
      <c r="C1088" s="1"/>
      <c r="D1088" s="60"/>
      <c r="E1088" s="76"/>
      <c r="F1088" s="60"/>
      <c r="G1088" s="60"/>
      <c r="H1088" s="60"/>
      <c r="I1088" s="60"/>
      <c r="J1088" s="60"/>
      <c r="K1088" s="64"/>
      <c r="L1088" s="64"/>
      <c r="M1088" s="60"/>
      <c r="N1088" s="60"/>
      <c r="O1088" s="60"/>
      <c r="P1088" s="60"/>
      <c r="Q1088" s="60"/>
      <c r="R1088" s="60"/>
      <c r="S1088" s="60"/>
      <c r="T1088" s="59"/>
      <c r="U1088" s="60"/>
      <c r="V1088" s="59"/>
      <c r="W1088" s="60"/>
      <c r="X1088" s="60"/>
      <c r="Y1088" s="76"/>
      <c r="Z1088" s="60"/>
      <c r="AA1088" s="60"/>
      <c r="AB1088" s="60"/>
      <c r="AC1088" s="60"/>
      <c r="AD1088" s="60"/>
      <c r="AE1088" s="60"/>
      <c r="AF1088" s="80"/>
      <c r="AG1088" s="56"/>
      <c r="AH1088" s="4"/>
      <c r="AI1088" s="56"/>
      <c r="AJ1088" s="109"/>
      <c r="AK1088" s="56"/>
      <c r="AL1088" s="56"/>
      <c r="AM1088" s="56"/>
      <c r="AN1088" s="56"/>
      <c r="AO1088" s="82"/>
      <c r="AP1088" s="82"/>
      <c r="AQ1088" s="82"/>
      <c r="AR1088" s="115"/>
      <c r="AS1088" s="82"/>
      <c r="AT1088" s="82"/>
      <c r="AU1088" s="3"/>
      <c r="AV1088" s="54">
        <v>1.5</v>
      </c>
      <c r="AW1088" s="25">
        <v>3</v>
      </c>
      <c r="AX1088" s="25">
        <v>6</v>
      </c>
      <c r="AY1088" s="53"/>
      <c r="AZ1088" s="53"/>
      <c r="BA1088" s="53"/>
      <c r="BB1088" s="53"/>
      <c r="BC1088" s="53"/>
      <c r="BD1088" s="53"/>
      <c r="BE1088" s="53"/>
      <c r="BF1088" s="53"/>
      <c r="BG1088" s="53"/>
      <c r="BH1088" s="53"/>
      <c r="BI1088" s="53"/>
      <c r="BJ1088" s="53"/>
      <c r="BK1088" s="53"/>
      <c r="BL1088" s="53"/>
      <c r="BM1088" s="53"/>
      <c r="BN1088" s="53"/>
      <c r="BO1088" s="53"/>
      <c r="BP1088" s="53"/>
      <c r="BQ1088" s="53"/>
      <c r="BR1088" s="53"/>
      <c r="BS1088" s="53"/>
      <c r="BT1088" s="53"/>
      <c r="BU1088" s="53"/>
      <c r="BV1088" s="53"/>
      <c r="BW1088" s="53"/>
      <c r="BX1088" s="53"/>
      <c r="BY1088" s="53"/>
      <c r="BZ1088" s="53"/>
      <c r="CA1088" s="53"/>
      <c r="CB1088" s="53"/>
      <c r="CC1088" s="53"/>
      <c r="CD1088" s="53"/>
      <c r="CE1088" s="53"/>
      <c r="CF1088" s="53"/>
      <c r="CG1088" s="53"/>
      <c r="CH1088" s="53"/>
      <c r="CI1088" s="53"/>
      <c r="CJ1088" s="53"/>
      <c r="CK1088" s="53"/>
      <c r="CL1088" s="53"/>
      <c r="CM1088" s="53"/>
      <c r="CN1088" s="53"/>
      <c r="CO1088" s="53"/>
      <c r="CP1088" s="53"/>
      <c r="CQ1088" s="53"/>
      <c r="CR1088" s="1"/>
      <c r="CS1088" s="1"/>
      <c r="CT1088" s="1"/>
      <c r="CU1088" s="1"/>
    </row>
    <row r="1089" spans="1:99" s="13" customFormat="1" ht="12" customHeight="1" x14ac:dyDescent="0.2">
      <c r="A1089" s="65">
        <v>43916</v>
      </c>
      <c r="B1089" s="1" t="s">
        <v>567</v>
      </c>
      <c r="C1089" s="1" t="s">
        <v>45</v>
      </c>
      <c r="D1089" s="60">
        <v>2020</v>
      </c>
      <c r="E1089" s="76">
        <v>2</v>
      </c>
      <c r="F1089" s="60">
        <v>68</v>
      </c>
      <c r="G1089" s="60">
        <v>68</v>
      </c>
      <c r="H1089" s="60" t="s">
        <v>43</v>
      </c>
      <c r="I1089" s="60" t="s">
        <v>777</v>
      </c>
      <c r="J1089" s="60" t="s">
        <v>764</v>
      </c>
      <c r="K1089" s="60">
        <f>IF(J1089="syllables",1,IF(J1089="trigrams",2,IF(J1089="strings",3,IF(J1089="visual array",4,IF(J1089="characters",5,IF(J1089="letters",6,IF(J1089="free forms",7,IF(J1089="odors",8,IF(J1089="words",9,IF(J1089="pictures",10,IF(J1089="object pictures",11,IF(J1089="faces",12,IF(J1089="names",13,IF(J1089="idioms",14,IF(J1089="grades",15,IF(J1089="syllable-digit pairs",16,IF(J1089="trigram-word pairs",17,IF(J1089="word-digit pairs",18,IF(J1089="English-Swahili pairs",19,IF(J1089="spatial position",20,IF(J1089="word pairs",21,IF(J1089="word triads",22,IF(J1089="generated words",23,IF(J1089="word definition pairs",24,IF(J1089="math problems",25,IF(J1089="famous faces",26,IF(J1089="famous names",27,IF(J1089="famous voices",28,IF(J1089="television programs",29,IF(J1089="race horses",30,IF(J1089="new vocabulary",31,IF(J1089="sentences",32,IF(J1089="concepts",33,IF(J1089="ad slides",34,IF(J1089="scenes",35,IF(J1089="famous scenes",36,IF(J1089="poems",37,IF(J1089="walk",38,IF(J1089="faces and events",39,IF(J1089="events and names",40,IF(J1089="flashbulb",41,IF(J1089="stories",42,IF(J1089="course material",43,IF(J1089="autobiographical",44,IF(J1089="novels",45,IF(J1089="public events",46,"99"))))))))))))))))))))))))))))))))))))))))))))))</f>
        <v>4</v>
      </c>
      <c r="L1089" s="60">
        <f>IF(J1089="syllables",1,IF(J1089="trigrams",1,IF(J1089="strings",1,IF(J1089="visual array",1,IF(J1089="characters",1,IF(J1089="letters",1,IF(J1089="free forms",1,IF(J1089="odors",2,IF(J1089="words",2,IF(J1089="pictures",2,IF(J1089="object pictures",2,IF(J1089="faces",2,IF(J1089="names",2,IF(J1089="idioms","2",IF(J1089="grades",2,IF(J1089="syllable-digit pairs",3,IF(J1089="trigram-word pairs",3,IF(J1089="word-digit pairs",3,IF(J1089="English-Swahili pairs",3,IF(J1089="spatial position",3,IF(J1089="word pairs",4,IF(J1089="word triads",4,IF(J1089="generated words",4,IF(J1089="word definition pairs",4,IF(J1089="math problems",4,IF(J1089="famous faces",4,IF(J1089="famous names",4,IF(J1089="famous voices",4,IF(J1089="television programs",4,IF(J1089="race horses",4,IF(J1089="new vocabulary",4,IF(J1089="sentences",5,IF(J1089="concepts",5,IF(J1089="ad slides",5,IF(J1089="scenes",5,IF(J1089="famous scenes",5,IF(J1089="poems",6,IF(J1089="walk",6,IF(J1089="faces and events",6,IF(J1089="events and names",6,IF(J1089="flashbulb",7,IF(J1089="stories",7,IF(J1089="course material",7,IF(J1089="autobiographical",7,IF(J1089="novels",7,IF(J1089="public events",7,"99"))))))))))))))))))))))))))))))))))))))))))))))</f>
        <v>1</v>
      </c>
      <c r="M1089" s="60">
        <v>0</v>
      </c>
      <c r="N1089" s="60">
        <v>1</v>
      </c>
      <c r="O1089" s="60">
        <v>0</v>
      </c>
      <c r="P1089" s="60"/>
      <c r="Q1089" s="60" t="s">
        <v>174</v>
      </c>
      <c r="R1089" s="60">
        <f>IF(Q1089="Free Recall",1,IF(Q1089="Cued Recall",2,IF(Q1089="Recognition",3,IF(Q1089="Multiple Choice",4,IF(Q1089="Savings",5,IF(Q1089="Stem Completion",6,IF(Q1089="Fragment Completion",7,IF(Q1089="anagram solution",8,IF(Q1089="Matching",9,IF(Q1089="Problem Solving",10,"99"))))))))))</f>
        <v>1</v>
      </c>
      <c r="S1089" s="60" t="s">
        <v>49</v>
      </c>
      <c r="T1089" s="59" t="s">
        <v>581</v>
      </c>
      <c r="U1089" s="60">
        <f>IF(T1089="within",1,0)</f>
        <v>1</v>
      </c>
      <c r="V1089" s="59">
        <v>270</v>
      </c>
      <c r="W1089" s="60">
        <f>F1089*V1089</f>
        <v>18360</v>
      </c>
      <c r="X1089" s="60">
        <v>3</v>
      </c>
      <c r="Y1089" s="76">
        <f>AV1088</f>
        <v>1.5</v>
      </c>
      <c r="Z1089" s="60" t="s">
        <v>39</v>
      </c>
      <c r="AA1089" s="60">
        <v>6</v>
      </c>
      <c r="AB1089" s="60" t="str">
        <f>IF(AA1089&lt;60,"1",IF(AA1089&lt;=43200,"2",IF(AA1089&lt;=777600,"3","4")))</f>
        <v>1</v>
      </c>
      <c r="AC1089" s="56">
        <f>AVERAGE(AV1088:DA1088)</f>
        <v>3.5</v>
      </c>
      <c r="AD1089" s="60" t="str">
        <f>IF(AC1089&lt;60,"1",IF(AC1089&lt;=43200,"2",IF(AC1089&lt;=777600,"3","4")))</f>
        <v>1</v>
      </c>
      <c r="AE1089" s="76">
        <f>AA1089-Y1089</f>
        <v>4.5</v>
      </c>
      <c r="AF1089" s="80">
        <f>AV1089</f>
        <v>0.84</v>
      </c>
      <c r="AG1089" s="56">
        <f>((AW1089-AV1089)+(AX1089-AW1089))/2</f>
        <v>-1.9999999999999962E-2</v>
      </c>
      <c r="AH1089" s="4"/>
      <c r="AI1089" s="56">
        <f>RSQ(AV1089:AX1089,AV1088:AX1088)</f>
        <v>0.79395604395604447</v>
      </c>
      <c r="AJ1089" s="109">
        <f>SLOPE(AV1089:AX1089,AV1088:AX1088)</f>
        <v>-8.0952380952380807E-3</v>
      </c>
      <c r="AK1089" s="56">
        <f>INTERCEPT(AV1089:AX1089,AV1088:AX1088)</f>
        <v>0.84500000000000008</v>
      </c>
      <c r="AL1089" s="56">
        <f>INDEX(LINEST(LN(AV1089:AX1089),LN(AV1088:AX1088),TRUE,TRUE),3,1)</f>
        <v>0.92567943716399592</v>
      </c>
      <c r="AM1089" s="56">
        <f>INDEX(LINEST(LN(AV1089:AX1089),LN(AV1088:AX1088)),1)</f>
        <v>-3.5194663945698895E-2</v>
      </c>
      <c r="AN1089" s="56">
        <f>EXP(INDEX(LINEST(LN(AV1089:AX1089),LN(AV1088:AX1088)),1,2))</f>
        <v>0.84867918932877329</v>
      </c>
      <c r="AO1089" s="82">
        <f>INDEX(LINEST((AV1089:AX1089),LN(AV1088:AX1088),TRUE,TRUE),3,1)</f>
        <v>0.92307692307692346</v>
      </c>
      <c r="AP1089" s="82">
        <f>INDEX(LINEST((AV1089:AX1089),LN(AV1088:AX1088)),1)</f>
        <v>-2.8853900817779214E-2</v>
      </c>
      <c r="AQ1089" s="83">
        <f>INDEX(LINEST(LN(AV1089:AX1089),SQRT(AV1088:AX1088),TRUE,TRUE),3,1)</f>
        <v>0.86594763495368066</v>
      </c>
      <c r="AR1089" s="116">
        <f>INDEX(LINEST(LN(AV1089:AX1089),SQRT((AV1088:AX1088))),1)</f>
        <v>-3.834262159424006E-2</v>
      </c>
      <c r="AS1089" s="84">
        <f>INDEX(LINEST(1/(AV1089:AX1089),1/(SQRT(AV1088:AX1088)),TRUE,TRUE),3,1)</f>
        <v>0.97057077609541664</v>
      </c>
      <c r="AT1089" s="84">
        <f>INDEX(LINEST(1/(AV1089:AX1089),1/SQRT(AV1088:AX1088)),1)</f>
        <v>-0.14836205729382512</v>
      </c>
      <c r="AU1089" s="3"/>
      <c r="AV1089" s="53">
        <v>0.84</v>
      </c>
      <c r="AW1089" s="53">
        <v>0.81</v>
      </c>
      <c r="AX1089" s="53">
        <v>0.8</v>
      </c>
      <c r="AY1089" s="53"/>
      <c r="AZ1089" s="53"/>
      <c r="BA1089" s="53"/>
      <c r="BB1089" s="53"/>
      <c r="BC1089" s="53"/>
      <c r="BD1089" s="53"/>
      <c r="BE1089" s="53"/>
      <c r="BF1089" s="53"/>
      <c r="BG1089" s="53"/>
      <c r="BH1089" s="53"/>
      <c r="BI1089" s="53"/>
      <c r="BJ1089" s="53"/>
      <c r="BK1089" s="53"/>
      <c r="BL1089" s="53"/>
      <c r="BM1089" s="53"/>
      <c r="BN1089" s="53"/>
      <c r="BO1089" s="53"/>
      <c r="BP1089" s="53"/>
      <c r="BQ1089" s="53"/>
      <c r="BR1089" s="53"/>
      <c r="BS1089" s="53"/>
      <c r="BT1089" s="53"/>
      <c r="BU1089" s="53"/>
      <c r="BV1089" s="53"/>
      <c r="BW1089" s="53"/>
      <c r="BX1089" s="53"/>
      <c r="BY1089" s="53"/>
      <c r="BZ1089" s="53"/>
      <c r="CA1089" s="53"/>
      <c r="CB1089" s="53"/>
      <c r="CC1089" s="53"/>
      <c r="CD1089" s="53"/>
      <c r="CE1089" s="53"/>
      <c r="CF1089" s="53"/>
      <c r="CG1089" s="53"/>
      <c r="CH1089" s="53"/>
      <c r="CI1089" s="53"/>
      <c r="CJ1089" s="53"/>
      <c r="CK1089" s="53"/>
      <c r="CL1089" s="53"/>
      <c r="CM1089" s="53"/>
      <c r="CN1089" s="53"/>
      <c r="CO1089" s="53"/>
      <c r="CP1089" s="53"/>
      <c r="CQ1089" s="53"/>
      <c r="CR1089" s="1"/>
      <c r="CS1089" s="1"/>
      <c r="CT1089" s="1"/>
      <c r="CU1089" s="1"/>
    </row>
    <row r="1090" spans="1:99" s="13" customFormat="1" ht="12" customHeight="1" x14ac:dyDescent="0.2">
      <c r="A1090" s="65">
        <v>43916</v>
      </c>
      <c r="B1090" s="1"/>
      <c r="C1090" s="1"/>
      <c r="D1090" s="60"/>
      <c r="E1090" s="76"/>
      <c r="F1090" s="60"/>
      <c r="G1090" s="60"/>
      <c r="H1090" s="60"/>
      <c r="I1090" s="60"/>
      <c r="J1090" s="60"/>
      <c r="K1090" s="64"/>
      <c r="L1090" s="64"/>
      <c r="M1090" s="60"/>
      <c r="N1090" s="60"/>
      <c r="O1090" s="60"/>
      <c r="P1090" s="60"/>
      <c r="Q1090" s="60"/>
      <c r="R1090" s="60"/>
      <c r="S1090" s="60"/>
      <c r="T1090" s="59"/>
      <c r="U1090" s="60"/>
      <c r="V1090" s="59"/>
      <c r="W1090" s="60"/>
      <c r="X1090" s="60"/>
      <c r="Y1090" s="76"/>
      <c r="Z1090" s="60"/>
      <c r="AA1090" s="60"/>
      <c r="AB1090" s="60"/>
      <c r="AC1090" s="60"/>
      <c r="AD1090" s="60"/>
      <c r="AE1090" s="60"/>
      <c r="AF1090" s="80"/>
      <c r="AG1090" s="56"/>
      <c r="AH1090" s="4"/>
      <c r="AI1090" s="56"/>
      <c r="AJ1090" s="109"/>
      <c r="AK1090" s="56"/>
      <c r="AL1090" s="56"/>
      <c r="AM1090" s="56"/>
      <c r="AN1090" s="56"/>
      <c r="AO1090" s="82"/>
      <c r="AP1090" s="82"/>
      <c r="AQ1090" s="82"/>
      <c r="AR1090" s="115"/>
      <c r="AS1090" s="82"/>
      <c r="AT1090" s="82"/>
      <c r="AU1090" s="3"/>
      <c r="AV1090" s="54">
        <v>1.5</v>
      </c>
      <c r="AW1090" s="25">
        <v>3</v>
      </c>
      <c r="AX1090" s="25">
        <v>6</v>
      </c>
      <c r="AY1090" s="53"/>
      <c r="AZ1090" s="53"/>
      <c r="BA1090" s="53"/>
      <c r="BB1090" s="53"/>
      <c r="BC1090" s="53"/>
      <c r="BD1090" s="53"/>
      <c r="BE1090" s="53"/>
      <c r="BF1090" s="53"/>
      <c r="BG1090" s="53"/>
      <c r="BH1090" s="53"/>
      <c r="BI1090" s="53"/>
      <c r="BJ1090" s="53"/>
      <c r="BK1090" s="53"/>
      <c r="BL1090" s="53"/>
      <c r="BM1090" s="53"/>
      <c r="BN1090" s="53"/>
      <c r="BO1090" s="53"/>
      <c r="BP1090" s="53"/>
      <c r="BQ1090" s="53"/>
      <c r="BR1090" s="53"/>
      <c r="BS1090" s="53"/>
      <c r="BT1090" s="53"/>
      <c r="BU1090" s="53"/>
      <c r="BV1090" s="53"/>
      <c r="BW1090" s="53"/>
      <c r="BX1090" s="53"/>
      <c r="BY1090" s="53"/>
      <c r="BZ1090" s="53"/>
      <c r="CA1090" s="53"/>
      <c r="CB1090" s="53"/>
      <c r="CC1090" s="53"/>
      <c r="CD1090" s="53"/>
      <c r="CE1090" s="53"/>
      <c r="CF1090" s="53"/>
      <c r="CG1090" s="53"/>
      <c r="CH1090" s="53"/>
      <c r="CI1090" s="53"/>
      <c r="CJ1090" s="53"/>
      <c r="CK1090" s="53"/>
      <c r="CL1090" s="53"/>
      <c r="CM1090" s="53"/>
      <c r="CN1090" s="53"/>
      <c r="CO1090" s="53"/>
      <c r="CP1090" s="53"/>
      <c r="CQ1090" s="53"/>
      <c r="CR1090" s="1"/>
      <c r="CS1090" s="1"/>
      <c r="CT1090" s="1"/>
      <c r="CU1090" s="1"/>
    </row>
    <row r="1091" spans="1:99" s="13" customFormat="1" ht="12" customHeight="1" x14ac:dyDescent="0.2">
      <c r="A1091" s="65">
        <v>43916</v>
      </c>
      <c r="B1091" s="1" t="s">
        <v>567</v>
      </c>
      <c r="C1091" s="1" t="s">
        <v>45</v>
      </c>
      <c r="D1091" s="60">
        <v>2020</v>
      </c>
      <c r="E1091" s="76">
        <v>3</v>
      </c>
      <c r="F1091" s="60">
        <v>60</v>
      </c>
      <c r="G1091" s="60">
        <v>60</v>
      </c>
      <c r="H1091" s="60" t="s">
        <v>17</v>
      </c>
      <c r="I1091" s="60" t="s">
        <v>778</v>
      </c>
      <c r="J1091" s="60" t="s">
        <v>764</v>
      </c>
      <c r="K1091" s="60">
        <f>IF(J1091="syllables",1,IF(J1091="trigrams",2,IF(J1091="strings",3,IF(J1091="visual array",4,IF(J1091="characters",5,IF(J1091="letters",6,IF(J1091="free forms",7,IF(J1091="odors",8,IF(J1091="words",9,IF(J1091="pictures",10,IF(J1091="object pictures",11,IF(J1091="faces",12,IF(J1091="names",13,IF(J1091="idioms",14,IF(J1091="grades",15,IF(J1091="syllable-digit pairs",16,IF(J1091="trigram-word pairs",17,IF(J1091="word-digit pairs",18,IF(J1091="English-Swahili pairs",19,IF(J1091="spatial position",20,IF(J1091="word pairs",21,IF(J1091="word triads",22,IF(J1091="generated words",23,IF(J1091="word definition pairs",24,IF(J1091="math problems",25,IF(J1091="famous faces",26,IF(J1091="famous names",27,IF(J1091="famous voices",28,IF(J1091="television programs",29,IF(J1091="race horses",30,IF(J1091="new vocabulary",31,IF(J1091="sentences",32,IF(J1091="concepts",33,IF(J1091="ad slides",34,IF(J1091="scenes",35,IF(J1091="famous scenes",36,IF(J1091="poems",37,IF(J1091="walk",38,IF(J1091="faces and events",39,IF(J1091="events and names",40,IF(J1091="flashbulb",41,IF(J1091="stories",42,IF(J1091="course material",43,IF(J1091="autobiographical",44,IF(J1091="novels",45,IF(J1091="public events",46,"99"))))))))))))))))))))))))))))))))))))))))))))))</f>
        <v>4</v>
      </c>
      <c r="L1091" s="60">
        <f>IF(J1091="syllables",1,IF(J1091="trigrams",1,IF(J1091="strings",1,IF(J1091="visual array",1,IF(J1091="characters",1,IF(J1091="letters",1,IF(J1091="free forms",1,IF(J1091="odors",2,IF(J1091="words",2,IF(J1091="pictures",2,IF(J1091="object pictures",2,IF(J1091="faces",2,IF(J1091="names",2,IF(J1091="idioms","2",IF(J1091="grades",2,IF(J1091="syllable-digit pairs",3,IF(J1091="trigram-word pairs",3,IF(J1091="word-digit pairs",3,IF(J1091="English-Swahili pairs",3,IF(J1091="spatial position",3,IF(J1091="word pairs",4,IF(J1091="word triads",4,IF(J1091="generated words",4,IF(J1091="word definition pairs",4,IF(J1091="math problems",4,IF(J1091="famous faces",4,IF(J1091="famous names",4,IF(J1091="famous voices",4,IF(J1091="television programs",4,IF(J1091="race horses",4,IF(J1091="new vocabulary",4,IF(J1091="sentences",5,IF(J1091="concepts",5,IF(J1091="ad slides",5,IF(J1091="scenes",5,IF(J1091="famous scenes",5,IF(J1091="poems",6,IF(J1091="walk",6,IF(J1091="faces and events",6,IF(J1091="events and names",6,IF(J1091="flashbulb",7,IF(J1091="stories",7,IF(J1091="course material",7,IF(J1091="autobiographical",7,IF(J1091="novels",7,IF(J1091="public events",7,"99"))))))))))))))))))))))))))))))))))))))))))))))</f>
        <v>1</v>
      </c>
      <c r="M1091" s="60">
        <v>0</v>
      </c>
      <c r="N1091" s="60">
        <v>1</v>
      </c>
      <c r="O1091" s="60">
        <v>0</v>
      </c>
      <c r="P1091" s="60"/>
      <c r="Q1091" s="60" t="s">
        <v>174</v>
      </c>
      <c r="R1091" s="60">
        <f>IF(Q1091="Free Recall",1,IF(Q1091="Cued Recall",2,IF(Q1091="Recognition",3,IF(Q1091="Multiple Choice",4,IF(Q1091="Savings",5,IF(Q1091="Stem Completion",6,IF(Q1091="Fragment Completion",7,IF(Q1091="anagram solution",8,IF(Q1091="Matching",9,IF(Q1091="Problem Solving",10,"99"))))))))))</f>
        <v>1</v>
      </c>
      <c r="S1091" s="60" t="s">
        <v>49</v>
      </c>
      <c r="T1091" s="59" t="s">
        <v>581</v>
      </c>
      <c r="U1091" s="60">
        <f>IF(T1091="within",1,0)</f>
        <v>1</v>
      </c>
      <c r="V1091" s="59">
        <v>270</v>
      </c>
      <c r="W1091" s="60">
        <f>F1091*V1091</f>
        <v>16200</v>
      </c>
      <c r="X1091" s="60">
        <v>3</v>
      </c>
      <c r="Y1091" s="76">
        <f>AV1090</f>
        <v>1.5</v>
      </c>
      <c r="Z1091" s="60" t="s">
        <v>39</v>
      </c>
      <c r="AA1091" s="60">
        <v>6</v>
      </c>
      <c r="AB1091" s="60" t="str">
        <f>IF(AA1091&lt;60,"1",IF(AA1091&lt;=43200,"2",IF(AA1091&lt;=777600,"3","4")))</f>
        <v>1</v>
      </c>
      <c r="AC1091" s="56">
        <f>AVERAGE(AV1090:DA1090)</f>
        <v>3.5</v>
      </c>
      <c r="AD1091" s="60" t="str">
        <f>IF(AC1091&lt;60,"1",IF(AC1091&lt;=43200,"2",IF(AC1091&lt;=777600,"3","4")))</f>
        <v>1</v>
      </c>
      <c r="AE1091" s="76">
        <f>AA1091-Y1091</f>
        <v>4.5</v>
      </c>
      <c r="AF1091" s="80">
        <f>AV1091</f>
        <v>0.81</v>
      </c>
      <c r="AG1091" s="56">
        <f>((AW1091-AV1091)+(AX1091-AW1091))/2</f>
        <v>-2.0000000000000018E-2</v>
      </c>
      <c r="AH1091" s="4"/>
      <c r="AI1091" s="56">
        <f>RSQ(AV1091:AX1091,AV1090:AX1090)</f>
        <v>0.99175824175824201</v>
      </c>
      <c r="AJ1091" s="109">
        <f>SLOPE(AV1091:AX1091,AV1090:AX1090)</f>
        <v>-9.0476190476190561E-3</v>
      </c>
      <c r="AK1091" s="56">
        <f>INTERCEPT(AV1091:AX1091,AV1090:AX1090)</f>
        <v>0.82500000000000007</v>
      </c>
      <c r="AL1091" s="56">
        <f>INDEX(LINEST(LN(AV1091:AX1091),LN(AV1090:AX1090),TRUE,TRUE),3,1)</f>
        <v>0.92038544489813334</v>
      </c>
      <c r="AM1091" s="56">
        <f>INDEX(LINEST(LN(AV1091:AX1091),LN(AV1090:AX1090)),1)</f>
        <v>-3.6531731094861727E-2</v>
      </c>
      <c r="AN1091" s="56">
        <f>EXP(INDEX(LINEST(LN(AV1091:AX1091),LN(AV1090:AX1090)),1,2))</f>
        <v>0.82562970345420061</v>
      </c>
      <c r="AO1091" s="82">
        <f>INDEX(LINEST((AV1091:AX1091),LN(AV1090:AX1090),TRUE,TRUE),3,1)</f>
        <v>0.92307692307692302</v>
      </c>
      <c r="AP1091" s="82">
        <f>INDEX(LINEST((AV1091:AX1091),LN(AV1090:AX1090)),1)</f>
        <v>-2.8853900817779287E-2</v>
      </c>
      <c r="AQ1091" s="83">
        <f>INDEX(LINEST(LN(AV1091:AX1091),SQRT(AV1090:AX1090),TRUE,TRUE),3,1)</f>
        <v>0.96532342660798909</v>
      </c>
      <c r="AR1091" s="116">
        <f>INDEX(LINEST(LN(AV1091:AX1091),SQRT((AV1090:AX1090))),1)</f>
        <v>-4.2141624974797023E-2</v>
      </c>
      <c r="AS1091" s="84">
        <f>INDEX(LINEST(1/(AV1091:AX1091),1/(SQRT(AV1090:AX1090)),TRUE,TRUE),3,1)</f>
        <v>0.85564381045191074</v>
      </c>
      <c r="AT1091" s="84">
        <f>INDEX(LINEST(1/(AV1091:AX1091),1/SQRT(AV1090:AX1090)),1)</f>
        <v>-0.15095225492712594</v>
      </c>
      <c r="AU1091" s="3"/>
      <c r="AV1091" s="53">
        <v>0.81</v>
      </c>
      <c r="AW1091" s="53">
        <v>0.8</v>
      </c>
      <c r="AX1091" s="53">
        <v>0.77</v>
      </c>
      <c r="AY1091" s="53"/>
      <c r="AZ1091" s="53"/>
      <c r="BA1091" s="53"/>
      <c r="BB1091" s="53"/>
      <c r="BC1091" s="53"/>
      <c r="BD1091" s="53"/>
      <c r="BE1091" s="53"/>
      <c r="BF1091" s="53"/>
      <c r="BG1091" s="53"/>
      <c r="BH1091" s="53"/>
      <c r="BI1091" s="53"/>
      <c r="BJ1091" s="53"/>
      <c r="BK1091" s="53"/>
      <c r="BL1091" s="53"/>
      <c r="BM1091" s="53"/>
      <c r="BN1091" s="53"/>
      <c r="BO1091" s="53"/>
      <c r="BP1091" s="53"/>
      <c r="BQ1091" s="53"/>
      <c r="BR1091" s="53"/>
      <c r="BS1091" s="53"/>
      <c r="BT1091" s="53"/>
      <c r="BU1091" s="53"/>
      <c r="BV1091" s="53"/>
      <c r="BW1091" s="53"/>
      <c r="BX1091" s="53"/>
      <c r="BY1091" s="53"/>
      <c r="BZ1091" s="53"/>
      <c r="CA1091" s="53"/>
      <c r="CB1091" s="53"/>
      <c r="CC1091" s="53"/>
      <c r="CD1091" s="53"/>
      <c r="CE1091" s="53"/>
      <c r="CF1091" s="53"/>
      <c r="CG1091" s="53"/>
      <c r="CH1091" s="53"/>
      <c r="CI1091" s="53"/>
      <c r="CJ1091" s="53"/>
      <c r="CK1091" s="53"/>
      <c r="CL1091" s="53"/>
      <c r="CM1091" s="53"/>
      <c r="CN1091" s="53"/>
      <c r="CO1091" s="53"/>
      <c r="CP1091" s="53"/>
      <c r="CQ1091" s="53"/>
      <c r="CR1091" s="1"/>
      <c r="CS1091" s="1"/>
      <c r="CT1091" s="1"/>
      <c r="CU1091" s="1"/>
    </row>
    <row r="1092" spans="1:99" s="13" customFormat="1" ht="12" customHeight="1" x14ac:dyDescent="0.2">
      <c r="A1092" s="65">
        <v>43916</v>
      </c>
      <c r="B1092" s="1"/>
      <c r="C1092" s="1"/>
      <c r="D1092" s="60"/>
      <c r="E1092" s="76"/>
      <c r="F1092" s="60"/>
      <c r="G1092" s="60"/>
      <c r="H1092" s="60"/>
      <c r="I1092" s="60"/>
      <c r="J1092" s="60"/>
      <c r="K1092" s="64"/>
      <c r="L1092" s="64"/>
      <c r="M1092" s="60"/>
      <c r="N1092" s="60"/>
      <c r="O1092" s="60"/>
      <c r="P1092" s="60"/>
      <c r="Q1092" s="60"/>
      <c r="R1092" s="60"/>
      <c r="S1092" s="60"/>
      <c r="T1092" s="59"/>
      <c r="U1092" s="60"/>
      <c r="V1092" s="59"/>
      <c r="W1092" s="60"/>
      <c r="X1092" s="60"/>
      <c r="Y1092" s="76"/>
      <c r="Z1092" s="60"/>
      <c r="AA1092" s="60"/>
      <c r="AB1092" s="60"/>
      <c r="AC1092" s="60"/>
      <c r="AD1092" s="60"/>
      <c r="AE1092" s="60"/>
      <c r="AF1092" s="80"/>
      <c r="AG1092" s="56"/>
      <c r="AH1092" s="4"/>
      <c r="AI1092" s="56"/>
      <c r="AJ1092" s="109"/>
      <c r="AK1092" s="56"/>
      <c r="AL1092" s="56"/>
      <c r="AM1092" s="56"/>
      <c r="AN1092" s="56"/>
      <c r="AO1092" s="82"/>
      <c r="AP1092" s="82"/>
      <c r="AQ1092" s="82"/>
      <c r="AR1092" s="115"/>
      <c r="AS1092" s="82"/>
      <c r="AT1092" s="82"/>
      <c r="AU1092" s="3"/>
      <c r="AV1092" s="54">
        <v>1.5</v>
      </c>
      <c r="AW1092" s="25">
        <v>3</v>
      </c>
      <c r="AX1092" s="25">
        <v>6</v>
      </c>
      <c r="AY1092" s="53"/>
      <c r="AZ1092" s="53"/>
      <c r="BA1092" s="53"/>
      <c r="BB1092" s="53"/>
      <c r="BC1092" s="53"/>
      <c r="BD1092" s="53"/>
      <c r="BE1092" s="53"/>
      <c r="BF1092" s="53"/>
      <c r="BG1092" s="53"/>
      <c r="BH1092" s="53"/>
      <c r="BI1092" s="53"/>
      <c r="BJ1092" s="53"/>
      <c r="BK1092" s="53"/>
      <c r="BL1092" s="53"/>
      <c r="BM1092" s="53"/>
      <c r="BN1092" s="53"/>
      <c r="BO1092" s="53"/>
      <c r="BP1092" s="53"/>
      <c r="BQ1092" s="53"/>
      <c r="BR1092" s="53"/>
      <c r="BS1092" s="53"/>
      <c r="BT1092" s="53"/>
      <c r="BU1092" s="53"/>
      <c r="BV1092" s="53"/>
      <c r="BW1092" s="53"/>
      <c r="BX1092" s="53"/>
      <c r="BY1092" s="53"/>
      <c r="BZ1092" s="53"/>
      <c r="CA1092" s="53"/>
      <c r="CB1092" s="53"/>
      <c r="CC1092" s="53"/>
      <c r="CD1092" s="53"/>
      <c r="CE1092" s="53"/>
      <c r="CF1092" s="53"/>
      <c r="CG1092" s="53"/>
      <c r="CH1092" s="53"/>
      <c r="CI1092" s="53"/>
      <c r="CJ1092" s="53"/>
      <c r="CK1092" s="53"/>
      <c r="CL1092" s="53"/>
      <c r="CM1092" s="53"/>
      <c r="CN1092" s="53"/>
      <c r="CO1092" s="53"/>
      <c r="CP1092" s="53"/>
      <c r="CQ1092" s="53"/>
      <c r="CR1092" s="1"/>
      <c r="CS1092" s="1"/>
      <c r="CT1092" s="1"/>
      <c r="CU1092" s="1"/>
    </row>
    <row r="1093" spans="1:99" s="13" customFormat="1" ht="12" customHeight="1" x14ac:dyDescent="0.2">
      <c r="A1093" s="65">
        <v>43916</v>
      </c>
      <c r="B1093" s="1" t="s">
        <v>567</v>
      </c>
      <c r="C1093" s="1" t="s">
        <v>45</v>
      </c>
      <c r="D1093" s="60">
        <v>2020</v>
      </c>
      <c r="E1093" s="76">
        <v>3</v>
      </c>
      <c r="F1093" s="60">
        <v>60</v>
      </c>
      <c r="G1093" s="60">
        <v>60</v>
      </c>
      <c r="H1093" s="60" t="s">
        <v>17</v>
      </c>
      <c r="I1093" s="60" t="s">
        <v>779</v>
      </c>
      <c r="J1093" s="60" t="s">
        <v>764</v>
      </c>
      <c r="K1093" s="60">
        <f>IF(J1093="syllables",1,IF(J1093="trigrams",2,IF(J1093="strings",3,IF(J1093="visual array",4,IF(J1093="characters",5,IF(J1093="letters",6,IF(J1093="free forms",7,IF(J1093="odors",8,IF(J1093="words",9,IF(J1093="pictures",10,IF(J1093="object pictures",11,IF(J1093="faces",12,IF(J1093="names",13,IF(J1093="idioms",14,IF(J1093="grades",15,IF(J1093="syllable-digit pairs",16,IF(J1093="trigram-word pairs",17,IF(J1093="word-digit pairs",18,IF(J1093="English-Swahili pairs",19,IF(J1093="spatial position",20,IF(J1093="word pairs",21,IF(J1093="word triads",22,IF(J1093="generated words",23,IF(J1093="word definition pairs",24,IF(J1093="math problems",25,IF(J1093="famous faces",26,IF(J1093="famous names",27,IF(J1093="famous voices",28,IF(J1093="television programs",29,IF(J1093="race horses",30,IF(J1093="new vocabulary",31,IF(J1093="sentences",32,IF(J1093="concepts",33,IF(J1093="ad slides",34,IF(J1093="scenes",35,IF(J1093="famous scenes",36,IF(J1093="poems",37,IF(J1093="walk",38,IF(J1093="faces and events",39,IF(J1093="events and names",40,IF(J1093="flashbulb",41,IF(J1093="stories",42,IF(J1093="course material",43,IF(J1093="autobiographical",44,IF(J1093="novels",45,IF(J1093="public events",46,"99"))))))))))))))))))))))))))))))))))))))))))))))</f>
        <v>4</v>
      </c>
      <c r="L1093" s="60">
        <f>IF(J1093="syllables",1,IF(J1093="trigrams",1,IF(J1093="strings",1,IF(J1093="visual array",1,IF(J1093="characters",1,IF(J1093="letters",1,IF(J1093="free forms",1,IF(J1093="odors",2,IF(J1093="words",2,IF(J1093="pictures",2,IF(J1093="object pictures",2,IF(J1093="faces",2,IF(J1093="names",2,IF(J1093="idioms","2",IF(J1093="grades",2,IF(J1093="syllable-digit pairs",3,IF(J1093="trigram-word pairs",3,IF(J1093="word-digit pairs",3,IF(J1093="English-Swahili pairs",3,IF(J1093="spatial position",3,IF(J1093="word pairs",4,IF(J1093="word triads",4,IF(J1093="generated words",4,IF(J1093="word definition pairs",4,IF(J1093="math problems",4,IF(J1093="famous faces",4,IF(J1093="famous names",4,IF(J1093="famous voices",4,IF(J1093="television programs",4,IF(J1093="race horses",4,IF(J1093="new vocabulary",4,IF(J1093="sentences",5,IF(J1093="concepts",5,IF(J1093="ad slides",5,IF(J1093="scenes",5,IF(J1093="famous scenes",5,IF(J1093="poems",6,IF(J1093="walk",6,IF(J1093="faces and events",6,IF(J1093="events and names",6,IF(J1093="flashbulb",7,IF(J1093="stories",7,IF(J1093="course material",7,IF(J1093="autobiographical",7,IF(J1093="novels",7,IF(J1093="public events",7,"99"))))))))))))))))))))))))))))))))))))))))))))))</f>
        <v>1</v>
      </c>
      <c r="M1093" s="60">
        <v>0</v>
      </c>
      <c r="N1093" s="60">
        <v>1</v>
      </c>
      <c r="O1093" s="60">
        <v>0</v>
      </c>
      <c r="P1093" s="60"/>
      <c r="Q1093" s="60" t="s">
        <v>174</v>
      </c>
      <c r="R1093" s="60">
        <f>IF(Q1093="Free Recall",1,IF(Q1093="Cued Recall",2,IF(Q1093="Recognition",3,IF(Q1093="Multiple Choice",4,IF(Q1093="Savings",5,IF(Q1093="Stem Completion",6,IF(Q1093="Fragment Completion",7,IF(Q1093="anagram solution",8,IF(Q1093="Matching",9,IF(Q1093="Problem Solving",10,"99"))))))))))</f>
        <v>1</v>
      </c>
      <c r="S1093" s="60" t="s">
        <v>49</v>
      </c>
      <c r="T1093" s="59" t="s">
        <v>581</v>
      </c>
      <c r="U1093" s="60">
        <f>IF(T1093="within",1,0)</f>
        <v>1</v>
      </c>
      <c r="V1093" s="59">
        <v>270</v>
      </c>
      <c r="W1093" s="60">
        <f>F1093*V1093</f>
        <v>16200</v>
      </c>
      <c r="X1093" s="60">
        <v>3</v>
      </c>
      <c r="Y1093" s="76">
        <f>AV1092</f>
        <v>1.5</v>
      </c>
      <c r="Z1093" s="60" t="s">
        <v>39</v>
      </c>
      <c r="AA1093" s="60">
        <v>6</v>
      </c>
      <c r="AB1093" s="60" t="str">
        <f>IF(AA1093&lt;60,"1",IF(AA1093&lt;=43200,"2",IF(AA1093&lt;=777600,"3","4")))</f>
        <v>1</v>
      </c>
      <c r="AC1093" s="56">
        <f>AVERAGE(AV1092:DA1092)</f>
        <v>3.5</v>
      </c>
      <c r="AD1093" s="60" t="str">
        <f>IF(AC1093&lt;60,"1",IF(AC1093&lt;=43200,"2",IF(AC1093&lt;=777600,"3","4")))</f>
        <v>1</v>
      </c>
      <c r="AE1093" s="76">
        <f>AA1093-Y1093</f>
        <v>4.5</v>
      </c>
      <c r="AF1093" s="80">
        <f>AV1093</f>
        <v>0.76</v>
      </c>
      <c r="AG1093" s="56">
        <f>((AW1093-AV1093)+(AX1093-AW1093))/2</f>
        <v>-2.0000000000000018E-2</v>
      </c>
      <c r="AH1093" s="4"/>
      <c r="AI1093" s="56">
        <f>RSQ(AV1093:AX1093,AV1092:AX1092)</f>
        <v>0.9642857142857143</v>
      </c>
      <c r="AJ1093" s="109">
        <f>SLOPE(AV1093:AX1093,AV1092:AX1092)</f>
        <v>-8.5714285714285788E-3</v>
      </c>
      <c r="AK1093" s="56">
        <f>INTERCEPT(AV1093:AX1093,AV1092:AX1092)</f>
        <v>0.76999999999999991</v>
      </c>
      <c r="AL1093" s="56">
        <f>INDEX(LINEST(LN(AV1093:AX1093),LN(AV1092:AX1092),TRUE,TRUE),3,1)</f>
        <v>0.99993911719704365</v>
      </c>
      <c r="AM1093" s="56">
        <f>INDEX(LINEST(LN(AV1093:AX1093),LN(AV1092:AX1092)),1)</f>
        <v>-3.9001256000636579E-2</v>
      </c>
      <c r="AN1093" s="56">
        <f>EXP(INDEX(LINEST(LN(AV1093:AX1093),LN(AV1092:AX1092)),1,2))</f>
        <v>0.7722079427216203</v>
      </c>
      <c r="AO1093" s="82">
        <f>INDEX(LINEST((AV1093:AX1093),LN(AV1092:AX1092),TRUE,TRUE),3,1)</f>
        <v>1</v>
      </c>
      <c r="AP1093" s="82">
        <f>INDEX(LINEST((AV1093:AX1093),LN(AV1092:AX1092)),1)</f>
        <v>-2.8853900817779294E-2</v>
      </c>
      <c r="AQ1093" s="83">
        <f>INDEX(LINEST(LN(AV1093:AX1093),SQRT(AV1092:AX1092),TRUE,TRUE),3,1)</f>
        <v>0.99175400626461163</v>
      </c>
      <c r="AR1093" s="116">
        <f>INDEX(LINEST(LN(AV1093:AX1093),SQRT((AV1092:AX1092))),1)</f>
        <v>-4.3750525098747037E-2</v>
      </c>
      <c r="AS1093" s="84">
        <f>INDEX(LINEST(1/(AV1093:AX1093),1/(SQRT(AV1092:AX1092)),TRUE,TRUE),3,1)</f>
        <v>0.98698361554790437</v>
      </c>
      <c r="AT1093" s="84">
        <f>INDEX(LINEST(1/(AV1093:AX1093),1/SQRT(AV1092:AX1092)),1)</f>
        <v>-0.17704228740998887</v>
      </c>
      <c r="AU1093" s="3"/>
      <c r="AV1093" s="53">
        <v>0.76</v>
      </c>
      <c r="AW1093" s="53">
        <v>0.74</v>
      </c>
      <c r="AX1093" s="53">
        <v>0.72</v>
      </c>
      <c r="AY1093" s="53"/>
      <c r="AZ1093" s="53"/>
      <c r="BA1093" s="53"/>
      <c r="BB1093" s="53"/>
      <c r="BC1093" s="53"/>
      <c r="BD1093" s="53"/>
      <c r="BE1093" s="53"/>
      <c r="BF1093" s="53"/>
      <c r="BG1093" s="53"/>
      <c r="BH1093" s="53"/>
      <c r="BI1093" s="53"/>
      <c r="BJ1093" s="53"/>
      <c r="BK1093" s="53"/>
      <c r="BL1093" s="53"/>
      <c r="BM1093" s="53"/>
      <c r="BN1093" s="53"/>
      <c r="BO1093" s="53"/>
      <c r="BP1093" s="53"/>
      <c r="BQ1093" s="53"/>
      <c r="BR1093" s="53"/>
      <c r="BS1093" s="53"/>
      <c r="BT1093" s="53"/>
      <c r="BU1093" s="53"/>
      <c r="BV1093" s="53"/>
      <c r="BW1093" s="53"/>
      <c r="BX1093" s="53"/>
      <c r="BY1093" s="53"/>
      <c r="BZ1093" s="53"/>
      <c r="CA1093" s="53"/>
      <c r="CB1093" s="53"/>
      <c r="CC1093" s="53"/>
      <c r="CD1093" s="53"/>
      <c r="CE1093" s="53"/>
      <c r="CF1093" s="53"/>
      <c r="CG1093" s="53"/>
      <c r="CH1093" s="53"/>
      <c r="CI1093" s="53"/>
      <c r="CJ1093" s="53"/>
      <c r="CK1093" s="53"/>
      <c r="CL1093" s="53"/>
      <c r="CM1093" s="53"/>
      <c r="CN1093" s="53"/>
      <c r="CO1093" s="53"/>
      <c r="CP1093" s="53"/>
      <c r="CQ1093" s="53"/>
      <c r="CR1093" s="1"/>
      <c r="CS1093" s="1"/>
      <c r="CT1093" s="1"/>
      <c r="CU1093" s="1"/>
    </row>
    <row r="1094" spans="1:99" s="13" customFormat="1" ht="12" customHeight="1" x14ac:dyDescent="0.2">
      <c r="A1094" s="65">
        <v>43916</v>
      </c>
      <c r="B1094" s="1"/>
      <c r="C1094" s="1"/>
      <c r="D1094" s="60"/>
      <c r="E1094" s="76"/>
      <c r="F1094" s="60"/>
      <c r="G1094" s="60"/>
      <c r="H1094" s="60"/>
      <c r="I1094" s="60"/>
      <c r="J1094" s="60"/>
      <c r="K1094" s="64"/>
      <c r="L1094" s="64"/>
      <c r="M1094" s="60"/>
      <c r="N1094" s="60"/>
      <c r="O1094" s="60"/>
      <c r="P1094" s="60"/>
      <c r="Q1094" s="60"/>
      <c r="R1094" s="60"/>
      <c r="S1094" s="60"/>
      <c r="T1094" s="59"/>
      <c r="U1094" s="60"/>
      <c r="V1094" s="59"/>
      <c r="W1094" s="60"/>
      <c r="X1094" s="60"/>
      <c r="Y1094" s="76"/>
      <c r="Z1094" s="60"/>
      <c r="AA1094" s="60"/>
      <c r="AB1094" s="60"/>
      <c r="AC1094" s="60"/>
      <c r="AD1094" s="60"/>
      <c r="AE1094" s="60"/>
      <c r="AF1094" s="80"/>
      <c r="AG1094" s="56"/>
      <c r="AH1094" s="4"/>
      <c r="AI1094" s="56"/>
      <c r="AJ1094" s="109"/>
      <c r="AK1094" s="56"/>
      <c r="AL1094" s="56"/>
      <c r="AM1094" s="56"/>
      <c r="AN1094" s="56"/>
      <c r="AO1094" s="82"/>
      <c r="AP1094" s="82"/>
      <c r="AQ1094" s="82"/>
      <c r="AR1094" s="115"/>
      <c r="AS1094" s="82"/>
      <c r="AT1094" s="82"/>
      <c r="AU1094" s="3"/>
      <c r="AV1094" s="54">
        <v>1.5</v>
      </c>
      <c r="AW1094" s="25">
        <v>3</v>
      </c>
      <c r="AX1094" s="25">
        <v>6</v>
      </c>
      <c r="AY1094" s="53"/>
      <c r="AZ1094" s="53"/>
      <c r="BA1094" s="53"/>
      <c r="BB1094" s="53"/>
      <c r="BC1094" s="53"/>
      <c r="BD1094" s="53"/>
      <c r="BE1094" s="53"/>
      <c r="BF1094" s="53"/>
      <c r="BG1094" s="53"/>
      <c r="BH1094" s="53"/>
      <c r="BI1094" s="53"/>
      <c r="BJ1094" s="53"/>
      <c r="BK1094" s="53"/>
      <c r="BL1094" s="53"/>
      <c r="BM1094" s="53"/>
      <c r="BN1094" s="53"/>
      <c r="BO1094" s="53"/>
      <c r="BP1094" s="53"/>
      <c r="BQ1094" s="53"/>
      <c r="BR1094" s="53"/>
      <c r="BS1094" s="53"/>
      <c r="BT1094" s="53"/>
      <c r="BU1094" s="53"/>
      <c r="BV1094" s="53"/>
      <c r="BW1094" s="53"/>
      <c r="BX1094" s="53"/>
      <c r="BY1094" s="53"/>
      <c r="BZ1094" s="53"/>
      <c r="CA1094" s="53"/>
      <c r="CB1094" s="53"/>
      <c r="CC1094" s="53"/>
      <c r="CD1094" s="53"/>
      <c r="CE1094" s="53"/>
      <c r="CF1094" s="53"/>
      <c r="CG1094" s="53"/>
      <c r="CH1094" s="53"/>
      <c r="CI1094" s="53"/>
      <c r="CJ1094" s="53"/>
      <c r="CK1094" s="53"/>
      <c r="CL1094" s="53"/>
      <c r="CM1094" s="53"/>
      <c r="CN1094" s="53"/>
      <c r="CO1094" s="53"/>
      <c r="CP1094" s="53"/>
      <c r="CQ1094" s="53"/>
      <c r="CR1094" s="1"/>
      <c r="CS1094" s="1"/>
      <c r="CT1094" s="1"/>
      <c r="CU1094" s="1"/>
    </row>
    <row r="1095" spans="1:99" s="13" customFormat="1" ht="12" customHeight="1" x14ac:dyDescent="0.2">
      <c r="A1095" s="65">
        <v>43916</v>
      </c>
      <c r="B1095" s="1" t="s">
        <v>567</v>
      </c>
      <c r="C1095" s="1" t="s">
        <v>45</v>
      </c>
      <c r="D1095" s="60">
        <v>2020</v>
      </c>
      <c r="E1095" s="76">
        <v>4</v>
      </c>
      <c r="F1095" s="60">
        <v>61</v>
      </c>
      <c r="G1095" s="60">
        <v>61</v>
      </c>
      <c r="H1095" s="60" t="s">
        <v>769</v>
      </c>
      <c r="I1095" s="60" t="s">
        <v>780</v>
      </c>
      <c r="J1095" s="60" t="s">
        <v>764</v>
      </c>
      <c r="K1095" s="60">
        <f>IF(J1095="syllables",1,IF(J1095="trigrams",2,IF(J1095="strings",3,IF(J1095="visual array",4,IF(J1095="characters",5,IF(J1095="letters",6,IF(J1095="free forms",7,IF(J1095="odors",8,IF(J1095="words",9,IF(J1095="pictures",10,IF(J1095="object pictures",11,IF(J1095="faces",12,IF(J1095="names",13,IF(J1095="idioms",14,IF(J1095="grades",15,IF(J1095="syllable-digit pairs",16,IF(J1095="trigram-word pairs",17,IF(J1095="word-digit pairs",18,IF(J1095="English-Swahili pairs",19,IF(J1095="spatial position",20,IF(J1095="word pairs",21,IF(J1095="word triads",22,IF(J1095="generated words",23,IF(J1095="word definition pairs",24,IF(J1095="math problems",25,IF(J1095="famous faces",26,IF(J1095="famous names",27,IF(J1095="famous voices",28,IF(J1095="television programs",29,IF(J1095="race horses",30,IF(J1095="new vocabulary",31,IF(J1095="sentences",32,IF(J1095="concepts",33,IF(J1095="ad slides",34,IF(J1095="scenes",35,IF(J1095="famous scenes",36,IF(J1095="poems",37,IF(J1095="walk",38,IF(J1095="faces and events",39,IF(J1095="events and names",40,IF(J1095="flashbulb",41,IF(J1095="stories",42,IF(J1095="course material",43,IF(J1095="autobiographical",44,IF(J1095="novels",45,IF(J1095="public events",46,"99"))))))))))))))))))))))))))))))))))))))))))))))</f>
        <v>4</v>
      </c>
      <c r="L1095" s="60">
        <f>IF(J1095="syllables",1,IF(J1095="trigrams",1,IF(J1095="strings",1,IF(J1095="visual array",1,IF(J1095="characters",1,IF(J1095="letters",1,IF(J1095="free forms",1,IF(J1095="odors",2,IF(J1095="words",2,IF(J1095="pictures",2,IF(J1095="object pictures",2,IF(J1095="faces",2,IF(J1095="names",2,IF(J1095="idioms","2",IF(J1095="grades",2,IF(J1095="syllable-digit pairs",3,IF(J1095="trigram-word pairs",3,IF(J1095="word-digit pairs",3,IF(J1095="English-Swahili pairs",3,IF(J1095="spatial position",3,IF(J1095="word pairs",4,IF(J1095="word triads",4,IF(J1095="generated words",4,IF(J1095="word definition pairs",4,IF(J1095="math problems",4,IF(J1095="famous faces",4,IF(J1095="famous names",4,IF(J1095="famous voices",4,IF(J1095="television programs",4,IF(J1095="race horses",4,IF(J1095="new vocabulary",4,IF(J1095="sentences",5,IF(J1095="concepts",5,IF(J1095="ad slides",5,IF(J1095="scenes",5,IF(J1095="famous scenes",5,IF(J1095="poems",6,IF(J1095="walk",6,IF(J1095="faces and events",6,IF(J1095="events and names",6,IF(J1095="flashbulb",7,IF(J1095="stories",7,IF(J1095="course material",7,IF(J1095="autobiographical",7,IF(J1095="novels",7,IF(J1095="public events",7,"99"))))))))))))))))))))))))))))))))))))))))))))))</f>
        <v>1</v>
      </c>
      <c r="M1095" s="60">
        <v>0</v>
      </c>
      <c r="N1095" s="60">
        <v>1</v>
      </c>
      <c r="O1095" s="60">
        <v>0</v>
      </c>
      <c r="P1095" s="60"/>
      <c r="Q1095" s="60" t="s">
        <v>174</v>
      </c>
      <c r="R1095" s="60">
        <f>IF(Q1095="Free Recall",1,IF(Q1095="Cued Recall",2,IF(Q1095="Recognition",3,IF(Q1095="Multiple Choice",4,IF(Q1095="Savings",5,IF(Q1095="Stem Completion",6,IF(Q1095="Fragment Completion",7,IF(Q1095="anagram solution",8,IF(Q1095="Matching",9,IF(Q1095="Problem Solving",10,"99"))))))))))</f>
        <v>1</v>
      </c>
      <c r="S1095" s="60" t="s">
        <v>49</v>
      </c>
      <c r="T1095" s="59" t="s">
        <v>581</v>
      </c>
      <c r="U1095" s="60">
        <f>IF(T1095="within",1,0)</f>
        <v>1</v>
      </c>
      <c r="V1095" s="59">
        <v>108</v>
      </c>
      <c r="W1095" s="60">
        <f>F1095*V1095</f>
        <v>6588</v>
      </c>
      <c r="X1095" s="60">
        <v>3</v>
      </c>
      <c r="Y1095" s="76">
        <f>AV1094</f>
        <v>1.5</v>
      </c>
      <c r="Z1095" s="60" t="s">
        <v>39</v>
      </c>
      <c r="AA1095" s="60">
        <v>6</v>
      </c>
      <c r="AB1095" s="60" t="str">
        <f>IF(AA1095&lt;60,"1",IF(AA1095&lt;=43200,"2",IF(AA1095&lt;=777600,"3","4")))</f>
        <v>1</v>
      </c>
      <c r="AC1095" s="56">
        <f>AVERAGE(AV1094:DA1094)</f>
        <v>3.5</v>
      </c>
      <c r="AD1095" s="60" t="str">
        <f>IF(AC1095&lt;60,"1",IF(AC1095&lt;=43200,"2",IF(AC1095&lt;=777600,"3","4")))</f>
        <v>1</v>
      </c>
      <c r="AE1095" s="76">
        <f>AA1095-Y1095</f>
        <v>4.5</v>
      </c>
      <c r="AF1095" s="80">
        <f>AV1095</f>
        <v>0.86</v>
      </c>
      <c r="AG1095" s="56">
        <f>((AW1095-AV1095)+(AX1095-AW1095))/2</f>
        <v>-2.0000000000000018E-2</v>
      </c>
      <c r="AH1095" s="4"/>
      <c r="AI1095" s="56">
        <f>RSQ(AV1095:AX1095,AV1094:AX1094)</f>
        <v>0.99175824175824201</v>
      </c>
      <c r="AJ1095" s="109">
        <f>SLOPE(AV1095:AX1095,AV1094:AX1094)</f>
        <v>-9.0476190476190561E-3</v>
      </c>
      <c r="AK1095" s="56">
        <f>INTERCEPT(AV1095:AX1095,AV1094:AX1094)</f>
        <v>0.875</v>
      </c>
      <c r="AL1095" s="56">
        <f>INDEX(LINEST(LN(AV1095:AX1095),LN(AV1094:AX1094),TRUE,TRUE),3,1)</f>
        <v>0.92054537949852733</v>
      </c>
      <c r="AM1095" s="56">
        <f>INDEX(LINEST(LN(AV1095:AX1095),LN(AV1094:AX1094)),1)</f>
        <v>-3.4356375042007142E-2</v>
      </c>
      <c r="AN1095" s="56">
        <f>EXP(INDEX(LINEST(LN(AV1095:AX1095),LN(AV1094:AX1094)),1,2))</f>
        <v>0.87559357588932518</v>
      </c>
      <c r="AO1095" s="82">
        <f>INDEX(LINEST((AV1095:AX1095),LN(AV1094:AX1094),TRUE,TRUE),3,1)</f>
        <v>0.92307692307692302</v>
      </c>
      <c r="AP1095" s="82">
        <f>INDEX(LINEST((AV1095:AX1095),LN(AV1094:AX1094)),1)</f>
        <v>-2.8853900817779287E-2</v>
      </c>
      <c r="AQ1095" s="83">
        <f>INDEX(LINEST(LN(AV1095:AX1095),SQRT(AV1094:AX1094),TRUE,TRUE),3,1)</f>
        <v>0.96543149249959659</v>
      </c>
      <c r="AR1095" s="116">
        <f>INDEX(LINEST(LN(AV1095:AX1095),SQRT((AV1094:AX1094))),1)</f>
        <v>-3.963099154454184E-2</v>
      </c>
      <c r="AS1095" s="84">
        <f>INDEX(LINEST(1/(AV1095:AX1095),1/(SQRT(AV1094:AX1094)),TRUE,TRUE),3,1)</f>
        <v>0.85605439037009823</v>
      </c>
      <c r="AT1095" s="84">
        <f>INDEX(LINEST(1/(AV1095:AX1095),1/SQRT(AV1094:AX1094)),1)</f>
        <v>-0.1335153739721637</v>
      </c>
      <c r="AU1095" s="3"/>
      <c r="AV1095" s="53">
        <v>0.86</v>
      </c>
      <c r="AW1095" s="53">
        <v>0.85</v>
      </c>
      <c r="AX1095" s="53">
        <v>0.82</v>
      </c>
      <c r="AY1095" s="53"/>
      <c r="AZ1095" s="53"/>
      <c r="BA1095" s="53"/>
      <c r="BB1095" s="53"/>
      <c r="BC1095" s="53"/>
      <c r="BD1095" s="53"/>
      <c r="BE1095" s="53"/>
      <c r="BF1095" s="53"/>
      <c r="BG1095" s="53"/>
      <c r="BH1095" s="53"/>
      <c r="BI1095" s="53"/>
      <c r="BJ1095" s="53"/>
      <c r="BK1095" s="53"/>
      <c r="BL1095" s="53"/>
      <c r="BM1095" s="53"/>
      <c r="BN1095" s="53"/>
      <c r="BO1095" s="53"/>
      <c r="BP1095" s="53"/>
      <c r="BQ1095" s="53"/>
      <c r="BR1095" s="53"/>
      <c r="BS1095" s="53"/>
      <c r="BT1095" s="53"/>
      <c r="BU1095" s="53"/>
      <c r="BV1095" s="53"/>
      <c r="BW1095" s="53"/>
      <c r="BX1095" s="53"/>
      <c r="BY1095" s="53"/>
      <c r="BZ1095" s="53"/>
      <c r="CA1095" s="53"/>
      <c r="CB1095" s="53"/>
      <c r="CC1095" s="53"/>
      <c r="CD1095" s="53"/>
      <c r="CE1095" s="53"/>
      <c r="CF1095" s="53"/>
      <c r="CG1095" s="53"/>
      <c r="CH1095" s="53"/>
      <c r="CI1095" s="53"/>
      <c r="CJ1095" s="53"/>
      <c r="CK1095" s="53"/>
      <c r="CL1095" s="53"/>
      <c r="CM1095" s="53"/>
      <c r="CN1095" s="53"/>
      <c r="CO1095" s="53"/>
      <c r="CP1095" s="53"/>
      <c r="CQ1095" s="53"/>
      <c r="CR1095" s="1"/>
      <c r="CS1095" s="1"/>
      <c r="CT1095" s="1"/>
      <c r="CU1095" s="1"/>
    </row>
    <row r="1096" spans="1:99" s="13" customFormat="1" ht="12" customHeight="1" x14ac:dyDescent="0.2">
      <c r="A1096" s="65">
        <v>43916</v>
      </c>
      <c r="B1096" s="1"/>
      <c r="C1096" s="1"/>
      <c r="D1096" s="60"/>
      <c r="E1096" s="76"/>
      <c r="F1096" s="60"/>
      <c r="G1096" s="60"/>
      <c r="H1096" s="60"/>
      <c r="I1096" s="60"/>
      <c r="J1096" s="60"/>
      <c r="K1096" s="64"/>
      <c r="L1096" s="64"/>
      <c r="M1096" s="60"/>
      <c r="N1096" s="60"/>
      <c r="O1096" s="60"/>
      <c r="P1096" s="60"/>
      <c r="Q1096" s="60"/>
      <c r="R1096" s="60"/>
      <c r="S1096" s="60"/>
      <c r="T1096" s="59"/>
      <c r="U1096" s="60"/>
      <c r="V1096" s="59"/>
      <c r="W1096" s="60"/>
      <c r="X1096" s="60"/>
      <c r="Y1096" s="76"/>
      <c r="Z1096" s="60"/>
      <c r="AA1096" s="60"/>
      <c r="AB1096" s="60"/>
      <c r="AC1096" s="60"/>
      <c r="AD1096" s="60"/>
      <c r="AE1096" s="60"/>
      <c r="AF1096" s="80"/>
      <c r="AG1096" s="56"/>
      <c r="AH1096" s="4"/>
      <c r="AI1096" s="56"/>
      <c r="AJ1096" s="109"/>
      <c r="AK1096" s="56"/>
      <c r="AL1096" s="56"/>
      <c r="AM1096" s="56"/>
      <c r="AN1096" s="56"/>
      <c r="AO1096" s="82"/>
      <c r="AP1096" s="82"/>
      <c r="AQ1096" s="82"/>
      <c r="AR1096" s="115"/>
      <c r="AS1096" s="82"/>
      <c r="AT1096" s="82"/>
      <c r="AU1096" s="3"/>
      <c r="AV1096" s="54">
        <v>1.5</v>
      </c>
      <c r="AW1096" s="25">
        <v>3</v>
      </c>
      <c r="AX1096" s="25">
        <v>6</v>
      </c>
      <c r="AY1096" s="53"/>
      <c r="AZ1096" s="53"/>
      <c r="BA1096" s="53"/>
      <c r="BB1096" s="53"/>
      <c r="BC1096" s="53"/>
      <c r="BD1096" s="53"/>
      <c r="BE1096" s="53"/>
      <c r="BF1096" s="53"/>
      <c r="BG1096" s="53"/>
      <c r="BH1096" s="53"/>
      <c r="BI1096" s="53"/>
      <c r="BJ1096" s="53"/>
      <c r="BK1096" s="53"/>
      <c r="BL1096" s="53"/>
      <c r="BM1096" s="53"/>
      <c r="BN1096" s="53"/>
      <c r="BO1096" s="53"/>
      <c r="BP1096" s="53"/>
      <c r="BQ1096" s="53"/>
      <c r="BR1096" s="53"/>
      <c r="BS1096" s="53"/>
      <c r="BT1096" s="53"/>
      <c r="BU1096" s="53"/>
      <c r="BV1096" s="53"/>
      <c r="BW1096" s="53"/>
      <c r="BX1096" s="53"/>
      <c r="BY1096" s="53"/>
      <c r="BZ1096" s="53"/>
      <c r="CA1096" s="53"/>
      <c r="CB1096" s="53"/>
      <c r="CC1096" s="53"/>
      <c r="CD1096" s="53"/>
      <c r="CE1096" s="53"/>
      <c r="CF1096" s="53"/>
      <c r="CG1096" s="53"/>
      <c r="CH1096" s="53"/>
      <c r="CI1096" s="53"/>
      <c r="CJ1096" s="53"/>
      <c r="CK1096" s="53"/>
      <c r="CL1096" s="53"/>
      <c r="CM1096" s="53"/>
      <c r="CN1096" s="53"/>
      <c r="CO1096" s="53"/>
      <c r="CP1096" s="53"/>
      <c r="CQ1096" s="53"/>
      <c r="CR1096" s="1"/>
      <c r="CS1096" s="1"/>
      <c r="CT1096" s="1"/>
      <c r="CU1096" s="1"/>
    </row>
    <row r="1097" spans="1:99" s="13" customFormat="1" ht="12" customHeight="1" x14ac:dyDescent="0.2">
      <c r="A1097" s="65">
        <v>43916</v>
      </c>
      <c r="B1097" s="1" t="s">
        <v>567</v>
      </c>
      <c r="C1097" s="1" t="s">
        <v>45</v>
      </c>
      <c r="D1097" s="60">
        <v>2020</v>
      </c>
      <c r="E1097" s="76">
        <v>4</v>
      </c>
      <c r="F1097" s="60">
        <v>61</v>
      </c>
      <c r="G1097" s="60">
        <v>61</v>
      </c>
      <c r="H1097" s="60" t="s">
        <v>769</v>
      </c>
      <c r="I1097" s="60" t="s">
        <v>781</v>
      </c>
      <c r="J1097" s="60" t="s">
        <v>764</v>
      </c>
      <c r="K1097" s="60">
        <f>IF(J1097="syllables",1,IF(J1097="trigrams",2,IF(J1097="strings",3,IF(J1097="visual array",4,IF(J1097="characters",5,IF(J1097="letters",6,IF(J1097="free forms",7,IF(J1097="odors",8,IF(J1097="words",9,IF(J1097="pictures",10,IF(J1097="object pictures",11,IF(J1097="faces",12,IF(J1097="names",13,IF(J1097="idioms",14,IF(J1097="grades",15,IF(J1097="syllable-digit pairs",16,IF(J1097="trigram-word pairs",17,IF(J1097="word-digit pairs",18,IF(J1097="English-Swahili pairs",19,IF(J1097="spatial position",20,IF(J1097="word pairs",21,IF(J1097="word triads",22,IF(J1097="generated words",23,IF(J1097="word definition pairs",24,IF(J1097="math problems",25,IF(J1097="famous faces",26,IF(J1097="famous names",27,IF(J1097="famous voices",28,IF(J1097="television programs",29,IF(J1097="race horses",30,IF(J1097="new vocabulary",31,IF(J1097="sentences",32,IF(J1097="concepts",33,IF(J1097="ad slides",34,IF(J1097="scenes",35,IF(J1097="famous scenes",36,IF(J1097="poems",37,IF(J1097="walk",38,IF(J1097="faces and events",39,IF(J1097="events and names",40,IF(J1097="flashbulb",41,IF(J1097="stories",42,IF(J1097="course material",43,IF(J1097="autobiographical",44,IF(J1097="novels",45,IF(J1097="public events",46,"99"))))))))))))))))))))))))))))))))))))))))))))))</f>
        <v>4</v>
      </c>
      <c r="L1097" s="60">
        <f>IF(J1097="syllables",1,IF(J1097="trigrams",1,IF(J1097="strings",1,IF(J1097="visual array",1,IF(J1097="characters",1,IF(J1097="letters",1,IF(J1097="free forms",1,IF(J1097="odors",2,IF(J1097="words",2,IF(J1097="pictures",2,IF(J1097="object pictures",2,IF(J1097="faces",2,IF(J1097="names",2,IF(J1097="idioms","2",IF(J1097="grades",2,IF(J1097="syllable-digit pairs",3,IF(J1097="trigram-word pairs",3,IF(J1097="word-digit pairs",3,IF(J1097="English-Swahili pairs",3,IF(J1097="spatial position",3,IF(J1097="word pairs",4,IF(J1097="word triads",4,IF(J1097="generated words",4,IF(J1097="word definition pairs",4,IF(J1097="math problems",4,IF(J1097="famous faces",4,IF(J1097="famous names",4,IF(J1097="famous voices",4,IF(J1097="television programs",4,IF(J1097="race horses",4,IF(J1097="new vocabulary",4,IF(J1097="sentences",5,IF(J1097="concepts",5,IF(J1097="ad slides",5,IF(J1097="scenes",5,IF(J1097="famous scenes",5,IF(J1097="poems",6,IF(J1097="walk",6,IF(J1097="faces and events",6,IF(J1097="events and names",6,IF(J1097="flashbulb",7,IF(J1097="stories",7,IF(J1097="course material",7,IF(J1097="autobiographical",7,IF(J1097="novels",7,IF(J1097="public events",7,"99"))))))))))))))))))))))))))))))))))))))))))))))</f>
        <v>1</v>
      </c>
      <c r="M1097" s="60">
        <v>0</v>
      </c>
      <c r="N1097" s="60">
        <v>1</v>
      </c>
      <c r="O1097" s="60">
        <v>0</v>
      </c>
      <c r="P1097" s="60"/>
      <c r="Q1097" s="60" t="s">
        <v>174</v>
      </c>
      <c r="R1097" s="60">
        <f>IF(Q1097="Free Recall",1,IF(Q1097="Cued Recall",2,IF(Q1097="Recognition",3,IF(Q1097="Multiple Choice",4,IF(Q1097="Savings",5,IF(Q1097="Stem Completion",6,IF(Q1097="Fragment Completion",7,IF(Q1097="anagram solution",8,IF(Q1097="Matching",9,IF(Q1097="Problem Solving",10,"99"))))))))))</f>
        <v>1</v>
      </c>
      <c r="S1097" s="60" t="s">
        <v>49</v>
      </c>
      <c r="T1097" s="59" t="s">
        <v>581</v>
      </c>
      <c r="U1097" s="60">
        <f>IF(T1097="within",1,0)</f>
        <v>1</v>
      </c>
      <c r="V1097" s="59">
        <v>108</v>
      </c>
      <c r="W1097" s="60">
        <f>F1097*V1097</f>
        <v>6588</v>
      </c>
      <c r="X1097" s="60">
        <v>3</v>
      </c>
      <c r="Y1097" s="76">
        <f>AV1096</f>
        <v>1.5</v>
      </c>
      <c r="Z1097" s="60" t="s">
        <v>39</v>
      </c>
      <c r="AA1097" s="60">
        <v>6</v>
      </c>
      <c r="AB1097" s="60" t="str">
        <f>IF(AA1097&lt;60,"1",IF(AA1097&lt;=43200,"2",IF(AA1097&lt;=777600,"3","4")))</f>
        <v>1</v>
      </c>
      <c r="AC1097" s="56">
        <f>AVERAGE(AV1096:DA1096)</f>
        <v>3.5</v>
      </c>
      <c r="AD1097" s="60" t="str">
        <f>IF(AC1097&lt;60,"1",IF(AC1097&lt;=43200,"2",IF(AC1097&lt;=777600,"3","4")))</f>
        <v>1</v>
      </c>
      <c r="AE1097" s="76">
        <f>AA1097-Y1097</f>
        <v>4.5</v>
      </c>
      <c r="AF1097" s="80">
        <f>AV1097</f>
        <v>0.84</v>
      </c>
      <c r="AG1097" s="56">
        <f>((AW1097-AV1097)+(AX1097-AW1097))/2</f>
        <v>-1.4999999999999958E-2</v>
      </c>
      <c r="AH1097" s="4"/>
      <c r="AI1097" s="56">
        <f>RSQ(AV1097:AX1097,AV1096:AX1096)</f>
        <v>0.86224489795918191</v>
      </c>
      <c r="AJ1097" s="109">
        <f>SLOPE(AV1097:AX1097,AV1096:AX1096)</f>
        <v>-6.1904761904761699E-3</v>
      </c>
      <c r="AK1097" s="56">
        <f>INTERCEPT(AV1097:AX1097,AV1096:AX1096)</f>
        <v>0.84499999999999986</v>
      </c>
      <c r="AL1097" s="56">
        <f>INDEX(LINEST(LN(AV1097:AX1097),LN(AV1096:AX1096),TRUE,TRUE),3,1)</f>
        <v>0.96594478619912927</v>
      </c>
      <c r="AM1097" s="56">
        <f>INDEX(LINEST(LN(AV1097:AX1097),LN(AV1096:AX1096)),1)</f>
        <v>-2.6233709947067696E-2</v>
      </c>
      <c r="AN1097" s="56">
        <f>EXP(INDEX(LINEST(LN(AV1097:AX1097),LN(AV1096:AX1096)),1,2))</f>
        <v>0.84731074341537937</v>
      </c>
      <c r="AO1097" s="82">
        <f>INDEX(LINEST((AV1097:AX1097),LN(AV1096:AX1096),TRUE,TRUE),3,1)</f>
        <v>0.9642857142857133</v>
      </c>
      <c r="AP1097" s="82">
        <f>INDEX(LINEST((AV1097:AX1097),LN(AV1096:AX1096)),1)</f>
        <v>-2.1640425613334388E-2</v>
      </c>
      <c r="AQ1097" s="83">
        <f>INDEX(LINEST(LN(AV1097:AX1097),SQRT(AV1096:AX1096),TRUE,TRUE),3,1)</f>
        <v>0.92130633053061517</v>
      </c>
      <c r="AR1097" s="116">
        <f>INDEX(LINEST(LN(AV1097:AX1097),SQRT((AV1096:AX1096))),1)</f>
        <v>-2.8858586976777168E-2</v>
      </c>
      <c r="AS1097" s="84">
        <f>INDEX(LINEST(1/(AV1097:AX1097),1/(SQRT(AV1096:AX1096)),TRUE,TRUE),3,1)</f>
        <v>0.9932383863788854</v>
      </c>
      <c r="AT1097" s="84">
        <f>INDEX(LINEST(1/(AV1097:AX1097),1/SQRT(AV1096:AX1096)),1)</f>
        <v>-0.10889217912792264</v>
      </c>
      <c r="AU1097" s="3"/>
      <c r="AV1097" s="53">
        <v>0.84</v>
      </c>
      <c r="AW1097" s="53">
        <v>0.82</v>
      </c>
      <c r="AX1097" s="53">
        <v>0.81</v>
      </c>
      <c r="AY1097" s="53"/>
      <c r="AZ1097" s="53"/>
      <c r="BA1097" s="53"/>
      <c r="BB1097" s="53"/>
      <c r="BC1097" s="53"/>
      <c r="BD1097" s="53"/>
      <c r="BE1097" s="53"/>
      <c r="BF1097" s="53"/>
      <c r="BG1097" s="53"/>
      <c r="BH1097" s="53"/>
      <c r="BI1097" s="53"/>
      <c r="BJ1097" s="53"/>
      <c r="BK1097" s="53"/>
      <c r="BL1097" s="53"/>
      <c r="BM1097" s="53"/>
      <c r="BN1097" s="53"/>
      <c r="BO1097" s="53"/>
      <c r="BP1097" s="53"/>
      <c r="BQ1097" s="53"/>
      <c r="BR1097" s="53"/>
      <c r="BS1097" s="53"/>
      <c r="BT1097" s="53"/>
      <c r="BU1097" s="53"/>
      <c r="BV1097" s="53"/>
      <c r="BW1097" s="53"/>
      <c r="BX1097" s="53"/>
      <c r="BY1097" s="53"/>
      <c r="BZ1097" s="53"/>
      <c r="CA1097" s="53"/>
      <c r="CB1097" s="53"/>
      <c r="CC1097" s="53"/>
      <c r="CD1097" s="53"/>
      <c r="CE1097" s="53"/>
      <c r="CF1097" s="53"/>
      <c r="CG1097" s="53"/>
      <c r="CH1097" s="53"/>
      <c r="CI1097" s="53"/>
      <c r="CJ1097" s="53"/>
      <c r="CK1097" s="53"/>
      <c r="CL1097" s="53"/>
      <c r="CM1097" s="53"/>
      <c r="CN1097" s="53"/>
      <c r="CO1097" s="53"/>
      <c r="CP1097" s="53"/>
      <c r="CQ1097" s="53"/>
      <c r="CR1097" s="1"/>
      <c r="CS1097" s="1"/>
      <c r="CT1097" s="1"/>
      <c r="CU1097" s="1"/>
    </row>
    <row r="1098" spans="1:99" s="13" customFormat="1" ht="12" customHeight="1" x14ac:dyDescent="0.2">
      <c r="A1098" s="65">
        <v>43916</v>
      </c>
      <c r="B1098" s="1"/>
      <c r="C1098" s="1"/>
      <c r="D1098" s="60"/>
      <c r="E1098" s="76"/>
      <c r="F1098" s="60"/>
      <c r="G1098" s="60"/>
      <c r="H1098" s="60"/>
      <c r="I1098" s="60"/>
      <c r="J1098" s="60"/>
      <c r="K1098" s="64"/>
      <c r="L1098" s="64"/>
      <c r="M1098" s="60"/>
      <c r="N1098" s="60"/>
      <c r="O1098" s="60"/>
      <c r="P1098" s="60"/>
      <c r="Q1098" s="60"/>
      <c r="R1098" s="60"/>
      <c r="S1098" s="60"/>
      <c r="T1098" s="59"/>
      <c r="U1098" s="60"/>
      <c r="V1098" s="59"/>
      <c r="W1098" s="60"/>
      <c r="X1098" s="60"/>
      <c r="Y1098" s="76"/>
      <c r="Z1098" s="60"/>
      <c r="AA1098" s="60"/>
      <c r="AB1098" s="60"/>
      <c r="AC1098" s="60"/>
      <c r="AD1098" s="60"/>
      <c r="AE1098" s="60"/>
      <c r="AF1098" s="80"/>
      <c r="AG1098" s="56"/>
      <c r="AH1098" s="4"/>
      <c r="AI1098" s="56"/>
      <c r="AJ1098" s="109"/>
      <c r="AK1098" s="56"/>
      <c r="AL1098" s="56"/>
      <c r="AM1098" s="56"/>
      <c r="AN1098" s="56"/>
      <c r="AO1098" s="82"/>
      <c r="AP1098" s="82"/>
      <c r="AQ1098" s="82"/>
      <c r="AR1098" s="115"/>
      <c r="AS1098" s="82"/>
      <c r="AT1098" s="82"/>
      <c r="AU1098" s="3"/>
      <c r="AV1098" s="54">
        <v>1.5</v>
      </c>
      <c r="AW1098" s="25">
        <v>3</v>
      </c>
      <c r="AX1098" s="25">
        <v>6</v>
      </c>
      <c r="AY1098" s="53"/>
      <c r="AZ1098" s="53"/>
      <c r="BA1098" s="53"/>
      <c r="BB1098" s="53"/>
      <c r="BC1098" s="53"/>
      <c r="BD1098" s="53"/>
      <c r="BE1098" s="53"/>
      <c r="BF1098" s="53"/>
      <c r="BG1098" s="53"/>
      <c r="BH1098" s="53"/>
      <c r="BI1098" s="53"/>
      <c r="BJ1098" s="53"/>
      <c r="BK1098" s="53"/>
      <c r="BL1098" s="53"/>
      <c r="BM1098" s="53"/>
      <c r="BN1098" s="53"/>
      <c r="BO1098" s="53"/>
      <c r="BP1098" s="53"/>
      <c r="BQ1098" s="53"/>
      <c r="BR1098" s="53"/>
      <c r="BS1098" s="53"/>
      <c r="BT1098" s="53"/>
      <c r="BU1098" s="53"/>
      <c r="BV1098" s="53"/>
      <c r="BW1098" s="53"/>
      <c r="BX1098" s="53"/>
      <c r="BY1098" s="53"/>
      <c r="BZ1098" s="53"/>
      <c r="CA1098" s="53"/>
      <c r="CB1098" s="53"/>
      <c r="CC1098" s="53"/>
      <c r="CD1098" s="53"/>
      <c r="CE1098" s="53"/>
      <c r="CF1098" s="53"/>
      <c r="CG1098" s="53"/>
      <c r="CH1098" s="53"/>
      <c r="CI1098" s="53"/>
      <c r="CJ1098" s="53"/>
      <c r="CK1098" s="53"/>
      <c r="CL1098" s="53"/>
      <c r="CM1098" s="53"/>
      <c r="CN1098" s="53"/>
      <c r="CO1098" s="53"/>
      <c r="CP1098" s="53"/>
      <c r="CQ1098" s="53"/>
      <c r="CR1098" s="1"/>
      <c r="CS1098" s="1"/>
      <c r="CT1098" s="1"/>
      <c r="CU1098" s="1"/>
    </row>
    <row r="1099" spans="1:99" s="13" customFormat="1" ht="12" customHeight="1" x14ac:dyDescent="0.2">
      <c r="A1099" s="65">
        <v>43916</v>
      </c>
      <c r="B1099" s="1" t="s">
        <v>567</v>
      </c>
      <c r="C1099" s="1" t="s">
        <v>45</v>
      </c>
      <c r="D1099" s="60">
        <v>2020</v>
      </c>
      <c r="E1099" s="76">
        <v>4</v>
      </c>
      <c r="F1099" s="60">
        <v>61</v>
      </c>
      <c r="G1099" s="60">
        <v>61</v>
      </c>
      <c r="H1099" s="60" t="s">
        <v>769</v>
      </c>
      <c r="I1099" s="60" t="s">
        <v>782</v>
      </c>
      <c r="J1099" s="60" t="s">
        <v>764</v>
      </c>
      <c r="K1099" s="60">
        <f>IF(J1099="syllables",1,IF(J1099="trigrams",2,IF(J1099="strings",3,IF(J1099="visual array",4,IF(J1099="characters",5,IF(J1099="letters",6,IF(J1099="free forms",7,IF(J1099="odors",8,IF(J1099="words",9,IF(J1099="pictures",10,IF(J1099="object pictures",11,IF(J1099="faces",12,IF(J1099="names",13,IF(J1099="idioms",14,IF(J1099="grades",15,IF(J1099="syllable-digit pairs",16,IF(J1099="trigram-word pairs",17,IF(J1099="word-digit pairs",18,IF(J1099="English-Swahili pairs",19,IF(J1099="spatial position",20,IF(J1099="word pairs",21,IF(J1099="word triads",22,IF(J1099="generated words",23,IF(J1099="word definition pairs",24,IF(J1099="math problems",25,IF(J1099="famous faces",26,IF(J1099="famous names",27,IF(J1099="famous voices",28,IF(J1099="television programs",29,IF(J1099="race horses",30,IF(J1099="new vocabulary",31,IF(J1099="sentences",32,IF(J1099="concepts",33,IF(J1099="ad slides",34,IF(J1099="scenes",35,IF(J1099="famous scenes",36,IF(J1099="poems",37,IF(J1099="walk",38,IF(J1099="faces and events",39,IF(J1099="events and names",40,IF(J1099="flashbulb",41,IF(J1099="stories",42,IF(J1099="course material",43,IF(J1099="autobiographical",44,IF(J1099="novels",45,IF(J1099="public events",46,"99"))))))))))))))))))))))))))))))))))))))))))))))</f>
        <v>4</v>
      </c>
      <c r="L1099" s="60">
        <f>IF(J1099="syllables",1,IF(J1099="trigrams",1,IF(J1099="strings",1,IF(J1099="visual array",1,IF(J1099="characters",1,IF(J1099="letters",1,IF(J1099="free forms",1,IF(J1099="odors",2,IF(J1099="words",2,IF(J1099="pictures",2,IF(J1099="object pictures",2,IF(J1099="faces",2,IF(J1099="names",2,IF(J1099="idioms","2",IF(J1099="grades",2,IF(J1099="syllable-digit pairs",3,IF(J1099="trigram-word pairs",3,IF(J1099="word-digit pairs",3,IF(J1099="English-Swahili pairs",3,IF(J1099="spatial position",3,IF(J1099="word pairs",4,IF(J1099="word triads",4,IF(J1099="generated words",4,IF(J1099="word definition pairs",4,IF(J1099="math problems",4,IF(J1099="famous faces",4,IF(J1099="famous names",4,IF(J1099="famous voices",4,IF(J1099="television programs",4,IF(J1099="race horses",4,IF(J1099="new vocabulary",4,IF(J1099="sentences",5,IF(J1099="concepts",5,IF(J1099="ad slides",5,IF(J1099="scenes",5,IF(J1099="famous scenes",5,IF(J1099="poems",6,IF(J1099="walk",6,IF(J1099="faces and events",6,IF(J1099="events and names",6,IF(J1099="flashbulb",7,IF(J1099="stories",7,IF(J1099="course material",7,IF(J1099="autobiographical",7,IF(J1099="novels",7,IF(J1099="public events",7,"99"))))))))))))))))))))))))))))))))))))))))))))))</f>
        <v>1</v>
      </c>
      <c r="M1099" s="60">
        <v>0</v>
      </c>
      <c r="N1099" s="60">
        <v>1</v>
      </c>
      <c r="O1099" s="60">
        <v>0</v>
      </c>
      <c r="P1099" s="60"/>
      <c r="Q1099" s="60" t="s">
        <v>174</v>
      </c>
      <c r="R1099" s="60">
        <f>IF(Q1099="Free Recall",1,IF(Q1099="Cued Recall",2,IF(Q1099="Recognition",3,IF(Q1099="Multiple Choice",4,IF(Q1099="Savings",5,IF(Q1099="Stem Completion",6,IF(Q1099="Fragment Completion",7,IF(Q1099="anagram solution",8,IF(Q1099="Matching",9,IF(Q1099="Problem Solving",10,"99"))))))))))</f>
        <v>1</v>
      </c>
      <c r="S1099" s="60" t="s">
        <v>49</v>
      </c>
      <c r="T1099" s="59" t="s">
        <v>581</v>
      </c>
      <c r="U1099" s="60">
        <f>IF(T1099="within",1,0)</f>
        <v>1</v>
      </c>
      <c r="V1099" s="59">
        <v>108</v>
      </c>
      <c r="W1099" s="60">
        <f>F1099*V1099</f>
        <v>6588</v>
      </c>
      <c r="X1099" s="60">
        <v>3</v>
      </c>
      <c r="Y1099" s="76">
        <f>AV1098</f>
        <v>1.5</v>
      </c>
      <c r="Z1099" s="60" t="s">
        <v>39</v>
      </c>
      <c r="AA1099" s="60">
        <v>6</v>
      </c>
      <c r="AB1099" s="60" t="str">
        <f>IF(AA1099&lt;60,"1",IF(AA1099&lt;=43200,"2",IF(AA1099&lt;=777600,"3","4")))</f>
        <v>1</v>
      </c>
      <c r="AC1099" s="56">
        <f>AVERAGE(AV1098:DA1098)</f>
        <v>3.5</v>
      </c>
      <c r="AD1099" s="60" t="str">
        <f>IF(AC1099&lt;60,"1",IF(AC1099&lt;=43200,"2",IF(AC1099&lt;=777600,"3","4")))</f>
        <v>1</v>
      </c>
      <c r="AE1099" s="76">
        <f>AA1099-Y1099</f>
        <v>4.5</v>
      </c>
      <c r="AF1099" s="80">
        <f>AV1099</f>
        <v>0.66</v>
      </c>
      <c r="AG1099" s="56">
        <f>((AW1099-AV1099)+(AX1099-AW1099))/2</f>
        <v>-1.0000000000000009E-2</v>
      </c>
      <c r="AH1099" s="4"/>
      <c r="AI1099" s="56">
        <f>RSQ(AV1099:AX1099,AV1098:AX1098)</f>
        <v>0.9642857142857143</v>
      </c>
      <c r="AJ1099" s="109">
        <f>SLOPE(AV1099:AX1099,AV1098:AX1098)</f>
        <v>-4.2857142857142894E-3</v>
      </c>
      <c r="AK1099" s="56">
        <f>INTERCEPT(AV1099:AX1099,AV1098:AX1098)</f>
        <v>0.66500000000000004</v>
      </c>
      <c r="AL1099" s="56">
        <f>INDEX(LINEST(LN(AV1099:AX1099),LN(AV1098:AX1098),TRUE,TRUE),3,1)</f>
        <v>0.9999802749668808</v>
      </c>
      <c r="AM1099" s="56">
        <f>INDEX(LINEST(LN(AV1099:AX1099),LN(AV1098:AX1098)),1)</f>
        <v>-2.2197059679226718E-2</v>
      </c>
      <c r="AN1099" s="56">
        <f>EXP(INDEX(LINEST(LN(AV1099:AX1099),LN(AV1098:AX1098)),1,2))</f>
        <v>0.66599317359057342</v>
      </c>
      <c r="AO1099" s="82">
        <f>INDEX(LINEST((AV1099:AX1099),LN(AV1098:AX1098),TRUE,TRUE),3,1)</f>
        <v>1</v>
      </c>
      <c r="AP1099" s="82">
        <f>INDEX(LINEST((AV1099:AX1099),LN(AV1098:AX1098)),1)</f>
        <v>-1.4426950408889647E-2</v>
      </c>
      <c r="AQ1099" s="83">
        <f>INDEX(LINEST(LN(AV1099:AX1099),SQRT(AV1098:AX1098),TRUE,TRUE),3,1)</f>
        <v>0.99113491748587934</v>
      </c>
      <c r="AR1099" s="116">
        <f>INDEX(LINEST(LN(AV1099:AX1099),SQRT((AV1098:AX1098))),1)</f>
        <v>-2.4891759431551724E-2</v>
      </c>
      <c r="AS1099" s="84">
        <f>INDEX(LINEST(1/(AV1099:AX1099),1/(SQRT(AV1098:AX1098)),TRUE,TRUE),3,1)</f>
        <v>0.98846308968290686</v>
      </c>
      <c r="AT1099" s="84">
        <f>INDEX(LINEST(1/(AV1099:AX1099),1/SQRT(AV1098:AX1098)),1)</f>
        <v>-0.11475159154532899</v>
      </c>
      <c r="AU1099" s="3"/>
      <c r="AV1099" s="53">
        <v>0.66</v>
      </c>
      <c r="AW1099" s="53">
        <v>0.65</v>
      </c>
      <c r="AX1099" s="53">
        <v>0.64</v>
      </c>
      <c r="AY1099" s="53"/>
      <c r="AZ1099" s="53"/>
      <c r="BA1099" s="53"/>
      <c r="BB1099" s="53"/>
      <c r="BC1099" s="53"/>
      <c r="BD1099" s="53"/>
      <c r="BE1099" s="53"/>
      <c r="BF1099" s="53"/>
      <c r="BG1099" s="53"/>
      <c r="BH1099" s="53"/>
      <c r="BI1099" s="53"/>
      <c r="BJ1099" s="53"/>
      <c r="BK1099" s="53"/>
      <c r="BL1099" s="53"/>
      <c r="BM1099" s="53"/>
      <c r="BN1099" s="53"/>
      <c r="BO1099" s="53"/>
      <c r="BP1099" s="53"/>
      <c r="BQ1099" s="53"/>
      <c r="BR1099" s="53"/>
      <c r="BS1099" s="53"/>
      <c r="BT1099" s="53"/>
      <c r="BU1099" s="53"/>
      <c r="BV1099" s="53"/>
      <c r="BW1099" s="53"/>
      <c r="BX1099" s="53"/>
      <c r="BY1099" s="53"/>
      <c r="BZ1099" s="53"/>
      <c r="CA1099" s="53"/>
      <c r="CB1099" s="53"/>
      <c r="CC1099" s="53"/>
      <c r="CD1099" s="53"/>
      <c r="CE1099" s="53"/>
      <c r="CF1099" s="53"/>
      <c r="CG1099" s="53"/>
      <c r="CH1099" s="53"/>
      <c r="CI1099" s="53"/>
      <c r="CJ1099" s="53"/>
      <c r="CK1099" s="53"/>
      <c r="CL1099" s="53"/>
      <c r="CM1099" s="53"/>
      <c r="CN1099" s="53"/>
      <c r="CO1099" s="53"/>
      <c r="CP1099" s="53"/>
      <c r="CQ1099" s="53"/>
      <c r="CR1099" s="1"/>
      <c r="CS1099" s="1"/>
      <c r="CT1099" s="1"/>
      <c r="CU1099" s="1"/>
    </row>
    <row r="1100" spans="1:99" s="13" customFormat="1" ht="12" customHeight="1" x14ac:dyDescent="0.2">
      <c r="A1100" s="65">
        <v>43916</v>
      </c>
      <c r="B1100" s="1"/>
      <c r="C1100" s="1"/>
      <c r="D1100" s="60"/>
      <c r="E1100" s="76"/>
      <c r="F1100" s="60"/>
      <c r="G1100" s="60"/>
      <c r="H1100" s="60"/>
      <c r="I1100" s="60"/>
      <c r="J1100" s="60"/>
      <c r="K1100" s="64"/>
      <c r="L1100" s="64"/>
      <c r="M1100" s="60"/>
      <c r="N1100" s="60"/>
      <c r="O1100" s="60"/>
      <c r="P1100" s="60"/>
      <c r="Q1100" s="60"/>
      <c r="R1100" s="60"/>
      <c r="S1100" s="60"/>
      <c r="T1100" s="59"/>
      <c r="U1100" s="60"/>
      <c r="V1100" s="59"/>
      <c r="W1100" s="60"/>
      <c r="X1100" s="60"/>
      <c r="Y1100" s="76"/>
      <c r="Z1100" s="60"/>
      <c r="AA1100" s="60"/>
      <c r="AB1100" s="60"/>
      <c r="AC1100" s="60"/>
      <c r="AD1100" s="60"/>
      <c r="AE1100" s="60"/>
      <c r="AF1100" s="80"/>
      <c r="AG1100" s="56"/>
      <c r="AH1100" s="4"/>
      <c r="AI1100" s="56"/>
      <c r="AJ1100" s="109"/>
      <c r="AK1100" s="56"/>
      <c r="AL1100" s="56"/>
      <c r="AM1100" s="56"/>
      <c r="AN1100" s="56"/>
      <c r="AO1100" s="82"/>
      <c r="AP1100" s="82"/>
      <c r="AQ1100" s="82"/>
      <c r="AR1100" s="115"/>
      <c r="AS1100" s="82"/>
      <c r="AT1100" s="82"/>
      <c r="AU1100" s="3"/>
      <c r="AV1100" s="54">
        <v>1.5</v>
      </c>
      <c r="AW1100" s="25">
        <v>3</v>
      </c>
      <c r="AX1100" s="25">
        <v>6</v>
      </c>
      <c r="AY1100" s="53"/>
      <c r="AZ1100" s="53"/>
      <c r="BA1100" s="53"/>
      <c r="BB1100" s="53"/>
      <c r="BC1100" s="53"/>
      <c r="BD1100" s="53"/>
      <c r="BE1100" s="53"/>
      <c r="BF1100" s="53"/>
      <c r="BG1100" s="53"/>
      <c r="BH1100" s="53"/>
      <c r="BI1100" s="53"/>
      <c r="BJ1100" s="53"/>
      <c r="BK1100" s="53"/>
      <c r="BL1100" s="53"/>
      <c r="BM1100" s="53"/>
      <c r="BN1100" s="53"/>
      <c r="BO1100" s="53"/>
      <c r="BP1100" s="53"/>
      <c r="BQ1100" s="53"/>
      <c r="BR1100" s="53"/>
      <c r="BS1100" s="53"/>
      <c r="BT1100" s="53"/>
      <c r="BU1100" s="53"/>
      <c r="BV1100" s="53"/>
      <c r="BW1100" s="53"/>
      <c r="BX1100" s="53"/>
      <c r="BY1100" s="53"/>
      <c r="BZ1100" s="53"/>
      <c r="CA1100" s="53"/>
      <c r="CB1100" s="53"/>
      <c r="CC1100" s="53"/>
      <c r="CD1100" s="53"/>
      <c r="CE1100" s="53"/>
      <c r="CF1100" s="53"/>
      <c r="CG1100" s="53"/>
      <c r="CH1100" s="53"/>
      <c r="CI1100" s="53"/>
      <c r="CJ1100" s="53"/>
      <c r="CK1100" s="53"/>
      <c r="CL1100" s="53"/>
      <c r="CM1100" s="53"/>
      <c r="CN1100" s="53"/>
      <c r="CO1100" s="53"/>
      <c r="CP1100" s="53"/>
      <c r="CQ1100" s="53"/>
      <c r="CR1100" s="1"/>
      <c r="CS1100" s="1"/>
      <c r="CT1100" s="1"/>
      <c r="CU1100" s="1"/>
    </row>
    <row r="1101" spans="1:99" s="13" customFormat="1" ht="12" customHeight="1" x14ac:dyDescent="0.2">
      <c r="A1101" s="65">
        <v>43916</v>
      </c>
      <c r="B1101" s="1" t="s">
        <v>567</v>
      </c>
      <c r="C1101" s="1" t="s">
        <v>45</v>
      </c>
      <c r="D1101" s="60">
        <v>2020</v>
      </c>
      <c r="E1101" s="76">
        <v>4</v>
      </c>
      <c r="F1101" s="60">
        <v>61</v>
      </c>
      <c r="G1101" s="60">
        <v>61</v>
      </c>
      <c r="H1101" s="60" t="s">
        <v>769</v>
      </c>
      <c r="I1101" s="60" t="s">
        <v>783</v>
      </c>
      <c r="J1101" s="60" t="s">
        <v>764</v>
      </c>
      <c r="K1101" s="60">
        <f>IF(J1101="syllables",1,IF(J1101="trigrams",2,IF(J1101="strings",3,IF(J1101="visual array",4,IF(J1101="characters",5,IF(J1101="letters",6,IF(J1101="free forms",7,IF(J1101="odors",8,IF(J1101="words",9,IF(J1101="pictures",10,IF(J1101="object pictures",11,IF(J1101="faces",12,IF(J1101="names",13,IF(J1101="idioms",14,IF(J1101="grades",15,IF(J1101="syllable-digit pairs",16,IF(J1101="trigram-word pairs",17,IF(J1101="word-digit pairs",18,IF(J1101="English-Swahili pairs",19,IF(J1101="spatial position",20,IF(J1101="word pairs",21,IF(J1101="word triads",22,IF(J1101="generated words",23,IF(J1101="word definition pairs",24,IF(J1101="math problems",25,IF(J1101="famous faces",26,IF(J1101="famous names",27,IF(J1101="famous voices",28,IF(J1101="television programs",29,IF(J1101="race horses",30,IF(J1101="new vocabulary",31,IF(J1101="sentences",32,IF(J1101="concepts",33,IF(J1101="ad slides",34,IF(J1101="scenes",35,IF(J1101="famous scenes",36,IF(J1101="poems",37,IF(J1101="walk",38,IF(J1101="faces and events",39,IF(J1101="events and names",40,IF(J1101="flashbulb",41,IF(J1101="stories",42,IF(J1101="course material",43,IF(J1101="autobiographical",44,IF(J1101="novels",45,IF(J1101="public events",46,"99"))))))))))))))))))))))))))))))))))))))))))))))</f>
        <v>4</v>
      </c>
      <c r="L1101" s="60">
        <f>IF(J1101="syllables",1,IF(J1101="trigrams",1,IF(J1101="strings",1,IF(J1101="visual array",1,IF(J1101="characters",1,IF(J1101="letters",1,IF(J1101="free forms",1,IF(J1101="odors",2,IF(J1101="words",2,IF(J1101="pictures",2,IF(J1101="object pictures",2,IF(J1101="faces",2,IF(J1101="names",2,IF(J1101="idioms","2",IF(J1101="grades",2,IF(J1101="syllable-digit pairs",3,IF(J1101="trigram-word pairs",3,IF(J1101="word-digit pairs",3,IF(J1101="English-Swahili pairs",3,IF(J1101="spatial position",3,IF(J1101="word pairs",4,IF(J1101="word triads",4,IF(J1101="generated words",4,IF(J1101="word definition pairs",4,IF(J1101="math problems",4,IF(J1101="famous faces",4,IF(J1101="famous names",4,IF(J1101="famous voices",4,IF(J1101="television programs",4,IF(J1101="race horses",4,IF(J1101="new vocabulary",4,IF(J1101="sentences",5,IF(J1101="concepts",5,IF(J1101="ad slides",5,IF(J1101="scenes",5,IF(J1101="famous scenes",5,IF(J1101="poems",6,IF(J1101="walk",6,IF(J1101="faces and events",6,IF(J1101="events and names",6,IF(J1101="flashbulb",7,IF(J1101="stories",7,IF(J1101="course material",7,IF(J1101="autobiographical",7,IF(J1101="novels",7,IF(J1101="public events",7,"99"))))))))))))))))))))))))))))))))))))))))))))))</f>
        <v>1</v>
      </c>
      <c r="M1101" s="60">
        <v>0</v>
      </c>
      <c r="N1101" s="60">
        <v>1</v>
      </c>
      <c r="O1101" s="60">
        <v>0</v>
      </c>
      <c r="P1101" s="60"/>
      <c r="Q1101" s="60" t="s">
        <v>174</v>
      </c>
      <c r="R1101" s="60">
        <f>IF(Q1101="Free Recall",1,IF(Q1101="Cued Recall",2,IF(Q1101="Recognition",3,IF(Q1101="Multiple Choice",4,IF(Q1101="Savings",5,IF(Q1101="Stem Completion",6,IF(Q1101="Fragment Completion",7,IF(Q1101="anagram solution",8,IF(Q1101="Matching",9,IF(Q1101="Problem Solving",10,"99"))))))))))</f>
        <v>1</v>
      </c>
      <c r="S1101" s="60" t="s">
        <v>49</v>
      </c>
      <c r="T1101" s="59" t="s">
        <v>581</v>
      </c>
      <c r="U1101" s="60">
        <f>IF(T1101="within",1,0)</f>
        <v>1</v>
      </c>
      <c r="V1101" s="59">
        <v>108</v>
      </c>
      <c r="W1101" s="60">
        <f>F1101*V1101</f>
        <v>6588</v>
      </c>
      <c r="X1101" s="60">
        <v>3</v>
      </c>
      <c r="Y1101" s="76">
        <f>AV1100</f>
        <v>1.5</v>
      </c>
      <c r="Z1101" s="60" t="s">
        <v>39</v>
      </c>
      <c r="AA1101" s="60">
        <v>6</v>
      </c>
      <c r="AB1101" s="60" t="str">
        <f>IF(AA1101&lt;60,"1",IF(AA1101&lt;=43200,"2",IF(AA1101&lt;=777600,"3","4")))</f>
        <v>1</v>
      </c>
      <c r="AC1101" s="56">
        <f>AVERAGE(AV1100:DA1100)</f>
        <v>3.5</v>
      </c>
      <c r="AD1101" s="60" t="str">
        <f>IF(AC1101&lt;60,"1",IF(AC1101&lt;=43200,"2",IF(AC1101&lt;=777600,"3","4")))</f>
        <v>1</v>
      </c>
      <c r="AE1101" s="76">
        <f>AA1101-Y1101</f>
        <v>4.5</v>
      </c>
      <c r="AF1101" s="80">
        <f>AV1101</f>
        <v>0.66</v>
      </c>
      <c r="AG1101" s="56">
        <f>((AW1101-AV1101)+(AX1101-AW1101))/2</f>
        <v>-2.0000000000000018E-2</v>
      </c>
      <c r="AH1101" s="4"/>
      <c r="AI1101" s="56">
        <f>RSQ(AV1101:AX1101,AV1100:AX1100)</f>
        <v>0.99175824175824201</v>
      </c>
      <c r="AJ1101" s="109">
        <f>SLOPE(AV1101:AX1101,AV1100:AX1100)</f>
        <v>-9.0476190476190561E-3</v>
      </c>
      <c r="AK1101" s="56">
        <f>INTERCEPT(AV1101:AX1101,AV1100:AX1100)</f>
        <v>0.67500000000000016</v>
      </c>
      <c r="AL1101" s="56">
        <f>INDEX(LINEST(LN(AV1101:AX1101),LN(AV1100:AX1100),TRUE,TRUE),3,1)</f>
        <v>0.91975602968102299</v>
      </c>
      <c r="AM1101" s="56">
        <f>INDEX(LINEST(LN(AV1101:AX1101),LN(AV1100:AX1100)),1)</f>
        <v>-4.5098904485789126E-2</v>
      </c>
      <c r="AN1101" s="56">
        <f>EXP(INDEX(LINEST(LN(AV1101:AX1101),LN(AV1100:AX1100)),1,2))</f>
        <v>0.67577269488178304</v>
      </c>
      <c r="AO1101" s="82">
        <f>INDEX(LINEST((AV1101:AX1101),LN(AV1100:AX1100),TRUE,TRUE),3,1)</f>
        <v>0.92307692307692302</v>
      </c>
      <c r="AP1101" s="82">
        <f>INDEX(LINEST((AV1101:AX1101),LN(AV1100:AX1100)),1)</f>
        <v>-2.8853900817779284E-2</v>
      </c>
      <c r="AQ1101" s="83">
        <f>INDEX(LINEST(LN(AV1101:AX1101),SQRT(AV1100:AX1100),TRUE,TRUE),3,1)</f>
        <v>0.96489752568134546</v>
      </c>
      <c r="AR1101" s="116">
        <f>INDEX(LINEST(LN(AV1101:AX1101),SQRT((AV1100:AX1100))),1)</f>
        <v>-5.2030708628093988E-2</v>
      </c>
      <c r="AS1101" s="84">
        <f>INDEX(LINEST(1/(AV1101:AX1101),1/(SQRT(AV1100:AX1100)),TRUE,TRUE),3,1)</f>
        <v>0.85402978315235945</v>
      </c>
      <c r="AT1101" s="84">
        <f>INDEX(LINEST(1/(AV1101:AX1101),1/SQRT(AV1100:AX1100)),1)</f>
        <v>-0.23002177635375323</v>
      </c>
      <c r="AU1101" s="3"/>
      <c r="AV1101" s="53">
        <v>0.66</v>
      </c>
      <c r="AW1101" s="53">
        <v>0.65</v>
      </c>
      <c r="AX1101" s="53">
        <v>0.62</v>
      </c>
      <c r="AY1101" s="53"/>
      <c r="AZ1101" s="53"/>
      <c r="BA1101" s="53"/>
      <c r="BB1101" s="53"/>
      <c r="BC1101" s="53"/>
      <c r="BD1101" s="53"/>
      <c r="BE1101" s="53"/>
      <c r="BF1101" s="53"/>
      <c r="BG1101" s="53"/>
      <c r="BH1101" s="53"/>
      <c r="BI1101" s="53"/>
      <c r="BJ1101" s="53"/>
      <c r="BK1101" s="53"/>
      <c r="BL1101" s="53"/>
      <c r="BM1101" s="53"/>
      <c r="BN1101" s="53"/>
      <c r="BO1101" s="53"/>
      <c r="BP1101" s="53"/>
      <c r="BQ1101" s="53"/>
      <c r="BR1101" s="53"/>
      <c r="BS1101" s="53"/>
      <c r="BT1101" s="53"/>
      <c r="BU1101" s="53"/>
      <c r="BV1101" s="53"/>
      <c r="BW1101" s="53"/>
      <c r="BX1101" s="53"/>
      <c r="BY1101" s="53"/>
      <c r="BZ1101" s="53"/>
      <c r="CA1101" s="53"/>
      <c r="CB1101" s="53"/>
      <c r="CC1101" s="53"/>
      <c r="CD1101" s="53"/>
      <c r="CE1101" s="53"/>
      <c r="CF1101" s="53"/>
      <c r="CG1101" s="53"/>
      <c r="CH1101" s="53"/>
      <c r="CI1101" s="53"/>
      <c r="CJ1101" s="53"/>
      <c r="CK1101" s="53"/>
      <c r="CL1101" s="53"/>
      <c r="CM1101" s="53"/>
      <c r="CN1101" s="53"/>
      <c r="CO1101" s="53"/>
      <c r="CP1101" s="53"/>
      <c r="CQ1101" s="53"/>
      <c r="CR1101" s="1"/>
      <c r="CS1101" s="1"/>
      <c r="CT1101" s="1"/>
      <c r="CU1101" s="1"/>
    </row>
    <row r="1102" spans="1:99" s="13" customFormat="1" ht="12" customHeight="1" x14ac:dyDescent="0.2">
      <c r="A1102" s="65">
        <v>43916</v>
      </c>
      <c r="B1102" s="1"/>
      <c r="C1102" s="1"/>
      <c r="D1102" s="60"/>
      <c r="E1102" s="76"/>
      <c r="F1102" s="60"/>
      <c r="G1102" s="60"/>
      <c r="H1102" s="60"/>
      <c r="I1102" s="60"/>
      <c r="J1102" s="60"/>
      <c r="K1102" s="64"/>
      <c r="L1102" s="64"/>
      <c r="M1102" s="60"/>
      <c r="N1102" s="60"/>
      <c r="O1102" s="60"/>
      <c r="P1102" s="60"/>
      <c r="Q1102" s="60"/>
      <c r="R1102" s="60"/>
      <c r="S1102" s="60"/>
      <c r="T1102" s="59"/>
      <c r="U1102" s="60"/>
      <c r="V1102" s="59"/>
      <c r="W1102" s="60"/>
      <c r="X1102" s="60"/>
      <c r="Y1102" s="76"/>
      <c r="Z1102" s="60"/>
      <c r="AA1102" s="60"/>
      <c r="AB1102" s="60"/>
      <c r="AC1102" s="60"/>
      <c r="AD1102" s="60"/>
      <c r="AE1102" s="60"/>
      <c r="AF1102" s="80"/>
      <c r="AG1102" s="56"/>
      <c r="AH1102" s="4"/>
      <c r="AI1102" s="56"/>
      <c r="AJ1102" s="109"/>
      <c r="AK1102" s="56"/>
      <c r="AL1102" s="56"/>
      <c r="AM1102" s="56"/>
      <c r="AN1102" s="56"/>
      <c r="AO1102" s="82"/>
      <c r="AP1102" s="82"/>
      <c r="AQ1102" s="82"/>
      <c r="AR1102" s="115"/>
      <c r="AS1102" s="82"/>
      <c r="AT1102" s="82"/>
      <c r="AU1102" s="3"/>
      <c r="AV1102" s="54">
        <v>1.5</v>
      </c>
      <c r="AW1102" s="25">
        <v>3</v>
      </c>
      <c r="AX1102" s="25">
        <v>6</v>
      </c>
      <c r="AY1102" s="53"/>
      <c r="AZ1102" s="53"/>
      <c r="BA1102" s="53"/>
      <c r="BB1102" s="53"/>
      <c r="BC1102" s="53"/>
      <c r="BD1102" s="53"/>
      <c r="BE1102" s="53"/>
      <c r="BF1102" s="53"/>
      <c r="BG1102" s="53"/>
      <c r="BH1102" s="53"/>
      <c r="BI1102" s="53"/>
      <c r="BJ1102" s="53"/>
      <c r="BK1102" s="53"/>
      <c r="BL1102" s="53"/>
      <c r="BM1102" s="53"/>
      <c r="BN1102" s="53"/>
      <c r="BO1102" s="53"/>
      <c r="BP1102" s="53"/>
      <c r="BQ1102" s="53"/>
      <c r="BR1102" s="53"/>
      <c r="BS1102" s="53"/>
      <c r="BT1102" s="53"/>
      <c r="BU1102" s="53"/>
      <c r="BV1102" s="53"/>
      <c r="BW1102" s="53"/>
      <c r="BX1102" s="53"/>
      <c r="BY1102" s="53"/>
      <c r="BZ1102" s="53"/>
      <c r="CA1102" s="53"/>
      <c r="CB1102" s="53"/>
      <c r="CC1102" s="53"/>
      <c r="CD1102" s="53"/>
      <c r="CE1102" s="53"/>
      <c r="CF1102" s="53"/>
      <c r="CG1102" s="53"/>
      <c r="CH1102" s="53"/>
      <c r="CI1102" s="53"/>
      <c r="CJ1102" s="53"/>
      <c r="CK1102" s="53"/>
      <c r="CL1102" s="53"/>
      <c r="CM1102" s="53"/>
      <c r="CN1102" s="53"/>
      <c r="CO1102" s="53"/>
      <c r="CP1102" s="53"/>
      <c r="CQ1102" s="53"/>
      <c r="CR1102" s="1"/>
      <c r="CS1102" s="1"/>
      <c r="CT1102" s="1"/>
      <c r="CU1102" s="1"/>
    </row>
    <row r="1103" spans="1:99" s="13" customFormat="1" ht="12" customHeight="1" x14ac:dyDescent="0.2">
      <c r="A1103" s="65">
        <v>43916</v>
      </c>
      <c r="B1103" s="1" t="s">
        <v>567</v>
      </c>
      <c r="C1103" s="1" t="s">
        <v>45</v>
      </c>
      <c r="D1103" s="60">
        <v>2020</v>
      </c>
      <c r="E1103" s="76">
        <v>5</v>
      </c>
      <c r="F1103" s="60">
        <v>63</v>
      </c>
      <c r="G1103" s="60">
        <v>63</v>
      </c>
      <c r="H1103" s="60" t="s">
        <v>341</v>
      </c>
      <c r="I1103" s="60" t="s">
        <v>780</v>
      </c>
      <c r="J1103" s="60" t="s">
        <v>764</v>
      </c>
      <c r="K1103" s="60">
        <f>IF(J1103="syllables",1,IF(J1103="trigrams",2,IF(J1103="strings",3,IF(J1103="visual array",4,IF(J1103="characters",5,IF(J1103="letters",6,IF(J1103="free forms",7,IF(J1103="odors",8,IF(J1103="words",9,IF(J1103="pictures",10,IF(J1103="object pictures",11,IF(J1103="faces",12,IF(J1103="names",13,IF(J1103="idioms",14,IF(J1103="grades",15,IF(J1103="syllable-digit pairs",16,IF(J1103="trigram-word pairs",17,IF(J1103="word-digit pairs",18,IF(J1103="English-Swahili pairs",19,IF(J1103="spatial position",20,IF(J1103="word pairs",21,IF(J1103="word triads",22,IF(J1103="generated words",23,IF(J1103="word definition pairs",24,IF(J1103="math problems",25,IF(J1103="famous faces",26,IF(J1103="famous names",27,IF(J1103="famous voices",28,IF(J1103="television programs",29,IF(J1103="race horses",30,IF(J1103="new vocabulary",31,IF(J1103="sentences",32,IF(J1103="concepts",33,IF(J1103="ad slides",34,IF(J1103="scenes",35,IF(J1103="famous scenes",36,IF(J1103="poems",37,IF(J1103="walk",38,IF(J1103="faces and events",39,IF(J1103="events and names",40,IF(J1103="flashbulb",41,IF(J1103="stories",42,IF(J1103="course material",43,IF(J1103="autobiographical",44,IF(J1103="novels",45,IF(J1103="public events",46,"99"))))))))))))))))))))))))))))))))))))))))))))))</f>
        <v>4</v>
      </c>
      <c r="L1103" s="60">
        <f>IF(J1103="syllables",1,IF(J1103="trigrams",1,IF(J1103="strings",1,IF(J1103="visual array",1,IF(J1103="characters",1,IF(J1103="letters",1,IF(J1103="free forms",1,IF(J1103="odors",2,IF(J1103="words",2,IF(J1103="pictures",2,IF(J1103="object pictures",2,IF(J1103="faces",2,IF(J1103="names",2,IF(J1103="idioms","2",IF(J1103="grades",2,IF(J1103="syllable-digit pairs",3,IF(J1103="trigram-word pairs",3,IF(J1103="word-digit pairs",3,IF(J1103="English-Swahili pairs",3,IF(J1103="spatial position",3,IF(J1103="word pairs",4,IF(J1103="word triads",4,IF(J1103="generated words",4,IF(J1103="word definition pairs",4,IF(J1103="math problems",4,IF(J1103="famous faces",4,IF(J1103="famous names",4,IF(J1103="famous voices",4,IF(J1103="television programs",4,IF(J1103="race horses",4,IF(J1103="new vocabulary",4,IF(J1103="sentences",5,IF(J1103="concepts",5,IF(J1103="ad slides",5,IF(J1103="scenes",5,IF(J1103="famous scenes",5,IF(J1103="poems",6,IF(J1103="walk",6,IF(J1103="faces and events",6,IF(J1103="events and names",6,IF(J1103="flashbulb",7,IF(J1103="stories",7,IF(J1103="course material",7,IF(J1103="autobiographical",7,IF(J1103="novels",7,IF(J1103="public events",7,"99"))))))))))))))))))))))))))))))))))))))))))))))</f>
        <v>1</v>
      </c>
      <c r="M1103" s="60">
        <v>0</v>
      </c>
      <c r="N1103" s="60">
        <v>1</v>
      </c>
      <c r="O1103" s="60">
        <v>0</v>
      </c>
      <c r="P1103" s="60"/>
      <c r="Q1103" s="60" t="s">
        <v>174</v>
      </c>
      <c r="R1103" s="60">
        <f>IF(Q1103="Free Recall",1,IF(Q1103="Cued Recall",2,IF(Q1103="Recognition",3,IF(Q1103="Multiple Choice",4,IF(Q1103="Savings",5,IF(Q1103="Stem Completion",6,IF(Q1103="Fragment Completion",7,IF(Q1103="anagram solution",8,IF(Q1103="Matching",9,IF(Q1103="Problem Solving",10,"99"))))))))))</f>
        <v>1</v>
      </c>
      <c r="S1103" s="60" t="s">
        <v>49</v>
      </c>
      <c r="T1103" s="59" t="s">
        <v>581</v>
      </c>
      <c r="U1103" s="60">
        <f>IF(T1103="within",1,0)</f>
        <v>1</v>
      </c>
      <c r="V1103" s="59">
        <v>108</v>
      </c>
      <c r="W1103" s="60">
        <f>F1103*V1103</f>
        <v>6804</v>
      </c>
      <c r="X1103" s="60">
        <v>3</v>
      </c>
      <c r="Y1103" s="76">
        <f>AV1102</f>
        <v>1.5</v>
      </c>
      <c r="Z1103" s="60" t="s">
        <v>39</v>
      </c>
      <c r="AA1103" s="60">
        <v>6</v>
      </c>
      <c r="AB1103" s="60" t="str">
        <f>IF(AA1103&lt;60,"1",IF(AA1103&lt;=43200,"2",IF(AA1103&lt;=777600,"3","4")))</f>
        <v>1</v>
      </c>
      <c r="AC1103" s="56">
        <f>AVERAGE(AV1102:DA1102)</f>
        <v>3.5</v>
      </c>
      <c r="AD1103" s="60" t="str">
        <f>IF(AC1103&lt;60,"1",IF(AC1103&lt;=43200,"2",IF(AC1103&lt;=777600,"3","4")))</f>
        <v>1</v>
      </c>
      <c r="AE1103" s="76">
        <f>AA1103-Y1103</f>
        <v>4.5</v>
      </c>
      <c r="AF1103" s="80">
        <f>AV1103</f>
        <v>0.87</v>
      </c>
      <c r="AG1103" s="56">
        <f>((AW1103-AV1103)+(AX1103-AW1103))/2</f>
        <v>-2.9999999999999971E-2</v>
      </c>
      <c r="AH1103" s="4"/>
      <c r="AI1103" s="56">
        <f>RSQ(AV1103:AX1103,AV1102:AX1102)</f>
        <v>1</v>
      </c>
      <c r="AJ1103" s="109">
        <f>SLOPE(AV1103:AX1103,AV1102:AX1102)</f>
        <v>-1.3333333333333319E-2</v>
      </c>
      <c r="AK1103" s="56">
        <f>INTERCEPT(AV1103:AX1103,AV1102:AX1102)</f>
        <v>0.89</v>
      </c>
      <c r="AL1103" s="56">
        <f>INDEX(LINEST(LN(AV1103:AX1103),LN(AV1102:AX1102),TRUE,TRUE),3,1)</f>
        <v>0.96096551286856546</v>
      </c>
      <c r="AM1103" s="56">
        <f>INDEX(LINEST(LN(AV1103:AX1103),LN(AV1102:AX1102)),1)</f>
        <v>-5.1546746482051729E-2</v>
      </c>
      <c r="AN1103" s="56">
        <f>EXP(INDEX(LINEST(LN(AV1103:AX1103),LN(AV1102:AX1102)),1,2))</f>
        <v>0.89207584654652905</v>
      </c>
      <c r="AO1103" s="82">
        <f>INDEX(LINEST((AV1103:AX1103),LN(AV1102:AX1102),TRUE,TRUE),3,1)</f>
        <v>0.96428571428571452</v>
      </c>
      <c r="AP1103" s="82">
        <f>INDEX(LINEST((AV1103:AX1103),LN(AV1102:AX1102)),1)</f>
        <v>-4.3280851226668859E-2</v>
      </c>
      <c r="AQ1103" s="83">
        <f>INDEX(LINEST(LN(AV1103:AX1103),SQRT(AV1102:AX1102),TRUE,TRUE),3,1)</f>
        <v>0.9900045808735225</v>
      </c>
      <c r="AR1103" s="116">
        <f>INDEX(LINEST(LN(AV1103:AX1103),SQRT((AV1102:AX1102))),1)</f>
        <v>-5.8932577184482207E-2</v>
      </c>
      <c r="AS1103" s="84">
        <f>INDEX(LINEST(1/(AV1103:AX1103),1/(SQRT(AV1102:AX1102)),TRUE,TRUE),3,1)</f>
        <v>0.90909690947429778</v>
      </c>
      <c r="AT1103" s="84">
        <f>INDEX(LINEST(1/(AV1103:AX1103),1/SQRT(AV1102:AX1102)),1)</f>
        <v>-0.20222164130702389</v>
      </c>
      <c r="AU1103" s="3"/>
      <c r="AV1103" s="53">
        <v>0.87</v>
      </c>
      <c r="AW1103" s="53">
        <v>0.85</v>
      </c>
      <c r="AX1103" s="53">
        <v>0.81</v>
      </c>
      <c r="AY1103" s="53"/>
      <c r="AZ1103" s="53"/>
      <c r="BA1103" s="53"/>
      <c r="BB1103" s="53"/>
      <c r="BC1103" s="53"/>
      <c r="BD1103" s="53"/>
      <c r="BE1103" s="53"/>
      <c r="BF1103" s="53"/>
      <c r="BG1103" s="53"/>
      <c r="BH1103" s="53"/>
      <c r="BI1103" s="53"/>
      <c r="BJ1103" s="53"/>
      <c r="BK1103" s="53"/>
      <c r="BL1103" s="53"/>
      <c r="BM1103" s="53"/>
      <c r="BN1103" s="53"/>
      <c r="BO1103" s="53"/>
      <c r="BP1103" s="53"/>
      <c r="BQ1103" s="53"/>
      <c r="BR1103" s="53"/>
      <c r="BS1103" s="53"/>
      <c r="BT1103" s="53"/>
      <c r="BU1103" s="53"/>
      <c r="BV1103" s="53"/>
      <c r="BW1103" s="53"/>
      <c r="BX1103" s="53"/>
      <c r="BY1103" s="53"/>
      <c r="BZ1103" s="53"/>
      <c r="CA1103" s="53"/>
      <c r="CB1103" s="53"/>
      <c r="CC1103" s="53"/>
      <c r="CD1103" s="53"/>
      <c r="CE1103" s="53"/>
      <c r="CF1103" s="53"/>
      <c r="CG1103" s="53"/>
      <c r="CH1103" s="53"/>
      <c r="CI1103" s="53"/>
      <c r="CJ1103" s="53"/>
      <c r="CK1103" s="53"/>
      <c r="CL1103" s="53"/>
      <c r="CM1103" s="53"/>
      <c r="CN1103" s="53"/>
      <c r="CO1103" s="53"/>
      <c r="CP1103" s="53"/>
      <c r="CQ1103" s="53"/>
      <c r="CR1103" s="1"/>
      <c r="CS1103" s="1"/>
      <c r="CT1103" s="1"/>
      <c r="CU1103" s="1"/>
    </row>
    <row r="1104" spans="1:99" s="13" customFormat="1" ht="12" customHeight="1" x14ac:dyDescent="0.2">
      <c r="A1104" s="65">
        <v>43916</v>
      </c>
      <c r="B1104" s="1"/>
      <c r="C1104" s="1"/>
      <c r="D1104" s="60"/>
      <c r="E1104" s="76"/>
      <c r="F1104" s="60"/>
      <c r="G1104" s="60"/>
      <c r="H1104" s="60"/>
      <c r="I1104" s="60"/>
      <c r="J1104" s="60"/>
      <c r="K1104" s="64"/>
      <c r="L1104" s="64"/>
      <c r="M1104" s="60"/>
      <c r="N1104" s="60"/>
      <c r="O1104" s="60"/>
      <c r="P1104" s="60"/>
      <c r="Q1104" s="60"/>
      <c r="R1104" s="60"/>
      <c r="S1104" s="60"/>
      <c r="T1104" s="59"/>
      <c r="U1104" s="60"/>
      <c r="V1104" s="59"/>
      <c r="W1104" s="60"/>
      <c r="X1104" s="60"/>
      <c r="Y1104" s="76"/>
      <c r="Z1104" s="60"/>
      <c r="AA1104" s="60"/>
      <c r="AB1104" s="60"/>
      <c r="AC1104" s="60"/>
      <c r="AD1104" s="60"/>
      <c r="AE1104" s="60"/>
      <c r="AF1104" s="80"/>
      <c r="AG1104" s="56"/>
      <c r="AH1104" s="4"/>
      <c r="AI1104" s="56"/>
      <c r="AJ1104" s="109"/>
      <c r="AK1104" s="56"/>
      <c r="AL1104" s="56"/>
      <c r="AM1104" s="56"/>
      <c r="AN1104" s="56"/>
      <c r="AO1104" s="82"/>
      <c r="AP1104" s="82"/>
      <c r="AQ1104" s="82"/>
      <c r="AR1104" s="115"/>
      <c r="AS1104" s="82"/>
      <c r="AT1104" s="82"/>
      <c r="AU1104" s="3"/>
      <c r="AV1104" s="54">
        <v>1.5</v>
      </c>
      <c r="AW1104" s="25">
        <v>3</v>
      </c>
      <c r="AX1104" s="25">
        <v>6</v>
      </c>
      <c r="AY1104" s="53"/>
      <c r="AZ1104" s="53"/>
      <c r="BA1104" s="53"/>
      <c r="BB1104" s="53"/>
      <c r="BC1104" s="53"/>
      <c r="BD1104" s="53"/>
      <c r="BE1104" s="53"/>
      <c r="BF1104" s="53"/>
      <c r="BG1104" s="53"/>
      <c r="BH1104" s="53"/>
      <c r="BI1104" s="53"/>
      <c r="BJ1104" s="53"/>
      <c r="BK1104" s="53"/>
      <c r="BL1104" s="53"/>
      <c r="BM1104" s="53"/>
      <c r="BN1104" s="53"/>
      <c r="BO1104" s="53"/>
      <c r="BP1104" s="53"/>
      <c r="BQ1104" s="53"/>
      <c r="BR1104" s="53"/>
      <c r="BS1104" s="53"/>
      <c r="BT1104" s="53"/>
      <c r="BU1104" s="53"/>
      <c r="BV1104" s="53"/>
      <c r="BW1104" s="53"/>
      <c r="BX1104" s="53"/>
      <c r="BY1104" s="53"/>
      <c r="BZ1104" s="53"/>
      <c r="CA1104" s="53"/>
      <c r="CB1104" s="53"/>
      <c r="CC1104" s="53"/>
      <c r="CD1104" s="53"/>
      <c r="CE1104" s="53"/>
      <c r="CF1104" s="53"/>
      <c r="CG1104" s="53"/>
      <c r="CH1104" s="53"/>
      <c r="CI1104" s="53"/>
      <c r="CJ1104" s="53"/>
      <c r="CK1104" s="53"/>
      <c r="CL1104" s="53"/>
      <c r="CM1104" s="53"/>
      <c r="CN1104" s="53"/>
      <c r="CO1104" s="53"/>
      <c r="CP1104" s="53"/>
      <c r="CQ1104" s="53"/>
      <c r="CR1104" s="1"/>
      <c r="CS1104" s="1"/>
      <c r="CT1104" s="1"/>
      <c r="CU1104" s="1"/>
    </row>
    <row r="1105" spans="1:99" s="13" customFormat="1" ht="12" customHeight="1" x14ac:dyDescent="0.2">
      <c r="A1105" s="65">
        <v>43916</v>
      </c>
      <c r="B1105" s="1" t="s">
        <v>567</v>
      </c>
      <c r="C1105" s="1" t="s">
        <v>45</v>
      </c>
      <c r="D1105" s="60">
        <v>2020</v>
      </c>
      <c r="E1105" s="76">
        <v>5</v>
      </c>
      <c r="F1105" s="60">
        <v>63</v>
      </c>
      <c r="G1105" s="60">
        <v>63</v>
      </c>
      <c r="H1105" s="60" t="s">
        <v>341</v>
      </c>
      <c r="I1105" s="60" t="s">
        <v>781</v>
      </c>
      <c r="J1105" s="60" t="s">
        <v>764</v>
      </c>
      <c r="K1105" s="60">
        <f>IF(J1105="syllables",1,IF(J1105="trigrams",2,IF(J1105="strings",3,IF(J1105="visual array",4,IF(J1105="characters",5,IF(J1105="letters",6,IF(J1105="free forms",7,IF(J1105="odors",8,IF(J1105="words",9,IF(J1105="pictures",10,IF(J1105="object pictures",11,IF(J1105="faces",12,IF(J1105="names",13,IF(J1105="idioms",14,IF(J1105="grades",15,IF(J1105="syllable-digit pairs",16,IF(J1105="trigram-word pairs",17,IF(J1105="word-digit pairs",18,IF(J1105="English-Swahili pairs",19,IF(J1105="spatial position",20,IF(J1105="word pairs",21,IF(J1105="word triads",22,IF(J1105="generated words",23,IF(J1105="word definition pairs",24,IF(J1105="math problems",25,IF(J1105="famous faces",26,IF(J1105="famous names",27,IF(J1105="famous voices",28,IF(J1105="television programs",29,IF(J1105="race horses",30,IF(J1105="new vocabulary",31,IF(J1105="sentences",32,IF(J1105="concepts",33,IF(J1105="ad slides",34,IF(J1105="scenes",35,IF(J1105="famous scenes",36,IF(J1105="poems",37,IF(J1105="walk",38,IF(J1105="faces and events",39,IF(J1105="events and names",40,IF(J1105="flashbulb",41,IF(J1105="stories",42,IF(J1105="course material",43,IF(J1105="autobiographical",44,IF(J1105="novels",45,IF(J1105="public events",46,"99"))))))))))))))))))))))))))))))))))))))))))))))</f>
        <v>4</v>
      </c>
      <c r="L1105" s="60">
        <f>IF(J1105="syllables",1,IF(J1105="trigrams",1,IF(J1105="strings",1,IF(J1105="visual array",1,IF(J1105="characters",1,IF(J1105="letters",1,IF(J1105="free forms",1,IF(J1105="odors",2,IF(J1105="words",2,IF(J1105="pictures",2,IF(J1105="object pictures",2,IF(J1105="faces",2,IF(J1105="names",2,IF(J1105="idioms","2",IF(J1105="grades",2,IF(J1105="syllable-digit pairs",3,IF(J1105="trigram-word pairs",3,IF(J1105="word-digit pairs",3,IF(J1105="English-Swahili pairs",3,IF(J1105="spatial position",3,IF(J1105="word pairs",4,IF(J1105="word triads",4,IF(J1105="generated words",4,IF(J1105="word definition pairs",4,IF(J1105="math problems",4,IF(J1105="famous faces",4,IF(J1105="famous names",4,IF(J1105="famous voices",4,IF(J1105="television programs",4,IF(J1105="race horses",4,IF(J1105="new vocabulary",4,IF(J1105="sentences",5,IF(J1105="concepts",5,IF(J1105="ad slides",5,IF(J1105="scenes",5,IF(J1105="famous scenes",5,IF(J1105="poems",6,IF(J1105="walk",6,IF(J1105="faces and events",6,IF(J1105="events and names",6,IF(J1105="flashbulb",7,IF(J1105="stories",7,IF(J1105="course material",7,IF(J1105="autobiographical",7,IF(J1105="novels",7,IF(J1105="public events",7,"99"))))))))))))))))))))))))))))))))))))))))))))))</f>
        <v>1</v>
      </c>
      <c r="M1105" s="60">
        <v>0</v>
      </c>
      <c r="N1105" s="60">
        <v>1</v>
      </c>
      <c r="O1105" s="60">
        <v>0</v>
      </c>
      <c r="P1105" s="60"/>
      <c r="Q1105" s="60" t="s">
        <v>174</v>
      </c>
      <c r="R1105" s="60">
        <f>IF(Q1105="Free Recall",1,IF(Q1105="Cued Recall",2,IF(Q1105="Recognition",3,IF(Q1105="Multiple Choice",4,IF(Q1105="Savings",5,IF(Q1105="Stem Completion",6,IF(Q1105="Fragment Completion",7,IF(Q1105="anagram solution",8,IF(Q1105="Matching",9,IF(Q1105="Problem Solving",10,"99"))))))))))</f>
        <v>1</v>
      </c>
      <c r="S1105" s="60" t="s">
        <v>49</v>
      </c>
      <c r="T1105" s="59" t="s">
        <v>581</v>
      </c>
      <c r="U1105" s="60">
        <f>IF(T1105="within",1,0)</f>
        <v>1</v>
      </c>
      <c r="V1105" s="59">
        <v>108</v>
      </c>
      <c r="W1105" s="60">
        <f>F1105*V1105</f>
        <v>6804</v>
      </c>
      <c r="X1105" s="60">
        <v>3</v>
      </c>
      <c r="Y1105" s="76">
        <f>AV1104</f>
        <v>1.5</v>
      </c>
      <c r="Z1105" s="60" t="s">
        <v>39</v>
      </c>
      <c r="AA1105" s="60">
        <v>6</v>
      </c>
      <c r="AB1105" s="60" t="str">
        <f>IF(AA1105&lt;60,"1",IF(AA1105&lt;=43200,"2",IF(AA1105&lt;=777600,"3","4")))</f>
        <v>1</v>
      </c>
      <c r="AC1105" s="56">
        <f>AVERAGE(AV1104:DA1104)</f>
        <v>3.5</v>
      </c>
      <c r="AD1105" s="60" t="str">
        <f>IF(AC1105&lt;60,"1",IF(AC1105&lt;=43200,"2",IF(AC1105&lt;=777600,"3","4")))</f>
        <v>1</v>
      </c>
      <c r="AE1105" s="76">
        <f>AA1105-Y1105</f>
        <v>4.5</v>
      </c>
      <c r="AF1105" s="80">
        <f>AV1105</f>
        <v>0.85</v>
      </c>
      <c r="AG1105" s="56">
        <f>((AW1105-AV1105)+(AX1105-AW1105))/2</f>
        <v>-2.4999999999999967E-2</v>
      </c>
      <c r="AH1105" s="4"/>
      <c r="AI1105" s="56">
        <f>RSQ(AV1105:AX1105,AV1104:AX1104)</f>
        <v>0.99436090225563922</v>
      </c>
      <c r="AJ1105" s="109">
        <f>SLOPE(AV1105:AX1105,AV1104:AX1104)</f>
        <v>-1.0952380952380936E-2</v>
      </c>
      <c r="AK1105" s="56">
        <f>INTERCEPT(AV1105:AX1105,AV1104:AX1104)</f>
        <v>0.86499999999999999</v>
      </c>
      <c r="AL1105" s="56">
        <f>INDEX(LINEST(LN(AV1105:AX1105),LN(AV1104:AX1104),TRUE,TRUE),3,1)</f>
        <v>0.98489641604852174</v>
      </c>
      <c r="AM1105" s="56">
        <f>INDEX(LINEST(LN(AV1105:AX1105),LN(AV1104:AX1104)),1)</f>
        <v>-4.3731420625169652E-2</v>
      </c>
      <c r="AN1105" s="56">
        <f>EXP(INDEX(LINEST(LN(AV1105:AX1105),LN(AV1104:AX1104)),1,2))</f>
        <v>0.86708337354371856</v>
      </c>
      <c r="AO1105" s="82">
        <f>INDEX(LINEST((AV1105:AX1105),LN(AV1104:AX1104),TRUE,TRUE),3,1)</f>
        <v>0.98684210526315808</v>
      </c>
      <c r="AP1105" s="82">
        <f>INDEX(LINEST((AV1105:AX1105),LN(AV1104:AX1104)),1)</f>
        <v>-3.6067376022224026E-2</v>
      </c>
      <c r="AQ1105" s="83">
        <f>INDEX(LINEST(LN(AV1105:AX1105),SQRT(AV1104:AX1104),TRUE,TRUE),3,1)</f>
        <v>0.99940121225204026</v>
      </c>
      <c r="AR1105" s="116">
        <f>INDEX(LINEST(LN(AV1105:AX1105),SQRT((AV1104:AX1104))),1)</f>
        <v>-4.9620109344415748E-2</v>
      </c>
      <c r="AS1105" s="84">
        <f>INDEX(LINEST(1/(AV1105:AX1105),1/(SQRT(AV1104:AX1104)),TRUE,TRUE),3,1)</f>
        <v>0.94796474446504519</v>
      </c>
      <c r="AT1105" s="84">
        <f>INDEX(LINEST(1/(AV1105:AX1105),1/SQRT(AV1104:AX1104)),1)</f>
        <v>-0.17602433847644572</v>
      </c>
      <c r="AU1105" s="3"/>
      <c r="AV1105" s="53">
        <v>0.85</v>
      </c>
      <c r="AW1105" s="53">
        <v>0.83</v>
      </c>
      <c r="AX1105" s="53">
        <v>0.8</v>
      </c>
      <c r="AY1105" s="53"/>
      <c r="AZ1105" s="53"/>
      <c r="BA1105" s="53"/>
      <c r="BB1105" s="53"/>
      <c r="BC1105" s="53"/>
      <c r="BD1105" s="53"/>
      <c r="BE1105" s="53"/>
      <c r="BF1105" s="53"/>
      <c r="BG1105" s="53"/>
      <c r="BH1105" s="53"/>
      <c r="BI1105" s="53"/>
      <c r="BJ1105" s="53"/>
      <c r="BK1105" s="53"/>
      <c r="BL1105" s="53"/>
      <c r="BM1105" s="53"/>
      <c r="BN1105" s="53"/>
      <c r="BO1105" s="53"/>
      <c r="BP1105" s="53"/>
      <c r="BQ1105" s="53"/>
      <c r="BR1105" s="53"/>
      <c r="BS1105" s="53"/>
      <c r="BT1105" s="53"/>
      <c r="BU1105" s="53"/>
      <c r="BV1105" s="53"/>
      <c r="BW1105" s="53"/>
      <c r="BX1105" s="53"/>
      <c r="BY1105" s="53"/>
      <c r="BZ1105" s="53"/>
      <c r="CA1105" s="53"/>
      <c r="CB1105" s="53"/>
      <c r="CC1105" s="53"/>
      <c r="CD1105" s="53"/>
      <c r="CE1105" s="53"/>
      <c r="CF1105" s="53"/>
      <c r="CG1105" s="53"/>
      <c r="CH1105" s="53"/>
      <c r="CI1105" s="53"/>
      <c r="CJ1105" s="53"/>
      <c r="CK1105" s="53"/>
      <c r="CL1105" s="53"/>
      <c r="CM1105" s="53"/>
      <c r="CN1105" s="53"/>
      <c r="CO1105" s="53"/>
      <c r="CP1105" s="53"/>
      <c r="CQ1105" s="53"/>
      <c r="CR1105" s="1"/>
      <c r="CS1105" s="1"/>
      <c r="CT1105" s="1"/>
      <c r="CU1105" s="1"/>
    </row>
    <row r="1106" spans="1:99" s="13" customFormat="1" ht="12" customHeight="1" x14ac:dyDescent="0.2">
      <c r="A1106" s="65">
        <v>43916</v>
      </c>
      <c r="B1106" s="1"/>
      <c r="C1106" s="1"/>
      <c r="D1106" s="60"/>
      <c r="E1106" s="76"/>
      <c r="F1106" s="60"/>
      <c r="G1106" s="60"/>
      <c r="H1106" s="60"/>
      <c r="I1106" s="60"/>
      <c r="J1106" s="60"/>
      <c r="K1106" s="64"/>
      <c r="L1106" s="64"/>
      <c r="M1106" s="60"/>
      <c r="N1106" s="60"/>
      <c r="O1106" s="60"/>
      <c r="P1106" s="60"/>
      <c r="Q1106" s="60"/>
      <c r="R1106" s="60"/>
      <c r="S1106" s="60"/>
      <c r="T1106" s="59"/>
      <c r="U1106" s="60"/>
      <c r="V1106" s="59"/>
      <c r="W1106" s="60"/>
      <c r="X1106" s="60"/>
      <c r="Y1106" s="76"/>
      <c r="Z1106" s="60"/>
      <c r="AA1106" s="60"/>
      <c r="AB1106" s="60"/>
      <c r="AC1106" s="60"/>
      <c r="AD1106" s="60"/>
      <c r="AE1106" s="60"/>
      <c r="AF1106" s="80"/>
      <c r="AG1106" s="56"/>
      <c r="AH1106" s="4"/>
      <c r="AI1106" s="56"/>
      <c r="AJ1106" s="109"/>
      <c r="AK1106" s="56"/>
      <c r="AL1106" s="56"/>
      <c r="AM1106" s="56"/>
      <c r="AN1106" s="56"/>
      <c r="AO1106" s="82"/>
      <c r="AP1106" s="82"/>
      <c r="AQ1106" s="82"/>
      <c r="AR1106" s="115"/>
      <c r="AS1106" s="82"/>
      <c r="AT1106" s="82"/>
      <c r="AU1106" s="3"/>
      <c r="AV1106" s="54">
        <v>1.5</v>
      </c>
      <c r="AW1106" s="25">
        <v>3</v>
      </c>
      <c r="AX1106" s="25">
        <v>6</v>
      </c>
      <c r="AY1106" s="53"/>
      <c r="AZ1106" s="53"/>
      <c r="BA1106" s="53"/>
      <c r="BB1106" s="53"/>
      <c r="BC1106" s="53"/>
      <c r="BD1106" s="53"/>
      <c r="BE1106" s="53"/>
      <c r="BF1106" s="53"/>
      <c r="BG1106" s="53"/>
      <c r="BH1106" s="53"/>
      <c r="BI1106" s="53"/>
      <c r="BJ1106" s="53"/>
      <c r="BK1106" s="53"/>
      <c r="BL1106" s="53"/>
      <c r="BM1106" s="53"/>
      <c r="BN1106" s="53"/>
      <c r="BO1106" s="53"/>
      <c r="BP1106" s="53"/>
      <c r="BQ1106" s="53"/>
      <c r="BR1106" s="53"/>
      <c r="BS1106" s="53"/>
      <c r="BT1106" s="53"/>
      <c r="BU1106" s="53"/>
      <c r="BV1106" s="53"/>
      <c r="BW1106" s="53"/>
      <c r="BX1106" s="53"/>
      <c r="BY1106" s="53"/>
      <c r="BZ1106" s="53"/>
      <c r="CA1106" s="53"/>
      <c r="CB1106" s="53"/>
      <c r="CC1106" s="53"/>
      <c r="CD1106" s="53"/>
      <c r="CE1106" s="53"/>
      <c r="CF1106" s="53"/>
      <c r="CG1106" s="53"/>
      <c r="CH1106" s="53"/>
      <c r="CI1106" s="53"/>
      <c r="CJ1106" s="53"/>
      <c r="CK1106" s="53"/>
      <c r="CL1106" s="53"/>
      <c r="CM1106" s="53"/>
      <c r="CN1106" s="53"/>
      <c r="CO1106" s="53"/>
      <c r="CP1106" s="53"/>
      <c r="CQ1106" s="53"/>
      <c r="CR1106" s="1"/>
      <c r="CS1106" s="1"/>
      <c r="CT1106" s="1"/>
      <c r="CU1106" s="1"/>
    </row>
    <row r="1107" spans="1:99" s="13" customFormat="1" ht="12" customHeight="1" x14ac:dyDescent="0.2">
      <c r="A1107" s="65">
        <v>43916</v>
      </c>
      <c r="B1107" s="1" t="s">
        <v>567</v>
      </c>
      <c r="C1107" s="1" t="s">
        <v>45</v>
      </c>
      <c r="D1107" s="60">
        <v>2020</v>
      </c>
      <c r="E1107" s="76">
        <v>5</v>
      </c>
      <c r="F1107" s="60">
        <v>63</v>
      </c>
      <c r="G1107" s="60">
        <v>63</v>
      </c>
      <c r="H1107" s="60" t="s">
        <v>341</v>
      </c>
      <c r="I1107" s="60" t="s">
        <v>782</v>
      </c>
      <c r="J1107" s="60" t="s">
        <v>764</v>
      </c>
      <c r="K1107" s="60">
        <f>IF(J1107="syllables",1,IF(J1107="trigrams",2,IF(J1107="strings",3,IF(J1107="visual array",4,IF(J1107="characters",5,IF(J1107="letters",6,IF(J1107="free forms",7,IF(J1107="odors",8,IF(J1107="words",9,IF(J1107="pictures",10,IF(J1107="object pictures",11,IF(J1107="faces",12,IF(J1107="names",13,IF(J1107="idioms",14,IF(J1107="grades",15,IF(J1107="syllable-digit pairs",16,IF(J1107="trigram-word pairs",17,IF(J1107="word-digit pairs",18,IF(J1107="English-Swahili pairs",19,IF(J1107="spatial position",20,IF(J1107="word pairs",21,IF(J1107="word triads",22,IF(J1107="generated words",23,IF(J1107="word definition pairs",24,IF(J1107="math problems",25,IF(J1107="famous faces",26,IF(J1107="famous names",27,IF(J1107="famous voices",28,IF(J1107="television programs",29,IF(J1107="race horses",30,IF(J1107="new vocabulary",31,IF(J1107="sentences",32,IF(J1107="concepts",33,IF(J1107="ad slides",34,IF(J1107="scenes",35,IF(J1107="famous scenes",36,IF(J1107="poems",37,IF(J1107="walk",38,IF(J1107="faces and events",39,IF(J1107="events and names",40,IF(J1107="flashbulb",41,IF(J1107="stories",42,IF(J1107="course material",43,IF(J1107="autobiographical",44,IF(J1107="novels",45,IF(J1107="public events",46,"99"))))))))))))))))))))))))))))))))))))))))))))))</f>
        <v>4</v>
      </c>
      <c r="L1107" s="60">
        <f>IF(J1107="syllables",1,IF(J1107="trigrams",1,IF(J1107="strings",1,IF(J1107="visual array",1,IF(J1107="characters",1,IF(J1107="letters",1,IF(J1107="free forms",1,IF(J1107="odors",2,IF(J1107="words",2,IF(J1107="pictures",2,IF(J1107="object pictures",2,IF(J1107="faces",2,IF(J1107="names",2,IF(J1107="idioms","2",IF(J1107="grades",2,IF(J1107="syllable-digit pairs",3,IF(J1107="trigram-word pairs",3,IF(J1107="word-digit pairs",3,IF(J1107="English-Swahili pairs",3,IF(J1107="spatial position",3,IF(J1107="word pairs",4,IF(J1107="word triads",4,IF(J1107="generated words",4,IF(J1107="word definition pairs",4,IF(J1107="math problems",4,IF(J1107="famous faces",4,IF(J1107="famous names",4,IF(J1107="famous voices",4,IF(J1107="television programs",4,IF(J1107="race horses",4,IF(J1107="new vocabulary",4,IF(J1107="sentences",5,IF(J1107="concepts",5,IF(J1107="ad slides",5,IF(J1107="scenes",5,IF(J1107="famous scenes",5,IF(J1107="poems",6,IF(J1107="walk",6,IF(J1107="faces and events",6,IF(J1107="events and names",6,IF(J1107="flashbulb",7,IF(J1107="stories",7,IF(J1107="course material",7,IF(J1107="autobiographical",7,IF(J1107="novels",7,IF(J1107="public events",7,"99"))))))))))))))))))))))))))))))))))))))))))))))</f>
        <v>1</v>
      </c>
      <c r="M1107" s="60">
        <v>0</v>
      </c>
      <c r="N1107" s="60">
        <v>1</v>
      </c>
      <c r="O1107" s="60">
        <v>0</v>
      </c>
      <c r="P1107" s="60"/>
      <c r="Q1107" s="60" t="s">
        <v>174</v>
      </c>
      <c r="R1107" s="60">
        <f>IF(Q1107="Free Recall",1,IF(Q1107="Cued Recall",2,IF(Q1107="Recognition",3,IF(Q1107="Multiple Choice",4,IF(Q1107="Savings",5,IF(Q1107="Stem Completion",6,IF(Q1107="Fragment Completion",7,IF(Q1107="anagram solution",8,IF(Q1107="Matching",9,IF(Q1107="Problem Solving",10,"99"))))))))))</f>
        <v>1</v>
      </c>
      <c r="S1107" s="60" t="s">
        <v>49</v>
      </c>
      <c r="T1107" s="59" t="s">
        <v>581</v>
      </c>
      <c r="U1107" s="60">
        <f>IF(T1107="within",1,0)</f>
        <v>1</v>
      </c>
      <c r="V1107" s="59">
        <v>108</v>
      </c>
      <c r="W1107" s="60">
        <f>F1107*V1107</f>
        <v>6804</v>
      </c>
      <c r="X1107" s="60">
        <v>3</v>
      </c>
      <c r="Y1107" s="76">
        <f>AV1106</f>
        <v>1.5</v>
      </c>
      <c r="Z1107" s="60" t="s">
        <v>39</v>
      </c>
      <c r="AA1107" s="60">
        <v>6</v>
      </c>
      <c r="AB1107" s="60" t="str">
        <f>IF(AA1107&lt;60,"1",IF(AA1107&lt;=43200,"2",IF(AA1107&lt;=777600,"3","4")))</f>
        <v>1</v>
      </c>
      <c r="AC1107" s="56">
        <f>AVERAGE(AV1106:DA1106)</f>
        <v>3.5</v>
      </c>
      <c r="AD1107" s="60" t="str">
        <f>IF(AC1107&lt;60,"1",IF(AC1107&lt;=43200,"2",IF(AC1107&lt;=777600,"3","4")))</f>
        <v>1</v>
      </c>
      <c r="AE1107" s="76">
        <f>AA1107-Y1107</f>
        <v>4.5</v>
      </c>
      <c r="AF1107" s="80">
        <f>AV1107</f>
        <v>0.68</v>
      </c>
      <c r="AG1107" s="56">
        <f>((AW1107-AV1107)+(AX1107-AW1107))/2</f>
        <v>-3.0000000000000027E-2</v>
      </c>
      <c r="AH1107" s="4"/>
      <c r="AI1107" s="56">
        <f>RSQ(AV1107:AX1107,AV1106:AX1106)</f>
        <v>1</v>
      </c>
      <c r="AJ1107" s="109">
        <f>SLOPE(AV1107:AX1107,AV1106:AX1106)</f>
        <v>-1.3333333333333345E-2</v>
      </c>
      <c r="AK1107" s="56">
        <f>INTERCEPT(AV1107:AX1107,AV1106:AX1106)</f>
        <v>0.70000000000000007</v>
      </c>
      <c r="AL1107" s="56">
        <f>INDEX(LINEST(LN(AV1107:AX1107),LN(AV1106:AX1106),TRUE,TRUE),3,1)</f>
        <v>0.95998002515107472</v>
      </c>
      <c r="AM1107" s="56">
        <f>INDEX(LINEST(LN(AV1107:AX1107),LN(AV1106:AX1106)),1)</f>
        <v>-6.6633265431732133E-2</v>
      </c>
      <c r="AN1107" s="56">
        <f>EXP(INDEX(LINEST(LN(AV1107:AX1107),LN(AV1106:AX1106)),1,2))</f>
        <v>0.70243637518924396</v>
      </c>
      <c r="AO1107" s="82">
        <f>INDEX(LINEST((AV1107:AX1107),LN(AV1106:AX1106),TRUE,TRUE),3,1)</f>
        <v>0.9642857142857143</v>
      </c>
      <c r="AP1107" s="82">
        <f>INDEX(LINEST((AV1107:AX1107),LN(AV1106:AX1106)),1)</f>
        <v>-4.3280851226668929E-2</v>
      </c>
      <c r="AQ1107" s="83">
        <f>INDEX(LINEST(LN(AV1107:AX1107),SQRT(AV1106:AX1106),TRUE,TRUE),3,1)</f>
        <v>0.98949517653137298</v>
      </c>
      <c r="AR1107" s="116">
        <f>INDEX(LINEST(LN(AV1107:AX1107),SQRT((AV1106:AX1106))),1)</f>
        <v>-7.6200235431872779E-2</v>
      </c>
      <c r="AS1107" s="84">
        <f>INDEX(LINEST(1/(AV1107:AX1107),1/(SQRT(AV1106:AX1106)),TRUE,TRUE),3,1)</f>
        <v>0.90620897562480529</v>
      </c>
      <c r="AT1107" s="84">
        <f>INDEX(LINEST(1/(AV1107:AX1107),1/SQRT(AV1106:AX1106)),1)</f>
        <v>-0.33783305432160798</v>
      </c>
      <c r="AU1107" s="3"/>
      <c r="AV1107" s="53">
        <v>0.68</v>
      </c>
      <c r="AW1107" s="53">
        <v>0.66</v>
      </c>
      <c r="AX1107" s="53">
        <v>0.62</v>
      </c>
      <c r="AY1107" s="53"/>
      <c r="AZ1107" s="53"/>
      <c r="BA1107" s="53"/>
      <c r="BB1107" s="53"/>
      <c r="BC1107" s="53"/>
      <c r="BD1107" s="53"/>
      <c r="BE1107" s="53"/>
      <c r="BF1107" s="53"/>
      <c r="BG1107" s="53"/>
      <c r="BH1107" s="53"/>
      <c r="BI1107" s="53"/>
      <c r="BJ1107" s="53"/>
      <c r="BK1107" s="53"/>
      <c r="BL1107" s="53"/>
      <c r="BM1107" s="53"/>
      <c r="BN1107" s="53"/>
      <c r="BO1107" s="53"/>
      <c r="BP1107" s="53"/>
      <c r="BQ1107" s="53"/>
      <c r="BR1107" s="53"/>
      <c r="BS1107" s="53"/>
      <c r="BT1107" s="53"/>
      <c r="BU1107" s="53"/>
      <c r="BV1107" s="53"/>
      <c r="BW1107" s="53"/>
      <c r="BX1107" s="53"/>
      <c r="BY1107" s="53"/>
      <c r="BZ1107" s="53"/>
      <c r="CA1107" s="53"/>
      <c r="CB1107" s="53"/>
      <c r="CC1107" s="53"/>
      <c r="CD1107" s="53"/>
      <c r="CE1107" s="53"/>
      <c r="CF1107" s="53"/>
      <c r="CG1107" s="53"/>
      <c r="CH1107" s="53"/>
      <c r="CI1107" s="53"/>
      <c r="CJ1107" s="53"/>
      <c r="CK1107" s="53"/>
      <c r="CL1107" s="53"/>
      <c r="CM1107" s="53"/>
      <c r="CN1107" s="53"/>
      <c r="CO1107" s="53"/>
      <c r="CP1107" s="53"/>
      <c r="CQ1107" s="53"/>
      <c r="CR1107" s="1"/>
      <c r="CS1107" s="1"/>
      <c r="CT1107" s="1"/>
      <c r="CU1107" s="1"/>
    </row>
    <row r="1108" spans="1:99" s="13" customFormat="1" ht="12" customHeight="1" x14ac:dyDescent="0.2">
      <c r="A1108" s="65">
        <v>43916</v>
      </c>
      <c r="B1108" s="1"/>
      <c r="C1108" s="1"/>
      <c r="D1108" s="60"/>
      <c r="E1108" s="76"/>
      <c r="F1108" s="60"/>
      <c r="G1108" s="60"/>
      <c r="H1108" s="60"/>
      <c r="I1108" s="60"/>
      <c r="J1108" s="60"/>
      <c r="K1108" s="64"/>
      <c r="L1108" s="64"/>
      <c r="M1108" s="60"/>
      <c r="N1108" s="60"/>
      <c r="O1108" s="60"/>
      <c r="P1108" s="60"/>
      <c r="Q1108" s="60"/>
      <c r="R1108" s="60"/>
      <c r="S1108" s="60"/>
      <c r="T1108" s="59"/>
      <c r="U1108" s="60"/>
      <c r="V1108" s="59"/>
      <c r="W1108" s="60"/>
      <c r="X1108" s="60"/>
      <c r="Y1108" s="76"/>
      <c r="Z1108" s="60"/>
      <c r="AA1108" s="60"/>
      <c r="AB1108" s="60"/>
      <c r="AC1108" s="60"/>
      <c r="AD1108" s="60"/>
      <c r="AE1108" s="60"/>
      <c r="AF1108" s="80"/>
      <c r="AG1108" s="56"/>
      <c r="AH1108" s="4"/>
      <c r="AI1108" s="56"/>
      <c r="AJ1108" s="109"/>
      <c r="AK1108" s="56"/>
      <c r="AL1108" s="56"/>
      <c r="AM1108" s="56"/>
      <c r="AN1108" s="56"/>
      <c r="AO1108" s="82"/>
      <c r="AP1108" s="82"/>
      <c r="AQ1108" s="82"/>
      <c r="AR1108" s="115"/>
      <c r="AS1108" s="82"/>
      <c r="AT1108" s="82"/>
      <c r="AU1108" s="3"/>
      <c r="AV1108" s="54">
        <v>1.5</v>
      </c>
      <c r="AW1108" s="25">
        <v>3</v>
      </c>
      <c r="AX1108" s="25">
        <v>6</v>
      </c>
      <c r="AY1108" s="53"/>
      <c r="AZ1108" s="53"/>
      <c r="BA1108" s="53"/>
      <c r="BB1108" s="53"/>
      <c r="BC1108" s="53"/>
      <c r="BD1108" s="53"/>
      <c r="BE1108" s="53"/>
      <c r="BF1108" s="53"/>
      <c r="BG1108" s="53"/>
      <c r="BH1108" s="53"/>
      <c r="BI1108" s="53"/>
      <c r="BJ1108" s="53"/>
      <c r="BK1108" s="53"/>
      <c r="BL1108" s="53"/>
      <c r="BM1108" s="53"/>
      <c r="BN1108" s="53"/>
      <c r="BO1108" s="53"/>
      <c r="BP1108" s="53"/>
      <c r="BQ1108" s="53"/>
      <c r="BR1108" s="53"/>
      <c r="BS1108" s="53"/>
      <c r="BT1108" s="53"/>
      <c r="BU1108" s="53"/>
      <c r="BV1108" s="53"/>
      <c r="BW1108" s="53"/>
      <c r="BX1108" s="53"/>
      <c r="BY1108" s="53"/>
      <c r="BZ1108" s="53"/>
      <c r="CA1108" s="53"/>
      <c r="CB1108" s="53"/>
      <c r="CC1108" s="53"/>
      <c r="CD1108" s="53"/>
      <c r="CE1108" s="53"/>
      <c r="CF1108" s="53"/>
      <c r="CG1108" s="53"/>
      <c r="CH1108" s="53"/>
      <c r="CI1108" s="53"/>
      <c r="CJ1108" s="53"/>
      <c r="CK1108" s="53"/>
      <c r="CL1108" s="53"/>
      <c r="CM1108" s="53"/>
      <c r="CN1108" s="53"/>
      <c r="CO1108" s="53"/>
      <c r="CP1108" s="53"/>
      <c r="CQ1108" s="53"/>
      <c r="CR1108" s="1"/>
      <c r="CS1108" s="1"/>
      <c r="CT1108" s="1"/>
      <c r="CU1108" s="1"/>
    </row>
    <row r="1109" spans="1:99" s="13" customFormat="1" ht="12" customHeight="1" x14ac:dyDescent="0.2">
      <c r="A1109" s="65">
        <v>43916</v>
      </c>
      <c r="B1109" s="1" t="s">
        <v>567</v>
      </c>
      <c r="C1109" s="1" t="s">
        <v>45</v>
      </c>
      <c r="D1109" s="60">
        <v>2020</v>
      </c>
      <c r="E1109" s="76">
        <v>5</v>
      </c>
      <c r="F1109" s="60">
        <v>63</v>
      </c>
      <c r="G1109" s="60">
        <v>63</v>
      </c>
      <c r="H1109" s="60" t="s">
        <v>341</v>
      </c>
      <c r="I1109" s="60" t="s">
        <v>783</v>
      </c>
      <c r="J1109" s="60" t="s">
        <v>764</v>
      </c>
      <c r="K1109" s="60">
        <f>IF(J1109="syllables",1,IF(J1109="trigrams",2,IF(J1109="strings",3,IF(J1109="visual array",4,IF(J1109="characters",5,IF(J1109="letters",6,IF(J1109="free forms",7,IF(J1109="odors",8,IF(J1109="words",9,IF(J1109="pictures",10,IF(J1109="object pictures",11,IF(J1109="faces",12,IF(J1109="names",13,IF(J1109="idioms",14,IF(J1109="grades",15,IF(J1109="syllable-digit pairs",16,IF(J1109="trigram-word pairs",17,IF(J1109="word-digit pairs",18,IF(J1109="English-Swahili pairs",19,IF(J1109="spatial position",20,IF(J1109="word pairs",21,IF(J1109="word triads",22,IF(J1109="generated words",23,IF(J1109="word definition pairs",24,IF(J1109="math problems",25,IF(J1109="famous faces",26,IF(J1109="famous names",27,IF(J1109="famous voices",28,IF(J1109="television programs",29,IF(J1109="race horses",30,IF(J1109="new vocabulary",31,IF(J1109="sentences",32,IF(J1109="concepts",33,IF(J1109="ad slides",34,IF(J1109="scenes",35,IF(J1109="famous scenes",36,IF(J1109="poems",37,IF(J1109="walk",38,IF(J1109="faces and events",39,IF(J1109="events and names",40,IF(J1109="flashbulb",41,IF(J1109="stories",42,IF(J1109="course material",43,IF(J1109="autobiographical",44,IF(J1109="novels",45,IF(J1109="public events",46,"99"))))))))))))))))))))))))))))))))))))))))))))))</f>
        <v>4</v>
      </c>
      <c r="L1109" s="60">
        <f>IF(J1109="syllables",1,IF(J1109="trigrams",1,IF(J1109="strings",1,IF(J1109="visual array",1,IF(J1109="characters",1,IF(J1109="letters",1,IF(J1109="free forms",1,IF(J1109="odors",2,IF(J1109="words",2,IF(J1109="pictures",2,IF(J1109="object pictures",2,IF(J1109="faces",2,IF(J1109="names",2,IF(J1109="idioms","2",IF(J1109="grades",2,IF(J1109="syllable-digit pairs",3,IF(J1109="trigram-word pairs",3,IF(J1109="word-digit pairs",3,IF(J1109="English-Swahili pairs",3,IF(J1109="spatial position",3,IF(J1109="word pairs",4,IF(J1109="word triads",4,IF(J1109="generated words",4,IF(J1109="word definition pairs",4,IF(J1109="math problems",4,IF(J1109="famous faces",4,IF(J1109="famous names",4,IF(J1109="famous voices",4,IF(J1109="television programs",4,IF(J1109="race horses",4,IF(J1109="new vocabulary",4,IF(J1109="sentences",5,IF(J1109="concepts",5,IF(J1109="ad slides",5,IF(J1109="scenes",5,IF(J1109="famous scenes",5,IF(J1109="poems",6,IF(J1109="walk",6,IF(J1109="faces and events",6,IF(J1109="events and names",6,IF(J1109="flashbulb",7,IF(J1109="stories",7,IF(J1109="course material",7,IF(J1109="autobiographical",7,IF(J1109="novels",7,IF(J1109="public events",7,"99"))))))))))))))))))))))))))))))))))))))))))))))</f>
        <v>1</v>
      </c>
      <c r="M1109" s="60">
        <v>0</v>
      </c>
      <c r="N1109" s="60">
        <v>1</v>
      </c>
      <c r="O1109" s="60">
        <v>0</v>
      </c>
      <c r="P1109" s="60"/>
      <c r="Q1109" s="60" t="s">
        <v>174</v>
      </c>
      <c r="R1109" s="60">
        <f>IF(Q1109="Free Recall",1,IF(Q1109="Cued Recall",2,IF(Q1109="Recognition",3,IF(Q1109="Multiple Choice",4,IF(Q1109="Savings",5,IF(Q1109="Stem Completion",6,IF(Q1109="Fragment Completion",7,IF(Q1109="anagram solution",8,IF(Q1109="Matching",9,IF(Q1109="Problem Solving",10,"99"))))))))))</f>
        <v>1</v>
      </c>
      <c r="S1109" s="60" t="s">
        <v>49</v>
      </c>
      <c r="T1109" s="59" t="s">
        <v>581</v>
      </c>
      <c r="U1109" s="60">
        <f>IF(T1109="within",1,0)</f>
        <v>1</v>
      </c>
      <c r="V1109" s="59">
        <v>108</v>
      </c>
      <c r="W1109" s="60">
        <f>F1109*V1109</f>
        <v>6804</v>
      </c>
      <c r="X1109" s="60">
        <v>3</v>
      </c>
      <c r="Y1109" s="76">
        <f>AV1108</f>
        <v>1.5</v>
      </c>
      <c r="Z1109" s="60" t="s">
        <v>39</v>
      </c>
      <c r="AA1109" s="60">
        <v>6</v>
      </c>
      <c r="AB1109" s="60" t="str">
        <f>IF(AA1109&lt;60,"1",IF(AA1109&lt;=43200,"2",IF(AA1109&lt;=777600,"3","4")))</f>
        <v>1</v>
      </c>
      <c r="AC1109" s="56">
        <f>AVERAGE(AV1108:DA1108)</f>
        <v>3.5</v>
      </c>
      <c r="AD1109" s="60" t="str">
        <f>IF(AC1109&lt;60,"1",IF(AC1109&lt;=43200,"2",IF(AC1109&lt;=777600,"3","4")))</f>
        <v>1</v>
      </c>
      <c r="AE1109" s="76">
        <f>AA1109-Y1109</f>
        <v>4.5</v>
      </c>
      <c r="AF1109" s="80">
        <f>AV1109</f>
        <v>0.66</v>
      </c>
      <c r="AG1109" s="56">
        <f>((AW1109-AV1109)+(AX1109-AW1109))/2</f>
        <v>-2.0000000000000018E-2</v>
      </c>
      <c r="AH1109" s="4"/>
      <c r="AI1109" s="56">
        <f>RSQ(AV1109:AX1109,AV1108:AX1108)</f>
        <v>0.9642857142857143</v>
      </c>
      <c r="AJ1109" s="109">
        <f>SLOPE(AV1109:AX1109,AV1108:AX1108)</f>
        <v>-8.5714285714285788E-3</v>
      </c>
      <c r="AK1109" s="56">
        <f>INTERCEPT(AV1109:AX1109,AV1108:AX1108)</f>
        <v>0.67</v>
      </c>
      <c r="AL1109" s="56">
        <f>INDEX(LINEST(LN(AV1109:AX1109),LN(AV1108:AX1108),TRUE,TRUE),3,1)</f>
        <v>0.99991859991298915</v>
      </c>
      <c r="AM1109" s="56">
        <f>INDEX(LINEST(LN(AV1109:AX1109),LN(AV1108:AX1108)),1)</f>
        <v>-4.5098904485789126E-2</v>
      </c>
      <c r="AN1109" s="56">
        <f>EXP(INDEX(LINEST(LN(AV1109:AX1109),LN(AV1108:AX1108)),1,2))</f>
        <v>0.67228926861097171</v>
      </c>
      <c r="AO1109" s="82">
        <f>INDEX(LINEST((AV1109:AX1109),LN(AV1108:AX1108),TRUE,TRUE),3,1)</f>
        <v>1</v>
      </c>
      <c r="AP1109" s="82">
        <f>INDEX(LINEST((AV1109:AX1109),LN(AV1108:AX1108)),1)</f>
        <v>-2.8853900817779294E-2</v>
      </c>
      <c r="AQ1109" s="83">
        <f>INDEX(LINEST(LN(AV1109:AX1109),SQRT(AV1108:AX1108),TRUE,TRUE),3,1)</f>
        <v>0.99197310765473767</v>
      </c>
      <c r="AR1109" s="116">
        <f>INDEX(LINEST(LN(AV1109:AX1109),SQRT((AV1108:AX1108))),1)</f>
        <v>-5.0596804817391663E-2</v>
      </c>
      <c r="AS1109" s="84">
        <f>INDEX(LINEST(1/(AV1109:AX1109),1/(SQRT(AV1108:AX1108)),TRUE,TRUE),3,1)</f>
        <v>0.98642529001912516</v>
      </c>
      <c r="AT1109" s="84">
        <f>INDEX(LINEST(1/(AV1109:AX1109),1/SQRT(AV1108:AX1108)),1)</f>
        <v>-0.23669136360171308</v>
      </c>
      <c r="AU1109" s="3"/>
      <c r="AV1109" s="53">
        <v>0.66</v>
      </c>
      <c r="AW1109" s="53">
        <v>0.64</v>
      </c>
      <c r="AX1109" s="53">
        <v>0.62</v>
      </c>
      <c r="AY1109" s="53"/>
      <c r="AZ1109" s="53"/>
      <c r="BA1109" s="53"/>
      <c r="BB1109" s="53"/>
      <c r="BC1109" s="53"/>
      <c r="BD1109" s="53"/>
      <c r="BE1109" s="53"/>
      <c r="BF1109" s="53"/>
      <c r="BG1109" s="53"/>
      <c r="BH1109" s="53"/>
      <c r="BI1109" s="53"/>
      <c r="BJ1109" s="53"/>
      <c r="BK1109" s="53"/>
      <c r="BL1109" s="53"/>
      <c r="BM1109" s="53"/>
      <c r="BN1109" s="53"/>
      <c r="BO1109" s="53"/>
      <c r="BP1109" s="53"/>
      <c r="BQ1109" s="53"/>
      <c r="BR1109" s="53"/>
      <c r="BS1109" s="53"/>
      <c r="BT1109" s="53"/>
      <c r="BU1109" s="53"/>
      <c r="BV1109" s="53"/>
      <c r="BW1109" s="53"/>
      <c r="BX1109" s="53"/>
      <c r="BY1109" s="53"/>
      <c r="BZ1109" s="53"/>
      <c r="CA1109" s="53"/>
      <c r="CB1109" s="53"/>
      <c r="CC1109" s="53"/>
      <c r="CD1109" s="53"/>
      <c r="CE1109" s="53"/>
      <c r="CF1109" s="53"/>
      <c r="CG1109" s="53"/>
      <c r="CH1109" s="53"/>
      <c r="CI1109" s="53"/>
      <c r="CJ1109" s="53"/>
      <c r="CK1109" s="53"/>
      <c r="CL1109" s="53"/>
      <c r="CM1109" s="53"/>
      <c r="CN1109" s="53"/>
      <c r="CO1109" s="53"/>
      <c r="CP1109" s="53"/>
      <c r="CQ1109" s="53"/>
      <c r="CR1109" s="1"/>
      <c r="CS1109" s="1"/>
      <c r="CT1109" s="1"/>
      <c r="CU1109" s="1"/>
    </row>
    <row r="1110" spans="1:99" s="13" customFormat="1" ht="12" customHeight="1" x14ac:dyDescent="0.2">
      <c r="A1110" s="68">
        <v>43509</v>
      </c>
      <c r="B1110" s="70"/>
      <c r="C1110" s="70"/>
      <c r="D1110" s="69"/>
      <c r="E1110" s="87"/>
      <c r="F1110" s="69"/>
      <c r="G1110" s="69"/>
      <c r="H1110" s="69"/>
      <c r="I1110" s="69"/>
      <c r="J1110" s="69"/>
      <c r="K1110" s="107"/>
      <c r="L1110" s="107"/>
      <c r="M1110" s="69"/>
      <c r="N1110" s="69"/>
      <c r="O1110" s="69"/>
      <c r="P1110" s="69"/>
      <c r="Q1110" s="69"/>
      <c r="R1110" s="69"/>
      <c r="S1110" s="69"/>
      <c r="T1110" s="69"/>
      <c r="U1110" s="69"/>
      <c r="V1110" s="69"/>
      <c r="W1110" s="69"/>
      <c r="X1110" s="69"/>
      <c r="Y1110" s="87"/>
      <c r="Z1110" s="69"/>
      <c r="AA1110" s="69"/>
      <c r="AB1110" s="69"/>
      <c r="AC1110" s="69"/>
      <c r="AD1110" s="69"/>
      <c r="AE1110" s="69"/>
      <c r="AF1110" s="88"/>
      <c r="AG1110" s="72"/>
      <c r="AH1110" s="4"/>
      <c r="AI1110" s="72"/>
      <c r="AJ1110" s="110"/>
      <c r="AK1110" s="72"/>
      <c r="AL1110" s="72"/>
      <c r="AM1110" s="72"/>
      <c r="AN1110" s="72"/>
      <c r="AO1110" s="72"/>
      <c r="AP1110" s="72"/>
      <c r="AQ1110" s="72"/>
      <c r="AR1110" s="110"/>
      <c r="AS1110" s="72"/>
      <c r="AT1110" s="72"/>
      <c r="AU1110" s="4"/>
      <c r="AV1110" s="71">
        <f>5*60</f>
        <v>300</v>
      </c>
      <c r="AW1110" s="71">
        <f>24*3600*2</f>
        <v>172800</v>
      </c>
      <c r="AX1110" s="71">
        <f>24*3600*7</f>
        <v>604800</v>
      </c>
      <c r="AY1110" s="42"/>
      <c r="AZ1110" s="46"/>
      <c r="BA1110" s="42"/>
      <c r="BB1110" s="42"/>
      <c r="BC1110" s="2"/>
      <c r="BD1110" s="2"/>
      <c r="BE1110" s="2"/>
      <c r="BF1110" s="2"/>
      <c r="BG1110" s="2"/>
      <c r="BH1110" s="2"/>
      <c r="BI1110" s="2"/>
      <c r="BJ1110" s="2"/>
      <c r="BK1110" s="2"/>
      <c r="BL1110" s="2"/>
      <c r="BM1110" s="2"/>
      <c r="BN1110" s="2"/>
      <c r="BO1110" s="2"/>
      <c r="BP1110" s="2"/>
      <c r="BQ1110" s="2"/>
      <c r="BR1110" s="2"/>
      <c r="BS1110" s="2"/>
      <c r="BT1110" s="2"/>
      <c r="BU1110" s="2"/>
      <c r="BV1110" s="2"/>
      <c r="BW1110" s="2"/>
      <c r="BX1110" s="2"/>
      <c r="BY1110" s="2"/>
      <c r="BZ1110" s="2"/>
      <c r="CA1110" s="2"/>
      <c r="CB1110" s="2"/>
      <c r="CC1110" s="2"/>
      <c r="CD1110" s="2"/>
      <c r="CE1110" s="2"/>
      <c r="CF1110" s="2"/>
      <c r="CG1110" s="2"/>
      <c r="CH1110" s="2"/>
      <c r="CI1110" s="2"/>
      <c r="CJ1110" s="2"/>
      <c r="CK1110" s="2"/>
      <c r="CL1110" s="2"/>
      <c r="CM1110" s="2"/>
      <c r="CN1110" s="2"/>
      <c r="CO1110" s="2"/>
      <c r="CP1110" s="2"/>
      <c r="CQ1110" s="2"/>
      <c r="CR1110" s="1"/>
      <c r="CS1110" s="1"/>
      <c r="CT1110" s="1"/>
      <c r="CU1110" s="1"/>
    </row>
    <row r="1111" spans="1:99" s="13" customFormat="1" ht="12" customHeight="1" x14ac:dyDescent="0.2">
      <c r="A1111" s="68">
        <v>43509</v>
      </c>
      <c r="B1111" s="70" t="s">
        <v>111</v>
      </c>
      <c r="C1111" s="70" t="s">
        <v>95</v>
      </c>
      <c r="D1111" s="69">
        <v>2006</v>
      </c>
      <c r="E1111" s="87">
        <v>1</v>
      </c>
      <c r="F1111" s="69">
        <v>120</v>
      </c>
      <c r="G1111" s="69">
        <v>40</v>
      </c>
      <c r="H1111" s="69" t="s">
        <v>50</v>
      </c>
      <c r="I1111" s="69" t="s">
        <v>784</v>
      </c>
      <c r="J1111" s="69" t="s">
        <v>677</v>
      </c>
      <c r="K1111" s="69">
        <f>IF(J1111="syllables",1,IF(J1111="trigrams",2,IF(J1111="strings",3,IF(J1111="visual array",4,IF(J1111="characters",5,IF(J1111="letters",6,IF(J1111="free forms",7,IF(J1111="odors",8,IF(J1111="words",9,IF(J1111="pictures",10,IF(J1111="object pictures",11,IF(J1111="faces",12,IF(J1111="names",13,IF(J1111="idioms",14,IF(J1111="grades",15,IF(J1111="syllable-digit pairs",16,IF(J1111="trigram-word pairs",17,IF(J1111="word-digit pairs",18,IF(J1111="English-Swahili pairs",19,IF(J1111="spatial position",20,IF(J1111="word pairs",21,IF(J1111="word triads",22,IF(J1111="generated words",23,IF(J1111="word definition pairs",24,IF(J1111="math problems",25,IF(J1111="famous faces",26,IF(J1111="famous names",27,IF(J1111="famous voices",28,IF(J1111="television programs",29,IF(J1111="race horses",30,IF(J1111="new vocabulary",31,IF(J1111="sentences",32,IF(J1111="concepts",33,IF(J1111="ad slides",34,IF(J1111="scenes",35,IF(J1111="famous scenes",36,IF(J1111="poems",37,IF(J1111="walk",38,IF(J1111="faces and events",39,IF(J1111="events and names",40,IF(J1111="flashbulb",41,IF(J1111="stories",42,IF(J1111="course material",43,IF(J1111="autobiographical",44,IF(J1111="novels",45,IF(J1111="public events",46,"99"))))))))))))))))))))))))))))))))))))))))))))))</f>
        <v>42</v>
      </c>
      <c r="L1111" s="69">
        <f>IF(J1111="syllables",1,IF(J1111="trigrams",1,IF(J1111="strings",1,IF(J1111="visual array",1,IF(J1111="characters",1,IF(J1111="letters",1,IF(J1111="free forms",1,IF(J1111="odors",2,IF(J1111="words",2,IF(J1111="pictures",2,IF(J1111="object pictures",2,IF(J1111="faces",2,IF(J1111="names",2,IF(J1111="idioms","2",IF(J1111="grades",2,IF(J1111="syllable-digit pairs",3,IF(J1111="trigram-word pairs",3,IF(J1111="word-digit pairs",3,IF(J1111="English-Swahili pairs",3,IF(J1111="spatial position",3,IF(J1111="word pairs",4,IF(J1111="word triads",4,IF(J1111="generated words",4,IF(J1111="word definition pairs",4,IF(J1111="math problems",4,IF(J1111="famous faces",4,IF(J1111="famous names",4,IF(J1111="famous voices",4,IF(J1111="television programs",4,IF(J1111="race horses",4,IF(J1111="new vocabulary",4,IF(J1111="sentences",5,IF(J1111="concepts",5,IF(J1111="ad slides",5,IF(J1111="scenes",5,IF(J1111="famous scenes",5,IF(J1111="poems",6,IF(J1111="walk",6,IF(J1111="faces and events",6,IF(J1111="events and names",6,IF(J1111="flashbulb",7,IF(J1111="stories",7,IF(J1111="course material",7,IF(J1111="autobiographical",7,IF(J1111="novels",7,IF(J1111="public events",7,"99"))))))))))))))))))))))))))))))))))))))))))))))</f>
        <v>7</v>
      </c>
      <c r="M1111" s="69">
        <v>1</v>
      </c>
      <c r="N1111" s="69">
        <v>4</v>
      </c>
      <c r="O1111" s="69">
        <v>1</v>
      </c>
      <c r="P1111" s="69" t="s">
        <v>112</v>
      </c>
      <c r="Q1111" s="69" t="s">
        <v>174</v>
      </c>
      <c r="R1111" s="69">
        <f>IF(Q1111="Free Recall",1,IF(Q1111="Cued Recall",2,IF(Q1111="Recognition",3,IF(Q1111="Multiple Choice",4,IF(Q1111="Savings",5,IF(Q1111="Stem Completion",6,IF(Q1111="Fragment Completion",7,IF(Q1111="anagram solution",8,IF(Q1111="Matching",9,IF(Q1111="Problem Solving",10,"99"))))))))))</f>
        <v>1</v>
      </c>
      <c r="S1111" s="69" t="s">
        <v>49</v>
      </c>
      <c r="T1111" s="69" t="s">
        <v>261</v>
      </c>
      <c r="U1111" s="69">
        <f>IF(T1111="within",1,0)</f>
        <v>0</v>
      </c>
      <c r="V1111" s="69">
        <v>30</v>
      </c>
      <c r="W1111" s="69">
        <f>F1111*V1111</f>
        <v>3600</v>
      </c>
      <c r="X1111" s="69">
        <v>3</v>
      </c>
      <c r="Y1111" s="87">
        <f>AV1110</f>
        <v>300</v>
      </c>
      <c r="Z1111" s="69" t="s">
        <v>97</v>
      </c>
      <c r="AA1111" s="69">
        <v>604800</v>
      </c>
      <c r="AB1111" s="69" t="str">
        <f>IF(AA1111&lt;60,"1",IF(AA1111&lt;=43200,"2",IF(AA1111&lt;=777600,"3","4")))</f>
        <v>3</v>
      </c>
      <c r="AC1111" s="72">
        <f>AVERAGE(AV1110:DA1110)</f>
        <v>259300</v>
      </c>
      <c r="AD1111" s="69" t="str">
        <f>IF(AC1111&lt;60,"1",IF(AC1111&lt;=43200,"2",IF(AC1111&lt;=777600,"3","4")))</f>
        <v>3</v>
      </c>
      <c r="AE1111" s="87">
        <f>AA1111-Y1111</f>
        <v>604500</v>
      </c>
      <c r="AF1111" s="88">
        <f>AV1111</f>
        <v>0.81</v>
      </c>
      <c r="AG1111" s="72">
        <f>((AW1111-AV1111)+(AX1111-AW1111))/2</f>
        <v>-0.19800000000000004</v>
      </c>
      <c r="AH1111" s="4"/>
      <c r="AI1111" s="72">
        <f>RSQ(AV1111:AX1111,AV1110:AX1110)</f>
        <v>0.7954131090520179</v>
      </c>
      <c r="AJ1111" s="110">
        <f>SLOPE(AV1111:AX1111,AV1110:AX1110)</f>
        <v>-5.8193916987008451E-7</v>
      </c>
      <c r="AK1111" s="72">
        <f>INTERCEPT(AV1111:AX1111,AV1110:AX1110)</f>
        <v>0.73656349341397953</v>
      </c>
      <c r="AL1111" s="72">
        <f>INDEX(LINEST(LN(AV1111:AX1111),LN(AV1110:AX1110),TRUE,TRUE),3,1)</f>
        <v>0.94902650403308175</v>
      </c>
      <c r="AM1111" s="72">
        <f>INDEX(LINEST(LN(AV1111:AX1111),LN(AV1110:AX1110)),1)</f>
        <v>-8.0944359945756023E-2</v>
      </c>
      <c r="AN1111" s="72">
        <f>EXP(INDEX(LINEST(LN(AV1111:AX1111),LN(AV1110:AX1110)),1,2))</f>
        <v>1.3028268031385142</v>
      </c>
      <c r="AO1111" s="89">
        <f>INDEX(LINEST((AV1111:AX1111),LN(AV1110:AX1110),TRUE,TRUE),3,1)</f>
        <v>0.97967699994881496</v>
      </c>
      <c r="AP1111" s="89">
        <f>INDEX(LINEST((AV1111:AX1111),LN(AV1110:AX1110)),1)</f>
        <v>-4.9295162358565667E-2</v>
      </c>
      <c r="AQ1111" s="90">
        <f>INDEX(LINEST(LN(AV1111:AX1111),SQRT(AV1110:AX1110),TRUE,TRUE),3,1)</f>
        <v>0.98703662550654314</v>
      </c>
      <c r="AR1111" s="117">
        <f>INDEX(LINEST(LN(AV1111:AX1111),SQRT((AV1110:AX1110))),1)</f>
        <v>-8.8549112438178425E-4</v>
      </c>
      <c r="AS1111" s="91">
        <f>INDEX(LINEST(1/(AV1111:AX1111),1/(SQRT(AV1110:AX1110)),TRUE,TRUE),3,1)</f>
        <v>0.80587202012328629</v>
      </c>
      <c r="AT1111" s="91">
        <f>INDEX(LINEST(1/(AV1111:AX1111),1/SQRT(AV1110:AX1110)),1)</f>
        <v>-16.444562117587768</v>
      </c>
      <c r="AU1111" s="3"/>
      <c r="AV1111" s="73">
        <v>0.81</v>
      </c>
      <c r="AW1111" s="73">
        <v>0.53300000000000003</v>
      </c>
      <c r="AX1111" s="73">
        <v>0.41399999999999998</v>
      </c>
      <c r="AY1111" s="42"/>
      <c r="AZ1111" s="46"/>
      <c r="BA1111" s="42"/>
      <c r="BB1111" s="42"/>
      <c r="BC1111" s="2"/>
      <c r="BD1111" s="2"/>
      <c r="BE1111" s="2"/>
      <c r="BF1111" s="2"/>
      <c r="BG1111" s="2"/>
      <c r="BH1111" s="2"/>
      <c r="BI1111" s="2"/>
      <c r="BJ1111" s="2"/>
      <c r="BK1111" s="2"/>
      <c r="BL1111" s="2"/>
      <c r="BM1111" s="2"/>
      <c r="BN1111" s="2"/>
      <c r="BO1111" s="2"/>
      <c r="BP1111" s="2"/>
      <c r="BQ1111" s="2"/>
      <c r="BR1111" s="2"/>
      <c r="BS1111" s="2"/>
      <c r="BT1111" s="2"/>
      <c r="BU1111" s="2"/>
      <c r="BV1111" s="2"/>
      <c r="BW1111" s="2"/>
      <c r="BX1111" s="2"/>
      <c r="BY1111" s="2"/>
      <c r="BZ1111" s="2"/>
      <c r="CA1111" s="2"/>
      <c r="CB1111" s="2"/>
      <c r="CC1111" s="2"/>
      <c r="CD1111" s="2"/>
      <c r="CE1111" s="2"/>
      <c r="CF1111" s="2"/>
      <c r="CG1111" s="2"/>
      <c r="CH1111" s="2"/>
      <c r="CI1111" s="2"/>
      <c r="CJ1111" s="2"/>
      <c r="CK1111" s="2"/>
      <c r="CL1111" s="2"/>
      <c r="CM1111" s="2"/>
      <c r="CN1111" s="2"/>
      <c r="CO1111" s="2"/>
      <c r="CP1111" s="2"/>
      <c r="CQ1111" s="2"/>
      <c r="CR1111" s="1"/>
      <c r="CS1111" s="1"/>
      <c r="CT1111" s="1"/>
      <c r="CU1111" s="1"/>
    </row>
    <row r="1112" spans="1:99" s="13" customFormat="1" ht="12" customHeight="1" x14ac:dyDescent="0.2">
      <c r="A1112" s="68">
        <v>43509</v>
      </c>
      <c r="B1112" s="70"/>
      <c r="C1112" s="70"/>
      <c r="D1112" s="69"/>
      <c r="E1112" s="87"/>
      <c r="F1112" s="69"/>
      <c r="G1112" s="69"/>
      <c r="H1112" s="69"/>
      <c r="I1112" s="69"/>
      <c r="J1112" s="69"/>
      <c r="K1112" s="107"/>
      <c r="L1112" s="107"/>
      <c r="M1112" s="69"/>
      <c r="N1112" s="69"/>
      <c r="O1112" s="69"/>
      <c r="P1112" s="69"/>
      <c r="Q1112" s="69"/>
      <c r="R1112" s="69"/>
      <c r="S1112" s="69"/>
      <c r="T1112" s="69"/>
      <c r="U1112" s="69"/>
      <c r="V1112" s="69"/>
      <c r="W1112" s="69"/>
      <c r="X1112" s="69"/>
      <c r="Y1112" s="87"/>
      <c r="Z1112" s="69"/>
      <c r="AA1112" s="69"/>
      <c r="AB1112" s="69"/>
      <c r="AC1112" s="69"/>
      <c r="AD1112" s="69"/>
      <c r="AE1112" s="69"/>
      <c r="AF1112" s="88"/>
      <c r="AG1112" s="72"/>
      <c r="AH1112" s="4"/>
      <c r="AI1112" s="72"/>
      <c r="AJ1112" s="110"/>
      <c r="AK1112" s="72"/>
      <c r="AL1112" s="72"/>
      <c r="AM1112" s="72"/>
      <c r="AN1112" s="72"/>
      <c r="AO1112" s="72"/>
      <c r="AP1112" s="72"/>
      <c r="AQ1112" s="72"/>
      <c r="AR1112" s="110"/>
      <c r="AS1112" s="72"/>
      <c r="AT1112" s="72"/>
      <c r="AU1112" s="4"/>
      <c r="AV1112" s="71">
        <f>5*60</f>
        <v>300</v>
      </c>
      <c r="AW1112" s="71">
        <f>24*3600*2</f>
        <v>172800</v>
      </c>
      <c r="AX1112" s="71">
        <f>24*3600*7</f>
        <v>604800</v>
      </c>
      <c r="AY1112" s="42"/>
      <c r="AZ1112" s="46"/>
      <c r="BA1112" s="42"/>
      <c r="BB1112" s="42"/>
      <c r="BC1112" s="2"/>
      <c r="BD1112" s="2"/>
      <c r="BE1112" s="2"/>
      <c r="BF1112" s="2"/>
      <c r="BG1112" s="2"/>
      <c r="BH1112" s="2"/>
      <c r="BI1112" s="2"/>
      <c r="BJ1112" s="2"/>
      <c r="BK1112" s="2"/>
      <c r="BL1112" s="2"/>
      <c r="BM1112" s="2"/>
      <c r="BN1112" s="2"/>
      <c r="BO1112" s="2"/>
      <c r="BP1112" s="2"/>
      <c r="BQ1112" s="2"/>
      <c r="BR1112" s="2"/>
      <c r="BS1112" s="2"/>
      <c r="BT1112" s="2"/>
      <c r="BU1112" s="2"/>
      <c r="BV1112" s="2"/>
      <c r="BW1112" s="2"/>
      <c r="BX1112" s="2"/>
      <c r="BY1112" s="2"/>
      <c r="BZ1112" s="2"/>
      <c r="CA1112" s="2"/>
      <c r="CB1112" s="2"/>
      <c r="CC1112" s="2"/>
      <c r="CD1112" s="2"/>
      <c r="CE1112" s="2"/>
      <c r="CF1112" s="2"/>
      <c r="CG1112" s="2"/>
      <c r="CH1112" s="2"/>
      <c r="CI1112" s="2"/>
      <c r="CJ1112" s="2"/>
      <c r="CK1112" s="2"/>
      <c r="CL1112" s="2"/>
      <c r="CM1112" s="2"/>
      <c r="CN1112" s="2"/>
      <c r="CO1112" s="2"/>
      <c r="CP1112" s="2"/>
      <c r="CQ1112" s="2"/>
      <c r="CR1112" s="1"/>
      <c r="CS1112" s="1"/>
      <c r="CT1112" s="1"/>
      <c r="CU1112" s="1"/>
    </row>
    <row r="1113" spans="1:99" s="13" customFormat="1" ht="12" customHeight="1" x14ac:dyDescent="0.2">
      <c r="A1113" s="68">
        <v>43509</v>
      </c>
      <c r="B1113" s="70" t="s">
        <v>111</v>
      </c>
      <c r="C1113" s="70" t="s">
        <v>95</v>
      </c>
      <c r="D1113" s="69">
        <v>2006</v>
      </c>
      <c r="E1113" s="87">
        <v>1</v>
      </c>
      <c r="F1113" s="69">
        <v>120</v>
      </c>
      <c r="G1113" s="69">
        <v>40</v>
      </c>
      <c r="H1113" s="69" t="s">
        <v>50</v>
      </c>
      <c r="I1113" s="69" t="s">
        <v>785</v>
      </c>
      <c r="J1113" s="69" t="s">
        <v>677</v>
      </c>
      <c r="K1113" s="69">
        <f>IF(J1113="syllables",1,IF(J1113="trigrams",2,IF(J1113="strings",3,IF(J1113="visual array",4,IF(J1113="characters",5,IF(J1113="letters",6,IF(J1113="free forms",7,IF(J1113="odors",8,IF(J1113="words",9,IF(J1113="pictures",10,IF(J1113="object pictures",11,IF(J1113="faces",12,IF(J1113="names",13,IF(J1113="idioms",14,IF(J1113="grades",15,IF(J1113="syllable-digit pairs",16,IF(J1113="trigram-word pairs",17,IF(J1113="word-digit pairs",18,IF(J1113="English-Swahili pairs",19,IF(J1113="spatial position",20,IF(J1113="word pairs",21,IF(J1113="word triads",22,IF(J1113="generated words",23,IF(J1113="word definition pairs",24,IF(J1113="math problems",25,IF(J1113="famous faces",26,IF(J1113="famous names",27,IF(J1113="famous voices",28,IF(J1113="television programs",29,IF(J1113="race horses",30,IF(J1113="new vocabulary",31,IF(J1113="sentences",32,IF(J1113="concepts",33,IF(J1113="ad slides",34,IF(J1113="scenes",35,IF(J1113="famous scenes",36,IF(J1113="poems",37,IF(J1113="walk",38,IF(J1113="faces and events",39,IF(J1113="events and names",40,IF(J1113="flashbulb",41,IF(J1113="stories",42,IF(J1113="course material",43,IF(J1113="autobiographical",44,IF(J1113="novels",45,IF(J1113="public events",46,"99"))))))))))))))))))))))))))))))))))))))))))))))</f>
        <v>42</v>
      </c>
      <c r="L1113" s="69">
        <f>IF(J1113="syllables",1,IF(J1113="trigrams",1,IF(J1113="strings",1,IF(J1113="visual array",1,IF(J1113="characters",1,IF(J1113="letters",1,IF(J1113="free forms",1,IF(J1113="odors",2,IF(J1113="words",2,IF(J1113="pictures",2,IF(J1113="object pictures",2,IF(J1113="faces",2,IF(J1113="names",2,IF(J1113="idioms","2",IF(J1113="grades",2,IF(J1113="syllable-digit pairs",3,IF(J1113="trigram-word pairs",3,IF(J1113="word-digit pairs",3,IF(J1113="English-Swahili pairs",3,IF(J1113="spatial position",3,IF(J1113="word pairs",4,IF(J1113="word triads",4,IF(J1113="generated words",4,IF(J1113="word definition pairs",4,IF(J1113="math problems",4,IF(J1113="famous faces",4,IF(J1113="famous names",4,IF(J1113="famous voices",4,IF(J1113="television programs",4,IF(J1113="race horses",4,IF(J1113="new vocabulary",4,IF(J1113="sentences",5,IF(J1113="concepts",5,IF(J1113="ad slides",5,IF(J1113="scenes",5,IF(J1113="famous scenes",5,IF(J1113="poems",6,IF(J1113="walk",6,IF(J1113="faces and events",6,IF(J1113="events and names",6,IF(J1113="flashbulb",7,IF(J1113="stories",7,IF(J1113="course material",7,IF(J1113="autobiographical",7,IF(J1113="novels",7,IF(J1113="public events",7,"99"))))))))))))))))))))))))))))))))))))))))))))))</f>
        <v>7</v>
      </c>
      <c r="M1113" s="69">
        <v>1</v>
      </c>
      <c r="N1113" s="69">
        <v>4</v>
      </c>
      <c r="O1113" s="69">
        <v>1</v>
      </c>
      <c r="P1113" s="69" t="s">
        <v>112</v>
      </c>
      <c r="Q1113" s="69" t="s">
        <v>174</v>
      </c>
      <c r="R1113" s="69">
        <f>IF(Q1113="Free Recall",1,IF(Q1113="Cued Recall",2,IF(Q1113="Recognition",3,IF(Q1113="Multiple Choice",4,IF(Q1113="Savings",5,IF(Q1113="Stem Completion",6,IF(Q1113="Fragment Completion",7,IF(Q1113="anagram solution",8,IF(Q1113="Matching",9,IF(Q1113="Problem Solving",10,"99"))))))))))</f>
        <v>1</v>
      </c>
      <c r="S1113" s="69" t="s">
        <v>49</v>
      </c>
      <c r="T1113" s="69" t="s">
        <v>261</v>
      </c>
      <c r="U1113" s="69">
        <f>IF(T1113="within",1,0)</f>
        <v>0</v>
      </c>
      <c r="V1113" s="69">
        <v>30</v>
      </c>
      <c r="W1113" s="69">
        <f>F1113*V1113</f>
        <v>3600</v>
      </c>
      <c r="X1113" s="69">
        <v>3</v>
      </c>
      <c r="Y1113" s="87">
        <f>AV1112</f>
        <v>300</v>
      </c>
      <c r="Z1113" s="69" t="s">
        <v>97</v>
      </c>
      <c r="AA1113" s="69">
        <v>604800</v>
      </c>
      <c r="AB1113" s="69" t="str">
        <f>IF(AA1113&lt;60,"1",IF(AA1113&lt;=43200,"2",IF(AA1113&lt;=777600,"3","4")))</f>
        <v>3</v>
      </c>
      <c r="AC1113" s="72">
        <f>AVERAGE(AV1112:DA1112)</f>
        <v>259300</v>
      </c>
      <c r="AD1113" s="69" t="str">
        <f>IF(AC1113&lt;60,"1",IF(AC1113&lt;=43200,"2",IF(AC1113&lt;=777600,"3","4")))</f>
        <v>3</v>
      </c>
      <c r="AE1113" s="87">
        <f>AA1113-Y1113</f>
        <v>604500</v>
      </c>
      <c r="AF1113" s="88">
        <f>AV1113</f>
        <v>0.75</v>
      </c>
      <c r="AG1113" s="72">
        <f>((AW1113-AV1113)+(AX1113-AW1113))/2</f>
        <v>-9.3500000000000028E-2</v>
      </c>
      <c r="AH1113" s="4"/>
      <c r="AI1113" s="72">
        <f>RSQ(AV1113:AX1113,AV1112:AX1112)</f>
        <v>0.98903656043586685</v>
      </c>
      <c r="AJ1113" s="110">
        <f>SLOPE(AV1113:AX1113,AV1112:AX1112)</f>
        <v>-3.0147963090440805E-7</v>
      </c>
      <c r="AK1113" s="72">
        <f>INTERCEPT(AV1113:AX1113,AV1112:AX1112)</f>
        <v>0.74217366829351306</v>
      </c>
      <c r="AL1113" s="72">
        <f>INDEX(LINEST(LN(AV1113:AX1113),LN(AV1112:AX1112),TRUE,TRUE),3,1)</f>
        <v>0.73162104717927712</v>
      </c>
      <c r="AM1113" s="72">
        <f>INDEX(LINEST(LN(AV1113:AX1113),LN(AV1112:AX1112)),1)</f>
        <v>-3.0531369288992204E-2</v>
      </c>
      <c r="AN1113" s="72">
        <f>EXP(INDEX(LINEST(LN(AV1113:AX1113),LN(AV1112:AX1112)),1,2))</f>
        <v>0.90468991194207748</v>
      </c>
      <c r="AO1113" s="89">
        <f>INDEX(LINEST((AV1113:AX1113),LN(AV1112:AX1112),TRUE,TRUE),3,1)</f>
        <v>0.76380632840826712</v>
      </c>
      <c r="AP1113" s="89">
        <f>INDEX(LINEST((AV1113:AX1113),LN(AV1112:AX1112)),1)</f>
        <v>-2.0222044199964467E-2</v>
      </c>
      <c r="AQ1113" s="90">
        <f>INDEX(LINEST(LN(AV1113:AX1113),SQRT(AV1112:AX1112),TRUE,TRUE),3,1)</f>
        <v>0.95945960197314695</v>
      </c>
      <c r="AR1113" s="117">
        <f>INDEX(LINEST(LN(AV1113:AX1113),SQRT((AV1112:AX1112))),1)</f>
        <v>-3.7504785797581002E-4</v>
      </c>
      <c r="AS1113" s="91">
        <f>INDEX(LINEST(1/(AV1113:AX1113),1/(SQRT(AV1112:AX1112)),TRUE,TRUE),3,1)</f>
        <v>0.56827414926395015</v>
      </c>
      <c r="AT1113" s="91">
        <f>INDEX(LINEST(1/(AV1113:AX1113),1/SQRT(AV1112:AX1112)),1)</f>
        <v>-5.2892768688816725</v>
      </c>
      <c r="AU1113" s="3"/>
      <c r="AV1113" s="73">
        <v>0.75</v>
      </c>
      <c r="AW1113" s="73">
        <v>0.67900000000000005</v>
      </c>
      <c r="AX1113" s="73">
        <v>0.56299999999999994</v>
      </c>
      <c r="AY1113" s="42"/>
      <c r="AZ1113" s="46"/>
      <c r="BA1113" s="42"/>
      <c r="BB1113" s="42"/>
      <c r="BC1113" s="2"/>
      <c r="BD1113" s="2"/>
      <c r="BE1113" s="2"/>
      <c r="BF1113" s="2"/>
      <c r="BG1113" s="2"/>
      <c r="BH1113" s="2"/>
      <c r="BI1113" s="2"/>
      <c r="BJ1113" s="2"/>
      <c r="BK1113" s="2"/>
      <c r="BL1113" s="2"/>
      <c r="BM1113" s="2"/>
      <c r="BN1113" s="2"/>
      <c r="BO1113" s="2"/>
      <c r="BP1113" s="2"/>
      <c r="BQ1113" s="2"/>
      <c r="BR1113" s="2"/>
      <c r="BS1113" s="2"/>
      <c r="BT1113" s="2"/>
      <c r="BU1113" s="2"/>
      <c r="BV1113" s="2"/>
      <c r="BW1113" s="2"/>
      <c r="BX1113" s="2"/>
      <c r="BY1113" s="2"/>
      <c r="BZ1113" s="2"/>
      <c r="CA1113" s="2"/>
      <c r="CB1113" s="2"/>
      <c r="CC1113" s="2"/>
      <c r="CD1113" s="2"/>
      <c r="CE1113" s="2"/>
      <c r="CF1113" s="2"/>
      <c r="CG1113" s="2"/>
      <c r="CH1113" s="2"/>
      <c r="CI1113" s="2"/>
      <c r="CJ1113" s="2"/>
      <c r="CK1113" s="2"/>
      <c r="CL1113" s="2"/>
      <c r="CM1113" s="2"/>
      <c r="CN1113" s="2"/>
      <c r="CO1113" s="2"/>
      <c r="CP1113" s="2"/>
      <c r="CQ1113" s="2"/>
      <c r="CR1113" s="1"/>
      <c r="CS1113" s="1"/>
      <c r="CT1113" s="1"/>
      <c r="CU1113" s="1"/>
    </row>
    <row r="1114" spans="1:99" s="13" customFormat="1" ht="12" customHeight="1" x14ac:dyDescent="0.2">
      <c r="A1114" s="65">
        <v>43509</v>
      </c>
      <c r="B1114" s="1"/>
      <c r="C1114" s="1"/>
      <c r="D1114" s="60"/>
      <c r="E1114" s="76"/>
      <c r="F1114" s="60"/>
      <c r="G1114" s="60"/>
      <c r="H1114" s="60"/>
      <c r="I1114" s="60"/>
      <c r="J1114" s="60"/>
      <c r="K1114" s="64"/>
      <c r="L1114" s="64"/>
      <c r="M1114" s="60"/>
      <c r="N1114" s="60"/>
      <c r="O1114" s="60"/>
      <c r="P1114" s="60"/>
      <c r="Q1114" s="60"/>
      <c r="R1114" s="60"/>
      <c r="S1114" s="60"/>
      <c r="T1114" s="60"/>
      <c r="U1114" s="60"/>
      <c r="V1114" s="60"/>
      <c r="W1114" s="60"/>
      <c r="X1114" s="60"/>
      <c r="Y1114" s="76"/>
      <c r="Z1114" s="60"/>
      <c r="AA1114" s="60"/>
      <c r="AB1114" s="60"/>
      <c r="AC1114" s="60"/>
      <c r="AD1114" s="60"/>
      <c r="AE1114" s="60"/>
      <c r="AF1114" s="80"/>
      <c r="AG1114" s="56"/>
      <c r="AH1114" s="4"/>
      <c r="AI1114" s="56"/>
      <c r="AJ1114" s="109"/>
      <c r="AK1114" s="56"/>
      <c r="AL1114" s="56"/>
      <c r="AM1114" s="56"/>
      <c r="AN1114" s="56"/>
      <c r="AO1114" s="56"/>
      <c r="AP1114" s="56"/>
      <c r="AQ1114" s="82"/>
      <c r="AR1114" s="115"/>
      <c r="AS1114" s="82"/>
      <c r="AT1114" s="82"/>
      <c r="AU1114" s="4"/>
      <c r="AV1114" s="25">
        <f>238+(6*60)</f>
        <v>598</v>
      </c>
      <c r="AW1114" s="25">
        <f>2*3600</f>
        <v>7200</v>
      </c>
      <c r="AX1114" s="25">
        <f>24*3600*2</f>
        <v>172800</v>
      </c>
      <c r="AY1114" s="53"/>
      <c r="AZ1114" s="53" t="s">
        <v>520</v>
      </c>
      <c r="BA1114" s="42"/>
      <c r="BB1114" s="42"/>
      <c r="BC1114" s="2"/>
      <c r="BD1114" s="2"/>
      <c r="BE1114" s="2"/>
      <c r="BF1114" s="2"/>
      <c r="BG1114" s="2"/>
      <c r="BH1114" s="2"/>
      <c r="BI1114" s="2"/>
      <c r="BJ1114" s="2"/>
      <c r="BK1114" s="2"/>
      <c r="BL1114" s="2"/>
      <c r="BM1114" s="2"/>
      <c r="BN1114" s="2"/>
      <c r="BO1114" s="2"/>
      <c r="BP1114" s="2"/>
      <c r="BQ1114" s="2"/>
      <c r="BR1114" s="2"/>
      <c r="BS1114" s="2"/>
      <c r="BT1114" s="2"/>
      <c r="BU1114" s="2"/>
      <c r="BV1114" s="2"/>
      <c r="BW1114" s="2"/>
      <c r="BX1114" s="2"/>
      <c r="BY1114" s="2"/>
      <c r="BZ1114" s="2"/>
      <c r="CA1114" s="2"/>
      <c r="CB1114" s="2"/>
      <c r="CC1114" s="2"/>
      <c r="CD1114" s="2"/>
      <c r="CE1114" s="2"/>
      <c r="CF1114" s="2"/>
      <c r="CG1114" s="2"/>
      <c r="CH1114" s="2"/>
      <c r="CI1114" s="2"/>
      <c r="CJ1114" s="2"/>
      <c r="CK1114" s="2"/>
      <c r="CL1114" s="2"/>
      <c r="CM1114" s="2"/>
      <c r="CN1114" s="2"/>
      <c r="CO1114" s="2"/>
      <c r="CP1114" s="2"/>
      <c r="CQ1114" s="2"/>
      <c r="CR1114" s="1"/>
      <c r="CS1114" s="1"/>
      <c r="CT1114" s="1"/>
      <c r="CU1114" s="1"/>
    </row>
    <row r="1115" spans="1:99" s="13" customFormat="1" ht="12" customHeight="1" x14ac:dyDescent="0.2">
      <c r="A1115" s="65">
        <v>43509</v>
      </c>
      <c r="B1115" s="1" t="s">
        <v>124</v>
      </c>
      <c r="C1115" s="1" t="s">
        <v>45</v>
      </c>
      <c r="D1115" s="60">
        <v>1992</v>
      </c>
      <c r="E1115" s="76">
        <v>2</v>
      </c>
      <c r="F1115" s="60">
        <v>120</v>
      </c>
      <c r="G1115" s="60">
        <v>60</v>
      </c>
      <c r="H1115" s="60" t="s">
        <v>30</v>
      </c>
      <c r="I1115" s="60" t="s">
        <v>786</v>
      </c>
      <c r="J1115" s="60" t="s">
        <v>16</v>
      </c>
      <c r="K1115" s="60">
        <f>IF(J1115="syllables",1,IF(J1115="trigrams",2,IF(J1115="strings",3,IF(J1115="visual array",4,IF(J1115="characters",5,IF(J1115="letters",6,IF(J1115="free forms",7,IF(J1115="odors",8,IF(J1115="words",9,IF(J1115="pictures",10,IF(J1115="object pictures",11,IF(J1115="faces",12,IF(J1115="names",13,IF(J1115="idioms",14,IF(J1115="grades",15,IF(J1115="syllable-digit pairs",16,IF(J1115="trigram-word pairs",17,IF(J1115="word-digit pairs",18,IF(J1115="English-Swahili pairs",19,IF(J1115="spatial position",20,IF(J1115="word pairs",21,IF(J1115="word triads",22,IF(J1115="generated words",23,IF(J1115="word definition pairs",24,IF(J1115="math problems",25,IF(J1115="famous faces",26,IF(J1115="famous names",27,IF(J1115="famous voices",28,IF(J1115="television programs",29,IF(J1115="race horses",30,IF(J1115="new vocabulary",31,IF(J1115="sentences",32,IF(J1115="concepts",33,IF(J1115="ad slides",34,IF(J1115="scenes",35,IF(J1115="famous scenes",36,IF(J1115="poems",37,IF(J1115="walk",38,IF(J1115="faces and events",39,IF(J1115="events and names",40,IF(J1115="flashbulb",41,IF(J1115="stories",42,IF(J1115="course material",43,IF(J1115="autobiographical",44,IF(J1115="novels",45,IF(J1115="public events",46,"99"))))))))))))))))))))))))))))))))))))))))))))))</f>
        <v>9</v>
      </c>
      <c r="L1115" s="60">
        <f>IF(J1115="syllables",1,IF(J1115="trigrams",1,IF(J1115="strings",1,IF(J1115="visual array",1,IF(J1115="characters",1,IF(J1115="letters",1,IF(J1115="free forms",1,IF(J1115="odors",2,IF(J1115="words",2,IF(J1115="pictures",2,IF(J1115="object pictures",2,IF(J1115="faces",2,IF(J1115="names",2,IF(J1115="idioms","2",IF(J1115="grades",2,IF(J1115="syllable-digit pairs",3,IF(J1115="trigram-word pairs",3,IF(J1115="word-digit pairs",3,IF(J1115="English-Swahili pairs",3,IF(J1115="spatial position",3,IF(J1115="word pairs",4,IF(J1115="word triads",4,IF(J1115="generated words",4,IF(J1115="word definition pairs",4,IF(J1115="math problems",4,IF(J1115="famous faces",4,IF(J1115="famous names",4,IF(J1115="famous voices",4,IF(J1115="television programs",4,IF(J1115="race horses",4,IF(J1115="new vocabulary",4,IF(J1115="sentences",5,IF(J1115="concepts",5,IF(J1115="ad slides",5,IF(J1115="scenes",5,IF(J1115="famous scenes",5,IF(J1115="poems",6,IF(J1115="walk",6,IF(J1115="faces and events",6,IF(J1115="events and names",6,IF(J1115="flashbulb",7,IF(J1115="stories",7,IF(J1115="course material",7,IF(J1115="autobiographical",7,IF(J1115="novels",7,IF(J1115="public events",7,"99"))))))))))))))))))))))))))))))))))))))))))))))</f>
        <v>2</v>
      </c>
      <c r="M1115" s="60">
        <v>1</v>
      </c>
      <c r="N1115" s="60">
        <v>2</v>
      </c>
      <c r="O1115" s="60">
        <v>1</v>
      </c>
      <c r="P1115" s="60" t="s">
        <v>899</v>
      </c>
      <c r="Q1115" s="60" t="s">
        <v>125</v>
      </c>
      <c r="R1115" s="60">
        <f>IF(Q1115="Free Recall",1,IF(Q1115="Cued Recall",2,IF(Q1115="Recognition",3,IF(Q1115="Multiple Choice",4,IF(Q1115="Savings",5,IF(Q1115="Stem Completion",6,IF(Q1115="Fragment Completion",7,IF(Q1115="anagram solution",8,IF(Q1115="Matching",9,IF(Q1115="Problem Solving",10,"99"))))))))))</f>
        <v>7</v>
      </c>
      <c r="S1115" s="60" t="s">
        <v>49</v>
      </c>
      <c r="T1115" s="60" t="s">
        <v>261</v>
      </c>
      <c r="U1115" s="60">
        <f>IF(T1115="within",1,0)</f>
        <v>0</v>
      </c>
      <c r="V1115" s="60">
        <v>40</v>
      </c>
      <c r="W1115" s="60">
        <f>F1115*V1115</f>
        <v>4800</v>
      </c>
      <c r="X1115" s="60">
        <v>3</v>
      </c>
      <c r="Y1115" s="76">
        <f>AV1114</f>
        <v>598</v>
      </c>
      <c r="Z1115" s="60" t="s">
        <v>88</v>
      </c>
      <c r="AA1115" s="60">
        <v>172800</v>
      </c>
      <c r="AB1115" s="60" t="str">
        <f>IF(AA1115&lt;60,"1",IF(AA1115&lt;=43200,"2",IF(AA1115&lt;=777600,"3","4")))</f>
        <v>3</v>
      </c>
      <c r="AC1115" s="56">
        <f>AVERAGE(AV1114:DA1114)</f>
        <v>60199.333333333336</v>
      </c>
      <c r="AD1115" s="60" t="str">
        <f>IF(AC1115&lt;60,"1",IF(AC1115&lt;=43200,"2",IF(AC1115&lt;=777600,"3","4")))</f>
        <v>3</v>
      </c>
      <c r="AE1115" s="76">
        <f>AA1115-Y1115</f>
        <v>172202</v>
      </c>
      <c r="AF1115" s="80">
        <f>AV1115</f>
        <v>0.52</v>
      </c>
      <c r="AG1115" s="56">
        <f>((AW1115-AV1115)+(AX1115-AW1115))/2</f>
        <v>-1.0000000000000009E-2</v>
      </c>
      <c r="AH1115" s="4"/>
      <c r="AI1115" s="56">
        <f>RSQ(AV1115:AX1115,AV1114:AX1114)</f>
        <v>0.27985473072116823</v>
      </c>
      <c r="AJ1115" s="109">
        <f>SLOPE(AV1115:AX1115,AV1114:AX1114)</f>
        <v>-6.2605921729081773E-8</v>
      </c>
      <c r="AK1115" s="56">
        <f>INTERCEPT(AV1115:AX1115,AV1114:AX1114)</f>
        <v>0.51043550141747629</v>
      </c>
      <c r="AL1115" s="56">
        <f>INDEX(LINEST(LN(AV1115:AX1115),LN(AV1114:AX1114),TRUE,TRUE),3,1)</f>
        <v>0.68697192945200547</v>
      </c>
      <c r="AM1115" s="56">
        <f>INDEX(LINEST(LN(AV1115:AX1115),LN(AV1114:AX1114)),1)</f>
        <v>-6.608223809561338E-3</v>
      </c>
      <c r="AN1115" s="56">
        <f>EXP(INDEX(LINEST(LN(AV1115:AX1115),LN(AV1114:AX1114)),1,2))</f>
        <v>0.53801922879715258</v>
      </c>
      <c r="AO1115" s="82">
        <f>INDEX(LINEST((AV1115:AX1115),LN(AV1114:AX1114),TRUE,TRUE),3,1)</f>
        <v>0.68697192945200569</v>
      </c>
      <c r="AP1115" s="82">
        <f>INDEX(LINEST((AV1115:AX1115),LN(AV1114:AX1114)),1)</f>
        <v>-3.3697621885330131E-3</v>
      </c>
      <c r="AQ1115" s="83">
        <f>INDEX(LINEST(LN(AV1115:AX1115),SQRT(AV1114:AX1114),TRUE,TRUE),3,1)</f>
        <v>0.38316849338523434</v>
      </c>
      <c r="AR1115" s="116">
        <f>INDEX(LINEST(LN(AV1115:AX1115),SQRT((AV1114:AX1114))),1)</f>
        <v>-6.6549657714019386E-5</v>
      </c>
      <c r="AS1115" s="84">
        <f>INDEX(LINEST(1/(AV1115:AX1115),1/(SQRT(AV1114:AX1114)),TRUE,TRUE),3,1)</f>
        <v>0.94539181951336415</v>
      </c>
      <c r="AT1115" s="84">
        <f>INDEX(LINEST(1/(AV1115:AX1115),1/SQRT(AV1114:AX1114)),1)</f>
        <v>-2.1516999416724572</v>
      </c>
      <c r="AU1115" s="3"/>
      <c r="AV1115" s="53">
        <v>0.52</v>
      </c>
      <c r="AW1115" s="53">
        <v>0.5</v>
      </c>
      <c r="AX1115" s="53">
        <v>0.5</v>
      </c>
      <c r="AY1115" s="53"/>
      <c r="AZ1115" s="46"/>
      <c r="BA1115" s="42"/>
      <c r="BB1115" s="42"/>
      <c r="BC1115" s="2"/>
      <c r="BD1115" s="2"/>
      <c r="BE1115" s="2"/>
      <c r="BF1115" s="2"/>
      <c r="BG1115" s="2"/>
      <c r="BH1115" s="2"/>
      <c r="BI1115" s="2"/>
      <c r="BJ1115" s="2"/>
      <c r="BK1115" s="2"/>
      <c r="BL1115" s="2"/>
      <c r="BM1115" s="2"/>
      <c r="BN1115" s="2"/>
      <c r="BO1115" s="2"/>
      <c r="BP1115" s="2"/>
      <c r="BQ1115" s="2"/>
      <c r="BR1115" s="2"/>
      <c r="BS1115" s="2"/>
      <c r="BT1115" s="2"/>
      <c r="BU1115" s="2"/>
      <c r="BV1115" s="2"/>
      <c r="BW1115" s="2"/>
      <c r="BX1115" s="2"/>
      <c r="BY1115" s="2"/>
      <c r="BZ1115" s="2"/>
      <c r="CA1115" s="2"/>
      <c r="CB1115" s="2"/>
      <c r="CC1115" s="2"/>
      <c r="CD1115" s="2"/>
      <c r="CE1115" s="2"/>
      <c r="CF1115" s="2"/>
      <c r="CG1115" s="2"/>
      <c r="CH1115" s="2"/>
      <c r="CI1115" s="2"/>
      <c r="CJ1115" s="2"/>
      <c r="CK1115" s="2"/>
      <c r="CL1115" s="2"/>
      <c r="CM1115" s="2"/>
      <c r="CN1115" s="2"/>
      <c r="CO1115" s="2"/>
      <c r="CP1115" s="2"/>
      <c r="CQ1115" s="2"/>
      <c r="CR1115" s="1"/>
      <c r="CS1115" s="1"/>
      <c r="CT1115" s="1"/>
      <c r="CU1115" s="1"/>
    </row>
    <row r="1116" spans="1:99" s="13" customFormat="1" ht="12" customHeight="1" x14ac:dyDescent="0.2">
      <c r="A1116" s="65">
        <v>43509</v>
      </c>
      <c r="B1116" s="1"/>
      <c r="C1116" s="1"/>
      <c r="D1116" s="60"/>
      <c r="E1116" s="76"/>
      <c r="F1116" s="60"/>
      <c r="G1116" s="60"/>
      <c r="H1116" s="60"/>
      <c r="I1116" s="60"/>
      <c r="J1116" s="60"/>
      <c r="K1116" s="64"/>
      <c r="L1116" s="64"/>
      <c r="M1116" s="60"/>
      <c r="N1116" s="60"/>
      <c r="O1116" s="60"/>
      <c r="P1116" s="60"/>
      <c r="Q1116" s="60"/>
      <c r="R1116" s="60"/>
      <c r="S1116" s="60"/>
      <c r="T1116" s="60"/>
      <c r="U1116" s="60"/>
      <c r="V1116" s="60"/>
      <c r="W1116" s="60"/>
      <c r="X1116" s="60"/>
      <c r="Y1116" s="76"/>
      <c r="Z1116" s="60"/>
      <c r="AA1116" s="60"/>
      <c r="AB1116" s="60"/>
      <c r="AC1116" s="60"/>
      <c r="AD1116" s="60"/>
      <c r="AE1116" s="60"/>
      <c r="AF1116" s="80"/>
      <c r="AG1116" s="56"/>
      <c r="AH1116" s="4"/>
      <c r="AI1116" s="56"/>
      <c r="AJ1116" s="109"/>
      <c r="AK1116" s="56"/>
      <c r="AL1116" s="56"/>
      <c r="AM1116" s="56"/>
      <c r="AN1116" s="56"/>
      <c r="AO1116" s="56"/>
      <c r="AP1116" s="56"/>
      <c r="AQ1116" s="82"/>
      <c r="AR1116" s="115"/>
      <c r="AS1116" s="82"/>
      <c r="AT1116" s="82"/>
      <c r="AU1116" s="4"/>
      <c r="AV1116" s="25">
        <f>238+(6*60)</f>
        <v>598</v>
      </c>
      <c r="AW1116" s="25">
        <f>2*3600</f>
        <v>7200</v>
      </c>
      <c r="AX1116" s="25">
        <f>24*3600*2</f>
        <v>172800</v>
      </c>
      <c r="AY1116" s="53"/>
      <c r="AZ1116" s="46"/>
      <c r="BA1116" s="42"/>
      <c r="BB1116" s="42"/>
      <c r="BC1116" s="2"/>
      <c r="BD1116" s="2"/>
      <c r="BE1116" s="2"/>
      <c r="BF1116" s="2"/>
      <c r="BG1116" s="2"/>
      <c r="BH1116" s="2"/>
      <c r="BI1116" s="2"/>
      <c r="BJ1116" s="2"/>
      <c r="BK1116" s="2"/>
      <c r="BL1116" s="2"/>
      <c r="BM1116" s="2"/>
      <c r="BN1116" s="2"/>
      <c r="BO1116" s="2"/>
      <c r="BP1116" s="2"/>
      <c r="BQ1116" s="2"/>
      <c r="BR1116" s="2"/>
      <c r="BS1116" s="2"/>
      <c r="BT1116" s="2"/>
      <c r="BU1116" s="2"/>
      <c r="BV1116" s="2"/>
      <c r="BW1116" s="2"/>
      <c r="BX1116" s="2"/>
      <c r="BY1116" s="2"/>
      <c r="BZ1116" s="2"/>
      <c r="CA1116" s="2"/>
      <c r="CB1116" s="2"/>
      <c r="CC1116" s="2"/>
      <c r="CD1116" s="2"/>
      <c r="CE1116" s="2"/>
      <c r="CF1116" s="2"/>
      <c r="CG1116" s="2"/>
      <c r="CH1116" s="2"/>
      <c r="CI1116" s="2"/>
      <c r="CJ1116" s="2"/>
      <c r="CK1116" s="2"/>
      <c r="CL1116" s="2"/>
      <c r="CM1116" s="2"/>
      <c r="CN1116" s="2"/>
      <c r="CO1116" s="2"/>
      <c r="CP1116" s="2"/>
      <c r="CQ1116" s="2"/>
      <c r="CR1116" s="1"/>
      <c r="CS1116" s="1"/>
      <c r="CT1116" s="1"/>
      <c r="CU1116" s="1"/>
    </row>
    <row r="1117" spans="1:99" s="13" customFormat="1" ht="12" customHeight="1" x14ac:dyDescent="0.2">
      <c r="A1117" s="65">
        <v>43509</v>
      </c>
      <c r="B1117" s="1" t="s">
        <v>124</v>
      </c>
      <c r="C1117" s="1" t="s">
        <v>45</v>
      </c>
      <c r="D1117" s="60">
        <v>1992</v>
      </c>
      <c r="E1117" s="76">
        <v>2</v>
      </c>
      <c r="F1117" s="60">
        <v>120</v>
      </c>
      <c r="G1117" s="60">
        <v>60</v>
      </c>
      <c r="H1117" s="60" t="s">
        <v>30</v>
      </c>
      <c r="I1117" s="60" t="s">
        <v>64</v>
      </c>
      <c r="J1117" s="60" t="s">
        <v>16</v>
      </c>
      <c r="K1117" s="60">
        <f>IF(J1117="syllables",1,IF(J1117="trigrams",2,IF(J1117="strings",3,IF(J1117="visual array",4,IF(J1117="characters",5,IF(J1117="letters",6,IF(J1117="free forms",7,IF(J1117="odors",8,IF(J1117="words",9,IF(J1117="pictures",10,IF(J1117="object pictures",11,IF(J1117="faces",12,IF(J1117="names",13,IF(J1117="idioms",14,IF(J1117="grades",15,IF(J1117="syllable-digit pairs",16,IF(J1117="trigram-word pairs",17,IF(J1117="word-digit pairs",18,IF(J1117="English-Swahili pairs",19,IF(J1117="spatial position",20,IF(J1117="word pairs",21,IF(J1117="word triads",22,IF(J1117="generated words",23,IF(J1117="word definition pairs",24,IF(J1117="math problems",25,IF(J1117="famous faces",26,IF(J1117="famous names",27,IF(J1117="famous voices",28,IF(J1117="television programs",29,IF(J1117="race horses",30,IF(J1117="new vocabulary",31,IF(J1117="sentences",32,IF(J1117="concepts",33,IF(J1117="ad slides",34,IF(J1117="scenes",35,IF(J1117="famous scenes",36,IF(J1117="poems",37,IF(J1117="walk",38,IF(J1117="faces and events",39,IF(J1117="events and names",40,IF(J1117="flashbulb",41,IF(J1117="stories",42,IF(J1117="course material",43,IF(J1117="autobiographical",44,IF(J1117="novels",45,IF(J1117="public events",46,"99"))))))))))))))))))))))))))))))))))))))))))))))</f>
        <v>9</v>
      </c>
      <c r="L1117" s="60">
        <f>IF(J1117="syllables",1,IF(J1117="trigrams",1,IF(J1117="strings",1,IF(J1117="visual array",1,IF(J1117="characters",1,IF(J1117="letters",1,IF(J1117="free forms",1,IF(J1117="odors",2,IF(J1117="words",2,IF(J1117="pictures",2,IF(J1117="object pictures",2,IF(J1117="faces",2,IF(J1117="names",2,IF(J1117="idioms","2",IF(J1117="grades",2,IF(J1117="syllable-digit pairs",3,IF(J1117="trigram-word pairs",3,IF(J1117="word-digit pairs",3,IF(J1117="English-Swahili pairs",3,IF(J1117="spatial position",3,IF(J1117="word pairs",4,IF(J1117="word triads",4,IF(J1117="generated words",4,IF(J1117="word definition pairs",4,IF(J1117="math problems",4,IF(J1117="famous faces",4,IF(J1117="famous names",4,IF(J1117="famous voices",4,IF(J1117="television programs",4,IF(J1117="race horses",4,IF(J1117="new vocabulary",4,IF(J1117="sentences",5,IF(J1117="concepts",5,IF(J1117="ad slides",5,IF(J1117="scenes",5,IF(J1117="famous scenes",5,IF(J1117="poems",6,IF(J1117="walk",6,IF(J1117="faces and events",6,IF(J1117="events and names",6,IF(J1117="flashbulb",7,IF(J1117="stories",7,IF(J1117="course material",7,IF(J1117="autobiographical",7,IF(J1117="novels",7,IF(J1117="public events",7,"99"))))))))))))))))))))))))))))))))))))))))))))))</f>
        <v>2</v>
      </c>
      <c r="M1117" s="60">
        <v>1</v>
      </c>
      <c r="N1117" s="60">
        <v>2</v>
      </c>
      <c r="O1117" s="60">
        <v>1</v>
      </c>
      <c r="P1117" s="60" t="s">
        <v>899</v>
      </c>
      <c r="Q1117" s="60" t="s">
        <v>126</v>
      </c>
      <c r="R1117" s="60">
        <f>IF(Q1117="Free Recall",1,IF(Q1117="Cued Recall",2,IF(Q1117="Recognition",3,IF(Q1117="Multiple Choice",4,IF(Q1117="Savings",5,IF(Q1117="Stem Completion",6,IF(Q1117="Fragment Completion",7,IF(Q1117="anagram solution",8,IF(Q1117="Matching",9,IF(Q1117="Problem Solving",10,"99"))))))))))</f>
        <v>6</v>
      </c>
      <c r="S1117" s="60" t="s">
        <v>49</v>
      </c>
      <c r="T1117" s="60" t="s">
        <v>261</v>
      </c>
      <c r="U1117" s="60">
        <f>IF(T1117="within",1,0)</f>
        <v>0</v>
      </c>
      <c r="V1117" s="60">
        <v>40</v>
      </c>
      <c r="W1117" s="60">
        <f>F1117*V1117</f>
        <v>4800</v>
      </c>
      <c r="X1117" s="60">
        <v>3</v>
      </c>
      <c r="Y1117" s="76">
        <f>AV1116</f>
        <v>598</v>
      </c>
      <c r="Z1117" s="60" t="s">
        <v>88</v>
      </c>
      <c r="AA1117" s="60">
        <v>172800</v>
      </c>
      <c r="AB1117" s="60" t="str">
        <f>IF(AA1117&lt;60,"1",IF(AA1117&lt;=43200,"2",IF(AA1117&lt;=777600,"3","4")))</f>
        <v>3</v>
      </c>
      <c r="AC1117" s="56">
        <f>AVERAGE(AV1116:DA1116)</f>
        <v>60199.333333333336</v>
      </c>
      <c r="AD1117" s="60" t="str">
        <f>IF(AC1117&lt;60,"1",IF(AC1117&lt;=43200,"2",IF(AC1117&lt;=777600,"3","4")))</f>
        <v>3</v>
      </c>
      <c r="AE1117" s="76">
        <f>AA1117-Y1117</f>
        <v>172202</v>
      </c>
      <c r="AF1117" s="80">
        <f>AV1117</f>
        <v>0.31</v>
      </c>
      <c r="AG1117" s="56">
        <f>((AW1117-AV1117)+(AX1117-AW1117))/2</f>
        <v>-2.4999999999999994E-2</v>
      </c>
      <c r="AH1117" s="4"/>
      <c r="AI1117" s="56">
        <f>RSQ(AV1117:AX1117,AV1116:AX1116)</f>
        <v>0.97577249439708713</v>
      </c>
      <c r="AJ1117" s="109">
        <f>SLOPE(AV1117:AX1117,AV1116:AX1116)</f>
        <v>-2.6785701526966886E-7</v>
      </c>
      <c r="AK1117" s="56">
        <f>INTERCEPT(AV1117:AX1117,AV1116:AX1116)</f>
        <v>0.30612481374789052</v>
      </c>
      <c r="AL1117" s="56">
        <f>INDEX(LINEST(LN(AV1117:AX1117),LN(AV1116:AX1116),TRUE,TRUE),3,1)</f>
        <v>0.92509070786650838</v>
      </c>
      <c r="AM1117" s="56">
        <f>INDEX(LINEST(LN(AV1117:AX1117),LN(AV1116:AX1116)),1)</f>
        <v>-3.1675062942645014E-2</v>
      </c>
      <c r="AN1117" s="56">
        <f>EXP(INDEX(LINEST(LN(AV1117:AX1117),LN(AV1116:AX1116)),1,2))</f>
        <v>0.38591922990274169</v>
      </c>
      <c r="AO1117" s="82">
        <f>INDEX(LINEST((AV1117:AX1117),LN(AV1116:AX1116),TRUE,TRUE),3,1)</f>
        <v>0.93225910853381377</v>
      </c>
      <c r="AP1117" s="82">
        <f>INDEX(LINEST((AV1117:AX1117),LN(AV1116:AX1116)),1)</f>
        <v>-8.994514502837626E-3</v>
      </c>
      <c r="AQ1117" s="83">
        <f>INDEX(LINEST(LN(AV1117:AX1117),SQRT(AV1116:AX1116),TRUE,TRUE),3,1)</f>
        <v>0.99895595913856206</v>
      </c>
      <c r="AR1117" s="116">
        <f>INDEX(LINEST(LN(AV1117:AX1117),SQRT((AV1116:AX1116))),1)</f>
        <v>-4.438479118628137E-4</v>
      </c>
      <c r="AS1117" s="84">
        <f>INDEX(LINEST(1/(AV1117:AX1117),1/(SQRT(AV1116:AX1116)),TRUE,TRUE),3,1)</f>
        <v>0.63525776772279408</v>
      </c>
      <c r="AT1117" s="84">
        <f>INDEX(LINEST(1/(AV1117:AX1117),1/SQRT(AV1116:AX1116)),1)</f>
        <v>-13.165770935519268</v>
      </c>
      <c r="AU1117" s="3"/>
      <c r="AV1117" s="53">
        <v>0.31</v>
      </c>
      <c r="AW1117" s="53">
        <v>0.3</v>
      </c>
      <c r="AX1117" s="53">
        <v>0.26</v>
      </c>
      <c r="AY1117" s="53"/>
      <c r="AZ1117" s="46"/>
      <c r="BA1117" s="42"/>
      <c r="BB1117" s="42"/>
      <c r="BC1117" s="2"/>
      <c r="BD1117" s="2"/>
      <c r="BE1117" s="2"/>
      <c r="BF1117" s="2"/>
      <c r="BG1117" s="2"/>
      <c r="BH1117" s="2"/>
      <c r="BI1117" s="2"/>
      <c r="BJ1117" s="2"/>
      <c r="BK1117" s="2"/>
      <c r="BL1117" s="2"/>
      <c r="BM1117" s="2"/>
      <c r="BN1117" s="2"/>
      <c r="BO1117" s="2"/>
      <c r="BP1117" s="2"/>
      <c r="BQ1117" s="2"/>
      <c r="BR1117" s="2"/>
      <c r="BS1117" s="2"/>
      <c r="BT1117" s="2"/>
      <c r="BU1117" s="2"/>
      <c r="BV1117" s="2"/>
      <c r="BW1117" s="2"/>
      <c r="BX1117" s="2"/>
      <c r="BY1117" s="2"/>
      <c r="BZ1117" s="2"/>
      <c r="CA1117" s="2"/>
      <c r="CB1117" s="2"/>
      <c r="CC1117" s="2"/>
      <c r="CD1117" s="2"/>
      <c r="CE1117" s="2"/>
      <c r="CF1117" s="2"/>
      <c r="CG1117" s="2"/>
      <c r="CH1117" s="2"/>
      <c r="CI1117" s="2"/>
      <c r="CJ1117" s="2"/>
      <c r="CK1117" s="2"/>
      <c r="CL1117" s="2"/>
      <c r="CM1117" s="2"/>
      <c r="CN1117" s="2"/>
      <c r="CO1117" s="2"/>
      <c r="CP1117" s="2"/>
      <c r="CQ1117" s="2"/>
      <c r="CR1117" s="1"/>
      <c r="CS1117" s="1"/>
      <c r="CT1117" s="1"/>
      <c r="CU1117" s="1"/>
    </row>
    <row r="1118" spans="1:99" s="13" customFormat="1" ht="12" customHeight="1" x14ac:dyDescent="0.2">
      <c r="A1118" s="65">
        <v>43509</v>
      </c>
      <c r="B1118" s="1"/>
      <c r="C1118" s="1"/>
      <c r="D1118" s="60"/>
      <c r="E1118" s="76"/>
      <c r="F1118" s="60"/>
      <c r="G1118" s="60"/>
      <c r="H1118" s="60"/>
      <c r="I1118" s="60"/>
      <c r="J1118" s="60"/>
      <c r="K1118" s="64"/>
      <c r="L1118" s="64"/>
      <c r="M1118" s="60"/>
      <c r="N1118" s="60"/>
      <c r="O1118" s="60"/>
      <c r="P1118" s="60"/>
      <c r="Q1118" s="60"/>
      <c r="R1118" s="60"/>
      <c r="S1118" s="60"/>
      <c r="T1118" s="60"/>
      <c r="U1118" s="60"/>
      <c r="V1118" s="60"/>
      <c r="W1118" s="60"/>
      <c r="X1118" s="60"/>
      <c r="Y1118" s="76"/>
      <c r="Z1118" s="60"/>
      <c r="AA1118" s="60"/>
      <c r="AB1118" s="60"/>
      <c r="AC1118" s="60"/>
      <c r="AD1118" s="60"/>
      <c r="AE1118" s="60"/>
      <c r="AF1118" s="80"/>
      <c r="AG1118" s="56"/>
      <c r="AH1118" s="4"/>
      <c r="AI1118" s="56"/>
      <c r="AJ1118" s="109"/>
      <c r="AK1118" s="56"/>
      <c r="AL1118" s="56"/>
      <c r="AM1118" s="56"/>
      <c r="AN1118" s="56"/>
      <c r="AO1118" s="56"/>
      <c r="AP1118" s="56"/>
      <c r="AQ1118" s="82"/>
      <c r="AR1118" s="115"/>
      <c r="AS1118" s="82"/>
      <c r="AT1118" s="82"/>
      <c r="AU1118" s="4"/>
      <c r="AV1118" s="25">
        <f>238+(6*60)</f>
        <v>598</v>
      </c>
      <c r="AW1118" s="25">
        <f>2*3600</f>
        <v>7200</v>
      </c>
      <c r="AX1118" s="25">
        <f>24*3600*2</f>
        <v>172800</v>
      </c>
      <c r="AY1118" s="53"/>
      <c r="AZ1118" s="46"/>
      <c r="BA1118" s="42"/>
      <c r="BB1118" s="42"/>
      <c r="BC1118" s="2"/>
      <c r="BD1118" s="2"/>
      <c r="BE1118" s="2"/>
      <c r="BF1118" s="2"/>
      <c r="BG1118" s="2"/>
      <c r="BH1118" s="2"/>
      <c r="BI1118" s="2"/>
      <c r="BJ1118" s="2"/>
      <c r="BK1118" s="2"/>
      <c r="BL1118" s="2"/>
      <c r="BM1118" s="2"/>
      <c r="BN1118" s="2"/>
      <c r="BO1118" s="2"/>
      <c r="BP1118" s="2"/>
      <c r="BQ1118" s="2"/>
      <c r="BR1118" s="2"/>
      <c r="BS1118" s="2"/>
      <c r="BT1118" s="2"/>
      <c r="BU1118" s="2"/>
      <c r="BV1118" s="2"/>
      <c r="BW1118" s="2"/>
      <c r="BX1118" s="2"/>
      <c r="BY1118" s="2"/>
      <c r="BZ1118" s="2"/>
      <c r="CA1118" s="2"/>
      <c r="CB1118" s="2"/>
      <c r="CC1118" s="2"/>
      <c r="CD1118" s="2"/>
      <c r="CE1118" s="2"/>
      <c r="CF1118" s="2"/>
      <c r="CG1118" s="2"/>
      <c r="CH1118" s="2"/>
      <c r="CI1118" s="2"/>
      <c r="CJ1118" s="2"/>
      <c r="CK1118" s="2"/>
      <c r="CL1118" s="2"/>
      <c r="CM1118" s="2"/>
      <c r="CN1118" s="2"/>
      <c r="CO1118" s="2"/>
      <c r="CP1118" s="2"/>
      <c r="CQ1118" s="2"/>
      <c r="CR1118" s="1"/>
      <c r="CS1118" s="1"/>
      <c r="CT1118" s="1"/>
      <c r="CU1118" s="1"/>
    </row>
    <row r="1119" spans="1:99" s="13" customFormat="1" ht="12" customHeight="1" x14ac:dyDescent="0.2">
      <c r="A1119" s="65">
        <v>43509</v>
      </c>
      <c r="B1119" s="1" t="s">
        <v>124</v>
      </c>
      <c r="C1119" s="1" t="s">
        <v>45</v>
      </c>
      <c r="D1119" s="60">
        <v>1992</v>
      </c>
      <c r="E1119" s="76">
        <v>2</v>
      </c>
      <c r="F1119" s="60">
        <v>120</v>
      </c>
      <c r="G1119" s="60">
        <v>60</v>
      </c>
      <c r="H1119" s="60" t="s">
        <v>30</v>
      </c>
      <c r="I1119" s="60" t="s">
        <v>787</v>
      </c>
      <c r="J1119" s="60" t="s">
        <v>16</v>
      </c>
      <c r="K1119" s="60">
        <f>IF(J1119="syllables",1,IF(J1119="trigrams",2,IF(J1119="strings",3,IF(J1119="visual array",4,IF(J1119="characters",5,IF(J1119="letters",6,IF(J1119="free forms",7,IF(J1119="odors",8,IF(J1119="words",9,IF(J1119="pictures",10,IF(J1119="object pictures",11,IF(J1119="faces",12,IF(J1119="names",13,IF(J1119="idioms",14,IF(J1119="grades",15,IF(J1119="syllable-digit pairs",16,IF(J1119="trigram-word pairs",17,IF(J1119="word-digit pairs",18,IF(J1119="English-Swahili pairs",19,IF(J1119="spatial position",20,IF(J1119="word pairs",21,IF(J1119="word triads",22,IF(J1119="generated words",23,IF(J1119="word definition pairs",24,IF(J1119="math problems",25,IF(J1119="famous faces",26,IF(J1119="famous names",27,IF(J1119="famous voices",28,IF(J1119="television programs",29,IF(J1119="race horses",30,IF(J1119="new vocabulary",31,IF(J1119="sentences",32,IF(J1119="concepts",33,IF(J1119="ad slides",34,IF(J1119="scenes",35,IF(J1119="famous scenes",36,IF(J1119="poems",37,IF(J1119="walk",38,IF(J1119="faces and events",39,IF(J1119="events and names",40,IF(J1119="flashbulb",41,IF(J1119="stories",42,IF(J1119="course material",43,IF(J1119="autobiographical",44,IF(J1119="novels",45,IF(J1119="public events",46,"99"))))))))))))))))))))))))))))))))))))))))))))))</f>
        <v>9</v>
      </c>
      <c r="L1119" s="60">
        <f>IF(J1119="syllables",1,IF(J1119="trigrams",1,IF(J1119="strings",1,IF(J1119="visual array",1,IF(J1119="characters",1,IF(J1119="letters",1,IF(J1119="free forms",1,IF(J1119="odors",2,IF(J1119="words",2,IF(J1119="pictures",2,IF(J1119="object pictures",2,IF(J1119="faces",2,IF(J1119="names",2,IF(J1119="idioms","2",IF(J1119="grades",2,IF(J1119="syllable-digit pairs",3,IF(J1119="trigram-word pairs",3,IF(J1119="word-digit pairs",3,IF(J1119="English-Swahili pairs",3,IF(J1119="spatial position",3,IF(J1119="word pairs",4,IF(J1119="word triads",4,IF(J1119="generated words",4,IF(J1119="word definition pairs",4,IF(J1119="math problems",4,IF(J1119="famous faces",4,IF(J1119="famous names",4,IF(J1119="famous voices",4,IF(J1119="television programs",4,IF(J1119="race horses",4,IF(J1119="new vocabulary",4,IF(J1119="sentences",5,IF(J1119="concepts",5,IF(J1119="ad slides",5,IF(J1119="scenes",5,IF(J1119="famous scenes",5,IF(J1119="poems",6,IF(J1119="walk",6,IF(J1119="faces and events",6,IF(J1119="events and names",6,IF(J1119="flashbulb",7,IF(J1119="stories",7,IF(J1119="course material",7,IF(J1119="autobiographical",7,IF(J1119="novels",7,IF(J1119="public events",7,"99"))))))))))))))))))))))))))))))))))))))))))))))</f>
        <v>2</v>
      </c>
      <c r="M1119" s="60">
        <v>1</v>
      </c>
      <c r="N1119" s="60">
        <v>2</v>
      </c>
      <c r="O1119" s="60">
        <v>1</v>
      </c>
      <c r="P1119" s="60" t="s">
        <v>899</v>
      </c>
      <c r="Q1119" s="60" t="s">
        <v>127</v>
      </c>
      <c r="R1119" s="60">
        <f>IF(Q1119="Free Recall",1,IF(Q1119="Cued Recall",2,IF(Q1119="Recognition",3,IF(Q1119="Multiple Choice",4,IF(Q1119="Savings",5,IF(Q1119="Stem Completion",6,IF(Q1119="Fragment Completion",7,IF(Q1119="anagram solution",8,IF(Q1119="Matching",9,IF(Q1119="Problem Solving",10,"99"))))))))))</f>
        <v>8</v>
      </c>
      <c r="S1119" s="60" t="s">
        <v>49</v>
      </c>
      <c r="T1119" s="60" t="s">
        <v>261</v>
      </c>
      <c r="U1119" s="60">
        <f>IF(T1119="within",1,0)</f>
        <v>0</v>
      </c>
      <c r="V1119" s="60">
        <v>40</v>
      </c>
      <c r="W1119" s="60">
        <f>F1119*V1119</f>
        <v>4800</v>
      </c>
      <c r="X1119" s="60">
        <v>3</v>
      </c>
      <c r="Y1119" s="76">
        <f>AV1118</f>
        <v>598</v>
      </c>
      <c r="Z1119" s="60" t="s">
        <v>88</v>
      </c>
      <c r="AA1119" s="60">
        <v>172800</v>
      </c>
      <c r="AB1119" s="60" t="str">
        <f>IF(AA1119&lt;60,"1",IF(AA1119&lt;=43200,"2",IF(AA1119&lt;=777600,"3","4")))</f>
        <v>3</v>
      </c>
      <c r="AC1119" s="56">
        <f>AVERAGE(AV1118:DA1118)</f>
        <v>60199.333333333336</v>
      </c>
      <c r="AD1119" s="60" t="str">
        <f>IF(AC1119&lt;60,"1",IF(AC1119&lt;=43200,"2",IF(AC1119&lt;=777600,"3","4")))</f>
        <v>3</v>
      </c>
      <c r="AE1119" s="76">
        <f>AA1119-Y1119</f>
        <v>172202</v>
      </c>
      <c r="AF1119" s="80">
        <f>AV1119</f>
        <v>0.41</v>
      </c>
      <c r="AG1119" s="56">
        <f>((AW1119-AV1119)+(AX1119-AW1119))/2</f>
        <v>-1.4999999999999986E-2</v>
      </c>
      <c r="AH1119" s="4"/>
      <c r="AI1119" s="56">
        <f>RSQ(AV1119:AX1119,AV1118:AX1118)</f>
        <v>0.91287384603170751</v>
      </c>
      <c r="AJ1119" s="109">
        <f>SLOPE(AV1119:AX1119,AV1118:AX1118)</f>
        <v>-1.4957998806710484E-7</v>
      </c>
      <c r="AK1119" s="56">
        <f>INTERCEPT(AV1119:AX1119,AV1118:AX1118)</f>
        <v>0.40567128222831433</v>
      </c>
      <c r="AL1119" s="56">
        <f>INDEX(LINEST(LN(AV1119:AX1119),LN(AV1118:AX1118),TRUE,TRUE),3,1)</f>
        <v>0.98338518071491832</v>
      </c>
      <c r="AM1119" s="56">
        <f>INDEX(LINEST(LN(AV1119:AX1119),LN(AV1118:AX1118)),1)</f>
        <v>-1.3533791069429216E-2</v>
      </c>
      <c r="AN1119" s="56">
        <f>EXP(INDEX(LINEST(LN(AV1119:AX1119),LN(AV1118:AX1118)),1,2))</f>
        <v>0.44850259932733599</v>
      </c>
      <c r="AO1119" s="82">
        <f>INDEX(LINEST((AV1119:AX1119),LN(AV1118:AX1118),TRUE,TRUE),3,1)</f>
        <v>0.98567965980581507</v>
      </c>
      <c r="AP1119" s="82">
        <f>INDEX(LINEST((AV1119:AX1119),LN(AV1118:AX1118)),1)</f>
        <v>-5.3396977985520622E-3</v>
      </c>
      <c r="AQ1119" s="83">
        <f>INDEX(LINEST(LN(AV1119:AX1119),SQRT(AV1118:AX1118),TRUE,TRUE),3,1)</f>
        <v>0.96784532495759212</v>
      </c>
      <c r="AR1119" s="116">
        <f>INDEX(LINEST(LN(AV1119:AX1119),SQRT((AV1118:AX1118))),1)</f>
        <v>-1.8104907035620298E-4</v>
      </c>
      <c r="AS1119" s="84">
        <f>INDEX(LINEST(1/(AV1119:AX1119),1/(SQRT(AV1118:AX1118)),TRUE,TRUE),3,1)</f>
        <v>0.77321603941340145</v>
      </c>
      <c r="AT1119" s="84">
        <f>INDEX(LINEST(1/(AV1119:AX1119),1/SQRT(AV1118:AX1118)),1)</f>
        <v>-4.3119494575965422</v>
      </c>
      <c r="AU1119" s="3"/>
      <c r="AV1119" s="53">
        <v>0.41</v>
      </c>
      <c r="AW1119" s="53">
        <v>0.4</v>
      </c>
      <c r="AX1119" s="53">
        <v>0.38</v>
      </c>
      <c r="AY1119" s="53"/>
      <c r="AZ1119" s="46"/>
      <c r="BA1119" s="42"/>
      <c r="BB1119" s="42"/>
      <c r="BC1119" s="2"/>
      <c r="BD1119" s="2"/>
      <c r="BE1119" s="2"/>
      <c r="BF1119" s="2"/>
      <c r="BG1119" s="2"/>
      <c r="BH1119" s="2"/>
      <c r="BI1119" s="2"/>
      <c r="BJ1119" s="2"/>
      <c r="BK1119" s="2"/>
      <c r="BL1119" s="2"/>
      <c r="BM1119" s="2"/>
      <c r="BN1119" s="2"/>
      <c r="BO1119" s="2"/>
      <c r="BP1119" s="2"/>
      <c r="BQ1119" s="2"/>
      <c r="BR1119" s="2"/>
      <c r="BS1119" s="2"/>
      <c r="BT1119" s="2"/>
      <c r="BU1119" s="2"/>
      <c r="BV1119" s="2"/>
      <c r="BW1119" s="2"/>
      <c r="BX1119" s="2"/>
      <c r="BY1119" s="2"/>
      <c r="BZ1119" s="2"/>
      <c r="CA1119" s="2"/>
      <c r="CB1119" s="2"/>
      <c r="CC1119" s="2"/>
      <c r="CD1119" s="2"/>
      <c r="CE1119" s="2"/>
      <c r="CF1119" s="2"/>
      <c r="CG1119" s="2"/>
      <c r="CH1119" s="2"/>
      <c r="CI1119" s="2"/>
      <c r="CJ1119" s="2"/>
      <c r="CK1119" s="2"/>
      <c r="CL1119" s="2"/>
      <c r="CM1119" s="2"/>
      <c r="CN1119" s="2"/>
      <c r="CO1119" s="2"/>
      <c r="CP1119" s="2"/>
      <c r="CQ1119" s="2"/>
      <c r="CR1119" s="1"/>
      <c r="CS1119" s="1"/>
      <c r="CT1119" s="1"/>
      <c r="CU1119" s="1"/>
    </row>
    <row r="1120" spans="1:99" s="13" customFormat="1" ht="12" customHeight="1" x14ac:dyDescent="0.2">
      <c r="A1120" s="65">
        <v>43509</v>
      </c>
      <c r="B1120" s="1"/>
      <c r="C1120" s="1"/>
      <c r="D1120" s="60"/>
      <c r="E1120" s="76"/>
      <c r="F1120" s="60"/>
      <c r="G1120" s="60"/>
      <c r="H1120" s="60"/>
      <c r="I1120" s="60"/>
      <c r="J1120" s="60"/>
      <c r="K1120" s="64"/>
      <c r="L1120" s="64"/>
      <c r="M1120" s="60"/>
      <c r="N1120" s="60"/>
      <c r="O1120" s="60"/>
      <c r="P1120" s="60"/>
      <c r="Q1120" s="60"/>
      <c r="R1120" s="60"/>
      <c r="S1120" s="60"/>
      <c r="T1120" s="60"/>
      <c r="U1120" s="60"/>
      <c r="V1120" s="60"/>
      <c r="W1120" s="60"/>
      <c r="X1120" s="60"/>
      <c r="Y1120" s="76"/>
      <c r="Z1120" s="60"/>
      <c r="AA1120" s="60"/>
      <c r="AB1120" s="60"/>
      <c r="AC1120" s="60"/>
      <c r="AD1120" s="60"/>
      <c r="AE1120" s="60"/>
      <c r="AF1120" s="80"/>
      <c r="AG1120" s="56"/>
      <c r="AH1120" s="4"/>
      <c r="AI1120" s="56"/>
      <c r="AJ1120" s="109"/>
      <c r="AK1120" s="56"/>
      <c r="AL1120" s="56"/>
      <c r="AM1120" s="56"/>
      <c r="AN1120" s="56"/>
      <c r="AO1120" s="56"/>
      <c r="AP1120" s="56"/>
      <c r="AQ1120" s="82"/>
      <c r="AR1120" s="115"/>
      <c r="AS1120" s="82"/>
      <c r="AT1120" s="82"/>
      <c r="AU1120" s="4"/>
      <c r="AV1120" s="25">
        <f>280+(6*60)</f>
        <v>640</v>
      </c>
      <c r="AW1120" s="25">
        <f>1.5*3600</f>
        <v>5400</v>
      </c>
      <c r="AX1120" s="25">
        <f>24*3600*2</f>
        <v>172800</v>
      </c>
      <c r="AY1120" s="25">
        <f>24*3600*7</f>
        <v>604800</v>
      </c>
      <c r="AZ1120" s="52" t="s">
        <v>521</v>
      </c>
      <c r="BA1120" s="42"/>
      <c r="BB1120" s="42"/>
      <c r="BC1120" s="2"/>
      <c r="BD1120" s="2"/>
      <c r="BE1120" s="2"/>
      <c r="BF1120" s="2"/>
      <c r="BG1120" s="2"/>
      <c r="BH1120" s="2"/>
      <c r="BI1120" s="2"/>
      <c r="BJ1120" s="2"/>
      <c r="BK1120" s="2"/>
      <c r="BL1120" s="2"/>
      <c r="BM1120" s="2"/>
      <c r="BN1120" s="2"/>
      <c r="BO1120" s="2"/>
      <c r="BP1120" s="2"/>
      <c r="BQ1120" s="2"/>
      <c r="BR1120" s="2"/>
      <c r="BS1120" s="2"/>
      <c r="BT1120" s="2"/>
      <c r="BU1120" s="2"/>
      <c r="BV1120" s="2"/>
      <c r="BW1120" s="2"/>
      <c r="BX1120" s="2"/>
      <c r="BY1120" s="2"/>
      <c r="BZ1120" s="2"/>
      <c r="CA1120" s="2"/>
      <c r="CB1120" s="2"/>
      <c r="CC1120" s="2"/>
      <c r="CD1120" s="2"/>
      <c r="CE1120" s="2"/>
      <c r="CF1120" s="2"/>
      <c r="CG1120" s="2"/>
      <c r="CH1120" s="2"/>
      <c r="CI1120" s="2"/>
      <c r="CJ1120" s="2"/>
      <c r="CK1120" s="2"/>
      <c r="CL1120" s="2"/>
      <c r="CM1120" s="2"/>
      <c r="CN1120" s="2"/>
      <c r="CO1120" s="2"/>
      <c r="CP1120" s="2"/>
      <c r="CQ1120" s="2"/>
      <c r="CR1120" s="1"/>
      <c r="CS1120" s="1"/>
      <c r="CT1120" s="1"/>
      <c r="CU1120" s="1"/>
    </row>
    <row r="1121" spans="1:99" s="13" customFormat="1" ht="12" customHeight="1" x14ac:dyDescent="0.2">
      <c r="A1121" s="65">
        <v>43509</v>
      </c>
      <c r="B1121" s="1" t="s">
        <v>124</v>
      </c>
      <c r="C1121" s="1" t="s">
        <v>45</v>
      </c>
      <c r="D1121" s="60">
        <v>1992</v>
      </c>
      <c r="E1121" s="76">
        <v>3</v>
      </c>
      <c r="F1121" s="60">
        <v>144</v>
      </c>
      <c r="G1121" s="60">
        <v>48</v>
      </c>
      <c r="H1121" s="60" t="s">
        <v>227</v>
      </c>
      <c r="I1121" s="60" t="s">
        <v>522</v>
      </c>
      <c r="J1121" s="60" t="s">
        <v>16</v>
      </c>
      <c r="K1121" s="60">
        <f>IF(J1121="syllables",1,IF(J1121="trigrams",2,IF(J1121="strings",3,IF(J1121="visual array",4,IF(J1121="characters",5,IF(J1121="letters",6,IF(J1121="free forms",7,IF(J1121="odors",8,IF(J1121="words",9,IF(J1121="pictures",10,IF(J1121="object pictures",11,IF(J1121="faces",12,IF(J1121="names",13,IF(J1121="idioms",14,IF(J1121="grades",15,IF(J1121="syllable-digit pairs",16,IF(J1121="trigram-word pairs",17,IF(J1121="word-digit pairs",18,IF(J1121="English-Swahili pairs",19,IF(J1121="spatial position",20,IF(J1121="word pairs",21,IF(J1121="word triads",22,IF(J1121="generated words",23,IF(J1121="word definition pairs",24,IF(J1121="math problems",25,IF(J1121="famous faces",26,IF(J1121="famous names",27,IF(J1121="famous voices",28,IF(J1121="television programs",29,IF(J1121="race horses",30,IF(J1121="new vocabulary",31,IF(J1121="sentences",32,IF(J1121="concepts",33,IF(J1121="ad slides",34,IF(J1121="scenes",35,IF(J1121="famous scenes",36,IF(J1121="poems",37,IF(J1121="walk",38,IF(J1121="faces and events",39,IF(J1121="events and names",40,IF(J1121="flashbulb",41,IF(J1121="stories",42,IF(J1121="course material",43,IF(J1121="autobiographical",44,IF(J1121="novels",45,IF(J1121="public events",46,"99"))))))))))))))))))))))))))))))))))))))))))))))</f>
        <v>9</v>
      </c>
      <c r="L1121" s="60">
        <f>IF(J1121="syllables",1,IF(J1121="trigrams",1,IF(J1121="strings",1,IF(J1121="visual array",1,IF(J1121="characters",1,IF(J1121="letters",1,IF(J1121="free forms",1,IF(J1121="odors",2,IF(J1121="words",2,IF(J1121="pictures",2,IF(J1121="object pictures",2,IF(J1121="faces",2,IF(J1121="names",2,IF(J1121="idioms","2",IF(J1121="grades",2,IF(J1121="syllable-digit pairs",3,IF(J1121="trigram-word pairs",3,IF(J1121="word-digit pairs",3,IF(J1121="English-Swahili pairs",3,IF(J1121="spatial position",3,IF(J1121="word pairs",4,IF(J1121="word triads",4,IF(J1121="generated words",4,IF(J1121="word definition pairs",4,IF(J1121="math problems",4,IF(J1121="famous faces",4,IF(J1121="famous names",4,IF(J1121="famous voices",4,IF(J1121="television programs",4,IF(J1121="race horses",4,IF(J1121="new vocabulary",4,IF(J1121="sentences",5,IF(J1121="concepts",5,IF(J1121="ad slides",5,IF(J1121="scenes",5,IF(J1121="famous scenes",5,IF(J1121="poems",6,IF(J1121="walk",6,IF(J1121="faces and events",6,IF(J1121="events and names",6,IF(J1121="flashbulb",7,IF(J1121="stories",7,IF(J1121="course material",7,IF(J1121="autobiographical",7,IF(J1121="novels",7,IF(J1121="public events",7,"99"))))))))))))))))))))))))))))))))))))))))))))))</f>
        <v>2</v>
      </c>
      <c r="M1121" s="60">
        <v>1</v>
      </c>
      <c r="N1121" s="60">
        <v>2</v>
      </c>
      <c r="O1121" s="60">
        <v>1</v>
      </c>
      <c r="P1121" s="60" t="s">
        <v>899</v>
      </c>
      <c r="Q1121" s="60" t="s">
        <v>125</v>
      </c>
      <c r="R1121" s="60">
        <f>IF(Q1121="Free Recall",1,IF(Q1121="Cued Recall",2,IF(Q1121="Recognition",3,IF(Q1121="Multiple Choice",4,IF(Q1121="Savings",5,IF(Q1121="Stem Completion",6,IF(Q1121="Fragment Completion",7,IF(Q1121="anagram solution",8,IF(Q1121="Matching",9,IF(Q1121="Problem Solving",10,"99"))))))))))</f>
        <v>7</v>
      </c>
      <c r="S1121" s="60" t="s">
        <v>49</v>
      </c>
      <c r="T1121" s="60" t="s">
        <v>261</v>
      </c>
      <c r="U1121" s="60">
        <f>IF(T1121="within",1,0)</f>
        <v>0</v>
      </c>
      <c r="V1121" s="60">
        <v>17</v>
      </c>
      <c r="W1121" s="60">
        <f>F1121*V1121</f>
        <v>2448</v>
      </c>
      <c r="X1121" s="60">
        <v>4</v>
      </c>
      <c r="Y1121" s="76">
        <f>AV1120</f>
        <v>640</v>
      </c>
      <c r="Z1121" s="60" t="s">
        <v>97</v>
      </c>
      <c r="AA1121" s="60">
        <v>604800</v>
      </c>
      <c r="AB1121" s="60" t="str">
        <f>IF(AA1121&lt;60,"1",IF(AA1121&lt;=43200,"2",IF(AA1121&lt;=777600,"3","4")))</f>
        <v>3</v>
      </c>
      <c r="AC1121" s="56">
        <f>AVERAGE(AV1120:DA1120)</f>
        <v>195910</v>
      </c>
      <c r="AD1121" s="60" t="str">
        <f>IF(AC1121&lt;60,"1",IF(AC1121&lt;=43200,"2",IF(AC1121&lt;=777600,"3","4")))</f>
        <v>3</v>
      </c>
      <c r="AE1121" s="76">
        <f>AA1121-Y1121</f>
        <v>604160</v>
      </c>
      <c r="AF1121" s="80">
        <f>AV1121</f>
        <v>0.38</v>
      </c>
      <c r="AG1121" s="56">
        <f>((AW1121-AV1121)+(AX1121-AW1121)+(AY1121-AX1121))/3</f>
        <v>-1.0000000000000009E-2</v>
      </c>
      <c r="AH1121" s="4"/>
      <c r="AI1121" s="56">
        <f>RSQ(AV1121:AY1121,AV1120:AY1120)</f>
        <v>0.11285630801344165</v>
      </c>
      <c r="AJ1121" s="109">
        <f>SLOPE(AV1121:AY1121,AV1120:AY1120)</f>
        <v>-2.8963920728897455E-8</v>
      </c>
      <c r="AK1121" s="56">
        <f>INTERCEPT(AV1121:AY1121,AV1120:AY1120)</f>
        <v>0.37567432170999832</v>
      </c>
      <c r="AL1121" s="56">
        <f>INDEX(LINEST(LN(AV1121:AY1121),LN(AV1120:AY1120),TRUE,TRUE),3,1)</f>
        <v>3.9651751057397742E-3</v>
      </c>
      <c r="AM1121" s="56">
        <f>INDEX(LINEST(LN(AV1121:AY1121),LN(AV1120:AY1120)),1)</f>
        <v>-1.3158155476526311E-3</v>
      </c>
      <c r="AN1121" s="56">
        <f>EXP(INDEX(LINEST(LN(AV1121:AY1121),LN(AV1120:AY1120)),1,2))</f>
        <v>0.37434376366277666</v>
      </c>
      <c r="AO1121" s="82">
        <f>INDEX(LINEST((AV1121:AY1121),LN(AV1120:AY1120),TRUE,TRUE),3,1)</f>
        <v>2.5741774776971544E-3</v>
      </c>
      <c r="AP1121" s="82">
        <f>INDEX(LINEST((AV1121:AY1121),LN(AV1120:AY1120)),1)</f>
        <v>-3.9519095509361353E-4</v>
      </c>
      <c r="AQ1121" s="83">
        <f>INDEX(LINEST(LN(AV1121:AY1121),SQRT(AV1120:AY1120),TRUE,TRUE),3,1)</f>
        <v>3.0931972143391356E-2</v>
      </c>
      <c r="AR1121" s="116">
        <f>INDEX(LINEST(LN(AV1121:AY1121),SQRT((AV1120:AY1120))),1)</f>
        <v>-3.3078534243262196E-5</v>
      </c>
      <c r="AS1121" s="84">
        <f>INDEX(LINEST(1/(AV1121:AY1121),1/(SQRT(AV1120:AY1120)),TRUE,TRUE),3,1)</f>
        <v>2.5270537022449382E-2</v>
      </c>
      <c r="AT1121" s="84">
        <f>INDEX(LINEST(1/(AV1121:AY1121),1/SQRT(AV1120:AY1120)),1)</f>
        <v>-1.5792961419572631</v>
      </c>
      <c r="AU1121" s="3"/>
      <c r="AV1121" s="53">
        <v>0.38</v>
      </c>
      <c r="AW1121" s="53">
        <v>0.35</v>
      </c>
      <c r="AX1121" s="53">
        <v>0.4</v>
      </c>
      <c r="AY1121" s="53">
        <v>0.35</v>
      </c>
      <c r="AZ1121" s="46"/>
      <c r="BA1121" s="42"/>
      <c r="BB1121" s="42"/>
      <c r="BC1121" s="2"/>
      <c r="BD1121" s="2"/>
      <c r="BE1121" s="2"/>
      <c r="BF1121" s="2"/>
      <c r="BG1121" s="2"/>
      <c r="BH1121" s="2"/>
      <c r="BI1121" s="2"/>
      <c r="BJ1121" s="2"/>
      <c r="BK1121" s="2"/>
      <c r="BL1121" s="2"/>
      <c r="BM1121" s="2"/>
      <c r="BN1121" s="2"/>
      <c r="BO1121" s="2"/>
      <c r="BP1121" s="2"/>
      <c r="BQ1121" s="2"/>
      <c r="BR1121" s="2"/>
      <c r="BS1121" s="2"/>
      <c r="BT1121" s="2"/>
      <c r="BU1121" s="2"/>
      <c r="BV1121" s="2"/>
      <c r="BW1121" s="2"/>
      <c r="BX1121" s="2"/>
      <c r="BY1121" s="2"/>
      <c r="BZ1121" s="2"/>
      <c r="CA1121" s="2"/>
      <c r="CB1121" s="2"/>
      <c r="CC1121" s="2"/>
      <c r="CD1121" s="2"/>
      <c r="CE1121" s="2"/>
      <c r="CF1121" s="2"/>
      <c r="CG1121" s="2"/>
      <c r="CH1121" s="2"/>
      <c r="CI1121" s="2"/>
      <c r="CJ1121" s="2"/>
      <c r="CK1121" s="2"/>
      <c r="CL1121" s="2"/>
      <c r="CM1121" s="2"/>
      <c r="CN1121" s="2"/>
      <c r="CO1121" s="2"/>
      <c r="CP1121" s="2"/>
      <c r="CQ1121" s="2"/>
      <c r="CR1121" s="1"/>
      <c r="CS1121" s="1"/>
      <c r="CT1121" s="1"/>
      <c r="CU1121" s="1"/>
    </row>
    <row r="1122" spans="1:99" s="13" customFormat="1" ht="12" customHeight="1" x14ac:dyDescent="0.2">
      <c r="A1122" s="65">
        <v>43509</v>
      </c>
      <c r="B1122" s="1"/>
      <c r="C1122" s="1"/>
      <c r="D1122" s="60"/>
      <c r="E1122" s="76"/>
      <c r="F1122" s="60"/>
      <c r="G1122" s="60"/>
      <c r="H1122" s="60"/>
      <c r="I1122" s="60"/>
      <c r="J1122" s="60"/>
      <c r="K1122" s="64"/>
      <c r="L1122" s="64"/>
      <c r="M1122" s="60"/>
      <c r="N1122" s="60"/>
      <c r="O1122" s="60"/>
      <c r="P1122" s="60"/>
      <c r="Q1122" s="60"/>
      <c r="R1122" s="60"/>
      <c r="S1122" s="60"/>
      <c r="T1122" s="60"/>
      <c r="U1122" s="60"/>
      <c r="V1122" s="60"/>
      <c r="W1122" s="60"/>
      <c r="X1122" s="60"/>
      <c r="Y1122" s="76"/>
      <c r="Z1122" s="60"/>
      <c r="AA1122" s="60"/>
      <c r="AB1122" s="60"/>
      <c r="AC1122" s="60"/>
      <c r="AD1122" s="60"/>
      <c r="AE1122" s="60"/>
      <c r="AF1122" s="80"/>
      <c r="AG1122" s="56"/>
      <c r="AH1122" s="4"/>
      <c r="AI1122" s="56"/>
      <c r="AJ1122" s="109"/>
      <c r="AK1122" s="56"/>
      <c r="AL1122" s="56"/>
      <c r="AM1122" s="56"/>
      <c r="AN1122" s="56"/>
      <c r="AO1122" s="56"/>
      <c r="AP1122" s="56"/>
      <c r="AQ1122" s="56"/>
      <c r="AR1122" s="109"/>
      <c r="AS1122" s="56"/>
      <c r="AT1122" s="56"/>
      <c r="AU1122" s="4"/>
      <c r="AV1122" s="25">
        <f>280+(6*60)</f>
        <v>640</v>
      </c>
      <c r="AW1122" s="25">
        <f>1.5*3600</f>
        <v>5400</v>
      </c>
      <c r="AX1122" s="25">
        <f>24*3600*2</f>
        <v>172800</v>
      </c>
      <c r="AY1122" s="25">
        <f>24*3600*7</f>
        <v>604800</v>
      </c>
      <c r="AZ1122" s="46"/>
      <c r="BA1122" s="42"/>
      <c r="BB1122" s="42"/>
      <c r="BC1122" s="42"/>
      <c r="BD1122" s="42"/>
      <c r="BE1122" s="42"/>
      <c r="BF1122" s="42"/>
      <c r="BG1122" s="42"/>
      <c r="BH1122" s="2"/>
      <c r="BI1122" s="2"/>
      <c r="BJ1122" s="2"/>
      <c r="BK1122" s="2"/>
      <c r="BL1122" s="2"/>
      <c r="BM1122" s="2"/>
      <c r="BN1122" s="2"/>
      <c r="BO1122" s="2"/>
      <c r="BP1122" s="2"/>
      <c r="BQ1122" s="2"/>
      <c r="BR1122" s="2"/>
      <c r="BS1122" s="2"/>
      <c r="BT1122" s="2"/>
      <c r="BU1122" s="2"/>
      <c r="BV1122" s="2"/>
      <c r="BW1122" s="2"/>
      <c r="BX1122" s="2"/>
      <c r="BY1122" s="2"/>
      <c r="BZ1122" s="2"/>
      <c r="CA1122" s="2"/>
      <c r="CB1122" s="2"/>
      <c r="CC1122" s="2"/>
      <c r="CD1122" s="2"/>
      <c r="CE1122" s="2"/>
      <c r="CF1122" s="2"/>
      <c r="CG1122" s="2"/>
      <c r="CH1122" s="2"/>
      <c r="CI1122" s="2"/>
      <c r="CJ1122" s="2"/>
      <c r="CK1122" s="2"/>
      <c r="CL1122" s="2"/>
      <c r="CM1122" s="2"/>
      <c r="CN1122" s="2"/>
      <c r="CO1122" s="2"/>
      <c r="CP1122" s="2"/>
      <c r="CQ1122" s="2"/>
      <c r="CR1122" s="1"/>
      <c r="CS1122" s="1"/>
      <c r="CT1122" s="1"/>
      <c r="CU1122" s="1"/>
    </row>
    <row r="1123" spans="1:99" s="13" customFormat="1" ht="12" customHeight="1" x14ac:dyDescent="0.2">
      <c r="A1123" s="65">
        <v>43509</v>
      </c>
      <c r="B1123" s="1" t="s">
        <v>124</v>
      </c>
      <c r="C1123" s="1" t="s">
        <v>45</v>
      </c>
      <c r="D1123" s="60">
        <v>1992</v>
      </c>
      <c r="E1123" s="76">
        <v>3</v>
      </c>
      <c r="F1123" s="60">
        <v>144</v>
      </c>
      <c r="G1123" s="60">
        <v>48</v>
      </c>
      <c r="H1123" s="60" t="s">
        <v>227</v>
      </c>
      <c r="I1123" s="60" t="s">
        <v>523</v>
      </c>
      <c r="J1123" s="60" t="s">
        <v>16</v>
      </c>
      <c r="K1123" s="60">
        <f>IF(J1123="syllables",1,IF(J1123="trigrams",2,IF(J1123="strings",3,IF(J1123="visual array",4,IF(J1123="characters",5,IF(J1123="letters",6,IF(J1123="free forms",7,IF(J1123="odors",8,IF(J1123="words",9,IF(J1123="pictures",10,IF(J1123="object pictures",11,IF(J1123="faces",12,IF(J1123="names",13,IF(J1123="idioms",14,IF(J1123="grades",15,IF(J1123="syllable-digit pairs",16,IF(J1123="trigram-word pairs",17,IF(J1123="word-digit pairs",18,IF(J1123="English-Swahili pairs",19,IF(J1123="spatial position",20,IF(J1123="word pairs",21,IF(J1123="word triads",22,IF(J1123="generated words",23,IF(J1123="word definition pairs",24,IF(J1123="math problems",25,IF(J1123="famous faces",26,IF(J1123="famous names",27,IF(J1123="famous voices",28,IF(J1123="television programs",29,IF(J1123="race horses",30,IF(J1123="new vocabulary",31,IF(J1123="sentences",32,IF(J1123="concepts",33,IF(J1123="ad slides",34,IF(J1123="scenes",35,IF(J1123="famous scenes",36,IF(J1123="poems",37,IF(J1123="walk",38,IF(J1123="faces and events",39,IF(J1123="events and names",40,IF(J1123="flashbulb",41,IF(J1123="stories",42,IF(J1123="course material",43,IF(J1123="autobiographical",44,IF(J1123="novels",45,IF(J1123="public events",46,"99"))))))))))))))))))))))))))))))))))))))))))))))</f>
        <v>9</v>
      </c>
      <c r="L1123" s="60">
        <f>IF(J1123="syllables",1,IF(J1123="trigrams",1,IF(J1123="strings",1,IF(J1123="visual array",1,IF(J1123="characters",1,IF(J1123="letters",1,IF(J1123="free forms",1,IF(J1123="odors",2,IF(J1123="words",2,IF(J1123="pictures",2,IF(J1123="object pictures",2,IF(J1123="faces",2,IF(J1123="names",2,IF(J1123="idioms","2",IF(J1123="grades",2,IF(J1123="syllable-digit pairs",3,IF(J1123="trigram-word pairs",3,IF(J1123="word-digit pairs",3,IF(J1123="English-Swahili pairs",3,IF(J1123="spatial position",3,IF(J1123="word pairs",4,IF(J1123="word triads",4,IF(J1123="generated words",4,IF(J1123="word definition pairs",4,IF(J1123="math problems",4,IF(J1123="famous faces",4,IF(J1123="famous names",4,IF(J1123="famous voices",4,IF(J1123="television programs",4,IF(J1123="race horses",4,IF(J1123="new vocabulary",4,IF(J1123="sentences",5,IF(J1123="concepts",5,IF(J1123="ad slides",5,IF(J1123="scenes",5,IF(J1123="famous scenes",5,IF(J1123="poems",6,IF(J1123="walk",6,IF(J1123="faces and events",6,IF(J1123="events and names",6,IF(J1123="flashbulb",7,IF(J1123="stories",7,IF(J1123="course material",7,IF(J1123="autobiographical",7,IF(J1123="novels",7,IF(J1123="public events",7,"99"))))))))))))))))))))))))))))))))))))))))))))))</f>
        <v>2</v>
      </c>
      <c r="M1123" s="60">
        <v>1</v>
      </c>
      <c r="N1123" s="60">
        <v>2</v>
      </c>
      <c r="O1123" s="60">
        <v>1</v>
      </c>
      <c r="P1123" s="60" t="s">
        <v>899</v>
      </c>
      <c r="Q1123" s="60" t="s">
        <v>125</v>
      </c>
      <c r="R1123" s="60">
        <f>IF(Q1123="Free Recall",1,IF(Q1123="Cued Recall",2,IF(Q1123="Recognition",3,IF(Q1123="Multiple Choice",4,IF(Q1123="Savings",5,IF(Q1123="Stem Completion",6,IF(Q1123="Fragment Completion",7,IF(Q1123="anagram solution",8,IF(Q1123="Matching",9,IF(Q1123="Problem Solving",10,"99"))))))))))</f>
        <v>7</v>
      </c>
      <c r="S1123" s="60" t="s">
        <v>49</v>
      </c>
      <c r="T1123" s="60" t="s">
        <v>261</v>
      </c>
      <c r="U1123" s="60">
        <f>IF(T1123="within",1,0)</f>
        <v>0</v>
      </c>
      <c r="V1123" s="60">
        <v>17</v>
      </c>
      <c r="W1123" s="60">
        <f>F1123*V1123</f>
        <v>2448</v>
      </c>
      <c r="X1123" s="60">
        <v>4</v>
      </c>
      <c r="Y1123" s="76">
        <f>AV1122</f>
        <v>640</v>
      </c>
      <c r="Z1123" s="60" t="s">
        <v>97</v>
      </c>
      <c r="AA1123" s="60">
        <v>604800</v>
      </c>
      <c r="AB1123" s="60" t="str">
        <f>IF(AA1123&lt;60,"1",IF(AA1123&lt;=43200,"2",IF(AA1123&lt;=777600,"3","4")))</f>
        <v>3</v>
      </c>
      <c r="AC1123" s="56">
        <f>AVERAGE(AV1122:DA1122)</f>
        <v>195910</v>
      </c>
      <c r="AD1123" s="60" t="str">
        <f>IF(AC1123&lt;60,"1",IF(AC1123&lt;=43200,"2",IF(AC1123&lt;=777600,"3","4")))</f>
        <v>3</v>
      </c>
      <c r="AE1123" s="76">
        <f>AA1123-Y1123</f>
        <v>604160</v>
      </c>
      <c r="AF1123" s="80">
        <f>AV1123</f>
        <v>0.41</v>
      </c>
      <c r="AG1123" s="56">
        <f>((AW1123-AV1123)+(AX1123-AW1123)+(AY1123-AX1123))/3</f>
        <v>-3.666666666666666E-2</v>
      </c>
      <c r="AH1123" s="4"/>
      <c r="AI1123" s="56">
        <f>RSQ(AV1123:AY1123,AV1122:AY1122)</f>
        <v>0.96644947716570373</v>
      </c>
      <c r="AJ1123" s="109">
        <f>SLOPE(AV1123:AY1123,AV1122:AY1122)</f>
        <v>-1.6714630334631092E-7</v>
      </c>
      <c r="AK1123" s="56">
        <f>INTERCEPT(AV1123:AY1123,AV1122:AY1122)</f>
        <v>0.40274563228857585</v>
      </c>
      <c r="AL1123" s="56">
        <f>INDEX(LINEST(LN(AV1123:AY1123),LN(AV1122:AY1122),TRUE,TRUE),3,1)</f>
        <v>0.67261995387499218</v>
      </c>
      <c r="AM1123" s="56">
        <f>INDEX(LINEST(LN(AV1123:AY1123),LN(AV1122:AY1122)),1)</f>
        <v>-3.6202616039798775E-2</v>
      </c>
      <c r="AN1123" s="56">
        <f>EXP(INDEX(LINEST(LN(AV1123:AY1123),LN(AV1122:AY1122)),1,2))</f>
        <v>0.52978207677163791</v>
      </c>
      <c r="AO1123" s="82">
        <f>INDEX(LINEST((AV1123:AY1123),LN(AV1122:AY1122),TRUE,TRUE),3,1)</f>
        <v>0.6987623971028053</v>
      </c>
      <c r="AP1123" s="82">
        <f>INDEX(LINEST((AV1123:AY1123),LN(AV1122:AY1122)),1)</f>
        <v>-1.2840007679994315E-2</v>
      </c>
      <c r="AQ1123" s="83">
        <f>INDEX(LINEST(LN(AV1123:AY1123),SQRT(AV1122:AY1122),TRUE,TRUE),3,1)</f>
        <v>0.8811076159891934</v>
      </c>
      <c r="AR1123" s="116">
        <f>INDEX(LINEST(LN(AV1123:AY1123),SQRT((AV1122:AY1122))),1)</f>
        <v>-3.7294791371268867E-4</v>
      </c>
      <c r="AS1123" s="84">
        <f>INDEX(LINEST(1/(AV1123:AY1123),1/(SQRT(AV1122:AY1122)),TRUE,TRUE),3,1)</f>
        <v>0.42023202114515074</v>
      </c>
      <c r="AT1123" s="84">
        <f>INDEX(LINEST(1/(AV1123:AY1123),1/SQRT(AV1122:AY1122)),1)</f>
        <v>-14.669118456863561</v>
      </c>
      <c r="AU1123" s="3"/>
      <c r="AV1123" s="53">
        <v>0.41</v>
      </c>
      <c r="AW1123" s="53">
        <v>0.39</v>
      </c>
      <c r="AX1123" s="53">
        <v>0.38</v>
      </c>
      <c r="AY1123" s="53">
        <v>0.3</v>
      </c>
      <c r="AZ1123" s="46"/>
      <c r="BA1123" s="42"/>
      <c r="BB1123" s="42"/>
      <c r="BC1123" s="42"/>
      <c r="BD1123" s="42"/>
      <c r="BE1123" s="42"/>
      <c r="BF1123" s="42"/>
      <c r="BG1123" s="42"/>
      <c r="BH1123" s="2"/>
      <c r="BI1123" s="2"/>
      <c r="BJ1123" s="2"/>
      <c r="BK1123" s="2"/>
      <c r="BL1123" s="2"/>
      <c r="BM1123" s="2"/>
      <c r="BN1123" s="2"/>
      <c r="BO1123" s="2"/>
      <c r="BP1123" s="2"/>
      <c r="BQ1123" s="2"/>
      <c r="BR1123" s="2"/>
      <c r="BS1123" s="2"/>
      <c r="BT1123" s="2"/>
      <c r="BU1123" s="2"/>
      <c r="BV1123" s="2"/>
      <c r="BW1123" s="2"/>
      <c r="BX1123" s="2"/>
      <c r="BY1123" s="2"/>
      <c r="BZ1123" s="2"/>
      <c r="CA1123" s="2"/>
      <c r="CB1123" s="2"/>
      <c r="CC1123" s="2"/>
      <c r="CD1123" s="2"/>
      <c r="CE1123" s="2"/>
      <c r="CF1123" s="2"/>
      <c r="CG1123" s="2"/>
      <c r="CH1123" s="2"/>
      <c r="CI1123" s="2"/>
      <c r="CJ1123" s="2"/>
      <c r="CK1123" s="2"/>
      <c r="CL1123" s="2"/>
      <c r="CM1123" s="2"/>
      <c r="CN1123" s="2"/>
      <c r="CO1123" s="2"/>
      <c r="CP1123" s="2"/>
      <c r="CQ1123" s="2"/>
      <c r="CR1123" s="1"/>
      <c r="CS1123" s="1"/>
      <c r="CT1123" s="1"/>
      <c r="CU1123" s="1"/>
    </row>
    <row r="1124" spans="1:99" s="13" customFormat="1" ht="12" customHeight="1" x14ac:dyDescent="0.2">
      <c r="A1124" s="65">
        <v>43509</v>
      </c>
      <c r="B1124" s="1"/>
      <c r="C1124" s="1"/>
      <c r="D1124" s="60"/>
      <c r="E1124" s="76"/>
      <c r="F1124" s="60"/>
      <c r="G1124" s="60"/>
      <c r="H1124" s="60"/>
      <c r="I1124" s="60"/>
      <c r="J1124" s="60"/>
      <c r="K1124" s="64"/>
      <c r="L1124" s="64"/>
      <c r="M1124" s="60"/>
      <c r="N1124" s="60"/>
      <c r="O1124" s="60"/>
      <c r="P1124" s="60"/>
      <c r="Q1124" s="60"/>
      <c r="R1124" s="60"/>
      <c r="S1124" s="60"/>
      <c r="T1124" s="60"/>
      <c r="U1124" s="60"/>
      <c r="V1124" s="60"/>
      <c r="W1124" s="60"/>
      <c r="X1124" s="60"/>
      <c r="Y1124" s="76"/>
      <c r="Z1124" s="60"/>
      <c r="AA1124" s="60"/>
      <c r="AB1124" s="60"/>
      <c r="AC1124" s="60"/>
      <c r="AD1124" s="60"/>
      <c r="AE1124" s="60"/>
      <c r="AF1124" s="80"/>
      <c r="AG1124" s="56"/>
      <c r="AH1124" s="4"/>
      <c r="AI1124" s="56"/>
      <c r="AJ1124" s="109"/>
      <c r="AK1124" s="56"/>
      <c r="AL1124" s="56"/>
      <c r="AM1124" s="56"/>
      <c r="AN1124" s="56"/>
      <c r="AO1124" s="56"/>
      <c r="AP1124" s="56"/>
      <c r="AQ1124" s="82"/>
      <c r="AR1124" s="115"/>
      <c r="AS1124" s="82"/>
      <c r="AT1124" s="82"/>
      <c r="AU1124" s="4"/>
      <c r="AV1124" s="25">
        <f>280+(6*60)</f>
        <v>640</v>
      </c>
      <c r="AW1124" s="25">
        <f>1.5*3600</f>
        <v>5400</v>
      </c>
      <c r="AX1124" s="25">
        <f>24*3600*2</f>
        <v>172800</v>
      </c>
      <c r="AY1124" s="25">
        <f>24*3600*7</f>
        <v>604800</v>
      </c>
      <c r="AZ1124" s="52"/>
      <c r="BA1124" s="52"/>
      <c r="BB1124" s="52"/>
      <c r="BC1124" s="52"/>
      <c r="BD1124" s="52"/>
      <c r="BE1124" s="52"/>
      <c r="BF1124" s="52"/>
      <c r="BG1124" s="52"/>
      <c r="BH1124" s="52"/>
      <c r="BI1124" s="52"/>
      <c r="BJ1124" s="52"/>
      <c r="BK1124" s="52"/>
      <c r="BL1124" s="52"/>
      <c r="BM1124" s="52"/>
      <c r="BN1124" s="52"/>
      <c r="BO1124" s="52"/>
      <c r="BP1124" s="52"/>
      <c r="BQ1124" s="52"/>
      <c r="BR1124" s="52"/>
      <c r="BS1124" s="52"/>
      <c r="BT1124" s="52"/>
      <c r="BU1124" s="52"/>
      <c r="BV1124" s="52"/>
      <c r="BW1124" s="52"/>
      <c r="BX1124" s="52"/>
      <c r="BY1124" s="52"/>
      <c r="BZ1124" s="52"/>
      <c r="CA1124" s="52"/>
      <c r="CB1124" s="52"/>
      <c r="CC1124" s="52"/>
      <c r="CD1124" s="52"/>
      <c r="CE1124" s="52"/>
      <c r="CF1124" s="52"/>
      <c r="CG1124" s="52"/>
      <c r="CH1124" s="52"/>
      <c r="CI1124" s="52"/>
      <c r="CJ1124" s="52"/>
      <c r="CK1124" s="52"/>
      <c r="CL1124" s="52"/>
      <c r="CM1124" s="52"/>
      <c r="CN1124" s="52"/>
      <c r="CO1124" s="52"/>
      <c r="CP1124" s="52"/>
      <c r="CQ1124" s="52"/>
      <c r="CR1124" s="1"/>
      <c r="CS1124" s="1"/>
      <c r="CT1124" s="1"/>
      <c r="CU1124" s="1"/>
    </row>
    <row r="1125" spans="1:99" s="13" customFormat="1" ht="12" customHeight="1" x14ac:dyDescent="0.2">
      <c r="A1125" s="65">
        <v>43509</v>
      </c>
      <c r="B1125" s="1" t="s">
        <v>124</v>
      </c>
      <c r="C1125" s="1" t="s">
        <v>45</v>
      </c>
      <c r="D1125" s="60">
        <v>1992</v>
      </c>
      <c r="E1125" s="76">
        <v>3</v>
      </c>
      <c r="F1125" s="60">
        <v>144</v>
      </c>
      <c r="G1125" s="60">
        <v>48</v>
      </c>
      <c r="H1125" s="60" t="s">
        <v>227</v>
      </c>
      <c r="I1125" s="60" t="s">
        <v>522</v>
      </c>
      <c r="J1125" s="60" t="s">
        <v>16</v>
      </c>
      <c r="K1125" s="60">
        <f>IF(J1125="syllables",1,IF(J1125="trigrams",2,IF(J1125="strings",3,IF(J1125="visual array",4,IF(J1125="characters",5,IF(J1125="letters",6,IF(J1125="free forms",7,IF(J1125="odors",8,IF(J1125="words",9,IF(J1125="pictures",10,IF(J1125="object pictures",11,IF(J1125="faces",12,IF(J1125="names",13,IF(J1125="idioms",14,IF(J1125="grades",15,IF(J1125="syllable-digit pairs",16,IF(J1125="trigram-word pairs",17,IF(J1125="word-digit pairs",18,IF(J1125="English-Swahili pairs",19,IF(J1125="spatial position",20,IF(J1125="word pairs",21,IF(J1125="word triads",22,IF(J1125="generated words",23,IF(J1125="word definition pairs",24,IF(J1125="math problems",25,IF(J1125="famous faces",26,IF(J1125="famous names",27,IF(J1125="famous voices",28,IF(J1125="television programs",29,IF(J1125="race horses",30,IF(J1125="new vocabulary",31,IF(J1125="sentences",32,IF(J1125="concepts",33,IF(J1125="ad slides",34,IF(J1125="scenes",35,IF(J1125="famous scenes",36,IF(J1125="poems",37,IF(J1125="walk",38,IF(J1125="faces and events",39,IF(J1125="events and names",40,IF(J1125="flashbulb",41,IF(J1125="stories",42,IF(J1125="course material",43,IF(J1125="autobiographical",44,IF(J1125="novels",45,IF(J1125="public events",46,"99"))))))))))))))))))))))))))))))))))))))))))))))</f>
        <v>9</v>
      </c>
      <c r="L1125" s="60">
        <f>IF(J1125="syllables",1,IF(J1125="trigrams",1,IF(J1125="strings",1,IF(J1125="visual array",1,IF(J1125="characters",1,IF(J1125="letters",1,IF(J1125="free forms",1,IF(J1125="odors",2,IF(J1125="words",2,IF(J1125="pictures",2,IF(J1125="object pictures",2,IF(J1125="faces",2,IF(J1125="names",2,IF(J1125="idioms","2",IF(J1125="grades",2,IF(J1125="syllable-digit pairs",3,IF(J1125="trigram-word pairs",3,IF(J1125="word-digit pairs",3,IF(J1125="English-Swahili pairs",3,IF(J1125="spatial position",3,IF(J1125="word pairs",4,IF(J1125="word triads",4,IF(J1125="generated words",4,IF(J1125="word definition pairs",4,IF(J1125="math problems",4,IF(J1125="famous faces",4,IF(J1125="famous names",4,IF(J1125="famous voices",4,IF(J1125="television programs",4,IF(J1125="race horses",4,IF(J1125="new vocabulary",4,IF(J1125="sentences",5,IF(J1125="concepts",5,IF(J1125="ad slides",5,IF(J1125="scenes",5,IF(J1125="famous scenes",5,IF(J1125="poems",6,IF(J1125="walk",6,IF(J1125="faces and events",6,IF(J1125="events and names",6,IF(J1125="flashbulb",7,IF(J1125="stories",7,IF(J1125="course material",7,IF(J1125="autobiographical",7,IF(J1125="novels",7,IF(J1125="public events",7,"99"))))))))))))))))))))))))))))))))))))))))))))))</f>
        <v>2</v>
      </c>
      <c r="M1125" s="60">
        <v>1</v>
      </c>
      <c r="N1125" s="60">
        <v>2</v>
      </c>
      <c r="O1125" s="60">
        <v>1</v>
      </c>
      <c r="P1125" s="60" t="s">
        <v>899</v>
      </c>
      <c r="Q1125" s="60" t="s">
        <v>126</v>
      </c>
      <c r="R1125" s="60">
        <f>IF(Q1125="Free Recall",1,IF(Q1125="Cued Recall",2,IF(Q1125="Recognition",3,IF(Q1125="Multiple Choice",4,IF(Q1125="Savings",5,IF(Q1125="Stem Completion",6,IF(Q1125="Fragment Completion",7,IF(Q1125="anagram solution",8,IF(Q1125="Matching",9,IF(Q1125="Problem Solving",10,"99"))))))))))</f>
        <v>6</v>
      </c>
      <c r="S1125" s="60" t="s">
        <v>49</v>
      </c>
      <c r="T1125" s="60" t="s">
        <v>261</v>
      </c>
      <c r="U1125" s="60">
        <f>IF(T1125="within",1,0)</f>
        <v>0</v>
      </c>
      <c r="V1125" s="60">
        <v>17</v>
      </c>
      <c r="W1125" s="60">
        <f>F1125*V1125</f>
        <v>2448</v>
      </c>
      <c r="X1125" s="60">
        <v>4</v>
      </c>
      <c r="Y1125" s="76">
        <f>AV1124</f>
        <v>640</v>
      </c>
      <c r="Z1125" s="60" t="s">
        <v>97</v>
      </c>
      <c r="AA1125" s="60">
        <v>604800</v>
      </c>
      <c r="AB1125" s="60" t="str">
        <f>IF(AA1125&lt;60,"1",IF(AA1125&lt;=43200,"2",IF(AA1125&lt;=777600,"3","4")))</f>
        <v>3</v>
      </c>
      <c r="AC1125" s="56">
        <f>AVERAGE(AV1124:DA1124)</f>
        <v>195910</v>
      </c>
      <c r="AD1125" s="60" t="str">
        <f>IF(AC1125&lt;60,"1",IF(AC1125&lt;=43200,"2",IF(AC1125&lt;=777600,"3","4")))</f>
        <v>3</v>
      </c>
      <c r="AE1125" s="76">
        <f>AA1125-Y1125</f>
        <v>604160</v>
      </c>
      <c r="AF1125" s="80">
        <f>AV1125</f>
        <v>0.38</v>
      </c>
      <c r="AG1125" s="56">
        <f>((AW1125-AV1125)+(AX1125-AW1125)+(AY1125-AX1125))/3</f>
        <v>-3.3333333333333326E-2</v>
      </c>
      <c r="AH1125" s="4"/>
      <c r="AI1125" s="56">
        <f>RSQ(AV1125:AY1125,AV1124:AY1124)</f>
        <v>0.63809699977536716</v>
      </c>
      <c r="AJ1125" s="109">
        <f>SLOPE(AV1125:AY1125,AV1124:AY1124)</f>
        <v>-1.159275393403477E-7</v>
      </c>
      <c r="AK1125" s="56">
        <f>INTERCEPT(AV1125:AY1125,AV1124:AY1124)</f>
        <v>0.34771136423216753</v>
      </c>
      <c r="AL1125" s="56">
        <f>INDEX(LINEST(LN(AV1125:AY1125),LN(AV1124:AY1124),TRUE,TRUE),3,1)</f>
        <v>0.79757167176064125</v>
      </c>
      <c r="AM1125" s="56">
        <f>INDEX(LINEST(LN(AV1125:AY1125),LN(AV1124:AY1124)),1)</f>
        <v>-3.5544064179208461E-2</v>
      </c>
      <c r="AN1125" s="56">
        <f>EXP(INDEX(LINEST(LN(AV1125:AY1125),LN(AV1124:AY1124)),1,2))</f>
        <v>0.46273106883434684</v>
      </c>
      <c r="AO1125" s="82">
        <f>INDEX(LINEST((AV1125:AY1125),LN(AV1124:AY1124),TRUE,TRUE),3,1)</f>
        <v>0.79558904387638718</v>
      </c>
      <c r="AP1125" s="82">
        <f>INDEX(LINEST((AV1125:AY1125),LN(AV1124:AY1124)),1)</f>
        <v>-1.1694481883428767E-2</v>
      </c>
      <c r="AQ1125" s="83">
        <f>INDEX(LINEST(LN(AV1125:AY1125),SQRT(AV1124:AY1124),TRUE,TRUE),3,1)</f>
        <v>0.72724366002260654</v>
      </c>
      <c r="AR1125" s="116">
        <f>INDEX(LINEST(LN(AV1125:AY1125),SQRT((AV1124:AY1124))),1)</f>
        <v>-3.0549268802464565E-4</v>
      </c>
      <c r="AS1125" s="84">
        <f>INDEX(LINEST(1/(AV1125:AY1125),1/(SQRT(AV1124:AY1124)),TRUE,TRUE),3,1)</f>
        <v>0.79577740953921716</v>
      </c>
      <c r="AT1125" s="84">
        <f>INDEX(LINEST(1/(AV1125:AY1125),1/SQRT(AV1124:AY1124)),1)</f>
        <v>-19.269055545581491</v>
      </c>
      <c r="AU1125" s="3"/>
      <c r="AV1125" s="53">
        <v>0.38</v>
      </c>
      <c r="AW1125" s="53">
        <v>0.32</v>
      </c>
      <c r="AX1125" s="53">
        <v>0.32</v>
      </c>
      <c r="AY1125" s="53">
        <v>0.28000000000000003</v>
      </c>
      <c r="AZ1125" s="52"/>
      <c r="BA1125" s="52"/>
      <c r="BB1125" s="52"/>
      <c r="BC1125" s="52"/>
      <c r="BD1125" s="52"/>
      <c r="BE1125" s="52"/>
      <c r="BF1125" s="52"/>
      <c r="BG1125" s="52"/>
      <c r="BH1125" s="52"/>
      <c r="BI1125" s="52"/>
      <c r="BJ1125" s="52"/>
      <c r="BK1125" s="52"/>
      <c r="BL1125" s="52"/>
      <c r="BM1125" s="52"/>
      <c r="BN1125" s="52"/>
      <c r="BO1125" s="52"/>
      <c r="BP1125" s="52"/>
      <c r="BQ1125" s="52"/>
      <c r="BR1125" s="52"/>
      <c r="BS1125" s="52"/>
      <c r="BT1125" s="52"/>
      <c r="BU1125" s="52"/>
      <c r="BV1125" s="52"/>
      <c r="BW1125" s="52"/>
      <c r="BX1125" s="52"/>
      <c r="BY1125" s="52"/>
      <c r="BZ1125" s="52"/>
      <c r="CA1125" s="52"/>
      <c r="CB1125" s="52"/>
      <c r="CC1125" s="52"/>
      <c r="CD1125" s="52"/>
      <c r="CE1125" s="52"/>
      <c r="CF1125" s="52"/>
      <c r="CG1125" s="52"/>
      <c r="CH1125" s="52"/>
      <c r="CI1125" s="52"/>
      <c r="CJ1125" s="52"/>
      <c r="CK1125" s="52"/>
      <c r="CL1125" s="52"/>
      <c r="CM1125" s="52"/>
      <c r="CN1125" s="52"/>
      <c r="CO1125" s="52"/>
      <c r="CP1125" s="52"/>
      <c r="CQ1125" s="52"/>
      <c r="CR1125" s="1"/>
      <c r="CS1125" s="1"/>
      <c r="CT1125" s="1"/>
      <c r="CU1125" s="1"/>
    </row>
    <row r="1126" spans="1:99" s="13" customFormat="1" ht="12" customHeight="1" x14ac:dyDescent="0.2">
      <c r="A1126" s="65">
        <v>43509</v>
      </c>
      <c r="B1126" s="1"/>
      <c r="C1126" s="1"/>
      <c r="D1126" s="60"/>
      <c r="E1126" s="76"/>
      <c r="F1126" s="60"/>
      <c r="G1126" s="60"/>
      <c r="H1126" s="60"/>
      <c r="I1126" s="60"/>
      <c r="J1126" s="60"/>
      <c r="K1126" s="64"/>
      <c r="L1126" s="64"/>
      <c r="M1126" s="60"/>
      <c r="N1126" s="60"/>
      <c r="O1126" s="60"/>
      <c r="P1126" s="60"/>
      <c r="Q1126" s="60"/>
      <c r="R1126" s="60"/>
      <c r="S1126" s="60"/>
      <c r="T1126" s="60"/>
      <c r="U1126" s="60"/>
      <c r="V1126" s="60"/>
      <c r="W1126" s="60"/>
      <c r="X1126" s="60"/>
      <c r="Y1126" s="76"/>
      <c r="Z1126" s="60"/>
      <c r="AA1126" s="60"/>
      <c r="AB1126" s="60"/>
      <c r="AC1126" s="60"/>
      <c r="AD1126" s="60"/>
      <c r="AE1126" s="60"/>
      <c r="AF1126" s="80"/>
      <c r="AG1126" s="56"/>
      <c r="AH1126" s="4"/>
      <c r="AI1126" s="56"/>
      <c r="AJ1126" s="109"/>
      <c r="AK1126" s="56"/>
      <c r="AL1126" s="56"/>
      <c r="AM1126" s="56"/>
      <c r="AN1126" s="56"/>
      <c r="AO1126" s="56"/>
      <c r="AP1126" s="56"/>
      <c r="AQ1126" s="56"/>
      <c r="AR1126" s="109"/>
      <c r="AS1126" s="56"/>
      <c r="AT1126" s="56"/>
      <c r="AU1126" s="4"/>
      <c r="AV1126" s="25">
        <f>280+(6*60)</f>
        <v>640</v>
      </c>
      <c r="AW1126" s="25">
        <f>1.5*3600</f>
        <v>5400</v>
      </c>
      <c r="AX1126" s="25">
        <f>24*3600*2</f>
        <v>172800</v>
      </c>
      <c r="AY1126" s="25">
        <f>24*3600*7</f>
        <v>604800</v>
      </c>
      <c r="AZ1126" s="52"/>
      <c r="BA1126" s="52"/>
      <c r="BB1126" s="52"/>
      <c r="BC1126" s="52"/>
      <c r="BD1126" s="52"/>
      <c r="BE1126" s="52"/>
      <c r="BF1126" s="52"/>
      <c r="BG1126" s="52"/>
      <c r="BH1126" s="52"/>
      <c r="BI1126" s="52"/>
      <c r="BJ1126" s="52"/>
      <c r="BK1126" s="52"/>
      <c r="BL1126" s="52"/>
      <c r="BM1126" s="52"/>
      <c r="BN1126" s="52"/>
      <c r="BO1126" s="52"/>
      <c r="BP1126" s="52"/>
      <c r="BQ1126" s="52"/>
      <c r="BR1126" s="52"/>
      <c r="BS1126" s="52"/>
      <c r="BT1126" s="52"/>
      <c r="BU1126" s="52"/>
      <c r="BV1126" s="52"/>
      <c r="BW1126" s="52"/>
      <c r="BX1126" s="52"/>
      <c r="BY1126" s="52"/>
      <c r="BZ1126" s="52"/>
      <c r="CA1126" s="52"/>
      <c r="CB1126" s="52"/>
      <c r="CC1126" s="52"/>
      <c r="CD1126" s="52"/>
      <c r="CE1126" s="52"/>
      <c r="CF1126" s="52"/>
      <c r="CG1126" s="52"/>
      <c r="CH1126" s="52"/>
      <c r="CI1126" s="52"/>
      <c r="CJ1126" s="52"/>
      <c r="CK1126" s="52"/>
      <c r="CL1126" s="52"/>
      <c r="CM1126" s="52"/>
      <c r="CN1126" s="52"/>
      <c r="CO1126" s="52"/>
      <c r="CP1126" s="52"/>
      <c r="CQ1126" s="52"/>
      <c r="CR1126" s="1"/>
      <c r="CS1126" s="1"/>
      <c r="CT1126" s="1"/>
      <c r="CU1126" s="1"/>
    </row>
    <row r="1127" spans="1:99" s="13" customFormat="1" ht="12" customHeight="1" x14ac:dyDescent="0.2">
      <c r="A1127" s="65">
        <v>43509</v>
      </c>
      <c r="B1127" s="1" t="s">
        <v>124</v>
      </c>
      <c r="C1127" s="1" t="s">
        <v>45</v>
      </c>
      <c r="D1127" s="60">
        <v>1992</v>
      </c>
      <c r="E1127" s="76">
        <v>3</v>
      </c>
      <c r="F1127" s="60">
        <v>144</v>
      </c>
      <c r="G1127" s="60">
        <v>48</v>
      </c>
      <c r="H1127" s="60" t="s">
        <v>227</v>
      </c>
      <c r="I1127" s="60" t="s">
        <v>523</v>
      </c>
      <c r="J1127" s="60" t="s">
        <v>16</v>
      </c>
      <c r="K1127" s="60">
        <f>IF(J1127="syllables",1,IF(J1127="trigrams",2,IF(J1127="strings",3,IF(J1127="visual array",4,IF(J1127="characters",5,IF(J1127="letters",6,IF(J1127="free forms",7,IF(J1127="odors",8,IF(J1127="words",9,IF(J1127="pictures",10,IF(J1127="object pictures",11,IF(J1127="faces",12,IF(J1127="names",13,IF(J1127="idioms",14,IF(J1127="grades",15,IF(J1127="syllable-digit pairs",16,IF(J1127="trigram-word pairs",17,IF(J1127="word-digit pairs",18,IF(J1127="English-Swahili pairs",19,IF(J1127="spatial position",20,IF(J1127="word pairs",21,IF(J1127="word triads",22,IF(J1127="generated words",23,IF(J1127="word definition pairs",24,IF(J1127="math problems",25,IF(J1127="famous faces",26,IF(J1127="famous names",27,IF(J1127="famous voices",28,IF(J1127="television programs",29,IF(J1127="race horses",30,IF(J1127="new vocabulary",31,IF(J1127="sentences",32,IF(J1127="concepts",33,IF(J1127="ad slides",34,IF(J1127="scenes",35,IF(J1127="famous scenes",36,IF(J1127="poems",37,IF(J1127="walk",38,IF(J1127="faces and events",39,IF(J1127="events and names",40,IF(J1127="flashbulb",41,IF(J1127="stories",42,IF(J1127="course material",43,IF(J1127="autobiographical",44,IF(J1127="novels",45,IF(J1127="public events",46,"99"))))))))))))))))))))))))))))))))))))))))))))))</f>
        <v>9</v>
      </c>
      <c r="L1127" s="60">
        <f>IF(J1127="syllables",1,IF(J1127="trigrams",1,IF(J1127="strings",1,IF(J1127="visual array",1,IF(J1127="characters",1,IF(J1127="letters",1,IF(J1127="free forms",1,IF(J1127="odors",2,IF(J1127="words",2,IF(J1127="pictures",2,IF(J1127="object pictures",2,IF(J1127="faces",2,IF(J1127="names",2,IF(J1127="idioms","2",IF(J1127="grades",2,IF(J1127="syllable-digit pairs",3,IF(J1127="trigram-word pairs",3,IF(J1127="word-digit pairs",3,IF(J1127="English-Swahili pairs",3,IF(J1127="spatial position",3,IF(J1127="word pairs",4,IF(J1127="word triads",4,IF(J1127="generated words",4,IF(J1127="word definition pairs",4,IF(J1127="math problems",4,IF(J1127="famous faces",4,IF(J1127="famous names",4,IF(J1127="famous voices",4,IF(J1127="television programs",4,IF(J1127="race horses",4,IF(J1127="new vocabulary",4,IF(J1127="sentences",5,IF(J1127="concepts",5,IF(J1127="ad slides",5,IF(J1127="scenes",5,IF(J1127="famous scenes",5,IF(J1127="poems",6,IF(J1127="walk",6,IF(J1127="faces and events",6,IF(J1127="events and names",6,IF(J1127="flashbulb",7,IF(J1127="stories",7,IF(J1127="course material",7,IF(J1127="autobiographical",7,IF(J1127="novels",7,IF(J1127="public events",7,"99"))))))))))))))))))))))))))))))))))))))))))))))</f>
        <v>2</v>
      </c>
      <c r="M1127" s="60">
        <v>1</v>
      </c>
      <c r="N1127" s="60">
        <v>2</v>
      </c>
      <c r="O1127" s="60">
        <v>1</v>
      </c>
      <c r="P1127" s="60" t="s">
        <v>899</v>
      </c>
      <c r="Q1127" s="60" t="s">
        <v>126</v>
      </c>
      <c r="R1127" s="60">
        <f>IF(Q1127="Free Recall",1,IF(Q1127="Cued Recall",2,IF(Q1127="Recognition",3,IF(Q1127="Multiple Choice",4,IF(Q1127="Savings",5,IF(Q1127="Stem Completion",6,IF(Q1127="Fragment Completion",7,IF(Q1127="anagram solution",8,IF(Q1127="Matching",9,IF(Q1127="Problem Solving",10,"99"))))))))))</f>
        <v>6</v>
      </c>
      <c r="S1127" s="60" t="s">
        <v>49</v>
      </c>
      <c r="T1127" s="60" t="s">
        <v>261</v>
      </c>
      <c r="U1127" s="60">
        <f>IF(T1127="within",1,0)</f>
        <v>0</v>
      </c>
      <c r="V1127" s="60">
        <v>17</v>
      </c>
      <c r="W1127" s="60">
        <f>F1127*V1127</f>
        <v>2448</v>
      </c>
      <c r="X1127" s="60">
        <v>4</v>
      </c>
      <c r="Y1127" s="76">
        <f>AV1126</f>
        <v>640</v>
      </c>
      <c r="Z1127" s="60" t="s">
        <v>97</v>
      </c>
      <c r="AA1127" s="60">
        <v>604800</v>
      </c>
      <c r="AB1127" s="60" t="str">
        <f>IF(AA1127&lt;60,"1",IF(AA1127&lt;=43200,"2",IF(AA1127&lt;=777600,"3","4")))</f>
        <v>3</v>
      </c>
      <c r="AC1127" s="56">
        <f>AVERAGE(AV1126:DA1126)</f>
        <v>195910</v>
      </c>
      <c r="AD1127" s="60" t="str">
        <f>IF(AC1127&lt;60,"1",IF(AC1127&lt;=43200,"2",IF(AC1127&lt;=777600,"3","4")))</f>
        <v>3</v>
      </c>
      <c r="AE1127" s="76">
        <f>AA1127-Y1127</f>
        <v>604160</v>
      </c>
      <c r="AF1127" s="80">
        <f>AV1127</f>
        <v>0.2</v>
      </c>
      <c r="AG1127" s="56">
        <f>((AW1127-AV1127)+(AX1127-AW1127)+(AY1127-AX1127))/3</f>
        <v>-2.6666666666666672E-2</v>
      </c>
      <c r="AH1127" s="4"/>
      <c r="AI1127" s="56">
        <f>RSQ(AV1127:AY1127,AV1126:AY1126)</f>
        <v>0.95887170712414505</v>
      </c>
      <c r="AJ1127" s="109">
        <f>SLOPE(AV1127:AY1127,AV1126:AY1126)</f>
        <v>-1.4891294204794376E-7</v>
      </c>
      <c r="AK1127" s="56">
        <f>INTERCEPT(AV1127:AY1127,AV1126:AY1126)</f>
        <v>0.20917353447661269</v>
      </c>
      <c r="AL1127" s="56">
        <f>INDEX(LINEST(LN(AV1127:AY1127),LN(AV1126:AY1126),TRUE,TRUE),3,1)</f>
        <v>0.62417647921066444</v>
      </c>
      <c r="AM1127" s="56">
        <f>INDEX(LINEST(LN(AV1127:AY1127),LN(AV1126:AY1126)),1)</f>
        <v>-6.6988517765718E-2</v>
      </c>
      <c r="AN1127" s="56">
        <f>EXP(INDEX(LINEST(LN(AV1127:AY1127),LN(AV1126:AY1126)),1,2))</f>
        <v>0.34555578776706009</v>
      </c>
      <c r="AO1127" s="82">
        <f>INDEX(LINEST((AV1127:AY1127),LN(AV1126:AY1126),TRUE,TRUE),3,1)</f>
        <v>0.63873428443155833</v>
      </c>
      <c r="AP1127" s="82">
        <f>INDEX(LINEST((AV1127:AY1127),LN(AV1126:AY1126)),1)</f>
        <v>-1.0980083123043395E-2</v>
      </c>
      <c r="AQ1127" s="83">
        <f>INDEX(LINEST(LN(AV1127:AY1127),SQRT(AV1126:AY1126),TRUE,TRUE),3,1)</f>
        <v>0.90439138127600349</v>
      </c>
      <c r="AR1127" s="116">
        <f>INDEX(LINEST(LN(AV1127:AY1127),SQRT((AV1126:AY1126))),1)</f>
        <v>-7.2577749922174493E-4</v>
      </c>
      <c r="AS1127" s="84">
        <f>INDEX(LINEST(1/(AV1127:AY1127),1/(SQRT(AV1126:AY1126)),TRUE,TRUE),3,1)</f>
        <v>0.29617981849164382</v>
      </c>
      <c r="AT1127" s="84">
        <f>INDEX(LINEST(1/(AV1127:AY1127),1/SQRT(AV1126:AY1126)),1)</f>
        <v>-52.075048422321075</v>
      </c>
      <c r="AU1127" s="3"/>
      <c r="AV1127" s="53">
        <v>0.2</v>
      </c>
      <c r="AW1127" s="53">
        <v>0.22</v>
      </c>
      <c r="AX1127" s="53">
        <v>0.18</v>
      </c>
      <c r="AY1127" s="53">
        <v>0.12</v>
      </c>
      <c r="AZ1127" s="52"/>
      <c r="BA1127" s="52"/>
      <c r="BB1127" s="52"/>
      <c r="BC1127" s="52"/>
      <c r="BD1127" s="52"/>
      <c r="BE1127" s="52"/>
      <c r="BF1127" s="52"/>
      <c r="BG1127" s="52"/>
      <c r="BH1127" s="52"/>
      <c r="BI1127" s="52"/>
      <c r="BJ1127" s="52"/>
      <c r="BK1127" s="52"/>
      <c r="BL1127" s="52"/>
      <c r="BM1127" s="52"/>
      <c r="BN1127" s="52"/>
      <c r="BO1127" s="52"/>
      <c r="BP1127" s="52"/>
      <c r="BQ1127" s="52"/>
      <c r="BR1127" s="52"/>
      <c r="BS1127" s="52"/>
      <c r="BT1127" s="52"/>
      <c r="BU1127" s="52"/>
      <c r="BV1127" s="52"/>
      <c r="BW1127" s="52"/>
      <c r="BX1127" s="52"/>
      <c r="BY1127" s="52"/>
      <c r="BZ1127" s="52"/>
      <c r="CA1127" s="52"/>
      <c r="CB1127" s="52"/>
      <c r="CC1127" s="52"/>
      <c r="CD1127" s="52"/>
      <c r="CE1127" s="52"/>
      <c r="CF1127" s="52"/>
      <c r="CG1127" s="52"/>
      <c r="CH1127" s="52"/>
      <c r="CI1127" s="52"/>
      <c r="CJ1127" s="52"/>
      <c r="CK1127" s="52"/>
      <c r="CL1127" s="52"/>
      <c r="CM1127" s="52"/>
      <c r="CN1127" s="52"/>
      <c r="CO1127" s="52"/>
      <c r="CP1127" s="52"/>
      <c r="CQ1127" s="52"/>
      <c r="CR1127" s="1"/>
      <c r="CS1127" s="1"/>
      <c r="CT1127" s="1"/>
      <c r="CU1127" s="1"/>
    </row>
    <row r="1128" spans="1:99" s="13" customFormat="1" ht="12" customHeight="1" x14ac:dyDescent="0.2">
      <c r="A1128" s="68">
        <v>43648</v>
      </c>
      <c r="B1128" s="70"/>
      <c r="C1128" s="70"/>
      <c r="D1128" s="69"/>
      <c r="E1128" s="87"/>
      <c r="F1128" s="69"/>
      <c r="G1128" s="69"/>
      <c r="H1128" s="69"/>
      <c r="I1128" s="69"/>
      <c r="J1128" s="69"/>
      <c r="K1128" s="107"/>
      <c r="L1128" s="107"/>
      <c r="M1128" s="69"/>
      <c r="N1128" s="69"/>
      <c r="O1128" s="69"/>
      <c r="P1128" s="69"/>
      <c r="Q1128" s="69"/>
      <c r="R1128" s="69"/>
      <c r="S1128" s="69"/>
      <c r="T1128" s="69"/>
      <c r="U1128" s="69"/>
      <c r="V1128" s="69"/>
      <c r="W1128" s="69"/>
      <c r="X1128" s="69"/>
      <c r="Y1128" s="87"/>
      <c r="Z1128" s="69"/>
      <c r="AA1128" s="69"/>
      <c r="AB1128" s="69"/>
      <c r="AC1128" s="69"/>
      <c r="AD1128" s="69"/>
      <c r="AE1128" s="69"/>
      <c r="AF1128" s="88"/>
      <c r="AG1128" s="72"/>
      <c r="AH1128" s="4"/>
      <c r="AI1128" s="72"/>
      <c r="AJ1128" s="110"/>
      <c r="AK1128" s="72"/>
      <c r="AL1128" s="72"/>
      <c r="AM1128" s="72"/>
      <c r="AN1128" s="72"/>
      <c r="AO1128" s="72"/>
      <c r="AP1128" s="72"/>
      <c r="AQ1128" s="72"/>
      <c r="AR1128" s="110"/>
      <c r="AS1128" s="72"/>
      <c r="AT1128" s="72"/>
      <c r="AU1128" s="4"/>
      <c r="AV1128" s="71">
        <f>5*60</f>
        <v>300</v>
      </c>
      <c r="AW1128" s="71">
        <f>1*7*24*3600</f>
        <v>604800</v>
      </c>
      <c r="AX1128" s="71">
        <f>3*7*24*3600</f>
        <v>1814400</v>
      </c>
      <c r="AY1128" s="71">
        <f>9*7*24*3600</f>
        <v>5443200</v>
      </c>
      <c r="AZ1128" s="46" t="s">
        <v>524</v>
      </c>
      <c r="BA1128" s="42"/>
      <c r="BB1128" s="42"/>
      <c r="BC1128" s="42"/>
      <c r="BD1128" s="42"/>
      <c r="BE1128" s="42"/>
      <c r="BF1128" s="42"/>
      <c r="BG1128" s="42"/>
      <c r="BH1128" s="2"/>
      <c r="BI1128" s="2"/>
      <c r="BJ1128" s="2"/>
      <c r="BK1128" s="2"/>
      <c r="BL1128" s="2"/>
      <c r="BM1128" s="2"/>
      <c r="BN1128" s="2"/>
      <c r="BO1128" s="2"/>
      <c r="BP1128" s="2"/>
      <c r="BQ1128" s="2"/>
      <c r="BR1128" s="2"/>
      <c r="BS1128" s="2"/>
      <c r="BT1128" s="2"/>
      <c r="BU1128" s="2"/>
      <c r="BV1128" s="2"/>
      <c r="BW1128" s="2"/>
      <c r="BX1128" s="2"/>
      <c r="BY1128" s="2"/>
      <c r="BZ1128" s="2"/>
      <c r="CA1128" s="2"/>
      <c r="CB1128" s="2"/>
      <c r="CC1128" s="2"/>
      <c r="CD1128" s="2"/>
      <c r="CE1128" s="2"/>
      <c r="CF1128" s="2"/>
      <c r="CG1128" s="2"/>
      <c r="CH1128" s="2"/>
      <c r="CI1128" s="2"/>
      <c r="CJ1128" s="2"/>
      <c r="CK1128" s="2"/>
      <c r="CL1128" s="2"/>
      <c r="CM1128" s="2"/>
      <c r="CN1128" s="2"/>
      <c r="CO1128" s="2"/>
      <c r="CP1128" s="2"/>
      <c r="CQ1128" s="2"/>
      <c r="CR1128" s="1"/>
      <c r="CS1128" s="1"/>
      <c r="CT1128" s="1"/>
      <c r="CU1128" s="1"/>
    </row>
    <row r="1129" spans="1:99" s="13" customFormat="1" ht="12" customHeight="1" x14ac:dyDescent="0.2">
      <c r="A1129" s="68">
        <v>43648</v>
      </c>
      <c r="B1129" s="70" t="s">
        <v>324</v>
      </c>
      <c r="C1129" s="70" t="s">
        <v>307</v>
      </c>
      <c r="D1129" s="69">
        <v>2005</v>
      </c>
      <c r="E1129" s="87">
        <v>1</v>
      </c>
      <c r="F1129" s="69">
        <v>63</v>
      </c>
      <c r="G1129" s="69">
        <v>21</v>
      </c>
      <c r="H1129" s="69" t="s">
        <v>792</v>
      </c>
      <c r="I1129" s="69" t="s">
        <v>788</v>
      </c>
      <c r="J1129" s="69" t="s">
        <v>320</v>
      </c>
      <c r="K1129" s="69">
        <f>IF(J1129="syllables",1,IF(J1129="trigrams",2,IF(J1129="strings",3,IF(J1129="visual array",4,IF(J1129="characters",5,IF(J1129="letters",6,IF(J1129="free forms",7,IF(J1129="odors",8,IF(J1129="words",9,IF(J1129="pictures",10,IF(J1129="object pictures",11,IF(J1129="faces",12,IF(J1129="names",13,IF(J1129="idioms",14,IF(J1129="grades",15,IF(J1129="syllable-digit pairs",16,IF(J1129="trigram-word pairs",17,IF(J1129="word-digit pairs",18,IF(J1129="English-Swahili pairs",19,IF(J1129="spatial position",20,IF(J1129="word pairs",21,IF(J1129="word triads",22,IF(J1129="generated words",23,IF(J1129="word definition pairs",24,IF(J1129="math problems",25,IF(J1129="famous faces",26,IF(J1129="famous names",27,IF(J1129="famous voices",28,IF(J1129="television programs",29,IF(J1129="race horses",30,IF(J1129="new vocabulary",31,IF(J1129="sentences",32,IF(J1129="concepts",33,IF(J1129="ad slides",34,IF(J1129="scenes",35,IF(J1129="famous scenes",36,IF(J1129="poems",37,IF(J1129="walk",38,IF(J1129="faces and events",39,IF(J1129="events and names",40,IF(J1129="flashbulb",41,IF(J1129="stories",42,IF(J1129="course material",43,IF(J1129="autobiographical",44,IF(J1129="novels",45,IF(J1129="public events",46,"99"))))))))))))))))))))))))))))))))))))))))))))))</f>
        <v>21</v>
      </c>
      <c r="L1129" s="69">
        <f>IF(J1129="syllables",1,IF(J1129="trigrams",1,IF(J1129="strings",1,IF(J1129="visual array",1,IF(J1129="characters",1,IF(J1129="letters",1,IF(J1129="free forms",1,IF(J1129="odors",2,IF(J1129="words",2,IF(J1129="pictures",2,IF(J1129="object pictures",2,IF(J1129="faces",2,IF(J1129="names",2,IF(J1129="idioms","2",IF(J1129="grades",2,IF(J1129="syllable-digit pairs",3,IF(J1129="trigram-word pairs",3,IF(J1129="word-digit pairs",3,IF(J1129="English-Swahili pairs",3,IF(J1129="spatial position",3,IF(J1129="word pairs",4,IF(J1129="word triads",4,IF(J1129="generated words",4,IF(J1129="word definition pairs",4,IF(J1129="math problems",4,IF(J1129="famous faces",4,IF(J1129="famous names",4,IF(J1129="famous voices",4,IF(J1129="television programs",4,IF(J1129="race horses",4,IF(J1129="new vocabulary",4,IF(J1129="sentences",5,IF(J1129="concepts",5,IF(J1129="ad slides",5,IF(J1129="scenes",5,IF(J1129="famous scenes",5,IF(J1129="poems",6,IF(J1129="walk",6,IF(J1129="faces and events",6,IF(J1129="events and names",6,IF(J1129="flashbulb",7,IF(J1129="stories",7,IF(J1129="course material",7,IF(J1129="autobiographical",7,IF(J1129="novels",7,IF(J1129="public events",7,"99"))))))))))))))))))))))))))))))))))))))))))))))</f>
        <v>4</v>
      </c>
      <c r="M1129" s="69">
        <v>1</v>
      </c>
      <c r="N1129" s="69">
        <v>1</v>
      </c>
      <c r="O1129" s="69">
        <v>0</v>
      </c>
      <c r="P1129" s="69"/>
      <c r="Q1129" s="69" t="s">
        <v>65</v>
      </c>
      <c r="R1129" s="69">
        <f>IF(Q1129="Free Recall",1,IF(Q1129="Cued Recall",2,IF(Q1129="Recognition",3,IF(Q1129="Multiple Choice",4,IF(Q1129="Savings",5,IF(Q1129="Stem Completion",6,IF(Q1129="Fragment Completion",7,IF(Q1129="anagram solution",8,IF(Q1129="Matching",9,IF(Q1129="Problem Solving",10,"99"))))))))))</f>
        <v>2</v>
      </c>
      <c r="S1129" s="69" t="s">
        <v>310</v>
      </c>
      <c r="T1129" s="69" t="s">
        <v>261</v>
      </c>
      <c r="U1129" s="69">
        <f>IF(T1129="within",1,0)</f>
        <v>0</v>
      </c>
      <c r="V1129" s="69">
        <v>10</v>
      </c>
      <c r="W1129" s="69">
        <f>F1129*V1129</f>
        <v>630</v>
      </c>
      <c r="X1129" s="69">
        <v>4</v>
      </c>
      <c r="Y1129" s="87">
        <f>AV1128</f>
        <v>300</v>
      </c>
      <c r="Z1129" s="69" t="s">
        <v>311</v>
      </c>
      <c r="AA1129" s="69">
        <f>9*7*24*3600</f>
        <v>5443200</v>
      </c>
      <c r="AB1129" s="69" t="str">
        <f>IF(AA1129&lt;60,"1",IF(AA1129&lt;=43200,"2",IF(AA1129&lt;=777600,"3","4")))</f>
        <v>4</v>
      </c>
      <c r="AC1129" s="72">
        <f>AVERAGE(AV1128:DA1128)</f>
        <v>1965675</v>
      </c>
      <c r="AD1129" s="69" t="str">
        <f>IF(AC1129&lt;60,"1",IF(AC1129&lt;=43200,"2",IF(AC1129&lt;=777600,"3","4")))</f>
        <v>4</v>
      </c>
      <c r="AE1129" s="87">
        <f>AA1129-Y1129</f>
        <v>5442900</v>
      </c>
      <c r="AF1129" s="88">
        <f>AV1129</f>
        <v>0.97</v>
      </c>
      <c r="AG1129" s="72">
        <f>((AW1129-AV1129)+(AX1129-AW1129)+(AY1129-AX1129))/3</f>
        <v>-0.24333333333333332</v>
      </c>
      <c r="AH1129" s="4"/>
      <c r="AI1129" s="72">
        <f>RSQ(AV1129:AY1129,AV1128:AY1128)</f>
        <v>0.66164586405714199</v>
      </c>
      <c r="AJ1129" s="110">
        <f>SLOPE(AV1129:AY1129,AV1128:AY1128)</f>
        <v>-1.1599572125142979E-7</v>
      </c>
      <c r="AK1129" s="72">
        <f>INTERCEPT(AV1129:AY1129,AV1128:AY1128)</f>
        <v>0.77800988937090432</v>
      </c>
      <c r="AL1129" s="72">
        <f>INDEX(LINEST(LN(AV1129:AY1129),LN(AV1128:AY1128),TRUE,TRUE),3,1)</f>
        <v>0.70368547917842761</v>
      </c>
      <c r="AM1129" s="72">
        <f>INDEX(LINEST(LN(AV1129:AY1129),LN(AV1128:AY1128)),1)</f>
        <v>-0.12744558128548308</v>
      </c>
      <c r="AN1129" s="72">
        <f>EXP(INDEX(LINEST(LN(AV1129:AY1129),LN(AV1128:AY1128)),1,2))</f>
        <v>2.2170740337566186</v>
      </c>
      <c r="AO1129" s="89">
        <f>INDEX(LINEST((AV1129:AY1129),LN(AV1128:AY1128),TRUE,TRUE),3,1)</f>
        <v>0.80608359929243756</v>
      </c>
      <c r="AP1129" s="89">
        <f>INDEX(LINEST((AV1129:AY1129),LN(AV1128:AY1128)),1)</f>
        <v>-7.0218762436895621E-2</v>
      </c>
      <c r="AQ1129" s="90">
        <f>INDEX(LINEST(LN(AV1129:AY1129),SQRT(AV1128:AY1128),TRUE,TRUE),3,1)</f>
        <v>0.88551622328065693</v>
      </c>
      <c r="AR1129" s="117">
        <f>INDEX(LINEST(LN(AV1129:AY1129),SQRT((AV1128:AY1128))),1)</f>
        <v>-6.5132155782914893E-4</v>
      </c>
      <c r="AS1129" s="91">
        <f>INDEX(LINEST(1/(AV1129:AY1129),1/(SQRT(AV1128:AY1128)),TRUE,TRUE),3,1)</f>
        <v>0.43489849692278648</v>
      </c>
      <c r="AT1129" s="91">
        <f>INDEX(LINEST(1/(AV1129:AY1129),1/SQRT(AV1128:AY1128)),1)</f>
        <v>-35.34898937579306</v>
      </c>
      <c r="AU1129" s="4"/>
      <c r="AV1129" s="73">
        <v>0.97</v>
      </c>
      <c r="AW1129" s="73">
        <v>0.7</v>
      </c>
      <c r="AX1129" s="73">
        <v>0.28999999999999998</v>
      </c>
      <c r="AY1129" s="73">
        <v>0.24</v>
      </c>
      <c r="AZ1129" s="46"/>
      <c r="BA1129" s="42"/>
      <c r="BB1129" s="42"/>
      <c r="BC1129" s="42"/>
      <c r="BD1129" s="42"/>
      <c r="BE1129" s="42"/>
      <c r="BF1129" s="42"/>
      <c r="BG1129" s="42"/>
      <c r="BH1129" s="2"/>
      <c r="BI1129" s="2"/>
      <c r="BJ1129" s="2"/>
      <c r="BK1129" s="2"/>
      <c r="BL1129" s="2"/>
      <c r="BM1129" s="2"/>
      <c r="BN1129" s="2"/>
      <c r="BO1129" s="2"/>
      <c r="BP1129" s="2"/>
      <c r="BQ1129" s="2"/>
      <c r="BR1129" s="2"/>
      <c r="BS1129" s="2"/>
      <c r="BT1129" s="2"/>
      <c r="BU1129" s="2"/>
      <c r="BV1129" s="2"/>
      <c r="BW1129" s="2"/>
      <c r="BX1129" s="2"/>
      <c r="BY1129" s="2"/>
      <c r="BZ1129" s="2"/>
      <c r="CA1129" s="2"/>
      <c r="CB1129" s="2"/>
      <c r="CC1129" s="2"/>
      <c r="CD1129" s="2"/>
      <c r="CE1129" s="2"/>
      <c r="CF1129" s="2"/>
      <c r="CG1129" s="2"/>
      <c r="CH1129" s="2"/>
      <c r="CI1129" s="2"/>
      <c r="CJ1129" s="2"/>
      <c r="CK1129" s="2"/>
      <c r="CL1129" s="2"/>
      <c r="CM1129" s="2"/>
      <c r="CN1129" s="2"/>
      <c r="CO1129" s="2"/>
      <c r="CP1129" s="2"/>
      <c r="CQ1129" s="2"/>
      <c r="CR1129" s="1"/>
      <c r="CS1129" s="1"/>
      <c r="CT1129" s="1"/>
      <c r="CU1129" s="1"/>
    </row>
    <row r="1130" spans="1:99" s="13" customFormat="1" ht="12" customHeight="1" x14ac:dyDescent="0.2">
      <c r="A1130" s="68">
        <v>43648</v>
      </c>
      <c r="B1130" s="70"/>
      <c r="C1130" s="70"/>
      <c r="D1130" s="69"/>
      <c r="E1130" s="87"/>
      <c r="F1130" s="69"/>
      <c r="G1130" s="69"/>
      <c r="H1130" s="69"/>
      <c r="I1130" s="69"/>
      <c r="J1130" s="69"/>
      <c r="K1130" s="107"/>
      <c r="L1130" s="107"/>
      <c r="M1130" s="69"/>
      <c r="N1130" s="69"/>
      <c r="O1130" s="69"/>
      <c r="P1130" s="69"/>
      <c r="Q1130" s="69"/>
      <c r="R1130" s="69"/>
      <c r="S1130" s="69"/>
      <c r="T1130" s="69"/>
      <c r="U1130" s="69"/>
      <c r="V1130" s="69"/>
      <c r="W1130" s="69"/>
      <c r="X1130" s="69"/>
      <c r="Y1130" s="87"/>
      <c r="Z1130" s="69"/>
      <c r="AA1130" s="69"/>
      <c r="AB1130" s="69"/>
      <c r="AC1130" s="69"/>
      <c r="AD1130" s="69"/>
      <c r="AE1130" s="69"/>
      <c r="AF1130" s="88"/>
      <c r="AG1130" s="72"/>
      <c r="AH1130" s="4"/>
      <c r="AI1130" s="72"/>
      <c r="AJ1130" s="110"/>
      <c r="AK1130" s="72"/>
      <c r="AL1130" s="72"/>
      <c r="AM1130" s="72"/>
      <c r="AN1130" s="72"/>
      <c r="AO1130" s="72"/>
      <c r="AP1130" s="72"/>
      <c r="AQ1130" s="72"/>
      <c r="AR1130" s="110"/>
      <c r="AS1130" s="72"/>
      <c r="AT1130" s="72"/>
      <c r="AU1130" s="4"/>
      <c r="AV1130" s="71">
        <f>5*60</f>
        <v>300</v>
      </c>
      <c r="AW1130" s="71">
        <f>1*7*24*3600</f>
        <v>604800</v>
      </c>
      <c r="AX1130" s="71">
        <f>3*7*24*3600</f>
        <v>1814400</v>
      </c>
      <c r="AY1130" s="71">
        <f>9*7*24*3600</f>
        <v>5443200</v>
      </c>
      <c r="AZ1130" s="46"/>
      <c r="BA1130" s="42"/>
      <c r="BB1130" s="42"/>
      <c r="BC1130" s="2"/>
      <c r="BD1130" s="2"/>
      <c r="BE1130" s="2"/>
      <c r="BF1130" s="2"/>
      <c r="BG1130" s="2"/>
      <c r="BH1130" s="2"/>
      <c r="BI1130" s="2"/>
      <c r="BJ1130" s="2"/>
      <c r="BK1130" s="2"/>
      <c r="BL1130" s="2"/>
      <c r="BM1130" s="2"/>
      <c r="BN1130" s="2"/>
      <c r="BO1130" s="2"/>
      <c r="BP1130" s="2"/>
      <c r="BQ1130" s="2"/>
      <c r="BR1130" s="2"/>
      <c r="BS1130" s="2"/>
      <c r="BT1130" s="2"/>
      <c r="BU1130" s="2"/>
      <c r="BV1130" s="2"/>
      <c r="BW1130" s="2"/>
      <c r="BX1130" s="2"/>
      <c r="BY1130" s="2"/>
      <c r="BZ1130" s="2"/>
      <c r="CA1130" s="2"/>
      <c r="CB1130" s="2"/>
      <c r="CC1130" s="2"/>
      <c r="CD1130" s="2"/>
      <c r="CE1130" s="2"/>
      <c r="CF1130" s="2"/>
      <c r="CG1130" s="2"/>
      <c r="CH1130" s="2"/>
      <c r="CI1130" s="2"/>
      <c r="CJ1130" s="2"/>
      <c r="CK1130" s="2"/>
      <c r="CL1130" s="2"/>
      <c r="CM1130" s="2"/>
      <c r="CN1130" s="2"/>
      <c r="CO1130" s="2"/>
      <c r="CP1130" s="2"/>
      <c r="CQ1130" s="2"/>
      <c r="CR1130" s="1"/>
      <c r="CS1130" s="1"/>
      <c r="CT1130" s="1"/>
      <c r="CU1130" s="1"/>
    </row>
    <row r="1131" spans="1:99" s="13" customFormat="1" ht="12" customHeight="1" x14ac:dyDescent="0.2">
      <c r="A1131" s="68">
        <v>43648</v>
      </c>
      <c r="B1131" s="70" t="s">
        <v>324</v>
      </c>
      <c r="C1131" s="70" t="s">
        <v>307</v>
      </c>
      <c r="D1131" s="69">
        <v>2005</v>
      </c>
      <c r="E1131" s="87">
        <v>1</v>
      </c>
      <c r="F1131" s="69">
        <v>67</v>
      </c>
      <c r="G1131" s="69">
        <v>22.3</v>
      </c>
      <c r="H1131" s="69" t="s">
        <v>792</v>
      </c>
      <c r="I1131" s="69" t="s">
        <v>789</v>
      </c>
      <c r="J1131" s="69" t="s">
        <v>320</v>
      </c>
      <c r="K1131" s="69">
        <f>IF(J1131="syllables",1,IF(J1131="trigrams",2,IF(J1131="strings",3,IF(J1131="visual array",4,IF(J1131="characters",5,IF(J1131="letters",6,IF(J1131="free forms",7,IF(J1131="odors",8,IF(J1131="words",9,IF(J1131="pictures",10,IF(J1131="object pictures",11,IF(J1131="faces",12,IF(J1131="names",13,IF(J1131="idioms",14,IF(J1131="grades",15,IF(J1131="syllable-digit pairs",16,IF(J1131="trigram-word pairs",17,IF(J1131="word-digit pairs",18,IF(J1131="English-Swahili pairs",19,IF(J1131="spatial position",20,IF(J1131="word pairs",21,IF(J1131="word triads",22,IF(J1131="generated words",23,IF(J1131="word definition pairs",24,IF(J1131="math problems",25,IF(J1131="famous faces",26,IF(J1131="famous names",27,IF(J1131="famous voices",28,IF(J1131="television programs",29,IF(J1131="race horses",30,IF(J1131="new vocabulary",31,IF(J1131="sentences",32,IF(J1131="concepts",33,IF(J1131="ad slides",34,IF(J1131="scenes",35,IF(J1131="famous scenes",36,IF(J1131="poems",37,IF(J1131="walk",38,IF(J1131="faces and events",39,IF(J1131="events and names",40,IF(J1131="flashbulb",41,IF(J1131="stories",42,IF(J1131="course material",43,IF(J1131="autobiographical",44,IF(J1131="novels",45,IF(J1131="public events",46,"99"))))))))))))))))))))))))))))))))))))))))))))))</f>
        <v>21</v>
      </c>
      <c r="L1131" s="69">
        <f>IF(J1131="syllables",1,IF(J1131="trigrams",1,IF(J1131="strings",1,IF(J1131="visual array",1,IF(J1131="characters",1,IF(J1131="letters",1,IF(J1131="free forms",1,IF(J1131="odors",2,IF(J1131="words",2,IF(J1131="pictures",2,IF(J1131="object pictures",2,IF(J1131="faces",2,IF(J1131="names",2,IF(J1131="idioms","2",IF(J1131="grades",2,IF(J1131="syllable-digit pairs",3,IF(J1131="trigram-word pairs",3,IF(J1131="word-digit pairs",3,IF(J1131="English-Swahili pairs",3,IF(J1131="spatial position",3,IF(J1131="word pairs",4,IF(J1131="word triads",4,IF(J1131="generated words",4,IF(J1131="word definition pairs",4,IF(J1131="math problems",4,IF(J1131="famous faces",4,IF(J1131="famous names",4,IF(J1131="famous voices",4,IF(J1131="television programs",4,IF(J1131="race horses",4,IF(J1131="new vocabulary",4,IF(J1131="sentences",5,IF(J1131="concepts",5,IF(J1131="ad slides",5,IF(J1131="scenes",5,IF(J1131="famous scenes",5,IF(J1131="poems",6,IF(J1131="walk",6,IF(J1131="faces and events",6,IF(J1131="events and names",6,IF(J1131="flashbulb",7,IF(J1131="stories",7,IF(J1131="course material",7,IF(J1131="autobiographical",7,IF(J1131="novels",7,IF(J1131="public events",7,"99"))))))))))))))))))))))))))))))))))))))))))))))</f>
        <v>4</v>
      </c>
      <c r="M1131" s="69">
        <v>1</v>
      </c>
      <c r="N1131" s="69">
        <v>1</v>
      </c>
      <c r="O1131" s="69">
        <v>0</v>
      </c>
      <c r="P1131" s="69"/>
      <c r="Q1131" s="69" t="s">
        <v>65</v>
      </c>
      <c r="R1131" s="69">
        <f>IF(Q1131="Free Recall",1,IF(Q1131="Cued Recall",2,IF(Q1131="Recognition",3,IF(Q1131="Multiple Choice",4,IF(Q1131="Savings",5,IF(Q1131="Stem Completion",6,IF(Q1131="Fragment Completion",7,IF(Q1131="anagram solution",8,IF(Q1131="Matching",9,IF(Q1131="Problem Solving",10,"99"))))))))))</f>
        <v>2</v>
      </c>
      <c r="S1131" s="69" t="s">
        <v>310</v>
      </c>
      <c r="T1131" s="69" t="s">
        <v>261</v>
      </c>
      <c r="U1131" s="69">
        <f>IF(T1131="within",1,0)</f>
        <v>0</v>
      </c>
      <c r="V1131" s="69">
        <v>10</v>
      </c>
      <c r="W1131" s="69">
        <f>F1131*V1131</f>
        <v>670</v>
      </c>
      <c r="X1131" s="69">
        <v>4</v>
      </c>
      <c r="Y1131" s="87">
        <f>AV1130</f>
        <v>300</v>
      </c>
      <c r="Z1131" s="69" t="s">
        <v>311</v>
      </c>
      <c r="AA1131" s="69">
        <f>9*7*24*3600</f>
        <v>5443200</v>
      </c>
      <c r="AB1131" s="69" t="str">
        <f>IF(AA1131&lt;60,"1",IF(AA1131&lt;=43200,"2",IF(AA1131&lt;=777600,"3","4")))</f>
        <v>4</v>
      </c>
      <c r="AC1131" s="72">
        <f>AVERAGE(AV1130:DA1130)</f>
        <v>1965675</v>
      </c>
      <c r="AD1131" s="69" t="str">
        <f>IF(AC1131&lt;60,"1",IF(AC1131&lt;=43200,"2",IF(AC1131&lt;=777600,"3","4")))</f>
        <v>4</v>
      </c>
      <c r="AE1131" s="87">
        <f>AA1131-Y1131</f>
        <v>5442900</v>
      </c>
      <c r="AF1131" s="88">
        <f>AV1131</f>
        <v>0.85</v>
      </c>
      <c r="AG1131" s="72">
        <f>((AW1131-AV1131)+(AX1131-AW1131)+(AY1131-AX1131))/3</f>
        <v>-0.22666666666666668</v>
      </c>
      <c r="AH1131" s="4"/>
      <c r="AI1131" s="72">
        <f>RSQ(AV1131:AY1131,AV1130:AY1130)</f>
        <v>0.42283345639751729</v>
      </c>
      <c r="AJ1131" s="110">
        <f>SLOPE(AV1131:AY1131,AV1130:AY1130)</f>
        <v>-8.5722180629664225E-8</v>
      </c>
      <c r="AK1131" s="72">
        <f>INTERCEPT(AV1131:AY1131,AV1130:AY1130)</f>
        <v>0.54600194740921515</v>
      </c>
      <c r="AL1131" s="72">
        <f>INDEX(LINEST(LN(AV1131:AY1131),LN(AV1130:AY1130),TRUE,TRUE),3,1)</f>
        <v>0.95841486016702515</v>
      </c>
      <c r="AM1131" s="72">
        <f>INDEX(LINEST(LN(AV1131:AY1131),LN(AV1130:AY1130)),1)</f>
        <v>-0.16428050018277732</v>
      </c>
      <c r="AN1131" s="72">
        <f>EXP(INDEX(LINEST(LN(AV1131:AY1131),LN(AV1130:AY1130)),1,2))</f>
        <v>2.236155684975432</v>
      </c>
      <c r="AO1131" s="89">
        <f>INDEX(LINEST((AV1131:AY1131),LN(AV1130:AY1130),TRUE,TRUE),3,1)</f>
        <v>0.99169777674087711</v>
      </c>
      <c r="AP1131" s="89">
        <f>INDEX(LINEST((AV1131:AY1131),LN(AV1130:AY1130)),1)</f>
        <v>-7.1999945603842735E-2</v>
      </c>
      <c r="AQ1131" s="90">
        <f>INDEX(LINEST(LN(AV1131:AY1131),SQRT(AV1130:AY1130),TRUE,TRUE),3,1)</f>
        <v>0.80954383926524665</v>
      </c>
      <c r="AR1131" s="117">
        <f>INDEX(LINEST(LN(AV1131:AY1131),SQRT((AV1130:AY1130))),1)</f>
        <v>-6.878458749655247E-4</v>
      </c>
      <c r="AS1131" s="91">
        <f>INDEX(LINEST(1/(AV1131:AY1131),1/(SQRT(AV1130:AY1130)),TRUE,TRUE),3,1)</f>
        <v>0.72193806209622968</v>
      </c>
      <c r="AT1131" s="91">
        <f>INDEX(LINEST(1/(AV1131:AY1131),1/SQRT(AV1130:AY1130)),1)</f>
        <v>-65.698950916725295</v>
      </c>
      <c r="AU1131" s="4"/>
      <c r="AV1131" s="73">
        <v>0.85</v>
      </c>
      <c r="AW1131" s="73">
        <v>0.31</v>
      </c>
      <c r="AX1131" s="73">
        <v>0.18</v>
      </c>
      <c r="AY1131" s="73">
        <v>0.17</v>
      </c>
      <c r="AZ1131" s="46"/>
      <c r="BA1131" s="42"/>
      <c r="BB1131" s="42"/>
      <c r="BC1131" s="2"/>
      <c r="BD1131" s="2"/>
      <c r="BE1131" s="2"/>
      <c r="BF1131" s="2"/>
      <c r="BG1131" s="2"/>
      <c r="BH1131" s="2"/>
      <c r="BI1131" s="2"/>
      <c r="BJ1131" s="2"/>
      <c r="BK1131" s="2"/>
      <c r="BL1131" s="2"/>
      <c r="BM1131" s="2"/>
      <c r="BN1131" s="2"/>
      <c r="BO1131" s="2"/>
      <c r="BP1131" s="2"/>
      <c r="BQ1131" s="2"/>
      <c r="BR1131" s="2"/>
      <c r="BS1131" s="2"/>
      <c r="BT1131" s="2"/>
      <c r="BU1131" s="2"/>
      <c r="BV1131" s="2"/>
      <c r="BW1131" s="2"/>
      <c r="BX1131" s="2"/>
      <c r="BY1131" s="2"/>
      <c r="BZ1131" s="2"/>
      <c r="CA1131" s="2"/>
      <c r="CB1131" s="2"/>
      <c r="CC1131" s="2"/>
      <c r="CD1131" s="2"/>
      <c r="CE1131" s="2"/>
      <c r="CF1131" s="2"/>
      <c r="CG1131" s="2"/>
      <c r="CH1131" s="2"/>
      <c r="CI1131" s="2"/>
      <c r="CJ1131" s="2"/>
      <c r="CK1131" s="2"/>
      <c r="CL1131" s="2"/>
      <c r="CM1131" s="2"/>
      <c r="CN1131" s="2"/>
      <c r="CO1131" s="2"/>
      <c r="CP1131" s="2"/>
      <c r="CQ1131" s="2"/>
      <c r="CR1131" s="1"/>
      <c r="CS1131" s="1"/>
      <c r="CT1131" s="1"/>
      <c r="CU1131" s="1"/>
    </row>
    <row r="1132" spans="1:99" s="13" customFormat="1" ht="12" customHeight="1" x14ac:dyDescent="0.2">
      <c r="A1132" s="68">
        <v>43648</v>
      </c>
      <c r="B1132" s="70"/>
      <c r="C1132" s="70"/>
      <c r="D1132" s="69"/>
      <c r="E1132" s="87"/>
      <c r="F1132" s="69"/>
      <c r="G1132" s="69"/>
      <c r="H1132" s="69"/>
      <c r="I1132" s="69"/>
      <c r="J1132" s="69"/>
      <c r="K1132" s="107"/>
      <c r="L1132" s="107"/>
      <c r="M1132" s="69"/>
      <c r="N1132" s="69"/>
      <c r="O1132" s="69"/>
      <c r="P1132" s="69"/>
      <c r="Q1132" s="69"/>
      <c r="R1132" s="69"/>
      <c r="S1132" s="69"/>
      <c r="T1132" s="69"/>
      <c r="U1132" s="69"/>
      <c r="V1132" s="69"/>
      <c r="W1132" s="69"/>
      <c r="X1132" s="69"/>
      <c r="Y1132" s="87"/>
      <c r="Z1132" s="69"/>
      <c r="AA1132" s="69"/>
      <c r="AB1132" s="69"/>
      <c r="AC1132" s="69"/>
      <c r="AD1132" s="69"/>
      <c r="AE1132" s="69"/>
      <c r="AF1132" s="88"/>
      <c r="AG1132" s="72"/>
      <c r="AH1132" s="4"/>
      <c r="AI1132" s="72"/>
      <c r="AJ1132" s="110"/>
      <c r="AK1132" s="72"/>
      <c r="AL1132" s="72"/>
      <c r="AM1132" s="72"/>
      <c r="AN1132" s="72"/>
      <c r="AO1132" s="72"/>
      <c r="AP1132" s="72"/>
      <c r="AQ1132" s="72"/>
      <c r="AR1132" s="110"/>
      <c r="AS1132" s="72"/>
      <c r="AT1132" s="72"/>
      <c r="AU1132" s="4"/>
      <c r="AV1132" s="71">
        <f>5*30</f>
        <v>150</v>
      </c>
      <c r="AW1132" s="71">
        <f>1*7*24*3600</f>
        <v>604800</v>
      </c>
      <c r="AX1132" s="71">
        <f>4*7*24*3600</f>
        <v>2419200</v>
      </c>
      <c r="AY1132" s="67"/>
      <c r="AZ1132" s="53" t="s">
        <v>525</v>
      </c>
      <c r="BA1132" s="42"/>
      <c r="BB1132" s="42"/>
      <c r="BC1132" s="2"/>
      <c r="BD1132" s="2"/>
      <c r="BE1132" s="2"/>
      <c r="BF1132" s="2"/>
      <c r="BG1132" s="2"/>
      <c r="BH1132" s="2"/>
      <c r="BI1132" s="2"/>
      <c r="BJ1132" s="2"/>
      <c r="BK1132" s="2"/>
      <c r="BL1132" s="2"/>
      <c r="BM1132" s="2"/>
      <c r="BN1132" s="2"/>
      <c r="BO1132" s="2"/>
      <c r="BP1132" s="2"/>
      <c r="BQ1132" s="2"/>
      <c r="BR1132" s="2"/>
      <c r="BS1132" s="2"/>
      <c r="BT1132" s="2"/>
      <c r="BU1132" s="2"/>
      <c r="BV1132" s="2"/>
      <c r="BW1132" s="2"/>
      <c r="BX1132" s="2"/>
      <c r="BY1132" s="2"/>
      <c r="BZ1132" s="2"/>
      <c r="CA1132" s="2"/>
      <c r="CB1132" s="2"/>
      <c r="CC1132" s="2"/>
      <c r="CD1132" s="2"/>
      <c r="CE1132" s="2"/>
      <c r="CF1132" s="2"/>
      <c r="CG1132" s="2"/>
      <c r="CH1132" s="2"/>
      <c r="CI1132" s="2"/>
      <c r="CJ1132" s="2"/>
      <c r="CK1132" s="2"/>
      <c r="CL1132" s="2"/>
      <c r="CM1132" s="2"/>
      <c r="CN1132" s="2"/>
      <c r="CO1132" s="2"/>
      <c r="CP1132" s="2"/>
      <c r="CQ1132" s="2"/>
      <c r="CR1132" s="1"/>
      <c r="CS1132" s="1"/>
      <c r="CT1132" s="1"/>
      <c r="CU1132" s="1"/>
    </row>
    <row r="1133" spans="1:99" s="13" customFormat="1" ht="12" customHeight="1" x14ac:dyDescent="0.2">
      <c r="A1133" s="68">
        <v>43648</v>
      </c>
      <c r="B1133" s="70" t="s">
        <v>324</v>
      </c>
      <c r="C1133" s="70" t="s">
        <v>307</v>
      </c>
      <c r="D1133" s="69">
        <v>2005</v>
      </c>
      <c r="E1133" s="87">
        <v>2</v>
      </c>
      <c r="F1133" s="69">
        <v>46</v>
      </c>
      <c r="G1133" s="69">
        <v>23</v>
      </c>
      <c r="H1133" s="69" t="s">
        <v>793</v>
      </c>
      <c r="I1133" s="69" t="s">
        <v>790</v>
      </c>
      <c r="J1133" s="69" t="s">
        <v>794</v>
      </c>
      <c r="K1133" s="69">
        <f>IF(J1133="syllables",1,IF(J1133="trigrams",2,IF(J1133="strings",3,IF(J1133="visual array",4,IF(J1133="characters",5,IF(J1133="letters",6,IF(J1133="free forms",7,IF(J1133="odors",8,IF(J1133="words",9,IF(J1133="pictures",10,IF(J1133="object pictures",11,IF(J1133="faces",12,IF(J1133="names",13,IF(J1133="idioms",14,IF(J1133="grades",15,IF(J1133="syllable-digit pairs",16,IF(J1133="trigram-word pairs",17,IF(J1133="word-digit pairs",18,IF(J1133="English-Swahili pairs",19,IF(J1133="spatial position",20,IF(J1133="word pairs",21,IF(J1133="word triads",22,IF(J1133="generated words",23,IF(J1133="word definition pairs",24,IF(J1133="math problems",25,IF(J1133="famous faces",26,IF(J1133="famous names",27,IF(J1133="famous voices",28,IF(J1133="television programs",29,IF(J1133="race horses",30,IF(J1133="new vocabulary",31,IF(J1133="sentences",32,IF(J1133="concepts",33,IF(J1133="ad slides",34,IF(J1133="scenes",35,IF(J1133="famous scenes",36,IF(J1133="poems",37,IF(J1133="walk",38,IF(J1133="faces and events",39,IF(J1133="events and names",40,IF(J1133="flashbulb",41,IF(J1133="stories",42,IF(J1133="course material",43,IF(J1133="autobiographical",44,IF(J1133="novels",45,IF(J1133="public events",46,"99"))))))))))))))))))))))))))))))))))))))))))))))</f>
        <v>24</v>
      </c>
      <c r="L1133" s="69">
        <f>IF(J1133="syllables",1,IF(J1133="trigrams",1,IF(J1133="strings",1,IF(J1133="visual array",1,IF(J1133="characters",1,IF(J1133="letters",1,IF(J1133="free forms",1,IF(J1133="odors",2,IF(J1133="words",2,IF(J1133="pictures",2,IF(J1133="object pictures",2,IF(J1133="faces",2,IF(J1133="names",2,IF(J1133="idioms","2",IF(J1133="grades",2,IF(J1133="syllable-digit pairs",3,IF(J1133="trigram-word pairs",3,IF(J1133="word-digit pairs",3,IF(J1133="English-Swahili pairs",3,IF(J1133="spatial position",3,IF(J1133="word pairs",4,IF(J1133="word triads",4,IF(J1133="generated words",4,IF(J1133="word definition pairs",4,IF(J1133="math problems",4,IF(J1133="famous faces",4,IF(J1133="famous names",4,IF(J1133="famous voices",4,IF(J1133="television programs",4,IF(J1133="race horses",4,IF(J1133="new vocabulary",4,IF(J1133="sentences",5,IF(J1133="concepts",5,IF(J1133="ad slides",5,IF(J1133="scenes",5,IF(J1133="famous scenes",5,IF(J1133="poems",6,IF(J1133="walk",6,IF(J1133="faces and events",6,IF(J1133="events and names",6,IF(J1133="flashbulb",7,IF(J1133="stories",7,IF(J1133="course material",7,IF(J1133="autobiographical",7,IF(J1133="novels",7,IF(J1133="public events",7,"99"))))))))))))))))))))))))))))))))))))))))))))))</f>
        <v>4</v>
      </c>
      <c r="M1133" s="69">
        <v>1</v>
      </c>
      <c r="N1133" s="69">
        <v>1</v>
      </c>
      <c r="O1133" s="69">
        <v>0</v>
      </c>
      <c r="P1133" s="69"/>
      <c r="Q1133" s="69" t="s">
        <v>65</v>
      </c>
      <c r="R1133" s="69">
        <f>IF(Q1133="Free Recall",1,IF(Q1133="Cued Recall",2,IF(Q1133="Recognition",3,IF(Q1133="Multiple Choice",4,IF(Q1133="Savings",5,IF(Q1133="Stem Completion",6,IF(Q1133="Fragment Completion",7,IF(Q1133="anagram solution",8,IF(Q1133="Matching",9,IF(Q1133="Problem Solving",10,"99"))))))))))</f>
        <v>2</v>
      </c>
      <c r="S1133" s="69" t="s">
        <v>310</v>
      </c>
      <c r="T1133" s="69" t="s">
        <v>261</v>
      </c>
      <c r="U1133" s="69">
        <f>IF(T1133="within",1,0)</f>
        <v>0</v>
      </c>
      <c r="V1133" s="69">
        <v>20</v>
      </c>
      <c r="W1133" s="69">
        <f>F1133*V1133</f>
        <v>920</v>
      </c>
      <c r="X1133" s="69">
        <v>3</v>
      </c>
      <c r="Y1133" s="87">
        <f>AV1132</f>
        <v>150</v>
      </c>
      <c r="Z1133" s="69" t="s">
        <v>140</v>
      </c>
      <c r="AA1133" s="69">
        <f>4*7*24*3600</f>
        <v>2419200</v>
      </c>
      <c r="AB1133" s="69" t="str">
        <f>IF(AA1133&lt;60,"1",IF(AA1133&lt;=43200,"2",IF(AA1133&lt;=777600,"3","4")))</f>
        <v>4</v>
      </c>
      <c r="AC1133" s="72">
        <f>AVERAGE(AV1132:DA1132)</f>
        <v>1008050</v>
      </c>
      <c r="AD1133" s="69" t="str">
        <f>IF(AC1133&lt;60,"1",IF(AC1133&lt;=43200,"2",IF(AC1133&lt;=777600,"3","4")))</f>
        <v>4</v>
      </c>
      <c r="AE1133" s="87">
        <f>AA1133-Y1133</f>
        <v>2419050</v>
      </c>
      <c r="AF1133" s="88">
        <f>AV1133</f>
        <v>0.97</v>
      </c>
      <c r="AG1133" s="72">
        <f>((AW1133-AV1133)+(AX1133-AW1133))/2</f>
        <v>-0.375</v>
      </c>
      <c r="AH1133" s="4"/>
      <c r="AI1133" s="72">
        <f>RSQ(AV1133:AX1133,AV1132:AX1132)</f>
        <v>0.9557610966786424</v>
      </c>
      <c r="AJ1133" s="110">
        <f>SLOPE(AV1133:AX1133,AV1132:AX1132)</f>
        <v>-2.9190641412031286E-7</v>
      </c>
      <c r="AK1133" s="72">
        <f>INTERCEPT(AV1133:AX1133,AV1132:AX1132)</f>
        <v>0.90425626075398136</v>
      </c>
      <c r="AL1133" s="72">
        <f>INDEX(LINEST(LN(AV1133:AX1133),LN(AV1132:AX1132),TRUE,TRUE),3,1)</f>
        <v>0.64393817607901838</v>
      </c>
      <c r="AM1133" s="72">
        <f>INDEX(LINEST(LN(AV1133:AX1133),LN(AV1132:AX1132)),1)</f>
        <v>-0.11721782357999157</v>
      </c>
      <c r="AN1133" s="72">
        <f>EXP(INDEX(LINEST(LN(AV1133:AX1133),LN(AV1132:AX1132)),1,2))</f>
        <v>1.8713127531699394</v>
      </c>
      <c r="AO1133" s="89">
        <f>INDEX(LINEST((AV1133:AX1133),LN(AV1132:AX1132),TRUE,TRUE),3,1)</f>
        <v>0.80284126205289941</v>
      </c>
      <c r="AP1133" s="89">
        <f>INDEX(LINEST((AV1133:AX1133),LN(AV1132:AX1132)),1)</f>
        <v>-6.4284056327613998E-2</v>
      </c>
      <c r="AQ1133" s="90">
        <f>INDEX(LINEST(LN(AV1133:AX1133),SQRT(AV1132:AX1132),TRUE,TRUE),3,1)</f>
        <v>0.94168462986758383</v>
      </c>
      <c r="AR1133" s="117">
        <f>INDEX(LINEST(LN(AV1133:AX1133),SQRT((AV1132:AX1132))),1)</f>
        <v>-9.625643884827018E-4</v>
      </c>
      <c r="AS1133" s="91">
        <f>INDEX(LINEST(1/(AV1133:AX1133),1/(SQRT(AV1132:AX1132)),TRUE,TRUE),3,1)</f>
        <v>0.38685532632695657</v>
      </c>
      <c r="AT1133" s="91">
        <f>INDEX(LINEST(1/(AV1133:AX1133),1/SQRT(AV1132:AX1132)),1)</f>
        <v>-25.293085496354013</v>
      </c>
      <c r="AU1133" s="4"/>
      <c r="AV1133" s="73">
        <v>0.97</v>
      </c>
      <c r="AW1133" s="73">
        <v>0.64</v>
      </c>
      <c r="AX1133" s="73">
        <v>0.22</v>
      </c>
      <c r="AY1133" s="67"/>
      <c r="AZ1133" s="53"/>
      <c r="BA1133" s="42"/>
      <c r="BB1133" s="42"/>
      <c r="BC1133" s="2"/>
      <c r="BD1133" s="2"/>
      <c r="BE1133" s="2"/>
      <c r="BF1133" s="2"/>
      <c r="BG1133" s="2"/>
      <c r="BH1133" s="2"/>
      <c r="BI1133" s="2"/>
      <c r="BJ1133" s="2"/>
      <c r="BK1133" s="2"/>
      <c r="BL1133" s="2"/>
      <c r="BM1133" s="2"/>
      <c r="BN1133" s="2"/>
      <c r="BO1133" s="2"/>
      <c r="BP1133" s="2"/>
      <c r="BQ1133" s="2"/>
      <c r="BR1133" s="2"/>
      <c r="BS1133" s="2"/>
      <c r="BT1133" s="2"/>
      <c r="BU1133" s="2"/>
      <c r="BV1133" s="2"/>
      <c r="BW1133" s="2"/>
      <c r="BX1133" s="2"/>
      <c r="BY1133" s="2"/>
      <c r="BZ1133" s="2"/>
      <c r="CA1133" s="2"/>
      <c r="CB1133" s="2"/>
      <c r="CC1133" s="2"/>
      <c r="CD1133" s="2"/>
      <c r="CE1133" s="2"/>
      <c r="CF1133" s="2"/>
      <c r="CG1133" s="2"/>
      <c r="CH1133" s="2"/>
      <c r="CI1133" s="2"/>
      <c r="CJ1133" s="2"/>
      <c r="CK1133" s="2"/>
      <c r="CL1133" s="2"/>
      <c r="CM1133" s="2"/>
      <c r="CN1133" s="2"/>
      <c r="CO1133" s="2"/>
      <c r="CP1133" s="2"/>
      <c r="CQ1133" s="2"/>
      <c r="CR1133" s="1"/>
      <c r="CS1133" s="1"/>
      <c r="CT1133" s="1"/>
      <c r="CU1133" s="1"/>
    </row>
    <row r="1134" spans="1:99" s="13" customFormat="1" ht="12" customHeight="1" x14ac:dyDescent="0.2">
      <c r="A1134" s="68">
        <v>43648</v>
      </c>
      <c r="B1134" s="70"/>
      <c r="C1134" s="70"/>
      <c r="D1134" s="69"/>
      <c r="E1134" s="87"/>
      <c r="F1134" s="69"/>
      <c r="G1134" s="69"/>
      <c r="H1134" s="69"/>
      <c r="I1134" s="69"/>
      <c r="J1134" s="69"/>
      <c r="K1134" s="107"/>
      <c r="L1134" s="107"/>
      <c r="M1134" s="69"/>
      <c r="N1134" s="69"/>
      <c r="O1134" s="69"/>
      <c r="P1134" s="69"/>
      <c r="Q1134" s="69"/>
      <c r="R1134" s="69"/>
      <c r="S1134" s="69"/>
      <c r="T1134" s="69"/>
      <c r="U1134" s="69"/>
      <c r="V1134" s="69"/>
      <c r="W1134" s="69"/>
      <c r="X1134" s="69"/>
      <c r="Y1134" s="87"/>
      <c r="Z1134" s="69"/>
      <c r="AA1134" s="69"/>
      <c r="AB1134" s="69"/>
      <c r="AC1134" s="69"/>
      <c r="AD1134" s="69"/>
      <c r="AE1134" s="69"/>
      <c r="AF1134" s="88"/>
      <c r="AG1134" s="72"/>
      <c r="AH1134" s="4"/>
      <c r="AI1134" s="72"/>
      <c r="AJ1134" s="110"/>
      <c r="AK1134" s="72"/>
      <c r="AL1134" s="72"/>
      <c r="AM1134" s="72"/>
      <c r="AN1134" s="72"/>
      <c r="AO1134" s="72"/>
      <c r="AP1134" s="72"/>
      <c r="AQ1134" s="89"/>
      <c r="AR1134" s="118"/>
      <c r="AS1134" s="89"/>
      <c r="AT1134" s="89"/>
      <c r="AU1134" s="4"/>
      <c r="AV1134" s="71">
        <f>10*30</f>
        <v>300</v>
      </c>
      <c r="AW1134" s="71">
        <f>1*7*24*3600</f>
        <v>604800</v>
      </c>
      <c r="AX1134" s="71">
        <f>4*7*24*3600</f>
        <v>2419200</v>
      </c>
      <c r="AY1134" s="67"/>
      <c r="AZ1134" s="53" t="s">
        <v>526</v>
      </c>
      <c r="BA1134" s="42"/>
      <c r="BB1134" s="42"/>
      <c r="BC1134" s="2"/>
      <c r="BD1134" s="2"/>
      <c r="BE1134" s="2"/>
      <c r="BF1134" s="2"/>
      <c r="BG1134" s="2"/>
      <c r="BH1134" s="2"/>
      <c r="BI1134" s="2"/>
      <c r="BJ1134" s="2"/>
      <c r="BK1134" s="2"/>
      <c r="BL1134" s="2"/>
      <c r="BM1134" s="2"/>
      <c r="BN1134" s="2"/>
      <c r="BO1134" s="2"/>
      <c r="BP1134" s="2"/>
      <c r="BQ1134" s="2"/>
      <c r="BR1134" s="2"/>
      <c r="BS1134" s="2"/>
      <c r="BT1134" s="2"/>
      <c r="BU1134" s="2"/>
      <c r="BV1134" s="2"/>
      <c r="BW1134" s="2"/>
      <c r="BX1134" s="2"/>
      <c r="BY1134" s="2"/>
      <c r="BZ1134" s="2"/>
      <c r="CA1134" s="2"/>
      <c r="CB1134" s="2"/>
      <c r="CC1134" s="2"/>
      <c r="CD1134" s="2"/>
      <c r="CE1134" s="2"/>
      <c r="CF1134" s="2"/>
      <c r="CG1134" s="2"/>
      <c r="CH1134" s="2"/>
      <c r="CI1134" s="2"/>
      <c r="CJ1134" s="2"/>
      <c r="CK1134" s="2"/>
      <c r="CL1134" s="2"/>
      <c r="CM1134" s="2"/>
      <c r="CN1134" s="2"/>
      <c r="CO1134" s="2"/>
      <c r="CP1134" s="2"/>
      <c r="CQ1134" s="2"/>
      <c r="CR1134" s="1"/>
      <c r="CS1134" s="1"/>
      <c r="CT1134" s="1"/>
      <c r="CU1134" s="1"/>
    </row>
    <row r="1135" spans="1:99" s="13" customFormat="1" ht="12" customHeight="1" x14ac:dyDescent="0.2">
      <c r="A1135" s="68">
        <v>43648</v>
      </c>
      <c r="B1135" s="70" t="s">
        <v>324</v>
      </c>
      <c r="C1135" s="70" t="s">
        <v>307</v>
      </c>
      <c r="D1135" s="69">
        <v>2005</v>
      </c>
      <c r="E1135" s="87">
        <v>2</v>
      </c>
      <c r="F1135" s="69">
        <v>42</v>
      </c>
      <c r="G1135" s="69">
        <v>21</v>
      </c>
      <c r="H1135" s="69" t="s">
        <v>793</v>
      </c>
      <c r="I1135" s="69" t="s">
        <v>791</v>
      </c>
      <c r="J1135" s="69" t="s">
        <v>794</v>
      </c>
      <c r="K1135" s="69">
        <f>IF(J1135="syllables",1,IF(J1135="trigrams",2,IF(J1135="strings",3,IF(J1135="visual array",4,IF(J1135="characters",5,IF(J1135="letters",6,IF(J1135="free forms",7,IF(J1135="odors",8,IF(J1135="words",9,IF(J1135="pictures",10,IF(J1135="object pictures",11,IF(J1135="faces",12,IF(J1135="names",13,IF(J1135="idioms",14,IF(J1135="grades",15,IF(J1135="syllable-digit pairs",16,IF(J1135="trigram-word pairs",17,IF(J1135="word-digit pairs",18,IF(J1135="English-Swahili pairs",19,IF(J1135="spatial position",20,IF(J1135="word pairs",21,IF(J1135="word triads",22,IF(J1135="generated words",23,IF(J1135="word definition pairs",24,IF(J1135="math problems",25,IF(J1135="famous faces",26,IF(J1135="famous names",27,IF(J1135="famous voices",28,IF(J1135="television programs",29,IF(J1135="race horses",30,IF(J1135="new vocabulary",31,IF(J1135="sentences",32,IF(J1135="concepts",33,IF(J1135="ad slides",34,IF(J1135="scenes",35,IF(J1135="famous scenes",36,IF(J1135="poems",37,IF(J1135="walk",38,IF(J1135="faces and events",39,IF(J1135="events and names",40,IF(J1135="flashbulb",41,IF(J1135="stories",42,IF(J1135="course material",43,IF(J1135="autobiographical",44,IF(J1135="novels",45,IF(J1135="public events",46,"99"))))))))))))))))))))))))))))))))))))))))))))))</f>
        <v>24</v>
      </c>
      <c r="L1135" s="69">
        <f>IF(J1135="syllables",1,IF(J1135="trigrams",1,IF(J1135="strings",1,IF(J1135="visual array",1,IF(J1135="characters",1,IF(J1135="letters",1,IF(J1135="free forms",1,IF(J1135="odors",2,IF(J1135="words",2,IF(J1135="pictures",2,IF(J1135="object pictures",2,IF(J1135="faces",2,IF(J1135="names",2,IF(J1135="idioms","2",IF(J1135="grades",2,IF(J1135="syllable-digit pairs",3,IF(J1135="trigram-word pairs",3,IF(J1135="word-digit pairs",3,IF(J1135="English-Swahili pairs",3,IF(J1135="spatial position",3,IF(J1135="word pairs",4,IF(J1135="word triads",4,IF(J1135="generated words",4,IF(J1135="word definition pairs",4,IF(J1135="math problems",4,IF(J1135="famous faces",4,IF(J1135="famous names",4,IF(J1135="famous voices",4,IF(J1135="television programs",4,IF(J1135="race horses",4,IF(J1135="new vocabulary",4,IF(J1135="sentences",5,IF(J1135="concepts",5,IF(J1135="ad slides",5,IF(J1135="scenes",5,IF(J1135="famous scenes",5,IF(J1135="poems",6,IF(J1135="walk",6,IF(J1135="faces and events",6,IF(J1135="events and names",6,IF(J1135="flashbulb",7,IF(J1135="stories",7,IF(J1135="course material",7,IF(J1135="autobiographical",7,IF(J1135="novels",7,IF(J1135="public events",7,"99"))))))))))))))))))))))))))))))))))))))))))))))</f>
        <v>4</v>
      </c>
      <c r="M1135" s="69">
        <v>1</v>
      </c>
      <c r="N1135" s="69">
        <v>1</v>
      </c>
      <c r="O1135" s="69">
        <v>0</v>
      </c>
      <c r="P1135" s="69"/>
      <c r="Q1135" s="69" t="s">
        <v>65</v>
      </c>
      <c r="R1135" s="69">
        <f>IF(Q1135="Free Recall",1,IF(Q1135="Cued Recall",2,IF(Q1135="Recognition",3,IF(Q1135="Multiple Choice",4,IF(Q1135="Savings",5,IF(Q1135="Stem Completion",6,IF(Q1135="Fragment Completion",7,IF(Q1135="anagram solution",8,IF(Q1135="Matching",9,IF(Q1135="Problem Solving",10,"99"))))))))))</f>
        <v>2</v>
      </c>
      <c r="S1135" s="69" t="s">
        <v>310</v>
      </c>
      <c r="T1135" s="69" t="s">
        <v>261</v>
      </c>
      <c r="U1135" s="69">
        <f>IF(T1135="within",1,0)</f>
        <v>0</v>
      </c>
      <c r="V1135" s="69">
        <v>10</v>
      </c>
      <c r="W1135" s="69">
        <f>F1135*V1135</f>
        <v>420</v>
      </c>
      <c r="X1135" s="69">
        <v>3</v>
      </c>
      <c r="Y1135" s="87">
        <f>AV1134</f>
        <v>300</v>
      </c>
      <c r="Z1135" s="69" t="s">
        <v>140</v>
      </c>
      <c r="AA1135" s="69">
        <f>4*7*24*3600</f>
        <v>2419200</v>
      </c>
      <c r="AB1135" s="69" t="str">
        <f>IF(AA1135&lt;60,"1",IF(AA1135&lt;=43200,"2",IF(AA1135&lt;=777600,"3","4")))</f>
        <v>4</v>
      </c>
      <c r="AC1135" s="72">
        <f>AVERAGE(AV1134:DA1134)</f>
        <v>1008100</v>
      </c>
      <c r="AD1135" s="69" t="str">
        <f>IF(AC1135&lt;60,"1",IF(AC1135&lt;=43200,"2",IF(AC1135&lt;=777600,"3","4")))</f>
        <v>4</v>
      </c>
      <c r="AE1135" s="87">
        <f>AA1135-Y1135</f>
        <v>2418900</v>
      </c>
      <c r="AF1135" s="88">
        <f>AV1135</f>
        <v>0.7</v>
      </c>
      <c r="AG1135" s="72">
        <f>((AW1135-AV1135)+(AX1135-AW1135))/2</f>
        <v>-0.26</v>
      </c>
      <c r="AH1135" s="4"/>
      <c r="AI1135" s="72">
        <f>RSQ(AV1135:AX1135,AV1134:AX1134)</f>
        <v>0.83847801942167366</v>
      </c>
      <c r="AJ1135" s="110">
        <f>SLOPE(AV1135:AX1135,AV1134:AX1134)</f>
        <v>-1.90791339194634E-7</v>
      </c>
      <c r="AK1135" s="72">
        <f>INTERCEPT(AV1135:AX1135,AV1134:AX1134)</f>
        <v>0.61233674904211055</v>
      </c>
      <c r="AL1135" s="72">
        <f>INDEX(LINEST(LN(AV1135:AX1135),LN(AV1134:AX1134),TRUE,TRUE),3,1)</f>
        <v>0.82021981939435806</v>
      </c>
      <c r="AM1135" s="72">
        <f>INDEX(LINEST(LN(AV1135:AX1135),LN(AV1134:AX1134)),1)</f>
        <v>-0.1271993749383778</v>
      </c>
      <c r="AN1135" s="72">
        <f>EXP(INDEX(LINEST(LN(AV1135:AX1135),LN(AV1134:AX1134)),1,2))</f>
        <v>1.5166532279275395</v>
      </c>
      <c r="AO1135" s="89">
        <f>INDEX(LINEST((AV1135:AX1135),LN(AV1134:AX1134),TRUE,TRUE),3,1)</f>
        <v>0.93997085955518644</v>
      </c>
      <c r="AP1135" s="89">
        <f>INDEX(LINEST((AV1135:AX1135),LN(AV1134:AX1134)),1)</f>
        <v>-5.2509046413618379E-2</v>
      </c>
      <c r="AQ1135" s="90">
        <f>INDEX(LINEST(LN(AV1135:AX1135),SQRT(AV1134:AX1134),TRUE,TRUE),3,1)</f>
        <v>0.99736259675337724</v>
      </c>
      <c r="AR1135" s="117">
        <f>INDEX(LINEST(LN(AV1135:AX1135),SQRT((AV1134:AX1134))),1)</f>
        <v>-8.8330762949497725E-4</v>
      </c>
      <c r="AS1135" s="91">
        <f>INDEX(LINEST(1/(AV1135:AX1135),1/(SQRT(AV1134:AX1134)),TRUE,TRUE),3,1)</f>
        <v>0.53531642155129067</v>
      </c>
      <c r="AT1135" s="91">
        <f>INDEX(LINEST(1/(AV1135:AX1135),1/SQRT(AV1134:AX1134)),1)</f>
        <v>-47.376129350754603</v>
      </c>
      <c r="AU1135" s="4"/>
      <c r="AV1135" s="73">
        <v>0.7</v>
      </c>
      <c r="AW1135" s="73">
        <v>0.38</v>
      </c>
      <c r="AX1135" s="73">
        <v>0.18</v>
      </c>
      <c r="AY1135" s="67"/>
      <c r="AZ1135" s="53"/>
      <c r="BA1135" s="42"/>
      <c r="BB1135" s="42"/>
      <c r="BC1135" s="2"/>
      <c r="BD1135" s="2"/>
      <c r="BE1135" s="2"/>
      <c r="BF1135" s="2"/>
      <c r="BG1135" s="2"/>
      <c r="BH1135" s="2"/>
      <c r="BI1135" s="2"/>
      <c r="BJ1135" s="2"/>
      <c r="BK1135" s="2"/>
      <c r="BL1135" s="2"/>
      <c r="BM1135" s="2"/>
      <c r="BN1135" s="2"/>
      <c r="BO1135" s="2"/>
      <c r="BP1135" s="2"/>
      <c r="BQ1135" s="2"/>
      <c r="BR1135" s="2"/>
      <c r="BS1135" s="2"/>
      <c r="BT1135" s="2"/>
      <c r="BU1135" s="2"/>
      <c r="BV1135" s="2"/>
      <c r="BW1135" s="2"/>
      <c r="BX1135" s="2"/>
      <c r="BY1135" s="2"/>
      <c r="BZ1135" s="2"/>
      <c r="CA1135" s="2"/>
      <c r="CB1135" s="2"/>
      <c r="CC1135" s="2"/>
      <c r="CD1135" s="2"/>
      <c r="CE1135" s="2"/>
      <c r="CF1135" s="2"/>
      <c r="CG1135" s="2"/>
      <c r="CH1135" s="2"/>
      <c r="CI1135" s="2"/>
      <c r="CJ1135" s="2"/>
      <c r="CK1135" s="2"/>
      <c r="CL1135" s="2"/>
      <c r="CM1135" s="2"/>
      <c r="CN1135" s="2"/>
      <c r="CO1135" s="2"/>
      <c r="CP1135" s="2"/>
      <c r="CQ1135" s="2"/>
      <c r="CR1135" s="1"/>
      <c r="CS1135" s="1"/>
      <c r="CT1135" s="1"/>
      <c r="CU1135" s="1"/>
    </row>
    <row r="1136" spans="1:99" s="13" customFormat="1" ht="12" customHeight="1" x14ac:dyDescent="0.2">
      <c r="A1136" s="65">
        <v>43648</v>
      </c>
      <c r="B1136" s="1"/>
      <c r="C1136" s="1"/>
      <c r="D1136" s="60"/>
      <c r="E1136" s="76"/>
      <c r="F1136" s="60"/>
      <c r="G1136" s="60"/>
      <c r="H1136" s="60"/>
      <c r="I1136" s="60"/>
      <c r="J1136" s="60"/>
      <c r="K1136" s="64"/>
      <c r="L1136" s="64"/>
      <c r="M1136" s="60"/>
      <c r="N1136" s="60"/>
      <c r="O1136" s="60"/>
      <c r="P1136" s="60"/>
      <c r="Q1136" s="60"/>
      <c r="R1136" s="60"/>
      <c r="S1136" s="60"/>
      <c r="T1136" s="60"/>
      <c r="U1136" s="60"/>
      <c r="V1136" s="60"/>
      <c r="W1136" s="60"/>
      <c r="X1136" s="60"/>
      <c r="Y1136" s="76"/>
      <c r="Z1136" s="60"/>
      <c r="AA1136" s="60"/>
      <c r="AB1136" s="60"/>
      <c r="AC1136" s="60"/>
      <c r="AD1136" s="60"/>
      <c r="AE1136" s="60"/>
      <c r="AF1136" s="80"/>
      <c r="AG1136" s="56"/>
      <c r="AH1136" s="4"/>
      <c r="AI1136" s="56"/>
      <c r="AJ1136" s="109"/>
      <c r="AK1136" s="56"/>
      <c r="AL1136" s="56"/>
      <c r="AM1136" s="56"/>
      <c r="AN1136" s="56"/>
      <c r="AO1136" s="56"/>
      <c r="AP1136" s="56"/>
      <c r="AQ1136" s="82"/>
      <c r="AR1136" s="115"/>
      <c r="AS1136" s="82"/>
      <c r="AT1136" s="82"/>
      <c r="AU1136" s="4"/>
      <c r="AV1136" s="53">
        <v>300</v>
      </c>
      <c r="AW1136" s="1">
        <f>1*7*24*3600</f>
        <v>604800</v>
      </c>
      <c r="AX1136" s="1">
        <f>4*7*24*3600</f>
        <v>2419200</v>
      </c>
      <c r="AZ1136" s="53" t="s">
        <v>527</v>
      </c>
      <c r="BA1136" s="42"/>
      <c r="BB1136" s="42"/>
      <c r="BC1136" s="2"/>
      <c r="BD1136" s="2"/>
      <c r="BE1136" s="2"/>
      <c r="BF1136" s="2"/>
      <c r="BG1136" s="2"/>
      <c r="BH1136" s="2"/>
      <c r="BI1136" s="2"/>
      <c r="BJ1136" s="2"/>
      <c r="BK1136" s="2"/>
      <c r="BL1136" s="2"/>
      <c r="BM1136" s="2"/>
      <c r="BN1136" s="2"/>
      <c r="BO1136" s="2"/>
      <c r="BP1136" s="2"/>
      <c r="BQ1136" s="2"/>
      <c r="BR1136" s="2"/>
      <c r="BS1136" s="2"/>
      <c r="BT1136" s="2"/>
      <c r="BU1136" s="2"/>
      <c r="BV1136" s="2"/>
      <c r="BW1136" s="2"/>
      <c r="BX1136" s="2"/>
      <c r="BY1136" s="2"/>
      <c r="BZ1136" s="2"/>
      <c r="CA1136" s="2"/>
      <c r="CB1136" s="2"/>
      <c r="CC1136" s="2"/>
      <c r="CD1136" s="2"/>
      <c r="CE1136" s="2"/>
      <c r="CF1136" s="2"/>
      <c r="CG1136" s="2"/>
      <c r="CH1136" s="2"/>
      <c r="CI1136" s="2"/>
      <c r="CJ1136" s="2"/>
      <c r="CK1136" s="2"/>
      <c r="CL1136" s="2"/>
      <c r="CM1136" s="2"/>
      <c r="CN1136" s="2"/>
      <c r="CO1136" s="2"/>
      <c r="CP1136" s="2"/>
      <c r="CQ1136" s="2"/>
      <c r="CR1136" s="1"/>
      <c r="CS1136" s="1"/>
      <c r="CT1136" s="1"/>
      <c r="CU1136" s="1"/>
    </row>
    <row r="1137" spans="1:99" s="13" customFormat="1" ht="12" customHeight="1" x14ac:dyDescent="0.2">
      <c r="A1137" s="65">
        <v>43648</v>
      </c>
      <c r="B1137" s="1" t="s">
        <v>795</v>
      </c>
      <c r="C1137" s="1" t="s">
        <v>307</v>
      </c>
      <c r="D1137" s="60">
        <v>2006</v>
      </c>
      <c r="E1137" s="76">
        <v>1</v>
      </c>
      <c r="F1137" s="60">
        <v>58</v>
      </c>
      <c r="G1137" s="60">
        <v>29</v>
      </c>
      <c r="H1137" s="60" t="s">
        <v>792</v>
      </c>
      <c r="I1137" s="60" t="s">
        <v>796</v>
      </c>
      <c r="J1137" s="60" t="s">
        <v>164</v>
      </c>
      <c r="K1137" s="60">
        <f>IF(J1137="syllables",1,IF(J1137="trigrams",2,IF(J1137="strings",3,IF(J1137="visual array",4,IF(J1137="characters",5,IF(J1137="letters",6,IF(J1137="free forms",7,IF(J1137="odors",8,IF(J1137="words",9,IF(J1137="pictures",10,IF(J1137="object pictures",11,IF(J1137="faces",12,IF(J1137="names",13,IF(J1137="idioms",14,IF(J1137="grades",15,IF(J1137="syllable-digit pairs",16,IF(J1137="trigram-word pairs",17,IF(J1137="word-digit pairs",18,IF(J1137="English-Swahili pairs",19,IF(J1137="spatial position",20,IF(J1137="word pairs",21,IF(J1137="word triads",22,IF(J1137="generated words",23,IF(J1137="word definition pairs",24,IF(J1137="math problems",25,IF(J1137="famous faces",26,IF(J1137="famous names",27,IF(J1137="famous voices",28,IF(J1137="television programs",29,IF(J1137="race horses",30,IF(J1137="new vocabulary",31,IF(J1137="sentences",32,IF(J1137="concepts",33,IF(J1137="ad slides",34,IF(J1137="scenes",35,IF(J1137="famous scenes",36,IF(J1137="poems",37,IF(J1137="walk",38,IF(J1137="faces and events",39,IF(J1137="events and names",40,IF(J1137="flashbulb",41,IF(J1137="stories",42,IF(J1137="course material",43,IF(J1137="autobiographical",44,IF(J1137="novels",45,IF(J1137="public events",46,"99"))))))))))))))))))))))))))))))))))))))))))))))</f>
        <v>25</v>
      </c>
      <c r="L1137" s="60">
        <f>IF(J1137="syllables",1,IF(J1137="trigrams",1,IF(J1137="strings",1,IF(J1137="visual array",1,IF(J1137="characters",1,IF(J1137="letters",1,IF(J1137="free forms",1,IF(J1137="odors",2,IF(J1137="words",2,IF(J1137="pictures",2,IF(J1137="object pictures",2,IF(J1137="faces",2,IF(J1137="names",2,IF(J1137="idioms","2",IF(J1137="grades",2,IF(J1137="syllable-digit pairs",3,IF(J1137="trigram-word pairs",3,IF(J1137="word-digit pairs",3,IF(J1137="English-Swahili pairs",3,IF(J1137="spatial position",3,IF(J1137="word pairs",4,IF(J1137="word triads",4,IF(J1137="generated words",4,IF(J1137="word definition pairs",4,IF(J1137="math problems",4,IF(J1137="famous faces",4,IF(J1137="famous names",4,IF(J1137="famous voices",4,IF(J1137="television programs",4,IF(J1137="race horses",4,IF(J1137="new vocabulary",4,IF(J1137="sentences",5,IF(J1137="concepts",5,IF(J1137="ad slides",5,IF(J1137="scenes",5,IF(J1137="famous scenes",5,IF(J1137="poems",6,IF(J1137="walk",6,IF(J1137="faces and events",6,IF(J1137="events and names",6,IF(J1137="flashbulb",7,IF(J1137="stories",7,IF(J1137="course material",7,IF(J1137="autobiographical",7,IF(J1137="novels",7,IF(J1137="public events",7,"99"))))))))))))))))))))))))))))))))))))))))))))))</f>
        <v>4</v>
      </c>
      <c r="M1137" s="60">
        <v>1</v>
      </c>
      <c r="N1137" s="60">
        <v>1</v>
      </c>
      <c r="O1137" s="60">
        <v>0</v>
      </c>
      <c r="P1137" s="60"/>
      <c r="Q1137" s="60" t="s">
        <v>312</v>
      </c>
      <c r="R1137" s="60">
        <f>IF(Q1137="Free Recall",1,IF(Q1137="Cued Recall",2,IF(Q1137="Recognition",3,IF(Q1137="Multiple Choice",4,IF(Q1137="Savings",5,IF(Q1137="Stem Completion",6,IF(Q1137="Fragment Completion",7,IF(Q1137="anagram solution",8,IF(Q1137="Matching",9,IF(Q1137="Problem Solving",10,"99"))))))))))</f>
        <v>10</v>
      </c>
      <c r="S1137" s="60" t="s">
        <v>15</v>
      </c>
      <c r="T1137" s="60" t="s">
        <v>261</v>
      </c>
      <c r="U1137" s="60">
        <f>IF(T1137="within",1,0)</f>
        <v>0</v>
      </c>
      <c r="V1137" s="60">
        <v>10</v>
      </c>
      <c r="W1137" s="60">
        <f>F1137*V1137</f>
        <v>580</v>
      </c>
      <c r="X1137" s="60">
        <v>3</v>
      </c>
      <c r="Y1137" s="76">
        <f>AV1136</f>
        <v>300</v>
      </c>
      <c r="Z1137" s="60" t="s">
        <v>140</v>
      </c>
      <c r="AA1137" s="60">
        <f>4*7*24*3600</f>
        <v>2419200</v>
      </c>
      <c r="AB1137" s="60" t="str">
        <f>IF(AA1137&lt;60,"1",IF(AA1137&lt;=43200,"2",IF(AA1137&lt;=777600,"3","4")))</f>
        <v>4</v>
      </c>
      <c r="AC1137" s="56">
        <f>AVERAGE(AV1136:DA1136)</f>
        <v>1008100</v>
      </c>
      <c r="AD1137" s="60" t="str">
        <f>IF(AC1137&lt;60,"1",IF(AC1137&lt;=43200,"2",IF(AC1137&lt;=777600,"3","4")))</f>
        <v>4</v>
      </c>
      <c r="AE1137" s="76">
        <f>AA1137-Y1137</f>
        <v>2418900</v>
      </c>
      <c r="AF1137" s="80">
        <f>AV1137</f>
        <v>0.85</v>
      </c>
      <c r="AG1137" s="56">
        <f>((AW1137-AV1137)+(AX1137-AW1137))/2</f>
        <v>-0.10499999999999998</v>
      </c>
      <c r="AH1137" s="4"/>
      <c r="AI1137" s="56">
        <f>RSQ(AV1137:AX1137,AV1136:AX1136)</f>
        <v>0.74991413524765216</v>
      </c>
      <c r="AJ1137" s="109">
        <f>SLOPE(AV1137:AX1137,AV1136:AX1136)</f>
        <v>-7.4407600047469704E-8</v>
      </c>
      <c r="AK1137" s="56">
        <f>INTERCEPT(AV1137:AX1137,AV1136:AX1136)</f>
        <v>0.80501030160785425</v>
      </c>
      <c r="AL1137" s="56">
        <f>INDEX(LINEST(LN(AV1137:AX1137),LN(AV1136:AX1136),TRUE,TRUE),3,1)</f>
        <v>0.97124274518846521</v>
      </c>
      <c r="AM1137" s="56">
        <f>INDEX(LINEST(LN(AV1137:AX1137),LN(AV1136:AX1136)),1)</f>
        <v>-2.9518131890255525E-2</v>
      </c>
      <c r="AN1137" s="56">
        <f>EXP(INDEX(LINEST(LN(AV1137:AX1137),LN(AV1136:AX1136)),1,2))</f>
        <v>1.0099606628764184</v>
      </c>
      <c r="AO1137" s="82">
        <f>INDEX(LINEST((AV1137:AX1137),LN(AV1136:AX1136),TRUE,TRUE),3,1)</f>
        <v>0.98123455190482423</v>
      </c>
      <c r="AP1137" s="82">
        <f>INDEX(LINEST((AV1137:AX1137),LN(AV1136:AX1136)),1)</f>
        <v>-2.2123919233917207E-2</v>
      </c>
      <c r="AQ1137" s="83">
        <f>INDEX(LINEST(LN(AV1137:AX1137),SQRT(AV1136:AX1136),TRUE,TRUE),3,1)</f>
        <v>0.95403096371340235</v>
      </c>
      <c r="AR1137" s="116">
        <f>INDEX(LINEST(LN(AV1137:AX1137),SQRT((AV1136:AX1136))),1)</f>
        <v>-1.8423485867246584E-4</v>
      </c>
      <c r="AS1137" s="84">
        <f>INDEX(LINEST(1/(AV1137:AX1137),1/(SQRT(AV1136:AX1136)),TRUE,TRUE),3,1)</f>
        <v>0.8895034520284395</v>
      </c>
      <c r="AT1137" s="84">
        <f>INDEX(LINEST(1/(AV1137:AX1137),1/SQRT(AV1136:AX1136)),1)</f>
        <v>-5.6397451259025271</v>
      </c>
      <c r="AU1137" s="4"/>
      <c r="AV1137" s="53">
        <v>0.85</v>
      </c>
      <c r="AW1137" s="53">
        <v>0.7</v>
      </c>
      <c r="AX1137" s="53">
        <v>0.64</v>
      </c>
      <c r="AY1137" s="42"/>
      <c r="AZ1137" s="46"/>
      <c r="BA1137" s="42"/>
      <c r="BB1137" s="42"/>
      <c r="BC1137" s="2"/>
      <c r="BD1137" s="2"/>
      <c r="BE1137" s="2"/>
      <c r="BF1137" s="2"/>
      <c r="BG1137" s="2"/>
      <c r="BH1137" s="2"/>
      <c r="BI1137" s="2"/>
      <c r="BJ1137" s="2"/>
      <c r="BK1137" s="2"/>
      <c r="BL1137" s="2"/>
      <c r="BM1137" s="2"/>
      <c r="BN1137" s="2"/>
      <c r="BO1137" s="2"/>
      <c r="BP1137" s="2"/>
      <c r="BQ1137" s="2"/>
      <c r="BR1137" s="2"/>
      <c r="BS1137" s="2"/>
      <c r="BT1137" s="2"/>
      <c r="BU1137" s="2"/>
      <c r="BV1137" s="2"/>
      <c r="BW1137" s="2"/>
      <c r="BX1137" s="2"/>
      <c r="BY1137" s="2"/>
      <c r="BZ1137" s="2"/>
      <c r="CA1137" s="2"/>
      <c r="CB1137" s="2"/>
      <c r="CC1137" s="2"/>
      <c r="CD1137" s="2"/>
      <c r="CE1137" s="2"/>
      <c r="CF1137" s="2"/>
      <c r="CG1137" s="2"/>
      <c r="CH1137" s="2"/>
      <c r="CI1137" s="2"/>
      <c r="CJ1137" s="2"/>
      <c r="CK1137" s="2"/>
      <c r="CL1137" s="2"/>
      <c r="CM1137" s="2"/>
      <c r="CN1137" s="2"/>
      <c r="CO1137" s="2"/>
      <c r="CP1137" s="2"/>
      <c r="CQ1137" s="2"/>
      <c r="CR1137" s="1"/>
      <c r="CS1137" s="1"/>
      <c r="CT1137" s="1"/>
      <c r="CU1137" s="1"/>
    </row>
    <row r="1138" spans="1:99" s="13" customFormat="1" ht="12" customHeight="1" x14ac:dyDescent="0.2">
      <c r="A1138" s="65">
        <v>43648</v>
      </c>
      <c r="B1138" s="1"/>
      <c r="C1138" s="1"/>
      <c r="D1138" s="60"/>
      <c r="E1138" s="76"/>
      <c r="F1138" s="60"/>
      <c r="G1138" s="60"/>
      <c r="H1138" s="60"/>
      <c r="I1138" s="60"/>
      <c r="J1138" s="60"/>
      <c r="K1138" s="64"/>
      <c r="L1138" s="64"/>
      <c r="M1138" s="60"/>
      <c r="N1138" s="60"/>
      <c r="O1138" s="60"/>
      <c r="P1138" s="60"/>
      <c r="Q1138" s="60"/>
      <c r="R1138" s="60"/>
      <c r="S1138" s="60"/>
      <c r="T1138" s="60"/>
      <c r="U1138" s="60"/>
      <c r="V1138" s="60"/>
      <c r="W1138" s="60"/>
      <c r="X1138" s="60"/>
      <c r="Y1138" s="76"/>
      <c r="Z1138" s="60"/>
      <c r="AA1138" s="60"/>
      <c r="AB1138" s="60"/>
      <c r="AC1138" s="60"/>
      <c r="AD1138" s="60"/>
      <c r="AE1138" s="60"/>
      <c r="AF1138" s="80"/>
      <c r="AG1138" s="56"/>
      <c r="AH1138" s="4"/>
      <c r="AI1138" s="56"/>
      <c r="AJ1138" s="109"/>
      <c r="AK1138" s="56"/>
      <c r="AL1138" s="56"/>
      <c r="AM1138" s="56"/>
      <c r="AN1138" s="56"/>
      <c r="AO1138" s="56"/>
      <c r="AP1138" s="56"/>
      <c r="AQ1138" s="82"/>
      <c r="AR1138" s="115"/>
      <c r="AS1138" s="82"/>
      <c r="AT1138" s="82"/>
      <c r="AU1138" s="4"/>
      <c r="AV1138" s="53">
        <v>300</v>
      </c>
      <c r="AW1138" s="1">
        <f>1*7*24*3600</f>
        <v>604800</v>
      </c>
      <c r="AX1138" s="1">
        <f>4*7*24*3600</f>
        <v>2419200</v>
      </c>
      <c r="AY1138" s="42"/>
      <c r="AZ1138" s="46"/>
      <c r="BA1138" s="42"/>
      <c r="BB1138" s="42"/>
      <c r="BC1138" s="2"/>
      <c r="BD1138" s="2"/>
      <c r="BE1138" s="2"/>
      <c r="BF1138" s="2"/>
      <c r="BG1138" s="2"/>
      <c r="BH1138" s="2"/>
      <c r="BI1138" s="2"/>
      <c r="BJ1138" s="2"/>
      <c r="BK1138" s="2"/>
      <c r="BL1138" s="2"/>
      <c r="BM1138" s="2"/>
      <c r="BN1138" s="2"/>
      <c r="BO1138" s="2"/>
      <c r="BP1138" s="2"/>
      <c r="BQ1138" s="2"/>
      <c r="BR1138" s="2"/>
      <c r="BS1138" s="2"/>
      <c r="BT1138" s="2"/>
      <c r="BU1138" s="2"/>
      <c r="BV1138" s="2"/>
      <c r="BW1138" s="2"/>
      <c r="BX1138" s="2"/>
      <c r="BY1138" s="2"/>
      <c r="BZ1138" s="2"/>
      <c r="CA1138" s="2"/>
      <c r="CB1138" s="2"/>
      <c r="CC1138" s="2"/>
      <c r="CD1138" s="2"/>
      <c r="CE1138" s="2"/>
      <c r="CF1138" s="2"/>
      <c r="CG1138" s="2"/>
      <c r="CH1138" s="2"/>
      <c r="CI1138" s="2"/>
      <c r="CJ1138" s="2"/>
      <c r="CK1138" s="2"/>
      <c r="CL1138" s="2"/>
      <c r="CM1138" s="2"/>
      <c r="CN1138" s="2"/>
      <c r="CO1138" s="2"/>
      <c r="CP1138" s="2"/>
      <c r="CQ1138" s="2"/>
      <c r="CR1138" s="1"/>
      <c r="CS1138" s="1"/>
      <c r="CT1138" s="1"/>
      <c r="CU1138" s="1"/>
    </row>
    <row r="1139" spans="1:99" s="13" customFormat="1" ht="12" customHeight="1" x14ac:dyDescent="0.2">
      <c r="A1139" s="65">
        <v>43648</v>
      </c>
      <c r="B1139" s="1" t="s">
        <v>795</v>
      </c>
      <c r="C1139" s="1" t="s">
        <v>307</v>
      </c>
      <c r="D1139" s="60">
        <v>2006</v>
      </c>
      <c r="E1139" s="76">
        <v>1</v>
      </c>
      <c r="F1139" s="60">
        <v>58</v>
      </c>
      <c r="G1139" s="60">
        <v>29</v>
      </c>
      <c r="H1139" s="60" t="s">
        <v>792</v>
      </c>
      <c r="I1139" s="60" t="s">
        <v>797</v>
      </c>
      <c r="J1139" s="60" t="s">
        <v>164</v>
      </c>
      <c r="K1139" s="60">
        <f>IF(J1139="syllables",1,IF(J1139="trigrams",2,IF(J1139="strings",3,IF(J1139="visual array",4,IF(J1139="characters",5,IF(J1139="letters",6,IF(J1139="free forms",7,IF(J1139="odors",8,IF(J1139="words",9,IF(J1139="pictures",10,IF(J1139="object pictures",11,IF(J1139="faces",12,IF(J1139="names",13,IF(J1139="idioms",14,IF(J1139="grades",15,IF(J1139="syllable-digit pairs",16,IF(J1139="trigram-word pairs",17,IF(J1139="word-digit pairs",18,IF(J1139="English-Swahili pairs",19,IF(J1139="spatial position",20,IF(J1139="word pairs",21,IF(J1139="word triads",22,IF(J1139="generated words",23,IF(J1139="word definition pairs",24,IF(J1139="math problems",25,IF(J1139="famous faces",26,IF(J1139="famous names",27,IF(J1139="famous voices",28,IF(J1139="television programs",29,IF(J1139="race horses",30,IF(J1139="new vocabulary",31,IF(J1139="sentences",32,IF(J1139="concepts",33,IF(J1139="ad slides",34,IF(J1139="scenes",35,IF(J1139="famous scenes",36,IF(J1139="poems",37,IF(J1139="walk",38,IF(J1139="faces and events",39,IF(J1139="events and names",40,IF(J1139="flashbulb",41,IF(J1139="stories",42,IF(J1139="course material",43,IF(J1139="autobiographical",44,IF(J1139="novels",45,IF(J1139="public events",46,"99"))))))))))))))))))))))))))))))))))))))))))))))</f>
        <v>25</v>
      </c>
      <c r="L1139" s="60">
        <f>IF(J1139="syllables",1,IF(J1139="trigrams",1,IF(J1139="strings",1,IF(J1139="visual array",1,IF(J1139="characters",1,IF(J1139="letters",1,IF(J1139="free forms",1,IF(J1139="odors",2,IF(J1139="words",2,IF(J1139="pictures",2,IF(J1139="object pictures",2,IF(J1139="faces",2,IF(J1139="names",2,IF(J1139="idioms","2",IF(J1139="grades",2,IF(J1139="syllable-digit pairs",3,IF(J1139="trigram-word pairs",3,IF(J1139="word-digit pairs",3,IF(J1139="English-Swahili pairs",3,IF(J1139="spatial position",3,IF(J1139="word pairs",4,IF(J1139="word triads",4,IF(J1139="generated words",4,IF(J1139="word definition pairs",4,IF(J1139="math problems",4,IF(J1139="famous faces",4,IF(J1139="famous names",4,IF(J1139="famous voices",4,IF(J1139="television programs",4,IF(J1139="race horses",4,IF(J1139="new vocabulary",4,IF(J1139="sentences",5,IF(J1139="concepts",5,IF(J1139="ad slides",5,IF(J1139="scenes",5,IF(J1139="famous scenes",5,IF(J1139="poems",6,IF(J1139="walk",6,IF(J1139="faces and events",6,IF(J1139="events and names",6,IF(J1139="flashbulb",7,IF(J1139="stories",7,IF(J1139="course material",7,IF(J1139="autobiographical",7,IF(J1139="novels",7,IF(J1139="public events",7,"99"))))))))))))))))))))))))))))))))))))))))))))))</f>
        <v>4</v>
      </c>
      <c r="M1139" s="60">
        <v>1</v>
      </c>
      <c r="N1139" s="60">
        <v>1</v>
      </c>
      <c r="O1139" s="60">
        <v>0</v>
      </c>
      <c r="P1139" s="60"/>
      <c r="Q1139" s="60" t="s">
        <v>312</v>
      </c>
      <c r="R1139" s="60">
        <f>IF(Q1139="Free Recall",1,IF(Q1139="Cued Recall",2,IF(Q1139="Recognition",3,IF(Q1139="Multiple Choice",4,IF(Q1139="Savings",5,IF(Q1139="Stem Completion",6,IF(Q1139="Fragment Completion",7,IF(Q1139="anagram solution",8,IF(Q1139="Matching",9,IF(Q1139="Problem Solving",10,"99"))))))))))</f>
        <v>10</v>
      </c>
      <c r="S1139" s="60" t="s">
        <v>15</v>
      </c>
      <c r="T1139" s="60" t="s">
        <v>261</v>
      </c>
      <c r="U1139" s="60">
        <f>IF(T1139="within",1,0)</f>
        <v>0</v>
      </c>
      <c r="V1139" s="60">
        <v>10</v>
      </c>
      <c r="W1139" s="60">
        <f>F1139*V1139</f>
        <v>580</v>
      </c>
      <c r="X1139" s="60">
        <v>3</v>
      </c>
      <c r="Y1139" s="76">
        <f>AV1138</f>
        <v>300</v>
      </c>
      <c r="Z1139" s="60" t="s">
        <v>140</v>
      </c>
      <c r="AA1139" s="60">
        <f>4*7*24*3600</f>
        <v>2419200</v>
      </c>
      <c r="AB1139" s="60" t="str">
        <f>IF(AA1139&lt;60,"1",IF(AA1139&lt;=43200,"2",IF(AA1139&lt;=777600,"3","4")))</f>
        <v>4</v>
      </c>
      <c r="AC1139" s="56">
        <f>AVERAGE(AV1138:DA1138)</f>
        <v>1008100</v>
      </c>
      <c r="AD1139" s="60" t="str">
        <f>IF(AC1139&lt;60,"1",IF(AC1139&lt;=43200,"2",IF(AC1139&lt;=777600,"3","4")))</f>
        <v>4</v>
      </c>
      <c r="AE1139" s="76">
        <f>AA1139-Y1139</f>
        <v>2418900</v>
      </c>
      <c r="AF1139" s="80">
        <f>AV1139</f>
        <v>0.94</v>
      </c>
      <c r="AG1139" s="56">
        <f>((AW1139-AV1139)+(AX1139-AW1139))/2</f>
        <v>-0.30999999999999994</v>
      </c>
      <c r="AH1139" s="4"/>
      <c r="AI1139" s="56">
        <f>RSQ(AV1139:AX1139,AV1138:AX1138)</f>
        <v>0.99625228352925932</v>
      </c>
      <c r="AJ1139" s="109">
        <f>SLOPE(AV1139:AX1139,AV1138:AX1138)</f>
        <v>-2.5185399504695184E-7</v>
      </c>
      <c r="AK1139" s="56">
        <f>INTERCEPT(AV1139:AX1139,AV1138:AX1138)</f>
        <v>0.923894012406832</v>
      </c>
      <c r="AL1139" s="56">
        <f>INDEX(LINEST(LN(AV1139:AX1139),LN(AV1138:AX1138),TRUE,TRUE),3,1)</f>
        <v>0.58146054933669544</v>
      </c>
      <c r="AM1139" s="56">
        <f>INDEX(LINEST(LN(AV1139:AX1139),LN(AV1138:AX1138)),1)</f>
        <v>-8.9474583952758202E-2</v>
      </c>
      <c r="AN1139" s="56">
        <f>EXP(INDEX(LINEST(LN(AV1139:AX1139),LN(AV1138:AX1138)),1,2))</f>
        <v>1.6640028199649759</v>
      </c>
      <c r="AO1139" s="82">
        <f>INDEX(LINEST((AV1139:AX1139),LN(AV1138:AX1138),TRUE,TRUE),3,1)</f>
        <v>0.68130921439796943</v>
      </c>
      <c r="AP1139" s="82">
        <f>INDEX(LINEST((AV1139:AX1139),LN(AV1138:AX1138)),1)</f>
        <v>-5.4137778598609423E-2</v>
      </c>
      <c r="AQ1139" s="83">
        <f>INDEX(LINEST(LN(AV1139:AX1139),SQRT(AV1138:AX1138),TRUE,TRUE),3,1)</f>
        <v>0.90277995533820632</v>
      </c>
      <c r="AR1139" s="116">
        <f>INDEX(LINEST(LN(AV1139:AX1139),SQRT((AV1138:AX1138))),1)</f>
        <v>-7.0209537122052732E-4</v>
      </c>
      <c r="AS1139" s="84">
        <f>INDEX(LINEST(1/(AV1139:AX1139),1/(SQRT(AV1138:AX1138)),TRUE,TRUE),3,1)</f>
        <v>0.37008442076548614</v>
      </c>
      <c r="AT1139" s="84">
        <f>INDEX(LINEST(1/(AV1139:AX1139),1/SQRT(AV1138:AX1138)),1)</f>
        <v>-20.793169890380053</v>
      </c>
      <c r="AU1139" s="4"/>
      <c r="AV1139" s="53">
        <v>0.94</v>
      </c>
      <c r="AW1139" s="53">
        <v>0.75</v>
      </c>
      <c r="AX1139" s="53">
        <v>0.32</v>
      </c>
      <c r="AY1139" s="42"/>
      <c r="AZ1139" s="46"/>
      <c r="BA1139" s="42"/>
      <c r="BB1139" s="42"/>
      <c r="BC1139" s="2"/>
      <c r="BD1139" s="2"/>
      <c r="BE1139" s="2"/>
      <c r="BF1139" s="2"/>
      <c r="BG1139" s="2"/>
      <c r="BH1139" s="2"/>
      <c r="BI1139" s="2"/>
      <c r="BJ1139" s="2"/>
      <c r="BK1139" s="2"/>
      <c r="BL1139" s="2"/>
      <c r="BM1139" s="2"/>
      <c r="BN1139" s="2"/>
      <c r="BO1139" s="2"/>
      <c r="BP1139" s="2"/>
      <c r="BQ1139" s="2"/>
      <c r="BR1139" s="2"/>
      <c r="BS1139" s="2"/>
      <c r="BT1139" s="2"/>
      <c r="BU1139" s="2"/>
      <c r="BV1139" s="2"/>
      <c r="BW1139" s="2"/>
      <c r="BX1139" s="2"/>
      <c r="BY1139" s="2"/>
      <c r="BZ1139" s="2"/>
      <c r="CA1139" s="2"/>
      <c r="CB1139" s="2"/>
      <c r="CC1139" s="2"/>
      <c r="CD1139" s="2"/>
      <c r="CE1139" s="2"/>
      <c r="CF1139" s="2"/>
      <c r="CG1139" s="2"/>
      <c r="CH1139" s="2"/>
      <c r="CI1139" s="2"/>
      <c r="CJ1139" s="2"/>
      <c r="CK1139" s="2"/>
      <c r="CL1139" s="2"/>
      <c r="CM1139" s="2"/>
      <c r="CN1139" s="2"/>
      <c r="CO1139" s="2"/>
      <c r="CP1139" s="2"/>
      <c r="CQ1139" s="2"/>
      <c r="CR1139" s="1"/>
      <c r="CS1139" s="1"/>
      <c r="CT1139" s="1"/>
      <c r="CU1139" s="1"/>
    </row>
    <row r="1140" spans="1:99" s="13" customFormat="1" ht="12" customHeight="1" x14ac:dyDescent="0.2">
      <c r="A1140" s="65">
        <v>43648</v>
      </c>
      <c r="B1140" s="1"/>
      <c r="C1140" s="1"/>
      <c r="D1140" s="60"/>
      <c r="E1140" s="76"/>
      <c r="F1140" s="60"/>
      <c r="G1140" s="60"/>
      <c r="H1140" s="60"/>
      <c r="I1140" s="60"/>
      <c r="J1140" s="60"/>
      <c r="K1140" s="64"/>
      <c r="L1140" s="64"/>
      <c r="M1140" s="60"/>
      <c r="N1140" s="60"/>
      <c r="O1140" s="60"/>
      <c r="P1140" s="60"/>
      <c r="Q1140" s="60"/>
      <c r="R1140" s="60"/>
      <c r="S1140" s="60"/>
      <c r="T1140" s="60"/>
      <c r="U1140" s="60"/>
      <c r="V1140" s="60"/>
      <c r="W1140" s="60"/>
      <c r="X1140" s="60"/>
      <c r="Y1140" s="76"/>
      <c r="Z1140" s="60"/>
      <c r="AA1140" s="60"/>
      <c r="AB1140" s="60"/>
      <c r="AC1140" s="60"/>
      <c r="AD1140" s="60"/>
      <c r="AE1140" s="60"/>
      <c r="AF1140" s="80"/>
      <c r="AG1140" s="56"/>
      <c r="AH1140" s="4"/>
      <c r="AI1140" s="56"/>
      <c r="AJ1140" s="109"/>
      <c r="AK1140" s="56"/>
      <c r="AL1140" s="56"/>
      <c r="AM1140" s="56"/>
      <c r="AN1140" s="56"/>
      <c r="AO1140" s="56"/>
      <c r="AP1140" s="56"/>
      <c r="AQ1140" s="82"/>
      <c r="AR1140" s="115"/>
      <c r="AS1140" s="82"/>
      <c r="AT1140" s="82"/>
      <c r="AU1140" s="4"/>
      <c r="AV1140" s="53">
        <v>300</v>
      </c>
      <c r="AW1140" s="1">
        <f>1*7*24*3600</f>
        <v>604800</v>
      </c>
      <c r="AX1140" s="1">
        <f>4*7*24*3600</f>
        <v>2419200</v>
      </c>
      <c r="AY1140" s="42"/>
      <c r="AZ1140" s="46"/>
      <c r="BA1140" s="42"/>
      <c r="BB1140" s="42"/>
      <c r="BC1140" s="2"/>
      <c r="BD1140" s="2"/>
      <c r="BE1140" s="2"/>
      <c r="BF1140" s="2"/>
      <c r="BG1140" s="2"/>
      <c r="BH1140" s="2"/>
      <c r="BI1140" s="2"/>
      <c r="BJ1140" s="2"/>
      <c r="BK1140" s="2"/>
      <c r="BL1140" s="2"/>
      <c r="BM1140" s="2"/>
      <c r="BN1140" s="2"/>
      <c r="BO1140" s="2"/>
      <c r="BP1140" s="2"/>
      <c r="BQ1140" s="2"/>
      <c r="BR1140" s="2"/>
      <c r="BS1140" s="2"/>
      <c r="BT1140" s="2"/>
      <c r="BU1140" s="2"/>
      <c r="BV1140" s="2"/>
      <c r="BW1140" s="2"/>
      <c r="BX1140" s="2"/>
      <c r="BY1140" s="2"/>
      <c r="BZ1140" s="2"/>
      <c r="CA1140" s="2"/>
      <c r="CB1140" s="2"/>
      <c r="CC1140" s="2"/>
      <c r="CD1140" s="2"/>
      <c r="CE1140" s="2"/>
      <c r="CF1140" s="2"/>
      <c r="CG1140" s="2"/>
      <c r="CH1140" s="2"/>
      <c r="CI1140" s="2"/>
      <c r="CJ1140" s="2"/>
      <c r="CK1140" s="2"/>
      <c r="CL1140" s="2"/>
      <c r="CM1140" s="2"/>
      <c r="CN1140" s="2"/>
      <c r="CO1140" s="2"/>
      <c r="CP1140" s="2"/>
      <c r="CQ1140" s="2"/>
      <c r="CR1140" s="1"/>
      <c r="CS1140" s="1"/>
      <c r="CT1140" s="1"/>
      <c r="CU1140" s="1"/>
    </row>
    <row r="1141" spans="1:99" s="13" customFormat="1" ht="12" customHeight="1" x14ac:dyDescent="0.2">
      <c r="A1141" s="65">
        <v>43648</v>
      </c>
      <c r="B1141" s="1" t="s">
        <v>795</v>
      </c>
      <c r="C1141" s="1" t="s">
        <v>307</v>
      </c>
      <c r="D1141" s="60">
        <v>2006</v>
      </c>
      <c r="E1141" s="76">
        <v>1</v>
      </c>
      <c r="F1141" s="60">
        <v>50</v>
      </c>
      <c r="G1141" s="60">
        <v>25</v>
      </c>
      <c r="H1141" s="60" t="s">
        <v>800</v>
      </c>
      <c r="I1141" s="60" t="s">
        <v>798</v>
      </c>
      <c r="J1141" s="60" t="s">
        <v>164</v>
      </c>
      <c r="K1141" s="60">
        <f>IF(J1141="syllables",1,IF(J1141="trigrams",2,IF(J1141="strings",3,IF(J1141="visual array",4,IF(J1141="characters",5,IF(J1141="letters",6,IF(J1141="free forms",7,IF(J1141="odors",8,IF(J1141="words",9,IF(J1141="pictures",10,IF(J1141="object pictures",11,IF(J1141="faces",12,IF(J1141="names",13,IF(J1141="idioms",14,IF(J1141="grades",15,IF(J1141="syllable-digit pairs",16,IF(J1141="trigram-word pairs",17,IF(J1141="word-digit pairs",18,IF(J1141="English-Swahili pairs",19,IF(J1141="spatial position",20,IF(J1141="word pairs",21,IF(J1141="word triads",22,IF(J1141="generated words",23,IF(J1141="word definition pairs",24,IF(J1141="math problems",25,IF(J1141="famous faces",26,IF(J1141="famous names",27,IF(J1141="famous voices",28,IF(J1141="television programs",29,IF(J1141="race horses",30,IF(J1141="new vocabulary",31,IF(J1141="sentences",32,IF(J1141="concepts",33,IF(J1141="ad slides",34,IF(J1141="scenes",35,IF(J1141="famous scenes",36,IF(J1141="poems",37,IF(J1141="walk",38,IF(J1141="faces and events",39,IF(J1141="events and names",40,IF(J1141="flashbulb",41,IF(J1141="stories",42,IF(J1141="course material",43,IF(J1141="autobiographical",44,IF(J1141="novels",45,IF(J1141="public events",46,"99"))))))))))))))))))))))))))))))))))))))))))))))</f>
        <v>25</v>
      </c>
      <c r="L1141" s="60">
        <f>IF(J1141="syllables",1,IF(J1141="trigrams",1,IF(J1141="strings",1,IF(J1141="visual array",1,IF(J1141="characters",1,IF(J1141="letters",1,IF(J1141="free forms",1,IF(J1141="odors",2,IF(J1141="words",2,IF(J1141="pictures",2,IF(J1141="object pictures",2,IF(J1141="faces",2,IF(J1141="names",2,IF(J1141="idioms","2",IF(J1141="grades",2,IF(J1141="syllable-digit pairs",3,IF(J1141="trigram-word pairs",3,IF(J1141="word-digit pairs",3,IF(J1141="English-Swahili pairs",3,IF(J1141="spatial position",3,IF(J1141="word pairs",4,IF(J1141="word triads",4,IF(J1141="generated words",4,IF(J1141="word definition pairs",4,IF(J1141="math problems",4,IF(J1141="famous faces",4,IF(J1141="famous names",4,IF(J1141="famous voices",4,IF(J1141="television programs",4,IF(J1141="race horses",4,IF(J1141="new vocabulary",4,IF(J1141="sentences",5,IF(J1141="concepts",5,IF(J1141="ad slides",5,IF(J1141="scenes",5,IF(J1141="famous scenes",5,IF(J1141="poems",6,IF(J1141="walk",6,IF(J1141="faces and events",6,IF(J1141="events and names",6,IF(J1141="flashbulb",7,IF(J1141="stories",7,IF(J1141="course material",7,IF(J1141="autobiographical",7,IF(J1141="novels",7,IF(J1141="public events",7,"99"))))))))))))))))))))))))))))))))))))))))))))))</f>
        <v>4</v>
      </c>
      <c r="M1141" s="60">
        <v>1</v>
      </c>
      <c r="N1141" s="60">
        <v>1</v>
      </c>
      <c r="O1141" s="60">
        <v>0</v>
      </c>
      <c r="P1141" s="60"/>
      <c r="Q1141" s="60" t="s">
        <v>312</v>
      </c>
      <c r="R1141" s="60">
        <f>IF(Q1141="Free Recall",1,IF(Q1141="Cued Recall",2,IF(Q1141="Recognition",3,IF(Q1141="Multiple Choice",4,IF(Q1141="Savings",5,IF(Q1141="Stem Completion",6,IF(Q1141="Fragment Completion",7,IF(Q1141="anagram solution",8,IF(Q1141="Matching",9,IF(Q1141="Problem Solving",10,"99"))))))))))</f>
        <v>10</v>
      </c>
      <c r="S1141" s="60" t="s">
        <v>15</v>
      </c>
      <c r="T1141" s="60" t="s">
        <v>261</v>
      </c>
      <c r="U1141" s="60">
        <f>IF(T1141="within",1,0)</f>
        <v>0</v>
      </c>
      <c r="V1141" s="60">
        <v>9</v>
      </c>
      <c r="W1141" s="60">
        <f>F1141*V1141</f>
        <v>450</v>
      </c>
      <c r="X1141" s="60">
        <v>3</v>
      </c>
      <c r="Y1141" s="76">
        <f>AV1140</f>
        <v>300</v>
      </c>
      <c r="Z1141" s="60" t="s">
        <v>140</v>
      </c>
      <c r="AA1141" s="60">
        <f>4*7*24*3600</f>
        <v>2419200</v>
      </c>
      <c r="AB1141" s="60" t="str">
        <f>IF(AA1141&lt;60,"1",IF(AA1141&lt;=43200,"2",IF(AA1141&lt;=777600,"3","4")))</f>
        <v>4</v>
      </c>
      <c r="AC1141" s="56">
        <f>AVERAGE(AV1140:DA1140)</f>
        <v>1008100</v>
      </c>
      <c r="AD1141" s="60" t="str">
        <f>IF(AC1141&lt;60,"1",IF(AC1141&lt;=43200,"2",IF(AC1141&lt;=777600,"3","4")))</f>
        <v>4</v>
      </c>
      <c r="AE1141" s="76">
        <f>AA1141-Y1141</f>
        <v>2418900</v>
      </c>
      <c r="AF1141" s="80">
        <f>AV1141</f>
        <v>0.95</v>
      </c>
      <c r="AG1141" s="56">
        <f>((AW1141-AV1141)+(AX1141-AW1141))/2</f>
        <v>-0.33499999999999996</v>
      </c>
      <c r="AH1141" s="4"/>
      <c r="AI1141" s="56">
        <f>RSQ(AV1141:AX1141,AV1140:AX1140)</f>
        <v>0.97689666849496715</v>
      </c>
      <c r="AJ1141" s="109">
        <f>SLOPE(AV1141:AX1141,AV1140:AX1140)</f>
        <v>-2.652074578957498E-7</v>
      </c>
      <c r="AK1141" s="56">
        <f>INTERCEPT(AV1141:AX1141,AV1140:AX1140)</f>
        <v>0.90735563830470545</v>
      </c>
      <c r="AL1141" s="56">
        <f>INDEX(LINEST(LN(AV1141:AX1141),LN(AV1140:AX1140),TRUE,TRUE),3,1)</f>
        <v>0.63524118775641902</v>
      </c>
      <c r="AM1141" s="56">
        <f>INDEX(LINEST(LN(AV1141:AX1141),LN(AV1140:AX1140)),1)</f>
        <v>-0.10426040817463735</v>
      </c>
      <c r="AN1141" s="56">
        <f>EXP(INDEX(LINEST(LN(AV1141:AX1141),LN(AV1140:AX1140)),1,2))</f>
        <v>1.8342193746695841</v>
      </c>
      <c r="AO1141" s="82">
        <f>INDEX(LINEST((AV1141:AX1141),LN(AV1140:AX1140),TRUE,TRUE),3,1)</f>
        <v>0.76293630992677641</v>
      </c>
      <c r="AP1141" s="82">
        <f>INDEX(LINEST((AV1141:AX1141),LN(AV1140:AX1140)),1)</f>
        <v>-6.0921372875818565E-2</v>
      </c>
      <c r="AQ1141" s="83">
        <f>INDEX(LINEST(LN(AV1141:AX1141),SQRT(AV1140:AX1140),TRUE,TRUE),3,1)</f>
        <v>0.93292911366989661</v>
      </c>
      <c r="AR1141" s="116">
        <f>INDEX(LINEST(LN(AV1141:AX1141),SQRT((AV1140:AX1140))),1)</f>
        <v>-7.9568288179008857E-4</v>
      </c>
      <c r="AS1141" s="84">
        <f>INDEX(LINEST(1/(AV1141:AX1141),1/(SQRT(AV1140:AX1140)),TRUE,TRUE),3,1)</f>
        <v>0.39574302946757589</v>
      </c>
      <c r="AT1141" s="84">
        <f>INDEX(LINEST(1/(AV1141:AX1141),1/SQRT(AV1140:AX1140)),1)</f>
        <v>-25.992375802185901</v>
      </c>
      <c r="AU1141" s="4"/>
      <c r="AV1141" s="53">
        <v>0.95</v>
      </c>
      <c r="AW1141" s="53">
        <v>0.69</v>
      </c>
      <c r="AX1141" s="53">
        <v>0.28000000000000003</v>
      </c>
      <c r="AY1141" s="42"/>
      <c r="AZ1141" s="46"/>
      <c r="BA1141" s="42"/>
      <c r="BB1141" s="42"/>
      <c r="BC1141" s="2"/>
      <c r="BD1141" s="2"/>
      <c r="BE1141" s="2"/>
      <c r="BF1141" s="2"/>
      <c r="BG1141" s="2"/>
      <c r="BH1141" s="2"/>
      <c r="BI1141" s="2"/>
      <c r="BJ1141" s="2"/>
      <c r="BK1141" s="2"/>
      <c r="BL1141" s="2"/>
      <c r="BM1141" s="2"/>
      <c r="BN1141" s="2"/>
      <c r="BO1141" s="2"/>
      <c r="BP1141" s="2"/>
      <c r="BQ1141" s="2"/>
      <c r="BR1141" s="2"/>
      <c r="BS1141" s="2"/>
      <c r="BT1141" s="2"/>
      <c r="BU1141" s="2"/>
      <c r="BV1141" s="2"/>
      <c r="BW1141" s="2"/>
      <c r="BX1141" s="2"/>
      <c r="BY1141" s="2"/>
      <c r="BZ1141" s="2"/>
      <c r="CA1141" s="2"/>
      <c r="CB1141" s="2"/>
      <c r="CC1141" s="2"/>
      <c r="CD1141" s="2"/>
      <c r="CE1141" s="2"/>
      <c r="CF1141" s="2"/>
      <c r="CG1141" s="2"/>
      <c r="CH1141" s="2"/>
      <c r="CI1141" s="2"/>
      <c r="CJ1141" s="2"/>
      <c r="CK1141" s="2"/>
      <c r="CL1141" s="2"/>
      <c r="CM1141" s="2"/>
      <c r="CN1141" s="2"/>
      <c r="CO1141" s="2"/>
      <c r="CP1141" s="2"/>
      <c r="CQ1141" s="2"/>
      <c r="CR1141" s="1"/>
      <c r="CS1141" s="1"/>
      <c r="CT1141" s="1"/>
      <c r="CU1141" s="1"/>
    </row>
    <row r="1142" spans="1:99" s="13" customFormat="1" ht="12" customHeight="1" x14ac:dyDescent="0.2">
      <c r="A1142" s="65">
        <v>43648</v>
      </c>
      <c r="B1142" s="1"/>
      <c r="C1142" s="1"/>
      <c r="D1142" s="60"/>
      <c r="E1142" s="76"/>
      <c r="F1142" s="60"/>
      <c r="G1142" s="60"/>
      <c r="H1142" s="60"/>
      <c r="I1142" s="60"/>
      <c r="J1142" s="60"/>
      <c r="K1142" s="64"/>
      <c r="L1142" s="64"/>
      <c r="M1142" s="60"/>
      <c r="N1142" s="60"/>
      <c r="O1142" s="60"/>
      <c r="P1142" s="60"/>
      <c r="Q1142" s="60"/>
      <c r="R1142" s="60"/>
      <c r="S1142" s="60"/>
      <c r="T1142" s="60"/>
      <c r="U1142" s="60"/>
      <c r="V1142" s="60"/>
      <c r="W1142" s="60"/>
      <c r="X1142" s="60"/>
      <c r="Y1142" s="76"/>
      <c r="Z1142" s="60"/>
      <c r="AA1142" s="60"/>
      <c r="AB1142" s="60"/>
      <c r="AC1142" s="60"/>
      <c r="AD1142" s="60"/>
      <c r="AE1142" s="60"/>
      <c r="AF1142" s="80"/>
      <c r="AG1142" s="56"/>
      <c r="AH1142" s="4"/>
      <c r="AI1142" s="56"/>
      <c r="AJ1142" s="109"/>
      <c r="AK1142" s="56"/>
      <c r="AL1142" s="56"/>
      <c r="AM1142" s="56"/>
      <c r="AN1142" s="56"/>
      <c r="AO1142" s="56"/>
      <c r="AP1142" s="56"/>
      <c r="AQ1142" s="82"/>
      <c r="AR1142" s="115"/>
      <c r="AS1142" s="82"/>
      <c r="AT1142" s="82"/>
      <c r="AU1142" s="4"/>
      <c r="AV1142" s="53">
        <v>300</v>
      </c>
      <c r="AW1142" s="1">
        <f>1*7*24*3600</f>
        <v>604800</v>
      </c>
      <c r="AX1142" s="1">
        <f>4*7*24*3600</f>
        <v>2419200</v>
      </c>
      <c r="AY1142" s="42"/>
      <c r="AZ1142" s="46"/>
      <c r="BA1142" s="42"/>
      <c r="BB1142" s="42"/>
      <c r="BC1142" s="2"/>
      <c r="BD1142" s="2"/>
      <c r="BE1142" s="2"/>
      <c r="BF1142" s="2"/>
      <c r="BG1142" s="2"/>
      <c r="BH1142" s="2"/>
      <c r="BI1142" s="2"/>
      <c r="BJ1142" s="2"/>
      <c r="BK1142" s="2"/>
      <c r="BL1142" s="2"/>
      <c r="BM1142" s="2"/>
      <c r="BN1142" s="2"/>
      <c r="BO1142" s="2"/>
      <c r="BP1142" s="2"/>
      <c r="BQ1142" s="2"/>
      <c r="BR1142" s="2"/>
      <c r="BS1142" s="2"/>
      <c r="BT1142" s="2"/>
      <c r="BU1142" s="2"/>
      <c r="BV1142" s="2"/>
      <c r="BW1142" s="2"/>
      <c r="BX1142" s="2"/>
      <c r="BY1142" s="2"/>
      <c r="BZ1142" s="2"/>
      <c r="CA1142" s="2"/>
      <c r="CB1142" s="2"/>
      <c r="CC1142" s="2"/>
      <c r="CD1142" s="2"/>
      <c r="CE1142" s="2"/>
      <c r="CF1142" s="2"/>
      <c r="CG1142" s="2"/>
      <c r="CH1142" s="2"/>
      <c r="CI1142" s="2"/>
      <c r="CJ1142" s="2"/>
      <c r="CK1142" s="2"/>
      <c r="CL1142" s="2"/>
      <c r="CM1142" s="2"/>
      <c r="CN1142" s="2"/>
      <c r="CO1142" s="2"/>
      <c r="CP1142" s="2"/>
      <c r="CQ1142" s="2"/>
      <c r="CR1142" s="1"/>
      <c r="CS1142" s="1"/>
      <c r="CT1142" s="1"/>
      <c r="CU1142" s="1"/>
    </row>
    <row r="1143" spans="1:99" s="13" customFormat="1" ht="12" customHeight="1" x14ac:dyDescent="0.2">
      <c r="A1143" s="65">
        <v>43648</v>
      </c>
      <c r="B1143" s="1" t="s">
        <v>795</v>
      </c>
      <c r="C1143" s="1" t="s">
        <v>307</v>
      </c>
      <c r="D1143" s="60">
        <v>2006</v>
      </c>
      <c r="E1143" s="76">
        <v>1</v>
      </c>
      <c r="F1143" s="60">
        <v>50</v>
      </c>
      <c r="G1143" s="60">
        <v>25</v>
      </c>
      <c r="H1143" s="60" t="s">
        <v>800</v>
      </c>
      <c r="I1143" s="60" t="s">
        <v>799</v>
      </c>
      <c r="J1143" s="60" t="s">
        <v>164</v>
      </c>
      <c r="K1143" s="60">
        <f>IF(J1143="syllables",1,IF(J1143="trigrams",2,IF(J1143="strings",3,IF(J1143="visual array",4,IF(J1143="characters",5,IF(J1143="letters",6,IF(J1143="free forms",7,IF(J1143="odors",8,IF(J1143="words",9,IF(J1143="pictures",10,IF(J1143="object pictures",11,IF(J1143="faces",12,IF(J1143="names",13,IF(J1143="idioms",14,IF(J1143="grades",15,IF(J1143="syllable-digit pairs",16,IF(J1143="trigram-word pairs",17,IF(J1143="word-digit pairs",18,IF(J1143="English-Swahili pairs",19,IF(J1143="spatial position",20,IF(J1143="word pairs",21,IF(J1143="word triads",22,IF(J1143="generated words",23,IF(J1143="word definition pairs",24,IF(J1143="math problems",25,IF(J1143="famous faces",26,IF(J1143="famous names",27,IF(J1143="famous voices",28,IF(J1143="television programs",29,IF(J1143="race horses",30,IF(J1143="new vocabulary",31,IF(J1143="sentences",32,IF(J1143="concepts",33,IF(J1143="ad slides",34,IF(J1143="scenes",35,IF(J1143="famous scenes",36,IF(J1143="poems",37,IF(J1143="walk",38,IF(J1143="faces and events",39,IF(J1143="events and names",40,IF(J1143="flashbulb",41,IF(J1143="stories",42,IF(J1143="course material",43,IF(J1143="autobiographical",44,IF(J1143="novels",45,IF(J1143="public events",46,"99"))))))))))))))))))))))))))))))))))))))))))))))</f>
        <v>25</v>
      </c>
      <c r="L1143" s="60">
        <f>IF(J1143="syllables",1,IF(J1143="trigrams",1,IF(J1143="strings",1,IF(J1143="visual array",1,IF(J1143="characters",1,IF(J1143="letters",1,IF(J1143="free forms",1,IF(J1143="odors",2,IF(J1143="words",2,IF(J1143="pictures",2,IF(J1143="object pictures",2,IF(J1143="faces",2,IF(J1143="names",2,IF(J1143="idioms","2",IF(J1143="grades",2,IF(J1143="syllable-digit pairs",3,IF(J1143="trigram-word pairs",3,IF(J1143="word-digit pairs",3,IF(J1143="English-Swahili pairs",3,IF(J1143="spatial position",3,IF(J1143="word pairs",4,IF(J1143="word triads",4,IF(J1143="generated words",4,IF(J1143="word definition pairs",4,IF(J1143="math problems",4,IF(J1143="famous faces",4,IF(J1143="famous names",4,IF(J1143="famous voices",4,IF(J1143="television programs",4,IF(J1143="race horses",4,IF(J1143="new vocabulary",4,IF(J1143="sentences",5,IF(J1143="concepts",5,IF(J1143="ad slides",5,IF(J1143="scenes",5,IF(J1143="famous scenes",5,IF(J1143="poems",6,IF(J1143="walk",6,IF(J1143="faces and events",6,IF(J1143="events and names",6,IF(J1143="flashbulb",7,IF(J1143="stories",7,IF(J1143="course material",7,IF(J1143="autobiographical",7,IF(J1143="novels",7,IF(J1143="public events",7,"99"))))))))))))))))))))))))))))))))))))))))))))))</f>
        <v>4</v>
      </c>
      <c r="M1143" s="60">
        <v>1</v>
      </c>
      <c r="N1143" s="60">
        <v>1</v>
      </c>
      <c r="O1143" s="60">
        <v>0</v>
      </c>
      <c r="P1143" s="60"/>
      <c r="Q1143" s="60" t="s">
        <v>312</v>
      </c>
      <c r="R1143" s="60">
        <f>IF(Q1143="Free Recall",1,IF(Q1143="Cued Recall",2,IF(Q1143="Recognition",3,IF(Q1143="Multiple Choice",4,IF(Q1143="Savings",5,IF(Q1143="Stem Completion",6,IF(Q1143="Fragment Completion",7,IF(Q1143="anagram solution",8,IF(Q1143="Matching",9,IF(Q1143="Problem Solving",10,"99"))))))))))</f>
        <v>10</v>
      </c>
      <c r="S1143" s="60" t="s">
        <v>15</v>
      </c>
      <c r="T1143" s="60" t="s">
        <v>261</v>
      </c>
      <c r="U1143" s="60">
        <f>IF(T1143="within",1,0)</f>
        <v>0</v>
      </c>
      <c r="V1143" s="60">
        <v>3</v>
      </c>
      <c r="W1143" s="60">
        <f>F1143*V1143</f>
        <v>150</v>
      </c>
      <c r="X1143" s="60">
        <v>3</v>
      </c>
      <c r="Y1143" s="76">
        <f>AV1142</f>
        <v>300</v>
      </c>
      <c r="Z1143" s="60" t="s">
        <v>140</v>
      </c>
      <c r="AA1143" s="60">
        <f>4*7*24*3600</f>
        <v>2419200</v>
      </c>
      <c r="AB1143" s="60" t="str">
        <f>IF(AA1143&lt;60,"1",IF(AA1143&lt;=43200,"2",IF(AA1143&lt;=777600,"3","4")))</f>
        <v>4</v>
      </c>
      <c r="AC1143" s="56">
        <f>AVERAGE(AV1142:DA1142)</f>
        <v>1008100</v>
      </c>
      <c r="AD1143" s="60" t="str">
        <f>IF(AC1143&lt;60,"1",IF(AC1143&lt;=43200,"2",IF(AC1143&lt;=777600,"3","4")))</f>
        <v>4</v>
      </c>
      <c r="AE1143" s="76">
        <f>AA1143-Y1143</f>
        <v>2418900</v>
      </c>
      <c r="AF1143" s="80">
        <f>AV1143</f>
        <v>0.88</v>
      </c>
      <c r="AG1143" s="56">
        <f>((AW1143-AV1143)+(AX1143-AW1143))/2</f>
        <v>-0.30499999999999999</v>
      </c>
      <c r="AH1143" s="4"/>
      <c r="AI1143" s="56">
        <f>RSQ(AV1143:AX1143,AV1142:AX1142)</f>
        <v>0.98938641365985869</v>
      </c>
      <c r="AJ1143" s="109">
        <f>SLOPE(AV1143:AX1143,AV1142:AX1142)</f>
        <v>-2.4485702534659767E-7</v>
      </c>
      <c r="AK1143" s="56">
        <f>INTERCEPT(AV1143:AX1143,AV1142:AX1142)</f>
        <v>0.85350703391857174</v>
      </c>
      <c r="AL1143" s="56">
        <f>INDEX(LINEST(LN(AV1143:AX1143),LN(AV1142:AX1142),TRUE,TRUE),3,1)</f>
        <v>0.60324918345642675</v>
      </c>
      <c r="AM1143" s="56">
        <f>INDEX(LINEST(LN(AV1143:AX1143),LN(AV1142:AX1142)),1)</f>
        <v>-9.9213181364829386E-2</v>
      </c>
      <c r="AN1143" s="56">
        <f>EXP(INDEX(LINEST(LN(AV1143:AX1143),LN(AV1142:AX1142)),1,2))</f>
        <v>1.6527744900200623</v>
      </c>
      <c r="AO1143" s="82">
        <f>INDEX(LINEST((AV1143:AX1143),LN(AV1142:AX1142),TRUE,TRUE),3,1)</f>
        <v>0.71971902106667862</v>
      </c>
      <c r="AP1143" s="82">
        <f>INDEX(LINEST((AV1143:AX1143),LN(AV1142:AX1142)),1)</f>
        <v>-5.4284420915613987E-2</v>
      </c>
      <c r="AQ1143" s="83">
        <f>INDEX(LINEST(LN(AV1143:AX1143),SQRT(AV1142:AX1142),TRUE,TRUE),3,1)</f>
        <v>0.91551699929519526</v>
      </c>
      <c r="AR1143" s="116">
        <f>INDEX(LINEST(LN(AV1143:AX1143),SQRT((AV1142:AX1142))),1)</f>
        <v>-7.6969702212792434E-4</v>
      </c>
      <c r="AS1143" s="84">
        <f>INDEX(LINEST(1/(AV1143:AX1143),1/(SQRT(AV1142:AX1142)),TRUE,TRUE),3,1)</f>
        <v>0.37765412962362499</v>
      </c>
      <c r="AT1143" s="84">
        <f>INDEX(LINEST(1/(AV1143:AX1143),1/SQRT(AV1142:AX1142)),1)</f>
        <v>-26.076787103183293</v>
      </c>
      <c r="AU1143" s="4"/>
      <c r="AV1143" s="53">
        <v>0.88</v>
      </c>
      <c r="AW1143" s="53">
        <v>0.67</v>
      </c>
      <c r="AX1143" s="53">
        <v>0.27</v>
      </c>
      <c r="AY1143" s="42"/>
      <c r="AZ1143" s="46"/>
      <c r="BA1143" s="42"/>
      <c r="BB1143" s="42"/>
      <c r="BC1143" s="2"/>
      <c r="BD1143" s="2"/>
      <c r="BE1143" s="2"/>
      <c r="BF1143" s="2"/>
      <c r="BG1143" s="2"/>
      <c r="BH1143" s="2"/>
      <c r="BI1143" s="2"/>
      <c r="BJ1143" s="2"/>
      <c r="BK1143" s="2"/>
      <c r="BL1143" s="2"/>
      <c r="BM1143" s="2"/>
      <c r="BN1143" s="2"/>
      <c r="BO1143" s="2"/>
      <c r="BP1143" s="2"/>
      <c r="BQ1143" s="2"/>
      <c r="BR1143" s="2"/>
      <c r="BS1143" s="2"/>
      <c r="BT1143" s="2"/>
      <c r="BU1143" s="2"/>
      <c r="BV1143" s="2"/>
      <c r="BW1143" s="2"/>
      <c r="BX1143" s="2"/>
      <c r="BY1143" s="2"/>
      <c r="BZ1143" s="2"/>
      <c r="CA1143" s="2"/>
      <c r="CB1143" s="2"/>
      <c r="CC1143" s="2"/>
      <c r="CD1143" s="2"/>
      <c r="CE1143" s="2"/>
      <c r="CF1143" s="2"/>
      <c r="CG1143" s="2"/>
      <c r="CH1143" s="2"/>
      <c r="CI1143" s="2"/>
      <c r="CJ1143" s="2"/>
      <c r="CK1143" s="2"/>
      <c r="CL1143" s="2"/>
      <c r="CM1143" s="2"/>
      <c r="CN1143" s="2"/>
      <c r="CO1143" s="2"/>
      <c r="CP1143" s="2"/>
      <c r="CQ1143" s="2"/>
      <c r="CR1143" s="1"/>
      <c r="CS1143" s="1"/>
      <c r="CT1143" s="1"/>
      <c r="CU1143" s="1"/>
    </row>
    <row r="1144" spans="1:99" s="13" customFormat="1" ht="12" customHeight="1" x14ac:dyDescent="0.2">
      <c r="A1144" s="68">
        <v>43509</v>
      </c>
      <c r="B1144" s="70"/>
      <c r="C1144" s="70"/>
      <c r="D1144" s="69"/>
      <c r="E1144" s="87"/>
      <c r="F1144" s="69"/>
      <c r="G1144" s="69"/>
      <c r="H1144" s="69"/>
      <c r="I1144" s="69"/>
      <c r="J1144" s="69"/>
      <c r="K1144" s="107"/>
      <c r="L1144" s="107"/>
      <c r="M1144" s="69"/>
      <c r="N1144" s="69"/>
      <c r="O1144" s="69"/>
      <c r="P1144" s="69"/>
      <c r="Q1144" s="69"/>
      <c r="R1144" s="69"/>
      <c r="S1144" s="69"/>
      <c r="T1144" s="69"/>
      <c r="U1144" s="69"/>
      <c r="V1144" s="69"/>
      <c r="W1144" s="69"/>
      <c r="X1144" s="69"/>
      <c r="Y1144" s="87"/>
      <c r="Z1144" s="69"/>
      <c r="AA1144" s="69"/>
      <c r="AB1144" s="69"/>
      <c r="AC1144" s="69"/>
      <c r="AD1144" s="69"/>
      <c r="AE1144" s="69"/>
      <c r="AF1144" s="88"/>
      <c r="AG1144" s="72"/>
      <c r="AH1144" s="4"/>
      <c r="AI1144" s="72"/>
      <c r="AJ1144" s="110"/>
      <c r="AK1144" s="72"/>
      <c r="AL1144" s="72"/>
      <c r="AM1144" s="72"/>
      <c r="AN1144" s="72"/>
      <c r="AO1144" s="72"/>
      <c r="AP1144" s="72"/>
      <c r="AQ1144" s="89"/>
      <c r="AR1144" s="118"/>
      <c r="AS1144" s="89"/>
      <c r="AT1144" s="89"/>
      <c r="AU1144" s="9"/>
      <c r="AV1144" s="71">
        <f>60*1</f>
        <v>60</v>
      </c>
      <c r="AW1144" s="71">
        <f>60*4</f>
        <v>240</v>
      </c>
      <c r="AX1144" s="71">
        <f>60*8</f>
        <v>480</v>
      </c>
      <c r="AY1144" s="42"/>
      <c r="AZ1144" s="46"/>
      <c r="BA1144" s="42"/>
      <c r="BB1144" s="42"/>
      <c r="BC1144" s="2"/>
      <c r="BD1144" s="2"/>
      <c r="BE1144" s="2"/>
      <c r="BF1144" s="2"/>
      <c r="BG1144" s="2"/>
      <c r="BH1144" s="2"/>
      <c r="BI1144" s="2"/>
      <c r="BJ1144" s="2"/>
      <c r="BK1144" s="2"/>
      <c r="BL1144" s="2"/>
      <c r="BM1144" s="2"/>
      <c r="BN1144" s="2"/>
      <c r="BO1144" s="2"/>
      <c r="BP1144" s="2"/>
      <c r="BQ1144" s="2"/>
      <c r="BR1144" s="2"/>
      <c r="BS1144" s="2"/>
      <c r="BT1144" s="2"/>
      <c r="BU1144" s="2"/>
      <c r="BV1144" s="2"/>
      <c r="BW1144" s="2"/>
      <c r="BX1144" s="2"/>
      <c r="BY1144" s="2"/>
      <c r="BZ1144" s="2"/>
      <c r="CA1144" s="2"/>
      <c r="CB1144" s="2"/>
      <c r="CC1144" s="2"/>
      <c r="CD1144" s="2"/>
      <c r="CE1144" s="2"/>
      <c r="CF1144" s="2"/>
      <c r="CG1144" s="2"/>
      <c r="CH1144" s="2"/>
      <c r="CI1144" s="2"/>
      <c r="CJ1144" s="2"/>
      <c r="CK1144" s="2"/>
      <c r="CL1144" s="2"/>
      <c r="CM1144" s="2"/>
      <c r="CN1144" s="2"/>
      <c r="CO1144" s="2"/>
      <c r="CP1144" s="2"/>
      <c r="CQ1144" s="2"/>
      <c r="CR1144" s="1"/>
      <c r="CS1144" s="1"/>
      <c r="CT1144" s="1"/>
      <c r="CU1144" s="1"/>
    </row>
    <row r="1145" spans="1:99" s="13" customFormat="1" ht="12" customHeight="1" x14ac:dyDescent="0.2">
      <c r="A1145" s="68">
        <v>43509</v>
      </c>
      <c r="B1145" s="70" t="s">
        <v>253</v>
      </c>
      <c r="C1145" s="70" t="s">
        <v>70</v>
      </c>
      <c r="D1145" s="69">
        <v>2015</v>
      </c>
      <c r="E1145" s="87">
        <v>1</v>
      </c>
      <c r="F1145" s="69">
        <v>36</v>
      </c>
      <c r="G1145" s="69">
        <v>36</v>
      </c>
      <c r="H1145" s="69" t="s">
        <v>50</v>
      </c>
      <c r="I1145" s="69" t="s">
        <v>784</v>
      </c>
      <c r="J1145" s="69" t="s">
        <v>16</v>
      </c>
      <c r="K1145" s="69">
        <f>IF(J1145="syllables",1,IF(J1145="trigrams",2,IF(J1145="strings",3,IF(J1145="visual array",4,IF(J1145="characters",5,IF(J1145="letters",6,IF(J1145="free forms",7,IF(J1145="odors",8,IF(J1145="words",9,IF(J1145="pictures",10,IF(J1145="object pictures",11,IF(J1145="faces",12,IF(J1145="names",13,IF(J1145="idioms",14,IF(J1145="grades",15,IF(J1145="syllable-digit pairs",16,IF(J1145="trigram-word pairs",17,IF(J1145="word-digit pairs",18,IF(J1145="English-Swahili pairs",19,IF(J1145="spatial position",20,IF(J1145="word pairs",21,IF(J1145="word triads",22,IF(J1145="generated words",23,IF(J1145="word definition pairs",24,IF(J1145="math problems",25,IF(J1145="famous faces",26,IF(J1145="famous names",27,IF(J1145="famous voices",28,IF(J1145="television programs",29,IF(J1145="race horses",30,IF(J1145="new vocabulary",31,IF(J1145="sentences",32,IF(J1145="concepts",33,IF(J1145="ad slides",34,IF(J1145="scenes",35,IF(J1145="famous scenes",36,IF(J1145="poems",37,IF(J1145="walk",38,IF(J1145="faces and events",39,IF(J1145="events and names",40,IF(J1145="flashbulb",41,IF(J1145="stories",42,IF(J1145="course material",43,IF(J1145="autobiographical",44,IF(J1145="novels",45,IF(J1145="public events",46,"99"))))))))))))))))))))))))))))))))))))))))))))))</f>
        <v>9</v>
      </c>
      <c r="L1145" s="69">
        <f>IF(J1145="syllables",1,IF(J1145="trigrams",1,IF(J1145="strings",1,IF(J1145="visual array",1,IF(J1145="characters",1,IF(J1145="letters",1,IF(J1145="free forms",1,IF(J1145="odors",2,IF(J1145="words",2,IF(J1145="pictures",2,IF(J1145="object pictures",2,IF(J1145="faces",2,IF(J1145="names",2,IF(J1145="idioms","2",IF(J1145="grades",2,IF(J1145="syllable-digit pairs",3,IF(J1145="trigram-word pairs",3,IF(J1145="word-digit pairs",3,IF(J1145="English-Swahili pairs",3,IF(J1145="spatial position",3,IF(J1145="word pairs",4,IF(J1145="word triads",4,IF(J1145="generated words",4,IF(J1145="word definition pairs",4,IF(J1145="math problems",4,IF(J1145="famous faces",4,IF(J1145="famous names",4,IF(J1145="famous voices",4,IF(J1145="television programs",4,IF(J1145="race horses",4,IF(J1145="new vocabulary",4,IF(J1145="sentences",5,IF(J1145="concepts",5,IF(J1145="ad slides",5,IF(J1145="scenes",5,IF(J1145="famous scenes",5,IF(J1145="poems",6,IF(J1145="walk",6,IF(J1145="faces and events",6,IF(J1145="events and names",6,IF(J1145="flashbulb",7,IF(J1145="stories",7,IF(J1145="course material",7,IF(J1145="autobiographical",7,IF(J1145="novels",7,IF(J1145="public events",7,"99"))))))))))))))))))))))))))))))))))))))))))))))</f>
        <v>2</v>
      </c>
      <c r="M1145" s="69">
        <v>1</v>
      </c>
      <c r="N1145" s="69">
        <v>2</v>
      </c>
      <c r="O1145" s="69">
        <v>1</v>
      </c>
      <c r="P1145" s="69" t="s">
        <v>71</v>
      </c>
      <c r="Q1145" s="69" t="s">
        <v>174</v>
      </c>
      <c r="R1145" s="69">
        <f>IF(Q1145="Free Recall",1,IF(Q1145="Cued Recall",2,IF(Q1145="Recognition",3,IF(Q1145="Multiple Choice",4,IF(Q1145="Savings",5,IF(Q1145="Stem Completion",6,IF(Q1145="Fragment Completion",7,IF(Q1145="anagram solution",8,IF(Q1145="Matching",9,IF(Q1145="Problem Solving",10,"99"))))))))))</f>
        <v>1</v>
      </c>
      <c r="S1145" s="69" t="s">
        <v>49</v>
      </c>
      <c r="T1145" s="92" t="s">
        <v>581</v>
      </c>
      <c r="U1145" s="69">
        <f>IF(T1145="within",1,0)</f>
        <v>1</v>
      </c>
      <c r="V1145" s="92">
        <v>10</v>
      </c>
      <c r="W1145" s="69">
        <f>F1145*V1145</f>
        <v>360</v>
      </c>
      <c r="X1145" s="69">
        <v>3</v>
      </c>
      <c r="Y1145" s="87">
        <f>AV1144</f>
        <v>60</v>
      </c>
      <c r="Z1145" s="69" t="s">
        <v>72</v>
      </c>
      <c r="AA1145" s="69">
        <v>480</v>
      </c>
      <c r="AB1145" s="69" t="str">
        <f>IF(AA1145&lt;60,"1",IF(AA1145&lt;=43200,"2",IF(AA1145&lt;=777600,"3","4")))</f>
        <v>2</v>
      </c>
      <c r="AC1145" s="72">
        <f>AVERAGE(AV1144:DA1144)</f>
        <v>260</v>
      </c>
      <c r="AD1145" s="69" t="str">
        <f>IF(AC1145&lt;60,"1",IF(AC1145&lt;=43200,"2",IF(AC1145&lt;=777600,"3","4")))</f>
        <v>2</v>
      </c>
      <c r="AE1145" s="87">
        <f>AA1145-Y1145</f>
        <v>420</v>
      </c>
      <c r="AF1145" s="88">
        <f>AV1145</f>
        <v>0.37</v>
      </c>
      <c r="AG1145" s="72">
        <f>((AW1145-AV1145)+(AX1145-AW1145))/2</f>
        <v>-6.7000000000000004E-2</v>
      </c>
      <c r="AH1145" s="4"/>
      <c r="AI1145" s="72">
        <f>RSQ(AV1145:AX1145,AV1144:AX1144)</f>
        <v>0.91113787548419556</v>
      </c>
      <c r="AJ1145" s="110">
        <f>SLOPE(AV1145:AX1145,AV1144:AX1144)</f>
        <v>-3.1103603603603607E-4</v>
      </c>
      <c r="AK1145" s="72">
        <f>INTERCEPT(AV1145:AX1145,AV1144:AX1144)</f>
        <v>0.37520270270270273</v>
      </c>
      <c r="AL1145" s="72">
        <f>INDEX(LINEST(LN(AV1145:AX1145),LN(AV1144:AX1144),TRUE,TRUE),3,1)</f>
        <v>0.99934411894180042</v>
      </c>
      <c r="AM1145" s="72">
        <f>INDEX(LINEST(LN(AV1145:AX1145),LN(AV1144:AX1144)),1)</f>
        <v>-0.21518520993464335</v>
      </c>
      <c r="AN1145" s="72">
        <f>EXP(INDEX(LINEST(LN(AV1145:AX1145),LN(AV1144:AX1144)),1,2))</f>
        <v>0.89493539894878338</v>
      </c>
      <c r="AO1145" s="89">
        <f>INDEX(LINEST((AV1145:AX1145),LN(AV1144:AX1144),TRUE,TRUE),3,1)</f>
        <v>0.9990833425924992</v>
      </c>
      <c r="AP1145" s="89">
        <f>INDEX(LINEST((AV1145:AX1145),LN(AV1144:AX1144)),1)</f>
        <v>-6.4818227194225558E-2</v>
      </c>
      <c r="AQ1145" s="90">
        <f>INDEX(LINEST(LN(AV1145:AX1145),SQRT(AV1144:AX1144),TRUE,TRUE),3,1)</f>
        <v>0.98786366078150989</v>
      </c>
      <c r="AR1145" s="117">
        <f>INDEX(LINEST(LN(AV1145:AX1145),SQRT((AV1144:AX1144))),1)</f>
        <v>-3.1941664904172079E-2</v>
      </c>
      <c r="AS1145" s="91">
        <f>INDEX(LINEST(1/(AV1145:AX1145),1/(SQRT(AV1144:AX1144)),TRUE,TRUE),3,1)</f>
        <v>0.9602124914342457</v>
      </c>
      <c r="AT1145" s="91">
        <f>INDEX(LINEST(1/(AV1145:AX1145),1/SQRT(AV1144:AX1144)),1)</f>
        <v>-17.2774486373469</v>
      </c>
      <c r="AU1145" s="3"/>
      <c r="AV1145" s="73">
        <v>0.37</v>
      </c>
      <c r="AW1145" s="73">
        <v>0.27700000000000002</v>
      </c>
      <c r="AX1145" s="73">
        <v>0.23599999999999999</v>
      </c>
      <c r="AY1145" s="42"/>
      <c r="AZ1145" s="46"/>
      <c r="BA1145" s="42"/>
      <c r="BB1145" s="42"/>
      <c r="BC1145" s="2"/>
      <c r="BD1145" s="2"/>
      <c r="BE1145" s="2"/>
      <c r="BF1145" s="2"/>
      <c r="BG1145" s="2"/>
      <c r="BH1145" s="2"/>
      <c r="BI1145" s="2"/>
      <c r="BJ1145" s="2"/>
      <c r="BK1145" s="2"/>
      <c r="BL1145" s="2"/>
      <c r="BM1145" s="2"/>
      <c r="BN1145" s="2"/>
      <c r="BO1145" s="2"/>
      <c r="BP1145" s="2"/>
      <c r="BQ1145" s="2"/>
      <c r="BR1145" s="2"/>
      <c r="BS1145" s="2"/>
      <c r="BT1145" s="2"/>
      <c r="BU1145" s="2"/>
      <c r="BV1145" s="2"/>
      <c r="BW1145" s="2"/>
      <c r="BX1145" s="2"/>
      <c r="BY1145" s="2"/>
      <c r="BZ1145" s="2"/>
      <c r="CA1145" s="2"/>
      <c r="CB1145" s="2"/>
      <c r="CC1145" s="2"/>
      <c r="CD1145" s="2"/>
      <c r="CE1145" s="2"/>
      <c r="CF1145" s="2"/>
      <c r="CG1145" s="2"/>
      <c r="CH1145" s="2"/>
      <c r="CI1145" s="2"/>
      <c r="CJ1145" s="2"/>
      <c r="CK1145" s="2"/>
      <c r="CL1145" s="2"/>
      <c r="CM1145" s="2"/>
      <c r="CN1145" s="2"/>
      <c r="CO1145" s="2"/>
      <c r="CP1145" s="2"/>
      <c r="CQ1145" s="2"/>
      <c r="CR1145" s="1"/>
      <c r="CS1145" s="1"/>
      <c r="CT1145" s="1"/>
      <c r="CU1145" s="1"/>
    </row>
    <row r="1146" spans="1:99" s="13" customFormat="1" ht="12" customHeight="1" x14ac:dyDescent="0.2">
      <c r="A1146" s="68">
        <v>43509</v>
      </c>
      <c r="B1146" s="70"/>
      <c r="C1146" s="70"/>
      <c r="D1146" s="69"/>
      <c r="E1146" s="87"/>
      <c r="F1146" s="69"/>
      <c r="G1146" s="69"/>
      <c r="H1146" s="69"/>
      <c r="I1146" s="69"/>
      <c r="J1146" s="69"/>
      <c r="K1146" s="107"/>
      <c r="L1146" s="107"/>
      <c r="M1146" s="69"/>
      <c r="N1146" s="69"/>
      <c r="O1146" s="69"/>
      <c r="P1146" s="69"/>
      <c r="Q1146" s="69"/>
      <c r="R1146" s="69"/>
      <c r="S1146" s="69"/>
      <c r="T1146" s="69"/>
      <c r="U1146" s="69"/>
      <c r="V1146" s="69"/>
      <c r="W1146" s="69"/>
      <c r="X1146" s="69"/>
      <c r="Y1146" s="87"/>
      <c r="Z1146" s="69"/>
      <c r="AA1146" s="69"/>
      <c r="AB1146" s="69"/>
      <c r="AC1146" s="69"/>
      <c r="AD1146" s="69"/>
      <c r="AE1146" s="69"/>
      <c r="AF1146" s="88"/>
      <c r="AG1146" s="72"/>
      <c r="AH1146" s="4"/>
      <c r="AI1146" s="72"/>
      <c r="AJ1146" s="110"/>
      <c r="AK1146" s="72"/>
      <c r="AL1146" s="72"/>
      <c r="AM1146" s="72"/>
      <c r="AN1146" s="72"/>
      <c r="AO1146" s="72"/>
      <c r="AP1146" s="72"/>
      <c r="AQ1146" s="89"/>
      <c r="AR1146" s="118"/>
      <c r="AS1146" s="89"/>
      <c r="AT1146" s="89"/>
      <c r="AU1146" s="5"/>
      <c r="AV1146" s="71">
        <f>60*1</f>
        <v>60</v>
      </c>
      <c r="AW1146" s="71">
        <f>60*4</f>
        <v>240</v>
      </c>
      <c r="AX1146" s="71">
        <f>60*8</f>
        <v>480</v>
      </c>
      <c r="AY1146" s="42"/>
      <c r="AZ1146" s="46"/>
      <c r="BA1146" s="42"/>
      <c r="BB1146" s="42"/>
      <c r="BC1146" s="2"/>
      <c r="BD1146" s="2"/>
      <c r="BE1146" s="2"/>
      <c r="BF1146" s="2"/>
      <c r="BG1146" s="2"/>
      <c r="BH1146" s="2"/>
      <c r="BI1146" s="2"/>
      <c r="BJ1146" s="2"/>
      <c r="BK1146" s="2"/>
      <c r="BL1146" s="2"/>
      <c r="BM1146" s="2"/>
      <c r="BN1146" s="2"/>
      <c r="BO1146" s="2"/>
      <c r="BP1146" s="2"/>
      <c r="BQ1146" s="2"/>
      <c r="BR1146" s="2"/>
      <c r="BS1146" s="2"/>
      <c r="BT1146" s="2"/>
      <c r="BU1146" s="2"/>
      <c r="BV1146" s="2"/>
      <c r="BW1146" s="2"/>
      <c r="BX1146" s="2"/>
      <c r="BY1146" s="2"/>
      <c r="BZ1146" s="2"/>
      <c r="CA1146" s="2"/>
      <c r="CB1146" s="2"/>
      <c r="CC1146" s="2"/>
      <c r="CD1146" s="2"/>
      <c r="CE1146" s="2"/>
      <c r="CF1146" s="2"/>
      <c r="CG1146" s="2"/>
      <c r="CH1146" s="2"/>
      <c r="CI1146" s="2"/>
      <c r="CJ1146" s="2"/>
      <c r="CK1146" s="2"/>
      <c r="CL1146" s="2"/>
      <c r="CM1146" s="2"/>
      <c r="CN1146" s="2"/>
      <c r="CO1146" s="2"/>
      <c r="CP1146" s="2"/>
      <c r="CQ1146" s="2"/>
      <c r="CR1146" s="1"/>
      <c r="CS1146" s="1"/>
      <c r="CT1146" s="1"/>
      <c r="CU1146" s="1"/>
    </row>
    <row r="1147" spans="1:99" s="13" customFormat="1" ht="12" customHeight="1" x14ac:dyDescent="0.2">
      <c r="A1147" s="68">
        <v>43509</v>
      </c>
      <c r="B1147" s="70" t="s">
        <v>253</v>
      </c>
      <c r="C1147" s="70" t="s">
        <v>70</v>
      </c>
      <c r="D1147" s="69">
        <v>2015</v>
      </c>
      <c r="E1147" s="87">
        <v>1</v>
      </c>
      <c r="F1147" s="69">
        <v>36</v>
      </c>
      <c r="G1147" s="69">
        <v>36</v>
      </c>
      <c r="H1147" s="69" t="s">
        <v>50</v>
      </c>
      <c r="I1147" s="69" t="s">
        <v>785</v>
      </c>
      <c r="J1147" s="69" t="s">
        <v>16</v>
      </c>
      <c r="K1147" s="69">
        <f>IF(J1147="syllables",1,IF(J1147="trigrams",2,IF(J1147="strings",3,IF(J1147="visual array",4,IF(J1147="characters",5,IF(J1147="letters",6,IF(J1147="free forms",7,IF(J1147="odors",8,IF(J1147="words",9,IF(J1147="pictures",10,IF(J1147="object pictures",11,IF(J1147="faces",12,IF(J1147="names",13,IF(J1147="idioms",14,IF(J1147="grades",15,IF(J1147="syllable-digit pairs",16,IF(J1147="trigram-word pairs",17,IF(J1147="word-digit pairs",18,IF(J1147="English-Swahili pairs",19,IF(J1147="spatial position",20,IF(J1147="word pairs",21,IF(J1147="word triads",22,IF(J1147="generated words",23,IF(J1147="word definition pairs",24,IF(J1147="math problems",25,IF(J1147="famous faces",26,IF(J1147="famous names",27,IF(J1147="famous voices",28,IF(J1147="television programs",29,IF(J1147="race horses",30,IF(J1147="new vocabulary",31,IF(J1147="sentences",32,IF(J1147="concepts",33,IF(J1147="ad slides",34,IF(J1147="scenes",35,IF(J1147="famous scenes",36,IF(J1147="poems",37,IF(J1147="walk",38,IF(J1147="faces and events",39,IF(J1147="events and names",40,IF(J1147="flashbulb",41,IF(J1147="stories",42,IF(J1147="course material",43,IF(J1147="autobiographical",44,IF(J1147="novels",45,IF(J1147="public events",46,"99"))))))))))))))))))))))))))))))))))))))))))))))</f>
        <v>9</v>
      </c>
      <c r="L1147" s="69">
        <f>IF(J1147="syllables",1,IF(J1147="trigrams",1,IF(J1147="strings",1,IF(J1147="visual array",1,IF(J1147="characters",1,IF(J1147="letters",1,IF(J1147="free forms",1,IF(J1147="odors",2,IF(J1147="words",2,IF(J1147="pictures",2,IF(J1147="object pictures",2,IF(J1147="faces",2,IF(J1147="names",2,IF(J1147="idioms","2",IF(J1147="grades",2,IF(J1147="syllable-digit pairs",3,IF(J1147="trigram-word pairs",3,IF(J1147="word-digit pairs",3,IF(J1147="English-Swahili pairs",3,IF(J1147="spatial position",3,IF(J1147="word pairs",4,IF(J1147="word triads",4,IF(J1147="generated words",4,IF(J1147="word definition pairs",4,IF(J1147="math problems",4,IF(J1147="famous faces",4,IF(J1147="famous names",4,IF(J1147="famous voices",4,IF(J1147="television programs",4,IF(J1147="race horses",4,IF(J1147="new vocabulary",4,IF(J1147="sentences",5,IF(J1147="concepts",5,IF(J1147="ad slides",5,IF(J1147="scenes",5,IF(J1147="famous scenes",5,IF(J1147="poems",6,IF(J1147="walk",6,IF(J1147="faces and events",6,IF(J1147="events and names",6,IF(J1147="flashbulb",7,IF(J1147="stories",7,IF(J1147="course material",7,IF(J1147="autobiographical",7,IF(J1147="novels",7,IF(J1147="public events",7,"99"))))))))))))))))))))))))))))))))))))))))))))))</f>
        <v>2</v>
      </c>
      <c r="M1147" s="69">
        <v>0</v>
      </c>
      <c r="N1147" s="69">
        <v>1</v>
      </c>
      <c r="O1147" s="69">
        <v>1</v>
      </c>
      <c r="P1147" s="69" t="s">
        <v>71</v>
      </c>
      <c r="Q1147" s="69" t="s">
        <v>174</v>
      </c>
      <c r="R1147" s="69">
        <f>IF(Q1147="Free Recall",1,IF(Q1147="Cued Recall",2,IF(Q1147="Recognition",3,IF(Q1147="Multiple Choice",4,IF(Q1147="Savings",5,IF(Q1147="Stem Completion",6,IF(Q1147="Fragment Completion",7,IF(Q1147="anagram solution",8,IF(Q1147="Matching",9,IF(Q1147="Problem Solving",10,"99"))))))))))</f>
        <v>1</v>
      </c>
      <c r="S1147" s="69" t="s">
        <v>49</v>
      </c>
      <c r="T1147" s="92" t="s">
        <v>581</v>
      </c>
      <c r="U1147" s="69">
        <f>IF(T1147="within",1,0)</f>
        <v>1</v>
      </c>
      <c r="V1147" s="92">
        <v>10</v>
      </c>
      <c r="W1147" s="69">
        <f>F1147*V1147</f>
        <v>360</v>
      </c>
      <c r="X1147" s="69">
        <v>3</v>
      </c>
      <c r="Y1147" s="87">
        <f>AV1146</f>
        <v>60</v>
      </c>
      <c r="Z1147" s="69" t="s">
        <v>72</v>
      </c>
      <c r="AA1147" s="69">
        <v>480</v>
      </c>
      <c r="AB1147" s="69" t="str">
        <f>IF(AA1147&lt;60,"1",IF(AA1147&lt;=43200,"2",IF(AA1147&lt;=777600,"3","4")))</f>
        <v>2</v>
      </c>
      <c r="AC1147" s="72">
        <f>AVERAGE(AV1146:DA1146)</f>
        <v>260</v>
      </c>
      <c r="AD1147" s="69" t="str">
        <f>IF(AC1147&lt;60,"1",IF(AC1147&lt;=43200,"2",IF(AC1147&lt;=777600,"3","4")))</f>
        <v>2</v>
      </c>
      <c r="AE1147" s="87">
        <f>AA1147-Y1147</f>
        <v>420</v>
      </c>
      <c r="AF1147" s="88">
        <f>AV1147</f>
        <v>0.29699999999999999</v>
      </c>
      <c r="AG1147" s="72">
        <f>((AW1147-AV1147)+(AX1147-AW1147))/2</f>
        <v>-3.1499999999999986E-2</v>
      </c>
      <c r="AH1147" s="4"/>
      <c r="AI1147" s="72">
        <f>RSQ(AV1147:AX1147,AV1146:AX1146)</f>
        <v>0.99466177632116504</v>
      </c>
      <c r="AJ1147" s="110">
        <f>SLOPE(AV1147:AX1147,AV1146:AX1146)</f>
        <v>-1.4909909909909905E-4</v>
      </c>
      <c r="AK1147" s="72">
        <f>INTERCEPT(AV1147:AX1147,AV1146:AX1146)</f>
        <v>0.3044324324324324</v>
      </c>
      <c r="AL1147" s="72">
        <f>INDEX(LINEST(LN(AV1147:AX1147),LN(AV1146:AX1146),TRUE,TRUE),3,1)</f>
        <v>0.94644285766145786</v>
      </c>
      <c r="AM1147" s="72">
        <f>INDEX(LINEST(LN(AV1147:AX1147),LN(AV1146:AX1146)),1)</f>
        <v>-0.10963244929778714</v>
      </c>
      <c r="AN1147" s="72">
        <f>EXP(INDEX(LINEST(LN(AV1147:AX1147),LN(AV1146:AX1146)),1,2))</f>
        <v>0.47014535624050813</v>
      </c>
      <c r="AO1147" s="89">
        <f>INDEX(LINEST((AV1147:AX1147),LN(AV1146:AX1146),TRUE,TRUE),3,1)</f>
        <v>0.96080666058831987</v>
      </c>
      <c r="AP1147" s="89">
        <f>INDEX(LINEST((AV1147:AX1147),LN(AV1146:AX1146)),1)</f>
        <v>-2.9163049755112594E-2</v>
      </c>
      <c r="AQ1147" s="90">
        <f>INDEX(LINEST(LN(AV1147:AX1147),SQRT(AV1146:AX1146),TRUE,TRUE),3,1)</f>
        <v>0.99051622960352947</v>
      </c>
      <c r="AR1147" s="117">
        <f>INDEX(LINEST(LN(AV1147:AX1147),SQRT((AV1146:AX1146))),1)</f>
        <v>-1.6744680766842115E-2</v>
      </c>
      <c r="AS1147" s="91">
        <f>INDEX(LINEST(1/(AV1147:AX1147),1/(SQRT(AV1146:AX1146)),TRUE,TRUE),3,1)</f>
        <v>0.86019363802387616</v>
      </c>
      <c r="AT1147" s="91">
        <f>INDEX(LINEST(1/(AV1147:AX1147),1/SQRT(AV1146:AX1146)),1)</f>
        <v>-9.6354466120822391</v>
      </c>
      <c r="AU1147" s="3"/>
      <c r="AV1147" s="73">
        <v>0.29699999999999999</v>
      </c>
      <c r="AW1147" s="73">
        <v>0.26600000000000001</v>
      </c>
      <c r="AX1147" s="73">
        <v>0.23400000000000001</v>
      </c>
      <c r="AY1147" s="42"/>
      <c r="AZ1147" s="46"/>
      <c r="BA1147" s="42"/>
      <c r="BB1147" s="42"/>
      <c r="BC1147" s="2"/>
      <c r="BD1147" s="2"/>
      <c r="BE1147" s="2"/>
      <c r="BF1147" s="2"/>
      <c r="BG1147" s="2"/>
      <c r="BH1147" s="2"/>
      <c r="BI1147" s="2"/>
      <c r="BJ1147" s="2"/>
      <c r="BK1147" s="2"/>
      <c r="BL1147" s="2"/>
      <c r="BM1147" s="2"/>
      <c r="BN1147" s="2"/>
      <c r="BO1147" s="2"/>
      <c r="BP1147" s="2"/>
      <c r="BQ1147" s="2"/>
      <c r="BR1147" s="2"/>
      <c r="BS1147" s="2"/>
      <c r="BT1147" s="2"/>
      <c r="BU1147" s="2"/>
      <c r="BV1147" s="2"/>
      <c r="BW1147" s="2"/>
      <c r="BX1147" s="2"/>
      <c r="BY1147" s="2"/>
      <c r="BZ1147" s="2"/>
      <c r="CA1147" s="2"/>
      <c r="CB1147" s="2"/>
      <c r="CC1147" s="2"/>
      <c r="CD1147" s="2"/>
      <c r="CE1147" s="2"/>
      <c r="CF1147" s="2"/>
      <c r="CG1147" s="2"/>
      <c r="CH1147" s="2"/>
      <c r="CI1147" s="2"/>
      <c r="CJ1147" s="2"/>
      <c r="CK1147" s="2"/>
      <c r="CL1147" s="2"/>
      <c r="CM1147" s="2"/>
      <c r="CN1147" s="2"/>
      <c r="CO1147" s="2"/>
      <c r="CP1147" s="2"/>
      <c r="CQ1147" s="2"/>
      <c r="CR1147" s="1"/>
      <c r="CS1147" s="1"/>
      <c r="CT1147" s="1"/>
      <c r="CU1147" s="1"/>
    </row>
    <row r="1148" spans="1:99" s="13" customFormat="1" ht="12" customHeight="1" x14ac:dyDescent="0.2">
      <c r="A1148" s="68">
        <v>43509</v>
      </c>
      <c r="B1148" s="70"/>
      <c r="C1148" s="70"/>
      <c r="D1148" s="69"/>
      <c r="E1148" s="87"/>
      <c r="F1148" s="69"/>
      <c r="G1148" s="69"/>
      <c r="H1148" s="69"/>
      <c r="I1148" s="69"/>
      <c r="J1148" s="69"/>
      <c r="K1148" s="107"/>
      <c r="L1148" s="107"/>
      <c r="M1148" s="69"/>
      <c r="N1148" s="69"/>
      <c r="O1148" s="69"/>
      <c r="P1148" s="69"/>
      <c r="Q1148" s="69"/>
      <c r="R1148" s="69"/>
      <c r="S1148" s="69"/>
      <c r="T1148" s="69"/>
      <c r="U1148" s="69"/>
      <c r="V1148" s="69"/>
      <c r="W1148" s="69"/>
      <c r="X1148" s="69"/>
      <c r="Y1148" s="87"/>
      <c r="Z1148" s="69"/>
      <c r="AA1148" s="69"/>
      <c r="AB1148" s="69"/>
      <c r="AC1148" s="69"/>
      <c r="AD1148" s="69"/>
      <c r="AE1148" s="69"/>
      <c r="AF1148" s="88"/>
      <c r="AG1148" s="72"/>
      <c r="AH1148" s="4"/>
      <c r="AI1148" s="72"/>
      <c r="AJ1148" s="110"/>
      <c r="AK1148" s="72"/>
      <c r="AL1148" s="72"/>
      <c r="AM1148" s="72"/>
      <c r="AN1148" s="72"/>
      <c r="AO1148" s="72"/>
      <c r="AP1148" s="72"/>
      <c r="AQ1148" s="89"/>
      <c r="AR1148" s="118"/>
      <c r="AS1148" s="89"/>
      <c r="AT1148" s="89"/>
      <c r="AU1148" s="6"/>
      <c r="AV1148" s="71">
        <f>60*0.5</f>
        <v>30</v>
      </c>
      <c r="AW1148" s="71">
        <f>60*1.5</f>
        <v>90</v>
      </c>
      <c r="AX1148" s="71">
        <f>60*4</f>
        <v>240</v>
      </c>
      <c r="AY1148" s="42"/>
      <c r="AZ1148" s="46"/>
      <c r="BA1148" s="42"/>
      <c r="BB1148" s="42"/>
      <c r="BC1148" s="2"/>
      <c r="BD1148" s="2"/>
      <c r="BE1148" s="2"/>
      <c r="BF1148" s="2"/>
      <c r="BG1148" s="2"/>
      <c r="BH1148" s="2"/>
      <c r="BI1148" s="2"/>
      <c r="BJ1148" s="2"/>
      <c r="BK1148" s="2"/>
      <c r="BL1148" s="2"/>
      <c r="BM1148" s="2"/>
      <c r="BN1148" s="2"/>
      <c r="BO1148" s="2"/>
      <c r="BP1148" s="2"/>
      <c r="BQ1148" s="2"/>
      <c r="BR1148" s="2"/>
      <c r="BS1148" s="2"/>
      <c r="BT1148" s="2"/>
      <c r="BU1148" s="2"/>
      <c r="BV1148" s="2"/>
      <c r="BW1148" s="2"/>
      <c r="BX1148" s="2"/>
      <c r="BY1148" s="2"/>
      <c r="BZ1148" s="2"/>
      <c r="CA1148" s="2"/>
      <c r="CB1148" s="2"/>
      <c r="CC1148" s="2"/>
      <c r="CD1148" s="2"/>
      <c r="CE1148" s="2"/>
      <c r="CF1148" s="2"/>
      <c r="CG1148" s="2"/>
      <c r="CH1148" s="2"/>
      <c r="CI1148" s="2"/>
      <c r="CJ1148" s="2"/>
      <c r="CK1148" s="2"/>
      <c r="CL1148" s="2"/>
      <c r="CM1148" s="2"/>
      <c r="CN1148" s="2"/>
      <c r="CO1148" s="2"/>
      <c r="CP1148" s="2"/>
      <c r="CQ1148" s="2"/>
      <c r="CR1148" s="1"/>
      <c r="CS1148" s="1"/>
      <c r="CT1148" s="1"/>
      <c r="CU1148" s="1"/>
    </row>
    <row r="1149" spans="1:99" s="13" customFormat="1" ht="12" customHeight="1" x14ac:dyDescent="0.2">
      <c r="A1149" s="68">
        <v>43509</v>
      </c>
      <c r="B1149" s="70" t="s">
        <v>253</v>
      </c>
      <c r="C1149" s="70" t="s">
        <v>70</v>
      </c>
      <c r="D1149" s="69">
        <v>2015</v>
      </c>
      <c r="E1149" s="87">
        <v>3</v>
      </c>
      <c r="F1149" s="69">
        <v>63</v>
      </c>
      <c r="G1149" s="69">
        <v>63</v>
      </c>
      <c r="H1149" s="69" t="s">
        <v>32</v>
      </c>
      <c r="I1149" s="69" t="s">
        <v>784</v>
      </c>
      <c r="J1149" s="69" t="s">
        <v>16</v>
      </c>
      <c r="K1149" s="69">
        <f>IF(J1149="syllables",1,IF(J1149="trigrams",2,IF(J1149="strings",3,IF(J1149="visual array",4,IF(J1149="characters",5,IF(J1149="letters",6,IF(J1149="free forms",7,IF(J1149="odors",8,IF(J1149="words",9,IF(J1149="pictures",10,IF(J1149="object pictures",11,IF(J1149="faces",12,IF(J1149="names",13,IF(J1149="idioms",14,IF(J1149="grades",15,IF(J1149="syllable-digit pairs",16,IF(J1149="trigram-word pairs",17,IF(J1149="word-digit pairs",18,IF(J1149="English-Swahili pairs",19,IF(J1149="spatial position",20,IF(J1149="word pairs",21,IF(J1149="word triads",22,IF(J1149="generated words",23,IF(J1149="word definition pairs",24,IF(J1149="math problems",25,IF(J1149="famous faces",26,IF(J1149="famous names",27,IF(J1149="famous voices",28,IF(J1149="television programs",29,IF(J1149="race horses",30,IF(J1149="new vocabulary",31,IF(J1149="sentences",32,IF(J1149="concepts",33,IF(J1149="ad slides",34,IF(J1149="scenes",35,IF(J1149="famous scenes",36,IF(J1149="poems",37,IF(J1149="walk",38,IF(J1149="faces and events",39,IF(J1149="events and names",40,IF(J1149="flashbulb",41,IF(J1149="stories",42,IF(J1149="course material",43,IF(J1149="autobiographical",44,IF(J1149="novels",45,IF(J1149="public events",46,"99"))))))))))))))))))))))))))))))))))))))))))))))</f>
        <v>9</v>
      </c>
      <c r="L1149" s="69">
        <f>IF(J1149="syllables",1,IF(J1149="trigrams",1,IF(J1149="strings",1,IF(J1149="visual array",1,IF(J1149="characters",1,IF(J1149="letters",1,IF(J1149="free forms",1,IF(J1149="odors",2,IF(J1149="words",2,IF(J1149="pictures",2,IF(J1149="object pictures",2,IF(J1149="faces",2,IF(J1149="names",2,IF(J1149="idioms","2",IF(J1149="grades",2,IF(J1149="syllable-digit pairs",3,IF(J1149="trigram-word pairs",3,IF(J1149="word-digit pairs",3,IF(J1149="English-Swahili pairs",3,IF(J1149="spatial position",3,IF(J1149="word pairs",4,IF(J1149="word triads",4,IF(J1149="generated words",4,IF(J1149="word definition pairs",4,IF(J1149="math problems",4,IF(J1149="famous faces",4,IF(J1149="famous names",4,IF(J1149="famous voices",4,IF(J1149="television programs",4,IF(J1149="race horses",4,IF(J1149="new vocabulary",4,IF(J1149="sentences",5,IF(J1149="concepts",5,IF(J1149="ad slides",5,IF(J1149="scenes",5,IF(J1149="famous scenes",5,IF(J1149="poems",6,IF(J1149="walk",6,IF(J1149="faces and events",6,IF(J1149="events and names",6,IF(J1149="flashbulb",7,IF(J1149="stories",7,IF(J1149="course material",7,IF(J1149="autobiographical",7,IF(J1149="novels",7,IF(J1149="public events",7,"99"))))))))))))))))))))))))))))))))))))))))))))))</f>
        <v>2</v>
      </c>
      <c r="M1149" s="69">
        <v>1</v>
      </c>
      <c r="N1149" s="69">
        <v>2</v>
      </c>
      <c r="O1149" s="69">
        <v>1</v>
      </c>
      <c r="P1149" s="69" t="s">
        <v>71</v>
      </c>
      <c r="Q1149" s="69" t="s">
        <v>174</v>
      </c>
      <c r="R1149" s="69">
        <f>IF(Q1149="Free Recall",1,IF(Q1149="Cued Recall",2,IF(Q1149="Recognition",3,IF(Q1149="Multiple Choice",4,IF(Q1149="Savings",5,IF(Q1149="Stem Completion",6,IF(Q1149="Fragment Completion",7,IF(Q1149="anagram solution",8,IF(Q1149="Matching",9,IF(Q1149="Problem Solving",10,"99"))))))))))</f>
        <v>1</v>
      </c>
      <c r="S1149" s="69" t="s">
        <v>49</v>
      </c>
      <c r="T1149" s="92" t="s">
        <v>581</v>
      </c>
      <c r="U1149" s="69">
        <f>IF(T1149="within",1,0)</f>
        <v>1</v>
      </c>
      <c r="V1149" s="92">
        <v>10</v>
      </c>
      <c r="W1149" s="69">
        <f>F1149*V1149</f>
        <v>630</v>
      </c>
      <c r="X1149" s="69">
        <v>3</v>
      </c>
      <c r="Y1149" s="87">
        <f>AV1148</f>
        <v>30</v>
      </c>
      <c r="Z1149" s="69" t="s">
        <v>73</v>
      </c>
      <c r="AA1149" s="69">
        <v>240</v>
      </c>
      <c r="AB1149" s="69" t="str">
        <f>IF(AA1149&lt;60,"1",IF(AA1149&lt;=43200,"2",IF(AA1149&lt;=777600,"3","4")))</f>
        <v>2</v>
      </c>
      <c r="AC1149" s="72">
        <f>AVERAGE(AV1148:DA1148)</f>
        <v>120</v>
      </c>
      <c r="AD1149" s="69" t="str">
        <f>IF(AC1149&lt;60,"1",IF(AC1149&lt;=43200,"2",IF(AC1149&lt;=777600,"3","4")))</f>
        <v>2</v>
      </c>
      <c r="AE1149" s="87">
        <f>AA1149-Y1149</f>
        <v>210</v>
      </c>
      <c r="AF1149" s="88">
        <f>AV1149</f>
        <v>0.30099999999999999</v>
      </c>
      <c r="AG1149" s="72">
        <f>((AW1149-AV1149)+(AX1149-AW1149))/2</f>
        <v>-3.0499999999999999E-2</v>
      </c>
      <c r="AH1149" s="4"/>
      <c r="AI1149" s="72">
        <f>RSQ(AV1149:AX1149,AV1148:AX1148)</f>
        <v>0.32532233615381118</v>
      </c>
      <c r="AJ1149" s="110">
        <f>SLOPE(AV1149:AX1149,AV1148:AX1148)</f>
        <v>-4.512820512820512E-4</v>
      </c>
      <c r="AK1149" s="72">
        <f>INTERCEPT(AV1149:AX1149,AV1148:AX1148)</f>
        <v>0.37082051282051282</v>
      </c>
      <c r="AL1149" s="72">
        <f>INDEX(LINEST(LN(AV1149:AX1149),LN(AV1148:AX1148),TRUE,TRUE),3,1)</f>
        <v>0.15477039358386907</v>
      </c>
      <c r="AM1149" s="72">
        <f>INDEX(LINEST(LN(AV1149:AX1149),LN(AV1148:AX1148)),1)</f>
        <v>-0.10117749958037014</v>
      </c>
      <c r="AN1149" s="72">
        <f>EXP(INDEX(LINEST(LN(AV1149:AX1149),LN(AV1148:AX1148)),1,2))</f>
        <v>0.48547539564427139</v>
      </c>
      <c r="AO1149" s="89">
        <f>INDEX(LINEST((AV1149:AX1149),LN(AV1148:AX1148),TRUE,TRUE),3,1)</f>
        <v>0.10604991857350331</v>
      </c>
      <c r="AP1149" s="89">
        <f>INDEX(LINEST((AV1149:AX1149),LN(AV1148:AX1148)),1)</f>
        <v>-2.6791091105988724E-2</v>
      </c>
      <c r="AQ1149" s="90">
        <f>INDEX(LINEST(LN(AV1149:AX1149),SQRT(AV1148:AX1148),TRUE,TRUE),3,1)</f>
        <v>0.27459679831736911</v>
      </c>
      <c r="AR1149" s="117">
        <f>INDEX(LINEST(LN(AV1149:AX1149),SQRT((AV1148:AX1148))),1)</f>
        <v>-2.7814631666790317E-2</v>
      </c>
      <c r="AS1149" s="91">
        <f>INDEX(LINEST(1/(AV1149:AX1149),1/(SQRT(AV1148:AX1148)),TRUE,TRUE),3,1)</f>
        <v>0.10921764057965229</v>
      </c>
      <c r="AT1149" s="91">
        <f>INDEX(LINEST(1/(AV1149:AX1149),1/SQRT(AV1148:AX1148)),1)</f>
        <v>-4.7468948913017144</v>
      </c>
      <c r="AU1149" s="3"/>
      <c r="AV1149" s="73">
        <v>0.30099999999999999</v>
      </c>
      <c r="AW1149" s="73">
        <v>0.40899999999999997</v>
      </c>
      <c r="AX1149" s="73">
        <v>0.24</v>
      </c>
      <c r="AY1149" s="42"/>
      <c r="AZ1149" s="46"/>
      <c r="BA1149" s="42"/>
      <c r="BB1149" s="42"/>
      <c r="BC1149" s="2"/>
      <c r="BD1149" s="2"/>
      <c r="BE1149" s="2"/>
      <c r="BF1149" s="2"/>
      <c r="BG1149" s="2"/>
      <c r="BH1149" s="2"/>
      <c r="BI1149" s="2"/>
      <c r="BJ1149" s="2"/>
      <c r="BK1149" s="2"/>
      <c r="BL1149" s="2"/>
      <c r="BM1149" s="2"/>
      <c r="BN1149" s="2"/>
      <c r="BO1149" s="2"/>
      <c r="BP1149" s="2"/>
      <c r="BQ1149" s="2"/>
      <c r="BR1149" s="2"/>
      <c r="BS1149" s="2"/>
      <c r="BT1149" s="2"/>
      <c r="BU1149" s="2"/>
      <c r="BV1149" s="2"/>
      <c r="BW1149" s="2"/>
      <c r="BX1149" s="2"/>
      <c r="BY1149" s="2"/>
      <c r="BZ1149" s="2"/>
      <c r="CA1149" s="2"/>
      <c r="CB1149" s="2"/>
      <c r="CC1149" s="2"/>
      <c r="CD1149" s="2"/>
      <c r="CE1149" s="2"/>
      <c r="CF1149" s="2"/>
      <c r="CG1149" s="2"/>
      <c r="CH1149" s="2"/>
      <c r="CI1149" s="2"/>
      <c r="CJ1149" s="2"/>
      <c r="CK1149" s="2"/>
      <c r="CL1149" s="2"/>
      <c r="CM1149" s="2"/>
      <c r="CN1149" s="2"/>
      <c r="CO1149" s="2"/>
      <c r="CP1149" s="2"/>
      <c r="CQ1149" s="2"/>
      <c r="CR1149" s="1"/>
      <c r="CS1149" s="1"/>
      <c r="CT1149" s="1"/>
      <c r="CU1149" s="1"/>
    </row>
    <row r="1150" spans="1:99" s="13" customFormat="1" ht="12" customHeight="1" x14ac:dyDescent="0.2">
      <c r="A1150" s="68">
        <v>43509</v>
      </c>
      <c r="B1150" s="70"/>
      <c r="C1150" s="70"/>
      <c r="D1150" s="69"/>
      <c r="E1150" s="87"/>
      <c r="F1150" s="69"/>
      <c r="G1150" s="69"/>
      <c r="H1150" s="69"/>
      <c r="I1150" s="69"/>
      <c r="J1150" s="69"/>
      <c r="K1150" s="107"/>
      <c r="L1150" s="107"/>
      <c r="M1150" s="69"/>
      <c r="N1150" s="69"/>
      <c r="O1150" s="69"/>
      <c r="P1150" s="69"/>
      <c r="Q1150" s="69"/>
      <c r="R1150" s="69"/>
      <c r="S1150" s="69"/>
      <c r="T1150" s="69"/>
      <c r="U1150" s="69"/>
      <c r="V1150" s="69"/>
      <c r="W1150" s="69"/>
      <c r="X1150" s="69"/>
      <c r="Y1150" s="87"/>
      <c r="Z1150" s="69"/>
      <c r="AA1150" s="69"/>
      <c r="AB1150" s="69"/>
      <c r="AC1150" s="69"/>
      <c r="AD1150" s="69"/>
      <c r="AE1150" s="69"/>
      <c r="AF1150" s="88"/>
      <c r="AG1150" s="72"/>
      <c r="AH1150" s="4"/>
      <c r="AI1150" s="72"/>
      <c r="AJ1150" s="110"/>
      <c r="AK1150" s="72"/>
      <c r="AL1150" s="72"/>
      <c r="AM1150" s="72"/>
      <c r="AN1150" s="72"/>
      <c r="AO1150" s="72"/>
      <c r="AP1150" s="72"/>
      <c r="AQ1150" s="89"/>
      <c r="AR1150" s="118"/>
      <c r="AS1150" s="89"/>
      <c r="AT1150" s="89"/>
      <c r="AU1150" s="5"/>
      <c r="AV1150" s="71">
        <f>60*0.5</f>
        <v>30</v>
      </c>
      <c r="AW1150" s="71">
        <f>60*1.5</f>
        <v>90</v>
      </c>
      <c r="AX1150" s="71">
        <f>60*4</f>
        <v>240</v>
      </c>
      <c r="AY1150" s="42"/>
      <c r="AZ1150" s="46"/>
      <c r="BA1150" s="42"/>
      <c r="BB1150" s="42"/>
      <c r="BC1150" s="2"/>
      <c r="BD1150" s="2"/>
      <c r="BE1150" s="2"/>
      <c r="BF1150" s="2"/>
      <c r="BG1150" s="2"/>
      <c r="BH1150" s="2"/>
      <c r="BI1150" s="2"/>
      <c r="BJ1150" s="2"/>
      <c r="BK1150" s="2"/>
      <c r="BL1150" s="2"/>
      <c r="BM1150" s="2"/>
      <c r="BN1150" s="2"/>
      <c r="BO1150" s="2"/>
      <c r="BP1150" s="2"/>
      <c r="BQ1150" s="2"/>
      <c r="BR1150" s="2"/>
      <c r="BS1150" s="2"/>
      <c r="BT1150" s="2"/>
      <c r="BU1150" s="2"/>
      <c r="BV1150" s="2"/>
      <c r="BW1150" s="2"/>
      <c r="BX1150" s="2"/>
      <c r="BY1150" s="2"/>
      <c r="BZ1150" s="2"/>
      <c r="CA1150" s="2"/>
      <c r="CB1150" s="2"/>
      <c r="CC1150" s="2"/>
      <c r="CD1150" s="2"/>
      <c r="CE1150" s="2"/>
      <c r="CF1150" s="2"/>
      <c r="CG1150" s="2"/>
      <c r="CH1150" s="2"/>
      <c r="CI1150" s="2"/>
      <c r="CJ1150" s="2"/>
      <c r="CK1150" s="2"/>
      <c r="CL1150" s="2"/>
      <c r="CM1150" s="2"/>
      <c r="CN1150" s="2"/>
      <c r="CO1150" s="2"/>
      <c r="CP1150" s="2"/>
      <c r="CQ1150" s="2"/>
      <c r="CR1150" s="1"/>
      <c r="CS1150" s="1"/>
      <c r="CT1150" s="1"/>
      <c r="CU1150" s="1"/>
    </row>
    <row r="1151" spans="1:99" s="13" customFormat="1" ht="12" customHeight="1" x14ac:dyDescent="0.2">
      <c r="A1151" s="68">
        <v>43509</v>
      </c>
      <c r="B1151" s="70" t="s">
        <v>253</v>
      </c>
      <c r="C1151" s="70" t="s">
        <v>70</v>
      </c>
      <c r="D1151" s="69">
        <v>2015</v>
      </c>
      <c r="E1151" s="87">
        <v>3</v>
      </c>
      <c r="F1151" s="69">
        <v>63</v>
      </c>
      <c r="G1151" s="69">
        <v>63</v>
      </c>
      <c r="H1151" s="69" t="s">
        <v>32</v>
      </c>
      <c r="I1151" s="69" t="s">
        <v>785</v>
      </c>
      <c r="J1151" s="69" t="s">
        <v>16</v>
      </c>
      <c r="K1151" s="69">
        <f>IF(J1151="syllables",1,IF(J1151="trigrams",2,IF(J1151="strings",3,IF(J1151="visual array",4,IF(J1151="characters",5,IF(J1151="letters",6,IF(J1151="free forms",7,IF(J1151="odors",8,IF(J1151="words",9,IF(J1151="pictures",10,IF(J1151="object pictures",11,IF(J1151="faces",12,IF(J1151="names",13,IF(J1151="idioms",14,IF(J1151="grades",15,IF(J1151="syllable-digit pairs",16,IF(J1151="trigram-word pairs",17,IF(J1151="word-digit pairs",18,IF(J1151="English-Swahili pairs",19,IF(J1151="spatial position",20,IF(J1151="word pairs",21,IF(J1151="word triads",22,IF(J1151="generated words",23,IF(J1151="word definition pairs",24,IF(J1151="math problems",25,IF(J1151="famous faces",26,IF(J1151="famous names",27,IF(J1151="famous voices",28,IF(J1151="television programs",29,IF(J1151="race horses",30,IF(J1151="new vocabulary",31,IF(J1151="sentences",32,IF(J1151="concepts",33,IF(J1151="ad slides",34,IF(J1151="scenes",35,IF(J1151="famous scenes",36,IF(J1151="poems",37,IF(J1151="walk",38,IF(J1151="faces and events",39,IF(J1151="events and names",40,IF(J1151="flashbulb",41,IF(J1151="stories",42,IF(J1151="course material",43,IF(J1151="autobiographical",44,IF(J1151="novels",45,IF(J1151="public events",46,"99"))))))))))))))))))))))))))))))))))))))))))))))</f>
        <v>9</v>
      </c>
      <c r="L1151" s="69">
        <f>IF(J1151="syllables",1,IF(J1151="trigrams",1,IF(J1151="strings",1,IF(J1151="visual array",1,IF(J1151="characters",1,IF(J1151="letters",1,IF(J1151="free forms",1,IF(J1151="odors",2,IF(J1151="words",2,IF(J1151="pictures",2,IF(J1151="object pictures",2,IF(J1151="faces",2,IF(J1151="names",2,IF(J1151="idioms","2",IF(J1151="grades",2,IF(J1151="syllable-digit pairs",3,IF(J1151="trigram-word pairs",3,IF(J1151="word-digit pairs",3,IF(J1151="English-Swahili pairs",3,IF(J1151="spatial position",3,IF(J1151="word pairs",4,IF(J1151="word triads",4,IF(J1151="generated words",4,IF(J1151="word definition pairs",4,IF(J1151="math problems",4,IF(J1151="famous faces",4,IF(J1151="famous names",4,IF(J1151="famous voices",4,IF(J1151="television programs",4,IF(J1151="race horses",4,IF(J1151="new vocabulary",4,IF(J1151="sentences",5,IF(J1151="concepts",5,IF(J1151="ad slides",5,IF(J1151="scenes",5,IF(J1151="famous scenes",5,IF(J1151="poems",6,IF(J1151="walk",6,IF(J1151="faces and events",6,IF(J1151="events and names",6,IF(J1151="flashbulb",7,IF(J1151="stories",7,IF(J1151="course material",7,IF(J1151="autobiographical",7,IF(J1151="novels",7,IF(J1151="public events",7,"99"))))))))))))))))))))))))))))))))))))))))))))))</f>
        <v>2</v>
      </c>
      <c r="M1151" s="69">
        <v>0</v>
      </c>
      <c r="N1151" s="69">
        <v>1</v>
      </c>
      <c r="O1151" s="69">
        <v>1</v>
      </c>
      <c r="P1151" s="69" t="s">
        <v>71</v>
      </c>
      <c r="Q1151" s="69" t="s">
        <v>174</v>
      </c>
      <c r="R1151" s="69">
        <f>IF(Q1151="Free Recall",1,IF(Q1151="Cued Recall",2,IF(Q1151="Recognition",3,IF(Q1151="Multiple Choice",4,IF(Q1151="Savings",5,IF(Q1151="Stem Completion",6,IF(Q1151="Fragment Completion",7,IF(Q1151="anagram solution",8,IF(Q1151="Matching",9,IF(Q1151="Problem Solving",10,"99"))))))))))</f>
        <v>1</v>
      </c>
      <c r="S1151" s="69" t="s">
        <v>49</v>
      </c>
      <c r="T1151" s="92" t="s">
        <v>581</v>
      </c>
      <c r="U1151" s="69">
        <f>IF(T1151="within",1,0)</f>
        <v>1</v>
      </c>
      <c r="V1151" s="92">
        <v>10</v>
      </c>
      <c r="W1151" s="69">
        <f>F1151*V1151</f>
        <v>630</v>
      </c>
      <c r="X1151" s="69">
        <v>3</v>
      </c>
      <c r="Y1151" s="87">
        <f>AV1150</f>
        <v>30</v>
      </c>
      <c r="Z1151" s="69" t="s">
        <v>73</v>
      </c>
      <c r="AA1151" s="69">
        <v>240</v>
      </c>
      <c r="AB1151" s="69" t="str">
        <f>IF(AA1151&lt;60,"1",IF(AA1151&lt;=43200,"2",IF(AA1151&lt;=777600,"3","4")))</f>
        <v>2</v>
      </c>
      <c r="AC1151" s="72">
        <f>AVERAGE(AV1150:DA1150)</f>
        <v>120</v>
      </c>
      <c r="AD1151" s="69" t="str">
        <f>IF(AC1151&lt;60,"1",IF(AC1151&lt;=43200,"2",IF(AC1151&lt;=777600,"3","4")))</f>
        <v>2</v>
      </c>
      <c r="AE1151" s="87">
        <f>AA1151-Y1151</f>
        <v>210</v>
      </c>
      <c r="AF1151" s="88">
        <f>AV1151</f>
        <v>0.45900000000000002</v>
      </c>
      <c r="AG1151" s="72">
        <f>((AW1151-AV1151)+(AX1151-AW1151))/2</f>
        <v>-1.8000000000000016E-2</v>
      </c>
      <c r="AH1151" s="4"/>
      <c r="AI1151" s="72">
        <f>RSQ(AV1151:AX1151,AV1150:AX1150)</f>
        <v>0.28185955786736033</v>
      </c>
      <c r="AJ1151" s="110">
        <f>SLOPE(AV1151:AX1151,AV1150:AX1150)</f>
        <v>-2.8333333333333352E-4</v>
      </c>
      <c r="AK1151" s="72">
        <f>INTERCEPT(AV1151:AX1151,AV1150:AX1150)</f>
        <v>0.50666666666666671</v>
      </c>
      <c r="AL1151" s="72">
        <f>INDEX(LINEST(LN(AV1151:AX1151),LN(AV1150:AX1150),TRUE,TRUE),3,1)</f>
        <v>9.5269872939361885E-2</v>
      </c>
      <c r="AM1151" s="72">
        <f>INDEX(LINEST(LN(AV1151:AX1151),LN(AV1150:AX1150)),1)</f>
        <v>-3.5682854601662491E-2</v>
      </c>
      <c r="AN1151" s="72">
        <f>EXP(INDEX(LINEST(LN(AV1151:AX1151),LN(AV1150:AX1150)),1,2))</f>
        <v>0.55152322999382775</v>
      </c>
      <c r="AO1151" s="89">
        <f>INDEX(LINEST((AV1151:AX1151),LN(AV1150:AX1150),TRUE,TRUE),3,1)</f>
        <v>7.8733152851051827E-2</v>
      </c>
      <c r="AP1151" s="89">
        <f>INDEX(LINEST((AV1151:AX1151),LN(AV1150:AX1150)),1)</f>
        <v>-1.5570559600662309E-2</v>
      </c>
      <c r="AQ1151" s="90">
        <f>INDEX(LINEST(LN(AV1151:AX1151),SQRT(AV1150:AX1150),TRUE,TRUE),3,1)</f>
        <v>0.19789376246165899</v>
      </c>
      <c r="AR1151" s="117">
        <f>INDEX(LINEST(LN(AV1151:AX1151),SQRT((AV1150:AX1150))),1)</f>
        <v>-1.0614106228199893E-2</v>
      </c>
      <c r="AS1151" s="91">
        <f>INDEX(LINEST(1/(AV1151:AX1151),1/(SQRT(AV1150:AX1150)),TRUE,TRUE),3,1)</f>
        <v>3.9909194030403085E-2</v>
      </c>
      <c r="AT1151" s="91">
        <f>INDEX(LINEST(1/(AV1151:AX1151),1/SQRT(AV1150:AX1150)),1)</f>
        <v>-0.83962425835326848</v>
      </c>
      <c r="AU1151" s="3"/>
      <c r="AV1151" s="73">
        <v>0.45900000000000002</v>
      </c>
      <c r="AW1151" s="73">
        <v>0.53600000000000003</v>
      </c>
      <c r="AX1151" s="73">
        <v>0.42299999999999999</v>
      </c>
      <c r="AY1151" s="42"/>
      <c r="AZ1151" s="46"/>
      <c r="BA1151" s="42"/>
      <c r="BB1151" s="42"/>
      <c r="BC1151" s="2"/>
      <c r="BD1151" s="2"/>
      <c r="BE1151" s="2"/>
      <c r="BF1151" s="2"/>
      <c r="BG1151" s="2"/>
      <c r="BH1151" s="2"/>
      <c r="BI1151" s="2"/>
      <c r="BJ1151" s="2"/>
      <c r="BK1151" s="2"/>
      <c r="BL1151" s="2"/>
      <c r="BM1151" s="2"/>
      <c r="BN1151" s="2"/>
      <c r="BO1151" s="2"/>
      <c r="BP1151" s="2"/>
      <c r="BQ1151" s="2"/>
      <c r="BR1151" s="2"/>
      <c r="BS1151" s="2"/>
      <c r="BT1151" s="2"/>
      <c r="BU1151" s="2"/>
      <c r="BV1151" s="2"/>
      <c r="BW1151" s="2"/>
      <c r="BX1151" s="2"/>
      <c r="BY1151" s="2"/>
      <c r="BZ1151" s="2"/>
      <c r="CA1151" s="2"/>
      <c r="CB1151" s="2"/>
      <c r="CC1151" s="2"/>
      <c r="CD1151" s="2"/>
      <c r="CE1151" s="2"/>
      <c r="CF1151" s="2"/>
      <c r="CG1151" s="2"/>
      <c r="CH1151" s="2"/>
      <c r="CI1151" s="2"/>
      <c r="CJ1151" s="2"/>
      <c r="CK1151" s="2"/>
      <c r="CL1151" s="2"/>
      <c r="CM1151" s="2"/>
      <c r="CN1151" s="2"/>
      <c r="CO1151" s="2"/>
      <c r="CP1151" s="2"/>
      <c r="CQ1151" s="2"/>
      <c r="CR1151" s="1"/>
      <c r="CS1151" s="1"/>
      <c r="CT1151" s="1"/>
      <c r="CU1151" s="1"/>
    </row>
    <row r="1152" spans="1:99" ht="12" customHeight="1" x14ac:dyDescent="0.2">
      <c r="A1152" s="65">
        <v>43509</v>
      </c>
      <c r="B1152" s="15"/>
      <c r="C1152" s="15"/>
      <c r="D1152" s="59"/>
      <c r="E1152" s="75"/>
      <c r="F1152" s="59"/>
      <c r="G1152" s="59"/>
      <c r="H1152" s="59"/>
      <c r="I1152" s="59"/>
      <c r="J1152" s="59"/>
      <c r="M1152" s="59"/>
      <c r="N1152" s="59"/>
      <c r="O1152" s="59"/>
      <c r="P1152" s="59"/>
      <c r="Q1152" s="59"/>
      <c r="R1152" s="60"/>
      <c r="S1152" s="59"/>
      <c r="T1152" s="59"/>
      <c r="U1152" s="60"/>
      <c r="V1152" s="59"/>
      <c r="W1152" s="60"/>
      <c r="X1152" s="59"/>
      <c r="Y1152" s="76"/>
      <c r="Z1152" s="59"/>
      <c r="AA1152" s="59"/>
      <c r="AB1152" s="60"/>
      <c r="AC1152" s="60"/>
      <c r="AD1152" s="60"/>
      <c r="AE1152" s="60"/>
      <c r="AF1152" s="80"/>
      <c r="AG1152" s="56"/>
      <c r="AH1152" s="4"/>
      <c r="AL1152" s="55"/>
      <c r="AM1152" s="55"/>
      <c r="AN1152" s="55"/>
      <c r="AO1152" s="55"/>
      <c r="AP1152" s="55"/>
      <c r="AQ1152" s="82"/>
      <c r="AR1152" s="115"/>
      <c r="AS1152" s="82"/>
      <c r="AT1152" s="82"/>
      <c r="AU1152" s="4"/>
      <c r="AV1152" s="15">
        <v>60</v>
      </c>
      <c r="AW1152" s="47">
        <v>600</v>
      </c>
      <c r="AX1152" s="47">
        <f>7*24*3600</f>
        <v>604800</v>
      </c>
      <c r="AY1152" s="47">
        <f>30*24*3600</f>
        <v>2592000</v>
      </c>
      <c r="AZ1152" s="11" t="s">
        <v>528</v>
      </c>
      <c r="BA1152" s="11"/>
      <c r="BB1152" s="11"/>
      <c r="BC1152" s="11"/>
      <c r="BD1152" s="11"/>
      <c r="BE1152" s="11"/>
      <c r="BF1152" s="11"/>
      <c r="BG1152" s="11"/>
      <c r="BH1152" s="11"/>
      <c r="BI1152" s="11"/>
      <c r="BJ1152" s="11"/>
      <c r="BK1152" s="11"/>
      <c r="BL1152" s="11"/>
      <c r="BM1152" s="11"/>
      <c r="BN1152" s="11"/>
      <c r="BO1152" s="11"/>
      <c r="BP1152" s="11"/>
      <c r="BQ1152" s="11"/>
      <c r="BR1152" s="11"/>
      <c r="BS1152" s="11"/>
      <c r="BT1152" s="11"/>
      <c r="BU1152" s="11"/>
      <c r="BV1152" s="11"/>
      <c r="BW1152" s="11"/>
      <c r="BX1152" s="11"/>
      <c r="BY1152" s="11"/>
      <c r="BZ1152" s="11"/>
      <c r="CA1152" s="11"/>
      <c r="CB1152" s="11"/>
      <c r="CC1152" s="11"/>
      <c r="CD1152" s="11"/>
      <c r="CE1152" s="11"/>
      <c r="CF1152" s="11"/>
      <c r="CG1152" s="11"/>
      <c r="CH1152" s="11"/>
      <c r="CI1152" s="11"/>
      <c r="CJ1152" s="11"/>
      <c r="CK1152" s="11"/>
      <c r="CL1152" s="11"/>
      <c r="CM1152" s="11"/>
      <c r="CN1152" s="11"/>
      <c r="CO1152" s="11"/>
      <c r="CP1152" s="11"/>
      <c r="CQ1152" s="11"/>
      <c r="CR1152" s="15"/>
      <c r="CS1152" s="15"/>
      <c r="CT1152" s="15"/>
      <c r="CU1152" s="15"/>
    </row>
    <row r="1153" spans="1:99" ht="12" customHeight="1" x14ac:dyDescent="0.2">
      <c r="A1153" s="65">
        <v>43509</v>
      </c>
      <c r="B1153" s="15" t="s">
        <v>299</v>
      </c>
      <c r="C1153" s="15" t="s">
        <v>58</v>
      </c>
      <c r="D1153" s="59">
        <v>1978</v>
      </c>
      <c r="E1153" s="75">
        <v>3</v>
      </c>
      <c r="F1153" s="59">
        <v>64</v>
      </c>
      <c r="G1153" s="59">
        <v>16</v>
      </c>
      <c r="H1153" s="59" t="s">
        <v>30</v>
      </c>
      <c r="I1153" s="59" t="s">
        <v>801</v>
      </c>
      <c r="J1153" s="59" t="s">
        <v>677</v>
      </c>
      <c r="K1153" s="60">
        <f>IF(J1153="syllables",1,IF(J1153="trigrams",2,IF(J1153="strings",3,IF(J1153="visual array",4,IF(J1153="characters",5,IF(J1153="letters",6,IF(J1153="free forms",7,IF(J1153="odors",8,IF(J1153="words",9,IF(J1153="pictures",10,IF(J1153="object pictures",11,IF(J1153="faces",12,IF(J1153="names",13,IF(J1153="idioms",14,IF(J1153="grades",15,IF(J1153="syllable-digit pairs",16,IF(J1153="trigram-word pairs",17,IF(J1153="word-digit pairs",18,IF(J1153="English-Swahili pairs",19,IF(J1153="spatial position",20,IF(J1153="word pairs",21,IF(J1153="word triads",22,IF(J1153="generated words",23,IF(J1153="word definition pairs",24,IF(J1153="math problems",25,IF(J1153="famous faces",26,IF(J1153="famous names",27,IF(J1153="famous voices",28,IF(J1153="television programs",29,IF(J1153="race horses",30,IF(J1153="new vocabulary",31,IF(J1153="sentences",32,IF(J1153="concepts",33,IF(J1153="ad slides",34,IF(J1153="scenes",35,IF(J1153="famous scenes",36,IF(J1153="poems",37,IF(J1153="walk",38,IF(J1153="faces and events",39,IF(J1153="events and names",40,IF(J1153="flashbulb",41,IF(J1153="stories",42,IF(J1153="course material",43,IF(J1153="autobiographical",44,IF(J1153="novels",45,IF(J1153="public events",46,"99"))))))))))))))))))))))))))))))))))))))))))))))</f>
        <v>42</v>
      </c>
      <c r="L1153" s="60">
        <f>IF(J1153="syllables",1,IF(J1153="trigrams",1,IF(J1153="strings",1,IF(J1153="visual array",1,IF(J1153="characters",1,IF(J1153="letters",1,IF(J1153="free forms",1,IF(J1153="odors",2,IF(J1153="words",2,IF(J1153="pictures",2,IF(J1153="object pictures",2,IF(J1153="faces",2,IF(J1153="names",2,IF(J1153="idioms","2",IF(J1153="grades",2,IF(J1153="syllable-digit pairs",3,IF(J1153="trigram-word pairs",3,IF(J1153="word-digit pairs",3,IF(J1153="English-Swahili pairs",3,IF(J1153="spatial position",3,IF(J1153="word pairs",4,IF(J1153="word triads",4,IF(J1153="generated words",4,IF(J1153="word definition pairs",4,IF(J1153="math problems",4,IF(J1153="famous faces",4,IF(J1153="famous names",4,IF(J1153="famous voices",4,IF(J1153="television programs",4,IF(J1153="race horses",4,IF(J1153="new vocabulary",4,IF(J1153="sentences",5,IF(J1153="concepts",5,IF(J1153="ad slides",5,IF(J1153="scenes",5,IF(J1153="famous scenes",5,IF(J1153="poems",6,IF(J1153="walk",6,IF(J1153="faces and events",6,IF(J1153="events and names",6,IF(J1153="flashbulb",7,IF(J1153="stories",7,IF(J1153="course material",7,IF(J1153="autobiographical",7,IF(J1153="novels",7,IF(J1153="public events",7,"99"))))))))))))))))))))))))))))))))))))))))))))))</f>
        <v>7</v>
      </c>
      <c r="M1153" s="59">
        <v>1</v>
      </c>
      <c r="N1153" s="59">
        <v>4</v>
      </c>
      <c r="O1153" s="59">
        <v>0</v>
      </c>
      <c r="P1153" s="59"/>
      <c r="Q1153" s="60" t="s">
        <v>174</v>
      </c>
      <c r="R1153" s="60">
        <f>IF(Q1153="Free Recall",1,IF(Q1153="Cued Recall",2,IF(Q1153="Recognition",3,IF(Q1153="Multiple Choice",4,IF(Q1153="Savings",5,IF(Q1153="Stem Completion",6,IF(Q1153="Fragment Completion",7,IF(Q1153="anagram solution",8,IF(Q1153="Matching",9,IF(Q1153="Problem Solving",10,"99"))))))))))</f>
        <v>1</v>
      </c>
      <c r="S1153" s="60" t="s">
        <v>49</v>
      </c>
      <c r="T1153" s="59" t="s">
        <v>261</v>
      </c>
      <c r="U1153" s="60">
        <f>IF(T1153="within",1,0)</f>
        <v>0</v>
      </c>
      <c r="V1153" s="59">
        <v>47</v>
      </c>
      <c r="W1153" s="60">
        <f>F1153*V1153</f>
        <v>3008</v>
      </c>
      <c r="X1153" s="59">
        <v>4</v>
      </c>
      <c r="Y1153" s="76">
        <f>AV1152</f>
        <v>60</v>
      </c>
      <c r="Z1153" s="59" t="s">
        <v>185</v>
      </c>
      <c r="AA1153" s="59">
        <f>30*24*3600</f>
        <v>2592000</v>
      </c>
      <c r="AB1153" s="60" t="str">
        <f>IF(AA1153&lt;60,"1",IF(AA1153&lt;=43200,"2",IF(AA1153&lt;=777600,"3","4")))</f>
        <v>4</v>
      </c>
      <c r="AC1153" s="56">
        <f>AVERAGE(AV1152:DA1152)</f>
        <v>799365</v>
      </c>
      <c r="AD1153" s="60" t="str">
        <f>IF(AC1153&lt;60,"1",IF(AC1153&lt;=43200,"2",IF(AC1153&lt;=777600,"3","4")))</f>
        <v>4</v>
      </c>
      <c r="AE1153" s="76">
        <f>AA1153-Y1153</f>
        <v>2591940</v>
      </c>
      <c r="AF1153" s="80">
        <f>AV1153</f>
        <v>0.7</v>
      </c>
      <c r="AG1153" s="56">
        <f>((AW1153-AV1153)+(AX1153-AW1153)+(AY1153-AX1153))/3</f>
        <v>-9.0666666666666659E-2</v>
      </c>
      <c r="AH1153" s="4"/>
      <c r="AI1153" s="56">
        <f>RSQ(AV1153:AY1153,AV1152:AY1152)</f>
        <v>0.80659588274145355</v>
      </c>
      <c r="AJ1153" s="109">
        <f>SLOPE(AV1153:AY1153,AV1152:AY1152)</f>
        <v>-8.3163440092685346E-8</v>
      </c>
      <c r="AK1153" s="56">
        <f>INTERCEPT(AV1153:AY1153,AV1152:AY1152)</f>
        <v>0.63347794328968932</v>
      </c>
      <c r="AL1153" s="56">
        <f>INDEX(LINEST(LN(AV1153:AY1153),LN(AV1152:AY1152),TRUE,TRUE),3,1)</f>
        <v>0.85141048538476394</v>
      </c>
      <c r="AM1153" s="56">
        <f>INDEX(LINEST(LN(AV1153:AY1153),LN(AV1152:AY1152)),1)</f>
        <v>-3.668101191133457E-2</v>
      </c>
      <c r="AN1153" s="56">
        <f>EXP(INDEX(LINEST(LN(AV1153:AY1153),LN(AV1152:AY1152)),1,2))</f>
        <v>0.79503756538843451</v>
      </c>
      <c r="AO1153" s="82">
        <f>INDEX(LINEST((AV1153:AY1153),LN(AV1152:AY1152),TRUE,TRUE),3,1)</f>
        <v>0.87191369291260101</v>
      </c>
      <c r="AP1153" s="82">
        <f>INDEX(LINEST((AV1153:AY1153),LN(AV1152:AY1152)),1)</f>
        <v>-2.043698834556304E-2</v>
      </c>
      <c r="AQ1153" s="83">
        <f>INDEX(LINEST(LN(AV1153:AY1153),SQRT(AV1152:AY1152),TRUE,TRUE),3,1)</f>
        <v>0.91096625865019709</v>
      </c>
      <c r="AR1153" s="116">
        <f>INDEX(LINEST(LN(AV1153:AY1153),SQRT((AV1152:AY1152))),1)</f>
        <v>-2.5945113672762126E-4</v>
      </c>
      <c r="AS1153" s="84">
        <f>INDEX(LINEST(1/(AV1153:AY1153),1/(SQRT(AV1152:AY1152)),TRUE,TRUE),3,1)</f>
        <v>0.65762419222831503</v>
      </c>
      <c r="AT1153" s="84">
        <f>INDEX(LINEST(1/(AV1153:AY1153),1/SQRT(AV1152:AY1152)),1)</f>
        <v>-5.1655947561536495</v>
      </c>
      <c r="AU1153" s="4"/>
      <c r="AV1153" s="11">
        <v>0.7</v>
      </c>
      <c r="AW1153" s="11">
        <v>0.6</v>
      </c>
      <c r="AX1153" s="11">
        <v>0.54</v>
      </c>
      <c r="AY1153" s="11">
        <v>0.42799999999999999</v>
      </c>
      <c r="AZ1153" s="11"/>
      <c r="BA1153" s="11"/>
      <c r="BB1153" s="11"/>
      <c r="BC1153" s="11"/>
      <c r="BD1153" s="11"/>
      <c r="BE1153" s="11"/>
      <c r="BF1153" s="11"/>
      <c r="BG1153" s="11"/>
      <c r="BH1153" s="11"/>
      <c r="BI1153" s="11"/>
      <c r="BJ1153" s="11"/>
      <c r="BK1153" s="11"/>
      <c r="BL1153" s="11"/>
      <c r="BM1153" s="11"/>
      <c r="BN1153" s="11"/>
      <c r="BO1153" s="11"/>
      <c r="BP1153" s="11"/>
      <c r="BQ1153" s="11"/>
      <c r="BR1153" s="11"/>
      <c r="BS1153" s="11"/>
      <c r="BT1153" s="11"/>
      <c r="BU1153" s="11"/>
      <c r="BV1153" s="11"/>
      <c r="BW1153" s="11"/>
      <c r="BX1153" s="11"/>
      <c r="BY1153" s="11"/>
      <c r="BZ1153" s="11"/>
      <c r="CA1153" s="11"/>
      <c r="CB1153" s="11"/>
      <c r="CC1153" s="11"/>
      <c r="CD1153" s="11"/>
      <c r="CE1153" s="11"/>
      <c r="CF1153" s="11"/>
      <c r="CG1153" s="11"/>
      <c r="CH1153" s="11"/>
      <c r="CI1153" s="11"/>
      <c r="CJ1153" s="11"/>
      <c r="CK1153" s="11"/>
      <c r="CL1153" s="11"/>
      <c r="CM1153" s="11"/>
      <c r="CN1153" s="11"/>
      <c r="CO1153" s="11"/>
      <c r="CP1153" s="11"/>
      <c r="CQ1153" s="11"/>
      <c r="CR1153" s="15"/>
      <c r="CS1153" s="15"/>
      <c r="CT1153" s="15"/>
      <c r="CU1153" s="15"/>
    </row>
    <row r="1154" spans="1:99" ht="12" customHeight="1" x14ac:dyDescent="0.2">
      <c r="A1154" s="65">
        <v>43509</v>
      </c>
      <c r="B1154" s="15"/>
      <c r="C1154" s="15"/>
      <c r="D1154" s="59"/>
      <c r="E1154" s="75"/>
      <c r="F1154" s="59"/>
      <c r="G1154" s="59"/>
      <c r="H1154" s="59"/>
      <c r="I1154" s="59"/>
      <c r="J1154" s="59"/>
      <c r="M1154" s="59"/>
      <c r="N1154" s="59"/>
      <c r="O1154" s="59"/>
      <c r="P1154" s="59"/>
      <c r="Q1154" s="59"/>
      <c r="R1154" s="60"/>
      <c r="S1154" s="59"/>
      <c r="T1154" s="59"/>
      <c r="U1154" s="60"/>
      <c r="V1154" s="59"/>
      <c r="W1154" s="60"/>
      <c r="X1154" s="59"/>
      <c r="Y1154" s="76"/>
      <c r="Z1154" s="59"/>
      <c r="AA1154" s="59"/>
      <c r="AB1154" s="60"/>
      <c r="AC1154" s="60"/>
      <c r="AD1154" s="60"/>
      <c r="AE1154" s="60"/>
      <c r="AF1154" s="80"/>
      <c r="AG1154" s="56"/>
      <c r="AH1154" s="4"/>
      <c r="AL1154" s="55"/>
      <c r="AM1154" s="55"/>
      <c r="AN1154" s="55"/>
      <c r="AO1154" s="55"/>
      <c r="AP1154" s="55"/>
      <c r="AQ1154" s="56"/>
      <c r="AR1154" s="109"/>
      <c r="AS1154" s="56"/>
      <c r="AT1154" s="56"/>
      <c r="AU1154" s="4"/>
      <c r="AV1154" s="15">
        <v>60</v>
      </c>
      <c r="AW1154" s="47">
        <v>600</v>
      </c>
      <c r="AX1154" s="47">
        <f>7*24*3600</f>
        <v>604800</v>
      </c>
      <c r="AY1154" s="47">
        <f>30*24*3600</f>
        <v>2592000</v>
      </c>
      <c r="AZ1154" s="11"/>
      <c r="BA1154" s="11"/>
      <c r="BB1154" s="11"/>
      <c r="BC1154" s="11"/>
      <c r="BD1154" s="11"/>
      <c r="BE1154" s="11"/>
      <c r="BF1154" s="11"/>
      <c r="BG1154" s="11"/>
      <c r="BH1154" s="11"/>
      <c r="BI1154" s="11"/>
      <c r="BJ1154" s="11"/>
      <c r="BK1154" s="11"/>
      <c r="BL1154" s="11"/>
      <c r="BM1154" s="11"/>
      <c r="BN1154" s="11"/>
      <c r="BO1154" s="11"/>
      <c r="BP1154" s="11"/>
      <c r="BQ1154" s="11"/>
      <c r="BR1154" s="11"/>
      <c r="BS1154" s="11"/>
      <c r="BT1154" s="11"/>
      <c r="BU1154" s="11"/>
      <c r="BV1154" s="11"/>
      <c r="BW1154" s="11"/>
      <c r="BX1154" s="11"/>
      <c r="BY1154" s="11"/>
      <c r="BZ1154" s="11"/>
      <c r="CA1154" s="11"/>
      <c r="CB1154" s="11"/>
      <c r="CC1154" s="11"/>
      <c r="CD1154" s="11"/>
      <c r="CE1154" s="11"/>
      <c r="CF1154" s="11"/>
      <c r="CG1154" s="11"/>
      <c r="CH1154" s="11"/>
      <c r="CI1154" s="11"/>
      <c r="CJ1154" s="11"/>
      <c r="CK1154" s="11"/>
      <c r="CL1154" s="11"/>
      <c r="CM1154" s="11"/>
      <c r="CN1154" s="11"/>
      <c r="CO1154" s="11"/>
      <c r="CP1154" s="11"/>
      <c r="CQ1154" s="11"/>
      <c r="CR1154" s="15"/>
      <c r="CS1154" s="15"/>
      <c r="CT1154" s="15"/>
      <c r="CU1154" s="15"/>
    </row>
    <row r="1155" spans="1:99" ht="12" customHeight="1" x14ac:dyDescent="0.2">
      <c r="A1155" s="65">
        <v>43509</v>
      </c>
      <c r="B1155" s="15" t="s">
        <v>299</v>
      </c>
      <c r="C1155" s="15" t="s">
        <v>58</v>
      </c>
      <c r="D1155" s="59">
        <v>1978</v>
      </c>
      <c r="E1155" s="75">
        <v>3</v>
      </c>
      <c r="F1155" s="59">
        <v>64</v>
      </c>
      <c r="G1155" s="59">
        <v>16</v>
      </c>
      <c r="H1155" s="59" t="s">
        <v>30</v>
      </c>
      <c r="I1155" s="60" t="s">
        <v>802</v>
      </c>
      <c r="J1155" s="59" t="s">
        <v>677</v>
      </c>
      <c r="K1155" s="60">
        <f>IF(J1155="syllables",1,IF(J1155="trigrams",2,IF(J1155="strings",3,IF(J1155="visual array",4,IF(J1155="characters",5,IF(J1155="letters",6,IF(J1155="free forms",7,IF(J1155="odors",8,IF(J1155="words",9,IF(J1155="pictures",10,IF(J1155="object pictures",11,IF(J1155="faces",12,IF(J1155="names",13,IF(J1155="idioms",14,IF(J1155="grades",15,IF(J1155="syllable-digit pairs",16,IF(J1155="trigram-word pairs",17,IF(J1155="word-digit pairs",18,IF(J1155="English-Swahili pairs",19,IF(J1155="spatial position",20,IF(J1155="word pairs",21,IF(J1155="word triads",22,IF(J1155="generated words",23,IF(J1155="word definition pairs",24,IF(J1155="math problems",25,IF(J1155="famous faces",26,IF(J1155="famous names",27,IF(J1155="famous voices",28,IF(J1155="television programs",29,IF(J1155="race horses",30,IF(J1155="new vocabulary",31,IF(J1155="sentences",32,IF(J1155="concepts",33,IF(J1155="ad slides",34,IF(J1155="scenes",35,IF(J1155="famous scenes",36,IF(J1155="poems",37,IF(J1155="walk",38,IF(J1155="faces and events",39,IF(J1155="events and names",40,IF(J1155="flashbulb",41,IF(J1155="stories",42,IF(J1155="course material",43,IF(J1155="autobiographical",44,IF(J1155="novels",45,IF(J1155="public events",46,"99"))))))))))))))))))))))))))))))))))))))))))))))</f>
        <v>42</v>
      </c>
      <c r="L1155" s="60">
        <f>IF(J1155="syllables",1,IF(J1155="trigrams",1,IF(J1155="strings",1,IF(J1155="visual array",1,IF(J1155="characters",1,IF(J1155="letters",1,IF(J1155="free forms",1,IF(J1155="odors",2,IF(J1155="words",2,IF(J1155="pictures",2,IF(J1155="object pictures",2,IF(J1155="faces",2,IF(J1155="names",2,IF(J1155="idioms","2",IF(J1155="grades",2,IF(J1155="syllable-digit pairs",3,IF(J1155="trigram-word pairs",3,IF(J1155="word-digit pairs",3,IF(J1155="English-Swahili pairs",3,IF(J1155="spatial position",3,IF(J1155="word pairs",4,IF(J1155="word triads",4,IF(J1155="generated words",4,IF(J1155="word definition pairs",4,IF(J1155="math problems",4,IF(J1155="famous faces",4,IF(J1155="famous names",4,IF(J1155="famous voices",4,IF(J1155="television programs",4,IF(J1155="race horses",4,IF(J1155="new vocabulary",4,IF(J1155="sentences",5,IF(J1155="concepts",5,IF(J1155="ad slides",5,IF(J1155="scenes",5,IF(J1155="famous scenes",5,IF(J1155="poems",6,IF(J1155="walk",6,IF(J1155="faces and events",6,IF(J1155="events and names",6,IF(J1155="flashbulb",7,IF(J1155="stories",7,IF(J1155="course material",7,IF(J1155="autobiographical",7,IF(J1155="novels",7,IF(J1155="public events",7,"99"))))))))))))))))))))))))))))))))))))))))))))))</f>
        <v>7</v>
      </c>
      <c r="M1155" s="59">
        <v>1</v>
      </c>
      <c r="N1155" s="59">
        <v>4</v>
      </c>
      <c r="O1155" s="59">
        <v>0</v>
      </c>
      <c r="P1155" s="59"/>
      <c r="Q1155" s="60" t="s">
        <v>65</v>
      </c>
      <c r="R1155" s="60">
        <f>IF(Q1155="Free Recall",1,IF(Q1155="Cued Recall",2,IF(Q1155="Recognition",3,IF(Q1155="Multiple Choice",4,IF(Q1155="Savings",5,IF(Q1155="Stem Completion",6,IF(Q1155="Fragment Completion",7,IF(Q1155="anagram solution",8,IF(Q1155="Matching",9,IF(Q1155="Problem Solving",10,"99"))))))))))</f>
        <v>2</v>
      </c>
      <c r="S1155" s="60" t="s">
        <v>49</v>
      </c>
      <c r="T1155" s="59" t="s">
        <v>261</v>
      </c>
      <c r="U1155" s="60">
        <f>IF(T1155="within",1,0)</f>
        <v>0</v>
      </c>
      <c r="V1155" s="59">
        <v>47</v>
      </c>
      <c r="W1155" s="60">
        <f>F1155*V1155</f>
        <v>3008</v>
      </c>
      <c r="X1155" s="59">
        <v>4</v>
      </c>
      <c r="Y1155" s="76">
        <f>AV1154</f>
        <v>60</v>
      </c>
      <c r="Z1155" s="59" t="s">
        <v>185</v>
      </c>
      <c r="AA1155" s="59">
        <f>30*24*3600</f>
        <v>2592000</v>
      </c>
      <c r="AB1155" s="60" t="str">
        <f>IF(AA1155&lt;60,"1",IF(AA1155&lt;=43200,"2",IF(AA1155&lt;=777600,"3","4")))</f>
        <v>4</v>
      </c>
      <c r="AC1155" s="56">
        <f>AVERAGE(AV1154:DA1154)</f>
        <v>799365</v>
      </c>
      <c r="AD1155" s="60" t="str">
        <f>IF(AC1155&lt;60,"1",IF(AC1155&lt;=43200,"2",IF(AC1155&lt;=777600,"3","4")))</f>
        <v>4</v>
      </c>
      <c r="AE1155" s="76">
        <f>AA1155-Y1155</f>
        <v>2591940</v>
      </c>
      <c r="AF1155" s="80">
        <f>AV1155</f>
        <v>0.73199999999999998</v>
      </c>
      <c r="AG1155" s="56">
        <f>((AW1155-AV1155)+(AX1155-AW1155)+(AY1155-AX1155))/3</f>
        <v>-6.0333333333333315E-2</v>
      </c>
      <c r="AH1155" s="4"/>
      <c r="AI1155" s="56">
        <f>RSQ(AV1155:AY1155,AV1154:AY1154)</f>
        <v>0.87739187069025004</v>
      </c>
      <c r="AJ1155" s="109">
        <f>SLOPE(AV1155:AY1155,AV1154:AY1154)</f>
        <v>-5.8532143835289021E-8</v>
      </c>
      <c r="AK1155" s="56">
        <f>INTERCEPT(AV1155:AY1155,AV1154:AY1154)</f>
        <v>0.69678854715689587</v>
      </c>
      <c r="AL1155" s="56">
        <f>INDEX(LINEST(LN(AV1155:AY1155),LN(AV1154:AY1154),TRUE,TRUE),3,1)</f>
        <v>0.84719948969337744</v>
      </c>
      <c r="AM1155" s="56">
        <f>INDEX(LINEST(LN(AV1155:AY1155),LN(AV1154:AY1154)),1)</f>
        <v>-2.1432060694601515E-2</v>
      </c>
      <c r="AN1155" s="56">
        <f>EXP(INDEX(LINEST(LN(AV1155:AY1155),LN(AV1154:AY1154)),1,2))</f>
        <v>0.79491699495138979</v>
      </c>
      <c r="AO1155" s="82">
        <f>INDEX(LINEST((AV1155:AY1155),LN(AV1154:AY1154),TRUE,TRUE),3,1)</f>
        <v>0.86643623171780537</v>
      </c>
      <c r="AP1155" s="82">
        <f>INDEX(LINEST((AV1155:AY1155),LN(AV1154:AY1154)),1)</f>
        <v>-1.3748066789339784E-2</v>
      </c>
      <c r="AQ1155" s="83">
        <f>INDEX(LINEST(LN(AV1155:AY1155),SQRT(AV1154:AY1154),TRUE,TRUE),3,1)</f>
        <v>0.94156714792245044</v>
      </c>
      <c r="AR1155" s="116">
        <f>INDEX(LINEST(LN(AV1155:AY1155),SQRT((AV1154:AY1154))),1)</f>
        <v>-1.5450031089196824E-4</v>
      </c>
      <c r="AS1155" s="84">
        <f>INDEX(LINEST(1/(AV1155:AY1155),1/(SQRT(AV1154:AY1154)),TRUE,TRUE),3,1)</f>
        <v>0.63604786499037524</v>
      </c>
      <c r="AT1155" s="84">
        <f>INDEX(LINEST(1/(AV1155:AY1155),1/SQRT(AV1154:AY1154)),1)</f>
        <v>-2.5388593868917817</v>
      </c>
      <c r="AU1155" s="4"/>
      <c r="AV1155" s="11">
        <v>0.73199999999999998</v>
      </c>
      <c r="AW1155" s="11">
        <v>0.68100000000000005</v>
      </c>
      <c r="AX1155" s="11">
        <v>0.63600000000000001</v>
      </c>
      <c r="AY1155" s="11">
        <v>0.55100000000000005</v>
      </c>
      <c r="AZ1155" s="11"/>
      <c r="BA1155" s="11"/>
      <c r="BB1155" s="11"/>
      <c r="BC1155" s="11"/>
      <c r="BD1155" s="11"/>
      <c r="BE1155" s="11"/>
      <c r="BF1155" s="11"/>
      <c r="BG1155" s="11"/>
      <c r="BH1155" s="11"/>
      <c r="BI1155" s="11"/>
      <c r="BJ1155" s="11"/>
      <c r="BK1155" s="11"/>
      <c r="BL1155" s="11"/>
      <c r="BM1155" s="11"/>
      <c r="BN1155" s="11"/>
      <c r="BO1155" s="11"/>
      <c r="BP1155" s="11"/>
      <c r="BQ1155" s="11"/>
      <c r="BR1155" s="11"/>
      <c r="BS1155" s="11"/>
      <c r="BT1155" s="11"/>
      <c r="BU1155" s="11"/>
      <c r="BV1155" s="11"/>
      <c r="BW1155" s="11"/>
      <c r="BX1155" s="11"/>
      <c r="BY1155" s="11"/>
      <c r="BZ1155" s="11"/>
      <c r="CA1155" s="11"/>
      <c r="CB1155" s="11"/>
      <c r="CC1155" s="11"/>
      <c r="CD1155" s="11"/>
      <c r="CE1155" s="11"/>
      <c r="CF1155" s="11"/>
      <c r="CG1155" s="11"/>
      <c r="CH1155" s="11"/>
      <c r="CI1155" s="11"/>
      <c r="CJ1155" s="11"/>
      <c r="CK1155" s="11"/>
      <c r="CL1155" s="11"/>
      <c r="CM1155" s="11"/>
      <c r="CN1155" s="11"/>
      <c r="CO1155" s="11"/>
      <c r="CP1155" s="11"/>
      <c r="CQ1155" s="11"/>
      <c r="CR1155" s="15"/>
      <c r="CS1155" s="15"/>
      <c r="CT1155" s="15"/>
      <c r="CU1155" s="15"/>
    </row>
    <row r="1156" spans="1:99" s="13" customFormat="1" ht="12" customHeight="1" x14ac:dyDescent="0.2">
      <c r="A1156" s="68">
        <v>43509</v>
      </c>
      <c r="B1156" s="70"/>
      <c r="C1156" s="70"/>
      <c r="D1156" s="69"/>
      <c r="E1156" s="87"/>
      <c r="F1156" s="69"/>
      <c r="G1156" s="69"/>
      <c r="H1156" s="69"/>
      <c r="I1156" s="69"/>
      <c r="J1156" s="69"/>
      <c r="K1156" s="107"/>
      <c r="L1156" s="107"/>
      <c r="M1156" s="69"/>
      <c r="N1156" s="69"/>
      <c r="O1156" s="69"/>
      <c r="P1156" s="69"/>
      <c r="Q1156" s="69"/>
      <c r="R1156" s="69"/>
      <c r="S1156" s="69"/>
      <c r="T1156" s="69"/>
      <c r="U1156" s="69"/>
      <c r="V1156" s="69"/>
      <c r="W1156" s="69"/>
      <c r="X1156" s="86"/>
      <c r="Y1156" s="87"/>
      <c r="Z1156" s="69"/>
      <c r="AA1156" s="69"/>
      <c r="AB1156" s="69"/>
      <c r="AC1156" s="69"/>
      <c r="AD1156" s="69"/>
      <c r="AE1156" s="69"/>
      <c r="AF1156" s="88"/>
      <c r="AG1156" s="72"/>
      <c r="AH1156" s="4"/>
      <c r="AI1156" s="72"/>
      <c r="AJ1156" s="110"/>
      <c r="AK1156" s="72"/>
      <c r="AL1156" s="72"/>
      <c r="AM1156" s="72"/>
      <c r="AN1156" s="72"/>
      <c r="AO1156" s="72"/>
      <c r="AP1156" s="72"/>
      <c r="AQ1156" s="72"/>
      <c r="AR1156" s="110"/>
      <c r="AS1156" s="72"/>
      <c r="AT1156" s="72"/>
      <c r="AU1156" s="4"/>
      <c r="AV1156" s="71">
        <f>60*0.1</f>
        <v>6</v>
      </c>
      <c r="AW1156" s="71">
        <f>60*0.2</f>
        <v>12</v>
      </c>
      <c r="AX1156" s="71">
        <f>60*0.3</f>
        <v>18</v>
      </c>
      <c r="AY1156" s="71">
        <f>60*0.4</f>
        <v>24</v>
      </c>
      <c r="AZ1156" s="71">
        <f>60*0.7</f>
        <v>42</v>
      </c>
      <c r="BA1156" s="71">
        <f>60*1.2</f>
        <v>72</v>
      </c>
      <c r="BB1156" s="71">
        <f>60*2</f>
        <v>120</v>
      </c>
      <c r="BC1156" s="71">
        <f>60*3.5</f>
        <v>210</v>
      </c>
      <c r="BD1156" s="71">
        <f>60*6</f>
        <v>360</v>
      </c>
      <c r="BE1156" s="71">
        <f>60*10</f>
        <v>600</v>
      </c>
      <c r="BF1156" s="2"/>
      <c r="BG1156" s="2"/>
      <c r="BH1156" s="2"/>
      <c r="BI1156" s="2"/>
      <c r="BJ1156" s="2"/>
      <c r="BK1156" s="2"/>
      <c r="BL1156" s="2"/>
      <c r="BM1156" s="2"/>
      <c r="BN1156" s="2"/>
      <c r="BO1156" s="2"/>
      <c r="BP1156" s="2"/>
      <c r="BQ1156" s="2"/>
      <c r="BR1156" s="2"/>
      <c r="BS1156" s="2"/>
      <c r="BT1156" s="2"/>
      <c r="BU1156" s="2"/>
      <c r="BV1156" s="2"/>
      <c r="BW1156" s="2"/>
      <c r="BX1156" s="2"/>
      <c r="BY1156" s="2"/>
      <c r="BZ1156" s="2"/>
      <c r="CA1156" s="2"/>
      <c r="CB1156" s="2"/>
      <c r="CC1156" s="2"/>
      <c r="CD1156" s="2"/>
      <c r="CE1156" s="2"/>
      <c r="CF1156" s="2"/>
      <c r="CG1156" s="2"/>
      <c r="CH1156" s="2"/>
      <c r="CI1156" s="2"/>
      <c r="CJ1156" s="2"/>
      <c r="CK1156" s="2"/>
      <c r="CL1156" s="2"/>
      <c r="CM1156" s="2"/>
      <c r="CN1156" s="2"/>
      <c r="CO1156" s="2"/>
      <c r="CP1156" s="2"/>
      <c r="CQ1156" s="2"/>
      <c r="CR1156" s="1"/>
      <c r="CS1156" s="1"/>
      <c r="CT1156" s="1"/>
      <c r="CU1156" s="1"/>
    </row>
    <row r="1157" spans="1:99" s="13" customFormat="1" ht="12" customHeight="1" x14ac:dyDescent="0.2">
      <c r="A1157" s="68">
        <v>43509</v>
      </c>
      <c r="B1157" s="70" t="s">
        <v>255</v>
      </c>
      <c r="C1157" s="70" t="s">
        <v>45</v>
      </c>
      <c r="D1157" s="69">
        <v>1999</v>
      </c>
      <c r="E1157" s="87">
        <v>1</v>
      </c>
      <c r="F1157" s="69">
        <v>100</v>
      </c>
      <c r="G1157" s="69">
        <v>100</v>
      </c>
      <c r="H1157" s="69" t="s">
        <v>50</v>
      </c>
      <c r="I1157" s="69"/>
      <c r="J1157" s="69" t="s">
        <v>320</v>
      </c>
      <c r="K1157" s="69">
        <f>IF(J1157="syllables",1,IF(J1157="trigrams",2,IF(J1157="strings",3,IF(J1157="visual array",4,IF(J1157="characters",5,IF(J1157="letters",6,IF(J1157="free forms",7,IF(J1157="odors",8,IF(J1157="words",9,IF(J1157="pictures",10,IF(J1157="object pictures",11,IF(J1157="faces",12,IF(J1157="names",13,IF(J1157="idioms",14,IF(J1157="grades",15,IF(J1157="syllable-digit pairs",16,IF(J1157="trigram-word pairs",17,IF(J1157="word-digit pairs",18,IF(J1157="English-Swahili pairs",19,IF(J1157="spatial position",20,IF(J1157="word pairs",21,IF(J1157="word triads",22,IF(J1157="generated words",23,IF(J1157="word definition pairs",24,IF(J1157="math problems",25,IF(J1157="famous faces",26,IF(J1157="famous names",27,IF(J1157="famous voices",28,IF(J1157="television programs",29,IF(J1157="race horses",30,IF(J1157="new vocabulary",31,IF(J1157="sentences",32,IF(J1157="concepts",33,IF(J1157="ad slides",34,IF(J1157="scenes",35,IF(J1157="famous scenes",36,IF(J1157="poems",37,IF(J1157="walk",38,IF(J1157="faces and events",39,IF(J1157="events and names",40,IF(J1157="flashbulb",41,IF(J1157="stories",42,IF(J1157="course material",43,IF(J1157="autobiographical",44,IF(J1157="novels",45,IF(J1157="public events",46,"99"))))))))))))))))))))))))))))))))))))))))))))))</f>
        <v>21</v>
      </c>
      <c r="L1157" s="69">
        <f>IF(J1157="syllables",1,IF(J1157="trigrams",1,IF(J1157="strings",1,IF(J1157="visual array",1,IF(J1157="characters",1,IF(J1157="letters",1,IF(J1157="free forms",1,IF(J1157="odors",2,IF(J1157="words",2,IF(J1157="pictures",2,IF(J1157="object pictures",2,IF(J1157="faces",2,IF(J1157="names",2,IF(J1157="idioms","2",IF(J1157="grades",2,IF(J1157="syllable-digit pairs",3,IF(J1157="trigram-word pairs",3,IF(J1157="word-digit pairs",3,IF(J1157="English-Swahili pairs",3,IF(J1157="spatial position",3,IF(J1157="word pairs",4,IF(J1157="word triads",4,IF(J1157="generated words",4,IF(J1157="word definition pairs",4,IF(J1157="math problems",4,IF(J1157="famous faces",4,IF(J1157="famous names",4,IF(J1157="famous voices",4,IF(J1157="television programs",4,IF(J1157="race horses",4,IF(J1157="new vocabulary",4,IF(J1157="sentences",5,IF(J1157="concepts",5,IF(J1157="ad slides",5,IF(J1157="scenes",5,IF(J1157="famous scenes",5,IF(J1157="poems",6,IF(J1157="walk",6,IF(J1157="faces and events",6,IF(J1157="events and names",6,IF(J1157="flashbulb",7,IF(J1157="stories",7,IF(J1157="course material",7,IF(J1157="autobiographical",7,IF(J1157="novels",7,IF(J1157="public events",7,"99"))))))))))))))))))))))))))))))))))))))))))))))</f>
        <v>4</v>
      </c>
      <c r="M1157" s="69">
        <v>0</v>
      </c>
      <c r="N1157" s="69">
        <v>1</v>
      </c>
      <c r="O1157" s="69">
        <v>0</v>
      </c>
      <c r="P1157" s="69"/>
      <c r="Q1157" s="69" t="s">
        <v>174</v>
      </c>
      <c r="R1157" s="69">
        <f>IF(Q1157="Free Recall",1,IF(Q1157="Cued Recall",2,IF(Q1157="Recognition",3,IF(Q1157="Multiple Choice",4,IF(Q1157="Savings",5,IF(Q1157="Stem Completion",6,IF(Q1157="Fragment Completion",7,IF(Q1157="anagram solution",8,IF(Q1157="Matching",9,IF(Q1157="Problem Solving",10,"99"))))))))))</f>
        <v>1</v>
      </c>
      <c r="S1157" s="69" t="s">
        <v>49</v>
      </c>
      <c r="T1157" s="92" t="s">
        <v>581</v>
      </c>
      <c r="U1157" s="69">
        <f>IF(T1157="within",1,0)</f>
        <v>1</v>
      </c>
      <c r="V1157" s="92">
        <v>180</v>
      </c>
      <c r="W1157" s="69">
        <f>F1157*V1157</f>
        <v>18000</v>
      </c>
      <c r="X1157" s="69">
        <v>10</v>
      </c>
      <c r="Y1157" s="87">
        <f>AV1156</f>
        <v>6</v>
      </c>
      <c r="Z1157" s="69" t="s">
        <v>62</v>
      </c>
      <c r="AA1157" s="69">
        <v>600</v>
      </c>
      <c r="AB1157" s="69" t="str">
        <f>IF(AA1157&lt;60,"1",IF(AA1157&lt;=43200,"2",IF(AA1157&lt;=777600,"3","4")))</f>
        <v>2</v>
      </c>
      <c r="AC1157" s="72">
        <f>AVERAGE(AV1156:DA1156)</f>
        <v>146.4</v>
      </c>
      <c r="AD1157" s="69" t="str">
        <f>IF(AC1157&lt;60,"1",IF(AC1157&lt;=43200,"2",IF(AC1157&lt;=777600,"3","4")))</f>
        <v>2</v>
      </c>
      <c r="AE1157" s="87">
        <f>AA1157-Y1157</f>
        <v>594</v>
      </c>
      <c r="AF1157" s="88">
        <f>AV1157</f>
        <v>0.94699999999999995</v>
      </c>
      <c r="AG1157" s="72">
        <f>((AW1157-AV1157)+(AX1157-AW1157)+(AY1157-AX1157)+(AZ1157-AY1157)+(BA1157-AZ1157)+(BB1157-BA1157)+(BC1157-BB1157)+(BD1157-BC1157)+(BE1157-BD1157))/9</f>
        <v>-9.3666666666666662E-2</v>
      </c>
      <c r="AH1157" s="4"/>
      <c r="AI1157" s="72">
        <f>RSQ(AV1157:BE1157,AV1156:BE1156)</f>
        <v>0.43391653567788996</v>
      </c>
      <c r="AJ1157" s="110">
        <f>SLOPE(AV1157:BE1157,AV1156:BE1156)</f>
        <v>-8.7610591506572281E-4</v>
      </c>
      <c r="AK1157" s="72">
        <f>INTERCEPT(AV1157:BE1157,AV1156:BE1156)</f>
        <v>0.49766190596562176</v>
      </c>
      <c r="AL1157" s="72">
        <f>INDEX(LINEST(LN(AV1157:BE1157),LN(AV1156:BE1156),TRUE,TRUE),3,1)</f>
        <v>0.97831010436154886</v>
      </c>
      <c r="AM1157" s="72">
        <f>INDEX(LINEST(LN(AV1157:BE1157),LN(AV1156:BE1156)),1)</f>
        <v>-0.44660437922934382</v>
      </c>
      <c r="AN1157" s="72">
        <f>EXP(INDEX(LINEST(LN(AV1157:BE1157),LN(AV1156:BE1156)),1,2))</f>
        <v>1.8509886647592448</v>
      </c>
      <c r="AO1157" s="89">
        <f>INDEX(LINEST((AV1157:BE1157),LN(AV1156:BE1156),TRUE,TRUE),3,1)</f>
        <v>0.83084541674551671</v>
      </c>
      <c r="AP1157" s="89">
        <f>INDEX(LINEST((AV1157:BE1157),LN(AV1156:BE1156)),1)</f>
        <v>-0.15502908282046324</v>
      </c>
      <c r="AQ1157" s="90">
        <f>INDEX(LINEST(LN(AV1157:BE1157),SQRT(AV1156:BE1156),TRUE,TRUE),3,1)</f>
        <v>0.88597184663979733</v>
      </c>
      <c r="AR1157" s="117">
        <f>INDEX(LINEST(LN(AV1157:BE1157),SQRT((AV1156:BE1156))),1)</f>
        <v>-8.8212732498166316E-2</v>
      </c>
      <c r="AS1157" s="91">
        <f>INDEX(LINEST(1/(AV1157:BE1157),1/(SQRT(AV1156:BE1156)),TRUE,TRUE),3,1)</f>
        <v>0.68674157412610259</v>
      </c>
      <c r="AT1157" s="91">
        <f>INDEX(LINEST(1/(AV1157:BE1157),1/SQRT(AV1156:BE1156)),1)</f>
        <v>-19.295224520311198</v>
      </c>
      <c r="AU1157" s="3"/>
      <c r="AV1157" s="73">
        <v>0.94699999999999995</v>
      </c>
      <c r="AW1157" s="73">
        <v>0.65</v>
      </c>
      <c r="AX1157" s="73">
        <v>0.435</v>
      </c>
      <c r="AY1157" s="73">
        <v>0.379</v>
      </c>
      <c r="AZ1157" s="73">
        <v>0.33600000000000002</v>
      </c>
      <c r="BA1157" s="73">
        <v>0.3</v>
      </c>
      <c r="BB1157" s="73">
        <v>0.23</v>
      </c>
      <c r="BC1157" s="73">
        <v>0.183</v>
      </c>
      <c r="BD1157" s="73">
        <v>0.13</v>
      </c>
      <c r="BE1157" s="73">
        <v>0.104</v>
      </c>
      <c r="BF1157" s="2"/>
      <c r="BG1157" s="2"/>
      <c r="BH1157" s="2"/>
      <c r="BI1157" s="2"/>
      <c r="BJ1157" s="2"/>
      <c r="BK1157" s="2"/>
      <c r="BL1157" s="2"/>
      <c r="BM1157" s="2"/>
      <c r="BN1157" s="2"/>
      <c r="BO1157" s="2"/>
      <c r="BP1157" s="2"/>
      <c r="BQ1157" s="2"/>
      <c r="BR1157" s="2"/>
      <c r="BS1157" s="2"/>
      <c r="BT1157" s="2"/>
      <c r="BU1157" s="2"/>
      <c r="BV1157" s="2"/>
      <c r="BW1157" s="2"/>
      <c r="BX1157" s="2"/>
      <c r="BY1157" s="2"/>
      <c r="BZ1157" s="2"/>
      <c r="CA1157" s="2"/>
      <c r="CB1157" s="2"/>
      <c r="CC1157" s="2"/>
      <c r="CD1157" s="2"/>
      <c r="CE1157" s="2"/>
      <c r="CF1157" s="2"/>
      <c r="CG1157" s="2"/>
      <c r="CH1157" s="2"/>
      <c r="CI1157" s="2"/>
      <c r="CJ1157" s="2"/>
      <c r="CK1157" s="2"/>
      <c r="CL1157" s="2"/>
      <c r="CM1157" s="2"/>
      <c r="CN1157" s="2"/>
      <c r="CO1157" s="2"/>
      <c r="CP1157" s="2"/>
      <c r="CQ1157" s="2"/>
      <c r="CR1157" s="1"/>
      <c r="CS1157" s="1"/>
      <c r="CT1157" s="1"/>
      <c r="CU1157" s="1"/>
    </row>
    <row r="1158" spans="1:99" s="13" customFormat="1" ht="12" customHeight="1" x14ac:dyDescent="0.2">
      <c r="A1158" s="65">
        <v>43509</v>
      </c>
      <c r="B1158" s="1"/>
      <c r="C1158" s="1"/>
      <c r="D1158" s="60"/>
      <c r="E1158" s="76"/>
      <c r="F1158" s="60"/>
      <c r="G1158" s="60"/>
      <c r="H1158" s="60"/>
      <c r="I1158" s="60"/>
      <c r="J1158" s="60"/>
      <c r="K1158" s="64"/>
      <c r="L1158" s="64"/>
      <c r="M1158" s="60"/>
      <c r="N1158" s="60"/>
      <c r="O1158" s="60"/>
      <c r="P1158" s="60"/>
      <c r="Q1158" s="60"/>
      <c r="R1158" s="60"/>
      <c r="S1158" s="60"/>
      <c r="T1158" s="60"/>
      <c r="U1158" s="60"/>
      <c r="V1158" s="60"/>
      <c r="W1158" s="60"/>
      <c r="X1158" s="60"/>
      <c r="Y1158" s="76"/>
      <c r="Z1158" s="60"/>
      <c r="AA1158" s="60"/>
      <c r="AB1158" s="60"/>
      <c r="AC1158" s="60"/>
      <c r="AD1158" s="60"/>
      <c r="AE1158" s="60"/>
      <c r="AF1158" s="80"/>
      <c r="AG1158" s="56"/>
      <c r="AH1158" s="4"/>
      <c r="AI1158" s="56"/>
      <c r="AJ1158" s="109"/>
      <c r="AK1158" s="56"/>
      <c r="AL1158" s="56"/>
      <c r="AM1158" s="56"/>
      <c r="AN1158" s="56"/>
      <c r="AO1158" s="56"/>
      <c r="AP1158" s="56"/>
      <c r="AQ1158" s="56"/>
      <c r="AR1158" s="109"/>
      <c r="AS1158" s="56"/>
      <c r="AT1158" s="56"/>
      <c r="AU1158" s="4"/>
      <c r="AV1158" s="25">
        <f>20*60</f>
        <v>1200</v>
      </c>
      <c r="AW1158" s="25">
        <f>60*60</f>
        <v>3600</v>
      </c>
      <c r="AX1158" s="25">
        <f>6*60*60</f>
        <v>21600</v>
      </c>
      <c r="AY1158" s="25">
        <f>2*24*60*60</f>
        <v>172800</v>
      </c>
      <c r="AZ1158" s="25">
        <f>7*24*60*60</f>
        <v>604800</v>
      </c>
      <c r="BA1158" s="25">
        <f>21*24*60*60</f>
        <v>1814400</v>
      </c>
      <c r="BB1158" s="42"/>
      <c r="BC1158" s="2"/>
      <c r="BD1158" s="2"/>
      <c r="BE1158" s="2"/>
      <c r="BF1158" s="2"/>
      <c r="BG1158" s="2"/>
      <c r="BH1158" s="2"/>
      <c r="BI1158" s="2"/>
      <c r="BJ1158" s="2"/>
      <c r="BK1158" s="2"/>
      <c r="BL1158" s="2"/>
      <c r="BM1158" s="2"/>
      <c r="BN1158" s="2"/>
      <c r="BO1158" s="2"/>
      <c r="BP1158" s="2"/>
      <c r="BQ1158" s="2"/>
      <c r="BR1158" s="2"/>
      <c r="BS1158" s="2"/>
      <c r="BT1158" s="2"/>
      <c r="BU1158" s="2"/>
      <c r="BV1158" s="2"/>
      <c r="BW1158" s="2"/>
      <c r="BX1158" s="2"/>
      <c r="BY1158" s="2"/>
      <c r="BZ1158" s="2"/>
      <c r="CA1158" s="2"/>
      <c r="CB1158" s="2"/>
      <c r="CC1158" s="2"/>
      <c r="CD1158" s="2"/>
      <c r="CE1158" s="2"/>
      <c r="CF1158" s="2"/>
      <c r="CG1158" s="2"/>
      <c r="CH1158" s="2"/>
      <c r="CI1158" s="2"/>
      <c r="CJ1158" s="2"/>
      <c r="CK1158" s="2"/>
      <c r="CL1158" s="2"/>
      <c r="CM1158" s="2"/>
      <c r="CN1158" s="2"/>
      <c r="CO1158" s="2"/>
      <c r="CP1158" s="2"/>
      <c r="CQ1158" s="2"/>
      <c r="CR1158" s="1"/>
      <c r="CS1158" s="1"/>
      <c r="CT1158" s="1"/>
      <c r="CU1158" s="1"/>
    </row>
    <row r="1159" spans="1:99" s="13" customFormat="1" ht="12" customHeight="1" x14ac:dyDescent="0.2">
      <c r="A1159" s="65">
        <v>43509</v>
      </c>
      <c r="B1159" s="1" t="s">
        <v>163</v>
      </c>
      <c r="C1159" s="1" t="s">
        <v>75</v>
      </c>
      <c r="D1159" s="60">
        <v>1983</v>
      </c>
      <c r="E1159" s="76">
        <v>2</v>
      </c>
      <c r="F1159" s="60">
        <v>144</v>
      </c>
      <c r="G1159" s="60">
        <v>24</v>
      </c>
      <c r="H1159" s="60" t="s">
        <v>50</v>
      </c>
      <c r="I1159" s="60" t="s">
        <v>803</v>
      </c>
      <c r="J1159" s="60" t="s">
        <v>320</v>
      </c>
      <c r="K1159" s="60">
        <f>IF(J1159="syllables",1,IF(J1159="trigrams",2,IF(J1159="strings",3,IF(J1159="visual array",4,IF(J1159="characters",5,IF(J1159="letters",6,IF(J1159="free forms",7,IF(J1159="odors",8,IF(J1159="words",9,IF(J1159="pictures",10,IF(J1159="object pictures",11,IF(J1159="faces",12,IF(J1159="names",13,IF(J1159="idioms",14,IF(J1159="grades",15,IF(J1159="syllable-digit pairs",16,IF(J1159="trigram-word pairs",17,IF(J1159="word-digit pairs",18,IF(J1159="English-Swahili pairs",19,IF(J1159="spatial position",20,IF(J1159="word pairs",21,IF(J1159="word triads",22,IF(J1159="generated words",23,IF(J1159="word definition pairs",24,IF(J1159="math problems",25,IF(J1159="famous faces",26,IF(J1159="famous names",27,IF(J1159="famous voices",28,IF(J1159="television programs",29,IF(J1159="race horses",30,IF(J1159="new vocabulary",31,IF(J1159="sentences",32,IF(J1159="concepts",33,IF(J1159="ad slides",34,IF(J1159="scenes",35,IF(J1159="famous scenes",36,IF(J1159="poems",37,IF(J1159="walk",38,IF(J1159="faces and events",39,IF(J1159="events and names",40,IF(J1159="flashbulb",41,IF(J1159="stories",42,IF(J1159="course material",43,IF(J1159="autobiographical",44,IF(J1159="novels",45,IF(J1159="public events",46,"99"))))))))))))))))))))))))))))))))))))))))))))))</f>
        <v>21</v>
      </c>
      <c r="L1159" s="60">
        <f>IF(J1159="syllables",1,IF(J1159="trigrams",1,IF(J1159="strings",1,IF(J1159="visual array",1,IF(J1159="characters",1,IF(J1159="letters",1,IF(J1159="free forms",1,IF(J1159="odors",2,IF(J1159="words",2,IF(J1159="pictures",2,IF(J1159="object pictures",2,IF(J1159="faces",2,IF(J1159="names",2,IF(J1159="idioms","2",IF(J1159="grades",2,IF(J1159="syllable-digit pairs",3,IF(J1159="trigram-word pairs",3,IF(J1159="word-digit pairs",3,IF(J1159="English-Swahili pairs",3,IF(J1159="spatial position",3,IF(J1159="word pairs",4,IF(J1159="word triads",4,IF(J1159="generated words",4,IF(J1159="word definition pairs",4,IF(J1159="math problems",4,IF(J1159="famous faces",4,IF(J1159="famous names",4,IF(J1159="famous voices",4,IF(J1159="television programs",4,IF(J1159="race horses",4,IF(J1159="new vocabulary",4,IF(J1159="sentences",5,IF(J1159="concepts",5,IF(J1159="ad slides",5,IF(J1159="scenes",5,IF(J1159="famous scenes",5,IF(J1159="poems",6,IF(J1159="walk",6,IF(J1159="faces and events",6,IF(J1159="events and names",6,IF(J1159="flashbulb",7,IF(J1159="stories",7,IF(J1159="course material",7,IF(J1159="autobiographical",7,IF(J1159="novels",7,IF(J1159="public events",7,"99"))))))))))))))))))))))))))))))))))))))))))))))</f>
        <v>4</v>
      </c>
      <c r="M1159" s="60">
        <v>0</v>
      </c>
      <c r="N1159" s="60">
        <v>1</v>
      </c>
      <c r="O1159" s="60">
        <v>1</v>
      </c>
      <c r="P1159" s="60" t="s">
        <v>164</v>
      </c>
      <c r="Q1159" s="60" t="s">
        <v>65</v>
      </c>
      <c r="R1159" s="60">
        <f>IF(Q1159="Free Recall",1,IF(Q1159="Cued Recall",2,IF(Q1159="Recognition",3,IF(Q1159="Multiple Choice",4,IF(Q1159="Savings",5,IF(Q1159="Stem Completion",6,IF(Q1159="Fragment Completion",7,IF(Q1159="anagram solution",8,IF(Q1159="Matching",9,IF(Q1159="Problem Solving",10,"99"))))))))))</f>
        <v>2</v>
      </c>
      <c r="S1159" s="60" t="s">
        <v>49</v>
      </c>
      <c r="T1159" s="60" t="s">
        <v>261</v>
      </c>
      <c r="U1159" s="60">
        <f>IF(T1159="within",1,0)</f>
        <v>0</v>
      </c>
      <c r="V1159" s="60">
        <v>24</v>
      </c>
      <c r="W1159" s="60">
        <f>F1159*V1159</f>
        <v>3456</v>
      </c>
      <c r="X1159" s="60">
        <v>6</v>
      </c>
      <c r="Y1159" s="76">
        <f>AV1158</f>
        <v>1200</v>
      </c>
      <c r="Z1159" s="60" t="s">
        <v>165</v>
      </c>
      <c r="AA1159" s="60">
        <v>1814400</v>
      </c>
      <c r="AB1159" s="60" t="str">
        <f>IF(AA1159&lt;60,"1",IF(AA1159&lt;=43200,"2",IF(AA1159&lt;=777600,"3","4")))</f>
        <v>4</v>
      </c>
      <c r="AC1159" s="56">
        <f>AVERAGE(AV1158:DA1158)</f>
        <v>436400</v>
      </c>
      <c r="AD1159" s="60" t="str">
        <f>IF(AC1159&lt;60,"1",IF(AC1159&lt;=43200,"2",IF(AC1159&lt;=777600,"3","4")))</f>
        <v>3</v>
      </c>
      <c r="AE1159" s="76">
        <f>AA1159-Y1159</f>
        <v>1813200</v>
      </c>
      <c r="AF1159" s="80">
        <f>AV1159</f>
        <v>0.98</v>
      </c>
      <c r="AG1159" s="56">
        <f>((AW1159-AV1159)+(AX1159-AW1159)+(AY1159-AX1159)+(AZ1159-AY1159)+(BA1159-AZ1159))/5</f>
        <v>-8.2000000000000003E-2</v>
      </c>
      <c r="AH1159" s="4"/>
      <c r="AI1159" s="56">
        <f>RSQ(AV1159:BA1159,AV1158:BA1158)</f>
        <v>0.64604437992644359</v>
      </c>
      <c r="AJ1159" s="109">
        <f>SLOPE(AV1159:BA1159,AV1158:BA1158)</f>
        <v>-2.5386589449346373E-7</v>
      </c>
      <c r="AK1159" s="56">
        <f>INTERCEPT(AV1159:BA1159,AV1158:BA1158)</f>
        <v>0.94412040969028088</v>
      </c>
      <c r="AL1159" s="56">
        <f>INDEX(LINEST(LN(AV1159:BA1159),LN(AV1158:BA1158),TRUE,TRUE),3,1)</f>
        <v>0.6759225173911052</v>
      </c>
      <c r="AM1159" s="56">
        <f>INDEX(LINEST(LN(AV1159:BA1159),LN(AV1158:BA1158)),1)</f>
        <v>-8.6201465973200567E-2</v>
      </c>
      <c r="AN1159" s="56">
        <f>EXP(INDEX(LINEST(LN(AV1159:BA1159),LN(AV1158:BA1158)),1,2))</f>
        <v>2.0469090211078673</v>
      </c>
      <c r="AO1159" s="82">
        <f>INDEX(LINEST((AV1159:BA1159),LN(AV1158:BA1158),TRUE,TRUE),3,1)</f>
        <v>0.6969473981094918</v>
      </c>
      <c r="AP1159" s="82">
        <f>INDEX(LINEST((AV1159:BA1159),LN(AV1158:BA1158)),1)</f>
        <v>-6.4770049890056178E-2</v>
      </c>
      <c r="AQ1159" s="83">
        <f>INDEX(LINEST(LN(AV1159:BA1159),SQRT(AV1158:BA1158),TRUE,TRUE),3,1)</f>
        <v>0.77215705864865902</v>
      </c>
      <c r="AR1159" s="116">
        <f>INDEX(LINEST(LN(AV1159:BA1159),SQRT((AV1158:BA1158))),1)</f>
        <v>-5.1918895356189011E-4</v>
      </c>
      <c r="AS1159" s="84">
        <f>INDEX(LINEST(1/(AV1159:BA1159),1/(SQRT(AV1158:BA1158)),TRUE,TRUE),3,1)</f>
        <v>0.35837728283612885</v>
      </c>
      <c r="AT1159" s="84">
        <f>INDEX(LINEST(1/(AV1159:BA1159),1/SQRT(AV1158:BA1158)),1)</f>
        <v>-22.699593354291913</v>
      </c>
      <c r="AU1159" s="3"/>
      <c r="AV1159" s="53">
        <v>0.98</v>
      </c>
      <c r="AW1159" s="53">
        <v>1</v>
      </c>
      <c r="AX1159" s="53">
        <v>1</v>
      </c>
      <c r="AY1159" s="53">
        <v>0.93</v>
      </c>
      <c r="AZ1159" s="53">
        <v>0.52</v>
      </c>
      <c r="BA1159" s="53">
        <v>0.56999999999999995</v>
      </c>
      <c r="BB1159" s="42"/>
      <c r="BC1159" s="2"/>
      <c r="BD1159" s="2"/>
      <c r="BE1159" s="2"/>
      <c r="BF1159" s="2"/>
      <c r="BG1159" s="2"/>
      <c r="BH1159" s="2"/>
      <c r="BI1159" s="2"/>
      <c r="BJ1159" s="2"/>
      <c r="BK1159" s="2"/>
      <c r="BL1159" s="2"/>
      <c r="BM1159" s="2"/>
      <c r="BN1159" s="2"/>
      <c r="BO1159" s="2"/>
      <c r="BP1159" s="2"/>
      <c r="BQ1159" s="2"/>
      <c r="BR1159" s="2"/>
      <c r="BS1159" s="2"/>
      <c r="BT1159" s="2"/>
      <c r="BU1159" s="2"/>
      <c r="BV1159" s="2"/>
      <c r="BW1159" s="2"/>
      <c r="BX1159" s="2"/>
      <c r="BY1159" s="2"/>
      <c r="BZ1159" s="2"/>
      <c r="CA1159" s="2"/>
      <c r="CB1159" s="2"/>
      <c r="CC1159" s="2"/>
      <c r="CD1159" s="2"/>
      <c r="CE1159" s="2"/>
      <c r="CF1159" s="2"/>
      <c r="CG1159" s="2"/>
      <c r="CH1159" s="2"/>
      <c r="CI1159" s="2"/>
      <c r="CJ1159" s="2"/>
      <c r="CK1159" s="2"/>
      <c r="CL1159" s="2"/>
      <c r="CM1159" s="2"/>
      <c r="CN1159" s="2"/>
      <c r="CO1159" s="2"/>
      <c r="CP1159" s="2"/>
      <c r="CQ1159" s="2"/>
      <c r="CR1159" s="1"/>
      <c r="CS1159" s="1"/>
      <c r="CT1159" s="1"/>
      <c r="CU1159" s="1"/>
    </row>
    <row r="1160" spans="1:99" s="13" customFormat="1" ht="12" customHeight="1" x14ac:dyDescent="0.2">
      <c r="A1160" s="65">
        <v>43509</v>
      </c>
      <c r="B1160" s="1"/>
      <c r="C1160" s="1"/>
      <c r="D1160" s="60"/>
      <c r="E1160" s="76"/>
      <c r="F1160" s="60"/>
      <c r="G1160" s="60"/>
      <c r="H1160" s="60"/>
      <c r="I1160" s="60"/>
      <c r="J1160" s="60"/>
      <c r="K1160" s="64"/>
      <c r="L1160" s="64"/>
      <c r="M1160" s="60"/>
      <c r="N1160" s="60"/>
      <c r="O1160" s="60"/>
      <c r="P1160" s="60"/>
      <c r="Q1160" s="60"/>
      <c r="R1160" s="60"/>
      <c r="S1160" s="60"/>
      <c r="T1160" s="60"/>
      <c r="U1160" s="60"/>
      <c r="V1160" s="60"/>
      <c r="W1160" s="60"/>
      <c r="X1160" s="60"/>
      <c r="Y1160" s="76"/>
      <c r="Z1160" s="60"/>
      <c r="AA1160" s="60"/>
      <c r="AB1160" s="60"/>
      <c r="AC1160" s="60"/>
      <c r="AD1160" s="60"/>
      <c r="AE1160" s="60"/>
      <c r="AF1160" s="80"/>
      <c r="AG1160" s="56"/>
      <c r="AH1160" s="4"/>
      <c r="AI1160" s="56"/>
      <c r="AJ1160" s="109"/>
      <c r="AK1160" s="56"/>
      <c r="AL1160" s="56"/>
      <c r="AM1160" s="56"/>
      <c r="AN1160" s="56"/>
      <c r="AO1160" s="56"/>
      <c r="AP1160" s="56"/>
      <c r="AQ1160" s="56"/>
      <c r="AR1160" s="109"/>
      <c r="AS1160" s="56"/>
      <c r="AT1160" s="56"/>
      <c r="AU1160" s="4"/>
      <c r="AV1160" s="25">
        <f>20*60</f>
        <v>1200</v>
      </c>
      <c r="AW1160" s="25">
        <f>60*60</f>
        <v>3600</v>
      </c>
      <c r="AX1160" s="25">
        <f>6*60*60</f>
        <v>21600</v>
      </c>
      <c r="AY1160" s="25">
        <f>2*24*60*60</f>
        <v>172800</v>
      </c>
      <c r="AZ1160" s="25">
        <f>7*24*60*60</f>
        <v>604800</v>
      </c>
      <c r="BA1160" s="25">
        <f>21*24*60*60</f>
        <v>1814400</v>
      </c>
      <c r="BB1160" s="42"/>
      <c r="BC1160" s="2"/>
      <c r="BD1160" s="2"/>
      <c r="BE1160" s="2"/>
      <c r="BF1160" s="2"/>
      <c r="BG1160" s="2"/>
      <c r="BH1160" s="2"/>
      <c r="BI1160" s="2"/>
      <c r="BJ1160" s="2"/>
      <c r="BK1160" s="2"/>
      <c r="BL1160" s="2"/>
      <c r="BM1160" s="2"/>
      <c r="BN1160" s="2"/>
      <c r="BO1160" s="2"/>
      <c r="BP1160" s="2"/>
      <c r="BQ1160" s="2"/>
      <c r="BR1160" s="2"/>
      <c r="BS1160" s="2"/>
      <c r="BT1160" s="2"/>
      <c r="BU1160" s="2"/>
      <c r="BV1160" s="2"/>
      <c r="BW1160" s="2"/>
      <c r="BX1160" s="2"/>
      <c r="BY1160" s="2"/>
      <c r="BZ1160" s="2"/>
      <c r="CA1160" s="2"/>
      <c r="CB1160" s="2"/>
      <c r="CC1160" s="2"/>
      <c r="CD1160" s="2"/>
      <c r="CE1160" s="2"/>
      <c r="CF1160" s="2"/>
      <c r="CG1160" s="2"/>
      <c r="CH1160" s="2"/>
      <c r="CI1160" s="2"/>
      <c r="CJ1160" s="2"/>
      <c r="CK1160" s="2"/>
      <c r="CL1160" s="2"/>
      <c r="CM1160" s="2"/>
      <c r="CN1160" s="2"/>
      <c r="CO1160" s="2"/>
      <c r="CP1160" s="2"/>
      <c r="CQ1160" s="2"/>
      <c r="CR1160" s="1"/>
      <c r="CS1160" s="1"/>
      <c r="CT1160" s="1"/>
      <c r="CU1160" s="1"/>
    </row>
    <row r="1161" spans="1:99" s="13" customFormat="1" ht="12" customHeight="1" x14ac:dyDescent="0.2">
      <c r="A1161" s="65">
        <v>43509</v>
      </c>
      <c r="B1161" s="1" t="s">
        <v>163</v>
      </c>
      <c r="C1161" s="1" t="s">
        <v>75</v>
      </c>
      <c r="D1161" s="60">
        <v>1983</v>
      </c>
      <c r="E1161" s="76">
        <v>2</v>
      </c>
      <c r="F1161" s="60">
        <v>144</v>
      </c>
      <c r="G1161" s="60">
        <v>24</v>
      </c>
      <c r="H1161" s="60" t="s">
        <v>50</v>
      </c>
      <c r="I1161" s="60" t="s">
        <v>804</v>
      </c>
      <c r="J1161" s="60" t="s">
        <v>320</v>
      </c>
      <c r="K1161" s="60">
        <f>IF(J1161="syllables",1,IF(J1161="trigrams",2,IF(J1161="strings",3,IF(J1161="visual array",4,IF(J1161="characters",5,IF(J1161="letters",6,IF(J1161="free forms",7,IF(J1161="odors",8,IF(J1161="words",9,IF(J1161="pictures",10,IF(J1161="object pictures",11,IF(J1161="faces",12,IF(J1161="names",13,IF(J1161="idioms",14,IF(J1161="grades",15,IF(J1161="syllable-digit pairs",16,IF(J1161="trigram-word pairs",17,IF(J1161="word-digit pairs",18,IF(J1161="English-Swahili pairs",19,IF(J1161="spatial position",20,IF(J1161="word pairs",21,IF(J1161="word triads",22,IF(J1161="generated words",23,IF(J1161="word definition pairs",24,IF(J1161="math problems",25,IF(J1161="famous faces",26,IF(J1161="famous names",27,IF(J1161="famous voices",28,IF(J1161="television programs",29,IF(J1161="race horses",30,IF(J1161="new vocabulary",31,IF(J1161="sentences",32,IF(J1161="concepts",33,IF(J1161="ad slides",34,IF(J1161="scenes",35,IF(J1161="famous scenes",36,IF(J1161="poems",37,IF(J1161="walk",38,IF(J1161="faces and events",39,IF(J1161="events and names",40,IF(J1161="flashbulb",41,IF(J1161="stories",42,IF(J1161="course material",43,IF(J1161="autobiographical",44,IF(J1161="novels",45,IF(J1161="public events",46,"99"))))))))))))))))))))))))))))))))))))))))))))))</f>
        <v>21</v>
      </c>
      <c r="L1161" s="60">
        <f>IF(J1161="syllables",1,IF(J1161="trigrams",1,IF(J1161="strings",1,IF(J1161="visual array",1,IF(J1161="characters",1,IF(J1161="letters",1,IF(J1161="free forms",1,IF(J1161="odors",2,IF(J1161="words",2,IF(J1161="pictures",2,IF(J1161="object pictures",2,IF(J1161="faces",2,IF(J1161="names",2,IF(J1161="idioms","2",IF(J1161="grades",2,IF(J1161="syllable-digit pairs",3,IF(J1161="trigram-word pairs",3,IF(J1161="word-digit pairs",3,IF(J1161="English-Swahili pairs",3,IF(J1161="spatial position",3,IF(J1161="word pairs",4,IF(J1161="word triads",4,IF(J1161="generated words",4,IF(J1161="word definition pairs",4,IF(J1161="math problems",4,IF(J1161="famous faces",4,IF(J1161="famous names",4,IF(J1161="famous voices",4,IF(J1161="television programs",4,IF(J1161="race horses",4,IF(J1161="new vocabulary",4,IF(J1161="sentences",5,IF(J1161="concepts",5,IF(J1161="ad slides",5,IF(J1161="scenes",5,IF(J1161="famous scenes",5,IF(J1161="poems",6,IF(J1161="walk",6,IF(J1161="faces and events",6,IF(J1161="events and names",6,IF(J1161="flashbulb",7,IF(J1161="stories",7,IF(J1161="course material",7,IF(J1161="autobiographical",7,IF(J1161="novels",7,IF(J1161="public events",7,"99"))))))))))))))))))))))))))))))))))))))))))))))</f>
        <v>4</v>
      </c>
      <c r="M1161" s="60">
        <v>1</v>
      </c>
      <c r="N1161" s="60">
        <v>2</v>
      </c>
      <c r="O1161" s="60">
        <v>1</v>
      </c>
      <c r="P1161" s="60" t="s">
        <v>164</v>
      </c>
      <c r="Q1161" s="60" t="s">
        <v>65</v>
      </c>
      <c r="R1161" s="60">
        <f>IF(Q1161="Free Recall",1,IF(Q1161="Cued Recall",2,IF(Q1161="Recognition",3,IF(Q1161="Multiple Choice",4,IF(Q1161="Savings",5,IF(Q1161="Stem Completion",6,IF(Q1161="Fragment Completion",7,IF(Q1161="anagram solution",8,IF(Q1161="Matching",9,IF(Q1161="Problem Solving",10,"99"))))))))))</f>
        <v>2</v>
      </c>
      <c r="S1161" s="60" t="s">
        <v>49</v>
      </c>
      <c r="T1161" s="60" t="s">
        <v>261</v>
      </c>
      <c r="U1161" s="60">
        <f>IF(T1161="within",1,0)</f>
        <v>0</v>
      </c>
      <c r="V1161" s="60">
        <v>24</v>
      </c>
      <c r="W1161" s="60">
        <f>F1161*V1161</f>
        <v>3456</v>
      </c>
      <c r="X1161" s="60">
        <v>6</v>
      </c>
      <c r="Y1161" s="76">
        <f>AV1160</f>
        <v>1200</v>
      </c>
      <c r="Z1161" s="60" t="s">
        <v>165</v>
      </c>
      <c r="AA1161" s="60">
        <v>1814400</v>
      </c>
      <c r="AB1161" s="60" t="str">
        <f>IF(AA1161&lt;60,"1",IF(AA1161&lt;=43200,"2",IF(AA1161&lt;=777600,"3","4")))</f>
        <v>4</v>
      </c>
      <c r="AC1161" s="56">
        <f>AVERAGE(AV1160:DA1160)</f>
        <v>436400</v>
      </c>
      <c r="AD1161" s="60" t="str">
        <f>IF(AC1161&lt;60,"1",IF(AC1161&lt;=43200,"2",IF(AC1161&lt;=777600,"3","4")))</f>
        <v>3</v>
      </c>
      <c r="AE1161" s="76">
        <f>AA1161-Y1161</f>
        <v>1813200</v>
      </c>
      <c r="AF1161" s="80">
        <f>AV1161</f>
        <v>1</v>
      </c>
      <c r="AG1161" s="56">
        <f>((AW1161-AV1161)+(AX1161-AW1161)+(AY1161-AX1161)+(AZ1161-AY1161)+(BA1161-AZ1161))/5</f>
        <v>-0.13399999999999998</v>
      </c>
      <c r="AH1161" s="4"/>
      <c r="AI1161" s="56">
        <f>RSQ(AV1161:BA1161,AV1160:BA1160)</f>
        <v>0.92686649558811807</v>
      </c>
      <c r="AJ1161" s="109">
        <f>SLOPE(AV1161:BA1161,AV1160:BA1160)</f>
        <v>-3.6539912544696889E-7</v>
      </c>
      <c r="AK1161" s="56">
        <f>INTERCEPT(AV1161:BA1161,AV1160:BA1160)</f>
        <v>0.94779351167839065</v>
      </c>
      <c r="AL1161" s="56">
        <f>INDEX(LINEST(LN(AV1161:BA1161),LN(AV1160:BA1160),TRUE,TRUE),3,1)</f>
        <v>0.6979605142452594</v>
      </c>
      <c r="AM1161" s="56">
        <f>INDEX(LINEST(LN(AV1161:BA1161),LN(AV1160:BA1160)),1)</f>
        <v>-0.12642838900926681</v>
      </c>
      <c r="AN1161" s="56">
        <f>EXP(INDEX(LINEST(LN(AV1161:BA1161),LN(AV1160:BA1160)),1,2))</f>
        <v>2.8994246119715101</v>
      </c>
      <c r="AO1161" s="82">
        <f>INDEX(LINEST((AV1161:BA1161),LN(AV1160:BA1160),TRUE,TRUE),3,1)</f>
        <v>0.77898079153197308</v>
      </c>
      <c r="AP1161" s="82">
        <f>INDEX(LINEST((AV1161:BA1161),LN(AV1160:BA1160)),1)</f>
        <v>-8.2285504074326901E-2</v>
      </c>
      <c r="AQ1161" s="83">
        <f>INDEX(LINEST(LN(AV1161:BA1161),SQRT(AV1160:BA1160),TRUE,TRUE),3,1)</f>
        <v>0.96518334553495821</v>
      </c>
      <c r="AR1161" s="116">
        <f>INDEX(LINEST(LN(AV1161:BA1161),SQRT((AV1160:BA1160))),1)</f>
        <v>-8.3780030318511773E-4</v>
      </c>
      <c r="AS1161" s="84">
        <f>INDEX(LINEST(1/(AV1161:BA1161),1/(SQRT(AV1160:BA1160)),TRUE,TRUE),3,1)</f>
        <v>0.29910987231516306</v>
      </c>
      <c r="AT1161" s="84">
        <f>INDEX(LINEST(1/(AV1161:BA1161),1/SQRT(AV1160:BA1160)),1)</f>
        <v>-38.98088987645022</v>
      </c>
      <c r="AU1161" s="3"/>
      <c r="AV1161" s="53">
        <v>1</v>
      </c>
      <c r="AW1161" s="53">
        <v>1</v>
      </c>
      <c r="AX1161" s="53">
        <v>0.92</v>
      </c>
      <c r="AY1161" s="53">
        <v>0.89</v>
      </c>
      <c r="AZ1161" s="53">
        <v>0.59</v>
      </c>
      <c r="BA1161" s="53">
        <v>0.33</v>
      </c>
      <c r="BB1161" s="42"/>
      <c r="BC1161" s="2"/>
      <c r="BD1161" s="2"/>
      <c r="BE1161" s="2"/>
      <c r="BF1161" s="2"/>
      <c r="BG1161" s="2"/>
      <c r="BH1161" s="2"/>
      <c r="BI1161" s="2"/>
      <c r="BJ1161" s="2"/>
      <c r="BK1161" s="2"/>
      <c r="BL1161" s="2"/>
      <c r="BM1161" s="2"/>
      <c r="BN1161" s="2"/>
      <c r="BO1161" s="2"/>
      <c r="BP1161" s="2"/>
      <c r="BQ1161" s="2"/>
      <c r="BR1161" s="2"/>
      <c r="BS1161" s="2"/>
      <c r="BT1161" s="2"/>
      <c r="BU1161" s="2"/>
      <c r="BV1161" s="2"/>
      <c r="BW1161" s="2"/>
      <c r="BX1161" s="2"/>
      <c r="BY1161" s="2"/>
      <c r="BZ1161" s="2"/>
      <c r="CA1161" s="2"/>
      <c r="CB1161" s="2"/>
      <c r="CC1161" s="2"/>
      <c r="CD1161" s="2"/>
      <c r="CE1161" s="2"/>
      <c r="CF1161" s="2"/>
      <c r="CG1161" s="2"/>
      <c r="CH1161" s="2"/>
      <c r="CI1161" s="2"/>
      <c r="CJ1161" s="2"/>
      <c r="CK1161" s="2"/>
      <c r="CL1161" s="2"/>
      <c r="CM1161" s="2"/>
      <c r="CN1161" s="2"/>
      <c r="CO1161" s="2"/>
      <c r="CP1161" s="2"/>
      <c r="CQ1161" s="2"/>
      <c r="CR1161" s="1"/>
      <c r="CS1161" s="1"/>
      <c r="CT1161" s="1"/>
      <c r="CU1161" s="1"/>
    </row>
    <row r="1162" spans="1:99" s="13" customFormat="1" ht="12" customHeight="1" x14ac:dyDescent="0.2">
      <c r="A1162" s="65">
        <v>43509</v>
      </c>
      <c r="B1162" s="1"/>
      <c r="C1162" s="1"/>
      <c r="D1162" s="60"/>
      <c r="E1162" s="76"/>
      <c r="F1162" s="60"/>
      <c r="G1162" s="60"/>
      <c r="H1162" s="60"/>
      <c r="I1162" s="60"/>
      <c r="J1162" s="60"/>
      <c r="K1162" s="64"/>
      <c r="L1162" s="64"/>
      <c r="M1162" s="60"/>
      <c r="N1162" s="60"/>
      <c r="O1162" s="60"/>
      <c r="P1162" s="60"/>
      <c r="Q1162" s="60"/>
      <c r="R1162" s="60"/>
      <c r="S1162" s="60"/>
      <c r="T1162" s="60"/>
      <c r="U1162" s="60"/>
      <c r="V1162" s="60"/>
      <c r="W1162" s="60"/>
      <c r="X1162" s="60"/>
      <c r="Y1162" s="76"/>
      <c r="Z1162" s="60"/>
      <c r="AA1162" s="60"/>
      <c r="AB1162" s="60"/>
      <c r="AC1162" s="60"/>
      <c r="AD1162" s="60"/>
      <c r="AE1162" s="60"/>
      <c r="AF1162" s="80"/>
      <c r="AG1162" s="56"/>
      <c r="AH1162" s="4"/>
      <c r="AI1162" s="56"/>
      <c r="AJ1162" s="109"/>
      <c r="AK1162" s="56"/>
      <c r="AL1162" s="56"/>
      <c r="AM1162" s="56"/>
      <c r="AN1162" s="56"/>
      <c r="AO1162" s="56"/>
      <c r="AP1162" s="56"/>
      <c r="AQ1162" s="56"/>
      <c r="AR1162" s="109"/>
      <c r="AS1162" s="56"/>
      <c r="AT1162" s="56"/>
      <c r="AU1162" s="4"/>
      <c r="AV1162" s="25">
        <f>20*60</f>
        <v>1200</v>
      </c>
      <c r="AW1162" s="25">
        <f>60*60</f>
        <v>3600</v>
      </c>
      <c r="AX1162" s="25">
        <f>6*60*60</f>
        <v>21600</v>
      </c>
      <c r="AY1162" s="25">
        <f>2*24*60*60</f>
        <v>172800</v>
      </c>
      <c r="AZ1162" s="25">
        <f>7*24*60*60</f>
        <v>604800</v>
      </c>
      <c r="BA1162" s="25">
        <f>21*24*60*60</f>
        <v>1814400</v>
      </c>
      <c r="BB1162" s="42"/>
      <c r="BC1162" s="2"/>
      <c r="BD1162" s="2"/>
      <c r="BE1162" s="2"/>
      <c r="BF1162" s="2"/>
      <c r="BG1162" s="2"/>
      <c r="BH1162" s="2"/>
      <c r="BI1162" s="2"/>
      <c r="BJ1162" s="2"/>
      <c r="BK1162" s="2"/>
      <c r="BL1162" s="2"/>
      <c r="BM1162" s="2"/>
      <c r="BN1162" s="2"/>
      <c r="BO1162" s="2"/>
      <c r="BP1162" s="2"/>
      <c r="BQ1162" s="2"/>
      <c r="BR1162" s="2"/>
      <c r="BS1162" s="2"/>
      <c r="BT1162" s="2"/>
      <c r="BU1162" s="2"/>
      <c r="BV1162" s="2"/>
      <c r="BW1162" s="2"/>
      <c r="BX1162" s="2"/>
      <c r="BY1162" s="2"/>
      <c r="BZ1162" s="2"/>
      <c r="CA1162" s="2"/>
      <c r="CB1162" s="2"/>
      <c r="CC1162" s="2"/>
      <c r="CD1162" s="2"/>
      <c r="CE1162" s="2"/>
      <c r="CF1162" s="2"/>
      <c r="CG1162" s="2"/>
      <c r="CH1162" s="2"/>
      <c r="CI1162" s="2"/>
      <c r="CJ1162" s="2"/>
      <c r="CK1162" s="2"/>
      <c r="CL1162" s="2"/>
      <c r="CM1162" s="2"/>
      <c r="CN1162" s="2"/>
      <c r="CO1162" s="2"/>
      <c r="CP1162" s="2"/>
      <c r="CQ1162" s="2"/>
      <c r="CR1162" s="1"/>
      <c r="CS1162" s="1"/>
      <c r="CT1162" s="1"/>
      <c r="CU1162" s="1"/>
    </row>
    <row r="1163" spans="1:99" s="13" customFormat="1" ht="12" customHeight="1" x14ac:dyDescent="0.2">
      <c r="A1163" s="65">
        <v>43509</v>
      </c>
      <c r="B1163" s="1" t="s">
        <v>163</v>
      </c>
      <c r="C1163" s="1" t="s">
        <v>75</v>
      </c>
      <c r="D1163" s="60">
        <v>1983</v>
      </c>
      <c r="E1163" s="76">
        <v>2</v>
      </c>
      <c r="F1163" s="60">
        <v>144</v>
      </c>
      <c r="G1163" s="60">
        <v>24</v>
      </c>
      <c r="H1163" s="60" t="s">
        <v>50</v>
      </c>
      <c r="I1163" s="60" t="s">
        <v>805</v>
      </c>
      <c r="J1163" s="60" t="s">
        <v>320</v>
      </c>
      <c r="K1163" s="60">
        <f>IF(J1163="syllables",1,IF(J1163="trigrams",2,IF(J1163="strings",3,IF(J1163="visual array",4,IF(J1163="characters",5,IF(J1163="letters",6,IF(J1163="free forms",7,IF(J1163="odors",8,IF(J1163="words",9,IF(J1163="pictures",10,IF(J1163="object pictures",11,IF(J1163="faces",12,IF(J1163="names",13,IF(J1163="idioms",14,IF(J1163="grades",15,IF(J1163="syllable-digit pairs",16,IF(J1163="trigram-word pairs",17,IF(J1163="word-digit pairs",18,IF(J1163="English-Swahili pairs",19,IF(J1163="spatial position",20,IF(J1163="word pairs",21,IF(J1163="word triads",22,IF(J1163="generated words",23,IF(J1163="word definition pairs",24,IF(J1163="math problems",25,IF(J1163="famous faces",26,IF(J1163="famous names",27,IF(J1163="famous voices",28,IF(J1163="television programs",29,IF(J1163="race horses",30,IF(J1163="new vocabulary",31,IF(J1163="sentences",32,IF(J1163="concepts",33,IF(J1163="ad slides",34,IF(J1163="scenes",35,IF(J1163="famous scenes",36,IF(J1163="poems",37,IF(J1163="walk",38,IF(J1163="faces and events",39,IF(J1163="events and names",40,IF(J1163="flashbulb",41,IF(J1163="stories",42,IF(J1163="course material",43,IF(J1163="autobiographical",44,IF(J1163="novels",45,IF(J1163="public events",46,"99"))))))))))))))))))))))))))))))))))))))))))))))</f>
        <v>21</v>
      </c>
      <c r="L1163" s="60">
        <f>IF(J1163="syllables",1,IF(J1163="trigrams",1,IF(J1163="strings",1,IF(J1163="visual array",1,IF(J1163="characters",1,IF(J1163="letters",1,IF(J1163="free forms",1,IF(J1163="odors",2,IF(J1163="words",2,IF(J1163="pictures",2,IF(J1163="object pictures",2,IF(J1163="faces",2,IF(J1163="names",2,IF(J1163="idioms","2",IF(J1163="grades",2,IF(J1163="syllable-digit pairs",3,IF(J1163="trigram-word pairs",3,IF(J1163="word-digit pairs",3,IF(J1163="English-Swahili pairs",3,IF(J1163="spatial position",3,IF(J1163="word pairs",4,IF(J1163="word triads",4,IF(J1163="generated words",4,IF(J1163="word definition pairs",4,IF(J1163="math problems",4,IF(J1163="famous faces",4,IF(J1163="famous names",4,IF(J1163="famous voices",4,IF(J1163="television programs",4,IF(J1163="race horses",4,IF(J1163="new vocabulary",4,IF(J1163="sentences",5,IF(J1163="concepts",5,IF(J1163="ad slides",5,IF(J1163="scenes",5,IF(J1163="famous scenes",5,IF(J1163="poems",6,IF(J1163="walk",6,IF(J1163="faces and events",6,IF(J1163="events and names",6,IF(J1163="flashbulb",7,IF(J1163="stories",7,IF(J1163="course material",7,IF(J1163="autobiographical",7,IF(J1163="novels",7,IF(J1163="public events",7,"99"))))))))))))))))))))))))))))))))))))))))))))))</f>
        <v>4</v>
      </c>
      <c r="M1163" s="60">
        <v>0</v>
      </c>
      <c r="N1163" s="60">
        <v>1</v>
      </c>
      <c r="O1163" s="60">
        <v>1</v>
      </c>
      <c r="P1163" s="60" t="s">
        <v>164</v>
      </c>
      <c r="Q1163" s="60" t="s">
        <v>65</v>
      </c>
      <c r="R1163" s="60">
        <f>IF(Q1163="Free Recall",1,IF(Q1163="Cued Recall",2,IF(Q1163="Recognition",3,IF(Q1163="Multiple Choice",4,IF(Q1163="Savings",5,IF(Q1163="Stem Completion",6,IF(Q1163="Fragment Completion",7,IF(Q1163="anagram solution",8,IF(Q1163="Matching",9,IF(Q1163="Problem Solving",10,"99"))))))))))</f>
        <v>2</v>
      </c>
      <c r="S1163" s="60" t="s">
        <v>49</v>
      </c>
      <c r="T1163" s="60" t="s">
        <v>261</v>
      </c>
      <c r="U1163" s="60">
        <f>IF(T1163="within",1,0)</f>
        <v>0</v>
      </c>
      <c r="V1163" s="60">
        <v>24</v>
      </c>
      <c r="W1163" s="60">
        <f>F1163*V1163</f>
        <v>3456</v>
      </c>
      <c r="X1163" s="60">
        <v>6</v>
      </c>
      <c r="Y1163" s="76">
        <f>AV1162</f>
        <v>1200</v>
      </c>
      <c r="Z1163" s="60" t="s">
        <v>165</v>
      </c>
      <c r="AA1163" s="60">
        <v>1814400</v>
      </c>
      <c r="AB1163" s="60" t="str">
        <f>IF(AA1163&lt;60,"1",IF(AA1163&lt;=43200,"2",IF(AA1163&lt;=777600,"3","4")))</f>
        <v>4</v>
      </c>
      <c r="AC1163" s="56">
        <f>AVERAGE(AV1162:DA1162)</f>
        <v>436400</v>
      </c>
      <c r="AD1163" s="60" t="str">
        <f>IF(AC1163&lt;60,"1",IF(AC1163&lt;=43200,"2",IF(AC1163&lt;=777600,"3","4")))</f>
        <v>3</v>
      </c>
      <c r="AE1163" s="76">
        <f>AA1163-Y1163</f>
        <v>1813200</v>
      </c>
      <c r="AF1163" s="80">
        <f>AV1163</f>
        <v>0.74</v>
      </c>
      <c r="AG1163" s="56">
        <f>((AW1163-AV1163)+(AX1163-AW1163)+(AY1163-AX1163)+(AZ1163-AY1163)+(BA1163-AZ1163))/5</f>
        <v>-0.10400000000000001</v>
      </c>
      <c r="AH1163" s="4"/>
      <c r="AI1163" s="56">
        <f>RSQ(AV1163:BA1163,AV1162:BA1162)</f>
        <v>0.397326705125506</v>
      </c>
      <c r="AJ1163" s="109">
        <f>SLOPE(AV1163:BA1163,AV1162:BA1162)</f>
        <v>-2.2946520116680822E-7</v>
      </c>
      <c r="AK1163" s="56">
        <f>INTERCEPT(AV1163:BA1163,AV1162:BA1162)</f>
        <v>0.53347194712252854</v>
      </c>
      <c r="AL1163" s="56">
        <f>INDEX(LINEST(LN(AV1163:BA1163),LN(AV1162:BA1162),TRUE,TRUE),3,1)</f>
        <v>0.85026547079861714</v>
      </c>
      <c r="AM1163" s="56">
        <f>INDEX(LINEST(LN(AV1163:BA1163),LN(AV1162:BA1162)),1)</f>
        <v>-0.21474824186994065</v>
      </c>
      <c r="AN1163" s="56">
        <f>EXP(INDEX(LINEST(LN(AV1163:BA1163),LN(AV1162:BA1162)),1,2))</f>
        <v>3.7195461504513876</v>
      </c>
      <c r="AO1163" s="82">
        <f>INDEX(LINEST((AV1163:BA1163),LN(AV1162:BA1162),TRUE,TRUE),3,1)</f>
        <v>0.88874034109083822</v>
      </c>
      <c r="AP1163" s="82">
        <f>INDEX(LINEST((AV1163:BA1163),LN(AV1162:BA1162)),1)</f>
        <v>-8.430075224923865E-2</v>
      </c>
      <c r="AQ1163" s="83">
        <f>INDEX(LINEST(LN(AV1163:BA1163),SQRT(AV1162:BA1162),TRUE,TRUE),3,1)</f>
        <v>0.62613413147428643</v>
      </c>
      <c r="AR1163" s="116">
        <f>INDEX(LINEST(LN(AV1163:BA1163),SQRT((AV1162:BA1162))),1)</f>
        <v>-1.0384664283952733E-3</v>
      </c>
      <c r="AS1163" s="84">
        <f>INDEX(LINEST(1/(AV1163:BA1163),1/(SQRT(AV1162:BA1162)),TRUE,TRUE),3,1)</f>
        <v>0.59553007545935954</v>
      </c>
      <c r="AT1163" s="84">
        <f>INDEX(LINEST(1/(AV1163:BA1163),1/SQRT(AV1162:BA1162)),1)</f>
        <v>-142.65168617888099</v>
      </c>
      <c r="AU1163" s="3"/>
      <c r="AV1163" s="53">
        <v>0.74</v>
      </c>
      <c r="AW1163" s="53">
        <v>0.64</v>
      </c>
      <c r="AX1163" s="53">
        <v>0.62</v>
      </c>
      <c r="AY1163" s="53">
        <v>0.22</v>
      </c>
      <c r="AZ1163" s="53">
        <v>0.16</v>
      </c>
      <c r="BA1163" s="53">
        <v>0.22</v>
      </c>
      <c r="BB1163" s="42"/>
      <c r="BC1163" s="2"/>
      <c r="BD1163" s="2"/>
      <c r="BE1163" s="2"/>
      <c r="BF1163" s="2"/>
      <c r="BG1163" s="2"/>
      <c r="BH1163" s="2"/>
      <c r="BI1163" s="2"/>
      <c r="BJ1163" s="2"/>
      <c r="BK1163" s="2"/>
      <c r="BL1163" s="2"/>
      <c r="BM1163" s="2"/>
      <c r="BN1163" s="2"/>
      <c r="BO1163" s="2"/>
      <c r="BP1163" s="2"/>
      <c r="BQ1163" s="2"/>
      <c r="BR1163" s="2"/>
      <c r="BS1163" s="2"/>
      <c r="BT1163" s="2"/>
      <c r="BU1163" s="2"/>
      <c r="BV1163" s="2"/>
      <c r="BW1163" s="2"/>
      <c r="BX1163" s="2"/>
      <c r="BY1163" s="2"/>
      <c r="BZ1163" s="2"/>
      <c r="CA1163" s="2"/>
      <c r="CB1163" s="2"/>
      <c r="CC1163" s="2"/>
      <c r="CD1163" s="2"/>
      <c r="CE1163" s="2"/>
      <c r="CF1163" s="2"/>
      <c r="CG1163" s="2"/>
      <c r="CH1163" s="2"/>
      <c r="CI1163" s="2"/>
      <c r="CJ1163" s="2"/>
      <c r="CK1163" s="2"/>
      <c r="CL1163" s="2"/>
      <c r="CM1163" s="2"/>
      <c r="CN1163" s="2"/>
      <c r="CO1163" s="2"/>
      <c r="CP1163" s="2"/>
      <c r="CQ1163" s="2"/>
      <c r="CR1163" s="1"/>
      <c r="CS1163" s="1"/>
      <c r="CT1163" s="1"/>
      <c r="CU1163" s="1"/>
    </row>
    <row r="1164" spans="1:99" s="13" customFormat="1" ht="12" customHeight="1" x14ac:dyDescent="0.2">
      <c r="A1164" s="65">
        <v>43509</v>
      </c>
      <c r="B1164" s="1"/>
      <c r="C1164" s="1"/>
      <c r="D1164" s="60"/>
      <c r="E1164" s="76"/>
      <c r="F1164" s="60"/>
      <c r="G1164" s="60"/>
      <c r="H1164" s="60"/>
      <c r="I1164" s="60"/>
      <c r="J1164" s="60"/>
      <c r="K1164" s="64"/>
      <c r="L1164" s="64"/>
      <c r="M1164" s="60"/>
      <c r="N1164" s="60"/>
      <c r="O1164" s="60"/>
      <c r="P1164" s="60"/>
      <c r="Q1164" s="60"/>
      <c r="R1164" s="60"/>
      <c r="S1164" s="60"/>
      <c r="T1164" s="60"/>
      <c r="U1164" s="60"/>
      <c r="V1164" s="60"/>
      <c r="W1164" s="60"/>
      <c r="X1164" s="60"/>
      <c r="Y1164" s="76"/>
      <c r="Z1164" s="60"/>
      <c r="AA1164" s="60"/>
      <c r="AB1164" s="60"/>
      <c r="AC1164" s="60"/>
      <c r="AD1164" s="60"/>
      <c r="AE1164" s="60"/>
      <c r="AF1164" s="80"/>
      <c r="AG1164" s="56"/>
      <c r="AH1164" s="4"/>
      <c r="AI1164" s="56"/>
      <c r="AJ1164" s="109"/>
      <c r="AK1164" s="56"/>
      <c r="AL1164" s="56"/>
      <c r="AM1164" s="56"/>
      <c r="AN1164" s="56"/>
      <c r="AO1164" s="56"/>
      <c r="AP1164" s="56"/>
      <c r="AQ1164" s="56"/>
      <c r="AR1164" s="109"/>
      <c r="AS1164" s="56"/>
      <c r="AT1164" s="56"/>
      <c r="AU1164" s="4"/>
      <c r="AV1164" s="25">
        <f>20*60</f>
        <v>1200</v>
      </c>
      <c r="AW1164" s="25">
        <f>60*60</f>
        <v>3600</v>
      </c>
      <c r="AX1164" s="25">
        <f>6*60*60</f>
        <v>21600</v>
      </c>
      <c r="AY1164" s="25">
        <f>2*24*60*60</f>
        <v>172800</v>
      </c>
      <c r="AZ1164" s="25">
        <f>7*24*60*60</f>
        <v>604800</v>
      </c>
      <c r="BA1164" s="25">
        <f>21*24*60*60</f>
        <v>1814400</v>
      </c>
      <c r="BB1164" s="42"/>
      <c r="BC1164" s="2"/>
      <c r="BD1164" s="2"/>
      <c r="BE1164" s="2"/>
      <c r="BF1164" s="2"/>
      <c r="BG1164" s="2"/>
      <c r="BH1164" s="2"/>
      <c r="BI1164" s="2"/>
      <c r="BJ1164" s="2"/>
      <c r="BK1164" s="2"/>
      <c r="BL1164" s="2"/>
      <c r="BM1164" s="2"/>
      <c r="BN1164" s="2"/>
      <c r="BO1164" s="2"/>
      <c r="BP1164" s="2"/>
      <c r="BQ1164" s="2"/>
      <c r="BR1164" s="2"/>
      <c r="BS1164" s="2"/>
      <c r="BT1164" s="2"/>
      <c r="BU1164" s="2"/>
      <c r="BV1164" s="2"/>
      <c r="BW1164" s="2"/>
      <c r="BX1164" s="2"/>
      <c r="BY1164" s="2"/>
      <c r="BZ1164" s="2"/>
      <c r="CA1164" s="2"/>
      <c r="CB1164" s="2"/>
      <c r="CC1164" s="2"/>
      <c r="CD1164" s="2"/>
      <c r="CE1164" s="2"/>
      <c r="CF1164" s="2"/>
      <c r="CG1164" s="2"/>
      <c r="CH1164" s="2"/>
      <c r="CI1164" s="2"/>
      <c r="CJ1164" s="2"/>
      <c r="CK1164" s="2"/>
      <c r="CL1164" s="2"/>
      <c r="CM1164" s="2"/>
      <c r="CN1164" s="2"/>
      <c r="CO1164" s="2"/>
      <c r="CP1164" s="2"/>
      <c r="CQ1164" s="2"/>
      <c r="CR1164" s="1"/>
      <c r="CS1164" s="1"/>
      <c r="CT1164" s="1"/>
      <c r="CU1164" s="1"/>
    </row>
    <row r="1165" spans="1:99" s="13" customFormat="1" ht="12" customHeight="1" x14ac:dyDescent="0.2">
      <c r="A1165" s="65">
        <v>43509</v>
      </c>
      <c r="B1165" s="1" t="s">
        <v>163</v>
      </c>
      <c r="C1165" s="1" t="s">
        <v>75</v>
      </c>
      <c r="D1165" s="60">
        <v>1983</v>
      </c>
      <c r="E1165" s="76">
        <v>2</v>
      </c>
      <c r="F1165" s="60">
        <v>144</v>
      </c>
      <c r="G1165" s="60">
        <v>24</v>
      </c>
      <c r="H1165" s="60" t="s">
        <v>50</v>
      </c>
      <c r="I1165" s="60" t="s">
        <v>806</v>
      </c>
      <c r="J1165" s="60" t="s">
        <v>320</v>
      </c>
      <c r="K1165" s="60">
        <f>IF(J1165="syllables",1,IF(J1165="trigrams",2,IF(J1165="strings",3,IF(J1165="visual array",4,IF(J1165="characters",5,IF(J1165="letters",6,IF(J1165="free forms",7,IF(J1165="odors",8,IF(J1165="words",9,IF(J1165="pictures",10,IF(J1165="object pictures",11,IF(J1165="faces",12,IF(J1165="names",13,IF(J1165="idioms",14,IF(J1165="grades",15,IF(J1165="syllable-digit pairs",16,IF(J1165="trigram-word pairs",17,IF(J1165="word-digit pairs",18,IF(J1165="English-Swahili pairs",19,IF(J1165="spatial position",20,IF(J1165="word pairs",21,IF(J1165="word triads",22,IF(J1165="generated words",23,IF(J1165="word definition pairs",24,IF(J1165="math problems",25,IF(J1165="famous faces",26,IF(J1165="famous names",27,IF(J1165="famous voices",28,IF(J1165="television programs",29,IF(J1165="race horses",30,IF(J1165="new vocabulary",31,IF(J1165="sentences",32,IF(J1165="concepts",33,IF(J1165="ad slides",34,IF(J1165="scenes",35,IF(J1165="famous scenes",36,IF(J1165="poems",37,IF(J1165="walk",38,IF(J1165="faces and events",39,IF(J1165="events and names",40,IF(J1165="flashbulb",41,IF(J1165="stories",42,IF(J1165="course material",43,IF(J1165="autobiographical",44,IF(J1165="novels",45,IF(J1165="public events",46,"99"))))))))))))))))))))))))))))))))))))))))))))))</f>
        <v>21</v>
      </c>
      <c r="L1165" s="60">
        <f>IF(J1165="syllables",1,IF(J1165="trigrams",1,IF(J1165="strings",1,IF(J1165="visual array",1,IF(J1165="characters",1,IF(J1165="letters",1,IF(J1165="free forms",1,IF(J1165="odors",2,IF(J1165="words",2,IF(J1165="pictures",2,IF(J1165="object pictures",2,IF(J1165="faces",2,IF(J1165="names",2,IF(J1165="idioms","2",IF(J1165="grades",2,IF(J1165="syllable-digit pairs",3,IF(J1165="trigram-word pairs",3,IF(J1165="word-digit pairs",3,IF(J1165="English-Swahili pairs",3,IF(J1165="spatial position",3,IF(J1165="word pairs",4,IF(J1165="word triads",4,IF(J1165="generated words",4,IF(J1165="word definition pairs",4,IF(J1165="math problems",4,IF(J1165="famous faces",4,IF(J1165="famous names",4,IF(J1165="famous voices",4,IF(J1165="television programs",4,IF(J1165="race horses",4,IF(J1165="new vocabulary",4,IF(J1165="sentences",5,IF(J1165="concepts",5,IF(J1165="ad slides",5,IF(J1165="scenes",5,IF(J1165="famous scenes",5,IF(J1165="poems",6,IF(J1165="walk",6,IF(J1165="faces and events",6,IF(J1165="events and names",6,IF(J1165="flashbulb",7,IF(J1165="stories",7,IF(J1165="course material",7,IF(J1165="autobiographical",7,IF(J1165="novels",7,IF(J1165="public events",7,"99"))))))))))))))))))))))))))))))))))))))))))))))</f>
        <v>4</v>
      </c>
      <c r="M1165" s="60">
        <v>1</v>
      </c>
      <c r="N1165" s="60">
        <v>2</v>
      </c>
      <c r="O1165" s="60">
        <v>1</v>
      </c>
      <c r="P1165" s="60" t="s">
        <v>164</v>
      </c>
      <c r="Q1165" s="60" t="s">
        <v>65</v>
      </c>
      <c r="R1165" s="60">
        <f>IF(Q1165="Free Recall",1,IF(Q1165="Cued Recall",2,IF(Q1165="Recognition",3,IF(Q1165="Multiple Choice",4,IF(Q1165="Savings",5,IF(Q1165="Stem Completion",6,IF(Q1165="Fragment Completion",7,IF(Q1165="anagram solution",8,IF(Q1165="Matching",9,IF(Q1165="Problem Solving",10,"99"))))))))))</f>
        <v>2</v>
      </c>
      <c r="S1165" s="60" t="s">
        <v>49</v>
      </c>
      <c r="T1165" s="60" t="s">
        <v>261</v>
      </c>
      <c r="U1165" s="60">
        <f>IF(T1165="within",1,0)</f>
        <v>0</v>
      </c>
      <c r="V1165" s="60">
        <v>24</v>
      </c>
      <c r="W1165" s="60">
        <f>F1165*V1165</f>
        <v>3456</v>
      </c>
      <c r="X1165" s="60">
        <v>6</v>
      </c>
      <c r="Y1165" s="76">
        <f>AV1164</f>
        <v>1200</v>
      </c>
      <c r="Z1165" s="60" t="s">
        <v>165</v>
      </c>
      <c r="AA1165" s="60">
        <v>1814400</v>
      </c>
      <c r="AB1165" s="60" t="str">
        <f>IF(AA1165&lt;60,"1",IF(AA1165&lt;=43200,"2",IF(AA1165&lt;=777600,"3","4")))</f>
        <v>4</v>
      </c>
      <c r="AC1165" s="56">
        <f>AVERAGE(AV1164:DA1164)</f>
        <v>436400</v>
      </c>
      <c r="AD1165" s="60" t="str">
        <f>IF(AC1165&lt;60,"1",IF(AC1165&lt;=43200,"2",IF(AC1165&lt;=777600,"3","4")))</f>
        <v>3</v>
      </c>
      <c r="AE1165" s="76">
        <f>AA1165-Y1165</f>
        <v>1813200</v>
      </c>
      <c r="AF1165" s="80">
        <f>AV1165</f>
        <v>0.89</v>
      </c>
      <c r="AG1165" s="56">
        <f>((AW1165-AV1165)+(AX1165-AW1165)+(AY1165-AX1165)+(AZ1165-AY1165)+(BA1165-AZ1165))/5</f>
        <v>-0.14399999999999999</v>
      </c>
      <c r="AH1165" s="4"/>
      <c r="AI1165" s="56">
        <f>RSQ(AV1165:BA1165,AV1164:BA1164)</f>
        <v>0.6317586985478949</v>
      </c>
      <c r="AJ1165" s="109">
        <f>SLOPE(AV1165:BA1165,AV1164:BA1164)</f>
        <v>-3.3333000196613519E-7</v>
      </c>
      <c r="AK1165" s="56">
        <f>INTERCEPT(AV1165:BA1165,AV1164:BA1164)</f>
        <v>0.67713187952468812</v>
      </c>
      <c r="AL1165" s="56">
        <f>INDEX(LINEST(LN(AV1165:BA1165),LN(AV1164:BA1164),TRUE,TRUE),3,1)</f>
        <v>0.92841156875757835</v>
      </c>
      <c r="AM1165" s="56">
        <f>INDEX(LINEST(LN(AV1165:BA1165),LN(AV1164:BA1164)),1)</f>
        <v>-0.22561313495541505</v>
      </c>
      <c r="AN1165" s="56">
        <f>EXP(INDEX(LINEST(LN(AV1165:BA1165),LN(AV1164:BA1164)),1,2))</f>
        <v>5.1754003248320037</v>
      </c>
      <c r="AO1165" s="82">
        <f>INDEX(LINEST((AV1165:BA1165),LN(AV1164:BA1164),TRUE,TRUE),3,1)</f>
        <v>0.97453470403216957</v>
      </c>
      <c r="AP1165" s="82">
        <f>INDEX(LINEST((AV1165:BA1165),LN(AV1164:BA1164)),1)</f>
        <v>-0.10169474042641907</v>
      </c>
      <c r="AQ1165" s="83">
        <f>INDEX(LINEST(LN(AV1165:BA1165),SQRT(AV1164:BA1164),TRUE,TRUE),3,1)</f>
        <v>0.94790579613820181</v>
      </c>
      <c r="AR1165" s="116">
        <f>INDEX(LINEST(LN(AV1165:BA1165),SQRT((AV1164:BA1164))),1)</f>
        <v>-1.2846449804048057E-3</v>
      </c>
      <c r="AS1165" s="84">
        <f>INDEX(LINEST(1/(AV1165:BA1165),1/(SQRT(AV1164:BA1164)),TRUE,TRUE),3,1)</f>
        <v>0.48699759083343341</v>
      </c>
      <c r="AT1165" s="84">
        <f>INDEX(LINEST(1/(AV1165:BA1165),1/SQRT(AV1164:BA1164)),1)</f>
        <v>-119.62884982130521</v>
      </c>
      <c r="AU1165" s="3"/>
      <c r="AV1165" s="53">
        <v>0.89</v>
      </c>
      <c r="AW1165" s="53">
        <v>0.77</v>
      </c>
      <c r="AX1165" s="53">
        <v>0.71</v>
      </c>
      <c r="AY1165" s="53">
        <v>0.41</v>
      </c>
      <c r="AZ1165" s="53">
        <v>0.24</v>
      </c>
      <c r="BA1165" s="53">
        <v>0.17</v>
      </c>
      <c r="BB1165" s="42"/>
      <c r="BC1165" s="2"/>
      <c r="BD1165" s="2"/>
      <c r="BE1165" s="2"/>
      <c r="BF1165" s="2"/>
      <c r="BG1165" s="2"/>
      <c r="BH1165" s="2"/>
      <c r="BI1165" s="2"/>
      <c r="BJ1165" s="2"/>
      <c r="BK1165" s="2"/>
      <c r="BL1165" s="2"/>
      <c r="BM1165" s="2"/>
      <c r="BN1165" s="2"/>
      <c r="BO1165" s="2"/>
      <c r="BP1165" s="2"/>
      <c r="BQ1165" s="2"/>
      <c r="BR1165" s="2"/>
      <c r="BS1165" s="2"/>
      <c r="BT1165" s="2"/>
      <c r="BU1165" s="2"/>
      <c r="BV1165" s="2"/>
      <c r="BW1165" s="2"/>
      <c r="BX1165" s="2"/>
      <c r="BY1165" s="2"/>
      <c r="BZ1165" s="2"/>
      <c r="CA1165" s="2"/>
      <c r="CB1165" s="2"/>
      <c r="CC1165" s="2"/>
      <c r="CD1165" s="2"/>
      <c r="CE1165" s="2"/>
      <c r="CF1165" s="2"/>
      <c r="CG1165" s="2"/>
      <c r="CH1165" s="2"/>
      <c r="CI1165" s="2"/>
      <c r="CJ1165" s="2"/>
      <c r="CK1165" s="2"/>
      <c r="CL1165" s="2"/>
      <c r="CM1165" s="2"/>
      <c r="CN1165" s="2"/>
      <c r="CO1165" s="2"/>
      <c r="CP1165" s="2"/>
      <c r="CQ1165" s="2"/>
      <c r="CR1165" s="1"/>
      <c r="CS1165" s="1"/>
      <c r="CT1165" s="1"/>
      <c r="CU1165" s="1"/>
    </row>
    <row r="1166" spans="1:99" s="13" customFormat="1" ht="12" customHeight="1" x14ac:dyDescent="0.2">
      <c r="A1166" s="68">
        <v>43912</v>
      </c>
      <c r="B1166" s="70"/>
      <c r="C1166" s="70"/>
      <c r="D1166" s="69"/>
      <c r="E1166" s="87"/>
      <c r="F1166" s="69"/>
      <c r="G1166" s="69"/>
      <c r="H1166" s="69"/>
      <c r="I1166" s="69"/>
      <c r="J1166" s="69"/>
      <c r="K1166" s="107"/>
      <c r="L1166" s="107"/>
      <c r="M1166" s="69"/>
      <c r="N1166" s="69"/>
      <c r="O1166" s="69"/>
      <c r="P1166" s="69"/>
      <c r="Q1166" s="69"/>
      <c r="R1166" s="69"/>
      <c r="S1166" s="69"/>
      <c r="T1166" s="69"/>
      <c r="U1166" s="69"/>
      <c r="V1166" s="69"/>
      <c r="W1166" s="69"/>
      <c r="X1166" s="69"/>
      <c r="Y1166" s="87"/>
      <c r="Z1166" s="69"/>
      <c r="AA1166" s="69"/>
      <c r="AB1166" s="69"/>
      <c r="AC1166" s="69"/>
      <c r="AD1166" s="69"/>
      <c r="AE1166" s="69"/>
      <c r="AF1166" s="88"/>
      <c r="AG1166" s="72"/>
      <c r="AH1166" s="4"/>
      <c r="AI1166" s="72"/>
      <c r="AJ1166" s="110"/>
      <c r="AK1166" s="72"/>
      <c r="AL1166" s="72"/>
      <c r="AM1166" s="72"/>
      <c r="AN1166" s="72"/>
      <c r="AO1166" s="72"/>
      <c r="AP1166" s="72"/>
      <c r="AQ1166" s="72"/>
      <c r="AR1166" s="110"/>
      <c r="AS1166" s="72"/>
      <c r="AT1166" s="72"/>
      <c r="AU1166" s="4"/>
      <c r="AV1166" s="71">
        <v>30</v>
      </c>
      <c r="AW1166" s="71">
        <f>30*60</f>
        <v>1800</v>
      </c>
      <c r="AX1166" s="71">
        <f>45*60</f>
        <v>2700</v>
      </c>
      <c r="AY1166" s="52"/>
      <c r="AZ1166" s="52"/>
      <c r="BA1166" s="52"/>
      <c r="BB1166" s="52"/>
      <c r="BC1166" s="52"/>
      <c r="BD1166" s="52"/>
      <c r="BE1166" s="52"/>
      <c r="BF1166" s="52"/>
      <c r="BG1166" s="52"/>
      <c r="BH1166" s="52"/>
      <c r="BI1166" s="52"/>
      <c r="BJ1166" s="52"/>
      <c r="BK1166" s="52"/>
      <c r="BL1166" s="52"/>
      <c r="BM1166" s="52"/>
      <c r="BN1166" s="52"/>
      <c r="BO1166" s="52"/>
      <c r="BP1166" s="52"/>
      <c r="BQ1166" s="52"/>
      <c r="BR1166" s="52"/>
      <c r="BS1166" s="52"/>
      <c r="BT1166" s="52"/>
      <c r="BU1166" s="52"/>
      <c r="BV1166" s="52"/>
      <c r="BW1166" s="52"/>
      <c r="BX1166" s="52"/>
      <c r="BY1166" s="52"/>
      <c r="BZ1166" s="52"/>
      <c r="CA1166" s="52"/>
      <c r="CB1166" s="52"/>
      <c r="CC1166" s="52"/>
      <c r="CD1166" s="52"/>
      <c r="CE1166" s="52"/>
      <c r="CF1166" s="52"/>
      <c r="CG1166" s="52"/>
      <c r="CH1166" s="52"/>
      <c r="CI1166" s="52"/>
      <c r="CJ1166" s="52"/>
      <c r="CK1166" s="52"/>
      <c r="CL1166" s="52"/>
      <c r="CM1166" s="52"/>
      <c r="CN1166" s="52"/>
      <c r="CO1166" s="52"/>
      <c r="CP1166" s="52"/>
      <c r="CQ1166" s="52"/>
      <c r="CR1166" s="1"/>
      <c r="CS1166" s="1"/>
      <c r="CT1166" s="1"/>
      <c r="CU1166" s="1"/>
    </row>
    <row r="1167" spans="1:99" s="13" customFormat="1" ht="12" customHeight="1" x14ac:dyDescent="0.2">
      <c r="A1167" s="68">
        <v>43912</v>
      </c>
      <c r="B1167" s="70" t="s">
        <v>540</v>
      </c>
      <c r="C1167" s="70" t="s">
        <v>114</v>
      </c>
      <c r="D1167" s="69">
        <v>1970</v>
      </c>
      <c r="E1167" s="87">
        <v>1</v>
      </c>
      <c r="F1167" s="69">
        <v>14</v>
      </c>
      <c r="G1167" s="69">
        <v>14</v>
      </c>
      <c r="H1167" s="69" t="s">
        <v>50</v>
      </c>
      <c r="I1167" s="69" t="s">
        <v>542</v>
      </c>
      <c r="J1167" s="69" t="s">
        <v>313</v>
      </c>
      <c r="K1167" s="69">
        <f>IF(J1167="syllables",1,IF(J1167="trigrams",2,IF(J1167="strings",3,IF(J1167="visual array",4,IF(J1167="characters",5,IF(J1167="letters",6,IF(J1167="free forms",7,IF(J1167="odors",8,IF(J1167="words",9,IF(J1167="pictures",10,IF(J1167="object pictures",11,IF(J1167="faces",12,IF(J1167="names",13,IF(J1167="idioms",14,IF(J1167="grades",15,IF(J1167="syllable-digit pairs",16,IF(J1167="trigram-word pairs",17,IF(J1167="word-digit pairs",18,IF(J1167="English-Swahili pairs",19,IF(J1167="spatial position",20,IF(J1167="word pairs",21,IF(J1167="word triads",22,IF(J1167="generated words",23,IF(J1167="word definition pairs",24,IF(J1167="math problems",25,IF(J1167="famous faces",26,IF(J1167="famous names",27,IF(J1167="famous voices",28,IF(J1167="television programs",29,IF(J1167="race horses",30,IF(J1167="new vocabulary",31,IF(J1167="sentences",32,IF(J1167="concepts",33,IF(J1167="ad slides",34,IF(J1167="scenes",35,IF(J1167="famous scenes",36,IF(J1167="poems",37,IF(J1167="walk",38,IF(J1167="faces and events",39,IF(J1167="events and names",40,IF(J1167="flashbulb",41,IF(J1167="stories",42,IF(J1167="course material",43,IF(J1167="autobiographical",44,IF(J1167="novels",45,IF(J1167="public events",46,"99"))))))))))))))))))))))))))))))))))))))))))))))</f>
        <v>10</v>
      </c>
      <c r="L1167" s="69">
        <f>IF(J1167="syllables",1,IF(J1167="trigrams",1,IF(J1167="strings",1,IF(J1167="visual array",1,IF(J1167="characters",1,IF(J1167="letters",1,IF(J1167="free forms",1,IF(J1167="odors",2,IF(J1167="words",2,IF(J1167="pictures",2,IF(J1167="object pictures",2,IF(J1167="faces",2,IF(J1167="names",2,IF(J1167="idioms","2",IF(J1167="grades",2,IF(J1167="syllable-digit pairs",3,IF(J1167="trigram-word pairs",3,IF(J1167="word-digit pairs",3,IF(J1167="English-Swahili pairs",3,IF(J1167="spatial position",3,IF(J1167="word pairs",4,IF(J1167="word triads",4,IF(J1167="generated words",4,IF(J1167="word definition pairs",4,IF(J1167="math problems",4,IF(J1167="famous faces",4,IF(J1167="famous names",4,IF(J1167="famous voices",4,IF(J1167="television programs",4,IF(J1167="race horses",4,IF(J1167="new vocabulary",4,IF(J1167="sentences",5,IF(J1167="concepts",5,IF(J1167="ad slides",5,IF(J1167="scenes",5,IF(J1167="famous scenes",5,IF(J1167="poems",6,IF(J1167="walk",6,IF(J1167="faces and events",6,IF(J1167="events and names",6,IF(J1167="flashbulb",7,IF(J1167="stories",7,IF(J1167="course material",7,IF(J1167="autobiographical",7,IF(J1167="novels",7,IF(J1167="public events",7,"99"))))))))))))))))))))))))))))))))))))))))))))))</f>
        <v>2</v>
      </c>
      <c r="M1167" s="69">
        <v>0</v>
      </c>
      <c r="N1167" s="69">
        <v>1</v>
      </c>
      <c r="O1167" s="69">
        <v>0</v>
      </c>
      <c r="P1167" s="69"/>
      <c r="Q1167" s="69" t="s">
        <v>182</v>
      </c>
      <c r="R1167" s="69">
        <f>IF(Q1167="Free Recall",1,IF(Q1167="Cued Recall",2,IF(Q1167="Recognition",3,IF(Q1167="Multiple Choice",4,IF(Q1167="Savings",5,IF(Q1167="Stem Completion",6,IF(Q1167="Fragment Completion",7,IF(Q1167="anagram solution",8,IF(Q1167="Matching",9,IF(Q1167="Problem Solving",10,"99"))))))))))</f>
        <v>4</v>
      </c>
      <c r="S1167" s="69" t="s">
        <v>15</v>
      </c>
      <c r="T1167" s="92" t="s">
        <v>581</v>
      </c>
      <c r="U1167" s="69">
        <f>IF(T1167="within",1,0)</f>
        <v>1</v>
      </c>
      <c r="V1167" s="92">
        <v>200</v>
      </c>
      <c r="W1167" s="69">
        <f>F1167*V1167</f>
        <v>2800</v>
      </c>
      <c r="X1167" s="69">
        <v>3</v>
      </c>
      <c r="Y1167" s="87">
        <f>AV1166</f>
        <v>30</v>
      </c>
      <c r="Z1167" s="69" t="s">
        <v>541</v>
      </c>
      <c r="AA1167" s="87">
        <f>45*60</f>
        <v>2700</v>
      </c>
      <c r="AB1167" s="69" t="str">
        <f>IF(AA1167&lt;60,"1",IF(AA1167&lt;=43200,"2",IF(AA1167&lt;=777600,"3","4")))</f>
        <v>2</v>
      </c>
      <c r="AC1167" s="87">
        <f>AVERAGE(AV1166:DA1166)</f>
        <v>1510</v>
      </c>
      <c r="AD1167" s="69" t="str">
        <f>IF(AC1167&lt;60,"1",IF(AC1167&lt;=43200,"2",IF(AC1167&lt;=777600,"3","4")))</f>
        <v>2</v>
      </c>
      <c r="AE1167" s="87">
        <f>AA1167-Y1167</f>
        <v>2670</v>
      </c>
      <c r="AF1167" s="88">
        <f>AV1167</f>
        <v>1</v>
      </c>
      <c r="AG1167" s="72">
        <f>((AW1167-AV1167)+(AX1167-AW1167))/2</f>
        <v>-3.0000000000000027E-2</v>
      </c>
      <c r="AH1167" s="4"/>
      <c r="AI1167" s="72">
        <f>RSQ(AV1167:AX1167,AV1166:AX1166)</f>
        <v>0.47659944510050251</v>
      </c>
      <c r="AJ1167" s="110">
        <f>SLOPE(AV1167:AX1167,AV1166:AX1166)</f>
        <v>-2.7990028721617097E-5</v>
      </c>
      <c r="AK1167" s="72">
        <f>INTERCEPT(AV1167:AX1167,AV1166:AX1166)</f>
        <v>0.98559827670297517</v>
      </c>
      <c r="AL1167" s="72">
        <f>INDEX(LINEST(LN(AV1167:AX1167),LN(AV1166:AX1166),TRUE,TRUE),3,1)</f>
        <v>0.70934772641954158</v>
      </c>
      <c r="AM1167" s="72">
        <f>INDEX(LINEST(LN(AV1167:AX1167),LN(AV1166:AX1166)),1)</f>
        <v>-1.9727464596118505E-2</v>
      </c>
      <c r="AN1167" s="72">
        <f>EXP(INDEX(LINEST(LN(AV1167:AX1167),LN(AV1166:AX1166)),1,2))</f>
        <v>1.0662426061876644</v>
      </c>
      <c r="AO1167" s="89">
        <f>INDEX(LINEST((AV1167:AX1167),LN(AV1166:AX1166),TRUE,TRUE),3,1)</f>
        <v>0.72439202012442394</v>
      </c>
      <c r="AP1167" s="89">
        <f>INDEX(LINEST((AV1167:AX1167),LN(AV1166:AX1166)),1)</f>
        <v>-1.8831684501768718E-2</v>
      </c>
      <c r="AQ1167" s="90">
        <f>INDEX(LINEST(LN(AV1167:AX1167),SQRT(AV1166:AX1166),TRUE,TRUE),3,1)</f>
        <v>0.60141162794312841</v>
      </c>
      <c r="AR1167" s="117">
        <f>INDEX(LINEST(LN(AV1167:AX1167),SQRT((AV1166:AX1166))),1)</f>
        <v>-1.8415760745410508E-3</v>
      </c>
      <c r="AS1167" s="91">
        <f>INDEX(LINEST(1/(AV1167:AX1167),1/(SQRT(AV1166:AX1166)),TRUE,TRUE),3,1)</f>
        <v>0.74630594260236904</v>
      </c>
      <c r="AT1167" s="91">
        <f>INDEX(LINEST(1/(AV1167:AX1167),1/SQRT(AV1166:AX1166)),1)</f>
        <v>-0.57369066771207455</v>
      </c>
      <c r="AU1167" s="3"/>
      <c r="AV1167" s="73">
        <v>1</v>
      </c>
      <c r="AW1167" s="73">
        <v>0.89</v>
      </c>
      <c r="AX1167" s="73">
        <v>0.94</v>
      </c>
      <c r="AY1167" s="52"/>
      <c r="AZ1167" s="52"/>
      <c r="BA1167" s="52"/>
      <c r="BB1167" s="52"/>
      <c r="BC1167" s="52"/>
      <c r="BD1167" s="52"/>
      <c r="BE1167" s="52"/>
      <c r="BF1167" s="52"/>
      <c r="BG1167" s="52"/>
      <c r="BH1167" s="52"/>
      <c r="BI1167" s="52"/>
      <c r="BJ1167" s="52"/>
      <c r="BK1167" s="52"/>
      <c r="BL1167" s="52"/>
      <c r="BM1167" s="52"/>
      <c r="BN1167" s="52"/>
      <c r="BO1167" s="52"/>
      <c r="BP1167" s="52"/>
      <c r="BQ1167" s="52"/>
      <c r="BR1167" s="52"/>
      <c r="BS1167" s="52"/>
      <c r="BT1167" s="52"/>
      <c r="BU1167" s="52"/>
      <c r="BV1167" s="52"/>
      <c r="BW1167" s="52"/>
      <c r="BX1167" s="52"/>
      <c r="BY1167" s="52"/>
      <c r="BZ1167" s="52"/>
      <c r="CA1167" s="52"/>
      <c r="CB1167" s="52"/>
      <c r="CC1167" s="52"/>
      <c r="CD1167" s="52"/>
      <c r="CE1167" s="52"/>
      <c r="CF1167" s="52"/>
      <c r="CG1167" s="52"/>
      <c r="CH1167" s="52"/>
      <c r="CI1167" s="52"/>
      <c r="CJ1167" s="52"/>
      <c r="CK1167" s="52"/>
      <c r="CL1167" s="52"/>
      <c r="CM1167" s="52"/>
      <c r="CN1167" s="52"/>
      <c r="CO1167" s="52"/>
      <c r="CP1167" s="52"/>
      <c r="CQ1167" s="52"/>
      <c r="CR1167" s="1"/>
      <c r="CS1167" s="1"/>
      <c r="CT1167" s="1"/>
      <c r="CU1167" s="1"/>
    </row>
    <row r="1168" spans="1:99" s="13" customFormat="1" ht="12" customHeight="1" x14ac:dyDescent="0.2">
      <c r="A1168" s="68">
        <v>43912</v>
      </c>
      <c r="B1168" s="70"/>
      <c r="C1168" s="70"/>
      <c r="D1168" s="69"/>
      <c r="E1168" s="87"/>
      <c r="F1168" s="69"/>
      <c r="G1168" s="69"/>
      <c r="H1168" s="69"/>
      <c r="I1168" s="69"/>
      <c r="J1168" s="69"/>
      <c r="K1168" s="107"/>
      <c r="L1168" s="107"/>
      <c r="M1168" s="69"/>
      <c r="N1168" s="69"/>
      <c r="O1168" s="69"/>
      <c r="P1168" s="69"/>
      <c r="Q1168" s="69"/>
      <c r="R1168" s="69"/>
      <c r="S1168" s="69"/>
      <c r="T1168" s="69"/>
      <c r="U1168" s="69"/>
      <c r="V1168" s="69"/>
      <c r="W1168" s="69"/>
      <c r="X1168" s="69"/>
      <c r="Y1168" s="87"/>
      <c r="Z1168" s="69"/>
      <c r="AA1168" s="69"/>
      <c r="AB1168" s="69"/>
      <c r="AC1168" s="69"/>
      <c r="AD1168" s="69"/>
      <c r="AE1168" s="69"/>
      <c r="AF1168" s="88"/>
      <c r="AG1168" s="72"/>
      <c r="AH1168" s="4"/>
      <c r="AI1168" s="72"/>
      <c r="AJ1168" s="110"/>
      <c r="AK1168" s="72"/>
      <c r="AL1168" s="72"/>
      <c r="AM1168" s="72"/>
      <c r="AN1168" s="72"/>
      <c r="AO1168" s="72"/>
      <c r="AP1168" s="72"/>
      <c r="AQ1168" s="72"/>
      <c r="AR1168" s="110"/>
      <c r="AS1168" s="72"/>
      <c r="AT1168" s="72"/>
      <c r="AU1168" s="4"/>
      <c r="AV1168" s="71">
        <v>30</v>
      </c>
      <c r="AW1168" s="71">
        <f>30*60</f>
        <v>1800</v>
      </c>
      <c r="AX1168" s="71">
        <f>45*60</f>
        <v>2700</v>
      </c>
      <c r="AY1168" s="52"/>
      <c r="AZ1168" s="52"/>
      <c r="BA1168" s="52"/>
      <c r="BB1168" s="52"/>
      <c r="BC1168" s="52"/>
      <c r="BD1168" s="52"/>
      <c r="BE1168" s="52"/>
      <c r="BF1168" s="52"/>
      <c r="BG1168" s="52"/>
      <c r="BH1168" s="52"/>
      <c r="BI1168" s="52"/>
      <c r="BJ1168" s="52"/>
      <c r="BK1168" s="52"/>
      <c r="BL1168" s="52"/>
      <c r="BM1168" s="52"/>
      <c r="BN1168" s="52"/>
      <c r="BO1168" s="52"/>
      <c r="BP1168" s="52"/>
      <c r="BQ1168" s="52"/>
      <c r="BR1168" s="52"/>
      <c r="BS1168" s="52"/>
      <c r="BT1168" s="52"/>
      <c r="BU1168" s="52"/>
      <c r="BV1168" s="52"/>
      <c r="BW1168" s="52"/>
      <c r="BX1168" s="52"/>
      <c r="BY1168" s="52"/>
      <c r="BZ1168" s="52"/>
      <c r="CA1168" s="52"/>
      <c r="CB1168" s="52"/>
      <c r="CC1168" s="52"/>
      <c r="CD1168" s="52"/>
      <c r="CE1168" s="52"/>
      <c r="CF1168" s="52"/>
      <c r="CG1168" s="52"/>
      <c r="CH1168" s="52"/>
      <c r="CI1168" s="52"/>
      <c r="CJ1168" s="52"/>
      <c r="CK1168" s="52"/>
      <c r="CL1168" s="52"/>
      <c r="CM1168" s="52"/>
      <c r="CN1168" s="52"/>
      <c r="CO1168" s="52"/>
      <c r="CP1168" s="52"/>
      <c r="CQ1168" s="52"/>
      <c r="CR1168" s="1"/>
      <c r="CS1168" s="1"/>
      <c r="CT1168" s="1"/>
      <c r="CU1168" s="1"/>
    </row>
    <row r="1169" spans="1:99" s="13" customFormat="1" ht="12" customHeight="1" x14ac:dyDescent="0.2">
      <c r="A1169" s="68">
        <v>43912</v>
      </c>
      <c r="B1169" s="70" t="s">
        <v>540</v>
      </c>
      <c r="C1169" s="70" t="s">
        <v>114</v>
      </c>
      <c r="D1169" s="69">
        <v>1970</v>
      </c>
      <c r="E1169" s="87">
        <v>1</v>
      </c>
      <c r="F1169" s="69">
        <v>14</v>
      </c>
      <c r="G1169" s="69">
        <v>14</v>
      </c>
      <c r="H1169" s="69" t="s">
        <v>50</v>
      </c>
      <c r="I1169" s="69" t="s">
        <v>543</v>
      </c>
      <c r="J1169" s="69" t="s">
        <v>313</v>
      </c>
      <c r="K1169" s="69">
        <f>IF(J1169="syllables",1,IF(J1169="trigrams",2,IF(J1169="strings",3,IF(J1169="visual array",4,IF(J1169="characters",5,IF(J1169="letters",6,IF(J1169="free forms",7,IF(J1169="odors",8,IF(J1169="words",9,IF(J1169="pictures",10,IF(J1169="object pictures",11,IF(J1169="faces",12,IF(J1169="names",13,IF(J1169="idioms",14,IF(J1169="grades",15,IF(J1169="syllable-digit pairs",16,IF(J1169="trigram-word pairs",17,IF(J1169="word-digit pairs",18,IF(J1169="English-Swahili pairs",19,IF(J1169="spatial position",20,IF(J1169="word pairs",21,IF(J1169="word triads",22,IF(J1169="generated words",23,IF(J1169="word definition pairs",24,IF(J1169="math problems",25,IF(J1169="famous faces",26,IF(J1169="famous names",27,IF(J1169="famous voices",28,IF(J1169="television programs",29,IF(J1169="race horses",30,IF(J1169="new vocabulary",31,IF(J1169="sentences",32,IF(J1169="concepts",33,IF(J1169="ad slides",34,IF(J1169="scenes",35,IF(J1169="famous scenes",36,IF(J1169="poems",37,IF(J1169="walk",38,IF(J1169="faces and events",39,IF(J1169="events and names",40,IF(J1169="flashbulb",41,IF(J1169="stories",42,IF(J1169="course material",43,IF(J1169="autobiographical",44,IF(J1169="novels",45,IF(J1169="public events",46,"99"))))))))))))))))))))))))))))))))))))))))))))))</f>
        <v>10</v>
      </c>
      <c r="L1169" s="69">
        <f>IF(J1169="syllables",1,IF(J1169="trigrams",1,IF(J1169="strings",1,IF(J1169="visual array",1,IF(J1169="characters",1,IF(J1169="letters",1,IF(J1169="free forms",1,IF(J1169="odors",2,IF(J1169="words",2,IF(J1169="pictures",2,IF(J1169="object pictures",2,IF(J1169="faces",2,IF(J1169="names",2,IF(J1169="idioms","2",IF(J1169="grades",2,IF(J1169="syllable-digit pairs",3,IF(J1169="trigram-word pairs",3,IF(J1169="word-digit pairs",3,IF(J1169="English-Swahili pairs",3,IF(J1169="spatial position",3,IF(J1169="word pairs",4,IF(J1169="word triads",4,IF(J1169="generated words",4,IF(J1169="word definition pairs",4,IF(J1169="math problems",4,IF(J1169="famous faces",4,IF(J1169="famous names",4,IF(J1169="famous voices",4,IF(J1169="television programs",4,IF(J1169="race horses",4,IF(J1169="new vocabulary",4,IF(J1169="sentences",5,IF(J1169="concepts",5,IF(J1169="ad slides",5,IF(J1169="scenes",5,IF(J1169="famous scenes",5,IF(J1169="poems",6,IF(J1169="walk",6,IF(J1169="faces and events",6,IF(J1169="events and names",6,IF(J1169="flashbulb",7,IF(J1169="stories",7,IF(J1169="course material",7,IF(J1169="autobiographical",7,IF(J1169="novels",7,IF(J1169="public events",7,"99"))))))))))))))))))))))))))))))))))))))))))))))</f>
        <v>2</v>
      </c>
      <c r="M1169" s="69">
        <v>0</v>
      </c>
      <c r="N1169" s="69">
        <v>1</v>
      </c>
      <c r="O1169" s="69">
        <v>0</v>
      </c>
      <c r="P1169" s="69"/>
      <c r="Q1169" s="69" t="s">
        <v>182</v>
      </c>
      <c r="R1169" s="69">
        <f>IF(Q1169="Free Recall",1,IF(Q1169="Cued Recall",2,IF(Q1169="Recognition",3,IF(Q1169="Multiple Choice",4,IF(Q1169="Savings",5,IF(Q1169="Stem Completion",6,IF(Q1169="Fragment Completion",7,IF(Q1169="anagram solution",8,IF(Q1169="Matching",9,IF(Q1169="Problem Solving",10,"99"))))))))))</f>
        <v>4</v>
      </c>
      <c r="S1169" s="69" t="s">
        <v>15</v>
      </c>
      <c r="T1169" s="92" t="s">
        <v>581</v>
      </c>
      <c r="U1169" s="69">
        <f>IF(T1169="within",1,0)</f>
        <v>1</v>
      </c>
      <c r="V1169" s="92">
        <v>200</v>
      </c>
      <c r="W1169" s="69">
        <f>F1169*V1169</f>
        <v>2800</v>
      </c>
      <c r="X1169" s="69">
        <v>3</v>
      </c>
      <c r="Y1169" s="87">
        <f>AV1168</f>
        <v>30</v>
      </c>
      <c r="Z1169" s="69" t="s">
        <v>541</v>
      </c>
      <c r="AA1169" s="87">
        <f>45*60</f>
        <v>2700</v>
      </c>
      <c r="AB1169" s="69" t="str">
        <f>IF(AA1169&lt;60,"1",IF(AA1169&lt;=43200,"2",IF(AA1169&lt;=777600,"3","4")))</f>
        <v>2</v>
      </c>
      <c r="AC1169" s="87">
        <f>AVERAGE(AV1168:DA1168)</f>
        <v>1510</v>
      </c>
      <c r="AD1169" s="69" t="str">
        <f>IF(AC1169&lt;60,"1",IF(AC1169&lt;=43200,"2",IF(AC1169&lt;=777600,"3","4")))</f>
        <v>2</v>
      </c>
      <c r="AE1169" s="87">
        <f>AA1169-Y1169</f>
        <v>2670</v>
      </c>
      <c r="AF1169" s="88">
        <f>AV1169</f>
        <v>0.83</v>
      </c>
      <c r="AG1169" s="72">
        <f>((AW1169-AV1169)+(AX1169-AW1169))/2</f>
        <v>1.0000000000000009E-2</v>
      </c>
      <c r="AH1169" s="4"/>
      <c r="AI1169" s="72">
        <f>RSQ(AV1169:AX1169,AV1168:AX1168)</f>
        <v>0.20267811362755275</v>
      </c>
      <c r="AJ1169" s="110">
        <f>SLOPE(AV1169:AX1169,AV1168:AX1168)</f>
        <v>1.1949276540399945E-5</v>
      </c>
      <c r="AK1169" s="72">
        <f>INTERCEPT(AV1169:AX1169,AV1168:AX1168)</f>
        <v>0.84195659242399612</v>
      </c>
      <c r="AL1169" s="72">
        <f>INDEX(LINEST(LN(AV1169:AX1169),LN(AV1168:AX1168),TRUE,TRUE),3,1)</f>
        <v>0.44691319166252619</v>
      </c>
      <c r="AM1169" s="72">
        <f>INDEX(LINEST(LN(AV1169:AX1169),LN(AV1168:AX1168)),1)</f>
        <v>1.1176001025793362E-2</v>
      </c>
      <c r="AN1169" s="72">
        <f>EXP(INDEX(LINEST(LN(AV1169:AX1169),LN(AV1168:AX1168)),1,2))</f>
        <v>0.80137130670595857</v>
      </c>
      <c r="AO1169" s="89">
        <f>INDEX(LINEST((AV1169:AX1169),LN(AV1168:AX1168),TRUE,TRUE),3,1)</f>
        <v>0.43786102931032861</v>
      </c>
      <c r="AP1169" s="89">
        <f>INDEX(LINEST((AV1169:AX1169),LN(AV1168:AX1168)),1)</f>
        <v>9.5847788095453322E-3</v>
      </c>
      <c r="AQ1169" s="90">
        <f>INDEX(LINEST(LN(AV1169:AX1169),SQRT(AV1168:AX1168),TRUE,TRUE),3,1)</f>
        <v>0.33602053922932779</v>
      </c>
      <c r="AR1169" s="117">
        <f>INDEX(LINEST(LN(AV1169:AX1169),SQRT((AV1168:AX1168))),1)</f>
        <v>9.8247120306257105E-4</v>
      </c>
      <c r="AS1169" s="91">
        <f>INDEX(LINEST(1/(AV1169:AX1169),1/(SQRT(AV1168:AX1168)),TRUE,TRUE),3,1)</f>
        <v>0.51436442090132162</v>
      </c>
      <c r="AT1169" s="91">
        <f>INDEX(LINEST(1/(AV1169:AX1169),1/SQRT(AV1168:AX1168)),1)</f>
        <v>0.37030417948871458</v>
      </c>
      <c r="AU1169" s="3"/>
      <c r="AV1169" s="73">
        <v>0.83</v>
      </c>
      <c r="AW1169" s="73">
        <v>0.9</v>
      </c>
      <c r="AX1169" s="73">
        <v>0.85</v>
      </c>
      <c r="AY1169" s="52"/>
      <c r="AZ1169" s="52"/>
      <c r="BA1169" s="52"/>
      <c r="BB1169" s="52"/>
      <c r="BC1169" s="52"/>
      <c r="BD1169" s="52"/>
      <c r="BE1169" s="52"/>
      <c r="BF1169" s="52"/>
      <c r="BG1169" s="52"/>
      <c r="BH1169" s="52"/>
      <c r="BI1169" s="52"/>
      <c r="BJ1169" s="52"/>
      <c r="BK1169" s="52"/>
      <c r="BL1169" s="52"/>
      <c r="BM1169" s="52"/>
      <c r="BN1169" s="52"/>
      <c r="BO1169" s="52"/>
      <c r="BP1169" s="52"/>
      <c r="BQ1169" s="52"/>
      <c r="BR1169" s="52"/>
      <c r="BS1169" s="52"/>
      <c r="BT1169" s="52"/>
      <c r="BU1169" s="52"/>
      <c r="BV1169" s="52"/>
      <c r="BW1169" s="52"/>
      <c r="BX1169" s="52"/>
      <c r="BY1169" s="52"/>
      <c r="BZ1169" s="52"/>
      <c r="CA1169" s="52"/>
      <c r="CB1169" s="52"/>
      <c r="CC1169" s="52"/>
      <c r="CD1169" s="52"/>
      <c r="CE1169" s="52"/>
      <c r="CF1169" s="52"/>
      <c r="CG1169" s="52"/>
      <c r="CH1169" s="52"/>
      <c r="CI1169" s="52"/>
      <c r="CJ1169" s="52"/>
      <c r="CK1169" s="52"/>
      <c r="CL1169" s="52"/>
      <c r="CM1169" s="52"/>
      <c r="CN1169" s="52"/>
      <c r="CO1169" s="52"/>
      <c r="CP1169" s="52"/>
      <c r="CQ1169" s="52"/>
      <c r="CR1169" s="1"/>
      <c r="CS1169" s="1"/>
      <c r="CT1169" s="1"/>
      <c r="CU1169" s="1"/>
    </row>
    <row r="1170" spans="1:99" s="13" customFormat="1" ht="12" customHeight="1" x14ac:dyDescent="0.2">
      <c r="A1170" s="68">
        <v>43912</v>
      </c>
      <c r="B1170" s="70"/>
      <c r="C1170" s="70"/>
      <c r="D1170" s="69"/>
      <c r="E1170" s="87"/>
      <c r="F1170" s="69"/>
      <c r="G1170" s="69"/>
      <c r="H1170" s="69"/>
      <c r="I1170" s="69"/>
      <c r="J1170" s="69"/>
      <c r="K1170" s="107"/>
      <c r="L1170" s="107"/>
      <c r="M1170" s="69"/>
      <c r="N1170" s="69"/>
      <c r="O1170" s="69"/>
      <c r="P1170" s="69"/>
      <c r="Q1170" s="69"/>
      <c r="R1170" s="69"/>
      <c r="S1170" s="69"/>
      <c r="T1170" s="69"/>
      <c r="U1170" s="69"/>
      <c r="V1170" s="69"/>
      <c r="W1170" s="69"/>
      <c r="X1170" s="69"/>
      <c r="Y1170" s="87"/>
      <c r="Z1170" s="69"/>
      <c r="AA1170" s="69"/>
      <c r="AB1170" s="69"/>
      <c r="AC1170" s="69"/>
      <c r="AD1170" s="69"/>
      <c r="AE1170" s="69"/>
      <c r="AF1170" s="88"/>
      <c r="AG1170" s="72"/>
      <c r="AH1170" s="4"/>
      <c r="AI1170" s="72"/>
      <c r="AJ1170" s="110"/>
      <c r="AK1170" s="72"/>
      <c r="AL1170" s="72"/>
      <c r="AM1170" s="72"/>
      <c r="AN1170" s="72"/>
      <c r="AO1170" s="72"/>
      <c r="AP1170" s="72"/>
      <c r="AQ1170" s="72"/>
      <c r="AR1170" s="110"/>
      <c r="AS1170" s="72"/>
      <c r="AT1170" s="72"/>
      <c r="AU1170" s="4"/>
      <c r="AV1170" s="71">
        <v>30</v>
      </c>
      <c r="AW1170" s="71">
        <f>30*60</f>
        <v>1800</v>
      </c>
      <c r="AX1170" s="71">
        <f>45*60</f>
        <v>2700</v>
      </c>
      <c r="AY1170" s="52"/>
      <c r="AZ1170" s="52"/>
      <c r="BA1170" s="52"/>
      <c r="BB1170" s="52"/>
      <c r="BC1170" s="52"/>
      <c r="BD1170" s="52"/>
      <c r="BE1170" s="52"/>
      <c r="BF1170" s="52"/>
      <c r="BG1170" s="52"/>
      <c r="BH1170" s="52"/>
      <c r="BI1170" s="52"/>
      <c r="BJ1170" s="52"/>
      <c r="BK1170" s="52"/>
      <c r="BL1170" s="52"/>
      <c r="BM1170" s="52"/>
      <c r="BN1170" s="52"/>
      <c r="BO1170" s="52"/>
      <c r="BP1170" s="52"/>
      <c r="BQ1170" s="52"/>
      <c r="BR1170" s="52"/>
      <c r="BS1170" s="52"/>
      <c r="BT1170" s="52"/>
      <c r="BU1170" s="52"/>
      <c r="BV1170" s="52"/>
      <c r="BW1170" s="52"/>
      <c r="BX1170" s="52"/>
      <c r="BY1170" s="52"/>
      <c r="BZ1170" s="52"/>
      <c r="CA1170" s="52"/>
      <c r="CB1170" s="52"/>
      <c r="CC1170" s="52"/>
      <c r="CD1170" s="52"/>
      <c r="CE1170" s="52"/>
      <c r="CF1170" s="52"/>
      <c r="CG1170" s="52"/>
      <c r="CH1170" s="52"/>
      <c r="CI1170" s="52"/>
      <c r="CJ1170" s="52"/>
      <c r="CK1170" s="52"/>
      <c r="CL1170" s="52"/>
      <c r="CM1170" s="52"/>
      <c r="CN1170" s="52"/>
      <c r="CO1170" s="52"/>
      <c r="CP1170" s="52"/>
      <c r="CQ1170" s="52"/>
      <c r="CR1170" s="1"/>
      <c r="CS1170" s="1"/>
      <c r="CT1170" s="1"/>
      <c r="CU1170" s="1"/>
    </row>
    <row r="1171" spans="1:99" s="13" customFormat="1" ht="12" customHeight="1" x14ac:dyDescent="0.2">
      <c r="A1171" s="68">
        <v>43912</v>
      </c>
      <c r="B1171" s="70" t="s">
        <v>540</v>
      </c>
      <c r="C1171" s="70" t="s">
        <v>114</v>
      </c>
      <c r="D1171" s="69">
        <v>1970</v>
      </c>
      <c r="E1171" s="87">
        <v>1</v>
      </c>
      <c r="F1171" s="69">
        <v>14</v>
      </c>
      <c r="G1171" s="69">
        <v>14</v>
      </c>
      <c r="H1171" s="69" t="s">
        <v>50</v>
      </c>
      <c r="I1171" s="69" t="s">
        <v>544</v>
      </c>
      <c r="J1171" s="69" t="s">
        <v>313</v>
      </c>
      <c r="K1171" s="69">
        <f>IF(J1171="syllables",1,IF(J1171="trigrams",2,IF(J1171="strings",3,IF(J1171="visual array",4,IF(J1171="characters",5,IF(J1171="letters",6,IF(J1171="free forms",7,IF(J1171="odors",8,IF(J1171="words",9,IF(J1171="pictures",10,IF(J1171="object pictures",11,IF(J1171="faces",12,IF(J1171="names",13,IF(J1171="idioms",14,IF(J1171="grades",15,IF(J1171="syllable-digit pairs",16,IF(J1171="trigram-word pairs",17,IF(J1171="word-digit pairs",18,IF(J1171="English-Swahili pairs",19,IF(J1171="spatial position",20,IF(J1171="word pairs",21,IF(J1171="word triads",22,IF(J1171="generated words",23,IF(J1171="word definition pairs",24,IF(J1171="math problems",25,IF(J1171="famous faces",26,IF(J1171="famous names",27,IF(J1171="famous voices",28,IF(J1171="television programs",29,IF(J1171="race horses",30,IF(J1171="new vocabulary",31,IF(J1171="sentences",32,IF(J1171="concepts",33,IF(J1171="ad slides",34,IF(J1171="scenes",35,IF(J1171="famous scenes",36,IF(J1171="poems",37,IF(J1171="walk",38,IF(J1171="faces and events",39,IF(J1171="events and names",40,IF(J1171="flashbulb",41,IF(J1171="stories",42,IF(J1171="course material",43,IF(J1171="autobiographical",44,IF(J1171="novels",45,IF(J1171="public events",46,"99"))))))))))))))))))))))))))))))))))))))))))))))</f>
        <v>10</v>
      </c>
      <c r="L1171" s="69">
        <f>IF(J1171="syllables",1,IF(J1171="trigrams",1,IF(J1171="strings",1,IF(J1171="visual array",1,IF(J1171="characters",1,IF(J1171="letters",1,IF(J1171="free forms",1,IF(J1171="odors",2,IF(J1171="words",2,IF(J1171="pictures",2,IF(J1171="object pictures",2,IF(J1171="faces",2,IF(J1171="names",2,IF(J1171="idioms","2",IF(J1171="grades",2,IF(J1171="syllable-digit pairs",3,IF(J1171="trigram-word pairs",3,IF(J1171="word-digit pairs",3,IF(J1171="English-Swahili pairs",3,IF(J1171="spatial position",3,IF(J1171="word pairs",4,IF(J1171="word triads",4,IF(J1171="generated words",4,IF(J1171="word definition pairs",4,IF(J1171="math problems",4,IF(J1171="famous faces",4,IF(J1171="famous names",4,IF(J1171="famous voices",4,IF(J1171="television programs",4,IF(J1171="race horses",4,IF(J1171="new vocabulary",4,IF(J1171="sentences",5,IF(J1171="concepts",5,IF(J1171="ad slides",5,IF(J1171="scenes",5,IF(J1171="famous scenes",5,IF(J1171="poems",6,IF(J1171="walk",6,IF(J1171="faces and events",6,IF(J1171="events and names",6,IF(J1171="flashbulb",7,IF(J1171="stories",7,IF(J1171="course material",7,IF(J1171="autobiographical",7,IF(J1171="novels",7,IF(J1171="public events",7,"99"))))))))))))))))))))))))))))))))))))))))))))))</f>
        <v>2</v>
      </c>
      <c r="M1171" s="69">
        <v>0</v>
      </c>
      <c r="N1171" s="69">
        <v>1</v>
      </c>
      <c r="O1171" s="69">
        <v>0</v>
      </c>
      <c r="P1171" s="69"/>
      <c r="Q1171" s="69" t="s">
        <v>182</v>
      </c>
      <c r="R1171" s="69">
        <f>IF(Q1171="Free Recall",1,IF(Q1171="Cued Recall",2,IF(Q1171="Recognition",3,IF(Q1171="Multiple Choice",4,IF(Q1171="Savings",5,IF(Q1171="Stem Completion",6,IF(Q1171="Fragment Completion",7,IF(Q1171="anagram solution",8,IF(Q1171="Matching",9,IF(Q1171="Problem Solving",10,"99"))))))))))</f>
        <v>4</v>
      </c>
      <c r="S1171" s="69" t="s">
        <v>15</v>
      </c>
      <c r="T1171" s="92" t="s">
        <v>581</v>
      </c>
      <c r="U1171" s="69">
        <f>IF(T1171="within",1,0)</f>
        <v>1</v>
      </c>
      <c r="V1171" s="92">
        <v>200</v>
      </c>
      <c r="W1171" s="69">
        <f>F1171*V1171</f>
        <v>2800</v>
      </c>
      <c r="X1171" s="69">
        <v>3</v>
      </c>
      <c r="Y1171" s="87">
        <f>AV1170</f>
        <v>30</v>
      </c>
      <c r="Z1171" s="69" t="s">
        <v>541</v>
      </c>
      <c r="AA1171" s="87">
        <f>45*60</f>
        <v>2700</v>
      </c>
      <c r="AB1171" s="69" t="str">
        <f>IF(AA1171&lt;60,"1",IF(AA1171&lt;=43200,"2",IF(AA1171&lt;=777600,"3","4")))</f>
        <v>2</v>
      </c>
      <c r="AC1171" s="87">
        <f>AVERAGE(AV1170:DA1170)</f>
        <v>1510</v>
      </c>
      <c r="AD1171" s="69" t="str">
        <f>IF(AC1171&lt;60,"1",IF(AC1171&lt;=43200,"2",IF(AC1171&lt;=777600,"3","4")))</f>
        <v>2</v>
      </c>
      <c r="AE1171" s="87">
        <f>AA1171-Y1171</f>
        <v>2670</v>
      </c>
      <c r="AF1171" s="88">
        <f>AV1171</f>
        <v>0.79</v>
      </c>
      <c r="AG1171" s="72">
        <f>((AW1171-AV1171)+(AX1171-AW1171))/2</f>
        <v>-2.0000000000000018E-2</v>
      </c>
      <c r="AH1171" s="4"/>
      <c r="AI1171" s="72">
        <f>RSQ(AV1171:AX1171,AV1170:AX1170)</f>
        <v>0.16622324649474776</v>
      </c>
      <c r="AJ1171" s="110">
        <f>SLOPE(AV1171:AX1171,AV1170:AX1170)</f>
        <v>-1.0540291551509257E-5</v>
      </c>
      <c r="AK1171" s="72">
        <f>INTERCEPT(AV1171:AX1171,AV1170:AX1170)</f>
        <v>0.80258250690944566</v>
      </c>
      <c r="AL1171" s="72">
        <f>INDEX(LINEST(LN(AV1171:AX1171),LN(AV1170:AX1170),TRUE,TRUE),3,1)</f>
        <v>3.0757076885725095E-2</v>
      </c>
      <c r="AM1171" s="72">
        <f>INDEX(LINEST(LN(AV1171:AX1171),LN(AV1170:AX1170)),1)</f>
        <v>-3.157575331899632E-3</v>
      </c>
      <c r="AN1171" s="72">
        <f>EXP(INDEX(LINEST(LN(AV1171:AX1171),LN(AV1170:AX1170)),1,2))</f>
        <v>0.80185029899449611</v>
      </c>
      <c r="AO1171" s="89">
        <f>INDEX(LINEST((AV1171:AX1171),LN(AV1170:AX1170),TRUE,TRUE),3,1)</f>
        <v>2.660031931799629E-2</v>
      </c>
      <c r="AP1171" s="89">
        <f>INDEX(LINEST((AV1171:AX1171),LN(AV1170:AX1170)),1)</f>
        <v>-2.3010493434163157E-3</v>
      </c>
      <c r="AQ1171" s="90">
        <f>INDEX(LINEST(LN(AV1171:AX1171),SQRT(AV1170:AX1170),TRUE,TRUE),3,1)</f>
        <v>8.1863333792942708E-2</v>
      </c>
      <c r="AR1171" s="117">
        <f>INDEX(LINEST(LN(AV1171:AX1171),SQRT((AV1170:AX1170))),1)</f>
        <v>-5.2226145748634697E-4</v>
      </c>
      <c r="AS1171" s="91">
        <f>INDEX(LINEST(1/(AV1171:AX1171),1/(SQRT(AV1170:AX1170)),TRUE,TRUE),3,1)</f>
        <v>1.6897951435186118E-2</v>
      </c>
      <c r="AT1171" s="91">
        <f>INDEX(LINEST(1/(AV1171:AX1171),1/SQRT(AV1170:AX1170)),1)</f>
        <v>-7.9942001097693782E-2</v>
      </c>
      <c r="AU1171" s="3"/>
      <c r="AV1171" s="73">
        <v>0.79</v>
      </c>
      <c r="AW1171" s="73">
        <v>0.82</v>
      </c>
      <c r="AX1171" s="73">
        <v>0.75</v>
      </c>
      <c r="AY1171" s="52"/>
      <c r="AZ1171" s="52"/>
      <c r="BA1171" s="52"/>
      <c r="BB1171" s="52"/>
      <c r="BC1171" s="52"/>
      <c r="BD1171" s="52"/>
      <c r="BE1171" s="52"/>
      <c r="BF1171" s="52"/>
      <c r="BG1171" s="52"/>
      <c r="BH1171" s="52"/>
      <c r="BI1171" s="52"/>
      <c r="BJ1171" s="52"/>
      <c r="BK1171" s="52"/>
      <c r="BL1171" s="52"/>
      <c r="BM1171" s="52"/>
      <c r="BN1171" s="52"/>
      <c r="BO1171" s="52"/>
      <c r="BP1171" s="52"/>
      <c r="BQ1171" s="52"/>
      <c r="BR1171" s="52"/>
      <c r="BS1171" s="52"/>
      <c r="BT1171" s="52"/>
      <c r="BU1171" s="52"/>
      <c r="BV1171" s="52"/>
      <c r="BW1171" s="52"/>
      <c r="BX1171" s="52"/>
      <c r="BY1171" s="52"/>
      <c r="BZ1171" s="52"/>
      <c r="CA1171" s="52"/>
      <c r="CB1171" s="52"/>
      <c r="CC1171" s="52"/>
      <c r="CD1171" s="52"/>
      <c r="CE1171" s="52"/>
      <c r="CF1171" s="52"/>
      <c r="CG1171" s="52"/>
      <c r="CH1171" s="52"/>
      <c r="CI1171" s="52"/>
      <c r="CJ1171" s="52"/>
      <c r="CK1171" s="52"/>
      <c r="CL1171" s="52"/>
      <c r="CM1171" s="52"/>
      <c r="CN1171" s="52"/>
      <c r="CO1171" s="52"/>
      <c r="CP1171" s="52"/>
      <c r="CQ1171" s="52"/>
      <c r="CR1171" s="1"/>
      <c r="CS1171" s="1"/>
      <c r="CT1171" s="1"/>
      <c r="CU1171" s="1"/>
    </row>
    <row r="1172" spans="1:99" s="13" customFormat="1" ht="12" customHeight="1" x14ac:dyDescent="0.2">
      <c r="A1172" s="68">
        <v>43912</v>
      </c>
      <c r="B1172" s="70"/>
      <c r="C1172" s="70"/>
      <c r="D1172" s="69"/>
      <c r="E1172" s="87"/>
      <c r="F1172" s="69"/>
      <c r="G1172" s="69"/>
      <c r="H1172" s="69"/>
      <c r="I1172" s="69"/>
      <c r="J1172" s="69"/>
      <c r="K1172" s="107"/>
      <c r="L1172" s="107"/>
      <c r="M1172" s="69"/>
      <c r="N1172" s="69"/>
      <c r="O1172" s="69"/>
      <c r="P1172" s="69"/>
      <c r="Q1172" s="69"/>
      <c r="R1172" s="69"/>
      <c r="S1172" s="69"/>
      <c r="T1172" s="69"/>
      <c r="U1172" s="69"/>
      <c r="V1172" s="69"/>
      <c r="W1172" s="69"/>
      <c r="X1172" s="69"/>
      <c r="Y1172" s="87"/>
      <c r="Z1172" s="69"/>
      <c r="AA1172" s="69"/>
      <c r="AB1172" s="69"/>
      <c r="AC1172" s="69"/>
      <c r="AD1172" s="69"/>
      <c r="AE1172" s="69"/>
      <c r="AF1172" s="88"/>
      <c r="AG1172" s="72"/>
      <c r="AH1172" s="4"/>
      <c r="AI1172" s="72"/>
      <c r="AJ1172" s="110"/>
      <c r="AK1172" s="72"/>
      <c r="AL1172" s="72"/>
      <c r="AM1172" s="72"/>
      <c r="AN1172" s="72"/>
      <c r="AO1172" s="72"/>
      <c r="AP1172" s="72"/>
      <c r="AQ1172" s="72"/>
      <c r="AR1172" s="110"/>
      <c r="AS1172" s="72"/>
      <c r="AT1172" s="72"/>
      <c r="AU1172" s="4"/>
      <c r="AV1172" s="71">
        <v>30</v>
      </c>
      <c r="AW1172" s="71">
        <f>30*60</f>
        <v>1800</v>
      </c>
      <c r="AX1172" s="71">
        <f>45*60</f>
        <v>2700</v>
      </c>
      <c r="AY1172" s="52"/>
      <c r="AZ1172" s="52"/>
      <c r="BA1172" s="52"/>
      <c r="BB1172" s="52"/>
      <c r="BC1172" s="52"/>
      <c r="BD1172" s="52"/>
      <c r="BE1172" s="52"/>
      <c r="BF1172" s="52"/>
      <c r="BG1172" s="52"/>
      <c r="BH1172" s="52"/>
      <c r="BI1172" s="52"/>
      <c r="BJ1172" s="52"/>
      <c r="BK1172" s="52"/>
      <c r="BL1172" s="52"/>
      <c r="BM1172" s="52"/>
      <c r="BN1172" s="52"/>
      <c r="BO1172" s="52"/>
      <c r="BP1172" s="52"/>
      <c r="BQ1172" s="52"/>
      <c r="BR1172" s="52"/>
      <c r="BS1172" s="52"/>
      <c r="BT1172" s="52"/>
      <c r="BU1172" s="52"/>
      <c r="BV1172" s="52"/>
      <c r="BW1172" s="52"/>
      <c r="BX1172" s="52"/>
      <c r="BY1172" s="52"/>
      <c r="BZ1172" s="52"/>
      <c r="CA1172" s="52"/>
      <c r="CB1172" s="52"/>
      <c r="CC1172" s="52"/>
      <c r="CD1172" s="52"/>
      <c r="CE1172" s="52"/>
      <c r="CF1172" s="52"/>
      <c r="CG1172" s="52"/>
      <c r="CH1172" s="52"/>
      <c r="CI1172" s="52"/>
      <c r="CJ1172" s="52"/>
      <c r="CK1172" s="52"/>
      <c r="CL1172" s="52"/>
      <c r="CM1172" s="52"/>
      <c r="CN1172" s="52"/>
      <c r="CO1172" s="52"/>
      <c r="CP1172" s="52"/>
      <c r="CQ1172" s="52"/>
      <c r="CR1172" s="1"/>
      <c r="CS1172" s="1"/>
      <c r="CT1172" s="1"/>
      <c r="CU1172" s="1"/>
    </row>
    <row r="1173" spans="1:99" s="13" customFormat="1" ht="12" customHeight="1" x14ac:dyDescent="0.2">
      <c r="A1173" s="68">
        <v>43912</v>
      </c>
      <c r="B1173" s="70" t="s">
        <v>540</v>
      </c>
      <c r="C1173" s="70" t="s">
        <v>114</v>
      </c>
      <c r="D1173" s="69">
        <v>1970</v>
      </c>
      <c r="E1173" s="87">
        <v>1</v>
      </c>
      <c r="F1173" s="69">
        <v>14</v>
      </c>
      <c r="G1173" s="69">
        <v>14</v>
      </c>
      <c r="H1173" s="69" t="s">
        <v>50</v>
      </c>
      <c r="I1173" s="69" t="s">
        <v>545</v>
      </c>
      <c r="J1173" s="69" t="s">
        <v>313</v>
      </c>
      <c r="K1173" s="69">
        <f>IF(J1173="syllables",1,IF(J1173="trigrams",2,IF(J1173="strings",3,IF(J1173="visual array",4,IF(J1173="characters",5,IF(J1173="letters",6,IF(J1173="free forms",7,IF(J1173="odors",8,IF(J1173="words",9,IF(J1173="pictures",10,IF(J1173="object pictures",11,IF(J1173="faces",12,IF(J1173="names",13,IF(J1173="idioms",14,IF(J1173="grades",15,IF(J1173="syllable-digit pairs",16,IF(J1173="trigram-word pairs",17,IF(J1173="word-digit pairs",18,IF(J1173="English-Swahili pairs",19,IF(J1173="spatial position",20,IF(J1173="word pairs",21,IF(J1173="word triads",22,IF(J1173="generated words",23,IF(J1173="word definition pairs",24,IF(J1173="math problems",25,IF(J1173="famous faces",26,IF(J1173="famous names",27,IF(J1173="famous voices",28,IF(J1173="television programs",29,IF(J1173="race horses",30,IF(J1173="new vocabulary",31,IF(J1173="sentences",32,IF(J1173="concepts",33,IF(J1173="ad slides",34,IF(J1173="scenes",35,IF(J1173="famous scenes",36,IF(J1173="poems",37,IF(J1173="walk",38,IF(J1173="faces and events",39,IF(J1173="events and names",40,IF(J1173="flashbulb",41,IF(J1173="stories",42,IF(J1173="course material",43,IF(J1173="autobiographical",44,IF(J1173="novels",45,IF(J1173="public events",46,"99"))))))))))))))))))))))))))))))))))))))))))))))</f>
        <v>10</v>
      </c>
      <c r="L1173" s="69">
        <f>IF(J1173="syllables",1,IF(J1173="trigrams",1,IF(J1173="strings",1,IF(J1173="visual array",1,IF(J1173="characters",1,IF(J1173="letters",1,IF(J1173="free forms",1,IF(J1173="odors",2,IF(J1173="words",2,IF(J1173="pictures",2,IF(J1173="object pictures",2,IF(J1173="faces",2,IF(J1173="names",2,IF(J1173="idioms","2",IF(J1173="grades",2,IF(J1173="syllable-digit pairs",3,IF(J1173="trigram-word pairs",3,IF(J1173="word-digit pairs",3,IF(J1173="English-Swahili pairs",3,IF(J1173="spatial position",3,IF(J1173="word pairs",4,IF(J1173="word triads",4,IF(J1173="generated words",4,IF(J1173="word definition pairs",4,IF(J1173="math problems",4,IF(J1173="famous faces",4,IF(J1173="famous names",4,IF(J1173="famous voices",4,IF(J1173="television programs",4,IF(J1173="race horses",4,IF(J1173="new vocabulary",4,IF(J1173="sentences",5,IF(J1173="concepts",5,IF(J1173="ad slides",5,IF(J1173="scenes",5,IF(J1173="famous scenes",5,IF(J1173="poems",6,IF(J1173="walk",6,IF(J1173="faces and events",6,IF(J1173="events and names",6,IF(J1173="flashbulb",7,IF(J1173="stories",7,IF(J1173="course material",7,IF(J1173="autobiographical",7,IF(J1173="novels",7,IF(J1173="public events",7,"99"))))))))))))))))))))))))))))))))))))))))))))))</f>
        <v>2</v>
      </c>
      <c r="M1173" s="69">
        <v>0</v>
      </c>
      <c r="N1173" s="69">
        <v>1</v>
      </c>
      <c r="O1173" s="69">
        <v>0</v>
      </c>
      <c r="P1173" s="69"/>
      <c r="Q1173" s="69" t="s">
        <v>182</v>
      </c>
      <c r="R1173" s="69">
        <f>IF(Q1173="Free Recall",1,IF(Q1173="Cued Recall",2,IF(Q1173="Recognition",3,IF(Q1173="Multiple Choice",4,IF(Q1173="Savings",5,IF(Q1173="Stem Completion",6,IF(Q1173="Fragment Completion",7,IF(Q1173="anagram solution",8,IF(Q1173="Matching",9,IF(Q1173="Problem Solving",10,"99"))))))))))</f>
        <v>4</v>
      </c>
      <c r="S1173" s="69" t="s">
        <v>15</v>
      </c>
      <c r="T1173" s="92" t="s">
        <v>581</v>
      </c>
      <c r="U1173" s="69">
        <f>IF(T1173="within",1,0)</f>
        <v>1</v>
      </c>
      <c r="V1173" s="92">
        <v>200</v>
      </c>
      <c r="W1173" s="69">
        <f>F1173*V1173</f>
        <v>2800</v>
      </c>
      <c r="X1173" s="69">
        <v>3</v>
      </c>
      <c r="Y1173" s="87">
        <f>AV1172</f>
        <v>30</v>
      </c>
      <c r="Z1173" s="69" t="s">
        <v>541</v>
      </c>
      <c r="AA1173" s="87">
        <f>45*60</f>
        <v>2700</v>
      </c>
      <c r="AB1173" s="69" t="str">
        <f>IF(AA1173&lt;60,"1",IF(AA1173&lt;=43200,"2",IF(AA1173&lt;=777600,"3","4")))</f>
        <v>2</v>
      </c>
      <c r="AC1173" s="87">
        <f>AVERAGE(AV1172:DA1172)</f>
        <v>1510</v>
      </c>
      <c r="AD1173" s="69" t="str">
        <f>IF(AC1173&lt;60,"1",IF(AC1173&lt;=43200,"2",IF(AC1173&lt;=777600,"3","4")))</f>
        <v>2</v>
      </c>
      <c r="AE1173" s="87">
        <f>AA1173-Y1173</f>
        <v>2670</v>
      </c>
      <c r="AF1173" s="88">
        <f>AV1173</f>
        <v>0.75</v>
      </c>
      <c r="AG1173" s="72">
        <f>((AW1173-AV1173)+(AX1173-AW1173))/2</f>
        <v>-2.0000000000000018E-2</v>
      </c>
      <c r="AH1173" s="4"/>
      <c r="AI1173" s="72">
        <f>RSQ(AV1173:AX1173,AV1172:AX1172)</f>
        <v>0.74637689574285249</v>
      </c>
      <c r="AJ1173" s="110">
        <f>SLOPE(AV1173:AX1173,AV1172:AX1172)</f>
        <v>-1.6826532271175433E-5</v>
      </c>
      <c r="AK1173" s="72">
        <f>INTERCEPT(AV1173:AX1173,AV1172:AX1172)</f>
        <v>0.74540806372947499</v>
      </c>
      <c r="AL1173" s="72">
        <f>INDEX(LINEST(LN(AV1173:AX1173),LN(AV1172:AX1172),TRUE,TRUE),3,1)</f>
        <v>0.92498094718953883</v>
      </c>
      <c r="AM1173" s="72">
        <f>INDEX(LINEST(LN(AV1173:AX1173),LN(AV1172:AX1172)),1)</f>
        <v>-1.4077656808005854E-2</v>
      </c>
      <c r="AN1173" s="72">
        <f>EXP(INDEX(LINEST(LN(AV1173:AX1173),LN(AV1172:AX1172)),1,2))</f>
        <v>0.78604620678430026</v>
      </c>
      <c r="AO1173" s="89">
        <f>INDEX(LINEST((AV1173:AX1173),LN(AV1172:AX1172),TRUE,TRUE),3,1)</f>
        <v>0.92799791023336997</v>
      </c>
      <c r="AP1173" s="89">
        <f>INDEX(LINEST((AV1173:AX1173),LN(AV1172:AX1172)),1)</f>
        <v>-1.0239170884910123E-2</v>
      </c>
      <c r="AQ1173" s="90">
        <f>INDEX(LINEST(LN(AV1173:AX1173),SQRT(AV1172:AX1172),TRUE,TRUE),3,1)</f>
        <v>0.85452317005446388</v>
      </c>
      <c r="AR1173" s="117">
        <f>INDEX(LINEST(LN(AV1173:AX1173),SQRT((AV1172:AX1172))),1)</f>
        <v>-1.371791075129805E-3</v>
      </c>
      <c r="AS1173" s="91">
        <f>INDEX(LINEST(1/(AV1173:AX1173),1/(SQRT(AV1172:AX1172)),TRUE,TRUE),3,1)</f>
        <v>0.95021224049428421</v>
      </c>
      <c r="AT1173" s="91">
        <f>INDEX(LINEST(1/(AV1173:AX1173),1/SQRT(AV1172:AX1172)),1)</f>
        <v>-0.52571065671971162</v>
      </c>
      <c r="AU1173" s="3"/>
      <c r="AV1173" s="73">
        <v>0.75</v>
      </c>
      <c r="AW1173" s="73">
        <v>0.7</v>
      </c>
      <c r="AX1173" s="73">
        <v>0.71</v>
      </c>
      <c r="AY1173" s="52"/>
      <c r="AZ1173" s="52"/>
      <c r="BA1173" s="52"/>
      <c r="BB1173" s="52"/>
      <c r="BC1173" s="52"/>
      <c r="BD1173" s="52"/>
      <c r="BE1173" s="52"/>
      <c r="BF1173" s="52"/>
      <c r="BG1173" s="52"/>
      <c r="BH1173" s="52"/>
      <c r="BI1173" s="52"/>
      <c r="BJ1173" s="52"/>
      <c r="BK1173" s="52"/>
      <c r="BL1173" s="52"/>
      <c r="BM1173" s="52"/>
      <c r="BN1173" s="52"/>
      <c r="BO1173" s="52"/>
      <c r="BP1173" s="52"/>
      <c r="BQ1173" s="52"/>
      <c r="BR1173" s="52"/>
      <c r="BS1173" s="52"/>
      <c r="BT1173" s="52"/>
      <c r="BU1173" s="52"/>
      <c r="BV1173" s="52"/>
      <c r="BW1173" s="52"/>
      <c r="BX1173" s="52"/>
      <c r="BY1173" s="52"/>
      <c r="BZ1173" s="52"/>
      <c r="CA1173" s="52"/>
      <c r="CB1173" s="52"/>
      <c r="CC1173" s="52"/>
      <c r="CD1173" s="52"/>
      <c r="CE1173" s="52"/>
      <c r="CF1173" s="52"/>
      <c r="CG1173" s="52"/>
      <c r="CH1173" s="52"/>
      <c r="CI1173" s="52"/>
      <c r="CJ1173" s="52"/>
      <c r="CK1173" s="52"/>
      <c r="CL1173" s="52"/>
      <c r="CM1173" s="52"/>
      <c r="CN1173" s="52"/>
      <c r="CO1173" s="52"/>
      <c r="CP1173" s="52"/>
      <c r="CQ1173" s="52"/>
      <c r="CR1173" s="1"/>
      <c r="CS1173" s="1"/>
      <c r="CT1173" s="1"/>
      <c r="CU1173" s="1"/>
    </row>
    <row r="1174" spans="1:99" s="13" customFormat="1" ht="12" customHeight="1" x14ac:dyDescent="0.2">
      <c r="A1174" s="65">
        <v>43897</v>
      </c>
      <c r="B1174" s="1"/>
      <c r="C1174" s="1"/>
      <c r="D1174" s="60"/>
      <c r="E1174" s="76"/>
      <c r="F1174" s="60"/>
      <c r="G1174" s="60"/>
      <c r="H1174" s="60"/>
      <c r="I1174" s="60"/>
      <c r="J1174" s="60"/>
      <c r="K1174" s="64"/>
      <c r="L1174" s="64"/>
      <c r="M1174" s="60"/>
      <c r="N1174" s="61"/>
      <c r="O1174" s="60"/>
      <c r="P1174" s="60"/>
      <c r="Q1174" s="60"/>
      <c r="R1174" s="60"/>
      <c r="S1174" s="60"/>
      <c r="T1174" s="60"/>
      <c r="U1174" s="60"/>
      <c r="V1174" s="60"/>
      <c r="W1174" s="60"/>
      <c r="X1174" s="60"/>
      <c r="Y1174" s="76"/>
      <c r="Z1174" s="59"/>
      <c r="AA1174" s="59"/>
      <c r="AB1174" s="60"/>
      <c r="AC1174" s="56"/>
      <c r="AD1174" s="60"/>
      <c r="AE1174" s="60"/>
      <c r="AF1174" s="80"/>
      <c r="AG1174" s="56"/>
      <c r="AH1174" s="4"/>
      <c r="AI1174" s="56"/>
      <c r="AJ1174" s="109"/>
      <c r="AK1174" s="56"/>
      <c r="AL1174" s="56"/>
      <c r="AM1174" s="56"/>
      <c r="AN1174" s="56"/>
      <c r="AO1174" s="82"/>
      <c r="AP1174" s="82"/>
      <c r="AQ1174" s="83"/>
      <c r="AR1174" s="116"/>
      <c r="AS1174" s="84"/>
      <c r="AT1174" s="84"/>
      <c r="AU1174" s="3"/>
      <c r="AV1174" s="25">
        <v>94608000</v>
      </c>
      <c r="AW1174" s="25">
        <v>409968000</v>
      </c>
      <c r="AX1174" s="25">
        <v>725328000</v>
      </c>
      <c r="AY1174" s="25">
        <v>1040688000</v>
      </c>
      <c r="AZ1174" s="25">
        <v>1356048000</v>
      </c>
      <c r="BA1174" s="42"/>
      <c r="BB1174" s="42"/>
      <c r="BC1174" s="30"/>
      <c r="BD1174" s="30"/>
      <c r="BE1174" s="30"/>
      <c r="BF1174" s="30"/>
      <c r="BG1174" s="30"/>
      <c r="BH1174" s="30"/>
      <c r="BI1174" s="30"/>
      <c r="BJ1174" s="30"/>
      <c r="BK1174" s="30"/>
      <c r="BL1174" s="30"/>
      <c r="BM1174" s="30"/>
      <c r="BN1174" s="30"/>
      <c r="BO1174" s="30"/>
      <c r="BP1174" s="30"/>
      <c r="BQ1174" s="30"/>
      <c r="BR1174" s="30"/>
      <c r="BS1174" s="30"/>
      <c r="BT1174" s="30"/>
      <c r="BU1174" s="30"/>
      <c r="BV1174" s="30"/>
      <c r="BW1174" s="30"/>
      <c r="BX1174" s="30"/>
      <c r="BY1174" s="30"/>
      <c r="BZ1174" s="30"/>
      <c r="CA1174" s="30"/>
      <c r="CB1174" s="30"/>
      <c r="CC1174" s="30"/>
      <c r="CD1174" s="30"/>
      <c r="CE1174" s="30"/>
      <c r="CF1174" s="30"/>
      <c r="CG1174" s="30"/>
      <c r="CH1174" s="30"/>
      <c r="CI1174" s="30"/>
      <c r="CJ1174" s="30"/>
      <c r="CK1174" s="30"/>
      <c r="CL1174" s="30"/>
      <c r="CM1174" s="30"/>
      <c r="CN1174" s="30"/>
      <c r="CO1174" s="30"/>
      <c r="CP1174" s="30"/>
      <c r="CQ1174" s="30"/>
      <c r="CR1174" s="1"/>
      <c r="CS1174" s="1"/>
      <c r="CT1174" s="1"/>
      <c r="CU1174" s="1"/>
    </row>
    <row r="1175" spans="1:99" s="13" customFormat="1" ht="12" customHeight="1" x14ac:dyDescent="0.2">
      <c r="A1175" s="65">
        <v>43897</v>
      </c>
      <c r="B1175" s="1" t="s">
        <v>404</v>
      </c>
      <c r="C1175" s="1" t="s">
        <v>405</v>
      </c>
      <c r="D1175" s="60">
        <v>1988</v>
      </c>
      <c r="E1175" s="76">
        <v>1</v>
      </c>
      <c r="F1175" s="60">
        <v>37</v>
      </c>
      <c r="G1175" s="60">
        <v>37</v>
      </c>
      <c r="H1175" s="60" t="s">
        <v>43</v>
      </c>
      <c r="I1175" s="60" t="s">
        <v>330</v>
      </c>
      <c r="J1175" s="60" t="s">
        <v>406</v>
      </c>
      <c r="K1175" s="60">
        <f>IF(J1175="syllables",1,IF(J1175="trigrams",2,IF(J1175="strings",3,IF(J1175="visual array",4,IF(J1175="characters",5,IF(J1175="letters",6,IF(J1175="free forms",7,IF(J1175="odors",8,IF(J1175="words",9,IF(J1175="pictures",10,IF(J1175="object pictures",11,IF(J1175="faces",12,IF(J1175="names",13,IF(J1175="idioms",14,IF(J1175="grades",15,IF(J1175="syllable-digit pairs",16,IF(J1175="trigram-word pairs",17,IF(J1175="word-digit pairs",18,IF(J1175="English-Swahili pairs",19,IF(J1175="spatial position",20,IF(J1175="word pairs",21,IF(J1175="word triads",22,IF(J1175="generated words",23,IF(J1175="word definition pairs",24,IF(J1175="math problems",25,IF(J1175="famous faces",26,IF(J1175="famous names",27,IF(J1175="famous voices",28,IF(J1175="television programs",29,IF(J1175="race horses",30,IF(J1175="new vocabulary",31,IF(J1175="sentences",32,IF(J1175="concepts",33,IF(J1175="ad slides",34,IF(J1175="scenes",35,IF(J1175="famous scenes",36,IF(J1175="poems",37,IF(J1175="walk",38,IF(J1175="faces and events",39,IF(J1175="events and names",40,IF(J1175="flashbulb",41,IF(J1175="stories",42,IF(J1175="course material",43,IF(J1175="autobiographical",44,IF(J1175="novels",45,IF(J1175="public events",46,"99"))))))))))))))))))))))))))))))))))))))))))))))</f>
        <v>36</v>
      </c>
      <c r="L1175" s="60">
        <f>IF(J1175="syllables",1,IF(J1175="trigrams",1,IF(J1175="strings",1,IF(J1175="visual array",1,IF(J1175="characters",1,IF(J1175="letters",1,IF(J1175="free forms",1,IF(J1175="odors",2,IF(J1175="words",2,IF(J1175="pictures",2,IF(J1175="object pictures",2,IF(J1175="faces",2,IF(J1175="names",2,IF(J1175="idioms","2",IF(J1175="grades",2,IF(J1175="syllable-digit pairs",3,IF(J1175="trigram-word pairs",3,IF(J1175="word-digit pairs",3,IF(J1175="English-Swahili pairs",3,IF(J1175="spatial position",3,IF(J1175="word pairs",4,IF(J1175="word triads",4,IF(J1175="generated words",4,IF(J1175="word definition pairs",4,IF(J1175="math problems",4,IF(J1175="famous faces",4,IF(J1175="famous names",4,IF(J1175="famous voices",4,IF(J1175="television programs",4,IF(J1175="race horses",4,IF(J1175="new vocabulary",4,IF(J1175="sentences",5,IF(J1175="concepts",5,IF(J1175="ad slides",5,IF(J1175="scenes",5,IF(J1175="famous scenes",5,IF(J1175="poems",6,IF(J1175="walk",6,IF(J1175="faces and events",6,IF(J1175="events and names",6,IF(J1175="flashbulb",7,IF(J1175="stories",7,IF(J1175="course material",7,IF(J1175="autobiographical",7,IF(J1175="novels",7,IF(J1175="public events",7,"99"))))))))))))))))))))))))))))))))))))))))))))))</f>
        <v>5</v>
      </c>
      <c r="M1175" s="60">
        <v>1</v>
      </c>
      <c r="N1175" s="61">
        <v>2</v>
      </c>
      <c r="O1175" s="60">
        <v>0</v>
      </c>
      <c r="P1175" s="60"/>
      <c r="Q1175" s="60" t="s">
        <v>174</v>
      </c>
      <c r="R1175" s="60">
        <f>IF(Q1175="Free Recall",1,IF(Q1175="Cued Recall",2,IF(Q1175="Recognition",3,IF(Q1175="Multiple Choice",4,IF(Q1175="Savings",5,IF(Q1175="Stem Completion",6,IF(Q1175="Fragment Completion",7,IF(Q1175="anagram solution",8,IF(Q1175="Matching",9,IF(Q1175="Problem Solving",10,"99"))))))))))</f>
        <v>1</v>
      </c>
      <c r="S1175" s="60" t="s">
        <v>49</v>
      </c>
      <c r="T1175" s="59" t="s">
        <v>581</v>
      </c>
      <c r="U1175" s="60">
        <f>IF(T1175="within",1,0)</f>
        <v>1</v>
      </c>
      <c r="V1175" s="59">
        <v>20</v>
      </c>
      <c r="W1175" s="60">
        <f>F1175*V1175</f>
        <v>740</v>
      </c>
      <c r="X1175" s="60">
        <v>5</v>
      </c>
      <c r="Y1175" s="76">
        <f>AV1174</f>
        <v>94608000</v>
      </c>
      <c r="Z1175" s="59" t="s">
        <v>426</v>
      </c>
      <c r="AA1175" s="60">
        <f>43*365*24*60*60</f>
        <v>1356048000</v>
      </c>
      <c r="AB1175" s="60" t="str">
        <f>IF(AA1175&lt;60,"1",IF(AA1175&lt;=43200,"2",IF(AA1175&lt;=777600,"3","4")))</f>
        <v>4</v>
      </c>
      <c r="AC1175" s="56">
        <f>AVERAGE(AV1174:DA1174)</f>
        <v>725328000</v>
      </c>
      <c r="AD1175" s="60" t="str">
        <f>IF(AC1175&lt;60,"1",IF(AC1175&lt;=43200,"2",IF(AC1175&lt;=777600,"3","4")))</f>
        <v>4</v>
      </c>
      <c r="AE1175" s="76">
        <f>AA1175-Y1175</f>
        <v>1261440000</v>
      </c>
      <c r="AF1175" s="80">
        <f>AV1175</f>
        <v>0.69230769230769229</v>
      </c>
      <c r="AG1175" s="56">
        <f>((AW1175-AV1175)+(AX1175-AW1175)+(AY1175-AX1175)+(AZ1175-AY1175))/4</f>
        <v>3.0494505494505497E-2</v>
      </c>
      <c r="AH1175" s="4"/>
      <c r="AI1175" s="56">
        <f>RSQ(AV1175:AZ1175,AV1174:AZ1174)</f>
        <v>9.1174012609956424E-3</v>
      </c>
      <c r="AJ1175" s="109">
        <f>SLOPE(AV1175:AZ1175,AV1174:AZ1174)</f>
        <v>1.7415548601791666E-11</v>
      </c>
      <c r="AK1175" s="56">
        <f>INTERCEPT(AV1175:AZ1175,AV1174:AZ1174)</f>
        <v>0.69239793616389356</v>
      </c>
      <c r="AL1175" s="56">
        <f>INDEX(LINEST(LN(AV1175:AZ1175),LN(AV1174:AZ1174),TRUE,TRUE),3,1)</f>
        <v>4.0853600951343833E-5</v>
      </c>
      <c r="AM1175" s="56">
        <f>INDEX(LINEST(LN(AV1175:AZ1175),LN(AV1174:AZ1174)),1)</f>
        <v>-7.9830905249470582E-4</v>
      </c>
      <c r="AN1175" s="56">
        <f>EXP(INDEX(LINEST(LN(AV1175:AZ1175),LN(AV1174:AZ1174)),1,2))</f>
        <v>0.71152215401810226</v>
      </c>
      <c r="AO1175" s="82">
        <f>INDEX(LINEST((AV1175:AZ1175),LN(AV1174:AZ1174),TRUE,TRUE),3,1)</f>
        <v>1.1896940251922001E-3</v>
      </c>
      <c r="AP1175" s="82">
        <f>INDEX(LINEST((AV1175:AZ1175),LN(AV1174:AZ1174)),1)</f>
        <v>2.9670710116884934E-3</v>
      </c>
      <c r="AQ1175" s="83">
        <f>INDEX(LINEST(LN(AV1175:AZ1175),SQRT(AV1174:AZ1174),TRUE,TRUE),3,1)</f>
        <v>1.0177772156251406E-4</v>
      </c>
      <c r="AR1175" s="116">
        <f>INDEX(LINEST(LN(AV1175:AZ1175),SQRT((AV1174:AZ1174))),1)</f>
        <v>1.2532852841585872E-7</v>
      </c>
      <c r="AS1175" s="84">
        <f>INDEX(LINEST(1/(AV1175:AZ1175),1/(SQRT(AV1174:AZ1174)),TRUE,TRUE),3,1)</f>
        <v>1.5113334721689356E-3</v>
      </c>
      <c r="AT1175" s="84">
        <f>INDEX(LINEST(1/(AV1175:AZ1175),1/SQRT(AV1174:AZ1174)),1)</f>
        <v>-243.6003573584274</v>
      </c>
      <c r="AU1175" s="3"/>
      <c r="AV1175" s="53">
        <v>0.69230769230769229</v>
      </c>
      <c r="AW1175" s="53">
        <v>0.76595744680851063</v>
      </c>
      <c r="AX1175" s="53">
        <v>0.67567567567567566</v>
      </c>
      <c r="AY1175" s="53">
        <v>0.57692307692307687</v>
      </c>
      <c r="AZ1175" s="53">
        <v>0.81428571428571428</v>
      </c>
      <c r="BA1175" s="42"/>
      <c r="BB1175" s="42"/>
      <c r="BC1175" s="30"/>
      <c r="BD1175" s="30"/>
      <c r="BE1175" s="30"/>
      <c r="BF1175" s="30"/>
      <c r="BG1175" s="30"/>
      <c r="BH1175" s="30"/>
      <c r="BI1175" s="30"/>
      <c r="BJ1175" s="30"/>
      <c r="BK1175" s="30"/>
      <c r="BL1175" s="30"/>
      <c r="BM1175" s="30"/>
      <c r="BN1175" s="30"/>
      <c r="BO1175" s="30"/>
      <c r="BP1175" s="30"/>
      <c r="BQ1175" s="30"/>
      <c r="BR1175" s="30"/>
      <c r="BS1175" s="30"/>
      <c r="BT1175" s="30"/>
      <c r="BU1175" s="30"/>
      <c r="BV1175" s="30"/>
      <c r="BW1175" s="30"/>
      <c r="BX1175" s="30"/>
      <c r="BY1175" s="30"/>
      <c r="BZ1175" s="30"/>
      <c r="CA1175" s="30"/>
      <c r="CB1175" s="30"/>
      <c r="CC1175" s="30"/>
      <c r="CD1175" s="30"/>
      <c r="CE1175" s="30"/>
      <c r="CF1175" s="30"/>
      <c r="CG1175" s="30"/>
      <c r="CH1175" s="30"/>
      <c r="CI1175" s="30"/>
      <c r="CJ1175" s="30"/>
      <c r="CK1175" s="30"/>
      <c r="CL1175" s="30"/>
      <c r="CM1175" s="30"/>
      <c r="CN1175" s="30"/>
      <c r="CO1175" s="30"/>
      <c r="CP1175" s="30"/>
      <c r="CQ1175" s="30"/>
      <c r="CR1175" s="1"/>
      <c r="CS1175" s="1"/>
      <c r="CT1175" s="1"/>
      <c r="CU1175" s="1"/>
    </row>
    <row r="1176" spans="1:99" s="13" customFormat="1" ht="12" customHeight="1" x14ac:dyDescent="0.2">
      <c r="A1176" s="65">
        <v>43897</v>
      </c>
      <c r="B1176" s="1"/>
      <c r="C1176" s="1"/>
      <c r="D1176" s="60"/>
      <c r="E1176" s="76"/>
      <c r="F1176" s="60"/>
      <c r="G1176" s="60"/>
      <c r="H1176" s="60"/>
      <c r="I1176" s="60"/>
      <c r="J1176" s="60"/>
      <c r="K1176" s="64"/>
      <c r="L1176" s="64"/>
      <c r="M1176" s="60"/>
      <c r="N1176" s="61"/>
      <c r="O1176" s="60"/>
      <c r="P1176" s="60"/>
      <c r="Q1176" s="60"/>
      <c r="R1176" s="60"/>
      <c r="S1176" s="60"/>
      <c r="T1176" s="60"/>
      <c r="U1176" s="60"/>
      <c r="V1176" s="60"/>
      <c r="W1176" s="60"/>
      <c r="X1176" s="60"/>
      <c r="Y1176" s="76"/>
      <c r="Z1176" s="59"/>
      <c r="AA1176" s="59"/>
      <c r="AB1176" s="60"/>
      <c r="AC1176" s="56"/>
      <c r="AD1176" s="60"/>
      <c r="AE1176" s="60"/>
      <c r="AF1176" s="80"/>
      <c r="AG1176" s="56"/>
      <c r="AH1176" s="4"/>
      <c r="AI1176" s="56"/>
      <c r="AJ1176" s="109"/>
      <c r="AK1176" s="56"/>
      <c r="AL1176" s="56"/>
      <c r="AM1176" s="56"/>
      <c r="AN1176" s="56"/>
      <c r="AO1176" s="82"/>
      <c r="AP1176" s="82"/>
      <c r="AQ1176" s="83"/>
      <c r="AR1176" s="116"/>
      <c r="AS1176" s="84"/>
      <c r="AT1176" s="84"/>
      <c r="AU1176" s="3"/>
      <c r="AV1176" s="25">
        <v>94608000</v>
      </c>
      <c r="AW1176" s="25">
        <v>409968000</v>
      </c>
      <c r="AX1176" s="25">
        <v>725328000</v>
      </c>
      <c r="AY1176" s="25">
        <v>1040688000</v>
      </c>
      <c r="AZ1176" s="25">
        <v>1356048000</v>
      </c>
      <c r="BA1176" s="42"/>
      <c r="BB1176" s="42"/>
      <c r="BC1176" s="30"/>
      <c r="BD1176" s="30"/>
      <c r="BE1176" s="30"/>
      <c r="BF1176" s="30"/>
      <c r="BG1176" s="30"/>
      <c r="BH1176" s="30"/>
      <c r="BI1176" s="30"/>
      <c r="BJ1176" s="30"/>
      <c r="BK1176" s="30"/>
      <c r="BL1176" s="30"/>
      <c r="BM1176" s="30"/>
      <c r="BN1176" s="30"/>
      <c r="BO1176" s="30"/>
      <c r="BP1176" s="30"/>
      <c r="BQ1176" s="30"/>
      <c r="BR1176" s="30"/>
      <c r="BS1176" s="30"/>
      <c r="BT1176" s="30"/>
      <c r="BU1176" s="30"/>
      <c r="BV1176" s="30"/>
      <c r="BW1176" s="30"/>
      <c r="BX1176" s="30"/>
      <c r="BY1176" s="30"/>
      <c r="BZ1176" s="30"/>
      <c r="CA1176" s="30"/>
      <c r="CB1176" s="30"/>
      <c r="CC1176" s="30"/>
      <c r="CD1176" s="30"/>
      <c r="CE1176" s="30"/>
      <c r="CF1176" s="30"/>
      <c r="CG1176" s="30"/>
      <c r="CH1176" s="30"/>
      <c r="CI1176" s="30"/>
      <c r="CJ1176" s="30"/>
      <c r="CK1176" s="30"/>
      <c r="CL1176" s="30"/>
      <c r="CM1176" s="30"/>
      <c r="CN1176" s="30"/>
      <c r="CO1176" s="30"/>
      <c r="CP1176" s="30"/>
      <c r="CQ1176" s="30"/>
      <c r="CR1176" s="1"/>
      <c r="CS1176" s="1"/>
      <c r="CT1176" s="1"/>
      <c r="CU1176" s="1"/>
    </row>
    <row r="1177" spans="1:99" s="13" customFormat="1" ht="12" customHeight="1" x14ac:dyDescent="0.2">
      <c r="A1177" s="65">
        <v>43897</v>
      </c>
      <c r="B1177" s="1" t="s">
        <v>404</v>
      </c>
      <c r="C1177" s="1" t="s">
        <v>405</v>
      </c>
      <c r="D1177" s="60">
        <v>1988</v>
      </c>
      <c r="E1177" s="76">
        <v>1</v>
      </c>
      <c r="F1177" s="60">
        <v>30</v>
      </c>
      <c r="G1177" s="60">
        <v>30</v>
      </c>
      <c r="H1177" s="60" t="s">
        <v>341</v>
      </c>
      <c r="I1177" s="60" t="s">
        <v>330</v>
      </c>
      <c r="J1177" s="60" t="s">
        <v>406</v>
      </c>
      <c r="K1177" s="60">
        <f>IF(J1177="syllables",1,IF(J1177="trigrams",2,IF(J1177="strings",3,IF(J1177="visual array",4,IF(J1177="characters",5,IF(J1177="letters",6,IF(J1177="free forms",7,IF(J1177="odors",8,IF(J1177="words",9,IF(J1177="pictures",10,IF(J1177="object pictures",11,IF(J1177="faces",12,IF(J1177="names",13,IF(J1177="idioms",14,IF(J1177="grades",15,IF(J1177="syllable-digit pairs",16,IF(J1177="trigram-word pairs",17,IF(J1177="word-digit pairs",18,IF(J1177="English-Swahili pairs",19,IF(J1177="spatial position",20,IF(J1177="word pairs",21,IF(J1177="word triads",22,IF(J1177="generated words",23,IF(J1177="word definition pairs",24,IF(J1177="math problems",25,IF(J1177="famous faces",26,IF(J1177="famous names",27,IF(J1177="famous voices",28,IF(J1177="television programs",29,IF(J1177="race horses",30,IF(J1177="new vocabulary",31,IF(J1177="sentences",32,IF(J1177="concepts",33,IF(J1177="ad slides",34,IF(J1177="scenes",35,IF(J1177="famous scenes",36,IF(J1177="poems",37,IF(J1177="walk",38,IF(J1177="faces and events",39,IF(J1177="events and names",40,IF(J1177="flashbulb",41,IF(J1177="stories",42,IF(J1177="course material",43,IF(J1177="autobiographical",44,IF(J1177="novels",45,IF(J1177="public events",46,"99"))))))))))))))))))))))))))))))))))))))))))))))</f>
        <v>36</v>
      </c>
      <c r="L1177" s="60">
        <f>IF(J1177="syllables",1,IF(J1177="trigrams",1,IF(J1177="strings",1,IF(J1177="visual array",1,IF(J1177="characters",1,IF(J1177="letters",1,IF(J1177="free forms",1,IF(J1177="odors",2,IF(J1177="words",2,IF(J1177="pictures",2,IF(J1177="object pictures",2,IF(J1177="faces",2,IF(J1177="names",2,IF(J1177="idioms","2",IF(J1177="grades",2,IF(J1177="syllable-digit pairs",3,IF(J1177="trigram-word pairs",3,IF(J1177="word-digit pairs",3,IF(J1177="English-Swahili pairs",3,IF(J1177="spatial position",3,IF(J1177="word pairs",4,IF(J1177="word triads",4,IF(J1177="generated words",4,IF(J1177="word definition pairs",4,IF(J1177="math problems",4,IF(J1177="famous faces",4,IF(J1177="famous names",4,IF(J1177="famous voices",4,IF(J1177="television programs",4,IF(J1177="race horses",4,IF(J1177="new vocabulary",4,IF(J1177="sentences",5,IF(J1177="concepts",5,IF(J1177="ad slides",5,IF(J1177="scenes",5,IF(J1177="famous scenes",5,IF(J1177="poems",6,IF(J1177="walk",6,IF(J1177="faces and events",6,IF(J1177="events and names",6,IF(J1177="flashbulb",7,IF(J1177="stories",7,IF(J1177="course material",7,IF(J1177="autobiographical",7,IF(J1177="novels",7,IF(J1177="public events",7,"99"))))))))))))))))))))))))))))))))))))))))))))))</f>
        <v>5</v>
      </c>
      <c r="M1177" s="60">
        <v>1</v>
      </c>
      <c r="N1177" s="61">
        <v>2</v>
      </c>
      <c r="O1177" s="60">
        <v>0</v>
      </c>
      <c r="P1177" s="60"/>
      <c r="Q1177" s="60" t="s">
        <v>34</v>
      </c>
      <c r="R1177" s="60">
        <f>IF(Q1177="Free Recall",1,IF(Q1177="Cued Recall",2,IF(Q1177="Recognition",3,IF(Q1177="Multiple Choice",4,IF(Q1177="Savings",5,IF(Q1177="Stem Completion",6,IF(Q1177="Fragment Completion",7,IF(Q1177="anagram solution",8,IF(Q1177="Matching",9,IF(Q1177="Problem Solving",10,"99"))))))))))</f>
        <v>3</v>
      </c>
      <c r="S1177" s="60" t="s">
        <v>15</v>
      </c>
      <c r="T1177" s="59" t="s">
        <v>581</v>
      </c>
      <c r="U1177" s="60">
        <f>IF(T1177="within",1,0)</f>
        <v>1</v>
      </c>
      <c r="V1177" s="59">
        <v>20</v>
      </c>
      <c r="W1177" s="60">
        <f>F1177*V1177</f>
        <v>600</v>
      </c>
      <c r="X1177" s="60">
        <v>5</v>
      </c>
      <c r="Y1177" s="76">
        <f>AV1176</f>
        <v>94608000</v>
      </c>
      <c r="Z1177" s="59" t="s">
        <v>426</v>
      </c>
      <c r="AA1177" s="60">
        <f>43*365*24*60*60</f>
        <v>1356048000</v>
      </c>
      <c r="AB1177" s="60" t="str">
        <f>IF(AA1177&lt;60,"1",IF(AA1177&lt;=43200,"2",IF(AA1177&lt;=777600,"3","4")))</f>
        <v>4</v>
      </c>
      <c r="AC1177" s="56">
        <f>AVERAGE(AV1176:DA1176)</f>
        <v>725328000</v>
      </c>
      <c r="AD1177" s="60" t="str">
        <f>IF(AC1177&lt;60,"1",IF(AC1177&lt;=43200,"2",IF(AC1177&lt;=777600,"3","4")))</f>
        <v>4</v>
      </c>
      <c r="AE1177" s="76">
        <f>AA1177-Y1177</f>
        <v>1261440000</v>
      </c>
      <c r="AF1177" s="80">
        <f>AV1177</f>
        <v>0.95384615384615379</v>
      </c>
      <c r="AG1177" s="58">
        <f>((AW1177-AV1177)+(AX1177-AW1177)+(AY1177-AX1177)+(AZ1177-AY1177))/4</f>
        <v>-1.6194331983805654E-3</v>
      </c>
      <c r="AH1177" s="4"/>
      <c r="AI1177" s="56">
        <f>RSQ(AV1177:AZ1177,AV1176:AZ1176)</f>
        <v>5.5621984975579436E-2</v>
      </c>
      <c r="AJ1177" s="109">
        <f>SLOPE(AV1177:AZ1177,AV1176:AZ1176)</f>
        <v>-3.7851348534413547E-11</v>
      </c>
      <c r="AK1177" s="56">
        <f>INTERCEPT(AV1177:AZ1177,AV1176:AZ1176)</f>
        <v>0.91878219823776397</v>
      </c>
      <c r="AL1177" s="56">
        <f>INDEX(LINEST(LN(AV1177:AZ1177),LN(AV1176:AZ1176),TRUE,TRUE),3,1)</f>
        <v>0.16859220416352844</v>
      </c>
      <c r="AM1177" s="56">
        <f>INDEX(LINEST(LN(AV1177:AZ1177),LN(AV1176:AZ1176)),1)</f>
        <v>-3.5834775397589336E-2</v>
      </c>
      <c r="AN1177" s="56">
        <f>EXP(INDEX(LINEST(LN(AV1177:AZ1177),LN(AV1176:AZ1176)),1,2))</f>
        <v>1.8241287959152177</v>
      </c>
      <c r="AO1177" s="82">
        <f>INDEX(LINEST((AV1177:AZ1177),LN(AV1176:AZ1176),TRUE,TRUE),3,1)</f>
        <v>0.17436865958681858</v>
      </c>
      <c r="AP1177" s="82">
        <f>INDEX(LINEST((AV1177:AZ1177),LN(AV1176:AZ1176)),1)</f>
        <v>-3.160829024500271E-2</v>
      </c>
      <c r="AQ1177" s="83">
        <f>INDEX(LINEST(LN(AV1177:AZ1177),SQRT(AV1176:AZ1176),TRUE,TRUE),3,1)</f>
        <v>0.11079587201730813</v>
      </c>
      <c r="AR1177" s="116">
        <f>INDEX(LINEST(LN(AV1177:AZ1177),SQRT((AV1176:AZ1176))),1)</f>
        <v>-2.889451623959383E-6</v>
      </c>
      <c r="AS1177" s="84">
        <f>INDEX(LINEST(1/(AV1177:AZ1177),1/(SQRT(AV1176:AZ1176)),TRUE,TRUE),3,1)</f>
        <v>0.19502143432750169</v>
      </c>
      <c r="AT1177" s="84">
        <f>INDEX(LINEST(1/(AV1177:AZ1177),1/SQRT(AV1176:AZ1176)),1)</f>
        <v>-1522.273926687802</v>
      </c>
      <c r="AU1177" s="3"/>
      <c r="AV1177" s="53">
        <v>0.95384615384615379</v>
      </c>
      <c r="AW1177" s="53">
        <v>0.94202898550724645</v>
      </c>
      <c r="AX1177" s="53">
        <v>0.77777777777777779</v>
      </c>
      <c r="AY1177" s="53">
        <v>0.83561643835616439</v>
      </c>
      <c r="AZ1177" s="53">
        <v>0.94736842105263153</v>
      </c>
      <c r="BA1177" s="42"/>
      <c r="BB1177" s="42"/>
      <c r="BC1177" s="30"/>
      <c r="BD1177" s="30"/>
      <c r="BE1177" s="30"/>
      <c r="BF1177" s="30"/>
      <c r="BG1177" s="30"/>
      <c r="BH1177" s="30"/>
      <c r="BI1177" s="30"/>
      <c r="BJ1177" s="30"/>
      <c r="BK1177" s="30"/>
      <c r="BL1177" s="30"/>
      <c r="BM1177" s="30"/>
      <c r="BN1177" s="30"/>
      <c r="BO1177" s="30"/>
      <c r="BP1177" s="30"/>
      <c r="BQ1177" s="30"/>
      <c r="BR1177" s="30"/>
      <c r="BS1177" s="30"/>
      <c r="BT1177" s="30"/>
      <c r="BU1177" s="30"/>
      <c r="BV1177" s="30"/>
      <c r="BW1177" s="30"/>
      <c r="BX1177" s="30"/>
      <c r="BY1177" s="30"/>
      <c r="BZ1177" s="30"/>
      <c r="CA1177" s="30"/>
      <c r="CB1177" s="30"/>
      <c r="CC1177" s="30"/>
      <c r="CD1177" s="30"/>
      <c r="CE1177" s="30"/>
      <c r="CF1177" s="30"/>
      <c r="CG1177" s="30"/>
      <c r="CH1177" s="30"/>
      <c r="CI1177" s="30"/>
      <c r="CJ1177" s="30"/>
      <c r="CK1177" s="30"/>
      <c r="CL1177" s="30"/>
      <c r="CM1177" s="30"/>
      <c r="CN1177" s="30"/>
      <c r="CO1177" s="30"/>
      <c r="CP1177" s="30"/>
      <c r="CQ1177" s="30"/>
      <c r="CR1177" s="1"/>
      <c r="CS1177" s="1"/>
      <c r="CT1177" s="1"/>
      <c r="CU1177" s="1"/>
    </row>
    <row r="1178" spans="1:99" s="13" customFormat="1" ht="12" customHeight="1" x14ac:dyDescent="0.2">
      <c r="A1178" s="65">
        <v>43897</v>
      </c>
      <c r="B1178" s="1"/>
      <c r="C1178" s="1"/>
      <c r="D1178" s="60"/>
      <c r="E1178" s="76"/>
      <c r="F1178" s="60"/>
      <c r="G1178" s="60"/>
      <c r="H1178" s="60"/>
      <c r="I1178" s="60"/>
      <c r="J1178" s="60"/>
      <c r="K1178" s="64"/>
      <c r="L1178" s="64"/>
      <c r="M1178" s="60"/>
      <c r="N1178" s="61"/>
      <c r="O1178" s="60"/>
      <c r="P1178" s="60"/>
      <c r="Q1178" s="60"/>
      <c r="R1178" s="60"/>
      <c r="S1178" s="60"/>
      <c r="T1178" s="60"/>
      <c r="U1178" s="60"/>
      <c r="V1178" s="60"/>
      <c r="W1178" s="60"/>
      <c r="X1178" s="60"/>
      <c r="Y1178" s="76"/>
      <c r="Z1178" s="60"/>
      <c r="AA1178" s="60"/>
      <c r="AB1178" s="60"/>
      <c r="AC1178" s="56"/>
      <c r="AD1178" s="60"/>
      <c r="AE1178" s="60"/>
      <c r="AF1178" s="80"/>
      <c r="AG1178" s="56"/>
      <c r="AH1178" s="4"/>
      <c r="AI1178" s="56"/>
      <c r="AJ1178" s="109"/>
      <c r="AK1178" s="56"/>
      <c r="AL1178" s="56"/>
      <c r="AM1178" s="56"/>
      <c r="AN1178" s="56"/>
      <c r="AO1178" s="82"/>
      <c r="AP1178" s="82"/>
      <c r="AQ1178" s="83"/>
      <c r="AR1178" s="116"/>
      <c r="AS1178" s="84"/>
      <c r="AT1178" s="84"/>
      <c r="AU1178" s="3"/>
      <c r="AV1178" s="25">
        <v>409968000</v>
      </c>
      <c r="AW1178" s="25">
        <v>725328000</v>
      </c>
      <c r="AX1178" s="25">
        <v>1040688000</v>
      </c>
      <c r="AY1178" s="25">
        <v>1356048000</v>
      </c>
      <c r="AZ1178" s="53"/>
      <c r="BA1178" s="42"/>
      <c r="BB1178" s="42"/>
      <c r="BC1178" s="30"/>
      <c r="BD1178" s="30"/>
      <c r="BE1178" s="30"/>
      <c r="BF1178" s="30"/>
      <c r="BG1178" s="30"/>
      <c r="BH1178" s="30"/>
      <c r="BI1178" s="30"/>
      <c r="BJ1178" s="30"/>
      <c r="BK1178" s="30"/>
      <c r="BL1178" s="30"/>
      <c r="BM1178" s="30"/>
      <c r="BN1178" s="30"/>
      <c r="BO1178" s="30"/>
      <c r="BP1178" s="30"/>
      <c r="BQ1178" s="30"/>
      <c r="BR1178" s="30"/>
      <c r="BS1178" s="30"/>
      <c r="BT1178" s="30"/>
      <c r="BU1178" s="30"/>
      <c r="BV1178" s="30"/>
      <c r="BW1178" s="30"/>
      <c r="BX1178" s="30"/>
      <c r="BY1178" s="30"/>
      <c r="BZ1178" s="30"/>
      <c r="CA1178" s="30"/>
      <c r="CB1178" s="30"/>
      <c r="CC1178" s="30"/>
      <c r="CD1178" s="30"/>
      <c r="CE1178" s="30"/>
      <c r="CF1178" s="30"/>
      <c r="CG1178" s="30"/>
      <c r="CH1178" s="30"/>
      <c r="CI1178" s="30"/>
      <c r="CJ1178" s="30"/>
      <c r="CK1178" s="30"/>
      <c r="CL1178" s="30"/>
      <c r="CM1178" s="30"/>
      <c r="CN1178" s="30"/>
      <c r="CO1178" s="30"/>
      <c r="CP1178" s="30"/>
      <c r="CQ1178" s="30"/>
      <c r="CR1178" s="1"/>
      <c r="CS1178" s="1"/>
      <c r="CT1178" s="1"/>
      <c r="CU1178" s="1"/>
    </row>
    <row r="1179" spans="1:99" s="13" customFormat="1" ht="12" customHeight="1" x14ac:dyDescent="0.2">
      <c r="A1179" s="65">
        <v>43897</v>
      </c>
      <c r="B1179" s="1" t="s">
        <v>404</v>
      </c>
      <c r="C1179" s="1" t="s">
        <v>405</v>
      </c>
      <c r="D1179" s="60">
        <v>1988</v>
      </c>
      <c r="E1179" s="76">
        <v>1</v>
      </c>
      <c r="F1179" s="60">
        <v>36</v>
      </c>
      <c r="G1179" s="60">
        <v>36</v>
      </c>
      <c r="H1179" s="60" t="s">
        <v>44</v>
      </c>
      <c r="I1179" s="60" t="s">
        <v>330</v>
      </c>
      <c r="J1179" s="60" t="s">
        <v>406</v>
      </c>
      <c r="K1179" s="60">
        <f>IF(J1179="syllables",1,IF(J1179="trigrams",2,IF(J1179="strings",3,IF(J1179="visual array",4,IF(J1179="characters",5,IF(J1179="letters",6,IF(J1179="free forms",7,IF(J1179="odors",8,IF(J1179="words",9,IF(J1179="pictures",10,IF(J1179="object pictures",11,IF(J1179="faces",12,IF(J1179="names",13,IF(J1179="idioms",14,IF(J1179="grades",15,IF(J1179="syllable-digit pairs",16,IF(J1179="trigram-word pairs",17,IF(J1179="word-digit pairs",18,IF(J1179="English-Swahili pairs",19,IF(J1179="spatial position",20,IF(J1179="word pairs",21,IF(J1179="word triads",22,IF(J1179="generated words",23,IF(J1179="word definition pairs",24,IF(J1179="math problems",25,IF(J1179="famous faces",26,IF(J1179="famous names",27,IF(J1179="famous voices",28,IF(J1179="television programs",29,IF(J1179="race horses",30,IF(J1179="new vocabulary",31,IF(J1179="sentences",32,IF(J1179="concepts",33,IF(J1179="ad slides",34,IF(J1179="scenes",35,IF(J1179="famous scenes",36,IF(J1179="poems",37,IF(J1179="walk",38,IF(J1179="faces and events",39,IF(J1179="events and names",40,IF(J1179="flashbulb",41,IF(J1179="stories",42,IF(J1179="course material",43,IF(J1179="autobiographical",44,IF(J1179="novels",45,IF(J1179="public events",46,"99"))))))))))))))))))))))))))))))))))))))))))))))</f>
        <v>36</v>
      </c>
      <c r="L1179" s="60">
        <f>IF(J1179="syllables",1,IF(J1179="trigrams",1,IF(J1179="strings",1,IF(J1179="visual array",1,IF(J1179="characters",1,IF(J1179="letters",1,IF(J1179="free forms",1,IF(J1179="odors",2,IF(J1179="words",2,IF(J1179="pictures",2,IF(J1179="object pictures",2,IF(J1179="faces",2,IF(J1179="names",2,IF(J1179="idioms","2",IF(J1179="grades",2,IF(J1179="syllable-digit pairs",3,IF(J1179="trigram-word pairs",3,IF(J1179="word-digit pairs",3,IF(J1179="English-Swahili pairs",3,IF(J1179="spatial position",3,IF(J1179="word pairs",4,IF(J1179="word triads",4,IF(J1179="generated words",4,IF(J1179="word definition pairs",4,IF(J1179="math problems",4,IF(J1179="famous faces",4,IF(J1179="famous names",4,IF(J1179="famous voices",4,IF(J1179="television programs",4,IF(J1179="race horses",4,IF(J1179="new vocabulary",4,IF(J1179="sentences",5,IF(J1179="concepts",5,IF(J1179="ad slides",5,IF(J1179="scenes",5,IF(J1179="famous scenes",5,IF(J1179="poems",6,IF(J1179="walk",6,IF(J1179="faces and events",6,IF(J1179="events and names",6,IF(J1179="flashbulb",7,IF(J1179="stories",7,IF(J1179="course material",7,IF(J1179="autobiographical",7,IF(J1179="novels",7,IF(J1179="public events",7,"99"))))))))))))))))))))))))))))))))))))))))))))))</f>
        <v>5</v>
      </c>
      <c r="M1179" s="60">
        <v>1</v>
      </c>
      <c r="N1179" s="61">
        <v>2</v>
      </c>
      <c r="O1179" s="60">
        <v>0</v>
      </c>
      <c r="P1179" s="60"/>
      <c r="Q1179" s="60" t="s">
        <v>182</v>
      </c>
      <c r="R1179" s="60">
        <f>IF(Q1179="Free Recall",1,IF(Q1179="Cued Recall",2,IF(Q1179="Recognition",3,IF(Q1179="Multiple Choice",4,IF(Q1179="Savings",5,IF(Q1179="Stem Completion",6,IF(Q1179="Fragment Completion",7,IF(Q1179="anagram solution",8,IF(Q1179="Matching",9,IF(Q1179="Problem Solving",10,"99"))))))))))</f>
        <v>4</v>
      </c>
      <c r="S1179" s="60" t="s">
        <v>15</v>
      </c>
      <c r="T1179" s="59" t="s">
        <v>581</v>
      </c>
      <c r="U1179" s="60">
        <f>IF(T1179="within",1,0)</f>
        <v>1</v>
      </c>
      <c r="V1179" s="59">
        <v>20</v>
      </c>
      <c r="W1179" s="60">
        <f>F1179*V1179</f>
        <v>720</v>
      </c>
      <c r="X1179" s="60">
        <v>4</v>
      </c>
      <c r="Y1179" s="76">
        <f>AV1178</f>
        <v>409968000</v>
      </c>
      <c r="Z1179" s="59" t="s">
        <v>426</v>
      </c>
      <c r="AA1179" s="60">
        <f>43*365*24*60*60</f>
        <v>1356048000</v>
      </c>
      <c r="AB1179" s="60" t="str">
        <f>IF(AA1179&lt;60,"1",IF(AA1179&lt;=43200,"2",IF(AA1179&lt;=777600,"3","4")))</f>
        <v>4</v>
      </c>
      <c r="AC1179" s="56">
        <f>AVERAGE(AV1178:DA1178)</f>
        <v>883008000</v>
      </c>
      <c r="AD1179" s="60" t="str">
        <f>IF(AC1179&lt;60,"1",IF(AC1179&lt;=43200,"2",IF(AC1179&lt;=777600,"3","4")))</f>
        <v>4</v>
      </c>
      <c r="AE1179" s="76">
        <f>AA1179-Y1179</f>
        <v>946080000</v>
      </c>
      <c r="AF1179" s="80">
        <f>AV1179</f>
        <v>0.76190476190476186</v>
      </c>
      <c r="AG1179" s="56">
        <f>((AW1179-AV1179)+(AX1179-AW1179)+(AY1179-AX1179))/3</f>
        <v>-1.1544011544011523E-2</v>
      </c>
      <c r="AH1179" s="4"/>
      <c r="AI1179" s="56">
        <f>RSQ(AV1179:AY1179,AV1178:AY1178)</f>
        <v>0.20149143832788816</v>
      </c>
      <c r="AJ1179" s="109">
        <f>SLOPE(AV1179:AY1179,AV1178:AY1178)</f>
        <v>-2.2283395322902891E-11</v>
      </c>
      <c r="AK1179" s="56">
        <f>INTERCEPT(AV1179:AY1179,AV1178:AY1178)</f>
        <v>0.76037658573310751</v>
      </c>
      <c r="AL1179" s="56">
        <f>INDEX(LINEST(LN(AV1179:AY1179),LN(AV1178:AY1178),TRUE,TRUE),3,1)</f>
        <v>0.25001965859319286</v>
      </c>
      <c r="AM1179" s="56">
        <f>INDEX(LINEST(LN(AV1179:AY1179),LN(AV1178:AY1178)),1)</f>
        <v>-2.6354258413484558E-2</v>
      </c>
      <c r="AN1179" s="56">
        <f>EXP(INDEX(LINEST(LN(AV1179:AY1179),LN(AV1178:AY1178)),1,2))</f>
        <v>1.2712320424441965</v>
      </c>
      <c r="AO1179" s="82">
        <f>INDEX(LINEST((AV1179:AY1179),LN(AV1178:AY1178),TRUE,TRUE),3,1)</f>
        <v>0.25446415807945993</v>
      </c>
      <c r="AP1179" s="82">
        <f>INDEX(LINEST((AV1179:AY1179),LN(AV1178:AY1178)),1)</f>
        <v>-1.9693089165495056E-2</v>
      </c>
      <c r="AQ1179" s="83">
        <f>INDEX(LINEST(LN(AV1179:AY1179),SQRT(AV1178:AY1178),TRUE,TRUE),3,1)</f>
        <v>0.22188431485114365</v>
      </c>
      <c r="AR1179" s="116">
        <f>INDEX(LINEST(LN(AV1179:AY1179),SQRT((AV1178:AY1178))),1)</f>
        <v>-1.8014999352672312E-6</v>
      </c>
      <c r="AS1179" s="84">
        <f>INDEX(LINEST(1/(AV1179:AY1179),1/(SQRT(AV1178:AY1178)),TRUE,TRUE),3,1)</f>
        <v>0.2756364259565709</v>
      </c>
      <c r="AT1179" s="84">
        <f>INDEX(LINEST(1/(AV1179:AY1179),1/SQRT(AV1178:AY1178)),1)</f>
        <v>-1989.5513174670496</v>
      </c>
      <c r="AU1179" s="3"/>
      <c r="AV1179" s="27">
        <v>0.76190476190476186</v>
      </c>
      <c r="AW1179" s="27">
        <v>0.72000000000000008</v>
      </c>
      <c r="AX1179" s="27">
        <v>0.75362318840579723</v>
      </c>
      <c r="AY1179" s="27">
        <v>0.72727272727272729</v>
      </c>
      <c r="AZ1179" s="53"/>
      <c r="BA1179" s="42"/>
      <c r="BB1179" s="42"/>
      <c r="BC1179" s="30"/>
      <c r="BD1179" s="30"/>
      <c r="BE1179" s="30"/>
      <c r="BF1179" s="30"/>
      <c r="BG1179" s="30"/>
      <c r="BH1179" s="30"/>
      <c r="BI1179" s="30"/>
      <c r="BJ1179" s="30"/>
      <c r="BK1179" s="30"/>
      <c r="BL1179" s="30"/>
      <c r="BM1179" s="30"/>
      <c r="BN1179" s="30"/>
      <c r="BO1179" s="30"/>
      <c r="BP1179" s="30"/>
      <c r="BQ1179" s="30"/>
      <c r="BR1179" s="30"/>
      <c r="BS1179" s="30"/>
      <c r="BT1179" s="30"/>
      <c r="BU1179" s="30"/>
      <c r="BV1179" s="30"/>
      <c r="BW1179" s="30"/>
      <c r="BX1179" s="30"/>
      <c r="BY1179" s="30"/>
      <c r="BZ1179" s="30"/>
      <c r="CA1179" s="30"/>
      <c r="CB1179" s="30"/>
      <c r="CC1179" s="30"/>
      <c r="CD1179" s="30"/>
      <c r="CE1179" s="30"/>
      <c r="CF1179" s="30"/>
      <c r="CG1179" s="30"/>
      <c r="CH1179" s="30"/>
      <c r="CI1179" s="30"/>
      <c r="CJ1179" s="30"/>
      <c r="CK1179" s="30"/>
      <c r="CL1179" s="30"/>
      <c r="CM1179" s="30"/>
      <c r="CN1179" s="30"/>
      <c r="CO1179" s="30"/>
      <c r="CP1179" s="30"/>
      <c r="CQ1179" s="30"/>
      <c r="CR1179" s="1"/>
      <c r="CS1179" s="1"/>
      <c r="CT1179" s="1"/>
      <c r="CU1179" s="1"/>
    </row>
    <row r="1180" spans="1:99" s="13" customFormat="1" ht="12" customHeight="1" x14ac:dyDescent="0.2">
      <c r="A1180" s="68">
        <v>43897</v>
      </c>
      <c r="B1180" s="70"/>
      <c r="C1180" s="70"/>
      <c r="D1180" s="69"/>
      <c r="E1180" s="87"/>
      <c r="F1180" s="69"/>
      <c r="G1180" s="69"/>
      <c r="H1180" s="69"/>
      <c r="I1180" s="69"/>
      <c r="J1180" s="69"/>
      <c r="K1180" s="107"/>
      <c r="L1180" s="107"/>
      <c r="M1180" s="69"/>
      <c r="N1180" s="86"/>
      <c r="O1180" s="69"/>
      <c r="P1180" s="69"/>
      <c r="Q1180" s="69"/>
      <c r="R1180" s="69"/>
      <c r="S1180" s="69"/>
      <c r="T1180" s="92"/>
      <c r="U1180" s="69"/>
      <c r="V1180" s="92"/>
      <c r="W1180" s="69"/>
      <c r="X1180" s="69"/>
      <c r="Y1180" s="87"/>
      <c r="Z1180" s="92"/>
      <c r="AA1180" s="92"/>
      <c r="AB1180" s="69"/>
      <c r="AC1180" s="72"/>
      <c r="AD1180" s="69"/>
      <c r="AE1180" s="69"/>
      <c r="AF1180" s="88"/>
      <c r="AG1180" s="72"/>
      <c r="AH1180" s="4"/>
      <c r="AI1180" s="72"/>
      <c r="AJ1180" s="110"/>
      <c r="AK1180" s="72"/>
      <c r="AL1180" s="72"/>
      <c r="AM1180" s="72"/>
      <c r="AN1180" s="72"/>
      <c r="AO1180" s="89"/>
      <c r="AP1180" s="89"/>
      <c r="AQ1180" s="90"/>
      <c r="AR1180" s="117"/>
      <c r="AS1180" s="91"/>
      <c r="AT1180" s="91"/>
      <c r="AU1180" s="3"/>
      <c r="AV1180" s="71">
        <f>60*60*24*365*3</f>
        <v>94608000</v>
      </c>
      <c r="AW1180" s="71">
        <f>60*60*24*365*13</f>
        <v>409968000</v>
      </c>
      <c r="AX1180" s="71">
        <f>60*60*24*365*23</f>
        <v>725328000</v>
      </c>
      <c r="AY1180" s="71">
        <f>60*60*24*365*33</f>
        <v>1040688000</v>
      </c>
      <c r="AZ1180" s="71">
        <f>60*60*24*365*43</f>
        <v>1356048000</v>
      </c>
      <c r="BA1180" s="42"/>
      <c r="BB1180" s="42"/>
      <c r="BC1180" s="42"/>
      <c r="BD1180" s="42"/>
      <c r="BE1180" s="42"/>
      <c r="BF1180" s="42"/>
      <c r="BG1180" s="42"/>
      <c r="BH1180" s="30"/>
      <c r="BI1180" s="30"/>
      <c r="BJ1180" s="30"/>
      <c r="BK1180" s="30"/>
      <c r="BL1180" s="30"/>
      <c r="BM1180" s="30"/>
      <c r="BN1180" s="30"/>
      <c r="BO1180" s="30"/>
      <c r="BP1180" s="30"/>
      <c r="BQ1180" s="30"/>
      <c r="BR1180" s="30"/>
      <c r="BS1180" s="30"/>
      <c r="BT1180" s="30"/>
      <c r="BU1180" s="30"/>
      <c r="BV1180" s="30"/>
      <c r="BW1180" s="30"/>
      <c r="BX1180" s="30"/>
      <c r="BY1180" s="30"/>
      <c r="BZ1180" s="30"/>
      <c r="CA1180" s="30"/>
      <c r="CB1180" s="30"/>
      <c r="CC1180" s="30"/>
      <c r="CD1180" s="30"/>
      <c r="CE1180" s="30"/>
      <c r="CF1180" s="30"/>
      <c r="CG1180" s="30"/>
      <c r="CH1180" s="30"/>
      <c r="CI1180" s="30"/>
      <c r="CJ1180" s="30"/>
      <c r="CK1180" s="30"/>
      <c r="CL1180" s="30"/>
      <c r="CM1180" s="30"/>
      <c r="CN1180" s="30"/>
      <c r="CO1180" s="30"/>
      <c r="CP1180" s="30"/>
      <c r="CQ1180" s="30"/>
      <c r="CR1180" s="1"/>
      <c r="CS1180" s="1"/>
      <c r="CT1180" s="1"/>
      <c r="CU1180" s="1"/>
    </row>
    <row r="1181" spans="1:99" s="13" customFormat="1" ht="12" customHeight="1" x14ac:dyDescent="0.2">
      <c r="A1181" s="68">
        <v>43897</v>
      </c>
      <c r="B1181" s="70" t="s">
        <v>407</v>
      </c>
      <c r="C1181" s="70" t="s">
        <v>408</v>
      </c>
      <c r="D1181" s="69">
        <v>1988</v>
      </c>
      <c r="E1181" s="87">
        <v>1</v>
      </c>
      <c r="F1181" s="69">
        <v>14</v>
      </c>
      <c r="G1181" s="69">
        <v>14</v>
      </c>
      <c r="H1181" s="69" t="s">
        <v>50</v>
      </c>
      <c r="I1181" s="69" t="s">
        <v>330</v>
      </c>
      <c r="J1181" s="69" t="s">
        <v>342</v>
      </c>
      <c r="K1181" s="69">
        <f>IF(J1181="syllables",1,IF(J1181="trigrams",2,IF(J1181="strings",3,IF(J1181="visual array",4,IF(J1181="characters",5,IF(J1181="letters",6,IF(J1181="free forms",7,IF(J1181="odors",8,IF(J1181="words",9,IF(J1181="pictures",10,IF(J1181="object pictures",11,IF(J1181="faces",12,IF(J1181="names",13,IF(J1181="idioms",14,IF(J1181="grades",15,IF(J1181="syllable-digit pairs",16,IF(J1181="trigram-word pairs",17,IF(J1181="word-digit pairs",18,IF(J1181="English-Swahili pairs",19,IF(J1181="spatial position",20,IF(J1181="word pairs",21,IF(J1181="word triads",22,IF(J1181="generated words",23,IF(J1181="word definition pairs",24,IF(J1181="math problems",25,IF(J1181="famous faces",26,IF(J1181="famous names",27,IF(J1181="famous voices",28,IF(J1181="television programs",29,IF(J1181="race horses",30,IF(J1181="new vocabulary",31,IF(J1181="sentences",32,IF(J1181="concepts",33,IF(J1181="ad slides",34,IF(J1181="scenes",35,IF(J1181="famous scenes",36,IF(J1181="poems",37,IF(J1181="walk",38,IF(J1181="faces and events",39,IF(J1181="events and names",40,IF(J1181="flashbulb",41,IF(J1181="stories",42,IF(J1181="course material",43,IF(J1181="autobiographical",44,IF(J1181="novels",45,IF(J1181="public events",46,"99"))))))))))))))))))))))))))))))))))))))))))))))</f>
        <v>26</v>
      </c>
      <c r="L1181" s="69">
        <f>IF(J1181="syllables",1,IF(J1181="trigrams",1,IF(J1181="strings",1,IF(J1181="visual array",1,IF(J1181="characters",1,IF(J1181="letters",1,IF(J1181="free forms",1,IF(J1181="odors",2,IF(J1181="words",2,IF(J1181="pictures",2,IF(J1181="object pictures",2,IF(J1181="faces",2,IF(J1181="names",2,IF(J1181="idioms","2",IF(J1181="grades",2,IF(J1181="syllable-digit pairs",3,IF(J1181="trigram-word pairs",3,IF(J1181="word-digit pairs",3,IF(J1181="English-Swahili pairs",3,IF(J1181="spatial position",3,IF(J1181="word pairs",4,IF(J1181="word triads",4,IF(J1181="generated words",4,IF(J1181="word definition pairs",4,IF(J1181="math problems",4,IF(J1181="famous faces",4,IF(J1181="famous names",4,IF(J1181="famous voices",4,IF(J1181="television programs",4,IF(J1181="race horses",4,IF(J1181="new vocabulary",4,IF(J1181="sentences",5,IF(J1181="concepts",5,IF(J1181="ad slides",5,IF(J1181="scenes",5,IF(J1181="famous scenes",5,IF(J1181="poems",6,IF(J1181="walk",6,IF(J1181="faces and events",6,IF(J1181="events and names",6,IF(J1181="flashbulb",7,IF(J1181="stories",7,IF(J1181="course material",7,IF(J1181="autobiographical",7,IF(J1181="novels",7,IF(J1181="public events",7,"99"))))))))))))))))))))))))))))))))))))))))))))))</f>
        <v>4</v>
      </c>
      <c r="M1181" s="69">
        <v>1</v>
      </c>
      <c r="N1181" s="86">
        <v>4</v>
      </c>
      <c r="O1181" s="69">
        <v>0</v>
      </c>
      <c r="P1181" s="69"/>
      <c r="Q1181" s="69" t="s">
        <v>174</v>
      </c>
      <c r="R1181" s="69">
        <f>IF(Q1181="Free Recall",1,IF(Q1181="Cued Recall",2,IF(Q1181="Recognition",3,IF(Q1181="Multiple Choice",4,IF(Q1181="Savings",5,IF(Q1181="Stem Completion",6,IF(Q1181="Fragment Completion",7,IF(Q1181="anagram solution",8,IF(Q1181="Matching",9,IF(Q1181="Problem Solving",10,"99"))))))))))</f>
        <v>1</v>
      </c>
      <c r="S1181" s="69" t="s">
        <v>49</v>
      </c>
      <c r="T1181" s="92" t="s">
        <v>581</v>
      </c>
      <c r="U1181" s="69">
        <f>IF(T1181="within",1,0)</f>
        <v>1</v>
      </c>
      <c r="V1181" s="92">
        <v>68</v>
      </c>
      <c r="W1181" s="69">
        <f>F1181*V1181</f>
        <v>952</v>
      </c>
      <c r="X1181" s="69">
        <v>5</v>
      </c>
      <c r="Y1181" s="87">
        <f>AV1180</f>
        <v>94608000</v>
      </c>
      <c r="Z1181" s="69" t="s">
        <v>426</v>
      </c>
      <c r="AA1181" s="69">
        <f>43*365*24*60*60</f>
        <v>1356048000</v>
      </c>
      <c r="AB1181" s="69" t="str">
        <f>IF(AA1181&lt;60,"1",IF(AA1181&lt;=43200,"2",IF(AA1181&lt;=777600,"3","4")))</f>
        <v>4</v>
      </c>
      <c r="AC1181" s="72">
        <f>AVERAGE(AV1180:DA1180)</f>
        <v>725328000</v>
      </c>
      <c r="AD1181" s="69" t="str">
        <f>IF(AC1181&lt;60,"1",IF(AC1181&lt;=43200,"2",IF(AC1181&lt;=777600,"3","4")))</f>
        <v>4</v>
      </c>
      <c r="AE1181" s="87">
        <f>AA1181-Y1181</f>
        <v>1261440000</v>
      </c>
      <c r="AF1181" s="88">
        <f>AV1181</f>
        <v>0.72</v>
      </c>
      <c r="AG1181" s="72">
        <f>((AW1181-AV1181)+(AX1181-AW1181)+(AY1181-AX1181)+(AZ1181-AY1181))/4</f>
        <v>5.0000000000000044E-3</v>
      </c>
      <c r="AH1181" s="4"/>
      <c r="AI1181" s="72">
        <f>RSQ(AV1181:AZ1181,AV1180:AZ1180)</f>
        <v>4.0909090909090978E-2</v>
      </c>
      <c r="AJ1181" s="110">
        <f>SLOPE(AV1181:AZ1181,AV1180:AZ1180)</f>
        <v>1.9025875190258767E-11</v>
      </c>
      <c r="AK1181" s="72">
        <f>INTERCEPT(AV1181:AZ1181,AV1180:AZ1180)</f>
        <v>0.68619999999999992</v>
      </c>
      <c r="AL1181" s="72">
        <f>INDEX(LINEST(LN(AV1181:AZ1181),LN(AV1180:AZ1180),TRUE,TRUE),3,1)</f>
        <v>2.7730833518182156E-3</v>
      </c>
      <c r="AM1181" s="72">
        <f>INDEX(LINEST(LN(AV1181:AZ1181),LN(AV1180:AZ1180)),1)</f>
        <v>-3.4675716922137204E-3</v>
      </c>
      <c r="AN1181" s="72">
        <f>EXP(INDEX(LINEST(LN(AV1181:AZ1181),LN(AV1180:AZ1180)),1,2))</f>
        <v>0.7490549646571607</v>
      </c>
      <c r="AO1181" s="89">
        <f>INDEX(LINEST((AV1181:AZ1181),LN(AV1180:AZ1180),TRUE,TRUE),3,1)</f>
        <v>1.8316749672034199E-3</v>
      </c>
      <c r="AP1181" s="89">
        <f>INDEX(LINEST((AV1181:AZ1181),LN(AV1180:AZ1180)),1)</f>
        <v>-1.8987492234235201E-3</v>
      </c>
      <c r="AQ1181" s="90">
        <f>INDEX(LINEST(LN(AV1181:AZ1181),SQRT(AV1180:AZ1180),TRUE,TRUE),3,1)</f>
        <v>4.5089278564918256E-3</v>
      </c>
      <c r="AR1181" s="117">
        <f>INDEX(LINEST(LN(AV1181:AZ1181),SQRT((AV1180:AZ1180))),1)</f>
        <v>4.397930133261823E-7</v>
      </c>
      <c r="AS1181" s="91">
        <f>INDEX(LINEST(1/(AV1181:AZ1181),1/(SQRT(AV1180:AZ1180)),TRUE,TRUE),3,1)</f>
        <v>2.2749414481129292E-2</v>
      </c>
      <c r="AT1181" s="91">
        <f>INDEX(LINEST(1/(AV1181:AZ1181),1/SQRT(AV1180:AZ1180)),1)</f>
        <v>-504.577581638374</v>
      </c>
      <c r="AU1181" s="3"/>
      <c r="AV1181" s="73">
        <v>0.72</v>
      </c>
      <c r="AW1181" s="73">
        <v>0.7</v>
      </c>
      <c r="AX1181" s="73">
        <v>0.62</v>
      </c>
      <c r="AY1181" s="73">
        <v>0.72</v>
      </c>
      <c r="AZ1181" s="73">
        <v>0.74</v>
      </c>
      <c r="BA1181" s="42"/>
      <c r="BB1181" s="42"/>
      <c r="BC1181" s="42"/>
      <c r="BD1181" s="42"/>
      <c r="BE1181" s="42"/>
      <c r="BF1181" s="42"/>
      <c r="BG1181" s="42"/>
      <c r="BH1181" s="30"/>
      <c r="BI1181" s="30"/>
      <c r="BJ1181" s="30"/>
      <c r="BK1181" s="30"/>
      <c r="BL1181" s="30"/>
      <c r="BM1181" s="30"/>
      <c r="BN1181" s="30"/>
      <c r="BO1181" s="30"/>
      <c r="BP1181" s="30"/>
      <c r="BQ1181" s="30"/>
      <c r="BR1181" s="30"/>
      <c r="BS1181" s="30"/>
      <c r="BT1181" s="30"/>
      <c r="BU1181" s="30"/>
      <c r="BV1181" s="30"/>
      <c r="BW1181" s="30"/>
      <c r="BX1181" s="30"/>
      <c r="BY1181" s="30"/>
      <c r="BZ1181" s="30"/>
      <c r="CA1181" s="30"/>
      <c r="CB1181" s="30"/>
      <c r="CC1181" s="30"/>
      <c r="CD1181" s="30"/>
      <c r="CE1181" s="30"/>
      <c r="CF1181" s="30"/>
      <c r="CG1181" s="30"/>
      <c r="CH1181" s="30"/>
      <c r="CI1181" s="30"/>
      <c r="CJ1181" s="30"/>
      <c r="CK1181" s="30"/>
      <c r="CL1181" s="30"/>
      <c r="CM1181" s="30"/>
      <c r="CN1181" s="30"/>
      <c r="CO1181" s="30"/>
      <c r="CP1181" s="30"/>
      <c r="CQ1181" s="30"/>
      <c r="CR1181" s="1"/>
      <c r="CS1181" s="1"/>
      <c r="CT1181" s="1"/>
      <c r="CU1181" s="1"/>
    </row>
    <row r="1182" spans="1:99" s="13" customFormat="1" ht="12" customHeight="1" x14ac:dyDescent="0.2">
      <c r="A1182" s="68">
        <v>43897</v>
      </c>
      <c r="B1182" s="70"/>
      <c r="C1182" s="70"/>
      <c r="D1182" s="69"/>
      <c r="E1182" s="87"/>
      <c r="F1182" s="69"/>
      <c r="G1182" s="69"/>
      <c r="H1182" s="69"/>
      <c r="I1182" s="69"/>
      <c r="J1182" s="69"/>
      <c r="K1182" s="107"/>
      <c r="L1182" s="107"/>
      <c r="M1182" s="69"/>
      <c r="N1182" s="86"/>
      <c r="O1182" s="69"/>
      <c r="P1182" s="69"/>
      <c r="Q1182" s="69"/>
      <c r="R1182" s="69"/>
      <c r="S1182" s="69"/>
      <c r="T1182" s="69"/>
      <c r="U1182" s="69"/>
      <c r="V1182" s="69"/>
      <c r="W1182" s="69"/>
      <c r="X1182" s="69"/>
      <c r="Y1182" s="87"/>
      <c r="Z1182" s="92"/>
      <c r="AA1182" s="92"/>
      <c r="AB1182" s="69"/>
      <c r="AC1182" s="72"/>
      <c r="AD1182" s="69"/>
      <c r="AE1182" s="69"/>
      <c r="AF1182" s="88"/>
      <c r="AG1182" s="72"/>
      <c r="AH1182" s="4"/>
      <c r="AI1182" s="72"/>
      <c r="AJ1182" s="110"/>
      <c r="AK1182" s="72"/>
      <c r="AL1182" s="72"/>
      <c r="AM1182" s="72"/>
      <c r="AN1182" s="72"/>
      <c r="AO1182" s="89"/>
      <c r="AP1182" s="89"/>
      <c r="AQ1182" s="90"/>
      <c r="AR1182" s="117"/>
      <c r="AS1182" s="91"/>
      <c r="AT1182" s="91"/>
      <c r="AU1182" s="3"/>
      <c r="AV1182" s="71">
        <f>60*60*24*365*3</f>
        <v>94608000</v>
      </c>
      <c r="AW1182" s="71">
        <f>60*60*24*365*13</f>
        <v>409968000</v>
      </c>
      <c r="AX1182" s="71">
        <f>60*60*24*365*23</f>
        <v>725328000</v>
      </c>
      <c r="AY1182" s="71">
        <f>60*60*24*365*33</f>
        <v>1040688000</v>
      </c>
      <c r="AZ1182" s="71">
        <f>60*60*24*365*43</f>
        <v>1356048000</v>
      </c>
      <c r="BA1182" s="42"/>
      <c r="BB1182" s="42"/>
      <c r="BC1182" s="30"/>
      <c r="BD1182" s="30"/>
      <c r="BE1182" s="30"/>
      <c r="BF1182" s="30"/>
      <c r="BG1182" s="30"/>
      <c r="BH1182" s="30"/>
      <c r="BI1182" s="30"/>
      <c r="BJ1182" s="30"/>
      <c r="BK1182" s="30"/>
      <c r="BL1182" s="30"/>
      <c r="BM1182" s="30"/>
      <c r="BN1182" s="30"/>
      <c r="BO1182" s="30"/>
      <c r="BP1182" s="30"/>
      <c r="BQ1182" s="30"/>
      <c r="BR1182" s="30"/>
      <c r="BS1182" s="30"/>
      <c r="BT1182" s="30"/>
      <c r="BU1182" s="30"/>
      <c r="BV1182" s="30"/>
      <c r="BW1182" s="30"/>
      <c r="BX1182" s="30"/>
      <c r="BY1182" s="30"/>
      <c r="BZ1182" s="30"/>
      <c r="CA1182" s="30"/>
      <c r="CB1182" s="30"/>
      <c r="CC1182" s="30"/>
      <c r="CD1182" s="30"/>
      <c r="CE1182" s="30"/>
      <c r="CF1182" s="30"/>
      <c r="CG1182" s="30"/>
      <c r="CH1182" s="30"/>
      <c r="CI1182" s="30"/>
      <c r="CJ1182" s="30"/>
      <c r="CK1182" s="30"/>
      <c r="CL1182" s="30"/>
      <c r="CM1182" s="30"/>
      <c r="CN1182" s="30"/>
      <c r="CO1182" s="30"/>
      <c r="CP1182" s="30"/>
      <c r="CQ1182" s="30"/>
      <c r="CR1182" s="1"/>
      <c r="CS1182" s="1"/>
      <c r="CT1182" s="1"/>
      <c r="CU1182" s="1"/>
    </row>
    <row r="1183" spans="1:99" s="13" customFormat="1" ht="12" customHeight="1" x14ac:dyDescent="0.2">
      <c r="A1183" s="68">
        <v>43897</v>
      </c>
      <c r="B1183" s="70" t="s">
        <v>407</v>
      </c>
      <c r="C1183" s="70" t="s">
        <v>408</v>
      </c>
      <c r="D1183" s="69">
        <v>1988</v>
      </c>
      <c r="E1183" s="87">
        <v>1</v>
      </c>
      <c r="F1183" s="69">
        <v>14</v>
      </c>
      <c r="G1183" s="69">
        <v>14</v>
      </c>
      <c r="H1183" s="69" t="s">
        <v>41</v>
      </c>
      <c r="I1183" s="69" t="s">
        <v>330</v>
      </c>
      <c r="J1183" s="69" t="s">
        <v>403</v>
      </c>
      <c r="K1183" s="69">
        <f>IF(J1183="syllables",1,IF(J1183="trigrams",2,IF(J1183="strings",3,IF(J1183="visual array",4,IF(J1183="characters",5,IF(J1183="letters",6,IF(J1183="free forms",7,IF(J1183="odors",8,IF(J1183="words",9,IF(J1183="pictures",10,IF(J1183="object pictures",11,IF(J1183="faces",12,IF(J1183="names",13,IF(J1183="idioms",14,IF(J1183="grades",15,IF(J1183="syllable-digit pairs",16,IF(J1183="trigram-word pairs",17,IF(J1183="word-digit pairs",18,IF(J1183="English-Swahili pairs",19,IF(J1183="spatial position",20,IF(J1183="word pairs",21,IF(J1183="word triads",22,IF(J1183="generated words",23,IF(J1183="word definition pairs",24,IF(J1183="math problems",25,IF(J1183="famous faces",26,IF(J1183="famous names",27,IF(J1183="famous voices",28,IF(J1183="television programs",29,IF(J1183="race horses",30,IF(J1183="new vocabulary",31,IF(J1183="sentences",32,IF(J1183="concepts",33,IF(J1183="ad slides",34,IF(J1183="scenes",35,IF(J1183="famous scenes",36,IF(J1183="poems",37,IF(J1183="walk",38,IF(J1183="faces and events",39,IF(J1183="events and names",40,IF(J1183="flashbulb",41,IF(J1183="stories",42,IF(J1183="course material",43,IF(J1183="autobiographical",44,IF(J1183="novels",45,IF(J1183="public events",46,"99"))))))))))))))))))))))))))))))))))))))))))))))</f>
        <v>40</v>
      </c>
      <c r="L1183" s="69">
        <f>IF(J1183="syllables",1,IF(J1183="trigrams",1,IF(J1183="strings",1,IF(J1183="visual array",1,IF(J1183="characters",1,IF(J1183="letters",1,IF(J1183="free forms",1,IF(J1183="odors",2,IF(J1183="words",2,IF(J1183="pictures",2,IF(J1183="object pictures",2,IF(J1183="faces",2,IF(J1183="names",2,IF(J1183="idioms","2",IF(J1183="grades",2,IF(J1183="syllable-digit pairs",3,IF(J1183="trigram-word pairs",3,IF(J1183="word-digit pairs",3,IF(J1183="English-Swahili pairs",3,IF(J1183="spatial position",3,IF(J1183="word pairs",4,IF(J1183="word triads",4,IF(J1183="generated words",4,IF(J1183="word definition pairs",4,IF(J1183="math problems",4,IF(J1183="famous faces",4,IF(J1183="famous names",4,IF(J1183="famous voices",4,IF(J1183="television programs",4,IF(J1183="race horses",4,IF(J1183="new vocabulary",4,IF(J1183="sentences",5,IF(J1183="concepts",5,IF(J1183="ad slides",5,IF(J1183="scenes",5,IF(J1183="famous scenes",5,IF(J1183="poems",6,IF(J1183="walk",6,IF(J1183="faces and events",6,IF(J1183="events and names",6,IF(J1183="flashbulb",7,IF(J1183="stories",7,IF(J1183="course material",7,IF(J1183="autobiographical",7,IF(J1183="novels",7,IF(J1183="public events",7,"99"))))))))))))))))))))))))))))))))))))))))))))))</f>
        <v>6</v>
      </c>
      <c r="M1183" s="69">
        <v>1</v>
      </c>
      <c r="N1183" s="86">
        <v>3</v>
      </c>
      <c r="O1183" s="69">
        <v>0</v>
      </c>
      <c r="P1183" s="69"/>
      <c r="Q1183" s="69" t="s">
        <v>182</v>
      </c>
      <c r="R1183" s="69">
        <f>IF(Q1183="Free Recall",1,IF(Q1183="Cued Recall",2,IF(Q1183="Recognition",3,IF(Q1183="Multiple Choice",4,IF(Q1183="Savings",5,IF(Q1183="Stem Completion",6,IF(Q1183="Fragment Completion",7,IF(Q1183="anagram solution",8,IF(Q1183="Matching",9,IF(Q1183="Problem Solving",10,"99"))))))))))</f>
        <v>4</v>
      </c>
      <c r="S1183" s="69" t="s">
        <v>15</v>
      </c>
      <c r="T1183" s="92" t="s">
        <v>581</v>
      </c>
      <c r="U1183" s="69">
        <f>IF(T1183="within",1,0)</f>
        <v>1</v>
      </c>
      <c r="V1183" s="92">
        <v>68</v>
      </c>
      <c r="W1183" s="69">
        <f>F1183*V1183</f>
        <v>952</v>
      </c>
      <c r="X1183" s="69">
        <v>5</v>
      </c>
      <c r="Y1183" s="87">
        <f>AV1182</f>
        <v>94608000</v>
      </c>
      <c r="Z1183" s="69" t="s">
        <v>426</v>
      </c>
      <c r="AA1183" s="69">
        <f>43*365*24*60*60</f>
        <v>1356048000</v>
      </c>
      <c r="AB1183" s="69" t="str">
        <f>IF(AA1183&lt;60,"1",IF(AA1183&lt;=43200,"2",IF(AA1183&lt;=777600,"3","4")))</f>
        <v>4</v>
      </c>
      <c r="AC1183" s="72">
        <f>AVERAGE(AV1182:DA1182)</f>
        <v>725328000</v>
      </c>
      <c r="AD1183" s="69" t="str">
        <f>IF(AC1183&lt;60,"1",IF(AC1183&lt;=43200,"2",IF(AC1183&lt;=777600,"3","4")))</f>
        <v>4</v>
      </c>
      <c r="AE1183" s="87">
        <f>AA1183-Y1183</f>
        <v>1261440000</v>
      </c>
      <c r="AF1183" s="88">
        <f>AV1183</f>
        <v>0.9</v>
      </c>
      <c r="AG1183" s="72">
        <f>((AW1183-AV1183)+(AX1183-AW1183)+(AY1183-AX1183)+(AZ1183-AY1183))/4</f>
        <v>-1.2500000000000011E-2</v>
      </c>
      <c r="AH1183" s="4"/>
      <c r="AI1183" s="72">
        <f>RSQ(AV1183:AZ1183,AV1182:AZ1182)</f>
        <v>0.34349593495934944</v>
      </c>
      <c r="AJ1183" s="110">
        <f>SLOPE(AV1183:AZ1183,AV1182:AZ1182)</f>
        <v>-4.1222729578893963E-11</v>
      </c>
      <c r="AK1183" s="72">
        <f>INTERCEPT(AV1183:AZ1183,AV1182:AZ1182)</f>
        <v>0.87390000000000001</v>
      </c>
      <c r="AL1183" s="72">
        <f>INDEX(LINEST(LN(AV1183:AZ1183),LN(AV1182:AZ1182),TRUE,TRUE),3,1)</f>
        <v>0.64910592755467567</v>
      </c>
      <c r="AM1183" s="72">
        <f>INDEX(LINEST(LN(AV1183:AZ1183),LN(AV1182:AZ1182)),1)</f>
        <v>-3.1236248514872122E-2</v>
      </c>
      <c r="AN1183" s="72">
        <f>EXP(INDEX(LINEST(LN(AV1183:AZ1183),LN(AV1182:AZ1182)),1,2))</f>
        <v>1.579139722090604</v>
      </c>
      <c r="AO1183" s="89">
        <f>INDEX(LINEST((AV1183:AZ1183),LN(AV1182:AZ1182),TRUE,TRUE),3,1)</f>
        <v>0.6579532405321149</v>
      </c>
      <c r="AP1183" s="89">
        <f>INDEX(LINEST((AV1183:AZ1183),LN(AV1182:AZ1182)),1)</f>
        <v>-2.6908044337405998E-2</v>
      </c>
      <c r="AQ1183" s="90">
        <f>INDEX(LINEST(LN(AV1183:AZ1183),SQRT(AV1182:AZ1182),TRUE,TRUE),3,1)</f>
        <v>0.49686159470600788</v>
      </c>
      <c r="AR1183" s="117">
        <f>INDEX(LINEST(LN(AV1183:AZ1183),SQRT((AV1182:AZ1182))),1)</f>
        <v>-2.7182318174949813E-6</v>
      </c>
      <c r="AS1183" s="91">
        <f>INDEX(LINEST(1/(AV1183:AZ1183),1/(SQRT(AV1182:AZ1182)),TRUE,TRUE),3,1)</f>
        <v>0.73487030155999311</v>
      </c>
      <c r="AT1183" s="91">
        <f>INDEX(LINEST(1/(AV1183:AZ1183),1/SQRT(AV1182:AZ1182)),1)</f>
        <v>-1327.4945204555379</v>
      </c>
      <c r="AU1183" s="3"/>
      <c r="AV1183" s="73">
        <v>0.9</v>
      </c>
      <c r="AW1183" s="73">
        <v>0.84</v>
      </c>
      <c r="AX1183" s="73">
        <v>0.82</v>
      </c>
      <c r="AY1183" s="73">
        <v>0.81</v>
      </c>
      <c r="AZ1183" s="73">
        <v>0.85</v>
      </c>
      <c r="BA1183" s="42"/>
      <c r="BB1183" s="42"/>
      <c r="BC1183" s="30"/>
      <c r="BD1183" s="30"/>
      <c r="BE1183" s="30"/>
      <c r="BF1183" s="30"/>
      <c r="BG1183" s="30"/>
      <c r="BH1183" s="30"/>
      <c r="BI1183" s="30"/>
      <c r="BJ1183" s="30"/>
      <c r="BK1183" s="30"/>
      <c r="BL1183" s="30"/>
      <c r="BM1183" s="30"/>
      <c r="BN1183" s="30"/>
      <c r="BO1183" s="30"/>
      <c r="BP1183" s="30"/>
      <c r="BQ1183" s="30"/>
      <c r="BR1183" s="30"/>
      <c r="BS1183" s="30"/>
      <c r="BT1183" s="30"/>
      <c r="BU1183" s="30"/>
      <c r="BV1183" s="30"/>
      <c r="BW1183" s="30"/>
      <c r="BX1183" s="30"/>
      <c r="BY1183" s="30"/>
      <c r="BZ1183" s="30"/>
      <c r="CA1183" s="30"/>
      <c r="CB1183" s="30"/>
      <c r="CC1183" s="30"/>
      <c r="CD1183" s="30"/>
      <c r="CE1183" s="30"/>
      <c r="CF1183" s="30"/>
      <c r="CG1183" s="30"/>
      <c r="CH1183" s="30"/>
      <c r="CI1183" s="30"/>
      <c r="CJ1183" s="30"/>
      <c r="CK1183" s="30"/>
      <c r="CL1183" s="30"/>
      <c r="CM1183" s="30"/>
      <c r="CN1183" s="30"/>
      <c r="CO1183" s="30"/>
      <c r="CP1183" s="30"/>
      <c r="CQ1183" s="30"/>
      <c r="CR1183" s="1"/>
      <c r="CS1183" s="1"/>
      <c r="CT1183" s="1"/>
      <c r="CU1183" s="1"/>
    </row>
    <row r="1184" spans="1:99" s="13" customFormat="1" ht="12" customHeight="1" x14ac:dyDescent="0.2">
      <c r="A1184" s="65">
        <v>43509</v>
      </c>
      <c r="B1184" s="1"/>
      <c r="C1184" s="1"/>
      <c r="D1184" s="60"/>
      <c r="E1184" s="76"/>
      <c r="F1184" s="60"/>
      <c r="G1184" s="60"/>
      <c r="H1184" s="60"/>
      <c r="I1184" s="60"/>
      <c r="J1184" s="60"/>
      <c r="K1184" s="64"/>
      <c r="L1184" s="64"/>
      <c r="M1184" s="60"/>
      <c r="N1184" s="60"/>
      <c r="O1184" s="60"/>
      <c r="P1184" s="60"/>
      <c r="Q1184" s="60"/>
      <c r="R1184" s="60"/>
      <c r="S1184" s="60"/>
      <c r="T1184" s="60"/>
      <c r="U1184" s="60"/>
      <c r="V1184" s="60"/>
      <c r="W1184" s="60"/>
      <c r="X1184" s="60"/>
      <c r="Y1184" s="76"/>
      <c r="Z1184" s="60"/>
      <c r="AA1184" s="60"/>
      <c r="AB1184" s="60"/>
      <c r="AC1184" s="60"/>
      <c r="AD1184" s="60"/>
      <c r="AE1184" s="60"/>
      <c r="AF1184" s="80"/>
      <c r="AG1184" s="56"/>
      <c r="AH1184" s="4"/>
      <c r="AI1184" s="56"/>
      <c r="AJ1184" s="109"/>
      <c r="AK1184" s="56"/>
      <c r="AL1184" s="56"/>
      <c r="AM1184" s="56"/>
      <c r="AN1184" s="56"/>
      <c r="AO1184" s="56"/>
      <c r="AP1184" s="56"/>
      <c r="AQ1184" s="56"/>
      <c r="AR1184" s="109"/>
      <c r="AS1184" s="56"/>
      <c r="AT1184" s="56"/>
      <c r="AU1184" s="4"/>
      <c r="AV1184" s="25">
        <v>90</v>
      </c>
      <c r="AW1184" s="25">
        <f>14*24*60*60</f>
        <v>1209600</v>
      </c>
      <c r="AX1184" s="25">
        <f>61*24*60*60</f>
        <v>5270400</v>
      </c>
      <c r="AZ1184" s="53" t="s">
        <v>529</v>
      </c>
      <c r="BA1184" s="42"/>
      <c r="BB1184" s="42"/>
      <c r="BC1184" s="2"/>
      <c r="BD1184" s="2"/>
      <c r="BE1184" s="2"/>
      <c r="BF1184" s="2"/>
      <c r="BG1184" s="2"/>
      <c r="BH1184" s="2"/>
      <c r="BI1184" s="2"/>
      <c r="BJ1184" s="2"/>
      <c r="BK1184" s="2"/>
      <c r="BL1184" s="2"/>
      <c r="BM1184" s="2"/>
      <c r="BN1184" s="2"/>
      <c r="BO1184" s="2"/>
      <c r="BP1184" s="2"/>
      <c r="BQ1184" s="2"/>
      <c r="BR1184" s="2"/>
      <c r="BS1184" s="2"/>
      <c r="BT1184" s="2"/>
      <c r="BU1184" s="2"/>
      <c r="BV1184" s="2"/>
      <c r="BW1184" s="2"/>
      <c r="BX1184" s="2"/>
      <c r="BY1184" s="2"/>
      <c r="BZ1184" s="2"/>
      <c r="CA1184" s="2"/>
      <c r="CB1184" s="2"/>
      <c r="CC1184" s="2"/>
      <c r="CD1184" s="2"/>
      <c r="CE1184" s="2"/>
      <c r="CF1184" s="2"/>
      <c r="CG1184" s="2"/>
      <c r="CH1184" s="2"/>
      <c r="CI1184" s="2"/>
      <c r="CJ1184" s="2"/>
      <c r="CK1184" s="2"/>
      <c r="CL1184" s="2"/>
      <c r="CM1184" s="2"/>
      <c r="CN1184" s="2"/>
      <c r="CO1184" s="2"/>
      <c r="CP1184" s="2"/>
      <c r="CQ1184" s="2"/>
      <c r="CR1184" s="1"/>
      <c r="CS1184" s="1"/>
      <c r="CT1184" s="1"/>
      <c r="CU1184" s="1"/>
    </row>
    <row r="1185" spans="1:99" s="13" customFormat="1" ht="12" customHeight="1" x14ac:dyDescent="0.2">
      <c r="A1185" s="65">
        <v>43509</v>
      </c>
      <c r="B1185" s="22" t="s">
        <v>194</v>
      </c>
      <c r="C1185" s="1" t="s">
        <v>75</v>
      </c>
      <c r="D1185" s="60">
        <v>2002</v>
      </c>
      <c r="E1185" s="76">
        <v>1</v>
      </c>
      <c r="F1185" s="60">
        <v>60</v>
      </c>
      <c r="G1185" s="60">
        <v>20</v>
      </c>
      <c r="H1185" s="60" t="s">
        <v>22</v>
      </c>
      <c r="I1185" s="60" t="s">
        <v>807</v>
      </c>
      <c r="J1185" s="60" t="s">
        <v>16</v>
      </c>
      <c r="K1185" s="60">
        <f>IF(J1185="syllables",1,IF(J1185="trigrams",2,IF(J1185="strings",3,IF(J1185="visual array",4,IF(J1185="characters",5,IF(J1185="letters",6,IF(J1185="free forms",7,IF(J1185="odors",8,IF(J1185="words",9,IF(J1185="pictures",10,IF(J1185="object pictures",11,IF(J1185="faces",12,IF(J1185="names",13,IF(J1185="idioms",14,IF(J1185="grades",15,IF(J1185="syllable-digit pairs",16,IF(J1185="trigram-word pairs",17,IF(J1185="word-digit pairs",18,IF(J1185="English-Swahili pairs",19,IF(J1185="spatial position",20,IF(J1185="word pairs",21,IF(J1185="word triads",22,IF(J1185="generated words",23,IF(J1185="word definition pairs",24,IF(J1185="math problems",25,IF(J1185="famous faces",26,IF(J1185="famous names",27,IF(J1185="famous voices",28,IF(J1185="television programs",29,IF(J1185="race horses",30,IF(J1185="new vocabulary",31,IF(J1185="sentences",32,IF(J1185="concepts",33,IF(J1185="ad slides",34,IF(J1185="scenes",35,IF(J1185="famous scenes",36,IF(J1185="poems",37,IF(J1185="walk",38,IF(J1185="faces and events",39,IF(J1185="events and names",40,IF(J1185="flashbulb",41,IF(J1185="stories",42,IF(J1185="course material",43,IF(J1185="autobiographical",44,IF(J1185="novels",45,IF(J1185="public events",46,"99"))))))))))))))))))))))))))))))))))))))))))))))</f>
        <v>9</v>
      </c>
      <c r="L1185" s="60">
        <f>IF(J1185="syllables",1,IF(J1185="trigrams",1,IF(J1185="strings",1,IF(J1185="visual array",1,IF(J1185="characters",1,IF(J1185="letters",1,IF(J1185="free forms",1,IF(J1185="odors",2,IF(J1185="words",2,IF(J1185="pictures",2,IF(J1185="object pictures",2,IF(J1185="faces",2,IF(J1185="names",2,IF(J1185="idioms","2",IF(J1185="grades",2,IF(J1185="syllable-digit pairs",3,IF(J1185="trigram-word pairs",3,IF(J1185="word-digit pairs",3,IF(J1185="English-Swahili pairs",3,IF(J1185="spatial position",3,IF(J1185="word pairs",4,IF(J1185="word triads",4,IF(J1185="generated words",4,IF(J1185="word definition pairs",4,IF(J1185="math problems",4,IF(J1185="famous faces",4,IF(J1185="famous names",4,IF(J1185="famous voices",4,IF(J1185="television programs",4,IF(J1185="race horses",4,IF(J1185="new vocabulary",4,IF(J1185="sentences",5,IF(J1185="concepts",5,IF(J1185="ad slides",5,IF(J1185="scenes",5,IF(J1185="famous scenes",5,IF(J1185="poems",6,IF(J1185="walk",6,IF(J1185="faces and events",6,IF(J1185="events and names",6,IF(J1185="flashbulb",7,IF(J1185="stories",7,IF(J1185="course material",7,IF(J1185="autobiographical",7,IF(J1185="novels",7,IF(J1185="public events",7,"99"))))))))))))))))))))))))))))))))))))))))))))))</f>
        <v>2</v>
      </c>
      <c r="M1185" s="60">
        <v>0</v>
      </c>
      <c r="N1185" s="60">
        <v>1</v>
      </c>
      <c r="O1185" s="60">
        <v>0</v>
      </c>
      <c r="P1185" s="60"/>
      <c r="Q1185" s="60" t="s">
        <v>174</v>
      </c>
      <c r="R1185" s="60">
        <f>IF(Q1185="Free Recall",1,IF(Q1185="Cued Recall",2,IF(Q1185="Recognition",3,IF(Q1185="Multiple Choice",4,IF(Q1185="Savings",5,IF(Q1185="Stem Completion",6,IF(Q1185="Fragment Completion",7,IF(Q1185="anagram solution",8,IF(Q1185="Matching",9,IF(Q1185="Problem Solving",10,"99"))))))))))</f>
        <v>1</v>
      </c>
      <c r="S1185" s="60" t="s">
        <v>49</v>
      </c>
      <c r="T1185" s="60" t="s">
        <v>261</v>
      </c>
      <c r="U1185" s="60">
        <f>IF(T1185="within",1,0)</f>
        <v>0</v>
      </c>
      <c r="V1185" s="60">
        <v>120</v>
      </c>
      <c r="W1185" s="60">
        <f>F1185*V1185</f>
        <v>7200</v>
      </c>
      <c r="X1185" s="60">
        <v>3</v>
      </c>
      <c r="Y1185" s="76">
        <f>AV1184</f>
        <v>90</v>
      </c>
      <c r="Z1185" s="60" t="s">
        <v>193</v>
      </c>
      <c r="AA1185" s="76">
        <f>61*24*60*60</f>
        <v>5270400</v>
      </c>
      <c r="AB1185" s="60" t="str">
        <f>IF(AA1185&lt;60,"1",IF(AA1185&lt;=43200,"2",IF(AA1185&lt;=777600,"3","4")))</f>
        <v>4</v>
      </c>
      <c r="AC1185" s="56">
        <f>AVERAGE(AV1184:DA1184)</f>
        <v>2160030</v>
      </c>
      <c r="AD1185" s="60" t="str">
        <f>IF(AC1185&lt;60,"1",IF(AC1185&lt;=43200,"2",IF(AC1185&lt;=777600,"3","4")))</f>
        <v>4</v>
      </c>
      <c r="AE1185" s="76">
        <f>AA1185-Y1185</f>
        <v>5270310</v>
      </c>
      <c r="AF1185" s="80">
        <f>AV1185</f>
        <v>0.17</v>
      </c>
      <c r="AG1185" s="56">
        <f>((AW1185-AV1185)+(AX1185-AW1185))/2</f>
        <v>-6.5000000000000002E-2</v>
      </c>
      <c r="AH1185" s="4"/>
      <c r="AI1185" s="56">
        <f>RSQ(AV1185:AX1185,AV1184:AX1184)</f>
        <v>0.67729594446361285</v>
      </c>
      <c r="AJ1185" s="109">
        <f>SLOPE(AV1185:AX1185,AV1184:AX1184)</f>
        <v>-2.0291536583229567E-8</v>
      </c>
      <c r="AK1185" s="56">
        <f>INTERCEPT(AV1185:AX1185,AV1184:AX1184)</f>
        <v>0.13716366109920669</v>
      </c>
      <c r="AL1185" s="56">
        <f>INDEX(LINEST(LN(AV1185:AX1185),LN(AV1184:AX1184),TRUE,TRUE),3,1)</f>
        <v>0.92897436632640218</v>
      </c>
      <c r="AM1185" s="56">
        <f>INDEX(LINEST(LN(AV1185:AX1185),LN(AV1184:AX1184)),1)</f>
        <v>-0.11801571386628593</v>
      </c>
      <c r="AN1185" s="56">
        <f>EXP(INDEX(LINEST(LN(AV1185:AX1185),LN(AV1184:AX1184)),1,2))</f>
        <v>0.29725072268293973</v>
      </c>
      <c r="AO1185" s="82">
        <f>INDEX(LINEST((AV1185:AX1185),LN(AV1184:AX1184),TRUE,TRUE),3,1)</f>
        <v>0.99035379459268325</v>
      </c>
      <c r="AP1185" s="82">
        <f>INDEX(LINEST((AV1185:AX1185),LN(AV1184:AX1184)),1)</f>
        <v>-1.1368014258457543E-2</v>
      </c>
      <c r="AQ1185" s="83">
        <f>INDEX(LINEST(LN(AV1185:AX1185),SQRT(AV1184:AX1184),TRUE,TRUE),3,1)</f>
        <v>0.97565351132566225</v>
      </c>
      <c r="AR1185" s="116">
        <f>INDEX(LINEST(LN(AV1185:AX1185),SQRT((AV1184:AX1184))),1)</f>
        <v>-6.3022465824387692E-4</v>
      </c>
      <c r="AS1185" s="84">
        <f>INDEX(LINEST(1/(AV1185:AX1185),1/(SQRT(AV1184:AX1184)),TRUE,TRUE),3,1)</f>
        <v>0.69105493657012895</v>
      </c>
      <c r="AT1185" s="84">
        <f>INDEX(LINEST(1/(AV1185:AX1185),1/SQRT(AV1184:AX1184)),1)</f>
        <v>-131.72664471131583</v>
      </c>
      <c r="AU1185" s="3"/>
      <c r="AV1185" s="53">
        <v>0.17</v>
      </c>
      <c r="AW1185" s="53">
        <v>7.0000000000000007E-2</v>
      </c>
      <c r="AX1185" s="53">
        <v>0.04</v>
      </c>
      <c r="AY1185" s="53"/>
      <c r="AZ1185" s="46"/>
      <c r="BA1185" s="42"/>
      <c r="BB1185" s="42"/>
      <c r="BC1185" s="42"/>
      <c r="BD1185" s="42"/>
      <c r="BE1185" s="42"/>
      <c r="BF1185" s="42"/>
      <c r="BG1185" s="42"/>
      <c r="BH1185" s="2"/>
      <c r="BI1185" s="2"/>
      <c r="BJ1185" s="2"/>
      <c r="BK1185" s="2"/>
      <c r="BL1185" s="2"/>
      <c r="BM1185" s="2"/>
      <c r="BN1185" s="2"/>
      <c r="BO1185" s="2"/>
      <c r="BP1185" s="2"/>
      <c r="BQ1185" s="2"/>
      <c r="BR1185" s="2"/>
      <c r="BS1185" s="2"/>
      <c r="BT1185" s="2"/>
      <c r="BU1185" s="2"/>
      <c r="BV1185" s="2"/>
      <c r="BW1185" s="2"/>
      <c r="BX1185" s="2"/>
      <c r="BY1185" s="2"/>
      <c r="BZ1185" s="2"/>
      <c r="CA1185" s="2"/>
      <c r="CB1185" s="2"/>
      <c r="CC1185" s="2"/>
      <c r="CD1185" s="2"/>
      <c r="CE1185" s="2"/>
      <c r="CF1185" s="2"/>
      <c r="CG1185" s="2"/>
      <c r="CH1185" s="2"/>
      <c r="CI1185" s="2"/>
      <c r="CJ1185" s="2"/>
      <c r="CK1185" s="2"/>
      <c r="CL1185" s="2"/>
      <c r="CM1185" s="2"/>
      <c r="CN1185" s="2"/>
      <c r="CO1185" s="2"/>
      <c r="CP1185" s="2"/>
      <c r="CQ1185" s="2"/>
      <c r="CR1185" s="1"/>
      <c r="CS1185" s="1"/>
      <c r="CT1185" s="1"/>
      <c r="CU1185" s="1"/>
    </row>
    <row r="1186" spans="1:99" s="13" customFormat="1" ht="12" customHeight="1" x14ac:dyDescent="0.2">
      <c r="A1186" s="65">
        <v>43509</v>
      </c>
      <c r="B1186" s="1"/>
      <c r="C1186" s="1"/>
      <c r="D1186" s="60"/>
      <c r="E1186" s="76"/>
      <c r="F1186" s="60"/>
      <c r="G1186" s="60"/>
      <c r="H1186" s="60"/>
      <c r="I1186" s="60"/>
      <c r="J1186" s="60"/>
      <c r="K1186" s="64"/>
      <c r="L1186" s="64"/>
      <c r="M1186" s="60"/>
      <c r="N1186" s="60"/>
      <c r="O1186" s="60"/>
      <c r="P1186" s="60"/>
      <c r="Q1186" s="60"/>
      <c r="R1186" s="60"/>
      <c r="S1186" s="60"/>
      <c r="T1186" s="60"/>
      <c r="U1186" s="60"/>
      <c r="V1186" s="60"/>
      <c r="W1186" s="60"/>
      <c r="X1186" s="60"/>
      <c r="Y1186" s="76"/>
      <c r="Z1186" s="60"/>
      <c r="AA1186" s="60"/>
      <c r="AB1186" s="60"/>
      <c r="AC1186" s="60"/>
      <c r="AD1186" s="60"/>
      <c r="AE1186" s="60"/>
      <c r="AF1186" s="80"/>
      <c r="AG1186" s="56"/>
      <c r="AH1186" s="4"/>
      <c r="AI1186" s="56"/>
      <c r="AJ1186" s="109"/>
      <c r="AK1186" s="56"/>
      <c r="AL1186" s="56"/>
      <c r="AM1186" s="56"/>
      <c r="AN1186" s="56"/>
      <c r="AO1186" s="56"/>
      <c r="AP1186" s="56"/>
      <c r="AQ1186" s="82"/>
      <c r="AR1186" s="115"/>
      <c r="AS1186" s="82"/>
      <c r="AT1186" s="82"/>
      <c r="AU1186" s="4"/>
      <c r="AV1186" s="25">
        <v>90</v>
      </c>
      <c r="AW1186" s="25">
        <f>2*24*60*60</f>
        <v>172800</v>
      </c>
      <c r="AX1186" s="25">
        <f>14*24*60*60</f>
        <v>1209600</v>
      </c>
      <c r="AY1186" s="25">
        <f>61*24*60*60</f>
        <v>5270400</v>
      </c>
      <c r="AZ1186" s="46"/>
      <c r="BA1186" s="42"/>
      <c r="BB1186" s="42"/>
      <c r="BC1186" s="42"/>
      <c r="BD1186" s="42"/>
      <c r="BE1186" s="42"/>
      <c r="BF1186" s="42"/>
      <c r="BG1186" s="42"/>
      <c r="BH1186" s="2"/>
      <c r="BI1186" s="2"/>
      <c r="BJ1186" s="2"/>
      <c r="BK1186" s="2"/>
      <c r="BL1186" s="2"/>
      <c r="BM1186" s="2"/>
      <c r="BN1186" s="2"/>
      <c r="BO1186" s="2"/>
      <c r="BP1186" s="2"/>
      <c r="BQ1186" s="2"/>
      <c r="BR1186" s="2"/>
      <c r="BS1186" s="2"/>
      <c r="BT1186" s="2"/>
      <c r="BU1186" s="2"/>
      <c r="BV1186" s="2"/>
      <c r="BW1186" s="2"/>
      <c r="BX1186" s="2"/>
      <c r="BY1186" s="2"/>
      <c r="BZ1186" s="2"/>
      <c r="CA1186" s="2"/>
      <c r="CB1186" s="2"/>
      <c r="CC1186" s="2"/>
      <c r="CD1186" s="2"/>
      <c r="CE1186" s="2"/>
      <c r="CF1186" s="2"/>
      <c r="CG1186" s="2"/>
      <c r="CH1186" s="2"/>
      <c r="CI1186" s="2"/>
      <c r="CJ1186" s="2"/>
      <c r="CK1186" s="2"/>
      <c r="CL1186" s="2"/>
      <c r="CM1186" s="2"/>
      <c r="CN1186" s="2"/>
      <c r="CO1186" s="2"/>
      <c r="CP1186" s="2"/>
      <c r="CQ1186" s="2"/>
      <c r="CR1186" s="1"/>
      <c r="CS1186" s="1"/>
      <c r="CT1186" s="1"/>
      <c r="CU1186" s="1"/>
    </row>
    <row r="1187" spans="1:99" s="13" customFormat="1" ht="12" customHeight="1" x14ac:dyDescent="0.2">
      <c r="A1187" s="65">
        <v>43509</v>
      </c>
      <c r="B1187" s="1" t="s">
        <v>194</v>
      </c>
      <c r="C1187" s="1" t="s">
        <v>75</v>
      </c>
      <c r="D1187" s="60">
        <v>2002</v>
      </c>
      <c r="E1187" s="76">
        <v>2</v>
      </c>
      <c r="F1187" s="60">
        <v>60</v>
      </c>
      <c r="G1187" s="60">
        <v>20</v>
      </c>
      <c r="H1187" s="60" t="s">
        <v>38</v>
      </c>
      <c r="I1187" s="60" t="s">
        <v>195</v>
      </c>
      <c r="J1187" s="60" t="s">
        <v>16</v>
      </c>
      <c r="K1187" s="60">
        <f>IF(J1187="syllables",1,IF(J1187="trigrams",2,IF(J1187="strings",3,IF(J1187="visual array",4,IF(J1187="characters",5,IF(J1187="letters",6,IF(J1187="free forms",7,IF(J1187="odors",8,IF(J1187="words",9,IF(J1187="pictures",10,IF(J1187="object pictures",11,IF(J1187="faces",12,IF(J1187="names",13,IF(J1187="idioms",14,IF(J1187="grades",15,IF(J1187="syllable-digit pairs",16,IF(J1187="trigram-word pairs",17,IF(J1187="word-digit pairs",18,IF(J1187="English-Swahili pairs",19,IF(J1187="spatial position",20,IF(J1187="word pairs",21,IF(J1187="word triads",22,IF(J1187="generated words",23,IF(J1187="word definition pairs",24,IF(J1187="math problems",25,IF(J1187="famous faces",26,IF(J1187="famous names",27,IF(J1187="famous voices",28,IF(J1187="television programs",29,IF(J1187="race horses",30,IF(J1187="new vocabulary",31,IF(J1187="sentences",32,IF(J1187="concepts",33,IF(J1187="ad slides",34,IF(J1187="scenes",35,IF(J1187="famous scenes",36,IF(J1187="poems",37,IF(J1187="walk",38,IF(J1187="faces and events",39,IF(J1187="events and names",40,IF(J1187="flashbulb",41,IF(J1187="stories",42,IF(J1187="course material",43,IF(J1187="autobiographical",44,IF(J1187="novels",45,IF(J1187="public events",46,"99"))))))))))))))))))))))))))))))))))))))))))))))</f>
        <v>9</v>
      </c>
      <c r="L1187" s="60">
        <f>IF(J1187="syllables",1,IF(J1187="trigrams",1,IF(J1187="strings",1,IF(J1187="visual array",1,IF(J1187="characters",1,IF(J1187="letters",1,IF(J1187="free forms",1,IF(J1187="odors",2,IF(J1187="words",2,IF(J1187="pictures",2,IF(J1187="object pictures",2,IF(J1187="faces",2,IF(J1187="names",2,IF(J1187="idioms","2",IF(J1187="grades",2,IF(J1187="syllable-digit pairs",3,IF(J1187="trigram-word pairs",3,IF(J1187="word-digit pairs",3,IF(J1187="English-Swahili pairs",3,IF(J1187="spatial position",3,IF(J1187="word pairs",4,IF(J1187="word triads",4,IF(J1187="generated words",4,IF(J1187="word definition pairs",4,IF(J1187="math problems",4,IF(J1187="famous faces",4,IF(J1187="famous names",4,IF(J1187="famous voices",4,IF(J1187="television programs",4,IF(J1187="race horses",4,IF(J1187="new vocabulary",4,IF(J1187="sentences",5,IF(J1187="concepts",5,IF(J1187="ad slides",5,IF(J1187="scenes",5,IF(J1187="famous scenes",5,IF(J1187="poems",6,IF(J1187="walk",6,IF(J1187="faces and events",6,IF(J1187="events and names",6,IF(J1187="flashbulb",7,IF(J1187="stories",7,IF(J1187="course material",7,IF(J1187="autobiographical",7,IF(J1187="novels",7,IF(J1187="public events",7,"99"))))))))))))))))))))))))))))))))))))))))))))))</f>
        <v>2</v>
      </c>
      <c r="M1187" s="60">
        <v>0</v>
      </c>
      <c r="N1187" s="60">
        <v>1</v>
      </c>
      <c r="O1187" s="60">
        <v>0</v>
      </c>
      <c r="P1187" s="60"/>
      <c r="Q1187" s="60" t="s">
        <v>34</v>
      </c>
      <c r="R1187" s="60">
        <f>IF(Q1187="Free Recall",1,IF(Q1187="Cued Recall",2,IF(Q1187="Recognition",3,IF(Q1187="Multiple Choice",4,IF(Q1187="Savings",5,IF(Q1187="Stem Completion",6,IF(Q1187="Fragment Completion",7,IF(Q1187="anagram solution",8,IF(Q1187="Matching",9,IF(Q1187="Problem Solving",10,"99"))))))))))</f>
        <v>3</v>
      </c>
      <c r="S1187" s="60" t="s">
        <v>15</v>
      </c>
      <c r="T1187" s="60" t="s">
        <v>261</v>
      </c>
      <c r="U1187" s="60">
        <f>IF(T1187="within",1,0)</f>
        <v>0</v>
      </c>
      <c r="V1187" s="60">
        <v>48</v>
      </c>
      <c r="W1187" s="60">
        <f>F1187*V1187</f>
        <v>2880</v>
      </c>
      <c r="X1187" s="60">
        <v>4</v>
      </c>
      <c r="Y1187" s="76">
        <f>AV1186</f>
        <v>90</v>
      </c>
      <c r="Z1187" s="60" t="s">
        <v>193</v>
      </c>
      <c r="AA1187" s="76">
        <f>61*24*60*60</f>
        <v>5270400</v>
      </c>
      <c r="AB1187" s="60" t="str">
        <f>IF(AA1187&lt;60,"1",IF(AA1187&lt;=43200,"2",IF(AA1187&lt;=777600,"3","4")))</f>
        <v>4</v>
      </c>
      <c r="AC1187" s="56">
        <f>AVERAGE(AV1186:DA1186)</f>
        <v>1663222.5</v>
      </c>
      <c r="AD1187" s="60" t="str">
        <f>IF(AC1187&lt;60,"1",IF(AC1187&lt;=43200,"2",IF(AC1187&lt;=777600,"3","4")))</f>
        <v>4</v>
      </c>
      <c r="AE1187" s="76">
        <f>AA1187-Y1187</f>
        <v>5270310</v>
      </c>
      <c r="AF1187" s="80">
        <f>AV1187</f>
        <v>0.67</v>
      </c>
      <c r="AG1187" s="56">
        <f>((AW1187-AV1187)+(AX1187-AW1187)+(AY1187-AX1187))/3</f>
        <v>-9.0000000000000011E-2</v>
      </c>
      <c r="AH1187" s="4"/>
      <c r="AI1187" s="56">
        <f>RSQ(AV1187:AY1187,AV1186:AY1186)</f>
        <v>0.86495753752910343</v>
      </c>
      <c r="AJ1187" s="109">
        <f>SLOPE(AV1187:AY1187,AV1186:AY1186)</f>
        <v>-4.3211551135472024E-8</v>
      </c>
      <c r="AK1187" s="56">
        <f>INTERCEPT(AV1187:AY1187,AV1186:AY1186)</f>
        <v>0.61687042410841764</v>
      </c>
      <c r="AL1187" s="56">
        <f>INDEX(LINEST(LN(AV1187:AY1187),LN(AV1186:AY1186),TRUE,TRUE),3,1)</f>
        <v>0.72652132030644589</v>
      </c>
      <c r="AM1187" s="56">
        <f>INDEX(LINEST(LN(AV1187:AY1187),LN(AV1186:AY1186)),1)</f>
        <v>-3.8483309306141564E-2</v>
      </c>
      <c r="AN1187" s="56">
        <f>EXP(INDEX(LINEST(LN(AV1187:AY1187),LN(AV1186:AY1186)),1,2))</f>
        <v>0.83392734257545109</v>
      </c>
      <c r="AO1187" s="82">
        <f>INDEX(LINEST((AV1187:AY1187),LN(AV1186:AY1186),TRUE,TRUE),3,1)</f>
        <v>0.79019362712175167</v>
      </c>
      <c r="AP1187" s="82">
        <f>INDEX(LINEST((AV1187:AY1187),LN(AV1186:AY1186)),1)</f>
        <v>-2.0852821577341994E-2</v>
      </c>
      <c r="AQ1187" s="83">
        <f>INDEX(LINEST(LN(AV1187:AY1187),SQRT(AV1186:AY1186),TRUE,TRUE),3,1)</f>
        <v>0.99487436923213646</v>
      </c>
      <c r="AR1187" s="116">
        <f>INDEX(LINEST(LN(AV1187:AY1187),SQRT((AV1186:AY1186))),1)</f>
        <v>-2.1959609843673759E-4</v>
      </c>
      <c r="AS1187" s="84">
        <f>INDEX(LINEST(1/(AV1187:AY1187),1/(SQRT(AV1186:AY1186)),TRUE,TRUE),3,1)</f>
        <v>0.40792996380958313</v>
      </c>
      <c r="AT1187" s="84">
        <f>INDEX(LINEST(1/(AV1187:AY1187),1/SQRT(AV1186:AY1186)),1)</f>
        <v>-5.3383651811356305</v>
      </c>
      <c r="AU1187" s="3"/>
      <c r="AV1187" s="53">
        <v>0.67</v>
      </c>
      <c r="AW1187" s="53">
        <v>0.59</v>
      </c>
      <c r="AX1187" s="53">
        <v>0.52</v>
      </c>
      <c r="AY1187" s="53">
        <v>0.4</v>
      </c>
      <c r="AZ1187" s="46"/>
      <c r="BA1187" s="42"/>
      <c r="BB1187" s="42"/>
      <c r="BC1187" s="42"/>
      <c r="BD1187" s="42"/>
      <c r="BE1187" s="42"/>
      <c r="BF1187" s="42"/>
      <c r="BG1187" s="42"/>
      <c r="BH1187" s="2"/>
      <c r="BI1187" s="2"/>
      <c r="BJ1187" s="2"/>
      <c r="BK1187" s="2"/>
      <c r="BL1187" s="2"/>
      <c r="BM1187" s="2"/>
      <c r="BN1187" s="2"/>
      <c r="BO1187" s="2"/>
      <c r="BP1187" s="2"/>
      <c r="BQ1187" s="2"/>
      <c r="BR1187" s="2"/>
      <c r="BS1187" s="2"/>
      <c r="BT1187" s="2"/>
      <c r="BU1187" s="2"/>
      <c r="BV1187" s="2"/>
      <c r="BW1187" s="2"/>
      <c r="BX1187" s="2"/>
      <c r="BY1187" s="2"/>
      <c r="BZ1187" s="2"/>
      <c r="CA1187" s="2"/>
      <c r="CB1187" s="2"/>
      <c r="CC1187" s="2"/>
      <c r="CD1187" s="2"/>
      <c r="CE1187" s="2"/>
      <c r="CF1187" s="2"/>
      <c r="CG1187" s="2"/>
      <c r="CH1187" s="2"/>
      <c r="CI1187" s="2"/>
      <c r="CJ1187" s="2"/>
      <c r="CK1187" s="2"/>
      <c r="CL1187" s="2"/>
      <c r="CM1187" s="2"/>
      <c r="CN1187" s="2"/>
      <c r="CO1187" s="2"/>
      <c r="CP1187" s="2"/>
      <c r="CQ1187" s="2"/>
      <c r="CR1187" s="1"/>
      <c r="CS1187" s="1"/>
      <c r="CT1187" s="1"/>
      <c r="CU1187" s="1"/>
    </row>
    <row r="1188" spans="1:99" s="13" customFormat="1" ht="12" customHeight="1" x14ac:dyDescent="0.2">
      <c r="A1188" s="68">
        <v>43509</v>
      </c>
      <c r="B1188" s="70"/>
      <c r="C1188" s="70"/>
      <c r="D1188" s="69"/>
      <c r="E1188" s="87"/>
      <c r="F1188" s="69"/>
      <c r="G1188" s="69"/>
      <c r="H1188" s="69"/>
      <c r="I1188" s="69"/>
      <c r="J1188" s="69"/>
      <c r="K1188" s="107"/>
      <c r="L1188" s="107"/>
      <c r="M1188" s="69"/>
      <c r="N1188" s="69"/>
      <c r="O1188" s="69"/>
      <c r="P1188" s="69"/>
      <c r="Q1188" s="69"/>
      <c r="R1188" s="69"/>
      <c r="S1188" s="69"/>
      <c r="T1188" s="69"/>
      <c r="U1188" s="69"/>
      <c r="V1188" s="69"/>
      <c r="W1188" s="69"/>
      <c r="X1188" s="69"/>
      <c r="Y1188" s="87"/>
      <c r="Z1188" s="69"/>
      <c r="AA1188" s="69"/>
      <c r="AB1188" s="69"/>
      <c r="AC1188" s="69"/>
      <c r="AD1188" s="69"/>
      <c r="AE1188" s="69"/>
      <c r="AF1188" s="88"/>
      <c r="AG1188" s="72"/>
      <c r="AH1188" s="4"/>
      <c r="AI1188" s="72"/>
      <c r="AJ1188" s="110"/>
      <c r="AK1188" s="72"/>
      <c r="AL1188" s="72"/>
      <c r="AM1188" s="72"/>
      <c r="AN1188" s="72"/>
      <c r="AO1188" s="72"/>
      <c r="AP1188" s="72"/>
      <c r="AQ1188" s="72"/>
      <c r="AR1188" s="110"/>
      <c r="AS1188" s="72"/>
      <c r="AT1188" s="72"/>
      <c r="AU1188" s="4"/>
      <c r="AV1188" s="71">
        <f>24*60*60</f>
        <v>86400</v>
      </c>
      <c r="AW1188" s="71">
        <f>30*24*60*60*0.467</f>
        <v>1210464</v>
      </c>
      <c r="AX1188" s="71">
        <f>11*7*24*60*60</f>
        <v>6652800</v>
      </c>
      <c r="AY1188" s="42"/>
      <c r="AZ1188" s="46"/>
      <c r="BA1188" s="42"/>
      <c r="BB1188" s="42"/>
      <c r="BC1188" s="2"/>
      <c r="BD1188" s="2"/>
      <c r="BE1188" s="2"/>
      <c r="BF1188" s="2"/>
      <c r="BG1188" s="2"/>
      <c r="BH1188" s="2"/>
      <c r="BI1188" s="2"/>
      <c r="BJ1188" s="2"/>
      <c r="BK1188" s="2"/>
      <c r="BL1188" s="2"/>
      <c r="BM1188" s="2"/>
      <c r="BN1188" s="2"/>
      <c r="BO1188" s="2"/>
      <c r="BP1188" s="2"/>
      <c r="BQ1188" s="2"/>
      <c r="BR1188" s="2"/>
      <c r="BS1188" s="2"/>
      <c r="BT1188" s="2"/>
      <c r="BU1188" s="2"/>
      <c r="BV1188" s="2"/>
      <c r="BW1188" s="2"/>
      <c r="BX1188" s="2"/>
      <c r="BY1188" s="2"/>
      <c r="BZ1188" s="2"/>
      <c r="CA1188" s="2"/>
      <c r="CB1188" s="2"/>
      <c r="CC1188" s="2"/>
      <c r="CD1188" s="2"/>
      <c r="CE1188" s="2"/>
      <c r="CF1188" s="2"/>
      <c r="CG1188" s="2"/>
      <c r="CH1188" s="2"/>
      <c r="CI1188" s="2"/>
      <c r="CJ1188" s="2"/>
      <c r="CK1188" s="2"/>
      <c r="CL1188" s="2"/>
      <c r="CM1188" s="2"/>
      <c r="CN1188" s="2"/>
      <c r="CO1188" s="2"/>
      <c r="CP1188" s="2"/>
      <c r="CQ1188" s="2"/>
      <c r="CR1188" s="1"/>
      <c r="CS1188" s="1"/>
      <c r="CT1188" s="1"/>
      <c r="CU1188" s="1"/>
    </row>
    <row r="1189" spans="1:99" s="13" customFormat="1" ht="12" customHeight="1" x14ac:dyDescent="0.2">
      <c r="A1189" s="68">
        <v>43509</v>
      </c>
      <c r="B1189" s="70" t="s">
        <v>196</v>
      </c>
      <c r="C1189" s="70" t="s">
        <v>70</v>
      </c>
      <c r="D1189" s="69">
        <v>2006</v>
      </c>
      <c r="E1189" s="87">
        <v>1</v>
      </c>
      <c r="F1189" s="69">
        <v>13</v>
      </c>
      <c r="G1189" s="69">
        <v>13</v>
      </c>
      <c r="H1189" s="69" t="s">
        <v>30</v>
      </c>
      <c r="I1189" s="69" t="s">
        <v>808</v>
      </c>
      <c r="J1189" s="69" t="s">
        <v>704</v>
      </c>
      <c r="K1189" s="69">
        <f>IF(J1189="syllables",1,IF(J1189="trigrams",2,IF(J1189="strings",3,IF(J1189="visual array",4,IF(J1189="characters",5,IF(J1189="letters",6,IF(J1189="free forms",7,IF(J1189="odors",8,IF(J1189="words",9,IF(J1189="pictures",10,IF(J1189="object pictures",11,IF(J1189="faces",12,IF(J1189="names",13,IF(J1189="idioms",14,IF(J1189="grades",15,IF(J1189="syllable-digit pairs",16,IF(J1189="trigram-word pairs",17,IF(J1189="word-digit pairs",18,IF(J1189="English-Swahili pairs",19,IF(J1189="spatial position",20,IF(J1189="word pairs",21,IF(J1189="word triads",22,IF(J1189="generated words",23,IF(J1189="word definition pairs",24,IF(J1189="math problems",25,IF(J1189="famous faces",26,IF(J1189="famous names",27,IF(J1189="famous voices",28,IF(J1189="television programs",29,IF(J1189="race horses",30,IF(J1189="new vocabulary",31,IF(J1189="sentences",32,IF(J1189="concepts",33,IF(J1189="ad slides",34,IF(J1189="scenes",35,IF(J1189="famous scenes",36,IF(J1189="poems",37,IF(J1189="walk",38,IF(J1189="faces and events",39,IF(J1189="events and names",40,IF(J1189="flashbulb",41,IF(J1189="stories",42,IF(J1189="course material",43,IF(J1189="autobiographical",44,IF(J1189="novels",45,IF(J1189="public events",46,"99"))))))))))))))))))))))))))))))))))))))))))))))</f>
        <v>41</v>
      </c>
      <c r="L1189" s="69">
        <f>IF(J1189="syllables",1,IF(J1189="trigrams",1,IF(J1189="strings",1,IF(J1189="visual array",1,IF(J1189="characters",1,IF(J1189="letters",1,IF(J1189="free forms",1,IF(J1189="odors",2,IF(J1189="words",2,IF(J1189="pictures",2,IF(J1189="object pictures",2,IF(J1189="faces",2,IF(J1189="names",2,IF(J1189="idioms","2",IF(J1189="grades",2,IF(J1189="syllable-digit pairs",3,IF(J1189="trigram-word pairs",3,IF(J1189="word-digit pairs",3,IF(J1189="English-Swahili pairs",3,IF(J1189="spatial position",3,IF(J1189="word pairs",4,IF(J1189="word triads",4,IF(J1189="generated words",4,IF(J1189="word definition pairs",4,IF(J1189="math problems",4,IF(J1189="famous faces",4,IF(J1189="famous names",4,IF(J1189="famous voices",4,IF(J1189="television programs",4,IF(J1189="race horses",4,IF(J1189="new vocabulary",4,IF(J1189="sentences",5,IF(J1189="concepts",5,IF(J1189="ad slides",5,IF(J1189="scenes",5,IF(J1189="famous scenes",5,IF(J1189="poems",6,IF(J1189="walk",6,IF(J1189="faces and events",6,IF(J1189="events and names",6,IF(J1189="flashbulb",7,IF(J1189="stories",7,IF(J1189="course material",7,IF(J1189="autobiographical",7,IF(J1189="novels",7,IF(J1189="public events",7,"99"))))))))))))))))))))))))))))))))))))))))))))))</f>
        <v>7</v>
      </c>
      <c r="M1189" s="69">
        <v>1</v>
      </c>
      <c r="N1189" s="69">
        <v>4</v>
      </c>
      <c r="O1189" s="69">
        <v>0</v>
      </c>
      <c r="P1189" s="69"/>
      <c r="Q1189" s="69" t="s">
        <v>174</v>
      </c>
      <c r="R1189" s="69">
        <f>IF(Q1189="Free Recall",1,IF(Q1189="Cued Recall",2,IF(Q1189="Recognition",3,IF(Q1189="Multiple Choice",4,IF(Q1189="Savings",5,IF(Q1189="Stem Completion",6,IF(Q1189="Fragment Completion",7,IF(Q1189="anagram solution",8,IF(Q1189="Matching",9,IF(Q1189="Problem Solving",10,"99"))))))))))</f>
        <v>1</v>
      </c>
      <c r="S1189" s="69" t="s">
        <v>49</v>
      </c>
      <c r="T1189" s="92" t="s">
        <v>581</v>
      </c>
      <c r="U1189" s="69">
        <f>IF(T1189="within",1,0)</f>
        <v>1</v>
      </c>
      <c r="V1189" s="92">
        <v>3</v>
      </c>
      <c r="W1189" s="69">
        <f>F1189*V1189</f>
        <v>39</v>
      </c>
      <c r="X1189" s="69">
        <v>3</v>
      </c>
      <c r="Y1189" s="87">
        <f>AV1188</f>
        <v>86400</v>
      </c>
      <c r="Z1189" s="69" t="s">
        <v>530</v>
      </c>
      <c r="AA1189" s="87">
        <f>11*7*24*60*60</f>
        <v>6652800</v>
      </c>
      <c r="AB1189" s="69" t="str">
        <f>IF(AA1189&lt;60,"1",IF(AA1189&lt;=43200,"2",IF(AA1189&lt;=777600,"3","4")))</f>
        <v>4</v>
      </c>
      <c r="AC1189" s="72">
        <f>AVERAGE(AV1188:DA1188)</f>
        <v>2649888</v>
      </c>
      <c r="AD1189" s="69" t="str">
        <f>IF(AC1189&lt;60,"1",IF(AC1189&lt;=43200,"2",IF(AC1189&lt;=777600,"3","4")))</f>
        <v>4</v>
      </c>
      <c r="AE1189" s="87">
        <f>AA1189-Y1189</f>
        <v>6566400</v>
      </c>
      <c r="AF1189" s="88">
        <f>AV1189</f>
        <v>0.79300000000000004</v>
      </c>
      <c r="AG1189" s="72">
        <f>((AW1189-AV1189)+(AX1189-AW1189))/2</f>
        <v>1.3499999999999956E-2</v>
      </c>
      <c r="AH1189" s="4"/>
      <c r="AI1189" s="72">
        <f>RSQ(AV1189:AX1189,AV1188:AX1188)</f>
        <v>0.97438816252621474</v>
      </c>
      <c r="AJ1189" s="110">
        <f>SLOPE(AV1189:AX1189,AV1188:AX1188)</f>
        <v>4.3815569579026E-9</v>
      </c>
      <c r="AK1189" s="72">
        <f>INTERCEPT(AV1189:AX1189,AV1188:AX1188)</f>
        <v>0.79038936479593747</v>
      </c>
      <c r="AL1189" s="72">
        <f>INDEX(LINEST(LN(AV1189:AX1189),LN(AV1188:AX1188),TRUE,TRUE),3,1)</f>
        <v>0.63631492528349964</v>
      </c>
      <c r="AM1189" s="72">
        <f>INDEX(LINEST(LN(AV1189:AX1189),LN(AV1188:AX1188)),1)</f>
        <v>7.0453376131796135E-3</v>
      </c>
      <c r="AN1189" s="72">
        <f>EXP(INDEX(LINEST(LN(AV1189:AX1189),LN(AV1188:AX1188)),1,2))</f>
        <v>0.72814521595561055</v>
      </c>
      <c r="AO1189" s="89">
        <f>INDEX(LINEST((AV1189:AX1189),LN(AV1188:AX1188),TRUE,TRUE),3,1)</f>
        <v>0.63631492528349975</v>
      </c>
      <c r="AP1189" s="89">
        <f>INDEX(LINEST((AV1189:AX1189),LN(AV1188:AX1188)),1)</f>
        <v>5.6815340519301809E-3</v>
      </c>
      <c r="AQ1189" s="90">
        <f>INDEX(LINEST(LN(AV1189:AX1189),SQRT(AV1188:AX1188),TRUE,TRUE),3,1)</f>
        <v>0.87902843752310711</v>
      </c>
      <c r="AR1189" s="117">
        <f>INDEX(LINEST(LN(AV1189:AX1189),SQRT((AV1188:AX1188))),1)</f>
        <v>1.5636184743345775E-5</v>
      </c>
      <c r="AS1189" s="91">
        <f>INDEX(LINEST(1/(AV1189:AX1189),1/(SQRT(AV1188:AX1188)),TRUE,TRUE),3,1)</f>
        <v>0.40132382417217394</v>
      </c>
      <c r="AT1189" s="91">
        <f>INDEX(LINEST(1/(AV1189:AX1189),1/SQRT(AV1188:AX1188)),1)</f>
        <v>9.4262883194734126</v>
      </c>
      <c r="AU1189" s="3"/>
      <c r="AV1189" s="73">
        <v>0.79300000000000004</v>
      </c>
      <c r="AW1189" s="73">
        <v>0.79300000000000004</v>
      </c>
      <c r="AX1189" s="73">
        <v>0.82</v>
      </c>
      <c r="AY1189" s="42"/>
      <c r="AZ1189" s="46"/>
      <c r="BA1189" s="42"/>
      <c r="BB1189" s="42"/>
      <c r="BC1189" s="2"/>
      <c r="BD1189" s="2"/>
      <c r="BE1189" s="2"/>
      <c r="BF1189" s="2"/>
      <c r="BG1189" s="2"/>
      <c r="BH1189" s="2"/>
      <c r="BI1189" s="2"/>
      <c r="BJ1189" s="2"/>
      <c r="BK1189" s="2"/>
      <c r="BL1189" s="2"/>
      <c r="BM1189" s="2"/>
      <c r="BN1189" s="2"/>
      <c r="BO1189" s="2"/>
      <c r="BP1189" s="2"/>
      <c r="BQ1189" s="2"/>
      <c r="BR1189" s="2"/>
      <c r="BS1189" s="2"/>
      <c r="BT1189" s="2"/>
      <c r="BU1189" s="2"/>
      <c r="BV1189" s="2"/>
      <c r="BW1189" s="2"/>
      <c r="BX1189" s="2"/>
      <c r="BY1189" s="2"/>
      <c r="BZ1189" s="2"/>
      <c r="CA1189" s="2"/>
      <c r="CB1189" s="2"/>
      <c r="CC1189" s="2"/>
      <c r="CD1189" s="2"/>
      <c r="CE1189" s="2"/>
      <c r="CF1189" s="2"/>
      <c r="CG1189" s="2"/>
      <c r="CH1189" s="2"/>
      <c r="CI1189" s="2"/>
      <c r="CJ1189" s="2"/>
      <c r="CK1189" s="2"/>
      <c r="CL1189" s="2"/>
      <c r="CM1189" s="2"/>
      <c r="CN1189" s="2"/>
      <c r="CO1189" s="2"/>
      <c r="CP1189" s="2"/>
      <c r="CQ1189" s="2"/>
      <c r="CR1189" s="1"/>
      <c r="CS1189" s="1"/>
      <c r="CT1189" s="1"/>
      <c r="CU1189" s="1"/>
    </row>
    <row r="1190" spans="1:99" s="13" customFormat="1" ht="12" customHeight="1" x14ac:dyDescent="0.2">
      <c r="A1190" s="68">
        <v>43509</v>
      </c>
      <c r="B1190" s="70"/>
      <c r="C1190" s="70"/>
      <c r="D1190" s="69"/>
      <c r="E1190" s="87"/>
      <c r="F1190" s="69"/>
      <c r="G1190" s="69"/>
      <c r="H1190" s="69"/>
      <c r="I1190" s="69"/>
      <c r="J1190" s="69"/>
      <c r="K1190" s="107"/>
      <c r="L1190" s="107"/>
      <c r="M1190" s="69"/>
      <c r="N1190" s="69"/>
      <c r="O1190" s="69"/>
      <c r="P1190" s="69"/>
      <c r="Q1190" s="69"/>
      <c r="R1190" s="69"/>
      <c r="S1190" s="69"/>
      <c r="T1190" s="69"/>
      <c r="U1190" s="69"/>
      <c r="V1190" s="69"/>
      <c r="W1190" s="69"/>
      <c r="X1190" s="69"/>
      <c r="Y1190" s="87"/>
      <c r="Z1190" s="69"/>
      <c r="AA1190" s="69"/>
      <c r="AB1190" s="69"/>
      <c r="AC1190" s="69"/>
      <c r="AD1190" s="69"/>
      <c r="AE1190" s="69"/>
      <c r="AF1190" s="88"/>
      <c r="AG1190" s="72"/>
      <c r="AH1190" s="4"/>
      <c r="AI1190" s="72"/>
      <c r="AJ1190" s="110"/>
      <c r="AK1190" s="72"/>
      <c r="AL1190" s="72"/>
      <c r="AM1190" s="72"/>
      <c r="AN1190" s="72"/>
      <c r="AO1190" s="72"/>
      <c r="AP1190" s="72"/>
      <c r="AQ1190" s="89"/>
      <c r="AR1190" s="118"/>
      <c r="AS1190" s="89"/>
      <c r="AT1190" s="89"/>
      <c r="AU1190" s="4"/>
      <c r="AV1190" s="71">
        <f>24*60*60</f>
        <v>86400</v>
      </c>
      <c r="AW1190" s="71">
        <f>30*24*60*60*0.467</f>
        <v>1210464</v>
      </c>
      <c r="AX1190" s="71">
        <f>11*7*24*60*60</f>
        <v>6652800</v>
      </c>
      <c r="AY1190" s="42"/>
      <c r="AZ1190" s="46"/>
      <c r="BA1190" s="42"/>
      <c r="BB1190" s="42"/>
      <c r="BC1190" s="2"/>
      <c r="BD1190" s="2"/>
      <c r="BE1190" s="2"/>
      <c r="BF1190" s="2"/>
      <c r="BG1190" s="2"/>
      <c r="BH1190" s="2"/>
      <c r="BI1190" s="2"/>
      <c r="BJ1190" s="2"/>
      <c r="BK1190" s="2"/>
      <c r="BL1190" s="2"/>
      <c r="BM1190" s="2"/>
      <c r="BN1190" s="2"/>
      <c r="BO1190" s="2"/>
      <c r="BP1190" s="2"/>
      <c r="BQ1190" s="2"/>
      <c r="BR1190" s="2"/>
      <c r="BS1190" s="2"/>
      <c r="BT1190" s="2"/>
      <c r="BU1190" s="2"/>
      <c r="BV1190" s="2"/>
      <c r="BW1190" s="2"/>
      <c r="BX1190" s="2"/>
      <c r="BY1190" s="2"/>
      <c r="BZ1190" s="2"/>
      <c r="CA1190" s="2"/>
      <c r="CB1190" s="2"/>
      <c r="CC1190" s="2"/>
      <c r="CD1190" s="2"/>
      <c r="CE1190" s="2"/>
      <c r="CF1190" s="2"/>
      <c r="CG1190" s="2"/>
      <c r="CH1190" s="2"/>
      <c r="CI1190" s="2"/>
      <c r="CJ1190" s="2"/>
      <c r="CK1190" s="2"/>
      <c r="CL1190" s="2"/>
      <c r="CM1190" s="2"/>
      <c r="CN1190" s="2"/>
      <c r="CO1190" s="2"/>
      <c r="CP1190" s="2"/>
      <c r="CQ1190" s="2"/>
      <c r="CR1190" s="1"/>
      <c r="CS1190" s="1"/>
      <c r="CT1190" s="1"/>
      <c r="CU1190" s="1"/>
    </row>
    <row r="1191" spans="1:99" s="13" customFormat="1" ht="12" customHeight="1" x14ac:dyDescent="0.2">
      <c r="A1191" s="68">
        <v>43509</v>
      </c>
      <c r="B1191" s="70" t="s">
        <v>196</v>
      </c>
      <c r="C1191" s="70" t="s">
        <v>70</v>
      </c>
      <c r="D1191" s="69">
        <v>2006</v>
      </c>
      <c r="E1191" s="87">
        <v>1</v>
      </c>
      <c r="F1191" s="69">
        <v>13</v>
      </c>
      <c r="G1191" s="69">
        <v>13</v>
      </c>
      <c r="H1191" s="69" t="s">
        <v>30</v>
      </c>
      <c r="I1191" s="69" t="s">
        <v>809</v>
      </c>
      <c r="J1191" s="69" t="s">
        <v>704</v>
      </c>
      <c r="K1191" s="69">
        <f>IF(J1191="syllables",1,IF(J1191="trigrams",2,IF(J1191="strings",3,IF(J1191="visual array",4,IF(J1191="characters",5,IF(J1191="letters",6,IF(J1191="free forms",7,IF(J1191="odors",8,IF(J1191="words",9,IF(J1191="pictures",10,IF(J1191="object pictures",11,IF(J1191="faces",12,IF(J1191="names",13,IF(J1191="idioms",14,IF(J1191="grades",15,IF(J1191="syllable-digit pairs",16,IF(J1191="trigram-word pairs",17,IF(J1191="word-digit pairs",18,IF(J1191="English-Swahili pairs",19,IF(J1191="spatial position",20,IF(J1191="word pairs",21,IF(J1191="word triads",22,IF(J1191="generated words",23,IF(J1191="word definition pairs",24,IF(J1191="math problems",25,IF(J1191="famous faces",26,IF(J1191="famous names",27,IF(J1191="famous voices",28,IF(J1191="television programs",29,IF(J1191="race horses",30,IF(J1191="new vocabulary",31,IF(J1191="sentences",32,IF(J1191="concepts",33,IF(J1191="ad slides",34,IF(J1191="scenes",35,IF(J1191="famous scenes",36,IF(J1191="poems",37,IF(J1191="walk",38,IF(J1191="faces and events",39,IF(J1191="events and names",40,IF(J1191="flashbulb",41,IF(J1191="stories",42,IF(J1191="course material",43,IF(J1191="autobiographical",44,IF(J1191="novels",45,IF(J1191="public events",46,"99"))))))))))))))))))))))))))))))))))))))))))))))</f>
        <v>41</v>
      </c>
      <c r="L1191" s="69">
        <f>IF(J1191="syllables",1,IF(J1191="trigrams",1,IF(J1191="strings",1,IF(J1191="visual array",1,IF(J1191="characters",1,IF(J1191="letters",1,IF(J1191="free forms",1,IF(J1191="odors",2,IF(J1191="words",2,IF(J1191="pictures",2,IF(J1191="object pictures",2,IF(J1191="faces",2,IF(J1191="names",2,IF(J1191="idioms","2",IF(J1191="grades",2,IF(J1191="syllable-digit pairs",3,IF(J1191="trigram-word pairs",3,IF(J1191="word-digit pairs",3,IF(J1191="English-Swahili pairs",3,IF(J1191="spatial position",3,IF(J1191="word pairs",4,IF(J1191="word triads",4,IF(J1191="generated words",4,IF(J1191="word definition pairs",4,IF(J1191="math problems",4,IF(J1191="famous faces",4,IF(J1191="famous names",4,IF(J1191="famous voices",4,IF(J1191="television programs",4,IF(J1191="race horses",4,IF(J1191="new vocabulary",4,IF(J1191="sentences",5,IF(J1191="concepts",5,IF(J1191="ad slides",5,IF(J1191="scenes",5,IF(J1191="famous scenes",5,IF(J1191="poems",6,IF(J1191="walk",6,IF(J1191="faces and events",6,IF(J1191="events and names",6,IF(J1191="flashbulb",7,IF(J1191="stories",7,IF(J1191="course material",7,IF(J1191="autobiographical",7,IF(J1191="novels",7,IF(J1191="public events",7,"99"))))))))))))))))))))))))))))))))))))))))))))))</f>
        <v>7</v>
      </c>
      <c r="M1191" s="69">
        <v>1</v>
      </c>
      <c r="N1191" s="69">
        <v>4</v>
      </c>
      <c r="O1191" s="69">
        <v>0</v>
      </c>
      <c r="P1191" s="69"/>
      <c r="Q1191" s="69" t="s">
        <v>174</v>
      </c>
      <c r="R1191" s="69">
        <f>IF(Q1191="Free Recall",1,IF(Q1191="Cued Recall",2,IF(Q1191="Recognition",3,IF(Q1191="Multiple Choice",4,IF(Q1191="Savings",5,IF(Q1191="Stem Completion",6,IF(Q1191="Fragment Completion",7,IF(Q1191="anagram solution",8,IF(Q1191="Matching",9,IF(Q1191="Problem Solving",10,"99"))))))))))</f>
        <v>1</v>
      </c>
      <c r="S1191" s="69" t="s">
        <v>49</v>
      </c>
      <c r="T1191" s="92" t="s">
        <v>581</v>
      </c>
      <c r="U1191" s="69">
        <f>IF(T1191="within",1,0)</f>
        <v>1</v>
      </c>
      <c r="V1191" s="92">
        <v>3</v>
      </c>
      <c r="W1191" s="69">
        <f>F1191*V1191</f>
        <v>39</v>
      </c>
      <c r="X1191" s="69">
        <v>3</v>
      </c>
      <c r="Y1191" s="87">
        <f>AV1190</f>
        <v>86400</v>
      </c>
      <c r="Z1191" s="69" t="s">
        <v>530</v>
      </c>
      <c r="AA1191" s="87">
        <f>11*7*24*60*60</f>
        <v>6652800</v>
      </c>
      <c r="AB1191" s="69" t="str">
        <f>IF(AA1191&lt;60,"1",IF(AA1191&lt;=43200,"2",IF(AA1191&lt;=777600,"3","4")))</f>
        <v>4</v>
      </c>
      <c r="AC1191" s="72">
        <f>AVERAGE(AV1190:DA1190)</f>
        <v>2649888</v>
      </c>
      <c r="AD1191" s="69" t="str">
        <f>IF(AC1191&lt;60,"1",IF(AC1191&lt;=43200,"2",IF(AC1191&lt;=777600,"3","4")))</f>
        <v>4</v>
      </c>
      <c r="AE1191" s="87">
        <f>AA1191-Y1191</f>
        <v>6566400</v>
      </c>
      <c r="AF1191" s="88">
        <f>AV1191</f>
        <v>0.38300000000000001</v>
      </c>
      <c r="AG1191" s="72">
        <f>((AW1191-AV1191)+(AX1191-AW1191))/2</f>
        <v>6.5000000000000002E-2</v>
      </c>
      <c r="AH1191" s="4"/>
      <c r="AI1191" s="72">
        <f>RSQ(AV1191:AX1191,AV1190:AX1190)</f>
        <v>0.2493093739688266</v>
      </c>
      <c r="AJ1191" s="110">
        <f>SLOPE(AV1191:AX1191,AV1190:AX1190)</f>
        <v>1.1934664677332834E-8</v>
      </c>
      <c r="AK1191" s="72">
        <f>INTERCEPT(AV1191:AX1191,AV1190:AX1190)</f>
        <v>0.44704114195417849</v>
      </c>
      <c r="AL1191" s="72">
        <f>INDEX(LINEST(LN(AV1191:AX1191),LN(AV1190:AX1190),TRUE,TRUE),3,1)</f>
        <v>0.73680810909355321</v>
      </c>
      <c r="AM1191" s="72">
        <f>INDEX(LINEST(LN(AV1191:AX1191),LN(AV1190:AX1190)),1)</f>
        <v>7.2680149904309987E-2</v>
      </c>
      <c r="AN1191" s="72">
        <f>EXP(INDEX(LINEST(LN(AV1191:AX1191),LN(AV1190:AX1190)),1,2))</f>
        <v>0.17497345446140097</v>
      </c>
      <c r="AO1191" s="89">
        <f>INDEX(LINEST((AV1191:AX1191),LN(AV1190:AX1190),TRUE,TRUE),3,1)</f>
        <v>0.71659101782772305</v>
      </c>
      <c r="AP1191" s="89">
        <f>INDEX(LINEST((AV1191:AX1191),LN(AV1190:AX1190)),1)</f>
        <v>3.2467114618027933E-2</v>
      </c>
      <c r="AQ1191" s="90">
        <f>INDEX(LINEST(LN(AV1191:AX1191),SQRT(AV1190:AX1190),TRUE,TRUE),3,1)</f>
        <v>0.45465689266923659</v>
      </c>
      <c r="AR1191" s="117">
        <f>INDEX(LINEST(LN(AV1191:AX1191),SQRT((AV1190:AX1190))),1)</f>
        <v>1.0780628529974679E-4</v>
      </c>
      <c r="AS1191" s="91">
        <f>INDEX(LINEST(1/(AV1191:AX1191),1/(SQRT(AV1190:AX1190)),TRUE,TRUE),3,1)</f>
        <v>0.92323545450890065</v>
      </c>
      <c r="AT1191" s="91">
        <f>INDEX(LINEST(1/(AV1191:AX1191),1/SQRT(AV1190:AX1190)),1)</f>
        <v>246.32504803761481</v>
      </c>
      <c r="AU1191" s="3"/>
      <c r="AV1191" s="73">
        <v>0.38300000000000001</v>
      </c>
      <c r="AW1191" s="73">
        <v>0.54</v>
      </c>
      <c r="AX1191" s="73">
        <v>0.51300000000000001</v>
      </c>
      <c r="AY1191" s="42"/>
      <c r="AZ1191" s="46"/>
      <c r="BA1191" s="42"/>
      <c r="BB1191" s="42"/>
      <c r="BC1191" s="2"/>
      <c r="BD1191" s="2"/>
      <c r="BE1191" s="2"/>
      <c r="BF1191" s="2"/>
      <c r="BG1191" s="2"/>
      <c r="BH1191" s="2"/>
      <c r="BI1191" s="2"/>
      <c r="BJ1191" s="2"/>
      <c r="BK1191" s="2"/>
      <c r="BL1191" s="2"/>
      <c r="BM1191" s="2"/>
      <c r="BN1191" s="2"/>
      <c r="BO1191" s="2"/>
      <c r="BP1191" s="2"/>
      <c r="BQ1191" s="2"/>
      <c r="BR1191" s="2"/>
      <c r="BS1191" s="2"/>
      <c r="BT1191" s="2"/>
      <c r="BU1191" s="2"/>
      <c r="BV1191" s="2"/>
      <c r="BW1191" s="2"/>
      <c r="BX1191" s="2"/>
      <c r="BY1191" s="2"/>
      <c r="BZ1191" s="2"/>
      <c r="CA1191" s="2"/>
      <c r="CB1191" s="2"/>
      <c r="CC1191" s="2"/>
      <c r="CD1191" s="2"/>
      <c r="CE1191" s="2"/>
      <c r="CF1191" s="2"/>
      <c r="CG1191" s="2"/>
      <c r="CH1191" s="2"/>
      <c r="CI1191" s="2"/>
      <c r="CJ1191" s="2"/>
      <c r="CK1191" s="2"/>
      <c r="CL1191" s="2"/>
      <c r="CM1191" s="2"/>
      <c r="CN1191" s="2"/>
      <c r="CO1191" s="2"/>
      <c r="CP1191" s="2"/>
      <c r="CQ1191" s="2"/>
      <c r="CR1191" s="1"/>
      <c r="CS1191" s="1"/>
      <c r="CT1191" s="1"/>
      <c r="CU1191" s="1"/>
    </row>
    <row r="1192" spans="1:99" s="13" customFormat="1" ht="12" customHeight="1" x14ac:dyDescent="0.2">
      <c r="A1192" s="68">
        <v>43509</v>
      </c>
      <c r="B1192" s="70"/>
      <c r="C1192" s="70"/>
      <c r="D1192" s="69"/>
      <c r="E1192" s="87"/>
      <c r="F1192" s="69"/>
      <c r="G1192" s="69"/>
      <c r="H1192" s="69"/>
      <c r="I1192" s="69"/>
      <c r="J1192" s="69"/>
      <c r="K1192" s="107"/>
      <c r="L1192" s="107"/>
      <c r="M1192" s="69"/>
      <c r="N1192" s="69"/>
      <c r="O1192" s="69"/>
      <c r="P1192" s="69"/>
      <c r="Q1192" s="69"/>
      <c r="R1192" s="69"/>
      <c r="S1192" s="69"/>
      <c r="T1192" s="69"/>
      <c r="U1192" s="69"/>
      <c r="V1192" s="69"/>
      <c r="W1192" s="69"/>
      <c r="X1192" s="69"/>
      <c r="Y1192" s="87"/>
      <c r="Z1192" s="69"/>
      <c r="AA1192" s="69"/>
      <c r="AB1192" s="69"/>
      <c r="AC1192" s="69"/>
      <c r="AD1192" s="69"/>
      <c r="AE1192" s="69"/>
      <c r="AF1192" s="88"/>
      <c r="AG1192" s="72"/>
      <c r="AH1192" s="4"/>
      <c r="AI1192" s="72"/>
      <c r="AJ1192" s="110"/>
      <c r="AK1192" s="72"/>
      <c r="AL1192" s="72"/>
      <c r="AM1192" s="72"/>
      <c r="AN1192" s="72"/>
      <c r="AO1192" s="72"/>
      <c r="AP1192" s="72"/>
      <c r="AQ1192" s="89"/>
      <c r="AR1192" s="118"/>
      <c r="AS1192" s="89"/>
      <c r="AT1192" s="89"/>
      <c r="AU1192" s="4"/>
      <c r="AV1192" s="71">
        <f>24*60*60</f>
        <v>86400</v>
      </c>
      <c r="AW1192" s="71">
        <f>30*24*60*60*0.467</f>
        <v>1210464</v>
      </c>
      <c r="AX1192" s="71">
        <f>11*7*24*60*60</f>
        <v>6652800</v>
      </c>
      <c r="AY1192" s="42"/>
      <c r="AZ1192" s="46"/>
      <c r="BA1192" s="42"/>
      <c r="BB1192" s="42"/>
      <c r="BC1192" s="2"/>
      <c r="BD1192" s="2"/>
      <c r="BE1192" s="2"/>
      <c r="BF1192" s="2"/>
      <c r="BG1192" s="2"/>
      <c r="BH1192" s="2"/>
      <c r="BI1192" s="2"/>
      <c r="BJ1192" s="2"/>
      <c r="BK1192" s="2"/>
      <c r="BL1192" s="2"/>
      <c r="BM1192" s="2"/>
      <c r="BN1192" s="2"/>
      <c r="BO1192" s="2"/>
      <c r="BP1192" s="2"/>
      <c r="BQ1192" s="2"/>
      <c r="BR1192" s="2"/>
      <c r="BS1192" s="2"/>
      <c r="BT1192" s="2"/>
      <c r="BU1192" s="2"/>
      <c r="BV1192" s="2"/>
      <c r="BW1192" s="2"/>
      <c r="BX1192" s="2"/>
      <c r="BY1192" s="2"/>
      <c r="BZ1192" s="2"/>
      <c r="CA1192" s="2"/>
      <c r="CB1192" s="2"/>
      <c r="CC1192" s="2"/>
      <c r="CD1192" s="2"/>
      <c r="CE1192" s="2"/>
      <c r="CF1192" s="2"/>
      <c r="CG1192" s="2"/>
      <c r="CH1192" s="2"/>
      <c r="CI1192" s="2"/>
      <c r="CJ1192" s="2"/>
      <c r="CK1192" s="2"/>
      <c r="CL1192" s="2"/>
      <c r="CM1192" s="2"/>
      <c r="CN1192" s="2"/>
      <c r="CO1192" s="2"/>
      <c r="CP1192" s="2"/>
      <c r="CQ1192" s="2"/>
      <c r="CR1192" s="1"/>
      <c r="CS1192" s="1"/>
      <c r="CT1192" s="1"/>
      <c r="CU1192" s="1"/>
    </row>
    <row r="1193" spans="1:99" s="13" customFormat="1" ht="12" customHeight="1" x14ac:dyDescent="0.2">
      <c r="A1193" s="68">
        <v>43509</v>
      </c>
      <c r="B1193" s="70" t="s">
        <v>196</v>
      </c>
      <c r="C1193" s="70" t="s">
        <v>70</v>
      </c>
      <c r="D1193" s="69">
        <v>2006</v>
      </c>
      <c r="E1193" s="87">
        <v>1</v>
      </c>
      <c r="F1193" s="69">
        <v>13</v>
      </c>
      <c r="G1193" s="69">
        <v>13</v>
      </c>
      <c r="H1193" s="69" t="s">
        <v>30</v>
      </c>
      <c r="I1193" s="69" t="s">
        <v>810</v>
      </c>
      <c r="J1193" s="69" t="s">
        <v>704</v>
      </c>
      <c r="K1193" s="69">
        <f>IF(J1193="syllables",1,IF(J1193="trigrams",2,IF(J1193="strings",3,IF(J1193="visual array",4,IF(J1193="characters",5,IF(J1193="letters",6,IF(J1193="free forms",7,IF(J1193="odors",8,IF(J1193="words",9,IF(J1193="pictures",10,IF(J1193="object pictures",11,IF(J1193="faces",12,IF(J1193="names",13,IF(J1193="idioms",14,IF(J1193="grades",15,IF(J1193="syllable-digit pairs",16,IF(J1193="trigram-word pairs",17,IF(J1193="word-digit pairs",18,IF(J1193="English-Swahili pairs",19,IF(J1193="spatial position",20,IF(J1193="word pairs",21,IF(J1193="word triads",22,IF(J1193="generated words",23,IF(J1193="word definition pairs",24,IF(J1193="math problems",25,IF(J1193="famous faces",26,IF(J1193="famous names",27,IF(J1193="famous voices",28,IF(J1193="television programs",29,IF(J1193="race horses",30,IF(J1193="new vocabulary",31,IF(J1193="sentences",32,IF(J1193="concepts",33,IF(J1193="ad slides",34,IF(J1193="scenes",35,IF(J1193="famous scenes",36,IF(J1193="poems",37,IF(J1193="walk",38,IF(J1193="faces and events",39,IF(J1193="events and names",40,IF(J1193="flashbulb",41,IF(J1193="stories",42,IF(J1193="course material",43,IF(J1193="autobiographical",44,IF(J1193="novels",45,IF(J1193="public events",46,"99"))))))))))))))))))))))))))))))))))))))))))))))</f>
        <v>41</v>
      </c>
      <c r="L1193" s="69">
        <f>IF(J1193="syllables",1,IF(J1193="trigrams",1,IF(J1193="strings",1,IF(J1193="visual array",1,IF(J1193="characters",1,IF(J1193="letters",1,IF(J1193="free forms",1,IF(J1193="odors",2,IF(J1193="words",2,IF(J1193="pictures",2,IF(J1193="object pictures",2,IF(J1193="faces",2,IF(J1193="names",2,IF(J1193="idioms","2",IF(J1193="grades",2,IF(J1193="syllable-digit pairs",3,IF(J1193="trigram-word pairs",3,IF(J1193="word-digit pairs",3,IF(J1193="English-Swahili pairs",3,IF(J1193="spatial position",3,IF(J1193="word pairs",4,IF(J1193="word triads",4,IF(J1193="generated words",4,IF(J1193="word definition pairs",4,IF(J1193="math problems",4,IF(J1193="famous faces",4,IF(J1193="famous names",4,IF(J1193="famous voices",4,IF(J1193="television programs",4,IF(J1193="race horses",4,IF(J1193="new vocabulary",4,IF(J1193="sentences",5,IF(J1193="concepts",5,IF(J1193="ad slides",5,IF(J1193="scenes",5,IF(J1193="famous scenes",5,IF(J1193="poems",6,IF(J1193="walk",6,IF(J1193="faces and events",6,IF(J1193="events and names",6,IF(J1193="flashbulb",7,IF(J1193="stories",7,IF(J1193="course material",7,IF(J1193="autobiographical",7,IF(J1193="novels",7,IF(J1193="public events",7,"99"))))))))))))))))))))))))))))))))))))))))))))))</f>
        <v>7</v>
      </c>
      <c r="M1193" s="69">
        <v>1</v>
      </c>
      <c r="N1193" s="69">
        <v>4</v>
      </c>
      <c r="O1193" s="69">
        <v>0</v>
      </c>
      <c r="P1193" s="69"/>
      <c r="Q1193" s="69" t="s">
        <v>174</v>
      </c>
      <c r="R1193" s="69">
        <f>IF(Q1193="Free Recall",1,IF(Q1193="Cued Recall",2,IF(Q1193="Recognition",3,IF(Q1193="Multiple Choice",4,IF(Q1193="Savings",5,IF(Q1193="Stem Completion",6,IF(Q1193="Fragment Completion",7,IF(Q1193="anagram solution",8,IF(Q1193="Matching",9,IF(Q1193="Problem Solving",10,"99"))))))))))</f>
        <v>1</v>
      </c>
      <c r="S1193" s="69" t="s">
        <v>49</v>
      </c>
      <c r="T1193" s="92" t="s">
        <v>581</v>
      </c>
      <c r="U1193" s="69">
        <f>IF(T1193="within",1,0)</f>
        <v>1</v>
      </c>
      <c r="V1193" s="92">
        <v>2</v>
      </c>
      <c r="W1193" s="69">
        <f>F1193*V1193</f>
        <v>26</v>
      </c>
      <c r="X1193" s="69">
        <v>3</v>
      </c>
      <c r="Y1193" s="87">
        <f>AV1192</f>
        <v>86400</v>
      </c>
      <c r="Z1193" s="69" t="s">
        <v>530</v>
      </c>
      <c r="AA1193" s="87">
        <f>11*7*24*60*60</f>
        <v>6652800</v>
      </c>
      <c r="AB1193" s="69" t="str">
        <f>IF(AA1193&lt;60,"1",IF(AA1193&lt;=43200,"2",IF(AA1193&lt;=777600,"3","4")))</f>
        <v>4</v>
      </c>
      <c r="AC1193" s="72">
        <f>AVERAGE(AV1192:DA1192)</f>
        <v>2649888</v>
      </c>
      <c r="AD1193" s="69" t="str">
        <f>IF(AC1193&lt;60,"1",IF(AC1193&lt;=43200,"2",IF(AC1193&lt;=777600,"3","4")))</f>
        <v>4</v>
      </c>
      <c r="AE1193" s="87">
        <f>AA1193-Y1193</f>
        <v>6566400</v>
      </c>
      <c r="AF1193" s="88">
        <f>AV1193</f>
        <v>2.7E-2</v>
      </c>
      <c r="AG1193" s="72">
        <f>((AW1193-AV1193)+(AX1193-AW1193))/2</f>
        <v>1.1500000000000002E-2</v>
      </c>
      <c r="AH1193" s="4"/>
      <c r="AI1193" s="72">
        <f>RSQ(AV1193:AX1193,AV1192:AX1192)</f>
        <v>0.39961565319044362</v>
      </c>
      <c r="AJ1193" s="110">
        <f>SLOPE(AV1193:AX1193,AV1192:AX1192)</f>
        <v>2.390274507072709E-9</v>
      </c>
      <c r="AK1193" s="72">
        <f>INTERCEPT(AV1193:AX1193,AV1192:AX1192)</f>
        <v>3.5999373600335449E-2</v>
      </c>
      <c r="AL1193" s="72">
        <f>INDEX(LINEST(LN(AV1193:AX1193),LN(AV1192:AX1192),TRUE,TRUE),3,1)</f>
        <v>0.84845228383415228</v>
      </c>
      <c r="AM1193" s="72">
        <f>INDEX(LINEST(LN(AV1193:AX1193),LN(AV1192:AX1192)),1)</f>
        <v>0.14972400349157353</v>
      </c>
      <c r="AN1193" s="72">
        <f>EXP(INDEX(LINEST(LN(AV1193:AX1193),LN(AV1192:AX1192)),1,2))</f>
        <v>5.2394524866593833E-3</v>
      </c>
      <c r="AO1193" s="89">
        <f>INDEX(LINEST((AV1193:AX1193),LN(AV1192:AX1192),TRUE,TRUE),3,1)</f>
        <v>0.84845228383415239</v>
      </c>
      <c r="AP1193" s="89">
        <f>INDEX(LINEST((AV1193:AX1193),LN(AV1192:AX1192)),1)</f>
        <v>5.5886555376371792E-3</v>
      </c>
      <c r="AQ1193" s="90">
        <f>INDEX(LINEST(LN(AV1193:AX1193),SQRT(AV1192:AX1192),TRUE,TRUE),3,1)</f>
        <v>0.59289166407659522</v>
      </c>
      <c r="AR1193" s="117">
        <f>INDEX(LINEST(LN(AV1193:AX1193),SQRT((AV1192:AX1192))),1)</f>
        <v>2.3633550327263129E-4</v>
      </c>
      <c r="AS1193" s="91">
        <f>INDEX(LINEST(1/(AV1193:AX1193),1/(SQRT(AV1192:AX1192)),TRUE,TRUE),3,1)</f>
        <v>0.97383456521731415</v>
      </c>
      <c r="AT1193" s="91">
        <f>INDEX(LINEST(1/(AV1193:AX1193),1/SQRT(AV1192:AX1192)),1)</f>
        <v>6024.9463500067559</v>
      </c>
      <c r="AU1193" s="3"/>
      <c r="AV1193" s="73">
        <v>2.7E-2</v>
      </c>
      <c r="AW1193" s="73">
        <v>0.05</v>
      </c>
      <c r="AX1193" s="73">
        <v>0.05</v>
      </c>
      <c r="AY1193" s="42"/>
      <c r="AZ1193" s="46"/>
      <c r="BA1193" s="42"/>
      <c r="BB1193" s="42"/>
      <c r="BC1193" s="2"/>
      <c r="BD1193" s="2"/>
      <c r="BE1193" s="2"/>
      <c r="BF1193" s="2"/>
      <c r="BG1193" s="2"/>
      <c r="BH1193" s="2"/>
      <c r="BI1193" s="2"/>
      <c r="BJ1193" s="2"/>
      <c r="BK1193" s="2"/>
      <c r="BL1193" s="2"/>
      <c r="BM1193" s="2"/>
      <c r="BN1193" s="2"/>
      <c r="BO1193" s="2"/>
      <c r="BP1193" s="2"/>
      <c r="BQ1193" s="2"/>
      <c r="BR1193" s="2"/>
      <c r="BS1193" s="2"/>
      <c r="BT1193" s="2"/>
      <c r="BU1193" s="2"/>
      <c r="BV1193" s="2"/>
      <c r="BW1193" s="2"/>
      <c r="BX1193" s="2"/>
      <c r="BY1193" s="2"/>
      <c r="BZ1193" s="2"/>
      <c r="CA1193" s="2"/>
      <c r="CB1193" s="2"/>
      <c r="CC1193" s="2"/>
      <c r="CD1193" s="2"/>
      <c r="CE1193" s="2"/>
      <c r="CF1193" s="2"/>
      <c r="CG1193" s="2"/>
      <c r="CH1193" s="2"/>
      <c r="CI1193" s="2"/>
      <c r="CJ1193" s="2"/>
      <c r="CK1193" s="2"/>
      <c r="CL1193" s="2"/>
      <c r="CM1193" s="2"/>
      <c r="CN1193" s="2"/>
      <c r="CO1193" s="2"/>
      <c r="CP1193" s="2"/>
      <c r="CQ1193" s="2"/>
      <c r="CR1193" s="1"/>
      <c r="CS1193" s="1"/>
      <c r="CT1193" s="1"/>
      <c r="CU1193" s="1"/>
    </row>
    <row r="1194" spans="1:99" s="13" customFormat="1" ht="12" customHeight="1" x14ac:dyDescent="0.2">
      <c r="A1194" s="68">
        <v>43509</v>
      </c>
      <c r="B1194" s="70"/>
      <c r="C1194" s="70"/>
      <c r="D1194" s="69"/>
      <c r="E1194" s="87"/>
      <c r="F1194" s="69"/>
      <c r="G1194" s="69"/>
      <c r="H1194" s="69"/>
      <c r="I1194" s="69"/>
      <c r="J1194" s="69"/>
      <c r="K1194" s="107"/>
      <c r="L1194" s="107"/>
      <c r="M1194" s="69"/>
      <c r="N1194" s="69"/>
      <c r="O1194" s="69"/>
      <c r="P1194" s="69"/>
      <c r="Q1194" s="69"/>
      <c r="R1194" s="69"/>
      <c r="S1194" s="69"/>
      <c r="T1194" s="69"/>
      <c r="U1194" s="69"/>
      <c r="V1194" s="69"/>
      <c r="W1194" s="69"/>
      <c r="X1194" s="69"/>
      <c r="Y1194" s="87"/>
      <c r="Z1194" s="69"/>
      <c r="AA1194" s="69"/>
      <c r="AB1194" s="69"/>
      <c r="AC1194" s="69"/>
      <c r="AD1194" s="69"/>
      <c r="AE1194" s="69"/>
      <c r="AF1194" s="88"/>
      <c r="AG1194" s="72"/>
      <c r="AH1194" s="4"/>
      <c r="AI1194" s="72"/>
      <c r="AJ1194" s="110"/>
      <c r="AK1194" s="72"/>
      <c r="AL1194" s="72"/>
      <c r="AM1194" s="72"/>
      <c r="AN1194" s="72"/>
      <c r="AO1194" s="72"/>
      <c r="AP1194" s="72"/>
      <c r="AQ1194" s="89"/>
      <c r="AR1194" s="118"/>
      <c r="AS1194" s="89"/>
      <c r="AT1194" s="89"/>
      <c r="AU1194" s="4"/>
      <c r="AV1194" s="71">
        <f>24*60*60</f>
        <v>86400</v>
      </c>
      <c r="AW1194" s="71">
        <f>30*24*60*60*0.467</f>
        <v>1210464</v>
      </c>
      <c r="AX1194" s="71">
        <f>11*7*24*60*60</f>
        <v>6652800</v>
      </c>
      <c r="AY1194" s="42"/>
      <c r="AZ1194" s="46"/>
      <c r="BA1194" s="42"/>
      <c r="BB1194" s="42"/>
      <c r="BC1194" s="2"/>
      <c r="BD1194" s="2"/>
      <c r="BE1194" s="2"/>
      <c r="BF1194" s="2"/>
      <c r="BG1194" s="2"/>
      <c r="BH1194" s="2"/>
      <c r="BI1194" s="2"/>
      <c r="BJ1194" s="2"/>
      <c r="BK1194" s="2"/>
      <c r="BL1194" s="2"/>
      <c r="BM1194" s="2"/>
      <c r="BN1194" s="2"/>
      <c r="BO1194" s="2"/>
      <c r="BP1194" s="2"/>
      <c r="BQ1194" s="2"/>
      <c r="BR1194" s="2"/>
      <c r="BS1194" s="2"/>
      <c r="BT1194" s="2"/>
      <c r="BU1194" s="2"/>
      <c r="BV1194" s="2"/>
      <c r="BW1194" s="2"/>
      <c r="BX1194" s="2"/>
      <c r="BY1194" s="2"/>
      <c r="BZ1194" s="2"/>
      <c r="CA1194" s="2"/>
      <c r="CB1194" s="2"/>
      <c r="CC1194" s="2"/>
      <c r="CD1194" s="2"/>
      <c r="CE1194" s="2"/>
      <c r="CF1194" s="2"/>
      <c r="CG1194" s="2"/>
      <c r="CH1194" s="2"/>
      <c r="CI1194" s="2"/>
      <c r="CJ1194" s="2"/>
      <c r="CK1194" s="2"/>
      <c r="CL1194" s="2"/>
      <c r="CM1194" s="2"/>
      <c r="CN1194" s="2"/>
      <c r="CO1194" s="2"/>
      <c r="CP1194" s="2"/>
      <c r="CQ1194" s="2"/>
      <c r="CR1194" s="1"/>
      <c r="CS1194" s="1"/>
      <c r="CT1194" s="1"/>
      <c r="CU1194" s="1"/>
    </row>
    <row r="1195" spans="1:99" s="13" customFormat="1" ht="12" customHeight="1" x14ac:dyDescent="0.2">
      <c r="A1195" s="68">
        <v>43509</v>
      </c>
      <c r="B1195" s="70" t="s">
        <v>196</v>
      </c>
      <c r="C1195" s="70" t="s">
        <v>70</v>
      </c>
      <c r="D1195" s="69">
        <v>2006</v>
      </c>
      <c r="E1195" s="87">
        <v>1</v>
      </c>
      <c r="F1195" s="69">
        <v>13</v>
      </c>
      <c r="G1195" s="69">
        <v>13</v>
      </c>
      <c r="H1195" s="69" t="s">
        <v>30</v>
      </c>
      <c r="I1195" s="69" t="s">
        <v>811</v>
      </c>
      <c r="J1195" s="69" t="s">
        <v>704</v>
      </c>
      <c r="K1195" s="69">
        <f>IF(J1195="syllables",1,IF(J1195="trigrams",2,IF(J1195="strings",3,IF(J1195="visual array",4,IF(J1195="characters",5,IF(J1195="letters",6,IF(J1195="free forms",7,IF(J1195="odors",8,IF(J1195="words",9,IF(J1195="pictures",10,IF(J1195="object pictures",11,IF(J1195="faces",12,IF(J1195="names",13,IF(J1195="idioms",14,IF(J1195="grades",15,IF(J1195="syllable-digit pairs",16,IF(J1195="trigram-word pairs",17,IF(J1195="word-digit pairs",18,IF(J1195="English-Swahili pairs",19,IF(J1195="spatial position",20,IF(J1195="word pairs",21,IF(J1195="word triads",22,IF(J1195="generated words",23,IF(J1195="word definition pairs",24,IF(J1195="math problems",25,IF(J1195="famous faces",26,IF(J1195="famous names",27,IF(J1195="famous voices",28,IF(J1195="television programs",29,IF(J1195="race horses",30,IF(J1195="new vocabulary",31,IF(J1195="sentences",32,IF(J1195="concepts",33,IF(J1195="ad slides",34,IF(J1195="scenes",35,IF(J1195="famous scenes",36,IF(J1195="poems",37,IF(J1195="walk",38,IF(J1195="faces and events",39,IF(J1195="events and names",40,IF(J1195="flashbulb",41,IF(J1195="stories",42,IF(J1195="course material",43,IF(J1195="autobiographical",44,IF(J1195="novels",45,IF(J1195="public events",46,"99"))))))))))))))))))))))))))))))))))))))))))))))</f>
        <v>41</v>
      </c>
      <c r="L1195" s="69">
        <f>IF(J1195="syllables",1,IF(J1195="trigrams",1,IF(J1195="strings",1,IF(J1195="visual array",1,IF(J1195="characters",1,IF(J1195="letters",1,IF(J1195="free forms",1,IF(J1195="odors",2,IF(J1195="words",2,IF(J1195="pictures",2,IF(J1195="object pictures",2,IF(J1195="faces",2,IF(J1195="names",2,IF(J1195="idioms","2",IF(J1195="grades",2,IF(J1195="syllable-digit pairs",3,IF(J1195="trigram-word pairs",3,IF(J1195="word-digit pairs",3,IF(J1195="English-Swahili pairs",3,IF(J1195="spatial position",3,IF(J1195="word pairs",4,IF(J1195="word triads",4,IF(J1195="generated words",4,IF(J1195="word definition pairs",4,IF(J1195="math problems",4,IF(J1195="famous faces",4,IF(J1195="famous names",4,IF(J1195="famous voices",4,IF(J1195="television programs",4,IF(J1195="race horses",4,IF(J1195="new vocabulary",4,IF(J1195="sentences",5,IF(J1195="concepts",5,IF(J1195="ad slides",5,IF(J1195="scenes",5,IF(J1195="famous scenes",5,IF(J1195="poems",6,IF(J1195="walk",6,IF(J1195="faces and events",6,IF(J1195="events and names",6,IF(J1195="flashbulb",7,IF(J1195="stories",7,IF(J1195="course material",7,IF(J1195="autobiographical",7,IF(J1195="novels",7,IF(J1195="public events",7,"99"))))))))))))))))))))))))))))))))))))))))))))))</f>
        <v>7</v>
      </c>
      <c r="M1195" s="69">
        <v>1</v>
      </c>
      <c r="N1195" s="69">
        <v>4</v>
      </c>
      <c r="O1195" s="69">
        <v>0</v>
      </c>
      <c r="P1195" s="69"/>
      <c r="Q1195" s="69" t="s">
        <v>174</v>
      </c>
      <c r="R1195" s="69">
        <f>IF(Q1195="Free Recall",1,IF(Q1195="Cued Recall",2,IF(Q1195="Recognition",3,IF(Q1195="Multiple Choice",4,IF(Q1195="Savings",5,IF(Q1195="Stem Completion",6,IF(Q1195="Fragment Completion",7,IF(Q1195="anagram solution",8,IF(Q1195="Matching",9,IF(Q1195="Problem Solving",10,"99"))))))))))</f>
        <v>1</v>
      </c>
      <c r="S1195" s="69" t="s">
        <v>49</v>
      </c>
      <c r="T1195" s="92" t="s">
        <v>581</v>
      </c>
      <c r="U1195" s="69">
        <f>IF(T1195="within",1,0)</f>
        <v>1</v>
      </c>
      <c r="V1195" s="92">
        <v>3</v>
      </c>
      <c r="W1195" s="69">
        <f>F1195*V1195</f>
        <v>39</v>
      </c>
      <c r="X1195" s="69">
        <v>3</v>
      </c>
      <c r="Y1195" s="87">
        <f>AV1194</f>
        <v>86400</v>
      </c>
      <c r="Z1195" s="69" t="s">
        <v>530</v>
      </c>
      <c r="AA1195" s="87">
        <f>11*7*24*60*60</f>
        <v>6652800</v>
      </c>
      <c r="AB1195" s="69" t="str">
        <f>IF(AA1195&lt;60,"1",IF(AA1195&lt;=43200,"2",IF(AA1195&lt;=777600,"3","4")))</f>
        <v>4</v>
      </c>
      <c r="AC1195" s="72">
        <f>AVERAGE(AV1194:DA1194)</f>
        <v>2649888</v>
      </c>
      <c r="AD1195" s="69" t="str">
        <f>IF(AC1195&lt;60,"1",IF(AC1195&lt;=43200,"2",IF(AC1195&lt;=777600,"3","4")))</f>
        <v>4</v>
      </c>
      <c r="AE1195" s="87">
        <f>AA1195-Y1195</f>
        <v>6566400</v>
      </c>
      <c r="AF1195" s="88">
        <f>AV1195</f>
        <v>1</v>
      </c>
      <c r="AG1195" s="72">
        <f>((AW1195-AV1195)+(AX1195-AW1195))/2</f>
        <v>-5.7499999999999996E-2</v>
      </c>
      <c r="AH1195" s="4"/>
      <c r="AI1195" s="72">
        <f>RSQ(AV1195:AX1195,AV1194:AX1194)</f>
        <v>0.72123585241556276</v>
      </c>
      <c r="AJ1195" s="110">
        <f>SLOPE(AV1195:AX1195,AV1194:AX1194)</f>
        <v>-1.4168859068294758E-8</v>
      </c>
      <c r="AK1195" s="72">
        <f>INTERCEPT(AV1195:AX1195,AV1194:AX1194)</f>
        <v>0.97354588961876543</v>
      </c>
      <c r="AL1195" s="72">
        <f>INDEX(LINEST(LN(AV1195:AX1195),LN(AV1194:AX1194),TRUE,TRUE),3,1)</f>
        <v>0.99705011781752595</v>
      </c>
      <c r="AM1195" s="72">
        <f>INDEX(LINEST(LN(AV1195:AX1195),LN(AV1194:AX1194)),1)</f>
        <v>-2.8316122209775682E-2</v>
      </c>
      <c r="AN1195" s="72">
        <f>EXP(INDEX(LINEST(LN(AV1195:AX1195),LN(AV1194:AX1194)),1,2))</f>
        <v>1.3776054272972009</v>
      </c>
      <c r="AO1195" s="89">
        <f>INDEX(LINEST((AV1195:AX1195),LN(AV1194:AX1194),TRUE,TRUE),3,1)</f>
        <v>0.9951616711057929</v>
      </c>
      <c r="AP1195" s="89">
        <f>INDEX(LINEST((AV1195:AX1195),LN(AV1194:AX1194)),1)</f>
        <v>-2.6706079910039749E-2</v>
      </c>
      <c r="AQ1195" s="90">
        <f>INDEX(LINEST(LN(AV1195:AX1195),SQRT(AV1194:AX1194),TRUE,TRUE),3,1)</f>
        <v>0.88470406692412251</v>
      </c>
      <c r="AR1195" s="117">
        <f>INDEX(LINEST(LN(AV1195:AX1195),SQRT((AV1194:AX1194))),1)</f>
        <v>-5.0366047579676756E-5</v>
      </c>
      <c r="AS1195" s="91">
        <f>INDEX(LINEST(1/(AV1195:AX1195),1/(SQRT(AV1194:AX1194)),TRUE,TRUE),3,1)</f>
        <v>0.96107106985339807</v>
      </c>
      <c r="AT1195" s="91">
        <f>INDEX(LINEST(1/(AV1195:AX1195),1/SQRT(AV1194:AX1194)),1)</f>
        <v>-40.062715685617007</v>
      </c>
      <c r="AU1195" s="3"/>
      <c r="AV1195" s="73">
        <v>1</v>
      </c>
      <c r="AW1195" s="73">
        <v>0.92300000000000004</v>
      </c>
      <c r="AX1195" s="73">
        <v>0.88500000000000001</v>
      </c>
      <c r="AY1195" s="42"/>
      <c r="AZ1195" s="46"/>
      <c r="BA1195" s="42"/>
      <c r="BB1195" s="42"/>
      <c r="BC1195" s="2"/>
      <c r="BD1195" s="2"/>
      <c r="BE1195" s="2"/>
      <c r="BF1195" s="2"/>
      <c r="BG1195" s="2"/>
      <c r="BH1195" s="2"/>
      <c r="BI1195" s="2"/>
      <c r="BJ1195" s="2"/>
      <c r="BK1195" s="2"/>
      <c r="BL1195" s="2"/>
      <c r="BM1195" s="2"/>
      <c r="BN1195" s="2"/>
      <c r="BO1195" s="2"/>
      <c r="BP1195" s="2"/>
      <c r="BQ1195" s="2"/>
      <c r="BR1195" s="2"/>
      <c r="BS1195" s="2"/>
      <c r="BT1195" s="2"/>
      <c r="BU1195" s="2"/>
      <c r="BV1195" s="2"/>
      <c r="BW1195" s="2"/>
      <c r="BX1195" s="2"/>
      <c r="BY1195" s="2"/>
      <c r="BZ1195" s="2"/>
      <c r="CA1195" s="2"/>
      <c r="CB1195" s="2"/>
      <c r="CC1195" s="2"/>
      <c r="CD1195" s="2"/>
      <c r="CE1195" s="2"/>
      <c r="CF1195" s="2"/>
      <c r="CG1195" s="2"/>
      <c r="CH1195" s="2"/>
      <c r="CI1195" s="2"/>
      <c r="CJ1195" s="2"/>
      <c r="CK1195" s="2"/>
      <c r="CL1195" s="2"/>
      <c r="CM1195" s="2"/>
      <c r="CN1195" s="2"/>
      <c r="CO1195" s="2"/>
      <c r="CP1195" s="2"/>
      <c r="CQ1195" s="2"/>
      <c r="CR1195" s="1"/>
      <c r="CS1195" s="1"/>
      <c r="CT1195" s="1"/>
      <c r="CU1195" s="1"/>
    </row>
    <row r="1196" spans="1:99" s="13" customFormat="1" ht="12" customHeight="1" x14ac:dyDescent="0.2">
      <c r="A1196" s="68">
        <v>43509</v>
      </c>
      <c r="B1196" s="70"/>
      <c r="C1196" s="70"/>
      <c r="D1196" s="69"/>
      <c r="E1196" s="87"/>
      <c r="F1196" s="69"/>
      <c r="G1196" s="69"/>
      <c r="H1196" s="69"/>
      <c r="I1196" s="69"/>
      <c r="J1196" s="69"/>
      <c r="K1196" s="107"/>
      <c r="L1196" s="107"/>
      <c r="M1196" s="69"/>
      <c r="N1196" s="69"/>
      <c r="O1196" s="69"/>
      <c r="P1196" s="69"/>
      <c r="Q1196" s="69"/>
      <c r="R1196" s="69"/>
      <c r="S1196" s="69"/>
      <c r="T1196" s="69"/>
      <c r="U1196" s="69"/>
      <c r="V1196" s="69"/>
      <c r="W1196" s="69"/>
      <c r="X1196" s="69"/>
      <c r="Y1196" s="87"/>
      <c r="Z1196" s="69"/>
      <c r="AA1196" s="69"/>
      <c r="AB1196" s="69"/>
      <c r="AC1196" s="69"/>
      <c r="AD1196" s="69"/>
      <c r="AE1196" s="69"/>
      <c r="AF1196" s="88"/>
      <c r="AG1196" s="72"/>
      <c r="AH1196" s="4"/>
      <c r="AI1196" s="72"/>
      <c r="AJ1196" s="110"/>
      <c r="AK1196" s="72"/>
      <c r="AL1196" s="72"/>
      <c r="AM1196" s="72"/>
      <c r="AN1196" s="72"/>
      <c r="AO1196" s="72"/>
      <c r="AP1196" s="72"/>
      <c r="AQ1196" s="89"/>
      <c r="AR1196" s="118"/>
      <c r="AS1196" s="89"/>
      <c r="AT1196" s="89"/>
      <c r="AU1196" s="4"/>
      <c r="AV1196" s="71">
        <f>24*60*60</f>
        <v>86400</v>
      </c>
      <c r="AW1196" s="71">
        <f>30*24*60*60*0.467</f>
        <v>1210464</v>
      </c>
      <c r="AX1196" s="71">
        <f>11*7*24*60*60</f>
        <v>6652800</v>
      </c>
      <c r="AY1196" s="42"/>
      <c r="AZ1196" s="46"/>
      <c r="BA1196" s="42"/>
      <c r="BB1196" s="42"/>
      <c r="BC1196" s="2"/>
      <c r="BD1196" s="2"/>
      <c r="BE1196" s="2"/>
      <c r="BF1196" s="2"/>
      <c r="BG1196" s="2"/>
      <c r="BH1196" s="2"/>
      <c r="BI1196" s="2"/>
      <c r="BJ1196" s="2"/>
      <c r="BK1196" s="2"/>
      <c r="BL1196" s="2"/>
      <c r="BM1196" s="2"/>
      <c r="BN1196" s="2"/>
      <c r="BO1196" s="2"/>
      <c r="BP1196" s="2"/>
      <c r="BQ1196" s="2"/>
      <c r="BR1196" s="2"/>
      <c r="BS1196" s="2"/>
      <c r="BT1196" s="2"/>
      <c r="BU1196" s="2"/>
      <c r="BV1196" s="2"/>
      <c r="BW1196" s="2"/>
      <c r="BX1196" s="2"/>
      <c r="BY1196" s="2"/>
      <c r="BZ1196" s="2"/>
      <c r="CA1196" s="2"/>
      <c r="CB1196" s="2"/>
      <c r="CC1196" s="2"/>
      <c r="CD1196" s="2"/>
      <c r="CE1196" s="2"/>
      <c r="CF1196" s="2"/>
      <c r="CG1196" s="2"/>
      <c r="CH1196" s="2"/>
      <c r="CI1196" s="2"/>
      <c r="CJ1196" s="2"/>
      <c r="CK1196" s="2"/>
      <c r="CL1196" s="2"/>
      <c r="CM1196" s="2"/>
      <c r="CN1196" s="2"/>
      <c r="CO1196" s="2"/>
      <c r="CP1196" s="2"/>
      <c r="CQ1196" s="2"/>
      <c r="CR1196" s="1"/>
      <c r="CS1196" s="1"/>
      <c r="CT1196" s="1"/>
      <c r="CU1196" s="1"/>
    </row>
    <row r="1197" spans="1:99" s="13" customFormat="1" ht="12" customHeight="1" x14ac:dyDescent="0.2">
      <c r="A1197" s="68">
        <v>43509</v>
      </c>
      <c r="B1197" s="70" t="s">
        <v>196</v>
      </c>
      <c r="C1197" s="70" t="s">
        <v>70</v>
      </c>
      <c r="D1197" s="69">
        <v>2006</v>
      </c>
      <c r="E1197" s="87">
        <v>1</v>
      </c>
      <c r="F1197" s="69">
        <v>13</v>
      </c>
      <c r="G1197" s="69">
        <v>13</v>
      </c>
      <c r="H1197" s="69" t="s">
        <v>30</v>
      </c>
      <c r="I1197" s="69" t="s">
        <v>811</v>
      </c>
      <c r="J1197" s="69" t="s">
        <v>704</v>
      </c>
      <c r="K1197" s="69">
        <f>IF(J1197="syllables",1,IF(J1197="trigrams",2,IF(J1197="strings",3,IF(J1197="visual array",4,IF(J1197="characters",5,IF(J1197="letters",6,IF(J1197="free forms",7,IF(J1197="odors",8,IF(J1197="words",9,IF(J1197="pictures",10,IF(J1197="object pictures",11,IF(J1197="faces",12,IF(J1197="names",13,IF(J1197="idioms",14,IF(J1197="grades",15,IF(J1197="syllable-digit pairs",16,IF(J1197="trigram-word pairs",17,IF(J1197="word-digit pairs",18,IF(J1197="English-Swahili pairs",19,IF(J1197="spatial position",20,IF(J1197="word pairs",21,IF(J1197="word triads",22,IF(J1197="generated words",23,IF(J1197="word definition pairs",24,IF(J1197="math problems",25,IF(J1197="famous faces",26,IF(J1197="famous names",27,IF(J1197="famous voices",28,IF(J1197="television programs",29,IF(J1197="race horses",30,IF(J1197="new vocabulary",31,IF(J1197="sentences",32,IF(J1197="concepts",33,IF(J1197="ad slides",34,IF(J1197="scenes",35,IF(J1197="famous scenes",36,IF(J1197="poems",37,IF(J1197="walk",38,IF(J1197="faces and events",39,IF(J1197="events and names",40,IF(J1197="flashbulb",41,IF(J1197="stories",42,IF(J1197="course material",43,IF(J1197="autobiographical",44,IF(J1197="novels",45,IF(J1197="public events",46,"99"))))))))))))))))))))))))))))))))))))))))))))))</f>
        <v>41</v>
      </c>
      <c r="L1197" s="69">
        <f>IF(J1197="syllables",1,IF(J1197="trigrams",1,IF(J1197="strings",1,IF(J1197="visual array",1,IF(J1197="characters",1,IF(J1197="letters",1,IF(J1197="free forms",1,IF(J1197="odors",2,IF(J1197="words",2,IF(J1197="pictures",2,IF(J1197="object pictures",2,IF(J1197="faces",2,IF(J1197="names",2,IF(J1197="idioms","2",IF(J1197="grades",2,IF(J1197="syllable-digit pairs",3,IF(J1197="trigram-word pairs",3,IF(J1197="word-digit pairs",3,IF(J1197="English-Swahili pairs",3,IF(J1197="spatial position",3,IF(J1197="word pairs",4,IF(J1197="word triads",4,IF(J1197="generated words",4,IF(J1197="word definition pairs",4,IF(J1197="math problems",4,IF(J1197="famous faces",4,IF(J1197="famous names",4,IF(J1197="famous voices",4,IF(J1197="television programs",4,IF(J1197="race horses",4,IF(J1197="new vocabulary",4,IF(J1197="sentences",5,IF(J1197="concepts",5,IF(J1197="ad slides",5,IF(J1197="scenes",5,IF(J1197="famous scenes",5,IF(J1197="poems",6,IF(J1197="walk",6,IF(J1197="faces and events",6,IF(J1197="events and names",6,IF(J1197="flashbulb",7,IF(J1197="stories",7,IF(J1197="course material",7,IF(J1197="autobiographical",7,IF(J1197="novels",7,IF(J1197="public events",7,"99"))))))))))))))))))))))))))))))))))))))))))))))</f>
        <v>7</v>
      </c>
      <c r="M1197" s="69">
        <v>1</v>
      </c>
      <c r="N1197" s="69">
        <v>4</v>
      </c>
      <c r="O1197" s="69">
        <v>0</v>
      </c>
      <c r="P1197" s="69"/>
      <c r="Q1197" s="69" t="s">
        <v>174</v>
      </c>
      <c r="R1197" s="69">
        <f>IF(Q1197="Free Recall",1,IF(Q1197="Cued Recall",2,IF(Q1197="Recognition",3,IF(Q1197="Multiple Choice",4,IF(Q1197="Savings",5,IF(Q1197="Stem Completion",6,IF(Q1197="Fragment Completion",7,IF(Q1197="anagram solution",8,IF(Q1197="Matching",9,IF(Q1197="Problem Solving",10,"99"))))))))))</f>
        <v>1</v>
      </c>
      <c r="S1197" s="69" t="s">
        <v>49</v>
      </c>
      <c r="T1197" s="92" t="s">
        <v>581</v>
      </c>
      <c r="U1197" s="69">
        <f>IF(T1197="within",1,0)</f>
        <v>1</v>
      </c>
      <c r="V1197" s="92">
        <v>3</v>
      </c>
      <c r="W1197" s="69">
        <f>F1197*V1197</f>
        <v>39</v>
      </c>
      <c r="X1197" s="69">
        <v>3</v>
      </c>
      <c r="Y1197" s="87">
        <f>AV1196</f>
        <v>86400</v>
      </c>
      <c r="Z1197" s="69" t="s">
        <v>530</v>
      </c>
      <c r="AA1197" s="87">
        <f>11*7*24*60*60</f>
        <v>6652800</v>
      </c>
      <c r="AB1197" s="69" t="str">
        <f>IF(AA1197&lt;60,"1",IF(AA1197&lt;=43200,"2",IF(AA1197&lt;=777600,"3","4")))</f>
        <v>4</v>
      </c>
      <c r="AC1197" s="72">
        <f>AVERAGE(AV1196:DA1196)</f>
        <v>2649888</v>
      </c>
      <c r="AD1197" s="69" t="str">
        <f>IF(AC1197&lt;60,"1",IF(AC1197&lt;=43200,"2",IF(AC1197&lt;=777600,"3","4")))</f>
        <v>4</v>
      </c>
      <c r="AE1197" s="87">
        <f>AA1197-Y1197</f>
        <v>6566400</v>
      </c>
      <c r="AF1197" s="88">
        <f>AV1197</f>
        <v>0.60199999999999998</v>
      </c>
      <c r="AG1197" s="72">
        <f>((AW1197-AV1197)+(AX1197-AW1197))/2</f>
        <v>5.7999999999999996E-2</v>
      </c>
      <c r="AH1197" s="4"/>
      <c r="AI1197" s="72">
        <f>RSQ(AV1197:AX1197,AV1196:AX1196)</f>
        <v>0.24465723466554684</v>
      </c>
      <c r="AJ1197" s="110">
        <f>SLOPE(AV1197:AX1197,AV1196:AX1196)</f>
        <v>1.0596424794898227E-8</v>
      </c>
      <c r="AK1197" s="72">
        <f>INTERCEPT(AV1197:AX1197,AV1196:AX1196)</f>
        <v>0.65958732775976325</v>
      </c>
      <c r="AL1197" s="72">
        <f>INDEX(LINEST(LN(AV1197:AX1197),LN(AV1196:AX1196),TRUE,TRUE),3,1)</f>
        <v>0.72501458941722718</v>
      </c>
      <c r="AM1197" s="72">
        <f>INDEX(LINEST(LN(AV1197:AX1197),LN(AV1196:AX1196)),1)</f>
        <v>4.3931246996715856E-2</v>
      </c>
      <c r="AN1197" s="72">
        <f>EXP(INDEX(LINEST(LN(AV1197:AX1197),LN(AV1196:AX1196)),1,2))</f>
        <v>0.37522283714963967</v>
      </c>
      <c r="AO1197" s="89">
        <f>INDEX(LINEST((AV1197:AX1197),LN(AV1196:AX1196),TRUE,TRUE),3,1)</f>
        <v>0.71171708726986171</v>
      </c>
      <c r="AP1197" s="89">
        <f>INDEX(LINEST((AV1197:AX1197),LN(AV1196:AX1196)),1)</f>
        <v>2.9000208618236507E-2</v>
      </c>
      <c r="AQ1197" s="90">
        <f>INDEX(LINEST(LN(AV1197:AX1197),SQRT(AV1196:AX1196),TRUE,TRUE),3,1)</f>
        <v>0.44143218760286418</v>
      </c>
      <c r="AR1197" s="117">
        <f>INDEX(LINEST(LN(AV1197:AX1197),SQRT((AV1196:AX1196))),1)</f>
        <v>6.4728528281118823E-5</v>
      </c>
      <c r="AS1197" s="91">
        <f>INDEX(LINEST(1/(AV1197:AX1197),1/(SQRT(AV1196:AX1196)),TRUE,TRUE),3,1)</f>
        <v>0.91229166588268773</v>
      </c>
      <c r="AT1197" s="91">
        <f>INDEX(LINEST(1/(AV1197:AX1197),1/SQRT(AV1196:AX1196)),1)</f>
        <v>100.84021054309488</v>
      </c>
      <c r="AU1197" s="3"/>
      <c r="AV1197" s="73">
        <v>0.60199999999999998</v>
      </c>
      <c r="AW1197" s="73">
        <v>0.74299999999999999</v>
      </c>
      <c r="AX1197" s="73">
        <v>0.71799999999999997</v>
      </c>
      <c r="AY1197" s="42"/>
      <c r="AZ1197" s="46"/>
      <c r="BA1197" s="42"/>
      <c r="BB1197" s="42"/>
      <c r="BC1197" s="2"/>
      <c r="BD1197" s="2"/>
      <c r="BE1197" s="2"/>
      <c r="BF1197" s="2"/>
      <c r="BG1197" s="2"/>
      <c r="BH1197" s="2"/>
      <c r="BI1197" s="2"/>
      <c r="BJ1197" s="2"/>
      <c r="BK1197" s="2"/>
      <c r="BL1197" s="2"/>
      <c r="BM1197" s="2"/>
      <c r="BN1197" s="2"/>
      <c r="BO1197" s="2"/>
      <c r="BP1197" s="2"/>
      <c r="BQ1197" s="2"/>
      <c r="BR1197" s="2"/>
      <c r="BS1197" s="2"/>
      <c r="BT1197" s="2"/>
      <c r="BU1197" s="2"/>
      <c r="BV1197" s="2"/>
      <c r="BW1197" s="2"/>
      <c r="BX1197" s="2"/>
      <c r="BY1197" s="2"/>
      <c r="BZ1197" s="2"/>
      <c r="CA1197" s="2"/>
      <c r="CB1197" s="2"/>
      <c r="CC1197" s="2"/>
      <c r="CD1197" s="2"/>
      <c r="CE1197" s="2"/>
      <c r="CF1197" s="2"/>
      <c r="CG1197" s="2"/>
      <c r="CH1197" s="2"/>
      <c r="CI1197" s="2"/>
      <c r="CJ1197" s="2"/>
      <c r="CK1197" s="2"/>
      <c r="CL1197" s="2"/>
      <c r="CM1197" s="2"/>
      <c r="CN1197" s="2"/>
      <c r="CO1197" s="2"/>
      <c r="CP1197" s="2"/>
      <c r="CQ1197" s="2"/>
      <c r="CR1197" s="1"/>
      <c r="CS1197" s="1"/>
      <c r="CT1197" s="1"/>
      <c r="CU1197" s="1"/>
    </row>
    <row r="1198" spans="1:99" s="13" customFormat="1" ht="12" customHeight="1" x14ac:dyDescent="0.2">
      <c r="A1198" s="68">
        <v>43509</v>
      </c>
      <c r="B1198" s="70"/>
      <c r="C1198" s="70"/>
      <c r="D1198" s="69"/>
      <c r="E1198" s="87"/>
      <c r="F1198" s="69"/>
      <c r="G1198" s="69"/>
      <c r="H1198" s="69"/>
      <c r="I1198" s="69"/>
      <c r="J1198" s="69"/>
      <c r="K1198" s="107"/>
      <c r="L1198" s="107"/>
      <c r="M1198" s="69"/>
      <c r="N1198" s="69"/>
      <c r="O1198" s="69"/>
      <c r="P1198" s="69"/>
      <c r="Q1198" s="69"/>
      <c r="R1198" s="69"/>
      <c r="S1198" s="69"/>
      <c r="T1198" s="69"/>
      <c r="U1198" s="69"/>
      <c r="V1198" s="69"/>
      <c r="W1198" s="69"/>
      <c r="X1198" s="69"/>
      <c r="Y1198" s="87"/>
      <c r="Z1198" s="69"/>
      <c r="AA1198" s="69"/>
      <c r="AB1198" s="69"/>
      <c r="AC1198" s="69"/>
      <c r="AD1198" s="69"/>
      <c r="AE1198" s="69"/>
      <c r="AF1198" s="88"/>
      <c r="AG1198" s="72"/>
      <c r="AH1198" s="4"/>
      <c r="AI1198" s="72"/>
      <c r="AJ1198" s="110"/>
      <c r="AK1198" s="72"/>
      <c r="AL1198" s="72"/>
      <c r="AM1198" s="72"/>
      <c r="AN1198" s="72"/>
      <c r="AO1198" s="72"/>
      <c r="AP1198" s="72"/>
      <c r="AQ1198" s="89"/>
      <c r="AR1198" s="118"/>
      <c r="AS1198" s="89"/>
      <c r="AT1198" s="89"/>
      <c r="AU1198" s="4"/>
      <c r="AV1198" s="71">
        <f>24*60*60</f>
        <v>86400</v>
      </c>
      <c r="AW1198" s="71">
        <f>30*24*60*60*0.467</f>
        <v>1210464</v>
      </c>
      <c r="AX1198" s="71">
        <f>11*7*24*60*60</f>
        <v>6652800</v>
      </c>
      <c r="AY1198" s="42"/>
      <c r="AZ1198" s="46"/>
      <c r="BA1198" s="42"/>
      <c r="BB1198" s="42"/>
      <c r="BC1198" s="2"/>
      <c r="BD1198" s="2"/>
      <c r="BE1198" s="2"/>
      <c r="BF1198" s="2"/>
      <c r="BG1198" s="2"/>
      <c r="BH1198" s="2"/>
      <c r="BI1198" s="2"/>
      <c r="BJ1198" s="2"/>
      <c r="BK1198" s="2"/>
      <c r="BL1198" s="2"/>
      <c r="BM1198" s="2"/>
      <c r="BN1198" s="2"/>
      <c r="BO1198" s="2"/>
      <c r="BP1198" s="2"/>
      <c r="BQ1198" s="2"/>
      <c r="BR1198" s="2"/>
      <c r="BS1198" s="2"/>
      <c r="BT1198" s="2"/>
      <c r="BU1198" s="2"/>
      <c r="BV1198" s="2"/>
      <c r="BW1198" s="2"/>
      <c r="BX1198" s="2"/>
      <c r="BY1198" s="2"/>
      <c r="BZ1198" s="2"/>
      <c r="CA1198" s="2"/>
      <c r="CB1198" s="2"/>
      <c r="CC1198" s="2"/>
      <c r="CD1198" s="2"/>
      <c r="CE1198" s="2"/>
      <c r="CF1198" s="2"/>
      <c r="CG1198" s="2"/>
      <c r="CH1198" s="2"/>
      <c r="CI1198" s="2"/>
      <c r="CJ1198" s="2"/>
      <c r="CK1198" s="2"/>
      <c r="CL1198" s="2"/>
      <c r="CM1198" s="2"/>
      <c r="CN1198" s="2"/>
      <c r="CO1198" s="2"/>
      <c r="CP1198" s="2"/>
      <c r="CQ1198" s="2"/>
      <c r="CR1198" s="1"/>
      <c r="CS1198" s="1"/>
      <c r="CT1198" s="1"/>
      <c r="CU1198" s="1"/>
    </row>
    <row r="1199" spans="1:99" s="13" customFormat="1" ht="12" customHeight="1" x14ac:dyDescent="0.2">
      <c r="A1199" s="68">
        <v>43509</v>
      </c>
      <c r="B1199" s="70" t="s">
        <v>196</v>
      </c>
      <c r="C1199" s="70" t="s">
        <v>70</v>
      </c>
      <c r="D1199" s="69">
        <v>2006</v>
      </c>
      <c r="E1199" s="87">
        <v>1</v>
      </c>
      <c r="F1199" s="69">
        <v>13</v>
      </c>
      <c r="G1199" s="69">
        <v>13</v>
      </c>
      <c r="H1199" s="69" t="s">
        <v>30</v>
      </c>
      <c r="I1199" s="69" t="s">
        <v>811</v>
      </c>
      <c r="J1199" s="69" t="s">
        <v>704</v>
      </c>
      <c r="K1199" s="69">
        <f>IF(J1199="syllables",1,IF(J1199="trigrams",2,IF(J1199="strings",3,IF(J1199="visual array",4,IF(J1199="characters",5,IF(J1199="letters",6,IF(J1199="free forms",7,IF(J1199="odors",8,IF(J1199="words",9,IF(J1199="pictures",10,IF(J1199="object pictures",11,IF(J1199="faces",12,IF(J1199="names",13,IF(J1199="idioms",14,IF(J1199="grades",15,IF(J1199="syllable-digit pairs",16,IF(J1199="trigram-word pairs",17,IF(J1199="word-digit pairs",18,IF(J1199="English-Swahili pairs",19,IF(J1199="spatial position",20,IF(J1199="word pairs",21,IF(J1199="word triads",22,IF(J1199="generated words",23,IF(J1199="word definition pairs",24,IF(J1199="math problems",25,IF(J1199="famous faces",26,IF(J1199="famous names",27,IF(J1199="famous voices",28,IF(J1199="television programs",29,IF(J1199="race horses",30,IF(J1199="new vocabulary",31,IF(J1199="sentences",32,IF(J1199="concepts",33,IF(J1199="ad slides",34,IF(J1199="scenes",35,IF(J1199="famous scenes",36,IF(J1199="poems",37,IF(J1199="walk",38,IF(J1199="faces and events",39,IF(J1199="events and names",40,IF(J1199="flashbulb",41,IF(J1199="stories",42,IF(J1199="course material",43,IF(J1199="autobiographical",44,IF(J1199="novels",45,IF(J1199="public events",46,"99"))))))))))))))))))))))))))))))))))))))))))))))</f>
        <v>41</v>
      </c>
      <c r="L1199" s="69">
        <f>IF(J1199="syllables",1,IF(J1199="trigrams",1,IF(J1199="strings",1,IF(J1199="visual array",1,IF(J1199="characters",1,IF(J1199="letters",1,IF(J1199="free forms",1,IF(J1199="odors",2,IF(J1199="words",2,IF(J1199="pictures",2,IF(J1199="object pictures",2,IF(J1199="faces",2,IF(J1199="names",2,IF(J1199="idioms","2",IF(J1199="grades",2,IF(J1199="syllable-digit pairs",3,IF(J1199="trigram-word pairs",3,IF(J1199="word-digit pairs",3,IF(J1199="English-Swahili pairs",3,IF(J1199="spatial position",3,IF(J1199="word pairs",4,IF(J1199="word triads",4,IF(J1199="generated words",4,IF(J1199="word definition pairs",4,IF(J1199="math problems",4,IF(J1199="famous faces",4,IF(J1199="famous names",4,IF(J1199="famous voices",4,IF(J1199="television programs",4,IF(J1199="race horses",4,IF(J1199="new vocabulary",4,IF(J1199="sentences",5,IF(J1199="concepts",5,IF(J1199="ad slides",5,IF(J1199="scenes",5,IF(J1199="famous scenes",5,IF(J1199="poems",6,IF(J1199="walk",6,IF(J1199="faces and events",6,IF(J1199="events and names",6,IF(J1199="flashbulb",7,IF(J1199="stories",7,IF(J1199="course material",7,IF(J1199="autobiographical",7,IF(J1199="novels",7,IF(J1199="public events",7,"99"))))))))))))))))))))))))))))))))))))))))))))))</f>
        <v>7</v>
      </c>
      <c r="M1199" s="69">
        <v>1</v>
      </c>
      <c r="N1199" s="69">
        <v>4</v>
      </c>
      <c r="O1199" s="69">
        <v>0</v>
      </c>
      <c r="P1199" s="69"/>
      <c r="Q1199" s="69" t="s">
        <v>174</v>
      </c>
      <c r="R1199" s="69">
        <f>IF(Q1199="Free Recall",1,IF(Q1199="Cued Recall",2,IF(Q1199="Recognition",3,IF(Q1199="Multiple Choice",4,IF(Q1199="Savings",5,IF(Q1199="Stem Completion",6,IF(Q1199="Fragment Completion",7,IF(Q1199="anagram solution",8,IF(Q1199="Matching",9,IF(Q1199="Problem Solving",10,"99"))))))))))</f>
        <v>1</v>
      </c>
      <c r="S1199" s="69" t="s">
        <v>49</v>
      </c>
      <c r="T1199" s="92" t="s">
        <v>581</v>
      </c>
      <c r="U1199" s="69">
        <f>IF(T1199="within",1,0)</f>
        <v>1</v>
      </c>
      <c r="V1199" s="92">
        <v>2</v>
      </c>
      <c r="W1199" s="69">
        <f>F1199*V1199</f>
        <v>26</v>
      </c>
      <c r="X1199" s="69">
        <v>3</v>
      </c>
      <c r="Y1199" s="87">
        <f>AV1198</f>
        <v>86400</v>
      </c>
      <c r="Z1199" s="69" t="s">
        <v>530</v>
      </c>
      <c r="AA1199" s="87">
        <f>11*7*24*60*60</f>
        <v>6652800</v>
      </c>
      <c r="AB1199" s="69" t="str">
        <f>IF(AA1199&lt;60,"1",IF(AA1199&lt;=43200,"2",IF(AA1199&lt;=777600,"3","4")))</f>
        <v>4</v>
      </c>
      <c r="AC1199" s="72">
        <f>AVERAGE(AV1198:DA1198)</f>
        <v>2649888</v>
      </c>
      <c r="AD1199" s="69" t="str">
        <f>IF(AC1199&lt;60,"1",IF(AC1199&lt;=43200,"2",IF(AC1199&lt;=777600,"3","4")))</f>
        <v>4</v>
      </c>
      <c r="AE1199" s="87">
        <f>AA1199-Y1199</f>
        <v>6566400</v>
      </c>
      <c r="AF1199" s="88">
        <f>AV1199</f>
        <v>0.16700000000000001</v>
      </c>
      <c r="AG1199" s="72">
        <f>((AW1199-AV1199)+(AX1199-AW1199))/2</f>
        <v>-1.2500000000000011E-2</v>
      </c>
      <c r="AH1199" s="4"/>
      <c r="AI1199" s="72">
        <f>RSQ(AV1199:AX1199,AV1198:AX1198)</f>
        <v>0.2921449890584924</v>
      </c>
      <c r="AJ1199" s="110">
        <f>SLOPE(AV1199:AX1199,AV1198:AX1198)</f>
        <v>-9.308938971764464E-9</v>
      </c>
      <c r="AK1199" s="72">
        <f>INTERCEPT(AV1199:AX1199,AV1198:AX1198)</f>
        <v>0.21333431234067768</v>
      </c>
      <c r="AL1199" s="72">
        <f>INDEX(LINEST(LN(AV1199:AX1199),LN(AV1198:AX1198),TRUE,TRUE),3,1)</f>
        <v>2.0563014894878981E-2</v>
      </c>
      <c r="AM1199" s="72">
        <f>INDEX(LINEST(LN(AV1199:AX1199),LN(AV1198:AX1198)),1)</f>
        <v>-2.0089188013380822E-2</v>
      </c>
      <c r="AN1199" s="72">
        <f>EXP(INDEX(LINEST(LN(AV1199:AX1199),LN(AV1198:AX1198)),1,2))</f>
        <v>0.24050617148676021</v>
      </c>
      <c r="AO1199" s="89">
        <f>INDEX(LINEST((AV1199:AX1199),LN(AV1198:AX1198),TRUE,TRUE),3,1)</f>
        <v>7.1113582866078216E-3</v>
      </c>
      <c r="AP1199" s="89">
        <f>INDEX(LINEST((AV1199:AX1199),LN(AV1198:AX1198)),1)</f>
        <v>-2.3304744136828227E-3</v>
      </c>
      <c r="AQ1199" s="90">
        <f>INDEX(LINEST(LN(AV1199:AX1199),SQRT(AV1198:AX1198),TRUE,TRUE),3,1)</f>
        <v>0.17834843670242029</v>
      </c>
      <c r="AR1199" s="117">
        <f>INDEX(LINEST(LN(AV1199:AX1199),SQRT((AV1198:AX1198))),1)</f>
        <v>-1.1171647343505483E-4</v>
      </c>
      <c r="AS1199" s="91">
        <f>INDEX(LINEST(1/(AV1199:AX1199),1/(SQRT(AV1198:AX1198)),TRUE,TRUE),3,1)</f>
        <v>6.9159680832878243E-4</v>
      </c>
      <c r="AT1199" s="91">
        <f>INDEX(LINEST(1/(AV1199:AX1199),1/SQRT(AV1198:AX1198)),1)</f>
        <v>26.183908024876377</v>
      </c>
      <c r="AU1199" s="3"/>
      <c r="AV1199" s="73">
        <v>0.16700000000000001</v>
      </c>
      <c r="AW1199" s="73">
        <v>0.25700000000000001</v>
      </c>
      <c r="AX1199" s="73">
        <v>0.14199999999999999</v>
      </c>
      <c r="AY1199" s="42"/>
      <c r="AZ1199" s="46"/>
      <c r="BA1199" s="42"/>
      <c r="BB1199" s="42"/>
      <c r="BC1199" s="2"/>
      <c r="BD1199" s="2"/>
      <c r="BE1199" s="2"/>
      <c r="BF1199" s="2"/>
      <c r="BG1199" s="2"/>
      <c r="BH1199" s="2"/>
      <c r="BI1199" s="2"/>
      <c r="BJ1199" s="2"/>
      <c r="BK1199" s="2"/>
      <c r="BL1199" s="2"/>
      <c r="BM1199" s="2"/>
      <c r="BN1199" s="2"/>
      <c r="BO1199" s="2"/>
      <c r="BP1199" s="2"/>
      <c r="BQ1199" s="2"/>
      <c r="BR1199" s="2"/>
      <c r="BS1199" s="2"/>
      <c r="BT1199" s="2"/>
      <c r="BU1199" s="2"/>
      <c r="BV1199" s="2"/>
      <c r="BW1199" s="2"/>
      <c r="BX1199" s="2"/>
      <c r="BY1199" s="2"/>
      <c r="BZ1199" s="2"/>
      <c r="CA1199" s="2"/>
      <c r="CB1199" s="2"/>
      <c r="CC1199" s="2"/>
      <c r="CD1199" s="2"/>
      <c r="CE1199" s="2"/>
      <c r="CF1199" s="2"/>
      <c r="CG1199" s="2"/>
      <c r="CH1199" s="2"/>
      <c r="CI1199" s="2"/>
      <c r="CJ1199" s="2"/>
      <c r="CK1199" s="2"/>
      <c r="CL1199" s="2"/>
      <c r="CM1199" s="2"/>
      <c r="CN1199" s="2"/>
      <c r="CO1199" s="2"/>
      <c r="CP1199" s="2"/>
      <c r="CQ1199" s="2"/>
      <c r="CR1199" s="1"/>
      <c r="CS1199" s="1"/>
      <c r="CT1199" s="1"/>
      <c r="CU1199" s="1"/>
    </row>
    <row r="1200" spans="1:99" s="13" customFormat="1" ht="12" customHeight="1" x14ac:dyDescent="0.2">
      <c r="A1200" s="68">
        <v>43509</v>
      </c>
      <c r="B1200" s="70"/>
      <c r="C1200" s="70"/>
      <c r="D1200" s="69"/>
      <c r="E1200" s="87"/>
      <c r="F1200" s="69"/>
      <c r="G1200" s="69"/>
      <c r="H1200" s="69"/>
      <c r="I1200" s="69"/>
      <c r="J1200" s="69"/>
      <c r="K1200" s="107"/>
      <c r="L1200" s="107"/>
      <c r="M1200" s="69"/>
      <c r="N1200" s="69"/>
      <c r="O1200" s="69"/>
      <c r="P1200" s="69"/>
      <c r="Q1200" s="69"/>
      <c r="R1200" s="69"/>
      <c r="S1200" s="69"/>
      <c r="T1200" s="69"/>
      <c r="U1200" s="69"/>
      <c r="V1200" s="92"/>
      <c r="W1200" s="69"/>
      <c r="X1200" s="69"/>
      <c r="Y1200" s="87"/>
      <c r="Z1200" s="69"/>
      <c r="AA1200" s="69"/>
      <c r="AB1200" s="69"/>
      <c r="AC1200" s="69"/>
      <c r="AD1200" s="69"/>
      <c r="AE1200" s="69"/>
      <c r="AF1200" s="88"/>
      <c r="AG1200" s="72"/>
      <c r="AH1200" s="4"/>
      <c r="AI1200" s="72"/>
      <c r="AJ1200" s="110"/>
      <c r="AK1200" s="72"/>
      <c r="AL1200" s="72"/>
      <c r="AM1200" s="72"/>
      <c r="AN1200" s="72"/>
      <c r="AO1200" s="72"/>
      <c r="AP1200" s="72"/>
      <c r="AQ1200" s="89"/>
      <c r="AR1200" s="118"/>
      <c r="AS1200" s="89"/>
      <c r="AT1200" s="89"/>
      <c r="AU1200" s="4"/>
      <c r="AV1200" s="71">
        <f>24*60*60</f>
        <v>86400</v>
      </c>
      <c r="AW1200" s="71">
        <f>30*24*60*60*1.4</f>
        <v>3628800</v>
      </c>
      <c r="AX1200" s="71">
        <f>11*7*24*60*60</f>
        <v>6652800</v>
      </c>
      <c r="AY1200" s="42"/>
      <c r="AZ1200" s="46"/>
      <c r="BA1200" s="42"/>
      <c r="BB1200" s="42"/>
      <c r="BC1200" s="2"/>
      <c r="BD1200" s="2"/>
      <c r="BE1200" s="2"/>
      <c r="BF1200" s="2"/>
      <c r="BG1200" s="2"/>
      <c r="BH1200" s="2"/>
      <c r="BI1200" s="2"/>
      <c r="BJ1200" s="2"/>
      <c r="BK1200" s="2"/>
      <c r="BL1200" s="2"/>
      <c r="BM1200" s="2"/>
      <c r="BN1200" s="2"/>
      <c r="BO1200" s="2"/>
      <c r="BP1200" s="2"/>
      <c r="BQ1200" s="2"/>
      <c r="BR1200" s="2"/>
      <c r="BS1200" s="2"/>
      <c r="BT1200" s="2"/>
      <c r="BU1200" s="2"/>
      <c r="BV1200" s="2"/>
      <c r="BW1200" s="2"/>
      <c r="BX1200" s="2"/>
      <c r="BY1200" s="2"/>
      <c r="BZ1200" s="2"/>
      <c r="CA1200" s="2"/>
      <c r="CB1200" s="2"/>
      <c r="CC1200" s="2"/>
      <c r="CD1200" s="2"/>
      <c r="CE1200" s="2"/>
      <c r="CF1200" s="2"/>
      <c r="CG1200" s="2"/>
      <c r="CH1200" s="2"/>
      <c r="CI1200" s="2"/>
      <c r="CJ1200" s="2"/>
      <c r="CK1200" s="2"/>
      <c r="CL1200" s="2"/>
      <c r="CM1200" s="2"/>
      <c r="CN1200" s="2"/>
      <c r="CO1200" s="2"/>
      <c r="CP1200" s="2"/>
      <c r="CQ1200" s="2"/>
      <c r="CR1200" s="1"/>
      <c r="CS1200" s="1"/>
      <c r="CT1200" s="1"/>
      <c r="CU1200" s="1"/>
    </row>
    <row r="1201" spans="1:99" s="13" customFormat="1" ht="12" customHeight="1" x14ac:dyDescent="0.2">
      <c r="A1201" s="68">
        <v>43509</v>
      </c>
      <c r="B1201" s="70" t="s">
        <v>196</v>
      </c>
      <c r="C1201" s="70" t="s">
        <v>70</v>
      </c>
      <c r="D1201" s="69">
        <v>2006</v>
      </c>
      <c r="E1201" s="87">
        <v>1</v>
      </c>
      <c r="F1201" s="69">
        <v>20</v>
      </c>
      <c r="G1201" s="69">
        <v>20</v>
      </c>
      <c r="H1201" s="69" t="s">
        <v>30</v>
      </c>
      <c r="I1201" s="69" t="s">
        <v>812</v>
      </c>
      <c r="J1201" s="69" t="s">
        <v>704</v>
      </c>
      <c r="K1201" s="69">
        <f>IF(J1201="syllables",1,IF(J1201="trigrams",2,IF(J1201="strings",3,IF(J1201="visual array",4,IF(J1201="characters",5,IF(J1201="letters",6,IF(J1201="free forms",7,IF(J1201="odors",8,IF(J1201="words",9,IF(J1201="pictures",10,IF(J1201="object pictures",11,IF(J1201="faces",12,IF(J1201="names",13,IF(J1201="idioms",14,IF(J1201="grades",15,IF(J1201="syllable-digit pairs",16,IF(J1201="trigram-word pairs",17,IF(J1201="word-digit pairs",18,IF(J1201="English-Swahili pairs",19,IF(J1201="spatial position",20,IF(J1201="word pairs",21,IF(J1201="word triads",22,IF(J1201="generated words",23,IF(J1201="word definition pairs",24,IF(J1201="math problems",25,IF(J1201="famous faces",26,IF(J1201="famous names",27,IF(J1201="famous voices",28,IF(J1201="television programs",29,IF(J1201="race horses",30,IF(J1201="new vocabulary",31,IF(J1201="sentences",32,IF(J1201="concepts",33,IF(J1201="ad slides",34,IF(J1201="scenes",35,IF(J1201="famous scenes",36,IF(J1201="poems",37,IF(J1201="walk",38,IF(J1201="faces and events",39,IF(J1201="events and names",40,IF(J1201="flashbulb",41,IF(J1201="stories",42,IF(J1201="course material",43,IF(J1201="autobiographical",44,IF(J1201="novels",45,IF(J1201="public events",46,"99"))))))))))))))))))))))))))))))))))))))))))))))</f>
        <v>41</v>
      </c>
      <c r="L1201" s="69">
        <f>IF(J1201="syllables",1,IF(J1201="trigrams",1,IF(J1201="strings",1,IF(J1201="visual array",1,IF(J1201="characters",1,IF(J1201="letters",1,IF(J1201="free forms",1,IF(J1201="odors",2,IF(J1201="words",2,IF(J1201="pictures",2,IF(J1201="object pictures",2,IF(J1201="faces",2,IF(J1201="names",2,IF(J1201="idioms","2",IF(J1201="grades",2,IF(J1201="syllable-digit pairs",3,IF(J1201="trigram-word pairs",3,IF(J1201="word-digit pairs",3,IF(J1201="English-Swahili pairs",3,IF(J1201="spatial position",3,IF(J1201="word pairs",4,IF(J1201="word triads",4,IF(J1201="generated words",4,IF(J1201="word definition pairs",4,IF(J1201="math problems",4,IF(J1201="famous faces",4,IF(J1201="famous names",4,IF(J1201="famous voices",4,IF(J1201="television programs",4,IF(J1201="race horses",4,IF(J1201="new vocabulary",4,IF(J1201="sentences",5,IF(J1201="concepts",5,IF(J1201="ad slides",5,IF(J1201="scenes",5,IF(J1201="famous scenes",5,IF(J1201="poems",6,IF(J1201="walk",6,IF(J1201="faces and events",6,IF(J1201="events and names",6,IF(J1201="flashbulb",7,IF(J1201="stories",7,IF(J1201="course material",7,IF(J1201="autobiographical",7,IF(J1201="novels",7,IF(J1201="public events",7,"99"))))))))))))))))))))))))))))))))))))))))))))))</f>
        <v>7</v>
      </c>
      <c r="M1201" s="69">
        <v>1</v>
      </c>
      <c r="N1201" s="69">
        <v>4</v>
      </c>
      <c r="O1201" s="69">
        <v>0</v>
      </c>
      <c r="P1201" s="69"/>
      <c r="Q1201" s="69" t="s">
        <v>174</v>
      </c>
      <c r="R1201" s="69">
        <f>IF(Q1201="Free Recall",1,IF(Q1201="Cued Recall",2,IF(Q1201="Recognition",3,IF(Q1201="Multiple Choice",4,IF(Q1201="Savings",5,IF(Q1201="Stem Completion",6,IF(Q1201="Fragment Completion",7,IF(Q1201="anagram solution",8,IF(Q1201="Matching",9,IF(Q1201="Problem Solving",10,"99"))))))))))</f>
        <v>1</v>
      </c>
      <c r="S1201" s="69" t="s">
        <v>49</v>
      </c>
      <c r="T1201" s="92" t="s">
        <v>581</v>
      </c>
      <c r="U1201" s="69">
        <f>IF(T1201="within",1,0)</f>
        <v>1</v>
      </c>
      <c r="V1201" s="92">
        <v>3</v>
      </c>
      <c r="W1201" s="69">
        <f>F1201*V1201</f>
        <v>60</v>
      </c>
      <c r="X1201" s="69">
        <v>3</v>
      </c>
      <c r="Y1201" s="87">
        <f>AV1200</f>
        <v>86400</v>
      </c>
      <c r="Z1201" s="69" t="s">
        <v>530</v>
      </c>
      <c r="AA1201" s="87">
        <f>11*7*24*60*60</f>
        <v>6652800</v>
      </c>
      <c r="AB1201" s="69" t="str">
        <f>IF(AA1201&lt;60,"1",IF(AA1201&lt;=43200,"2",IF(AA1201&lt;=777600,"3","4")))</f>
        <v>4</v>
      </c>
      <c r="AC1201" s="72">
        <f>AVERAGE(AV1200:DA1200)</f>
        <v>3456000</v>
      </c>
      <c r="AD1201" s="69" t="str">
        <f>IF(AC1201&lt;60,"1",IF(AC1201&lt;=43200,"2",IF(AC1201&lt;=777600,"3","4")))</f>
        <v>4</v>
      </c>
      <c r="AE1201" s="87">
        <f>AA1201-Y1201</f>
        <v>6566400</v>
      </c>
      <c r="AF1201" s="88">
        <f>AV1201</f>
        <v>0.86699999999999999</v>
      </c>
      <c r="AG1201" s="72">
        <f>((AW1201-AV1201)+(AX1201-AW1201))/2</f>
        <v>-3.3499999999999974E-2</v>
      </c>
      <c r="AH1201" s="4"/>
      <c r="AI1201" s="72">
        <f>RSQ(AV1201:AX1201,AV1200:AX1200)</f>
        <v>0.94735632923904789</v>
      </c>
      <c r="AJ1201" s="110">
        <f>SLOPE(AV1201:AX1201,AV1200:AX1200)</f>
        <v>-1.0314283703191779E-8</v>
      </c>
      <c r="AK1201" s="72">
        <f>INTERCEPT(AV1201:AX1201,AV1200:AX1200)</f>
        <v>0.86364616447823073</v>
      </c>
      <c r="AL1201" s="72">
        <f>INDEX(LINEST(LN(AV1201:AX1201),LN(AV1200:AX1200),TRUE,TRUE),3,1)</f>
        <v>0.98430232606696166</v>
      </c>
      <c r="AM1201" s="72">
        <f>INDEX(LINEST(LN(AV1201:AX1201),LN(AV1200:AX1200)),1)</f>
        <v>-1.7590767303121063E-2</v>
      </c>
      <c r="AN1201" s="72">
        <f>EXP(INDEX(LINEST(LN(AV1201:AX1201),LN(AV1200:AX1200)),1,2))</f>
        <v>1.059726476087322</v>
      </c>
      <c r="AO1201" s="89">
        <f>INDEX(LINEST((AV1201:AX1201),LN(AV1200:AX1200),TRUE,TRUE),3,1)</f>
        <v>0.98628978198748896</v>
      </c>
      <c r="AP1201" s="89">
        <f>INDEX(LINEST((AV1201:AX1201),LN(AV1200:AX1200)),1)</f>
        <v>-1.4702749905781617E-2</v>
      </c>
      <c r="AQ1201" s="90">
        <f>INDEX(LINEST(LN(AV1201:AX1201),SQRT(AV1200:AX1200),TRUE,TRUE),3,1)</f>
        <v>0.99867249745409348</v>
      </c>
      <c r="AR1201" s="117">
        <f>INDEX(LINEST(LN(AV1201:AX1201),SQRT((AV1200:AX1200))),1)</f>
        <v>-3.5498571668828172E-5</v>
      </c>
      <c r="AS1201" s="91">
        <f>INDEX(LINEST(1/(AV1201:AX1201),1/(SQRT(AV1200:AX1200)),TRUE,TRUE),3,1)</f>
        <v>0.95114014695877958</v>
      </c>
      <c r="AT1201" s="91">
        <f>INDEX(LINEST(1/(AV1201:AX1201),1/SQRT(AV1200:AX1200)),1)</f>
        <v>-28.639330020669149</v>
      </c>
      <c r="AU1201" s="3"/>
      <c r="AV1201" s="73">
        <v>0.86699999999999999</v>
      </c>
      <c r="AW1201" s="73">
        <v>0.81699999999999995</v>
      </c>
      <c r="AX1201" s="73">
        <v>0.8</v>
      </c>
      <c r="AY1201" s="42"/>
      <c r="AZ1201" s="46"/>
      <c r="BA1201" s="42"/>
      <c r="BB1201" s="42"/>
      <c r="BC1201" s="2"/>
      <c r="BD1201" s="2"/>
      <c r="BE1201" s="2"/>
      <c r="BF1201" s="2"/>
      <c r="BG1201" s="2"/>
      <c r="BH1201" s="2"/>
      <c r="BI1201" s="2"/>
      <c r="BJ1201" s="2"/>
      <c r="BK1201" s="2"/>
      <c r="BL1201" s="2"/>
      <c r="BM1201" s="2"/>
      <c r="BN1201" s="2"/>
      <c r="BO1201" s="2"/>
      <c r="BP1201" s="2"/>
      <c r="BQ1201" s="2"/>
      <c r="BR1201" s="2"/>
      <c r="BS1201" s="2"/>
      <c r="BT1201" s="2"/>
      <c r="BU1201" s="2"/>
      <c r="BV1201" s="2"/>
      <c r="BW1201" s="2"/>
      <c r="BX1201" s="2"/>
      <c r="BY1201" s="2"/>
      <c r="BZ1201" s="2"/>
      <c r="CA1201" s="2"/>
      <c r="CB1201" s="2"/>
      <c r="CC1201" s="2"/>
      <c r="CD1201" s="2"/>
      <c r="CE1201" s="2"/>
      <c r="CF1201" s="2"/>
      <c r="CG1201" s="2"/>
      <c r="CH1201" s="2"/>
      <c r="CI1201" s="2"/>
      <c r="CJ1201" s="2"/>
      <c r="CK1201" s="2"/>
      <c r="CL1201" s="2"/>
      <c r="CM1201" s="2"/>
      <c r="CN1201" s="2"/>
      <c r="CO1201" s="2"/>
      <c r="CP1201" s="2"/>
      <c r="CQ1201" s="2"/>
      <c r="CR1201" s="1"/>
      <c r="CS1201" s="1"/>
      <c r="CT1201" s="1"/>
      <c r="CU1201" s="1"/>
    </row>
    <row r="1202" spans="1:99" s="13" customFormat="1" ht="12" customHeight="1" x14ac:dyDescent="0.2">
      <c r="A1202" s="68">
        <v>43509</v>
      </c>
      <c r="B1202" s="70"/>
      <c r="C1202" s="70"/>
      <c r="D1202" s="69"/>
      <c r="E1202" s="87"/>
      <c r="F1202" s="69"/>
      <c r="G1202" s="69"/>
      <c r="H1202" s="69"/>
      <c r="I1202" s="69"/>
      <c r="J1202" s="69"/>
      <c r="K1202" s="107"/>
      <c r="L1202" s="107"/>
      <c r="M1202" s="69"/>
      <c r="N1202" s="69"/>
      <c r="O1202" s="69"/>
      <c r="P1202" s="69"/>
      <c r="Q1202" s="69"/>
      <c r="R1202" s="69"/>
      <c r="S1202" s="69"/>
      <c r="T1202" s="92"/>
      <c r="U1202" s="69"/>
      <c r="V1202" s="69"/>
      <c r="W1202" s="69"/>
      <c r="X1202" s="69"/>
      <c r="Y1202" s="87"/>
      <c r="Z1202" s="69"/>
      <c r="AA1202" s="69"/>
      <c r="AB1202" s="69"/>
      <c r="AC1202" s="69"/>
      <c r="AD1202" s="69"/>
      <c r="AE1202" s="69"/>
      <c r="AF1202" s="88"/>
      <c r="AG1202" s="72"/>
      <c r="AH1202" s="4"/>
      <c r="AI1202" s="72"/>
      <c r="AJ1202" s="110"/>
      <c r="AK1202" s="72"/>
      <c r="AL1202" s="72"/>
      <c r="AM1202" s="72"/>
      <c r="AN1202" s="72"/>
      <c r="AO1202" s="72"/>
      <c r="AP1202" s="72"/>
      <c r="AQ1202" s="89"/>
      <c r="AR1202" s="118"/>
      <c r="AS1202" s="89"/>
      <c r="AT1202" s="89"/>
      <c r="AU1202" s="4"/>
      <c r="AV1202" s="71">
        <f>24*60*60</f>
        <v>86400</v>
      </c>
      <c r="AW1202" s="71">
        <f>30*24*60*60*1.4</f>
        <v>3628800</v>
      </c>
      <c r="AX1202" s="71">
        <f>11*7*24*60*60</f>
        <v>6652800</v>
      </c>
      <c r="AY1202" s="42"/>
      <c r="AZ1202" s="46"/>
      <c r="BA1202" s="42"/>
      <c r="BB1202" s="42"/>
      <c r="BC1202" s="2"/>
      <c r="BD1202" s="2"/>
      <c r="BE1202" s="2"/>
      <c r="BF1202" s="2"/>
      <c r="BG1202" s="2"/>
      <c r="BH1202" s="2"/>
      <c r="BI1202" s="2"/>
      <c r="BJ1202" s="2"/>
      <c r="BK1202" s="2"/>
      <c r="BL1202" s="2"/>
      <c r="BM1202" s="2"/>
      <c r="BN1202" s="2"/>
      <c r="BO1202" s="2"/>
      <c r="BP1202" s="2"/>
      <c r="BQ1202" s="2"/>
      <c r="BR1202" s="2"/>
      <c r="BS1202" s="2"/>
      <c r="BT1202" s="2"/>
      <c r="BU1202" s="2"/>
      <c r="BV1202" s="2"/>
      <c r="BW1202" s="2"/>
      <c r="BX1202" s="2"/>
      <c r="BY1202" s="2"/>
      <c r="BZ1202" s="2"/>
      <c r="CA1202" s="2"/>
      <c r="CB1202" s="2"/>
      <c r="CC1202" s="2"/>
      <c r="CD1202" s="2"/>
      <c r="CE1202" s="2"/>
      <c r="CF1202" s="2"/>
      <c r="CG1202" s="2"/>
      <c r="CH1202" s="2"/>
      <c r="CI1202" s="2"/>
      <c r="CJ1202" s="2"/>
      <c r="CK1202" s="2"/>
      <c r="CL1202" s="2"/>
      <c r="CM1202" s="2"/>
      <c r="CN1202" s="2"/>
      <c r="CO1202" s="2"/>
      <c r="CP1202" s="2"/>
      <c r="CQ1202" s="2"/>
      <c r="CR1202" s="1"/>
      <c r="CS1202" s="1"/>
      <c r="CT1202" s="1"/>
      <c r="CU1202" s="1"/>
    </row>
    <row r="1203" spans="1:99" s="13" customFormat="1" ht="12" customHeight="1" x14ac:dyDescent="0.2">
      <c r="A1203" s="68">
        <v>43509</v>
      </c>
      <c r="B1203" s="70" t="s">
        <v>196</v>
      </c>
      <c r="C1203" s="70" t="s">
        <v>70</v>
      </c>
      <c r="D1203" s="69">
        <v>2006</v>
      </c>
      <c r="E1203" s="87">
        <v>1</v>
      </c>
      <c r="F1203" s="69">
        <v>20</v>
      </c>
      <c r="G1203" s="69">
        <v>20</v>
      </c>
      <c r="H1203" s="69" t="s">
        <v>30</v>
      </c>
      <c r="I1203" s="69" t="s">
        <v>813</v>
      </c>
      <c r="J1203" s="69" t="s">
        <v>704</v>
      </c>
      <c r="K1203" s="69">
        <f>IF(J1203="syllables",1,IF(J1203="trigrams",2,IF(J1203="strings",3,IF(J1203="visual array",4,IF(J1203="characters",5,IF(J1203="letters",6,IF(J1203="free forms",7,IF(J1203="odors",8,IF(J1203="words",9,IF(J1203="pictures",10,IF(J1203="object pictures",11,IF(J1203="faces",12,IF(J1203="names",13,IF(J1203="idioms",14,IF(J1203="grades",15,IF(J1203="syllable-digit pairs",16,IF(J1203="trigram-word pairs",17,IF(J1203="word-digit pairs",18,IF(J1203="English-Swahili pairs",19,IF(J1203="spatial position",20,IF(J1203="word pairs",21,IF(J1203="word triads",22,IF(J1203="generated words",23,IF(J1203="word definition pairs",24,IF(J1203="math problems",25,IF(J1203="famous faces",26,IF(J1203="famous names",27,IF(J1203="famous voices",28,IF(J1203="television programs",29,IF(J1203="race horses",30,IF(J1203="new vocabulary",31,IF(J1203="sentences",32,IF(J1203="concepts",33,IF(J1203="ad slides",34,IF(J1203="scenes",35,IF(J1203="famous scenes",36,IF(J1203="poems",37,IF(J1203="walk",38,IF(J1203="faces and events",39,IF(J1203="events and names",40,IF(J1203="flashbulb",41,IF(J1203="stories",42,IF(J1203="course material",43,IF(J1203="autobiographical",44,IF(J1203="novels",45,IF(J1203="public events",46,"99"))))))))))))))))))))))))))))))))))))))))))))))</f>
        <v>41</v>
      </c>
      <c r="L1203" s="69">
        <f>IF(J1203="syllables",1,IF(J1203="trigrams",1,IF(J1203="strings",1,IF(J1203="visual array",1,IF(J1203="characters",1,IF(J1203="letters",1,IF(J1203="free forms",1,IF(J1203="odors",2,IF(J1203="words",2,IF(J1203="pictures",2,IF(J1203="object pictures",2,IF(J1203="faces",2,IF(J1203="names",2,IF(J1203="idioms","2",IF(J1203="grades",2,IF(J1203="syllable-digit pairs",3,IF(J1203="trigram-word pairs",3,IF(J1203="word-digit pairs",3,IF(J1203="English-Swahili pairs",3,IF(J1203="spatial position",3,IF(J1203="word pairs",4,IF(J1203="word triads",4,IF(J1203="generated words",4,IF(J1203="word definition pairs",4,IF(J1203="math problems",4,IF(J1203="famous faces",4,IF(J1203="famous names",4,IF(J1203="famous voices",4,IF(J1203="television programs",4,IF(J1203="race horses",4,IF(J1203="new vocabulary",4,IF(J1203="sentences",5,IF(J1203="concepts",5,IF(J1203="ad slides",5,IF(J1203="scenes",5,IF(J1203="famous scenes",5,IF(J1203="poems",6,IF(J1203="walk",6,IF(J1203="faces and events",6,IF(J1203="events and names",6,IF(J1203="flashbulb",7,IF(J1203="stories",7,IF(J1203="course material",7,IF(J1203="autobiographical",7,IF(J1203="novels",7,IF(J1203="public events",7,"99"))))))))))))))))))))))))))))))))))))))))))))))</f>
        <v>7</v>
      </c>
      <c r="M1203" s="69">
        <v>1</v>
      </c>
      <c r="N1203" s="69">
        <v>4</v>
      </c>
      <c r="O1203" s="69">
        <v>0</v>
      </c>
      <c r="P1203" s="69"/>
      <c r="Q1203" s="69" t="s">
        <v>174</v>
      </c>
      <c r="R1203" s="69">
        <f>IF(Q1203="Free Recall",1,IF(Q1203="Cued Recall",2,IF(Q1203="Recognition",3,IF(Q1203="Multiple Choice",4,IF(Q1203="Savings",5,IF(Q1203="Stem Completion",6,IF(Q1203="Fragment Completion",7,IF(Q1203="anagram solution",8,IF(Q1203="Matching",9,IF(Q1203="Problem Solving",10,"99"))))))))))</f>
        <v>1</v>
      </c>
      <c r="S1203" s="69" t="s">
        <v>49</v>
      </c>
      <c r="T1203" s="92" t="s">
        <v>581</v>
      </c>
      <c r="U1203" s="69">
        <f>IF(T1203="within",1,0)</f>
        <v>1</v>
      </c>
      <c r="V1203" s="92">
        <v>3</v>
      </c>
      <c r="W1203" s="69">
        <f>F1203*V1203</f>
        <v>60</v>
      </c>
      <c r="X1203" s="69">
        <v>3</v>
      </c>
      <c r="Y1203" s="87">
        <f>AV1202</f>
        <v>86400</v>
      </c>
      <c r="Z1203" s="69" t="s">
        <v>530</v>
      </c>
      <c r="AA1203" s="87">
        <f>11*7*24*60*60</f>
        <v>6652800</v>
      </c>
      <c r="AB1203" s="69" t="str">
        <f>IF(AA1203&lt;60,"1",IF(AA1203&lt;=43200,"2",IF(AA1203&lt;=777600,"3","4")))</f>
        <v>4</v>
      </c>
      <c r="AC1203" s="72">
        <f>AVERAGE(AV1202:DA1202)</f>
        <v>3456000</v>
      </c>
      <c r="AD1203" s="69" t="str">
        <f>IF(AC1203&lt;60,"1",IF(AC1203&lt;=43200,"2",IF(AC1203&lt;=777600,"3","4")))</f>
        <v>4</v>
      </c>
      <c r="AE1203" s="87">
        <f>AA1203-Y1203</f>
        <v>6566400</v>
      </c>
      <c r="AF1203" s="88">
        <f>AV1203</f>
        <v>0.433</v>
      </c>
      <c r="AG1203" s="72">
        <f>((AW1203-AV1203)+(AX1203-AW1203))/2</f>
        <v>-4.1500000000000009E-2</v>
      </c>
      <c r="AH1203" s="4"/>
      <c r="AI1203" s="72">
        <f>RSQ(AV1203:AX1203,AV1202:AX1202)</f>
        <v>0.43012405316044344</v>
      </c>
      <c r="AJ1203" s="110">
        <f>SLOPE(AV1203:AX1203,AV1202:AX1202)</f>
        <v>-1.2010001535744455E-8</v>
      </c>
      <c r="AK1203" s="72">
        <f>INTERCEPT(AV1203:AX1203,AV1202:AX1202)</f>
        <v>0.45817323197419951</v>
      </c>
      <c r="AL1203" s="72">
        <f>INDEX(LINEST(LN(AV1203:AX1203),LN(AV1202:AX1202),TRUE,TRUE),3,1)</f>
        <v>0.14969003472935691</v>
      </c>
      <c r="AM1203" s="72">
        <f>INDEX(LINEST(LN(AV1203:AX1203),LN(AV1202:AX1202)),1)</f>
        <v>-2.4593365099385676E-2</v>
      </c>
      <c r="AN1203" s="72">
        <f>EXP(INDEX(LINEST(LN(AV1203:AX1203),LN(AV1202:AX1202)),1,2))</f>
        <v>0.58452334969369024</v>
      </c>
      <c r="AO1203" s="89">
        <f>INDEX(LINEST((AV1203:AX1203),LN(AV1202:AX1202),TRUE,TRUE),3,1)</f>
        <v>0.12836690254083791</v>
      </c>
      <c r="AP1203" s="89">
        <f>INDEX(LINEST((AV1203:AX1203),LN(AV1202:AX1202)),1)</f>
        <v>-9.1661432399831773E-3</v>
      </c>
      <c r="AQ1203" s="90">
        <f>INDEX(LINEST(LN(AV1203:AX1203),SQRT(AV1202:AX1202),TRUE,TRUE),3,1)</f>
        <v>0.2815546971439325</v>
      </c>
      <c r="AR1203" s="117">
        <f>INDEX(LINEST(LN(AV1203:AX1203),SQRT((AV1202:AX1202))),1)</f>
        <v>-6.7574323588555406E-5</v>
      </c>
      <c r="AS1203" s="91">
        <f>INDEX(LINEST(1/(AV1203:AX1203),1/(SQRT(AV1202:AX1202)),TRUE,TRUE),3,1)</f>
        <v>0.10957634565597517</v>
      </c>
      <c r="AT1203" s="91">
        <f>INDEX(LINEST(1/(AV1203:AX1203),1/SQRT(AV1202:AX1202)),1)</f>
        <v>-72.793487921284367</v>
      </c>
      <c r="AU1203" s="3"/>
      <c r="AV1203" s="73">
        <v>0.433</v>
      </c>
      <c r="AW1203" s="73">
        <v>0.46700000000000003</v>
      </c>
      <c r="AX1203" s="73">
        <v>0.35</v>
      </c>
      <c r="AY1203" s="42"/>
      <c r="AZ1203" s="46"/>
      <c r="BA1203" s="42"/>
      <c r="BB1203" s="42"/>
      <c r="BC1203" s="2"/>
      <c r="BD1203" s="2"/>
      <c r="BE1203" s="2"/>
      <c r="BF1203" s="2"/>
      <c r="BG1203" s="2"/>
      <c r="BH1203" s="2"/>
      <c r="BI1203" s="2"/>
      <c r="BJ1203" s="2"/>
      <c r="BK1203" s="2"/>
      <c r="BL1203" s="2"/>
      <c r="BM1203" s="2"/>
      <c r="BN1203" s="2"/>
      <c r="BO1203" s="2"/>
      <c r="BP1203" s="2"/>
      <c r="BQ1203" s="2"/>
      <c r="BR1203" s="2"/>
      <c r="BS1203" s="2"/>
      <c r="BT1203" s="2"/>
      <c r="BU1203" s="2"/>
      <c r="BV1203" s="2"/>
      <c r="BW1203" s="2"/>
      <c r="BX1203" s="2"/>
      <c r="BY1203" s="2"/>
      <c r="BZ1203" s="2"/>
      <c r="CA1203" s="2"/>
      <c r="CB1203" s="2"/>
      <c r="CC1203" s="2"/>
      <c r="CD1203" s="2"/>
      <c r="CE1203" s="2"/>
      <c r="CF1203" s="2"/>
      <c r="CG1203" s="2"/>
      <c r="CH1203" s="2"/>
      <c r="CI1203" s="2"/>
      <c r="CJ1203" s="2"/>
      <c r="CK1203" s="2"/>
      <c r="CL1203" s="2"/>
      <c r="CM1203" s="2"/>
      <c r="CN1203" s="2"/>
      <c r="CO1203" s="2"/>
      <c r="CP1203" s="2"/>
      <c r="CQ1203" s="2"/>
      <c r="CR1203" s="1"/>
      <c r="CS1203" s="1"/>
      <c r="CT1203" s="1"/>
      <c r="CU1203" s="1"/>
    </row>
    <row r="1204" spans="1:99" s="13" customFormat="1" ht="12" customHeight="1" x14ac:dyDescent="0.2">
      <c r="A1204" s="68">
        <v>43509</v>
      </c>
      <c r="B1204" s="70"/>
      <c r="C1204" s="70"/>
      <c r="D1204" s="69"/>
      <c r="E1204" s="87"/>
      <c r="F1204" s="69"/>
      <c r="G1204" s="69"/>
      <c r="H1204" s="69"/>
      <c r="I1204" s="69"/>
      <c r="J1204" s="69"/>
      <c r="K1204" s="107"/>
      <c r="L1204" s="107"/>
      <c r="M1204" s="69"/>
      <c r="N1204" s="69"/>
      <c r="O1204" s="69"/>
      <c r="P1204" s="69"/>
      <c r="Q1204" s="69"/>
      <c r="R1204" s="69"/>
      <c r="S1204" s="69"/>
      <c r="T1204" s="69"/>
      <c r="U1204" s="69"/>
      <c r="V1204" s="69"/>
      <c r="W1204" s="69"/>
      <c r="X1204" s="69"/>
      <c r="Y1204" s="87"/>
      <c r="Z1204" s="69"/>
      <c r="AA1204" s="69"/>
      <c r="AB1204" s="69"/>
      <c r="AC1204" s="69"/>
      <c r="AD1204" s="69"/>
      <c r="AE1204" s="69"/>
      <c r="AF1204" s="88"/>
      <c r="AG1204" s="72"/>
      <c r="AH1204" s="4"/>
      <c r="AI1204" s="72"/>
      <c r="AJ1204" s="110"/>
      <c r="AK1204" s="72"/>
      <c r="AL1204" s="72"/>
      <c r="AM1204" s="72"/>
      <c r="AN1204" s="72"/>
      <c r="AO1204" s="72"/>
      <c r="AP1204" s="72"/>
      <c r="AQ1204" s="89"/>
      <c r="AR1204" s="118"/>
      <c r="AS1204" s="89"/>
      <c r="AT1204" s="89"/>
      <c r="AU1204" s="4"/>
      <c r="AV1204" s="71">
        <f>24*60*60</f>
        <v>86400</v>
      </c>
      <c r="AW1204" s="71">
        <f>30*24*60*60*1.4</f>
        <v>3628800</v>
      </c>
      <c r="AX1204" s="71">
        <f>11*7*24*60*60</f>
        <v>6652800</v>
      </c>
      <c r="AY1204" s="42"/>
      <c r="AZ1204" s="46"/>
      <c r="BA1204" s="42"/>
      <c r="BB1204" s="42"/>
      <c r="BC1204" s="2"/>
      <c r="BD1204" s="2"/>
      <c r="BE1204" s="2"/>
      <c r="BF1204" s="2"/>
      <c r="BG1204" s="2"/>
      <c r="BH1204" s="2"/>
      <c r="BI1204" s="2"/>
      <c r="BJ1204" s="2"/>
      <c r="BK1204" s="2"/>
      <c r="BL1204" s="2"/>
      <c r="BM1204" s="2"/>
      <c r="BN1204" s="2"/>
      <c r="BO1204" s="2"/>
      <c r="BP1204" s="2"/>
      <c r="BQ1204" s="2"/>
      <c r="BR1204" s="2"/>
      <c r="BS1204" s="2"/>
      <c r="BT1204" s="2"/>
      <c r="BU1204" s="2"/>
      <c r="BV1204" s="2"/>
      <c r="BW1204" s="2"/>
      <c r="BX1204" s="2"/>
      <c r="BY1204" s="2"/>
      <c r="BZ1204" s="2"/>
      <c r="CA1204" s="2"/>
      <c r="CB1204" s="2"/>
      <c r="CC1204" s="2"/>
      <c r="CD1204" s="2"/>
      <c r="CE1204" s="2"/>
      <c r="CF1204" s="2"/>
      <c r="CG1204" s="2"/>
      <c r="CH1204" s="2"/>
      <c r="CI1204" s="2"/>
      <c r="CJ1204" s="2"/>
      <c r="CK1204" s="2"/>
      <c r="CL1204" s="2"/>
      <c r="CM1204" s="2"/>
      <c r="CN1204" s="2"/>
      <c r="CO1204" s="2"/>
      <c r="CP1204" s="2"/>
      <c r="CQ1204" s="2"/>
      <c r="CR1204" s="1"/>
      <c r="CS1204" s="1"/>
      <c r="CT1204" s="1"/>
      <c r="CU1204" s="1"/>
    </row>
    <row r="1205" spans="1:99" s="13" customFormat="1" ht="12" customHeight="1" x14ac:dyDescent="0.2">
      <c r="A1205" s="68">
        <v>43509</v>
      </c>
      <c r="B1205" s="70" t="s">
        <v>196</v>
      </c>
      <c r="C1205" s="70" t="s">
        <v>70</v>
      </c>
      <c r="D1205" s="69">
        <v>2006</v>
      </c>
      <c r="E1205" s="87">
        <v>1</v>
      </c>
      <c r="F1205" s="69">
        <v>20</v>
      </c>
      <c r="G1205" s="69">
        <v>20</v>
      </c>
      <c r="H1205" s="69" t="s">
        <v>30</v>
      </c>
      <c r="I1205" s="69" t="s">
        <v>814</v>
      </c>
      <c r="J1205" s="69" t="s">
        <v>704</v>
      </c>
      <c r="K1205" s="69">
        <f>IF(J1205="syllables",1,IF(J1205="trigrams",2,IF(J1205="strings",3,IF(J1205="visual array",4,IF(J1205="characters",5,IF(J1205="letters",6,IF(J1205="free forms",7,IF(J1205="odors",8,IF(J1205="words",9,IF(J1205="pictures",10,IF(J1205="object pictures",11,IF(J1205="faces",12,IF(J1205="names",13,IF(J1205="idioms",14,IF(J1205="grades",15,IF(J1205="syllable-digit pairs",16,IF(J1205="trigram-word pairs",17,IF(J1205="word-digit pairs",18,IF(J1205="English-Swahili pairs",19,IF(J1205="spatial position",20,IF(J1205="word pairs",21,IF(J1205="word triads",22,IF(J1205="generated words",23,IF(J1205="word definition pairs",24,IF(J1205="math problems",25,IF(J1205="famous faces",26,IF(J1205="famous names",27,IF(J1205="famous voices",28,IF(J1205="television programs",29,IF(J1205="race horses",30,IF(J1205="new vocabulary",31,IF(J1205="sentences",32,IF(J1205="concepts",33,IF(J1205="ad slides",34,IF(J1205="scenes",35,IF(J1205="famous scenes",36,IF(J1205="poems",37,IF(J1205="walk",38,IF(J1205="faces and events",39,IF(J1205="events and names",40,IF(J1205="flashbulb",41,IF(J1205="stories",42,IF(J1205="course material",43,IF(J1205="autobiographical",44,IF(J1205="novels",45,IF(J1205="public events",46,"99"))))))))))))))))))))))))))))))))))))))))))))))</f>
        <v>41</v>
      </c>
      <c r="L1205" s="69">
        <f>IF(J1205="syllables",1,IF(J1205="trigrams",1,IF(J1205="strings",1,IF(J1205="visual array",1,IF(J1205="characters",1,IF(J1205="letters",1,IF(J1205="free forms",1,IF(J1205="odors",2,IF(J1205="words",2,IF(J1205="pictures",2,IF(J1205="object pictures",2,IF(J1205="faces",2,IF(J1205="names",2,IF(J1205="idioms","2",IF(J1205="grades",2,IF(J1205="syllable-digit pairs",3,IF(J1205="trigram-word pairs",3,IF(J1205="word-digit pairs",3,IF(J1205="English-Swahili pairs",3,IF(J1205="spatial position",3,IF(J1205="word pairs",4,IF(J1205="word triads",4,IF(J1205="generated words",4,IF(J1205="word definition pairs",4,IF(J1205="math problems",4,IF(J1205="famous faces",4,IF(J1205="famous names",4,IF(J1205="famous voices",4,IF(J1205="television programs",4,IF(J1205="race horses",4,IF(J1205="new vocabulary",4,IF(J1205="sentences",5,IF(J1205="concepts",5,IF(J1205="ad slides",5,IF(J1205="scenes",5,IF(J1205="famous scenes",5,IF(J1205="poems",6,IF(J1205="walk",6,IF(J1205="faces and events",6,IF(J1205="events and names",6,IF(J1205="flashbulb",7,IF(J1205="stories",7,IF(J1205="course material",7,IF(J1205="autobiographical",7,IF(J1205="novels",7,IF(J1205="public events",7,"99"))))))))))))))))))))))))))))))))))))))))))))))</f>
        <v>7</v>
      </c>
      <c r="M1205" s="69">
        <v>1</v>
      </c>
      <c r="N1205" s="69">
        <v>4</v>
      </c>
      <c r="O1205" s="69">
        <v>0</v>
      </c>
      <c r="P1205" s="69"/>
      <c r="Q1205" s="69" t="s">
        <v>174</v>
      </c>
      <c r="R1205" s="69">
        <f>IF(Q1205="Free Recall",1,IF(Q1205="Cued Recall",2,IF(Q1205="Recognition",3,IF(Q1205="Multiple Choice",4,IF(Q1205="Savings",5,IF(Q1205="Stem Completion",6,IF(Q1205="Fragment Completion",7,IF(Q1205="anagram solution",8,IF(Q1205="Matching",9,IF(Q1205="Problem Solving",10,"99"))))))))))</f>
        <v>1</v>
      </c>
      <c r="S1205" s="69" t="s">
        <v>49</v>
      </c>
      <c r="T1205" s="92" t="s">
        <v>581</v>
      </c>
      <c r="U1205" s="69">
        <f>IF(T1205="within",1,0)</f>
        <v>1</v>
      </c>
      <c r="V1205" s="92">
        <v>2</v>
      </c>
      <c r="W1205" s="69">
        <f>F1205*V1205</f>
        <v>40</v>
      </c>
      <c r="X1205" s="69">
        <v>3</v>
      </c>
      <c r="Y1205" s="87">
        <f>AV1204</f>
        <v>86400</v>
      </c>
      <c r="Z1205" s="69" t="s">
        <v>530</v>
      </c>
      <c r="AA1205" s="87">
        <f>11*7*24*60*60</f>
        <v>6652800</v>
      </c>
      <c r="AB1205" s="69" t="str">
        <f>IF(AA1205&lt;60,"1",IF(AA1205&lt;=43200,"2",IF(AA1205&lt;=777600,"3","4")))</f>
        <v>4</v>
      </c>
      <c r="AC1205" s="72">
        <f>AVERAGE(AV1204:DA1204)</f>
        <v>3456000</v>
      </c>
      <c r="AD1205" s="69" t="str">
        <f>IF(AC1205&lt;60,"1",IF(AC1205&lt;=43200,"2",IF(AC1205&lt;=777600,"3","4")))</f>
        <v>4</v>
      </c>
      <c r="AE1205" s="87">
        <f>AA1205-Y1205</f>
        <v>6566400</v>
      </c>
      <c r="AF1205" s="88">
        <f>AV1205</f>
        <v>0.13300000000000001</v>
      </c>
      <c r="AG1205" s="72">
        <f>((AW1205-AV1205)+(AX1205-AW1205))/2</f>
        <v>-2.5000000000000001E-2</v>
      </c>
      <c r="AH1205" s="4"/>
      <c r="AI1205" s="72">
        <f>RSQ(AV1205:AX1205,AV1204:AX1204)</f>
        <v>0.70957152729785766</v>
      </c>
      <c r="AJ1205" s="110">
        <f>SLOPE(AV1205:AX1205,AV1204:AX1204)</f>
        <v>-7.3987688448642148E-9</v>
      </c>
      <c r="AK1205" s="72">
        <f>INTERCEPT(AV1205:AX1205,AV1204:AX1204)</f>
        <v>0.14190347846118406</v>
      </c>
      <c r="AL1205" s="72">
        <f>INDEX(LINEST(LN(AV1205:AX1205),LN(AV1204:AX1204),TRUE,TRUE),3,1)</f>
        <v>0.36893566764168001</v>
      </c>
      <c r="AM1205" s="72">
        <f>INDEX(LINEST(LN(AV1205:AX1205),LN(AV1204:AX1204)),1)</f>
        <v>-7.0286212647664284E-2</v>
      </c>
      <c r="AN1205" s="72">
        <f>EXP(INDEX(LINEST(LN(AV1205:AX1205),LN(AV1204:AX1204)),1,2))</f>
        <v>0.30534542952549376</v>
      </c>
      <c r="AO1205" s="89">
        <f>INDEX(LINEST((AV1205:AX1205),LN(AV1204:AX1204),TRUE,TRUE),3,1)</f>
        <v>0.36893566764168007</v>
      </c>
      <c r="AP1205" s="89">
        <f>INDEX(LINEST((AV1205:AX1205),LN(AV1204:AX1204)),1)</f>
        <v>-7.4533343092387516E-3</v>
      </c>
      <c r="AQ1205" s="90">
        <f>INDEX(LINEST(LN(AV1205:AX1205),SQRT(AV1204:AX1204),TRUE,TRUE),3,1)</f>
        <v>0.52943277050772453</v>
      </c>
      <c r="AR1205" s="117">
        <f>INDEX(LINEST(LN(AV1205:AX1205),SQRT((AV1204:AX1204))),1)</f>
        <v>-1.6868599848119406E-4</v>
      </c>
      <c r="AS1205" s="91">
        <f>INDEX(LINEST(1/(AV1205:AX1205),1/(SQRT(AV1204:AX1204)),TRUE,TRUE),3,1)</f>
        <v>0.28570015746389432</v>
      </c>
      <c r="AT1205" s="91">
        <f>INDEX(LINEST(1/(AV1205:AX1205),1/SQRT(AV1204:AX1204)),1)</f>
        <v>-821.19711949111922</v>
      </c>
      <c r="AU1205" s="3"/>
      <c r="AV1205" s="73">
        <v>0.13300000000000001</v>
      </c>
      <c r="AW1205" s="73">
        <v>0.13300000000000001</v>
      </c>
      <c r="AX1205" s="73">
        <v>8.3000000000000004E-2</v>
      </c>
      <c r="AY1205" s="42"/>
      <c r="AZ1205" s="46"/>
      <c r="BA1205" s="42"/>
      <c r="BB1205" s="42"/>
      <c r="BC1205" s="2"/>
      <c r="BD1205" s="2"/>
      <c r="BE1205" s="2"/>
      <c r="BF1205" s="2"/>
      <c r="BG1205" s="2"/>
      <c r="BH1205" s="2"/>
      <c r="BI1205" s="2"/>
      <c r="BJ1205" s="2"/>
      <c r="BK1205" s="2"/>
      <c r="BL1205" s="2"/>
      <c r="BM1205" s="2"/>
      <c r="BN1205" s="2"/>
      <c r="BO1205" s="2"/>
      <c r="BP1205" s="2"/>
      <c r="BQ1205" s="2"/>
      <c r="BR1205" s="2"/>
      <c r="BS1205" s="2"/>
      <c r="BT1205" s="2"/>
      <c r="BU1205" s="2"/>
      <c r="BV1205" s="2"/>
      <c r="BW1205" s="2"/>
      <c r="BX1205" s="2"/>
      <c r="BY1205" s="2"/>
      <c r="BZ1205" s="2"/>
      <c r="CA1205" s="2"/>
      <c r="CB1205" s="2"/>
      <c r="CC1205" s="2"/>
      <c r="CD1205" s="2"/>
      <c r="CE1205" s="2"/>
      <c r="CF1205" s="2"/>
      <c r="CG1205" s="2"/>
      <c r="CH1205" s="2"/>
      <c r="CI1205" s="2"/>
      <c r="CJ1205" s="2"/>
      <c r="CK1205" s="2"/>
      <c r="CL1205" s="2"/>
      <c r="CM1205" s="2"/>
      <c r="CN1205" s="2"/>
      <c r="CO1205" s="2"/>
      <c r="CP1205" s="2"/>
      <c r="CQ1205" s="2"/>
      <c r="CR1205" s="1"/>
      <c r="CS1205" s="1"/>
      <c r="CT1205" s="1"/>
      <c r="CU1205" s="1"/>
    </row>
    <row r="1206" spans="1:99" s="13" customFormat="1" ht="12" customHeight="1" x14ac:dyDescent="0.2">
      <c r="A1206" s="68">
        <v>43509</v>
      </c>
      <c r="B1206" s="70"/>
      <c r="C1206" s="70"/>
      <c r="D1206" s="69"/>
      <c r="E1206" s="87"/>
      <c r="F1206" s="69"/>
      <c r="G1206" s="69"/>
      <c r="H1206" s="69"/>
      <c r="I1206" s="69"/>
      <c r="J1206" s="69"/>
      <c r="K1206" s="107"/>
      <c r="L1206" s="107"/>
      <c r="M1206" s="69"/>
      <c r="N1206" s="69"/>
      <c r="O1206" s="69"/>
      <c r="P1206" s="69"/>
      <c r="Q1206" s="69"/>
      <c r="R1206" s="69"/>
      <c r="S1206" s="69"/>
      <c r="T1206" s="69"/>
      <c r="U1206" s="69"/>
      <c r="V1206" s="69"/>
      <c r="W1206" s="69"/>
      <c r="X1206" s="69"/>
      <c r="Y1206" s="87"/>
      <c r="Z1206" s="69"/>
      <c r="AA1206" s="69"/>
      <c r="AB1206" s="69"/>
      <c r="AC1206" s="69"/>
      <c r="AD1206" s="69"/>
      <c r="AE1206" s="69"/>
      <c r="AF1206" s="88"/>
      <c r="AG1206" s="72"/>
      <c r="AH1206" s="4"/>
      <c r="AI1206" s="72"/>
      <c r="AJ1206" s="110"/>
      <c r="AK1206" s="72"/>
      <c r="AL1206" s="72"/>
      <c r="AM1206" s="72"/>
      <c r="AN1206" s="72"/>
      <c r="AO1206" s="72"/>
      <c r="AP1206" s="72"/>
      <c r="AQ1206" s="89"/>
      <c r="AR1206" s="118"/>
      <c r="AS1206" s="89"/>
      <c r="AT1206" s="89"/>
      <c r="AU1206" s="4"/>
      <c r="AV1206" s="71">
        <f>24*60*60</f>
        <v>86400</v>
      </c>
      <c r="AW1206" s="71">
        <f>30*24*60*60*1.4</f>
        <v>3628800</v>
      </c>
      <c r="AX1206" s="71">
        <f>11*7*24*60*60</f>
        <v>6652800</v>
      </c>
      <c r="AY1206" s="42"/>
      <c r="AZ1206" s="46"/>
      <c r="BA1206" s="42"/>
      <c r="BB1206" s="42"/>
      <c r="BC1206" s="2"/>
      <c r="BD1206" s="2"/>
      <c r="BE1206" s="2"/>
      <c r="BF1206" s="2"/>
      <c r="BG1206" s="2"/>
      <c r="BH1206" s="2"/>
      <c r="BI1206" s="2"/>
      <c r="BJ1206" s="2"/>
      <c r="BK1206" s="2"/>
      <c r="BL1206" s="2"/>
      <c r="BM1206" s="2"/>
      <c r="BN1206" s="2"/>
      <c r="BO1206" s="2"/>
      <c r="BP1206" s="2"/>
      <c r="BQ1206" s="2"/>
      <c r="BR1206" s="2"/>
      <c r="BS1206" s="2"/>
      <c r="BT1206" s="2"/>
      <c r="BU1206" s="2"/>
      <c r="BV1206" s="2"/>
      <c r="BW1206" s="2"/>
      <c r="BX1206" s="2"/>
      <c r="BY1206" s="2"/>
      <c r="BZ1206" s="2"/>
      <c r="CA1206" s="2"/>
      <c r="CB1206" s="2"/>
      <c r="CC1206" s="2"/>
      <c r="CD1206" s="2"/>
      <c r="CE1206" s="2"/>
      <c r="CF1206" s="2"/>
      <c r="CG1206" s="2"/>
      <c r="CH1206" s="2"/>
      <c r="CI1206" s="2"/>
      <c r="CJ1206" s="2"/>
      <c r="CK1206" s="2"/>
      <c r="CL1206" s="2"/>
      <c r="CM1206" s="2"/>
      <c r="CN1206" s="2"/>
      <c r="CO1206" s="2"/>
      <c r="CP1206" s="2"/>
      <c r="CQ1206" s="2"/>
      <c r="CR1206" s="1"/>
      <c r="CS1206" s="1"/>
      <c r="CT1206" s="1"/>
      <c r="CU1206" s="1"/>
    </row>
    <row r="1207" spans="1:99" s="13" customFormat="1" ht="12" customHeight="1" x14ac:dyDescent="0.2">
      <c r="A1207" s="68">
        <v>43509</v>
      </c>
      <c r="B1207" s="70" t="s">
        <v>196</v>
      </c>
      <c r="C1207" s="70" t="s">
        <v>70</v>
      </c>
      <c r="D1207" s="69">
        <v>2006</v>
      </c>
      <c r="E1207" s="87">
        <v>1</v>
      </c>
      <c r="F1207" s="69">
        <v>20</v>
      </c>
      <c r="G1207" s="69">
        <v>20</v>
      </c>
      <c r="H1207" s="69" t="s">
        <v>30</v>
      </c>
      <c r="I1207" s="69" t="s">
        <v>815</v>
      </c>
      <c r="J1207" s="69" t="s">
        <v>704</v>
      </c>
      <c r="K1207" s="69">
        <f>IF(J1207="syllables",1,IF(J1207="trigrams",2,IF(J1207="strings",3,IF(J1207="visual array",4,IF(J1207="characters",5,IF(J1207="letters",6,IF(J1207="free forms",7,IF(J1207="odors",8,IF(J1207="words",9,IF(J1207="pictures",10,IF(J1207="object pictures",11,IF(J1207="faces",12,IF(J1207="names",13,IF(J1207="idioms",14,IF(J1207="grades",15,IF(J1207="syllable-digit pairs",16,IF(J1207="trigram-word pairs",17,IF(J1207="word-digit pairs",18,IF(J1207="English-Swahili pairs",19,IF(J1207="spatial position",20,IF(J1207="word pairs",21,IF(J1207="word triads",22,IF(J1207="generated words",23,IF(J1207="word definition pairs",24,IF(J1207="math problems",25,IF(J1207="famous faces",26,IF(J1207="famous names",27,IF(J1207="famous voices",28,IF(J1207="television programs",29,IF(J1207="race horses",30,IF(J1207="new vocabulary",31,IF(J1207="sentences",32,IF(J1207="concepts",33,IF(J1207="ad slides",34,IF(J1207="scenes",35,IF(J1207="famous scenes",36,IF(J1207="poems",37,IF(J1207="walk",38,IF(J1207="faces and events",39,IF(J1207="events and names",40,IF(J1207="flashbulb",41,IF(J1207="stories",42,IF(J1207="course material",43,IF(J1207="autobiographical",44,IF(J1207="novels",45,IF(J1207="public events",46,"99"))))))))))))))))))))))))))))))))))))))))))))))</f>
        <v>41</v>
      </c>
      <c r="L1207" s="69">
        <f>IF(J1207="syllables",1,IF(J1207="trigrams",1,IF(J1207="strings",1,IF(J1207="visual array",1,IF(J1207="characters",1,IF(J1207="letters",1,IF(J1207="free forms",1,IF(J1207="odors",2,IF(J1207="words",2,IF(J1207="pictures",2,IF(J1207="object pictures",2,IF(J1207="faces",2,IF(J1207="names",2,IF(J1207="idioms","2",IF(J1207="grades",2,IF(J1207="syllable-digit pairs",3,IF(J1207="trigram-word pairs",3,IF(J1207="word-digit pairs",3,IF(J1207="English-Swahili pairs",3,IF(J1207="spatial position",3,IF(J1207="word pairs",4,IF(J1207="word triads",4,IF(J1207="generated words",4,IF(J1207="word definition pairs",4,IF(J1207="math problems",4,IF(J1207="famous faces",4,IF(J1207="famous names",4,IF(J1207="famous voices",4,IF(J1207="television programs",4,IF(J1207="race horses",4,IF(J1207="new vocabulary",4,IF(J1207="sentences",5,IF(J1207="concepts",5,IF(J1207="ad slides",5,IF(J1207="scenes",5,IF(J1207="famous scenes",5,IF(J1207="poems",6,IF(J1207="walk",6,IF(J1207="faces and events",6,IF(J1207="events and names",6,IF(J1207="flashbulb",7,IF(J1207="stories",7,IF(J1207="course material",7,IF(J1207="autobiographical",7,IF(J1207="novels",7,IF(J1207="public events",7,"99"))))))))))))))))))))))))))))))))))))))))))))))</f>
        <v>7</v>
      </c>
      <c r="M1207" s="69">
        <v>1</v>
      </c>
      <c r="N1207" s="69">
        <v>4</v>
      </c>
      <c r="O1207" s="69">
        <v>0</v>
      </c>
      <c r="P1207" s="69"/>
      <c r="Q1207" s="69" t="s">
        <v>174</v>
      </c>
      <c r="R1207" s="69">
        <f>IF(Q1207="Free Recall",1,IF(Q1207="Cued Recall",2,IF(Q1207="Recognition",3,IF(Q1207="Multiple Choice",4,IF(Q1207="Savings",5,IF(Q1207="Stem Completion",6,IF(Q1207="Fragment Completion",7,IF(Q1207="anagram solution",8,IF(Q1207="Matching",9,IF(Q1207="Problem Solving",10,"99"))))))))))</f>
        <v>1</v>
      </c>
      <c r="S1207" s="69" t="s">
        <v>49</v>
      </c>
      <c r="T1207" s="92" t="s">
        <v>581</v>
      </c>
      <c r="U1207" s="69">
        <f>IF(T1207="within",1,0)</f>
        <v>1</v>
      </c>
      <c r="V1207" s="92">
        <v>3</v>
      </c>
      <c r="W1207" s="69">
        <f>F1207*V1207</f>
        <v>60</v>
      </c>
      <c r="X1207" s="69">
        <v>3</v>
      </c>
      <c r="Y1207" s="87">
        <f>AV1206</f>
        <v>86400</v>
      </c>
      <c r="Z1207" s="69" t="s">
        <v>530</v>
      </c>
      <c r="AA1207" s="87">
        <f>11*7*24*60*60</f>
        <v>6652800</v>
      </c>
      <c r="AB1207" s="69" t="str">
        <f>IF(AA1207&lt;60,"1",IF(AA1207&lt;=43200,"2",IF(AA1207&lt;=777600,"3","4")))</f>
        <v>4</v>
      </c>
      <c r="AC1207" s="72">
        <f>AVERAGE(AV1206:DA1206)</f>
        <v>3456000</v>
      </c>
      <c r="AD1207" s="69" t="str">
        <f>IF(AC1207&lt;60,"1",IF(AC1207&lt;=43200,"2",IF(AC1207&lt;=777600,"3","4")))</f>
        <v>4</v>
      </c>
      <c r="AE1207" s="87">
        <f>AA1207-Y1207</f>
        <v>6566400</v>
      </c>
      <c r="AF1207" s="88">
        <f>AV1207</f>
        <v>0.95799999999999996</v>
      </c>
      <c r="AG1207" s="72">
        <f>((AW1207-AV1207)+(AX1207-AW1207))/2</f>
        <v>-4.1499999999999981E-2</v>
      </c>
      <c r="AH1207" s="4"/>
      <c r="AI1207" s="72">
        <f>RSQ(AV1207:AX1207,AV1206:AX1206)</f>
        <v>0.85505211818267868</v>
      </c>
      <c r="AJ1207" s="110">
        <f>SLOPE(AV1207:AX1207,AV1206:AX1206)</f>
        <v>-1.2881856459085203E-8</v>
      </c>
      <c r="AK1207" s="72">
        <f>INTERCEPT(AV1207:AX1207,AV1206:AX1206)</f>
        <v>0.94985302925593185</v>
      </c>
      <c r="AL1207" s="72">
        <f>INDEX(LINEST(LN(AV1207:AX1207),LN(AV1206:AX1206),TRUE,TRUE),3,1)</f>
        <v>0.99856673199237012</v>
      </c>
      <c r="AM1207" s="72">
        <f>INDEX(LINEST(LN(AV1207:AX1207),LN(AV1206:AX1206)),1)</f>
        <v>-2.1197041933143659E-2</v>
      </c>
      <c r="AN1207" s="72">
        <f>EXP(INDEX(LINEST(LN(AV1207:AX1207),LN(AV1206:AX1206)),1,2))</f>
        <v>1.21866109318462</v>
      </c>
      <c r="AO1207" s="89">
        <f>INDEX(LINEST((AV1207:AX1207),LN(AV1206:AX1206),TRUE,TRUE),3,1)</f>
        <v>0.99826122256049976</v>
      </c>
      <c r="AP1207" s="89">
        <f>INDEX(LINEST((AV1207:AX1207),LN(AV1206:AX1206)),1)</f>
        <v>-1.9445457850438847E-2</v>
      </c>
      <c r="AQ1207" s="90">
        <f>INDEX(LINEST(LN(AV1207:AX1207),SQRT(AV1206:AX1206),TRUE,TRUE),3,1)</f>
        <v>0.96055734673267612</v>
      </c>
      <c r="AR1207" s="117">
        <f>INDEX(LINEST(LN(AV1207:AX1207),SQRT((AV1206:AX1206))),1)</f>
        <v>-4.1651166361090354E-5</v>
      </c>
      <c r="AS1207" s="91">
        <f>INDEX(LINEST(1/(AV1207:AX1207),1/(SQRT(AV1206:AX1206)),TRUE,TRUE),3,1)</f>
        <v>0.9969845045033694</v>
      </c>
      <c r="AT1207" s="91">
        <f>INDEX(LINEST(1/(AV1207:AX1207),1/SQRT(AV1206:AX1206)),1)</f>
        <v>-31.926531477895903</v>
      </c>
      <c r="AU1207" s="3"/>
      <c r="AV1207" s="73">
        <v>0.95799999999999996</v>
      </c>
      <c r="AW1207" s="73">
        <v>0.88300000000000001</v>
      </c>
      <c r="AX1207" s="73">
        <v>0.875</v>
      </c>
      <c r="AY1207" s="42"/>
      <c r="AZ1207" s="46"/>
      <c r="BA1207" s="42"/>
      <c r="BB1207" s="42"/>
      <c r="BC1207" s="2"/>
      <c r="BD1207" s="2"/>
      <c r="BE1207" s="2"/>
      <c r="BF1207" s="2"/>
      <c r="BG1207" s="2"/>
      <c r="BH1207" s="2"/>
      <c r="BI1207" s="2"/>
      <c r="BJ1207" s="2"/>
      <c r="BK1207" s="2"/>
      <c r="BL1207" s="2"/>
      <c r="BM1207" s="2"/>
      <c r="BN1207" s="2"/>
      <c r="BO1207" s="2"/>
      <c r="BP1207" s="2"/>
      <c r="BQ1207" s="2"/>
      <c r="BR1207" s="2"/>
      <c r="BS1207" s="2"/>
      <c r="BT1207" s="2"/>
      <c r="BU1207" s="2"/>
      <c r="BV1207" s="2"/>
      <c r="BW1207" s="2"/>
      <c r="BX1207" s="2"/>
      <c r="BY1207" s="2"/>
      <c r="BZ1207" s="2"/>
      <c r="CA1207" s="2"/>
      <c r="CB1207" s="2"/>
      <c r="CC1207" s="2"/>
      <c r="CD1207" s="2"/>
      <c r="CE1207" s="2"/>
      <c r="CF1207" s="2"/>
      <c r="CG1207" s="2"/>
      <c r="CH1207" s="2"/>
      <c r="CI1207" s="2"/>
      <c r="CJ1207" s="2"/>
      <c r="CK1207" s="2"/>
      <c r="CL1207" s="2"/>
      <c r="CM1207" s="2"/>
      <c r="CN1207" s="2"/>
      <c r="CO1207" s="2"/>
      <c r="CP1207" s="2"/>
      <c r="CQ1207" s="2"/>
      <c r="CR1207" s="1"/>
      <c r="CS1207" s="1"/>
      <c r="CT1207" s="1"/>
      <c r="CU1207" s="1"/>
    </row>
    <row r="1208" spans="1:99" s="13" customFormat="1" ht="12" customHeight="1" x14ac:dyDescent="0.2">
      <c r="A1208" s="68">
        <v>43509</v>
      </c>
      <c r="B1208" s="70"/>
      <c r="C1208" s="70"/>
      <c r="D1208" s="69"/>
      <c r="E1208" s="87"/>
      <c r="F1208" s="69"/>
      <c r="G1208" s="69"/>
      <c r="H1208" s="69"/>
      <c r="I1208" s="69"/>
      <c r="J1208" s="69"/>
      <c r="K1208" s="107"/>
      <c r="L1208" s="107"/>
      <c r="M1208" s="69"/>
      <c r="N1208" s="69"/>
      <c r="O1208" s="69"/>
      <c r="P1208" s="69"/>
      <c r="Q1208" s="69"/>
      <c r="R1208" s="69"/>
      <c r="S1208" s="69"/>
      <c r="T1208" s="69"/>
      <c r="U1208" s="69"/>
      <c r="V1208" s="69"/>
      <c r="W1208" s="69"/>
      <c r="X1208" s="69"/>
      <c r="Y1208" s="87"/>
      <c r="Z1208" s="69"/>
      <c r="AA1208" s="69"/>
      <c r="AB1208" s="69"/>
      <c r="AC1208" s="69"/>
      <c r="AD1208" s="69"/>
      <c r="AE1208" s="69"/>
      <c r="AF1208" s="88"/>
      <c r="AG1208" s="72"/>
      <c r="AH1208" s="4"/>
      <c r="AI1208" s="72"/>
      <c r="AJ1208" s="110"/>
      <c r="AK1208" s="72"/>
      <c r="AL1208" s="72"/>
      <c r="AM1208" s="72"/>
      <c r="AN1208" s="72"/>
      <c r="AO1208" s="72"/>
      <c r="AP1208" s="72"/>
      <c r="AQ1208" s="89"/>
      <c r="AR1208" s="118"/>
      <c r="AS1208" s="89"/>
      <c r="AT1208" s="89"/>
      <c r="AU1208" s="4"/>
      <c r="AV1208" s="71">
        <f>24*60*60</f>
        <v>86400</v>
      </c>
      <c r="AW1208" s="71">
        <f>30*24*60*60*1.4</f>
        <v>3628800</v>
      </c>
      <c r="AX1208" s="71">
        <f>11*7*24*60*60</f>
        <v>6652800</v>
      </c>
      <c r="AY1208" s="42"/>
      <c r="AZ1208" s="46"/>
      <c r="BA1208" s="42"/>
      <c r="BB1208" s="42"/>
      <c r="BC1208" s="2"/>
      <c r="BD1208" s="2"/>
      <c r="BE1208" s="2"/>
      <c r="BF1208" s="2"/>
      <c r="BG1208" s="2"/>
      <c r="BH1208" s="2"/>
      <c r="BI1208" s="2"/>
      <c r="BJ1208" s="2"/>
      <c r="BK1208" s="2"/>
      <c r="BL1208" s="2"/>
      <c r="BM1208" s="2"/>
      <c r="BN1208" s="2"/>
      <c r="BO1208" s="2"/>
      <c r="BP1208" s="2"/>
      <c r="BQ1208" s="2"/>
      <c r="BR1208" s="2"/>
      <c r="BS1208" s="2"/>
      <c r="BT1208" s="2"/>
      <c r="BU1208" s="2"/>
      <c r="BV1208" s="2"/>
      <c r="BW1208" s="2"/>
      <c r="BX1208" s="2"/>
      <c r="BY1208" s="2"/>
      <c r="BZ1208" s="2"/>
      <c r="CA1208" s="2"/>
      <c r="CB1208" s="2"/>
      <c r="CC1208" s="2"/>
      <c r="CD1208" s="2"/>
      <c r="CE1208" s="2"/>
      <c r="CF1208" s="2"/>
      <c r="CG1208" s="2"/>
      <c r="CH1208" s="2"/>
      <c r="CI1208" s="2"/>
      <c r="CJ1208" s="2"/>
      <c r="CK1208" s="2"/>
      <c r="CL1208" s="2"/>
      <c r="CM1208" s="2"/>
      <c r="CN1208" s="2"/>
      <c r="CO1208" s="2"/>
      <c r="CP1208" s="2"/>
      <c r="CQ1208" s="2"/>
      <c r="CR1208" s="1"/>
      <c r="CS1208" s="1"/>
      <c r="CT1208" s="1"/>
      <c r="CU1208" s="1"/>
    </row>
    <row r="1209" spans="1:99" s="13" customFormat="1" ht="12" customHeight="1" x14ac:dyDescent="0.2">
      <c r="A1209" s="68">
        <v>43509</v>
      </c>
      <c r="B1209" s="70" t="s">
        <v>196</v>
      </c>
      <c r="C1209" s="70" t="s">
        <v>70</v>
      </c>
      <c r="D1209" s="69">
        <v>2006</v>
      </c>
      <c r="E1209" s="87">
        <v>1</v>
      </c>
      <c r="F1209" s="69">
        <v>20</v>
      </c>
      <c r="G1209" s="69">
        <v>20</v>
      </c>
      <c r="H1209" s="69" t="s">
        <v>30</v>
      </c>
      <c r="I1209" s="69" t="s">
        <v>815</v>
      </c>
      <c r="J1209" s="69" t="s">
        <v>704</v>
      </c>
      <c r="K1209" s="69">
        <f>IF(J1209="syllables",1,IF(J1209="trigrams",2,IF(J1209="strings",3,IF(J1209="visual array",4,IF(J1209="characters",5,IF(J1209="letters",6,IF(J1209="free forms",7,IF(J1209="odors",8,IF(J1209="words",9,IF(J1209="pictures",10,IF(J1209="object pictures",11,IF(J1209="faces",12,IF(J1209="names",13,IF(J1209="idioms",14,IF(J1209="grades",15,IF(J1209="syllable-digit pairs",16,IF(J1209="trigram-word pairs",17,IF(J1209="word-digit pairs",18,IF(J1209="English-Swahili pairs",19,IF(J1209="spatial position",20,IF(J1209="word pairs",21,IF(J1209="word triads",22,IF(J1209="generated words",23,IF(J1209="word definition pairs",24,IF(J1209="math problems",25,IF(J1209="famous faces",26,IF(J1209="famous names",27,IF(J1209="famous voices",28,IF(J1209="television programs",29,IF(J1209="race horses",30,IF(J1209="new vocabulary",31,IF(J1209="sentences",32,IF(J1209="concepts",33,IF(J1209="ad slides",34,IF(J1209="scenes",35,IF(J1209="famous scenes",36,IF(J1209="poems",37,IF(J1209="walk",38,IF(J1209="faces and events",39,IF(J1209="events and names",40,IF(J1209="flashbulb",41,IF(J1209="stories",42,IF(J1209="course material",43,IF(J1209="autobiographical",44,IF(J1209="novels",45,IF(J1209="public events",46,"99"))))))))))))))))))))))))))))))))))))))))))))))</f>
        <v>41</v>
      </c>
      <c r="L1209" s="69">
        <f>IF(J1209="syllables",1,IF(J1209="trigrams",1,IF(J1209="strings",1,IF(J1209="visual array",1,IF(J1209="characters",1,IF(J1209="letters",1,IF(J1209="free forms",1,IF(J1209="odors",2,IF(J1209="words",2,IF(J1209="pictures",2,IF(J1209="object pictures",2,IF(J1209="faces",2,IF(J1209="names",2,IF(J1209="idioms","2",IF(J1209="grades",2,IF(J1209="syllable-digit pairs",3,IF(J1209="trigram-word pairs",3,IF(J1209="word-digit pairs",3,IF(J1209="English-Swahili pairs",3,IF(J1209="spatial position",3,IF(J1209="word pairs",4,IF(J1209="word triads",4,IF(J1209="generated words",4,IF(J1209="word definition pairs",4,IF(J1209="math problems",4,IF(J1209="famous faces",4,IF(J1209="famous names",4,IF(J1209="famous voices",4,IF(J1209="television programs",4,IF(J1209="race horses",4,IF(J1209="new vocabulary",4,IF(J1209="sentences",5,IF(J1209="concepts",5,IF(J1209="ad slides",5,IF(J1209="scenes",5,IF(J1209="famous scenes",5,IF(J1209="poems",6,IF(J1209="walk",6,IF(J1209="faces and events",6,IF(J1209="events and names",6,IF(J1209="flashbulb",7,IF(J1209="stories",7,IF(J1209="course material",7,IF(J1209="autobiographical",7,IF(J1209="novels",7,IF(J1209="public events",7,"99"))))))))))))))))))))))))))))))))))))))))))))))</f>
        <v>7</v>
      </c>
      <c r="M1209" s="69">
        <v>1</v>
      </c>
      <c r="N1209" s="69">
        <v>4</v>
      </c>
      <c r="O1209" s="69">
        <v>0</v>
      </c>
      <c r="P1209" s="69"/>
      <c r="Q1209" s="69" t="s">
        <v>174</v>
      </c>
      <c r="R1209" s="69">
        <f>IF(Q1209="Free Recall",1,IF(Q1209="Cued Recall",2,IF(Q1209="Recognition",3,IF(Q1209="Multiple Choice",4,IF(Q1209="Savings",5,IF(Q1209="Stem Completion",6,IF(Q1209="Fragment Completion",7,IF(Q1209="anagram solution",8,IF(Q1209="Matching",9,IF(Q1209="Problem Solving",10,"99"))))))))))</f>
        <v>1</v>
      </c>
      <c r="S1209" s="69" t="s">
        <v>49</v>
      </c>
      <c r="T1209" s="92" t="s">
        <v>581</v>
      </c>
      <c r="U1209" s="69">
        <f>IF(T1209="within",1,0)</f>
        <v>1</v>
      </c>
      <c r="V1209" s="92">
        <v>3</v>
      </c>
      <c r="W1209" s="69">
        <f>F1209*V1209</f>
        <v>60</v>
      </c>
      <c r="X1209" s="69">
        <v>3</v>
      </c>
      <c r="Y1209" s="87">
        <f>AV1208</f>
        <v>86400</v>
      </c>
      <c r="Z1209" s="69" t="s">
        <v>530</v>
      </c>
      <c r="AA1209" s="87">
        <f>11*7*24*60*60</f>
        <v>6652800</v>
      </c>
      <c r="AB1209" s="69" t="str">
        <f>IF(AA1209&lt;60,"1",IF(AA1209&lt;=43200,"2",IF(AA1209&lt;=777600,"3","4")))</f>
        <v>4</v>
      </c>
      <c r="AC1209" s="72">
        <f>AVERAGE(AV1208:DA1208)</f>
        <v>3456000</v>
      </c>
      <c r="AD1209" s="69" t="str">
        <f>IF(AC1209&lt;60,"1",IF(AC1209&lt;=43200,"2",IF(AC1209&lt;=777600,"3","4")))</f>
        <v>4</v>
      </c>
      <c r="AE1209" s="87">
        <f>AA1209-Y1209</f>
        <v>6566400</v>
      </c>
      <c r="AF1209" s="88">
        <f>AV1209</f>
        <v>0.56699999999999995</v>
      </c>
      <c r="AG1209" s="72">
        <f>((AW1209-AV1209)+(AX1209-AW1209))/2</f>
        <v>-1.699999999999996E-2</v>
      </c>
      <c r="AH1209" s="4"/>
      <c r="AI1209" s="72">
        <f>RSQ(AV1209:AX1209,AV1208:AX1208)</f>
        <v>3.9858598197025648E-2</v>
      </c>
      <c r="AJ1209" s="110">
        <f>SLOPE(AV1209:AX1209,AV1208:AX1208)</f>
        <v>-4.2312959123601711E-9</v>
      </c>
      <c r="AK1209" s="72">
        <f>INTERCEPT(AV1209:AX1209,AV1208:AX1208)</f>
        <v>0.60362335867311667</v>
      </c>
      <c r="AL1209" s="72">
        <f>INDEX(LINEST(LN(AV1209:AX1209),LN(AV1208:AX1208),TRUE,TRUE),3,1)</f>
        <v>1.534917344681825E-2</v>
      </c>
      <c r="AM1209" s="72">
        <f>INDEX(LINEST(LN(AV1209:AX1209),LN(AV1208:AX1208)),1)</f>
        <v>6.1001670878660236E-3</v>
      </c>
      <c r="AN1209" s="72">
        <f>EXP(INDEX(LINEST(LN(AV1209:AX1209),LN(AV1208:AX1208)),1,2))</f>
        <v>0.5381398356640692</v>
      </c>
      <c r="AO1209" s="89">
        <f>INDEX(LINEST((AV1209:AX1209),LN(AV1208:AX1208),TRUE,TRUE),3,1)</f>
        <v>2.1705898634536178E-2</v>
      </c>
      <c r="AP1209" s="89">
        <f>INDEX(LINEST((AV1209:AX1209),LN(AV1208:AX1208)),1)</f>
        <v>4.3622965325210488E-3</v>
      </c>
      <c r="AQ1209" s="90">
        <f>INDEX(LINEST(LN(AV1209:AX1209),SQRT(AV1208:AX1208),TRUE,TRUE),3,1)</f>
        <v>1.4321302082853306E-3</v>
      </c>
      <c r="AR1209" s="117">
        <f>INDEX(LINEST(LN(AV1209:AX1209),SQRT((AV1208:AX1208))),1)</f>
        <v>-3.7330971557886028E-6</v>
      </c>
      <c r="AS1209" s="91">
        <f>INDEX(LINEST(1/(AV1209:AX1209),1/(SQRT(AV1208:AX1208)),TRUE,TRUE),3,1)</f>
        <v>3.5038786271232386E-2</v>
      </c>
      <c r="AT1209" s="91">
        <f>INDEX(LINEST(1/(AV1209:AX1209),1/SQRT(AV1208:AX1208)),1)</f>
        <v>21.279396144240483</v>
      </c>
      <c r="AU1209" s="3"/>
      <c r="AV1209" s="73">
        <v>0.56699999999999995</v>
      </c>
      <c r="AW1209" s="73">
        <v>0.66700000000000004</v>
      </c>
      <c r="AX1209" s="73">
        <v>0.53300000000000003</v>
      </c>
      <c r="AY1209" s="42"/>
      <c r="AZ1209" s="46"/>
      <c r="BA1209" s="42"/>
      <c r="BB1209" s="42"/>
      <c r="BC1209" s="42"/>
      <c r="BD1209" s="42"/>
      <c r="BE1209" s="42"/>
      <c r="BF1209" s="42"/>
      <c r="BG1209" s="42"/>
      <c r="BH1209" s="2"/>
      <c r="BI1209" s="2"/>
      <c r="BJ1209" s="2"/>
      <c r="BK1209" s="2"/>
      <c r="BL1209" s="2"/>
      <c r="BM1209" s="2"/>
      <c r="BN1209" s="2"/>
      <c r="BO1209" s="2"/>
      <c r="BP1209" s="2"/>
      <c r="BQ1209" s="2"/>
      <c r="BR1209" s="2"/>
      <c r="BS1209" s="2"/>
      <c r="BT1209" s="2"/>
      <c r="BU1209" s="2"/>
      <c r="BV1209" s="2"/>
      <c r="BW1209" s="2"/>
      <c r="BX1209" s="2"/>
      <c r="BY1209" s="2"/>
      <c r="BZ1209" s="2"/>
      <c r="CA1209" s="2"/>
      <c r="CB1209" s="2"/>
      <c r="CC1209" s="2"/>
      <c r="CD1209" s="2"/>
      <c r="CE1209" s="2"/>
      <c r="CF1209" s="2"/>
      <c r="CG1209" s="2"/>
      <c r="CH1209" s="2"/>
      <c r="CI1209" s="2"/>
      <c r="CJ1209" s="2"/>
      <c r="CK1209" s="2"/>
      <c r="CL1209" s="2"/>
      <c r="CM1209" s="2"/>
      <c r="CN1209" s="2"/>
      <c r="CO1209" s="2"/>
      <c r="CP1209" s="2"/>
      <c r="CQ1209" s="2"/>
      <c r="CR1209" s="1"/>
      <c r="CS1209" s="1"/>
      <c r="CT1209" s="1"/>
      <c r="CU1209" s="1"/>
    </row>
    <row r="1210" spans="1:99" s="13" customFormat="1" ht="12" customHeight="1" x14ac:dyDescent="0.2">
      <c r="A1210" s="68">
        <v>43509</v>
      </c>
      <c r="B1210" s="70"/>
      <c r="C1210" s="70"/>
      <c r="D1210" s="69"/>
      <c r="E1210" s="87"/>
      <c r="F1210" s="69"/>
      <c r="G1210" s="69"/>
      <c r="H1210" s="69"/>
      <c r="I1210" s="69"/>
      <c r="J1210" s="69"/>
      <c r="K1210" s="107"/>
      <c r="L1210" s="107"/>
      <c r="M1210" s="69"/>
      <c r="N1210" s="69"/>
      <c r="O1210" s="69"/>
      <c r="P1210" s="69"/>
      <c r="Q1210" s="69"/>
      <c r="R1210" s="69"/>
      <c r="S1210" s="69"/>
      <c r="T1210" s="92"/>
      <c r="U1210" s="69"/>
      <c r="V1210" s="69"/>
      <c r="W1210" s="69"/>
      <c r="X1210" s="69"/>
      <c r="Y1210" s="87"/>
      <c r="Z1210" s="69"/>
      <c r="AA1210" s="69"/>
      <c r="AB1210" s="69"/>
      <c r="AC1210" s="69"/>
      <c r="AD1210" s="69"/>
      <c r="AE1210" s="69"/>
      <c r="AF1210" s="88"/>
      <c r="AG1210" s="72"/>
      <c r="AH1210" s="4"/>
      <c r="AI1210" s="72"/>
      <c r="AJ1210" s="110"/>
      <c r="AK1210" s="72"/>
      <c r="AL1210" s="72"/>
      <c r="AM1210" s="72"/>
      <c r="AN1210" s="72"/>
      <c r="AO1210" s="72"/>
      <c r="AP1210" s="72"/>
      <c r="AQ1210" s="89"/>
      <c r="AR1210" s="118"/>
      <c r="AS1210" s="89"/>
      <c r="AT1210" s="89"/>
      <c r="AU1210" s="4"/>
      <c r="AV1210" s="71">
        <f>24*60*60</f>
        <v>86400</v>
      </c>
      <c r="AW1210" s="71">
        <f>30*24*60*60*1.4</f>
        <v>3628800</v>
      </c>
      <c r="AX1210" s="71">
        <f>11*7*24*60*60</f>
        <v>6652800</v>
      </c>
      <c r="AY1210" s="42"/>
      <c r="AZ1210" s="46"/>
      <c r="BA1210" s="42"/>
      <c r="BB1210" s="42"/>
      <c r="BC1210" s="42"/>
      <c r="BD1210" s="42"/>
      <c r="BE1210" s="42"/>
      <c r="BF1210" s="42"/>
      <c r="BG1210" s="42"/>
      <c r="BH1210" s="2"/>
      <c r="BI1210" s="2"/>
      <c r="BJ1210" s="2"/>
      <c r="BK1210" s="2"/>
      <c r="BL1210" s="2"/>
      <c r="BM1210" s="2"/>
      <c r="BN1210" s="2"/>
      <c r="BO1210" s="2"/>
      <c r="BP1210" s="2"/>
      <c r="BQ1210" s="2"/>
      <c r="BR1210" s="2"/>
      <c r="BS1210" s="2"/>
      <c r="BT1210" s="2"/>
      <c r="BU1210" s="2"/>
      <c r="BV1210" s="2"/>
      <c r="BW1210" s="2"/>
      <c r="BX1210" s="2"/>
      <c r="BY1210" s="2"/>
      <c r="BZ1210" s="2"/>
      <c r="CA1210" s="2"/>
      <c r="CB1210" s="2"/>
      <c r="CC1210" s="2"/>
      <c r="CD1210" s="2"/>
      <c r="CE1210" s="2"/>
      <c r="CF1210" s="2"/>
      <c r="CG1210" s="2"/>
      <c r="CH1210" s="2"/>
      <c r="CI1210" s="2"/>
      <c r="CJ1210" s="2"/>
      <c r="CK1210" s="2"/>
      <c r="CL1210" s="2"/>
      <c r="CM1210" s="2"/>
      <c r="CN1210" s="2"/>
      <c r="CO1210" s="2"/>
      <c r="CP1210" s="2"/>
      <c r="CQ1210" s="2"/>
      <c r="CR1210" s="1"/>
      <c r="CS1210" s="1"/>
      <c r="CT1210" s="1"/>
      <c r="CU1210" s="1"/>
    </row>
    <row r="1211" spans="1:99" s="13" customFormat="1" ht="12" customHeight="1" x14ac:dyDescent="0.2">
      <c r="A1211" s="68">
        <v>43509</v>
      </c>
      <c r="B1211" s="70" t="s">
        <v>196</v>
      </c>
      <c r="C1211" s="70" t="s">
        <v>70</v>
      </c>
      <c r="D1211" s="69">
        <v>2006</v>
      </c>
      <c r="E1211" s="87">
        <v>1</v>
      </c>
      <c r="F1211" s="69">
        <v>20</v>
      </c>
      <c r="G1211" s="69">
        <v>20</v>
      </c>
      <c r="H1211" s="69" t="s">
        <v>30</v>
      </c>
      <c r="I1211" s="69" t="s">
        <v>815</v>
      </c>
      <c r="J1211" s="69" t="s">
        <v>704</v>
      </c>
      <c r="K1211" s="69">
        <f>IF(J1211="syllables",1,IF(J1211="trigrams",2,IF(J1211="strings",3,IF(J1211="visual array",4,IF(J1211="characters",5,IF(J1211="letters",6,IF(J1211="free forms",7,IF(J1211="odors",8,IF(J1211="words",9,IF(J1211="pictures",10,IF(J1211="object pictures",11,IF(J1211="faces",12,IF(J1211="names",13,IF(J1211="idioms",14,IF(J1211="grades",15,IF(J1211="syllable-digit pairs",16,IF(J1211="trigram-word pairs",17,IF(J1211="word-digit pairs",18,IF(J1211="English-Swahili pairs",19,IF(J1211="spatial position",20,IF(J1211="word pairs",21,IF(J1211="word triads",22,IF(J1211="generated words",23,IF(J1211="word definition pairs",24,IF(J1211="math problems",25,IF(J1211="famous faces",26,IF(J1211="famous names",27,IF(J1211="famous voices",28,IF(J1211="television programs",29,IF(J1211="race horses",30,IF(J1211="new vocabulary",31,IF(J1211="sentences",32,IF(J1211="concepts",33,IF(J1211="ad slides",34,IF(J1211="scenes",35,IF(J1211="famous scenes",36,IF(J1211="poems",37,IF(J1211="walk",38,IF(J1211="faces and events",39,IF(J1211="events and names",40,IF(J1211="flashbulb",41,IF(J1211="stories",42,IF(J1211="course material",43,IF(J1211="autobiographical",44,IF(J1211="novels",45,IF(J1211="public events",46,"99"))))))))))))))))))))))))))))))))))))))))))))))</f>
        <v>41</v>
      </c>
      <c r="L1211" s="69">
        <f>IF(J1211="syllables",1,IF(J1211="trigrams",1,IF(J1211="strings",1,IF(J1211="visual array",1,IF(J1211="characters",1,IF(J1211="letters",1,IF(J1211="free forms",1,IF(J1211="odors",2,IF(J1211="words",2,IF(J1211="pictures",2,IF(J1211="object pictures",2,IF(J1211="faces",2,IF(J1211="names",2,IF(J1211="idioms","2",IF(J1211="grades",2,IF(J1211="syllable-digit pairs",3,IF(J1211="trigram-word pairs",3,IF(J1211="word-digit pairs",3,IF(J1211="English-Swahili pairs",3,IF(J1211="spatial position",3,IF(J1211="word pairs",4,IF(J1211="word triads",4,IF(J1211="generated words",4,IF(J1211="word definition pairs",4,IF(J1211="math problems",4,IF(J1211="famous faces",4,IF(J1211="famous names",4,IF(J1211="famous voices",4,IF(J1211="television programs",4,IF(J1211="race horses",4,IF(J1211="new vocabulary",4,IF(J1211="sentences",5,IF(J1211="concepts",5,IF(J1211="ad slides",5,IF(J1211="scenes",5,IF(J1211="famous scenes",5,IF(J1211="poems",6,IF(J1211="walk",6,IF(J1211="faces and events",6,IF(J1211="events and names",6,IF(J1211="flashbulb",7,IF(J1211="stories",7,IF(J1211="course material",7,IF(J1211="autobiographical",7,IF(J1211="novels",7,IF(J1211="public events",7,"99"))))))))))))))))))))))))))))))))))))))))))))))</f>
        <v>7</v>
      </c>
      <c r="M1211" s="69">
        <v>1</v>
      </c>
      <c r="N1211" s="69">
        <v>4</v>
      </c>
      <c r="O1211" s="69">
        <v>0</v>
      </c>
      <c r="P1211" s="69"/>
      <c r="Q1211" s="69" t="s">
        <v>174</v>
      </c>
      <c r="R1211" s="69">
        <f>IF(Q1211="Free Recall",1,IF(Q1211="Cued Recall",2,IF(Q1211="Recognition",3,IF(Q1211="Multiple Choice",4,IF(Q1211="Savings",5,IF(Q1211="Stem Completion",6,IF(Q1211="Fragment Completion",7,IF(Q1211="anagram solution",8,IF(Q1211="Matching",9,IF(Q1211="Problem Solving",10,"99"))))))))))</f>
        <v>1</v>
      </c>
      <c r="S1211" s="69" t="s">
        <v>49</v>
      </c>
      <c r="T1211" s="92" t="s">
        <v>581</v>
      </c>
      <c r="U1211" s="69">
        <f>IF(T1211="within",1,0)</f>
        <v>1</v>
      </c>
      <c r="V1211" s="92">
        <v>2</v>
      </c>
      <c r="W1211" s="69">
        <f>F1211*V1211</f>
        <v>40</v>
      </c>
      <c r="X1211" s="69">
        <v>3</v>
      </c>
      <c r="Y1211" s="87">
        <f>AV1210</f>
        <v>86400</v>
      </c>
      <c r="Z1211" s="69" t="s">
        <v>530</v>
      </c>
      <c r="AA1211" s="87">
        <f>11*7*24*60*60</f>
        <v>6652800</v>
      </c>
      <c r="AB1211" s="69" t="str">
        <f>IF(AA1211&lt;60,"1",IF(AA1211&lt;=43200,"2",IF(AA1211&lt;=777600,"3","4")))</f>
        <v>4</v>
      </c>
      <c r="AC1211" s="72">
        <f>AVERAGE(AV1210:DA1210)</f>
        <v>3456000</v>
      </c>
      <c r="AD1211" s="69" t="str">
        <f>IF(AC1211&lt;60,"1",IF(AC1211&lt;=43200,"2",IF(AC1211&lt;=777600,"3","4")))</f>
        <v>4</v>
      </c>
      <c r="AE1211" s="87">
        <f>AA1211-Y1211</f>
        <v>6566400</v>
      </c>
      <c r="AF1211" s="88">
        <f>AV1211</f>
        <v>0.316</v>
      </c>
      <c r="AG1211" s="72">
        <f>((AW1211-AV1211)+(AX1211-AW1211))/2</f>
        <v>-7.2999999999999995E-2</v>
      </c>
      <c r="AH1211" s="4"/>
      <c r="AI1211" s="72">
        <f>RSQ(AV1211:AX1211,AV1210:AX1210)</f>
        <v>0.99888645400792142</v>
      </c>
      <c r="AJ1211" s="110">
        <f>SLOPE(AV1211:AX1211,AV1210:AX1210)</f>
        <v>-2.2268294555785915E-8</v>
      </c>
      <c r="AK1211" s="72">
        <f>INTERCEPT(AV1211:AX1211,AV1210:AX1210)</f>
        <v>0.31662589265146279</v>
      </c>
      <c r="AL1211" s="72">
        <f>INDEX(LINEST(LN(AV1211:AX1211),LN(AV1210:AX1210),TRUE,TRUE),3,1)</f>
        <v>0.84531005171742679</v>
      </c>
      <c r="AM1211" s="72">
        <f>INDEX(LINEST(LN(AV1211:AX1211),LN(AV1210:AX1210)),1)</f>
        <v>-0.12114824707035662</v>
      </c>
      <c r="AN1211" s="72">
        <f>EXP(INDEX(LINEST(LN(AV1211:AX1211),LN(AV1210:AX1210)),1,2))</f>
        <v>1.2753035787420786</v>
      </c>
      <c r="AO1211" s="89">
        <f>INDEX(LINEST((AV1211:AX1211),LN(AV1210:AX1210),TRUE,TRUE),3,1)</f>
        <v>0.903725902106429</v>
      </c>
      <c r="AP1211" s="89">
        <f>INDEX(LINEST((AV1211:AX1211),LN(AV1210:AX1210)),1)</f>
        <v>-2.9591104189103962E-2</v>
      </c>
      <c r="AQ1211" s="90">
        <f>INDEX(LINEST(LN(AV1211:AX1211),SQRT(AV1210:AX1210),TRUE,TRUE),3,1)</f>
        <v>0.94249512135304803</v>
      </c>
      <c r="AR1211" s="117">
        <f>INDEX(LINEST(LN(AV1211:AX1211),SQRT((AV1210:AX1210))),1)</f>
        <v>-2.5628753231060527E-4</v>
      </c>
      <c r="AS1211" s="91">
        <f>INDEX(LINEST(1/(AV1211:AX1211),1/(SQRT(AV1210:AX1210)),TRUE,TRUE),3,1)</f>
        <v>0.69842413259782332</v>
      </c>
      <c r="AT1211" s="91">
        <f>INDEX(LINEST(1/(AV1211:AX1211),1/SQRT(AV1210:AX1210)),1)</f>
        <v>-670.42710982926042</v>
      </c>
      <c r="AU1211" s="3"/>
      <c r="AV1211" s="73">
        <v>0.316</v>
      </c>
      <c r="AW1211" s="73">
        <v>0.23300000000000001</v>
      </c>
      <c r="AX1211" s="73">
        <v>0.17</v>
      </c>
      <c r="AY1211" s="42"/>
      <c r="AZ1211" s="46"/>
      <c r="BA1211" s="42"/>
      <c r="BB1211" s="42"/>
      <c r="BC1211" s="42"/>
      <c r="BD1211" s="42"/>
      <c r="BE1211" s="42"/>
      <c r="BF1211" s="42"/>
      <c r="BG1211" s="42"/>
      <c r="BH1211" s="2"/>
      <c r="BI1211" s="2"/>
      <c r="BJ1211" s="2"/>
      <c r="BK1211" s="2"/>
      <c r="BL1211" s="2"/>
      <c r="BM1211" s="2"/>
      <c r="BN1211" s="2"/>
      <c r="BO1211" s="2"/>
      <c r="BP1211" s="2"/>
      <c r="BQ1211" s="2"/>
      <c r="BR1211" s="2"/>
      <c r="BS1211" s="2"/>
      <c r="BT1211" s="2"/>
      <c r="BU1211" s="2"/>
      <c r="BV1211" s="2"/>
      <c r="BW1211" s="2"/>
      <c r="BX1211" s="2"/>
      <c r="BY1211" s="2"/>
      <c r="BZ1211" s="2"/>
      <c r="CA1211" s="2"/>
      <c r="CB1211" s="2"/>
      <c r="CC1211" s="2"/>
      <c r="CD1211" s="2"/>
      <c r="CE1211" s="2"/>
      <c r="CF1211" s="2"/>
      <c r="CG1211" s="2"/>
      <c r="CH1211" s="2"/>
      <c r="CI1211" s="2"/>
      <c r="CJ1211" s="2"/>
      <c r="CK1211" s="2"/>
      <c r="CL1211" s="2"/>
      <c r="CM1211" s="2"/>
      <c r="CN1211" s="2"/>
      <c r="CO1211" s="2"/>
      <c r="CP1211" s="2"/>
      <c r="CQ1211" s="2"/>
      <c r="CR1211" s="1"/>
      <c r="CS1211" s="1"/>
      <c r="CT1211" s="1"/>
      <c r="CU1211" s="1"/>
    </row>
    <row r="1212" spans="1:99" s="13" customFormat="1" ht="12" customHeight="1" x14ac:dyDescent="0.2">
      <c r="A1212" s="68">
        <v>43509</v>
      </c>
      <c r="B1212" s="70"/>
      <c r="C1212" s="70"/>
      <c r="D1212" s="69"/>
      <c r="E1212" s="87"/>
      <c r="F1212" s="69"/>
      <c r="G1212" s="69"/>
      <c r="H1212" s="69"/>
      <c r="I1212" s="69"/>
      <c r="J1212" s="69"/>
      <c r="K1212" s="107"/>
      <c r="L1212" s="107"/>
      <c r="M1212" s="69"/>
      <c r="N1212" s="69"/>
      <c r="O1212" s="69"/>
      <c r="P1212" s="69"/>
      <c r="Q1212" s="69"/>
      <c r="R1212" s="69"/>
      <c r="S1212" s="69"/>
      <c r="T1212" s="69"/>
      <c r="U1212" s="69"/>
      <c r="V1212" s="69"/>
      <c r="W1212" s="69"/>
      <c r="X1212" s="69"/>
      <c r="Y1212" s="87"/>
      <c r="Z1212" s="69"/>
      <c r="AA1212" s="69"/>
      <c r="AB1212" s="69"/>
      <c r="AC1212" s="69"/>
      <c r="AD1212" s="69"/>
      <c r="AE1212" s="69"/>
      <c r="AF1212" s="88"/>
      <c r="AG1212" s="72"/>
      <c r="AH1212" s="4"/>
      <c r="AI1212" s="72"/>
      <c r="AJ1212" s="110"/>
      <c r="AK1212" s="72"/>
      <c r="AL1212" s="72"/>
      <c r="AM1212" s="72"/>
      <c r="AN1212" s="72"/>
      <c r="AO1212" s="72"/>
      <c r="AP1212" s="72"/>
      <c r="AQ1212" s="89"/>
      <c r="AR1212" s="118"/>
      <c r="AS1212" s="89"/>
      <c r="AT1212" s="89"/>
      <c r="AU1212" s="4"/>
      <c r="AV1212" s="71">
        <f>365*24*60*60*0.00001</f>
        <v>315.36</v>
      </c>
      <c r="AW1212" s="71">
        <f>365*24*60*60*1</f>
        <v>31536000</v>
      </c>
      <c r="AX1212" s="71">
        <f>365*24*60*60*2</f>
        <v>63072000</v>
      </c>
      <c r="AY1212" s="42"/>
      <c r="AZ1212" s="46"/>
      <c r="BA1212" s="42"/>
      <c r="BB1212" s="42"/>
      <c r="BC1212" s="42"/>
      <c r="BD1212" s="42"/>
      <c r="BE1212" s="42"/>
      <c r="BF1212" s="42"/>
      <c r="BG1212" s="42"/>
      <c r="BH1212" s="2"/>
      <c r="BI1212" s="2"/>
      <c r="BJ1212" s="2"/>
      <c r="BK1212" s="2"/>
      <c r="BL1212" s="2"/>
      <c r="BM1212" s="2"/>
      <c r="BN1212" s="2"/>
      <c r="BO1212" s="2"/>
      <c r="BP1212" s="2"/>
      <c r="BQ1212" s="2"/>
      <c r="BR1212" s="2"/>
      <c r="BS1212" s="2"/>
      <c r="BT1212" s="2"/>
      <c r="BU1212" s="2"/>
      <c r="BV1212" s="2"/>
      <c r="BW1212" s="2"/>
      <c r="BX1212" s="2"/>
      <c r="BY1212" s="2"/>
      <c r="BZ1212" s="2"/>
      <c r="CA1212" s="2"/>
      <c r="CB1212" s="2"/>
      <c r="CC1212" s="2"/>
      <c r="CD1212" s="2"/>
      <c r="CE1212" s="2"/>
      <c r="CF1212" s="2"/>
      <c r="CG1212" s="2"/>
      <c r="CH1212" s="2"/>
      <c r="CI1212" s="2"/>
      <c r="CJ1212" s="2"/>
      <c r="CK1212" s="2"/>
      <c r="CL1212" s="2"/>
      <c r="CM1212" s="2"/>
      <c r="CN1212" s="2"/>
      <c r="CO1212" s="2"/>
      <c r="CP1212" s="2"/>
      <c r="CQ1212" s="2"/>
      <c r="CR1212" s="1"/>
      <c r="CS1212" s="1"/>
      <c r="CT1212" s="1"/>
      <c r="CU1212" s="1"/>
    </row>
    <row r="1213" spans="1:99" s="13" customFormat="1" ht="12" customHeight="1" x14ac:dyDescent="0.2">
      <c r="A1213" s="68">
        <v>43509</v>
      </c>
      <c r="B1213" s="70" t="s">
        <v>220</v>
      </c>
      <c r="C1213" s="70" t="s">
        <v>70</v>
      </c>
      <c r="D1213" s="69">
        <v>2006</v>
      </c>
      <c r="E1213" s="87">
        <v>2</v>
      </c>
      <c r="F1213" s="69">
        <v>85</v>
      </c>
      <c r="G1213" s="69">
        <v>63.3</v>
      </c>
      <c r="H1213" s="69" t="s">
        <v>227</v>
      </c>
      <c r="I1213" s="69" t="s">
        <v>817</v>
      </c>
      <c r="J1213" s="69" t="s">
        <v>704</v>
      </c>
      <c r="K1213" s="69">
        <f>IF(J1213="syllables",1,IF(J1213="trigrams",2,IF(J1213="strings",3,IF(J1213="visual array",4,IF(J1213="characters",5,IF(J1213="letters",6,IF(J1213="free forms",7,IF(J1213="odors",8,IF(J1213="words",9,IF(J1213="pictures",10,IF(J1213="object pictures",11,IF(J1213="faces",12,IF(J1213="names",13,IF(J1213="idioms",14,IF(J1213="grades",15,IF(J1213="syllable-digit pairs",16,IF(J1213="trigram-word pairs",17,IF(J1213="word-digit pairs",18,IF(J1213="English-Swahili pairs",19,IF(J1213="spatial position",20,IF(J1213="word pairs",21,IF(J1213="word triads",22,IF(J1213="generated words",23,IF(J1213="word definition pairs",24,IF(J1213="math problems",25,IF(J1213="famous faces",26,IF(J1213="famous names",27,IF(J1213="famous voices",28,IF(J1213="television programs",29,IF(J1213="race horses",30,IF(J1213="new vocabulary",31,IF(J1213="sentences",32,IF(J1213="concepts",33,IF(J1213="ad slides",34,IF(J1213="scenes",35,IF(J1213="famous scenes",36,IF(J1213="poems",37,IF(J1213="walk",38,IF(J1213="faces and events",39,IF(J1213="events and names",40,IF(J1213="flashbulb",41,IF(J1213="stories",42,IF(J1213="course material",43,IF(J1213="autobiographical",44,IF(J1213="novels",45,IF(J1213="public events",46,"99"))))))))))))))))))))))))))))))))))))))))))))))</f>
        <v>41</v>
      </c>
      <c r="L1213" s="69">
        <f>IF(J1213="syllables",1,IF(J1213="trigrams",1,IF(J1213="strings",1,IF(J1213="visual array",1,IF(J1213="characters",1,IF(J1213="letters",1,IF(J1213="free forms",1,IF(J1213="odors",2,IF(J1213="words",2,IF(J1213="pictures",2,IF(J1213="object pictures",2,IF(J1213="faces",2,IF(J1213="names",2,IF(J1213="idioms","2",IF(J1213="grades",2,IF(J1213="syllable-digit pairs",3,IF(J1213="trigram-word pairs",3,IF(J1213="word-digit pairs",3,IF(J1213="English-Swahili pairs",3,IF(J1213="spatial position",3,IF(J1213="word pairs",4,IF(J1213="word triads",4,IF(J1213="generated words",4,IF(J1213="word definition pairs",4,IF(J1213="math problems",4,IF(J1213="famous faces",4,IF(J1213="famous names",4,IF(J1213="famous voices",4,IF(J1213="television programs",4,IF(J1213="race horses",4,IF(J1213="new vocabulary",4,IF(J1213="sentences",5,IF(J1213="concepts",5,IF(J1213="ad slides",5,IF(J1213="scenes",5,IF(J1213="famous scenes",5,IF(J1213="poems",6,IF(J1213="walk",6,IF(J1213="faces and events",6,IF(J1213="events and names",6,IF(J1213="flashbulb",7,IF(J1213="stories",7,IF(J1213="course material",7,IF(J1213="autobiographical",7,IF(J1213="novels",7,IF(J1213="public events",7,"99"))))))))))))))))))))))))))))))))))))))))))))))</f>
        <v>7</v>
      </c>
      <c r="M1213" s="69">
        <v>1</v>
      </c>
      <c r="N1213" s="69">
        <v>4</v>
      </c>
      <c r="O1213" s="69">
        <v>0</v>
      </c>
      <c r="P1213" s="69"/>
      <c r="Q1213" s="69" t="s">
        <v>174</v>
      </c>
      <c r="R1213" s="69">
        <f>IF(Q1213="Free Recall",1,IF(Q1213="Cued Recall",2,IF(Q1213="Recognition",3,IF(Q1213="Multiple Choice",4,IF(Q1213="Savings",5,IF(Q1213="Stem Completion",6,IF(Q1213="Fragment Completion",7,IF(Q1213="anagram solution",8,IF(Q1213="Matching",9,IF(Q1213="Problem Solving",10,"99"))))))))))</f>
        <v>1</v>
      </c>
      <c r="S1213" s="69" t="s">
        <v>49</v>
      </c>
      <c r="T1213" s="69" t="s">
        <v>261</v>
      </c>
      <c r="U1213" s="69">
        <f>IF(T1213="within",1,0)</f>
        <v>0</v>
      </c>
      <c r="V1213" s="92">
        <v>3</v>
      </c>
      <c r="W1213" s="69">
        <f>F1213*V1213</f>
        <v>255</v>
      </c>
      <c r="X1213" s="69">
        <v>3</v>
      </c>
      <c r="Y1213" s="87">
        <f>AV1212</f>
        <v>315.36</v>
      </c>
      <c r="Z1213" s="69" t="s">
        <v>221</v>
      </c>
      <c r="AA1213" s="69">
        <v>63072000</v>
      </c>
      <c r="AB1213" s="69" t="str">
        <f>IF(AA1213&lt;60,"1",IF(AA1213&lt;=43200,"2",IF(AA1213&lt;=777600,"3","4")))</f>
        <v>4</v>
      </c>
      <c r="AC1213" s="72">
        <f>AVERAGE(AV1212:DA1212)</f>
        <v>31536105.120000001</v>
      </c>
      <c r="AD1213" s="69" t="str">
        <f>IF(AC1213&lt;60,"1",IF(AC1213&lt;=43200,"2",IF(AC1213&lt;=777600,"3","4")))</f>
        <v>4</v>
      </c>
      <c r="AE1213" s="87">
        <f>AA1213-Y1213</f>
        <v>63071684.640000001</v>
      </c>
      <c r="AF1213" s="88">
        <f>AV1213</f>
        <v>0.84</v>
      </c>
      <c r="AG1213" s="72">
        <f>((AW1213-AV1213)+(AX1213-AW1213))/2</f>
        <v>3.5000000000000031E-2</v>
      </c>
      <c r="AH1213" s="4"/>
      <c r="AI1213" s="72">
        <f>RSQ(AV1213:AX1213,AV1212:AX1212)</f>
        <v>0.78208367738538176</v>
      </c>
      <c r="AJ1213" s="110">
        <f>SLOPE(AV1213:AX1213,AV1212:AX1212)</f>
        <v>1.1098499598696738E-9</v>
      </c>
      <c r="AK1213" s="72">
        <f>INTERCEPT(AV1213:AX1213,AV1212:AX1212)</f>
        <v>0.82933298833145552</v>
      </c>
      <c r="AL1213" s="72">
        <f>INDEX(LINEST(LN(AV1213:AX1213),LN(AV1212:AX1212),TRUE,TRUE),3,1)</f>
        <v>0.33156450997647952</v>
      </c>
      <c r="AM1213" s="72">
        <f>INDEX(LINEST(LN(AV1213:AX1213),LN(AV1212:AX1212)),1)</f>
        <v>3.7978741266305573E-3</v>
      </c>
      <c r="AN1213" s="72">
        <f>EXP(INDEX(LINEST(LN(AV1213:AX1213),LN(AV1212:AX1212)),1,2))</f>
        <v>0.82007189122132162</v>
      </c>
      <c r="AO1213" s="89">
        <f>INDEX(LINEST((AV1213:AX1213),LN(AV1212:AX1212),TRUE,TRUE),3,1)</f>
        <v>0.33013361687357179</v>
      </c>
      <c r="AP1213" s="89">
        <f>INDEX(LINEST((AV1213:AX1213),LN(AV1212:AX1212)),1)</f>
        <v>3.3168484786886732E-3</v>
      </c>
      <c r="AQ1213" s="90">
        <f>INDEX(LINEST(LN(AV1213:AX1213),SQRT(AV1212:AX1212),TRUE,TRUE),3,1)</f>
        <v>0.56700710590763337</v>
      </c>
      <c r="AR1213" s="117">
        <f>INDEX(LINEST(LN(AV1213:AX1213),SQRT((AV1212:AX1212))),1)</f>
        <v>8.3597572338556779E-6</v>
      </c>
      <c r="AS1213" s="91">
        <f>INDEX(LINEST(1/(AV1213:AX1213),1/(SQRT(AV1212:AX1212)),TRUE,TRUE),3,1)</f>
        <v>0.28702654321447313</v>
      </c>
      <c r="AT1213" s="91">
        <f>INDEX(LINEST(1/(AV1213:AX1213),1/SQRT(AV1212:AX1212)),1)</f>
        <v>0.85411504263544524</v>
      </c>
      <c r="AU1213" s="3"/>
      <c r="AV1213" s="73">
        <v>0.84</v>
      </c>
      <c r="AW1213" s="73">
        <v>0.84299999999999997</v>
      </c>
      <c r="AX1213" s="73">
        <v>0.91</v>
      </c>
      <c r="AY1213" s="42"/>
      <c r="AZ1213" s="46"/>
      <c r="BA1213" s="42"/>
      <c r="BB1213" s="42"/>
      <c r="BC1213" s="2"/>
      <c r="BD1213" s="2"/>
      <c r="BE1213" s="2"/>
      <c r="BF1213" s="2"/>
      <c r="BG1213" s="2"/>
      <c r="BH1213" s="2"/>
      <c r="BI1213" s="2"/>
      <c r="BJ1213" s="2"/>
      <c r="BK1213" s="2"/>
      <c r="BL1213" s="2"/>
      <c r="BM1213" s="2"/>
      <c r="BN1213" s="2"/>
      <c r="BO1213" s="2"/>
      <c r="BP1213" s="2"/>
      <c r="BQ1213" s="2"/>
      <c r="BR1213" s="2"/>
      <c r="BS1213" s="2"/>
      <c r="BT1213" s="2"/>
      <c r="BU1213" s="2"/>
      <c r="BV1213" s="2"/>
      <c r="BW1213" s="2"/>
      <c r="BX1213" s="2"/>
      <c r="BY1213" s="2"/>
      <c r="BZ1213" s="2"/>
      <c r="CA1213" s="2"/>
      <c r="CB1213" s="2"/>
      <c r="CC1213" s="2"/>
      <c r="CD1213" s="2"/>
      <c r="CE1213" s="2"/>
      <c r="CF1213" s="2"/>
      <c r="CG1213" s="2"/>
      <c r="CH1213" s="2"/>
      <c r="CI1213" s="2"/>
      <c r="CJ1213" s="2"/>
      <c r="CK1213" s="2"/>
      <c r="CL1213" s="2"/>
      <c r="CM1213" s="2"/>
      <c r="CN1213" s="2"/>
      <c r="CO1213" s="2"/>
      <c r="CP1213" s="2"/>
      <c r="CQ1213" s="2"/>
      <c r="CR1213" s="1"/>
      <c r="CS1213" s="1"/>
      <c r="CT1213" s="1"/>
      <c r="CU1213" s="1"/>
    </row>
    <row r="1214" spans="1:99" s="13" customFormat="1" ht="12" customHeight="1" x14ac:dyDescent="0.2">
      <c r="A1214" s="68">
        <v>43509</v>
      </c>
      <c r="B1214" s="70"/>
      <c r="C1214" s="70"/>
      <c r="D1214" s="69"/>
      <c r="E1214" s="87"/>
      <c r="F1214" s="69"/>
      <c r="G1214" s="69"/>
      <c r="H1214" s="69"/>
      <c r="I1214" s="69"/>
      <c r="J1214" s="69"/>
      <c r="K1214" s="107"/>
      <c r="L1214" s="107"/>
      <c r="M1214" s="69"/>
      <c r="N1214" s="69"/>
      <c r="O1214" s="69"/>
      <c r="P1214" s="69"/>
      <c r="Q1214" s="69"/>
      <c r="R1214" s="69"/>
      <c r="S1214" s="69"/>
      <c r="T1214" s="69"/>
      <c r="U1214" s="69"/>
      <c r="V1214" s="69"/>
      <c r="W1214" s="69"/>
      <c r="X1214" s="69"/>
      <c r="Y1214" s="87"/>
      <c r="Z1214" s="69"/>
      <c r="AA1214" s="69"/>
      <c r="AB1214" s="69"/>
      <c r="AC1214" s="69"/>
      <c r="AD1214" s="69"/>
      <c r="AE1214" s="69"/>
      <c r="AF1214" s="88"/>
      <c r="AG1214" s="72"/>
      <c r="AH1214" s="4"/>
      <c r="AI1214" s="72"/>
      <c r="AJ1214" s="110"/>
      <c r="AK1214" s="72"/>
      <c r="AL1214" s="72"/>
      <c r="AM1214" s="72"/>
      <c r="AN1214" s="72"/>
      <c r="AO1214" s="72"/>
      <c r="AP1214" s="72"/>
      <c r="AQ1214" s="89"/>
      <c r="AR1214" s="118"/>
      <c r="AS1214" s="89"/>
      <c r="AT1214" s="89"/>
      <c r="AU1214" s="4"/>
      <c r="AV1214" s="71">
        <f>365*24*60*60*0.00001</f>
        <v>315.36</v>
      </c>
      <c r="AW1214" s="71">
        <f>365*24*60*60*1</f>
        <v>31536000</v>
      </c>
      <c r="AX1214" s="71">
        <f>365*24*60*60*2</f>
        <v>63072000</v>
      </c>
      <c r="AY1214" s="42"/>
      <c r="AZ1214" s="46"/>
      <c r="BA1214" s="42"/>
      <c r="BB1214" s="42"/>
      <c r="BC1214" s="2"/>
      <c r="BD1214" s="2"/>
      <c r="BE1214" s="2"/>
      <c r="BF1214" s="2"/>
      <c r="BG1214" s="2"/>
      <c r="BH1214" s="2"/>
      <c r="BI1214" s="2"/>
      <c r="BJ1214" s="2"/>
      <c r="BK1214" s="2"/>
      <c r="BL1214" s="2"/>
      <c r="BM1214" s="2"/>
      <c r="BN1214" s="2"/>
      <c r="BO1214" s="2"/>
      <c r="BP1214" s="2"/>
      <c r="BQ1214" s="2"/>
      <c r="BR1214" s="2"/>
      <c r="BS1214" s="2"/>
      <c r="BT1214" s="2"/>
      <c r="BU1214" s="2"/>
      <c r="BV1214" s="2"/>
      <c r="BW1214" s="2"/>
      <c r="BX1214" s="2"/>
      <c r="BY1214" s="2"/>
      <c r="BZ1214" s="2"/>
      <c r="CA1214" s="2"/>
      <c r="CB1214" s="2"/>
      <c r="CC1214" s="2"/>
      <c r="CD1214" s="2"/>
      <c r="CE1214" s="2"/>
      <c r="CF1214" s="2"/>
      <c r="CG1214" s="2"/>
      <c r="CH1214" s="2"/>
      <c r="CI1214" s="2"/>
      <c r="CJ1214" s="2"/>
      <c r="CK1214" s="2"/>
      <c r="CL1214" s="2"/>
      <c r="CM1214" s="2"/>
      <c r="CN1214" s="2"/>
      <c r="CO1214" s="2"/>
      <c r="CP1214" s="2"/>
      <c r="CQ1214" s="2"/>
      <c r="CR1214" s="1"/>
      <c r="CS1214" s="1"/>
      <c r="CT1214" s="1"/>
      <c r="CU1214" s="1"/>
    </row>
    <row r="1215" spans="1:99" s="13" customFormat="1" ht="12" customHeight="1" x14ac:dyDescent="0.2">
      <c r="A1215" s="68">
        <v>43509</v>
      </c>
      <c r="B1215" s="70" t="s">
        <v>220</v>
      </c>
      <c r="C1215" s="70" t="s">
        <v>70</v>
      </c>
      <c r="D1215" s="69">
        <v>2006</v>
      </c>
      <c r="E1215" s="87">
        <v>2</v>
      </c>
      <c r="F1215" s="69">
        <v>85</v>
      </c>
      <c r="G1215" s="69">
        <v>63.3</v>
      </c>
      <c r="H1215" s="69" t="s">
        <v>227</v>
      </c>
      <c r="I1215" s="69" t="s">
        <v>816</v>
      </c>
      <c r="J1215" s="69" t="s">
        <v>704</v>
      </c>
      <c r="K1215" s="69">
        <f>IF(J1215="syllables",1,IF(J1215="trigrams",2,IF(J1215="strings",3,IF(J1215="visual array",4,IF(J1215="characters",5,IF(J1215="letters",6,IF(J1215="free forms",7,IF(J1215="odors",8,IF(J1215="words",9,IF(J1215="pictures",10,IF(J1215="object pictures",11,IF(J1215="faces",12,IF(J1215="names",13,IF(J1215="idioms",14,IF(J1215="grades",15,IF(J1215="syllable-digit pairs",16,IF(J1215="trigram-word pairs",17,IF(J1215="word-digit pairs",18,IF(J1215="English-Swahili pairs",19,IF(J1215="spatial position",20,IF(J1215="word pairs",21,IF(J1215="word triads",22,IF(J1215="generated words",23,IF(J1215="word definition pairs",24,IF(J1215="math problems",25,IF(J1215="famous faces",26,IF(J1215="famous names",27,IF(J1215="famous voices",28,IF(J1215="television programs",29,IF(J1215="race horses",30,IF(J1215="new vocabulary",31,IF(J1215="sentences",32,IF(J1215="concepts",33,IF(J1215="ad slides",34,IF(J1215="scenes",35,IF(J1215="famous scenes",36,IF(J1215="poems",37,IF(J1215="walk",38,IF(J1215="faces and events",39,IF(J1215="events and names",40,IF(J1215="flashbulb",41,IF(J1215="stories",42,IF(J1215="course material",43,IF(J1215="autobiographical",44,IF(J1215="novels",45,IF(J1215="public events",46,"99"))))))))))))))))))))))))))))))))))))))))))))))</f>
        <v>41</v>
      </c>
      <c r="L1215" s="69">
        <f>IF(J1215="syllables",1,IF(J1215="trigrams",1,IF(J1215="strings",1,IF(J1215="visual array",1,IF(J1215="characters",1,IF(J1215="letters",1,IF(J1215="free forms",1,IF(J1215="odors",2,IF(J1215="words",2,IF(J1215="pictures",2,IF(J1215="object pictures",2,IF(J1215="faces",2,IF(J1215="names",2,IF(J1215="idioms","2",IF(J1215="grades",2,IF(J1215="syllable-digit pairs",3,IF(J1215="trigram-word pairs",3,IF(J1215="word-digit pairs",3,IF(J1215="English-Swahili pairs",3,IF(J1215="spatial position",3,IF(J1215="word pairs",4,IF(J1215="word triads",4,IF(J1215="generated words",4,IF(J1215="word definition pairs",4,IF(J1215="math problems",4,IF(J1215="famous faces",4,IF(J1215="famous names",4,IF(J1215="famous voices",4,IF(J1215="television programs",4,IF(J1215="race horses",4,IF(J1215="new vocabulary",4,IF(J1215="sentences",5,IF(J1215="concepts",5,IF(J1215="ad slides",5,IF(J1215="scenes",5,IF(J1215="famous scenes",5,IF(J1215="poems",6,IF(J1215="walk",6,IF(J1215="faces and events",6,IF(J1215="events and names",6,IF(J1215="flashbulb",7,IF(J1215="stories",7,IF(J1215="course material",7,IF(J1215="autobiographical",7,IF(J1215="novels",7,IF(J1215="public events",7,"99"))))))))))))))))))))))))))))))))))))))))))))))</f>
        <v>7</v>
      </c>
      <c r="M1215" s="69">
        <v>1</v>
      </c>
      <c r="N1215" s="69">
        <v>4</v>
      </c>
      <c r="O1215" s="69">
        <v>0</v>
      </c>
      <c r="P1215" s="69"/>
      <c r="Q1215" s="69" t="s">
        <v>174</v>
      </c>
      <c r="R1215" s="69">
        <f>IF(Q1215="Free Recall",1,IF(Q1215="Cued Recall",2,IF(Q1215="Recognition",3,IF(Q1215="Multiple Choice",4,IF(Q1215="Savings",5,IF(Q1215="Stem Completion",6,IF(Q1215="Fragment Completion",7,IF(Q1215="anagram solution",8,IF(Q1215="Matching",9,IF(Q1215="Problem Solving",10,"99"))))))))))</f>
        <v>1</v>
      </c>
      <c r="S1215" s="69" t="s">
        <v>49</v>
      </c>
      <c r="T1215" s="69" t="s">
        <v>261</v>
      </c>
      <c r="U1215" s="69">
        <f>IF(T1215="within",1,0)</f>
        <v>0</v>
      </c>
      <c r="V1215" s="92">
        <v>3</v>
      </c>
      <c r="W1215" s="69">
        <f>F1215*V1215</f>
        <v>255</v>
      </c>
      <c r="X1215" s="69">
        <v>3</v>
      </c>
      <c r="Y1215" s="87">
        <f>AV1214</f>
        <v>315.36</v>
      </c>
      <c r="Z1215" s="69" t="s">
        <v>221</v>
      </c>
      <c r="AA1215" s="69">
        <v>63072000</v>
      </c>
      <c r="AB1215" s="69" t="str">
        <f>IF(AA1215&lt;60,"1",IF(AA1215&lt;=43200,"2",IF(AA1215&lt;=777600,"3","4")))</f>
        <v>4</v>
      </c>
      <c r="AC1215" s="72">
        <f>AVERAGE(AV1214:DA1214)</f>
        <v>31536105.120000001</v>
      </c>
      <c r="AD1215" s="69" t="str">
        <f>IF(AC1215&lt;60,"1",IF(AC1215&lt;=43200,"2",IF(AC1215&lt;=777600,"3","4")))</f>
        <v>4</v>
      </c>
      <c r="AE1215" s="87">
        <f>AA1215-Y1215</f>
        <v>63071684.640000001</v>
      </c>
      <c r="AF1215" s="88">
        <f>AV1215</f>
        <v>0.41299999999999998</v>
      </c>
      <c r="AG1215" s="72">
        <f>((AW1215-AV1215)+(AX1215-AW1215))/2</f>
        <v>7.2000000000000036E-2</v>
      </c>
      <c r="AH1215" s="4"/>
      <c r="AI1215" s="72">
        <f>RSQ(AV1215:AX1215,AV1214:AX1214)</f>
        <v>0.46043453238914889</v>
      </c>
      <c r="AJ1215" s="110">
        <f>SLOPE(AV1215:AX1215,AV1214:AX1214)</f>
        <v>2.2831235731687609E-9</v>
      </c>
      <c r="AK1215" s="72">
        <f>INTERCEPT(AV1215:AX1215,AV1214:AX1214)</f>
        <v>0.36799917499459989</v>
      </c>
      <c r="AL1215" s="72">
        <f>INDEX(LINEST(LN(AV1215:AX1215),LN(AV1214:AX1214),TRUE,TRUE),3,1)</f>
        <v>4.5553617476857711E-2</v>
      </c>
      <c r="AM1215" s="72">
        <f>INDEX(LINEST(LN(AV1215:AX1215),LN(AV1214:AX1214)),1)</f>
        <v>7.3313354926191985E-3</v>
      </c>
      <c r="AN1215" s="72">
        <f>EXP(INDEX(LINEST(LN(AV1215:AX1215),LN(AV1214:AX1214)),1,2))</f>
        <v>0.39065921395469522</v>
      </c>
      <c r="AO1215" s="89">
        <f>INDEX(LINEST((AV1215:AX1215),LN(AV1214:AX1214),TRUE,TRUE),3,1)</f>
        <v>7.2572596851291457E-2</v>
      </c>
      <c r="AP1215" s="89">
        <f>INDEX(LINEST((AV1215:AX1215),LN(AV1214:AX1214)),1)</f>
        <v>4.1694128797896716E-3</v>
      </c>
      <c r="AQ1215" s="90">
        <f>INDEX(LINEST(LN(AV1215:AX1215),SQRT(AV1214:AX1214),TRUE,TRUE),3,1)</f>
        <v>0.1924112862477308</v>
      </c>
      <c r="AR1215" s="117">
        <f>INDEX(LINEST(LN(AV1215:AX1215),SQRT((AV1214:AX1214))),1)</f>
        <v>2.5361783877754838E-5</v>
      </c>
      <c r="AS1215" s="91">
        <f>INDEX(LINEST(1/(AV1215:AX1215),1/(SQRT(AV1214:AX1214)),TRUE,TRUE),3,1)</f>
        <v>1.0741002493752511E-2</v>
      </c>
      <c r="AT1215" s="91">
        <f>INDEX(LINEST(1/(AV1215:AX1215),1/SQRT(AV1214:AX1214)),1)</f>
        <v>1.7060268840097368</v>
      </c>
      <c r="AU1215" s="3"/>
      <c r="AV1215" s="73">
        <v>0.41299999999999998</v>
      </c>
      <c r="AW1215" s="73">
        <v>0.35</v>
      </c>
      <c r="AX1215" s="73">
        <v>0.55700000000000005</v>
      </c>
      <c r="AY1215" s="42"/>
      <c r="AZ1215" s="46"/>
      <c r="BA1215" s="42"/>
      <c r="BB1215" s="42"/>
      <c r="BC1215" s="2"/>
      <c r="BD1215" s="2"/>
      <c r="BE1215" s="2"/>
      <c r="BF1215" s="2"/>
      <c r="BG1215" s="2"/>
      <c r="BH1215" s="2"/>
      <c r="BI1215" s="2"/>
      <c r="BJ1215" s="2"/>
      <c r="BK1215" s="2"/>
      <c r="BL1215" s="2"/>
      <c r="BM1215" s="2"/>
      <c r="BN1215" s="2"/>
      <c r="BO1215" s="2"/>
      <c r="BP1215" s="2"/>
      <c r="BQ1215" s="2"/>
      <c r="BR1215" s="2"/>
      <c r="BS1215" s="2"/>
      <c r="BT1215" s="2"/>
      <c r="BU1215" s="2"/>
      <c r="BV1215" s="2"/>
      <c r="BW1215" s="2"/>
      <c r="BX1215" s="2"/>
      <c r="BY1215" s="2"/>
      <c r="BZ1215" s="2"/>
      <c r="CA1215" s="2"/>
      <c r="CB1215" s="2"/>
      <c r="CC1215" s="2"/>
      <c r="CD1215" s="2"/>
      <c r="CE1215" s="2"/>
      <c r="CF1215" s="2"/>
      <c r="CG1215" s="2"/>
      <c r="CH1215" s="2"/>
      <c r="CI1215" s="2"/>
      <c r="CJ1215" s="2"/>
      <c r="CK1215" s="2"/>
      <c r="CL1215" s="2"/>
      <c r="CM1215" s="2"/>
      <c r="CN1215" s="2"/>
      <c r="CO1215" s="2"/>
      <c r="CP1215" s="2"/>
      <c r="CQ1215" s="2"/>
      <c r="CR1215" s="1"/>
      <c r="CS1215" s="1"/>
      <c r="CT1215" s="1"/>
      <c r="CU1215" s="1"/>
    </row>
    <row r="1216" spans="1:99" s="13" customFormat="1" ht="12" customHeight="1" x14ac:dyDescent="0.2">
      <c r="A1216" s="68">
        <v>43509</v>
      </c>
      <c r="B1216" s="70"/>
      <c r="C1216" s="70"/>
      <c r="D1216" s="69"/>
      <c r="E1216" s="87"/>
      <c r="F1216" s="69"/>
      <c r="G1216" s="69"/>
      <c r="H1216" s="69"/>
      <c r="I1216" s="69"/>
      <c r="J1216" s="69"/>
      <c r="K1216" s="107"/>
      <c r="L1216" s="107"/>
      <c r="M1216" s="69"/>
      <c r="N1216" s="69"/>
      <c r="O1216" s="69"/>
      <c r="P1216" s="69"/>
      <c r="Q1216" s="69"/>
      <c r="R1216" s="69"/>
      <c r="S1216" s="69"/>
      <c r="T1216" s="69"/>
      <c r="U1216" s="69"/>
      <c r="V1216" s="69"/>
      <c r="W1216" s="69"/>
      <c r="X1216" s="69"/>
      <c r="Y1216" s="87"/>
      <c r="Z1216" s="69"/>
      <c r="AA1216" s="69"/>
      <c r="AB1216" s="69"/>
      <c r="AC1216" s="69"/>
      <c r="AD1216" s="69"/>
      <c r="AE1216" s="69"/>
      <c r="AF1216" s="88"/>
      <c r="AG1216" s="72"/>
      <c r="AH1216" s="4"/>
      <c r="AI1216" s="72"/>
      <c r="AJ1216" s="110"/>
      <c r="AK1216" s="72"/>
      <c r="AL1216" s="72"/>
      <c r="AM1216" s="72"/>
      <c r="AN1216" s="72"/>
      <c r="AO1216" s="72"/>
      <c r="AP1216" s="72"/>
      <c r="AQ1216" s="89"/>
      <c r="AR1216" s="118"/>
      <c r="AS1216" s="89"/>
      <c r="AT1216" s="89"/>
      <c r="AU1216" s="4"/>
      <c r="AV1216" s="71">
        <f>365*24*60*60*0.00001</f>
        <v>315.36</v>
      </c>
      <c r="AW1216" s="71">
        <f>365*24*60*60*1</f>
        <v>31536000</v>
      </c>
      <c r="AX1216" s="71">
        <f>365*24*60*60*2</f>
        <v>63072000</v>
      </c>
      <c r="AY1216" s="42"/>
      <c r="AZ1216" s="46"/>
      <c r="BA1216" s="42"/>
      <c r="BB1216" s="42"/>
      <c r="BC1216" s="2"/>
      <c r="BD1216" s="2"/>
      <c r="BE1216" s="2"/>
      <c r="BF1216" s="2"/>
      <c r="BG1216" s="2"/>
      <c r="BH1216" s="2"/>
      <c r="BI1216" s="2"/>
      <c r="BJ1216" s="2"/>
      <c r="BK1216" s="2"/>
      <c r="BL1216" s="2"/>
      <c r="BM1216" s="2"/>
      <c r="BN1216" s="2"/>
      <c r="BO1216" s="2"/>
      <c r="BP1216" s="2"/>
      <c r="BQ1216" s="2"/>
      <c r="BR1216" s="2"/>
      <c r="BS1216" s="2"/>
      <c r="BT1216" s="2"/>
      <c r="BU1216" s="2"/>
      <c r="BV1216" s="2"/>
      <c r="BW1216" s="2"/>
      <c r="BX1216" s="2"/>
      <c r="BY1216" s="2"/>
      <c r="BZ1216" s="2"/>
      <c r="CA1216" s="2"/>
      <c r="CB1216" s="2"/>
      <c r="CC1216" s="2"/>
      <c r="CD1216" s="2"/>
      <c r="CE1216" s="2"/>
      <c r="CF1216" s="2"/>
      <c r="CG1216" s="2"/>
      <c r="CH1216" s="2"/>
      <c r="CI1216" s="2"/>
      <c r="CJ1216" s="2"/>
      <c r="CK1216" s="2"/>
      <c r="CL1216" s="2"/>
      <c r="CM1216" s="2"/>
      <c r="CN1216" s="2"/>
      <c r="CO1216" s="2"/>
      <c r="CP1216" s="2"/>
      <c r="CQ1216" s="2"/>
      <c r="CR1216" s="1"/>
      <c r="CS1216" s="1"/>
      <c r="CT1216" s="1"/>
      <c r="CU1216" s="1"/>
    </row>
    <row r="1217" spans="1:99" s="13" customFormat="1" ht="12" customHeight="1" x14ac:dyDescent="0.2">
      <c r="A1217" s="68">
        <v>43509</v>
      </c>
      <c r="B1217" s="70" t="s">
        <v>220</v>
      </c>
      <c r="C1217" s="70" t="s">
        <v>70</v>
      </c>
      <c r="D1217" s="69">
        <v>2006</v>
      </c>
      <c r="E1217" s="87">
        <v>2</v>
      </c>
      <c r="F1217" s="69">
        <v>85</v>
      </c>
      <c r="G1217" s="69">
        <v>63.3</v>
      </c>
      <c r="H1217" s="69" t="s">
        <v>227</v>
      </c>
      <c r="I1217" s="69" t="s">
        <v>818</v>
      </c>
      <c r="J1217" s="69" t="s">
        <v>704</v>
      </c>
      <c r="K1217" s="69">
        <f>IF(J1217="syllables",1,IF(J1217="trigrams",2,IF(J1217="strings",3,IF(J1217="visual array",4,IF(J1217="characters",5,IF(J1217="letters",6,IF(J1217="free forms",7,IF(J1217="odors",8,IF(J1217="words",9,IF(J1217="pictures",10,IF(J1217="object pictures",11,IF(J1217="faces",12,IF(J1217="names",13,IF(J1217="idioms",14,IF(J1217="grades",15,IF(J1217="syllable-digit pairs",16,IF(J1217="trigram-word pairs",17,IF(J1217="word-digit pairs",18,IF(J1217="English-Swahili pairs",19,IF(J1217="spatial position",20,IF(J1217="word pairs",21,IF(J1217="word triads",22,IF(J1217="generated words",23,IF(J1217="word definition pairs",24,IF(J1217="math problems",25,IF(J1217="famous faces",26,IF(J1217="famous names",27,IF(J1217="famous voices",28,IF(J1217="television programs",29,IF(J1217="race horses",30,IF(J1217="new vocabulary",31,IF(J1217="sentences",32,IF(J1217="concepts",33,IF(J1217="ad slides",34,IF(J1217="scenes",35,IF(J1217="famous scenes",36,IF(J1217="poems",37,IF(J1217="walk",38,IF(J1217="faces and events",39,IF(J1217="events and names",40,IF(J1217="flashbulb",41,IF(J1217="stories",42,IF(J1217="course material",43,IF(J1217="autobiographical",44,IF(J1217="novels",45,IF(J1217="public events",46,"99"))))))))))))))))))))))))))))))))))))))))))))))</f>
        <v>41</v>
      </c>
      <c r="L1217" s="69">
        <f>IF(J1217="syllables",1,IF(J1217="trigrams",1,IF(J1217="strings",1,IF(J1217="visual array",1,IF(J1217="characters",1,IF(J1217="letters",1,IF(J1217="free forms",1,IF(J1217="odors",2,IF(J1217="words",2,IF(J1217="pictures",2,IF(J1217="object pictures",2,IF(J1217="faces",2,IF(J1217="names",2,IF(J1217="idioms","2",IF(J1217="grades",2,IF(J1217="syllable-digit pairs",3,IF(J1217="trigram-word pairs",3,IF(J1217="word-digit pairs",3,IF(J1217="English-Swahili pairs",3,IF(J1217="spatial position",3,IF(J1217="word pairs",4,IF(J1217="word triads",4,IF(J1217="generated words",4,IF(J1217="word definition pairs",4,IF(J1217="math problems",4,IF(J1217="famous faces",4,IF(J1217="famous names",4,IF(J1217="famous voices",4,IF(J1217="television programs",4,IF(J1217="race horses",4,IF(J1217="new vocabulary",4,IF(J1217="sentences",5,IF(J1217="concepts",5,IF(J1217="ad slides",5,IF(J1217="scenes",5,IF(J1217="famous scenes",5,IF(J1217="poems",6,IF(J1217="walk",6,IF(J1217="faces and events",6,IF(J1217="events and names",6,IF(J1217="flashbulb",7,IF(J1217="stories",7,IF(J1217="course material",7,IF(J1217="autobiographical",7,IF(J1217="novels",7,IF(J1217="public events",7,"99"))))))))))))))))))))))))))))))))))))))))))))))</f>
        <v>7</v>
      </c>
      <c r="M1217" s="69">
        <v>1</v>
      </c>
      <c r="N1217" s="69">
        <v>4</v>
      </c>
      <c r="O1217" s="69">
        <v>0</v>
      </c>
      <c r="P1217" s="69"/>
      <c r="Q1217" s="69" t="s">
        <v>174</v>
      </c>
      <c r="R1217" s="69">
        <f>IF(Q1217="Free Recall",1,IF(Q1217="Cued Recall",2,IF(Q1217="Recognition",3,IF(Q1217="Multiple Choice",4,IF(Q1217="Savings",5,IF(Q1217="Stem Completion",6,IF(Q1217="Fragment Completion",7,IF(Q1217="anagram solution",8,IF(Q1217="Matching",9,IF(Q1217="Problem Solving",10,"99"))))))))))</f>
        <v>1</v>
      </c>
      <c r="S1217" s="69" t="s">
        <v>49</v>
      </c>
      <c r="T1217" s="69" t="s">
        <v>261</v>
      </c>
      <c r="U1217" s="69">
        <f>IF(T1217="within",1,0)</f>
        <v>0</v>
      </c>
      <c r="V1217" s="92">
        <v>2</v>
      </c>
      <c r="W1217" s="69">
        <f>F1217*V1217</f>
        <v>170</v>
      </c>
      <c r="X1217" s="69">
        <v>3</v>
      </c>
      <c r="Y1217" s="87">
        <f>AV1216</f>
        <v>315.36</v>
      </c>
      <c r="Z1217" s="69" t="s">
        <v>221</v>
      </c>
      <c r="AA1217" s="69">
        <v>63072000</v>
      </c>
      <c r="AB1217" s="69" t="str">
        <f>IF(AA1217&lt;60,"1",IF(AA1217&lt;=43200,"2",IF(AA1217&lt;=777600,"3","4")))</f>
        <v>4</v>
      </c>
      <c r="AC1217" s="72">
        <f>AVERAGE(AV1216:DA1216)</f>
        <v>31536105.120000001</v>
      </c>
      <c r="AD1217" s="69" t="str">
        <f>IF(AC1217&lt;60,"1",IF(AC1217&lt;=43200,"2",IF(AC1217&lt;=777600,"3","4")))</f>
        <v>4</v>
      </c>
      <c r="AE1217" s="87">
        <f>AA1217-Y1217</f>
        <v>63071684.640000001</v>
      </c>
      <c r="AF1217" s="88">
        <f>AV1217</f>
        <v>0.09</v>
      </c>
      <c r="AG1217" s="72">
        <f>((AW1217-AV1217)+(AX1217-AW1217))/2</f>
        <v>8.8500000000000009E-2</v>
      </c>
      <c r="AH1217" s="4"/>
      <c r="AI1217" s="72">
        <f>RSQ(AV1217:AX1217,AV1216:AX1216)</f>
        <v>0.83354107549186507</v>
      </c>
      <c r="AJ1217" s="110">
        <f>SLOPE(AV1217:AX1217,AV1216:AX1216)</f>
        <v>2.8063270019554372E-9</v>
      </c>
      <c r="AK1217" s="72">
        <f>INTERCEPT(AV1217:AX1217,AV1216:AX1216)</f>
        <v>0.11283270999857221</v>
      </c>
      <c r="AL1217" s="72">
        <f>INDEX(LINEST(LN(AV1217:AX1217),LN(AV1216:AX1216),TRUE,TRUE),3,1)</f>
        <v>0.9998137452744188</v>
      </c>
      <c r="AM1217" s="72">
        <f>INDEX(LINEST(LN(AV1217:AX1217),LN(AV1216:AX1216)),1)</f>
        <v>8.8472007589189161E-2</v>
      </c>
      <c r="AN1217" s="72">
        <f>EXP(INDEX(LINEST(LN(AV1217:AX1217),LN(AV1216:AX1216)),1,2))</f>
        <v>5.4070228256292527E-2</v>
      </c>
      <c r="AO1217" s="89">
        <f>INDEX(LINEST((AV1217:AX1217),LN(AV1216:AX1216),TRUE,TRUE),3,1)</f>
        <v>0.99721758990587328</v>
      </c>
      <c r="AP1217" s="89">
        <f>INDEX(LINEST((AV1217:AX1217),LN(AV1216:AX1216)),1)</f>
        <v>1.4119289236334299E-2</v>
      </c>
      <c r="AQ1217" s="90">
        <f>INDEX(LINEST(LN(AV1217:AX1217),SQRT(AV1216:AX1216),TRUE,TRUE),3,1)</f>
        <v>0.95006806583677472</v>
      </c>
      <c r="AR1217" s="117">
        <f>INDEX(LINEST(LN(AV1217:AX1217),SQRT((AV1216:AX1216))),1)</f>
        <v>1.4516655094771704E-4</v>
      </c>
      <c r="AS1217" s="91">
        <f>INDEX(LINEST(1/(AV1217:AX1217),1/(SQRT(AV1216:AX1216)),TRUE,TRUE),3,1)</f>
        <v>0.99873423469470946</v>
      </c>
      <c r="AT1217" s="91">
        <f>INDEX(LINEST(1/(AV1217:AX1217),1/SQRT(AV1216:AX1216)),1)</f>
        <v>128.4622001869046</v>
      </c>
      <c r="AU1217" s="3"/>
      <c r="AV1217" s="73">
        <v>0.09</v>
      </c>
      <c r="AW1217" s="73">
        <v>0.247</v>
      </c>
      <c r="AX1217" s="73">
        <v>0.26700000000000002</v>
      </c>
      <c r="AY1217" s="42"/>
      <c r="AZ1217" s="46"/>
      <c r="BA1217" s="42"/>
      <c r="BB1217" s="42"/>
      <c r="BC1217" s="2"/>
      <c r="BD1217" s="2"/>
      <c r="BE1217" s="2"/>
      <c r="BF1217" s="2"/>
      <c r="BG1217" s="2"/>
      <c r="BH1217" s="2"/>
      <c r="BI1217" s="2"/>
      <c r="BJ1217" s="2"/>
      <c r="BK1217" s="2"/>
      <c r="BL1217" s="2"/>
      <c r="BM1217" s="2"/>
      <c r="BN1217" s="2"/>
      <c r="BO1217" s="2"/>
      <c r="BP1217" s="2"/>
      <c r="BQ1217" s="2"/>
      <c r="BR1217" s="2"/>
      <c r="BS1217" s="2"/>
      <c r="BT1217" s="2"/>
      <c r="BU1217" s="2"/>
      <c r="BV1217" s="2"/>
      <c r="BW1217" s="2"/>
      <c r="BX1217" s="2"/>
      <c r="BY1217" s="2"/>
      <c r="BZ1217" s="2"/>
      <c r="CA1217" s="2"/>
      <c r="CB1217" s="2"/>
      <c r="CC1217" s="2"/>
      <c r="CD1217" s="2"/>
      <c r="CE1217" s="2"/>
      <c r="CF1217" s="2"/>
      <c r="CG1217" s="2"/>
      <c r="CH1217" s="2"/>
      <c r="CI1217" s="2"/>
      <c r="CJ1217" s="2"/>
      <c r="CK1217" s="2"/>
      <c r="CL1217" s="2"/>
      <c r="CM1217" s="2"/>
      <c r="CN1217" s="2"/>
      <c r="CO1217" s="2"/>
      <c r="CP1217" s="2"/>
      <c r="CQ1217" s="2"/>
      <c r="CR1217" s="1"/>
      <c r="CS1217" s="1"/>
      <c r="CT1217" s="1"/>
      <c r="CU1217" s="1"/>
    </row>
    <row r="1218" spans="1:99" s="13" customFormat="1" ht="12" customHeight="1" x14ac:dyDescent="0.2">
      <c r="A1218" s="68">
        <v>43509</v>
      </c>
      <c r="B1218" s="70"/>
      <c r="C1218" s="70"/>
      <c r="D1218" s="69"/>
      <c r="E1218" s="87"/>
      <c r="F1218" s="69"/>
      <c r="G1218" s="69"/>
      <c r="H1218" s="69"/>
      <c r="I1218" s="69"/>
      <c r="J1218" s="69"/>
      <c r="K1218" s="107"/>
      <c r="L1218" s="107"/>
      <c r="M1218" s="69"/>
      <c r="N1218" s="69"/>
      <c r="O1218" s="69"/>
      <c r="P1218" s="69"/>
      <c r="Q1218" s="69"/>
      <c r="R1218" s="69"/>
      <c r="S1218" s="69"/>
      <c r="T1218" s="69"/>
      <c r="U1218" s="69"/>
      <c r="V1218" s="69"/>
      <c r="W1218" s="69"/>
      <c r="X1218" s="69"/>
      <c r="Y1218" s="87"/>
      <c r="Z1218" s="69"/>
      <c r="AA1218" s="69"/>
      <c r="AB1218" s="69"/>
      <c r="AC1218" s="69"/>
      <c r="AD1218" s="69"/>
      <c r="AE1218" s="69"/>
      <c r="AF1218" s="88"/>
      <c r="AG1218" s="72"/>
      <c r="AH1218" s="4"/>
      <c r="AI1218" s="72"/>
      <c r="AJ1218" s="110"/>
      <c r="AK1218" s="72"/>
      <c r="AL1218" s="72"/>
      <c r="AM1218" s="72"/>
      <c r="AN1218" s="72"/>
      <c r="AO1218" s="72"/>
      <c r="AP1218" s="72"/>
      <c r="AQ1218" s="89"/>
      <c r="AR1218" s="118"/>
      <c r="AS1218" s="89"/>
      <c r="AT1218" s="89"/>
      <c r="AU1218" s="4"/>
      <c r="AV1218" s="71">
        <f>365*24*60*60*0.00001</f>
        <v>315.36</v>
      </c>
      <c r="AW1218" s="71">
        <f>365*24*60*60*1</f>
        <v>31536000</v>
      </c>
      <c r="AX1218" s="71">
        <f>365*24*60*60*2</f>
        <v>63072000</v>
      </c>
      <c r="AY1218" s="42"/>
      <c r="AZ1218" s="46"/>
      <c r="BA1218" s="42"/>
      <c r="BB1218" s="42"/>
      <c r="BC1218" s="2"/>
      <c r="BD1218" s="2"/>
      <c r="BE1218" s="2"/>
      <c r="BF1218" s="2"/>
      <c r="BG1218" s="2"/>
      <c r="BH1218" s="2"/>
      <c r="BI1218" s="2"/>
      <c r="BJ1218" s="2"/>
      <c r="BK1218" s="2"/>
      <c r="BL1218" s="2"/>
      <c r="BM1218" s="2"/>
      <c r="BN1218" s="2"/>
      <c r="BO1218" s="2"/>
      <c r="BP1218" s="2"/>
      <c r="BQ1218" s="2"/>
      <c r="BR1218" s="2"/>
      <c r="BS1218" s="2"/>
      <c r="BT1218" s="2"/>
      <c r="BU1218" s="2"/>
      <c r="BV1218" s="2"/>
      <c r="BW1218" s="2"/>
      <c r="BX1218" s="2"/>
      <c r="BY1218" s="2"/>
      <c r="BZ1218" s="2"/>
      <c r="CA1218" s="2"/>
      <c r="CB1218" s="2"/>
      <c r="CC1218" s="2"/>
      <c r="CD1218" s="2"/>
      <c r="CE1218" s="2"/>
      <c r="CF1218" s="2"/>
      <c r="CG1218" s="2"/>
      <c r="CH1218" s="2"/>
      <c r="CI1218" s="2"/>
      <c r="CJ1218" s="2"/>
      <c r="CK1218" s="2"/>
      <c r="CL1218" s="2"/>
      <c r="CM1218" s="2"/>
      <c r="CN1218" s="2"/>
      <c r="CO1218" s="2"/>
      <c r="CP1218" s="2"/>
      <c r="CQ1218" s="2"/>
      <c r="CR1218" s="1"/>
      <c r="CS1218" s="1"/>
      <c r="CT1218" s="1"/>
      <c r="CU1218" s="1"/>
    </row>
    <row r="1219" spans="1:99" s="13" customFormat="1" ht="12" customHeight="1" x14ac:dyDescent="0.2">
      <c r="A1219" s="68">
        <v>43509</v>
      </c>
      <c r="B1219" s="70" t="s">
        <v>220</v>
      </c>
      <c r="C1219" s="70" t="s">
        <v>70</v>
      </c>
      <c r="D1219" s="69">
        <v>2006</v>
      </c>
      <c r="E1219" s="87">
        <v>2</v>
      </c>
      <c r="F1219" s="69">
        <v>85</v>
      </c>
      <c r="G1219" s="69">
        <v>63.3</v>
      </c>
      <c r="H1219" s="69" t="s">
        <v>227</v>
      </c>
      <c r="I1219" s="69" t="s">
        <v>819</v>
      </c>
      <c r="J1219" s="69" t="s">
        <v>704</v>
      </c>
      <c r="K1219" s="69">
        <f>IF(J1219="syllables",1,IF(J1219="trigrams",2,IF(J1219="strings",3,IF(J1219="visual array",4,IF(J1219="characters",5,IF(J1219="letters",6,IF(J1219="free forms",7,IF(J1219="odors",8,IF(J1219="words",9,IF(J1219="pictures",10,IF(J1219="object pictures",11,IF(J1219="faces",12,IF(J1219="names",13,IF(J1219="idioms",14,IF(J1219="grades",15,IF(J1219="syllable-digit pairs",16,IF(J1219="trigram-word pairs",17,IF(J1219="word-digit pairs",18,IF(J1219="English-Swahili pairs",19,IF(J1219="spatial position",20,IF(J1219="word pairs",21,IF(J1219="word triads",22,IF(J1219="generated words",23,IF(J1219="word definition pairs",24,IF(J1219="math problems",25,IF(J1219="famous faces",26,IF(J1219="famous names",27,IF(J1219="famous voices",28,IF(J1219="television programs",29,IF(J1219="race horses",30,IF(J1219="new vocabulary",31,IF(J1219="sentences",32,IF(J1219="concepts",33,IF(J1219="ad slides",34,IF(J1219="scenes",35,IF(J1219="famous scenes",36,IF(J1219="poems",37,IF(J1219="walk",38,IF(J1219="faces and events",39,IF(J1219="events and names",40,IF(J1219="flashbulb",41,IF(J1219="stories",42,IF(J1219="course material",43,IF(J1219="autobiographical",44,IF(J1219="novels",45,IF(J1219="public events",46,"99"))))))))))))))))))))))))))))))))))))))))))))))</f>
        <v>41</v>
      </c>
      <c r="L1219" s="69">
        <f>IF(J1219="syllables",1,IF(J1219="trigrams",1,IF(J1219="strings",1,IF(J1219="visual array",1,IF(J1219="characters",1,IF(J1219="letters",1,IF(J1219="free forms",1,IF(J1219="odors",2,IF(J1219="words",2,IF(J1219="pictures",2,IF(J1219="object pictures",2,IF(J1219="faces",2,IF(J1219="names",2,IF(J1219="idioms","2",IF(J1219="grades",2,IF(J1219="syllable-digit pairs",3,IF(J1219="trigram-word pairs",3,IF(J1219="word-digit pairs",3,IF(J1219="English-Swahili pairs",3,IF(J1219="spatial position",3,IF(J1219="word pairs",4,IF(J1219="word triads",4,IF(J1219="generated words",4,IF(J1219="word definition pairs",4,IF(J1219="math problems",4,IF(J1219="famous faces",4,IF(J1219="famous names",4,IF(J1219="famous voices",4,IF(J1219="television programs",4,IF(J1219="race horses",4,IF(J1219="new vocabulary",4,IF(J1219="sentences",5,IF(J1219="concepts",5,IF(J1219="ad slides",5,IF(J1219="scenes",5,IF(J1219="famous scenes",5,IF(J1219="poems",6,IF(J1219="walk",6,IF(J1219="faces and events",6,IF(J1219="events and names",6,IF(J1219="flashbulb",7,IF(J1219="stories",7,IF(J1219="course material",7,IF(J1219="autobiographical",7,IF(J1219="novels",7,IF(J1219="public events",7,"99"))))))))))))))))))))))))))))))))))))))))))))))</f>
        <v>7</v>
      </c>
      <c r="M1219" s="69">
        <v>1</v>
      </c>
      <c r="N1219" s="69">
        <v>4</v>
      </c>
      <c r="O1219" s="69">
        <v>0</v>
      </c>
      <c r="P1219" s="69"/>
      <c r="Q1219" s="69" t="s">
        <v>174</v>
      </c>
      <c r="R1219" s="69">
        <f>IF(Q1219="Free Recall",1,IF(Q1219="Cued Recall",2,IF(Q1219="Recognition",3,IF(Q1219="Multiple Choice",4,IF(Q1219="Savings",5,IF(Q1219="Stem Completion",6,IF(Q1219="Fragment Completion",7,IF(Q1219="anagram solution",8,IF(Q1219="Matching",9,IF(Q1219="Problem Solving",10,"99"))))))))))</f>
        <v>1</v>
      </c>
      <c r="S1219" s="69" t="s">
        <v>49</v>
      </c>
      <c r="T1219" s="69" t="s">
        <v>261</v>
      </c>
      <c r="U1219" s="69">
        <f>IF(T1219="within",1,0)</f>
        <v>0</v>
      </c>
      <c r="V1219" s="92">
        <v>3</v>
      </c>
      <c r="W1219" s="69">
        <f>F1219*V1219</f>
        <v>255</v>
      </c>
      <c r="X1219" s="69">
        <v>3</v>
      </c>
      <c r="Y1219" s="87">
        <f>AV1218</f>
        <v>315.36</v>
      </c>
      <c r="Z1219" s="69" t="s">
        <v>221</v>
      </c>
      <c r="AA1219" s="69">
        <v>63072000</v>
      </c>
      <c r="AB1219" s="69" t="str">
        <f>IF(AA1219&lt;60,"1",IF(AA1219&lt;=43200,"2",IF(AA1219&lt;=777600,"3","4")))</f>
        <v>4</v>
      </c>
      <c r="AC1219" s="72">
        <f>AVERAGE(AV1218:DA1218)</f>
        <v>31536105.120000001</v>
      </c>
      <c r="AD1219" s="69" t="str">
        <f>IF(AC1219&lt;60,"1",IF(AC1219&lt;=43200,"2",IF(AC1219&lt;=777600,"3","4")))</f>
        <v>4</v>
      </c>
      <c r="AE1219" s="87">
        <f>AA1219-Y1219</f>
        <v>63071684.640000001</v>
      </c>
      <c r="AF1219" s="88">
        <f>AV1219</f>
        <v>0.73099999999999998</v>
      </c>
      <c r="AG1219" s="72">
        <f>((AW1219-AV1219)+(AX1219-AW1219))/2</f>
        <v>3.0000000000000027E-2</v>
      </c>
      <c r="AH1219" s="4"/>
      <c r="AI1219" s="72">
        <f>RSQ(AV1219:AX1219,AV1218:AX1218)</f>
        <v>0.68789541399623144</v>
      </c>
      <c r="AJ1219" s="110">
        <f>SLOPE(AV1219:AX1219,AV1218:AX1218)</f>
        <v>9.5129666624122767E-10</v>
      </c>
      <c r="AK1219" s="72">
        <f>INTERCEPT(AV1219:AX1219,AV1218:AX1218)</f>
        <v>0.74266647499977778</v>
      </c>
      <c r="AL1219" s="72">
        <f>INDEX(LINEST(LN(AV1219:AX1219),LN(AV1218:AX1218),TRUE,TRUE),3,1)</f>
        <v>0.98637435024858544</v>
      </c>
      <c r="AM1219" s="72">
        <f>INDEX(LINEST(LN(AV1219:AX1219),LN(AV1218:AX1218)),1)</f>
        <v>6.8763420761753609E-3</v>
      </c>
      <c r="AN1219" s="72">
        <f>EXP(INDEX(LINEST(LN(AV1219:AX1219),LN(AV1218:AX1218)),1,2))</f>
        <v>0.70287029881208474</v>
      </c>
      <c r="AO1219" s="89">
        <f>INDEX(LINEST((AV1219:AX1219),LN(AV1218:AX1218),TRUE,TRUE),3,1)</f>
        <v>0.98572964190858592</v>
      </c>
      <c r="AP1219" s="89">
        <f>INDEX(LINEST((AV1219:AX1219),LN(AV1218:AX1218)),1)</f>
        <v>5.2381360440496277E-3</v>
      </c>
      <c r="AQ1219" s="90">
        <f>INDEX(LINEST(LN(AV1219:AX1219),SQRT(AV1218:AX1218),TRUE,TRUE),3,1)</f>
        <v>0.87852780761665672</v>
      </c>
      <c r="AR1219" s="117">
        <f>INDEX(LINEST(LN(AV1219:AX1219),SQRT((AV1218:AX1218))),1)</f>
        <v>1.0923384269449074E-5</v>
      </c>
      <c r="AS1219" s="91">
        <f>INDEX(LINEST(1/(AV1219:AX1219),1/(SQRT(AV1218:AX1218)),TRUE,TRUE),3,1)</f>
        <v>0.99583896764909863</v>
      </c>
      <c r="AT1219" s="91">
        <f>INDEX(LINEST(1/(AV1219:AX1219),1/SQRT(AV1218:AX1218)),1)</f>
        <v>1.9183145954365779</v>
      </c>
      <c r="AU1219" s="3"/>
      <c r="AV1219" s="73">
        <v>0.73099999999999998</v>
      </c>
      <c r="AW1219" s="73">
        <v>0.79600000000000004</v>
      </c>
      <c r="AX1219" s="73">
        <v>0.79100000000000004</v>
      </c>
      <c r="AY1219" s="42"/>
      <c r="AZ1219" s="46"/>
      <c r="BA1219" s="42"/>
      <c r="BB1219" s="42"/>
      <c r="BC1219" s="2"/>
      <c r="BD1219" s="2"/>
      <c r="BE1219" s="2"/>
      <c r="BF1219" s="2"/>
      <c r="BG1219" s="2"/>
      <c r="BH1219" s="2"/>
      <c r="BI1219" s="2"/>
      <c r="BJ1219" s="2"/>
      <c r="BK1219" s="2"/>
      <c r="BL1219" s="2"/>
      <c r="BM1219" s="2"/>
      <c r="BN1219" s="2"/>
      <c r="BO1219" s="2"/>
      <c r="BP1219" s="2"/>
      <c r="BQ1219" s="2"/>
      <c r="BR1219" s="2"/>
      <c r="BS1219" s="2"/>
      <c r="BT1219" s="2"/>
      <c r="BU1219" s="2"/>
      <c r="BV1219" s="2"/>
      <c r="BW1219" s="2"/>
      <c r="BX1219" s="2"/>
      <c r="BY1219" s="2"/>
      <c r="BZ1219" s="2"/>
      <c r="CA1219" s="2"/>
      <c r="CB1219" s="2"/>
      <c r="CC1219" s="2"/>
      <c r="CD1219" s="2"/>
      <c r="CE1219" s="2"/>
      <c r="CF1219" s="2"/>
      <c r="CG1219" s="2"/>
      <c r="CH1219" s="2"/>
      <c r="CI1219" s="2"/>
      <c r="CJ1219" s="2"/>
      <c r="CK1219" s="2"/>
      <c r="CL1219" s="2"/>
      <c r="CM1219" s="2"/>
      <c r="CN1219" s="2"/>
      <c r="CO1219" s="2"/>
      <c r="CP1219" s="2"/>
      <c r="CQ1219" s="2"/>
      <c r="CR1219" s="1"/>
      <c r="CS1219" s="1"/>
      <c r="CT1219" s="1"/>
      <c r="CU1219" s="1"/>
    </row>
    <row r="1220" spans="1:99" s="13" customFormat="1" ht="12" customHeight="1" x14ac:dyDescent="0.2">
      <c r="A1220" s="68">
        <v>43509</v>
      </c>
      <c r="B1220" s="70"/>
      <c r="C1220" s="70"/>
      <c r="D1220" s="69"/>
      <c r="E1220" s="87"/>
      <c r="F1220" s="69"/>
      <c r="G1220" s="69"/>
      <c r="H1220" s="69"/>
      <c r="I1220" s="69"/>
      <c r="J1220" s="69"/>
      <c r="K1220" s="107"/>
      <c r="L1220" s="107"/>
      <c r="M1220" s="69"/>
      <c r="N1220" s="69"/>
      <c r="O1220" s="69"/>
      <c r="P1220" s="69"/>
      <c r="Q1220" s="69"/>
      <c r="R1220" s="69"/>
      <c r="S1220" s="69"/>
      <c r="T1220" s="69"/>
      <c r="U1220" s="69"/>
      <c r="V1220" s="69"/>
      <c r="W1220" s="69"/>
      <c r="X1220" s="69"/>
      <c r="Y1220" s="87"/>
      <c r="Z1220" s="69"/>
      <c r="AA1220" s="69"/>
      <c r="AB1220" s="69"/>
      <c r="AC1220" s="69"/>
      <c r="AD1220" s="69"/>
      <c r="AE1220" s="69"/>
      <c r="AF1220" s="88"/>
      <c r="AG1220" s="72"/>
      <c r="AH1220" s="4"/>
      <c r="AI1220" s="72"/>
      <c r="AJ1220" s="110"/>
      <c r="AK1220" s="72"/>
      <c r="AL1220" s="72"/>
      <c r="AM1220" s="72"/>
      <c r="AN1220" s="72"/>
      <c r="AO1220" s="72"/>
      <c r="AP1220" s="72"/>
      <c r="AQ1220" s="89"/>
      <c r="AR1220" s="118"/>
      <c r="AS1220" s="89"/>
      <c r="AT1220" s="89"/>
      <c r="AU1220" s="4"/>
      <c r="AV1220" s="71">
        <f>365*24*60*60*0.00001</f>
        <v>315.36</v>
      </c>
      <c r="AW1220" s="71">
        <f>365*24*60*60*1</f>
        <v>31536000</v>
      </c>
      <c r="AX1220" s="71">
        <f>365*24*60*60*2</f>
        <v>63072000</v>
      </c>
      <c r="AY1220" s="42"/>
      <c r="AZ1220" s="46"/>
      <c r="BA1220" s="42"/>
      <c r="BB1220" s="42"/>
      <c r="BC1220" s="2"/>
      <c r="BD1220" s="2"/>
      <c r="BE1220" s="2"/>
      <c r="BF1220" s="2"/>
      <c r="BG1220" s="2"/>
      <c r="BH1220" s="2"/>
      <c r="BI1220" s="2"/>
      <c r="BJ1220" s="2"/>
      <c r="BK1220" s="2"/>
      <c r="BL1220" s="2"/>
      <c r="BM1220" s="2"/>
      <c r="BN1220" s="2"/>
      <c r="BO1220" s="2"/>
      <c r="BP1220" s="2"/>
      <c r="BQ1220" s="2"/>
      <c r="BR1220" s="2"/>
      <c r="BS1220" s="2"/>
      <c r="BT1220" s="2"/>
      <c r="BU1220" s="2"/>
      <c r="BV1220" s="2"/>
      <c r="BW1220" s="2"/>
      <c r="BX1220" s="2"/>
      <c r="BY1220" s="2"/>
      <c r="BZ1220" s="2"/>
      <c r="CA1220" s="2"/>
      <c r="CB1220" s="2"/>
      <c r="CC1220" s="2"/>
      <c r="CD1220" s="2"/>
      <c r="CE1220" s="2"/>
      <c r="CF1220" s="2"/>
      <c r="CG1220" s="2"/>
      <c r="CH1220" s="2"/>
      <c r="CI1220" s="2"/>
      <c r="CJ1220" s="2"/>
      <c r="CK1220" s="2"/>
      <c r="CL1220" s="2"/>
      <c r="CM1220" s="2"/>
      <c r="CN1220" s="2"/>
      <c r="CO1220" s="2"/>
      <c r="CP1220" s="2"/>
      <c r="CQ1220" s="2"/>
      <c r="CR1220" s="1"/>
      <c r="CS1220" s="1"/>
      <c r="CT1220" s="1"/>
      <c r="CU1220" s="1"/>
    </row>
    <row r="1221" spans="1:99" s="13" customFormat="1" ht="12" customHeight="1" x14ac:dyDescent="0.2">
      <c r="A1221" s="68">
        <v>43509</v>
      </c>
      <c r="B1221" s="70" t="s">
        <v>220</v>
      </c>
      <c r="C1221" s="70" t="s">
        <v>70</v>
      </c>
      <c r="D1221" s="69">
        <v>2006</v>
      </c>
      <c r="E1221" s="87">
        <v>2</v>
      </c>
      <c r="F1221" s="69">
        <v>85</v>
      </c>
      <c r="G1221" s="69">
        <v>63.3</v>
      </c>
      <c r="H1221" s="69" t="s">
        <v>227</v>
      </c>
      <c r="I1221" s="69" t="s">
        <v>820</v>
      </c>
      <c r="J1221" s="69" t="s">
        <v>704</v>
      </c>
      <c r="K1221" s="69">
        <f>IF(J1221="syllables",1,IF(J1221="trigrams",2,IF(J1221="strings",3,IF(J1221="visual array",4,IF(J1221="characters",5,IF(J1221="letters",6,IF(J1221="free forms",7,IF(J1221="odors",8,IF(J1221="words",9,IF(J1221="pictures",10,IF(J1221="object pictures",11,IF(J1221="faces",12,IF(J1221="names",13,IF(J1221="idioms",14,IF(J1221="grades",15,IF(J1221="syllable-digit pairs",16,IF(J1221="trigram-word pairs",17,IF(J1221="word-digit pairs",18,IF(J1221="English-Swahili pairs",19,IF(J1221="spatial position",20,IF(J1221="word pairs",21,IF(J1221="word triads",22,IF(J1221="generated words",23,IF(J1221="word definition pairs",24,IF(J1221="math problems",25,IF(J1221="famous faces",26,IF(J1221="famous names",27,IF(J1221="famous voices",28,IF(J1221="television programs",29,IF(J1221="race horses",30,IF(J1221="new vocabulary",31,IF(J1221="sentences",32,IF(J1221="concepts",33,IF(J1221="ad slides",34,IF(J1221="scenes",35,IF(J1221="famous scenes",36,IF(J1221="poems",37,IF(J1221="walk",38,IF(J1221="faces and events",39,IF(J1221="events and names",40,IF(J1221="flashbulb",41,IF(J1221="stories",42,IF(J1221="course material",43,IF(J1221="autobiographical",44,IF(J1221="novels",45,IF(J1221="public events",46,"99"))))))))))))))))))))))))))))))))))))))))))))))</f>
        <v>41</v>
      </c>
      <c r="L1221" s="69">
        <f>IF(J1221="syllables",1,IF(J1221="trigrams",1,IF(J1221="strings",1,IF(J1221="visual array",1,IF(J1221="characters",1,IF(J1221="letters",1,IF(J1221="free forms",1,IF(J1221="odors",2,IF(J1221="words",2,IF(J1221="pictures",2,IF(J1221="object pictures",2,IF(J1221="faces",2,IF(J1221="names",2,IF(J1221="idioms","2",IF(J1221="grades",2,IF(J1221="syllable-digit pairs",3,IF(J1221="trigram-word pairs",3,IF(J1221="word-digit pairs",3,IF(J1221="English-Swahili pairs",3,IF(J1221="spatial position",3,IF(J1221="word pairs",4,IF(J1221="word triads",4,IF(J1221="generated words",4,IF(J1221="word definition pairs",4,IF(J1221="math problems",4,IF(J1221="famous faces",4,IF(J1221="famous names",4,IF(J1221="famous voices",4,IF(J1221="television programs",4,IF(J1221="race horses",4,IF(J1221="new vocabulary",4,IF(J1221="sentences",5,IF(J1221="concepts",5,IF(J1221="ad slides",5,IF(J1221="scenes",5,IF(J1221="famous scenes",5,IF(J1221="poems",6,IF(J1221="walk",6,IF(J1221="faces and events",6,IF(J1221="events and names",6,IF(J1221="flashbulb",7,IF(J1221="stories",7,IF(J1221="course material",7,IF(J1221="autobiographical",7,IF(J1221="novels",7,IF(J1221="public events",7,"99"))))))))))))))))))))))))))))))))))))))))))))))</f>
        <v>7</v>
      </c>
      <c r="M1221" s="69">
        <v>1</v>
      </c>
      <c r="N1221" s="69">
        <v>4</v>
      </c>
      <c r="O1221" s="69">
        <v>0</v>
      </c>
      <c r="P1221" s="69"/>
      <c r="Q1221" s="69" t="s">
        <v>174</v>
      </c>
      <c r="R1221" s="69">
        <f>IF(Q1221="Free Recall",1,IF(Q1221="Cued Recall",2,IF(Q1221="Recognition",3,IF(Q1221="Multiple Choice",4,IF(Q1221="Savings",5,IF(Q1221="Stem Completion",6,IF(Q1221="Fragment Completion",7,IF(Q1221="anagram solution",8,IF(Q1221="Matching",9,IF(Q1221="Problem Solving",10,"99"))))))))))</f>
        <v>1</v>
      </c>
      <c r="S1221" s="69" t="s">
        <v>49</v>
      </c>
      <c r="T1221" s="69" t="s">
        <v>261</v>
      </c>
      <c r="U1221" s="69">
        <f>IF(T1221="within",1,0)</f>
        <v>0</v>
      </c>
      <c r="V1221" s="92">
        <v>3</v>
      </c>
      <c r="W1221" s="69">
        <f>F1221*V1221</f>
        <v>255</v>
      </c>
      <c r="X1221" s="69">
        <v>3</v>
      </c>
      <c r="Y1221" s="87">
        <f>AV1220</f>
        <v>315.36</v>
      </c>
      <c r="Z1221" s="69" t="s">
        <v>221</v>
      </c>
      <c r="AA1221" s="69">
        <v>63072000</v>
      </c>
      <c r="AB1221" s="69" t="str">
        <f>IF(AA1221&lt;60,"1",IF(AA1221&lt;=43200,"2",IF(AA1221&lt;=777600,"3","4")))</f>
        <v>4</v>
      </c>
      <c r="AC1221" s="72">
        <f>AVERAGE(AV1220:DA1220)</f>
        <v>31536105.120000001</v>
      </c>
      <c r="AD1221" s="69" t="str">
        <f>IF(AC1221&lt;60,"1",IF(AC1221&lt;=43200,"2",IF(AC1221&lt;=777600,"3","4")))</f>
        <v>4</v>
      </c>
      <c r="AE1221" s="87">
        <f>AA1221-Y1221</f>
        <v>63071684.640000001</v>
      </c>
      <c r="AF1221" s="88">
        <f>AV1221</f>
        <v>0.436</v>
      </c>
      <c r="AG1221" s="72">
        <f>((AW1221-AV1221)+(AX1221-AW1221))/2</f>
        <v>2.7499999999999997E-2</v>
      </c>
      <c r="AH1221" s="4"/>
      <c r="AI1221" s="72">
        <f>RSQ(AV1221:AX1221,AV1220:AX1220)</f>
        <v>0.49096804535108901</v>
      </c>
      <c r="AJ1221" s="110">
        <f>SLOPE(AV1221:AX1221,AV1220:AX1220)</f>
        <v>8.7202620289827498E-10</v>
      </c>
      <c r="AK1221" s="72">
        <f>INTERCEPT(AV1221:AX1221,AV1220:AX1220)</f>
        <v>0.41983302333133893</v>
      </c>
      <c r="AL1221" s="72">
        <f>INDEX(LINEST(LN(AV1221:AX1221),LN(AV1220:AX1220),TRUE,TRUE),3,1)</f>
        <v>7.8834657112247519E-2</v>
      </c>
      <c r="AM1221" s="72">
        <f>INDEX(LINEST(LN(AV1221:AX1221),LN(AV1220:AX1220)),1)</f>
        <v>3.5400355864808422E-3</v>
      </c>
      <c r="AN1221" s="72">
        <f>EXP(INDEX(LINEST(LN(AV1221:AX1221),LN(AV1220:AX1220)),1,2))</f>
        <v>0.42514540622119984</v>
      </c>
      <c r="AO1221" s="89">
        <f>INDEX(LINEST((AV1221:AX1221),LN(AV1220:AX1220),TRUE,TRUE),3,1)</f>
        <v>8.9225649270004093E-2</v>
      </c>
      <c r="AP1221" s="89">
        <f>INDEX(LINEST((AV1221:AX1221),LN(AV1220:AX1220)),1)</f>
        <v>1.7099793964390343E-3</v>
      </c>
      <c r="AQ1221" s="90">
        <f>INDEX(LINEST(LN(AV1221:AX1221),SQRT(AV1220:AX1220),TRUE,TRUE),3,1)</f>
        <v>0.25000690043310952</v>
      </c>
      <c r="AR1221" s="117">
        <f>INDEX(LINEST(LN(AV1221:AX1221),SQRT((AV1220:AX1220))),1)</f>
        <v>1.0611283106396142E-5</v>
      </c>
      <c r="AS1221" s="91">
        <f>INDEX(LINEST(1/(AV1221:AX1221),1/(SQRT(AV1220:AX1220)),TRUE,TRUE),3,1)</f>
        <v>4.571908836071694E-2</v>
      </c>
      <c r="AT1221" s="91">
        <f>INDEX(LINEST(1/(AV1221:AX1221),1/SQRT(AV1220:AX1220)),1)</f>
        <v>1.2587108424060121</v>
      </c>
      <c r="AU1221" s="3"/>
      <c r="AV1221" s="73">
        <v>0.436</v>
      </c>
      <c r="AW1221" s="73">
        <v>0.41499999999999998</v>
      </c>
      <c r="AX1221" s="73">
        <v>0.49099999999999999</v>
      </c>
      <c r="AY1221" s="42"/>
      <c r="AZ1221" s="46"/>
      <c r="BA1221" s="42"/>
      <c r="BB1221" s="42"/>
      <c r="BC1221" s="2"/>
      <c r="BD1221" s="2"/>
      <c r="BE1221" s="2"/>
      <c r="BF1221" s="2"/>
      <c r="BG1221" s="2"/>
      <c r="BH1221" s="2"/>
      <c r="BI1221" s="2"/>
      <c r="BJ1221" s="2"/>
      <c r="BK1221" s="2"/>
      <c r="BL1221" s="2"/>
      <c r="BM1221" s="2"/>
      <c r="BN1221" s="2"/>
      <c r="BO1221" s="2"/>
      <c r="BP1221" s="2"/>
      <c r="BQ1221" s="2"/>
      <c r="BR1221" s="2"/>
      <c r="BS1221" s="2"/>
      <c r="BT1221" s="2"/>
      <c r="BU1221" s="2"/>
      <c r="BV1221" s="2"/>
      <c r="BW1221" s="2"/>
      <c r="BX1221" s="2"/>
      <c r="BY1221" s="2"/>
      <c r="BZ1221" s="2"/>
      <c r="CA1221" s="2"/>
      <c r="CB1221" s="2"/>
      <c r="CC1221" s="2"/>
      <c r="CD1221" s="2"/>
      <c r="CE1221" s="2"/>
      <c r="CF1221" s="2"/>
      <c r="CG1221" s="2"/>
      <c r="CH1221" s="2"/>
      <c r="CI1221" s="2"/>
      <c r="CJ1221" s="2"/>
      <c r="CK1221" s="2"/>
      <c r="CL1221" s="2"/>
      <c r="CM1221" s="2"/>
      <c r="CN1221" s="2"/>
      <c r="CO1221" s="2"/>
      <c r="CP1221" s="2"/>
      <c r="CQ1221" s="2"/>
      <c r="CR1221" s="1"/>
      <c r="CS1221" s="1"/>
      <c r="CT1221" s="1"/>
      <c r="CU1221" s="1"/>
    </row>
    <row r="1222" spans="1:99" s="13" customFormat="1" ht="12" customHeight="1" x14ac:dyDescent="0.2">
      <c r="A1222" s="68">
        <v>43509</v>
      </c>
      <c r="B1222" s="70"/>
      <c r="C1222" s="70"/>
      <c r="D1222" s="69"/>
      <c r="E1222" s="87"/>
      <c r="F1222" s="69"/>
      <c r="G1222" s="69"/>
      <c r="H1222" s="69"/>
      <c r="I1222" s="69"/>
      <c r="J1222" s="69"/>
      <c r="K1222" s="107"/>
      <c r="L1222" s="107"/>
      <c r="M1222" s="69"/>
      <c r="N1222" s="69"/>
      <c r="O1222" s="69"/>
      <c r="P1222" s="69"/>
      <c r="Q1222" s="69"/>
      <c r="R1222" s="69"/>
      <c r="S1222" s="69"/>
      <c r="T1222" s="69"/>
      <c r="U1222" s="69"/>
      <c r="V1222" s="69"/>
      <c r="W1222" s="69"/>
      <c r="X1222" s="69"/>
      <c r="Y1222" s="87"/>
      <c r="Z1222" s="69"/>
      <c r="AA1222" s="69"/>
      <c r="AB1222" s="69"/>
      <c r="AC1222" s="69"/>
      <c r="AD1222" s="69"/>
      <c r="AE1222" s="69"/>
      <c r="AF1222" s="88"/>
      <c r="AG1222" s="72"/>
      <c r="AH1222" s="4"/>
      <c r="AI1222" s="72"/>
      <c r="AJ1222" s="110"/>
      <c r="AK1222" s="72"/>
      <c r="AL1222" s="72"/>
      <c r="AM1222" s="72"/>
      <c r="AN1222" s="72"/>
      <c r="AO1222" s="72"/>
      <c r="AP1222" s="72"/>
      <c r="AQ1222" s="89"/>
      <c r="AR1222" s="118"/>
      <c r="AS1222" s="89"/>
      <c r="AT1222" s="89"/>
      <c r="AU1222" s="4"/>
      <c r="AV1222" s="71">
        <f>365*24*60*60*0.00001</f>
        <v>315.36</v>
      </c>
      <c r="AW1222" s="71">
        <f>365*24*60*60*1</f>
        <v>31536000</v>
      </c>
      <c r="AX1222" s="71">
        <f>365*24*60*60*2</f>
        <v>63072000</v>
      </c>
      <c r="AY1222" s="42"/>
      <c r="AZ1222" s="46"/>
      <c r="BA1222" s="42"/>
      <c r="BB1222" s="42"/>
      <c r="BC1222" s="2"/>
      <c r="BD1222" s="2"/>
      <c r="BE1222" s="2"/>
      <c r="BF1222" s="2"/>
      <c r="BG1222" s="2"/>
      <c r="BH1222" s="2"/>
      <c r="BI1222" s="2"/>
      <c r="BJ1222" s="2"/>
      <c r="BK1222" s="2"/>
      <c r="BL1222" s="2"/>
      <c r="BM1222" s="2"/>
      <c r="BN1222" s="2"/>
      <c r="BO1222" s="2"/>
      <c r="BP1222" s="2"/>
      <c r="BQ1222" s="2"/>
      <c r="BR1222" s="2"/>
      <c r="BS1222" s="2"/>
      <c r="BT1222" s="2"/>
      <c r="BU1222" s="2"/>
      <c r="BV1222" s="2"/>
      <c r="BW1222" s="2"/>
      <c r="BX1222" s="2"/>
      <c r="BY1222" s="2"/>
      <c r="BZ1222" s="2"/>
      <c r="CA1222" s="2"/>
      <c r="CB1222" s="2"/>
      <c r="CC1222" s="2"/>
      <c r="CD1222" s="2"/>
      <c r="CE1222" s="2"/>
      <c r="CF1222" s="2"/>
      <c r="CG1222" s="2"/>
      <c r="CH1222" s="2"/>
      <c r="CI1222" s="2"/>
      <c r="CJ1222" s="2"/>
      <c r="CK1222" s="2"/>
      <c r="CL1222" s="2"/>
      <c r="CM1222" s="2"/>
      <c r="CN1222" s="2"/>
      <c r="CO1222" s="2"/>
      <c r="CP1222" s="2"/>
      <c r="CQ1222" s="2"/>
      <c r="CR1222" s="1"/>
      <c r="CS1222" s="1"/>
      <c r="CT1222" s="1"/>
      <c r="CU1222" s="1"/>
    </row>
    <row r="1223" spans="1:99" s="13" customFormat="1" ht="12" customHeight="1" x14ac:dyDescent="0.2">
      <c r="A1223" s="68">
        <v>43509</v>
      </c>
      <c r="B1223" s="70" t="s">
        <v>220</v>
      </c>
      <c r="C1223" s="70" t="s">
        <v>70</v>
      </c>
      <c r="D1223" s="69">
        <v>2006</v>
      </c>
      <c r="E1223" s="87">
        <v>2</v>
      </c>
      <c r="F1223" s="69">
        <v>85</v>
      </c>
      <c r="G1223" s="69">
        <v>63.3</v>
      </c>
      <c r="H1223" s="69" t="s">
        <v>227</v>
      </c>
      <c r="I1223" s="69" t="s">
        <v>821</v>
      </c>
      <c r="J1223" s="69" t="s">
        <v>704</v>
      </c>
      <c r="K1223" s="69">
        <f>IF(J1223="syllables",1,IF(J1223="trigrams",2,IF(J1223="strings",3,IF(J1223="visual array",4,IF(J1223="characters",5,IF(J1223="letters",6,IF(J1223="free forms",7,IF(J1223="odors",8,IF(J1223="words",9,IF(J1223="pictures",10,IF(J1223="object pictures",11,IF(J1223="faces",12,IF(J1223="names",13,IF(J1223="idioms",14,IF(J1223="grades",15,IF(J1223="syllable-digit pairs",16,IF(J1223="trigram-word pairs",17,IF(J1223="word-digit pairs",18,IF(J1223="English-Swahili pairs",19,IF(J1223="spatial position",20,IF(J1223="word pairs",21,IF(J1223="word triads",22,IF(J1223="generated words",23,IF(J1223="word definition pairs",24,IF(J1223="math problems",25,IF(J1223="famous faces",26,IF(J1223="famous names",27,IF(J1223="famous voices",28,IF(J1223="television programs",29,IF(J1223="race horses",30,IF(J1223="new vocabulary",31,IF(J1223="sentences",32,IF(J1223="concepts",33,IF(J1223="ad slides",34,IF(J1223="scenes",35,IF(J1223="famous scenes",36,IF(J1223="poems",37,IF(J1223="walk",38,IF(J1223="faces and events",39,IF(J1223="events and names",40,IF(J1223="flashbulb",41,IF(J1223="stories",42,IF(J1223="course material",43,IF(J1223="autobiographical",44,IF(J1223="novels",45,IF(J1223="public events",46,"99"))))))))))))))))))))))))))))))))))))))))))))))</f>
        <v>41</v>
      </c>
      <c r="L1223" s="69">
        <f>IF(J1223="syllables",1,IF(J1223="trigrams",1,IF(J1223="strings",1,IF(J1223="visual array",1,IF(J1223="characters",1,IF(J1223="letters",1,IF(J1223="free forms",1,IF(J1223="odors",2,IF(J1223="words",2,IF(J1223="pictures",2,IF(J1223="object pictures",2,IF(J1223="faces",2,IF(J1223="names",2,IF(J1223="idioms","2",IF(J1223="grades",2,IF(J1223="syllable-digit pairs",3,IF(J1223="trigram-word pairs",3,IF(J1223="word-digit pairs",3,IF(J1223="English-Swahili pairs",3,IF(J1223="spatial position",3,IF(J1223="word pairs",4,IF(J1223="word triads",4,IF(J1223="generated words",4,IF(J1223="word definition pairs",4,IF(J1223="math problems",4,IF(J1223="famous faces",4,IF(J1223="famous names",4,IF(J1223="famous voices",4,IF(J1223="television programs",4,IF(J1223="race horses",4,IF(J1223="new vocabulary",4,IF(J1223="sentences",5,IF(J1223="concepts",5,IF(J1223="ad slides",5,IF(J1223="scenes",5,IF(J1223="famous scenes",5,IF(J1223="poems",6,IF(J1223="walk",6,IF(J1223="faces and events",6,IF(J1223="events and names",6,IF(J1223="flashbulb",7,IF(J1223="stories",7,IF(J1223="course material",7,IF(J1223="autobiographical",7,IF(J1223="novels",7,IF(J1223="public events",7,"99"))))))))))))))))))))))))))))))))))))))))))))))</f>
        <v>7</v>
      </c>
      <c r="M1223" s="69">
        <v>1</v>
      </c>
      <c r="N1223" s="69">
        <v>4</v>
      </c>
      <c r="O1223" s="69">
        <v>0</v>
      </c>
      <c r="P1223" s="69"/>
      <c r="Q1223" s="69" t="s">
        <v>174</v>
      </c>
      <c r="R1223" s="69">
        <f>IF(Q1223="Free Recall",1,IF(Q1223="Cued Recall",2,IF(Q1223="Recognition",3,IF(Q1223="Multiple Choice",4,IF(Q1223="Savings",5,IF(Q1223="Stem Completion",6,IF(Q1223="Fragment Completion",7,IF(Q1223="anagram solution",8,IF(Q1223="Matching",9,IF(Q1223="Problem Solving",10,"99"))))))))))</f>
        <v>1</v>
      </c>
      <c r="S1223" s="69" t="s">
        <v>49</v>
      </c>
      <c r="T1223" s="69" t="s">
        <v>261</v>
      </c>
      <c r="U1223" s="69">
        <f>IF(T1223="within",1,0)</f>
        <v>0</v>
      </c>
      <c r="V1223" s="92">
        <v>2</v>
      </c>
      <c r="W1223" s="69">
        <f>F1223*V1223</f>
        <v>170</v>
      </c>
      <c r="X1223" s="69">
        <v>3</v>
      </c>
      <c r="Y1223" s="87">
        <f>AV1222</f>
        <v>315.36</v>
      </c>
      <c r="Z1223" s="69" t="s">
        <v>221</v>
      </c>
      <c r="AA1223" s="69">
        <v>63072000</v>
      </c>
      <c r="AB1223" s="69" t="str">
        <f>IF(AA1223&lt;60,"1",IF(AA1223&lt;=43200,"2",IF(AA1223&lt;=777600,"3","4")))</f>
        <v>4</v>
      </c>
      <c r="AC1223" s="72">
        <f>AVERAGE(AV1222:DA1222)</f>
        <v>31536105.120000001</v>
      </c>
      <c r="AD1223" s="69" t="str">
        <f>IF(AC1223&lt;60,"1",IF(AC1223&lt;=43200,"2",IF(AC1223&lt;=777600,"3","4")))</f>
        <v>4</v>
      </c>
      <c r="AE1223" s="87">
        <f>AA1223-Y1223</f>
        <v>63071684.640000001</v>
      </c>
      <c r="AF1223" s="88">
        <f>AV1223</f>
        <v>0.19400000000000001</v>
      </c>
      <c r="AG1223" s="72">
        <f>((AW1223-AV1223)+(AX1223-AW1223))/2</f>
        <v>4.8499999999999988E-2</v>
      </c>
      <c r="AH1223" s="4"/>
      <c r="AI1223" s="72">
        <f>RSQ(AV1223:AX1223,AV1222:AX1222)</f>
        <v>0.5663949235338287</v>
      </c>
      <c r="AJ1223" s="110">
        <f>SLOPE(AV1223:AX1223,AV1222:AX1222)</f>
        <v>1.5379287163744072E-9</v>
      </c>
      <c r="AK1223" s="72">
        <f>INTERCEPT(AV1223:AX1223,AV1222:AX1222)</f>
        <v>0.21849971833335</v>
      </c>
      <c r="AL1223" s="72">
        <f>INDEX(LINEST(LN(AV1223:AX1223),LN(AV1222:AX1222),TRUE,TRUE),3,1)</f>
        <v>0.95693929723293047</v>
      </c>
      <c r="AM1223" s="72">
        <f>INDEX(LINEST(LN(AV1223:AX1223),LN(AV1222:AX1222)),1)</f>
        <v>3.7263760094507881E-2</v>
      </c>
      <c r="AN1223" s="72">
        <f>EXP(INDEX(LINEST(LN(AV1223:AX1223),LN(AV1222:AX1222)),1,2))</f>
        <v>0.15705820648866234</v>
      </c>
      <c r="AO1223" s="89">
        <f>INDEX(LINEST((AV1223:AX1223),LN(AV1222:AX1222),TRUE,TRUE),3,1)</f>
        <v>0.94079977105633705</v>
      </c>
      <c r="AP1223" s="89">
        <f>INDEX(LINEST((AV1223:AX1223),LN(AV1222:AX1222)),1)</f>
        <v>9.1173416525163267E-3</v>
      </c>
      <c r="AQ1223" s="90">
        <f>INDEX(LINEST(LN(AV1223:AX1223),SQRT(AV1222:AX1222),TRUE,TRUE),3,1)</f>
        <v>0.81234201143387441</v>
      </c>
      <c r="AR1223" s="117">
        <f>INDEX(LINEST(LN(AV1223:AX1223),SQRT((AV1222:AX1222))),1)</f>
        <v>5.7790546948249306E-5</v>
      </c>
      <c r="AS1223" s="91">
        <f>INDEX(LINEST(1/(AV1223:AX1223),1/(SQRT(AV1222:AX1222)),TRUE,TRUE),3,1)</f>
        <v>0.98392950069932661</v>
      </c>
      <c r="AT1223" s="91">
        <f>INDEX(LINEST(1/(AV1223:AX1223),1/SQRT(AV1222:AX1222)),1)</f>
        <v>33.012377111354944</v>
      </c>
      <c r="AU1223" s="3"/>
      <c r="AV1223" s="73">
        <v>0.19400000000000001</v>
      </c>
      <c r="AW1223" s="73">
        <v>0.316</v>
      </c>
      <c r="AX1223" s="73">
        <v>0.29099999999999998</v>
      </c>
      <c r="AY1223" s="42"/>
      <c r="AZ1223" s="46"/>
      <c r="BA1223" s="42"/>
      <c r="BB1223" s="42"/>
      <c r="BC1223" s="2"/>
      <c r="BD1223" s="2"/>
      <c r="BE1223" s="2"/>
      <c r="BF1223" s="2"/>
      <c r="BG1223" s="2"/>
      <c r="BH1223" s="2"/>
      <c r="BI1223" s="2"/>
      <c r="BJ1223" s="2"/>
      <c r="BK1223" s="2"/>
      <c r="BL1223" s="2"/>
      <c r="BM1223" s="2"/>
      <c r="BN1223" s="2"/>
      <c r="BO1223" s="2"/>
      <c r="BP1223" s="2"/>
      <c r="BQ1223" s="2"/>
      <c r="BR1223" s="2"/>
      <c r="BS1223" s="2"/>
      <c r="BT1223" s="2"/>
      <c r="BU1223" s="2"/>
      <c r="BV1223" s="2"/>
      <c r="BW1223" s="2"/>
      <c r="BX1223" s="2"/>
      <c r="BY1223" s="2"/>
      <c r="BZ1223" s="2"/>
      <c r="CA1223" s="2"/>
      <c r="CB1223" s="2"/>
      <c r="CC1223" s="2"/>
      <c r="CD1223" s="2"/>
      <c r="CE1223" s="2"/>
      <c r="CF1223" s="2"/>
      <c r="CG1223" s="2"/>
      <c r="CH1223" s="2"/>
      <c r="CI1223" s="2"/>
      <c r="CJ1223" s="2"/>
      <c r="CK1223" s="2"/>
      <c r="CL1223" s="2"/>
      <c r="CM1223" s="2"/>
      <c r="CN1223" s="2"/>
      <c r="CO1223" s="2"/>
      <c r="CP1223" s="2"/>
      <c r="CQ1223" s="2"/>
      <c r="CR1223" s="1"/>
      <c r="CS1223" s="1"/>
      <c r="CT1223" s="1"/>
      <c r="CU1223" s="1"/>
    </row>
    <row r="1224" spans="1:99" ht="12" customHeight="1" x14ac:dyDescent="0.2">
      <c r="A1224" s="65">
        <v>43509</v>
      </c>
      <c r="B1224" s="15"/>
      <c r="C1224" s="15"/>
      <c r="D1224" s="59"/>
      <c r="E1224" s="75"/>
      <c r="F1224" s="59"/>
      <c r="G1224" s="59"/>
      <c r="H1224" s="59"/>
      <c r="I1224" s="59"/>
      <c r="J1224" s="60"/>
      <c r="M1224" s="59"/>
      <c r="N1224" s="59"/>
      <c r="O1224" s="59"/>
      <c r="P1224" s="59"/>
      <c r="Q1224" s="59"/>
      <c r="R1224" s="60"/>
      <c r="S1224" s="59"/>
      <c r="T1224" s="59"/>
      <c r="U1224" s="60"/>
      <c r="V1224" s="59"/>
      <c r="W1224" s="60"/>
      <c r="X1224" s="59"/>
      <c r="Y1224" s="76"/>
      <c r="Z1224" s="59"/>
      <c r="AA1224" s="59"/>
      <c r="AB1224" s="60"/>
      <c r="AC1224" s="60"/>
      <c r="AD1224" s="60"/>
      <c r="AE1224" s="60"/>
      <c r="AF1224" s="80"/>
      <c r="AG1224" s="56"/>
      <c r="AH1224" s="4"/>
      <c r="AI1224" s="55"/>
      <c r="AJ1224" s="111"/>
      <c r="AK1224" s="55"/>
      <c r="AL1224" s="55"/>
      <c r="AM1224" s="55"/>
      <c r="AN1224" s="55"/>
      <c r="AO1224" s="55"/>
      <c r="AP1224" s="55"/>
      <c r="AQ1224" s="56"/>
      <c r="AR1224" s="109"/>
      <c r="AS1224" s="56"/>
      <c r="AT1224" s="56"/>
      <c r="AU1224" s="4"/>
      <c r="AV1224" s="47">
        <f>1*24*3600</f>
        <v>86400</v>
      </c>
      <c r="AW1224" s="47">
        <f>6*24*3600</f>
        <v>518400</v>
      </c>
      <c r="AX1224" s="47">
        <f>35*24*3600</f>
        <v>3024000</v>
      </c>
      <c r="AY1224" s="11"/>
      <c r="AZ1224" s="11"/>
      <c r="BA1224" s="11"/>
      <c r="BB1224" s="11"/>
      <c r="BC1224" s="11"/>
      <c r="BD1224" s="11"/>
      <c r="BE1224" s="11"/>
      <c r="BF1224" s="11"/>
      <c r="BG1224" s="11"/>
      <c r="BH1224" s="11"/>
      <c r="BI1224" s="11"/>
      <c r="BJ1224" s="11"/>
      <c r="BK1224" s="11"/>
      <c r="BL1224" s="11"/>
      <c r="BM1224" s="11"/>
      <c r="BN1224" s="11"/>
      <c r="BO1224" s="11"/>
      <c r="BP1224" s="11"/>
      <c r="BQ1224" s="11"/>
      <c r="BR1224" s="11"/>
      <c r="BS1224" s="11"/>
      <c r="BT1224" s="11"/>
      <c r="BU1224" s="11"/>
      <c r="BV1224" s="11"/>
      <c r="BW1224" s="11"/>
      <c r="BX1224" s="11"/>
      <c r="BY1224" s="11"/>
      <c r="BZ1224" s="11"/>
      <c r="CA1224" s="11"/>
      <c r="CB1224" s="11"/>
      <c r="CC1224" s="11"/>
      <c r="CD1224" s="11"/>
      <c r="CE1224" s="11"/>
      <c r="CF1224" s="11"/>
      <c r="CG1224" s="11"/>
      <c r="CH1224" s="11"/>
      <c r="CI1224" s="11"/>
      <c r="CJ1224" s="11"/>
      <c r="CK1224" s="11"/>
      <c r="CL1224" s="11"/>
      <c r="CM1224" s="11"/>
      <c r="CN1224" s="11"/>
      <c r="CO1224" s="11"/>
      <c r="CP1224" s="11"/>
      <c r="CQ1224" s="11"/>
      <c r="CR1224" s="15"/>
      <c r="CS1224" s="15"/>
      <c r="CT1224" s="15"/>
      <c r="CU1224" s="15"/>
    </row>
    <row r="1225" spans="1:99" ht="12" customHeight="1" x14ac:dyDescent="0.2">
      <c r="A1225" s="65">
        <v>43509</v>
      </c>
      <c r="B1225" s="15" t="s">
        <v>269</v>
      </c>
      <c r="C1225" s="15" t="s">
        <v>84</v>
      </c>
      <c r="D1225" s="59">
        <v>1973</v>
      </c>
      <c r="E1225" s="75">
        <v>1</v>
      </c>
      <c r="F1225" s="59">
        <v>36</v>
      </c>
      <c r="G1225" s="59">
        <v>36</v>
      </c>
      <c r="H1225" s="59" t="s">
        <v>50</v>
      </c>
      <c r="I1225" s="59" t="s">
        <v>130</v>
      </c>
      <c r="J1225" s="59" t="s">
        <v>328</v>
      </c>
      <c r="K1225" s="60">
        <f>IF(J1225="syllables",1,IF(J1225="trigrams",2,IF(J1225="strings",3,IF(J1225="visual array",4,IF(J1225="characters",5,IF(J1225="letters",6,IF(J1225="free forms",7,IF(J1225="odors",8,IF(J1225="words",9,IF(J1225="pictures",10,IF(J1225="object pictures",11,IF(J1225="faces",12,IF(J1225="names",13,IF(J1225="idioms",14,IF(J1225="grades",15,IF(J1225="syllable-digit pairs",16,IF(J1225="trigram-word pairs",17,IF(J1225="word-digit pairs",18,IF(J1225="English-Swahili pairs",19,IF(J1225="spatial position",20,IF(J1225="word pairs",21,IF(J1225="word triads",22,IF(J1225="generated words",23,IF(J1225="word definition pairs",24,IF(J1225="math problems",25,IF(J1225="famous faces",26,IF(J1225="famous names",27,IF(J1225="famous voices",28,IF(J1225="television programs",29,IF(J1225="race horses",30,IF(J1225="new vocabulary",31,IF(J1225="sentences",32,IF(J1225="concepts",33,IF(J1225="ad slides",34,IF(J1225="scenes",35,IF(J1225="famous scenes",36,IF(J1225="poems",37,IF(J1225="walk",38,IF(J1225="faces and events",39,IF(J1225="events and names",40,IF(J1225="flashbulb",41,IF(J1225="stories",42,IF(J1225="course material",43,IF(J1225="autobiographical",44,IF(J1225="novels",45,IF(J1225="public events",46,"99"))))))))))))))))))))))))))))))))))))))))))))))</f>
        <v>12</v>
      </c>
      <c r="L1225" s="60">
        <f>IF(J1225="syllables",1,IF(J1225="trigrams",1,IF(J1225="strings",1,IF(J1225="visual array",1,IF(J1225="characters",1,IF(J1225="letters",1,IF(J1225="free forms",1,IF(J1225="odors",2,IF(J1225="words",2,IF(J1225="pictures",2,IF(J1225="object pictures",2,IF(J1225="faces",2,IF(J1225="names",2,IF(J1225="idioms","2",IF(J1225="grades",2,IF(J1225="syllable-digit pairs",3,IF(J1225="trigram-word pairs",3,IF(J1225="word-digit pairs",3,IF(J1225="English-Swahili pairs",3,IF(J1225="spatial position",3,IF(J1225="word pairs",4,IF(J1225="word triads",4,IF(J1225="generated words",4,IF(J1225="word definition pairs",4,IF(J1225="math problems",4,IF(J1225="famous faces",4,IF(J1225="famous names",4,IF(J1225="famous voices",4,IF(J1225="television programs",4,IF(J1225="race horses",4,IF(J1225="new vocabulary",4,IF(J1225="sentences",5,IF(J1225="concepts",5,IF(J1225="ad slides",5,IF(J1225="scenes",5,IF(J1225="famous scenes",5,IF(J1225="poems",6,IF(J1225="walk",6,IF(J1225="faces and events",6,IF(J1225="events and names",6,IF(J1225="flashbulb",7,IF(J1225="stories",7,IF(J1225="course material",7,IF(J1225="autobiographical",7,IF(J1225="novels",7,IF(J1225="public events",7,"99"))))))))))))))))))))))))))))))))))))))))))))))</f>
        <v>2</v>
      </c>
      <c r="M1225" s="59">
        <v>0</v>
      </c>
      <c r="N1225" s="59">
        <v>1</v>
      </c>
      <c r="O1225" s="59">
        <v>0</v>
      </c>
      <c r="P1225" s="59"/>
      <c r="Q1225" s="59" t="s">
        <v>182</v>
      </c>
      <c r="R1225" s="60">
        <f>IF(Q1225="Free Recall",1,IF(Q1225="Cued Recall",2,IF(Q1225="Recognition",3,IF(Q1225="Multiple Choice",4,IF(Q1225="Savings",5,IF(Q1225="Stem Completion",6,IF(Q1225="Fragment Completion",7,IF(Q1225="anagram solution",8,IF(Q1225="Matching",9,IF(Q1225="Problem Solving",10,"99"))))))))))</f>
        <v>4</v>
      </c>
      <c r="S1225" s="60" t="s">
        <v>15</v>
      </c>
      <c r="T1225" s="59" t="s">
        <v>581</v>
      </c>
      <c r="U1225" s="60">
        <f>IF(T1225="within",1,0)</f>
        <v>1</v>
      </c>
      <c r="V1225" s="59">
        <v>18</v>
      </c>
      <c r="W1225" s="60">
        <f>F1225*V1225</f>
        <v>648</v>
      </c>
      <c r="X1225" s="59">
        <v>3</v>
      </c>
      <c r="Y1225" s="76">
        <f>AV1224</f>
        <v>86400</v>
      </c>
      <c r="Z1225" s="59" t="s">
        <v>270</v>
      </c>
      <c r="AA1225" s="59">
        <f>35*24*3600</f>
        <v>3024000</v>
      </c>
      <c r="AB1225" s="60" t="str">
        <f>IF(AA1225&lt;60,"1",IF(AA1225&lt;=43200,"2",IF(AA1225&lt;=777600,"3","4")))</f>
        <v>4</v>
      </c>
      <c r="AC1225" s="56">
        <f>AVERAGE(AV1224:DA1224)</f>
        <v>1209600</v>
      </c>
      <c r="AD1225" s="60" t="str">
        <f>IF(AC1225&lt;60,"1",IF(AC1225&lt;=43200,"2",IF(AC1225&lt;=777600,"3","4")))</f>
        <v>4</v>
      </c>
      <c r="AE1225" s="76">
        <f>AA1225-Y1225</f>
        <v>2937600</v>
      </c>
      <c r="AF1225" s="80">
        <f>AV1225</f>
        <v>0.87</v>
      </c>
      <c r="AG1225" s="56">
        <f>((AW1225-AV1225)+(AX1225-AW1225))/2</f>
        <v>-3.999999999999998E-2</v>
      </c>
      <c r="AH1225" s="4"/>
      <c r="AI1225" s="56">
        <f>RSQ(AV1225:AX1225,AV1224:AX1224)</f>
        <v>0.4897704201155712</v>
      </c>
      <c r="AJ1225" s="109">
        <f>SLOPE(AV1225:AX1225,AV1224:AX1224)</f>
        <v>-1.9232882734366408E-8</v>
      </c>
      <c r="AK1225" s="56">
        <f>INTERCEPT(AV1225:AX1225,AV1224:AX1224)</f>
        <v>0.8432640949554896</v>
      </c>
      <c r="AL1225" s="56">
        <f>INDEX(LINEST(LN(AV1225:AX1225),LN(AV1224:AX1224),TRUE,TRUE),3,1)</f>
        <v>0.84921547332174907</v>
      </c>
      <c r="AM1225" s="56">
        <f>INDEX(LINEST(LN(AV1225:AX1225),LN(AV1224:AX1224)),1)</f>
        <v>-2.7183433179021613E-2</v>
      </c>
      <c r="AN1225" s="56">
        <f>EXP(INDEX(LINEST(LN(AV1225:AX1225),LN(AV1224:AX1224)),1,2))</f>
        <v>1.1712388408150201</v>
      </c>
      <c r="AO1225" s="82">
        <f>INDEX(LINEST((AV1225:AX1225),LN(AV1224:AX1224),TRUE,TRUE),3,1)</f>
        <v>0.84542709449275533</v>
      </c>
      <c r="AP1225" s="82">
        <f>INDEX(LINEST((AV1225:AX1225),LN(AV1224:AX1224)),1)</f>
        <v>-2.2545413718011314E-2</v>
      </c>
      <c r="AQ1225" s="83">
        <f>INDEX(LINEST(LN(AV1225:AX1225),SQRT(AV1224:AX1224),TRUE,TRUE),3,1)</f>
        <v>0.6472095742100783</v>
      </c>
      <c r="AR1225" s="116">
        <f>INDEX(LINEST(LN(AV1225:AX1225),SQRT((AV1224:AX1224))),1)</f>
        <v>-5.6816260003917958E-5</v>
      </c>
      <c r="AS1225" s="84">
        <f>INDEX(LINEST(1/(AV1225:AX1225),1/(SQRT(AV1224:AX1224)),TRUE,TRUE),3,1)</f>
        <v>0.9753222081312255</v>
      </c>
      <c r="AT1225" s="84">
        <f>INDEX(LINEST(1/(AV1225:AX1225),1/SQRT(AV1224:AX1224)),1)</f>
        <v>-42.842499162113903</v>
      </c>
      <c r="AU1225" s="3"/>
      <c r="AV1225" s="11">
        <v>0.87</v>
      </c>
      <c r="AW1225" s="11">
        <v>0.8</v>
      </c>
      <c r="AX1225" s="11">
        <v>0.79</v>
      </c>
      <c r="AY1225" s="11"/>
      <c r="AZ1225" s="11"/>
      <c r="BA1225" s="11"/>
      <c r="BB1225" s="11"/>
      <c r="BC1225" s="11"/>
      <c r="BD1225" s="11"/>
      <c r="BE1225" s="11"/>
      <c r="BF1225" s="11"/>
      <c r="BG1225" s="11"/>
      <c r="BH1225" s="11"/>
      <c r="BI1225" s="11"/>
      <c r="BJ1225" s="11"/>
      <c r="BK1225" s="11"/>
      <c r="BL1225" s="11"/>
      <c r="BM1225" s="11"/>
      <c r="BN1225" s="11"/>
      <c r="BO1225" s="11"/>
      <c r="BP1225" s="11"/>
      <c r="BQ1225" s="11"/>
      <c r="BR1225" s="11"/>
      <c r="BS1225" s="11"/>
      <c r="BT1225" s="11"/>
      <c r="BU1225" s="11"/>
      <c r="BV1225" s="11"/>
      <c r="BW1225" s="11"/>
      <c r="BX1225" s="11"/>
      <c r="BY1225" s="11"/>
      <c r="BZ1225" s="11"/>
      <c r="CA1225" s="11"/>
      <c r="CB1225" s="11"/>
      <c r="CC1225" s="11"/>
      <c r="CD1225" s="11"/>
      <c r="CE1225" s="11"/>
      <c r="CF1225" s="11"/>
      <c r="CG1225" s="11"/>
      <c r="CH1225" s="11"/>
      <c r="CI1225" s="11"/>
      <c r="CJ1225" s="11"/>
      <c r="CK1225" s="11"/>
      <c r="CL1225" s="11"/>
      <c r="CM1225" s="11"/>
      <c r="CN1225" s="11"/>
      <c r="CO1225" s="11"/>
      <c r="CP1225" s="11"/>
      <c r="CQ1225" s="11"/>
      <c r="CR1225" s="15"/>
      <c r="CS1225" s="15"/>
      <c r="CT1225" s="15"/>
      <c r="CU1225" s="15"/>
    </row>
    <row r="1226" spans="1:99" ht="12" customHeight="1" x14ac:dyDescent="0.2">
      <c r="A1226" s="65">
        <v>43509</v>
      </c>
      <c r="B1226" s="15"/>
      <c r="C1226" s="15"/>
      <c r="D1226" s="59"/>
      <c r="E1226" s="75"/>
      <c r="F1226" s="59"/>
      <c r="G1226" s="59"/>
      <c r="H1226" s="59"/>
      <c r="I1226" s="59"/>
      <c r="J1226" s="60"/>
      <c r="M1226" s="59"/>
      <c r="N1226" s="59"/>
      <c r="O1226" s="59"/>
      <c r="P1226" s="59"/>
      <c r="Q1226" s="59"/>
      <c r="R1226" s="60"/>
      <c r="S1226" s="59"/>
      <c r="T1226" s="59"/>
      <c r="U1226" s="60"/>
      <c r="V1226" s="59"/>
      <c r="W1226" s="60"/>
      <c r="X1226" s="59"/>
      <c r="Y1226" s="76"/>
      <c r="Z1226" s="59"/>
      <c r="AA1226" s="59"/>
      <c r="AB1226" s="60"/>
      <c r="AC1226" s="60"/>
      <c r="AD1226" s="60"/>
      <c r="AE1226" s="60"/>
      <c r="AF1226" s="80"/>
      <c r="AG1226" s="56"/>
      <c r="AH1226" s="4"/>
      <c r="AI1226" s="55"/>
      <c r="AJ1226" s="111"/>
      <c r="AK1226" s="55"/>
      <c r="AL1226" s="55"/>
      <c r="AM1226" s="55"/>
      <c r="AN1226" s="55"/>
      <c r="AO1226" s="55"/>
      <c r="AP1226" s="55"/>
      <c r="AQ1226" s="56"/>
      <c r="AR1226" s="109"/>
      <c r="AS1226" s="56"/>
      <c r="AT1226" s="56"/>
      <c r="AU1226" s="4"/>
      <c r="AV1226" s="47">
        <f>1*24*3600</f>
        <v>86400</v>
      </c>
      <c r="AW1226" s="47">
        <f>6*24*3600</f>
        <v>518400</v>
      </c>
      <c r="AX1226" s="47">
        <f>35*24*3600</f>
        <v>3024000</v>
      </c>
      <c r="AY1226" s="11"/>
      <c r="AZ1226" s="11"/>
      <c r="BA1226" s="11"/>
      <c r="BB1226" s="11"/>
      <c r="BC1226" s="11"/>
      <c r="BD1226" s="11"/>
      <c r="BE1226" s="11"/>
      <c r="BF1226" s="11"/>
      <c r="BG1226" s="11"/>
      <c r="BH1226" s="11"/>
      <c r="BI1226" s="11"/>
      <c r="BJ1226" s="11"/>
      <c r="BK1226" s="11"/>
      <c r="BL1226" s="11"/>
      <c r="BM1226" s="11"/>
      <c r="BN1226" s="11"/>
      <c r="BO1226" s="11"/>
      <c r="BP1226" s="11"/>
      <c r="BQ1226" s="11"/>
      <c r="BR1226" s="11"/>
      <c r="BS1226" s="11"/>
      <c r="BT1226" s="11"/>
      <c r="BU1226" s="11"/>
      <c r="BV1226" s="11"/>
      <c r="BW1226" s="11"/>
      <c r="BX1226" s="11"/>
      <c r="BY1226" s="11"/>
      <c r="BZ1226" s="11"/>
      <c r="CA1226" s="11"/>
      <c r="CB1226" s="11"/>
      <c r="CC1226" s="11"/>
      <c r="CD1226" s="11"/>
      <c r="CE1226" s="11"/>
      <c r="CF1226" s="11"/>
      <c r="CG1226" s="11"/>
      <c r="CH1226" s="11"/>
      <c r="CI1226" s="11"/>
      <c r="CJ1226" s="11"/>
      <c r="CK1226" s="11"/>
      <c r="CL1226" s="11"/>
      <c r="CM1226" s="11"/>
      <c r="CN1226" s="11"/>
      <c r="CO1226" s="11"/>
      <c r="CP1226" s="11"/>
      <c r="CQ1226" s="11"/>
      <c r="CR1226" s="15"/>
      <c r="CS1226" s="15"/>
      <c r="CT1226" s="15"/>
      <c r="CU1226" s="15"/>
    </row>
    <row r="1227" spans="1:99" ht="12" customHeight="1" x14ac:dyDescent="0.2">
      <c r="A1227" s="65">
        <v>43509</v>
      </c>
      <c r="B1227" s="15" t="s">
        <v>269</v>
      </c>
      <c r="C1227" s="15" t="s">
        <v>84</v>
      </c>
      <c r="D1227" s="59">
        <v>1973</v>
      </c>
      <c r="E1227" s="75">
        <v>1</v>
      </c>
      <c r="F1227" s="59">
        <v>36</v>
      </c>
      <c r="G1227" s="59">
        <v>36</v>
      </c>
      <c r="H1227" s="59" t="s">
        <v>50</v>
      </c>
      <c r="I1227" s="59" t="s">
        <v>822</v>
      </c>
      <c r="J1227" s="59" t="s">
        <v>328</v>
      </c>
      <c r="K1227" s="60">
        <f>IF(J1227="syllables",1,IF(J1227="trigrams",2,IF(J1227="strings",3,IF(J1227="visual array",4,IF(J1227="characters",5,IF(J1227="letters",6,IF(J1227="free forms",7,IF(J1227="odors",8,IF(J1227="words",9,IF(J1227="pictures",10,IF(J1227="object pictures",11,IF(J1227="faces",12,IF(J1227="names",13,IF(J1227="idioms",14,IF(J1227="grades",15,IF(J1227="syllable-digit pairs",16,IF(J1227="trigram-word pairs",17,IF(J1227="word-digit pairs",18,IF(J1227="English-Swahili pairs",19,IF(J1227="spatial position",20,IF(J1227="word pairs",21,IF(J1227="word triads",22,IF(J1227="generated words",23,IF(J1227="word definition pairs",24,IF(J1227="math problems",25,IF(J1227="famous faces",26,IF(J1227="famous names",27,IF(J1227="famous voices",28,IF(J1227="television programs",29,IF(J1227="race horses",30,IF(J1227="new vocabulary",31,IF(J1227="sentences",32,IF(J1227="concepts",33,IF(J1227="ad slides",34,IF(J1227="scenes",35,IF(J1227="famous scenes",36,IF(J1227="poems",37,IF(J1227="walk",38,IF(J1227="faces and events",39,IF(J1227="events and names",40,IF(J1227="flashbulb",41,IF(J1227="stories",42,IF(J1227="course material",43,IF(J1227="autobiographical",44,IF(J1227="novels",45,IF(J1227="public events",46,"99"))))))))))))))))))))))))))))))))))))))))))))))</f>
        <v>12</v>
      </c>
      <c r="L1227" s="60">
        <f>IF(J1227="syllables",1,IF(J1227="trigrams",1,IF(J1227="strings",1,IF(J1227="visual array",1,IF(J1227="characters",1,IF(J1227="letters",1,IF(J1227="free forms",1,IF(J1227="odors",2,IF(J1227="words",2,IF(J1227="pictures",2,IF(J1227="object pictures",2,IF(J1227="faces",2,IF(J1227="names",2,IF(J1227="idioms","2",IF(J1227="grades",2,IF(J1227="syllable-digit pairs",3,IF(J1227="trigram-word pairs",3,IF(J1227="word-digit pairs",3,IF(J1227="English-Swahili pairs",3,IF(J1227="spatial position",3,IF(J1227="word pairs",4,IF(J1227="word triads",4,IF(J1227="generated words",4,IF(J1227="word definition pairs",4,IF(J1227="math problems",4,IF(J1227="famous faces",4,IF(J1227="famous names",4,IF(J1227="famous voices",4,IF(J1227="television programs",4,IF(J1227="race horses",4,IF(J1227="new vocabulary",4,IF(J1227="sentences",5,IF(J1227="concepts",5,IF(J1227="ad slides",5,IF(J1227="scenes",5,IF(J1227="famous scenes",5,IF(J1227="poems",6,IF(J1227="walk",6,IF(J1227="faces and events",6,IF(J1227="events and names",6,IF(J1227="flashbulb",7,IF(J1227="stories",7,IF(J1227="course material",7,IF(J1227="autobiographical",7,IF(J1227="novels",7,IF(J1227="public events",7,"99"))))))))))))))))))))))))))))))))))))))))))))))</f>
        <v>2</v>
      </c>
      <c r="M1227" s="59">
        <v>0</v>
      </c>
      <c r="N1227" s="59">
        <v>1</v>
      </c>
      <c r="O1227" s="59">
        <v>0</v>
      </c>
      <c r="P1227" s="59"/>
      <c r="Q1227" s="59" t="s">
        <v>182</v>
      </c>
      <c r="R1227" s="60">
        <f>IF(Q1227="Free Recall",1,IF(Q1227="Cued Recall",2,IF(Q1227="Recognition",3,IF(Q1227="Multiple Choice",4,IF(Q1227="Savings",5,IF(Q1227="Stem Completion",6,IF(Q1227="Fragment Completion",7,IF(Q1227="anagram solution",8,IF(Q1227="Matching",9,IF(Q1227="Problem Solving",10,"99"))))))))))</f>
        <v>4</v>
      </c>
      <c r="S1227" s="60" t="s">
        <v>15</v>
      </c>
      <c r="T1227" s="59" t="s">
        <v>581</v>
      </c>
      <c r="U1227" s="60">
        <f>IF(T1227="within",1,0)</f>
        <v>1</v>
      </c>
      <c r="V1227" s="59">
        <v>18</v>
      </c>
      <c r="W1227" s="60">
        <f>F1227*V1227</f>
        <v>648</v>
      </c>
      <c r="X1227" s="59">
        <v>3</v>
      </c>
      <c r="Y1227" s="76">
        <f>AV1226</f>
        <v>86400</v>
      </c>
      <c r="Z1227" s="59" t="s">
        <v>270</v>
      </c>
      <c r="AA1227" s="59">
        <f>35*24*3600</f>
        <v>3024000</v>
      </c>
      <c r="AB1227" s="60" t="str">
        <f>IF(AA1227&lt;60,"1",IF(AA1227&lt;=43200,"2",IF(AA1227&lt;=777600,"3","4")))</f>
        <v>4</v>
      </c>
      <c r="AC1227" s="56">
        <f>AVERAGE(AV1226:DA1226)</f>
        <v>1209600</v>
      </c>
      <c r="AD1227" s="60" t="str">
        <f>IF(AC1227&lt;60,"1",IF(AC1227&lt;=43200,"2",IF(AC1227&lt;=777600,"3","4")))</f>
        <v>4</v>
      </c>
      <c r="AE1227" s="76">
        <f>AA1227-Y1227</f>
        <v>2937600</v>
      </c>
      <c r="AF1227" s="80">
        <f>AV1227</f>
        <v>0.93</v>
      </c>
      <c r="AG1227" s="56">
        <f>((AW1227-AV1227)+(AX1227-AW1227))/2</f>
        <v>-0.21000000000000002</v>
      </c>
      <c r="AH1227" s="4"/>
      <c r="AI1227" s="56">
        <f>RSQ(AV1227:AX1227,AV1226:AX1226)</f>
        <v>0.998088718466838</v>
      </c>
      <c r="AJ1227" s="109">
        <f>SLOPE(AV1227:AX1227,AV1226:AX1226)</f>
        <v>-1.4046873282778327E-7</v>
      </c>
      <c r="AK1227" s="56">
        <f>INTERCEPT(AV1227:AX1227,AV1226:AX1226)</f>
        <v>0.93324431256181994</v>
      </c>
      <c r="AL1227" s="56">
        <f>INDEX(LINEST(LN(AV1227:AX1227),LN(AV1226:AX1226),TRUE,TRUE),3,1)</f>
        <v>0.85621085793939655</v>
      </c>
      <c r="AM1227" s="56">
        <f>INDEX(LINEST(LN(AV1227:AX1227),LN(AV1226:AX1226)),1)</f>
        <v>-0.16866132108640955</v>
      </c>
      <c r="AN1227" s="56">
        <f>EXP(INDEX(LINEST(LN(AV1227:AX1227),LN(AV1226:AX1226)),1,2))</f>
        <v>6.7864992305749929</v>
      </c>
      <c r="AO1227" s="82">
        <f>INDEX(LINEST((AV1227:AX1227),LN(AV1226:AX1226),TRUE,TRUE),3,1)</f>
        <v>0.88381347054928172</v>
      </c>
      <c r="AP1227" s="82">
        <f>INDEX(LINEST((AV1227:AX1227),LN(AV1226:AX1226)),1)</f>
        <v>-0.11793627869762348</v>
      </c>
      <c r="AQ1227" s="83">
        <f>INDEX(LINEST(LN(AV1227:AX1227),SQRT(AV1226:AX1226),TRUE,TRUE),3,1)</f>
        <v>0.97714844271452705</v>
      </c>
      <c r="AR1227" s="116">
        <f>INDEX(LINEST(LN(AV1227:AX1227),SQRT((AV1226:AX1226))),1)</f>
        <v>-4.3138021610242614E-4</v>
      </c>
      <c r="AS1227" s="84">
        <f>INDEX(LINEST(1/(AV1227:AX1227),1/(SQRT(AV1226:AX1226)),TRUE,TRUE),3,1)</f>
        <v>0.62484545799304991</v>
      </c>
      <c r="AT1227" s="84">
        <f>INDEX(LINEST(1/(AV1227:AX1227),1/SQRT(AV1226:AX1226)),1)</f>
        <v>-263.26772316929095</v>
      </c>
      <c r="AU1227" s="3"/>
      <c r="AV1227" s="11">
        <v>0.93</v>
      </c>
      <c r="AW1227" s="11">
        <v>0.85</v>
      </c>
      <c r="AX1227" s="11">
        <v>0.51</v>
      </c>
      <c r="AY1227" s="11"/>
      <c r="AZ1227" s="11"/>
      <c r="BA1227" s="11"/>
      <c r="BB1227" s="11"/>
      <c r="BC1227" s="11"/>
      <c r="BD1227" s="11"/>
      <c r="BE1227" s="11"/>
      <c r="BF1227" s="11"/>
      <c r="BG1227" s="11"/>
      <c r="BH1227" s="11"/>
      <c r="BI1227" s="11"/>
      <c r="BJ1227" s="11"/>
      <c r="BK1227" s="11"/>
      <c r="BL1227" s="11"/>
      <c r="BM1227" s="11"/>
      <c r="BN1227" s="11"/>
      <c r="BO1227" s="11"/>
      <c r="BP1227" s="11"/>
      <c r="BQ1227" s="11"/>
      <c r="BR1227" s="11"/>
      <c r="BS1227" s="11"/>
      <c r="BT1227" s="11"/>
      <c r="BU1227" s="11"/>
      <c r="BV1227" s="11"/>
      <c r="BW1227" s="11"/>
      <c r="BX1227" s="11"/>
      <c r="BY1227" s="11"/>
      <c r="BZ1227" s="11"/>
      <c r="CA1227" s="11"/>
      <c r="CB1227" s="11"/>
      <c r="CC1227" s="11"/>
      <c r="CD1227" s="11"/>
      <c r="CE1227" s="11"/>
      <c r="CF1227" s="11"/>
      <c r="CG1227" s="11"/>
      <c r="CH1227" s="11"/>
      <c r="CI1227" s="11"/>
      <c r="CJ1227" s="11"/>
      <c r="CK1227" s="11"/>
      <c r="CL1227" s="11"/>
      <c r="CM1227" s="11"/>
      <c r="CN1227" s="11"/>
      <c r="CO1227" s="11"/>
      <c r="CP1227" s="11"/>
      <c r="CQ1227" s="11"/>
      <c r="CR1227" s="15"/>
      <c r="CS1227" s="15"/>
      <c r="CT1227" s="15"/>
      <c r="CU1227" s="15"/>
    </row>
    <row r="1228" spans="1:99" ht="12" customHeight="1" x14ac:dyDescent="0.2">
      <c r="A1228" s="65">
        <v>43509</v>
      </c>
      <c r="B1228" s="15"/>
      <c r="C1228" s="15"/>
      <c r="D1228" s="59"/>
      <c r="E1228" s="75"/>
      <c r="F1228" s="59"/>
      <c r="G1228" s="59"/>
      <c r="H1228" s="59"/>
      <c r="I1228" s="59"/>
      <c r="J1228" s="60"/>
      <c r="M1228" s="59"/>
      <c r="N1228" s="59"/>
      <c r="O1228" s="59"/>
      <c r="P1228" s="59"/>
      <c r="Q1228" s="59"/>
      <c r="R1228" s="60"/>
      <c r="S1228" s="59"/>
      <c r="T1228" s="59"/>
      <c r="U1228" s="60"/>
      <c r="V1228" s="59"/>
      <c r="W1228" s="60"/>
      <c r="X1228" s="59"/>
      <c r="Y1228" s="76"/>
      <c r="Z1228" s="59"/>
      <c r="AA1228" s="59"/>
      <c r="AB1228" s="60"/>
      <c r="AC1228" s="60"/>
      <c r="AD1228" s="60"/>
      <c r="AE1228" s="60"/>
      <c r="AF1228" s="80"/>
      <c r="AG1228" s="56"/>
      <c r="AH1228" s="4"/>
      <c r="AI1228" s="55"/>
      <c r="AJ1228" s="111"/>
      <c r="AK1228" s="55"/>
      <c r="AL1228" s="55"/>
      <c r="AM1228" s="55"/>
      <c r="AN1228" s="55"/>
      <c r="AO1228" s="55"/>
      <c r="AP1228" s="55"/>
      <c r="AQ1228" s="56"/>
      <c r="AR1228" s="109"/>
      <c r="AS1228" s="56"/>
      <c r="AT1228" s="56"/>
      <c r="AU1228" s="4"/>
      <c r="AV1228" s="47">
        <f>1*24*3600</f>
        <v>86400</v>
      </c>
      <c r="AW1228" s="47">
        <f>6*24*3600</f>
        <v>518400</v>
      </c>
      <c r="AX1228" s="47">
        <f>35*24*3600</f>
        <v>3024000</v>
      </c>
      <c r="AY1228" s="11"/>
      <c r="AZ1228" s="11"/>
      <c r="BA1228" s="11"/>
      <c r="BB1228" s="11"/>
      <c r="BC1228" s="11"/>
      <c r="BD1228" s="11"/>
      <c r="BE1228" s="11"/>
      <c r="BF1228" s="11"/>
      <c r="BG1228" s="11"/>
      <c r="BH1228" s="11"/>
      <c r="BI1228" s="11"/>
      <c r="BJ1228" s="11"/>
      <c r="BK1228" s="11"/>
      <c r="BL1228" s="11"/>
      <c r="BM1228" s="11"/>
      <c r="BN1228" s="11"/>
      <c r="BO1228" s="11"/>
      <c r="BP1228" s="11"/>
      <c r="BQ1228" s="11"/>
      <c r="BR1228" s="11"/>
      <c r="BS1228" s="11"/>
      <c r="BT1228" s="11"/>
      <c r="BU1228" s="11"/>
      <c r="BV1228" s="11"/>
      <c r="BW1228" s="11"/>
      <c r="BX1228" s="11"/>
      <c r="BY1228" s="11"/>
      <c r="BZ1228" s="11"/>
      <c r="CA1228" s="11"/>
      <c r="CB1228" s="11"/>
      <c r="CC1228" s="11"/>
      <c r="CD1228" s="11"/>
      <c r="CE1228" s="11"/>
      <c r="CF1228" s="11"/>
      <c r="CG1228" s="11"/>
      <c r="CH1228" s="11"/>
      <c r="CI1228" s="11"/>
      <c r="CJ1228" s="11"/>
      <c r="CK1228" s="11"/>
      <c r="CL1228" s="11"/>
      <c r="CM1228" s="11"/>
      <c r="CN1228" s="11"/>
      <c r="CO1228" s="11"/>
      <c r="CP1228" s="11"/>
      <c r="CQ1228" s="11"/>
      <c r="CR1228" s="15"/>
      <c r="CS1228" s="15"/>
      <c r="CT1228" s="15"/>
      <c r="CU1228" s="15"/>
    </row>
    <row r="1229" spans="1:99" ht="12" customHeight="1" x14ac:dyDescent="0.2">
      <c r="A1229" s="65">
        <v>43509</v>
      </c>
      <c r="B1229" s="15" t="s">
        <v>269</v>
      </c>
      <c r="C1229" s="15" t="s">
        <v>84</v>
      </c>
      <c r="D1229" s="59">
        <v>1973</v>
      </c>
      <c r="E1229" s="75">
        <v>1</v>
      </c>
      <c r="F1229" s="59">
        <v>36</v>
      </c>
      <c r="G1229" s="59">
        <v>36</v>
      </c>
      <c r="H1229" s="59" t="s">
        <v>50</v>
      </c>
      <c r="I1229" s="59" t="s">
        <v>132</v>
      </c>
      <c r="J1229" s="59" t="s">
        <v>328</v>
      </c>
      <c r="K1229" s="60">
        <f>IF(J1229="syllables",1,IF(J1229="trigrams",2,IF(J1229="strings",3,IF(J1229="visual array",4,IF(J1229="characters",5,IF(J1229="letters",6,IF(J1229="free forms",7,IF(J1229="odors",8,IF(J1229="words",9,IF(J1229="pictures",10,IF(J1229="object pictures",11,IF(J1229="faces",12,IF(J1229="names",13,IF(J1229="idioms",14,IF(J1229="grades",15,IF(J1229="syllable-digit pairs",16,IF(J1229="trigram-word pairs",17,IF(J1229="word-digit pairs",18,IF(J1229="English-Swahili pairs",19,IF(J1229="spatial position",20,IF(J1229="word pairs",21,IF(J1229="word triads",22,IF(J1229="generated words",23,IF(J1229="word definition pairs",24,IF(J1229="math problems",25,IF(J1229="famous faces",26,IF(J1229="famous names",27,IF(J1229="famous voices",28,IF(J1229="television programs",29,IF(J1229="race horses",30,IF(J1229="new vocabulary",31,IF(J1229="sentences",32,IF(J1229="concepts",33,IF(J1229="ad slides",34,IF(J1229="scenes",35,IF(J1229="famous scenes",36,IF(J1229="poems",37,IF(J1229="walk",38,IF(J1229="faces and events",39,IF(J1229="events and names",40,IF(J1229="flashbulb",41,IF(J1229="stories",42,IF(J1229="course material",43,IF(J1229="autobiographical",44,IF(J1229="novels",45,IF(J1229="public events",46,"99"))))))))))))))))))))))))))))))))))))))))))))))</f>
        <v>12</v>
      </c>
      <c r="L1229" s="60">
        <f>IF(J1229="syllables",1,IF(J1229="trigrams",1,IF(J1229="strings",1,IF(J1229="visual array",1,IF(J1229="characters",1,IF(J1229="letters",1,IF(J1229="free forms",1,IF(J1229="odors",2,IF(J1229="words",2,IF(J1229="pictures",2,IF(J1229="object pictures",2,IF(J1229="faces",2,IF(J1229="names",2,IF(J1229="idioms","2",IF(J1229="grades",2,IF(J1229="syllable-digit pairs",3,IF(J1229="trigram-word pairs",3,IF(J1229="word-digit pairs",3,IF(J1229="English-Swahili pairs",3,IF(J1229="spatial position",3,IF(J1229="word pairs",4,IF(J1229="word triads",4,IF(J1229="generated words",4,IF(J1229="word definition pairs",4,IF(J1229="math problems",4,IF(J1229="famous faces",4,IF(J1229="famous names",4,IF(J1229="famous voices",4,IF(J1229="television programs",4,IF(J1229="race horses",4,IF(J1229="new vocabulary",4,IF(J1229="sentences",5,IF(J1229="concepts",5,IF(J1229="ad slides",5,IF(J1229="scenes",5,IF(J1229="famous scenes",5,IF(J1229="poems",6,IF(J1229="walk",6,IF(J1229="faces and events",6,IF(J1229="events and names",6,IF(J1229="flashbulb",7,IF(J1229="stories",7,IF(J1229="course material",7,IF(J1229="autobiographical",7,IF(J1229="novels",7,IF(J1229="public events",7,"99"))))))))))))))))))))))))))))))))))))))))))))))</f>
        <v>2</v>
      </c>
      <c r="M1229" s="59">
        <v>0</v>
      </c>
      <c r="N1229" s="59">
        <v>1</v>
      </c>
      <c r="O1229" s="59">
        <v>0</v>
      </c>
      <c r="P1229" s="59"/>
      <c r="Q1229" s="59" t="s">
        <v>182</v>
      </c>
      <c r="R1229" s="60">
        <f>IF(Q1229="Free Recall",1,IF(Q1229="Cued Recall",2,IF(Q1229="Recognition",3,IF(Q1229="Multiple Choice",4,IF(Q1229="Savings",5,IF(Q1229="Stem Completion",6,IF(Q1229="Fragment Completion",7,IF(Q1229="anagram solution",8,IF(Q1229="Matching",9,IF(Q1229="Problem Solving",10,"99"))))))))))</f>
        <v>4</v>
      </c>
      <c r="S1229" s="60" t="s">
        <v>15</v>
      </c>
      <c r="T1229" s="59" t="s">
        <v>581</v>
      </c>
      <c r="U1229" s="60">
        <f>IF(T1229="within",1,0)</f>
        <v>1</v>
      </c>
      <c r="V1229" s="59">
        <v>18</v>
      </c>
      <c r="W1229" s="60">
        <f>F1229*V1229</f>
        <v>648</v>
      </c>
      <c r="X1229" s="59">
        <v>3</v>
      </c>
      <c r="Y1229" s="76">
        <f>AV1228</f>
        <v>86400</v>
      </c>
      <c r="Z1229" s="59" t="s">
        <v>270</v>
      </c>
      <c r="AA1229" s="59">
        <f>35*24*3600</f>
        <v>3024000</v>
      </c>
      <c r="AB1229" s="60" t="str">
        <f>IF(AA1229&lt;60,"1",IF(AA1229&lt;=43200,"2",IF(AA1229&lt;=777600,"3","4")))</f>
        <v>4</v>
      </c>
      <c r="AC1229" s="56">
        <f>AVERAGE(AV1228:DA1228)</f>
        <v>1209600</v>
      </c>
      <c r="AD1229" s="60" t="str">
        <f>IF(AC1229&lt;60,"1",IF(AC1229&lt;=43200,"2",IF(AC1229&lt;=777600,"3","4")))</f>
        <v>4</v>
      </c>
      <c r="AE1229" s="76">
        <f>AA1229-Y1229</f>
        <v>2937600</v>
      </c>
      <c r="AF1229" s="80">
        <f>AV1229</f>
        <v>0.87</v>
      </c>
      <c r="AG1229" s="56">
        <f>((AW1229-AV1229)+(AX1229-AW1229))/2</f>
        <v>-1.5000000000000013E-2</v>
      </c>
      <c r="AH1229" s="4"/>
      <c r="AI1229" s="56">
        <f>RSQ(AV1229:AX1229,AV1228:AX1228)</f>
        <v>8.1414566352401435E-3</v>
      </c>
      <c r="AJ1229" s="109">
        <f>SLOPE(AV1229:AX1229,AV1228:AX1228)</f>
        <v>2.9192768436091754E-9</v>
      </c>
      <c r="AK1229" s="56">
        <f>INTERCEPT(AV1229:AX1229,AV1228:AX1228)</f>
        <v>0.82313550939663704</v>
      </c>
      <c r="AL1229" s="56">
        <f>INDEX(LINEST(LN(AV1229:AX1229),LN(AV1228:AX1228),TRUE,TRUE),3,1)</f>
        <v>8.0368866369222039E-2</v>
      </c>
      <c r="AM1229" s="56">
        <f>INDEX(LINEST(LN(AV1229:AX1229),LN(AV1228:AX1228)),1)</f>
        <v>-1.0025145191168542E-2</v>
      </c>
      <c r="AN1229" s="56">
        <f>EXP(INDEX(LINEST(LN(AV1229:AX1229),LN(AV1228:AX1228)),1,2))</f>
        <v>0.94191681545535444</v>
      </c>
      <c r="AO1229" s="82">
        <f>INDEX(LINEST((AV1229:AX1229),LN(AV1228:AX1228),TRUE,TRUE),3,1)</f>
        <v>8.8017927683504554E-2</v>
      </c>
      <c r="AP1229" s="82">
        <f>INDEX(LINEST((AV1229:AX1229),LN(AV1228:AX1228)),1)</f>
        <v>-8.5641016920552059E-3</v>
      </c>
      <c r="AQ1229" s="83">
        <f>INDEX(LINEST(LN(AV1229:AX1229),SQRT(AV1228:AX1228),TRUE,TRUE),3,1)</f>
        <v>2.523753933991073E-3</v>
      </c>
      <c r="AR1229" s="116">
        <f>INDEX(LINEST(LN(AV1229:AX1229),SQRT((AV1228:AX1228))),1)</f>
        <v>-4.2532907699055293E-6</v>
      </c>
      <c r="AS1229" s="84">
        <f>INDEX(LINEST(1/(AV1229:AX1229),1/(SQRT(AV1228:AX1228)),TRUE,TRUE),3,1)</f>
        <v>0.23799288806011099</v>
      </c>
      <c r="AT1229" s="84">
        <f>INDEX(LINEST(1/(AV1229:AX1229),1/SQRT(AV1228:AX1228)),1)</f>
        <v>-25.850926529800578</v>
      </c>
      <c r="AU1229" s="3"/>
      <c r="AV1229" s="11">
        <v>0.87</v>
      </c>
      <c r="AW1229" s="11">
        <v>0.77</v>
      </c>
      <c r="AX1229" s="11">
        <v>0.84</v>
      </c>
      <c r="AY1229" s="11"/>
      <c r="AZ1229" s="11"/>
      <c r="BA1229" s="11"/>
      <c r="BB1229" s="11"/>
      <c r="BC1229" s="11"/>
      <c r="BD1229" s="11"/>
      <c r="BE1229" s="11"/>
      <c r="BF1229" s="11"/>
      <c r="BG1229" s="11"/>
      <c r="BH1229" s="11"/>
      <c r="BI1229" s="11"/>
      <c r="BJ1229" s="11"/>
      <c r="BK1229" s="11"/>
      <c r="BL1229" s="11"/>
      <c r="BM1229" s="11"/>
      <c r="BN1229" s="11"/>
      <c r="BO1229" s="11"/>
      <c r="BP1229" s="11"/>
      <c r="BQ1229" s="11"/>
      <c r="BR1229" s="11"/>
      <c r="BS1229" s="11"/>
      <c r="BT1229" s="11"/>
      <c r="BU1229" s="11"/>
      <c r="BV1229" s="11"/>
      <c r="BW1229" s="11"/>
      <c r="BX1229" s="11"/>
      <c r="BY1229" s="11"/>
      <c r="BZ1229" s="11"/>
      <c r="CA1229" s="11"/>
      <c r="CB1229" s="11"/>
      <c r="CC1229" s="11"/>
      <c r="CD1229" s="11"/>
      <c r="CE1229" s="11"/>
      <c r="CF1229" s="11"/>
      <c r="CG1229" s="11"/>
      <c r="CH1229" s="11"/>
      <c r="CI1229" s="11"/>
      <c r="CJ1229" s="11"/>
      <c r="CK1229" s="11"/>
      <c r="CL1229" s="11"/>
      <c r="CM1229" s="11"/>
      <c r="CN1229" s="11"/>
      <c r="CO1229" s="11"/>
      <c r="CP1229" s="11"/>
      <c r="CQ1229" s="11"/>
      <c r="CR1229" s="15"/>
      <c r="CS1229" s="15"/>
      <c r="CT1229" s="15"/>
      <c r="CU1229" s="15"/>
    </row>
    <row r="1230" spans="1:99" ht="12" customHeight="1" x14ac:dyDescent="0.2">
      <c r="A1230" s="68">
        <v>43906</v>
      </c>
      <c r="B1230" s="94"/>
      <c r="C1230" s="94"/>
      <c r="D1230" s="92"/>
      <c r="E1230" s="105"/>
      <c r="F1230" s="92"/>
      <c r="G1230" s="92"/>
      <c r="H1230" s="92"/>
      <c r="I1230" s="92"/>
      <c r="J1230" s="92"/>
      <c r="K1230" s="107"/>
      <c r="L1230" s="107"/>
      <c r="M1230" s="92"/>
      <c r="N1230" s="92"/>
      <c r="O1230" s="92"/>
      <c r="P1230" s="92"/>
      <c r="Q1230" s="92"/>
      <c r="R1230" s="69"/>
      <c r="S1230" s="92"/>
      <c r="T1230" s="92"/>
      <c r="U1230" s="69"/>
      <c r="V1230" s="92"/>
      <c r="W1230" s="69"/>
      <c r="X1230" s="92"/>
      <c r="Y1230" s="87"/>
      <c r="Z1230" s="92"/>
      <c r="AA1230" s="92"/>
      <c r="AB1230" s="69"/>
      <c r="AC1230" s="69"/>
      <c r="AD1230" s="69"/>
      <c r="AE1230" s="69"/>
      <c r="AF1230" s="88"/>
      <c r="AG1230" s="72"/>
      <c r="AH1230" s="4"/>
      <c r="AI1230" s="108"/>
      <c r="AJ1230" s="113"/>
      <c r="AK1230" s="108"/>
      <c r="AL1230" s="108"/>
      <c r="AM1230" s="108"/>
      <c r="AN1230" s="108"/>
      <c r="AO1230" s="108"/>
      <c r="AP1230" s="108"/>
      <c r="AQ1230" s="89"/>
      <c r="AR1230" s="118"/>
      <c r="AS1230" s="89"/>
      <c r="AT1230" s="89"/>
      <c r="AU1230" s="4"/>
      <c r="AV1230" s="98">
        <f>60*60*24*7</f>
        <v>604800</v>
      </c>
      <c r="AW1230" s="98">
        <f>60*60*24*30</f>
        <v>2592000</v>
      </c>
      <c r="AX1230" s="98">
        <f>60*60*24*30*4</f>
        <v>10368000</v>
      </c>
      <c r="AY1230" s="98">
        <f>60*60*24*30*11</f>
        <v>28512000</v>
      </c>
      <c r="BA1230" s="11"/>
      <c r="BB1230" s="11"/>
      <c r="BC1230" s="11"/>
      <c r="BD1230" s="11"/>
      <c r="BE1230" s="11"/>
      <c r="BF1230" s="11"/>
      <c r="BG1230" s="11"/>
      <c r="BH1230" s="11"/>
      <c r="BI1230" s="11"/>
      <c r="BJ1230" s="11"/>
      <c r="BK1230" s="11"/>
      <c r="BL1230" s="11"/>
      <c r="BM1230" s="11"/>
      <c r="BN1230" s="11"/>
      <c r="BO1230" s="11"/>
      <c r="BP1230" s="11"/>
      <c r="BQ1230" s="11"/>
      <c r="BR1230" s="11"/>
      <c r="BS1230" s="11"/>
      <c r="BT1230" s="11"/>
      <c r="BU1230" s="11"/>
      <c r="BV1230" s="11"/>
      <c r="BW1230" s="11"/>
      <c r="BX1230" s="11"/>
      <c r="BY1230" s="11"/>
      <c r="BZ1230" s="11"/>
      <c r="CA1230" s="11"/>
      <c r="CB1230" s="11"/>
      <c r="CC1230" s="11"/>
      <c r="CD1230" s="11"/>
      <c r="CE1230" s="11"/>
      <c r="CF1230" s="11"/>
      <c r="CG1230" s="11"/>
      <c r="CH1230" s="11"/>
      <c r="CI1230" s="11"/>
      <c r="CJ1230" s="11"/>
      <c r="CK1230" s="11"/>
      <c r="CL1230" s="11"/>
      <c r="CM1230" s="11"/>
      <c r="CN1230" s="11"/>
      <c r="CO1230" s="11"/>
      <c r="CP1230" s="11"/>
      <c r="CQ1230" s="11"/>
      <c r="CR1230" s="15"/>
      <c r="CS1230" s="15"/>
      <c r="CT1230" s="15"/>
      <c r="CU1230" s="15"/>
    </row>
    <row r="1231" spans="1:99" ht="12" customHeight="1" x14ac:dyDescent="0.2">
      <c r="A1231" s="68">
        <v>43906</v>
      </c>
      <c r="B1231" s="94" t="s">
        <v>271</v>
      </c>
      <c r="C1231" s="94" t="s">
        <v>139</v>
      </c>
      <c r="D1231" s="92">
        <v>1982</v>
      </c>
      <c r="E1231" s="105">
        <v>1</v>
      </c>
      <c r="F1231" s="92">
        <v>80</v>
      </c>
      <c r="G1231" s="92">
        <v>20</v>
      </c>
      <c r="H1231" s="92" t="s">
        <v>502</v>
      </c>
      <c r="I1231" s="92"/>
      <c r="J1231" s="92" t="s">
        <v>328</v>
      </c>
      <c r="K1231" s="69">
        <f>IF(J1231="syllables",1,IF(J1231="trigrams",2,IF(J1231="strings",3,IF(J1231="visual array",4,IF(J1231="characters",5,IF(J1231="letters",6,IF(J1231="free forms",7,IF(J1231="odors",8,IF(J1231="words",9,IF(J1231="pictures",10,IF(J1231="object pictures",11,IF(J1231="faces",12,IF(J1231="names",13,IF(J1231="idioms",14,IF(J1231="grades",15,IF(J1231="syllable-digit pairs",16,IF(J1231="trigram-word pairs",17,IF(J1231="word-digit pairs",18,IF(J1231="English-Swahili pairs",19,IF(J1231="spatial position",20,IF(J1231="word pairs",21,IF(J1231="word triads",22,IF(J1231="generated words",23,IF(J1231="word definition pairs",24,IF(J1231="math problems",25,IF(J1231="famous faces",26,IF(J1231="famous names",27,IF(J1231="famous voices",28,IF(J1231="television programs",29,IF(J1231="race horses",30,IF(J1231="new vocabulary",31,IF(J1231="sentences",32,IF(J1231="concepts",33,IF(J1231="ad slides",34,IF(J1231="scenes",35,IF(J1231="famous scenes",36,IF(J1231="poems",37,IF(J1231="walk",38,IF(J1231="faces and events",39,IF(J1231="events and names",40,IF(J1231="flashbulb",41,IF(J1231="stories",42,IF(J1231="course material",43,IF(J1231="autobiographical",44,IF(J1231="novels",45,IF(J1231="public events",46,"99"))))))))))))))))))))))))))))))))))))))))))))))</f>
        <v>12</v>
      </c>
      <c r="L1231" s="69">
        <f>IF(J1231="syllables",1,IF(J1231="trigrams",1,IF(J1231="strings",1,IF(J1231="visual array",1,IF(J1231="characters",1,IF(J1231="letters",1,IF(J1231="free forms",1,IF(J1231="odors",2,IF(J1231="words",2,IF(J1231="pictures",2,IF(J1231="object pictures",2,IF(J1231="faces",2,IF(J1231="names",2,IF(J1231="idioms","2",IF(J1231="grades",2,IF(J1231="syllable-digit pairs",3,IF(J1231="trigram-word pairs",3,IF(J1231="word-digit pairs",3,IF(J1231="English-Swahili pairs",3,IF(J1231="spatial position",3,IF(J1231="word pairs",4,IF(J1231="word triads",4,IF(J1231="generated words",4,IF(J1231="word definition pairs",4,IF(J1231="math problems",4,IF(J1231="famous faces",4,IF(J1231="famous names",4,IF(J1231="famous voices",4,IF(J1231="television programs",4,IF(J1231="race horses",4,IF(J1231="new vocabulary",4,IF(J1231="sentences",5,IF(J1231="concepts",5,IF(J1231="ad slides",5,IF(J1231="scenes",5,IF(J1231="famous scenes",5,IF(J1231="poems",6,IF(J1231="walk",6,IF(J1231="faces and events",6,IF(J1231="events and names",6,IF(J1231="flashbulb",7,IF(J1231="stories",7,IF(J1231="course material",7,IF(J1231="autobiographical",7,IF(J1231="novels",7,IF(J1231="public events",7,"99"))))))))))))))))))))))))))))))))))))))))))))))</f>
        <v>2</v>
      </c>
      <c r="M1231" s="92">
        <v>0</v>
      </c>
      <c r="N1231" s="92">
        <v>1</v>
      </c>
      <c r="O1231" s="92">
        <v>0</v>
      </c>
      <c r="P1231" s="92"/>
      <c r="Q1231" s="92" t="s">
        <v>182</v>
      </c>
      <c r="R1231" s="69">
        <f>IF(Q1231="Free Recall",1,IF(Q1231="Cued Recall",2,IF(Q1231="Recognition",3,IF(Q1231="Multiple Choice",4,IF(Q1231="Savings",5,IF(Q1231="Stem Completion",6,IF(Q1231="Fragment Completion",7,IF(Q1231="anagram solution",8,IF(Q1231="Matching",9,IF(Q1231="Problem Solving",10,"99"))))))))))</f>
        <v>4</v>
      </c>
      <c r="S1231" s="69" t="s">
        <v>15</v>
      </c>
      <c r="T1231" s="92" t="s">
        <v>261</v>
      </c>
      <c r="U1231" s="69">
        <f>IF(T1231="within",1,0)</f>
        <v>0</v>
      </c>
      <c r="V1231" s="92">
        <v>1</v>
      </c>
      <c r="W1231" s="69">
        <f>F1231*V1231</f>
        <v>80</v>
      </c>
      <c r="X1231" s="92">
        <v>4</v>
      </c>
      <c r="Y1231" s="87">
        <f>AV1230</f>
        <v>604800</v>
      </c>
      <c r="Z1231" s="92" t="s">
        <v>501</v>
      </c>
      <c r="AA1231" s="92">
        <f>11*30*24*3600</f>
        <v>28512000</v>
      </c>
      <c r="AB1231" s="69" t="str">
        <f>IF(AA1231&lt;60,"1",IF(AA1231&lt;=43200,"2",IF(AA1231&lt;=777600,"3","4")))</f>
        <v>4</v>
      </c>
      <c r="AC1231" s="72">
        <f>AVERAGE(AV1230:DA1230)</f>
        <v>10519200</v>
      </c>
      <c r="AD1231" s="69" t="str">
        <f>IF(AC1231&lt;60,"1",IF(AC1231&lt;=43200,"2",IF(AC1231&lt;=777600,"3","4")))</f>
        <v>4</v>
      </c>
      <c r="AE1231" s="87">
        <f>AA1231-Y1231</f>
        <v>27907200</v>
      </c>
      <c r="AF1231" s="88">
        <f>AV1231</f>
        <v>0.64150331479029898</v>
      </c>
      <c r="AG1231" s="72">
        <f>((AW1231-AV1231)+(AX1231-AW1231)+(AY1231-AX1231))/3</f>
        <v>-0.17681723748489034</v>
      </c>
      <c r="AH1231" s="4"/>
      <c r="AI1231" s="72">
        <f>RSQ(AV1231:AY1231,AV1230:AY1230)</f>
        <v>0.98201256694299155</v>
      </c>
      <c r="AJ1231" s="110">
        <f>SLOPE(AV1231:AY1231,AV1230:AY1230)</f>
        <v>-1.8415229696953148E-8</v>
      </c>
      <c r="AK1231" s="72">
        <f>INTERCEPT(AV1231:AY1231,AV1230:AY1230)</f>
        <v>0.64815992891926033</v>
      </c>
      <c r="AL1231" s="72">
        <f>INDEX(LINEST(LN(AV1231:AY1231),LN(AV1230:AY1230),TRUE,TRUE),3,1)</f>
        <v>0.64479708109420131</v>
      </c>
      <c r="AM1231" s="72">
        <f>INDEX(LINEST(LN(AV1231:AY1231),LN(AV1230:AY1230)),1)</f>
        <v>-0.39305204447771663</v>
      </c>
      <c r="AN1231" s="72">
        <f>EXP(INDEX(LINEST(LN(AV1231:AY1231),LN(AV1230:AY1230)),1,2))</f>
        <v>157.11631953673279</v>
      </c>
      <c r="AO1231" s="89">
        <f>INDEX(LINEST((AV1231:AY1231),LN(AV1230:AY1230),TRUE,TRUE),3,1)</f>
        <v>0.75780633769582795</v>
      </c>
      <c r="AP1231" s="89">
        <f>INDEX(LINEST((AV1231:AY1231),LN(AV1230:AY1230)),1)</f>
        <v>-0.12266379495160135</v>
      </c>
      <c r="AQ1231" s="90">
        <f>INDEX(LINEST(LN(AV1231:AY1231),SQRT(AV1230:AY1230),TRUE,TRUE),3,1)</f>
        <v>0.84447375833918614</v>
      </c>
      <c r="AR1231" s="117">
        <f>INDEX(LINEST(LN(AV1231:AY1231),SQRT((AV1230:AY1230))),1)</f>
        <v>-3.752804445221067E-4</v>
      </c>
      <c r="AS1231" s="91">
        <f>INDEX(LINEST(1/(AV1231:AY1231),1/(SQRT(AV1230:AY1230)),TRUE,TRUE),3,1)</f>
        <v>0.3613137424114648</v>
      </c>
      <c r="AT1231" s="91">
        <f>INDEX(LINEST(1/(AV1231:AY1231),1/SQRT(AV1230:AY1230)),1)</f>
        <v>-4424.9819161781024</v>
      </c>
      <c r="AU1231" s="3"/>
      <c r="AV1231" s="97">
        <v>0.64150331479029898</v>
      </c>
      <c r="AW1231" s="97">
        <v>0.56667725282330994</v>
      </c>
      <c r="AX1231" s="97">
        <v>0.49855360881504601</v>
      </c>
      <c r="AY1231" s="97">
        <v>0.11105160233562801</v>
      </c>
      <c r="AZ1231" s="11"/>
      <c r="BA1231" s="11"/>
      <c r="BB1231" s="11"/>
      <c r="BC1231" s="11"/>
      <c r="BD1231" s="11"/>
      <c r="BE1231" s="11"/>
      <c r="BF1231" s="11"/>
      <c r="BG1231" s="11"/>
      <c r="BH1231" s="11"/>
      <c r="BI1231" s="11"/>
      <c r="BJ1231" s="11"/>
      <c r="BK1231" s="11"/>
      <c r="BL1231" s="11"/>
      <c r="BM1231" s="11"/>
      <c r="BN1231" s="11"/>
      <c r="BO1231" s="11"/>
      <c r="BP1231" s="11"/>
      <c r="BQ1231" s="11"/>
      <c r="BR1231" s="11"/>
      <c r="BS1231" s="11"/>
      <c r="BT1231" s="11"/>
      <c r="BU1231" s="11"/>
      <c r="BV1231" s="11"/>
      <c r="BW1231" s="11"/>
      <c r="BX1231" s="11"/>
      <c r="BY1231" s="11"/>
      <c r="BZ1231" s="11"/>
      <c r="CA1231" s="11"/>
      <c r="CB1231" s="11"/>
      <c r="CC1231" s="11"/>
      <c r="CD1231" s="11"/>
      <c r="CE1231" s="11"/>
      <c r="CF1231" s="11"/>
      <c r="CG1231" s="11"/>
      <c r="CH1231" s="11"/>
      <c r="CI1231" s="11"/>
      <c r="CJ1231" s="11"/>
      <c r="CK1231" s="11"/>
      <c r="CL1231" s="11"/>
      <c r="CM1231" s="11"/>
      <c r="CN1231" s="11"/>
      <c r="CO1231" s="11"/>
      <c r="CP1231" s="11"/>
      <c r="CQ1231" s="11"/>
      <c r="CR1231" s="15"/>
      <c r="CS1231" s="15"/>
      <c r="CT1231" s="15"/>
      <c r="CU1231" s="15"/>
    </row>
    <row r="1232" spans="1:99" ht="12" customHeight="1" x14ac:dyDescent="0.2">
      <c r="A1232" s="65">
        <v>43979</v>
      </c>
      <c r="B1232" s="15"/>
      <c r="C1232" s="15"/>
      <c r="D1232" s="59"/>
      <c r="E1232" s="75"/>
      <c r="F1232" s="59"/>
      <c r="G1232" s="59"/>
      <c r="H1232" s="59"/>
      <c r="I1232" s="59"/>
      <c r="J1232" s="59"/>
      <c r="K1232" s="60"/>
      <c r="L1232" s="60"/>
      <c r="M1232" s="59"/>
      <c r="N1232" s="59"/>
      <c r="O1232" s="59"/>
      <c r="P1232" s="59"/>
      <c r="Q1232" s="59"/>
      <c r="R1232" s="60"/>
      <c r="S1232" s="60"/>
      <c r="T1232" s="59"/>
      <c r="U1232" s="60"/>
      <c r="V1232" s="59"/>
      <c r="W1232" s="60"/>
      <c r="X1232" s="59"/>
      <c r="Y1232" s="76"/>
      <c r="Z1232" s="59"/>
      <c r="AA1232" s="59"/>
      <c r="AB1232" s="60"/>
      <c r="AC1232" s="56"/>
      <c r="AD1232" s="60"/>
      <c r="AE1232" s="76"/>
      <c r="AF1232" s="80"/>
      <c r="AG1232" s="56"/>
      <c r="AH1232" s="4"/>
      <c r="AI1232" s="56"/>
      <c r="AJ1232" s="109"/>
      <c r="AK1232" s="56"/>
      <c r="AL1232" s="56"/>
      <c r="AM1232" s="56"/>
      <c r="AN1232" s="56"/>
      <c r="AO1232" s="82"/>
      <c r="AP1232" s="82"/>
      <c r="AQ1232" s="83"/>
      <c r="AR1232" s="116"/>
      <c r="AS1232" s="84"/>
      <c r="AT1232" s="84"/>
      <c r="AU1232" s="3"/>
      <c r="AV1232" s="47">
        <v>60</v>
      </c>
      <c r="AW1232" s="47">
        <f>60*60*24</f>
        <v>86400</v>
      </c>
      <c r="AX1232" s="47">
        <f>60*60*24*7</f>
        <v>604800</v>
      </c>
      <c r="AY1232" s="47">
        <f>60*60*24*25</f>
        <v>2160000</v>
      </c>
      <c r="AZ1232" s="11"/>
      <c r="BA1232" s="53" t="s">
        <v>1006</v>
      </c>
      <c r="BB1232" s="11"/>
      <c r="BC1232" s="11"/>
      <c r="BD1232" s="11"/>
      <c r="BE1232" s="11"/>
      <c r="BF1232" s="11"/>
      <c r="BG1232" s="11"/>
      <c r="BH1232" s="11"/>
      <c r="BI1232" s="11"/>
      <c r="BJ1232" s="11"/>
      <c r="BK1232" s="11"/>
      <c r="BL1232" s="11"/>
      <c r="BM1232" s="11"/>
      <c r="BN1232" s="11"/>
      <c r="BO1232" s="11"/>
      <c r="BP1232" s="11"/>
      <c r="BQ1232" s="11"/>
      <c r="BR1232" s="11"/>
      <c r="BS1232" s="11"/>
      <c r="BT1232" s="11"/>
      <c r="BU1232" s="11"/>
      <c r="BV1232" s="11"/>
      <c r="BW1232" s="11"/>
      <c r="BX1232" s="11"/>
      <c r="BY1232" s="11"/>
      <c r="BZ1232" s="11"/>
      <c r="CA1232" s="11"/>
      <c r="CB1232" s="11"/>
      <c r="CC1232" s="11"/>
      <c r="CD1232" s="11"/>
      <c r="CE1232" s="11"/>
      <c r="CF1232" s="11"/>
      <c r="CG1232" s="11"/>
      <c r="CH1232" s="11"/>
      <c r="CI1232" s="11"/>
      <c r="CJ1232" s="11"/>
      <c r="CK1232" s="11"/>
      <c r="CL1232" s="11"/>
      <c r="CM1232" s="11"/>
      <c r="CN1232" s="11"/>
      <c r="CO1232" s="11"/>
      <c r="CP1232" s="11"/>
      <c r="CQ1232" s="11"/>
      <c r="CR1232" s="15"/>
      <c r="CS1232" s="15"/>
      <c r="CT1232" s="15"/>
      <c r="CU1232" s="15"/>
    </row>
    <row r="1233" spans="1:99" ht="12" customHeight="1" x14ac:dyDescent="0.2">
      <c r="A1233" s="65">
        <v>43979</v>
      </c>
      <c r="B1233" s="15" t="s">
        <v>1002</v>
      </c>
      <c r="C1233" s="15" t="s">
        <v>75</v>
      </c>
      <c r="D1233" s="59">
        <v>2020</v>
      </c>
      <c r="E1233" s="75">
        <v>2</v>
      </c>
      <c r="F1233" s="59">
        <v>70</v>
      </c>
      <c r="G1233" s="59">
        <v>70</v>
      </c>
      <c r="H1233" s="59" t="s">
        <v>1003</v>
      </c>
      <c r="I1233" s="59" t="s">
        <v>1004</v>
      </c>
      <c r="J1233" s="59" t="s">
        <v>313</v>
      </c>
      <c r="K1233" s="60">
        <f>IF(J1233="syllables",1,IF(J1233="trigrams",2,IF(J1233="strings",3,IF(J1233="visual array",4,IF(J1233="characters",5,IF(J1233="letters",6,IF(J1233="free forms",7,IF(J1233="odors",8,IF(J1233="words",9,IF(J1233="pictures",10,IF(J1233="object pictures",11,IF(J1233="faces",12,IF(J1233="names",13,IF(J1233="idioms",14,IF(J1233="grades",15,IF(J1233="syllable-digit pairs",16,IF(J1233="trigram-word pairs",17,IF(J1233="word-digit pairs",18,IF(J1233="English-Swahili pairs",19,IF(J1233="spatial position",20,IF(J1233="word pairs",21,IF(J1233="word triads",22,IF(J1233="generated words",23,IF(J1233="word definition pairs",24,IF(J1233="math problems",25,IF(J1233="famous faces",26,IF(J1233="famous names",27,IF(J1233="famous voices",28,IF(J1233="television programs",29,IF(J1233="race horses",30,IF(J1233="new vocabulary",31,IF(J1233="sentences",32,IF(J1233="concepts",33,IF(J1233="ad slides",34,IF(J1233="scenes",35,IF(J1233="famous scenes",36,IF(J1233="poems",37,IF(J1233="walk",38,IF(J1233="faces and events",39,IF(J1233="events and names",40,IF(J1233="flashbulb",41,IF(J1233="stories",42,IF(J1233="course material",43,IF(J1233="autobiographical",44,IF(J1233="novels",45,IF(J1233="public events",46,"99"))))))))))))))))))))))))))))))))))))))))))))))</f>
        <v>10</v>
      </c>
      <c r="L1233" s="60">
        <f>IF(J1233="syllables",1,IF(J1233="trigrams",1,IF(J1233="strings",1,IF(J1233="visual array",1,IF(J1233="characters",1,IF(J1233="letters",1,IF(J1233="free forms",1,IF(J1233="odors",2,IF(J1233="words",2,IF(J1233="pictures",2,IF(J1233="object pictures",2,IF(J1233="faces",2,IF(J1233="names",2,IF(J1233="idioms","2",IF(J1233="grades",2,IF(J1233="syllable-digit pairs",3,IF(J1233="trigram-word pairs",3,IF(J1233="word-digit pairs",3,IF(J1233="English-Swahili pairs",3,IF(J1233="spatial position",3,IF(J1233="word pairs",4,IF(J1233="word triads",4,IF(J1233="generated words",4,IF(J1233="word definition pairs",4,IF(J1233="math problems",4,IF(J1233="famous faces",4,IF(J1233="famous names",4,IF(J1233="famous voices",4,IF(J1233="television programs",4,IF(J1233="race horses",4,IF(J1233="new vocabulary",4,IF(J1233="sentences",5,IF(J1233="concepts",5,IF(J1233="ad slides",5,IF(J1233="scenes",5,IF(J1233="famous scenes",5,IF(J1233="poems",6,IF(J1233="walk",6,IF(J1233="faces and events",6,IF(J1233="events and names",6,IF(J1233="flashbulb",7,IF(J1233="stories",7,IF(J1233="course material",7,IF(J1233="autobiographical",7,IF(J1233="novels",7,IF(J1233="public events",7,"99"))))))))))))))))))))))))))))))))))))))))))))))</f>
        <v>2</v>
      </c>
      <c r="M1233" s="59">
        <v>1</v>
      </c>
      <c r="N1233" s="59">
        <v>2</v>
      </c>
      <c r="O1233" s="59">
        <v>0</v>
      </c>
      <c r="P1233" s="59"/>
      <c r="Q1233" s="59" t="s">
        <v>34</v>
      </c>
      <c r="R1233" s="60">
        <f>IF(Q1233="Free Recall",1,IF(Q1233="Cued Recall",2,IF(Q1233="Recognition",3,IF(Q1233="Multiple Choice",4,IF(Q1233="Savings",5,IF(Q1233="Stem Completion",6,IF(Q1233="Fragment Completion",7,IF(Q1233="anagram solution",8,IF(Q1233="Matching",9,IF(Q1233="Problem Solving",10,"99"))))))))))</f>
        <v>3</v>
      </c>
      <c r="S1233" s="60" t="s">
        <v>15</v>
      </c>
      <c r="T1233" s="59" t="s">
        <v>581</v>
      </c>
      <c r="U1233" s="60">
        <f>IF(T1233="within",1,0)</f>
        <v>1</v>
      </c>
      <c r="V1233" s="59">
        <v>200</v>
      </c>
      <c r="W1233" s="60">
        <f>F1233*V1233</f>
        <v>14000</v>
      </c>
      <c r="X1233" s="59">
        <v>4</v>
      </c>
      <c r="Y1233" s="76">
        <f>AV1232</f>
        <v>60</v>
      </c>
      <c r="Z1233" s="59" t="s">
        <v>1005</v>
      </c>
      <c r="AA1233" s="76">
        <f>60*60*24*25</f>
        <v>2160000</v>
      </c>
      <c r="AB1233" s="60" t="str">
        <f>IF(AA1233&lt;60,"1",IF(AA1233&lt;=43200,"2",IF(AA1233&lt;=777600,"3","4")))</f>
        <v>4</v>
      </c>
      <c r="AC1233" s="56">
        <f>AVERAGE(AV1232:DA1232)</f>
        <v>712815</v>
      </c>
      <c r="AD1233" s="60" t="str">
        <f>IF(AC1233&lt;60,"1",IF(AC1233&lt;=43200,"2",IF(AC1233&lt;=777600,"3","4")))</f>
        <v>3</v>
      </c>
      <c r="AE1233" s="76">
        <f>AA1233-Y1233</f>
        <v>2159940</v>
      </c>
      <c r="AF1233" s="80">
        <f>AV1233</f>
        <v>0.54716428571428577</v>
      </c>
      <c r="AG1233" s="56">
        <f>((AW1233-AV1233)+(AX1233-AW1233)+(AY1233-AX1233))/3</f>
        <v>-6.9904761904762873E-3</v>
      </c>
      <c r="AH1233" s="4"/>
      <c r="AI1233" s="56">
        <f>RSQ(AV1233:AY1233,AV1232:AY1232)</f>
        <v>0.36722923887526132</v>
      </c>
      <c r="AJ1233" s="109">
        <f>SLOPE(AV1233:AY1233,AV1232:AY1232)</f>
        <v>-8.9873329958672518E-9</v>
      </c>
      <c r="AK1233" s="56">
        <f>INTERCEPT(AV1233:AY1233,AV1232:AY1232)</f>
        <v>0.54092952005516326</v>
      </c>
      <c r="AL1233" s="56">
        <f>INDEX(LINEST(LN(AV1233:AY1233),LN(AV1232:AY1232),TRUE,TRUE),3,1)</f>
        <v>0.52234080434266905</v>
      </c>
      <c r="AM1233" s="56">
        <f>INDEX(LINEST(LN(AV1233:AY1233),LN(AV1232:AY1232)),1)</f>
        <v>-4.2912645385226955E-3</v>
      </c>
      <c r="AN1233" s="56">
        <f>EXP(INDEX(LINEST(LN(AV1233:AY1233),LN(AV1232:AY1232)),1,2))</f>
        <v>0.55981236321008387</v>
      </c>
      <c r="AO1233" s="82">
        <f>INDEX(LINEST((AV1233:AY1233),LN(AV1232:AY1232),TRUE,TRUE),3,1)</f>
        <v>0.52463792994709835</v>
      </c>
      <c r="AP1233" s="82">
        <f>INDEX(LINEST((AV1233:AY1233),LN(AV1232:AY1232)),1)</f>
        <v>-2.2939942453357046E-3</v>
      </c>
      <c r="AQ1233" s="83">
        <f>INDEX(LINEST(LN(AV1233:AY1233),SQRT(AV1232:AY1232),TRUE,TRUE),3,1)</f>
        <v>0.56419873152245981</v>
      </c>
      <c r="AR1233" s="116">
        <f>INDEX(LINEST(LN(AV1233:AY1233),SQRT((AV1232:AY1232))),1)</f>
        <v>-3.269326832283687E-5</v>
      </c>
      <c r="AS1233" s="84">
        <f>INDEX(LINEST(1/(AV1233:AY1233),1/(SQRT(AV1232:AY1232)),TRUE,TRUE),3,1)</f>
        <v>0.33528177790051733</v>
      </c>
      <c r="AT1233" s="84">
        <f>INDEX(LINEST(1/(AV1233:AY1233),1/SQRT(AV1232:AY1232)),1)</f>
        <v>-0.47471192548658164</v>
      </c>
      <c r="AU1233" s="3"/>
      <c r="AV1233" s="11">
        <v>0.54716428571428577</v>
      </c>
      <c r="AW1233" s="11">
        <v>0.54690714285714281</v>
      </c>
      <c r="AX1233" s="11">
        <v>0.5178285714285713</v>
      </c>
      <c r="AY1233" s="11">
        <v>0.52619285714285691</v>
      </c>
      <c r="AZ1233" s="11"/>
      <c r="BA1233" s="11"/>
      <c r="BB1233" s="11"/>
      <c r="BC1233" s="11"/>
      <c r="BD1233" s="11"/>
      <c r="BE1233" s="11"/>
      <c r="BF1233" s="11"/>
      <c r="BG1233" s="11"/>
      <c r="BH1233" s="11"/>
      <c r="BI1233" s="11"/>
      <c r="BJ1233" s="11"/>
      <c r="BK1233" s="11"/>
      <c r="BL1233" s="11"/>
      <c r="BM1233" s="11"/>
      <c r="BN1233" s="11"/>
      <c r="BO1233" s="11"/>
      <c r="BP1233" s="11"/>
      <c r="BQ1233" s="11"/>
      <c r="BR1233" s="11"/>
      <c r="BS1233" s="11"/>
      <c r="BT1233" s="11"/>
      <c r="BU1233" s="11"/>
      <c r="BV1233" s="11"/>
      <c r="BW1233" s="11"/>
      <c r="BX1233" s="11"/>
      <c r="BY1233" s="11"/>
      <c r="BZ1233" s="11"/>
      <c r="CA1233" s="11"/>
      <c r="CB1233" s="11"/>
      <c r="CC1233" s="11"/>
      <c r="CD1233" s="11"/>
      <c r="CE1233" s="11"/>
      <c r="CF1233" s="11"/>
      <c r="CG1233" s="11"/>
      <c r="CH1233" s="11"/>
      <c r="CI1233" s="11"/>
      <c r="CJ1233" s="11"/>
      <c r="CK1233" s="11"/>
      <c r="CL1233" s="11"/>
      <c r="CM1233" s="11"/>
      <c r="CN1233" s="11"/>
      <c r="CO1233" s="11"/>
      <c r="CP1233" s="11"/>
      <c r="CQ1233" s="11"/>
      <c r="CR1233" s="15"/>
      <c r="CS1233" s="15"/>
      <c r="CT1233" s="15"/>
      <c r="CU1233" s="15"/>
    </row>
    <row r="1234" spans="1:99" ht="12" customHeight="1" x14ac:dyDescent="0.2">
      <c r="A1234" s="65">
        <v>43979</v>
      </c>
      <c r="B1234" s="15"/>
      <c r="C1234" s="15"/>
      <c r="D1234" s="59"/>
      <c r="E1234" s="75"/>
      <c r="F1234" s="59"/>
      <c r="G1234" s="59"/>
      <c r="H1234" s="59"/>
      <c r="I1234" s="59"/>
      <c r="J1234" s="59"/>
      <c r="K1234" s="60"/>
      <c r="L1234" s="60"/>
      <c r="M1234" s="59"/>
      <c r="N1234" s="59"/>
      <c r="O1234" s="59"/>
      <c r="P1234" s="59"/>
      <c r="Q1234" s="59"/>
      <c r="R1234" s="60"/>
      <c r="S1234" s="60"/>
      <c r="T1234" s="59"/>
      <c r="U1234" s="60"/>
      <c r="V1234" s="59"/>
      <c r="W1234" s="60"/>
      <c r="X1234" s="59"/>
      <c r="Y1234" s="76"/>
      <c r="Z1234" s="59"/>
      <c r="AA1234" s="59"/>
      <c r="AB1234" s="60"/>
      <c r="AC1234" s="56"/>
      <c r="AD1234" s="60"/>
      <c r="AE1234" s="76"/>
      <c r="AF1234" s="80"/>
      <c r="AG1234" s="56"/>
      <c r="AH1234" s="4"/>
      <c r="AI1234" s="56"/>
      <c r="AJ1234" s="109"/>
      <c r="AK1234" s="56"/>
      <c r="AL1234" s="56"/>
      <c r="AM1234" s="56"/>
      <c r="AN1234" s="56"/>
      <c r="AO1234" s="82"/>
      <c r="AP1234" s="82"/>
      <c r="AQ1234" s="83"/>
      <c r="AR1234" s="116"/>
      <c r="AS1234" s="84"/>
      <c r="AT1234" s="84"/>
      <c r="AU1234" s="3"/>
      <c r="AV1234" s="47">
        <v>60</v>
      </c>
      <c r="AW1234" s="47">
        <f>60*60*24</f>
        <v>86400</v>
      </c>
      <c r="AX1234" s="47">
        <f>60*60*24*7</f>
        <v>604800</v>
      </c>
      <c r="AY1234" s="47">
        <f>60*60*24*25</f>
        <v>2160000</v>
      </c>
      <c r="AZ1234" s="11"/>
      <c r="BA1234" s="11"/>
      <c r="BB1234" s="11"/>
      <c r="BC1234" s="11"/>
      <c r="BD1234" s="11"/>
      <c r="BE1234" s="11"/>
      <c r="BF1234" s="11"/>
      <c r="BG1234" s="11"/>
      <c r="BH1234" s="11"/>
      <c r="BI1234" s="11"/>
      <c r="BJ1234" s="11"/>
      <c r="BK1234" s="11"/>
      <c r="BL1234" s="11"/>
      <c r="BM1234" s="11"/>
      <c r="BN1234" s="11"/>
      <c r="BO1234" s="11"/>
      <c r="BP1234" s="11"/>
      <c r="BQ1234" s="11"/>
      <c r="BR1234" s="11"/>
      <c r="BS1234" s="11"/>
      <c r="BT1234" s="11"/>
      <c r="BU1234" s="11"/>
      <c r="BV1234" s="11"/>
      <c r="BW1234" s="11"/>
      <c r="BX1234" s="11"/>
      <c r="BY1234" s="11"/>
      <c r="BZ1234" s="11"/>
      <c r="CA1234" s="11"/>
      <c r="CB1234" s="11"/>
      <c r="CC1234" s="11"/>
      <c r="CD1234" s="11"/>
      <c r="CE1234" s="11"/>
      <c r="CF1234" s="11"/>
      <c r="CG1234" s="11"/>
      <c r="CH1234" s="11"/>
      <c r="CI1234" s="11"/>
      <c r="CJ1234" s="11"/>
      <c r="CK1234" s="11"/>
      <c r="CL1234" s="11"/>
      <c r="CM1234" s="11"/>
      <c r="CN1234" s="11"/>
      <c r="CO1234" s="11"/>
      <c r="CP1234" s="11"/>
      <c r="CQ1234" s="11"/>
      <c r="CR1234" s="15"/>
      <c r="CS1234" s="15"/>
      <c r="CT1234" s="15"/>
      <c r="CU1234" s="15"/>
    </row>
    <row r="1235" spans="1:99" ht="12" customHeight="1" x14ac:dyDescent="0.2">
      <c r="A1235" s="65">
        <v>43979</v>
      </c>
      <c r="B1235" s="15" t="s">
        <v>1002</v>
      </c>
      <c r="C1235" s="15" t="s">
        <v>75</v>
      </c>
      <c r="D1235" s="59">
        <v>2020</v>
      </c>
      <c r="E1235" s="75">
        <v>2</v>
      </c>
      <c r="F1235" s="59">
        <v>70</v>
      </c>
      <c r="G1235" s="59">
        <v>70</v>
      </c>
      <c r="H1235" s="59" t="s">
        <v>1003</v>
      </c>
      <c r="I1235" s="59" t="s">
        <v>785</v>
      </c>
      <c r="J1235" s="59" t="s">
        <v>313</v>
      </c>
      <c r="K1235" s="60">
        <f>IF(J1235="syllables",1,IF(J1235="trigrams",2,IF(J1235="strings",3,IF(J1235="visual array",4,IF(J1235="characters",5,IF(J1235="letters",6,IF(J1235="free forms",7,IF(J1235="odors",8,IF(J1235="words",9,IF(J1235="pictures",10,IF(J1235="object pictures",11,IF(J1235="faces",12,IF(J1235="names",13,IF(J1235="idioms",14,IF(J1235="grades",15,IF(J1235="syllable-digit pairs",16,IF(J1235="trigram-word pairs",17,IF(J1235="word-digit pairs",18,IF(J1235="English-Swahili pairs",19,IF(J1235="spatial position",20,IF(J1235="word pairs",21,IF(J1235="word triads",22,IF(J1235="generated words",23,IF(J1235="word definition pairs",24,IF(J1235="math problems",25,IF(J1235="famous faces",26,IF(J1235="famous names",27,IF(J1235="famous voices",28,IF(J1235="television programs",29,IF(J1235="race horses",30,IF(J1235="new vocabulary",31,IF(J1235="sentences",32,IF(J1235="concepts",33,IF(J1235="ad slides",34,IF(J1235="scenes",35,IF(J1235="famous scenes",36,IF(J1235="poems",37,IF(J1235="walk",38,IF(J1235="faces and events",39,IF(J1235="events and names",40,IF(J1235="flashbulb",41,IF(J1235="stories",42,IF(J1235="course material",43,IF(J1235="autobiographical",44,IF(J1235="novels",45,IF(J1235="public events",46,"99"))))))))))))))))))))))))))))))))))))))))))))))</f>
        <v>10</v>
      </c>
      <c r="L1235" s="60">
        <f>IF(J1235="syllables",1,IF(J1235="trigrams",1,IF(J1235="strings",1,IF(J1235="visual array",1,IF(J1235="characters",1,IF(J1235="letters",1,IF(J1235="free forms",1,IF(J1235="odors",2,IF(J1235="words",2,IF(J1235="pictures",2,IF(J1235="object pictures",2,IF(J1235="faces",2,IF(J1235="names",2,IF(J1235="idioms","2",IF(J1235="grades",2,IF(J1235="syllable-digit pairs",3,IF(J1235="trigram-word pairs",3,IF(J1235="word-digit pairs",3,IF(J1235="English-Swahili pairs",3,IF(J1235="spatial position",3,IF(J1235="word pairs",4,IF(J1235="word triads",4,IF(J1235="generated words",4,IF(J1235="word definition pairs",4,IF(J1235="math problems",4,IF(J1235="famous faces",4,IF(J1235="famous names",4,IF(J1235="famous voices",4,IF(J1235="television programs",4,IF(J1235="race horses",4,IF(J1235="new vocabulary",4,IF(J1235="sentences",5,IF(J1235="concepts",5,IF(J1235="ad slides",5,IF(J1235="scenes",5,IF(J1235="famous scenes",5,IF(J1235="poems",6,IF(J1235="walk",6,IF(J1235="faces and events",6,IF(J1235="events and names",6,IF(J1235="flashbulb",7,IF(J1235="stories",7,IF(J1235="course material",7,IF(J1235="autobiographical",7,IF(J1235="novels",7,IF(J1235="public events",7,"99"))))))))))))))))))))))))))))))))))))))))))))))</f>
        <v>2</v>
      </c>
      <c r="M1235" s="59">
        <v>1</v>
      </c>
      <c r="N1235" s="59">
        <v>2</v>
      </c>
      <c r="O1235" s="59">
        <v>0</v>
      </c>
      <c r="P1235" s="59"/>
      <c r="Q1235" s="59" t="s">
        <v>34</v>
      </c>
      <c r="R1235" s="60">
        <f>IF(Q1235="Free Recall",1,IF(Q1235="Cued Recall",2,IF(Q1235="Recognition",3,IF(Q1235="Multiple Choice",4,IF(Q1235="Savings",5,IF(Q1235="Stem Completion",6,IF(Q1235="Fragment Completion",7,IF(Q1235="anagram solution",8,IF(Q1235="Matching",9,IF(Q1235="Problem Solving",10,"99"))))))))))</f>
        <v>3</v>
      </c>
      <c r="S1235" s="60" t="s">
        <v>15</v>
      </c>
      <c r="T1235" s="59" t="s">
        <v>581</v>
      </c>
      <c r="U1235" s="60">
        <f>IF(T1235="within",1,0)</f>
        <v>1</v>
      </c>
      <c r="V1235" s="59">
        <v>200</v>
      </c>
      <c r="W1235" s="60">
        <f>F1235*V1235</f>
        <v>14000</v>
      </c>
      <c r="X1235" s="59">
        <v>4</v>
      </c>
      <c r="Y1235" s="76">
        <f>AV1234</f>
        <v>60</v>
      </c>
      <c r="Z1235" s="59" t="s">
        <v>1005</v>
      </c>
      <c r="AA1235" s="76">
        <f>60*60*24*25</f>
        <v>2160000</v>
      </c>
      <c r="AB1235" s="60" t="str">
        <f>IF(AA1235&lt;60,"1",IF(AA1235&lt;=43200,"2",IF(AA1235&lt;=777600,"3","4")))</f>
        <v>4</v>
      </c>
      <c r="AC1235" s="56">
        <f>AVERAGE(AV1234:DA1234)</f>
        <v>712815</v>
      </c>
      <c r="AD1235" s="60" t="str">
        <f>IF(AC1235&lt;60,"1",IF(AC1235&lt;=43200,"2",IF(AC1235&lt;=777600,"3","4")))</f>
        <v>3</v>
      </c>
      <c r="AE1235" s="76">
        <f>AA1235-Y1235</f>
        <v>2159940</v>
      </c>
      <c r="AF1235" s="80">
        <f>AV1235</f>
        <v>0.59951428571428556</v>
      </c>
      <c r="AG1235" s="56">
        <f>((AW1235-AV1235)+(AX1235-AW1235)+(AY1235-AX1235))/3</f>
        <v>-1.7290476190476117E-2</v>
      </c>
      <c r="AH1235" s="4"/>
      <c r="AI1235" s="56">
        <f>RSQ(AV1235:AY1235,AV1234:AY1234)</f>
        <v>0.5195402584684119</v>
      </c>
      <c r="AJ1235" s="109">
        <f>SLOPE(AV1235:AY1235,AV1234:AY1234)</f>
        <v>-1.6296716849221445E-8</v>
      </c>
      <c r="AK1235" s="56">
        <f>INTERCEPT(AV1235:AY1235,AV1234:AY1234)</f>
        <v>0.5789379727923063</v>
      </c>
      <c r="AL1235" s="56">
        <f>INDEX(LINEST(LN(AV1235:AY1235),LN(AV1234:AY1234),TRUE,TRUE),3,1)</f>
        <v>0.99550078615717341</v>
      </c>
      <c r="AM1235" s="56">
        <f>INDEX(LINEST(LN(AV1235:AY1235),LN(AV1234:AY1234)),1)</f>
        <v>-8.3790614830482613E-3</v>
      </c>
      <c r="AN1235" s="56">
        <f>EXP(INDEX(LINEST(LN(AV1235:AY1235),LN(AV1234:AY1234)),1,2))</f>
        <v>0.62089833208042555</v>
      </c>
      <c r="AO1235" s="82">
        <f>INDEX(LINEST((AV1235:AY1235),LN(AV1234:AY1234),TRUE,TRUE),3,1)</f>
        <v>0.99664742197350897</v>
      </c>
      <c r="AP1235" s="82">
        <f>INDEX(LINEST((AV1235:AY1235),LN(AV1234:AY1234)),1)</f>
        <v>-4.8201612256909511E-3</v>
      </c>
      <c r="AQ1235" s="83">
        <f>INDEX(LINEST(LN(AV1235:AY1235),SQRT(AV1234:AY1234),TRUE,TRUE),3,1)</f>
        <v>0.75167129820423773</v>
      </c>
      <c r="AR1235" s="116">
        <f>INDEX(LINEST(LN(AV1235:AY1235),SQRT((AV1234:AY1234))),1)</f>
        <v>-5.337311281014088E-5</v>
      </c>
      <c r="AS1235" s="84">
        <f>INDEX(LINEST(1/(AV1235:AY1235),1/(SQRT(AV1234:AY1234)),TRUE,TRUE),3,1)</f>
        <v>0.89581657147119165</v>
      </c>
      <c r="AT1235" s="84">
        <f>INDEX(LINEST(1/(AV1235:AY1235),1/SQRT(AV1234:AY1234)),1)</f>
        <v>-1.0187176836328846</v>
      </c>
      <c r="AU1235" s="3"/>
      <c r="AV1235" s="11">
        <v>0.59951428571428556</v>
      </c>
      <c r="AW1235" s="11">
        <v>0.56524285714285694</v>
      </c>
      <c r="AX1235" s="11">
        <v>0.55688571428571443</v>
      </c>
      <c r="AY1235" s="11">
        <v>0.54764285714285721</v>
      </c>
      <c r="AZ1235" s="11"/>
      <c r="BA1235" s="11"/>
      <c r="BB1235" s="11"/>
      <c r="BC1235" s="11"/>
      <c r="BD1235" s="11"/>
      <c r="BE1235" s="11"/>
      <c r="BF1235" s="11"/>
      <c r="BG1235" s="11"/>
      <c r="BH1235" s="11"/>
      <c r="BI1235" s="11"/>
      <c r="BJ1235" s="11"/>
      <c r="BK1235" s="11"/>
      <c r="BL1235" s="11"/>
      <c r="BM1235" s="11"/>
      <c r="BN1235" s="11"/>
      <c r="BO1235" s="11"/>
      <c r="BP1235" s="11"/>
      <c r="BQ1235" s="11"/>
      <c r="BR1235" s="11"/>
      <c r="BS1235" s="11"/>
      <c r="BT1235" s="11"/>
      <c r="BU1235" s="11"/>
      <c r="BV1235" s="11"/>
      <c r="BW1235" s="11"/>
      <c r="BX1235" s="11"/>
      <c r="BY1235" s="11"/>
      <c r="BZ1235" s="11"/>
      <c r="CA1235" s="11"/>
      <c r="CB1235" s="11"/>
      <c r="CC1235" s="11"/>
      <c r="CD1235" s="11"/>
      <c r="CE1235" s="11"/>
      <c r="CF1235" s="11"/>
      <c r="CG1235" s="11"/>
      <c r="CH1235" s="11"/>
      <c r="CI1235" s="11"/>
      <c r="CJ1235" s="11"/>
      <c r="CK1235" s="11"/>
      <c r="CL1235" s="11"/>
      <c r="CM1235" s="11"/>
      <c r="CN1235" s="11"/>
      <c r="CO1235" s="11"/>
      <c r="CP1235" s="11"/>
      <c r="CQ1235" s="11"/>
      <c r="CR1235" s="15"/>
      <c r="CS1235" s="15"/>
      <c r="CT1235" s="15"/>
      <c r="CU1235" s="15"/>
    </row>
    <row r="1236" spans="1:99" s="13" customFormat="1" ht="12" customHeight="1" x14ac:dyDescent="0.2">
      <c r="A1236" s="68">
        <v>43509</v>
      </c>
      <c r="B1236" s="70"/>
      <c r="C1236" s="70"/>
      <c r="D1236" s="69"/>
      <c r="E1236" s="87"/>
      <c r="F1236" s="69"/>
      <c r="G1236" s="69"/>
      <c r="H1236" s="69"/>
      <c r="I1236" s="69"/>
      <c r="J1236" s="69"/>
      <c r="K1236" s="107"/>
      <c r="L1236" s="107"/>
      <c r="M1236" s="69"/>
      <c r="N1236" s="69"/>
      <c r="O1236" s="69"/>
      <c r="P1236" s="69"/>
      <c r="Q1236" s="69"/>
      <c r="R1236" s="69"/>
      <c r="S1236" s="69"/>
      <c r="T1236" s="69"/>
      <c r="U1236" s="69"/>
      <c r="V1236" s="69"/>
      <c r="W1236" s="69"/>
      <c r="X1236" s="69"/>
      <c r="Y1236" s="87"/>
      <c r="Z1236" s="69"/>
      <c r="AA1236" s="69"/>
      <c r="AB1236" s="69"/>
      <c r="AC1236" s="69"/>
      <c r="AD1236" s="69"/>
      <c r="AE1236" s="69"/>
      <c r="AF1236" s="88"/>
      <c r="AG1236" s="72"/>
      <c r="AH1236" s="4"/>
      <c r="AI1236" s="72"/>
      <c r="AJ1236" s="110"/>
      <c r="AK1236" s="72"/>
      <c r="AL1236" s="72"/>
      <c r="AM1236" s="72"/>
      <c r="AN1236" s="72"/>
      <c r="AO1236" s="72"/>
      <c r="AP1236" s="72"/>
      <c r="AQ1236" s="89"/>
      <c r="AR1236" s="118"/>
      <c r="AS1236" s="89"/>
      <c r="AT1236" s="89"/>
      <c r="AU1236" s="4"/>
      <c r="AV1236" s="71">
        <v>58</v>
      </c>
      <c r="AW1236" s="71">
        <f>24*3600*1</f>
        <v>86400</v>
      </c>
      <c r="AX1236" s="71">
        <f>24*3600*5</f>
        <v>432000</v>
      </c>
      <c r="AY1236" s="42" t="s">
        <v>531</v>
      </c>
      <c r="AZ1236" s="46"/>
      <c r="BA1236" s="42"/>
      <c r="BB1236" s="42"/>
      <c r="BC1236" s="2"/>
      <c r="BD1236" s="2"/>
      <c r="BE1236" s="2"/>
      <c r="BF1236" s="2"/>
      <c r="BG1236" s="2"/>
      <c r="BH1236" s="2"/>
      <c r="BI1236" s="2"/>
      <c r="BJ1236" s="2"/>
      <c r="BK1236" s="2"/>
      <c r="BL1236" s="2"/>
      <c r="BM1236" s="2"/>
      <c r="BN1236" s="2"/>
      <c r="BO1236" s="2"/>
      <c r="BP1236" s="2"/>
      <c r="BQ1236" s="2"/>
      <c r="BR1236" s="2"/>
      <c r="BS1236" s="2"/>
      <c r="BT1236" s="2"/>
      <c r="BU1236" s="2"/>
      <c r="BV1236" s="2"/>
      <c r="BW1236" s="2"/>
      <c r="BX1236" s="2"/>
      <c r="BY1236" s="2"/>
      <c r="BZ1236" s="2"/>
      <c r="CA1236" s="2"/>
      <c r="CB1236" s="2"/>
      <c r="CC1236" s="2"/>
      <c r="CD1236" s="2"/>
      <c r="CE1236" s="2"/>
      <c r="CF1236" s="2"/>
      <c r="CG1236" s="2"/>
      <c r="CH1236" s="2"/>
      <c r="CI1236" s="2"/>
      <c r="CJ1236" s="2"/>
      <c r="CK1236" s="2"/>
      <c r="CL1236" s="2"/>
      <c r="CM1236" s="2"/>
      <c r="CN1236" s="2"/>
      <c r="CO1236" s="2"/>
      <c r="CP1236" s="2"/>
      <c r="CQ1236" s="2"/>
      <c r="CR1236" s="1"/>
      <c r="CS1236" s="1"/>
      <c r="CT1236" s="1"/>
      <c r="CU1236" s="1"/>
    </row>
    <row r="1237" spans="1:99" s="13" customFormat="1" ht="12" customHeight="1" x14ac:dyDescent="0.2">
      <c r="A1237" s="68">
        <v>43509</v>
      </c>
      <c r="B1237" s="70" t="s">
        <v>128</v>
      </c>
      <c r="C1237" s="70" t="s">
        <v>45</v>
      </c>
      <c r="D1237" s="69">
        <v>1983</v>
      </c>
      <c r="E1237" s="87">
        <v>1</v>
      </c>
      <c r="F1237" s="69">
        <v>120</v>
      </c>
      <c r="G1237" s="69">
        <v>20</v>
      </c>
      <c r="H1237" s="69" t="s">
        <v>41</v>
      </c>
      <c r="I1237" s="69" t="s">
        <v>130</v>
      </c>
      <c r="J1237" s="69" t="s">
        <v>16</v>
      </c>
      <c r="K1237" s="69">
        <f>IF(J1237="syllables",1,IF(J1237="trigrams",2,IF(J1237="strings",3,IF(J1237="visual array",4,IF(J1237="characters",5,IF(J1237="letters",6,IF(J1237="free forms",7,IF(J1237="odors",8,IF(J1237="words",9,IF(J1237="pictures",10,IF(J1237="object pictures",11,IF(J1237="faces",12,IF(J1237="names",13,IF(J1237="idioms",14,IF(J1237="grades",15,IF(J1237="syllable-digit pairs",16,IF(J1237="trigram-word pairs",17,IF(J1237="word-digit pairs",18,IF(J1237="English-Swahili pairs",19,IF(J1237="spatial position",20,IF(J1237="word pairs",21,IF(J1237="word triads",22,IF(J1237="generated words",23,IF(J1237="word definition pairs",24,IF(J1237="math problems",25,IF(J1237="famous faces",26,IF(J1237="famous names",27,IF(J1237="famous voices",28,IF(J1237="television programs",29,IF(J1237="race horses",30,IF(J1237="new vocabulary",31,IF(J1237="sentences",32,IF(J1237="concepts",33,IF(J1237="ad slides",34,IF(J1237="scenes",35,IF(J1237="famous scenes",36,IF(J1237="poems",37,IF(J1237="walk",38,IF(J1237="faces and events",39,IF(J1237="events and names",40,IF(J1237="flashbulb",41,IF(J1237="stories",42,IF(J1237="course material",43,IF(J1237="autobiographical",44,IF(J1237="novels",45,IF(J1237="public events",46,"99"))))))))))))))))))))))))))))))))))))))))))))))</f>
        <v>9</v>
      </c>
      <c r="L1237" s="69">
        <f>IF(J1237="syllables",1,IF(J1237="trigrams",1,IF(J1237="strings",1,IF(J1237="visual array",1,IF(J1237="characters",1,IF(J1237="letters",1,IF(J1237="free forms",1,IF(J1237="odors",2,IF(J1237="words",2,IF(J1237="pictures",2,IF(J1237="object pictures",2,IF(J1237="faces",2,IF(J1237="names",2,IF(J1237="idioms","2",IF(J1237="grades",2,IF(J1237="syllable-digit pairs",3,IF(J1237="trigram-word pairs",3,IF(J1237="word-digit pairs",3,IF(J1237="English-Swahili pairs",3,IF(J1237="spatial position",3,IF(J1237="word pairs",4,IF(J1237="word triads",4,IF(J1237="generated words",4,IF(J1237="word definition pairs",4,IF(J1237="math problems",4,IF(J1237="famous faces",4,IF(J1237="famous names",4,IF(J1237="famous voices",4,IF(J1237="television programs",4,IF(J1237="race horses",4,IF(J1237="new vocabulary",4,IF(J1237="sentences",5,IF(J1237="concepts",5,IF(J1237="ad slides",5,IF(J1237="scenes",5,IF(J1237="famous scenes",5,IF(J1237="poems",6,IF(J1237="walk",6,IF(J1237="faces and events",6,IF(J1237="events and names",6,IF(J1237="flashbulb",7,IF(J1237="stories",7,IF(J1237="course material",7,IF(J1237="autobiographical",7,IF(J1237="novels",7,IF(J1237="public events",7,"99"))))))))))))))))))))))))))))))))))))))))))))))</f>
        <v>2</v>
      </c>
      <c r="M1237" s="69">
        <v>1</v>
      </c>
      <c r="N1237" s="69">
        <v>2</v>
      </c>
      <c r="O1237" s="69">
        <v>1</v>
      </c>
      <c r="P1237" s="69" t="s">
        <v>129</v>
      </c>
      <c r="Q1237" s="69" t="s">
        <v>174</v>
      </c>
      <c r="R1237" s="69">
        <f>IF(Q1237="Free Recall",1,IF(Q1237="Cued Recall",2,IF(Q1237="Recognition",3,IF(Q1237="Multiple Choice",4,IF(Q1237="Savings",5,IF(Q1237="Stem Completion",6,IF(Q1237="Fragment Completion",7,IF(Q1237="anagram solution",8,IF(Q1237="Matching",9,IF(Q1237="Problem Solving",10,"99"))))))))))</f>
        <v>1</v>
      </c>
      <c r="S1237" s="69"/>
      <c r="T1237" s="69" t="s">
        <v>261</v>
      </c>
      <c r="U1237" s="69">
        <f>IF(T1237="within",1,0)</f>
        <v>0</v>
      </c>
      <c r="V1237" s="69">
        <v>56</v>
      </c>
      <c r="W1237" s="69">
        <f>F1237*V1237</f>
        <v>6720</v>
      </c>
      <c r="X1237" s="69">
        <v>3</v>
      </c>
      <c r="Y1237" s="87">
        <f>AV1236</f>
        <v>58</v>
      </c>
      <c r="Z1237" s="69" t="s">
        <v>131</v>
      </c>
      <c r="AA1237" s="69">
        <v>432000</v>
      </c>
      <c r="AB1237" s="69" t="str">
        <f>IF(AA1237&lt;60,"1",IF(AA1237&lt;=43200,"2",IF(AA1237&lt;=777600,"3","4")))</f>
        <v>3</v>
      </c>
      <c r="AC1237" s="72">
        <f>AVERAGE(AV1236:DA1236)</f>
        <v>172819.33333333334</v>
      </c>
      <c r="AD1237" s="69" t="str">
        <f>IF(AC1237&lt;60,"1",IF(AC1237&lt;=43200,"2",IF(AC1237&lt;=777600,"3","4")))</f>
        <v>3</v>
      </c>
      <c r="AE1237" s="87">
        <f>AA1237-Y1237</f>
        <v>431942</v>
      </c>
      <c r="AF1237" s="88">
        <f>AV1237</f>
        <v>0.66100000000000003</v>
      </c>
      <c r="AG1237" s="72">
        <f>((AW1237-AV1237)+(AX1237-AW1237))/2</f>
        <v>-0.12700000000000003</v>
      </c>
      <c r="AH1237" s="4"/>
      <c r="AI1237" s="72">
        <f>RSQ(AV1237:AX1237,AV1236:AX1236)</f>
        <v>0.87832551945684667</v>
      </c>
      <c r="AJ1237" s="110">
        <f>SLOPE(AV1237:AX1237,AV1236:AX1236)</f>
        <v>-5.2086181627371429E-7</v>
      </c>
      <c r="AK1237" s="72">
        <f>INTERCEPT(AV1237:AX1237,AV1236:AX1236)</f>
        <v>0.62234832518054573</v>
      </c>
      <c r="AL1237" s="72">
        <f>INDEX(LINEST(LN(AV1237:AX1237),LN(AV1236:AX1236),TRUE,TRUE),3,1)</f>
        <v>0.8481350763939125</v>
      </c>
      <c r="AM1237" s="72">
        <f>INDEX(LINEST(LN(AV1237:AX1237),LN(AV1236:AX1236)),1)</f>
        <v>-4.7047267276957058E-2</v>
      </c>
      <c r="AN1237" s="72">
        <f>EXP(INDEX(LINEST(LN(AV1237:AX1237),LN(AV1236:AX1236)),1,2))</f>
        <v>0.81507930563133635</v>
      </c>
      <c r="AO1237" s="89">
        <f>INDEX(LINEST((AV1237:AX1237),LN(AV1236:AX1236),TRUE,TRUE),3,1)</f>
        <v>0.89457118884911579</v>
      </c>
      <c r="AP1237" s="89">
        <f>INDEX(LINEST((AV1237:AX1237),LN(AV1236:AX1236)),1)</f>
        <v>-2.528652290433523E-2</v>
      </c>
      <c r="AQ1237" s="90">
        <f>INDEX(LINEST(LN(AV1237:AX1237),SQRT(AV1236:AX1236),TRUE,TRUE),3,1)</f>
        <v>0.99954025314640382</v>
      </c>
      <c r="AR1237" s="117">
        <f>INDEX(LINEST(LN(AV1237:AX1237),SQRT((AV1236:AX1236))),1)</f>
        <v>-7.4536901638812931E-4</v>
      </c>
      <c r="AS1237" s="91">
        <f>INDEX(LINEST(1/(AV1237:AX1237),1/(SQRT(AV1236:AX1236)),TRUE,TRUE),3,1)</f>
        <v>0.65660759201420271</v>
      </c>
      <c r="AT1237" s="91">
        <f>INDEX(LINEST(1/(AV1237:AX1237),1/SQRT(AV1236:AX1236)),1)</f>
        <v>-5.1761394547475126</v>
      </c>
      <c r="AU1237" s="3"/>
      <c r="AV1237" s="73">
        <v>0.66100000000000003</v>
      </c>
      <c r="AW1237" s="73">
        <v>0.52900000000000003</v>
      </c>
      <c r="AX1237" s="73">
        <v>0.40699999999999997</v>
      </c>
      <c r="AY1237" s="42"/>
      <c r="AZ1237" s="46"/>
      <c r="BA1237" s="42"/>
      <c r="BB1237" s="42"/>
      <c r="BC1237" s="2"/>
      <c r="BD1237" s="2"/>
      <c r="BE1237" s="2"/>
      <c r="BF1237" s="2"/>
      <c r="BG1237" s="2"/>
      <c r="BH1237" s="2"/>
      <c r="BI1237" s="2"/>
      <c r="BJ1237" s="2"/>
      <c r="BK1237" s="2"/>
      <c r="BL1237" s="2"/>
      <c r="BM1237" s="2"/>
      <c r="BN1237" s="2"/>
      <c r="BO1237" s="2"/>
      <c r="BP1237" s="2"/>
      <c r="BQ1237" s="2"/>
      <c r="BR1237" s="2"/>
      <c r="BS1237" s="2"/>
      <c r="BT1237" s="2"/>
      <c r="BU1237" s="2"/>
      <c r="BV1237" s="2"/>
      <c r="BW1237" s="2"/>
      <c r="BX1237" s="2"/>
      <c r="BY1237" s="2"/>
      <c r="BZ1237" s="2"/>
      <c r="CA1237" s="2"/>
      <c r="CB1237" s="2"/>
      <c r="CC1237" s="2"/>
      <c r="CD1237" s="2"/>
      <c r="CE1237" s="2"/>
      <c r="CF1237" s="2"/>
      <c r="CG1237" s="2"/>
      <c r="CH1237" s="2"/>
      <c r="CI1237" s="2"/>
      <c r="CJ1237" s="2"/>
      <c r="CK1237" s="2"/>
      <c r="CL1237" s="2"/>
      <c r="CM1237" s="2"/>
      <c r="CN1237" s="2"/>
      <c r="CO1237" s="2"/>
      <c r="CP1237" s="2"/>
      <c r="CQ1237" s="2"/>
      <c r="CR1237" s="1"/>
      <c r="CS1237" s="1"/>
      <c r="CT1237" s="1"/>
      <c r="CU1237" s="1"/>
    </row>
    <row r="1238" spans="1:99" s="13" customFormat="1" ht="12" customHeight="1" x14ac:dyDescent="0.2">
      <c r="A1238" s="68">
        <v>43509</v>
      </c>
      <c r="B1238" s="70"/>
      <c r="C1238" s="70"/>
      <c r="D1238" s="69"/>
      <c r="E1238" s="87"/>
      <c r="F1238" s="69"/>
      <c r="G1238" s="69"/>
      <c r="H1238" s="69"/>
      <c r="I1238" s="69"/>
      <c r="J1238" s="69"/>
      <c r="K1238" s="107"/>
      <c r="L1238" s="107"/>
      <c r="M1238" s="69"/>
      <c r="N1238" s="69"/>
      <c r="O1238" s="69"/>
      <c r="P1238" s="69"/>
      <c r="Q1238" s="69"/>
      <c r="R1238" s="69"/>
      <c r="S1238" s="69"/>
      <c r="T1238" s="69"/>
      <c r="U1238" s="69"/>
      <c r="V1238" s="69"/>
      <c r="W1238" s="69"/>
      <c r="X1238" s="69"/>
      <c r="Y1238" s="87"/>
      <c r="Z1238" s="69"/>
      <c r="AA1238" s="69"/>
      <c r="AB1238" s="69"/>
      <c r="AC1238" s="69"/>
      <c r="AD1238" s="69"/>
      <c r="AE1238" s="69"/>
      <c r="AF1238" s="88"/>
      <c r="AG1238" s="72"/>
      <c r="AH1238" s="4"/>
      <c r="AI1238" s="72"/>
      <c r="AJ1238" s="110"/>
      <c r="AK1238" s="72"/>
      <c r="AL1238" s="72"/>
      <c r="AM1238" s="72"/>
      <c r="AN1238" s="72"/>
      <c r="AO1238" s="72"/>
      <c r="AP1238" s="72"/>
      <c r="AQ1238" s="89"/>
      <c r="AR1238" s="118"/>
      <c r="AS1238" s="89"/>
      <c r="AT1238" s="89"/>
      <c r="AU1238" s="4"/>
      <c r="AV1238" s="71">
        <v>58</v>
      </c>
      <c r="AW1238" s="71">
        <f>24*3600*1</f>
        <v>86400</v>
      </c>
      <c r="AX1238" s="71">
        <f>24*3600*5</f>
        <v>432000</v>
      </c>
      <c r="AY1238" s="42"/>
      <c r="AZ1238" s="46"/>
      <c r="BA1238" s="42"/>
      <c r="BB1238" s="42"/>
      <c r="BC1238" s="2"/>
      <c r="BD1238" s="2"/>
      <c r="BE1238" s="2"/>
      <c r="BF1238" s="2"/>
      <c r="BG1238" s="2"/>
      <c r="BH1238" s="2"/>
      <c r="BI1238" s="2"/>
      <c r="BJ1238" s="2"/>
      <c r="BK1238" s="2"/>
      <c r="BL1238" s="2"/>
      <c r="BM1238" s="2"/>
      <c r="BN1238" s="2"/>
      <c r="BO1238" s="2"/>
      <c r="BP1238" s="2"/>
      <c r="BQ1238" s="2"/>
      <c r="BR1238" s="2"/>
      <c r="BS1238" s="2"/>
      <c r="BT1238" s="2"/>
      <c r="BU1238" s="2"/>
      <c r="BV1238" s="2"/>
      <c r="BW1238" s="2"/>
      <c r="BX1238" s="2"/>
      <c r="BY1238" s="2"/>
      <c r="BZ1238" s="2"/>
      <c r="CA1238" s="2"/>
      <c r="CB1238" s="2"/>
      <c r="CC1238" s="2"/>
      <c r="CD1238" s="2"/>
      <c r="CE1238" s="2"/>
      <c r="CF1238" s="2"/>
      <c r="CG1238" s="2"/>
      <c r="CH1238" s="2"/>
      <c r="CI1238" s="2"/>
      <c r="CJ1238" s="2"/>
      <c r="CK1238" s="2"/>
      <c r="CL1238" s="2"/>
      <c r="CM1238" s="2"/>
      <c r="CN1238" s="2"/>
      <c r="CO1238" s="2"/>
      <c r="CP1238" s="2"/>
      <c r="CQ1238" s="2"/>
      <c r="CR1238" s="1"/>
      <c r="CS1238" s="1"/>
      <c r="CT1238" s="1"/>
      <c r="CU1238" s="1"/>
    </row>
    <row r="1239" spans="1:99" s="13" customFormat="1" ht="12" customHeight="1" x14ac:dyDescent="0.2">
      <c r="A1239" s="68">
        <v>43509</v>
      </c>
      <c r="B1239" s="70" t="s">
        <v>128</v>
      </c>
      <c r="C1239" s="70" t="s">
        <v>45</v>
      </c>
      <c r="D1239" s="69">
        <v>1983</v>
      </c>
      <c r="E1239" s="87">
        <v>1</v>
      </c>
      <c r="F1239" s="69">
        <v>120</v>
      </c>
      <c r="G1239" s="69">
        <v>20</v>
      </c>
      <c r="H1239" s="69" t="s">
        <v>41</v>
      </c>
      <c r="I1239" s="69" t="s">
        <v>132</v>
      </c>
      <c r="J1239" s="69" t="s">
        <v>16</v>
      </c>
      <c r="K1239" s="69">
        <f>IF(J1239="syllables",1,IF(J1239="trigrams",2,IF(J1239="strings",3,IF(J1239="visual array",4,IF(J1239="characters",5,IF(J1239="letters",6,IF(J1239="free forms",7,IF(J1239="odors",8,IF(J1239="words",9,IF(J1239="pictures",10,IF(J1239="object pictures",11,IF(J1239="faces",12,IF(J1239="names",13,IF(J1239="idioms",14,IF(J1239="grades",15,IF(J1239="syllable-digit pairs",16,IF(J1239="trigram-word pairs",17,IF(J1239="word-digit pairs",18,IF(J1239="English-Swahili pairs",19,IF(J1239="spatial position",20,IF(J1239="word pairs",21,IF(J1239="word triads",22,IF(J1239="generated words",23,IF(J1239="word definition pairs",24,IF(J1239="math problems",25,IF(J1239="famous faces",26,IF(J1239="famous names",27,IF(J1239="famous voices",28,IF(J1239="television programs",29,IF(J1239="race horses",30,IF(J1239="new vocabulary",31,IF(J1239="sentences",32,IF(J1239="concepts",33,IF(J1239="ad slides",34,IF(J1239="scenes",35,IF(J1239="famous scenes",36,IF(J1239="poems",37,IF(J1239="walk",38,IF(J1239="faces and events",39,IF(J1239="events and names",40,IF(J1239="flashbulb",41,IF(J1239="stories",42,IF(J1239="course material",43,IF(J1239="autobiographical",44,IF(J1239="novels",45,IF(J1239="public events",46,"99"))))))))))))))))))))))))))))))))))))))))))))))</f>
        <v>9</v>
      </c>
      <c r="L1239" s="69">
        <f>IF(J1239="syllables",1,IF(J1239="trigrams",1,IF(J1239="strings",1,IF(J1239="visual array",1,IF(J1239="characters",1,IF(J1239="letters",1,IF(J1239="free forms",1,IF(J1239="odors",2,IF(J1239="words",2,IF(J1239="pictures",2,IF(J1239="object pictures",2,IF(J1239="faces",2,IF(J1239="names",2,IF(J1239="idioms","2",IF(J1239="grades",2,IF(J1239="syllable-digit pairs",3,IF(J1239="trigram-word pairs",3,IF(J1239="word-digit pairs",3,IF(J1239="English-Swahili pairs",3,IF(J1239="spatial position",3,IF(J1239="word pairs",4,IF(J1239="word triads",4,IF(J1239="generated words",4,IF(J1239="word definition pairs",4,IF(J1239="math problems",4,IF(J1239="famous faces",4,IF(J1239="famous names",4,IF(J1239="famous voices",4,IF(J1239="television programs",4,IF(J1239="race horses",4,IF(J1239="new vocabulary",4,IF(J1239="sentences",5,IF(J1239="concepts",5,IF(J1239="ad slides",5,IF(J1239="scenes",5,IF(J1239="famous scenes",5,IF(J1239="poems",6,IF(J1239="walk",6,IF(J1239="faces and events",6,IF(J1239="events and names",6,IF(J1239="flashbulb",7,IF(J1239="stories",7,IF(J1239="course material",7,IF(J1239="autobiographical",7,IF(J1239="novels",7,IF(J1239="public events",7,"99"))))))))))))))))))))))))))))))))))))))))))))))</f>
        <v>2</v>
      </c>
      <c r="M1239" s="69">
        <v>0</v>
      </c>
      <c r="N1239" s="69">
        <v>1</v>
      </c>
      <c r="O1239" s="69">
        <v>1</v>
      </c>
      <c r="P1239" s="69" t="s">
        <v>129</v>
      </c>
      <c r="Q1239" s="69" t="s">
        <v>174</v>
      </c>
      <c r="R1239" s="69">
        <f>IF(Q1239="Free Recall",1,IF(Q1239="Cued Recall",2,IF(Q1239="Recognition",3,IF(Q1239="Multiple Choice",4,IF(Q1239="Savings",5,IF(Q1239="Stem Completion",6,IF(Q1239="Fragment Completion",7,IF(Q1239="anagram solution",8,IF(Q1239="Matching",9,IF(Q1239="Problem Solving",10,"99"))))))))))</f>
        <v>1</v>
      </c>
      <c r="S1239" s="69"/>
      <c r="T1239" s="69" t="s">
        <v>261</v>
      </c>
      <c r="U1239" s="69">
        <f>IF(T1239="within",1,0)</f>
        <v>0</v>
      </c>
      <c r="V1239" s="69">
        <v>56</v>
      </c>
      <c r="W1239" s="69">
        <f>F1239*V1239</f>
        <v>6720</v>
      </c>
      <c r="X1239" s="69">
        <v>3</v>
      </c>
      <c r="Y1239" s="87">
        <f>AV1238</f>
        <v>58</v>
      </c>
      <c r="Z1239" s="69" t="s">
        <v>131</v>
      </c>
      <c r="AA1239" s="69">
        <v>432000</v>
      </c>
      <c r="AB1239" s="69" t="str">
        <f>IF(AA1239&lt;60,"1",IF(AA1239&lt;=43200,"2",IF(AA1239&lt;=777600,"3","4")))</f>
        <v>3</v>
      </c>
      <c r="AC1239" s="72">
        <f>AVERAGE(AV1238:DA1238)</f>
        <v>172819.33333333334</v>
      </c>
      <c r="AD1239" s="69" t="str">
        <f>IF(AC1239&lt;60,"1",IF(AC1239&lt;=43200,"2",IF(AC1239&lt;=777600,"3","4")))</f>
        <v>3</v>
      </c>
      <c r="AE1239" s="87">
        <f>AA1239-Y1239</f>
        <v>431942</v>
      </c>
      <c r="AF1239" s="88">
        <f>AV1239</f>
        <v>0.40200000000000002</v>
      </c>
      <c r="AG1239" s="72">
        <f>((AW1239-AV1239)+(AX1239-AW1239))/2</f>
        <v>-6.7500000000000004E-2</v>
      </c>
      <c r="AH1239" s="4"/>
      <c r="AI1239" s="72">
        <f>RSQ(AV1239:AX1239,AV1238:AX1238)</f>
        <v>0.42214234794979449</v>
      </c>
      <c r="AJ1239" s="110">
        <f>SLOPE(AV1239:AX1239,AV1238:AX1238)</f>
        <v>-2.2238008099737066E-7</v>
      </c>
      <c r="AK1239" s="72">
        <f>INTERCEPT(AV1239:AX1239,AV1238:AX1238)</f>
        <v>0.35009824401124495</v>
      </c>
      <c r="AL1239" s="72">
        <f>INDEX(LINEST(LN(AV1239:AX1239),LN(AV1238:AX1238),TRUE,TRUE),3,1)</f>
        <v>0.96861962935394874</v>
      </c>
      <c r="AM1239" s="72">
        <f>INDEX(LINEST(LN(AV1239:AX1239),LN(AV1238:AX1238)),1)</f>
        <v>-4.916106488143767E-2</v>
      </c>
      <c r="AN1239" s="72">
        <f>EXP(INDEX(LINEST(LN(AV1239:AX1239),LN(AV1238:AX1238)),1,2))</f>
        <v>0.48679622442107762</v>
      </c>
      <c r="AO1239" s="89">
        <f>INDEX(LINEST((AV1239:AX1239),LN(AV1238:AX1238),TRUE,TRUE),3,1)</f>
        <v>0.96914528930199995</v>
      </c>
      <c r="AP1239" s="89">
        <f>INDEX(LINEST((AV1239:AX1239),LN(AV1238:AX1238)),1)</f>
        <v>-1.6208684119718739E-2</v>
      </c>
      <c r="AQ1239" s="90">
        <f>INDEX(LINEST(LN(AV1239:AX1239),SQRT(AV1238:AX1238),TRUE,TRUE),3,1)</f>
        <v>0.6813350665540242</v>
      </c>
      <c r="AR1239" s="117">
        <f>INDEX(LINEST(LN(AV1239:AX1239),SQRT((AV1238:AX1238))),1)</f>
        <v>-6.0171982539336858E-4</v>
      </c>
      <c r="AS1239" s="91">
        <f>INDEX(LINEST(1/(AV1239:AX1239),1/(SQRT(AV1238:AX1238)),TRUE,TRUE),3,1)</f>
        <v>0.99950366455231476</v>
      </c>
      <c r="AT1239" s="91">
        <f>INDEX(LINEST(1/(AV1239:AX1239),1/SQRT(AV1238:AX1238)),1)</f>
        <v>-9.8136775027027472</v>
      </c>
      <c r="AU1239" s="3"/>
      <c r="AV1239" s="73">
        <v>0.40200000000000002</v>
      </c>
      <c r="AW1239" s="73">
        <v>0.26600000000000001</v>
      </c>
      <c r="AX1239" s="73">
        <v>0.26700000000000002</v>
      </c>
      <c r="AY1239" s="42"/>
      <c r="AZ1239" s="46"/>
      <c r="BA1239" s="42"/>
      <c r="BB1239" s="42"/>
      <c r="BC1239" s="2"/>
      <c r="BD1239" s="2"/>
      <c r="BE1239" s="2"/>
      <c r="BF1239" s="2"/>
      <c r="BG1239" s="2"/>
      <c r="BH1239" s="2"/>
      <c r="BI1239" s="2"/>
      <c r="BJ1239" s="2"/>
      <c r="BK1239" s="2"/>
      <c r="BL1239" s="2"/>
      <c r="BM1239" s="2"/>
      <c r="BN1239" s="2"/>
      <c r="BO1239" s="2"/>
      <c r="BP1239" s="2"/>
      <c r="BQ1239" s="2"/>
      <c r="BR1239" s="2"/>
      <c r="BS1239" s="2"/>
      <c r="BT1239" s="2"/>
      <c r="BU1239" s="2"/>
      <c r="BV1239" s="2"/>
      <c r="BW1239" s="2"/>
      <c r="BX1239" s="2"/>
      <c r="BY1239" s="2"/>
      <c r="BZ1239" s="2"/>
      <c r="CA1239" s="2"/>
      <c r="CB1239" s="2"/>
      <c r="CC1239" s="2"/>
      <c r="CD1239" s="2"/>
      <c r="CE1239" s="2"/>
      <c r="CF1239" s="2"/>
      <c r="CG1239" s="2"/>
      <c r="CH1239" s="2"/>
      <c r="CI1239" s="2"/>
      <c r="CJ1239" s="2"/>
      <c r="CK1239" s="2"/>
      <c r="CL1239" s="2"/>
      <c r="CM1239" s="2"/>
      <c r="CN1239" s="2"/>
      <c r="CO1239" s="2"/>
      <c r="CP1239" s="2"/>
      <c r="CQ1239" s="2"/>
      <c r="CR1239" s="1"/>
      <c r="CS1239" s="1"/>
      <c r="CT1239" s="1"/>
      <c r="CU1239" s="1"/>
    </row>
    <row r="1240" spans="1:99" s="13" customFormat="1" ht="12" customHeight="1" x14ac:dyDescent="0.2">
      <c r="A1240" s="68">
        <v>43509</v>
      </c>
      <c r="B1240" s="70"/>
      <c r="C1240" s="70"/>
      <c r="D1240" s="69"/>
      <c r="E1240" s="87"/>
      <c r="F1240" s="69"/>
      <c r="G1240" s="69"/>
      <c r="H1240" s="69"/>
      <c r="I1240" s="69"/>
      <c r="J1240" s="69"/>
      <c r="K1240" s="107"/>
      <c r="L1240" s="107"/>
      <c r="M1240" s="69"/>
      <c r="N1240" s="69"/>
      <c r="O1240" s="69"/>
      <c r="P1240" s="69"/>
      <c r="Q1240" s="69"/>
      <c r="R1240" s="69"/>
      <c r="S1240" s="69"/>
      <c r="T1240" s="69"/>
      <c r="U1240" s="69"/>
      <c r="V1240" s="69"/>
      <c r="W1240" s="69"/>
      <c r="X1240" s="69"/>
      <c r="Y1240" s="87"/>
      <c r="Z1240" s="69"/>
      <c r="AA1240" s="69"/>
      <c r="AB1240" s="69"/>
      <c r="AC1240" s="69"/>
      <c r="AD1240" s="69"/>
      <c r="AE1240" s="69"/>
      <c r="AF1240" s="88"/>
      <c r="AG1240" s="72"/>
      <c r="AH1240" s="4"/>
      <c r="AI1240" s="72"/>
      <c r="AJ1240" s="110"/>
      <c r="AK1240" s="72"/>
      <c r="AL1240" s="72"/>
      <c r="AM1240" s="72"/>
      <c r="AN1240" s="72"/>
      <c r="AO1240" s="72"/>
      <c r="AP1240" s="72"/>
      <c r="AQ1240" s="89"/>
      <c r="AR1240" s="118"/>
      <c r="AS1240" s="89"/>
      <c r="AT1240" s="89"/>
      <c r="AU1240" s="4"/>
      <c r="AV1240" s="71">
        <v>58</v>
      </c>
      <c r="AW1240" s="71">
        <f>24*3600*1</f>
        <v>86400</v>
      </c>
      <c r="AX1240" s="71">
        <f>24*3600*5</f>
        <v>432000</v>
      </c>
      <c r="AY1240" s="42"/>
      <c r="AZ1240" s="46"/>
      <c r="BA1240" s="42"/>
      <c r="BB1240" s="42"/>
      <c r="BC1240" s="42"/>
      <c r="BD1240" s="42"/>
      <c r="BE1240" s="42"/>
      <c r="BF1240" s="42"/>
      <c r="BG1240" s="42"/>
      <c r="BH1240" s="2"/>
      <c r="BI1240" s="2"/>
      <c r="BJ1240" s="2"/>
      <c r="BK1240" s="2"/>
      <c r="BL1240" s="2"/>
      <c r="BM1240" s="2"/>
      <c r="BN1240" s="2"/>
      <c r="BO1240" s="2"/>
      <c r="BP1240" s="2"/>
      <c r="BQ1240" s="2"/>
      <c r="BR1240" s="2"/>
      <c r="BS1240" s="2"/>
      <c r="BT1240" s="2"/>
      <c r="BU1240" s="2"/>
      <c r="BV1240" s="2"/>
      <c r="BW1240" s="2"/>
      <c r="BX1240" s="2"/>
      <c r="BY1240" s="2"/>
      <c r="BZ1240" s="2"/>
      <c r="CA1240" s="2"/>
      <c r="CB1240" s="2"/>
      <c r="CC1240" s="2"/>
      <c r="CD1240" s="2"/>
      <c r="CE1240" s="2"/>
      <c r="CF1240" s="2"/>
      <c r="CG1240" s="2"/>
      <c r="CH1240" s="2"/>
      <c r="CI1240" s="2"/>
      <c r="CJ1240" s="2"/>
      <c r="CK1240" s="2"/>
      <c r="CL1240" s="2"/>
      <c r="CM1240" s="2"/>
      <c r="CN1240" s="2"/>
      <c r="CO1240" s="2"/>
      <c r="CP1240" s="2"/>
      <c r="CQ1240" s="2"/>
      <c r="CR1240" s="1"/>
      <c r="CS1240" s="1"/>
      <c r="CT1240" s="1"/>
      <c r="CU1240" s="1"/>
    </row>
    <row r="1241" spans="1:99" s="13" customFormat="1" ht="12" customHeight="1" x14ac:dyDescent="0.2">
      <c r="A1241" s="68">
        <v>43509</v>
      </c>
      <c r="B1241" s="70" t="s">
        <v>128</v>
      </c>
      <c r="C1241" s="70" t="s">
        <v>45</v>
      </c>
      <c r="D1241" s="69">
        <v>1983</v>
      </c>
      <c r="E1241" s="87">
        <v>1</v>
      </c>
      <c r="F1241" s="69">
        <v>120</v>
      </c>
      <c r="G1241" s="69">
        <v>20</v>
      </c>
      <c r="H1241" s="69" t="s">
        <v>41</v>
      </c>
      <c r="I1241" s="69" t="s">
        <v>130</v>
      </c>
      <c r="J1241" s="69" t="s">
        <v>16</v>
      </c>
      <c r="K1241" s="69">
        <f>IF(J1241="syllables",1,IF(J1241="trigrams",2,IF(J1241="strings",3,IF(J1241="visual array",4,IF(J1241="characters",5,IF(J1241="letters",6,IF(J1241="free forms",7,IF(J1241="odors",8,IF(J1241="words",9,IF(J1241="pictures",10,IF(J1241="object pictures",11,IF(J1241="faces",12,IF(J1241="names",13,IF(J1241="idioms",14,IF(J1241="grades",15,IF(J1241="syllable-digit pairs",16,IF(J1241="trigram-word pairs",17,IF(J1241="word-digit pairs",18,IF(J1241="English-Swahili pairs",19,IF(J1241="spatial position",20,IF(J1241="word pairs",21,IF(J1241="word triads",22,IF(J1241="generated words",23,IF(J1241="word definition pairs",24,IF(J1241="math problems",25,IF(J1241="famous faces",26,IF(J1241="famous names",27,IF(J1241="famous voices",28,IF(J1241="television programs",29,IF(J1241="race horses",30,IF(J1241="new vocabulary",31,IF(J1241="sentences",32,IF(J1241="concepts",33,IF(J1241="ad slides",34,IF(J1241="scenes",35,IF(J1241="famous scenes",36,IF(J1241="poems",37,IF(J1241="walk",38,IF(J1241="faces and events",39,IF(J1241="events and names",40,IF(J1241="flashbulb",41,IF(J1241="stories",42,IF(J1241="course material",43,IF(J1241="autobiographical",44,IF(J1241="novels",45,IF(J1241="public events",46,"99"))))))))))))))))))))))))))))))))))))))))))))))</f>
        <v>9</v>
      </c>
      <c r="L1241" s="69">
        <f>IF(J1241="syllables",1,IF(J1241="trigrams",1,IF(J1241="strings",1,IF(J1241="visual array",1,IF(J1241="characters",1,IF(J1241="letters",1,IF(J1241="free forms",1,IF(J1241="odors",2,IF(J1241="words",2,IF(J1241="pictures",2,IF(J1241="object pictures",2,IF(J1241="faces",2,IF(J1241="names",2,IF(J1241="idioms","2",IF(J1241="grades",2,IF(J1241="syllable-digit pairs",3,IF(J1241="trigram-word pairs",3,IF(J1241="word-digit pairs",3,IF(J1241="English-Swahili pairs",3,IF(J1241="spatial position",3,IF(J1241="word pairs",4,IF(J1241="word triads",4,IF(J1241="generated words",4,IF(J1241="word definition pairs",4,IF(J1241="math problems",4,IF(J1241="famous faces",4,IF(J1241="famous names",4,IF(J1241="famous voices",4,IF(J1241="television programs",4,IF(J1241="race horses",4,IF(J1241="new vocabulary",4,IF(J1241="sentences",5,IF(J1241="concepts",5,IF(J1241="ad slides",5,IF(J1241="scenes",5,IF(J1241="famous scenes",5,IF(J1241="poems",6,IF(J1241="walk",6,IF(J1241="faces and events",6,IF(J1241="events and names",6,IF(J1241="flashbulb",7,IF(J1241="stories",7,IF(J1241="course material",7,IF(J1241="autobiographical",7,IF(J1241="novels",7,IF(J1241="public events",7,"99"))))))))))))))))))))))))))))))))))))))))))))))</f>
        <v>2</v>
      </c>
      <c r="M1241" s="69">
        <v>1</v>
      </c>
      <c r="N1241" s="69">
        <v>2</v>
      </c>
      <c r="O1241" s="69">
        <v>1</v>
      </c>
      <c r="P1241" s="69" t="s">
        <v>129</v>
      </c>
      <c r="Q1241" s="69" t="s">
        <v>65</v>
      </c>
      <c r="R1241" s="69">
        <f>IF(Q1241="Free Recall",1,IF(Q1241="Cued Recall",2,IF(Q1241="Recognition",3,IF(Q1241="Multiple Choice",4,IF(Q1241="Savings",5,IF(Q1241="Stem Completion",6,IF(Q1241="Fragment Completion",7,IF(Q1241="anagram solution",8,IF(Q1241="Matching",9,IF(Q1241="Problem Solving",10,"99"))))))))))</f>
        <v>2</v>
      </c>
      <c r="S1241" s="69"/>
      <c r="T1241" s="69" t="s">
        <v>261</v>
      </c>
      <c r="U1241" s="69">
        <f>IF(T1241="within",1,0)</f>
        <v>0</v>
      </c>
      <c r="V1241" s="69">
        <v>56</v>
      </c>
      <c r="W1241" s="69">
        <f>F1241*V1241</f>
        <v>6720</v>
      </c>
      <c r="X1241" s="69">
        <v>3</v>
      </c>
      <c r="Y1241" s="87">
        <f>AV1240</f>
        <v>58</v>
      </c>
      <c r="Z1241" s="69" t="s">
        <v>131</v>
      </c>
      <c r="AA1241" s="69">
        <v>432000</v>
      </c>
      <c r="AB1241" s="69" t="str">
        <f>IF(AA1241&lt;60,"1",IF(AA1241&lt;=43200,"2",IF(AA1241&lt;=777600,"3","4")))</f>
        <v>3</v>
      </c>
      <c r="AC1241" s="72">
        <f>AVERAGE(AV1240:DA1240)</f>
        <v>172819.33333333334</v>
      </c>
      <c r="AD1241" s="69" t="str">
        <f>IF(AC1241&lt;60,"1",IF(AC1241&lt;=43200,"2",IF(AC1241&lt;=777600,"3","4")))</f>
        <v>3</v>
      </c>
      <c r="AE1241" s="87">
        <f>AA1241-Y1241</f>
        <v>431942</v>
      </c>
      <c r="AF1241" s="88">
        <f>AV1241</f>
        <v>0.76500000000000001</v>
      </c>
      <c r="AG1241" s="72">
        <f>((AW1241-AV1241)+(AX1241-AW1241))/2</f>
        <v>-8.550000000000002E-2</v>
      </c>
      <c r="AH1241" s="4"/>
      <c r="AI1241" s="72">
        <f>RSQ(AV1241:AX1241,AV1240:AX1240)</f>
        <v>0.99997557593336728</v>
      </c>
      <c r="AJ1241" s="110">
        <f>SLOPE(AV1241:AX1241,AV1240:AX1240)</f>
        <v>-3.9520964178200022E-7</v>
      </c>
      <c r="AK1241" s="72">
        <f>INTERCEPT(AV1241:AX1241,AV1240:AX1240)</f>
        <v>0.76463320015300407</v>
      </c>
      <c r="AL1241" s="72">
        <f>INDEX(LINEST(LN(AV1241:AX1241),LN(AV1240:AX1240),TRUE,TRUE),3,1)</f>
        <v>0.58284974116752986</v>
      </c>
      <c r="AM1241" s="72">
        <f>INDEX(LINEST(LN(AV1241:AX1241),LN(AV1240:AX1240)),1)</f>
        <v>-2.1626797899197983E-2</v>
      </c>
      <c r="AN1241" s="72">
        <f>EXP(INDEX(LINEST(LN(AV1241:AX1241),LN(AV1240:AX1240)),1,2))</f>
        <v>0.84953673831112153</v>
      </c>
      <c r="AO1241" s="89">
        <f>INDEX(LINEST((AV1241:AX1241),LN(AV1240:AX1240),TRUE,TRUE),3,1)</f>
        <v>0.60260338256922574</v>
      </c>
      <c r="AP1241" s="89">
        <f>INDEX(LINEST((AV1241:AX1241),LN(AV1240:AX1240)),1)</f>
        <v>-1.4758271933403752E-2</v>
      </c>
      <c r="AQ1241" s="90">
        <f>INDEX(LINEST(LN(AV1241:AX1241),SQRT(AV1240:AX1240),TRUE,TRUE),3,1)</f>
        <v>0.92340590790184007</v>
      </c>
      <c r="AR1241" s="117">
        <f>INDEX(LINEST(LN(AV1241:AX1241),SQRT((AV1240:AX1240))),1)</f>
        <v>-3.9726430415178268E-4</v>
      </c>
      <c r="AS1241" s="91">
        <f>INDEX(LINEST(1/(AV1241:AX1241),1/(SQRT(AV1240:AX1240)),TRUE,TRUE),3,1)</f>
        <v>0.4074335766520682</v>
      </c>
      <c r="AT1241" s="91">
        <f>INDEX(LINEST(1/(AV1241:AX1241),1/SQRT(AV1240:AX1240)),1)</f>
        <v>-1.7299170504208508</v>
      </c>
      <c r="AU1241" s="3"/>
      <c r="AV1241" s="73">
        <v>0.76500000000000001</v>
      </c>
      <c r="AW1241" s="73">
        <v>0.73</v>
      </c>
      <c r="AX1241" s="73">
        <v>0.59399999999999997</v>
      </c>
      <c r="AY1241" s="42"/>
      <c r="AZ1241" s="46"/>
      <c r="BA1241" s="42"/>
      <c r="BB1241" s="42"/>
      <c r="BC1241" s="42"/>
      <c r="BD1241" s="42"/>
      <c r="BE1241" s="42"/>
      <c r="BF1241" s="42"/>
      <c r="BG1241" s="42"/>
      <c r="BH1241" s="2"/>
      <c r="BI1241" s="2"/>
      <c r="BJ1241" s="2"/>
      <c r="BK1241" s="2"/>
      <c r="BL1241" s="2"/>
      <c r="BM1241" s="2"/>
      <c r="BN1241" s="2"/>
      <c r="BO1241" s="2"/>
      <c r="BP1241" s="2"/>
      <c r="BQ1241" s="2"/>
      <c r="BR1241" s="2"/>
      <c r="BS1241" s="2"/>
      <c r="BT1241" s="2"/>
      <c r="BU1241" s="2"/>
      <c r="BV1241" s="2"/>
      <c r="BW1241" s="2"/>
      <c r="BX1241" s="2"/>
      <c r="BY1241" s="2"/>
      <c r="BZ1241" s="2"/>
      <c r="CA1241" s="2"/>
      <c r="CB1241" s="2"/>
      <c r="CC1241" s="2"/>
      <c r="CD1241" s="2"/>
      <c r="CE1241" s="2"/>
      <c r="CF1241" s="2"/>
      <c r="CG1241" s="2"/>
      <c r="CH1241" s="2"/>
      <c r="CI1241" s="2"/>
      <c r="CJ1241" s="2"/>
      <c r="CK1241" s="2"/>
      <c r="CL1241" s="2"/>
      <c r="CM1241" s="2"/>
      <c r="CN1241" s="2"/>
      <c r="CO1241" s="2"/>
      <c r="CP1241" s="2"/>
      <c r="CQ1241" s="2"/>
      <c r="CR1241" s="1"/>
      <c r="CS1241" s="1"/>
      <c r="CT1241" s="1"/>
      <c r="CU1241" s="1"/>
    </row>
    <row r="1242" spans="1:99" s="13" customFormat="1" ht="12" customHeight="1" x14ac:dyDescent="0.2">
      <c r="A1242" s="68">
        <v>43509</v>
      </c>
      <c r="B1242" s="70"/>
      <c r="C1242" s="70"/>
      <c r="D1242" s="69"/>
      <c r="E1242" s="87"/>
      <c r="F1242" s="69"/>
      <c r="G1242" s="69"/>
      <c r="H1242" s="69"/>
      <c r="I1242" s="69"/>
      <c r="J1242" s="69"/>
      <c r="K1242" s="107"/>
      <c r="L1242" s="107"/>
      <c r="M1242" s="69"/>
      <c r="N1242" s="69"/>
      <c r="O1242" s="69"/>
      <c r="P1242" s="69"/>
      <c r="Q1242" s="69"/>
      <c r="R1242" s="69"/>
      <c r="S1242" s="69"/>
      <c r="T1242" s="69"/>
      <c r="U1242" s="69"/>
      <c r="V1242" s="69"/>
      <c r="W1242" s="69"/>
      <c r="X1242" s="69"/>
      <c r="Y1242" s="87"/>
      <c r="Z1242" s="69"/>
      <c r="AA1242" s="69"/>
      <c r="AB1242" s="69"/>
      <c r="AC1242" s="69"/>
      <c r="AD1242" s="69"/>
      <c r="AE1242" s="69"/>
      <c r="AF1242" s="88"/>
      <c r="AG1242" s="72"/>
      <c r="AH1242" s="4"/>
      <c r="AI1242" s="72"/>
      <c r="AJ1242" s="110"/>
      <c r="AK1242" s="72"/>
      <c r="AL1242" s="72"/>
      <c r="AM1242" s="72"/>
      <c r="AN1242" s="72"/>
      <c r="AO1242" s="72"/>
      <c r="AP1242" s="72"/>
      <c r="AQ1242" s="89"/>
      <c r="AR1242" s="118"/>
      <c r="AS1242" s="89"/>
      <c r="AT1242" s="89"/>
      <c r="AU1242" s="4"/>
      <c r="AV1242" s="71">
        <v>58</v>
      </c>
      <c r="AW1242" s="71">
        <f>24*3600*1</f>
        <v>86400</v>
      </c>
      <c r="AX1242" s="71">
        <f>24*3600*5</f>
        <v>432000</v>
      </c>
      <c r="AY1242" s="42"/>
      <c r="AZ1242" s="46"/>
      <c r="BA1242" s="42"/>
      <c r="BB1242" s="42"/>
      <c r="BC1242" s="2"/>
      <c r="BD1242" s="2"/>
      <c r="BE1242" s="2"/>
      <c r="BF1242" s="2"/>
      <c r="BG1242" s="2"/>
      <c r="BH1242" s="2"/>
      <c r="BI1242" s="2"/>
      <c r="BJ1242" s="2"/>
      <c r="BK1242" s="2"/>
      <c r="BL1242" s="2"/>
      <c r="BM1242" s="2"/>
      <c r="BN1242" s="2"/>
      <c r="BO1242" s="2"/>
      <c r="BP1242" s="2"/>
      <c r="BQ1242" s="2"/>
      <c r="BR1242" s="2"/>
      <c r="BS1242" s="2"/>
      <c r="BT1242" s="2"/>
      <c r="BU1242" s="2"/>
      <c r="BV1242" s="2"/>
      <c r="BW1242" s="2"/>
      <c r="BX1242" s="2"/>
      <c r="BY1242" s="2"/>
      <c r="BZ1242" s="2"/>
      <c r="CA1242" s="2"/>
      <c r="CB1242" s="2"/>
      <c r="CC1242" s="2"/>
      <c r="CD1242" s="2"/>
      <c r="CE1242" s="2"/>
      <c r="CF1242" s="2"/>
      <c r="CG1242" s="2"/>
      <c r="CH1242" s="2"/>
      <c r="CI1242" s="2"/>
      <c r="CJ1242" s="2"/>
      <c r="CK1242" s="2"/>
      <c r="CL1242" s="2"/>
      <c r="CM1242" s="2"/>
      <c r="CN1242" s="2"/>
      <c r="CO1242" s="2"/>
      <c r="CP1242" s="2"/>
      <c r="CQ1242" s="2"/>
      <c r="CR1242" s="1"/>
      <c r="CS1242" s="1"/>
      <c r="CT1242" s="1"/>
      <c r="CU1242" s="1"/>
    </row>
    <row r="1243" spans="1:99" s="13" customFormat="1" ht="12" customHeight="1" x14ac:dyDescent="0.2">
      <c r="A1243" s="68">
        <v>43509</v>
      </c>
      <c r="B1243" s="70" t="s">
        <v>128</v>
      </c>
      <c r="C1243" s="70" t="s">
        <v>45</v>
      </c>
      <c r="D1243" s="69">
        <v>1983</v>
      </c>
      <c r="E1243" s="87">
        <v>1</v>
      </c>
      <c r="F1243" s="69">
        <v>120</v>
      </c>
      <c r="G1243" s="69">
        <v>20</v>
      </c>
      <c r="H1243" s="69" t="s">
        <v>41</v>
      </c>
      <c r="I1243" s="69" t="s">
        <v>132</v>
      </c>
      <c r="J1243" s="69" t="s">
        <v>16</v>
      </c>
      <c r="K1243" s="69">
        <f>IF(J1243="syllables",1,IF(J1243="trigrams",2,IF(J1243="strings",3,IF(J1243="visual array",4,IF(J1243="characters",5,IF(J1243="letters",6,IF(J1243="free forms",7,IF(J1243="odors",8,IF(J1243="words",9,IF(J1243="pictures",10,IF(J1243="object pictures",11,IF(J1243="faces",12,IF(J1243="names",13,IF(J1243="idioms",14,IF(J1243="grades",15,IF(J1243="syllable-digit pairs",16,IF(J1243="trigram-word pairs",17,IF(J1243="word-digit pairs",18,IF(J1243="English-Swahili pairs",19,IF(J1243="spatial position",20,IF(J1243="word pairs",21,IF(J1243="word triads",22,IF(J1243="generated words",23,IF(J1243="word definition pairs",24,IF(J1243="math problems",25,IF(J1243="famous faces",26,IF(J1243="famous names",27,IF(J1243="famous voices",28,IF(J1243="television programs",29,IF(J1243="race horses",30,IF(J1243="new vocabulary",31,IF(J1243="sentences",32,IF(J1243="concepts",33,IF(J1243="ad slides",34,IF(J1243="scenes",35,IF(J1243="famous scenes",36,IF(J1243="poems",37,IF(J1243="walk",38,IF(J1243="faces and events",39,IF(J1243="events and names",40,IF(J1243="flashbulb",41,IF(J1243="stories",42,IF(J1243="course material",43,IF(J1243="autobiographical",44,IF(J1243="novels",45,IF(J1243="public events",46,"99"))))))))))))))))))))))))))))))))))))))))))))))</f>
        <v>9</v>
      </c>
      <c r="L1243" s="69">
        <f>IF(J1243="syllables",1,IF(J1243="trigrams",1,IF(J1243="strings",1,IF(J1243="visual array",1,IF(J1243="characters",1,IF(J1243="letters",1,IF(J1243="free forms",1,IF(J1243="odors",2,IF(J1243="words",2,IF(J1243="pictures",2,IF(J1243="object pictures",2,IF(J1243="faces",2,IF(J1243="names",2,IF(J1243="idioms","2",IF(J1243="grades",2,IF(J1243="syllable-digit pairs",3,IF(J1243="trigram-word pairs",3,IF(J1243="word-digit pairs",3,IF(J1243="English-Swahili pairs",3,IF(J1243="spatial position",3,IF(J1243="word pairs",4,IF(J1243="word triads",4,IF(J1243="generated words",4,IF(J1243="word definition pairs",4,IF(J1243="math problems",4,IF(J1243="famous faces",4,IF(J1243="famous names",4,IF(J1243="famous voices",4,IF(J1243="television programs",4,IF(J1243="race horses",4,IF(J1243="new vocabulary",4,IF(J1243="sentences",5,IF(J1243="concepts",5,IF(J1243="ad slides",5,IF(J1243="scenes",5,IF(J1243="famous scenes",5,IF(J1243="poems",6,IF(J1243="walk",6,IF(J1243="faces and events",6,IF(J1243="events and names",6,IF(J1243="flashbulb",7,IF(J1243="stories",7,IF(J1243="course material",7,IF(J1243="autobiographical",7,IF(J1243="novels",7,IF(J1243="public events",7,"99"))))))))))))))))))))))))))))))))))))))))))))))</f>
        <v>2</v>
      </c>
      <c r="M1243" s="69">
        <v>0</v>
      </c>
      <c r="N1243" s="69">
        <v>1</v>
      </c>
      <c r="O1243" s="69">
        <v>1</v>
      </c>
      <c r="P1243" s="69" t="s">
        <v>129</v>
      </c>
      <c r="Q1243" s="69" t="s">
        <v>65</v>
      </c>
      <c r="R1243" s="69">
        <f>IF(Q1243="Free Recall",1,IF(Q1243="Cued Recall",2,IF(Q1243="Recognition",3,IF(Q1243="Multiple Choice",4,IF(Q1243="Savings",5,IF(Q1243="Stem Completion",6,IF(Q1243="Fragment Completion",7,IF(Q1243="anagram solution",8,IF(Q1243="Matching",9,IF(Q1243="Problem Solving",10,"99"))))))))))</f>
        <v>2</v>
      </c>
      <c r="S1243" s="69"/>
      <c r="T1243" s="69" t="s">
        <v>261</v>
      </c>
      <c r="U1243" s="69">
        <f>IF(T1243="within",1,0)</f>
        <v>0</v>
      </c>
      <c r="V1243" s="69">
        <v>56</v>
      </c>
      <c r="W1243" s="69">
        <f>F1243*V1243</f>
        <v>6720</v>
      </c>
      <c r="X1243" s="69">
        <v>3</v>
      </c>
      <c r="Y1243" s="87">
        <f>AV1242</f>
        <v>58</v>
      </c>
      <c r="Z1243" s="69" t="s">
        <v>131</v>
      </c>
      <c r="AA1243" s="69">
        <v>432000</v>
      </c>
      <c r="AB1243" s="69" t="str">
        <f>IF(AA1243&lt;60,"1",IF(AA1243&lt;=43200,"2",IF(AA1243&lt;=777600,"3","4")))</f>
        <v>3</v>
      </c>
      <c r="AC1243" s="72">
        <f>AVERAGE(AV1242:DA1242)</f>
        <v>172819.33333333334</v>
      </c>
      <c r="AD1243" s="69" t="str">
        <f>IF(AC1243&lt;60,"1",IF(AC1243&lt;=43200,"2",IF(AC1243&lt;=777600,"3","4")))</f>
        <v>3</v>
      </c>
      <c r="AE1243" s="87">
        <f>AA1243-Y1243</f>
        <v>431942</v>
      </c>
      <c r="AF1243" s="88">
        <f>AV1243</f>
        <v>0.55500000000000005</v>
      </c>
      <c r="AG1243" s="72">
        <f>((AW1243-AV1243)+(AX1243-AW1243))/2</f>
        <v>-0.10300000000000004</v>
      </c>
      <c r="AH1243" s="4"/>
      <c r="AI1243" s="72">
        <f>RSQ(AV1243:AX1243,AV1242:AX1242)</f>
        <v>0.85965820701021933</v>
      </c>
      <c r="AJ1243" s="110">
        <f>SLOPE(AV1243:AX1243,AV1242:AX1242)</f>
        <v>-4.1834150707955734E-7</v>
      </c>
      <c r="AK1243" s="72">
        <f>INTERCEPT(AV1243:AX1243,AV1242:AX1242)</f>
        <v>0.52129750035915112</v>
      </c>
      <c r="AL1243" s="72">
        <f>INDEX(LINEST(LN(AV1243:AX1243),LN(AV1242:AX1242),TRUE,TRUE),3,1)</f>
        <v>0.86942259634166352</v>
      </c>
      <c r="AM1243" s="72">
        <f>INDEX(LINEST(LN(AV1243:AX1243),LN(AV1242:AX1242)),1)</f>
        <v>-4.5522882976467553E-2</v>
      </c>
      <c r="AN1243" s="72">
        <f>EXP(INDEX(LINEST(LN(AV1243:AX1243),LN(AV1242:AX1242)),1,2))</f>
        <v>0.6787170444798275</v>
      </c>
      <c r="AO1243" s="89">
        <f>INDEX(LINEST((AV1243:AX1243),LN(AV1242:AX1242),TRUE,TRUE),3,1)</f>
        <v>0.91095877000126646</v>
      </c>
      <c r="AP1243" s="89">
        <f>INDEX(LINEST((AV1243:AX1243),LN(AV1242:AX1242)),1)</f>
        <v>-2.0715923620466033E-2</v>
      </c>
      <c r="AQ1243" s="90">
        <f>INDEX(LINEST(LN(AV1243:AX1243),SQRT(AV1242:AX1242),TRUE,TRUE),3,1)</f>
        <v>0.99729564184461894</v>
      </c>
      <c r="AR1243" s="117">
        <f>INDEX(LINEST(LN(AV1243:AX1243),SQRT((AV1242:AX1242))),1)</f>
        <v>-7.115338382698281E-4</v>
      </c>
      <c r="AS1243" s="91">
        <f>INDEX(LINEST(1/(AV1243:AX1243),1/(SQRT(AV1242:AX1242)),TRUE,TRUE),3,1)</f>
        <v>0.68718924928133673</v>
      </c>
      <c r="AT1243" s="91">
        <f>INDEX(LINEST(1/(AV1243:AX1243),1/SQRT(AV1242:AX1242)),1)</f>
        <v>-5.9456430062478818</v>
      </c>
      <c r="AU1243" s="3"/>
      <c r="AV1243" s="73">
        <v>0.55500000000000005</v>
      </c>
      <c r="AW1243" s="73">
        <v>0.443</v>
      </c>
      <c r="AX1243" s="73">
        <v>0.34899999999999998</v>
      </c>
      <c r="AY1243" s="42"/>
      <c r="AZ1243" s="46"/>
      <c r="BA1243" s="42"/>
      <c r="BB1243" s="42"/>
      <c r="BC1243" s="2"/>
      <c r="BD1243" s="2"/>
      <c r="BE1243" s="2"/>
      <c r="BF1243" s="2"/>
      <c r="BG1243" s="2"/>
      <c r="BH1243" s="2"/>
      <c r="BI1243" s="2"/>
      <c r="BJ1243" s="2"/>
      <c r="BK1243" s="2"/>
      <c r="BL1243" s="2"/>
      <c r="BM1243" s="2"/>
      <c r="BN1243" s="2"/>
      <c r="BO1243" s="2"/>
      <c r="BP1243" s="2"/>
      <c r="BQ1243" s="2"/>
      <c r="BR1243" s="2"/>
      <c r="BS1243" s="2"/>
      <c r="BT1243" s="2"/>
      <c r="BU1243" s="2"/>
      <c r="BV1243" s="2"/>
      <c r="BW1243" s="2"/>
      <c r="BX1243" s="2"/>
      <c r="BY1243" s="2"/>
      <c r="BZ1243" s="2"/>
      <c r="CA1243" s="2"/>
      <c r="CB1243" s="2"/>
      <c r="CC1243" s="2"/>
      <c r="CD1243" s="2"/>
      <c r="CE1243" s="2"/>
      <c r="CF1243" s="2"/>
      <c r="CG1243" s="2"/>
      <c r="CH1243" s="2"/>
      <c r="CI1243" s="2"/>
      <c r="CJ1243" s="2"/>
      <c r="CK1243" s="2"/>
      <c r="CL1243" s="2"/>
      <c r="CM1243" s="2"/>
      <c r="CN1243" s="2"/>
      <c r="CO1243" s="2"/>
      <c r="CP1243" s="2"/>
      <c r="CQ1243" s="2"/>
      <c r="CR1243" s="1"/>
      <c r="CS1243" s="1"/>
      <c r="CT1243" s="1"/>
      <c r="CU1243" s="1"/>
    </row>
    <row r="1244" spans="1:99" s="13" customFormat="1" ht="12" customHeight="1" x14ac:dyDescent="0.2">
      <c r="A1244" s="68">
        <v>43509</v>
      </c>
      <c r="B1244" s="70"/>
      <c r="C1244" s="70"/>
      <c r="D1244" s="69"/>
      <c r="E1244" s="87"/>
      <c r="F1244" s="69"/>
      <c r="G1244" s="69"/>
      <c r="H1244" s="69"/>
      <c r="I1244" s="69"/>
      <c r="J1244" s="69"/>
      <c r="K1244" s="107"/>
      <c r="L1244" s="107"/>
      <c r="M1244" s="69"/>
      <c r="N1244" s="69"/>
      <c r="O1244" s="69"/>
      <c r="P1244" s="69"/>
      <c r="Q1244" s="69"/>
      <c r="R1244" s="69"/>
      <c r="S1244" s="69"/>
      <c r="T1244" s="69"/>
      <c r="U1244" s="69"/>
      <c r="V1244" s="69"/>
      <c r="W1244" s="69"/>
      <c r="X1244" s="69"/>
      <c r="Y1244" s="87"/>
      <c r="Z1244" s="69"/>
      <c r="AA1244" s="69"/>
      <c r="AB1244" s="69"/>
      <c r="AC1244" s="69"/>
      <c r="AD1244" s="69"/>
      <c r="AE1244" s="69"/>
      <c r="AF1244" s="88"/>
      <c r="AG1244" s="72"/>
      <c r="AH1244" s="4"/>
      <c r="AI1244" s="72"/>
      <c r="AJ1244" s="110"/>
      <c r="AK1244" s="72"/>
      <c r="AL1244" s="72"/>
      <c r="AM1244" s="72"/>
      <c r="AN1244" s="72"/>
      <c r="AO1244" s="72"/>
      <c r="AP1244" s="72"/>
      <c r="AQ1244" s="89"/>
      <c r="AR1244" s="118"/>
      <c r="AS1244" s="89"/>
      <c r="AT1244" s="89"/>
      <c r="AU1244" s="4"/>
      <c r="AV1244" s="71">
        <v>70</v>
      </c>
      <c r="AW1244" s="71">
        <f>24*3600*1</f>
        <v>86400</v>
      </c>
      <c r="AX1244" s="71">
        <f>24*3600*5</f>
        <v>432000</v>
      </c>
      <c r="AY1244" s="52" t="s">
        <v>532</v>
      </c>
      <c r="AZ1244" s="46"/>
      <c r="BA1244" s="42"/>
      <c r="BB1244" s="42"/>
      <c r="BC1244" s="42"/>
      <c r="BD1244" s="42"/>
      <c r="BE1244" s="42"/>
      <c r="BF1244" s="42"/>
      <c r="BG1244" s="42"/>
      <c r="BH1244" s="2"/>
      <c r="BI1244" s="2"/>
      <c r="BJ1244" s="2"/>
      <c r="BK1244" s="2"/>
      <c r="BL1244" s="2"/>
      <c r="BM1244" s="2"/>
      <c r="BN1244" s="2"/>
      <c r="BO1244" s="2"/>
      <c r="BP1244" s="2"/>
      <c r="BQ1244" s="2"/>
      <c r="BR1244" s="2"/>
      <c r="BS1244" s="2"/>
      <c r="BT1244" s="2"/>
      <c r="BU1244" s="2"/>
      <c r="BV1244" s="2"/>
      <c r="BW1244" s="2"/>
      <c r="BX1244" s="2"/>
      <c r="BY1244" s="2"/>
      <c r="BZ1244" s="2"/>
      <c r="CA1244" s="2"/>
      <c r="CB1244" s="2"/>
      <c r="CC1244" s="2"/>
      <c r="CD1244" s="2"/>
      <c r="CE1244" s="2"/>
      <c r="CF1244" s="2"/>
      <c r="CG1244" s="2"/>
      <c r="CH1244" s="2"/>
      <c r="CI1244" s="2"/>
      <c r="CJ1244" s="2"/>
      <c r="CK1244" s="2"/>
      <c r="CL1244" s="2"/>
      <c r="CM1244" s="2"/>
      <c r="CN1244" s="2"/>
      <c r="CO1244" s="2"/>
      <c r="CP1244" s="2"/>
      <c r="CQ1244" s="2"/>
      <c r="CR1244" s="1"/>
      <c r="CS1244" s="1"/>
      <c r="CT1244" s="1"/>
      <c r="CU1244" s="1"/>
    </row>
    <row r="1245" spans="1:99" s="13" customFormat="1" ht="12" customHeight="1" x14ac:dyDescent="0.2">
      <c r="A1245" s="68">
        <v>43509</v>
      </c>
      <c r="B1245" s="70" t="s">
        <v>128</v>
      </c>
      <c r="C1245" s="70" t="s">
        <v>45</v>
      </c>
      <c r="D1245" s="69">
        <v>1983</v>
      </c>
      <c r="E1245" s="87">
        <v>2</v>
      </c>
      <c r="F1245" s="69">
        <v>120</v>
      </c>
      <c r="G1245" s="69">
        <v>20</v>
      </c>
      <c r="H1245" s="69" t="s">
        <v>32</v>
      </c>
      <c r="I1245" s="69" t="s">
        <v>130</v>
      </c>
      <c r="J1245" s="69" t="s">
        <v>320</v>
      </c>
      <c r="K1245" s="69">
        <f>IF(J1245="syllables",1,IF(J1245="trigrams",2,IF(J1245="strings",3,IF(J1245="visual array",4,IF(J1245="characters",5,IF(J1245="letters",6,IF(J1245="free forms",7,IF(J1245="odors",8,IF(J1245="words",9,IF(J1245="pictures",10,IF(J1245="object pictures",11,IF(J1245="faces",12,IF(J1245="names",13,IF(J1245="idioms",14,IF(J1245="grades",15,IF(J1245="syllable-digit pairs",16,IF(J1245="trigram-word pairs",17,IF(J1245="word-digit pairs",18,IF(J1245="English-Swahili pairs",19,IF(J1245="spatial position",20,IF(J1245="word pairs",21,IF(J1245="word triads",22,IF(J1245="generated words",23,IF(J1245="word definition pairs",24,IF(J1245="math problems",25,IF(J1245="famous faces",26,IF(J1245="famous names",27,IF(J1245="famous voices",28,IF(J1245="television programs",29,IF(J1245="race horses",30,IF(J1245="new vocabulary",31,IF(J1245="sentences",32,IF(J1245="concepts",33,IF(J1245="ad slides",34,IF(J1245="scenes",35,IF(J1245="famous scenes",36,IF(J1245="poems",37,IF(J1245="walk",38,IF(J1245="faces and events",39,IF(J1245="events and names",40,IF(J1245="flashbulb",41,IF(J1245="stories",42,IF(J1245="course material",43,IF(J1245="autobiographical",44,IF(J1245="novels",45,IF(J1245="public events",46,"99"))))))))))))))))))))))))))))))))))))))))))))))</f>
        <v>21</v>
      </c>
      <c r="L1245" s="69">
        <f>IF(J1245="syllables",1,IF(J1245="trigrams",1,IF(J1245="strings",1,IF(J1245="visual array",1,IF(J1245="characters",1,IF(J1245="letters",1,IF(J1245="free forms",1,IF(J1245="odors",2,IF(J1245="words",2,IF(J1245="pictures",2,IF(J1245="object pictures",2,IF(J1245="faces",2,IF(J1245="names",2,IF(J1245="idioms","2",IF(J1245="grades",2,IF(J1245="syllable-digit pairs",3,IF(J1245="trigram-word pairs",3,IF(J1245="word-digit pairs",3,IF(J1245="English-Swahili pairs",3,IF(J1245="spatial position",3,IF(J1245="word pairs",4,IF(J1245="word triads",4,IF(J1245="generated words",4,IF(J1245="word definition pairs",4,IF(J1245="math problems",4,IF(J1245="famous faces",4,IF(J1245="famous names",4,IF(J1245="famous voices",4,IF(J1245="television programs",4,IF(J1245="race horses",4,IF(J1245="new vocabulary",4,IF(J1245="sentences",5,IF(J1245="concepts",5,IF(J1245="ad slides",5,IF(J1245="scenes",5,IF(J1245="famous scenes",5,IF(J1245="poems",6,IF(J1245="walk",6,IF(J1245="faces and events",6,IF(J1245="events and names",6,IF(J1245="flashbulb",7,IF(J1245="stories",7,IF(J1245="course material",7,IF(J1245="autobiographical",7,IF(J1245="novels",7,IF(J1245="public events",7,"99"))))))))))))))))))))))))))))))))))))))))))))))</f>
        <v>4</v>
      </c>
      <c r="M1245" s="69">
        <v>1</v>
      </c>
      <c r="N1245" s="69">
        <v>2</v>
      </c>
      <c r="O1245" s="69">
        <v>1</v>
      </c>
      <c r="P1245" s="69" t="s">
        <v>129</v>
      </c>
      <c r="Q1245" s="69" t="s">
        <v>174</v>
      </c>
      <c r="R1245" s="69">
        <f>IF(Q1245="Free Recall",1,IF(Q1245="Cued Recall",2,IF(Q1245="Recognition",3,IF(Q1245="Multiple Choice",4,IF(Q1245="Savings",5,IF(Q1245="Stem Completion",6,IF(Q1245="Fragment Completion",7,IF(Q1245="anagram solution",8,IF(Q1245="Matching",9,IF(Q1245="Problem Solving",10,"99"))))))))))</f>
        <v>1</v>
      </c>
      <c r="S1245" s="69"/>
      <c r="T1245" s="69" t="s">
        <v>261</v>
      </c>
      <c r="U1245" s="69">
        <f>IF(T1245="within",1,0)</f>
        <v>0</v>
      </c>
      <c r="V1245" s="69">
        <v>20</v>
      </c>
      <c r="W1245" s="69">
        <f>F1245*V1245</f>
        <v>2400</v>
      </c>
      <c r="X1245" s="69">
        <v>3</v>
      </c>
      <c r="Y1245" s="87">
        <f>AV1244</f>
        <v>70</v>
      </c>
      <c r="Z1245" s="69" t="s">
        <v>131</v>
      </c>
      <c r="AA1245" s="69">
        <v>432000</v>
      </c>
      <c r="AB1245" s="69" t="str">
        <f>IF(AA1245&lt;60,"1",IF(AA1245&lt;=43200,"2",IF(AA1245&lt;=777600,"3","4")))</f>
        <v>3</v>
      </c>
      <c r="AC1245" s="72">
        <f>AVERAGE(AV1244:DA1244)</f>
        <v>172823.33333333334</v>
      </c>
      <c r="AD1245" s="69" t="str">
        <f>IF(AC1245&lt;60,"1",IF(AC1245&lt;=43200,"2",IF(AC1245&lt;=777600,"3","4")))</f>
        <v>3</v>
      </c>
      <c r="AE1245" s="87">
        <f>AA1245-Y1245</f>
        <v>431930</v>
      </c>
      <c r="AF1245" s="88">
        <f>AV1245</f>
        <v>0.79700000000000004</v>
      </c>
      <c r="AG1245" s="72">
        <f>((AW1245-AV1245)+(AX1245-AW1245))/2</f>
        <v>-0.19800000000000001</v>
      </c>
      <c r="AH1245" s="4"/>
      <c r="AI1245" s="72">
        <f>RSQ(AV1245:AX1245,AV1244:AX1244)</f>
        <v>0.68265258553051256</v>
      </c>
      <c r="AJ1245" s="110">
        <f>SLOPE(AV1245:AX1245,AV1244:AX1244)</f>
        <v>-7.4158571722475753E-7</v>
      </c>
      <c r="AK1245" s="72">
        <f>INTERCEPT(AV1245:AX1245,AV1244:AX1244)</f>
        <v>0.69616331560317324</v>
      </c>
      <c r="AL1245" s="72">
        <f>INDEX(LINEST(LN(AV1245:AX1245),LN(AV1244:AX1244),TRUE,TRUE),3,1)</f>
        <v>0.97295827523348288</v>
      </c>
      <c r="AM1245" s="72">
        <f>INDEX(LINEST(LN(AV1245:AX1245),LN(AV1244:AX1244)),1)</f>
        <v>-7.4195209043765004E-2</v>
      </c>
      <c r="AN1245" s="72">
        <f>EXP(INDEX(LINEST(LN(AV1245:AX1245),LN(AV1244:AX1244)),1,2))</f>
        <v>1.1049621536044099</v>
      </c>
      <c r="AO1245" s="89">
        <f>INDEX(LINEST((AV1245:AX1245),LN(AV1244:AX1244),TRUE,TRUE),3,1)</f>
        <v>0.9928516704587701</v>
      </c>
      <c r="AP1245" s="89">
        <f>INDEX(LINEST((AV1245:AX1245),LN(AV1244:AX1244)),1)</f>
        <v>-4.4011945502281921E-2</v>
      </c>
      <c r="AQ1245" s="90">
        <f>INDEX(LINEST(LN(AV1245:AX1245),SQRT(AV1244:AX1244),TRUE,TRUE),3,1)</f>
        <v>0.93718105886695957</v>
      </c>
      <c r="AR1245" s="117">
        <f>INDEX(LINEST(LN(AV1245:AX1245),SQRT((AV1244:AX1244))),1)</f>
        <v>-1.0399230018117492E-3</v>
      </c>
      <c r="AS1245" s="91">
        <f>INDEX(LINEST(1/(AV1245:AX1245),1/(SQRT(AV1244:AX1244)),TRUE,TRUE),3,1)</f>
        <v>0.83753336968797298</v>
      </c>
      <c r="AT1245" s="91">
        <f>INDEX(LINEST(1/(AV1245:AX1245),1/SQRT(AV1244:AX1244)),1)</f>
        <v>-8.4260621831636175</v>
      </c>
      <c r="AU1245" s="3"/>
      <c r="AV1245" s="73">
        <v>0.79700000000000004</v>
      </c>
      <c r="AW1245" s="73">
        <v>0.50600000000000001</v>
      </c>
      <c r="AX1245" s="73">
        <v>0.40100000000000002</v>
      </c>
      <c r="AY1245" s="42"/>
      <c r="AZ1245" s="46"/>
      <c r="BA1245" s="42"/>
      <c r="BB1245" s="42"/>
      <c r="BC1245" s="2"/>
      <c r="BD1245" s="2"/>
      <c r="BE1245" s="2"/>
      <c r="BF1245" s="2"/>
      <c r="BG1245" s="2"/>
      <c r="BH1245" s="2"/>
      <c r="BI1245" s="2"/>
      <c r="BJ1245" s="2"/>
      <c r="BK1245" s="2"/>
      <c r="BL1245" s="2"/>
      <c r="BM1245" s="2"/>
      <c r="BN1245" s="2"/>
      <c r="BO1245" s="2"/>
      <c r="BP1245" s="2"/>
      <c r="BQ1245" s="2"/>
      <c r="BR1245" s="2"/>
      <c r="BS1245" s="2"/>
      <c r="BT1245" s="2"/>
      <c r="BU1245" s="2"/>
      <c r="BV1245" s="2"/>
      <c r="BW1245" s="2"/>
      <c r="BX1245" s="2"/>
      <c r="BY1245" s="2"/>
      <c r="BZ1245" s="2"/>
      <c r="CA1245" s="2"/>
      <c r="CB1245" s="2"/>
      <c r="CC1245" s="2"/>
      <c r="CD1245" s="2"/>
      <c r="CE1245" s="2"/>
      <c r="CF1245" s="2"/>
      <c r="CG1245" s="2"/>
      <c r="CH1245" s="2"/>
      <c r="CI1245" s="2"/>
      <c r="CJ1245" s="2"/>
      <c r="CK1245" s="2"/>
      <c r="CL1245" s="2"/>
      <c r="CM1245" s="2"/>
      <c r="CN1245" s="2"/>
      <c r="CO1245" s="2"/>
      <c r="CP1245" s="2"/>
      <c r="CQ1245" s="2"/>
      <c r="CR1245" s="1"/>
      <c r="CS1245" s="1"/>
      <c r="CT1245" s="1"/>
      <c r="CU1245" s="1"/>
    </row>
    <row r="1246" spans="1:99" s="13" customFormat="1" ht="12" customHeight="1" x14ac:dyDescent="0.2">
      <c r="A1246" s="68">
        <v>43509</v>
      </c>
      <c r="B1246" s="70"/>
      <c r="C1246" s="70"/>
      <c r="D1246" s="69"/>
      <c r="E1246" s="87"/>
      <c r="F1246" s="69"/>
      <c r="G1246" s="69"/>
      <c r="H1246" s="69"/>
      <c r="I1246" s="69"/>
      <c r="J1246" s="69"/>
      <c r="K1246" s="107"/>
      <c r="L1246" s="107"/>
      <c r="M1246" s="69"/>
      <c r="N1246" s="69"/>
      <c r="O1246" s="69"/>
      <c r="P1246" s="69"/>
      <c r="Q1246" s="69"/>
      <c r="R1246" s="69"/>
      <c r="S1246" s="69"/>
      <c r="T1246" s="69"/>
      <c r="U1246" s="69"/>
      <c r="V1246" s="69"/>
      <c r="W1246" s="69"/>
      <c r="X1246" s="69"/>
      <c r="Y1246" s="87"/>
      <c r="Z1246" s="69"/>
      <c r="AA1246" s="69"/>
      <c r="AB1246" s="69"/>
      <c r="AC1246" s="69"/>
      <c r="AD1246" s="69"/>
      <c r="AE1246" s="69"/>
      <c r="AF1246" s="88"/>
      <c r="AG1246" s="72"/>
      <c r="AH1246" s="4"/>
      <c r="AI1246" s="72"/>
      <c r="AJ1246" s="110"/>
      <c r="AK1246" s="72"/>
      <c r="AL1246" s="72"/>
      <c r="AM1246" s="72"/>
      <c r="AN1246" s="72"/>
      <c r="AO1246" s="72"/>
      <c r="AP1246" s="72"/>
      <c r="AQ1246" s="89"/>
      <c r="AR1246" s="118"/>
      <c r="AS1246" s="89"/>
      <c r="AT1246" s="89"/>
      <c r="AU1246" s="4"/>
      <c r="AV1246" s="71">
        <v>70</v>
      </c>
      <c r="AW1246" s="71">
        <f>24*3600*1</f>
        <v>86400</v>
      </c>
      <c r="AX1246" s="71">
        <f>24*3600*5</f>
        <v>432000</v>
      </c>
      <c r="AY1246" s="42"/>
      <c r="AZ1246" s="46"/>
      <c r="BA1246" s="42"/>
      <c r="BB1246" s="42"/>
      <c r="BC1246" s="2"/>
      <c r="BD1246" s="2"/>
      <c r="BE1246" s="2"/>
      <c r="BF1246" s="2"/>
      <c r="BG1246" s="2"/>
      <c r="BH1246" s="2"/>
      <c r="BI1246" s="2"/>
      <c r="BJ1246" s="2"/>
      <c r="BK1246" s="2"/>
      <c r="BL1246" s="2"/>
      <c r="BM1246" s="2"/>
      <c r="BN1246" s="2"/>
      <c r="BO1246" s="2"/>
      <c r="BP1246" s="2"/>
      <c r="BQ1246" s="2"/>
      <c r="BR1246" s="2"/>
      <c r="BS1246" s="2"/>
      <c r="BT1246" s="2"/>
      <c r="BU1246" s="2"/>
      <c r="BV1246" s="2"/>
      <c r="BW1246" s="2"/>
      <c r="BX1246" s="2"/>
      <c r="BY1246" s="2"/>
      <c r="BZ1246" s="2"/>
      <c r="CA1246" s="2"/>
      <c r="CB1246" s="2"/>
      <c r="CC1246" s="2"/>
      <c r="CD1246" s="2"/>
      <c r="CE1246" s="2"/>
      <c r="CF1246" s="2"/>
      <c r="CG1246" s="2"/>
      <c r="CH1246" s="2"/>
      <c r="CI1246" s="2"/>
      <c r="CJ1246" s="2"/>
      <c r="CK1246" s="2"/>
      <c r="CL1246" s="2"/>
      <c r="CM1246" s="2"/>
      <c r="CN1246" s="2"/>
      <c r="CO1246" s="2"/>
      <c r="CP1246" s="2"/>
      <c r="CQ1246" s="2"/>
      <c r="CR1246" s="1"/>
      <c r="CS1246" s="1"/>
      <c r="CT1246" s="1"/>
      <c r="CU1246" s="1"/>
    </row>
    <row r="1247" spans="1:99" s="13" customFormat="1" ht="12" customHeight="1" x14ac:dyDescent="0.2">
      <c r="A1247" s="68">
        <v>43509</v>
      </c>
      <c r="B1247" s="70" t="s">
        <v>128</v>
      </c>
      <c r="C1247" s="70" t="s">
        <v>45</v>
      </c>
      <c r="D1247" s="69">
        <v>1983</v>
      </c>
      <c r="E1247" s="87">
        <v>2</v>
      </c>
      <c r="F1247" s="69">
        <v>120</v>
      </c>
      <c r="G1247" s="69">
        <v>20</v>
      </c>
      <c r="H1247" s="69" t="s">
        <v>32</v>
      </c>
      <c r="I1247" s="69" t="s">
        <v>132</v>
      </c>
      <c r="J1247" s="69" t="s">
        <v>320</v>
      </c>
      <c r="K1247" s="69">
        <f>IF(J1247="syllables",1,IF(J1247="trigrams",2,IF(J1247="strings",3,IF(J1247="visual array",4,IF(J1247="characters",5,IF(J1247="letters",6,IF(J1247="free forms",7,IF(J1247="odors",8,IF(J1247="words",9,IF(J1247="pictures",10,IF(J1247="object pictures",11,IF(J1247="faces",12,IF(J1247="names",13,IF(J1247="idioms",14,IF(J1247="grades",15,IF(J1247="syllable-digit pairs",16,IF(J1247="trigram-word pairs",17,IF(J1247="word-digit pairs",18,IF(J1247="English-Swahili pairs",19,IF(J1247="spatial position",20,IF(J1247="word pairs",21,IF(J1247="word triads",22,IF(J1247="generated words",23,IF(J1247="word definition pairs",24,IF(J1247="math problems",25,IF(J1247="famous faces",26,IF(J1247="famous names",27,IF(J1247="famous voices",28,IF(J1247="television programs",29,IF(J1247="race horses",30,IF(J1247="new vocabulary",31,IF(J1247="sentences",32,IF(J1247="concepts",33,IF(J1247="ad slides",34,IF(J1247="scenes",35,IF(J1247="famous scenes",36,IF(J1247="poems",37,IF(J1247="walk",38,IF(J1247="faces and events",39,IF(J1247="events and names",40,IF(J1247="flashbulb",41,IF(J1247="stories",42,IF(J1247="course material",43,IF(J1247="autobiographical",44,IF(J1247="novels",45,IF(J1247="public events",46,"99"))))))))))))))))))))))))))))))))))))))))))))))</f>
        <v>21</v>
      </c>
      <c r="L1247" s="69">
        <f>IF(J1247="syllables",1,IF(J1247="trigrams",1,IF(J1247="strings",1,IF(J1247="visual array",1,IF(J1247="characters",1,IF(J1247="letters",1,IF(J1247="free forms",1,IF(J1247="odors",2,IF(J1247="words",2,IF(J1247="pictures",2,IF(J1247="object pictures",2,IF(J1247="faces",2,IF(J1247="names",2,IF(J1247="idioms","2",IF(J1247="grades",2,IF(J1247="syllable-digit pairs",3,IF(J1247="trigram-word pairs",3,IF(J1247="word-digit pairs",3,IF(J1247="English-Swahili pairs",3,IF(J1247="spatial position",3,IF(J1247="word pairs",4,IF(J1247="word triads",4,IF(J1247="generated words",4,IF(J1247="word definition pairs",4,IF(J1247="math problems",4,IF(J1247="famous faces",4,IF(J1247="famous names",4,IF(J1247="famous voices",4,IF(J1247="television programs",4,IF(J1247="race horses",4,IF(J1247="new vocabulary",4,IF(J1247="sentences",5,IF(J1247="concepts",5,IF(J1247="ad slides",5,IF(J1247="scenes",5,IF(J1247="famous scenes",5,IF(J1247="poems",6,IF(J1247="walk",6,IF(J1247="faces and events",6,IF(J1247="events and names",6,IF(J1247="flashbulb",7,IF(J1247="stories",7,IF(J1247="course material",7,IF(J1247="autobiographical",7,IF(J1247="novels",7,IF(J1247="public events",7,"99"))))))))))))))))))))))))))))))))))))))))))))))</f>
        <v>4</v>
      </c>
      <c r="M1247" s="69">
        <v>1</v>
      </c>
      <c r="N1247" s="69">
        <v>1</v>
      </c>
      <c r="O1247" s="69">
        <v>1</v>
      </c>
      <c r="P1247" s="69" t="s">
        <v>129</v>
      </c>
      <c r="Q1247" s="69" t="s">
        <v>174</v>
      </c>
      <c r="R1247" s="69">
        <f>IF(Q1247="Free Recall",1,IF(Q1247="Cued Recall",2,IF(Q1247="Recognition",3,IF(Q1247="Multiple Choice",4,IF(Q1247="Savings",5,IF(Q1247="Stem Completion",6,IF(Q1247="Fragment Completion",7,IF(Q1247="anagram solution",8,IF(Q1247="Matching",9,IF(Q1247="Problem Solving",10,"99"))))))))))</f>
        <v>1</v>
      </c>
      <c r="S1247" s="69"/>
      <c r="T1247" s="69" t="s">
        <v>261</v>
      </c>
      <c r="U1247" s="69">
        <f>IF(T1247="within",1,0)</f>
        <v>0</v>
      </c>
      <c r="V1247" s="69">
        <v>20</v>
      </c>
      <c r="W1247" s="69">
        <f>F1247*V1247</f>
        <v>2400</v>
      </c>
      <c r="X1247" s="69">
        <v>3</v>
      </c>
      <c r="Y1247" s="87">
        <f>AV1246</f>
        <v>70</v>
      </c>
      <c r="Z1247" s="69" t="s">
        <v>131</v>
      </c>
      <c r="AA1247" s="69">
        <v>432000</v>
      </c>
      <c r="AB1247" s="69" t="str">
        <f>IF(AA1247&lt;60,"1",IF(AA1247&lt;=43200,"2",IF(AA1247&lt;=777600,"3","4")))</f>
        <v>3</v>
      </c>
      <c r="AC1247" s="72">
        <f>AVERAGE(AV1246:DA1246)</f>
        <v>172823.33333333334</v>
      </c>
      <c r="AD1247" s="69" t="str">
        <f>IF(AC1247&lt;60,"1",IF(AC1247&lt;=43200,"2",IF(AC1247&lt;=777600,"3","4")))</f>
        <v>3</v>
      </c>
      <c r="AE1247" s="87">
        <f>AA1247-Y1247</f>
        <v>431930</v>
      </c>
      <c r="AF1247" s="88">
        <f>AV1247</f>
        <v>0.57399999999999995</v>
      </c>
      <c r="AG1247" s="72">
        <f>((AW1247-AV1247)+(AX1247-AW1247))/2</f>
        <v>-0.19949999999999998</v>
      </c>
      <c r="AH1247" s="4"/>
      <c r="AI1247" s="72">
        <f>RSQ(AV1247:AX1247,AV1246:AX1246)</f>
        <v>0.86939209291640096</v>
      </c>
      <c r="AJ1247" s="110">
        <f>SLOPE(AV1247:AX1247,AV1246:AX1246)</f>
        <v>-8.1437085427653099E-7</v>
      </c>
      <c r="AK1247" s="72">
        <f>INTERCEPT(AV1247:AX1247,AV1246:AX1246)</f>
        <v>0.51107561893891773</v>
      </c>
      <c r="AL1247" s="72">
        <f>INDEX(LINEST(LN(AV1247:AX1247),LN(AV1246:AX1246),TRUE,TRUE),3,1)</f>
        <v>0.78841649033223182</v>
      </c>
      <c r="AM1247" s="72">
        <f>INDEX(LINEST(LN(AV1247:AX1247),LN(AV1246:AX1246)),1)</f>
        <v>-0.11448742767495147</v>
      </c>
      <c r="AN1247" s="72">
        <f>EXP(INDEX(LINEST(LN(AV1247:AX1247),LN(AV1246:AX1246)),1,2))</f>
        <v>0.98647620192900165</v>
      </c>
      <c r="AO1247" s="89">
        <f>INDEX(LINEST((AV1247:AX1247),LN(AV1246:AX1246),TRUE,TRUE),3,1)</f>
        <v>0.90501248680108948</v>
      </c>
      <c r="AP1247" s="89">
        <f>INDEX(LINEST((AV1247:AX1247),LN(AV1246:AX1246)),1)</f>
        <v>-4.0889194847966055E-2</v>
      </c>
      <c r="AQ1247" s="90">
        <f>INDEX(LINEST(LN(AV1247:AX1247),SQRT(AV1246:AX1246),TRUE,TRUE),3,1)</f>
        <v>0.99647071957632716</v>
      </c>
      <c r="AR1247" s="117">
        <f>INDEX(LINEST(LN(AV1247:AX1247),SQRT((AV1246:AX1246))),1)</f>
        <v>-1.8381159234734782E-3</v>
      </c>
      <c r="AS1247" s="91">
        <f>INDEX(LINEST(1/(AV1247:AX1247),1/(SQRT(AV1246:AX1246)),TRUE,TRUE),3,1)</f>
        <v>0.50200121068240511</v>
      </c>
      <c r="AT1247" s="91">
        <f>INDEX(LINEST(1/(AV1247:AX1247),1/SQRT(AV1246:AX1246)),1)</f>
        <v>-21.623535082847894</v>
      </c>
      <c r="AU1247" s="3"/>
      <c r="AV1247" s="73">
        <v>0.57399999999999995</v>
      </c>
      <c r="AW1247" s="73">
        <v>0.36199999999999999</v>
      </c>
      <c r="AX1247" s="73">
        <v>0.17499999999999999</v>
      </c>
      <c r="AY1247" s="42"/>
      <c r="AZ1247" s="46"/>
      <c r="BA1247" s="42"/>
      <c r="BB1247" s="42"/>
      <c r="BC1247" s="2"/>
      <c r="BD1247" s="2"/>
      <c r="BE1247" s="2"/>
      <c r="BF1247" s="2"/>
      <c r="BG1247" s="2"/>
      <c r="BH1247" s="2"/>
      <c r="BI1247" s="2"/>
      <c r="BJ1247" s="2"/>
      <c r="BK1247" s="2"/>
      <c r="BL1247" s="2"/>
      <c r="BM1247" s="2"/>
      <c r="BN1247" s="2"/>
      <c r="BO1247" s="2"/>
      <c r="BP1247" s="2"/>
      <c r="BQ1247" s="2"/>
      <c r="BR1247" s="2"/>
      <c r="BS1247" s="2"/>
      <c r="BT1247" s="2"/>
      <c r="BU1247" s="2"/>
      <c r="BV1247" s="2"/>
      <c r="BW1247" s="2"/>
      <c r="BX1247" s="2"/>
      <c r="BY1247" s="2"/>
      <c r="BZ1247" s="2"/>
      <c r="CA1247" s="2"/>
      <c r="CB1247" s="2"/>
      <c r="CC1247" s="2"/>
      <c r="CD1247" s="2"/>
      <c r="CE1247" s="2"/>
      <c r="CF1247" s="2"/>
      <c r="CG1247" s="2"/>
      <c r="CH1247" s="2"/>
      <c r="CI1247" s="2"/>
      <c r="CJ1247" s="2"/>
      <c r="CK1247" s="2"/>
      <c r="CL1247" s="2"/>
      <c r="CM1247" s="2"/>
      <c r="CN1247" s="2"/>
      <c r="CO1247" s="2"/>
      <c r="CP1247" s="2"/>
      <c r="CQ1247" s="2"/>
      <c r="CR1247" s="1"/>
      <c r="CS1247" s="1"/>
      <c r="CT1247" s="1"/>
      <c r="CU1247" s="1"/>
    </row>
    <row r="1248" spans="1:99" s="13" customFormat="1" ht="12" customHeight="1" x14ac:dyDescent="0.2">
      <c r="A1248" s="68">
        <v>43509</v>
      </c>
      <c r="B1248" s="70"/>
      <c r="C1248" s="70"/>
      <c r="D1248" s="69"/>
      <c r="E1248" s="87"/>
      <c r="F1248" s="69"/>
      <c r="G1248" s="69"/>
      <c r="H1248" s="69"/>
      <c r="I1248" s="69"/>
      <c r="J1248" s="69"/>
      <c r="K1248" s="107"/>
      <c r="L1248" s="107"/>
      <c r="M1248" s="69"/>
      <c r="N1248" s="69"/>
      <c r="O1248" s="69"/>
      <c r="P1248" s="69"/>
      <c r="Q1248" s="69"/>
      <c r="R1248" s="69"/>
      <c r="S1248" s="69"/>
      <c r="T1248" s="69"/>
      <c r="U1248" s="69"/>
      <c r="V1248" s="69"/>
      <c r="W1248" s="69"/>
      <c r="X1248" s="69"/>
      <c r="Y1248" s="87"/>
      <c r="Z1248" s="69"/>
      <c r="AA1248" s="69"/>
      <c r="AB1248" s="69"/>
      <c r="AC1248" s="69"/>
      <c r="AD1248" s="69"/>
      <c r="AE1248" s="69"/>
      <c r="AF1248" s="88"/>
      <c r="AG1248" s="72"/>
      <c r="AH1248" s="4"/>
      <c r="AI1248" s="72"/>
      <c r="AJ1248" s="110"/>
      <c r="AK1248" s="72"/>
      <c r="AL1248" s="72"/>
      <c r="AM1248" s="72"/>
      <c r="AN1248" s="72"/>
      <c r="AO1248" s="72"/>
      <c r="AP1248" s="72"/>
      <c r="AQ1248" s="89"/>
      <c r="AR1248" s="118"/>
      <c r="AS1248" s="89"/>
      <c r="AT1248" s="89"/>
      <c r="AU1248" s="4"/>
      <c r="AV1248" s="71">
        <v>70</v>
      </c>
      <c r="AW1248" s="71">
        <f>24*3600*1</f>
        <v>86400</v>
      </c>
      <c r="AX1248" s="71">
        <f>24*3600*5</f>
        <v>432000</v>
      </c>
      <c r="AY1248" s="42"/>
      <c r="AZ1248" s="46"/>
      <c r="BA1248" s="42"/>
      <c r="BB1248" s="42"/>
      <c r="BC1248" s="2"/>
      <c r="BD1248" s="2"/>
      <c r="BE1248" s="2"/>
      <c r="BF1248" s="2"/>
      <c r="BG1248" s="2"/>
      <c r="BH1248" s="2"/>
      <c r="BI1248" s="2"/>
      <c r="BJ1248" s="2"/>
      <c r="BK1248" s="2"/>
      <c r="BL1248" s="2"/>
      <c r="BM1248" s="2"/>
      <c r="BN1248" s="2"/>
      <c r="BO1248" s="2"/>
      <c r="BP1248" s="2"/>
      <c r="BQ1248" s="2"/>
      <c r="BR1248" s="2"/>
      <c r="BS1248" s="2"/>
      <c r="BT1248" s="2"/>
      <c r="BU1248" s="2"/>
      <c r="BV1248" s="2"/>
      <c r="BW1248" s="2"/>
      <c r="BX1248" s="2"/>
      <c r="BY1248" s="2"/>
      <c r="BZ1248" s="2"/>
      <c r="CA1248" s="2"/>
      <c r="CB1248" s="2"/>
      <c r="CC1248" s="2"/>
      <c r="CD1248" s="2"/>
      <c r="CE1248" s="2"/>
      <c r="CF1248" s="2"/>
      <c r="CG1248" s="2"/>
      <c r="CH1248" s="2"/>
      <c r="CI1248" s="2"/>
      <c r="CJ1248" s="2"/>
      <c r="CK1248" s="2"/>
      <c r="CL1248" s="2"/>
      <c r="CM1248" s="2"/>
      <c r="CN1248" s="2"/>
      <c r="CO1248" s="2"/>
      <c r="CP1248" s="2"/>
      <c r="CQ1248" s="2"/>
      <c r="CR1248" s="1"/>
      <c r="CS1248" s="1"/>
      <c r="CT1248" s="1"/>
      <c r="CU1248" s="1"/>
    </row>
    <row r="1249" spans="1:99" s="13" customFormat="1" ht="12" customHeight="1" x14ac:dyDescent="0.2">
      <c r="A1249" s="68">
        <v>43509</v>
      </c>
      <c r="B1249" s="70" t="s">
        <v>128</v>
      </c>
      <c r="C1249" s="70" t="s">
        <v>45</v>
      </c>
      <c r="D1249" s="69">
        <v>1983</v>
      </c>
      <c r="E1249" s="87">
        <v>2</v>
      </c>
      <c r="F1249" s="69">
        <v>120</v>
      </c>
      <c r="G1249" s="69">
        <v>20</v>
      </c>
      <c r="H1249" s="69" t="s">
        <v>32</v>
      </c>
      <c r="I1249" s="69" t="s">
        <v>130</v>
      </c>
      <c r="J1249" s="69" t="s">
        <v>320</v>
      </c>
      <c r="K1249" s="69">
        <f>IF(J1249="syllables",1,IF(J1249="trigrams",2,IF(J1249="strings",3,IF(J1249="visual array",4,IF(J1249="characters",5,IF(J1249="letters",6,IF(J1249="free forms",7,IF(J1249="odors",8,IF(J1249="words",9,IF(J1249="pictures",10,IF(J1249="object pictures",11,IF(J1249="faces",12,IF(J1249="names",13,IF(J1249="idioms",14,IF(J1249="grades",15,IF(J1249="syllable-digit pairs",16,IF(J1249="trigram-word pairs",17,IF(J1249="word-digit pairs",18,IF(J1249="English-Swahili pairs",19,IF(J1249="spatial position",20,IF(J1249="word pairs",21,IF(J1249="word triads",22,IF(J1249="generated words",23,IF(J1249="word definition pairs",24,IF(J1249="math problems",25,IF(J1249="famous faces",26,IF(J1249="famous names",27,IF(J1249="famous voices",28,IF(J1249="television programs",29,IF(J1249="race horses",30,IF(J1249="new vocabulary",31,IF(J1249="sentences",32,IF(J1249="concepts",33,IF(J1249="ad slides",34,IF(J1249="scenes",35,IF(J1249="famous scenes",36,IF(J1249="poems",37,IF(J1249="walk",38,IF(J1249="faces and events",39,IF(J1249="events and names",40,IF(J1249="flashbulb",41,IF(J1249="stories",42,IF(J1249="course material",43,IF(J1249="autobiographical",44,IF(J1249="novels",45,IF(J1249="public events",46,"99"))))))))))))))))))))))))))))))))))))))))))))))</f>
        <v>21</v>
      </c>
      <c r="L1249" s="69">
        <f>IF(J1249="syllables",1,IF(J1249="trigrams",1,IF(J1249="strings",1,IF(J1249="visual array",1,IF(J1249="characters",1,IF(J1249="letters",1,IF(J1249="free forms",1,IF(J1249="odors",2,IF(J1249="words",2,IF(J1249="pictures",2,IF(J1249="object pictures",2,IF(J1249="faces",2,IF(J1249="names",2,IF(J1249="idioms","2",IF(J1249="grades",2,IF(J1249="syllable-digit pairs",3,IF(J1249="trigram-word pairs",3,IF(J1249="word-digit pairs",3,IF(J1249="English-Swahili pairs",3,IF(J1249="spatial position",3,IF(J1249="word pairs",4,IF(J1249="word triads",4,IF(J1249="generated words",4,IF(J1249="word definition pairs",4,IF(J1249="math problems",4,IF(J1249="famous faces",4,IF(J1249="famous names",4,IF(J1249="famous voices",4,IF(J1249="television programs",4,IF(J1249="race horses",4,IF(J1249="new vocabulary",4,IF(J1249="sentences",5,IF(J1249="concepts",5,IF(J1249="ad slides",5,IF(J1249="scenes",5,IF(J1249="famous scenes",5,IF(J1249="poems",6,IF(J1249="walk",6,IF(J1249="faces and events",6,IF(J1249="events and names",6,IF(J1249="flashbulb",7,IF(J1249="stories",7,IF(J1249="course material",7,IF(J1249="autobiographical",7,IF(J1249="novels",7,IF(J1249="public events",7,"99"))))))))))))))))))))))))))))))))))))))))))))))</f>
        <v>4</v>
      </c>
      <c r="M1249" s="69">
        <v>1</v>
      </c>
      <c r="N1249" s="69">
        <v>2</v>
      </c>
      <c r="O1249" s="69">
        <v>1</v>
      </c>
      <c r="P1249" s="69" t="s">
        <v>129</v>
      </c>
      <c r="Q1249" s="69" t="s">
        <v>133</v>
      </c>
      <c r="R1249" s="69">
        <f>IF(Q1249="Free Recall",1,IF(Q1249="Cued Recall",2,IF(Q1249="Recognition",3,IF(Q1249="Multiple Choice",4,IF(Q1249="Savings",5,IF(Q1249="Stem Completion",6,IF(Q1249="Fragment Completion",7,IF(Q1249="anagram solution",8,IF(Q1249="Matching",9,IF(Q1249="Problem Solving",10,"99"))))))))))</f>
        <v>9</v>
      </c>
      <c r="S1249" s="69"/>
      <c r="T1249" s="69" t="s">
        <v>261</v>
      </c>
      <c r="U1249" s="69">
        <f>IF(T1249="within",1,0)</f>
        <v>0</v>
      </c>
      <c r="V1249" s="69">
        <v>20</v>
      </c>
      <c r="W1249" s="69">
        <f>F1249*V1249</f>
        <v>2400</v>
      </c>
      <c r="X1249" s="69">
        <v>3</v>
      </c>
      <c r="Y1249" s="87">
        <f>AV1248</f>
        <v>70</v>
      </c>
      <c r="Z1249" s="69" t="s">
        <v>131</v>
      </c>
      <c r="AA1249" s="69">
        <v>432000</v>
      </c>
      <c r="AB1249" s="69" t="str">
        <f>IF(AA1249&lt;60,"1",IF(AA1249&lt;=43200,"2",IF(AA1249&lt;=777600,"3","4")))</f>
        <v>3</v>
      </c>
      <c r="AC1249" s="72">
        <f>AVERAGE(AV1248:DA1248)</f>
        <v>172823.33333333334</v>
      </c>
      <c r="AD1249" s="69" t="str">
        <f>IF(AC1249&lt;60,"1",IF(AC1249&lt;=43200,"2",IF(AC1249&lt;=777600,"3","4")))</f>
        <v>3</v>
      </c>
      <c r="AE1249" s="87">
        <f>AA1249-Y1249</f>
        <v>431930</v>
      </c>
      <c r="AF1249" s="88">
        <f>AV1249</f>
        <v>0.876</v>
      </c>
      <c r="AG1249" s="72">
        <f>((AW1249-AV1249)+(AX1249-AW1249))/2</f>
        <v>-0.10149999999999998</v>
      </c>
      <c r="AH1249" s="4"/>
      <c r="AI1249" s="72">
        <f>RSQ(AV1249:AX1249,AV1248:AX1248)</f>
        <v>0.57503404924449764</v>
      </c>
      <c r="AJ1249" s="110">
        <f>SLOPE(AV1249:AX1249,AV1248:AX1248)</f>
        <v>-3.6210348230653521E-7</v>
      </c>
      <c r="AK1249" s="72">
        <f>INTERCEPT(AV1249:AX1249,AV1248:AX1248)</f>
        <v>0.81391326415715637</v>
      </c>
      <c r="AL1249" s="72">
        <f>INDEX(LINEST(LN(AV1249:AX1249),LN(AV1248:AX1248),TRUE,TRUE),3,1)</f>
        <v>0.99993062124562571</v>
      </c>
      <c r="AM1249" s="72">
        <f>INDEX(LINEST(LN(AV1249:AX1249),LN(AV1248:AX1248)),1)</f>
        <v>-3.0297082499087184E-2</v>
      </c>
      <c r="AN1249" s="72">
        <f>EXP(INDEX(LINEST(LN(AV1249:AX1249),LN(AV1248:AX1248)),1,2))</f>
        <v>0.99610094400111782</v>
      </c>
      <c r="AO1249" s="89">
        <f>INDEX(LINEST((AV1249:AX1249),LN(AV1248:AX1248),TRUE,TRUE),3,1)</f>
        <v>0.99927048175769473</v>
      </c>
      <c r="AP1249" s="89">
        <f>INDEX(LINEST((AV1249:AX1249),LN(AV1248:AX1248)),1)</f>
        <v>-2.3490612680536673E-2</v>
      </c>
      <c r="AQ1249" s="90">
        <f>INDEX(LINEST(LN(AV1249:AX1249),SQRT(AV1248:AX1248),TRUE,TRUE),3,1)</f>
        <v>0.828590591182786</v>
      </c>
      <c r="AR1249" s="117">
        <f>INDEX(LINEST(LN(AV1249:AX1249),SQRT((AV1248:AX1248))),1)</f>
        <v>-3.9386424066537544E-4</v>
      </c>
      <c r="AS1249" s="91">
        <f>INDEX(LINEST(1/(AV1249:AX1249),1/(SQRT(AV1248:AX1248)),TRUE,TRUE),3,1)</f>
        <v>0.97071927591880891</v>
      </c>
      <c r="AT1249" s="91">
        <f>INDEX(LINEST(1/(AV1249:AX1249),1/SQRT(AV1248:AX1248)),1)</f>
        <v>-2.6598226001418586</v>
      </c>
      <c r="AU1249" s="3"/>
      <c r="AV1249" s="73">
        <v>0.876</v>
      </c>
      <c r="AW1249" s="73">
        <v>0.70499999999999996</v>
      </c>
      <c r="AX1249" s="73">
        <v>0.67300000000000004</v>
      </c>
      <c r="AY1249" s="42"/>
      <c r="AZ1249" s="46"/>
      <c r="BA1249" s="42"/>
      <c r="BB1249" s="42"/>
      <c r="BC1249" s="2"/>
      <c r="BD1249" s="2"/>
      <c r="BE1249" s="2"/>
      <c r="BF1249" s="2"/>
      <c r="BG1249" s="2"/>
      <c r="BH1249" s="2"/>
      <c r="BI1249" s="2"/>
      <c r="BJ1249" s="2"/>
      <c r="BK1249" s="2"/>
      <c r="BL1249" s="2"/>
      <c r="BM1249" s="2"/>
      <c r="BN1249" s="2"/>
      <c r="BO1249" s="2"/>
      <c r="BP1249" s="2"/>
      <c r="BQ1249" s="2"/>
      <c r="BR1249" s="2"/>
      <c r="BS1249" s="2"/>
      <c r="BT1249" s="2"/>
      <c r="BU1249" s="2"/>
      <c r="BV1249" s="2"/>
      <c r="BW1249" s="2"/>
      <c r="BX1249" s="2"/>
      <c r="BY1249" s="2"/>
      <c r="BZ1249" s="2"/>
      <c r="CA1249" s="2"/>
      <c r="CB1249" s="2"/>
      <c r="CC1249" s="2"/>
      <c r="CD1249" s="2"/>
      <c r="CE1249" s="2"/>
      <c r="CF1249" s="2"/>
      <c r="CG1249" s="2"/>
      <c r="CH1249" s="2"/>
      <c r="CI1249" s="2"/>
      <c r="CJ1249" s="2"/>
      <c r="CK1249" s="2"/>
      <c r="CL1249" s="2"/>
      <c r="CM1249" s="2"/>
      <c r="CN1249" s="2"/>
      <c r="CO1249" s="2"/>
      <c r="CP1249" s="2"/>
      <c r="CQ1249" s="2"/>
      <c r="CR1249" s="1"/>
      <c r="CS1249" s="1"/>
      <c r="CT1249" s="1"/>
      <c r="CU1249" s="1"/>
    </row>
    <row r="1250" spans="1:99" s="13" customFormat="1" ht="12" customHeight="1" x14ac:dyDescent="0.2">
      <c r="A1250" s="68">
        <v>43509</v>
      </c>
      <c r="B1250" s="70"/>
      <c r="C1250" s="70"/>
      <c r="D1250" s="69"/>
      <c r="E1250" s="87"/>
      <c r="F1250" s="69"/>
      <c r="G1250" s="69"/>
      <c r="H1250" s="69"/>
      <c r="I1250" s="69"/>
      <c r="J1250" s="69"/>
      <c r="K1250" s="107"/>
      <c r="L1250" s="107"/>
      <c r="M1250" s="69"/>
      <c r="N1250" s="69"/>
      <c r="O1250" s="69"/>
      <c r="P1250" s="69"/>
      <c r="Q1250" s="69"/>
      <c r="R1250" s="69"/>
      <c r="S1250" s="69"/>
      <c r="T1250" s="69"/>
      <c r="U1250" s="69"/>
      <c r="V1250" s="69"/>
      <c r="W1250" s="69"/>
      <c r="X1250" s="69"/>
      <c r="Y1250" s="87"/>
      <c r="Z1250" s="69"/>
      <c r="AA1250" s="69"/>
      <c r="AB1250" s="69"/>
      <c r="AC1250" s="69"/>
      <c r="AD1250" s="69"/>
      <c r="AE1250" s="69"/>
      <c r="AF1250" s="88"/>
      <c r="AG1250" s="72"/>
      <c r="AH1250" s="4"/>
      <c r="AI1250" s="72"/>
      <c r="AJ1250" s="110"/>
      <c r="AK1250" s="72"/>
      <c r="AL1250" s="72"/>
      <c r="AM1250" s="72"/>
      <c r="AN1250" s="72"/>
      <c r="AO1250" s="72"/>
      <c r="AP1250" s="72"/>
      <c r="AQ1250" s="89"/>
      <c r="AR1250" s="118"/>
      <c r="AS1250" s="89"/>
      <c r="AT1250" s="89"/>
      <c r="AU1250" s="4"/>
      <c r="AV1250" s="71">
        <v>70</v>
      </c>
      <c r="AW1250" s="71">
        <f>24*3600*1</f>
        <v>86400</v>
      </c>
      <c r="AX1250" s="71">
        <f>24*3600*5</f>
        <v>432000</v>
      </c>
      <c r="AY1250" s="42"/>
      <c r="AZ1250" s="46"/>
      <c r="BA1250" s="42"/>
      <c r="BB1250" s="42"/>
      <c r="BC1250" s="2"/>
      <c r="BD1250" s="2"/>
      <c r="BE1250" s="2"/>
      <c r="BF1250" s="2"/>
      <c r="BG1250" s="2"/>
      <c r="BH1250" s="2"/>
      <c r="BI1250" s="2"/>
      <c r="BJ1250" s="2"/>
      <c r="BK1250" s="2"/>
      <c r="BL1250" s="2"/>
      <c r="BM1250" s="2"/>
      <c r="BN1250" s="2"/>
      <c r="BO1250" s="2"/>
      <c r="BP1250" s="2"/>
      <c r="BQ1250" s="2"/>
      <c r="BR1250" s="2"/>
      <c r="BS1250" s="2"/>
      <c r="BT1250" s="2"/>
      <c r="BU1250" s="2"/>
      <c r="BV1250" s="2"/>
      <c r="BW1250" s="2"/>
      <c r="BX1250" s="2"/>
      <c r="BY1250" s="2"/>
      <c r="BZ1250" s="2"/>
      <c r="CA1250" s="2"/>
      <c r="CB1250" s="2"/>
      <c r="CC1250" s="2"/>
      <c r="CD1250" s="2"/>
      <c r="CE1250" s="2"/>
      <c r="CF1250" s="2"/>
      <c r="CG1250" s="2"/>
      <c r="CH1250" s="2"/>
      <c r="CI1250" s="2"/>
      <c r="CJ1250" s="2"/>
      <c r="CK1250" s="2"/>
      <c r="CL1250" s="2"/>
      <c r="CM1250" s="2"/>
      <c r="CN1250" s="2"/>
      <c r="CO1250" s="2"/>
      <c r="CP1250" s="2"/>
      <c r="CQ1250" s="2"/>
      <c r="CR1250" s="1"/>
      <c r="CS1250" s="1"/>
      <c r="CT1250" s="1"/>
      <c r="CU1250" s="1"/>
    </row>
    <row r="1251" spans="1:99" s="13" customFormat="1" ht="12" customHeight="1" x14ac:dyDescent="0.2">
      <c r="A1251" s="68">
        <v>43509</v>
      </c>
      <c r="B1251" s="70" t="s">
        <v>128</v>
      </c>
      <c r="C1251" s="70" t="s">
        <v>45</v>
      </c>
      <c r="D1251" s="69">
        <v>1983</v>
      </c>
      <c r="E1251" s="87">
        <v>2</v>
      </c>
      <c r="F1251" s="69">
        <v>120</v>
      </c>
      <c r="G1251" s="69">
        <v>20</v>
      </c>
      <c r="H1251" s="69" t="s">
        <v>32</v>
      </c>
      <c r="I1251" s="69" t="s">
        <v>132</v>
      </c>
      <c r="J1251" s="69" t="s">
        <v>320</v>
      </c>
      <c r="K1251" s="69">
        <f>IF(J1251="syllables",1,IF(J1251="trigrams",2,IF(J1251="strings",3,IF(J1251="visual array",4,IF(J1251="characters",5,IF(J1251="letters",6,IF(J1251="free forms",7,IF(J1251="odors",8,IF(J1251="words",9,IF(J1251="pictures",10,IF(J1251="object pictures",11,IF(J1251="faces",12,IF(J1251="names",13,IF(J1251="idioms",14,IF(J1251="grades",15,IF(J1251="syllable-digit pairs",16,IF(J1251="trigram-word pairs",17,IF(J1251="word-digit pairs",18,IF(J1251="English-Swahili pairs",19,IF(J1251="spatial position",20,IF(J1251="word pairs",21,IF(J1251="word triads",22,IF(J1251="generated words",23,IF(J1251="word definition pairs",24,IF(J1251="math problems",25,IF(J1251="famous faces",26,IF(J1251="famous names",27,IF(J1251="famous voices",28,IF(J1251="television programs",29,IF(J1251="race horses",30,IF(J1251="new vocabulary",31,IF(J1251="sentences",32,IF(J1251="concepts",33,IF(J1251="ad slides",34,IF(J1251="scenes",35,IF(J1251="famous scenes",36,IF(J1251="poems",37,IF(J1251="walk",38,IF(J1251="faces and events",39,IF(J1251="events and names",40,IF(J1251="flashbulb",41,IF(J1251="stories",42,IF(J1251="course material",43,IF(J1251="autobiographical",44,IF(J1251="novels",45,IF(J1251="public events",46,"99"))))))))))))))))))))))))))))))))))))))))))))))</f>
        <v>21</v>
      </c>
      <c r="L1251" s="69">
        <f>IF(J1251="syllables",1,IF(J1251="trigrams",1,IF(J1251="strings",1,IF(J1251="visual array",1,IF(J1251="characters",1,IF(J1251="letters",1,IF(J1251="free forms",1,IF(J1251="odors",2,IF(J1251="words",2,IF(J1251="pictures",2,IF(J1251="object pictures",2,IF(J1251="faces",2,IF(J1251="names",2,IF(J1251="idioms","2",IF(J1251="grades",2,IF(J1251="syllable-digit pairs",3,IF(J1251="trigram-word pairs",3,IF(J1251="word-digit pairs",3,IF(J1251="English-Swahili pairs",3,IF(J1251="spatial position",3,IF(J1251="word pairs",4,IF(J1251="word triads",4,IF(J1251="generated words",4,IF(J1251="word definition pairs",4,IF(J1251="math problems",4,IF(J1251="famous faces",4,IF(J1251="famous names",4,IF(J1251="famous voices",4,IF(J1251="television programs",4,IF(J1251="race horses",4,IF(J1251="new vocabulary",4,IF(J1251="sentences",5,IF(J1251="concepts",5,IF(J1251="ad slides",5,IF(J1251="scenes",5,IF(J1251="famous scenes",5,IF(J1251="poems",6,IF(J1251="walk",6,IF(J1251="faces and events",6,IF(J1251="events and names",6,IF(J1251="flashbulb",7,IF(J1251="stories",7,IF(J1251="course material",7,IF(J1251="autobiographical",7,IF(J1251="novels",7,IF(J1251="public events",7,"99"))))))))))))))))))))))))))))))))))))))))))))))</f>
        <v>4</v>
      </c>
      <c r="M1251" s="69">
        <v>1</v>
      </c>
      <c r="N1251" s="69">
        <v>1</v>
      </c>
      <c r="O1251" s="69">
        <v>1</v>
      </c>
      <c r="P1251" s="69" t="s">
        <v>129</v>
      </c>
      <c r="Q1251" s="69" t="s">
        <v>133</v>
      </c>
      <c r="R1251" s="69">
        <f>IF(Q1251="Free Recall",1,IF(Q1251="Cued Recall",2,IF(Q1251="Recognition",3,IF(Q1251="Multiple Choice",4,IF(Q1251="Savings",5,IF(Q1251="Stem Completion",6,IF(Q1251="Fragment Completion",7,IF(Q1251="anagram solution",8,IF(Q1251="Matching",9,IF(Q1251="Problem Solving",10,"99"))))))))))</f>
        <v>9</v>
      </c>
      <c r="S1251" s="69"/>
      <c r="T1251" s="69" t="s">
        <v>261</v>
      </c>
      <c r="U1251" s="69">
        <f>IF(T1251="within",1,0)</f>
        <v>0</v>
      </c>
      <c r="V1251" s="69">
        <v>20</v>
      </c>
      <c r="W1251" s="69">
        <f>F1251*V1251</f>
        <v>2400</v>
      </c>
      <c r="X1251" s="69">
        <v>3</v>
      </c>
      <c r="Y1251" s="87">
        <f>AV1250</f>
        <v>70</v>
      </c>
      <c r="Z1251" s="69" t="s">
        <v>131</v>
      </c>
      <c r="AA1251" s="69">
        <v>432000</v>
      </c>
      <c r="AB1251" s="69" t="str">
        <f>IF(AA1251&lt;60,"1",IF(AA1251&lt;=43200,"2",IF(AA1251&lt;=777600,"3","4")))</f>
        <v>3</v>
      </c>
      <c r="AC1251" s="72">
        <f>AVERAGE(AV1250:DA1250)</f>
        <v>172823.33333333334</v>
      </c>
      <c r="AD1251" s="69" t="str">
        <f>IF(AC1251&lt;60,"1",IF(AC1251&lt;=43200,"2",IF(AC1251&lt;=777600,"3","4")))</f>
        <v>3</v>
      </c>
      <c r="AE1251" s="87">
        <f>AA1251-Y1251</f>
        <v>431930</v>
      </c>
      <c r="AF1251" s="88">
        <f>AV1251</f>
        <v>0.69199999999999995</v>
      </c>
      <c r="AG1251" s="72">
        <f>((AW1251-AV1251)+(AX1251-AW1251))/2</f>
        <v>-0.16649999999999998</v>
      </c>
      <c r="AH1251" s="4"/>
      <c r="AI1251" s="72">
        <f>RSQ(AV1251:AX1251,AV1250:AX1250)</f>
        <v>0.92182817892413171</v>
      </c>
      <c r="AJ1251" s="110">
        <f>SLOPE(AV1251:AX1251,AV1250:AX1250)</f>
        <v>-7.0028527898727635E-7</v>
      </c>
      <c r="AK1251" s="72">
        <f>INTERCEPT(AV1251:AX1251,AV1250:AX1250)</f>
        <v>0.65135896953217776</v>
      </c>
      <c r="AL1251" s="72">
        <f>INDEX(LINEST(LN(AV1251:AX1251),LN(AV1250:AX1250),TRUE,TRUE),3,1)</f>
        <v>0.7789263403438873</v>
      </c>
      <c r="AM1251" s="72">
        <f>INDEX(LINEST(LN(AV1251:AX1251),LN(AV1250:AX1250)),1)</f>
        <v>-6.296850928148294E-2</v>
      </c>
      <c r="AN1251" s="72">
        <f>EXP(INDEX(LINEST(LN(AV1251:AX1251),LN(AV1250:AX1250)),1,2))</f>
        <v>0.9328821128930499</v>
      </c>
      <c r="AO1251" s="89">
        <f>INDEX(LINEST((AV1251:AX1251),LN(AV1250:AX1250),TRUE,TRUE),3,1)</f>
        <v>0.84857041929175192</v>
      </c>
      <c r="AP1251" s="89">
        <f>INDEX(LINEST((AV1251:AX1251),LN(AV1250:AX1250)),1)</f>
        <v>-3.3064415157103622E-2</v>
      </c>
      <c r="AQ1251" s="90">
        <f>INDEX(LINEST(LN(AV1251:AX1251),SQRT(AV1250:AX1250),TRUE,TRUE),3,1)</f>
        <v>0.99497202274352248</v>
      </c>
      <c r="AR1251" s="117">
        <f>INDEX(LINEST(LN(AV1251:AX1251),SQRT((AV1250:AX1250))),1)</f>
        <v>-1.0163454090204591E-3</v>
      </c>
      <c r="AS1251" s="91">
        <f>INDEX(LINEST(1/(AV1251:AX1251),1/(SQRT(AV1250:AX1250)),TRUE,TRUE),3,1)</f>
        <v>0.55244886871197563</v>
      </c>
      <c r="AT1251" s="91">
        <f>INDEX(LINEST(1/(AV1251:AX1251),1/SQRT(AV1250:AX1250)),1)</f>
        <v>-7.5573806580143277</v>
      </c>
      <c r="AU1251" s="3"/>
      <c r="AV1251" s="73">
        <v>0.69199999999999995</v>
      </c>
      <c r="AW1251" s="73">
        <v>0.54</v>
      </c>
      <c r="AX1251" s="73">
        <v>0.35899999999999999</v>
      </c>
      <c r="AY1251" s="42"/>
      <c r="AZ1251" s="46"/>
      <c r="BA1251" s="42"/>
      <c r="BB1251" s="42"/>
      <c r="BC1251" s="2"/>
      <c r="BD1251" s="2"/>
      <c r="BE1251" s="2"/>
      <c r="BF1251" s="2"/>
      <c r="BG1251" s="2"/>
      <c r="BH1251" s="2"/>
      <c r="BI1251" s="2"/>
      <c r="BJ1251" s="2"/>
      <c r="BK1251" s="2"/>
      <c r="BL1251" s="2"/>
      <c r="BM1251" s="2"/>
      <c r="BN1251" s="2"/>
      <c r="BO1251" s="2"/>
      <c r="BP1251" s="2"/>
      <c r="BQ1251" s="2"/>
      <c r="BR1251" s="2"/>
      <c r="BS1251" s="2"/>
      <c r="BT1251" s="2"/>
      <c r="BU1251" s="2"/>
      <c r="BV1251" s="2"/>
      <c r="BW1251" s="2"/>
      <c r="BX1251" s="2"/>
      <c r="BY1251" s="2"/>
      <c r="BZ1251" s="2"/>
      <c r="CA1251" s="2"/>
      <c r="CB1251" s="2"/>
      <c r="CC1251" s="2"/>
      <c r="CD1251" s="2"/>
      <c r="CE1251" s="2"/>
      <c r="CF1251" s="2"/>
      <c r="CG1251" s="2"/>
      <c r="CH1251" s="2"/>
      <c r="CI1251" s="2"/>
      <c r="CJ1251" s="2"/>
      <c r="CK1251" s="2"/>
      <c r="CL1251" s="2"/>
      <c r="CM1251" s="2"/>
      <c r="CN1251" s="2"/>
      <c r="CO1251" s="2"/>
      <c r="CP1251" s="2"/>
      <c r="CQ1251" s="2"/>
      <c r="CR1251" s="1"/>
      <c r="CS1251" s="1"/>
      <c r="CT1251" s="1"/>
      <c r="CU1251" s="1"/>
    </row>
    <row r="1252" spans="1:99" s="13" customFormat="1" ht="12" customHeight="1" x14ac:dyDescent="0.2">
      <c r="A1252" s="68">
        <v>43509</v>
      </c>
      <c r="B1252" s="70"/>
      <c r="C1252" s="70"/>
      <c r="D1252" s="69"/>
      <c r="E1252" s="87"/>
      <c r="F1252" s="69"/>
      <c r="G1252" s="69"/>
      <c r="H1252" s="69"/>
      <c r="I1252" s="69"/>
      <c r="J1252" s="69"/>
      <c r="K1252" s="107"/>
      <c r="L1252" s="107"/>
      <c r="M1252" s="69"/>
      <c r="N1252" s="69"/>
      <c r="O1252" s="69"/>
      <c r="P1252" s="69"/>
      <c r="Q1252" s="69"/>
      <c r="R1252" s="69"/>
      <c r="S1252" s="69"/>
      <c r="T1252" s="69"/>
      <c r="U1252" s="69"/>
      <c r="V1252" s="69"/>
      <c r="W1252" s="69"/>
      <c r="X1252" s="69"/>
      <c r="Y1252" s="87"/>
      <c r="Z1252" s="69"/>
      <c r="AA1252" s="69"/>
      <c r="AB1252" s="69"/>
      <c r="AC1252" s="69"/>
      <c r="AD1252" s="69"/>
      <c r="AE1252" s="69"/>
      <c r="AF1252" s="88"/>
      <c r="AG1252" s="72"/>
      <c r="AH1252" s="4"/>
      <c r="AI1252" s="72"/>
      <c r="AJ1252" s="110"/>
      <c r="AK1252" s="72"/>
      <c r="AL1252" s="72"/>
      <c r="AM1252" s="72"/>
      <c r="AN1252" s="72"/>
      <c r="AO1252" s="72"/>
      <c r="AP1252" s="72"/>
      <c r="AQ1252" s="89"/>
      <c r="AR1252" s="118"/>
      <c r="AS1252" s="89"/>
      <c r="AT1252" s="89"/>
      <c r="AU1252" s="4"/>
      <c r="AV1252" s="71">
        <v>150</v>
      </c>
      <c r="AW1252" s="71">
        <f>24*3600*1</f>
        <v>86400</v>
      </c>
      <c r="AX1252" s="71">
        <f>24*3600*5</f>
        <v>432000</v>
      </c>
      <c r="AY1252" s="52" t="s">
        <v>533</v>
      </c>
      <c r="AZ1252" s="46"/>
      <c r="BA1252" s="42"/>
      <c r="BB1252" s="42"/>
      <c r="BC1252" s="2"/>
      <c r="BD1252" s="2"/>
      <c r="BE1252" s="2"/>
      <c r="BF1252" s="2"/>
      <c r="BG1252" s="2"/>
      <c r="BH1252" s="2"/>
      <c r="BI1252" s="2"/>
      <c r="BJ1252" s="2"/>
      <c r="BK1252" s="2"/>
      <c r="BL1252" s="2"/>
      <c r="BM1252" s="2"/>
      <c r="BN1252" s="2"/>
      <c r="BO1252" s="2"/>
      <c r="BP1252" s="2"/>
      <c r="BQ1252" s="2"/>
      <c r="BR1252" s="2"/>
      <c r="BS1252" s="2"/>
      <c r="BT1252" s="2"/>
      <c r="BU1252" s="2"/>
      <c r="BV1252" s="2"/>
      <c r="BW1252" s="2"/>
      <c r="BX1252" s="2"/>
      <c r="BY1252" s="2"/>
      <c r="BZ1252" s="2"/>
      <c r="CA1252" s="2"/>
      <c r="CB1252" s="2"/>
      <c r="CC1252" s="2"/>
      <c r="CD1252" s="2"/>
      <c r="CE1252" s="2"/>
      <c r="CF1252" s="2"/>
      <c r="CG1252" s="2"/>
      <c r="CH1252" s="2"/>
      <c r="CI1252" s="2"/>
      <c r="CJ1252" s="2"/>
      <c r="CK1252" s="2"/>
      <c r="CL1252" s="2"/>
      <c r="CM1252" s="2"/>
      <c r="CN1252" s="2"/>
      <c r="CO1252" s="2"/>
      <c r="CP1252" s="2"/>
      <c r="CQ1252" s="2"/>
      <c r="CR1252" s="1"/>
      <c r="CS1252" s="1"/>
      <c r="CT1252" s="1"/>
      <c r="CU1252" s="1"/>
    </row>
    <row r="1253" spans="1:99" s="13" customFormat="1" ht="12" customHeight="1" x14ac:dyDescent="0.2">
      <c r="A1253" s="68">
        <v>43509</v>
      </c>
      <c r="B1253" s="70" t="s">
        <v>128</v>
      </c>
      <c r="C1253" s="70" t="s">
        <v>45</v>
      </c>
      <c r="D1253" s="69">
        <v>1983</v>
      </c>
      <c r="E1253" s="87">
        <v>3</v>
      </c>
      <c r="F1253" s="69">
        <v>18</v>
      </c>
      <c r="G1253" s="69">
        <v>18</v>
      </c>
      <c r="H1253" s="69" t="s">
        <v>43</v>
      </c>
      <c r="I1253" s="69" t="s">
        <v>130</v>
      </c>
      <c r="J1253" s="69" t="s">
        <v>475</v>
      </c>
      <c r="K1253" s="69">
        <f>IF(J1253="syllables",1,IF(J1253="trigrams",2,IF(J1253="strings",3,IF(J1253="visual array",4,IF(J1253="characters",5,IF(J1253="letters",6,IF(J1253="free forms",7,IF(J1253="odors",8,IF(J1253="words",9,IF(J1253="pictures",10,IF(J1253="object pictures",11,IF(J1253="faces",12,IF(J1253="names",13,IF(J1253="idioms",14,IF(J1253="grades",15,IF(J1253="syllable-digit pairs",16,IF(J1253="trigram-word pairs",17,IF(J1253="word-digit pairs",18,IF(J1253="English-Swahili pairs",19,IF(J1253="spatial position",20,IF(J1253="word pairs",21,IF(J1253="word triads",22,IF(J1253="generated words",23,IF(J1253="word definition pairs",24,IF(J1253="math problems",25,IF(J1253="famous faces",26,IF(J1253="famous names",27,IF(J1253="famous voices",28,IF(J1253="television programs",29,IF(J1253="race horses",30,IF(J1253="new vocabulary",31,IF(J1253="sentences",32,IF(J1253="concepts",33,IF(J1253="ad slides",34,IF(J1253="scenes",35,IF(J1253="famous scenes",36,IF(J1253="poems",37,IF(J1253="walk",38,IF(J1253="faces and events",39,IF(J1253="events and names",40,IF(J1253="flashbulb",41,IF(J1253="stories",42,IF(J1253="course material",43,IF(J1253="autobiographical",44,IF(J1253="novels",45,IF(J1253="public events",46,"99"))))))))))))))))))))))))))))))))))))))))))))))</f>
        <v>32</v>
      </c>
      <c r="L1253" s="69">
        <f>IF(J1253="syllables",1,IF(J1253="trigrams",1,IF(J1253="strings",1,IF(J1253="visual array",1,IF(J1253="characters",1,IF(J1253="letters",1,IF(J1253="free forms",1,IF(J1253="odors",2,IF(J1253="words",2,IF(J1253="pictures",2,IF(J1253="object pictures",2,IF(J1253="faces",2,IF(J1253="names",2,IF(J1253="idioms","2",IF(J1253="grades",2,IF(J1253="syllable-digit pairs",3,IF(J1253="trigram-word pairs",3,IF(J1253="word-digit pairs",3,IF(J1253="English-Swahili pairs",3,IF(J1253="spatial position",3,IF(J1253="word pairs",4,IF(J1253="word triads",4,IF(J1253="generated words",4,IF(J1253="word definition pairs",4,IF(J1253="math problems",4,IF(J1253="famous faces",4,IF(J1253="famous names",4,IF(J1253="famous voices",4,IF(J1253="television programs",4,IF(J1253="race horses",4,IF(J1253="new vocabulary",4,IF(J1253="sentences",5,IF(J1253="concepts",5,IF(J1253="ad slides",5,IF(J1253="scenes",5,IF(J1253="famous scenes",5,IF(J1253="poems",6,IF(J1253="walk",6,IF(J1253="faces and events",6,IF(J1253="events and names",6,IF(J1253="flashbulb",7,IF(J1253="stories",7,IF(J1253="course material",7,IF(J1253="autobiographical",7,IF(J1253="novels",7,IF(J1253="public events",7,"99"))))))))))))))))))))))))))))))))))))))))))))))</f>
        <v>5</v>
      </c>
      <c r="M1253" s="69">
        <v>1</v>
      </c>
      <c r="N1253" s="69">
        <v>4</v>
      </c>
      <c r="O1253" s="69">
        <v>1</v>
      </c>
      <c r="P1253" s="69" t="s">
        <v>129</v>
      </c>
      <c r="Q1253" s="69" t="s">
        <v>65</v>
      </c>
      <c r="R1253" s="69">
        <f>IF(Q1253="Free Recall",1,IF(Q1253="Cued Recall",2,IF(Q1253="Recognition",3,IF(Q1253="Multiple Choice",4,IF(Q1253="Savings",5,IF(Q1253="Stem Completion",6,IF(Q1253="Fragment Completion",7,IF(Q1253="anagram solution",8,IF(Q1253="Matching",9,IF(Q1253="Problem Solving",10,"99"))))))))))</f>
        <v>2</v>
      </c>
      <c r="S1253" s="69"/>
      <c r="T1253" s="92" t="s">
        <v>581</v>
      </c>
      <c r="U1253" s="69">
        <f>IF(T1253="within",1,0)</f>
        <v>1</v>
      </c>
      <c r="V1253" s="92">
        <v>16</v>
      </c>
      <c r="W1253" s="69">
        <f>F1253*V1253</f>
        <v>288</v>
      </c>
      <c r="X1253" s="69">
        <v>3</v>
      </c>
      <c r="Y1253" s="87">
        <f>AV1252</f>
        <v>150</v>
      </c>
      <c r="Z1253" s="69" t="s">
        <v>131</v>
      </c>
      <c r="AA1253" s="69">
        <v>432000</v>
      </c>
      <c r="AB1253" s="69" t="str">
        <f>IF(AA1253&lt;60,"1",IF(AA1253&lt;=43200,"2",IF(AA1253&lt;=777600,"3","4")))</f>
        <v>3</v>
      </c>
      <c r="AC1253" s="72">
        <f>AVERAGE(AV1252:DA1252)</f>
        <v>172850</v>
      </c>
      <c r="AD1253" s="69" t="str">
        <f>IF(AC1253&lt;60,"1",IF(AC1253&lt;=43200,"2",IF(AC1253&lt;=777600,"3","4")))</f>
        <v>3</v>
      </c>
      <c r="AE1253" s="87">
        <f>AA1253-Y1253</f>
        <v>431850</v>
      </c>
      <c r="AF1253" s="88">
        <f>AV1253</f>
        <v>0.246</v>
      </c>
      <c r="AG1253" s="72">
        <f>((AW1253-AV1253)+(AX1253-AW1253))/2</f>
        <v>-8.199999999999999E-2</v>
      </c>
      <c r="AH1253" s="4"/>
      <c r="AI1253" s="72">
        <f>RSQ(AV1253:AX1253,AV1252:AX1252)</f>
        <v>0.86517595505192457</v>
      </c>
      <c r="AJ1253" s="110">
        <f>SLOPE(AV1253:AX1253,AV1252:AX1252)</f>
        <v>-3.3403979212046913E-7</v>
      </c>
      <c r="AK1253" s="72">
        <f>INTERCEPT(AV1253:AX1253,AV1252:AX1252)</f>
        <v>0.21973877806802311</v>
      </c>
      <c r="AL1253" s="72">
        <f>INDEX(LINEST(LN(AV1253:AX1253),LN(AV1252:AX1252),TRUE,TRUE),3,1)</f>
        <v>0.81633224902495571</v>
      </c>
      <c r="AM1253" s="72">
        <f>INDEX(LINEST(LN(AV1253:AX1253),LN(AV1252:AX1252)),1)</f>
        <v>-0.11857085286319295</v>
      </c>
      <c r="AN1253" s="72">
        <f>EXP(INDEX(LINEST(LN(AV1253:AX1253),LN(AV1252:AX1252)),1,2))</f>
        <v>0.46951838273194452</v>
      </c>
      <c r="AO1253" s="89">
        <f>INDEX(LINEST((AV1253:AX1253),LN(AV1252:AX1252),TRUE,TRUE),3,1)</f>
        <v>0.91870301844427804</v>
      </c>
      <c r="AP1253" s="89">
        <f>INDEX(LINEST((AV1253:AX1253),LN(AV1252:AX1252)),1)</f>
        <v>-1.867717414422428E-2</v>
      </c>
      <c r="AQ1253" s="90">
        <f>INDEX(LINEST(LN(AV1253:AX1253),SQRT(AV1252:AX1252),TRUE,TRUE),3,1)</f>
        <v>0.99851057033542578</v>
      </c>
      <c r="AR1253" s="117">
        <f>INDEX(LINEST(LN(AV1253:AX1253),SQRT((AV1252:AX1252))),1)</f>
        <v>-1.7080434877592282E-3</v>
      </c>
      <c r="AS1253" s="91">
        <f>INDEX(LINEST(1/(AV1253:AX1253),1/(SQRT(AV1252:AX1252)),TRUE,TRUE),3,1)</f>
        <v>0.53192300641749013</v>
      </c>
      <c r="AT1253" s="91">
        <f>INDEX(LINEST(1/(AV1253:AX1253),1/SQRT(AV1252:AX1252)),1)</f>
        <v>-66.920814804177851</v>
      </c>
      <c r="AU1253" s="3"/>
      <c r="AV1253" s="73">
        <v>0.246</v>
      </c>
      <c r="AW1253" s="73">
        <v>0.158</v>
      </c>
      <c r="AX1253" s="73">
        <v>8.2000000000000003E-2</v>
      </c>
      <c r="AY1253" s="42"/>
      <c r="AZ1253" s="46"/>
      <c r="BA1253" s="42"/>
      <c r="BB1253" s="42"/>
      <c r="BC1253" s="2"/>
      <c r="BD1253" s="2"/>
      <c r="BE1253" s="2"/>
      <c r="BF1253" s="2"/>
      <c r="BG1253" s="2"/>
      <c r="BH1253" s="2"/>
      <c r="BI1253" s="2"/>
      <c r="BJ1253" s="2"/>
      <c r="BK1253" s="2"/>
      <c r="BL1253" s="2"/>
      <c r="BM1253" s="2"/>
      <c r="BN1253" s="2"/>
      <c r="BO1253" s="2"/>
      <c r="BP1253" s="2"/>
      <c r="BQ1253" s="2"/>
      <c r="BR1253" s="2"/>
      <c r="BS1253" s="2"/>
      <c r="BT1253" s="2"/>
      <c r="BU1253" s="2"/>
      <c r="BV1253" s="2"/>
      <c r="BW1253" s="2"/>
      <c r="BX1253" s="2"/>
      <c r="BY1253" s="2"/>
      <c r="BZ1253" s="2"/>
      <c r="CA1253" s="2"/>
      <c r="CB1253" s="2"/>
      <c r="CC1253" s="2"/>
      <c r="CD1253" s="2"/>
      <c r="CE1253" s="2"/>
      <c r="CF1253" s="2"/>
      <c r="CG1253" s="2"/>
      <c r="CH1253" s="2"/>
      <c r="CI1253" s="2"/>
      <c r="CJ1253" s="2"/>
      <c r="CK1253" s="2"/>
      <c r="CL1253" s="2"/>
      <c r="CM1253" s="2"/>
      <c r="CN1253" s="2"/>
      <c r="CO1253" s="2"/>
      <c r="CP1253" s="2"/>
      <c r="CQ1253" s="2"/>
      <c r="CR1253" s="1"/>
      <c r="CS1253" s="1"/>
      <c r="CT1253" s="1"/>
      <c r="CU1253" s="1"/>
    </row>
    <row r="1254" spans="1:99" s="13" customFormat="1" ht="12" customHeight="1" x14ac:dyDescent="0.2">
      <c r="A1254" s="68">
        <v>43509</v>
      </c>
      <c r="B1254" s="70"/>
      <c r="C1254" s="70"/>
      <c r="D1254" s="69"/>
      <c r="E1254" s="87"/>
      <c r="F1254" s="69"/>
      <c r="G1254" s="69"/>
      <c r="H1254" s="69"/>
      <c r="I1254" s="69"/>
      <c r="J1254" s="69"/>
      <c r="K1254" s="107"/>
      <c r="L1254" s="107"/>
      <c r="M1254" s="69"/>
      <c r="N1254" s="69"/>
      <c r="O1254" s="69"/>
      <c r="P1254" s="69"/>
      <c r="Q1254" s="69"/>
      <c r="R1254" s="69"/>
      <c r="S1254" s="69"/>
      <c r="T1254" s="69"/>
      <c r="U1254" s="69"/>
      <c r="V1254" s="69"/>
      <c r="W1254" s="69"/>
      <c r="X1254" s="69"/>
      <c r="Y1254" s="87"/>
      <c r="Z1254" s="69"/>
      <c r="AA1254" s="69"/>
      <c r="AB1254" s="69"/>
      <c r="AC1254" s="69"/>
      <c r="AD1254" s="69"/>
      <c r="AE1254" s="69"/>
      <c r="AF1254" s="88"/>
      <c r="AG1254" s="72"/>
      <c r="AH1254" s="4"/>
      <c r="AI1254" s="72"/>
      <c r="AJ1254" s="110"/>
      <c r="AK1254" s="72"/>
      <c r="AL1254" s="72"/>
      <c r="AM1254" s="72"/>
      <c r="AN1254" s="72"/>
      <c r="AO1254" s="72"/>
      <c r="AP1254" s="72"/>
      <c r="AQ1254" s="89"/>
      <c r="AR1254" s="118"/>
      <c r="AS1254" s="89"/>
      <c r="AT1254" s="89"/>
      <c r="AU1254" s="4"/>
      <c r="AV1254" s="71">
        <v>150</v>
      </c>
      <c r="AW1254" s="71">
        <f>24*3600*1</f>
        <v>86400</v>
      </c>
      <c r="AX1254" s="71">
        <f>24*3600*5</f>
        <v>432000</v>
      </c>
      <c r="AY1254" s="42"/>
      <c r="AZ1254" s="46"/>
      <c r="BA1254" s="42"/>
      <c r="BB1254" s="42"/>
      <c r="BC1254" s="2"/>
      <c r="BD1254" s="2"/>
      <c r="BE1254" s="2"/>
      <c r="BF1254" s="2"/>
      <c r="BG1254" s="2"/>
      <c r="BH1254" s="2"/>
      <c r="BI1254" s="2"/>
      <c r="BJ1254" s="2"/>
      <c r="BK1254" s="2"/>
      <c r="BL1254" s="2"/>
      <c r="BM1254" s="2"/>
      <c r="BN1254" s="2"/>
      <c r="BO1254" s="2"/>
      <c r="BP1254" s="2"/>
      <c r="BQ1254" s="2"/>
      <c r="BR1254" s="2"/>
      <c r="BS1254" s="2"/>
      <c r="BT1254" s="2"/>
      <c r="BU1254" s="2"/>
      <c r="BV1254" s="2"/>
      <c r="BW1254" s="2"/>
      <c r="BX1254" s="2"/>
      <c r="BY1254" s="2"/>
      <c r="BZ1254" s="2"/>
      <c r="CA1254" s="2"/>
      <c r="CB1254" s="2"/>
      <c r="CC1254" s="2"/>
      <c r="CD1254" s="2"/>
      <c r="CE1254" s="2"/>
      <c r="CF1254" s="2"/>
      <c r="CG1254" s="2"/>
      <c r="CH1254" s="2"/>
      <c r="CI1254" s="2"/>
      <c r="CJ1254" s="2"/>
      <c r="CK1254" s="2"/>
      <c r="CL1254" s="2"/>
      <c r="CM1254" s="2"/>
      <c r="CN1254" s="2"/>
      <c r="CO1254" s="2"/>
      <c r="CP1254" s="2"/>
      <c r="CQ1254" s="2"/>
      <c r="CR1254" s="1"/>
      <c r="CS1254" s="1"/>
      <c r="CT1254" s="1"/>
      <c r="CU1254" s="1"/>
    </row>
    <row r="1255" spans="1:99" s="13" customFormat="1" ht="12" customHeight="1" x14ac:dyDescent="0.2">
      <c r="A1255" s="68">
        <v>43509</v>
      </c>
      <c r="B1255" s="70" t="s">
        <v>128</v>
      </c>
      <c r="C1255" s="70" t="s">
        <v>45</v>
      </c>
      <c r="D1255" s="69">
        <v>1983</v>
      </c>
      <c r="E1255" s="87">
        <v>3</v>
      </c>
      <c r="F1255" s="69">
        <v>18</v>
      </c>
      <c r="G1255" s="69">
        <v>18</v>
      </c>
      <c r="H1255" s="69" t="s">
        <v>43</v>
      </c>
      <c r="I1255" s="69" t="s">
        <v>132</v>
      </c>
      <c r="J1255" s="69" t="s">
        <v>475</v>
      </c>
      <c r="K1255" s="69">
        <f>IF(J1255="syllables",1,IF(J1255="trigrams",2,IF(J1255="strings",3,IF(J1255="visual array",4,IF(J1255="characters",5,IF(J1255="letters",6,IF(J1255="free forms",7,IF(J1255="odors",8,IF(J1255="words",9,IF(J1255="pictures",10,IF(J1255="object pictures",11,IF(J1255="faces",12,IF(J1255="names",13,IF(J1255="idioms",14,IF(J1255="grades",15,IF(J1255="syllable-digit pairs",16,IF(J1255="trigram-word pairs",17,IF(J1255="word-digit pairs",18,IF(J1255="English-Swahili pairs",19,IF(J1255="spatial position",20,IF(J1255="word pairs",21,IF(J1255="word triads",22,IF(J1255="generated words",23,IF(J1255="word definition pairs",24,IF(J1255="math problems",25,IF(J1255="famous faces",26,IF(J1255="famous names",27,IF(J1255="famous voices",28,IF(J1255="television programs",29,IF(J1255="race horses",30,IF(J1255="new vocabulary",31,IF(J1255="sentences",32,IF(J1255="concepts",33,IF(J1255="ad slides",34,IF(J1255="scenes",35,IF(J1255="famous scenes",36,IF(J1255="poems",37,IF(J1255="walk",38,IF(J1255="faces and events",39,IF(J1255="events and names",40,IF(J1255="flashbulb",41,IF(J1255="stories",42,IF(J1255="course material",43,IF(J1255="autobiographical",44,IF(J1255="novels",45,IF(J1255="public events",46,"99"))))))))))))))))))))))))))))))))))))))))))))))</f>
        <v>32</v>
      </c>
      <c r="L1255" s="69">
        <f>IF(J1255="syllables",1,IF(J1255="trigrams",1,IF(J1255="strings",1,IF(J1255="visual array",1,IF(J1255="characters",1,IF(J1255="letters",1,IF(J1255="free forms",1,IF(J1255="odors",2,IF(J1255="words",2,IF(J1255="pictures",2,IF(J1255="object pictures",2,IF(J1255="faces",2,IF(J1255="names",2,IF(J1255="idioms","2",IF(J1255="grades",2,IF(J1255="syllable-digit pairs",3,IF(J1255="trigram-word pairs",3,IF(J1255="word-digit pairs",3,IF(J1255="English-Swahili pairs",3,IF(J1255="spatial position",3,IF(J1255="word pairs",4,IF(J1255="word triads",4,IF(J1255="generated words",4,IF(J1255="word definition pairs",4,IF(J1255="math problems",4,IF(J1255="famous faces",4,IF(J1255="famous names",4,IF(J1255="famous voices",4,IF(J1255="television programs",4,IF(J1255="race horses",4,IF(J1255="new vocabulary",4,IF(J1255="sentences",5,IF(J1255="concepts",5,IF(J1255="ad slides",5,IF(J1255="scenes",5,IF(J1255="famous scenes",5,IF(J1255="poems",6,IF(J1255="walk",6,IF(J1255="faces and events",6,IF(J1255="events and names",6,IF(J1255="flashbulb",7,IF(J1255="stories",7,IF(J1255="course material",7,IF(J1255="autobiographical",7,IF(J1255="novels",7,IF(J1255="public events",7,"99"))))))))))))))))))))))))))))))))))))))))))))))</f>
        <v>5</v>
      </c>
      <c r="M1255" s="69">
        <v>1</v>
      </c>
      <c r="N1255" s="69">
        <v>3</v>
      </c>
      <c r="O1255" s="69">
        <v>1</v>
      </c>
      <c r="P1255" s="69" t="s">
        <v>129</v>
      </c>
      <c r="Q1255" s="69" t="s">
        <v>65</v>
      </c>
      <c r="R1255" s="69">
        <f>IF(Q1255="Free Recall",1,IF(Q1255="Cued Recall",2,IF(Q1255="Recognition",3,IF(Q1255="Multiple Choice",4,IF(Q1255="Savings",5,IF(Q1255="Stem Completion",6,IF(Q1255="Fragment Completion",7,IF(Q1255="anagram solution",8,IF(Q1255="Matching",9,IF(Q1255="Problem Solving",10,"99"))))))))))</f>
        <v>2</v>
      </c>
      <c r="S1255" s="69"/>
      <c r="T1255" s="92" t="s">
        <v>581</v>
      </c>
      <c r="U1255" s="69">
        <f>IF(T1255="within",1,0)</f>
        <v>1</v>
      </c>
      <c r="V1255" s="92">
        <v>16</v>
      </c>
      <c r="W1255" s="69">
        <f>F1255*V1255</f>
        <v>288</v>
      </c>
      <c r="X1255" s="69">
        <v>3</v>
      </c>
      <c r="Y1255" s="87">
        <f>AV1254</f>
        <v>150</v>
      </c>
      <c r="Z1255" s="69" t="s">
        <v>131</v>
      </c>
      <c r="AA1255" s="69">
        <v>432000</v>
      </c>
      <c r="AB1255" s="69" t="str">
        <f>IF(AA1255&lt;60,"1",IF(AA1255&lt;=43200,"2",IF(AA1255&lt;=777600,"3","4")))</f>
        <v>3</v>
      </c>
      <c r="AC1255" s="72">
        <f>AVERAGE(AV1254:DA1254)</f>
        <v>172850</v>
      </c>
      <c r="AD1255" s="69" t="str">
        <f>IF(AC1255&lt;60,"1",IF(AC1255&lt;=43200,"2",IF(AC1255&lt;=777600,"3","4")))</f>
        <v>3</v>
      </c>
      <c r="AE1255" s="87">
        <f>AA1255-Y1255</f>
        <v>431850</v>
      </c>
      <c r="AF1255" s="88">
        <f>AV1255</f>
        <v>0.193</v>
      </c>
      <c r="AG1255" s="72">
        <f>((AW1255-AV1255)+(AX1255-AW1255))/2</f>
        <v>-7.6999999999999999E-2</v>
      </c>
      <c r="AH1255" s="4"/>
      <c r="AI1255" s="72">
        <f>RSQ(AV1255:AX1255,AV1254:AX1254)</f>
        <v>0.76014120299534416</v>
      </c>
      <c r="AJ1255" s="110">
        <f>SLOPE(AV1255:AX1255,AV1254:AX1254)</f>
        <v>-2.9847177728497824E-7</v>
      </c>
      <c r="AK1255" s="72">
        <f>INTERCEPT(AV1255:AX1255,AV1254:AX1254)</f>
        <v>0.15959084670370849</v>
      </c>
      <c r="AL1255" s="72">
        <f>INDEX(LINEST(LN(AV1255:AX1255),LN(AV1254:AX1254),TRUE,TRUE),3,1)</f>
        <v>0.86673471216554188</v>
      </c>
      <c r="AM1255" s="72">
        <f>INDEX(LINEST(LN(AV1255:AX1255),LN(AV1254:AX1254)),1)</f>
        <v>-0.17689204805834827</v>
      </c>
      <c r="AN1255" s="72">
        <f>EXP(INDEX(LINEST(LN(AV1255:AX1255),LN(AV1254:AX1254)),1,2))</f>
        <v>0.499438200300241</v>
      </c>
      <c r="AO1255" s="89">
        <f>INDEX(LINEST((AV1255:AX1255),LN(AV1254:AX1254),TRUE,TRUE),3,1)</f>
        <v>0.97667947627318707</v>
      </c>
      <c r="AP1255" s="89">
        <f>INDEX(LINEST((AV1255:AX1255),LN(AV1254:AX1254)),1)</f>
        <v>-1.8357341106126725E-2</v>
      </c>
      <c r="AQ1255" s="90">
        <f>INDEX(LINEST(LN(AV1255:AX1255),SQRT(AV1254:AX1254),TRUE,TRUE),3,1)</f>
        <v>0.99906338989954502</v>
      </c>
      <c r="AR1255" s="117">
        <f>INDEX(LINEST(LN(AV1255:AX1255),SQRT((AV1254:AX1254))),1)</f>
        <v>-2.4736591726272979E-3</v>
      </c>
      <c r="AS1255" s="91">
        <f>INDEX(LINEST(1/(AV1255:AX1255),1/(SQRT(AV1254:AX1254)),TRUE,TRUE),3,1)</f>
        <v>0.53142539719697979</v>
      </c>
      <c r="AT1255" s="91">
        <f>INDEX(LINEST(1/(AV1255:AX1255),1/SQRT(AV1254:AX1254)),1)</f>
        <v>-168.35163900682801</v>
      </c>
      <c r="AU1255" s="3"/>
      <c r="AV1255" s="73">
        <v>0.193</v>
      </c>
      <c r="AW1255" s="73">
        <v>9.1999999999999998E-2</v>
      </c>
      <c r="AX1255" s="73">
        <v>3.9E-2</v>
      </c>
      <c r="AY1255" s="42"/>
      <c r="AZ1255" s="46"/>
      <c r="BA1255" s="42"/>
      <c r="BB1255" s="42"/>
      <c r="BC1255" s="2"/>
      <c r="BD1255" s="2"/>
      <c r="BE1255" s="2"/>
      <c r="BF1255" s="2"/>
      <c r="BG1255" s="2"/>
      <c r="BH1255" s="2"/>
      <c r="BI1255" s="2"/>
      <c r="BJ1255" s="2"/>
      <c r="BK1255" s="2"/>
      <c r="BL1255" s="2"/>
      <c r="BM1255" s="2"/>
      <c r="BN1255" s="2"/>
      <c r="BO1255" s="2"/>
      <c r="BP1255" s="2"/>
      <c r="BQ1255" s="2"/>
      <c r="BR1255" s="2"/>
      <c r="BS1255" s="2"/>
      <c r="BT1255" s="2"/>
      <c r="BU1255" s="2"/>
      <c r="BV1255" s="2"/>
      <c r="BW1255" s="2"/>
      <c r="BX1255" s="2"/>
      <c r="BY1255" s="2"/>
      <c r="BZ1255" s="2"/>
      <c r="CA1255" s="2"/>
      <c r="CB1255" s="2"/>
      <c r="CC1255" s="2"/>
      <c r="CD1255" s="2"/>
      <c r="CE1255" s="2"/>
      <c r="CF1255" s="2"/>
      <c r="CG1255" s="2"/>
      <c r="CH1255" s="2"/>
      <c r="CI1255" s="2"/>
      <c r="CJ1255" s="2"/>
      <c r="CK1255" s="2"/>
      <c r="CL1255" s="2"/>
      <c r="CM1255" s="2"/>
      <c r="CN1255" s="2"/>
      <c r="CO1255" s="2"/>
      <c r="CP1255" s="2"/>
      <c r="CQ1255" s="2"/>
      <c r="CR1255" s="1"/>
      <c r="CS1255" s="1"/>
      <c r="CT1255" s="1"/>
      <c r="CU1255" s="1"/>
    </row>
    <row r="1256" spans="1:99" s="13" customFormat="1" ht="12" customHeight="1" x14ac:dyDescent="0.2">
      <c r="A1256" s="65">
        <v>43509</v>
      </c>
      <c r="B1256" s="1"/>
      <c r="C1256" s="1"/>
      <c r="D1256" s="60"/>
      <c r="E1256" s="76"/>
      <c r="F1256" s="60"/>
      <c r="G1256" s="60"/>
      <c r="H1256" s="60"/>
      <c r="I1256" s="60"/>
      <c r="J1256" s="60"/>
      <c r="K1256" s="64"/>
      <c r="L1256" s="64"/>
      <c r="M1256" s="60"/>
      <c r="N1256" s="60"/>
      <c r="O1256" s="60"/>
      <c r="P1256" s="60"/>
      <c r="Q1256" s="60"/>
      <c r="R1256" s="60"/>
      <c r="S1256" s="60"/>
      <c r="T1256" s="60"/>
      <c r="U1256" s="60"/>
      <c r="V1256" s="60"/>
      <c r="W1256" s="60"/>
      <c r="X1256" s="61"/>
      <c r="Y1256" s="76"/>
      <c r="Z1256" s="60"/>
      <c r="AA1256" s="60"/>
      <c r="AB1256" s="60"/>
      <c r="AC1256" s="60"/>
      <c r="AD1256" s="60"/>
      <c r="AE1256" s="60"/>
      <c r="AF1256" s="80"/>
      <c r="AG1256" s="56"/>
      <c r="AH1256" s="4"/>
      <c r="AI1256" s="56"/>
      <c r="AJ1256" s="109"/>
      <c r="AK1256" s="56"/>
      <c r="AL1256" s="56"/>
      <c r="AM1256" s="56"/>
      <c r="AN1256" s="56"/>
      <c r="AO1256" s="56"/>
      <c r="AP1256" s="56"/>
      <c r="AQ1256" s="82"/>
      <c r="AR1256" s="115"/>
      <c r="AS1256" s="82"/>
      <c r="AT1256" s="82"/>
      <c r="AU1256" s="4"/>
      <c r="AV1256" s="25">
        <v>2</v>
      </c>
      <c r="AW1256" s="25">
        <v>4</v>
      </c>
      <c r="AX1256" s="25">
        <v>6</v>
      </c>
      <c r="AY1256" s="25">
        <v>8</v>
      </c>
      <c r="AZ1256" s="25">
        <v>10</v>
      </c>
      <c r="BA1256" s="25">
        <v>12</v>
      </c>
      <c r="BB1256" s="25">
        <v>14</v>
      </c>
      <c r="BC1256" s="25">
        <v>16</v>
      </c>
      <c r="BD1256" s="25">
        <v>18</v>
      </c>
      <c r="BE1256" s="25">
        <v>20</v>
      </c>
      <c r="BF1256" s="25">
        <v>22</v>
      </c>
      <c r="BG1256" s="25">
        <v>24</v>
      </c>
      <c r="BH1256" s="25">
        <v>26</v>
      </c>
      <c r="BI1256" s="25">
        <v>30</v>
      </c>
      <c r="BJ1256" s="25">
        <v>32</v>
      </c>
      <c r="BK1256" s="2"/>
      <c r="BL1256" s="2"/>
      <c r="BM1256" s="2"/>
      <c r="BN1256" s="2"/>
      <c r="BO1256" s="2"/>
      <c r="BP1256" s="2"/>
      <c r="BQ1256" s="2"/>
      <c r="BR1256" s="2"/>
      <c r="BS1256" s="2"/>
      <c r="BT1256" s="2"/>
      <c r="BU1256" s="2"/>
      <c r="BV1256" s="2"/>
      <c r="BW1256" s="2"/>
      <c r="BX1256" s="2"/>
      <c r="BY1256" s="2"/>
      <c r="BZ1256" s="2"/>
      <c r="CA1256" s="2"/>
      <c r="CB1256" s="2"/>
      <c r="CC1256" s="2"/>
      <c r="CD1256" s="2"/>
      <c r="CE1256" s="2"/>
      <c r="CF1256" s="2"/>
      <c r="CG1256" s="2"/>
      <c r="CH1256" s="2"/>
      <c r="CI1256" s="2"/>
      <c r="CJ1256" s="2"/>
      <c r="CK1256" s="2"/>
      <c r="CL1256" s="2"/>
      <c r="CM1256" s="2"/>
      <c r="CN1256" s="2"/>
      <c r="CO1256" s="2"/>
      <c r="CP1256" s="2"/>
      <c r="CQ1256" s="2"/>
      <c r="CR1256" s="1"/>
      <c r="CS1256" s="1"/>
      <c r="CT1256" s="1"/>
      <c r="CU1256" s="1"/>
    </row>
    <row r="1257" spans="1:99" s="13" customFormat="1" ht="12" customHeight="1" x14ac:dyDescent="0.2">
      <c r="A1257" s="65">
        <v>43509</v>
      </c>
      <c r="B1257" s="1" t="s">
        <v>254</v>
      </c>
      <c r="C1257" s="1" t="s">
        <v>45</v>
      </c>
      <c r="D1257" s="60">
        <v>1988</v>
      </c>
      <c r="E1257" s="76">
        <v>1</v>
      </c>
      <c r="F1257" s="60">
        <v>16</v>
      </c>
      <c r="G1257" s="60">
        <v>16</v>
      </c>
      <c r="H1257" s="60" t="s">
        <v>41</v>
      </c>
      <c r="I1257" s="60"/>
      <c r="J1257" s="60" t="s">
        <v>16</v>
      </c>
      <c r="K1257" s="60">
        <f>IF(J1257="syllables",1,IF(J1257="trigrams",2,IF(J1257="strings",3,IF(J1257="visual array",4,IF(J1257="characters",5,IF(J1257="letters",6,IF(J1257="free forms",7,IF(J1257="odors",8,IF(J1257="words",9,IF(J1257="pictures",10,IF(J1257="object pictures",11,IF(J1257="faces",12,IF(J1257="names",13,IF(J1257="idioms",14,IF(J1257="grades",15,IF(J1257="syllable-digit pairs",16,IF(J1257="trigram-word pairs",17,IF(J1257="word-digit pairs",18,IF(J1257="English-Swahili pairs",19,IF(J1257="spatial position",20,IF(J1257="word pairs",21,IF(J1257="word triads",22,IF(J1257="generated words",23,IF(J1257="word definition pairs",24,IF(J1257="math problems",25,IF(J1257="famous faces",26,IF(J1257="famous names",27,IF(J1257="famous voices",28,IF(J1257="television programs",29,IF(J1257="race horses",30,IF(J1257="new vocabulary",31,IF(J1257="sentences",32,IF(J1257="concepts",33,IF(J1257="ad slides",34,IF(J1257="scenes",35,IF(J1257="famous scenes",36,IF(J1257="poems",37,IF(J1257="walk",38,IF(J1257="faces and events",39,IF(J1257="events and names",40,IF(J1257="flashbulb",41,IF(J1257="stories",42,IF(J1257="course material",43,IF(J1257="autobiographical",44,IF(J1257="novels",45,IF(J1257="public events",46,"99"))))))))))))))))))))))))))))))))))))))))))))))</f>
        <v>9</v>
      </c>
      <c r="L1257" s="60">
        <f>IF(J1257="syllables",1,IF(J1257="trigrams",1,IF(J1257="strings",1,IF(J1257="visual array",1,IF(J1257="characters",1,IF(J1257="letters",1,IF(J1257="free forms",1,IF(J1257="odors",2,IF(J1257="words",2,IF(J1257="pictures",2,IF(J1257="object pictures",2,IF(J1257="faces",2,IF(J1257="names",2,IF(J1257="idioms","2",IF(J1257="grades",2,IF(J1257="syllable-digit pairs",3,IF(J1257="trigram-word pairs",3,IF(J1257="word-digit pairs",3,IF(J1257="English-Swahili pairs",3,IF(J1257="spatial position",3,IF(J1257="word pairs",4,IF(J1257="word triads",4,IF(J1257="generated words",4,IF(J1257="word definition pairs",4,IF(J1257="math problems",4,IF(J1257="famous faces",4,IF(J1257="famous names",4,IF(J1257="famous voices",4,IF(J1257="television programs",4,IF(J1257="race horses",4,IF(J1257="new vocabulary",4,IF(J1257="sentences",5,IF(J1257="concepts",5,IF(J1257="ad slides",5,IF(J1257="scenes",5,IF(J1257="famous scenes",5,IF(J1257="poems",6,IF(J1257="walk",6,IF(J1257="faces and events",6,IF(J1257="events and names",6,IF(J1257="flashbulb",7,IF(J1257="stories",7,IF(J1257="course material",7,IF(J1257="autobiographical",7,IF(J1257="novels",7,IF(J1257="public events",7,"99"))))))))))))))))))))))))))))))))))))))))))))))</f>
        <v>2</v>
      </c>
      <c r="M1257" s="60">
        <v>0</v>
      </c>
      <c r="N1257" s="60">
        <v>1</v>
      </c>
      <c r="O1257" s="60">
        <v>0</v>
      </c>
      <c r="P1257" s="60"/>
      <c r="Q1257" s="60" t="s">
        <v>46</v>
      </c>
      <c r="R1257" s="60">
        <f>IF(Q1257="Free Recall",1,IF(Q1257="Cued Recall",2,IF(Q1257="Recognition",3,IF(Q1257="Multiple Choice",4,IF(Q1257="Savings",5,IF(Q1257="Stem Completion",6,IF(Q1257="Fragment Completion",7,IF(Q1257="anagram solution",8,IF(Q1257="Matching",9,IF(Q1257="Problem Solving",10,"99"))))))))))</f>
        <v>7</v>
      </c>
      <c r="S1257" s="60" t="s">
        <v>49</v>
      </c>
      <c r="T1257" s="59" t="s">
        <v>581</v>
      </c>
      <c r="U1257" s="60">
        <f>IF(T1257="within",1,0)</f>
        <v>1</v>
      </c>
      <c r="V1257" s="59">
        <v>128</v>
      </c>
      <c r="W1257" s="60">
        <f>F1257*V1257</f>
        <v>2048</v>
      </c>
      <c r="X1257" s="60">
        <v>15</v>
      </c>
      <c r="Y1257" s="76">
        <f>AV1256</f>
        <v>2</v>
      </c>
      <c r="Z1257" s="60" t="s">
        <v>47</v>
      </c>
      <c r="AA1257" s="60">
        <v>32</v>
      </c>
      <c r="AB1257" s="60" t="str">
        <f>IF(AA1257&lt;60,"1",IF(AA1257&lt;=43200,"2",IF(AA1257&lt;=777600,"3","4")))</f>
        <v>1</v>
      </c>
      <c r="AC1257" s="56">
        <f>AVERAGE(AV1256:DA1256)</f>
        <v>16.266666666666666</v>
      </c>
      <c r="AD1257" s="60" t="str">
        <f>IF(AC1257&lt;60,"1",IF(AC1257&lt;=43200,"2",IF(AC1257&lt;=777600,"3","4")))</f>
        <v>1</v>
      </c>
      <c r="AE1257" s="76">
        <f>AA1257-Y1257</f>
        <v>30</v>
      </c>
      <c r="AF1257" s="80">
        <f>AV1257</f>
        <v>0.84699999999999998</v>
      </c>
      <c r="AG1257" s="56">
        <f>((AW1257-AV1257)+(AX1257-AW1257)+(AY1257-AX1257)+(AZ1257-AY1257)+(BA1257-AZ1257)+(BB1257-BA1257)+(BC1257-BB1257)+(BD1257-BC1257)+(BE1257-BD1257)+(BF1257-BE1257)+(BG1257-BF1257)+(BH1257-BG1257)+(BI1257-BH1257)+(BJ1257-BI1257))/14</f>
        <v>-1.0357142857142858E-2</v>
      </c>
      <c r="AH1257" s="4"/>
      <c r="AI1257" s="56">
        <f>RSQ(AV1257:BJ1257,AV1256:BJ1256)</f>
        <v>0.72821802583041906</v>
      </c>
      <c r="AJ1257" s="109">
        <f>SLOPE(AV1257:BJ1257,AV1256:BJ1256)</f>
        <v>-3.6903162911611788E-3</v>
      </c>
      <c r="AK1257" s="56">
        <f>INTERCEPT(AV1257:BJ1257,AV1256:BJ1256)</f>
        <v>0.84316247833622182</v>
      </c>
      <c r="AL1257" s="56">
        <f>INDEX(LINEST(LN(AV1257:BJ1257),LN(AV1256:BJ1256),TRUE,TRUE),3,1)</f>
        <v>0.6598450366312717</v>
      </c>
      <c r="AM1257" s="56">
        <f>INDEX(LINEST(LN(AV1257:BJ1257),LN(AV1256:BJ1256)),1)</f>
        <v>-5.3702460591180792E-2</v>
      </c>
      <c r="AN1257" s="56">
        <f>EXP(INDEX(LINEST(LN(AV1257:BJ1257),LN(AV1256:BJ1256)),1,2))</f>
        <v>0.89750509664085965</v>
      </c>
      <c r="AO1257" s="82">
        <f>INDEX(LINEST((AV1257:BJ1257),LN(AV1256:BJ1256),TRUE,TRUE),3,1)</f>
        <v>0.67693559940891446</v>
      </c>
      <c r="AP1257" s="82">
        <f>INDEX(LINEST((AV1257:BJ1257),LN(AV1256:BJ1256)),1)</f>
        <v>-4.2115476705201875E-2</v>
      </c>
      <c r="AQ1257" s="83">
        <f>INDEX(LINEST(LN(AV1257:BJ1257),SQRT(AV1256:BJ1256),TRUE,TRUE),3,1)</f>
        <v>0.71455994424261626</v>
      </c>
      <c r="AR1257" s="116">
        <f>INDEX(LINEST(LN(AV1257:BJ1257),SQRT((AV1256:BJ1256))),1)</f>
        <v>-3.4663126457801174E-2</v>
      </c>
      <c r="AS1257" s="84">
        <f>INDEX(LINEST(1/(AV1257:BJ1257),1/(SQRT(AV1256:BJ1256)),TRUE,TRUE),3,1)</f>
        <v>0.53888786018250323</v>
      </c>
      <c r="AT1257" s="84">
        <f>INDEX(LINEST(1/(AV1257:BJ1257),1/SQRT(AV1256:BJ1256)),1)</f>
        <v>-0.34565023111404902</v>
      </c>
      <c r="AU1257" s="3"/>
      <c r="AV1257" s="53">
        <v>0.84699999999999998</v>
      </c>
      <c r="AW1257" s="53">
        <v>0.82399999999999995</v>
      </c>
      <c r="AX1257" s="53">
        <v>0.83499999999999996</v>
      </c>
      <c r="AY1257" s="53">
        <v>0.78400000000000003</v>
      </c>
      <c r="AZ1257" s="53">
        <v>0.79800000000000004</v>
      </c>
      <c r="BA1257" s="53">
        <v>0.82299999999999995</v>
      </c>
      <c r="BB1257" s="53">
        <v>0.78100000000000003</v>
      </c>
      <c r="BC1257" s="53">
        <v>0.79800000000000004</v>
      </c>
      <c r="BD1257" s="53">
        <v>0.76700000000000002</v>
      </c>
      <c r="BE1257" s="53">
        <v>0.77300000000000002</v>
      </c>
      <c r="BF1257" s="53">
        <v>0.753</v>
      </c>
      <c r="BG1257" s="53">
        <v>0.76200000000000001</v>
      </c>
      <c r="BH1257" s="53">
        <v>0.71799999999999997</v>
      </c>
      <c r="BI1257" s="53">
        <v>0.78200000000000003</v>
      </c>
      <c r="BJ1257" s="53">
        <v>0.70199999999999996</v>
      </c>
      <c r="BK1257" s="2"/>
      <c r="BL1257" s="2"/>
      <c r="BM1257" s="2"/>
      <c r="BN1257" s="2"/>
      <c r="BO1257" s="2"/>
      <c r="BP1257" s="2"/>
      <c r="BQ1257" s="2"/>
      <c r="BR1257" s="2"/>
      <c r="BS1257" s="2"/>
      <c r="BT1257" s="2"/>
      <c r="BU1257" s="2"/>
      <c r="BV1257" s="2"/>
      <c r="BW1257" s="2"/>
      <c r="BX1257" s="2"/>
      <c r="BY1257" s="2"/>
      <c r="BZ1257" s="2"/>
      <c r="CA1257" s="2"/>
      <c r="CB1257" s="2"/>
      <c r="CC1257" s="2"/>
      <c r="CD1257" s="2"/>
      <c r="CE1257" s="2"/>
      <c r="CF1257" s="2"/>
      <c r="CG1257" s="2"/>
      <c r="CH1257" s="2"/>
      <c r="CI1257" s="2"/>
      <c r="CJ1257" s="2"/>
      <c r="CK1257" s="2"/>
      <c r="CL1257" s="2"/>
      <c r="CM1257" s="2"/>
      <c r="CN1257" s="2"/>
      <c r="CO1257" s="2"/>
      <c r="CP1257" s="2"/>
      <c r="CQ1257" s="2"/>
      <c r="CR1257" s="1"/>
      <c r="CS1257" s="1"/>
      <c r="CT1257" s="1"/>
      <c r="CU1257" s="1"/>
    </row>
    <row r="1258" spans="1:99" s="13" customFormat="1" ht="12" customHeight="1" x14ac:dyDescent="0.2">
      <c r="A1258" s="65">
        <v>43509</v>
      </c>
      <c r="B1258" s="1"/>
      <c r="C1258" s="1"/>
      <c r="D1258" s="60"/>
      <c r="E1258" s="76"/>
      <c r="F1258" s="60"/>
      <c r="G1258" s="60"/>
      <c r="H1258" s="60"/>
      <c r="I1258" s="60"/>
      <c r="J1258" s="60"/>
      <c r="K1258" s="64"/>
      <c r="L1258" s="64"/>
      <c r="M1258" s="60"/>
      <c r="N1258" s="60"/>
      <c r="O1258" s="60"/>
      <c r="P1258" s="60"/>
      <c r="Q1258" s="60"/>
      <c r="R1258" s="60"/>
      <c r="S1258" s="60"/>
      <c r="T1258" s="60"/>
      <c r="U1258" s="60"/>
      <c r="V1258" s="60"/>
      <c r="W1258" s="60"/>
      <c r="X1258" s="60"/>
      <c r="Y1258" s="76"/>
      <c r="Z1258" s="60"/>
      <c r="AA1258" s="60"/>
      <c r="AB1258" s="60"/>
      <c r="AC1258" s="60"/>
      <c r="AD1258" s="60"/>
      <c r="AE1258" s="60"/>
      <c r="AF1258" s="80"/>
      <c r="AG1258" s="56"/>
      <c r="AH1258" s="4"/>
      <c r="AI1258" s="56"/>
      <c r="AJ1258" s="109"/>
      <c r="AK1258" s="56"/>
      <c r="AL1258" s="56"/>
      <c r="AM1258" s="56"/>
      <c r="AN1258" s="56"/>
      <c r="AO1258" s="56"/>
      <c r="AP1258" s="56"/>
      <c r="AQ1258" s="56"/>
      <c r="AR1258" s="109"/>
      <c r="AS1258" s="56"/>
      <c r="AT1258" s="56"/>
      <c r="AU1258" s="4"/>
      <c r="AV1258" s="25">
        <f>18*60</f>
        <v>1080</v>
      </c>
      <c r="AW1258" s="25">
        <f>7*24*60*60</f>
        <v>604800</v>
      </c>
      <c r="AX1258" s="25">
        <f>5*7*24*60*60</f>
        <v>3024000</v>
      </c>
      <c r="AY1258" s="25">
        <f>12*7*24*60*60</f>
        <v>7257600</v>
      </c>
      <c r="AZ1258" s="25">
        <f>23*7*24*60*60</f>
        <v>13910400</v>
      </c>
      <c r="BA1258" s="53"/>
      <c r="BB1258" s="53"/>
      <c r="BC1258" s="53"/>
      <c r="BD1258" s="53"/>
      <c r="BE1258" s="53"/>
      <c r="BF1258" s="53"/>
      <c r="BG1258" s="53"/>
      <c r="BH1258" s="53"/>
      <c r="BI1258" s="53"/>
      <c r="BJ1258" s="53"/>
      <c r="BK1258" s="2"/>
      <c r="BL1258" s="2"/>
      <c r="BM1258" s="2"/>
      <c r="BN1258" s="2"/>
      <c r="BO1258" s="2"/>
      <c r="BP1258" s="2"/>
      <c r="BQ1258" s="2"/>
      <c r="BR1258" s="2"/>
      <c r="BS1258" s="2"/>
      <c r="BT1258" s="2"/>
      <c r="BU1258" s="2"/>
      <c r="BV1258" s="2"/>
      <c r="BW1258" s="2"/>
      <c r="BX1258" s="2"/>
      <c r="BY1258" s="2"/>
      <c r="BZ1258" s="2"/>
      <c r="CA1258" s="2"/>
      <c r="CB1258" s="2"/>
      <c r="CC1258" s="2"/>
      <c r="CD1258" s="2"/>
      <c r="CE1258" s="2"/>
      <c r="CF1258" s="2"/>
      <c r="CG1258" s="2"/>
      <c r="CH1258" s="2"/>
      <c r="CI1258" s="2"/>
      <c r="CJ1258" s="2"/>
      <c r="CK1258" s="2"/>
      <c r="CL1258" s="2"/>
      <c r="CM1258" s="2"/>
      <c r="CN1258" s="2"/>
      <c r="CO1258" s="2"/>
      <c r="CP1258" s="2"/>
      <c r="CQ1258" s="2"/>
      <c r="CR1258" s="1"/>
      <c r="CS1258" s="1"/>
      <c r="CT1258" s="1"/>
      <c r="CU1258" s="1"/>
    </row>
    <row r="1259" spans="1:99" s="13" customFormat="1" ht="12" customHeight="1" x14ac:dyDescent="0.2">
      <c r="A1259" s="65">
        <v>43509</v>
      </c>
      <c r="B1259" s="1" t="s">
        <v>197</v>
      </c>
      <c r="C1259" s="1" t="s">
        <v>45</v>
      </c>
      <c r="D1259" s="60">
        <v>1988</v>
      </c>
      <c r="E1259" s="76">
        <v>2</v>
      </c>
      <c r="F1259" s="60">
        <v>109</v>
      </c>
      <c r="G1259" s="60">
        <v>109</v>
      </c>
      <c r="H1259" s="60" t="s">
        <v>38</v>
      </c>
      <c r="I1259" s="60" t="s">
        <v>823</v>
      </c>
      <c r="J1259" s="60" t="s">
        <v>16</v>
      </c>
      <c r="K1259" s="60">
        <f>IF(J1259="syllables",1,IF(J1259="trigrams",2,IF(J1259="strings",3,IF(J1259="visual array",4,IF(J1259="characters",5,IF(J1259="letters",6,IF(J1259="free forms",7,IF(J1259="odors",8,IF(J1259="words",9,IF(J1259="pictures",10,IF(J1259="object pictures",11,IF(J1259="faces",12,IF(J1259="names",13,IF(J1259="idioms",14,IF(J1259="grades",15,IF(J1259="syllable-digit pairs",16,IF(J1259="trigram-word pairs",17,IF(J1259="word-digit pairs",18,IF(J1259="English-Swahili pairs",19,IF(J1259="spatial position",20,IF(J1259="word pairs",21,IF(J1259="word triads",22,IF(J1259="generated words",23,IF(J1259="word definition pairs",24,IF(J1259="math problems",25,IF(J1259="famous faces",26,IF(J1259="famous names",27,IF(J1259="famous voices",28,IF(J1259="television programs",29,IF(J1259="race horses",30,IF(J1259="new vocabulary",31,IF(J1259="sentences",32,IF(J1259="concepts",33,IF(J1259="ad slides",34,IF(J1259="scenes",35,IF(J1259="famous scenes",36,IF(J1259="poems",37,IF(J1259="walk",38,IF(J1259="faces and events",39,IF(J1259="events and names",40,IF(J1259="flashbulb",41,IF(J1259="stories",42,IF(J1259="course material",43,IF(J1259="autobiographical",44,IF(J1259="novels",45,IF(J1259="public events",46,"99"))))))))))))))))))))))))))))))))))))))))))))))</f>
        <v>9</v>
      </c>
      <c r="L1259" s="60">
        <f>IF(J1259="syllables",1,IF(J1259="trigrams",1,IF(J1259="strings",1,IF(J1259="visual array",1,IF(J1259="characters",1,IF(J1259="letters",1,IF(J1259="free forms",1,IF(J1259="odors",2,IF(J1259="words",2,IF(J1259="pictures",2,IF(J1259="object pictures",2,IF(J1259="faces",2,IF(J1259="names",2,IF(J1259="idioms","2",IF(J1259="grades",2,IF(J1259="syllable-digit pairs",3,IF(J1259="trigram-word pairs",3,IF(J1259="word-digit pairs",3,IF(J1259="English-Swahili pairs",3,IF(J1259="spatial position",3,IF(J1259="word pairs",4,IF(J1259="word triads",4,IF(J1259="generated words",4,IF(J1259="word definition pairs",4,IF(J1259="math problems",4,IF(J1259="famous faces",4,IF(J1259="famous names",4,IF(J1259="famous voices",4,IF(J1259="television programs",4,IF(J1259="race horses",4,IF(J1259="new vocabulary",4,IF(J1259="sentences",5,IF(J1259="concepts",5,IF(J1259="ad slides",5,IF(J1259="scenes",5,IF(J1259="famous scenes",5,IF(J1259="poems",6,IF(J1259="walk",6,IF(J1259="faces and events",6,IF(J1259="events and names",6,IF(J1259="flashbulb",7,IF(J1259="stories",7,IF(J1259="course material",7,IF(J1259="autobiographical",7,IF(J1259="novels",7,IF(J1259="public events",7,"99"))))))))))))))))))))))))))))))))))))))))))))))</f>
        <v>2</v>
      </c>
      <c r="M1259" s="60">
        <v>0</v>
      </c>
      <c r="N1259" s="60">
        <v>1</v>
      </c>
      <c r="O1259" s="60">
        <v>0</v>
      </c>
      <c r="P1259" s="60"/>
      <c r="Q1259" s="60" t="s">
        <v>46</v>
      </c>
      <c r="R1259" s="60">
        <f>IF(Q1259="Free Recall",1,IF(Q1259="Cued Recall",2,IF(Q1259="Recognition",3,IF(Q1259="Multiple Choice",4,IF(Q1259="Savings",5,IF(Q1259="Stem Completion",6,IF(Q1259="Fragment Completion",7,IF(Q1259="anagram solution",8,IF(Q1259="Matching",9,IF(Q1259="Problem Solving",10,"99"))))))))))</f>
        <v>7</v>
      </c>
      <c r="S1259" s="60" t="s">
        <v>49</v>
      </c>
      <c r="T1259" s="59" t="s">
        <v>581</v>
      </c>
      <c r="U1259" s="60">
        <f>IF(T1259="within",1,0)</f>
        <v>1</v>
      </c>
      <c r="V1259" s="59">
        <v>128</v>
      </c>
      <c r="W1259" s="60">
        <f>F1259*V1259</f>
        <v>13952</v>
      </c>
      <c r="X1259" s="60">
        <v>5</v>
      </c>
      <c r="Y1259" s="76">
        <f>AV1258</f>
        <v>1080</v>
      </c>
      <c r="Z1259" s="60" t="s">
        <v>534</v>
      </c>
      <c r="AA1259" s="76">
        <f>23*7*24*60*60</f>
        <v>13910400</v>
      </c>
      <c r="AB1259" s="60" t="str">
        <f>IF(AA1259&lt;60,"1",IF(AA1259&lt;=43200,"2",IF(AA1259&lt;=777600,"3","4")))</f>
        <v>4</v>
      </c>
      <c r="AC1259" s="56">
        <f>AVERAGE(AV1258:DA1258)</f>
        <v>4959576</v>
      </c>
      <c r="AD1259" s="60" t="str">
        <f>IF(AC1259&lt;60,"1",IF(AC1259&lt;=43200,"2",IF(AC1259&lt;=777600,"3","4")))</f>
        <v>4</v>
      </c>
      <c r="AE1259" s="76">
        <f>AA1259-Y1259</f>
        <v>13909320</v>
      </c>
      <c r="AF1259" s="80">
        <f>AV1259</f>
        <v>0.47</v>
      </c>
      <c r="AG1259" s="56">
        <f>((AW1259-AV1259)+(AX1259-AW1259)+(AY1259-AX1259)+(AZ1259-AY1259))/4</f>
        <v>-5.2499999999999991E-2</v>
      </c>
      <c r="AH1259" s="4"/>
      <c r="AI1259" s="56">
        <f>RSQ(AV1259:AZ1259,AV1258:AZ1258)</f>
        <v>0.60205913705150593</v>
      </c>
      <c r="AJ1259" s="109">
        <f>SLOPE(AV1259:AZ1259,AV1258:AZ1258)</f>
        <v>-1.1010572697734529E-8</v>
      </c>
      <c r="AK1259" s="56">
        <f>INTERCEPT(AV1259:AZ1259,AV1258:AZ1258)</f>
        <v>0.3906077720979394</v>
      </c>
      <c r="AL1259" s="56">
        <f>INDEX(LINEST(LN(AV1259:AZ1259),LN(AV1258:AZ1258),TRUE,TRUE),3,1)</f>
        <v>0.96226686446508902</v>
      </c>
      <c r="AM1259" s="56">
        <f>INDEX(LINEST(LN(AV1259:AZ1259),LN(AV1258:AZ1258)),1)</f>
        <v>-5.8209117567300031E-2</v>
      </c>
      <c r="AN1259" s="56">
        <f>EXP(INDEX(LINEST(LN(AV1259:AZ1259),LN(AV1258:AZ1258)),1,2))</f>
        <v>0.72124415487685589</v>
      </c>
      <c r="AO1259" s="82">
        <f>INDEX(LINEST((AV1259:AZ1259),LN(AV1258:AZ1258),TRUE,TRUE),3,1)</f>
        <v>0.98786997993757131</v>
      </c>
      <c r="AP1259" s="82">
        <f>INDEX(LINEST((AV1259:AZ1259),LN(AV1258:AZ1258)),1)</f>
        <v>-2.1246017374122555E-2</v>
      </c>
      <c r="AQ1259" s="83">
        <f>INDEX(LINEST(LN(AV1259:AZ1259),SQRT(AV1258:AZ1258),TRUE,TRUE),3,1)</f>
        <v>0.8825104180472898</v>
      </c>
      <c r="AR1259" s="116">
        <f>INDEX(LINEST(LN(AV1259:AZ1259),SQRT((AV1258:AZ1258))),1)</f>
        <v>-1.4456939139487942E-4</v>
      </c>
      <c r="AS1259" s="84">
        <f>INDEX(LINEST(1/(AV1259:AZ1259),1/(SQRT(AV1258:AZ1258)),TRUE,TRUE),3,1)</f>
        <v>0.72198053117464811</v>
      </c>
      <c r="AT1259" s="84">
        <f>INDEX(LINEST(1/(AV1259:AZ1259),1/SQRT(AV1258:AZ1258)),1)</f>
        <v>-41.519937917807631</v>
      </c>
      <c r="AU1259" s="3"/>
      <c r="AV1259" s="53">
        <v>0.47</v>
      </c>
      <c r="AW1259" s="53">
        <v>0.35</v>
      </c>
      <c r="AX1259" s="53">
        <v>0.31</v>
      </c>
      <c r="AY1259" s="53">
        <v>0.28999999999999998</v>
      </c>
      <c r="AZ1259" s="53">
        <v>0.26</v>
      </c>
      <c r="BA1259" s="53"/>
      <c r="BB1259" s="53"/>
      <c r="BC1259" s="53"/>
      <c r="BD1259" s="53"/>
      <c r="BE1259" s="53"/>
      <c r="BF1259" s="53"/>
      <c r="BG1259" s="53"/>
      <c r="BH1259" s="53"/>
      <c r="BI1259" s="53"/>
      <c r="BJ1259" s="53"/>
      <c r="BK1259" s="2"/>
      <c r="BL1259" s="2"/>
      <c r="BM1259" s="2"/>
      <c r="BN1259" s="2"/>
      <c r="BO1259" s="2"/>
      <c r="BP1259" s="2"/>
      <c r="BQ1259" s="2"/>
      <c r="BR1259" s="2"/>
      <c r="BS1259" s="2"/>
      <c r="BT1259" s="2"/>
      <c r="BU1259" s="2"/>
      <c r="BV1259" s="2"/>
      <c r="BW1259" s="2"/>
      <c r="BX1259" s="2"/>
      <c r="BY1259" s="2"/>
      <c r="BZ1259" s="2"/>
      <c r="CA1259" s="2"/>
      <c r="CB1259" s="2"/>
      <c r="CC1259" s="2"/>
      <c r="CD1259" s="2"/>
      <c r="CE1259" s="2"/>
      <c r="CF1259" s="2"/>
      <c r="CG1259" s="2"/>
      <c r="CH1259" s="2"/>
      <c r="CI1259" s="2"/>
      <c r="CJ1259" s="2"/>
      <c r="CK1259" s="2"/>
      <c r="CL1259" s="2"/>
      <c r="CM1259" s="2"/>
      <c r="CN1259" s="2"/>
      <c r="CO1259" s="2"/>
      <c r="CP1259" s="2"/>
      <c r="CQ1259" s="2"/>
      <c r="CR1259" s="1"/>
      <c r="CS1259" s="1"/>
      <c r="CT1259" s="1"/>
      <c r="CU1259" s="1"/>
    </row>
    <row r="1260" spans="1:99" s="13" customFormat="1" ht="12" customHeight="1" x14ac:dyDescent="0.2">
      <c r="A1260" s="68">
        <v>43899</v>
      </c>
      <c r="B1260" s="70"/>
      <c r="C1260" s="70"/>
      <c r="D1260" s="69"/>
      <c r="E1260" s="87"/>
      <c r="F1260" s="69"/>
      <c r="G1260" s="69"/>
      <c r="H1260" s="69"/>
      <c r="I1260" s="69"/>
      <c r="J1260" s="69"/>
      <c r="K1260" s="107"/>
      <c r="L1260" s="107"/>
      <c r="M1260" s="69"/>
      <c r="N1260" s="69"/>
      <c r="O1260" s="69"/>
      <c r="P1260" s="69"/>
      <c r="Q1260" s="69"/>
      <c r="R1260" s="69"/>
      <c r="S1260" s="69"/>
      <c r="T1260" s="69"/>
      <c r="U1260" s="69"/>
      <c r="V1260" s="69"/>
      <c r="W1260" s="69"/>
      <c r="X1260" s="69"/>
      <c r="Y1260" s="87"/>
      <c r="Z1260" s="69"/>
      <c r="AA1260" s="69"/>
      <c r="AB1260" s="69"/>
      <c r="AC1260" s="72"/>
      <c r="AD1260" s="69"/>
      <c r="AE1260" s="69"/>
      <c r="AF1260" s="88"/>
      <c r="AG1260" s="72"/>
      <c r="AH1260" s="4"/>
      <c r="AI1260" s="72"/>
      <c r="AJ1260" s="110"/>
      <c r="AK1260" s="72"/>
      <c r="AL1260" s="72"/>
      <c r="AM1260" s="72"/>
      <c r="AN1260" s="72"/>
      <c r="AO1260" s="89"/>
      <c r="AP1260" s="89"/>
      <c r="AQ1260" s="90"/>
      <c r="AR1260" s="117"/>
      <c r="AS1260" s="91"/>
      <c r="AT1260" s="91"/>
      <c r="AU1260" s="3"/>
      <c r="AV1260" s="71">
        <f>30*60</f>
        <v>1800</v>
      </c>
      <c r="AW1260" s="71">
        <f>60*60*24*2</f>
        <v>172800</v>
      </c>
      <c r="AX1260" s="71">
        <f>60*60*24*7</f>
        <v>604800</v>
      </c>
      <c r="AY1260" s="71">
        <f>60*60*24*21</f>
        <v>1814400</v>
      </c>
      <c r="AZ1260" s="25"/>
      <c r="BA1260" s="42"/>
      <c r="BB1260" s="42"/>
      <c r="BC1260" s="29"/>
      <c r="BD1260" s="29"/>
      <c r="BE1260" s="29"/>
      <c r="BF1260" s="29"/>
      <c r="BG1260" s="29"/>
      <c r="BH1260" s="29"/>
      <c r="BI1260" s="29"/>
      <c r="BJ1260" s="29"/>
      <c r="BK1260" s="29"/>
      <c r="BL1260" s="29"/>
      <c r="BM1260" s="29"/>
      <c r="BN1260" s="29"/>
      <c r="BO1260" s="29"/>
      <c r="BP1260" s="29"/>
      <c r="BQ1260" s="29"/>
      <c r="BR1260" s="29"/>
      <c r="BS1260" s="29"/>
      <c r="BT1260" s="29"/>
      <c r="BU1260" s="29"/>
      <c r="BV1260" s="29"/>
      <c r="BW1260" s="29"/>
      <c r="BX1260" s="29"/>
      <c r="BY1260" s="29"/>
      <c r="BZ1260" s="29"/>
      <c r="CA1260" s="29"/>
      <c r="CB1260" s="29"/>
      <c r="CC1260" s="29"/>
      <c r="CD1260" s="29"/>
      <c r="CE1260" s="29"/>
      <c r="CF1260" s="29"/>
      <c r="CG1260" s="29"/>
      <c r="CH1260" s="29"/>
      <c r="CI1260" s="29"/>
      <c r="CJ1260" s="29"/>
      <c r="CK1260" s="29"/>
      <c r="CL1260" s="29"/>
      <c r="CM1260" s="29"/>
      <c r="CN1260" s="29"/>
      <c r="CO1260" s="29"/>
      <c r="CP1260" s="29"/>
      <c r="CQ1260" s="29"/>
      <c r="CR1260" s="1"/>
      <c r="CS1260" s="1"/>
      <c r="CT1260" s="1"/>
      <c r="CU1260" s="1"/>
    </row>
    <row r="1261" spans="1:99" s="13" customFormat="1" ht="12" customHeight="1" x14ac:dyDescent="0.25">
      <c r="A1261" s="68">
        <v>43899</v>
      </c>
      <c r="B1261" s="70" t="s">
        <v>382</v>
      </c>
      <c r="C1261" s="70" t="s">
        <v>383</v>
      </c>
      <c r="D1261" s="69">
        <v>1981</v>
      </c>
      <c r="E1261" s="87">
        <v>1</v>
      </c>
      <c r="F1261" s="69">
        <v>48</v>
      </c>
      <c r="G1261" s="69">
        <v>48</v>
      </c>
      <c r="H1261" s="69" t="s">
        <v>22</v>
      </c>
      <c r="I1261" s="69" t="s">
        <v>384</v>
      </c>
      <c r="J1261" s="69" t="s">
        <v>677</v>
      </c>
      <c r="K1261" s="69">
        <f>IF(J1261="syllables",1,IF(J1261="trigrams",2,IF(J1261="strings",3,IF(J1261="visual array",4,IF(J1261="characters",5,IF(J1261="letters",6,IF(J1261="free forms",7,IF(J1261="odors",8,IF(J1261="words",9,IF(J1261="pictures",10,IF(J1261="object pictures",11,IF(J1261="faces",12,IF(J1261="names",13,IF(J1261="idioms",14,IF(J1261="grades",15,IF(J1261="syllable-digit pairs",16,IF(J1261="trigram-word pairs",17,IF(J1261="word-digit pairs",18,IF(J1261="English-Swahili pairs",19,IF(J1261="spatial position",20,IF(J1261="word pairs",21,IF(J1261="word triads",22,IF(J1261="generated words",23,IF(J1261="word definition pairs",24,IF(J1261="math problems",25,IF(J1261="famous faces",26,IF(J1261="famous names",27,IF(J1261="famous voices",28,IF(J1261="television programs",29,IF(J1261="race horses",30,IF(J1261="new vocabulary",31,IF(J1261="sentences",32,IF(J1261="concepts",33,IF(J1261="ad slides",34,IF(J1261="scenes",35,IF(J1261="famous scenes",36,IF(J1261="poems",37,IF(J1261="walk",38,IF(J1261="faces and events",39,IF(J1261="events and names",40,IF(J1261="flashbulb",41,IF(J1261="stories",42,IF(J1261="course material",43,IF(J1261="autobiographical",44,IF(J1261="novels",45,IF(J1261="public events",46,"99"))))))))))))))))))))))))))))))))))))))))))))))</f>
        <v>42</v>
      </c>
      <c r="L1261" s="69">
        <f>IF(J1261="syllables",1,IF(J1261="trigrams",1,IF(J1261="strings",1,IF(J1261="visual array",1,IF(J1261="characters",1,IF(J1261="letters",1,IF(J1261="free forms",1,IF(J1261="odors",2,IF(J1261="words",2,IF(J1261="pictures",2,IF(J1261="object pictures",2,IF(J1261="faces",2,IF(J1261="names",2,IF(J1261="idioms","2",IF(J1261="grades",2,IF(J1261="syllable-digit pairs",3,IF(J1261="trigram-word pairs",3,IF(J1261="word-digit pairs",3,IF(J1261="English-Swahili pairs",3,IF(J1261="spatial position",3,IF(J1261="word pairs",4,IF(J1261="word triads",4,IF(J1261="generated words",4,IF(J1261="word definition pairs",4,IF(J1261="math problems",4,IF(J1261="famous faces",4,IF(J1261="famous names",4,IF(J1261="famous voices",4,IF(J1261="television programs",4,IF(J1261="race horses",4,IF(J1261="new vocabulary",4,IF(J1261="sentences",5,IF(J1261="concepts",5,IF(J1261="ad slides",5,IF(J1261="scenes",5,IF(J1261="famous scenes",5,IF(J1261="poems",6,IF(J1261="walk",6,IF(J1261="faces and events",6,IF(J1261="events and names",6,IF(J1261="flashbulb",7,IF(J1261="stories",7,IF(J1261="course material",7,IF(J1261="autobiographical",7,IF(J1261="novels",7,IF(J1261="public events",7,"99"))))))))))))))))))))))))))))))))))))))))))))))</f>
        <v>7</v>
      </c>
      <c r="M1261" s="69">
        <v>0</v>
      </c>
      <c r="N1261" s="69">
        <v>3</v>
      </c>
      <c r="O1261" s="69">
        <v>0</v>
      </c>
      <c r="P1261" s="69"/>
      <c r="Q1261" s="69" t="s">
        <v>174</v>
      </c>
      <c r="R1261" s="69">
        <f>IF(Q1261="Free Recall",1,IF(Q1261="Cued Recall",2,IF(Q1261="Recognition",3,IF(Q1261="Multiple Choice",4,IF(Q1261="Savings",5,IF(Q1261="Stem Completion",6,IF(Q1261="Fragment Completion",7,IF(Q1261="anagram solution",8,IF(Q1261="Matching",9,IF(Q1261="Problem Solving",10,"99"))))))))))</f>
        <v>1</v>
      </c>
      <c r="S1261" s="69" t="s">
        <v>49</v>
      </c>
      <c r="T1261" s="92" t="s">
        <v>581</v>
      </c>
      <c r="U1261" s="69">
        <f>IF(T1261="within",1,0)</f>
        <v>1</v>
      </c>
      <c r="V1261" s="92">
        <v>64</v>
      </c>
      <c r="W1261" s="69">
        <f>F1261*V1261</f>
        <v>3072</v>
      </c>
      <c r="X1261" s="69">
        <v>4</v>
      </c>
      <c r="Y1261" s="87">
        <f>AV1260</f>
        <v>1800</v>
      </c>
      <c r="Z1261" s="69" t="s">
        <v>165</v>
      </c>
      <c r="AA1261" s="69">
        <v>1814400</v>
      </c>
      <c r="AB1261" s="69" t="str">
        <f>IF(AA1261&lt;60,"1",IF(AA1261&lt;=43200,"2",IF(AA1261&lt;=777600,"3","4")))</f>
        <v>4</v>
      </c>
      <c r="AC1261" s="72">
        <f>AVERAGE(AV1260:DA1260)</f>
        <v>648450</v>
      </c>
      <c r="AD1261" s="69" t="str">
        <f>IF(AC1261&lt;60,"1",IF(AC1261&lt;=43200,"2",IF(AC1261&lt;=777600,"3","4")))</f>
        <v>3</v>
      </c>
      <c r="AE1261" s="87">
        <f>AA1261-Y1261</f>
        <v>1812600</v>
      </c>
      <c r="AF1261" s="88">
        <f>AV1261</f>
        <v>0.28799999999999998</v>
      </c>
      <c r="AG1261" s="72">
        <f>((AW1261-AV1261)+(AX1261-AW1261)+(AY1261-AX1261))/3</f>
        <v>-4.0999999999999988E-2</v>
      </c>
      <c r="AH1261" s="4"/>
      <c r="AI1261" s="72">
        <f>RSQ(AV1261:AY1261,AV1260:AY1260)</f>
        <v>0.94347285629577904</v>
      </c>
      <c r="AJ1261" s="110">
        <f>SLOPE(AV1261:AY1261,AV1260:AY1260)</f>
        <v>-6.1316178919694254E-8</v>
      </c>
      <c r="AK1261" s="72">
        <f>INTERCEPT(AV1261:AY1261,AV1260:AY1260)</f>
        <v>0.27651047622047575</v>
      </c>
      <c r="AL1261" s="72">
        <f>INDEX(LINEST(LN(AV1261:AY1261),LN(AV1260:AY1260),TRUE,TRUE),3,1)</f>
        <v>0.62488249955238806</v>
      </c>
      <c r="AM1261" s="72">
        <f>INDEX(LINEST(LN(AV1261:AY1261),LN(AV1260:AY1260)),1)</f>
        <v>-6.2083523036937302E-2</v>
      </c>
      <c r="AN1261" s="72">
        <f>EXP(INDEX(LINEST(LN(AV1261:AY1261),LN(AV1260:AY1260)),1,2))</f>
        <v>0.4833405259537496</v>
      </c>
      <c r="AO1261" s="89">
        <f>INDEX(LINEST((AV1261:AY1261),LN(AV1260:AY1260),TRUE,TRUE),3,1)</f>
        <v>0.69508785161479525</v>
      </c>
      <c r="AP1261" s="89">
        <f>INDEX(LINEST((AV1261:AY1261),LN(AV1260:AY1260)),1)</f>
        <v>-1.4161818715196133E-2</v>
      </c>
      <c r="AQ1261" s="90">
        <f>INDEX(LINEST(LN(AV1261:AY1261),SQRT(AV1260:AY1260),TRUE,TRUE),3,1)</f>
        <v>0.90541260962842363</v>
      </c>
      <c r="AR1261" s="117">
        <f>INDEX(LINEST(LN(AV1261:AY1261),SQRT((AV1260:AY1260))),1)</f>
        <v>-4.0871912598523818E-4</v>
      </c>
      <c r="AS1261" s="91">
        <f>INDEX(LINEST(1/(AV1261:AY1261),1/(SQRT(AV1260:AY1260)),TRUE,TRUE),3,1)</f>
        <v>0.34624518004069077</v>
      </c>
      <c r="AT1261" s="91">
        <f>INDEX(LINEST(1/(AV1261:AY1261),1/SQRT(AV1260:AY1260)),1)</f>
        <v>-60.360333599301271</v>
      </c>
      <c r="AU1261" s="3"/>
      <c r="AV1261" s="73">
        <v>0.28799999999999998</v>
      </c>
      <c r="AW1261" s="73">
        <v>0.249</v>
      </c>
      <c r="AX1261" s="73">
        <v>0.245</v>
      </c>
      <c r="AY1261" s="73">
        <v>0.16500000000000001</v>
      </c>
      <c r="AZ1261" s="46"/>
      <c r="BA1261" s="44"/>
      <c r="BB1261" s="44"/>
      <c r="BC1261" s="31"/>
      <c r="BD1261" s="31"/>
      <c r="BE1261" s="29"/>
      <c r="BF1261" s="29"/>
      <c r="BG1261" s="29"/>
      <c r="BH1261" s="29"/>
      <c r="BI1261" s="29"/>
      <c r="BJ1261" s="29"/>
      <c r="BK1261" s="29"/>
      <c r="BL1261" s="29"/>
      <c r="BM1261" s="29"/>
      <c r="BN1261" s="29"/>
      <c r="BO1261" s="29"/>
      <c r="BP1261" s="29"/>
      <c r="BQ1261" s="29"/>
      <c r="BR1261" s="29"/>
      <c r="BS1261" s="29"/>
      <c r="BT1261" s="29"/>
      <c r="BU1261" s="29"/>
      <c r="BV1261" s="29"/>
      <c r="BW1261" s="29"/>
      <c r="BX1261" s="29"/>
      <c r="BY1261" s="29"/>
      <c r="BZ1261" s="29"/>
      <c r="CA1261" s="29"/>
      <c r="CB1261" s="29"/>
      <c r="CC1261" s="29"/>
      <c r="CD1261" s="29"/>
      <c r="CE1261" s="29"/>
      <c r="CF1261" s="29"/>
      <c r="CG1261" s="29"/>
      <c r="CH1261" s="29"/>
      <c r="CI1261" s="29"/>
      <c r="CJ1261" s="29"/>
      <c r="CK1261" s="29"/>
      <c r="CL1261" s="29"/>
      <c r="CM1261" s="29"/>
      <c r="CN1261" s="29"/>
      <c r="CO1261" s="29"/>
      <c r="CP1261" s="29"/>
      <c r="CQ1261" s="29"/>
      <c r="CR1261" s="1"/>
      <c r="CS1261" s="1"/>
      <c r="CT1261" s="1"/>
      <c r="CU1261" s="1"/>
    </row>
    <row r="1262" spans="1:99" s="13" customFormat="1" ht="12" customHeight="1" x14ac:dyDescent="0.2">
      <c r="A1262" s="68">
        <v>43899</v>
      </c>
      <c r="B1262" s="70"/>
      <c r="C1262" s="70"/>
      <c r="D1262" s="69"/>
      <c r="E1262" s="87"/>
      <c r="F1262" s="69"/>
      <c r="G1262" s="69"/>
      <c r="H1262" s="69"/>
      <c r="I1262" s="69"/>
      <c r="J1262" s="69"/>
      <c r="K1262" s="107"/>
      <c r="L1262" s="107"/>
      <c r="M1262" s="69"/>
      <c r="N1262" s="69"/>
      <c r="O1262" s="69"/>
      <c r="P1262" s="69"/>
      <c r="Q1262" s="69"/>
      <c r="R1262" s="69"/>
      <c r="S1262" s="69"/>
      <c r="T1262" s="69"/>
      <c r="U1262" s="69"/>
      <c r="V1262" s="69"/>
      <c r="W1262" s="69"/>
      <c r="X1262" s="69"/>
      <c r="Y1262" s="87"/>
      <c r="Z1262" s="69"/>
      <c r="AA1262" s="69"/>
      <c r="AB1262" s="69"/>
      <c r="AC1262" s="72"/>
      <c r="AD1262" s="69"/>
      <c r="AE1262" s="69"/>
      <c r="AF1262" s="88"/>
      <c r="AG1262" s="72"/>
      <c r="AH1262" s="4"/>
      <c r="AI1262" s="72"/>
      <c r="AJ1262" s="110"/>
      <c r="AK1262" s="72"/>
      <c r="AL1262" s="72"/>
      <c r="AM1262" s="72"/>
      <c r="AN1262" s="72"/>
      <c r="AO1262" s="89"/>
      <c r="AP1262" s="89"/>
      <c r="AQ1262" s="90"/>
      <c r="AR1262" s="117"/>
      <c r="AS1262" s="91"/>
      <c r="AT1262" s="91"/>
      <c r="AU1262" s="3"/>
      <c r="AV1262" s="71">
        <f>30*60</f>
        <v>1800</v>
      </c>
      <c r="AW1262" s="71">
        <f>60*60*24*2</f>
        <v>172800</v>
      </c>
      <c r="AX1262" s="71">
        <f>60*60*24*7</f>
        <v>604800</v>
      </c>
      <c r="AY1262" s="71">
        <f>60*60*24*21</f>
        <v>1814400</v>
      </c>
      <c r="AZ1262" s="46"/>
      <c r="BA1262" s="42"/>
      <c r="BB1262" s="42"/>
      <c r="BC1262" s="29"/>
      <c r="BD1262" s="29"/>
      <c r="BE1262" s="29"/>
      <c r="BF1262" s="29"/>
      <c r="BG1262" s="29"/>
      <c r="BH1262" s="29"/>
      <c r="BI1262" s="29"/>
      <c r="BJ1262" s="29"/>
      <c r="BK1262" s="29"/>
      <c r="BL1262" s="29"/>
      <c r="BM1262" s="29"/>
      <c r="BN1262" s="29"/>
      <c r="BO1262" s="29"/>
      <c r="BP1262" s="29"/>
      <c r="BQ1262" s="29"/>
      <c r="BR1262" s="29"/>
      <c r="BS1262" s="29"/>
      <c r="BT1262" s="29"/>
      <c r="BU1262" s="29"/>
      <c r="BV1262" s="29"/>
      <c r="BW1262" s="29"/>
      <c r="BX1262" s="29"/>
      <c r="BY1262" s="29"/>
      <c r="BZ1262" s="29"/>
      <c r="CA1262" s="29"/>
      <c r="CB1262" s="29"/>
      <c r="CC1262" s="29"/>
      <c r="CD1262" s="29"/>
      <c r="CE1262" s="29"/>
      <c r="CF1262" s="29"/>
      <c r="CG1262" s="29"/>
      <c r="CH1262" s="29"/>
      <c r="CI1262" s="29"/>
      <c r="CJ1262" s="29"/>
      <c r="CK1262" s="29"/>
      <c r="CL1262" s="29"/>
      <c r="CM1262" s="29"/>
      <c r="CN1262" s="29"/>
      <c r="CO1262" s="29"/>
      <c r="CP1262" s="29"/>
      <c r="CQ1262" s="29"/>
      <c r="CR1262" s="1"/>
      <c r="CS1262" s="1"/>
      <c r="CT1262" s="1"/>
      <c r="CU1262" s="1"/>
    </row>
    <row r="1263" spans="1:99" s="13" customFormat="1" ht="12" customHeight="1" x14ac:dyDescent="0.25">
      <c r="A1263" s="68">
        <v>43899</v>
      </c>
      <c r="B1263" s="70" t="s">
        <v>382</v>
      </c>
      <c r="C1263" s="70" t="s">
        <v>383</v>
      </c>
      <c r="D1263" s="69">
        <v>1981</v>
      </c>
      <c r="E1263" s="87">
        <v>1</v>
      </c>
      <c r="F1263" s="69">
        <v>48</v>
      </c>
      <c r="G1263" s="69">
        <v>48</v>
      </c>
      <c r="H1263" s="69" t="s">
        <v>22</v>
      </c>
      <c r="I1263" s="69" t="s">
        <v>385</v>
      </c>
      <c r="J1263" s="69" t="s">
        <v>677</v>
      </c>
      <c r="K1263" s="69">
        <f>IF(J1263="syllables",1,IF(J1263="trigrams",2,IF(J1263="strings",3,IF(J1263="visual array",4,IF(J1263="characters",5,IF(J1263="letters",6,IF(J1263="free forms",7,IF(J1263="odors",8,IF(J1263="words",9,IF(J1263="pictures",10,IF(J1263="object pictures",11,IF(J1263="faces",12,IF(J1263="names",13,IF(J1263="idioms",14,IF(J1263="grades",15,IF(J1263="syllable-digit pairs",16,IF(J1263="trigram-word pairs",17,IF(J1263="word-digit pairs",18,IF(J1263="English-Swahili pairs",19,IF(J1263="spatial position",20,IF(J1263="word pairs",21,IF(J1263="word triads",22,IF(J1263="generated words",23,IF(J1263="word definition pairs",24,IF(J1263="math problems",25,IF(J1263="famous faces",26,IF(J1263="famous names",27,IF(J1263="famous voices",28,IF(J1263="television programs",29,IF(J1263="race horses",30,IF(J1263="new vocabulary",31,IF(J1263="sentences",32,IF(J1263="concepts",33,IF(J1263="ad slides",34,IF(J1263="scenes",35,IF(J1263="famous scenes",36,IF(J1263="poems",37,IF(J1263="walk",38,IF(J1263="faces and events",39,IF(J1263="events and names",40,IF(J1263="flashbulb",41,IF(J1263="stories",42,IF(J1263="course material",43,IF(J1263="autobiographical",44,IF(J1263="novels",45,IF(J1263="public events",46,"99"))))))))))))))))))))))))))))))))))))))))))))))</f>
        <v>42</v>
      </c>
      <c r="L1263" s="69">
        <f>IF(J1263="syllables",1,IF(J1263="trigrams",1,IF(J1263="strings",1,IF(J1263="visual array",1,IF(J1263="characters",1,IF(J1263="letters",1,IF(J1263="free forms",1,IF(J1263="odors",2,IF(J1263="words",2,IF(J1263="pictures",2,IF(J1263="object pictures",2,IF(J1263="faces",2,IF(J1263="names",2,IF(J1263="idioms","2",IF(J1263="grades",2,IF(J1263="syllable-digit pairs",3,IF(J1263="trigram-word pairs",3,IF(J1263="word-digit pairs",3,IF(J1263="English-Swahili pairs",3,IF(J1263="spatial position",3,IF(J1263="word pairs",4,IF(J1263="word triads",4,IF(J1263="generated words",4,IF(J1263="word definition pairs",4,IF(J1263="math problems",4,IF(J1263="famous faces",4,IF(J1263="famous names",4,IF(J1263="famous voices",4,IF(J1263="television programs",4,IF(J1263="race horses",4,IF(J1263="new vocabulary",4,IF(J1263="sentences",5,IF(J1263="concepts",5,IF(J1263="ad slides",5,IF(J1263="scenes",5,IF(J1263="famous scenes",5,IF(J1263="poems",6,IF(J1263="walk",6,IF(J1263="faces and events",6,IF(J1263="events and names",6,IF(J1263="flashbulb",7,IF(J1263="stories",7,IF(J1263="course material",7,IF(J1263="autobiographical",7,IF(J1263="novels",7,IF(J1263="public events",7,"99"))))))))))))))))))))))))))))))))))))))))))))))</f>
        <v>7</v>
      </c>
      <c r="M1263" s="69">
        <v>0</v>
      </c>
      <c r="N1263" s="69">
        <v>3</v>
      </c>
      <c r="O1263" s="69">
        <v>0</v>
      </c>
      <c r="P1263" s="69"/>
      <c r="Q1263" s="69" t="s">
        <v>174</v>
      </c>
      <c r="R1263" s="69">
        <f>IF(Q1263="Free Recall",1,IF(Q1263="Cued Recall",2,IF(Q1263="Recognition",3,IF(Q1263="Multiple Choice",4,IF(Q1263="Savings",5,IF(Q1263="Stem Completion",6,IF(Q1263="Fragment Completion",7,IF(Q1263="anagram solution",8,IF(Q1263="Matching",9,IF(Q1263="Problem Solving",10,"99"))))))))))</f>
        <v>1</v>
      </c>
      <c r="S1263" s="69" t="s">
        <v>49</v>
      </c>
      <c r="T1263" s="92" t="s">
        <v>581</v>
      </c>
      <c r="U1263" s="69">
        <f>IF(T1263="within",1,0)</f>
        <v>1</v>
      </c>
      <c r="V1263" s="92">
        <v>64</v>
      </c>
      <c r="W1263" s="69">
        <f>F1263*V1263</f>
        <v>3072</v>
      </c>
      <c r="X1263" s="69">
        <v>4</v>
      </c>
      <c r="Y1263" s="87">
        <f>AV1262</f>
        <v>1800</v>
      </c>
      <c r="Z1263" s="69" t="s">
        <v>165</v>
      </c>
      <c r="AA1263" s="69">
        <v>1814400</v>
      </c>
      <c r="AB1263" s="69" t="str">
        <f>IF(AA1263&lt;60,"1",IF(AA1263&lt;=43200,"2",IF(AA1263&lt;=777600,"3","4")))</f>
        <v>4</v>
      </c>
      <c r="AC1263" s="72">
        <f>AVERAGE(AV1262:DA1262)</f>
        <v>648450</v>
      </c>
      <c r="AD1263" s="69" t="str">
        <f>IF(AC1263&lt;60,"1",IF(AC1263&lt;=43200,"2",IF(AC1263&lt;=777600,"3","4")))</f>
        <v>3</v>
      </c>
      <c r="AE1263" s="87">
        <f>AA1263-Y1263</f>
        <v>1812600</v>
      </c>
      <c r="AF1263" s="88">
        <f>AV1263</f>
        <v>0.28699999999999998</v>
      </c>
      <c r="AG1263" s="72">
        <f>((AW1263-AV1263)+(AX1263-AW1263)+(AY1263-AX1263))/3</f>
        <v>-9.2000000000000012E-2</v>
      </c>
      <c r="AH1263" s="4"/>
      <c r="AI1263" s="72">
        <f>RSQ(AV1263:AY1263,AV1262:AY1262)</f>
        <v>0.50868292267032111</v>
      </c>
      <c r="AJ1263" s="110">
        <f>SLOPE(AV1263:AY1263,AV1262:AY1262)</f>
        <v>-1.0959639627366777E-7</v>
      </c>
      <c r="AK1263" s="72">
        <f>INTERCEPT(AV1263:AY1263,AV1262:AY1262)</f>
        <v>0.1775677831636599</v>
      </c>
      <c r="AL1263" s="72">
        <f>INDEX(LINEST(LN(AV1263:AY1263),LN(AV1262:AY1262),TRUE,TRUE),3,1)</f>
        <v>0.87623246875520366</v>
      </c>
      <c r="AM1263" s="72">
        <f>INDEX(LINEST(LN(AV1263:AY1263),LN(AV1262:AY1262)),1)</f>
        <v>-0.4328308796194435</v>
      </c>
      <c r="AN1263" s="72">
        <f>EXP(INDEX(LINEST(LN(AV1263:AY1263),LN(AV1262:AY1262)),1,2))</f>
        <v>9.3008039354249288</v>
      </c>
      <c r="AO1263" s="89">
        <f>INDEX(LINEST((AV1263:AY1263),LN(AV1262:AY1262),TRUE,TRUE),3,1)</f>
        <v>0.9936303600797215</v>
      </c>
      <c r="AP1263" s="89">
        <f>INDEX(LINEST((AV1263:AY1263),LN(AV1262:AY1262)),1)</f>
        <v>-4.121676719662587E-2</v>
      </c>
      <c r="AQ1263" s="90">
        <f>INDEX(LINEST(LN(AV1263:AY1263),SQRT(AV1262:AY1262),TRUE,TRUE),3,1)</f>
        <v>0.98555268165738341</v>
      </c>
      <c r="AR1263" s="117">
        <f>INDEX(LINEST(LN(AV1263:AY1263),SQRT((AV1262:AY1262))),1)</f>
        <v>-2.5105738863217208E-3</v>
      </c>
      <c r="AS1263" s="91">
        <f>INDEX(LINEST(1/(AV1263:AY1263),1/(SQRT(AV1262:AY1262)),TRUE,TRUE),3,1)</f>
        <v>0.31284299625842621</v>
      </c>
      <c r="AT1263" s="91">
        <f>INDEX(LINEST(1/(AV1263:AY1263),1/SQRT(AV1262:AY1262)),1)</f>
        <v>-2007.4086758352435</v>
      </c>
      <c r="AU1263" s="3"/>
      <c r="AV1263" s="73">
        <v>0.28699999999999998</v>
      </c>
      <c r="AW1263" s="73">
        <v>9.6000000000000002E-2</v>
      </c>
      <c r="AX1263" s="73">
        <v>3.2000000000000001E-2</v>
      </c>
      <c r="AY1263" s="73">
        <v>1.0999999999999999E-2</v>
      </c>
      <c r="AZ1263" s="46"/>
      <c r="BA1263" s="44"/>
      <c r="BB1263" s="44"/>
      <c r="BC1263" s="31"/>
      <c r="BD1263" s="31"/>
      <c r="BE1263" s="29"/>
      <c r="BF1263" s="29"/>
      <c r="BG1263" s="29"/>
      <c r="BH1263" s="29"/>
      <c r="BI1263" s="29"/>
      <c r="BJ1263" s="29"/>
      <c r="BK1263" s="29"/>
      <c r="BL1263" s="29"/>
      <c r="BM1263" s="29"/>
      <c r="BN1263" s="29"/>
      <c r="BO1263" s="29"/>
      <c r="BP1263" s="29"/>
      <c r="BQ1263" s="29"/>
      <c r="BR1263" s="29"/>
      <c r="BS1263" s="29"/>
      <c r="BT1263" s="29"/>
      <c r="BU1263" s="29"/>
      <c r="BV1263" s="29"/>
      <c r="BW1263" s="29"/>
      <c r="BX1263" s="29"/>
      <c r="BY1263" s="29"/>
      <c r="BZ1263" s="29"/>
      <c r="CA1263" s="29"/>
      <c r="CB1263" s="29"/>
      <c r="CC1263" s="29"/>
      <c r="CD1263" s="29"/>
      <c r="CE1263" s="29"/>
      <c r="CF1263" s="29"/>
      <c r="CG1263" s="29"/>
      <c r="CH1263" s="29"/>
      <c r="CI1263" s="29"/>
      <c r="CJ1263" s="29"/>
      <c r="CK1263" s="29"/>
      <c r="CL1263" s="29"/>
      <c r="CM1263" s="29"/>
      <c r="CN1263" s="29"/>
      <c r="CO1263" s="29"/>
      <c r="CP1263" s="29"/>
      <c r="CQ1263" s="29"/>
      <c r="CR1263" s="1"/>
      <c r="CS1263" s="1"/>
      <c r="CT1263" s="1"/>
      <c r="CU1263" s="1"/>
    </row>
    <row r="1264" spans="1:99" s="13" customFormat="1" ht="12" customHeight="1" x14ac:dyDescent="0.2">
      <c r="A1264" s="68">
        <v>43899</v>
      </c>
      <c r="B1264" s="70"/>
      <c r="C1264" s="70"/>
      <c r="D1264" s="69"/>
      <c r="E1264" s="87"/>
      <c r="F1264" s="69"/>
      <c r="G1264" s="69"/>
      <c r="H1264" s="69"/>
      <c r="I1264" s="69"/>
      <c r="J1264" s="69"/>
      <c r="K1264" s="107"/>
      <c r="L1264" s="107"/>
      <c r="M1264" s="69"/>
      <c r="N1264" s="69"/>
      <c r="O1264" s="69"/>
      <c r="P1264" s="69"/>
      <c r="Q1264" s="69"/>
      <c r="R1264" s="69"/>
      <c r="S1264" s="69"/>
      <c r="T1264" s="69"/>
      <c r="U1264" s="69"/>
      <c r="V1264" s="69"/>
      <c r="W1264" s="69"/>
      <c r="X1264" s="69"/>
      <c r="Y1264" s="87"/>
      <c r="Z1264" s="69"/>
      <c r="AA1264" s="69"/>
      <c r="AB1264" s="69"/>
      <c r="AC1264" s="72"/>
      <c r="AD1264" s="69"/>
      <c r="AE1264" s="69"/>
      <c r="AF1264" s="88"/>
      <c r="AG1264" s="72"/>
      <c r="AH1264" s="4"/>
      <c r="AI1264" s="72"/>
      <c r="AJ1264" s="110"/>
      <c r="AK1264" s="72"/>
      <c r="AL1264" s="72"/>
      <c r="AM1264" s="72"/>
      <c r="AN1264" s="72"/>
      <c r="AO1264" s="89"/>
      <c r="AP1264" s="89"/>
      <c r="AQ1264" s="90"/>
      <c r="AR1264" s="117"/>
      <c r="AS1264" s="91"/>
      <c r="AT1264" s="91"/>
      <c r="AU1264" s="3"/>
      <c r="AV1264" s="71">
        <f>30*60</f>
        <v>1800</v>
      </c>
      <c r="AW1264" s="71">
        <f>60*60*24*2</f>
        <v>172800</v>
      </c>
      <c r="AX1264" s="71">
        <f>60*60*24*7</f>
        <v>604800</v>
      </c>
      <c r="AY1264" s="71">
        <f>60*60*24*21</f>
        <v>1814400</v>
      </c>
      <c r="AZ1264" s="46"/>
      <c r="BA1264" s="42"/>
      <c r="BB1264" s="42"/>
      <c r="BC1264" s="29"/>
      <c r="BD1264" s="29"/>
      <c r="BE1264" s="29"/>
      <c r="BF1264" s="29"/>
      <c r="BG1264" s="29"/>
      <c r="BH1264" s="29"/>
      <c r="BI1264" s="29"/>
      <c r="BJ1264" s="29"/>
      <c r="BK1264" s="29"/>
      <c r="BL1264" s="29"/>
      <c r="BM1264" s="29"/>
      <c r="BN1264" s="29"/>
      <c r="BO1264" s="29"/>
      <c r="BP1264" s="29"/>
      <c r="BQ1264" s="29"/>
      <c r="BR1264" s="29"/>
      <c r="BS1264" s="29"/>
      <c r="BT1264" s="29"/>
      <c r="BU1264" s="29"/>
      <c r="BV1264" s="29"/>
      <c r="BW1264" s="29"/>
      <c r="BX1264" s="29"/>
      <c r="BY1264" s="29"/>
      <c r="BZ1264" s="29"/>
      <c r="CA1264" s="29"/>
      <c r="CB1264" s="29"/>
      <c r="CC1264" s="29"/>
      <c r="CD1264" s="29"/>
      <c r="CE1264" s="29"/>
      <c r="CF1264" s="29"/>
      <c r="CG1264" s="29"/>
      <c r="CH1264" s="29"/>
      <c r="CI1264" s="29"/>
      <c r="CJ1264" s="29"/>
      <c r="CK1264" s="29"/>
      <c r="CL1264" s="29"/>
      <c r="CM1264" s="29"/>
      <c r="CN1264" s="29"/>
      <c r="CO1264" s="29"/>
      <c r="CP1264" s="29"/>
      <c r="CQ1264" s="29"/>
      <c r="CR1264" s="1"/>
      <c r="CS1264" s="1"/>
      <c r="CT1264" s="1"/>
      <c r="CU1264" s="1"/>
    </row>
    <row r="1265" spans="1:99" s="13" customFormat="1" ht="12" customHeight="1" x14ac:dyDescent="0.25">
      <c r="A1265" s="68">
        <v>43899</v>
      </c>
      <c r="B1265" s="70" t="s">
        <v>382</v>
      </c>
      <c r="C1265" s="70" t="s">
        <v>383</v>
      </c>
      <c r="D1265" s="69">
        <v>1981</v>
      </c>
      <c r="E1265" s="87">
        <v>1</v>
      </c>
      <c r="F1265" s="69">
        <v>48</v>
      </c>
      <c r="G1265" s="69">
        <v>48</v>
      </c>
      <c r="H1265" s="69" t="s">
        <v>22</v>
      </c>
      <c r="I1265" s="69" t="s">
        <v>384</v>
      </c>
      <c r="J1265" s="69" t="s">
        <v>677</v>
      </c>
      <c r="K1265" s="69">
        <f>IF(J1265="syllables",1,IF(J1265="trigrams",2,IF(J1265="strings",3,IF(J1265="visual array",4,IF(J1265="characters",5,IF(J1265="letters",6,IF(J1265="free forms",7,IF(J1265="odors",8,IF(J1265="words",9,IF(J1265="pictures",10,IF(J1265="object pictures",11,IF(J1265="faces",12,IF(J1265="names",13,IF(J1265="idioms",14,IF(J1265="grades",15,IF(J1265="syllable-digit pairs",16,IF(J1265="trigram-word pairs",17,IF(J1265="word-digit pairs",18,IF(J1265="English-Swahili pairs",19,IF(J1265="spatial position",20,IF(J1265="word pairs",21,IF(J1265="word triads",22,IF(J1265="generated words",23,IF(J1265="word definition pairs",24,IF(J1265="math problems",25,IF(J1265="famous faces",26,IF(J1265="famous names",27,IF(J1265="famous voices",28,IF(J1265="television programs",29,IF(J1265="race horses",30,IF(J1265="new vocabulary",31,IF(J1265="sentences",32,IF(J1265="concepts",33,IF(J1265="ad slides",34,IF(J1265="scenes",35,IF(J1265="famous scenes",36,IF(J1265="poems",37,IF(J1265="walk",38,IF(J1265="faces and events",39,IF(J1265="events and names",40,IF(J1265="flashbulb",41,IF(J1265="stories",42,IF(J1265="course material",43,IF(J1265="autobiographical",44,IF(J1265="novels",45,IF(J1265="public events",46,"99"))))))))))))))))))))))))))))))))))))))))))))))</f>
        <v>42</v>
      </c>
      <c r="L1265" s="69">
        <f>IF(J1265="syllables",1,IF(J1265="trigrams",1,IF(J1265="strings",1,IF(J1265="visual array",1,IF(J1265="characters",1,IF(J1265="letters",1,IF(J1265="free forms",1,IF(J1265="odors",2,IF(J1265="words",2,IF(J1265="pictures",2,IF(J1265="object pictures",2,IF(J1265="faces",2,IF(J1265="names",2,IF(J1265="idioms","2",IF(J1265="grades",2,IF(J1265="syllable-digit pairs",3,IF(J1265="trigram-word pairs",3,IF(J1265="word-digit pairs",3,IF(J1265="English-Swahili pairs",3,IF(J1265="spatial position",3,IF(J1265="word pairs",4,IF(J1265="word triads",4,IF(J1265="generated words",4,IF(J1265="word definition pairs",4,IF(J1265="math problems",4,IF(J1265="famous faces",4,IF(J1265="famous names",4,IF(J1265="famous voices",4,IF(J1265="television programs",4,IF(J1265="race horses",4,IF(J1265="new vocabulary",4,IF(J1265="sentences",5,IF(J1265="concepts",5,IF(J1265="ad slides",5,IF(J1265="scenes",5,IF(J1265="famous scenes",5,IF(J1265="poems",6,IF(J1265="walk",6,IF(J1265="faces and events",6,IF(J1265="events and names",6,IF(J1265="flashbulb",7,IF(J1265="stories",7,IF(J1265="course material",7,IF(J1265="autobiographical",7,IF(J1265="novels",7,IF(J1265="public events",7,"99"))))))))))))))))))))))))))))))))))))))))))))))</f>
        <v>7</v>
      </c>
      <c r="M1265" s="69">
        <v>0</v>
      </c>
      <c r="N1265" s="69">
        <v>3</v>
      </c>
      <c r="O1265" s="69">
        <v>0</v>
      </c>
      <c r="P1265" s="69"/>
      <c r="Q1265" s="69" t="s">
        <v>34</v>
      </c>
      <c r="R1265" s="69">
        <f>IF(Q1265="Free Recall",1,IF(Q1265="Cued Recall",2,IF(Q1265="Recognition",3,IF(Q1265="Multiple Choice",4,IF(Q1265="Savings",5,IF(Q1265="Stem Completion",6,IF(Q1265="Fragment Completion",7,IF(Q1265="anagram solution",8,IF(Q1265="Matching",9,IF(Q1265="Problem Solving",10,"99"))))))))))</f>
        <v>3</v>
      </c>
      <c r="S1265" s="69" t="s">
        <v>15</v>
      </c>
      <c r="T1265" s="92" t="s">
        <v>581</v>
      </c>
      <c r="U1265" s="69">
        <f>IF(T1265="within",1,0)</f>
        <v>1</v>
      </c>
      <c r="V1265" s="92">
        <v>64</v>
      </c>
      <c r="W1265" s="69">
        <f>F1265*V1265</f>
        <v>3072</v>
      </c>
      <c r="X1265" s="69">
        <v>4</v>
      </c>
      <c r="Y1265" s="87">
        <f>AV1264</f>
        <v>1800</v>
      </c>
      <c r="Z1265" s="69" t="s">
        <v>165</v>
      </c>
      <c r="AA1265" s="69">
        <v>1814400</v>
      </c>
      <c r="AB1265" s="69" t="str">
        <f>IF(AA1265&lt;60,"1",IF(AA1265&lt;=43200,"2",IF(AA1265&lt;=777600,"3","4")))</f>
        <v>4</v>
      </c>
      <c r="AC1265" s="72">
        <f>AVERAGE(AV1264:DA1264)</f>
        <v>648450</v>
      </c>
      <c r="AD1265" s="69" t="str">
        <f>IF(AC1265&lt;60,"1",IF(AC1265&lt;=43200,"2",IF(AC1265&lt;=777600,"3","4")))</f>
        <v>3</v>
      </c>
      <c r="AE1265" s="87">
        <f>AA1265-Y1265</f>
        <v>1812600</v>
      </c>
      <c r="AF1265" s="88">
        <f>AV1265</f>
        <v>0.60850000000000004</v>
      </c>
      <c r="AG1265" s="72">
        <f>((AW1265-AV1265)+(AX1265-AW1265)+(AY1265-AX1265))/3</f>
        <v>-4.7000000000000021E-2</v>
      </c>
      <c r="AH1265" s="4"/>
      <c r="AI1265" s="72">
        <f>RSQ(AV1265:AY1265,AV1264:AY1264)</f>
        <v>0.81982718656599529</v>
      </c>
      <c r="AJ1265" s="110">
        <f>SLOPE(AV1265:AY1265,AV1264:AY1264)</f>
        <v>-7.9248254165174182E-8</v>
      </c>
      <c r="AK1265" s="72">
        <f>INTERCEPT(AV1265:AY1265,AV1264:AY1264)</f>
        <v>0.59838853041340723</v>
      </c>
      <c r="AL1265" s="72">
        <f>INDEX(LINEST(LN(AV1265:AY1265),LN(AV1264:AY1264),TRUE,TRUE),3,1)</f>
        <v>0.63185307714474181</v>
      </c>
      <c r="AM1265" s="72">
        <f>INDEX(LINEST(LN(AV1265:AY1265),LN(AV1264:AY1264)),1)</f>
        <v>-3.4681778044997398E-2</v>
      </c>
      <c r="AN1265" s="72">
        <f>EXP(INDEX(LINEST(LN(AV1265:AY1265),LN(AV1264:AY1264)),1,2))</f>
        <v>0.8188044124487307</v>
      </c>
      <c r="AO1265" s="89">
        <f>INDEX(LINEST((AV1265:AY1265),LN(AV1264:AY1264),TRUE,TRUE),3,1)</f>
        <v>0.63439588754048271</v>
      </c>
      <c r="AP1265" s="89">
        <f>INDEX(LINEST((AV1265:AY1265),LN(AV1264:AY1264)),1)</f>
        <v>-1.8758475000008462E-2</v>
      </c>
      <c r="AQ1265" s="90">
        <f>INDEX(LINEST(LN(AV1265:AY1265),SQRT(AV1264:AY1264),TRUE,TRUE),3,1)</f>
        <v>0.8908617159234663</v>
      </c>
      <c r="AR1265" s="117">
        <f>INDEX(LINEST(LN(AV1265:AY1265),SQRT((AV1264:AY1264))),1)</f>
        <v>-2.2522830525425607E-4</v>
      </c>
      <c r="AS1265" s="91">
        <f>INDEX(LINEST(1/(AV1265:AY1265),1/(SQRT(AV1264:AY1264)),TRUE,TRUE),3,1)</f>
        <v>0.37755057409495385</v>
      </c>
      <c r="AT1265" s="91">
        <f>INDEX(LINEST(1/(AV1265:AY1265),1/SQRT(AV1264:AY1264)),1)</f>
        <v>-13.71672306418519</v>
      </c>
      <c r="AU1265" s="3"/>
      <c r="AV1265" s="73">
        <v>0.60850000000000004</v>
      </c>
      <c r="AW1265" s="73">
        <v>0.60650000000000004</v>
      </c>
      <c r="AX1265" s="73">
        <v>0.50550000000000006</v>
      </c>
      <c r="AY1265" s="73">
        <v>0.46749999999999997</v>
      </c>
      <c r="AZ1265" s="46"/>
      <c r="BA1265" s="44"/>
      <c r="BB1265" s="44"/>
      <c r="BC1265" s="31"/>
      <c r="BD1265" s="31"/>
      <c r="BE1265" s="29"/>
      <c r="BF1265" s="29"/>
      <c r="BG1265" s="29"/>
      <c r="BH1265" s="29"/>
      <c r="BI1265" s="29"/>
      <c r="BJ1265" s="29"/>
      <c r="BK1265" s="29"/>
      <c r="BL1265" s="29"/>
      <c r="BM1265" s="29"/>
      <c r="BN1265" s="29"/>
      <c r="BO1265" s="29"/>
      <c r="BP1265" s="29"/>
      <c r="BQ1265" s="29"/>
      <c r="BR1265" s="29"/>
      <c r="BS1265" s="29"/>
      <c r="BT1265" s="29"/>
      <c r="BU1265" s="29"/>
      <c r="BV1265" s="29"/>
      <c r="BW1265" s="29"/>
      <c r="BX1265" s="29"/>
      <c r="BY1265" s="29"/>
      <c r="BZ1265" s="29"/>
      <c r="CA1265" s="29"/>
      <c r="CB1265" s="29"/>
      <c r="CC1265" s="29"/>
      <c r="CD1265" s="29"/>
      <c r="CE1265" s="29"/>
      <c r="CF1265" s="29"/>
      <c r="CG1265" s="29"/>
      <c r="CH1265" s="29"/>
      <c r="CI1265" s="29"/>
      <c r="CJ1265" s="29"/>
      <c r="CK1265" s="29"/>
      <c r="CL1265" s="29"/>
      <c r="CM1265" s="29"/>
      <c r="CN1265" s="29"/>
      <c r="CO1265" s="29"/>
      <c r="CP1265" s="29"/>
      <c r="CQ1265" s="29"/>
      <c r="CR1265" s="1"/>
      <c r="CS1265" s="1"/>
      <c r="CT1265" s="1"/>
      <c r="CU1265" s="1"/>
    </row>
    <row r="1266" spans="1:99" s="13" customFormat="1" ht="12" customHeight="1" x14ac:dyDescent="0.2">
      <c r="A1266" s="68">
        <v>43899</v>
      </c>
      <c r="B1266" s="70"/>
      <c r="C1266" s="70"/>
      <c r="D1266" s="69"/>
      <c r="E1266" s="87"/>
      <c r="F1266" s="69"/>
      <c r="G1266" s="69"/>
      <c r="H1266" s="69"/>
      <c r="I1266" s="69"/>
      <c r="J1266" s="69"/>
      <c r="K1266" s="107"/>
      <c r="L1266" s="107"/>
      <c r="M1266" s="69"/>
      <c r="N1266" s="69"/>
      <c r="O1266" s="69"/>
      <c r="P1266" s="69"/>
      <c r="Q1266" s="69"/>
      <c r="R1266" s="69"/>
      <c r="S1266" s="69"/>
      <c r="T1266" s="69"/>
      <c r="U1266" s="69"/>
      <c r="V1266" s="69"/>
      <c r="W1266" s="69"/>
      <c r="X1266" s="69"/>
      <c r="Y1266" s="87"/>
      <c r="Z1266" s="69"/>
      <c r="AA1266" s="69"/>
      <c r="AB1266" s="69"/>
      <c r="AC1266" s="72"/>
      <c r="AD1266" s="69"/>
      <c r="AE1266" s="69"/>
      <c r="AF1266" s="88"/>
      <c r="AG1266" s="72"/>
      <c r="AH1266" s="4"/>
      <c r="AI1266" s="72"/>
      <c r="AJ1266" s="110"/>
      <c r="AK1266" s="72"/>
      <c r="AL1266" s="72"/>
      <c r="AM1266" s="72"/>
      <c r="AN1266" s="72"/>
      <c r="AO1266" s="89"/>
      <c r="AP1266" s="89"/>
      <c r="AQ1266" s="90"/>
      <c r="AR1266" s="117"/>
      <c r="AS1266" s="91"/>
      <c r="AT1266" s="91"/>
      <c r="AU1266" s="3"/>
      <c r="AV1266" s="71">
        <f>30*60</f>
        <v>1800</v>
      </c>
      <c r="AW1266" s="71">
        <f>60*60*24*2</f>
        <v>172800</v>
      </c>
      <c r="AX1266" s="71">
        <f>60*60*24*7</f>
        <v>604800</v>
      </c>
      <c r="AY1266" s="71">
        <f>60*60*24*21</f>
        <v>1814400</v>
      </c>
      <c r="AZ1266" s="46"/>
      <c r="BA1266" s="42"/>
      <c r="BB1266" s="42"/>
      <c r="BC1266" s="29"/>
      <c r="BD1266" s="29"/>
      <c r="BE1266" s="29"/>
      <c r="BF1266" s="29"/>
      <c r="BG1266" s="29"/>
      <c r="BH1266" s="29"/>
      <c r="BI1266" s="29"/>
      <c r="BJ1266" s="29"/>
      <c r="BK1266" s="29"/>
      <c r="BL1266" s="29"/>
      <c r="BM1266" s="29"/>
      <c r="BN1266" s="29"/>
      <c r="BO1266" s="29"/>
      <c r="BP1266" s="29"/>
      <c r="BQ1266" s="29"/>
      <c r="BR1266" s="29"/>
      <c r="BS1266" s="29"/>
      <c r="BT1266" s="29"/>
      <c r="BU1266" s="29"/>
      <c r="BV1266" s="29"/>
      <c r="BW1266" s="29"/>
      <c r="BX1266" s="29"/>
      <c r="BY1266" s="29"/>
      <c r="BZ1266" s="29"/>
      <c r="CA1266" s="29"/>
      <c r="CB1266" s="29"/>
      <c r="CC1266" s="29"/>
      <c r="CD1266" s="29"/>
      <c r="CE1266" s="29"/>
      <c r="CF1266" s="29"/>
      <c r="CG1266" s="29"/>
      <c r="CH1266" s="29"/>
      <c r="CI1266" s="29"/>
      <c r="CJ1266" s="29"/>
      <c r="CK1266" s="29"/>
      <c r="CL1266" s="29"/>
      <c r="CM1266" s="29"/>
      <c r="CN1266" s="29"/>
      <c r="CO1266" s="29"/>
      <c r="CP1266" s="29"/>
      <c r="CQ1266" s="29"/>
      <c r="CR1266" s="1"/>
      <c r="CS1266" s="1"/>
      <c r="CT1266" s="1"/>
      <c r="CU1266" s="1"/>
    </row>
    <row r="1267" spans="1:99" s="13" customFormat="1" ht="12" customHeight="1" x14ac:dyDescent="0.25">
      <c r="A1267" s="68">
        <v>43899</v>
      </c>
      <c r="B1267" s="70" t="s">
        <v>382</v>
      </c>
      <c r="C1267" s="70" t="s">
        <v>383</v>
      </c>
      <c r="D1267" s="69">
        <v>1981</v>
      </c>
      <c r="E1267" s="87">
        <v>1</v>
      </c>
      <c r="F1267" s="69">
        <v>48</v>
      </c>
      <c r="G1267" s="69">
        <v>48</v>
      </c>
      <c r="H1267" s="69" t="s">
        <v>22</v>
      </c>
      <c r="I1267" s="69" t="s">
        <v>385</v>
      </c>
      <c r="J1267" s="69" t="s">
        <v>677</v>
      </c>
      <c r="K1267" s="69">
        <f>IF(J1267="syllables",1,IF(J1267="trigrams",2,IF(J1267="strings",3,IF(J1267="visual array",4,IF(J1267="characters",5,IF(J1267="letters",6,IF(J1267="free forms",7,IF(J1267="odors",8,IF(J1267="words",9,IF(J1267="pictures",10,IF(J1267="object pictures",11,IF(J1267="faces",12,IF(J1267="names",13,IF(J1267="idioms",14,IF(J1267="grades",15,IF(J1267="syllable-digit pairs",16,IF(J1267="trigram-word pairs",17,IF(J1267="word-digit pairs",18,IF(J1267="English-Swahili pairs",19,IF(J1267="spatial position",20,IF(J1267="word pairs",21,IF(J1267="word triads",22,IF(J1267="generated words",23,IF(J1267="word definition pairs",24,IF(J1267="math problems",25,IF(J1267="famous faces",26,IF(J1267="famous names",27,IF(J1267="famous voices",28,IF(J1267="television programs",29,IF(J1267="race horses",30,IF(J1267="new vocabulary",31,IF(J1267="sentences",32,IF(J1267="concepts",33,IF(J1267="ad slides",34,IF(J1267="scenes",35,IF(J1267="famous scenes",36,IF(J1267="poems",37,IF(J1267="walk",38,IF(J1267="faces and events",39,IF(J1267="events and names",40,IF(J1267="flashbulb",41,IF(J1267="stories",42,IF(J1267="course material",43,IF(J1267="autobiographical",44,IF(J1267="novels",45,IF(J1267="public events",46,"99"))))))))))))))))))))))))))))))))))))))))))))))</f>
        <v>42</v>
      </c>
      <c r="L1267" s="69">
        <f>IF(J1267="syllables",1,IF(J1267="trigrams",1,IF(J1267="strings",1,IF(J1267="visual array",1,IF(J1267="characters",1,IF(J1267="letters",1,IF(J1267="free forms",1,IF(J1267="odors",2,IF(J1267="words",2,IF(J1267="pictures",2,IF(J1267="object pictures",2,IF(J1267="faces",2,IF(J1267="names",2,IF(J1267="idioms","2",IF(J1267="grades",2,IF(J1267="syllable-digit pairs",3,IF(J1267="trigram-word pairs",3,IF(J1267="word-digit pairs",3,IF(J1267="English-Swahili pairs",3,IF(J1267="spatial position",3,IF(J1267="word pairs",4,IF(J1267="word triads",4,IF(J1267="generated words",4,IF(J1267="word definition pairs",4,IF(J1267="math problems",4,IF(J1267="famous faces",4,IF(J1267="famous names",4,IF(J1267="famous voices",4,IF(J1267="television programs",4,IF(J1267="race horses",4,IF(J1267="new vocabulary",4,IF(J1267="sentences",5,IF(J1267="concepts",5,IF(J1267="ad slides",5,IF(J1267="scenes",5,IF(J1267="famous scenes",5,IF(J1267="poems",6,IF(J1267="walk",6,IF(J1267="faces and events",6,IF(J1267="events and names",6,IF(J1267="flashbulb",7,IF(J1267="stories",7,IF(J1267="course material",7,IF(J1267="autobiographical",7,IF(J1267="novels",7,IF(J1267="public events",7,"99"))))))))))))))))))))))))))))))))))))))))))))))</f>
        <v>7</v>
      </c>
      <c r="M1267" s="69">
        <v>0</v>
      </c>
      <c r="N1267" s="69">
        <v>3</v>
      </c>
      <c r="O1267" s="69">
        <v>0</v>
      </c>
      <c r="P1267" s="69"/>
      <c r="Q1267" s="69" t="s">
        <v>34</v>
      </c>
      <c r="R1267" s="69">
        <f>IF(Q1267="Free Recall",1,IF(Q1267="Cued Recall",2,IF(Q1267="Recognition",3,IF(Q1267="Multiple Choice",4,IF(Q1267="Savings",5,IF(Q1267="Stem Completion",6,IF(Q1267="Fragment Completion",7,IF(Q1267="anagram solution",8,IF(Q1267="Matching",9,IF(Q1267="Problem Solving",10,"99"))))))))))</f>
        <v>3</v>
      </c>
      <c r="S1267" s="69" t="s">
        <v>15</v>
      </c>
      <c r="T1267" s="92" t="s">
        <v>581</v>
      </c>
      <c r="U1267" s="69">
        <f>IF(T1267="within",1,0)</f>
        <v>1</v>
      </c>
      <c r="V1267" s="92">
        <v>64</v>
      </c>
      <c r="W1267" s="69">
        <f>F1267*V1267</f>
        <v>3072</v>
      </c>
      <c r="X1267" s="69">
        <v>4</v>
      </c>
      <c r="Y1267" s="87">
        <f>AV1266</f>
        <v>1800</v>
      </c>
      <c r="Z1267" s="69" t="s">
        <v>165</v>
      </c>
      <c r="AA1267" s="69">
        <v>1814400</v>
      </c>
      <c r="AB1267" s="69" t="str">
        <f>IF(AA1267&lt;60,"1",IF(AA1267&lt;=43200,"2",IF(AA1267&lt;=777600,"3","4")))</f>
        <v>4</v>
      </c>
      <c r="AC1267" s="72">
        <f>AVERAGE(AV1266:DA1266)</f>
        <v>648450</v>
      </c>
      <c r="AD1267" s="69" t="str">
        <f>IF(AC1267&lt;60,"1",IF(AC1267&lt;=43200,"2",IF(AC1267&lt;=777600,"3","4")))</f>
        <v>3</v>
      </c>
      <c r="AE1267" s="87">
        <f>AA1267-Y1267</f>
        <v>1812600</v>
      </c>
      <c r="AF1267" s="88">
        <f>AV1267</f>
        <v>0.78699999999999992</v>
      </c>
      <c r="AG1267" s="72">
        <f>((AW1267-AV1267)+(AX1267-AW1267)+(AY1267-AX1267))/3</f>
        <v>-6.1999999999999979E-2</v>
      </c>
      <c r="AH1267" s="4"/>
      <c r="AI1267" s="72">
        <f>RSQ(AV1267:AY1267,AV1266:AY1266)</f>
        <v>0.81785907907900313</v>
      </c>
      <c r="AJ1267" s="110">
        <f>SLOPE(AV1267:AY1267,AV1266:AY1266)</f>
        <v>-8.4043407795632448E-8</v>
      </c>
      <c r="AK1267" s="72">
        <f>INTERCEPT(AV1267:AY1267,AV1266:AY1266)</f>
        <v>0.74724794778507786</v>
      </c>
      <c r="AL1267" s="72">
        <f>INDEX(LINEST(LN(AV1267:AY1267),LN(AV1266:AY1266),TRUE,TRUE),3,1)</f>
        <v>0.85430763809927546</v>
      </c>
      <c r="AM1267" s="72">
        <f>INDEX(LINEST(LN(AV1267:AY1267),LN(AV1266:AY1266)),1)</f>
        <v>-3.3513376224917048E-2</v>
      </c>
      <c r="AN1267" s="72">
        <f>EXP(INDEX(LINEST(LN(AV1267:AY1267),LN(AV1266:AY1266)),1,2))</f>
        <v>1.0248026451391432</v>
      </c>
      <c r="AO1267" s="89">
        <f>INDEX(LINEST((AV1267:AY1267),LN(AV1266:AY1266),TRUE,TRUE),3,1)</f>
        <v>0.88388743099002243</v>
      </c>
      <c r="AP1267" s="89">
        <f>INDEX(LINEST((AV1267:AY1267),LN(AV1266:AY1266)),1)</f>
        <v>-2.3509949552096194E-2</v>
      </c>
      <c r="AQ1267" s="90">
        <f>INDEX(LINEST(LN(AV1267:AY1267),SQRT(AV1266:AY1266),TRUE,TRUE),3,1)</f>
        <v>0.93925199193499043</v>
      </c>
      <c r="AR1267" s="117">
        <f>INDEX(LINEST(LN(AV1267:AY1267),SQRT((AV1266:AY1266))),1)</f>
        <v>-1.9218815548304854E-4</v>
      </c>
      <c r="AS1267" s="91">
        <f>INDEX(LINEST(1/(AV1267:AY1267),1/(SQRT(AV1266:AY1266)),TRUE,TRUE),3,1)</f>
        <v>0.63968583807030077</v>
      </c>
      <c r="AT1267" s="91">
        <f>INDEX(LINEST(1/(AV1267:AY1267),1/SQRT(AV1266:AY1266)),1)</f>
        <v>-11.640654212417603</v>
      </c>
      <c r="AU1267" s="3"/>
      <c r="AV1267" s="73">
        <v>0.78699999999999992</v>
      </c>
      <c r="AW1267" s="73">
        <v>0.69450000000000001</v>
      </c>
      <c r="AX1267" s="73">
        <v>0.6885</v>
      </c>
      <c r="AY1267" s="73">
        <v>0.60099999999999998</v>
      </c>
      <c r="AZ1267" s="46"/>
      <c r="BA1267" s="44"/>
      <c r="BB1267" s="44"/>
      <c r="BC1267" s="31"/>
      <c r="BD1267" s="31"/>
      <c r="BE1267" s="29"/>
      <c r="BF1267" s="29"/>
      <c r="BG1267" s="29"/>
      <c r="BH1267" s="29"/>
      <c r="BI1267" s="29"/>
      <c r="BJ1267" s="29"/>
      <c r="BK1267" s="29"/>
      <c r="BL1267" s="29"/>
      <c r="BM1267" s="29"/>
      <c r="BN1267" s="29"/>
      <c r="BO1267" s="29"/>
      <c r="BP1267" s="29"/>
      <c r="BQ1267" s="29"/>
      <c r="BR1267" s="29"/>
      <c r="BS1267" s="29"/>
      <c r="BT1267" s="29"/>
      <c r="BU1267" s="29"/>
      <c r="BV1267" s="29"/>
      <c r="BW1267" s="29"/>
      <c r="BX1267" s="29"/>
      <c r="BY1267" s="29"/>
      <c r="BZ1267" s="29"/>
      <c r="CA1267" s="29"/>
      <c r="CB1267" s="29"/>
      <c r="CC1267" s="29"/>
      <c r="CD1267" s="29"/>
      <c r="CE1267" s="29"/>
      <c r="CF1267" s="29"/>
      <c r="CG1267" s="29"/>
      <c r="CH1267" s="29"/>
      <c r="CI1267" s="29"/>
      <c r="CJ1267" s="29"/>
      <c r="CK1267" s="29"/>
      <c r="CL1267" s="29"/>
      <c r="CM1267" s="29"/>
      <c r="CN1267" s="29"/>
      <c r="CO1267" s="29"/>
      <c r="CP1267" s="29"/>
      <c r="CQ1267" s="29"/>
      <c r="CR1267" s="1"/>
      <c r="CS1267" s="1"/>
      <c r="CT1267" s="1"/>
      <c r="CU1267" s="1"/>
    </row>
    <row r="1268" spans="1:99" s="13" customFormat="1" ht="12" customHeight="1" x14ac:dyDescent="0.25">
      <c r="A1268" s="65">
        <v>43979</v>
      </c>
      <c r="B1268" s="1"/>
      <c r="C1268" s="1"/>
      <c r="D1268" s="60"/>
      <c r="E1268" s="76"/>
      <c r="F1268" s="60"/>
      <c r="G1268" s="60"/>
      <c r="H1268" s="60"/>
      <c r="I1268" s="60"/>
      <c r="J1268" s="60"/>
      <c r="K1268" s="60"/>
      <c r="L1268" s="60"/>
      <c r="M1268" s="60"/>
      <c r="N1268" s="60"/>
      <c r="O1268" s="60"/>
      <c r="P1268" s="60"/>
      <c r="Q1268" s="60"/>
      <c r="R1268" s="60"/>
      <c r="S1268" s="60"/>
      <c r="T1268" s="59"/>
      <c r="U1268" s="60"/>
      <c r="V1268" s="59"/>
      <c r="W1268" s="60"/>
      <c r="X1268" s="60"/>
      <c r="Y1268" s="76"/>
      <c r="Z1268" s="60"/>
      <c r="AA1268" s="60"/>
      <c r="AB1268" s="60"/>
      <c r="AC1268" s="56"/>
      <c r="AD1268" s="60"/>
      <c r="AE1268" s="76"/>
      <c r="AF1268" s="80"/>
      <c r="AG1268" s="56"/>
      <c r="AH1268" s="4"/>
      <c r="AI1268" s="56"/>
      <c r="AJ1268" s="109"/>
      <c r="AK1268" s="56"/>
      <c r="AL1268" s="56"/>
      <c r="AM1268" s="56"/>
      <c r="AN1268" s="56"/>
      <c r="AO1268" s="82"/>
      <c r="AP1268" s="82"/>
      <c r="AQ1268" s="83"/>
      <c r="AR1268" s="116"/>
      <c r="AS1268" s="84"/>
      <c r="AT1268" s="84"/>
      <c r="AU1268" s="3"/>
      <c r="AV1268" s="25">
        <f>5*60</f>
        <v>300</v>
      </c>
      <c r="AW1268" s="25">
        <f>60*60*2</f>
        <v>7200</v>
      </c>
      <c r="AX1268" s="25">
        <f>60*60*24*7*3</f>
        <v>1814400</v>
      </c>
      <c r="AY1268" s="25">
        <f>60*60*24*7*6</f>
        <v>3628800</v>
      </c>
      <c r="AZ1268" s="25">
        <f>60*60*24*7*27</f>
        <v>16329600</v>
      </c>
      <c r="BA1268" s="44"/>
      <c r="BB1268" s="53" t="s">
        <v>1011</v>
      </c>
      <c r="BC1268" s="31"/>
      <c r="BD1268" s="31"/>
      <c r="BE1268" s="53"/>
      <c r="BF1268" s="53"/>
      <c r="BG1268" s="53"/>
      <c r="BH1268" s="53"/>
      <c r="BI1268" s="53"/>
      <c r="BJ1268" s="53"/>
      <c r="BK1268" s="53"/>
      <c r="BL1268" s="53"/>
      <c r="BM1268" s="53"/>
      <c r="BN1268" s="53"/>
      <c r="BO1268" s="53"/>
      <c r="BP1268" s="53"/>
      <c r="BQ1268" s="53"/>
      <c r="BR1268" s="53"/>
      <c r="BS1268" s="53"/>
      <c r="BT1268" s="53"/>
      <c r="BU1268" s="53"/>
      <c r="BV1268" s="53"/>
      <c r="BW1268" s="53"/>
      <c r="BX1268" s="53"/>
      <c r="BY1268" s="53"/>
      <c r="BZ1268" s="53"/>
      <c r="CA1268" s="53"/>
      <c r="CB1268" s="53"/>
      <c r="CC1268" s="53"/>
      <c r="CD1268" s="53"/>
      <c r="CE1268" s="53"/>
      <c r="CF1268" s="53"/>
      <c r="CG1268" s="53"/>
      <c r="CH1268" s="53"/>
      <c r="CI1268" s="53"/>
      <c r="CJ1268" s="53"/>
      <c r="CK1268" s="53"/>
      <c r="CL1268" s="53"/>
      <c r="CM1268" s="53"/>
      <c r="CN1268" s="53"/>
      <c r="CO1268" s="53"/>
      <c r="CP1268" s="53"/>
      <c r="CQ1268" s="53"/>
      <c r="CR1268" s="1"/>
      <c r="CS1268" s="1"/>
      <c r="CT1268" s="1"/>
      <c r="CU1268" s="1"/>
    </row>
    <row r="1269" spans="1:99" s="13" customFormat="1" ht="12" customHeight="1" x14ac:dyDescent="0.25">
      <c r="A1269" s="65">
        <v>43979</v>
      </c>
      <c r="B1269" s="1" t="s">
        <v>1007</v>
      </c>
      <c r="C1269" s="1" t="s">
        <v>1008</v>
      </c>
      <c r="D1269" s="60">
        <v>1995</v>
      </c>
      <c r="E1269" s="76">
        <v>1</v>
      </c>
      <c r="F1269" s="60">
        <v>15</v>
      </c>
      <c r="G1269" s="60">
        <v>15</v>
      </c>
      <c r="H1269" s="60" t="s">
        <v>50</v>
      </c>
      <c r="I1269" s="60" t="s">
        <v>1009</v>
      </c>
      <c r="J1269" s="60" t="s">
        <v>313</v>
      </c>
      <c r="K1269" s="60">
        <f>IF(J1269="syllables",1,IF(J1269="trigrams",2,IF(J1269="strings",3,IF(J1269="visual array",4,IF(J1269="characters",5,IF(J1269="letters",6,IF(J1269="free forms",7,IF(J1269="odors",8,IF(J1269="words",9,IF(J1269="pictures",10,IF(J1269="object pictures",11,IF(J1269="faces",12,IF(J1269="names",13,IF(J1269="idioms",14,IF(J1269="grades",15,IF(J1269="syllable-digit pairs",16,IF(J1269="trigram-word pairs",17,IF(J1269="word-digit pairs",18,IF(J1269="English-Swahili pairs",19,IF(J1269="spatial position",20,IF(J1269="word pairs",21,IF(J1269="word triads",22,IF(J1269="generated words",23,IF(J1269="word definition pairs",24,IF(J1269="math problems",25,IF(J1269="famous faces",26,IF(J1269="famous names",27,IF(J1269="famous voices",28,IF(J1269="television programs",29,IF(J1269="race horses",30,IF(J1269="new vocabulary",31,IF(J1269="sentences",32,IF(J1269="concepts",33,IF(J1269="ad slides",34,IF(J1269="scenes",35,IF(J1269="famous scenes",36,IF(J1269="poems",37,IF(J1269="walk",38,IF(J1269="faces and events",39,IF(J1269="events and names",40,IF(J1269="flashbulb",41,IF(J1269="stories",42,IF(J1269="course material",43,IF(J1269="autobiographical",44,IF(J1269="novels",45,IF(J1269="public events",46,"99"))))))))))))))))))))))))))))))))))))))))))))))</f>
        <v>10</v>
      </c>
      <c r="L1269" s="60">
        <f>IF(J1269="syllables",1,IF(J1269="trigrams",1,IF(J1269="strings",1,IF(J1269="visual array",1,IF(J1269="characters",1,IF(J1269="letters",1,IF(J1269="free forms",1,IF(J1269="odors",2,IF(J1269="words",2,IF(J1269="pictures",2,IF(J1269="object pictures",2,IF(J1269="faces",2,IF(J1269="names",2,IF(J1269="idioms","2",IF(J1269="grades",2,IF(J1269="syllable-digit pairs",3,IF(J1269="trigram-word pairs",3,IF(J1269="word-digit pairs",3,IF(J1269="English-Swahili pairs",3,IF(J1269="spatial position",3,IF(J1269="word pairs",4,IF(J1269="word triads",4,IF(J1269="generated words",4,IF(J1269="word definition pairs",4,IF(J1269="math problems",4,IF(J1269="famous faces",4,IF(J1269="famous names",4,IF(J1269="famous voices",4,IF(J1269="television programs",4,IF(J1269="race horses",4,IF(J1269="new vocabulary",4,IF(J1269="sentences",5,IF(J1269="concepts",5,IF(J1269="ad slides",5,IF(J1269="scenes",5,IF(J1269="famous scenes",5,IF(J1269="poems",6,IF(J1269="walk",6,IF(J1269="faces and events",6,IF(J1269="events and names",6,IF(J1269="flashbulb",7,IF(J1269="stories",7,IF(J1269="course material",7,IF(J1269="autobiographical",7,IF(J1269="novels",7,IF(J1269="public events",7,"99"))))))))))))))))))))))))))))))))))))))))))))))</f>
        <v>2</v>
      </c>
      <c r="M1269" s="60">
        <v>0</v>
      </c>
      <c r="N1269" s="60">
        <v>1</v>
      </c>
      <c r="O1269" s="60">
        <v>0</v>
      </c>
      <c r="P1269" s="60"/>
      <c r="Q1269" s="60" t="s">
        <v>182</v>
      </c>
      <c r="R1269" s="60">
        <f>IF(Q1269="Free Recall",1,IF(Q1269="Cued Recall",2,IF(Q1269="Recognition",3,IF(Q1269="Multiple Choice",4,IF(Q1269="Savings",5,IF(Q1269="Stem Completion",6,IF(Q1269="Fragment Completion",7,IF(Q1269="anagram solution",8,IF(Q1269="Matching",9,IF(Q1269="Problem Solving",10,"99"))))))))))</f>
        <v>4</v>
      </c>
      <c r="S1269" s="60" t="s">
        <v>15</v>
      </c>
      <c r="T1269" s="59" t="s">
        <v>581</v>
      </c>
      <c r="U1269" s="60">
        <f>IF(T1269="within",1,0)</f>
        <v>1</v>
      </c>
      <c r="V1269" s="59">
        <v>100</v>
      </c>
      <c r="W1269" s="60">
        <f>F1269*V1269</f>
        <v>1500</v>
      </c>
      <c r="X1269" s="60">
        <v>5</v>
      </c>
      <c r="Y1269" s="76">
        <f>AV1268</f>
        <v>300</v>
      </c>
      <c r="Z1269" s="60" t="s">
        <v>1010</v>
      </c>
      <c r="AA1269" s="60">
        <f>60*60*24*7*27</f>
        <v>16329600</v>
      </c>
      <c r="AB1269" s="60" t="str">
        <f>IF(AA1269&lt;60,"1",IF(AA1269&lt;=43200,"2",IF(AA1269&lt;=777600,"3","4")))</f>
        <v>4</v>
      </c>
      <c r="AC1269" s="56">
        <f>AVERAGE(AV1268:DA1268)</f>
        <v>4356060</v>
      </c>
      <c r="AD1269" s="60" t="str">
        <f>IF(AC1269&lt;60,"1",IF(AC1269&lt;=43200,"2",IF(AC1269&lt;=777600,"3","4")))</f>
        <v>4</v>
      </c>
      <c r="AE1269" s="76">
        <f>AA1269-Y1269</f>
        <v>16329300</v>
      </c>
      <c r="AF1269" s="80">
        <f>AV1269</f>
        <v>0.98523068834677108</v>
      </c>
      <c r="AG1269" s="56">
        <f>((AW1269-AV1269)+(AX1269-AW1269)+(AY1269-AX1269)+(AZ1269-AY1269))/4</f>
        <v>-6.4347504263039257E-2</v>
      </c>
      <c r="AH1269" s="4"/>
      <c r="AI1269" s="56">
        <f>RSQ(AV1269:AZ1269,AV1268:AZ1268)</f>
        <v>0.58286447448136014</v>
      </c>
      <c r="AJ1269" s="109">
        <f>SLOPE(AV1269:AZ1269,AV1268:AZ1268)</f>
        <v>-1.3433463136831948E-8</v>
      </c>
      <c r="AK1269" s="56">
        <f>INTERCEPT(AV1269:AZ1269,AV1268:AZ1268)</f>
        <v>0.91725566529893166</v>
      </c>
      <c r="AL1269" s="56">
        <f>INDEX(LINEST(LN(AV1269:AZ1269),LN(AV1268:AZ1268),TRUE,TRUE),3,1)</f>
        <v>0.90213728635991253</v>
      </c>
      <c r="AM1269" s="56">
        <f>INDEX(LINEST(LN(AV1269:AZ1269),LN(AV1268:AZ1268)),1)</f>
        <v>-2.8799291828359688E-2</v>
      </c>
      <c r="AN1269" s="56">
        <f>EXP(INDEX(LINEST(LN(AV1269:AZ1269),LN(AV1268:AZ1268)),1,2))</f>
        <v>1.2086253315431912</v>
      </c>
      <c r="AO1269" s="82">
        <f>INDEX(LINEST((AV1269:AZ1269),LN(AV1268:AZ1268),TRUE,TRUE),3,1)</f>
        <v>0.91326885749907716</v>
      </c>
      <c r="AP1269" s="82">
        <f>INDEX(LINEST((AV1269:AZ1269),LN(AV1268:AZ1268)),1)</f>
        <v>-2.4884303031488773E-2</v>
      </c>
      <c r="AQ1269" s="83">
        <f>INDEX(LINEST(LN(AV1269:AZ1269),SQRT(AV1268:AZ1268),TRUE,TRUE),3,1)</f>
        <v>0.86215054861499774</v>
      </c>
      <c r="AR1269" s="116">
        <f>INDEX(LINEST(LN(AV1269:AZ1269),SQRT((AV1268:AZ1268))),1)</f>
        <v>-7.9268418348703716E-5</v>
      </c>
      <c r="AS1269" s="84">
        <f>INDEX(LINEST(1/(AV1269:AZ1269),1/(SQRT(AV1268:AZ1268)),TRUE,TRUE),3,1)</f>
        <v>0.49458491689591083</v>
      </c>
      <c r="AT1269" s="84">
        <f>INDEX(LINEST(1/(AV1269:AZ1269),1/SQRT(AV1268:AZ1268)),1)</f>
        <v>-4.6751073452250616</v>
      </c>
      <c r="AU1269" s="3"/>
      <c r="AV1269" s="53">
        <v>0.98523068834677108</v>
      </c>
      <c r="AW1269" s="53">
        <v>0.98218412869708305</v>
      </c>
      <c r="AX1269" s="53">
        <v>0.83677939075724694</v>
      </c>
      <c r="AY1269" s="53">
        <v>0.76165859023980209</v>
      </c>
      <c r="AZ1269" s="53">
        <v>0.72784067129461405</v>
      </c>
      <c r="BA1269" s="44"/>
      <c r="BB1269" s="44"/>
      <c r="BC1269" s="31"/>
      <c r="BD1269" s="31"/>
      <c r="BE1269" s="53"/>
      <c r="BF1269" s="53"/>
      <c r="BG1269" s="53"/>
      <c r="BH1269" s="53"/>
      <c r="BI1269" s="53"/>
      <c r="BJ1269" s="53"/>
      <c r="BK1269" s="53"/>
      <c r="BL1269" s="53"/>
      <c r="BM1269" s="53"/>
      <c r="BN1269" s="53"/>
      <c r="BO1269" s="53"/>
      <c r="BP1269" s="53"/>
      <c r="BQ1269" s="53"/>
      <c r="BR1269" s="53"/>
      <c r="BS1269" s="53"/>
      <c r="BT1269" s="53"/>
      <c r="BU1269" s="53"/>
      <c r="BV1269" s="53"/>
      <c r="BW1269" s="53"/>
      <c r="BX1269" s="53"/>
      <c r="BY1269" s="53"/>
      <c r="BZ1269" s="53"/>
      <c r="CA1269" s="53"/>
      <c r="CB1269" s="53"/>
      <c r="CC1269" s="53"/>
      <c r="CD1269" s="53"/>
      <c r="CE1269" s="53"/>
      <c r="CF1269" s="53"/>
      <c r="CG1269" s="53"/>
      <c r="CH1269" s="53"/>
      <c r="CI1269" s="53"/>
      <c r="CJ1269" s="53"/>
      <c r="CK1269" s="53"/>
      <c r="CL1269" s="53"/>
      <c r="CM1269" s="53"/>
      <c r="CN1269" s="53"/>
      <c r="CO1269" s="53"/>
      <c r="CP1269" s="53"/>
      <c r="CQ1269" s="53"/>
      <c r="CR1269" s="1"/>
      <c r="CS1269" s="1"/>
      <c r="CT1269" s="1"/>
      <c r="CU1269" s="1"/>
    </row>
    <row r="1270" spans="1:99" s="13" customFormat="1" ht="12" customHeight="1" x14ac:dyDescent="0.25">
      <c r="A1270" s="65">
        <v>43979</v>
      </c>
      <c r="B1270" s="1"/>
      <c r="C1270" s="1"/>
      <c r="D1270" s="60"/>
      <c r="E1270" s="76"/>
      <c r="F1270" s="60"/>
      <c r="G1270" s="60"/>
      <c r="H1270" s="60"/>
      <c r="I1270" s="60"/>
      <c r="J1270" s="60"/>
      <c r="K1270" s="60"/>
      <c r="L1270" s="60"/>
      <c r="M1270" s="60"/>
      <c r="N1270" s="60"/>
      <c r="O1270" s="60"/>
      <c r="P1270" s="60"/>
      <c r="Q1270" s="60"/>
      <c r="R1270" s="60"/>
      <c r="S1270" s="60"/>
      <c r="T1270" s="59"/>
      <c r="U1270" s="60"/>
      <c r="V1270" s="59"/>
      <c r="W1270" s="60"/>
      <c r="X1270" s="60"/>
      <c r="Y1270" s="76"/>
      <c r="Z1270" s="60"/>
      <c r="AA1270" s="60"/>
      <c r="AB1270" s="60"/>
      <c r="AC1270" s="56"/>
      <c r="AD1270" s="60"/>
      <c r="AE1270" s="76"/>
      <c r="AF1270" s="80"/>
      <c r="AG1270" s="56"/>
      <c r="AH1270" s="4"/>
      <c r="AI1270" s="56"/>
      <c r="AJ1270" s="109"/>
      <c r="AK1270" s="56"/>
      <c r="AL1270" s="56"/>
      <c r="AM1270" s="56"/>
      <c r="AN1270" s="56"/>
      <c r="AO1270" s="82"/>
      <c r="AP1270" s="82"/>
      <c r="AQ1270" s="83"/>
      <c r="AR1270" s="116"/>
      <c r="AS1270" s="84"/>
      <c r="AT1270" s="84"/>
      <c r="AU1270" s="3"/>
      <c r="AV1270" s="25">
        <f>5*60</f>
        <v>300</v>
      </c>
      <c r="AW1270" s="25">
        <f>60*60*2</f>
        <v>7200</v>
      </c>
      <c r="AX1270" s="25">
        <f>60*60*24*7*3</f>
        <v>1814400</v>
      </c>
      <c r="AY1270" s="25">
        <f>60*60*24*7*6</f>
        <v>3628800</v>
      </c>
      <c r="AZ1270" s="25">
        <f>60*60*24*7*27</f>
        <v>16329600</v>
      </c>
      <c r="BA1270" s="44"/>
      <c r="BB1270" s="44"/>
      <c r="BC1270" s="31"/>
      <c r="BD1270" s="31"/>
      <c r="BE1270" s="53"/>
      <c r="BF1270" s="53"/>
      <c r="BG1270" s="53"/>
      <c r="BH1270" s="53"/>
      <c r="BI1270" s="53"/>
      <c r="BJ1270" s="53"/>
      <c r="BK1270" s="53"/>
      <c r="BL1270" s="53"/>
      <c r="BM1270" s="53"/>
      <c r="BN1270" s="53"/>
      <c r="BO1270" s="53"/>
      <c r="BP1270" s="53"/>
      <c r="BQ1270" s="53"/>
      <c r="BR1270" s="53"/>
      <c r="BS1270" s="53"/>
      <c r="BT1270" s="53"/>
      <c r="BU1270" s="53"/>
      <c r="BV1270" s="53"/>
      <c r="BW1270" s="53"/>
      <c r="BX1270" s="53"/>
      <c r="BY1270" s="53"/>
      <c r="BZ1270" s="53"/>
      <c r="CA1270" s="53"/>
      <c r="CB1270" s="53"/>
      <c r="CC1270" s="53"/>
      <c r="CD1270" s="53"/>
      <c r="CE1270" s="53"/>
      <c r="CF1270" s="53"/>
      <c r="CG1270" s="53"/>
      <c r="CH1270" s="53"/>
      <c r="CI1270" s="53"/>
      <c r="CJ1270" s="53"/>
      <c r="CK1270" s="53"/>
      <c r="CL1270" s="53"/>
      <c r="CM1270" s="53"/>
      <c r="CN1270" s="53"/>
      <c r="CO1270" s="53"/>
      <c r="CP1270" s="53"/>
      <c r="CQ1270" s="53"/>
      <c r="CR1270" s="1"/>
      <c r="CS1270" s="1"/>
      <c r="CT1270" s="1"/>
      <c r="CU1270" s="1"/>
    </row>
    <row r="1271" spans="1:99" s="13" customFormat="1" ht="12" customHeight="1" x14ac:dyDescent="0.25">
      <c r="A1271" s="65">
        <v>43979</v>
      </c>
      <c r="B1271" s="1" t="s">
        <v>1007</v>
      </c>
      <c r="C1271" s="1" t="s">
        <v>1008</v>
      </c>
      <c r="D1271" s="60">
        <v>1995</v>
      </c>
      <c r="E1271" s="76">
        <v>1</v>
      </c>
      <c r="F1271" s="60">
        <v>15</v>
      </c>
      <c r="G1271" s="60">
        <v>15</v>
      </c>
      <c r="H1271" s="60" t="s">
        <v>50</v>
      </c>
      <c r="I1271" s="60" t="s">
        <v>1012</v>
      </c>
      <c r="J1271" s="60" t="s">
        <v>313</v>
      </c>
      <c r="K1271" s="60">
        <f>IF(J1271="syllables",1,IF(J1271="trigrams",2,IF(J1271="strings",3,IF(J1271="visual array",4,IF(J1271="characters",5,IF(J1271="letters",6,IF(J1271="free forms",7,IF(J1271="odors",8,IF(J1271="words",9,IF(J1271="pictures",10,IF(J1271="object pictures",11,IF(J1271="faces",12,IF(J1271="names",13,IF(J1271="idioms",14,IF(J1271="grades",15,IF(J1271="syllable-digit pairs",16,IF(J1271="trigram-word pairs",17,IF(J1271="word-digit pairs",18,IF(J1271="English-Swahili pairs",19,IF(J1271="spatial position",20,IF(J1271="word pairs",21,IF(J1271="word triads",22,IF(J1271="generated words",23,IF(J1271="word definition pairs",24,IF(J1271="math problems",25,IF(J1271="famous faces",26,IF(J1271="famous names",27,IF(J1271="famous voices",28,IF(J1271="television programs",29,IF(J1271="race horses",30,IF(J1271="new vocabulary",31,IF(J1271="sentences",32,IF(J1271="concepts",33,IF(J1271="ad slides",34,IF(J1271="scenes",35,IF(J1271="famous scenes",36,IF(J1271="poems",37,IF(J1271="walk",38,IF(J1271="faces and events",39,IF(J1271="events and names",40,IF(J1271="flashbulb",41,IF(J1271="stories",42,IF(J1271="course material",43,IF(J1271="autobiographical",44,IF(J1271="novels",45,IF(J1271="public events",46,"99"))))))))))))))))))))))))))))))))))))))))))))))</f>
        <v>10</v>
      </c>
      <c r="L1271" s="60">
        <f>IF(J1271="syllables",1,IF(J1271="trigrams",1,IF(J1271="strings",1,IF(J1271="visual array",1,IF(J1271="characters",1,IF(J1271="letters",1,IF(J1271="free forms",1,IF(J1271="odors",2,IF(J1271="words",2,IF(J1271="pictures",2,IF(J1271="object pictures",2,IF(J1271="faces",2,IF(J1271="names",2,IF(J1271="idioms","2",IF(J1271="grades",2,IF(J1271="syllable-digit pairs",3,IF(J1271="trigram-word pairs",3,IF(J1271="word-digit pairs",3,IF(J1271="English-Swahili pairs",3,IF(J1271="spatial position",3,IF(J1271="word pairs",4,IF(J1271="word triads",4,IF(J1271="generated words",4,IF(J1271="word definition pairs",4,IF(J1271="math problems",4,IF(J1271="famous faces",4,IF(J1271="famous names",4,IF(J1271="famous voices",4,IF(J1271="television programs",4,IF(J1271="race horses",4,IF(J1271="new vocabulary",4,IF(J1271="sentences",5,IF(J1271="concepts",5,IF(J1271="ad slides",5,IF(J1271="scenes",5,IF(J1271="famous scenes",5,IF(J1271="poems",6,IF(J1271="walk",6,IF(J1271="faces and events",6,IF(J1271="events and names",6,IF(J1271="flashbulb",7,IF(J1271="stories",7,IF(J1271="course material",7,IF(J1271="autobiographical",7,IF(J1271="novels",7,IF(J1271="public events",7,"99"))))))))))))))))))))))))))))))))))))))))))))))</f>
        <v>2</v>
      </c>
      <c r="M1271" s="60">
        <v>0</v>
      </c>
      <c r="N1271" s="60">
        <v>1</v>
      </c>
      <c r="O1271" s="60">
        <v>0</v>
      </c>
      <c r="P1271" s="60"/>
      <c r="Q1271" s="60" t="s">
        <v>182</v>
      </c>
      <c r="R1271" s="60">
        <f>IF(Q1271="Free Recall",1,IF(Q1271="Cued Recall",2,IF(Q1271="Recognition",3,IF(Q1271="Multiple Choice",4,IF(Q1271="Savings",5,IF(Q1271="Stem Completion",6,IF(Q1271="Fragment Completion",7,IF(Q1271="anagram solution",8,IF(Q1271="Matching",9,IF(Q1271="Problem Solving",10,"99"))))))))))</f>
        <v>4</v>
      </c>
      <c r="S1271" s="60" t="s">
        <v>15</v>
      </c>
      <c r="T1271" s="59" t="s">
        <v>581</v>
      </c>
      <c r="U1271" s="60">
        <f>IF(T1271="within",1,0)</f>
        <v>1</v>
      </c>
      <c r="V1271" s="59">
        <v>100</v>
      </c>
      <c r="W1271" s="60">
        <f>F1271*V1271</f>
        <v>1500</v>
      </c>
      <c r="X1271" s="60">
        <v>5</v>
      </c>
      <c r="Y1271" s="76">
        <f>AV1270</f>
        <v>300</v>
      </c>
      <c r="Z1271" s="60" t="s">
        <v>1010</v>
      </c>
      <c r="AA1271" s="60">
        <f>60*60*24*7*27</f>
        <v>16329600</v>
      </c>
      <c r="AB1271" s="60" t="str">
        <f>IF(AA1271&lt;60,"1",IF(AA1271&lt;=43200,"2",IF(AA1271&lt;=777600,"3","4")))</f>
        <v>4</v>
      </c>
      <c r="AC1271" s="56">
        <f>AVERAGE(AV1270:DA1270)</f>
        <v>4356060</v>
      </c>
      <c r="AD1271" s="60" t="str">
        <f>IF(AC1271&lt;60,"1",IF(AC1271&lt;=43200,"2",IF(AC1271&lt;=777600,"3","4")))</f>
        <v>4</v>
      </c>
      <c r="AE1271" s="76">
        <f>AA1271-Y1271</f>
        <v>16329300</v>
      </c>
      <c r="AF1271" s="80">
        <f>AV1271</f>
        <v>0.99842829620252205</v>
      </c>
      <c r="AG1271" s="56">
        <f>((AW1271-AV1271)+(AX1271-AW1271)+(AY1271-AX1271)+(AZ1271-AY1271))/4</f>
        <v>-8.3962326149291E-2</v>
      </c>
      <c r="AH1271" s="4"/>
      <c r="AI1271" s="56">
        <f>RSQ(AV1271:AZ1271,AV1270:AZ1270)</f>
        <v>0.60825325813478348</v>
      </c>
      <c r="AJ1271" s="109">
        <f>SLOPE(AV1271:AZ1271,AV1270:AZ1270)</f>
        <v>-1.8188818937887309E-8</v>
      </c>
      <c r="AK1271" s="56">
        <f>INTERCEPT(AV1271:AZ1271,AV1270:AZ1270)</f>
        <v>0.92037107187574374</v>
      </c>
      <c r="AL1271" s="56">
        <f>INDEX(LINEST(LN(AV1271:AZ1271),LN(AV1270:AZ1270),TRUE,TRUE),3,1)</f>
        <v>0.81899768836940856</v>
      </c>
      <c r="AM1271" s="56">
        <f>INDEX(LINEST(LN(AV1271:AZ1271),LN(AV1270:AZ1270)),1)</f>
        <v>-3.7895681646718304E-2</v>
      </c>
      <c r="AN1271" s="56">
        <f>EXP(INDEX(LINEST(LN(AV1271:AZ1271),LN(AV1270:AZ1270)),1,2))</f>
        <v>1.3129152547321392</v>
      </c>
      <c r="AO1271" s="82">
        <f>INDEX(LINEST((AV1271:AZ1271),LN(AV1270:AZ1270),TRUE,TRUE),3,1)</f>
        <v>0.84332201562954479</v>
      </c>
      <c r="AP1271" s="82">
        <f>INDEX(LINEST((AV1271:AZ1271),LN(AV1270:AZ1270)),1)</f>
        <v>-3.1694285015315474E-2</v>
      </c>
      <c r="AQ1271" s="83">
        <f>INDEX(LINEST(LN(AV1271:AZ1271),SQRT(AV1270:AZ1270),TRUE,TRUE),3,1)</f>
        <v>0.85471679792933741</v>
      </c>
      <c r="AR1271" s="116">
        <f>INDEX(LINEST(LN(AV1271:AZ1271),SQRT((AV1270:AZ1270))),1)</f>
        <v>-1.0899903454701368E-4</v>
      </c>
      <c r="AS1271" s="84">
        <f>INDEX(LINEST(1/(AV1271:AZ1271),1/(SQRT(AV1270:AZ1270)),TRUE,TRUE),3,1)</f>
        <v>0.41997791664476863</v>
      </c>
      <c r="AT1271" s="84">
        <f>INDEX(LINEST(1/(AV1271:AZ1271),1/SQRT(AV1270:AZ1270)),1)</f>
        <v>-6.2406536297329342</v>
      </c>
      <c r="AU1271" s="3"/>
      <c r="AV1271" s="53">
        <v>0.99842829620252205</v>
      </c>
      <c r="AW1271" s="53">
        <v>0.99684967469466901</v>
      </c>
      <c r="AX1271" s="53">
        <v>0.85291010781251597</v>
      </c>
      <c r="AY1271" s="53">
        <v>0.69493035595078689</v>
      </c>
      <c r="AZ1271" s="53">
        <v>0.66257899160535805</v>
      </c>
      <c r="BA1271" s="44"/>
      <c r="BB1271" s="44"/>
      <c r="BC1271" s="31"/>
      <c r="BD1271" s="31"/>
      <c r="BE1271" s="53"/>
      <c r="BF1271" s="53"/>
      <c r="BG1271" s="53"/>
      <c r="BH1271" s="53"/>
      <c r="BI1271" s="53"/>
      <c r="BJ1271" s="53"/>
      <c r="BK1271" s="53"/>
      <c r="BL1271" s="53"/>
      <c r="BM1271" s="53"/>
      <c r="BN1271" s="53"/>
      <c r="BO1271" s="53"/>
      <c r="BP1271" s="53"/>
      <c r="BQ1271" s="53"/>
      <c r="BR1271" s="53"/>
      <c r="BS1271" s="53"/>
      <c r="BT1271" s="53"/>
      <c r="BU1271" s="53"/>
      <c r="BV1271" s="53"/>
      <c r="BW1271" s="53"/>
      <c r="BX1271" s="53"/>
      <c r="BY1271" s="53"/>
      <c r="BZ1271" s="53"/>
      <c r="CA1271" s="53"/>
      <c r="CB1271" s="53"/>
      <c r="CC1271" s="53"/>
      <c r="CD1271" s="53"/>
      <c r="CE1271" s="53"/>
      <c r="CF1271" s="53"/>
      <c r="CG1271" s="53"/>
      <c r="CH1271" s="53"/>
      <c r="CI1271" s="53"/>
      <c r="CJ1271" s="53"/>
      <c r="CK1271" s="53"/>
      <c r="CL1271" s="53"/>
      <c r="CM1271" s="53"/>
      <c r="CN1271" s="53"/>
      <c r="CO1271" s="53"/>
      <c r="CP1271" s="53"/>
      <c r="CQ1271" s="53"/>
      <c r="CR1271" s="1"/>
      <c r="CS1271" s="1"/>
      <c r="CT1271" s="1"/>
      <c r="CU1271" s="1"/>
    </row>
    <row r="1272" spans="1:99" s="13" customFormat="1" ht="12" customHeight="1" x14ac:dyDescent="0.2">
      <c r="A1272" s="68">
        <v>43509</v>
      </c>
      <c r="B1272" s="70"/>
      <c r="C1272" s="70"/>
      <c r="D1272" s="69"/>
      <c r="E1272" s="87"/>
      <c r="F1272" s="69"/>
      <c r="G1272" s="69"/>
      <c r="H1272" s="69"/>
      <c r="I1272" s="69"/>
      <c r="J1272" s="69"/>
      <c r="K1272" s="107"/>
      <c r="L1272" s="107"/>
      <c r="M1272" s="69"/>
      <c r="N1272" s="69"/>
      <c r="O1272" s="69"/>
      <c r="P1272" s="69"/>
      <c r="Q1272" s="69"/>
      <c r="R1272" s="69"/>
      <c r="S1272" s="69"/>
      <c r="T1272" s="69"/>
      <c r="U1272" s="69"/>
      <c r="V1272" s="69"/>
      <c r="W1272" s="69"/>
      <c r="X1272" s="69"/>
      <c r="Y1272" s="87"/>
      <c r="Z1272" s="69"/>
      <c r="AA1272" s="69"/>
      <c r="AB1272" s="69"/>
      <c r="AC1272" s="69"/>
      <c r="AD1272" s="69"/>
      <c r="AE1272" s="69"/>
      <c r="AF1272" s="88"/>
      <c r="AG1272" s="72"/>
      <c r="AH1272" s="4"/>
      <c r="AI1272" s="72"/>
      <c r="AJ1272" s="110"/>
      <c r="AK1272" s="72"/>
      <c r="AL1272" s="72"/>
      <c r="AM1272" s="72"/>
      <c r="AN1272" s="72"/>
      <c r="AO1272" s="72"/>
      <c r="AP1272" s="72"/>
      <c r="AQ1272" s="89"/>
      <c r="AR1272" s="118"/>
      <c r="AS1272" s="89"/>
      <c r="AT1272" s="89"/>
      <c r="AU1272" s="4"/>
      <c r="AV1272" s="71">
        <f>365*24*60*60*1</f>
        <v>31536000</v>
      </c>
      <c r="AW1272" s="71">
        <f>365*24*60*60*2</f>
        <v>63072000</v>
      </c>
      <c r="AX1272" s="71">
        <f>365*24*60*60*3</f>
        <v>94608000</v>
      </c>
      <c r="AY1272" s="71">
        <f>365*24*60*60*4</f>
        <v>126144000</v>
      </c>
      <c r="AZ1272" s="71">
        <f>365*24*60*60*5</f>
        <v>157680000</v>
      </c>
      <c r="BA1272" s="71">
        <f>365*24*60*60*6</f>
        <v>189216000</v>
      </c>
      <c r="BB1272" s="71">
        <f>365*24*60*60*7</f>
        <v>220752000</v>
      </c>
      <c r="BC1272" s="71">
        <f>365*24*60*60*8</f>
        <v>252288000</v>
      </c>
      <c r="BD1272" s="71">
        <f>365*24*60*60*9</f>
        <v>283824000</v>
      </c>
      <c r="BE1272" s="71">
        <f>365*24*60*60*10</f>
        <v>315360000</v>
      </c>
      <c r="BF1272" s="71">
        <f>365*24*60*60*11</f>
        <v>346896000</v>
      </c>
      <c r="BG1272" s="71">
        <f>365*24*60*60*12</f>
        <v>378432000</v>
      </c>
      <c r="BH1272" s="71">
        <f>365*24*60*60*13</f>
        <v>409968000</v>
      </c>
      <c r="BI1272" s="71">
        <f>365*24*60*60*14</f>
        <v>441504000</v>
      </c>
      <c r="BJ1272" s="71">
        <f>365*24*60*60*15</f>
        <v>473040000</v>
      </c>
      <c r="BK1272" s="2"/>
      <c r="BL1272" s="2"/>
      <c r="BM1272" s="2"/>
      <c r="BN1272" s="2"/>
      <c r="BO1272" s="2"/>
      <c r="BP1272" s="2"/>
      <c r="BQ1272" s="2"/>
      <c r="BR1272" s="2"/>
      <c r="BS1272" s="2"/>
      <c r="BT1272" s="2"/>
      <c r="BU1272" s="2"/>
      <c r="BV1272" s="2"/>
      <c r="BW1272" s="2"/>
      <c r="BX1272" s="2"/>
      <c r="BY1272" s="2"/>
      <c r="BZ1272" s="2"/>
      <c r="CA1272" s="2"/>
      <c r="CB1272" s="2"/>
      <c r="CC1272" s="2"/>
      <c r="CD1272" s="2"/>
      <c r="CE1272" s="2"/>
      <c r="CF1272" s="2"/>
      <c r="CG1272" s="2"/>
      <c r="CH1272" s="2"/>
      <c r="CI1272" s="2"/>
      <c r="CJ1272" s="2"/>
      <c r="CK1272" s="2"/>
      <c r="CL1272" s="2"/>
      <c r="CM1272" s="2"/>
      <c r="CN1272" s="2"/>
      <c r="CO1272" s="2"/>
      <c r="CP1272" s="2"/>
      <c r="CQ1272" s="2"/>
      <c r="CR1272" s="1"/>
      <c r="CS1272" s="1"/>
      <c r="CT1272" s="1"/>
      <c r="CU1272" s="1"/>
    </row>
    <row r="1273" spans="1:99" s="13" customFormat="1" ht="12" customHeight="1" x14ac:dyDescent="0.2">
      <c r="A1273" s="68">
        <v>43509</v>
      </c>
      <c r="B1273" s="103" t="s">
        <v>222</v>
      </c>
      <c r="C1273" s="70" t="s">
        <v>223</v>
      </c>
      <c r="D1273" s="69">
        <v>1989</v>
      </c>
      <c r="E1273" s="87">
        <v>1</v>
      </c>
      <c r="F1273" s="69">
        <v>231</v>
      </c>
      <c r="G1273" s="69">
        <v>231</v>
      </c>
      <c r="H1273" s="69" t="s">
        <v>216</v>
      </c>
      <c r="I1273" s="69"/>
      <c r="J1273" s="69" t="s">
        <v>376</v>
      </c>
      <c r="K1273" s="69">
        <f>IF(J1273="syllables",1,IF(J1273="trigrams",2,IF(J1273="strings",3,IF(J1273="visual array",4,IF(J1273="characters",5,IF(J1273="letters",6,IF(J1273="free forms",7,IF(J1273="odors",8,IF(J1273="words",9,IF(J1273="pictures",10,IF(J1273="object pictures",11,IF(J1273="faces",12,IF(J1273="names",13,IF(J1273="idioms",14,IF(J1273="grades",15,IF(J1273="syllable-digit pairs",16,IF(J1273="trigram-word pairs",17,IF(J1273="word-digit pairs",18,IF(J1273="English-Swahili pairs",19,IF(J1273="spatial position",20,IF(J1273="word pairs",21,IF(J1273="word triads",22,IF(J1273="generated words",23,IF(J1273="word definition pairs",24,IF(J1273="math problems",25,IF(J1273="famous faces",26,IF(J1273="famous names",27,IF(J1273="famous voices",28,IF(J1273="television programs",29,IF(J1273="race horses",30,IF(J1273="new vocabulary",31,IF(J1273="sentences",32,IF(J1273="concepts",33,IF(J1273="ad slides",34,IF(J1273="scenes",35,IF(J1273="famous scenes",36,IF(J1273="poems",37,IF(J1273="walk",38,IF(J1273="faces and events",39,IF(J1273="events and names",40,IF(J1273="flashbulb",41,IF(J1273="stories",42,IF(J1273="course material",43,IF(J1273="autobiographical",44,IF(J1273="novels",45,IF(J1273="public events",46,"99"))))))))))))))))))))))))))))))))))))))))))))))</f>
        <v>29</v>
      </c>
      <c r="L1273" s="69">
        <f>IF(J1273="syllables",1,IF(J1273="trigrams",1,IF(J1273="strings",1,IF(J1273="visual array",1,IF(J1273="characters",1,IF(J1273="letters",1,IF(J1273="free forms",1,IF(J1273="odors",2,IF(J1273="words",2,IF(J1273="pictures",2,IF(J1273="object pictures",2,IF(J1273="faces",2,IF(J1273="names",2,IF(J1273="idioms","2",IF(J1273="grades",2,IF(J1273="syllable-digit pairs",3,IF(J1273="trigram-word pairs",3,IF(J1273="word-digit pairs",3,IF(J1273="English-Swahili pairs",3,IF(J1273="spatial position",3,IF(J1273="word pairs",4,IF(J1273="word triads",4,IF(J1273="generated words",4,IF(J1273="word definition pairs",4,IF(J1273="math problems",4,IF(J1273="famous faces",4,IF(J1273="famous names",4,IF(J1273="famous voices",4,IF(J1273="television programs",4,IF(J1273="race horses",4,IF(J1273="new vocabulary",4,IF(J1273="sentences",5,IF(J1273="concepts",5,IF(J1273="ad slides",5,IF(J1273="scenes",5,IF(J1273="famous scenes",5,IF(J1273="poems",6,IF(J1273="walk",6,IF(J1273="faces and events",6,IF(J1273="events and names",6,IF(J1273="flashbulb",7,IF(J1273="stories",7,IF(J1273="course material",7,IF(J1273="autobiographical",7,IF(J1273="novels",7,IF(J1273="public events",7,"99"))))))))))))))))))))))))))))))))))))))))))))))</f>
        <v>4</v>
      </c>
      <c r="M1273" s="69">
        <v>1</v>
      </c>
      <c r="N1273" s="69">
        <v>2</v>
      </c>
      <c r="O1273" s="69">
        <v>0</v>
      </c>
      <c r="P1273" s="69"/>
      <c r="Q1273" s="69" t="s">
        <v>182</v>
      </c>
      <c r="R1273" s="69">
        <f>IF(Q1273="Free Recall",1,IF(Q1273="Cued Recall",2,IF(Q1273="Recognition",3,IF(Q1273="Multiple Choice",4,IF(Q1273="Savings",5,IF(Q1273="Stem Completion",6,IF(Q1273="Fragment Completion",7,IF(Q1273="anagram solution",8,IF(Q1273="Matching",9,IF(Q1273="Problem Solving",10,"99"))))))))))</f>
        <v>4</v>
      </c>
      <c r="S1273" s="69" t="s">
        <v>15</v>
      </c>
      <c r="T1273" s="92" t="s">
        <v>581</v>
      </c>
      <c r="U1273" s="69">
        <f>IF(T1273="within",1,0)</f>
        <v>1</v>
      </c>
      <c r="V1273" s="92">
        <v>115</v>
      </c>
      <c r="W1273" s="69">
        <f>F1273*V1273</f>
        <v>26565</v>
      </c>
      <c r="X1273" s="69">
        <v>15</v>
      </c>
      <c r="Y1273" s="87">
        <f>AV1272</f>
        <v>31536000</v>
      </c>
      <c r="Z1273" s="69" t="s">
        <v>224</v>
      </c>
      <c r="AA1273" s="69">
        <v>473040000</v>
      </c>
      <c r="AB1273" s="69" t="str">
        <f>IF(AA1273&lt;60,"1",IF(AA1273&lt;=43200,"2",IF(AA1273&lt;=777600,"3","4")))</f>
        <v>4</v>
      </c>
      <c r="AC1273" s="72">
        <f>AVERAGE(AV1272:DA1272)</f>
        <v>252288000</v>
      </c>
      <c r="AD1273" s="69" t="str">
        <f>IF(AC1273&lt;60,"1",IF(AC1273&lt;=43200,"2",IF(AC1273&lt;=777600,"3","4")))</f>
        <v>4</v>
      </c>
      <c r="AE1273" s="87">
        <f>AA1273-Y1273</f>
        <v>441504000</v>
      </c>
      <c r="AF1273" s="88">
        <f>AV1273</f>
        <v>0.76600000000000001</v>
      </c>
      <c r="AG1273" s="72">
        <f>((AW1273-AV1273)+(AX1273-AW1273)+(AY1273-AX1273)+(AZ1273-AY1273)+(BA1273-AZ1273)+(BB1273-BA1273)+(BC1273-BB1273)+(BD1273-BC1273)+(BE1273-BD1273)+(BF1273-BE1273)+(BG1273-BF1273)+(BH1273-BG1273)+(BI1273-BH1273)+(BJ1273-BI1273))/14</f>
        <v>-1.3428571428571432E-2</v>
      </c>
      <c r="AH1273" s="4"/>
      <c r="AI1273" s="72">
        <f>RSQ(AV1273:BJ1273,AV1272:BJ1272)</f>
        <v>0.88447795619328795</v>
      </c>
      <c r="AJ1273" s="110">
        <f>SLOPE(AV1273:BJ1273,AV1272:BJ1272)</f>
        <v>-4.2887493658041609E-10</v>
      </c>
      <c r="AK1273" s="72">
        <f>INTERCEPT(AV1273:BJ1273,AV1272:BJ1272)</f>
        <v>0.74026666666666663</v>
      </c>
      <c r="AL1273" s="72">
        <f>INDEX(LINEST(LN(AV1273:BJ1273),LN(AV1272:BJ1272),TRUE,TRUE),3,1)</f>
        <v>0.94481208345524026</v>
      </c>
      <c r="AM1273" s="72">
        <f>INDEX(LINEST(LN(AV1273:BJ1273),LN(AV1272:BJ1272)),1)</f>
        <v>-0.12310422284221159</v>
      </c>
      <c r="AN1273" s="72">
        <f>EXP(INDEX(LINEST(LN(AV1273:BJ1273),LN(AV1272:BJ1272)),1,2))</f>
        <v>6.6269552571389596</v>
      </c>
      <c r="AO1273" s="89">
        <f>INDEX(LINEST((AV1273:BJ1273),LN(AV1272:BJ1272),TRUE,TRUE),3,1)</f>
        <v>0.95795896251584145</v>
      </c>
      <c r="AP1273" s="89">
        <f>INDEX(LINEST((AV1273:BJ1273),LN(AV1272:BJ1272)),1)</f>
        <v>-8.0499009803404228E-2</v>
      </c>
      <c r="AQ1273" s="90">
        <f>INDEX(LINEST(LN(AV1273:BJ1273),SQRT(AV1272:BJ1272),TRUE,TRUE),3,1)</f>
        <v>0.95096600056972047</v>
      </c>
      <c r="AR1273" s="117">
        <f>INDEX(LINEST(LN(AV1273:BJ1273),SQRT((AV1272:BJ1272))),1)</f>
        <v>-1.956573907240783E-5</v>
      </c>
      <c r="AS1273" s="91">
        <f>INDEX(LINEST(1/(AV1273:BJ1273),1/(SQRT(AV1272:BJ1272)),TRUE,TRUE),3,1)</f>
        <v>0.82975433121503472</v>
      </c>
      <c r="AT1273" s="91">
        <f>INDEX(LINEST(1/(AV1273:BJ1273),1/SQRT(AV1272:BJ1272)),1)</f>
        <v>-3879.8557325057409</v>
      </c>
      <c r="AU1273" s="3"/>
      <c r="AV1273" s="73">
        <v>0.76600000000000001</v>
      </c>
      <c r="AW1273" s="73">
        <v>0.73099999999999998</v>
      </c>
      <c r="AX1273" s="73">
        <v>0.70799999999999996</v>
      </c>
      <c r="AY1273" s="73">
        <v>0.68</v>
      </c>
      <c r="AZ1273" s="73">
        <v>0.65600000000000003</v>
      </c>
      <c r="BA1273" s="73">
        <v>0.63600000000000001</v>
      </c>
      <c r="BB1273" s="73">
        <v>0.61</v>
      </c>
      <c r="BC1273" s="73">
        <v>0.60599999999999998</v>
      </c>
      <c r="BD1273" s="73">
        <v>0.629</v>
      </c>
      <c r="BE1273" s="73">
        <v>0.59599999999999997</v>
      </c>
      <c r="BF1273" s="73">
        <v>0.59699999999999998</v>
      </c>
      <c r="BG1273" s="73">
        <v>0.57999999999999996</v>
      </c>
      <c r="BH1273" s="73">
        <v>0.55500000000000005</v>
      </c>
      <c r="BI1273" s="73">
        <v>0.55300000000000005</v>
      </c>
      <c r="BJ1273" s="73">
        <v>0.57799999999999996</v>
      </c>
      <c r="BK1273" s="2"/>
      <c r="BL1273" s="2"/>
      <c r="BM1273" s="2"/>
      <c r="BN1273" s="2"/>
      <c r="BO1273" s="2"/>
      <c r="BP1273" s="2"/>
      <c r="BQ1273" s="2"/>
      <c r="BR1273" s="2"/>
      <c r="BS1273" s="2"/>
      <c r="BT1273" s="2"/>
      <c r="BU1273" s="2"/>
      <c r="BV1273" s="2"/>
      <c r="BW1273" s="2"/>
      <c r="BX1273" s="2"/>
      <c r="BY1273" s="2"/>
      <c r="BZ1273" s="2"/>
      <c r="CA1273" s="2"/>
      <c r="CB1273" s="2"/>
      <c r="CC1273" s="2"/>
      <c r="CD1273" s="2"/>
      <c r="CE1273" s="2"/>
      <c r="CF1273" s="2"/>
      <c r="CG1273" s="2"/>
      <c r="CH1273" s="2"/>
      <c r="CI1273" s="2"/>
      <c r="CJ1273" s="2"/>
      <c r="CK1273" s="2"/>
      <c r="CL1273" s="2"/>
      <c r="CM1273" s="2"/>
      <c r="CN1273" s="2"/>
      <c r="CO1273" s="2"/>
      <c r="CP1273" s="2"/>
      <c r="CQ1273" s="2"/>
      <c r="CR1273" s="1"/>
      <c r="CS1273" s="1"/>
      <c r="CT1273" s="1"/>
      <c r="CU1273" s="1"/>
    </row>
    <row r="1274" spans="1:99" ht="12" customHeight="1" x14ac:dyDescent="0.2">
      <c r="A1274" s="65">
        <v>43897</v>
      </c>
      <c r="B1274" s="15"/>
      <c r="C1274" s="15"/>
      <c r="D1274" s="59"/>
      <c r="E1274" s="75"/>
      <c r="F1274" s="59"/>
      <c r="G1274" s="59"/>
      <c r="H1274" s="59"/>
      <c r="I1274" s="59"/>
      <c r="J1274" s="59"/>
      <c r="M1274" s="59"/>
      <c r="N1274" s="61"/>
      <c r="O1274" s="59"/>
      <c r="P1274" s="59"/>
      <c r="Q1274" s="59"/>
      <c r="R1274" s="60"/>
      <c r="S1274" s="59"/>
      <c r="T1274" s="59"/>
      <c r="U1274" s="60"/>
      <c r="V1274" s="59"/>
      <c r="W1274" s="60"/>
      <c r="X1274" s="60"/>
      <c r="Y1274" s="76"/>
      <c r="Z1274" s="59"/>
      <c r="AA1274" s="59"/>
      <c r="AB1274" s="60"/>
      <c r="AC1274" s="56"/>
      <c r="AD1274" s="60"/>
      <c r="AE1274" s="60"/>
      <c r="AF1274" s="80"/>
      <c r="AG1274" s="56"/>
      <c r="AH1274" s="4"/>
      <c r="AI1274" s="56"/>
      <c r="AJ1274" s="109"/>
      <c r="AK1274" s="56"/>
      <c r="AL1274" s="56"/>
      <c r="AM1274" s="56"/>
      <c r="AN1274" s="56"/>
      <c r="AO1274" s="82"/>
      <c r="AP1274" s="82"/>
      <c r="AQ1274" s="83"/>
      <c r="AR1274" s="116"/>
      <c r="AS1274" s="84"/>
      <c r="AT1274" s="84"/>
      <c r="AU1274" s="3"/>
      <c r="AV1274" s="25">
        <v>157680000</v>
      </c>
      <c r="AW1274" s="25">
        <v>473040000</v>
      </c>
      <c r="AX1274" s="25">
        <v>788400000</v>
      </c>
      <c r="AY1274" s="25">
        <v>1103760000</v>
      </c>
      <c r="AZ1274" s="25">
        <v>1419120000</v>
      </c>
      <c r="BA1274" s="11"/>
      <c r="BB1274" s="11"/>
      <c r="BC1274" s="11"/>
      <c r="BD1274" s="11"/>
      <c r="BE1274" s="11"/>
      <c r="BF1274" s="11"/>
      <c r="BG1274" s="11"/>
      <c r="BH1274" s="11"/>
      <c r="BI1274" s="11"/>
      <c r="BJ1274" s="11"/>
      <c r="BK1274" s="11"/>
      <c r="BL1274" s="11"/>
      <c r="BM1274" s="11"/>
      <c r="BN1274" s="11"/>
      <c r="BO1274" s="11"/>
      <c r="BP1274" s="11"/>
      <c r="BQ1274" s="11"/>
      <c r="BR1274" s="11"/>
      <c r="BS1274" s="11"/>
      <c r="BT1274" s="11"/>
      <c r="BU1274" s="11"/>
      <c r="BV1274" s="11"/>
      <c r="BW1274" s="11"/>
      <c r="BX1274" s="11"/>
      <c r="BY1274" s="11"/>
      <c r="BZ1274" s="11"/>
      <c r="CA1274" s="11"/>
      <c r="CB1274" s="11"/>
      <c r="CC1274" s="11"/>
      <c r="CD1274" s="11"/>
      <c r="CE1274" s="11"/>
      <c r="CF1274" s="11"/>
      <c r="CG1274" s="11"/>
      <c r="CH1274" s="11"/>
      <c r="CI1274" s="11"/>
      <c r="CJ1274" s="11"/>
      <c r="CK1274" s="11"/>
      <c r="CL1274" s="11"/>
      <c r="CM1274" s="11"/>
      <c r="CN1274" s="11"/>
      <c r="CO1274" s="11"/>
      <c r="CP1274" s="11"/>
      <c r="CQ1274" s="11"/>
      <c r="CR1274" s="15"/>
      <c r="CS1274" s="15"/>
      <c r="CT1274" s="15"/>
      <c r="CU1274" s="15"/>
    </row>
    <row r="1275" spans="1:99" ht="12" customHeight="1" x14ac:dyDescent="0.2">
      <c r="A1275" s="65">
        <v>43897</v>
      </c>
      <c r="B1275" s="15" t="s">
        <v>409</v>
      </c>
      <c r="C1275" s="15" t="s">
        <v>139</v>
      </c>
      <c r="D1275" s="59">
        <v>1982</v>
      </c>
      <c r="E1275" s="76">
        <v>1</v>
      </c>
      <c r="F1275" s="60">
        <v>16</v>
      </c>
      <c r="G1275" s="60">
        <v>16</v>
      </c>
      <c r="H1275" s="59" t="s">
        <v>441</v>
      </c>
      <c r="I1275" s="60" t="s">
        <v>330</v>
      </c>
      <c r="J1275" s="60" t="s">
        <v>342</v>
      </c>
      <c r="K1275" s="60">
        <f>IF(J1275="syllables",1,IF(J1275="trigrams",2,IF(J1275="strings",3,IF(J1275="visual array",4,IF(J1275="characters",5,IF(J1275="letters",6,IF(J1275="free forms",7,IF(J1275="odors",8,IF(J1275="words",9,IF(J1275="pictures",10,IF(J1275="object pictures",11,IF(J1275="faces",12,IF(J1275="names",13,IF(J1275="idioms",14,IF(J1275="grades",15,IF(J1275="syllable-digit pairs",16,IF(J1275="trigram-word pairs",17,IF(J1275="word-digit pairs",18,IF(J1275="English-Swahili pairs",19,IF(J1275="spatial position",20,IF(J1275="word pairs",21,IF(J1275="word triads",22,IF(J1275="generated words",23,IF(J1275="word definition pairs",24,IF(J1275="math problems",25,IF(J1275="famous faces",26,IF(J1275="famous names",27,IF(J1275="famous voices",28,IF(J1275="television programs",29,IF(J1275="race horses",30,IF(J1275="new vocabulary",31,IF(J1275="sentences",32,IF(J1275="concepts",33,IF(J1275="ad slides",34,IF(J1275="scenes",35,IF(J1275="famous scenes",36,IF(J1275="poems",37,IF(J1275="walk",38,IF(J1275="faces and events",39,IF(J1275="events and names",40,IF(J1275="flashbulb",41,IF(J1275="stories",42,IF(J1275="course material",43,IF(J1275="autobiographical",44,IF(J1275="novels",45,IF(J1275="public events",46,"99"))))))))))))))))))))))))))))))))))))))))))))))</f>
        <v>26</v>
      </c>
      <c r="L1275" s="60">
        <f>IF(J1275="syllables",1,IF(J1275="trigrams",1,IF(J1275="strings",1,IF(J1275="visual array",1,IF(J1275="characters",1,IF(J1275="letters",1,IF(J1275="free forms",1,IF(J1275="odors",2,IF(J1275="words",2,IF(J1275="pictures",2,IF(J1275="object pictures",2,IF(J1275="faces",2,IF(J1275="names",2,IF(J1275="idioms","2",IF(J1275="grades",2,IF(J1275="syllable-digit pairs",3,IF(J1275="trigram-word pairs",3,IF(J1275="word-digit pairs",3,IF(J1275="English-Swahili pairs",3,IF(J1275="spatial position",3,IF(J1275="word pairs",4,IF(J1275="word triads",4,IF(J1275="generated words",4,IF(J1275="word definition pairs",4,IF(J1275="math problems",4,IF(J1275="famous faces",4,IF(J1275="famous names",4,IF(J1275="famous voices",4,IF(J1275="television programs",4,IF(J1275="race horses",4,IF(J1275="new vocabulary",4,IF(J1275="sentences",5,IF(J1275="concepts",5,IF(J1275="ad slides",5,IF(J1275="scenes",5,IF(J1275="famous scenes",5,IF(J1275="poems",6,IF(J1275="walk",6,IF(J1275="faces and events",6,IF(J1275="events and names",6,IF(J1275="flashbulb",7,IF(J1275="stories",7,IF(J1275="course material",7,IF(J1275="autobiographical",7,IF(J1275="novels",7,IF(J1275="public events",7,"99"))))))))))))))))))))))))))))))))))))))))))))))</f>
        <v>4</v>
      </c>
      <c r="M1275" s="60">
        <v>1</v>
      </c>
      <c r="N1275" s="61">
        <v>2</v>
      </c>
      <c r="O1275" s="60">
        <v>0</v>
      </c>
      <c r="P1275" s="60"/>
      <c r="Q1275" s="60" t="s">
        <v>174</v>
      </c>
      <c r="R1275" s="60">
        <f>IF(Q1275="Free Recall",1,IF(Q1275="Cued Recall",2,IF(Q1275="Recognition",3,IF(Q1275="Multiple Choice",4,IF(Q1275="Savings",5,IF(Q1275="Stem Completion",6,IF(Q1275="Fragment Completion",7,IF(Q1275="anagram solution",8,IF(Q1275="Matching",9,IF(Q1275="Problem Solving",10,"99"))))))))))</f>
        <v>1</v>
      </c>
      <c r="S1275" s="60" t="s">
        <v>49</v>
      </c>
      <c r="T1275" s="59" t="s">
        <v>581</v>
      </c>
      <c r="U1275" s="60">
        <f>IF(T1275="within",1,0)</f>
        <v>1</v>
      </c>
      <c r="V1275" s="59">
        <v>132</v>
      </c>
      <c r="W1275" s="60">
        <f>F1275*V1275</f>
        <v>2112</v>
      </c>
      <c r="X1275" s="60">
        <v>5</v>
      </c>
      <c r="Y1275" s="76">
        <f>AV1274</f>
        <v>157680000</v>
      </c>
      <c r="Z1275" s="60" t="s">
        <v>373</v>
      </c>
      <c r="AA1275" s="60">
        <f>45*365*24*60*60</f>
        <v>1419120000</v>
      </c>
      <c r="AB1275" s="60" t="str">
        <f>IF(AA1275&lt;60,"1",IF(AA1275&lt;=43200,"2",IF(AA1275&lt;=777600,"3","4")))</f>
        <v>4</v>
      </c>
      <c r="AC1275" s="56">
        <f>AVERAGE(AV1274:DA1274)</f>
        <v>788400000</v>
      </c>
      <c r="AD1275" s="60" t="str">
        <f>IF(AC1275&lt;60,"1",IF(AC1275&lt;=43200,"2",IF(AC1275&lt;=777600,"3","4")))</f>
        <v>4</v>
      </c>
      <c r="AE1275" s="76">
        <f>AA1275-Y1275</f>
        <v>1261440000</v>
      </c>
      <c r="AF1275" s="80">
        <f>AV1275</f>
        <v>0.62857142857142867</v>
      </c>
      <c r="AG1275" s="56">
        <f>((AW1275-AV1275)+(AX1275-AW1275)+(AY1275-AX1275)+(AZ1275-AY1275))/4</f>
        <v>-3.9495798319327743E-2</v>
      </c>
      <c r="AH1275" s="4"/>
      <c r="AI1275" s="56">
        <f>RSQ(AV1275:AZ1275,AV1274:AZ1274)</f>
        <v>0.87344096055965825</v>
      </c>
      <c r="AJ1275" s="109">
        <f>SLOPE(AV1275:AZ1275,AV1274:AZ1274)</f>
        <v>-1.1704032775433666E-10</v>
      </c>
      <c r="AK1275" s="56">
        <f>INTERCEPT(AV1275:AZ1275,AV1274:AZ1274)</f>
        <v>0.63635192383613237</v>
      </c>
      <c r="AL1275" s="56">
        <f>INDEX(LINEST(LN(AV1275:AZ1275),LN(AV1274:AZ1274),TRUE,TRUE),3,1)</f>
        <v>0.86082901739918016</v>
      </c>
      <c r="AM1275" s="56">
        <f>INDEX(LINEST(LN(AV1275:AZ1275),LN(AV1274:AZ1274)),1)</f>
        <v>-0.1217517685990107</v>
      </c>
      <c r="AN1275" s="56">
        <f>EXP(INDEX(LINEST(LN(AV1275:AZ1275),LN(AV1274:AZ1274)),1,2))</f>
        <v>6.3670373636810425</v>
      </c>
      <c r="AO1275" s="82">
        <f>INDEX(LINEST((AV1275:AZ1275),LN(AV1274:AZ1274),TRUE,TRUE),3,1)</f>
        <v>0.88155098032125712</v>
      </c>
      <c r="AP1275" s="82">
        <f>INDEX(LINEST((AV1275:AZ1275),LN(AV1274:AZ1274)),1)</f>
        <v>-6.7432401778970405E-2</v>
      </c>
      <c r="AQ1275" s="83">
        <f>INDEX(LINEST(LN(AV1275:AZ1275),SQRT(AV1274:AZ1274),TRUE,TRUE),3,1)</f>
        <v>0.88829232851164652</v>
      </c>
      <c r="AR1275" s="116">
        <f>INDEX(LINEST(LN(AV1275:AZ1275),SQRT((AV1274:AZ1274))),1)</f>
        <v>-1.0899660875379E-5</v>
      </c>
      <c r="AS1275" s="84">
        <f>INDEX(LINEST(1/(AV1275:AZ1275),1/(SQRT(AV1274:AZ1274)),TRUE,TRUE),3,1)</f>
        <v>0.76719224226146421</v>
      </c>
      <c r="AT1275" s="84">
        <f>INDEX(LINEST(1/(AV1275:AZ1275),1/SQRT(AV1274:AZ1274)),1)</f>
        <v>-8576.894747886241</v>
      </c>
      <c r="AU1275" s="3"/>
      <c r="AV1275" s="53">
        <v>0.62857142857142867</v>
      </c>
      <c r="AW1275" s="53">
        <v>0.58333333333333337</v>
      </c>
      <c r="AX1275" s="53">
        <v>0.50769230769230766</v>
      </c>
      <c r="AY1275" s="53">
        <v>0.53020134228187921</v>
      </c>
      <c r="AZ1275" s="53">
        <v>0.4705882352941177</v>
      </c>
      <c r="BA1275" s="11"/>
      <c r="BB1275" s="11"/>
      <c r="BC1275" s="11"/>
      <c r="BD1275" s="11"/>
      <c r="BE1275" s="11"/>
      <c r="BF1275" s="11"/>
      <c r="BG1275" s="11"/>
      <c r="BH1275" s="11"/>
      <c r="BI1275" s="11"/>
      <c r="BJ1275" s="11"/>
      <c r="BK1275" s="11"/>
      <c r="BL1275" s="11"/>
      <c r="BM1275" s="11"/>
      <c r="BN1275" s="11"/>
      <c r="BO1275" s="11"/>
      <c r="BP1275" s="11"/>
      <c r="BQ1275" s="11"/>
      <c r="BR1275" s="11"/>
      <c r="BS1275" s="11"/>
      <c r="BT1275" s="11"/>
      <c r="BU1275" s="11"/>
      <c r="BV1275" s="11"/>
      <c r="BW1275" s="11"/>
      <c r="BX1275" s="11"/>
      <c r="BY1275" s="11"/>
      <c r="BZ1275" s="11"/>
      <c r="CA1275" s="11"/>
      <c r="CB1275" s="11"/>
      <c r="CC1275" s="11"/>
      <c r="CD1275" s="11"/>
      <c r="CE1275" s="11"/>
      <c r="CF1275" s="11"/>
      <c r="CG1275" s="11"/>
      <c r="CH1275" s="11"/>
      <c r="CI1275" s="11"/>
      <c r="CJ1275" s="11"/>
      <c r="CK1275" s="11"/>
      <c r="CL1275" s="11"/>
      <c r="CM1275" s="11"/>
      <c r="CN1275" s="11"/>
      <c r="CO1275" s="11"/>
      <c r="CP1275" s="11"/>
      <c r="CQ1275" s="11"/>
      <c r="CR1275" s="15"/>
      <c r="CS1275" s="15"/>
      <c r="CT1275" s="15"/>
      <c r="CU1275" s="15"/>
    </row>
    <row r="1276" spans="1:99" ht="12" customHeight="1" x14ac:dyDescent="0.2">
      <c r="A1276" s="65">
        <v>43897</v>
      </c>
      <c r="B1276" s="15"/>
      <c r="C1276" s="15"/>
      <c r="D1276" s="59"/>
      <c r="E1276" s="76"/>
      <c r="F1276" s="60"/>
      <c r="G1276" s="60"/>
      <c r="H1276" s="59"/>
      <c r="I1276" s="60"/>
      <c r="J1276" s="60"/>
      <c r="M1276" s="60"/>
      <c r="N1276" s="61"/>
      <c r="O1276" s="60"/>
      <c r="P1276" s="60"/>
      <c r="Q1276" s="60"/>
      <c r="R1276" s="60"/>
      <c r="S1276" s="60"/>
      <c r="T1276" s="60"/>
      <c r="U1276" s="60"/>
      <c r="V1276" s="60"/>
      <c r="W1276" s="60"/>
      <c r="X1276" s="60"/>
      <c r="Y1276" s="76"/>
      <c r="Z1276" s="59"/>
      <c r="AA1276" s="59"/>
      <c r="AB1276" s="60"/>
      <c r="AC1276" s="56"/>
      <c r="AD1276" s="60"/>
      <c r="AE1276" s="60"/>
      <c r="AF1276" s="80"/>
      <c r="AG1276" s="56"/>
      <c r="AH1276" s="4"/>
      <c r="AI1276" s="56"/>
      <c r="AJ1276" s="109"/>
      <c r="AK1276" s="56"/>
      <c r="AL1276" s="56"/>
      <c r="AM1276" s="56"/>
      <c r="AN1276" s="56"/>
      <c r="AO1276" s="82"/>
      <c r="AP1276" s="82"/>
      <c r="AQ1276" s="83"/>
      <c r="AR1276" s="116"/>
      <c r="AS1276" s="84"/>
      <c r="AT1276" s="84"/>
      <c r="AU1276" s="3"/>
      <c r="AV1276" s="25">
        <v>157680000</v>
      </c>
      <c r="AW1276" s="25">
        <v>473040000</v>
      </c>
      <c r="AX1276" s="25">
        <v>788400000</v>
      </c>
      <c r="AY1276" s="25">
        <v>1103760000</v>
      </c>
      <c r="AZ1276" s="25">
        <v>1419120000</v>
      </c>
      <c r="BA1276" s="11"/>
      <c r="BB1276" s="11"/>
      <c r="BC1276" s="11"/>
      <c r="BD1276" s="11"/>
      <c r="BE1276" s="11"/>
      <c r="BF1276" s="11"/>
      <c r="BG1276" s="11"/>
      <c r="BH1276" s="11"/>
      <c r="BI1276" s="11"/>
      <c r="BJ1276" s="11"/>
      <c r="BK1276" s="11"/>
      <c r="BL1276" s="11"/>
      <c r="BM1276" s="11"/>
      <c r="BN1276" s="11"/>
      <c r="BO1276" s="11"/>
      <c r="BP1276" s="11"/>
      <c r="BQ1276" s="11"/>
      <c r="BR1276" s="11"/>
      <c r="BS1276" s="11"/>
      <c r="BT1276" s="11"/>
      <c r="BU1276" s="11"/>
      <c r="BV1276" s="11"/>
      <c r="BW1276" s="11"/>
      <c r="BX1276" s="11"/>
      <c r="BY1276" s="11"/>
      <c r="BZ1276" s="11"/>
      <c r="CA1276" s="11"/>
      <c r="CB1276" s="11"/>
      <c r="CC1276" s="11"/>
      <c r="CD1276" s="11"/>
      <c r="CE1276" s="11"/>
      <c r="CF1276" s="11"/>
      <c r="CG1276" s="11"/>
      <c r="CH1276" s="11"/>
      <c r="CI1276" s="11"/>
      <c r="CJ1276" s="11"/>
      <c r="CK1276" s="11"/>
      <c r="CL1276" s="11"/>
      <c r="CM1276" s="11"/>
      <c r="CN1276" s="11"/>
      <c r="CO1276" s="11"/>
      <c r="CP1276" s="11"/>
      <c r="CQ1276" s="11"/>
      <c r="CR1276" s="15"/>
      <c r="CS1276" s="15"/>
      <c r="CT1276" s="15"/>
      <c r="CU1276" s="15"/>
    </row>
    <row r="1277" spans="1:99" ht="12" customHeight="1" x14ac:dyDescent="0.2">
      <c r="A1277" s="65">
        <v>43897</v>
      </c>
      <c r="B1277" s="15" t="s">
        <v>409</v>
      </c>
      <c r="C1277" s="15" t="s">
        <v>139</v>
      </c>
      <c r="D1277" s="59">
        <v>1982</v>
      </c>
      <c r="E1277" s="76">
        <v>1</v>
      </c>
      <c r="F1277" s="60">
        <v>16</v>
      </c>
      <c r="G1277" s="60">
        <v>16</v>
      </c>
      <c r="H1277" s="59" t="s">
        <v>442</v>
      </c>
      <c r="I1277" s="60" t="s">
        <v>330</v>
      </c>
      <c r="J1277" s="60" t="s">
        <v>342</v>
      </c>
      <c r="K1277" s="60">
        <f>IF(J1277="syllables",1,IF(J1277="trigrams",2,IF(J1277="strings",3,IF(J1277="visual array",4,IF(J1277="characters",5,IF(J1277="letters",6,IF(J1277="free forms",7,IF(J1277="odors",8,IF(J1277="words",9,IF(J1277="pictures",10,IF(J1277="object pictures",11,IF(J1277="faces",12,IF(J1277="names",13,IF(J1277="idioms",14,IF(J1277="grades",15,IF(J1277="syllable-digit pairs",16,IF(J1277="trigram-word pairs",17,IF(J1277="word-digit pairs",18,IF(J1277="English-Swahili pairs",19,IF(J1277="spatial position",20,IF(J1277="word pairs",21,IF(J1277="word triads",22,IF(J1277="generated words",23,IF(J1277="word definition pairs",24,IF(J1277="math problems",25,IF(J1277="famous faces",26,IF(J1277="famous names",27,IF(J1277="famous voices",28,IF(J1277="television programs",29,IF(J1277="race horses",30,IF(J1277="new vocabulary",31,IF(J1277="sentences",32,IF(J1277="concepts",33,IF(J1277="ad slides",34,IF(J1277="scenes",35,IF(J1277="famous scenes",36,IF(J1277="poems",37,IF(J1277="walk",38,IF(J1277="faces and events",39,IF(J1277="events and names",40,IF(J1277="flashbulb",41,IF(J1277="stories",42,IF(J1277="course material",43,IF(J1277="autobiographical",44,IF(J1277="novels",45,IF(J1277="public events",46,"99"))))))))))))))))))))))))))))))))))))))))))))))</f>
        <v>26</v>
      </c>
      <c r="L1277" s="60">
        <f>IF(J1277="syllables",1,IF(J1277="trigrams",1,IF(J1277="strings",1,IF(J1277="visual array",1,IF(J1277="characters",1,IF(J1277="letters",1,IF(J1277="free forms",1,IF(J1277="odors",2,IF(J1277="words",2,IF(J1277="pictures",2,IF(J1277="object pictures",2,IF(J1277="faces",2,IF(J1277="names",2,IF(J1277="idioms","2",IF(J1277="grades",2,IF(J1277="syllable-digit pairs",3,IF(J1277="trigram-word pairs",3,IF(J1277="word-digit pairs",3,IF(J1277="English-Swahili pairs",3,IF(J1277="spatial position",3,IF(J1277="word pairs",4,IF(J1277="word triads",4,IF(J1277="generated words",4,IF(J1277="word definition pairs",4,IF(J1277="math problems",4,IF(J1277="famous faces",4,IF(J1277="famous names",4,IF(J1277="famous voices",4,IF(J1277="television programs",4,IF(J1277="race horses",4,IF(J1277="new vocabulary",4,IF(J1277="sentences",5,IF(J1277="concepts",5,IF(J1277="ad slides",5,IF(J1277="scenes",5,IF(J1277="famous scenes",5,IF(J1277="poems",6,IF(J1277="walk",6,IF(J1277="faces and events",6,IF(J1277="events and names",6,IF(J1277="flashbulb",7,IF(J1277="stories",7,IF(J1277="course material",7,IF(J1277="autobiographical",7,IF(J1277="novels",7,IF(J1277="public events",7,"99"))))))))))))))))))))))))))))))))))))))))))))))</f>
        <v>4</v>
      </c>
      <c r="M1277" s="60">
        <v>1</v>
      </c>
      <c r="N1277" s="61">
        <v>2</v>
      </c>
      <c r="O1277" s="60">
        <v>0</v>
      </c>
      <c r="P1277" s="60"/>
      <c r="Q1277" s="60" t="s">
        <v>34</v>
      </c>
      <c r="R1277" s="60">
        <f>IF(Q1277="Free Recall",1,IF(Q1277="Cued Recall",2,IF(Q1277="Recognition",3,IF(Q1277="Multiple Choice",4,IF(Q1277="Savings",5,IF(Q1277="Stem Completion",6,IF(Q1277="Fragment Completion",7,IF(Q1277="anagram solution",8,IF(Q1277="Matching",9,IF(Q1277="Problem Solving",10,"99"))))))))))</f>
        <v>3</v>
      </c>
      <c r="S1277" s="60" t="s">
        <v>15</v>
      </c>
      <c r="T1277" s="59" t="s">
        <v>581</v>
      </c>
      <c r="U1277" s="60">
        <f>IF(T1277="within",1,0)</f>
        <v>1</v>
      </c>
      <c r="V1277" s="59">
        <v>132</v>
      </c>
      <c r="W1277" s="60">
        <f>F1277*V1277</f>
        <v>2112</v>
      </c>
      <c r="X1277" s="60">
        <v>5</v>
      </c>
      <c r="Y1277" s="76">
        <f>AV1276</f>
        <v>157680000</v>
      </c>
      <c r="Z1277" s="60" t="s">
        <v>329</v>
      </c>
      <c r="AA1277" s="60">
        <f>40*365*24*60*60</f>
        <v>1261440000</v>
      </c>
      <c r="AB1277" s="60" t="str">
        <f>IF(AA1277&lt;60,"1",IF(AA1277&lt;=43200,"2",IF(AA1277&lt;=777600,"3","4")))</f>
        <v>4</v>
      </c>
      <c r="AC1277" s="56">
        <f>AVERAGE(AV1276:DA1276)</f>
        <v>788400000</v>
      </c>
      <c r="AD1277" s="60" t="str">
        <f>IF(AC1277&lt;60,"1",IF(AC1277&lt;=43200,"2",IF(AC1277&lt;=777600,"3","4")))</f>
        <v>4</v>
      </c>
      <c r="AE1277" s="76">
        <f>AA1277-Y1277</f>
        <v>1103760000</v>
      </c>
      <c r="AF1277" s="80">
        <f>AV1277</f>
        <v>0.64</v>
      </c>
      <c r="AG1277" s="56">
        <f>((AW1277-AV1277)+(AX1277-AW1277)+(AY1277-AX1277)+(AZ1277-AY1277))/4</f>
        <v>1.0000000000000009E-2</v>
      </c>
      <c r="AH1277" s="4"/>
      <c r="AI1277" s="56">
        <f>RSQ(AV1277:AZ1277,AV1276:AZ1276)</f>
        <v>0.1853070175438597</v>
      </c>
      <c r="AJ1277" s="109">
        <f>SLOPE(AV1277:AZ1277,AV1276:AZ1276)</f>
        <v>8.2445459157787952E-11</v>
      </c>
      <c r="AK1277" s="56">
        <f>INTERCEPT(AV1277:AZ1277,AV1276:AZ1276)</f>
        <v>0.53300000000000003</v>
      </c>
      <c r="AL1277" s="56">
        <f>INDEX(LINEST(LN(AV1277:AZ1277),LN(AV1276:AZ1276),TRUE,TRUE),3,1)</f>
        <v>2.3654931404662734E-2</v>
      </c>
      <c r="AM1277" s="56">
        <f>INDEX(LINEST(LN(AV1277:AZ1277),LN(AV1276:AZ1276)),1)</f>
        <v>2.917051901004233E-2</v>
      </c>
      <c r="AN1277" s="56">
        <f>EXP(INDEX(LINEST(LN(AV1277:AZ1277),LN(AV1276:AZ1276)),1,2))</f>
        <v>0.32777845229191699</v>
      </c>
      <c r="AO1277" s="82">
        <f>INDEX(LINEST((AV1277:AZ1277),LN(AV1276:AZ1276),TRUE,TRUE),3,1)</f>
        <v>3.0763237127473125E-2</v>
      </c>
      <c r="AP1277" s="82">
        <f>INDEX(LINEST((AV1277:AZ1277),LN(AV1276:AZ1276)),1)</f>
        <v>1.926473256816516E-2</v>
      </c>
      <c r="AQ1277" s="83">
        <f>INDEX(LINEST(LN(AV1277:AZ1277),SQRT(AV1276:AZ1276),TRUE,TRUE),3,1)</f>
        <v>8.4988947841820539E-2</v>
      </c>
      <c r="AR1277" s="116">
        <f>INDEX(LINEST(LN(AV1277:AZ1277),SQRT((AV1276:AZ1276))),1)</f>
        <v>4.8728465649987544E-6</v>
      </c>
      <c r="AS1277" s="84">
        <f>INDEX(LINEST(1/(AV1277:AZ1277),1/(SQRT(AV1276:AZ1276)),TRUE,TRUE),3,1)</f>
        <v>3.7268184113492707E-6</v>
      </c>
      <c r="AT1277" s="84">
        <f>INDEX(LINEST(1/(AV1277:AZ1277),1/SQRT(AV1276:AZ1276)),1)</f>
        <v>25.842327092201778</v>
      </c>
      <c r="AU1277" s="3"/>
      <c r="AV1277" s="53">
        <v>0.64</v>
      </c>
      <c r="AW1277" s="53">
        <v>0.5</v>
      </c>
      <c r="AX1277" s="53">
        <v>0.49</v>
      </c>
      <c r="AY1277" s="53">
        <v>0.68</v>
      </c>
      <c r="AZ1277" s="53">
        <v>0.68</v>
      </c>
      <c r="BA1277" s="11"/>
      <c r="BB1277" s="11"/>
      <c r="BC1277" s="11"/>
      <c r="BD1277" s="11"/>
      <c r="BE1277" s="11"/>
      <c r="BF1277" s="11"/>
      <c r="BG1277" s="11"/>
      <c r="BH1277" s="11"/>
      <c r="BI1277" s="11"/>
      <c r="BJ1277" s="11"/>
      <c r="BK1277" s="11"/>
      <c r="BL1277" s="11"/>
      <c r="BM1277" s="11"/>
      <c r="BN1277" s="11"/>
      <c r="BO1277" s="11"/>
      <c r="BP1277" s="11"/>
      <c r="BQ1277" s="11"/>
      <c r="BR1277" s="11"/>
      <c r="BS1277" s="11"/>
      <c r="BT1277" s="11"/>
      <c r="BU1277" s="11"/>
      <c r="BV1277" s="11"/>
      <c r="BW1277" s="11"/>
      <c r="BX1277" s="11"/>
      <c r="BY1277" s="11"/>
      <c r="BZ1277" s="11"/>
      <c r="CA1277" s="11"/>
      <c r="CB1277" s="11"/>
      <c r="CC1277" s="11"/>
      <c r="CD1277" s="11"/>
      <c r="CE1277" s="11"/>
      <c r="CF1277" s="11"/>
      <c r="CG1277" s="11"/>
      <c r="CH1277" s="11"/>
      <c r="CI1277" s="11"/>
      <c r="CJ1277" s="11"/>
      <c r="CK1277" s="11"/>
      <c r="CL1277" s="11"/>
      <c r="CM1277" s="11"/>
      <c r="CN1277" s="11"/>
      <c r="CO1277" s="11"/>
      <c r="CP1277" s="11"/>
      <c r="CQ1277" s="11"/>
      <c r="CR1277" s="15"/>
      <c r="CS1277" s="15"/>
      <c r="CT1277" s="15"/>
      <c r="CU1277" s="15"/>
    </row>
    <row r="1278" spans="1:99" ht="12" customHeight="1" x14ac:dyDescent="0.2">
      <c r="A1278" s="68">
        <v>43897</v>
      </c>
      <c r="B1278" s="94"/>
      <c r="C1278" s="94"/>
      <c r="D1278" s="92"/>
      <c r="E1278" s="87"/>
      <c r="F1278" s="69"/>
      <c r="G1278" s="69"/>
      <c r="H1278" s="92"/>
      <c r="I1278" s="69"/>
      <c r="J1278" s="69"/>
      <c r="K1278" s="107"/>
      <c r="L1278" s="107"/>
      <c r="M1278" s="69"/>
      <c r="N1278" s="86"/>
      <c r="O1278" s="69"/>
      <c r="P1278" s="69"/>
      <c r="Q1278" s="69"/>
      <c r="R1278" s="69"/>
      <c r="S1278" s="69"/>
      <c r="T1278" s="92"/>
      <c r="U1278" s="69"/>
      <c r="V1278" s="92"/>
      <c r="W1278" s="69"/>
      <c r="X1278" s="69"/>
      <c r="Y1278" s="87"/>
      <c r="Z1278" s="92"/>
      <c r="AA1278" s="92"/>
      <c r="AB1278" s="69"/>
      <c r="AC1278" s="72"/>
      <c r="AD1278" s="69"/>
      <c r="AE1278" s="69"/>
      <c r="AF1278" s="88"/>
      <c r="AG1278" s="72"/>
      <c r="AH1278" s="4"/>
      <c r="AI1278" s="72"/>
      <c r="AJ1278" s="110"/>
      <c r="AK1278" s="72"/>
      <c r="AL1278" s="72"/>
      <c r="AM1278" s="72"/>
      <c r="AN1278" s="72"/>
      <c r="AO1278" s="89"/>
      <c r="AP1278" s="89"/>
      <c r="AQ1278" s="90"/>
      <c r="AR1278" s="117"/>
      <c r="AS1278" s="91"/>
      <c r="AT1278" s="91"/>
      <c r="AU1278" s="3"/>
      <c r="AV1278" s="71">
        <v>94608000</v>
      </c>
      <c r="AW1278" s="71">
        <v>409968000</v>
      </c>
      <c r="AX1278" s="71">
        <v>725328000</v>
      </c>
      <c r="AY1278" s="71">
        <v>1040688000</v>
      </c>
      <c r="AZ1278" s="71">
        <v>1324512000</v>
      </c>
      <c r="BA1278" s="11"/>
      <c r="BB1278" s="11"/>
      <c r="BC1278" s="11"/>
      <c r="BD1278" s="11"/>
      <c r="BE1278" s="11"/>
      <c r="BF1278" s="11"/>
      <c r="BG1278" s="11"/>
      <c r="BH1278" s="11"/>
      <c r="BI1278" s="11"/>
      <c r="BJ1278" s="11"/>
      <c r="BK1278" s="11"/>
      <c r="BL1278" s="11"/>
      <c r="BM1278" s="11"/>
      <c r="BN1278" s="11"/>
      <c r="BO1278" s="11"/>
      <c r="BP1278" s="11"/>
      <c r="BQ1278" s="11"/>
      <c r="BR1278" s="11"/>
      <c r="BS1278" s="11"/>
      <c r="BT1278" s="11"/>
      <c r="BU1278" s="11"/>
      <c r="BV1278" s="11"/>
      <c r="BW1278" s="11"/>
      <c r="BX1278" s="11"/>
      <c r="BY1278" s="11"/>
      <c r="BZ1278" s="11"/>
      <c r="CA1278" s="11"/>
      <c r="CB1278" s="11"/>
      <c r="CC1278" s="11"/>
      <c r="CD1278" s="11"/>
      <c r="CE1278" s="11"/>
      <c r="CF1278" s="11"/>
      <c r="CG1278" s="11"/>
      <c r="CH1278" s="11"/>
      <c r="CI1278" s="11"/>
      <c r="CJ1278" s="11"/>
      <c r="CK1278" s="11"/>
      <c r="CL1278" s="11"/>
      <c r="CM1278" s="11"/>
      <c r="CN1278" s="11"/>
      <c r="CO1278" s="11"/>
      <c r="CP1278" s="11"/>
      <c r="CQ1278" s="11"/>
      <c r="CR1278" s="15"/>
      <c r="CS1278" s="15"/>
      <c r="CT1278" s="15"/>
      <c r="CU1278" s="15"/>
    </row>
    <row r="1279" spans="1:99" ht="12" customHeight="1" x14ac:dyDescent="0.2">
      <c r="A1279" s="68">
        <v>43897</v>
      </c>
      <c r="B1279" s="94" t="s">
        <v>410</v>
      </c>
      <c r="C1279" s="94" t="s">
        <v>401</v>
      </c>
      <c r="D1279" s="92">
        <v>1989</v>
      </c>
      <c r="E1279" s="87">
        <v>1</v>
      </c>
      <c r="F1279" s="69">
        <v>8</v>
      </c>
      <c r="G1279" s="69">
        <v>8</v>
      </c>
      <c r="H1279" s="92" t="s">
        <v>50</v>
      </c>
      <c r="I1279" s="69" t="s">
        <v>330</v>
      </c>
      <c r="J1279" s="69" t="s">
        <v>342</v>
      </c>
      <c r="K1279" s="69">
        <f>IF(J1279="syllables",1,IF(J1279="trigrams",2,IF(J1279="strings",3,IF(J1279="visual array",4,IF(J1279="characters",5,IF(J1279="letters",6,IF(J1279="free forms",7,IF(J1279="odors",8,IF(J1279="words",9,IF(J1279="pictures",10,IF(J1279="object pictures",11,IF(J1279="faces",12,IF(J1279="names",13,IF(J1279="idioms",14,IF(J1279="grades",15,IF(J1279="syllable-digit pairs",16,IF(J1279="trigram-word pairs",17,IF(J1279="word-digit pairs",18,IF(J1279="English-Swahili pairs",19,IF(J1279="spatial position",20,IF(J1279="word pairs",21,IF(J1279="word triads",22,IF(J1279="generated words",23,IF(J1279="word definition pairs",24,IF(J1279="math problems",25,IF(J1279="famous faces",26,IF(J1279="famous names",27,IF(J1279="famous voices",28,IF(J1279="television programs",29,IF(J1279="race horses",30,IF(J1279="new vocabulary",31,IF(J1279="sentences",32,IF(J1279="concepts",33,IF(J1279="ad slides",34,IF(J1279="scenes",35,IF(J1279="famous scenes",36,IF(J1279="poems",37,IF(J1279="walk",38,IF(J1279="faces and events",39,IF(J1279="events and names",40,IF(J1279="flashbulb",41,IF(J1279="stories",42,IF(J1279="course material",43,IF(J1279="autobiographical",44,IF(J1279="novels",45,IF(J1279="public events",46,"99"))))))))))))))))))))))))))))))))))))))))))))))</f>
        <v>26</v>
      </c>
      <c r="L1279" s="69">
        <f>IF(J1279="syllables",1,IF(J1279="trigrams",1,IF(J1279="strings",1,IF(J1279="visual array",1,IF(J1279="characters",1,IF(J1279="letters",1,IF(J1279="free forms",1,IF(J1279="odors",2,IF(J1279="words",2,IF(J1279="pictures",2,IF(J1279="object pictures",2,IF(J1279="faces",2,IF(J1279="names",2,IF(J1279="idioms","2",IF(J1279="grades",2,IF(J1279="syllable-digit pairs",3,IF(J1279="trigram-word pairs",3,IF(J1279="word-digit pairs",3,IF(J1279="English-Swahili pairs",3,IF(J1279="spatial position",3,IF(J1279="word pairs",4,IF(J1279="word triads",4,IF(J1279="generated words",4,IF(J1279="word definition pairs",4,IF(J1279="math problems",4,IF(J1279="famous faces",4,IF(J1279="famous names",4,IF(J1279="famous voices",4,IF(J1279="television programs",4,IF(J1279="race horses",4,IF(J1279="new vocabulary",4,IF(J1279="sentences",5,IF(J1279="concepts",5,IF(J1279="ad slides",5,IF(J1279="scenes",5,IF(J1279="famous scenes",5,IF(J1279="poems",6,IF(J1279="walk",6,IF(J1279="faces and events",6,IF(J1279="events and names",6,IF(J1279="flashbulb",7,IF(J1279="stories",7,IF(J1279="course material",7,IF(J1279="autobiographical",7,IF(J1279="novels",7,IF(J1279="public events",7,"99"))))))))))))))))))))))))))))))))))))))))))))))</f>
        <v>4</v>
      </c>
      <c r="M1279" s="69">
        <v>1</v>
      </c>
      <c r="N1279" s="86">
        <v>2</v>
      </c>
      <c r="O1279" s="69">
        <v>0</v>
      </c>
      <c r="P1279" s="69"/>
      <c r="Q1279" s="69" t="s">
        <v>174</v>
      </c>
      <c r="R1279" s="69">
        <f>IF(Q1279="Free Recall",1,IF(Q1279="Cued Recall",2,IF(Q1279="Recognition",3,IF(Q1279="Multiple Choice",4,IF(Q1279="Savings",5,IF(Q1279="Stem Completion",6,IF(Q1279="Fragment Completion",7,IF(Q1279="anagram solution",8,IF(Q1279="Matching",9,IF(Q1279="Problem Solving",10,"99"))))))))))</f>
        <v>1</v>
      </c>
      <c r="S1279" s="69" t="s">
        <v>49</v>
      </c>
      <c r="T1279" s="92" t="s">
        <v>581</v>
      </c>
      <c r="U1279" s="69">
        <f>IF(T1279="within",1,0)</f>
        <v>1</v>
      </c>
      <c r="V1279" s="92">
        <v>117</v>
      </c>
      <c r="W1279" s="69">
        <f>F1279*V1279</f>
        <v>936</v>
      </c>
      <c r="X1279" s="69">
        <v>5</v>
      </c>
      <c r="Y1279" s="87">
        <f>AV1278</f>
        <v>94608000</v>
      </c>
      <c r="Z1279" s="69" t="s">
        <v>426</v>
      </c>
      <c r="AA1279" s="69">
        <f>43*365*24*60*60</f>
        <v>1356048000</v>
      </c>
      <c r="AB1279" s="69" t="str">
        <f>IF(AA1279&lt;60,"1",IF(AA1279&lt;=43200,"2",IF(AA1279&lt;=777600,"3","4")))</f>
        <v>4</v>
      </c>
      <c r="AC1279" s="72">
        <f>AVERAGE(AV1278:DA1278)</f>
        <v>719020800</v>
      </c>
      <c r="AD1279" s="69" t="str">
        <f>IF(AC1279&lt;60,"1",IF(AC1279&lt;=43200,"2",IF(AC1279&lt;=777600,"3","4")))</f>
        <v>4</v>
      </c>
      <c r="AE1279" s="87">
        <f>AA1279-Y1279</f>
        <v>1261440000</v>
      </c>
      <c r="AF1279" s="88">
        <f>AV1279</f>
        <v>0.5</v>
      </c>
      <c r="AG1279" s="72">
        <f>((AW1279-AV1279)+(AX1279-AW1279)+(AY1279-AX1279)+(AZ1279-AY1279))/4</f>
        <v>1.4204545454545442E-2</v>
      </c>
      <c r="AH1279" s="4"/>
      <c r="AI1279" s="72">
        <f>RSQ(AV1279:AZ1279,AV1278:AZ1278)</f>
        <v>4.7990966684967648E-2</v>
      </c>
      <c r="AJ1279" s="110">
        <f>SLOPE(AV1279:AZ1279,AV1278:AZ1278)</f>
        <v>1.8853576693876041E-11</v>
      </c>
      <c r="AK1279" s="72">
        <f>INTERCEPT(AV1279:AZ1279,AV1278:AZ1278)</f>
        <v>0.49539920291664524</v>
      </c>
      <c r="AL1279" s="72">
        <f>INDEX(LINEST(LN(AV1279:AZ1279),LN(AV1278:AZ1278),TRUE,TRUE),3,1)</f>
        <v>2.0002481977843857E-2</v>
      </c>
      <c r="AM1279" s="72">
        <f>INDEX(LINEST(LN(AV1279:AZ1279),LN(AV1278:AZ1278)),1)</f>
        <v>1.1292817687242194E-2</v>
      </c>
      <c r="AN1279" s="72">
        <f>EXP(INDEX(LINEST(LN(AV1279:AZ1279),LN(AV1278:AZ1278)),1,2))</f>
        <v>0.40459436572388191</v>
      </c>
      <c r="AO1279" s="89">
        <f>INDEX(LINEST((AV1279:AZ1279),LN(AV1278:AZ1278),TRUE,TRUE),3,1)</f>
        <v>2.9239018934543386E-2</v>
      </c>
      <c r="AP1279" s="89">
        <f>INDEX(LINEST((AV1279:AZ1279),LN(AV1278:AZ1278)),1)</f>
        <v>6.837240206377865E-3</v>
      </c>
      <c r="AQ1279" s="90">
        <f>INDEX(LINEST(LN(AV1279:AZ1279),SQRT(AV1278:AZ1278),TRUE,TRUE),3,1)</f>
        <v>2.629375564696796E-2</v>
      </c>
      <c r="AR1279" s="117">
        <f>INDEX(LINEST(LN(AV1279:AZ1279),SQRT((AV1278:AZ1278))),1)</f>
        <v>1.2956499446967624E-6</v>
      </c>
      <c r="AS1279" s="91">
        <f>INDEX(LINEST(1/(AV1279:AZ1279),1/(SQRT(AV1278:AZ1278)),TRUE,TRUE),3,1)</f>
        <v>9.6872490976349541E-3</v>
      </c>
      <c r="AT1279" s="91">
        <f>INDEX(LINEST(1/(AV1279:AZ1279),1/SQRT(AV1278:AZ1278)),1)</f>
        <v>536.64814268407656</v>
      </c>
      <c r="AU1279" s="3"/>
      <c r="AV1279" s="73">
        <v>0.5</v>
      </c>
      <c r="AW1279" s="73">
        <v>0.5</v>
      </c>
      <c r="AX1279" s="73">
        <v>0.53968253968253976</v>
      </c>
      <c r="AY1279" s="73">
        <v>0.44827586206896552</v>
      </c>
      <c r="AZ1279" s="73">
        <v>0.55681818181818177</v>
      </c>
      <c r="BA1279" s="11"/>
      <c r="BB1279" s="11"/>
      <c r="BC1279" s="11"/>
      <c r="BD1279" s="11"/>
      <c r="BE1279" s="11"/>
      <c r="BF1279" s="11"/>
      <c r="BG1279" s="11"/>
      <c r="BH1279" s="11"/>
      <c r="BI1279" s="11"/>
      <c r="BJ1279" s="11"/>
      <c r="BK1279" s="11"/>
      <c r="BL1279" s="11"/>
      <c r="BM1279" s="11"/>
      <c r="BN1279" s="11"/>
      <c r="BO1279" s="11"/>
      <c r="BP1279" s="11"/>
      <c r="BQ1279" s="11"/>
      <c r="BR1279" s="11"/>
      <c r="BS1279" s="11"/>
      <c r="BT1279" s="11"/>
      <c r="BU1279" s="11"/>
      <c r="BV1279" s="11"/>
      <c r="BW1279" s="11"/>
      <c r="BX1279" s="11"/>
      <c r="BY1279" s="11"/>
      <c r="BZ1279" s="11"/>
      <c r="CA1279" s="11"/>
      <c r="CB1279" s="11"/>
      <c r="CC1279" s="11"/>
      <c r="CD1279" s="11"/>
      <c r="CE1279" s="11"/>
      <c r="CF1279" s="11"/>
      <c r="CG1279" s="11"/>
      <c r="CH1279" s="11"/>
      <c r="CI1279" s="11"/>
      <c r="CJ1279" s="11"/>
      <c r="CK1279" s="11"/>
      <c r="CL1279" s="11"/>
      <c r="CM1279" s="11"/>
      <c r="CN1279" s="11"/>
      <c r="CO1279" s="11"/>
      <c r="CP1279" s="11"/>
      <c r="CQ1279" s="11"/>
      <c r="CR1279" s="15"/>
      <c r="CS1279" s="15"/>
      <c r="CT1279" s="15"/>
      <c r="CU1279" s="15"/>
    </row>
    <row r="1280" spans="1:99" ht="12" customHeight="1" x14ac:dyDescent="0.2">
      <c r="A1280" s="68">
        <v>43897</v>
      </c>
      <c r="B1280" s="94"/>
      <c r="C1280" s="94"/>
      <c r="D1280" s="92"/>
      <c r="E1280" s="87"/>
      <c r="F1280" s="69"/>
      <c r="G1280" s="69"/>
      <c r="H1280" s="92"/>
      <c r="I1280" s="69"/>
      <c r="J1280" s="69"/>
      <c r="K1280" s="107"/>
      <c r="L1280" s="107"/>
      <c r="M1280" s="69"/>
      <c r="N1280" s="86"/>
      <c r="O1280" s="69"/>
      <c r="P1280" s="69"/>
      <c r="Q1280" s="69"/>
      <c r="R1280" s="69"/>
      <c r="S1280" s="69"/>
      <c r="T1280" s="69"/>
      <c r="U1280" s="69"/>
      <c r="V1280" s="69"/>
      <c r="W1280" s="69"/>
      <c r="X1280" s="69"/>
      <c r="Y1280" s="87"/>
      <c r="Z1280" s="92"/>
      <c r="AA1280" s="92"/>
      <c r="AB1280" s="69"/>
      <c r="AC1280" s="72"/>
      <c r="AD1280" s="69"/>
      <c r="AE1280" s="69"/>
      <c r="AF1280" s="88"/>
      <c r="AG1280" s="72"/>
      <c r="AH1280" s="4"/>
      <c r="AI1280" s="72"/>
      <c r="AJ1280" s="110"/>
      <c r="AK1280" s="72"/>
      <c r="AL1280" s="72"/>
      <c r="AM1280" s="72"/>
      <c r="AN1280" s="72"/>
      <c r="AO1280" s="89"/>
      <c r="AP1280" s="89"/>
      <c r="AQ1280" s="90"/>
      <c r="AR1280" s="117"/>
      <c r="AS1280" s="91"/>
      <c r="AT1280" s="91"/>
      <c r="AU1280" s="3"/>
      <c r="AV1280" s="71">
        <v>94608000</v>
      </c>
      <c r="AW1280" s="71">
        <v>409968000</v>
      </c>
      <c r="AX1280" s="71">
        <v>725328000</v>
      </c>
      <c r="AY1280" s="71">
        <v>1040688000</v>
      </c>
      <c r="AZ1280" s="71">
        <v>1324512000</v>
      </c>
      <c r="BA1280" s="11"/>
      <c r="BB1280" s="11"/>
      <c r="BC1280" s="11"/>
      <c r="BD1280" s="11"/>
      <c r="BE1280" s="11"/>
      <c r="BF1280" s="11"/>
      <c r="BG1280" s="11"/>
      <c r="BH1280" s="11"/>
      <c r="BI1280" s="11"/>
      <c r="BJ1280" s="11"/>
      <c r="BK1280" s="11"/>
      <c r="BL1280" s="11"/>
      <c r="BM1280" s="11"/>
      <c r="BN1280" s="11"/>
      <c r="BO1280" s="11"/>
      <c r="BP1280" s="11"/>
      <c r="BQ1280" s="11"/>
      <c r="BR1280" s="11"/>
      <c r="BS1280" s="11"/>
      <c r="BT1280" s="11"/>
      <c r="BU1280" s="11"/>
      <c r="BV1280" s="11"/>
      <c r="BW1280" s="11"/>
      <c r="BX1280" s="11"/>
      <c r="BY1280" s="11"/>
      <c r="BZ1280" s="11"/>
      <c r="CA1280" s="11"/>
      <c r="CB1280" s="11"/>
      <c r="CC1280" s="11"/>
      <c r="CD1280" s="11"/>
      <c r="CE1280" s="11"/>
      <c r="CF1280" s="11"/>
      <c r="CG1280" s="11"/>
      <c r="CH1280" s="11"/>
      <c r="CI1280" s="11"/>
      <c r="CJ1280" s="11"/>
      <c r="CK1280" s="11"/>
      <c r="CL1280" s="11"/>
      <c r="CM1280" s="11"/>
      <c r="CN1280" s="11"/>
      <c r="CO1280" s="11"/>
      <c r="CP1280" s="11"/>
      <c r="CQ1280" s="11"/>
      <c r="CR1280" s="15"/>
      <c r="CS1280" s="15"/>
      <c r="CT1280" s="15"/>
      <c r="CU1280" s="15"/>
    </row>
    <row r="1281" spans="1:99" ht="12" customHeight="1" x14ac:dyDescent="0.2">
      <c r="A1281" s="68">
        <v>43897</v>
      </c>
      <c r="B1281" s="94" t="s">
        <v>410</v>
      </c>
      <c r="C1281" s="94" t="s">
        <v>401</v>
      </c>
      <c r="D1281" s="92">
        <v>1989</v>
      </c>
      <c r="E1281" s="87">
        <v>1</v>
      </c>
      <c r="F1281" s="69">
        <v>8</v>
      </c>
      <c r="G1281" s="69">
        <v>8</v>
      </c>
      <c r="H1281" s="92" t="s">
        <v>50</v>
      </c>
      <c r="I1281" s="69" t="s">
        <v>330</v>
      </c>
      <c r="J1281" s="69" t="s">
        <v>342</v>
      </c>
      <c r="K1281" s="69">
        <f>IF(J1281="syllables",1,IF(J1281="trigrams",2,IF(J1281="strings",3,IF(J1281="visual array",4,IF(J1281="characters",5,IF(J1281="letters",6,IF(J1281="free forms",7,IF(J1281="odors",8,IF(J1281="words",9,IF(J1281="pictures",10,IF(J1281="object pictures",11,IF(J1281="faces",12,IF(J1281="names",13,IF(J1281="idioms",14,IF(J1281="grades",15,IF(J1281="syllable-digit pairs",16,IF(J1281="trigram-word pairs",17,IF(J1281="word-digit pairs",18,IF(J1281="English-Swahili pairs",19,IF(J1281="spatial position",20,IF(J1281="word pairs",21,IF(J1281="word triads",22,IF(J1281="generated words",23,IF(J1281="word definition pairs",24,IF(J1281="math problems",25,IF(J1281="famous faces",26,IF(J1281="famous names",27,IF(J1281="famous voices",28,IF(J1281="television programs",29,IF(J1281="race horses",30,IF(J1281="new vocabulary",31,IF(J1281="sentences",32,IF(J1281="concepts",33,IF(J1281="ad slides",34,IF(J1281="scenes",35,IF(J1281="famous scenes",36,IF(J1281="poems",37,IF(J1281="walk",38,IF(J1281="faces and events",39,IF(J1281="events and names",40,IF(J1281="flashbulb",41,IF(J1281="stories",42,IF(J1281="course material",43,IF(J1281="autobiographical",44,IF(J1281="novels",45,IF(J1281="public events",46,"99"))))))))))))))))))))))))))))))))))))))))))))))</f>
        <v>26</v>
      </c>
      <c r="L1281" s="69">
        <f>IF(J1281="syllables",1,IF(J1281="trigrams",1,IF(J1281="strings",1,IF(J1281="visual array",1,IF(J1281="characters",1,IF(J1281="letters",1,IF(J1281="free forms",1,IF(J1281="odors",2,IF(J1281="words",2,IF(J1281="pictures",2,IF(J1281="object pictures",2,IF(J1281="faces",2,IF(J1281="names",2,IF(J1281="idioms","2",IF(J1281="grades",2,IF(J1281="syllable-digit pairs",3,IF(J1281="trigram-word pairs",3,IF(J1281="word-digit pairs",3,IF(J1281="English-Swahili pairs",3,IF(J1281="spatial position",3,IF(J1281="word pairs",4,IF(J1281="word triads",4,IF(J1281="generated words",4,IF(J1281="word definition pairs",4,IF(J1281="math problems",4,IF(J1281="famous faces",4,IF(J1281="famous names",4,IF(J1281="famous voices",4,IF(J1281="television programs",4,IF(J1281="race horses",4,IF(J1281="new vocabulary",4,IF(J1281="sentences",5,IF(J1281="concepts",5,IF(J1281="ad slides",5,IF(J1281="scenes",5,IF(J1281="famous scenes",5,IF(J1281="poems",6,IF(J1281="walk",6,IF(J1281="faces and events",6,IF(J1281="events and names",6,IF(J1281="flashbulb",7,IF(J1281="stories",7,IF(J1281="course material",7,IF(J1281="autobiographical",7,IF(J1281="novels",7,IF(J1281="public events",7,"99"))))))))))))))))))))))))))))))))))))))))))))))</f>
        <v>4</v>
      </c>
      <c r="M1281" s="69">
        <v>1</v>
      </c>
      <c r="N1281" s="86">
        <v>2</v>
      </c>
      <c r="O1281" s="69">
        <v>0</v>
      </c>
      <c r="P1281" s="69"/>
      <c r="Q1281" s="69" t="s">
        <v>182</v>
      </c>
      <c r="R1281" s="69">
        <f>IF(Q1281="Free Recall",1,IF(Q1281="Cued Recall",2,IF(Q1281="Recognition",3,IF(Q1281="Multiple Choice",4,IF(Q1281="Savings",5,IF(Q1281="Stem Completion",6,IF(Q1281="Fragment Completion",7,IF(Q1281="anagram solution",8,IF(Q1281="Matching",9,IF(Q1281="Problem Solving",10,"99"))))))))))</f>
        <v>4</v>
      </c>
      <c r="S1281" s="69" t="s">
        <v>15</v>
      </c>
      <c r="T1281" s="92" t="s">
        <v>581</v>
      </c>
      <c r="U1281" s="69">
        <f>IF(T1281="within",1,0)</f>
        <v>1</v>
      </c>
      <c r="V1281" s="92">
        <v>117</v>
      </c>
      <c r="W1281" s="69">
        <f>F1281*V1281</f>
        <v>936</v>
      </c>
      <c r="X1281" s="69">
        <v>5</v>
      </c>
      <c r="Y1281" s="87">
        <f>AV1280</f>
        <v>94608000</v>
      </c>
      <c r="Z1281" s="69" t="s">
        <v>426</v>
      </c>
      <c r="AA1281" s="69">
        <f>43*365*24*60*60</f>
        <v>1356048000</v>
      </c>
      <c r="AB1281" s="69" t="str">
        <f>IF(AA1281&lt;60,"1",IF(AA1281&lt;=43200,"2",IF(AA1281&lt;=777600,"3","4")))</f>
        <v>4</v>
      </c>
      <c r="AC1281" s="72">
        <f>AVERAGE(AV1280:DA1280)</f>
        <v>719020800</v>
      </c>
      <c r="AD1281" s="69" t="str">
        <f>IF(AC1281&lt;60,"1",IF(AC1281&lt;=43200,"2",IF(AC1281&lt;=777600,"3","4")))</f>
        <v>4</v>
      </c>
      <c r="AE1281" s="87">
        <f>AA1281-Y1281</f>
        <v>1261440000</v>
      </c>
      <c r="AF1281" s="88">
        <f>AV1281</f>
        <v>0.9242424242424242</v>
      </c>
      <c r="AG1281" s="72">
        <f>((AW1281-AV1281)+(AX1281-AW1281)+(AY1281-AX1281)+(AZ1281-AY1281))/4</f>
        <v>-1.5374331550802117E-2</v>
      </c>
      <c r="AH1281" s="4"/>
      <c r="AI1281" s="72">
        <f>RSQ(AV1281:AZ1281,AV1280:AZ1280)</f>
        <v>0.7445346877895439</v>
      </c>
      <c r="AJ1281" s="110">
        <f>SLOPE(AV1281:AZ1281,AV1280:AZ1280)</f>
        <v>-6.7939415194885644E-11</v>
      </c>
      <c r="AK1281" s="72">
        <f>INTERCEPT(AV1281:AZ1281,AV1280:AZ1280)</f>
        <v>0.93570472146237216</v>
      </c>
      <c r="AL1281" s="72">
        <f>INDEX(LINEST(LN(AV1281:AZ1281),LN(AV1280:AZ1280),TRUE,TRUE),3,1)</f>
        <v>0.6154072589570645</v>
      </c>
      <c r="AM1281" s="72">
        <f>INDEX(LINEST(LN(AV1281:AZ1281),LN(AV1280:AZ1280)),1)</f>
        <v>-3.2643197617842429E-2</v>
      </c>
      <c r="AN1281" s="72">
        <f>EXP(INDEX(LINEST(LN(AV1281:AZ1281),LN(AV1280:AZ1280)),1,2))</f>
        <v>1.7064587577554566</v>
      </c>
      <c r="AO1281" s="89">
        <f>INDEX(LINEST((AV1281:AZ1281),LN(AV1280:AZ1280),TRUE,TRUE),3,1)</f>
        <v>0.62586279960006663</v>
      </c>
      <c r="AP1281" s="89">
        <f>INDEX(LINEST((AV1281:AZ1281),LN(AV1280:AZ1280)),1)</f>
        <v>-2.8940387509412385E-2</v>
      </c>
      <c r="AQ1281" s="90">
        <f>INDEX(LINEST(LN(AV1281:AZ1281),SQRT(AV1280:AZ1280),TRUE,TRUE),3,1)</f>
        <v>0.70445139869747797</v>
      </c>
      <c r="AR1281" s="117">
        <f>INDEX(LINEST(LN(AV1281:AZ1281),SQRT((AV1280:AZ1280))),1)</f>
        <v>-3.4949253294466101E-6</v>
      </c>
      <c r="AS1281" s="91">
        <f>INDEX(LINEST(1/(AV1281:AZ1281),1/(SQRT(AV1280:AZ1280)),TRUE,TRUE),3,1)</f>
        <v>0.49350204455660129</v>
      </c>
      <c r="AT1281" s="91">
        <f>INDEX(LINEST(1/(AV1281:AZ1281),1/SQRT(AV1280:AZ1280)),1)</f>
        <v>-1132.6569170876721</v>
      </c>
      <c r="AU1281" s="3"/>
      <c r="AV1281" s="73">
        <v>0.9242424242424242</v>
      </c>
      <c r="AW1281" s="73">
        <v>0.91860465116279078</v>
      </c>
      <c r="AX1281" s="73">
        <v>0.89534883720930236</v>
      </c>
      <c r="AY1281" s="73">
        <v>0.83333333333333337</v>
      </c>
      <c r="AZ1281" s="73">
        <v>0.86274509803921573</v>
      </c>
      <c r="BA1281" s="11"/>
      <c r="BB1281" s="11"/>
      <c r="BC1281" s="11"/>
      <c r="BD1281" s="11"/>
      <c r="BE1281" s="11"/>
      <c r="BF1281" s="11"/>
      <c r="BG1281" s="11"/>
      <c r="BH1281" s="11"/>
      <c r="BI1281" s="11"/>
      <c r="BJ1281" s="11"/>
      <c r="BK1281" s="11"/>
      <c r="BL1281" s="11"/>
      <c r="BM1281" s="11"/>
      <c r="BN1281" s="11"/>
      <c r="BO1281" s="11"/>
      <c r="BP1281" s="11"/>
      <c r="BQ1281" s="11"/>
      <c r="BR1281" s="11"/>
      <c r="BS1281" s="11"/>
      <c r="BT1281" s="11"/>
      <c r="BU1281" s="11"/>
      <c r="BV1281" s="11"/>
      <c r="BW1281" s="11"/>
      <c r="BX1281" s="11"/>
      <c r="BY1281" s="11"/>
      <c r="BZ1281" s="11"/>
      <c r="CA1281" s="11"/>
      <c r="CB1281" s="11"/>
      <c r="CC1281" s="11"/>
      <c r="CD1281" s="11"/>
      <c r="CE1281" s="11"/>
      <c r="CF1281" s="11"/>
      <c r="CG1281" s="11"/>
      <c r="CH1281" s="11"/>
      <c r="CI1281" s="11"/>
      <c r="CJ1281" s="11"/>
      <c r="CK1281" s="11"/>
      <c r="CL1281" s="11"/>
      <c r="CM1281" s="11"/>
      <c r="CN1281" s="11"/>
      <c r="CO1281" s="11"/>
      <c r="CP1281" s="11"/>
      <c r="CQ1281" s="11"/>
      <c r="CR1281" s="15"/>
      <c r="CS1281" s="15"/>
      <c r="CT1281" s="15"/>
      <c r="CU1281" s="15"/>
    </row>
    <row r="1282" spans="1:99" ht="12" customHeight="1" x14ac:dyDescent="0.2">
      <c r="A1282" s="68">
        <v>43897</v>
      </c>
      <c r="B1282" s="94"/>
      <c r="C1282" s="94"/>
      <c r="D1282" s="92"/>
      <c r="E1282" s="87"/>
      <c r="F1282" s="69"/>
      <c r="G1282" s="69"/>
      <c r="H1282" s="92"/>
      <c r="I1282" s="69"/>
      <c r="J1282" s="69"/>
      <c r="K1282" s="107"/>
      <c r="L1282" s="107"/>
      <c r="M1282" s="69"/>
      <c r="N1282" s="86"/>
      <c r="O1282" s="69"/>
      <c r="P1282" s="69"/>
      <c r="Q1282" s="69"/>
      <c r="R1282" s="69"/>
      <c r="S1282" s="69"/>
      <c r="T1282" s="92"/>
      <c r="U1282" s="69"/>
      <c r="V1282" s="92"/>
      <c r="W1282" s="69"/>
      <c r="X1282" s="69"/>
      <c r="Y1282" s="87"/>
      <c r="Z1282" s="69"/>
      <c r="AA1282" s="69"/>
      <c r="AB1282" s="69"/>
      <c r="AC1282" s="72"/>
      <c r="AD1282" s="69"/>
      <c r="AE1282" s="69"/>
      <c r="AF1282" s="88"/>
      <c r="AG1282" s="72"/>
      <c r="AH1282" s="4"/>
      <c r="AI1282" s="72"/>
      <c r="AJ1282" s="110"/>
      <c r="AK1282" s="72"/>
      <c r="AL1282" s="72"/>
      <c r="AM1282" s="72"/>
      <c r="AN1282" s="72"/>
      <c r="AO1282" s="89"/>
      <c r="AP1282" s="89"/>
      <c r="AQ1282" s="90"/>
      <c r="AR1282" s="117"/>
      <c r="AS1282" s="91"/>
      <c r="AT1282" s="91"/>
      <c r="AU1282" s="3"/>
      <c r="AV1282" s="71">
        <v>94608000</v>
      </c>
      <c r="AW1282" s="71">
        <v>409968000</v>
      </c>
      <c r="AX1282" s="71">
        <v>725328000</v>
      </c>
      <c r="AY1282" s="71">
        <v>1040688000</v>
      </c>
      <c r="AZ1282" s="73"/>
      <c r="BA1282" s="11"/>
      <c r="BB1282" s="11"/>
      <c r="BC1282" s="11"/>
      <c r="BD1282" s="11"/>
      <c r="BE1282" s="11"/>
      <c r="BF1282" s="11"/>
      <c r="BG1282" s="11"/>
      <c r="BH1282" s="11"/>
      <c r="BI1282" s="11"/>
      <c r="BJ1282" s="11"/>
      <c r="BK1282" s="11"/>
      <c r="BL1282" s="11"/>
      <c r="BM1282" s="11"/>
      <c r="BN1282" s="11"/>
      <c r="BO1282" s="11"/>
      <c r="BP1282" s="11"/>
      <c r="BQ1282" s="11"/>
      <c r="BR1282" s="11"/>
      <c r="BS1282" s="11"/>
      <c r="BT1282" s="11"/>
      <c r="BU1282" s="11"/>
      <c r="BV1282" s="11"/>
      <c r="BW1282" s="11"/>
      <c r="BX1282" s="11"/>
      <c r="BY1282" s="11"/>
      <c r="BZ1282" s="11"/>
      <c r="CA1282" s="11"/>
      <c r="CB1282" s="11"/>
      <c r="CC1282" s="11"/>
      <c r="CD1282" s="11"/>
      <c r="CE1282" s="11"/>
      <c r="CF1282" s="11"/>
      <c r="CG1282" s="11"/>
      <c r="CH1282" s="11"/>
      <c r="CI1282" s="11"/>
      <c r="CJ1282" s="11"/>
      <c r="CK1282" s="11"/>
      <c r="CL1282" s="11"/>
      <c r="CM1282" s="11"/>
      <c r="CN1282" s="11"/>
      <c r="CO1282" s="11"/>
      <c r="CP1282" s="11"/>
      <c r="CQ1282" s="11"/>
      <c r="CR1282" s="15"/>
      <c r="CS1282" s="15"/>
      <c r="CT1282" s="15"/>
      <c r="CU1282" s="15"/>
    </row>
    <row r="1283" spans="1:99" ht="12" customHeight="1" x14ac:dyDescent="0.2">
      <c r="A1283" s="68">
        <v>43897</v>
      </c>
      <c r="B1283" s="94" t="s">
        <v>410</v>
      </c>
      <c r="C1283" s="94" t="s">
        <v>401</v>
      </c>
      <c r="D1283" s="92">
        <v>1989</v>
      </c>
      <c r="E1283" s="87">
        <v>1</v>
      </c>
      <c r="F1283" s="69">
        <v>8</v>
      </c>
      <c r="G1283" s="69">
        <v>8</v>
      </c>
      <c r="H1283" s="92" t="s">
        <v>50</v>
      </c>
      <c r="I1283" s="69" t="s">
        <v>330</v>
      </c>
      <c r="J1283" s="69" t="s">
        <v>340</v>
      </c>
      <c r="K1283" s="69">
        <f>IF(J1283="syllables",1,IF(J1283="trigrams",2,IF(J1283="strings",3,IF(J1283="visual array",4,IF(J1283="characters",5,IF(J1283="letters",6,IF(J1283="free forms",7,IF(J1283="odors",8,IF(J1283="words",9,IF(J1283="pictures",10,IF(J1283="object pictures",11,IF(J1283="faces",12,IF(J1283="names",13,IF(J1283="idioms",14,IF(J1283="grades",15,IF(J1283="syllable-digit pairs",16,IF(J1283="trigram-word pairs",17,IF(J1283="word-digit pairs",18,IF(J1283="English-Swahili pairs",19,IF(J1283="spatial position",20,IF(J1283="word pairs",21,IF(J1283="word triads",22,IF(J1283="generated words",23,IF(J1283="word definition pairs",24,IF(J1283="math problems",25,IF(J1283="famous faces",26,IF(J1283="famous names",27,IF(J1283="famous voices",28,IF(J1283="television programs",29,IF(J1283="race horses",30,IF(J1283="new vocabulary",31,IF(J1283="sentences",32,IF(J1283="concepts",33,IF(J1283="ad slides",34,IF(J1283="scenes",35,IF(J1283="famous scenes",36,IF(J1283="poems",37,IF(J1283="walk",38,IF(J1283="faces and events",39,IF(J1283="events and names",40,IF(J1283="flashbulb",41,IF(J1283="stories",42,IF(J1283="course material",43,IF(J1283="autobiographical",44,IF(J1283="novels",45,IF(J1283="public events",46,"99"))))))))))))))))))))))))))))))))))))))))))))))</f>
        <v>46</v>
      </c>
      <c r="L1283" s="69">
        <f>IF(J1283="syllables",1,IF(J1283="trigrams",1,IF(J1283="strings",1,IF(J1283="visual array",1,IF(J1283="characters",1,IF(J1283="letters",1,IF(J1283="free forms",1,IF(J1283="odors",2,IF(J1283="words",2,IF(J1283="pictures",2,IF(J1283="object pictures",2,IF(J1283="faces",2,IF(J1283="names",2,IF(J1283="idioms","2",IF(J1283="grades",2,IF(J1283="syllable-digit pairs",3,IF(J1283="trigram-word pairs",3,IF(J1283="word-digit pairs",3,IF(J1283="English-Swahili pairs",3,IF(J1283="spatial position",3,IF(J1283="word pairs",4,IF(J1283="word triads",4,IF(J1283="generated words",4,IF(J1283="word definition pairs",4,IF(J1283="math problems",4,IF(J1283="famous faces",4,IF(J1283="famous names",4,IF(J1283="famous voices",4,IF(J1283="television programs",4,IF(J1283="race horses",4,IF(J1283="new vocabulary",4,IF(J1283="sentences",5,IF(J1283="concepts",5,IF(J1283="ad slides",5,IF(J1283="scenes",5,IF(J1283="famous scenes",5,IF(J1283="poems",6,IF(J1283="walk",6,IF(J1283="faces and events",6,IF(J1283="events and names",6,IF(J1283="flashbulb",7,IF(J1283="stories",7,IF(J1283="course material",7,IF(J1283="autobiographical",7,IF(J1283="novels",7,IF(J1283="public events",7,"99"))))))))))))))))))))))))))))))))))))))))))))))</f>
        <v>7</v>
      </c>
      <c r="M1283" s="69">
        <v>1</v>
      </c>
      <c r="N1283" s="86">
        <v>4</v>
      </c>
      <c r="O1283" s="69">
        <v>0</v>
      </c>
      <c r="P1283" s="69"/>
      <c r="Q1283" s="69" t="s">
        <v>174</v>
      </c>
      <c r="R1283" s="69">
        <f>IF(Q1283="Free Recall",1,IF(Q1283="Cued Recall",2,IF(Q1283="Recognition",3,IF(Q1283="Multiple Choice",4,IF(Q1283="Savings",5,IF(Q1283="Stem Completion",6,IF(Q1283="Fragment Completion",7,IF(Q1283="anagram solution",8,IF(Q1283="Matching",9,IF(Q1283="Problem Solving",10,"99"))))))))))</f>
        <v>1</v>
      </c>
      <c r="S1283" s="69" t="s">
        <v>49</v>
      </c>
      <c r="T1283" s="92" t="s">
        <v>581</v>
      </c>
      <c r="U1283" s="69">
        <f>IF(T1283="within",1,0)</f>
        <v>1</v>
      </c>
      <c r="V1283" s="92">
        <v>92</v>
      </c>
      <c r="W1283" s="69">
        <f>F1283*V1283</f>
        <v>736</v>
      </c>
      <c r="X1283" s="69">
        <v>4</v>
      </c>
      <c r="Y1283" s="87">
        <f>AV1282</f>
        <v>94608000</v>
      </c>
      <c r="Z1283" s="92" t="s">
        <v>445</v>
      </c>
      <c r="AA1283" s="69">
        <f>33*365*24*60*60</f>
        <v>1040688000</v>
      </c>
      <c r="AB1283" s="69" t="str">
        <f>IF(AA1283&lt;60,"1",IF(AA1283&lt;=43200,"2",IF(AA1283&lt;=777600,"3","4")))</f>
        <v>4</v>
      </c>
      <c r="AC1283" s="72">
        <f>AVERAGE(AV1282:DA1282)</f>
        <v>567648000</v>
      </c>
      <c r="AD1283" s="69" t="str">
        <f>IF(AC1283&lt;60,"1",IF(AC1283&lt;=43200,"2",IF(AC1283&lt;=777600,"3","4")))</f>
        <v>4</v>
      </c>
      <c r="AE1283" s="87">
        <f>AA1283-Y1283</f>
        <v>946080000</v>
      </c>
      <c r="AF1283" s="88">
        <f>AV1283</f>
        <v>0.375</v>
      </c>
      <c r="AG1283" s="72">
        <f>((AW1283-AV1283)+(AX1283-AW1283)+(AY1283-AX1283))/3</f>
        <v>4.1666666666666664E-2</v>
      </c>
      <c r="AH1283" s="4"/>
      <c r="AI1283" s="72">
        <f>RSQ(AV1283:AY1283,AV1282:AY1282)</f>
        <v>0.61229415588183378</v>
      </c>
      <c r="AJ1283" s="110">
        <f>SLOPE(AV1283:AY1283,AV1282:AY1282)</f>
        <v>1.2069400332930537E-10</v>
      </c>
      <c r="AK1283" s="72">
        <f>INTERCEPT(AV1283:AY1283,AV1282:AY1282)</f>
        <v>0.33735772833723654</v>
      </c>
      <c r="AL1283" s="72">
        <f>INDEX(LINEST(LN(AV1283:AY1283),LN(AV1282:AY1282),TRUE,TRUE),3,1)</f>
        <v>0.34365604563288865</v>
      </c>
      <c r="AM1283" s="72">
        <f>INDEX(LINEST(LN(AV1283:AY1283),LN(AV1282:AY1282)),1)</f>
        <v>8.033340740232689E-2</v>
      </c>
      <c r="AN1283" s="72">
        <f>EXP(INDEX(LINEST(LN(AV1283:AY1283),LN(AV1282:AY1282)),1,2))</f>
        <v>8.1773980762753953E-2</v>
      </c>
      <c r="AO1283" s="89">
        <f>INDEX(LINEST((AV1283:AY1283),LN(AV1282:AY1282),TRUE,TRUE),3,1)</f>
        <v>0.34322218366752794</v>
      </c>
      <c r="AP1283" s="89">
        <f>INDEX(LINEST((AV1283:AY1283),LN(AV1282:AY1282)),1)</f>
        <v>3.4850354594562323E-2</v>
      </c>
      <c r="AQ1283" s="90">
        <f>INDEX(LINEST(LN(AV1283:AY1283),SQRT(AV1282:AY1282),TRUE,TRUE),3,1)</f>
        <v>0.47753353509845464</v>
      </c>
      <c r="AR1283" s="117">
        <f>INDEX(LINEST(LN(AV1283:AY1283),SQRT((AV1282:AY1282))),1)</f>
        <v>1.0293390334941184E-5</v>
      </c>
      <c r="AS1283" s="91">
        <f>INDEX(LINEST(1/(AV1283:AY1283),1/(SQRT(AV1282:AY1282)),TRUE,TRUE),3,1)</f>
        <v>0.24086619273871809</v>
      </c>
      <c r="AT1283" s="91">
        <f>INDEX(LINEST(1/(AV1283:AY1283),1/SQRT(AV1282:AY1282)),1)</f>
        <v>5033.1550226934332</v>
      </c>
      <c r="AU1283" s="3"/>
      <c r="AV1283" s="95">
        <v>0.375</v>
      </c>
      <c r="AW1283" s="95">
        <v>0.37142857142857144</v>
      </c>
      <c r="AX1283" s="95">
        <v>0.37704918032786888</v>
      </c>
      <c r="AY1283" s="95">
        <v>0.5</v>
      </c>
      <c r="AZ1283" s="73"/>
      <c r="BA1283" s="11"/>
      <c r="BB1283" s="11"/>
      <c r="BC1283" s="11"/>
      <c r="BD1283" s="11"/>
      <c r="BE1283" s="11"/>
      <c r="BF1283" s="11"/>
      <c r="BG1283" s="11"/>
      <c r="BH1283" s="11"/>
      <c r="BI1283" s="11"/>
      <c r="BJ1283" s="11"/>
      <c r="BK1283" s="11"/>
      <c r="BL1283" s="11"/>
      <c r="BM1283" s="11"/>
      <c r="BN1283" s="11"/>
      <c r="BO1283" s="11"/>
      <c r="BP1283" s="11"/>
      <c r="BQ1283" s="11"/>
      <c r="BR1283" s="11"/>
      <c r="BS1283" s="11"/>
      <c r="BT1283" s="11"/>
      <c r="BU1283" s="11"/>
      <c r="BV1283" s="11"/>
      <c r="BW1283" s="11"/>
      <c r="BX1283" s="11"/>
      <c r="BY1283" s="11"/>
      <c r="BZ1283" s="11"/>
      <c r="CA1283" s="11"/>
      <c r="CB1283" s="11"/>
      <c r="CC1283" s="11"/>
      <c r="CD1283" s="11"/>
      <c r="CE1283" s="11"/>
      <c r="CF1283" s="11"/>
      <c r="CG1283" s="11"/>
      <c r="CH1283" s="11"/>
      <c r="CI1283" s="11"/>
      <c r="CJ1283" s="11"/>
      <c r="CK1283" s="11"/>
      <c r="CL1283" s="11"/>
      <c r="CM1283" s="11"/>
      <c r="CN1283" s="11"/>
      <c r="CO1283" s="11"/>
      <c r="CP1283" s="11"/>
      <c r="CQ1283" s="11"/>
      <c r="CR1283" s="15"/>
      <c r="CS1283" s="15"/>
      <c r="CT1283" s="15"/>
      <c r="CU1283" s="15"/>
    </row>
    <row r="1284" spans="1:99" ht="12" customHeight="1" x14ac:dyDescent="0.2">
      <c r="A1284" s="68">
        <v>43897</v>
      </c>
      <c r="B1284" s="94"/>
      <c r="C1284" s="94"/>
      <c r="D1284" s="92"/>
      <c r="E1284" s="87"/>
      <c r="F1284" s="69"/>
      <c r="G1284" s="69"/>
      <c r="H1284" s="92"/>
      <c r="I1284" s="69"/>
      <c r="J1284" s="69"/>
      <c r="K1284" s="107"/>
      <c r="L1284" s="107"/>
      <c r="M1284" s="69"/>
      <c r="N1284" s="86"/>
      <c r="O1284" s="69"/>
      <c r="P1284" s="69"/>
      <c r="Q1284" s="69"/>
      <c r="R1284" s="69"/>
      <c r="S1284" s="69"/>
      <c r="T1284" s="69"/>
      <c r="U1284" s="69"/>
      <c r="V1284" s="69"/>
      <c r="W1284" s="69"/>
      <c r="X1284" s="69"/>
      <c r="Y1284" s="87"/>
      <c r="Z1284" s="69"/>
      <c r="AA1284" s="69"/>
      <c r="AB1284" s="69"/>
      <c r="AC1284" s="72"/>
      <c r="AD1284" s="69"/>
      <c r="AE1284" s="69"/>
      <c r="AF1284" s="88"/>
      <c r="AG1284" s="72"/>
      <c r="AH1284" s="4"/>
      <c r="AI1284" s="72"/>
      <c r="AJ1284" s="110"/>
      <c r="AK1284" s="72"/>
      <c r="AL1284" s="72"/>
      <c r="AM1284" s="72"/>
      <c r="AN1284" s="72"/>
      <c r="AO1284" s="89"/>
      <c r="AP1284" s="89"/>
      <c r="AQ1284" s="90"/>
      <c r="AR1284" s="117"/>
      <c r="AS1284" s="91"/>
      <c r="AT1284" s="91"/>
      <c r="AU1284" s="3"/>
      <c r="AV1284" s="71">
        <v>94608000</v>
      </c>
      <c r="AW1284" s="71">
        <v>409968000</v>
      </c>
      <c r="AX1284" s="71">
        <v>725328000</v>
      </c>
      <c r="AY1284" s="71">
        <v>1040688000</v>
      </c>
      <c r="AZ1284" s="73"/>
      <c r="BA1284" s="11"/>
      <c r="BB1284" s="11"/>
      <c r="BC1284" s="11"/>
      <c r="BD1284" s="11"/>
      <c r="BE1284" s="11"/>
      <c r="BF1284" s="11"/>
      <c r="BG1284" s="11"/>
      <c r="BH1284" s="11"/>
      <c r="BI1284" s="11"/>
      <c r="BJ1284" s="11"/>
      <c r="BK1284" s="11"/>
      <c r="BL1284" s="11"/>
      <c r="BM1284" s="11"/>
      <c r="BN1284" s="11"/>
      <c r="BO1284" s="11"/>
      <c r="BP1284" s="11"/>
      <c r="BQ1284" s="11"/>
      <c r="BR1284" s="11"/>
      <c r="BS1284" s="11"/>
      <c r="BT1284" s="11"/>
      <c r="BU1284" s="11"/>
      <c r="BV1284" s="11"/>
      <c r="BW1284" s="11"/>
      <c r="BX1284" s="11"/>
      <c r="BY1284" s="11"/>
      <c r="BZ1284" s="11"/>
      <c r="CA1284" s="11"/>
      <c r="CB1284" s="11"/>
      <c r="CC1284" s="11"/>
      <c r="CD1284" s="11"/>
      <c r="CE1284" s="11"/>
      <c r="CF1284" s="11"/>
      <c r="CG1284" s="11"/>
      <c r="CH1284" s="11"/>
      <c r="CI1284" s="11"/>
      <c r="CJ1284" s="11"/>
      <c r="CK1284" s="11"/>
      <c r="CL1284" s="11"/>
      <c r="CM1284" s="11"/>
      <c r="CN1284" s="11"/>
      <c r="CO1284" s="11"/>
      <c r="CP1284" s="11"/>
      <c r="CQ1284" s="11"/>
      <c r="CR1284" s="15"/>
      <c r="CS1284" s="15"/>
      <c r="CT1284" s="15"/>
      <c r="CU1284" s="15"/>
    </row>
    <row r="1285" spans="1:99" ht="12" customHeight="1" x14ac:dyDescent="0.2">
      <c r="A1285" s="68">
        <v>43897</v>
      </c>
      <c r="B1285" s="94" t="s">
        <v>410</v>
      </c>
      <c r="C1285" s="94" t="s">
        <v>401</v>
      </c>
      <c r="D1285" s="92">
        <v>1989</v>
      </c>
      <c r="E1285" s="87">
        <v>1</v>
      </c>
      <c r="F1285" s="69">
        <v>8</v>
      </c>
      <c r="G1285" s="69">
        <v>8</v>
      </c>
      <c r="H1285" s="92" t="s">
        <v>50</v>
      </c>
      <c r="I1285" s="69" t="s">
        <v>330</v>
      </c>
      <c r="J1285" s="69" t="s">
        <v>340</v>
      </c>
      <c r="K1285" s="69">
        <f>IF(J1285="syllables",1,IF(J1285="trigrams",2,IF(J1285="strings",3,IF(J1285="visual array",4,IF(J1285="characters",5,IF(J1285="letters",6,IF(J1285="free forms",7,IF(J1285="odors",8,IF(J1285="words",9,IF(J1285="pictures",10,IF(J1285="object pictures",11,IF(J1285="faces",12,IF(J1285="names",13,IF(J1285="idioms",14,IF(J1285="grades",15,IF(J1285="syllable-digit pairs",16,IF(J1285="trigram-word pairs",17,IF(J1285="word-digit pairs",18,IF(J1285="English-Swahili pairs",19,IF(J1285="spatial position",20,IF(J1285="word pairs",21,IF(J1285="word triads",22,IF(J1285="generated words",23,IF(J1285="word definition pairs",24,IF(J1285="math problems",25,IF(J1285="famous faces",26,IF(J1285="famous names",27,IF(J1285="famous voices",28,IF(J1285="television programs",29,IF(J1285="race horses",30,IF(J1285="new vocabulary",31,IF(J1285="sentences",32,IF(J1285="concepts",33,IF(J1285="ad slides",34,IF(J1285="scenes",35,IF(J1285="famous scenes",36,IF(J1285="poems",37,IF(J1285="walk",38,IF(J1285="faces and events",39,IF(J1285="events and names",40,IF(J1285="flashbulb",41,IF(J1285="stories",42,IF(J1285="course material",43,IF(J1285="autobiographical",44,IF(J1285="novels",45,IF(J1285="public events",46,"99"))))))))))))))))))))))))))))))))))))))))))))))</f>
        <v>46</v>
      </c>
      <c r="L1285" s="69">
        <f>IF(J1285="syllables",1,IF(J1285="trigrams",1,IF(J1285="strings",1,IF(J1285="visual array",1,IF(J1285="characters",1,IF(J1285="letters",1,IF(J1285="free forms",1,IF(J1285="odors",2,IF(J1285="words",2,IF(J1285="pictures",2,IF(J1285="object pictures",2,IF(J1285="faces",2,IF(J1285="names",2,IF(J1285="idioms","2",IF(J1285="grades",2,IF(J1285="syllable-digit pairs",3,IF(J1285="trigram-word pairs",3,IF(J1285="word-digit pairs",3,IF(J1285="English-Swahili pairs",3,IF(J1285="spatial position",3,IF(J1285="word pairs",4,IF(J1285="word triads",4,IF(J1285="generated words",4,IF(J1285="word definition pairs",4,IF(J1285="math problems",4,IF(J1285="famous faces",4,IF(J1285="famous names",4,IF(J1285="famous voices",4,IF(J1285="television programs",4,IF(J1285="race horses",4,IF(J1285="new vocabulary",4,IF(J1285="sentences",5,IF(J1285="concepts",5,IF(J1285="ad slides",5,IF(J1285="scenes",5,IF(J1285="famous scenes",5,IF(J1285="poems",6,IF(J1285="walk",6,IF(J1285="faces and events",6,IF(J1285="events and names",6,IF(J1285="flashbulb",7,IF(J1285="stories",7,IF(J1285="course material",7,IF(J1285="autobiographical",7,IF(J1285="novels",7,IF(J1285="public events",7,"99"))))))))))))))))))))))))))))))))))))))))))))))</f>
        <v>7</v>
      </c>
      <c r="M1285" s="69">
        <v>1</v>
      </c>
      <c r="N1285" s="86">
        <v>4</v>
      </c>
      <c r="O1285" s="69">
        <v>0</v>
      </c>
      <c r="P1285" s="69"/>
      <c r="Q1285" s="69" t="s">
        <v>182</v>
      </c>
      <c r="R1285" s="69">
        <f>IF(Q1285="Free Recall",1,IF(Q1285="Cued Recall",2,IF(Q1285="Recognition",3,IF(Q1285="Multiple Choice",4,IF(Q1285="Savings",5,IF(Q1285="Stem Completion",6,IF(Q1285="Fragment Completion",7,IF(Q1285="anagram solution",8,IF(Q1285="Matching",9,IF(Q1285="Problem Solving",10,"99"))))))))))</f>
        <v>4</v>
      </c>
      <c r="S1285" s="69" t="s">
        <v>15</v>
      </c>
      <c r="T1285" s="92" t="s">
        <v>581</v>
      </c>
      <c r="U1285" s="69">
        <f>IF(T1285="within",1,0)</f>
        <v>1</v>
      </c>
      <c r="V1285" s="92">
        <v>92</v>
      </c>
      <c r="W1285" s="69">
        <f>F1285*V1285</f>
        <v>736</v>
      </c>
      <c r="X1285" s="69">
        <v>4</v>
      </c>
      <c r="Y1285" s="87">
        <f>AV1284</f>
        <v>94608000</v>
      </c>
      <c r="Z1285" s="92" t="s">
        <v>445</v>
      </c>
      <c r="AA1285" s="69">
        <f>33*365*24*60*60</f>
        <v>1040688000</v>
      </c>
      <c r="AB1285" s="69" t="str">
        <f>IF(AA1285&lt;60,"1",IF(AA1285&lt;=43200,"2",IF(AA1285&lt;=777600,"3","4")))</f>
        <v>4</v>
      </c>
      <c r="AC1285" s="72">
        <f>AVERAGE(AV1284:DA1284)</f>
        <v>567648000</v>
      </c>
      <c r="AD1285" s="69" t="str">
        <f>IF(AC1285&lt;60,"1",IF(AC1285&lt;=43200,"2",IF(AC1285&lt;=777600,"3","4")))</f>
        <v>4</v>
      </c>
      <c r="AE1285" s="87">
        <f>AA1285-Y1285</f>
        <v>946080000</v>
      </c>
      <c r="AF1285" s="88">
        <f>AV1285</f>
        <v>0.69841269841269837</v>
      </c>
      <c r="AG1285" s="72">
        <f>((AW1285-AV1285)+(AX1285-AW1285)+(AY1285-AX1285))/3</f>
        <v>2.1164021164021201E-2</v>
      </c>
      <c r="AH1285" s="4"/>
      <c r="AI1285" s="72">
        <f>RSQ(AV1285:AY1285,AV1284:AY1284)</f>
        <v>7.7438177450840848E-2</v>
      </c>
      <c r="AJ1285" s="110">
        <f>SLOPE(AV1285:AY1285,AV1284:AY1284)</f>
        <v>3.2128222973797127E-11</v>
      </c>
      <c r="AK1285" s="72">
        <f>INTERCEPT(AV1285:AY1285,AV1284:AY1284)</f>
        <v>0.72455268693822905</v>
      </c>
      <c r="AL1285" s="72">
        <f>INDEX(LINEST(LN(AV1285:AY1285),LN(AV1284:AY1284),TRUE,TRUE),3,1)</f>
        <v>0.19948497057435852</v>
      </c>
      <c r="AM1285" s="72">
        <f>INDEX(LINEST(LN(AV1285:AY1285),LN(AV1284:AY1284)),1)</f>
        <v>2.6613144597944609E-2</v>
      </c>
      <c r="AN1285" s="72">
        <f>EXP(INDEX(LINEST(LN(AV1285:AY1285),LN(AV1284:AY1284)),1,2))</f>
        <v>0.43742487353458193</v>
      </c>
      <c r="AO1285" s="89">
        <f>INDEX(LINEST((AV1285:AY1285),LN(AV1284:AY1284),TRUE,TRUE),3,1)</f>
        <v>0.1886260518430091</v>
      </c>
      <c r="AP1285" s="89">
        <f>INDEX(LINEST((AV1285:AY1285),LN(AV1284:AY1284)),1)</f>
        <v>1.9338548393930503E-2</v>
      </c>
      <c r="AQ1285" s="90">
        <f>INDEX(LINEST(LN(AV1285:AY1285),SQRT(AV1284:AY1284),TRUE,TRUE),3,1)</f>
        <v>0.13432309095073236</v>
      </c>
      <c r="AR1285" s="117">
        <f>INDEX(LINEST(LN(AV1285:AY1285),SQRT((AV1284:AY1284))),1)</f>
        <v>2.3737706275424152E-6</v>
      </c>
      <c r="AS1285" s="91">
        <f>INDEX(LINEST(1/(AV1285:AY1285),1/(SQRT(AV1284:AY1284)),TRUE,TRUE),3,1)</f>
        <v>0.27726137845508519</v>
      </c>
      <c r="AT1285" s="91">
        <f>INDEX(LINEST(1/(AV1285:AY1285),1/SQRT(AV1284:AY1284)),1)</f>
        <v>1356.5860758295096</v>
      </c>
      <c r="AU1285" s="3"/>
      <c r="AV1285" s="95">
        <v>0.69841269841269837</v>
      </c>
      <c r="AW1285" s="95">
        <v>0.8</v>
      </c>
      <c r="AX1285" s="95">
        <v>0.71084337349397586</v>
      </c>
      <c r="AY1285" s="95">
        <v>0.76190476190476197</v>
      </c>
      <c r="AZ1285" s="73"/>
      <c r="BA1285" s="11"/>
      <c r="BB1285" s="11"/>
      <c r="BC1285" s="11"/>
      <c r="BD1285" s="11"/>
      <c r="BE1285" s="11"/>
      <c r="BF1285" s="11"/>
      <c r="BG1285" s="11"/>
      <c r="BH1285" s="11"/>
      <c r="BI1285" s="11"/>
      <c r="BJ1285" s="11"/>
      <c r="BK1285" s="11"/>
      <c r="BL1285" s="11"/>
      <c r="BM1285" s="11"/>
      <c r="BN1285" s="11"/>
      <c r="BO1285" s="11"/>
      <c r="BP1285" s="11"/>
      <c r="BQ1285" s="11"/>
      <c r="BR1285" s="11"/>
      <c r="BS1285" s="11"/>
      <c r="BT1285" s="11"/>
      <c r="BU1285" s="11"/>
      <c r="BV1285" s="11"/>
      <c r="BW1285" s="11"/>
      <c r="BX1285" s="11"/>
      <c r="BY1285" s="11"/>
      <c r="BZ1285" s="11"/>
      <c r="CA1285" s="11"/>
      <c r="CB1285" s="11"/>
      <c r="CC1285" s="11"/>
      <c r="CD1285" s="11"/>
      <c r="CE1285" s="11"/>
      <c r="CF1285" s="11"/>
      <c r="CG1285" s="11"/>
      <c r="CH1285" s="11"/>
      <c r="CI1285" s="11"/>
      <c r="CJ1285" s="11"/>
      <c r="CK1285" s="11"/>
      <c r="CL1285" s="11"/>
      <c r="CM1285" s="11"/>
      <c r="CN1285" s="11"/>
      <c r="CO1285" s="11"/>
      <c r="CP1285" s="11"/>
      <c r="CQ1285" s="11"/>
      <c r="CR1285" s="15"/>
      <c r="CS1285" s="15"/>
      <c r="CT1285" s="15"/>
      <c r="CU1285" s="15"/>
    </row>
    <row r="1286" spans="1:99" s="13" customFormat="1" ht="12" customHeight="1" x14ac:dyDescent="0.2">
      <c r="A1286" s="65">
        <v>43509</v>
      </c>
      <c r="B1286" s="1"/>
      <c r="C1286" s="1"/>
      <c r="D1286" s="60"/>
      <c r="E1286" s="76"/>
      <c r="F1286" s="60"/>
      <c r="G1286" s="60"/>
      <c r="H1286" s="60"/>
      <c r="I1286" s="60"/>
      <c r="J1286" s="60"/>
      <c r="K1286" s="64"/>
      <c r="L1286" s="64"/>
      <c r="M1286" s="60"/>
      <c r="N1286" s="60"/>
      <c r="O1286" s="60"/>
      <c r="P1286" s="60"/>
      <c r="Q1286" s="60"/>
      <c r="R1286" s="60"/>
      <c r="S1286" s="60"/>
      <c r="T1286" s="60"/>
      <c r="U1286" s="60"/>
      <c r="V1286" s="60"/>
      <c r="W1286" s="60"/>
      <c r="X1286" s="60"/>
      <c r="Y1286" s="76"/>
      <c r="Z1286" s="60"/>
      <c r="AA1286" s="60"/>
      <c r="AB1286" s="60"/>
      <c r="AC1286" s="60"/>
      <c r="AD1286" s="60"/>
      <c r="AE1286" s="60"/>
      <c r="AF1286" s="80"/>
      <c r="AG1286" s="56"/>
      <c r="AH1286" s="4"/>
      <c r="AI1286" s="56"/>
      <c r="AJ1286" s="109"/>
      <c r="AK1286" s="56"/>
      <c r="AL1286" s="56"/>
      <c r="AM1286" s="56"/>
      <c r="AN1286" s="56"/>
      <c r="AO1286" s="56"/>
      <c r="AP1286" s="56"/>
      <c r="AQ1286" s="82"/>
      <c r="AR1286" s="115"/>
      <c r="AS1286" s="82"/>
      <c r="AT1286" s="82"/>
      <c r="AU1286" s="4"/>
      <c r="AV1286" s="25">
        <v>45</v>
      </c>
      <c r="AW1286" s="25">
        <f>2*60*60</f>
        <v>7200</v>
      </c>
      <c r="AX1286" s="25">
        <f>24*3600*4</f>
        <v>345600</v>
      </c>
      <c r="AY1286" s="42" t="s">
        <v>535</v>
      </c>
      <c r="AZ1286" s="46"/>
      <c r="BA1286" s="42"/>
      <c r="BB1286" s="42"/>
      <c r="BC1286" s="2"/>
      <c r="BD1286" s="2"/>
      <c r="BE1286" s="2"/>
      <c r="BF1286" s="2"/>
      <c r="BG1286" s="2"/>
      <c r="BH1286" s="2"/>
      <c r="BI1286" s="2"/>
      <c r="BJ1286" s="2"/>
      <c r="BK1286" s="2"/>
      <c r="BL1286" s="2"/>
      <c r="BM1286" s="2"/>
      <c r="BN1286" s="2"/>
      <c r="BO1286" s="2"/>
      <c r="BP1286" s="2"/>
      <c r="BQ1286" s="2"/>
      <c r="BR1286" s="2"/>
      <c r="BS1286" s="2"/>
      <c r="BT1286" s="2"/>
      <c r="BU1286" s="2"/>
      <c r="BV1286" s="2"/>
      <c r="BW1286" s="2"/>
      <c r="BX1286" s="2"/>
      <c r="BY1286" s="2"/>
      <c r="BZ1286" s="2"/>
      <c r="CA1286" s="2"/>
      <c r="CB1286" s="2"/>
      <c r="CC1286" s="2"/>
      <c r="CD1286" s="2"/>
      <c r="CE1286" s="2"/>
      <c r="CF1286" s="2"/>
      <c r="CG1286" s="2"/>
      <c r="CH1286" s="2"/>
      <c r="CI1286" s="2"/>
      <c r="CJ1286" s="2"/>
      <c r="CK1286" s="2"/>
      <c r="CL1286" s="2"/>
      <c r="CM1286" s="2"/>
      <c r="CN1286" s="2"/>
      <c r="CO1286" s="2"/>
      <c r="CP1286" s="2"/>
      <c r="CQ1286" s="2"/>
      <c r="CR1286" s="1"/>
      <c r="CS1286" s="1"/>
      <c r="CT1286" s="1"/>
      <c r="CU1286" s="1"/>
    </row>
    <row r="1287" spans="1:99" s="13" customFormat="1" ht="12" customHeight="1" x14ac:dyDescent="0.2">
      <c r="A1287" s="65">
        <v>43509</v>
      </c>
      <c r="B1287" s="1" t="s">
        <v>906</v>
      </c>
      <c r="C1287" s="1" t="s">
        <v>54</v>
      </c>
      <c r="D1287" s="60">
        <v>1987</v>
      </c>
      <c r="E1287" s="76">
        <v>1</v>
      </c>
      <c r="F1287" s="60">
        <v>12</v>
      </c>
      <c r="G1287" s="60">
        <v>12</v>
      </c>
      <c r="H1287" s="60" t="s">
        <v>22</v>
      </c>
      <c r="I1287" s="60" t="s">
        <v>824</v>
      </c>
      <c r="J1287" s="60" t="s">
        <v>16</v>
      </c>
      <c r="K1287" s="60">
        <f>IF(J1287="syllables",1,IF(J1287="trigrams",2,IF(J1287="strings",3,IF(J1287="visual array",4,IF(J1287="characters",5,IF(J1287="letters",6,IF(J1287="free forms",7,IF(J1287="odors",8,IF(J1287="words",9,IF(J1287="pictures",10,IF(J1287="object pictures",11,IF(J1287="faces",12,IF(J1287="names",13,IF(J1287="idioms",14,IF(J1287="grades",15,IF(J1287="syllable-digit pairs",16,IF(J1287="trigram-word pairs",17,IF(J1287="word-digit pairs",18,IF(J1287="English-Swahili pairs",19,IF(J1287="spatial position",20,IF(J1287="word pairs",21,IF(J1287="word triads",22,IF(J1287="generated words",23,IF(J1287="word definition pairs",24,IF(J1287="math problems",25,IF(J1287="famous faces",26,IF(J1287="famous names",27,IF(J1287="famous voices",28,IF(J1287="television programs",29,IF(J1287="race horses",30,IF(J1287="new vocabulary",31,IF(J1287="sentences",32,IF(J1287="concepts",33,IF(J1287="ad slides",34,IF(J1287="scenes",35,IF(J1287="famous scenes",36,IF(J1287="poems",37,IF(J1287="walk",38,IF(J1287="faces and events",39,IF(J1287="events and names",40,IF(J1287="flashbulb",41,IF(J1287="stories",42,IF(J1287="course material",43,IF(J1287="autobiographical",44,IF(J1287="novels",45,IF(J1287="public events",46,"99"))))))))))))))))))))))))))))))))))))))))))))))</f>
        <v>9</v>
      </c>
      <c r="L1287" s="60">
        <f>IF(J1287="syllables",1,IF(J1287="trigrams",1,IF(J1287="strings",1,IF(J1287="visual array",1,IF(J1287="characters",1,IF(J1287="letters",1,IF(J1287="free forms",1,IF(J1287="odors",2,IF(J1287="words",2,IF(J1287="pictures",2,IF(J1287="object pictures",2,IF(J1287="faces",2,IF(J1287="names",2,IF(J1287="idioms","2",IF(J1287="grades",2,IF(J1287="syllable-digit pairs",3,IF(J1287="trigram-word pairs",3,IF(J1287="word-digit pairs",3,IF(J1287="English-Swahili pairs",3,IF(J1287="spatial position",3,IF(J1287="word pairs",4,IF(J1287="word triads",4,IF(J1287="generated words",4,IF(J1287="word definition pairs",4,IF(J1287="math problems",4,IF(J1287="famous faces",4,IF(J1287="famous names",4,IF(J1287="famous voices",4,IF(J1287="television programs",4,IF(J1287="race horses",4,IF(J1287="new vocabulary",4,IF(J1287="sentences",5,IF(J1287="concepts",5,IF(J1287="ad slides",5,IF(J1287="scenes",5,IF(J1287="famous scenes",5,IF(J1287="poems",6,IF(J1287="walk",6,IF(J1287="faces and events",6,IF(J1287="events and names",6,IF(J1287="flashbulb",7,IF(J1287="stories",7,IF(J1287="course material",7,IF(J1287="autobiographical",7,IF(J1287="novels",7,IF(J1287="public events",7,"99"))))))))))))))))))))))))))))))))))))))))))))))</f>
        <v>2</v>
      </c>
      <c r="M1287" s="60">
        <v>1</v>
      </c>
      <c r="N1287" s="60">
        <v>2</v>
      </c>
      <c r="O1287" s="60">
        <v>0</v>
      </c>
      <c r="P1287" s="60"/>
      <c r="Q1287" s="60" t="s">
        <v>125</v>
      </c>
      <c r="R1287" s="60">
        <f>IF(Q1287="Free Recall",1,IF(Q1287="Cued Recall",2,IF(Q1287="Recognition",3,IF(Q1287="Multiple Choice",4,IF(Q1287="Savings",5,IF(Q1287="Stem Completion",6,IF(Q1287="Fragment Completion",7,IF(Q1287="anagram solution",8,IF(Q1287="Matching",9,IF(Q1287="Problem Solving",10,"99"))))))))))</f>
        <v>7</v>
      </c>
      <c r="S1287" s="60" t="s">
        <v>49</v>
      </c>
      <c r="T1287" s="59" t="s">
        <v>581</v>
      </c>
      <c r="U1287" s="60">
        <f>IF(T1287="within",1,0)</f>
        <v>1</v>
      </c>
      <c r="V1287" s="59">
        <v>72</v>
      </c>
      <c r="W1287" s="60">
        <f>F1287*V1287</f>
        <v>864</v>
      </c>
      <c r="X1287" s="60">
        <v>3</v>
      </c>
      <c r="Y1287" s="76">
        <f>AV1286</f>
        <v>45</v>
      </c>
      <c r="Z1287" s="60" t="s">
        <v>115</v>
      </c>
      <c r="AA1287" s="60">
        <v>345600</v>
      </c>
      <c r="AB1287" s="60" t="str">
        <f>IF(AA1287&lt;60,"1",IF(AA1287&lt;=43200,"2",IF(AA1287&lt;=777600,"3","4")))</f>
        <v>3</v>
      </c>
      <c r="AC1287" s="56">
        <f>AVERAGE(AV1286:DA1286)</f>
        <v>117615</v>
      </c>
      <c r="AD1287" s="60" t="str">
        <f>IF(AC1287&lt;60,"1",IF(AC1287&lt;=43200,"2",IF(AC1287&lt;=777600,"3","4")))</f>
        <v>3</v>
      </c>
      <c r="AE1287" s="76">
        <f>AA1287-Y1287</f>
        <v>345555</v>
      </c>
      <c r="AF1287" s="80">
        <f>AV1287</f>
        <v>0.5</v>
      </c>
      <c r="AG1287" s="56">
        <f>((AW1287-AV1287)+(AX1287-AW1287))/2</f>
        <v>-0.16499999999999998</v>
      </c>
      <c r="AH1287" s="4"/>
      <c r="AI1287" s="56">
        <f>RSQ(AV1287:AX1287,AV1286:AX1286)</f>
        <v>0.24333716031784722</v>
      </c>
      <c r="AJ1287" s="109">
        <f>SLOPE(AV1287:AX1287,AV1286:AX1286)</f>
        <v>-4.833094453918862E-7</v>
      </c>
      <c r="AK1287" s="56">
        <f>INTERCEPT(AV1287:AX1287,AV1286:AX1286)</f>
        <v>0.33351110708643339</v>
      </c>
      <c r="AL1287" s="56">
        <f>INDEX(LINEST(LN(AV1287:AX1287),LN(AV1286:AX1286),TRUE,TRUE),3,1)</f>
        <v>0.77571589266024654</v>
      </c>
      <c r="AM1287" s="56">
        <f>INDEX(LINEST(LN(AV1287:AX1287),LN(AV1286:AX1286)),1)</f>
        <v>-0.12584385151476263</v>
      </c>
      <c r="AN1287" s="56">
        <f>EXP(INDEX(LINEST(LN(AV1287:AX1287),LN(AV1286:AX1286)),1,2))</f>
        <v>0.69395960154045044</v>
      </c>
      <c r="AO1287" s="82">
        <f>INDEX(LINEST((AV1287:AX1287),LN(AV1286:AX1286),TRUE,TRUE),3,1)</f>
        <v>0.79335552651885377</v>
      </c>
      <c r="AP1287" s="82">
        <f>INDEX(LINEST((AV1287:AX1287),LN(AV1286:AX1286)),1)</f>
        <v>-3.8409540822849787E-2</v>
      </c>
      <c r="AQ1287" s="83">
        <f>INDEX(LINEST(LN(AV1287:AX1287),SQRT(AV1286:AX1286),TRUE,TRUE),3,1)</f>
        <v>0.31928187978681588</v>
      </c>
      <c r="AR1287" s="116">
        <f>INDEX(LINEST(LN(AV1287:AX1287),SQRT((AV1286:AX1286))),1)</f>
        <v>-1.1484638429484957E-3</v>
      </c>
      <c r="AS1287" s="84">
        <f>INDEX(LINEST(1/(AV1287:AX1287),1/(SQRT(AV1286:AX1286)),TRUE,TRUE),3,1)</f>
        <v>0.980686333662947</v>
      </c>
      <c r="AT1287" s="84">
        <f>INDEX(LINEST(1/(AV1287:AX1287),1/SQRT(AV1286:AX1286)),1)</f>
        <v>-28.325128072163483</v>
      </c>
      <c r="AU1287" s="3"/>
      <c r="AV1287" s="53">
        <v>0.5</v>
      </c>
      <c r="AW1287" s="53">
        <v>0.16</v>
      </c>
      <c r="AX1287" s="53">
        <v>0.17</v>
      </c>
      <c r="AY1287" s="42"/>
      <c r="AZ1287" s="46"/>
      <c r="BA1287" s="42"/>
      <c r="BB1287" s="42"/>
      <c r="BC1287" s="2"/>
      <c r="BD1287" s="2"/>
      <c r="BE1287" s="2"/>
      <c r="BF1287" s="2"/>
      <c r="BG1287" s="2"/>
      <c r="BH1287" s="2"/>
      <c r="BI1287" s="2"/>
      <c r="BJ1287" s="2"/>
      <c r="BK1287" s="2"/>
      <c r="BL1287" s="2"/>
      <c r="BM1287" s="2"/>
      <c r="BN1287" s="2"/>
      <c r="BO1287" s="2"/>
      <c r="BP1287" s="2"/>
      <c r="BQ1287" s="2"/>
      <c r="BR1287" s="2"/>
      <c r="BS1287" s="2"/>
      <c r="BT1287" s="2"/>
      <c r="BU1287" s="2"/>
      <c r="BV1287" s="2"/>
      <c r="BW1287" s="2"/>
      <c r="BX1287" s="2"/>
      <c r="BY1287" s="2"/>
      <c r="BZ1287" s="2"/>
      <c r="CA1287" s="2"/>
      <c r="CB1287" s="2"/>
      <c r="CC1287" s="2"/>
      <c r="CD1287" s="2"/>
      <c r="CE1287" s="2"/>
      <c r="CF1287" s="2"/>
      <c r="CG1287" s="2"/>
      <c r="CH1287" s="2"/>
      <c r="CI1287" s="2"/>
      <c r="CJ1287" s="2"/>
      <c r="CK1287" s="2"/>
      <c r="CL1287" s="2"/>
      <c r="CM1287" s="2"/>
      <c r="CN1287" s="2"/>
      <c r="CO1287" s="2"/>
      <c r="CP1287" s="2"/>
      <c r="CQ1287" s="2"/>
      <c r="CR1287" s="1"/>
      <c r="CS1287" s="1"/>
      <c r="CT1287" s="1"/>
      <c r="CU1287" s="1"/>
    </row>
    <row r="1288" spans="1:99" s="13" customFormat="1" ht="12" customHeight="1" x14ac:dyDescent="0.2">
      <c r="A1288" s="65">
        <v>43509</v>
      </c>
      <c r="B1288" s="1"/>
      <c r="C1288" s="1"/>
      <c r="D1288" s="60"/>
      <c r="E1288" s="76"/>
      <c r="F1288" s="60"/>
      <c r="G1288" s="60"/>
      <c r="H1288" s="60"/>
      <c r="I1288" s="60"/>
      <c r="J1288" s="60"/>
      <c r="K1288" s="64"/>
      <c r="L1288" s="64"/>
      <c r="M1288" s="60"/>
      <c r="N1288" s="60"/>
      <c r="O1288" s="60"/>
      <c r="P1288" s="60"/>
      <c r="Q1288" s="60"/>
      <c r="R1288" s="60"/>
      <c r="S1288" s="60"/>
      <c r="T1288" s="60"/>
      <c r="U1288" s="60"/>
      <c r="V1288" s="60"/>
      <c r="W1288" s="60"/>
      <c r="X1288" s="60"/>
      <c r="Y1288" s="76"/>
      <c r="Z1288" s="60"/>
      <c r="AA1288" s="60"/>
      <c r="AB1288" s="60"/>
      <c r="AC1288" s="60"/>
      <c r="AD1288" s="60"/>
      <c r="AE1288" s="60"/>
      <c r="AF1288" s="80"/>
      <c r="AG1288" s="56"/>
      <c r="AH1288" s="4"/>
      <c r="AI1288" s="56"/>
      <c r="AJ1288" s="109"/>
      <c r="AK1288" s="56"/>
      <c r="AL1288" s="56"/>
      <c r="AM1288" s="56"/>
      <c r="AN1288" s="56"/>
      <c r="AO1288" s="56"/>
      <c r="AP1288" s="56"/>
      <c r="AQ1288" s="82"/>
      <c r="AR1288" s="115"/>
      <c r="AS1288" s="82"/>
      <c r="AT1288" s="82"/>
      <c r="AU1288" s="4"/>
      <c r="AV1288" s="25">
        <v>45</v>
      </c>
      <c r="AW1288" s="25">
        <f>2*60*60</f>
        <v>7200</v>
      </c>
      <c r="AX1288" s="25">
        <f>24*3600*4</f>
        <v>345600</v>
      </c>
      <c r="AY1288" s="42"/>
      <c r="AZ1288" s="46"/>
      <c r="BA1288" s="42"/>
      <c r="BB1288" s="42"/>
      <c r="BC1288" s="42"/>
      <c r="BD1288" s="42"/>
      <c r="BE1288" s="42"/>
      <c r="BF1288" s="42"/>
      <c r="BG1288" s="42"/>
      <c r="BH1288" s="2"/>
      <c r="BI1288" s="2"/>
      <c r="BJ1288" s="2"/>
      <c r="BK1288" s="2"/>
      <c r="BL1288" s="2"/>
      <c r="BM1288" s="2"/>
      <c r="BN1288" s="2"/>
      <c r="BO1288" s="2"/>
      <c r="BP1288" s="2"/>
      <c r="BQ1288" s="2"/>
      <c r="BR1288" s="2"/>
      <c r="BS1288" s="2"/>
      <c r="BT1288" s="2"/>
      <c r="BU1288" s="2"/>
      <c r="BV1288" s="2"/>
      <c r="BW1288" s="2"/>
      <c r="BX1288" s="2"/>
      <c r="BY1288" s="2"/>
      <c r="BZ1288" s="2"/>
      <c r="CA1288" s="2"/>
      <c r="CB1288" s="2"/>
      <c r="CC1288" s="2"/>
      <c r="CD1288" s="2"/>
      <c r="CE1288" s="2"/>
      <c r="CF1288" s="2"/>
      <c r="CG1288" s="2"/>
      <c r="CH1288" s="2"/>
      <c r="CI1288" s="2"/>
      <c r="CJ1288" s="2"/>
      <c r="CK1288" s="2"/>
      <c r="CL1288" s="2"/>
      <c r="CM1288" s="2"/>
      <c r="CN1288" s="2"/>
      <c r="CO1288" s="2"/>
      <c r="CP1288" s="2"/>
      <c r="CQ1288" s="2"/>
      <c r="CR1288" s="1"/>
      <c r="CS1288" s="1"/>
      <c r="CT1288" s="1"/>
      <c r="CU1288" s="1"/>
    </row>
    <row r="1289" spans="1:99" s="13" customFormat="1" ht="12" customHeight="1" x14ac:dyDescent="0.2">
      <c r="A1289" s="65">
        <v>43509</v>
      </c>
      <c r="B1289" s="1" t="s">
        <v>906</v>
      </c>
      <c r="C1289" s="1" t="s">
        <v>54</v>
      </c>
      <c r="D1289" s="60">
        <v>1987</v>
      </c>
      <c r="E1289" s="76">
        <v>1</v>
      </c>
      <c r="F1289" s="60">
        <v>12</v>
      </c>
      <c r="G1289" s="60">
        <v>12</v>
      </c>
      <c r="H1289" s="60" t="s">
        <v>38</v>
      </c>
      <c r="I1289" s="60" t="s">
        <v>824</v>
      </c>
      <c r="J1289" s="60" t="s">
        <v>16</v>
      </c>
      <c r="K1289" s="60">
        <f>IF(J1289="syllables",1,IF(J1289="trigrams",2,IF(J1289="strings",3,IF(J1289="visual array",4,IF(J1289="characters",5,IF(J1289="letters",6,IF(J1289="free forms",7,IF(J1289="odors",8,IF(J1289="words",9,IF(J1289="pictures",10,IF(J1289="object pictures",11,IF(J1289="faces",12,IF(J1289="names",13,IF(J1289="idioms",14,IF(J1289="grades",15,IF(J1289="syllable-digit pairs",16,IF(J1289="trigram-word pairs",17,IF(J1289="word-digit pairs",18,IF(J1289="English-Swahili pairs",19,IF(J1289="spatial position",20,IF(J1289="word pairs",21,IF(J1289="word triads",22,IF(J1289="generated words",23,IF(J1289="word definition pairs",24,IF(J1289="math problems",25,IF(J1289="famous faces",26,IF(J1289="famous names",27,IF(J1289="famous voices",28,IF(J1289="television programs",29,IF(J1289="race horses",30,IF(J1289="new vocabulary",31,IF(J1289="sentences",32,IF(J1289="concepts",33,IF(J1289="ad slides",34,IF(J1289="scenes",35,IF(J1289="famous scenes",36,IF(J1289="poems",37,IF(J1289="walk",38,IF(J1289="faces and events",39,IF(J1289="events and names",40,IF(J1289="flashbulb",41,IF(J1289="stories",42,IF(J1289="course material",43,IF(J1289="autobiographical",44,IF(J1289="novels",45,IF(J1289="public events",46,"99"))))))))))))))))))))))))))))))))))))))))))))))</f>
        <v>9</v>
      </c>
      <c r="L1289" s="60">
        <f>IF(J1289="syllables",1,IF(J1289="trigrams",1,IF(J1289="strings",1,IF(J1289="visual array",1,IF(J1289="characters",1,IF(J1289="letters",1,IF(J1289="free forms",1,IF(J1289="odors",2,IF(J1289="words",2,IF(J1289="pictures",2,IF(J1289="object pictures",2,IF(J1289="faces",2,IF(J1289="names",2,IF(J1289="idioms","2",IF(J1289="grades",2,IF(J1289="syllable-digit pairs",3,IF(J1289="trigram-word pairs",3,IF(J1289="word-digit pairs",3,IF(J1289="English-Swahili pairs",3,IF(J1289="spatial position",3,IF(J1289="word pairs",4,IF(J1289="word triads",4,IF(J1289="generated words",4,IF(J1289="word definition pairs",4,IF(J1289="math problems",4,IF(J1289="famous faces",4,IF(J1289="famous names",4,IF(J1289="famous voices",4,IF(J1289="television programs",4,IF(J1289="race horses",4,IF(J1289="new vocabulary",4,IF(J1289="sentences",5,IF(J1289="concepts",5,IF(J1289="ad slides",5,IF(J1289="scenes",5,IF(J1289="famous scenes",5,IF(J1289="poems",6,IF(J1289="walk",6,IF(J1289="faces and events",6,IF(J1289="events and names",6,IF(J1289="flashbulb",7,IF(J1289="stories",7,IF(J1289="course material",7,IF(J1289="autobiographical",7,IF(J1289="novels",7,IF(J1289="public events",7,"99"))))))))))))))))))))))))))))))))))))))))))))))</f>
        <v>2</v>
      </c>
      <c r="M1289" s="60">
        <v>1</v>
      </c>
      <c r="N1289" s="60">
        <v>2</v>
      </c>
      <c r="O1289" s="60">
        <v>0</v>
      </c>
      <c r="P1289" s="60"/>
      <c r="Q1289" s="60" t="s">
        <v>34</v>
      </c>
      <c r="R1289" s="60">
        <f>IF(Q1289="Free Recall",1,IF(Q1289="Cued Recall",2,IF(Q1289="Recognition",3,IF(Q1289="Multiple Choice",4,IF(Q1289="Savings",5,IF(Q1289="Stem Completion",6,IF(Q1289="Fragment Completion",7,IF(Q1289="anagram solution",8,IF(Q1289="Matching",9,IF(Q1289="Problem Solving",10,"99"))))))))))</f>
        <v>3</v>
      </c>
      <c r="S1289" s="60" t="s">
        <v>15</v>
      </c>
      <c r="T1289" s="59" t="s">
        <v>581</v>
      </c>
      <c r="U1289" s="60">
        <f>IF(T1289="within",1,0)</f>
        <v>1</v>
      </c>
      <c r="V1289" s="59">
        <v>72</v>
      </c>
      <c r="W1289" s="60">
        <f>F1289*V1289</f>
        <v>864</v>
      </c>
      <c r="X1289" s="60">
        <v>3</v>
      </c>
      <c r="Y1289" s="76">
        <f>AV1288</f>
        <v>45</v>
      </c>
      <c r="Z1289" s="60" t="s">
        <v>115</v>
      </c>
      <c r="AA1289" s="60">
        <v>345600</v>
      </c>
      <c r="AB1289" s="60" t="str">
        <f>IF(AA1289&lt;60,"1",IF(AA1289&lt;=43200,"2",IF(AA1289&lt;=777600,"3","4")))</f>
        <v>3</v>
      </c>
      <c r="AC1289" s="56">
        <f>AVERAGE(AV1288:DA1288)</f>
        <v>117615</v>
      </c>
      <c r="AD1289" s="60" t="str">
        <f>IF(AC1289&lt;60,"1",IF(AC1289&lt;=43200,"2",IF(AC1289&lt;=777600,"3","4")))</f>
        <v>3</v>
      </c>
      <c r="AE1289" s="76">
        <f>AA1289-Y1289</f>
        <v>345555</v>
      </c>
      <c r="AF1289" s="80">
        <f>AV1289</f>
        <v>0.94</v>
      </c>
      <c r="AG1289" s="56">
        <f>((AW1289-AV1289)+(AX1289-AW1289))/2</f>
        <v>-5.4999999999999993E-2</v>
      </c>
      <c r="AH1289" s="4"/>
      <c r="AI1289" s="56">
        <f>RSQ(AV1289:AX1289,AV1288:AX1288)</f>
        <v>0.97665661311696428</v>
      </c>
      <c r="AJ1289" s="109">
        <f>SLOPE(AV1289:AX1289,AV1288:AX1288)</f>
        <v>-2.9323833616760013E-7</v>
      </c>
      <c r="AK1289" s="56">
        <f>INTERCEPT(AV1289:AX1289,AV1288:AX1288)</f>
        <v>0.93115589357501893</v>
      </c>
      <c r="AL1289" s="56">
        <f>INDEX(LINEST(LN(AV1289:AX1289),LN(AV1288:AX1288),TRUE,TRUE),3,1)</f>
        <v>0.81951741007352319</v>
      </c>
      <c r="AM1289" s="56">
        <f>INDEX(LINEST(LN(AV1289:AX1289),LN(AV1288:AX1288)),1)</f>
        <v>-1.3421737689918316E-2</v>
      </c>
      <c r="AN1289" s="56">
        <f>EXP(INDEX(LINEST(LN(AV1289:AX1289),LN(AV1288:AX1288)),1,2))</f>
        <v>1.0032997767354406</v>
      </c>
      <c r="AO1289" s="82">
        <f>INDEX(LINEST((AV1289:AX1289),LN(AV1288:AX1288),TRUE,TRUE),3,1)</f>
        <v>0.8264935364560736</v>
      </c>
      <c r="AP1289" s="82">
        <f>INDEX(LINEST((AV1289:AX1289),LN(AV1288:AX1288)),1)</f>
        <v>-1.1872813738355506E-2</v>
      </c>
      <c r="AQ1289" s="83">
        <f>INDEX(LINEST(LN(AV1289:AX1289),SQRT(AV1288:AX1288),TRUE,TRUE),3,1)</f>
        <v>0.99854399284379847</v>
      </c>
      <c r="AR1289" s="116">
        <f>INDEX(LINEST(LN(AV1289:AX1289),SQRT((AV1288:AX1288))),1)</f>
        <v>-2.1074767415965899E-4</v>
      </c>
      <c r="AS1289" s="84">
        <f>INDEX(LINEST(1/(AV1289:AX1289),1/(SQRT(AV1288:AX1288)),TRUE,TRUE),3,1)</f>
        <v>0.45308110410457453</v>
      </c>
      <c r="AT1289" s="84">
        <f>INDEX(LINEST(1/(AV1289:AX1289),1/SQRT(AV1288:AX1288)),1)</f>
        <v>-0.61821831565079499</v>
      </c>
      <c r="AU1289" s="3"/>
      <c r="AV1289" s="53">
        <v>0.94</v>
      </c>
      <c r="AW1289" s="53">
        <v>0.92</v>
      </c>
      <c r="AX1289" s="53">
        <v>0.83</v>
      </c>
      <c r="AY1289" s="42"/>
      <c r="AZ1289" s="46"/>
      <c r="BA1289" s="42"/>
      <c r="BB1289" s="42"/>
      <c r="BC1289" s="2"/>
      <c r="BD1289" s="2"/>
      <c r="BE1289" s="2"/>
      <c r="BF1289" s="2"/>
      <c r="BG1289" s="2"/>
      <c r="BH1289" s="2"/>
      <c r="BI1289" s="2"/>
      <c r="BJ1289" s="2"/>
      <c r="BK1289" s="2"/>
      <c r="BL1289" s="2"/>
      <c r="BM1289" s="2"/>
      <c r="BN1289" s="2"/>
      <c r="BO1289" s="2"/>
      <c r="BP1289" s="2"/>
      <c r="BQ1289" s="2"/>
      <c r="BR1289" s="2"/>
      <c r="BS1289" s="2"/>
      <c r="BT1289" s="2"/>
      <c r="BU1289" s="2"/>
      <c r="BV1289" s="2"/>
      <c r="BW1289" s="2"/>
      <c r="BX1289" s="2"/>
      <c r="BY1289" s="2"/>
      <c r="BZ1289" s="2"/>
      <c r="CA1289" s="2"/>
      <c r="CB1289" s="2"/>
      <c r="CC1289" s="2"/>
      <c r="CD1289" s="2"/>
      <c r="CE1289" s="2"/>
      <c r="CF1289" s="2"/>
      <c r="CG1289" s="2"/>
      <c r="CH1289" s="2"/>
      <c r="CI1289" s="2"/>
      <c r="CJ1289" s="2"/>
      <c r="CK1289" s="2"/>
      <c r="CL1289" s="2"/>
      <c r="CM1289" s="2"/>
      <c r="CN1289" s="2"/>
      <c r="CO1289" s="2"/>
      <c r="CP1289" s="2"/>
      <c r="CQ1289" s="2"/>
      <c r="CR1289" s="1"/>
      <c r="CS1289" s="1"/>
      <c r="CT1289" s="1"/>
      <c r="CU1289" s="1"/>
    </row>
    <row r="1290" spans="1:99" s="13" customFormat="1" ht="12" customHeight="1" x14ac:dyDescent="0.2">
      <c r="A1290" s="65">
        <v>43509</v>
      </c>
      <c r="B1290" s="1"/>
      <c r="C1290" s="1"/>
      <c r="D1290" s="60"/>
      <c r="E1290" s="76"/>
      <c r="F1290" s="60"/>
      <c r="G1290" s="60"/>
      <c r="H1290" s="60"/>
      <c r="I1290" s="60"/>
      <c r="J1290" s="60"/>
      <c r="K1290" s="64"/>
      <c r="L1290" s="64"/>
      <c r="M1290" s="60"/>
      <c r="N1290" s="60"/>
      <c r="O1290" s="60"/>
      <c r="P1290" s="60"/>
      <c r="Q1290" s="60"/>
      <c r="R1290" s="60"/>
      <c r="S1290" s="60"/>
      <c r="T1290" s="60"/>
      <c r="U1290" s="60"/>
      <c r="V1290" s="60"/>
      <c r="W1290" s="60"/>
      <c r="X1290" s="60"/>
      <c r="Y1290" s="76"/>
      <c r="Z1290" s="60"/>
      <c r="AA1290" s="60"/>
      <c r="AB1290" s="60"/>
      <c r="AC1290" s="60"/>
      <c r="AD1290" s="60"/>
      <c r="AE1290" s="60"/>
      <c r="AF1290" s="80"/>
      <c r="AG1290" s="56"/>
      <c r="AH1290" s="4"/>
      <c r="AI1290" s="56"/>
      <c r="AJ1290" s="109"/>
      <c r="AK1290" s="56"/>
      <c r="AL1290" s="56"/>
      <c r="AM1290" s="56"/>
      <c r="AN1290" s="56"/>
      <c r="AO1290" s="56"/>
      <c r="AP1290" s="56"/>
      <c r="AQ1290" s="82"/>
      <c r="AR1290" s="115"/>
      <c r="AS1290" s="82"/>
      <c r="AT1290" s="82"/>
      <c r="AU1290" s="4"/>
      <c r="AV1290" s="25">
        <v>45</v>
      </c>
      <c r="AW1290" s="25">
        <f>2*60*60</f>
        <v>7200</v>
      </c>
      <c r="AX1290" s="25">
        <f>24*3600*4</f>
        <v>345600</v>
      </c>
      <c r="AY1290" s="42"/>
      <c r="AZ1290" s="46"/>
      <c r="BA1290" s="42"/>
      <c r="BB1290" s="42"/>
      <c r="BC1290" s="2"/>
      <c r="BD1290" s="2"/>
      <c r="BE1290" s="2"/>
      <c r="BF1290" s="2"/>
      <c r="BG1290" s="2"/>
      <c r="BH1290" s="2"/>
      <c r="BI1290" s="2"/>
      <c r="BJ1290" s="2"/>
      <c r="BK1290" s="2"/>
      <c r="BL1290" s="2"/>
      <c r="BM1290" s="2"/>
      <c r="BN1290" s="2"/>
      <c r="BO1290" s="2"/>
      <c r="BP1290" s="2"/>
      <c r="BQ1290" s="2"/>
      <c r="BR1290" s="2"/>
      <c r="BS1290" s="2"/>
      <c r="BT1290" s="2"/>
      <c r="BU1290" s="2"/>
      <c r="BV1290" s="2"/>
      <c r="BW1290" s="2"/>
      <c r="BX1290" s="2"/>
      <c r="BY1290" s="2"/>
      <c r="BZ1290" s="2"/>
      <c r="CA1290" s="2"/>
      <c r="CB1290" s="2"/>
      <c r="CC1290" s="2"/>
      <c r="CD1290" s="2"/>
      <c r="CE1290" s="2"/>
      <c r="CF1290" s="2"/>
      <c r="CG1290" s="2"/>
      <c r="CH1290" s="2"/>
      <c r="CI1290" s="2"/>
      <c r="CJ1290" s="2"/>
      <c r="CK1290" s="2"/>
      <c r="CL1290" s="2"/>
      <c r="CM1290" s="2"/>
      <c r="CN1290" s="2"/>
      <c r="CO1290" s="2"/>
      <c r="CP1290" s="2"/>
      <c r="CQ1290" s="2"/>
      <c r="CR1290" s="1"/>
      <c r="CS1290" s="1"/>
      <c r="CT1290" s="1"/>
      <c r="CU1290" s="1"/>
    </row>
    <row r="1291" spans="1:99" s="13" customFormat="1" ht="12" customHeight="1" x14ac:dyDescent="0.2">
      <c r="A1291" s="65">
        <v>43509</v>
      </c>
      <c r="B1291" s="1" t="s">
        <v>906</v>
      </c>
      <c r="C1291" s="1" t="s">
        <v>54</v>
      </c>
      <c r="D1291" s="60">
        <v>1987</v>
      </c>
      <c r="E1291" s="76">
        <v>2</v>
      </c>
      <c r="F1291" s="60">
        <v>12</v>
      </c>
      <c r="G1291" s="60">
        <v>12</v>
      </c>
      <c r="H1291" s="60" t="s">
        <v>22</v>
      </c>
      <c r="I1291" s="60" t="s">
        <v>824</v>
      </c>
      <c r="J1291" s="60" t="s">
        <v>16</v>
      </c>
      <c r="K1291" s="60">
        <f>IF(J1291="syllables",1,IF(J1291="trigrams",2,IF(J1291="strings",3,IF(J1291="visual array",4,IF(J1291="characters",5,IF(J1291="letters",6,IF(J1291="free forms",7,IF(J1291="odors",8,IF(J1291="words",9,IF(J1291="pictures",10,IF(J1291="object pictures",11,IF(J1291="faces",12,IF(J1291="names",13,IF(J1291="idioms",14,IF(J1291="grades",15,IF(J1291="syllable-digit pairs",16,IF(J1291="trigram-word pairs",17,IF(J1291="word-digit pairs",18,IF(J1291="English-Swahili pairs",19,IF(J1291="spatial position",20,IF(J1291="word pairs",21,IF(J1291="word triads",22,IF(J1291="generated words",23,IF(J1291="word definition pairs",24,IF(J1291="math problems",25,IF(J1291="famous faces",26,IF(J1291="famous names",27,IF(J1291="famous voices",28,IF(J1291="television programs",29,IF(J1291="race horses",30,IF(J1291="new vocabulary",31,IF(J1291="sentences",32,IF(J1291="concepts",33,IF(J1291="ad slides",34,IF(J1291="scenes",35,IF(J1291="famous scenes",36,IF(J1291="poems",37,IF(J1291="walk",38,IF(J1291="faces and events",39,IF(J1291="events and names",40,IF(J1291="flashbulb",41,IF(J1291="stories",42,IF(J1291="course material",43,IF(J1291="autobiographical",44,IF(J1291="novels",45,IF(J1291="public events",46,"99"))))))))))))))))))))))))))))))))))))))))))))))</f>
        <v>9</v>
      </c>
      <c r="L1291" s="60">
        <f>IF(J1291="syllables",1,IF(J1291="trigrams",1,IF(J1291="strings",1,IF(J1291="visual array",1,IF(J1291="characters",1,IF(J1291="letters",1,IF(J1291="free forms",1,IF(J1291="odors",2,IF(J1291="words",2,IF(J1291="pictures",2,IF(J1291="object pictures",2,IF(J1291="faces",2,IF(J1291="names",2,IF(J1291="idioms","2",IF(J1291="grades",2,IF(J1291="syllable-digit pairs",3,IF(J1291="trigram-word pairs",3,IF(J1291="word-digit pairs",3,IF(J1291="English-Swahili pairs",3,IF(J1291="spatial position",3,IF(J1291="word pairs",4,IF(J1291="word triads",4,IF(J1291="generated words",4,IF(J1291="word definition pairs",4,IF(J1291="math problems",4,IF(J1291="famous faces",4,IF(J1291="famous names",4,IF(J1291="famous voices",4,IF(J1291="television programs",4,IF(J1291="race horses",4,IF(J1291="new vocabulary",4,IF(J1291="sentences",5,IF(J1291="concepts",5,IF(J1291="ad slides",5,IF(J1291="scenes",5,IF(J1291="famous scenes",5,IF(J1291="poems",6,IF(J1291="walk",6,IF(J1291="faces and events",6,IF(J1291="events and names",6,IF(J1291="flashbulb",7,IF(J1291="stories",7,IF(J1291="course material",7,IF(J1291="autobiographical",7,IF(J1291="novels",7,IF(J1291="public events",7,"99"))))))))))))))))))))))))))))))))))))))))))))))</f>
        <v>2</v>
      </c>
      <c r="M1291" s="60">
        <v>1</v>
      </c>
      <c r="N1291" s="60">
        <v>2</v>
      </c>
      <c r="O1291" s="60">
        <v>0</v>
      </c>
      <c r="P1291" s="60"/>
      <c r="Q1291" s="60" t="s">
        <v>125</v>
      </c>
      <c r="R1291" s="60">
        <f>IF(Q1291="Free Recall",1,IF(Q1291="Cued Recall",2,IF(Q1291="Recognition",3,IF(Q1291="Multiple Choice",4,IF(Q1291="Savings",5,IF(Q1291="Stem Completion",6,IF(Q1291="Fragment Completion",7,IF(Q1291="anagram solution",8,IF(Q1291="Matching",9,IF(Q1291="Problem Solving",10,"99"))))))))))</f>
        <v>7</v>
      </c>
      <c r="S1291" s="60" t="s">
        <v>49</v>
      </c>
      <c r="T1291" s="59" t="s">
        <v>581</v>
      </c>
      <c r="U1291" s="60">
        <f>IF(T1291="within",1,0)</f>
        <v>1</v>
      </c>
      <c r="V1291" s="59">
        <v>72</v>
      </c>
      <c r="W1291" s="60">
        <f>F1291*V1291</f>
        <v>864</v>
      </c>
      <c r="X1291" s="60">
        <v>3</v>
      </c>
      <c r="Y1291" s="76">
        <f>AV1290</f>
        <v>45</v>
      </c>
      <c r="Z1291" s="60" t="s">
        <v>115</v>
      </c>
      <c r="AA1291" s="60">
        <v>345600</v>
      </c>
      <c r="AB1291" s="60" t="str">
        <f>IF(AA1291&lt;60,"1",IF(AA1291&lt;=43200,"2",IF(AA1291&lt;=777600,"3","4")))</f>
        <v>3</v>
      </c>
      <c r="AC1291" s="56">
        <f>AVERAGE(AV1290:DA1290)</f>
        <v>117615</v>
      </c>
      <c r="AD1291" s="60" t="str">
        <f>IF(AC1291&lt;60,"1",IF(AC1291&lt;=43200,"2",IF(AC1291&lt;=777600,"3","4")))</f>
        <v>3</v>
      </c>
      <c r="AE1291" s="76">
        <f>AA1291-Y1291</f>
        <v>345555</v>
      </c>
      <c r="AF1291" s="80">
        <f>AV1291</f>
        <v>0.87</v>
      </c>
      <c r="AG1291" s="56">
        <f>((AW1291-AV1291)+(AX1291-AW1291))/2</f>
        <v>-0.125</v>
      </c>
      <c r="AH1291" s="4"/>
      <c r="AI1291" s="56">
        <f>RSQ(AV1291:AX1291,AV1290:AX1290)</f>
        <v>0.18450812512238887</v>
      </c>
      <c r="AJ1291" s="109">
        <f>SLOPE(AV1291:AX1291,AV1290:AX1290)</f>
        <v>-3.3439675335942928E-7</v>
      </c>
      <c r="AK1291" s="56">
        <f>INTERCEPT(AV1291:AX1291,AV1290:AX1290)</f>
        <v>0.7326634074797026</v>
      </c>
      <c r="AL1291" s="56">
        <f>INDEX(LINEST(LN(AV1291:AX1291),LN(AV1290:AX1290),TRUE,TRUE),3,1)</f>
        <v>0.71454910339605238</v>
      </c>
      <c r="AM1291" s="56">
        <f>INDEX(LINEST(LN(AV1291:AX1291),LN(AV1290:AX1290)),1)</f>
        <v>-3.9822798515654179E-2</v>
      </c>
      <c r="AN1291" s="56">
        <f>EXP(INDEX(LINEST(LN(AV1291:AX1291),LN(AV1290:AX1290)),1,2))</f>
        <v>0.95702495208844074</v>
      </c>
      <c r="AO1291" s="82">
        <f>INDEX(LINEST((AV1291:AX1291),LN(AV1290:AX1290),TRUE,TRUE),3,1)</f>
        <v>0.73231924067201515</v>
      </c>
      <c r="AP1291" s="82">
        <f>INDEX(LINEST((AV1291:AX1291),LN(AV1290:AX1290)),1)</f>
        <v>-2.9321666609275772E-2</v>
      </c>
      <c r="AQ1291" s="83">
        <f>INDEX(LINEST(LN(AV1291:AX1291),SQRT(AV1290:AX1290),TRUE,TRUE),3,1)</f>
        <v>0.25573980071125535</v>
      </c>
      <c r="AR1291" s="116">
        <f>INDEX(LINEST(LN(AV1291:AX1291),SQRT((AV1290:AX1290))),1)</f>
        <v>-3.3889443113498179E-4</v>
      </c>
      <c r="AS1291" s="84">
        <f>INDEX(LINEST(1/(AV1291:AX1291),1/(SQRT(AV1290:AX1290)),TRUE,TRUE),3,1)</f>
        <v>0.96008182122346009</v>
      </c>
      <c r="AT1291" s="84">
        <f>INDEX(LINEST(1/(AV1291:AX1291),1/SQRT(AV1290:AX1290)),1)</f>
        <v>-3.5007144669801726</v>
      </c>
      <c r="AU1291" s="3"/>
      <c r="AV1291" s="53">
        <v>0.87</v>
      </c>
      <c r="AW1291" s="53">
        <v>0.59</v>
      </c>
      <c r="AX1291" s="53">
        <v>0.62</v>
      </c>
      <c r="AY1291" s="42"/>
      <c r="AZ1291" s="46"/>
      <c r="BA1291" s="42"/>
      <c r="BB1291" s="42"/>
      <c r="BC1291" s="2"/>
      <c r="BD1291" s="2"/>
      <c r="BE1291" s="2"/>
      <c r="BF1291" s="2"/>
      <c r="BG1291" s="2"/>
      <c r="BH1291" s="2"/>
      <c r="BI1291" s="2"/>
      <c r="BJ1291" s="2"/>
      <c r="BK1291" s="2"/>
      <c r="BL1291" s="2"/>
      <c r="BM1291" s="2"/>
      <c r="BN1291" s="2"/>
      <c r="BO1291" s="2"/>
      <c r="BP1291" s="2"/>
      <c r="BQ1291" s="2"/>
      <c r="BR1291" s="2"/>
      <c r="BS1291" s="2"/>
      <c r="BT1291" s="2"/>
      <c r="BU1291" s="2"/>
      <c r="BV1291" s="2"/>
      <c r="BW1291" s="2"/>
      <c r="BX1291" s="2"/>
      <c r="BY1291" s="2"/>
      <c r="BZ1291" s="2"/>
      <c r="CA1291" s="2"/>
      <c r="CB1291" s="2"/>
      <c r="CC1291" s="2"/>
      <c r="CD1291" s="2"/>
      <c r="CE1291" s="2"/>
      <c r="CF1291" s="2"/>
      <c r="CG1291" s="2"/>
      <c r="CH1291" s="2"/>
      <c r="CI1291" s="2"/>
      <c r="CJ1291" s="2"/>
      <c r="CK1291" s="2"/>
      <c r="CL1291" s="2"/>
      <c r="CM1291" s="2"/>
      <c r="CN1291" s="2"/>
      <c r="CO1291" s="2"/>
      <c r="CP1291" s="2"/>
      <c r="CQ1291" s="2"/>
      <c r="CR1291" s="1"/>
      <c r="CS1291" s="1"/>
      <c r="CT1291" s="1"/>
      <c r="CU1291" s="1"/>
    </row>
    <row r="1292" spans="1:99" s="13" customFormat="1" ht="12" customHeight="1" x14ac:dyDescent="0.2">
      <c r="A1292" s="65">
        <v>43509</v>
      </c>
      <c r="B1292" s="1"/>
      <c r="C1292" s="1"/>
      <c r="D1292" s="60"/>
      <c r="E1292" s="76"/>
      <c r="F1292" s="60"/>
      <c r="G1292" s="60"/>
      <c r="H1292" s="60"/>
      <c r="I1292" s="60"/>
      <c r="J1292" s="60"/>
      <c r="K1292" s="64"/>
      <c r="L1292" s="64"/>
      <c r="M1292" s="60"/>
      <c r="N1292" s="60"/>
      <c r="O1292" s="60"/>
      <c r="P1292" s="60"/>
      <c r="Q1292" s="60"/>
      <c r="R1292" s="60"/>
      <c r="S1292" s="60"/>
      <c r="T1292" s="60"/>
      <c r="U1292" s="60"/>
      <c r="V1292" s="60"/>
      <c r="W1292" s="60"/>
      <c r="X1292" s="60"/>
      <c r="Y1292" s="76"/>
      <c r="Z1292" s="60"/>
      <c r="AA1292" s="60"/>
      <c r="AB1292" s="60"/>
      <c r="AC1292" s="60"/>
      <c r="AD1292" s="60"/>
      <c r="AE1292" s="60"/>
      <c r="AF1292" s="80"/>
      <c r="AG1292" s="56"/>
      <c r="AH1292" s="4"/>
      <c r="AI1292" s="56"/>
      <c r="AJ1292" s="109"/>
      <c r="AK1292" s="56"/>
      <c r="AL1292" s="56"/>
      <c r="AM1292" s="56"/>
      <c r="AN1292" s="56"/>
      <c r="AO1292" s="56"/>
      <c r="AP1292" s="56"/>
      <c r="AQ1292" s="82"/>
      <c r="AR1292" s="115"/>
      <c r="AS1292" s="82"/>
      <c r="AT1292" s="82"/>
      <c r="AU1292" s="4"/>
      <c r="AV1292" s="25">
        <v>45</v>
      </c>
      <c r="AW1292" s="25">
        <f>2*60*60</f>
        <v>7200</v>
      </c>
      <c r="AX1292" s="25">
        <f>24*3600*4</f>
        <v>345600</v>
      </c>
      <c r="AY1292" s="42"/>
      <c r="AZ1292" s="46"/>
      <c r="BA1292" s="42"/>
      <c r="BB1292" s="42"/>
      <c r="BC1292" s="2"/>
      <c r="BD1292" s="2"/>
      <c r="BE1292" s="2"/>
      <c r="BF1292" s="2"/>
      <c r="BG1292" s="2"/>
      <c r="BH1292" s="2"/>
      <c r="BI1292" s="2"/>
      <c r="BJ1292" s="2"/>
      <c r="BK1292" s="2"/>
      <c r="BL1292" s="2"/>
      <c r="BM1292" s="2"/>
      <c r="BN1292" s="2"/>
      <c r="BO1292" s="2"/>
      <c r="BP1292" s="2"/>
      <c r="BQ1292" s="2"/>
      <c r="BR1292" s="2"/>
      <c r="BS1292" s="2"/>
      <c r="BT1292" s="2"/>
      <c r="BU1292" s="2"/>
      <c r="BV1292" s="2"/>
      <c r="BW1292" s="2"/>
      <c r="BX1292" s="2"/>
      <c r="BY1292" s="2"/>
      <c r="BZ1292" s="2"/>
      <c r="CA1292" s="2"/>
      <c r="CB1292" s="2"/>
      <c r="CC1292" s="2"/>
      <c r="CD1292" s="2"/>
      <c r="CE1292" s="2"/>
      <c r="CF1292" s="2"/>
      <c r="CG1292" s="2"/>
      <c r="CH1292" s="2"/>
      <c r="CI1292" s="2"/>
      <c r="CJ1292" s="2"/>
      <c r="CK1292" s="2"/>
      <c r="CL1292" s="2"/>
      <c r="CM1292" s="2"/>
      <c r="CN1292" s="2"/>
      <c r="CO1292" s="2"/>
      <c r="CP1292" s="2"/>
      <c r="CQ1292" s="2"/>
      <c r="CR1292" s="1"/>
      <c r="CS1292" s="1"/>
      <c r="CT1292" s="1"/>
      <c r="CU1292" s="1"/>
    </row>
    <row r="1293" spans="1:99" s="13" customFormat="1" ht="12" customHeight="1" x14ac:dyDescent="0.2">
      <c r="A1293" s="65">
        <v>43509</v>
      </c>
      <c r="B1293" s="1" t="s">
        <v>906</v>
      </c>
      <c r="C1293" s="1" t="s">
        <v>54</v>
      </c>
      <c r="D1293" s="60">
        <v>1987</v>
      </c>
      <c r="E1293" s="76">
        <v>2</v>
      </c>
      <c r="F1293" s="60">
        <v>12</v>
      </c>
      <c r="G1293" s="60">
        <v>12</v>
      </c>
      <c r="H1293" s="60" t="s">
        <v>22</v>
      </c>
      <c r="I1293" s="60" t="s">
        <v>825</v>
      </c>
      <c r="J1293" s="60" t="s">
        <v>16</v>
      </c>
      <c r="K1293" s="60">
        <f>IF(J1293="syllables",1,IF(J1293="trigrams",2,IF(J1293="strings",3,IF(J1293="visual array",4,IF(J1293="characters",5,IF(J1293="letters",6,IF(J1293="free forms",7,IF(J1293="odors",8,IF(J1293="words",9,IF(J1293="pictures",10,IF(J1293="object pictures",11,IF(J1293="faces",12,IF(J1293="names",13,IF(J1293="idioms",14,IF(J1293="grades",15,IF(J1293="syllable-digit pairs",16,IF(J1293="trigram-word pairs",17,IF(J1293="word-digit pairs",18,IF(J1293="English-Swahili pairs",19,IF(J1293="spatial position",20,IF(J1293="word pairs",21,IF(J1293="word triads",22,IF(J1293="generated words",23,IF(J1293="word definition pairs",24,IF(J1293="math problems",25,IF(J1293="famous faces",26,IF(J1293="famous names",27,IF(J1293="famous voices",28,IF(J1293="television programs",29,IF(J1293="race horses",30,IF(J1293="new vocabulary",31,IF(J1293="sentences",32,IF(J1293="concepts",33,IF(J1293="ad slides",34,IF(J1293="scenes",35,IF(J1293="famous scenes",36,IF(J1293="poems",37,IF(J1293="walk",38,IF(J1293="faces and events",39,IF(J1293="events and names",40,IF(J1293="flashbulb",41,IF(J1293="stories",42,IF(J1293="course material",43,IF(J1293="autobiographical",44,IF(J1293="novels",45,IF(J1293="public events",46,"99"))))))))))))))))))))))))))))))))))))))))))))))</f>
        <v>9</v>
      </c>
      <c r="L1293" s="60">
        <f>IF(J1293="syllables",1,IF(J1293="trigrams",1,IF(J1293="strings",1,IF(J1293="visual array",1,IF(J1293="characters",1,IF(J1293="letters",1,IF(J1293="free forms",1,IF(J1293="odors",2,IF(J1293="words",2,IF(J1293="pictures",2,IF(J1293="object pictures",2,IF(J1293="faces",2,IF(J1293="names",2,IF(J1293="idioms","2",IF(J1293="grades",2,IF(J1293="syllable-digit pairs",3,IF(J1293="trigram-word pairs",3,IF(J1293="word-digit pairs",3,IF(J1293="English-Swahili pairs",3,IF(J1293="spatial position",3,IF(J1293="word pairs",4,IF(J1293="word triads",4,IF(J1293="generated words",4,IF(J1293="word definition pairs",4,IF(J1293="math problems",4,IF(J1293="famous faces",4,IF(J1293="famous names",4,IF(J1293="famous voices",4,IF(J1293="television programs",4,IF(J1293="race horses",4,IF(J1293="new vocabulary",4,IF(J1293="sentences",5,IF(J1293="concepts",5,IF(J1293="ad slides",5,IF(J1293="scenes",5,IF(J1293="famous scenes",5,IF(J1293="poems",6,IF(J1293="walk",6,IF(J1293="faces and events",6,IF(J1293="events and names",6,IF(J1293="flashbulb",7,IF(J1293="stories",7,IF(J1293="course material",7,IF(J1293="autobiographical",7,IF(J1293="novels",7,IF(J1293="public events",7,"99"))))))))))))))))))))))))))))))))))))))))))))))</f>
        <v>2</v>
      </c>
      <c r="M1293" s="60">
        <v>1</v>
      </c>
      <c r="N1293" s="60">
        <v>2</v>
      </c>
      <c r="O1293" s="60">
        <v>0</v>
      </c>
      <c r="P1293" s="60"/>
      <c r="Q1293" s="60" t="s">
        <v>125</v>
      </c>
      <c r="R1293" s="60">
        <f>IF(Q1293="Free Recall",1,IF(Q1293="Cued Recall",2,IF(Q1293="Recognition",3,IF(Q1293="Multiple Choice",4,IF(Q1293="Savings",5,IF(Q1293="Stem Completion",6,IF(Q1293="Fragment Completion",7,IF(Q1293="anagram solution",8,IF(Q1293="Matching",9,IF(Q1293="Problem Solving",10,"99"))))))))))</f>
        <v>7</v>
      </c>
      <c r="S1293" s="60" t="s">
        <v>49</v>
      </c>
      <c r="T1293" s="59" t="s">
        <v>581</v>
      </c>
      <c r="U1293" s="60">
        <f>IF(T1293="within",1,0)</f>
        <v>1</v>
      </c>
      <c r="V1293" s="59">
        <v>72</v>
      </c>
      <c r="W1293" s="60">
        <f>F1293*V1293</f>
        <v>864</v>
      </c>
      <c r="X1293" s="60">
        <v>3</v>
      </c>
      <c r="Y1293" s="76">
        <f>AV1292</f>
        <v>45</v>
      </c>
      <c r="Z1293" s="60" t="s">
        <v>115</v>
      </c>
      <c r="AA1293" s="60">
        <v>345600</v>
      </c>
      <c r="AB1293" s="60" t="str">
        <f>IF(AA1293&lt;60,"1",IF(AA1293&lt;=43200,"2",IF(AA1293&lt;=777600,"3","4")))</f>
        <v>3</v>
      </c>
      <c r="AC1293" s="56">
        <f>AVERAGE(AV1292:DA1292)</f>
        <v>117615</v>
      </c>
      <c r="AD1293" s="60" t="str">
        <f>IF(AC1293&lt;60,"1",IF(AC1293&lt;=43200,"2",IF(AC1293&lt;=777600,"3","4")))</f>
        <v>3</v>
      </c>
      <c r="AE1293" s="76">
        <f>AA1293-Y1293</f>
        <v>345555</v>
      </c>
      <c r="AF1293" s="80">
        <f>AV1293</f>
        <v>0.62</v>
      </c>
      <c r="AG1293" s="56">
        <f>((AW1293-AV1293)+(AX1293-AW1293))/2</f>
        <v>-7.5000000000000011E-2</v>
      </c>
      <c r="AH1293" s="4"/>
      <c r="AI1293" s="56">
        <f>RSQ(AV1293:AX1293,AV1292:AX1292)</f>
        <v>0.38057608808738869</v>
      </c>
      <c r="AJ1293" s="109">
        <f>SLOPE(AV1293:AX1293,AV1292:AX1292)</f>
        <v>-2.5443594986642451E-7</v>
      </c>
      <c r="AK1293" s="56">
        <f>INTERCEPT(AV1293:AX1293,AV1292:AX1292)</f>
        <v>0.55659215091020608</v>
      </c>
      <c r="AL1293" s="56">
        <f>INDEX(LINEST(LN(AV1293:AX1293),LN(AV1292:AX1292),TRUE,TRUE),3,1)</f>
        <v>0.90920103514047867</v>
      </c>
      <c r="AM1293" s="56">
        <f>INDEX(LINEST(LN(AV1293:AX1293),LN(AV1292:AX1292)),1)</f>
        <v>-3.1740126568580003E-2</v>
      </c>
      <c r="AN1293" s="56">
        <f>EXP(INDEX(LINEST(LN(AV1293:AX1293),LN(AV1292:AX1292)),1,2))</f>
        <v>0.68411432584234166</v>
      </c>
      <c r="AO1293" s="82">
        <f>INDEX(LINEST((AV1293:AX1293),LN(AV1292:AX1292),TRUE,TRUE),3,1)</f>
        <v>0.89927058280574856</v>
      </c>
      <c r="AP1293" s="82">
        <f>INDEX(LINEST((AV1293:AX1293),LN(AV1292:AX1292)),1)</f>
        <v>-1.7214207875937734E-2</v>
      </c>
      <c r="AQ1293" s="83">
        <f>INDEX(LINEST(LN(AV1293:AX1293),SQRT(AV1292:AX1292),TRUE,TRUE),3,1)</f>
        <v>0.50236867886581427</v>
      </c>
      <c r="AR1293" s="116">
        <f>INDEX(LINEST(LN(AV1293:AX1293),SQRT((AV1292:AX1292))),1)</f>
        <v>-3.3561356405519444E-4</v>
      </c>
      <c r="AS1293" s="84">
        <f>INDEX(LINEST(1/(AV1293:AX1293),1/(SQRT(AV1292:AX1292)),TRUE,TRUE),3,1)</f>
        <v>0.99063028543529397</v>
      </c>
      <c r="AT1293" s="84">
        <f>INDEX(LINEST(1/(AV1293:AX1293),1/SQRT(AV1292:AX1292)),1)</f>
        <v>-3.3314866094442772</v>
      </c>
      <c r="AU1293" s="3"/>
      <c r="AV1293" s="53">
        <v>0.62</v>
      </c>
      <c r="AW1293" s="53">
        <v>0.49</v>
      </c>
      <c r="AX1293" s="53">
        <v>0.47</v>
      </c>
      <c r="AY1293" s="42"/>
      <c r="AZ1293" s="46"/>
      <c r="BA1293" s="42"/>
      <c r="BB1293" s="42"/>
      <c r="BC1293" s="42"/>
      <c r="BD1293" s="42"/>
      <c r="BE1293" s="42"/>
      <c r="BF1293" s="42"/>
      <c r="BG1293" s="42"/>
      <c r="BH1293" s="2"/>
      <c r="BI1293" s="2"/>
      <c r="BJ1293" s="2"/>
      <c r="BK1293" s="2"/>
      <c r="BL1293" s="2"/>
      <c r="BM1293" s="2"/>
      <c r="BN1293" s="2"/>
      <c r="BO1293" s="2"/>
      <c r="BP1293" s="2"/>
      <c r="BQ1293" s="2"/>
      <c r="BR1293" s="2"/>
      <c r="BS1293" s="2"/>
      <c r="BT1293" s="2"/>
      <c r="BU1293" s="2"/>
      <c r="BV1293" s="2"/>
      <c r="BW1293" s="2"/>
      <c r="BX1293" s="2"/>
      <c r="BY1293" s="2"/>
      <c r="BZ1293" s="2"/>
      <c r="CA1293" s="2"/>
      <c r="CB1293" s="2"/>
      <c r="CC1293" s="2"/>
      <c r="CD1293" s="2"/>
      <c r="CE1293" s="2"/>
      <c r="CF1293" s="2"/>
      <c r="CG1293" s="2"/>
      <c r="CH1293" s="2"/>
      <c r="CI1293" s="2"/>
      <c r="CJ1293" s="2"/>
      <c r="CK1293" s="2"/>
      <c r="CL1293" s="2"/>
      <c r="CM1293" s="2"/>
      <c r="CN1293" s="2"/>
      <c r="CO1293" s="2"/>
      <c r="CP1293" s="2"/>
      <c r="CQ1293" s="2"/>
      <c r="CR1293" s="1"/>
      <c r="CS1293" s="1"/>
      <c r="CT1293" s="1"/>
      <c r="CU1293" s="1"/>
    </row>
    <row r="1294" spans="1:99" s="13" customFormat="1" ht="12" customHeight="1" x14ac:dyDescent="0.2">
      <c r="A1294" s="65">
        <v>43509</v>
      </c>
      <c r="B1294" s="1"/>
      <c r="C1294" s="1"/>
      <c r="D1294" s="60"/>
      <c r="E1294" s="76"/>
      <c r="F1294" s="60"/>
      <c r="G1294" s="60"/>
      <c r="H1294" s="60"/>
      <c r="I1294" s="60"/>
      <c r="J1294" s="60"/>
      <c r="K1294" s="64"/>
      <c r="L1294" s="64"/>
      <c r="M1294" s="60"/>
      <c r="N1294" s="60"/>
      <c r="O1294" s="60"/>
      <c r="P1294" s="60"/>
      <c r="Q1294" s="60"/>
      <c r="R1294" s="60"/>
      <c r="S1294" s="60"/>
      <c r="T1294" s="60"/>
      <c r="U1294" s="60"/>
      <c r="V1294" s="60"/>
      <c r="W1294" s="60"/>
      <c r="X1294" s="60"/>
      <c r="Y1294" s="76"/>
      <c r="Z1294" s="60"/>
      <c r="AA1294" s="60"/>
      <c r="AB1294" s="60"/>
      <c r="AC1294" s="60"/>
      <c r="AD1294" s="60"/>
      <c r="AE1294" s="60"/>
      <c r="AF1294" s="80"/>
      <c r="AG1294" s="56"/>
      <c r="AH1294" s="4"/>
      <c r="AI1294" s="56"/>
      <c r="AJ1294" s="109"/>
      <c r="AK1294" s="56"/>
      <c r="AL1294" s="56"/>
      <c r="AM1294" s="56"/>
      <c r="AN1294" s="56"/>
      <c r="AO1294" s="56"/>
      <c r="AP1294" s="56"/>
      <c r="AQ1294" s="82"/>
      <c r="AR1294" s="115"/>
      <c r="AS1294" s="82"/>
      <c r="AT1294" s="82"/>
      <c r="AU1294" s="4"/>
      <c r="AV1294" s="25">
        <v>45</v>
      </c>
      <c r="AW1294" s="25">
        <f>2*60*60</f>
        <v>7200</v>
      </c>
      <c r="AX1294" s="25">
        <f>24*3600*4</f>
        <v>345600</v>
      </c>
      <c r="AY1294" s="42"/>
      <c r="AZ1294" s="46"/>
      <c r="BA1294" s="42"/>
      <c r="BB1294" s="42"/>
      <c r="BC1294" s="2"/>
      <c r="BD1294" s="2"/>
      <c r="BE1294" s="2"/>
      <c r="BF1294" s="2"/>
      <c r="BG1294" s="2"/>
      <c r="BH1294" s="2"/>
      <c r="BI1294" s="2"/>
      <c r="BJ1294" s="2"/>
      <c r="BK1294" s="2"/>
      <c r="BL1294" s="2"/>
      <c r="BM1294" s="2"/>
      <c r="BN1294" s="2"/>
      <c r="BO1294" s="2"/>
      <c r="BP1294" s="2"/>
      <c r="BQ1294" s="2"/>
      <c r="BR1294" s="2"/>
      <c r="BS1294" s="2"/>
      <c r="BT1294" s="2"/>
      <c r="BU1294" s="2"/>
      <c r="BV1294" s="2"/>
      <c r="BW1294" s="2"/>
      <c r="BX1294" s="2"/>
      <c r="BY1294" s="2"/>
      <c r="BZ1294" s="2"/>
      <c r="CA1294" s="2"/>
      <c r="CB1294" s="2"/>
      <c r="CC1294" s="2"/>
      <c r="CD1294" s="2"/>
      <c r="CE1294" s="2"/>
      <c r="CF1294" s="2"/>
      <c r="CG1294" s="2"/>
      <c r="CH1294" s="2"/>
      <c r="CI1294" s="2"/>
      <c r="CJ1294" s="2"/>
      <c r="CK1294" s="2"/>
      <c r="CL1294" s="2"/>
      <c r="CM1294" s="2"/>
      <c r="CN1294" s="2"/>
      <c r="CO1294" s="2"/>
      <c r="CP1294" s="2"/>
      <c r="CQ1294" s="2"/>
      <c r="CR1294" s="1"/>
      <c r="CS1294" s="1"/>
      <c r="CT1294" s="1"/>
      <c r="CU1294" s="1"/>
    </row>
    <row r="1295" spans="1:99" s="13" customFormat="1" ht="12" customHeight="1" x14ac:dyDescent="0.2">
      <c r="A1295" s="65">
        <v>43509</v>
      </c>
      <c r="B1295" s="1" t="s">
        <v>906</v>
      </c>
      <c r="C1295" s="1" t="s">
        <v>54</v>
      </c>
      <c r="D1295" s="60">
        <v>1987</v>
      </c>
      <c r="E1295" s="76">
        <v>2</v>
      </c>
      <c r="F1295" s="60">
        <v>12</v>
      </c>
      <c r="G1295" s="60">
        <v>12</v>
      </c>
      <c r="H1295" s="60" t="s">
        <v>38</v>
      </c>
      <c r="I1295" s="60" t="s">
        <v>824</v>
      </c>
      <c r="J1295" s="60" t="s">
        <v>16</v>
      </c>
      <c r="K1295" s="60">
        <f>IF(J1295="syllables",1,IF(J1295="trigrams",2,IF(J1295="strings",3,IF(J1295="visual array",4,IF(J1295="characters",5,IF(J1295="letters",6,IF(J1295="free forms",7,IF(J1295="odors",8,IF(J1295="words",9,IF(J1295="pictures",10,IF(J1295="object pictures",11,IF(J1295="faces",12,IF(J1295="names",13,IF(J1295="idioms",14,IF(J1295="grades",15,IF(J1295="syllable-digit pairs",16,IF(J1295="trigram-word pairs",17,IF(J1295="word-digit pairs",18,IF(J1295="English-Swahili pairs",19,IF(J1295="spatial position",20,IF(J1295="word pairs",21,IF(J1295="word triads",22,IF(J1295="generated words",23,IF(J1295="word definition pairs",24,IF(J1295="math problems",25,IF(J1295="famous faces",26,IF(J1295="famous names",27,IF(J1295="famous voices",28,IF(J1295="television programs",29,IF(J1295="race horses",30,IF(J1295="new vocabulary",31,IF(J1295="sentences",32,IF(J1295="concepts",33,IF(J1295="ad slides",34,IF(J1295="scenes",35,IF(J1295="famous scenes",36,IF(J1295="poems",37,IF(J1295="walk",38,IF(J1295="faces and events",39,IF(J1295="events and names",40,IF(J1295="flashbulb",41,IF(J1295="stories",42,IF(J1295="course material",43,IF(J1295="autobiographical",44,IF(J1295="novels",45,IF(J1295="public events",46,"99"))))))))))))))))))))))))))))))))))))))))))))))</f>
        <v>9</v>
      </c>
      <c r="L1295" s="60">
        <f>IF(J1295="syllables",1,IF(J1295="trigrams",1,IF(J1295="strings",1,IF(J1295="visual array",1,IF(J1295="characters",1,IF(J1295="letters",1,IF(J1295="free forms",1,IF(J1295="odors",2,IF(J1295="words",2,IF(J1295="pictures",2,IF(J1295="object pictures",2,IF(J1295="faces",2,IF(J1295="names",2,IF(J1295="idioms","2",IF(J1295="grades",2,IF(J1295="syllable-digit pairs",3,IF(J1295="trigram-word pairs",3,IF(J1295="word-digit pairs",3,IF(J1295="English-Swahili pairs",3,IF(J1295="spatial position",3,IF(J1295="word pairs",4,IF(J1295="word triads",4,IF(J1295="generated words",4,IF(J1295="word definition pairs",4,IF(J1295="math problems",4,IF(J1295="famous faces",4,IF(J1295="famous names",4,IF(J1295="famous voices",4,IF(J1295="television programs",4,IF(J1295="race horses",4,IF(J1295="new vocabulary",4,IF(J1295="sentences",5,IF(J1295="concepts",5,IF(J1295="ad slides",5,IF(J1295="scenes",5,IF(J1295="famous scenes",5,IF(J1295="poems",6,IF(J1295="walk",6,IF(J1295="faces and events",6,IF(J1295="events and names",6,IF(J1295="flashbulb",7,IF(J1295="stories",7,IF(J1295="course material",7,IF(J1295="autobiographical",7,IF(J1295="novels",7,IF(J1295="public events",7,"99"))))))))))))))))))))))))))))))))))))))))))))))</f>
        <v>2</v>
      </c>
      <c r="M1295" s="60">
        <v>1</v>
      </c>
      <c r="N1295" s="60">
        <v>2</v>
      </c>
      <c r="O1295" s="60">
        <v>0</v>
      </c>
      <c r="P1295" s="60"/>
      <c r="Q1295" s="60" t="s">
        <v>34</v>
      </c>
      <c r="R1295" s="60">
        <f>IF(Q1295="Free Recall",1,IF(Q1295="Cued Recall",2,IF(Q1295="Recognition",3,IF(Q1295="Multiple Choice",4,IF(Q1295="Savings",5,IF(Q1295="Stem Completion",6,IF(Q1295="Fragment Completion",7,IF(Q1295="anagram solution",8,IF(Q1295="Matching",9,IF(Q1295="Problem Solving",10,"99"))))))))))</f>
        <v>3</v>
      </c>
      <c r="S1295" s="60" t="s">
        <v>15</v>
      </c>
      <c r="T1295" s="59" t="s">
        <v>581</v>
      </c>
      <c r="U1295" s="60">
        <f>IF(T1295="within",1,0)</f>
        <v>1</v>
      </c>
      <c r="V1295" s="59">
        <v>72</v>
      </c>
      <c r="W1295" s="60">
        <f>F1295*V1295</f>
        <v>864</v>
      </c>
      <c r="X1295" s="60">
        <v>3</v>
      </c>
      <c r="Y1295" s="76">
        <f>AV1294</f>
        <v>45</v>
      </c>
      <c r="Z1295" s="60" t="s">
        <v>115</v>
      </c>
      <c r="AA1295" s="60">
        <v>345600</v>
      </c>
      <c r="AB1295" s="60" t="str">
        <f>IF(AA1295&lt;60,"1",IF(AA1295&lt;=43200,"2",IF(AA1295&lt;=777600,"3","4")))</f>
        <v>3</v>
      </c>
      <c r="AC1295" s="56">
        <f>AVERAGE(AV1294:DA1294)</f>
        <v>117615</v>
      </c>
      <c r="AD1295" s="60" t="str">
        <f>IF(AC1295&lt;60,"1",IF(AC1295&lt;=43200,"2",IF(AC1295&lt;=777600,"3","4")))</f>
        <v>3</v>
      </c>
      <c r="AE1295" s="76">
        <f>AA1295-Y1295</f>
        <v>345555</v>
      </c>
      <c r="AF1295" s="80">
        <f>AV1295</f>
        <v>0.98</v>
      </c>
      <c r="AG1295" s="56">
        <f>((AW1295-AV1295)+(AX1295-AW1295))/2</f>
        <v>-6.5000000000000002E-2</v>
      </c>
      <c r="AH1295" s="4"/>
      <c r="AI1295" s="56">
        <f>RSQ(AV1295:AX1295,AV1294:AX1294)</f>
        <v>0.72691943672316151</v>
      </c>
      <c r="AJ1295" s="109">
        <f>SLOPE(AV1295:AX1295,AV1294:AX1294)</f>
        <v>-2.809158137868501E-7</v>
      </c>
      <c r="AK1295" s="56">
        <f>INTERCEPT(AV1295:AX1295,AV1294:AX1294)</f>
        <v>0.94637324677187384</v>
      </c>
      <c r="AL1295" s="56">
        <f>INDEX(LINEST(LN(AV1295:AX1295),LN(AV1294:AX1294),TRUE,TRUE),3,1)</f>
        <v>0.99712844686621704</v>
      </c>
      <c r="AM1295" s="56">
        <f>INDEX(LINEST(LN(AV1295:AX1295),LN(AV1294:AX1294)),1)</f>
        <v>-1.5841644314709771E-2</v>
      </c>
      <c r="AN1295" s="56">
        <f>EXP(INDEX(LINEST(LN(AV1295:AX1295),LN(AV1294:AX1294)),1,2))</f>
        <v>1.0428956779406351</v>
      </c>
      <c r="AO1295" s="82">
        <f>INDEX(LINEST((AV1295:AX1295),LN(AV1294:AX1294),TRUE,TRUE),3,1)</f>
        <v>0.99890083997409274</v>
      </c>
      <c r="AP1295" s="82">
        <f>INDEX(LINEST((AV1295:AX1295),LN(AV1294:AX1294)),1)</f>
        <v>-1.4493669742721923E-2</v>
      </c>
      <c r="AQ1295" s="83">
        <f>INDEX(LINEST(LN(AV1295:AX1295),SQRT(AV1294:AX1294),TRUE,TRUE),3,1)</f>
        <v>0.83124351306434408</v>
      </c>
      <c r="AR1295" s="116">
        <f>INDEX(LINEST(LN(AV1295:AX1295),SQRT((AV1294:AX1294))),1)</f>
        <v>-2.0574930337823003E-4</v>
      </c>
      <c r="AS1295" s="84">
        <f>INDEX(LINEST(1/(AV1295:AX1295),1/(SQRT(AV1294:AX1294)),TRUE,TRUE),3,1)</f>
        <v>0.80378399123183941</v>
      </c>
      <c r="AT1295" s="84">
        <f>INDEX(LINEST(1/(AV1295:AX1295),1/SQRT(AV1294:AX1294)),1)</f>
        <v>-0.84975644168667497</v>
      </c>
      <c r="AU1295" s="3"/>
      <c r="AV1295" s="53">
        <v>0.98</v>
      </c>
      <c r="AW1295" s="53">
        <v>0.91</v>
      </c>
      <c r="AX1295" s="53">
        <v>0.85</v>
      </c>
      <c r="AY1295" s="42"/>
      <c r="AZ1295" s="46"/>
      <c r="BA1295" s="42"/>
      <c r="BB1295" s="42"/>
      <c r="BC1295" s="2"/>
      <c r="BD1295" s="2"/>
      <c r="BE1295" s="2"/>
      <c r="BF1295" s="2"/>
      <c r="BG1295" s="2"/>
      <c r="BH1295" s="2"/>
      <c r="BI1295" s="2"/>
      <c r="BJ1295" s="2"/>
      <c r="BK1295" s="2"/>
      <c r="BL1295" s="2"/>
      <c r="BM1295" s="2"/>
      <c r="BN1295" s="2"/>
      <c r="BO1295" s="2"/>
      <c r="BP1295" s="2"/>
      <c r="BQ1295" s="2"/>
      <c r="BR1295" s="2"/>
      <c r="BS1295" s="2"/>
      <c r="BT1295" s="2"/>
      <c r="BU1295" s="2"/>
      <c r="BV1295" s="2"/>
      <c r="BW1295" s="2"/>
      <c r="BX1295" s="2"/>
      <c r="BY1295" s="2"/>
      <c r="BZ1295" s="2"/>
      <c r="CA1295" s="2"/>
      <c r="CB1295" s="2"/>
      <c r="CC1295" s="2"/>
      <c r="CD1295" s="2"/>
      <c r="CE1295" s="2"/>
      <c r="CF1295" s="2"/>
      <c r="CG1295" s="2"/>
      <c r="CH1295" s="2"/>
      <c r="CI1295" s="2"/>
      <c r="CJ1295" s="2"/>
      <c r="CK1295" s="2"/>
      <c r="CL1295" s="2"/>
      <c r="CM1295" s="2"/>
      <c r="CN1295" s="2"/>
      <c r="CO1295" s="2"/>
      <c r="CP1295" s="2"/>
      <c r="CQ1295" s="2"/>
      <c r="CR1295" s="1"/>
      <c r="CS1295" s="1"/>
      <c r="CT1295" s="1"/>
      <c r="CU1295" s="1"/>
    </row>
    <row r="1296" spans="1:99" s="13" customFormat="1" ht="12" customHeight="1" x14ac:dyDescent="0.2">
      <c r="A1296" s="65">
        <v>43509</v>
      </c>
      <c r="B1296" s="1"/>
      <c r="C1296" s="1"/>
      <c r="D1296" s="60"/>
      <c r="E1296" s="76"/>
      <c r="F1296" s="60"/>
      <c r="G1296" s="60"/>
      <c r="H1296" s="60"/>
      <c r="I1296" s="60"/>
      <c r="J1296" s="60"/>
      <c r="K1296" s="64"/>
      <c r="L1296" s="64"/>
      <c r="M1296" s="60"/>
      <c r="N1296" s="60"/>
      <c r="O1296" s="60"/>
      <c r="P1296" s="60"/>
      <c r="Q1296" s="60"/>
      <c r="R1296" s="60"/>
      <c r="S1296" s="60"/>
      <c r="T1296" s="60"/>
      <c r="U1296" s="60"/>
      <c r="V1296" s="60"/>
      <c r="W1296" s="60"/>
      <c r="X1296" s="60"/>
      <c r="Y1296" s="76"/>
      <c r="Z1296" s="60"/>
      <c r="AA1296" s="60"/>
      <c r="AB1296" s="60"/>
      <c r="AC1296" s="60"/>
      <c r="AD1296" s="60"/>
      <c r="AE1296" s="60"/>
      <c r="AF1296" s="80"/>
      <c r="AG1296" s="56"/>
      <c r="AH1296" s="4"/>
      <c r="AI1296" s="56"/>
      <c r="AJ1296" s="109"/>
      <c r="AK1296" s="56"/>
      <c r="AL1296" s="56"/>
      <c r="AM1296" s="56"/>
      <c r="AN1296" s="56"/>
      <c r="AO1296" s="56"/>
      <c r="AP1296" s="56"/>
      <c r="AQ1296" s="82"/>
      <c r="AR1296" s="115"/>
      <c r="AS1296" s="82"/>
      <c r="AT1296" s="82"/>
      <c r="AU1296" s="4"/>
      <c r="AV1296" s="25">
        <v>45</v>
      </c>
      <c r="AW1296" s="25">
        <f>2*60*60</f>
        <v>7200</v>
      </c>
      <c r="AX1296" s="25">
        <f>24*3600*4</f>
        <v>345600</v>
      </c>
      <c r="AY1296" s="42"/>
      <c r="AZ1296" s="46"/>
      <c r="BA1296" s="42"/>
      <c r="BB1296" s="42"/>
      <c r="BC1296" s="2"/>
      <c r="BD1296" s="2"/>
      <c r="BE1296" s="2"/>
      <c r="BF1296" s="2"/>
      <c r="BG1296" s="2"/>
      <c r="BH1296" s="2"/>
      <c r="BI1296" s="2"/>
      <c r="BJ1296" s="2"/>
      <c r="BK1296" s="2"/>
      <c r="BL1296" s="2"/>
      <c r="BM1296" s="2"/>
      <c r="BN1296" s="2"/>
      <c r="BO1296" s="2"/>
      <c r="BP1296" s="2"/>
      <c r="BQ1296" s="2"/>
      <c r="BR1296" s="2"/>
      <c r="BS1296" s="2"/>
      <c r="BT1296" s="2"/>
      <c r="BU1296" s="2"/>
      <c r="BV1296" s="2"/>
      <c r="BW1296" s="2"/>
      <c r="BX1296" s="2"/>
      <c r="BY1296" s="2"/>
      <c r="BZ1296" s="2"/>
      <c r="CA1296" s="2"/>
      <c r="CB1296" s="2"/>
      <c r="CC1296" s="2"/>
      <c r="CD1296" s="2"/>
      <c r="CE1296" s="2"/>
      <c r="CF1296" s="2"/>
      <c r="CG1296" s="2"/>
      <c r="CH1296" s="2"/>
      <c r="CI1296" s="2"/>
      <c r="CJ1296" s="2"/>
      <c r="CK1296" s="2"/>
      <c r="CL1296" s="2"/>
      <c r="CM1296" s="2"/>
      <c r="CN1296" s="2"/>
      <c r="CO1296" s="2"/>
      <c r="CP1296" s="2"/>
      <c r="CQ1296" s="2"/>
      <c r="CR1296" s="1"/>
      <c r="CS1296" s="1"/>
      <c r="CT1296" s="1"/>
      <c r="CU1296" s="1"/>
    </row>
    <row r="1297" spans="1:99" s="13" customFormat="1" ht="12" customHeight="1" x14ac:dyDescent="0.2">
      <c r="A1297" s="65">
        <v>43509</v>
      </c>
      <c r="B1297" s="1" t="s">
        <v>906</v>
      </c>
      <c r="C1297" s="1" t="s">
        <v>54</v>
      </c>
      <c r="D1297" s="60">
        <v>1987</v>
      </c>
      <c r="E1297" s="76">
        <v>2</v>
      </c>
      <c r="F1297" s="60">
        <v>12</v>
      </c>
      <c r="G1297" s="60">
        <v>12</v>
      </c>
      <c r="H1297" s="60" t="s">
        <v>38</v>
      </c>
      <c r="I1297" s="60" t="s">
        <v>825</v>
      </c>
      <c r="J1297" s="60" t="s">
        <v>16</v>
      </c>
      <c r="K1297" s="60">
        <f>IF(J1297="syllables",1,IF(J1297="trigrams",2,IF(J1297="strings",3,IF(J1297="visual array",4,IF(J1297="characters",5,IF(J1297="letters",6,IF(J1297="free forms",7,IF(J1297="odors",8,IF(J1297="words",9,IF(J1297="pictures",10,IF(J1297="object pictures",11,IF(J1297="faces",12,IF(J1297="names",13,IF(J1297="idioms",14,IF(J1297="grades",15,IF(J1297="syllable-digit pairs",16,IF(J1297="trigram-word pairs",17,IF(J1297="word-digit pairs",18,IF(J1297="English-Swahili pairs",19,IF(J1297="spatial position",20,IF(J1297="word pairs",21,IF(J1297="word triads",22,IF(J1297="generated words",23,IF(J1297="word definition pairs",24,IF(J1297="math problems",25,IF(J1297="famous faces",26,IF(J1297="famous names",27,IF(J1297="famous voices",28,IF(J1297="television programs",29,IF(J1297="race horses",30,IF(J1297="new vocabulary",31,IF(J1297="sentences",32,IF(J1297="concepts",33,IF(J1297="ad slides",34,IF(J1297="scenes",35,IF(J1297="famous scenes",36,IF(J1297="poems",37,IF(J1297="walk",38,IF(J1297="faces and events",39,IF(J1297="events and names",40,IF(J1297="flashbulb",41,IF(J1297="stories",42,IF(J1297="course material",43,IF(J1297="autobiographical",44,IF(J1297="novels",45,IF(J1297="public events",46,"99"))))))))))))))))))))))))))))))))))))))))))))))</f>
        <v>9</v>
      </c>
      <c r="L1297" s="60">
        <f>IF(J1297="syllables",1,IF(J1297="trigrams",1,IF(J1297="strings",1,IF(J1297="visual array",1,IF(J1297="characters",1,IF(J1297="letters",1,IF(J1297="free forms",1,IF(J1297="odors",2,IF(J1297="words",2,IF(J1297="pictures",2,IF(J1297="object pictures",2,IF(J1297="faces",2,IF(J1297="names",2,IF(J1297="idioms","2",IF(J1297="grades",2,IF(J1297="syllable-digit pairs",3,IF(J1297="trigram-word pairs",3,IF(J1297="word-digit pairs",3,IF(J1297="English-Swahili pairs",3,IF(J1297="spatial position",3,IF(J1297="word pairs",4,IF(J1297="word triads",4,IF(J1297="generated words",4,IF(J1297="word definition pairs",4,IF(J1297="math problems",4,IF(J1297="famous faces",4,IF(J1297="famous names",4,IF(J1297="famous voices",4,IF(J1297="television programs",4,IF(J1297="race horses",4,IF(J1297="new vocabulary",4,IF(J1297="sentences",5,IF(J1297="concepts",5,IF(J1297="ad slides",5,IF(J1297="scenes",5,IF(J1297="famous scenes",5,IF(J1297="poems",6,IF(J1297="walk",6,IF(J1297="faces and events",6,IF(J1297="events and names",6,IF(J1297="flashbulb",7,IF(J1297="stories",7,IF(J1297="course material",7,IF(J1297="autobiographical",7,IF(J1297="novels",7,IF(J1297="public events",7,"99"))))))))))))))))))))))))))))))))))))))))))))))</f>
        <v>2</v>
      </c>
      <c r="M1297" s="60">
        <v>1</v>
      </c>
      <c r="N1297" s="60">
        <v>2</v>
      </c>
      <c r="O1297" s="60">
        <v>0</v>
      </c>
      <c r="P1297" s="60"/>
      <c r="Q1297" s="60" t="s">
        <v>34</v>
      </c>
      <c r="R1297" s="60">
        <f>IF(Q1297="Free Recall",1,IF(Q1297="Cued Recall",2,IF(Q1297="Recognition",3,IF(Q1297="Multiple Choice",4,IF(Q1297="Savings",5,IF(Q1297="Stem Completion",6,IF(Q1297="Fragment Completion",7,IF(Q1297="anagram solution",8,IF(Q1297="Matching",9,IF(Q1297="Problem Solving",10,"99"))))))))))</f>
        <v>3</v>
      </c>
      <c r="S1297" s="60" t="s">
        <v>15</v>
      </c>
      <c r="T1297" s="59" t="s">
        <v>581</v>
      </c>
      <c r="U1297" s="60">
        <f>IF(T1297="within",1,0)</f>
        <v>1</v>
      </c>
      <c r="V1297" s="59">
        <v>72</v>
      </c>
      <c r="W1297" s="60">
        <f>F1297*V1297</f>
        <v>864</v>
      </c>
      <c r="X1297" s="60">
        <v>3</v>
      </c>
      <c r="Y1297" s="76">
        <f>AV1296</f>
        <v>45</v>
      </c>
      <c r="Z1297" s="60" t="s">
        <v>115</v>
      </c>
      <c r="AA1297" s="60">
        <v>345600</v>
      </c>
      <c r="AB1297" s="60" t="str">
        <f>IF(AA1297&lt;60,"1",IF(AA1297&lt;=43200,"2",IF(AA1297&lt;=777600,"3","4")))</f>
        <v>3</v>
      </c>
      <c r="AC1297" s="56">
        <f>AVERAGE(AV1296:DA1296)</f>
        <v>117615</v>
      </c>
      <c r="AD1297" s="60" t="str">
        <f>IF(AC1297&lt;60,"1",IF(AC1297&lt;=43200,"2",IF(AC1297&lt;=777600,"3","4")))</f>
        <v>3</v>
      </c>
      <c r="AE1297" s="76">
        <f>AA1297-Y1297</f>
        <v>345555</v>
      </c>
      <c r="AF1297" s="80">
        <f>AV1297</f>
        <v>0.79</v>
      </c>
      <c r="AG1297" s="56">
        <f>((AW1297-AV1297)+(AX1297-AW1297))/2</f>
        <v>-2.5000000000000022E-2</v>
      </c>
      <c r="AH1297" s="4"/>
      <c r="AI1297" s="56">
        <f>RSQ(AV1297:AX1297,AV1296:AX1296)</f>
        <v>0.44654593958019129</v>
      </c>
      <c r="AJ1297" s="109">
        <f>SLOPE(AV1297:AX1297,AV1296:AX1296)</f>
        <v>-8.9531097135366722E-8</v>
      </c>
      <c r="AK1297" s="56">
        <f>INTERCEPT(AV1297:AX1297,AV1296:AX1296)</f>
        <v>0.77053019998957628</v>
      </c>
      <c r="AL1297" s="56">
        <f>INDEX(LINEST(LN(AV1297:AX1297),LN(AV1296:AX1296),TRUE,TRUE),3,1)</f>
        <v>0.93857173382062575</v>
      </c>
      <c r="AM1297" s="56">
        <f>INDEX(LINEST(LN(AV1297:AX1297),LN(AV1296:AX1296)),1)</f>
        <v>-7.4565124405694197E-3</v>
      </c>
      <c r="AN1297" s="56">
        <f>EXP(INDEX(LINEST(LN(AV1297:AX1297),LN(AV1296:AX1296)),1,2))</f>
        <v>0.80928716978354664</v>
      </c>
      <c r="AO1297" s="82">
        <f>INDEX(LINEST((AV1297:AX1297),LN(AV1296:AX1296),TRUE,TRUE),3,1)</f>
        <v>0.9359169465285202</v>
      </c>
      <c r="AP1297" s="82">
        <f>INDEX(LINEST((AV1297:AX1297),LN(AV1296:AX1296)),1)</f>
        <v>-5.7048419156961157E-3</v>
      </c>
      <c r="AQ1297" s="83">
        <f>INDEX(LINEST(LN(AV1297:AX1297),SQRT(AV1296:AX1296),TRUE,TRUE),3,1)</f>
        <v>0.55786694645121671</v>
      </c>
      <c r="AR1297" s="116">
        <f>INDEX(LINEST(LN(AV1297:AX1297),SQRT((AV1296:AX1296))),1)</f>
        <v>-8.1774304772536195E-5</v>
      </c>
      <c r="AS1297" s="84">
        <f>INDEX(LINEST(1/(AV1297:AX1297),1/(SQRT(AV1296:AX1296)),TRUE,TRUE),3,1)</f>
        <v>0.98056018030235226</v>
      </c>
      <c r="AT1297" s="84">
        <f>INDEX(LINEST(1/(AV1297:AX1297),1/SQRT(AV1296:AX1296)),1)</f>
        <v>-0.54231308290077185</v>
      </c>
      <c r="AU1297" s="3"/>
      <c r="AV1297" s="53">
        <v>0.79</v>
      </c>
      <c r="AW1297" s="53">
        <v>0.75</v>
      </c>
      <c r="AX1297" s="53">
        <v>0.74</v>
      </c>
      <c r="AY1297" s="42"/>
      <c r="AZ1297" s="46"/>
      <c r="BA1297" s="42"/>
      <c r="BB1297" s="42"/>
      <c r="BC1297" s="2"/>
      <c r="BD1297" s="2"/>
      <c r="BE1297" s="2"/>
      <c r="BF1297" s="2"/>
      <c r="BG1297" s="2"/>
      <c r="BH1297" s="2"/>
      <c r="BI1297" s="2"/>
      <c r="BJ1297" s="2"/>
      <c r="BK1297" s="2"/>
      <c r="BL1297" s="2"/>
      <c r="BM1297" s="2"/>
      <c r="BN1297" s="2"/>
      <c r="BO1297" s="2"/>
      <c r="BP1297" s="2"/>
      <c r="BQ1297" s="2"/>
      <c r="BR1297" s="2"/>
      <c r="BS1297" s="2"/>
      <c r="BT1297" s="2"/>
      <c r="BU1297" s="2"/>
      <c r="BV1297" s="2"/>
      <c r="BW1297" s="2"/>
      <c r="BX1297" s="2"/>
      <c r="BY1297" s="2"/>
      <c r="BZ1297" s="2"/>
      <c r="CA1297" s="2"/>
      <c r="CB1297" s="2"/>
      <c r="CC1297" s="2"/>
      <c r="CD1297" s="2"/>
      <c r="CE1297" s="2"/>
      <c r="CF1297" s="2"/>
      <c r="CG1297" s="2"/>
      <c r="CH1297" s="2"/>
      <c r="CI1297" s="2"/>
      <c r="CJ1297" s="2"/>
      <c r="CK1297" s="2"/>
      <c r="CL1297" s="2"/>
      <c r="CM1297" s="2"/>
      <c r="CN1297" s="2"/>
      <c r="CO1297" s="2"/>
      <c r="CP1297" s="2"/>
      <c r="CQ1297" s="2"/>
      <c r="CR1297" s="1"/>
      <c r="CS1297" s="1"/>
      <c r="CT1297" s="1"/>
      <c r="CU1297" s="1"/>
    </row>
    <row r="1298" spans="1:99" s="13" customFormat="1" ht="12" customHeight="1" x14ac:dyDescent="0.2">
      <c r="A1298" s="65">
        <v>43509</v>
      </c>
      <c r="B1298" s="1"/>
      <c r="C1298" s="1"/>
      <c r="D1298" s="60"/>
      <c r="E1298" s="76"/>
      <c r="F1298" s="60"/>
      <c r="G1298" s="60"/>
      <c r="H1298" s="60"/>
      <c r="I1298" s="60"/>
      <c r="J1298" s="60"/>
      <c r="K1298" s="64"/>
      <c r="L1298" s="64"/>
      <c r="M1298" s="60"/>
      <c r="N1298" s="60"/>
      <c r="O1298" s="60"/>
      <c r="P1298" s="60"/>
      <c r="Q1298" s="60"/>
      <c r="R1298" s="60"/>
      <c r="S1298" s="60"/>
      <c r="T1298" s="60"/>
      <c r="U1298" s="60"/>
      <c r="V1298" s="60"/>
      <c r="W1298" s="60"/>
      <c r="X1298" s="60"/>
      <c r="Y1298" s="76"/>
      <c r="Z1298" s="60"/>
      <c r="AA1298" s="60"/>
      <c r="AB1298" s="60"/>
      <c r="AC1298" s="60"/>
      <c r="AD1298" s="60"/>
      <c r="AE1298" s="60"/>
      <c r="AF1298" s="80"/>
      <c r="AG1298" s="56"/>
      <c r="AH1298" s="4"/>
      <c r="AI1298" s="56"/>
      <c r="AJ1298" s="109"/>
      <c r="AK1298" s="56"/>
      <c r="AL1298" s="56"/>
      <c r="AM1298" s="56"/>
      <c r="AN1298" s="56"/>
      <c r="AO1298" s="56"/>
      <c r="AP1298" s="56"/>
      <c r="AQ1298" s="82"/>
      <c r="AR1298" s="115"/>
      <c r="AS1298" s="82"/>
      <c r="AT1298" s="82"/>
      <c r="AU1298" s="4"/>
      <c r="AV1298" s="25">
        <v>45</v>
      </c>
      <c r="AW1298" s="25">
        <f>2*60*60</f>
        <v>7200</v>
      </c>
      <c r="AX1298" s="25">
        <f>24*3600*4</f>
        <v>345600</v>
      </c>
      <c r="AY1298" s="42"/>
      <c r="AZ1298" s="46"/>
      <c r="BA1298" s="42"/>
      <c r="BB1298" s="42"/>
      <c r="BC1298" s="2"/>
      <c r="BD1298" s="2"/>
      <c r="BE1298" s="2"/>
      <c r="BF1298" s="2"/>
      <c r="BG1298" s="2"/>
      <c r="BH1298" s="2"/>
      <c r="BI1298" s="2"/>
      <c r="BJ1298" s="2"/>
      <c r="BK1298" s="2"/>
      <c r="BL1298" s="2"/>
      <c r="BM1298" s="2"/>
      <c r="BN1298" s="2"/>
      <c r="BO1298" s="2"/>
      <c r="BP1298" s="2"/>
      <c r="BQ1298" s="2"/>
      <c r="BR1298" s="2"/>
      <c r="BS1298" s="2"/>
      <c r="BT1298" s="2"/>
      <c r="BU1298" s="2"/>
      <c r="BV1298" s="2"/>
      <c r="BW1298" s="2"/>
      <c r="BX1298" s="2"/>
      <c r="BY1298" s="2"/>
      <c r="BZ1298" s="2"/>
      <c r="CA1298" s="2"/>
      <c r="CB1298" s="2"/>
      <c r="CC1298" s="2"/>
      <c r="CD1298" s="2"/>
      <c r="CE1298" s="2"/>
      <c r="CF1298" s="2"/>
      <c r="CG1298" s="2"/>
      <c r="CH1298" s="2"/>
      <c r="CI1298" s="2"/>
      <c r="CJ1298" s="2"/>
      <c r="CK1298" s="2"/>
      <c r="CL1298" s="2"/>
      <c r="CM1298" s="2"/>
      <c r="CN1298" s="2"/>
      <c r="CO1298" s="2"/>
      <c r="CP1298" s="2"/>
      <c r="CQ1298" s="2"/>
      <c r="CR1298" s="1"/>
      <c r="CS1298" s="1"/>
      <c r="CT1298" s="1"/>
      <c r="CU1298" s="1"/>
    </row>
    <row r="1299" spans="1:99" s="13" customFormat="1" ht="12" customHeight="1" x14ac:dyDescent="0.2">
      <c r="A1299" s="65">
        <v>43509</v>
      </c>
      <c r="B1299" s="1" t="s">
        <v>906</v>
      </c>
      <c r="C1299" s="1" t="s">
        <v>54</v>
      </c>
      <c r="D1299" s="60">
        <v>1987</v>
      </c>
      <c r="E1299" s="76">
        <v>3</v>
      </c>
      <c r="F1299" s="60">
        <v>12</v>
      </c>
      <c r="G1299" s="60">
        <v>12</v>
      </c>
      <c r="H1299" s="60" t="s">
        <v>22</v>
      </c>
      <c r="I1299" s="60" t="s">
        <v>824</v>
      </c>
      <c r="J1299" s="60" t="s">
        <v>16</v>
      </c>
      <c r="K1299" s="60">
        <f>IF(J1299="syllables",1,IF(J1299="trigrams",2,IF(J1299="strings",3,IF(J1299="visual array",4,IF(J1299="characters",5,IF(J1299="letters",6,IF(J1299="free forms",7,IF(J1299="odors",8,IF(J1299="words",9,IF(J1299="pictures",10,IF(J1299="object pictures",11,IF(J1299="faces",12,IF(J1299="names",13,IF(J1299="idioms",14,IF(J1299="grades",15,IF(J1299="syllable-digit pairs",16,IF(J1299="trigram-word pairs",17,IF(J1299="word-digit pairs",18,IF(J1299="English-Swahili pairs",19,IF(J1299="spatial position",20,IF(J1299="word pairs",21,IF(J1299="word triads",22,IF(J1299="generated words",23,IF(J1299="word definition pairs",24,IF(J1299="math problems",25,IF(J1299="famous faces",26,IF(J1299="famous names",27,IF(J1299="famous voices",28,IF(J1299="television programs",29,IF(J1299="race horses",30,IF(J1299="new vocabulary",31,IF(J1299="sentences",32,IF(J1299="concepts",33,IF(J1299="ad slides",34,IF(J1299="scenes",35,IF(J1299="famous scenes",36,IF(J1299="poems",37,IF(J1299="walk",38,IF(J1299="faces and events",39,IF(J1299="events and names",40,IF(J1299="flashbulb",41,IF(J1299="stories",42,IF(J1299="course material",43,IF(J1299="autobiographical",44,IF(J1299="novels",45,IF(J1299="public events",46,"99"))))))))))))))))))))))))))))))))))))))))))))))</f>
        <v>9</v>
      </c>
      <c r="L1299" s="60">
        <f>IF(J1299="syllables",1,IF(J1299="trigrams",1,IF(J1299="strings",1,IF(J1299="visual array",1,IF(J1299="characters",1,IF(J1299="letters",1,IF(J1299="free forms",1,IF(J1299="odors",2,IF(J1299="words",2,IF(J1299="pictures",2,IF(J1299="object pictures",2,IF(J1299="faces",2,IF(J1299="names",2,IF(J1299="idioms","2",IF(J1299="grades",2,IF(J1299="syllable-digit pairs",3,IF(J1299="trigram-word pairs",3,IF(J1299="word-digit pairs",3,IF(J1299="English-Swahili pairs",3,IF(J1299="spatial position",3,IF(J1299="word pairs",4,IF(J1299="word triads",4,IF(J1299="generated words",4,IF(J1299="word definition pairs",4,IF(J1299="math problems",4,IF(J1299="famous faces",4,IF(J1299="famous names",4,IF(J1299="famous voices",4,IF(J1299="television programs",4,IF(J1299="race horses",4,IF(J1299="new vocabulary",4,IF(J1299="sentences",5,IF(J1299="concepts",5,IF(J1299="ad slides",5,IF(J1299="scenes",5,IF(J1299="famous scenes",5,IF(J1299="poems",6,IF(J1299="walk",6,IF(J1299="faces and events",6,IF(J1299="events and names",6,IF(J1299="flashbulb",7,IF(J1299="stories",7,IF(J1299="course material",7,IF(J1299="autobiographical",7,IF(J1299="novels",7,IF(J1299="public events",7,"99"))))))))))))))))))))))))))))))))))))))))))))))</f>
        <v>2</v>
      </c>
      <c r="M1299" s="60">
        <v>1</v>
      </c>
      <c r="N1299" s="60">
        <v>2</v>
      </c>
      <c r="O1299" s="60">
        <v>0</v>
      </c>
      <c r="P1299" s="60"/>
      <c r="Q1299" s="60" t="s">
        <v>125</v>
      </c>
      <c r="R1299" s="60">
        <f>IF(Q1299="Free Recall",1,IF(Q1299="Cued Recall",2,IF(Q1299="Recognition",3,IF(Q1299="Multiple Choice",4,IF(Q1299="Savings",5,IF(Q1299="Stem Completion",6,IF(Q1299="Fragment Completion",7,IF(Q1299="anagram solution",8,IF(Q1299="Matching",9,IF(Q1299="Problem Solving",10,"99"))))))))))</f>
        <v>7</v>
      </c>
      <c r="S1299" s="60" t="s">
        <v>49</v>
      </c>
      <c r="T1299" s="59" t="s">
        <v>581</v>
      </c>
      <c r="U1299" s="60">
        <f>IF(T1299="within",1,0)</f>
        <v>1</v>
      </c>
      <c r="V1299" s="59">
        <v>72</v>
      </c>
      <c r="W1299" s="60">
        <f>F1299*V1299</f>
        <v>864</v>
      </c>
      <c r="X1299" s="60">
        <v>3</v>
      </c>
      <c r="Y1299" s="76">
        <f>AV1298</f>
        <v>45</v>
      </c>
      <c r="Z1299" s="60" t="s">
        <v>115</v>
      </c>
      <c r="AA1299" s="60">
        <v>345600</v>
      </c>
      <c r="AB1299" s="60" t="str">
        <f>IF(AA1299&lt;60,"1",IF(AA1299&lt;=43200,"2",IF(AA1299&lt;=777600,"3","4")))</f>
        <v>3</v>
      </c>
      <c r="AC1299" s="56">
        <f>AVERAGE(AV1298:DA1298)</f>
        <v>117615</v>
      </c>
      <c r="AD1299" s="60" t="str">
        <f>IF(AC1299&lt;60,"1",IF(AC1299&lt;=43200,"2",IF(AC1299&lt;=777600,"3","4")))</f>
        <v>3</v>
      </c>
      <c r="AE1299" s="76">
        <f>AA1299-Y1299</f>
        <v>345555</v>
      </c>
      <c r="AF1299" s="80">
        <f>AV1299</f>
        <v>0.72</v>
      </c>
      <c r="AG1299" s="56">
        <f>((AW1299-AV1299)+(AX1299-AW1299))/2</f>
        <v>-9.4999999999999973E-2</v>
      </c>
      <c r="AH1299" s="4"/>
      <c r="AI1299" s="56">
        <f>RSQ(AV1299:AX1299,AV1298:AX1298)</f>
        <v>0.73930832282629799</v>
      </c>
      <c r="AJ1299" s="109">
        <f>SLOPE(AV1299:AX1299,AV1298:AX1298)</f>
        <v>-4.1383634512070578E-7</v>
      </c>
      <c r="AK1299" s="56">
        <f>INTERCEPT(AV1299:AX1299,AV1298:AX1298)</f>
        <v>0.67200669506470512</v>
      </c>
      <c r="AL1299" s="56">
        <f>INDEX(LINEST(LN(AV1299:AX1299),LN(AV1298:AX1298),TRUE,TRUE),3,1)</f>
        <v>0.99168417979953727</v>
      </c>
      <c r="AM1299" s="56">
        <f>INDEX(LINEST(LN(AV1299:AX1299),LN(AV1298:AX1298)),1)</f>
        <v>-3.4003689699636484E-2</v>
      </c>
      <c r="AN1299" s="56">
        <f>EXP(INDEX(LINEST(LN(AV1299:AX1299),LN(AV1298:AX1298)),1,2))</f>
        <v>0.82522102977313661</v>
      </c>
      <c r="AO1299" s="82">
        <f>INDEX(LINEST((AV1299:AX1299),LN(AV1298:AX1298),TRUE,TRUE),3,1)</f>
        <v>0.997777154673258</v>
      </c>
      <c r="AP1299" s="82">
        <f>INDEX(LINEST((AV1299:AX1299),LN(AV1298:AX1298)),1)</f>
        <v>-2.116005220962832E-2</v>
      </c>
      <c r="AQ1299" s="83">
        <f>INDEX(LINEST(LN(AV1299:AX1299),SQRT(AV1298:AX1298),TRUE,TRUE),3,1)</f>
        <v>0.85851947282924512</v>
      </c>
      <c r="AR1299" s="116">
        <f>INDEX(LINEST(LN(AV1299:AX1299),SQRT((AV1298:AX1298))),1)</f>
        <v>-4.5005331085303814E-4</v>
      </c>
      <c r="AS1299" s="84">
        <f>INDEX(LINEST(1/(AV1299:AX1299),1/(SQRT(AV1298:AX1298)),TRUE,TRUE),3,1)</f>
        <v>0.75303629461923416</v>
      </c>
      <c r="AT1299" s="84">
        <f>INDEX(LINEST(1/(AV1299:AX1299),1/SQRT(AV1298:AX1298)),1)</f>
        <v>-2.6284648013448941</v>
      </c>
      <c r="AU1299" s="3"/>
      <c r="AV1299" s="53">
        <v>0.72</v>
      </c>
      <c r="AW1299" s="53">
        <v>0.62</v>
      </c>
      <c r="AX1299" s="53">
        <v>0.53</v>
      </c>
      <c r="AY1299" s="42"/>
      <c r="AZ1299" s="46"/>
      <c r="BA1299" s="42"/>
      <c r="BB1299" s="42"/>
      <c r="BC1299" s="2"/>
      <c r="BD1299" s="2"/>
      <c r="BE1299" s="2"/>
      <c r="BF1299" s="2"/>
      <c r="BG1299" s="2"/>
      <c r="BH1299" s="2"/>
      <c r="BI1299" s="2"/>
      <c r="BJ1299" s="2"/>
      <c r="BK1299" s="2"/>
      <c r="BL1299" s="2"/>
      <c r="BM1299" s="2"/>
      <c r="BN1299" s="2"/>
      <c r="BO1299" s="2"/>
      <c r="BP1299" s="2"/>
      <c r="BQ1299" s="2"/>
      <c r="BR1299" s="2"/>
      <c r="BS1299" s="2"/>
      <c r="BT1299" s="2"/>
      <c r="BU1299" s="2"/>
      <c r="BV1299" s="2"/>
      <c r="BW1299" s="2"/>
      <c r="BX1299" s="2"/>
      <c r="BY1299" s="2"/>
      <c r="BZ1299" s="2"/>
      <c r="CA1299" s="2"/>
      <c r="CB1299" s="2"/>
      <c r="CC1299" s="2"/>
      <c r="CD1299" s="2"/>
      <c r="CE1299" s="2"/>
      <c r="CF1299" s="2"/>
      <c r="CG1299" s="2"/>
      <c r="CH1299" s="2"/>
      <c r="CI1299" s="2"/>
      <c r="CJ1299" s="2"/>
      <c r="CK1299" s="2"/>
      <c r="CL1299" s="2"/>
      <c r="CM1299" s="2"/>
      <c r="CN1299" s="2"/>
      <c r="CO1299" s="2"/>
      <c r="CP1299" s="2"/>
      <c r="CQ1299" s="2"/>
      <c r="CR1299" s="1"/>
      <c r="CS1299" s="1"/>
      <c r="CT1299" s="1"/>
      <c r="CU1299" s="1"/>
    </row>
    <row r="1300" spans="1:99" s="13" customFormat="1" ht="12" customHeight="1" x14ac:dyDescent="0.2">
      <c r="A1300" s="65">
        <v>43509</v>
      </c>
      <c r="B1300" s="1"/>
      <c r="C1300" s="1"/>
      <c r="D1300" s="60"/>
      <c r="E1300" s="76"/>
      <c r="F1300" s="60"/>
      <c r="G1300" s="60"/>
      <c r="H1300" s="60"/>
      <c r="I1300" s="60"/>
      <c r="J1300" s="60"/>
      <c r="K1300" s="64"/>
      <c r="L1300" s="64"/>
      <c r="M1300" s="60"/>
      <c r="N1300" s="60"/>
      <c r="O1300" s="60"/>
      <c r="P1300" s="60"/>
      <c r="Q1300" s="60"/>
      <c r="R1300" s="60"/>
      <c r="S1300" s="60"/>
      <c r="T1300" s="60"/>
      <c r="U1300" s="60"/>
      <c r="V1300" s="60"/>
      <c r="W1300" s="60"/>
      <c r="X1300" s="60"/>
      <c r="Y1300" s="76"/>
      <c r="Z1300" s="60"/>
      <c r="AA1300" s="60"/>
      <c r="AB1300" s="60"/>
      <c r="AC1300" s="60"/>
      <c r="AD1300" s="60"/>
      <c r="AE1300" s="60"/>
      <c r="AF1300" s="80"/>
      <c r="AG1300" s="56"/>
      <c r="AH1300" s="4"/>
      <c r="AI1300" s="56"/>
      <c r="AJ1300" s="109"/>
      <c r="AK1300" s="56"/>
      <c r="AL1300" s="56"/>
      <c r="AM1300" s="56"/>
      <c r="AN1300" s="56"/>
      <c r="AO1300" s="56"/>
      <c r="AP1300" s="56"/>
      <c r="AQ1300" s="82"/>
      <c r="AR1300" s="115"/>
      <c r="AS1300" s="82"/>
      <c r="AT1300" s="82"/>
      <c r="AU1300" s="4"/>
      <c r="AV1300" s="25">
        <v>45</v>
      </c>
      <c r="AW1300" s="25">
        <f>2*60*60</f>
        <v>7200</v>
      </c>
      <c r="AX1300" s="25">
        <f>24*3600*4</f>
        <v>345600</v>
      </c>
      <c r="AY1300" s="42"/>
      <c r="AZ1300" s="46"/>
      <c r="BA1300" s="42"/>
      <c r="BB1300" s="42"/>
      <c r="BC1300" s="42"/>
      <c r="BD1300" s="42"/>
      <c r="BE1300" s="42"/>
      <c r="BF1300" s="42"/>
      <c r="BG1300" s="42"/>
      <c r="BH1300" s="2"/>
      <c r="BI1300" s="2"/>
      <c r="BJ1300" s="2"/>
      <c r="BK1300" s="2"/>
      <c r="BL1300" s="2"/>
      <c r="BM1300" s="2"/>
      <c r="BN1300" s="2"/>
      <c r="BO1300" s="2"/>
      <c r="BP1300" s="2"/>
      <c r="BQ1300" s="2"/>
      <c r="BR1300" s="2"/>
      <c r="BS1300" s="2"/>
      <c r="BT1300" s="2"/>
      <c r="BU1300" s="2"/>
      <c r="BV1300" s="2"/>
      <c r="BW1300" s="2"/>
      <c r="BX1300" s="2"/>
      <c r="BY1300" s="2"/>
      <c r="BZ1300" s="2"/>
      <c r="CA1300" s="2"/>
      <c r="CB1300" s="2"/>
      <c r="CC1300" s="2"/>
      <c r="CD1300" s="2"/>
      <c r="CE1300" s="2"/>
      <c r="CF1300" s="2"/>
      <c r="CG1300" s="2"/>
      <c r="CH1300" s="2"/>
      <c r="CI1300" s="2"/>
      <c r="CJ1300" s="2"/>
      <c r="CK1300" s="2"/>
      <c r="CL1300" s="2"/>
      <c r="CM1300" s="2"/>
      <c r="CN1300" s="2"/>
      <c r="CO1300" s="2"/>
      <c r="CP1300" s="2"/>
      <c r="CQ1300" s="2"/>
      <c r="CR1300" s="1"/>
      <c r="CS1300" s="1"/>
      <c r="CT1300" s="1"/>
      <c r="CU1300" s="1"/>
    </row>
    <row r="1301" spans="1:99" s="13" customFormat="1" ht="12" customHeight="1" x14ac:dyDescent="0.2">
      <c r="A1301" s="65">
        <v>43509</v>
      </c>
      <c r="B1301" s="1" t="s">
        <v>906</v>
      </c>
      <c r="C1301" s="1" t="s">
        <v>54</v>
      </c>
      <c r="D1301" s="60">
        <v>1987</v>
      </c>
      <c r="E1301" s="76">
        <v>3</v>
      </c>
      <c r="F1301" s="60">
        <v>12</v>
      </c>
      <c r="G1301" s="60">
        <v>12</v>
      </c>
      <c r="H1301" s="60" t="s">
        <v>22</v>
      </c>
      <c r="I1301" s="60" t="s">
        <v>825</v>
      </c>
      <c r="J1301" s="60" t="s">
        <v>16</v>
      </c>
      <c r="K1301" s="60">
        <f>IF(J1301="syllables",1,IF(J1301="trigrams",2,IF(J1301="strings",3,IF(J1301="visual array",4,IF(J1301="characters",5,IF(J1301="letters",6,IF(J1301="free forms",7,IF(J1301="odors",8,IF(J1301="words",9,IF(J1301="pictures",10,IF(J1301="object pictures",11,IF(J1301="faces",12,IF(J1301="names",13,IF(J1301="idioms",14,IF(J1301="grades",15,IF(J1301="syllable-digit pairs",16,IF(J1301="trigram-word pairs",17,IF(J1301="word-digit pairs",18,IF(J1301="English-Swahili pairs",19,IF(J1301="spatial position",20,IF(J1301="word pairs",21,IF(J1301="word triads",22,IF(J1301="generated words",23,IF(J1301="word definition pairs",24,IF(J1301="math problems",25,IF(J1301="famous faces",26,IF(J1301="famous names",27,IF(J1301="famous voices",28,IF(J1301="television programs",29,IF(J1301="race horses",30,IF(J1301="new vocabulary",31,IF(J1301="sentences",32,IF(J1301="concepts",33,IF(J1301="ad slides",34,IF(J1301="scenes",35,IF(J1301="famous scenes",36,IF(J1301="poems",37,IF(J1301="walk",38,IF(J1301="faces and events",39,IF(J1301="events and names",40,IF(J1301="flashbulb",41,IF(J1301="stories",42,IF(J1301="course material",43,IF(J1301="autobiographical",44,IF(J1301="novels",45,IF(J1301="public events",46,"99"))))))))))))))))))))))))))))))))))))))))))))))</f>
        <v>9</v>
      </c>
      <c r="L1301" s="60">
        <f>IF(J1301="syllables",1,IF(J1301="trigrams",1,IF(J1301="strings",1,IF(J1301="visual array",1,IF(J1301="characters",1,IF(J1301="letters",1,IF(J1301="free forms",1,IF(J1301="odors",2,IF(J1301="words",2,IF(J1301="pictures",2,IF(J1301="object pictures",2,IF(J1301="faces",2,IF(J1301="names",2,IF(J1301="idioms","2",IF(J1301="grades",2,IF(J1301="syllable-digit pairs",3,IF(J1301="trigram-word pairs",3,IF(J1301="word-digit pairs",3,IF(J1301="English-Swahili pairs",3,IF(J1301="spatial position",3,IF(J1301="word pairs",4,IF(J1301="word triads",4,IF(J1301="generated words",4,IF(J1301="word definition pairs",4,IF(J1301="math problems",4,IF(J1301="famous faces",4,IF(J1301="famous names",4,IF(J1301="famous voices",4,IF(J1301="television programs",4,IF(J1301="race horses",4,IF(J1301="new vocabulary",4,IF(J1301="sentences",5,IF(J1301="concepts",5,IF(J1301="ad slides",5,IF(J1301="scenes",5,IF(J1301="famous scenes",5,IF(J1301="poems",6,IF(J1301="walk",6,IF(J1301="faces and events",6,IF(J1301="events and names",6,IF(J1301="flashbulb",7,IF(J1301="stories",7,IF(J1301="course material",7,IF(J1301="autobiographical",7,IF(J1301="novels",7,IF(J1301="public events",7,"99"))))))))))))))))))))))))))))))))))))))))))))))</f>
        <v>2</v>
      </c>
      <c r="M1301" s="60">
        <v>1</v>
      </c>
      <c r="N1301" s="60">
        <v>2</v>
      </c>
      <c r="O1301" s="60">
        <v>0</v>
      </c>
      <c r="P1301" s="60"/>
      <c r="Q1301" s="60" t="s">
        <v>125</v>
      </c>
      <c r="R1301" s="60">
        <f>IF(Q1301="Free Recall",1,IF(Q1301="Cued Recall",2,IF(Q1301="Recognition",3,IF(Q1301="Multiple Choice",4,IF(Q1301="Savings",5,IF(Q1301="Stem Completion",6,IF(Q1301="Fragment Completion",7,IF(Q1301="anagram solution",8,IF(Q1301="Matching",9,IF(Q1301="Problem Solving",10,"99"))))))))))</f>
        <v>7</v>
      </c>
      <c r="S1301" s="60" t="s">
        <v>49</v>
      </c>
      <c r="T1301" s="59" t="s">
        <v>581</v>
      </c>
      <c r="U1301" s="60">
        <f>IF(T1301="within",1,0)</f>
        <v>1</v>
      </c>
      <c r="V1301" s="59">
        <v>72</v>
      </c>
      <c r="W1301" s="60">
        <f>F1301*V1301</f>
        <v>864</v>
      </c>
      <c r="X1301" s="60">
        <v>3</v>
      </c>
      <c r="Y1301" s="76">
        <f>AV1300</f>
        <v>45</v>
      </c>
      <c r="Z1301" s="60" t="s">
        <v>115</v>
      </c>
      <c r="AA1301" s="60">
        <v>345600</v>
      </c>
      <c r="AB1301" s="60" t="str">
        <f>IF(AA1301&lt;60,"1",IF(AA1301&lt;=43200,"2",IF(AA1301&lt;=777600,"3","4")))</f>
        <v>3</v>
      </c>
      <c r="AC1301" s="56">
        <f>AVERAGE(AV1300:DA1300)</f>
        <v>117615</v>
      </c>
      <c r="AD1301" s="60" t="str">
        <f>IF(AC1301&lt;60,"1",IF(AC1301&lt;=43200,"2",IF(AC1301&lt;=777600,"3","4")))</f>
        <v>3</v>
      </c>
      <c r="AE1301" s="76">
        <f>AA1301-Y1301</f>
        <v>345555</v>
      </c>
      <c r="AF1301" s="80">
        <f>AV1301</f>
        <v>0.62</v>
      </c>
      <c r="AG1301" s="56">
        <f>((AW1301-AV1301)+(AX1301-AW1301))/2</f>
        <v>-0.10500000000000001</v>
      </c>
      <c r="AH1301" s="4"/>
      <c r="AI1301" s="56">
        <f>RSQ(AV1301:AX1301,AV1300:AX1300)</f>
        <v>0.30394509250529289</v>
      </c>
      <c r="AJ1301" s="109">
        <f>SLOPE(AV1301:AX1301,AV1300:AX1300)</f>
        <v>-3.3072711504157843E-7</v>
      </c>
      <c r="AK1301" s="56">
        <f>INTERCEPT(AV1301:AX1301,AV1300:AX1300)</f>
        <v>0.52223180296894856</v>
      </c>
      <c r="AL1301" s="56">
        <f>INDEX(LINEST(LN(AV1301:AX1301),LN(AV1300:AX1300),TRUE,TRUE),3,1)</f>
        <v>0.8525419820977328</v>
      </c>
      <c r="AM1301" s="56">
        <f>INDEX(LINEST(LN(AV1301:AX1301),LN(AV1300:AX1300)),1)</f>
        <v>-4.7770438890395409E-2</v>
      </c>
      <c r="AN1301" s="56">
        <f>EXP(INDEX(LINEST(LN(AV1301:AX1301),LN(AV1300:AX1300)),1,2))</f>
        <v>0.7113478602094736</v>
      </c>
      <c r="AO1301" s="82">
        <f>INDEX(LINEST((AV1301:AX1301),LN(AV1300:AX1300),TRUE,TRUE),3,1)</f>
        <v>0.84559085721419092</v>
      </c>
      <c r="AP1301" s="82">
        <f>INDEX(LINEST((AV1301:AX1301),LN(AV1300:AX1300)),1)</f>
        <v>-2.427931885824175E-2</v>
      </c>
      <c r="AQ1301" s="83">
        <f>INDEX(LINEST(LN(AV1301:AX1301),SQRT(AV1300:AX1300),TRUE,TRUE),3,1)</f>
        <v>0.41474567906675386</v>
      </c>
      <c r="AR1301" s="116">
        <f>INDEX(LINEST(LN(AV1301:AX1301),SQRT((AV1300:AX1300))),1)</f>
        <v>-4.7396013365995024E-4</v>
      </c>
      <c r="AS1301" s="84">
        <f>INDEX(LINEST(1/(AV1301:AX1301),1/(SQRT(AV1300:AX1300)),TRUE,TRUE),3,1)</f>
        <v>0.99999700955814896</v>
      </c>
      <c r="AT1301" s="84">
        <f>INDEX(LINEST(1/(AV1301:AX1301),1/SQRT(AV1300:AX1300)),1)</f>
        <v>-5.6009291680096691</v>
      </c>
      <c r="AU1301" s="3"/>
      <c r="AV1301" s="53">
        <v>0.62</v>
      </c>
      <c r="AW1301" s="53">
        <v>0.42</v>
      </c>
      <c r="AX1301" s="53">
        <v>0.41</v>
      </c>
      <c r="AY1301" s="42"/>
      <c r="AZ1301" s="46"/>
      <c r="BA1301" s="42"/>
      <c r="BB1301" s="42"/>
      <c r="BC1301" s="42"/>
      <c r="BD1301" s="42"/>
      <c r="BE1301" s="42"/>
      <c r="BF1301" s="42"/>
      <c r="BG1301" s="42"/>
      <c r="BH1301" s="2"/>
      <c r="BI1301" s="2"/>
      <c r="BJ1301" s="2"/>
      <c r="BK1301" s="2"/>
      <c r="BL1301" s="2"/>
      <c r="BM1301" s="2"/>
      <c r="BN1301" s="2"/>
      <c r="BO1301" s="2"/>
      <c r="BP1301" s="2"/>
      <c r="BQ1301" s="2"/>
      <c r="BR1301" s="2"/>
      <c r="BS1301" s="2"/>
      <c r="BT1301" s="2"/>
      <c r="BU1301" s="2"/>
      <c r="BV1301" s="2"/>
      <c r="BW1301" s="2"/>
      <c r="BX1301" s="2"/>
      <c r="BY1301" s="2"/>
      <c r="BZ1301" s="2"/>
      <c r="CA1301" s="2"/>
      <c r="CB1301" s="2"/>
      <c r="CC1301" s="2"/>
      <c r="CD1301" s="2"/>
      <c r="CE1301" s="2"/>
      <c r="CF1301" s="2"/>
      <c r="CG1301" s="2"/>
      <c r="CH1301" s="2"/>
      <c r="CI1301" s="2"/>
      <c r="CJ1301" s="2"/>
      <c r="CK1301" s="2"/>
      <c r="CL1301" s="2"/>
      <c r="CM1301" s="2"/>
      <c r="CN1301" s="2"/>
      <c r="CO1301" s="2"/>
      <c r="CP1301" s="2"/>
      <c r="CQ1301" s="2"/>
      <c r="CR1301" s="1"/>
      <c r="CS1301" s="1"/>
      <c r="CT1301" s="1"/>
      <c r="CU1301" s="1"/>
    </row>
    <row r="1302" spans="1:99" s="13" customFormat="1" ht="12" customHeight="1" x14ac:dyDescent="0.2">
      <c r="A1302" s="65">
        <v>43509</v>
      </c>
      <c r="B1302" s="1"/>
      <c r="C1302" s="1"/>
      <c r="D1302" s="60"/>
      <c r="E1302" s="76"/>
      <c r="F1302" s="60"/>
      <c r="G1302" s="60"/>
      <c r="H1302" s="60"/>
      <c r="I1302" s="60"/>
      <c r="J1302" s="60"/>
      <c r="K1302" s="64"/>
      <c r="L1302" s="64"/>
      <c r="M1302" s="60"/>
      <c r="N1302" s="60"/>
      <c r="O1302" s="60"/>
      <c r="P1302" s="60"/>
      <c r="Q1302" s="60"/>
      <c r="R1302" s="60"/>
      <c r="S1302" s="60"/>
      <c r="T1302" s="59"/>
      <c r="U1302" s="60"/>
      <c r="V1302" s="60"/>
      <c r="W1302" s="60"/>
      <c r="X1302" s="60"/>
      <c r="Y1302" s="76"/>
      <c r="Z1302" s="60"/>
      <c r="AA1302" s="60"/>
      <c r="AB1302" s="60"/>
      <c r="AC1302" s="60"/>
      <c r="AD1302" s="60"/>
      <c r="AE1302" s="60"/>
      <c r="AF1302" s="80"/>
      <c r="AG1302" s="56"/>
      <c r="AH1302" s="4"/>
      <c r="AI1302" s="56"/>
      <c r="AJ1302" s="109"/>
      <c r="AK1302" s="56"/>
      <c r="AL1302" s="56"/>
      <c r="AM1302" s="56"/>
      <c r="AN1302" s="56"/>
      <c r="AO1302" s="56"/>
      <c r="AP1302" s="56"/>
      <c r="AQ1302" s="82"/>
      <c r="AR1302" s="115"/>
      <c r="AS1302" s="82"/>
      <c r="AT1302" s="82"/>
      <c r="AU1302" s="4"/>
      <c r="AV1302" s="25">
        <v>45</v>
      </c>
      <c r="AW1302" s="25">
        <f>2*60*60</f>
        <v>7200</v>
      </c>
      <c r="AX1302" s="25">
        <f>24*3600*4</f>
        <v>345600</v>
      </c>
      <c r="AY1302" s="42"/>
      <c r="AZ1302" s="46"/>
      <c r="BA1302" s="42"/>
      <c r="BB1302" s="42"/>
      <c r="BC1302" s="42"/>
      <c r="BD1302" s="42"/>
      <c r="BE1302" s="42"/>
      <c r="BF1302" s="42"/>
      <c r="BG1302" s="42"/>
      <c r="BH1302" s="2"/>
      <c r="BI1302" s="2"/>
      <c r="BJ1302" s="2"/>
      <c r="BK1302" s="2"/>
      <c r="BL1302" s="2"/>
      <c r="BM1302" s="2"/>
      <c r="BN1302" s="2"/>
      <c r="BO1302" s="2"/>
      <c r="BP1302" s="2"/>
      <c r="BQ1302" s="2"/>
      <c r="BR1302" s="2"/>
      <c r="BS1302" s="2"/>
      <c r="BT1302" s="2"/>
      <c r="BU1302" s="2"/>
      <c r="BV1302" s="2"/>
      <c r="BW1302" s="2"/>
      <c r="BX1302" s="2"/>
      <c r="BY1302" s="2"/>
      <c r="BZ1302" s="2"/>
      <c r="CA1302" s="2"/>
      <c r="CB1302" s="2"/>
      <c r="CC1302" s="2"/>
      <c r="CD1302" s="2"/>
      <c r="CE1302" s="2"/>
      <c r="CF1302" s="2"/>
      <c r="CG1302" s="2"/>
      <c r="CH1302" s="2"/>
      <c r="CI1302" s="2"/>
      <c r="CJ1302" s="2"/>
      <c r="CK1302" s="2"/>
      <c r="CL1302" s="2"/>
      <c r="CM1302" s="2"/>
      <c r="CN1302" s="2"/>
      <c r="CO1302" s="2"/>
      <c r="CP1302" s="2"/>
      <c r="CQ1302" s="2"/>
      <c r="CR1302" s="1"/>
      <c r="CS1302" s="1"/>
      <c r="CT1302" s="1"/>
      <c r="CU1302" s="1"/>
    </row>
    <row r="1303" spans="1:99" s="13" customFormat="1" ht="12" customHeight="1" x14ac:dyDescent="0.2">
      <c r="A1303" s="65">
        <v>43509</v>
      </c>
      <c r="B1303" s="1" t="s">
        <v>906</v>
      </c>
      <c r="C1303" s="1" t="s">
        <v>54</v>
      </c>
      <c r="D1303" s="60">
        <v>1987</v>
      </c>
      <c r="E1303" s="76">
        <v>3</v>
      </c>
      <c r="F1303" s="60">
        <v>12</v>
      </c>
      <c r="G1303" s="60">
        <v>12</v>
      </c>
      <c r="H1303" s="60" t="s">
        <v>38</v>
      </c>
      <c r="I1303" s="60" t="s">
        <v>824</v>
      </c>
      <c r="J1303" s="60" t="s">
        <v>16</v>
      </c>
      <c r="K1303" s="60">
        <f>IF(J1303="syllables",1,IF(J1303="trigrams",2,IF(J1303="strings",3,IF(J1303="visual array",4,IF(J1303="characters",5,IF(J1303="letters",6,IF(J1303="free forms",7,IF(J1303="odors",8,IF(J1303="words",9,IF(J1303="pictures",10,IF(J1303="object pictures",11,IF(J1303="faces",12,IF(J1303="names",13,IF(J1303="idioms",14,IF(J1303="grades",15,IF(J1303="syllable-digit pairs",16,IF(J1303="trigram-word pairs",17,IF(J1303="word-digit pairs",18,IF(J1303="English-Swahili pairs",19,IF(J1303="spatial position",20,IF(J1303="word pairs",21,IF(J1303="word triads",22,IF(J1303="generated words",23,IF(J1303="word definition pairs",24,IF(J1303="math problems",25,IF(J1303="famous faces",26,IF(J1303="famous names",27,IF(J1303="famous voices",28,IF(J1303="television programs",29,IF(J1303="race horses",30,IF(J1303="new vocabulary",31,IF(J1303="sentences",32,IF(J1303="concepts",33,IF(J1303="ad slides",34,IF(J1303="scenes",35,IF(J1303="famous scenes",36,IF(J1303="poems",37,IF(J1303="walk",38,IF(J1303="faces and events",39,IF(J1303="events and names",40,IF(J1303="flashbulb",41,IF(J1303="stories",42,IF(J1303="course material",43,IF(J1303="autobiographical",44,IF(J1303="novels",45,IF(J1303="public events",46,"99"))))))))))))))))))))))))))))))))))))))))))))))</f>
        <v>9</v>
      </c>
      <c r="L1303" s="60">
        <f>IF(J1303="syllables",1,IF(J1303="trigrams",1,IF(J1303="strings",1,IF(J1303="visual array",1,IF(J1303="characters",1,IF(J1303="letters",1,IF(J1303="free forms",1,IF(J1303="odors",2,IF(J1303="words",2,IF(J1303="pictures",2,IF(J1303="object pictures",2,IF(J1303="faces",2,IF(J1303="names",2,IF(J1303="idioms","2",IF(J1303="grades",2,IF(J1303="syllable-digit pairs",3,IF(J1303="trigram-word pairs",3,IF(J1303="word-digit pairs",3,IF(J1303="English-Swahili pairs",3,IF(J1303="spatial position",3,IF(J1303="word pairs",4,IF(J1303="word triads",4,IF(J1303="generated words",4,IF(J1303="word definition pairs",4,IF(J1303="math problems",4,IF(J1303="famous faces",4,IF(J1303="famous names",4,IF(J1303="famous voices",4,IF(J1303="television programs",4,IF(J1303="race horses",4,IF(J1303="new vocabulary",4,IF(J1303="sentences",5,IF(J1303="concepts",5,IF(J1303="ad slides",5,IF(J1303="scenes",5,IF(J1303="famous scenes",5,IF(J1303="poems",6,IF(J1303="walk",6,IF(J1303="faces and events",6,IF(J1303="events and names",6,IF(J1303="flashbulb",7,IF(J1303="stories",7,IF(J1303="course material",7,IF(J1303="autobiographical",7,IF(J1303="novels",7,IF(J1303="public events",7,"99"))))))))))))))))))))))))))))))))))))))))))))))</f>
        <v>2</v>
      </c>
      <c r="M1303" s="60">
        <v>1</v>
      </c>
      <c r="N1303" s="60">
        <v>2</v>
      </c>
      <c r="O1303" s="60">
        <v>0</v>
      </c>
      <c r="P1303" s="60"/>
      <c r="Q1303" s="60" t="s">
        <v>34</v>
      </c>
      <c r="R1303" s="60">
        <f>IF(Q1303="Free Recall",1,IF(Q1303="Cued Recall",2,IF(Q1303="Recognition",3,IF(Q1303="Multiple Choice",4,IF(Q1303="Savings",5,IF(Q1303="Stem Completion",6,IF(Q1303="Fragment Completion",7,IF(Q1303="anagram solution",8,IF(Q1303="Matching",9,IF(Q1303="Problem Solving",10,"99"))))))))))</f>
        <v>3</v>
      </c>
      <c r="S1303" s="60" t="s">
        <v>15</v>
      </c>
      <c r="T1303" s="59" t="s">
        <v>581</v>
      </c>
      <c r="U1303" s="60">
        <f>IF(T1303="within",1,0)</f>
        <v>1</v>
      </c>
      <c r="V1303" s="59">
        <v>72</v>
      </c>
      <c r="W1303" s="60">
        <f>F1303*V1303</f>
        <v>864</v>
      </c>
      <c r="X1303" s="60">
        <v>3</v>
      </c>
      <c r="Y1303" s="76">
        <f>AV1302</f>
        <v>45</v>
      </c>
      <c r="Z1303" s="60" t="s">
        <v>115</v>
      </c>
      <c r="AA1303" s="60">
        <v>345600</v>
      </c>
      <c r="AB1303" s="60" t="str">
        <f>IF(AA1303&lt;60,"1",IF(AA1303&lt;=43200,"2",IF(AA1303&lt;=777600,"3","4")))</f>
        <v>3</v>
      </c>
      <c r="AC1303" s="56">
        <f>AVERAGE(AV1302:DA1302)</f>
        <v>117615</v>
      </c>
      <c r="AD1303" s="60" t="str">
        <f>IF(AC1303&lt;60,"1",IF(AC1303&lt;=43200,"2",IF(AC1303&lt;=777600,"3","4")))</f>
        <v>3</v>
      </c>
      <c r="AE1303" s="76">
        <f>AA1303-Y1303</f>
        <v>345555</v>
      </c>
      <c r="AF1303" s="80">
        <f>AV1303</f>
        <v>0.99</v>
      </c>
      <c r="AG1303" s="56">
        <f>((AW1303-AV1303)+(AX1303-AW1303))/2</f>
        <v>-4.4999999999999984E-2</v>
      </c>
      <c r="AH1303" s="4"/>
      <c r="AI1303" s="56">
        <f>RSQ(AV1303:AX1303,AV1302:AX1302)</f>
        <v>0.9624172103766705</v>
      </c>
      <c r="AJ1303" s="109">
        <f>SLOPE(AV1303:AX1303,AV1302:AX1302)</f>
        <v>-2.3477415084997247E-7</v>
      </c>
      <c r="AK1303" s="56">
        <f>INTERCEPT(AV1303:AX1303,AV1302:AX1302)</f>
        <v>0.98094629508555276</v>
      </c>
      <c r="AL1303" s="56">
        <f>INDEX(LINEST(LN(AV1303:AX1303),LN(AV1302:AX1302),TRUE,TRUE),3,1)</f>
        <v>0.85094567808157551</v>
      </c>
      <c r="AM1303" s="56">
        <f>INDEX(LINEST(LN(AV1303:AX1303),LN(AV1302:AX1302)),1)</f>
        <v>-1.0317972422053043E-2</v>
      </c>
      <c r="AN1303" s="56">
        <f>EXP(INDEX(LINEST(LN(AV1303:AX1303),LN(AV1302:AX1302)),1,2))</f>
        <v>1.0396439890448301</v>
      </c>
      <c r="AO1303" s="82">
        <f>INDEX(LINEST((AV1303:AX1303),LN(AV1302:AX1302),TRUE,TRUE),3,1)</f>
        <v>0.85691278497314727</v>
      </c>
      <c r="AP1303" s="82">
        <f>INDEX(LINEST((AV1303:AX1303),LN(AV1302:AX1302)),1)</f>
        <v>-9.7503683782361079E-3</v>
      </c>
      <c r="AQ1303" s="83">
        <f>INDEX(LINEST(LN(AV1303:AX1303),SQRT(AV1302:AX1302),TRUE,TRUE),3,1)</f>
        <v>0.9935224743280785</v>
      </c>
      <c r="AR1303" s="116">
        <f>INDEX(LINEST(LN(AV1303:AX1303),SQRT((AV1302:AX1302))),1)</f>
        <v>-1.5859220089752519E-4</v>
      </c>
      <c r="AS1303" s="84">
        <f>INDEX(LINEST(1/(AV1303:AX1303),1/(SQRT(AV1302:AX1302)),TRUE,TRUE),3,1)</f>
        <v>0.49599936915811282</v>
      </c>
      <c r="AT1303" s="84">
        <f>INDEX(LINEST(1/(AV1303:AX1303),1/SQRT(AV1302:AX1302)),1)</f>
        <v>-0.45623298226990283</v>
      </c>
      <c r="AU1303" s="3"/>
      <c r="AV1303" s="53">
        <v>0.99</v>
      </c>
      <c r="AW1303" s="53">
        <v>0.97</v>
      </c>
      <c r="AX1303" s="53">
        <v>0.9</v>
      </c>
      <c r="AY1303" s="42"/>
      <c r="AZ1303" s="46"/>
      <c r="BA1303" s="42"/>
      <c r="BB1303" s="42"/>
      <c r="BC1303" s="2"/>
      <c r="BD1303" s="2"/>
      <c r="BE1303" s="2"/>
      <c r="BF1303" s="2"/>
      <c r="BG1303" s="2"/>
      <c r="BH1303" s="2"/>
      <c r="BI1303" s="2"/>
      <c r="BJ1303" s="2"/>
      <c r="BK1303" s="2"/>
      <c r="BL1303" s="2"/>
      <c r="BM1303" s="2"/>
      <c r="BN1303" s="2"/>
      <c r="BO1303" s="2"/>
      <c r="BP1303" s="2"/>
      <c r="BQ1303" s="2"/>
      <c r="BR1303" s="2"/>
      <c r="BS1303" s="2"/>
      <c r="BT1303" s="2"/>
      <c r="BU1303" s="2"/>
      <c r="BV1303" s="2"/>
      <c r="BW1303" s="2"/>
      <c r="BX1303" s="2"/>
      <c r="BY1303" s="2"/>
      <c r="BZ1303" s="2"/>
      <c r="CA1303" s="2"/>
      <c r="CB1303" s="2"/>
      <c r="CC1303" s="2"/>
      <c r="CD1303" s="2"/>
      <c r="CE1303" s="2"/>
      <c r="CF1303" s="2"/>
      <c r="CG1303" s="2"/>
      <c r="CH1303" s="2"/>
      <c r="CI1303" s="2"/>
      <c r="CJ1303" s="2"/>
      <c r="CK1303" s="2"/>
      <c r="CL1303" s="2"/>
      <c r="CM1303" s="2"/>
      <c r="CN1303" s="2"/>
      <c r="CO1303" s="2"/>
      <c r="CP1303" s="2"/>
      <c r="CQ1303" s="2"/>
      <c r="CR1303" s="1"/>
      <c r="CS1303" s="1"/>
      <c r="CT1303" s="1"/>
      <c r="CU1303" s="1"/>
    </row>
    <row r="1304" spans="1:99" s="13" customFormat="1" ht="12" customHeight="1" x14ac:dyDescent="0.2">
      <c r="A1304" s="65">
        <v>43509</v>
      </c>
      <c r="B1304" s="1"/>
      <c r="C1304" s="1"/>
      <c r="D1304" s="60"/>
      <c r="E1304" s="76"/>
      <c r="F1304" s="60"/>
      <c r="G1304" s="60"/>
      <c r="H1304" s="60"/>
      <c r="I1304" s="60"/>
      <c r="J1304" s="60"/>
      <c r="K1304" s="64"/>
      <c r="L1304" s="64"/>
      <c r="M1304" s="60"/>
      <c r="N1304" s="60"/>
      <c r="O1304" s="60"/>
      <c r="P1304" s="60"/>
      <c r="Q1304" s="60"/>
      <c r="R1304" s="60"/>
      <c r="S1304" s="60"/>
      <c r="T1304" s="60"/>
      <c r="U1304" s="60"/>
      <c r="V1304" s="60"/>
      <c r="W1304" s="60"/>
      <c r="X1304" s="60"/>
      <c r="Y1304" s="76"/>
      <c r="Z1304" s="60"/>
      <c r="AA1304" s="60"/>
      <c r="AB1304" s="60"/>
      <c r="AC1304" s="60"/>
      <c r="AD1304" s="60"/>
      <c r="AE1304" s="60"/>
      <c r="AF1304" s="80"/>
      <c r="AG1304" s="56"/>
      <c r="AH1304" s="4"/>
      <c r="AI1304" s="56"/>
      <c r="AJ1304" s="109"/>
      <c r="AK1304" s="56"/>
      <c r="AL1304" s="56"/>
      <c r="AM1304" s="56"/>
      <c r="AN1304" s="56"/>
      <c r="AO1304" s="56"/>
      <c r="AP1304" s="56"/>
      <c r="AQ1304" s="82"/>
      <c r="AR1304" s="115"/>
      <c r="AS1304" s="82"/>
      <c r="AT1304" s="82"/>
      <c r="AU1304" s="4"/>
      <c r="AV1304" s="25">
        <v>45</v>
      </c>
      <c r="AW1304" s="25">
        <f>2*60*60</f>
        <v>7200</v>
      </c>
      <c r="AX1304" s="25">
        <f>24*3600*4</f>
        <v>345600</v>
      </c>
      <c r="AY1304" s="42"/>
      <c r="AZ1304" s="46"/>
      <c r="BA1304" s="42"/>
      <c r="BB1304" s="42"/>
      <c r="BC1304" s="2"/>
      <c r="BD1304" s="2"/>
      <c r="BE1304" s="2"/>
      <c r="BF1304" s="2"/>
      <c r="BG1304" s="2"/>
      <c r="BH1304" s="2"/>
      <c r="BI1304" s="2"/>
      <c r="BJ1304" s="2"/>
      <c r="BK1304" s="2"/>
      <c r="BL1304" s="2"/>
      <c r="BM1304" s="2"/>
      <c r="BN1304" s="2"/>
      <c r="BO1304" s="2"/>
      <c r="BP1304" s="2"/>
      <c r="BQ1304" s="2"/>
      <c r="BR1304" s="2"/>
      <c r="BS1304" s="2"/>
      <c r="BT1304" s="2"/>
      <c r="BU1304" s="2"/>
      <c r="BV1304" s="2"/>
      <c r="BW1304" s="2"/>
      <c r="BX1304" s="2"/>
      <c r="BY1304" s="2"/>
      <c r="BZ1304" s="2"/>
      <c r="CA1304" s="2"/>
      <c r="CB1304" s="2"/>
      <c r="CC1304" s="2"/>
      <c r="CD1304" s="2"/>
      <c r="CE1304" s="2"/>
      <c r="CF1304" s="2"/>
      <c r="CG1304" s="2"/>
      <c r="CH1304" s="2"/>
      <c r="CI1304" s="2"/>
      <c r="CJ1304" s="2"/>
      <c r="CK1304" s="2"/>
      <c r="CL1304" s="2"/>
      <c r="CM1304" s="2"/>
      <c r="CN1304" s="2"/>
      <c r="CO1304" s="2"/>
      <c r="CP1304" s="2"/>
      <c r="CQ1304" s="2"/>
      <c r="CR1304" s="1"/>
      <c r="CS1304" s="1"/>
      <c r="CT1304" s="1"/>
      <c r="CU1304" s="1"/>
    </row>
    <row r="1305" spans="1:99" s="13" customFormat="1" ht="12" customHeight="1" x14ac:dyDescent="0.2">
      <c r="A1305" s="65">
        <v>43509</v>
      </c>
      <c r="B1305" s="1" t="s">
        <v>906</v>
      </c>
      <c r="C1305" s="1" t="s">
        <v>54</v>
      </c>
      <c r="D1305" s="60">
        <v>1987</v>
      </c>
      <c r="E1305" s="76">
        <v>3</v>
      </c>
      <c r="F1305" s="60">
        <v>12</v>
      </c>
      <c r="G1305" s="60">
        <v>12</v>
      </c>
      <c r="H1305" s="60" t="s">
        <v>38</v>
      </c>
      <c r="I1305" s="60" t="s">
        <v>825</v>
      </c>
      <c r="J1305" s="60" t="s">
        <v>16</v>
      </c>
      <c r="K1305" s="60">
        <f>IF(J1305="syllables",1,IF(J1305="trigrams",2,IF(J1305="strings",3,IF(J1305="visual array",4,IF(J1305="characters",5,IF(J1305="letters",6,IF(J1305="free forms",7,IF(J1305="odors",8,IF(J1305="words",9,IF(J1305="pictures",10,IF(J1305="object pictures",11,IF(J1305="faces",12,IF(J1305="names",13,IF(J1305="idioms",14,IF(J1305="grades",15,IF(J1305="syllable-digit pairs",16,IF(J1305="trigram-word pairs",17,IF(J1305="word-digit pairs",18,IF(J1305="English-Swahili pairs",19,IF(J1305="spatial position",20,IF(J1305="word pairs",21,IF(J1305="word triads",22,IF(J1305="generated words",23,IF(J1305="word definition pairs",24,IF(J1305="math problems",25,IF(J1305="famous faces",26,IF(J1305="famous names",27,IF(J1305="famous voices",28,IF(J1305="television programs",29,IF(J1305="race horses",30,IF(J1305="new vocabulary",31,IF(J1305="sentences",32,IF(J1305="concepts",33,IF(J1305="ad slides",34,IF(J1305="scenes",35,IF(J1305="famous scenes",36,IF(J1305="poems",37,IF(J1305="walk",38,IF(J1305="faces and events",39,IF(J1305="events and names",40,IF(J1305="flashbulb",41,IF(J1305="stories",42,IF(J1305="course material",43,IF(J1305="autobiographical",44,IF(J1305="novels",45,IF(J1305="public events",46,"99"))))))))))))))))))))))))))))))))))))))))))))))</f>
        <v>9</v>
      </c>
      <c r="L1305" s="60">
        <f>IF(J1305="syllables",1,IF(J1305="trigrams",1,IF(J1305="strings",1,IF(J1305="visual array",1,IF(J1305="characters",1,IF(J1305="letters",1,IF(J1305="free forms",1,IF(J1305="odors",2,IF(J1305="words",2,IF(J1305="pictures",2,IF(J1305="object pictures",2,IF(J1305="faces",2,IF(J1305="names",2,IF(J1305="idioms","2",IF(J1305="grades",2,IF(J1305="syllable-digit pairs",3,IF(J1305="trigram-word pairs",3,IF(J1305="word-digit pairs",3,IF(J1305="English-Swahili pairs",3,IF(J1305="spatial position",3,IF(J1305="word pairs",4,IF(J1305="word triads",4,IF(J1305="generated words",4,IF(J1305="word definition pairs",4,IF(J1305="math problems",4,IF(J1305="famous faces",4,IF(J1305="famous names",4,IF(J1305="famous voices",4,IF(J1305="television programs",4,IF(J1305="race horses",4,IF(J1305="new vocabulary",4,IF(J1305="sentences",5,IF(J1305="concepts",5,IF(J1305="ad slides",5,IF(J1305="scenes",5,IF(J1305="famous scenes",5,IF(J1305="poems",6,IF(J1305="walk",6,IF(J1305="faces and events",6,IF(J1305="events and names",6,IF(J1305="flashbulb",7,IF(J1305="stories",7,IF(J1305="course material",7,IF(J1305="autobiographical",7,IF(J1305="novels",7,IF(J1305="public events",7,"99"))))))))))))))))))))))))))))))))))))))))))))))</f>
        <v>2</v>
      </c>
      <c r="M1305" s="60">
        <v>1</v>
      </c>
      <c r="N1305" s="60">
        <v>2</v>
      </c>
      <c r="O1305" s="60">
        <v>0</v>
      </c>
      <c r="P1305" s="60"/>
      <c r="Q1305" s="60" t="s">
        <v>34</v>
      </c>
      <c r="R1305" s="60">
        <f>IF(Q1305="Free Recall",1,IF(Q1305="Cued Recall",2,IF(Q1305="Recognition",3,IF(Q1305="Multiple Choice",4,IF(Q1305="Savings",5,IF(Q1305="Stem Completion",6,IF(Q1305="Fragment Completion",7,IF(Q1305="anagram solution",8,IF(Q1305="Matching",9,IF(Q1305="Problem Solving",10,"99"))))))))))</f>
        <v>3</v>
      </c>
      <c r="S1305" s="60" t="s">
        <v>15</v>
      </c>
      <c r="T1305" s="59" t="s">
        <v>581</v>
      </c>
      <c r="U1305" s="60">
        <f>IF(T1305="within",1,0)</f>
        <v>1</v>
      </c>
      <c r="V1305" s="59">
        <v>72</v>
      </c>
      <c r="W1305" s="60">
        <f>F1305*V1305</f>
        <v>864</v>
      </c>
      <c r="X1305" s="60">
        <v>3</v>
      </c>
      <c r="Y1305" s="76">
        <f>AV1304</f>
        <v>45</v>
      </c>
      <c r="Z1305" s="60" t="s">
        <v>115</v>
      </c>
      <c r="AA1305" s="60">
        <v>345600</v>
      </c>
      <c r="AB1305" s="60" t="str">
        <f>IF(AA1305&lt;60,"1",IF(AA1305&lt;=43200,"2",IF(AA1305&lt;=777600,"3","4")))</f>
        <v>3</v>
      </c>
      <c r="AC1305" s="56">
        <f>AVERAGE(AV1304:DA1304)</f>
        <v>117615</v>
      </c>
      <c r="AD1305" s="60" t="str">
        <f>IF(AC1305&lt;60,"1",IF(AC1305&lt;=43200,"2",IF(AC1305&lt;=777600,"3","4")))</f>
        <v>3</v>
      </c>
      <c r="AE1305" s="76">
        <f>AA1305-Y1305</f>
        <v>345555</v>
      </c>
      <c r="AF1305" s="80">
        <f>AV1305</f>
        <v>0.8</v>
      </c>
      <c r="AG1305" s="56">
        <f>((AW1305-AV1305)+(AX1305-AW1305))/2</f>
        <v>-5.0000000000000044E-2</v>
      </c>
      <c r="AH1305" s="4"/>
      <c r="AI1305" s="56">
        <f>RSQ(AV1305:AX1305,AV1304:AX1304)</f>
        <v>0.85509053184036254</v>
      </c>
      <c r="AJ1305" s="109">
        <f>SLOPE(AV1305:AX1305,AV1304:AX1304)</f>
        <v>-2.3569156042943552E-7</v>
      </c>
      <c r="AK1305" s="56">
        <f>INTERCEPT(AV1305:AX1305,AV1304:AX1304)</f>
        <v>0.78105419621324135</v>
      </c>
      <c r="AL1305" s="56">
        <f>INDEX(LINEST(LN(AV1305:AX1305),LN(AV1304:AX1304),TRUE,TRUE),3,1)</f>
        <v>0.95632061053920714</v>
      </c>
      <c r="AM1305" s="56">
        <f>INDEX(LINEST(LN(AV1305:AX1305),LN(AV1304:AX1304)),1)</f>
        <v>-1.4681956713335026E-2</v>
      </c>
      <c r="AN1305" s="56">
        <f>EXP(INDEX(LINEST(LN(AV1305:AX1305),LN(AV1304:AX1304)),1,2))</f>
        <v>0.85193821730224895</v>
      </c>
      <c r="AO1305" s="82">
        <f>INDEX(LINEST((AV1305:AX1305),LN(AV1304:AX1304),TRUE,TRUE),3,1)</f>
        <v>0.96339809934978771</v>
      </c>
      <c r="AP1305" s="82">
        <f>INDEX(LINEST((AV1305:AX1305),LN(AV1304:AX1304)),1)</f>
        <v>-1.1010955315994624E-2</v>
      </c>
      <c r="AQ1305" s="83">
        <f>INDEX(LINEST(LN(AV1305:AX1305),SQRT(AV1304:AX1304),TRUE,TRUE),3,1)</f>
        <v>0.9306964496421386</v>
      </c>
      <c r="AR1305" s="116">
        <f>INDEX(LINEST(LN(AV1305:AX1305),SQRT((AV1304:AX1304))),1)</f>
        <v>-2.0603250557295696E-4</v>
      </c>
      <c r="AS1305" s="84">
        <f>INDEX(LINEST(1/(AV1305:AX1305),1/(SQRT(AV1304:AX1304)),TRUE,TRUE),3,1)</f>
        <v>0.66891023040870945</v>
      </c>
      <c r="AT1305" s="84">
        <f>INDEX(LINEST(1/(AV1305:AX1305),1/SQRT(AV1304:AX1304)),1)</f>
        <v>-0.89717145670224652</v>
      </c>
      <c r="AU1305" s="3"/>
      <c r="AV1305" s="53">
        <v>0.8</v>
      </c>
      <c r="AW1305" s="53">
        <v>0.76</v>
      </c>
      <c r="AX1305" s="53">
        <v>0.7</v>
      </c>
      <c r="AY1305" s="42"/>
      <c r="AZ1305" s="46"/>
      <c r="BA1305" s="42"/>
      <c r="BB1305" s="42"/>
      <c r="BC1305" s="2"/>
      <c r="BD1305" s="2"/>
      <c r="BE1305" s="2"/>
      <c r="BF1305" s="2"/>
      <c r="BG1305" s="2"/>
      <c r="BH1305" s="2"/>
      <c r="BI1305" s="2"/>
      <c r="BJ1305" s="2"/>
      <c r="BK1305" s="2"/>
      <c r="BL1305" s="2"/>
      <c r="BM1305" s="2"/>
      <c r="BN1305" s="2"/>
      <c r="BO1305" s="2"/>
      <c r="BP1305" s="2"/>
      <c r="BQ1305" s="2"/>
      <c r="BR1305" s="2"/>
      <c r="BS1305" s="2"/>
      <c r="BT1305" s="2"/>
      <c r="BU1305" s="2"/>
      <c r="BV1305" s="2"/>
      <c r="BW1305" s="2"/>
      <c r="BX1305" s="2"/>
      <c r="BY1305" s="2"/>
      <c r="BZ1305" s="2"/>
      <c r="CA1305" s="2"/>
      <c r="CB1305" s="2"/>
      <c r="CC1305" s="2"/>
      <c r="CD1305" s="2"/>
      <c r="CE1305" s="2"/>
      <c r="CF1305" s="2"/>
      <c r="CG1305" s="2"/>
      <c r="CH1305" s="2"/>
      <c r="CI1305" s="2"/>
      <c r="CJ1305" s="2"/>
      <c r="CK1305" s="2"/>
      <c r="CL1305" s="2"/>
      <c r="CM1305" s="2"/>
      <c r="CN1305" s="2"/>
      <c r="CO1305" s="2"/>
      <c r="CP1305" s="2"/>
      <c r="CQ1305" s="2"/>
      <c r="CR1305" s="1"/>
      <c r="CS1305" s="1"/>
      <c r="CT1305" s="1"/>
      <c r="CU1305" s="1"/>
    </row>
    <row r="1306" spans="1:99" s="13" customFormat="1" ht="12" customHeight="1" x14ac:dyDescent="0.2">
      <c r="A1306" s="68">
        <v>43900</v>
      </c>
      <c r="B1306" s="70"/>
      <c r="C1306" s="70"/>
      <c r="D1306" s="69"/>
      <c r="E1306" s="87"/>
      <c r="F1306" s="69"/>
      <c r="G1306" s="69"/>
      <c r="H1306" s="69"/>
      <c r="I1306" s="69"/>
      <c r="J1306" s="69"/>
      <c r="K1306" s="107"/>
      <c r="L1306" s="107"/>
      <c r="M1306" s="69"/>
      <c r="N1306" s="86"/>
      <c r="O1306" s="69"/>
      <c r="P1306" s="69"/>
      <c r="Q1306" s="69"/>
      <c r="R1306" s="69"/>
      <c r="S1306" s="69"/>
      <c r="T1306" s="69"/>
      <c r="U1306" s="69"/>
      <c r="V1306" s="69"/>
      <c r="W1306" s="69"/>
      <c r="X1306" s="69"/>
      <c r="Y1306" s="87"/>
      <c r="Z1306" s="69"/>
      <c r="AA1306" s="69"/>
      <c r="AB1306" s="69"/>
      <c r="AC1306" s="72"/>
      <c r="AD1306" s="69"/>
      <c r="AE1306" s="69"/>
      <c r="AF1306" s="88"/>
      <c r="AG1306" s="72"/>
      <c r="AH1306" s="4"/>
      <c r="AI1306" s="72"/>
      <c r="AJ1306" s="110"/>
      <c r="AK1306" s="72"/>
      <c r="AL1306" s="72"/>
      <c r="AM1306" s="72"/>
      <c r="AN1306" s="72"/>
      <c r="AO1306" s="89"/>
      <c r="AP1306" s="89"/>
      <c r="AQ1306" s="90"/>
      <c r="AR1306" s="117"/>
      <c r="AS1306" s="91"/>
      <c r="AT1306" s="91"/>
      <c r="AU1306" s="3"/>
      <c r="AV1306" s="71">
        <v>6307200</v>
      </c>
      <c r="AW1306" s="71">
        <v>126144000</v>
      </c>
      <c r="AX1306" s="71">
        <v>189216000</v>
      </c>
      <c r="AY1306" s="71">
        <v>252880000</v>
      </c>
      <c r="AZ1306" s="71">
        <v>315360000</v>
      </c>
      <c r="BA1306" s="71">
        <v>378432000</v>
      </c>
      <c r="BB1306" s="71">
        <v>441504000</v>
      </c>
      <c r="BC1306" s="71">
        <v>504576000</v>
      </c>
      <c r="BD1306" s="30"/>
      <c r="BE1306" s="30"/>
      <c r="BF1306" s="30"/>
      <c r="BG1306" s="30"/>
      <c r="BH1306" s="30"/>
      <c r="BI1306" s="30"/>
      <c r="BJ1306" s="30"/>
      <c r="BK1306" s="30"/>
      <c r="BL1306" s="30"/>
      <c r="BM1306" s="30"/>
      <c r="BN1306" s="30"/>
      <c r="BO1306" s="30"/>
      <c r="BP1306" s="30"/>
      <c r="BQ1306" s="30"/>
      <c r="BR1306" s="30"/>
      <c r="BS1306" s="30"/>
      <c r="BT1306" s="30"/>
      <c r="BU1306" s="30"/>
      <c r="BV1306" s="30"/>
      <c r="BW1306" s="30"/>
      <c r="BX1306" s="30"/>
      <c r="BY1306" s="30"/>
      <c r="BZ1306" s="30"/>
      <c r="CA1306" s="30"/>
      <c r="CB1306" s="30"/>
      <c r="CC1306" s="30"/>
      <c r="CD1306" s="30"/>
      <c r="CE1306" s="30"/>
      <c r="CF1306" s="30"/>
      <c r="CG1306" s="30"/>
      <c r="CH1306" s="30"/>
      <c r="CI1306" s="30"/>
      <c r="CJ1306" s="30"/>
      <c r="CK1306" s="30"/>
      <c r="CL1306" s="30"/>
      <c r="CM1306" s="30"/>
      <c r="CN1306" s="30"/>
      <c r="CO1306" s="30"/>
      <c r="CP1306" s="30"/>
      <c r="CQ1306" s="30"/>
      <c r="CR1306" s="1"/>
      <c r="CS1306" s="1"/>
      <c r="CT1306" s="1"/>
      <c r="CU1306" s="1"/>
    </row>
    <row r="1307" spans="1:99" s="13" customFormat="1" ht="12" customHeight="1" x14ac:dyDescent="0.2">
      <c r="A1307" s="68">
        <v>43900</v>
      </c>
      <c r="B1307" s="70" t="s">
        <v>420</v>
      </c>
      <c r="C1307" s="70" t="s">
        <v>421</v>
      </c>
      <c r="D1307" s="69">
        <v>1975</v>
      </c>
      <c r="E1307" s="87">
        <v>1</v>
      </c>
      <c r="F1307" s="69">
        <v>17</v>
      </c>
      <c r="G1307" s="69">
        <v>17</v>
      </c>
      <c r="H1307" s="69" t="s">
        <v>50</v>
      </c>
      <c r="I1307" s="69" t="s">
        <v>422</v>
      </c>
      <c r="J1307" s="69" t="s">
        <v>376</v>
      </c>
      <c r="K1307" s="69">
        <f>IF(J1307="syllables",1,IF(J1307="trigrams",2,IF(J1307="strings",3,IF(J1307="visual array",4,IF(J1307="characters",5,IF(J1307="letters",6,IF(J1307="free forms",7,IF(J1307="odors",8,IF(J1307="words",9,IF(J1307="pictures",10,IF(J1307="object pictures",11,IF(J1307="faces",12,IF(J1307="names",13,IF(J1307="idioms",14,IF(J1307="grades",15,IF(J1307="syllable-digit pairs",16,IF(J1307="trigram-word pairs",17,IF(J1307="word-digit pairs",18,IF(J1307="English-Swahili pairs",19,IF(J1307="spatial position",20,IF(J1307="word pairs",21,IF(J1307="word triads",22,IF(J1307="generated words",23,IF(J1307="word definition pairs",24,IF(J1307="math problems",25,IF(J1307="famous faces",26,IF(J1307="famous names",27,IF(J1307="famous voices",28,IF(J1307="television programs",29,IF(J1307="race horses",30,IF(J1307="new vocabulary",31,IF(J1307="sentences",32,IF(J1307="concepts",33,IF(J1307="ad slides",34,IF(J1307="scenes",35,IF(J1307="famous scenes",36,IF(J1307="poems",37,IF(J1307="walk",38,IF(J1307="faces and events",39,IF(J1307="events and names",40,IF(J1307="flashbulb",41,IF(J1307="stories",42,IF(J1307="course material",43,IF(J1307="autobiographical",44,IF(J1307="novels",45,IF(J1307="public events",46,"99"))))))))))))))))))))))))))))))))))))))))))))))</f>
        <v>29</v>
      </c>
      <c r="L1307" s="69">
        <f>IF(J1307="syllables",1,IF(J1307="trigrams",1,IF(J1307="strings",1,IF(J1307="visual array",1,IF(J1307="characters",1,IF(J1307="letters",1,IF(J1307="free forms",1,IF(J1307="odors",2,IF(J1307="words",2,IF(J1307="pictures",2,IF(J1307="object pictures",2,IF(J1307="faces",2,IF(J1307="names",2,IF(J1307="idioms","2",IF(J1307="grades",2,IF(J1307="syllable-digit pairs",3,IF(J1307="trigram-word pairs",3,IF(J1307="word-digit pairs",3,IF(J1307="English-Swahili pairs",3,IF(J1307="spatial position",3,IF(J1307="word pairs",4,IF(J1307="word triads",4,IF(J1307="generated words",4,IF(J1307="word definition pairs",4,IF(J1307="math problems",4,IF(J1307="famous faces",4,IF(J1307="famous names",4,IF(J1307="famous voices",4,IF(J1307="television programs",4,IF(J1307="race horses",4,IF(J1307="new vocabulary",4,IF(J1307="sentences",5,IF(J1307="concepts",5,IF(J1307="ad slides",5,IF(J1307="scenes",5,IF(J1307="famous scenes",5,IF(J1307="poems",6,IF(J1307="walk",6,IF(J1307="faces and events",6,IF(J1307="events and names",6,IF(J1307="flashbulb",7,IF(J1307="stories",7,IF(J1307="course material",7,IF(J1307="autobiographical",7,IF(J1307="novels",7,IF(J1307="public events",7,"99"))))))))))))))))))))))))))))))))))))))))))))))</f>
        <v>4</v>
      </c>
      <c r="M1307" s="69">
        <v>1</v>
      </c>
      <c r="N1307" s="86">
        <v>3</v>
      </c>
      <c r="O1307" s="69">
        <v>0</v>
      </c>
      <c r="P1307" s="69"/>
      <c r="Q1307" s="69" t="s">
        <v>182</v>
      </c>
      <c r="R1307" s="69">
        <f>IF(Q1307="Free Recall",1,IF(Q1307="Cued Recall",2,IF(Q1307="Recognition",3,IF(Q1307="Multiple Choice",4,IF(Q1307="Savings",5,IF(Q1307="Stem Completion",6,IF(Q1307="Fragment Completion",7,IF(Q1307="anagram solution",8,IF(Q1307="Matching",9,IF(Q1307="Problem Solving",10,"99"))))))))))</f>
        <v>4</v>
      </c>
      <c r="S1307" s="69" t="s">
        <v>15</v>
      </c>
      <c r="T1307" s="92" t="s">
        <v>581</v>
      </c>
      <c r="U1307" s="69">
        <f>IF(T1307="within",1,0)</f>
        <v>1</v>
      </c>
      <c r="V1307" s="92">
        <v>213</v>
      </c>
      <c r="W1307" s="69">
        <f>F1307*V1307</f>
        <v>3621</v>
      </c>
      <c r="X1307" s="69">
        <v>8</v>
      </c>
      <c r="Y1307" s="87">
        <f>AV1306</f>
        <v>6307200</v>
      </c>
      <c r="Z1307" s="69" t="s">
        <v>217</v>
      </c>
      <c r="AA1307" s="69">
        <f>16*365*24*60*60</f>
        <v>504576000</v>
      </c>
      <c r="AB1307" s="69" t="str">
        <f>IF(AA1307&lt;60,"1",IF(AA1307&lt;=43200,"2",IF(AA1307&lt;=777600,"3","4")))</f>
        <v>4</v>
      </c>
      <c r="AC1307" s="72">
        <f>AVERAGE(AV1306:DA1306)</f>
        <v>276802400</v>
      </c>
      <c r="AD1307" s="69" t="str">
        <f>IF(AC1307&lt;60,"1",IF(AC1307&lt;=43200,"2",IF(AC1307&lt;=777600,"3","4")))</f>
        <v>4</v>
      </c>
      <c r="AE1307" s="87">
        <f>AA1307-Y1307</f>
        <v>498268800</v>
      </c>
      <c r="AF1307" s="88">
        <f>AV1307</f>
        <v>0.77</v>
      </c>
      <c r="AG1307" s="72">
        <f>((AW1307-AV1307)+(AX1307-AW1307)+(AY1307-AX1307)+(AZ1307-AY1307)+(BA1307-AZ1307)+(BB1307-BA1307)+(BC1307-BB1307))/7</f>
        <v>-5.7142857142857148E-2</v>
      </c>
      <c r="AH1307" s="4"/>
      <c r="AI1307" s="72">
        <f>RSQ(AV1307:BC1307,AV1306:BC1306)</f>
        <v>0.84165197076778375</v>
      </c>
      <c r="AJ1307" s="110">
        <f>SLOPE(AV1307:BC1307,AV1306:BC1306)</f>
        <v>-7.1302573686738804E-10</v>
      </c>
      <c r="AK1307" s="72">
        <f>INTERCEPT(AV1307:BC1307,AV1306:BC1306)</f>
        <v>0.77486723522666145</v>
      </c>
      <c r="AL1307" s="72">
        <f>INDEX(LINEST(LN(AV1307:BC1307),LN(AV1306:BC1306),TRUE,TRUE),3,1)</f>
        <v>0.55746450996835839</v>
      </c>
      <c r="AM1307" s="72">
        <f>INDEX(LINEST(LN(AV1307:BC1307),LN(AV1306:BC1306)),1)</f>
        <v>-0.12062843784819145</v>
      </c>
      <c r="AN1307" s="72">
        <f>EXP(INDEX(LINEST(LN(AV1307:BC1307),LN(AV1306:BC1306)),1,2))</f>
        <v>5.5842990177231622</v>
      </c>
      <c r="AO1307" s="89">
        <f>INDEX(LINEST((AV1307:BC1307),LN(AV1306:BC1306),TRUE,TRUE),3,1)</f>
        <v>0.63276134437053455</v>
      </c>
      <c r="AP1307" s="89">
        <f>INDEX(LINEST((AV1307:BC1307),LN(AV1306:BC1306)),1)</f>
        <v>-7.241424936809765E-2</v>
      </c>
      <c r="AQ1307" s="90">
        <f>INDEX(LINEST(LN(AV1307:BC1307),SQRT(AV1306:BC1306),TRUE,TRUE),3,1)</f>
        <v>0.74457930315813836</v>
      </c>
      <c r="AR1307" s="117">
        <f>INDEX(LINEST(LN(AV1307:BC1307),SQRT((AV1306:BC1306))),1)</f>
        <v>-3.0873369077025697E-5</v>
      </c>
      <c r="AS1307" s="91">
        <f>INDEX(LINEST(1/(AV1307:BC1307),1/(SQRT(AV1306:BC1306)),TRUE,TRUE),3,1)</f>
        <v>0.31392980893542943</v>
      </c>
      <c r="AT1307" s="91">
        <f>INDEX(LINEST(1/(AV1307:BC1307),1/SQRT(AV1306:BC1306)),1)</f>
        <v>-2023.0593240898297</v>
      </c>
      <c r="AU1307" s="3"/>
      <c r="AV1307" s="73">
        <v>0.77</v>
      </c>
      <c r="AW1307" s="73">
        <v>0.75</v>
      </c>
      <c r="AX1307" s="73">
        <v>0.59</v>
      </c>
      <c r="AY1307" s="73">
        <v>0.53</v>
      </c>
      <c r="AZ1307" s="73">
        <v>0.54</v>
      </c>
      <c r="BA1307" s="73">
        <v>0.55000000000000004</v>
      </c>
      <c r="BB1307" s="73">
        <v>0.52</v>
      </c>
      <c r="BC1307" s="73">
        <v>0.37</v>
      </c>
      <c r="BD1307" s="30"/>
      <c r="BE1307" s="30"/>
      <c r="BF1307" s="30"/>
      <c r="BG1307" s="30"/>
      <c r="BH1307" s="30"/>
      <c r="BI1307" s="30"/>
      <c r="BJ1307" s="30"/>
      <c r="BK1307" s="30"/>
      <c r="BL1307" s="30"/>
      <c r="BM1307" s="30"/>
      <c r="BN1307" s="30"/>
      <c r="BO1307" s="30"/>
      <c r="BP1307" s="30"/>
      <c r="BQ1307" s="30"/>
      <c r="BR1307" s="30"/>
      <c r="BS1307" s="30"/>
      <c r="BT1307" s="30"/>
      <c r="BU1307" s="30"/>
      <c r="BV1307" s="30"/>
      <c r="BW1307" s="30"/>
      <c r="BX1307" s="30"/>
      <c r="BY1307" s="30"/>
      <c r="BZ1307" s="30"/>
      <c r="CA1307" s="30"/>
      <c r="CB1307" s="30"/>
      <c r="CC1307" s="30"/>
      <c r="CD1307" s="30"/>
      <c r="CE1307" s="30"/>
      <c r="CF1307" s="30"/>
      <c r="CG1307" s="30"/>
      <c r="CH1307" s="30"/>
      <c r="CI1307" s="30"/>
      <c r="CJ1307" s="30"/>
      <c r="CK1307" s="30"/>
      <c r="CL1307" s="30"/>
      <c r="CM1307" s="30"/>
      <c r="CN1307" s="30"/>
      <c r="CO1307" s="30"/>
      <c r="CP1307" s="30"/>
      <c r="CQ1307" s="30"/>
      <c r="CR1307" s="1"/>
      <c r="CS1307" s="1"/>
      <c r="CT1307" s="1"/>
      <c r="CU1307" s="1"/>
    </row>
    <row r="1308" spans="1:99" s="13" customFormat="1" ht="12" customHeight="1" x14ac:dyDescent="0.2">
      <c r="A1308" s="68">
        <v>43900</v>
      </c>
      <c r="B1308" s="70"/>
      <c r="C1308" s="70"/>
      <c r="D1308" s="69"/>
      <c r="E1308" s="87"/>
      <c r="F1308" s="69"/>
      <c r="G1308" s="69"/>
      <c r="H1308" s="69"/>
      <c r="I1308" s="69"/>
      <c r="J1308" s="69"/>
      <c r="K1308" s="107"/>
      <c r="L1308" s="107"/>
      <c r="M1308" s="69"/>
      <c r="N1308" s="86"/>
      <c r="O1308" s="69"/>
      <c r="P1308" s="69"/>
      <c r="Q1308" s="69"/>
      <c r="R1308" s="69"/>
      <c r="S1308" s="69"/>
      <c r="T1308" s="69"/>
      <c r="U1308" s="69"/>
      <c r="V1308" s="69"/>
      <c r="W1308" s="69"/>
      <c r="X1308" s="69"/>
      <c r="Y1308" s="87"/>
      <c r="Z1308" s="69"/>
      <c r="AA1308" s="69"/>
      <c r="AB1308" s="69"/>
      <c r="AC1308" s="72"/>
      <c r="AD1308" s="69"/>
      <c r="AE1308" s="69"/>
      <c r="AF1308" s="88"/>
      <c r="AG1308" s="72"/>
      <c r="AH1308" s="4"/>
      <c r="AI1308" s="72"/>
      <c r="AJ1308" s="110"/>
      <c r="AK1308" s="72"/>
      <c r="AL1308" s="72"/>
      <c r="AM1308" s="72"/>
      <c r="AN1308" s="72"/>
      <c r="AO1308" s="89"/>
      <c r="AP1308" s="89"/>
      <c r="AQ1308" s="90"/>
      <c r="AR1308" s="117"/>
      <c r="AS1308" s="91"/>
      <c r="AT1308" s="91"/>
      <c r="AU1308" s="3"/>
      <c r="AV1308" s="71">
        <v>6307200</v>
      </c>
      <c r="AW1308" s="71">
        <v>126144000</v>
      </c>
      <c r="AX1308" s="71">
        <v>189216000</v>
      </c>
      <c r="AY1308" s="71">
        <v>252880000</v>
      </c>
      <c r="AZ1308" s="71">
        <v>315360000</v>
      </c>
      <c r="BA1308" s="71">
        <v>378432000</v>
      </c>
      <c r="BB1308" s="71">
        <v>441504000</v>
      </c>
      <c r="BC1308" s="71">
        <v>504576000</v>
      </c>
      <c r="BD1308" s="30"/>
      <c r="BE1308" s="30"/>
      <c r="BF1308" s="30"/>
      <c r="BG1308" s="30"/>
      <c r="BH1308" s="30"/>
      <c r="BI1308" s="30"/>
      <c r="BJ1308" s="30"/>
      <c r="BK1308" s="30"/>
      <c r="BL1308" s="30"/>
      <c r="BM1308" s="30"/>
      <c r="BN1308" s="30"/>
      <c r="BO1308" s="30"/>
      <c r="BP1308" s="30"/>
      <c r="BQ1308" s="30"/>
      <c r="BR1308" s="30"/>
      <c r="BS1308" s="30"/>
      <c r="BT1308" s="30"/>
      <c r="BU1308" s="30"/>
      <c r="BV1308" s="30"/>
      <c r="BW1308" s="30"/>
      <c r="BX1308" s="30"/>
      <c r="BY1308" s="30"/>
      <c r="BZ1308" s="30"/>
      <c r="CA1308" s="30"/>
      <c r="CB1308" s="30"/>
      <c r="CC1308" s="30"/>
      <c r="CD1308" s="30"/>
      <c r="CE1308" s="30"/>
      <c r="CF1308" s="30"/>
      <c r="CG1308" s="30"/>
      <c r="CH1308" s="30"/>
      <c r="CI1308" s="30"/>
      <c r="CJ1308" s="30"/>
      <c r="CK1308" s="30"/>
      <c r="CL1308" s="30"/>
      <c r="CM1308" s="30"/>
      <c r="CN1308" s="30"/>
      <c r="CO1308" s="30"/>
      <c r="CP1308" s="30"/>
      <c r="CQ1308" s="30"/>
      <c r="CR1308" s="1"/>
      <c r="CS1308" s="1"/>
      <c r="CT1308" s="1"/>
      <c r="CU1308" s="1"/>
    </row>
    <row r="1309" spans="1:99" s="13" customFormat="1" ht="12" customHeight="1" x14ac:dyDescent="0.2">
      <c r="A1309" s="68">
        <v>43900</v>
      </c>
      <c r="B1309" s="70" t="s">
        <v>420</v>
      </c>
      <c r="C1309" s="70" t="s">
        <v>421</v>
      </c>
      <c r="D1309" s="69">
        <v>1975</v>
      </c>
      <c r="E1309" s="87">
        <v>1</v>
      </c>
      <c r="F1309" s="69">
        <v>42</v>
      </c>
      <c r="G1309" s="69">
        <v>42</v>
      </c>
      <c r="H1309" s="69" t="s">
        <v>41</v>
      </c>
      <c r="I1309" s="69" t="s">
        <v>422</v>
      </c>
      <c r="J1309" s="69" t="s">
        <v>423</v>
      </c>
      <c r="K1309" s="69">
        <f>IF(J1309="syllables",1,IF(J1309="trigrams",2,IF(J1309="strings",3,IF(J1309="visual array",4,IF(J1309="characters",5,IF(J1309="letters",6,IF(J1309="free forms",7,IF(J1309="odors",8,IF(J1309="words",9,IF(J1309="pictures",10,IF(J1309="object pictures",11,IF(J1309="faces",12,IF(J1309="names",13,IF(J1309="idioms",14,IF(J1309="grades",15,IF(J1309="syllable-digit pairs",16,IF(J1309="trigram-word pairs",17,IF(J1309="word-digit pairs",18,IF(J1309="English-Swahili pairs",19,IF(J1309="spatial position",20,IF(J1309="word pairs",21,IF(J1309="word triads",22,IF(J1309="generated words",23,IF(J1309="word definition pairs",24,IF(J1309="math problems",25,IF(J1309="famous faces",26,IF(J1309="famous names",27,IF(J1309="famous voices",28,IF(J1309="television programs",29,IF(J1309="race horses",30,IF(J1309="new vocabulary",31,IF(J1309="sentences",32,IF(J1309="concepts",33,IF(J1309="ad slides",34,IF(J1309="scenes",35,IF(J1309="famous scenes",36,IF(J1309="poems",37,IF(J1309="walk",38,IF(J1309="faces and events",39,IF(J1309="events and names",40,IF(J1309="flashbulb",41,IF(J1309="stories",42,IF(J1309="course material",43,IF(J1309="autobiographical",44,IF(J1309="novels",45,IF(J1309="public events",46,"99"))))))))))))))))))))))))))))))))))))))))))))))</f>
        <v>30</v>
      </c>
      <c r="L1309" s="69">
        <f>IF(J1309="syllables",1,IF(J1309="trigrams",1,IF(J1309="strings",1,IF(J1309="visual array",1,IF(J1309="characters",1,IF(J1309="letters",1,IF(J1309="free forms",1,IF(J1309="odors",2,IF(J1309="words",2,IF(J1309="pictures",2,IF(J1309="object pictures",2,IF(J1309="faces",2,IF(J1309="names",2,IF(J1309="idioms","2",IF(J1309="grades",2,IF(J1309="syllable-digit pairs",3,IF(J1309="trigram-word pairs",3,IF(J1309="word-digit pairs",3,IF(J1309="English-Swahili pairs",3,IF(J1309="spatial position",3,IF(J1309="word pairs",4,IF(J1309="word triads",4,IF(J1309="generated words",4,IF(J1309="word definition pairs",4,IF(J1309="math problems",4,IF(J1309="famous faces",4,IF(J1309="famous names",4,IF(J1309="famous voices",4,IF(J1309="television programs",4,IF(J1309="race horses",4,IF(J1309="new vocabulary",4,IF(J1309="sentences",5,IF(J1309="concepts",5,IF(J1309="ad slides",5,IF(J1309="scenes",5,IF(J1309="famous scenes",5,IF(J1309="poems",6,IF(J1309="walk",6,IF(J1309="faces and events",6,IF(J1309="events and names",6,IF(J1309="flashbulb",7,IF(J1309="stories",7,IF(J1309="course material",7,IF(J1309="autobiographical",7,IF(J1309="novels",7,IF(J1309="public events",7,"99"))))))))))))))))))))))))))))))))))))))))))))))</f>
        <v>4</v>
      </c>
      <c r="M1309" s="69">
        <v>1</v>
      </c>
      <c r="N1309" s="86">
        <v>3</v>
      </c>
      <c r="O1309" s="69">
        <v>0</v>
      </c>
      <c r="P1309" s="69"/>
      <c r="Q1309" s="69" t="s">
        <v>182</v>
      </c>
      <c r="R1309" s="69">
        <f>IF(Q1309="Free Recall",1,IF(Q1309="Cued Recall",2,IF(Q1309="Recognition",3,IF(Q1309="Multiple Choice",4,IF(Q1309="Savings",5,IF(Q1309="Stem Completion",6,IF(Q1309="Fragment Completion",7,IF(Q1309="anagram solution",8,IF(Q1309="Matching",9,IF(Q1309="Problem Solving",10,"99"))))))))))</f>
        <v>4</v>
      </c>
      <c r="S1309" s="69" t="s">
        <v>15</v>
      </c>
      <c r="T1309" s="92" t="s">
        <v>581</v>
      </c>
      <c r="U1309" s="69">
        <f>IF(T1309="within",1,0)</f>
        <v>1</v>
      </c>
      <c r="V1309" s="92">
        <v>39</v>
      </c>
      <c r="W1309" s="69">
        <f>F1309*V1309</f>
        <v>1638</v>
      </c>
      <c r="X1309" s="69">
        <v>8</v>
      </c>
      <c r="Y1309" s="87">
        <f>AV1308</f>
        <v>6307200</v>
      </c>
      <c r="Z1309" s="69" t="s">
        <v>217</v>
      </c>
      <c r="AA1309" s="69">
        <f>16*365*24*60*60</f>
        <v>504576000</v>
      </c>
      <c r="AB1309" s="69" t="str">
        <f>IF(AA1309&lt;60,"1",IF(AA1309&lt;=43200,"2",IF(AA1309&lt;=777600,"3","4")))</f>
        <v>4</v>
      </c>
      <c r="AC1309" s="72">
        <f>AVERAGE(AV1308:DA1308)</f>
        <v>276802400</v>
      </c>
      <c r="AD1309" s="69" t="str">
        <f>IF(AC1309&lt;60,"1",IF(AC1309&lt;=43200,"2",IF(AC1309&lt;=777600,"3","4")))</f>
        <v>4</v>
      </c>
      <c r="AE1309" s="87">
        <f>AA1309-Y1309</f>
        <v>498268800</v>
      </c>
      <c r="AF1309" s="88">
        <f>AV1309</f>
        <v>0.52</v>
      </c>
      <c r="AG1309" s="72">
        <f>((AW1309-AV1309)+(AX1309-AW1309)+(AY1309-AX1309)+(AZ1309-AY1309)+(BA1309-AZ1309)+(BB1309-BA1309)+(BC1309-BB1309))/7</f>
        <v>-1.428571428571429E-2</v>
      </c>
      <c r="AH1309" s="4"/>
      <c r="AI1309" s="72">
        <f>RSQ(AV1309:BC1309,AV1308:BC1308)</f>
        <v>0.41485514313612515</v>
      </c>
      <c r="AJ1309" s="110">
        <f>SLOPE(AV1309:BC1309,AV1308:BC1308)</f>
        <v>-2.1140553926577457E-10</v>
      </c>
      <c r="AK1309" s="72">
        <f>INTERCEPT(AV1309:BC1309,AV1308:BC1308)</f>
        <v>0.50851756064206066</v>
      </c>
      <c r="AL1309" s="72">
        <f>INDEX(LINEST(LN(AV1309:BC1309),LN(AV1308:BC1308),TRUE,TRUE),3,1)</f>
        <v>0.43017657743839155</v>
      </c>
      <c r="AM1309" s="72">
        <f>INDEX(LINEST(LN(AV1309:BC1309),LN(AV1308:BC1308)),1)</f>
        <v>-5.3262785369837355E-2</v>
      </c>
      <c r="AN1309" s="72">
        <f>EXP(INDEX(LINEST(LN(AV1309:BC1309),LN(AV1308:BC1308)),1,2))</f>
        <v>1.2303644974538894</v>
      </c>
      <c r="AO1309" s="89">
        <f>INDEX(LINEST((AV1309:BC1309),LN(AV1308:BC1308),TRUE,TRUE),3,1)</f>
        <v>0.42721848718458738</v>
      </c>
      <c r="AP1309" s="89">
        <f>INDEX(LINEST((AV1309:BC1309),LN(AV1308:BC1308)),1)</f>
        <v>-2.5128020144778281E-2</v>
      </c>
      <c r="AQ1309" s="90">
        <f>INDEX(LINEST(LN(AV1309:BC1309),SQRT(AV1308:BC1308),TRUE,TRUE),3,1)</f>
        <v>0.46427879106537523</v>
      </c>
      <c r="AR1309" s="117">
        <f>INDEX(LINEST(LN(AV1309:BC1309),SQRT((AV1308:BC1308))),1)</f>
        <v>-1.2253985710145961E-5</v>
      </c>
      <c r="AS1309" s="91">
        <f>INDEX(LINEST(1/(AV1309:BC1309),1/(SQRT(AV1308:BC1308)),TRUE,TRUE),3,1)</f>
        <v>0.35264088979053837</v>
      </c>
      <c r="AT1309" s="91">
        <f>INDEX(LINEST(1/(AV1309:BC1309),1/SQRT(AV1308:BC1308)),1)</f>
        <v>-1215.8032699521555</v>
      </c>
      <c r="AU1309" s="3"/>
      <c r="AV1309" s="73">
        <v>0.52</v>
      </c>
      <c r="AW1309" s="73">
        <v>0.55000000000000004</v>
      </c>
      <c r="AX1309" s="73">
        <v>0.41</v>
      </c>
      <c r="AY1309" s="73">
        <v>0.41</v>
      </c>
      <c r="AZ1309" s="73">
        <v>0.41</v>
      </c>
      <c r="BA1309" s="73">
        <v>0.45</v>
      </c>
      <c r="BB1309" s="73">
        <v>0.43</v>
      </c>
      <c r="BC1309" s="73">
        <v>0.42</v>
      </c>
      <c r="BD1309" s="30"/>
      <c r="BE1309" s="30"/>
      <c r="BF1309" s="30"/>
      <c r="BG1309" s="30"/>
      <c r="BH1309" s="30"/>
      <c r="BI1309" s="30"/>
      <c r="BJ1309" s="30"/>
      <c r="BK1309" s="30"/>
      <c r="BL1309" s="30"/>
      <c r="BM1309" s="30"/>
      <c r="BN1309" s="30"/>
      <c r="BO1309" s="30"/>
      <c r="BP1309" s="30"/>
      <c r="BQ1309" s="30"/>
      <c r="BR1309" s="30"/>
      <c r="BS1309" s="30"/>
      <c r="BT1309" s="30"/>
      <c r="BU1309" s="30"/>
      <c r="BV1309" s="30"/>
      <c r="BW1309" s="30"/>
      <c r="BX1309" s="30"/>
      <c r="BY1309" s="30"/>
      <c r="BZ1309" s="30"/>
      <c r="CA1309" s="30"/>
      <c r="CB1309" s="30"/>
      <c r="CC1309" s="30"/>
      <c r="CD1309" s="30"/>
      <c r="CE1309" s="30"/>
      <c r="CF1309" s="30"/>
      <c r="CG1309" s="30"/>
      <c r="CH1309" s="30"/>
      <c r="CI1309" s="30"/>
      <c r="CJ1309" s="30"/>
      <c r="CK1309" s="30"/>
      <c r="CL1309" s="30"/>
      <c r="CM1309" s="30"/>
      <c r="CN1309" s="30"/>
      <c r="CO1309" s="30"/>
      <c r="CP1309" s="30"/>
      <c r="CQ1309" s="30"/>
      <c r="CR1309" s="1"/>
      <c r="CS1309" s="1"/>
      <c r="CT1309" s="1"/>
      <c r="CU1309" s="1"/>
    </row>
    <row r="1310" spans="1:99" s="13" customFormat="1" ht="12" customHeight="1" x14ac:dyDescent="0.2">
      <c r="A1310" s="65">
        <v>43897</v>
      </c>
      <c r="B1310" s="22"/>
      <c r="C1310" s="1"/>
      <c r="D1310" s="60"/>
      <c r="E1310" s="76"/>
      <c r="F1310" s="60"/>
      <c r="G1310" s="60"/>
      <c r="H1310" s="60"/>
      <c r="I1310" s="60"/>
      <c r="J1310" s="60"/>
      <c r="K1310" s="64"/>
      <c r="L1310" s="64"/>
      <c r="M1310" s="60"/>
      <c r="N1310" s="61"/>
      <c r="O1310" s="60"/>
      <c r="P1310" s="60"/>
      <c r="Q1310" s="60"/>
      <c r="R1310" s="60"/>
      <c r="S1310" s="60"/>
      <c r="T1310" s="59"/>
      <c r="U1310" s="60"/>
      <c r="V1310" s="59"/>
      <c r="W1310" s="60"/>
      <c r="X1310" s="60"/>
      <c r="Y1310" s="76"/>
      <c r="Z1310" s="60"/>
      <c r="AA1310" s="60"/>
      <c r="AB1310" s="60"/>
      <c r="AC1310" s="56"/>
      <c r="AD1310" s="60"/>
      <c r="AE1310" s="60"/>
      <c r="AF1310" s="80"/>
      <c r="AG1310" s="56"/>
      <c r="AH1310" s="4"/>
      <c r="AI1310" s="56"/>
      <c r="AJ1310" s="109"/>
      <c r="AK1310" s="56"/>
      <c r="AL1310" s="56"/>
      <c r="AM1310" s="56"/>
      <c r="AN1310" s="56"/>
      <c r="AO1310" s="82"/>
      <c r="AP1310" s="82"/>
      <c r="AQ1310" s="83"/>
      <c r="AR1310" s="116"/>
      <c r="AS1310" s="84"/>
      <c r="AT1310" s="84"/>
      <c r="AU1310" s="3"/>
      <c r="AV1310" s="53">
        <v>0.01</v>
      </c>
      <c r="AW1310" s="25">
        <v>3</v>
      </c>
      <c r="AX1310" s="25">
        <v>9</v>
      </c>
      <c r="AY1310" s="25">
        <v>18</v>
      </c>
      <c r="AZ1310" s="46"/>
      <c r="BA1310" s="42"/>
      <c r="BB1310" s="42"/>
      <c r="BC1310" s="32"/>
      <c r="BD1310" s="32"/>
      <c r="BE1310" s="32"/>
      <c r="BF1310" s="32"/>
      <c r="BG1310" s="32"/>
      <c r="BH1310" s="32"/>
      <c r="BI1310" s="32"/>
      <c r="BJ1310" s="32"/>
      <c r="BK1310" s="32"/>
      <c r="BL1310" s="32"/>
      <c r="BM1310" s="32"/>
      <c r="BN1310" s="32"/>
      <c r="BO1310" s="32"/>
      <c r="BP1310" s="32"/>
      <c r="BQ1310" s="32"/>
      <c r="BR1310" s="32"/>
      <c r="BS1310" s="32"/>
      <c r="BT1310" s="32"/>
      <c r="BU1310" s="32"/>
      <c r="BV1310" s="32"/>
      <c r="BW1310" s="32"/>
      <c r="BX1310" s="32"/>
      <c r="BY1310" s="32"/>
      <c r="BZ1310" s="32"/>
      <c r="CA1310" s="32"/>
      <c r="CB1310" s="32"/>
      <c r="CC1310" s="32"/>
      <c r="CD1310" s="32"/>
      <c r="CE1310" s="32"/>
      <c r="CF1310" s="32"/>
      <c r="CG1310" s="32"/>
      <c r="CH1310" s="32"/>
      <c r="CI1310" s="32"/>
      <c r="CJ1310" s="32"/>
      <c r="CK1310" s="32"/>
      <c r="CL1310" s="32"/>
      <c r="CM1310" s="32"/>
      <c r="CN1310" s="32"/>
      <c r="CO1310" s="32"/>
      <c r="CP1310" s="32"/>
      <c r="CQ1310" s="32"/>
      <c r="CR1310" s="1"/>
      <c r="CS1310" s="1"/>
      <c r="CT1310" s="1"/>
      <c r="CU1310" s="1"/>
    </row>
    <row r="1311" spans="1:99" s="13" customFormat="1" ht="12" customHeight="1" x14ac:dyDescent="0.2">
      <c r="A1311" s="65">
        <v>43897</v>
      </c>
      <c r="B1311" s="22" t="s">
        <v>411</v>
      </c>
      <c r="C1311" s="22" t="s">
        <v>54</v>
      </c>
      <c r="D1311" s="66">
        <v>1978</v>
      </c>
      <c r="E1311" s="76">
        <v>1</v>
      </c>
      <c r="F1311" s="60">
        <v>10</v>
      </c>
      <c r="G1311" s="60">
        <v>10</v>
      </c>
      <c r="H1311" s="60" t="s">
        <v>50</v>
      </c>
      <c r="I1311" s="60" t="s">
        <v>330</v>
      </c>
      <c r="J1311" s="60" t="s">
        <v>443</v>
      </c>
      <c r="K1311" s="60">
        <f>IF(J1311="syllables",1,IF(J1311="trigrams",2,IF(J1311="strings",3,IF(J1311="visual array",4,IF(J1311="characters",5,IF(J1311="letters",6,IF(J1311="free forms",7,IF(J1311="odors",8,IF(J1311="words",9,IF(J1311="pictures",10,IF(J1311="object pictures",11,IF(J1311="faces",12,IF(J1311="names",13,IF(J1311="idioms",14,IF(J1311="grades",15,IF(J1311="syllable-digit pairs",16,IF(J1311="trigram-word pairs",17,IF(J1311="word-digit pairs",18,IF(J1311="English-Swahili pairs",19,IF(J1311="spatial position",20,IF(J1311="word pairs",21,IF(J1311="word triads",22,IF(J1311="generated words",23,IF(J1311="word definition pairs",24,IF(J1311="math problems",25,IF(J1311="famous faces",26,IF(J1311="famous names",27,IF(J1311="famous voices",28,IF(J1311="television programs",29,IF(J1311="race horses",30,IF(J1311="new vocabulary",31,IF(J1311="sentences",32,IF(J1311="concepts",33,IF(J1311="ad slides",34,IF(J1311="scenes",35,IF(J1311="famous scenes",36,IF(J1311="poems",37,IF(J1311="walk",38,IF(J1311="faces and events",39,IF(J1311="events and names",40,IF(J1311="flashbulb",41,IF(J1311="stories",42,IF(J1311="course material",43,IF(J1311="autobiographical",44,IF(J1311="novels",45,IF(J1311="public events",46,"99"))))))))))))))))))))))))))))))))))))))))))))))</f>
        <v>2</v>
      </c>
      <c r="L1311" s="60">
        <f>IF(J1311="syllables",1,IF(J1311="trigrams",1,IF(J1311="strings",1,IF(J1311="visual array",1,IF(J1311="characters",1,IF(J1311="letters",1,IF(J1311="free forms",1,IF(J1311="odors",2,IF(J1311="words",2,IF(J1311="pictures",2,IF(J1311="object pictures",2,IF(J1311="faces",2,IF(J1311="names",2,IF(J1311="idioms","2",IF(J1311="grades",2,IF(J1311="syllable-digit pairs",3,IF(J1311="trigram-word pairs",3,IF(J1311="word-digit pairs",3,IF(J1311="English-Swahili pairs",3,IF(J1311="spatial position",3,IF(J1311="word pairs",4,IF(J1311="word triads",4,IF(J1311="generated words",4,IF(J1311="word definition pairs",4,IF(J1311="math problems",4,IF(J1311="famous faces",4,IF(J1311="famous names",4,IF(J1311="famous voices",4,IF(J1311="television programs",4,IF(J1311="race horses",4,IF(J1311="new vocabulary",4,IF(J1311="sentences",5,IF(J1311="concepts",5,IF(J1311="ad slides",5,IF(J1311="scenes",5,IF(J1311="famous scenes",5,IF(J1311="poems",6,IF(J1311="walk",6,IF(J1311="faces and events",6,IF(J1311="events and names",6,IF(J1311="flashbulb",7,IF(J1311="stories",7,IF(J1311="course material",7,IF(J1311="autobiographical",7,IF(J1311="novels",7,IF(J1311="public events",7,"99"))))))))))))))))))))))))))))))))))))))))))))))</f>
        <v>1</v>
      </c>
      <c r="M1311" s="60">
        <v>0</v>
      </c>
      <c r="N1311" s="61">
        <v>1</v>
      </c>
      <c r="O1311" s="60">
        <v>1</v>
      </c>
      <c r="P1311" s="60"/>
      <c r="Q1311" s="60" t="s">
        <v>174</v>
      </c>
      <c r="R1311" s="60">
        <f>IF(Q1311="Free Recall",1,IF(Q1311="Cued Recall",2,IF(Q1311="Recognition",3,IF(Q1311="Multiple Choice",4,IF(Q1311="Savings",5,IF(Q1311="Stem Completion",6,IF(Q1311="Fragment Completion",7,IF(Q1311="anagram solution",8,IF(Q1311="Matching",9,IF(Q1311="Problem Solving",10,"99"))))))))))</f>
        <v>1</v>
      </c>
      <c r="S1311" s="60" t="s">
        <v>15</v>
      </c>
      <c r="T1311" s="59" t="s">
        <v>581</v>
      </c>
      <c r="U1311" s="60">
        <f>IF(T1311="within",1,0)</f>
        <v>1</v>
      </c>
      <c r="V1311" s="59">
        <v>32</v>
      </c>
      <c r="W1311" s="60">
        <f>F1311*V1311</f>
        <v>320</v>
      </c>
      <c r="X1311" s="60">
        <v>4</v>
      </c>
      <c r="Y1311" s="76">
        <f>AV1310</f>
        <v>0.01</v>
      </c>
      <c r="Z1311" s="60" t="s">
        <v>28</v>
      </c>
      <c r="AA1311" s="60">
        <v>18</v>
      </c>
      <c r="AB1311" s="60" t="str">
        <f>IF(AA1311&lt;60,"1",IF(AA1311&lt;=43200,"2",IF(AA1311&lt;=777600,"3","4")))</f>
        <v>1</v>
      </c>
      <c r="AC1311" s="56">
        <f>AVERAGE(AV1310:DA1310)</f>
        <v>7.5024999999999995</v>
      </c>
      <c r="AD1311" s="60" t="str">
        <f>IF(AC1311&lt;60,"1",IF(AC1311&lt;=43200,"2",IF(AC1311&lt;=777600,"3","4")))</f>
        <v>1</v>
      </c>
      <c r="AE1311" s="76">
        <f>AA1311-Y1311</f>
        <v>17.989999999999998</v>
      </c>
      <c r="AF1311" s="80">
        <f>AV1311</f>
        <v>0.99</v>
      </c>
      <c r="AG1311" s="56">
        <f>((AW1311-AV1311)+(AX1311-AW1311)+(AY1311-AX1311))/3</f>
        <v>-5.9999999999999977E-2</v>
      </c>
      <c r="AH1311" s="4"/>
      <c r="AI1311" s="56">
        <f>RSQ(AV1311:AY1311,AV1310:AY1310)</f>
        <v>0.71224467162972138</v>
      </c>
      <c r="AJ1311" s="109">
        <f>SLOPE(AV1311:AY1311,AV1310:AY1310)</f>
        <v>-1.0399386921080115E-2</v>
      </c>
      <c r="AK1311" s="56">
        <f>INTERCEPT(AV1311:AY1311,AV1310:AY1310)</f>
        <v>0.96052140037540346</v>
      </c>
      <c r="AL1311" s="56">
        <f>INDEX(LINEST(LN(AV1311:AY1311),LN(AV1310:AY1310),TRUE,TRUE),3,1)</f>
        <v>0.69362640900125294</v>
      </c>
      <c r="AM1311" s="56">
        <f>INDEX(LINEST(LN(AV1311:AY1311),LN(AV1310:AY1310)),1)</f>
        <v>-2.6987568669954182E-2</v>
      </c>
      <c r="AN1311" s="56">
        <f>EXP(INDEX(LINEST(LN(AV1311:AY1311),LN(AV1310:AY1310)),1,2))</f>
        <v>0.8878742288057252</v>
      </c>
      <c r="AO1311" s="82">
        <f>INDEX(LINEST((AV1311:AY1311),LN(AV1310:AY1310),TRUE,TRUE),3,1)</f>
        <v>0.71148462142574109</v>
      </c>
      <c r="AP1311" s="82">
        <f>INDEX(LINEST((AV1311:AY1311),LN(AV1310:AY1310)),1)</f>
        <v>-2.4153291012754471E-2</v>
      </c>
      <c r="AQ1311" s="83">
        <f>INDEX(LINEST(LN(AV1311:AY1311),SQRT(AV1310:AY1310),TRUE,TRUE),3,1)</f>
        <v>0.82212104362828831</v>
      </c>
      <c r="AR1311" s="116">
        <f>INDEX(LINEST(LN(AV1311:AY1311),SQRT((AV1310:AY1310))),1)</f>
        <v>-5.6603601646302834E-2</v>
      </c>
      <c r="AS1311" s="84">
        <f>INDEX(LINEST(1/(AV1311:AY1311),1/(SQRT(AV1310:AY1310)),TRUE,TRUE),3,1)</f>
        <v>0.52830032955316664</v>
      </c>
      <c r="AT1311" s="84">
        <f>INDEX(LINEST(1/(AV1311:AY1311),1/SQRT(AV1310:AY1310)),1)</f>
        <v>-1.8989822798779931E-2</v>
      </c>
      <c r="AU1311" s="3"/>
      <c r="AV1311" s="53">
        <v>0.99</v>
      </c>
      <c r="AW1311" s="53">
        <v>0.94</v>
      </c>
      <c r="AX1311" s="53">
        <v>0.79</v>
      </c>
      <c r="AY1311" s="53">
        <v>0.81</v>
      </c>
      <c r="AZ1311" s="46"/>
      <c r="BA1311" s="42"/>
      <c r="BB1311" s="42"/>
      <c r="BC1311" s="32"/>
      <c r="BD1311" s="32"/>
      <c r="BE1311" s="32"/>
      <c r="BF1311" s="32"/>
      <c r="BG1311" s="32"/>
      <c r="BH1311" s="32"/>
      <c r="BI1311" s="32"/>
      <c r="BJ1311" s="32"/>
      <c r="BK1311" s="32"/>
      <c r="BL1311" s="32"/>
      <c r="BM1311" s="32"/>
      <c r="BN1311" s="32"/>
      <c r="BO1311" s="32"/>
      <c r="BP1311" s="32"/>
      <c r="BQ1311" s="32"/>
      <c r="BR1311" s="32"/>
      <c r="BS1311" s="32"/>
      <c r="BT1311" s="32"/>
      <c r="BU1311" s="32"/>
      <c r="BV1311" s="32"/>
      <c r="BW1311" s="32"/>
      <c r="BX1311" s="32"/>
      <c r="BY1311" s="32"/>
      <c r="BZ1311" s="32"/>
      <c r="CA1311" s="32"/>
      <c r="CB1311" s="32"/>
      <c r="CC1311" s="32"/>
      <c r="CD1311" s="32"/>
      <c r="CE1311" s="32"/>
      <c r="CF1311" s="32"/>
      <c r="CG1311" s="32"/>
      <c r="CH1311" s="32"/>
      <c r="CI1311" s="32"/>
      <c r="CJ1311" s="32"/>
      <c r="CK1311" s="32"/>
      <c r="CL1311" s="32"/>
      <c r="CM1311" s="32"/>
      <c r="CN1311" s="32"/>
      <c r="CO1311" s="32"/>
      <c r="CP1311" s="32"/>
      <c r="CQ1311" s="32"/>
      <c r="CR1311" s="1"/>
      <c r="CS1311" s="1"/>
      <c r="CT1311" s="1"/>
      <c r="CU1311" s="1"/>
    </row>
    <row r="1312" spans="1:99" s="13" customFormat="1" ht="12" customHeight="1" x14ac:dyDescent="0.2">
      <c r="A1312" s="65">
        <v>43897</v>
      </c>
      <c r="B1312" s="22"/>
      <c r="C1312" s="1"/>
      <c r="D1312" s="60"/>
      <c r="E1312" s="76"/>
      <c r="F1312" s="60"/>
      <c r="G1312" s="60"/>
      <c r="H1312" s="60"/>
      <c r="I1312" s="60"/>
      <c r="J1312" s="60"/>
      <c r="K1312" s="64"/>
      <c r="L1312" s="64"/>
      <c r="M1312" s="60"/>
      <c r="N1312" s="61"/>
      <c r="O1312" s="60"/>
      <c r="P1312" s="60"/>
      <c r="Q1312" s="60"/>
      <c r="R1312" s="60"/>
      <c r="S1312" s="60"/>
      <c r="T1312" s="60"/>
      <c r="U1312" s="60"/>
      <c r="V1312" s="60"/>
      <c r="W1312" s="60"/>
      <c r="X1312" s="60"/>
      <c r="Y1312" s="76"/>
      <c r="Z1312" s="60"/>
      <c r="AA1312" s="60"/>
      <c r="AB1312" s="60"/>
      <c r="AC1312" s="56"/>
      <c r="AD1312" s="60"/>
      <c r="AE1312" s="60"/>
      <c r="AF1312" s="80"/>
      <c r="AG1312" s="56"/>
      <c r="AH1312" s="4"/>
      <c r="AI1312" s="56"/>
      <c r="AJ1312" s="109"/>
      <c r="AK1312" s="56"/>
      <c r="AL1312" s="56"/>
      <c r="AM1312" s="56"/>
      <c r="AN1312" s="56"/>
      <c r="AO1312" s="56"/>
      <c r="AP1312" s="56"/>
      <c r="AQ1312" s="56"/>
      <c r="AR1312" s="109"/>
      <c r="AS1312" s="56"/>
      <c r="AT1312" s="56"/>
      <c r="AU1312" s="5"/>
      <c r="AV1312" s="25">
        <v>94608000</v>
      </c>
      <c r="AW1312" s="25">
        <v>409968000</v>
      </c>
      <c r="AX1312" s="25">
        <v>725328000</v>
      </c>
      <c r="AY1312" s="53"/>
      <c r="AZ1312" s="46"/>
      <c r="BA1312" s="42"/>
      <c r="BB1312" s="42"/>
      <c r="BC1312" s="30"/>
      <c r="BD1312" s="30"/>
      <c r="BE1312" s="30"/>
      <c r="BF1312" s="30"/>
      <c r="BG1312" s="30"/>
      <c r="BH1312" s="30"/>
      <c r="BI1312" s="30"/>
      <c r="BJ1312" s="30"/>
      <c r="BK1312" s="30"/>
      <c r="BL1312" s="30"/>
      <c r="BM1312" s="30"/>
      <c r="BN1312" s="30"/>
      <c r="BO1312" s="30"/>
      <c r="BP1312" s="30"/>
      <c r="BQ1312" s="30"/>
      <c r="BR1312" s="30"/>
      <c r="BS1312" s="30"/>
      <c r="BT1312" s="30"/>
      <c r="BU1312" s="30"/>
      <c r="BV1312" s="30"/>
      <c r="BW1312" s="30"/>
      <c r="BX1312" s="30"/>
      <c r="BY1312" s="30"/>
      <c r="BZ1312" s="30"/>
      <c r="CA1312" s="30"/>
      <c r="CB1312" s="30"/>
      <c r="CC1312" s="30"/>
      <c r="CD1312" s="30"/>
      <c r="CE1312" s="30"/>
      <c r="CF1312" s="30"/>
      <c r="CG1312" s="30"/>
      <c r="CH1312" s="30"/>
      <c r="CI1312" s="30"/>
      <c r="CJ1312" s="30"/>
      <c r="CK1312" s="30"/>
      <c r="CL1312" s="30"/>
      <c r="CM1312" s="30"/>
      <c r="CN1312" s="30"/>
      <c r="CO1312" s="30"/>
      <c r="CP1312" s="30"/>
      <c r="CQ1312" s="30"/>
      <c r="CR1312" s="1"/>
      <c r="CS1312" s="1"/>
      <c r="CT1312" s="1"/>
      <c r="CU1312" s="1"/>
    </row>
    <row r="1313" spans="1:99" s="13" customFormat="1" ht="12" customHeight="1" x14ac:dyDescent="0.2">
      <c r="A1313" s="65">
        <v>43897</v>
      </c>
      <c r="B1313" s="22" t="s">
        <v>411</v>
      </c>
      <c r="C1313" s="22" t="s">
        <v>54</v>
      </c>
      <c r="D1313" s="66">
        <v>1978</v>
      </c>
      <c r="E1313" s="76">
        <v>1</v>
      </c>
      <c r="F1313" s="60">
        <v>7</v>
      </c>
      <c r="G1313" s="60">
        <v>7</v>
      </c>
      <c r="H1313" s="60" t="s">
        <v>41</v>
      </c>
      <c r="I1313" s="60" t="s">
        <v>330</v>
      </c>
      <c r="J1313" s="60" t="s">
        <v>340</v>
      </c>
      <c r="K1313" s="60">
        <f>IF(J1313="syllables",1,IF(J1313="trigrams",2,IF(J1313="strings",3,IF(J1313="visual array",4,IF(J1313="characters",5,IF(J1313="letters",6,IF(J1313="free forms",7,IF(J1313="odors",8,IF(J1313="words",9,IF(J1313="pictures",10,IF(J1313="object pictures",11,IF(J1313="faces",12,IF(J1313="names",13,IF(J1313="idioms",14,IF(J1313="grades",15,IF(J1313="syllable-digit pairs",16,IF(J1313="trigram-word pairs",17,IF(J1313="word-digit pairs",18,IF(J1313="English-Swahili pairs",19,IF(J1313="spatial position",20,IF(J1313="word pairs",21,IF(J1313="word triads",22,IF(J1313="generated words",23,IF(J1313="word definition pairs",24,IF(J1313="math problems",25,IF(J1313="famous faces",26,IF(J1313="famous names",27,IF(J1313="famous voices",28,IF(J1313="television programs",29,IF(J1313="race horses",30,IF(J1313="new vocabulary",31,IF(J1313="sentences",32,IF(J1313="concepts",33,IF(J1313="ad slides",34,IF(J1313="scenes",35,IF(J1313="famous scenes",36,IF(J1313="poems",37,IF(J1313="walk",38,IF(J1313="faces and events",39,IF(J1313="events and names",40,IF(J1313="flashbulb",41,IF(J1313="stories",42,IF(J1313="course material",43,IF(J1313="autobiographical",44,IF(J1313="novels",45,IF(J1313="public events",46,"99"))))))))))))))))))))))))))))))))))))))))))))))</f>
        <v>46</v>
      </c>
      <c r="L1313" s="60">
        <f>IF(J1313="syllables",1,IF(J1313="trigrams",1,IF(J1313="strings",1,IF(J1313="visual array",1,IF(J1313="characters",1,IF(J1313="letters",1,IF(J1313="free forms",1,IF(J1313="odors",2,IF(J1313="words",2,IF(J1313="pictures",2,IF(J1313="object pictures",2,IF(J1313="faces",2,IF(J1313="names",2,IF(J1313="idioms","2",IF(J1313="grades",2,IF(J1313="syllable-digit pairs",3,IF(J1313="trigram-word pairs",3,IF(J1313="word-digit pairs",3,IF(J1313="English-Swahili pairs",3,IF(J1313="spatial position",3,IF(J1313="word pairs",4,IF(J1313="word triads",4,IF(J1313="generated words",4,IF(J1313="word definition pairs",4,IF(J1313="math problems",4,IF(J1313="famous faces",4,IF(J1313="famous names",4,IF(J1313="famous voices",4,IF(J1313="television programs",4,IF(J1313="race horses",4,IF(J1313="new vocabulary",4,IF(J1313="sentences",5,IF(J1313="concepts",5,IF(J1313="ad slides",5,IF(J1313="scenes",5,IF(J1313="famous scenes",5,IF(J1313="poems",6,IF(J1313="walk",6,IF(J1313="faces and events",6,IF(J1313="events and names",6,IF(J1313="flashbulb",7,IF(J1313="stories",7,IF(J1313="course material",7,IF(J1313="autobiographical",7,IF(J1313="novels",7,IF(J1313="public events",7,"99"))))))))))))))))))))))))))))))))))))))))))))))</f>
        <v>7</v>
      </c>
      <c r="M1313" s="60">
        <v>1</v>
      </c>
      <c r="N1313" s="61">
        <v>4</v>
      </c>
      <c r="O1313" s="60">
        <v>0</v>
      </c>
      <c r="P1313" s="60"/>
      <c r="Q1313" s="60" t="s">
        <v>182</v>
      </c>
      <c r="R1313" s="60">
        <f>IF(Q1313="Free Recall",1,IF(Q1313="Cued Recall",2,IF(Q1313="Recognition",3,IF(Q1313="Multiple Choice",4,IF(Q1313="Savings",5,IF(Q1313="Stem Completion",6,IF(Q1313="Fragment Completion",7,IF(Q1313="anagram solution",8,IF(Q1313="Matching",9,IF(Q1313="Problem Solving",10,"99"))))))))))</f>
        <v>4</v>
      </c>
      <c r="S1313" s="60" t="s">
        <v>15</v>
      </c>
      <c r="T1313" s="59" t="s">
        <v>581</v>
      </c>
      <c r="U1313" s="60">
        <f>IF(T1313="within",1,0)</f>
        <v>1</v>
      </c>
      <c r="V1313" s="59">
        <v>23</v>
      </c>
      <c r="W1313" s="60">
        <f>F1313*V1313</f>
        <v>161</v>
      </c>
      <c r="X1313" s="60">
        <v>3</v>
      </c>
      <c r="Y1313" s="76">
        <f>AV1312</f>
        <v>94608000</v>
      </c>
      <c r="Z1313" s="59" t="s">
        <v>432</v>
      </c>
      <c r="AA1313" s="60">
        <f>23*365*24*60*60</f>
        <v>725328000</v>
      </c>
      <c r="AB1313" s="60" t="str">
        <f>IF(AA1313&lt;60,"1",IF(AA1313&lt;=43200,"2",IF(AA1313&lt;=777600,"3","4")))</f>
        <v>4</v>
      </c>
      <c r="AC1313" s="56">
        <f>AVERAGE(AV1312:DA1312)</f>
        <v>409968000</v>
      </c>
      <c r="AD1313" s="60" t="str">
        <f>IF(AC1313&lt;60,"1",IF(AC1313&lt;=43200,"2",IF(AC1313&lt;=777600,"3","4")))</f>
        <v>4</v>
      </c>
      <c r="AE1313" s="76">
        <f>AA1313-Y1313</f>
        <v>630720000</v>
      </c>
      <c r="AF1313" s="80">
        <f>AV1313</f>
        <v>0.9009009009009008</v>
      </c>
      <c r="AG1313" s="56">
        <f>((AW1313-AV1313)+(AX1313-AW1313))/2</f>
        <v>-0.25045045045045045</v>
      </c>
      <c r="AH1313" s="4"/>
      <c r="AI1313" s="56">
        <f>RSQ(AV1313:AX1313,AV1312:AX1312)</f>
        <v>0.8409828939352354</v>
      </c>
      <c r="AJ1313" s="109">
        <f>SLOPE(AV1313:AX1313,AV1312:AX1312)</f>
        <v>-7.9417316860239214E-10</v>
      </c>
      <c r="AK1313" s="56">
        <f>INTERCEPT(AV1313:AX1313,AV1312:AX1312)</f>
        <v>1.0389127058092575</v>
      </c>
      <c r="AL1313" s="56">
        <f>INDEX(LINEST(LN(AV1313:AX1313),LN(AV1312:AX1312),TRUE,TRUE),3,1)</f>
        <v>0.59175143297794408</v>
      </c>
      <c r="AM1313" s="56">
        <f>INDEX(LINEST(LN(AV1313:AX1313),LN(AV1312:AX1312)),1)</f>
        <v>-0.32918904841306779</v>
      </c>
      <c r="AN1313" s="56">
        <f>EXP(INDEX(LINEST(LN(AV1313:AX1313),LN(AV1312:AX1312)),1,2))</f>
        <v>416.27551107417361</v>
      </c>
      <c r="AO1313" s="82">
        <f>INDEX(LINEST((AV1313:AX1313),LN(AV1312:AX1312),TRUE,TRUE),3,1)</f>
        <v>0.62522034398677628</v>
      </c>
      <c r="AP1313" s="82">
        <f>INDEX(LINEST((AV1313:AX1313),LN(AV1312:AX1312)),1)</f>
        <v>-0.20551432330535421</v>
      </c>
      <c r="AQ1313" s="83">
        <f>INDEX(LINEST(LN(AV1313:AX1313),SQRT(AV1312:AX1312),TRUE,TRUE),3,1)</f>
        <v>0.70651195556299196</v>
      </c>
      <c r="AR1313" s="116">
        <f>INDEX(LINEST(LN(AV1313:AX1313),SQRT((AV1312:AX1312))),1)</f>
        <v>-4.3574981825090494E-5</v>
      </c>
      <c r="AS1313" s="84">
        <f>INDEX(LINEST(1/(AV1313:AX1313),1/(SQRT(AV1312:AX1312)),TRUE,TRUE),3,1)</f>
        <v>0.46708065521575803</v>
      </c>
      <c r="AT1313" s="84">
        <f>INDEX(LINEST(1/(AV1313:AX1313),1/SQRT(AV1312:AX1312)),1)</f>
        <v>-15263.761375494571</v>
      </c>
      <c r="AU1313" s="3"/>
      <c r="AV1313" s="53">
        <v>0.9009009009009008</v>
      </c>
      <c r="AW1313" s="53">
        <v>0.83908045977011492</v>
      </c>
      <c r="AX1313" s="53">
        <v>0.39999999999999997</v>
      </c>
      <c r="AY1313" s="53"/>
      <c r="AZ1313" s="46"/>
      <c r="BA1313" s="42"/>
      <c r="BB1313" s="42"/>
      <c r="BC1313" s="30"/>
      <c r="BD1313" s="30"/>
      <c r="BE1313" s="30"/>
      <c r="BF1313" s="30"/>
      <c r="BG1313" s="30"/>
      <c r="BH1313" s="30"/>
      <c r="BI1313" s="30"/>
      <c r="BJ1313" s="30"/>
      <c r="BK1313" s="30"/>
      <c r="BL1313" s="30"/>
      <c r="BM1313" s="30"/>
      <c r="BN1313" s="30"/>
      <c r="BO1313" s="30"/>
      <c r="BP1313" s="30"/>
      <c r="BQ1313" s="30"/>
      <c r="BR1313" s="30"/>
      <c r="BS1313" s="30"/>
      <c r="BT1313" s="30"/>
      <c r="BU1313" s="30"/>
      <c r="BV1313" s="30"/>
      <c r="BW1313" s="30"/>
      <c r="BX1313" s="30"/>
      <c r="BY1313" s="30"/>
      <c r="BZ1313" s="30"/>
      <c r="CA1313" s="30"/>
      <c r="CB1313" s="30"/>
      <c r="CC1313" s="30"/>
      <c r="CD1313" s="30"/>
      <c r="CE1313" s="30"/>
      <c r="CF1313" s="30"/>
      <c r="CG1313" s="30"/>
      <c r="CH1313" s="30"/>
      <c r="CI1313" s="30"/>
      <c r="CJ1313" s="30"/>
      <c r="CK1313" s="30"/>
      <c r="CL1313" s="30"/>
      <c r="CM1313" s="30"/>
      <c r="CN1313" s="30"/>
      <c r="CO1313" s="30"/>
      <c r="CP1313" s="30"/>
      <c r="CQ1313" s="30"/>
      <c r="CR1313" s="1"/>
      <c r="CS1313" s="1"/>
      <c r="CT1313" s="1"/>
      <c r="CU1313" s="1"/>
    </row>
    <row r="1314" spans="1:99" s="13" customFormat="1" ht="12" customHeight="1" x14ac:dyDescent="0.2">
      <c r="A1314" s="65">
        <v>43897</v>
      </c>
      <c r="B1314" s="22"/>
      <c r="C1314" s="1"/>
      <c r="D1314" s="60"/>
      <c r="E1314" s="76"/>
      <c r="F1314" s="60"/>
      <c r="G1314" s="60"/>
      <c r="H1314" s="60"/>
      <c r="I1314" s="60"/>
      <c r="J1314" s="60"/>
      <c r="K1314" s="64"/>
      <c r="L1314" s="64"/>
      <c r="M1314" s="60"/>
      <c r="N1314" s="61"/>
      <c r="O1314" s="60"/>
      <c r="P1314" s="60"/>
      <c r="Q1314" s="60"/>
      <c r="R1314" s="60"/>
      <c r="S1314" s="60"/>
      <c r="T1314" s="60"/>
      <c r="U1314" s="60"/>
      <c r="V1314" s="60"/>
      <c r="W1314" s="60"/>
      <c r="X1314" s="60"/>
      <c r="Y1314" s="76"/>
      <c r="Z1314" s="60"/>
      <c r="AA1314" s="60"/>
      <c r="AB1314" s="60"/>
      <c r="AC1314" s="56"/>
      <c r="AD1314" s="60"/>
      <c r="AE1314" s="60"/>
      <c r="AF1314" s="80"/>
      <c r="AG1314" s="56"/>
      <c r="AH1314" s="4"/>
      <c r="AI1314" s="56"/>
      <c r="AJ1314" s="109"/>
      <c r="AK1314" s="56"/>
      <c r="AL1314" s="56"/>
      <c r="AM1314" s="56"/>
      <c r="AN1314" s="56"/>
      <c r="AO1314" s="56"/>
      <c r="AP1314" s="56"/>
      <c r="AQ1314" s="56"/>
      <c r="AR1314" s="109"/>
      <c r="AS1314" s="56"/>
      <c r="AT1314" s="56"/>
      <c r="AU1314" s="5"/>
      <c r="AV1314" s="25">
        <v>94608000</v>
      </c>
      <c r="AW1314" s="25">
        <v>409968000</v>
      </c>
      <c r="AX1314" s="25">
        <v>725328000</v>
      </c>
      <c r="AY1314" s="53"/>
      <c r="AZ1314" s="46"/>
      <c r="BA1314" s="42"/>
      <c r="BB1314" s="42"/>
      <c r="BC1314" s="30"/>
      <c r="BD1314" s="30"/>
      <c r="BE1314" s="30"/>
      <c r="BF1314" s="30"/>
      <c r="BG1314" s="30"/>
      <c r="BH1314" s="30"/>
      <c r="BI1314" s="30"/>
      <c r="BJ1314" s="30"/>
      <c r="BK1314" s="30"/>
      <c r="BL1314" s="30"/>
      <c r="BM1314" s="30"/>
      <c r="BN1314" s="30"/>
      <c r="BO1314" s="30"/>
      <c r="BP1314" s="30"/>
      <c r="BQ1314" s="30"/>
      <c r="BR1314" s="30"/>
      <c r="BS1314" s="30"/>
      <c r="BT1314" s="30"/>
      <c r="BU1314" s="30"/>
      <c r="BV1314" s="30"/>
      <c r="BW1314" s="30"/>
      <c r="BX1314" s="30"/>
      <c r="BY1314" s="30"/>
      <c r="BZ1314" s="30"/>
      <c r="CA1314" s="30"/>
      <c r="CB1314" s="30"/>
      <c r="CC1314" s="30"/>
      <c r="CD1314" s="30"/>
      <c r="CE1314" s="30"/>
      <c r="CF1314" s="30"/>
      <c r="CG1314" s="30"/>
      <c r="CH1314" s="30"/>
      <c r="CI1314" s="30"/>
      <c r="CJ1314" s="30"/>
      <c r="CK1314" s="30"/>
      <c r="CL1314" s="30"/>
      <c r="CM1314" s="30"/>
      <c r="CN1314" s="30"/>
      <c r="CO1314" s="30"/>
      <c r="CP1314" s="30"/>
      <c r="CQ1314" s="30"/>
      <c r="CR1314" s="1"/>
      <c r="CS1314" s="1"/>
      <c r="CT1314" s="1"/>
      <c r="CU1314" s="1"/>
    </row>
    <row r="1315" spans="1:99" s="13" customFormat="1" ht="12" customHeight="1" x14ac:dyDescent="0.2">
      <c r="A1315" s="65">
        <v>43897</v>
      </c>
      <c r="B1315" s="22" t="s">
        <v>411</v>
      </c>
      <c r="C1315" s="22" t="s">
        <v>54</v>
      </c>
      <c r="D1315" s="66">
        <v>1978</v>
      </c>
      <c r="E1315" s="76">
        <v>1</v>
      </c>
      <c r="F1315" s="60">
        <v>9</v>
      </c>
      <c r="G1315" s="60">
        <v>9</v>
      </c>
      <c r="H1315" s="60" t="s">
        <v>41</v>
      </c>
      <c r="I1315" s="60" t="s">
        <v>330</v>
      </c>
      <c r="J1315" s="60" t="s">
        <v>376</v>
      </c>
      <c r="K1315" s="60">
        <f>IF(J1315="syllables",1,IF(J1315="trigrams",2,IF(J1315="strings",3,IF(J1315="visual array",4,IF(J1315="characters",5,IF(J1315="letters",6,IF(J1315="free forms",7,IF(J1315="odors",8,IF(J1315="words",9,IF(J1315="pictures",10,IF(J1315="object pictures",11,IF(J1315="faces",12,IF(J1315="names",13,IF(J1315="idioms",14,IF(J1315="grades",15,IF(J1315="syllable-digit pairs",16,IF(J1315="trigram-word pairs",17,IF(J1315="word-digit pairs",18,IF(J1315="English-Swahili pairs",19,IF(J1315="spatial position",20,IF(J1315="word pairs",21,IF(J1315="word triads",22,IF(J1315="generated words",23,IF(J1315="word definition pairs",24,IF(J1315="math problems",25,IF(J1315="famous faces",26,IF(J1315="famous names",27,IF(J1315="famous voices",28,IF(J1315="television programs",29,IF(J1315="race horses",30,IF(J1315="new vocabulary",31,IF(J1315="sentences",32,IF(J1315="concepts",33,IF(J1315="ad slides",34,IF(J1315="scenes",35,IF(J1315="famous scenes",36,IF(J1315="poems",37,IF(J1315="walk",38,IF(J1315="faces and events",39,IF(J1315="events and names",40,IF(J1315="flashbulb",41,IF(J1315="stories",42,IF(J1315="course material",43,IF(J1315="autobiographical",44,IF(J1315="novels",45,IF(J1315="public events",46,"99"))))))))))))))))))))))))))))))))))))))))))))))</f>
        <v>29</v>
      </c>
      <c r="L1315" s="60">
        <f>IF(J1315="syllables",1,IF(J1315="trigrams",1,IF(J1315="strings",1,IF(J1315="visual array",1,IF(J1315="characters",1,IF(J1315="letters",1,IF(J1315="free forms",1,IF(J1315="odors",2,IF(J1315="words",2,IF(J1315="pictures",2,IF(J1315="object pictures",2,IF(J1315="faces",2,IF(J1315="names",2,IF(J1315="idioms","2",IF(J1315="grades",2,IF(J1315="syllable-digit pairs",3,IF(J1315="trigram-word pairs",3,IF(J1315="word-digit pairs",3,IF(J1315="English-Swahili pairs",3,IF(J1315="spatial position",3,IF(J1315="word pairs",4,IF(J1315="word triads",4,IF(J1315="generated words",4,IF(J1315="word definition pairs",4,IF(J1315="math problems",4,IF(J1315="famous faces",4,IF(J1315="famous names",4,IF(J1315="famous voices",4,IF(J1315="television programs",4,IF(J1315="race horses",4,IF(J1315="new vocabulary",4,IF(J1315="sentences",5,IF(J1315="concepts",5,IF(J1315="ad slides",5,IF(J1315="scenes",5,IF(J1315="famous scenes",5,IF(J1315="poems",6,IF(J1315="walk",6,IF(J1315="faces and events",6,IF(J1315="events and names",6,IF(J1315="flashbulb",7,IF(J1315="stories",7,IF(J1315="course material",7,IF(J1315="autobiographical",7,IF(J1315="novels",7,IF(J1315="public events",7,"99"))))))))))))))))))))))))))))))))))))))))))))))</f>
        <v>4</v>
      </c>
      <c r="M1315" s="60">
        <v>1</v>
      </c>
      <c r="N1315" s="61">
        <v>2</v>
      </c>
      <c r="O1315" s="60">
        <v>0</v>
      </c>
      <c r="P1315" s="60"/>
      <c r="Q1315" s="60" t="s">
        <v>182</v>
      </c>
      <c r="R1315" s="60">
        <f>IF(Q1315="Free Recall",1,IF(Q1315="Cued Recall",2,IF(Q1315="Recognition",3,IF(Q1315="Multiple Choice",4,IF(Q1315="Savings",5,IF(Q1315="Stem Completion",6,IF(Q1315="Fragment Completion",7,IF(Q1315="anagram solution",8,IF(Q1315="Matching",9,IF(Q1315="Problem Solving",10,"99"))))))))))</f>
        <v>4</v>
      </c>
      <c r="S1315" s="60" t="s">
        <v>15</v>
      </c>
      <c r="T1315" s="59" t="s">
        <v>581</v>
      </c>
      <c r="U1315" s="60">
        <f>IF(T1315="within",1,0)</f>
        <v>1</v>
      </c>
      <c r="V1315" s="59">
        <v>31</v>
      </c>
      <c r="W1315" s="60">
        <f>F1315*V1315</f>
        <v>279</v>
      </c>
      <c r="X1315" s="60">
        <v>3</v>
      </c>
      <c r="Y1315" s="76">
        <f>AV1314</f>
        <v>94608000</v>
      </c>
      <c r="Z1315" s="59" t="s">
        <v>432</v>
      </c>
      <c r="AA1315" s="60">
        <f>23*365*24*60*60</f>
        <v>725328000</v>
      </c>
      <c r="AB1315" s="60" t="str">
        <f>IF(AA1315&lt;60,"1",IF(AA1315&lt;=43200,"2",IF(AA1315&lt;=777600,"3","4")))</f>
        <v>4</v>
      </c>
      <c r="AC1315" s="56">
        <f>AVERAGE(AV1314:DA1314)</f>
        <v>409968000</v>
      </c>
      <c r="AD1315" s="60" t="str">
        <f>IF(AC1315&lt;60,"1",IF(AC1315&lt;=43200,"2",IF(AC1315&lt;=777600,"3","4")))</f>
        <v>4</v>
      </c>
      <c r="AE1315" s="76">
        <f>AA1315-Y1315</f>
        <v>630720000</v>
      </c>
      <c r="AF1315" s="80">
        <f>AV1315</f>
        <v>0.45</v>
      </c>
      <c r="AG1315" s="56">
        <f>((AW1315-AV1315)+(AX1315-AW1315))/2</f>
        <v>-9.5000000000000001E-2</v>
      </c>
      <c r="AH1315" s="4"/>
      <c r="AI1315" s="56">
        <f>RSQ(AV1315:AX1315,AV1314:AX1314)</f>
        <v>0.99175824175824179</v>
      </c>
      <c r="AJ1315" s="109">
        <f>SLOPE(AV1315:AX1315,AV1314:AX1314)</f>
        <v>-3.0124302384576357E-10</v>
      </c>
      <c r="AK1315" s="56">
        <f>INTERCEPT(AV1315:AX1315,AV1314:AX1314)</f>
        <v>0.48350000000000004</v>
      </c>
      <c r="AL1315" s="56">
        <f>INDEX(LINEST(LN(AV1315:AX1315),LN(AV1314:AX1314),TRUE,TRUE),3,1)</f>
        <v>0.839283711646996</v>
      </c>
      <c r="AM1315" s="56">
        <f>INDEX(LINEST(LN(AV1315:AX1315),LN(AV1314:AX1314)),1)</f>
        <v>-0.24238493146155224</v>
      </c>
      <c r="AN1315" s="56">
        <f>EXP(INDEX(LINEST(LN(AV1315:AX1315),LN(AV1314:AX1314)),1,2))</f>
        <v>39.960512735498241</v>
      </c>
      <c r="AO1315" s="82">
        <f>INDEX(LINEST((AV1315:AX1315),LN(AV1314:AX1314),TRUE,TRUE),3,1)</f>
        <v>0.88905966925320146</v>
      </c>
      <c r="AP1315" s="82">
        <f>INDEX(LINEST((AV1315:AX1315),LN(AV1314:AX1314)),1)</f>
        <v>-8.5601910933902847E-2</v>
      </c>
      <c r="AQ1315" s="83">
        <f>INDEX(LINEST(LN(AV1315:AX1315),SQRT(AV1314:AX1314),TRUE,TRUE),3,1)</f>
        <v>0.9171974001109594</v>
      </c>
      <c r="AR1315" s="116">
        <f>INDEX(LINEST(LN(AV1315:AX1315),SQRT((AV1314:AX1314))),1)</f>
        <v>-3.0696182269585762E-5</v>
      </c>
      <c r="AS1315" s="84">
        <f>INDEX(LINEST(1/(AV1315:AX1315),1/(SQRT(AV1314:AX1314)),TRUE,TRUE),3,1)</f>
        <v>0.70088844565873698</v>
      </c>
      <c r="AT1315" s="84">
        <f>INDEX(LINEST(1/(AV1315:AX1315),1/SQRT(AV1314:AX1314)),1)</f>
        <v>-19997.89397598946</v>
      </c>
      <c r="AU1315" s="3"/>
      <c r="AV1315" s="53">
        <v>0.45</v>
      </c>
      <c r="AW1315" s="53">
        <v>0.37</v>
      </c>
      <c r="AX1315" s="53">
        <v>0.26</v>
      </c>
      <c r="AY1315" s="53"/>
      <c r="AZ1315" s="46"/>
      <c r="BA1315" s="42"/>
      <c r="BB1315" s="42"/>
      <c r="BC1315" s="30"/>
      <c r="BD1315" s="30"/>
      <c r="BE1315" s="30"/>
      <c r="BF1315" s="30"/>
      <c r="BG1315" s="30"/>
      <c r="BH1315" s="30"/>
      <c r="BI1315" s="30"/>
      <c r="BJ1315" s="30"/>
      <c r="BK1315" s="30"/>
      <c r="BL1315" s="30"/>
      <c r="BM1315" s="30"/>
      <c r="BN1315" s="30"/>
      <c r="BO1315" s="30"/>
      <c r="BP1315" s="30"/>
      <c r="BQ1315" s="30"/>
      <c r="BR1315" s="30"/>
      <c r="BS1315" s="30"/>
      <c r="BT1315" s="30"/>
      <c r="BU1315" s="30"/>
      <c r="BV1315" s="30"/>
      <c r="BW1315" s="30"/>
      <c r="BX1315" s="30"/>
      <c r="BY1315" s="30"/>
      <c r="BZ1315" s="30"/>
      <c r="CA1315" s="30"/>
      <c r="CB1315" s="30"/>
      <c r="CC1315" s="30"/>
      <c r="CD1315" s="30"/>
      <c r="CE1315" s="30"/>
      <c r="CF1315" s="30"/>
      <c r="CG1315" s="30"/>
      <c r="CH1315" s="30"/>
      <c r="CI1315" s="30"/>
      <c r="CJ1315" s="30"/>
      <c r="CK1315" s="30"/>
      <c r="CL1315" s="30"/>
      <c r="CM1315" s="30"/>
      <c r="CN1315" s="30"/>
      <c r="CO1315" s="30"/>
      <c r="CP1315" s="30"/>
      <c r="CQ1315" s="30"/>
      <c r="CR1315" s="1"/>
      <c r="CS1315" s="1"/>
      <c r="CT1315" s="1"/>
      <c r="CU1315" s="1"/>
    </row>
    <row r="1316" spans="1:99" s="13" customFormat="1" ht="12" customHeight="1" x14ac:dyDescent="0.2">
      <c r="A1316" s="65">
        <v>43897</v>
      </c>
      <c r="B1316" s="22"/>
      <c r="C1316" s="1"/>
      <c r="D1316" s="60"/>
      <c r="E1316" s="76"/>
      <c r="F1316" s="60"/>
      <c r="G1316" s="60"/>
      <c r="H1316" s="60"/>
      <c r="I1316" s="60"/>
      <c r="J1316" s="60"/>
      <c r="K1316" s="64"/>
      <c r="L1316" s="64"/>
      <c r="M1316" s="60"/>
      <c r="N1316" s="61"/>
      <c r="O1316" s="60"/>
      <c r="P1316" s="60"/>
      <c r="Q1316" s="60"/>
      <c r="R1316" s="60"/>
      <c r="S1316" s="60"/>
      <c r="T1316" s="60"/>
      <c r="U1316" s="60"/>
      <c r="V1316" s="60"/>
      <c r="W1316" s="60"/>
      <c r="X1316" s="60"/>
      <c r="Y1316" s="76"/>
      <c r="Z1316" s="60"/>
      <c r="AA1316" s="60"/>
      <c r="AB1316" s="60"/>
      <c r="AC1316" s="56"/>
      <c r="AD1316" s="60"/>
      <c r="AE1316" s="60"/>
      <c r="AF1316" s="80"/>
      <c r="AG1316" s="56"/>
      <c r="AH1316" s="4"/>
      <c r="AI1316" s="56"/>
      <c r="AJ1316" s="109"/>
      <c r="AK1316" s="56"/>
      <c r="AL1316" s="56"/>
      <c r="AM1316" s="56"/>
      <c r="AN1316" s="56"/>
      <c r="AO1316" s="56"/>
      <c r="AP1316" s="56"/>
      <c r="AQ1316" s="56"/>
      <c r="AR1316" s="109"/>
      <c r="AS1316" s="56"/>
      <c r="AT1316" s="56"/>
      <c r="AU1316" s="5"/>
      <c r="AV1316" s="25">
        <v>94608000</v>
      </c>
      <c r="AW1316" s="25">
        <v>409968000</v>
      </c>
      <c r="AX1316" s="25">
        <v>725328000</v>
      </c>
      <c r="AY1316" s="53"/>
      <c r="AZ1316" s="46"/>
      <c r="BA1316" s="42"/>
      <c r="BB1316" s="42"/>
      <c r="BC1316" s="30"/>
      <c r="BD1316" s="30"/>
      <c r="BE1316" s="30"/>
      <c r="BF1316" s="30"/>
      <c r="BG1316" s="30"/>
      <c r="BH1316" s="30"/>
      <c r="BI1316" s="30"/>
      <c r="BJ1316" s="30"/>
      <c r="BK1316" s="30"/>
      <c r="BL1316" s="30"/>
      <c r="BM1316" s="30"/>
      <c r="BN1316" s="30"/>
      <c r="BO1316" s="30"/>
      <c r="BP1316" s="30"/>
      <c r="BQ1316" s="30"/>
      <c r="BR1316" s="30"/>
      <c r="BS1316" s="30"/>
      <c r="BT1316" s="30"/>
      <c r="BU1316" s="30"/>
      <c r="BV1316" s="30"/>
      <c r="BW1316" s="30"/>
      <c r="BX1316" s="30"/>
      <c r="BY1316" s="30"/>
      <c r="BZ1316" s="30"/>
      <c r="CA1316" s="30"/>
      <c r="CB1316" s="30"/>
      <c r="CC1316" s="30"/>
      <c r="CD1316" s="30"/>
      <c r="CE1316" s="30"/>
      <c r="CF1316" s="30"/>
      <c r="CG1316" s="30"/>
      <c r="CH1316" s="30"/>
      <c r="CI1316" s="30"/>
      <c r="CJ1316" s="30"/>
      <c r="CK1316" s="30"/>
      <c r="CL1316" s="30"/>
      <c r="CM1316" s="30"/>
      <c r="CN1316" s="30"/>
      <c r="CO1316" s="30"/>
      <c r="CP1316" s="30"/>
      <c r="CQ1316" s="30"/>
      <c r="CR1316" s="1"/>
      <c r="CS1316" s="1"/>
      <c r="CT1316" s="1"/>
      <c r="CU1316" s="1"/>
    </row>
    <row r="1317" spans="1:99" s="13" customFormat="1" ht="12" customHeight="1" x14ac:dyDescent="0.2">
      <c r="A1317" s="65">
        <v>43897</v>
      </c>
      <c r="B1317" s="22" t="s">
        <v>411</v>
      </c>
      <c r="C1317" s="22" t="s">
        <v>54</v>
      </c>
      <c r="D1317" s="66">
        <v>1978</v>
      </c>
      <c r="E1317" s="76">
        <v>1</v>
      </c>
      <c r="F1317" s="60">
        <v>10</v>
      </c>
      <c r="G1317" s="60">
        <v>10</v>
      </c>
      <c r="H1317" s="60" t="s">
        <v>32</v>
      </c>
      <c r="I1317" s="60" t="s">
        <v>330</v>
      </c>
      <c r="J1317" s="60" t="s">
        <v>340</v>
      </c>
      <c r="K1317" s="60">
        <f>IF(J1317="syllables",1,IF(J1317="trigrams",2,IF(J1317="strings",3,IF(J1317="visual array",4,IF(J1317="characters",5,IF(J1317="letters",6,IF(J1317="free forms",7,IF(J1317="odors",8,IF(J1317="words",9,IF(J1317="pictures",10,IF(J1317="object pictures",11,IF(J1317="faces",12,IF(J1317="names",13,IF(J1317="idioms",14,IF(J1317="grades",15,IF(J1317="syllable-digit pairs",16,IF(J1317="trigram-word pairs",17,IF(J1317="word-digit pairs",18,IF(J1317="English-Swahili pairs",19,IF(J1317="spatial position",20,IF(J1317="word pairs",21,IF(J1317="word triads",22,IF(J1317="generated words",23,IF(J1317="word definition pairs",24,IF(J1317="math problems",25,IF(J1317="famous faces",26,IF(J1317="famous names",27,IF(J1317="famous voices",28,IF(J1317="television programs",29,IF(J1317="race horses",30,IF(J1317="new vocabulary",31,IF(J1317="sentences",32,IF(J1317="concepts",33,IF(J1317="ad slides",34,IF(J1317="scenes",35,IF(J1317="famous scenes",36,IF(J1317="poems",37,IF(J1317="walk",38,IF(J1317="faces and events",39,IF(J1317="events and names",40,IF(J1317="flashbulb",41,IF(J1317="stories",42,IF(J1317="course material",43,IF(J1317="autobiographical",44,IF(J1317="novels",45,IF(J1317="public events",46,"99"))))))))))))))))))))))))))))))))))))))))))))))</f>
        <v>46</v>
      </c>
      <c r="L1317" s="60">
        <f>IF(J1317="syllables",1,IF(J1317="trigrams",1,IF(J1317="strings",1,IF(J1317="visual array",1,IF(J1317="characters",1,IF(J1317="letters",1,IF(J1317="free forms",1,IF(J1317="odors",2,IF(J1317="words",2,IF(J1317="pictures",2,IF(J1317="object pictures",2,IF(J1317="faces",2,IF(J1317="names",2,IF(J1317="idioms","2",IF(J1317="grades",2,IF(J1317="syllable-digit pairs",3,IF(J1317="trigram-word pairs",3,IF(J1317="word-digit pairs",3,IF(J1317="English-Swahili pairs",3,IF(J1317="spatial position",3,IF(J1317="word pairs",4,IF(J1317="word triads",4,IF(J1317="generated words",4,IF(J1317="word definition pairs",4,IF(J1317="math problems",4,IF(J1317="famous faces",4,IF(J1317="famous names",4,IF(J1317="famous voices",4,IF(J1317="television programs",4,IF(J1317="race horses",4,IF(J1317="new vocabulary",4,IF(J1317="sentences",5,IF(J1317="concepts",5,IF(J1317="ad slides",5,IF(J1317="scenes",5,IF(J1317="famous scenes",5,IF(J1317="poems",6,IF(J1317="walk",6,IF(J1317="faces and events",6,IF(J1317="events and names",6,IF(J1317="flashbulb",7,IF(J1317="stories",7,IF(J1317="course material",7,IF(J1317="autobiographical",7,IF(J1317="novels",7,IF(J1317="public events",7,"99"))))))))))))))))))))))))))))))))))))))))))))))</f>
        <v>7</v>
      </c>
      <c r="M1317" s="60">
        <v>1</v>
      </c>
      <c r="N1317" s="61">
        <v>4</v>
      </c>
      <c r="O1317" s="60">
        <v>0</v>
      </c>
      <c r="P1317" s="60"/>
      <c r="Q1317" s="60" t="s">
        <v>174</v>
      </c>
      <c r="R1317" s="60">
        <f>IF(Q1317="Free Recall",1,IF(Q1317="Cued Recall",2,IF(Q1317="Recognition",3,IF(Q1317="Multiple Choice",4,IF(Q1317="Savings",5,IF(Q1317="Stem Completion",6,IF(Q1317="Fragment Completion",7,IF(Q1317="anagram solution",8,IF(Q1317="Matching",9,IF(Q1317="Problem Solving",10,"99"))))))))))</f>
        <v>1</v>
      </c>
      <c r="S1317" s="60" t="s">
        <v>49</v>
      </c>
      <c r="T1317" s="59" t="s">
        <v>581</v>
      </c>
      <c r="U1317" s="60">
        <f>IF(T1317="within",1,0)</f>
        <v>1</v>
      </c>
      <c r="V1317" s="59">
        <v>23</v>
      </c>
      <c r="W1317" s="60">
        <f>F1317*V1317</f>
        <v>230</v>
      </c>
      <c r="X1317" s="60">
        <v>3</v>
      </c>
      <c r="Y1317" s="76">
        <f>AV1316</f>
        <v>94608000</v>
      </c>
      <c r="Z1317" s="59" t="s">
        <v>432</v>
      </c>
      <c r="AA1317" s="60">
        <f>23*365*24*60*60</f>
        <v>725328000</v>
      </c>
      <c r="AB1317" s="60" t="str">
        <f>IF(AA1317&lt;60,"1",IF(AA1317&lt;=43200,"2",IF(AA1317&lt;=777600,"3","4")))</f>
        <v>4</v>
      </c>
      <c r="AC1317" s="56">
        <f>AVERAGE(AV1316:DA1316)</f>
        <v>409968000</v>
      </c>
      <c r="AD1317" s="60" t="str">
        <f>IF(AC1317&lt;60,"1",IF(AC1317&lt;=43200,"2",IF(AC1317&lt;=777600,"3","4")))</f>
        <v>4</v>
      </c>
      <c r="AE1317" s="76">
        <f>AA1317-Y1317</f>
        <v>630720000</v>
      </c>
      <c r="AF1317" s="80">
        <f>AV1317</f>
        <v>0.28000000000000003</v>
      </c>
      <c r="AG1317" s="56">
        <f>((AW1317-AV1317)+(AX1317-AW1317))/2</f>
        <v>-0.12000000000000001</v>
      </c>
      <c r="AH1317" s="4"/>
      <c r="AI1317" s="56">
        <f>RSQ(AV1317:AX1317,AV1316:AX1316)</f>
        <v>0.74999999999999989</v>
      </c>
      <c r="AJ1317" s="109">
        <f>SLOPE(AV1317:AX1317,AV1316:AX1316)</f>
        <v>-3.8051750380517503E-10</v>
      </c>
      <c r="AK1317" s="56">
        <f>INTERCEPT(AV1317:AX1317,AV1316:AX1316)</f>
        <v>0.27600000000000002</v>
      </c>
      <c r="AL1317" s="56">
        <f>INDEX(LINEST(LN(AV1317:AX1317),LN(AV1316:AX1316),TRUE,TRUE),3,1)</f>
        <v>0.92629206939509723</v>
      </c>
      <c r="AM1317" s="56">
        <f>INDEX(LINEST(LN(AV1317:AX1317),LN(AV1316:AX1316)),1)</f>
        <v>-1.0290427979840413</v>
      </c>
      <c r="AN1317" s="56">
        <f>EXP(INDEX(LINEST(LN(AV1317:AX1317),LN(AV1316:AX1316)),1,2))</f>
        <v>41039513.406033561</v>
      </c>
      <c r="AO1317" s="82">
        <f>INDEX(LINEST((AV1317:AX1317),LN(AV1316:AX1316),TRUE,TRUE),3,1)</f>
        <v>0.92629206939509734</v>
      </c>
      <c r="AP1317" s="82">
        <f>INDEX(LINEST((AV1317:AX1317),LN(AV1316:AX1316)),1)</f>
        <v>-0.12691761314676697</v>
      </c>
      <c r="AQ1317" s="83">
        <f>INDEX(LINEST(LN(AV1317:AX1317),SQRT(AV1316:AX1316),TRUE,TRUE),3,1)</f>
        <v>0.85152847756007422</v>
      </c>
      <c r="AR1317" s="116">
        <f>INDEX(LINEST(LN(AV1317:AX1317),SQRT((AV1316:AX1316))),1)</f>
        <v>-1.1952556092615255E-4</v>
      </c>
      <c r="AS1317" s="84">
        <f>INDEX(LINEST(1/(AV1317:AX1317),1/(SQRT(AV1316:AX1316)),TRUE,TRUE),3,1)</f>
        <v>0.96920193188353865</v>
      </c>
      <c r="AT1317" s="84">
        <f>INDEX(LINEST(1/(AV1317:AX1317),1/SQRT(AV1316:AX1316)),1)</f>
        <v>-348755.55306054227</v>
      </c>
      <c r="AU1317" s="3"/>
      <c r="AV1317" s="53">
        <v>0.28000000000000003</v>
      </c>
      <c r="AW1317" s="53">
        <v>0.04</v>
      </c>
      <c r="AX1317" s="53">
        <v>0.04</v>
      </c>
      <c r="AY1317" s="53"/>
      <c r="AZ1317" s="46"/>
      <c r="BA1317" s="42"/>
      <c r="BB1317" s="42"/>
      <c r="BC1317" s="30"/>
      <c r="BD1317" s="30"/>
      <c r="BE1317" s="30"/>
      <c r="BF1317" s="30"/>
      <c r="BG1317" s="30"/>
      <c r="BH1317" s="30"/>
      <c r="BI1317" s="30"/>
      <c r="BJ1317" s="30"/>
      <c r="BK1317" s="30"/>
      <c r="BL1317" s="30"/>
      <c r="BM1317" s="30"/>
      <c r="BN1317" s="30"/>
      <c r="BO1317" s="30"/>
      <c r="BP1317" s="30"/>
      <c r="BQ1317" s="30"/>
      <c r="BR1317" s="30"/>
      <c r="BS1317" s="30"/>
      <c r="BT1317" s="30"/>
      <c r="BU1317" s="30"/>
      <c r="BV1317" s="30"/>
      <c r="BW1317" s="30"/>
      <c r="BX1317" s="30"/>
      <c r="BY1317" s="30"/>
      <c r="BZ1317" s="30"/>
      <c r="CA1317" s="30"/>
      <c r="CB1317" s="30"/>
      <c r="CC1317" s="30"/>
      <c r="CD1317" s="30"/>
      <c r="CE1317" s="30"/>
      <c r="CF1317" s="30"/>
      <c r="CG1317" s="30"/>
      <c r="CH1317" s="30"/>
      <c r="CI1317" s="30"/>
      <c r="CJ1317" s="30"/>
      <c r="CK1317" s="30"/>
      <c r="CL1317" s="30"/>
      <c r="CM1317" s="30"/>
      <c r="CN1317" s="30"/>
      <c r="CO1317" s="30"/>
      <c r="CP1317" s="30"/>
      <c r="CQ1317" s="30"/>
      <c r="CR1317" s="1"/>
      <c r="CS1317" s="1"/>
      <c r="CT1317" s="1"/>
      <c r="CU1317" s="1"/>
    </row>
    <row r="1318" spans="1:99" s="13" customFormat="1" ht="12" customHeight="1" x14ac:dyDescent="0.2">
      <c r="A1318" s="65">
        <v>43897</v>
      </c>
      <c r="B1318" s="22"/>
      <c r="C1318" s="1"/>
      <c r="D1318" s="60"/>
      <c r="E1318" s="76"/>
      <c r="F1318" s="60"/>
      <c r="G1318" s="60"/>
      <c r="H1318" s="60"/>
      <c r="I1318" s="60"/>
      <c r="J1318" s="60"/>
      <c r="K1318" s="64"/>
      <c r="L1318" s="64"/>
      <c r="M1318" s="60"/>
      <c r="N1318" s="61"/>
      <c r="O1318" s="60"/>
      <c r="P1318" s="60"/>
      <c r="Q1318" s="60"/>
      <c r="R1318" s="60"/>
      <c r="S1318" s="60"/>
      <c r="T1318" s="60"/>
      <c r="U1318" s="60"/>
      <c r="V1318" s="60"/>
      <c r="W1318" s="60"/>
      <c r="X1318" s="60"/>
      <c r="Y1318" s="76"/>
      <c r="Z1318" s="60"/>
      <c r="AA1318" s="60"/>
      <c r="AB1318" s="60"/>
      <c r="AC1318" s="56"/>
      <c r="AD1318" s="60"/>
      <c r="AE1318" s="60"/>
      <c r="AF1318" s="80"/>
      <c r="AG1318" s="56"/>
      <c r="AH1318" s="4"/>
      <c r="AI1318" s="56"/>
      <c r="AJ1318" s="109"/>
      <c r="AK1318" s="56"/>
      <c r="AL1318" s="56"/>
      <c r="AM1318" s="56"/>
      <c r="AN1318" s="56"/>
      <c r="AO1318" s="56"/>
      <c r="AP1318" s="56"/>
      <c r="AQ1318" s="56"/>
      <c r="AR1318" s="109"/>
      <c r="AS1318" s="56"/>
      <c r="AT1318" s="56"/>
      <c r="AU1318" s="5"/>
      <c r="AV1318" s="25">
        <v>94608000</v>
      </c>
      <c r="AW1318" s="25">
        <v>409968000</v>
      </c>
      <c r="AX1318" s="25">
        <v>725328000</v>
      </c>
      <c r="AY1318" s="53"/>
      <c r="AZ1318" s="46"/>
      <c r="BA1318" s="42"/>
      <c r="BB1318" s="42"/>
      <c r="BC1318" s="30"/>
      <c r="BD1318" s="30"/>
      <c r="BE1318" s="30"/>
      <c r="BF1318" s="30"/>
      <c r="BG1318" s="30"/>
      <c r="BH1318" s="30"/>
      <c r="BI1318" s="30"/>
      <c r="BJ1318" s="30"/>
      <c r="BK1318" s="30"/>
      <c r="BL1318" s="30"/>
      <c r="BM1318" s="30"/>
      <c r="BN1318" s="30"/>
      <c r="BO1318" s="30"/>
      <c r="BP1318" s="30"/>
      <c r="BQ1318" s="30"/>
      <c r="BR1318" s="30"/>
      <c r="BS1318" s="30"/>
      <c r="BT1318" s="30"/>
      <c r="BU1318" s="30"/>
      <c r="BV1318" s="30"/>
      <c r="BW1318" s="30"/>
      <c r="BX1318" s="30"/>
      <c r="BY1318" s="30"/>
      <c r="BZ1318" s="30"/>
      <c r="CA1318" s="30"/>
      <c r="CB1318" s="30"/>
      <c r="CC1318" s="30"/>
      <c r="CD1318" s="30"/>
      <c r="CE1318" s="30"/>
      <c r="CF1318" s="30"/>
      <c r="CG1318" s="30"/>
      <c r="CH1318" s="30"/>
      <c r="CI1318" s="30"/>
      <c r="CJ1318" s="30"/>
      <c r="CK1318" s="30"/>
      <c r="CL1318" s="30"/>
      <c r="CM1318" s="30"/>
      <c r="CN1318" s="30"/>
      <c r="CO1318" s="30"/>
      <c r="CP1318" s="30"/>
      <c r="CQ1318" s="30"/>
      <c r="CR1318" s="1"/>
      <c r="CS1318" s="1"/>
      <c r="CT1318" s="1"/>
      <c r="CU1318" s="1"/>
    </row>
    <row r="1319" spans="1:99" s="13" customFormat="1" ht="12" customHeight="1" x14ac:dyDescent="0.2">
      <c r="A1319" s="65">
        <v>43897</v>
      </c>
      <c r="B1319" s="22" t="s">
        <v>411</v>
      </c>
      <c r="C1319" s="22" t="s">
        <v>54</v>
      </c>
      <c r="D1319" s="66">
        <v>1978</v>
      </c>
      <c r="E1319" s="76">
        <v>1</v>
      </c>
      <c r="F1319" s="60">
        <v>10</v>
      </c>
      <c r="G1319" s="60">
        <v>10</v>
      </c>
      <c r="H1319" s="60" t="s">
        <v>32</v>
      </c>
      <c r="I1319" s="60" t="s">
        <v>330</v>
      </c>
      <c r="J1319" s="60" t="s">
        <v>376</v>
      </c>
      <c r="K1319" s="60">
        <f>IF(J1319="syllables",1,IF(J1319="trigrams",2,IF(J1319="strings",3,IF(J1319="visual array",4,IF(J1319="characters",5,IF(J1319="letters",6,IF(J1319="free forms",7,IF(J1319="odors",8,IF(J1319="words",9,IF(J1319="pictures",10,IF(J1319="object pictures",11,IF(J1319="faces",12,IF(J1319="names",13,IF(J1319="idioms",14,IF(J1319="grades",15,IF(J1319="syllable-digit pairs",16,IF(J1319="trigram-word pairs",17,IF(J1319="word-digit pairs",18,IF(J1319="English-Swahili pairs",19,IF(J1319="spatial position",20,IF(J1319="word pairs",21,IF(J1319="word triads",22,IF(J1319="generated words",23,IF(J1319="word definition pairs",24,IF(J1319="math problems",25,IF(J1319="famous faces",26,IF(J1319="famous names",27,IF(J1319="famous voices",28,IF(J1319="television programs",29,IF(J1319="race horses",30,IF(J1319="new vocabulary",31,IF(J1319="sentences",32,IF(J1319="concepts",33,IF(J1319="ad slides",34,IF(J1319="scenes",35,IF(J1319="famous scenes",36,IF(J1319="poems",37,IF(J1319="walk",38,IF(J1319="faces and events",39,IF(J1319="events and names",40,IF(J1319="flashbulb",41,IF(J1319="stories",42,IF(J1319="course material",43,IF(J1319="autobiographical",44,IF(J1319="novels",45,IF(J1319="public events",46,"99"))))))))))))))))))))))))))))))))))))))))))))))</f>
        <v>29</v>
      </c>
      <c r="L1319" s="60">
        <f>IF(J1319="syllables",1,IF(J1319="trigrams",1,IF(J1319="strings",1,IF(J1319="visual array",1,IF(J1319="characters",1,IF(J1319="letters",1,IF(J1319="free forms",1,IF(J1319="odors",2,IF(J1319="words",2,IF(J1319="pictures",2,IF(J1319="object pictures",2,IF(J1319="faces",2,IF(J1319="names",2,IF(J1319="idioms","2",IF(J1319="grades",2,IF(J1319="syllable-digit pairs",3,IF(J1319="trigram-word pairs",3,IF(J1319="word-digit pairs",3,IF(J1319="English-Swahili pairs",3,IF(J1319="spatial position",3,IF(J1319="word pairs",4,IF(J1319="word triads",4,IF(J1319="generated words",4,IF(J1319="word definition pairs",4,IF(J1319="math problems",4,IF(J1319="famous faces",4,IF(J1319="famous names",4,IF(J1319="famous voices",4,IF(J1319="television programs",4,IF(J1319="race horses",4,IF(J1319="new vocabulary",4,IF(J1319="sentences",5,IF(J1319="concepts",5,IF(J1319="ad slides",5,IF(J1319="scenes",5,IF(J1319="famous scenes",5,IF(J1319="poems",6,IF(J1319="walk",6,IF(J1319="faces and events",6,IF(J1319="events and names",6,IF(J1319="flashbulb",7,IF(J1319="stories",7,IF(J1319="course material",7,IF(J1319="autobiographical",7,IF(J1319="novels",7,IF(J1319="public events",7,"99"))))))))))))))))))))))))))))))))))))))))))))))</f>
        <v>4</v>
      </c>
      <c r="M1319" s="60">
        <v>1</v>
      </c>
      <c r="N1319" s="61">
        <v>2</v>
      </c>
      <c r="O1319" s="60">
        <v>0</v>
      </c>
      <c r="P1319" s="60"/>
      <c r="Q1319" s="60" t="s">
        <v>174</v>
      </c>
      <c r="R1319" s="60">
        <f>IF(Q1319="Free Recall",1,IF(Q1319="Cued Recall",2,IF(Q1319="Recognition",3,IF(Q1319="Multiple Choice",4,IF(Q1319="Savings",5,IF(Q1319="Stem Completion",6,IF(Q1319="Fragment Completion",7,IF(Q1319="anagram solution",8,IF(Q1319="Matching",9,IF(Q1319="Problem Solving",10,"99"))))))))))</f>
        <v>1</v>
      </c>
      <c r="S1319" s="60" t="s">
        <v>49</v>
      </c>
      <c r="T1319" s="59" t="s">
        <v>581</v>
      </c>
      <c r="U1319" s="60">
        <f>IF(T1319="within",1,0)</f>
        <v>1</v>
      </c>
      <c r="V1319" s="59">
        <v>31</v>
      </c>
      <c r="W1319" s="60">
        <f>F1319*V1319</f>
        <v>310</v>
      </c>
      <c r="X1319" s="60">
        <v>3</v>
      </c>
      <c r="Y1319" s="76">
        <f>AV1318</f>
        <v>94608000</v>
      </c>
      <c r="Z1319" s="59" t="s">
        <v>432</v>
      </c>
      <c r="AA1319" s="60">
        <f>23*365*24*60*60</f>
        <v>725328000</v>
      </c>
      <c r="AB1319" s="60" t="str">
        <f>IF(AA1319&lt;60,"1",IF(AA1319&lt;=43200,"2",IF(AA1319&lt;=777600,"3","4")))</f>
        <v>4</v>
      </c>
      <c r="AC1319" s="56">
        <f>AVERAGE(AV1318:DA1318)</f>
        <v>409968000</v>
      </c>
      <c r="AD1319" s="60" t="str">
        <f>IF(AC1319&lt;60,"1",IF(AC1319&lt;=43200,"2",IF(AC1319&lt;=777600,"3","4")))</f>
        <v>4</v>
      </c>
      <c r="AE1319" s="76">
        <f>AA1319-Y1319</f>
        <v>630720000</v>
      </c>
      <c r="AF1319" s="80">
        <f>AV1319</f>
        <v>0.81914893617021278</v>
      </c>
      <c r="AG1319" s="56">
        <f>((AW1319-AV1319)+(AX1319-AW1319))/2</f>
        <v>-0.27957446808510639</v>
      </c>
      <c r="AH1319" s="4"/>
      <c r="AI1319" s="56">
        <f>RSQ(AV1319:AX1319,AV1318:AX1318)</f>
        <v>0.84401468860982021</v>
      </c>
      <c r="AJ1319" s="109">
        <f>SLOPE(AV1319:AX1319,AV1318:AX1318)</f>
        <v>-8.8652482269503542E-10</v>
      </c>
      <c r="AK1319" s="56">
        <f>INTERCEPT(AV1319:AX1319,AV1318:AX1318)</f>
        <v>0.97241236981662504</v>
      </c>
      <c r="AL1319" s="56">
        <f>INDEX(LINEST(LN(AV1319:AX1319),LN(AV1318:AX1318),TRUE,TRUE),3,1)</f>
        <v>0.58428908723288209</v>
      </c>
      <c r="AM1319" s="56">
        <f>INDEX(LINEST(LN(AV1319:AX1319),LN(AV1318:AX1318)),1)</f>
        <v>-0.46402196313112604</v>
      </c>
      <c r="AN1319" s="56">
        <f>EXP(INDEX(LINEST(LN(AV1319:AX1319),LN(AV1318:AX1318)),1,2))</f>
        <v>4681.2473513004297</v>
      </c>
      <c r="AO1319" s="82">
        <f>INDEX(LINEST((AV1319:AX1319),LN(AV1318:AX1318),TRUE,TRUE),3,1)</f>
        <v>0.62924482181069219</v>
      </c>
      <c r="AP1319" s="82">
        <f>INDEX(LINEST((AV1319:AX1319),LN(AV1318:AX1318)),1)</f>
        <v>-0.22973630874308423</v>
      </c>
      <c r="AQ1319" s="83">
        <f>INDEX(LINEST(LN(AV1319:AX1319),SQRT(AV1318:AX1318),TRUE,TRUE),3,1)</f>
        <v>0.69958448402615814</v>
      </c>
      <c r="AR1319" s="116">
        <f>INDEX(LINEST(LN(AV1319:AX1319),SQRT((AV1318:AX1318))),1)</f>
        <v>-6.1510105449422888E-5</v>
      </c>
      <c r="AS1319" s="84">
        <f>INDEX(LINEST(1/(AV1319:AX1319),1/(SQRT(AV1318:AX1318)),TRUE,TRUE),3,1)</f>
        <v>0.45397865700542595</v>
      </c>
      <c r="AT1319" s="84">
        <f>INDEX(LINEST(1/(AV1319:AX1319),1/SQRT(AV1318:AX1318)),1)</f>
        <v>-28616.404979481515</v>
      </c>
      <c r="AU1319" s="3"/>
      <c r="AV1319" s="53">
        <v>0.81914893617021278</v>
      </c>
      <c r="AW1319" s="53">
        <v>0.74774774774774766</v>
      </c>
      <c r="AX1319" s="53">
        <v>0.26</v>
      </c>
      <c r="AY1319" s="53"/>
      <c r="AZ1319" s="46"/>
      <c r="BA1319" s="42"/>
      <c r="BB1319" s="42"/>
      <c r="BC1319" s="30"/>
      <c r="BD1319" s="30"/>
      <c r="BE1319" s="30"/>
      <c r="BF1319" s="30"/>
      <c r="BG1319" s="30"/>
      <c r="BH1319" s="30"/>
      <c r="BI1319" s="30"/>
      <c r="BJ1319" s="30"/>
      <c r="BK1319" s="30"/>
      <c r="BL1319" s="30"/>
      <c r="BM1319" s="30"/>
      <c r="BN1319" s="30"/>
      <c r="BO1319" s="30"/>
      <c r="BP1319" s="30"/>
      <c r="BQ1319" s="30"/>
      <c r="BR1319" s="30"/>
      <c r="BS1319" s="30"/>
      <c r="BT1319" s="30"/>
      <c r="BU1319" s="30"/>
      <c r="BV1319" s="30"/>
      <c r="BW1319" s="30"/>
      <c r="BX1319" s="30"/>
      <c r="BY1319" s="30"/>
      <c r="BZ1319" s="30"/>
      <c r="CA1319" s="30"/>
      <c r="CB1319" s="30"/>
      <c r="CC1319" s="30"/>
      <c r="CD1319" s="30"/>
      <c r="CE1319" s="30"/>
      <c r="CF1319" s="30"/>
      <c r="CG1319" s="30"/>
      <c r="CH1319" s="30"/>
      <c r="CI1319" s="30"/>
      <c r="CJ1319" s="30"/>
      <c r="CK1319" s="30"/>
      <c r="CL1319" s="30"/>
      <c r="CM1319" s="30"/>
      <c r="CN1319" s="30"/>
      <c r="CO1319" s="30"/>
      <c r="CP1319" s="30"/>
      <c r="CQ1319" s="30"/>
      <c r="CR1319" s="1"/>
      <c r="CS1319" s="1"/>
      <c r="CT1319" s="1"/>
      <c r="CU1319" s="1"/>
    </row>
    <row r="1320" spans="1:99" s="13" customFormat="1" ht="12" customHeight="1" x14ac:dyDescent="0.2">
      <c r="A1320" s="68">
        <v>43897</v>
      </c>
      <c r="B1320" s="103"/>
      <c r="C1320" s="103"/>
      <c r="D1320" s="126"/>
      <c r="E1320" s="87"/>
      <c r="F1320" s="69"/>
      <c r="G1320" s="69"/>
      <c r="H1320" s="69"/>
      <c r="I1320" s="69"/>
      <c r="J1320" s="69"/>
      <c r="K1320" s="107"/>
      <c r="L1320" s="107"/>
      <c r="M1320" s="69"/>
      <c r="N1320" s="86"/>
      <c r="O1320" s="69"/>
      <c r="P1320" s="69"/>
      <c r="Q1320" s="69"/>
      <c r="R1320" s="69"/>
      <c r="S1320" s="69"/>
      <c r="T1320" s="92"/>
      <c r="U1320" s="69"/>
      <c r="V1320" s="92"/>
      <c r="W1320" s="69"/>
      <c r="X1320" s="69"/>
      <c r="Y1320" s="87"/>
      <c r="Z1320" s="92"/>
      <c r="AA1320" s="92"/>
      <c r="AB1320" s="69"/>
      <c r="AC1320" s="72"/>
      <c r="AD1320" s="69"/>
      <c r="AE1320" s="69"/>
      <c r="AF1320" s="88"/>
      <c r="AG1320" s="72"/>
      <c r="AH1320" s="4"/>
      <c r="AI1320" s="72"/>
      <c r="AJ1320" s="110"/>
      <c r="AK1320" s="72"/>
      <c r="AL1320" s="72"/>
      <c r="AM1320" s="72"/>
      <c r="AN1320" s="72"/>
      <c r="AO1320" s="89"/>
      <c r="AP1320" s="89"/>
      <c r="AQ1320" s="90"/>
      <c r="AR1320" s="117"/>
      <c r="AS1320" s="91"/>
      <c r="AT1320" s="91"/>
      <c r="AU1320" s="3"/>
      <c r="AV1320" s="71">
        <v>15</v>
      </c>
      <c r="AW1320" s="71">
        <v>600</v>
      </c>
      <c r="AX1320" s="71">
        <v>7200</v>
      </c>
      <c r="AY1320" s="71">
        <v>86400</v>
      </c>
      <c r="AZ1320" s="71">
        <v>1209600</v>
      </c>
      <c r="BA1320" s="98">
        <v>4838400</v>
      </c>
      <c r="BB1320" s="42"/>
      <c r="BC1320" s="32"/>
      <c r="BD1320" s="32"/>
      <c r="BE1320" s="32"/>
      <c r="BF1320" s="32"/>
      <c r="BG1320" s="32"/>
      <c r="BH1320" s="32"/>
      <c r="BI1320" s="32"/>
      <c r="BJ1320" s="32"/>
      <c r="BK1320" s="32"/>
      <c r="BL1320" s="32"/>
      <c r="BM1320" s="32"/>
      <c r="BN1320" s="32"/>
      <c r="BO1320" s="32"/>
      <c r="BP1320" s="32"/>
      <c r="BQ1320" s="32"/>
      <c r="BR1320" s="32"/>
      <c r="BS1320" s="32"/>
      <c r="BT1320" s="32"/>
      <c r="BU1320" s="32"/>
      <c r="BV1320" s="32"/>
      <c r="BW1320" s="32"/>
      <c r="BX1320" s="32"/>
      <c r="BY1320" s="32"/>
      <c r="BZ1320" s="32"/>
      <c r="CA1320" s="32"/>
      <c r="CB1320" s="32"/>
      <c r="CC1320" s="32"/>
      <c r="CD1320" s="32"/>
      <c r="CE1320" s="32"/>
      <c r="CF1320" s="32"/>
      <c r="CG1320" s="32"/>
      <c r="CH1320" s="32"/>
      <c r="CI1320" s="32"/>
      <c r="CJ1320" s="32"/>
      <c r="CK1320" s="32"/>
      <c r="CL1320" s="32"/>
      <c r="CM1320" s="32"/>
      <c r="CN1320" s="32"/>
      <c r="CO1320" s="32"/>
      <c r="CP1320" s="32"/>
      <c r="CQ1320" s="32"/>
      <c r="CR1320" s="1"/>
      <c r="CS1320" s="1"/>
      <c r="CT1320" s="1"/>
      <c r="CU1320" s="1"/>
    </row>
    <row r="1321" spans="1:99" s="13" customFormat="1" ht="12" customHeight="1" x14ac:dyDescent="0.2">
      <c r="A1321" s="68">
        <v>43897</v>
      </c>
      <c r="B1321" s="103" t="s">
        <v>412</v>
      </c>
      <c r="C1321" s="103" t="s">
        <v>139</v>
      </c>
      <c r="D1321" s="126">
        <v>1990</v>
      </c>
      <c r="E1321" s="87">
        <v>1</v>
      </c>
      <c r="F1321" s="69">
        <v>20</v>
      </c>
      <c r="G1321" s="69">
        <v>20</v>
      </c>
      <c r="H1321" s="69" t="s">
        <v>444</v>
      </c>
      <c r="I1321" s="69" t="s">
        <v>330</v>
      </c>
      <c r="J1321" s="69" t="s">
        <v>16</v>
      </c>
      <c r="K1321" s="69">
        <f>IF(J1321="syllables",1,IF(J1321="trigrams",2,IF(J1321="strings",3,IF(J1321="visual array",4,IF(J1321="characters",5,IF(J1321="letters",6,IF(J1321="free forms",7,IF(J1321="odors",8,IF(J1321="words",9,IF(J1321="pictures",10,IF(J1321="object pictures",11,IF(J1321="faces",12,IF(J1321="names",13,IF(J1321="idioms",14,IF(J1321="grades",15,IF(J1321="syllable-digit pairs",16,IF(J1321="trigram-word pairs",17,IF(J1321="word-digit pairs",18,IF(J1321="English-Swahili pairs",19,IF(J1321="spatial position",20,IF(J1321="word pairs",21,IF(J1321="word triads",22,IF(J1321="generated words",23,IF(J1321="word definition pairs",24,IF(J1321="math problems",25,IF(J1321="famous faces",26,IF(J1321="famous names",27,IF(J1321="famous voices",28,IF(J1321="television programs",29,IF(J1321="race horses",30,IF(J1321="new vocabulary",31,IF(J1321="sentences",32,IF(J1321="concepts",33,IF(J1321="ad slides",34,IF(J1321="scenes",35,IF(J1321="famous scenes",36,IF(J1321="poems",37,IF(J1321="walk",38,IF(J1321="faces and events",39,IF(J1321="events and names",40,IF(J1321="flashbulb",41,IF(J1321="stories",42,IF(J1321="course material",43,IF(J1321="autobiographical",44,IF(J1321="novels",45,IF(J1321="public events",46,"99"))))))))))))))))))))))))))))))))))))))))))))))</f>
        <v>9</v>
      </c>
      <c r="L1321" s="69">
        <f>IF(J1321="syllables",1,IF(J1321="trigrams",1,IF(J1321="strings",1,IF(J1321="visual array",1,IF(J1321="characters",1,IF(J1321="letters",1,IF(J1321="free forms",1,IF(J1321="odors",2,IF(J1321="words",2,IF(J1321="pictures",2,IF(J1321="object pictures",2,IF(J1321="faces",2,IF(J1321="names",2,IF(J1321="idioms","2",IF(J1321="grades",2,IF(J1321="syllable-digit pairs",3,IF(J1321="trigram-word pairs",3,IF(J1321="word-digit pairs",3,IF(J1321="English-Swahili pairs",3,IF(J1321="spatial position",3,IF(J1321="word pairs",4,IF(J1321="word triads",4,IF(J1321="generated words",4,IF(J1321="word definition pairs",4,IF(J1321="math problems",4,IF(J1321="famous faces",4,IF(J1321="famous names",4,IF(J1321="famous voices",4,IF(J1321="television programs",4,IF(J1321="race horses",4,IF(J1321="new vocabulary",4,IF(J1321="sentences",5,IF(J1321="concepts",5,IF(J1321="ad slides",5,IF(J1321="scenes",5,IF(J1321="famous scenes",5,IF(J1321="poems",6,IF(J1321="walk",6,IF(J1321="faces and events",6,IF(J1321="events and names",6,IF(J1321="flashbulb",7,IF(J1321="stories",7,IF(J1321="course material",7,IF(J1321="autobiographical",7,IF(J1321="novels",7,IF(J1321="public events",7,"99"))))))))))))))))))))))))))))))))))))))))))))))</f>
        <v>2</v>
      </c>
      <c r="M1321" s="69">
        <v>0</v>
      </c>
      <c r="N1321" s="86">
        <v>1</v>
      </c>
      <c r="O1321" s="69">
        <v>0</v>
      </c>
      <c r="P1321" s="69"/>
      <c r="Q1321" s="69" t="s">
        <v>182</v>
      </c>
      <c r="R1321" s="69">
        <f>IF(Q1321="Free Recall",1,IF(Q1321="Cued Recall",2,IF(Q1321="Recognition",3,IF(Q1321="Multiple Choice",4,IF(Q1321="Savings",5,IF(Q1321="Stem Completion",6,IF(Q1321="Fragment Completion",7,IF(Q1321="anagram solution",8,IF(Q1321="Matching",9,IF(Q1321="Problem Solving",10,"99"))))))))))</f>
        <v>4</v>
      </c>
      <c r="S1321" s="69" t="s">
        <v>15</v>
      </c>
      <c r="T1321" s="92" t="s">
        <v>581</v>
      </c>
      <c r="U1321" s="69">
        <f>IF(T1321="within",1,0)</f>
        <v>1</v>
      </c>
      <c r="V1321" s="92">
        <v>20</v>
      </c>
      <c r="W1321" s="69">
        <f>F1321*V1321</f>
        <v>400</v>
      </c>
      <c r="X1321" s="69">
        <v>6</v>
      </c>
      <c r="Y1321" s="87">
        <f>AV1320</f>
        <v>15</v>
      </c>
      <c r="Z1321" s="92" t="s">
        <v>276</v>
      </c>
      <c r="AA1321" s="92">
        <v>4838400</v>
      </c>
      <c r="AB1321" s="69" t="str">
        <f>IF(AA1321&lt;60,"1",IF(AA1321&lt;=43200,"2",IF(AA1321&lt;=777600,"3","4")))</f>
        <v>4</v>
      </c>
      <c r="AC1321" s="72">
        <f>AVERAGE(AV1320:DA1320)</f>
        <v>1023702.5</v>
      </c>
      <c r="AD1321" s="69" t="str">
        <f>IF(AC1321&lt;60,"1",IF(AC1321&lt;=43200,"2",IF(AC1321&lt;=777600,"3","4")))</f>
        <v>4</v>
      </c>
      <c r="AE1321" s="87">
        <f>AA1321-Y1321</f>
        <v>4838385</v>
      </c>
      <c r="AF1321" s="88">
        <f>AV1321</f>
        <v>0.97</v>
      </c>
      <c r="AG1321" s="72">
        <f>((AW1321-AV1321)+(AX1321-AW1321)+(AY1321-AX1321)+(AZ1321-AY1321)+(BA1321-AZ1321))/5</f>
        <v>-7.5999999999999998E-2</v>
      </c>
      <c r="AH1321" s="4"/>
      <c r="AI1321" s="72">
        <f>RSQ(AV1321:BA1321,AV1320:BA1320)</f>
        <v>0.71498819716598194</v>
      </c>
      <c r="AJ1321" s="110">
        <f>SLOPE(AV1321:BA1321,AV1320:BA1320)</f>
        <v>-6.560770588771004E-8</v>
      </c>
      <c r="AK1321" s="72">
        <f>INTERCEPT(AV1321:BA1321,AV1320:BA1320)</f>
        <v>0.88049610586984683</v>
      </c>
      <c r="AL1321" s="72">
        <f>INDEX(LINEST(LN(AV1321:BA1321),LN(AV1320:BA1320),TRUE,TRUE),3,1)</f>
        <v>0.87188949137169602</v>
      </c>
      <c r="AM1321" s="72">
        <f>INDEX(LINEST(LN(AV1321:BA1321),LN(AV1320:BA1320)),1)</f>
        <v>-3.7914969201065102E-2</v>
      </c>
      <c r="AN1321" s="72">
        <f>EXP(INDEX(LINEST(LN(AV1321:BA1321),LN(AV1320:BA1320)),1,2))</f>
        <v>1.1612719345974014</v>
      </c>
      <c r="AO1321" s="89">
        <f>INDEX(LINEST((AV1321:BA1321),LN(AV1320:BA1320),TRUE,TRUE),3,1)</f>
        <v>0.90458823982658176</v>
      </c>
      <c r="AP1321" s="89">
        <f>INDEX(LINEST((AV1321:BA1321),LN(AV1320:BA1320)),1)</f>
        <v>-2.9784973899016118E-2</v>
      </c>
      <c r="AQ1321" s="90">
        <f>INDEX(LINEST(LN(AV1321:BA1321),SQRT(AV1320:BA1320),TRUE,TRUE),3,1)</f>
        <v>0.91526189828349014</v>
      </c>
      <c r="AR1321" s="117">
        <f>INDEX(LINEST(LN(AV1321:BA1321),SQRT((AV1320:BA1320))),1)</f>
        <v>-2.114442433717422E-4</v>
      </c>
      <c r="AS1321" s="91">
        <f>INDEX(LINEST(1/(AV1321:BA1321),1/(SQRT(AV1320:BA1320)),TRUE,TRUE),3,1)</f>
        <v>0.29529900012126981</v>
      </c>
      <c r="AT1321" s="91">
        <f>INDEX(LINEST(1/(AV1321:BA1321),1/SQRT(AV1320:BA1320)),1)</f>
        <v>-1.3719685575824938</v>
      </c>
      <c r="AU1321" s="3"/>
      <c r="AV1321" s="73">
        <v>0.97</v>
      </c>
      <c r="AW1321" s="73">
        <v>0.94</v>
      </c>
      <c r="AX1321" s="73">
        <v>0.9</v>
      </c>
      <c r="AY1321" s="73">
        <v>0.78</v>
      </c>
      <c r="AZ1321" s="73">
        <v>0.7</v>
      </c>
      <c r="BA1321" s="73">
        <v>0.59</v>
      </c>
      <c r="BB1321" s="42"/>
      <c r="BC1321" s="32"/>
      <c r="BD1321" s="32"/>
      <c r="BE1321" s="32"/>
      <c r="BF1321" s="32"/>
      <c r="BG1321" s="32"/>
      <c r="BH1321" s="32"/>
      <c r="BI1321" s="32"/>
      <c r="BJ1321" s="32"/>
      <c r="BK1321" s="32"/>
      <c r="BL1321" s="32"/>
      <c r="BM1321" s="32"/>
      <c r="BN1321" s="32"/>
      <c r="BO1321" s="32"/>
      <c r="BP1321" s="32"/>
      <c r="BQ1321" s="32"/>
      <c r="BR1321" s="32"/>
      <c r="BS1321" s="32"/>
      <c r="BT1321" s="32"/>
      <c r="BU1321" s="32"/>
      <c r="BV1321" s="32"/>
      <c r="BW1321" s="32"/>
      <c r="BX1321" s="32"/>
      <c r="BY1321" s="32"/>
      <c r="BZ1321" s="32"/>
      <c r="CA1321" s="32"/>
      <c r="CB1321" s="32"/>
      <c r="CC1321" s="32"/>
      <c r="CD1321" s="32"/>
      <c r="CE1321" s="32"/>
      <c r="CF1321" s="32"/>
      <c r="CG1321" s="32"/>
      <c r="CH1321" s="32"/>
      <c r="CI1321" s="32"/>
      <c r="CJ1321" s="32"/>
      <c r="CK1321" s="32"/>
      <c r="CL1321" s="32"/>
      <c r="CM1321" s="32"/>
      <c r="CN1321" s="32"/>
      <c r="CO1321" s="32"/>
      <c r="CP1321" s="32"/>
      <c r="CQ1321" s="32"/>
      <c r="CR1321" s="1"/>
      <c r="CS1321" s="1"/>
      <c r="CT1321" s="1"/>
      <c r="CU1321" s="1"/>
    </row>
    <row r="1322" spans="1:99" s="13" customFormat="1" ht="12" customHeight="1" x14ac:dyDescent="0.2">
      <c r="A1322" s="68">
        <v>43897</v>
      </c>
      <c r="B1322" s="103"/>
      <c r="C1322" s="103"/>
      <c r="D1322" s="126"/>
      <c r="E1322" s="87"/>
      <c r="F1322" s="69"/>
      <c r="G1322" s="69"/>
      <c r="H1322" s="69"/>
      <c r="I1322" s="69"/>
      <c r="J1322" s="69"/>
      <c r="K1322" s="107"/>
      <c r="L1322" s="107"/>
      <c r="M1322" s="69"/>
      <c r="N1322" s="86"/>
      <c r="O1322" s="69"/>
      <c r="P1322" s="69"/>
      <c r="Q1322" s="69"/>
      <c r="R1322" s="69"/>
      <c r="S1322" s="69"/>
      <c r="T1322" s="92"/>
      <c r="U1322" s="69"/>
      <c r="V1322" s="92"/>
      <c r="W1322" s="69"/>
      <c r="X1322" s="69"/>
      <c r="Y1322" s="87"/>
      <c r="Z1322" s="92"/>
      <c r="AA1322" s="92"/>
      <c r="AB1322" s="69"/>
      <c r="AC1322" s="72"/>
      <c r="AD1322" s="69"/>
      <c r="AE1322" s="69"/>
      <c r="AF1322" s="88"/>
      <c r="AG1322" s="72"/>
      <c r="AH1322" s="4"/>
      <c r="AI1322" s="72"/>
      <c r="AJ1322" s="110"/>
      <c r="AK1322" s="72"/>
      <c r="AL1322" s="72"/>
      <c r="AM1322" s="72"/>
      <c r="AN1322" s="72"/>
      <c r="AO1322" s="89"/>
      <c r="AP1322" s="89"/>
      <c r="AQ1322" s="90"/>
      <c r="AR1322" s="117"/>
      <c r="AS1322" s="91"/>
      <c r="AT1322" s="91"/>
      <c r="AU1322" s="3"/>
      <c r="AV1322" s="71">
        <v>15</v>
      </c>
      <c r="AW1322" s="71">
        <v>600</v>
      </c>
      <c r="AX1322" s="71">
        <v>7200</v>
      </c>
      <c r="AY1322" s="71">
        <v>86400</v>
      </c>
      <c r="AZ1322" s="71">
        <v>1209600</v>
      </c>
      <c r="BA1322" s="98">
        <v>4838400</v>
      </c>
      <c r="BB1322" s="42"/>
      <c r="BC1322" s="32"/>
      <c r="BD1322" s="32"/>
      <c r="BE1322" s="32"/>
      <c r="BF1322" s="32"/>
      <c r="BG1322" s="32"/>
      <c r="BH1322" s="32"/>
      <c r="BI1322" s="32"/>
      <c r="BJ1322" s="32"/>
      <c r="BK1322" s="32"/>
      <c r="BL1322" s="32"/>
      <c r="BM1322" s="32"/>
      <c r="BN1322" s="32"/>
      <c r="BO1322" s="32"/>
      <c r="BP1322" s="32"/>
      <c r="BQ1322" s="32"/>
      <c r="BR1322" s="32"/>
      <c r="BS1322" s="32"/>
      <c r="BT1322" s="32"/>
      <c r="BU1322" s="32"/>
      <c r="BV1322" s="32"/>
      <c r="BW1322" s="32"/>
      <c r="BX1322" s="32"/>
      <c r="BY1322" s="32"/>
      <c r="BZ1322" s="32"/>
      <c r="CA1322" s="32"/>
      <c r="CB1322" s="32"/>
      <c r="CC1322" s="32"/>
      <c r="CD1322" s="32"/>
      <c r="CE1322" s="32"/>
      <c r="CF1322" s="32"/>
      <c r="CG1322" s="32"/>
      <c r="CH1322" s="32"/>
      <c r="CI1322" s="32"/>
      <c r="CJ1322" s="32"/>
      <c r="CK1322" s="32"/>
      <c r="CL1322" s="32"/>
      <c r="CM1322" s="32"/>
      <c r="CN1322" s="32"/>
      <c r="CO1322" s="32"/>
      <c r="CP1322" s="32"/>
      <c r="CQ1322" s="32"/>
      <c r="CR1322" s="1"/>
      <c r="CS1322" s="1"/>
      <c r="CT1322" s="1"/>
      <c r="CU1322" s="1"/>
    </row>
    <row r="1323" spans="1:99" s="13" customFormat="1" ht="12" customHeight="1" x14ac:dyDescent="0.2">
      <c r="A1323" s="68">
        <v>43897</v>
      </c>
      <c r="B1323" s="103" t="s">
        <v>412</v>
      </c>
      <c r="C1323" s="103" t="s">
        <v>139</v>
      </c>
      <c r="D1323" s="126">
        <v>1990</v>
      </c>
      <c r="E1323" s="87">
        <v>1</v>
      </c>
      <c r="F1323" s="69">
        <v>20</v>
      </c>
      <c r="G1323" s="69">
        <v>20</v>
      </c>
      <c r="H1323" s="69" t="s">
        <v>444</v>
      </c>
      <c r="I1323" s="69" t="s">
        <v>330</v>
      </c>
      <c r="J1323" s="69" t="s">
        <v>16</v>
      </c>
      <c r="K1323" s="69">
        <f>IF(J1323="syllables",1,IF(J1323="trigrams",2,IF(J1323="strings",3,IF(J1323="visual array",4,IF(J1323="characters",5,IF(J1323="letters",6,IF(J1323="free forms",7,IF(J1323="odors",8,IF(J1323="words",9,IF(J1323="pictures",10,IF(J1323="object pictures",11,IF(J1323="faces",12,IF(J1323="names",13,IF(J1323="idioms",14,IF(J1323="grades",15,IF(J1323="syllable-digit pairs",16,IF(J1323="trigram-word pairs",17,IF(J1323="word-digit pairs",18,IF(J1323="English-Swahili pairs",19,IF(J1323="spatial position",20,IF(J1323="word pairs",21,IF(J1323="word triads",22,IF(J1323="generated words",23,IF(J1323="word definition pairs",24,IF(J1323="math problems",25,IF(J1323="famous faces",26,IF(J1323="famous names",27,IF(J1323="famous voices",28,IF(J1323="television programs",29,IF(J1323="race horses",30,IF(J1323="new vocabulary",31,IF(J1323="sentences",32,IF(J1323="concepts",33,IF(J1323="ad slides",34,IF(J1323="scenes",35,IF(J1323="famous scenes",36,IF(J1323="poems",37,IF(J1323="walk",38,IF(J1323="faces and events",39,IF(J1323="events and names",40,IF(J1323="flashbulb",41,IF(J1323="stories",42,IF(J1323="course material",43,IF(J1323="autobiographical",44,IF(J1323="novels",45,IF(J1323="public events",46,"99"))))))))))))))))))))))))))))))))))))))))))))))</f>
        <v>9</v>
      </c>
      <c r="L1323" s="69">
        <f>IF(J1323="syllables",1,IF(J1323="trigrams",1,IF(J1323="strings",1,IF(J1323="visual array",1,IF(J1323="characters",1,IF(J1323="letters",1,IF(J1323="free forms",1,IF(J1323="odors",2,IF(J1323="words",2,IF(J1323="pictures",2,IF(J1323="object pictures",2,IF(J1323="faces",2,IF(J1323="names",2,IF(J1323="idioms","2",IF(J1323="grades",2,IF(J1323="syllable-digit pairs",3,IF(J1323="trigram-word pairs",3,IF(J1323="word-digit pairs",3,IF(J1323="English-Swahili pairs",3,IF(J1323="spatial position",3,IF(J1323="word pairs",4,IF(J1323="word triads",4,IF(J1323="generated words",4,IF(J1323="word definition pairs",4,IF(J1323="math problems",4,IF(J1323="famous faces",4,IF(J1323="famous names",4,IF(J1323="famous voices",4,IF(J1323="television programs",4,IF(J1323="race horses",4,IF(J1323="new vocabulary",4,IF(J1323="sentences",5,IF(J1323="concepts",5,IF(J1323="ad slides",5,IF(J1323="scenes",5,IF(J1323="famous scenes",5,IF(J1323="poems",6,IF(J1323="walk",6,IF(J1323="faces and events",6,IF(J1323="events and names",6,IF(J1323="flashbulb",7,IF(J1323="stories",7,IF(J1323="course material",7,IF(J1323="autobiographical",7,IF(J1323="novels",7,IF(J1323="public events",7,"99"))))))))))))))))))))))))))))))))))))))))))))))</f>
        <v>2</v>
      </c>
      <c r="M1323" s="69">
        <v>0</v>
      </c>
      <c r="N1323" s="86">
        <v>1</v>
      </c>
      <c r="O1323" s="69">
        <v>0</v>
      </c>
      <c r="P1323" s="69"/>
      <c r="Q1323" s="69" t="s">
        <v>174</v>
      </c>
      <c r="R1323" s="69">
        <f>IF(Q1323="Free Recall",1,IF(Q1323="Cued Recall",2,IF(Q1323="Recognition",3,IF(Q1323="Multiple Choice",4,IF(Q1323="Savings",5,IF(Q1323="Stem Completion",6,IF(Q1323="Fragment Completion",7,IF(Q1323="anagram solution",8,IF(Q1323="Matching",9,IF(Q1323="Problem Solving",10,"99"))))))))))</f>
        <v>1</v>
      </c>
      <c r="S1323" s="69" t="s">
        <v>49</v>
      </c>
      <c r="T1323" s="92" t="s">
        <v>581</v>
      </c>
      <c r="U1323" s="69">
        <f>IF(T1323="within",1,0)</f>
        <v>1</v>
      </c>
      <c r="V1323" s="92">
        <v>20</v>
      </c>
      <c r="W1323" s="69">
        <f>F1323*V1323</f>
        <v>400</v>
      </c>
      <c r="X1323" s="69">
        <v>6</v>
      </c>
      <c r="Y1323" s="87">
        <f>AV1322</f>
        <v>15</v>
      </c>
      <c r="Z1323" s="92" t="s">
        <v>276</v>
      </c>
      <c r="AA1323" s="92">
        <v>4838400</v>
      </c>
      <c r="AB1323" s="69" t="str">
        <f>IF(AA1323&lt;60,"1",IF(AA1323&lt;=43200,"2",IF(AA1323&lt;=777600,"3","4")))</f>
        <v>4</v>
      </c>
      <c r="AC1323" s="72">
        <f>AVERAGE(AV1322:DA1322)</f>
        <v>1023702.5</v>
      </c>
      <c r="AD1323" s="69" t="str">
        <f>IF(AC1323&lt;60,"1",IF(AC1323&lt;=43200,"2",IF(AC1323&lt;=777600,"3","4")))</f>
        <v>4</v>
      </c>
      <c r="AE1323" s="87">
        <f>AA1323-Y1323</f>
        <v>4838385</v>
      </c>
      <c r="AF1323" s="88">
        <f>AV1323</f>
        <v>0.48</v>
      </c>
      <c r="AG1323" s="72">
        <f>((AW1323-AV1323)+(AX1323-AW1323)+(AY1323-AX1323)+(AZ1323-AY1323)+(BA1323-AZ1323))/5</f>
        <v>-0.08</v>
      </c>
      <c r="AH1323" s="4"/>
      <c r="AI1323" s="72">
        <f>RSQ(AV1323:BA1323,AV1322:BA1322)</f>
        <v>0.38360613148549694</v>
      </c>
      <c r="AJ1323" s="110">
        <f>SLOPE(AV1323:BA1323,AV1322:BA1322)</f>
        <v>-5.053924963572969E-8</v>
      </c>
      <c r="AK1323" s="72">
        <f>INTERCEPT(AV1323:BA1323,AV1322:BA1322)</f>
        <v>0.29173715620022062</v>
      </c>
      <c r="AL1323" s="72">
        <f>INDEX(LINEST(LN(AV1323:BA1323),LN(AV1322:BA1322),TRUE,TRUE),3,1)</f>
        <v>0.96215452424857362</v>
      </c>
      <c r="AM1323" s="72">
        <f>INDEX(LINEST(LN(AV1323:BA1323),LN(AV1322:BA1322)),1)</f>
        <v>-0.14561903803937642</v>
      </c>
      <c r="AN1323" s="72">
        <f>EXP(INDEX(LINEST(LN(AV1323:BA1323),LN(AV1322:BA1322)),1,2))</f>
        <v>0.81865663842123049</v>
      </c>
      <c r="AO1323" s="89">
        <f>INDEX(LINEST((AV1323:BA1323),LN(AV1322:BA1322),TRUE,TRUE),3,1)</f>
        <v>0.97479781834997759</v>
      </c>
      <c r="AP1323" s="89">
        <f>INDEX(LINEST((AV1323:BA1323),LN(AV1322:BA1322)),1)</f>
        <v>-3.2516937274107899E-2</v>
      </c>
      <c r="AQ1323" s="90">
        <f>INDEX(LINEST(LN(AV1323:BA1323),SQRT(AV1322:BA1322),TRUE,TRUE),3,1)</f>
        <v>0.73616969096770235</v>
      </c>
      <c r="AR1323" s="117">
        <f>INDEX(LINEST(LN(AV1323:BA1323),SQRT((AV1322:BA1322))),1)</f>
        <v>-6.9331069455009348E-4</v>
      </c>
      <c r="AS1323" s="91">
        <f>INDEX(LINEST(1/(AV1323:BA1323),1/(SQRT(AV1322:BA1322)),TRUE,TRUE),3,1)</f>
        <v>0.3439109240916573</v>
      </c>
      <c r="AT1323" s="91">
        <f>INDEX(LINEST(1/(AV1323:BA1323),1/SQRT(AV1322:BA1322)),1)</f>
        <v>-23.591109894328941</v>
      </c>
      <c r="AU1323" s="3"/>
      <c r="AV1323" s="73">
        <v>0.48</v>
      </c>
      <c r="AW1323" s="73">
        <v>0.35</v>
      </c>
      <c r="AX1323" s="73">
        <v>0.28000000000000003</v>
      </c>
      <c r="AY1323" s="73">
        <v>0.14000000000000001</v>
      </c>
      <c r="AZ1323" s="73">
        <v>0.11</v>
      </c>
      <c r="BA1323" s="73">
        <v>0.08</v>
      </c>
      <c r="BB1323" s="42"/>
      <c r="BC1323" s="32"/>
      <c r="BD1323" s="32"/>
      <c r="BE1323" s="32"/>
      <c r="BF1323" s="32"/>
      <c r="BG1323" s="32"/>
      <c r="BH1323" s="32"/>
      <c r="BI1323" s="32"/>
      <c r="BJ1323" s="32"/>
      <c r="BK1323" s="32"/>
      <c r="BL1323" s="32"/>
      <c r="BM1323" s="32"/>
      <c r="BN1323" s="32"/>
      <c r="BO1323" s="32"/>
      <c r="BP1323" s="32"/>
      <c r="BQ1323" s="32"/>
      <c r="BR1323" s="32"/>
      <c r="BS1323" s="32"/>
      <c r="BT1323" s="32"/>
      <c r="BU1323" s="32"/>
      <c r="BV1323" s="32"/>
      <c r="BW1323" s="32"/>
      <c r="BX1323" s="32"/>
      <c r="BY1323" s="32"/>
      <c r="BZ1323" s="32"/>
      <c r="CA1323" s="32"/>
      <c r="CB1323" s="32"/>
      <c r="CC1323" s="32"/>
      <c r="CD1323" s="32"/>
      <c r="CE1323" s="32"/>
      <c r="CF1323" s="32"/>
      <c r="CG1323" s="32"/>
      <c r="CH1323" s="32"/>
      <c r="CI1323" s="32"/>
      <c r="CJ1323" s="32"/>
      <c r="CK1323" s="32"/>
      <c r="CL1323" s="32"/>
      <c r="CM1323" s="32"/>
      <c r="CN1323" s="32"/>
      <c r="CO1323" s="32"/>
      <c r="CP1323" s="32"/>
      <c r="CQ1323" s="32"/>
      <c r="CR1323" s="1"/>
      <c r="CS1323" s="1"/>
      <c r="CT1323" s="1"/>
      <c r="CU1323" s="1"/>
    </row>
    <row r="1324" spans="1:99" s="13" customFormat="1" ht="12" customHeight="1" x14ac:dyDescent="0.2">
      <c r="A1324" s="68">
        <v>43897</v>
      </c>
      <c r="B1324" s="103"/>
      <c r="C1324" s="103"/>
      <c r="D1324" s="126"/>
      <c r="E1324" s="87"/>
      <c r="F1324" s="69"/>
      <c r="G1324" s="69"/>
      <c r="H1324" s="69"/>
      <c r="I1324" s="69"/>
      <c r="J1324" s="69"/>
      <c r="K1324" s="107"/>
      <c r="L1324" s="107"/>
      <c r="M1324" s="69"/>
      <c r="N1324" s="86"/>
      <c r="O1324" s="69"/>
      <c r="P1324" s="69"/>
      <c r="Q1324" s="69"/>
      <c r="R1324" s="69"/>
      <c r="S1324" s="69"/>
      <c r="T1324" s="92"/>
      <c r="U1324" s="69"/>
      <c r="V1324" s="92"/>
      <c r="W1324" s="69"/>
      <c r="X1324" s="69"/>
      <c r="Y1324" s="87"/>
      <c r="Z1324" s="92"/>
      <c r="AA1324" s="92"/>
      <c r="AB1324" s="69"/>
      <c r="AC1324" s="72"/>
      <c r="AD1324" s="69"/>
      <c r="AE1324" s="69"/>
      <c r="AF1324" s="88"/>
      <c r="AG1324" s="72"/>
      <c r="AH1324" s="4"/>
      <c r="AI1324" s="72"/>
      <c r="AJ1324" s="110"/>
      <c r="AK1324" s="72"/>
      <c r="AL1324" s="72"/>
      <c r="AM1324" s="72"/>
      <c r="AN1324" s="72"/>
      <c r="AO1324" s="89"/>
      <c r="AP1324" s="89"/>
      <c r="AQ1324" s="90"/>
      <c r="AR1324" s="117"/>
      <c r="AS1324" s="91"/>
      <c r="AT1324" s="91"/>
      <c r="AU1324" s="3"/>
      <c r="AV1324" s="71">
        <v>157680000</v>
      </c>
      <c r="AW1324" s="71">
        <v>473040000</v>
      </c>
      <c r="AX1324" s="71">
        <v>788400000</v>
      </c>
      <c r="AY1324" s="71">
        <v>1103760000</v>
      </c>
      <c r="AZ1324" s="71">
        <v>1419120000</v>
      </c>
      <c r="BA1324" s="73"/>
      <c r="BB1324" s="42"/>
      <c r="BC1324" s="42"/>
      <c r="BD1324" s="42"/>
      <c r="BE1324" s="42"/>
      <c r="BF1324" s="42"/>
      <c r="BG1324" s="42"/>
      <c r="BH1324" s="30"/>
      <c r="BI1324" s="30"/>
      <c r="BJ1324" s="30"/>
      <c r="BK1324" s="30"/>
      <c r="BL1324" s="30"/>
      <c r="BM1324" s="30"/>
      <c r="BN1324" s="30"/>
      <c r="BO1324" s="30"/>
      <c r="BP1324" s="30"/>
      <c r="BQ1324" s="30"/>
      <c r="BR1324" s="30"/>
      <c r="BS1324" s="30"/>
      <c r="BT1324" s="30"/>
      <c r="BU1324" s="30"/>
      <c r="BV1324" s="30"/>
      <c r="BW1324" s="30"/>
      <c r="BX1324" s="30"/>
      <c r="BY1324" s="30"/>
      <c r="BZ1324" s="30"/>
      <c r="CA1324" s="30"/>
      <c r="CB1324" s="30"/>
      <c r="CC1324" s="30"/>
      <c r="CD1324" s="30"/>
      <c r="CE1324" s="30"/>
      <c r="CF1324" s="30"/>
      <c r="CG1324" s="30"/>
      <c r="CH1324" s="30"/>
      <c r="CI1324" s="30"/>
      <c r="CJ1324" s="30"/>
      <c r="CK1324" s="30"/>
      <c r="CL1324" s="30"/>
      <c r="CM1324" s="30"/>
      <c r="CN1324" s="30"/>
      <c r="CO1324" s="30"/>
      <c r="CP1324" s="30"/>
      <c r="CQ1324" s="30"/>
      <c r="CR1324" s="1"/>
      <c r="CS1324" s="1"/>
      <c r="CT1324" s="1"/>
      <c r="CU1324" s="1"/>
    </row>
    <row r="1325" spans="1:99" s="13" customFormat="1" ht="12" customHeight="1" x14ac:dyDescent="0.2">
      <c r="A1325" s="68">
        <v>43897</v>
      </c>
      <c r="B1325" s="103" t="s">
        <v>412</v>
      </c>
      <c r="C1325" s="103" t="s">
        <v>139</v>
      </c>
      <c r="D1325" s="126">
        <v>1990</v>
      </c>
      <c r="E1325" s="87">
        <v>2</v>
      </c>
      <c r="F1325" s="69">
        <v>8</v>
      </c>
      <c r="G1325" s="69">
        <v>8</v>
      </c>
      <c r="H1325" s="69" t="s">
        <v>413</v>
      </c>
      <c r="I1325" s="69" t="s">
        <v>330</v>
      </c>
      <c r="J1325" s="69" t="s">
        <v>367</v>
      </c>
      <c r="K1325" s="69">
        <f>IF(J1325="syllables",1,IF(J1325="trigrams",2,IF(J1325="strings",3,IF(J1325="visual array",4,IF(J1325="characters",5,IF(J1325="letters",6,IF(J1325="free forms",7,IF(J1325="odors",8,IF(J1325="words",9,IF(J1325="pictures",10,IF(J1325="object pictures",11,IF(J1325="faces",12,IF(J1325="names",13,IF(J1325="idioms",14,IF(J1325="grades",15,IF(J1325="syllable-digit pairs",16,IF(J1325="trigram-word pairs",17,IF(J1325="word-digit pairs",18,IF(J1325="English-Swahili pairs",19,IF(J1325="spatial position",20,IF(J1325="word pairs",21,IF(J1325="word triads",22,IF(J1325="generated words",23,IF(J1325="word definition pairs",24,IF(J1325="math problems",25,IF(J1325="famous faces",26,IF(J1325="famous names",27,IF(J1325="famous voices",28,IF(J1325="television programs",29,IF(J1325="race horses",30,IF(J1325="new vocabulary",31,IF(J1325="sentences",32,IF(J1325="concepts",33,IF(J1325="ad slides",34,IF(J1325="scenes",35,IF(J1325="famous scenes",36,IF(J1325="poems",37,IF(J1325="walk",38,IF(J1325="faces and events",39,IF(J1325="events and names",40,IF(J1325="flashbulb",41,IF(J1325="stories",42,IF(J1325="course material",43,IF(J1325="autobiographical",44,IF(J1325="novels",45,IF(J1325="public events",46,"99"))))))))))))))))))))))))))))))))))))))))))))))</f>
        <v>27</v>
      </c>
      <c r="L1325" s="69">
        <f>IF(J1325="syllables",1,IF(J1325="trigrams",1,IF(J1325="strings",1,IF(J1325="visual array",1,IF(J1325="characters",1,IF(J1325="letters",1,IF(J1325="free forms",1,IF(J1325="odors",2,IF(J1325="words",2,IF(J1325="pictures",2,IF(J1325="object pictures",2,IF(J1325="faces",2,IF(J1325="names",2,IF(J1325="idioms","2",IF(J1325="grades",2,IF(J1325="syllable-digit pairs",3,IF(J1325="trigram-word pairs",3,IF(J1325="word-digit pairs",3,IF(J1325="English-Swahili pairs",3,IF(J1325="spatial position",3,IF(J1325="word pairs",4,IF(J1325="word triads",4,IF(J1325="generated words",4,IF(J1325="word definition pairs",4,IF(J1325="math problems",4,IF(J1325="famous faces",4,IF(J1325="famous names",4,IF(J1325="famous voices",4,IF(J1325="television programs",4,IF(J1325="race horses",4,IF(J1325="new vocabulary",4,IF(J1325="sentences",5,IF(J1325="concepts",5,IF(J1325="ad slides",5,IF(J1325="scenes",5,IF(J1325="famous scenes",5,IF(J1325="poems",6,IF(J1325="walk",6,IF(J1325="faces and events",6,IF(J1325="events and names",6,IF(J1325="flashbulb",7,IF(J1325="stories",7,IF(J1325="course material",7,IF(J1325="autobiographical",7,IF(J1325="novels",7,IF(J1325="public events",7,"99"))))))))))))))))))))))))))))))))))))))))))))))</f>
        <v>4</v>
      </c>
      <c r="M1325" s="69">
        <v>1</v>
      </c>
      <c r="N1325" s="86">
        <v>2</v>
      </c>
      <c r="O1325" s="69">
        <v>0</v>
      </c>
      <c r="P1325" s="69"/>
      <c r="Q1325" s="69" t="s">
        <v>182</v>
      </c>
      <c r="R1325" s="69">
        <f>IF(Q1325="Free Recall",1,IF(Q1325="Cued Recall",2,IF(Q1325="Recognition",3,IF(Q1325="Multiple Choice",4,IF(Q1325="Savings",5,IF(Q1325="Stem Completion",6,IF(Q1325="Fragment Completion",7,IF(Q1325="anagram solution",8,IF(Q1325="Matching",9,IF(Q1325="Problem Solving",10,"99"))))))))))</f>
        <v>4</v>
      </c>
      <c r="S1325" s="69" t="s">
        <v>15</v>
      </c>
      <c r="T1325" s="92" t="s">
        <v>581</v>
      </c>
      <c r="U1325" s="69">
        <f>IF(T1325="within",1,0)</f>
        <v>1</v>
      </c>
      <c r="V1325" s="92">
        <v>120</v>
      </c>
      <c r="W1325" s="69">
        <f>F1325*V1325</f>
        <v>960</v>
      </c>
      <c r="X1325" s="69">
        <v>5</v>
      </c>
      <c r="Y1325" s="87">
        <f>AV1324</f>
        <v>157680000</v>
      </c>
      <c r="Z1325" s="92" t="s">
        <v>373</v>
      </c>
      <c r="AA1325" s="69">
        <f>45*365*24*60*60</f>
        <v>1419120000</v>
      </c>
      <c r="AB1325" s="69" t="str">
        <f>IF(AA1325&lt;60,"1",IF(AA1325&lt;=43200,"2",IF(AA1325&lt;=777600,"3","4")))</f>
        <v>4</v>
      </c>
      <c r="AC1325" s="72">
        <f>AVERAGE(AV1324:DA1324)</f>
        <v>788400000</v>
      </c>
      <c r="AD1325" s="69" t="str">
        <f>IF(AC1325&lt;60,"1",IF(AC1325&lt;=43200,"2",IF(AC1325&lt;=777600,"3","4")))</f>
        <v>4</v>
      </c>
      <c r="AE1325" s="87">
        <f>AA1325-Y1325</f>
        <v>1261440000</v>
      </c>
      <c r="AF1325" s="88">
        <f>AV1325</f>
        <v>1</v>
      </c>
      <c r="AG1325" s="133">
        <f>((AW1325-AV1325)+(AX1325-AW1325)+(AY1325-AX1325)+(AZ1325-AY1325))/4</f>
        <v>0</v>
      </c>
      <c r="AH1325" s="4"/>
      <c r="AI1325" s="72">
        <f>RSQ(AV1325:AZ1325,AV1324:AZ1324)</f>
        <v>2.2439085032322358E-2</v>
      </c>
      <c r="AJ1325" s="110">
        <f>SLOPE(AV1325:AZ1325,AV1324:AZ1324)</f>
        <v>-2.7385729440524052E-12</v>
      </c>
      <c r="AK1325" s="72">
        <f>INTERCEPT(AV1325:AZ1325,AV1324:AZ1324)</f>
        <v>0.99588636363636374</v>
      </c>
      <c r="AL1325" s="72">
        <f>INDEX(LINEST(LN(AV1325:AZ1325),LN(AV1324:AZ1324),TRUE,TRUE),3,1)</f>
        <v>7.0983200541618247E-2</v>
      </c>
      <c r="AM1325" s="72">
        <f>INDEX(LINEST(LN(AV1325:AZ1325),LN(AV1324:AZ1324)),1)</f>
        <v>-2.8195273045323347E-3</v>
      </c>
      <c r="AN1325" s="72">
        <f>EXP(INDEX(LINEST(LN(AV1325:AZ1325),LN(AV1324:AZ1324)),1,2))</f>
        <v>1.0520690593302557</v>
      </c>
      <c r="AO1325" s="89">
        <f>INDEX(LINEST((AV1325:AZ1325),LN(AV1324:AZ1324),TRUE,TRUE),3,1)</f>
        <v>7.0649605449904493E-2</v>
      </c>
      <c r="AP1325" s="89">
        <f>INDEX(LINEST((AV1325:AZ1325),LN(AV1324:AZ1324)),1)</f>
        <v>-2.7867805550215214E-3</v>
      </c>
      <c r="AQ1325" s="90">
        <f>INDEX(LINEST(LN(AV1325:AZ1325),SQRT(AV1324:AZ1324),TRUE,TRUE),3,1)</f>
        <v>4.4500835216101285E-2</v>
      </c>
      <c r="AR1325" s="117">
        <f>INDEX(LINEST(LN(AV1325:AZ1325),SQRT((AV1324:AZ1324))),1)</f>
        <v>-1.9674368327299805E-7</v>
      </c>
      <c r="AS1325" s="91">
        <f>INDEX(LINEST(1/(AV1325:AZ1325),1/(SQRT(AV1324:AZ1324)),TRUE,TRUE),3,1)</f>
        <v>9.6325335283046279E-2</v>
      </c>
      <c r="AT1325" s="91">
        <f>INDEX(LINEST(1/(AV1325:AZ1325),1/SQRT(AV1324:AZ1324)),1)</f>
        <v>-134.36027814179579</v>
      </c>
      <c r="AU1325" s="3"/>
      <c r="AV1325" s="73">
        <v>1</v>
      </c>
      <c r="AW1325" s="73">
        <v>0.98863636363636365</v>
      </c>
      <c r="AX1325" s="73">
        <v>1</v>
      </c>
      <c r="AY1325" s="73">
        <v>0.98</v>
      </c>
      <c r="AZ1325" s="73">
        <v>1</v>
      </c>
      <c r="BA1325" s="73"/>
      <c r="BB1325" s="42"/>
      <c r="BC1325" s="42"/>
      <c r="BD1325" s="42"/>
      <c r="BE1325" s="42"/>
      <c r="BF1325" s="42"/>
      <c r="BG1325" s="42"/>
      <c r="BH1325" s="30"/>
      <c r="BI1325" s="30"/>
      <c r="BJ1325" s="30"/>
      <c r="BK1325" s="30"/>
      <c r="BL1325" s="30"/>
      <c r="BM1325" s="30"/>
      <c r="BN1325" s="30"/>
      <c r="BO1325" s="30"/>
      <c r="BP1325" s="30"/>
      <c r="BQ1325" s="30"/>
      <c r="BR1325" s="30"/>
      <c r="BS1325" s="30"/>
      <c r="BT1325" s="30"/>
      <c r="BU1325" s="30"/>
      <c r="BV1325" s="30"/>
      <c r="BW1325" s="30"/>
      <c r="BX1325" s="30"/>
      <c r="BY1325" s="30"/>
      <c r="BZ1325" s="30"/>
      <c r="CA1325" s="30"/>
      <c r="CB1325" s="30"/>
      <c r="CC1325" s="30"/>
      <c r="CD1325" s="30"/>
      <c r="CE1325" s="30"/>
      <c r="CF1325" s="30"/>
      <c r="CG1325" s="30"/>
      <c r="CH1325" s="30"/>
      <c r="CI1325" s="30"/>
      <c r="CJ1325" s="30"/>
      <c r="CK1325" s="30"/>
      <c r="CL1325" s="30"/>
      <c r="CM1325" s="30"/>
      <c r="CN1325" s="30"/>
      <c r="CO1325" s="30"/>
      <c r="CP1325" s="30"/>
      <c r="CQ1325" s="30"/>
      <c r="CR1325" s="1"/>
      <c r="CS1325" s="1"/>
      <c r="CT1325" s="1"/>
      <c r="CU1325" s="1"/>
    </row>
    <row r="1326" spans="1:99" s="13" customFormat="1" ht="12" customHeight="1" x14ac:dyDescent="0.2">
      <c r="A1326" s="68">
        <v>43897</v>
      </c>
      <c r="B1326" s="103"/>
      <c r="C1326" s="103"/>
      <c r="D1326" s="126"/>
      <c r="E1326" s="87"/>
      <c r="F1326" s="69"/>
      <c r="G1326" s="69"/>
      <c r="H1326" s="69"/>
      <c r="I1326" s="69"/>
      <c r="J1326" s="69"/>
      <c r="K1326" s="107"/>
      <c r="L1326" s="107"/>
      <c r="M1326" s="69"/>
      <c r="N1326" s="86"/>
      <c r="O1326" s="69"/>
      <c r="P1326" s="69"/>
      <c r="Q1326" s="69"/>
      <c r="R1326" s="69"/>
      <c r="S1326" s="69"/>
      <c r="T1326" s="92"/>
      <c r="U1326" s="69"/>
      <c r="V1326" s="92"/>
      <c r="W1326" s="69"/>
      <c r="X1326" s="69"/>
      <c r="Y1326" s="87"/>
      <c r="Z1326" s="92"/>
      <c r="AA1326" s="92"/>
      <c r="AB1326" s="69"/>
      <c r="AC1326" s="72"/>
      <c r="AD1326" s="69"/>
      <c r="AE1326" s="69"/>
      <c r="AF1326" s="88"/>
      <c r="AG1326" s="72"/>
      <c r="AH1326" s="4"/>
      <c r="AI1326" s="72"/>
      <c r="AJ1326" s="110"/>
      <c r="AK1326" s="72"/>
      <c r="AL1326" s="72"/>
      <c r="AM1326" s="72"/>
      <c r="AN1326" s="72"/>
      <c r="AO1326" s="89"/>
      <c r="AP1326" s="89"/>
      <c r="AQ1326" s="90"/>
      <c r="AR1326" s="117"/>
      <c r="AS1326" s="91"/>
      <c r="AT1326" s="91"/>
      <c r="AU1326" s="3"/>
      <c r="AV1326" s="71">
        <v>157680000</v>
      </c>
      <c r="AW1326" s="71">
        <v>473040000</v>
      </c>
      <c r="AX1326" s="71">
        <v>788400000</v>
      </c>
      <c r="AY1326" s="71">
        <v>1103760000</v>
      </c>
      <c r="AZ1326" s="71">
        <v>1419120000</v>
      </c>
      <c r="BA1326" s="73"/>
      <c r="BB1326" s="42"/>
      <c r="BC1326" s="42"/>
      <c r="BD1326" s="42"/>
      <c r="BE1326" s="42"/>
      <c r="BF1326" s="42"/>
      <c r="BG1326" s="42"/>
      <c r="BH1326" s="30"/>
      <c r="BI1326" s="30"/>
      <c r="BJ1326" s="30"/>
      <c r="BK1326" s="30"/>
      <c r="BL1326" s="30"/>
      <c r="BM1326" s="30"/>
      <c r="BN1326" s="30"/>
      <c r="BO1326" s="30"/>
      <c r="BP1326" s="30"/>
      <c r="BQ1326" s="30"/>
      <c r="BR1326" s="30"/>
      <c r="BS1326" s="30"/>
      <c r="BT1326" s="30"/>
      <c r="BU1326" s="30"/>
      <c r="BV1326" s="30"/>
      <c r="BW1326" s="30"/>
      <c r="BX1326" s="30"/>
      <c r="BY1326" s="30"/>
      <c r="BZ1326" s="30"/>
      <c r="CA1326" s="30"/>
      <c r="CB1326" s="30"/>
      <c r="CC1326" s="30"/>
      <c r="CD1326" s="30"/>
      <c r="CE1326" s="30"/>
      <c r="CF1326" s="30"/>
      <c r="CG1326" s="30"/>
      <c r="CH1326" s="30"/>
      <c r="CI1326" s="30"/>
      <c r="CJ1326" s="30"/>
      <c r="CK1326" s="30"/>
      <c r="CL1326" s="30"/>
      <c r="CM1326" s="30"/>
      <c r="CN1326" s="30"/>
      <c r="CO1326" s="30"/>
      <c r="CP1326" s="30"/>
      <c r="CQ1326" s="30"/>
      <c r="CR1326" s="1"/>
      <c r="CS1326" s="1"/>
      <c r="CT1326" s="1"/>
      <c r="CU1326" s="1"/>
    </row>
    <row r="1327" spans="1:99" s="13" customFormat="1" ht="12" customHeight="1" x14ac:dyDescent="0.2">
      <c r="A1327" s="68">
        <v>43897</v>
      </c>
      <c r="B1327" s="103" t="s">
        <v>412</v>
      </c>
      <c r="C1327" s="103" t="s">
        <v>139</v>
      </c>
      <c r="D1327" s="126">
        <v>1990</v>
      </c>
      <c r="E1327" s="87">
        <v>2</v>
      </c>
      <c r="F1327" s="69">
        <v>8</v>
      </c>
      <c r="G1327" s="69">
        <v>8</v>
      </c>
      <c r="H1327" s="69" t="s">
        <v>413</v>
      </c>
      <c r="I1327" s="69" t="s">
        <v>330</v>
      </c>
      <c r="J1327" s="69" t="s">
        <v>367</v>
      </c>
      <c r="K1327" s="69">
        <f>IF(J1327="syllables",1,IF(J1327="trigrams",2,IF(J1327="strings",3,IF(J1327="visual array",4,IF(J1327="characters",5,IF(J1327="letters",6,IF(J1327="free forms",7,IF(J1327="odors",8,IF(J1327="words",9,IF(J1327="pictures",10,IF(J1327="object pictures",11,IF(J1327="faces",12,IF(J1327="names",13,IF(J1327="idioms",14,IF(J1327="grades",15,IF(J1327="syllable-digit pairs",16,IF(J1327="trigram-word pairs",17,IF(J1327="word-digit pairs",18,IF(J1327="English-Swahili pairs",19,IF(J1327="spatial position",20,IF(J1327="word pairs",21,IF(J1327="word triads",22,IF(J1327="generated words",23,IF(J1327="word definition pairs",24,IF(J1327="math problems",25,IF(J1327="famous faces",26,IF(J1327="famous names",27,IF(J1327="famous voices",28,IF(J1327="television programs",29,IF(J1327="race horses",30,IF(J1327="new vocabulary",31,IF(J1327="sentences",32,IF(J1327="concepts",33,IF(J1327="ad slides",34,IF(J1327="scenes",35,IF(J1327="famous scenes",36,IF(J1327="poems",37,IF(J1327="walk",38,IF(J1327="faces and events",39,IF(J1327="events and names",40,IF(J1327="flashbulb",41,IF(J1327="stories",42,IF(J1327="course material",43,IF(J1327="autobiographical",44,IF(J1327="novels",45,IF(J1327="public events",46,"99"))))))))))))))))))))))))))))))))))))))))))))))</f>
        <v>27</v>
      </c>
      <c r="L1327" s="69">
        <f>IF(J1327="syllables",1,IF(J1327="trigrams",1,IF(J1327="strings",1,IF(J1327="visual array",1,IF(J1327="characters",1,IF(J1327="letters",1,IF(J1327="free forms",1,IF(J1327="odors",2,IF(J1327="words",2,IF(J1327="pictures",2,IF(J1327="object pictures",2,IF(J1327="faces",2,IF(J1327="names",2,IF(J1327="idioms","2",IF(J1327="grades",2,IF(J1327="syllable-digit pairs",3,IF(J1327="trigram-word pairs",3,IF(J1327="word-digit pairs",3,IF(J1327="English-Swahili pairs",3,IF(J1327="spatial position",3,IF(J1327="word pairs",4,IF(J1327="word triads",4,IF(J1327="generated words",4,IF(J1327="word definition pairs",4,IF(J1327="math problems",4,IF(J1327="famous faces",4,IF(J1327="famous names",4,IF(J1327="famous voices",4,IF(J1327="television programs",4,IF(J1327="race horses",4,IF(J1327="new vocabulary",4,IF(J1327="sentences",5,IF(J1327="concepts",5,IF(J1327="ad slides",5,IF(J1327="scenes",5,IF(J1327="famous scenes",5,IF(J1327="poems",6,IF(J1327="walk",6,IF(J1327="faces and events",6,IF(J1327="events and names",6,IF(J1327="flashbulb",7,IF(J1327="stories",7,IF(J1327="course material",7,IF(J1327="autobiographical",7,IF(J1327="novels",7,IF(J1327="public events",7,"99"))))))))))))))))))))))))))))))))))))))))))))))</f>
        <v>4</v>
      </c>
      <c r="M1327" s="69">
        <v>1</v>
      </c>
      <c r="N1327" s="86">
        <v>2</v>
      </c>
      <c r="O1327" s="69">
        <v>0</v>
      </c>
      <c r="P1327" s="69"/>
      <c r="Q1327" s="69" t="s">
        <v>65</v>
      </c>
      <c r="R1327" s="69">
        <f>IF(Q1327="Free Recall",1,IF(Q1327="Cued Recall",2,IF(Q1327="Recognition",3,IF(Q1327="Multiple Choice",4,IF(Q1327="Savings",5,IF(Q1327="Stem Completion",6,IF(Q1327="Fragment Completion",7,IF(Q1327="anagram solution",8,IF(Q1327="Matching",9,IF(Q1327="Problem Solving",10,"99"))))))))))</f>
        <v>2</v>
      </c>
      <c r="S1327" s="69" t="s">
        <v>15</v>
      </c>
      <c r="T1327" s="92" t="s">
        <v>581</v>
      </c>
      <c r="U1327" s="69">
        <f>IF(T1327="within",1,0)</f>
        <v>1</v>
      </c>
      <c r="V1327" s="92">
        <v>120</v>
      </c>
      <c r="W1327" s="69">
        <f>F1327*V1327</f>
        <v>960</v>
      </c>
      <c r="X1327" s="69">
        <v>5</v>
      </c>
      <c r="Y1327" s="87">
        <f>AV1326</f>
        <v>157680000</v>
      </c>
      <c r="Z1327" s="92" t="s">
        <v>373</v>
      </c>
      <c r="AA1327" s="69">
        <f>45*365*24*60*60</f>
        <v>1419120000</v>
      </c>
      <c r="AB1327" s="69" t="str">
        <f>IF(AA1327&lt;60,"1",IF(AA1327&lt;=43200,"2",IF(AA1327&lt;=777600,"3","4")))</f>
        <v>4</v>
      </c>
      <c r="AC1327" s="72">
        <f>AVERAGE(AV1326:DA1326)</f>
        <v>788400000</v>
      </c>
      <c r="AD1327" s="69" t="str">
        <f>IF(AC1327&lt;60,"1",IF(AC1327&lt;=43200,"2",IF(AC1327&lt;=777600,"3","4")))</f>
        <v>4</v>
      </c>
      <c r="AE1327" s="87">
        <f>AA1327-Y1327</f>
        <v>1261440000</v>
      </c>
      <c r="AF1327" s="88">
        <f>AV1327</f>
        <v>0.85106382978723416</v>
      </c>
      <c r="AG1327" s="72">
        <f>((AW1327-AV1327)+(AX1327-AW1327)+(AY1327-AX1327)+(AZ1327-AY1327))/4</f>
        <v>1.4506769825918753E-2</v>
      </c>
      <c r="AH1327" s="4"/>
      <c r="AI1327" s="72">
        <f>RSQ(AV1327:AZ1327,AV1326:AZ1326)</f>
        <v>0.18750195990370441</v>
      </c>
      <c r="AJ1327" s="110">
        <f>SLOPE(AV1327:AZ1327,AV1326:AZ1326)</f>
        <v>3.6800532282898912E-11</v>
      </c>
      <c r="AK1327" s="72">
        <f>INTERCEPT(AV1327:AZ1327,AV1326:AZ1326)</f>
        <v>0.87221526908635805</v>
      </c>
      <c r="AL1327" s="72">
        <f>INDEX(LINEST(LN(AV1327:AZ1327),LN(AV1326:AZ1326),TRUE,TRUE),3,1)</f>
        <v>0.29109439006812915</v>
      </c>
      <c r="AM1327" s="72">
        <f>INDEX(LINEST(LN(AV1327:AZ1327),LN(AV1326:AZ1326)),1)</f>
        <v>2.9318452131501666E-2</v>
      </c>
      <c r="AN1327" s="72">
        <f>EXP(INDEX(LINEST(LN(AV1327:AZ1327),LN(AV1326:AZ1326)),1,2))</f>
        <v>0.49734226284753419</v>
      </c>
      <c r="AO1327" s="89">
        <f>INDEX(LINEST((AV1327:AZ1327),LN(AV1326:AZ1326),TRUE,TRUE),3,1)</f>
        <v>0.28293406345687527</v>
      </c>
      <c r="AP1327" s="89">
        <f>INDEX(LINEST((AV1327:AZ1327),LN(AV1326:AZ1326)),1)</f>
        <v>2.5925072112041297E-2</v>
      </c>
      <c r="AQ1327" s="90">
        <f>INDEX(LINEST(LN(AV1327:AZ1327),SQRT(AV1326:AZ1326),TRUE,TRUE),3,1)</f>
        <v>0.2405953360017922</v>
      </c>
      <c r="AR1327" s="117">
        <f>INDEX(LINEST(LN(AV1327:AZ1327),SQRT((AV1326:AZ1326))),1)</f>
        <v>2.3490157172210062E-6</v>
      </c>
      <c r="AS1327" s="91">
        <f>INDEX(LINEST(1/(AV1327:AZ1327),1/(SQRT(AV1326:AZ1326)),TRUE,TRUE),3,1)</f>
        <v>0.34535496003713984</v>
      </c>
      <c r="AT1327" s="91">
        <f>INDEX(LINEST(1/(AV1327:AZ1327),1/SQRT(AV1326:AZ1326)),1)</f>
        <v>1444.1723914752349</v>
      </c>
      <c r="AU1327" s="3"/>
      <c r="AV1327" s="73">
        <v>0.85106382978723416</v>
      </c>
      <c r="AW1327" s="73">
        <v>0.94117647058823528</v>
      </c>
      <c r="AX1327" s="73">
        <v>0.86363636363636365</v>
      </c>
      <c r="AY1327" s="73">
        <v>0.94117647058823528</v>
      </c>
      <c r="AZ1327" s="73">
        <v>0.90909090909090917</v>
      </c>
      <c r="BA1327" s="73"/>
      <c r="BB1327" s="42"/>
      <c r="BC1327" s="42"/>
      <c r="BD1327" s="42"/>
      <c r="BE1327" s="42"/>
      <c r="BF1327" s="42"/>
      <c r="BG1327" s="42"/>
      <c r="BH1327" s="30"/>
      <c r="BI1327" s="30"/>
      <c r="BJ1327" s="30"/>
      <c r="BK1327" s="30"/>
      <c r="BL1327" s="30"/>
      <c r="BM1327" s="30"/>
      <c r="BN1327" s="30"/>
      <c r="BO1327" s="30"/>
      <c r="BP1327" s="30"/>
      <c r="BQ1327" s="30"/>
      <c r="BR1327" s="30"/>
      <c r="BS1327" s="30"/>
      <c r="BT1327" s="30"/>
      <c r="BU1327" s="30"/>
      <c r="BV1327" s="30"/>
      <c r="BW1327" s="30"/>
      <c r="BX1327" s="30"/>
      <c r="BY1327" s="30"/>
      <c r="BZ1327" s="30"/>
      <c r="CA1327" s="30"/>
      <c r="CB1327" s="30"/>
      <c r="CC1327" s="30"/>
      <c r="CD1327" s="30"/>
      <c r="CE1327" s="30"/>
      <c r="CF1327" s="30"/>
      <c r="CG1327" s="30"/>
      <c r="CH1327" s="30"/>
      <c r="CI1327" s="30"/>
      <c r="CJ1327" s="30"/>
      <c r="CK1327" s="30"/>
      <c r="CL1327" s="30"/>
      <c r="CM1327" s="30"/>
      <c r="CN1327" s="30"/>
      <c r="CO1327" s="30"/>
      <c r="CP1327" s="30"/>
      <c r="CQ1327" s="30"/>
      <c r="CR1327" s="1"/>
      <c r="CS1327" s="1"/>
      <c r="CT1327" s="1"/>
      <c r="CU1327" s="1"/>
    </row>
    <row r="1328" spans="1:99" s="13" customFormat="1" ht="12" customHeight="1" x14ac:dyDescent="0.2">
      <c r="A1328" s="65">
        <v>43509</v>
      </c>
      <c r="B1328" s="1"/>
      <c r="C1328" s="1"/>
      <c r="D1328" s="60"/>
      <c r="E1328" s="76"/>
      <c r="F1328" s="60"/>
      <c r="G1328" s="60"/>
      <c r="H1328" s="60"/>
      <c r="I1328" s="60"/>
      <c r="J1328" s="60"/>
      <c r="K1328" s="64"/>
      <c r="L1328" s="64"/>
      <c r="M1328" s="60"/>
      <c r="N1328" s="60"/>
      <c r="O1328" s="60"/>
      <c r="P1328" s="60"/>
      <c r="Q1328" s="60"/>
      <c r="R1328" s="60"/>
      <c r="S1328" s="60"/>
      <c r="T1328" s="60"/>
      <c r="U1328" s="60"/>
      <c r="V1328" s="60"/>
      <c r="W1328" s="60"/>
      <c r="X1328" s="60"/>
      <c r="Y1328" s="76"/>
      <c r="Z1328" s="60"/>
      <c r="AA1328" s="60"/>
      <c r="AB1328" s="60"/>
      <c r="AC1328" s="60"/>
      <c r="AD1328" s="60"/>
      <c r="AE1328" s="60"/>
      <c r="AF1328" s="80"/>
      <c r="AG1328" s="56"/>
      <c r="AH1328" s="4"/>
      <c r="AI1328" s="56"/>
      <c r="AJ1328" s="109"/>
      <c r="AK1328" s="56"/>
      <c r="AL1328" s="56"/>
      <c r="AM1328" s="56"/>
      <c r="AN1328" s="56"/>
      <c r="AO1328" s="56"/>
      <c r="AP1328" s="56"/>
      <c r="AQ1328" s="56"/>
      <c r="AR1328" s="109"/>
      <c r="AS1328" s="56"/>
      <c r="AT1328" s="56"/>
      <c r="AU1328" s="8"/>
      <c r="AV1328" s="25">
        <v>60</v>
      </c>
      <c r="AW1328" s="25">
        <f>7*24*3600*1</f>
        <v>604800</v>
      </c>
      <c r="AX1328" s="25">
        <f>7*24*3600*2</f>
        <v>1209600</v>
      </c>
      <c r="AY1328" s="25">
        <f>7*24*3600*3</f>
        <v>1814400</v>
      </c>
      <c r="AZ1328" s="25">
        <f>7*24*3600*4</f>
        <v>2419200</v>
      </c>
      <c r="BA1328" s="42" t="s">
        <v>536</v>
      </c>
      <c r="BB1328" s="42"/>
      <c r="BC1328" s="2"/>
      <c r="BD1328" s="2"/>
      <c r="BE1328" s="2"/>
      <c r="BF1328" s="2"/>
      <c r="BG1328" s="2"/>
      <c r="BH1328" s="2"/>
      <c r="BI1328" s="2"/>
      <c r="BJ1328" s="2"/>
      <c r="BK1328" s="2"/>
      <c r="BL1328" s="2"/>
      <c r="BM1328" s="2"/>
      <c r="BN1328" s="2"/>
      <c r="BO1328" s="2"/>
      <c r="BP1328" s="2"/>
      <c r="BQ1328" s="2"/>
      <c r="BR1328" s="2"/>
      <c r="BS1328" s="2"/>
      <c r="BT1328" s="2"/>
      <c r="BU1328" s="2"/>
      <c r="BV1328" s="2"/>
      <c r="BW1328" s="2"/>
      <c r="BX1328" s="2"/>
      <c r="BY1328" s="2"/>
      <c r="BZ1328" s="2"/>
      <c r="CA1328" s="2"/>
      <c r="CB1328" s="2"/>
      <c r="CC1328" s="2"/>
      <c r="CD1328" s="2"/>
      <c r="CE1328" s="2"/>
      <c r="CF1328" s="2"/>
      <c r="CG1328" s="2"/>
      <c r="CH1328" s="2"/>
      <c r="CI1328" s="2"/>
      <c r="CJ1328" s="2"/>
      <c r="CK1328" s="2"/>
      <c r="CL1328" s="2"/>
      <c r="CM1328" s="2"/>
      <c r="CN1328" s="2"/>
      <c r="CO1328" s="2"/>
      <c r="CP1328" s="2"/>
      <c r="CQ1328" s="2"/>
      <c r="CR1328" s="1"/>
      <c r="CS1328" s="1"/>
      <c r="CT1328" s="1"/>
      <c r="CU1328" s="1"/>
    </row>
    <row r="1329" spans="1:99" s="13" customFormat="1" ht="12" customHeight="1" x14ac:dyDescent="0.2">
      <c r="A1329" s="65">
        <v>43509</v>
      </c>
      <c r="B1329" s="1" t="s">
        <v>166</v>
      </c>
      <c r="C1329" s="1" t="s">
        <v>167</v>
      </c>
      <c r="D1329" s="60">
        <v>1970</v>
      </c>
      <c r="E1329" s="76">
        <v>1</v>
      </c>
      <c r="F1329" s="60">
        <v>150</v>
      </c>
      <c r="G1329" s="60">
        <v>15</v>
      </c>
      <c r="H1329" s="60" t="s">
        <v>50</v>
      </c>
      <c r="I1329" s="60" t="s">
        <v>826</v>
      </c>
      <c r="J1329" s="60" t="s">
        <v>828</v>
      </c>
      <c r="K1329" s="60">
        <f>IF(J1329="syllables",1,IF(J1329="trigrams",2,IF(J1329="strings",3,IF(J1329="visual array",4,IF(J1329="characters",5,IF(J1329="letters",6,IF(J1329="free forms",7,IF(J1329="odors",8,IF(J1329="words",9,IF(J1329="pictures",10,IF(J1329="object pictures",11,IF(J1329="faces",12,IF(J1329="names",13,IF(J1329="idioms",14,IF(J1329="grades",15,IF(J1329="syllable-digit pairs",16,IF(J1329="trigram-word pairs",17,IF(J1329="word-digit pairs",18,IF(J1329="English-Swahili pairs",19,IF(J1329="spatial position",20,IF(J1329="word pairs",21,IF(J1329="word triads",22,IF(J1329="generated words",23,IF(J1329="word definition pairs",24,IF(J1329="math problems",25,IF(J1329="famous faces",26,IF(J1329="famous names",27,IF(J1329="famous voices",28,IF(J1329="television programs",29,IF(J1329="race horses",30,IF(J1329="new vocabulary",31,IF(J1329="sentences",32,IF(J1329="concepts",33,IF(J1329="ad slides",34,IF(J1329="scenes",35,IF(J1329="famous scenes",36,IF(J1329="poems",37,IF(J1329="walk",38,IF(J1329="faces and events",39,IF(J1329="events and names",40,IF(J1329="flashbulb",41,IF(J1329="stories",42,IF(J1329="course material",43,IF(J1329="autobiographical",44,IF(J1329="novels",45,IF(J1329="public events",46,"99"))))))))))))))))))))))))))))))))))))))))))))))</f>
        <v>17</v>
      </c>
      <c r="L1329" s="60">
        <f>IF(J1329="syllables",1,IF(J1329="trigrams",1,IF(J1329="strings",1,IF(J1329="visual array",1,IF(J1329="characters",1,IF(J1329="letters",1,IF(J1329="free forms",1,IF(J1329="odors",2,IF(J1329="words",2,IF(J1329="pictures",2,IF(J1329="object pictures",2,IF(J1329="faces",2,IF(J1329="names",2,IF(J1329="idioms","2",IF(J1329="grades",2,IF(J1329="syllable-digit pairs",3,IF(J1329="trigram-word pairs",3,IF(J1329="word-digit pairs",3,IF(J1329="English-Swahili pairs",3,IF(J1329="spatial position",3,IF(J1329="word pairs",4,IF(J1329="word triads",4,IF(J1329="generated words",4,IF(J1329="word definition pairs",4,IF(J1329="math problems",4,IF(J1329="famous faces",4,IF(J1329="famous names",4,IF(J1329="famous voices",4,IF(J1329="television programs",4,IF(J1329="race horses",4,IF(J1329="new vocabulary",4,IF(J1329="sentences",5,IF(J1329="concepts",5,IF(J1329="ad slides",5,IF(J1329="scenes",5,IF(J1329="famous scenes",5,IF(J1329="poems",6,IF(J1329="walk",6,IF(J1329="faces and events",6,IF(J1329="events and names",6,IF(J1329="flashbulb",7,IF(J1329="stories",7,IF(J1329="course material",7,IF(J1329="autobiographical",7,IF(J1329="novels",7,IF(J1329="public events",7,"99"))))))))))))))))))))))))))))))))))))))))))))))</f>
        <v>3</v>
      </c>
      <c r="M1329" s="60">
        <v>1</v>
      </c>
      <c r="N1329" s="60">
        <v>2</v>
      </c>
      <c r="O1329" s="60">
        <v>0</v>
      </c>
      <c r="P1329" s="60"/>
      <c r="Q1329" s="60" t="s">
        <v>65</v>
      </c>
      <c r="R1329" s="60">
        <f>IF(Q1329="Free Recall",1,IF(Q1329="Cued Recall",2,IF(Q1329="Recognition",3,IF(Q1329="Multiple Choice",4,IF(Q1329="Savings",5,IF(Q1329="Stem Completion",6,IF(Q1329="Fragment Completion",7,IF(Q1329="anagram solution",8,IF(Q1329="Matching",9,IF(Q1329="Problem Solving",10,"99"))))))))))</f>
        <v>2</v>
      </c>
      <c r="S1329" s="60" t="s">
        <v>49</v>
      </c>
      <c r="T1329" s="59" t="s">
        <v>261</v>
      </c>
      <c r="U1329" s="60">
        <f>IF(T1329="within",1,0)</f>
        <v>0</v>
      </c>
      <c r="V1329" s="59">
        <v>10</v>
      </c>
      <c r="W1329" s="60">
        <f>F1329*V1329</f>
        <v>1500</v>
      </c>
      <c r="X1329" s="60">
        <v>5</v>
      </c>
      <c r="Y1329" s="76">
        <f>AV1328</f>
        <v>60</v>
      </c>
      <c r="Z1329" s="60" t="s">
        <v>140</v>
      </c>
      <c r="AA1329" s="60">
        <v>2419200</v>
      </c>
      <c r="AB1329" s="60" t="str">
        <f>IF(AA1329&lt;60,"1",IF(AA1329&lt;=43200,"2",IF(AA1329&lt;=777600,"3","4")))</f>
        <v>4</v>
      </c>
      <c r="AC1329" s="56">
        <f>AVERAGE(AV1328:DA1328)</f>
        <v>1209612</v>
      </c>
      <c r="AD1329" s="60" t="str">
        <f>IF(AC1329&lt;60,"1",IF(AC1329&lt;=43200,"2",IF(AC1329&lt;=777600,"3","4")))</f>
        <v>4</v>
      </c>
      <c r="AE1329" s="76">
        <f>AA1329-Y1329</f>
        <v>2419140</v>
      </c>
      <c r="AF1329" s="80">
        <f>AV1329</f>
        <v>0.8</v>
      </c>
      <c r="AG1329" s="56">
        <f>((AW1329-AV1329)+(AX1329-AW1329)+(AY1329-AX1329)+(AZ1329-AY1329))/4</f>
        <v>-0.15750000000000003</v>
      </c>
      <c r="AH1329" s="4"/>
      <c r="AI1329" s="56">
        <f>RSQ(AV1329:AZ1329,AV1328:AZ1328)</f>
        <v>0.90706142733787642</v>
      </c>
      <c r="AJ1329" s="109">
        <f>SLOPE(AV1329:AZ1329,AV1328:AZ1328)</f>
        <v>-2.3148479487027853E-7</v>
      </c>
      <c r="AK1329" s="56">
        <f>INTERCEPT(AV1329:AZ1329,AV1328:AZ1328)</f>
        <v>0.72200678569262733</v>
      </c>
      <c r="AL1329" s="56">
        <f>INDEX(LINEST(LN(AV1329:AZ1329),LN(AV1328:AZ1328),TRUE,TRUE),3,1)</f>
        <v>0.5938502453823713</v>
      </c>
      <c r="AM1329" s="56">
        <f>INDEX(LINEST(LN(AV1329:AZ1329),LN(AV1328:AZ1328)),1)</f>
        <v>-9.648432894161274E-2</v>
      </c>
      <c r="AN1329" s="56">
        <f>EXP(INDEX(LINEST(LN(AV1329:AZ1329),LN(AV1328:AZ1328)),1,2))</f>
        <v>1.261634177812212</v>
      </c>
      <c r="AO1329" s="82">
        <f>INDEX(LINEST((AV1329:AZ1329),LN(AV1328:AZ1328),TRUE,TRUE),3,1)</f>
        <v>0.82654518067581861</v>
      </c>
      <c r="AP1329" s="82">
        <f>INDEX(LINEST((AV1329:AZ1329),LN(AV1328:AZ1328)),1)</f>
        <v>-4.6873068215225487E-2</v>
      </c>
      <c r="AQ1329" s="83">
        <f>INDEX(LINEST(LN(AV1329:AZ1329),SQRT(AV1328:AZ1328),TRUE,TRUE),3,1)</f>
        <v>0.84891237225257676</v>
      </c>
      <c r="AR1329" s="116">
        <f>INDEX(LINEST(LN(AV1329:AZ1329),SQRT((AV1328:AZ1328))),1)</f>
        <v>-8.5966321517653955E-4</v>
      </c>
      <c r="AS1329" s="84">
        <f>INDEX(LINEST(1/(AV1329:AZ1329),1/(SQRT(AV1328:AZ1328)),TRUE,TRUE),3,1)</f>
        <v>0.27752765475675434</v>
      </c>
      <c r="AT1329" s="84">
        <f>INDEX(LINEST(1/(AV1329:AZ1329),1/SQRT(AV1328:AZ1328)),1)</f>
        <v>-16.251447821930896</v>
      </c>
      <c r="AU1329" s="3"/>
      <c r="AV1329" s="53">
        <f>4/5</f>
        <v>0.8</v>
      </c>
      <c r="AW1329" s="53">
        <f>2.5/5</f>
        <v>0.5</v>
      </c>
      <c r="AX1329" s="53">
        <f>1.9/5</f>
        <v>0.38</v>
      </c>
      <c r="AY1329" s="53">
        <f>1.8/5</f>
        <v>0.36</v>
      </c>
      <c r="AZ1329" s="53">
        <f>0.85/5</f>
        <v>0.16999999999999998</v>
      </c>
      <c r="BA1329" s="42"/>
      <c r="BB1329" s="42"/>
      <c r="BC1329" s="2"/>
      <c r="BD1329" s="2"/>
      <c r="BE1329" s="2"/>
      <c r="BF1329" s="2"/>
      <c r="BG1329" s="2"/>
      <c r="BH1329" s="2"/>
      <c r="BI1329" s="2"/>
      <c r="BJ1329" s="2"/>
      <c r="BK1329" s="2"/>
      <c r="BL1329" s="2"/>
      <c r="BM1329" s="2"/>
      <c r="BN1329" s="2"/>
      <c r="BO1329" s="2"/>
      <c r="BP1329" s="2"/>
      <c r="BQ1329" s="2"/>
      <c r="BR1329" s="2"/>
      <c r="BS1329" s="2"/>
      <c r="BT1329" s="2"/>
      <c r="BU1329" s="2"/>
      <c r="BV1329" s="2"/>
      <c r="BW1329" s="2"/>
      <c r="BX1329" s="2"/>
      <c r="BY1329" s="2"/>
      <c r="BZ1329" s="2"/>
      <c r="CA1329" s="2"/>
      <c r="CB1329" s="2"/>
      <c r="CC1329" s="2"/>
      <c r="CD1329" s="2"/>
      <c r="CE1329" s="2"/>
      <c r="CF1329" s="2"/>
      <c r="CG1329" s="2"/>
      <c r="CH1329" s="2"/>
      <c r="CI1329" s="2"/>
      <c r="CJ1329" s="2"/>
      <c r="CK1329" s="2"/>
      <c r="CL1329" s="2"/>
      <c r="CM1329" s="2"/>
      <c r="CN1329" s="2"/>
      <c r="CO1329" s="2"/>
      <c r="CP1329" s="2"/>
      <c r="CQ1329" s="2"/>
      <c r="CR1329" s="1"/>
      <c r="CS1329" s="1"/>
      <c r="CT1329" s="1"/>
      <c r="CU1329" s="1"/>
    </row>
    <row r="1330" spans="1:99" s="13" customFormat="1" ht="12" customHeight="1" x14ac:dyDescent="0.2">
      <c r="A1330" s="65">
        <v>43509</v>
      </c>
      <c r="B1330" s="1"/>
      <c r="C1330" s="1"/>
      <c r="D1330" s="60"/>
      <c r="E1330" s="76"/>
      <c r="F1330" s="60"/>
      <c r="G1330" s="60"/>
      <c r="H1330" s="60"/>
      <c r="I1330" s="60"/>
      <c r="J1330" s="60"/>
      <c r="K1330" s="64"/>
      <c r="L1330" s="64"/>
      <c r="M1330" s="60"/>
      <c r="N1330" s="60"/>
      <c r="O1330" s="60"/>
      <c r="P1330" s="60"/>
      <c r="Q1330" s="60"/>
      <c r="R1330" s="60"/>
      <c r="S1330" s="60"/>
      <c r="T1330" s="60"/>
      <c r="U1330" s="60"/>
      <c r="V1330" s="60"/>
      <c r="W1330" s="60"/>
      <c r="X1330" s="60"/>
      <c r="Y1330" s="76"/>
      <c r="Z1330" s="60"/>
      <c r="AA1330" s="60"/>
      <c r="AB1330" s="60"/>
      <c r="AC1330" s="60"/>
      <c r="AD1330" s="60"/>
      <c r="AE1330" s="60"/>
      <c r="AF1330" s="80"/>
      <c r="AG1330" s="56"/>
      <c r="AH1330" s="4"/>
      <c r="AI1330" s="56"/>
      <c r="AJ1330" s="109"/>
      <c r="AK1330" s="56"/>
      <c r="AL1330" s="56"/>
      <c r="AM1330" s="56"/>
      <c r="AN1330" s="56"/>
      <c r="AO1330" s="56"/>
      <c r="AP1330" s="56"/>
      <c r="AQ1330" s="56"/>
      <c r="AR1330" s="109"/>
      <c r="AS1330" s="56"/>
      <c r="AT1330" s="56"/>
      <c r="AU1330" s="4"/>
      <c r="AV1330" s="25">
        <v>60</v>
      </c>
      <c r="AW1330" s="25">
        <f>7*24*3600*1</f>
        <v>604800</v>
      </c>
      <c r="AX1330" s="25">
        <f>7*24*3600*2</f>
        <v>1209600</v>
      </c>
      <c r="AY1330" s="25">
        <f>7*24*3600*3</f>
        <v>1814400</v>
      </c>
      <c r="AZ1330" s="25">
        <f>7*24*3600*4</f>
        <v>2419200</v>
      </c>
      <c r="BA1330" s="42"/>
      <c r="BB1330" s="42"/>
      <c r="BC1330" s="42"/>
      <c r="BD1330" s="42"/>
      <c r="BE1330" s="42"/>
      <c r="BF1330" s="42"/>
      <c r="BG1330" s="42"/>
      <c r="BH1330" s="2"/>
      <c r="BI1330" s="2"/>
      <c r="BJ1330" s="2"/>
      <c r="BK1330" s="2"/>
      <c r="BL1330" s="2"/>
      <c r="BM1330" s="2"/>
      <c r="BN1330" s="2"/>
      <c r="BO1330" s="2"/>
      <c r="BP1330" s="2"/>
      <c r="BQ1330" s="2"/>
      <c r="BR1330" s="2"/>
      <c r="BS1330" s="2"/>
      <c r="BT1330" s="2"/>
      <c r="BU1330" s="2"/>
      <c r="BV1330" s="2"/>
      <c r="BW1330" s="2"/>
      <c r="BX1330" s="2"/>
      <c r="BY1330" s="2"/>
      <c r="BZ1330" s="2"/>
      <c r="CA1330" s="2"/>
      <c r="CB1330" s="2"/>
      <c r="CC1330" s="2"/>
      <c r="CD1330" s="2"/>
      <c r="CE1330" s="2"/>
      <c r="CF1330" s="2"/>
      <c r="CG1330" s="2"/>
      <c r="CH1330" s="2"/>
      <c r="CI1330" s="2"/>
      <c r="CJ1330" s="2"/>
      <c r="CK1330" s="2"/>
      <c r="CL1330" s="2"/>
      <c r="CM1330" s="2"/>
      <c r="CN1330" s="2"/>
      <c r="CO1330" s="2"/>
      <c r="CP1330" s="2"/>
      <c r="CQ1330" s="2"/>
      <c r="CR1330" s="1"/>
      <c r="CS1330" s="1"/>
      <c r="CT1330" s="1"/>
      <c r="CU1330" s="1"/>
    </row>
    <row r="1331" spans="1:99" s="13" customFormat="1" ht="12" customHeight="1" x14ac:dyDescent="0.2">
      <c r="A1331" s="65">
        <v>43509</v>
      </c>
      <c r="B1331" s="1" t="s">
        <v>166</v>
      </c>
      <c r="C1331" s="1" t="s">
        <v>167</v>
      </c>
      <c r="D1331" s="60">
        <v>1970</v>
      </c>
      <c r="E1331" s="76">
        <v>1</v>
      </c>
      <c r="F1331" s="60">
        <v>150</v>
      </c>
      <c r="G1331" s="60">
        <v>15</v>
      </c>
      <c r="H1331" s="60" t="s">
        <v>50</v>
      </c>
      <c r="I1331" s="60" t="s">
        <v>827</v>
      </c>
      <c r="J1331" s="60" t="s">
        <v>828</v>
      </c>
      <c r="K1331" s="60">
        <f>IF(J1331="syllables",1,IF(J1331="trigrams",2,IF(J1331="strings",3,IF(J1331="visual array",4,IF(J1331="characters",5,IF(J1331="letters",6,IF(J1331="free forms",7,IF(J1331="odors",8,IF(J1331="words",9,IF(J1331="pictures",10,IF(J1331="object pictures",11,IF(J1331="faces",12,IF(J1331="names",13,IF(J1331="idioms",14,IF(J1331="grades",15,IF(J1331="syllable-digit pairs",16,IF(J1331="trigram-word pairs",17,IF(J1331="word-digit pairs",18,IF(J1331="English-Swahili pairs",19,IF(J1331="spatial position",20,IF(J1331="word pairs",21,IF(J1331="word triads",22,IF(J1331="generated words",23,IF(J1331="word definition pairs",24,IF(J1331="math problems",25,IF(J1331="famous faces",26,IF(J1331="famous names",27,IF(J1331="famous voices",28,IF(J1331="television programs",29,IF(J1331="race horses",30,IF(J1331="new vocabulary",31,IF(J1331="sentences",32,IF(J1331="concepts",33,IF(J1331="ad slides",34,IF(J1331="scenes",35,IF(J1331="famous scenes",36,IF(J1331="poems",37,IF(J1331="walk",38,IF(J1331="faces and events",39,IF(J1331="events and names",40,IF(J1331="flashbulb",41,IF(J1331="stories",42,IF(J1331="course material",43,IF(J1331="autobiographical",44,IF(J1331="novels",45,IF(J1331="public events",46,"99"))))))))))))))))))))))))))))))))))))))))))))))</f>
        <v>17</v>
      </c>
      <c r="L1331" s="60">
        <f>IF(J1331="syllables",1,IF(J1331="trigrams",1,IF(J1331="strings",1,IF(J1331="visual array",1,IF(J1331="characters",1,IF(J1331="letters",1,IF(J1331="free forms",1,IF(J1331="odors",2,IF(J1331="words",2,IF(J1331="pictures",2,IF(J1331="object pictures",2,IF(J1331="faces",2,IF(J1331="names",2,IF(J1331="idioms","2",IF(J1331="grades",2,IF(J1331="syllable-digit pairs",3,IF(J1331="trigram-word pairs",3,IF(J1331="word-digit pairs",3,IF(J1331="English-Swahili pairs",3,IF(J1331="spatial position",3,IF(J1331="word pairs",4,IF(J1331="word triads",4,IF(J1331="generated words",4,IF(J1331="word definition pairs",4,IF(J1331="math problems",4,IF(J1331="famous faces",4,IF(J1331="famous names",4,IF(J1331="famous voices",4,IF(J1331="television programs",4,IF(J1331="race horses",4,IF(J1331="new vocabulary",4,IF(J1331="sentences",5,IF(J1331="concepts",5,IF(J1331="ad slides",5,IF(J1331="scenes",5,IF(J1331="famous scenes",5,IF(J1331="poems",6,IF(J1331="walk",6,IF(J1331="faces and events",6,IF(J1331="events and names",6,IF(J1331="flashbulb",7,IF(J1331="stories",7,IF(J1331="course material",7,IF(J1331="autobiographical",7,IF(J1331="novels",7,IF(J1331="public events",7,"99"))))))))))))))))))))))))))))))))))))))))))))))</f>
        <v>3</v>
      </c>
      <c r="M1331" s="60">
        <v>1</v>
      </c>
      <c r="N1331" s="60">
        <v>2</v>
      </c>
      <c r="O1331" s="60">
        <v>0</v>
      </c>
      <c r="P1331" s="60"/>
      <c r="Q1331" s="60" t="s">
        <v>65</v>
      </c>
      <c r="R1331" s="60">
        <f>IF(Q1331="Free Recall",1,IF(Q1331="Cued Recall",2,IF(Q1331="Recognition",3,IF(Q1331="Multiple Choice",4,IF(Q1331="Savings",5,IF(Q1331="Stem Completion",6,IF(Q1331="Fragment Completion",7,IF(Q1331="anagram solution",8,IF(Q1331="Matching",9,IF(Q1331="Problem Solving",10,"99"))))))))))</f>
        <v>2</v>
      </c>
      <c r="S1331" s="60" t="s">
        <v>49</v>
      </c>
      <c r="T1331" s="59" t="s">
        <v>261</v>
      </c>
      <c r="U1331" s="60">
        <f>IF(T1331="within",1,0)</f>
        <v>0</v>
      </c>
      <c r="V1331" s="59">
        <v>10</v>
      </c>
      <c r="W1331" s="60">
        <f>F1331*V1331</f>
        <v>1500</v>
      </c>
      <c r="X1331" s="60">
        <v>5</v>
      </c>
      <c r="Y1331" s="76">
        <f>AV1330</f>
        <v>60</v>
      </c>
      <c r="Z1331" s="60" t="s">
        <v>140</v>
      </c>
      <c r="AA1331" s="60">
        <v>2419200</v>
      </c>
      <c r="AB1331" s="60" t="str">
        <f>IF(AA1331&lt;60,"1",IF(AA1331&lt;=43200,"2",IF(AA1331&lt;=777600,"3","4")))</f>
        <v>4</v>
      </c>
      <c r="AC1331" s="56">
        <f>AVERAGE(AV1330:DA1330)</f>
        <v>1209612</v>
      </c>
      <c r="AD1331" s="60" t="str">
        <f>IF(AC1331&lt;60,"1",IF(AC1331&lt;=43200,"2",IF(AC1331&lt;=777600,"3","4")))</f>
        <v>4</v>
      </c>
      <c r="AE1331" s="76">
        <f>AA1331-Y1331</f>
        <v>2419140</v>
      </c>
      <c r="AF1331" s="80">
        <f>AV1331</f>
        <v>0.8</v>
      </c>
      <c r="AG1331" s="56">
        <f>((AW1331-AV1331)+(AX1331-AW1331)+(AY1331-AX1331)+(AZ1331-AY1331))/4</f>
        <v>-0.15750000000000003</v>
      </c>
      <c r="AH1331" s="4"/>
      <c r="AI1331" s="56">
        <f>RSQ(AV1331:AZ1331,AV1330:AZ1330)</f>
        <v>0.93404607413706586</v>
      </c>
      <c r="AJ1331" s="109">
        <f>SLOPE(AV1331:AZ1331,AV1330:AZ1330)</f>
        <v>-2.3809894517043886E-7</v>
      </c>
      <c r="AK1331" s="56">
        <f>INTERCEPT(AV1331:AZ1331,AV1330:AZ1330)</f>
        <v>0.73800734126550482</v>
      </c>
      <c r="AL1331" s="56">
        <f>INDEX(LINEST(LN(AV1331:AZ1331),LN(AV1330:AZ1330),TRUE,TRUE),3,1)</f>
        <v>0.56133525489051517</v>
      </c>
      <c r="AM1331" s="56">
        <f>INDEX(LINEST(LN(AV1331:AZ1331),LN(AV1330:AZ1330)),1)</f>
        <v>-9.5340603509042846E-2</v>
      </c>
      <c r="AN1331" s="56">
        <f>EXP(INDEX(LINEST(LN(AV1331:AZ1331),LN(AV1330:AZ1330)),1,2))</f>
        <v>1.263588531725258</v>
      </c>
      <c r="AO1331" s="82">
        <f>INDEX(LINEST((AV1331:AZ1331),LN(AV1330:AZ1330),TRUE,TRUE),3,1)</f>
        <v>0.78422794162373155</v>
      </c>
      <c r="AP1331" s="82">
        <f>INDEX(LINEST((AV1331:AZ1331),LN(AV1330:AZ1330)),1)</f>
        <v>-4.6278624368995866E-2</v>
      </c>
      <c r="AQ1331" s="83">
        <f>INDEX(LINEST(LN(AV1331:AZ1331),SQRT(AV1330:AZ1330),TRUE,TRUE),3,1)</f>
        <v>0.83997672143882285</v>
      </c>
      <c r="AR1331" s="116">
        <f>INDEX(LINEST(LN(AV1331:AZ1331),SQRT((AV1330:AZ1330))),1)</f>
        <v>-8.6911843932246761E-4</v>
      </c>
      <c r="AS1331" s="84">
        <f>INDEX(LINEST(1/(AV1331:AZ1331),1/(SQRT(AV1330:AZ1330)),TRUE,TRUE),3,1)</f>
        <v>0.26189614227526015</v>
      </c>
      <c r="AT1331" s="84">
        <f>INDEX(LINEST(1/(AV1331:AZ1331),1/SQRT(AV1330:AZ1330)),1)</f>
        <v>-15.966964901169584</v>
      </c>
      <c r="AU1331" s="3"/>
      <c r="AV1331" s="53">
        <f>4/5</f>
        <v>0.8</v>
      </c>
      <c r="AW1331" s="53">
        <f>2.7/5</f>
        <v>0.54</v>
      </c>
      <c r="AX1331" s="53">
        <f>1.9/5</f>
        <v>0.38</v>
      </c>
      <c r="AY1331" s="53">
        <f>1.8/5</f>
        <v>0.36</v>
      </c>
      <c r="AZ1331" s="53">
        <f>0.85/5</f>
        <v>0.16999999999999998</v>
      </c>
      <c r="BA1331" s="42"/>
      <c r="BB1331" s="42"/>
      <c r="BC1331" s="2"/>
      <c r="BD1331" s="2"/>
      <c r="BE1331" s="2"/>
      <c r="BF1331" s="2"/>
      <c r="BG1331" s="2"/>
      <c r="BH1331" s="2"/>
      <c r="BI1331" s="2"/>
      <c r="BJ1331" s="2"/>
      <c r="BK1331" s="2"/>
      <c r="BL1331" s="2"/>
      <c r="BM1331" s="2"/>
      <c r="BN1331" s="2"/>
      <c r="BO1331" s="2"/>
      <c r="BP1331" s="2"/>
      <c r="BQ1331" s="2"/>
      <c r="BR1331" s="2"/>
      <c r="BS1331" s="2"/>
      <c r="BT1331" s="2"/>
      <c r="BU1331" s="2"/>
      <c r="BV1331" s="2"/>
      <c r="BW1331" s="2"/>
      <c r="BX1331" s="2"/>
      <c r="BY1331" s="2"/>
      <c r="BZ1331" s="2"/>
      <c r="CA1331" s="2"/>
      <c r="CB1331" s="2"/>
      <c r="CC1331" s="2"/>
      <c r="CD1331" s="2"/>
      <c r="CE1331" s="2"/>
      <c r="CF1331" s="2"/>
      <c r="CG1331" s="2"/>
      <c r="CH1331" s="2"/>
      <c r="CI1331" s="2"/>
      <c r="CJ1331" s="2"/>
      <c r="CK1331" s="2"/>
      <c r="CL1331" s="2"/>
      <c r="CM1331" s="2"/>
      <c r="CN1331" s="2"/>
      <c r="CO1331" s="2"/>
      <c r="CP1331" s="2"/>
      <c r="CQ1331" s="2"/>
      <c r="CR1331" s="1"/>
      <c r="CS1331" s="1"/>
      <c r="CT1331" s="1"/>
      <c r="CU1331" s="1"/>
    </row>
    <row r="1332" spans="1:99" ht="12" customHeight="1" x14ac:dyDescent="0.2">
      <c r="A1332" s="68">
        <v>43509</v>
      </c>
      <c r="B1332" s="94"/>
      <c r="C1332" s="94"/>
      <c r="D1332" s="92"/>
      <c r="E1332" s="105"/>
      <c r="F1332" s="92"/>
      <c r="G1332" s="92"/>
      <c r="H1332" s="92"/>
      <c r="I1332" s="92"/>
      <c r="J1332" s="92"/>
      <c r="K1332" s="107"/>
      <c r="L1332" s="107"/>
      <c r="M1332" s="92"/>
      <c r="N1332" s="92"/>
      <c r="O1332" s="92"/>
      <c r="P1332" s="92"/>
      <c r="Q1332" s="92"/>
      <c r="R1332" s="69"/>
      <c r="S1332" s="92"/>
      <c r="T1332" s="92"/>
      <c r="U1332" s="69"/>
      <c r="V1332" s="92"/>
      <c r="W1332" s="69"/>
      <c r="X1332" s="92"/>
      <c r="Y1332" s="87"/>
      <c r="Z1332" s="92"/>
      <c r="AA1332" s="92"/>
      <c r="AB1332" s="69"/>
      <c r="AC1332" s="69"/>
      <c r="AD1332" s="69"/>
      <c r="AE1332" s="69"/>
      <c r="AF1332" s="88"/>
      <c r="AG1332" s="72"/>
      <c r="AH1332" s="4"/>
      <c r="AI1332" s="108"/>
      <c r="AJ1332" s="113"/>
      <c r="AK1332" s="108"/>
      <c r="AL1332" s="108"/>
      <c r="AM1332" s="108"/>
      <c r="AN1332" s="108"/>
      <c r="AO1332" s="108"/>
      <c r="AP1332" s="108"/>
      <c r="AQ1332" s="72"/>
      <c r="AR1332" s="110"/>
      <c r="AS1332" s="72"/>
      <c r="AT1332" s="72"/>
      <c r="AU1332" s="4"/>
      <c r="AV1332" s="98">
        <f>3*30*24*3600</f>
        <v>7776000</v>
      </c>
      <c r="AW1332" s="98">
        <f>15*30*24*3600</f>
        <v>38880000</v>
      </c>
      <c r="AX1332" s="98">
        <f>27*30*24*3600</f>
        <v>69984000</v>
      </c>
      <c r="AY1332" s="98">
        <f>39*30*24*3600</f>
        <v>101088000</v>
      </c>
      <c r="AZ1332" s="11"/>
      <c r="BA1332" s="11"/>
      <c r="BB1332" s="11"/>
      <c r="BC1332" s="11"/>
      <c r="BD1332" s="11"/>
      <c r="BE1332" s="11"/>
      <c r="BF1332" s="11"/>
      <c r="BG1332" s="11"/>
      <c r="BH1332" s="11"/>
      <c r="BI1332" s="11"/>
      <c r="BJ1332" s="11"/>
      <c r="BK1332" s="11"/>
      <c r="BL1332" s="11"/>
      <c r="BM1332" s="11"/>
      <c r="BN1332" s="11"/>
      <c r="BO1332" s="11"/>
      <c r="BP1332" s="11"/>
      <c r="BQ1332" s="11"/>
      <c r="BR1332" s="11"/>
      <c r="BS1332" s="11"/>
      <c r="BT1332" s="11"/>
      <c r="BU1332" s="11"/>
      <c r="BV1332" s="11"/>
      <c r="BW1332" s="11"/>
      <c r="BX1332" s="11"/>
      <c r="BY1332" s="11"/>
      <c r="BZ1332" s="11"/>
      <c r="CA1332" s="11"/>
      <c r="CB1332" s="11"/>
      <c r="CC1332" s="11"/>
      <c r="CD1332" s="11"/>
      <c r="CE1332" s="11"/>
      <c r="CF1332" s="11"/>
      <c r="CG1332" s="11"/>
      <c r="CH1332" s="11"/>
      <c r="CI1332" s="11"/>
      <c r="CJ1332" s="11"/>
      <c r="CK1332" s="11"/>
      <c r="CL1332" s="11"/>
      <c r="CM1332" s="11"/>
      <c r="CN1332" s="11"/>
      <c r="CO1332" s="11"/>
      <c r="CP1332" s="11"/>
      <c r="CQ1332" s="11"/>
      <c r="CR1332" s="15"/>
      <c r="CS1332" s="15"/>
      <c r="CT1332" s="15"/>
      <c r="CU1332" s="15"/>
    </row>
    <row r="1333" spans="1:99" ht="12" customHeight="1" x14ac:dyDescent="0.2">
      <c r="A1333" s="68">
        <v>43509</v>
      </c>
      <c r="B1333" s="94" t="s">
        <v>283</v>
      </c>
      <c r="C1333" s="94" t="s">
        <v>192</v>
      </c>
      <c r="D1333" s="92">
        <v>1993</v>
      </c>
      <c r="E1333" s="105">
        <v>1</v>
      </c>
      <c r="F1333" s="92">
        <v>140</v>
      </c>
      <c r="G1333" s="92">
        <v>35</v>
      </c>
      <c r="H1333" s="92" t="s">
        <v>50</v>
      </c>
      <c r="I1333" s="92" t="s">
        <v>599</v>
      </c>
      <c r="J1333" s="92" t="s">
        <v>483</v>
      </c>
      <c r="K1333" s="69">
        <f>IF(J1333="syllables",1,IF(J1333="trigrams",2,IF(J1333="strings",3,IF(J1333="visual array",4,IF(J1333="characters",5,IF(J1333="letters",6,IF(J1333="free forms",7,IF(J1333="odors",8,IF(J1333="words",9,IF(J1333="pictures",10,IF(J1333="object pictures",11,IF(J1333="faces",12,IF(J1333="names",13,IF(J1333="idioms",14,IF(J1333="grades",15,IF(J1333="syllable-digit pairs",16,IF(J1333="trigram-word pairs",17,IF(J1333="word-digit pairs",18,IF(J1333="English-Swahili pairs",19,IF(J1333="spatial position",20,IF(J1333="word pairs",21,IF(J1333="word triads",22,IF(J1333="generated words",23,IF(J1333="word definition pairs",24,IF(J1333="math problems",25,IF(J1333="famous faces",26,IF(J1333="famous names",27,IF(J1333="famous voices",28,IF(J1333="television programs",29,IF(J1333="race horses",30,IF(J1333="new vocabulary",31,IF(J1333="sentences",32,IF(J1333="concepts",33,IF(J1333="ad slides",34,IF(J1333="scenes",35,IF(J1333="famous scenes",36,IF(J1333="poems",37,IF(J1333="walk",38,IF(J1333="faces and events",39,IF(J1333="events and names",40,IF(J1333="flashbulb",41,IF(J1333="stories",42,IF(J1333="course material",43,IF(J1333="autobiographical",44,IF(J1333="novels",45,IF(J1333="public events",46,"99"))))))))))))))))))))))))))))))))))))))))))))))</f>
        <v>45</v>
      </c>
      <c r="L1333" s="69">
        <f>IF(J1333="syllables",1,IF(J1333="trigrams",1,IF(J1333="strings",1,IF(J1333="visual array",1,IF(J1333="characters",1,IF(J1333="letters",1,IF(J1333="free forms",1,IF(J1333="odors",2,IF(J1333="words",2,IF(J1333="pictures",2,IF(J1333="object pictures",2,IF(J1333="faces",2,IF(J1333="names",2,IF(J1333="idioms","2",IF(J1333="grades",2,IF(J1333="syllable-digit pairs",3,IF(J1333="trigram-word pairs",3,IF(J1333="word-digit pairs",3,IF(J1333="English-Swahili pairs",3,IF(J1333="spatial position",3,IF(J1333="word pairs",4,IF(J1333="word triads",4,IF(J1333="generated words",4,IF(J1333="word definition pairs",4,IF(J1333="math problems",4,IF(J1333="famous faces",4,IF(J1333="famous names",4,IF(J1333="famous voices",4,IF(J1333="television programs",4,IF(J1333="race horses",4,IF(J1333="new vocabulary",4,IF(J1333="sentences",5,IF(J1333="concepts",5,IF(J1333="ad slides",5,IF(J1333="scenes",5,IF(J1333="famous scenes",5,IF(J1333="poems",6,IF(J1333="walk",6,IF(J1333="faces and events",6,IF(J1333="events and names",6,IF(J1333="flashbulb",7,IF(J1333="stories",7,IF(J1333="course material",7,IF(J1333="autobiographical",7,IF(J1333="novels",7,IF(J1333="public events",7,"99"))))))))))))))))))))))))))))))))))))))))))))))</f>
        <v>7</v>
      </c>
      <c r="M1333" s="92">
        <v>0</v>
      </c>
      <c r="N1333" s="92">
        <v>3</v>
      </c>
      <c r="O1333" s="92">
        <v>0</v>
      </c>
      <c r="P1333" s="92"/>
      <c r="Q1333" s="92" t="s">
        <v>174</v>
      </c>
      <c r="R1333" s="69">
        <f>IF(Q1333="Free Recall",1,IF(Q1333="Cued Recall",2,IF(Q1333="Recognition",3,IF(Q1333="Multiple Choice",4,IF(Q1333="Savings",5,IF(Q1333="Stem Completion",6,IF(Q1333="Fragment Completion",7,IF(Q1333="anagram solution",8,IF(Q1333="Matching",9,IF(Q1333="Problem Solving",10,"99"))))))))))</f>
        <v>1</v>
      </c>
      <c r="S1333" s="92" t="s">
        <v>49</v>
      </c>
      <c r="T1333" s="92" t="s">
        <v>261</v>
      </c>
      <c r="U1333" s="69">
        <f>IF(T1333="within",1,0)</f>
        <v>0</v>
      </c>
      <c r="V1333" s="92">
        <v>30</v>
      </c>
      <c r="W1333" s="69">
        <f>F1333*V1333</f>
        <v>4200</v>
      </c>
      <c r="X1333" s="92">
        <v>4</v>
      </c>
      <c r="Y1333" s="87">
        <f>AV1332</f>
        <v>7776000</v>
      </c>
      <c r="Z1333" s="92" t="s">
        <v>284</v>
      </c>
      <c r="AA1333" s="92">
        <f>39*30*24*3600</f>
        <v>101088000</v>
      </c>
      <c r="AB1333" s="69" t="str">
        <f>IF(AA1333&lt;60,"1",IF(AA1333&lt;=43200,"2",IF(AA1333&lt;=777600,"3","4")))</f>
        <v>4</v>
      </c>
      <c r="AC1333" s="72">
        <f>AVERAGE(AV1332:DA1332)</f>
        <v>54432000</v>
      </c>
      <c r="AD1333" s="69" t="str">
        <f>IF(AC1333&lt;60,"1",IF(AC1333&lt;=43200,"2",IF(AC1333&lt;=777600,"3","4")))</f>
        <v>4</v>
      </c>
      <c r="AE1333" s="87">
        <f>AA1333-Y1333</f>
        <v>93312000</v>
      </c>
      <c r="AF1333" s="88">
        <f>AV1333</f>
        <v>0.43</v>
      </c>
      <c r="AG1333" s="72">
        <f>((AW1333-AV1333)+(AX1333-AW1333)+(AY1333-AX1333))/3</f>
        <v>-7.3333333333333334E-2</v>
      </c>
      <c r="AH1333" s="4"/>
      <c r="AI1333" s="72">
        <f>RSQ(AV1333:AY1333,AV1332:AY1332)</f>
        <v>0.8493681550126374</v>
      </c>
      <c r="AJ1333" s="110">
        <f>SLOPE(AV1333:AY1333,AV1332:AY1332)</f>
        <v>-2.2826646090534983E-9</v>
      </c>
      <c r="AK1333" s="72">
        <f>INTERCEPT(AV1333:AY1333,AV1332:AY1332)</f>
        <v>0.41175</v>
      </c>
      <c r="AL1333" s="72">
        <f>INDEX(LINEST(LN(AV1333:AY1333),LN(AV1332:AY1332),TRUE,TRUE),3,1)</f>
        <v>0.99824325317002605</v>
      </c>
      <c r="AM1333" s="72">
        <f>INDEX(LINEST(LN(AV1333:AY1333),LN(AV1332:AY1332)),1)</f>
        <v>-0.28117244260117219</v>
      </c>
      <c r="AN1333" s="72">
        <f>EXP(INDEX(LINEST(LN(AV1333:AY1333),LN(AV1332:AY1332)),1,2))</f>
        <v>37.423651880364481</v>
      </c>
      <c r="AO1333" s="89">
        <f>INDEX(LINEST((AV1333:AY1333),LN(AV1332:AY1332),TRUE,TRUE),3,1)</f>
        <v>0.99579658405343918</v>
      </c>
      <c r="AP1333" s="89">
        <f>INDEX(LINEST((AV1333:AY1333),LN(AV1332:AY1332)),1)</f>
        <v>-8.7635592305806073E-2</v>
      </c>
      <c r="AQ1333" s="90">
        <f>INDEX(LINEST(LN(AV1333:AY1333),SQRT(AV1332:AY1332),TRUE,TRUE),3,1)</f>
        <v>0.97785431548366841</v>
      </c>
      <c r="AR1333" s="117">
        <f>INDEX(LINEST(LN(AV1333:AY1333),SQRT((AV1332:AY1332))),1)</f>
        <v>-1.0061076132399828E-4</v>
      </c>
      <c r="AS1333" s="91">
        <f>INDEX(LINEST(1/(AV1333:AY1333),1/(SQRT(AV1332:AY1332)),TRUE,TRUE),3,1)</f>
        <v>0.93198195667223305</v>
      </c>
      <c r="AT1333" s="91">
        <f>INDEX(LINEST(1/(AV1333:AY1333),1/SQRT(AV1332:AY1332)),1)</f>
        <v>-8703.7042317557643</v>
      </c>
      <c r="AU1333" s="3"/>
      <c r="AV1333" s="97">
        <v>0.43</v>
      </c>
      <c r="AW1333" s="97">
        <v>0.28000000000000003</v>
      </c>
      <c r="AX1333" s="97">
        <v>0.23</v>
      </c>
      <c r="AY1333" s="97">
        <v>0.21</v>
      </c>
      <c r="AZ1333" s="11"/>
      <c r="BA1333" s="11"/>
      <c r="BB1333" s="11"/>
      <c r="BC1333" s="11"/>
      <c r="BD1333" s="11"/>
      <c r="BE1333" s="11"/>
      <c r="BF1333" s="11"/>
      <c r="BG1333" s="11"/>
      <c r="BH1333" s="11"/>
      <c r="BI1333" s="11"/>
      <c r="BJ1333" s="11"/>
      <c r="BK1333" s="11"/>
      <c r="BL1333" s="11"/>
      <c r="BM1333" s="11"/>
      <c r="BN1333" s="11"/>
      <c r="BO1333" s="11"/>
      <c r="BP1333" s="11"/>
      <c r="BQ1333" s="11"/>
      <c r="BR1333" s="11"/>
      <c r="BS1333" s="11"/>
      <c r="BT1333" s="11"/>
      <c r="BU1333" s="11"/>
      <c r="BV1333" s="11"/>
      <c r="BW1333" s="11"/>
      <c r="BX1333" s="11"/>
      <c r="BY1333" s="11"/>
      <c r="BZ1333" s="11"/>
      <c r="CA1333" s="11"/>
      <c r="CB1333" s="11"/>
      <c r="CC1333" s="11"/>
      <c r="CD1333" s="11"/>
      <c r="CE1333" s="11"/>
      <c r="CF1333" s="11"/>
      <c r="CG1333" s="11"/>
      <c r="CH1333" s="11"/>
      <c r="CI1333" s="11"/>
      <c r="CJ1333" s="11"/>
      <c r="CK1333" s="11"/>
      <c r="CL1333" s="11"/>
      <c r="CM1333" s="11"/>
      <c r="CN1333" s="11"/>
      <c r="CO1333" s="11"/>
      <c r="CP1333" s="11"/>
      <c r="CQ1333" s="11"/>
      <c r="CR1333" s="15"/>
      <c r="CS1333" s="15"/>
      <c r="CT1333" s="15"/>
      <c r="CU1333" s="15"/>
    </row>
    <row r="1334" spans="1:99" ht="12" customHeight="1" x14ac:dyDescent="0.2">
      <c r="A1334" s="68">
        <v>43509</v>
      </c>
      <c r="B1334" s="94"/>
      <c r="C1334" s="94"/>
      <c r="D1334" s="92"/>
      <c r="E1334" s="105"/>
      <c r="F1334" s="92"/>
      <c r="G1334" s="92"/>
      <c r="H1334" s="92"/>
      <c r="I1334" s="92"/>
      <c r="J1334" s="92"/>
      <c r="K1334" s="107"/>
      <c r="L1334" s="107"/>
      <c r="M1334" s="92"/>
      <c r="N1334" s="92"/>
      <c r="O1334" s="92"/>
      <c r="P1334" s="92"/>
      <c r="Q1334" s="92"/>
      <c r="R1334" s="69"/>
      <c r="S1334" s="92"/>
      <c r="T1334" s="92"/>
      <c r="U1334" s="69"/>
      <c r="V1334" s="92"/>
      <c r="W1334" s="69"/>
      <c r="X1334" s="92"/>
      <c r="Y1334" s="87"/>
      <c r="Z1334" s="92"/>
      <c r="AA1334" s="92"/>
      <c r="AB1334" s="69"/>
      <c r="AC1334" s="69"/>
      <c r="AD1334" s="69"/>
      <c r="AE1334" s="69"/>
      <c r="AF1334" s="88"/>
      <c r="AG1334" s="72"/>
      <c r="AH1334" s="4"/>
      <c r="AI1334" s="108"/>
      <c r="AJ1334" s="113"/>
      <c r="AK1334" s="108"/>
      <c r="AL1334" s="108"/>
      <c r="AM1334" s="108"/>
      <c r="AN1334" s="119"/>
      <c r="AO1334" s="119"/>
      <c r="AP1334" s="119"/>
      <c r="AQ1334" s="72"/>
      <c r="AR1334" s="110"/>
      <c r="AS1334" s="72"/>
      <c r="AT1334" s="72"/>
      <c r="AU1334" s="4"/>
      <c r="AV1334" s="98">
        <f>3*30*24*3600</f>
        <v>7776000</v>
      </c>
      <c r="AW1334" s="98">
        <f>15*30*24*3600</f>
        <v>38880000</v>
      </c>
      <c r="AX1334" s="98">
        <f>27*30*24*3600</f>
        <v>69984000</v>
      </c>
      <c r="AY1334" s="98">
        <f>39*30*24*3600</f>
        <v>101088000</v>
      </c>
      <c r="AZ1334" s="11"/>
      <c r="BA1334" s="11"/>
      <c r="BB1334" s="11"/>
      <c r="BC1334" s="11"/>
      <c r="BD1334" s="11"/>
      <c r="BE1334" s="11"/>
      <c r="BF1334" s="11"/>
      <c r="BG1334" s="11"/>
      <c r="BH1334" s="11"/>
      <c r="BI1334" s="11"/>
      <c r="BJ1334" s="11"/>
      <c r="BK1334" s="11"/>
      <c r="BL1334" s="11"/>
      <c r="BM1334" s="11"/>
      <c r="BN1334" s="11"/>
      <c r="BO1334" s="11"/>
      <c r="BP1334" s="11"/>
      <c r="BQ1334" s="11"/>
      <c r="BR1334" s="11"/>
      <c r="BS1334" s="11"/>
      <c r="BT1334" s="11"/>
      <c r="BU1334" s="11"/>
      <c r="BV1334" s="11"/>
      <c r="BW1334" s="11"/>
      <c r="BX1334" s="11"/>
      <c r="BY1334" s="11"/>
      <c r="BZ1334" s="11"/>
      <c r="CA1334" s="11"/>
      <c r="CB1334" s="11"/>
      <c r="CC1334" s="11"/>
      <c r="CD1334" s="11"/>
      <c r="CE1334" s="11"/>
      <c r="CF1334" s="11"/>
      <c r="CG1334" s="11"/>
      <c r="CH1334" s="11"/>
      <c r="CI1334" s="11"/>
      <c r="CJ1334" s="11"/>
      <c r="CK1334" s="11"/>
      <c r="CL1334" s="11"/>
      <c r="CM1334" s="11"/>
      <c r="CN1334" s="11"/>
      <c r="CO1334" s="11"/>
      <c r="CP1334" s="11"/>
      <c r="CQ1334" s="11"/>
      <c r="CR1334" s="15"/>
      <c r="CS1334" s="15"/>
      <c r="CT1334" s="15"/>
      <c r="CU1334" s="15"/>
    </row>
    <row r="1335" spans="1:99" ht="12" customHeight="1" x14ac:dyDescent="0.2">
      <c r="A1335" s="68">
        <v>43509</v>
      </c>
      <c r="B1335" s="94" t="s">
        <v>283</v>
      </c>
      <c r="C1335" s="94" t="s">
        <v>192</v>
      </c>
      <c r="D1335" s="92">
        <v>1993</v>
      </c>
      <c r="E1335" s="105">
        <v>1</v>
      </c>
      <c r="F1335" s="92">
        <v>140</v>
      </c>
      <c r="G1335" s="92">
        <v>35</v>
      </c>
      <c r="H1335" s="92" t="s">
        <v>50</v>
      </c>
      <c r="I1335" s="92" t="s">
        <v>829</v>
      </c>
      <c r="J1335" s="92" t="s">
        <v>483</v>
      </c>
      <c r="K1335" s="69">
        <f>IF(J1335="syllables",1,IF(J1335="trigrams",2,IF(J1335="strings",3,IF(J1335="visual array",4,IF(J1335="characters",5,IF(J1335="letters",6,IF(J1335="free forms",7,IF(J1335="odors",8,IF(J1335="words",9,IF(J1335="pictures",10,IF(J1335="object pictures",11,IF(J1335="faces",12,IF(J1335="names",13,IF(J1335="idioms",14,IF(J1335="grades",15,IF(J1335="syllable-digit pairs",16,IF(J1335="trigram-word pairs",17,IF(J1335="word-digit pairs",18,IF(J1335="English-Swahili pairs",19,IF(J1335="spatial position",20,IF(J1335="word pairs",21,IF(J1335="word triads",22,IF(J1335="generated words",23,IF(J1335="word definition pairs",24,IF(J1335="math problems",25,IF(J1335="famous faces",26,IF(J1335="famous names",27,IF(J1335="famous voices",28,IF(J1335="television programs",29,IF(J1335="race horses",30,IF(J1335="new vocabulary",31,IF(J1335="sentences",32,IF(J1335="concepts",33,IF(J1335="ad slides",34,IF(J1335="scenes",35,IF(J1335="famous scenes",36,IF(J1335="poems",37,IF(J1335="walk",38,IF(J1335="faces and events",39,IF(J1335="events and names",40,IF(J1335="flashbulb",41,IF(J1335="stories",42,IF(J1335="course material",43,IF(J1335="autobiographical",44,IF(J1335="novels",45,IF(J1335="public events",46,"99"))))))))))))))))))))))))))))))))))))))))))))))</f>
        <v>45</v>
      </c>
      <c r="L1335" s="69">
        <f>IF(J1335="syllables",1,IF(J1335="trigrams",1,IF(J1335="strings",1,IF(J1335="visual array",1,IF(J1335="characters",1,IF(J1335="letters",1,IF(J1335="free forms",1,IF(J1335="odors",2,IF(J1335="words",2,IF(J1335="pictures",2,IF(J1335="object pictures",2,IF(J1335="faces",2,IF(J1335="names",2,IF(J1335="idioms","2",IF(J1335="grades",2,IF(J1335="syllable-digit pairs",3,IF(J1335="trigram-word pairs",3,IF(J1335="word-digit pairs",3,IF(J1335="English-Swahili pairs",3,IF(J1335="spatial position",3,IF(J1335="word pairs",4,IF(J1335="word triads",4,IF(J1335="generated words",4,IF(J1335="word definition pairs",4,IF(J1335="math problems",4,IF(J1335="famous faces",4,IF(J1335="famous names",4,IF(J1335="famous voices",4,IF(J1335="television programs",4,IF(J1335="race horses",4,IF(J1335="new vocabulary",4,IF(J1335="sentences",5,IF(J1335="concepts",5,IF(J1335="ad slides",5,IF(J1335="scenes",5,IF(J1335="famous scenes",5,IF(J1335="poems",6,IF(J1335="walk",6,IF(J1335="faces and events",6,IF(J1335="events and names",6,IF(J1335="flashbulb",7,IF(J1335="stories",7,IF(J1335="course material",7,IF(J1335="autobiographical",7,IF(J1335="novels",7,IF(J1335="public events",7,"99"))))))))))))))))))))))))))))))))))))))))))))))</f>
        <v>7</v>
      </c>
      <c r="M1335" s="92">
        <v>0</v>
      </c>
      <c r="N1335" s="92">
        <v>3</v>
      </c>
      <c r="O1335" s="92">
        <v>0</v>
      </c>
      <c r="P1335" s="92"/>
      <c r="Q1335" s="92" t="s">
        <v>174</v>
      </c>
      <c r="R1335" s="69">
        <f>IF(Q1335="Free Recall",1,IF(Q1335="Cued Recall",2,IF(Q1335="Recognition",3,IF(Q1335="Multiple Choice",4,IF(Q1335="Savings",5,IF(Q1335="Stem Completion",6,IF(Q1335="Fragment Completion",7,IF(Q1335="anagram solution",8,IF(Q1335="Matching",9,IF(Q1335="Problem Solving",10,"99"))))))))))</f>
        <v>1</v>
      </c>
      <c r="S1335" s="92" t="s">
        <v>49</v>
      </c>
      <c r="T1335" s="92" t="s">
        <v>261</v>
      </c>
      <c r="U1335" s="69">
        <f>IF(T1335="within",1,0)</f>
        <v>0</v>
      </c>
      <c r="V1335" s="92">
        <v>30</v>
      </c>
      <c r="W1335" s="69">
        <f>F1335*V1335</f>
        <v>4200</v>
      </c>
      <c r="X1335" s="92">
        <v>4</v>
      </c>
      <c r="Y1335" s="87">
        <f>AV1334</f>
        <v>7776000</v>
      </c>
      <c r="Z1335" s="92" t="s">
        <v>284</v>
      </c>
      <c r="AA1335" s="92">
        <f>39*30*24*3600</f>
        <v>101088000</v>
      </c>
      <c r="AB1335" s="69" t="str">
        <f>IF(AA1335&lt;60,"1",IF(AA1335&lt;=43200,"2",IF(AA1335&lt;=777600,"3","4")))</f>
        <v>4</v>
      </c>
      <c r="AC1335" s="72">
        <f>AVERAGE(AV1334:DA1334)</f>
        <v>54432000</v>
      </c>
      <c r="AD1335" s="69" t="str">
        <f>IF(AC1335&lt;60,"1",IF(AC1335&lt;=43200,"2",IF(AC1335&lt;=777600,"3","4")))</f>
        <v>4</v>
      </c>
      <c r="AE1335" s="87">
        <f>AA1335-Y1335</f>
        <v>93312000</v>
      </c>
      <c r="AF1335" s="88">
        <f>AV1335</f>
        <v>0.48</v>
      </c>
      <c r="AG1335" s="72">
        <f>((AW1335-AV1335)+(AX1335-AW1335)+(AY1335-AX1335))/3</f>
        <v>-3.666666666666666E-2</v>
      </c>
      <c r="AH1335" s="4"/>
      <c r="AI1335" s="72">
        <f>RSQ(AV1335:AY1335,AV1334:AY1334)</f>
        <v>0.8018181818181821</v>
      </c>
      <c r="AJ1335" s="110">
        <f>SLOPE(AV1335:AY1335,AV1334:AY1334)</f>
        <v>-1.3503086419753085E-9</v>
      </c>
      <c r="AK1335" s="72">
        <f>INTERCEPT(AV1335:AY1335,AV1334:AY1334)</f>
        <v>0.48350000000000004</v>
      </c>
      <c r="AL1335" s="72">
        <f>INDEX(LINEST(LN(AV1335:AY1335),LN(AV1334:AY1334),TRUE,TRUE),3,1)</f>
        <v>0.7912252764839045</v>
      </c>
      <c r="AM1335" s="72">
        <f>INDEX(LINEST(LN(AV1335:AY1335),LN(AV1334:AY1334)),1)</f>
        <v>-0.11573762504492044</v>
      </c>
      <c r="AN1335" s="72">
        <f>EXP(INDEX(LINEST(LN(AV1335:AY1335),LN(AV1334:AY1334)),1,2))</f>
        <v>3.067797547689318</v>
      </c>
      <c r="AO1335" s="89">
        <f>INDEX(LINEST((AV1335:AY1335),LN(AV1334:AY1334),TRUE,TRUE),3,1)</f>
        <v>0.81870079169875742</v>
      </c>
      <c r="AP1335" s="89">
        <f>INDEX(LINEST((AV1335:AY1335),LN(AV1334:AY1334)),1)</f>
        <v>-4.8379212429826936E-2</v>
      </c>
      <c r="AQ1335" s="90">
        <f>INDEX(LINEST(LN(AV1335:AY1335),SQRT(AV1334:AY1334),TRUE,TRUE),3,1)</f>
        <v>0.81744180331332494</v>
      </c>
      <c r="AR1335" s="117">
        <f>INDEX(LINEST(LN(AV1335:AY1335),SQRT((AV1334:AY1334))),1)</f>
        <v>-4.2531011028207945E-5</v>
      </c>
      <c r="AS1335" s="91">
        <f>INDEX(LINEST(1/(AV1335:AY1335),1/(SQRT(AV1334:AY1334)),TRUE,TRUE),3,1)</f>
        <v>0.69592660830635056</v>
      </c>
      <c r="AT1335" s="91">
        <f>INDEX(LINEST(1/(AV1335:AY1335),1/SQRT(AV1334:AY1334)),1)</f>
        <v>-2538.5317953736999</v>
      </c>
      <c r="AU1335" s="3"/>
      <c r="AV1335" s="97">
        <v>0.48</v>
      </c>
      <c r="AW1335" s="97">
        <v>0.44</v>
      </c>
      <c r="AX1335" s="97">
        <v>0.35</v>
      </c>
      <c r="AY1335" s="97">
        <v>0.37</v>
      </c>
      <c r="AZ1335" s="11"/>
      <c r="BA1335" s="11"/>
      <c r="BB1335" s="11"/>
      <c r="BC1335" s="11"/>
      <c r="BD1335" s="11"/>
      <c r="BE1335" s="11"/>
      <c r="BF1335" s="11"/>
      <c r="BG1335" s="11"/>
      <c r="BH1335" s="11"/>
      <c r="BI1335" s="11"/>
      <c r="BJ1335" s="11"/>
      <c r="BK1335" s="11"/>
      <c r="BL1335" s="11"/>
      <c r="BM1335" s="11"/>
      <c r="BN1335" s="11"/>
      <c r="BO1335" s="11"/>
      <c r="BP1335" s="11"/>
      <c r="BQ1335" s="11"/>
      <c r="BR1335" s="11"/>
      <c r="BS1335" s="11"/>
      <c r="BT1335" s="11"/>
      <c r="BU1335" s="11"/>
      <c r="BV1335" s="11"/>
      <c r="BW1335" s="11"/>
      <c r="BX1335" s="11"/>
      <c r="BY1335" s="11"/>
      <c r="BZ1335" s="11"/>
      <c r="CA1335" s="11"/>
      <c r="CB1335" s="11"/>
      <c r="CC1335" s="11"/>
      <c r="CD1335" s="11"/>
      <c r="CE1335" s="11"/>
      <c r="CF1335" s="11"/>
      <c r="CG1335" s="11"/>
      <c r="CH1335" s="11"/>
      <c r="CI1335" s="11"/>
      <c r="CJ1335" s="11"/>
      <c r="CK1335" s="11"/>
      <c r="CL1335" s="11"/>
      <c r="CM1335" s="11"/>
      <c r="CN1335" s="11"/>
      <c r="CO1335" s="11"/>
      <c r="CP1335" s="11"/>
      <c r="CQ1335" s="11"/>
      <c r="CR1335" s="15"/>
      <c r="CS1335" s="15"/>
      <c r="CT1335" s="15"/>
      <c r="CU1335" s="15"/>
    </row>
    <row r="1336" spans="1:99" ht="12" customHeight="1" x14ac:dyDescent="0.2">
      <c r="A1336" s="68">
        <v>43509</v>
      </c>
      <c r="B1336" s="94"/>
      <c r="C1336" s="94"/>
      <c r="D1336" s="92"/>
      <c r="E1336" s="105"/>
      <c r="F1336" s="92"/>
      <c r="G1336" s="92"/>
      <c r="H1336" s="92"/>
      <c r="I1336" s="92"/>
      <c r="J1336" s="92"/>
      <c r="K1336" s="107"/>
      <c r="L1336" s="107"/>
      <c r="M1336" s="92"/>
      <c r="N1336" s="92"/>
      <c r="O1336" s="92"/>
      <c r="P1336" s="92"/>
      <c r="Q1336" s="92"/>
      <c r="R1336" s="69"/>
      <c r="S1336" s="92"/>
      <c r="T1336" s="92"/>
      <c r="U1336" s="69"/>
      <c r="V1336" s="92"/>
      <c r="W1336" s="69"/>
      <c r="X1336" s="92"/>
      <c r="Y1336" s="87"/>
      <c r="Z1336" s="92"/>
      <c r="AA1336" s="92"/>
      <c r="AB1336" s="69"/>
      <c r="AC1336" s="69"/>
      <c r="AD1336" s="69"/>
      <c r="AE1336" s="69"/>
      <c r="AF1336" s="88"/>
      <c r="AG1336" s="72"/>
      <c r="AH1336" s="4"/>
      <c r="AI1336" s="108"/>
      <c r="AJ1336" s="113"/>
      <c r="AK1336" s="108"/>
      <c r="AL1336" s="108"/>
      <c r="AM1336" s="108"/>
      <c r="AN1336" s="119"/>
      <c r="AO1336" s="119"/>
      <c r="AP1336" s="119"/>
      <c r="AQ1336" s="72"/>
      <c r="AR1336" s="110"/>
      <c r="AS1336" s="72"/>
      <c r="AT1336" s="72"/>
      <c r="AU1336" s="4"/>
      <c r="AV1336" s="98">
        <f>3*30*24*3600</f>
        <v>7776000</v>
      </c>
      <c r="AW1336" s="98">
        <f>15*30*24*3600</f>
        <v>38880000</v>
      </c>
      <c r="AX1336" s="98">
        <f>27*30*24*3600</f>
        <v>69984000</v>
      </c>
      <c r="AY1336" s="98">
        <f>39*30*24*3600</f>
        <v>101088000</v>
      </c>
      <c r="AZ1336" s="11"/>
      <c r="BA1336" s="11"/>
      <c r="BB1336" s="11"/>
      <c r="BC1336" s="11"/>
      <c r="BD1336" s="11"/>
      <c r="BE1336" s="11"/>
      <c r="BF1336" s="11"/>
      <c r="BG1336" s="11"/>
      <c r="BH1336" s="11"/>
      <c r="BI1336" s="11"/>
      <c r="BJ1336" s="11"/>
      <c r="BK1336" s="11"/>
      <c r="BL1336" s="11"/>
      <c r="BM1336" s="11"/>
      <c r="BN1336" s="11"/>
      <c r="BO1336" s="11"/>
      <c r="BP1336" s="11"/>
      <c r="BQ1336" s="11"/>
      <c r="BR1336" s="11"/>
      <c r="BS1336" s="11"/>
      <c r="BT1336" s="11"/>
      <c r="BU1336" s="11"/>
      <c r="BV1336" s="11"/>
      <c r="BW1336" s="11"/>
      <c r="BX1336" s="11"/>
      <c r="BY1336" s="11"/>
      <c r="BZ1336" s="11"/>
      <c r="CA1336" s="11"/>
      <c r="CB1336" s="11"/>
      <c r="CC1336" s="11"/>
      <c r="CD1336" s="11"/>
      <c r="CE1336" s="11"/>
      <c r="CF1336" s="11"/>
      <c r="CG1336" s="11"/>
      <c r="CH1336" s="11"/>
      <c r="CI1336" s="11"/>
      <c r="CJ1336" s="11"/>
      <c r="CK1336" s="11"/>
      <c r="CL1336" s="11"/>
      <c r="CM1336" s="11"/>
      <c r="CN1336" s="11"/>
      <c r="CO1336" s="11"/>
      <c r="CP1336" s="11"/>
      <c r="CQ1336" s="11"/>
      <c r="CR1336" s="15"/>
      <c r="CS1336" s="15"/>
      <c r="CT1336" s="15"/>
      <c r="CU1336" s="15"/>
    </row>
    <row r="1337" spans="1:99" ht="12" customHeight="1" x14ac:dyDescent="0.2">
      <c r="A1337" s="68">
        <v>43509</v>
      </c>
      <c r="B1337" s="94" t="s">
        <v>283</v>
      </c>
      <c r="C1337" s="94" t="s">
        <v>192</v>
      </c>
      <c r="D1337" s="92">
        <v>1993</v>
      </c>
      <c r="E1337" s="105">
        <v>1</v>
      </c>
      <c r="F1337" s="92">
        <v>140</v>
      </c>
      <c r="G1337" s="92">
        <v>35</v>
      </c>
      <c r="H1337" s="92" t="s">
        <v>41</v>
      </c>
      <c r="I1337" s="92" t="s">
        <v>130</v>
      </c>
      <c r="J1337" s="92" t="s">
        <v>483</v>
      </c>
      <c r="K1337" s="69">
        <f>IF(J1337="syllables",1,IF(J1337="trigrams",2,IF(J1337="strings",3,IF(J1337="visual array",4,IF(J1337="characters",5,IF(J1337="letters",6,IF(J1337="free forms",7,IF(J1337="odors",8,IF(J1337="words",9,IF(J1337="pictures",10,IF(J1337="object pictures",11,IF(J1337="faces",12,IF(J1337="names",13,IF(J1337="idioms",14,IF(J1337="grades",15,IF(J1337="syllable-digit pairs",16,IF(J1337="trigram-word pairs",17,IF(J1337="word-digit pairs",18,IF(J1337="English-Swahili pairs",19,IF(J1337="spatial position",20,IF(J1337="word pairs",21,IF(J1337="word triads",22,IF(J1337="generated words",23,IF(J1337="word definition pairs",24,IF(J1337="math problems",25,IF(J1337="famous faces",26,IF(J1337="famous names",27,IF(J1337="famous voices",28,IF(J1337="television programs",29,IF(J1337="race horses",30,IF(J1337="new vocabulary",31,IF(J1337="sentences",32,IF(J1337="concepts",33,IF(J1337="ad slides",34,IF(J1337="scenes",35,IF(J1337="famous scenes",36,IF(J1337="poems",37,IF(J1337="walk",38,IF(J1337="faces and events",39,IF(J1337="events and names",40,IF(J1337="flashbulb",41,IF(J1337="stories",42,IF(J1337="course material",43,IF(J1337="autobiographical",44,IF(J1337="novels",45,IF(J1337="public events",46,"99"))))))))))))))))))))))))))))))))))))))))))))))</f>
        <v>45</v>
      </c>
      <c r="L1337" s="69">
        <f>IF(J1337="syllables",1,IF(J1337="trigrams",1,IF(J1337="strings",1,IF(J1337="visual array",1,IF(J1337="characters",1,IF(J1337="letters",1,IF(J1337="free forms",1,IF(J1337="odors",2,IF(J1337="words",2,IF(J1337="pictures",2,IF(J1337="object pictures",2,IF(J1337="faces",2,IF(J1337="names",2,IF(J1337="idioms","2",IF(J1337="grades",2,IF(J1337="syllable-digit pairs",3,IF(J1337="trigram-word pairs",3,IF(J1337="word-digit pairs",3,IF(J1337="English-Swahili pairs",3,IF(J1337="spatial position",3,IF(J1337="word pairs",4,IF(J1337="word triads",4,IF(J1337="generated words",4,IF(J1337="word definition pairs",4,IF(J1337="math problems",4,IF(J1337="famous faces",4,IF(J1337="famous names",4,IF(J1337="famous voices",4,IF(J1337="television programs",4,IF(J1337="race horses",4,IF(J1337="new vocabulary",4,IF(J1337="sentences",5,IF(J1337="concepts",5,IF(J1337="ad slides",5,IF(J1337="scenes",5,IF(J1337="famous scenes",5,IF(J1337="poems",6,IF(J1337="walk",6,IF(J1337="faces and events",6,IF(J1337="events and names",6,IF(J1337="flashbulb",7,IF(J1337="stories",7,IF(J1337="course material",7,IF(J1337="autobiographical",7,IF(J1337="novels",7,IF(J1337="public events",7,"99"))))))))))))))))))))))))))))))))))))))))))))))</f>
        <v>7</v>
      </c>
      <c r="M1337" s="92">
        <v>0</v>
      </c>
      <c r="N1337" s="92">
        <v>3</v>
      </c>
      <c r="O1337" s="92">
        <v>0</v>
      </c>
      <c r="P1337" s="92"/>
      <c r="Q1337" s="92" t="s">
        <v>174</v>
      </c>
      <c r="R1337" s="69">
        <f>IF(Q1337="Free Recall",1,IF(Q1337="Cued Recall",2,IF(Q1337="Recognition",3,IF(Q1337="Multiple Choice",4,IF(Q1337="Savings",5,IF(Q1337="Stem Completion",6,IF(Q1337="Fragment Completion",7,IF(Q1337="anagram solution",8,IF(Q1337="Matching",9,IF(Q1337="Problem Solving",10,"99"))))))))))</f>
        <v>1</v>
      </c>
      <c r="S1337" s="92" t="s">
        <v>49</v>
      </c>
      <c r="T1337" s="92" t="s">
        <v>261</v>
      </c>
      <c r="U1337" s="69">
        <f>IF(T1337="within",1,0)</f>
        <v>0</v>
      </c>
      <c r="V1337" s="92">
        <v>18</v>
      </c>
      <c r="W1337" s="69">
        <f>F1337*V1337</f>
        <v>2520</v>
      </c>
      <c r="X1337" s="92">
        <v>4</v>
      </c>
      <c r="Y1337" s="87">
        <f>AV1336</f>
        <v>7776000</v>
      </c>
      <c r="Z1337" s="92" t="s">
        <v>284</v>
      </c>
      <c r="AA1337" s="92">
        <f>39*30*24*3600</f>
        <v>101088000</v>
      </c>
      <c r="AB1337" s="69" t="str">
        <f>IF(AA1337&lt;60,"1",IF(AA1337&lt;=43200,"2",IF(AA1337&lt;=777600,"3","4")))</f>
        <v>4</v>
      </c>
      <c r="AC1337" s="72">
        <f>AVERAGE(AV1336:DA1336)</f>
        <v>54432000</v>
      </c>
      <c r="AD1337" s="69" t="str">
        <f>IF(AC1337&lt;60,"1",IF(AC1337&lt;=43200,"2",IF(AC1337&lt;=777600,"3","4")))</f>
        <v>4</v>
      </c>
      <c r="AE1337" s="87">
        <f>AA1337-Y1337</f>
        <v>93312000</v>
      </c>
      <c r="AF1337" s="88">
        <f>AV1337</f>
        <v>0.9</v>
      </c>
      <c r="AG1337" s="72">
        <f>((AW1337-AV1337)+(AX1337-AW1337)+(AY1337-AX1337))/3</f>
        <v>-1.666666666666668E-2</v>
      </c>
      <c r="AH1337" s="4"/>
      <c r="AI1337" s="72">
        <f>RSQ(AV1337:AY1337,AV1336:AY1336)</f>
        <v>0.97966101694915242</v>
      </c>
      <c r="AJ1337" s="110">
        <f>SLOPE(AV1337:AY1337,AV1336:AY1336)</f>
        <v>-5.4655349794238732E-10</v>
      </c>
      <c r="AK1337" s="72">
        <f>INTERCEPT(AV1337:AY1337,AV1336:AY1336)</f>
        <v>0.90725000000000011</v>
      </c>
      <c r="AL1337" s="72">
        <f>INDEX(LINEST(LN(AV1337:AY1337),LN(AV1336:AY1336),TRUE,TRUE),3,1)</f>
        <v>0.78325265128904742</v>
      </c>
      <c r="AM1337" s="72">
        <f>INDEX(LINEST(LN(AV1337:AY1337),LN(AV1336:AY1336)),1)</f>
        <v>-1.9812609586346855E-2</v>
      </c>
      <c r="AN1337" s="72">
        <f>EXP(INDEX(LINEST(LN(AV1337:AY1337),LN(AV1336:AY1336)),1,2))</f>
        <v>1.2398600929035299</v>
      </c>
      <c r="AO1337" s="89">
        <f>INDEX(LINEST((AV1337:AY1337),LN(AV1336:AY1336),TRUE,TRUE),3,1)</f>
        <v>0.78854245870348483</v>
      </c>
      <c r="AP1337" s="89">
        <f>INDEX(LINEST((AV1337:AY1337),LN(AV1336:AY1336)),1)</f>
        <v>-1.7386349193415928E-2</v>
      </c>
      <c r="AQ1337" s="90">
        <f>INDEX(LINEST(LN(AV1337:AY1337),SQRT(AV1336:AY1336),TRUE,TRUE),3,1)</f>
        <v>0.90413508642304341</v>
      </c>
      <c r="AR1337" s="117">
        <f>INDEX(LINEST(LN(AV1337:AY1337),SQRT((AV1336:AY1336))),1)</f>
        <v>-7.6959139213870232E-6</v>
      </c>
      <c r="AS1337" s="91">
        <f>INDEX(LINEST(1/(AV1337:AY1337),1/(SQRT(AV1336:AY1336)),TRUE,TRUE),3,1)</f>
        <v>0.6523429515501894</v>
      </c>
      <c r="AT1337" s="91">
        <f>INDEX(LINEST(1/(AV1337:AY1337),1/SQRT(AV1336:AY1336)),1)</f>
        <v>-197.1235459103514</v>
      </c>
      <c r="AU1337" s="3"/>
      <c r="AV1337" s="97">
        <v>0.9</v>
      </c>
      <c r="AW1337" s="97">
        <v>0.89</v>
      </c>
      <c r="AX1337" s="97">
        <v>0.87</v>
      </c>
      <c r="AY1337" s="97">
        <v>0.85</v>
      </c>
      <c r="AZ1337" s="11"/>
      <c r="BA1337" s="11"/>
      <c r="BB1337" s="11"/>
      <c r="BC1337" s="11"/>
      <c r="BD1337" s="11"/>
      <c r="BE1337" s="11"/>
      <c r="BF1337" s="11"/>
      <c r="BG1337" s="11"/>
      <c r="BH1337" s="11"/>
      <c r="BI1337" s="11"/>
      <c r="BJ1337" s="11"/>
      <c r="BK1337" s="11"/>
      <c r="BL1337" s="11"/>
      <c r="BM1337" s="11"/>
      <c r="BN1337" s="11"/>
      <c r="BO1337" s="11"/>
      <c r="BP1337" s="11"/>
      <c r="BQ1337" s="11"/>
      <c r="BR1337" s="11"/>
      <c r="BS1337" s="11"/>
      <c r="BT1337" s="11"/>
      <c r="BU1337" s="11"/>
      <c r="BV1337" s="11"/>
      <c r="BW1337" s="11"/>
      <c r="BX1337" s="11"/>
      <c r="BY1337" s="11"/>
      <c r="BZ1337" s="11"/>
      <c r="CA1337" s="11"/>
      <c r="CB1337" s="11"/>
      <c r="CC1337" s="11"/>
      <c r="CD1337" s="11"/>
      <c r="CE1337" s="11"/>
      <c r="CF1337" s="11"/>
      <c r="CG1337" s="11"/>
      <c r="CH1337" s="11"/>
      <c r="CI1337" s="11"/>
      <c r="CJ1337" s="11"/>
      <c r="CK1337" s="11"/>
      <c r="CL1337" s="11"/>
      <c r="CM1337" s="11"/>
      <c r="CN1337" s="11"/>
      <c r="CO1337" s="11"/>
      <c r="CP1337" s="11"/>
      <c r="CQ1337" s="11"/>
      <c r="CR1337" s="15"/>
      <c r="CS1337" s="15"/>
      <c r="CT1337" s="15"/>
      <c r="CU1337" s="15"/>
    </row>
    <row r="1338" spans="1:99" ht="12" customHeight="1" x14ac:dyDescent="0.2">
      <c r="A1338" s="68">
        <v>43509</v>
      </c>
      <c r="B1338" s="94"/>
      <c r="C1338" s="94"/>
      <c r="D1338" s="92"/>
      <c r="E1338" s="105"/>
      <c r="F1338" s="92"/>
      <c r="G1338" s="92"/>
      <c r="H1338" s="92"/>
      <c r="I1338" s="92"/>
      <c r="J1338" s="92"/>
      <c r="K1338" s="107"/>
      <c r="L1338" s="107"/>
      <c r="M1338" s="92"/>
      <c r="N1338" s="92"/>
      <c r="O1338" s="92"/>
      <c r="P1338" s="92"/>
      <c r="Q1338" s="92"/>
      <c r="R1338" s="69"/>
      <c r="S1338" s="92"/>
      <c r="T1338" s="92"/>
      <c r="U1338" s="69"/>
      <c r="V1338" s="92"/>
      <c r="W1338" s="69"/>
      <c r="X1338" s="92"/>
      <c r="Y1338" s="87"/>
      <c r="Z1338" s="92"/>
      <c r="AA1338" s="92"/>
      <c r="AB1338" s="69"/>
      <c r="AC1338" s="69"/>
      <c r="AD1338" s="69"/>
      <c r="AE1338" s="69"/>
      <c r="AF1338" s="88"/>
      <c r="AG1338" s="72"/>
      <c r="AH1338" s="4"/>
      <c r="AI1338" s="108"/>
      <c r="AJ1338" s="113"/>
      <c r="AK1338" s="108"/>
      <c r="AL1338" s="108"/>
      <c r="AM1338" s="108"/>
      <c r="AN1338" s="108"/>
      <c r="AO1338" s="108"/>
      <c r="AP1338" s="108"/>
      <c r="AQ1338" s="72"/>
      <c r="AR1338" s="110"/>
      <c r="AS1338" s="72"/>
      <c r="AT1338" s="72"/>
      <c r="AU1338" s="4"/>
      <c r="AV1338" s="98">
        <f>3*30*24*3600</f>
        <v>7776000</v>
      </c>
      <c r="AW1338" s="98">
        <f>15*30*24*3600</f>
        <v>38880000</v>
      </c>
      <c r="AX1338" s="98">
        <f>27*30*24*3600</f>
        <v>69984000</v>
      </c>
      <c r="AY1338" s="98">
        <f>39*30*24*3600</f>
        <v>101088000</v>
      </c>
      <c r="AZ1338" s="11"/>
      <c r="BA1338" s="11"/>
      <c r="BB1338" s="11"/>
      <c r="BC1338" s="11"/>
      <c r="BD1338" s="11"/>
      <c r="BE1338" s="11"/>
      <c r="BF1338" s="11"/>
      <c r="BG1338" s="11"/>
      <c r="BH1338" s="11"/>
      <c r="BI1338" s="11"/>
      <c r="BJ1338" s="11"/>
      <c r="BK1338" s="11"/>
      <c r="BL1338" s="11"/>
      <c r="BM1338" s="11"/>
      <c r="BN1338" s="11"/>
      <c r="BO1338" s="11"/>
      <c r="BP1338" s="11"/>
      <c r="BQ1338" s="11"/>
      <c r="BR1338" s="11"/>
      <c r="BS1338" s="11"/>
      <c r="BT1338" s="11"/>
      <c r="BU1338" s="11"/>
      <c r="BV1338" s="11"/>
      <c r="BW1338" s="11"/>
      <c r="BX1338" s="11"/>
      <c r="BY1338" s="11"/>
      <c r="BZ1338" s="11"/>
      <c r="CA1338" s="11"/>
      <c r="CB1338" s="11"/>
      <c r="CC1338" s="11"/>
      <c r="CD1338" s="11"/>
      <c r="CE1338" s="11"/>
      <c r="CF1338" s="11"/>
      <c r="CG1338" s="11"/>
      <c r="CH1338" s="11"/>
      <c r="CI1338" s="11"/>
      <c r="CJ1338" s="11"/>
      <c r="CK1338" s="11"/>
      <c r="CL1338" s="11"/>
      <c r="CM1338" s="11"/>
      <c r="CN1338" s="11"/>
      <c r="CO1338" s="11"/>
      <c r="CP1338" s="11"/>
      <c r="CQ1338" s="11"/>
      <c r="CR1338" s="15"/>
      <c r="CS1338" s="15"/>
      <c r="CT1338" s="15"/>
      <c r="CU1338" s="15"/>
    </row>
    <row r="1339" spans="1:99" ht="12" customHeight="1" x14ac:dyDescent="0.2">
      <c r="A1339" s="68">
        <v>43509</v>
      </c>
      <c r="B1339" s="94" t="s">
        <v>283</v>
      </c>
      <c r="C1339" s="94" t="s">
        <v>192</v>
      </c>
      <c r="D1339" s="92">
        <v>1993</v>
      </c>
      <c r="E1339" s="105">
        <v>1</v>
      </c>
      <c r="F1339" s="92">
        <v>140</v>
      </c>
      <c r="G1339" s="92">
        <v>35</v>
      </c>
      <c r="H1339" s="92" t="s">
        <v>41</v>
      </c>
      <c r="I1339" s="92" t="s">
        <v>822</v>
      </c>
      <c r="J1339" s="92" t="s">
        <v>483</v>
      </c>
      <c r="K1339" s="69">
        <f>IF(J1339="syllables",1,IF(J1339="trigrams",2,IF(J1339="strings",3,IF(J1339="visual array",4,IF(J1339="characters",5,IF(J1339="letters",6,IF(J1339="free forms",7,IF(J1339="odors",8,IF(J1339="words",9,IF(J1339="pictures",10,IF(J1339="object pictures",11,IF(J1339="faces",12,IF(J1339="names",13,IF(J1339="idioms",14,IF(J1339="grades",15,IF(J1339="syllable-digit pairs",16,IF(J1339="trigram-word pairs",17,IF(J1339="word-digit pairs",18,IF(J1339="English-Swahili pairs",19,IF(J1339="spatial position",20,IF(J1339="word pairs",21,IF(J1339="word triads",22,IF(J1339="generated words",23,IF(J1339="word definition pairs",24,IF(J1339="math problems",25,IF(J1339="famous faces",26,IF(J1339="famous names",27,IF(J1339="famous voices",28,IF(J1339="television programs",29,IF(J1339="race horses",30,IF(J1339="new vocabulary",31,IF(J1339="sentences",32,IF(J1339="concepts",33,IF(J1339="ad slides",34,IF(J1339="scenes",35,IF(J1339="famous scenes",36,IF(J1339="poems",37,IF(J1339="walk",38,IF(J1339="faces and events",39,IF(J1339="events and names",40,IF(J1339="flashbulb",41,IF(J1339="stories",42,IF(J1339="course material",43,IF(J1339="autobiographical",44,IF(J1339="novels",45,IF(J1339="public events",46,"99"))))))))))))))))))))))))))))))))))))))))))))))</f>
        <v>45</v>
      </c>
      <c r="L1339" s="69">
        <f>IF(J1339="syllables",1,IF(J1339="trigrams",1,IF(J1339="strings",1,IF(J1339="visual array",1,IF(J1339="characters",1,IF(J1339="letters",1,IF(J1339="free forms",1,IF(J1339="odors",2,IF(J1339="words",2,IF(J1339="pictures",2,IF(J1339="object pictures",2,IF(J1339="faces",2,IF(J1339="names",2,IF(J1339="idioms","2",IF(J1339="grades",2,IF(J1339="syllable-digit pairs",3,IF(J1339="trigram-word pairs",3,IF(J1339="word-digit pairs",3,IF(J1339="English-Swahili pairs",3,IF(J1339="spatial position",3,IF(J1339="word pairs",4,IF(J1339="word triads",4,IF(J1339="generated words",4,IF(J1339="word definition pairs",4,IF(J1339="math problems",4,IF(J1339="famous faces",4,IF(J1339="famous names",4,IF(J1339="famous voices",4,IF(J1339="television programs",4,IF(J1339="race horses",4,IF(J1339="new vocabulary",4,IF(J1339="sentences",5,IF(J1339="concepts",5,IF(J1339="ad slides",5,IF(J1339="scenes",5,IF(J1339="famous scenes",5,IF(J1339="poems",6,IF(J1339="walk",6,IF(J1339="faces and events",6,IF(J1339="events and names",6,IF(J1339="flashbulb",7,IF(J1339="stories",7,IF(J1339="course material",7,IF(J1339="autobiographical",7,IF(J1339="novels",7,IF(J1339="public events",7,"99"))))))))))))))))))))))))))))))))))))))))))))))</f>
        <v>7</v>
      </c>
      <c r="M1339" s="92">
        <v>0</v>
      </c>
      <c r="N1339" s="92">
        <v>3</v>
      </c>
      <c r="O1339" s="92">
        <v>0</v>
      </c>
      <c r="P1339" s="92"/>
      <c r="Q1339" s="92" t="s">
        <v>174</v>
      </c>
      <c r="R1339" s="69">
        <f>IF(Q1339="Free Recall",1,IF(Q1339="Cued Recall",2,IF(Q1339="Recognition",3,IF(Q1339="Multiple Choice",4,IF(Q1339="Savings",5,IF(Q1339="Stem Completion",6,IF(Q1339="Fragment Completion",7,IF(Q1339="anagram solution",8,IF(Q1339="Matching",9,IF(Q1339="Problem Solving",10,"99"))))))))))</f>
        <v>1</v>
      </c>
      <c r="S1339" s="92" t="s">
        <v>49</v>
      </c>
      <c r="T1339" s="92" t="s">
        <v>261</v>
      </c>
      <c r="U1339" s="69">
        <f>IF(T1339="within",1,0)</f>
        <v>0</v>
      </c>
      <c r="V1339" s="92">
        <v>18</v>
      </c>
      <c r="W1339" s="69">
        <f>F1339*V1339</f>
        <v>2520</v>
      </c>
      <c r="X1339" s="92">
        <v>4</v>
      </c>
      <c r="Y1339" s="87">
        <f>AV1338</f>
        <v>7776000</v>
      </c>
      <c r="Z1339" s="92" t="s">
        <v>284</v>
      </c>
      <c r="AA1339" s="92">
        <f>39*30*24*3600</f>
        <v>101088000</v>
      </c>
      <c r="AB1339" s="69" t="str">
        <f>IF(AA1339&lt;60,"1",IF(AA1339&lt;=43200,"2",IF(AA1339&lt;=777600,"3","4")))</f>
        <v>4</v>
      </c>
      <c r="AC1339" s="72">
        <f>AVERAGE(AV1338:DA1338)</f>
        <v>54432000</v>
      </c>
      <c r="AD1339" s="69" t="str">
        <f>IF(AC1339&lt;60,"1",IF(AC1339&lt;=43200,"2",IF(AC1339&lt;=777600,"3","4")))</f>
        <v>4</v>
      </c>
      <c r="AE1339" s="87">
        <f>AA1339-Y1339</f>
        <v>93312000</v>
      </c>
      <c r="AF1339" s="88">
        <f>AV1339</f>
        <v>0.81</v>
      </c>
      <c r="AG1339" s="72">
        <f>((AW1339-AV1339)+(AX1339-AW1339)+(AY1339-AX1339))/3</f>
        <v>-3.0000000000000027E-2</v>
      </c>
      <c r="AH1339" s="4"/>
      <c r="AI1339" s="72">
        <f>RSQ(AV1339:AY1339,AV1338:AY1338)</f>
        <v>0.7623529411764709</v>
      </c>
      <c r="AJ1339" s="110">
        <f>SLOPE(AV1339:AY1339,AV1338:AY1338)</f>
        <v>-1.1574074074074086E-9</v>
      </c>
      <c r="AK1339" s="72">
        <f>INTERCEPT(AV1339:AY1339,AV1338:AY1338)</f>
        <v>0.81799999999999995</v>
      </c>
      <c r="AL1339" s="72">
        <f>INDEX(LINEST(LN(AV1339:AY1339),LN(AV1338:AY1338),TRUE,TRUE),3,1)</f>
        <v>0.71676371019965301</v>
      </c>
      <c r="AM1339" s="72">
        <f>INDEX(LINEST(LN(AV1339:AY1339),LN(AV1338:AY1338)),1)</f>
        <v>-5.2786728159439598E-2</v>
      </c>
      <c r="AN1339" s="72">
        <f>EXP(INDEX(LINEST(LN(AV1339:AY1339),LN(AV1338:AY1338)),1,2))</f>
        <v>1.8940586148627601</v>
      </c>
      <c r="AO1339" s="89">
        <f>INDEX(LINEST((AV1339:AY1339),LN(AV1338:AY1338),TRUE,TRUE),3,1)</f>
        <v>0.72787657972600417</v>
      </c>
      <c r="AP1339" s="89">
        <f>INDEX(LINEST((AV1339:AY1339),LN(AV1338:AY1338)),1)</f>
        <v>-4.0099428410164194E-2</v>
      </c>
      <c r="AQ1339" s="90">
        <f>INDEX(LINEST(LN(AV1339:AY1339),SQRT(AV1338:AY1338),TRUE,TRUE),3,1)</f>
        <v>0.7642291145898108</v>
      </c>
      <c r="AR1339" s="117">
        <f>INDEX(LINEST(LN(AV1339:AY1339),SQRT((AV1338:AY1338))),1)</f>
        <v>-1.9706129131435797E-5</v>
      </c>
      <c r="AS1339" s="91">
        <f>INDEX(LINEST(1/(AV1339:AY1339),1/(SQRT(AV1338:AY1338)),TRUE,TRUE),3,1)</f>
        <v>0.62691614065233214</v>
      </c>
      <c r="AT1339" s="91">
        <f>INDEX(LINEST(1/(AV1339:AY1339),1/SQRT(AV1338:AY1338)),1)</f>
        <v>-625.26502153942306</v>
      </c>
      <c r="AU1339" s="3"/>
      <c r="AV1339" s="97">
        <v>0.81</v>
      </c>
      <c r="AW1339" s="97">
        <v>0.79</v>
      </c>
      <c r="AX1339" s="97">
        <v>0.7</v>
      </c>
      <c r="AY1339" s="97">
        <v>0.72</v>
      </c>
      <c r="AZ1339" s="11"/>
      <c r="BA1339" s="11"/>
      <c r="BB1339" s="11"/>
      <c r="BC1339" s="11"/>
      <c r="BD1339" s="11"/>
      <c r="BE1339" s="11"/>
      <c r="BF1339" s="11"/>
      <c r="BG1339" s="11"/>
      <c r="BH1339" s="11"/>
      <c r="BI1339" s="11"/>
      <c r="BJ1339" s="11"/>
      <c r="BK1339" s="11"/>
      <c r="BL1339" s="11"/>
      <c r="BM1339" s="11"/>
      <c r="BN1339" s="11"/>
      <c r="BO1339" s="11"/>
      <c r="BP1339" s="11"/>
      <c r="BQ1339" s="11"/>
      <c r="BR1339" s="11"/>
      <c r="BS1339" s="11"/>
      <c r="BT1339" s="11"/>
      <c r="BU1339" s="11"/>
      <c r="BV1339" s="11"/>
      <c r="BW1339" s="11"/>
      <c r="BX1339" s="11"/>
      <c r="BY1339" s="11"/>
      <c r="BZ1339" s="11"/>
      <c r="CA1339" s="11"/>
      <c r="CB1339" s="11"/>
      <c r="CC1339" s="11"/>
      <c r="CD1339" s="11"/>
      <c r="CE1339" s="11"/>
      <c r="CF1339" s="11"/>
      <c r="CG1339" s="11"/>
      <c r="CH1339" s="11"/>
      <c r="CI1339" s="11"/>
      <c r="CJ1339" s="11"/>
      <c r="CK1339" s="11"/>
      <c r="CL1339" s="11"/>
      <c r="CM1339" s="11"/>
      <c r="CN1339" s="11"/>
      <c r="CO1339" s="11"/>
      <c r="CP1339" s="11"/>
      <c r="CQ1339" s="11"/>
      <c r="CR1339" s="15"/>
      <c r="CS1339" s="15"/>
      <c r="CT1339" s="15"/>
      <c r="CU1339" s="15"/>
    </row>
    <row r="1340" spans="1:99" ht="12" customHeight="1" x14ac:dyDescent="0.2">
      <c r="A1340" s="68">
        <v>43509</v>
      </c>
      <c r="B1340" s="94"/>
      <c r="C1340" s="94"/>
      <c r="D1340" s="92"/>
      <c r="E1340" s="105"/>
      <c r="F1340" s="92"/>
      <c r="G1340" s="92"/>
      <c r="H1340" s="92"/>
      <c r="I1340" s="92"/>
      <c r="J1340" s="92"/>
      <c r="K1340" s="107"/>
      <c r="L1340" s="107"/>
      <c r="M1340" s="92"/>
      <c r="N1340" s="92"/>
      <c r="O1340" s="92"/>
      <c r="P1340" s="92"/>
      <c r="Q1340" s="92"/>
      <c r="R1340" s="69"/>
      <c r="S1340" s="92"/>
      <c r="T1340" s="92"/>
      <c r="U1340" s="69"/>
      <c r="V1340" s="92"/>
      <c r="W1340" s="69"/>
      <c r="X1340" s="92"/>
      <c r="Y1340" s="87"/>
      <c r="Z1340" s="92"/>
      <c r="AA1340" s="92"/>
      <c r="AB1340" s="69"/>
      <c r="AC1340" s="69"/>
      <c r="AD1340" s="69"/>
      <c r="AE1340" s="69"/>
      <c r="AF1340" s="88"/>
      <c r="AG1340" s="72"/>
      <c r="AH1340" s="4"/>
      <c r="AI1340" s="108"/>
      <c r="AJ1340" s="113"/>
      <c r="AK1340" s="108"/>
      <c r="AL1340" s="108"/>
      <c r="AM1340" s="108"/>
      <c r="AN1340" s="108"/>
      <c r="AO1340" s="108"/>
      <c r="AP1340" s="108"/>
      <c r="AQ1340" s="72"/>
      <c r="AR1340" s="110"/>
      <c r="AS1340" s="72"/>
      <c r="AT1340" s="72"/>
      <c r="AU1340" s="4"/>
      <c r="AV1340" s="98">
        <f>3*30*24*3600</f>
        <v>7776000</v>
      </c>
      <c r="AW1340" s="98">
        <f>15*30*24*3600</f>
        <v>38880000</v>
      </c>
      <c r="AX1340" s="98">
        <f>27*30*24*3600</f>
        <v>69984000</v>
      </c>
      <c r="AY1340" s="98">
        <f>39*30*24*3600</f>
        <v>101088000</v>
      </c>
      <c r="AZ1340" s="11"/>
      <c r="BA1340" s="11"/>
      <c r="BB1340" s="11"/>
      <c r="BC1340" s="11"/>
      <c r="BD1340" s="11"/>
      <c r="BE1340" s="11"/>
      <c r="BF1340" s="11"/>
      <c r="BG1340" s="11"/>
      <c r="BH1340" s="11"/>
      <c r="BI1340" s="11"/>
      <c r="BJ1340" s="11"/>
      <c r="BK1340" s="11"/>
      <c r="BL1340" s="11"/>
      <c r="BM1340" s="11"/>
      <c r="BN1340" s="11"/>
      <c r="BO1340" s="11"/>
      <c r="BP1340" s="11"/>
      <c r="BQ1340" s="11"/>
      <c r="BR1340" s="11"/>
      <c r="BS1340" s="11"/>
      <c r="BT1340" s="11"/>
      <c r="BU1340" s="11"/>
      <c r="BV1340" s="11"/>
      <c r="BW1340" s="11"/>
      <c r="BX1340" s="11"/>
      <c r="BY1340" s="11"/>
      <c r="BZ1340" s="11"/>
      <c r="CA1340" s="11"/>
      <c r="CB1340" s="11"/>
      <c r="CC1340" s="11"/>
      <c r="CD1340" s="11"/>
      <c r="CE1340" s="11"/>
      <c r="CF1340" s="11"/>
      <c r="CG1340" s="11"/>
      <c r="CH1340" s="11"/>
      <c r="CI1340" s="11"/>
      <c r="CJ1340" s="11"/>
      <c r="CK1340" s="11"/>
      <c r="CL1340" s="11"/>
      <c r="CM1340" s="11"/>
      <c r="CN1340" s="11"/>
      <c r="CO1340" s="11"/>
      <c r="CP1340" s="11"/>
      <c r="CQ1340" s="11"/>
      <c r="CR1340" s="15"/>
      <c r="CS1340" s="15"/>
      <c r="CT1340" s="15"/>
      <c r="CU1340" s="15"/>
    </row>
    <row r="1341" spans="1:99" ht="12" customHeight="1" x14ac:dyDescent="0.2">
      <c r="A1341" s="68">
        <v>43509</v>
      </c>
      <c r="B1341" s="94" t="s">
        <v>283</v>
      </c>
      <c r="C1341" s="94" t="s">
        <v>192</v>
      </c>
      <c r="D1341" s="92">
        <v>1993</v>
      </c>
      <c r="E1341" s="105">
        <v>1</v>
      </c>
      <c r="F1341" s="92">
        <v>140</v>
      </c>
      <c r="G1341" s="92">
        <v>35</v>
      </c>
      <c r="H1341" s="92" t="s">
        <v>41</v>
      </c>
      <c r="I1341" s="92" t="s">
        <v>132</v>
      </c>
      <c r="J1341" s="92" t="s">
        <v>483</v>
      </c>
      <c r="K1341" s="69">
        <f>IF(J1341="syllables",1,IF(J1341="trigrams",2,IF(J1341="strings",3,IF(J1341="visual array",4,IF(J1341="characters",5,IF(J1341="letters",6,IF(J1341="free forms",7,IF(J1341="odors",8,IF(J1341="words",9,IF(J1341="pictures",10,IF(J1341="object pictures",11,IF(J1341="faces",12,IF(J1341="names",13,IF(J1341="idioms",14,IF(J1341="grades",15,IF(J1341="syllable-digit pairs",16,IF(J1341="trigram-word pairs",17,IF(J1341="word-digit pairs",18,IF(J1341="English-Swahili pairs",19,IF(J1341="spatial position",20,IF(J1341="word pairs",21,IF(J1341="word triads",22,IF(J1341="generated words",23,IF(J1341="word definition pairs",24,IF(J1341="math problems",25,IF(J1341="famous faces",26,IF(J1341="famous names",27,IF(J1341="famous voices",28,IF(J1341="television programs",29,IF(J1341="race horses",30,IF(J1341="new vocabulary",31,IF(J1341="sentences",32,IF(J1341="concepts",33,IF(J1341="ad slides",34,IF(J1341="scenes",35,IF(J1341="famous scenes",36,IF(J1341="poems",37,IF(J1341="walk",38,IF(J1341="faces and events",39,IF(J1341="events and names",40,IF(J1341="flashbulb",41,IF(J1341="stories",42,IF(J1341="course material",43,IF(J1341="autobiographical",44,IF(J1341="novels",45,IF(J1341="public events",46,"99"))))))))))))))))))))))))))))))))))))))))))))))</f>
        <v>45</v>
      </c>
      <c r="L1341" s="69">
        <f>IF(J1341="syllables",1,IF(J1341="trigrams",1,IF(J1341="strings",1,IF(J1341="visual array",1,IF(J1341="characters",1,IF(J1341="letters",1,IF(J1341="free forms",1,IF(J1341="odors",2,IF(J1341="words",2,IF(J1341="pictures",2,IF(J1341="object pictures",2,IF(J1341="faces",2,IF(J1341="names",2,IF(J1341="idioms","2",IF(J1341="grades",2,IF(J1341="syllable-digit pairs",3,IF(J1341="trigram-word pairs",3,IF(J1341="word-digit pairs",3,IF(J1341="English-Swahili pairs",3,IF(J1341="spatial position",3,IF(J1341="word pairs",4,IF(J1341="word triads",4,IF(J1341="generated words",4,IF(J1341="word definition pairs",4,IF(J1341="math problems",4,IF(J1341="famous faces",4,IF(J1341="famous names",4,IF(J1341="famous voices",4,IF(J1341="television programs",4,IF(J1341="race horses",4,IF(J1341="new vocabulary",4,IF(J1341="sentences",5,IF(J1341="concepts",5,IF(J1341="ad slides",5,IF(J1341="scenes",5,IF(J1341="famous scenes",5,IF(J1341="poems",6,IF(J1341="walk",6,IF(J1341="faces and events",6,IF(J1341="events and names",6,IF(J1341="flashbulb",7,IF(J1341="stories",7,IF(J1341="course material",7,IF(J1341="autobiographical",7,IF(J1341="novels",7,IF(J1341="public events",7,"99"))))))))))))))))))))))))))))))))))))))))))))))</f>
        <v>7</v>
      </c>
      <c r="M1341" s="92">
        <v>0</v>
      </c>
      <c r="N1341" s="92">
        <v>3</v>
      </c>
      <c r="O1341" s="92">
        <v>0</v>
      </c>
      <c r="P1341" s="92"/>
      <c r="Q1341" s="92" t="s">
        <v>174</v>
      </c>
      <c r="R1341" s="69">
        <f>IF(Q1341="Free Recall",1,IF(Q1341="Cued Recall",2,IF(Q1341="Recognition",3,IF(Q1341="Multiple Choice",4,IF(Q1341="Savings",5,IF(Q1341="Stem Completion",6,IF(Q1341="Fragment Completion",7,IF(Q1341="anagram solution",8,IF(Q1341="Matching",9,IF(Q1341="Problem Solving",10,"99"))))))))))</f>
        <v>1</v>
      </c>
      <c r="S1341" s="92" t="s">
        <v>49</v>
      </c>
      <c r="T1341" s="92" t="s">
        <v>261</v>
      </c>
      <c r="U1341" s="69">
        <f>IF(T1341="within",1,0)</f>
        <v>0</v>
      </c>
      <c r="V1341" s="92">
        <v>18</v>
      </c>
      <c r="W1341" s="69">
        <f>F1341*V1341</f>
        <v>2520</v>
      </c>
      <c r="X1341" s="92">
        <v>4</v>
      </c>
      <c r="Y1341" s="87">
        <f>AV1340</f>
        <v>7776000</v>
      </c>
      <c r="Z1341" s="92" t="s">
        <v>284</v>
      </c>
      <c r="AA1341" s="92">
        <f>39*30*24*3600</f>
        <v>101088000</v>
      </c>
      <c r="AB1341" s="69" t="str">
        <f>IF(AA1341&lt;60,"1",IF(AA1341&lt;=43200,"2",IF(AA1341&lt;=777600,"3","4")))</f>
        <v>4</v>
      </c>
      <c r="AC1341" s="72">
        <f>AVERAGE(AV1340:DA1340)</f>
        <v>54432000</v>
      </c>
      <c r="AD1341" s="69" t="str">
        <f>IF(AC1341&lt;60,"1",IF(AC1341&lt;=43200,"2",IF(AC1341&lt;=777600,"3","4")))</f>
        <v>4</v>
      </c>
      <c r="AE1341" s="87">
        <f>AA1341-Y1341</f>
        <v>93312000</v>
      </c>
      <c r="AF1341" s="88">
        <f>AV1341</f>
        <v>0.65</v>
      </c>
      <c r="AG1341" s="93">
        <f>((AW1341-AV1341)+(AX1341-AW1341)+(AY1341-AX1341))/3</f>
        <v>-3.3333333333333361E-3</v>
      </c>
      <c r="AH1341" s="4"/>
      <c r="AI1341" s="72">
        <f>RSQ(AV1341:AY1341,AV1340:AY1340)</f>
        <v>0.20000000000000004</v>
      </c>
      <c r="AJ1341" s="110">
        <f>SLOPE(AV1341:AY1341,AV1340:AY1340)</f>
        <v>-1.9290123456790137E-10</v>
      </c>
      <c r="AK1341" s="72">
        <f>INTERCEPT(AV1341:AY1341,AV1340:AY1340)</f>
        <v>0.64549999999999996</v>
      </c>
      <c r="AL1341" s="72">
        <f>INDEX(LINEST(LN(AV1341:AY1341),LN(AV1340:AY1340),TRUE,TRUE),3,1)</f>
        <v>0.32866727506701393</v>
      </c>
      <c r="AM1341" s="72">
        <f>INDEX(LINEST(LN(AV1341:AY1341),LN(AV1340:AY1340)),1)</f>
        <v>-1.3958932447355842E-2</v>
      </c>
      <c r="AN1341" s="72">
        <f>EXP(INDEX(LINEST(LN(AV1341:AY1341),LN(AV1340:AY1340)),1,2))</f>
        <v>0.8100186558353023</v>
      </c>
      <c r="AO1341" s="89">
        <f>INDEX(LINEST((AV1341:AY1341),LN(AV1340:AY1340),TRUE,TRUE),3,1)</f>
        <v>0.33497527999960752</v>
      </c>
      <c r="AP1341" s="89">
        <f>INDEX(LINEST((AV1341:AY1341),LN(AV1340:AY1340)),1)</f>
        <v>-8.8517161839560127E-3</v>
      </c>
      <c r="AQ1341" s="90">
        <f>INDEX(LINEST(LN(AV1341:AY1341),SQRT(AV1340:AY1340),TRUE,TRUE),3,1)</f>
        <v>0.27293218676144204</v>
      </c>
      <c r="AR1341" s="117">
        <f>INDEX(LINEST(LN(AV1341:AY1341),SQRT((AV1340:AY1340))),1)</f>
        <v>-4.5989019028757241E-6</v>
      </c>
      <c r="AS1341" s="91">
        <f>INDEX(LINEST(1/(AV1341:AY1341),1/(SQRT(AV1340:AY1340)),TRUE,TRUE),3,1)</f>
        <v>0.34373208360034263</v>
      </c>
      <c r="AT1341" s="91">
        <f>INDEX(LINEST(1/(AV1341:AY1341),1/SQRT(AV1340:AY1340)),1)</f>
        <v>-216.70734690922814</v>
      </c>
      <c r="AU1341" s="3"/>
      <c r="AV1341" s="97">
        <v>0.65</v>
      </c>
      <c r="AW1341" s="97">
        <v>0.64</v>
      </c>
      <c r="AX1341" s="97">
        <v>0.61</v>
      </c>
      <c r="AY1341" s="97">
        <v>0.64</v>
      </c>
      <c r="AZ1341" s="11"/>
      <c r="BA1341" s="11"/>
      <c r="BB1341" s="11"/>
      <c r="BC1341" s="11"/>
      <c r="BD1341" s="11"/>
      <c r="BE1341" s="11"/>
      <c r="BF1341" s="11"/>
      <c r="BG1341" s="11"/>
      <c r="BH1341" s="11"/>
      <c r="BI1341" s="11"/>
      <c r="BJ1341" s="11"/>
      <c r="BK1341" s="11"/>
      <c r="BL1341" s="11"/>
      <c r="BM1341" s="11"/>
      <c r="BN1341" s="11"/>
      <c r="BO1341" s="11"/>
      <c r="BP1341" s="11"/>
      <c r="BQ1341" s="11"/>
      <c r="BR1341" s="11"/>
      <c r="BS1341" s="11"/>
      <c r="BT1341" s="11"/>
      <c r="BU1341" s="11"/>
      <c r="BV1341" s="11"/>
      <c r="BW1341" s="11"/>
      <c r="BX1341" s="11"/>
      <c r="BY1341" s="11"/>
      <c r="BZ1341" s="11"/>
      <c r="CA1341" s="11"/>
      <c r="CB1341" s="11"/>
      <c r="CC1341" s="11"/>
      <c r="CD1341" s="11"/>
      <c r="CE1341" s="11"/>
      <c r="CF1341" s="11"/>
      <c r="CG1341" s="11"/>
      <c r="CH1341" s="11"/>
      <c r="CI1341" s="11"/>
      <c r="CJ1341" s="11"/>
      <c r="CK1341" s="11"/>
      <c r="CL1341" s="11"/>
      <c r="CM1341" s="11"/>
      <c r="CN1341" s="11"/>
      <c r="CO1341" s="11"/>
      <c r="CP1341" s="11"/>
      <c r="CQ1341" s="11"/>
      <c r="CR1341" s="15"/>
      <c r="CS1341" s="15"/>
      <c r="CT1341" s="15"/>
      <c r="CU1341" s="15"/>
    </row>
    <row r="1342" spans="1:99" ht="12" customHeight="1" x14ac:dyDescent="0.2">
      <c r="A1342" s="65">
        <v>43900</v>
      </c>
      <c r="B1342" s="15"/>
      <c r="C1342" s="15"/>
      <c r="D1342" s="59"/>
      <c r="E1342" s="75"/>
      <c r="F1342" s="59"/>
      <c r="G1342" s="59"/>
      <c r="H1342" s="59"/>
      <c r="I1342" s="59"/>
      <c r="J1342" s="59"/>
      <c r="M1342" s="59"/>
      <c r="N1342" s="60"/>
      <c r="O1342" s="59"/>
      <c r="P1342" s="59"/>
      <c r="Q1342" s="59"/>
      <c r="R1342" s="60"/>
      <c r="S1342" s="59"/>
      <c r="T1342" s="59"/>
      <c r="U1342" s="60"/>
      <c r="V1342" s="59"/>
      <c r="W1342" s="60"/>
      <c r="X1342" s="60"/>
      <c r="Y1342" s="76"/>
      <c r="Z1342" s="59"/>
      <c r="AA1342" s="59"/>
      <c r="AB1342" s="60"/>
      <c r="AC1342" s="56"/>
      <c r="AD1342" s="60"/>
      <c r="AE1342" s="60"/>
      <c r="AF1342" s="80"/>
      <c r="AG1342" s="56"/>
      <c r="AH1342" s="4"/>
      <c r="AI1342" s="56"/>
      <c r="AJ1342" s="109"/>
      <c r="AK1342" s="56"/>
      <c r="AL1342" s="56"/>
      <c r="AM1342" s="56"/>
      <c r="AN1342" s="56"/>
      <c r="AO1342" s="82"/>
      <c r="AP1342" s="82"/>
      <c r="AQ1342" s="83"/>
      <c r="AR1342" s="116"/>
      <c r="AS1342" s="84"/>
      <c r="AT1342" s="84"/>
      <c r="AU1342" s="3"/>
      <c r="AV1342" s="47">
        <v>600</v>
      </c>
      <c r="AW1342" s="47">
        <f>60*60*24</f>
        <v>86400</v>
      </c>
      <c r="AX1342" s="47">
        <f>60*60*24*7</f>
        <v>604800</v>
      </c>
      <c r="AY1342" s="11"/>
      <c r="AZ1342" s="11"/>
      <c r="BA1342" s="11"/>
      <c r="BB1342" s="11"/>
      <c r="BC1342" s="11"/>
      <c r="BD1342" s="11"/>
      <c r="BE1342" s="11"/>
      <c r="BF1342" s="11"/>
      <c r="BG1342" s="11"/>
      <c r="BH1342" s="11"/>
      <c r="BI1342" s="11"/>
      <c r="BJ1342" s="11"/>
      <c r="BK1342" s="11"/>
      <c r="BL1342" s="11"/>
      <c r="BM1342" s="11"/>
      <c r="BN1342" s="11"/>
      <c r="BO1342" s="11"/>
      <c r="BP1342" s="11"/>
      <c r="BQ1342" s="11"/>
      <c r="BR1342" s="11"/>
      <c r="BS1342" s="11"/>
      <c r="BT1342" s="11"/>
      <c r="BU1342" s="11"/>
      <c r="BV1342" s="11"/>
      <c r="BW1342" s="11"/>
      <c r="BX1342" s="11"/>
      <c r="BY1342" s="11"/>
      <c r="BZ1342" s="11"/>
      <c r="CA1342" s="11"/>
      <c r="CB1342" s="11"/>
      <c r="CC1342" s="11"/>
      <c r="CD1342" s="11"/>
      <c r="CE1342" s="11"/>
      <c r="CF1342" s="11"/>
      <c r="CG1342" s="11"/>
      <c r="CH1342" s="11"/>
      <c r="CI1342" s="11"/>
      <c r="CJ1342" s="11"/>
      <c r="CK1342" s="11"/>
      <c r="CL1342" s="11"/>
      <c r="CM1342" s="11"/>
      <c r="CN1342" s="11"/>
      <c r="CO1342" s="11"/>
      <c r="CP1342" s="11"/>
      <c r="CQ1342" s="11"/>
      <c r="CR1342" s="15"/>
      <c r="CS1342" s="15"/>
      <c r="CT1342" s="15"/>
      <c r="CU1342" s="15"/>
    </row>
    <row r="1343" spans="1:99" ht="12" customHeight="1" x14ac:dyDescent="0.2">
      <c r="A1343" s="65">
        <v>43900</v>
      </c>
      <c r="B1343" s="15" t="s">
        <v>429</v>
      </c>
      <c r="C1343" s="15" t="s">
        <v>383</v>
      </c>
      <c r="D1343" s="59">
        <v>2019</v>
      </c>
      <c r="E1343" s="75">
        <v>1</v>
      </c>
      <c r="F1343" s="59">
        <v>128</v>
      </c>
      <c r="G1343" s="59">
        <v>21.3</v>
      </c>
      <c r="H1343" s="59" t="s">
        <v>50</v>
      </c>
      <c r="I1343" s="59" t="s">
        <v>431</v>
      </c>
      <c r="J1343" s="59" t="s">
        <v>313</v>
      </c>
      <c r="K1343" s="60">
        <f>IF(J1343="syllables",1,IF(J1343="trigrams",2,IF(J1343="strings",3,IF(J1343="visual array",4,IF(J1343="characters",5,IF(J1343="letters",6,IF(J1343="free forms",7,IF(J1343="odors",8,IF(J1343="words",9,IF(J1343="pictures",10,IF(J1343="object pictures",11,IF(J1343="faces",12,IF(J1343="names",13,IF(J1343="idioms",14,IF(J1343="grades",15,IF(J1343="syllable-digit pairs",16,IF(J1343="trigram-word pairs",17,IF(J1343="word-digit pairs",18,IF(J1343="English-Swahili pairs",19,IF(J1343="spatial position",20,IF(J1343="word pairs",21,IF(J1343="word triads",22,IF(J1343="generated words",23,IF(J1343="word definition pairs",24,IF(J1343="math problems",25,IF(J1343="famous faces",26,IF(J1343="famous names",27,IF(J1343="famous voices",28,IF(J1343="television programs",29,IF(J1343="race horses",30,IF(J1343="new vocabulary",31,IF(J1343="sentences",32,IF(J1343="concepts",33,IF(J1343="ad slides",34,IF(J1343="scenes",35,IF(J1343="famous scenes",36,IF(J1343="poems",37,IF(J1343="walk",38,IF(J1343="faces and events",39,IF(J1343="events and names",40,IF(J1343="flashbulb",41,IF(J1343="stories",42,IF(J1343="course material",43,IF(J1343="autobiographical",44,IF(J1343="novels",45,IF(J1343="public events",46,"99"))))))))))))))))))))))))))))))))))))))))))))))</f>
        <v>10</v>
      </c>
      <c r="L1343" s="60">
        <f>IF(J1343="syllables",1,IF(J1343="trigrams",1,IF(J1343="strings",1,IF(J1343="visual array",1,IF(J1343="characters",1,IF(J1343="letters",1,IF(J1343="free forms",1,IF(J1343="odors",2,IF(J1343="words",2,IF(J1343="pictures",2,IF(J1343="object pictures",2,IF(J1343="faces",2,IF(J1343="names",2,IF(J1343="idioms","2",IF(J1343="grades",2,IF(J1343="syllable-digit pairs",3,IF(J1343="trigram-word pairs",3,IF(J1343="word-digit pairs",3,IF(J1343="English-Swahili pairs",3,IF(J1343="spatial position",3,IF(J1343="word pairs",4,IF(J1343="word triads",4,IF(J1343="generated words",4,IF(J1343="word definition pairs",4,IF(J1343="math problems",4,IF(J1343="famous faces",4,IF(J1343="famous names",4,IF(J1343="famous voices",4,IF(J1343="television programs",4,IF(J1343="race horses",4,IF(J1343="new vocabulary",4,IF(J1343="sentences",5,IF(J1343="concepts",5,IF(J1343="ad slides",5,IF(J1343="scenes",5,IF(J1343="famous scenes",5,IF(J1343="poems",6,IF(J1343="walk",6,IF(J1343="faces and events",6,IF(J1343="events and names",6,IF(J1343="flashbulb",7,IF(J1343="stories",7,IF(J1343="course material",7,IF(J1343="autobiographical",7,IF(J1343="novels",7,IF(J1343="public events",7,"99"))))))))))))))))))))))))))))))))))))))))))))))</f>
        <v>2</v>
      </c>
      <c r="M1343" s="59">
        <v>0</v>
      </c>
      <c r="N1343" s="60">
        <v>1</v>
      </c>
      <c r="O1343" s="59">
        <v>0</v>
      </c>
      <c r="P1343" s="59"/>
      <c r="Q1343" s="59" t="s">
        <v>174</v>
      </c>
      <c r="R1343" s="60">
        <f>IF(Q1343="Free Recall",1,IF(Q1343="Cued Recall",2,IF(Q1343="Recognition",3,IF(Q1343="Multiple Choice",4,IF(Q1343="Savings",5,IF(Q1343="Stem Completion",6,IF(Q1343="Fragment Completion",7,IF(Q1343="anagram solution",8,IF(Q1343="Matching",9,IF(Q1343="Problem Solving",10,"99"))))))))))</f>
        <v>1</v>
      </c>
      <c r="S1343" s="59" t="s">
        <v>49</v>
      </c>
      <c r="T1343" s="59" t="s">
        <v>261</v>
      </c>
      <c r="U1343" s="60">
        <f>IF(T1343="within",1,0)</f>
        <v>0</v>
      </c>
      <c r="V1343" s="59">
        <v>32</v>
      </c>
      <c r="W1343" s="60">
        <f>F1343*V1343</f>
        <v>4096</v>
      </c>
      <c r="X1343" s="60">
        <v>3</v>
      </c>
      <c r="Y1343" s="76">
        <f>AV1342</f>
        <v>600</v>
      </c>
      <c r="Z1343" s="59" t="s">
        <v>97</v>
      </c>
      <c r="AA1343" s="59">
        <f>60*60*24*7</f>
        <v>604800</v>
      </c>
      <c r="AB1343" s="60" t="str">
        <f>IF(AA1343&lt;60,"1",IF(AA1343&lt;=43200,"2",IF(AA1343&lt;=777600,"3","4")))</f>
        <v>3</v>
      </c>
      <c r="AC1343" s="56">
        <f>AVERAGE(AV1342:DA1342)</f>
        <v>230600</v>
      </c>
      <c r="AD1343" s="60" t="str">
        <f>IF(AC1343&lt;60,"1",IF(AC1343&lt;=43200,"2",IF(AC1343&lt;=777600,"3","4")))</f>
        <v>3</v>
      </c>
      <c r="AE1343" s="76">
        <f>AA1343-Y1343</f>
        <v>604200</v>
      </c>
      <c r="AF1343" s="80">
        <f>AV1343</f>
        <v>0.6</v>
      </c>
      <c r="AG1343" s="56">
        <f>((AW1343-AV1343)+(AX1343-AW1343))/2</f>
        <v>-0.15999999999999998</v>
      </c>
      <c r="AH1343" s="4"/>
      <c r="AI1343" s="56">
        <f>RSQ(AV1343:AX1343,AV1342:AX1342)</f>
        <v>0.92140822662289856</v>
      </c>
      <c r="AJ1343" s="109">
        <f>SLOPE(AV1343:AX1343,AV1342:AX1342)</f>
        <v>-4.7257318104384391E-7</v>
      </c>
      <c r="AK1343" s="56">
        <f>INTERCEPT(AV1343:AX1343,AV1342:AX1342)</f>
        <v>0.55897537554871035</v>
      </c>
      <c r="AL1343" s="56">
        <f>INDEX(LINEST(LN(AV1343:AX1343),LN(AV1342:AX1342),TRUE,TRUE),3,1)</f>
        <v>0.80942827917078786</v>
      </c>
      <c r="AM1343" s="56">
        <f>INDEX(LINEST(LN(AV1343:AX1343),LN(AV1342:AX1342)),1)</f>
        <v>-9.8177891377105322E-2</v>
      </c>
      <c r="AN1343" s="56">
        <f>EXP(INDEX(LINEST(LN(AV1343:AX1343),LN(AV1342:AX1342)),1,2))</f>
        <v>1.1861721187797465</v>
      </c>
      <c r="AO1343" s="82">
        <f>INDEX(LINEST((AV1343:AX1343),LN(AV1342:AX1342),TRUE,TRUE),3,1)</f>
        <v>0.87910705285897428</v>
      </c>
      <c r="AP1343" s="82">
        <f>INDEX(LINEST((AV1343:AX1343),LN(AV1342:AX1342)),1)</f>
        <v>-4.2310443476307386E-2</v>
      </c>
      <c r="AQ1343" s="83">
        <f>INDEX(LINEST(LN(AV1343:AX1343),SQRT(AV1342:AX1342),TRUE,TRUE),3,1)</f>
        <v>0.99826580089324979</v>
      </c>
      <c r="AR1343" s="116">
        <f>INDEX(LINEST(LN(AV1343:AX1343),SQRT((AV1342:AX1342))),1)</f>
        <v>-1.01885348935843E-3</v>
      </c>
      <c r="AS1343" s="84">
        <f>INDEX(LINEST(1/(AV1343:AX1343),1/(SQRT(AV1342:AX1342)),TRUE,TRUE),3,1)</f>
        <v>0.51986598822974084</v>
      </c>
      <c r="AT1343" s="84">
        <f>INDEX(LINEST(1/(AV1343:AX1343),1/SQRT(AV1342:AX1342)),1)</f>
        <v>-32.213788099795657</v>
      </c>
      <c r="AU1343" s="3"/>
      <c r="AV1343" s="11">
        <v>0.6</v>
      </c>
      <c r="AW1343" s="11">
        <v>0.47</v>
      </c>
      <c r="AX1343" s="11">
        <v>0.28000000000000003</v>
      </c>
      <c r="AY1343" s="11"/>
      <c r="AZ1343" s="11"/>
      <c r="BA1343" s="11"/>
      <c r="BB1343" s="11"/>
      <c r="BC1343" s="11"/>
      <c r="BD1343" s="11"/>
      <c r="BE1343" s="11"/>
      <c r="BF1343" s="11"/>
      <c r="BG1343" s="11"/>
      <c r="BH1343" s="11"/>
      <c r="BI1343" s="11"/>
      <c r="BJ1343" s="11"/>
      <c r="BK1343" s="11"/>
      <c r="BL1343" s="11"/>
      <c r="BM1343" s="11"/>
      <c r="BN1343" s="11"/>
      <c r="BO1343" s="11"/>
      <c r="BP1343" s="11"/>
      <c r="BQ1343" s="11"/>
      <c r="BR1343" s="11"/>
      <c r="BS1343" s="11"/>
      <c r="BT1343" s="11"/>
      <c r="BU1343" s="11"/>
      <c r="BV1343" s="11"/>
      <c r="BW1343" s="11"/>
      <c r="BX1343" s="11"/>
      <c r="BY1343" s="11"/>
      <c r="BZ1343" s="11"/>
      <c r="CA1343" s="11"/>
      <c r="CB1343" s="11"/>
      <c r="CC1343" s="11"/>
      <c r="CD1343" s="11"/>
      <c r="CE1343" s="11"/>
      <c r="CF1343" s="11"/>
      <c r="CG1343" s="11"/>
      <c r="CH1343" s="11"/>
      <c r="CI1343" s="11"/>
      <c r="CJ1343" s="11"/>
      <c r="CK1343" s="11"/>
      <c r="CL1343" s="11"/>
      <c r="CM1343" s="11"/>
      <c r="CN1343" s="11"/>
      <c r="CO1343" s="11"/>
      <c r="CP1343" s="11"/>
      <c r="CQ1343" s="11"/>
      <c r="CR1343" s="15"/>
      <c r="CS1343" s="15"/>
      <c r="CT1343" s="15"/>
      <c r="CU1343" s="15"/>
    </row>
    <row r="1344" spans="1:99" ht="12" customHeight="1" x14ac:dyDescent="0.2">
      <c r="A1344" s="65">
        <v>43900</v>
      </c>
      <c r="B1344" s="15"/>
      <c r="C1344" s="15"/>
      <c r="D1344" s="59"/>
      <c r="E1344" s="75"/>
      <c r="F1344" s="59"/>
      <c r="G1344" s="59"/>
      <c r="H1344" s="59"/>
      <c r="I1344" s="59"/>
      <c r="J1344" s="59"/>
      <c r="M1344" s="59"/>
      <c r="N1344" s="60"/>
      <c r="O1344" s="59"/>
      <c r="P1344" s="59"/>
      <c r="Q1344" s="59"/>
      <c r="R1344" s="60"/>
      <c r="S1344" s="59"/>
      <c r="T1344" s="59"/>
      <c r="U1344" s="60"/>
      <c r="V1344" s="59"/>
      <c r="W1344" s="60"/>
      <c r="X1344" s="60"/>
      <c r="Y1344" s="76"/>
      <c r="Z1344" s="59"/>
      <c r="AA1344" s="59"/>
      <c r="AB1344" s="60"/>
      <c r="AC1344" s="56"/>
      <c r="AD1344" s="60"/>
      <c r="AE1344" s="60"/>
      <c r="AF1344" s="80"/>
      <c r="AG1344" s="56"/>
      <c r="AH1344" s="4"/>
      <c r="AI1344" s="56"/>
      <c r="AJ1344" s="109"/>
      <c r="AK1344" s="56"/>
      <c r="AL1344" s="56"/>
      <c r="AM1344" s="56"/>
      <c r="AN1344" s="56"/>
      <c r="AO1344" s="82"/>
      <c r="AP1344" s="82"/>
      <c r="AQ1344" s="83"/>
      <c r="AR1344" s="116"/>
      <c r="AS1344" s="84"/>
      <c r="AT1344" s="84"/>
      <c r="AU1344" s="3"/>
      <c r="AV1344" s="47">
        <v>600</v>
      </c>
      <c r="AW1344" s="47">
        <f>60*60*24</f>
        <v>86400</v>
      </c>
      <c r="AX1344" s="47">
        <f>60*60*24*7</f>
        <v>604800</v>
      </c>
      <c r="AY1344" s="11"/>
      <c r="AZ1344" s="11"/>
      <c r="BA1344" s="11"/>
      <c r="BB1344" s="11"/>
      <c r="BC1344" s="11"/>
      <c r="BD1344" s="11"/>
      <c r="BE1344" s="11"/>
      <c r="BF1344" s="11"/>
      <c r="BG1344" s="11"/>
      <c r="BH1344" s="11"/>
      <c r="BI1344" s="11"/>
      <c r="BJ1344" s="11"/>
      <c r="BK1344" s="11"/>
      <c r="BL1344" s="11"/>
      <c r="BM1344" s="11"/>
      <c r="BN1344" s="11"/>
      <c r="BO1344" s="11"/>
      <c r="BP1344" s="11"/>
      <c r="BQ1344" s="11"/>
      <c r="BR1344" s="11"/>
      <c r="BS1344" s="11"/>
      <c r="BT1344" s="11"/>
      <c r="BU1344" s="11"/>
      <c r="BV1344" s="11"/>
      <c r="BW1344" s="11"/>
      <c r="BX1344" s="11"/>
      <c r="BY1344" s="11"/>
      <c r="BZ1344" s="11"/>
      <c r="CA1344" s="11"/>
      <c r="CB1344" s="11"/>
      <c r="CC1344" s="11"/>
      <c r="CD1344" s="11"/>
      <c r="CE1344" s="11"/>
      <c r="CF1344" s="11"/>
      <c r="CG1344" s="11"/>
      <c r="CH1344" s="11"/>
      <c r="CI1344" s="11"/>
      <c r="CJ1344" s="11"/>
      <c r="CK1344" s="11"/>
      <c r="CL1344" s="11"/>
      <c r="CM1344" s="11"/>
      <c r="CN1344" s="11"/>
      <c r="CO1344" s="11"/>
      <c r="CP1344" s="11"/>
      <c r="CQ1344" s="11"/>
      <c r="CR1344" s="15"/>
      <c r="CS1344" s="15"/>
      <c r="CT1344" s="15"/>
      <c r="CU1344" s="15"/>
    </row>
    <row r="1345" spans="1:99" ht="12" customHeight="1" x14ac:dyDescent="0.2">
      <c r="A1345" s="65">
        <v>43900</v>
      </c>
      <c r="B1345" s="15" t="s">
        <v>429</v>
      </c>
      <c r="C1345" s="15" t="s">
        <v>383</v>
      </c>
      <c r="D1345" s="59">
        <v>2019</v>
      </c>
      <c r="E1345" s="75">
        <v>1</v>
      </c>
      <c r="F1345" s="59">
        <v>128</v>
      </c>
      <c r="G1345" s="59">
        <v>21.3</v>
      </c>
      <c r="H1345" s="59" t="s">
        <v>50</v>
      </c>
      <c r="I1345" s="59" t="s">
        <v>430</v>
      </c>
      <c r="J1345" s="59" t="s">
        <v>313</v>
      </c>
      <c r="K1345" s="60">
        <f>IF(J1345="syllables",1,IF(J1345="trigrams",2,IF(J1345="strings",3,IF(J1345="visual array",4,IF(J1345="characters",5,IF(J1345="letters",6,IF(J1345="free forms",7,IF(J1345="odors",8,IF(J1345="words",9,IF(J1345="pictures",10,IF(J1345="object pictures",11,IF(J1345="faces",12,IF(J1345="names",13,IF(J1345="idioms",14,IF(J1345="grades",15,IF(J1345="syllable-digit pairs",16,IF(J1345="trigram-word pairs",17,IF(J1345="word-digit pairs",18,IF(J1345="English-Swahili pairs",19,IF(J1345="spatial position",20,IF(J1345="word pairs",21,IF(J1345="word triads",22,IF(J1345="generated words",23,IF(J1345="word definition pairs",24,IF(J1345="math problems",25,IF(J1345="famous faces",26,IF(J1345="famous names",27,IF(J1345="famous voices",28,IF(J1345="television programs",29,IF(J1345="race horses",30,IF(J1345="new vocabulary",31,IF(J1345="sentences",32,IF(J1345="concepts",33,IF(J1345="ad slides",34,IF(J1345="scenes",35,IF(J1345="famous scenes",36,IF(J1345="poems",37,IF(J1345="walk",38,IF(J1345="faces and events",39,IF(J1345="events and names",40,IF(J1345="flashbulb",41,IF(J1345="stories",42,IF(J1345="course material",43,IF(J1345="autobiographical",44,IF(J1345="novels",45,IF(J1345="public events",46,"99"))))))))))))))))))))))))))))))))))))))))))))))</f>
        <v>10</v>
      </c>
      <c r="L1345" s="60">
        <f>IF(J1345="syllables",1,IF(J1345="trigrams",1,IF(J1345="strings",1,IF(J1345="visual array",1,IF(J1345="characters",1,IF(J1345="letters",1,IF(J1345="free forms",1,IF(J1345="odors",2,IF(J1345="words",2,IF(J1345="pictures",2,IF(J1345="object pictures",2,IF(J1345="faces",2,IF(J1345="names",2,IF(J1345="idioms","2",IF(J1345="grades",2,IF(J1345="syllable-digit pairs",3,IF(J1345="trigram-word pairs",3,IF(J1345="word-digit pairs",3,IF(J1345="English-Swahili pairs",3,IF(J1345="spatial position",3,IF(J1345="word pairs",4,IF(J1345="word triads",4,IF(J1345="generated words",4,IF(J1345="word definition pairs",4,IF(J1345="math problems",4,IF(J1345="famous faces",4,IF(J1345="famous names",4,IF(J1345="famous voices",4,IF(J1345="television programs",4,IF(J1345="race horses",4,IF(J1345="new vocabulary",4,IF(J1345="sentences",5,IF(J1345="concepts",5,IF(J1345="ad slides",5,IF(J1345="scenes",5,IF(J1345="famous scenes",5,IF(J1345="poems",6,IF(J1345="walk",6,IF(J1345="faces and events",6,IF(J1345="events and names",6,IF(J1345="flashbulb",7,IF(J1345="stories",7,IF(J1345="course material",7,IF(J1345="autobiographical",7,IF(J1345="novels",7,IF(J1345="public events",7,"99"))))))))))))))))))))))))))))))))))))))))))))))</f>
        <v>2</v>
      </c>
      <c r="M1345" s="59">
        <v>0</v>
      </c>
      <c r="N1345" s="60">
        <v>1</v>
      </c>
      <c r="O1345" s="59">
        <v>0</v>
      </c>
      <c r="P1345" s="59"/>
      <c r="Q1345" s="59" t="s">
        <v>174</v>
      </c>
      <c r="R1345" s="60">
        <f>IF(Q1345="Free Recall",1,IF(Q1345="Cued Recall",2,IF(Q1345="Recognition",3,IF(Q1345="Multiple Choice",4,IF(Q1345="Savings",5,IF(Q1345="Stem Completion",6,IF(Q1345="Fragment Completion",7,IF(Q1345="anagram solution",8,IF(Q1345="Matching",9,IF(Q1345="Problem Solving",10,"99"))))))))))</f>
        <v>1</v>
      </c>
      <c r="S1345" s="59" t="s">
        <v>49</v>
      </c>
      <c r="T1345" s="59" t="s">
        <v>261</v>
      </c>
      <c r="U1345" s="60">
        <f>IF(T1345="within",1,0)</f>
        <v>0</v>
      </c>
      <c r="V1345" s="59">
        <v>32</v>
      </c>
      <c r="W1345" s="60">
        <f>F1345*V1345</f>
        <v>4096</v>
      </c>
      <c r="X1345" s="60">
        <v>3</v>
      </c>
      <c r="Y1345" s="76">
        <f>AV1344</f>
        <v>600</v>
      </c>
      <c r="Z1345" s="59" t="s">
        <v>97</v>
      </c>
      <c r="AA1345" s="59">
        <f>60*60*24*7</f>
        <v>604800</v>
      </c>
      <c r="AB1345" s="60" t="str">
        <f>IF(AA1345&lt;60,"1",IF(AA1345&lt;=43200,"2",IF(AA1345&lt;=777600,"3","4")))</f>
        <v>3</v>
      </c>
      <c r="AC1345" s="56">
        <f>AVERAGE(AV1344:DA1344)</f>
        <v>230600</v>
      </c>
      <c r="AD1345" s="60" t="str">
        <f>IF(AC1345&lt;60,"1",IF(AC1345&lt;=43200,"2",IF(AC1345&lt;=777600,"3","4")))</f>
        <v>3</v>
      </c>
      <c r="AE1345" s="76">
        <f>AA1345-Y1345</f>
        <v>604200</v>
      </c>
      <c r="AF1345" s="80">
        <f>AV1345</f>
        <v>0.23</v>
      </c>
      <c r="AG1345" s="56">
        <f>((AW1345-AV1345)+(AX1345-AW1345))/2</f>
        <v>-0.05</v>
      </c>
      <c r="AH1345" s="4"/>
      <c r="AI1345" s="56">
        <f>RSQ(AV1345:AX1345,AV1344:AX1344)</f>
        <v>0.92520139404116308</v>
      </c>
      <c r="AJ1345" s="109">
        <f>SLOPE(AV1345:AX1345,AV1344:AX1344)</f>
        <v>-1.4810081710924722E-7</v>
      </c>
      <c r="AK1345" s="56">
        <f>INTERCEPT(AV1345:AX1345,AV1344:AX1344)</f>
        <v>0.21748538175872575</v>
      </c>
      <c r="AL1345" s="56">
        <f>INDEX(LINEST(LN(AV1345:AX1345),LN(AV1344:AX1344),TRUE,TRUE),3,1)</f>
        <v>0.82187778206176965</v>
      </c>
      <c r="AM1345" s="56">
        <f>INDEX(LINEST(LN(AV1345:AX1345),LN(AV1344:AX1344)),1)</f>
        <v>-7.3823643817259518E-2</v>
      </c>
      <c r="AN1345" s="56">
        <f>EXP(INDEX(LINEST(LN(AV1345:AX1345),LN(AV1344:AX1344)),1,2))</f>
        <v>0.38334491453478736</v>
      </c>
      <c r="AO1345" s="82">
        <f>INDEX(LINEST((AV1345:AX1345),LN(AV1344:AX1344),TRUE,TRUE),3,1)</f>
        <v>0.87442141608438206</v>
      </c>
      <c r="AP1345" s="82">
        <f>INDEX(LINEST((AV1345:AX1345),LN(AV1344:AX1344)),1)</f>
        <v>-1.3197247905558606E-2</v>
      </c>
      <c r="AQ1345" s="83">
        <f>INDEX(LINEST(LN(AV1345:AX1345),SQRT(AV1344:AX1344),TRUE,TRUE),3,1)</f>
        <v>0.99934473796760082</v>
      </c>
      <c r="AR1345" s="116">
        <f>INDEX(LINEST(LN(AV1345:AX1345),SQRT((AV1344:AX1344))),1)</f>
        <v>-7.6070040834485208E-4</v>
      </c>
      <c r="AS1345" s="84">
        <f>INDEX(LINEST(1/(AV1345:AX1345),1/(SQRT(AV1344:AX1344)),TRUE,TRUE),3,1)</f>
        <v>0.55367520197076625</v>
      </c>
      <c r="AT1345" s="84">
        <f>INDEX(LINEST(1/(AV1345:AX1345),1/SQRT(AV1344:AX1344)),1)</f>
        <v>-57.822268610470111</v>
      </c>
      <c r="AU1345" s="3"/>
      <c r="AV1345" s="11">
        <v>0.23</v>
      </c>
      <c r="AW1345" s="11">
        <v>0.19</v>
      </c>
      <c r="AX1345" s="11">
        <v>0.13</v>
      </c>
      <c r="AY1345" s="11"/>
      <c r="AZ1345" s="11"/>
      <c r="BA1345" s="11"/>
      <c r="BB1345" s="11"/>
      <c r="BC1345" s="11"/>
      <c r="BD1345" s="11"/>
      <c r="BE1345" s="11"/>
      <c r="BF1345" s="11"/>
      <c r="BG1345" s="11"/>
      <c r="BH1345" s="11"/>
      <c r="BI1345" s="11"/>
      <c r="BJ1345" s="11"/>
      <c r="BK1345" s="11"/>
      <c r="BL1345" s="11"/>
      <c r="BM1345" s="11"/>
      <c r="BN1345" s="11"/>
      <c r="BO1345" s="11"/>
      <c r="BP1345" s="11"/>
      <c r="BQ1345" s="11"/>
      <c r="BR1345" s="11"/>
      <c r="BS1345" s="11"/>
      <c r="BT1345" s="11"/>
      <c r="BU1345" s="11"/>
      <c r="BV1345" s="11"/>
      <c r="BW1345" s="11"/>
      <c r="BX1345" s="11"/>
      <c r="BY1345" s="11"/>
      <c r="BZ1345" s="11"/>
      <c r="CA1345" s="11"/>
      <c r="CB1345" s="11"/>
      <c r="CC1345" s="11"/>
      <c r="CD1345" s="11"/>
      <c r="CE1345" s="11"/>
      <c r="CF1345" s="11"/>
      <c r="CG1345" s="11"/>
      <c r="CH1345" s="11"/>
      <c r="CI1345" s="11"/>
      <c r="CJ1345" s="11"/>
      <c r="CK1345" s="11"/>
      <c r="CL1345" s="11"/>
      <c r="CM1345" s="11"/>
      <c r="CN1345" s="11"/>
      <c r="CO1345" s="11"/>
      <c r="CP1345" s="11"/>
      <c r="CQ1345" s="11"/>
      <c r="CR1345" s="15"/>
      <c r="CS1345" s="15"/>
      <c r="CT1345" s="15"/>
      <c r="CU1345" s="15"/>
    </row>
    <row r="1346" spans="1:99" ht="12" customHeight="1" x14ac:dyDescent="0.2">
      <c r="A1346" s="65">
        <v>43900</v>
      </c>
      <c r="B1346" s="15"/>
      <c r="C1346" s="15"/>
      <c r="D1346" s="59"/>
      <c r="E1346" s="75"/>
      <c r="F1346" s="59"/>
      <c r="G1346" s="59"/>
      <c r="H1346" s="59"/>
      <c r="I1346" s="59"/>
      <c r="J1346" s="59"/>
      <c r="M1346" s="59"/>
      <c r="N1346" s="60"/>
      <c r="O1346" s="59"/>
      <c r="P1346" s="59"/>
      <c r="Q1346" s="59"/>
      <c r="R1346" s="60"/>
      <c r="S1346" s="59"/>
      <c r="T1346" s="59"/>
      <c r="U1346" s="60"/>
      <c r="V1346" s="59"/>
      <c r="W1346" s="60"/>
      <c r="X1346" s="60"/>
      <c r="Y1346" s="76"/>
      <c r="Z1346" s="59"/>
      <c r="AA1346" s="59"/>
      <c r="AB1346" s="60"/>
      <c r="AC1346" s="56"/>
      <c r="AD1346" s="60"/>
      <c r="AE1346" s="60"/>
      <c r="AF1346" s="80"/>
      <c r="AG1346" s="56"/>
      <c r="AH1346" s="4"/>
      <c r="AI1346" s="56"/>
      <c r="AJ1346" s="109"/>
      <c r="AK1346" s="56"/>
      <c r="AL1346" s="56"/>
      <c r="AM1346" s="56"/>
      <c r="AN1346" s="56"/>
      <c r="AO1346" s="82"/>
      <c r="AP1346" s="82"/>
      <c r="AQ1346" s="83"/>
      <c r="AR1346" s="116"/>
      <c r="AS1346" s="84"/>
      <c r="AT1346" s="84"/>
      <c r="AU1346" s="3"/>
      <c r="AV1346" s="47">
        <v>600</v>
      </c>
      <c r="AW1346" s="47">
        <f>60*60*24</f>
        <v>86400</v>
      </c>
      <c r="AX1346" s="47">
        <f>60*60*24*3</f>
        <v>259200</v>
      </c>
      <c r="AY1346" s="47">
        <f>60*60*24*7</f>
        <v>604800</v>
      </c>
      <c r="AZ1346" s="11" t="s">
        <v>900</v>
      </c>
      <c r="BA1346" s="11"/>
      <c r="BB1346" s="11"/>
      <c r="BC1346" s="11"/>
      <c r="BD1346" s="11"/>
      <c r="BE1346" s="11"/>
      <c r="BF1346" s="11"/>
      <c r="BG1346" s="11"/>
      <c r="BH1346" s="11"/>
      <c r="BI1346" s="11"/>
      <c r="BJ1346" s="11"/>
      <c r="BK1346" s="11"/>
      <c r="BL1346" s="11"/>
      <c r="BM1346" s="11"/>
      <c r="BN1346" s="11"/>
      <c r="BO1346" s="11"/>
      <c r="BP1346" s="11"/>
      <c r="BQ1346" s="11"/>
      <c r="BR1346" s="11"/>
      <c r="BS1346" s="11"/>
      <c r="BT1346" s="11"/>
      <c r="BU1346" s="11"/>
      <c r="BV1346" s="11"/>
      <c r="BW1346" s="11"/>
      <c r="BX1346" s="11"/>
      <c r="BY1346" s="11"/>
      <c r="BZ1346" s="11"/>
      <c r="CA1346" s="11"/>
      <c r="CB1346" s="11"/>
      <c r="CC1346" s="11"/>
      <c r="CD1346" s="11"/>
      <c r="CE1346" s="11"/>
      <c r="CF1346" s="11"/>
      <c r="CG1346" s="11"/>
      <c r="CH1346" s="11"/>
      <c r="CI1346" s="11"/>
      <c r="CJ1346" s="11"/>
      <c r="CK1346" s="11"/>
      <c r="CL1346" s="11"/>
      <c r="CM1346" s="11"/>
      <c r="CN1346" s="11"/>
      <c r="CO1346" s="11"/>
      <c r="CP1346" s="11"/>
      <c r="CQ1346" s="11"/>
      <c r="CR1346" s="15"/>
      <c r="CS1346" s="15"/>
      <c r="CT1346" s="15"/>
      <c r="CU1346" s="15"/>
    </row>
    <row r="1347" spans="1:99" ht="12" customHeight="1" x14ac:dyDescent="0.2">
      <c r="A1347" s="65">
        <v>43900</v>
      </c>
      <c r="B1347" s="15" t="s">
        <v>429</v>
      </c>
      <c r="C1347" s="15" t="s">
        <v>383</v>
      </c>
      <c r="D1347" s="59">
        <v>2019</v>
      </c>
      <c r="E1347" s="75">
        <v>2</v>
      </c>
      <c r="F1347" s="59">
        <v>134</v>
      </c>
      <c r="G1347" s="59">
        <v>16.8</v>
      </c>
      <c r="H1347" s="59" t="s">
        <v>32</v>
      </c>
      <c r="I1347" s="59" t="s">
        <v>431</v>
      </c>
      <c r="J1347" s="59" t="s">
        <v>313</v>
      </c>
      <c r="K1347" s="60">
        <f>IF(J1347="syllables",1,IF(J1347="trigrams",2,IF(J1347="strings",3,IF(J1347="visual array",4,IF(J1347="characters",5,IF(J1347="letters",6,IF(J1347="free forms",7,IF(J1347="odors",8,IF(J1347="words",9,IF(J1347="pictures",10,IF(J1347="object pictures",11,IF(J1347="faces",12,IF(J1347="names",13,IF(J1347="idioms",14,IF(J1347="grades",15,IF(J1347="syllable-digit pairs",16,IF(J1347="trigram-word pairs",17,IF(J1347="word-digit pairs",18,IF(J1347="English-Swahili pairs",19,IF(J1347="spatial position",20,IF(J1347="word pairs",21,IF(J1347="word triads",22,IF(J1347="generated words",23,IF(J1347="word definition pairs",24,IF(J1347="math problems",25,IF(J1347="famous faces",26,IF(J1347="famous names",27,IF(J1347="famous voices",28,IF(J1347="television programs",29,IF(J1347="race horses",30,IF(J1347="new vocabulary",31,IF(J1347="sentences",32,IF(J1347="concepts",33,IF(J1347="ad slides",34,IF(J1347="scenes",35,IF(J1347="famous scenes",36,IF(J1347="poems",37,IF(J1347="walk",38,IF(J1347="faces and events",39,IF(J1347="events and names",40,IF(J1347="flashbulb",41,IF(J1347="stories",42,IF(J1347="course material",43,IF(J1347="autobiographical",44,IF(J1347="novels",45,IF(J1347="public events",46,"99"))))))))))))))))))))))))))))))))))))))))))))))</f>
        <v>10</v>
      </c>
      <c r="L1347" s="60">
        <f>IF(J1347="syllables",1,IF(J1347="trigrams",1,IF(J1347="strings",1,IF(J1347="visual array",1,IF(J1347="characters",1,IF(J1347="letters",1,IF(J1347="free forms",1,IF(J1347="odors",2,IF(J1347="words",2,IF(J1347="pictures",2,IF(J1347="object pictures",2,IF(J1347="faces",2,IF(J1347="names",2,IF(J1347="idioms","2",IF(J1347="grades",2,IF(J1347="syllable-digit pairs",3,IF(J1347="trigram-word pairs",3,IF(J1347="word-digit pairs",3,IF(J1347="English-Swahili pairs",3,IF(J1347="spatial position",3,IF(J1347="word pairs",4,IF(J1347="word triads",4,IF(J1347="generated words",4,IF(J1347="word definition pairs",4,IF(J1347="math problems",4,IF(J1347="famous faces",4,IF(J1347="famous names",4,IF(J1347="famous voices",4,IF(J1347="television programs",4,IF(J1347="race horses",4,IF(J1347="new vocabulary",4,IF(J1347="sentences",5,IF(J1347="concepts",5,IF(J1347="ad slides",5,IF(J1347="scenes",5,IF(J1347="famous scenes",5,IF(J1347="poems",6,IF(J1347="walk",6,IF(J1347="faces and events",6,IF(J1347="events and names",6,IF(J1347="flashbulb",7,IF(J1347="stories",7,IF(J1347="course material",7,IF(J1347="autobiographical",7,IF(J1347="novels",7,IF(J1347="public events",7,"99"))))))))))))))))))))))))))))))))))))))))))))))</f>
        <v>2</v>
      </c>
      <c r="M1347" s="59">
        <v>0</v>
      </c>
      <c r="N1347" s="60">
        <v>1</v>
      </c>
      <c r="O1347" s="59">
        <v>0</v>
      </c>
      <c r="P1347" s="59"/>
      <c r="Q1347" s="59" t="s">
        <v>174</v>
      </c>
      <c r="R1347" s="60">
        <f>IF(Q1347="Free Recall",1,IF(Q1347="Cued Recall",2,IF(Q1347="Recognition",3,IF(Q1347="Multiple Choice",4,IF(Q1347="Savings",5,IF(Q1347="Stem Completion",6,IF(Q1347="Fragment Completion",7,IF(Q1347="anagram solution",8,IF(Q1347="Matching",9,IF(Q1347="Problem Solving",10,"99"))))))))))</f>
        <v>1</v>
      </c>
      <c r="S1347" s="59" t="s">
        <v>49</v>
      </c>
      <c r="T1347" s="59" t="s">
        <v>261</v>
      </c>
      <c r="U1347" s="60">
        <f>IF(T1347="within",1,0)</f>
        <v>0</v>
      </c>
      <c r="V1347" s="59">
        <v>16</v>
      </c>
      <c r="W1347" s="60">
        <f>F1347*V1347</f>
        <v>2144</v>
      </c>
      <c r="X1347" s="60">
        <v>4</v>
      </c>
      <c r="Y1347" s="76">
        <f>AV1346</f>
        <v>600</v>
      </c>
      <c r="Z1347" s="59" t="s">
        <v>97</v>
      </c>
      <c r="AA1347" s="59">
        <f>60*60*24*7</f>
        <v>604800</v>
      </c>
      <c r="AB1347" s="60" t="str">
        <f>IF(AA1347&lt;60,"1",IF(AA1347&lt;=43200,"2",IF(AA1347&lt;=777600,"3","4")))</f>
        <v>3</v>
      </c>
      <c r="AC1347" s="56">
        <f>AVERAGE(AV1346:DA1346)</f>
        <v>237750</v>
      </c>
      <c r="AD1347" s="60" t="str">
        <f>IF(AC1347&lt;60,"1",IF(AC1347&lt;=43200,"2",IF(AC1347&lt;=777600,"3","4")))</f>
        <v>3</v>
      </c>
      <c r="AE1347" s="76">
        <f>AA1347-Y1347</f>
        <v>604200</v>
      </c>
      <c r="AF1347" s="80">
        <f>AV1347</f>
        <v>0.69</v>
      </c>
      <c r="AG1347" s="56">
        <f>((AW1347-AV1347)+(AX1347-AW1347)+(AY1347-AX1347))/3</f>
        <v>-0.14333333333333331</v>
      </c>
      <c r="AH1347" s="4"/>
      <c r="AI1347" s="56">
        <f>RSQ(AV1347:AY1347,AV1346:AY1346)</f>
        <v>0.86192161102328224</v>
      </c>
      <c r="AJ1347" s="109">
        <f>SLOPE(AV1347:AY1347,AV1346:AY1346)</f>
        <v>-6.3224122305154015E-7</v>
      </c>
      <c r="AK1347" s="56">
        <f>INTERCEPT(AV1347:AY1347,AV1346:AY1346)</f>
        <v>0.6103153507805037</v>
      </c>
      <c r="AL1347" s="56">
        <f>INDEX(LINEST(LN(AV1347:AY1347),LN(AV1346:AY1346),TRUE,TRUE),3,1)</f>
        <v>0.80153793003759521</v>
      </c>
      <c r="AM1347" s="56">
        <f>INDEX(LINEST(LN(AV1347:AY1347),LN(AV1346:AY1346)),1)</f>
        <v>-0.11908045800848456</v>
      </c>
      <c r="AN1347" s="56">
        <f>EXP(INDEX(LINEST(LN(AV1347:AY1347),LN(AV1346:AY1346)),1,2))</f>
        <v>1.5809367723990559</v>
      </c>
      <c r="AO1347" s="82">
        <f>INDEX(LINEST((AV1347:AY1347),LN(AV1346:AY1346),TRUE,TRUE),3,1)</f>
        <v>0.90557571205605913</v>
      </c>
      <c r="AP1347" s="82">
        <f>INDEX(LINEST((AV1347:AY1347),LN(AV1346:AY1346)),1)</f>
        <v>-5.5939269893976289E-2</v>
      </c>
      <c r="AQ1347" s="83">
        <f>INDEX(LINEST(LN(AV1347:AY1347),SQRT(AV1346:AY1346),TRUE,TRUE),3,1)</f>
        <v>0.99565419548097256</v>
      </c>
      <c r="AR1347" s="116">
        <f>INDEX(LINEST(LN(AV1347:AY1347),SQRT((AV1346:AY1346))),1)</f>
        <v>-1.2851170896812432E-3</v>
      </c>
      <c r="AS1347" s="84">
        <f>INDEX(LINEST(1/(AV1347:AY1347),1/(SQRT(AV1346:AY1346)),TRUE,TRUE),3,1)</f>
        <v>0.47574560712497033</v>
      </c>
      <c r="AT1347" s="84">
        <f>INDEX(LINEST(1/(AV1347:AY1347),1/SQRT(AV1346:AY1346)),1)</f>
        <v>-36.66416704216217</v>
      </c>
      <c r="AU1347" s="3"/>
      <c r="AV1347" s="11">
        <v>0.69</v>
      </c>
      <c r="AW1347" s="11">
        <v>0.5</v>
      </c>
      <c r="AX1347" s="11">
        <v>0.39</v>
      </c>
      <c r="AY1347" s="11">
        <v>0.26</v>
      </c>
      <c r="AZ1347" s="11"/>
      <c r="BA1347" s="11"/>
      <c r="BB1347" s="11"/>
      <c r="BC1347" s="11"/>
      <c r="BD1347" s="11"/>
      <c r="BE1347" s="11"/>
      <c r="BF1347" s="11"/>
      <c r="BG1347" s="11"/>
      <c r="BH1347" s="11"/>
      <c r="BI1347" s="11"/>
      <c r="BJ1347" s="11"/>
      <c r="BK1347" s="11"/>
      <c r="BL1347" s="11"/>
      <c r="BM1347" s="11"/>
      <c r="BN1347" s="11"/>
      <c r="BO1347" s="11"/>
      <c r="BP1347" s="11"/>
      <c r="BQ1347" s="11"/>
      <c r="BR1347" s="11"/>
      <c r="BS1347" s="11"/>
      <c r="BT1347" s="11"/>
      <c r="BU1347" s="11"/>
      <c r="BV1347" s="11"/>
      <c r="BW1347" s="11"/>
      <c r="BX1347" s="11"/>
      <c r="BY1347" s="11"/>
      <c r="BZ1347" s="11"/>
      <c r="CA1347" s="11"/>
      <c r="CB1347" s="11"/>
      <c r="CC1347" s="11"/>
      <c r="CD1347" s="11"/>
      <c r="CE1347" s="11"/>
      <c r="CF1347" s="11"/>
      <c r="CG1347" s="11"/>
      <c r="CH1347" s="11"/>
      <c r="CI1347" s="11"/>
      <c r="CJ1347" s="11"/>
      <c r="CK1347" s="11"/>
      <c r="CL1347" s="11"/>
      <c r="CM1347" s="11"/>
      <c r="CN1347" s="11"/>
      <c r="CO1347" s="11"/>
      <c r="CP1347" s="11"/>
      <c r="CQ1347" s="11"/>
      <c r="CR1347" s="15"/>
      <c r="CS1347" s="15"/>
      <c r="CT1347" s="15"/>
      <c r="CU1347" s="15"/>
    </row>
    <row r="1348" spans="1:99" ht="12" customHeight="1" x14ac:dyDescent="0.2">
      <c r="A1348" s="65">
        <v>43900</v>
      </c>
      <c r="B1348" s="15"/>
      <c r="C1348" s="15"/>
      <c r="D1348" s="59"/>
      <c r="E1348" s="75"/>
      <c r="F1348" s="59"/>
      <c r="G1348" s="59"/>
      <c r="H1348" s="59"/>
      <c r="I1348" s="59"/>
      <c r="J1348" s="59"/>
      <c r="M1348" s="59"/>
      <c r="N1348" s="60"/>
      <c r="O1348" s="59"/>
      <c r="P1348" s="59"/>
      <c r="Q1348" s="59"/>
      <c r="R1348" s="60"/>
      <c r="S1348" s="59"/>
      <c r="T1348" s="59"/>
      <c r="U1348" s="60"/>
      <c r="V1348" s="59"/>
      <c r="W1348" s="60"/>
      <c r="X1348" s="60"/>
      <c r="Y1348" s="76"/>
      <c r="Z1348" s="59"/>
      <c r="AA1348" s="59"/>
      <c r="AB1348" s="60"/>
      <c r="AC1348" s="56"/>
      <c r="AD1348" s="60"/>
      <c r="AE1348" s="60"/>
      <c r="AF1348" s="80"/>
      <c r="AG1348" s="56"/>
      <c r="AH1348" s="4"/>
      <c r="AI1348" s="56"/>
      <c r="AJ1348" s="109"/>
      <c r="AK1348" s="56"/>
      <c r="AL1348" s="56"/>
      <c r="AM1348" s="56"/>
      <c r="AN1348" s="56"/>
      <c r="AO1348" s="82"/>
      <c r="AP1348" s="82"/>
      <c r="AQ1348" s="83"/>
      <c r="AR1348" s="116"/>
      <c r="AS1348" s="84"/>
      <c r="AT1348" s="84"/>
      <c r="AU1348" s="3"/>
      <c r="AV1348" s="47">
        <v>600</v>
      </c>
      <c r="AW1348" s="47">
        <f>60*60*24</f>
        <v>86400</v>
      </c>
      <c r="AX1348" s="47">
        <f>60*60*24*3</f>
        <v>259200</v>
      </c>
      <c r="AY1348" s="47">
        <f>60*60*24*7</f>
        <v>604800</v>
      </c>
      <c r="AZ1348" s="11"/>
      <c r="BA1348" s="11"/>
      <c r="BB1348" s="11"/>
      <c r="BC1348" s="11"/>
      <c r="BD1348" s="11"/>
      <c r="BE1348" s="11"/>
      <c r="BF1348" s="11"/>
      <c r="BG1348" s="11"/>
      <c r="BH1348" s="11"/>
      <c r="BI1348" s="11"/>
      <c r="BJ1348" s="11"/>
      <c r="BK1348" s="11"/>
      <c r="BL1348" s="11"/>
      <c r="BM1348" s="11"/>
      <c r="BN1348" s="11"/>
      <c r="BO1348" s="11"/>
      <c r="BP1348" s="11"/>
      <c r="BQ1348" s="11"/>
      <c r="BR1348" s="11"/>
      <c r="BS1348" s="11"/>
      <c r="BT1348" s="11"/>
      <c r="BU1348" s="11"/>
      <c r="BV1348" s="11"/>
      <c r="BW1348" s="11"/>
      <c r="BX1348" s="11"/>
      <c r="BY1348" s="11"/>
      <c r="BZ1348" s="11"/>
      <c r="CA1348" s="11"/>
      <c r="CB1348" s="11"/>
      <c r="CC1348" s="11"/>
      <c r="CD1348" s="11"/>
      <c r="CE1348" s="11"/>
      <c r="CF1348" s="11"/>
      <c r="CG1348" s="11"/>
      <c r="CH1348" s="11"/>
      <c r="CI1348" s="11"/>
      <c r="CJ1348" s="11"/>
      <c r="CK1348" s="11"/>
      <c r="CL1348" s="11"/>
      <c r="CM1348" s="11"/>
      <c r="CN1348" s="11"/>
      <c r="CO1348" s="11"/>
      <c r="CP1348" s="11"/>
      <c r="CQ1348" s="11"/>
      <c r="CR1348" s="15"/>
      <c r="CS1348" s="15"/>
      <c r="CT1348" s="15"/>
      <c r="CU1348" s="15"/>
    </row>
    <row r="1349" spans="1:99" ht="12" customHeight="1" x14ac:dyDescent="0.2">
      <c r="A1349" s="65">
        <v>43900</v>
      </c>
      <c r="B1349" s="15" t="s">
        <v>429</v>
      </c>
      <c r="C1349" s="15" t="s">
        <v>383</v>
      </c>
      <c r="D1349" s="59">
        <v>2019</v>
      </c>
      <c r="E1349" s="75">
        <v>2</v>
      </c>
      <c r="F1349" s="59">
        <v>134</v>
      </c>
      <c r="G1349" s="59">
        <v>16.8</v>
      </c>
      <c r="H1349" s="59" t="s">
        <v>32</v>
      </c>
      <c r="I1349" s="59" t="s">
        <v>430</v>
      </c>
      <c r="J1349" s="59" t="s">
        <v>313</v>
      </c>
      <c r="K1349" s="60">
        <f>IF(J1349="syllables",1,IF(J1349="trigrams",2,IF(J1349="strings",3,IF(J1349="visual array",4,IF(J1349="characters",5,IF(J1349="letters",6,IF(J1349="free forms",7,IF(J1349="odors",8,IF(J1349="words",9,IF(J1349="pictures",10,IF(J1349="object pictures",11,IF(J1349="faces",12,IF(J1349="names",13,IF(J1349="idioms",14,IF(J1349="grades",15,IF(J1349="syllable-digit pairs",16,IF(J1349="trigram-word pairs",17,IF(J1349="word-digit pairs",18,IF(J1349="English-Swahili pairs",19,IF(J1349="spatial position",20,IF(J1349="word pairs",21,IF(J1349="word triads",22,IF(J1349="generated words",23,IF(J1349="word definition pairs",24,IF(J1349="math problems",25,IF(J1349="famous faces",26,IF(J1349="famous names",27,IF(J1349="famous voices",28,IF(J1349="television programs",29,IF(J1349="race horses",30,IF(J1349="new vocabulary",31,IF(J1349="sentences",32,IF(J1349="concepts",33,IF(J1349="ad slides",34,IF(J1349="scenes",35,IF(J1349="famous scenes",36,IF(J1349="poems",37,IF(J1349="walk",38,IF(J1349="faces and events",39,IF(J1349="events and names",40,IF(J1349="flashbulb",41,IF(J1349="stories",42,IF(J1349="course material",43,IF(J1349="autobiographical",44,IF(J1349="novels",45,IF(J1349="public events",46,"99"))))))))))))))))))))))))))))))))))))))))))))))</f>
        <v>10</v>
      </c>
      <c r="L1349" s="60">
        <f>IF(J1349="syllables",1,IF(J1349="trigrams",1,IF(J1349="strings",1,IF(J1349="visual array",1,IF(J1349="characters",1,IF(J1349="letters",1,IF(J1349="free forms",1,IF(J1349="odors",2,IF(J1349="words",2,IF(J1349="pictures",2,IF(J1349="object pictures",2,IF(J1349="faces",2,IF(J1349="names",2,IF(J1349="idioms","2",IF(J1349="grades",2,IF(J1349="syllable-digit pairs",3,IF(J1349="trigram-word pairs",3,IF(J1349="word-digit pairs",3,IF(J1349="English-Swahili pairs",3,IF(J1349="spatial position",3,IF(J1349="word pairs",4,IF(J1349="word triads",4,IF(J1349="generated words",4,IF(J1349="word definition pairs",4,IF(J1349="math problems",4,IF(J1349="famous faces",4,IF(J1349="famous names",4,IF(J1349="famous voices",4,IF(J1349="television programs",4,IF(J1349="race horses",4,IF(J1349="new vocabulary",4,IF(J1349="sentences",5,IF(J1349="concepts",5,IF(J1349="ad slides",5,IF(J1349="scenes",5,IF(J1349="famous scenes",5,IF(J1349="poems",6,IF(J1349="walk",6,IF(J1349="faces and events",6,IF(J1349="events and names",6,IF(J1349="flashbulb",7,IF(J1349="stories",7,IF(J1349="course material",7,IF(J1349="autobiographical",7,IF(J1349="novels",7,IF(J1349="public events",7,"99"))))))))))))))))))))))))))))))))))))))))))))))</f>
        <v>2</v>
      </c>
      <c r="M1349" s="59">
        <v>0</v>
      </c>
      <c r="N1349" s="60">
        <v>1</v>
      </c>
      <c r="O1349" s="59">
        <v>0</v>
      </c>
      <c r="P1349" s="59"/>
      <c r="Q1349" s="59" t="s">
        <v>174</v>
      </c>
      <c r="R1349" s="60">
        <f>IF(Q1349="Free Recall",1,IF(Q1349="Cued Recall",2,IF(Q1349="Recognition",3,IF(Q1349="Multiple Choice",4,IF(Q1349="Savings",5,IF(Q1349="Stem Completion",6,IF(Q1349="Fragment Completion",7,IF(Q1349="anagram solution",8,IF(Q1349="Matching",9,IF(Q1349="Problem Solving",10,"99"))))))))))</f>
        <v>1</v>
      </c>
      <c r="S1349" s="59" t="s">
        <v>49</v>
      </c>
      <c r="T1349" s="59" t="s">
        <v>261</v>
      </c>
      <c r="U1349" s="60">
        <f>IF(T1349="within",1,0)</f>
        <v>0</v>
      </c>
      <c r="V1349" s="59">
        <v>16</v>
      </c>
      <c r="W1349" s="60">
        <f>F1349*V1349</f>
        <v>2144</v>
      </c>
      <c r="X1349" s="60">
        <v>4</v>
      </c>
      <c r="Y1349" s="76">
        <f>AV1348</f>
        <v>600</v>
      </c>
      <c r="Z1349" s="59" t="s">
        <v>97</v>
      </c>
      <c r="AA1349" s="59">
        <f>60*60*24*7</f>
        <v>604800</v>
      </c>
      <c r="AB1349" s="60" t="str">
        <f>IF(AA1349&lt;60,"1",IF(AA1349&lt;=43200,"2",IF(AA1349&lt;=777600,"3","4")))</f>
        <v>3</v>
      </c>
      <c r="AC1349" s="56">
        <f>AVERAGE(AV1348:DA1348)</f>
        <v>237750</v>
      </c>
      <c r="AD1349" s="60" t="str">
        <f>IF(AC1349&lt;60,"1",IF(AC1349&lt;=43200,"2",IF(AC1349&lt;=777600,"3","4")))</f>
        <v>3</v>
      </c>
      <c r="AE1349" s="76">
        <f>AA1349-Y1349</f>
        <v>604200</v>
      </c>
      <c r="AF1349" s="80">
        <f>AV1349</f>
        <v>0.42</v>
      </c>
      <c r="AG1349" s="56">
        <f>((AW1349-AV1349)+(AX1349-AW1349)+(AY1349-AX1349))/3</f>
        <v>-4.9999999999999989E-2</v>
      </c>
      <c r="AH1349" s="4"/>
      <c r="AI1349" s="56">
        <f>RSQ(AV1349:AY1349,AV1348:AY1348)</f>
        <v>0.33758938624836254</v>
      </c>
      <c r="AJ1349" s="109">
        <f>SLOPE(AV1349:AY1349,AV1348:AY1348)</f>
        <v>-1.6696935022762501E-7</v>
      </c>
      <c r="AK1349" s="56">
        <f>INTERCEPT(AV1349:AY1349,AV1348:AY1348)</f>
        <v>0.34469696301661784</v>
      </c>
      <c r="AL1349" s="56">
        <f>INDEX(LINEST(LN(AV1349:AY1349),LN(AV1348:AY1348),TRUE,TRUE),3,1)</f>
        <v>0.93100593657617403</v>
      </c>
      <c r="AM1349" s="56">
        <f>INDEX(LINEST(LN(AV1349:AY1349),LN(AV1348:AY1348)),1)</f>
        <v>-7.1014336815257609E-2</v>
      </c>
      <c r="AN1349" s="56">
        <f>EXP(INDEX(LINEST(LN(AV1349:AY1349),LN(AV1348:AY1348)),1,2))</f>
        <v>0.64707743100837178</v>
      </c>
      <c r="AO1349" s="82">
        <f>INDEX(LINEST((AV1349:AY1349),LN(AV1348:AY1348),TRUE,TRUE),3,1)</f>
        <v>0.93256595921018259</v>
      </c>
      <c r="AP1349" s="82">
        <f>INDEX(LINEST((AV1349:AY1349),LN(AV1348:AY1348)),1)</f>
        <v>-2.3954528723934446E-2</v>
      </c>
      <c r="AQ1349" s="83">
        <f>INDEX(LINEST(LN(AV1349:AY1349),SQRT(AV1348:AY1348),TRUE,TRUE),3,1)</f>
        <v>0.60851137945304046</v>
      </c>
      <c r="AR1349" s="116">
        <f>INDEX(LINEST(LN(AV1349:AY1349),SQRT((AV1348:AY1348))),1)</f>
        <v>-5.559223575585633E-4</v>
      </c>
      <c r="AS1349" s="84">
        <f>INDEX(LINEST(1/(AV1349:AY1349),1/(SQRT(AV1348:AY1348)),TRUE,TRUE),3,1)</f>
        <v>0.99021749487552757</v>
      </c>
      <c r="AT1349" s="84">
        <f>INDEX(LINEST(1/(AV1349:AY1349),1/SQRT(AV1348:AY1348)),1)</f>
        <v>-35.449659281439388</v>
      </c>
      <c r="AU1349" s="3"/>
      <c r="AV1349" s="11">
        <v>0.42</v>
      </c>
      <c r="AW1349" s="11">
        <v>0.27</v>
      </c>
      <c r="AX1349" s="11">
        <v>0.26</v>
      </c>
      <c r="AY1349" s="11">
        <v>0.27</v>
      </c>
      <c r="AZ1349" s="11"/>
      <c r="BA1349" s="11"/>
      <c r="BB1349" s="11"/>
      <c r="BC1349" s="11"/>
      <c r="BD1349" s="11"/>
      <c r="BE1349" s="11"/>
      <c r="BF1349" s="11"/>
      <c r="BG1349" s="11"/>
      <c r="BH1349" s="11"/>
      <c r="BI1349" s="11"/>
      <c r="BJ1349" s="11"/>
      <c r="BK1349" s="11"/>
      <c r="BL1349" s="11"/>
      <c r="BM1349" s="11"/>
      <c r="BN1349" s="11"/>
      <c r="BO1349" s="11"/>
      <c r="BP1349" s="11"/>
      <c r="BQ1349" s="11"/>
      <c r="BR1349" s="11"/>
      <c r="BS1349" s="11"/>
      <c r="BT1349" s="11"/>
      <c r="BU1349" s="11"/>
      <c r="BV1349" s="11"/>
      <c r="BW1349" s="11"/>
      <c r="BX1349" s="11"/>
      <c r="BY1349" s="11"/>
      <c r="BZ1349" s="11"/>
      <c r="CA1349" s="11"/>
      <c r="CB1349" s="11"/>
      <c r="CC1349" s="11"/>
      <c r="CD1349" s="11"/>
      <c r="CE1349" s="11"/>
      <c r="CF1349" s="11"/>
      <c r="CG1349" s="11"/>
      <c r="CH1349" s="11"/>
      <c r="CI1349" s="11"/>
      <c r="CJ1349" s="11"/>
      <c r="CK1349" s="11"/>
      <c r="CL1349" s="11"/>
      <c r="CM1349" s="11"/>
      <c r="CN1349" s="11"/>
      <c r="CO1349" s="11"/>
      <c r="CP1349" s="11"/>
      <c r="CQ1349" s="11"/>
      <c r="CR1349" s="15"/>
      <c r="CS1349" s="15"/>
      <c r="CT1349" s="15"/>
      <c r="CU1349" s="15"/>
    </row>
    <row r="1350" spans="1:99" s="13" customFormat="1" ht="12" customHeight="1" x14ac:dyDescent="0.2">
      <c r="A1350" s="68">
        <v>43509</v>
      </c>
      <c r="B1350" s="70"/>
      <c r="C1350" s="70"/>
      <c r="D1350" s="69"/>
      <c r="E1350" s="87"/>
      <c r="F1350" s="69"/>
      <c r="G1350" s="69"/>
      <c r="H1350" s="69"/>
      <c r="I1350" s="69"/>
      <c r="J1350" s="69"/>
      <c r="K1350" s="107"/>
      <c r="L1350" s="107"/>
      <c r="M1350" s="69"/>
      <c r="N1350" s="69"/>
      <c r="O1350" s="69"/>
      <c r="P1350" s="69"/>
      <c r="Q1350" s="69"/>
      <c r="R1350" s="69"/>
      <c r="S1350" s="69"/>
      <c r="T1350" s="69"/>
      <c r="U1350" s="69"/>
      <c r="V1350" s="69"/>
      <c r="W1350" s="69"/>
      <c r="X1350" s="69"/>
      <c r="Y1350" s="87"/>
      <c r="Z1350" s="69"/>
      <c r="AA1350" s="69"/>
      <c r="AB1350" s="69"/>
      <c r="AC1350" s="69"/>
      <c r="AD1350" s="69"/>
      <c r="AE1350" s="69"/>
      <c r="AF1350" s="88"/>
      <c r="AG1350" s="72"/>
      <c r="AH1350" s="4"/>
      <c r="AI1350" s="72"/>
      <c r="AJ1350" s="110"/>
      <c r="AK1350" s="72"/>
      <c r="AL1350" s="72"/>
      <c r="AM1350" s="72"/>
      <c r="AN1350" s="72"/>
      <c r="AO1350" s="72"/>
      <c r="AP1350" s="72"/>
      <c r="AQ1350" s="72"/>
      <c r="AR1350" s="110"/>
      <c r="AS1350" s="72"/>
      <c r="AT1350" s="72"/>
      <c r="AU1350" s="4"/>
      <c r="AV1350" s="71">
        <v>15</v>
      </c>
      <c r="AW1350" s="71">
        <v>300</v>
      </c>
      <c r="AX1350" s="71">
        <v>900</v>
      </c>
      <c r="AY1350" s="71">
        <v>1800</v>
      </c>
      <c r="AZ1350" s="71">
        <v>3600</v>
      </c>
      <c r="BA1350" s="71">
        <v>7200</v>
      </c>
      <c r="BB1350" s="71">
        <v>14400</v>
      </c>
      <c r="BC1350" s="71">
        <v>28800</v>
      </c>
      <c r="BD1350" s="71">
        <v>43200</v>
      </c>
      <c r="BE1350" s="71">
        <v>86400</v>
      </c>
      <c r="BF1350" s="71">
        <v>172800</v>
      </c>
      <c r="BG1350" s="73">
        <v>345600</v>
      </c>
      <c r="BH1350" s="73">
        <v>604800</v>
      </c>
      <c r="BI1350" s="73">
        <v>3628800</v>
      </c>
      <c r="BJ1350" s="2"/>
      <c r="BK1350" s="2"/>
      <c r="BL1350" s="2"/>
      <c r="BM1350" s="2"/>
      <c r="BN1350" s="2"/>
      <c r="BO1350" s="2"/>
      <c r="BP1350" s="2"/>
      <c r="BQ1350" s="2"/>
      <c r="BR1350" s="2"/>
      <c r="BS1350" s="2"/>
      <c r="BT1350" s="2"/>
      <c r="BU1350" s="2"/>
      <c r="BV1350" s="2"/>
      <c r="BW1350" s="2"/>
      <c r="BX1350" s="2"/>
      <c r="BY1350" s="2"/>
      <c r="BZ1350" s="2"/>
      <c r="CA1350" s="2"/>
      <c r="CB1350" s="2"/>
      <c r="CC1350" s="2"/>
      <c r="CD1350" s="2"/>
      <c r="CE1350" s="2"/>
      <c r="CF1350" s="2"/>
      <c r="CG1350" s="2"/>
      <c r="CH1350" s="2"/>
      <c r="CI1350" s="2"/>
      <c r="CJ1350" s="2"/>
      <c r="CK1350" s="2"/>
      <c r="CL1350" s="2"/>
      <c r="CM1350" s="2"/>
      <c r="CN1350" s="2"/>
      <c r="CO1350" s="2"/>
      <c r="CP1350" s="2"/>
      <c r="CQ1350" s="2"/>
      <c r="CR1350" s="1"/>
      <c r="CS1350" s="1"/>
      <c r="CT1350" s="1"/>
      <c r="CU1350" s="1"/>
    </row>
    <row r="1351" spans="1:99" s="13" customFormat="1" ht="12" customHeight="1" x14ac:dyDescent="0.2">
      <c r="A1351" s="68">
        <v>43509</v>
      </c>
      <c r="B1351" s="70" t="s">
        <v>134</v>
      </c>
      <c r="C1351" s="70" t="s">
        <v>135</v>
      </c>
      <c r="D1351" s="69">
        <v>1913</v>
      </c>
      <c r="E1351" s="87">
        <v>1</v>
      </c>
      <c r="F1351" s="69">
        <v>5</v>
      </c>
      <c r="G1351" s="69">
        <v>5</v>
      </c>
      <c r="H1351" s="69" t="s">
        <v>547</v>
      </c>
      <c r="I1351" s="69"/>
      <c r="J1351" s="69" t="s">
        <v>16</v>
      </c>
      <c r="K1351" s="69">
        <f>IF(J1351="syllables",1,IF(J1351="trigrams",2,IF(J1351="strings",3,IF(J1351="visual array",4,IF(J1351="characters",5,IF(J1351="letters",6,IF(J1351="free forms",7,IF(J1351="odors",8,IF(J1351="words",9,IF(J1351="pictures",10,IF(J1351="object pictures",11,IF(J1351="faces",12,IF(J1351="names",13,IF(J1351="idioms",14,IF(J1351="grades",15,IF(J1351="syllable-digit pairs",16,IF(J1351="trigram-word pairs",17,IF(J1351="word-digit pairs",18,IF(J1351="English-Swahili pairs",19,IF(J1351="spatial position",20,IF(J1351="word pairs",21,IF(J1351="word triads",22,IF(J1351="generated words",23,IF(J1351="word definition pairs",24,IF(J1351="math problems",25,IF(J1351="famous faces",26,IF(J1351="famous names",27,IF(J1351="famous voices",28,IF(J1351="television programs",29,IF(J1351="race horses",30,IF(J1351="new vocabulary",31,IF(J1351="sentences",32,IF(J1351="concepts",33,IF(J1351="ad slides",34,IF(J1351="scenes",35,IF(J1351="famous scenes",36,IF(J1351="poems",37,IF(J1351="walk",38,IF(J1351="faces and events",39,IF(J1351="events and names",40,IF(J1351="flashbulb",41,IF(J1351="stories",42,IF(J1351="course material",43,IF(J1351="autobiographical",44,IF(J1351="novels",45,IF(J1351="public events",46,"99"))))))))))))))))))))))))))))))))))))))))))))))</f>
        <v>9</v>
      </c>
      <c r="L1351" s="69">
        <f>IF(J1351="syllables",1,IF(J1351="trigrams",1,IF(J1351="strings",1,IF(J1351="visual array",1,IF(J1351="characters",1,IF(J1351="letters",1,IF(J1351="free forms",1,IF(J1351="odors",2,IF(J1351="words",2,IF(J1351="pictures",2,IF(J1351="object pictures",2,IF(J1351="faces",2,IF(J1351="names",2,IF(J1351="idioms","2",IF(J1351="grades",2,IF(J1351="syllable-digit pairs",3,IF(J1351="trigram-word pairs",3,IF(J1351="word-digit pairs",3,IF(J1351="English-Swahili pairs",3,IF(J1351="spatial position",3,IF(J1351="word pairs",4,IF(J1351="word triads",4,IF(J1351="generated words",4,IF(J1351="word definition pairs",4,IF(J1351="math problems",4,IF(J1351="famous faces",4,IF(J1351="famous names",4,IF(J1351="famous voices",4,IF(J1351="television programs",4,IF(J1351="race horses",4,IF(J1351="new vocabulary",4,IF(J1351="sentences",5,IF(J1351="concepts",5,IF(J1351="ad slides",5,IF(J1351="scenes",5,IF(J1351="famous scenes",5,IF(J1351="poems",6,IF(J1351="walk",6,IF(J1351="faces and events",6,IF(J1351="events and names",6,IF(J1351="flashbulb",7,IF(J1351="stories",7,IF(J1351="course material",7,IF(J1351="autobiographical",7,IF(J1351="novels",7,IF(J1351="public events",7,"99"))))))))))))))))))))))))))))))))))))))))))))))</f>
        <v>2</v>
      </c>
      <c r="M1351" s="69">
        <v>0</v>
      </c>
      <c r="N1351" s="69">
        <v>1</v>
      </c>
      <c r="O1351" s="69">
        <v>1</v>
      </c>
      <c r="P1351" s="69" t="s">
        <v>136</v>
      </c>
      <c r="Q1351" s="69" t="s">
        <v>34</v>
      </c>
      <c r="R1351" s="69">
        <f>IF(Q1351="Free Recall",1,IF(Q1351="Cued Recall",2,IF(Q1351="Recognition",3,IF(Q1351="Multiple Choice",4,IF(Q1351="Savings",5,IF(Q1351="Stem Completion",6,IF(Q1351="Fragment Completion",7,IF(Q1351="anagram solution",8,IF(Q1351="Matching",9,IF(Q1351="Problem Solving",10,"99"))))))))))</f>
        <v>3</v>
      </c>
      <c r="S1351" s="69" t="s">
        <v>15</v>
      </c>
      <c r="T1351" s="92" t="s">
        <v>581</v>
      </c>
      <c r="U1351" s="69">
        <f>IF(T1351="within",1,0)</f>
        <v>1</v>
      </c>
      <c r="V1351" s="92">
        <v>80</v>
      </c>
      <c r="W1351" s="69">
        <f>F1351*V1351</f>
        <v>400</v>
      </c>
      <c r="X1351" s="69">
        <v>14</v>
      </c>
      <c r="Y1351" s="87">
        <f>AV1350</f>
        <v>15</v>
      </c>
      <c r="Z1351" s="69" t="s">
        <v>144</v>
      </c>
      <c r="AA1351" s="69">
        <v>3628800</v>
      </c>
      <c r="AB1351" s="69" t="str">
        <f>IF(AA1351&lt;60,"1",IF(AA1351&lt;=43200,"2",IF(AA1351&lt;=777600,"3","4")))</f>
        <v>4</v>
      </c>
      <c r="AC1351" s="72">
        <f>AVERAGE(AV1350:DA1350)</f>
        <v>352758.21428571426</v>
      </c>
      <c r="AD1351" s="69" t="str">
        <f>IF(AC1351&lt;60,"1",IF(AC1351&lt;=43200,"2",IF(AC1351&lt;=777600,"3","4")))</f>
        <v>3</v>
      </c>
      <c r="AE1351" s="87">
        <f>AA1351-Y1351</f>
        <v>3628785</v>
      </c>
      <c r="AF1351" s="88">
        <f>AV1351</f>
        <v>0.91650000000000009</v>
      </c>
      <c r="AG1351" s="72">
        <f>((AW1351-AV1351)+(AX1351-AW1351)+(AY1351-AX1351)+(AZ1351-AY1351)+(BA1351-AZ1351)+(BB1351-BA1351)+(BC1351-BB1351)+(BD1351-BC1351)+(BE1351-BD1351)+(BF1351-BE1351)+(BG1351-BF1351)+(BH1351-BG1351)+(BI1351-BH1351))/13</f>
        <v>-2.6269230769230781E-2</v>
      </c>
      <c r="AH1351" s="4"/>
      <c r="AI1351" s="72">
        <f>RSQ(AV1351:BI1351,AV1350:BI1350)</f>
        <v>0.28209961534997025</v>
      </c>
      <c r="AJ1351" s="110">
        <f>SLOPE(AV1351:BI1351,AV1350:BI1350)</f>
        <v>-5.7116795328765527E-8</v>
      </c>
      <c r="AK1351" s="72">
        <f>INTERCEPT(AV1351:BI1351,AV1350:BI1350)</f>
        <v>0.74338413301161221</v>
      </c>
      <c r="AL1351" s="72" cm="1">
        <f t="array" ref="AL1351">INDEX(LINEST(LN(AV1351:BI1351),LN(AV1350:BI1350),TRUE,TRUE),3,1)</f>
        <v>0.93736605620198232</v>
      </c>
      <c r="AM1351" s="72" cm="1">
        <f t="array" ref="AM1351">_xlfn.SINGLE(INDEX(LINEST(LN(AV1351:BI1351),LN(AV1350:BI1350)),1))</f>
        <v>-4.1965243581902553E-2</v>
      </c>
      <c r="AN1351" s="72" cm="1">
        <f t="array" ref="AN1351">EXP(INDEX(LINEST(LN(AV1351:BI1351),LN(AV1350:BI1350)),1,2))</f>
        <v>1.0734001202885581</v>
      </c>
      <c r="AO1351" s="89" cm="1">
        <f t="array" ref="AO1351">INDEX(LINEST((AV1351:BI1351),LN(AV1350:BI1350),TRUE,TRUE),3,1)</f>
        <v>0.95317739577770622</v>
      </c>
      <c r="AP1351" s="89" cm="1">
        <f t="array" ref="AP1351">_xlfn.SINGLE(INDEX(LINEST((AV1351:BI1351),LN(AV1350:BI1350)),1))</f>
        <v>-3.0435472314262399E-2</v>
      </c>
      <c r="AQ1351" s="90" cm="1">
        <f t="array" ref="AQ1351">INDEX(LINEST(LN(AV1351:BI1351),SQRT(AV1350:BI1350),TRUE,TRUE),3,1)</f>
        <v>0.58378291252818548</v>
      </c>
      <c r="AR1351" s="117" cm="1">
        <f t="array" ref="AR1351">_xlfn.SINGLE(INDEX(LINEST(LN(AV1351:BI1351),SQRT((AV1350:BI1350))),1))</f>
        <v>-2.1578818390287902E-4</v>
      </c>
      <c r="AS1351" s="91" cm="1">
        <f t="array" ref="AS1351">INDEX(LINEST(1/(AV1351:BI1351),1/(SQRT(AV1350:BI1350)),TRUE,TRUE),3,1)</f>
        <v>0.35993888110918948</v>
      </c>
      <c r="AT1351" s="91" cm="1">
        <f t="array" ref="AT1351">_xlfn.SINGLE(INDEX(LINEST(1/(AV1351:BI1351),1/SQRT(AV1350:BI1350)),1))</f>
        <v>-1.8076078099186463</v>
      </c>
      <c r="AU1351" s="3"/>
      <c r="AV1351" s="73">
        <v>0.91650000000000009</v>
      </c>
      <c r="AW1351" s="73">
        <v>0.86</v>
      </c>
      <c r="AX1351" s="73">
        <v>0.80349999999999999</v>
      </c>
      <c r="AY1351" s="73">
        <v>0.79049999999999998</v>
      </c>
      <c r="AZ1351" s="73">
        <v>0.77649999999999997</v>
      </c>
      <c r="BA1351" s="73">
        <v>0.72</v>
      </c>
      <c r="BB1351" s="73">
        <v>0.76</v>
      </c>
      <c r="BC1351" s="73">
        <v>0.72</v>
      </c>
      <c r="BD1351" s="73">
        <v>0.71700000000000008</v>
      </c>
      <c r="BE1351" s="73">
        <v>0.64</v>
      </c>
      <c r="BF1351" s="73">
        <v>0.64649999999999996</v>
      </c>
      <c r="BG1351" s="73">
        <v>0.62930000000000008</v>
      </c>
      <c r="BH1351" s="73">
        <v>0.57050000000000001</v>
      </c>
      <c r="BI1351" s="73">
        <v>0.57499999999999996</v>
      </c>
      <c r="BJ1351" s="2"/>
      <c r="BK1351" s="2"/>
      <c r="BL1351" s="2"/>
      <c r="BM1351" s="2"/>
      <c r="BN1351" s="2"/>
      <c r="BO1351" s="2"/>
      <c r="BP1351" s="2"/>
      <c r="BQ1351" s="2"/>
      <c r="BR1351" s="2"/>
      <c r="BS1351" s="2"/>
      <c r="BT1351" s="2"/>
      <c r="BU1351" s="2"/>
      <c r="BV1351" s="2"/>
      <c r="BW1351" s="2"/>
      <c r="BX1351" s="2"/>
      <c r="BY1351" s="2"/>
      <c r="BZ1351" s="2"/>
      <c r="CA1351" s="2"/>
      <c r="CB1351" s="2"/>
      <c r="CC1351" s="2"/>
      <c r="CD1351" s="2"/>
      <c r="CE1351" s="2"/>
      <c r="CF1351" s="2"/>
      <c r="CG1351" s="2"/>
      <c r="CH1351" s="2"/>
      <c r="CI1351" s="2"/>
      <c r="CJ1351" s="2"/>
      <c r="CK1351" s="2"/>
      <c r="CL1351" s="2"/>
      <c r="CM1351" s="2"/>
      <c r="CN1351" s="2"/>
      <c r="CO1351" s="2"/>
      <c r="CP1351" s="2"/>
      <c r="CQ1351" s="2"/>
      <c r="CR1351" s="1"/>
      <c r="CS1351" s="1"/>
      <c r="CT1351" s="1"/>
      <c r="CU1351" s="1"/>
    </row>
    <row r="1352" spans="1:99" s="13" customFormat="1" ht="12" customHeight="1" x14ac:dyDescent="0.2">
      <c r="A1352" s="65">
        <v>43897</v>
      </c>
      <c r="B1352" s="22"/>
      <c r="C1352" s="22"/>
      <c r="D1352" s="66"/>
      <c r="E1352" s="76"/>
      <c r="F1352" s="60"/>
      <c r="G1352" s="60"/>
      <c r="H1352" s="60"/>
      <c r="I1352" s="60"/>
      <c r="J1352" s="60"/>
      <c r="K1352" s="64"/>
      <c r="L1352" s="64"/>
      <c r="M1352" s="60"/>
      <c r="N1352" s="61"/>
      <c r="O1352" s="60"/>
      <c r="P1352" s="60"/>
      <c r="Q1352" s="60"/>
      <c r="R1352" s="60"/>
      <c r="S1352" s="60"/>
      <c r="T1352" s="59"/>
      <c r="U1352" s="60"/>
      <c r="V1352" s="59"/>
      <c r="W1352" s="60"/>
      <c r="X1352" s="60"/>
      <c r="Y1352" s="76"/>
      <c r="Z1352" s="59"/>
      <c r="AA1352" s="59"/>
      <c r="AB1352" s="60"/>
      <c r="AC1352" s="56"/>
      <c r="AD1352" s="60"/>
      <c r="AE1352" s="60"/>
      <c r="AF1352" s="80"/>
      <c r="AG1352" s="56"/>
      <c r="AH1352" s="4"/>
      <c r="AI1352" s="56"/>
      <c r="AJ1352" s="109"/>
      <c r="AK1352" s="56"/>
      <c r="AL1352" s="56"/>
      <c r="AM1352" s="56"/>
      <c r="AN1352" s="56"/>
      <c r="AO1352" s="82"/>
      <c r="AP1352" s="82"/>
      <c r="AQ1352" s="83"/>
      <c r="AR1352" s="116"/>
      <c r="AS1352" s="84"/>
      <c r="AT1352" s="84"/>
      <c r="AU1352" s="3"/>
      <c r="AV1352" s="25">
        <v>315360000</v>
      </c>
      <c r="AW1352" s="25">
        <v>630720000</v>
      </c>
      <c r="AX1352" s="25">
        <v>646080000</v>
      </c>
      <c r="AY1352" s="25">
        <v>12614400000</v>
      </c>
      <c r="AZ1352" s="25">
        <v>1576800000</v>
      </c>
      <c r="BA1352" s="42"/>
      <c r="BB1352" s="42"/>
      <c r="BC1352" s="30"/>
      <c r="BD1352" s="30"/>
      <c r="BE1352" s="30"/>
      <c r="BF1352" s="30"/>
      <c r="BG1352" s="30"/>
      <c r="BH1352" s="30"/>
      <c r="BI1352" s="30"/>
      <c r="BJ1352" s="30"/>
      <c r="BK1352" s="30"/>
      <c r="BL1352" s="30"/>
      <c r="BM1352" s="30"/>
      <c r="BN1352" s="30"/>
      <c r="BO1352" s="30"/>
      <c r="BP1352" s="30"/>
      <c r="BQ1352" s="30"/>
      <c r="BR1352" s="30"/>
      <c r="BS1352" s="30"/>
      <c r="BT1352" s="30"/>
      <c r="BU1352" s="30"/>
      <c r="BV1352" s="30"/>
      <c r="BW1352" s="30"/>
      <c r="BX1352" s="30"/>
      <c r="BY1352" s="30"/>
      <c r="BZ1352" s="30"/>
      <c r="CA1352" s="30"/>
      <c r="CB1352" s="30"/>
      <c r="CC1352" s="30"/>
      <c r="CD1352" s="30"/>
      <c r="CE1352" s="30"/>
      <c r="CF1352" s="30"/>
      <c r="CG1352" s="30"/>
      <c r="CH1352" s="30"/>
      <c r="CI1352" s="30"/>
      <c r="CJ1352" s="30"/>
      <c r="CK1352" s="30"/>
      <c r="CL1352" s="30"/>
      <c r="CM1352" s="30"/>
      <c r="CN1352" s="30"/>
      <c r="CO1352" s="30"/>
      <c r="CP1352" s="30"/>
      <c r="CQ1352" s="30"/>
      <c r="CR1352" s="1"/>
      <c r="CS1352" s="1"/>
      <c r="CT1352" s="1"/>
      <c r="CU1352" s="1"/>
    </row>
    <row r="1353" spans="1:99" s="13" customFormat="1" ht="12" customHeight="1" x14ac:dyDescent="0.2">
      <c r="A1353" s="65">
        <v>43897</v>
      </c>
      <c r="B1353" s="22" t="s">
        <v>414</v>
      </c>
      <c r="C1353" s="22" t="s">
        <v>408</v>
      </c>
      <c r="D1353" s="66">
        <v>1988</v>
      </c>
      <c r="E1353" s="75">
        <v>1</v>
      </c>
      <c r="F1353" s="60">
        <v>3</v>
      </c>
      <c r="G1353" s="60">
        <v>3</v>
      </c>
      <c r="H1353" s="60" t="s">
        <v>341</v>
      </c>
      <c r="I1353" s="60" t="s">
        <v>330</v>
      </c>
      <c r="J1353" s="60" t="s">
        <v>340</v>
      </c>
      <c r="K1353" s="60">
        <f>IF(J1353="syllables",1,IF(J1353="trigrams",2,IF(J1353="strings",3,IF(J1353="visual array",4,IF(J1353="characters",5,IF(J1353="letters",6,IF(J1353="free forms",7,IF(J1353="odors",8,IF(J1353="words",9,IF(J1353="pictures",10,IF(J1353="object pictures",11,IF(J1353="faces",12,IF(J1353="names",13,IF(J1353="idioms",14,IF(J1353="grades",15,IF(J1353="syllable-digit pairs",16,IF(J1353="trigram-word pairs",17,IF(J1353="word-digit pairs",18,IF(J1353="English-Swahili pairs",19,IF(J1353="spatial position",20,IF(J1353="word pairs",21,IF(J1353="word triads",22,IF(J1353="generated words",23,IF(J1353="word definition pairs",24,IF(J1353="math problems",25,IF(J1353="famous faces",26,IF(J1353="famous names",27,IF(J1353="famous voices",28,IF(J1353="television programs",29,IF(J1353="race horses",30,IF(J1353="new vocabulary",31,IF(J1353="sentences",32,IF(J1353="concepts",33,IF(J1353="ad slides",34,IF(J1353="scenes",35,IF(J1353="famous scenes",36,IF(J1353="poems",37,IF(J1353="walk",38,IF(J1353="faces and events",39,IF(J1353="events and names",40,IF(J1353="flashbulb",41,IF(J1353="stories",42,IF(J1353="course material",43,IF(J1353="autobiographical",44,IF(J1353="novels",45,IF(J1353="public events",46,"99"))))))))))))))))))))))))))))))))))))))))))))))</f>
        <v>46</v>
      </c>
      <c r="L1353" s="60">
        <f>IF(J1353="syllables",1,IF(J1353="trigrams",1,IF(J1353="strings",1,IF(J1353="visual array",1,IF(J1353="characters",1,IF(J1353="letters",1,IF(J1353="free forms",1,IF(J1353="odors",2,IF(J1353="words",2,IF(J1353="pictures",2,IF(J1353="object pictures",2,IF(J1353="faces",2,IF(J1353="names",2,IF(J1353="idioms","2",IF(J1353="grades",2,IF(J1353="syllable-digit pairs",3,IF(J1353="trigram-word pairs",3,IF(J1353="word-digit pairs",3,IF(J1353="English-Swahili pairs",3,IF(J1353="spatial position",3,IF(J1353="word pairs",4,IF(J1353="word triads",4,IF(J1353="generated words",4,IF(J1353="word definition pairs",4,IF(J1353="math problems",4,IF(J1353="famous faces",4,IF(J1353="famous names",4,IF(J1353="famous voices",4,IF(J1353="television programs",4,IF(J1353="race horses",4,IF(J1353="new vocabulary",4,IF(J1353="sentences",5,IF(J1353="concepts",5,IF(J1353="ad slides",5,IF(J1353="scenes",5,IF(J1353="famous scenes",5,IF(J1353="poems",6,IF(J1353="walk",6,IF(J1353="faces and events",6,IF(J1353="events and names",6,IF(J1353="flashbulb",7,IF(J1353="stories",7,IF(J1353="course material",7,IF(J1353="autobiographical",7,IF(J1353="novels",7,IF(J1353="public events",7,"99"))))))))))))))))))))))))))))))))))))))))))))))</f>
        <v>7</v>
      </c>
      <c r="M1353" s="60">
        <v>1</v>
      </c>
      <c r="N1353" s="61">
        <v>4</v>
      </c>
      <c r="O1353" s="60">
        <v>0</v>
      </c>
      <c r="P1353" s="60"/>
      <c r="Q1353" s="60" t="s">
        <v>174</v>
      </c>
      <c r="R1353" s="60">
        <f>IF(Q1353="Free Recall",1,IF(Q1353="Cued Recall",2,IF(Q1353="Recognition",3,IF(Q1353="Multiple Choice",4,IF(Q1353="Savings",5,IF(Q1353="Stem Completion",6,IF(Q1353="Fragment Completion",7,IF(Q1353="anagram solution",8,IF(Q1353="Matching",9,IF(Q1353="Problem Solving",10,"99"))))))))))</f>
        <v>1</v>
      </c>
      <c r="S1353" s="60" t="s">
        <v>15</v>
      </c>
      <c r="T1353" s="59" t="s">
        <v>581</v>
      </c>
      <c r="U1353" s="60">
        <f>IF(T1353="within",1,0)</f>
        <v>1</v>
      </c>
      <c r="V1353" s="59">
        <v>50</v>
      </c>
      <c r="W1353" s="60">
        <f>F1353*V1353</f>
        <v>150</v>
      </c>
      <c r="X1353" s="60">
        <v>5</v>
      </c>
      <c r="Y1353" s="76">
        <f>AV1352</f>
        <v>315360000</v>
      </c>
      <c r="Z1353" s="60" t="s">
        <v>209</v>
      </c>
      <c r="AA1353" s="60">
        <f>50*365*24*60*60</f>
        <v>1576800000</v>
      </c>
      <c r="AB1353" s="60" t="str">
        <f>IF(AA1353&lt;60,"1",IF(AA1353&lt;=43200,"2",IF(AA1353&lt;=777600,"3","4")))</f>
        <v>4</v>
      </c>
      <c r="AC1353" s="56">
        <f>AVERAGE(AV1352:DA1352)</f>
        <v>3156672000</v>
      </c>
      <c r="AD1353" s="60" t="str">
        <f>IF(AC1353&lt;60,"1",IF(AC1353&lt;=43200,"2",IF(AC1353&lt;=777600,"3","4")))</f>
        <v>4</v>
      </c>
      <c r="AE1353" s="76">
        <f>AA1353-Y1353</f>
        <v>1261440000</v>
      </c>
      <c r="AF1353" s="80">
        <f>AV1353</f>
        <v>0.3</v>
      </c>
      <c r="AG1353" s="56">
        <f>((AW1353-AV1353)+(AX1353-AW1353)+(AY1353-AX1353)+(AZ1353-AY1353))/4</f>
        <v>1.0000000000000009E-2</v>
      </c>
      <c r="AH1353" s="4"/>
      <c r="AI1353" s="56">
        <f>RSQ(AV1353:AZ1353,AV1352:AZ1352)</f>
        <v>0.82500499093228152</v>
      </c>
      <c r="AJ1353" s="109">
        <f>SLOPE(AV1353:AZ1353,AV1352:AZ1352)</f>
        <v>1.9184995528974088E-11</v>
      </c>
      <c r="AK1353" s="56">
        <f>INTERCEPT(AV1353:AZ1353,AV1352:AZ1352)</f>
        <v>0.32743926179356231</v>
      </c>
      <c r="AL1353" s="56">
        <f>INDEX(LINEST(LN(AV1353:AZ1353),LN(AV1352:AZ1352),TRUE,TRUE),3,1)</f>
        <v>0.72866454880657083</v>
      </c>
      <c r="AM1353" s="56">
        <f>INDEX(LINEST(LN(AV1353:AZ1353),LN(AV1352:AZ1352)),1)</f>
        <v>0.15885837948113676</v>
      </c>
      <c r="AN1353" s="56">
        <f>EXP(INDEX(LINEST(LN(AV1353:AZ1353),LN(AV1352:AZ1352)),1,2))</f>
        <v>1.358759265996054E-2</v>
      </c>
      <c r="AO1353" s="82">
        <f>INDEX(LINEST((AV1353:AZ1353),LN(AV1352:AZ1352),TRUE,TRUE),3,1)</f>
        <v>0.76237215537663439</v>
      </c>
      <c r="AP1353" s="82">
        <f>INDEX(LINEST((AV1353:AZ1353),LN(AV1352:AZ1352)),1)</f>
        <v>6.8405971456555303E-2</v>
      </c>
      <c r="AQ1353" s="83">
        <f>INDEX(LINEST(LN(AV1353:AZ1353),SQRT(AV1352:AZ1352),TRUE,TRUE),3,1)</f>
        <v>0.76340566157350542</v>
      </c>
      <c r="AR1353" s="116">
        <f>INDEX(LINEST(LN(AV1353:AZ1353),SQRT((AV1352:AZ1352))),1)</f>
        <v>5.970501461975914E-6</v>
      </c>
      <c r="AS1353" s="84">
        <f>INDEX(LINEST(1/(AV1353:AZ1353),1/(SQRT(AV1352:AZ1352)),TRUE,TRUE),3,1)</f>
        <v>0.61483880185174211</v>
      </c>
      <c r="AT1353" s="84">
        <f>INDEX(LINEST(1/(AV1353:AZ1353),1/SQRT(AV1352:AZ1352)),1)</f>
        <v>28949.941995064579</v>
      </c>
      <c r="AU1353" s="3"/>
      <c r="AV1353" s="53">
        <v>0.3</v>
      </c>
      <c r="AW1353" s="53">
        <v>0.42</v>
      </c>
      <c r="AX1353" s="53">
        <v>0.31</v>
      </c>
      <c r="AY1353" s="53">
        <v>0.56999999999999995</v>
      </c>
      <c r="AZ1353" s="53">
        <v>0.34</v>
      </c>
      <c r="BA1353" s="42"/>
      <c r="BB1353" s="42"/>
      <c r="BC1353" s="30"/>
      <c r="BD1353" s="30"/>
      <c r="BE1353" s="30"/>
      <c r="BF1353" s="30"/>
      <c r="BG1353" s="30"/>
      <c r="BH1353" s="30"/>
      <c r="BI1353" s="30"/>
      <c r="BJ1353" s="30"/>
      <c r="BK1353" s="30"/>
      <c r="BL1353" s="30"/>
      <c r="BM1353" s="30"/>
      <c r="BN1353" s="30"/>
      <c r="BO1353" s="30"/>
      <c r="BP1353" s="30"/>
      <c r="BQ1353" s="30"/>
      <c r="BR1353" s="30"/>
      <c r="BS1353" s="30"/>
      <c r="BT1353" s="30"/>
      <c r="BU1353" s="30"/>
      <c r="BV1353" s="30"/>
      <c r="BW1353" s="30"/>
      <c r="BX1353" s="30"/>
      <c r="BY1353" s="30"/>
      <c r="BZ1353" s="30"/>
      <c r="CA1353" s="30"/>
      <c r="CB1353" s="30"/>
      <c r="CC1353" s="30"/>
      <c r="CD1353" s="30"/>
      <c r="CE1353" s="30"/>
      <c r="CF1353" s="30"/>
      <c r="CG1353" s="30"/>
      <c r="CH1353" s="30"/>
      <c r="CI1353" s="30"/>
      <c r="CJ1353" s="30"/>
      <c r="CK1353" s="30"/>
      <c r="CL1353" s="30"/>
      <c r="CM1353" s="30"/>
      <c r="CN1353" s="30"/>
      <c r="CO1353" s="30"/>
      <c r="CP1353" s="30"/>
      <c r="CQ1353" s="30"/>
      <c r="CR1353" s="1"/>
      <c r="CS1353" s="1"/>
      <c r="CT1353" s="1"/>
      <c r="CU1353" s="1"/>
    </row>
    <row r="1354" spans="1:99" s="13" customFormat="1" ht="12" customHeight="1" x14ac:dyDescent="0.2">
      <c r="A1354" s="65">
        <v>43897</v>
      </c>
      <c r="B1354" s="22"/>
      <c r="C1354" s="22"/>
      <c r="D1354" s="66"/>
      <c r="E1354" s="76"/>
      <c r="F1354" s="60"/>
      <c r="G1354" s="60"/>
      <c r="H1354" s="60"/>
      <c r="I1354" s="60"/>
      <c r="J1354" s="60"/>
      <c r="K1354" s="64"/>
      <c r="L1354" s="64"/>
      <c r="M1354" s="60"/>
      <c r="N1354" s="61"/>
      <c r="O1354" s="60"/>
      <c r="P1354" s="60"/>
      <c r="Q1354" s="60"/>
      <c r="R1354" s="60"/>
      <c r="S1354" s="60"/>
      <c r="T1354" s="59"/>
      <c r="U1354" s="60"/>
      <c r="V1354" s="59"/>
      <c r="W1354" s="60"/>
      <c r="X1354" s="60"/>
      <c r="Y1354" s="76"/>
      <c r="Z1354" s="59"/>
      <c r="AA1354" s="59"/>
      <c r="AB1354" s="60"/>
      <c r="AC1354" s="56"/>
      <c r="AD1354" s="60"/>
      <c r="AE1354" s="60"/>
      <c r="AF1354" s="80"/>
      <c r="AG1354" s="56"/>
      <c r="AH1354" s="4"/>
      <c r="AI1354" s="56"/>
      <c r="AJ1354" s="109"/>
      <c r="AK1354" s="56"/>
      <c r="AL1354" s="56"/>
      <c r="AM1354" s="56"/>
      <c r="AN1354" s="56"/>
      <c r="AO1354" s="82"/>
      <c r="AP1354" s="82"/>
      <c r="AQ1354" s="83"/>
      <c r="AR1354" s="116"/>
      <c r="AS1354" s="84"/>
      <c r="AT1354" s="84"/>
      <c r="AU1354" s="3"/>
      <c r="AV1354" s="25">
        <v>315360000</v>
      </c>
      <c r="AW1354" s="25">
        <v>630720000</v>
      </c>
      <c r="AX1354" s="25">
        <v>646080000</v>
      </c>
      <c r="AY1354" s="25">
        <v>12614400000</v>
      </c>
      <c r="AZ1354" s="25">
        <v>1576800000</v>
      </c>
      <c r="BA1354" s="53"/>
      <c r="BB1354" s="53"/>
      <c r="BC1354" s="53"/>
      <c r="BD1354" s="53"/>
      <c r="BE1354" s="53"/>
      <c r="BF1354" s="53"/>
      <c r="BG1354" s="53"/>
      <c r="BH1354" s="53"/>
      <c r="BI1354" s="53"/>
      <c r="BJ1354" s="53"/>
      <c r="BK1354" s="53"/>
      <c r="BL1354" s="53"/>
      <c r="BM1354" s="53"/>
      <c r="BN1354" s="53"/>
      <c r="BO1354" s="53"/>
      <c r="BP1354" s="53"/>
      <c r="BQ1354" s="53"/>
      <c r="BR1354" s="53"/>
      <c r="BS1354" s="53"/>
      <c r="BT1354" s="53"/>
      <c r="BU1354" s="53"/>
      <c r="BV1354" s="53"/>
      <c r="BW1354" s="53"/>
      <c r="BX1354" s="53"/>
      <c r="BY1354" s="53"/>
      <c r="BZ1354" s="53"/>
      <c r="CA1354" s="53"/>
      <c r="CB1354" s="53"/>
      <c r="CC1354" s="53"/>
      <c r="CD1354" s="53"/>
      <c r="CE1354" s="53"/>
      <c r="CF1354" s="53"/>
      <c r="CG1354" s="53"/>
      <c r="CH1354" s="53"/>
      <c r="CI1354" s="53"/>
      <c r="CJ1354" s="53"/>
      <c r="CK1354" s="53"/>
      <c r="CL1354" s="53"/>
      <c r="CM1354" s="53"/>
      <c r="CN1354" s="53"/>
      <c r="CO1354" s="53"/>
      <c r="CP1354" s="53"/>
      <c r="CQ1354" s="53"/>
      <c r="CR1354" s="1"/>
      <c r="CS1354" s="1"/>
      <c r="CT1354" s="1"/>
      <c r="CU1354" s="1"/>
    </row>
    <row r="1355" spans="1:99" s="13" customFormat="1" ht="12" customHeight="1" x14ac:dyDescent="0.2">
      <c r="A1355" s="65">
        <v>43897</v>
      </c>
      <c r="B1355" s="22" t="s">
        <v>414</v>
      </c>
      <c r="C1355" s="22" t="s">
        <v>408</v>
      </c>
      <c r="D1355" s="66">
        <v>1988</v>
      </c>
      <c r="E1355" s="75">
        <v>1</v>
      </c>
      <c r="F1355" s="60">
        <v>3</v>
      </c>
      <c r="G1355" s="60">
        <v>3</v>
      </c>
      <c r="H1355" s="60" t="s">
        <v>341</v>
      </c>
      <c r="I1355" s="60" t="s">
        <v>330</v>
      </c>
      <c r="J1355" s="60" t="s">
        <v>340</v>
      </c>
      <c r="K1355" s="60">
        <f>IF(J1355="syllables",1,IF(J1355="trigrams",2,IF(J1355="strings",3,IF(J1355="visual array",4,IF(J1355="characters",5,IF(J1355="letters",6,IF(J1355="free forms",7,IF(J1355="odors",8,IF(J1355="words",9,IF(J1355="pictures",10,IF(J1355="object pictures",11,IF(J1355="faces",12,IF(J1355="names",13,IF(J1355="idioms",14,IF(J1355="grades",15,IF(J1355="syllable-digit pairs",16,IF(J1355="trigram-word pairs",17,IF(J1355="word-digit pairs",18,IF(J1355="English-Swahili pairs",19,IF(J1355="spatial position",20,IF(J1355="word pairs",21,IF(J1355="word triads",22,IF(J1355="generated words",23,IF(J1355="word definition pairs",24,IF(J1355="math problems",25,IF(J1355="famous faces",26,IF(J1355="famous names",27,IF(J1355="famous voices",28,IF(J1355="television programs",29,IF(J1355="race horses",30,IF(J1355="new vocabulary",31,IF(J1355="sentences",32,IF(J1355="concepts",33,IF(J1355="ad slides",34,IF(J1355="scenes",35,IF(J1355="famous scenes",36,IF(J1355="poems",37,IF(J1355="walk",38,IF(J1355="faces and events",39,IF(J1355="events and names",40,IF(J1355="flashbulb",41,IF(J1355="stories",42,IF(J1355="course material",43,IF(J1355="autobiographical",44,IF(J1355="novels",45,IF(J1355="public events",46,"99"))))))))))))))))))))))))))))))))))))))))))))))</f>
        <v>46</v>
      </c>
      <c r="L1355" s="60">
        <f>IF(J1355="syllables",1,IF(J1355="trigrams",1,IF(J1355="strings",1,IF(J1355="visual array",1,IF(J1355="characters",1,IF(J1355="letters",1,IF(J1355="free forms",1,IF(J1355="odors",2,IF(J1355="words",2,IF(J1355="pictures",2,IF(J1355="object pictures",2,IF(J1355="faces",2,IF(J1355="names",2,IF(J1355="idioms","2",IF(J1355="grades",2,IF(J1355="syllable-digit pairs",3,IF(J1355="trigram-word pairs",3,IF(J1355="word-digit pairs",3,IF(J1355="English-Swahili pairs",3,IF(J1355="spatial position",3,IF(J1355="word pairs",4,IF(J1355="word triads",4,IF(J1355="generated words",4,IF(J1355="word definition pairs",4,IF(J1355="math problems",4,IF(J1355="famous faces",4,IF(J1355="famous names",4,IF(J1355="famous voices",4,IF(J1355="television programs",4,IF(J1355="race horses",4,IF(J1355="new vocabulary",4,IF(J1355="sentences",5,IF(J1355="concepts",5,IF(J1355="ad slides",5,IF(J1355="scenes",5,IF(J1355="famous scenes",5,IF(J1355="poems",6,IF(J1355="walk",6,IF(J1355="faces and events",6,IF(J1355="events and names",6,IF(J1355="flashbulb",7,IF(J1355="stories",7,IF(J1355="course material",7,IF(J1355="autobiographical",7,IF(J1355="novels",7,IF(J1355="public events",7,"99"))))))))))))))))))))))))))))))))))))))))))))))</f>
        <v>7</v>
      </c>
      <c r="M1355" s="60">
        <v>1</v>
      </c>
      <c r="N1355" s="61">
        <v>4</v>
      </c>
      <c r="O1355" s="60">
        <v>0</v>
      </c>
      <c r="P1355" s="60"/>
      <c r="Q1355" s="60" t="s">
        <v>182</v>
      </c>
      <c r="R1355" s="60">
        <f>IF(Q1355="Free Recall",1,IF(Q1355="Cued Recall",2,IF(Q1355="Recognition",3,IF(Q1355="Multiple Choice",4,IF(Q1355="Savings",5,IF(Q1355="Stem Completion",6,IF(Q1355="Fragment Completion",7,IF(Q1355="anagram solution",8,IF(Q1355="Matching",9,IF(Q1355="Problem Solving",10,"99"))))))))))</f>
        <v>4</v>
      </c>
      <c r="S1355" s="60" t="s">
        <v>15</v>
      </c>
      <c r="T1355" s="59" t="s">
        <v>581</v>
      </c>
      <c r="U1355" s="60">
        <f>IF(T1355="within",1,0)</f>
        <v>1</v>
      </c>
      <c r="V1355" s="59">
        <v>50</v>
      </c>
      <c r="W1355" s="60">
        <f>F1355*V1355</f>
        <v>150</v>
      </c>
      <c r="X1355" s="60">
        <v>5</v>
      </c>
      <c r="Y1355" s="76">
        <f>AV1354</f>
        <v>315360000</v>
      </c>
      <c r="Z1355" s="60" t="s">
        <v>209</v>
      </c>
      <c r="AA1355" s="60">
        <f>50*365*24*60*60</f>
        <v>1576800000</v>
      </c>
      <c r="AB1355" s="60" t="str">
        <f>IF(AA1355&lt;60,"1",IF(AA1355&lt;=43200,"2",IF(AA1355&lt;=777600,"3","4")))</f>
        <v>4</v>
      </c>
      <c r="AC1355" s="56">
        <f>AVERAGE(AV1354:DA1354)</f>
        <v>3156672000</v>
      </c>
      <c r="AD1355" s="60" t="str">
        <f>IF(AC1355&lt;60,"1",IF(AC1355&lt;=43200,"2",IF(AC1355&lt;=777600,"3","4")))</f>
        <v>4</v>
      </c>
      <c r="AE1355" s="76">
        <f>AA1355-Y1355</f>
        <v>1261440000</v>
      </c>
      <c r="AF1355" s="80">
        <f>AV1355</f>
        <v>0.60606060606060608</v>
      </c>
      <c r="AG1355" s="56">
        <f>((AW1355-AV1355)+(AX1355-AW1355)+(AY1355-AX1355)+(AZ1355-AY1355))/4</f>
        <v>2.6515151515151492E-2</v>
      </c>
      <c r="AH1355" s="4"/>
      <c r="AI1355" s="56">
        <f>RSQ(AV1355:AZ1355,AV1354:AZ1354)</f>
        <v>0.75261764847860724</v>
      </c>
      <c r="AJ1355" s="109">
        <f>SLOPE(AV1355:AZ1355,AV1354:AZ1354)</f>
        <v>1.4241898970520241E-11</v>
      </c>
      <c r="AK1355" s="56">
        <f>INTERCEPT(AV1355:AZ1355,AV1354:AZ1354)</f>
        <v>0.64596680932200601</v>
      </c>
      <c r="AL1355" s="56">
        <f>INDEX(LINEST(LN(AV1355:AZ1355),LN(AV1354:AZ1354),TRUE,TRUE),3,1)</f>
        <v>0.84934276564552069</v>
      </c>
      <c r="AM1355" s="56">
        <f>INDEX(LINEST(LN(AV1355:AZ1355),LN(AV1354:AZ1354)),1)</f>
        <v>7.9688611443687538E-2</v>
      </c>
      <c r="AN1355" s="56">
        <f>EXP(INDEX(LINEST(LN(AV1355:AZ1355),LN(AV1354:AZ1354)),1,2))</f>
        <v>0.12973102405955175</v>
      </c>
      <c r="AO1355" s="82">
        <f>INDEX(LINEST((AV1355:AZ1355),LN(AV1354:AZ1354),TRUE,TRUE),3,1)</f>
        <v>0.8737571124847886</v>
      </c>
      <c r="AP1355" s="82">
        <f>INDEX(LINEST((AV1355:AZ1355),LN(AV1354:AZ1354)),1)</f>
        <v>5.6918461296771986E-2</v>
      </c>
      <c r="AQ1355" s="83">
        <f>INDEX(LINEST(LN(AV1355:AZ1355),SQRT(AV1354:AZ1354),TRUE,TRUE),3,1)</f>
        <v>0.77701973679895242</v>
      </c>
      <c r="AR1355" s="116">
        <f>INDEX(LINEST(LN(AV1355:AZ1355),SQRT((AV1354:AZ1354))),1)</f>
        <v>2.7987080803824117E-6</v>
      </c>
      <c r="AS1355" s="84">
        <f>INDEX(LINEST(1/(AV1355:AZ1355),1/(SQRT(AV1354:AZ1354)),TRUE,TRUE),3,1)</f>
        <v>0.82964728090234063</v>
      </c>
      <c r="AT1355" s="84">
        <f>INDEX(LINEST(1/(AV1355:AZ1355),1/SQRT(AV1354:AZ1354)),1)</f>
        <v>9076.2796080477729</v>
      </c>
      <c r="AU1355" s="3"/>
      <c r="AV1355" s="53">
        <v>0.60606060606060608</v>
      </c>
      <c r="AW1355" s="53">
        <v>0.7</v>
      </c>
      <c r="AX1355" s="53">
        <v>0.61538461538461542</v>
      </c>
      <c r="AY1355" s="53">
        <v>0.82105263157894748</v>
      </c>
      <c r="AZ1355" s="53">
        <v>0.71212121212121204</v>
      </c>
      <c r="BA1355" s="53"/>
      <c r="BB1355" s="53"/>
      <c r="BC1355" s="53"/>
      <c r="BD1355" s="53"/>
      <c r="BE1355" s="53"/>
      <c r="BF1355" s="53"/>
      <c r="BG1355" s="53"/>
      <c r="BH1355" s="53"/>
      <c r="BI1355" s="53"/>
      <c r="BJ1355" s="53"/>
      <c r="BK1355" s="53"/>
      <c r="BL1355" s="53"/>
      <c r="BM1355" s="53"/>
      <c r="BN1355" s="53"/>
      <c r="BO1355" s="53"/>
      <c r="BP1355" s="53"/>
      <c r="BQ1355" s="53"/>
      <c r="BR1355" s="53"/>
      <c r="BS1355" s="53"/>
      <c r="BT1355" s="53"/>
      <c r="BU1355" s="53"/>
      <c r="BV1355" s="53"/>
      <c r="BW1355" s="53"/>
      <c r="BX1355" s="53"/>
      <c r="BY1355" s="53"/>
      <c r="BZ1355" s="53"/>
      <c r="CA1355" s="53"/>
      <c r="CB1355" s="53"/>
      <c r="CC1355" s="53"/>
      <c r="CD1355" s="53"/>
      <c r="CE1355" s="53"/>
      <c r="CF1355" s="53"/>
      <c r="CG1355" s="53"/>
      <c r="CH1355" s="53"/>
      <c r="CI1355" s="53"/>
      <c r="CJ1355" s="53"/>
      <c r="CK1355" s="53"/>
      <c r="CL1355" s="53"/>
      <c r="CM1355" s="53"/>
      <c r="CN1355" s="53"/>
      <c r="CO1355" s="53"/>
      <c r="CP1355" s="53"/>
      <c r="CQ1355" s="53"/>
      <c r="CR1355" s="1"/>
      <c r="CS1355" s="1"/>
      <c r="CT1355" s="1"/>
      <c r="CU1355" s="1"/>
    </row>
    <row r="1356" spans="1:99" s="13" customFormat="1" ht="12" customHeight="1" x14ac:dyDescent="0.2">
      <c r="A1356" s="68">
        <v>43509</v>
      </c>
      <c r="B1356" s="70"/>
      <c r="C1356" s="70"/>
      <c r="D1356" s="69"/>
      <c r="E1356" s="87"/>
      <c r="F1356" s="69"/>
      <c r="G1356" s="69"/>
      <c r="H1356" s="69"/>
      <c r="I1356" s="69"/>
      <c r="J1356" s="69"/>
      <c r="K1356" s="107"/>
      <c r="L1356" s="107"/>
      <c r="M1356" s="69"/>
      <c r="N1356" s="69"/>
      <c r="O1356" s="69"/>
      <c r="P1356" s="69"/>
      <c r="Q1356" s="69"/>
      <c r="R1356" s="69"/>
      <c r="S1356" s="69"/>
      <c r="T1356" s="69"/>
      <c r="U1356" s="69"/>
      <c r="V1356" s="69"/>
      <c r="W1356" s="69"/>
      <c r="X1356" s="69"/>
      <c r="Y1356" s="87"/>
      <c r="Z1356" s="69"/>
      <c r="AA1356" s="69"/>
      <c r="AB1356" s="69"/>
      <c r="AC1356" s="69"/>
      <c r="AD1356" s="69"/>
      <c r="AE1356" s="69"/>
      <c r="AF1356" s="88"/>
      <c r="AG1356" s="72"/>
      <c r="AH1356" s="4"/>
      <c r="AI1356" s="72"/>
      <c r="AJ1356" s="110"/>
      <c r="AK1356" s="72"/>
      <c r="AL1356" s="72"/>
      <c r="AM1356" s="72"/>
      <c r="AN1356" s="72"/>
      <c r="AO1356" s="72"/>
      <c r="AP1356" s="72"/>
      <c r="AQ1356" s="72"/>
      <c r="AR1356" s="110"/>
      <c r="AS1356" s="72"/>
      <c r="AT1356" s="72"/>
      <c r="AU1356" s="4"/>
      <c r="AV1356" s="71">
        <f>24*60*60</f>
        <v>86400</v>
      </c>
      <c r="AW1356" s="71">
        <f>2*24*60*60</f>
        <v>172800</v>
      </c>
      <c r="AX1356" s="71">
        <f>30*24*60*60</f>
        <v>2592000</v>
      </c>
      <c r="AY1356" s="71">
        <f>90*24*60*60</f>
        <v>7776000</v>
      </c>
      <c r="AZ1356" s="46"/>
      <c r="BA1356" s="42"/>
      <c r="BB1356" s="42"/>
      <c r="BC1356" s="2"/>
      <c r="BD1356" s="2"/>
      <c r="BE1356" s="2"/>
      <c r="BF1356" s="2"/>
      <c r="BG1356" s="2"/>
      <c r="BH1356" s="2"/>
      <c r="BI1356" s="2"/>
      <c r="BJ1356" s="2"/>
      <c r="BK1356" s="2"/>
      <c r="BL1356" s="2"/>
      <c r="BM1356" s="2"/>
      <c r="BN1356" s="2"/>
      <c r="BO1356" s="2"/>
      <c r="BP1356" s="2"/>
      <c r="BQ1356" s="2"/>
      <c r="BR1356" s="2"/>
      <c r="BS1356" s="2"/>
      <c r="BT1356" s="2"/>
      <c r="BU1356" s="2"/>
      <c r="BV1356" s="2"/>
      <c r="BW1356" s="2"/>
      <c r="BX1356" s="2"/>
      <c r="BY1356" s="2"/>
      <c r="BZ1356" s="2"/>
      <c r="CA1356" s="2"/>
      <c r="CB1356" s="2"/>
      <c r="CC1356" s="2"/>
      <c r="CD1356" s="2"/>
      <c r="CE1356" s="2"/>
      <c r="CF1356" s="2"/>
      <c r="CG1356" s="2"/>
      <c r="CH1356" s="2"/>
      <c r="CI1356" s="2"/>
      <c r="CJ1356" s="2"/>
      <c r="CK1356" s="2"/>
      <c r="CL1356" s="2"/>
      <c r="CM1356" s="2"/>
      <c r="CN1356" s="2"/>
      <c r="CO1356" s="2"/>
      <c r="CP1356" s="2"/>
      <c r="CQ1356" s="2"/>
      <c r="CR1356" s="1"/>
      <c r="CS1356" s="1"/>
      <c r="CT1356" s="1"/>
      <c r="CU1356" s="1"/>
    </row>
    <row r="1357" spans="1:99" s="13" customFormat="1" ht="12" customHeight="1" x14ac:dyDescent="0.2">
      <c r="A1357" s="68">
        <v>43509</v>
      </c>
      <c r="B1357" s="103" t="s">
        <v>198</v>
      </c>
      <c r="C1357" s="70" t="s">
        <v>199</v>
      </c>
      <c r="D1357" s="69">
        <v>2006</v>
      </c>
      <c r="E1357" s="87">
        <v>1</v>
      </c>
      <c r="F1357" s="69">
        <v>22</v>
      </c>
      <c r="G1357" s="69">
        <v>22</v>
      </c>
      <c r="H1357" s="69" t="s">
        <v>832</v>
      </c>
      <c r="I1357" s="69" t="s">
        <v>830</v>
      </c>
      <c r="J1357" s="69" t="s">
        <v>313</v>
      </c>
      <c r="K1357" s="69">
        <f>IF(J1357="syllables",1,IF(J1357="trigrams",2,IF(J1357="strings",3,IF(J1357="visual array",4,IF(J1357="characters",5,IF(J1357="letters",6,IF(J1357="free forms",7,IF(J1357="odors",8,IF(J1357="words",9,IF(J1357="pictures",10,IF(J1357="object pictures",11,IF(J1357="faces",12,IF(J1357="names",13,IF(J1357="idioms",14,IF(J1357="grades",15,IF(J1357="syllable-digit pairs",16,IF(J1357="trigram-word pairs",17,IF(J1357="word-digit pairs",18,IF(J1357="English-Swahili pairs",19,IF(J1357="spatial position",20,IF(J1357="word pairs",21,IF(J1357="word triads",22,IF(J1357="generated words",23,IF(J1357="word definition pairs",24,IF(J1357="math problems",25,IF(J1357="famous faces",26,IF(J1357="famous names",27,IF(J1357="famous voices",28,IF(J1357="television programs",29,IF(J1357="race horses",30,IF(J1357="new vocabulary",31,IF(J1357="sentences",32,IF(J1357="concepts",33,IF(J1357="ad slides",34,IF(J1357="scenes",35,IF(J1357="famous scenes",36,IF(J1357="poems",37,IF(J1357="walk",38,IF(J1357="faces and events",39,IF(J1357="events and names",40,IF(J1357="flashbulb",41,IF(J1357="stories",42,IF(J1357="course material",43,IF(J1357="autobiographical",44,IF(J1357="novels",45,IF(J1357="public events",46,"99"))))))))))))))))))))))))))))))))))))))))))))))</f>
        <v>10</v>
      </c>
      <c r="L1357" s="69">
        <f>IF(J1357="syllables",1,IF(J1357="trigrams",1,IF(J1357="strings",1,IF(J1357="visual array",1,IF(J1357="characters",1,IF(J1357="letters",1,IF(J1357="free forms",1,IF(J1357="odors",2,IF(J1357="words",2,IF(J1357="pictures",2,IF(J1357="object pictures",2,IF(J1357="faces",2,IF(J1357="names",2,IF(J1357="idioms","2",IF(J1357="grades",2,IF(J1357="syllable-digit pairs",3,IF(J1357="trigram-word pairs",3,IF(J1357="word-digit pairs",3,IF(J1357="English-Swahili pairs",3,IF(J1357="spatial position",3,IF(J1357="word pairs",4,IF(J1357="word triads",4,IF(J1357="generated words",4,IF(J1357="word definition pairs",4,IF(J1357="math problems",4,IF(J1357="famous faces",4,IF(J1357="famous names",4,IF(J1357="famous voices",4,IF(J1357="television programs",4,IF(J1357="race horses",4,IF(J1357="new vocabulary",4,IF(J1357="sentences",5,IF(J1357="concepts",5,IF(J1357="ad slides",5,IF(J1357="scenes",5,IF(J1357="famous scenes",5,IF(J1357="poems",6,IF(J1357="walk",6,IF(J1357="faces and events",6,IF(J1357="events and names",6,IF(J1357="flashbulb",7,IF(J1357="stories",7,IF(J1357="course material",7,IF(J1357="autobiographical",7,IF(J1357="novels",7,IF(J1357="public events",7,"99"))))))))))))))))))))))))))))))))))))))))))))))</f>
        <v>2</v>
      </c>
      <c r="M1357" s="69">
        <v>0</v>
      </c>
      <c r="N1357" s="69">
        <v>1</v>
      </c>
      <c r="O1357" s="69">
        <v>0</v>
      </c>
      <c r="P1357" s="69"/>
      <c r="Q1357" s="69" t="s">
        <v>34</v>
      </c>
      <c r="R1357" s="69">
        <f>IF(Q1357="Free Recall",1,IF(Q1357="Cued Recall",2,IF(Q1357="Recognition",3,IF(Q1357="Multiple Choice",4,IF(Q1357="Savings",5,IF(Q1357="Stem Completion",6,IF(Q1357="Fragment Completion",7,IF(Q1357="anagram solution",8,IF(Q1357="Matching",9,IF(Q1357="Problem Solving",10,"99"))))))))))</f>
        <v>3</v>
      </c>
      <c r="S1357" s="69" t="s">
        <v>15</v>
      </c>
      <c r="T1357" s="92" t="s">
        <v>581</v>
      </c>
      <c r="U1357" s="69">
        <f>IF(T1357="within",1,0)</f>
        <v>1</v>
      </c>
      <c r="V1357" s="92">
        <v>480</v>
      </c>
      <c r="W1357" s="69">
        <f>F1357*V1357</f>
        <v>10560</v>
      </c>
      <c r="X1357" s="69">
        <v>4</v>
      </c>
      <c r="Y1357" s="87">
        <f>AV1356</f>
        <v>86400</v>
      </c>
      <c r="Z1357" s="69" t="s">
        <v>179</v>
      </c>
      <c r="AA1357" s="69">
        <f>30*24*60*60*3</f>
        <v>7776000</v>
      </c>
      <c r="AB1357" s="69" t="str">
        <f>IF(AA1357&lt;60,"1",IF(AA1357&lt;=43200,"2",IF(AA1357&lt;=777600,"3","4")))</f>
        <v>4</v>
      </c>
      <c r="AC1357" s="72">
        <f>AVERAGE(AV1356:DA1356)</f>
        <v>2656800</v>
      </c>
      <c r="AD1357" s="69" t="str">
        <f>IF(AC1357&lt;60,"1",IF(AC1357&lt;=43200,"2",IF(AC1357&lt;=777600,"3","4")))</f>
        <v>4</v>
      </c>
      <c r="AE1357" s="87">
        <f>AA1357-Y1357</f>
        <v>7689600</v>
      </c>
      <c r="AF1357" s="88">
        <f>AV1357</f>
        <v>0.71900000000000008</v>
      </c>
      <c r="AG1357" s="72">
        <f>((AW1357-AV1357)+(AX1357-AW1357)+(AY1357-AX1357))/3</f>
        <v>-1.4333333333333345E-2</v>
      </c>
      <c r="AH1357" s="4"/>
      <c r="AI1357" s="72">
        <f>RSQ(AV1357:AY1357,AV1356:AY1356)</f>
        <v>0.90511316608364267</v>
      </c>
      <c r="AJ1357" s="110">
        <f>SLOPE(AV1357:AY1357,AV1356:AY1356)</f>
        <v>-5.1551749202651475E-9</v>
      </c>
      <c r="AK1357" s="72">
        <f>INTERCEPT(AV1357:AY1357,AV1356:AY1356)</f>
        <v>0.71344626872816053</v>
      </c>
      <c r="AL1357" s="72">
        <f>INDEX(LINEST(LN(AV1357:AY1357),LN(AV1356:AY1356),TRUE,TRUE),3,1)</f>
        <v>0.9809447636851979</v>
      </c>
      <c r="AM1357" s="72">
        <f>INDEX(LINEST(LN(AV1357:AY1357),LN(AV1356:AY1356)),1)</f>
        <v>-1.2919749232237219E-2</v>
      </c>
      <c r="AN1357" s="72">
        <f>EXP(INDEX(LINEST(LN(AV1357:AY1357),LN(AV1356:AY1356)),1,2))</f>
        <v>0.83300831419926602</v>
      </c>
      <c r="AO1357" s="89">
        <f>INDEX(LINEST((AV1357:AY1357),LN(AV1356:AY1356),TRUE,TRUE),3,1)</f>
        <v>0.98266720784783501</v>
      </c>
      <c r="AP1357" s="89">
        <f>INDEX(LINEST((AV1357:AY1357),LN(AV1356:AY1356)),1)</f>
        <v>-9.018117298963884E-3</v>
      </c>
      <c r="AQ1357" s="90">
        <f>INDEX(LINEST(LN(AV1357:AY1357),SQRT(AV1356:AY1356),TRUE,TRUE),3,1)</f>
        <v>0.98472835667413317</v>
      </c>
      <c r="AR1357" s="117">
        <f>INDEX(LINEST(LN(AV1357:AY1357),SQRT((AV1356:AY1356))),1)</f>
        <v>-2.3764790709787598E-5</v>
      </c>
      <c r="AS1357" s="91">
        <f>INDEX(LINEST(1/(AV1357:AY1357),1/(SQRT(AV1356:AY1356)),TRUE,TRUE),3,1)</f>
        <v>0.90661405578099064</v>
      </c>
      <c r="AT1357" s="91">
        <f>INDEX(LINEST(1/(AV1357:AY1357),1/SQRT(AV1356:AY1356)),1)</f>
        <v>-26.277595359458331</v>
      </c>
      <c r="AU1357" s="3"/>
      <c r="AV1357" s="73">
        <v>0.71900000000000008</v>
      </c>
      <c r="AW1357" s="73">
        <v>0.71199999999999997</v>
      </c>
      <c r="AX1357" s="73">
        <v>0.69199999999999995</v>
      </c>
      <c r="AY1357" s="73">
        <v>0.67600000000000005</v>
      </c>
      <c r="AZ1357" s="46"/>
      <c r="BA1357" s="42"/>
      <c r="BB1357" s="42"/>
      <c r="BC1357" s="2"/>
      <c r="BD1357" s="2"/>
      <c r="BE1357" s="2"/>
      <c r="BF1357" s="2"/>
      <c r="BG1357" s="2"/>
      <c r="BH1357" s="2"/>
      <c r="BI1357" s="2"/>
      <c r="BJ1357" s="2"/>
      <c r="BK1357" s="2"/>
      <c r="BL1357" s="2"/>
      <c r="BM1357" s="2"/>
      <c r="BN1357" s="2"/>
      <c r="BO1357" s="2"/>
      <c r="BP1357" s="2"/>
      <c r="BQ1357" s="2"/>
      <c r="BR1357" s="2"/>
      <c r="BS1357" s="2"/>
      <c r="BT1357" s="2"/>
      <c r="BU1357" s="2"/>
      <c r="BV1357" s="2"/>
      <c r="BW1357" s="2"/>
      <c r="BX1357" s="2"/>
      <c r="BY1357" s="2"/>
      <c r="BZ1357" s="2"/>
      <c r="CA1357" s="2"/>
      <c r="CB1357" s="2"/>
      <c r="CC1357" s="2"/>
      <c r="CD1357" s="2"/>
      <c r="CE1357" s="2"/>
      <c r="CF1357" s="2"/>
      <c r="CG1357" s="2"/>
      <c r="CH1357" s="2"/>
      <c r="CI1357" s="2"/>
      <c r="CJ1357" s="2"/>
      <c r="CK1357" s="2"/>
      <c r="CL1357" s="2"/>
      <c r="CM1357" s="2"/>
      <c r="CN1357" s="2"/>
      <c r="CO1357" s="2"/>
      <c r="CP1357" s="2"/>
      <c r="CQ1357" s="2"/>
      <c r="CR1357" s="1"/>
      <c r="CS1357" s="1"/>
      <c r="CT1357" s="1"/>
      <c r="CU1357" s="1"/>
    </row>
    <row r="1358" spans="1:99" s="13" customFormat="1" ht="12" customHeight="1" x14ac:dyDescent="0.2">
      <c r="A1358" s="68">
        <v>43509</v>
      </c>
      <c r="B1358" s="70"/>
      <c r="C1358" s="70"/>
      <c r="D1358" s="69"/>
      <c r="E1358" s="87"/>
      <c r="F1358" s="69"/>
      <c r="G1358" s="69"/>
      <c r="H1358" s="69"/>
      <c r="I1358" s="69"/>
      <c r="J1358" s="69"/>
      <c r="K1358" s="107"/>
      <c r="L1358" s="107"/>
      <c r="M1358" s="69"/>
      <c r="N1358" s="69"/>
      <c r="O1358" s="69"/>
      <c r="P1358" s="69"/>
      <c r="Q1358" s="69"/>
      <c r="R1358" s="69"/>
      <c r="S1358" s="69"/>
      <c r="T1358" s="69"/>
      <c r="U1358" s="69"/>
      <c r="V1358" s="92"/>
      <c r="W1358" s="69"/>
      <c r="X1358" s="69"/>
      <c r="Y1358" s="87"/>
      <c r="Z1358" s="69"/>
      <c r="AA1358" s="69"/>
      <c r="AB1358" s="69"/>
      <c r="AC1358" s="69"/>
      <c r="AD1358" s="69"/>
      <c r="AE1358" s="69"/>
      <c r="AF1358" s="88"/>
      <c r="AG1358" s="72"/>
      <c r="AH1358" s="4"/>
      <c r="AI1358" s="72"/>
      <c r="AJ1358" s="110"/>
      <c r="AK1358" s="72"/>
      <c r="AL1358" s="72"/>
      <c r="AM1358" s="72"/>
      <c r="AN1358" s="72"/>
      <c r="AO1358" s="72"/>
      <c r="AP1358" s="72"/>
      <c r="AQ1358" s="72"/>
      <c r="AR1358" s="110"/>
      <c r="AS1358" s="72"/>
      <c r="AT1358" s="72"/>
      <c r="AU1358" s="4"/>
      <c r="AV1358" s="71">
        <f>24*60*60</f>
        <v>86400</v>
      </c>
      <c r="AW1358" s="71">
        <f>2*24*60*60</f>
        <v>172800</v>
      </c>
      <c r="AX1358" s="71">
        <f>30*24*60*60</f>
        <v>2592000</v>
      </c>
      <c r="AY1358" s="71">
        <f>90*24*60*60</f>
        <v>7776000</v>
      </c>
      <c r="AZ1358" s="46"/>
      <c r="BA1358" s="42"/>
      <c r="BB1358" s="42"/>
      <c r="BC1358" s="2"/>
      <c r="BD1358" s="2"/>
      <c r="BE1358" s="2"/>
      <c r="BF1358" s="2"/>
      <c r="BG1358" s="2"/>
      <c r="BH1358" s="2"/>
      <c r="BI1358" s="2"/>
      <c r="BJ1358" s="2"/>
      <c r="BK1358" s="2"/>
      <c r="BL1358" s="2"/>
      <c r="BM1358" s="2"/>
      <c r="BN1358" s="2"/>
      <c r="BO1358" s="2"/>
      <c r="BP1358" s="2"/>
      <c r="BQ1358" s="2"/>
      <c r="BR1358" s="2"/>
      <c r="BS1358" s="2"/>
      <c r="BT1358" s="2"/>
      <c r="BU1358" s="2"/>
      <c r="BV1358" s="2"/>
      <c r="BW1358" s="2"/>
      <c r="BX1358" s="2"/>
      <c r="BY1358" s="2"/>
      <c r="BZ1358" s="2"/>
      <c r="CA1358" s="2"/>
      <c r="CB1358" s="2"/>
      <c r="CC1358" s="2"/>
      <c r="CD1358" s="2"/>
      <c r="CE1358" s="2"/>
      <c r="CF1358" s="2"/>
      <c r="CG1358" s="2"/>
      <c r="CH1358" s="2"/>
      <c r="CI1358" s="2"/>
      <c r="CJ1358" s="2"/>
      <c r="CK1358" s="2"/>
      <c r="CL1358" s="2"/>
      <c r="CM1358" s="2"/>
      <c r="CN1358" s="2"/>
      <c r="CO1358" s="2"/>
      <c r="CP1358" s="2"/>
      <c r="CQ1358" s="2"/>
      <c r="CR1358" s="1"/>
      <c r="CS1358" s="1"/>
      <c r="CT1358" s="1"/>
      <c r="CU1358" s="1"/>
    </row>
    <row r="1359" spans="1:99" s="13" customFormat="1" ht="12" customHeight="1" x14ac:dyDescent="0.2">
      <c r="A1359" s="68">
        <v>43509</v>
      </c>
      <c r="B1359" s="70" t="s">
        <v>198</v>
      </c>
      <c r="C1359" s="70" t="s">
        <v>199</v>
      </c>
      <c r="D1359" s="69">
        <v>2006</v>
      </c>
      <c r="E1359" s="87">
        <v>1</v>
      </c>
      <c r="F1359" s="69">
        <v>22</v>
      </c>
      <c r="G1359" s="69">
        <v>22</v>
      </c>
      <c r="H1359" s="69" t="s">
        <v>832</v>
      </c>
      <c r="I1359" s="69" t="s">
        <v>831</v>
      </c>
      <c r="J1359" s="69" t="s">
        <v>313</v>
      </c>
      <c r="K1359" s="69">
        <f>IF(J1359="syllables",1,IF(J1359="trigrams",2,IF(J1359="strings",3,IF(J1359="visual array",4,IF(J1359="characters",5,IF(J1359="letters",6,IF(J1359="free forms",7,IF(J1359="odors",8,IF(J1359="words",9,IF(J1359="pictures",10,IF(J1359="object pictures",11,IF(J1359="faces",12,IF(J1359="names",13,IF(J1359="idioms",14,IF(J1359="grades",15,IF(J1359="syllable-digit pairs",16,IF(J1359="trigram-word pairs",17,IF(J1359="word-digit pairs",18,IF(J1359="English-Swahili pairs",19,IF(J1359="spatial position",20,IF(J1359="word pairs",21,IF(J1359="word triads",22,IF(J1359="generated words",23,IF(J1359="word definition pairs",24,IF(J1359="math problems",25,IF(J1359="famous faces",26,IF(J1359="famous names",27,IF(J1359="famous voices",28,IF(J1359="television programs",29,IF(J1359="race horses",30,IF(J1359="new vocabulary",31,IF(J1359="sentences",32,IF(J1359="concepts",33,IF(J1359="ad slides",34,IF(J1359="scenes",35,IF(J1359="famous scenes",36,IF(J1359="poems",37,IF(J1359="walk",38,IF(J1359="faces and events",39,IF(J1359="events and names",40,IF(J1359="flashbulb",41,IF(J1359="stories",42,IF(J1359="course material",43,IF(J1359="autobiographical",44,IF(J1359="novels",45,IF(J1359="public events",46,"99"))))))))))))))))))))))))))))))))))))))))))))))</f>
        <v>10</v>
      </c>
      <c r="L1359" s="69">
        <f>IF(J1359="syllables",1,IF(J1359="trigrams",1,IF(J1359="strings",1,IF(J1359="visual array",1,IF(J1359="characters",1,IF(J1359="letters",1,IF(J1359="free forms",1,IF(J1359="odors",2,IF(J1359="words",2,IF(J1359="pictures",2,IF(J1359="object pictures",2,IF(J1359="faces",2,IF(J1359="names",2,IF(J1359="idioms","2",IF(J1359="grades",2,IF(J1359="syllable-digit pairs",3,IF(J1359="trigram-word pairs",3,IF(J1359="word-digit pairs",3,IF(J1359="English-Swahili pairs",3,IF(J1359="spatial position",3,IF(J1359="word pairs",4,IF(J1359="word triads",4,IF(J1359="generated words",4,IF(J1359="word definition pairs",4,IF(J1359="math problems",4,IF(J1359="famous faces",4,IF(J1359="famous names",4,IF(J1359="famous voices",4,IF(J1359="television programs",4,IF(J1359="race horses",4,IF(J1359="new vocabulary",4,IF(J1359="sentences",5,IF(J1359="concepts",5,IF(J1359="ad slides",5,IF(J1359="scenes",5,IF(J1359="famous scenes",5,IF(J1359="poems",6,IF(J1359="walk",6,IF(J1359="faces and events",6,IF(J1359="events and names",6,IF(J1359="flashbulb",7,IF(J1359="stories",7,IF(J1359="course material",7,IF(J1359="autobiographical",7,IF(J1359="novels",7,IF(J1359="public events",7,"99"))))))))))))))))))))))))))))))))))))))))))))))</f>
        <v>2</v>
      </c>
      <c r="M1359" s="69">
        <v>0</v>
      </c>
      <c r="N1359" s="69">
        <v>1</v>
      </c>
      <c r="O1359" s="69">
        <v>0</v>
      </c>
      <c r="P1359" s="69"/>
      <c r="Q1359" s="69" t="s">
        <v>34</v>
      </c>
      <c r="R1359" s="69">
        <f>IF(Q1359="Free Recall",1,IF(Q1359="Cued Recall",2,IF(Q1359="Recognition",3,IF(Q1359="Multiple Choice",4,IF(Q1359="Savings",5,IF(Q1359="Stem Completion",6,IF(Q1359="Fragment Completion",7,IF(Q1359="anagram solution",8,IF(Q1359="Matching",9,IF(Q1359="Problem Solving",10,"99"))))))))))</f>
        <v>3</v>
      </c>
      <c r="S1359" s="69" t="s">
        <v>15</v>
      </c>
      <c r="T1359" s="92" t="s">
        <v>581</v>
      </c>
      <c r="U1359" s="69">
        <f>IF(T1359="within",1,0)</f>
        <v>1</v>
      </c>
      <c r="V1359" s="92">
        <v>480</v>
      </c>
      <c r="W1359" s="69">
        <f>F1359*V1359</f>
        <v>10560</v>
      </c>
      <c r="X1359" s="69">
        <v>4</v>
      </c>
      <c r="Y1359" s="87">
        <f>AV1358</f>
        <v>86400</v>
      </c>
      <c r="Z1359" s="69" t="s">
        <v>179</v>
      </c>
      <c r="AA1359" s="69">
        <f>30*24*60*60*3</f>
        <v>7776000</v>
      </c>
      <c r="AB1359" s="69" t="str">
        <f>IF(AA1359&lt;60,"1",IF(AA1359&lt;=43200,"2",IF(AA1359&lt;=777600,"3","4")))</f>
        <v>4</v>
      </c>
      <c r="AC1359" s="72">
        <f>AVERAGE(AV1358:DA1358)</f>
        <v>2656800</v>
      </c>
      <c r="AD1359" s="69" t="str">
        <f>IF(AC1359&lt;60,"1",IF(AC1359&lt;=43200,"2",IF(AC1359&lt;=777600,"3","4")))</f>
        <v>4</v>
      </c>
      <c r="AE1359" s="87">
        <f>AA1359-Y1359</f>
        <v>7689600</v>
      </c>
      <c r="AF1359" s="88">
        <f>AV1359</f>
        <v>0.72650000000000003</v>
      </c>
      <c r="AG1359" s="72">
        <f>((AW1359-AV1359)+(AX1359-AW1359)+(AY1359-AX1359))/3</f>
        <v>-4.8499999999999988E-2</v>
      </c>
      <c r="AH1359" s="4"/>
      <c r="AI1359" s="72">
        <f>RSQ(AV1359:AY1359,AV1358:AY1358)</f>
        <v>0.82792228611234331</v>
      </c>
      <c r="AJ1359" s="110">
        <f>SLOPE(AV1359:AY1359,AV1358:AY1358)</f>
        <v>-1.8157240757583008E-8</v>
      </c>
      <c r="AK1359" s="72">
        <f>INTERCEPT(AV1359:AY1359,AV1358:AY1358)</f>
        <v>0.70786515724474652</v>
      </c>
      <c r="AL1359" s="72">
        <f>INDEX(LINEST(LN(AV1359:AY1359),LN(AV1358:AY1358),TRUE,TRUE),3,1)</f>
        <v>0.99496338337730517</v>
      </c>
      <c r="AM1359" s="72">
        <f>INDEX(LINEST(LN(AV1359:AY1359),LN(AV1358:AY1358)),1)</f>
        <v>-5.1106210175642756E-2</v>
      </c>
      <c r="AN1359" s="72">
        <f>EXP(INDEX(LINEST(LN(AV1359:AY1359),LN(AV1358:AY1358)),1,2))</f>
        <v>1.3101179594747607</v>
      </c>
      <c r="AO1359" s="89">
        <f>INDEX(LINEST((AV1359:AY1359),LN(AV1358:AY1358),TRUE,TRUE),3,1)</f>
        <v>0.99582791039843455</v>
      </c>
      <c r="AP1359" s="89">
        <f>INDEX(LINEST((AV1359:AY1359),LN(AV1358:AY1358)),1)</f>
        <v>-3.343242631078177E-2</v>
      </c>
      <c r="AQ1359" s="90">
        <f>INDEX(LINEST(LN(AV1359:AY1359),SQRT(AV1358:AY1358),TRUE,TRUE),3,1)</f>
        <v>0.95947500562284982</v>
      </c>
      <c r="AR1359" s="117">
        <f>INDEX(LINEST(LN(AV1359:AY1359),SQRT((AV1358:AY1358))),1)</f>
        <v>-9.2136333265252187E-5</v>
      </c>
      <c r="AS1359" s="91">
        <f>INDEX(LINEST(1/(AV1359:AY1359),1/(SQRT(AV1358:AY1358)),TRUE,TRUE),3,1)</f>
        <v>0.92386012175704868</v>
      </c>
      <c r="AT1359" s="91">
        <f>INDEX(LINEST(1/(AV1359:AY1359),1/SQRT(AV1358:AY1358)),1)</f>
        <v>-111.52790062117251</v>
      </c>
      <c r="AU1359" s="3"/>
      <c r="AV1359" s="73">
        <v>0.72650000000000003</v>
      </c>
      <c r="AW1359" s="73">
        <v>0.71450000000000002</v>
      </c>
      <c r="AX1359" s="73">
        <v>0.61650000000000005</v>
      </c>
      <c r="AY1359" s="73">
        <v>0.58100000000000007</v>
      </c>
      <c r="AZ1359" s="46"/>
      <c r="BA1359" s="42"/>
      <c r="BB1359" s="42"/>
      <c r="BC1359" s="2"/>
      <c r="BD1359" s="2"/>
      <c r="BE1359" s="2"/>
      <c r="BF1359" s="2"/>
      <c r="BG1359" s="2"/>
      <c r="BH1359" s="2"/>
      <c r="BI1359" s="2"/>
      <c r="BJ1359" s="2"/>
      <c r="BK1359" s="2"/>
      <c r="BL1359" s="2"/>
      <c r="BM1359" s="2"/>
      <c r="BN1359" s="2"/>
      <c r="BO1359" s="2"/>
      <c r="BP1359" s="2"/>
      <c r="BQ1359" s="2"/>
      <c r="BR1359" s="2"/>
      <c r="BS1359" s="2"/>
      <c r="BT1359" s="2"/>
      <c r="BU1359" s="2"/>
      <c r="BV1359" s="2"/>
      <c r="BW1359" s="2"/>
      <c r="BX1359" s="2"/>
      <c r="BY1359" s="2"/>
      <c r="BZ1359" s="2"/>
      <c r="CA1359" s="2"/>
      <c r="CB1359" s="2"/>
      <c r="CC1359" s="2"/>
      <c r="CD1359" s="2"/>
      <c r="CE1359" s="2"/>
      <c r="CF1359" s="2"/>
      <c r="CG1359" s="2"/>
      <c r="CH1359" s="2"/>
      <c r="CI1359" s="2"/>
      <c r="CJ1359" s="2"/>
      <c r="CK1359" s="2"/>
      <c r="CL1359" s="2"/>
      <c r="CM1359" s="2"/>
      <c r="CN1359" s="2"/>
      <c r="CO1359" s="2"/>
      <c r="CP1359" s="2"/>
      <c r="CQ1359" s="2"/>
      <c r="CR1359" s="1"/>
      <c r="CS1359" s="1"/>
      <c r="CT1359" s="1"/>
      <c r="CU1359" s="1"/>
    </row>
    <row r="1360" spans="1:99" s="13" customFormat="1" ht="12" customHeight="1" x14ac:dyDescent="0.2">
      <c r="A1360" s="65">
        <v>43900</v>
      </c>
      <c r="B1360" s="1"/>
      <c r="C1360" s="1"/>
      <c r="D1360" s="60"/>
      <c r="E1360" s="76"/>
      <c r="F1360" s="60"/>
      <c r="G1360" s="60"/>
      <c r="H1360" s="60"/>
      <c r="I1360" s="60"/>
      <c r="J1360" s="60"/>
      <c r="K1360" s="64"/>
      <c r="L1360" s="64"/>
      <c r="M1360" s="60"/>
      <c r="N1360" s="60"/>
      <c r="O1360" s="60"/>
      <c r="P1360" s="60"/>
      <c r="Q1360" s="60"/>
      <c r="R1360" s="60"/>
      <c r="S1360" s="60"/>
      <c r="T1360" s="60"/>
      <c r="U1360" s="60"/>
      <c r="V1360" s="60"/>
      <c r="W1360" s="60"/>
      <c r="X1360" s="60"/>
      <c r="Y1360" s="76"/>
      <c r="Z1360" s="60"/>
      <c r="AA1360" s="60"/>
      <c r="AB1360" s="60"/>
      <c r="AC1360" s="56"/>
      <c r="AD1360" s="60"/>
      <c r="AE1360" s="60"/>
      <c r="AF1360" s="80"/>
      <c r="AG1360" s="56"/>
      <c r="AH1360" s="4"/>
      <c r="AI1360" s="56"/>
      <c r="AJ1360" s="109"/>
      <c r="AK1360" s="56"/>
      <c r="AL1360" s="56"/>
      <c r="AM1360" s="56"/>
      <c r="AN1360" s="56"/>
      <c r="AO1360" s="82"/>
      <c r="AP1360" s="82"/>
      <c r="AQ1360" s="83"/>
      <c r="AR1360" s="116"/>
      <c r="AS1360" s="84"/>
      <c r="AT1360" s="84"/>
      <c r="AU1360" s="3"/>
      <c r="AV1360" s="25">
        <v>900</v>
      </c>
      <c r="AW1360" s="25">
        <v>86400</v>
      </c>
      <c r="AX1360" s="25">
        <v>604800</v>
      </c>
      <c r="AY1360" s="25">
        <v>2592000</v>
      </c>
      <c r="AZ1360" s="53">
        <v>7862400</v>
      </c>
      <c r="BA1360" s="42"/>
      <c r="BB1360" s="42"/>
      <c r="BC1360" s="30"/>
      <c r="BD1360" s="30"/>
      <c r="BE1360" s="30"/>
      <c r="BF1360" s="30"/>
      <c r="BG1360" s="30"/>
      <c r="BH1360" s="30"/>
      <c r="BI1360" s="30"/>
      <c r="BJ1360" s="30"/>
      <c r="BK1360" s="30"/>
      <c r="BL1360" s="30"/>
      <c r="BM1360" s="30"/>
      <c r="BN1360" s="30"/>
      <c r="BO1360" s="30"/>
      <c r="BP1360" s="30"/>
      <c r="BQ1360" s="30"/>
      <c r="BR1360" s="30"/>
      <c r="BS1360" s="30"/>
      <c r="BT1360" s="30"/>
      <c r="BU1360" s="30"/>
      <c r="BV1360" s="30"/>
      <c r="BW1360" s="30"/>
      <c r="BX1360" s="30"/>
      <c r="BY1360" s="30"/>
      <c r="BZ1360" s="30"/>
      <c r="CA1360" s="30"/>
      <c r="CB1360" s="30"/>
      <c r="CC1360" s="30"/>
      <c r="CD1360" s="30"/>
      <c r="CE1360" s="30"/>
      <c r="CF1360" s="30"/>
      <c r="CG1360" s="30"/>
      <c r="CH1360" s="30"/>
      <c r="CI1360" s="30"/>
      <c r="CJ1360" s="30"/>
      <c r="CK1360" s="30"/>
      <c r="CL1360" s="30"/>
      <c r="CM1360" s="30"/>
      <c r="CN1360" s="30"/>
      <c r="CO1360" s="30"/>
      <c r="CP1360" s="30"/>
      <c r="CQ1360" s="30"/>
      <c r="CR1360" s="1"/>
      <c r="CS1360" s="1"/>
      <c r="CT1360" s="1"/>
      <c r="CU1360" s="1"/>
    </row>
    <row r="1361" spans="1:99" s="13" customFormat="1" ht="12" customHeight="1" x14ac:dyDescent="0.2">
      <c r="A1361" s="65">
        <v>43900</v>
      </c>
      <c r="B1361" s="1" t="s">
        <v>436</v>
      </c>
      <c r="C1361" s="1" t="s">
        <v>437</v>
      </c>
      <c r="D1361" s="60">
        <v>2012</v>
      </c>
      <c r="E1361" s="76">
        <v>1</v>
      </c>
      <c r="F1361" s="60">
        <v>58</v>
      </c>
      <c r="G1361" s="60">
        <v>58</v>
      </c>
      <c r="H1361" s="60" t="s">
        <v>439</v>
      </c>
      <c r="I1361" s="60" t="s">
        <v>438</v>
      </c>
      <c r="J1361" s="60" t="s">
        <v>313</v>
      </c>
      <c r="K1361" s="60">
        <f>IF(J1361="syllables",1,IF(J1361="trigrams",2,IF(J1361="strings",3,IF(J1361="visual array",4,IF(J1361="characters",5,IF(J1361="letters",6,IF(J1361="free forms",7,IF(J1361="odors",8,IF(J1361="words",9,IF(J1361="pictures",10,IF(J1361="object pictures",11,IF(J1361="faces",12,IF(J1361="names",13,IF(J1361="idioms",14,IF(J1361="grades",15,IF(J1361="syllable-digit pairs",16,IF(J1361="trigram-word pairs",17,IF(J1361="word-digit pairs",18,IF(J1361="English-Swahili pairs",19,IF(J1361="spatial position",20,IF(J1361="word pairs",21,IF(J1361="word triads",22,IF(J1361="generated words",23,IF(J1361="word definition pairs",24,IF(J1361="math problems",25,IF(J1361="famous faces",26,IF(J1361="famous names",27,IF(J1361="famous voices",28,IF(J1361="television programs",29,IF(J1361="race horses",30,IF(J1361="new vocabulary",31,IF(J1361="sentences",32,IF(J1361="concepts",33,IF(J1361="ad slides",34,IF(J1361="scenes",35,IF(J1361="famous scenes",36,IF(J1361="poems",37,IF(J1361="walk",38,IF(J1361="faces and events",39,IF(J1361="events and names",40,IF(J1361="flashbulb",41,IF(J1361="stories",42,IF(J1361="course material",43,IF(J1361="autobiographical",44,IF(J1361="novels",45,IF(J1361="public events",46,"99"))))))))))))))))))))))))))))))))))))))))))))))</f>
        <v>10</v>
      </c>
      <c r="L1361" s="60">
        <f>IF(J1361="syllables",1,IF(J1361="trigrams",1,IF(J1361="strings",1,IF(J1361="visual array",1,IF(J1361="characters",1,IF(J1361="letters",1,IF(J1361="free forms",1,IF(J1361="odors",2,IF(J1361="words",2,IF(J1361="pictures",2,IF(J1361="object pictures",2,IF(J1361="faces",2,IF(J1361="names",2,IF(J1361="idioms","2",IF(J1361="grades",2,IF(J1361="syllable-digit pairs",3,IF(J1361="trigram-word pairs",3,IF(J1361="word-digit pairs",3,IF(J1361="English-Swahili pairs",3,IF(J1361="spatial position",3,IF(J1361="word pairs",4,IF(J1361="word triads",4,IF(J1361="generated words",4,IF(J1361="word definition pairs",4,IF(J1361="math problems",4,IF(J1361="famous faces",4,IF(J1361="famous names",4,IF(J1361="famous voices",4,IF(J1361="television programs",4,IF(J1361="race horses",4,IF(J1361="new vocabulary",4,IF(J1361="sentences",5,IF(J1361="concepts",5,IF(J1361="ad slides",5,IF(J1361="scenes",5,IF(J1361="famous scenes",5,IF(J1361="poems",6,IF(J1361="walk",6,IF(J1361="faces and events",6,IF(J1361="events and names",6,IF(J1361="flashbulb",7,IF(J1361="stories",7,IF(J1361="course material",7,IF(J1361="autobiographical",7,IF(J1361="novels",7,IF(J1361="public events",7,"99"))))))))))))))))))))))))))))))))))))))))))))))</f>
        <v>2</v>
      </c>
      <c r="M1361" s="60">
        <v>0</v>
      </c>
      <c r="N1361" s="60">
        <v>1</v>
      </c>
      <c r="O1361" s="60">
        <v>1</v>
      </c>
      <c r="P1361" s="60" t="s">
        <v>71</v>
      </c>
      <c r="Q1361" s="60" t="s">
        <v>34</v>
      </c>
      <c r="R1361" s="60">
        <f>IF(Q1361="Free Recall",1,IF(Q1361="Cued Recall",2,IF(Q1361="Recognition",3,IF(Q1361="Multiple Choice",4,IF(Q1361="Savings",5,IF(Q1361="Stem Completion",6,IF(Q1361="Fragment Completion",7,IF(Q1361="anagram solution",8,IF(Q1361="Matching",9,IF(Q1361="Problem Solving",10,"99"))))))))))</f>
        <v>3</v>
      </c>
      <c r="S1361" s="60" t="s">
        <v>15</v>
      </c>
      <c r="T1361" s="59" t="s">
        <v>581</v>
      </c>
      <c r="U1361" s="60">
        <f>IF(T1361="within",1,0)</f>
        <v>1</v>
      </c>
      <c r="V1361" s="59">
        <v>50</v>
      </c>
      <c r="W1361" s="60">
        <f>F1361*V1361</f>
        <v>2900</v>
      </c>
      <c r="X1361" s="60">
        <v>5</v>
      </c>
      <c r="Y1361" s="76">
        <f>AV1360</f>
        <v>900</v>
      </c>
      <c r="Z1361" s="60" t="s">
        <v>440</v>
      </c>
      <c r="AA1361" s="60">
        <f>60*60*24*91</f>
        <v>7862400</v>
      </c>
      <c r="AB1361" s="60" t="str">
        <f>IF(AA1361&lt;60,"1",IF(AA1361&lt;=43200,"2",IF(AA1361&lt;=777600,"3","4")))</f>
        <v>4</v>
      </c>
      <c r="AC1361" s="56">
        <f>AVERAGE(AV1360:DA1360)</f>
        <v>2229300</v>
      </c>
      <c r="AD1361" s="60" t="str">
        <f>IF(AC1361&lt;60,"1",IF(AC1361&lt;=43200,"2",IF(AC1361&lt;=777600,"3","4")))</f>
        <v>4</v>
      </c>
      <c r="AE1361" s="76">
        <f>AA1361-Y1361</f>
        <v>7861500</v>
      </c>
      <c r="AF1361" s="80">
        <f>AV1361</f>
        <v>0.99</v>
      </c>
      <c r="AG1361" s="56">
        <f>((AW1361-AV1361)+(AX1361-AW1361)+(AY1361-AX1361)+(AZ1361-AY1361))/4</f>
        <v>-7.5000000000000011E-2</v>
      </c>
      <c r="AH1361" s="4"/>
      <c r="AI1361" s="56">
        <f>RSQ(AV1361:AZ1361,AV1360:AZ1360)</f>
        <v>0.66058699596167014</v>
      </c>
      <c r="AJ1361" s="109">
        <f>SLOPE(AV1361:AZ1361,AV1360:AZ1360)</f>
        <v>-3.1760329212393608E-8</v>
      </c>
      <c r="AK1361" s="56">
        <f>INTERCEPT(AV1361:AZ1361,AV1360:AZ1360)</f>
        <v>0.90280330191318914</v>
      </c>
      <c r="AL1361" s="56">
        <f>INDEX(LINEST(LN(AV1361:AZ1361),LN(AV1360:AZ1360),TRUE,TRUE),3,1)</f>
        <v>0.86808276799736428</v>
      </c>
      <c r="AM1361" s="56">
        <f>INDEX(LINEST(LN(AV1361:AZ1361),LN(AV1360:AZ1360)),1)</f>
        <v>-4.0887134782659061E-2</v>
      </c>
      <c r="AN1361" s="56">
        <f>EXP(INDEX(LINEST(LN(AV1361:AZ1361),LN(AV1360:AZ1360)),1,2))</f>
        <v>1.3693525838752374</v>
      </c>
      <c r="AO1361" s="82">
        <f>INDEX(LINEST((AV1361:AZ1361),LN(AV1360:AZ1360),TRUE,TRUE),3,1)</f>
        <v>0.89019129963004962</v>
      </c>
      <c r="AP1361" s="82">
        <f>INDEX(LINEST((AV1361:AZ1361),LN(AV1360:AZ1360)),1)</f>
        <v>-3.429193857560181E-2</v>
      </c>
      <c r="AQ1361" s="83">
        <f>INDEX(LINEST(LN(AV1361:AZ1361),SQRT(AV1360:AZ1360),TRUE,TRUE),3,1)</f>
        <v>0.89734462068884824</v>
      </c>
      <c r="AR1361" s="116">
        <f>INDEX(LINEST(LN(AV1361:AZ1361),SQRT((AV1360:AZ1360))),1)</f>
        <v>-1.3185939323051912E-4</v>
      </c>
      <c r="AS1361" s="84">
        <f>INDEX(LINEST(1/(AV1361:AZ1361),1/(SQRT(AV1360:AZ1360)),TRUE,TRUE),3,1)</f>
        <v>0.47432959657858992</v>
      </c>
      <c r="AT1361" s="84">
        <f>INDEX(LINEST(1/(AV1361:AZ1361),1/SQRT(AV1360:AZ1360)),1)</f>
        <v>-9.1913310963058752</v>
      </c>
      <c r="AU1361" s="3"/>
      <c r="AV1361" s="53">
        <v>0.99</v>
      </c>
      <c r="AW1361" s="53">
        <v>0.93</v>
      </c>
      <c r="AX1361" s="53">
        <v>0.83</v>
      </c>
      <c r="AY1361" s="53">
        <v>0.72</v>
      </c>
      <c r="AZ1361" s="53">
        <v>0.69</v>
      </c>
      <c r="BA1361" s="42"/>
      <c r="BB1361" s="42"/>
      <c r="BC1361" s="30"/>
      <c r="BD1361" s="30"/>
      <c r="BE1361" s="30"/>
      <c r="BF1361" s="30"/>
      <c r="BG1361" s="30"/>
      <c r="BH1361" s="30"/>
      <c r="BI1361" s="30"/>
      <c r="BJ1361" s="30"/>
      <c r="BK1361" s="30"/>
      <c r="BL1361" s="30"/>
      <c r="BM1361" s="30"/>
      <c r="BN1361" s="30"/>
      <c r="BO1361" s="30"/>
      <c r="BP1361" s="30"/>
      <c r="BQ1361" s="30"/>
      <c r="BR1361" s="30"/>
      <c r="BS1361" s="30"/>
      <c r="BT1361" s="30"/>
      <c r="BU1361" s="30"/>
      <c r="BV1361" s="30"/>
      <c r="BW1361" s="30"/>
      <c r="BX1361" s="30"/>
      <c r="BY1361" s="30"/>
      <c r="BZ1361" s="30"/>
      <c r="CA1361" s="30"/>
      <c r="CB1361" s="30"/>
      <c r="CC1361" s="30"/>
      <c r="CD1361" s="30"/>
      <c r="CE1361" s="30"/>
      <c r="CF1361" s="30"/>
      <c r="CG1361" s="30"/>
      <c r="CH1361" s="30"/>
      <c r="CI1361" s="30"/>
      <c r="CJ1361" s="30"/>
      <c r="CK1361" s="30"/>
      <c r="CL1361" s="30"/>
      <c r="CM1361" s="30"/>
      <c r="CN1361" s="30"/>
      <c r="CO1361" s="30"/>
      <c r="CP1361" s="30"/>
      <c r="CQ1361" s="30"/>
      <c r="CR1361" s="1"/>
      <c r="CS1361" s="1"/>
      <c r="CT1361" s="1"/>
      <c r="CU1361" s="1"/>
    </row>
    <row r="1362" spans="1:99" s="13" customFormat="1" ht="12" customHeight="1" x14ac:dyDescent="0.2">
      <c r="A1362" s="68">
        <v>43897</v>
      </c>
      <c r="B1362" s="67"/>
      <c r="C1362" s="70"/>
      <c r="D1362" s="69"/>
      <c r="E1362" s="87"/>
      <c r="F1362" s="69"/>
      <c r="G1362" s="69"/>
      <c r="H1362" s="69"/>
      <c r="I1362" s="69"/>
      <c r="J1362" s="69"/>
      <c r="K1362" s="107"/>
      <c r="L1362" s="107"/>
      <c r="M1362" s="69"/>
      <c r="N1362" s="86"/>
      <c r="O1362" s="69"/>
      <c r="P1362" s="69"/>
      <c r="Q1362" s="69"/>
      <c r="R1362" s="69"/>
      <c r="S1362" s="69"/>
      <c r="T1362" s="69"/>
      <c r="U1362" s="69"/>
      <c r="V1362" s="69"/>
      <c r="W1362" s="69"/>
      <c r="X1362" s="69"/>
      <c r="Y1362" s="87"/>
      <c r="Z1362" s="69"/>
      <c r="AA1362" s="69"/>
      <c r="AB1362" s="69"/>
      <c r="AC1362" s="72"/>
      <c r="AD1362" s="69"/>
      <c r="AE1362" s="69"/>
      <c r="AF1362" s="88"/>
      <c r="AG1362" s="72"/>
      <c r="AH1362" s="4"/>
      <c r="AI1362" s="72"/>
      <c r="AJ1362" s="110"/>
      <c r="AK1362" s="72"/>
      <c r="AL1362" s="72"/>
      <c r="AM1362" s="72"/>
      <c r="AN1362" s="72"/>
      <c r="AO1362" s="89"/>
      <c r="AP1362" s="89"/>
      <c r="AQ1362" s="90"/>
      <c r="AR1362" s="117"/>
      <c r="AS1362" s="91"/>
      <c r="AT1362" s="91"/>
      <c r="AU1362" s="3"/>
      <c r="AV1362" s="71">
        <v>157680000</v>
      </c>
      <c r="AW1362" s="71">
        <v>315360000</v>
      </c>
      <c r="AX1362" s="71">
        <v>473040000</v>
      </c>
      <c r="AY1362" s="71">
        <v>630720000</v>
      </c>
      <c r="AZ1362" s="71">
        <v>788400000</v>
      </c>
      <c r="BA1362" s="71">
        <v>946080000</v>
      </c>
      <c r="BB1362" s="71">
        <v>1103760000</v>
      </c>
      <c r="BC1362" s="71">
        <v>1261440000</v>
      </c>
      <c r="BD1362" s="30"/>
      <c r="BE1362" s="30"/>
      <c r="BF1362" s="30"/>
      <c r="BG1362" s="30"/>
      <c r="BH1362" s="30"/>
      <c r="BI1362" s="30"/>
      <c r="BJ1362" s="30"/>
      <c r="BK1362" s="30"/>
      <c r="BL1362" s="30"/>
      <c r="BM1362" s="30"/>
      <c r="BN1362" s="30"/>
      <c r="BO1362" s="30"/>
      <c r="BP1362" s="30"/>
      <c r="BQ1362" s="30"/>
      <c r="BR1362" s="30"/>
      <c r="BS1362" s="30"/>
      <c r="BT1362" s="30"/>
      <c r="BU1362" s="30"/>
      <c r="BV1362" s="30"/>
      <c r="BW1362" s="30"/>
      <c r="BX1362" s="30"/>
      <c r="BY1362" s="30"/>
      <c r="BZ1362" s="30"/>
      <c r="CA1362" s="30"/>
      <c r="CB1362" s="30"/>
      <c r="CC1362" s="30"/>
      <c r="CD1362" s="30"/>
      <c r="CE1362" s="30"/>
      <c r="CF1362" s="30"/>
      <c r="CG1362" s="30"/>
      <c r="CH1362" s="30"/>
      <c r="CI1362" s="30"/>
      <c r="CJ1362" s="30"/>
      <c r="CK1362" s="30"/>
      <c r="CL1362" s="30"/>
      <c r="CM1362" s="30"/>
      <c r="CN1362" s="30"/>
      <c r="CO1362" s="30"/>
      <c r="CP1362" s="30"/>
      <c r="CQ1362" s="30"/>
      <c r="CR1362" s="1"/>
      <c r="CS1362" s="1"/>
      <c r="CT1362" s="1"/>
      <c r="CU1362" s="1"/>
    </row>
    <row r="1363" spans="1:99" s="13" customFormat="1" ht="12" customHeight="1" x14ac:dyDescent="0.2">
      <c r="A1363" s="68">
        <v>43897</v>
      </c>
      <c r="B1363" s="67" t="s">
        <v>415</v>
      </c>
      <c r="C1363" s="67" t="s">
        <v>416</v>
      </c>
      <c r="D1363" s="86">
        <v>1999</v>
      </c>
      <c r="E1363" s="87">
        <v>1</v>
      </c>
      <c r="F1363" s="69">
        <v>1</v>
      </c>
      <c r="G1363" s="69">
        <v>1</v>
      </c>
      <c r="H1363" s="69" t="s">
        <v>50</v>
      </c>
      <c r="I1363" s="69" t="s">
        <v>330</v>
      </c>
      <c r="J1363" s="69" t="s">
        <v>340</v>
      </c>
      <c r="K1363" s="69">
        <f>IF(J1363="syllables",1,IF(J1363="trigrams",2,IF(J1363="strings",3,IF(J1363="visual array",4,IF(J1363="characters",5,IF(J1363="letters",6,IF(J1363="free forms",7,IF(J1363="odors",8,IF(J1363="words",9,IF(J1363="pictures",10,IF(J1363="object pictures",11,IF(J1363="faces",12,IF(J1363="names",13,IF(J1363="idioms",14,IF(J1363="grades",15,IF(J1363="syllable-digit pairs",16,IF(J1363="trigram-word pairs",17,IF(J1363="word-digit pairs",18,IF(J1363="English-Swahili pairs",19,IF(J1363="spatial position",20,IF(J1363="word pairs",21,IF(J1363="word triads",22,IF(J1363="generated words",23,IF(J1363="word definition pairs",24,IF(J1363="math problems",25,IF(J1363="famous faces",26,IF(J1363="famous names",27,IF(J1363="famous voices",28,IF(J1363="television programs",29,IF(J1363="race horses",30,IF(J1363="new vocabulary",31,IF(J1363="sentences",32,IF(J1363="concepts",33,IF(J1363="ad slides",34,IF(J1363="scenes",35,IF(J1363="famous scenes",36,IF(J1363="poems",37,IF(J1363="walk",38,IF(J1363="faces and events",39,IF(J1363="events and names",40,IF(J1363="flashbulb",41,IF(J1363="stories",42,IF(J1363="course material",43,IF(J1363="autobiographical",44,IF(J1363="novels",45,IF(J1363="public events",46,"99"))))))))))))))))))))))))))))))))))))))))))))))</f>
        <v>46</v>
      </c>
      <c r="L1363" s="69">
        <f>IF(J1363="syllables",1,IF(J1363="trigrams",1,IF(J1363="strings",1,IF(J1363="visual array",1,IF(J1363="characters",1,IF(J1363="letters",1,IF(J1363="free forms",1,IF(J1363="odors",2,IF(J1363="words",2,IF(J1363="pictures",2,IF(J1363="object pictures",2,IF(J1363="faces",2,IF(J1363="names",2,IF(J1363="idioms","2",IF(J1363="grades",2,IF(J1363="syllable-digit pairs",3,IF(J1363="trigram-word pairs",3,IF(J1363="word-digit pairs",3,IF(J1363="English-Swahili pairs",3,IF(J1363="spatial position",3,IF(J1363="word pairs",4,IF(J1363="word triads",4,IF(J1363="generated words",4,IF(J1363="word definition pairs",4,IF(J1363="math problems",4,IF(J1363="famous faces",4,IF(J1363="famous names",4,IF(J1363="famous voices",4,IF(J1363="television programs",4,IF(J1363="race horses",4,IF(J1363="new vocabulary",4,IF(J1363="sentences",5,IF(J1363="concepts",5,IF(J1363="ad slides",5,IF(J1363="scenes",5,IF(J1363="famous scenes",5,IF(J1363="poems",6,IF(J1363="walk",6,IF(J1363="faces and events",6,IF(J1363="events and names",6,IF(J1363="flashbulb",7,IF(J1363="stories",7,IF(J1363="course material",7,IF(J1363="autobiographical",7,IF(J1363="novels",7,IF(J1363="public events",7,"99"))))))))))))))))))))))))))))))))))))))))))))))</f>
        <v>7</v>
      </c>
      <c r="M1363" s="69">
        <v>1</v>
      </c>
      <c r="N1363" s="86">
        <v>4</v>
      </c>
      <c r="O1363" s="69">
        <v>0</v>
      </c>
      <c r="P1363" s="69"/>
      <c r="Q1363" s="69" t="s">
        <v>174</v>
      </c>
      <c r="R1363" s="69">
        <f>IF(Q1363="Free Recall",1,IF(Q1363="Cued Recall",2,IF(Q1363="Recognition",3,IF(Q1363="Multiple Choice",4,IF(Q1363="Savings",5,IF(Q1363="Stem Completion",6,IF(Q1363="Fragment Completion",7,IF(Q1363="anagram solution",8,IF(Q1363="Matching",9,IF(Q1363="Problem Solving",10,"99"))))))))))</f>
        <v>1</v>
      </c>
      <c r="S1363" s="92" t="s">
        <v>49</v>
      </c>
      <c r="T1363" s="92" t="s">
        <v>581</v>
      </c>
      <c r="U1363" s="69">
        <f>IF(T1363="within",1,0)</f>
        <v>1</v>
      </c>
      <c r="V1363" s="92">
        <v>195</v>
      </c>
      <c r="W1363" s="69">
        <f>F1363*V1363</f>
        <v>195</v>
      </c>
      <c r="X1363" s="69">
        <v>8</v>
      </c>
      <c r="Y1363" s="87">
        <f>AV1362</f>
        <v>157680000</v>
      </c>
      <c r="Z1363" s="92" t="s">
        <v>329</v>
      </c>
      <c r="AA1363" s="69">
        <f>40*365*24*60*60</f>
        <v>1261440000</v>
      </c>
      <c r="AB1363" s="69" t="str">
        <f>IF(AA1363&lt;60,"1",IF(AA1363&lt;=43200,"2",IF(AA1363&lt;=777600,"3","4")))</f>
        <v>4</v>
      </c>
      <c r="AC1363" s="72">
        <f>AVERAGE(AV1362:DA1362)</f>
        <v>709560000</v>
      </c>
      <c r="AD1363" s="69" t="str">
        <f>IF(AC1363&lt;60,"1",IF(AC1363&lt;=43200,"2",IF(AC1363&lt;=777600,"3","4")))</f>
        <v>4</v>
      </c>
      <c r="AE1363" s="87">
        <f>AA1363-Y1363</f>
        <v>1103760000</v>
      </c>
      <c r="AF1363" s="88">
        <f>AV1363</f>
        <v>0.6</v>
      </c>
      <c r="AG1363" s="72">
        <f>((AW1363-AV1363)+(AX1363-AW1363)+(AY1363-AX1363)+(AZ1363-AY1363)+(BA1363-AZ1363)+(BB1363-BA1363)+(BC1363-BB1363))/7</f>
        <v>-3.7142857142857137E-2</v>
      </c>
      <c r="AH1363" s="4"/>
      <c r="AI1363" s="72">
        <f>RSQ(AV1363:BC1363,AV1362:BC1362)</f>
        <v>0.299411090681376</v>
      </c>
      <c r="AJ1363" s="110">
        <f>SLOPE(AV1363:BC1363,AV1362:BC1362)</f>
        <v>-1.6005895001328784E-10</v>
      </c>
      <c r="AK1363" s="72">
        <f>INTERCEPT(AV1363:BC1363,AV1362:BC1362)</f>
        <v>0.71607142857142858</v>
      </c>
      <c r="AL1363" s="72">
        <f>INDEX(LINEST(LN(AV1363:BC1363),LN(AV1362:BC1362),TRUE,TRUE),3,1)</f>
        <v>0.15172548363707289</v>
      </c>
      <c r="AM1363" s="72">
        <f>INDEX(LINEST(LN(AV1363:BC1363),LN(AV1362:BC1362)),1)</f>
        <v>-0.12796230932131564</v>
      </c>
      <c r="AN1363" s="72">
        <f>EXP(INDEX(LINEST(LN(AV1363:BC1363),LN(AV1362:BC1362)),1,2))</f>
        <v>7.8309702382969641</v>
      </c>
      <c r="AO1363" s="89">
        <f>INDEX(LINEST((AV1363:BC1363),LN(AV1362:BC1362),TRUE,TRUE),3,1)</f>
        <v>0.13813008899016196</v>
      </c>
      <c r="AP1363" s="89">
        <f>INDEX(LINEST((AV1363:BC1363),LN(AV1362:BC1362)),1)</f>
        <v>-5.9695729444353668E-2</v>
      </c>
      <c r="AQ1363" s="90">
        <f>INDEX(LINEST(LN(AV1363:BC1363),SQRT(AV1362:BC1362),TRUE,TRUE),3,1)</f>
        <v>0.22899354318488235</v>
      </c>
      <c r="AR1363" s="117">
        <f>INDEX(LINEST(LN(AV1363:BC1363),SQRT((AV1362:BC1362))),1)</f>
        <v>-1.4013035190524705E-5</v>
      </c>
      <c r="AS1363" s="91">
        <f>INDEX(LINEST(1/(AV1363:BC1363),1/(SQRT(AV1362:BC1362)),TRUE,TRUE),3,1)</f>
        <v>0.10121303750819874</v>
      </c>
      <c r="AT1363" s="91">
        <f>INDEX(LINEST(1/(AV1363:BC1363),1/SQRT(AV1362:BC1362)),1)</f>
        <v>-9110.4592989011526</v>
      </c>
      <c r="AU1363" s="3"/>
      <c r="AV1363" s="95">
        <v>0.6</v>
      </c>
      <c r="AW1363" s="95">
        <v>0.69</v>
      </c>
      <c r="AX1363" s="95">
        <v>0.6</v>
      </c>
      <c r="AY1363" s="95">
        <v>0.68</v>
      </c>
      <c r="AZ1363" s="73">
        <v>0.68</v>
      </c>
      <c r="BA1363" s="73">
        <v>0.6</v>
      </c>
      <c r="BB1363" s="73">
        <v>0.63</v>
      </c>
      <c r="BC1363" s="73">
        <v>0.34</v>
      </c>
      <c r="BD1363" s="30"/>
      <c r="BE1363" s="30"/>
      <c r="BF1363" s="30"/>
      <c r="BG1363" s="30"/>
      <c r="BH1363" s="30"/>
      <c r="BI1363" s="30"/>
      <c r="BJ1363" s="30"/>
      <c r="BK1363" s="30"/>
      <c r="BL1363" s="30"/>
      <c r="BM1363" s="30"/>
      <c r="BN1363" s="30"/>
      <c r="BO1363" s="30"/>
      <c r="BP1363" s="30"/>
      <c r="BQ1363" s="30"/>
      <c r="BR1363" s="30"/>
      <c r="BS1363" s="30"/>
      <c r="BT1363" s="30"/>
      <c r="BU1363" s="30"/>
      <c r="BV1363" s="30"/>
      <c r="BW1363" s="30"/>
      <c r="BX1363" s="30"/>
      <c r="BY1363" s="30"/>
      <c r="BZ1363" s="30"/>
      <c r="CA1363" s="30"/>
      <c r="CB1363" s="30"/>
      <c r="CC1363" s="30"/>
      <c r="CD1363" s="30"/>
      <c r="CE1363" s="30"/>
      <c r="CF1363" s="30"/>
      <c r="CG1363" s="30"/>
      <c r="CH1363" s="30"/>
      <c r="CI1363" s="30"/>
      <c r="CJ1363" s="30"/>
      <c r="CK1363" s="30"/>
      <c r="CL1363" s="30"/>
      <c r="CM1363" s="30"/>
      <c r="CN1363" s="30"/>
      <c r="CO1363" s="30"/>
      <c r="CP1363" s="30"/>
      <c r="CQ1363" s="30"/>
      <c r="CR1363" s="1"/>
      <c r="CS1363" s="1"/>
      <c r="CT1363" s="1"/>
      <c r="CU1363" s="1"/>
    </row>
    <row r="1364" spans="1:99" s="13" customFormat="1" ht="12" customHeight="1" x14ac:dyDescent="0.2">
      <c r="A1364" s="68">
        <v>43897</v>
      </c>
      <c r="B1364" s="67"/>
      <c r="C1364" s="70"/>
      <c r="D1364" s="69"/>
      <c r="E1364" s="87"/>
      <c r="F1364" s="69"/>
      <c r="G1364" s="69"/>
      <c r="H1364" s="69"/>
      <c r="I1364" s="69"/>
      <c r="J1364" s="69"/>
      <c r="K1364" s="107"/>
      <c r="L1364" s="107"/>
      <c r="M1364" s="69"/>
      <c r="N1364" s="86"/>
      <c r="O1364" s="69"/>
      <c r="P1364" s="69"/>
      <c r="Q1364" s="69"/>
      <c r="R1364" s="69"/>
      <c r="S1364" s="69"/>
      <c r="T1364" s="69"/>
      <c r="U1364" s="69"/>
      <c r="V1364" s="69"/>
      <c r="W1364" s="69"/>
      <c r="X1364" s="69"/>
      <c r="Y1364" s="87"/>
      <c r="Z1364" s="69"/>
      <c r="AA1364" s="69"/>
      <c r="AB1364" s="69"/>
      <c r="AC1364" s="72"/>
      <c r="AD1364" s="69"/>
      <c r="AE1364" s="69"/>
      <c r="AF1364" s="88"/>
      <c r="AG1364" s="72"/>
      <c r="AH1364" s="4"/>
      <c r="AI1364" s="72"/>
      <c r="AJ1364" s="110"/>
      <c r="AK1364" s="72"/>
      <c r="AL1364" s="72"/>
      <c r="AM1364" s="72"/>
      <c r="AN1364" s="72"/>
      <c r="AO1364" s="89"/>
      <c r="AP1364" s="89"/>
      <c r="AQ1364" s="90"/>
      <c r="AR1364" s="117"/>
      <c r="AS1364" s="91"/>
      <c r="AT1364" s="91"/>
      <c r="AU1364" s="3"/>
      <c r="AV1364" s="71">
        <v>157680000</v>
      </c>
      <c r="AW1364" s="71">
        <v>315360000</v>
      </c>
      <c r="AX1364" s="71">
        <v>473040000</v>
      </c>
      <c r="AY1364" s="71">
        <v>630720000</v>
      </c>
      <c r="AZ1364" s="71">
        <v>788400000</v>
      </c>
      <c r="BA1364" s="71">
        <v>946080000</v>
      </c>
      <c r="BB1364" s="71">
        <v>1103760000</v>
      </c>
      <c r="BC1364" s="71">
        <v>1261440000</v>
      </c>
      <c r="BD1364" s="30"/>
      <c r="BE1364" s="30"/>
      <c r="BF1364" s="30"/>
      <c r="BG1364" s="30"/>
      <c r="BH1364" s="30"/>
      <c r="BI1364" s="30"/>
      <c r="BJ1364" s="30"/>
      <c r="BK1364" s="30"/>
      <c r="BL1364" s="30"/>
      <c r="BM1364" s="30"/>
      <c r="BN1364" s="30"/>
      <c r="BO1364" s="30"/>
      <c r="BP1364" s="30"/>
      <c r="BQ1364" s="30"/>
      <c r="BR1364" s="30"/>
      <c r="BS1364" s="30"/>
      <c r="BT1364" s="30"/>
      <c r="BU1364" s="30"/>
      <c r="BV1364" s="30"/>
      <c r="BW1364" s="30"/>
      <c r="BX1364" s="30"/>
      <c r="BY1364" s="30"/>
      <c r="BZ1364" s="30"/>
      <c r="CA1364" s="30"/>
      <c r="CB1364" s="30"/>
      <c r="CC1364" s="30"/>
      <c r="CD1364" s="30"/>
      <c r="CE1364" s="30"/>
      <c r="CF1364" s="30"/>
      <c r="CG1364" s="30"/>
      <c r="CH1364" s="30"/>
      <c r="CI1364" s="30"/>
      <c r="CJ1364" s="30"/>
      <c r="CK1364" s="30"/>
      <c r="CL1364" s="30"/>
      <c r="CM1364" s="30"/>
      <c r="CN1364" s="30"/>
      <c r="CO1364" s="30"/>
      <c r="CP1364" s="30"/>
      <c r="CQ1364" s="30"/>
      <c r="CR1364" s="1"/>
      <c r="CS1364" s="1"/>
      <c r="CT1364" s="1"/>
      <c r="CU1364" s="1"/>
    </row>
    <row r="1365" spans="1:99" s="13" customFormat="1" ht="12" customHeight="1" x14ac:dyDescent="0.2">
      <c r="A1365" s="68">
        <v>43897</v>
      </c>
      <c r="B1365" s="67" t="s">
        <v>415</v>
      </c>
      <c r="C1365" s="67" t="s">
        <v>416</v>
      </c>
      <c r="D1365" s="86">
        <v>1999</v>
      </c>
      <c r="E1365" s="87">
        <v>1</v>
      </c>
      <c r="F1365" s="69">
        <v>1</v>
      </c>
      <c r="G1365" s="69">
        <v>1</v>
      </c>
      <c r="H1365" s="69" t="s">
        <v>50</v>
      </c>
      <c r="I1365" s="69" t="s">
        <v>330</v>
      </c>
      <c r="J1365" s="69" t="s">
        <v>340</v>
      </c>
      <c r="K1365" s="69">
        <f>IF(J1365="syllables",1,IF(J1365="trigrams",2,IF(J1365="strings",3,IF(J1365="visual array",4,IF(J1365="characters",5,IF(J1365="letters",6,IF(J1365="free forms",7,IF(J1365="odors",8,IF(J1365="words",9,IF(J1365="pictures",10,IF(J1365="object pictures",11,IF(J1365="faces",12,IF(J1365="names",13,IF(J1365="idioms",14,IF(J1365="grades",15,IF(J1365="syllable-digit pairs",16,IF(J1365="trigram-word pairs",17,IF(J1365="word-digit pairs",18,IF(J1365="English-Swahili pairs",19,IF(J1365="spatial position",20,IF(J1365="word pairs",21,IF(J1365="word triads",22,IF(J1365="generated words",23,IF(J1365="word definition pairs",24,IF(J1365="math problems",25,IF(J1365="famous faces",26,IF(J1365="famous names",27,IF(J1365="famous voices",28,IF(J1365="television programs",29,IF(J1365="race horses",30,IF(J1365="new vocabulary",31,IF(J1365="sentences",32,IF(J1365="concepts",33,IF(J1365="ad slides",34,IF(J1365="scenes",35,IF(J1365="famous scenes",36,IF(J1365="poems",37,IF(J1365="walk",38,IF(J1365="faces and events",39,IF(J1365="events and names",40,IF(J1365="flashbulb",41,IF(J1365="stories",42,IF(J1365="course material",43,IF(J1365="autobiographical",44,IF(J1365="novels",45,IF(J1365="public events",46,"99"))))))))))))))))))))))))))))))))))))))))))))))</f>
        <v>46</v>
      </c>
      <c r="L1365" s="69">
        <f>IF(J1365="syllables",1,IF(J1365="trigrams",1,IF(J1365="strings",1,IF(J1365="visual array",1,IF(J1365="characters",1,IF(J1365="letters",1,IF(J1365="free forms",1,IF(J1365="odors",2,IF(J1365="words",2,IF(J1365="pictures",2,IF(J1365="object pictures",2,IF(J1365="faces",2,IF(J1365="names",2,IF(J1365="idioms","2",IF(J1365="grades",2,IF(J1365="syllable-digit pairs",3,IF(J1365="trigram-word pairs",3,IF(J1365="word-digit pairs",3,IF(J1365="English-Swahili pairs",3,IF(J1365="spatial position",3,IF(J1365="word pairs",4,IF(J1365="word triads",4,IF(J1365="generated words",4,IF(J1365="word definition pairs",4,IF(J1365="math problems",4,IF(J1365="famous faces",4,IF(J1365="famous names",4,IF(J1365="famous voices",4,IF(J1365="television programs",4,IF(J1365="race horses",4,IF(J1365="new vocabulary",4,IF(J1365="sentences",5,IF(J1365="concepts",5,IF(J1365="ad slides",5,IF(J1365="scenes",5,IF(J1365="famous scenes",5,IF(J1365="poems",6,IF(J1365="walk",6,IF(J1365="faces and events",6,IF(J1365="events and names",6,IF(J1365="flashbulb",7,IF(J1365="stories",7,IF(J1365="course material",7,IF(J1365="autobiographical",7,IF(J1365="novels",7,IF(J1365="public events",7,"99"))))))))))))))))))))))))))))))))))))))))))))))</f>
        <v>7</v>
      </c>
      <c r="M1365" s="69">
        <v>1</v>
      </c>
      <c r="N1365" s="86">
        <v>4</v>
      </c>
      <c r="O1365" s="69">
        <v>0</v>
      </c>
      <c r="P1365" s="69"/>
      <c r="Q1365" s="69" t="s">
        <v>182</v>
      </c>
      <c r="R1365" s="69">
        <f>IF(Q1365="Free Recall",1,IF(Q1365="Cued Recall",2,IF(Q1365="Recognition",3,IF(Q1365="Multiple Choice",4,IF(Q1365="Savings",5,IF(Q1365="Stem Completion",6,IF(Q1365="Fragment Completion",7,IF(Q1365="anagram solution",8,IF(Q1365="Matching",9,IF(Q1365="Problem Solving",10,"99"))))))))))</f>
        <v>4</v>
      </c>
      <c r="S1365" s="69" t="s">
        <v>15</v>
      </c>
      <c r="T1365" s="92" t="s">
        <v>581</v>
      </c>
      <c r="U1365" s="69">
        <f>IF(T1365="within",1,0)</f>
        <v>1</v>
      </c>
      <c r="V1365" s="92">
        <v>195</v>
      </c>
      <c r="W1365" s="69">
        <f>F1365*V1365</f>
        <v>195</v>
      </c>
      <c r="X1365" s="69">
        <v>8</v>
      </c>
      <c r="Y1365" s="87">
        <f>AV1364</f>
        <v>157680000</v>
      </c>
      <c r="Z1365" s="92" t="s">
        <v>329</v>
      </c>
      <c r="AA1365" s="69">
        <f>40*365*24*60*60</f>
        <v>1261440000</v>
      </c>
      <c r="AB1365" s="69" t="str">
        <f>IF(AA1365&lt;60,"1",IF(AA1365&lt;=43200,"2",IF(AA1365&lt;=777600,"3","4")))</f>
        <v>4</v>
      </c>
      <c r="AC1365" s="72">
        <f>AVERAGE(AV1364:DA1364)</f>
        <v>709560000</v>
      </c>
      <c r="AD1365" s="69" t="str">
        <f>IF(AC1365&lt;60,"1",IF(AC1365&lt;=43200,"2",IF(AC1365&lt;=777600,"3","4")))</f>
        <v>4</v>
      </c>
      <c r="AE1365" s="87">
        <f>AA1365-Y1365</f>
        <v>1103760000</v>
      </c>
      <c r="AF1365" s="88">
        <f>AV1365</f>
        <v>1</v>
      </c>
      <c r="AG1365" s="72">
        <f>((AW1365-AV1365)+(AX1365-AW1365)+(AY1365-AX1365)+(AZ1365-AY1365)+(BA1365-AZ1365)+(BB1365-BA1365)+(BC1365-BB1365))/7</f>
        <v>-5.2857142857142859E-2</v>
      </c>
      <c r="AH1365" s="4"/>
      <c r="AI1365" s="72">
        <f>RSQ(AV1365:BC1365,AV1364:BC1364)</f>
        <v>0.38373681903730633</v>
      </c>
      <c r="AJ1365" s="110">
        <f>SLOPE(AV1365:BC1365,AV1364:BC1364)</f>
        <v>-1.8421879152472762E-10</v>
      </c>
      <c r="AK1365" s="72">
        <f>INTERCEPT(AV1365:BC1365,AV1364:BC1364)</f>
        <v>1.0282142857142857</v>
      </c>
      <c r="AL1365" s="72">
        <f>INDEX(LINEST(LN(AV1365:BC1365),LN(AV1364:BC1364),TRUE,TRUE),3,1)</f>
        <v>0.27634302963426044</v>
      </c>
      <c r="AM1365" s="72">
        <f>INDEX(LINEST(LN(AV1365:BC1365),LN(AV1364:BC1364)),1)</f>
        <v>-0.10881943188381434</v>
      </c>
      <c r="AN1365" s="72">
        <f>EXP(INDEX(LINEST(LN(AV1365:BC1365),LN(AV1364:BC1364)),1,2))</f>
        <v>8.0179595020440786</v>
      </c>
      <c r="AO1365" s="89">
        <f>INDEX(LINEST((AV1365:BC1365),LN(AV1364:BC1364),TRUE,TRUE),3,1)</f>
        <v>0.29286362115756354</v>
      </c>
      <c r="AP1365" s="89">
        <f>INDEX(LINEST((AV1365:BC1365),LN(AV1364:BC1364)),1)</f>
        <v>-8.8369623163121788E-2</v>
      </c>
      <c r="AQ1365" s="90">
        <f>INDEX(LINEST(LN(AV1365:BC1365),SQRT(AV1364:BC1364),TRUE,TRUE),3,1)</f>
        <v>0.32793596813606435</v>
      </c>
      <c r="AR1365" s="117">
        <f>INDEX(LINEST(LN(AV1365:BC1365),SQRT((AV1364:BC1364))),1)</f>
        <v>-1.0566824967121713E-5</v>
      </c>
      <c r="AS1365" s="91">
        <f>INDEX(LINEST(1/(AV1365:BC1365),1/(SQRT(AV1364:BC1364)),TRUE,TRUE),3,1)</f>
        <v>0.21017126330801597</v>
      </c>
      <c r="AT1365" s="91">
        <f>INDEX(LINEST(1/(AV1365:BC1365),1/SQRT(AV1364:BC1364)),1)</f>
        <v>-4991.6228434411423</v>
      </c>
      <c r="AU1365" s="3"/>
      <c r="AV1365" s="95">
        <v>1</v>
      </c>
      <c r="AW1365" s="95">
        <v>0.93</v>
      </c>
      <c r="AX1365" s="95">
        <v>0.89</v>
      </c>
      <c r="AY1365" s="95">
        <v>0.93</v>
      </c>
      <c r="AZ1365" s="73">
        <v>0.96</v>
      </c>
      <c r="BA1365" s="73">
        <v>0.88</v>
      </c>
      <c r="BB1365" s="73">
        <v>0.96</v>
      </c>
      <c r="BC1365" s="73">
        <v>0.63</v>
      </c>
      <c r="BD1365" s="30"/>
      <c r="BE1365" s="30"/>
      <c r="BF1365" s="30"/>
      <c r="BG1365" s="30"/>
      <c r="BH1365" s="30"/>
      <c r="BI1365" s="30"/>
      <c r="BJ1365" s="30"/>
      <c r="BK1365" s="30"/>
      <c r="BL1365" s="30"/>
      <c r="BM1365" s="30"/>
      <c r="BN1365" s="30"/>
      <c r="BO1365" s="30"/>
      <c r="BP1365" s="30"/>
      <c r="BQ1365" s="30"/>
      <c r="BR1365" s="30"/>
      <c r="BS1365" s="30"/>
      <c r="BT1365" s="30"/>
      <c r="BU1365" s="30"/>
      <c r="BV1365" s="30"/>
      <c r="BW1365" s="30"/>
      <c r="BX1365" s="30"/>
      <c r="BY1365" s="30"/>
      <c r="BZ1365" s="30"/>
      <c r="CA1365" s="30"/>
      <c r="CB1365" s="30"/>
      <c r="CC1365" s="30"/>
      <c r="CD1365" s="30"/>
      <c r="CE1365" s="30"/>
      <c r="CF1365" s="30"/>
      <c r="CG1365" s="30"/>
      <c r="CH1365" s="30"/>
      <c r="CI1365" s="30"/>
      <c r="CJ1365" s="30"/>
      <c r="CK1365" s="30"/>
      <c r="CL1365" s="30"/>
      <c r="CM1365" s="30"/>
      <c r="CN1365" s="30"/>
      <c r="CO1365" s="30"/>
      <c r="CP1365" s="30"/>
      <c r="CQ1365" s="30"/>
      <c r="CR1365" s="1"/>
      <c r="CS1365" s="1"/>
      <c r="CT1365" s="1"/>
      <c r="CU1365" s="1"/>
    </row>
    <row r="1366" spans="1:99" s="13" customFormat="1" ht="12" customHeight="1" x14ac:dyDescent="0.2">
      <c r="A1366" s="68">
        <v>43897</v>
      </c>
      <c r="B1366" s="67"/>
      <c r="C1366" s="70"/>
      <c r="D1366" s="69"/>
      <c r="E1366" s="87"/>
      <c r="F1366" s="69"/>
      <c r="G1366" s="69"/>
      <c r="H1366" s="69"/>
      <c r="I1366" s="69"/>
      <c r="J1366" s="69"/>
      <c r="K1366" s="107"/>
      <c r="L1366" s="107"/>
      <c r="M1366" s="69"/>
      <c r="N1366" s="86"/>
      <c r="O1366" s="69"/>
      <c r="P1366" s="69"/>
      <c r="Q1366" s="69"/>
      <c r="R1366" s="69"/>
      <c r="S1366" s="69"/>
      <c r="T1366" s="69"/>
      <c r="U1366" s="69"/>
      <c r="V1366" s="69"/>
      <c r="W1366" s="69"/>
      <c r="X1366" s="69"/>
      <c r="Y1366" s="87"/>
      <c r="Z1366" s="69"/>
      <c r="AA1366" s="69"/>
      <c r="AB1366" s="69"/>
      <c r="AC1366" s="72"/>
      <c r="AD1366" s="69"/>
      <c r="AE1366" s="69"/>
      <c r="AF1366" s="88"/>
      <c r="AG1366" s="72"/>
      <c r="AH1366" s="4"/>
      <c r="AI1366" s="72"/>
      <c r="AJ1366" s="110"/>
      <c r="AK1366" s="72"/>
      <c r="AL1366" s="72"/>
      <c r="AM1366" s="72"/>
      <c r="AN1366" s="72"/>
      <c r="AO1366" s="89"/>
      <c r="AP1366" s="89"/>
      <c r="AQ1366" s="90"/>
      <c r="AR1366" s="117"/>
      <c r="AS1366" s="91"/>
      <c r="AT1366" s="91"/>
      <c r="AU1366" s="3"/>
      <c r="AV1366" s="71">
        <v>315360000</v>
      </c>
      <c r="AW1366" s="71">
        <v>630720000</v>
      </c>
      <c r="AX1366" s="71">
        <v>946080000</v>
      </c>
      <c r="AY1366" s="71">
        <v>1261440000</v>
      </c>
      <c r="AZ1366" s="73"/>
      <c r="BA1366" s="73"/>
      <c r="BB1366" s="73"/>
      <c r="BC1366" s="73"/>
      <c r="BD1366" s="30"/>
      <c r="BE1366" s="30"/>
      <c r="BF1366" s="30"/>
      <c r="BG1366" s="30"/>
      <c r="BH1366" s="30"/>
      <c r="BI1366" s="30"/>
      <c r="BJ1366" s="30"/>
      <c r="BK1366" s="30"/>
      <c r="BL1366" s="30"/>
      <c r="BM1366" s="30"/>
      <c r="BN1366" s="30"/>
      <c r="BO1366" s="30"/>
      <c r="BP1366" s="30"/>
      <c r="BQ1366" s="30"/>
      <c r="BR1366" s="30"/>
      <c r="BS1366" s="30"/>
      <c r="BT1366" s="30"/>
      <c r="BU1366" s="30"/>
      <c r="BV1366" s="30"/>
      <c r="BW1366" s="30"/>
      <c r="BX1366" s="30"/>
      <c r="BY1366" s="30"/>
      <c r="BZ1366" s="30"/>
      <c r="CA1366" s="30"/>
      <c r="CB1366" s="30"/>
      <c r="CC1366" s="30"/>
      <c r="CD1366" s="30"/>
      <c r="CE1366" s="30"/>
      <c r="CF1366" s="30"/>
      <c r="CG1366" s="30"/>
      <c r="CH1366" s="30"/>
      <c r="CI1366" s="30"/>
      <c r="CJ1366" s="30"/>
      <c r="CK1366" s="30"/>
      <c r="CL1366" s="30"/>
      <c r="CM1366" s="30"/>
      <c r="CN1366" s="30"/>
      <c r="CO1366" s="30"/>
      <c r="CP1366" s="30"/>
      <c r="CQ1366" s="30"/>
      <c r="CR1366" s="1"/>
      <c r="CS1366" s="1"/>
      <c r="CT1366" s="1"/>
      <c r="CU1366" s="1"/>
    </row>
    <row r="1367" spans="1:99" s="13" customFormat="1" ht="12" customHeight="1" x14ac:dyDescent="0.2">
      <c r="A1367" s="68">
        <v>43897</v>
      </c>
      <c r="B1367" s="67" t="s">
        <v>415</v>
      </c>
      <c r="C1367" s="67" t="s">
        <v>416</v>
      </c>
      <c r="D1367" s="86">
        <v>1999</v>
      </c>
      <c r="E1367" s="87">
        <v>1</v>
      </c>
      <c r="F1367" s="69">
        <v>1</v>
      </c>
      <c r="G1367" s="69">
        <v>1</v>
      </c>
      <c r="H1367" s="69" t="s">
        <v>50</v>
      </c>
      <c r="I1367" s="69" t="s">
        <v>330</v>
      </c>
      <c r="J1367" s="69" t="s">
        <v>342</v>
      </c>
      <c r="K1367" s="69">
        <f>IF(J1367="syllables",1,IF(J1367="trigrams",2,IF(J1367="strings",3,IF(J1367="visual array",4,IF(J1367="characters",5,IF(J1367="letters",6,IF(J1367="free forms",7,IF(J1367="odors",8,IF(J1367="words",9,IF(J1367="pictures",10,IF(J1367="object pictures",11,IF(J1367="faces",12,IF(J1367="names",13,IF(J1367="idioms",14,IF(J1367="grades",15,IF(J1367="syllable-digit pairs",16,IF(J1367="trigram-word pairs",17,IF(J1367="word-digit pairs",18,IF(J1367="English-Swahili pairs",19,IF(J1367="spatial position",20,IF(J1367="word pairs",21,IF(J1367="word triads",22,IF(J1367="generated words",23,IF(J1367="word definition pairs",24,IF(J1367="math problems",25,IF(J1367="famous faces",26,IF(J1367="famous names",27,IF(J1367="famous voices",28,IF(J1367="television programs",29,IF(J1367="race horses",30,IF(J1367="new vocabulary",31,IF(J1367="sentences",32,IF(J1367="concepts",33,IF(J1367="ad slides",34,IF(J1367="scenes",35,IF(J1367="famous scenes",36,IF(J1367="poems",37,IF(J1367="walk",38,IF(J1367="faces and events",39,IF(J1367="events and names",40,IF(J1367="flashbulb",41,IF(J1367="stories",42,IF(J1367="course material",43,IF(J1367="autobiographical",44,IF(J1367="novels",45,IF(J1367="public events",46,"99"))))))))))))))))))))))))))))))))))))))))))))))</f>
        <v>26</v>
      </c>
      <c r="L1367" s="69">
        <f>IF(J1367="syllables",1,IF(J1367="trigrams",1,IF(J1367="strings",1,IF(J1367="visual array",1,IF(J1367="characters",1,IF(J1367="letters",1,IF(J1367="free forms",1,IF(J1367="odors",2,IF(J1367="words",2,IF(J1367="pictures",2,IF(J1367="object pictures",2,IF(J1367="faces",2,IF(J1367="names",2,IF(J1367="idioms","2",IF(J1367="grades",2,IF(J1367="syllable-digit pairs",3,IF(J1367="trigram-word pairs",3,IF(J1367="word-digit pairs",3,IF(J1367="English-Swahili pairs",3,IF(J1367="spatial position",3,IF(J1367="word pairs",4,IF(J1367="word triads",4,IF(J1367="generated words",4,IF(J1367="word definition pairs",4,IF(J1367="math problems",4,IF(J1367="famous faces",4,IF(J1367="famous names",4,IF(J1367="famous voices",4,IF(J1367="television programs",4,IF(J1367="race horses",4,IF(J1367="new vocabulary",4,IF(J1367="sentences",5,IF(J1367="concepts",5,IF(J1367="ad slides",5,IF(J1367="scenes",5,IF(J1367="famous scenes",5,IF(J1367="poems",6,IF(J1367="walk",6,IF(J1367="faces and events",6,IF(J1367="events and names",6,IF(J1367="flashbulb",7,IF(J1367="stories",7,IF(J1367="course material",7,IF(J1367="autobiographical",7,IF(J1367="novels",7,IF(J1367="public events",7,"99"))))))))))))))))))))))))))))))))))))))))))))))</f>
        <v>4</v>
      </c>
      <c r="M1367" s="69">
        <v>1</v>
      </c>
      <c r="N1367" s="86">
        <v>2</v>
      </c>
      <c r="O1367" s="69">
        <v>0</v>
      </c>
      <c r="P1367" s="69"/>
      <c r="Q1367" s="69" t="s">
        <v>174</v>
      </c>
      <c r="R1367" s="69">
        <f>IF(Q1367="Free Recall",1,IF(Q1367="Cued Recall",2,IF(Q1367="Recognition",3,IF(Q1367="Multiple Choice",4,IF(Q1367="Savings",5,IF(Q1367="Stem Completion",6,IF(Q1367="Fragment Completion",7,IF(Q1367="anagram solution",8,IF(Q1367="Matching",9,IF(Q1367="Problem Solving",10,"99"))))))))))</f>
        <v>1</v>
      </c>
      <c r="S1367" s="92" t="s">
        <v>49</v>
      </c>
      <c r="T1367" s="92" t="s">
        <v>581</v>
      </c>
      <c r="U1367" s="69">
        <f>IF(T1367="within",1,0)</f>
        <v>1</v>
      </c>
      <c r="V1367" s="92">
        <v>40</v>
      </c>
      <c r="W1367" s="69">
        <f>F1367*V1367</f>
        <v>40</v>
      </c>
      <c r="X1367" s="69">
        <v>4</v>
      </c>
      <c r="Y1367" s="87">
        <f>AV1366</f>
        <v>315360000</v>
      </c>
      <c r="Z1367" s="92" t="s">
        <v>329</v>
      </c>
      <c r="AA1367" s="69">
        <f>40*365*24*60*60</f>
        <v>1261440000</v>
      </c>
      <c r="AB1367" s="69" t="str">
        <f>IF(AA1367&lt;60,"1",IF(AA1367&lt;=43200,"2",IF(AA1367&lt;=777600,"3","4")))</f>
        <v>4</v>
      </c>
      <c r="AC1367" s="72">
        <f>AVERAGE(AV1366:DA1366)</f>
        <v>788400000</v>
      </c>
      <c r="AD1367" s="69" t="str">
        <f>IF(AC1367&lt;60,"1",IF(AC1367&lt;=43200,"2",IF(AC1367&lt;=777600,"3","4")))</f>
        <v>4</v>
      </c>
      <c r="AE1367" s="87">
        <f>AA1367-Y1367</f>
        <v>946080000</v>
      </c>
      <c r="AF1367" s="88">
        <f>AV1367</f>
        <v>0.86956521739130432</v>
      </c>
      <c r="AG1367" s="72">
        <f>((AW1367-AV1367)+(AX1367-AW1367)+(AY1367-AX1367))/3</f>
        <v>-0.15706374455048897</v>
      </c>
      <c r="AH1367" s="4"/>
      <c r="AI1367" s="72">
        <f>RSQ(AV1367:AY1367,AV1366:AY1366)</f>
        <v>0.55596343847386231</v>
      </c>
      <c r="AJ1367" s="110">
        <f>SLOPE(AV1367:AY1367,AV1366:AY1366)</f>
        <v>-4.4559389487928751E-10</v>
      </c>
      <c r="AK1367" s="72">
        <f>INTERCEPT(AV1367:AY1367,AV1366:AY1366)</f>
        <v>1.114255776541794</v>
      </c>
      <c r="AL1367" s="72">
        <f>INDEX(LINEST(LN(AV1367:AY1367),LN(AV1366:AY1366),TRUE,TRUE),3,1)</f>
        <v>0.3997086044845663</v>
      </c>
      <c r="AM1367" s="72">
        <f>INDEX(LINEST(LN(AV1367:AY1367),LN(AV1366:AY1366)),1)</f>
        <v>-0.41957082991770583</v>
      </c>
      <c r="AN1367" s="72">
        <f>EXP(INDEX(LINEST(LN(AV1367:AY1367),LN(AV1366:AY1366)),1,2))</f>
        <v>3721.230767595709</v>
      </c>
      <c r="AO1367" s="89">
        <f>INDEX(LINEST((AV1367:AY1367),LN(AV1366:AY1366),TRUE,TRUE),3,1)</f>
        <v>0.38598730754030136</v>
      </c>
      <c r="AP1367" s="89">
        <f>INDEX(LINEST((AV1367:AY1367),LN(AV1366:AY1366)),1)</f>
        <v>-0.25144212283556433</v>
      </c>
      <c r="AQ1367" s="90">
        <f>INDEX(LINEST(LN(AV1367:AY1367),SQRT(AV1366:AY1366),TRUE,TRUE),3,1)</f>
        <v>0.48397760714629184</v>
      </c>
      <c r="AR1367" s="117">
        <f>INDEX(LINEST(LN(AV1367:AY1367),SQRT((AV1366:AY1366))),1)</f>
        <v>-3.6309219761831624E-5</v>
      </c>
      <c r="AS1367" s="91">
        <f>INDEX(LINEST(1/(AV1367:AY1367),1/(SQRT(AV1366:AY1366)),TRUE,TRUE),3,1)</f>
        <v>0.333972066866149</v>
      </c>
      <c r="AT1367" s="91">
        <f>INDEX(LINEST(1/(AV1367:AY1367),1/SQRT(AV1366:AY1366)),1)</f>
        <v>-32198.955465882704</v>
      </c>
      <c r="AU1367" s="3"/>
      <c r="AV1367" s="95">
        <v>0.86956521739130432</v>
      </c>
      <c r="AW1367" s="95">
        <v>0.88775510204081631</v>
      </c>
      <c r="AX1367" s="95">
        <v>0.89610389610389607</v>
      </c>
      <c r="AY1367" s="95">
        <v>0.3983739837398374</v>
      </c>
      <c r="AZ1367" s="73"/>
      <c r="BA1367" s="73"/>
      <c r="BB1367" s="73"/>
      <c r="BC1367" s="73"/>
      <c r="BD1367" s="30"/>
      <c r="BE1367" s="30"/>
      <c r="BF1367" s="30"/>
      <c r="BG1367" s="30"/>
      <c r="BH1367" s="30"/>
      <c r="BI1367" s="30"/>
      <c r="BJ1367" s="30"/>
      <c r="BK1367" s="30"/>
      <c r="BL1367" s="30"/>
      <c r="BM1367" s="30"/>
      <c r="BN1367" s="30"/>
      <c r="BO1367" s="30"/>
      <c r="BP1367" s="30"/>
      <c r="BQ1367" s="30"/>
      <c r="BR1367" s="30"/>
      <c r="BS1367" s="30"/>
      <c r="BT1367" s="30"/>
      <c r="BU1367" s="30"/>
      <c r="BV1367" s="30"/>
      <c r="BW1367" s="30"/>
      <c r="BX1367" s="30"/>
      <c r="BY1367" s="30"/>
      <c r="BZ1367" s="30"/>
      <c r="CA1367" s="30"/>
      <c r="CB1367" s="30"/>
      <c r="CC1367" s="30"/>
      <c r="CD1367" s="30"/>
      <c r="CE1367" s="30"/>
      <c r="CF1367" s="30"/>
      <c r="CG1367" s="30"/>
      <c r="CH1367" s="30"/>
      <c r="CI1367" s="30"/>
      <c r="CJ1367" s="30"/>
      <c r="CK1367" s="30"/>
      <c r="CL1367" s="30"/>
      <c r="CM1367" s="30"/>
      <c r="CN1367" s="30"/>
      <c r="CO1367" s="30"/>
      <c r="CP1367" s="30"/>
      <c r="CQ1367" s="30"/>
      <c r="CR1367" s="1"/>
      <c r="CS1367" s="1"/>
      <c r="CT1367" s="1"/>
      <c r="CU1367" s="1"/>
    </row>
    <row r="1368" spans="1:99" s="13" customFormat="1" ht="12" customHeight="1" x14ac:dyDescent="0.2">
      <c r="A1368" s="68">
        <v>43897</v>
      </c>
      <c r="B1368" s="67"/>
      <c r="C1368" s="70"/>
      <c r="D1368" s="69"/>
      <c r="E1368" s="87"/>
      <c r="F1368" s="69"/>
      <c r="G1368" s="69"/>
      <c r="H1368" s="69"/>
      <c r="I1368" s="69"/>
      <c r="J1368" s="69"/>
      <c r="K1368" s="107"/>
      <c r="L1368" s="107"/>
      <c r="M1368" s="69"/>
      <c r="N1368" s="86"/>
      <c r="O1368" s="69"/>
      <c r="P1368" s="69"/>
      <c r="Q1368" s="69"/>
      <c r="R1368" s="69"/>
      <c r="S1368" s="69"/>
      <c r="T1368" s="69"/>
      <c r="U1368" s="69"/>
      <c r="V1368" s="69"/>
      <c r="W1368" s="69"/>
      <c r="X1368" s="69"/>
      <c r="Y1368" s="87"/>
      <c r="Z1368" s="69"/>
      <c r="AA1368" s="69"/>
      <c r="AB1368" s="69"/>
      <c r="AC1368" s="72"/>
      <c r="AD1368" s="69"/>
      <c r="AE1368" s="69"/>
      <c r="AF1368" s="88"/>
      <c r="AG1368" s="72"/>
      <c r="AH1368" s="4"/>
      <c r="AI1368" s="72"/>
      <c r="AJ1368" s="110"/>
      <c r="AK1368" s="72"/>
      <c r="AL1368" s="72"/>
      <c r="AM1368" s="72"/>
      <c r="AN1368" s="72"/>
      <c r="AO1368" s="89"/>
      <c r="AP1368" s="89"/>
      <c r="AQ1368" s="90"/>
      <c r="AR1368" s="117"/>
      <c r="AS1368" s="91"/>
      <c r="AT1368" s="91"/>
      <c r="AU1368" s="3"/>
      <c r="AV1368" s="71">
        <v>315360000</v>
      </c>
      <c r="AW1368" s="71">
        <v>630720000</v>
      </c>
      <c r="AX1368" s="71">
        <v>946080000</v>
      </c>
      <c r="AY1368" s="71">
        <v>1261440000</v>
      </c>
      <c r="AZ1368" s="73"/>
      <c r="BA1368" s="73"/>
      <c r="BB1368" s="73"/>
      <c r="BC1368" s="73"/>
      <c r="BD1368" s="42"/>
      <c r="BE1368" s="42"/>
      <c r="BF1368" s="30"/>
      <c r="BG1368" s="30"/>
      <c r="BH1368" s="30"/>
      <c r="BI1368" s="30"/>
      <c r="BJ1368" s="30"/>
      <c r="BK1368" s="30"/>
      <c r="BL1368" s="30"/>
      <c r="BM1368" s="30"/>
      <c r="BN1368" s="30"/>
      <c r="BO1368" s="30"/>
      <c r="BP1368" s="30"/>
      <c r="BQ1368" s="30"/>
      <c r="BR1368" s="30"/>
      <c r="BS1368" s="30"/>
      <c r="BT1368" s="30"/>
      <c r="BU1368" s="30"/>
      <c r="BV1368" s="30"/>
      <c r="BW1368" s="30"/>
      <c r="BX1368" s="30"/>
      <c r="BY1368" s="30"/>
      <c r="BZ1368" s="30"/>
      <c r="CA1368" s="30"/>
      <c r="CB1368" s="30"/>
      <c r="CC1368" s="30"/>
      <c r="CD1368" s="30"/>
      <c r="CE1368" s="30"/>
      <c r="CF1368" s="30"/>
      <c r="CG1368" s="30"/>
      <c r="CH1368" s="30"/>
      <c r="CI1368" s="30"/>
      <c r="CJ1368" s="30"/>
      <c r="CK1368" s="30"/>
      <c r="CL1368" s="30"/>
      <c r="CM1368" s="30"/>
      <c r="CN1368" s="30"/>
      <c r="CO1368" s="30"/>
      <c r="CP1368" s="30"/>
      <c r="CQ1368" s="30"/>
      <c r="CR1368" s="1"/>
      <c r="CS1368" s="1"/>
      <c r="CT1368" s="1"/>
      <c r="CU1368" s="1"/>
    </row>
    <row r="1369" spans="1:99" s="13" customFormat="1" ht="12" customHeight="1" x14ac:dyDescent="0.2">
      <c r="A1369" s="68">
        <v>43897</v>
      </c>
      <c r="B1369" s="67" t="s">
        <v>415</v>
      </c>
      <c r="C1369" s="67" t="s">
        <v>416</v>
      </c>
      <c r="D1369" s="86">
        <v>1999</v>
      </c>
      <c r="E1369" s="87">
        <v>1</v>
      </c>
      <c r="F1369" s="69">
        <v>1</v>
      </c>
      <c r="G1369" s="69">
        <v>1</v>
      </c>
      <c r="H1369" s="69" t="s">
        <v>50</v>
      </c>
      <c r="I1369" s="69" t="s">
        <v>330</v>
      </c>
      <c r="J1369" s="69" t="s">
        <v>342</v>
      </c>
      <c r="K1369" s="69">
        <f>IF(J1369="syllables",1,IF(J1369="trigrams",2,IF(J1369="strings",3,IF(J1369="visual array",4,IF(J1369="characters",5,IF(J1369="letters",6,IF(J1369="free forms",7,IF(J1369="odors",8,IF(J1369="words",9,IF(J1369="pictures",10,IF(J1369="object pictures",11,IF(J1369="faces",12,IF(J1369="names",13,IF(J1369="idioms",14,IF(J1369="grades",15,IF(J1369="syllable-digit pairs",16,IF(J1369="trigram-word pairs",17,IF(J1369="word-digit pairs",18,IF(J1369="English-Swahili pairs",19,IF(J1369="spatial position",20,IF(J1369="word pairs",21,IF(J1369="word triads",22,IF(J1369="generated words",23,IF(J1369="word definition pairs",24,IF(J1369="math problems",25,IF(J1369="famous faces",26,IF(J1369="famous names",27,IF(J1369="famous voices",28,IF(J1369="television programs",29,IF(J1369="race horses",30,IF(J1369="new vocabulary",31,IF(J1369="sentences",32,IF(J1369="concepts",33,IF(J1369="ad slides",34,IF(J1369="scenes",35,IF(J1369="famous scenes",36,IF(J1369="poems",37,IF(J1369="walk",38,IF(J1369="faces and events",39,IF(J1369="events and names",40,IF(J1369="flashbulb",41,IF(J1369="stories",42,IF(J1369="course material",43,IF(J1369="autobiographical",44,IF(J1369="novels",45,IF(J1369="public events",46,"99"))))))))))))))))))))))))))))))))))))))))))))))</f>
        <v>26</v>
      </c>
      <c r="L1369" s="69">
        <f>IF(J1369="syllables",1,IF(J1369="trigrams",1,IF(J1369="strings",1,IF(J1369="visual array",1,IF(J1369="characters",1,IF(J1369="letters",1,IF(J1369="free forms",1,IF(J1369="odors",2,IF(J1369="words",2,IF(J1369="pictures",2,IF(J1369="object pictures",2,IF(J1369="faces",2,IF(J1369="names",2,IF(J1369="idioms","2",IF(J1369="grades",2,IF(J1369="syllable-digit pairs",3,IF(J1369="trigram-word pairs",3,IF(J1369="word-digit pairs",3,IF(J1369="English-Swahili pairs",3,IF(J1369="spatial position",3,IF(J1369="word pairs",4,IF(J1369="word triads",4,IF(J1369="generated words",4,IF(J1369="word definition pairs",4,IF(J1369="math problems",4,IF(J1369="famous faces",4,IF(J1369="famous names",4,IF(J1369="famous voices",4,IF(J1369="television programs",4,IF(J1369="race horses",4,IF(J1369="new vocabulary",4,IF(J1369="sentences",5,IF(J1369="concepts",5,IF(J1369="ad slides",5,IF(J1369="scenes",5,IF(J1369="famous scenes",5,IF(J1369="poems",6,IF(J1369="walk",6,IF(J1369="faces and events",6,IF(J1369="events and names",6,IF(J1369="flashbulb",7,IF(J1369="stories",7,IF(J1369="course material",7,IF(J1369="autobiographical",7,IF(J1369="novels",7,IF(J1369="public events",7,"99"))))))))))))))))))))))))))))))))))))))))))))))</f>
        <v>4</v>
      </c>
      <c r="M1369" s="69">
        <v>1</v>
      </c>
      <c r="N1369" s="86">
        <v>2</v>
      </c>
      <c r="O1369" s="69">
        <v>0</v>
      </c>
      <c r="P1369" s="69"/>
      <c r="Q1369" s="69" t="s">
        <v>182</v>
      </c>
      <c r="R1369" s="69">
        <f>IF(Q1369="Free Recall",1,IF(Q1369="Cued Recall",2,IF(Q1369="Recognition",3,IF(Q1369="Multiple Choice",4,IF(Q1369="Savings",5,IF(Q1369="Stem Completion",6,IF(Q1369="Fragment Completion",7,IF(Q1369="anagram solution",8,IF(Q1369="Matching",9,IF(Q1369="Problem Solving",10,"99"))))))))))</f>
        <v>4</v>
      </c>
      <c r="S1369" s="69" t="s">
        <v>15</v>
      </c>
      <c r="T1369" s="92" t="s">
        <v>581</v>
      </c>
      <c r="U1369" s="69">
        <f>IF(T1369="within",1,0)</f>
        <v>1</v>
      </c>
      <c r="V1369" s="92">
        <v>40</v>
      </c>
      <c r="W1369" s="69">
        <f>F1369*V1369</f>
        <v>40</v>
      </c>
      <c r="X1369" s="69">
        <v>4</v>
      </c>
      <c r="Y1369" s="87">
        <f>AV1368</f>
        <v>315360000</v>
      </c>
      <c r="Z1369" s="92" t="s">
        <v>329</v>
      </c>
      <c r="AA1369" s="69">
        <f>40*365*24*60*60</f>
        <v>1261440000</v>
      </c>
      <c r="AB1369" s="69" t="str">
        <f>IF(AA1369&lt;60,"1",IF(AA1369&lt;=43200,"2",IF(AA1369&lt;=777600,"3","4")))</f>
        <v>4</v>
      </c>
      <c r="AC1369" s="72">
        <f>AVERAGE(AV1368:DA1368)</f>
        <v>788400000</v>
      </c>
      <c r="AD1369" s="69" t="str">
        <f>IF(AC1369&lt;60,"1",IF(AC1369&lt;=43200,"2",IF(AC1369&lt;=777600,"3","4")))</f>
        <v>4</v>
      </c>
      <c r="AE1369" s="87">
        <f>AA1369-Y1369</f>
        <v>946080000</v>
      </c>
      <c r="AF1369" s="88">
        <f>AV1369</f>
        <v>1</v>
      </c>
      <c r="AG1369" s="72">
        <f>((AW1369-AV1369)+(AX1369-AW1369)+(AY1369-AX1369))/3</f>
        <v>-9.8591549295774628E-2</v>
      </c>
      <c r="AH1369" s="4"/>
      <c r="AI1369" s="72">
        <f>RSQ(AV1369:AY1369,AV1368:AY1368)</f>
        <v>0.6000000000000002</v>
      </c>
      <c r="AJ1369" s="110">
        <f>SLOPE(AV1369:AY1369,AV1368:AY1368)</f>
        <v>-2.8136857675734768E-10</v>
      </c>
      <c r="AK1369" s="72">
        <f>INTERCEPT(AV1369:AY1369,AV1368:AY1368)</f>
        <v>1.147887323943662</v>
      </c>
      <c r="AL1369" s="72">
        <f>INDEX(LINEST(LN(AV1369:AY1369),LN(AV1368:AY1368),TRUE,TRUE),3,1)</f>
        <v>0.43067357489469132</v>
      </c>
      <c r="AM1369" s="72">
        <f>INDEX(LINEST(LN(AV1369:AY1369),LN(AV1368:AY1368)),1)</f>
        <v>-0.19139513571339281</v>
      </c>
      <c r="AN1369" s="72">
        <f>EXP(INDEX(LINEST(LN(AV1369:AY1369),LN(AV1368:AY1368)),1,2))</f>
        <v>45.143953229566264</v>
      </c>
      <c r="AO1369" s="89">
        <f>INDEX(LINEST((AV1369:AY1369),LN(AV1368:AY1368),TRUE,TRUE),3,1)</f>
        <v>0.43067357489469138</v>
      </c>
      <c r="AP1369" s="89">
        <f>INDEX(LINEST((AV1369:AY1369),LN(AV1368:AY1368)),1)</f>
        <v>-0.16143938264362617</v>
      </c>
      <c r="AQ1369" s="90">
        <f>INDEX(LINEST(LN(AV1369:AY1369),SQRT(AV1368:AY1368),TRUE,TRUE),3,1)</f>
        <v>0.51516937772217042</v>
      </c>
      <c r="AR1369" s="117">
        <f>INDEX(LINEST(LN(AV1369:AY1369),SQRT((AV1368:AY1368))),1)</f>
        <v>-1.6462756244879608E-5</v>
      </c>
      <c r="AS1369" s="91">
        <f>INDEX(LINEST(1/(AV1369:AY1369),1/(SQRT(AV1368:AY1368)),TRUE,TRUE),3,1)</f>
        <v>0.35358193173546465</v>
      </c>
      <c r="AT1369" s="91">
        <f>INDEX(LINEST(1/(AV1369:AY1369),1/SQRT(AV1368:AY1368)),1)</f>
        <v>-10085.437494546009</v>
      </c>
      <c r="AU1369" s="3"/>
      <c r="AV1369" s="95">
        <v>1</v>
      </c>
      <c r="AW1369" s="95">
        <v>1</v>
      </c>
      <c r="AX1369" s="95">
        <v>1</v>
      </c>
      <c r="AY1369" s="95">
        <v>0.70422535211267612</v>
      </c>
      <c r="AZ1369" s="73"/>
      <c r="BA1369" s="73"/>
      <c r="BB1369" s="73"/>
      <c r="BC1369" s="73"/>
      <c r="BD1369" s="42"/>
      <c r="BE1369" s="42"/>
      <c r="BF1369" s="42"/>
      <c r="BG1369" s="42"/>
      <c r="BH1369" s="30"/>
      <c r="BI1369" s="30"/>
      <c r="BJ1369" s="30"/>
      <c r="BK1369" s="30"/>
      <c r="BL1369" s="30"/>
      <c r="BM1369" s="30"/>
      <c r="BN1369" s="30"/>
      <c r="BO1369" s="30"/>
      <c r="BP1369" s="30"/>
      <c r="BQ1369" s="30"/>
      <c r="BR1369" s="30"/>
      <c r="BS1369" s="30"/>
      <c r="BT1369" s="30"/>
      <c r="BU1369" s="30"/>
      <c r="BV1369" s="30"/>
      <c r="BW1369" s="30"/>
      <c r="BX1369" s="30"/>
      <c r="BY1369" s="30"/>
      <c r="BZ1369" s="30"/>
      <c r="CA1369" s="30"/>
      <c r="CB1369" s="30"/>
      <c r="CC1369" s="30"/>
      <c r="CD1369" s="30"/>
      <c r="CE1369" s="30"/>
      <c r="CF1369" s="30"/>
      <c r="CG1369" s="30"/>
      <c r="CH1369" s="30"/>
      <c r="CI1369" s="30"/>
      <c r="CJ1369" s="30"/>
      <c r="CK1369" s="30"/>
      <c r="CL1369" s="30"/>
      <c r="CM1369" s="30"/>
      <c r="CN1369" s="30"/>
      <c r="CO1369" s="30"/>
      <c r="CP1369" s="30"/>
      <c r="CQ1369" s="30"/>
      <c r="CR1369" s="1"/>
      <c r="CS1369" s="1"/>
      <c r="CT1369" s="1"/>
      <c r="CU1369" s="1"/>
    </row>
    <row r="1370" spans="1:99" s="13" customFormat="1" ht="12" customHeight="1" x14ac:dyDescent="0.2">
      <c r="A1370" s="68">
        <v>43897</v>
      </c>
      <c r="B1370" s="67"/>
      <c r="C1370" s="70"/>
      <c r="D1370" s="69"/>
      <c r="E1370" s="87"/>
      <c r="F1370" s="69"/>
      <c r="G1370" s="69"/>
      <c r="H1370" s="69"/>
      <c r="I1370" s="69"/>
      <c r="J1370" s="69"/>
      <c r="K1370" s="107"/>
      <c r="L1370" s="107"/>
      <c r="M1370" s="69"/>
      <c r="N1370" s="86"/>
      <c r="O1370" s="69"/>
      <c r="P1370" s="69"/>
      <c r="Q1370" s="69"/>
      <c r="R1370" s="69"/>
      <c r="S1370" s="69"/>
      <c r="T1370" s="69"/>
      <c r="U1370" s="69"/>
      <c r="V1370" s="69"/>
      <c r="W1370" s="69"/>
      <c r="X1370" s="69"/>
      <c r="Y1370" s="87"/>
      <c r="Z1370" s="69"/>
      <c r="AA1370" s="69"/>
      <c r="AB1370" s="69"/>
      <c r="AC1370" s="72"/>
      <c r="AD1370" s="69"/>
      <c r="AE1370" s="69"/>
      <c r="AF1370" s="88"/>
      <c r="AG1370" s="72"/>
      <c r="AH1370" s="4"/>
      <c r="AI1370" s="72"/>
      <c r="AJ1370" s="110"/>
      <c r="AK1370" s="72"/>
      <c r="AL1370" s="72"/>
      <c r="AM1370" s="72"/>
      <c r="AN1370" s="72"/>
      <c r="AO1370" s="89"/>
      <c r="AP1370" s="89"/>
      <c r="AQ1370" s="90"/>
      <c r="AR1370" s="117"/>
      <c r="AS1370" s="91"/>
      <c r="AT1370" s="91"/>
      <c r="AU1370" s="3"/>
      <c r="AV1370" s="71">
        <v>315360000</v>
      </c>
      <c r="AW1370" s="71">
        <v>630720000</v>
      </c>
      <c r="AX1370" s="71">
        <v>946080000</v>
      </c>
      <c r="AY1370" s="71">
        <v>1261440000</v>
      </c>
      <c r="AZ1370" s="73"/>
      <c r="BA1370" s="73"/>
      <c r="BB1370" s="73"/>
      <c r="BC1370" s="73"/>
      <c r="BD1370" s="30"/>
      <c r="BE1370" s="30"/>
      <c r="BF1370" s="30"/>
      <c r="BG1370" s="30"/>
      <c r="BH1370" s="30"/>
      <c r="BI1370" s="30"/>
      <c r="BJ1370" s="30"/>
      <c r="BK1370" s="30"/>
      <c r="BL1370" s="30"/>
      <c r="BM1370" s="30"/>
      <c r="BN1370" s="30"/>
      <c r="BO1370" s="30"/>
      <c r="BP1370" s="30"/>
      <c r="BQ1370" s="30"/>
      <c r="BR1370" s="30"/>
      <c r="BS1370" s="30"/>
      <c r="BT1370" s="30"/>
      <c r="BU1370" s="30"/>
      <c r="BV1370" s="30"/>
      <c r="BW1370" s="30"/>
      <c r="BX1370" s="30"/>
      <c r="BY1370" s="30"/>
      <c r="BZ1370" s="30"/>
      <c r="CA1370" s="30"/>
      <c r="CB1370" s="30"/>
      <c r="CC1370" s="30"/>
      <c r="CD1370" s="30"/>
      <c r="CE1370" s="30"/>
      <c r="CF1370" s="30"/>
      <c r="CG1370" s="30"/>
      <c r="CH1370" s="30"/>
      <c r="CI1370" s="30"/>
      <c r="CJ1370" s="30"/>
      <c r="CK1370" s="30"/>
      <c r="CL1370" s="30"/>
      <c r="CM1370" s="30"/>
      <c r="CN1370" s="30"/>
      <c r="CO1370" s="30"/>
      <c r="CP1370" s="30"/>
      <c r="CQ1370" s="30"/>
      <c r="CR1370" s="1"/>
      <c r="CS1370" s="1"/>
      <c r="CT1370" s="1"/>
      <c r="CU1370" s="1"/>
    </row>
    <row r="1371" spans="1:99" s="13" customFormat="1" ht="12" customHeight="1" x14ac:dyDescent="0.2">
      <c r="A1371" s="68">
        <v>43897</v>
      </c>
      <c r="B1371" s="67" t="s">
        <v>415</v>
      </c>
      <c r="C1371" s="67" t="s">
        <v>416</v>
      </c>
      <c r="D1371" s="86">
        <v>1999</v>
      </c>
      <c r="E1371" s="87">
        <v>1</v>
      </c>
      <c r="F1371" s="69">
        <v>1</v>
      </c>
      <c r="G1371" s="69">
        <v>1</v>
      </c>
      <c r="H1371" s="69" t="s">
        <v>50</v>
      </c>
      <c r="I1371" s="69" t="s">
        <v>330</v>
      </c>
      <c r="J1371" s="69" t="s">
        <v>376</v>
      </c>
      <c r="K1371" s="69">
        <f>IF(J1371="syllables",1,IF(J1371="trigrams",2,IF(J1371="strings",3,IF(J1371="visual array",4,IF(J1371="characters",5,IF(J1371="letters",6,IF(J1371="free forms",7,IF(J1371="odors",8,IF(J1371="words",9,IF(J1371="pictures",10,IF(J1371="object pictures",11,IF(J1371="faces",12,IF(J1371="names",13,IF(J1371="idioms",14,IF(J1371="grades",15,IF(J1371="syllable-digit pairs",16,IF(J1371="trigram-word pairs",17,IF(J1371="word-digit pairs",18,IF(J1371="English-Swahili pairs",19,IF(J1371="spatial position",20,IF(J1371="word pairs",21,IF(J1371="word triads",22,IF(J1371="generated words",23,IF(J1371="word definition pairs",24,IF(J1371="math problems",25,IF(J1371="famous faces",26,IF(J1371="famous names",27,IF(J1371="famous voices",28,IF(J1371="television programs",29,IF(J1371="race horses",30,IF(J1371="new vocabulary",31,IF(J1371="sentences",32,IF(J1371="concepts",33,IF(J1371="ad slides",34,IF(J1371="scenes",35,IF(J1371="famous scenes",36,IF(J1371="poems",37,IF(J1371="walk",38,IF(J1371="faces and events",39,IF(J1371="events and names",40,IF(J1371="flashbulb",41,IF(J1371="stories",42,IF(J1371="course material",43,IF(J1371="autobiographical",44,IF(J1371="novels",45,IF(J1371="public events",46,"99"))))))))))))))))))))))))))))))))))))))))))))))</f>
        <v>29</v>
      </c>
      <c r="L1371" s="69">
        <f>IF(J1371="syllables",1,IF(J1371="trigrams",1,IF(J1371="strings",1,IF(J1371="visual array",1,IF(J1371="characters",1,IF(J1371="letters",1,IF(J1371="free forms",1,IF(J1371="odors",2,IF(J1371="words",2,IF(J1371="pictures",2,IF(J1371="object pictures",2,IF(J1371="faces",2,IF(J1371="names",2,IF(J1371="idioms","2",IF(J1371="grades",2,IF(J1371="syllable-digit pairs",3,IF(J1371="trigram-word pairs",3,IF(J1371="word-digit pairs",3,IF(J1371="English-Swahili pairs",3,IF(J1371="spatial position",3,IF(J1371="word pairs",4,IF(J1371="word triads",4,IF(J1371="generated words",4,IF(J1371="word definition pairs",4,IF(J1371="math problems",4,IF(J1371="famous faces",4,IF(J1371="famous names",4,IF(J1371="famous voices",4,IF(J1371="television programs",4,IF(J1371="race horses",4,IF(J1371="new vocabulary",4,IF(J1371="sentences",5,IF(J1371="concepts",5,IF(J1371="ad slides",5,IF(J1371="scenes",5,IF(J1371="famous scenes",5,IF(J1371="poems",6,IF(J1371="walk",6,IF(J1371="faces and events",6,IF(J1371="events and names",6,IF(J1371="flashbulb",7,IF(J1371="stories",7,IF(J1371="course material",7,IF(J1371="autobiographical",7,IF(J1371="novels",7,IF(J1371="public events",7,"99"))))))))))))))))))))))))))))))))))))))))))))))</f>
        <v>4</v>
      </c>
      <c r="M1371" s="69">
        <v>1</v>
      </c>
      <c r="N1371" s="86">
        <v>2</v>
      </c>
      <c r="O1371" s="69">
        <v>0</v>
      </c>
      <c r="P1371" s="69"/>
      <c r="Q1371" s="69" t="s">
        <v>174</v>
      </c>
      <c r="R1371" s="69">
        <f>IF(Q1371="Free Recall",1,IF(Q1371="Cued Recall",2,IF(Q1371="Recognition",3,IF(Q1371="Multiple Choice",4,IF(Q1371="Savings",5,IF(Q1371="Stem Completion",6,IF(Q1371="Fragment Completion",7,IF(Q1371="anagram solution",8,IF(Q1371="Matching",9,IF(Q1371="Problem Solving",10,"99"))))))))))</f>
        <v>1</v>
      </c>
      <c r="S1371" s="92" t="s">
        <v>49</v>
      </c>
      <c r="T1371" s="92" t="s">
        <v>581</v>
      </c>
      <c r="U1371" s="69">
        <f>IF(T1371="within",1,0)</f>
        <v>1</v>
      </c>
      <c r="V1371" s="92">
        <v>40</v>
      </c>
      <c r="W1371" s="69">
        <f>F1371*V1371</f>
        <v>40</v>
      </c>
      <c r="X1371" s="69">
        <v>4</v>
      </c>
      <c r="Y1371" s="87">
        <f>AV1370</f>
        <v>315360000</v>
      </c>
      <c r="Z1371" s="92" t="s">
        <v>329</v>
      </c>
      <c r="AA1371" s="69">
        <f>40*365*24*60*60</f>
        <v>1261440000</v>
      </c>
      <c r="AB1371" s="69" t="str">
        <f>IF(AA1371&lt;60,"1",IF(AA1371&lt;=43200,"2",IF(AA1371&lt;=777600,"3","4")))</f>
        <v>4</v>
      </c>
      <c r="AC1371" s="72">
        <f>AVERAGE(AV1370:DA1370)</f>
        <v>788400000</v>
      </c>
      <c r="AD1371" s="69" t="str">
        <f>IF(AC1371&lt;60,"1",IF(AC1371&lt;=43200,"2",IF(AC1371&lt;=777600,"3","4")))</f>
        <v>4</v>
      </c>
      <c r="AE1371" s="87">
        <f>AA1371-Y1371</f>
        <v>946080000</v>
      </c>
      <c r="AF1371" s="88">
        <f>AV1371</f>
        <v>0.70175438596491235</v>
      </c>
      <c r="AG1371" s="72">
        <f>((AW1371-AV1371)+(AX1371-AW1371)+(AY1371-AX1371))/3</f>
        <v>-3.3114915803565147E-2</v>
      </c>
      <c r="AH1371" s="4"/>
      <c r="AI1371" s="72">
        <f>RSQ(AV1371:AY1371,AV1370:AY1370)</f>
        <v>4.3668366731778189E-3</v>
      </c>
      <c r="AJ1371" s="110">
        <f>SLOPE(AV1371:AY1371,AV1370:AY1370)</f>
        <v>3.041132410810109E-11</v>
      </c>
      <c r="AK1371" s="72">
        <f>INTERCEPT(AV1371:AY1371,AV1370:AY1370)</f>
        <v>0.70357986971810682</v>
      </c>
      <c r="AL1371" s="72">
        <f>INDEX(LINEST(LN(AV1371:AY1371),LN(AV1370:AY1370),TRUE,TRUE),3,1)</f>
        <v>5.653602526222338E-3</v>
      </c>
      <c r="AM1371" s="72">
        <f>INDEX(LINEST(LN(AV1371:AY1371),LN(AV1370:AY1370)),1)</f>
        <v>2.9727723158478062E-2</v>
      </c>
      <c r="AN1371" s="72">
        <f>EXP(INDEX(LINEST(LN(AV1371:AY1371),LN(AV1370:AY1370)),1,2))</f>
        <v>0.38836534667018008</v>
      </c>
      <c r="AO1371" s="89">
        <f>INDEX(LINEST((AV1371:AY1371),LN(AV1370:AY1370),TRUE,TRUE),3,1)</f>
        <v>1.516042416930307E-2</v>
      </c>
      <c r="AP1371" s="89">
        <f>INDEX(LINEST((AV1371:AY1371),LN(AV1370:AY1370)),1)</f>
        <v>3.8374518421542277E-2</v>
      </c>
      <c r="AQ1371" s="90">
        <f>INDEX(LINEST(LN(AV1371:AY1371),SQRT(AV1370:AY1370),TRUE,TRUE),3,1)</f>
        <v>2.865935111990348E-3</v>
      </c>
      <c r="AR1371" s="117">
        <f>INDEX(LINEST(LN(AV1371:AY1371),SQRT((AV1370:AY1370))),1)</f>
        <v>1.6645733329349725E-6</v>
      </c>
      <c r="AS1371" s="91">
        <f>INDEX(LINEST(1/(AV1371:AY1371),1/(SQRT(AV1370:AY1370)),TRUE,TRUE),3,1)</f>
        <v>1.134243061882383E-3</v>
      </c>
      <c r="AT1371" s="91">
        <f>INDEX(LINEST(1/(AV1371:AY1371),1/SQRT(AV1370:AY1370)),1)</f>
        <v>840.1057494328453</v>
      </c>
      <c r="AU1371" s="3"/>
      <c r="AV1371" s="95">
        <v>0.70175438596491235</v>
      </c>
      <c r="AW1371" s="95">
        <v>0.60606060606060608</v>
      </c>
      <c r="AX1371" s="95">
        <v>1</v>
      </c>
      <c r="AY1371" s="95">
        <v>0.60240963855421692</v>
      </c>
      <c r="AZ1371" s="73"/>
      <c r="BA1371" s="73"/>
      <c r="BB1371" s="73"/>
      <c r="BC1371" s="73"/>
      <c r="BD1371" s="30"/>
      <c r="BE1371" s="30"/>
      <c r="BF1371" s="30"/>
      <c r="BG1371" s="30"/>
      <c r="BH1371" s="30"/>
      <c r="BI1371" s="30"/>
      <c r="BJ1371" s="30"/>
      <c r="BK1371" s="30"/>
      <c r="BL1371" s="30"/>
      <c r="BM1371" s="30"/>
      <c r="BN1371" s="30"/>
      <c r="BO1371" s="30"/>
      <c r="BP1371" s="30"/>
      <c r="BQ1371" s="30"/>
      <c r="BR1371" s="30"/>
      <c r="BS1371" s="30"/>
      <c r="BT1371" s="30"/>
      <c r="BU1371" s="30"/>
      <c r="BV1371" s="30"/>
      <c r="BW1371" s="30"/>
      <c r="BX1371" s="30"/>
      <c r="BY1371" s="30"/>
      <c r="BZ1371" s="30"/>
      <c r="CA1371" s="30"/>
      <c r="CB1371" s="30"/>
      <c r="CC1371" s="30"/>
      <c r="CD1371" s="30"/>
      <c r="CE1371" s="30"/>
      <c r="CF1371" s="30"/>
      <c r="CG1371" s="30"/>
      <c r="CH1371" s="30"/>
      <c r="CI1371" s="30"/>
      <c r="CJ1371" s="30"/>
      <c r="CK1371" s="30"/>
      <c r="CL1371" s="30"/>
      <c r="CM1371" s="30"/>
      <c r="CN1371" s="30"/>
      <c r="CO1371" s="30"/>
      <c r="CP1371" s="30"/>
      <c r="CQ1371" s="30"/>
      <c r="CR1371" s="1"/>
      <c r="CS1371" s="1"/>
      <c r="CT1371" s="1"/>
      <c r="CU1371" s="1"/>
    </row>
    <row r="1372" spans="1:99" s="13" customFormat="1" ht="12" customHeight="1" x14ac:dyDescent="0.2">
      <c r="A1372" s="68">
        <v>43897</v>
      </c>
      <c r="B1372" s="67"/>
      <c r="C1372" s="70"/>
      <c r="D1372" s="69"/>
      <c r="E1372" s="87"/>
      <c r="F1372" s="69"/>
      <c r="G1372" s="69"/>
      <c r="H1372" s="69"/>
      <c r="I1372" s="69"/>
      <c r="J1372" s="69"/>
      <c r="K1372" s="107"/>
      <c r="L1372" s="107"/>
      <c r="M1372" s="69"/>
      <c r="N1372" s="86"/>
      <c r="O1372" s="69"/>
      <c r="P1372" s="69"/>
      <c r="Q1372" s="69"/>
      <c r="R1372" s="69"/>
      <c r="S1372" s="69"/>
      <c r="T1372" s="69"/>
      <c r="U1372" s="69"/>
      <c r="V1372" s="69"/>
      <c r="W1372" s="69"/>
      <c r="X1372" s="69"/>
      <c r="Y1372" s="87"/>
      <c r="Z1372" s="69"/>
      <c r="AA1372" s="69"/>
      <c r="AB1372" s="69"/>
      <c r="AC1372" s="72"/>
      <c r="AD1372" s="69"/>
      <c r="AE1372" s="69"/>
      <c r="AF1372" s="88"/>
      <c r="AG1372" s="72"/>
      <c r="AH1372" s="4"/>
      <c r="AI1372" s="72"/>
      <c r="AJ1372" s="110"/>
      <c r="AK1372" s="72"/>
      <c r="AL1372" s="72"/>
      <c r="AM1372" s="72"/>
      <c r="AN1372" s="72"/>
      <c r="AO1372" s="89"/>
      <c r="AP1372" s="89"/>
      <c r="AQ1372" s="90"/>
      <c r="AR1372" s="117"/>
      <c r="AS1372" s="91"/>
      <c r="AT1372" s="91"/>
      <c r="AU1372" s="3"/>
      <c r="AV1372" s="71">
        <v>315360000</v>
      </c>
      <c r="AW1372" s="71">
        <v>630720000</v>
      </c>
      <c r="AX1372" s="71">
        <v>946080000</v>
      </c>
      <c r="AY1372" s="71">
        <v>1261440000</v>
      </c>
      <c r="AZ1372" s="73"/>
      <c r="BA1372" s="73"/>
      <c r="BB1372" s="73"/>
      <c r="BC1372" s="73"/>
      <c r="BD1372" s="30"/>
      <c r="BE1372" s="30"/>
      <c r="BF1372" s="30"/>
      <c r="BG1372" s="30"/>
      <c r="BH1372" s="30"/>
      <c r="BI1372" s="30"/>
      <c r="BJ1372" s="30"/>
      <c r="BK1372" s="30"/>
      <c r="BL1372" s="30"/>
      <c r="BM1372" s="30"/>
      <c r="BN1372" s="30"/>
      <c r="BO1372" s="30"/>
      <c r="BP1372" s="30"/>
      <c r="BQ1372" s="30"/>
      <c r="BR1372" s="30"/>
      <c r="BS1372" s="30"/>
      <c r="BT1372" s="30"/>
      <c r="BU1372" s="30"/>
      <c r="BV1372" s="30"/>
      <c r="BW1372" s="30"/>
      <c r="BX1372" s="30"/>
      <c r="BY1372" s="30"/>
      <c r="BZ1372" s="30"/>
      <c r="CA1372" s="30"/>
      <c r="CB1372" s="30"/>
      <c r="CC1372" s="30"/>
      <c r="CD1372" s="30"/>
      <c r="CE1372" s="30"/>
      <c r="CF1372" s="30"/>
      <c r="CG1372" s="30"/>
      <c r="CH1372" s="30"/>
      <c r="CI1372" s="30"/>
      <c r="CJ1372" s="30"/>
      <c r="CK1372" s="30"/>
      <c r="CL1372" s="30"/>
      <c r="CM1372" s="30"/>
      <c r="CN1372" s="30"/>
      <c r="CO1372" s="30"/>
      <c r="CP1372" s="30"/>
      <c r="CQ1372" s="30"/>
      <c r="CR1372" s="1"/>
      <c r="CS1372" s="1"/>
      <c r="CT1372" s="1"/>
      <c r="CU1372" s="1"/>
    </row>
    <row r="1373" spans="1:99" s="13" customFormat="1" ht="12" customHeight="1" x14ac:dyDescent="0.2">
      <c r="A1373" s="68">
        <v>43897</v>
      </c>
      <c r="B1373" s="67" t="s">
        <v>415</v>
      </c>
      <c r="C1373" s="67" t="s">
        <v>416</v>
      </c>
      <c r="D1373" s="86">
        <v>1999</v>
      </c>
      <c r="E1373" s="87">
        <v>1</v>
      </c>
      <c r="F1373" s="69">
        <v>1</v>
      </c>
      <c r="G1373" s="69">
        <v>1</v>
      </c>
      <c r="H1373" s="69" t="s">
        <v>50</v>
      </c>
      <c r="I1373" s="69" t="s">
        <v>330</v>
      </c>
      <c r="J1373" s="69" t="s">
        <v>376</v>
      </c>
      <c r="K1373" s="69">
        <f>IF(J1373="syllables",1,IF(J1373="trigrams",2,IF(J1373="strings",3,IF(J1373="visual array",4,IF(J1373="characters",5,IF(J1373="letters",6,IF(J1373="free forms",7,IF(J1373="odors",8,IF(J1373="words",9,IF(J1373="pictures",10,IF(J1373="object pictures",11,IF(J1373="faces",12,IF(J1373="names",13,IF(J1373="idioms",14,IF(J1373="grades",15,IF(J1373="syllable-digit pairs",16,IF(J1373="trigram-word pairs",17,IF(J1373="word-digit pairs",18,IF(J1373="English-Swahili pairs",19,IF(J1373="spatial position",20,IF(J1373="word pairs",21,IF(J1373="word triads",22,IF(J1373="generated words",23,IF(J1373="word definition pairs",24,IF(J1373="math problems",25,IF(J1373="famous faces",26,IF(J1373="famous names",27,IF(J1373="famous voices",28,IF(J1373="television programs",29,IF(J1373="race horses",30,IF(J1373="new vocabulary",31,IF(J1373="sentences",32,IF(J1373="concepts",33,IF(J1373="ad slides",34,IF(J1373="scenes",35,IF(J1373="famous scenes",36,IF(J1373="poems",37,IF(J1373="walk",38,IF(J1373="faces and events",39,IF(J1373="events and names",40,IF(J1373="flashbulb",41,IF(J1373="stories",42,IF(J1373="course material",43,IF(J1373="autobiographical",44,IF(J1373="novels",45,IF(J1373="public events",46,"99"))))))))))))))))))))))))))))))))))))))))))))))</f>
        <v>29</v>
      </c>
      <c r="L1373" s="69">
        <f>IF(J1373="syllables",1,IF(J1373="trigrams",1,IF(J1373="strings",1,IF(J1373="visual array",1,IF(J1373="characters",1,IF(J1373="letters",1,IF(J1373="free forms",1,IF(J1373="odors",2,IF(J1373="words",2,IF(J1373="pictures",2,IF(J1373="object pictures",2,IF(J1373="faces",2,IF(J1373="names",2,IF(J1373="idioms","2",IF(J1373="grades",2,IF(J1373="syllable-digit pairs",3,IF(J1373="trigram-word pairs",3,IF(J1373="word-digit pairs",3,IF(J1373="English-Swahili pairs",3,IF(J1373="spatial position",3,IF(J1373="word pairs",4,IF(J1373="word triads",4,IF(J1373="generated words",4,IF(J1373="word definition pairs",4,IF(J1373="math problems",4,IF(J1373="famous faces",4,IF(J1373="famous names",4,IF(J1373="famous voices",4,IF(J1373="television programs",4,IF(J1373="race horses",4,IF(J1373="new vocabulary",4,IF(J1373="sentences",5,IF(J1373="concepts",5,IF(J1373="ad slides",5,IF(J1373="scenes",5,IF(J1373="famous scenes",5,IF(J1373="poems",6,IF(J1373="walk",6,IF(J1373="faces and events",6,IF(J1373="events and names",6,IF(J1373="flashbulb",7,IF(J1373="stories",7,IF(J1373="course material",7,IF(J1373="autobiographical",7,IF(J1373="novels",7,IF(J1373="public events",7,"99"))))))))))))))))))))))))))))))))))))))))))))))</f>
        <v>4</v>
      </c>
      <c r="M1373" s="69">
        <v>1</v>
      </c>
      <c r="N1373" s="86">
        <v>2</v>
      </c>
      <c r="O1373" s="69">
        <v>0</v>
      </c>
      <c r="P1373" s="69"/>
      <c r="Q1373" s="69" t="s">
        <v>182</v>
      </c>
      <c r="R1373" s="69">
        <f>IF(Q1373="Free Recall",1,IF(Q1373="Cued Recall",2,IF(Q1373="Recognition",3,IF(Q1373="Multiple Choice",4,IF(Q1373="Savings",5,IF(Q1373="Stem Completion",6,IF(Q1373="Fragment Completion",7,IF(Q1373="anagram solution",8,IF(Q1373="Matching",9,IF(Q1373="Problem Solving",10,"99"))))))))))</f>
        <v>4</v>
      </c>
      <c r="S1373" s="69" t="s">
        <v>15</v>
      </c>
      <c r="T1373" s="92" t="s">
        <v>581</v>
      </c>
      <c r="U1373" s="69">
        <f>IF(T1373="within",1,0)</f>
        <v>1</v>
      </c>
      <c r="V1373" s="92">
        <v>40</v>
      </c>
      <c r="W1373" s="69">
        <f>F1373*V1373</f>
        <v>40</v>
      </c>
      <c r="X1373" s="69">
        <v>4</v>
      </c>
      <c r="Y1373" s="87">
        <f>AV1372</f>
        <v>315360000</v>
      </c>
      <c r="Z1373" s="92" t="s">
        <v>329</v>
      </c>
      <c r="AA1373" s="69">
        <f>40*365*24*60*60</f>
        <v>1261440000</v>
      </c>
      <c r="AB1373" s="69" t="str">
        <f>IF(AA1373&lt;60,"1",IF(AA1373&lt;=43200,"2",IF(AA1373&lt;=777600,"3","4")))</f>
        <v>4</v>
      </c>
      <c r="AC1373" s="72">
        <f>AVERAGE(AV1372:DA1372)</f>
        <v>788400000</v>
      </c>
      <c r="AD1373" s="69" t="str">
        <f>IF(AC1373&lt;60,"1",IF(AC1373&lt;=43200,"2",IF(AC1373&lt;=777600,"3","4")))</f>
        <v>4</v>
      </c>
      <c r="AE1373" s="87">
        <f>AA1373-Y1373</f>
        <v>946080000</v>
      </c>
      <c r="AF1373" s="88">
        <f>AV1373</f>
        <v>1</v>
      </c>
      <c r="AG1373" s="72">
        <f>((AW1373-AV1373)+(AX1373-AW1373)+(AY1373-AX1373))/3</f>
        <v>-6.6666666666666652E-2</v>
      </c>
      <c r="AH1373" s="4"/>
      <c r="AI1373" s="72">
        <f>RSQ(AV1373:AY1373,AV1372:AY1372)</f>
        <v>0.59999999999999987</v>
      </c>
      <c r="AJ1373" s="110">
        <f>SLOPE(AV1373:AY1373,AV1372:AY1372)</f>
        <v>-1.9025875190258746E-10</v>
      </c>
      <c r="AK1373" s="72">
        <f>INTERCEPT(AV1373:AY1373,AV1372:AY1372)</f>
        <v>1.0999999999999999</v>
      </c>
      <c r="AL1373" s="72">
        <f>INDEX(LINEST(LN(AV1373:AY1373),LN(AV1372:AY1372),TRUE,TRUE),3,1)</f>
        <v>0.43067357489469127</v>
      </c>
      <c r="AM1373" s="72">
        <f>INDEX(LINEST(LN(AV1373:AY1373),LN(AV1372:AY1372)),1)</f>
        <v>-0.12179595993905411</v>
      </c>
      <c r="AN1373" s="72">
        <f>EXP(INDEX(LINEST(LN(AV1373:AY1373),LN(AV1372:AY1372)),1,2))</f>
        <v>11.295848111563116</v>
      </c>
      <c r="AO1373" s="89">
        <f>INDEX(LINEST((AV1373:AY1373),LN(AV1372:AY1372),TRUE,TRUE),3,1)</f>
        <v>0.43067357489469132</v>
      </c>
      <c r="AP1373" s="89">
        <f>INDEX(LINEST((AV1373:AY1373),LN(AV1372:AY1372)),1)</f>
        <v>-0.10916377302569009</v>
      </c>
      <c r="AQ1373" s="90">
        <f>INDEX(LINEST(LN(AV1373:AY1373),SQRT(AV1372:AY1372),TRUE,TRUE),3,1)</f>
        <v>0.51516937772217053</v>
      </c>
      <c r="AR1373" s="117">
        <f>INDEX(LINEST(LN(AV1373:AY1373),SQRT((AV1372:AY1372))),1)</f>
        <v>-1.047621817876463E-5</v>
      </c>
      <c r="AS1373" s="91">
        <f>INDEX(LINEST(1/(AV1373:AY1373),1/(SQRT(AV1372:AY1372)),TRUE,TRUE),3,1)</f>
        <v>0.35358193173546443</v>
      </c>
      <c r="AT1373" s="91">
        <f>INDEX(LINEST(1/(AV1373:AY1373),1/SQRT(AV1372:AY1372)),1)</f>
        <v>-6003.2366038964365</v>
      </c>
      <c r="AU1373" s="3"/>
      <c r="AV1373" s="95">
        <v>1</v>
      </c>
      <c r="AW1373" s="95">
        <v>1</v>
      </c>
      <c r="AX1373" s="95">
        <v>1</v>
      </c>
      <c r="AY1373" s="95">
        <v>0.8</v>
      </c>
      <c r="AZ1373" s="73"/>
      <c r="BA1373" s="73"/>
      <c r="BB1373" s="73"/>
      <c r="BC1373" s="73"/>
      <c r="BD1373" s="30"/>
      <c r="BE1373" s="30"/>
      <c r="BF1373" s="30"/>
      <c r="BG1373" s="30"/>
      <c r="BH1373" s="30"/>
      <c r="BI1373" s="30"/>
      <c r="BJ1373" s="30"/>
      <c r="BK1373" s="30"/>
      <c r="BL1373" s="30"/>
      <c r="BM1373" s="30"/>
      <c r="BN1373" s="30"/>
      <c r="BO1373" s="30"/>
      <c r="BP1373" s="30"/>
      <c r="BQ1373" s="30"/>
      <c r="BR1373" s="30"/>
      <c r="BS1373" s="30"/>
      <c r="BT1373" s="30"/>
      <c r="BU1373" s="30"/>
      <c r="BV1373" s="30"/>
      <c r="BW1373" s="30"/>
      <c r="BX1373" s="30"/>
      <c r="BY1373" s="30"/>
      <c r="BZ1373" s="30"/>
      <c r="CA1373" s="30"/>
      <c r="CB1373" s="30"/>
      <c r="CC1373" s="30"/>
      <c r="CD1373" s="30"/>
      <c r="CE1373" s="30"/>
      <c r="CF1373" s="30"/>
      <c r="CG1373" s="30"/>
      <c r="CH1373" s="30"/>
      <c r="CI1373" s="30"/>
      <c r="CJ1373" s="30"/>
      <c r="CK1373" s="30"/>
      <c r="CL1373" s="30"/>
      <c r="CM1373" s="30"/>
      <c r="CN1373" s="30"/>
      <c r="CO1373" s="30"/>
      <c r="CP1373" s="30"/>
      <c r="CQ1373" s="30"/>
      <c r="CR1373" s="1"/>
      <c r="CS1373" s="1"/>
      <c r="CT1373" s="1"/>
      <c r="CU1373" s="1"/>
    </row>
    <row r="1374" spans="1:99" s="13" customFormat="1" ht="12" customHeight="1" x14ac:dyDescent="0.2">
      <c r="A1374" s="65">
        <v>43509</v>
      </c>
      <c r="B1374" s="1"/>
      <c r="C1374" s="1"/>
      <c r="D1374" s="60"/>
      <c r="E1374" s="76"/>
      <c r="F1374" s="60"/>
      <c r="G1374" s="60"/>
      <c r="H1374" s="60"/>
      <c r="I1374" s="60"/>
      <c r="J1374" s="60"/>
      <c r="K1374" s="64"/>
      <c r="L1374" s="64"/>
      <c r="M1374" s="60"/>
      <c r="N1374" s="60"/>
      <c r="O1374" s="60"/>
      <c r="P1374" s="60"/>
      <c r="Q1374" s="60"/>
      <c r="R1374" s="60"/>
      <c r="S1374" s="60"/>
      <c r="T1374" s="60"/>
      <c r="U1374" s="60"/>
      <c r="V1374" s="60"/>
      <c r="W1374" s="60"/>
      <c r="X1374" s="60"/>
      <c r="Y1374" s="76"/>
      <c r="Z1374" s="60"/>
      <c r="AA1374" s="60"/>
      <c r="AB1374" s="60"/>
      <c r="AC1374" s="60"/>
      <c r="AD1374" s="60"/>
      <c r="AE1374" s="60"/>
      <c r="AF1374" s="80"/>
      <c r="AG1374" s="56"/>
      <c r="AH1374" s="4"/>
      <c r="AI1374" s="56"/>
      <c r="AJ1374" s="109"/>
      <c r="AK1374" s="56"/>
      <c r="AL1374" s="56"/>
      <c r="AM1374" s="56"/>
      <c r="AN1374" s="56"/>
      <c r="AO1374" s="56"/>
      <c r="AP1374" s="56"/>
      <c r="AQ1374" s="56"/>
      <c r="AR1374" s="109"/>
      <c r="AS1374" s="56"/>
      <c r="AT1374" s="56"/>
      <c r="AU1374" s="4"/>
      <c r="AV1374" s="25">
        <v>576</v>
      </c>
      <c r="AW1374" s="25">
        <f>24*3600*2</f>
        <v>172800</v>
      </c>
      <c r="AX1374" s="25">
        <f>24*3600*7</f>
        <v>604800</v>
      </c>
      <c r="AY1374" s="42" t="s">
        <v>537</v>
      </c>
      <c r="AZ1374" s="46"/>
      <c r="BA1374" s="42"/>
      <c r="BB1374" s="42"/>
      <c r="BC1374" s="2"/>
      <c r="BD1374" s="2"/>
      <c r="BE1374" s="2"/>
      <c r="BF1374" s="2"/>
      <c r="BG1374" s="2"/>
      <c r="BH1374" s="2"/>
      <c r="BI1374" s="2"/>
      <c r="BJ1374" s="2"/>
      <c r="BK1374" s="2"/>
      <c r="BL1374" s="2"/>
      <c r="BM1374" s="2"/>
      <c r="BN1374" s="2"/>
      <c r="BO1374" s="2"/>
      <c r="BP1374" s="2"/>
      <c r="BQ1374" s="2"/>
      <c r="BR1374" s="2"/>
      <c r="BS1374" s="2"/>
      <c r="BT1374" s="2"/>
      <c r="BU1374" s="2"/>
      <c r="BV1374" s="2"/>
      <c r="BW1374" s="2"/>
      <c r="BX1374" s="2"/>
      <c r="BY1374" s="2"/>
      <c r="BZ1374" s="2"/>
      <c r="CA1374" s="2"/>
      <c r="CB1374" s="2"/>
      <c r="CC1374" s="2"/>
      <c r="CD1374" s="2"/>
      <c r="CE1374" s="2"/>
      <c r="CF1374" s="2"/>
      <c r="CG1374" s="2"/>
      <c r="CH1374" s="2"/>
      <c r="CI1374" s="2"/>
      <c r="CJ1374" s="2"/>
      <c r="CK1374" s="2"/>
      <c r="CL1374" s="2"/>
      <c r="CM1374" s="2"/>
      <c r="CN1374" s="2"/>
      <c r="CO1374" s="2"/>
      <c r="CP1374" s="2"/>
      <c r="CQ1374" s="2"/>
      <c r="CR1374" s="1"/>
      <c r="CS1374" s="1"/>
      <c r="CT1374" s="1"/>
      <c r="CU1374" s="1"/>
    </row>
    <row r="1375" spans="1:99" s="13" customFormat="1" ht="12" customHeight="1" x14ac:dyDescent="0.2">
      <c r="A1375" s="65">
        <v>43509</v>
      </c>
      <c r="B1375" s="1" t="s">
        <v>137</v>
      </c>
      <c r="C1375" s="1" t="s">
        <v>74</v>
      </c>
      <c r="D1375" s="60">
        <v>2001</v>
      </c>
      <c r="E1375" s="76">
        <v>1</v>
      </c>
      <c r="F1375" s="60">
        <v>99</v>
      </c>
      <c r="G1375" s="60">
        <v>33</v>
      </c>
      <c r="H1375" s="60" t="s">
        <v>50</v>
      </c>
      <c r="I1375" s="60" t="s">
        <v>833</v>
      </c>
      <c r="J1375" s="60" t="s">
        <v>16</v>
      </c>
      <c r="K1375" s="60">
        <f>IF(J1375="syllables",1,IF(J1375="trigrams",2,IF(J1375="strings",3,IF(J1375="visual array",4,IF(J1375="characters",5,IF(J1375="letters",6,IF(J1375="free forms",7,IF(J1375="odors",8,IF(J1375="words",9,IF(J1375="pictures",10,IF(J1375="object pictures",11,IF(J1375="faces",12,IF(J1375="names",13,IF(J1375="idioms",14,IF(J1375="grades",15,IF(J1375="syllable-digit pairs",16,IF(J1375="trigram-word pairs",17,IF(J1375="word-digit pairs",18,IF(J1375="English-Swahili pairs",19,IF(J1375="spatial position",20,IF(J1375="word pairs",21,IF(J1375="word triads",22,IF(J1375="generated words",23,IF(J1375="word definition pairs",24,IF(J1375="math problems",25,IF(J1375="famous faces",26,IF(J1375="famous names",27,IF(J1375="famous voices",28,IF(J1375="television programs",29,IF(J1375="race horses",30,IF(J1375="new vocabulary",31,IF(J1375="sentences",32,IF(J1375="concepts",33,IF(J1375="ad slides",34,IF(J1375="scenes",35,IF(J1375="famous scenes",36,IF(J1375="poems",37,IF(J1375="walk",38,IF(J1375="faces and events",39,IF(J1375="events and names",40,IF(J1375="flashbulb",41,IF(J1375="stories",42,IF(J1375="course material",43,IF(J1375="autobiographical",44,IF(J1375="novels",45,IF(J1375="public events",46,"99"))))))))))))))))))))))))))))))))))))))))))))))</f>
        <v>9</v>
      </c>
      <c r="L1375" s="60">
        <f>IF(J1375="syllables",1,IF(J1375="trigrams",1,IF(J1375="strings",1,IF(J1375="visual array",1,IF(J1375="characters",1,IF(J1375="letters",1,IF(J1375="free forms",1,IF(J1375="odors",2,IF(J1375="words",2,IF(J1375="pictures",2,IF(J1375="object pictures",2,IF(J1375="faces",2,IF(J1375="names",2,IF(J1375="idioms","2",IF(J1375="grades",2,IF(J1375="syllable-digit pairs",3,IF(J1375="trigram-word pairs",3,IF(J1375="word-digit pairs",3,IF(J1375="English-Swahili pairs",3,IF(J1375="spatial position",3,IF(J1375="word pairs",4,IF(J1375="word triads",4,IF(J1375="generated words",4,IF(J1375="word definition pairs",4,IF(J1375="math problems",4,IF(J1375="famous faces",4,IF(J1375="famous names",4,IF(J1375="famous voices",4,IF(J1375="television programs",4,IF(J1375="race horses",4,IF(J1375="new vocabulary",4,IF(J1375="sentences",5,IF(J1375="concepts",5,IF(J1375="ad slides",5,IF(J1375="scenes",5,IF(J1375="famous scenes",5,IF(J1375="poems",6,IF(J1375="walk",6,IF(J1375="faces and events",6,IF(J1375="events and names",6,IF(J1375="flashbulb",7,IF(J1375="stories",7,IF(J1375="course material",7,IF(J1375="autobiographical",7,IF(J1375="novels",7,IF(J1375="public events",7,"99"))))))))))))))))))))))))))))))))))))))))))))))</f>
        <v>2</v>
      </c>
      <c r="M1375" s="60">
        <v>0</v>
      </c>
      <c r="N1375" s="60">
        <v>1</v>
      </c>
      <c r="O1375" s="60">
        <v>0</v>
      </c>
      <c r="P1375" s="60"/>
      <c r="Q1375" s="60" t="s">
        <v>174</v>
      </c>
      <c r="R1375" s="60">
        <f>IF(Q1375="Free Recall",1,IF(Q1375="Cued Recall",2,IF(Q1375="Recognition",3,IF(Q1375="Multiple Choice",4,IF(Q1375="Savings",5,IF(Q1375="Stem Completion",6,IF(Q1375="Fragment Completion",7,IF(Q1375="anagram solution",8,IF(Q1375="Matching",9,IF(Q1375="Problem Solving",10,"99"))))))))))</f>
        <v>1</v>
      </c>
      <c r="S1375" s="60" t="s">
        <v>49</v>
      </c>
      <c r="T1375" s="60" t="s">
        <v>261</v>
      </c>
      <c r="U1375" s="60">
        <f>IF(T1375="within",1,0)</f>
        <v>0</v>
      </c>
      <c r="V1375" s="60">
        <v>288</v>
      </c>
      <c r="W1375" s="60">
        <f>F1375*V1375</f>
        <v>28512</v>
      </c>
      <c r="X1375" s="60">
        <v>3</v>
      </c>
      <c r="Y1375" s="76">
        <f>AV1374</f>
        <v>576</v>
      </c>
      <c r="Z1375" s="60" t="s">
        <v>97</v>
      </c>
      <c r="AA1375" s="60">
        <v>604800</v>
      </c>
      <c r="AB1375" s="60" t="str">
        <f>IF(AA1375&lt;60,"1",IF(AA1375&lt;=43200,"2",IF(AA1375&lt;=777600,"3","4")))</f>
        <v>3</v>
      </c>
      <c r="AC1375" s="56">
        <f>AVERAGE(AV1374:DA1374)</f>
        <v>259392</v>
      </c>
      <c r="AD1375" s="60" t="str">
        <f>IF(AC1375&lt;60,"1",IF(AC1375&lt;=43200,"2",IF(AC1375&lt;=777600,"3","4")))</f>
        <v>3</v>
      </c>
      <c r="AE1375" s="76">
        <f>AA1375-Y1375</f>
        <v>604224</v>
      </c>
      <c r="AF1375" s="80">
        <f>AV1375</f>
        <v>0.36</v>
      </c>
      <c r="AG1375" s="56">
        <f>((AW1375-AV1375)+(AX1375-AW1375))/2</f>
        <v>-0.13500000000000001</v>
      </c>
      <c r="AH1375" s="4"/>
      <c r="AI1375" s="56">
        <f>RSQ(AV1375:AX1375,AV1374:AX1374)</f>
        <v>0.61888018911733522</v>
      </c>
      <c r="AJ1375" s="109">
        <f>SLOPE(AV1375:AX1375,AV1374:AX1374)</f>
        <v>-3.7400207460433953E-7</v>
      </c>
      <c r="AK1375" s="56">
        <f>INTERCEPT(AV1375:AX1375,AV1374:AX1374)</f>
        <v>0.28701314613576878</v>
      </c>
      <c r="AL1375" s="56">
        <f>INDEX(LINEST(LN(AV1375:AX1375),LN(AV1374:AX1374),TRUE,TRUE),3,1)</f>
        <v>0.99920736135109056</v>
      </c>
      <c r="AM1375" s="56">
        <f>INDEX(LINEST(LN(AV1375:AX1375),LN(AV1374:AX1374)),1)</f>
        <v>-0.19722711496947865</v>
      </c>
      <c r="AN1375" s="56">
        <f>EXP(INDEX(LINEST(LN(AV1375:AX1375),LN(AV1374:AX1374)),1,2))</f>
        <v>1.266127836714759</v>
      </c>
      <c r="AO1375" s="82">
        <f>INDEX(LINEST((AV1375:AX1375),LN(AV1374:AX1374),TRUE,TRUE),3,1)</f>
        <v>0.99535522140511312</v>
      </c>
      <c r="AP1375" s="82">
        <f>INDEX(LINEST((AV1375:AX1375),LN(AV1374:AX1374)),1)</f>
        <v>-3.9817142687235338E-2</v>
      </c>
      <c r="AQ1375" s="83">
        <f>INDEX(LINEST(LN(AV1375:AX1375),SQRT(AV1374:AX1374),TRUE,TRUE),3,1)</f>
        <v>0.91099097843048915</v>
      </c>
      <c r="AR1375" s="116">
        <f>INDEX(LINEST(LN(AV1375:AX1375),SQRT((AV1374:AX1374))),1)</f>
        <v>-1.8525179000327874E-3</v>
      </c>
      <c r="AS1375" s="84">
        <f>INDEX(LINEST(1/(AV1375:AX1375),1/(SQRT(AV1374:AX1374)),TRUE,TRUE),3,1)</f>
        <v>0.90744681419542239</v>
      </c>
      <c r="AT1375" s="84">
        <f>INDEX(LINEST(1/(AV1375:AX1375),1/SQRT(AV1374:AX1374)),1)</f>
        <v>-175.75878677378617</v>
      </c>
      <c r="AU1375" s="3"/>
      <c r="AV1375" s="53">
        <v>0.36</v>
      </c>
      <c r="AW1375" s="53">
        <v>0.12</v>
      </c>
      <c r="AX1375" s="53">
        <v>0.09</v>
      </c>
      <c r="AY1375" s="42"/>
      <c r="AZ1375" s="46"/>
      <c r="BA1375" s="42"/>
      <c r="BB1375" s="42"/>
      <c r="BC1375" s="2"/>
      <c r="BD1375" s="2"/>
      <c r="BE1375" s="2"/>
      <c r="BF1375" s="2"/>
      <c r="BG1375" s="2"/>
      <c r="BH1375" s="2"/>
      <c r="BI1375" s="2"/>
      <c r="BJ1375" s="2"/>
      <c r="BK1375" s="2"/>
      <c r="BL1375" s="2"/>
      <c r="BM1375" s="2"/>
      <c r="BN1375" s="2"/>
      <c r="BO1375" s="2"/>
      <c r="BP1375" s="2"/>
      <c r="BQ1375" s="2"/>
      <c r="BR1375" s="2"/>
      <c r="BS1375" s="2"/>
      <c r="BT1375" s="2"/>
      <c r="BU1375" s="2"/>
      <c r="BV1375" s="2"/>
      <c r="BW1375" s="2"/>
      <c r="BX1375" s="2"/>
      <c r="BY1375" s="2"/>
      <c r="BZ1375" s="2"/>
      <c r="CA1375" s="2"/>
      <c r="CB1375" s="2"/>
      <c r="CC1375" s="2"/>
      <c r="CD1375" s="2"/>
      <c r="CE1375" s="2"/>
      <c r="CF1375" s="2"/>
      <c r="CG1375" s="2"/>
      <c r="CH1375" s="2"/>
      <c r="CI1375" s="2"/>
      <c r="CJ1375" s="2"/>
      <c r="CK1375" s="2"/>
      <c r="CL1375" s="2"/>
      <c r="CM1375" s="2"/>
      <c r="CN1375" s="2"/>
      <c r="CO1375" s="2"/>
      <c r="CP1375" s="2"/>
      <c r="CQ1375" s="2"/>
      <c r="CR1375" s="1"/>
      <c r="CS1375" s="1"/>
      <c r="CT1375" s="1"/>
      <c r="CU1375" s="1"/>
    </row>
    <row r="1376" spans="1:99" s="13" customFormat="1" ht="12" customHeight="1" x14ac:dyDescent="0.2">
      <c r="A1376" s="65">
        <v>43509</v>
      </c>
      <c r="B1376" s="1"/>
      <c r="C1376" s="1"/>
      <c r="D1376" s="60"/>
      <c r="E1376" s="76"/>
      <c r="F1376" s="60"/>
      <c r="G1376" s="60"/>
      <c r="H1376" s="60"/>
      <c r="I1376" s="60"/>
      <c r="J1376" s="60"/>
      <c r="K1376" s="64"/>
      <c r="L1376" s="64"/>
      <c r="M1376" s="60"/>
      <c r="N1376" s="60"/>
      <c r="O1376" s="60"/>
      <c r="P1376" s="60"/>
      <c r="Q1376" s="60"/>
      <c r="R1376" s="60"/>
      <c r="S1376" s="60"/>
      <c r="T1376" s="60"/>
      <c r="U1376" s="60"/>
      <c r="V1376" s="60"/>
      <c r="W1376" s="60"/>
      <c r="X1376" s="60"/>
      <c r="Y1376" s="76"/>
      <c r="Z1376" s="60"/>
      <c r="AA1376" s="60"/>
      <c r="AB1376" s="60"/>
      <c r="AC1376" s="60"/>
      <c r="AD1376" s="60"/>
      <c r="AE1376" s="60"/>
      <c r="AF1376" s="80"/>
      <c r="AG1376" s="56"/>
      <c r="AH1376" s="4"/>
      <c r="AI1376" s="56"/>
      <c r="AJ1376" s="109"/>
      <c r="AK1376" s="56"/>
      <c r="AL1376" s="56"/>
      <c r="AM1376" s="56"/>
      <c r="AN1376" s="56"/>
      <c r="AO1376" s="56"/>
      <c r="AP1376" s="56"/>
      <c r="AQ1376" s="82"/>
      <c r="AR1376" s="115"/>
      <c r="AS1376" s="82"/>
      <c r="AT1376" s="82"/>
      <c r="AU1376" s="4"/>
      <c r="AV1376" s="25">
        <v>576</v>
      </c>
      <c r="AW1376" s="25">
        <f>24*3600*2</f>
        <v>172800</v>
      </c>
      <c r="AX1376" s="25">
        <f>24*3600*7</f>
        <v>604800</v>
      </c>
      <c r="AY1376" s="42"/>
      <c r="AZ1376" s="46"/>
      <c r="BA1376" s="42"/>
      <c r="BB1376" s="42"/>
      <c r="BC1376" s="2"/>
      <c r="BD1376" s="2"/>
      <c r="BE1376" s="2"/>
      <c r="BF1376" s="2"/>
      <c r="BG1376" s="2"/>
      <c r="BH1376" s="2"/>
      <c r="BI1376" s="2"/>
      <c r="BJ1376" s="2"/>
      <c r="BK1376" s="2"/>
      <c r="BL1376" s="2"/>
      <c r="BM1376" s="2"/>
      <c r="BN1376" s="2"/>
      <c r="BO1376" s="2"/>
      <c r="BP1376" s="2"/>
      <c r="BQ1376" s="2"/>
      <c r="BR1376" s="2"/>
      <c r="BS1376" s="2"/>
      <c r="BT1376" s="2"/>
      <c r="BU1376" s="2"/>
      <c r="BV1376" s="2"/>
      <c r="BW1376" s="2"/>
      <c r="BX1376" s="2"/>
      <c r="BY1376" s="2"/>
      <c r="BZ1376" s="2"/>
      <c r="CA1376" s="2"/>
      <c r="CB1376" s="2"/>
      <c r="CC1376" s="2"/>
      <c r="CD1376" s="2"/>
      <c r="CE1376" s="2"/>
      <c r="CF1376" s="2"/>
      <c r="CG1376" s="2"/>
      <c r="CH1376" s="2"/>
      <c r="CI1376" s="2"/>
      <c r="CJ1376" s="2"/>
      <c r="CK1376" s="2"/>
      <c r="CL1376" s="2"/>
      <c r="CM1376" s="2"/>
      <c r="CN1376" s="2"/>
      <c r="CO1376" s="2"/>
      <c r="CP1376" s="2"/>
      <c r="CQ1376" s="2"/>
      <c r="CR1376" s="1"/>
      <c r="CS1376" s="1"/>
      <c r="CT1376" s="1"/>
      <c r="CU1376" s="1"/>
    </row>
    <row r="1377" spans="1:99" s="13" customFormat="1" ht="12" customHeight="1" x14ac:dyDescent="0.2">
      <c r="A1377" s="65">
        <v>43509</v>
      </c>
      <c r="B1377" s="1" t="s">
        <v>137</v>
      </c>
      <c r="C1377" s="1" t="s">
        <v>74</v>
      </c>
      <c r="D1377" s="60">
        <v>2001</v>
      </c>
      <c r="E1377" s="76">
        <v>1</v>
      </c>
      <c r="F1377" s="60">
        <v>99</v>
      </c>
      <c r="G1377" s="60">
        <v>33</v>
      </c>
      <c r="H1377" s="60" t="s">
        <v>50</v>
      </c>
      <c r="I1377" s="60" t="s">
        <v>834</v>
      </c>
      <c r="J1377" s="60" t="s">
        <v>16</v>
      </c>
      <c r="K1377" s="60">
        <f>IF(J1377="syllables",1,IF(J1377="trigrams",2,IF(J1377="strings",3,IF(J1377="visual array",4,IF(J1377="characters",5,IF(J1377="letters",6,IF(J1377="free forms",7,IF(J1377="odors",8,IF(J1377="words",9,IF(J1377="pictures",10,IF(J1377="object pictures",11,IF(J1377="faces",12,IF(J1377="names",13,IF(J1377="idioms",14,IF(J1377="grades",15,IF(J1377="syllable-digit pairs",16,IF(J1377="trigram-word pairs",17,IF(J1377="word-digit pairs",18,IF(J1377="English-Swahili pairs",19,IF(J1377="spatial position",20,IF(J1377="word pairs",21,IF(J1377="word triads",22,IF(J1377="generated words",23,IF(J1377="word definition pairs",24,IF(J1377="math problems",25,IF(J1377="famous faces",26,IF(J1377="famous names",27,IF(J1377="famous voices",28,IF(J1377="television programs",29,IF(J1377="race horses",30,IF(J1377="new vocabulary",31,IF(J1377="sentences",32,IF(J1377="concepts",33,IF(J1377="ad slides",34,IF(J1377="scenes",35,IF(J1377="famous scenes",36,IF(J1377="poems",37,IF(J1377="walk",38,IF(J1377="faces and events",39,IF(J1377="events and names",40,IF(J1377="flashbulb",41,IF(J1377="stories",42,IF(J1377="course material",43,IF(J1377="autobiographical",44,IF(J1377="novels",45,IF(J1377="public events",46,"99"))))))))))))))))))))))))))))))))))))))))))))))</f>
        <v>9</v>
      </c>
      <c r="L1377" s="60">
        <f>IF(J1377="syllables",1,IF(J1377="trigrams",1,IF(J1377="strings",1,IF(J1377="visual array",1,IF(J1377="characters",1,IF(J1377="letters",1,IF(J1377="free forms",1,IF(J1377="odors",2,IF(J1377="words",2,IF(J1377="pictures",2,IF(J1377="object pictures",2,IF(J1377="faces",2,IF(J1377="names",2,IF(J1377="idioms","2",IF(J1377="grades",2,IF(J1377="syllable-digit pairs",3,IF(J1377="trigram-word pairs",3,IF(J1377="word-digit pairs",3,IF(J1377="English-Swahili pairs",3,IF(J1377="spatial position",3,IF(J1377="word pairs",4,IF(J1377="word triads",4,IF(J1377="generated words",4,IF(J1377="word definition pairs",4,IF(J1377="math problems",4,IF(J1377="famous faces",4,IF(J1377="famous names",4,IF(J1377="famous voices",4,IF(J1377="television programs",4,IF(J1377="race horses",4,IF(J1377="new vocabulary",4,IF(J1377="sentences",5,IF(J1377="concepts",5,IF(J1377="ad slides",5,IF(J1377="scenes",5,IF(J1377="famous scenes",5,IF(J1377="poems",6,IF(J1377="walk",6,IF(J1377="faces and events",6,IF(J1377="events and names",6,IF(J1377="flashbulb",7,IF(J1377="stories",7,IF(J1377="course material",7,IF(J1377="autobiographical",7,IF(J1377="novels",7,IF(J1377="public events",7,"99"))))))))))))))))))))))))))))))))))))))))))))))</f>
        <v>2</v>
      </c>
      <c r="M1377" s="60">
        <v>0</v>
      </c>
      <c r="N1377" s="60">
        <v>1</v>
      </c>
      <c r="O1377" s="60">
        <v>0</v>
      </c>
      <c r="P1377" s="60"/>
      <c r="Q1377" s="60" t="s">
        <v>174</v>
      </c>
      <c r="R1377" s="60">
        <f>IF(Q1377="Free Recall",1,IF(Q1377="Cued Recall",2,IF(Q1377="Recognition",3,IF(Q1377="Multiple Choice",4,IF(Q1377="Savings",5,IF(Q1377="Stem Completion",6,IF(Q1377="Fragment Completion",7,IF(Q1377="anagram solution",8,IF(Q1377="Matching",9,IF(Q1377="Problem Solving",10,"99"))))))))))</f>
        <v>1</v>
      </c>
      <c r="S1377" s="60" t="s">
        <v>49</v>
      </c>
      <c r="T1377" s="60" t="s">
        <v>261</v>
      </c>
      <c r="U1377" s="60">
        <f>IF(T1377="within",1,0)</f>
        <v>0</v>
      </c>
      <c r="V1377" s="60">
        <v>288</v>
      </c>
      <c r="W1377" s="60">
        <f>F1377*V1377</f>
        <v>28512</v>
      </c>
      <c r="X1377" s="60">
        <v>3</v>
      </c>
      <c r="Y1377" s="76">
        <f>AV1376</f>
        <v>576</v>
      </c>
      <c r="Z1377" s="60" t="s">
        <v>97</v>
      </c>
      <c r="AA1377" s="60">
        <v>604800</v>
      </c>
      <c r="AB1377" s="60" t="str">
        <f>IF(AA1377&lt;60,"1",IF(AA1377&lt;=43200,"2",IF(AA1377&lt;=777600,"3","4")))</f>
        <v>3</v>
      </c>
      <c r="AC1377" s="56">
        <f>AVERAGE(AV1376:DA1376)</f>
        <v>259392</v>
      </c>
      <c r="AD1377" s="60" t="str">
        <f>IF(AC1377&lt;60,"1",IF(AC1377&lt;=43200,"2",IF(AC1377&lt;=777600,"3","4")))</f>
        <v>3</v>
      </c>
      <c r="AE1377" s="76">
        <f>AA1377-Y1377</f>
        <v>604224</v>
      </c>
      <c r="AF1377" s="80">
        <f>AV1377</f>
        <v>0.09</v>
      </c>
      <c r="AG1377" s="56">
        <f>((AW1377-AV1377)+(AX1377-AW1377))/2</f>
        <v>-0.03</v>
      </c>
      <c r="AH1377" s="4"/>
      <c r="AI1377" s="56">
        <f>RSQ(AV1377:AX1377,AV1376:AX1376)</f>
        <v>0.51849053416591417</v>
      </c>
      <c r="AJ1377" s="109">
        <f>SLOPE(AV1377:AX1377,AV1376:AX1376)</f>
        <v>-8.0132686412882405E-8</v>
      </c>
      <c r="AK1377" s="56">
        <f>INTERCEPT(AV1377:AX1377,AV1376:AX1376)</f>
        <v>7.0785777794010393E-2</v>
      </c>
      <c r="AL1377" s="56">
        <f>INDEX(LINEST(LN(AV1377:AX1377),LN(AV1376:AX1376),TRUE,TRUE),3,1)</f>
        <v>0.97146382286411015</v>
      </c>
      <c r="AM1377" s="56">
        <f>INDEX(LINEST(LN(AV1377:AX1377),LN(AV1376:AX1376)),1)</f>
        <v>-0.16859943924419532</v>
      </c>
      <c r="AN1377" s="56">
        <f>EXP(INDEX(LINEST(LN(AV1377:AX1377),LN(AV1376:AX1376)),1,2))</f>
        <v>0.25737797589916278</v>
      </c>
      <c r="AO1377" s="82">
        <f>INDEX(LINEST((AV1377:AX1377),LN(AV1376:AX1376),TRUE,TRUE),3,1)</f>
        <v>0.97146382286411004</v>
      </c>
      <c r="AP1377" s="82">
        <f>INDEX(LINEST((AV1377:AX1377),LN(AV1376:AX1376)),1)</f>
        <v>-9.2079493912412928E-3</v>
      </c>
      <c r="AQ1377" s="83">
        <f>INDEX(LINEST(LN(AV1377:AX1377),SQRT(AV1376:AX1376),TRUE,TRUE),3,1)</f>
        <v>0.76943132294153704</v>
      </c>
      <c r="AR1377" s="116">
        <f>INDEX(LINEST(LN(AV1377:AX1377),SQRT((AV1376:AX1376))),1)</f>
        <v>-1.4760270152570807E-3</v>
      </c>
      <c r="AS1377" s="84">
        <f>INDEX(LINEST(1/(AV1377:AX1377),1/(SQRT(AV1376:AX1376)),TRUE,TRUE),3,1)</f>
        <v>0.99940730015305956</v>
      </c>
      <c r="AT1377" s="84">
        <f>INDEX(LINEST(1/(AV1377:AX1377),1/SQRT(AV1376:AX1376)),1)</f>
        <v>-557.72316289860964</v>
      </c>
      <c r="AU1377" s="3"/>
      <c r="AV1377" s="53">
        <v>0.09</v>
      </c>
      <c r="AW1377" s="53">
        <v>0.03</v>
      </c>
      <c r="AX1377" s="53">
        <v>0.03</v>
      </c>
      <c r="AY1377" s="42"/>
      <c r="AZ1377" s="46"/>
      <c r="BA1377" s="42"/>
      <c r="BB1377" s="42"/>
      <c r="BC1377" s="2"/>
      <c r="BD1377" s="2"/>
      <c r="BE1377" s="2"/>
      <c r="BF1377" s="2"/>
      <c r="BG1377" s="2"/>
      <c r="BH1377" s="2"/>
      <c r="BI1377" s="2"/>
      <c r="BJ1377" s="2"/>
      <c r="BK1377" s="2"/>
      <c r="BL1377" s="2"/>
      <c r="BM1377" s="2"/>
      <c r="BN1377" s="2"/>
      <c r="BO1377" s="2"/>
      <c r="BP1377" s="2"/>
      <c r="BQ1377" s="2"/>
      <c r="BR1377" s="2"/>
      <c r="BS1377" s="2"/>
      <c r="BT1377" s="2"/>
      <c r="BU1377" s="2"/>
      <c r="BV1377" s="2"/>
      <c r="BW1377" s="2"/>
      <c r="BX1377" s="2"/>
      <c r="BY1377" s="2"/>
      <c r="BZ1377" s="2"/>
      <c r="CA1377" s="2"/>
      <c r="CB1377" s="2"/>
      <c r="CC1377" s="2"/>
      <c r="CD1377" s="2"/>
      <c r="CE1377" s="2"/>
      <c r="CF1377" s="2"/>
      <c r="CG1377" s="2"/>
      <c r="CH1377" s="2"/>
      <c r="CI1377" s="2"/>
      <c r="CJ1377" s="2"/>
      <c r="CK1377" s="2"/>
      <c r="CL1377" s="2"/>
      <c r="CM1377" s="2"/>
      <c r="CN1377" s="2"/>
      <c r="CO1377" s="2"/>
      <c r="CP1377" s="2"/>
      <c r="CQ1377" s="2"/>
      <c r="CR1377" s="1"/>
      <c r="CS1377" s="1"/>
      <c r="CT1377" s="1"/>
      <c r="CU1377" s="1"/>
    </row>
    <row r="1378" spans="1:99" s="13" customFormat="1" ht="12" customHeight="1" x14ac:dyDescent="0.2">
      <c r="A1378" s="65">
        <v>43509</v>
      </c>
      <c r="B1378" s="1"/>
      <c r="C1378" s="1"/>
      <c r="D1378" s="60"/>
      <c r="E1378" s="76"/>
      <c r="F1378" s="60"/>
      <c r="G1378" s="60"/>
      <c r="H1378" s="60"/>
      <c r="I1378" s="60"/>
      <c r="J1378" s="60"/>
      <c r="K1378" s="64"/>
      <c r="L1378" s="64"/>
      <c r="M1378" s="60"/>
      <c r="N1378" s="60"/>
      <c r="O1378" s="60"/>
      <c r="P1378" s="60"/>
      <c r="Q1378" s="60"/>
      <c r="R1378" s="60"/>
      <c r="S1378" s="60"/>
      <c r="T1378" s="60"/>
      <c r="U1378" s="60"/>
      <c r="V1378" s="60"/>
      <c r="W1378" s="60"/>
      <c r="X1378" s="60"/>
      <c r="Y1378" s="76"/>
      <c r="Z1378" s="60"/>
      <c r="AA1378" s="60"/>
      <c r="AB1378" s="60"/>
      <c r="AC1378" s="60"/>
      <c r="AD1378" s="60"/>
      <c r="AE1378" s="60"/>
      <c r="AF1378" s="80"/>
      <c r="AG1378" s="56"/>
      <c r="AH1378" s="4"/>
      <c r="AI1378" s="56"/>
      <c r="AJ1378" s="109"/>
      <c r="AK1378" s="56"/>
      <c r="AL1378" s="56"/>
      <c r="AM1378" s="56"/>
      <c r="AN1378" s="56"/>
      <c r="AO1378" s="56"/>
      <c r="AP1378" s="56"/>
      <c r="AQ1378" s="82"/>
      <c r="AR1378" s="115"/>
      <c r="AS1378" s="82"/>
      <c r="AT1378" s="82"/>
      <c r="AU1378" s="4"/>
      <c r="AV1378" s="25">
        <v>576</v>
      </c>
      <c r="AW1378" s="25">
        <f>24*3600*2</f>
        <v>172800</v>
      </c>
      <c r="AX1378" s="25">
        <f>24*3600*7</f>
        <v>604800</v>
      </c>
      <c r="AY1378" s="42"/>
      <c r="AZ1378" s="46"/>
      <c r="BA1378" s="42"/>
      <c r="BB1378" s="42"/>
      <c r="BC1378" s="2"/>
      <c r="BD1378" s="2"/>
      <c r="BE1378" s="2"/>
      <c r="BF1378" s="2"/>
      <c r="BG1378" s="2"/>
      <c r="BH1378" s="2"/>
      <c r="BI1378" s="2"/>
      <c r="BJ1378" s="2"/>
      <c r="BK1378" s="2"/>
      <c r="BL1378" s="2"/>
      <c r="BM1378" s="2"/>
      <c r="BN1378" s="2"/>
      <c r="BO1378" s="2"/>
      <c r="BP1378" s="2"/>
      <c r="BQ1378" s="2"/>
      <c r="BR1378" s="2"/>
      <c r="BS1378" s="2"/>
      <c r="BT1378" s="2"/>
      <c r="BU1378" s="2"/>
      <c r="BV1378" s="2"/>
      <c r="BW1378" s="2"/>
      <c r="BX1378" s="2"/>
      <c r="BY1378" s="2"/>
      <c r="BZ1378" s="2"/>
      <c r="CA1378" s="2"/>
      <c r="CB1378" s="2"/>
      <c r="CC1378" s="2"/>
      <c r="CD1378" s="2"/>
      <c r="CE1378" s="2"/>
      <c r="CF1378" s="2"/>
      <c r="CG1378" s="2"/>
      <c r="CH1378" s="2"/>
      <c r="CI1378" s="2"/>
      <c r="CJ1378" s="2"/>
      <c r="CK1378" s="2"/>
      <c r="CL1378" s="2"/>
      <c r="CM1378" s="2"/>
      <c r="CN1378" s="2"/>
      <c r="CO1378" s="2"/>
      <c r="CP1378" s="2"/>
      <c r="CQ1378" s="2"/>
      <c r="CR1378" s="1"/>
      <c r="CS1378" s="1"/>
      <c r="CT1378" s="1"/>
      <c r="CU1378" s="1"/>
    </row>
    <row r="1379" spans="1:99" s="13" customFormat="1" ht="12" customHeight="1" x14ac:dyDescent="0.2">
      <c r="A1379" s="65">
        <v>43509</v>
      </c>
      <c r="B1379" s="1" t="s">
        <v>137</v>
      </c>
      <c r="C1379" s="1" t="s">
        <v>74</v>
      </c>
      <c r="D1379" s="60">
        <v>2001</v>
      </c>
      <c r="E1379" s="76">
        <v>2</v>
      </c>
      <c r="F1379" s="60">
        <v>72</v>
      </c>
      <c r="G1379" s="60">
        <v>24</v>
      </c>
      <c r="H1379" s="60" t="s">
        <v>22</v>
      </c>
      <c r="I1379" s="60" t="s">
        <v>835</v>
      </c>
      <c r="J1379" s="60" t="s">
        <v>16</v>
      </c>
      <c r="K1379" s="60">
        <f>IF(J1379="syllables",1,IF(J1379="trigrams",2,IF(J1379="strings",3,IF(J1379="visual array",4,IF(J1379="characters",5,IF(J1379="letters",6,IF(J1379="free forms",7,IF(J1379="odors",8,IF(J1379="words",9,IF(J1379="pictures",10,IF(J1379="object pictures",11,IF(J1379="faces",12,IF(J1379="names",13,IF(J1379="idioms",14,IF(J1379="grades",15,IF(J1379="syllable-digit pairs",16,IF(J1379="trigram-word pairs",17,IF(J1379="word-digit pairs",18,IF(J1379="English-Swahili pairs",19,IF(J1379="spatial position",20,IF(J1379="word pairs",21,IF(J1379="word triads",22,IF(J1379="generated words",23,IF(J1379="word definition pairs",24,IF(J1379="math problems",25,IF(J1379="famous faces",26,IF(J1379="famous names",27,IF(J1379="famous voices",28,IF(J1379="television programs",29,IF(J1379="race horses",30,IF(J1379="new vocabulary",31,IF(J1379="sentences",32,IF(J1379="concepts",33,IF(J1379="ad slides",34,IF(J1379="scenes",35,IF(J1379="famous scenes",36,IF(J1379="poems",37,IF(J1379="walk",38,IF(J1379="faces and events",39,IF(J1379="events and names",40,IF(J1379="flashbulb",41,IF(J1379="stories",42,IF(J1379="course material",43,IF(J1379="autobiographical",44,IF(J1379="novels",45,IF(J1379="public events",46,"99"))))))))))))))))))))))))))))))))))))))))))))))</f>
        <v>9</v>
      </c>
      <c r="L1379" s="60">
        <f>IF(J1379="syllables",1,IF(J1379="trigrams",1,IF(J1379="strings",1,IF(J1379="visual array",1,IF(J1379="characters",1,IF(J1379="letters",1,IF(J1379="free forms",1,IF(J1379="odors",2,IF(J1379="words",2,IF(J1379="pictures",2,IF(J1379="object pictures",2,IF(J1379="faces",2,IF(J1379="names",2,IF(J1379="idioms","2",IF(J1379="grades",2,IF(J1379="syllable-digit pairs",3,IF(J1379="trigram-word pairs",3,IF(J1379="word-digit pairs",3,IF(J1379="English-Swahili pairs",3,IF(J1379="spatial position",3,IF(J1379="word pairs",4,IF(J1379="word triads",4,IF(J1379="generated words",4,IF(J1379="word definition pairs",4,IF(J1379="math problems",4,IF(J1379="famous faces",4,IF(J1379="famous names",4,IF(J1379="famous voices",4,IF(J1379="television programs",4,IF(J1379="race horses",4,IF(J1379="new vocabulary",4,IF(J1379="sentences",5,IF(J1379="concepts",5,IF(J1379="ad slides",5,IF(J1379="scenes",5,IF(J1379="famous scenes",5,IF(J1379="poems",6,IF(J1379="walk",6,IF(J1379="faces and events",6,IF(J1379="events and names",6,IF(J1379="flashbulb",7,IF(J1379="stories",7,IF(J1379="course material",7,IF(J1379="autobiographical",7,IF(J1379="novels",7,IF(J1379="public events",7,"99"))))))))))))))))))))))))))))))))))))))))))))))</f>
        <v>2</v>
      </c>
      <c r="M1379" s="60">
        <v>0</v>
      </c>
      <c r="N1379" s="60">
        <v>1</v>
      </c>
      <c r="O1379" s="60">
        <v>0</v>
      </c>
      <c r="P1379" s="60"/>
      <c r="Q1379" s="60" t="s">
        <v>34</v>
      </c>
      <c r="R1379" s="60">
        <f>IF(Q1379="Free Recall",1,IF(Q1379="Cued Recall",2,IF(Q1379="Recognition",3,IF(Q1379="Multiple Choice",4,IF(Q1379="Savings",5,IF(Q1379="Stem Completion",6,IF(Q1379="Fragment Completion",7,IF(Q1379="anagram solution",8,IF(Q1379="Matching",9,IF(Q1379="Problem Solving",10,"99"))))))))))</f>
        <v>3</v>
      </c>
      <c r="S1379" s="60" t="s">
        <v>15</v>
      </c>
      <c r="T1379" s="60" t="s">
        <v>261</v>
      </c>
      <c r="U1379" s="60">
        <f>IF(T1379="within",1,0)</f>
        <v>0</v>
      </c>
      <c r="V1379" s="60">
        <v>288</v>
      </c>
      <c r="W1379" s="60">
        <f>F1379*V1379</f>
        <v>20736</v>
      </c>
      <c r="X1379" s="60">
        <v>3</v>
      </c>
      <c r="Y1379" s="76">
        <f>AV1378</f>
        <v>576</v>
      </c>
      <c r="Z1379" s="60" t="s">
        <v>97</v>
      </c>
      <c r="AA1379" s="60">
        <v>604800</v>
      </c>
      <c r="AB1379" s="60" t="str">
        <f>IF(AA1379&lt;60,"1",IF(AA1379&lt;=43200,"2",IF(AA1379&lt;=777600,"3","4")))</f>
        <v>3</v>
      </c>
      <c r="AC1379" s="56">
        <f>AVERAGE(AV1378:DA1378)</f>
        <v>259392</v>
      </c>
      <c r="AD1379" s="60" t="str">
        <f>IF(AC1379&lt;60,"1",IF(AC1379&lt;=43200,"2",IF(AC1379&lt;=777600,"3","4")))</f>
        <v>3</v>
      </c>
      <c r="AE1379" s="76">
        <f>AA1379-Y1379</f>
        <v>604224</v>
      </c>
      <c r="AF1379" s="80">
        <f>AV1379</f>
        <v>0.9</v>
      </c>
      <c r="AG1379" s="56">
        <f>((AW1379-AV1379)+(AX1379-AW1379))/2</f>
        <v>-7.5000000000000011E-2</v>
      </c>
      <c r="AH1379" s="4"/>
      <c r="AI1379" s="56">
        <f>RSQ(AV1379:AX1379,AV1378:AX1378)</f>
        <v>0.76467143952222827</v>
      </c>
      <c r="AJ1379" s="109">
        <f>SLOPE(AV1379:AX1379,AV1378:AX1378)</f>
        <v>-2.1820503036069764E-7</v>
      </c>
      <c r="AK1379" s="56">
        <f>INTERCEPT(AV1379:AX1379,AV1378:AX1378)</f>
        <v>0.86993397256865546</v>
      </c>
      <c r="AL1379" s="56">
        <f>INDEX(LINEST(LN(AV1379:AX1379),LN(AV1378:AX1378),TRUE,TRUE),3,1)</f>
        <v>0.98783804474031167</v>
      </c>
      <c r="AM1379" s="56">
        <f>INDEX(LINEST(LN(AV1379:AX1379),LN(AV1378:AX1378)),1)</f>
        <v>-2.5176675462957005E-2</v>
      </c>
      <c r="AN1379" s="56">
        <f>EXP(INDEX(LINEST(LN(AV1379:AX1379),LN(AV1378:AX1378)),1,2))</f>
        <v>1.0583231006837024</v>
      </c>
      <c r="AO1379" s="82">
        <f>INDEX(LINEST((AV1379:AX1379),LN(AV1378:AX1378),TRUE,TRUE),3,1)</f>
        <v>0.99180006412557897</v>
      </c>
      <c r="AP1379" s="82">
        <f>INDEX(LINEST((AV1379:AX1379),LN(AV1378:AX1378)),1)</f>
        <v>-2.0861700713635925E-2</v>
      </c>
      <c r="AQ1379" s="83">
        <f>INDEX(LINEST(LN(AV1379:AX1379),SQRT(AV1378:AX1378),TRUE,TRUE),3,1)</f>
        <v>0.95211631774021965</v>
      </c>
      <c r="AR1379" s="116">
        <f>INDEX(LINEST(LN(AV1379:AX1379),SQRT((AV1378:AX1378))),1)</f>
        <v>-2.4314597083954721E-4</v>
      </c>
      <c r="AS1379" s="84">
        <f>INDEX(LINEST(1/(AV1379:AX1379),1/(SQRT(AV1378:AX1378)),TRUE,TRUE),3,1)</f>
        <v>0.92549902213634783</v>
      </c>
      <c r="AT1379" s="84">
        <f>INDEX(LINEST(1/(AV1379:AX1379),1/SQRT(AV1378:AX1378)),1)</f>
        <v>-4.7657910380831883</v>
      </c>
      <c r="AU1379" s="3"/>
      <c r="AV1379" s="53">
        <v>0.9</v>
      </c>
      <c r="AW1379" s="53">
        <v>0.79</v>
      </c>
      <c r="AX1379" s="53">
        <v>0.75</v>
      </c>
      <c r="AY1379" s="42"/>
      <c r="AZ1379" s="46"/>
      <c r="BA1379" s="42"/>
      <c r="BB1379" s="42"/>
      <c r="BC1379" s="2"/>
      <c r="BD1379" s="2"/>
      <c r="BE1379" s="2"/>
      <c r="BF1379" s="2"/>
      <c r="BG1379" s="2"/>
      <c r="BH1379" s="2"/>
      <c r="BI1379" s="2"/>
      <c r="BJ1379" s="2"/>
      <c r="BK1379" s="2"/>
      <c r="BL1379" s="2"/>
      <c r="BM1379" s="2"/>
      <c r="BN1379" s="2"/>
      <c r="BO1379" s="2"/>
      <c r="BP1379" s="2"/>
      <c r="BQ1379" s="2"/>
      <c r="BR1379" s="2"/>
      <c r="BS1379" s="2"/>
      <c r="BT1379" s="2"/>
      <c r="BU1379" s="2"/>
      <c r="BV1379" s="2"/>
      <c r="BW1379" s="2"/>
      <c r="BX1379" s="2"/>
      <c r="BY1379" s="2"/>
      <c r="BZ1379" s="2"/>
      <c r="CA1379" s="2"/>
      <c r="CB1379" s="2"/>
      <c r="CC1379" s="2"/>
      <c r="CD1379" s="2"/>
      <c r="CE1379" s="2"/>
      <c r="CF1379" s="2"/>
      <c r="CG1379" s="2"/>
      <c r="CH1379" s="2"/>
      <c r="CI1379" s="2"/>
      <c r="CJ1379" s="2"/>
      <c r="CK1379" s="2"/>
      <c r="CL1379" s="2"/>
      <c r="CM1379" s="2"/>
      <c r="CN1379" s="2"/>
      <c r="CO1379" s="2"/>
      <c r="CP1379" s="2"/>
      <c r="CQ1379" s="2"/>
      <c r="CR1379" s="1"/>
      <c r="CS1379" s="1"/>
      <c r="CT1379" s="1"/>
      <c r="CU1379" s="1"/>
    </row>
    <row r="1380" spans="1:99" s="13" customFormat="1" ht="12" customHeight="1" x14ac:dyDescent="0.2">
      <c r="A1380" s="65">
        <v>43509</v>
      </c>
      <c r="B1380" s="1"/>
      <c r="C1380" s="1"/>
      <c r="D1380" s="60"/>
      <c r="E1380" s="76"/>
      <c r="F1380" s="60"/>
      <c r="G1380" s="60"/>
      <c r="H1380" s="60"/>
      <c r="I1380" s="60"/>
      <c r="J1380" s="60"/>
      <c r="K1380" s="64"/>
      <c r="L1380" s="64"/>
      <c r="M1380" s="60"/>
      <c r="N1380" s="60"/>
      <c r="O1380" s="60"/>
      <c r="P1380" s="60"/>
      <c r="Q1380" s="60"/>
      <c r="R1380" s="60"/>
      <c r="S1380" s="60"/>
      <c r="T1380" s="60"/>
      <c r="U1380" s="60"/>
      <c r="V1380" s="60"/>
      <c r="W1380" s="60"/>
      <c r="X1380" s="60"/>
      <c r="Y1380" s="76"/>
      <c r="Z1380" s="60"/>
      <c r="AA1380" s="60"/>
      <c r="AB1380" s="60"/>
      <c r="AC1380" s="60"/>
      <c r="AD1380" s="60"/>
      <c r="AE1380" s="60"/>
      <c r="AF1380" s="80"/>
      <c r="AG1380" s="56"/>
      <c r="AH1380" s="4"/>
      <c r="AI1380" s="56"/>
      <c r="AJ1380" s="109"/>
      <c r="AK1380" s="56"/>
      <c r="AL1380" s="56"/>
      <c r="AM1380" s="56"/>
      <c r="AN1380" s="56"/>
      <c r="AO1380" s="56"/>
      <c r="AP1380" s="56"/>
      <c r="AQ1380" s="82"/>
      <c r="AR1380" s="115"/>
      <c r="AS1380" s="82"/>
      <c r="AT1380" s="82"/>
      <c r="AU1380" s="4"/>
      <c r="AV1380" s="25">
        <v>576</v>
      </c>
      <c r="AW1380" s="25">
        <f>24*3600*2</f>
        <v>172800</v>
      </c>
      <c r="AX1380" s="25">
        <f>24*3600*7</f>
        <v>604800</v>
      </c>
      <c r="AY1380" s="42"/>
      <c r="AZ1380" s="46"/>
      <c r="BA1380" s="42"/>
      <c r="BB1380" s="42"/>
      <c r="BC1380" s="2"/>
      <c r="BD1380" s="2"/>
      <c r="BE1380" s="2"/>
      <c r="BF1380" s="2"/>
      <c r="BG1380" s="2"/>
      <c r="BH1380" s="2"/>
      <c r="BI1380" s="2"/>
      <c r="BJ1380" s="2"/>
      <c r="BK1380" s="2"/>
      <c r="BL1380" s="2"/>
      <c r="BM1380" s="2"/>
      <c r="BN1380" s="2"/>
      <c r="BO1380" s="2"/>
      <c r="BP1380" s="2"/>
      <c r="BQ1380" s="2"/>
      <c r="BR1380" s="2"/>
      <c r="BS1380" s="2"/>
      <c r="BT1380" s="2"/>
      <c r="BU1380" s="2"/>
      <c r="BV1380" s="2"/>
      <c r="BW1380" s="2"/>
      <c r="BX1380" s="2"/>
      <c r="BY1380" s="2"/>
      <c r="BZ1380" s="2"/>
      <c r="CA1380" s="2"/>
      <c r="CB1380" s="2"/>
      <c r="CC1380" s="2"/>
      <c r="CD1380" s="2"/>
      <c r="CE1380" s="2"/>
      <c r="CF1380" s="2"/>
      <c r="CG1380" s="2"/>
      <c r="CH1380" s="2"/>
      <c r="CI1380" s="2"/>
      <c r="CJ1380" s="2"/>
      <c r="CK1380" s="2"/>
      <c r="CL1380" s="2"/>
      <c r="CM1380" s="2"/>
      <c r="CN1380" s="2"/>
      <c r="CO1380" s="2"/>
      <c r="CP1380" s="2"/>
      <c r="CQ1380" s="2"/>
      <c r="CR1380" s="1"/>
      <c r="CS1380" s="1"/>
      <c r="CT1380" s="1"/>
      <c r="CU1380" s="1"/>
    </row>
    <row r="1381" spans="1:99" s="13" customFormat="1" ht="12" customHeight="1" x14ac:dyDescent="0.2">
      <c r="A1381" s="65">
        <v>43509</v>
      </c>
      <c r="B1381" s="1" t="s">
        <v>137</v>
      </c>
      <c r="C1381" s="1" t="s">
        <v>74</v>
      </c>
      <c r="D1381" s="60">
        <v>2001</v>
      </c>
      <c r="E1381" s="76">
        <v>2</v>
      </c>
      <c r="F1381" s="60">
        <v>72</v>
      </c>
      <c r="G1381" s="60">
        <v>24</v>
      </c>
      <c r="H1381" s="60" t="s">
        <v>22</v>
      </c>
      <c r="I1381" s="60" t="s">
        <v>555</v>
      </c>
      <c r="J1381" s="60" t="s">
        <v>16</v>
      </c>
      <c r="K1381" s="60">
        <f>IF(J1381="syllables",1,IF(J1381="trigrams",2,IF(J1381="strings",3,IF(J1381="visual array",4,IF(J1381="characters",5,IF(J1381="letters",6,IF(J1381="free forms",7,IF(J1381="odors",8,IF(J1381="words",9,IF(J1381="pictures",10,IF(J1381="object pictures",11,IF(J1381="faces",12,IF(J1381="names",13,IF(J1381="idioms",14,IF(J1381="grades",15,IF(J1381="syllable-digit pairs",16,IF(J1381="trigram-word pairs",17,IF(J1381="word-digit pairs",18,IF(J1381="English-Swahili pairs",19,IF(J1381="spatial position",20,IF(J1381="word pairs",21,IF(J1381="word triads",22,IF(J1381="generated words",23,IF(J1381="word definition pairs",24,IF(J1381="math problems",25,IF(J1381="famous faces",26,IF(J1381="famous names",27,IF(J1381="famous voices",28,IF(J1381="television programs",29,IF(J1381="race horses",30,IF(J1381="new vocabulary",31,IF(J1381="sentences",32,IF(J1381="concepts",33,IF(J1381="ad slides",34,IF(J1381="scenes",35,IF(J1381="famous scenes",36,IF(J1381="poems",37,IF(J1381="walk",38,IF(J1381="faces and events",39,IF(J1381="events and names",40,IF(J1381="flashbulb",41,IF(J1381="stories",42,IF(J1381="course material",43,IF(J1381="autobiographical",44,IF(J1381="novels",45,IF(J1381="public events",46,"99"))))))))))))))))))))))))))))))))))))))))))))))</f>
        <v>9</v>
      </c>
      <c r="L1381" s="60">
        <f>IF(J1381="syllables",1,IF(J1381="trigrams",1,IF(J1381="strings",1,IF(J1381="visual array",1,IF(J1381="characters",1,IF(J1381="letters",1,IF(J1381="free forms",1,IF(J1381="odors",2,IF(J1381="words",2,IF(J1381="pictures",2,IF(J1381="object pictures",2,IF(J1381="faces",2,IF(J1381="names",2,IF(J1381="idioms","2",IF(J1381="grades",2,IF(J1381="syllable-digit pairs",3,IF(J1381="trigram-word pairs",3,IF(J1381="word-digit pairs",3,IF(J1381="English-Swahili pairs",3,IF(J1381="spatial position",3,IF(J1381="word pairs",4,IF(J1381="word triads",4,IF(J1381="generated words",4,IF(J1381="word definition pairs",4,IF(J1381="math problems",4,IF(J1381="famous faces",4,IF(J1381="famous names",4,IF(J1381="famous voices",4,IF(J1381="television programs",4,IF(J1381="race horses",4,IF(J1381="new vocabulary",4,IF(J1381="sentences",5,IF(J1381="concepts",5,IF(J1381="ad slides",5,IF(J1381="scenes",5,IF(J1381="famous scenes",5,IF(J1381="poems",6,IF(J1381="walk",6,IF(J1381="faces and events",6,IF(J1381="events and names",6,IF(J1381="flashbulb",7,IF(J1381="stories",7,IF(J1381="course material",7,IF(J1381="autobiographical",7,IF(J1381="novels",7,IF(J1381="public events",7,"99"))))))))))))))))))))))))))))))))))))))))))))))</f>
        <v>2</v>
      </c>
      <c r="M1381" s="60">
        <v>0</v>
      </c>
      <c r="N1381" s="60">
        <v>1</v>
      </c>
      <c r="O1381" s="60">
        <v>0</v>
      </c>
      <c r="P1381" s="60"/>
      <c r="Q1381" s="60" t="s">
        <v>34</v>
      </c>
      <c r="R1381" s="60">
        <f>IF(Q1381="Free Recall",1,IF(Q1381="Cued Recall",2,IF(Q1381="Recognition",3,IF(Q1381="Multiple Choice",4,IF(Q1381="Savings",5,IF(Q1381="Stem Completion",6,IF(Q1381="Fragment Completion",7,IF(Q1381="anagram solution",8,IF(Q1381="Matching",9,IF(Q1381="Problem Solving",10,"99"))))))))))</f>
        <v>3</v>
      </c>
      <c r="S1381" s="60" t="s">
        <v>15</v>
      </c>
      <c r="T1381" s="60" t="s">
        <v>261</v>
      </c>
      <c r="U1381" s="60">
        <f>IF(T1381="within",1,0)</f>
        <v>0</v>
      </c>
      <c r="V1381" s="60">
        <v>288</v>
      </c>
      <c r="W1381" s="60">
        <f>F1381*V1381</f>
        <v>20736</v>
      </c>
      <c r="X1381" s="60">
        <v>3</v>
      </c>
      <c r="Y1381" s="76">
        <f>AV1380</f>
        <v>576</v>
      </c>
      <c r="Z1381" s="60" t="s">
        <v>97</v>
      </c>
      <c r="AA1381" s="60">
        <v>604800</v>
      </c>
      <c r="AB1381" s="60" t="str">
        <f>IF(AA1381&lt;60,"1",IF(AA1381&lt;=43200,"2",IF(AA1381&lt;=777600,"3","4")))</f>
        <v>3</v>
      </c>
      <c r="AC1381" s="56">
        <f>AVERAGE(AV1380:DA1380)</f>
        <v>259392</v>
      </c>
      <c r="AD1381" s="60" t="str">
        <f>IF(AC1381&lt;60,"1",IF(AC1381&lt;=43200,"2",IF(AC1381&lt;=777600,"3","4")))</f>
        <v>3</v>
      </c>
      <c r="AE1381" s="76">
        <f>AA1381-Y1381</f>
        <v>604224</v>
      </c>
      <c r="AF1381" s="80">
        <f>AV1381</f>
        <v>0.42</v>
      </c>
      <c r="AG1381" s="56">
        <f>((AW1381-AV1381)+(AX1381-AW1381))/2</f>
        <v>7.4999999999999983E-2</v>
      </c>
      <c r="AH1381" s="4"/>
      <c r="AI1381" s="56">
        <f>RSQ(AV1381:AX1381,AV1380:AX1380)</f>
        <v>0.82361149586576443</v>
      </c>
      <c r="AJ1381" s="109">
        <f>SLOPE(AV1381:AX1381,AV1380:AX1380)</f>
        <v>2.2267335894282041E-7</v>
      </c>
      <c r="AK1381" s="56">
        <f>INTERCEPT(AV1381:AX1381,AV1380:AX1380)</f>
        <v>0.4455736454104372</v>
      </c>
      <c r="AL1381" s="56">
        <f>INDEX(LINEST(LN(AV1381:AX1381),LN(AV1380:AX1380),TRUE,TRUE),3,1)</f>
        <v>0.98380884711740524</v>
      </c>
      <c r="AM1381" s="56">
        <f>INDEX(LINEST(LN(AV1381:AX1381),LN(AV1380:AX1380)),1)</f>
        <v>4.1912232425419922E-2</v>
      </c>
      <c r="AN1381" s="56">
        <f>EXP(INDEX(LINEST(LN(AV1381:AX1381),LN(AV1380:AX1380)),1,2))</f>
        <v>0.32052718634093619</v>
      </c>
      <c r="AO1381" s="82">
        <f>INDEX(LINEST((AV1381:AX1381),LN(AV1380:AX1380),TRUE,TRUE),3,1)</f>
        <v>0.97343030736757363</v>
      </c>
      <c r="AP1381" s="82">
        <f>INDEX(LINEST((AV1381:AX1381),LN(AV1380:AX1380)),1)</f>
        <v>2.0322157522519094E-2</v>
      </c>
      <c r="AQ1381" s="83">
        <f>INDEX(LINEST(LN(AV1381:AX1381),SQRT(AV1380:AX1380),TRUE,TRUE),3,1)</f>
        <v>0.95914669858837998</v>
      </c>
      <c r="AR1381" s="116">
        <f>INDEX(LINEST(LN(AV1381:AX1381),SQRT((AV1380:AX1380))),1)</f>
        <v>4.0709382573613434E-4</v>
      </c>
      <c r="AS1381" s="84">
        <f>INDEX(LINEST(1/(AV1381:AX1381),1/(SQRT(AV1380:AX1380)),TRUE,TRUE),3,1)</f>
        <v>0.94403525410498657</v>
      </c>
      <c r="AT1381" s="84">
        <f>INDEX(LINEST(1/(AV1381:AX1381),1/SQRT(AV1380:AX1380)),1)</f>
        <v>13.697702292320425</v>
      </c>
      <c r="AU1381" s="3"/>
      <c r="AV1381" s="53">
        <v>0.42</v>
      </c>
      <c r="AW1381" s="53">
        <v>0.52</v>
      </c>
      <c r="AX1381" s="53">
        <v>0.56999999999999995</v>
      </c>
      <c r="AY1381" s="42"/>
      <c r="AZ1381" s="46"/>
      <c r="BA1381" s="42"/>
      <c r="BB1381" s="42"/>
      <c r="BC1381" s="2"/>
      <c r="BD1381" s="2"/>
      <c r="BE1381" s="2"/>
      <c r="BF1381" s="2"/>
      <c r="BG1381" s="2"/>
      <c r="BH1381" s="2"/>
      <c r="BI1381" s="2"/>
      <c r="BJ1381" s="2"/>
      <c r="BK1381" s="2"/>
      <c r="BL1381" s="2"/>
      <c r="BM1381" s="2"/>
      <c r="BN1381" s="2"/>
      <c r="BO1381" s="2"/>
      <c r="BP1381" s="2"/>
      <c r="BQ1381" s="2"/>
      <c r="BR1381" s="2"/>
      <c r="BS1381" s="2"/>
      <c r="BT1381" s="2"/>
      <c r="BU1381" s="2"/>
      <c r="BV1381" s="2"/>
      <c r="BW1381" s="2"/>
      <c r="BX1381" s="2"/>
      <c r="BY1381" s="2"/>
      <c r="BZ1381" s="2"/>
      <c r="CA1381" s="2"/>
      <c r="CB1381" s="2"/>
      <c r="CC1381" s="2"/>
      <c r="CD1381" s="2"/>
      <c r="CE1381" s="2"/>
      <c r="CF1381" s="2"/>
      <c r="CG1381" s="2"/>
      <c r="CH1381" s="2"/>
      <c r="CI1381" s="2"/>
      <c r="CJ1381" s="2"/>
      <c r="CK1381" s="2"/>
      <c r="CL1381" s="2"/>
      <c r="CM1381" s="2"/>
      <c r="CN1381" s="2"/>
      <c r="CO1381" s="2"/>
      <c r="CP1381" s="2"/>
      <c r="CQ1381" s="2"/>
      <c r="CR1381" s="1"/>
      <c r="CS1381" s="1"/>
      <c r="CT1381" s="1"/>
      <c r="CU1381" s="1"/>
    </row>
    <row r="1382" spans="1:99" s="13" customFormat="1" ht="12" customHeight="1" x14ac:dyDescent="0.2">
      <c r="A1382" s="65">
        <v>43509</v>
      </c>
      <c r="B1382" s="1"/>
      <c r="C1382" s="1"/>
      <c r="D1382" s="60"/>
      <c r="E1382" s="76"/>
      <c r="F1382" s="60"/>
      <c r="G1382" s="60"/>
      <c r="H1382" s="60"/>
      <c r="I1382" s="60"/>
      <c r="J1382" s="60"/>
      <c r="K1382" s="64"/>
      <c r="L1382" s="64"/>
      <c r="M1382" s="60"/>
      <c r="N1382" s="60"/>
      <c r="O1382" s="60"/>
      <c r="P1382" s="60"/>
      <c r="Q1382" s="60"/>
      <c r="R1382" s="60"/>
      <c r="S1382" s="60"/>
      <c r="T1382" s="60"/>
      <c r="U1382" s="60"/>
      <c r="V1382" s="60"/>
      <c r="W1382" s="60"/>
      <c r="X1382" s="60"/>
      <c r="Y1382" s="76"/>
      <c r="Z1382" s="60"/>
      <c r="AA1382" s="60"/>
      <c r="AB1382" s="60"/>
      <c r="AC1382" s="60"/>
      <c r="AD1382" s="60"/>
      <c r="AE1382" s="60"/>
      <c r="AF1382" s="80"/>
      <c r="AG1382" s="56"/>
      <c r="AH1382" s="4"/>
      <c r="AI1382" s="56"/>
      <c r="AJ1382" s="109"/>
      <c r="AK1382" s="56"/>
      <c r="AL1382" s="56"/>
      <c r="AM1382" s="56"/>
      <c r="AN1382" s="56"/>
      <c r="AO1382" s="56"/>
      <c r="AP1382" s="56"/>
      <c r="AQ1382" s="82"/>
      <c r="AR1382" s="115"/>
      <c r="AS1382" s="82"/>
      <c r="AT1382" s="82"/>
      <c r="AU1382" s="4"/>
      <c r="AV1382" s="25">
        <v>576</v>
      </c>
      <c r="AW1382" s="25">
        <f>24*3600*2</f>
        <v>172800</v>
      </c>
      <c r="AX1382" s="25">
        <f>24*3600*7</f>
        <v>604800</v>
      </c>
      <c r="AY1382" s="42"/>
      <c r="AZ1382" s="46"/>
      <c r="BA1382" s="42"/>
      <c r="BB1382" s="42"/>
      <c r="BC1382" s="40"/>
      <c r="BD1382" s="40"/>
      <c r="BE1382" s="40"/>
      <c r="BF1382" s="40"/>
      <c r="BG1382" s="40"/>
      <c r="BH1382" s="40"/>
      <c r="BI1382" s="40"/>
      <c r="BJ1382" s="40"/>
      <c r="BK1382" s="40"/>
      <c r="BL1382" s="40"/>
      <c r="BM1382" s="40"/>
      <c r="BN1382" s="40"/>
      <c r="BO1382" s="40"/>
      <c r="BP1382" s="40"/>
      <c r="BQ1382" s="40"/>
      <c r="BR1382" s="40"/>
      <c r="BS1382" s="40"/>
      <c r="BT1382" s="40"/>
      <c r="BU1382" s="40"/>
      <c r="BV1382" s="40"/>
      <c r="BW1382" s="40"/>
      <c r="BX1382" s="40"/>
      <c r="BY1382" s="40"/>
      <c r="BZ1382" s="40"/>
      <c r="CA1382" s="40"/>
      <c r="CB1382" s="40"/>
      <c r="CC1382" s="40"/>
      <c r="CD1382" s="40"/>
      <c r="CE1382" s="40"/>
      <c r="CF1382" s="40"/>
      <c r="CG1382" s="40"/>
      <c r="CH1382" s="40"/>
      <c r="CI1382" s="40"/>
      <c r="CJ1382" s="40"/>
      <c r="CK1382" s="40"/>
      <c r="CL1382" s="40"/>
      <c r="CM1382" s="40"/>
      <c r="CN1382" s="40"/>
      <c r="CO1382" s="40"/>
      <c r="CP1382" s="40"/>
      <c r="CQ1382" s="40"/>
      <c r="CR1382" s="1"/>
      <c r="CS1382" s="1"/>
      <c r="CT1382" s="1"/>
      <c r="CU1382" s="1"/>
    </row>
    <row r="1383" spans="1:99" s="13" customFormat="1" ht="12" customHeight="1" x14ac:dyDescent="0.2">
      <c r="A1383" s="65">
        <v>43509</v>
      </c>
      <c r="B1383" s="1" t="s">
        <v>137</v>
      </c>
      <c r="C1383" s="1" t="s">
        <v>74</v>
      </c>
      <c r="D1383" s="60">
        <v>2001</v>
      </c>
      <c r="E1383" s="76">
        <v>2</v>
      </c>
      <c r="F1383" s="60">
        <v>72</v>
      </c>
      <c r="G1383" s="60">
        <v>24</v>
      </c>
      <c r="H1383" s="60" t="s">
        <v>22</v>
      </c>
      <c r="I1383" s="60" t="s">
        <v>836</v>
      </c>
      <c r="J1383" s="60" t="s">
        <v>16</v>
      </c>
      <c r="K1383" s="60">
        <f>IF(J1383="syllables",1,IF(J1383="trigrams",2,IF(J1383="strings",3,IF(J1383="visual array",4,IF(J1383="characters",5,IF(J1383="letters",6,IF(J1383="free forms",7,IF(J1383="odors",8,IF(J1383="words",9,IF(J1383="pictures",10,IF(J1383="object pictures",11,IF(J1383="faces",12,IF(J1383="names",13,IF(J1383="idioms",14,IF(J1383="grades",15,IF(J1383="syllable-digit pairs",16,IF(J1383="trigram-word pairs",17,IF(J1383="word-digit pairs",18,IF(J1383="English-Swahili pairs",19,IF(J1383="spatial position",20,IF(J1383="word pairs",21,IF(J1383="word triads",22,IF(J1383="generated words",23,IF(J1383="word definition pairs",24,IF(J1383="math problems",25,IF(J1383="famous faces",26,IF(J1383="famous names",27,IF(J1383="famous voices",28,IF(J1383="television programs",29,IF(J1383="race horses",30,IF(J1383="new vocabulary",31,IF(J1383="sentences",32,IF(J1383="concepts",33,IF(J1383="ad slides",34,IF(J1383="scenes",35,IF(J1383="famous scenes",36,IF(J1383="poems",37,IF(J1383="walk",38,IF(J1383="faces and events",39,IF(J1383="events and names",40,IF(J1383="flashbulb",41,IF(J1383="stories",42,IF(J1383="course material",43,IF(J1383="autobiographical",44,IF(J1383="novels",45,IF(J1383="public events",46,"99"))))))))))))))))))))))))))))))))))))))))))))))</f>
        <v>9</v>
      </c>
      <c r="L1383" s="60">
        <f>IF(J1383="syllables",1,IF(J1383="trigrams",1,IF(J1383="strings",1,IF(J1383="visual array",1,IF(J1383="characters",1,IF(J1383="letters",1,IF(J1383="free forms",1,IF(J1383="odors",2,IF(J1383="words",2,IF(J1383="pictures",2,IF(J1383="object pictures",2,IF(J1383="faces",2,IF(J1383="names",2,IF(J1383="idioms","2",IF(J1383="grades",2,IF(J1383="syllable-digit pairs",3,IF(J1383="trigram-word pairs",3,IF(J1383="word-digit pairs",3,IF(J1383="English-Swahili pairs",3,IF(J1383="spatial position",3,IF(J1383="word pairs",4,IF(J1383="word triads",4,IF(J1383="generated words",4,IF(J1383="word definition pairs",4,IF(J1383="math problems",4,IF(J1383="famous faces",4,IF(J1383="famous names",4,IF(J1383="famous voices",4,IF(J1383="television programs",4,IF(J1383="race horses",4,IF(J1383="new vocabulary",4,IF(J1383="sentences",5,IF(J1383="concepts",5,IF(J1383="ad slides",5,IF(J1383="scenes",5,IF(J1383="famous scenes",5,IF(J1383="poems",6,IF(J1383="walk",6,IF(J1383="faces and events",6,IF(J1383="events and names",6,IF(J1383="flashbulb",7,IF(J1383="stories",7,IF(J1383="course material",7,IF(J1383="autobiographical",7,IF(J1383="novels",7,IF(J1383="public events",7,"99"))))))))))))))))))))))))))))))))))))))))))))))</f>
        <v>2</v>
      </c>
      <c r="M1383" s="60">
        <v>0</v>
      </c>
      <c r="N1383" s="60">
        <v>1</v>
      </c>
      <c r="O1383" s="60">
        <v>0</v>
      </c>
      <c r="P1383" s="60"/>
      <c r="Q1383" s="60" t="s">
        <v>34</v>
      </c>
      <c r="R1383" s="60">
        <f>IF(Q1383="Free Recall",1,IF(Q1383="Cued Recall",2,IF(Q1383="Recognition",3,IF(Q1383="Multiple Choice",4,IF(Q1383="Savings",5,IF(Q1383="Stem Completion",6,IF(Q1383="Fragment Completion",7,IF(Q1383="anagram solution",8,IF(Q1383="Matching",9,IF(Q1383="Problem Solving",10,"99"))))))))))</f>
        <v>3</v>
      </c>
      <c r="S1383" s="60" t="s">
        <v>15</v>
      </c>
      <c r="T1383" s="60" t="s">
        <v>261</v>
      </c>
      <c r="U1383" s="60">
        <f>IF(T1383="within",1,0)</f>
        <v>0</v>
      </c>
      <c r="V1383" s="60">
        <v>288</v>
      </c>
      <c r="W1383" s="60">
        <f>F1383*V1383</f>
        <v>20736</v>
      </c>
      <c r="X1383" s="60">
        <v>3</v>
      </c>
      <c r="Y1383" s="76">
        <f>AV1382</f>
        <v>576</v>
      </c>
      <c r="Z1383" s="60" t="s">
        <v>97</v>
      </c>
      <c r="AA1383" s="60">
        <v>604800</v>
      </c>
      <c r="AB1383" s="60" t="str">
        <f>IF(AA1383&lt;60,"1",IF(AA1383&lt;=43200,"2",IF(AA1383&lt;=777600,"3","4")))</f>
        <v>3</v>
      </c>
      <c r="AC1383" s="56">
        <f>AVERAGE(AV1382:DA1382)</f>
        <v>259392</v>
      </c>
      <c r="AD1383" s="60" t="str">
        <f>IF(AC1383&lt;60,"1",IF(AC1383&lt;=43200,"2",IF(AC1383&lt;=777600,"3","4")))</f>
        <v>3</v>
      </c>
      <c r="AE1383" s="76">
        <f>AA1383-Y1383</f>
        <v>604224</v>
      </c>
      <c r="AF1383" s="80">
        <f>AV1383</f>
        <v>0.34</v>
      </c>
      <c r="AG1383" s="56">
        <f>((AW1383-AV1383)+(AX1383-AW1383))/2</f>
        <v>7.9999999999999988E-2</v>
      </c>
      <c r="AH1383" s="4"/>
      <c r="AI1383" s="56">
        <f>RSQ(AV1383:AX1383,AV1382:AX1382)</f>
        <v>0.51849053416591451</v>
      </c>
      <c r="AJ1383" s="109">
        <f>SLOPE(AV1383:AX1383,AV1382:AX1382)</f>
        <v>2.136871637676864E-7</v>
      </c>
      <c r="AK1383" s="56">
        <f>INTERCEPT(AV1383:AX1383,AV1382:AX1382)</f>
        <v>0.391237925882639</v>
      </c>
      <c r="AL1383" s="56">
        <f>INDEX(LINEST(LN(AV1383:AX1383),LN(AV1382:AX1382),TRUE,TRUE),3,1)</f>
        <v>0.97146382286411004</v>
      </c>
      <c r="AM1383" s="56">
        <f>INDEX(LINEST(LN(AV1383:AX1383),LN(AV1382:AX1382)),1)</f>
        <v>5.9186010090288656E-2</v>
      </c>
      <c r="AN1383" s="56">
        <f>EXP(INDEX(LINEST(LN(AV1383:AX1383),LN(AV1382:AX1382)),1,2))</f>
        <v>0.23511854976943311</v>
      </c>
      <c r="AO1383" s="82">
        <f>INDEX(LINEST((AV1383:AX1383),LN(AV1382:AX1382),TRUE,TRUE),3,1)</f>
        <v>0.97146382286411004</v>
      </c>
      <c r="AP1383" s="82">
        <f>INDEX(LINEST((AV1383:AX1383),LN(AV1382:AX1382)),1)</f>
        <v>2.4554531709976773E-2</v>
      </c>
      <c r="AQ1383" s="83">
        <f>INDEX(LINEST(LN(AV1383:AX1383),SQRT(AV1382:AX1382),TRUE,TRUE),3,1)</f>
        <v>0.76943132294153738</v>
      </c>
      <c r="AR1383" s="116">
        <f>INDEX(LINEST(LN(AV1383:AX1383),SQRT((AV1382:AX1382))),1)</f>
        <v>5.1815207814549075E-4</v>
      </c>
      <c r="AS1383" s="84">
        <f>INDEX(LINEST(1/(AV1383:AX1383),1/(SQRT(AV1382:AX1382)),TRUE,TRUE),3,1)</f>
        <v>0.99940730015305956</v>
      </c>
      <c r="AT1383" s="84">
        <f>INDEX(LINEST(1/(AV1383:AX1383),1/SQRT(AV1382:AX1382)),1)</f>
        <v>23.62121631099992</v>
      </c>
      <c r="AU1383" s="3"/>
      <c r="AV1383" s="53">
        <v>0.34</v>
      </c>
      <c r="AW1383" s="53">
        <v>0.5</v>
      </c>
      <c r="AX1383" s="53">
        <v>0.5</v>
      </c>
      <c r="AY1383" s="42"/>
      <c r="AZ1383" s="46"/>
      <c r="BA1383" s="42"/>
      <c r="BB1383" s="42"/>
      <c r="BC1383" s="40"/>
      <c r="BD1383" s="40"/>
      <c r="BE1383" s="40"/>
      <c r="BF1383" s="40"/>
      <c r="BG1383" s="40"/>
      <c r="BH1383" s="40"/>
      <c r="BI1383" s="40"/>
      <c r="BJ1383" s="40"/>
      <c r="BK1383" s="40"/>
      <c r="BL1383" s="40"/>
      <c r="BM1383" s="40"/>
      <c r="BN1383" s="40"/>
      <c r="BO1383" s="40"/>
      <c r="BP1383" s="40"/>
      <c r="BQ1383" s="40"/>
      <c r="BR1383" s="40"/>
      <c r="BS1383" s="40"/>
      <c r="BT1383" s="40"/>
      <c r="BU1383" s="40"/>
      <c r="BV1383" s="40"/>
      <c r="BW1383" s="40"/>
      <c r="BX1383" s="40"/>
      <c r="BY1383" s="40"/>
      <c r="BZ1383" s="40"/>
      <c r="CA1383" s="40"/>
      <c r="CB1383" s="40"/>
      <c r="CC1383" s="40"/>
      <c r="CD1383" s="40"/>
      <c r="CE1383" s="40"/>
      <c r="CF1383" s="40"/>
      <c r="CG1383" s="40"/>
      <c r="CH1383" s="40"/>
      <c r="CI1383" s="40"/>
      <c r="CJ1383" s="40"/>
      <c r="CK1383" s="40"/>
      <c r="CL1383" s="40"/>
      <c r="CM1383" s="40"/>
      <c r="CN1383" s="40"/>
      <c r="CO1383" s="40"/>
      <c r="CP1383" s="40"/>
      <c r="CQ1383" s="40"/>
      <c r="CR1383" s="1"/>
      <c r="CS1383" s="1"/>
      <c r="CT1383" s="1"/>
      <c r="CU1383" s="1"/>
    </row>
    <row r="1384" spans="1:99" ht="12" customHeight="1" x14ac:dyDescent="0.2">
      <c r="A1384" s="68">
        <v>43509</v>
      </c>
      <c r="B1384" s="94"/>
      <c r="C1384" s="94"/>
      <c r="D1384" s="92"/>
      <c r="E1384" s="105"/>
      <c r="F1384" s="92"/>
      <c r="G1384" s="92"/>
      <c r="H1384" s="92"/>
      <c r="I1384" s="92"/>
      <c r="J1384" s="92"/>
      <c r="K1384" s="107"/>
      <c r="L1384" s="107"/>
      <c r="M1384" s="92"/>
      <c r="N1384" s="92"/>
      <c r="O1384" s="92"/>
      <c r="P1384" s="92"/>
      <c r="Q1384" s="92"/>
      <c r="R1384" s="69"/>
      <c r="S1384" s="92"/>
      <c r="T1384" s="69"/>
      <c r="U1384" s="69"/>
      <c r="V1384" s="92"/>
      <c r="W1384" s="69"/>
      <c r="X1384" s="92"/>
      <c r="Y1384" s="87"/>
      <c r="Z1384" s="92"/>
      <c r="AA1384" s="92"/>
      <c r="AB1384" s="69"/>
      <c r="AC1384" s="69"/>
      <c r="AD1384" s="69"/>
      <c r="AE1384" s="69"/>
      <c r="AF1384" s="88"/>
      <c r="AG1384" s="72"/>
      <c r="AH1384" s="4"/>
      <c r="AI1384" s="119"/>
      <c r="AJ1384" s="120"/>
      <c r="AK1384" s="119"/>
      <c r="AL1384" s="119"/>
      <c r="AM1384" s="119"/>
      <c r="AN1384" s="119"/>
      <c r="AO1384" s="119"/>
      <c r="AP1384" s="119"/>
      <c r="AQ1384" s="89"/>
      <c r="AR1384" s="118"/>
      <c r="AS1384" s="89"/>
      <c r="AT1384" s="89"/>
      <c r="AU1384" s="4"/>
      <c r="AV1384" s="98">
        <f>24*3600*100</f>
        <v>8640000</v>
      </c>
      <c r="AW1384" s="98">
        <f>24*3600*200</f>
        <v>17280000</v>
      </c>
      <c r="AX1384" s="98">
        <f>24*3600*300</f>
        <v>25920000</v>
      </c>
      <c r="AY1384" s="98">
        <f>24*3600*400</f>
        <v>34560000</v>
      </c>
      <c r="AZ1384" s="98">
        <f>24*3600*500</f>
        <v>43200000</v>
      </c>
      <c r="BA1384" s="98">
        <f>24*3600*600</f>
        <v>51840000</v>
      </c>
      <c r="BB1384" s="98">
        <f>24*3600*700</f>
        <v>60480000</v>
      </c>
      <c r="BC1384" s="98">
        <f>24*3600*800</f>
        <v>69120000</v>
      </c>
      <c r="BD1384" s="98">
        <f>24*3600*900</f>
        <v>77760000</v>
      </c>
      <c r="BE1384" s="11"/>
      <c r="BF1384" s="11"/>
      <c r="BG1384" s="11"/>
      <c r="BH1384" s="11"/>
      <c r="BI1384" s="11"/>
      <c r="BJ1384" s="11"/>
      <c r="BK1384" s="11"/>
      <c r="BL1384" s="11"/>
      <c r="BM1384" s="11"/>
      <c r="BN1384" s="11"/>
      <c r="BO1384" s="11"/>
      <c r="BP1384" s="11"/>
      <c r="BQ1384" s="11"/>
      <c r="BR1384" s="11"/>
      <c r="BS1384" s="11"/>
      <c r="BT1384" s="11"/>
      <c r="BU1384" s="11"/>
      <c r="BV1384" s="11"/>
      <c r="BW1384" s="11"/>
      <c r="BX1384" s="11"/>
      <c r="BY1384" s="11"/>
      <c r="BZ1384" s="11"/>
      <c r="CA1384" s="11"/>
      <c r="CB1384" s="11"/>
      <c r="CC1384" s="11"/>
      <c r="CD1384" s="11"/>
      <c r="CE1384" s="11"/>
      <c r="CF1384" s="11"/>
      <c r="CG1384" s="11"/>
      <c r="CH1384" s="11"/>
      <c r="CI1384" s="11"/>
      <c r="CJ1384" s="11"/>
      <c r="CK1384" s="11"/>
      <c r="CL1384" s="11"/>
      <c r="CM1384" s="11"/>
      <c r="CN1384" s="11"/>
      <c r="CO1384" s="11"/>
      <c r="CP1384" s="11"/>
      <c r="CQ1384" s="11"/>
      <c r="CR1384" s="15"/>
      <c r="CS1384" s="15"/>
      <c r="CT1384" s="15"/>
      <c r="CU1384" s="15"/>
    </row>
    <row r="1385" spans="1:99" ht="12" customHeight="1" x14ac:dyDescent="0.2">
      <c r="A1385" s="68">
        <v>43509</v>
      </c>
      <c r="B1385" s="94" t="s">
        <v>263</v>
      </c>
      <c r="C1385" s="94" t="s">
        <v>139</v>
      </c>
      <c r="D1385" s="92">
        <v>1996</v>
      </c>
      <c r="E1385" s="105">
        <v>1</v>
      </c>
      <c r="F1385" s="92">
        <v>6</v>
      </c>
      <c r="G1385" s="92">
        <v>6</v>
      </c>
      <c r="H1385" s="92" t="s">
        <v>837</v>
      </c>
      <c r="I1385" s="92" t="s">
        <v>719</v>
      </c>
      <c r="J1385" s="92" t="s">
        <v>622</v>
      </c>
      <c r="K1385" s="69">
        <f>IF(J1385="syllables",1,IF(J1385="trigrams",2,IF(J1385="strings",3,IF(J1385="visual array",4,IF(J1385="characters",5,IF(J1385="letters",6,IF(J1385="free forms",7,IF(J1385="odors",8,IF(J1385="words",9,IF(J1385="pictures",10,IF(J1385="object pictures",11,IF(J1385="faces",12,IF(J1385="names",13,IF(J1385="idioms",14,IF(J1385="grades",15,IF(J1385="syllable-digit pairs",16,IF(J1385="trigram-word pairs",17,IF(J1385="word-digit pairs",18,IF(J1385="English-Swahili pairs",19,IF(J1385="spatial position",20,IF(J1385="word pairs",21,IF(J1385="word triads",22,IF(J1385="generated words",23,IF(J1385="word definition pairs",24,IF(J1385="math problems",25,IF(J1385="famous faces",26,IF(J1385="famous names",27,IF(J1385="famous voices",28,IF(J1385="television programs",29,IF(J1385="race horses",30,IF(J1385="new vocabulary",31,IF(J1385="sentences",32,IF(J1385="concepts",33,IF(J1385="ad slides",34,IF(J1385="scenes",35,IF(J1385="famous scenes",36,IF(J1385="poems",37,IF(J1385="walk",38,IF(J1385="faces and events",39,IF(J1385="events and names",40,IF(J1385="flashbulb",41,IF(J1385="stories",42,IF(J1385="course material",43,IF(J1385="autobiographical",44,IF(J1385="novels",45,IF(J1385="public events",46,"99"))))))))))))))))))))))))))))))))))))))))))))))</f>
        <v>44</v>
      </c>
      <c r="L1385" s="69">
        <f>IF(J1385="syllables",1,IF(J1385="trigrams",1,IF(J1385="strings",1,IF(J1385="visual array",1,IF(J1385="characters",1,IF(J1385="letters",1,IF(J1385="free forms",1,IF(J1385="odors",2,IF(J1385="words",2,IF(J1385="pictures",2,IF(J1385="object pictures",2,IF(J1385="faces",2,IF(J1385="names",2,IF(J1385="idioms","2",IF(J1385="grades",2,IF(J1385="syllable-digit pairs",3,IF(J1385="trigram-word pairs",3,IF(J1385="word-digit pairs",3,IF(J1385="English-Swahili pairs",3,IF(J1385="spatial position",3,IF(J1385="word pairs",4,IF(J1385="word triads",4,IF(J1385="generated words",4,IF(J1385="word definition pairs",4,IF(J1385="math problems",4,IF(J1385="famous faces",4,IF(J1385="famous names",4,IF(J1385="famous voices",4,IF(J1385="television programs",4,IF(J1385="race horses",4,IF(J1385="new vocabulary",4,IF(J1385="sentences",5,IF(J1385="concepts",5,IF(J1385="ad slides",5,IF(J1385="scenes",5,IF(J1385="famous scenes",5,IF(J1385="poems",6,IF(J1385="walk",6,IF(J1385="faces and events",6,IF(J1385="events and names",6,IF(J1385="flashbulb",7,IF(J1385="stories",7,IF(J1385="course material",7,IF(J1385="autobiographical",7,IF(J1385="novels",7,IF(J1385="public events",7,"99"))))))))))))))))))))))))))))))))))))))))))))))</f>
        <v>7</v>
      </c>
      <c r="M1385" s="92">
        <v>0</v>
      </c>
      <c r="N1385" s="92">
        <v>3</v>
      </c>
      <c r="O1385" s="92">
        <v>0</v>
      </c>
      <c r="P1385" s="92"/>
      <c r="Q1385" s="92" t="s">
        <v>174</v>
      </c>
      <c r="R1385" s="69">
        <f>IF(Q1385="Free Recall",1,IF(Q1385="Cued Recall",2,IF(Q1385="Recognition",3,IF(Q1385="Multiple Choice",4,IF(Q1385="Savings",5,IF(Q1385="Stem Completion",6,IF(Q1385="Fragment Completion",7,IF(Q1385="anagram solution",8,IF(Q1385="Matching",9,IF(Q1385="Problem Solving",10,"99"))))))))))</f>
        <v>1</v>
      </c>
      <c r="S1385" s="69" t="s">
        <v>49</v>
      </c>
      <c r="T1385" s="92" t="s">
        <v>581</v>
      </c>
      <c r="U1385" s="69">
        <f>IF(T1385="within",1,0)</f>
        <v>1</v>
      </c>
      <c r="V1385" s="92">
        <v>800</v>
      </c>
      <c r="W1385" s="69">
        <f>F1385*V1385</f>
        <v>4800</v>
      </c>
      <c r="X1385" s="92">
        <v>9</v>
      </c>
      <c r="Y1385" s="87">
        <f>AV1384</f>
        <v>8640000</v>
      </c>
      <c r="Z1385" s="92" t="s">
        <v>264</v>
      </c>
      <c r="AA1385" s="92">
        <f>24*3600*900</f>
        <v>77760000</v>
      </c>
      <c r="AB1385" s="69" t="str">
        <f>IF(AA1385&lt;60,"1",IF(AA1385&lt;=43200,"2",IF(AA1385&lt;=777600,"3","4")))</f>
        <v>4</v>
      </c>
      <c r="AC1385" s="72">
        <f>AVERAGE(AV1384:DA1384)</f>
        <v>43200000</v>
      </c>
      <c r="AD1385" s="69" t="str">
        <f>IF(AC1385&lt;60,"1",IF(AC1385&lt;=43200,"2",IF(AC1385&lt;=777600,"3","4")))</f>
        <v>4</v>
      </c>
      <c r="AE1385" s="87">
        <f>AA1385-Y1385</f>
        <v>69120000</v>
      </c>
      <c r="AF1385" s="88">
        <f>AV1385</f>
        <v>0.89</v>
      </c>
      <c r="AG1385" s="72">
        <f>((AW1385-AV1385)+(AX1385-AW1385)+(AY1385-AX1385)+(AZ1385-AY1385)+(BA1385-AZ1385)+(BB1385-BA1385)+(BC1385-BB1385)+(BD1385-BC1385))/8</f>
        <v>-2.1250000000000005E-2</v>
      </c>
      <c r="AH1385" s="4"/>
      <c r="AI1385" s="72">
        <f>RSQ(AV1385:BD1385,AV1384:BD1384)</f>
        <v>0.93815136476426819</v>
      </c>
      <c r="AJ1385" s="110">
        <f>SLOPE(AV1385:BD1385,AV1384:BD1384)</f>
        <v>-2.7391975308641979E-9</v>
      </c>
      <c r="AK1385" s="72">
        <f>INTERCEPT(AV1385:BD1385,AV1384:BD1384)</f>
        <v>0.93277777777777771</v>
      </c>
      <c r="AL1385" s="72">
        <f>INDEX(LINEST(LN(AV1385:BD1385),LN(AV1384:BD1384),TRUE,TRUE),3,1)</f>
        <v>0.7939709930816673</v>
      </c>
      <c r="AM1385" s="72">
        <f>INDEX(LINEST(LN(AV1385:BD1385),LN(AV1384:BD1384)),1)</f>
        <v>-0.10246600971556949</v>
      </c>
      <c r="AN1385" s="72">
        <f>EXP(INDEX(LINEST(LN(AV1385:BD1385),LN(AV1384:BD1384)),1,2))</f>
        <v>4.8261679281908272</v>
      </c>
      <c r="AO1385" s="89">
        <f>INDEX(LINEST((AV1385:BD1385),LN(AV1384:BD1384),TRUE,TRUE),3,1)</f>
        <v>0.80567729138487965</v>
      </c>
      <c r="AP1385" s="89">
        <f>INDEX(LINEST((AV1385:BD1385),LN(AV1384:BD1384)),1)</f>
        <v>-8.3507350996017651E-2</v>
      </c>
      <c r="AQ1385" s="90">
        <f>INDEX(LINEST(LN(AV1385:BD1385),SQRT(AV1384:BD1384),TRUE,TRUE),3,1)</f>
        <v>0.88948878152732236</v>
      </c>
      <c r="AR1385" s="117">
        <f>INDEX(LINEST(LN(AV1385:BD1385),SQRT((AV1384:BD1384))),1)</f>
        <v>-3.9635890701677218E-5</v>
      </c>
      <c r="AS1385" s="91">
        <f>INDEX(LINEST(1/(AV1385:BD1385),1/(SQRT(AV1384:BD1384)),TRUE,TRUE),3,1)</f>
        <v>0.64854430843874911</v>
      </c>
      <c r="AT1385" s="91">
        <f>INDEX(LINEST(1/(AV1385:BD1385),1/SQRT(AV1384:BD1384)),1)</f>
        <v>-1131.0444085441879</v>
      </c>
      <c r="AU1385" s="3"/>
      <c r="AV1385" s="97">
        <v>0.89</v>
      </c>
      <c r="AW1385" s="97">
        <v>0.91</v>
      </c>
      <c r="AX1385" s="97">
        <v>0.85</v>
      </c>
      <c r="AY1385" s="97">
        <v>0.83</v>
      </c>
      <c r="AZ1385" s="121">
        <v>0.84</v>
      </c>
      <c r="BA1385" s="97">
        <v>0.8</v>
      </c>
      <c r="BB1385" s="97">
        <v>0.75</v>
      </c>
      <c r="BC1385" s="97">
        <v>0.74</v>
      </c>
      <c r="BD1385" s="97">
        <v>0.72</v>
      </c>
      <c r="BE1385" s="11"/>
      <c r="BF1385" s="11"/>
      <c r="BG1385" s="11"/>
      <c r="BH1385" s="11"/>
      <c r="BI1385" s="11"/>
      <c r="BJ1385" s="11"/>
      <c r="BK1385" s="11"/>
      <c r="BL1385" s="11"/>
      <c r="BM1385" s="11"/>
      <c r="BN1385" s="11"/>
      <c r="BO1385" s="11"/>
      <c r="BP1385" s="11"/>
      <c r="BQ1385" s="11"/>
      <c r="BR1385" s="11"/>
      <c r="BS1385" s="11"/>
      <c r="BT1385" s="11"/>
      <c r="BU1385" s="11"/>
      <c r="BV1385" s="11"/>
      <c r="BW1385" s="11"/>
      <c r="BX1385" s="11"/>
      <c r="BY1385" s="11"/>
      <c r="BZ1385" s="11"/>
      <c r="CA1385" s="11"/>
      <c r="CB1385" s="11"/>
      <c r="CC1385" s="11"/>
      <c r="CD1385" s="11"/>
      <c r="CE1385" s="11"/>
      <c r="CF1385" s="11"/>
      <c r="CG1385" s="11"/>
      <c r="CH1385" s="11"/>
      <c r="CI1385" s="11"/>
      <c r="CJ1385" s="11"/>
      <c r="CK1385" s="11"/>
      <c r="CL1385" s="11"/>
      <c r="CM1385" s="11"/>
      <c r="CN1385" s="11"/>
      <c r="CO1385" s="11"/>
      <c r="CP1385" s="11"/>
      <c r="CQ1385" s="11"/>
      <c r="CR1385" s="15"/>
      <c r="CS1385" s="15"/>
      <c r="CT1385" s="15"/>
      <c r="CU1385" s="15"/>
    </row>
    <row r="1386" spans="1:99" ht="12" customHeight="1" x14ac:dyDescent="0.2">
      <c r="A1386" s="68">
        <v>43509</v>
      </c>
      <c r="B1386" s="94"/>
      <c r="C1386" s="94"/>
      <c r="D1386" s="92"/>
      <c r="E1386" s="105"/>
      <c r="F1386" s="92"/>
      <c r="G1386" s="92"/>
      <c r="H1386" s="92"/>
      <c r="I1386" s="92"/>
      <c r="J1386" s="92"/>
      <c r="K1386" s="107"/>
      <c r="L1386" s="107"/>
      <c r="M1386" s="92"/>
      <c r="N1386" s="92"/>
      <c r="O1386" s="92"/>
      <c r="P1386" s="92"/>
      <c r="Q1386" s="92"/>
      <c r="R1386" s="69"/>
      <c r="S1386" s="69"/>
      <c r="T1386" s="69"/>
      <c r="U1386" s="69"/>
      <c r="V1386" s="92"/>
      <c r="W1386" s="69"/>
      <c r="X1386" s="92"/>
      <c r="Y1386" s="87"/>
      <c r="Z1386" s="92"/>
      <c r="AA1386" s="92"/>
      <c r="AB1386" s="69"/>
      <c r="AC1386" s="69"/>
      <c r="AD1386" s="69"/>
      <c r="AE1386" s="69"/>
      <c r="AF1386" s="88"/>
      <c r="AG1386" s="72"/>
      <c r="AH1386" s="4"/>
      <c r="AI1386" s="119"/>
      <c r="AJ1386" s="120"/>
      <c r="AK1386" s="119"/>
      <c r="AL1386" s="119"/>
      <c r="AM1386" s="119"/>
      <c r="AN1386" s="119"/>
      <c r="AO1386" s="119"/>
      <c r="AP1386" s="119"/>
      <c r="AQ1386" s="89"/>
      <c r="AR1386" s="118"/>
      <c r="AS1386" s="89"/>
      <c r="AT1386" s="89"/>
      <c r="AU1386" s="4"/>
      <c r="AV1386" s="98">
        <f>24*3600*100</f>
        <v>8640000</v>
      </c>
      <c r="AW1386" s="98">
        <f>24*3600*200</f>
        <v>17280000</v>
      </c>
      <c r="AX1386" s="98">
        <f>24*3600*300</f>
        <v>25920000</v>
      </c>
      <c r="AY1386" s="98">
        <f>24*3600*400</f>
        <v>34560000</v>
      </c>
      <c r="AZ1386" s="98">
        <f>24*3600*500</f>
        <v>43200000</v>
      </c>
      <c r="BA1386" s="98">
        <f>24*3600*600</f>
        <v>51840000</v>
      </c>
      <c r="BB1386" s="98">
        <f>24*3600*700</f>
        <v>60480000</v>
      </c>
      <c r="BC1386" s="98">
        <f>24*3600*800</f>
        <v>69120000</v>
      </c>
      <c r="BD1386" s="98">
        <f>24*3600*900</f>
        <v>77760000</v>
      </c>
      <c r="BE1386" s="11"/>
      <c r="BF1386" s="11"/>
      <c r="BG1386" s="11"/>
      <c r="BH1386" s="11"/>
      <c r="BI1386" s="11"/>
      <c r="BJ1386" s="11"/>
      <c r="BK1386" s="11"/>
      <c r="BL1386" s="11"/>
      <c r="BM1386" s="11"/>
      <c r="BN1386" s="11"/>
      <c r="BO1386" s="11"/>
      <c r="BP1386" s="11"/>
      <c r="BQ1386" s="11"/>
      <c r="BR1386" s="11"/>
      <c r="BS1386" s="11"/>
      <c r="BT1386" s="11"/>
      <c r="BU1386" s="11"/>
      <c r="BV1386" s="11"/>
      <c r="BW1386" s="11"/>
      <c r="BX1386" s="11"/>
      <c r="BY1386" s="11"/>
      <c r="BZ1386" s="11"/>
      <c r="CA1386" s="11"/>
      <c r="CB1386" s="11"/>
      <c r="CC1386" s="11"/>
      <c r="CD1386" s="11"/>
      <c r="CE1386" s="11"/>
      <c r="CF1386" s="11"/>
      <c r="CG1386" s="11"/>
      <c r="CH1386" s="11"/>
      <c r="CI1386" s="11"/>
      <c r="CJ1386" s="11"/>
      <c r="CK1386" s="11"/>
      <c r="CL1386" s="11"/>
      <c r="CM1386" s="11"/>
      <c r="CN1386" s="11"/>
      <c r="CO1386" s="11"/>
      <c r="CP1386" s="11"/>
      <c r="CQ1386" s="11"/>
      <c r="CR1386" s="15"/>
      <c r="CS1386" s="15"/>
      <c r="CT1386" s="15"/>
      <c r="CU1386" s="15"/>
    </row>
    <row r="1387" spans="1:99" ht="12" customHeight="1" x14ac:dyDescent="0.2">
      <c r="A1387" s="68">
        <v>43509</v>
      </c>
      <c r="B1387" s="94" t="s">
        <v>263</v>
      </c>
      <c r="C1387" s="94" t="s">
        <v>139</v>
      </c>
      <c r="D1387" s="92">
        <v>1996</v>
      </c>
      <c r="E1387" s="105">
        <v>1</v>
      </c>
      <c r="F1387" s="92">
        <v>6</v>
      </c>
      <c r="G1387" s="92">
        <v>6</v>
      </c>
      <c r="H1387" s="92" t="s">
        <v>837</v>
      </c>
      <c r="I1387" s="92" t="s">
        <v>720</v>
      </c>
      <c r="J1387" s="92" t="s">
        <v>622</v>
      </c>
      <c r="K1387" s="69">
        <f>IF(J1387="syllables",1,IF(J1387="trigrams",2,IF(J1387="strings",3,IF(J1387="visual array",4,IF(J1387="characters",5,IF(J1387="letters",6,IF(J1387="free forms",7,IF(J1387="odors",8,IF(J1387="words",9,IF(J1387="pictures",10,IF(J1387="object pictures",11,IF(J1387="faces",12,IF(J1387="names",13,IF(J1387="idioms",14,IF(J1387="grades",15,IF(J1387="syllable-digit pairs",16,IF(J1387="trigram-word pairs",17,IF(J1387="word-digit pairs",18,IF(J1387="English-Swahili pairs",19,IF(J1387="spatial position",20,IF(J1387="word pairs",21,IF(J1387="word triads",22,IF(J1387="generated words",23,IF(J1387="word definition pairs",24,IF(J1387="math problems",25,IF(J1387="famous faces",26,IF(J1387="famous names",27,IF(J1387="famous voices",28,IF(J1387="television programs",29,IF(J1387="race horses",30,IF(J1387="new vocabulary",31,IF(J1387="sentences",32,IF(J1387="concepts",33,IF(J1387="ad slides",34,IF(J1387="scenes",35,IF(J1387="famous scenes",36,IF(J1387="poems",37,IF(J1387="walk",38,IF(J1387="faces and events",39,IF(J1387="events and names",40,IF(J1387="flashbulb",41,IF(J1387="stories",42,IF(J1387="course material",43,IF(J1387="autobiographical",44,IF(J1387="novels",45,IF(J1387="public events",46,"99"))))))))))))))))))))))))))))))))))))))))))))))</f>
        <v>44</v>
      </c>
      <c r="L1387" s="69">
        <f>IF(J1387="syllables",1,IF(J1387="trigrams",1,IF(J1387="strings",1,IF(J1387="visual array",1,IF(J1387="characters",1,IF(J1387="letters",1,IF(J1387="free forms",1,IF(J1387="odors",2,IF(J1387="words",2,IF(J1387="pictures",2,IF(J1387="object pictures",2,IF(J1387="faces",2,IF(J1387="names",2,IF(J1387="idioms","2",IF(J1387="grades",2,IF(J1387="syllable-digit pairs",3,IF(J1387="trigram-word pairs",3,IF(J1387="word-digit pairs",3,IF(J1387="English-Swahili pairs",3,IF(J1387="spatial position",3,IF(J1387="word pairs",4,IF(J1387="word triads",4,IF(J1387="generated words",4,IF(J1387="word definition pairs",4,IF(J1387="math problems",4,IF(J1387="famous faces",4,IF(J1387="famous names",4,IF(J1387="famous voices",4,IF(J1387="television programs",4,IF(J1387="race horses",4,IF(J1387="new vocabulary",4,IF(J1387="sentences",5,IF(J1387="concepts",5,IF(J1387="ad slides",5,IF(J1387="scenes",5,IF(J1387="famous scenes",5,IF(J1387="poems",6,IF(J1387="walk",6,IF(J1387="faces and events",6,IF(J1387="events and names",6,IF(J1387="flashbulb",7,IF(J1387="stories",7,IF(J1387="course material",7,IF(J1387="autobiographical",7,IF(J1387="novels",7,IF(J1387="public events",7,"99"))))))))))))))))))))))))))))))))))))))))))))))</f>
        <v>7</v>
      </c>
      <c r="M1387" s="92">
        <v>0</v>
      </c>
      <c r="N1387" s="92">
        <v>3</v>
      </c>
      <c r="O1387" s="92">
        <v>0</v>
      </c>
      <c r="P1387" s="92"/>
      <c r="Q1387" s="92" t="s">
        <v>174</v>
      </c>
      <c r="R1387" s="69">
        <f>IF(Q1387="Free Recall",1,IF(Q1387="Cued Recall",2,IF(Q1387="Recognition",3,IF(Q1387="Multiple Choice",4,IF(Q1387="Savings",5,IF(Q1387="Stem Completion",6,IF(Q1387="Fragment Completion",7,IF(Q1387="anagram solution",8,IF(Q1387="Matching",9,IF(Q1387="Problem Solving",10,"99"))))))))))</f>
        <v>1</v>
      </c>
      <c r="S1387" s="69" t="s">
        <v>49</v>
      </c>
      <c r="T1387" s="92" t="s">
        <v>581</v>
      </c>
      <c r="U1387" s="69">
        <f>IF(T1387="within",1,0)</f>
        <v>1</v>
      </c>
      <c r="V1387" s="92">
        <v>800</v>
      </c>
      <c r="W1387" s="69">
        <f>F1387*V1387</f>
        <v>4800</v>
      </c>
      <c r="X1387" s="92">
        <v>9</v>
      </c>
      <c r="Y1387" s="87">
        <f>AV1386</f>
        <v>8640000</v>
      </c>
      <c r="Z1387" s="92" t="s">
        <v>264</v>
      </c>
      <c r="AA1387" s="92">
        <f>24*3600*900</f>
        <v>77760000</v>
      </c>
      <c r="AB1387" s="69" t="str">
        <f>IF(AA1387&lt;60,"1",IF(AA1387&lt;=43200,"2",IF(AA1387&lt;=777600,"3","4")))</f>
        <v>4</v>
      </c>
      <c r="AC1387" s="72">
        <f>AVERAGE(AV1386:DA1386)</f>
        <v>43200000</v>
      </c>
      <c r="AD1387" s="69" t="str">
        <f>IF(AC1387&lt;60,"1",IF(AC1387&lt;=43200,"2",IF(AC1387&lt;=777600,"3","4")))</f>
        <v>4</v>
      </c>
      <c r="AE1387" s="87">
        <f>AA1387-Y1387</f>
        <v>69120000</v>
      </c>
      <c r="AF1387" s="88">
        <f>AV1387</f>
        <v>0.89500000000000002</v>
      </c>
      <c r="AG1387" s="72">
        <f>((AW1387-AV1387)+(AX1387-AW1387)+(AY1387-AX1387)+(AZ1387-AY1387)+(BA1387-AZ1387)+(BB1387-BA1387)+(BC1387-BB1387)+(BD1387-BC1387))/8</f>
        <v>-3.9375000000000007E-2</v>
      </c>
      <c r="AH1387" s="4"/>
      <c r="AI1387" s="72">
        <f>RSQ(AV1387:BD1387,AV1386:BD1386)</f>
        <v>0.79097475115319249</v>
      </c>
      <c r="AJ1387" s="110">
        <f>SLOPE(AV1387:BD1387,AV1386:BD1386)</f>
        <v>-3.4818672839506179E-9</v>
      </c>
      <c r="AK1387" s="72">
        <f>INTERCEPT(AV1387:BD1387,AV1386:BD1386)</f>
        <v>0.94041666666666668</v>
      </c>
      <c r="AL1387" s="72">
        <f>INDEX(LINEST(LN(AV1387:BD1387),LN(AV1386:BD1386),TRUE,TRUE),3,1)</f>
        <v>0.58102530099277838</v>
      </c>
      <c r="AM1387" s="72">
        <f>INDEX(LINEST(LN(AV1387:BD1387),LN(AV1386:BD1386)),1)</f>
        <v>-0.13558694942411967</v>
      </c>
      <c r="AN1387" s="72">
        <f>EXP(INDEX(LINEST(LN(AV1387:BD1387),LN(AV1386:BD1386)),1,2))</f>
        <v>8.296800075574291</v>
      </c>
      <c r="AO1387" s="89">
        <f>INDEX(LINEST((AV1387:BD1387),LN(AV1386:BD1386),TRUE,TRUE),3,1)</f>
        <v>0.64736460223891035</v>
      </c>
      <c r="AP1387" s="89">
        <f>INDEX(LINEST((AV1387:BD1387),LN(AV1386:BD1386)),1)</f>
        <v>-0.10362454319572602</v>
      </c>
      <c r="AQ1387" s="90">
        <f>INDEX(LINEST(LN(AV1387:BD1387),SQRT(AV1386:BD1386),TRUE,TRUE),3,1)</f>
        <v>0.67071979274817617</v>
      </c>
      <c r="AR1387" s="117">
        <f>INDEX(LINEST(LN(AV1387:BD1387),SQRT((AV1386:BD1386))),1)</f>
        <v>-5.3239235121203983E-5</v>
      </c>
      <c r="AS1387" s="91">
        <f>INDEX(LINEST(1/(AV1387:BD1387),1/(SQRT(AV1386:BD1386)),TRUE,TRUE),3,1)</f>
        <v>0.41718539933984577</v>
      </c>
      <c r="AT1387" s="91">
        <f>INDEX(LINEST(1/(AV1387:BD1387),1/SQRT(AV1386:BD1386)),1)</f>
        <v>-1591.4711049288962</v>
      </c>
      <c r="AU1387" s="3"/>
      <c r="AV1387" s="97">
        <v>0.89500000000000002</v>
      </c>
      <c r="AW1387" s="97">
        <v>0.88</v>
      </c>
      <c r="AX1387" s="97">
        <v>0.83</v>
      </c>
      <c r="AY1387" s="97">
        <v>0.82499999999999996</v>
      </c>
      <c r="AZ1387" s="97">
        <v>0.79</v>
      </c>
      <c r="BA1387" s="97">
        <v>0.8</v>
      </c>
      <c r="BB1387" s="97">
        <v>0.75</v>
      </c>
      <c r="BC1387" s="97">
        <v>0.76</v>
      </c>
      <c r="BD1387" s="97">
        <v>0.57999999999999996</v>
      </c>
      <c r="BE1387" s="11"/>
      <c r="BF1387" s="11"/>
      <c r="BG1387" s="11"/>
      <c r="BH1387" s="11"/>
      <c r="BI1387" s="11"/>
      <c r="BJ1387" s="11"/>
      <c r="BK1387" s="11"/>
      <c r="BL1387" s="11"/>
      <c r="BM1387" s="11"/>
      <c r="BN1387" s="11"/>
      <c r="BO1387" s="11"/>
      <c r="BP1387" s="11"/>
      <c r="BQ1387" s="11"/>
      <c r="BR1387" s="11"/>
      <c r="BS1387" s="11"/>
      <c r="BT1387" s="11"/>
      <c r="BU1387" s="11"/>
      <c r="BV1387" s="11"/>
      <c r="BW1387" s="11"/>
      <c r="BX1387" s="11"/>
      <c r="BY1387" s="11"/>
      <c r="BZ1387" s="11"/>
      <c r="CA1387" s="11"/>
      <c r="CB1387" s="11"/>
      <c r="CC1387" s="11"/>
      <c r="CD1387" s="11"/>
      <c r="CE1387" s="11"/>
      <c r="CF1387" s="11"/>
      <c r="CG1387" s="11"/>
      <c r="CH1387" s="11"/>
      <c r="CI1387" s="11"/>
      <c r="CJ1387" s="11"/>
      <c r="CK1387" s="11"/>
      <c r="CL1387" s="11"/>
      <c r="CM1387" s="11"/>
      <c r="CN1387" s="11"/>
      <c r="CO1387" s="11"/>
      <c r="CP1387" s="11"/>
      <c r="CQ1387" s="11"/>
      <c r="CR1387" s="15"/>
      <c r="CS1387" s="15"/>
      <c r="CT1387" s="15"/>
      <c r="CU1387" s="15"/>
    </row>
    <row r="1388" spans="1:99" ht="12" customHeight="1" x14ac:dyDescent="0.2">
      <c r="A1388" s="65">
        <v>43979</v>
      </c>
      <c r="B1388" s="15"/>
      <c r="C1388" s="15"/>
      <c r="D1388" s="59"/>
      <c r="E1388" s="75"/>
      <c r="F1388" s="59"/>
      <c r="G1388" s="59"/>
      <c r="H1388" s="59"/>
      <c r="I1388" s="59"/>
      <c r="J1388" s="59"/>
      <c r="K1388" s="60"/>
      <c r="L1388" s="60"/>
      <c r="M1388" s="59"/>
      <c r="N1388" s="59"/>
      <c r="O1388" s="59"/>
      <c r="P1388" s="59"/>
      <c r="Q1388" s="59"/>
      <c r="R1388" s="60"/>
      <c r="S1388" s="60"/>
      <c r="T1388" s="59"/>
      <c r="U1388" s="60"/>
      <c r="V1388" s="59"/>
      <c r="W1388" s="60"/>
      <c r="X1388" s="59"/>
      <c r="Y1388" s="76"/>
      <c r="Z1388" s="59"/>
      <c r="AA1388" s="59"/>
      <c r="AB1388" s="60"/>
      <c r="AC1388" s="56"/>
      <c r="AD1388" s="60"/>
      <c r="AE1388" s="76"/>
      <c r="AF1388" s="80"/>
      <c r="AG1388" s="56"/>
      <c r="AH1388" s="4"/>
      <c r="AI1388" s="56"/>
      <c r="AJ1388" s="109"/>
      <c r="AK1388" s="56"/>
      <c r="AL1388" s="56"/>
      <c r="AM1388" s="56"/>
      <c r="AN1388" s="56"/>
      <c r="AO1388" s="82"/>
      <c r="AP1388" s="82"/>
      <c r="AQ1388" s="83"/>
      <c r="AR1388" s="116"/>
      <c r="AS1388" s="84"/>
      <c r="AT1388" s="84"/>
      <c r="AU1388" s="3"/>
      <c r="AV1388" s="47">
        <f>60*60*24*15</f>
        <v>1296000</v>
      </c>
      <c r="AW1388" s="47">
        <f>60*60*24*(365/2)</f>
        <v>15768000</v>
      </c>
      <c r="AX1388" s="47">
        <f>60*60*24*365*9</f>
        <v>283824000</v>
      </c>
      <c r="AY1388" s="47">
        <f>60*60*24*365*12</f>
        <v>378432000</v>
      </c>
      <c r="AZ1388" s="47">
        <f>60*60*24*365*22</f>
        <v>693792000</v>
      </c>
      <c r="BA1388" s="11"/>
      <c r="BB1388" s="11"/>
      <c r="BC1388" s="11"/>
      <c r="BD1388" s="11"/>
      <c r="BE1388" s="11"/>
      <c r="BF1388" s="11"/>
      <c r="BG1388" s="11"/>
      <c r="BH1388" s="11"/>
      <c r="BI1388" s="11"/>
      <c r="BJ1388" s="11"/>
      <c r="BK1388" s="11"/>
      <c r="BL1388" s="11"/>
      <c r="BM1388" s="11"/>
      <c r="BN1388" s="11"/>
      <c r="BO1388" s="11"/>
      <c r="BP1388" s="11"/>
      <c r="BQ1388" s="11"/>
      <c r="BR1388" s="11"/>
      <c r="BS1388" s="11"/>
      <c r="BT1388" s="11"/>
      <c r="BU1388" s="11"/>
      <c r="BV1388" s="11"/>
      <c r="BW1388" s="11"/>
      <c r="BX1388" s="11"/>
      <c r="BY1388" s="11"/>
      <c r="BZ1388" s="11"/>
      <c r="CA1388" s="11"/>
      <c r="CB1388" s="11"/>
      <c r="CC1388" s="11"/>
      <c r="CD1388" s="11"/>
      <c r="CE1388" s="11"/>
      <c r="CF1388" s="11"/>
      <c r="CG1388" s="11"/>
      <c r="CH1388" s="11"/>
      <c r="CI1388" s="11"/>
      <c r="CJ1388" s="11"/>
      <c r="CK1388" s="11"/>
      <c r="CL1388" s="11"/>
      <c r="CM1388" s="11"/>
      <c r="CN1388" s="11"/>
      <c r="CO1388" s="11"/>
      <c r="CP1388" s="11"/>
      <c r="CQ1388" s="11"/>
      <c r="CR1388" s="15"/>
      <c r="CS1388" s="15"/>
      <c r="CT1388" s="15"/>
      <c r="CU1388" s="15"/>
    </row>
    <row r="1389" spans="1:99" ht="12" customHeight="1" x14ac:dyDescent="0.2">
      <c r="A1389" s="65">
        <v>43979</v>
      </c>
      <c r="B1389" s="15" t="s">
        <v>1013</v>
      </c>
      <c r="C1389" s="15" t="s">
        <v>405</v>
      </c>
      <c r="D1389" s="59">
        <v>2011</v>
      </c>
      <c r="E1389" s="75">
        <v>1</v>
      </c>
      <c r="F1389" s="59">
        <v>15</v>
      </c>
      <c r="G1389" s="59">
        <v>15</v>
      </c>
      <c r="H1389" s="59" t="s">
        <v>792</v>
      </c>
      <c r="I1389" s="59" t="s">
        <v>330</v>
      </c>
      <c r="J1389" s="59" t="s">
        <v>622</v>
      </c>
      <c r="K1389" s="60">
        <f>IF(J1389="syllables",1,IF(J1389="trigrams",2,IF(J1389="strings",3,IF(J1389="visual array",4,IF(J1389="characters",5,IF(J1389="letters",6,IF(J1389="free forms",7,IF(J1389="odors",8,IF(J1389="words",9,IF(J1389="pictures",10,IF(J1389="object pictures",11,IF(J1389="faces",12,IF(J1389="names",13,IF(J1389="idioms",14,IF(J1389="grades",15,IF(J1389="syllable-digit pairs",16,IF(J1389="trigram-word pairs",17,IF(J1389="word-digit pairs",18,IF(J1389="English-Swahili pairs",19,IF(J1389="spatial position",20,IF(J1389="word pairs",21,IF(J1389="word triads",22,IF(J1389="generated words",23,IF(J1389="word definition pairs",24,IF(J1389="math problems",25,IF(J1389="famous faces",26,IF(J1389="famous names",27,IF(J1389="famous voices",28,IF(J1389="television programs",29,IF(J1389="race horses",30,IF(J1389="new vocabulary",31,IF(J1389="sentences",32,IF(J1389="concepts",33,IF(J1389="ad slides",34,IF(J1389="scenes",35,IF(J1389="famous scenes",36,IF(J1389="poems",37,IF(J1389="walk",38,IF(J1389="faces and events",39,IF(J1389="events and names",40,IF(J1389="flashbulb",41,IF(J1389="stories",42,IF(J1389="course material",43,IF(J1389="autobiographical",44,IF(J1389="novels",45,IF(J1389="public events",46,"99"))))))))))))))))))))))))))))))))))))))))))))))</f>
        <v>44</v>
      </c>
      <c r="L1389" s="60">
        <f>IF(J1389="syllables",1,IF(J1389="trigrams",1,IF(J1389="strings",1,IF(J1389="visual array",1,IF(J1389="characters",1,IF(J1389="letters",1,IF(J1389="free forms",1,IF(J1389="odors",2,IF(J1389="words",2,IF(J1389="pictures",2,IF(J1389="object pictures",2,IF(J1389="faces",2,IF(J1389="names",2,IF(J1389="idioms","2",IF(J1389="grades",2,IF(J1389="syllable-digit pairs",3,IF(J1389="trigram-word pairs",3,IF(J1389="word-digit pairs",3,IF(J1389="English-Swahili pairs",3,IF(J1389="spatial position",3,IF(J1389="word pairs",4,IF(J1389="word triads",4,IF(J1389="generated words",4,IF(J1389="word definition pairs",4,IF(J1389="math problems",4,IF(J1389="famous faces",4,IF(J1389="famous names",4,IF(J1389="famous voices",4,IF(J1389="television programs",4,IF(J1389="race horses",4,IF(J1389="new vocabulary",4,IF(J1389="sentences",5,IF(J1389="concepts",5,IF(J1389="ad slides",5,IF(J1389="scenes",5,IF(J1389="famous scenes",5,IF(J1389="poems",6,IF(J1389="walk",6,IF(J1389="faces and events",6,IF(J1389="events and names",6,IF(J1389="flashbulb",7,IF(J1389="stories",7,IF(J1389="course material",7,IF(J1389="autobiographical",7,IF(J1389="novels",7,IF(J1389="public events",7,"99"))))))))))))))))))))))))))))))))))))))))))))))</f>
        <v>7</v>
      </c>
      <c r="M1389" s="59">
        <v>0</v>
      </c>
      <c r="N1389" s="59">
        <v>3</v>
      </c>
      <c r="O1389" s="59">
        <v>0</v>
      </c>
      <c r="P1389" s="59"/>
      <c r="Q1389" s="59" t="s">
        <v>65</v>
      </c>
      <c r="R1389" s="60">
        <f>IF(Q1389="Free Recall",1,IF(Q1389="Cued Recall",2,IF(Q1389="Recognition",3,IF(Q1389="Multiple Choice",4,IF(Q1389="Savings",5,IF(Q1389="Stem Completion",6,IF(Q1389="Fragment Completion",7,IF(Q1389="anagram solution",8,IF(Q1389="Matching",9,IF(Q1389="Problem Solving",10,"99"))))))))))</f>
        <v>2</v>
      </c>
      <c r="S1389" s="60" t="s">
        <v>49</v>
      </c>
      <c r="T1389" s="59" t="s">
        <v>581</v>
      </c>
      <c r="U1389" s="60">
        <f>IF(T1389="within",1,0)</f>
        <v>1</v>
      </c>
      <c r="V1389" s="59">
        <v>25</v>
      </c>
      <c r="W1389" s="60">
        <f>F1389*V1389</f>
        <v>375</v>
      </c>
      <c r="X1389" s="59">
        <v>5</v>
      </c>
      <c r="Y1389" s="76">
        <f>AV1388</f>
        <v>1296000</v>
      </c>
      <c r="Z1389" s="60" t="s">
        <v>1014</v>
      </c>
      <c r="AA1389" s="60">
        <f>60*60*24*265*22</f>
        <v>503712000</v>
      </c>
      <c r="AB1389" s="60" t="str">
        <f>IF(AA1389&lt;60,"1",IF(AA1389&lt;=43200,"2",IF(AA1389&lt;=777600,"3","4")))</f>
        <v>4</v>
      </c>
      <c r="AC1389" s="56">
        <f>AVERAGE(AV1388:DA1388)</f>
        <v>274622400</v>
      </c>
      <c r="AD1389" s="60" t="str">
        <f>IF(AC1389&lt;60,"1",IF(AC1389&lt;=43200,"2",IF(AC1389&lt;=777600,"3","4")))</f>
        <v>4</v>
      </c>
      <c r="AE1389" s="76">
        <f>AA1389-Y1389</f>
        <v>502416000</v>
      </c>
      <c r="AF1389" s="80">
        <f>AV1389</f>
        <v>0.76182432432432001</v>
      </c>
      <c r="AG1389" s="56">
        <f>((AW1389-AV1389)+(AX1389-AW1389)+(AY1389-AX1389)+(AZ1389-AY1389))/4</f>
        <v>-9.0456081081079998E-2</v>
      </c>
      <c r="AH1389" s="4"/>
      <c r="AI1389" s="56">
        <f>RSQ(AV1389:AZ1389,AV1388:AZ1388)</f>
        <v>0.69510985704172135</v>
      </c>
      <c r="AJ1389" s="109">
        <f>SLOPE(AV1389:AZ1389,AV1388:AZ1388)</f>
        <v>-4.6505212165281698E-10</v>
      </c>
      <c r="AK1389" s="56">
        <f>INTERCEPT(AV1389:AZ1389,AV1388:AZ1388)</f>
        <v>0.66413264869230604</v>
      </c>
      <c r="AL1389" s="56">
        <f>INDEX(LINEST(LN(AV1389:AZ1389),LN(AV1388:AZ1388),TRUE,TRUE),3,1)</f>
        <v>0.91585649449929196</v>
      </c>
      <c r="AM1389" s="56">
        <f>INDEX(LINEST(LN(AV1389:AZ1389),LN(AV1388:AZ1388)),1)</f>
        <v>-0.10416239400418872</v>
      </c>
      <c r="AN1389" s="56">
        <f>EXP(INDEX(LINEST(LN(AV1389:AZ1389),LN(AV1388:AZ1388)),1,2))</f>
        <v>3.3958886388527323</v>
      </c>
      <c r="AO1389" s="82">
        <f>INDEX(LINEST((AV1389:AZ1389),LN(AV1388:AZ1388),TRUE,TRUE),3,1)</f>
        <v>0.94807484929906716</v>
      </c>
      <c r="AP1389" s="82">
        <f>INDEX(LINEST((AV1389:AZ1389),LN(AV1388:AZ1388)),1)</f>
        <v>-5.85973175663606E-2</v>
      </c>
      <c r="AQ1389" s="83">
        <f>INDEX(LINEST(LN(AV1389:AZ1389),SQRT(AV1388:AZ1388),TRUE,TRUE),3,1)</f>
        <v>0.85773571148302141</v>
      </c>
      <c r="AR1389" s="116">
        <f>INDEX(LINEST(LN(AV1389:AZ1389),SQRT((AV1388:AZ1388))),1)</f>
        <v>-2.5093146748339255E-5</v>
      </c>
      <c r="AS1389" s="84">
        <f>INDEX(LINEST(1/(AV1389:AZ1389),1/(SQRT(AV1388:AZ1388)),TRUE,TRUE),3,1)</f>
        <v>0.69809695043009168</v>
      </c>
      <c r="AT1389" s="84">
        <f>INDEX(LINEST(1/(AV1389:AZ1389),1/SQRT(AV1388:AZ1388)),1)</f>
        <v>-1262.289498680366</v>
      </c>
      <c r="AU1389" s="3"/>
      <c r="AV1389" s="11">
        <v>0.76182432432432001</v>
      </c>
      <c r="AW1389" s="11">
        <v>0.64020270270269997</v>
      </c>
      <c r="AX1389" s="11">
        <v>0.39898648648648649</v>
      </c>
      <c r="AY1389" s="11">
        <v>0.48108108108108094</v>
      </c>
      <c r="AZ1389" s="11">
        <v>0.4</v>
      </c>
      <c r="BA1389" s="11"/>
      <c r="BB1389" s="11"/>
      <c r="BC1389" s="11"/>
      <c r="BD1389" s="11"/>
      <c r="BE1389" s="11"/>
      <c r="BF1389" s="11"/>
      <c r="BG1389" s="11"/>
      <c r="BH1389" s="11"/>
      <c r="BI1389" s="11"/>
      <c r="BJ1389" s="11"/>
      <c r="BK1389" s="11"/>
      <c r="BL1389" s="11"/>
      <c r="BM1389" s="11"/>
      <c r="BN1389" s="11"/>
      <c r="BO1389" s="11"/>
      <c r="BP1389" s="11"/>
      <c r="BQ1389" s="11"/>
      <c r="BR1389" s="11"/>
      <c r="BS1389" s="11"/>
      <c r="BT1389" s="11"/>
      <c r="BU1389" s="11"/>
      <c r="BV1389" s="11"/>
      <c r="BW1389" s="11"/>
      <c r="BX1389" s="11"/>
      <c r="BY1389" s="11"/>
      <c r="BZ1389" s="11"/>
      <c r="CA1389" s="11"/>
      <c r="CB1389" s="11"/>
      <c r="CC1389" s="11"/>
      <c r="CD1389" s="11"/>
      <c r="CE1389" s="11"/>
      <c r="CF1389" s="11"/>
      <c r="CG1389" s="11"/>
      <c r="CH1389" s="11"/>
      <c r="CI1389" s="11"/>
      <c r="CJ1389" s="11"/>
      <c r="CK1389" s="11"/>
      <c r="CL1389" s="11"/>
      <c r="CM1389" s="11"/>
      <c r="CN1389" s="11"/>
      <c r="CO1389" s="11"/>
      <c r="CP1389" s="11"/>
      <c r="CQ1389" s="11"/>
      <c r="CR1389" s="15"/>
      <c r="CS1389" s="15"/>
      <c r="CT1389" s="15"/>
      <c r="CU1389" s="15"/>
    </row>
    <row r="1390" spans="1:99" s="13" customFormat="1" ht="12" customHeight="1" x14ac:dyDescent="0.2">
      <c r="A1390" s="68">
        <v>43509</v>
      </c>
      <c r="B1390" s="70"/>
      <c r="C1390" s="70"/>
      <c r="D1390" s="69"/>
      <c r="E1390" s="87"/>
      <c r="F1390" s="69"/>
      <c r="G1390" s="69"/>
      <c r="H1390" s="69"/>
      <c r="I1390" s="69"/>
      <c r="J1390" s="69"/>
      <c r="K1390" s="107"/>
      <c r="L1390" s="107"/>
      <c r="M1390" s="69"/>
      <c r="N1390" s="69"/>
      <c r="O1390" s="69"/>
      <c r="P1390" s="69"/>
      <c r="Q1390" s="69"/>
      <c r="R1390" s="69"/>
      <c r="S1390" s="69"/>
      <c r="T1390" s="69"/>
      <c r="U1390" s="69"/>
      <c r="V1390" s="69"/>
      <c r="W1390" s="69"/>
      <c r="X1390" s="69"/>
      <c r="Y1390" s="87"/>
      <c r="Z1390" s="69"/>
      <c r="AA1390" s="69"/>
      <c r="AB1390" s="69"/>
      <c r="AC1390" s="69"/>
      <c r="AD1390" s="69"/>
      <c r="AE1390" s="69"/>
      <c r="AF1390" s="88"/>
      <c r="AG1390" s="72"/>
      <c r="AH1390" s="4"/>
      <c r="AI1390" s="72"/>
      <c r="AJ1390" s="110"/>
      <c r="AK1390" s="72"/>
      <c r="AL1390" s="72"/>
      <c r="AM1390" s="72"/>
      <c r="AN1390" s="72"/>
      <c r="AO1390" s="72"/>
      <c r="AP1390" s="72"/>
      <c r="AQ1390" s="89"/>
      <c r="AR1390" s="118"/>
      <c r="AS1390" s="89"/>
      <c r="AT1390" s="89"/>
      <c r="AU1390" s="4"/>
      <c r="AV1390" s="71">
        <v>473</v>
      </c>
      <c r="AW1390" s="71">
        <f>7*24*3600*1</f>
        <v>604800</v>
      </c>
      <c r="AX1390" s="71">
        <f>7*24*3600*2</f>
        <v>1209600</v>
      </c>
      <c r="AY1390" s="42" t="s">
        <v>538</v>
      </c>
      <c r="AZ1390" s="46"/>
      <c r="BA1390" s="42"/>
      <c r="BB1390" s="42"/>
      <c r="BC1390" s="2"/>
      <c r="BD1390" s="2"/>
      <c r="BE1390" s="2"/>
      <c r="BF1390" s="2"/>
      <c r="BG1390" s="2"/>
      <c r="BH1390" s="2"/>
      <c r="BI1390" s="2"/>
      <c r="BJ1390" s="2"/>
      <c r="BK1390" s="2"/>
      <c r="BL1390" s="2"/>
      <c r="BM1390" s="2"/>
      <c r="BN1390" s="2"/>
      <c r="BO1390" s="2"/>
      <c r="BP1390" s="2"/>
      <c r="BQ1390" s="2"/>
      <c r="BR1390" s="2"/>
      <c r="BS1390" s="2"/>
      <c r="BT1390" s="2"/>
      <c r="BU1390" s="2"/>
      <c r="BV1390" s="2"/>
      <c r="BW1390" s="2"/>
      <c r="BX1390" s="2"/>
      <c r="BY1390" s="2"/>
      <c r="BZ1390" s="2"/>
      <c r="CA1390" s="2"/>
      <c r="CB1390" s="2"/>
      <c r="CC1390" s="2"/>
      <c r="CD1390" s="2"/>
      <c r="CE1390" s="2"/>
      <c r="CF1390" s="2"/>
      <c r="CG1390" s="2"/>
      <c r="CH1390" s="2"/>
      <c r="CI1390" s="2"/>
      <c r="CJ1390" s="2"/>
      <c r="CK1390" s="2"/>
      <c r="CL1390" s="2"/>
      <c r="CM1390" s="2"/>
      <c r="CN1390" s="2"/>
      <c r="CO1390" s="2"/>
      <c r="CP1390" s="2"/>
      <c r="CQ1390" s="2"/>
      <c r="CR1390" s="1"/>
      <c r="CS1390" s="1"/>
      <c r="CT1390" s="1"/>
      <c r="CU1390" s="1"/>
    </row>
    <row r="1391" spans="1:99" s="13" customFormat="1" ht="12" customHeight="1" x14ac:dyDescent="0.2">
      <c r="A1391" s="68">
        <v>43509</v>
      </c>
      <c r="B1391" s="70" t="s">
        <v>168</v>
      </c>
      <c r="C1391" s="70" t="s">
        <v>169</v>
      </c>
      <c r="D1391" s="69">
        <v>2007</v>
      </c>
      <c r="E1391" s="87">
        <v>1</v>
      </c>
      <c r="F1391" s="69">
        <v>29</v>
      </c>
      <c r="G1391" s="69">
        <v>29</v>
      </c>
      <c r="H1391" s="69" t="s">
        <v>22</v>
      </c>
      <c r="I1391" s="69"/>
      <c r="J1391" s="69" t="s">
        <v>838</v>
      </c>
      <c r="K1391" s="69">
        <f>IF(J1391="syllables",1,IF(J1391="trigrams",2,IF(J1391="strings",3,IF(J1391="visual array",4,IF(J1391="characters",5,IF(J1391="letters",6,IF(J1391="free forms",7,IF(J1391="odors",8,IF(J1391="words",9,IF(J1391="pictures",10,IF(J1391="object pictures",11,IF(J1391="faces",12,IF(J1391="names",13,IF(J1391="idioms",14,IF(J1391="grades",15,IF(J1391="syllable-digit pairs",16,IF(J1391="trigram-word pairs",17,IF(J1391="word-digit pairs",18,IF(J1391="English-Swahili pairs",19,IF(J1391="spatial position",20,IF(J1391="word pairs",21,IF(J1391="word triads",22,IF(J1391="generated words",23,IF(J1391="word definition pairs",24,IF(J1391="math problems",25,IF(J1391="famous faces",26,IF(J1391="famous names",27,IF(J1391="famous voices",28,IF(J1391="television programs",29,IF(J1391="race horses",30,IF(J1391="new vocabulary",31,IF(J1391="sentences",32,IF(J1391="concepts",33,IF(J1391="ad slides",34,IF(J1391="scenes",35,IF(J1391="famous scenes",36,IF(J1391="poems",37,IF(J1391="walk",38,IF(J1391="faces and events",39,IF(J1391="events and names",40,IF(J1391="flashbulb",41,IF(J1391="stories",42,IF(J1391="course material",43,IF(J1391="autobiographical",44,IF(J1391="novels",45,IF(J1391="public events",46,"99"))))))))))))))))))))))))))))))))))))))))))))))</f>
        <v>3</v>
      </c>
      <c r="L1391" s="69">
        <f>IF(J1391="syllables",1,IF(J1391="trigrams",1,IF(J1391="strings",1,IF(J1391="visual array",1,IF(J1391="characters",1,IF(J1391="letters",1,IF(J1391="free forms",1,IF(J1391="odors",2,IF(J1391="words",2,IF(J1391="pictures",2,IF(J1391="object pictures",2,IF(J1391="faces",2,IF(J1391="names",2,IF(J1391="idioms","2",IF(J1391="grades",2,IF(J1391="syllable-digit pairs",3,IF(J1391="trigram-word pairs",3,IF(J1391="word-digit pairs",3,IF(J1391="English-Swahili pairs",3,IF(J1391="spatial position",3,IF(J1391="word pairs",4,IF(J1391="word triads",4,IF(J1391="generated words",4,IF(J1391="word definition pairs",4,IF(J1391="math problems",4,IF(J1391="famous faces",4,IF(J1391="famous names",4,IF(J1391="famous voices",4,IF(J1391="television programs",4,IF(J1391="race horses",4,IF(J1391="new vocabulary",4,IF(J1391="sentences",5,IF(J1391="concepts",5,IF(J1391="ad slides",5,IF(J1391="scenes",5,IF(J1391="famous scenes",5,IF(J1391="poems",6,IF(J1391="walk",6,IF(J1391="faces and events",6,IF(J1391="events and names",6,IF(J1391="flashbulb",7,IF(J1391="stories",7,IF(J1391="course material",7,IF(J1391="autobiographical",7,IF(J1391="novels",7,IF(J1391="public events",7,"99"))))))))))))))))))))))))))))))))))))))))))))))</f>
        <v>1</v>
      </c>
      <c r="M1391" s="69">
        <v>1</v>
      </c>
      <c r="N1391" s="69">
        <v>3</v>
      </c>
      <c r="O1391" s="69">
        <v>0</v>
      </c>
      <c r="P1391" s="69"/>
      <c r="Q1391" s="69" t="s">
        <v>34</v>
      </c>
      <c r="R1391" s="69">
        <f>IF(Q1391="Free Recall",1,IF(Q1391="Cued Recall",2,IF(Q1391="Recognition",3,IF(Q1391="Multiple Choice",4,IF(Q1391="Savings",5,IF(Q1391="Stem Completion",6,IF(Q1391="Fragment Completion",7,IF(Q1391="anagram solution",8,IF(Q1391="Matching",9,IF(Q1391="Problem Solving",10,"99"))))))))))</f>
        <v>3</v>
      </c>
      <c r="S1391" s="69" t="s">
        <v>15</v>
      </c>
      <c r="T1391" s="92" t="s">
        <v>581</v>
      </c>
      <c r="U1391" s="69">
        <f>IF(T1391="within",1,0)</f>
        <v>1</v>
      </c>
      <c r="V1391" s="92">
        <v>63</v>
      </c>
      <c r="W1391" s="69">
        <f>F1391*V1391</f>
        <v>1827</v>
      </c>
      <c r="X1391" s="69">
        <v>3</v>
      </c>
      <c r="Y1391" s="87">
        <f>AV1390</f>
        <v>473</v>
      </c>
      <c r="Z1391" s="69" t="s">
        <v>170</v>
      </c>
      <c r="AA1391" s="69">
        <v>1209600</v>
      </c>
      <c r="AB1391" s="69" t="str">
        <f>IF(AA1391&lt;60,"1",IF(AA1391&lt;=43200,"2",IF(AA1391&lt;=777600,"3","4")))</f>
        <v>4</v>
      </c>
      <c r="AC1391" s="72">
        <f>AVERAGE(AV1390:DA1390)</f>
        <v>604957.66666666663</v>
      </c>
      <c r="AD1391" s="69" t="str">
        <f>IF(AC1391&lt;60,"1",IF(AC1391&lt;=43200,"2",IF(AC1391&lt;=777600,"3","4")))</f>
        <v>3</v>
      </c>
      <c r="AE1391" s="87">
        <f>AA1391-Y1391</f>
        <v>1209127</v>
      </c>
      <c r="AF1391" s="88">
        <f>AV1391</f>
        <v>0.6100000000000001</v>
      </c>
      <c r="AG1391" s="72">
        <f>((AW1391-AV1391)+(AX1391-AW1391))/2</f>
        <v>-2.0000000000000018E-2</v>
      </c>
      <c r="AH1391" s="4"/>
      <c r="AI1391" s="72">
        <f>RSQ(AV1391:AX1391,AV1390:AX1390)</f>
        <v>0.97952791983744036</v>
      </c>
      <c r="AJ1391" s="110">
        <f>SLOPE(AV1391:AX1391,AV1390:AX1390)</f>
        <v>-3.308063916243362E-8</v>
      </c>
      <c r="AK1391" s="72">
        <f>INTERCEPT(AV1391:AX1391,AV1390:AX1390)</f>
        <v>0.6083457196128812</v>
      </c>
      <c r="AL1391" s="72">
        <f>INDEX(LINEST(LN(AV1391:AX1391),LN(AV1390:AX1390),TRUE,TRUE),3,1)</f>
        <v>0.90726650919473795</v>
      </c>
      <c r="AM1391" s="72">
        <f>INDEX(LINEST(LN(AV1391:AX1391),LN(AV1390:AX1390)),1)</f>
        <v>-7.5031778390993948E-3</v>
      </c>
      <c r="AN1391" s="72">
        <f>EXP(INDEX(LINEST(LN(AV1391:AX1391),LN(AV1390:AX1390)),1,2))</f>
        <v>0.63946489332178902</v>
      </c>
      <c r="AO1391" s="89">
        <f>INDEX(LINEST((AV1391:AX1391),LN(AV1390:AX1390),TRUE,TRUE),3,1)</f>
        <v>0.91245023495164068</v>
      </c>
      <c r="AP1391" s="89">
        <f>INDEX(LINEST((AV1391:AX1391),LN(AV1390:AX1390)),1)</f>
        <v>-4.4434183316033413E-3</v>
      </c>
      <c r="AQ1391" s="90">
        <f>INDEX(LINEST(LN(AV1391:AX1391),SQRT(AV1390:AX1390),TRUE,TRUE),3,1)</f>
        <v>0.99119417208963612</v>
      </c>
      <c r="AR1391" s="117">
        <f>INDEX(LINEST(LN(AV1391:AX1391),SQRT((AV1390:AX1390))),1)</f>
        <v>-6.1563057368407259E-5</v>
      </c>
      <c r="AS1391" s="91">
        <f>INDEX(LINEST(1/(AV1391:AX1391),1/(SQRT(AV1390:AX1390)),TRUE,TRUE),3,1)</f>
        <v>0.85464210805078911</v>
      </c>
      <c r="AT1391" s="91">
        <f>INDEX(LINEST(1/(AV1391:AX1391),1/SQRT(AV1390:AX1390)),1)</f>
        <v>-2.0682400205908067</v>
      </c>
      <c r="AU1391" s="3"/>
      <c r="AV1391" s="73">
        <v>0.6100000000000001</v>
      </c>
      <c r="AW1391" s="73">
        <v>0.58499999999999996</v>
      </c>
      <c r="AX1391" s="73">
        <v>0.57000000000000006</v>
      </c>
      <c r="AY1391" s="42"/>
      <c r="AZ1391" s="46"/>
      <c r="BA1391" s="42"/>
      <c r="BB1391" s="42"/>
      <c r="BC1391" s="2"/>
      <c r="BD1391" s="2"/>
      <c r="BE1391" s="2"/>
      <c r="BF1391" s="2"/>
      <c r="BG1391" s="2"/>
      <c r="BH1391" s="2"/>
      <c r="BI1391" s="2"/>
      <c r="BJ1391" s="2"/>
      <c r="BK1391" s="2"/>
      <c r="BL1391" s="2"/>
      <c r="BM1391" s="2"/>
      <c r="BN1391" s="2"/>
      <c r="BO1391" s="2"/>
      <c r="BP1391" s="2"/>
      <c r="BQ1391" s="2"/>
      <c r="BR1391" s="2"/>
      <c r="BS1391" s="2"/>
      <c r="BT1391" s="2"/>
      <c r="BU1391" s="2"/>
      <c r="BV1391" s="2"/>
      <c r="BW1391" s="2"/>
      <c r="BX1391" s="2"/>
      <c r="BY1391" s="2"/>
      <c r="BZ1391" s="2"/>
      <c r="CA1391" s="2"/>
      <c r="CB1391" s="2"/>
      <c r="CC1391" s="2"/>
      <c r="CD1391" s="2"/>
      <c r="CE1391" s="2"/>
      <c r="CF1391" s="2"/>
      <c r="CG1391" s="2"/>
      <c r="CH1391" s="2"/>
      <c r="CI1391" s="2"/>
      <c r="CJ1391" s="2"/>
      <c r="CK1391" s="2"/>
      <c r="CL1391" s="2"/>
      <c r="CM1391" s="2"/>
      <c r="CN1391" s="2"/>
      <c r="CO1391" s="2"/>
      <c r="CP1391" s="2"/>
      <c r="CQ1391" s="2"/>
      <c r="CR1391" s="1"/>
      <c r="CS1391" s="1"/>
      <c r="CT1391" s="1"/>
      <c r="CU1391" s="1"/>
    </row>
    <row r="1392" spans="1:99" s="13" customFormat="1" ht="12" customHeight="1" x14ac:dyDescent="0.2">
      <c r="A1392" s="65">
        <v>43509</v>
      </c>
      <c r="B1392" s="1"/>
      <c r="C1392" s="1"/>
      <c r="D1392" s="60"/>
      <c r="E1392" s="76"/>
      <c r="F1392" s="60"/>
      <c r="G1392" s="60"/>
      <c r="H1392" s="60"/>
      <c r="I1392" s="60"/>
      <c r="J1392" s="60"/>
      <c r="K1392" s="64"/>
      <c r="L1392" s="64"/>
      <c r="M1392" s="60"/>
      <c r="N1392" s="60"/>
      <c r="O1392" s="60"/>
      <c r="P1392" s="60"/>
      <c r="Q1392" s="60"/>
      <c r="R1392" s="60"/>
      <c r="S1392" s="60"/>
      <c r="T1392" s="60"/>
      <c r="U1392" s="60"/>
      <c r="V1392" s="60"/>
      <c r="W1392" s="60"/>
      <c r="X1392" s="61"/>
      <c r="Y1392" s="76"/>
      <c r="Z1392" s="60"/>
      <c r="AA1392" s="60"/>
      <c r="AB1392" s="60"/>
      <c r="AC1392" s="60"/>
      <c r="AD1392" s="60"/>
      <c r="AE1392" s="60"/>
      <c r="AF1392" s="80"/>
      <c r="AG1392" s="56"/>
      <c r="AH1392" s="4"/>
      <c r="AI1392" s="56"/>
      <c r="AJ1392" s="109"/>
      <c r="AK1392" s="56"/>
      <c r="AL1392" s="56"/>
      <c r="AM1392" s="56"/>
      <c r="AN1392" s="56"/>
      <c r="AO1392" s="56"/>
      <c r="AP1392" s="56"/>
      <c r="AQ1392" s="82"/>
      <c r="AR1392" s="115"/>
      <c r="AS1392" s="82"/>
      <c r="AT1392" s="82"/>
      <c r="AU1392" s="4"/>
      <c r="AV1392" s="25">
        <v>1</v>
      </c>
      <c r="AW1392" s="25">
        <v>3</v>
      </c>
      <c r="AX1392" s="25">
        <v>6</v>
      </c>
      <c r="AY1392" s="25">
        <v>10</v>
      </c>
      <c r="AZ1392" s="25">
        <v>15</v>
      </c>
      <c r="BA1392" s="25">
        <v>25</v>
      </c>
      <c r="BB1392" s="42"/>
      <c r="BC1392" s="2"/>
      <c r="BD1392" s="2"/>
      <c r="BE1392" s="2"/>
      <c r="BF1392" s="2"/>
      <c r="BG1392" s="2"/>
      <c r="BH1392" s="2"/>
      <c r="BI1392" s="2"/>
      <c r="BJ1392" s="2"/>
      <c r="BK1392" s="2"/>
      <c r="BL1392" s="2"/>
      <c r="BM1392" s="2"/>
      <c r="BN1392" s="2"/>
      <c r="BO1392" s="2"/>
      <c r="BP1392" s="2"/>
      <c r="BQ1392" s="2"/>
      <c r="BR1392" s="2"/>
      <c r="BS1392" s="2"/>
      <c r="BT1392" s="2"/>
      <c r="BU1392" s="2"/>
      <c r="BV1392" s="2"/>
      <c r="BW1392" s="2"/>
      <c r="BX1392" s="2"/>
      <c r="BY1392" s="2"/>
      <c r="BZ1392" s="2"/>
      <c r="CA1392" s="2"/>
      <c r="CB1392" s="2"/>
      <c r="CC1392" s="2"/>
      <c r="CD1392" s="2"/>
      <c r="CE1392" s="2"/>
      <c r="CF1392" s="2"/>
      <c r="CG1392" s="2"/>
      <c r="CH1392" s="2"/>
      <c r="CI1392" s="2"/>
      <c r="CJ1392" s="2"/>
      <c r="CK1392" s="2"/>
      <c r="CL1392" s="2"/>
      <c r="CM1392" s="2"/>
      <c r="CN1392" s="2"/>
      <c r="CO1392" s="2"/>
      <c r="CP1392" s="2"/>
      <c r="CQ1392" s="2"/>
      <c r="CR1392" s="1"/>
      <c r="CS1392" s="1"/>
      <c r="CT1392" s="1"/>
      <c r="CU1392" s="1"/>
    </row>
    <row r="1393" spans="1:99" s="13" customFormat="1" ht="12" customHeight="1" x14ac:dyDescent="0.2">
      <c r="A1393" s="65">
        <v>43509</v>
      </c>
      <c r="B1393" s="1" t="s">
        <v>256</v>
      </c>
      <c r="C1393" s="1" t="s">
        <v>48</v>
      </c>
      <c r="D1393" s="60">
        <v>1975</v>
      </c>
      <c r="E1393" s="76">
        <v>1</v>
      </c>
      <c r="F1393" s="60">
        <v>48</v>
      </c>
      <c r="G1393" s="60">
        <v>48</v>
      </c>
      <c r="H1393" s="60" t="s">
        <v>50</v>
      </c>
      <c r="I1393" s="60"/>
      <c r="J1393" s="60" t="s">
        <v>443</v>
      </c>
      <c r="K1393" s="60">
        <f>IF(J1393="syllables",1,IF(J1393="trigrams",2,IF(J1393="strings",3,IF(J1393="visual array",4,IF(J1393="characters",5,IF(J1393="letters",6,IF(J1393="free forms",7,IF(J1393="odors",8,IF(J1393="words",9,IF(J1393="pictures",10,IF(J1393="object pictures",11,IF(J1393="faces",12,IF(J1393="names",13,IF(J1393="idioms",14,IF(J1393="grades",15,IF(J1393="syllable-digit pairs",16,IF(J1393="trigram-word pairs",17,IF(J1393="word-digit pairs",18,IF(J1393="English-Swahili pairs",19,IF(J1393="spatial position",20,IF(J1393="word pairs",21,IF(J1393="word triads",22,IF(J1393="generated words",23,IF(J1393="word definition pairs",24,IF(J1393="math problems",25,IF(J1393="famous faces",26,IF(J1393="famous names",27,IF(J1393="famous voices",28,IF(J1393="television programs",29,IF(J1393="race horses",30,IF(J1393="new vocabulary",31,IF(J1393="sentences",32,IF(J1393="concepts",33,IF(J1393="ad slides",34,IF(J1393="scenes",35,IF(J1393="famous scenes",36,IF(J1393="poems",37,IF(J1393="walk",38,IF(J1393="faces and events",39,IF(J1393="events and names",40,IF(J1393="flashbulb",41,IF(J1393="stories",42,IF(J1393="course material",43,IF(J1393="autobiographical",44,IF(J1393="novels",45,IF(J1393="public events",46,"99"))))))))))))))))))))))))))))))))))))))))))))))</f>
        <v>2</v>
      </c>
      <c r="L1393" s="60">
        <f>IF(J1393="syllables",1,IF(J1393="trigrams",1,IF(J1393="strings",1,IF(J1393="visual array",1,IF(J1393="characters",1,IF(J1393="letters",1,IF(J1393="free forms",1,IF(J1393="odors",2,IF(J1393="words",2,IF(J1393="pictures",2,IF(J1393="object pictures",2,IF(J1393="faces",2,IF(J1393="names",2,IF(J1393="idioms","2",IF(J1393="grades",2,IF(J1393="syllable-digit pairs",3,IF(J1393="trigram-word pairs",3,IF(J1393="word-digit pairs",3,IF(J1393="English-Swahili pairs",3,IF(J1393="spatial position",3,IF(J1393="word pairs",4,IF(J1393="word triads",4,IF(J1393="generated words",4,IF(J1393="word definition pairs",4,IF(J1393="math problems",4,IF(J1393="famous faces",4,IF(J1393="famous names",4,IF(J1393="famous voices",4,IF(J1393="television programs",4,IF(J1393="race horses",4,IF(J1393="new vocabulary",4,IF(J1393="sentences",5,IF(J1393="concepts",5,IF(J1393="ad slides",5,IF(J1393="scenes",5,IF(J1393="famous scenes",5,IF(J1393="poems",6,IF(J1393="walk",6,IF(J1393="faces and events",6,IF(J1393="events and names",6,IF(J1393="flashbulb",7,IF(J1393="stories",7,IF(J1393="course material",7,IF(J1393="autobiographical",7,IF(J1393="novels",7,IF(J1393="public events",7,"99"))))))))))))))))))))))))))))))))))))))))))))))</f>
        <v>1</v>
      </c>
      <c r="M1393" s="60">
        <v>0</v>
      </c>
      <c r="N1393" s="60">
        <v>1</v>
      </c>
      <c r="O1393" s="60">
        <v>1</v>
      </c>
      <c r="P1393" s="60" t="s">
        <v>27</v>
      </c>
      <c r="Q1393" s="60" t="s">
        <v>174</v>
      </c>
      <c r="R1393" s="60">
        <f>IF(Q1393="Free Recall",1,IF(Q1393="Cued Recall",2,IF(Q1393="Recognition",3,IF(Q1393="Multiple Choice",4,IF(Q1393="Savings",5,IF(Q1393="Stem Completion",6,IF(Q1393="Fragment Completion",7,IF(Q1393="anagram solution",8,IF(Q1393="Matching",9,IF(Q1393="Problem Solving",10,"99"))))))))))</f>
        <v>1</v>
      </c>
      <c r="S1393" s="60" t="s">
        <v>49</v>
      </c>
      <c r="T1393" s="59" t="s">
        <v>581</v>
      </c>
      <c r="U1393" s="60">
        <f>IF(T1393="within",1,0)</f>
        <v>1</v>
      </c>
      <c r="V1393" s="59">
        <v>48</v>
      </c>
      <c r="W1393" s="60">
        <f>F1393*V1393</f>
        <v>2304</v>
      </c>
      <c r="X1393" s="60">
        <v>6</v>
      </c>
      <c r="Y1393" s="76">
        <f>AV1392</f>
        <v>1</v>
      </c>
      <c r="Z1393" s="60" t="s">
        <v>51</v>
      </c>
      <c r="AA1393" s="60">
        <v>25</v>
      </c>
      <c r="AB1393" s="60" t="str">
        <f>IF(AA1393&lt;60,"1",IF(AA1393&lt;=43200,"2",IF(AA1393&lt;=777600,"3","4")))</f>
        <v>1</v>
      </c>
      <c r="AC1393" s="56">
        <f>AVERAGE(AV1392:DA1392)</f>
        <v>10</v>
      </c>
      <c r="AD1393" s="60" t="str">
        <f>IF(AC1393&lt;60,"1",IF(AC1393&lt;=43200,"2",IF(AC1393&lt;=777600,"3","4")))</f>
        <v>1</v>
      </c>
      <c r="AE1393" s="76">
        <f>AA1393-Y1393</f>
        <v>24</v>
      </c>
      <c r="AF1393" s="80">
        <f>AV1393</f>
        <v>0.91</v>
      </c>
      <c r="AG1393" s="56">
        <f>((AW1393-AV1393)+(AX1393-AW1393)+(AY1393-AX1393)+(AZ1393-AY1393)+(BA1393-AZ1393))/5</f>
        <v>-0.12600000000000003</v>
      </c>
      <c r="AH1393" s="4"/>
      <c r="AI1393" s="56">
        <f>RSQ(AV1393:BA1393,AV1392:BA1392)</f>
        <v>0.58883283772302442</v>
      </c>
      <c r="AJ1393" s="109">
        <f>SLOPE(AV1393:BA1393,AV1392:BA1392)</f>
        <v>-2.5227272727272727E-2</v>
      </c>
      <c r="AK1393" s="56">
        <f>INTERCEPT(AV1393:BA1393,AV1392:BA1392)</f>
        <v>0.75227272727272743</v>
      </c>
      <c r="AL1393" s="56">
        <f>INDEX(LINEST(LN(AV1393:BA1393),LN(AV1392:BA1392),TRUE,TRUE),3,1)</f>
        <v>0.79343831008841392</v>
      </c>
      <c r="AM1393" s="56">
        <f>INDEX(LINEST(LN(AV1393:BA1393),LN(AV1392:BA1392)),1)</f>
        <v>-0.44661079519385649</v>
      </c>
      <c r="AN1393" s="56">
        <f>EXP(INDEX(LINEST(LN(AV1393:BA1393),LN(AV1392:BA1392)),1,2))</f>
        <v>0.99135905758866039</v>
      </c>
      <c r="AO1393" s="82">
        <f>INDEX(LINEST((AV1393:BA1393),LN(AV1392:BA1392),TRUE,TRUE),3,1)</f>
        <v>0.85772088265831903</v>
      </c>
      <c r="AP1393" s="82">
        <f>INDEX(LINEST((AV1393:BA1393),LN(AV1392:BA1392)),1)</f>
        <v>-0.23225805890142937</v>
      </c>
      <c r="AQ1393" s="83">
        <f>INDEX(LINEST(LN(AV1393:BA1393),SQRT(AV1392:BA1392),TRUE,TRUE),3,1)</f>
        <v>0.71395007059754767</v>
      </c>
      <c r="AR1393" s="116">
        <f>INDEX(LINEST(LN(AV1393:BA1393),SQRT((AV1392:BA1392))),1)</f>
        <v>-0.33950020803423892</v>
      </c>
      <c r="AS1393" s="84">
        <f>INDEX(LINEST(1/(AV1393:BA1393),1/(SQRT(AV1392:BA1392)),TRUE,TRUE),3,1)</f>
        <v>0.62342071964920576</v>
      </c>
      <c r="AT1393" s="84">
        <f>INDEX(LINEST(1/(AV1393:BA1393),1/SQRT(AV1392:BA1392)),1)</f>
        <v>-3.6722797400081482</v>
      </c>
      <c r="AU1393" s="3"/>
      <c r="AV1393" s="53">
        <v>0.91</v>
      </c>
      <c r="AW1393" s="53">
        <v>0.81</v>
      </c>
      <c r="AX1393" s="53">
        <v>0.47</v>
      </c>
      <c r="AY1393" s="53">
        <v>0.22</v>
      </c>
      <c r="AZ1393" s="53">
        <v>0.31</v>
      </c>
      <c r="BA1393" s="53">
        <v>0.28000000000000003</v>
      </c>
      <c r="BB1393" s="42"/>
      <c r="BC1393" s="2"/>
      <c r="BD1393" s="2"/>
      <c r="BE1393" s="2"/>
      <c r="BF1393" s="2"/>
      <c r="BG1393" s="2"/>
      <c r="BH1393" s="2"/>
      <c r="BI1393" s="2"/>
      <c r="BJ1393" s="2"/>
      <c r="BK1393" s="2"/>
      <c r="BL1393" s="2"/>
      <c r="BM1393" s="2"/>
      <c r="BN1393" s="2"/>
      <c r="BO1393" s="2"/>
      <c r="BP1393" s="2"/>
      <c r="BQ1393" s="2"/>
      <c r="BR1393" s="2"/>
      <c r="BS1393" s="2"/>
      <c r="BT1393" s="2"/>
      <c r="BU1393" s="2"/>
      <c r="BV1393" s="2"/>
      <c r="BW1393" s="2"/>
      <c r="BX1393" s="2"/>
      <c r="BY1393" s="2"/>
      <c r="BZ1393" s="2"/>
      <c r="CA1393" s="2"/>
      <c r="CB1393" s="2"/>
      <c r="CC1393" s="2"/>
      <c r="CD1393" s="2"/>
      <c r="CE1393" s="2"/>
      <c r="CF1393" s="2"/>
      <c r="CG1393" s="2"/>
      <c r="CH1393" s="2"/>
      <c r="CI1393" s="2"/>
      <c r="CJ1393" s="2"/>
      <c r="CK1393" s="2"/>
      <c r="CL1393" s="2"/>
      <c r="CM1393" s="2"/>
      <c r="CN1393" s="2"/>
      <c r="CO1393" s="2"/>
      <c r="CP1393" s="2"/>
      <c r="CQ1393" s="2"/>
      <c r="CR1393" s="1"/>
      <c r="CS1393" s="1"/>
      <c r="CT1393" s="1"/>
      <c r="CU1393" s="1"/>
    </row>
    <row r="1394" spans="1:99" s="13" customFormat="1" ht="12" customHeight="1" x14ac:dyDescent="0.2">
      <c r="A1394" s="65">
        <v>43509</v>
      </c>
      <c r="B1394" s="1"/>
      <c r="C1394" s="1"/>
      <c r="D1394" s="60"/>
      <c r="E1394" s="76"/>
      <c r="F1394" s="60"/>
      <c r="G1394" s="60"/>
      <c r="H1394" s="60"/>
      <c r="I1394" s="60"/>
      <c r="J1394" s="60"/>
      <c r="K1394" s="64"/>
      <c r="L1394" s="64"/>
      <c r="M1394" s="60"/>
      <c r="N1394" s="60"/>
      <c r="O1394" s="60"/>
      <c r="P1394" s="60"/>
      <c r="Q1394" s="60"/>
      <c r="R1394" s="60"/>
      <c r="S1394" s="60"/>
      <c r="T1394" s="60"/>
      <c r="U1394" s="60"/>
      <c r="V1394" s="60"/>
      <c r="W1394" s="60"/>
      <c r="X1394" s="61"/>
      <c r="Y1394" s="76"/>
      <c r="Z1394" s="60"/>
      <c r="AA1394" s="60"/>
      <c r="AB1394" s="60"/>
      <c r="AC1394" s="60"/>
      <c r="AD1394" s="60"/>
      <c r="AE1394" s="60"/>
      <c r="AF1394" s="80"/>
      <c r="AG1394" s="56"/>
      <c r="AH1394" s="4"/>
      <c r="AI1394" s="56"/>
      <c r="AJ1394" s="109"/>
      <c r="AK1394" s="56"/>
      <c r="AL1394" s="56"/>
      <c r="AM1394" s="56"/>
      <c r="AN1394" s="56"/>
      <c r="AO1394" s="56"/>
      <c r="AP1394" s="56"/>
      <c r="AQ1394" s="56"/>
      <c r="AR1394" s="109"/>
      <c r="AS1394" s="56"/>
      <c r="AT1394" s="56"/>
      <c r="AU1394" s="4"/>
      <c r="AV1394" s="25">
        <v>3</v>
      </c>
      <c r="AW1394" s="25">
        <v>4</v>
      </c>
      <c r="AX1394" s="25">
        <v>6</v>
      </c>
      <c r="AY1394" s="25">
        <v>8</v>
      </c>
      <c r="AZ1394" s="25">
        <v>30</v>
      </c>
      <c r="BA1394" s="53"/>
      <c r="BB1394" s="53"/>
      <c r="BC1394" s="53"/>
      <c r="BD1394" s="53"/>
      <c r="BE1394" s="53"/>
      <c r="BF1394" s="53"/>
      <c r="BG1394" s="53"/>
      <c r="BH1394" s="53"/>
      <c r="BI1394" s="53"/>
      <c r="BJ1394" s="53"/>
      <c r="BK1394" s="53"/>
      <c r="BL1394" s="53"/>
      <c r="BM1394" s="53"/>
      <c r="BN1394" s="53"/>
      <c r="BO1394" s="53"/>
      <c r="BP1394" s="53"/>
      <c r="BQ1394" s="53"/>
      <c r="BR1394" s="53"/>
      <c r="BS1394" s="53"/>
      <c r="BT1394" s="53"/>
      <c r="BU1394" s="53"/>
      <c r="BV1394" s="53"/>
      <c r="BW1394" s="53"/>
      <c r="BX1394" s="53"/>
      <c r="BY1394" s="53"/>
      <c r="BZ1394" s="53"/>
      <c r="CA1394" s="53"/>
      <c r="CB1394" s="53"/>
      <c r="CC1394" s="53"/>
      <c r="CD1394" s="53"/>
      <c r="CE1394" s="53"/>
      <c r="CF1394" s="53"/>
      <c r="CG1394" s="53"/>
      <c r="CH1394" s="53"/>
      <c r="CI1394" s="53"/>
      <c r="CJ1394" s="53"/>
      <c r="CK1394" s="53"/>
      <c r="CL1394" s="53"/>
      <c r="CM1394" s="53"/>
      <c r="CN1394" s="53"/>
      <c r="CO1394" s="53"/>
      <c r="CP1394" s="53"/>
      <c r="CQ1394" s="53"/>
      <c r="CR1394" s="1"/>
      <c r="CS1394" s="1"/>
      <c r="CT1394" s="1"/>
      <c r="CU1394" s="1"/>
    </row>
    <row r="1395" spans="1:99" s="13" customFormat="1" ht="12" customHeight="1" x14ac:dyDescent="0.2">
      <c r="A1395" s="65">
        <v>43509</v>
      </c>
      <c r="B1395" s="1" t="s">
        <v>256</v>
      </c>
      <c r="C1395" s="1" t="s">
        <v>48</v>
      </c>
      <c r="D1395" s="60">
        <v>1975</v>
      </c>
      <c r="E1395" s="76">
        <v>2</v>
      </c>
      <c r="F1395" s="60">
        <v>60</v>
      </c>
      <c r="G1395" s="60">
        <v>60</v>
      </c>
      <c r="H1395" s="60" t="s">
        <v>41</v>
      </c>
      <c r="I1395" s="60" t="s">
        <v>839</v>
      </c>
      <c r="J1395" s="60" t="s">
        <v>443</v>
      </c>
      <c r="K1395" s="60">
        <f>IF(J1395="syllables",1,IF(J1395="trigrams",2,IF(J1395="strings",3,IF(J1395="visual array",4,IF(J1395="characters",5,IF(J1395="letters",6,IF(J1395="free forms",7,IF(J1395="odors",8,IF(J1395="words",9,IF(J1395="pictures",10,IF(J1395="object pictures",11,IF(J1395="faces",12,IF(J1395="names",13,IF(J1395="idioms",14,IF(J1395="grades",15,IF(J1395="syllable-digit pairs",16,IF(J1395="trigram-word pairs",17,IF(J1395="word-digit pairs",18,IF(J1395="English-Swahili pairs",19,IF(J1395="spatial position",20,IF(J1395="word pairs",21,IF(J1395="word triads",22,IF(J1395="generated words",23,IF(J1395="word definition pairs",24,IF(J1395="math problems",25,IF(J1395="famous faces",26,IF(J1395="famous names",27,IF(J1395="famous voices",28,IF(J1395="television programs",29,IF(J1395="race horses",30,IF(J1395="new vocabulary",31,IF(J1395="sentences",32,IF(J1395="concepts",33,IF(J1395="ad slides",34,IF(J1395="scenes",35,IF(J1395="famous scenes",36,IF(J1395="poems",37,IF(J1395="walk",38,IF(J1395="faces and events",39,IF(J1395="events and names",40,IF(J1395="flashbulb",41,IF(J1395="stories",42,IF(J1395="course material",43,IF(J1395="autobiographical",44,IF(J1395="novels",45,IF(J1395="public events",46,"99"))))))))))))))))))))))))))))))))))))))))))))))</f>
        <v>2</v>
      </c>
      <c r="L1395" s="60">
        <f>IF(J1395="syllables",1,IF(J1395="trigrams",1,IF(J1395="strings",1,IF(J1395="visual array",1,IF(J1395="characters",1,IF(J1395="letters",1,IF(J1395="free forms",1,IF(J1395="odors",2,IF(J1395="words",2,IF(J1395="pictures",2,IF(J1395="object pictures",2,IF(J1395="faces",2,IF(J1395="names",2,IF(J1395="idioms","2",IF(J1395="grades",2,IF(J1395="syllable-digit pairs",3,IF(J1395="trigram-word pairs",3,IF(J1395="word-digit pairs",3,IF(J1395="English-Swahili pairs",3,IF(J1395="spatial position",3,IF(J1395="word pairs",4,IF(J1395="word triads",4,IF(J1395="generated words",4,IF(J1395="word definition pairs",4,IF(J1395="math problems",4,IF(J1395="famous faces",4,IF(J1395="famous names",4,IF(J1395="famous voices",4,IF(J1395="television programs",4,IF(J1395="race horses",4,IF(J1395="new vocabulary",4,IF(J1395="sentences",5,IF(J1395="concepts",5,IF(J1395="ad slides",5,IF(J1395="scenes",5,IF(J1395="famous scenes",5,IF(J1395="poems",6,IF(J1395="walk",6,IF(J1395="faces and events",6,IF(J1395="events and names",6,IF(J1395="flashbulb",7,IF(J1395="stories",7,IF(J1395="course material",7,IF(J1395="autobiographical",7,IF(J1395="novels",7,IF(J1395="public events",7,"99"))))))))))))))))))))))))))))))))))))))))))))))</f>
        <v>1</v>
      </c>
      <c r="M1395" s="60">
        <v>0</v>
      </c>
      <c r="N1395" s="60">
        <v>1</v>
      </c>
      <c r="O1395" s="60">
        <v>1</v>
      </c>
      <c r="P1395" s="60" t="s">
        <v>27</v>
      </c>
      <c r="Q1395" s="60" t="s">
        <v>174</v>
      </c>
      <c r="R1395" s="60">
        <f>IF(Q1395="Free Recall",1,IF(Q1395="Cued Recall",2,IF(Q1395="Recognition",3,IF(Q1395="Multiple Choice",4,IF(Q1395="Savings",5,IF(Q1395="Stem Completion",6,IF(Q1395="Fragment Completion",7,IF(Q1395="anagram solution",8,IF(Q1395="Matching",9,IF(Q1395="Problem Solving",10,"99"))))))))))</f>
        <v>1</v>
      </c>
      <c r="S1395" s="60" t="s">
        <v>49</v>
      </c>
      <c r="T1395" s="59" t="s">
        <v>581</v>
      </c>
      <c r="U1395" s="60">
        <f>IF(T1395="within",1,0)</f>
        <v>1</v>
      </c>
      <c r="V1395" s="59">
        <v>48</v>
      </c>
      <c r="W1395" s="60">
        <f>F1395*V1395</f>
        <v>2880</v>
      </c>
      <c r="X1395" s="60">
        <v>5</v>
      </c>
      <c r="Y1395" s="76">
        <f>AV1394</f>
        <v>3</v>
      </c>
      <c r="Z1395" s="60" t="s">
        <v>52</v>
      </c>
      <c r="AA1395" s="60">
        <v>30</v>
      </c>
      <c r="AB1395" s="60" t="str">
        <f>IF(AA1395&lt;60,"1",IF(AA1395&lt;=43200,"2",IF(AA1395&lt;=777600,"3","4")))</f>
        <v>1</v>
      </c>
      <c r="AC1395" s="56">
        <f>AVERAGE(AV1394:DA1394)</f>
        <v>10.199999999999999</v>
      </c>
      <c r="AD1395" s="60" t="str">
        <f>IF(AC1395&lt;60,"1",IF(AC1395&lt;=43200,"2",IF(AC1395&lt;=777600,"3","4")))</f>
        <v>1</v>
      </c>
      <c r="AE1395" s="76">
        <f>AA1395-Y1395</f>
        <v>27</v>
      </c>
      <c r="AF1395" s="80">
        <f>AV1395</f>
        <v>0.75</v>
      </c>
      <c r="AG1395" s="56">
        <f>((AW1395-AV1395)+(AX1395-AW1395)+(AY1395-AX1395)+(AZ1395-AY1395))/4</f>
        <v>-2.4999999999999994E-2</v>
      </c>
      <c r="AH1395" s="4"/>
      <c r="AI1395" s="56">
        <f>RSQ(AV1395:AZ1395,AV1394:AZ1394)</f>
        <v>2.8160944572693781E-3</v>
      </c>
      <c r="AJ1395" s="109">
        <f>SLOPE(AV1395:AZ1395,AV1394:AZ1394)</f>
        <v>-3.2488114104595693E-4</v>
      </c>
      <c r="AK1395" s="56">
        <f>INTERCEPT(AV1395:AZ1395,AV1394:AZ1394)</f>
        <v>0.65731378763866877</v>
      </c>
      <c r="AL1395" s="56">
        <f>INDEX(LINEST(LN(AV1395:AZ1395),LN(AV1394:AZ1394),TRUE,TRUE),3,1)</f>
        <v>1.0000764125119348E-2</v>
      </c>
      <c r="AM1395" s="56">
        <f>INDEX(LINEST(LN(AV1395:AZ1395),LN(AV1394:AZ1394)),1)</f>
        <v>-1.1666319730806457E-2</v>
      </c>
      <c r="AN1395" s="56">
        <f>EXP(INDEX(LINEST(LN(AV1395:AZ1395),LN(AV1394:AZ1394)),1,2))</f>
        <v>0.66614366015698256</v>
      </c>
      <c r="AO1395" s="82">
        <f>INDEX(LINEST((AV1395:AZ1395),LN(AV1394:AZ1394),TRUE,TRUE),3,1)</f>
        <v>1.7626855033510379E-2</v>
      </c>
      <c r="AP1395" s="82">
        <f>INDEX(LINEST((AV1395:AZ1395),LN(AV1394:AZ1394)),1)</f>
        <v>-1.0224134216807264E-2</v>
      </c>
      <c r="AQ1395" s="83">
        <f>INDEX(LINEST(LN(AV1395:AZ1395),SQRT(AV1394:AZ1394),TRUE,TRUE),3,1)</f>
        <v>2.7417683137825558E-3</v>
      </c>
      <c r="AR1395" s="116">
        <f>INDEX(LINEST(LN(AV1395:AZ1395),SQRT((AV1394:AZ1394))),1)</f>
        <v>-3.6320233199673042E-3</v>
      </c>
      <c r="AS1395" s="84">
        <f>INDEX(LINEST(1/(AV1395:AZ1395),1/(SQRT(AV1394:AZ1394)),TRUE,TRUE),3,1)</f>
        <v>1.7591054703007741E-2</v>
      </c>
      <c r="AT1395" s="84">
        <f>INDEX(LINEST(1/(AV1395:AZ1395),1/SQRT(AV1394:AZ1394)),1)</f>
        <v>-0.13974614742423502</v>
      </c>
      <c r="AU1395" s="3"/>
      <c r="AV1395" s="53">
        <v>0.75</v>
      </c>
      <c r="AW1395" s="53">
        <v>0.57999999999999996</v>
      </c>
      <c r="AX1395" s="53">
        <v>0.6</v>
      </c>
      <c r="AY1395" s="53">
        <v>0.69</v>
      </c>
      <c r="AZ1395" s="53">
        <v>0.65</v>
      </c>
      <c r="BA1395" s="53"/>
      <c r="BB1395" s="53"/>
      <c r="BC1395" s="53"/>
      <c r="BD1395" s="53"/>
      <c r="BE1395" s="53"/>
      <c r="BF1395" s="53"/>
      <c r="BG1395" s="53"/>
      <c r="BH1395" s="53"/>
      <c r="BI1395" s="53"/>
      <c r="BJ1395" s="53"/>
      <c r="BK1395" s="53"/>
      <c r="BL1395" s="53"/>
      <c r="BM1395" s="53"/>
      <c r="BN1395" s="53"/>
      <c r="BO1395" s="53"/>
      <c r="BP1395" s="53"/>
      <c r="BQ1395" s="53"/>
      <c r="BR1395" s="53"/>
      <c r="BS1395" s="53"/>
      <c r="BT1395" s="53"/>
      <c r="BU1395" s="53"/>
      <c r="BV1395" s="53"/>
      <c r="BW1395" s="53"/>
      <c r="BX1395" s="53"/>
      <c r="BY1395" s="53"/>
      <c r="BZ1395" s="53"/>
      <c r="CA1395" s="53"/>
      <c r="CB1395" s="53"/>
      <c r="CC1395" s="53"/>
      <c r="CD1395" s="53"/>
      <c r="CE1395" s="53"/>
      <c r="CF1395" s="53"/>
      <c r="CG1395" s="53"/>
      <c r="CH1395" s="53"/>
      <c r="CI1395" s="53"/>
      <c r="CJ1395" s="53"/>
      <c r="CK1395" s="53"/>
      <c r="CL1395" s="53"/>
      <c r="CM1395" s="53"/>
      <c r="CN1395" s="53"/>
      <c r="CO1395" s="53"/>
      <c r="CP1395" s="53"/>
      <c r="CQ1395" s="53"/>
      <c r="CR1395" s="1"/>
      <c r="CS1395" s="1"/>
      <c r="CT1395" s="1"/>
      <c r="CU1395" s="1"/>
    </row>
    <row r="1396" spans="1:99" s="13" customFormat="1" ht="12" customHeight="1" x14ac:dyDescent="0.2">
      <c r="A1396" s="65">
        <v>43509</v>
      </c>
      <c r="B1396" s="1"/>
      <c r="C1396" s="1"/>
      <c r="D1396" s="60"/>
      <c r="E1396" s="76"/>
      <c r="F1396" s="60"/>
      <c r="G1396" s="60"/>
      <c r="H1396" s="60"/>
      <c r="I1396" s="60"/>
      <c r="J1396" s="60"/>
      <c r="K1396" s="64"/>
      <c r="L1396" s="64"/>
      <c r="M1396" s="60"/>
      <c r="N1396" s="60"/>
      <c r="O1396" s="60"/>
      <c r="P1396" s="60"/>
      <c r="Q1396" s="60"/>
      <c r="R1396" s="60"/>
      <c r="S1396" s="60"/>
      <c r="T1396" s="60"/>
      <c r="U1396" s="60"/>
      <c r="V1396" s="60"/>
      <c r="W1396" s="60"/>
      <c r="X1396" s="60"/>
      <c r="Y1396" s="76"/>
      <c r="Z1396" s="60"/>
      <c r="AA1396" s="60"/>
      <c r="AB1396" s="60"/>
      <c r="AC1396" s="60"/>
      <c r="AD1396" s="60"/>
      <c r="AE1396" s="60"/>
      <c r="AF1396" s="80"/>
      <c r="AG1396" s="56"/>
      <c r="AH1396" s="4"/>
      <c r="AI1396" s="56"/>
      <c r="AJ1396" s="109"/>
      <c r="AK1396" s="56"/>
      <c r="AL1396" s="56"/>
      <c r="AM1396" s="56"/>
      <c r="AN1396" s="56"/>
      <c r="AO1396" s="82"/>
      <c r="AP1396" s="82"/>
      <c r="AQ1396" s="56"/>
      <c r="AR1396" s="109"/>
      <c r="AS1396" s="56"/>
      <c r="AT1396" s="56"/>
      <c r="AU1396" s="3"/>
      <c r="AV1396" s="25">
        <v>2</v>
      </c>
      <c r="AW1396" s="25">
        <v>4</v>
      </c>
      <c r="AX1396" s="25">
        <v>6</v>
      </c>
      <c r="AY1396" s="25">
        <v>8</v>
      </c>
      <c r="AZ1396" s="25">
        <v>30</v>
      </c>
      <c r="BA1396" s="53"/>
      <c r="BB1396" s="53"/>
      <c r="BC1396" s="53"/>
      <c r="BD1396" s="53"/>
      <c r="BE1396" s="53"/>
      <c r="BF1396" s="53"/>
      <c r="BG1396" s="53"/>
      <c r="BH1396" s="53"/>
      <c r="BI1396" s="53"/>
      <c r="BJ1396" s="53"/>
      <c r="BK1396" s="53"/>
      <c r="BL1396" s="53"/>
      <c r="BM1396" s="53"/>
      <c r="BN1396" s="53"/>
      <c r="BO1396" s="53"/>
      <c r="BP1396" s="53"/>
      <c r="BQ1396" s="53"/>
      <c r="BR1396" s="53"/>
      <c r="BS1396" s="53"/>
      <c r="BT1396" s="53"/>
      <c r="BU1396" s="53"/>
      <c r="BV1396" s="53"/>
      <c r="BW1396" s="53"/>
      <c r="BX1396" s="53"/>
      <c r="BY1396" s="53"/>
      <c r="BZ1396" s="53"/>
      <c r="CA1396" s="53"/>
      <c r="CB1396" s="53"/>
      <c r="CC1396" s="53"/>
      <c r="CD1396" s="53"/>
      <c r="CE1396" s="53"/>
      <c r="CF1396" s="53"/>
      <c r="CG1396" s="53"/>
      <c r="CH1396" s="53"/>
      <c r="CI1396" s="53"/>
      <c r="CJ1396" s="53"/>
      <c r="CK1396" s="53"/>
      <c r="CL1396" s="53"/>
      <c r="CM1396" s="53"/>
      <c r="CN1396" s="53"/>
      <c r="CO1396" s="53"/>
      <c r="CP1396" s="53"/>
      <c r="CQ1396" s="53"/>
      <c r="CR1396" s="1"/>
      <c r="CS1396" s="1"/>
      <c r="CT1396" s="1"/>
      <c r="CU1396" s="1"/>
    </row>
    <row r="1397" spans="1:99" s="13" customFormat="1" ht="12" customHeight="1" x14ac:dyDescent="0.2">
      <c r="A1397" s="65">
        <v>43509</v>
      </c>
      <c r="B1397" s="1" t="s">
        <v>256</v>
      </c>
      <c r="C1397" s="1" t="s">
        <v>48</v>
      </c>
      <c r="D1397" s="60">
        <v>1975</v>
      </c>
      <c r="E1397" s="76">
        <v>2</v>
      </c>
      <c r="F1397" s="60">
        <v>60</v>
      </c>
      <c r="G1397" s="60">
        <v>60</v>
      </c>
      <c r="H1397" s="60" t="s">
        <v>41</v>
      </c>
      <c r="I1397" s="60" t="s">
        <v>841</v>
      </c>
      <c r="J1397" s="60" t="s">
        <v>443</v>
      </c>
      <c r="K1397" s="60">
        <f>IF(J1397="syllables",1,IF(J1397="trigrams",2,IF(J1397="strings",3,IF(J1397="visual array",4,IF(J1397="characters",5,IF(J1397="letters",6,IF(J1397="free forms",7,IF(J1397="odors",8,IF(J1397="words",9,IF(J1397="pictures",10,IF(J1397="object pictures",11,IF(J1397="faces",12,IF(J1397="names",13,IF(J1397="idioms",14,IF(J1397="grades",15,IF(J1397="syllable-digit pairs",16,IF(J1397="trigram-word pairs",17,IF(J1397="word-digit pairs",18,IF(J1397="English-Swahili pairs",19,IF(J1397="spatial position",20,IF(J1397="word pairs",21,IF(J1397="word triads",22,IF(J1397="generated words",23,IF(J1397="word definition pairs",24,IF(J1397="math problems",25,IF(J1397="famous faces",26,IF(J1397="famous names",27,IF(J1397="famous voices",28,IF(J1397="television programs",29,IF(J1397="race horses",30,IF(J1397="new vocabulary",31,IF(J1397="sentences",32,IF(J1397="concepts",33,IF(J1397="ad slides",34,IF(J1397="scenes",35,IF(J1397="famous scenes",36,IF(J1397="poems",37,IF(J1397="walk",38,IF(J1397="faces and events",39,IF(J1397="events and names",40,IF(J1397="flashbulb",41,IF(J1397="stories",42,IF(J1397="course material",43,IF(J1397="autobiographical",44,IF(J1397="novels",45,IF(J1397="public events",46,"99"))))))))))))))))))))))))))))))))))))))))))))))</f>
        <v>2</v>
      </c>
      <c r="L1397" s="60">
        <f>IF(J1397="syllables",1,IF(J1397="trigrams",1,IF(J1397="strings",1,IF(J1397="visual array",1,IF(J1397="characters",1,IF(J1397="letters",1,IF(J1397="free forms",1,IF(J1397="odors",2,IF(J1397="words",2,IF(J1397="pictures",2,IF(J1397="object pictures",2,IF(J1397="faces",2,IF(J1397="names",2,IF(J1397="idioms","2",IF(J1397="grades",2,IF(J1397="syllable-digit pairs",3,IF(J1397="trigram-word pairs",3,IF(J1397="word-digit pairs",3,IF(J1397="English-Swahili pairs",3,IF(J1397="spatial position",3,IF(J1397="word pairs",4,IF(J1397="word triads",4,IF(J1397="generated words",4,IF(J1397="word definition pairs",4,IF(J1397="math problems",4,IF(J1397="famous faces",4,IF(J1397="famous names",4,IF(J1397="famous voices",4,IF(J1397="television programs",4,IF(J1397="race horses",4,IF(J1397="new vocabulary",4,IF(J1397="sentences",5,IF(J1397="concepts",5,IF(J1397="ad slides",5,IF(J1397="scenes",5,IF(J1397="famous scenes",5,IF(J1397="poems",6,IF(J1397="walk",6,IF(J1397="faces and events",6,IF(J1397="events and names",6,IF(J1397="flashbulb",7,IF(J1397="stories",7,IF(J1397="course material",7,IF(J1397="autobiographical",7,IF(J1397="novels",7,IF(J1397="public events",7,"99"))))))))))))))))))))))))))))))))))))))))))))))</f>
        <v>1</v>
      </c>
      <c r="M1397" s="60">
        <v>0</v>
      </c>
      <c r="N1397" s="60">
        <v>1</v>
      </c>
      <c r="O1397" s="60">
        <v>1</v>
      </c>
      <c r="P1397" s="60" t="s">
        <v>27</v>
      </c>
      <c r="Q1397" s="60" t="s">
        <v>174</v>
      </c>
      <c r="R1397" s="60">
        <f>IF(Q1397="Free Recall",1,IF(Q1397="Cued Recall",2,IF(Q1397="Recognition",3,IF(Q1397="Multiple Choice",4,IF(Q1397="Savings",5,IF(Q1397="Stem Completion",6,IF(Q1397="Fragment Completion",7,IF(Q1397="anagram solution",8,IF(Q1397="Matching",9,IF(Q1397="Problem Solving",10,"99"))))))))))</f>
        <v>1</v>
      </c>
      <c r="S1397" s="60" t="s">
        <v>49</v>
      </c>
      <c r="T1397" s="59" t="s">
        <v>581</v>
      </c>
      <c r="U1397" s="60">
        <f>IF(T1397="within",1,0)</f>
        <v>1</v>
      </c>
      <c r="V1397" s="59">
        <v>48</v>
      </c>
      <c r="W1397" s="60">
        <f>F1397*V1397</f>
        <v>2880</v>
      </c>
      <c r="X1397" s="60">
        <v>5</v>
      </c>
      <c r="Y1397" s="76">
        <f>AV1396</f>
        <v>2</v>
      </c>
      <c r="Z1397" s="60" t="s">
        <v>52</v>
      </c>
      <c r="AA1397" s="60">
        <v>30</v>
      </c>
      <c r="AB1397" s="60" t="str">
        <f>IF(AA1397&lt;60,"1",IF(AA1397&lt;=43200,"2",IF(AA1397&lt;=777600,"3","4")))</f>
        <v>1</v>
      </c>
      <c r="AC1397" s="56">
        <f>AVERAGE(AV1396:DA1396)</f>
        <v>10</v>
      </c>
      <c r="AD1397" s="60" t="str">
        <f>IF(AC1397&lt;60,"1",IF(AC1397&lt;=43200,"2",IF(AC1397&lt;=777600,"3","4")))</f>
        <v>1</v>
      </c>
      <c r="AE1397" s="76">
        <f>AA1397-Y1397</f>
        <v>28</v>
      </c>
      <c r="AF1397" s="80">
        <f>AV1397</f>
        <v>0.83</v>
      </c>
      <c r="AG1397" s="56">
        <f>((AW1397-AV1397)+(AX1397-AW1397)+(AY1397-AX1397)+(AZ1397-AY1397))/4</f>
        <v>-2.4999999999999994E-2</v>
      </c>
      <c r="AH1397" s="4"/>
      <c r="AI1397" s="56">
        <f>RSQ(AV1397:AZ1397,AV1396:AZ1396)</f>
        <v>0.11386639676113364</v>
      </c>
      <c r="AJ1397" s="109">
        <f>SLOPE(AV1397:AZ1397,AV1396:AZ1396)</f>
        <v>-2.8846153846153848E-3</v>
      </c>
      <c r="AK1397" s="56">
        <f>INTERCEPT(AV1397:AZ1397,AV1396:AZ1396)</f>
        <v>0.78884615384615386</v>
      </c>
      <c r="AL1397" s="56">
        <f>INDEX(LINEST(LN(AV1397:AZ1397),LN(AV1396:AZ1396),TRUE,TRUE),3,1)</f>
        <v>0.27401614607107844</v>
      </c>
      <c r="AM1397" s="56">
        <f>INDEX(LINEST(LN(AV1397:AZ1397),LN(AV1396:AZ1396)),1)</f>
        <v>-6.7870112661232732E-2</v>
      </c>
      <c r="AN1397" s="56">
        <f>EXP(INDEX(LINEST(LN(AV1397:AZ1397),LN(AV1396:AZ1396)),1,2))</f>
        <v>0.85711610271806837</v>
      </c>
      <c r="AO1397" s="82">
        <f>INDEX(LINEST((AV1397:AZ1397),LN(AV1396:AZ1396),TRUE,TRUE),3,1)</f>
        <v>0.2925814587865474</v>
      </c>
      <c r="AP1397" s="82">
        <f>INDEX(LINEST((AV1397:AZ1397),LN(AV1396:AZ1396)),1)</f>
        <v>-5.2632409448173496E-2</v>
      </c>
      <c r="AQ1397" s="83">
        <f>INDEX(LINEST(LN(AV1397:AZ1397),SQRT(AV1396:AZ1396),TRUE,TRUE),3,1)</f>
        <v>0.17125371824763244</v>
      </c>
      <c r="AR1397" s="116">
        <f>INDEX(LINEST(LN(AV1397:AZ1397),SQRT((AV1396:AZ1396))),1)</f>
        <v>-3.4256689746011919E-2</v>
      </c>
      <c r="AS1397" s="84">
        <f>INDEX(LINEST(1/(AV1397:AZ1397),1/(SQRT(AV1396:AZ1396)),TRUE,TRUE),3,1)</f>
        <v>0.33843151342723782</v>
      </c>
      <c r="AT1397" s="84">
        <f>INDEX(LINEST(1/(AV1397:AZ1397),1/SQRT(AV1396:AZ1396)),1)</f>
        <v>-0.52704778920019302</v>
      </c>
      <c r="AU1397" s="3"/>
      <c r="AV1397" s="53">
        <v>0.83</v>
      </c>
      <c r="AW1397" s="53">
        <v>0.88</v>
      </c>
      <c r="AX1397" s="53">
        <v>0.73</v>
      </c>
      <c r="AY1397" s="53">
        <v>0.63</v>
      </c>
      <c r="AZ1397" s="53">
        <v>0.73</v>
      </c>
      <c r="BA1397" s="53"/>
      <c r="BB1397" s="53"/>
      <c r="BC1397" s="53"/>
      <c r="BD1397" s="53"/>
      <c r="BE1397" s="53"/>
      <c r="BF1397" s="53"/>
      <c r="BG1397" s="53"/>
      <c r="BH1397" s="53"/>
      <c r="BI1397" s="53"/>
      <c r="BJ1397" s="53"/>
      <c r="BK1397" s="53"/>
      <c r="BL1397" s="53"/>
      <c r="BM1397" s="53"/>
      <c r="BN1397" s="53"/>
      <c r="BO1397" s="53"/>
      <c r="BP1397" s="53"/>
      <c r="BQ1397" s="53"/>
      <c r="BR1397" s="53"/>
      <c r="BS1397" s="53"/>
      <c r="BT1397" s="53"/>
      <c r="BU1397" s="53"/>
      <c r="BV1397" s="53"/>
      <c r="BW1397" s="53"/>
      <c r="BX1397" s="53"/>
      <c r="BY1397" s="53"/>
      <c r="BZ1397" s="53"/>
      <c r="CA1397" s="53"/>
      <c r="CB1397" s="53"/>
      <c r="CC1397" s="53"/>
      <c r="CD1397" s="53"/>
      <c r="CE1397" s="53"/>
      <c r="CF1397" s="53"/>
      <c r="CG1397" s="53"/>
      <c r="CH1397" s="53"/>
      <c r="CI1397" s="53"/>
      <c r="CJ1397" s="53"/>
      <c r="CK1397" s="53"/>
      <c r="CL1397" s="53"/>
      <c r="CM1397" s="53"/>
      <c r="CN1397" s="53"/>
      <c r="CO1397" s="53"/>
      <c r="CP1397" s="53"/>
      <c r="CQ1397" s="53"/>
      <c r="CR1397" s="1"/>
      <c r="CS1397" s="1"/>
      <c r="CT1397" s="1"/>
      <c r="CU1397" s="1"/>
    </row>
    <row r="1398" spans="1:99" s="13" customFormat="1" ht="12" customHeight="1" x14ac:dyDescent="0.2">
      <c r="A1398" s="65">
        <v>43509</v>
      </c>
      <c r="B1398" s="1"/>
      <c r="C1398" s="1"/>
      <c r="D1398" s="60"/>
      <c r="E1398" s="76"/>
      <c r="F1398" s="60"/>
      <c r="G1398" s="60"/>
      <c r="H1398" s="60"/>
      <c r="I1398" s="60"/>
      <c r="J1398" s="60"/>
      <c r="K1398" s="64"/>
      <c r="L1398" s="64"/>
      <c r="M1398" s="60"/>
      <c r="N1398" s="60"/>
      <c r="O1398" s="60"/>
      <c r="P1398" s="60"/>
      <c r="Q1398" s="60"/>
      <c r="R1398" s="60"/>
      <c r="S1398" s="60"/>
      <c r="T1398" s="60"/>
      <c r="U1398" s="60"/>
      <c r="V1398" s="60"/>
      <c r="W1398" s="60"/>
      <c r="X1398" s="61"/>
      <c r="Y1398" s="76"/>
      <c r="Z1398" s="60"/>
      <c r="AA1398" s="60"/>
      <c r="AB1398" s="60"/>
      <c r="AC1398" s="60"/>
      <c r="AD1398" s="60"/>
      <c r="AE1398" s="60"/>
      <c r="AF1398" s="80"/>
      <c r="AG1398" s="56"/>
      <c r="AH1398" s="4"/>
      <c r="AI1398" s="56"/>
      <c r="AJ1398" s="109"/>
      <c r="AK1398" s="56"/>
      <c r="AL1398" s="56"/>
      <c r="AM1398" s="56"/>
      <c r="AN1398" s="56"/>
      <c r="AO1398" s="56"/>
      <c r="AP1398" s="56"/>
      <c r="AQ1398" s="56"/>
      <c r="AR1398" s="109"/>
      <c r="AS1398" s="56"/>
      <c r="AT1398" s="56"/>
      <c r="AU1398" s="4"/>
      <c r="AV1398" s="25">
        <v>2</v>
      </c>
      <c r="AW1398" s="25">
        <v>4</v>
      </c>
      <c r="AX1398" s="25">
        <v>6</v>
      </c>
      <c r="AY1398" s="25">
        <v>8</v>
      </c>
      <c r="AZ1398" s="25">
        <v>30</v>
      </c>
      <c r="BA1398" s="53"/>
      <c r="BB1398" s="42"/>
      <c r="BC1398" s="2"/>
      <c r="BD1398" s="2"/>
      <c r="BE1398" s="2"/>
      <c r="BF1398" s="2"/>
      <c r="BG1398" s="2"/>
      <c r="BH1398" s="2"/>
      <c r="BI1398" s="2"/>
      <c r="BJ1398" s="2"/>
      <c r="BK1398" s="2"/>
      <c r="BL1398" s="2"/>
      <c r="BM1398" s="2"/>
      <c r="BN1398" s="2"/>
      <c r="BO1398" s="2"/>
      <c r="BP1398" s="2"/>
      <c r="BQ1398" s="2"/>
      <c r="BR1398" s="2"/>
      <c r="BS1398" s="2"/>
      <c r="BT1398" s="2"/>
      <c r="BU1398" s="2"/>
      <c r="BV1398" s="2"/>
      <c r="BW1398" s="2"/>
      <c r="BX1398" s="2"/>
      <c r="BY1398" s="2"/>
      <c r="BZ1398" s="2"/>
      <c r="CA1398" s="2"/>
      <c r="CB1398" s="2"/>
      <c r="CC1398" s="2"/>
      <c r="CD1398" s="2"/>
      <c r="CE1398" s="2"/>
      <c r="CF1398" s="2"/>
      <c r="CG1398" s="2"/>
      <c r="CH1398" s="2"/>
      <c r="CI1398" s="2"/>
      <c r="CJ1398" s="2"/>
      <c r="CK1398" s="2"/>
      <c r="CL1398" s="2"/>
      <c r="CM1398" s="2"/>
      <c r="CN1398" s="2"/>
      <c r="CO1398" s="2"/>
      <c r="CP1398" s="2"/>
      <c r="CQ1398" s="2"/>
      <c r="CR1398" s="1"/>
      <c r="CS1398" s="1"/>
      <c r="CT1398" s="1"/>
      <c r="CU1398" s="1"/>
    </row>
    <row r="1399" spans="1:99" s="13" customFormat="1" ht="12" customHeight="1" x14ac:dyDescent="0.2">
      <c r="A1399" s="65">
        <v>43509</v>
      </c>
      <c r="B1399" s="1" t="s">
        <v>256</v>
      </c>
      <c r="C1399" s="1" t="s">
        <v>48</v>
      </c>
      <c r="D1399" s="60">
        <v>1975</v>
      </c>
      <c r="E1399" s="76">
        <v>3</v>
      </c>
      <c r="F1399" s="60">
        <v>60</v>
      </c>
      <c r="G1399" s="60">
        <v>60</v>
      </c>
      <c r="H1399" s="60" t="s">
        <v>32</v>
      </c>
      <c r="I1399" s="60" t="s">
        <v>839</v>
      </c>
      <c r="J1399" s="60" t="s">
        <v>443</v>
      </c>
      <c r="K1399" s="60">
        <f>IF(J1399="syllables",1,IF(J1399="trigrams",2,IF(J1399="strings",3,IF(J1399="visual array",4,IF(J1399="characters",5,IF(J1399="letters",6,IF(J1399="free forms",7,IF(J1399="odors",8,IF(J1399="words",9,IF(J1399="pictures",10,IF(J1399="object pictures",11,IF(J1399="faces",12,IF(J1399="names",13,IF(J1399="idioms",14,IF(J1399="grades",15,IF(J1399="syllable-digit pairs",16,IF(J1399="trigram-word pairs",17,IF(J1399="word-digit pairs",18,IF(J1399="English-Swahili pairs",19,IF(J1399="spatial position",20,IF(J1399="word pairs",21,IF(J1399="word triads",22,IF(J1399="generated words",23,IF(J1399="word definition pairs",24,IF(J1399="math problems",25,IF(J1399="famous faces",26,IF(J1399="famous names",27,IF(J1399="famous voices",28,IF(J1399="television programs",29,IF(J1399="race horses",30,IF(J1399="new vocabulary",31,IF(J1399="sentences",32,IF(J1399="concepts",33,IF(J1399="ad slides",34,IF(J1399="scenes",35,IF(J1399="famous scenes",36,IF(J1399="poems",37,IF(J1399="walk",38,IF(J1399="faces and events",39,IF(J1399="events and names",40,IF(J1399="flashbulb",41,IF(J1399="stories",42,IF(J1399="course material",43,IF(J1399="autobiographical",44,IF(J1399="novels",45,IF(J1399="public events",46,"99"))))))))))))))))))))))))))))))))))))))))))))))</f>
        <v>2</v>
      </c>
      <c r="L1399" s="60">
        <f>IF(J1399="syllables",1,IF(J1399="trigrams",1,IF(J1399="strings",1,IF(J1399="visual array",1,IF(J1399="characters",1,IF(J1399="letters",1,IF(J1399="free forms",1,IF(J1399="odors",2,IF(J1399="words",2,IF(J1399="pictures",2,IF(J1399="object pictures",2,IF(J1399="faces",2,IF(J1399="names",2,IF(J1399="idioms","2",IF(J1399="grades",2,IF(J1399="syllable-digit pairs",3,IF(J1399="trigram-word pairs",3,IF(J1399="word-digit pairs",3,IF(J1399="English-Swahili pairs",3,IF(J1399="spatial position",3,IF(J1399="word pairs",4,IF(J1399="word triads",4,IF(J1399="generated words",4,IF(J1399="word definition pairs",4,IF(J1399="math problems",4,IF(J1399="famous faces",4,IF(J1399="famous names",4,IF(J1399="famous voices",4,IF(J1399="television programs",4,IF(J1399="race horses",4,IF(J1399="new vocabulary",4,IF(J1399="sentences",5,IF(J1399="concepts",5,IF(J1399="ad slides",5,IF(J1399="scenes",5,IF(J1399="famous scenes",5,IF(J1399="poems",6,IF(J1399="walk",6,IF(J1399="faces and events",6,IF(J1399="events and names",6,IF(J1399="flashbulb",7,IF(J1399="stories",7,IF(J1399="course material",7,IF(J1399="autobiographical",7,IF(J1399="novels",7,IF(J1399="public events",7,"99"))))))))))))))))))))))))))))))))))))))))))))))</f>
        <v>1</v>
      </c>
      <c r="M1399" s="60">
        <v>0</v>
      </c>
      <c r="N1399" s="60">
        <v>1</v>
      </c>
      <c r="O1399" s="60">
        <v>1</v>
      </c>
      <c r="P1399" s="60" t="s">
        <v>27</v>
      </c>
      <c r="Q1399" s="60" t="s">
        <v>174</v>
      </c>
      <c r="R1399" s="60">
        <f>IF(Q1399="Free Recall",1,IF(Q1399="Cued Recall",2,IF(Q1399="Recognition",3,IF(Q1399="Multiple Choice",4,IF(Q1399="Savings",5,IF(Q1399="Stem Completion",6,IF(Q1399="Fragment Completion",7,IF(Q1399="anagram solution",8,IF(Q1399="Matching",9,IF(Q1399="Problem Solving",10,"99"))))))))))</f>
        <v>1</v>
      </c>
      <c r="S1399" s="60" t="s">
        <v>49</v>
      </c>
      <c r="T1399" s="59" t="s">
        <v>581</v>
      </c>
      <c r="U1399" s="60">
        <f>IF(T1399="within",1,0)</f>
        <v>1</v>
      </c>
      <c r="V1399" s="59">
        <v>48</v>
      </c>
      <c r="W1399" s="60">
        <f>F1399*V1399</f>
        <v>2880</v>
      </c>
      <c r="X1399" s="60">
        <v>5</v>
      </c>
      <c r="Y1399" s="76">
        <f>AV1398</f>
        <v>2</v>
      </c>
      <c r="Z1399" s="60" t="s">
        <v>52</v>
      </c>
      <c r="AA1399" s="60">
        <v>30</v>
      </c>
      <c r="AB1399" s="60" t="str">
        <f>IF(AA1399&lt;60,"1",IF(AA1399&lt;=43200,"2",IF(AA1399&lt;=777600,"3","4")))</f>
        <v>1</v>
      </c>
      <c r="AC1399" s="56">
        <f>AVERAGE(AV1398:DA1398)</f>
        <v>10</v>
      </c>
      <c r="AD1399" s="60" t="str">
        <f>IF(AC1399&lt;60,"1",IF(AC1399&lt;=43200,"2",IF(AC1399&lt;=777600,"3","4")))</f>
        <v>1</v>
      </c>
      <c r="AE1399" s="76">
        <f>AA1399-Y1399</f>
        <v>28</v>
      </c>
      <c r="AF1399" s="80">
        <f>AV1399</f>
        <v>0.69</v>
      </c>
      <c r="AG1399" s="56">
        <f>((AW1399-AV1399)+(AX1399-AW1399)+(AY1399-AX1399)+(AZ1399-AY1399))/4</f>
        <v>-3.999999999999998E-2</v>
      </c>
      <c r="AH1399" s="4"/>
      <c r="AI1399" s="56">
        <f>RSQ(AV1399:AZ1399,AV1398:AZ1398)</f>
        <v>0.40948097601323413</v>
      </c>
      <c r="AJ1399" s="109">
        <f>SLOPE(AV1399:AZ1399,AV1398:AZ1398)</f>
        <v>-3.4230769230769215E-3</v>
      </c>
      <c r="AK1399" s="56">
        <f>INTERCEPT(AV1399:AZ1399,AV1398:AZ1398)</f>
        <v>0.62223076923076903</v>
      </c>
      <c r="AL1399" s="56">
        <f>INDEX(LINEST(LN(AV1399:AZ1399),LN(AV1398:AZ1398),TRUE,TRUE),3,1)</f>
        <v>0.68616073597589022</v>
      </c>
      <c r="AM1399" s="56">
        <f>INDEX(LINEST(LN(AV1399:AZ1399),LN(AV1398:AZ1398)),1)</f>
        <v>-8.2331852575010564E-2</v>
      </c>
      <c r="AN1399" s="56">
        <f>EXP(INDEX(LINEST(LN(AV1399:AZ1399),LN(AV1398:AZ1398)),1,2))</f>
        <v>0.68310167819811818</v>
      </c>
      <c r="AO1399" s="82">
        <f>INDEX(LINEST((AV1399:AZ1399),LN(AV1398:AZ1398),TRUE,TRUE),3,1)</f>
        <v>0.66464152250651221</v>
      </c>
      <c r="AP1399" s="82">
        <f>INDEX(LINEST((AV1399:AZ1399),LN(AV1398:AZ1398)),1)</f>
        <v>-4.9640169256534861E-2</v>
      </c>
      <c r="AQ1399" s="83">
        <f>INDEX(LINEST(LN(AV1399:AZ1399),SQRT(AV1398:AZ1398),TRUE,TRUE),3,1)</f>
        <v>0.54689751580064139</v>
      </c>
      <c r="AR1399" s="116">
        <f>INDEX(LINEST(LN(AV1399:AZ1399),SQRT((AV1398:AZ1398))),1)</f>
        <v>-4.6929165111634183E-2</v>
      </c>
      <c r="AS1399" s="84">
        <f>INDEX(LINEST(1/(AV1399:AZ1399),1/(SQRT(AV1398:AZ1398)),TRUE,TRUE),3,1)</f>
        <v>0.80998255704288147</v>
      </c>
      <c r="AT1399" s="84">
        <f>INDEX(LINEST(1/(AV1399:AZ1399),1/SQRT(AV1398:AZ1398)),1)</f>
        <v>-0.7623606311602561</v>
      </c>
      <c r="AU1399" s="3"/>
      <c r="AV1399" s="53">
        <v>0.69</v>
      </c>
      <c r="AW1399" s="53">
        <v>0.56000000000000005</v>
      </c>
      <c r="AX1399" s="53">
        <v>0.59</v>
      </c>
      <c r="AY1399" s="53">
        <v>0.56999999999999995</v>
      </c>
      <c r="AZ1399" s="53">
        <v>0.53</v>
      </c>
      <c r="BA1399" s="53"/>
      <c r="BB1399" s="42"/>
      <c r="BC1399" s="2"/>
      <c r="BD1399" s="2"/>
      <c r="BE1399" s="2"/>
      <c r="BF1399" s="2"/>
      <c r="BG1399" s="2"/>
      <c r="BH1399" s="2"/>
      <c r="BI1399" s="2"/>
      <c r="BJ1399" s="2"/>
      <c r="BK1399" s="2"/>
      <c r="BL1399" s="2"/>
      <c r="BM1399" s="2"/>
      <c r="BN1399" s="2"/>
      <c r="BO1399" s="2"/>
      <c r="BP1399" s="2"/>
      <c r="BQ1399" s="2"/>
      <c r="BR1399" s="2"/>
      <c r="BS1399" s="2"/>
      <c r="BT1399" s="2"/>
      <c r="BU1399" s="2"/>
      <c r="BV1399" s="2"/>
      <c r="BW1399" s="2"/>
      <c r="BX1399" s="2"/>
      <c r="BY1399" s="2"/>
      <c r="BZ1399" s="2"/>
      <c r="CA1399" s="2"/>
      <c r="CB1399" s="2"/>
      <c r="CC1399" s="2"/>
      <c r="CD1399" s="2"/>
      <c r="CE1399" s="2"/>
      <c r="CF1399" s="2"/>
      <c r="CG1399" s="2"/>
      <c r="CH1399" s="2"/>
      <c r="CI1399" s="2"/>
      <c r="CJ1399" s="2"/>
      <c r="CK1399" s="2"/>
      <c r="CL1399" s="2"/>
      <c r="CM1399" s="2"/>
      <c r="CN1399" s="2"/>
      <c r="CO1399" s="2"/>
      <c r="CP1399" s="2"/>
      <c r="CQ1399" s="2"/>
      <c r="CR1399" s="1"/>
      <c r="CS1399" s="1"/>
      <c r="CT1399" s="1"/>
      <c r="CU1399" s="1"/>
    </row>
    <row r="1400" spans="1:99" s="13" customFormat="1" ht="12" customHeight="1" x14ac:dyDescent="0.2">
      <c r="A1400" s="65">
        <v>43509</v>
      </c>
      <c r="B1400" s="1"/>
      <c r="C1400" s="1"/>
      <c r="D1400" s="60"/>
      <c r="E1400" s="76"/>
      <c r="F1400" s="60"/>
      <c r="G1400" s="60"/>
      <c r="H1400" s="60"/>
      <c r="I1400" s="60"/>
      <c r="J1400" s="60"/>
      <c r="K1400" s="64"/>
      <c r="L1400" s="64"/>
      <c r="M1400" s="60"/>
      <c r="N1400" s="60"/>
      <c r="O1400" s="60"/>
      <c r="P1400" s="60"/>
      <c r="Q1400" s="60"/>
      <c r="R1400" s="60"/>
      <c r="S1400" s="60"/>
      <c r="T1400" s="60"/>
      <c r="U1400" s="60"/>
      <c r="V1400" s="60"/>
      <c r="W1400" s="60"/>
      <c r="X1400" s="60"/>
      <c r="Y1400" s="76"/>
      <c r="Z1400" s="60"/>
      <c r="AA1400" s="60"/>
      <c r="AB1400" s="60"/>
      <c r="AC1400" s="60"/>
      <c r="AD1400" s="60"/>
      <c r="AE1400" s="60"/>
      <c r="AF1400" s="80"/>
      <c r="AG1400" s="56"/>
      <c r="AH1400" s="4"/>
      <c r="AI1400" s="56"/>
      <c r="AJ1400" s="109"/>
      <c r="AK1400" s="56"/>
      <c r="AL1400" s="56"/>
      <c r="AM1400" s="56"/>
      <c r="AN1400" s="56"/>
      <c r="AO1400" s="82"/>
      <c r="AP1400" s="82"/>
      <c r="AQ1400" s="56"/>
      <c r="AR1400" s="109"/>
      <c r="AS1400" s="56"/>
      <c r="AT1400" s="56"/>
      <c r="AU1400" s="3"/>
      <c r="AV1400" s="25">
        <v>2</v>
      </c>
      <c r="AW1400" s="25">
        <v>4</v>
      </c>
      <c r="AX1400" s="25">
        <v>6</v>
      </c>
      <c r="AY1400" s="25">
        <v>8</v>
      </c>
      <c r="AZ1400" s="25">
        <v>30</v>
      </c>
      <c r="BA1400" s="53"/>
      <c r="BB1400" s="42"/>
      <c r="BC1400" s="2"/>
      <c r="BD1400" s="2"/>
      <c r="BE1400" s="2"/>
      <c r="BF1400" s="2"/>
      <c r="BG1400" s="2"/>
      <c r="BH1400" s="2"/>
      <c r="BI1400" s="2"/>
      <c r="BJ1400" s="2"/>
      <c r="BK1400" s="2"/>
      <c r="BL1400" s="2"/>
      <c r="BM1400" s="2"/>
      <c r="BN1400" s="2"/>
      <c r="BO1400" s="2"/>
      <c r="BP1400" s="2"/>
      <c r="BQ1400" s="2"/>
      <c r="BR1400" s="2"/>
      <c r="BS1400" s="2"/>
      <c r="BT1400" s="2"/>
      <c r="BU1400" s="2"/>
      <c r="BV1400" s="2"/>
      <c r="BW1400" s="2"/>
      <c r="BX1400" s="2"/>
      <c r="BY1400" s="2"/>
      <c r="BZ1400" s="2"/>
      <c r="CA1400" s="2"/>
      <c r="CB1400" s="2"/>
      <c r="CC1400" s="2"/>
      <c r="CD1400" s="2"/>
      <c r="CE1400" s="2"/>
      <c r="CF1400" s="2"/>
      <c r="CG1400" s="2"/>
      <c r="CH1400" s="2"/>
      <c r="CI1400" s="2"/>
      <c r="CJ1400" s="2"/>
      <c r="CK1400" s="2"/>
      <c r="CL1400" s="2"/>
      <c r="CM1400" s="2"/>
      <c r="CN1400" s="2"/>
      <c r="CO1400" s="2"/>
      <c r="CP1400" s="2"/>
      <c r="CQ1400" s="2"/>
      <c r="CR1400" s="1"/>
      <c r="CS1400" s="1"/>
      <c r="CT1400" s="1"/>
      <c r="CU1400" s="1"/>
    </row>
    <row r="1401" spans="1:99" s="13" customFormat="1" ht="12" customHeight="1" x14ac:dyDescent="0.2">
      <c r="A1401" s="65">
        <v>43509</v>
      </c>
      <c r="B1401" s="1" t="s">
        <v>256</v>
      </c>
      <c r="C1401" s="1" t="s">
        <v>48</v>
      </c>
      <c r="D1401" s="60">
        <v>1975</v>
      </c>
      <c r="E1401" s="76">
        <v>3</v>
      </c>
      <c r="F1401" s="60">
        <v>60</v>
      </c>
      <c r="G1401" s="60">
        <v>60</v>
      </c>
      <c r="H1401" s="60" t="s">
        <v>32</v>
      </c>
      <c r="I1401" s="60" t="s">
        <v>840</v>
      </c>
      <c r="J1401" s="60" t="s">
        <v>443</v>
      </c>
      <c r="K1401" s="60">
        <f>IF(J1401="syllables",1,IF(J1401="trigrams",2,IF(J1401="strings",3,IF(J1401="visual array",4,IF(J1401="characters",5,IF(J1401="letters",6,IF(J1401="free forms",7,IF(J1401="odors",8,IF(J1401="words",9,IF(J1401="pictures",10,IF(J1401="object pictures",11,IF(J1401="faces",12,IF(J1401="names",13,IF(J1401="idioms",14,IF(J1401="grades",15,IF(J1401="syllable-digit pairs",16,IF(J1401="trigram-word pairs",17,IF(J1401="word-digit pairs",18,IF(J1401="English-Swahili pairs",19,IF(J1401="spatial position",20,IF(J1401="word pairs",21,IF(J1401="word triads",22,IF(J1401="generated words",23,IF(J1401="word definition pairs",24,IF(J1401="math problems",25,IF(J1401="famous faces",26,IF(J1401="famous names",27,IF(J1401="famous voices",28,IF(J1401="television programs",29,IF(J1401="race horses",30,IF(J1401="new vocabulary",31,IF(J1401="sentences",32,IF(J1401="concepts",33,IF(J1401="ad slides",34,IF(J1401="scenes",35,IF(J1401="famous scenes",36,IF(J1401="poems",37,IF(J1401="walk",38,IF(J1401="faces and events",39,IF(J1401="events and names",40,IF(J1401="flashbulb",41,IF(J1401="stories",42,IF(J1401="course material",43,IF(J1401="autobiographical",44,IF(J1401="novels",45,IF(J1401="public events",46,"99"))))))))))))))))))))))))))))))))))))))))))))))</f>
        <v>2</v>
      </c>
      <c r="L1401" s="60">
        <f>IF(J1401="syllables",1,IF(J1401="trigrams",1,IF(J1401="strings",1,IF(J1401="visual array",1,IF(J1401="characters",1,IF(J1401="letters",1,IF(J1401="free forms",1,IF(J1401="odors",2,IF(J1401="words",2,IF(J1401="pictures",2,IF(J1401="object pictures",2,IF(J1401="faces",2,IF(J1401="names",2,IF(J1401="idioms","2",IF(J1401="grades",2,IF(J1401="syllable-digit pairs",3,IF(J1401="trigram-word pairs",3,IF(J1401="word-digit pairs",3,IF(J1401="English-Swahili pairs",3,IF(J1401="spatial position",3,IF(J1401="word pairs",4,IF(J1401="word triads",4,IF(J1401="generated words",4,IF(J1401="word definition pairs",4,IF(J1401="math problems",4,IF(J1401="famous faces",4,IF(J1401="famous names",4,IF(J1401="famous voices",4,IF(J1401="television programs",4,IF(J1401="race horses",4,IF(J1401="new vocabulary",4,IF(J1401="sentences",5,IF(J1401="concepts",5,IF(J1401="ad slides",5,IF(J1401="scenes",5,IF(J1401="famous scenes",5,IF(J1401="poems",6,IF(J1401="walk",6,IF(J1401="faces and events",6,IF(J1401="events and names",6,IF(J1401="flashbulb",7,IF(J1401="stories",7,IF(J1401="course material",7,IF(J1401="autobiographical",7,IF(J1401="novels",7,IF(J1401="public events",7,"99"))))))))))))))))))))))))))))))))))))))))))))))</f>
        <v>1</v>
      </c>
      <c r="M1401" s="60">
        <v>0</v>
      </c>
      <c r="N1401" s="60">
        <v>1</v>
      </c>
      <c r="O1401" s="60">
        <v>1</v>
      </c>
      <c r="P1401" s="60" t="s">
        <v>27</v>
      </c>
      <c r="Q1401" s="60" t="s">
        <v>174</v>
      </c>
      <c r="R1401" s="60">
        <f>IF(Q1401="Free Recall",1,IF(Q1401="Cued Recall",2,IF(Q1401="Recognition",3,IF(Q1401="Multiple Choice",4,IF(Q1401="Savings",5,IF(Q1401="Stem Completion",6,IF(Q1401="Fragment Completion",7,IF(Q1401="anagram solution",8,IF(Q1401="Matching",9,IF(Q1401="Problem Solving",10,"99"))))))))))</f>
        <v>1</v>
      </c>
      <c r="S1401" s="60" t="s">
        <v>49</v>
      </c>
      <c r="T1401" s="59" t="s">
        <v>581</v>
      </c>
      <c r="U1401" s="60">
        <f>IF(T1401="within",1,0)</f>
        <v>1</v>
      </c>
      <c r="V1401" s="59">
        <v>48</v>
      </c>
      <c r="W1401" s="60">
        <f>F1401*V1401</f>
        <v>2880</v>
      </c>
      <c r="X1401" s="60">
        <v>5</v>
      </c>
      <c r="Y1401" s="76">
        <f>AV1400</f>
        <v>2</v>
      </c>
      <c r="Z1401" s="60" t="s">
        <v>52</v>
      </c>
      <c r="AA1401" s="60">
        <v>30</v>
      </c>
      <c r="AB1401" s="60" t="str">
        <f>IF(AA1401&lt;60,"1",IF(AA1401&lt;=43200,"2",IF(AA1401&lt;=777600,"3","4")))</f>
        <v>1</v>
      </c>
      <c r="AC1401" s="56">
        <f>AVERAGE(AV1400:DA1400)</f>
        <v>10</v>
      </c>
      <c r="AD1401" s="60" t="str">
        <f>IF(AC1401&lt;60,"1",IF(AC1401&lt;=43200,"2",IF(AC1401&lt;=777600,"3","4")))</f>
        <v>1</v>
      </c>
      <c r="AE1401" s="76">
        <f>AA1401-Y1401</f>
        <v>28</v>
      </c>
      <c r="AF1401" s="80">
        <f>AV1401</f>
        <v>0.91</v>
      </c>
      <c r="AG1401" s="56">
        <f>((AW1401-AV1401)+(AX1401-AW1401)+(AY1401-AX1401)+(AZ1401-AY1401))/4</f>
        <v>-0.11750000000000001</v>
      </c>
      <c r="AH1401" s="4"/>
      <c r="AI1401" s="56">
        <f>RSQ(AV1401:AZ1401,AV1400:AZ1400)</f>
        <v>0.45742244430564222</v>
      </c>
      <c r="AJ1401" s="109">
        <f>SLOPE(AV1401:AZ1401,AV1400:AZ1400)</f>
        <v>-1.2999999999999999E-2</v>
      </c>
      <c r="AK1401" s="56">
        <f>INTERCEPT(AV1401:AZ1401,AV1400:AZ1400)</f>
        <v>0.77600000000000002</v>
      </c>
      <c r="AL1401" s="56">
        <f>INDEX(LINEST(LN(AV1401:AZ1401),LN(AV1400:AZ1400),TRUE,TRUE),3,1)</f>
        <v>0.76775218720644822</v>
      </c>
      <c r="AM1401" s="56">
        <f>INDEX(LINEST(LN(AV1401:AZ1401),LN(AV1400:AZ1400)),1)</f>
        <v>-0.29384836738253917</v>
      </c>
      <c r="AN1401" s="56">
        <f>EXP(INDEX(LINEST(LN(AV1401:AZ1401),LN(AV1400:AZ1400)),1,2))</f>
        <v>1.0693749631730214</v>
      </c>
      <c r="AO1401" s="82">
        <f>INDEX(LINEST((AV1401:AZ1401),LN(AV1400:AZ1400),TRUE,TRUE),3,1)</f>
        <v>0.73911308624957972</v>
      </c>
      <c r="AP1401" s="82">
        <f>INDEX(LINEST((AV1401:AZ1401),LN(AV1400:AZ1400)),1)</f>
        <v>-0.18809609872231658</v>
      </c>
      <c r="AQ1401" s="83">
        <f>INDEX(LINEST(LN(AV1401:AZ1401),SQRT(AV1400:AZ1400),TRUE,TRUE),3,1)</f>
        <v>0.63034553577708341</v>
      </c>
      <c r="AR1401" s="116">
        <f>INDEX(LINEST(LN(AV1401:AZ1401),SQRT((AV1400:AZ1400))),1)</f>
        <v>-0.16999532889551638</v>
      </c>
      <c r="AS1401" s="84">
        <f>INDEX(LINEST(1/(AV1401:AZ1401),1/(SQRT(AV1400:AZ1400)),TRUE,TRUE),3,1)</f>
        <v>0.83665698894686391</v>
      </c>
      <c r="AT1401" s="84">
        <f>INDEX(LINEST(1/(AV1401:AZ1401),1/SQRT(AV1400:AZ1400)),1)</f>
        <v>-2.5429425308656679</v>
      </c>
      <c r="AU1401" s="3"/>
      <c r="AV1401" s="53">
        <v>0.91</v>
      </c>
      <c r="AW1401" s="53">
        <v>0.85</v>
      </c>
      <c r="AX1401" s="53">
        <v>0.56000000000000005</v>
      </c>
      <c r="AY1401" s="53">
        <v>0.47</v>
      </c>
      <c r="AZ1401" s="53">
        <v>0.44</v>
      </c>
      <c r="BA1401" s="53"/>
      <c r="BB1401" s="42"/>
      <c r="BC1401" s="2"/>
      <c r="BD1401" s="2"/>
      <c r="BE1401" s="2"/>
      <c r="BF1401" s="2"/>
      <c r="BG1401" s="2"/>
      <c r="BH1401" s="2"/>
      <c r="BI1401" s="2"/>
      <c r="BJ1401" s="2"/>
      <c r="BK1401" s="2"/>
      <c r="BL1401" s="2"/>
      <c r="BM1401" s="2"/>
      <c r="BN1401" s="2"/>
      <c r="BO1401" s="2"/>
      <c r="BP1401" s="2"/>
      <c r="BQ1401" s="2"/>
      <c r="BR1401" s="2"/>
      <c r="BS1401" s="2"/>
      <c r="BT1401" s="2"/>
      <c r="BU1401" s="2"/>
      <c r="BV1401" s="2"/>
      <c r="BW1401" s="2"/>
      <c r="BX1401" s="2"/>
      <c r="BY1401" s="2"/>
      <c r="BZ1401" s="2"/>
      <c r="CA1401" s="2"/>
      <c r="CB1401" s="2"/>
      <c r="CC1401" s="2"/>
      <c r="CD1401" s="2"/>
      <c r="CE1401" s="2"/>
      <c r="CF1401" s="2"/>
      <c r="CG1401" s="2"/>
      <c r="CH1401" s="2"/>
      <c r="CI1401" s="2"/>
      <c r="CJ1401" s="2"/>
      <c r="CK1401" s="2"/>
      <c r="CL1401" s="2"/>
      <c r="CM1401" s="2"/>
      <c r="CN1401" s="2"/>
      <c r="CO1401" s="2"/>
      <c r="CP1401" s="2"/>
      <c r="CQ1401" s="2"/>
      <c r="CR1401" s="1"/>
      <c r="CS1401" s="1"/>
      <c r="CT1401" s="1"/>
      <c r="CU1401" s="1"/>
    </row>
    <row r="1402" spans="1:99" s="13" customFormat="1" ht="12" customHeight="1" x14ac:dyDescent="0.2">
      <c r="A1402" s="65">
        <v>43509</v>
      </c>
      <c r="B1402" s="1"/>
      <c r="C1402" s="1"/>
      <c r="D1402" s="60"/>
      <c r="E1402" s="76"/>
      <c r="F1402" s="60"/>
      <c r="G1402" s="60"/>
      <c r="H1402" s="60"/>
      <c r="I1402" s="60"/>
      <c r="J1402" s="60"/>
      <c r="K1402" s="64"/>
      <c r="L1402" s="64"/>
      <c r="M1402" s="60"/>
      <c r="N1402" s="60"/>
      <c r="O1402" s="60"/>
      <c r="P1402" s="60"/>
      <c r="Q1402" s="60"/>
      <c r="R1402" s="60"/>
      <c r="S1402" s="60"/>
      <c r="T1402" s="60"/>
      <c r="U1402" s="60"/>
      <c r="V1402" s="60"/>
      <c r="W1402" s="60"/>
      <c r="X1402" s="61"/>
      <c r="Y1402" s="76"/>
      <c r="Z1402" s="60"/>
      <c r="AA1402" s="60"/>
      <c r="AB1402" s="60"/>
      <c r="AC1402" s="60"/>
      <c r="AD1402" s="60"/>
      <c r="AE1402" s="60"/>
      <c r="AF1402" s="80"/>
      <c r="AG1402" s="56"/>
      <c r="AH1402" s="4"/>
      <c r="AI1402" s="56"/>
      <c r="AJ1402" s="109"/>
      <c r="AK1402" s="56"/>
      <c r="AL1402" s="56"/>
      <c r="AM1402" s="56"/>
      <c r="AN1402" s="56"/>
      <c r="AO1402" s="56"/>
      <c r="AP1402" s="56"/>
      <c r="AQ1402" s="56"/>
      <c r="AR1402" s="109"/>
      <c r="AS1402" s="56"/>
      <c r="AT1402" s="56"/>
      <c r="AU1402" s="4"/>
      <c r="AV1402" s="25">
        <v>2.25</v>
      </c>
      <c r="AW1402" s="25">
        <v>4.5</v>
      </c>
      <c r="AX1402" s="25">
        <v>9</v>
      </c>
      <c r="AY1402" s="25">
        <v>27</v>
      </c>
      <c r="AZ1402" s="25"/>
      <c r="BA1402" s="53"/>
      <c r="BB1402" s="53"/>
      <c r="BC1402" s="53"/>
      <c r="BD1402" s="53"/>
      <c r="BE1402" s="53"/>
      <c r="BF1402" s="53"/>
      <c r="BG1402" s="53"/>
      <c r="BH1402" s="53"/>
      <c r="BI1402" s="53"/>
      <c r="BJ1402" s="53"/>
      <c r="BK1402" s="53"/>
      <c r="BL1402" s="53"/>
      <c r="BM1402" s="53"/>
      <c r="BN1402" s="53"/>
      <c r="BO1402" s="53"/>
      <c r="BP1402" s="53"/>
      <c r="BQ1402" s="53"/>
      <c r="BR1402" s="53"/>
      <c r="BS1402" s="53"/>
      <c r="BT1402" s="53"/>
      <c r="BU1402" s="53"/>
      <c r="BV1402" s="53"/>
      <c r="BW1402" s="53"/>
      <c r="BX1402" s="53"/>
      <c r="BY1402" s="53"/>
      <c r="BZ1402" s="53"/>
      <c r="CA1402" s="53"/>
      <c r="CB1402" s="53"/>
      <c r="CC1402" s="53"/>
      <c r="CD1402" s="53"/>
      <c r="CE1402" s="53"/>
      <c r="CF1402" s="53"/>
      <c r="CG1402" s="53"/>
      <c r="CH1402" s="53"/>
      <c r="CI1402" s="53"/>
      <c r="CJ1402" s="53"/>
      <c r="CK1402" s="53"/>
      <c r="CL1402" s="53"/>
      <c r="CM1402" s="53"/>
      <c r="CN1402" s="53"/>
      <c r="CO1402" s="53"/>
      <c r="CP1402" s="53"/>
      <c r="CQ1402" s="53"/>
      <c r="CR1402" s="1"/>
      <c r="CS1402" s="1"/>
      <c r="CT1402" s="1"/>
      <c r="CU1402" s="1"/>
    </row>
    <row r="1403" spans="1:99" s="13" customFormat="1" ht="12" customHeight="1" x14ac:dyDescent="0.2">
      <c r="A1403" s="65">
        <v>43509</v>
      </c>
      <c r="B1403" s="1" t="s">
        <v>256</v>
      </c>
      <c r="C1403" s="1" t="s">
        <v>48</v>
      </c>
      <c r="D1403" s="60">
        <v>1975</v>
      </c>
      <c r="E1403" s="76">
        <v>4</v>
      </c>
      <c r="F1403" s="60">
        <v>60</v>
      </c>
      <c r="G1403" s="60">
        <v>60</v>
      </c>
      <c r="H1403" s="60" t="s">
        <v>43</v>
      </c>
      <c r="I1403" s="60" t="s">
        <v>842</v>
      </c>
      <c r="J1403" s="60" t="s">
        <v>443</v>
      </c>
      <c r="K1403" s="60">
        <f>IF(J1403="syllables",1,IF(J1403="trigrams",2,IF(J1403="strings",3,IF(J1403="visual array",4,IF(J1403="characters",5,IF(J1403="letters",6,IF(J1403="free forms",7,IF(J1403="odors",8,IF(J1403="words",9,IF(J1403="pictures",10,IF(J1403="object pictures",11,IF(J1403="faces",12,IF(J1403="names",13,IF(J1403="idioms",14,IF(J1403="grades",15,IF(J1403="syllable-digit pairs",16,IF(J1403="trigram-word pairs",17,IF(J1403="word-digit pairs",18,IF(J1403="English-Swahili pairs",19,IF(J1403="spatial position",20,IF(J1403="word pairs",21,IF(J1403="word triads",22,IF(J1403="generated words",23,IF(J1403="word definition pairs",24,IF(J1403="math problems",25,IF(J1403="famous faces",26,IF(J1403="famous names",27,IF(J1403="famous voices",28,IF(J1403="television programs",29,IF(J1403="race horses",30,IF(J1403="new vocabulary",31,IF(J1403="sentences",32,IF(J1403="concepts",33,IF(J1403="ad slides",34,IF(J1403="scenes",35,IF(J1403="famous scenes",36,IF(J1403="poems",37,IF(J1403="walk",38,IF(J1403="faces and events",39,IF(J1403="events and names",40,IF(J1403="flashbulb",41,IF(J1403="stories",42,IF(J1403="course material",43,IF(J1403="autobiographical",44,IF(J1403="novels",45,IF(J1403="public events",46,"99"))))))))))))))))))))))))))))))))))))))))))))))</f>
        <v>2</v>
      </c>
      <c r="L1403" s="60">
        <f>IF(J1403="syllables",1,IF(J1403="trigrams",1,IF(J1403="strings",1,IF(J1403="visual array",1,IF(J1403="characters",1,IF(J1403="letters",1,IF(J1403="free forms",1,IF(J1403="odors",2,IF(J1403="words",2,IF(J1403="pictures",2,IF(J1403="object pictures",2,IF(J1403="faces",2,IF(J1403="names",2,IF(J1403="idioms","2",IF(J1403="grades",2,IF(J1403="syllable-digit pairs",3,IF(J1403="trigram-word pairs",3,IF(J1403="word-digit pairs",3,IF(J1403="English-Swahili pairs",3,IF(J1403="spatial position",3,IF(J1403="word pairs",4,IF(J1403="word triads",4,IF(J1403="generated words",4,IF(J1403="word definition pairs",4,IF(J1403="math problems",4,IF(J1403="famous faces",4,IF(J1403="famous names",4,IF(J1403="famous voices",4,IF(J1403="television programs",4,IF(J1403="race horses",4,IF(J1403="new vocabulary",4,IF(J1403="sentences",5,IF(J1403="concepts",5,IF(J1403="ad slides",5,IF(J1403="scenes",5,IF(J1403="famous scenes",5,IF(J1403="poems",6,IF(J1403="walk",6,IF(J1403="faces and events",6,IF(J1403="events and names",6,IF(J1403="flashbulb",7,IF(J1403="stories",7,IF(J1403="course material",7,IF(J1403="autobiographical",7,IF(J1403="novels",7,IF(J1403="public events",7,"99"))))))))))))))))))))))))))))))))))))))))))))))</f>
        <v>1</v>
      </c>
      <c r="M1403" s="60">
        <v>0</v>
      </c>
      <c r="N1403" s="60">
        <v>1</v>
      </c>
      <c r="O1403" s="60">
        <v>1</v>
      </c>
      <c r="P1403" s="60" t="s">
        <v>27</v>
      </c>
      <c r="Q1403" s="60" t="s">
        <v>174</v>
      </c>
      <c r="R1403" s="60">
        <f>IF(Q1403="Free Recall",1,IF(Q1403="Cued Recall",2,IF(Q1403="Recognition",3,IF(Q1403="Multiple Choice",4,IF(Q1403="Savings",5,IF(Q1403="Stem Completion",6,IF(Q1403="Fragment Completion",7,IF(Q1403="anagram solution",8,IF(Q1403="Matching",9,IF(Q1403="Problem Solving",10,"99"))))))))))</f>
        <v>1</v>
      </c>
      <c r="S1403" s="60" t="s">
        <v>49</v>
      </c>
      <c r="T1403" s="59" t="s">
        <v>581</v>
      </c>
      <c r="U1403" s="60">
        <f>IF(T1403="within",1,0)</f>
        <v>1</v>
      </c>
      <c r="V1403" s="59">
        <v>48</v>
      </c>
      <c r="W1403" s="60">
        <f>F1403*V1403</f>
        <v>2880</v>
      </c>
      <c r="X1403" s="60">
        <v>4</v>
      </c>
      <c r="Y1403" s="76">
        <f>AV1402</f>
        <v>2.25</v>
      </c>
      <c r="Z1403" s="60" t="s">
        <v>23</v>
      </c>
      <c r="AA1403" s="60">
        <v>27</v>
      </c>
      <c r="AB1403" s="60" t="str">
        <f>IF(AA1403&lt;60,"1",IF(AA1403&lt;=43200,"2",IF(AA1403&lt;=777600,"3","4")))</f>
        <v>1</v>
      </c>
      <c r="AC1403" s="56">
        <f>AVERAGE(AV1402:DA1402)</f>
        <v>10.6875</v>
      </c>
      <c r="AD1403" s="60" t="str">
        <f>IF(AC1403&lt;60,"1",IF(AC1403&lt;=43200,"2",IF(AC1403&lt;=777600,"3","4")))</f>
        <v>1</v>
      </c>
      <c r="AE1403" s="76">
        <f>AA1403-Y1403</f>
        <v>24.75</v>
      </c>
      <c r="AF1403" s="80">
        <f>AV1403</f>
        <v>0.94</v>
      </c>
      <c r="AG1403" s="56">
        <f>((AW1403-AV1403)+(AX1403-AW1403)+(AY1403-AX1403))/3</f>
        <v>-0.10333333333333332</v>
      </c>
      <c r="AH1403" s="4"/>
      <c r="AI1403" s="56">
        <f>RSQ(AV1403:AY1403,AV1402:AY1402)</f>
        <v>0.2327149111115385</v>
      </c>
      <c r="AJ1403" s="109">
        <f>SLOPE(AV1403:AY1403,AV1402:AY1402)</f>
        <v>-8.651059085841694E-3</v>
      </c>
      <c r="AK1403" s="56">
        <f>INTERCEPT(AV1403:AY1403,AV1402:AY1402)</f>
        <v>0.79745819397993301</v>
      </c>
      <c r="AL1403" s="56">
        <f>INDEX(LINEST(LN(AV1403:AY1403),LN(AV1402:AY1402),TRUE,TRUE),3,1)</f>
        <v>0.43493608452958726</v>
      </c>
      <c r="AM1403" s="56">
        <f>INDEX(LINEST(LN(AV1403:AY1403),LN(AV1402:AY1402)),1)</f>
        <v>-0.18527236101789452</v>
      </c>
      <c r="AN1403" s="56">
        <f>EXP(INDEX(LINEST(LN(AV1403:AY1403),LN(AV1402:AY1402)),1,2))</f>
        <v>0.9800086758403469</v>
      </c>
      <c r="AO1403" s="82">
        <f>INDEX(LINEST((AV1403:AY1403),LN(AV1402:AY1402),TRUE,TRUE),3,1)</f>
        <v>0.51649483916620587</v>
      </c>
      <c r="AP1403" s="82">
        <f>INDEX(LINEST((AV1403:AY1403),LN(AV1402:AY1402)),1)</f>
        <v>-0.13659871974841223</v>
      </c>
      <c r="AQ1403" s="83">
        <f>INDEX(LINEST(LN(AV1403:AY1403),SQRT(AV1402:AY1402),TRUE,TRUE),3,1)</f>
        <v>0.28698499201629862</v>
      </c>
      <c r="AR1403" s="116">
        <f>INDEX(LINEST(LN(AV1403:AY1403),SQRT((AV1402:AY1402))),1)</f>
        <v>-9.8670840648517971E-2</v>
      </c>
      <c r="AS1403" s="84">
        <f>INDEX(LINEST(1/(AV1403:AY1403),1/(SQRT(AV1402:AY1402)),TRUE,TRUE),3,1)</f>
        <v>0.47454507934596102</v>
      </c>
      <c r="AT1403" s="84">
        <f>INDEX(LINEST(1/(AV1403:AY1403),1/SQRT(AV1402:AY1402)),1)</f>
        <v>-1.5712367881539562</v>
      </c>
      <c r="AU1403" s="3"/>
      <c r="AV1403" s="53">
        <v>0.94</v>
      </c>
      <c r="AW1403" s="53">
        <v>0.78</v>
      </c>
      <c r="AX1403" s="53">
        <v>0.47</v>
      </c>
      <c r="AY1403" s="53">
        <v>0.63</v>
      </c>
      <c r="AZ1403" s="53"/>
      <c r="BA1403" s="53"/>
      <c r="BB1403" s="53"/>
      <c r="BC1403" s="53"/>
      <c r="BD1403" s="53"/>
      <c r="BE1403" s="53"/>
      <c r="BF1403" s="53"/>
      <c r="BG1403" s="53"/>
      <c r="BH1403" s="53"/>
      <c r="BI1403" s="53"/>
      <c r="BJ1403" s="53"/>
      <c r="BK1403" s="53"/>
      <c r="BL1403" s="53"/>
      <c r="BM1403" s="53"/>
      <c r="BN1403" s="53"/>
      <c r="BO1403" s="53"/>
      <c r="BP1403" s="53"/>
      <c r="BQ1403" s="53"/>
      <c r="BR1403" s="53"/>
      <c r="BS1403" s="53"/>
      <c r="BT1403" s="53"/>
      <c r="BU1403" s="53"/>
      <c r="BV1403" s="53"/>
      <c r="BW1403" s="53"/>
      <c r="BX1403" s="53"/>
      <c r="BY1403" s="53"/>
      <c r="BZ1403" s="53"/>
      <c r="CA1403" s="53"/>
      <c r="CB1403" s="53"/>
      <c r="CC1403" s="53"/>
      <c r="CD1403" s="53"/>
      <c r="CE1403" s="53"/>
      <c r="CF1403" s="53"/>
      <c r="CG1403" s="53"/>
      <c r="CH1403" s="53"/>
      <c r="CI1403" s="53"/>
      <c r="CJ1403" s="53"/>
      <c r="CK1403" s="53"/>
      <c r="CL1403" s="53"/>
      <c r="CM1403" s="53"/>
      <c r="CN1403" s="53"/>
      <c r="CO1403" s="53"/>
      <c r="CP1403" s="53"/>
      <c r="CQ1403" s="53"/>
      <c r="CR1403" s="1"/>
      <c r="CS1403" s="1"/>
      <c r="CT1403" s="1"/>
      <c r="CU1403" s="1"/>
    </row>
    <row r="1404" spans="1:99" s="13" customFormat="1" ht="12" customHeight="1" x14ac:dyDescent="0.2">
      <c r="A1404" s="65">
        <v>43509</v>
      </c>
      <c r="B1404" s="1"/>
      <c r="C1404" s="1"/>
      <c r="D1404" s="60"/>
      <c r="E1404" s="76"/>
      <c r="F1404" s="60"/>
      <c r="G1404" s="60"/>
      <c r="H1404" s="60"/>
      <c r="I1404" s="60"/>
      <c r="J1404" s="60"/>
      <c r="K1404" s="64"/>
      <c r="L1404" s="64"/>
      <c r="M1404" s="60"/>
      <c r="N1404" s="60"/>
      <c r="O1404" s="60"/>
      <c r="P1404" s="60"/>
      <c r="Q1404" s="60"/>
      <c r="R1404" s="60"/>
      <c r="S1404" s="60"/>
      <c r="T1404" s="60"/>
      <c r="U1404" s="60"/>
      <c r="V1404" s="60"/>
      <c r="W1404" s="60"/>
      <c r="X1404" s="60"/>
      <c r="Y1404" s="76"/>
      <c r="Z1404" s="60"/>
      <c r="AA1404" s="60"/>
      <c r="AB1404" s="60"/>
      <c r="AC1404" s="60"/>
      <c r="AD1404" s="60"/>
      <c r="AE1404" s="60"/>
      <c r="AF1404" s="80"/>
      <c r="AG1404" s="56"/>
      <c r="AH1404" s="4"/>
      <c r="AI1404" s="56"/>
      <c r="AJ1404" s="109"/>
      <c r="AK1404" s="56"/>
      <c r="AL1404" s="56"/>
      <c r="AM1404" s="56"/>
      <c r="AN1404" s="56"/>
      <c r="AO1404" s="82"/>
      <c r="AP1404" s="82"/>
      <c r="AQ1404" s="56"/>
      <c r="AR1404" s="109"/>
      <c r="AS1404" s="56"/>
      <c r="AT1404" s="56"/>
      <c r="AU1404" s="3"/>
      <c r="AV1404" s="25">
        <v>2</v>
      </c>
      <c r="AW1404" s="25">
        <v>4</v>
      </c>
      <c r="AX1404" s="25">
        <v>6</v>
      </c>
      <c r="AY1404" s="25">
        <v>8</v>
      </c>
      <c r="AZ1404" s="25"/>
      <c r="BA1404" s="53"/>
      <c r="BB1404" s="53"/>
      <c r="BC1404" s="53"/>
      <c r="BD1404" s="53"/>
      <c r="BE1404" s="53"/>
      <c r="BF1404" s="53"/>
      <c r="BG1404" s="53"/>
      <c r="BH1404" s="53"/>
      <c r="BI1404" s="53"/>
      <c r="BJ1404" s="53"/>
      <c r="BK1404" s="53"/>
      <c r="BL1404" s="53"/>
      <c r="BM1404" s="53"/>
      <c r="BN1404" s="53"/>
      <c r="BO1404" s="53"/>
      <c r="BP1404" s="53"/>
      <c r="BQ1404" s="53"/>
      <c r="BR1404" s="53"/>
      <c r="BS1404" s="53"/>
      <c r="BT1404" s="53"/>
      <c r="BU1404" s="53"/>
      <c r="BV1404" s="53"/>
      <c r="BW1404" s="53"/>
      <c r="BX1404" s="53"/>
      <c r="BY1404" s="53"/>
      <c r="BZ1404" s="53"/>
      <c r="CA1404" s="53"/>
      <c r="CB1404" s="53"/>
      <c r="CC1404" s="53"/>
      <c r="CD1404" s="53"/>
      <c r="CE1404" s="53"/>
      <c r="CF1404" s="53"/>
      <c r="CG1404" s="53"/>
      <c r="CH1404" s="53"/>
      <c r="CI1404" s="53"/>
      <c r="CJ1404" s="53"/>
      <c r="CK1404" s="53"/>
      <c r="CL1404" s="53"/>
      <c r="CM1404" s="53"/>
      <c r="CN1404" s="53"/>
      <c r="CO1404" s="53"/>
      <c r="CP1404" s="53"/>
      <c r="CQ1404" s="53"/>
      <c r="CR1404" s="1"/>
      <c r="CS1404" s="1"/>
      <c r="CT1404" s="1"/>
      <c r="CU1404" s="1"/>
    </row>
    <row r="1405" spans="1:99" s="13" customFormat="1" ht="12" customHeight="1" x14ac:dyDescent="0.2">
      <c r="A1405" s="65">
        <v>43509</v>
      </c>
      <c r="B1405" s="1" t="s">
        <v>256</v>
      </c>
      <c r="C1405" s="1" t="s">
        <v>48</v>
      </c>
      <c r="D1405" s="60">
        <v>1975</v>
      </c>
      <c r="E1405" s="76">
        <v>4</v>
      </c>
      <c r="F1405" s="60">
        <v>60</v>
      </c>
      <c r="G1405" s="60">
        <v>60</v>
      </c>
      <c r="H1405" s="60" t="s">
        <v>43</v>
      </c>
      <c r="I1405" s="60" t="s">
        <v>843</v>
      </c>
      <c r="J1405" s="60" t="s">
        <v>443</v>
      </c>
      <c r="K1405" s="60">
        <f>IF(J1405="syllables",1,IF(J1405="trigrams",2,IF(J1405="strings",3,IF(J1405="visual array",4,IF(J1405="characters",5,IF(J1405="letters",6,IF(J1405="free forms",7,IF(J1405="odors",8,IF(J1405="words",9,IF(J1405="pictures",10,IF(J1405="object pictures",11,IF(J1405="faces",12,IF(J1405="names",13,IF(J1405="idioms",14,IF(J1405="grades",15,IF(J1405="syllable-digit pairs",16,IF(J1405="trigram-word pairs",17,IF(J1405="word-digit pairs",18,IF(J1405="English-Swahili pairs",19,IF(J1405="spatial position",20,IF(J1405="word pairs",21,IF(J1405="word triads",22,IF(J1405="generated words",23,IF(J1405="word definition pairs",24,IF(J1405="math problems",25,IF(J1405="famous faces",26,IF(J1405="famous names",27,IF(J1405="famous voices",28,IF(J1405="television programs",29,IF(J1405="race horses",30,IF(J1405="new vocabulary",31,IF(J1405="sentences",32,IF(J1405="concepts",33,IF(J1405="ad slides",34,IF(J1405="scenes",35,IF(J1405="famous scenes",36,IF(J1405="poems",37,IF(J1405="walk",38,IF(J1405="faces and events",39,IF(J1405="events and names",40,IF(J1405="flashbulb",41,IF(J1405="stories",42,IF(J1405="course material",43,IF(J1405="autobiographical",44,IF(J1405="novels",45,IF(J1405="public events",46,"99"))))))))))))))))))))))))))))))))))))))))))))))</f>
        <v>2</v>
      </c>
      <c r="L1405" s="60">
        <f>IF(J1405="syllables",1,IF(J1405="trigrams",1,IF(J1405="strings",1,IF(J1405="visual array",1,IF(J1405="characters",1,IF(J1405="letters",1,IF(J1405="free forms",1,IF(J1405="odors",2,IF(J1405="words",2,IF(J1405="pictures",2,IF(J1405="object pictures",2,IF(J1405="faces",2,IF(J1405="names",2,IF(J1405="idioms","2",IF(J1405="grades",2,IF(J1405="syllable-digit pairs",3,IF(J1405="trigram-word pairs",3,IF(J1405="word-digit pairs",3,IF(J1405="English-Swahili pairs",3,IF(J1405="spatial position",3,IF(J1405="word pairs",4,IF(J1405="word triads",4,IF(J1405="generated words",4,IF(J1405="word definition pairs",4,IF(J1405="math problems",4,IF(J1405="famous faces",4,IF(J1405="famous names",4,IF(J1405="famous voices",4,IF(J1405="television programs",4,IF(J1405="race horses",4,IF(J1405="new vocabulary",4,IF(J1405="sentences",5,IF(J1405="concepts",5,IF(J1405="ad slides",5,IF(J1405="scenes",5,IF(J1405="famous scenes",5,IF(J1405="poems",6,IF(J1405="walk",6,IF(J1405="faces and events",6,IF(J1405="events and names",6,IF(J1405="flashbulb",7,IF(J1405="stories",7,IF(J1405="course material",7,IF(J1405="autobiographical",7,IF(J1405="novels",7,IF(J1405="public events",7,"99"))))))))))))))))))))))))))))))))))))))))))))))</f>
        <v>1</v>
      </c>
      <c r="M1405" s="60">
        <v>0</v>
      </c>
      <c r="N1405" s="60">
        <v>1</v>
      </c>
      <c r="O1405" s="60">
        <v>1</v>
      </c>
      <c r="P1405" s="60" t="s">
        <v>27</v>
      </c>
      <c r="Q1405" s="60" t="s">
        <v>174</v>
      </c>
      <c r="R1405" s="60">
        <f>IF(Q1405="Free Recall",1,IF(Q1405="Cued Recall",2,IF(Q1405="Recognition",3,IF(Q1405="Multiple Choice",4,IF(Q1405="Savings",5,IF(Q1405="Stem Completion",6,IF(Q1405="Fragment Completion",7,IF(Q1405="anagram solution",8,IF(Q1405="Matching",9,IF(Q1405="Problem Solving",10,"99"))))))))))</f>
        <v>1</v>
      </c>
      <c r="S1405" s="60" t="s">
        <v>49</v>
      </c>
      <c r="T1405" s="59" t="s">
        <v>581</v>
      </c>
      <c r="U1405" s="60">
        <f>IF(T1405="within",1,0)</f>
        <v>1</v>
      </c>
      <c r="V1405" s="59">
        <v>48</v>
      </c>
      <c r="W1405" s="60">
        <f>F1405*V1405</f>
        <v>2880</v>
      </c>
      <c r="X1405" s="60">
        <v>4</v>
      </c>
      <c r="Y1405" s="76">
        <f>AV1404</f>
        <v>2</v>
      </c>
      <c r="Z1405" s="60" t="s">
        <v>23</v>
      </c>
      <c r="AA1405" s="60">
        <v>27</v>
      </c>
      <c r="AB1405" s="60" t="str">
        <f>IF(AA1405&lt;60,"1",IF(AA1405&lt;=43200,"2",IF(AA1405&lt;=777600,"3","4")))</f>
        <v>1</v>
      </c>
      <c r="AC1405" s="56">
        <f>AVERAGE(AV1404:DA1404)</f>
        <v>5</v>
      </c>
      <c r="AD1405" s="60" t="str">
        <f>IF(AC1405&lt;60,"1",IF(AC1405&lt;=43200,"2",IF(AC1405&lt;=777600,"3","4")))</f>
        <v>1</v>
      </c>
      <c r="AE1405" s="76">
        <f>AA1405-Y1405</f>
        <v>25</v>
      </c>
      <c r="AF1405" s="80">
        <f>AV1405</f>
        <v>0.94</v>
      </c>
      <c r="AG1405" s="56">
        <f>((AW1405-AV1405)+(AX1405-AW1405)+(AY1405-AX1405))/3</f>
        <v>-0.23333333333333331</v>
      </c>
      <c r="AH1405" s="4"/>
      <c r="AI1405" s="56">
        <f>RSQ(AV1405:AY1405,AV1404:AY1404)</f>
        <v>0.89426784783741553</v>
      </c>
      <c r="AJ1405" s="109">
        <f>SLOPE(AV1405:AY1405,AV1404:AY1404)</f>
        <v>-0.13100000000000001</v>
      </c>
      <c r="AK1405" s="56">
        <f>INTERCEPT(AV1405:AY1405,AV1404:AY1404)</f>
        <v>1.2150000000000001</v>
      </c>
      <c r="AL1405" s="56">
        <f>INDEX(LINEST(LN(AV1405:AY1405),LN(AV1404:AY1404),TRUE,TRUE),3,1)</f>
        <v>0.83617634186442691</v>
      </c>
      <c r="AM1405" s="56">
        <f>INDEX(LINEST(LN(AV1405:AY1405),LN(AV1404:AY1404)),1)</f>
        <v>-1.0788080782104132</v>
      </c>
      <c r="AN1405" s="56">
        <f>EXP(INDEX(LINEST(LN(AV1405:AY1405),LN(AV1404:AY1404)),1,2))</f>
        <v>2.3312123656360857</v>
      </c>
      <c r="AO1405" s="82">
        <f>INDEX(LINEST((AV1405:AY1405),LN(AV1404:AY1404),TRUE,TRUE),3,1)</f>
        <v>0.87319590069850184</v>
      </c>
      <c r="AP1405" s="82">
        <f>INDEX(LINEST((AV1405:AY1405),LN(AV1404:AY1404)),1)</f>
        <v>-0.55597098479086682</v>
      </c>
      <c r="AQ1405" s="83">
        <f>INDEX(LINEST(LN(AV1405:AY1405),SQRT(AV1404:AY1404),TRUE,TRUE),3,1)</f>
        <v>0.87208099499370173</v>
      </c>
      <c r="AR1405" s="116">
        <f>INDEX(LINEST(LN(AV1405:AY1405),SQRT((AV1404:AY1404))),1)</f>
        <v>-1.0880095641807868</v>
      </c>
      <c r="AS1405" s="84">
        <f>INDEX(LINEST(1/(AV1405:AY1405),1/(SQRT(AV1404:AY1404)),TRUE,TRUE),3,1)</f>
        <v>0.74765265323320163</v>
      </c>
      <c r="AT1405" s="84">
        <f>INDEX(LINEST(1/(AV1405:AY1405),1/SQRT(AV1404:AY1404)),1)</f>
        <v>-8.9690634451356033</v>
      </c>
      <c r="AU1405" s="3"/>
      <c r="AV1405" s="53">
        <v>0.94</v>
      </c>
      <c r="AW1405" s="53">
        <v>0.79</v>
      </c>
      <c r="AX1405" s="53">
        <v>0.27</v>
      </c>
      <c r="AY1405" s="53">
        <v>0.24</v>
      </c>
      <c r="AZ1405" s="53"/>
      <c r="BA1405" s="53"/>
      <c r="BB1405" s="53"/>
      <c r="BC1405" s="53"/>
      <c r="BD1405" s="53"/>
      <c r="BE1405" s="53"/>
      <c r="BF1405" s="53"/>
      <c r="BG1405" s="53"/>
      <c r="BH1405" s="53"/>
      <c r="BI1405" s="53"/>
      <c r="BJ1405" s="53"/>
      <c r="BK1405" s="53"/>
      <c r="BL1405" s="53"/>
      <c r="BM1405" s="53"/>
      <c r="BN1405" s="53"/>
      <c r="BO1405" s="53"/>
      <c r="BP1405" s="53"/>
      <c r="BQ1405" s="53"/>
      <c r="BR1405" s="53"/>
      <c r="BS1405" s="53"/>
      <c r="BT1405" s="53"/>
      <c r="BU1405" s="53"/>
      <c r="BV1405" s="53"/>
      <c r="BW1405" s="53"/>
      <c r="BX1405" s="53"/>
      <c r="BY1405" s="53"/>
      <c r="BZ1405" s="53"/>
      <c r="CA1405" s="53"/>
      <c r="CB1405" s="53"/>
      <c r="CC1405" s="53"/>
      <c r="CD1405" s="53"/>
      <c r="CE1405" s="53"/>
      <c r="CF1405" s="53"/>
      <c r="CG1405" s="53"/>
      <c r="CH1405" s="53"/>
      <c r="CI1405" s="53"/>
      <c r="CJ1405" s="53"/>
      <c r="CK1405" s="53"/>
      <c r="CL1405" s="53"/>
      <c r="CM1405" s="53"/>
      <c r="CN1405" s="53"/>
      <c r="CO1405" s="53"/>
      <c r="CP1405" s="53"/>
      <c r="CQ1405" s="53"/>
      <c r="CR1405" s="1"/>
      <c r="CS1405" s="1"/>
      <c r="CT1405" s="1"/>
      <c r="CU1405" s="1"/>
    </row>
    <row r="1406" spans="1:99" s="13" customFormat="1" ht="12" customHeight="1" x14ac:dyDescent="0.2">
      <c r="A1406" s="65">
        <v>43509</v>
      </c>
      <c r="B1406" s="1"/>
      <c r="C1406" s="1"/>
      <c r="D1406" s="60"/>
      <c r="E1406" s="76"/>
      <c r="F1406" s="60"/>
      <c r="G1406" s="60"/>
      <c r="H1406" s="60"/>
      <c r="I1406" s="60"/>
      <c r="J1406" s="60"/>
      <c r="K1406" s="64"/>
      <c r="L1406" s="64"/>
      <c r="M1406" s="60"/>
      <c r="N1406" s="60"/>
      <c r="O1406" s="60"/>
      <c r="P1406" s="60"/>
      <c r="Q1406" s="60"/>
      <c r="R1406" s="60"/>
      <c r="S1406" s="60"/>
      <c r="T1406" s="60"/>
      <c r="U1406" s="60"/>
      <c r="V1406" s="60"/>
      <c r="W1406" s="60"/>
      <c r="X1406" s="61"/>
      <c r="Y1406" s="76"/>
      <c r="Z1406" s="60"/>
      <c r="AA1406" s="60"/>
      <c r="AB1406" s="60"/>
      <c r="AC1406" s="60"/>
      <c r="AD1406" s="60"/>
      <c r="AE1406" s="60"/>
      <c r="AF1406" s="80"/>
      <c r="AG1406" s="56"/>
      <c r="AH1406" s="4"/>
      <c r="AI1406" s="56"/>
      <c r="AJ1406" s="109"/>
      <c r="AK1406" s="56"/>
      <c r="AL1406" s="56"/>
      <c r="AM1406" s="56"/>
      <c r="AN1406" s="56"/>
      <c r="AO1406" s="56"/>
      <c r="AP1406" s="56"/>
      <c r="AQ1406" s="56"/>
      <c r="AR1406" s="109"/>
      <c r="AS1406" s="56"/>
      <c r="AT1406" s="56"/>
      <c r="AU1406" s="4"/>
      <c r="AV1406" s="25">
        <v>2</v>
      </c>
      <c r="AW1406" s="25">
        <v>4</v>
      </c>
      <c r="AX1406" s="25">
        <v>6</v>
      </c>
      <c r="AY1406" s="25">
        <v>8</v>
      </c>
      <c r="AZ1406" s="25"/>
      <c r="BA1406" s="53"/>
      <c r="BB1406" s="53"/>
      <c r="BC1406" s="53"/>
      <c r="BD1406" s="53"/>
      <c r="BE1406" s="53"/>
      <c r="BF1406" s="53"/>
      <c r="BG1406" s="53"/>
      <c r="BH1406" s="53"/>
      <c r="BI1406" s="53"/>
      <c r="BJ1406" s="53"/>
      <c r="BK1406" s="53"/>
      <c r="BL1406" s="53"/>
      <c r="BM1406" s="53"/>
      <c r="BN1406" s="53"/>
      <c r="BO1406" s="53"/>
      <c r="BP1406" s="53"/>
      <c r="BQ1406" s="53"/>
      <c r="BR1406" s="53"/>
      <c r="BS1406" s="53"/>
      <c r="BT1406" s="53"/>
      <c r="BU1406" s="53"/>
      <c r="BV1406" s="53"/>
      <c r="BW1406" s="53"/>
      <c r="BX1406" s="53"/>
      <c r="BY1406" s="53"/>
      <c r="BZ1406" s="53"/>
      <c r="CA1406" s="53"/>
      <c r="CB1406" s="53"/>
      <c r="CC1406" s="53"/>
      <c r="CD1406" s="53"/>
      <c r="CE1406" s="53"/>
      <c r="CF1406" s="53"/>
      <c r="CG1406" s="53"/>
      <c r="CH1406" s="53"/>
      <c r="CI1406" s="53"/>
      <c r="CJ1406" s="53"/>
      <c r="CK1406" s="53"/>
      <c r="CL1406" s="53"/>
      <c r="CM1406" s="53"/>
      <c r="CN1406" s="53"/>
      <c r="CO1406" s="53"/>
      <c r="CP1406" s="53"/>
      <c r="CQ1406" s="53"/>
      <c r="CR1406" s="1"/>
      <c r="CS1406" s="1"/>
      <c r="CT1406" s="1"/>
      <c r="CU1406" s="1"/>
    </row>
    <row r="1407" spans="1:99" s="13" customFormat="1" ht="12" customHeight="1" x14ac:dyDescent="0.2">
      <c r="A1407" s="65">
        <v>43509</v>
      </c>
      <c r="B1407" s="1" t="s">
        <v>256</v>
      </c>
      <c r="C1407" s="1" t="s">
        <v>48</v>
      </c>
      <c r="D1407" s="60">
        <v>1975</v>
      </c>
      <c r="E1407" s="76">
        <v>4</v>
      </c>
      <c r="F1407" s="60">
        <v>60</v>
      </c>
      <c r="G1407" s="60">
        <v>60</v>
      </c>
      <c r="H1407" s="60" t="s">
        <v>43</v>
      </c>
      <c r="I1407" s="60" t="s">
        <v>844</v>
      </c>
      <c r="J1407" s="60" t="s">
        <v>443</v>
      </c>
      <c r="K1407" s="60">
        <f>IF(J1407="syllables",1,IF(J1407="trigrams",2,IF(J1407="strings",3,IF(J1407="visual array",4,IF(J1407="characters",5,IF(J1407="letters",6,IF(J1407="free forms",7,IF(J1407="odors",8,IF(J1407="words",9,IF(J1407="pictures",10,IF(J1407="object pictures",11,IF(J1407="faces",12,IF(J1407="names",13,IF(J1407="idioms",14,IF(J1407="grades",15,IF(J1407="syllable-digit pairs",16,IF(J1407="trigram-word pairs",17,IF(J1407="word-digit pairs",18,IF(J1407="English-Swahili pairs",19,IF(J1407="spatial position",20,IF(J1407="word pairs",21,IF(J1407="word triads",22,IF(J1407="generated words",23,IF(J1407="word definition pairs",24,IF(J1407="math problems",25,IF(J1407="famous faces",26,IF(J1407="famous names",27,IF(J1407="famous voices",28,IF(J1407="television programs",29,IF(J1407="race horses",30,IF(J1407="new vocabulary",31,IF(J1407="sentences",32,IF(J1407="concepts",33,IF(J1407="ad slides",34,IF(J1407="scenes",35,IF(J1407="famous scenes",36,IF(J1407="poems",37,IF(J1407="walk",38,IF(J1407="faces and events",39,IF(J1407="events and names",40,IF(J1407="flashbulb",41,IF(J1407="stories",42,IF(J1407="course material",43,IF(J1407="autobiographical",44,IF(J1407="novels",45,IF(J1407="public events",46,"99"))))))))))))))))))))))))))))))))))))))))))))))</f>
        <v>2</v>
      </c>
      <c r="L1407" s="60">
        <f>IF(J1407="syllables",1,IF(J1407="trigrams",1,IF(J1407="strings",1,IF(J1407="visual array",1,IF(J1407="characters",1,IF(J1407="letters",1,IF(J1407="free forms",1,IF(J1407="odors",2,IF(J1407="words",2,IF(J1407="pictures",2,IF(J1407="object pictures",2,IF(J1407="faces",2,IF(J1407="names",2,IF(J1407="idioms","2",IF(J1407="grades",2,IF(J1407="syllable-digit pairs",3,IF(J1407="trigram-word pairs",3,IF(J1407="word-digit pairs",3,IF(J1407="English-Swahili pairs",3,IF(J1407="spatial position",3,IF(J1407="word pairs",4,IF(J1407="word triads",4,IF(J1407="generated words",4,IF(J1407="word definition pairs",4,IF(J1407="math problems",4,IF(J1407="famous faces",4,IF(J1407="famous names",4,IF(J1407="famous voices",4,IF(J1407="television programs",4,IF(J1407="race horses",4,IF(J1407="new vocabulary",4,IF(J1407="sentences",5,IF(J1407="concepts",5,IF(J1407="ad slides",5,IF(J1407="scenes",5,IF(J1407="famous scenes",5,IF(J1407="poems",6,IF(J1407="walk",6,IF(J1407="faces and events",6,IF(J1407="events and names",6,IF(J1407="flashbulb",7,IF(J1407="stories",7,IF(J1407="course material",7,IF(J1407="autobiographical",7,IF(J1407="novels",7,IF(J1407="public events",7,"99"))))))))))))))))))))))))))))))))))))))))))))))</f>
        <v>1</v>
      </c>
      <c r="M1407" s="60">
        <v>0</v>
      </c>
      <c r="N1407" s="60">
        <v>1</v>
      </c>
      <c r="O1407" s="60">
        <v>1</v>
      </c>
      <c r="P1407" s="60" t="s">
        <v>27</v>
      </c>
      <c r="Q1407" s="60" t="s">
        <v>174</v>
      </c>
      <c r="R1407" s="60">
        <f>IF(Q1407="Free Recall",1,IF(Q1407="Cued Recall",2,IF(Q1407="Recognition",3,IF(Q1407="Multiple Choice",4,IF(Q1407="Savings",5,IF(Q1407="Stem Completion",6,IF(Q1407="Fragment Completion",7,IF(Q1407="anagram solution",8,IF(Q1407="Matching",9,IF(Q1407="Problem Solving",10,"99"))))))))))</f>
        <v>1</v>
      </c>
      <c r="S1407" s="60" t="s">
        <v>49</v>
      </c>
      <c r="T1407" s="59" t="s">
        <v>581</v>
      </c>
      <c r="U1407" s="60">
        <f>IF(T1407="within",1,0)</f>
        <v>1</v>
      </c>
      <c r="V1407" s="59">
        <v>48</v>
      </c>
      <c r="W1407" s="60">
        <f>F1407*V1407</f>
        <v>2880</v>
      </c>
      <c r="X1407" s="60">
        <v>4</v>
      </c>
      <c r="Y1407" s="76">
        <f>AV1406</f>
        <v>2</v>
      </c>
      <c r="Z1407" s="60" t="s">
        <v>23</v>
      </c>
      <c r="AA1407" s="60">
        <v>27</v>
      </c>
      <c r="AB1407" s="60" t="str">
        <f>IF(AA1407&lt;60,"1",IF(AA1407&lt;=43200,"2",IF(AA1407&lt;=777600,"3","4")))</f>
        <v>1</v>
      </c>
      <c r="AC1407" s="56">
        <f>AVERAGE(AV1406:DA1406)</f>
        <v>5</v>
      </c>
      <c r="AD1407" s="60" t="str">
        <f>IF(AC1407&lt;60,"1",IF(AC1407&lt;=43200,"2",IF(AC1407&lt;=777600,"3","4")))</f>
        <v>1</v>
      </c>
      <c r="AE1407" s="76">
        <f>AA1407-Y1407</f>
        <v>25</v>
      </c>
      <c r="AF1407" s="80">
        <f>AV1407</f>
        <v>0.31</v>
      </c>
      <c r="AG1407" s="56">
        <f>((AW1407-AV1407)+(AX1407-AW1407)+(AY1407-AX1407))/3</f>
        <v>-5.6666666666666664E-2</v>
      </c>
      <c r="AH1407" s="4"/>
      <c r="AI1407" s="56">
        <f>RSQ(AV1407:AY1407,AV1406:AY1406)</f>
        <v>0.67202797202797215</v>
      </c>
      <c r="AJ1407" s="109">
        <f>SLOPE(AV1407:AY1407,AV1406:AY1406)</f>
        <v>-3.0999999999999993E-2</v>
      </c>
      <c r="AK1407" s="56">
        <f>INTERCEPT(AV1407:AY1407,AV1406:AY1406)</f>
        <v>0.33499999999999996</v>
      </c>
      <c r="AL1407" s="56">
        <f>INDEX(LINEST(LN(AV1407:AY1407),LN(AV1406:AY1406),TRUE,TRUE),3,1)</f>
        <v>0.66258335131642709</v>
      </c>
      <c r="AM1407" s="56">
        <f>INDEX(LINEST(LN(AV1407:AY1407),LN(AV1406:AY1406)),1)</f>
        <v>-0.76804153859349633</v>
      </c>
      <c r="AN1407" s="56">
        <f>EXP(INDEX(LINEST(LN(AV1407:AY1407),LN(AV1406:AY1406)),1,2))</f>
        <v>0.50240246528489785</v>
      </c>
      <c r="AO1407" s="82">
        <f>INDEX(LINEST((AV1407:AY1407),LN(AV1406:AY1406),TRUE,TRUE),3,1)</f>
        <v>0.8089666885596235</v>
      </c>
      <c r="AP1407" s="82">
        <f>INDEX(LINEST((AV1407:AY1407),LN(AV1406:AY1406)),1)</f>
        <v>-0.14608046198825717</v>
      </c>
      <c r="AQ1407" s="83">
        <f>INDEX(LINEST(LN(AV1407:AY1407),SQRT(AV1406:AY1406),TRUE,TRUE),3,1)</f>
        <v>0.61255856435249068</v>
      </c>
      <c r="AR1407" s="116">
        <f>INDEX(LINEST(LN(AV1407:AY1407),SQRT((AV1406:AY1406))),1)</f>
        <v>-0.72928504447157738</v>
      </c>
      <c r="AS1407" s="84">
        <f>INDEX(LINEST(1/(AV1407:AY1407),1/(SQRT(AV1406:AY1406)),TRUE,TRUE),3,1)</f>
        <v>0.49503332959234092</v>
      </c>
      <c r="AT1407" s="84">
        <f>INDEX(LINEST(1/(AV1407:AY1407),1/SQRT(AV1406:AY1406)),1)</f>
        <v>-18.012330814953355</v>
      </c>
      <c r="AU1407" s="3"/>
      <c r="AV1407" s="53">
        <v>0.31</v>
      </c>
      <c r="AW1407" s="53">
        <v>0.19</v>
      </c>
      <c r="AX1407" s="53">
        <v>0.08</v>
      </c>
      <c r="AY1407" s="53">
        <v>0.14000000000000001</v>
      </c>
      <c r="AZ1407" s="53"/>
      <c r="BA1407" s="53"/>
      <c r="BB1407" s="53"/>
      <c r="BC1407" s="53"/>
      <c r="BD1407" s="53"/>
      <c r="BE1407" s="53"/>
      <c r="BF1407" s="53"/>
      <c r="BG1407" s="53"/>
      <c r="BH1407" s="53"/>
      <c r="BI1407" s="53"/>
      <c r="BJ1407" s="53"/>
      <c r="BK1407" s="53"/>
      <c r="BL1407" s="53"/>
      <c r="BM1407" s="53"/>
      <c r="BN1407" s="53"/>
      <c r="BO1407" s="53"/>
      <c r="BP1407" s="53"/>
      <c r="BQ1407" s="53"/>
      <c r="BR1407" s="53"/>
      <c r="BS1407" s="53"/>
      <c r="BT1407" s="53"/>
      <c r="BU1407" s="53"/>
      <c r="BV1407" s="53"/>
      <c r="BW1407" s="53"/>
      <c r="BX1407" s="53"/>
      <c r="BY1407" s="53"/>
      <c r="BZ1407" s="53"/>
      <c r="CA1407" s="53"/>
      <c r="CB1407" s="53"/>
      <c r="CC1407" s="53"/>
      <c r="CD1407" s="53"/>
      <c r="CE1407" s="53"/>
      <c r="CF1407" s="53"/>
      <c r="CG1407" s="53"/>
      <c r="CH1407" s="53"/>
      <c r="CI1407" s="53"/>
      <c r="CJ1407" s="53"/>
      <c r="CK1407" s="53"/>
      <c r="CL1407" s="53"/>
      <c r="CM1407" s="53"/>
      <c r="CN1407" s="53"/>
      <c r="CO1407" s="53"/>
      <c r="CP1407" s="53"/>
      <c r="CQ1407" s="53"/>
      <c r="CR1407" s="1"/>
      <c r="CS1407" s="1"/>
      <c r="CT1407" s="1"/>
      <c r="CU1407" s="1"/>
    </row>
    <row r="1408" spans="1:99" s="13" customFormat="1" ht="12" customHeight="1" x14ac:dyDescent="0.2">
      <c r="A1408" s="65">
        <v>43509</v>
      </c>
      <c r="B1408" s="1"/>
      <c r="C1408" s="1"/>
      <c r="D1408" s="60"/>
      <c r="E1408" s="76"/>
      <c r="F1408" s="60"/>
      <c r="G1408" s="60"/>
      <c r="H1408" s="60"/>
      <c r="I1408" s="60"/>
      <c r="J1408" s="60"/>
      <c r="K1408" s="64"/>
      <c r="L1408" s="64"/>
      <c r="M1408" s="60"/>
      <c r="N1408" s="60"/>
      <c r="O1408" s="60"/>
      <c r="P1408" s="60"/>
      <c r="Q1408" s="60"/>
      <c r="R1408" s="60"/>
      <c r="S1408" s="60"/>
      <c r="T1408" s="60"/>
      <c r="U1408" s="60"/>
      <c r="V1408" s="60"/>
      <c r="W1408" s="60"/>
      <c r="X1408" s="60"/>
      <c r="Y1408" s="76"/>
      <c r="Z1408" s="60"/>
      <c r="AA1408" s="60"/>
      <c r="AB1408" s="60"/>
      <c r="AC1408" s="60"/>
      <c r="AD1408" s="60"/>
      <c r="AE1408" s="60"/>
      <c r="AF1408" s="80"/>
      <c r="AG1408" s="56"/>
      <c r="AH1408" s="4"/>
      <c r="AI1408" s="56"/>
      <c r="AJ1408" s="109"/>
      <c r="AK1408" s="56"/>
      <c r="AL1408" s="56"/>
      <c r="AM1408" s="56"/>
      <c r="AN1408" s="56"/>
      <c r="AO1408" s="82"/>
      <c r="AP1408" s="82"/>
      <c r="AQ1408" s="56"/>
      <c r="AR1408" s="109"/>
      <c r="AS1408" s="56"/>
      <c r="AT1408" s="56"/>
      <c r="AU1408" s="3"/>
      <c r="AV1408" s="25">
        <v>2</v>
      </c>
      <c r="AW1408" s="25">
        <v>4</v>
      </c>
      <c r="AX1408" s="25">
        <v>6</v>
      </c>
      <c r="AY1408" s="25">
        <v>8</v>
      </c>
      <c r="AZ1408" s="25"/>
      <c r="BA1408" s="53"/>
      <c r="BB1408" s="53"/>
      <c r="BC1408" s="53"/>
      <c r="BD1408" s="53"/>
      <c r="BE1408" s="53"/>
      <c r="BF1408" s="53"/>
      <c r="BG1408" s="53"/>
      <c r="BH1408" s="53"/>
      <c r="BI1408" s="53"/>
      <c r="BJ1408" s="53"/>
      <c r="BK1408" s="53"/>
      <c r="BL1408" s="53"/>
      <c r="BM1408" s="53"/>
      <c r="BN1408" s="53"/>
      <c r="BO1408" s="53"/>
      <c r="BP1408" s="53"/>
      <c r="BQ1408" s="53"/>
      <c r="BR1408" s="53"/>
      <c r="BS1408" s="53"/>
      <c r="BT1408" s="53"/>
      <c r="BU1408" s="53"/>
      <c r="BV1408" s="53"/>
      <c r="BW1408" s="53"/>
      <c r="BX1408" s="53"/>
      <c r="BY1408" s="53"/>
      <c r="BZ1408" s="53"/>
      <c r="CA1408" s="53"/>
      <c r="CB1408" s="53"/>
      <c r="CC1408" s="53"/>
      <c r="CD1408" s="53"/>
      <c r="CE1408" s="53"/>
      <c r="CF1408" s="53"/>
      <c r="CG1408" s="53"/>
      <c r="CH1408" s="53"/>
      <c r="CI1408" s="53"/>
      <c r="CJ1408" s="53"/>
      <c r="CK1408" s="53"/>
      <c r="CL1408" s="53"/>
      <c r="CM1408" s="53"/>
      <c r="CN1408" s="53"/>
      <c r="CO1408" s="53"/>
      <c r="CP1408" s="53"/>
      <c r="CQ1408" s="53"/>
      <c r="CR1408" s="1"/>
      <c r="CS1408" s="1"/>
      <c r="CT1408" s="1"/>
      <c r="CU1408" s="1"/>
    </row>
    <row r="1409" spans="1:99" s="13" customFormat="1" ht="12" customHeight="1" x14ac:dyDescent="0.2">
      <c r="A1409" s="65">
        <v>43509</v>
      </c>
      <c r="B1409" s="1" t="s">
        <v>256</v>
      </c>
      <c r="C1409" s="1" t="s">
        <v>48</v>
      </c>
      <c r="D1409" s="60">
        <v>1975</v>
      </c>
      <c r="E1409" s="76">
        <v>4</v>
      </c>
      <c r="F1409" s="60">
        <v>60</v>
      </c>
      <c r="G1409" s="60">
        <v>60</v>
      </c>
      <c r="H1409" s="60" t="s">
        <v>43</v>
      </c>
      <c r="I1409" s="60" t="s">
        <v>845</v>
      </c>
      <c r="J1409" s="60" t="s">
        <v>443</v>
      </c>
      <c r="K1409" s="60">
        <f>IF(J1409="syllables",1,IF(J1409="trigrams",2,IF(J1409="strings",3,IF(J1409="visual array",4,IF(J1409="characters",5,IF(J1409="letters",6,IF(J1409="free forms",7,IF(J1409="odors",8,IF(J1409="words",9,IF(J1409="pictures",10,IF(J1409="object pictures",11,IF(J1409="faces",12,IF(J1409="names",13,IF(J1409="idioms",14,IF(J1409="grades",15,IF(J1409="syllable-digit pairs",16,IF(J1409="trigram-word pairs",17,IF(J1409="word-digit pairs",18,IF(J1409="English-Swahili pairs",19,IF(J1409="spatial position",20,IF(J1409="word pairs",21,IF(J1409="word triads",22,IF(J1409="generated words",23,IF(J1409="word definition pairs",24,IF(J1409="math problems",25,IF(J1409="famous faces",26,IF(J1409="famous names",27,IF(J1409="famous voices",28,IF(J1409="television programs",29,IF(J1409="race horses",30,IF(J1409="new vocabulary",31,IF(J1409="sentences",32,IF(J1409="concepts",33,IF(J1409="ad slides",34,IF(J1409="scenes",35,IF(J1409="famous scenes",36,IF(J1409="poems",37,IF(J1409="walk",38,IF(J1409="faces and events",39,IF(J1409="events and names",40,IF(J1409="flashbulb",41,IF(J1409="stories",42,IF(J1409="course material",43,IF(J1409="autobiographical",44,IF(J1409="novels",45,IF(J1409="public events",46,"99"))))))))))))))))))))))))))))))))))))))))))))))</f>
        <v>2</v>
      </c>
      <c r="L1409" s="60">
        <f>IF(J1409="syllables",1,IF(J1409="trigrams",1,IF(J1409="strings",1,IF(J1409="visual array",1,IF(J1409="characters",1,IF(J1409="letters",1,IF(J1409="free forms",1,IF(J1409="odors",2,IF(J1409="words",2,IF(J1409="pictures",2,IF(J1409="object pictures",2,IF(J1409="faces",2,IF(J1409="names",2,IF(J1409="idioms","2",IF(J1409="grades",2,IF(J1409="syllable-digit pairs",3,IF(J1409="trigram-word pairs",3,IF(J1409="word-digit pairs",3,IF(J1409="English-Swahili pairs",3,IF(J1409="spatial position",3,IF(J1409="word pairs",4,IF(J1409="word triads",4,IF(J1409="generated words",4,IF(J1409="word definition pairs",4,IF(J1409="math problems",4,IF(J1409="famous faces",4,IF(J1409="famous names",4,IF(J1409="famous voices",4,IF(J1409="television programs",4,IF(J1409="race horses",4,IF(J1409="new vocabulary",4,IF(J1409="sentences",5,IF(J1409="concepts",5,IF(J1409="ad slides",5,IF(J1409="scenes",5,IF(J1409="famous scenes",5,IF(J1409="poems",6,IF(J1409="walk",6,IF(J1409="faces and events",6,IF(J1409="events and names",6,IF(J1409="flashbulb",7,IF(J1409="stories",7,IF(J1409="course material",7,IF(J1409="autobiographical",7,IF(J1409="novels",7,IF(J1409="public events",7,"99"))))))))))))))))))))))))))))))))))))))))))))))</f>
        <v>1</v>
      </c>
      <c r="M1409" s="60">
        <v>0</v>
      </c>
      <c r="N1409" s="60">
        <v>1</v>
      </c>
      <c r="O1409" s="60">
        <v>1</v>
      </c>
      <c r="P1409" s="60" t="s">
        <v>27</v>
      </c>
      <c r="Q1409" s="60" t="s">
        <v>174</v>
      </c>
      <c r="R1409" s="60">
        <f>IF(Q1409="Free Recall",1,IF(Q1409="Cued Recall",2,IF(Q1409="Recognition",3,IF(Q1409="Multiple Choice",4,IF(Q1409="Savings",5,IF(Q1409="Stem Completion",6,IF(Q1409="Fragment Completion",7,IF(Q1409="anagram solution",8,IF(Q1409="Matching",9,IF(Q1409="Problem Solving",10,"99"))))))))))</f>
        <v>1</v>
      </c>
      <c r="S1409" s="60" t="s">
        <v>49</v>
      </c>
      <c r="T1409" s="59" t="s">
        <v>581</v>
      </c>
      <c r="U1409" s="60">
        <f>IF(T1409="within",1,0)</f>
        <v>1</v>
      </c>
      <c r="V1409" s="59">
        <v>48</v>
      </c>
      <c r="W1409" s="60">
        <f>F1409*V1409</f>
        <v>2880</v>
      </c>
      <c r="X1409" s="60">
        <v>4</v>
      </c>
      <c r="Y1409" s="76">
        <f>AV1408</f>
        <v>2</v>
      </c>
      <c r="Z1409" s="60" t="s">
        <v>23</v>
      </c>
      <c r="AA1409" s="60">
        <v>27</v>
      </c>
      <c r="AB1409" s="60" t="str">
        <f>IF(AA1409&lt;60,"1",IF(AA1409&lt;=43200,"2",IF(AA1409&lt;=777600,"3","4")))</f>
        <v>1</v>
      </c>
      <c r="AC1409" s="56">
        <f>AVERAGE(AV1408:DA1408)</f>
        <v>5</v>
      </c>
      <c r="AD1409" s="60" t="str">
        <f>IF(AC1409&lt;60,"1",IF(AC1409&lt;=43200,"2",IF(AC1409&lt;=777600,"3","4")))</f>
        <v>1</v>
      </c>
      <c r="AE1409" s="76">
        <f>AA1409-Y1409</f>
        <v>25</v>
      </c>
      <c r="AF1409" s="80">
        <f>AV1409</f>
        <v>0.31</v>
      </c>
      <c r="AG1409" s="56">
        <f>((AW1409-AV1409)+(AX1409-AW1409)+(AY1409-AX1409))/3</f>
        <v>-4.3333333333333335E-2</v>
      </c>
      <c r="AH1409" s="4"/>
      <c r="AI1409" s="56">
        <f>RSQ(AV1409:AY1409,AV1408:AY1408)</f>
        <v>0.62151260504201677</v>
      </c>
      <c r="AJ1409" s="109">
        <f>SLOPE(AV1409:AY1409,AV1408:AY1408)</f>
        <v>-2.1499999999999998E-2</v>
      </c>
      <c r="AK1409" s="56">
        <f>INTERCEPT(AV1409:AY1409,AV1408:AY1408)</f>
        <v>0.315</v>
      </c>
      <c r="AL1409" s="56">
        <f>INDEX(LINEST(LN(AV1409:AY1409),LN(AV1408:AY1408),TRUE,TRUE),3,1)</f>
        <v>0.77636629501344612</v>
      </c>
      <c r="AM1409" s="56">
        <f>INDEX(LINEST(LN(AV1409:AY1409),LN(AV1408:AY1408)),1)</f>
        <v>-0.45455704407487479</v>
      </c>
      <c r="AN1409" s="56">
        <f>EXP(INDEX(LINEST(LN(AV1409:AY1409),LN(AV1408:AY1408)),1,2))</f>
        <v>0.39269127796878794</v>
      </c>
      <c r="AO1409" s="82">
        <f>INDEX(LINEST((AV1409:AY1409),LN(AV1408:AY1408),TRUE,TRUE),3,1)</f>
        <v>0.79769297923927029</v>
      </c>
      <c r="AP1409" s="82">
        <f>INDEX(LINEST((AV1409:AY1409),LN(AV1408:AY1408)),1)</f>
        <v>-0.1046140871507537</v>
      </c>
      <c r="AQ1409" s="83">
        <f>INDEX(LINEST(LN(AV1409:AY1409),SQRT(AV1408:AY1408),TRUE,TRUE),3,1)</f>
        <v>0.69527264945711642</v>
      </c>
      <c r="AR1409" s="116">
        <f>INDEX(LINEST(LN(AV1409:AY1409),SQRT((AV1408:AY1408))),1)</f>
        <v>-0.42480701387346753</v>
      </c>
      <c r="AS1409" s="84">
        <f>INDEX(LINEST(1/(AV1409:AY1409),1/(SQRT(AV1408:AY1408)),TRUE,TRUE),3,1)</f>
        <v>0.79353786685814165</v>
      </c>
      <c r="AT1409" s="84">
        <f>INDEX(LINEST(1/(AV1409:AY1409),1/SQRT(AV1408:AY1408)),1)</f>
        <v>-8.2215497434912859</v>
      </c>
      <c r="AU1409" s="3"/>
      <c r="AV1409" s="53">
        <v>0.31</v>
      </c>
      <c r="AW1409" s="53">
        <v>0.19</v>
      </c>
      <c r="AX1409" s="53">
        <v>0.15</v>
      </c>
      <c r="AY1409" s="53">
        <v>0.18</v>
      </c>
      <c r="AZ1409" s="53"/>
      <c r="BA1409" s="53"/>
      <c r="BB1409" s="53"/>
      <c r="BC1409" s="53"/>
      <c r="BD1409" s="53"/>
      <c r="BE1409" s="53"/>
      <c r="BF1409" s="53"/>
      <c r="BG1409" s="53"/>
      <c r="BH1409" s="53"/>
      <c r="BI1409" s="53"/>
      <c r="BJ1409" s="53"/>
      <c r="BK1409" s="53"/>
      <c r="BL1409" s="53"/>
      <c r="BM1409" s="53"/>
      <c r="BN1409" s="53"/>
      <c r="BO1409" s="53"/>
      <c r="BP1409" s="53"/>
      <c r="BQ1409" s="53"/>
      <c r="BR1409" s="53"/>
      <c r="BS1409" s="53"/>
      <c r="BT1409" s="53"/>
      <c r="BU1409" s="53"/>
      <c r="BV1409" s="53"/>
      <c r="BW1409" s="53"/>
      <c r="BX1409" s="53"/>
      <c r="BY1409" s="53"/>
      <c r="BZ1409" s="53"/>
      <c r="CA1409" s="53"/>
      <c r="CB1409" s="53"/>
      <c r="CC1409" s="53"/>
      <c r="CD1409" s="53"/>
      <c r="CE1409" s="53"/>
      <c r="CF1409" s="53"/>
      <c r="CG1409" s="53"/>
      <c r="CH1409" s="53"/>
      <c r="CI1409" s="53"/>
      <c r="CJ1409" s="53"/>
      <c r="CK1409" s="53"/>
      <c r="CL1409" s="53"/>
      <c r="CM1409" s="53"/>
      <c r="CN1409" s="53"/>
      <c r="CO1409" s="53"/>
      <c r="CP1409" s="53"/>
      <c r="CQ1409" s="53"/>
      <c r="CR1409" s="1"/>
      <c r="CS1409" s="1"/>
      <c r="CT1409" s="1"/>
      <c r="CU1409" s="1"/>
    </row>
    <row r="1410" spans="1:99" s="13" customFormat="1" ht="12" customHeight="1" x14ac:dyDescent="0.2">
      <c r="A1410" s="68">
        <v>43916</v>
      </c>
      <c r="B1410" s="70"/>
      <c r="C1410" s="70"/>
      <c r="D1410" s="69"/>
      <c r="E1410" s="87"/>
      <c r="F1410" s="69"/>
      <c r="G1410" s="69"/>
      <c r="H1410" s="69"/>
      <c r="I1410" s="69"/>
      <c r="J1410" s="69"/>
      <c r="K1410" s="107"/>
      <c r="L1410" s="107"/>
      <c r="M1410" s="69"/>
      <c r="N1410" s="69"/>
      <c r="O1410" s="69"/>
      <c r="P1410" s="69"/>
      <c r="Q1410" s="69"/>
      <c r="R1410" s="69"/>
      <c r="S1410" s="69"/>
      <c r="T1410" s="69"/>
      <c r="U1410" s="69"/>
      <c r="V1410" s="92"/>
      <c r="W1410" s="69"/>
      <c r="X1410" s="69"/>
      <c r="Y1410" s="87"/>
      <c r="Z1410" s="69"/>
      <c r="AA1410" s="69"/>
      <c r="AB1410" s="69"/>
      <c r="AC1410" s="69"/>
      <c r="AD1410" s="69"/>
      <c r="AE1410" s="69"/>
      <c r="AF1410" s="88"/>
      <c r="AG1410" s="72"/>
      <c r="AH1410" s="4"/>
      <c r="AI1410" s="72"/>
      <c r="AJ1410" s="110"/>
      <c r="AK1410" s="72"/>
      <c r="AL1410" s="72"/>
      <c r="AM1410" s="72"/>
      <c r="AN1410" s="72"/>
      <c r="AO1410" s="72"/>
      <c r="AP1410" s="72"/>
      <c r="AQ1410" s="89"/>
      <c r="AR1410" s="118"/>
      <c r="AS1410" s="89"/>
      <c r="AT1410" s="89"/>
      <c r="AU1410" s="4"/>
      <c r="AV1410" s="25">
        <v>0.01</v>
      </c>
      <c r="AW1410" s="25">
        <v>5</v>
      </c>
      <c r="AX1410" s="25">
        <v>15</v>
      </c>
      <c r="AY1410" s="53"/>
      <c r="AZ1410" s="53"/>
      <c r="BA1410" s="53"/>
      <c r="BB1410" s="53"/>
      <c r="BC1410" s="53"/>
      <c r="BD1410" s="53"/>
      <c r="BE1410" s="53"/>
      <c r="BF1410" s="53"/>
      <c r="BG1410" s="53"/>
      <c r="BH1410" s="53"/>
      <c r="BI1410" s="53"/>
      <c r="BJ1410" s="53"/>
      <c r="BK1410" s="53"/>
      <c r="BL1410" s="53"/>
      <c r="BM1410" s="53"/>
      <c r="BN1410" s="53"/>
      <c r="BO1410" s="53"/>
      <c r="BP1410" s="53"/>
      <c r="BQ1410" s="53"/>
      <c r="BR1410" s="53"/>
      <c r="BS1410" s="53"/>
      <c r="BT1410" s="53"/>
      <c r="BU1410" s="53"/>
      <c r="BV1410" s="53"/>
      <c r="BW1410" s="53"/>
      <c r="BX1410" s="53"/>
      <c r="BY1410" s="53"/>
      <c r="BZ1410" s="53"/>
      <c r="CA1410" s="53"/>
      <c r="CB1410" s="53"/>
      <c r="CC1410" s="53"/>
      <c r="CD1410" s="53"/>
      <c r="CE1410" s="53"/>
      <c r="CF1410" s="53"/>
      <c r="CG1410" s="53"/>
      <c r="CH1410" s="53"/>
      <c r="CI1410" s="53"/>
      <c r="CJ1410" s="53"/>
      <c r="CK1410" s="53"/>
      <c r="CL1410" s="53"/>
      <c r="CM1410" s="53"/>
      <c r="CN1410" s="53"/>
      <c r="CO1410" s="53"/>
      <c r="CP1410" s="53"/>
      <c r="CQ1410" s="53"/>
      <c r="CR1410" s="1"/>
      <c r="CS1410" s="1"/>
      <c r="CT1410" s="1"/>
      <c r="CU1410" s="1"/>
    </row>
    <row r="1411" spans="1:99" s="13" customFormat="1" ht="12" customHeight="1" x14ac:dyDescent="0.2">
      <c r="A1411" s="68">
        <v>43916</v>
      </c>
      <c r="B1411" s="70" t="s">
        <v>548</v>
      </c>
      <c r="C1411" s="70" t="s">
        <v>48</v>
      </c>
      <c r="D1411" s="69">
        <v>1982</v>
      </c>
      <c r="E1411" s="87">
        <v>1</v>
      </c>
      <c r="F1411" s="69">
        <v>12</v>
      </c>
      <c r="G1411" s="69">
        <v>12</v>
      </c>
      <c r="H1411" s="69" t="s">
        <v>50</v>
      </c>
      <c r="I1411" s="69" t="s">
        <v>479</v>
      </c>
      <c r="J1411" s="69" t="s">
        <v>443</v>
      </c>
      <c r="K1411" s="69">
        <f>IF(J1411="syllables",1,IF(J1411="trigrams",2,IF(J1411="strings",3,IF(J1411="visual array",4,IF(J1411="characters",5,IF(J1411="letters",6,IF(J1411="free forms",7,IF(J1411="odors",8,IF(J1411="words",9,IF(J1411="pictures",10,IF(J1411="object pictures",11,IF(J1411="faces",12,IF(J1411="names",13,IF(J1411="idioms",14,IF(J1411="grades",15,IF(J1411="syllable-digit pairs",16,IF(J1411="trigram-word pairs",17,IF(J1411="word-digit pairs",18,IF(J1411="English-Swahili pairs",19,IF(J1411="spatial position",20,IF(J1411="word pairs",21,IF(J1411="word triads",22,IF(J1411="generated words",23,IF(J1411="word definition pairs",24,IF(J1411="math problems",25,IF(J1411="famous faces",26,IF(J1411="famous names",27,IF(J1411="famous voices",28,IF(J1411="television programs",29,IF(J1411="race horses",30,IF(J1411="new vocabulary",31,IF(J1411="sentences",32,IF(J1411="concepts",33,IF(J1411="ad slides",34,IF(J1411="scenes",35,IF(J1411="famous scenes",36,IF(J1411="poems",37,IF(J1411="walk",38,IF(J1411="faces and events",39,IF(J1411="events and names",40,IF(J1411="flashbulb",41,IF(J1411="stories",42,IF(J1411="course material",43,IF(J1411="autobiographical",44,IF(J1411="novels",45,IF(J1411="public events",46,"99"))))))))))))))))))))))))))))))))))))))))))))))</f>
        <v>2</v>
      </c>
      <c r="L1411" s="69">
        <f>IF(J1411="syllables",1,IF(J1411="trigrams",1,IF(J1411="strings",1,IF(J1411="visual array",1,IF(J1411="characters",1,IF(J1411="letters",1,IF(J1411="free forms",1,IF(J1411="odors",2,IF(J1411="words",2,IF(J1411="pictures",2,IF(J1411="object pictures",2,IF(J1411="faces",2,IF(J1411="names",2,IF(J1411="idioms","2",IF(J1411="grades",2,IF(J1411="syllable-digit pairs",3,IF(J1411="trigram-word pairs",3,IF(J1411="word-digit pairs",3,IF(J1411="English-Swahili pairs",3,IF(J1411="spatial position",3,IF(J1411="word pairs",4,IF(J1411="word triads",4,IF(J1411="generated words",4,IF(J1411="word definition pairs",4,IF(J1411="math problems",4,IF(J1411="famous faces",4,IF(J1411="famous names",4,IF(J1411="famous voices",4,IF(J1411="television programs",4,IF(J1411="race horses",4,IF(J1411="new vocabulary",4,IF(J1411="sentences",5,IF(J1411="concepts",5,IF(J1411="ad slides",5,IF(J1411="scenes",5,IF(J1411="famous scenes",5,IF(J1411="poems",6,IF(J1411="walk",6,IF(J1411="faces and events",6,IF(J1411="events and names",6,IF(J1411="flashbulb",7,IF(J1411="stories",7,IF(J1411="course material",7,IF(J1411="autobiographical",7,IF(J1411="novels",7,IF(J1411="public events",7,"99"))))))))))))))))))))))))))))))))))))))))))))))</f>
        <v>1</v>
      </c>
      <c r="M1411" s="69">
        <v>0</v>
      </c>
      <c r="N1411" s="69">
        <v>1</v>
      </c>
      <c r="O1411" s="69">
        <v>0</v>
      </c>
      <c r="P1411" s="69"/>
      <c r="Q1411" s="69" t="s">
        <v>174</v>
      </c>
      <c r="R1411" s="69">
        <f>IF(Q1411="Free Recall",1,IF(Q1411="Cued Recall",2,IF(Q1411="Recognition",3,IF(Q1411="Multiple Choice",4,IF(Q1411="Savings",5,IF(Q1411="Stem Completion",6,IF(Q1411="Fragment Completion",7,IF(Q1411="anagram solution",8,IF(Q1411="Matching",9,IF(Q1411="Problem Solving",10,"99"))))))))))</f>
        <v>1</v>
      </c>
      <c r="S1411" s="69" t="s">
        <v>49</v>
      </c>
      <c r="T1411" s="92" t="s">
        <v>581</v>
      </c>
      <c r="U1411" s="69">
        <f>IF(T1411="within",1,0)</f>
        <v>1</v>
      </c>
      <c r="V1411" s="92">
        <v>30</v>
      </c>
      <c r="W1411" s="69">
        <f>F1411*V1411</f>
        <v>360</v>
      </c>
      <c r="X1411" s="69">
        <v>3</v>
      </c>
      <c r="Y1411" s="87">
        <f>AV1410</f>
        <v>0.01</v>
      </c>
      <c r="Z1411" s="69" t="s">
        <v>549</v>
      </c>
      <c r="AA1411" s="69">
        <v>15</v>
      </c>
      <c r="AB1411" s="69" t="str">
        <f>IF(AA1411&lt;60,"1",IF(AA1411&lt;=43200,"2",IF(AA1411&lt;=777600,"3","4")))</f>
        <v>1</v>
      </c>
      <c r="AC1411" s="72">
        <f>AVERAGE(AV1410:DA1410)</f>
        <v>6.669999999999999</v>
      </c>
      <c r="AD1411" s="69" t="str">
        <f>IF(AC1411&lt;60,"1",IF(AC1411&lt;=43200,"2",IF(AC1411&lt;=777600,"3","4")))</f>
        <v>1</v>
      </c>
      <c r="AE1411" s="87">
        <f>AA1411-Y1411</f>
        <v>14.99</v>
      </c>
      <c r="AF1411" s="88">
        <f>AV1411</f>
        <v>0.96</v>
      </c>
      <c r="AG1411" s="72">
        <f>((AW1411-AV1411)+(AX1411-AW1411))/2</f>
        <v>1.0000000000000009E-2</v>
      </c>
      <c r="AH1411" s="4"/>
      <c r="AI1411" s="72">
        <f>RSQ(AV1411:AX1411,AV1410:AX1410)</f>
        <v>0.2495713062275953</v>
      </c>
      <c r="AJ1411" s="110">
        <f>SLOPE(AV1411:AX1411,AV1410:AX1410)</f>
        <v>9.9971338689165581E-4</v>
      </c>
      <c r="AK1411" s="72">
        <f>INTERCEPT(AV1411:AX1411,AV1410:AX1410)</f>
        <v>0.96999857837609926</v>
      </c>
      <c r="AL1411" s="72">
        <f>INDEX(LINEST(LN(AV1411:AX1411),LN(AV1410:AX1410),TRUE,TRUE),3,1)</f>
        <v>0.79535631576865762</v>
      </c>
      <c r="AM1411" s="72">
        <f>INDEX(LINEST(LN(AV1411:AX1411),LN(AV1410:AX1410)),1)</f>
        <v>3.5459047130664565E-3</v>
      </c>
      <c r="AN1411" s="72">
        <f>EXP(INDEX(LINEST(LN(AV1411:AX1411),LN(AV1410:AX1410)),1,2))</f>
        <v>0.97691889163605794</v>
      </c>
      <c r="AO1411" s="89">
        <f>INDEX(LINEST((AV1411:AX1411),LN(AV1410:AX1410),TRUE,TRUE),3,1)</f>
        <v>0.79228888171091016</v>
      </c>
      <c r="AP1411" s="89">
        <f>INDEX(LINEST((AV1411:AX1411),LN(AV1410:AX1410)),1)</f>
        <v>3.4477695067564817E-3</v>
      </c>
      <c r="AQ1411" s="90">
        <f>INDEX(LINEST(LN(AV1411:AX1411),SQRT(AV1410:AX1410),TRUE,TRUE),3,1)</f>
        <v>0.50835034712800753</v>
      </c>
      <c r="AR1411" s="117">
        <f>INDEX(LINEST(LN(AV1411:AX1411),SQRT((AV1410:AX1410))),1)</f>
        <v>5.9088318307562717E-3</v>
      </c>
      <c r="AS1411" s="91">
        <f>INDEX(LINEST(1/(AV1411:AX1411),1/(SQRT(AV1410:AX1410)),TRUE,TRUE),3,1)</f>
        <v>0.88697168117652303</v>
      </c>
      <c r="AT1411" s="91">
        <f>INDEX(LINEST(1/(AV1411:AX1411),1/SQRT(AV1410:AX1410)),1)</f>
        <v>2.7212879729933068E-3</v>
      </c>
      <c r="AU1411" s="3"/>
      <c r="AV1411" s="53">
        <v>0.96</v>
      </c>
      <c r="AW1411" s="53">
        <v>0.99</v>
      </c>
      <c r="AX1411" s="53">
        <v>0.98</v>
      </c>
      <c r="AY1411" s="53"/>
      <c r="AZ1411" s="53"/>
      <c r="BA1411" s="53"/>
      <c r="BB1411" s="53"/>
      <c r="BC1411" s="53"/>
      <c r="BD1411" s="53"/>
      <c r="BE1411" s="53"/>
      <c r="BF1411" s="53"/>
      <c r="BG1411" s="53"/>
      <c r="BH1411" s="53"/>
      <c r="BI1411" s="53"/>
      <c r="BJ1411" s="53"/>
      <c r="BK1411" s="53"/>
      <c r="BL1411" s="53"/>
      <c r="BM1411" s="53"/>
      <c r="BN1411" s="53"/>
      <c r="BO1411" s="53"/>
      <c r="BP1411" s="53"/>
      <c r="BQ1411" s="53"/>
      <c r="BR1411" s="53"/>
      <c r="BS1411" s="53"/>
      <c r="BT1411" s="53"/>
      <c r="BU1411" s="53"/>
      <c r="BV1411" s="53"/>
      <c r="BW1411" s="53"/>
      <c r="BX1411" s="53"/>
      <c r="BY1411" s="53"/>
      <c r="BZ1411" s="53"/>
      <c r="CA1411" s="53"/>
      <c r="CB1411" s="53"/>
      <c r="CC1411" s="53"/>
      <c r="CD1411" s="53"/>
      <c r="CE1411" s="53"/>
      <c r="CF1411" s="53"/>
      <c r="CG1411" s="53"/>
      <c r="CH1411" s="53"/>
      <c r="CI1411" s="53"/>
      <c r="CJ1411" s="53"/>
      <c r="CK1411" s="53"/>
      <c r="CL1411" s="53"/>
      <c r="CM1411" s="53"/>
      <c r="CN1411" s="53"/>
      <c r="CO1411" s="53"/>
      <c r="CP1411" s="53"/>
      <c r="CQ1411" s="53"/>
      <c r="CR1411" s="1"/>
      <c r="CS1411" s="1"/>
      <c r="CT1411" s="1"/>
      <c r="CU1411" s="1"/>
    </row>
    <row r="1412" spans="1:99" s="13" customFormat="1" ht="12" customHeight="1" x14ac:dyDescent="0.2">
      <c r="A1412" s="68">
        <v>43916</v>
      </c>
      <c r="B1412" s="70"/>
      <c r="C1412" s="70"/>
      <c r="D1412" s="69"/>
      <c r="E1412" s="87"/>
      <c r="F1412" s="69"/>
      <c r="G1412" s="69"/>
      <c r="H1412" s="69"/>
      <c r="I1412" s="69"/>
      <c r="J1412" s="69"/>
      <c r="K1412" s="107"/>
      <c r="L1412" s="107"/>
      <c r="M1412" s="69"/>
      <c r="N1412" s="69"/>
      <c r="O1412" s="69"/>
      <c r="P1412" s="69"/>
      <c r="Q1412" s="69"/>
      <c r="R1412" s="69"/>
      <c r="S1412" s="69"/>
      <c r="T1412" s="69"/>
      <c r="U1412" s="69"/>
      <c r="V1412" s="92"/>
      <c r="W1412" s="69"/>
      <c r="X1412" s="69"/>
      <c r="Y1412" s="87"/>
      <c r="Z1412" s="69"/>
      <c r="AA1412" s="69"/>
      <c r="AB1412" s="69"/>
      <c r="AC1412" s="69"/>
      <c r="AD1412" s="69"/>
      <c r="AE1412" s="69"/>
      <c r="AF1412" s="88"/>
      <c r="AG1412" s="72"/>
      <c r="AH1412" s="4"/>
      <c r="AI1412" s="72"/>
      <c r="AJ1412" s="110"/>
      <c r="AK1412" s="72"/>
      <c r="AL1412" s="72"/>
      <c r="AM1412" s="72"/>
      <c r="AN1412" s="72"/>
      <c r="AO1412" s="72"/>
      <c r="AP1412" s="72"/>
      <c r="AQ1412" s="89"/>
      <c r="AR1412" s="118"/>
      <c r="AS1412" s="89"/>
      <c r="AT1412" s="89"/>
      <c r="AU1412" s="4"/>
      <c r="AV1412" s="25">
        <v>0.01</v>
      </c>
      <c r="AW1412" s="25">
        <v>5</v>
      </c>
      <c r="AX1412" s="25">
        <v>15</v>
      </c>
      <c r="AY1412" s="53"/>
      <c r="AZ1412" s="53"/>
      <c r="BA1412" s="53"/>
      <c r="BB1412" s="53"/>
      <c r="BC1412" s="53"/>
      <c r="BD1412" s="53"/>
      <c r="BE1412" s="53"/>
      <c r="BF1412" s="53"/>
      <c r="BG1412" s="53"/>
      <c r="BH1412" s="53"/>
      <c r="BI1412" s="53"/>
      <c r="BJ1412" s="53"/>
      <c r="BK1412" s="53"/>
      <c r="BL1412" s="53"/>
      <c r="BM1412" s="53"/>
      <c r="BN1412" s="53"/>
      <c r="BO1412" s="53"/>
      <c r="BP1412" s="53"/>
      <c r="BQ1412" s="53"/>
      <c r="BR1412" s="53"/>
      <c r="BS1412" s="53"/>
      <c r="BT1412" s="53"/>
      <c r="BU1412" s="53"/>
      <c r="BV1412" s="53"/>
      <c r="BW1412" s="53"/>
      <c r="BX1412" s="53"/>
      <c r="BY1412" s="53"/>
      <c r="BZ1412" s="53"/>
      <c r="CA1412" s="53"/>
      <c r="CB1412" s="53"/>
      <c r="CC1412" s="53"/>
      <c r="CD1412" s="53"/>
      <c r="CE1412" s="53"/>
      <c r="CF1412" s="53"/>
      <c r="CG1412" s="53"/>
      <c r="CH1412" s="53"/>
      <c r="CI1412" s="53"/>
      <c r="CJ1412" s="53"/>
      <c r="CK1412" s="53"/>
      <c r="CL1412" s="53"/>
      <c r="CM1412" s="53"/>
      <c r="CN1412" s="53"/>
      <c r="CO1412" s="53"/>
      <c r="CP1412" s="53"/>
      <c r="CQ1412" s="53"/>
      <c r="CR1412" s="1"/>
      <c r="CS1412" s="1"/>
      <c r="CT1412" s="1"/>
      <c r="CU1412" s="1"/>
    </row>
    <row r="1413" spans="1:99" s="13" customFormat="1" ht="12" customHeight="1" x14ac:dyDescent="0.2">
      <c r="A1413" s="68">
        <v>43916</v>
      </c>
      <c r="B1413" s="70" t="s">
        <v>548</v>
      </c>
      <c r="C1413" s="70" t="s">
        <v>48</v>
      </c>
      <c r="D1413" s="69">
        <v>1982</v>
      </c>
      <c r="E1413" s="87">
        <v>1</v>
      </c>
      <c r="F1413" s="69">
        <v>12</v>
      </c>
      <c r="G1413" s="69">
        <v>12</v>
      </c>
      <c r="H1413" s="69" t="s">
        <v>50</v>
      </c>
      <c r="I1413" s="69" t="s">
        <v>846</v>
      </c>
      <c r="J1413" s="69" t="s">
        <v>443</v>
      </c>
      <c r="K1413" s="69">
        <f>IF(J1413="syllables",1,IF(J1413="trigrams",2,IF(J1413="strings",3,IF(J1413="visual array",4,IF(J1413="characters",5,IF(J1413="letters",6,IF(J1413="free forms",7,IF(J1413="odors",8,IF(J1413="words",9,IF(J1413="pictures",10,IF(J1413="object pictures",11,IF(J1413="faces",12,IF(J1413="names",13,IF(J1413="idioms",14,IF(J1413="grades",15,IF(J1413="syllable-digit pairs",16,IF(J1413="trigram-word pairs",17,IF(J1413="word-digit pairs",18,IF(J1413="English-Swahili pairs",19,IF(J1413="spatial position",20,IF(J1413="word pairs",21,IF(J1413="word triads",22,IF(J1413="generated words",23,IF(J1413="word definition pairs",24,IF(J1413="math problems",25,IF(J1413="famous faces",26,IF(J1413="famous names",27,IF(J1413="famous voices",28,IF(J1413="television programs",29,IF(J1413="race horses",30,IF(J1413="new vocabulary",31,IF(J1413="sentences",32,IF(J1413="concepts",33,IF(J1413="ad slides",34,IF(J1413="scenes",35,IF(J1413="famous scenes",36,IF(J1413="poems",37,IF(J1413="walk",38,IF(J1413="faces and events",39,IF(J1413="events and names",40,IF(J1413="flashbulb",41,IF(J1413="stories",42,IF(J1413="course material",43,IF(J1413="autobiographical",44,IF(J1413="novels",45,IF(J1413="public events",46,"99"))))))))))))))))))))))))))))))))))))))))))))))</f>
        <v>2</v>
      </c>
      <c r="L1413" s="69">
        <f>IF(J1413="syllables",1,IF(J1413="trigrams",1,IF(J1413="strings",1,IF(J1413="visual array",1,IF(J1413="characters",1,IF(J1413="letters",1,IF(J1413="free forms",1,IF(J1413="odors",2,IF(J1413="words",2,IF(J1413="pictures",2,IF(J1413="object pictures",2,IF(J1413="faces",2,IF(J1413="names",2,IF(J1413="idioms","2",IF(J1413="grades",2,IF(J1413="syllable-digit pairs",3,IF(J1413="trigram-word pairs",3,IF(J1413="word-digit pairs",3,IF(J1413="English-Swahili pairs",3,IF(J1413="spatial position",3,IF(J1413="word pairs",4,IF(J1413="word triads",4,IF(J1413="generated words",4,IF(J1413="word definition pairs",4,IF(J1413="math problems",4,IF(J1413="famous faces",4,IF(J1413="famous names",4,IF(J1413="famous voices",4,IF(J1413="television programs",4,IF(J1413="race horses",4,IF(J1413="new vocabulary",4,IF(J1413="sentences",5,IF(J1413="concepts",5,IF(J1413="ad slides",5,IF(J1413="scenes",5,IF(J1413="famous scenes",5,IF(J1413="poems",6,IF(J1413="walk",6,IF(J1413="faces and events",6,IF(J1413="events and names",6,IF(J1413="flashbulb",7,IF(J1413="stories",7,IF(J1413="course material",7,IF(J1413="autobiographical",7,IF(J1413="novels",7,IF(J1413="public events",7,"99"))))))))))))))))))))))))))))))))))))))))))))))</f>
        <v>1</v>
      </c>
      <c r="M1413" s="69">
        <v>0</v>
      </c>
      <c r="N1413" s="69">
        <v>1</v>
      </c>
      <c r="O1413" s="69">
        <v>1</v>
      </c>
      <c r="P1413" s="69" t="s">
        <v>550</v>
      </c>
      <c r="Q1413" s="69" t="s">
        <v>174</v>
      </c>
      <c r="R1413" s="69">
        <f>IF(Q1413="Free Recall",1,IF(Q1413="Cued Recall",2,IF(Q1413="Recognition",3,IF(Q1413="Multiple Choice",4,IF(Q1413="Savings",5,IF(Q1413="Stem Completion",6,IF(Q1413="Fragment Completion",7,IF(Q1413="anagram solution",8,IF(Q1413="Matching",9,IF(Q1413="Problem Solving",10,"99"))))))))))</f>
        <v>1</v>
      </c>
      <c r="S1413" s="69" t="s">
        <v>49</v>
      </c>
      <c r="T1413" s="92" t="s">
        <v>581</v>
      </c>
      <c r="U1413" s="69">
        <f>IF(T1413="within",1,0)</f>
        <v>1</v>
      </c>
      <c r="V1413" s="92">
        <v>30</v>
      </c>
      <c r="W1413" s="69">
        <f>F1413*V1413</f>
        <v>360</v>
      </c>
      <c r="X1413" s="69">
        <v>3</v>
      </c>
      <c r="Y1413" s="87">
        <f>AV1412</f>
        <v>0.01</v>
      </c>
      <c r="Z1413" s="69" t="s">
        <v>549</v>
      </c>
      <c r="AA1413" s="69">
        <v>15</v>
      </c>
      <c r="AB1413" s="69" t="str">
        <f>IF(AA1413&lt;60,"1",IF(AA1413&lt;=43200,"2",IF(AA1413&lt;=777600,"3","4")))</f>
        <v>1</v>
      </c>
      <c r="AC1413" s="72">
        <f>AVERAGE(AV1412:DA1412)</f>
        <v>6.669999999999999</v>
      </c>
      <c r="AD1413" s="69" t="str">
        <f>IF(AC1413&lt;60,"1",IF(AC1413&lt;=43200,"2",IF(AC1413&lt;=777600,"3","4")))</f>
        <v>1</v>
      </c>
      <c r="AE1413" s="87">
        <f>AA1413-Y1413</f>
        <v>14.99</v>
      </c>
      <c r="AF1413" s="88">
        <f>AV1413</f>
        <v>0.97</v>
      </c>
      <c r="AG1413" s="72">
        <f>((AW1413-AV1413)+(AX1413-AW1413))/2</f>
        <v>-1.5000000000000013E-2</v>
      </c>
      <c r="AH1413" s="4"/>
      <c r="AI1413" s="72">
        <f>RSQ(AV1413:AX1413,AV1412:AX1412)</f>
        <v>0.86190341751193811</v>
      </c>
      <c r="AJ1413" s="110">
        <f>SLOPE(AV1413:AX1413,AV1412:AX1412)</f>
        <v>-1.8578364657686134E-3</v>
      </c>
      <c r="AK1413" s="72">
        <f>INTERCEPT(AV1413:AX1413,AV1412:AX1412)</f>
        <v>0.96572510256000987</v>
      </c>
      <c r="AL1413" s="72">
        <f>INDEX(LINEST(LN(AV1413:AX1413),LN(AV1412:AX1412),TRUE,TRUE),3,1)</f>
        <v>0.96144783069950279</v>
      </c>
      <c r="AM1413" s="72">
        <f>INDEX(LINEST(LN(AV1413:AX1413),LN(AV1412:AX1412)),1)</f>
        <v>-3.9743751452330058E-3</v>
      </c>
      <c r="AN1413" s="72">
        <f>EXP(INDEX(LINEST(LN(AV1413:AX1413),LN(AV1412:AX1412)),1,2))</f>
        <v>0.95288877992747734</v>
      </c>
      <c r="AO1413" s="89">
        <f>INDEX(LINEST((AV1413:AX1413),LN(AV1412:AX1412),TRUE,TRUE),3,1)</f>
        <v>0.96293665108418247</v>
      </c>
      <c r="AP1413" s="89">
        <f>INDEX(LINEST((AV1413:AX1413),LN(AV1412:AX1412)),1)</f>
        <v>-3.8009775288399042E-3</v>
      </c>
      <c r="AQ1413" s="90">
        <f>INDEX(LINEST(LN(AV1413:AX1413),SQRT(AV1412:AX1412),TRUE,TRUE),3,1)</f>
        <v>0.9879511094985044</v>
      </c>
      <c r="AR1413" s="117">
        <f>INDEX(LINEST(LN(AV1413:AX1413),SQRT((AV1412:AX1412))),1)</f>
        <v>-8.3974532874906468E-3</v>
      </c>
      <c r="AS1413" s="91">
        <f>INDEX(LINEST(1/(AV1413:AX1413),1/(SQRT(AV1412:AX1412)),TRUE,TRUE),3,1)</f>
        <v>0.89844547051796164</v>
      </c>
      <c r="AT1413" s="91">
        <f>INDEX(LINEST(1/(AV1413:AX1413),1/SQRT(AV1412:AX1412)),1)</f>
        <v>-2.8463415655229003E-3</v>
      </c>
      <c r="AU1413" s="3"/>
      <c r="AV1413" s="53">
        <v>0.97</v>
      </c>
      <c r="AW1413" s="53">
        <v>0.95</v>
      </c>
      <c r="AX1413" s="53">
        <v>0.94</v>
      </c>
      <c r="AY1413" s="53"/>
      <c r="AZ1413" s="53"/>
      <c r="BA1413" s="53"/>
      <c r="BB1413" s="53"/>
      <c r="BC1413" s="53"/>
      <c r="BD1413" s="53"/>
      <c r="BE1413" s="53"/>
      <c r="BF1413" s="53"/>
      <c r="BG1413" s="53"/>
      <c r="BH1413" s="53"/>
      <c r="BI1413" s="53"/>
      <c r="BJ1413" s="53"/>
      <c r="BK1413" s="53"/>
      <c r="BL1413" s="53"/>
      <c r="BM1413" s="53"/>
      <c r="BN1413" s="53"/>
      <c r="BO1413" s="53"/>
      <c r="BP1413" s="53"/>
      <c r="BQ1413" s="53"/>
      <c r="BR1413" s="53"/>
      <c r="BS1413" s="53"/>
      <c r="BT1413" s="53"/>
      <c r="BU1413" s="53"/>
      <c r="BV1413" s="53"/>
      <c r="BW1413" s="53"/>
      <c r="BX1413" s="53"/>
      <c r="BY1413" s="53"/>
      <c r="BZ1413" s="53"/>
      <c r="CA1413" s="53"/>
      <c r="CB1413" s="53"/>
      <c r="CC1413" s="53"/>
      <c r="CD1413" s="53"/>
      <c r="CE1413" s="53"/>
      <c r="CF1413" s="53"/>
      <c r="CG1413" s="53"/>
      <c r="CH1413" s="53"/>
      <c r="CI1413" s="53"/>
      <c r="CJ1413" s="53"/>
      <c r="CK1413" s="53"/>
      <c r="CL1413" s="53"/>
      <c r="CM1413" s="53"/>
      <c r="CN1413" s="53"/>
      <c r="CO1413" s="53"/>
      <c r="CP1413" s="53"/>
      <c r="CQ1413" s="53"/>
      <c r="CR1413" s="1"/>
      <c r="CS1413" s="1"/>
      <c r="CT1413" s="1"/>
      <c r="CU1413" s="1"/>
    </row>
    <row r="1414" spans="1:99" s="13" customFormat="1" ht="12" customHeight="1" x14ac:dyDescent="0.2">
      <c r="A1414" s="68">
        <v>43916</v>
      </c>
      <c r="B1414" s="70"/>
      <c r="C1414" s="70"/>
      <c r="D1414" s="69"/>
      <c r="E1414" s="87"/>
      <c r="F1414" s="69"/>
      <c r="G1414" s="69"/>
      <c r="H1414" s="69"/>
      <c r="I1414" s="69"/>
      <c r="J1414" s="69"/>
      <c r="K1414" s="107"/>
      <c r="L1414" s="107"/>
      <c r="M1414" s="69"/>
      <c r="N1414" s="69"/>
      <c r="O1414" s="69"/>
      <c r="P1414" s="69"/>
      <c r="Q1414" s="69"/>
      <c r="R1414" s="69"/>
      <c r="S1414" s="69"/>
      <c r="T1414" s="69"/>
      <c r="U1414" s="69"/>
      <c r="V1414" s="92"/>
      <c r="W1414" s="69"/>
      <c r="X1414" s="69"/>
      <c r="Y1414" s="87"/>
      <c r="Z1414" s="69"/>
      <c r="AA1414" s="69"/>
      <c r="AB1414" s="69"/>
      <c r="AC1414" s="69"/>
      <c r="AD1414" s="69"/>
      <c r="AE1414" s="69"/>
      <c r="AF1414" s="88"/>
      <c r="AG1414" s="72"/>
      <c r="AH1414" s="4"/>
      <c r="AI1414" s="72"/>
      <c r="AJ1414" s="110"/>
      <c r="AK1414" s="72"/>
      <c r="AL1414" s="72"/>
      <c r="AM1414" s="72"/>
      <c r="AN1414" s="72"/>
      <c r="AO1414" s="72"/>
      <c r="AP1414" s="72"/>
      <c r="AQ1414" s="89"/>
      <c r="AR1414" s="118"/>
      <c r="AS1414" s="89"/>
      <c r="AT1414" s="89"/>
      <c r="AU1414" s="4"/>
      <c r="AV1414" s="25">
        <v>0.01</v>
      </c>
      <c r="AW1414" s="25">
        <v>5</v>
      </c>
      <c r="AX1414" s="25">
        <v>15</v>
      </c>
      <c r="AY1414" s="53"/>
      <c r="AZ1414" s="53"/>
      <c r="BA1414" s="53"/>
      <c r="BB1414" s="53"/>
      <c r="BC1414" s="53"/>
      <c r="BD1414" s="53"/>
      <c r="BE1414" s="53"/>
      <c r="BF1414" s="53"/>
      <c r="BG1414" s="53"/>
      <c r="BH1414" s="53"/>
      <c r="BI1414" s="53"/>
      <c r="BJ1414" s="53"/>
      <c r="BK1414" s="53"/>
      <c r="BL1414" s="53"/>
      <c r="BM1414" s="53"/>
      <c r="BN1414" s="53"/>
      <c r="BO1414" s="53"/>
      <c r="BP1414" s="53"/>
      <c r="BQ1414" s="53"/>
      <c r="BR1414" s="53"/>
      <c r="BS1414" s="53"/>
      <c r="BT1414" s="53"/>
      <c r="BU1414" s="53"/>
      <c r="BV1414" s="53"/>
      <c r="BW1414" s="53"/>
      <c r="BX1414" s="53"/>
      <c r="BY1414" s="53"/>
      <c r="BZ1414" s="53"/>
      <c r="CA1414" s="53"/>
      <c r="CB1414" s="53"/>
      <c r="CC1414" s="53"/>
      <c r="CD1414" s="53"/>
      <c r="CE1414" s="53"/>
      <c r="CF1414" s="53"/>
      <c r="CG1414" s="53"/>
      <c r="CH1414" s="53"/>
      <c r="CI1414" s="53"/>
      <c r="CJ1414" s="53"/>
      <c r="CK1414" s="53"/>
      <c r="CL1414" s="53"/>
      <c r="CM1414" s="53"/>
      <c r="CN1414" s="53"/>
      <c r="CO1414" s="53"/>
      <c r="CP1414" s="53"/>
      <c r="CQ1414" s="53"/>
      <c r="CR1414" s="1"/>
      <c r="CS1414" s="1"/>
      <c r="CT1414" s="1"/>
      <c r="CU1414" s="1"/>
    </row>
    <row r="1415" spans="1:99" s="13" customFormat="1" ht="12" customHeight="1" x14ac:dyDescent="0.2">
      <c r="A1415" s="68">
        <v>43916</v>
      </c>
      <c r="B1415" s="70" t="s">
        <v>548</v>
      </c>
      <c r="C1415" s="70" t="s">
        <v>48</v>
      </c>
      <c r="D1415" s="69">
        <v>1982</v>
      </c>
      <c r="E1415" s="87">
        <v>1</v>
      </c>
      <c r="F1415" s="69">
        <v>12</v>
      </c>
      <c r="G1415" s="69">
        <v>12</v>
      </c>
      <c r="H1415" s="69" t="s">
        <v>50</v>
      </c>
      <c r="I1415" s="69" t="s">
        <v>847</v>
      </c>
      <c r="J1415" s="69" t="s">
        <v>443</v>
      </c>
      <c r="K1415" s="69">
        <f>IF(J1415="syllables",1,IF(J1415="trigrams",2,IF(J1415="strings",3,IF(J1415="visual array",4,IF(J1415="characters",5,IF(J1415="letters",6,IF(J1415="free forms",7,IF(J1415="odors",8,IF(J1415="words",9,IF(J1415="pictures",10,IF(J1415="object pictures",11,IF(J1415="faces",12,IF(J1415="names",13,IF(J1415="idioms",14,IF(J1415="grades",15,IF(J1415="syllable-digit pairs",16,IF(J1415="trigram-word pairs",17,IF(J1415="word-digit pairs",18,IF(J1415="English-Swahili pairs",19,IF(J1415="spatial position",20,IF(J1415="word pairs",21,IF(J1415="word triads",22,IF(J1415="generated words",23,IF(J1415="word definition pairs",24,IF(J1415="math problems",25,IF(J1415="famous faces",26,IF(J1415="famous names",27,IF(J1415="famous voices",28,IF(J1415="television programs",29,IF(J1415="race horses",30,IF(J1415="new vocabulary",31,IF(J1415="sentences",32,IF(J1415="concepts",33,IF(J1415="ad slides",34,IF(J1415="scenes",35,IF(J1415="famous scenes",36,IF(J1415="poems",37,IF(J1415="walk",38,IF(J1415="faces and events",39,IF(J1415="events and names",40,IF(J1415="flashbulb",41,IF(J1415="stories",42,IF(J1415="course material",43,IF(J1415="autobiographical",44,IF(J1415="novels",45,IF(J1415="public events",46,"99"))))))))))))))))))))))))))))))))))))))))))))))</f>
        <v>2</v>
      </c>
      <c r="L1415" s="69">
        <f>IF(J1415="syllables",1,IF(J1415="trigrams",1,IF(J1415="strings",1,IF(J1415="visual array",1,IF(J1415="characters",1,IF(J1415="letters",1,IF(J1415="free forms",1,IF(J1415="odors",2,IF(J1415="words",2,IF(J1415="pictures",2,IF(J1415="object pictures",2,IF(J1415="faces",2,IF(J1415="names",2,IF(J1415="idioms","2",IF(J1415="grades",2,IF(J1415="syllable-digit pairs",3,IF(J1415="trigram-word pairs",3,IF(J1415="word-digit pairs",3,IF(J1415="English-Swahili pairs",3,IF(J1415="spatial position",3,IF(J1415="word pairs",4,IF(J1415="word triads",4,IF(J1415="generated words",4,IF(J1415="word definition pairs",4,IF(J1415="math problems",4,IF(J1415="famous faces",4,IF(J1415="famous names",4,IF(J1415="famous voices",4,IF(J1415="television programs",4,IF(J1415="race horses",4,IF(J1415="new vocabulary",4,IF(J1415="sentences",5,IF(J1415="concepts",5,IF(J1415="ad slides",5,IF(J1415="scenes",5,IF(J1415="famous scenes",5,IF(J1415="poems",6,IF(J1415="walk",6,IF(J1415="faces and events",6,IF(J1415="events and names",6,IF(J1415="flashbulb",7,IF(J1415="stories",7,IF(J1415="course material",7,IF(J1415="autobiographical",7,IF(J1415="novels",7,IF(J1415="public events",7,"99"))))))))))))))))))))))))))))))))))))))))))))))</f>
        <v>1</v>
      </c>
      <c r="M1415" s="69">
        <v>0</v>
      </c>
      <c r="N1415" s="69">
        <v>1</v>
      </c>
      <c r="O1415" s="69">
        <v>1</v>
      </c>
      <c r="P1415" s="69" t="s">
        <v>27</v>
      </c>
      <c r="Q1415" s="69" t="s">
        <v>174</v>
      </c>
      <c r="R1415" s="69">
        <f>IF(Q1415="Free Recall",1,IF(Q1415="Cued Recall",2,IF(Q1415="Recognition",3,IF(Q1415="Multiple Choice",4,IF(Q1415="Savings",5,IF(Q1415="Stem Completion",6,IF(Q1415="Fragment Completion",7,IF(Q1415="anagram solution",8,IF(Q1415="Matching",9,IF(Q1415="Problem Solving",10,"99"))))))))))</f>
        <v>1</v>
      </c>
      <c r="S1415" s="69" t="s">
        <v>49</v>
      </c>
      <c r="T1415" s="92" t="s">
        <v>581</v>
      </c>
      <c r="U1415" s="69">
        <f>IF(T1415="within",1,0)</f>
        <v>1</v>
      </c>
      <c r="V1415" s="92">
        <v>30</v>
      </c>
      <c r="W1415" s="69">
        <f>F1415*V1415</f>
        <v>360</v>
      </c>
      <c r="X1415" s="69">
        <v>3</v>
      </c>
      <c r="Y1415" s="87">
        <f>AV1414</f>
        <v>0.01</v>
      </c>
      <c r="Z1415" s="69" t="s">
        <v>549</v>
      </c>
      <c r="AA1415" s="69">
        <v>15</v>
      </c>
      <c r="AB1415" s="69" t="str">
        <f>IF(AA1415&lt;60,"1",IF(AA1415&lt;=43200,"2",IF(AA1415&lt;=777600,"3","4")))</f>
        <v>1</v>
      </c>
      <c r="AC1415" s="72">
        <f>AVERAGE(AV1414:DA1414)</f>
        <v>6.669999999999999</v>
      </c>
      <c r="AD1415" s="69" t="str">
        <f>IF(AC1415&lt;60,"1",IF(AC1415&lt;=43200,"2",IF(AC1415&lt;=777600,"3","4")))</f>
        <v>1</v>
      </c>
      <c r="AE1415" s="87">
        <f>AA1415-Y1415</f>
        <v>14.99</v>
      </c>
      <c r="AF1415" s="88">
        <f>AV1415</f>
        <v>0.94</v>
      </c>
      <c r="AG1415" s="72">
        <f>((AW1415-AV1415)+(AX1415-AW1415))/2</f>
        <v>5.0000000000000044E-3</v>
      </c>
      <c r="AH1415" s="4"/>
      <c r="AI1415" s="72">
        <f>RSQ(AV1415:AX1415,AV1414:AX1414)</f>
        <v>0.89316324761827948</v>
      </c>
      <c r="AJ1415" s="110">
        <f>SLOPE(AV1415:AX1415,AV1414:AX1414)</f>
        <v>7.1481652470450582E-4</v>
      </c>
      <c r="AK1415" s="72">
        <f>INTERCEPT(AV1415:AX1415,AV1414:AX1414)</f>
        <v>0.93856550711355435</v>
      </c>
      <c r="AL1415" s="72">
        <f>INDEX(LINEST(LN(AV1415:AX1415),LN(AV1414:AX1414),TRUE,TRUE),3,1)</f>
        <v>0.3791544053992158</v>
      </c>
      <c r="AM1415" s="72">
        <f>INDEX(LINEST(LN(AV1415:AX1415),LN(AV1414:AX1414)),1)</f>
        <v>9.5395463170633884E-4</v>
      </c>
      <c r="AN1415" s="72">
        <f>EXP(INDEX(LINEST(LN(AV1415:AX1415),LN(AV1414:AX1414)),1,2))</f>
        <v>0.94340788000709497</v>
      </c>
      <c r="AO1415" s="89">
        <f>INDEX(LINEST((AV1415:AX1415),LN(AV1414:AX1414),TRUE,TRUE),3,1)</f>
        <v>0.37915440539921591</v>
      </c>
      <c r="AP1415" s="89">
        <f>INDEX(LINEST((AV1415:AX1415),LN(AV1414:AX1414)),1)</f>
        <v>9.0147871460134938E-4</v>
      </c>
      <c r="AQ1415" s="90">
        <f>INDEX(LINEST(LN(AV1415:AX1415),SQRT(AV1414:AX1414),TRUE,TRUE),3,1)</f>
        <v>0.68133527094622359</v>
      </c>
      <c r="AR1415" s="117">
        <f>INDEX(LINEST(LN(AV1415:AX1415),SQRT((AV1414:AX1414))),1)</f>
        <v>2.6654710957993159E-3</v>
      </c>
      <c r="AS1415" s="91">
        <f>INDEX(LINEST(1/(AV1415:AX1415),1/(SQRT(AV1414:AX1414)),TRUE,TRUE),3,1)</f>
        <v>0.26483406219609579</v>
      </c>
      <c r="AT1415" s="91">
        <f>INDEX(LINEST(1/(AV1415:AX1415),1/SQRT(AV1414:AX1414)),1)</f>
        <v>5.972655308133086E-4</v>
      </c>
      <c r="AU1415" s="3"/>
      <c r="AV1415" s="53">
        <v>0.94</v>
      </c>
      <c r="AW1415" s="53">
        <v>0.94</v>
      </c>
      <c r="AX1415" s="53">
        <v>0.95</v>
      </c>
      <c r="AY1415" s="53"/>
      <c r="AZ1415" s="53"/>
      <c r="BA1415" s="53"/>
      <c r="BB1415" s="53"/>
      <c r="BC1415" s="53"/>
      <c r="BD1415" s="53"/>
      <c r="BE1415" s="53"/>
      <c r="BF1415" s="53"/>
      <c r="BG1415" s="53"/>
      <c r="BH1415" s="53"/>
      <c r="BI1415" s="53"/>
      <c r="BJ1415" s="53"/>
      <c r="BK1415" s="53"/>
      <c r="BL1415" s="53"/>
      <c r="BM1415" s="53"/>
      <c r="BN1415" s="53"/>
      <c r="BO1415" s="53"/>
      <c r="BP1415" s="53"/>
      <c r="BQ1415" s="53"/>
      <c r="BR1415" s="53"/>
      <c r="BS1415" s="53"/>
      <c r="BT1415" s="53"/>
      <c r="BU1415" s="53"/>
      <c r="BV1415" s="53"/>
      <c r="BW1415" s="53"/>
      <c r="BX1415" s="53"/>
      <c r="BY1415" s="53"/>
      <c r="BZ1415" s="53"/>
      <c r="CA1415" s="53"/>
      <c r="CB1415" s="53"/>
      <c r="CC1415" s="53"/>
      <c r="CD1415" s="53"/>
      <c r="CE1415" s="53"/>
      <c r="CF1415" s="53"/>
      <c r="CG1415" s="53"/>
      <c r="CH1415" s="53"/>
      <c r="CI1415" s="53"/>
      <c r="CJ1415" s="53"/>
      <c r="CK1415" s="53"/>
      <c r="CL1415" s="53"/>
      <c r="CM1415" s="53"/>
      <c r="CN1415" s="53"/>
      <c r="CO1415" s="53"/>
      <c r="CP1415" s="53"/>
      <c r="CQ1415" s="53"/>
      <c r="CR1415" s="1"/>
      <c r="CS1415" s="1"/>
      <c r="CT1415" s="1"/>
      <c r="CU1415" s="1"/>
    </row>
    <row r="1416" spans="1:99" s="13" customFormat="1" ht="12" customHeight="1" x14ac:dyDescent="0.2">
      <c r="A1416" s="68">
        <v>43916</v>
      </c>
      <c r="B1416" s="70"/>
      <c r="C1416" s="70"/>
      <c r="D1416" s="69"/>
      <c r="E1416" s="87"/>
      <c r="F1416" s="69"/>
      <c r="G1416" s="69"/>
      <c r="H1416" s="86"/>
      <c r="I1416" s="69"/>
      <c r="J1416" s="69"/>
      <c r="K1416" s="107"/>
      <c r="L1416" s="107"/>
      <c r="M1416" s="69"/>
      <c r="N1416" s="69"/>
      <c r="O1416" s="69"/>
      <c r="P1416" s="69"/>
      <c r="Q1416" s="69"/>
      <c r="R1416" s="69"/>
      <c r="S1416" s="69"/>
      <c r="T1416" s="69"/>
      <c r="U1416" s="69"/>
      <c r="V1416" s="92"/>
      <c r="W1416" s="69"/>
      <c r="X1416" s="69"/>
      <c r="Y1416" s="87"/>
      <c r="Z1416" s="69"/>
      <c r="AA1416" s="69"/>
      <c r="AB1416" s="69"/>
      <c r="AC1416" s="69"/>
      <c r="AD1416" s="69"/>
      <c r="AE1416" s="69"/>
      <c r="AF1416" s="88"/>
      <c r="AG1416" s="72"/>
      <c r="AH1416" s="4"/>
      <c r="AI1416" s="72"/>
      <c r="AJ1416" s="110"/>
      <c r="AK1416" s="72"/>
      <c r="AL1416" s="72"/>
      <c r="AM1416" s="72"/>
      <c r="AN1416" s="72"/>
      <c r="AO1416" s="72"/>
      <c r="AP1416" s="72"/>
      <c r="AQ1416" s="89"/>
      <c r="AR1416" s="118"/>
      <c r="AS1416" s="89"/>
      <c r="AT1416" s="89"/>
      <c r="AU1416" s="4"/>
      <c r="AV1416" s="25">
        <v>0.01</v>
      </c>
      <c r="AW1416" s="25">
        <v>5</v>
      </c>
      <c r="AX1416" s="25">
        <v>15</v>
      </c>
      <c r="AY1416" s="53"/>
      <c r="AZ1416" s="53"/>
      <c r="BA1416" s="53"/>
      <c r="BB1416" s="53"/>
      <c r="BC1416" s="53"/>
      <c r="BD1416" s="53"/>
      <c r="BE1416" s="53"/>
      <c r="BF1416" s="53"/>
      <c r="BG1416" s="53"/>
      <c r="BH1416" s="53"/>
      <c r="BI1416" s="53"/>
      <c r="BJ1416" s="53"/>
      <c r="BK1416" s="53"/>
      <c r="BL1416" s="53"/>
      <c r="BM1416" s="53"/>
      <c r="BN1416" s="53"/>
      <c r="BO1416" s="53"/>
      <c r="BP1416" s="53"/>
      <c r="BQ1416" s="53"/>
      <c r="BR1416" s="53"/>
      <c r="BS1416" s="53"/>
      <c r="BT1416" s="53"/>
      <c r="BU1416" s="53"/>
      <c r="BV1416" s="53"/>
      <c r="BW1416" s="53"/>
      <c r="BX1416" s="53"/>
      <c r="BY1416" s="53"/>
      <c r="BZ1416" s="53"/>
      <c r="CA1416" s="53"/>
      <c r="CB1416" s="53"/>
      <c r="CC1416" s="53"/>
      <c r="CD1416" s="53"/>
      <c r="CE1416" s="53"/>
      <c r="CF1416" s="53"/>
      <c r="CG1416" s="53"/>
      <c r="CH1416" s="53"/>
      <c r="CI1416" s="53"/>
      <c r="CJ1416" s="53"/>
      <c r="CK1416" s="53"/>
      <c r="CL1416" s="53"/>
      <c r="CM1416" s="53"/>
      <c r="CN1416" s="53"/>
      <c r="CO1416" s="53"/>
      <c r="CP1416" s="53"/>
      <c r="CQ1416" s="53"/>
      <c r="CR1416" s="1"/>
      <c r="CS1416" s="1"/>
      <c r="CT1416" s="1"/>
      <c r="CU1416" s="1"/>
    </row>
    <row r="1417" spans="1:99" s="13" customFormat="1" ht="12" customHeight="1" x14ac:dyDescent="0.2">
      <c r="A1417" s="68">
        <v>43916</v>
      </c>
      <c r="B1417" s="70" t="s">
        <v>548</v>
      </c>
      <c r="C1417" s="70" t="s">
        <v>48</v>
      </c>
      <c r="D1417" s="69">
        <v>1982</v>
      </c>
      <c r="E1417" s="87">
        <v>2</v>
      </c>
      <c r="F1417" s="69">
        <v>12</v>
      </c>
      <c r="G1417" s="69">
        <v>12</v>
      </c>
      <c r="H1417" s="69" t="s">
        <v>22</v>
      </c>
      <c r="I1417" s="69" t="s">
        <v>848</v>
      </c>
      <c r="J1417" s="69" t="s">
        <v>443</v>
      </c>
      <c r="K1417" s="69">
        <f>IF(J1417="syllables",1,IF(J1417="trigrams",2,IF(J1417="strings",3,IF(J1417="visual array",4,IF(J1417="characters",5,IF(J1417="letters",6,IF(J1417="free forms",7,IF(J1417="odors",8,IF(J1417="words",9,IF(J1417="pictures",10,IF(J1417="object pictures",11,IF(J1417="faces",12,IF(J1417="names",13,IF(J1417="idioms",14,IF(J1417="grades",15,IF(J1417="syllable-digit pairs",16,IF(J1417="trigram-word pairs",17,IF(J1417="word-digit pairs",18,IF(J1417="English-Swahili pairs",19,IF(J1417="spatial position",20,IF(J1417="word pairs",21,IF(J1417="word triads",22,IF(J1417="generated words",23,IF(J1417="word definition pairs",24,IF(J1417="math problems",25,IF(J1417="famous faces",26,IF(J1417="famous names",27,IF(J1417="famous voices",28,IF(J1417="television programs",29,IF(J1417="race horses",30,IF(J1417="new vocabulary",31,IF(J1417="sentences",32,IF(J1417="concepts",33,IF(J1417="ad slides",34,IF(J1417="scenes",35,IF(J1417="famous scenes",36,IF(J1417="poems",37,IF(J1417="walk",38,IF(J1417="faces and events",39,IF(J1417="events and names",40,IF(J1417="flashbulb",41,IF(J1417="stories",42,IF(J1417="course material",43,IF(J1417="autobiographical",44,IF(J1417="novels",45,IF(J1417="public events",46,"99"))))))))))))))))))))))))))))))))))))))))))))))</f>
        <v>2</v>
      </c>
      <c r="L1417" s="69">
        <f>IF(J1417="syllables",1,IF(J1417="trigrams",1,IF(J1417="strings",1,IF(J1417="visual array",1,IF(J1417="characters",1,IF(J1417="letters",1,IF(J1417="free forms",1,IF(J1417="odors",2,IF(J1417="words",2,IF(J1417="pictures",2,IF(J1417="object pictures",2,IF(J1417="faces",2,IF(J1417="names",2,IF(J1417="idioms","2",IF(J1417="grades",2,IF(J1417="syllable-digit pairs",3,IF(J1417="trigram-word pairs",3,IF(J1417="word-digit pairs",3,IF(J1417="English-Swahili pairs",3,IF(J1417="spatial position",3,IF(J1417="word pairs",4,IF(J1417="word triads",4,IF(J1417="generated words",4,IF(J1417="word definition pairs",4,IF(J1417="math problems",4,IF(J1417="famous faces",4,IF(J1417="famous names",4,IF(J1417="famous voices",4,IF(J1417="television programs",4,IF(J1417="race horses",4,IF(J1417="new vocabulary",4,IF(J1417="sentences",5,IF(J1417="concepts",5,IF(J1417="ad slides",5,IF(J1417="scenes",5,IF(J1417="famous scenes",5,IF(J1417="poems",6,IF(J1417="walk",6,IF(J1417="faces and events",6,IF(J1417="events and names",6,IF(J1417="flashbulb",7,IF(J1417="stories",7,IF(J1417="course material",7,IF(J1417="autobiographical",7,IF(J1417="novels",7,IF(J1417="public events",7,"99"))))))))))))))))))))))))))))))))))))))))))))))</f>
        <v>1</v>
      </c>
      <c r="M1417" s="69">
        <v>0</v>
      </c>
      <c r="N1417" s="69">
        <v>1</v>
      </c>
      <c r="O1417" s="69">
        <v>1</v>
      </c>
      <c r="P1417" s="69" t="s">
        <v>550</v>
      </c>
      <c r="Q1417" s="69" t="s">
        <v>174</v>
      </c>
      <c r="R1417" s="69">
        <f>IF(Q1417="Free Recall",1,IF(Q1417="Cued Recall",2,IF(Q1417="Recognition",3,IF(Q1417="Multiple Choice",4,IF(Q1417="Savings",5,IF(Q1417="Stem Completion",6,IF(Q1417="Fragment Completion",7,IF(Q1417="anagram solution",8,IF(Q1417="Matching",9,IF(Q1417="Problem Solving",10,"99"))))))))))</f>
        <v>1</v>
      </c>
      <c r="S1417" s="69" t="s">
        <v>49</v>
      </c>
      <c r="T1417" s="92" t="s">
        <v>581</v>
      </c>
      <c r="U1417" s="69">
        <f>IF(T1417="within",1,0)</f>
        <v>1</v>
      </c>
      <c r="V1417" s="92">
        <v>30</v>
      </c>
      <c r="W1417" s="69">
        <f>F1417*V1417</f>
        <v>360</v>
      </c>
      <c r="X1417" s="69">
        <v>3</v>
      </c>
      <c r="Y1417" s="87">
        <f>AV1416</f>
        <v>0.01</v>
      </c>
      <c r="Z1417" s="69" t="s">
        <v>549</v>
      </c>
      <c r="AA1417" s="69">
        <v>15</v>
      </c>
      <c r="AB1417" s="69" t="str">
        <f>IF(AA1417&lt;60,"1",IF(AA1417&lt;=43200,"2",IF(AA1417&lt;=777600,"3","4")))</f>
        <v>1</v>
      </c>
      <c r="AC1417" s="72">
        <f>AVERAGE(AV1416:DA1416)</f>
        <v>6.669999999999999</v>
      </c>
      <c r="AD1417" s="69" t="str">
        <f>IF(AC1417&lt;60,"1",IF(AC1417&lt;=43200,"2",IF(AC1417&lt;=777600,"3","4")))</f>
        <v>1</v>
      </c>
      <c r="AE1417" s="87">
        <f>AA1417-Y1417</f>
        <v>14.99</v>
      </c>
      <c r="AF1417" s="88">
        <f>AV1417</f>
        <v>0.97</v>
      </c>
      <c r="AG1417" s="72">
        <f>((AW1417-AV1417)+(AX1417-AW1417))/2</f>
        <v>-1.5000000000000013E-2</v>
      </c>
      <c r="AH1417" s="4"/>
      <c r="AI1417" s="72">
        <f>RSQ(AV1417:AX1417,AV1416:AX1416)</f>
        <v>0.86190341751193811</v>
      </c>
      <c r="AJ1417" s="110">
        <f>SLOPE(AV1417:AX1417,AV1416:AX1416)</f>
        <v>-1.8578364657686134E-3</v>
      </c>
      <c r="AK1417" s="72">
        <f>INTERCEPT(AV1417:AX1417,AV1416:AX1416)</f>
        <v>0.96572510256000987</v>
      </c>
      <c r="AL1417" s="72">
        <f>INDEX(LINEST(LN(AV1417:AX1417),LN(AV1416:AX1416),TRUE,TRUE),3,1)</f>
        <v>0.96144783069950279</v>
      </c>
      <c r="AM1417" s="72">
        <f>INDEX(LINEST(LN(AV1417:AX1417),LN(AV1416:AX1416)),1)</f>
        <v>-3.9743751452330058E-3</v>
      </c>
      <c r="AN1417" s="72">
        <f>EXP(INDEX(LINEST(LN(AV1417:AX1417),LN(AV1416:AX1416)),1,2))</f>
        <v>0.95288877992747734</v>
      </c>
      <c r="AO1417" s="89">
        <f>INDEX(LINEST((AV1417:AX1417),LN(AV1416:AX1416),TRUE,TRUE),3,1)</f>
        <v>0.96293665108418247</v>
      </c>
      <c r="AP1417" s="89">
        <f>INDEX(LINEST((AV1417:AX1417),LN(AV1416:AX1416)),1)</f>
        <v>-3.8009775288399042E-3</v>
      </c>
      <c r="AQ1417" s="90">
        <f>INDEX(LINEST(LN(AV1417:AX1417),SQRT(AV1416:AX1416),TRUE,TRUE),3,1)</f>
        <v>0.9879511094985044</v>
      </c>
      <c r="AR1417" s="117">
        <f>INDEX(LINEST(LN(AV1417:AX1417),SQRT((AV1416:AX1416))),1)</f>
        <v>-8.3974532874906468E-3</v>
      </c>
      <c r="AS1417" s="91">
        <f>INDEX(LINEST(1/(AV1417:AX1417),1/(SQRT(AV1416:AX1416)),TRUE,TRUE),3,1)</f>
        <v>0.89844547051796164</v>
      </c>
      <c r="AT1417" s="91">
        <f>INDEX(LINEST(1/(AV1417:AX1417),1/SQRT(AV1416:AX1416)),1)</f>
        <v>-2.8463415655229003E-3</v>
      </c>
      <c r="AU1417" s="3"/>
      <c r="AV1417" s="53">
        <v>0.97</v>
      </c>
      <c r="AW1417" s="53">
        <v>0.95</v>
      </c>
      <c r="AX1417" s="53">
        <v>0.94</v>
      </c>
      <c r="AY1417" s="53"/>
      <c r="AZ1417" s="53"/>
      <c r="BA1417" s="53"/>
      <c r="BB1417" s="53"/>
      <c r="BC1417" s="53"/>
      <c r="BD1417" s="53"/>
      <c r="BE1417" s="53"/>
      <c r="BF1417" s="53"/>
      <c r="BG1417" s="53"/>
      <c r="BH1417" s="53"/>
      <c r="BI1417" s="53"/>
      <c r="BJ1417" s="53"/>
      <c r="BK1417" s="53"/>
      <c r="BL1417" s="53"/>
      <c r="BM1417" s="53"/>
      <c r="BN1417" s="53"/>
      <c r="BO1417" s="53"/>
      <c r="BP1417" s="53"/>
      <c r="BQ1417" s="53"/>
      <c r="BR1417" s="53"/>
      <c r="BS1417" s="53"/>
      <c r="BT1417" s="53"/>
      <c r="BU1417" s="53"/>
      <c r="BV1417" s="53"/>
      <c r="BW1417" s="53"/>
      <c r="BX1417" s="53"/>
      <c r="BY1417" s="53"/>
      <c r="BZ1417" s="53"/>
      <c r="CA1417" s="53"/>
      <c r="CB1417" s="53"/>
      <c r="CC1417" s="53"/>
      <c r="CD1417" s="53"/>
      <c r="CE1417" s="53"/>
      <c r="CF1417" s="53"/>
      <c r="CG1417" s="53"/>
      <c r="CH1417" s="53"/>
      <c r="CI1417" s="53"/>
      <c r="CJ1417" s="53"/>
      <c r="CK1417" s="53"/>
      <c r="CL1417" s="53"/>
      <c r="CM1417" s="53"/>
      <c r="CN1417" s="53"/>
      <c r="CO1417" s="53"/>
      <c r="CP1417" s="53"/>
      <c r="CQ1417" s="53"/>
      <c r="CR1417" s="1"/>
      <c r="CS1417" s="1"/>
      <c r="CT1417" s="1"/>
      <c r="CU1417" s="1"/>
    </row>
    <row r="1418" spans="1:99" s="13" customFormat="1" ht="12" customHeight="1" x14ac:dyDescent="0.2">
      <c r="A1418" s="68">
        <v>43916</v>
      </c>
      <c r="B1418" s="70"/>
      <c r="C1418" s="70"/>
      <c r="D1418" s="69"/>
      <c r="E1418" s="87"/>
      <c r="F1418" s="69"/>
      <c r="G1418" s="69"/>
      <c r="H1418" s="69"/>
      <c r="I1418" s="69"/>
      <c r="J1418" s="69"/>
      <c r="K1418" s="107"/>
      <c r="L1418" s="107"/>
      <c r="M1418" s="69"/>
      <c r="N1418" s="69"/>
      <c r="O1418" s="69"/>
      <c r="P1418" s="69"/>
      <c r="Q1418" s="69"/>
      <c r="R1418" s="69"/>
      <c r="S1418" s="69"/>
      <c r="T1418" s="69"/>
      <c r="U1418" s="69"/>
      <c r="V1418" s="92"/>
      <c r="W1418" s="69"/>
      <c r="X1418" s="69"/>
      <c r="Y1418" s="87"/>
      <c r="Z1418" s="69"/>
      <c r="AA1418" s="69"/>
      <c r="AB1418" s="69"/>
      <c r="AC1418" s="69"/>
      <c r="AD1418" s="69"/>
      <c r="AE1418" s="69"/>
      <c r="AF1418" s="88"/>
      <c r="AG1418" s="72"/>
      <c r="AH1418" s="4"/>
      <c r="AI1418" s="72"/>
      <c r="AJ1418" s="110"/>
      <c r="AK1418" s="72"/>
      <c r="AL1418" s="72"/>
      <c r="AM1418" s="72"/>
      <c r="AN1418" s="72"/>
      <c r="AO1418" s="72"/>
      <c r="AP1418" s="72"/>
      <c r="AQ1418" s="89"/>
      <c r="AR1418" s="118"/>
      <c r="AS1418" s="89"/>
      <c r="AT1418" s="89"/>
      <c r="AU1418" s="4"/>
      <c r="AV1418" s="25">
        <v>0.01</v>
      </c>
      <c r="AW1418" s="25">
        <v>5</v>
      </c>
      <c r="AX1418" s="25">
        <v>15</v>
      </c>
      <c r="AY1418" s="53"/>
      <c r="AZ1418" s="53"/>
      <c r="BA1418" s="53"/>
      <c r="BB1418" s="53"/>
      <c r="BC1418" s="53"/>
      <c r="BD1418" s="53"/>
      <c r="BE1418" s="53"/>
      <c r="BF1418" s="53"/>
      <c r="BG1418" s="53"/>
      <c r="BH1418" s="53"/>
      <c r="BI1418" s="53"/>
      <c r="BJ1418" s="53"/>
      <c r="BK1418" s="53"/>
      <c r="BL1418" s="53"/>
      <c r="BM1418" s="53"/>
      <c r="BN1418" s="53"/>
      <c r="BO1418" s="53"/>
      <c r="BP1418" s="53"/>
      <c r="BQ1418" s="53"/>
      <c r="BR1418" s="53"/>
      <c r="BS1418" s="53"/>
      <c r="BT1418" s="53"/>
      <c r="BU1418" s="53"/>
      <c r="BV1418" s="53"/>
      <c r="BW1418" s="53"/>
      <c r="BX1418" s="53"/>
      <c r="BY1418" s="53"/>
      <c r="BZ1418" s="53"/>
      <c r="CA1418" s="53"/>
      <c r="CB1418" s="53"/>
      <c r="CC1418" s="53"/>
      <c r="CD1418" s="53"/>
      <c r="CE1418" s="53"/>
      <c r="CF1418" s="53"/>
      <c r="CG1418" s="53"/>
      <c r="CH1418" s="53"/>
      <c r="CI1418" s="53"/>
      <c r="CJ1418" s="53"/>
      <c r="CK1418" s="53"/>
      <c r="CL1418" s="53"/>
      <c r="CM1418" s="53"/>
      <c r="CN1418" s="53"/>
      <c r="CO1418" s="53"/>
      <c r="CP1418" s="53"/>
      <c r="CQ1418" s="53"/>
      <c r="CR1418" s="1"/>
      <c r="CS1418" s="1"/>
      <c r="CT1418" s="1"/>
      <c r="CU1418" s="1"/>
    </row>
    <row r="1419" spans="1:99" s="13" customFormat="1" ht="12" customHeight="1" x14ac:dyDescent="0.2">
      <c r="A1419" s="68">
        <v>43916</v>
      </c>
      <c r="B1419" s="70" t="s">
        <v>548</v>
      </c>
      <c r="C1419" s="70" t="s">
        <v>48</v>
      </c>
      <c r="D1419" s="69">
        <v>1982</v>
      </c>
      <c r="E1419" s="87">
        <v>2</v>
      </c>
      <c r="F1419" s="69">
        <v>12</v>
      </c>
      <c r="G1419" s="69">
        <v>12</v>
      </c>
      <c r="H1419" s="69" t="s">
        <v>22</v>
      </c>
      <c r="I1419" s="69" t="s">
        <v>849</v>
      </c>
      <c r="J1419" s="69" t="s">
        <v>443</v>
      </c>
      <c r="K1419" s="69">
        <f>IF(J1419="syllables",1,IF(J1419="trigrams",2,IF(J1419="strings",3,IF(J1419="visual array",4,IF(J1419="characters",5,IF(J1419="letters",6,IF(J1419="free forms",7,IF(J1419="odors",8,IF(J1419="words",9,IF(J1419="pictures",10,IF(J1419="object pictures",11,IF(J1419="faces",12,IF(J1419="names",13,IF(J1419="idioms",14,IF(J1419="grades",15,IF(J1419="syllable-digit pairs",16,IF(J1419="trigram-word pairs",17,IF(J1419="word-digit pairs",18,IF(J1419="English-Swahili pairs",19,IF(J1419="spatial position",20,IF(J1419="word pairs",21,IF(J1419="word triads",22,IF(J1419="generated words",23,IF(J1419="word definition pairs",24,IF(J1419="math problems",25,IF(J1419="famous faces",26,IF(J1419="famous names",27,IF(J1419="famous voices",28,IF(J1419="television programs",29,IF(J1419="race horses",30,IF(J1419="new vocabulary",31,IF(J1419="sentences",32,IF(J1419="concepts",33,IF(J1419="ad slides",34,IF(J1419="scenes",35,IF(J1419="famous scenes",36,IF(J1419="poems",37,IF(J1419="walk",38,IF(J1419="faces and events",39,IF(J1419="events and names",40,IF(J1419="flashbulb",41,IF(J1419="stories",42,IF(J1419="course material",43,IF(J1419="autobiographical",44,IF(J1419="novels",45,IF(J1419="public events",46,"99"))))))))))))))))))))))))))))))))))))))))))))))</f>
        <v>2</v>
      </c>
      <c r="L1419" s="69">
        <f>IF(J1419="syllables",1,IF(J1419="trigrams",1,IF(J1419="strings",1,IF(J1419="visual array",1,IF(J1419="characters",1,IF(J1419="letters",1,IF(J1419="free forms",1,IF(J1419="odors",2,IF(J1419="words",2,IF(J1419="pictures",2,IF(J1419="object pictures",2,IF(J1419="faces",2,IF(J1419="names",2,IF(J1419="idioms","2",IF(J1419="grades",2,IF(J1419="syllable-digit pairs",3,IF(J1419="trigram-word pairs",3,IF(J1419="word-digit pairs",3,IF(J1419="English-Swahili pairs",3,IF(J1419="spatial position",3,IF(J1419="word pairs",4,IF(J1419="word triads",4,IF(J1419="generated words",4,IF(J1419="word definition pairs",4,IF(J1419="math problems",4,IF(J1419="famous faces",4,IF(J1419="famous names",4,IF(J1419="famous voices",4,IF(J1419="television programs",4,IF(J1419="race horses",4,IF(J1419="new vocabulary",4,IF(J1419="sentences",5,IF(J1419="concepts",5,IF(J1419="ad slides",5,IF(J1419="scenes",5,IF(J1419="famous scenes",5,IF(J1419="poems",6,IF(J1419="walk",6,IF(J1419="faces and events",6,IF(J1419="events and names",6,IF(J1419="flashbulb",7,IF(J1419="stories",7,IF(J1419="course material",7,IF(J1419="autobiographical",7,IF(J1419="novels",7,IF(J1419="public events",7,"99"))))))))))))))))))))))))))))))))))))))))))))))</f>
        <v>1</v>
      </c>
      <c r="M1419" s="69">
        <v>0</v>
      </c>
      <c r="N1419" s="69">
        <v>1</v>
      </c>
      <c r="O1419" s="69">
        <v>1</v>
      </c>
      <c r="P1419" s="69" t="s">
        <v>550</v>
      </c>
      <c r="Q1419" s="69" t="s">
        <v>174</v>
      </c>
      <c r="R1419" s="69">
        <f>IF(Q1419="Free Recall",1,IF(Q1419="Cued Recall",2,IF(Q1419="Recognition",3,IF(Q1419="Multiple Choice",4,IF(Q1419="Savings",5,IF(Q1419="Stem Completion",6,IF(Q1419="Fragment Completion",7,IF(Q1419="anagram solution",8,IF(Q1419="Matching",9,IF(Q1419="Problem Solving",10,"99"))))))))))</f>
        <v>1</v>
      </c>
      <c r="S1419" s="69" t="s">
        <v>49</v>
      </c>
      <c r="T1419" s="92" t="s">
        <v>581</v>
      </c>
      <c r="U1419" s="69">
        <f>IF(T1419="within",1,0)</f>
        <v>1</v>
      </c>
      <c r="V1419" s="92">
        <v>30</v>
      </c>
      <c r="W1419" s="69">
        <f>F1419*V1419</f>
        <v>360</v>
      </c>
      <c r="X1419" s="69">
        <v>3</v>
      </c>
      <c r="Y1419" s="87">
        <f>AV1418</f>
        <v>0.01</v>
      </c>
      <c r="Z1419" s="69" t="s">
        <v>549</v>
      </c>
      <c r="AA1419" s="69">
        <v>15</v>
      </c>
      <c r="AB1419" s="69" t="str">
        <f>IF(AA1419&lt;60,"1",IF(AA1419&lt;=43200,"2",IF(AA1419&lt;=777600,"3","4")))</f>
        <v>1</v>
      </c>
      <c r="AC1419" s="72">
        <f>AVERAGE(AV1418:DA1418)</f>
        <v>6.669999999999999</v>
      </c>
      <c r="AD1419" s="69" t="str">
        <f>IF(AC1419&lt;60,"1",IF(AC1419&lt;=43200,"2",IF(AC1419&lt;=777600,"3","4")))</f>
        <v>1</v>
      </c>
      <c r="AE1419" s="87">
        <f>AA1419-Y1419</f>
        <v>14.99</v>
      </c>
      <c r="AF1419" s="88">
        <f>AV1419</f>
        <v>0.94</v>
      </c>
      <c r="AG1419" s="72">
        <f>((AW1419-AV1419)+(AX1419-AW1419))/2</f>
        <v>5.0000000000000044E-3</v>
      </c>
      <c r="AH1419" s="4"/>
      <c r="AI1419" s="72">
        <f>RSQ(AV1419:AX1419,AV1418:AX1418)</f>
        <v>0.89316324761827948</v>
      </c>
      <c r="AJ1419" s="110">
        <f>SLOPE(AV1419:AX1419,AV1418:AX1418)</f>
        <v>7.1481652470450582E-4</v>
      </c>
      <c r="AK1419" s="72">
        <f>INTERCEPT(AV1419:AX1419,AV1418:AX1418)</f>
        <v>0.93856550711355435</v>
      </c>
      <c r="AL1419" s="72">
        <f>INDEX(LINEST(LN(AV1419:AX1419),LN(AV1418:AX1418),TRUE,TRUE),3,1)</f>
        <v>0.3791544053992158</v>
      </c>
      <c r="AM1419" s="72">
        <f>INDEX(LINEST(LN(AV1419:AX1419),LN(AV1418:AX1418)),1)</f>
        <v>9.5395463170633884E-4</v>
      </c>
      <c r="AN1419" s="72">
        <f>EXP(INDEX(LINEST(LN(AV1419:AX1419),LN(AV1418:AX1418)),1,2))</f>
        <v>0.94340788000709497</v>
      </c>
      <c r="AO1419" s="89">
        <f>INDEX(LINEST((AV1419:AX1419),LN(AV1418:AX1418),TRUE,TRUE),3,1)</f>
        <v>0.37915440539921591</v>
      </c>
      <c r="AP1419" s="89">
        <f>INDEX(LINEST((AV1419:AX1419),LN(AV1418:AX1418)),1)</f>
        <v>9.0147871460134938E-4</v>
      </c>
      <c r="AQ1419" s="90">
        <f>INDEX(LINEST(LN(AV1419:AX1419),SQRT(AV1418:AX1418),TRUE,TRUE),3,1)</f>
        <v>0.68133527094622359</v>
      </c>
      <c r="AR1419" s="117">
        <f>INDEX(LINEST(LN(AV1419:AX1419),SQRT((AV1418:AX1418))),1)</f>
        <v>2.6654710957993159E-3</v>
      </c>
      <c r="AS1419" s="91">
        <f>INDEX(LINEST(1/(AV1419:AX1419),1/(SQRT(AV1418:AX1418)),TRUE,TRUE),3,1)</f>
        <v>0.26483406219609579</v>
      </c>
      <c r="AT1419" s="91">
        <f>INDEX(LINEST(1/(AV1419:AX1419),1/SQRT(AV1418:AX1418)),1)</f>
        <v>5.972655308133086E-4</v>
      </c>
      <c r="AU1419" s="3"/>
      <c r="AV1419" s="53">
        <v>0.94</v>
      </c>
      <c r="AW1419" s="53">
        <v>0.94</v>
      </c>
      <c r="AX1419" s="53">
        <v>0.95</v>
      </c>
      <c r="AY1419" s="53"/>
      <c r="AZ1419" s="53"/>
      <c r="BA1419" s="53"/>
      <c r="BB1419" s="53"/>
      <c r="BC1419" s="53"/>
      <c r="BD1419" s="53"/>
      <c r="BE1419" s="53"/>
      <c r="BF1419" s="53"/>
      <c r="BG1419" s="53"/>
      <c r="BH1419" s="53"/>
      <c r="BI1419" s="53"/>
      <c r="BJ1419" s="53"/>
      <c r="BK1419" s="53"/>
      <c r="BL1419" s="53"/>
      <c r="BM1419" s="53"/>
      <c r="BN1419" s="53"/>
      <c r="BO1419" s="53"/>
      <c r="BP1419" s="53"/>
      <c r="BQ1419" s="53"/>
      <c r="BR1419" s="53"/>
      <c r="BS1419" s="53"/>
      <c r="BT1419" s="53"/>
      <c r="BU1419" s="53"/>
      <c r="BV1419" s="53"/>
      <c r="BW1419" s="53"/>
      <c r="BX1419" s="53"/>
      <c r="BY1419" s="53"/>
      <c r="BZ1419" s="53"/>
      <c r="CA1419" s="53"/>
      <c r="CB1419" s="53"/>
      <c r="CC1419" s="53"/>
      <c r="CD1419" s="53"/>
      <c r="CE1419" s="53"/>
      <c r="CF1419" s="53"/>
      <c r="CG1419" s="53"/>
      <c r="CH1419" s="53"/>
      <c r="CI1419" s="53"/>
      <c r="CJ1419" s="53"/>
      <c r="CK1419" s="53"/>
      <c r="CL1419" s="53"/>
      <c r="CM1419" s="53"/>
      <c r="CN1419" s="53"/>
      <c r="CO1419" s="53"/>
      <c r="CP1419" s="53"/>
      <c r="CQ1419" s="53"/>
      <c r="CR1419" s="1"/>
      <c r="CS1419" s="1"/>
      <c r="CT1419" s="1"/>
      <c r="CU1419" s="1"/>
    </row>
    <row r="1420" spans="1:99" s="13" customFormat="1" ht="12" customHeight="1" x14ac:dyDescent="0.2">
      <c r="A1420" s="65">
        <v>43979</v>
      </c>
      <c r="B1420" s="1"/>
      <c r="C1420" s="1"/>
      <c r="D1420" s="60"/>
      <c r="E1420" s="76"/>
      <c r="F1420" s="60"/>
      <c r="G1420" s="60"/>
      <c r="H1420" s="60"/>
      <c r="I1420" s="60"/>
      <c r="J1420" s="60"/>
      <c r="K1420" s="60"/>
      <c r="L1420" s="60"/>
      <c r="M1420" s="60"/>
      <c r="N1420" s="60"/>
      <c r="O1420" s="60"/>
      <c r="P1420" s="60"/>
      <c r="Q1420" s="60"/>
      <c r="R1420" s="60"/>
      <c r="S1420" s="60"/>
      <c r="T1420" s="59"/>
      <c r="U1420" s="60"/>
      <c r="V1420" s="59"/>
      <c r="W1420" s="60"/>
      <c r="X1420" s="60"/>
      <c r="Y1420" s="76"/>
      <c r="Z1420" s="60"/>
      <c r="AA1420" s="60"/>
      <c r="AB1420" s="60"/>
      <c r="AC1420" s="56"/>
      <c r="AD1420" s="60"/>
      <c r="AE1420" s="76"/>
      <c r="AF1420" s="80"/>
      <c r="AG1420" s="56"/>
      <c r="AH1420" s="4"/>
      <c r="AI1420" s="56"/>
      <c r="AJ1420" s="109"/>
      <c r="AK1420" s="56"/>
      <c r="AL1420" s="56"/>
      <c r="AM1420" s="56"/>
      <c r="AN1420" s="56"/>
      <c r="AO1420" s="82"/>
      <c r="AP1420" s="82"/>
      <c r="AQ1420" s="83"/>
      <c r="AR1420" s="116"/>
      <c r="AS1420" s="84"/>
      <c r="AT1420" s="84"/>
      <c r="AU1420" s="3"/>
      <c r="AV1420" s="53">
        <f>60*5</f>
        <v>300</v>
      </c>
      <c r="AW1420" s="53">
        <f>60*30</f>
        <v>1800</v>
      </c>
      <c r="AX1420" s="53">
        <f>60*60*24*7</f>
        <v>604800</v>
      </c>
      <c r="AY1420" s="53"/>
      <c r="AZ1420" s="53"/>
      <c r="BA1420" s="53"/>
      <c r="BB1420" s="53"/>
      <c r="BC1420" s="53"/>
      <c r="BD1420" s="53"/>
      <c r="BE1420" s="53"/>
      <c r="BF1420" s="53"/>
      <c r="BG1420" s="53"/>
      <c r="BH1420" s="53"/>
      <c r="BI1420" s="53"/>
      <c r="BJ1420" s="53"/>
      <c r="BK1420" s="53"/>
      <c r="BL1420" s="53"/>
      <c r="BM1420" s="53"/>
      <c r="BN1420" s="53"/>
      <c r="BO1420" s="53"/>
      <c r="BP1420" s="53"/>
      <c r="BQ1420" s="53"/>
      <c r="BR1420" s="53"/>
      <c r="BS1420" s="53"/>
      <c r="BT1420" s="53"/>
      <c r="BU1420" s="53"/>
      <c r="BV1420" s="53"/>
      <c r="BW1420" s="53"/>
      <c r="BX1420" s="53"/>
      <c r="BY1420" s="53"/>
      <c r="BZ1420" s="53"/>
      <c r="CA1420" s="53"/>
      <c r="CB1420" s="53"/>
      <c r="CC1420" s="53"/>
      <c r="CD1420" s="53"/>
      <c r="CE1420" s="53"/>
      <c r="CF1420" s="53"/>
      <c r="CG1420" s="53"/>
      <c r="CH1420" s="53"/>
      <c r="CI1420" s="53"/>
      <c r="CJ1420" s="53"/>
      <c r="CK1420" s="53"/>
      <c r="CL1420" s="53"/>
      <c r="CM1420" s="53"/>
      <c r="CN1420" s="53"/>
      <c r="CO1420" s="53"/>
      <c r="CP1420" s="53"/>
      <c r="CQ1420" s="53"/>
      <c r="CR1420" s="1"/>
      <c r="CS1420" s="1"/>
      <c r="CT1420" s="1"/>
      <c r="CU1420" s="1"/>
    </row>
    <row r="1421" spans="1:99" s="13" customFormat="1" ht="12" customHeight="1" x14ac:dyDescent="0.2">
      <c r="A1421" s="65">
        <v>43979</v>
      </c>
      <c r="B1421" s="1" t="s">
        <v>1015</v>
      </c>
      <c r="C1421" s="1" t="s">
        <v>1016</v>
      </c>
      <c r="D1421" s="60">
        <v>2016</v>
      </c>
      <c r="E1421" s="76">
        <v>1</v>
      </c>
      <c r="F1421" s="60">
        <v>41</v>
      </c>
      <c r="G1421" s="60">
        <v>41</v>
      </c>
      <c r="H1421" s="60" t="s">
        <v>50</v>
      </c>
      <c r="I1421" s="60" t="s">
        <v>330</v>
      </c>
      <c r="J1421" s="60" t="s">
        <v>16</v>
      </c>
      <c r="K1421" s="60">
        <f>IF(J1421="syllables",1,IF(J1421="trigrams",2,IF(J1421="strings",3,IF(J1421="visual array",4,IF(J1421="characters",5,IF(J1421="letters",6,IF(J1421="free forms",7,IF(J1421="odors",8,IF(J1421="words",9,IF(J1421="pictures",10,IF(J1421="object pictures",11,IF(J1421="faces",12,IF(J1421="names",13,IF(J1421="idioms",14,IF(J1421="grades",15,IF(J1421="syllable-digit pairs",16,IF(J1421="trigram-word pairs",17,IF(J1421="word-digit pairs",18,IF(J1421="English-Swahili pairs",19,IF(J1421="spatial position",20,IF(J1421="word pairs",21,IF(J1421="word triads",22,IF(J1421="generated words",23,IF(J1421="word definition pairs",24,IF(J1421="math problems",25,IF(J1421="famous faces",26,IF(J1421="famous names",27,IF(J1421="famous voices",28,IF(J1421="television programs",29,IF(J1421="race horses",30,IF(J1421="new vocabulary",31,IF(J1421="sentences",32,IF(J1421="concepts",33,IF(J1421="ad slides",34,IF(J1421="scenes",35,IF(J1421="famous scenes",36,IF(J1421="poems",37,IF(J1421="walk",38,IF(J1421="faces and events",39,IF(J1421="events and names",40,IF(J1421="flashbulb",41,IF(J1421="stories",42,IF(J1421="course material",43,IF(J1421="autobiographical",44,IF(J1421="novels",45,IF(J1421="public events",46,"99"))))))))))))))))))))))))))))))))))))))))))))))</f>
        <v>9</v>
      </c>
      <c r="L1421" s="60">
        <f>IF(J1421="syllables",1,IF(J1421="trigrams",1,IF(J1421="strings",1,IF(J1421="visual array",1,IF(J1421="characters",1,IF(J1421="letters",1,IF(J1421="free forms",1,IF(J1421="odors",2,IF(J1421="words",2,IF(J1421="pictures",2,IF(J1421="object pictures",2,IF(J1421="faces",2,IF(J1421="names",2,IF(J1421="idioms","2",IF(J1421="grades",2,IF(J1421="syllable-digit pairs",3,IF(J1421="trigram-word pairs",3,IF(J1421="word-digit pairs",3,IF(J1421="English-Swahili pairs",3,IF(J1421="spatial position",3,IF(J1421="word pairs",4,IF(J1421="word triads",4,IF(J1421="generated words",4,IF(J1421="word definition pairs",4,IF(J1421="math problems",4,IF(J1421="famous faces",4,IF(J1421="famous names",4,IF(J1421="famous voices",4,IF(J1421="television programs",4,IF(J1421="race horses",4,IF(J1421="new vocabulary",4,IF(J1421="sentences",5,IF(J1421="concepts",5,IF(J1421="ad slides",5,IF(J1421="scenes",5,IF(J1421="famous scenes",5,IF(J1421="poems",6,IF(J1421="walk",6,IF(J1421="faces and events",6,IF(J1421="events and names",6,IF(J1421="flashbulb",7,IF(J1421="stories",7,IF(J1421="course material",7,IF(J1421="autobiographical",7,IF(J1421="novels",7,IF(J1421="public events",7,"99"))))))))))))))))))))))))))))))))))))))))))))))</f>
        <v>2</v>
      </c>
      <c r="M1421" s="60">
        <v>0</v>
      </c>
      <c r="N1421" s="60">
        <v>1</v>
      </c>
      <c r="O1421" s="60">
        <v>0</v>
      </c>
      <c r="P1421" s="60"/>
      <c r="Q1421" s="60" t="s">
        <v>174</v>
      </c>
      <c r="R1421" s="60">
        <f>IF(Q1421="Free Recall",1,IF(Q1421="Cued Recall",2,IF(Q1421="Recognition",3,IF(Q1421="Multiple Choice",4,IF(Q1421="Savings",5,IF(Q1421="Stem Completion",6,IF(Q1421="Fragment Completion",7,IF(Q1421="anagram solution",8,IF(Q1421="Matching",9,IF(Q1421="Problem Solving",10,"99"))))))))))</f>
        <v>1</v>
      </c>
      <c r="S1421" s="60" t="s">
        <v>49</v>
      </c>
      <c r="T1421" s="59" t="s">
        <v>581</v>
      </c>
      <c r="U1421" s="60">
        <f>IF(T1421="within",1,0)</f>
        <v>1</v>
      </c>
      <c r="V1421" s="59">
        <v>45</v>
      </c>
      <c r="W1421" s="60">
        <f>F1421*V1421</f>
        <v>1845</v>
      </c>
      <c r="X1421" s="60">
        <v>3</v>
      </c>
      <c r="Y1421" s="76">
        <f>AV1420</f>
        <v>300</v>
      </c>
      <c r="Z1421" s="60" t="s">
        <v>150</v>
      </c>
      <c r="AA1421" s="60">
        <f>60*60*24*7</f>
        <v>604800</v>
      </c>
      <c r="AB1421" s="60" t="str">
        <f>IF(AA1421&lt;60,"1",IF(AA1421&lt;=43200,"2",IF(AA1421&lt;=777600,"3","4")))</f>
        <v>3</v>
      </c>
      <c r="AC1421" s="56">
        <f>AVERAGE(AV1420:DA1420)</f>
        <v>202300</v>
      </c>
      <c r="AD1421" s="60" t="str">
        <f>IF(AC1421&lt;60,"1",IF(AC1421&lt;=43200,"2",IF(AC1421&lt;=777600,"3","4")))</f>
        <v>3</v>
      </c>
      <c r="AE1421" s="76">
        <f>AA1421-Y1421</f>
        <v>604500</v>
      </c>
      <c r="AF1421" s="80">
        <f>AV1421</f>
        <v>0.81372822899999997</v>
      </c>
      <c r="AG1421" s="56">
        <f>((AW1421-AV1421)+(AX1421-AW1421))/2</f>
        <v>-0.20517835499999998</v>
      </c>
      <c r="AH1421" s="4"/>
      <c r="AI1421" s="56">
        <f>RSQ(AV1421:AX1421,AV1420:AX1420)</f>
        <v>0.94198967113648624</v>
      </c>
      <c r="AJ1421" s="109">
        <f>SLOPE(AV1421:AX1421,AV1420:AX1420)</f>
        <v>-5.9413466883735468E-7</v>
      </c>
      <c r="AK1421" s="56">
        <f>INTERCEPT(AV1421:AX1421,AV1420:AX1420)</f>
        <v>0.76257648017246349</v>
      </c>
      <c r="AL1421" s="56">
        <f>INDEX(LINEST(LN(AV1421:AX1421),LN(AV1420:AX1420),TRUE,TRUE),3,1)</f>
        <v>0.99815302160672303</v>
      </c>
      <c r="AM1421" s="56">
        <f>INDEX(LINEST(LN(AV1421:AX1421),LN(AV1420:AX1420)),1)</f>
        <v>-9.3458227671608676E-2</v>
      </c>
      <c r="AN1421" s="56">
        <f>EXP(INDEX(LINEST(LN(AV1421:AX1421),LN(AV1420:AX1420)),1,2))</f>
        <v>1.4055638166443492</v>
      </c>
      <c r="AO1421" s="82">
        <f>INDEX(LINEST((AV1421:AX1421),LN(AV1420:AX1420),TRUE,TRUE),3,1)</f>
        <v>0.99966748310186493</v>
      </c>
      <c r="AP1421" s="82">
        <f>INDEX(LINEST((AV1421:AX1421),LN(AV1420:AX1420)),1)</f>
        <v>-5.3632590134019581E-2</v>
      </c>
      <c r="AQ1421" s="83">
        <f>INDEX(LINEST(LN(AV1421:AX1421),SQRT(AV1420:AX1420),TRUE,TRUE),3,1)</f>
        <v>0.97613489341615611</v>
      </c>
      <c r="AR1421" s="116">
        <f>INDEX(LINEST(LN(AV1421:AX1421),SQRT((AV1420:AX1420))),1)</f>
        <v>-8.5116739599426831E-4</v>
      </c>
      <c r="AS1421" s="84">
        <f>INDEX(LINEST(1/(AV1421:AX1421),1/(SQRT(AV1420:AX1420)),TRUE,TRUE),3,1)</f>
        <v>0.76049162569055084</v>
      </c>
      <c r="AT1421" s="84">
        <f>INDEX(LINEST(1/(AV1421:AX1421),1/SQRT(AV1420:AX1420)),1)</f>
        <v>-20.733397077506734</v>
      </c>
      <c r="AU1421" s="3"/>
      <c r="AV1421" s="53">
        <v>0.81372822899999997</v>
      </c>
      <c r="AW1421" s="53">
        <v>0.71004936200000002</v>
      </c>
      <c r="AX1421" s="53">
        <v>0.40337151900000001</v>
      </c>
      <c r="AY1421" s="53"/>
      <c r="AZ1421" s="53"/>
      <c r="BA1421" s="53"/>
      <c r="BB1421" s="53"/>
      <c r="BC1421" s="53"/>
      <c r="BD1421" s="53"/>
      <c r="BE1421" s="53"/>
      <c r="BF1421" s="53"/>
      <c r="BG1421" s="53"/>
      <c r="BH1421" s="53"/>
      <c r="BI1421" s="53"/>
      <c r="BJ1421" s="53"/>
      <c r="BK1421" s="53"/>
      <c r="BL1421" s="53"/>
      <c r="BM1421" s="53"/>
      <c r="BN1421" s="53"/>
      <c r="BO1421" s="53"/>
      <c r="BP1421" s="53"/>
      <c r="BQ1421" s="53"/>
      <c r="BR1421" s="53"/>
      <c r="BS1421" s="53"/>
      <c r="BT1421" s="53"/>
      <c r="BU1421" s="53"/>
      <c r="BV1421" s="53"/>
      <c r="BW1421" s="53"/>
      <c r="BX1421" s="53"/>
      <c r="BY1421" s="53"/>
      <c r="BZ1421" s="53"/>
      <c r="CA1421" s="53"/>
      <c r="CB1421" s="53"/>
      <c r="CC1421" s="53"/>
      <c r="CD1421" s="53"/>
      <c r="CE1421" s="53"/>
      <c r="CF1421" s="53"/>
      <c r="CG1421" s="53"/>
      <c r="CH1421" s="53"/>
      <c r="CI1421" s="53"/>
      <c r="CJ1421" s="53"/>
      <c r="CK1421" s="53"/>
      <c r="CL1421" s="53"/>
      <c r="CM1421" s="53"/>
      <c r="CN1421" s="53"/>
      <c r="CO1421" s="53"/>
      <c r="CP1421" s="53"/>
      <c r="CQ1421" s="53"/>
      <c r="CR1421" s="1"/>
      <c r="CS1421" s="1"/>
      <c r="CT1421" s="1"/>
      <c r="CU1421" s="1"/>
    </row>
    <row r="1422" spans="1:99" s="13" customFormat="1" ht="12" customHeight="1" x14ac:dyDescent="0.2">
      <c r="A1422" s="68">
        <v>43509</v>
      </c>
      <c r="B1422" s="70"/>
      <c r="C1422" s="70"/>
      <c r="D1422" s="69"/>
      <c r="E1422" s="87"/>
      <c r="F1422" s="69"/>
      <c r="G1422" s="69"/>
      <c r="H1422" s="69"/>
      <c r="I1422" s="69"/>
      <c r="J1422" s="69"/>
      <c r="K1422" s="107"/>
      <c r="L1422" s="107"/>
      <c r="M1422" s="69"/>
      <c r="N1422" s="69"/>
      <c r="O1422" s="69"/>
      <c r="P1422" s="69"/>
      <c r="Q1422" s="69"/>
      <c r="R1422" s="69"/>
      <c r="S1422" s="69"/>
      <c r="T1422" s="69"/>
      <c r="U1422" s="69"/>
      <c r="V1422" s="69"/>
      <c r="W1422" s="69"/>
      <c r="X1422" s="69"/>
      <c r="Y1422" s="87"/>
      <c r="Z1422" s="69"/>
      <c r="AA1422" s="69"/>
      <c r="AB1422" s="69"/>
      <c r="AC1422" s="69"/>
      <c r="AD1422" s="69"/>
      <c r="AE1422" s="69"/>
      <c r="AF1422" s="88"/>
      <c r="AG1422" s="72"/>
      <c r="AH1422" s="4"/>
      <c r="AI1422" s="72"/>
      <c r="AJ1422" s="110"/>
      <c r="AK1422" s="72"/>
      <c r="AL1422" s="72"/>
      <c r="AM1422" s="72"/>
      <c r="AN1422" s="72"/>
      <c r="AO1422" s="72"/>
      <c r="AP1422" s="72"/>
      <c r="AQ1422" s="72"/>
      <c r="AR1422" s="110"/>
      <c r="AS1422" s="72"/>
      <c r="AT1422" s="72"/>
      <c r="AU1422" s="4"/>
      <c r="AV1422" s="71">
        <v>30</v>
      </c>
      <c r="AW1422" s="71">
        <f>3600*1</f>
        <v>3600</v>
      </c>
      <c r="AX1422" s="71">
        <f>3600*2</f>
        <v>7200</v>
      </c>
      <c r="AY1422" s="71">
        <f>3600*4</f>
        <v>14400</v>
      </c>
      <c r="AZ1422" s="71">
        <f>3600*8</f>
        <v>28800</v>
      </c>
      <c r="BA1422" s="42"/>
      <c r="BB1422" s="42"/>
      <c r="BC1422" s="2"/>
      <c r="BD1422" s="2"/>
      <c r="BE1422" s="2"/>
      <c r="BF1422" s="2"/>
      <c r="BG1422" s="2"/>
      <c r="BH1422" s="2"/>
      <c r="BI1422" s="2"/>
      <c r="BJ1422" s="2"/>
      <c r="BK1422" s="2"/>
      <c r="BL1422" s="2"/>
      <c r="BM1422" s="2"/>
      <c r="BN1422" s="2"/>
      <c r="BO1422" s="2"/>
      <c r="BP1422" s="2"/>
      <c r="BQ1422" s="2"/>
      <c r="BR1422" s="2"/>
      <c r="BS1422" s="2"/>
      <c r="BT1422" s="2"/>
      <c r="BU1422" s="2"/>
      <c r="BV1422" s="2"/>
      <c r="BW1422" s="2"/>
      <c r="BX1422" s="2"/>
      <c r="BY1422" s="2"/>
      <c r="BZ1422" s="2"/>
      <c r="CA1422" s="2"/>
      <c r="CB1422" s="2"/>
      <c r="CC1422" s="2"/>
      <c r="CD1422" s="2"/>
      <c r="CE1422" s="2"/>
      <c r="CF1422" s="2"/>
      <c r="CG1422" s="2"/>
      <c r="CH1422" s="2"/>
      <c r="CI1422" s="2"/>
      <c r="CJ1422" s="2"/>
      <c r="CK1422" s="2"/>
      <c r="CL1422" s="2"/>
      <c r="CM1422" s="2"/>
      <c r="CN1422" s="2"/>
      <c r="CO1422" s="2"/>
      <c r="CP1422" s="2"/>
      <c r="CQ1422" s="2"/>
      <c r="CR1422" s="1"/>
      <c r="CS1422" s="1"/>
      <c r="CT1422" s="1"/>
      <c r="CU1422" s="1"/>
    </row>
    <row r="1423" spans="1:99" s="13" customFormat="1" ht="12" customHeight="1" x14ac:dyDescent="0.2">
      <c r="A1423" s="68">
        <v>43509</v>
      </c>
      <c r="B1423" s="70" t="s">
        <v>257</v>
      </c>
      <c r="C1423" s="70" t="s">
        <v>86</v>
      </c>
      <c r="D1423" s="69">
        <v>1932</v>
      </c>
      <c r="E1423" s="87">
        <v>1</v>
      </c>
      <c r="F1423" s="69">
        <v>2</v>
      </c>
      <c r="G1423" s="69">
        <v>2</v>
      </c>
      <c r="H1423" s="69" t="s">
        <v>41</v>
      </c>
      <c r="I1423" s="69" t="s">
        <v>620</v>
      </c>
      <c r="J1423" s="69" t="s">
        <v>281</v>
      </c>
      <c r="K1423" s="69">
        <f>IF(J1423="syllables",1,IF(J1423="trigrams",2,IF(J1423="strings",3,IF(J1423="visual array",4,IF(J1423="characters",5,IF(J1423="letters",6,IF(J1423="free forms",7,IF(J1423="odors",8,IF(J1423="words",9,IF(J1423="pictures",10,IF(J1423="object pictures",11,IF(J1423="faces",12,IF(J1423="names",13,IF(J1423="idioms",14,IF(J1423="grades",15,IF(J1423="syllable-digit pairs",16,IF(J1423="trigram-word pairs",17,IF(J1423="word-digit pairs",18,IF(J1423="English-Swahili pairs",19,IF(J1423="spatial position",20,IF(J1423="word pairs",21,IF(J1423="word triads",22,IF(J1423="generated words",23,IF(J1423="word definition pairs",24,IF(J1423="math problems",25,IF(J1423="famous faces",26,IF(J1423="famous names",27,IF(J1423="famous voices",28,IF(J1423="television programs",29,IF(J1423="race horses",30,IF(J1423="new vocabulary",31,IF(J1423="sentences",32,IF(J1423="concepts",33,IF(J1423="ad slides",34,IF(J1423="scenes",35,IF(J1423="famous scenes",36,IF(J1423="poems",37,IF(J1423="walk",38,IF(J1423="faces and events",39,IF(J1423="events and names",40,IF(J1423="flashbulb",41,IF(J1423="stories",42,IF(J1423="course material",43,IF(J1423="autobiographical",44,IF(J1423="novels",45,IF(J1423="public events",46,"99"))))))))))))))))))))))))))))))))))))))))))))))</f>
        <v>1</v>
      </c>
      <c r="L1423" s="69">
        <f>IF(J1423="syllables",1,IF(J1423="trigrams",1,IF(J1423="strings",1,IF(J1423="visual array",1,IF(J1423="characters",1,IF(J1423="letters",1,IF(J1423="free forms",1,IF(J1423="odors",2,IF(J1423="words",2,IF(J1423="pictures",2,IF(J1423="object pictures",2,IF(J1423="faces",2,IF(J1423="names",2,IF(J1423="idioms","2",IF(J1423="grades",2,IF(J1423="syllable-digit pairs",3,IF(J1423="trigram-word pairs",3,IF(J1423="word-digit pairs",3,IF(J1423="English-Swahili pairs",3,IF(J1423="spatial position",3,IF(J1423="word pairs",4,IF(J1423="word triads",4,IF(J1423="generated words",4,IF(J1423="word definition pairs",4,IF(J1423="math problems",4,IF(J1423="famous faces",4,IF(J1423="famous names",4,IF(J1423="famous voices",4,IF(J1423="television programs",4,IF(J1423="race horses",4,IF(J1423="new vocabulary",4,IF(J1423="sentences",5,IF(J1423="concepts",5,IF(J1423="ad slides",5,IF(J1423="scenes",5,IF(J1423="famous scenes",5,IF(J1423="poems",6,IF(J1423="walk",6,IF(J1423="faces and events",6,IF(J1423="events and names",6,IF(J1423="flashbulb",7,IF(J1423="stories",7,IF(J1423="course material",7,IF(J1423="autobiographical",7,IF(J1423="novels",7,IF(J1423="public events",7,"99"))))))))))))))))))))))))))))))))))))))))))))))</f>
        <v>1</v>
      </c>
      <c r="M1423" s="69">
        <v>1</v>
      </c>
      <c r="N1423" s="69">
        <v>2</v>
      </c>
      <c r="O1423" s="69">
        <v>0</v>
      </c>
      <c r="P1423" s="69"/>
      <c r="Q1423" s="69" t="s">
        <v>87</v>
      </c>
      <c r="R1423" s="69">
        <f>IF(Q1423="Free Recall",1,IF(Q1423="Cued Recall",2,IF(Q1423="Recognition",3,IF(Q1423="Multiple Choice",4,IF(Q1423="Savings",5,IF(Q1423="Stem Completion",6,IF(Q1423="Fragment Completion",7,IF(Q1423="anagram solution",8,IF(Q1423="Matching",9,IF(Q1423="Problem Solving",10,"99"))))))))))</f>
        <v>5</v>
      </c>
      <c r="S1423" s="69" t="s">
        <v>233</v>
      </c>
      <c r="T1423" s="92" t="s">
        <v>581</v>
      </c>
      <c r="U1423" s="69">
        <f>IF(T1423="within",1,0)</f>
        <v>1</v>
      </c>
      <c r="V1423" s="92">
        <v>120</v>
      </c>
      <c r="W1423" s="69">
        <f>F1423*V1423</f>
        <v>240</v>
      </c>
      <c r="X1423" s="69">
        <v>5</v>
      </c>
      <c r="Y1423" s="87">
        <f>AV1422</f>
        <v>30</v>
      </c>
      <c r="Z1423" s="69" t="s">
        <v>85</v>
      </c>
      <c r="AA1423" s="69">
        <v>28800</v>
      </c>
      <c r="AB1423" s="69" t="str">
        <f>IF(AA1423&lt;60,"1",IF(AA1423&lt;=43200,"2",IF(AA1423&lt;=777600,"3","4")))</f>
        <v>2</v>
      </c>
      <c r="AC1423" s="72">
        <f>AVERAGE(AV1422:DA1422)</f>
        <v>10806</v>
      </c>
      <c r="AD1423" s="69" t="str">
        <f>IF(AC1423&lt;60,"1",IF(AC1423&lt;=43200,"2",IF(AC1423&lt;=777600,"3","4")))</f>
        <v>2</v>
      </c>
      <c r="AE1423" s="87">
        <f>AA1423-Y1423</f>
        <v>28770</v>
      </c>
      <c r="AF1423" s="88">
        <f>AV1423</f>
        <v>1</v>
      </c>
      <c r="AG1423" s="72">
        <f>((AW1423-AV1423)+(AX1423-AW1423)+(AY1423-AX1423)+(AZ1423-AY1423))/4</f>
        <v>-0.16575000000000001</v>
      </c>
      <c r="AH1423" s="4"/>
      <c r="AI1423" s="72">
        <f>RSQ(AV1423:AZ1423,AV1422:AZ1422)</f>
        <v>0.43390447119154446</v>
      </c>
      <c r="AJ1423" s="110">
        <f>SLOPE(AV1423:AZ1423,AV1422:AZ1422)</f>
        <v>-1.5526713215528832E-5</v>
      </c>
      <c r="AK1423" s="72">
        <f>INTERCEPT(AV1423:AZ1423,AV1422:AZ1422)</f>
        <v>0.69438166300700455</v>
      </c>
      <c r="AL1423" s="72">
        <f>INDEX(LINEST(LN(AV1423:AZ1423),LN(AV1422:AZ1422),TRUE,TRUE),3,1)</f>
        <v>0.98792295085439252</v>
      </c>
      <c r="AM1423" s="72">
        <f>INDEX(LINEST(LN(AV1423:AZ1423),LN(AV1422:AZ1422)),1)</f>
        <v>-0.15302715566210412</v>
      </c>
      <c r="AN1423" s="72">
        <f>EXP(INDEX(LINEST(LN(AV1423:AZ1423),LN(AV1422:AZ1422)),1,2))</f>
        <v>1.6691473075404764</v>
      </c>
      <c r="AO1423" s="89">
        <f>INDEX(LINEST((AV1423:AZ1423),LN(AV1422:AZ1422),TRUE,TRUE),3,1)</f>
        <v>0.97816756477322375</v>
      </c>
      <c r="AP1423" s="89">
        <f>INDEX(LINEST((AV1423:AZ1423),LN(AV1422:AZ1422)),1)</f>
        <v>-9.7553712214733163E-2</v>
      </c>
      <c r="AQ1423" s="90">
        <f>INDEX(LINEST(LN(AV1423:AZ1423),SQRT(AV1422:AZ1422),TRUE,TRUE),3,1)</f>
        <v>0.79357122311326278</v>
      </c>
      <c r="AR1423" s="117">
        <f>INDEX(LINEST(LN(AV1423:AZ1423),SQRT((AV1422:AZ1422))),1)</f>
        <v>-6.0284807241244558E-3</v>
      </c>
      <c r="AS1423" s="91">
        <f>INDEX(LINEST(1/(AV1423:AZ1423),1/(SQRT(AV1422:AZ1422)),TRUE,TRUE),3,1)</f>
        <v>0.86895402612297301</v>
      </c>
      <c r="AT1423" s="91">
        <f>INDEX(LINEST(1/(AV1423:AZ1423),1/SQRT(AV1422:AZ1422)),1)</f>
        <v>-8.7550761610031493</v>
      </c>
      <c r="AU1423" s="3"/>
      <c r="AV1423" s="73">
        <v>1</v>
      </c>
      <c r="AW1423" s="73">
        <v>0.45200000000000001</v>
      </c>
      <c r="AX1423" s="73">
        <v>0.43099999999999999</v>
      </c>
      <c r="AY1423" s="73">
        <v>0.41299999999999998</v>
      </c>
      <c r="AZ1423" s="73">
        <v>0.33700000000000002</v>
      </c>
      <c r="BA1423" s="42"/>
      <c r="BB1423" s="42"/>
      <c r="BC1423" s="2"/>
      <c r="BD1423" s="2"/>
      <c r="BE1423" s="2"/>
      <c r="BF1423" s="2"/>
      <c r="BG1423" s="2"/>
      <c r="BH1423" s="2"/>
      <c r="BI1423" s="2"/>
      <c r="BJ1423" s="2"/>
      <c r="BK1423" s="2"/>
      <c r="BL1423" s="2"/>
      <c r="BM1423" s="2"/>
      <c r="BN1423" s="2"/>
      <c r="BO1423" s="2"/>
      <c r="BP1423" s="2"/>
      <c r="BQ1423" s="2"/>
      <c r="BR1423" s="2"/>
      <c r="BS1423" s="2"/>
      <c r="BT1423" s="2"/>
      <c r="BU1423" s="2"/>
      <c r="BV1423" s="2"/>
      <c r="BW1423" s="2"/>
      <c r="BX1423" s="2"/>
      <c r="BY1423" s="2"/>
      <c r="BZ1423" s="2"/>
      <c r="CA1423" s="2"/>
      <c r="CB1423" s="2"/>
      <c r="CC1423" s="2"/>
      <c r="CD1423" s="2"/>
      <c r="CE1423" s="2"/>
      <c r="CF1423" s="2"/>
      <c r="CG1423" s="2"/>
      <c r="CH1423" s="2"/>
      <c r="CI1423" s="2"/>
      <c r="CJ1423" s="2"/>
      <c r="CK1423" s="2"/>
      <c r="CL1423" s="2"/>
      <c r="CM1423" s="2"/>
      <c r="CN1423" s="2"/>
      <c r="CO1423" s="2"/>
      <c r="CP1423" s="2"/>
      <c r="CQ1423" s="2"/>
      <c r="CR1423" s="1"/>
      <c r="CS1423" s="1"/>
      <c r="CT1423" s="1"/>
      <c r="CU1423" s="1"/>
    </row>
    <row r="1424" spans="1:99" s="13" customFormat="1" ht="12" customHeight="1" x14ac:dyDescent="0.2">
      <c r="A1424" s="68">
        <v>43509</v>
      </c>
      <c r="B1424" s="70"/>
      <c r="C1424" s="70"/>
      <c r="D1424" s="69"/>
      <c r="E1424" s="87"/>
      <c r="F1424" s="69"/>
      <c r="G1424" s="69"/>
      <c r="H1424" s="69"/>
      <c r="I1424" s="69"/>
      <c r="J1424" s="69"/>
      <c r="K1424" s="107"/>
      <c r="L1424" s="107"/>
      <c r="M1424" s="69"/>
      <c r="N1424" s="69"/>
      <c r="O1424" s="69"/>
      <c r="P1424" s="69"/>
      <c r="Q1424" s="69"/>
      <c r="R1424" s="69"/>
      <c r="S1424" s="69"/>
      <c r="T1424" s="69"/>
      <c r="U1424" s="69"/>
      <c r="V1424" s="69"/>
      <c r="W1424" s="69"/>
      <c r="X1424" s="69"/>
      <c r="Y1424" s="87"/>
      <c r="Z1424" s="69"/>
      <c r="AA1424" s="69"/>
      <c r="AB1424" s="69"/>
      <c r="AC1424" s="69"/>
      <c r="AD1424" s="69"/>
      <c r="AE1424" s="69"/>
      <c r="AF1424" s="88"/>
      <c r="AG1424" s="72"/>
      <c r="AH1424" s="4"/>
      <c r="AI1424" s="72"/>
      <c r="AJ1424" s="110"/>
      <c r="AK1424" s="72"/>
      <c r="AL1424" s="72"/>
      <c r="AM1424" s="72"/>
      <c r="AN1424" s="72"/>
      <c r="AO1424" s="72"/>
      <c r="AP1424" s="72"/>
      <c r="AQ1424" s="72"/>
      <c r="AR1424" s="110"/>
      <c r="AS1424" s="72"/>
      <c r="AT1424" s="72"/>
      <c r="AU1424" s="4"/>
      <c r="AV1424" s="71">
        <v>30</v>
      </c>
      <c r="AW1424" s="71">
        <f>3600*1</f>
        <v>3600</v>
      </c>
      <c r="AX1424" s="71">
        <f>3600*2</f>
        <v>7200</v>
      </c>
      <c r="AY1424" s="71">
        <f>3600*4</f>
        <v>14400</v>
      </c>
      <c r="AZ1424" s="71">
        <f>3600*8</f>
        <v>28800</v>
      </c>
      <c r="BA1424" s="42"/>
      <c r="BB1424" s="42"/>
      <c r="BC1424" s="2"/>
      <c r="BD1424" s="2"/>
      <c r="BE1424" s="2"/>
      <c r="BF1424" s="2"/>
      <c r="BG1424" s="2"/>
      <c r="BH1424" s="2"/>
      <c r="BI1424" s="2"/>
      <c r="BJ1424" s="2"/>
      <c r="BK1424" s="2"/>
      <c r="BL1424" s="2"/>
      <c r="BM1424" s="2"/>
      <c r="BN1424" s="2"/>
      <c r="BO1424" s="2"/>
      <c r="BP1424" s="2"/>
      <c r="BQ1424" s="2"/>
      <c r="BR1424" s="2"/>
      <c r="BS1424" s="2"/>
      <c r="BT1424" s="2"/>
      <c r="BU1424" s="2"/>
      <c r="BV1424" s="2"/>
      <c r="BW1424" s="2"/>
      <c r="BX1424" s="2"/>
      <c r="BY1424" s="2"/>
      <c r="BZ1424" s="2"/>
      <c r="CA1424" s="2"/>
      <c r="CB1424" s="2"/>
      <c r="CC1424" s="2"/>
      <c r="CD1424" s="2"/>
      <c r="CE1424" s="2"/>
      <c r="CF1424" s="2"/>
      <c r="CG1424" s="2"/>
      <c r="CH1424" s="2"/>
      <c r="CI1424" s="2"/>
      <c r="CJ1424" s="2"/>
      <c r="CK1424" s="2"/>
      <c r="CL1424" s="2"/>
      <c r="CM1424" s="2"/>
      <c r="CN1424" s="2"/>
      <c r="CO1424" s="2"/>
      <c r="CP1424" s="2"/>
      <c r="CQ1424" s="2"/>
      <c r="CR1424" s="1"/>
      <c r="CS1424" s="1"/>
      <c r="CT1424" s="1"/>
      <c r="CU1424" s="1"/>
    </row>
    <row r="1425" spans="1:99" s="13" customFormat="1" ht="12" customHeight="1" x14ac:dyDescent="0.2">
      <c r="A1425" s="68">
        <v>43509</v>
      </c>
      <c r="B1425" s="70" t="s">
        <v>257</v>
      </c>
      <c r="C1425" s="70" t="s">
        <v>86</v>
      </c>
      <c r="D1425" s="69">
        <v>1932</v>
      </c>
      <c r="E1425" s="87">
        <v>1</v>
      </c>
      <c r="F1425" s="69">
        <v>2</v>
      </c>
      <c r="G1425" s="69">
        <v>2</v>
      </c>
      <c r="H1425" s="69" t="s">
        <v>41</v>
      </c>
      <c r="I1425" s="69" t="s">
        <v>621</v>
      </c>
      <c r="J1425" s="69" t="s">
        <v>281</v>
      </c>
      <c r="K1425" s="69">
        <f>IF(J1425="syllables",1,IF(J1425="trigrams",2,IF(J1425="strings",3,IF(J1425="visual array",4,IF(J1425="characters",5,IF(J1425="letters",6,IF(J1425="free forms",7,IF(J1425="odors",8,IF(J1425="words",9,IF(J1425="pictures",10,IF(J1425="object pictures",11,IF(J1425="faces",12,IF(J1425="names",13,IF(J1425="idioms",14,IF(J1425="grades",15,IF(J1425="syllable-digit pairs",16,IF(J1425="trigram-word pairs",17,IF(J1425="word-digit pairs",18,IF(J1425="English-Swahili pairs",19,IF(J1425="spatial position",20,IF(J1425="word pairs",21,IF(J1425="word triads",22,IF(J1425="generated words",23,IF(J1425="word definition pairs",24,IF(J1425="math problems",25,IF(J1425="famous faces",26,IF(J1425="famous names",27,IF(J1425="famous voices",28,IF(J1425="television programs",29,IF(J1425="race horses",30,IF(J1425="new vocabulary",31,IF(J1425="sentences",32,IF(J1425="concepts",33,IF(J1425="ad slides",34,IF(J1425="scenes",35,IF(J1425="famous scenes",36,IF(J1425="poems",37,IF(J1425="walk",38,IF(J1425="faces and events",39,IF(J1425="events and names",40,IF(J1425="flashbulb",41,IF(J1425="stories",42,IF(J1425="course material",43,IF(J1425="autobiographical",44,IF(J1425="novels",45,IF(J1425="public events",46,"99"))))))))))))))))))))))))))))))))))))))))))))))</f>
        <v>1</v>
      </c>
      <c r="L1425" s="69">
        <f>IF(J1425="syllables",1,IF(J1425="trigrams",1,IF(J1425="strings",1,IF(J1425="visual array",1,IF(J1425="characters",1,IF(J1425="letters",1,IF(J1425="free forms",1,IF(J1425="odors",2,IF(J1425="words",2,IF(J1425="pictures",2,IF(J1425="object pictures",2,IF(J1425="faces",2,IF(J1425="names",2,IF(J1425="idioms","2",IF(J1425="grades",2,IF(J1425="syllable-digit pairs",3,IF(J1425="trigram-word pairs",3,IF(J1425="word-digit pairs",3,IF(J1425="English-Swahili pairs",3,IF(J1425="spatial position",3,IF(J1425="word pairs",4,IF(J1425="word triads",4,IF(J1425="generated words",4,IF(J1425="word definition pairs",4,IF(J1425="math problems",4,IF(J1425="famous faces",4,IF(J1425="famous names",4,IF(J1425="famous voices",4,IF(J1425="television programs",4,IF(J1425="race horses",4,IF(J1425="new vocabulary",4,IF(J1425="sentences",5,IF(J1425="concepts",5,IF(J1425="ad slides",5,IF(J1425="scenes",5,IF(J1425="famous scenes",5,IF(J1425="poems",6,IF(J1425="walk",6,IF(J1425="faces and events",6,IF(J1425="events and names",6,IF(J1425="flashbulb",7,IF(J1425="stories",7,IF(J1425="course material",7,IF(J1425="autobiographical",7,IF(J1425="novels",7,IF(J1425="public events",7,"99"))))))))))))))))))))))))))))))))))))))))))))))</f>
        <v>1</v>
      </c>
      <c r="M1425" s="69">
        <v>1</v>
      </c>
      <c r="N1425" s="69">
        <v>2</v>
      </c>
      <c r="O1425" s="69">
        <v>0</v>
      </c>
      <c r="P1425" s="69"/>
      <c r="Q1425" s="69" t="s">
        <v>87</v>
      </c>
      <c r="R1425" s="69">
        <f>IF(Q1425="Free Recall",1,IF(Q1425="Cued Recall",2,IF(Q1425="Recognition",3,IF(Q1425="Multiple Choice",4,IF(Q1425="Savings",5,IF(Q1425="Stem Completion",6,IF(Q1425="Fragment Completion",7,IF(Q1425="anagram solution",8,IF(Q1425="Matching",9,IF(Q1425="Problem Solving",10,"99"))))))))))</f>
        <v>5</v>
      </c>
      <c r="S1425" s="69" t="s">
        <v>233</v>
      </c>
      <c r="T1425" s="92" t="s">
        <v>581</v>
      </c>
      <c r="U1425" s="69">
        <f>IF(T1425="within",1,0)</f>
        <v>1</v>
      </c>
      <c r="V1425" s="92">
        <v>120</v>
      </c>
      <c r="W1425" s="69">
        <f>F1425*V1425</f>
        <v>240</v>
      </c>
      <c r="X1425" s="69">
        <v>5</v>
      </c>
      <c r="Y1425" s="87">
        <f>AV1424</f>
        <v>30</v>
      </c>
      <c r="Z1425" s="69" t="s">
        <v>85</v>
      </c>
      <c r="AA1425" s="69">
        <v>28800</v>
      </c>
      <c r="AB1425" s="69" t="str">
        <f>IF(AA1425&lt;60,"1",IF(AA1425&lt;=43200,"2",IF(AA1425&lt;=777600,"3","4")))</f>
        <v>2</v>
      </c>
      <c r="AC1425" s="72">
        <f>AVERAGE(AV1424:DA1424)</f>
        <v>10806</v>
      </c>
      <c r="AD1425" s="69" t="str">
        <f>IF(AC1425&lt;60,"1",IF(AC1425&lt;=43200,"2",IF(AC1425&lt;=777600,"3","4")))</f>
        <v>2</v>
      </c>
      <c r="AE1425" s="87">
        <f>AA1425-Y1425</f>
        <v>28770</v>
      </c>
      <c r="AF1425" s="88">
        <f>AV1425</f>
        <v>1</v>
      </c>
      <c r="AG1425" s="72">
        <f>((AW1425-AV1425)+(AX1425-AW1425)+(AY1425-AX1425)+(AZ1425-AY1425))/4</f>
        <v>-0.19025000000000003</v>
      </c>
      <c r="AH1425" s="4"/>
      <c r="AI1425" s="72">
        <f>RSQ(AV1425:AZ1425,AV1424:AZ1424)</f>
        <v>0.51934222819785003</v>
      </c>
      <c r="AJ1425" s="110">
        <f>SLOPE(AV1425:AZ1425,AV1424:AZ1424)</f>
        <v>-1.8958926956482239E-5</v>
      </c>
      <c r="AK1425" s="72">
        <f>INTERCEPT(AV1425:AZ1425,AV1424:AZ1424)</f>
        <v>0.68607016469174709</v>
      </c>
      <c r="AL1425" s="72">
        <f>INDEX(LINEST(LN(AV1425:AZ1425),LN(AV1424:AZ1424),TRUE,TRUE),3,1)</f>
        <v>0.96725440924063455</v>
      </c>
      <c r="AM1425" s="72">
        <f>INDEX(LINEST(LN(AV1425:AZ1425),LN(AV1424:AZ1424)),1)</f>
        <v>-0.19168140517604182</v>
      </c>
      <c r="AN1425" s="72">
        <f>EXP(INDEX(LINEST(LN(AV1425:AZ1425),LN(AV1424:AZ1424)),1,2))</f>
        <v>1.9926064274805224</v>
      </c>
      <c r="AO1425" s="89">
        <f>INDEX(LINEST((AV1425:AZ1425),LN(AV1424:AZ1424),TRUE,TRUE),3,1)</f>
        <v>0.99595098541540372</v>
      </c>
      <c r="AP1425" s="89">
        <f>INDEX(LINEST((AV1425:AZ1425),LN(AV1424:AZ1424)),1)</f>
        <v>-0.10986531879538895</v>
      </c>
      <c r="AQ1425" s="90">
        <f>INDEX(LINEST(LN(AV1425:AZ1425),SQRT(AV1424:AZ1424),TRUE,TRUE),3,1)</f>
        <v>0.91508868800724119</v>
      </c>
      <c r="AR1425" s="117">
        <f>INDEX(LINEST(LN(AV1425:AZ1425),SQRT((AV1424:AZ1424))),1)</f>
        <v>-8.1950040276132213E-3</v>
      </c>
      <c r="AS1425" s="91">
        <f>INDEX(LINEST(1/(AV1425:AZ1425),1/(SQRT(AV1424:AZ1424)),TRUE,TRUE),3,1)</f>
        <v>0.64653260927973621</v>
      </c>
      <c r="AT1425" s="91">
        <f>INDEX(LINEST(1/(AV1425:AZ1425),1/SQRT(AV1424:AZ1424)),1)</f>
        <v>-12.011751054556491</v>
      </c>
      <c r="AU1425" s="3"/>
      <c r="AV1425" s="73">
        <v>1</v>
      </c>
      <c r="AW1425" s="73">
        <v>0.441</v>
      </c>
      <c r="AX1425" s="73">
        <v>0.38500000000000001</v>
      </c>
      <c r="AY1425" s="73">
        <v>0.34100000000000003</v>
      </c>
      <c r="AZ1425" s="73">
        <v>0.23899999999999999</v>
      </c>
      <c r="BA1425" s="42"/>
      <c r="BB1425" s="42"/>
      <c r="BC1425" s="42"/>
      <c r="BD1425" s="42"/>
      <c r="BE1425" s="42"/>
      <c r="BF1425" s="42"/>
      <c r="BG1425" s="42"/>
      <c r="BH1425" s="2"/>
      <c r="BI1425" s="2"/>
      <c r="BJ1425" s="2"/>
      <c r="BK1425" s="2"/>
      <c r="BL1425" s="2"/>
      <c r="BM1425" s="2"/>
      <c r="BN1425" s="2"/>
      <c r="BO1425" s="2"/>
      <c r="BP1425" s="2"/>
      <c r="BQ1425" s="2"/>
      <c r="BR1425" s="2"/>
      <c r="BS1425" s="2"/>
      <c r="BT1425" s="2"/>
      <c r="BU1425" s="2"/>
      <c r="BV1425" s="2"/>
      <c r="BW1425" s="2"/>
      <c r="BX1425" s="2"/>
      <c r="BY1425" s="2"/>
      <c r="BZ1425" s="2"/>
      <c r="CA1425" s="2"/>
      <c r="CB1425" s="2"/>
      <c r="CC1425" s="2"/>
      <c r="CD1425" s="2"/>
      <c r="CE1425" s="2"/>
      <c r="CF1425" s="2"/>
      <c r="CG1425" s="2"/>
      <c r="CH1425" s="2"/>
      <c r="CI1425" s="2"/>
      <c r="CJ1425" s="2"/>
      <c r="CK1425" s="2"/>
      <c r="CL1425" s="2"/>
      <c r="CM1425" s="2"/>
      <c r="CN1425" s="2"/>
      <c r="CO1425" s="2"/>
      <c r="CP1425" s="2"/>
      <c r="CQ1425" s="2"/>
      <c r="CR1425" s="1"/>
      <c r="CS1425" s="1"/>
      <c r="CT1425" s="1"/>
      <c r="CU1425" s="1"/>
    </row>
    <row r="1426" spans="1:99" s="13" customFormat="1" ht="12" customHeight="1" x14ac:dyDescent="0.2">
      <c r="A1426" s="65">
        <v>43896</v>
      </c>
      <c r="B1426" s="1"/>
      <c r="C1426" s="1"/>
      <c r="D1426" s="60"/>
      <c r="E1426" s="76"/>
      <c r="F1426" s="60"/>
      <c r="G1426" s="60"/>
      <c r="H1426" s="60"/>
      <c r="I1426" s="60"/>
      <c r="J1426" s="60"/>
      <c r="K1426" s="64"/>
      <c r="L1426" s="64"/>
      <c r="M1426" s="60"/>
      <c r="N1426" s="59"/>
      <c r="O1426" s="60"/>
      <c r="P1426" s="60"/>
      <c r="Q1426" s="60"/>
      <c r="R1426" s="60"/>
      <c r="S1426" s="60"/>
      <c r="T1426" s="59"/>
      <c r="U1426" s="60"/>
      <c r="V1426" s="59"/>
      <c r="W1426" s="60"/>
      <c r="X1426" s="60"/>
      <c r="Y1426" s="76"/>
      <c r="Z1426" s="59"/>
      <c r="AA1426" s="59"/>
      <c r="AB1426" s="60"/>
      <c r="AC1426" s="56"/>
      <c r="AD1426" s="60"/>
      <c r="AE1426" s="60"/>
      <c r="AF1426" s="80"/>
      <c r="AG1426" s="56"/>
      <c r="AH1426" s="4"/>
      <c r="AI1426" s="56"/>
      <c r="AJ1426" s="109"/>
      <c r="AK1426" s="56"/>
      <c r="AL1426" s="56"/>
      <c r="AM1426" s="56"/>
      <c r="AN1426" s="56"/>
      <c r="AO1426" s="82"/>
      <c r="AP1426" s="82"/>
      <c r="AQ1426" s="83"/>
      <c r="AR1426" s="116"/>
      <c r="AS1426" s="84"/>
      <c r="AT1426" s="84"/>
      <c r="AU1426" s="3"/>
      <c r="AV1426" s="25">
        <v>473040000</v>
      </c>
      <c r="AW1426" s="25">
        <v>788400000</v>
      </c>
      <c r="AX1426" s="25">
        <v>1103760000</v>
      </c>
      <c r="AY1426" s="25">
        <v>1419120000</v>
      </c>
      <c r="AZ1426" s="25">
        <v>1734480000</v>
      </c>
      <c r="BA1426" s="53"/>
      <c r="BB1426" s="53"/>
      <c r="BC1426" s="53"/>
      <c r="BD1426" s="53"/>
      <c r="BE1426" s="53"/>
      <c r="BF1426" s="42"/>
      <c r="BG1426" s="42"/>
      <c r="BH1426" s="28"/>
      <c r="BI1426" s="28"/>
      <c r="BJ1426" s="28"/>
      <c r="BK1426" s="28"/>
      <c r="BL1426" s="28"/>
      <c r="BM1426" s="28"/>
      <c r="BN1426" s="28"/>
      <c r="BO1426" s="28"/>
      <c r="BP1426" s="28"/>
      <c r="BQ1426" s="28"/>
      <c r="BR1426" s="28"/>
      <c r="BS1426" s="28"/>
      <c r="BT1426" s="28"/>
      <c r="BU1426" s="28"/>
      <c r="BV1426" s="28"/>
      <c r="BW1426" s="28"/>
      <c r="BX1426" s="28"/>
      <c r="BY1426" s="28"/>
      <c r="BZ1426" s="28"/>
      <c r="CA1426" s="28"/>
      <c r="CB1426" s="28"/>
      <c r="CC1426" s="28"/>
      <c r="CD1426" s="28"/>
      <c r="CE1426" s="28"/>
      <c r="CF1426" s="28"/>
      <c r="CG1426" s="28"/>
      <c r="CH1426" s="28"/>
      <c r="CI1426" s="28"/>
      <c r="CJ1426" s="28"/>
      <c r="CK1426" s="28"/>
      <c r="CL1426" s="28"/>
      <c r="CM1426" s="28"/>
      <c r="CN1426" s="28"/>
      <c r="CO1426" s="28"/>
      <c r="CP1426" s="28"/>
      <c r="CQ1426" s="28"/>
      <c r="CR1426" s="1"/>
      <c r="CS1426" s="1"/>
      <c r="CT1426" s="1"/>
      <c r="CU1426" s="1"/>
    </row>
    <row r="1427" spans="1:99" s="13" customFormat="1" ht="12" customHeight="1" x14ac:dyDescent="0.2">
      <c r="A1427" s="65">
        <v>43896</v>
      </c>
      <c r="B1427" s="1" t="s">
        <v>362</v>
      </c>
      <c r="C1427" s="1" t="s">
        <v>54</v>
      </c>
      <c r="D1427" s="60">
        <v>1993</v>
      </c>
      <c r="E1427" s="76">
        <v>1</v>
      </c>
      <c r="F1427" s="60">
        <v>10</v>
      </c>
      <c r="G1427" s="60">
        <v>10</v>
      </c>
      <c r="H1427" s="60" t="s">
        <v>363</v>
      </c>
      <c r="I1427" s="60" t="s">
        <v>330</v>
      </c>
      <c r="J1427" s="60" t="s">
        <v>342</v>
      </c>
      <c r="K1427" s="60">
        <f>IF(J1427="syllables",1,IF(J1427="trigrams",2,IF(J1427="strings",3,IF(J1427="visual array",4,IF(J1427="characters",5,IF(J1427="letters",6,IF(J1427="free forms",7,IF(J1427="odors",8,IF(J1427="words",9,IF(J1427="pictures",10,IF(J1427="object pictures",11,IF(J1427="faces",12,IF(J1427="names",13,IF(J1427="idioms",14,IF(J1427="grades",15,IF(J1427="syllable-digit pairs",16,IF(J1427="trigram-word pairs",17,IF(J1427="word-digit pairs",18,IF(J1427="English-Swahili pairs",19,IF(J1427="spatial position",20,IF(J1427="word pairs",21,IF(J1427="word triads",22,IF(J1427="generated words",23,IF(J1427="word definition pairs",24,IF(J1427="math problems",25,IF(J1427="famous faces",26,IF(J1427="famous names",27,IF(J1427="famous voices",28,IF(J1427="television programs",29,IF(J1427="race horses",30,IF(J1427="new vocabulary",31,IF(J1427="sentences",32,IF(J1427="concepts",33,IF(J1427="ad slides",34,IF(J1427="scenes",35,IF(J1427="famous scenes",36,IF(J1427="poems",37,IF(J1427="walk",38,IF(J1427="faces and events",39,IF(J1427="events and names",40,IF(J1427="flashbulb",41,IF(J1427="stories",42,IF(J1427="course material",43,IF(J1427="autobiographical",44,IF(J1427="novels",45,IF(J1427="public events",46,"99"))))))))))))))))))))))))))))))))))))))))))))))</f>
        <v>26</v>
      </c>
      <c r="L1427" s="60">
        <f>IF(J1427="syllables",1,IF(J1427="trigrams",1,IF(J1427="strings",1,IF(J1427="visual array",1,IF(J1427="characters",1,IF(J1427="letters",1,IF(J1427="free forms",1,IF(J1427="odors",2,IF(J1427="words",2,IF(J1427="pictures",2,IF(J1427="object pictures",2,IF(J1427="faces",2,IF(J1427="names",2,IF(J1427="idioms","2",IF(J1427="grades",2,IF(J1427="syllable-digit pairs",3,IF(J1427="trigram-word pairs",3,IF(J1427="word-digit pairs",3,IF(J1427="English-Swahili pairs",3,IF(J1427="spatial position",3,IF(J1427="word pairs",4,IF(J1427="word triads",4,IF(J1427="generated words",4,IF(J1427="word definition pairs",4,IF(J1427="math problems",4,IF(J1427="famous faces",4,IF(J1427="famous names",4,IF(J1427="famous voices",4,IF(J1427="television programs",4,IF(J1427="race horses",4,IF(J1427="new vocabulary",4,IF(J1427="sentences",5,IF(J1427="concepts",5,IF(J1427="ad slides",5,IF(J1427="scenes",5,IF(J1427="famous scenes",5,IF(J1427="poems",6,IF(J1427="walk",6,IF(J1427="faces and events",6,IF(J1427="events and names",6,IF(J1427="flashbulb",7,IF(J1427="stories",7,IF(J1427="course material",7,IF(J1427="autobiographical",7,IF(J1427="novels",7,IF(J1427="public events",7,"99"))))))))))))))))))))))))))))))))))))))))))))))</f>
        <v>4</v>
      </c>
      <c r="M1427" s="60">
        <v>1</v>
      </c>
      <c r="N1427" s="61">
        <v>2</v>
      </c>
      <c r="O1427" s="60">
        <v>0</v>
      </c>
      <c r="P1427" s="60"/>
      <c r="Q1427" s="60" t="s">
        <v>174</v>
      </c>
      <c r="R1427" s="60">
        <f>IF(Q1427="Free Recall",1,IF(Q1427="Cued Recall",2,IF(Q1427="Recognition",3,IF(Q1427="Multiple Choice",4,IF(Q1427="Savings",5,IF(Q1427="Stem Completion",6,IF(Q1427="Fragment Completion",7,IF(Q1427="anagram solution",8,IF(Q1427="Matching",9,IF(Q1427="Problem Solving",10,"99"))))))))))</f>
        <v>1</v>
      </c>
      <c r="S1427" s="60" t="s">
        <v>49</v>
      </c>
      <c r="T1427" s="59" t="s">
        <v>581</v>
      </c>
      <c r="U1427" s="60">
        <f>IF(T1427="within",1,0)</f>
        <v>1</v>
      </c>
      <c r="V1427" s="59">
        <v>120</v>
      </c>
      <c r="W1427" s="60">
        <f>F1427*V1427</f>
        <v>1200</v>
      </c>
      <c r="X1427" s="60">
        <v>5</v>
      </c>
      <c r="Y1427" s="76">
        <f>AV1426</f>
        <v>473040000</v>
      </c>
      <c r="Z1427" s="60" t="s">
        <v>374</v>
      </c>
      <c r="AA1427" s="60">
        <f>55*365*24*60*60</f>
        <v>1734480000</v>
      </c>
      <c r="AB1427" s="60" t="str">
        <f>IF(AA1427&lt;60,"1",IF(AA1427&lt;=43200,"2",IF(AA1427&lt;=777600,"3","4")))</f>
        <v>4</v>
      </c>
      <c r="AC1427" s="56">
        <f>AVERAGE(AV1426:DA1426)</f>
        <v>1103760000</v>
      </c>
      <c r="AD1427" s="60" t="str">
        <f>IF(AC1427&lt;60,"1",IF(AC1427&lt;=43200,"2",IF(AC1427&lt;=777600,"3","4")))</f>
        <v>4</v>
      </c>
      <c r="AE1427" s="76">
        <f>AA1427-Y1427</f>
        <v>1261440000</v>
      </c>
      <c r="AF1427" s="80">
        <f>AV1427</f>
        <v>0.6</v>
      </c>
      <c r="AG1427" s="56">
        <f>((AW1427-AV1427)+(AX1427-AW1427)+(AY1427-AX1427)+(AZ1427-AY1427))/4</f>
        <v>-3.8392857142857145E-2</v>
      </c>
      <c r="AH1427" s="4"/>
      <c r="AI1427" s="56">
        <f>RSQ(AV1427:AZ1427,AV1426:AZ1426)</f>
        <v>0.83239417533835114</v>
      </c>
      <c r="AJ1427" s="109">
        <f>SLOPE(AV1427:AZ1427,AV1426:AZ1426)</f>
        <v>-1.1180790290379331E-10</v>
      </c>
      <c r="AK1427" s="56">
        <f>INTERCEPT(AV1427:AZ1427,AV1426:AZ1426)</f>
        <v>0.6236038961038961</v>
      </c>
      <c r="AL1427" s="56">
        <f>INDEX(LINEST(LN(AV1427:AZ1427),LN(AV1426:AZ1426),TRUE,TRUE),3,1)</f>
        <v>0.93086369873664909</v>
      </c>
      <c r="AM1427" s="56">
        <f>INDEX(LINEST(LN(AV1427:AZ1427),LN(AV1426:AZ1426)),1)</f>
        <v>-0.22062325043804715</v>
      </c>
      <c r="AN1427" s="56">
        <f>EXP(INDEX(LINEST(LN(AV1427:AZ1427),LN(AV1426:AZ1426)),1,2))</f>
        <v>48.144336910804746</v>
      </c>
      <c r="AO1427" s="82">
        <f>INDEX(LINEST((AV1427:AZ1427),LN(AV1426:AZ1426),TRUE,TRUE),3,1)</f>
        <v>0.92028868098670558</v>
      </c>
      <c r="AP1427" s="82">
        <f>INDEX(LINEST((AV1427:AZ1427),LN(AV1426:AZ1426)),1)</f>
        <v>-0.11428386140071531</v>
      </c>
      <c r="AQ1427" s="83">
        <f>INDEX(LINEST(LN(AV1427:AZ1427),SQRT(AV1426:AZ1426),TRUE,TRUE),3,1)</f>
        <v>0.89966408663973907</v>
      </c>
      <c r="AR1427" s="116">
        <f>INDEX(LINEST(LN(AV1427:AZ1427),SQRT((AV1426:AZ1426))),1)</f>
        <v>-1.4184873571647181E-5</v>
      </c>
      <c r="AS1427" s="84">
        <f>INDEX(LINEST(1/(AV1427:AZ1427),1/(SQRT(AV1426:AZ1426)),TRUE,TRUE),3,1)</f>
        <v>0.94664371714456985</v>
      </c>
      <c r="AT1427" s="84">
        <f>INDEX(LINEST(1/(AV1427:AZ1427),1/SQRT(AV1426:AZ1426)),1)</f>
        <v>-25328.201474779664</v>
      </c>
      <c r="AU1427" s="3"/>
      <c r="AV1427" s="53">
        <v>0.6</v>
      </c>
      <c r="AW1427" s="53">
        <v>0.5</v>
      </c>
      <c r="AX1427" s="53">
        <v>0.5</v>
      </c>
      <c r="AY1427" s="53">
        <v>0.45454545454545459</v>
      </c>
      <c r="AZ1427" s="53">
        <v>0.4464285714285714</v>
      </c>
      <c r="BA1427" s="53"/>
      <c r="BB1427" s="53"/>
      <c r="BC1427" s="53"/>
      <c r="BD1427" s="53"/>
      <c r="BE1427" s="53"/>
      <c r="BF1427" s="42"/>
      <c r="BG1427" s="42"/>
      <c r="BH1427" s="28"/>
      <c r="BI1427" s="28"/>
      <c r="BJ1427" s="28"/>
      <c r="BK1427" s="28"/>
      <c r="BL1427" s="28"/>
      <c r="BM1427" s="28"/>
      <c r="BN1427" s="28"/>
      <c r="BO1427" s="28"/>
      <c r="BP1427" s="28"/>
      <c r="BQ1427" s="28"/>
      <c r="BR1427" s="28"/>
      <c r="BS1427" s="28"/>
      <c r="BT1427" s="28"/>
      <c r="BU1427" s="28"/>
      <c r="BV1427" s="28"/>
      <c r="BW1427" s="28"/>
      <c r="BX1427" s="28"/>
      <c r="BY1427" s="28"/>
      <c r="BZ1427" s="28"/>
      <c r="CA1427" s="28"/>
      <c r="CB1427" s="28"/>
      <c r="CC1427" s="28"/>
      <c r="CD1427" s="28"/>
      <c r="CE1427" s="28"/>
      <c r="CF1427" s="28"/>
      <c r="CG1427" s="28"/>
      <c r="CH1427" s="28"/>
      <c r="CI1427" s="28"/>
      <c r="CJ1427" s="28"/>
      <c r="CK1427" s="28"/>
      <c r="CL1427" s="28"/>
      <c r="CM1427" s="28"/>
      <c r="CN1427" s="28"/>
      <c r="CO1427" s="28"/>
      <c r="CP1427" s="28"/>
      <c r="CQ1427" s="28"/>
      <c r="CR1427" s="1"/>
      <c r="CS1427" s="1"/>
      <c r="CT1427" s="1"/>
      <c r="CU1427" s="1"/>
    </row>
    <row r="1428" spans="1:99" s="13" customFormat="1" ht="12" customHeight="1" x14ac:dyDescent="0.2">
      <c r="A1428" s="65">
        <v>43896</v>
      </c>
      <c r="B1428" s="1"/>
      <c r="C1428" s="1"/>
      <c r="D1428" s="60"/>
      <c r="E1428" s="76"/>
      <c r="F1428" s="60"/>
      <c r="G1428" s="60"/>
      <c r="H1428" s="60"/>
      <c r="I1428" s="60"/>
      <c r="J1428" s="60"/>
      <c r="K1428" s="64"/>
      <c r="L1428" s="64"/>
      <c r="M1428" s="60"/>
      <c r="N1428" s="59"/>
      <c r="O1428" s="60"/>
      <c r="P1428" s="60"/>
      <c r="Q1428" s="60"/>
      <c r="R1428" s="60"/>
      <c r="S1428" s="60"/>
      <c r="T1428" s="59"/>
      <c r="U1428" s="60"/>
      <c r="V1428" s="59"/>
      <c r="W1428" s="60"/>
      <c r="X1428" s="60"/>
      <c r="Y1428" s="76"/>
      <c r="Z1428" s="59"/>
      <c r="AA1428" s="59"/>
      <c r="AB1428" s="60"/>
      <c r="AC1428" s="56"/>
      <c r="AD1428" s="60"/>
      <c r="AE1428" s="60"/>
      <c r="AF1428" s="80"/>
      <c r="AG1428" s="56"/>
      <c r="AH1428" s="4"/>
      <c r="AI1428" s="56"/>
      <c r="AJ1428" s="109"/>
      <c r="AK1428" s="56"/>
      <c r="AL1428" s="56"/>
      <c r="AM1428" s="56"/>
      <c r="AN1428" s="56"/>
      <c r="AO1428" s="82"/>
      <c r="AP1428" s="82"/>
      <c r="AQ1428" s="83"/>
      <c r="AR1428" s="116"/>
      <c r="AS1428" s="84"/>
      <c r="AT1428" s="84"/>
      <c r="AU1428" s="3"/>
      <c r="AV1428" s="25">
        <v>157680000</v>
      </c>
      <c r="AW1428" s="25">
        <v>315360000</v>
      </c>
      <c r="AX1428" s="25">
        <v>473040000</v>
      </c>
      <c r="AY1428" s="25">
        <v>630720000</v>
      </c>
      <c r="AZ1428" s="25">
        <v>788400000</v>
      </c>
      <c r="BA1428" s="25">
        <v>946080000</v>
      </c>
      <c r="BB1428" s="25">
        <v>1103760000</v>
      </c>
      <c r="BC1428" s="25">
        <v>1231440000</v>
      </c>
      <c r="BD1428" s="25"/>
      <c r="BE1428" s="25"/>
      <c r="BF1428" s="42"/>
      <c r="BG1428" s="42"/>
      <c r="BH1428" s="28"/>
      <c r="BI1428" s="28"/>
      <c r="BJ1428" s="28"/>
      <c r="BK1428" s="28"/>
      <c r="BL1428" s="28"/>
      <c r="BM1428" s="28"/>
      <c r="BN1428" s="28"/>
      <c r="BO1428" s="28"/>
      <c r="BP1428" s="28"/>
      <c r="BQ1428" s="28"/>
      <c r="BR1428" s="28"/>
      <c r="BS1428" s="28"/>
      <c r="BT1428" s="28"/>
      <c r="BU1428" s="28"/>
      <c r="BV1428" s="28"/>
      <c r="BW1428" s="28"/>
      <c r="BX1428" s="28"/>
      <c r="BY1428" s="28"/>
      <c r="BZ1428" s="28"/>
      <c r="CA1428" s="28"/>
      <c r="CB1428" s="28"/>
      <c r="CC1428" s="28"/>
      <c r="CD1428" s="28"/>
      <c r="CE1428" s="28"/>
      <c r="CF1428" s="28"/>
      <c r="CG1428" s="28"/>
      <c r="CH1428" s="28"/>
      <c r="CI1428" s="28"/>
      <c r="CJ1428" s="28"/>
      <c r="CK1428" s="28"/>
      <c r="CL1428" s="28"/>
      <c r="CM1428" s="28"/>
      <c r="CN1428" s="28"/>
      <c r="CO1428" s="28"/>
      <c r="CP1428" s="28"/>
      <c r="CQ1428" s="28"/>
      <c r="CR1428" s="1"/>
      <c r="CS1428" s="1"/>
      <c r="CT1428" s="1"/>
      <c r="CU1428" s="1"/>
    </row>
    <row r="1429" spans="1:99" s="13" customFormat="1" ht="12" customHeight="1" x14ac:dyDescent="0.2">
      <c r="A1429" s="65">
        <v>43896</v>
      </c>
      <c r="B1429" s="1" t="s">
        <v>362</v>
      </c>
      <c r="C1429" s="1" t="s">
        <v>54</v>
      </c>
      <c r="D1429" s="60">
        <v>1993</v>
      </c>
      <c r="E1429" s="76">
        <v>1</v>
      </c>
      <c r="F1429" s="60">
        <v>10</v>
      </c>
      <c r="G1429" s="60">
        <v>10</v>
      </c>
      <c r="H1429" s="60" t="s">
        <v>363</v>
      </c>
      <c r="I1429" s="60" t="s">
        <v>330</v>
      </c>
      <c r="J1429" s="60" t="s">
        <v>340</v>
      </c>
      <c r="K1429" s="60">
        <f>IF(J1429="syllables",1,IF(J1429="trigrams",2,IF(J1429="strings",3,IF(J1429="visual array",4,IF(J1429="characters",5,IF(J1429="letters",6,IF(J1429="free forms",7,IF(J1429="odors",8,IF(J1429="words",9,IF(J1429="pictures",10,IF(J1429="object pictures",11,IF(J1429="faces",12,IF(J1429="names",13,IF(J1429="idioms",14,IF(J1429="grades",15,IF(J1429="syllable-digit pairs",16,IF(J1429="trigram-word pairs",17,IF(J1429="word-digit pairs",18,IF(J1429="English-Swahili pairs",19,IF(J1429="spatial position",20,IF(J1429="word pairs",21,IF(J1429="word triads",22,IF(J1429="generated words",23,IF(J1429="word definition pairs",24,IF(J1429="math problems",25,IF(J1429="famous faces",26,IF(J1429="famous names",27,IF(J1429="famous voices",28,IF(J1429="television programs",29,IF(J1429="race horses",30,IF(J1429="new vocabulary",31,IF(J1429="sentences",32,IF(J1429="concepts",33,IF(J1429="ad slides",34,IF(J1429="scenes",35,IF(J1429="famous scenes",36,IF(J1429="poems",37,IF(J1429="walk",38,IF(J1429="faces and events",39,IF(J1429="events and names",40,IF(J1429="flashbulb",41,IF(J1429="stories",42,IF(J1429="course material",43,IF(J1429="autobiographical",44,IF(J1429="novels",45,IF(J1429="public events",46,"99"))))))))))))))))))))))))))))))))))))))))))))))</f>
        <v>46</v>
      </c>
      <c r="L1429" s="60">
        <f>IF(J1429="syllables",1,IF(J1429="trigrams",1,IF(J1429="strings",1,IF(J1429="visual array",1,IF(J1429="characters",1,IF(J1429="letters",1,IF(J1429="free forms",1,IF(J1429="odors",2,IF(J1429="words",2,IF(J1429="pictures",2,IF(J1429="object pictures",2,IF(J1429="faces",2,IF(J1429="names",2,IF(J1429="idioms","2",IF(J1429="grades",2,IF(J1429="syllable-digit pairs",3,IF(J1429="trigram-word pairs",3,IF(J1429="word-digit pairs",3,IF(J1429="English-Swahili pairs",3,IF(J1429="spatial position",3,IF(J1429="word pairs",4,IF(J1429="word triads",4,IF(J1429="generated words",4,IF(J1429="word definition pairs",4,IF(J1429="math problems",4,IF(J1429="famous faces",4,IF(J1429="famous names",4,IF(J1429="famous voices",4,IF(J1429="television programs",4,IF(J1429="race horses",4,IF(J1429="new vocabulary",4,IF(J1429="sentences",5,IF(J1429="concepts",5,IF(J1429="ad slides",5,IF(J1429="scenes",5,IF(J1429="famous scenes",5,IF(J1429="poems",6,IF(J1429="walk",6,IF(J1429="faces and events",6,IF(J1429="events and names",6,IF(J1429="flashbulb",7,IF(J1429="stories",7,IF(J1429="course material",7,IF(J1429="autobiographical",7,IF(J1429="novels",7,IF(J1429="public events",7,"99"))))))))))))))))))))))))))))))))))))))))))))))</f>
        <v>7</v>
      </c>
      <c r="M1429" s="60">
        <v>1</v>
      </c>
      <c r="N1429" s="59">
        <v>4</v>
      </c>
      <c r="O1429" s="60">
        <v>0</v>
      </c>
      <c r="P1429" s="60"/>
      <c r="Q1429" s="60" t="s">
        <v>174</v>
      </c>
      <c r="R1429" s="60">
        <f>IF(Q1429="Free Recall",1,IF(Q1429="Cued Recall",2,IF(Q1429="Recognition",3,IF(Q1429="Multiple Choice",4,IF(Q1429="Savings",5,IF(Q1429="Stem Completion",6,IF(Q1429="Fragment Completion",7,IF(Q1429="anagram solution",8,IF(Q1429="Matching",9,IF(Q1429="Problem Solving",10,"99"))))))))))</f>
        <v>1</v>
      </c>
      <c r="S1429" s="60" t="s">
        <v>49</v>
      </c>
      <c r="T1429" s="59" t="s">
        <v>581</v>
      </c>
      <c r="U1429" s="60">
        <f>IF(T1429="within",1,0)</f>
        <v>1</v>
      </c>
      <c r="V1429" s="59">
        <v>100</v>
      </c>
      <c r="W1429" s="60">
        <f>F1429*V1429</f>
        <v>1000</v>
      </c>
      <c r="X1429" s="60">
        <v>8</v>
      </c>
      <c r="Y1429" s="76">
        <f>AV1428</f>
        <v>157680000</v>
      </c>
      <c r="Z1429" s="60" t="s">
        <v>209</v>
      </c>
      <c r="AA1429" s="60">
        <f>50*365*24*60*60</f>
        <v>1576800000</v>
      </c>
      <c r="AB1429" s="60" t="str">
        <f>IF(AA1429&lt;60,"1",IF(AA1429&lt;=43200,"2",IF(AA1429&lt;=777600,"3","4")))</f>
        <v>4</v>
      </c>
      <c r="AC1429" s="56">
        <f>AVERAGE(AV1428:DA1428)</f>
        <v>705810000</v>
      </c>
      <c r="AD1429" s="60" t="str">
        <f>IF(AC1429&lt;60,"1",IF(AC1429&lt;=43200,"2",IF(AC1429&lt;=777600,"3","4")))</f>
        <v>4</v>
      </c>
      <c r="AE1429" s="76">
        <f>AA1429-Y1429</f>
        <v>1419120000</v>
      </c>
      <c r="AF1429" s="80">
        <f>AV1429</f>
        <v>0.42</v>
      </c>
      <c r="AG1429" s="56">
        <f>((AW1429-AV1429)+(AX1429-AW1429)+(AY1429-AX1429)+(AZ1429-AY1429)+(BA1429-AZ1429)+(BB1429-BA1429)+(BC1429-BB1429))/7</f>
        <v>-4.8571428571428564E-2</v>
      </c>
      <c r="AH1429" s="4"/>
      <c r="AI1429" s="56">
        <f>RSQ(AV1429:BC1429,AV1428:BC1428)</f>
        <v>0.82068396011869882</v>
      </c>
      <c r="AJ1429" s="109">
        <f>SLOPE(AV1429:BC1429,AV1428:BC1428)</f>
        <v>-4.3259923408756616E-10</v>
      </c>
      <c r="AK1429" s="56">
        <f>INTERCEPT(AV1429:BC1429,AV1428:BC1428)</f>
        <v>0.56283286541134503</v>
      </c>
      <c r="AL1429" s="56">
        <f>INDEX(LINEST(LN(AV1429:BC1429),LN(AV1428:BC1428),TRUE,TRUE),3,1)</f>
        <v>0.68279998850764589</v>
      </c>
      <c r="AM1429" s="56">
        <f>INDEX(LINEST(LN(AV1429:BC1429),LN(AV1428:BC1428)),1)</f>
        <v>-0.98537928216199189</v>
      </c>
      <c r="AN1429" s="56">
        <f>EXP(INDEX(LINEST(LN(AV1429:BC1429),LN(AV1428:BC1428)),1,2))</f>
        <v>86036399.187634319</v>
      </c>
      <c r="AO1429" s="82">
        <f>INDEX(LINEST((AV1429:BC1429),LN(AV1428:BC1428),TRUE,TRUE),3,1)</f>
        <v>0.71349479047984643</v>
      </c>
      <c r="AP1429" s="82">
        <f>INDEX(LINEST((AV1429:BC1429),LN(AV1428:BC1428)),1)</f>
        <v>-0.21916609007319199</v>
      </c>
      <c r="AQ1429" s="83">
        <f>INDEX(LINEST(LN(AV1429:BC1429),SQRT(AV1428:BC1428),TRUE,TRUE),3,1)</f>
        <v>0.76502371862232443</v>
      </c>
      <c r="AR1429" s="116">
        <f>INDEX(LINEST(LN(AV1429:BC1429),SQRT((AV1428:BC1428))),1)</f>
        <v>-9.3383053240738651E-5</v>
      </c>
      <c r="AS1429" s="84">
        <f>INDEX(LINEST(1/(AV1429:BC1429),1/(SQRT(AV1428:BC1428)),TRUE,TRUE),3,1)</f>
        <v>0.50988853155364722</v>
      </c>
      <c r="AT1429" s="84">
        <f>INDEX(LINEST(1/(AV1429:BC1429),1/SQRT(AV1428:BC1428)),1)</f>
        <v>-206759.25988078752</v>
      </c>
      <c r="AU1429" s="3"/>
      <c r="AV1429" s="53">
        <v>0.42</v>
      </c>
      <c r="AW1429" s="53">
        <v>0.5</v>
      </c>
      <c r="AX1429" s="53">
        <v>0.44</v>
      </c>
      <c r="AY1429" s="53">
        <v>0.32</v>
      </c>
      <c r="AZ1429" s="53">
        <v>0.08</v>
      </c>
      <c r="BA1429" s="53">
        <v>0.14000000000000001</v>
      </c>
      <c r="BB1429" s="53">
        <v>0.08</v>
      </c>
      <c r="BC1429" s="53">
        <v>0.08</v>
      </c>
      <c r="BD1429" s="53"/>
      <c r="BE1429" s="53"/>
      <c r="BF1429" s="28"/>
      <c r="BG1429" s="28"/>
      <c r="BH1429" s="28"/>
      <c r="BI1429" s="28"/>
      <c r="BJ1429" s="28"/>
      <c r="BK1429" s="28"/>
      <c r="BL1429" s="28"/>
      <c r="BM1429" s="28"/>
      <c r="BN1429" s="28"/>
      <c r="BO1429" s="28"/>
      <c r="BP1429" s="28"/>
      <c r="BQ1429" s="28"/>
      <c r="BR1429" s="28"/>
      <c r="BS1429" s="28"/>
      <c r="BT1429" s="28"/>
      <c r="BU1429" s="28"/>
      <c r="BV1429" s="28"/>
      <c r="BW1429" s="28"/>
      <c r="BX1429" s="28"/>
      <c r="BY1429" s="28"/>
      <c r="BZ1429" s="28"/>
      <c r="CA1429" s="28"/>
      <c r="CB1429" s="28"/>
      <c r="CC1429" s="28"/>
      <c r="CD1429" s="28"/>
      <c r="CE1429" s="28"/>
      <c r="CF1429" s="28"/>
      <c r="CG1429" s="28"/>
      <c r="CH1429" s="28"/>
      <c r="CI1429" s="28"/>
      <c r="CJ1429" s="28"/>
      <c r="CK1429" s="28"/>
      <c r="CL1429" s="28"/>
      <c r="CM1429" s="28"/>
      <c r="CN1429" s="28"/>
      <c r="CO1429" s="28"/>
      <c r="CP1429" s="28"/>
      <c r="CQ1429" s="28"/>
      <c r="CR1429" s="1"/>
      <c r="CS1429" s="1"/>
      <c r="CT1429" s="1"/>
      <c r="CU1429" s="1"/>
    </row>
    <row r="1430" spans="1:99" s="13" customFormat="1" ht="12" customHeight="1" x14ac:dyDescent="0.2">
      <c r="A1430" s="65">
        <v>43896</v>
      </c>
      <c r="B1430" s="1"/>
      <c r="C1430" s="1"/>
      <c r="D1430" s="60"/>
      <c r="E1430" s="76"/>
      <c r="F1430" s="60"/>
      <c r="G1430" s="60"/>
      <c r="H1430" s="60"/>
      <c r="I1430" s="60"/>
      <c r="J1430" s="60"/>
      <c r="K1430" s="64"/>
      <c r="L1430" s="64"/>
      <c r="M1430" s="60"/>
      <c r="N1430" s="59"/>
      <c r="O1430" s="60"/>
      <c r="P1430" s="60"/>
      <c r="Q1430" s="60"/>
      <c r="R1430" s="60"/>
      <c r="S1430" s="60"/>
      <c r="T1430" s="59"/>
      <c r="U1430" s="60"/>
      <c r="V1430" s="59"/>
      <c r="W1430" s="60"/>
      <c r="X1430" s="60"/>
      <c r="Y1430" s="76"/>
      <c r="Z1430" s="59"/>
      <c r="AA1430" s="59"/>
      <c r="AB1430" s="60"/>
      <c r="AC1430" s="56"/>
      <c r="AD1430" s="60"/>
      <c r="AE1430" s="60"/>
      <c r="AF1430" s="80"/>
      <c r="AG1430" s="56"/>
      <c r="AH1430" s="4"/>
      <c r="AI1430" s="56"/>
      <c r="AJ1430" s="109"/>
      <c r="AK1430" s="56"/>
      <c r="AL1430" s="56"/>
      <c r="AM1430" s="56"/>
      <c r="AN1430" s="56"/>
      <c r="AO1430" s="82"/>
      <c r="AP1430" s="82"/>
      <c r="AQ1430" s="83"/>
      <c r="AR1430" s="116"/>
      <c r="AS1430" s="84"/>
      <c r="AT1430" s="84"/>
      <c r="AU1430" s="3"/>
      <c r="AV1430" s="25">
        <v>157680000</v>
      </c>
      <c r="AW1430" s="25">
        <v>315360000</v>
      </c>
      <c r="AX1430" s="25">
        <v>473040000</v>
      </c>
      <c r="AY1430" s="25">
        <v>630720000</v>
      </c>
      <c r="AZ1430" s="25">
        <v>788400000</v>
      </c>
      <c r="BA1430" s="25">
        <v>946080000</v>
      </c>
      <c r="BB1430" s="25">
        <v>1103760000</v>
      </c>
      <c r="BC1430" s="25">
        <v>1231440000</v>
      </c>
      <c r="BD1430" s="25"/>
      <c r="BE1430" s="25"/>
      <c r="BF1430" s="28"/>
      <c r="BG1430" s="28"/>
      <c r="BH1430" s="28"/>
      <c r="BI1430" s="28"/>
      <c r="BJ1430" s="28"/>
      <c r="BK1430" s="28"/>
      <c r="BL1430" s="28"/>
      <c r="BM1430" s="28"/>
      <c r="BN1430" s="28"/>
      <c r="BO1430" s="28"/>
      <c r="BP1430" s="28"/>
      <c r="BQ1430" s="28"/>
      <c r="BR1430" s="28"/>
      <c r="BS1430" s="28"/>
      <c r="BT1430" s="28"/>
      <c r="BU1430" s="28"/>
      <c r="BV1430" s="28"/>
      <c r="BW1430" s="28"/>
      <c r="BX1430" s="28"/>
      <c r="BY1430" s="28"/>
      <c r="BZ1430" s="28"/>
      <c r="CA1430" s="28"/>
      <c r="CB1430" s="28"/>
      <c r="CC1430" s="28"/>
      <c r="CD1430" s="28"/>
      <c r="CE1430" s="28"/>
      <c r="CF1430" s="28"/>
      <c r="CG1430" s="28"/>
      <c r="CH1430" s="28"/>
      <c r="CI1430" s="28"/>
      <c r="CJ1430" s="28"/>
      <c r="CK1430" s="28"/>
      <c r="CL1430" s="28"/>
      <c r="CM1430" s="28"/>
      <c r="CN1430" s="28"/>
      <c r="CO1430" s="28"/>
      <c r="CP1430" s="28"/>
      <c r="CQ1430" s="28"/>
      <c r="CR1430" s="1"/>
      <c r="CS1430" s="1"/>
      <c r="CT1430" s="1"/>
      <c r="CU1430" s="1"/>
    </row>
    <row r="1431" spans="1:99" s="13" customFormat="1" ht="12" customHeight="1" x14ac:dyDescent="0.2">
      <c r="A1431" s="65">
        <v>43896</v>
      </c>
      <c r="B1431" s="1" t="s">
        <v>362</v>
      </c>
      <c r="C1431" s="1" t="s">
        <v>54</v>
      </c>
      <c r="D1431" s="60">
        <v>1993</v>
      </c>
      <c r="E1431" s="76">
        <v>1</v>
      </c>
      <c r="F1431" s="60">
        <v>10</v>
      </c>
      <c r="G1431" s="60">
        <v>10</v>
      </c>
      <c r="H1431" s="60" t="s">
        <v>363</v>
      </c>
      <c r="I1431" s="60" t="s">
        <v>330</v>
      </c>
      <c r="J1431" s="60" t="s">
        <v>340</v>
      </c>
      <c r="K1431" s="60">
        <f>IF(J1431="syllables",1,IF(J1431="trigrams",2,IF(J1431="strings",3,IF(J1431="visual array",4,IF(J1431="characters",5,IF(J1431="letters",6,IF(J1431="free forms",7,IF(J1431="odors",8,IF(J1431="words",9,IF(J1431="pictures",10,IF(J1431="object pictures",11,IF(J1431="faces",12,IF(J1431="names",13,IF(J1431="idioms",14,IF(J1431="grades",15,IF(J1431="syllable-digit pairs",16,IF(J1431="trigram-word pairs",17,IF(J1431="word-digit pairs",18,IF(J1431="English-Swahili pairs",19,IF(J1431="spatial position",20,IF(J1431="word pairs",21,IF(J1431="word triads",22,IF(J1431="generated words",23,IF(J1431="word definition pairs",24,IF(J1431="math problems",25,IF(J1431="famous faces",26,IF(J1431="famous names",27,IF(J1431="famous voices",28,IF(J1431="television programs",29,IF(J1431="race horses",30,IF(J1431="new vocabulary",31,IF(J1431="sentences",32,IF(J1431="concepts",33,IF(J1431="ad slides",34,IF(J1431="scenes",35,IF(J1431="famous scenes",36,IF(J1431="poems",37,IF(J1431="walk",38,IF(J1431="faces and events",39,IF(J1431="events and names",40,IF(J1431="flashbulb",41,IF(J1431="stories",42,IF(J1431="course material",43,IF(J1431="autobiographical",44,IF(J1431="novels",45,IF(J1431="public events",46,"99"))))))))))))))))))))))))))))))))))))))))))))))</f>
        <v>46</v>
      </c>
      <c r="L1431" s="60">
        <f>IF(J1431="syllables",1,IF(J1431="trigrams",1,IF(J1431="strings",1,IF(J1431="visual array",1,IF(J1431="characters",1,IF(J1431="letters",1,IF(J1431="free forms",1,IF(J1431="odors",2,IF(J1431="words",2,IF(J1431="pictures",2,IF(J1431="object pictures",2,IF(J1431="faces",2,IF(J1431="names",2,IF(J1431="idioms","2",IF(J1431="grades",2,IF(J1431="syllable-digit pairs",3,IF(J1431="trigram-word pairs",3,IF(J1431="word-digit pairs",3,IF(J1431="English-Swahili pairs",3,IF(J1431="spatial position",3,IF(J1431="word pairs",4,IF(J1431="word triads",4,IF(J1431="generated words",4,IF(J1431="word definition pairs",4,IF(J1431="math problems",4,IF(J1431="famous faces",4,IF(J1431="famous names",4,IF(J1431="famous voices",4,IF(J1431="television programs",4,IF(J1431="race horses",4,IF(J1431="new vocabulary",4,IF(J1431="sentences",5,IF(J1431="concepts",5,IF(J1431="ad slides",5,IF(J1431="scenes",5,IF(J1431="famous scenes",5,IF(J1431="poems",6,IF(J1431="walk",6,IF(J1431="faces and events",6,IF(J1431="events and names",6,IF(J1431="flashbulb",7,IF(J1431="stories",7,IF(J1431="course material",7,IF(J1431="autobiographical",7,IF(J1431="novels",7,IF(J1431="public events",7,"99"))))))))))))))))))))))))))))))))))))))))))))))</f>
        <v>7</v>
      </c>
      <c r="M1431" s="60">
        <v>1</v>
      </c>
      <c r="N1431" s="59">
        <v>4</v>
      </c>
      <c r="O1431" s="60">
        <v>0</v>
      </c>
      <c r="P1431" s="60"/>
      <c r="Q1431" s="60" t="s">
        <v>182</v>
      </c>
      <c r="R1431" s="60">
        <f>IF(Q1431="Free Recall",1,IF(Q1431="Cued Recall",2,IF(Q1431="Recognition",3,IF(Q1431="Multiple Choice",4,IF(Q1431="Savings",5,IF(Q1431="Stem Completion",6,IF(Q1431="Fragment Completion",7,IF(Q1431="anagram solution",8,IF(Q1431="Matching",9,IF(Q1431="Problem Solving",10,"99"))))))))))</f>
        <v>4</v>
      </c>
      <c r="S1431" s="60" t="s">
        <v>15</v>
      </c>
      <c r="T1431" s="59" t="s">
        <v>581</v>
      </c>
      <c r="U1431" s="60">
        <f>IF(T1431="within",1,0)</f>
        <v>1</v>
      </c>
      <c r="V1431" s="59">
        <v>100</v>
      </c>
      <c r="W1431" s="60">
        <f>F1431*V1431</f>
        <v>1000</v>
      </c>
      <c r="X1431" s="60">
        <v>8</v>
      </c>
      <c r="Y1431" s="76">
        <f>AV1430</f>
        <v>157680000</v>
      </c>
      <c r="Z1431" s="60" t="s">
        <v>209</v>
      </c>
      <c r="AA1431" s="60">
        <f>50*365*24*60*60</f>
        <v>1576800000</v>
      </c>
      <c r="AB1431" s="60" t="str">
        <f>IF(AA1431&lt;60,"1",IF(AA1431&lt;=43200,"2",IF(AA1431&lt;=777600,"3","4")))</f>
        <v>4</v>
      </c>
      <c r="AC1431" s="56">
        <f>AVERAGE(AV1430:DA1430)</f>
        <v>705810000</v>
      </c>
      <c r="AD1431" s="60" t="str">
        <f>IF(AC1431&lt;60,"1",IF(AC1431&lt;=43200,"2",IF(AC1431&lt;=777600,"3","4")))</f>
        <v>4</v>
      </c>
      <c r="AE1431" s="76">
        <f>AA1431-Y1431</f>
        <v>1419120000</v>
      </c>
      <c r="AF1431" s="80">
        <f>AV1431</f>
        <v>0.92</v>
      </c>
      <c r="AG1431" s="56">
        <f>((AW1431-AV1431)+(AX1431-AW1431)+(AY1431-AX1431)+(AZ1431-AY1431)+(BA1431-AZ1431)+(BB1431-BA1431)+(BC1431-BB1431))/7</f>
        <v>-4.2857142857142864E-2</v>
      </c>
      <c r="AH1431" s="4"/>
      <c r="AI1431" s="56">
        <f>RSQ(AV1431:BC1431,AV1430:BC1430)</f>
        <v>0.81418512809595978</v>
      </c>
      <c r="AJ1431" s="109">
        <f>SLOPE(AV1431:BC1431,AV1430:BC1430)</f>
        <v>-2.6297317012070946E-10</v>
      </c>
      <c r="AK1431" s="56">
        <f>INTERCEPT(AV1431:BC1431,AV1430:BC1430)</f>
        <v>0.92310909320289802</v>
      </c>
      <c r="AL1431" s="56">
        <f>INDEX(LINEST(LN(AV1431:BC1431),LN(AV1430:BC1430),TRUE,TRUE),3,1)</f>
        <v>0.88636152948847347</v>
      </c>
      <c r="AM1431" s="56">
        <f>INDEX(LINEST(LN(AV1431:BC1431),LN(AV1430:BC1430)),1)</f>
        <v>-0.19471488254221</v>
      </c>
      <c r="AN1431" s="56">
        <f>EXP(INDEX(LINEST(LN(AV1431:BC1431),LN(AV1430:BC1430)),1,2))</f>
        <v>37.303669756502572</v>
      </c>
      <c r="AO1431" s="82">
        <f>INDEX(LINEST((AV1431:BC1431),LN(AV1430:BC1430),TRUE,TRUE),3,1)</f>
        <v>0.89687184842382106</v>
      </c>
      <c r="AP1431" s="82">
        <f>INDEX(LINEST((AV1431:BC1431),LN(AV1430:BC1430)),1)</f>
        <v>-0.14996683932472496</v>
      </c>
      <c r="AQ1431" s="83">
        <f>INDEX(LINEST(LN(AV1431:BC1431),SQRT(AV1430:BC1430),TRUE,TRUE),3,1)</f>
        <v>0.87332893937953704</v>
      </c>
      <c r="AR1431" s="116">
        <f>INDEX(LINEST(LN(AV1431:BC1431),SQRT((AV1430:BC1430))),1)</f>
        <v>-1.7304400926465803E-5</v>
      </c>
      <c r="AS1431" s="84">
        <f>INDEX(LINEST(1/(AV1431:BC1431),1/(SQRT(AV1430:BC1430)),TRUE,TRUE),3,1)</f>
        <v>0.82918349851966566</v>
      </c>
      <c r="AT1431" s="84">
        <f>INDEX(LINEST(1/(AV1431:BC1431),1/SQRT(AV1430:BC1430)),1)</f>
        <v>-10112.026072348108</v>
      </c>
      <c r="AU1431" s="3"/>
      <c r="AV1431" s="53">
        <v>0.92</v>
      </c>
      <c r="AW1431" s="53">
        <v>0.88</v>
      </c>
      <c r="AX1431" s="53">
        <v>0.78</v>
      </c>
      <c r="AY1431" s="53">
        <v>0.66</v>
      </c>
      <c r="AZ1431" s="53">
        <v>0.68</v>
      </c>
      <c r="BA1431" s="53">
        <v>0.7</v>
      </c>
      <c r="BB1431" s="53">
        <v>0.66</v>
      </c>
      <c r="BC1431" s="53">
        <v>0.62</v>
      </c>
      <c r="BD1431" s="53"/>
      <c r="BE1431" s="53"/>
      <c r="BF1431" s="28"/>
      <c r="BG1431" s="28"/>
      <c r="BH1431" s="28"/>
      <c r="BI1431" s="28"/>
      <c r="BJ1431" s="28"/>
      <c r="BK1431" s="28"/>
      <c r="BL1431" s="28"/>
      <c r="BM1431" s="28"/>
      <c r="BN1431" s="28"/>
      <c r="BO1431" s="28"/>
      <c r="BP1431" s="28"/>
      <c r="BQ1431" s="28"/>
      <c r="BR1431" s="28"/>
      <c r="BS1431" s="28"/>
      <c r="BT1431" s="28"/>
      <c r="BU1431" s="28"/>
      <c r="BV1431" s="28"/>
      <c r="BW1431" s="28"/>
      <c r="BX1431" s="28"/>
      <c r="BY1431" s="28"/>
      <c r="BZ1431" s="28"/>
      <c r="CA1431" s="28"/>
      <c r="CB1431" s="28"/>
      <c r="CC1431" s="28"/>
      <c r="CD1431" s="28"/>
      <c r="CE1431" s="28"/>
      <c r="CF1431" s="28"/>
      <c r="CG1431" s="28"/>
      <c r="CH1431" s="28"/>
      <c r="CI1431" s="28"/>
      <c r="CJ1431" s="28"/>
      <c r="CK1431" s="28"/>
      <c r="CL1431" s="28"/>
      <c r="CM1431" s="28"/>
      <c r="CN1431" s="28"/>
      <c r="CO1431" s="28"/>
      <c r="CP1431" s="28"/>
      <c r="CQ1431" s="28"/>
      <c r="CR1431" s="1"/>
      <c r="CS1431" s="1"/>
      <c r="CT1431" s="1"/>
      <c r="CU1431" s="1"/>
    </row>
    <row r="1432" spans="1:99" s="13" customFormat="1" ht="12" customHeight="1" x14ac:dyDescent="0.2">
      <c r="A1432" s="65">
        <v>43896</v>
      </c>
      <c r="B1432" s="1"/>
      <c r="C1432" s="1"/>
      <c r="D1432" s="60"/>
      <c r="E1432" s="76"/>
      <c r="F1432" s="60"/>
      <c r="G1432" s="60"/>
      <c r="H1432" s="60"/>
      <c r="I1432" s="60"/>
      <c r="J1432" s="60"/>
      <c r="K1432" s="64"/>
      <c r="L1432" s="64"/>
      <c r="M1432" s="60"/>
      <c r="N1432" s="59"/>
      <c r="O1432" s="60"/>
      <c r="P1432" s="60"/>
      <c r="Q1432" s="60"/>
      <c r="R1432" s="60"/>
      <c r="S1432" s="60"/>
      <c r="T1432" s="59"/>
      <c r="U1432" s="60"/>
      <c r="V1432" s="59"/>
      <c r="W1432" s="60"/>
      <c r="X1432" s="60"/>
      <c r="Y1432" s="76"/>
      <c r="Z1432" s="59"/>
      <c r="AA1432" s="59"/>
      <c r="AB1432" s="60"/>
      <c r="AC1432" s="56"/>
      <c r="AD1432" s="60"/>
      <c r="AE1432" s="60"/>
      <c r="AF1432" s="80"/>
      <c r="AG1432" s="56"/>
      <c r="AH1432" s="4"/>
      <c r="AI1432" s="56"/>
      <c r="AJ1432" s="109"/>
      <c r="AK1432" s="56"/>
      <c r="AL1432" s="56"/>
      <c r="AM1432" s="56"/>
      <c r="AN1432" s="56"/>
      <c r="AO1432" s="82"/>
      <c r="AP1432" s="82"/>
      <c r="AQ1432" s="83"/>
      <c r="AR1432" s="116"/>
      <c r="AS1432" s="84"/>
      <c r="AT1432" s="84"/>
      <c r="AU1432" s="3"/>
      <c r="AV1432" s="25">
        <v>157680000</v>
      </c>
      <c r="AW1432" s="25">
        <v>315360000</v>
      </c>
      <c r="AX1432" s="25">
        <v>473040000</v>
      </c>
      <c r="AY1432" s="25">
        <v>630720000</v>
      </c>
      <c r="AZ1432" s="25">
        <v>788400000</v>
      </c>
      <c r="BA1432" s="25">
        <v>946080000</v>
      </c>
      <c r="BB1432" s="25">
        <v>1103760000</v>
      </c>
      <c r="BC1432" s="25">
        <v>1231440000</v>
      </c>
      <c r="BD1432" s="25">
        <v>1419120000</v>
      </c>
      <c r="BE1432" s="25">
        <v>1576800000</v>
      </c>
      <c r="BF1432" s="33"/>
      <c r="BG1432" s="33"/>
      <c r="BH1432" s="33"/>
      <c r="BI1432" s="33"/>
      <c r="BJ1432" s="33"/>
      <c r="BK1432" s="33"/>
      <c r="BL1432" s="33"/>
      <c r="BM1432" s="33"/>
      <c r="BN1432" s="33"/>
      <c r="BO1432" s="33"/>
      <c r="BP1432" s="33"/>
      <c r="BQ1432" s="33"/>
      <c r="BR1432" s="33"/>
      <c r="BS1432" s="33"/>
      <c r="BT1432" s="33"/>
      <c r="BU1432" s="33"/>
      <c r="BV1432" s="33"/>
      <c r="BW1432" s="33"/>
      <c r="BX1432" s="33"/>
      <c r="BY1432" s="33"/>
      <c r="BZ1432" s="33"/>
      <c r="CA1432" s="33"/>
      <c r="CB1432" s="33"/>
      <c r="CC1432" s="33"/>
      <c r="CD1432" s="33"/>
      <c r="CE1432" s="33"/>
      <c r="CF1432" s="33"/>
      <c r="CG1432" s="33"/>
      <c r="CH1432" s="33"/>
      <c r="CI1432" s="33"/>
      <c r="CJ1432" s="33"/>
      <c r="CK1432" s="33"/>
      <c r="CL1432" s="33"/>
      <c r="CM1432" s="33"/>
      <c r="CN1432" s="33"/>
      <c r="CO1432" s="33"/>
      <c r="CP1432" s="33"/>
      <c r="CQ1432" s="33"/>
      <c r="CR1432" s="1"/>
      <c r="CS1432" s="1"/>
      <c r="CT1432" s="1"/>
      <c r="CU1432" s="1"/>
    </row>
    <row r="1433" spans="1:99" s="13" customFormat="1" ht="12" customHeight="1" x14ac:dyDescent="0.2">
      <c r="A1433" s="65">
        <v>43896</v>
      </c>
      <c r="B1433" s="1" t="s">
        <v>362</v>
      </c>
      <c r="C1433" s="1" t="s">
        <v>54</v>
      </c>
      <c r="D1433" s="60">
        <v>1993</v>
      </c>
      <c r="E1433" s="76">
        <v>1</v>
      </c>
      <c r="F1433" s="60">
        <v>9</v>
      </c>
      <c r="G1433" s="60">
        <v>9</v>
      </c>
      <c r="H1433" s="60" t="s">
        <v>363</v>
      </c>
      <c r="I1433" s="60" t="s">
        <v>330</v>
      </c>
      <c r="J1433" s="60" t="s">
        <v>340</v>
      </c>
      <c r="K1433" s="60">
        <f>IF(J1433="syllables",1,IF(J1433="trigrams",2,IF(J1433="strings",3,IF(J1433="visual array",4,IF(J1433="characters",5,IF(J1433="letters",6,IF(J1433="free forms",7,IF(J1433="odors",8,IF(J1433="words",9,IF(J1433="pictures",10,IF(J1433="object pictures",11,IF(J1433="faces",12,IF(J1433="names",13,IF(J1433="idioms",14,IF(J1433="grades",15,IF(J1433="syllable-digit pairs",16,IF(J1433="trigram-word pairs",17,IF(J1433="word-digit pairs",18,IF(J1433="English-Swahili pairs",19,IF(J1433="spatial position",20,IF(J1433="word pairs",21,IF(J1433="word triads",22,IF(J1433="generated words",23,IF(J1433="word definition pairs",24,IF(J1433="math problems",25,IF(J1433="famous faces",26,IF(J1433="famous names",27,IF(J1433="famous voices",28,IF(J1433="television programs",29,IF(J1433="race horses",30,IF(J1433="new vocabulary",31,IF(J1433="sentences",32,IF(J1433="concepts",33,IF(J1433="ad slides",34,IF(J1433="scenes",35,IF(J1433="famous scenes",36,IF(J1433="poems",37,IF(J1433="walk",38,IF(J1433="faces and events",39,IF(J1433="events and names",40,IF(J1433="flashbulb",41,IF(J1433="stories",42,IF(J1433="course material",43,IF(J1433="autobiographical",44,IF(J1433="novels",45,IF(J1433="public events",46,"99"))))))))))))))))))))))))))))))))))))))))))))))</f>
        <v>46</v>
      </c>
      <c r="L1433" s="60">
        <f>IF(J1433="syllables",1,IF(J1433="trigrams",1,IF(J1433="strings",1,IF(J1433="visual array",1,IF(J1433="characters",1,IF(J1433="letters",1,IF(J1433="free forms",1,IF(J1433="odors",2,IF(J1433="words",2,IF(J1433="pictures",2,IF(J1433="object pictures",2,IF(J1433="faces",2,IF(J1433="names",2,IF(J1433="idioms","2",IF(J1433="grades",2,IF(J1433="syllable-digit pairs",3,IF(J1433="trigram-word pairs",3,IF(J1433="word-digit pairs",3,IF(J1433="English-Swahili pairs",3,IF(J1433="spatial position",3,IF(J1433="word pairs",4,IF(J1433="word triads",4,IF(J1433="generated words",4,IF(J1433="word definition pairs",4,IF(J1433="math problems",4,IF(J1433="famous faces",4,IF(J1433="famous names",4,IF(J1433="famous voices",4,IF(J1433="television programs",4,IF(J1433="race horses",4,IF(J1433="new vocabulary",4,IF(J1433="sentences",5,IF(J1433="concepts",5,IF(J1433="ad slides",5,IF(J1433="scenes",5,IF(J1433="famous scenes",5,IF(J1433="poems",6,IF(J1433="walk",6,IF(J1433="faces and events",6,IF(J1433="events and names",6,IF(J1433="flashbulb",7,IF(J1433="stories",7,IF(J1433="course material",7,IF(J1433="autobiographical",7,IF(J1433="novels",7,IF(J1433="public events",7,"99"))))))))))))))))))))))))))))))))))))))))))))))</f>
        <v>7</v>
      </c>
      <c r="M1433" s="60">
        <v>1</v>
      </c>
      <c r="N1433" s="59">
        <v>4</v>
      </c>
      <c r="O1433" s="60">
        <v>0</v>
      </c>
      <c r="P1433" s="60"/>
      <c r="Q1433" s="60" t="s">
        <v>182</v>
      </c>
      <c r="R1433" s="60">
        <f>IF(Q1433="Free Recall",1,IF(Q1433="Cued Recall",2,IF(Q1433="Recognition",3,IF(Q1433="Multiple Choice",4,IF(Q1433="Savings",5,IF(Q1433="Stem Completion",6,IF(Q1433="Fragment Completion",7,IF(Q1433="anagram solution",8,IF(Q1433="Matching",9,IF(Q1433="Problem Solving",10,"99"))))))))))</f>
        <v>4</v>
      </c>
      <c r="S1433" s="60" t="s">
        <v>15</v>
      </c>
      <c r="T1433" s="59" t="s">
        <v>581</v>
      </c>
      <c r="U1433" s="60">
        <f>IF(T1433="within",1,0)</f>
        <v>1</v>
      </c>
      <c r="V1433" s="59">
        <v>100</v>
      </c>
      <c r="W1433" s="60">
        <f>F1433*V1433</f>
        <v>900</v>
      </c>
      <c r="X1433" s="60">
        <v>10</v>
      </c>
      <c r="Y1433" s="76">
        <f>AV1432</f>
        <v>157680000</v>
      </c>
      <c r="Z1433" s="60" t="s">
        <v>209</v>
      </c>
      <c r="AA1433" s="60">
        <f>50*365*24*60*60</f>
        <v>1576800000</v>
      </c>
      <c r="AB1433" s="60" t="str">
        <f>IF(AA1433&lt;60,"1",IF(AA1433&lt;=43200,"2",IF(AA1433&lt;=777600,"3","4")))</f>
        <v>4</v>
      </c>
      <c r="AC1433" s="56">
        <f>AVERAGE(AV1432:DA1432)</f>
        <v>864240000</v>
      </c>
      <c r="AD1433" s="60" t="str">
        <f>IF(AC1433&lt;60,"1",IF(AC1433&lt;=43200,"2",IF(AC1433&lt;=777600,"3","4")))</f>
        <v>4</v>
      </c>
      <c r="AE1433" s="76">
        <f>AA1433-Y1433</f>
        <v>1419120000</v>
      </c>
      <c r="AF1433" s="80">
        <f>AV1433</f>
        <v>0.77500000000000002</v>
      </c>
      <c r="AG1433" s="56">
        <f>((AW1433-AV1433)+(AX1433-AW1433)+(AY1433-AX1433)+(AZ1433-AY1433)+(BA1433-AZ1433)+(BB1433-BA1433)+(BC1433-BB1433)+(BD1433-BC1433)+(BE1433-BD1433))/9</f>
        <v>-5.8333333333333334E-2</v>
      </c>
      <c r="AH1433" s="4"/>
      <c r="AI1433" s="56">
        <f>RSQ(AV1433:BE1433,AV1432:BE1432)</f>
        <v>0.83740106260198222</v>
      </c>
      <c r="AJ1433" s="109">
        <f>SLOPE(AV1433:BE1433,AV1432:BE1432)</f>
        <v>-3.8300118303606925E-10</v>
      </c>
      <c r="AK1433" s="56">
        <f>INTERCEPT(AV1433:BE1433,AV1432:BE1432)</f>
        <v>0.84350494242709262</v>
      </c>
      <c r="AL1433" s="56">
        <f>INDEX(LINEST(LN(AV1433:BE1433),LN(AV1432:BE1432),TRUE,TRUE),3,1)</f>
        <v>0.70885393239827765</v>
      </c>
      <c r="AM1433" s="56">
        <f>INDEX(LINEST(LN(AV1433:BE1433),LN(AV1432:BE1432)),1)</f>
        <v>-0.48077626414542657</v>
      </c>
      <c r="AN1433" s="56">
        <f>EXP(INDEX(LINEST(LN(AV1433:BE1433),LN(AV1432:BE1432)),1,2))</f>
        <v>8581.4804501054059</v>
      </c>
      <c r="AO1433" s="82">
        <f>INDEX(LINEST((AV1433:BE1433),LN(AV1432:BE1432),TRUE,TRUE),3,1)</f>
        <v>0.77587502470619663</v>
      </c>
      <c r="AP1433" s="82">
        <f>INDEX(LINEST((AV1433:BE1433),LN(AV1432:BE1432)),1)</f>
        <v>-0.23942619591612307</v>
      </c>
      <c r="AQ1433" s="83">
        <f>INDEX(LINEST(LN(AV1433:BE1433),SQRT(AV1432:BE1432),TRUE,TRUE),3,1)</f>
        <v>0.79179945267907725</v>
      </c>
      <c r="AR1433" s="116">
        <f>INDEX(LINEST(LN(AV1433:BE1433),SQRT((AV1432:BE1432))),1)</f>
        <v>-4.1928308412294552E-5</v>
      </c>
      <c r="AS1433" s="84">
        <f>INDEX(LINEST(1/(AV1433:BE1433),1/(SQRT(AV1432:BE1432)),TRUE,TRUE),3,1)</f>
        <v>0.50049154714371002</v>
      </c>
      <c r="AT1433" s="84">
        <f>INDEX(LINEST(1/(AV1433:BE1433),1/SQRT(AV1432:BE1432)),1)</f>
        <v>-41007.78207419339</v>
      </c>
      <c r="AU1433" s="3"/>
      <c r="AV1433" s="53">
        <v>0.77500000000000002</v>
      </c>
      <c r="AW1433" s="53">
        <v>0.77500000000000002</v>
      </c>
      <c r="AX1433" s="53">
        <v>0.72499999999999998</v>
      </c>
      <c r="AY1433" s="53">
        <v>0.42499999999999999</v>
      </c>
      <c r="AZ1433" s="53">
        <v>0.55000000000000004</v>
      </c>
      <c r="BA1433" s="53">
        <v>0.47499999999999998</v>
      </c>
      <c r="BB1433" s="53">
        <v>0.55000000000000004</v>
      </c>
      <c r="BC1433" s="53">
        <v>0.32500000000000001</v>
      </c>
      <c r="BD1433" s="53">
        <v>0.27500000000000002</v>
      </c>
      <c r="BE1433" s="53">
        <v>0.25</v>
      </c>
      <c r="BF1433" s="33"/>
      <c r="BG1433" s="33"/>
      <c r="BH1433" s="33"/>
      <c r="BI1433" s="33"/>
      <c r="BJ1433" s="33"/>
      <c r="BK1433" s="33"/>
      <c r="BL1433" s="33"/>
      <c r="BM1433" s="33"/>
      <c r="BN1433" s="33"/>
      <c r="BO1433" s="33"/>
      <c r="BP1433" s="33"/>
      <c r="BQ1433" s="33"/>
      <c r="BR1433" s="33"/>
      <c r="BS1433" s="33"/>
      <c r="BT1433" s="33"/>
      <c r="BU1433" s="33"/>
      <c r="BV1433" s="33"/>
      <c r="BW1433" s="33"/>
      <c r="BX1433" s="33"/>
      <c r="BY1433" s="33"/>
      <c r="BZ1433" s="33"/>
      <c r="CA1433" s="33"/>
      <c r="CB1433" s="33"/>
      <c r="CC1433" s="33"/>
      <c r="CD1433" s="33"/>
      <c r="CE1433" s="33"/>
      <c r="CF1433" s="33"/>
      <c r="CG1433" s="33"/>
      <c r="CH1433" s="33"/>
      <c r="CI1433" s="33"/>
      <c r="CJ1433" s="33"/>
      <c r="CK1433" s="33"/>
      <c r="CL1433" s="33"/>
      <c r="CM1433" s="33"/>
      <c r="CN1433" s="33"/>
      <c r="CO1433" s="33"/>
      <c r="CP1433" s="33"/>
      <c r="CQ1433" s="33"/>
      <c r="CR1433" s="1"/>
      <c r="CS1433" s="1"/>
      <c r="CT1433" s="1"/>
      <c r="CU1433" s="1"/>
    </row>
    <row r="1434" spans="1:99" s="13" customFormat="1" ht="12" customHeight="1" x14ac:dyDescent="0.2">
      <c r="A1434" s="68">
        <v>43509</v>
      </c>
      <c r="B1434" s="70"/>
      <c r="C1434" s="70"/>
      <c r="D1434" s="69"/>
      <c r="E1434" s="87"/>
      <c r="F1434" s="69"/>
      <c r="G1434" s="69"/>
      <c r="H1434" s="69"/>
      <c r="I1434" s="69"/>
      <c r="J1434" s="69"/>
      <c r="K1434" s="107"/>
      <c r="L1434" s="107"/>
      <c r="M1434" s="69"/>
      <c r="N1434" s="69"/>
      <c r="O1434" s="69"/>
      <c r="P1434" s="69"/>
      <c r="Q1434" s="69"/>
      <c r="R1434" s="69"/>
      <c r="S1434" s="69"/>
      <c r="T1434" s="69"/>
      <c r="U1434" s="69"/>
      <c r="V1434" s="69"/>
      <c r="W1434" s="69"/>
      <c r="X1434" s="69"/>
      <c r="Y1434" s="87"/>
      <c r="Z1434" s="69"/>
      <c r="AA1434" s="69"/>
      <c r="AB1434" s="69"/>
      <c r="AC1434" s="69"/>
      <c r="AD1434" s="69"/>
      <c r="AE1434" s="69"/>
      <c r="AF1434" s="88"/>
      <c r="AG1434" s="72"/>
      <c r="AH1434" s="4"/>
      <c r="AI1434" s="72"/>
      <c r="AJ1434" s="110"/>
      <c r="AK1434" s="72"/>
      <c r="AL1434" s="72"/>
      <c r="AM1434" s="72"/>
      <c r="AN1434" s="72"/>
      <c r="AO1434" s="72"/>
      <c r="AP1434" s="72"/>
      <c r="AQ1434" s="72"/>
      <c r="AR1434" s="110"/>
      <c r="AS1434" s="72"/>
      <c r="AT1434" s="72"/>
      <c r="AU1434" s="4"/>
      <c r="AV1434" s="71">
        <f>(365*24*60*60)/2</f>
        <v>15768000</v>
      </c>
      <c r="AW1434" s="71">
        <f>365*24*60*60</f>
        <v>31536000</v>
      </c>
      <c r="AX1434" s="71">
        <f>365*24*60*60*1.5</f>
        <v>47304000</v>
      </c>
      <c r="AY1434" s="71">
        <f>365*24*60*60*2</f>
        <v>63072000</v>
      </c>
      <c r="AZ1434" s="71">
        <f>365*24*60*60*2.5</f>
        <v>78840000</v>
      </c>
      <c r="BA1434" s="71">
        <f>365*24*60*60*3</f>
        <v>94608000</v>
      </c>
      <c r="BB1434" s="71">
        <f>365*24*60*60*3.5</f>
        <v>110376000</v>
      </c>
      <c r="BC1434" s="71">
        <f>365*24*60*60*4</f>
        <v>126144000</v>
      </c>
      <c r="BD1434" s="71">
        <f>365*24*60*60*4.5</f>
        <v>141912000</v>
      </c>
      <c r="BE1434" s="71">
        <f>365*24*60*60*5</f>
        <v>157680000</v>
      </c>
      <c r="BF1434" s="2"/>
      <c r="BG1434" s="2"/>
      <c r="BH1434" s="2"/>
      <c r="BI1434" s="2"/>
      <c r="BJ1434" s="2"/>
      <c r="BK1434" s="2"/>
      <c r="BL1434" s="2"/>
      <c r="BM1434" s="2"/>
      <c r="BN1434" s="2"/>
      <c r="BO1434" s="2"/>
      <c r="BP1434" s="2"/>
      <c r="BQ1434" s="2"/>
      <c r="BR1434" s="2"/>
      <c r="BS1434" s="2"/>
      <c r="BT1434" s="2"/>
      <c r="BU1434" s="2"/>
      <c r="BV1434" s="2"/>
      <c r="BW1434" s="2"/>
      <c r="BX1434" s="2"/>
      <c r="BY1434" s="2"/>
      <c r="BZ1434" s="2"/>
      <c r="CA1434" s="2"/>
      <c r="CB1434" s="2"/>
      <c r="CC1434" s="2"/>
      <c r="CD1434" s="2"/>
      <c r="CE1434" s="2"/>
      <c r="CF1434" s="2"/>
      <c r="CG1434" s="2"/>
      <c r="CH1434" s="2"/>
      <c r="CI1434" s="2"/>
      <c r="CJ1434" s="2"/>
      <c r="CK1434" s="2"/>
      <c r="CL1434" s="2"/>
      <c r="CM1434" s="2"/>
      <c r="CN1434" s="2"/>
      <c r="CO1434" s="2"/>
      <c r="CP1434" s="2"/>
      <c r="CQ1434" s="2"/>
      <c r="CR1434" s="1"/>
      <c r="CS1434" s="1"/>
      <c r="CT1434" s="1"/>
      <c r="CU1434" s="1"/>
    </row>
    <row r="1435" spans="1:99" s="13" customFormat="1" ht="12" customHeight="1" x14ac:dyDescent="0.2">
      <c r="A1435" s="68">
        <v>43509</v>
      </c>
      <c r="B1435" s="70" t="s">
        <v>225</v>
      </c>
      <c r="C1435" s="70" t="s">
        <v>226</v>
      </c>
      <c r="D1435" s="69">
        <v>1986</v>
      </c>
      <c r="E1435" s="87">
        <v>1</v>
      </c>
      <c r="F1435" s="69">
        <v>1</v>
      </c>
      <c r="G1435" s="69">
        <v>1</v>
      </c>
      <c r="H1435" s="69" t="s">
        <v>41</v>
      </c>
      <c r="I1435" s="69"/>
      <c r="J1435" s="69" t="s">
        <v>622</v>
      </c>
      <c r="K1435" s="69">
        <f>IF(J1435="syllables",1,IF(J1435="trigrams",2,IF(J1435="strings",3,IF(J1435="visual array",4,IF(J1435="characters",5,IF(J1435="letters",6,IF(J1435="free forms",7,IF(J1435="odors",8,IF(J1435="words",9,IF(J1435="pictures",10,IF(J1435="object pictures",11,IF(J1435="faces",12,IF(J1435="names",13,IF(J1435="idioms",14,IF(J1435="grades",15,IF(J1435="syllable-digit pairs",16,IF(J1435="trigram-word pairs",17,IF(J1435="word-digit pairs",18,IF(J1435="English-Swahili pairs",19,IF(J1435="spatial position",20,IF(J1435="word pairs",21,IF(J1435="word triads",22,IF(J1435="generated words",23,IF(J1435="word definition pairs",24,IF(J1435="math problems",25,IF(J1435="famous faces",26,IF(J1435="famous names",27,IF(J1435="famous voices",28,IF(J1435="television programs",29,IF(J1435="race horses",30,IF(J1435="new vocabulary",31,IF(J1435="sentences",32,IF(J1435="concepts",33,IF(J1435="ad slides",34,IF(J1435="scenes",35,IF(J1435="famous scenes",36,IF(J1435="poems",37,IF(J1435="walk",38,IF(J1435="faces and events",39,IF(J1435="events and names",40,IF(J1435="flashbulb",41,IF(J1435="stories",42,IF(J1435="course material",43,IF(J1435="autobiographical",44,IF(J1435="novels",45,IF(J1435="public events",46,"99"))))))))))))))))))))))))))))))))))))))))))))))</f>
        <v>44</v>
      </c>
      <c r="L1435" s="69">
        <f>IF(J1435="syllables",1,IF(J1435="trigrams",1,IF(J1435="strings",1,IF(J1435="visual array",1,IF(J1435="characters",1,IF(J1435="letters",1,IF(J1435="free forms",1,IF(J1435="odors",2,IF(J1435="words",2,IF(J1435="pictures",2,IF(J1435="object pictures",2,IF(J1435="faces",2,IF(J1435="names",2,IF(J1435="idioms","2",IF(J1435="grades",2,IF(J1435="syllable-digit pairs",3,IF(J1435="trigram-word pairs",3,IF(J1435="word-digit pairs",3,IF(J1435="English-Swahili pairs",3,IF(J1435="spatial position",3,IF(J1435="word pairs",4,IF(J1435="word triads",4,IF(J1435="generated words",4,IF(J1435="word definition pairs",4,IF(J1435="math problems",4,IF(J1435="famous faces",4,IF(J1435="famous names",4,IF(J1435="famous voices",4,IF(J1435="television programs",4,IF(J1435="race horses",4,IF(J1435="new vocabulary",4,IF(J1435="sentences",5,IF(J1435="concepts",5,IF(J1435="ad slides",5,IF(J1435="scenes",5,IF(J1435="famous scenes",5,IF(J1435="poems",6,IF(J1435="walk",6,IF(J1435="faces and events",6,IF(J1435="events and names",6,IF(J1435="flashbulb",7,IF(J1435="stories",7,IF(J1435="course material",7,IF(J1435="autobiographical",7,IF(J1435="novels",7,IF(J1435="public events",7,"99"))))))))))))))))))))))))))))))))))))))))))))))</f>
        <v>7</v>
      </c>
      <c r="M1435" s="69">
        <v>0</v>
      </c>
      <c r="N1435" s="69">
        <v>3</v>
      </c>
      <c r="O1435" s="69">
        <v>0</v>
      </c>
      <c r="P1435" s="69"/>
      <c r="Q1435" s="69" t="s">
        <v>174</v>
      </c>
      <c r="R1435" s="69">
        <f>IF(Q1435="Free Recall",1,IF(Q1435="Cued Recall",2,IF(Q1435="Recognition",3,IF(Q1435="Multiple Choice",4,IF(Q1435="Savings",5,IF(Q1435="Stem Completion",6,IF(Q1435="Fragment Completion",7,IF(Q1435="anagram solution",8,IF(Q1435="Matching",9,IF(Q1435="Problem Solving",10,"99"))))))))))</f>
        <v>1</v>
      </c>
      <c r="S1435" s="69" t="s">
        <v>49</v>
      </c>
      <c r="T1435" s="92" t="s">
        <v>581</v>
      </c>
      <c r="U1435" s="69">
        <f>IF(T1435="within",1,0)</f>
        <v>1</v>
      </c>
      <c r="V1435" s="92">
        <v>2400</v>
      </c>
      <c r="W1435" s="69">
        <f>F1435*V1435</f>
        <v>2400</v>
      </c>
      <c r="X1435" s="69">
        <v>10</v>
      </c>
      <c r="Y1435" s="87">
        <f>AV1434</f>
        <v>15768000</v>
      </c>
      <c r="Z1435" s="69" t="s">
        <v>319</v>
      </c>
      <c r="AA1435" s="69">
        <f>5*365*24*60*60</f>
        <v>157680000</v>
      </c>
      <c r="AB1435" s="69" t="str">
        <f>IF(AA1435&lt;60,"1",IF(AA1435&lt;=43200,"2",IF(AA1435&lt;=777600,"3","4")))</f>
        <v>4</v>
      </c>
      <c r="AC1435" s="72">
        <f>AVERAGE(AV1434:DA1434)</f>
        <v>86724000</v>
      </c>
      <c r="AD1435" s="69" t="str">
        <f>IF(AC1435&lt;60,"1",IF(AC1435&lt;=43200,"2",IF(AC1435&lt;=777600,"3","4")))</f>
        <v>4</v>
      </c>
      <c r="AE1435" s="87">
        <f>AA1435-Y1435</f>
        <v>141912000</v>
      </c>
      <c r="AF1435" s="88">
        <f>AV1435</f>
        <v>0.7</v>
      </c>
      <c r="AG1435" s="72">
        <f>((AW1435-AV1435)+(AX1435-AW1435)+(AY1435-AX1435)+(AZ1435-AY1435)+(BA1435-AZ1435)+(BB1435-BA1435)+(BC1435-BB1435)+(BD1435-BC1435)+(BE1435-BD1435))/9</f>
        <v>-4.4444444444444439E-2</v>
      </c>
      <c r="AH1435" s="4"/>
      <c r="AI1435" s="72">
        <f>RSQ(AV1435:BE1435,AV1434:BE1434)</f>
        <v>0.80479873033491767</v>
      </c>
      <c r="AJ1435" s="110">
        <f>SLOPE(AV1435:BE1435,AV1434:BE1434)</f>
        <v>-2.2100764109896528E-9</v>
      </c>
      <c r="AK1435" s="72">
        <f>INTERCEPT(AV1435:BE1435,AV1434:BE1434)</f>
        <v>0.61266666666666669</v>
      </c>
      <c r="AL1435" s="72">
        <f>INDEX(LINEST(LN(AV1435:BE1435),LN(AV1434:BE1434),TRUE,TRUE),3,1)</f>
        <v>0.97707226137410719</v>
      </c>
      <c r="AM1435" s="72">
        <f>INDEX(LINEST(LN(AV1435:BE1435),LN(AV1434:BE1434)),1)</f>
        <v>-0.33858002550310967</v>
      </c>
      <c r="AN1435" s="72">
        <f>EXP(INDEX(LINEST(LN(AV1435:BE1435),LN(AV1434:BE1434)),1,2))</f>
        <v>186.31357686872596</v>
      </c>
      <c r="AO1435" s="89">
        <f>INDEX(LINEST((AV1435:BE1435),LN(AV1434:BE1434),TRUE,TRUE),3,1)</f>
        <v>0.95931368626768765</v>
      </c>
      <c r="AP1435" s="89">
        <f>INDEX(LINEST((AV1435:BE1435),LN(AV1434:BE1434)),1)</f>
        <v>-0.15714775619389901</v>
      </c>
      <c r="AQ1435" s="90">
        <f>INDEX(LINEST(LN(AV1435:BE1435),SQRT(AV1434:BE1434),TRUE,TRUE),3,1)</f>
        <v>0.95316843675134133</v>
      </c>
      <c r="AR1435" s="117">
        <f>INDEX(LINEST(LN(AV1435:BE1435),SQRT((AV1434:BE1434))),1)</f>
        <v>-8.7132005285518136E-5</v>
      </c>
      <c r="AS1435" s="91">
        <f>INDEX(LINEST(1/(AV1435:BE1435),1/(SQRT(AV1434:BE1434)),TRUE,TRUE),3,1)</f>
        <v>0.88765594911665147</v>
      </c>
      <c r="AT1435" s="91">
        <f>INDEX(LINEST(1/(AV1435:BE1435),1/SQRT(AV1434:BE1434)),1)</f>
        <v>-10077.742586247447</v>
      </c>
      <c r="AU1435" s="3"/>
      <c r="AV1435" s="73">
        <v>0.7</v>
      </c>
      <c r="AW1435" s="73">
        <v>0.51</v>
      </c>
      <c r="AX1435" s="73">
        <v>0.46</v>
      </c>
      <c r="AY1435" s="73">
        <v>0.42</v>
      </c>
      <c r="AZ1435" s="73">
        <v>0.42</v>
      </c>
      <c r="BA1435" s="73">
        <v>0.39</v>
      </c>
      <c r="BB1435" s="73">
        <v>0.35</v>
      </c>
      <c r="BC1435" s="73">
        <v>0.33</v>
      </c>
      <c r="BD1435" s="73">
        <v>0.33</v>
      </c>
      <c r="BE1435" s="73">
        <v>0.3</v>
      </c>
      <c r="BF1435" s="2"/>
      <c r="BG1435" s="2"/>
      <c r="BH1435" s="2"/>
      <c r="BI1435" s="2"/>
      <c r="BJ1435" s="2"/>
      <c r="BK1435" s="2"/>
      <c r="BL1435" s="2"/>
      <c r="BM1435" s="2"/>
      <c r="BN1435" s="2"/>
      <c r="BO1435" s="2"/>
      <c r="BP1435" s="2"/>
      <c r="BQ1435" s="2"/>
      <c r="BR1435" s="2"/>
      <c r="BS1435" s="2"/>
      <c r="BT1435" s="2"/>
      <c r="BU1435" s="2"/>
      <c r="BV1435" s="2"/>
      <c r="BW1435" s="2"/>
      <c r="BX1435" s="2"/>
      <c r="BY1435" s="2"/>
      <c r="BZ1435" s="2"/>
      <c r="CA1435" s="2"/>
      <c r="CB1435" s="2"/>
      <c r="CC1435" s="2"/>
      <c r="CD1435" s="2"/>
      <c r="CE1435" s="2"/>
      <c r="CF1435" s="2"/>
      <c r="CG1435" s="2"/>
      <c r="CH1435" s="2"/>
      <c r="CI1435" s="2"/>
      <c r="CJ1435" s="2"/>
      <c r="CK1435" s="2"/>
      <c r="CL1435" s="2"/>
      <c r="CM1435" s="2"/>
      <c r="CN1435" s="2"/>
      <c r="CO1435" s="2"/>
      <c r="CP1435" s="2"/>
      <c r="CQ1435" s="2"/>
      <c r="CR1435" s="1"/>
      <c r="CS1435" s="1"/>
      <c r="CT1435" s="1"/>
      <c r="CU1435" s="1"/>
    </row>
    <row r="1436" spans="1:99" s="13" customFormat="1" ht="12" customHeight="1" x14ac:dyDescent="0.2">
      <c r="A1436" s="65">
        <v>43509</v>
      </c>
      <c r="B1436" s="1"/>
      <c r="C1436" s="1"/>
      <c r="D1436" s="60"/>
      <c r="E1436" s="76"/>
      <c r="F1436" s="60"/>
      <c r="G1436" s="60"/>
      <c r="H1436" s="60"/>
      <c r="I1436" s="60"/>
      <c r="J1436" s="60"/>
      <c r="K1436" s="64"/>
      <c r="L1436" s="64"/>
      <c r="M1436" s="60"/>
      <c r="N1436" s="60"/>
      <c r="O1436" s="60"/>
      <c r="P1436" s="60"/>
      <c r="Q1436" s="60"/>
      <c r="R1436" s="60"/>
      <c r="S1436" s="60"/>
      <c r="T1436" s="59"/>
      <c r="U1436" s="60"/>
      <c r="V1436" s="60"/>
      <c r="W1436" s="60"/>
      <c r="X1436" s="60"/>
      <c r="Y1436" s="76"/>
      <c r="Z1436" s="60"/>
      <c r="AA1436" s="60"/>
      <c r="AB1436" s="60"/>
      <c r="AC1436" s="60"/>
      <c r="AD1436" s="60"/>
      <c r="AE1436" s="60"/>
      <c r="AF1436" s="80"/>
      <c r="AG1436" s="56"/>
      <c r="AH1436" s="4"/>
      <c r="AI1436" s="56"/>
      <c r="AJ1436" s="109"/>
      <c r="AK1436" s="56"/>
      <c r="AL1436" s="56"/>
      <c r="AM1436" s="56"/>
      <c r="AN1436" s="56"/>
      <c r="AO1436" s="56"/>
      <c r="AP1436" s="56"/>
      <c r="AQ1436" s="56"/>
      <c r="AR1436" s="109"/>
      <c r="AS1436" s="56"/>
      <c r="AT1436" s="56"/>
      <c r="AU1436" s="4"/>
      <c r="AV1436" s="25">
        <f>2*60</f>
        <v>120</v>
      </c>
      <c r="AW1436" s="25">
        <f>45*60</f>
        <v>2700</v>
      </c>
      <c r="AX1436" s="25">
        <f>24*3600*7</f>
        <v>604800</v>
      </c>
      <c r="AY1436" s="42"/>
      <c r="AZ1436" s="46"/>
      <c r="BA1436" s="42"/>
      <c r="BB1436" s="42"/>
      <c r="BC1436" s="2"/>
      <c r="BD1436" s="2"/>
      <c r="BE1436" s="2"/>
      <c r="BF1436" s="2"/>
      <c r="BG1436" s="2"/>
      <c r="BH1436" s="2"/>
      <c r="BI1436" s="2"/>
      <c r="BJ1436" s="2"/>
      <c r="BK1436" s="2"/>
      <c r="BL1436" s="2"/>
      <c r="BM1436" s="2"/>
      <c r="BN1436" s="2"/>
      <c r="BO1436" s="2"/>
      <c r="BP1436" s="2"/>
      <c r="BQ1436" s="2"/>
      <c r="BR1436" s="2"/>
      <c r="BS1436" s="2"/>
      <c r="BT1436" s="2"/>
      <c r="BU1436" s="2"/>
      <c r="BV1436" s="2"/>
      <c r="BW1436" s="2"/>
      <c r="BX1436" s="2"/>
      <c r="BY1436" s="2"/>
      <c r="BZ1436" s="2"/>
      <c r="CA1436" s="2"/>
      <c r="CB1436" s="2"/>
      <c r="CC1436" s="2"/>
      <c r="CD1436" s="2"/>
      <c r="CE1436" s="2"/>
      <c r="CF1436" s="2"/>
      <c r="CG1436" s="2"/>
      <c r="CH1436" s="2"/>
      <c r="CI1436" s="2"/>
      <c r="CJ1436" s="2"/>
      <c r="CK1436" s="2"/>
      <c r="CL1436" s="2"/>
      <c r="CM1436" s="2"/>
      <c r="CN1436" s="2"/>
      <c r="CO1436" s="2"/>
      <c r="CP1436" s="2"/>
      <c r="CQ1436" s="2"/>
      <c r="CR1436" s="1"/>
      <c r="CS1436" s="1"/>
      <c r="CT1436" s="1"/>
      <c r="CU1436" s="1"/>
    </row>
    <row r="1437" spans="1:99" s="13" customFormat="1" ht="12" customHeight="1" x14ac:dyDescent="0.2">
      <c r="A1437" s="65">
        <v>43509</v>
      </c>
      <c r="B1437" s="1" t="s">
        <v>138</v>
      </c>
      <c r="C1437" s="1" t="s">
        <v>58</v>
      </c>
      <c r="D1437" s="60">
        <v>1963</v>
      </c>
      <c r="E1437" s="76">
        <v>1</v>
      </c>
      <c r="F1437" s="60">
        <v>24</v>
      </c>
      <c r="G1437" s="60">
        <v>12</v>
      </c>
      <c r="H1437" s="60" t="s">
        <v>50</v>
      </c>
      <c r="I1437" s="60" t="s">
        <v>717</v>
      </c>
      <c r="J1437" s="60" t="s">
        <v>90</v>
      </c>
      <c r="K1437" s="60">
        <f>IF(J1437="syllables",1,IF(J1437="trigrams",2,IF(J1437="strings",3,IF(J1437="visual array",4,IF(J1437="characters",5,IF(J1437="letters",6,IF(J1437="free forms",7,IF(J1437="odors",8,IF(J1437="words",9,IF(J1437="pictures",10,IF(J1437="object pictures",11,IF(J1437="faces",12,IF(J1437="names",13,IF(J1437="idioms",14,IF(J1437="grades",15,IF(J1437="syllable-digit pairs",16,IF(J1437="trigram-word pairs",17,IF(J1437="word-digit pairs",18,IF(J1437="English-Swahili pairs",19,IF(J1437="spatial position",20,IF(J1437="word pairs",21,IF(J1437="word triads",22,IF(J1437="generated words",23,IF(J1437="word definition pairs",24,IF(J1437="math problems",25,IF(J1437="famous faces",26,IF(J1437="famous names",27,IF(J1437="famous voices",28,IF(J1437="television programs",29,IF(J1437="race horses",30,IF(J1437="new vocabulary",31,IF(J1437="sentences",32,IF(J1437="concepts",33,IF(J1437="ad slides",34,IF(J1437="scenes",35,IF(J1437="famous scenes",36,IF(J1437="poems",37,IF(J1437="walk",38,IF(J1437="faces and events",39,IF(J1437="events and names",40,IF(J1437="flashbulb",41,IF(J1437="stories",42,IF(J1437="course material",43,IF(J1437="autobiographical",44,IF(J1437="novels",45,IF(J1437="public events",46,"99"))))))))))))))))))))))))))))))))))))))))))))))</f>
        <v>18</v>
      </c>
      <c r="L1437" s="60">
        <f>IF(J1437="syllables",1,IF(J1437="trigrams",1,IF(J1437="strings",1,IF(J1437="visual array",1,IF(J1437="characters",1,IF(J1437="letters",1,IF(J1437="free forms",1,IF(J1437="odors",2,IF(J1437="words",2,IF(J1437="pictures",2,IF(J1437="object pictures",2,IF(J1437="faces",2,IF(J1437="names",2,IF(J1437="idioms","2",IF(J1437="grades",2,IF(J1437="syllable-digit pairs",3,IF(J1437="trigram-word pairs",3,IF(J1437="word-digit pairs",3,IF(J1437="English-Swahili pairs",3,IF(J1437="spatial position",3,IF(J1437="word pairs",4,IF(J1437="word triads",4,IF(J1437="generated words",4,IF(J1437="word definition pairs",4,IF(J1437="math problems",4,IF(J1437="famous faces",4,IF(J1437="famous names",4,IF(J1437="famous voices",4,IF(J1437="television programs",4,IF(J1437="race horses",4,IF(J1437="new vocabulary",4,IF(J1437="sentences",5,IF(J1437="concepts",5,IF(J1437="ad slides",5,IF(J1437="scenes",5,IF(J1437="famous scenes",5,IF(J1437="poems",6,IF(J1437="walk",6,IF(J1437="faces and events",6,IF(J1437="events and names",6,IF(J1437="flashbulb",7,IF(J1437="stories",7,IF(J1437="course material",7,IF(J1437="autobiographical",7,IF(J1437="novels",7,IF(J1437="public events",7,"99"))))))))))))))))))))))))))))))))))))))))))))))</f>
        <v>3</v>
      </c>
      <c r="M1437" s="60">
        <v>0</v>
      </c>
      <c r="N1437" s="60">
        <v>1</v>
      </c>
      <c r="O1437" s="60">
        <v>0</v>
      </c>
      <c r="P1437" s="60"/>
      <c r="Q1437" s="60" t="s">
        <v>174</v>
      </c>
      <c r="R1437" s="60">
        <f>IF(Q1437="Free Recall",1,IF(Q1437="Cued Recall",2,IF(Q1437="Recognition",3,IF(Q1437="Multiple Choice",4,IF(Q1437="Savings",5,IF(Q1437="Stem Completion",6,IF(Q1437="Fragment Completion",7,IF(Q1437="anagram solution",8,IF(Q1437="Matching",9,IF(Q1437="Problem Solving",10,"99"))))))))))</f>
        <v>1</v>
      </c>
      <c r="S1437" s="60" t="s">
        <v>49</v>
      </c>
      <c r="T1437" s="60" t="s">
        <v>261</v>
      </c>
      <c r="U1437" s="60">
        <f>IF(T1437="within",1,0)</f>
        <v>0</v>
      </c>
      <c r="V1437" s="60">
        <v>8</v>
      </c>
      <c r="W1437" s="60">
        <f>F1437*V1437</f>
        <v>192</v>
      </c>
      <c r="X1437" s="60">
        <v>3</v>
      </c>
      <c r="Y1437" s="76">
        <f>AV1436</f>
        <v>120</v>
      </c>
      <c r="Z1437" s="60" t="s">
        <v>97</v>
      </c>
      <c r="AA1437" s="60">
        <v>604800</v>
      </c>
      <c r="AB1437" s="60" t="str">
        <f>IF(AA1437&lt;60,"1",IF(AA1437&lt;=43200,"2",IF(AA1437&lt;=777600,"3","4")))</f>
        <v>3</v>
      </c>
      <c r="AC1437" s="56">
        <f>AVERAGE(AV1436:DA1436)</f>
        <v>202540</v>
      </c>
      <c r="AD1437" s="60" t="str">
        <f>IF(AC1437&lt;60,"1",IF(AC1437&lt;=43200,"2",IF(AC1437&lt;=777600,"3","4")))</f>
        <v>3</v>
      </c>
      <c r="AE1437" s="76">
        <f>AA1437-Y1437</f>
        <v>604680</v>
      </c>
      <c r="AF1437" s="80">
        <f>AV1437</f>
        <v>0.26</v>
      </c>
      <c r="AG1437" s="56">
        <f>((AW1437-AV1437)+(AX1437-AW1437))/2</f>
        <v>-1.4999999999999999E-2</v>
      </c>
      <c r="AH1437" s="4"/>
      <c r="AI1437" s="56">
        <f>RSQ(AV1437:AX1437,AV1436:AX1436)</f>
        <v>1.4015150336932363E-2</v>
      </c>
      <c r="AJ1437" s="109">
        <f>SLOPE(AV1437:AX1437,AV1436:AX1436)</f>
        <v>-8.5521359283718894E-9</v>
      </c>
      <c r="AK1437" s="56">
        <f>INTERCEPT(AV1437:AX1437,AV1436:AX1436)</f>
        <v>0.23506548294426574</v>
      </c>
      <c r="AL1437" s="56">
        <f>INDEX(LINEST(LN(AV1437:AX1437),LN(AV1436:AX1436),TRUE,TRUE),3,1)</f>
        <v>0.1927322467073547</v>
      </c>
      <c r="AM1437" s="56">
        <f>INDEX(LINEST(LN(AV1437:AX1437),LN(AV1436:AX1436)),1)</f>
        <v>-1.090706295659986E-2</v>
      </c>
      <c r="AN1437" s="56">
        <f>EXP(INDEX(LINEST(LN(AV1437:AX1437),LN(AV1436:AX1436)),1,2))</f>
        <v>0.25548274942910387</v>
      </c>
      <c r="AO1437" s="82">
        <f>INDEX(LINEST((AV1437:AX1437),LN(AV1436:AX1436),TRUE,TRUE),3,1)</f>
        <v>0.21665927414525887</v>
      </c>
      <c r="AP1437" s="82">
        <f>INDEX(LINEST((AV1437:AX1437),LN(AV1436:AX1436)),1)</f>
        <v>-2.7154074116974986E-3</v>
      </c>
      <c r="AQ1437" s="83">
        <f>INDEX(LINEST(LN(AV1437:AX1437),SQRT(AV1436:AX1436),TRUE,TRUE),3,1)</f>
        <v>1.7546288022689652E-2</v>
      </c>
      <c r="AR1437" s="116">
        <f>INDEX(LINEST(LN(AV1437:AX1437),SQRT((AV1436:AX1436))),1)</f>
        <v>-3.2914649160923486E-5</v>
      </c>
      <c r="AS1437" s="84">
        <f>INDEX(LINEST(1/(AV1437:AX1437),1/(SQRT(AV1436:AX1436)),TRUE,TRUE),3,1)</f>
        <v>0.62594200413448442</v>
      </c>
      <c r="AT1437" s="84">
        <f>INDEX(LINEST(1/(AV1437:AX1437),1/SQRT(AV1436:AX1436)),1)</f>
        <v>-7.6168835955610232</v>
      </c>
      <c r="AU1437" s="3"/>
      <c r="AV1437" s="53">
        <v>0.26</v>
      </c>
      <c r="AW1437" s="53">
        <v>0.21</v>
      </c>
      <c r="AX1437" s="53">
        <v>0.23</v>
      </c>
      <c r="AY1437" s="42"/>
      <c r="AZ1437" s="46"/>
      <c r="BA1437" s="42"/>
      <c r="BB1437" s="42"/>
      <c r="BC1437" s="2"/>
      <c r="BD1437" s="2"/>
      <c r="BE1437" s="2"/>
      <c r="BF1437" s="2"/>
      <c r="BG1437" s="2"/>
      <c r="BH1437" s="2"/>
      <c r="BI1437" s="2"/>
      <c r="BJ1437" s="2"/>
      <c r="BK1437" s="2"/>
      <c r="BL1437" s="2"/>
      <c r="BM1437" s="2"/>
      <c r="BN1437" s="2"/>
      <c r="BO1437" s="2"/>
      <c r="BP1437" s="2"/>
      <c r="BQ1437" s="2"/>
      <c r="BR1437" s="2"/>
      <c r="BS1437" s="2"/>
      <c r="BT1437" s="2"/>
      <c r="BU1437" s="2"/>
      <c r="BV1437" s="2"/>
      <c r="BW1437" s="2"/>
      <c r="BX1437" s="2"/>
      <c r="BY1437" s="2"/>
      <c r="BZ1437" s="2"/>
      <c r="CA1437" s="2"/>
      <c r="CB1437" s="2"/>
      <c r="CC1437" s="2"/>
      <c r="CD1437" s="2"/>
      <c r="CE1437" s="2"/>
      <c r="CF1437" s="2"/>
      <c r="CG1437" s="2"/>
      <c r="CH1437" s="2"/>
      <c r="CI1437" s="2"/>
      <c r="CJ1437" s="2"/>
      <c r="CK1437" s="2"/>
      <c r="CL1437" s="2"/>
      <c r="CM1437" s="2"/>
      <c r="CN1437" s="2"/>
      <c r="CO1437" s="2"/>
      <c r="CP1437" s="2"/>
      <c r="CQ1437" s="2"/>
      <c r="CR1437" s="1"/>
      <c r="CS1437" s="1"/>
      <c r="CT1437" s="1"/>
      <c r="CU1437" s="1"/>
    </row>
    <row r="1438" spans="1:99" s="13" customFormat="1" ht="12" customHeight="1" x14ac:dyDescent="0.2">
      <c r="A1438" s="65">
        <v>43509</v>
      </c>
      <c r="B1438" s="1"/>
      <c r="C1438" s="1"/>
      <c r="D1438" s="60"/>
      <c r="E1438" s="76"/>
      <c r="F1438" s="60"/>
      <c r="G1438" s="60"/>
      <c r="H1438" s="60"/>
      <c r="I1438" s="60"/>
      <c r="J1438" s="60"/>
      <c r="K1438" s="64"/>
      <c r="L1438" s="64"/>
      <c r="M1438" s="60"/>
      <c r="N1438" s="60"/>
      <c r="O1438" s="60"/>
      <c r="P1438" s="60"/>
      <c r="Q1438" s="60"/>
      <c r="R1438" s="60"/>
      <c r="S1438" s="60"/>
      <c r="T1438" s="60"/>
      <c r="U1438" s="60"/>
      <c r="V1438" s="60"/>
      <c r="W1438" s="60"/>
      <c r="X1438" s="60"/>
      <c r="Y1438" s="76"/>
      <c r="Z1438" s="60"/>
      <c r="AA1438" s="60"/>
      <c r="AB1438" s="60"/>
      <c r="AC1438" s="60"/>
      <c r="AD1438" s="60"/>
      <c r="AE1438" s="60"/>
      <c r="AF1438" s="80"/>
      <c r="AG1438" s="56"/>
      <c r="AH1438" s="4"/>
      <c r="AI1438" s="56"/>
      <c r="AJ1438" s="109"/>
      <c r="AK1438" s="56"/>
      <c r="AL1438" s="56"/>
      <c r="AM1438" s="56"/>
      <c r="AN1438" s="56"/>
      <c r="AO1438" s="56"/>
      <c r="AP1438" s="56"/>
      <c r="AQ1438" s="82"/>
      <c r="AR1438" s="115"/>
      <c r="AS1438" s="82"/>
      <c r="AT1438" s="82"/>
      <c r="AU1438" s="4"/>
      <c r="AV1438" s="25">
        <f>2*60</f>
        <v>120</v>
      </c>
      <c r="AW1438" s="25">
        <f>45*60</f>
        <v>2700</v>
      </c>
      <c r="AX1438" s="25">
        <f>24*3600*7</f>
        <v>604800</v>
      </c>
      <c r="AY1438" s="42"/>
      <c r="AZ1438" s="46"/>
      <c r="BA1438" s="42"/>
      <c r="BB1438" s="42"/>
      <c r="BC1438" s="2"/>
      <c r="BD1438" s="2"/>
      <c r="BE1438" s="2"/>
      <c r="BF1438" s="2"/>
      <c r="BG1438" s="2"/>
      <c r="BH1438" s="2"/>
      <c r="BI1438" s="2"/>
      <c r="BJ1438" s="2"/>
      <c r="BK1438" s="2"/>
      <c r="BL1438" s="2"/>
      <c r="BM1438" s="2"/>
      <c r="BN1438" s="2"/>
      <c r="BO1438" s="2"/>
      <c r="BP1438" s="2"/>
      <c r="BQ1438" s="2"/>
      <c r="BR1438" s="2"/>
      <c r="BS1438" s="2"/>
      <c r="BT1438" s="2"/>
      <c r="BU1438" s="2"/>
      <c r="BV1438" s="2"/>
      <c r="BW1438" s="2"/>
      <c r="BX1438" s="2"/>
      <c r="BY1438" s="2"/>
      <c r="BZ1438" s="2"/>
      <c r="CA1438" s="2"/>
      <c r="CB1438" s="2"/>
      <c r="CC1438" s="2"/>
      <c r="CD1438" s="2"/>
      <c r="CE1438" s="2"/>
      <c r="CF1438" s="2"/>
      <c r="CG1438" s="2"/>
      <c r="CH1438" s="2"/>
      <c r="CI1438" s="2"/>
      <c r="CJ1438" s="2"/>
      <c r="CK1438" s="2"/>
      <c r="CL1438" s="2"/>
      <c r="CM1438" s="2"/>
      <c r="CN1438" s="2"/>
      <c r="CO1438" s="2"/>
      <c r="CP1438" s="2"/>
      <c r="CQ1438" s="2"/>
      <c r="CR1438" s="1"/>
      <c r="CS1438" s="1"/>
      <c r="CT1438" s="1"/>
      <c r="CU1438" s="1"/>
    </row>
    <row r="1439" spans="1:99" s="13" customFormat="1" ht="12" customHeight="1" x14ac:dyDescent="0.2">
      <c r="A1439" s="65">
        <v>43509</v>
      </c>
      <c r="B1439" s="1" t="s">
        <v>138</v>
      </c>
      <c r="C1439" s="1" t="s">
        <v>58</v>
      </c>
      <c r="D1439" s="60">
        <v>1963</v>
      </c>
      <c r="E1439" s="76">
        <v>1</v>
      </c>
      <c r="F1439" s="60">
        <v>24</v>
      </c>
      <c r="G1439" s="60">
        <v>12</v>
      </c>
      <c r="H1439" s="60" t="s">
        <v>50</v>
      </c>
      <c r="I1439" s="60" t="s">
        <v>850</v>
      </c>
      <c r="J1439" s="60" t="s">
        <v>90</v>
      </c>
      <c r="K1439" s="60">
        <f>IF(J1439="syllables",1,IF(J1439="trigrams",2,IF(J1439="strings",3,IF(J1439="visual array",4,IF(J1439="characters",5,IF(J1439="letters",6,IF(J1439="free forms",7,IF(J1439="odors",8,IF(J1439="words",9,IF(J1439="pictures",10,IF(J1439="object pictures",11,IF(J1439="faces",12,IF(J1439="names",13,IF(J1439="idioms",14,IF(J1439="grades",15,IF(J1439="syllable-digit pairs",16,IF(J1439="trigram-word pairs",17,IF(J1439="word-digit pairs",18,IF(J1439="English-Swahili pairs",19,IF(J1439="spatial position",20,IF(J1439="word pairs",21,IF(J1439="word triads",22,IF(J1439="generated words",23,IF(J1439="word definition pairs",24,IF(J1439="math problems",25,IF(J1439="famous faces",26,IF(J1439="famous names",27,IF(J1439="famous voices",28,IF(J1439="television programs",29,IF(J1439="race horses",30,IF(J1439="new vocabulary",31,IF(J1439="sentences",32,IF(J1439="concepts",33,IF(J1439="ad slides",34,IF(J1439="scenes",35,IF(J1439="famous scenes",36,IF(J1439="poems",37,IF(J1439="walk",38,IF(J1439="faces and events",39,IF(J1439="events and names",40,IF(J1439="flashbulb",41,IF(J1439="stories",42,IF(J1439="course material",43,IF(J1439="autobiographical",44,IF(J1439="novels",45,IF(J1439="public events",46,"99"))))))))))))))))))))))))))))))))))))))))))))))</f>
        <v>18</v>
      </c>
      <c r="L1439" s="60">
        <f>IF(J1439="syllables",1,IF(J1439="trigrams",1,IF(J1439="strings",1,IF(J1439="visual array",1,IF(J1439="characters",1,IF(J1439="letters",1,IF(J1439="free forms",1,IF(J1439="odors",2,IF(J1439="words",2,IF(J1439="pictures",2,IF(J1439="object pictures",2,IF(J1439="faces",2,IF(J1439="names",2,IF(J1439="idioms","2",IF(J1439="grades",2,IF(J1439="syllable-digit pairs",3,IF(J1439="trigram-word pairs",3,IF(J1439="word-digit pairs",3,IF(J1439="English-Swahili pairs",3,IF(J1439="spatial position",3,IF(J1439="word pairs",4,IF(J1439="word triads",4,IF(J1439="generated words",4,IF(J1439="word definition pairs",4,IF(J1439="math problems",4,IF(J1439="famous faces",4,IF(J1439="famous names",4,IF(J1439="famous voices",4,IF(J1439="television programs",4,IF(J1439="race horses",4,IF(J1439="new vocabulary",4,IF(J1439="sentences",5,IF(J1439="concepts",5,IF(J1439="ad slides",5,IF(J1439="scenes",5,IF(J1439="famous scenes",5,IF(J1439="poems",6,IF(J1439="walk",6,IF(J1439="faces and events",6,IF(J1439="events and names",6,IF(J1439="flashbulb",7,IF(J1439="stories",7,IF(J1439="course material",7,IF(J1439="autobiographical",7,IF(J1439="novels",7,IF(J1439="public events",7,"99"))))))))))))))))))))))))))))))))))))))))))))))</f>
        <v>3</v>
      </c>
      <c r="M1439" s="60">
        <v>0</v>
      </c>
      <c r="N1439" s="60">
        <v>1</v>
      </c>
      <c r="O1439" s="60">
        <v>0</v>
      </c>
      <c r="P1439" s="60"/>
      <c r="Q1439" s="60" t="s">
        <v>174</v>
      </c>
      <c r="R1439" s="60">
        <f>IF(Q1439="Free Recall",1,IF(Q1439="Cued Recall",2,IF(Q1439="Recognition",3,IF(Q1439="Multiple Choice",4,IF(Q1439="Savings",5,IF(Q1439="Stem Completion",6,IF(Q1439="Fragment Completion",7,IF(Q1439="anagram solution",8,IF(Q1439="Matching",9,IF(Q1439="Problem Solving",10,"99"))))))))))</f>
        <v>1</v>
      </c>
      <c r="S1439" s="60" t="s">
        <v>49</v>
      </c>
      <c r="T1439" s="60" t="s">
        <v>261</v>
      </c>
      <c r="U1439" s="60">
        <f>IF(T1439="within",1,0)</f>
        <v>0</v>
      </c>
      <c r="V1439" s="60">
        <v>8</v>
      </c>
      <c r="W1439" s="60">
        <f>F1439*V1439</f>
        <v>192</v>
      </c>
      <c r="X1439" s="60">
        <v>3</v>
      </c>
      <c r="Y1439" s="76">
        <f>AV1438</f>
        <v>120</v>
      </c>
      <c r="Z1439" s="60" t="s">
        <v>97</v>
      </c>
      <c r="AA1439" s="60">
        <v>604800</v>
      </c>
      <c r="AB1439" s="60" t="str">
        <f>IF(AA1439&lt;60,"1",IF(AA1439&lt;=43200,"2",IF(AA1439&lt;=777600,"3","4")))</f>
        <v>3</v>
      </c>
      <c r="AC1439" s="56">
        <f>AVERAGE(AV1438:DA1438)</f>
        <v>202540</v>
      </c>
      <c r="AD1439" s="60" t="str">
        <f>IF(AC1439&lt;60,"1",IF(AC1439&lt;=43200,"2",IF(AC1439&lt;=777600,"3","4")))</f>
        <v>3</v>
      </c>
      <c r="AE1439" s="76">
        <f>AA1439-Y1439</f>
        <v>604680</v>
      </c>
      <c r="AF1439" s="80">
        <f>AV1439</f>
        <v>0.26</v>
      </c>
      <c r="AG1439" s="56">
        <f>((AW1439-AV1439)+(AX1439-AW1439))/2</f>
        <v>-2.5000000000000008E-2</v>
      </c>
      <c r="AH1439" s="4"/>
      <c r="AI1439" s="56">
        <f>RSQ(AV1439:AX1439,AV1438:AX1438)</f>
        <v>0.7467863068871825</v>
      </c>
      <c r="AJ1439" s="109">
        <f>SLOPE(AV1439:AX1439,AV1438:AX1438)</f>
        <v>-1.2403027850642462E-7</v>
      </c>
      <c r="AK1439" s="56">
        <f>INTERCEPT(AV1439:AX1439,AV1438:AX1438)</f>
        <v>0.28512109260869123</v>
      </c>
      <c r="AL1439" s="56">
        <f>INDEX(LINEST(LN(AV1439:AX1439),LN(AV1438:AX1438),TRUE,TRUE),3,1)</f>
        <v>0.44849462729650236</v>
      </c>
      <c r="AM1439" s="56">
        <f>INDEX(LINEST(LN(AV1439:AX1439),LN(AV1438:AX1438)),1)</f>
        <v>-3.0277747890690047E-2</v>
      </c>
      <c r="AN1439" s="56">
        <f>EXP(INDEX(LINEST(LN(AV1439:AX1439),LN(AV1438:AX1438)),1,2))</f>
        <v>0.33379908178233092</v>
      </c>
      <c r="AO1439" s="82">
        <f>INDEX(LINEST((AV1439:AX1439),LN(AV1438:AX1438),TRUE,TRUE),3,1)</f>
        <v>0.39342245534909859</v>
      </c>
      <c r="AP1439" s="82">
        <f>INDEX(LINEST((AV1439:AX1439),LN(AV1438:AX1438)),1)</f>
        <v>-7.2699221563878643E-3</v>
      </c>
      <c r="AQ1439" s="83">
        <f>INDEX(LINEST(LN(AV1439:AX1439),SQRT(AV1438:AX1438),TRUE,TRUE),3,1)</f>
        <v>0.75711077835272844</v>
      </c>
      <c r="AR1439" s="116">
        <f>INDEX(LINEST(LN(AV1439:AX1439),SQRT((AV1438:AX1438))),1)</f>
        <v>-3.9345098409504671E-4</v>
      </c>
      <c r="AS1439" s="84">
        <f>INDEX(LINEST(1/(AV1439:AX1439),1/(SQRT(AV1438:AX1438)),TRUE,TRUE),3,1)</f>
        <v>8.7462610775404695E-2</v>
      </c>
      <c r="AT1439" s="84">
        <f>INDEX(LINEST(1/(AV1439:AX1439),1/SQRT(AV1438:AX1438)),1)</f>
        <v>-4.798023765709349</v>
      </c>
      <c r="AU1439" s="3"/>
      <c r="AV1439" s="53">
        <v>0.26</v>
      </c>
      <c r="AW1439" s="53">
        <v>0.31</v>
      </c>
      <c r="AX1439" s="53">
        <v>0.21</v>
      </c>
      <c r="AY1439" s="42"/>
      <c r="AZ1439" s="46"/>
      <c r="BA1439" s="42"/>
      <c r="BB1439" s="42"/>
      <c r="BC1439" s="2"/>
      <c r="BD1439" s="2"/>
      <c r="BE1439" s="2"/>
      <c r="BF1439" s="2"/>
      <c r="BG1439" s="2"/>
      <c r="BH1439" s="2"/>
      <c r="BI1439" s="2"/>
      <c r="BJ1439" s="2"/>
      <c r="BK1439" s="2"/>
      <c r="BL1439" s="2"/>
      <c r="BM1439" s="2"/>
      <c r="BN1439" s="2"/>
      <c r="BO1439" s="2"/>
      <c r="BP1439" s="2"/>
      <c r="BQ1439" s="2"/>
      <c r="BR1439" s="2"/>
      <c r="BS1439" s="2"/>
      <c r="BT1439" s="2"/>
      <c r="BU1439" s="2"/>
      <c r="BV1439" s="2"/>
      <c r="BW1439" s="2"/>
      <c r="BX1439" s="2"/>
      <c r="BY1439" s="2"/>
      <c r="BZ1439" s="2"/>
      <c r="CA1439" s="2"/>
      <c r="CB1439" s="2"/>
      <c r="CC1439" s="2"/>
      <c r="CD1439" s="2"/>
      <c r="CE1439" s="2"/>
      <c r="CF1439" s="2"/>
      <c r="CG1439" s="2"/>
      <c r="CH1439" s="2"/>
      <c r="CI1439" s="2"/>
      <c r="CJ1439" s="2"/>
      <c r="CK1439" s="2"/>
      <c r="CL1439" s="2"/>
      <c r="CM1439" s="2"/>
      <c r="CN1439" s="2"/>
      <c r="CO1439" s="2"/>
      <c r="CP1439" s="2"/>
      <c r="CQ1439" s="2"/>
      <c r="CR1439" s="1"/>
      <c r="CS1439" s="1"/>
      <c r="CT1439" s="1"/>
      <c r="CU1439" s="1"/>
    </row>
    <row r="1440" spans="1:99" s="13" customFormat="1" ht="12" customHeight="1" x14ac:dyDescent="0.2">
      <c r="A1440" s="65">
        <v>43509</v>
      </c>
      <c r="B1440" s="1"/>
      <c r="C1440" s="1"/>
      <c r="D1440" s="60"/>
      <c r="E1440" s="76"/>
      <c r="F1440" s="60"/>
      <c r="G1440" s="60"/>
      <c r="H1440" s="60"/>
      <c r="I1440" s="60"/>
      <c r="J1440" s="60"/>
      <c r="K1440" s="64"/>
      <c r="L1440" s="64"/>
      <c r="M1440" s="60"/>
      <c r="N1440" s="60"/>
      <c r="O1440" s="60"/>
      <c r="P1440" s="60"/>
      <c r="Q1440" s="60"/>
      <c r="R1440" s="60"/>
      <c r="S1440" s="60"/>
      <c r="T1440" s="60"/>
      <c r="U1440" s="60"/>
      <c r="V1440" s="60"/>
      <c r="W1440" s="60"/>
      <c r="X1440" s="60"/>
      <c r="Y1440" s="76"/>
      <c r="Z1440" s="60"/>
      <c r="AA1440" s="60"/>
      <c r="AB1440" s="60"/>
      <c r="AC1440" s="60"/>
      <c r="AD1440" s="60"/>
      <c r="AE1440" s="60"/>
      <c r="AF1440" s="80"/>
      <c r="AG1440" s="56"/>
      <c r="AH1440" s="4"/>
      <c r="AI1440" s="56"/>
      <c r="AJ1440" s="109"/>
      <c r="AK1440" s="56"/>
      <c r="AL1440" s="56"/>
      <c r="AM1440" s="56"/>
      <c r="AN1440" s="56"/>
      <c r="AO1440" s="56"/>
      <c r="AP1440" s="56"/>
      <c r="AQ1440" s="82"/>
      <c r="AR1440" s="115"/>
      <c r="AS1440" s="82"/>
      <c r="AT1440" s="82"/>
      <c r="AU1440" s="4"/>
      <c r="AV1440" s="25">
        <f>2*60</f>
        <v>120</v>
      </c>
      <c r="AW1440" s="25">
        <f>45*60</f>
        <v>2700</v>
      </c>
      <c r="AX1440" s="25">
        <f>24*3600*7</f>
        <v>604800</v>
      </c>
      <c r="AY1440" s="42"/>
      <c r="AZ1440" s="46"/>
      <c r="BA1440" s="42"/>
      <c r="BB1440" s="42"/>
      <c r="BC1440" s="2"/>
      <c r="BD1440" s="2"/>
      <c r="BE1440" s="2"/>
      <c r="BF1440" s="2"/>
      <c r="BG1440" s="2"/>
      <c r="BH1440" s="2"/>
      <c r="BI1440" s="2"/>
      <c r="BJ1440" s="2"/>
      <c r="BK1440" s="2"/>
      <c r="BL1440" s="2"/>
      <c r="BM1440" s="2"/>
      <c r="BN1440" s="2"/>
      <c r="BO1440" s="2"/>
      <c r="BP1440" s="2"/>
      <c r="BQ1440" s="2"/>
      <c r="BR1440" s="2"/>
      <c r="BS1440" s="2"/>
      <c r="BT1440" s="2"/>
      <c r="BU1440" s="2"/>
      <c r="BV1440" s="2"/>
      <c r="BW1440" s="2"/>
      <c r="BX1440" s="2"/>
      <c r="BY1440" s="2"/>
      <c r="BZ1440" s="2"/>
      <c r="CA1440" s="2"/>
      <c r="CB1440" s="2"/>
      <c r="CC1440" s="2"/>
      <c r="CD1440" s="2"/>
      <c r="CE1440" s="2"/>
      <c r="CF1440" s="2"/>
      <c r="CG1440" s="2"/>
      <c r="CH1440" s="2"/>
      <c r="CI1440" s="2"/>
      <c r="CJ1440" s="2"/>
      <c r="CK1440" s="2"/>
      <c r="CL1440" s="2"/>
      <c r="CM1440" s="2"/>
      <c r="CN1440" s="2"/>
      <c r="CO1440" s="2"/>
      <c r="CP1440" s="2"/>
      <c r="CQ1440" s="2"/>
      <c r="CR1440" s="1"/>
      <c r="CS1440" s="1"/>
      <c r="CT1440" s="1"/>
      <c r="CU1440" s="1"/>
    </row>
    <row r="1441" spans="1:99" s="13" customFormat="1" ht="12" customHeight="1" x14ac:dyDescent="0.2">
      <c r="A1441" s="65">
        <v>43509</v>
      </c>
      <c r="B1441" s="1" t="s">
        <v>138</v>
      </c>
      <c r="C1441" s="1" t="s">
        <v>58</v>
      </c>
      <c r="D1441" s="60">
        <v>1963</v>
      </c>
      <c r="E1441" s="76">
        <v>1</v>
      </c>
      <c r="F1441" s="60">
        <v>24</v>
      </c>
      <c r="G1441" s="60">
        <v>12</v>
      </c>
      <c r="H1441" s="60" t="s">
        <v>50</v>
      </c>
      <c r="I1441" s="60" t="s">
        <v>718</v>
      </c>
      <c r="J1441" s="60" t="s">
        <v>90</v>
      </c>
      <c r="K1441" s="60">
        <f>IF(J1441="syllables",1,IF(J1441="trigrams",2,IF(J1441="strings",3,IF(J1441="visual array",4,IF(J1441="characters",5,IF(J1441="letters",6,IF(J1441="free forms",7,IF(J1441="odors",8,IF(J1441="words",9,IF(J1441="pictures",10,IF(J1441="object pictures",11,IF(J1441="faces",12,IF(J1441="names",13,IF(J1441="idioms",14,IF(J1441="grades",15,IF(J1441="syllable-digit pairs",16,IF(J1441="trigram-word pairs",17,IF(J1441="word-digit pairs",18,IF(J1441="English-Swahili pairs",19,IF(J1441="spatial position",20,IF(J1441="word pairs",21,IF(J1441="word triads",22,IF(J1441="generated words",23,IF(J1441="word definition pairs",24,IF(J1441="math problems",25,IF(J1441="famous faces",26,IF(J1441="famous names",27,IF(J1441="famous voices",28,IF(J1441="television programs",29,IF(J1441="race horses",30,IF(J1441="new vocabulary",31,IF(J1441="sentences",32,IF(J1441="concepts",33,IF(J1441="ad slides",34,IF(J1441="scenes",35,IF(J1441="famous scenes",36,IF(J1441="poems",37,IF(J1441="walk",38,IF(J1441="faces and events",39,IF(J1441="events and names",40,IF(J1441="flashbulb",41,IF(J1441="stories",42,IF(J1441="course material",43,IF(J1441="autobiographical",44,IF(J1441="novels",45,IF(J1441="public events",46,"99"))))))))))))))))))))))))))))))))))))))))))))))</f>
        <v>18</v>
      </c>
      <c r="L1441" s="60">
        <f>IF(J1441="syllables",1,IF(J1441="trigrams",1,IF(J1441="strings",1,IF(J1441="visual array",1,IF(J1441="characters",1,IF(J1441="letters",1,IF(J1441="free forms",1,IF(J1441="odors",2,IF(J1441="words",2,IF(J1441="pictures",2,IF(J1441="object pictures",2,IF(J1441="faces",2,IF(J1441="names",2,IF(J1441="idioms","2",IF(J1441="grades",2,IF(J1441="syllable-digit pairs",3,IF(J1441="trigram-word pairs",3,IF(J1441="word-digit pairs",3,IF(J1441="English-Swahili pairs",3,IF(J1441="spatial position",3,IF(J1441="word pairs",4,IF(J1441="word triads",4,IF(J1441="generated words",4,IF(J1441="word definition pairs",4,IF(J1441="math problems",4,IF(J1441="famous faces",4,IF(J1441="famous names",4,IF(J1441="famous voices",4,IF(J1441="television programs",4,IF(J1441="race horses",4,IF(J1441="new vocabulary",4,IF(J1441="sentences",5,IF(J1441="concepts",5,IF(J1441="ad slides",5,IF(J1441="scenes",5,IF(J1441="famous scenes",5,IF(J1441="poems",6,IF(J1441="walk",6,IF(J1441="faces and events",6,IF(J1441="events and names",6,IF(J1441="flashbulb",7,IF(J1441="stories",7,IF(J1441="course material",7,IF(J1441="autobiographical",7,IF(J1441="novels",7,IF(J1441="public events",7,"99"))))))))))))))))))))))))))))))))))))))))))))))</f>
        <v>3</v>
      </c>
      <c r="M1441" s="60">
        <v>0</v>
      </c>
      <c r="N1441" s="60">
        <v>1</v>
      </c>
      <c r="O1441" s="60">
        <v>0</v>
      </c>
      <c r="P1441" s="60"/>
      <c r="Q1441" s="60" t="s">
        <v>174</v>
      </c>
      <c r="R1441" s="60">
        <f>IF(Q1441="Free Recall",1,IF(Q1441="Cued Recall",2,IF(Q1441="Recognition",3,IF(Q1441="Multiple Choice",4,IF(Q1441="Savings",5,IF(Q1441="Stem Completion",6,IF(Q1441="Fragment Completion",7,IF(Q1441="anagram solution",8,IF(Q1441="Matching",9,IF(Q1441="Problem Solving",10,"99"))))))))))</f>
        <v>1</v>
      </c>
      <c r="S1441" s="60" t="s">
        <v>49</v>
      </c>
      <c r="T1441" s="60" t="s">
        <v>261</v>
      </c>
      <c r="U1441" s="60">
        <f>IF(T1441="within",1,0)</f>
        <v>0</v>
      </c>
      <c r="V1441" s="60">
        <v>8</v>
      </c>
      <c r="W1441" s="60">
        <f>F1441*V1441</f>
        <v>192</v>
      </c>
      <c r="X1441" s="60">
        <v>3</v>
      </c>
      <c r="Y1441" s="76">
        <f>AV1440</f>
        <v>120</v>
      </c>
      <c r="Z1441" s="60" t="s">
        <v>97</v>
      </c>
      <c r="AA1441" s="60">
        <v>604800</v>
      </c>
      <c r="AB1441" s="60" t="str">
        <f>IF(AA1441&lt;60,"1",IF(AA1441&lt;=43200,"2",IF(AA1441&lt;=777600,"3","4")))</f>
        <v>3</v>
      </c>
      <c r="AC1441" s="56">
        <f>AVERAGE(AV1440:DA1440)</f>
        <v>202540</v>
      </c>
      <c r="AD1441" s="60" t="str">
        <f>IF(AC1441&lt;60,"1",IF(AC1441&lt;=43200,"2",IF(AC1441&lt;=777600,"3","4")))</f>
        <v>3</v>
      </c>
      <c r="AE1441" s="76">
        <f>AA1441-Y1441</f>
        <v>604680</v>
      </c>
      <c r="AF1441" s="80">
        <f>AV1441</f>
        <v>0.27</v>
      </c>
      <c r="AG1441" s="56">
        <f>((AW1441-AV1441)+(AX1441-AW1441))/2</f>
        <v>-8.5000000000000006E-2</v>
      </c>
      <c r="AH1441" s="4"/>
      <c r="AI1441" s="56">
        <f>RSQ(AV1441:AX1441,AV1440:AX1440)</f>
        <v>0.95097848024207177</v>
      </c>
      <c r="AJ1441" s="109">
        <f>SLOPE(AV1441:AX1441,AV1440:AX1440)</f>
        <v>-2.4880461508620113E-7</v>
      </c>
      <c r="AK1441" s="56">
        <f>INTERCEPT(AV1441:AX1441,AV1440:AX1440)</f>
        <v>0.25039288673955917</v>
      </c>
      <c r="AL1441" s="56">
        <f>INDEX(LINEST(LN(AV1441:AX1441),LN(AV1440:AX1440),TRUE,TRUE),3,1)</f>
        <v>0.95310665775978187</v>
      </c>
      <c r="AM1441" s="56">
        <f>INDEX(LINEST(LN(AV1441:AX1441),LN(AV1440:AX1440)),1)</f>
        <v>-0.12067418459226069</v>
      </c>
      <c r="AN1441" s="56">
        <f>EXP(INDEX(LINEST(LN(AV1441:AX1441),LN(AV1440:AX1440)),1,2))</f>
        <v>0.52310371517500276</v>
      </c>
      <c r="AO1441" s="82">
        <f>INDEX(LINEST((AV1441:AX1441),LN(AV1440:AX1440),TRUE,TRUE),3,1)</f>
        <v>0.97990389746486084</v>
      </c>
      <c r="AP1441" s="82">
        <f>INDEX(LINEST((AV1441:AX1441),LN(AV1440:AX1440)),1)</f>
        <v>-2.0395552391113785E-2</v>
      </c>
      <c r="AQ1441" s="83">
        <f>INDEX(LINEST(LN(AV1441:AX1441),SQRT(AV1440:AX1440),TRUE,TRUE),3,1)</f>
        <v>0.98935287736557376</v>
      </c>
      <c r="AR1441" s="116">
        <f>INDEX(LINEST(LN(AV1441:AX1441),SQRT((AV1440:AX1440))),1)</f>
        <v>-1.2296604567087767E-3</v>
      </c>
      <c r="AS1441" s="84">
        <f>INDEX(LINEST(1/(AV1441:AX1441),1/(SQRT(AV1440:AX1440)),TRUE,TRUE),3,1)</f>
        <v>0.52095143562605339</v>
      </c>
      <c r="AT1441" s="84">
        <f>INDEX(LINEST(1/(AV1441:AX1441),1/SQRT(AV1440:AX1440)),1)</f>
        <v>-52.493667945953689</v>
      </c>
      <c r="AU1441" s="3"/>
      <c r="AV1441" s="53">
        <v>0.27</v>
      </c>
      <c r="AW1441" s="53">
        <v>0.23</v>
      </c>
      <c r="AX1441" s="53">
        <v>0.1</v>
      </c>
      <c r="AY1441" s="42"/>
      <c r="AZ1441" s="46"/>
      <c r="BA1441" s="42"/>
      <c r="BB1441" s="42"/>
      <c r="BC1441" s="2"/>
      <c r="BN1441" s="2"/>
      <c r="BO1441" s="2"/>
      <c r="BP1441" s="2"/>
      <c r="BQ1441" s="2"/>
      <c r="BR1441" s="2"/>
      <c r="BS1441" s="2"/>
      <c r="BT1441" s="2"/>
      <c r="BU1441" s="2"/>
      <c r="BV1441" s="2"/>
      <c r="BW1441" s="2"/>
      <c r="BX1441" s="2"/>
      <c r="BY1441" s="2"/>
      <c r="BZ1441" s="2"/>
      <c r="CA1441" s="2"/>
      <c r="CB1441" s="2"/>
      <c r="CC1441" s="2"/>
      <c r="CD1441" s="2"/>
      <c r="CE1441" s="2"/>
      <c r="CF1441" s="2"/>
      <c r="CG1441" s="2"/>
      <c r="CH1441" s="2"/>
      <c r="CI1441" s="2"/>
      <c r="CJ1441" s="2"/>
      <c r="CK1441" s="2"/>
      <c r="CL1441" s="2"/>
      <c r="CM1441" s="2"/>
      <c r="CN1441" s="2"/>
      <c r="CO1441" s="2"/>
      <c r="CP1441" s="2"/>
      <c r="CQ1441" s="2"/>
      <c r="CR1441" s="1"/>
      <c r="CS1441" s="1"/>
      <c r="CT1441" s="1"/>
      <c r="CU1441" s="1"/>
    </row>
    <row r="1442" spans="1:99" s="13" customFormat="1" ht="12" customHeight="1" x14ac:dyDescent="0.2">
      <c r="A1442" s="68">
        <v>43902</v>
      </c>
      <c r="B1442" s="70"/>
      <c r="C1442" s="70"/>
      <c r="D1442" s="69"/>
      <c r="E1442" s="87"/>
      <c r="F1442" s="69"/>
      <c r="G1442" s="69"/>
      <c r="H1442" s="69"/>
      <c r="I1442" s="69"/>
      <c r="J1442" s="69"/>
      <c r="K1442" s="107"/>
      <c r="L1442" s="107"/>
      <c r="M1442" s="69"/>
      <c r="N1442" s="86"/>
      <c r="O1442" s="69"/>
      <c r="P1442" s="69"/>
      <c r="Q1442" s="69"/>
      <c r="R1442" s="69"/>
      <c r="S1442" s="69"/>
      <c r="T1442" s="92"/>
      <c r="U1442" s="69"/>
      <c r="V1442" s="69"/>
      <c r="W1442" s="69"/>
      <c r="X1442" s="69"/>
      <c r="Y1442" s="87"/>
      <c r="Z1442" s="69"/>
      <c r="AA1442" s="69"/>
      <c r="AB1442" s="69"/>
      <c r="AC1442" s="69"/>
      <c r="AD1442" s="69"/>
      <c r="AE1442" s="69"/>
      <c r="AF1442" s="88"/>
      <c r="AG1442" s="72"/>
      <c r="AH1442" s="4"/>
      <c r="AI1442" s="72"/>
      <c r="AJ1442" s="110"/>
      <c r="AK1442" s="72"/>
      <c r="AL1442" s="72"/>
      <c r="AM1442" s="72"/>
      <c r="AN1442" s="72"/>
      <c r="AO1442" s="72"/>
      <c r="AP1442" s="72"/>
      <c r="AQ1442" s="89"/>
      <c r="AR1442" s="118"/>
      <c r="AS1442" s="89"/>
      <c r="AT1442" s="89"/>
      <c r="AU1442" s="4"/>
      <c r="AV1442" s="73">
        <v>0.01</v>
      </c>
      <c r="AW1442" s="71">
        <v>5</v>
      </c>
      <c r="AX1442" s="71">
        <v>10</v>
      </c>
      <c r="AY1442" s="71">
        <v>30</v>
      </c>
      <c r="AZ1442" s="71">
        <v>60</v>
      </c>
      <c r="BA1442" s="42"/>
      <c r="BB1442" s="42"/>
      <c r="BC1442" s="42"/>
      <c r="BD1442" s="42"/>
      <c r="BE1442" s="42"/>
      <c r="BF1442" s="42"/>
      <c r="BG1442" s="42"/>
      <c r="BH1442" s="36"/>
      <c r="BI1442" s="36"/>
      <c r="BJ1442" s="36"/>
      <c r="BK1442" s="36"/>
      <c r="BL1442" s="36"/>
      <c r="BM1442" s="36"/>
      <c r="BN1442" s="36"/>
      <c r="BO1442" s="36"/>
      <c r="BP1442" s="36"/>
      <c r="BQ1442" s="36"/>
      <c r="BR1442" s="36"/>
      <c r="BS1442" s="36"/>
      <c r="BT1442" s="36"/>
      <c r="BU1442" s="36"/>
      <c r="BV1442" s="36"/>
      <c r="BW1442" s="36"/>
      <c r="BX1442" s="36"/>
      <c r="BY1442" s="36"/>
      <c r="BZ1442" s="36"/>
      <c r="CA1442" s="36"/>
      <c r="CB1442" s="36"/>
      <c r="CC1442" s="36"/>
      <c r="CD1442" s="36"/>
      <c r="CE1442" s="36"/>
      <c r="CF1442" s="36"/>
      <c r="CG1442" s="36"/>
      <c r="CH1442" s="36"/>
      <c r="CI1442" s="36"/>
      <c r="CJ1442" s="36"/>
      <c r="CK1442" s="36"/>
      <c r="CL1442" s="36"/>
      <c r="CM1442" s="36"/>
      <c r="CN1442" s="36"/>
      <c r="CO1442" s="36"/>
      <c r="CP1442" s="36"/>
      <c r="CQ1442" s="36"/>
      <c r="CR1442" s="1"/>
      <c r="CS1442" s="1"/>
      <c r="CT1442" s="1"/>
      <c r="CU1442" s="1"/>
    </row>
    <row r="1443" spans="1:99" s="13" customFormat="1" ht="12" customHeight="1" x14ac:dyDescent="0.2">
      <c r="A1443" s="68">
        <v>43902</v>
      </c>
      <c r="B1443" s="70" t="s">
        <v>456</v>
      </c>
      <c r="C1443" s="70" t="s">
        <v>139</v>
      </c>
      <c r="D1443" s="69">
        <v>1982</v>
      </c>
      <c r="E1443" s="87">
        <v>1</v>
      </c>
      <c r="F1443" s="69">
        <v>4</v>
      </c>
      <c r="G1443" s="69">
        <v>4</v>
      </c>
      <c r="H1443" s="69" t="s">
        <v>457</v>
      </c>
      <c r="I1443" s="69" t="s">
        <v>330</v>
      </c>
      <c r="J1443" s="69" t="s">
        <v>443</v>
      </c>
      <c r="K1443" s="69">
        <f>IF(J1443="syllables",1,IF(J1443="trigrams",2,IF(J1443="strings",3,IF(J1443="visual array",4,IF(J1443="characters",5,IF(J1443="letters",6,IF(J1443="free forms",7,IF(J1443="odors",8,IF(J1443="words",9,IF(J1443="pictures",10,IF(J1443="object pictures",11,IF(J1443="faces",12,IF(J1443="names",13,IF(J1443="idioms",14,IF(J1443="grades",15,IF(J1443="syllable-digit pairs",16,IF(J1443="trigram-word pairs",17,IF(J1443="word-digit pairs",18,IF(J1443="English-Swahili pairs",19,IF(J1443="spatial position",20,IF(J1443="word pairs",21,IF(J1443="word triads",22,IF(J1443="generated words",23,IF(J1443="word definition pairs",24,IF(J1443="math problems",25,IF(J1443="famous faces",26,IF(J1443="famous names",27,IF(J1443="famous voices",28,IF(J1443="television programs",29,IF(J1443="race horses",30,IF(J1443="new vocabulary",31,IF(J1443="sentences",32,IF(J1443="concepts",33,IF(J1443="ad slides",34,IF(J1443="scenes",35,IF(J1443="famous scenes",36,IF(J1443="poems",37,IF(J1443="walk",38,IF(J1443="faces and events",39,IF(J1443="events and names",40,IF(J1443="flashbulb",41,IF(J1443="stories",42,IF(J1443="course material",43,IF(J1443="autobiographical",44,IF(J1443="novels",45,IF(J1443="public events",46,"99"))))))))))))))))))))))))))))))))))))))))))))))</f>
        <v>2</v>
      </c>
      <c r="L1443" s="69">
        <f>IF(J1443="syllables",1,IF(J1443="trigrams",1,IF(J1443="strings",1,IF(J1443="visual array",1,IF(J1443="characters",1,IF(J1443="letters",1,IF(J1443="free forms",1,IF(J1443="odors",2,IF(J1443="words",2,IF(J1443="pictures",2,IF(J1443="object pictures",2,IF(J1443="faces",2,IF(J1443="names",2,IF(J1443="idioms","2",IF(J1443="grades",2,IF(J1443="syllable-digit pairs",3,IF(J1443="trigram-word pairs",3,IF(J1443="word-digit pairs",3,IF(J1443="English-Swahili pairs",3,IF(J1443="spatial position",3,IF(J1443="word pairs",4,IF(J1443="word triads",4,IF(J1443="generated words",4,IF(J1443="word definition pairs",4,IF(J1443="math problems",4,IF(J1443="famous faces",4,IF(J1443="famous names",4,IF(J1443="famous voices",4,IF(J1443="television programs",4,IF(J1443="race horses",4,IF(J1443="new vocabulary",4,IF(J1443="sentences",5,IF(J1443="concepts",5,IF(J1443="ad slides",5,IF(J1443="scenes",5,IF(J1443="famous scenes",5,IF(J1443="poems",6,IF(J1443="walk",6,IF(J1443="faces and events",6,IF(J1443="events and names",6,IF(J1443="flashbulb",7,IF(J1443="stories",7,IF(J1443="course material",7,IF(J1443="autobiographical",7,IF(J1443="novels",7,IF(J1443="public events",7,"99"))))))))))))))))))))))))))))))))))))))))))))))</f>
        <v>1</v>
      </c>
      <c r="M1443" s="69">
        <v>0</v>
      </c>
      <c r="N1443" s="86">
        <v>1</v>
      </c>
      <c r="O1443" s="69">
        <v>1</v>
      </c>
      <c r="P1443" s="69" t="s">
        <v>53</v>
      </c>
      <c r="Q1443" s="69" t="s">
        <v>174</v>
      </c>
      <c r="R1443" s="69">
        <f>IF(Q1443="Free Recall",1,IF(Q1443="Cued Recall",2,IF(Q1443="Recognition",3,IF(Q1443="Multiple Choice",4,IF(Q1443="Savings",5,IF(Q1443="Stem Completion",6,IF(Q1443="Fragment Completion",7,IF(Q1443="anagram solution",8,IF(Q1443="Matching",9,IF(Q1443="Problem Solving",10,"99"))))))))))</f>
        <v>1</v>
      </c>
      <c r="S1443" s="69" t="s">
        <v>49</v>
      </c>
      <c r="T1443" s="92" t="s">
        <v>581</v>
      </c>
      <c r="U1443" s="69">
        <f>IF(T1443="within",1,0)</f>
        <v>1</v>
      </c>
      <c r="V1443" s="92">
        <v>50</v>
      </c>
      <c r="W1443" s="69">
        <f>F1443*V1443</f>
        <v>200</v>
      </c>
      <c r="X1443" s="69">
        <v>5</v>
      </c>
      <c r="Y1443" s="87">
        <f>AV1442</f>
        <v>0.01</v>
      </c>
      <c r="Z1443" s="69" t="s">
        <v>458</v>
      </c>
      <c r="AA1443" s="69">
        <v>60</v>
      </c>
      <c r="AB1443" s="69" t="str">
        <f>IF(AA1443&lt;60,"1",IF(AA1443&lt;=43200,"2",IF(AA1443&lt;=777600,"3","4")))</f>
        <v>2</v>
      </c>
      <c r="AC1443" s="72">
        <f>AVERAGE(AV1442:DA1442)</f>
        <v>21.001999999999999</v>
      </c>
      <c r="AD1443" s="69" t="str">
        <f>IF(AC1443&lt;60,"1",IF(AC1443&lt;=43200,"2",IF(AC1443&lt;=777600,"3","4")))</f>
        <v>1</v>
      </c>
      <c r="AE1443" s="87">
        <f>AA1443-Y1443</f>
        <v>59.99</v>
      </c>
      <c r="AF1443" s="88">
        <f>AV1443</f>
        <v>1</v>
      </c>
      <c r="AG1443" s="72">
        <f>((AW1443-AV1443)+(AX1443-AW1443)+(AY1443-AX1443)+(AZ1443-AY1443))/4</f>
        <v>-0.13250000000000001</v>
      </c>
      <c r="AH1443" s="4"/>
      <c r="AI1443" s="72">
        <f>RSQ(AV1443:AZ1443,AV1442:AZ1442)</f>
        <v>0.73923138843760217</v>
      </c>
      <c r="AJ1443" s="110">
        <f>SLOPE(AV1443:AZ1443,AV1442:AZ1442)</f>
        <v>-7.3719734045752262E-3</v>
      </c>
      <c r="AK1443" s="72">
        <f>INTERCEPT(AV1443:AZ1443,AV1442:AZ1442)</f>
        <v>0.86282618544288892</v>
      </c>
      <c r="AL1443" s="72">
        <f>INDEX(LINEST(LN(AV1443:AZ1443),LN(AV1442:AZ1442),TRUE,TRUE),3,1)</f>
        <v>0.76294483860737761</v>
      </c>
      <c r="AM1443" s="72">
        <f>INDEX(LINEST(LN(AV1443:AZ1443),LN(AV1442:AZ1442)),1)</f>
        <v>-7.4822670105094274E-2</v>
      </c>
      <c r="AN1443" s="72">
        <f>EXP(INDEX(LINEST(LN(AV1443:AZ1443),LN(AV1442:AZ1442)),1,2))</f>
        <v>0.75664242482323996</v>
      </c>
      <c r="AO1443" s="89">
        <f>INDEX(LINEST((AV1443:AZ1443),LN(AV1442:AZ1442),TRUE,TRUE),3,1)</f>
        <v>0.82852948655984682</v>
      </c>
      <c r="AP1443" s="89">
        <f>INDEX(LINEST((AV1443:AZ1443),LN(AV1442:AZ1442)),1)</f>
        <v>-5.5309198655963475E-2</v>
      </c>
      <c r="AQ1443" s="90">
        <f>INDEX(LINEST(LN(AV1443:AZ1443),SQRT(AV1442:AZ1442),TRUE,TRUE),3,1)</f>
        <v>0.94382396461183071</v>
      </c>
      <c r="AR1443" s="117">
        <f>INDEX(LINEST(LN(AV1443:AZ1443),SQRT((AV1442:AZ1442))),1)</f>
        <v>-9.7762520053356769E-2</v>
      </c>
      <c r="AS1443" s="91">
        <f>INDEX(LINEST(1/(AV1443:AZ1443),1/(SQRT(AV1442:AZ1442)),TRUE,TRUE),3,1)</f>
        <v>0.45156580980982103</v>
      </c>
      <c r="AT1443" s="91">
        <f>INDEX(LINEST(1/(AV1443:AZ1443),1/SQRT(AV1442:AZ1442)),1)</f>
        <v>-6.8181227981727516E-2</v>
      </c>
      <c r="AU1443" s="4"/>
      <c r="AV1443" s="73">
        <v>1</v>
      </c>
      <c r="AW1443" s="73">
        <v>0.84</v>
      </c>
      <c r="AX1443" s="73">
        <v>0.64</v>
      </c>
      <c r="AY1443" s="73">
        <v>0.59</v>
      </c>
      <c r="AZ1443" s="73">
        <v>0.47</v>
      </c>
      <c r="BA1443" s="42"/>
      <c r="BB1443" s="42"/>
      <c r="BC1443" s="42"/>
      <c r="BD1443" s="42"/>
      <c r="BE1443" s="42"/>
      <c r="BF1443" s="42"/>
      <c r="BG1443" s="42"/>
      <c r="BH1443" s="36"/>
      <c r="BI1443" s="36"/>
      <c r="BJ1443" s="36"/>
      <c r="BK1443" s="36"/>
      <c r="BL1443" s="36"/>
      <c r="BM1443" s="36"/>
      <c r="BN1443" s="36"/>
      <c r="BO1443" s="36"/>
      <c r="BP1443" s="36"/>
      <c r="BQ1443" s="36"/>
      <c r="BR1443" s="36"/>
      <c r="BS1443" s="36"/>
      <c r="BT1443" s="36"/>
      <c r="BU1443" s="36"/>
      <c r="BV1443" s="36"/>
      <c r="BW1443" s="36"/>
      <c r="BX1443" s="36"/>
      <c r="BY1443" s="36"/>
      <c r="BZ1443" s="36"/>
      <c r="CA1443" s="36"/>
      <c r="CB1443" s="36"/>
      <c r="CC1443" s="36"/>
      <c r="CD1443" s="36"/>
      <c r="CE1443" s="36"/>
      <c r="CF1443" s="36"/>
      <c r="CG1443" s="36"/>
      <c r="CH1443" s="36"/>
      <c r="CI1443" s="36"/>
      <c r="CJ1443" s="36"/>
      <c r="CK1443" s="36"/>
      <c r="CL1443" s="36"/>
      <c r="CM1443" s="36"/>
      <c r="CN1443" s="36"/>
      <c r="CO1443" s="36"/>
      <c r="CP1443" s="36"/>
      <c r="CQ1443" s="36"/>
      <c r="CR1443" s="1"/>
      <c r="CS1443" s="1"/>
      <c r="CT1443" s="1"/>
      <c r="CU1443" s="1"/>
    </row>
    <row r="1444" spans="1:99" s="13" customFormat="1" ht="12" customHeight="1" x14ac:dyDescent="0.2">
      <c r="A1444" s="68">
        <v>43902</v>
      </c>
      <c r="B1444" s="70"/>
      <c r="C1444" s="70"/>
      <c r="D1444" s="69"/>
      <c r="E1444" s="87"/>
      <c r="F1444" s="69"/>
      <c r="G1444" s="69"/>
      <c r="H1444" s="69"/>
      <c r="I1444" s="69"/>
      <c r="J1444" s="69"/>
      <c r="K1444" s="107"/>
      <c r="L1444" s="107"/>
      <c r="M1444" s="69"/>
      <c r="N1444" s="86"/>
      <c r="O1444" s="69"/>
      <c r="P1444" s="69"/>
      <c r="Q1444" s="69"/>
      <c r="R1444" s="69"/>
      <c r="S1444" s="69"/>
      <c r="T1444" s="92"/>
      <c r="U1444" s="69"/>
      <c r="V1444" s="69"/>
      <c r="W1444" s="69"/>
      <c r="X1444" s="69"/>
      <c r="Y1444" s="87"/>
      <c r="Z1444" s="69"/>
      <c r="AA1444" s="69"/>
      <c r="AB1444" s="69"/>
      <c r="AC1444" s="69"/>
      <c r="AD1444" s="69"/>
      <c r="AE1444" s="69"/>
      <c r="AF1444" s="88"/>
      <c r="AG1444" s="72"/>
      <c r="AH1444" s="4"/>
      <c r="AI1444" s="72"/>
      <c r="AJ1444" s="110"/>
      <c r="AK1444" s="72"/>
      <c r="AL1444" s="72"/>
      <c r="AM1444" s="72"/>
      <c r="AN1444" s="72"/>
      <c r="AO1444" s="72"/>
      <c r="AP1444" s="72"/>
      <c r="AQ1444" s="89"/>
      <c r="AR1444" s="118"/>
      <c r="AS1444" s="89"/>
      <c r="AT1444" s="89"/>
      <c r="AU1444" s="4"/>
      <c r="AV1444" s="73">
        <v>0.01</v>
      </c>
      <c r="AW1444" s="71">
        <v>5</v>
      </c>
      <c r="AX1444" s="71">
        <v>10</v>
      </c>
      <c r="AY1444" s="71">
        <v>30</v>
      </c>
      <c r="AZ1444" s="71">
        <v>60</v>
      </c>
      <c r="BA1444" s="42"/>
      <c r="BB1444" s="42"/>
      <c r="BC1444" s="36"/>
      <c r="BD1444" s="36"/>
      <c r="BE1444" s="36"/>
      <c r="BF1444" s="36"/>
      <c r="BG1444" s="36"/>
      <c r="BH1444" s="36"/>
      <c r="BI1444" s="36"/>
      <c r="BJ1444" s="36"/>
      <c r="BK1444" s="36"/>
      <c r="BL1444" s="36"/>
      <c r="BM1444" s="36"/>
      <c r="BN1444" s="36"/>
      <c r="BO1444" s="36"/>
      <c r="BP1444" s="36"/>
      <c r="BQ1444" s="36"/>
      <c r="BR1444" s="36"/>
      <c r="BS1444" s="36"/>
      <c r="BT1444" s="36"/>
      <c r="BU1444" s="36"/>
      <c r="BV1444" s="36"/>
      <c r="BW1444" s="36"/>
      <c r="BX1444" s="36"/>
      <c r="BY1444" s="36"/>
      <c r="BZ1444" s="36"/>
      <c r="CA1444" s="36"/>
      <c r="CB1444" s="36"/>
      <c r="CC1444" s="36"/>
      <c r="CD1444" s="36"/>
      <c r="CE1444" s="36"/>
      <c r="CF1444" s="36"/>
      <c r="CG1444" s="36"/>
      <c r="CH1444" s="36"/>
      <c r="CI1444" s="36"/>
      <c r="CJ1444" s="36"/>
      <c r="CK1444" s="36"/>
      <c r="CL1444" s="36"/>
      <c r="CM1444" s="36"/>
      <c r="CN1444" s="36"/>
      <c r="CO1444" s="36"/>
      <c r="CP1444" s="36"/>
      <c r="CQ1444" s="36"/>
      <c r="CR1444" s="1"/>
      <c r="CS1444" s="1"/>
      <c r="CT1444" s="1"/>
      <c r="CU1444" s="1"/>
    </row>
    <row r="1445" spans="1:99" s="13" customFormat="1" ht="12" customHeight="1" x14ac:dyDescent="0.2">
      <c r="A1445" s="68">
        <v>43902</v>
      </c>
      <c r="B1445" s="70" t="s">
        <v>456</v>
      </c>
      <c r="C1445" s="70" t="s">
        <v>139</v>
      </c>
      <c r="D1445" s="69">
        <v>1982</v>
      </c>
      <c r="E1445" s="87">
        <v>1</v>
      </c>
      <c r="F1445" s="69">
        <v>4</v>
      </c>
      <c r="G1445" s="69">
        <v>4</v>
      </c>
      <c r="H1445" s="69" t="s">
        <v>459</v>
      </c>
      <c r="I1445" s="69" t="s">
        <v>330</v>
      </c>
      <c r="J1445" s="69" t="s">
        <v>443</v>
      </c>
      <c r="K1445" s="69">
        <f>IF(J1445="syllables",1,IF(J1445="trigrams",2,IF(J1445="strings",3,IF(J1445="visual array",4,IF(J1445="characters",5,IF(J1445="letters",6,IF(J1445="free forms",7,IF(J1445="odors",8,IF(J1445="words",9,IF(J1445="pictures",10,IF(J1445="object pictures",11,IF(J1445="faces",12,IF(J1445="names",13,IF(J1445="idioms",14,IF(J1445="grades",15,IF(J1445="syllable-digit pairs",16,IF(J1445="trigram-word pairs",17,IF(J1445="word-digit pairs",18,IF(J1445="English-Swahili pairs",19,IF(J1445="spatial position",20,IF(J1445="word pairs",21,IF(J1445="word triads",22,IF(J1445="generated words",23,IF(J1445="word definition pairs",24,IF(J1445="math problems",25,IF(J1445="famous faces",26,IF(J1445="famous names",27,IF(J1445="famous voices",28,IF(J1445="television programs",29,IF(J1445="race horses",30,IF(J1445="new vocabulary",31,IF(J1445="sentences",32,IF(J1445="concepts",33,IF(J1445="ad slides",34,IF(J1445="scenes",35,IF(J1445="famous scenes",36,IF(J1445="poems",37,IF(J1445="walk",38,IF(J1445="faces and events",39,IF(J1445="events and names",40,IF(J1445="flashbulb",41,IF(J1445="stories",42,IF(J1445="course material",43,IF(J1445="autobiographical",44,IF(J1445="novels",45,IF(J1445="public events",46,"99"))))))))))))))))))))))))))))))))))))))))))))))</f>
        <v>2</v>
      </c>
      <c r="L1445" s="69">
        <f>IF(J1445="syllables",1,IF(J1445="trigrams",1,IF(J1445="strings",1,IF(J1445="visual array",1,IF(J1445="characters",1,IF(J1445="letters",1,IF(J1445="free forms",1,IF(J1445="odors",2,IF(J1445="words",2,IF(J1445="pictures",2,IF(J1445="object pictures",2,IF(J1445="faces",2,IF(J1445="names",2,IF(J1445="idioms","2",IF(J1445="grades",2,IF(J1445="syllable-digit pairs",3,IF(J1445="trigram-word pairs",3,IF(J1445="word-digit pairs",3,IF(J1445="English-Swahili pairs",3,IF(J1445="spatial position",3,IF(J1445="word pairs",4,IF(J1445="word triads",4,IF(J1445="generated words",4,IF(J1445="word definition pairs",4,IF(J1445="math problems",4,IF(J1445="famous faces",4,IF(J1445="famous names",4,IF(J1445="famous voices",4,IF(J1445="television programs",4,IF(J1445="race horses",4,IF(J1445="new vocabulary",4,IF(J1445="sentences",5,IF(J1445="concepts",5,IF(J1445="ad slides",5,IF(J1445="scenes",5,IF(J1445="famous scenes",5,IF(J1445="poems",6,IF(J1445="walk",6,IF(J1445="faces and events",6,IF(J1445="events and names",6,IF(J1445="flashbulb",7,IF(J1445="stories",7,IF(J1445="course material",7,IF(J1445="autobiographical",7,IF(J1445="novels",7,IF(J1445="public events",7,"99"))))))))))))))))))))))))))))))))))))))))))))))</f>
        <v>1</v>
      </c>
      <c r="M1445" s="69">
        <v>0</v>
      </c>
      <c r="N1445" s="86">
        <v>1</v>
      </c>
      <c r="O1445" s="69">
        <v>1</v>
      </c>
      <c r="P1445" s="69" t="s">
        <v>53</v>
      </c>
      <c r="Q1445" s="69" t="s">
        <v>174</v>
      </c>
      <c r="R1445" s="69">
        <f>IF(Q1445="Free Recall",1,IF(Q1445="Cued Recall",2,IF(Q1445="Recognition",3,IF(Q1445="Multiple Choice",4,IF(Q1445="Savings",5,IF(Q1445="Stem Completion",6,IF(Q1445="Fragment Completion",7,IF(Q1445="anagram solution",8,IF(Q1445="Matching",9,IF(Q1445="Problem Solving",10,"99"))))))))))</f>
        <v>1</v>
      </c>
      <c r="S1445" s="69" t="s">
        <v>49</v>
      </c>
      <c r="T1445" s="92" t="s">
        <v>581</v>
      </c>
      <c r="U1445" s="69">
        <f>IF(T1445="within",1,0)</f>
        <v>1</v>
      </c>
      <c r="V1445" s="92">
        <v>50</v>
      </c>
      <c r="W1445" s="69">
        <f>F1445*V1445</f>
        <v>200</v>
      </c>
      <c r="X1445" s="69">
        <v>5</v>
      </c>
      <c r="Y1445" s="87">
        <f>AV1444</f>
        <v>0.01</v>
      </c>
      <c r="Z1445" s="69" t="s">
        <v>458</v>
      </c>
      <c r="AA1445" s="69">
        <v>60</v>
      </c>
      <c r="AB1445" s="69" t="str">
        <f>IF(AA1445&lt;60,"1",IF(AA1445&lt;=43200,"2",IF(AA1445&lt;=777600,"3","4")))</f>
        <v>2</v>
      </c>
      <c r="AC1445" s="72">
        <f>AVERAGE(AV1444:DA1444)</f>
        <v>21.001999999999999</v>
      </c>
      <c r="AD1445" s="69" t="str">
        <f>IF(AC1445&lt;60,"1",IF(AC1445&lt;=43200,"2",IF(AC1445&lt;=777600,"3","4")))</f>
        <v>1</v>
      </c>
      <c r="AE1445" s="87">
        <f>AA1445-Y1445</f>
        <v>59.99</v>
      </c>
      <c r="AF1445" s="88">
        <f>AV1445</f>
        <v>1</v>
      </c>
      <c r="AG1445" s="72">
        <f>((AW1445-AV1445)+(AX1445-AW1445)+(AY1445-AX1445)+(AZ1445-AY1445))/4</f>
        <v>-0.13250000000000001</v>
      </c>
      <c r="AH1445" s="4"/>
      <c r="AI1445" s="72">
        <f>RSQ(AV1445:AZ1445,AV1444:AZ1444)</f>
        <v>0.66758856900889552</v>
      </c>
      <c r="AJ1445" s="110">
        <f>SLOPE(AV1445:AZ1445,AV1444:AZ1444)</f>
        <v>-7.4173201161418069E-3</v>
      </c>
      <c r="AK1445" s="72">
        <f>INTERCEPT(AV1445:AZ1445,AV1444:AZ1444)</f>
        <v>0.83577855707921023</v>
      </c>
      <c r="AL1445" s="72">
        <f>INDEX(LINEST(LN(AV1445:AZ1445),LN(AV1444:AZ1444),TRUE,TRUE),3,1)</f>
        <v>0.8022534315037313</v>
      </c>
      <c r="AM1445" s="72">
        <f>INDEX(LINEST(LN(AV1445:AZ1445),LN(AV1444:AZ1444)),1)</f>
        <v>-8.2642429220752947E-2</v>
      </c>
      <c r="AN1445" s="72">
        <f>EXP(INDEX(LINEST(LN(AV1445:AZ1445),LN(AV1444:AZ1444)),1,2))</f>
        <v>0.72982388025851708</v>
      </c>
      <c r="AO1445" s="89">
        <f>INDEX(LINEST((AV1445:AZ1445),LN(AV1444:AZ1444),TRUE,TRUE),3,1)</f>
        <v>0.86018627910329093</v>
      </c>
      <c r="AP1445" s="89">
        <f>INDEX(LINEST((AV1445:AZ1445),LN(AV1444:AZ1444)),1)</f>
        <v>-5.9667611548141569E-2</v>
      </c>
      <c r="AQ1445" s="90">
        <f>INDEX(LINEST(LN(AV1445:AZ1445),SQRT(AV1444:AZ1444),TRUE,TRUE),3,1)</f>
        <v>0.91848341773649833</v>
      </c>
      <c r="AR1445" s="117">
        <f>INDEX(LINEST(LN(AV1445:AZ1445),SQRT((AV1444:AZ1444))),1)</f>
        <v>-0.10387790877345761</v>
      </c>
      <c r="AS1445" s="91">
        <f>INDEX(LINEST(1/(AV1445:AZ1445),1/(SQRT(AV1444:AZ1444)),TRUE,TRUE),3,1)</f>
        <v>0.50321258863825424</v>
      </c>
      <c r="AT1445" s="91">
        <f>INDEX(LINEST(1/(AV1445:AZ1445),1/SQRT(AV1444:AZ1444)),1)</f>
        <v>-7.8649935252203346E-2</v>
      </c>
      <c r="AU1445" s="4"/>
      <c r="AV1445" s="73">
        <v>1</v>
      </c>
      <c r="AW1445" s="73">
        <v>0.81</v>
      </c>
      <c r="AX1445" s="73">
        <v>0.62</v>
      </c>
      <c r="AY1445" s="73">
        <v>0.5</v>
      </c>
      <c r="AZ1445" s="73">
        <v>0.47</v>
      </c>
      <c r="BA1445" s="42"/>
      <c r="BB1445" s="42"/>
      <c r="BC1445" s="36"/>
      <c r="BD1445" s="36"/>
      <c r="BE1445" s="36"/>
      <c r="BF1445" s="36"/>
      <c r="BG1445" s="36"/>
      <c r="BH1445" s="36"/>
      <c r="BI1445" s="36"/>
      <c r="BJ1445" s="36"/>
      <c r="BK1445" s="36"/>
      <c r="BL1445" s="36"/>
      <c r="BM1445" s="36"/>
      <c r="BN1445" s="36"/>
      <c r="BO1445" s="36"/>
      <c r="BP1445" s="36"/>
      <c r="BQ1445" s="36"/>
      <c r="BR1445" s="36"/>
      <c r="BS1445" s="36"/>
      <c r="BT1445" s="36"/>
      <c r="BU1445" s="36"/>
      <c r="BV1445" s="36"/>
      <c r="BW1445" s="36"/>
      <c r="BX1445" s="36"/>
      <c r="BY1445" s="36"/>
      <c r="BZ1445" s="36"/>
      <c r="CA1445" s="36"/>
      <c r="CB1445" s="36"/>
      <c r="CC1445" s="36"/>
      <c r="CD1445" s="36"/>
      <c r="CE1445" s="36"/>
      <c r="CF1445" s="36"/>
      <c r="CG1445" s="36"/>
      <c r="CH1445" s="36"/>
      <c r="CI1445" s="36"/>
      <c r="CJ1445" s="36"/>
      <c r="CK1445" s="36"/>
      <c r="CL1445" s="36"/>
      <c r="CM1445" s="36"/>
      <c r="CN1445" s="36"/>
      <c r="CO1445" s="36"/>
      <c r="CP1445" s="36"/>
      <c r="CQ1445" s="36"/>
      <c r="CR1445" s="1"/>
      <c r="CS1445" s="1"/>
      <c r="CT1445" s="1"/>
      <c r="CU1445" s="1"/>
    </row>
    <row r="1446" spans="1:99" s="13" customFormat="1" ht="12" customHeight="1" x14ac:dyDescent="0.2">
      <c r="A1446" s="65">
        <v>43509</v>
      </c>
      <c r="B1446" s="1"/>
      <c r="C1446" s="1"/>
      <c r="D1446" s="60"/>
      <c r="E1446" s="76"/>
      <c r="F1446" s="60"/>
      <c r="G1446" s="60"/>
      <c r="H1446" s="60"/>
      <c r="I1446" s="60"/>
      <c r="J1446" s="60"/>
      <c r="K1446" s="64"/>
      <c r="L1446" s="64"/>
      <c r="M1446" s="60"/>
      <c r="N1446" s="60"/>
      <c r="O1446" s="60"/>
      <c r="P1446" s="60"/>
      <c r="Q1446" s="60"/>
      <c r="R1446" s="60"/>
      <c r="S1446" s="60"/>
      <c r="T1446" s="59"/>
      <c r="U1446" s="60"/>
      <c r="V1446" s="60"/>
      <c r="W1446" s="60"/>
      <c r="X1446" s="60"/>
      <c r="Y1446" s="76"/>
      <c r="Z1446" s="60"/>
      <c r="AA1446" s="60"/>
      <c r="AB1446" s="60"/>
      <c r="AC1446" s="60"/>
      <c r="AD1446" s="60"/>
      <c r="AE1446" s="60"/>
      <c r="AF1446" s="80"/>
      <c r="AG1446" s="56"/>
      <c r="AH1446" s="4"/>
      <c r="AI1446" s="56"/>
      <c r="AJ1446" s="109"/>
      <c r="AK1446" s="56"/>
      <c r="AL1446" s="56"/>
      <c r="AM1446" s="56"/>
      <c r="AN1446" s="56"/>
      <c r="AO1446" s="56"/>
      <c r="AP1446" s="56"/>
      <c r="AQ1446" s="82"/>
      <c r="AR1446" s="115"/>
      <c r="AS1446" s="82"/>
      <c r="AT1446" s="82"/>
      <c r="AU1446" s="4"/>
      <c r="AV1446" s="25">
        <f>2*24*60*60</f>
        <v>172800</v>
      </c>
      <c r="AW1446" s="25">
        <f>7*24*60*60</f>
        <v>604800</v>
      </c>
      <c r="AX1446" s="25">
        <f>30*24*60*60</f>
        <v>2592000</v>
      </c>
      <c r="AY1446" s="25">
        <f>91*24*60*60</f>
        <v>7862400</v>
      </c>
      <c r="AZ1446" s="25">
        <f>365*24*60*60</f>
        <v>31536000</v>
      </c>
      <c r="BA1446" s="42"/>
      <c r="BB1446" s="42"/>
      <c r="BC1446" s="2"/>
      <c r="BD1446" s="2"/>
      <c r="BE1446" s="2"/>
      <c r="BF1446" s="2"/>
      <c r="BG1446" s="2"/>
      <c r="BH1446" s="2"/>
      <c r="BI1446" s="2"/>
      <c r="BJ1446" s="2"/>
      <c r="BK1446" s="2"/>
      <c r="BL1446" s="2"/>
      <c r="BM1446" s="2"/>
      <c r="BN1446" s="2"/>
      <c r="BO1446" s="2"/>
      <c r="BP1446" s="2"/>
      <c r="BQ1446" s="2"/>
      <c r="BR1446" s="2"/>
      <c r="BS1446" s="2"/>
      <c r="BT1446" s="2"/>
      <c r="BU1446" s="2"/>
      <c r="BV1446" s="2"/>
      <c r="BW1446" s="2"/>
      <c r="BX1446" s="2"/>
      <c r="BY1446" s="2"/>
      <c r="BZ1446" s="2"/>
      <c r="CA1446" s="2"/>
      <c r="CB1446" s="2"/>
      <c r="CC1446" s="2"/>
      <c r="CD1446" s="2"/>
      <c r="CE1446" s="2"/>
      <c r="CF1446" s="2"/>
      <c r="CG1446" s="2"/>
      <c r="CH1446" s="2"/>
      <c r="CI1446" s="2"/>
      <c r="CJ1446" s="2"/>
      <c r="CK1446" s="2"/>
      <c r="CL1446" s="2"/>
      <c r="CM1446" s="2"/>
      <c r="CN1446" s="2"/>
      <c r="CO1446" s="2"/>
      <c r="CP1446" s="2"/>
      <c r="CQ1446" s="2"/>
      <c r="CR1446" s="1"/>
      <c r="CS1446" s="1"/>
      <c r="CT1446" s="1"/>
      <c r="CU1446" s="1"/>
    </row>
    <row r="1447" spans="1:99" s="13" customFormat="1" ht="12" customHeight="1" x14ac:dyDescent="0.2">
      <c r="A1447" s="65">
        <v>43509</v>
      </c>
      <c r="B1447" s="1" t="s">
        <v>200</v>
      </c>
      <c r="C1447" s="1" t="s">
        <v>84</v>
      </c>
      <c r="D1447" s="60">
        <v>2004</v>
      </c>
      <c r="E1447" s="76">
        <v>1</v>
      </c>
      <c r="F1447" s="60">
        <v>421</v>
      </c>
      <c r="G1447" s="60">
        <v>421</v>
      </c>
      <c r="H1447" s="60" t="s">
        <v>41</v>
      </c>
      <c r="I1447" s="60"/>
      <c r="J1447" s="60" t="s">
        <v>704</v>
      </c>
      <c r="K1447" s="60">
        <f>IF(J1447="syllables",1,IF(J1447="trigrams",2,IF(J1447="strings",3,IF(J1447="visual array",4,IF(J1447="characters",5,IF(J1447="letters",6,IF(J1447="free forms",7,IF(J1447="odors",8,IF(J1447="words",9,IF(J1447="pictures",10,IF(J1447="object pictures",11,IF(J1447="faces",12,IF(J1447="names",13,IF(J1447="idioms",14,IF(J1447="grades",15,IF(J1447="syllable-digit pairs",16,IF(J1447="trigram-word pairs",17,IF(J1447="word-digit pairs",18,IF(J1447="English-Swahili pairs",19,IF(J1447="spatial position",20,IF(J1447="word pairs",21,IF(J1447="word triads",22,IF(J1447="generated words",23,IF(J1447="word definition pairs",24,IF(J1447="math problems",25,IF(J1447="famous faces",26,IF(J1447="famous names",27,IF(J1447="famous voices",28,IF(J1447="television programs",29,IF(J1447="race horses",30,IF(J1447="new vocabulary",31,IF(J1447="sentences",32,IF(J1447="concepts",33,IF(J1447="ad slides",34,IF(J1447="scenes",35,IF(J1447="famous scenes",36,IF(J1447="poems",37,IF(J1447="walk",38,IF(J1447="faces and events",39,IF(J1447="events and names",40,IF(J1447="flashbulb",41,IF(J1447="stories",42,IF(J1447="course material",43,IF(J1447="autobiographical",44,IF(J1447="novels",45,IF(J1447="public events",46,"99"))))))))))))))))))))))))))))))))))))))))))))))</f>
        <v>41</v>
      </c>
      <c r="L1447" s="60">
        <f>IF(J1447="syllables",1,IF(J1447="trigrams",1,IF(J1447="strings",1,IF(J1447="visual array",1,IF(J1447="characters",1,IF(J1447="letters",1,IF(J1447="free forms",1,IF(J1447="odors",2,IF(J1447="words",2,IF(J1447="pictures",2,IF(J1447="object pictures",2,IF(J1447="faces",2,IF(J1447="names",2,IF(J1447="idioms","2",IF(J1447="grades",2,IF(J1447="syllable-digit pairs",3,IF(J1447="trigram-word pairs",3,IF(J1447="word-digit pairs",3,IF(J1447="English-Swahili pairs",3,IF(J1447="spatial position",3,IF(J1447="word pairs",4,IF(J1447="word triads",4,IF(J1447="generated words",4,IF(J1447="word definition pairs",4,IF(J1447="math problems",4,IF(J1447="famous faces",4,IF(J1447="famous names",4,IF(J1447="famous voices",4,IF(J1447="television programs",4,IF(J1447="race horses",4,IF(J1447="new vocabulary",4,IF(J1447="sentences",5,IF(J1447="concepts",5,IF(J1447="ad slides",5,IF(J1447="scenes",5,IF(J1447="famous scenes",5,IF(J1447="poems",6,IF(J1447="walk",6,IF(J1447="faces and events",6,IF(J1447="events and names",6,IF(J1447="flashbulb",7,IF(J1447="stories",7,IF(J1447="course material",7,IF(J1447="autobiographical",7,IF(J1447="novels",7,IF(J1447="public events",7,"99"))))))))))))))))))))))))))))))))))))))))))))))</f>
        <v>7</v>
      </c>
      <c r="M1447" s="60">
        <v>1</v>
      </c>
      <c r="N1447" s="60">
        <v>4</v>
      </c>
      <c r="O1447" s="60">
        <v>0</v>
      </c>
      <c r="P1447" s="60"/>
      <c r="Q1447" s="60" t="s">
        <v>174</v>
      </c>
      <c r="R1447" s="60">
        <f>IF(Q1447="Free Recall",1,IF(Q1447="Cued Recall",2,IF(Q1447="Recognition",3,IF(Q1447="Multiple Choice",4,IF(Q1447="Savings",5,IF(Q1447="Stem Completion",6,IF(Q1447="Fragment Completion",7,IF(Q1447="anagram solution",8,IF(Q1447="Matching",9,IF(Q1447="Problem Solving",10,"99"))))))))))</f>
        <v>1</v>
      </c>
      <c r="S1447" s="60" t="s">
        <v>228</v>
      </c>
      <c r="T1447" s="59" t="s">
        <v>581</v>
      </c>
      <c r="U1447" s="60">
        <f>IF(T1447="within",1,0)</f>
        <v>1</v>
      </c>
      <c r="V1447" s="59">
        <v>10</v>
      </c>
      <c r="W1447" s="60">
        <f>F1447*V1447</f>
        <v>4210</v>
      </c>
      <c r="X1447" s="60">
        <v>5</v>
      </c>
      <c r="Y1447" s="76">
        <f>AV1446</f>
        <v>172800</v>
      </c>
      <c r="Z1447" s="60" t="s">
        <v>539</v>
      </c>
      <c r="AA1447" s="76">
        <f>365*24*60*60</f>
        <v>31536000</v>
      </c>
      <c r="AB1447" s="60" t="str">
        <f>IF(AA1447&lt;60,"1",IF(AA1447&lt;=43200,"2",IF(AA1447&lt;=777600,"3","4")))</f>
        <v>4</v>
      </c>
      <c r="AC1447" s="56">
        <f>AVERAGE(AV1446:DA1446)</f>
        <v>8553600</v>
      </c>
      <c r="AD1447" s="60" t="str">
        <f>IF(AC1447&lt;60,"1",IF(AC1447&lt;=43200,"2",IF(AC1447&lt;=777600,"3","4")))</f>
        <v>4</v>
      </c>
      <c r="AE1447" s="76">
        <f>AA1447-Y1447</f>
        <v>31363200</v>
      </c>
      <c r="AF1447" s="80">
        <f>AV1447</f>
        <v>1</v>
      </c>
      <c r="AG1447" s="56">
        <f>((AW1447-AV1447)+(AX1447-AW1447)+(AY1447-AX1447)+(AZ1447-AY1447))/4</f>
        <v>-4.7249999999999986E-2</v>
      </c>
      <c r="AH1447" s="4"/>
      <c r="AI1447" s="56">
        <f>RSQ(AV1447:AZ1447,AV1446:AZ1446)</f>
        <v>0.63702334358111734</v>
      </c>
      <c r="AJ1447" s="109">
        <f>SLOPE(AV1447:AZ1447,AV1446:AZ1446)</f>
        <v>-4.5493019342453264E-9</v>
      </c>
      <c r="AK1447" s="56">
        <f>INTERCEPT(AV1447:AZ1447,AV1446:AZ1446)</f>
        <v>0.94331290902476095</v>
      </c>
      <c r="AL1447" s="56">
        <f>INDEX(LINEST(LN(AV1447:AZ1447),LN(AV1446:AZ1446),TRUE,TRUE),3,1)</f>
        <v>0.94272830030891719</v>
      </c>
      <c r="AM1447" s="56">
        <f>INDEX(LINEST(LN(AV1447:AZ1447),LN(AV1446:AZ1446)),1)</f>
        <v>-3.9324370675004439E-2</v>
      </c>
      <c r="AN1447" s="56">
        <f>EXP(INDEX(LINEST(LN(AV1447:AZ1447),LN(AV1446:AZ1446)),1,2))</f>
        <v>1.6050003427265749</v>
      </c>
      <c r="AO1447" s="82">
        <f>INDEX(LINEST((AV1447:AZ1447),LN(AV1446:AZ1446),TRUE,TRUE),3,1)</f>
        <v>0.94262491258396475</v>
      </c>
      <c r="AP1447" s="82">
        <f>INDEX(LINEST((AV1447:AZ1447),LN(AV1446:AZ1446)),1)</f>
        <v>-3.5592671211479798E-2</v>
      </c>
      <c r="AQ1447" s="83">
        <f>INDEX(LINEST(LN(AV1447:AZ1447),SQRT(AV1446:AZ1446),TRUE,TRUE),3,1)</f>
        <v>0.8167113936915702</v>
      </c>
      <c r="AR1447" s="116">
        <f>INDEX(LINEST(LN(AV1447:AZ1447),SQRT((AV1446:AZ1446))),1)</f>
        <v>-3.5852800255718342E-5</v>
      </c>
      <c r="AS1447" s="84">
        <f>INDEX(LINEST(1/(AV1447:AZ1447),1/(SQRT(AV1446:AZ1446)),TRUE,TRUE),3,1)</f>
        <v>0.83937302940370151</v>
      </c>
      <c r="AT1447" s="84">
        <f>INDEX(LINEST(1/(AV1447:AZ1447),1/SQRT(AV1446:AZ1446)),1)</f>
        <v>-93.249516334587</v>
      </c>
      <c r="AU1447" s="3"/>
      <c r="AV1447" s="53">
        <v>1</v>
      </c>
      <c r="AW1447" s="53">
        <v>0.96</v>
      </c>
      <c r="AX1447" s="53">
        <v>0.871</v>
      </c>
      <c r="AY1447" s="53">
        <v>0.88</v>
      </c>
      <c r="AZ1447" s="53">
        <v>0.81100000000000005</v>
      </c>
      <c r="BA1447" s="42"/>
      <c r="BB1447" s="42"/>
      <c r="BC1447" s="2"/>
      <c r="BD1447" s="2"/>
      <c r="BE1447" s="2"/>
      <c r="BF1447" s="2"/>
      <c r="BG1447" s="2"/>
      <c r="BH1447" s="2"/>
      <c r="BI1447" s="2"/>
      <c r="BJ1447" s="2"/>
      <c r="BK1447" s="2"/>
      <c r="BL1447" s="2"/>
      <c r="BM1447" s="2"/>
      <c r="BN1447" s="2"/>
      <c r="BO1447" s="2"/>
      <c r="BP1447" s="2"/>
      <c r="BQ1447" s="2"/>
      <c r="BR1447" s="2"/>
      <c r="BS1447" s="2"/>
      <c r="BT1447" s="2"/>
      <c r="BU1447" s="2"/>
      <c r="BV1447" s="2"/>
      <c r="BW1447" s="2"/>
      <c r="BX1447" s="2"/>
      <c r="BY1447" s="2"/>
      <c r="BZ1447" s="2"/>
      <c r="CA1447" s="2"/>
      <c r="CB1447" s="2"/>
      <c r="CC1447" s="2"/>
      <c r="CD1447" s="2"/>
      <c r="CE1447" s="2"/>
      <c r="CF1447" s="2"/>
      <c r="CG1447" s="2"/>
      <c r="CH1447" s="2"/>
      <c r="CI1447" s="2"/>
      <c r="CJ1447" s="2"/>
      <c r="CK1447" s="2"/>
      <c r="CL1447" s="2"/>
      <c r="CM1447" s="2"/>
      <c r="CN1447" s="2"/>
      <c r="CO1447" s="2"/>
      <c r="CP1447" s="2"/>
      <c r="CQ1447" s="2"/>
      <c r="CR1447" s="1"/>
      <c r="CS1447" s="1"/>
      <c r="CT1447" s="1"/>
      <c r="CU1447" s="1"/>
    </row>
    <row r="1448" spans="1:99" s="13" customFormat="1" ht="12" customHeight="1" x14ac:dyDescent="0.2">
      <c r="A1448" s="68">
        <v>43509</v>
      </c>
      <c r="B1448" s="70"/>
      <c r="C1448" s="70"/>
      <c r="D1448" s="69"/>
      <c r="E1448" s="87"/>
      <c r="F1448" s="69"/>
      <c r="G1448" s="69"/>
      <c r="H1448" s="69"/>
      <c r="I1448" s="69"/>
      <c r="J1448" s="69"/>
      <c r="K1448" s="107"/>
      <c r="L1448" s="107"/>
      <c r="M1448" s="69"/>
      <c r="N1448" s="69"/>
      <c r="O1448" s="69"/>
      <c r="P1448" s="69"/>
      <c r="Q1448" s="69"/>
      <c r="R1448" s="69"/>
      <c r="S1448" s="69"/>
      <c r="T1448" s="92"/>
      <c r="U1448" s="69"/>
      <c r="V1448" s="69"/>
      <c r="W1448" s="69"/>
      <c r="X1448" s="86"/>
      <c r="Y1448" s="87"/>
      <c r="Z1448" s="69"/>
      <c r="AA1448" s="69"/>
      <c r="AB1448" s="69"/>
      <c r="AC1448" s="69"/>
      <c r="AD1448" s="69"/>
      <c r="AE1448" s="69"/>
      <c r="AF1448" s="88"/>
      <c r="AG1448" s="72"/>
      <c r="AH1448" s="4"/>
      <c r="AI1448" s="72"/>
      <c r="AJ1448" s="110"/>
      <c r="AK1448" s="72"/>
      <c r="AL1448" s="72"/>
      <c r="AM1448" s="72"/>
      <c r="AN1448" s="72"/>
      <c r="AO1448" s="72"/>
      <c r="AP1448" s="72"/>
      <c r="AQ1448" s="72"/>
      <c r="AR1448" s="110"/>
      <c r="AS1448" s="72"/>
      <c r="AT1448" s="72"/>
      <c r="AU1448" s="4"/>
      <c r="AV1448" s="71">
        <v>2</v>
      </c>
      <c r="AW1448" s="71">
        <v>4</v>
      </c>
      <c r="AX1448" s="71">
        <v>8</v>
      </c>
      <c r="AY1448" s="71">
        <v>16</v>
      </c>
      <c r="AZ1448" s="71">
        <v>32</v>
      </c>
      <c r="BA1448" s="42"/>
      <c r="BB1448" s="42"/>
      <c r="BC1448" s="2"/>
      <c r="BD1448" s="2"/>
      <c r="BE1448" s="2"/>
      <c r="BF1448" s="2"/>
      <c r="BG1448" s="2"/>
      <c r="BH1448" s="2"/>
      <c r="BI1448" s="2"/>
      <c r="BJ1448" s="2"/>
      <c r="BK1448" s="2"/>
      <c r="BL1448" s="2"/>
      <c r="BM1448" s="2"/>
      <c r="BN1448" s="2"/>
      <c r="BO1448" s="2"/>
      <c r="BP1448" s="2"/>
      <c r="BQ1448" s="2"/>
      <c r="BR1448" s="2"/>
      <c r="BS1448" s="2"/>
      <c r="BT1448" s="2"/>
      <c r="BU1448" s="2"/>
      <c r="BV1448" s="2"/>
      <c r="BW1448" s="2"/>
      <c r="BX1448" s="2"/>
      <c r="BY1448" s="2"/>
      <c r="BZ1448" s="2"/>
      <c r="CA1448" s="2"/>
      <c r="CB1448" s="2"/>
      <c r="CC1448" s="2"/>
      <c r="CD1448" s="2"/>
      <c r="CE1448" s="2"/>
      <c r="CF1448" s="2"/>
      <c r="CG1448" s="2"/>
      <c r="CH1448" s="2"/>
      <c r="CI1448" s="2"/>
      <c r="CJ1448" s="2"/>
      <c r="CK1448" s="2"/>
      <c r="CL1448" s="2"/>
      <c r="CM1448" s="2"/>
      <c r="CN1448" s="2"/>
      <c r="CO1448" s="2"/>
      <c r="CP1448" s="2"/>
      <c r="CQ1448" s="2"/>
      <c r="CR1448" s="1"/>
      <c r="CS1448" s="1"/>
      <c r="CT1448" s="1"/>
      <c r="CU1448" s="1"/>
    </row>
    <row r="1449" spans="1:99" s="13" customFormat="1" ht="12" customHeight="1" x14ac:dyDescent="0.2">
      <c r="A1449" s="68">
        <v>43509</v>
      </c>
      <c r="B1449" s="70" t="s">
        <v>258</v>
      </c>
      <c r="C1449" s="70" t="s">
        <v>45</v>
      </c>
      <c r="D1449" s="69">
        <v>2012</v>
      </c>
      <c r="E1449" s="87">
        <v>1</v>
      </c>
      <c r="F1449" s="69">
        <v>18</v>
      </c>
      <c r="G1449" s="69">
        <v>18</v>
      </c>
      <c r="H1449" s="69" t="s">
        <v>50</v>
      </c>
      <c r="I1449" s="69" t="s">
        <v>851</v>
      </c>
      <c r="J1449" s="69" t="s">
        <v>320</v>
      </c>
      <c r="K1449" s="69">
        <f>IF(J1449="syllables",1,IF(J1449="trigrams",2,IF(J1449="strings",3,IF(J1449="visual array",4,IF(J1449="characters",5,IF(J1449="letters",6,IF(J1449="free forms",7,IF(J1449="odors",8,IF(J1449="words",9,IF(J1449="pictures",10,IF(J1449="object pictures",11,IF(J1449="faces",12,IF(J1449="names",13,IF(J1449="idioms",14,IF(J1449="grades",15,IF(J1449="syllable-digit pairs",16,IF(J1449="trigram-word pairs",17,IF(J1449="word-digit pairs",18,IF(J1449="English-Swahili pairs",19,IF(J1449="spatial position",20,IF(J1449="word pairs",21,IF(J1449="word triads",22,IF(J1449="generated words",23,IF(J1449="word definition pairs",24,IF(J1449="math problems",25,IF(J1449="famous faces",26,IF(J1449="famous names",27,IF(J1449="famous voices",28,IF(J1449="television programs",29,IF(J1449="race horses",30,IF(J1449="new vocabulary",31,IF(J1449="sentences",32,IF(J1449="concepts",33,IF(J1449="ad slides",34,IF(J1449="scenes",35,IF(J1449="famous scenes",36,IF(J1449="poems",37,IF(J1449="walk",38,IF(J1449="faces and events",39,IF(J1449="events and names",40,IF(J1449="flashbulb",41,IF(J1449="stories",42,IF(J1449="course material",43,IF(J1449="autobiographical",44,IF(J1449="novels",45,IF(J1449="public events",46,"99"))))))))))))))))))))))))))))))))))))))))))))))</f>
        <v>21</v>
      </c>
      <c r="L1449" s="69">
        <f>IF(J1449="syllables",1,IF(J1449="trigrams",1,IF(J1449="strings",1,IF(J1449="visual array",1,IF(J1449="characters",1,IF(J1449="letters",1,IF(J1449="free forms",1,IF(J1449="odors",2,IF(J1449="words",2,IF(J1449="pictures",2,IF(J1449="object pictures",2,IF(J1449="faces",2,IF(J1449="names",2,IF(J1449="idioms","2",IF(J1449="grades",2,IF(J1449="syllable-digit pairs",3,IF(J1449="trigram-word pairs",3,IF(J1449="word-digit pairs",3,IF(J1449="English-Swahili pairs",3,IF(J1449="spatial position",3,IF(J1449="word pairs",4,IF(J1449="word triads",4,IF(J1449="generated words",4,IF(J1449="word definition pairs",4,IF(J1449="math problems",4,IF(J1449="famous faces",4,IF(J1449="famous names",4,IF(J1449="famous voices",4,IF(J1449="television programs",4,IF(J1449="race horses",4,IF(J1449="new vocabulary",4,IF(J1449="sentences",5,IF(J1449="concepts",5,IF(J1449="ad slides",5,IF(J1449="scenes",5,IF(J1449="famous scenes",5,IF(J1449="poems",6,IF(J1449="walk",6,IF(J1449="faces and events",6,IF(J1449="events and names",6,IF(J1449="flashbulb",7,IF(J1449="stories",7,IF(J1449="course material",7,IF(J1449="autobiographical",7,IF(J1449="novels",7,IF(J1449="public events",7,"99"))))))))))))))))))))))))))))))))))))))))))))))</f>
        <v>4</v>
      </c>
      <c r="M1449" s="69">
        <v>0</v>
      </c>
      <c r="N1449" s="69">
        <v>1</v>
      </c>
      <c r="O1449" s="69">
        <v>1</v>
      </c>
      <c r="P1449" s="69" t="s">
        <v>53</v>
      </c>
      <c r="Q1449" s="69" t="s">
        <v>174</v>
      </c>
      <c r="R1449" s="69">
        <f>IF(Q1449="Free Recall",1,IF(Q1449="Cued Recall",2,IF(Q1449="Recognition",3,IF(Q1449="Multiple Choice",4,IF(Q1449="Savings",5,IF(Q1449="Stem Completion",6,IF(Q1449="Fragment Completion",7,IF(Q1449="anagram solution",8,IF(Q1449="Matching",9,IF(Q1449="Problem Solving",10,"99"))))))))))</f>
        <v>1</v>
      </c>
      <c r="S1449" s="69" t="s">
        <v>49</v>
      </c>
      <c r="T1449" s="92" t="s">
        <v>581</v>
      </c>
      <c r="U1449" s="69">
        <f>IF(T1449="within",1,0)</f>
        <v>1</v>
      </c>
      <c r="V1449" s="92">
        <v>35</v>
      </c>
      <c r="W1449" s="69">
        <f>F1449*V1449</f>
        <v>630</v>
      </c>
      <c r="X1449" s="69">
        <v>5</v>
      </c>
      <c r="Y1449" s="87">
        <f>AV1448</f>
        <v>2</v>
      </c>
      <c r="Z1449" s="69" t="s">
        <v>47</v>
      </c>
      <c r="AA1449" s="69">
        <v>32</v>
      </c>
      <c r="AB1449" s="69" t="str">
        <f>IF(AA1449&lt;60,"1",IF(AA1449&lt;=43200,"2",IF(AA1449&lt;=777600,"3","4")))</f>
        <v>1</v>
      </c>
      <c r="AC1449" s="72">
        <f>AVERAGE(AV1448:DA1448)</f>
        <v>12.4</v>
      </c>
      <c r="AD1449" s="69" t="str">
        <f>IF(AC1449&lt;60,"1",IF(AC1449&lt;=43200,"2",IF(AC1449&lt;=777600,"3","4")))</f>
        <v>1</v>
      </c>
      <c r="AE1449" s="87">
        <f>AA1449-Y1449</f>
        <v>30</v>
      </c>
      <c r="AF1449" s="88">
        <f>AV1449</f>
        <v>0.96099999999999997</v>
      </c>
      <c r="AG1449" s="72">
        <f>((AW1449-AV1449)+(AX1449-AW1449)+(AY1449-AX1449)+(AZ1449-AY1449))/4</f>
        <v>-3.175E-2</v>
      </c>
      <c r="AH1449" s="4"/>
      <c r="AI1449" s="72">
        <f>RSQ(AV1449:AZ1449,AV1448:AZ1448)</f>
        <v>0.92011204179649131</v>
      </c>
      <c r="AJ1449" s="110">
        <f>SLOPE(AV1449:AZ1449,AV1448:AZ1448)</f>
        <v>-3.6552419354838718E-3</v>
      </c>
      <c r="AK1449" s="72">
        <f>INTERCEPT(AV1449:AZ1449,AV1448:AZ1448)</f>
        <v>0.954125</v>
      </c>
      <c r="AL1449" s="72">
        <f>INDEX(LINEST(LN(AV1449:AZ1449),LN(AV1448:AZ1448),TRUE,TRUE),3,1)</f>
        <v>0.83872734420689654</v>
      </c>
      <c r="AM1449" s="72">
        <f>INDEX(LINEST(LN(AV1449:AZ1449),LN(AV1448:AZ1448)),1)</f>
        <v>-4.3570999372430294E-2</v>
      </c>
      <c r="AN1449" s="72">
        <f>EXP(INDEX(LINEST(LN(AV1449:AZ1449),LN(AV1448:AZ1448)),1,2))</f>
        <v>0.99391817904942314</v>
      </c>
      <c r="AO1449" s="89">
        <f>INDEX(LINEST((AV1449:AZ1449),LN(AV1448:AZ1448),TRUE,TRUE),3,1)</f>
        <v>0.84973619660295252</v>
      </c>
      <c r="AP1449" s="89">
        <f>INDEX(LINEST((AV1449:AZ1449),LN(AV1448:AZ1448)),1)</f>
        <v>-3.9097035608090906E-2</v>
      </c>
      <c r="AQ1449" s="90">
        <f>INDEX(LINEST(LN(AV1449:AZ1449),SQRT(AV1448:AZ1448),TRUE,TRUE),3,1)</f>
        <v>0.90363635471955261</v>
      </c>
      <c r="AR1449" s="117">
        <f>INDEX(LINEST(LN(AV1449:AZ1449),SQRT((AV1448:AZ1448))),1)</f>
        <v>-2.930713800656156E-2</v>
      </c>
      <c r="AS1449" s="91">
        <f>INDEX(LINEST(1/(AV1449:AZ1449),1/(SQRT(AV1448:AZ1448)),TRUE,TRUE),3,1)</f>
        <v>0.72061132167914244</v>
      </c>
      <c r="AT1449" s="91">
        <f>INDEX(LINEST(1/(AV1449:AZ1449),1/SQRT(AV1448:AZ1448)),1)</f>
        <v>-0.23534213490019187</v>
      </c>
      <c r="AU1449" s="3"/>
      <c r="AV1449" s="73">
        <v>0.96099999999999997</v>
      </c>
      <c r="AW1449" s="73">
        <v>0.92600000000000005</v>
      </c>
      <c r="AX1449" s="73">
        <v>0.91400000000000003</v>
      </c>
      <c r="AY1449" s="73">
        <v>0.90900000000000003</v>
      </c>
      <c r="AZ1449" s="73">
        <v>0.83399999999999996</v>
      </c>
      <c r="BA1449" s="42"/>
      <c r="BB1449" s="42"/>
      <c r="BC1449" s="2"/>
      <c r="BD1449" s="2"/>
      <c r="BE1449" s="2"/>
      <c r="BF1449" s="2"/>
      <c r="BG1449" s="2"/>
      <c r="BH1449" s="2"/>
      <c r="BI1449" s="2"/>
      <c r="BJ1449" s="2"/>
      <c r="BK1449" s="2"/>
      <c r="BL1449" s="2"/>
      <c r="BM1449" s="2"/>
      <c r="BN1449" s="2"/>
      <c r="BO1449" s="2"/>
      <c r="BP1449" s="2"/>
      <c r="BQ1449" s="2"/>
      <c r="BR1449" s="2"/>
      <c r="BS1449" s="2"/>
      <c r="BT1449" s="2"/>
      <c r="BU1449" s="2"/>
      <c r="BV1449" s="2"/>
      <c r="BW1449" s="2"/>
      <c r="BX1449" s="2"/>
      <c r="BY1449" s="2"/>
      <c r="BZ1449" s="2"/>
      <c r="CA1449" s="2"/>
      <c r="CB1449" s="2"/>
      <c r="CC1449" s="2"/>
      <c r="CD1449" s="2"/>
      <c r="CE1449" s="2"/>
      <c r="CF1449" s="2"/>
      <c r="CG1449" s="2"/>
      <c r="CH1449" s="2"/>
      <c r="CI1449" s="2"/>
      <c r="CJ1449" s="2"/>
      <c r="CK1449" s="2"/>
      <c r="CL1449" s="2"/>
      <c r="CM1449" s="2"/>
      <c r="CN1449" s="2"/>
      <c r="CO1449" s="2"/>
      <c r="CP1449" s="2"/>
      <c r="CQ1449" s="2"/>
      <c r="CR1449" s="1"/>
      <c r="CS1449" s="1"/>
      <c r="CT1449" s="1"/>
      <c r="CU1449" s="1"/>
    </row>
    <row r="1450" spans="1:99" s="13" customFormat="1" ht="12" customHeight="1" x14ac:dyDescent="0.2">
      <c r="A1450" s="68">
        <v>43509</v>
      </c>
      <c r="B1450" s="70"/>
      <c r="C1450" s="70"/>
      <c r="D1450" s="69"/>
      <c r="E1450" s="87"/>
      <c r="F1450" s="69"/>
      <c r="G1450" s="69"/>
      <c r="H1450" s="69"/>
      <c r="I1450" s="69"/>
      <c r="J1450" s="69"/>
      <c r="K1450" s="107"/>
      <c r="L1450" s="107"/>
      <c r="M1450" s="69"/>
      <c r="N1450" s="69"/>
      <c r="O1450" s="69"/>
      <c r="P1450" s="69"/>
      <c r="Q1450" s="69"/>
      <c r="R1450" s="69"/>
      <c r="S1450" s="69"/>
      <c r="T1450" s="92"/>
      <c r="U1450" s="69"/>
      <c r="V1450" s="69"/>
      <c r="W1450" s="69"/>
      <c r="X1450" s="69"/>
      <c r="Y1450" s="87"/>
      <c r="Z1450" s="69"/>
      <c r="AA1450" s="69"/>
      <c r="AB1450" s="69"/>
      <c r="AC1450" s="69"/>
      <c r="AD1450" s="69"/>
      <c r="AE1450" s="69"/>
      <c r="AF1450" s="88"/>
      <c r="AG1450" s="72"/>
      <c r="AH1450" s="4"/>
      <c r="AI1450" s="72"/>
      <c r="AJ1450" s="110"/>
      <c r="AK1450" s="72"/>
      <c r="AL1450" s="72"/>
      <c r="AM1450" s="72"/>
      <c r="AN1450" s="72"/>
      <c r="AO1450" s="89"/>
      <c r="AP1450" s="89"/>
      <c r="AQ1450" s="72"/>
      <c r="AR1450" s="110"/>
      <c r="AS1450" s="72"/>
      <c r="AT1450" s="72"/>
      <c r="AU1450" s="3"/>
      <c r="AV1450" s="71">
        <v>2</v>
      </c>
      <c r="AW1450" s="71">
        <v>4</v>
      </c>
      <c r="AX1450" s="71">
        <v>8</v>
      </c>
      <c r="AY1450" s="71">
        <v>16</v>
      </c>
      <c r="AZ1450" s="71">
        <v>32</v>
      </c>
      <c r="BA1450" s="42"/>
      <c r="BB1450" s="42"/>
      <c r="BC1450" s="2"/>
      <c r="BD1450" s="2"/>
      <c r="BE1450" s="2"/>
      <c r="BF1450" s="2"/>
      <c r="BG1450" s="2"/>
      <c r="BH1450" s="2"/>
      <c r="BI1450" s="2"/>
      <c r="BJ1450" s="2"/>
      <c r="BK1450" s="2"/>
      <c r="BL1450" s="2"/>
      <c r="BM1450" s="2"/>
      <c r="BN1450" s="2"/>
      <c r="BO1450" s="2"/>
      <c r="BP1450" s="2"/>
      <c r="BQ1450" s="2"/>
      <c r="BR1450" s="2"/>
      <c r="BS1450" s="2"/>
      <c r="BT1450" s="2"/>
      <c r="BU1450" s="2"/>
      <c r="BV1450" s="2"/>
      <c r="BW1450" s="2"/>
      <c r="BX1450" s="2"/>
      <c r="BY1450" s="2"/>
      <c r="BZ1450" s="2"/>
      <c r="CA1450" s="2"/>
      <c r="CB1450" s="2"/>
      <c r="CC1450" s="2"/>
      <c r="CD1450" s="2"/>
      <c r="CE1450" s="2"/>
      <c r="CF1450" s="2"/>
      <c r="CG1450" s="2"/>
      <c r="CH1450" s="2"/>
      <c r="CI1450" s="2"/>
      <c r="CJ1450" s="2"/>
      <c r="CK1450" s="2"/>
      <c r="CL1450" s="2"/>
      <c r="CM1450" s="2"/>
      <c r="CN1450" s="2"/>
      <c r="CO1450" s="2"/>
      <c r="CP1450" s="2"/>
      <c r="CQ1450" s="2"/>
      <c r="CR1450" s="1"/>
      <c r="CS1450" s="1"/>
      <c r="CT1450" s="1"/>
      <c r="CU1450" s="1"/>
    </row>
    <row r="1451" spans="1:99" s="13" customFormat="1" ht="12" customHeight="1" x14ac:dyDescent="0.2">
      <c r="A1451" s="68">
        <v>43509</v>
      </c>
      <c r="B1451" s="70" t="s">
        <v>258</v>
      </c>
      <c r="C1451" s="70" t="s">
        <v>45</v>
      </c>
      <c r="D1451" s="69">
        <v>2012</v>
      </c>
      <c r="E1451" s="87">
        <v>1</v>
      </c>
      <c r="F1451" s="69">
        <v>18</v>
      </c>
      <c r="G1451" s="69">
        <v>18</v>
      </c>
      <c r="H1451" s="69" t="s">
        <v>50</v>
      </c>
      <c r="I1451" s="69" t="s">
        <v>852</v>
      </c>
      <c r="J1451" s="69" t="s">
        <v>320</v>
      </c>
      <c r="K1451" s="69">
        <f>IF(J1451="syllables",1,IF(J1451="trigrams",2,IF(J1451="strings",3,IF(J1451="visual array",4,IF(J1451="characters",5,IF(J1451="letters",6,IF(J1451="free forms",7,IF(J1451="odors",8,IF(J1451="words",9,IF(J1451="pictures",10,IF(J1451="object pictures",11,IF(J1451="faces",12,IF(J1451="names",13,IF(J1451="idioms",14,IF(J1451="grades",15,IF(J1451="syllable-digit pairs",16,IF(J1451="trigram-word pairs",17,IF(J1451="word-digit pairs",18,IF(J1451="English-Swahili pairs",19,IF(J1451="spatial position",20,IF(J1451="word pairs",21,IF(J1451="word triads",22,IF(J1451="generated words",23,IF(J1451="word definition pairs",24,IF(J1451="math problems",25,IF(J1451="famous faces",26,IF(J1451="famous names",27,IF(J1451="famous voices",28,IF(J1451="television programs",29,IF(J1451="race horses",30,IF(J1451="new vocabulary",31,IF(J1451="sentences",32,IF(J1451="concepts",33,IF(J1451="ad slides",34,IF(J1451="scenes",35,IF(J1451="famous scenes",36,IF(J1451="poems",37,IF(J1451="walk",38,IF(J1451="faces and events",39,IF(J1451="events and names",40,IF(J1451="flashbulb",41,IF(J1451="stories",42,IF(J1451="course material",43,IF(J1451="autobiographical",44,IF(J1451="novels",45,IF(J1451="public events",46,"99"))))))))))))))))))))))))))))))))))))))))))))))</f>
        <v>21</v>
      </c>
      <c r="L1451" s="69">
        <f>IF(J1451="syllables",1,IF(J1451="trigrams",1,IF(J1451="strings",1,IF(J1451="visual array",1,IF(J1451="characters",1,IF(J1451="letters",1,IF(J1451="free forms",1,IF(J1451="odors",2,IF(J1451="words",2,IF(J1451="pictures",2,IF(J1451="object pictures",2,IF(J1451="faces",2,IF(J1451="names",2,IF(J1451="idioms","2",IF(J1451="grades",2,IF(J1451="syllable-digit pairs",3,IF(J1451="trigram-word pairs",3,IF(J1451="word-digit pairs",3,IF(J1451="English-Swahili pairs",3,IF(J1451="spatial position",3,IF(J1451="word pairs",4,IF(J1451="word triads",4,IF(J1451="generated words",4,IF(J1451="word definition pairs",4,IF(J1451="math problems",4,IF(J1451="famous faces",4,IF(J1451="famous names",4,IF(J1451="famous voices",4,IF(J1451="television programs",4,IF(J1451="race horses",4,IF(J1451="new vocabulary",4,IF(J1451="sentences",5,IF(J1451="concepts",5,IF(J1451="ad slides",5,IF(J1451="scenes",5,IF(J1451="famous scenes",5,IF(J1451="poems",6,IF(J1451="walk",6,IF(J1451="faces and events",6,IF(J1451="events and names",6,IF(J1451="flashbulb",7,IF(J1451="stories",7,IF(J1451="course material",7,IF(J1451="autobiographical",7,IF(J1451="novels",7,IF(J1451="public events",7,"99"))))))))))))))))))))))))))))))))))))))))))))))</f>
        <v>4</v>
      </c>
      <c r="M1451" s="69">
        <v>0</v>
      </c>
      <c r="N1451" s="69">
        <v>1</v>
      </c>
      <c r="O1451" s="69">
        <v>1</v>
      </c>
      <c r="P1451" s="69" t="s">
        <v>53</v>
      </c>
      <c r="Q1451" s="69" t="s">
        <v>174</v>
      </c>
      <c r="R1451" s="69">
        <f>IF(Q1451="Free Recall",1,IF(Q1451="Cued Recall",2,IF(Q1451="Recognition",3,IF(Q1451="Multiple Choice",4,IF(Q1451="Savings",5,IF(Q1451="Stem Completion",6,IF(Q1451="Fragment Completion",7,IF(Q1451="anagram solution",8,IF(Q1451="Matching",9,IF(Q1451="Problem Solving",10,"99"))))))))))</f>
        <v>1</v>
      </c>
      <c r="S1451" s="69" t="s">
        <v>49</v>
      </c>
      <c r="T1451" s="92" t="s">
        <v>581</v>
      </c>
      <c r="U1451" s="69">
        <f>IF(T1451="within",1,0)</f>
        <v>1</v>
      </c>
      <c r="V1451" s="92">
        <v>35</v>
      </c>
      <c r="W1451" s="69">
        <f>F1451*V1451</f>
        <v>630</v>
      </c>
      <c r="X1451" s="69">
        <v>5</v>
      </c>
      <c r="Y1451" s="87">
        <f>AV1450</f>
        <v>2</v>
      </c>
      <c r="Z1451" s="69" t="s">
        <v>47</v>
      </c>
      <c r="AA1451" s="69">
        <v>32</v>
      </c>
      <c r="AB1451" s="69" t="str">
        <f>IF(AA1451&lt;60,"1",IF(AA1451&lt;=43200,"2",IF(AA1451&lt;=777600,"3","4")))</f>
        <v>1</v>
      </c>
      <c r="AC1451" s="72">
        <f>AVERAGE(AV1450:DA1450)</f>
        <v>12.4</v>
      </c>
      <c r="AD1451" s="69" t="str">
        <f>IF(AC1451&lt;60,"1",IF(AC1451&lt;=43200,"2",IF(AC1451&lt;=777600,"3","4")))</f>
        <v>1</v>
      </c>
      <c r="AE1451" s="87">
        <f>AA1451-Y1451</f>
        <v>30</v>
      </c>
      <c r="AF1451" s="88">
        <f>AV1451</f>
        <v>0.9</v>
      </c>
      <c r="AG1451" s="72">
        <f>((AW1451-AV1451)+(AX1451-AW1451)+(AY1451-AX1451)+(AZ1451-AY1451))/4</f>
        <v>-4.3250000000000011E-2</v>
      </c>
      <c r="AH1451" s="4"/>
      <c r="AI1451" s="72">
        <f>RSQ(AV1451:AZ1451,AV1450:AZ1450)</f>
        <v>0.59538690704457042</v>
      </c>
      <c r="AJ1451" s="110">
        <f>SLOPE(AV1451:AZ1451,AV1450:AZ1450)</f>
        <v>-5.2694892473118286E-3</v>
      </c>
      <c r="AK1451" s="72">
        <f>INTERCEPT(AV1451:AZ1451,AV1450:AZ1450)</f>
        <v>0.85954166666666654</v>
      </c>
      <c r="AL1451" s="72">
        <f>INDEX(LINEST(LN(AV1451:AZ1451),LN(AV1450:AZ1450),TRUE,TRUE),3,1)</f>
        <v>0.87777601243628078</v>
      </c>
      <c r="AM1451" s="72">
        <f>INDEX(LINEST(LN(AV1451:AZ1451),LN(AV1450:AZ1450)),1)</f>
        <v>-8.8431452888231274E-2</v>
      </c>
      <c r="AN1451" s="72">
        <f>EXP(INDEX(LINEST(LN(AV1451:AZ1451),LN(AV1450:AZ1450)),1,2))</f>
        <v>0.95041800552317168</v>
      </c>
      <c r="AO1451" s="89">
        <f>INDEX(LINEST((AV1451:AZ1451),LN(AV1450:AZ1450),TRUE,TRUE),3,1)</f>
        <v>0.87557459256163817</v>
      </c>
      <c r="AP1451" s="89">
        <f>INDEX(LINEST((AV1451:AZ1451),LN(AV1450:AZ1450)),1)</f>
        <v>-7.1124865515825905E-2</v>
      </c>
      <c r="AQ1451" s="90">
        <f>INDEX(LINEST(LN(AV1451:AZ1451),SQRT(AV1450:AZ1450),TRUE,TRUE),3,1)</f>
        <v>0.75376033019926425</v>
      </c>
      <c r="AR1451" s="117">
        <f>INDEX(LINEST(LN(AV1451:AZ1451),SQRT((AV1450:AZ1450))),1)</f>
        <v>-5.3103235938875164E-2</v>
      </c>
      <c r="AS1451" s="91">
        <f>INDEX(LINEST(1/(AV1451:AZ1451),1/(SQRT(AV1450:AZ1450)),TRUE,TRUE),3,1)</f>
        <v>0.91314748885714736</v>
      </c>
      <c r="AT1451" s="91">
        <f>INDEX(LINEST(1/(AV1451:AZ1451),1/SQRT(AV1450:AZ1450)),1)</f>
        <v>-0.5829151172924556</v>
      </c>
      <c r="AU1451" s="3"/>
      <c r="AV1451" s="73">
        <v>0.9</v>
      </c>
      <c r="AW1451" s="73">
        <v>0.86599999999999999</v>
      </c>
      <c r="AX1451" s="73">
        <v>0.75900000000000001</v>
      </c>
      <c r="AY1451" s="73">
        <v>0.71899999999999997</v>
      </c>
      <c r="AZ1451" s="73">
        <v>0.72699999999999998</v>
      </c>
      <c r="BA1451" s="42"/>
      <c r="BB1451" s="42"/>
      <c r="BC1451" s="2"/>
      <c r="BD1451" s="2"/>
      <c r="BE1451" s="2"/>
      <c r="BF1451" s="2"/>
      <c r="BG1451" s="2"/>
      <c r="BH1451" s="2"/>
      <c r="BI1451" s="2"/>
      <c r="BJ1451" s="2"/>
      <c r="BK1451" s="2"/>
      <c r="BL1451" s="2"/>
      <c r="BM1451" s="2"/>
      <c r="BN1451" s="2"/>
      <c r="BO1451" s="2"/>
      <c r="BP1451" s="2"/>
      <c r="BQ1451" s="2"/>
      <c r="BR1451" s="2"/>
      <c r="BS1451" s="2"/>
      <c r="BT1451" s="2"/>
      <c r="BU1451" s="2"/>
      <c r="BV1451" s="2"/>
      <c r="BW1451" s="2"/>
      <c r="BX1451" s="2"/>
      <c r="BY1451" s="2"/>
      <c r="BZ1451" s="2"/>
      <c r="CA1451" s="2"/>
      <c r="CB1451" s="2"/>
      <c r="CC1451" s="2"/>
      <c r="CD1451" s="2"/>
      <c r="CE1451" s="2"/>
      <c r="CF1451" s="2"/>
      <c r="CG1451" s="2"/>
      <c r="CH1451" s="2"/>
      <c r="CI1451" s="2"/>
      <c r="CJ1451" s="2"/>
      <c r="CK1451" s="2"/>
      <c r="CL1451" s="2"/>
      <c r="CM1451" s="2"/>
      <c r="CN1451" s="2"/>
      <c r="CO1451" s="2"/>
      <c r="CP1451" s="2"/>
      <c r="CQ1451" s="2"/>
      <c r="CR1451" s="1"/>
      <c r="CS1451" s="1"/>
      <c r="CT1451" s="1"/>
      <c r="CU1451" s="1"/>
    </row>
    <row r="1452" spans="1:99" s="13" customFormat="1" ht="12" customHeight="1" x14ac:dyDescent="0.2">
      <c r="A1452" s="68">
        <v>43509</v>
      </c>
      <c r="B1452" s="70"/>
      <c r="C1452" s="70"/>
      <c r="D1452" s="69"/>
      <c r="E1452" s="87"/>
      <c r="F1452" s="69"/>
      <c r="G1452" s="69"/>
      <c r="H1452" s="69"/>
      <c r="I1452" s="69"/>
      <c r="J1452" s="69"/>
      <c r="K1452" s="107"/>
      <c r="L1452" s="107"/>
      <c r="M1452" s="69"/>
      <c r="N1452" s="69"/>
      <c r="O1452" s="69"/>
      <c r="P1452" s="69"/>
      <c r="Q1452" s="69"/>
      <c r="R1452" s="69"/>
      <c r="S1452" s="69"/>
      <c r="T1452" s="92"/>
      <c r="U1452" s="69"/>
      <c r="V1452" s="69"/>
      <c r="W1452" s="69"/>
      <c r="X1452" s="69"/>
      <c r="Y1452" s="87"/>
      <c r="Z1452" s="69"/>
      <c r="AA1452" s="69"/>
      <c r="AB1452" s="69"/>
      <c r="AC1452" s="69"/>
      <c r="AD1452" s="69"/>
      <c r="AE1452" s="69"/>
      <c r="AF1452" s="88"/>
      <c r="AG1452" s="72"/>
      <c r="AH1452" s="4"/>
      <c r="AI1452" s="72"/>
      <c r="AJ1452" s="110"/>
      <c r="AK1452" s="72"/>
      <c r="AL1452" s="72"/>
      <c r="AM1452" s="72"/>
      <c r="AN1452" s="72"/>
      <c r="AO1452" s="89"/>
      <c r="AP1452" s="89"/>
      <c r="AQ1452" s="72"/>
      <c r="AR1452" s="110"/>
      <c r="AS1452" s="72"/>
      <c r="AT1452" s="72"/>
      <c r="AU1452" s="3"/>
      <c r="AV1452" s="71">
        <v>2</v>
      </c>
      <c r="AW1452" s="71">
        <v>4</v>
      </c>
      <c r="AX1452" s="71">
        <v>8</v>
      </c>
      <c r="AY1452" s="71">
        <v>16</v>
      </c>
      <c r="AZ1452" s="71">
        <v>32</v>
      </c>
      <c r="BA1452" s="42"/>
      <c r="BB1452" s="42"/>
      <c r="BC1452" s="2"/>
      <c r="BD1452" s="2"/>
      <c r="BE1452" s="2"/>
      <c r="BF1452" s="2"/>
      <c r="BG1452" s="2"/>
      <c r="BH1452" s="2"/>
      <c r="BI1452" s="2"/>
      <c r="BJ1452" s="2"/>
      <c r="BK1452" s="2"/>
      <c r="BL1452" s="2"/>
      <c r="BM1452" s="2"/>
      <c r="BN1452" s="2"/>
      <c r="BO1452" s="2"/>
      <c r="BP1452" s="2"/>
      <c r="BQ1452" s="2"/>
      <c r="BR1452" s="2"/>
      <c r="BS1452" s="2"/>
      <c r="BT1452" s="2"/>
      <c r="BU1452" s="2"/>
      <c r="BV1452" s="2"/>
      <c r="BW1452" s="2"/>
      <c r="BX1452" s="2"/>
      <c r="BY1452" s="2"/>
      <c r="BZ1452" s="2"/>
      <c r="CA1452" s="2"/>
      <c r="CB1452" s="2"/>
      <c r="CC1452" s="2"/>
      <c r="CD1452" s="2"/>
      <c r="CE1452" s="2"/>
      <c r="CF1452" s="2"/>
      <c r="CG1452" s="2"/>
      <c r="CH1452" s="2"/>
      <c r="CI1452" s="2"/>
      <c r="CJ1452" s="2"/>
      <c r="CK1452" s="2"/>
      <c r="CL1452" s="2"/>
      <c r="CM1452" s="2"/>
      <c r="CN1452" s="2"/>
      <c r="CO1452" s="2"/>
      <c r="CP1452" s="2"/>
      <c r="CQ1452" s="2"/>
      <c r="CR1452" s="1"/>
      <c r="CS1452" s="1"/>
      <c r="CT1452" s="1"/>
      <c r="CU1452" s="1"/>
    </row>
    <row r="1453" spans="1:99" s="13" customFormat="1" ht="12" customHeight="1" x14ac:dyDescent="0.2">
      <c r="A1453" s="68">
        <v>43509</v>
      </c>
      <c r="B1453" s="70" t="s">
        <v>258</v>
      </c>
      <c r="C1453" s="70" t="s">
        <v>45</v>
      </c>
      <c r="D1453" s="69">
        <v>2012</v>
      </c>
      <c r="E1453" s="87">
        <v>1</v>
      </c>
      <c r="F1453" s="69">
        <v>18</v>
      </c>
      <c r="G1453" s="69">
        <v>18</v>
      </c>
      <c r="H1453" s="69" t="s">
        <v>50</v>
      </c>
      <c r="I1453" s="69" t="s">
        <v>853</v>
      </c>
      <c r="J1453" s="69" t="s">
        <v>320</v>
      </c>
      <c r="K1453" s="69">
        <f>IF(J1453="syllables",1,IF(J1453="trigrams",2,IF(J1453="strings",3,IF(J1453="visual array",4,IF(J1453="characters",5,IF(J1453="letters",6,IF(J1453="free forms",7,IF(J1453="odors",8,IF(J1453="words",9,IF(J1453="pictures",10,IF(J1453="object pictures",11,IF(J1453="faces",12,IF(J1453="names",13,IF(J1453="idioms",14,IF(J1453="grades",15,IF(J1453="syllable-digit pairs",16,IF(J1453="trigram-word pairs",17,IF(J1453="word-digit pairs",18,IF(J1453="English-Swahili pairs",19,IF(J1453="spatial position",20,IF(J1453="word pairs",21,IF(J1453="word triads",22,IF(J1453="generated words",23,IF(J1453="word definition pairs",24,IF(J1453="math problems",25,IF(J1453="famous faces",26,IF(J1453="famous names",27,IF(J1453="famous voices",28,IF(J1453="television programs",29,IF(J1453="race horses",30,IF(J1453="new vocabulary",31,IF(J1453="sentences",32,IF(J1453="concepts",33,IF(J1453="ad slides",34,IF(J1453="scenes",35,IF(J1453="famous scenes",36,IF(J1453="poems",37,IF(J1453="walk",38,IF(J1453="faces and events",39,IF(J1453="events and names",40,IF(J1453="flashbulb",41,IF(J1453="stories",42,IF(J1453="course material",43,IF(J1453="autobiographical",44,IF(J1453="novels",45,IF(J1453="public events",46,"99"))))))))))))))))))))))))))))))))))))))))))))))</f>
        <v>21</v>
      </c>
      <c r="L1453" s="69">
        <f>IF(J1453="syllables",1,IF(J1453="trigrams",1,IF(J1453="strings",1,IF(J1453="visual array",1,IF(J1453="characters",1,IF(J1453="letters",1,IF(J1453="free forms",1,IF(J1453="odors",2,IF(J1453="words",2,IF(J1453="pictures",2,IF(J1453="object pictures",2,IF(J1453="faces",2,IF(J1453="names",2,IF(J1453="idioms","2",IF(J1453="grades",2,IF(J1453="syllable-digit pairs",3,IF(J1453="trigram-word pairs",3,IF(J1453="word-digit pairs",3,IF(J1453="English-Swahili pairs",3,IF(J1453="spatial position",3,IF(J1453="word pairs",4,IF(J1453="word triads",4,IF(J1453="generated words",4,IF(J1453="word definition pairs",4,IF(J1453="math problems",4,IF(J1453="famous faces",4,IF(J1453="famous names",4,IF(J1453="famous voices",4,IF(J1453="television programs",4,IF(J1453="race horses",4,IF(J1453="new vocabulary",4,IF(J1453="sentences",5,IF(J1453="concepts",5,IF(J1453="ad slides",5,IF(J1453="scenes",5,IF(J1453="famous scenes",5,IF(J1453="poems",6,IF(J1453="walk",6,IF(J1453="faces and events",6,IF(J1453="events and names",6,IF(J1453="flashbulb",7,IF(J1453="stories",7,IF(J1453="course material",7,IF(J1453="autobiographical",7,IF(J1453="novels",7,IF(J1453="public events",7,"99"))))))))))))))))))))))))))))))))))))))))))))))</f>
        <v>4</v>
      </c>
      <c r="M1453" s="69">
        <v>0</v>
      </c>
      <c r="N1453" s="69">
        <v>1</v>
      </c>
      <c r="O1453" s="69">
        <v>1</v>
      </c>
      <c r="P1453" s="69" t="s">
        <v>53</v>
      </c>
      <c r="Q1453" s="69" t="s">
        <v>174</v>
      </c>
      <c r="R1453" s="69">
        <f>IF(Q1453="Free Recall",1,IF(Q1453="Cued Recall",2,IF(Q1453="Recognition",3,IF(Q1453="Multiple Choice",4,IF(Q1453="Savings",5,IF(Q1453="Stem Completion",6,IF(Q1453="Fragment Completion",7,IF(Q1453="anagram solution",8,IF(Q1453="Matching",9,IF(Q1453="Problem Solving",10,"99"))))))))))</f>
        <v>1</v>
      </c>
      <c r="S1453" s="69" t="s">
        <v>49</v>
      </c>
      <c r="T1453" s="92" t="s">
        <v>581</v>
      </c>
      <c r="U1453" s="69">
        <f>IF(T1453="within",1,0)</f>
        <v>1</v>
      </c>
      <c r="V1453" s="92">
        <v>35</v>
      </c>
      <c r="W1453" s="69">
        <f>F1453*V1453</f>
        <v>630</v>
      </c>
      <c r="X1453" s="69">
        <v>5</v>
      </c>
      <c r="Y1453" s="87">
        <f>AV1452</f>
        <v>2</v>
      </c>
      <c r="Z1453" s="69" t="s">
        <v>47</v>
      </c>
      <c r="AA1453" s="69">
        <v>32</v>
      </c>
      <c r="AB1453" s="69" t="str">
        <f>IF(AA1453&lt;60,"1",IF(AA1453&lt;=43200,"2",IF(AA1453&lt;=777600,"3","4")))</f>
        <v>1</v>
      </c>
      <c r="AC1453" s="72">
        <f>AVERAGE(AV1452:DA1452)</f>
        <v>12.4</v>
      </c>
      <c r="AD1453" s="69" t="str">
        <f>IF(AC1453&lt;60,"1",IF(AC1453&lt;=43200,"2",IF(AC1453&lt;=777600,"3","4")))</f>
        <v>1</v>
      </c>
      <c r="AE1453" s="87">
        <f>AA1453-Y1453</f>
        <v>30</v>
      </c>
      <c r="AF1453" s="88">
        <f>AV1453</f>
        <v>0.92800000000000005</v>
      </c>
      <c r="AG1453" s="72">
        <f>((AW1453-AV1453)+(AX1453-AW1453)+(AY1453-AX1453)+(AZ1453-AY1453))/4</f>
        <v>-1.9750000000000018E-2</v>
      </c>
      <c r="AH1453" s="4"/>
      <c r="AI1453" s="72">
        <f>RSQ(AV1453:AZ1453,AV1452:AZ1452)</f>
        <v>5.3335967106640743E-2</v>
      </c>
      <c r="AJ1453" s="110">
        <f>SLOPE(AV1453:AZ1453,AV1452:AZ1452)</f>
        <v>-8.6559139784946385E-4</v>
      </c>
      <c r="AK1453" s="72">
        <f>INTERCEPT(AV1453:AZ1453,AV1452:AZ1452)</f>
        <v>0.8683333333333334</v>
      </c>
      <c r="AL1453" s="72">
        <f>INDEX(LINEST(LN(AV1453:AZ1453),LN(AV1452:AZ1452),TRUE,TRUE),3,1)</f>
        <v>0.21111277518798535</v>
      </c>
      <c r="AM1453" s="72">
        <f>INDEX(LINEST(LN(AV1453:AZ1453),LN(AV1452:AZ1452)),1)</f>
        <v>-2.212633693321656E-2</v>
      </c>
      <c r="AN1453" s="72">
        <f>EXP(INDEX(LINEST(LN(AV1453:AZ1453),LN(AV1452:AZ1452)),1,2))</f>
        <v>0.89697386881850694</v>
      </c>
      <c r="AO1453" s="89">
        <f>INDEX(LINEST((AV1453:AZ1453),LN(AV1452:AZ1452),TRUE,TRUE),3,1)</f>
        <v>0.22447734774912736</v>
      </c>
      <c r="AP1453" s="89">
        <f>INDEX(LINEST((AV1453:AZ1453),LN(AV1452:AZ1452)),1)</f>
        <v>-1.9764922060178818E-2</v>
      </c>
      <c r="AQ1453" s="90">
        <f>INDEX(LINEST(LN(AV1453:AZ1453),SQRT(AV1452:AZ1452),TRUE,TRUE),3,1)</f>
        <v>0.10338498146426185</v>
      </c>
      <c r="AR1453" s="117">
        <f>INDEX(LINEST(LN(AV1453:AZ1453),SQRT((AV1452:AZ1452))),1)</f>
        <v>-1.0033915349410916E-2</v>
      </c>
      <c r="AS1453" s="91">
        <f>INDEX(LINEST(1/(AV1453:AZ1453),1/(SQRT(AV1452:AZ1452)),TRUE,TRUE),3,1)</f>
        <v>0.34084832787525565</v>
      </c>
      <c r="AT1453" s="91">
        <f>INDEX(LINEST(1/(AV1453:AZ1453),1/SQRT(AV1452:AZ1452)),1)</f>
        <v>-0.16865101417000086</v>
      </c>
      <c r="AU1453" s="3"/>
      <c r="AV1453" s="73">
        <v>0.92800000000000005</v>
      </c>
      <c r="AW1453" s="73">
        <v>0.84399999999999997</v>
      </c>
      <c r="AX1453" s="73">
        <v>0.80200000000000005</v>
      </c>
      <c r="AY1453" s="73">
        <v>0.86499999999999999</v>
      </c>
      <c r="AZ1453" s="73">
        <v>0.84899999999999998</v>
      </c>
      <c r="BA1453" s="42"/>
      <c r="BB1453" s="42"/>
      <c r="BC1453" s="2"/>
      <c r="BD1453" s="2"/>
      <c r="BE1453" s="2"/>
      <c r="BF1453" s="2"/>
      <c r="BG1453" s="2"/>
      <c r="BH1453" s="2"/>
      <c r="BI1453" s="2"/>
      <c r="BJ1453" s="2"/>
      <c r="BK1453" s="2"/>
      <c r="BL1453" s="2"/>
      <c r="BM1453" s="2"/>
      <c r="BN1453" s="2"/>
      <c r="BO1453" s="2"/>
      <c r="BP1453" s="2"/>
      <c r="BQ1453" s="2"/>
      <c r="BR1453" s="2"/>
      <c r="BS1453" s="2"/>
      <c r="BT1453" s="2"/>
      <c r="BU1453" s="2"/>
      <c r="BV1453" s="2"/>
      <c r="BW1453" s="2"/>
      <c r="BX1453" s="2"/>
      <c r="BY1453" s="2"/>
      <c r="BZ1453" s="2"/>
      <c r="CA1453" s="2"/>
      <c r="CB1453" s="2"/>
      <c r="CC1453" s="2"/>
      <c r="CD1453" s="2"/>
      <c r="CE1453" s="2"/>
      <c r="CF1453" s="2"/>
      <c r="CG1453" s="2"/>
      <c r="CH1453" s="2"/>
      <c r="CI1453" s="2"/>
      <c r="CJ1453" s="2"/>
      <c r="CK1453" s="2"/>
      <c r="CL1453" s="2"/>
      <c r="CM1453" s="2"/>
      <c r="CN1453" s="2"/>
      <c r="CO1453" s="2"/>
      <c r="CP1453" s="2"/>
      <c r="CQ1453" s="2"/>
      <c r="CR1453" s="1"/>
      <c r="CS1453" s="1"/>
      <c r="CT1453" s="1"/>
      <c r="CU1453" s="1"/>
    </row>
    <row r="1454" spans="1:99" s="13" customFormat="1" ht="12" customHeight="1" x14ac:dyDescent="0.2">
      <c r="A1454" s="68">
        <v>43509</v>
      </c>
      <c r="B1454" s="70"/>
      <c r="C1454" s="70"/>
      <c r="D1454" s="69"/>
      <c r="E1454" s="87"/>
      <c r="F1454" s="69"/>
      <c r="G1454" s="69"/>
      <c r="H1454" s="69"/>
      <c r="I1454" s="69"/>
      <c r="J1454" s="69"/>
      <c r="K1454" s="107"/>
      <c r="L1454" s="107"/>
      <c r="M1454" s="69"/>
      <c r="N1454" s="69"/>
      <c r="O1454" s="69"/>
      <c r="P1454" s="69"/>
      <c r="Q1454" s="69"/>
      <c r="R1454" s="69"/>
      <c r="S1454" s="69"/>
      <c r="T1454" s="92"/>
      <c r="U1454" s="69"/>
      <c r="V1454" s="69"/>
      <c r="W1454" s="69"/>
      <c r="X1454" s="69"/>
      <c r="Y1454" s="87"/>
      <c r="Z1454" s="69"/>
      <c r="AA1454" s="69"/>
      <c r="AB1454" s="69"/>
      <c r="AC1454" s="69"/>
      <c r="AD1454" s="69"/>
      <c r="AE1454" s="69"/>
      <c r="AF1454" s="88"/>
      <c r="AG1454" s="72"/>
      <c r="AH1454" s="4"/>
      <c r="AI1454" s="72"/>
      <c r="AJ1454" s="110"/>
      <c r="AK1454" s="72"/>
      <c r="AL1454" s="72"/>
      <c r="AM1454" s="72"/>
      <c r="AN1454" s="72"/>
      <c r="AO1454" s="89"/>
      <c r="AP1454" s="89"/>
      <c r="AQ1454" s="72"/>
      <c r="AR1454" s="110"/>
      <c r="AS1454" s="72"/>
      <c r="AT1454" s="72"/>
      <c r="AU1454" s="3"/>
      <c r="AV1454" s="71">
        <v>2</v>
      </c>
      <c r="AW1454" s="71">
        <v>4</v>
      </c>
      <c r="AX1454" s="71">
        <v>8</v>
      </c>
      <c r="AY1454" s="71">
        <v>16</v>
      </c>
      <c r="AZ1454" s="71">
        <v>32</v>
      </c>
      <c r="BA1454" s="42"/>
      <c r="BB1454" s="42"/>
      <c r="BC1454" s="2"/>
      <c r="BD1454" s="2"/>
      <c r="BE1454" s="2"/>
      <c r="BF1454" s="2"/>
      <c r="BG1454" s="2"/>
      <c r="BH1454" s="2"/>
      <c r="BI1454" s="2"/>
      <c r="BJ1454" s="2"/>
      <c r="BK1454" s="2"/>
      <c r="BL1454" s="2"/>
      <c r="BM1454" s="2"/>
      <c r="BN1454" s="2"/>
      <c r="BO1454" s="2"/>
      <c r="BP1454" s="2"/>
      <c r="BQ1454" s="2"/>
      <c r="BR1454" s="2"/>
      <c r="BS1454" s="2"/>
      <c r="BT1454" s="2"/>
      <c r="BU1454" s="2"/>
      <c r="BV1454" s="2"/>
      <c r="BW1454" s="2"/>
      <c r="BX1454" s="2"/>
      <c r="BY1454" s="2"/>
      <c r="BZ1454" s="2"/>
      <c r="CA1454" s="2"/>
      <c r="CB1454" s="2"/>
      <c r="CC1454" s="2"/>
      <c r="CD1454" s="2"/>
      <c r="CE1454" s="2"/>
      <c r="CF1454" s="2"/>
      <c r="CG1454" s="2"/>
      <c r="CH1454" s="2"/>
      <c r="CI1454" s="2"/>
      <c r="CJ1454" s="2"/>
      <c r="CK1454" s="2"/>
      <c r="CL1454" s="2"/>
      <c r="CM1454" s="2"/>
      <c r="CN1454" s="2"/>
      <c r="CO1454" s="2"/>
      <c r="CP1454" s="2"/>
      <c r="CQ1454" s="2"/>
      <c r="CR1454" s="1"/>
      <c r="CS1454" s="1"/>
      <c r="CT1454" s="1"/>
      <c r="CU1454" s="1"/>
    </row>
    <row r="1455" spans="1:99" s="13" customFormat="1" ht="12" customHeight="1" x14ac:dyDescent="0.2">
      <c r="A1455" s="68">
        <v>43509</v>
      </c>
      <c r="B1455" s="70" t="s">
        <v>258</v>
      </c>
      <c r="C1455" s="70" t="s">
        <v>45</v>
      </c>
      <c r="D1455" s="69">
        <v>2012</v>
      </c>
      <c r="E1455" s="87">
        <v>2</v>
      </c>
      <c r="F1455" s="69">
        <v>15</v>
      </c>
      <c r="G1455" s="69">
        <v>15</v>
      </c>
      <c r="H1455" s="69" t="s">
        <v>41</v>
      </c>
      <c r="I1455" s="69" t="s">
        <v>851</v>
      </c>
      <c r="J1455" s="69" t="s">
        <v>320</v>
      </c>
      <c r="K1455" s="69">
        <f>IF(J1455="syllables",1,IF(J1455="trigrams",2,IF(J1455="strings",3,IF(J1455="visual array",4,IF(J1455="characters",5,IF(J1455="letters",6,IF(J1455="free forms",7,IF(J1455="odors",8,IF(J1455="words",9,IF(J1455="pictures",10,IF(J1455="object pictures",11,IF(J1455="faces",12,IF(J1455="names",13,IF(J1455="idioms",14,IF(J1455="grades",15,IF(J1455="syllable-digit pairs",16,IF(J1455="trigram-word pairs",17,IF(J1455="word-digit pairs",18,IF(J1455="English-Swahili pairs",19,IF(J1455="spatial position",20,IF(J1455="word pairs",21,IF(J1455="word triads",22,IF(J1455="generated words",23,IF(J1455="word definition pairs",24,IF(J1455="math problems",25,IF(J1455="famous faces",26,IF(J1455="famous names",27,IF(J1455="famous voices",28,IF(J1455="television programs",29,IF(J1455="race horses",30,IF(J1455="new vocabulary",31,IF(J1455="sentences",32,IF(J1455="concepts",33,IF(J1455="ad slides",34,IF(J1455="scenes",35,IF(J1455="famous scenes",36,IF(J1455="poems",37,IF(J1455="walk",38,IF(J1455="faces and events",39,IF(J1455="events and names",40,IF(J1455="flashbulb",41,IF(J1455="stories",42,IF(J1455="course material",43,IF(J1455="autobiographical",44,IF(J1455="novels",45,IF(J1455="public events",46,"99"))))))))))))))))))))))))))))))))))))))))))))))</f>
        <v>21</v>
      </c>
      <c r="L1455" s="69">
        <f>IF(J1455="syllables",1,IF(J1455="trigrams",1,IF(J1455="strings",1,IF(J1455="visual array",1,IF(J1455="characters",1,IF(J1455="letters",1,IF(J1455="free forms",1,IF(J1455="odors",2,IF(J1455="words",2,IF(J1455="pictures",2,IF(J1455="object pictures",2,IF(J1455="faces",2,IF(J1455="names",2,IF(J1455="idioms","2",IF(J1455="grades",2,IF(J1455="syllable-digit pairs",3,IF(J1455="trigram-word pairs",3,IF(J1455="word-digit pairs",3,IF(J1455="English-Swahili pairs",3,IF(J1455="spatial position",3,IF(J1455="word pairs",4,IF(J1455="word triads",4,IF(J1455="generated words",4,IF(J1455="word definition pairs",4,IF(J1455="math problems",4,IF(J1455="famous faces",4,IF(J1455="famous names",4,IF(J1455="famous voices",4,IF(J1455="television programs",4,IF(J1455="race horses",4,IF(J1455="new vocabulary",4,IF(J1455="sentences",5,IF(J1455="concepts",5,IF(J1455="ad slides",5,IF(J1455="scenes",5,IF(J1455="famous scenes",5,IF(J1455="poems",6,IF(J1455="walk",6,IF(J1455="faces and events",6,IF(J1455="events and names",6,IF(J1455="flashbulb",7,IF(J1455="stories",7,IF(J1455="course material",7,IF(J1455="autobiographical",7,IF(J1455="novels",7,IF(J1455="public events",7,"99"))))))))))))))))))))))))))))))))))))))))))))))</f>
        <v>4</v>
      </c>
      <c r="M1455" s="69">
        <v>0</v>
      </c>
      <c r="N1455" s="69">
        <v>1</v>
      </c>
      <c r="O1455" s="69">
        <v>1</v>
      </c>
      <c r="P1455" s="69" t="s">
        <v>53</v>
      </c>
      <c r="Q1455" s="69" t="s">
        <v>174</v>
      </c>
      <c r="R1455" s="69">
        <f>IF(Q1455="Free Recall",1,IF(Q1455="Cued Recall",2,IF(Q1455="Recognition",3,IF(Q1455="Multiple Choice",4,IF(Q1455="Savings",5,IF(Q1455="Stem Completion",6,IF(Q1455="Fragment Completion",7,IF(Q1455="anagram solution",8,IF(Q1455="Matching",9,IF(Q1455="Problem Solving",10,"99"))))))))))</f>
        <v>1</v>
      </c>
      <c r="S1455" s="69" t="s">
        <v>49</v>
      </c>
      <c r="T1455" s="92" t="s">
        <v>581</v>
      </c>
      <c r="U1455" s="69">
        <f>IF(T1455="within",1,0)</f>
        <v>1</v>
      </c>
      <c r="V1455" s="92">
        <v>25</v>
      </c>
      <c r="W1455" s="69">
        <f>F1455*V1455</f>
        <v>375</v>
      </c>
      <c r="X1455" s="69">
        <v>5</v>
      </c>
      <c r="Y1455" s="87">
        <f>AV1454</f>
        <v>2</v>
      </c>
      <c r="Z1455" s="69" t="s">
        <v>47</v>
      </c>
      <c r="AA1455" s="69">
        <v>32</v>
      </c>
      <c r="AB1455" s="69" t="str">
        <f>IF(AA1455&lt;60,"1",IF(AA1455&lt;=43200,"2",IF(AA1455&lt;=777600,"3","4")))</f>
        <v>1</v>
      </c>
      <c r="AC1455" s="72">
        <f>AVERAGE(AV1454:DA1454)</f>
        <v>12.4</v>
      </c>
      <c r="AD1455" s="69" t="str">
        <f>IF(AC1455&lt;60,"1",IF(AC1455&lt;=43200,"2",IF(AC1455&lt;=777600,"3","4")))</f>
        <v>1</v>
      </c>
      <c r="AE1455" s="87">
        <f>AA1455-Y1455</f>
        <v>30</v>
      </c>
      <c r="AF1455" s="88">
        <f>AV1455</f>
        <v>0.98699999999999999</v>
      </c>
      <c r="AG1455" s="72">
        <f>((AW1455-AV1455)+(AX1455-AW1455)+(AY1455-AX1455)+(AZ1455-AY1455))/4</f>
        <v>-4.8499999999999988E-2</v>
      </c>
      <c r="AH1455" s="4"/>
      <c r="AI1455" s="72">
        <f>RSQ(AV1455:AZ1455,AV1454:AZ1454)</f>
        <v>0.91026494318411377</v>
      </c>
      <c r="AJ1455" s="110">
        <f>SLOPE(AV1455:AZ1455,AV1454:AZ1454)</f>
        <v>-5.6626344086021458E-3</v>
      </c>
      <c r="AK1455" s="72">
        <f>INTERCEPT(AV1455:AZ1455,AV1454:AZ1454)</f>
        <v>0.97641666666666649</v>
      </c>
      <c r="AL1455" s="72">
        <f>INDEX(LINEST(LN(AV1455:AZ1455),LN(AV1454:AZ1454),TRUE,TRUE),3,1)</f>
        <v>0.86168905295690901</v>
      </c>
      <c r="AM1455" s="72">
        <f>INDEX(LINEST(LN(AV1455:AZ1455),LN(AV1454:AZ1454)),1)</f>
        <v>-6.953808288736657E-2</v>
      </c>
      <c r="AN1455" s="72">
        <f>EXP(INDEX(LINEST(LN(AV1455:AZ1455),LN(AV1454:AZ1454)),1,2))</f>
        <v>1.0444163438272194</v>
      </c>
      <c r="AO1455" s="89">
        <f>INDEX(LINEST((AV1455:AZ1455),LN(AV1454:AZ1454),TRUE,TRUE),3,1)</f>
        <v>0.87777343228341942</v>
      </c>
      <c r="AP1455" s="89">
        <f>INDEX(LINEST((AV1455:AZ1455),LN(AV1454:AZ1454)),1)</f>
        <v>-6.1891617254136506E-2</v>
      </c>
      <c r="AQ1455" s="90">
        <f>INDEX(LINEST(LN(AV1455:AZ1455),SQRT(AV1454:AZ1454),TRUE,TRUE),3,1)</f>
        <v>0.91306496696661821</v>
      </c>
      <c r="AR1455" s="117">
        <f>INDEX(LINEST(LN(AV1455:AZ1455),SQRT((AV1454:AZ1454))),1)</f>
        <v>-4.6386083680885398E-2</v>
      </c>
      <c r="AS1455" s="91">
        <f>INDEX(LINEST(1/(AV1455:AZ1455),1/(SQRT(AV1454:AZ1454)),TRUE,TRUE),3,1)</f>
        <v>0.73977868566970395</v>
      </c>
      <c r="AT1455" s="91">
        <f>INDEX(LINEST(1/(AV1455:AZ1455),1/SQRT(AV1454:AZ1454)),1)</f>
        <v>-0.38064171599865965</v>
      </c>
      <c r="AU1455" s="3"/>
      <c r="AV1455" s="73">
        <v>0.98699999999999999</v>
      </c>
      <c r="AW1455" s="73">
        <v>0.94599999999999995</v>
      </c>
      <c r="AX1455" s="73">
        <v>0.9</v>
      </c>
      <c r="AY1455" s="73">
        <v>0.90500000000000003</v>
      </c>
      <c r="AZ1455" s="73">
        <v>0.79300000000000004</v>
      </c>
      <c r="BA1455" s="42"/>
      <c r="BB1455" s="42"/>
      <c r="BC1455" s="2"/>
      <c r="BD1455" s="2"/>
      <c r="BE1455" s="2"/>
      <c r="BF1455" s="2"/>
      <c r="BG1455" s="2"/>
      <c r="BH1455" s="2"/>
      <c r="BI1455" s="2"/>
      <c r="BJ1455" s="2"/>
      <c r="BK1455" s="2"/>
      <c r="BL1455" s="2"/>
      <c r="BM1455" s="2"/>
      <c r="BN1455" s="2"/>
      <c r="BO1455" s="2"/>
      <c r="BP1455" s="2"/>
      <c r="BQ1455" s="2"/>
      <c r="BR1455" s="2"/>
      <c r="BS1455" s="2"/>
      <c r="BT1455" s="2"/>
      <c r="BU1455" s="2"/>
      <c r="BV1455" s="2"/>
      <c r="BW1455" s="2"/>
      <c r="BX1455" s="2"/>
      <c r="BY1455" s="2"/>
      <c r="BZ1455" s="2"/>
      <c r="CA1455" s="2"/>
      <c r="CB1455" s="2"/>
      <c r="CC1455" s="2"/>
      <c r="CD1455" s="2"/>
      <c r="CE1455" s="2"/>
      <c r="CF1455" s="2"/>
      <c r="CG1455" s="2"/>
      <c r="CH1455" s="2"/>
      <c r="CI1455" s="2"/>
      <c r="CJ1455" s="2"/>
      <c r="CK1455" s="2"/>
      <c r="CL1455" s="2"/>
      <c r="CM1455" s="2"/>
      <c r="CN1455" s="2"/>
      <c r="CO1455" s="2"/>
      <c r="CP1455" s="2"/>
      <c r="CQ1455" s="2"/>
      <c r="CR1455" s="1"/>
      <c r="CS1455" s="1"/>
      <c r="CT1455" s="1"/>
      <c r="CU1455" s="1"/>
    </row>
    <row r="1456" spans="1:99" s="13" customFormat="1" ht="12" customHeight="1" x14ac:dyDescent="0.2">
      <c r="A1456" s="68">
        <v>43509</v>
      </c>
      <c r="B1456" s="70"/>
      <c r="C1456" s="70"/>
      <c r="D1456" s="69"/>
      <c r="E1456" s="87"/>
      <c r="F1456" s="69"/>
      <c r="G1456" s="69"/>
      <c r="H1456" s="69"/>
      <c r="I1456" s="69"/>
      <c r="J1456" s="69"/>
      <c r="K1456" s="107"/>
      <c r="L1456" s="107"/>
      <c r="M1456" s="69"/>
      <c r="N1456" s="69"/>
      <c r="O1456" s="69"/>
      <c r="P1456" s="69"/>
      <c r="Q1456" s="69"/>
      <c r="R1456" s="69"/>
      <c r="S1456" s="69"/>
      <c r="T1456" s="92"/>
      <c r="U1456" s="69"/>
      <c r="V1456" s="69"/>
      <c r="W1456" s="69"/>
      <c r="X1456" s="69"/>
      <c r="Y1456" s="87"/>
      <c r="Z1456" s="69"/>
      <c r="AA1456" s="69"/>
      <c r="AB1456" s="69"/>
      <c r="AC1456" s="69"/>
      <c r="AD1456" s="69"/>
      <c r="AE1456" s="69"/>
      <c r="AF1456" s="88"/>
      <c r="AG1456" s="72"/>
      <c r="AH1456" s="4"/>
      <c r="AI1456" s="72"/>
      <c r="AJ1456" s="110"/>
      <c r="AK1456" s="72"/>
      <c r="AL1456" s="72"/>
      <c r="AM1456" s="72"/>
      <c r="AN1456" s="72"/>
      <c r="AO1456" s="89"/>
      <c r="AP1456" s="89"/>
      <c r="AQ1456" s="72"/>
      <c r="AR1456" s="110"/>
      <c r="AS1456" s="72"/>
      <c r="AT1456" s="72"/>
      <c r="AU1456" s="3"/>
      <c r="AV1456" s="71">
        <v>2</v>
      </c>
      <c r="AW1456" s="71">
        <v>4</v>
      </c>
      <c r="AX1456" s="71">
        <v>8</v>
      </c>
      <c r="AY1456" s="71">
        <v>16</v>
      </c>
      <c r="AZ1456" s="71">
        <v>32</v>
      </c>
      <c r="BA1456" s="42"/>
      <c r="BB1456" s="42"/>
      <c r="BC1456" s="2"/>
      <c r="BD1456" s="2"/>
      <c r="BE1456" s="2"/>
      <c r="BF1456" s="2"/>
      <c r="BG1456" s="2"/>
      <c r="BH1456" s="2"/>
      <c r="BI1456" s="2"/>
      <c r="BJ1456" s="2"/>
      <c r="BK1456" s="2"/>
      <c r="BL1456" s="2"/>
      <c r="BM1456" s="2"/>
      <c r="BN1456" s="2"/>
      <c r="BO1456" s="2"/>
      <c r="BP1456" s="2"/>
      <c r="BQ1456" s="2"/>
      <c r="BR1456" s="2"/>
      <c r="BS1456" s="2"/>
      <c r="BT1456" s="2"/>
      <c r="BU1456" s="2"/>
      <c r="BV1456" s="2"/>
      <c r="BW1456" s="2"/>
      <c r="BX1456" s="2"/>
      <c r="BY1456" s="2"/>
      <c r="BZ1456" s="2"/>
      <c r="CA1456" s="2"/>
      <c r="CB1456" s="2"/>
      <c r="CC1456" s="2"/>
      <c r="CD1456" s="2"/>
      <c r="CE1456" s="2"/>
      <c r="CF1456" s="2"/>
      <c r="CG1456" s="2"/>
      <c r="CH1456" s="2"/>
      <c r="CI1456" s="2"/>
      <c r="CJ1456" s="2"/>
      <c r="CK1456" s="2"/>
      <c r="CL1456" s="2"/>
      <c r="CM1456" s="2"/>
      <c r="CN1456" s="2"/>
      <c r="CO1456" s="2"/>
      <c r="CP1456" s="2"/>
      <c r="CQ1456" s="2"/>
      <c r="CR1456" s="1"/>
      <c r="CS1456" s="1"/>
      <c r="CT1456" s="1"/>
      <c r="CU1456" s="1"/>
    </row>
    <row r="1457" spans="1:99" s="13" customFormat="1" ht="12" customHeight="1" x14ac:dyDescent="0.2">
      <c r="A1457" s="68">
        <v>43509</v>
      </c>
      <c r="B1457" s="70" t="s">
        <v>258</v>
      </c>
      <c r="C1457" s="70" t="s">
        <v>45</v>
      </c>
      <c r="D1457" s="69">
        <v>2012</v>
      </c>
      <c r="E1457" s="87">
        <v>2</v>
      </c>
      <c r="F1457" s="69">
        <v>15</v>
      </c>
      <c r="G1457" s="69">
        <v>15</v>
      </c>
      <c r="H1457" s="69" t="s">
        <v>41</v>
      </c>
      <c r="I1457" s="69" t="s">
        <v>852</v>
      </c>
      <c r="J1457" s="69" t="s">
        <v>320</v>
      </c>
      <c r="K1457" s="69">
        <f>IF(J1457="syllables",1,IF(J1457="trigrams",2,IF(J1457="strings",3,IF(J1457="visual array",4,IF(J1457="characters",5,IF(J1457="letters",6,IF(J1457="free forms",7,IF(J1457="odors",8,IF(J1457="words",9,IF(J1457="pictures",10,IF(J1457="object pictures",11,IF(J1457="faces",12,IF(J1457="names",13,IF(J1457="idioms",14,IF(J1457="grades",15,IF(J1457="syllable-digit pairs",16,IF(J1457="trigram-word pairs",17,IF(J1457="word-digit pairs",18,IF(J1457="English-Swahili pairs",19,IF(J1457="spatial position",20,IF(J1457="word pairs",21,IF(J1457="word triads",22,IF(J1457="generated words",23,IF(J1457="word definition pairs",24,IF(J1457="math problems",25,IF(J1457="famous faces",26,IF(J1457="famous names",27,IF(J1457="famous voices",28,IF(J1457="television programs",29,IF(J1457="race horses",30,IF(J1457="new vocabulary",31,IF(J1457="sentences",32,IF(J1457="concepts",33,IF(J1457="ad slides",34,IF(J1457="scenes",35,IF(J1457="famous scenes",36,IF(J1457="poems",37,IF(J1457="walk",38,IF(J1457="faces and events",39,IF(J1457="events and names",40,IF(J1457="flashbulb",41,IF(J1457="stories",42,IF(J1457="course material",43,IF(J1457="autobiographical",44,IF(J1457="novels",45,IF(J1457="public events",46,"99"))))))))))))))))))))))))))))))))))))))))))))))</f>
        <v>21</v>
      </c>
      <c r="L1457" s="69">
        <f>IF(J1457="syllables",1,IF(J1457="trigrams",1,IF(J1457="strings",1,IF(J1457="visual array",1,IF(J1457="characters",1,IF(J1457="letters",1,IF(J1457="free forms",1,IF(J1457="odors",2,IF(J1457="words",2,IF(J1457="pictures",2,IF(J1457="object pictures",2,IF(J1457="faces",2,IF(J1457="names",2,IF(J1457="idioms","2",IF(J1457="grades",2,IF(J1457="syllable-digit pairs",3,IF(J1457="trigram-word pairs",3,IF(J1457="word-digit pairs",3,IF(J1457="English-Swahili pairs",3,IF(J1457="spatial position",3,IF(J1457="word pairs",4,IF(J1457="word triads",4,IF(J1457="generated words",4,IF(J1457="word definition pairs",4,IF(J1457="math problems",4,IF(J1457="famous faces",4,IF(J1457="famous names",4,IF(J1457="famous voices",4,IF(J1457="television programs",4,IF(J1457="race horses",4,IF(J1457="new vocabulary",4,IF(J1457="sentences",5,IF(J1457="concepts",5,IF(J1457="ad slides",5,IF(J1457="scenes",5,IF(J1457="famous scenes",5,IF(J1457="poems",6,IF(J1457="walk",6,IF(J1457="faces and events",6,IF(J1457="events and names",6,IF(J1457="flashbulb",7,IF(J1457="stories",7,IF(J1457="course material",7,IF(J1457="autobiographical",7,IF(J1457="novels",7,IF(J1457="public events",7,"99"))))))))))))))))))))))))))))))))))))))))))))))</f>
        <v>4</v>
      </c>
      <c r="M1457" s="69">
        <v>0</v>
      </c>
      <c r="N1457" s="69">
        <v>1</v>
      </c>
      <c r="O1457" s="69">
        <v>1</v>
      </c>
      <c r="P1457" s="69" t="s">
        <v>53</v>
      </c>
      <c r="Q1457" s="69" t="s">
        <v>174</v>
      </c>
      <c r="R1457" s="69">
        <f>IF(Q1457="Free Recall",1,IF(Q1457="Cued Recall",2,IF(Q1457="Recognition",3,IF(Q1457="Multiple Choice",4,IF(Q1457="Savings",5,IF(Q1457="Stem Completion",6,IF(Q1457="Fragment Completion",7,IF(Q1457="anagram solution",8,IF(Q1457="Matching",9,IF(Q1457="Problem Solving",10,"99"))))))))))</f>
        <v>1</v>
      </c>
      <c r="S1457" s="69" t="s">
        <v>49</v>
      </c>
      <c r="T1457" s="92" t="s">
        <v>581</v>
      </c>
      <c r="U1457" s="69">
        <f>IF(T1457="within",1,0)</f>
        <v>1</v>
      </c>
      <c r="V1457" s="92">
        <v>25</v>
      </c>
      <c r="W1457" s="69">
        <f>F1457*V1457</f>
        <v>375</v>
      </c>
      <c r="X1457" s="69">
        <v>5</v>
      </c>
      <c r="Y1457" s="87">
        <f>AV1456</f>
        <v>2</v>
      </c>
      <c r="Z1457" s="69" t="s">
        <v>47</v>
      </c>
      <c r="AA1457" s="69">
        <v>32</v>
      </c>
      <c r="AB1457" s="69" t="str">
        <f>IF(AA1457&lt;60,"1",IF(AA1457&lt;=43200,"2",IF(AA1457&lt;=777600,"3","4")))</f>
        <v>1</v>
      </c>
      <c r="AC1457" s="72">
        <f>AVERAGE(AV1456:DA1456)</f>
        <v>12.4</v>
      </c>
      <c r="AD1457" s="69" t="str">
        <f>IF(AC1457&lt;60,"1",IF(AC1457&lt;=43200,"2",IF(AC1457&lt;=777600,"3","4")))</f>
        <v>1</v>
      </c>
      <c r="AE1457" s="87">
        <f>AA1457-Y1457</f>
        <v>30</v>
      </c>
      <c r="AF1457" s="88">
        <f>AV1457</f>
        <v>0.93200000000000005</v>
      </c>
      <c r="AG1457" s="72">
        <f>((AW1457-AV1457)+(AX1457-AW1457)+(AY1457-AX1457)+(AZ1457-AY1457))/4</f>
        <v>-0.12150000000000001</v>
      </c>
      <c r="AH1457" s="4"/>
      <c r="AI1457" s="72">
        <f>RSQ(AV1457:AZ1457,AV1456:AZ1456)</f>
        <v>0.95669360385920443</v>
      </c>
      <c r="AJ1457" s="110">
        <f>SLOPE(AV1457:AZ1457,AV1456:AZ1456)</f>
        <v>-1.4799731182795697E-2</v>
      </c>
      <c r="AK1457" s="72">
        <f>INTERCEPT(AV1457:AZ1457,AV1456:AZ1456)</f>
        <v>0.91391666666666671</v>
      </c>
      <c r="AL1457" s="72">
        <f>INDEX(LINEST(LN(AV1457:AZ1457),LN(AV1456:AZ1456),TRUE,TRUE),3,1)</f>
        <v>0.86960676723795605</v>
      </c>
      <c r="AM1457" s="72">
        <f>INDEX(LINEST(LN(AV1457:AZ1457),LN(AV1456:AZ1456)),1)</f>
        <v>-0.24168381202492392</v>
      </c>
      <c r="AN1457" s="72">
        <f>EXP(INDEX(LINEST(LN(AV1457:AZ1457),LN(AV1456:AZ1456)),1,2))</f>
        <v>1.1719001463677468</v>
      </c>
      <c r="AO1457" s="89">
        <f>INDEX(LINEST((AV1457:AZ1457),LN(AV1456:AZ1456),TRUE,TRUE),3,1)</f>
        <v>0.93042008025291134</v>
      </c>
      <c r="AP1457" s="89">
        <f>INDEX(LINEST((AV1457:AZ1457),LN(AV1456:AZ1456)),1)</f>
        <v>-0.16244746160409729</v>
      </c>
      <c r="AQ1457" s="90">
        <f>INDEX(LINEST(LN(AV1457:AZ1457),SQRT(AV1456:AZ1456),TRUE,TRUE),3,1)</f>
        <v>0.95039162861083804</v>
      </c>
      <c r="AR1457" s="117">
        <f>INDEX(LINEST(LN(AV1457:AZ1457),SQRT((AV1456:AZ1456))),1)</f>
        <v>-0.16372946765699081</v>
      </c>
      <c r="AS1457" s="91">
        <f>INDEX(LINEST(1/(AV1457:AZ1457),1/(SQRT(AV1456:AZ1456)),TRUE,TRUE),3,1)</f>
        <v>0.65073060227147395</v>
      </c>
      <c r="AT1457" s="91">
        <f>INDEX(LINEST(1/(AV1457:AZ1457),1/SQRT(AV1456:AZ1456)),1)</f>
        <v>-1.7582038200694603</v>
      </c>
      <c r="AU1457" s="3"/>
      <c r="AV1457" s="73">
        <v>0.93200000000000005</v>
      </c>
      <c r="AW1457" s="73">
        <v>0.84499999999999997</v>
      </c>
      <c r="AX1457" s="73">
        <v>0.73799999999999999</v>
      </c>
      <c r="AY1457" s="73">
        <v>0.69099999999999995</v>
      </c>
      <c r="AZ1457" s="73">
        <v>0.44600000000000001</v>
      </c>
      <c r="BA1457" s="42"/>
      <c r="BB1457" s="42"/>
      <c r="BC1457" s="2"/>
      <c r="BD1457" s="2"/>
      <c r="BE1457" s="2"/>
      <c r="BF1457" s="2"/>
      <c r="BG1457" s="2"/>
      <c r="BH1457" s="2"/>
      <c r="BI1457" s="2"/>
      <c r="BJ1457" s="2"/>
      <c r="BK1457" s="2"/>
      <c r="BL1457" s="2"/>
      <c r="BM1457" s="2"/>
      <c r="BN1457" s="2"/>
      <c r="BO1457" s="2"/>
      <c r="BP1457" s="2"/>
      <c r="BQ1457" s="2"/>
      <c r="BR1457" s="2"/>
      <c r="BS1457" s="2"/>
      <c r="BT1457" s="2"/>
      <c r="BU1457" s="2"/>
      <c r="BV1457" s="2"/>
      <c r="BW1457" s="2"/>
      <c r="BX1457" s="2"/>
      <c r="BY1457" s="2"/>
      <c r="BZ1457" s="2"/>
      <c r="CA1457" s="2"/>
      <c r="CB1457" s="2"/>
      <c r="CC1457" s="2"/>
      <c r="CD1457" s="2"/>
      <c r="CE1457" s="2"/>
      <c r="CF1457" s="2"/>
      <c r="CG1457" s="2"/>
      <c r="CH1457" s="2"/>
      <c r="CI1457" s="2"/>
      <c r="CJ1457" s="2"/>
      <c r="CK1457" s="2"/>
      <c r="CL1457" s="2"/>
      <c r="CM1457" s="2"/>
      <c r="CN1457" s="2"/>
      <c r="CO1457" s="2"/>
      <c r="CP1457" s="2"/>
      <c r="CQ1457" s="2"/>
      <c r="CR1457" s="1"/>
      <c r="CS1457" s="1"/>
      <c r="CT1457" s="1"/>
      <c r="CU1457" s="1"/>
    </row>
    <row r="1458" spans="1:99" s="13" customFormat="1" ht="12" customHeight="1" x14ac:dyDescent="0.2">
      <c r="A1458" s="68">
        <v>43509</v>
      </c>
      <c r="B1458" s="70"/>
      <c r="C1458" s="70"/>
      <c r="D1458" s="69"/>
      <c r="E1458" s="87"/>
      <c r="F1458" s="69"/>
      <c r="G1458" s="69"/>
      <c r="H1458" s="69"/>
      <c r="I1458" s="69"/>
      <c r="J1458" s="69"/>
      <c r="K1458" s="107"/>
      <c r="L1458" s="107"/>
      <c r="M1458" s="69"/>
      <c r="N1458" s="69"/>
      <c r="O1458" s="69"/>
      <c r="P1458" s="69"/>
      <c r="Q1458" s="69"/>
      <c r="R1458" s="69"/>
      <c r="S1458" s="69"/>
      <c r="T1458" s="92"/>
      <c r="U1458" s="69"/>
      <c r="V1458" s="69"/>
      <c r="W1458" s="69"/>
      <c r="X1458" s="69"/>
      <c r="Y1458" s="87"/>
      <c r="Z1458" s="69"/>
      <c r="AA1458" s="69"/>
      <c r="AB1458" s="69"/>
      <c r="AC1458" s="69"/>
      <c r="AD1458" s="69"/>
      <c r="AE1458" s="69"/>
      <c r="AF1458" s="88"/>
      <c r="AG1458" s="72"/>
      <c r="AH1458" s="4"/>
      <c r="AI1458" s="72"/>
      <c r="AJ1458" s="110"/>
      <c r="AK1458" s="72"/>
      <c r="AL1458" s="72"/>
      <c r="AM1458" s="72"/>
      <c r="AN1458" s="72"/>
      <c r="AO1458" s="89"/>
      <c r="AP1458" s="89"/>
      <c r="AQ1458" s="72"/>
      <c r="AR1458" s="110"/>
      <c r="AS1458" s="72"/>
      <c r="AT1458" s="72"/>
      <c r="AU1458" s="3"/>
      <c r="AV1458" s="71">
        <v>2</v>
      </c>
      <c r="AW1458" s="71">
        <v>4</v>
      </c>
      <c r="AX1458" s="71">
        <v>8</v>
      </c>
      <c r="AY1458" s="71">
        <v>16</v>
      </c>
      <c r="AZ1458" s="71">
        <v>32</v>
      </c>
      <c r="BA1458" s="42"/>
      <c r="BB1458" s="42"/>
      <c r="BC1458" s="2"/>
      <c r="BD1458" s="2"/>
      <c r="BE1458" s="2"/>
      <c r="BF1458" s="2"/>
      <c r="BG1458" s="2"/>
      <c r="BH1458" s="2"/>
      <c r="BI1458" s="2"/>
      <c r="BJ1458" s="2"/>
      <c r="BK1458" s="2"/>
      <c r="BL1458" s="2"/>
      <c r="BM1458" s="2"/>
      <c r="BN1458" s="2"/>
      <c r="BO1458" s="2"/>
      <c r="BP1458" s="2"/>
      <c r="BQ1458" s="2"/>
      <c r="BR1458" s="2"/>
      <c r="BS1458" s="2"/>
      <c r="BT1458" s="2"/>
      <c r="BU1458" s="2"/>
      <c r="BV1458" s="2"/>
      <c r="BW1458" s="2"/>
      <c r="BX1458" s="2"/>
      <c r="BY1458" s="2"/>
      <c r="BZ1458" s="2"/>
      <c r="CA1458" s="2"/>
      <c r="CB1458" s="2"/>
      <c r="CC1458" s="2"/>
      <c r="CD1458" s="2"/>
      <c r="CE1458" s="2"/>
      <c r="CF1458" s="2"/>
      <c r="CG1458" s="2"/>
      <c r="CH1458" s="2"/>
      <c r="CI1458" s="2"/>
      <c r="CJ1458" s="2"/>
      <c r="CK1458" s="2"/>
      <c r="CL1458" s="2"/>
      <c r="CM1458" s="2"/>
      <c r="CN1458" s="2"/>
      <c r="CO1458" s="2"/>
      <c r="CP1458" s="2"/>
      <c r="CQ1458" s="2"/>
      <c r="CR1458" s="1"/>
      <c r="CS1458" s="1"/>
      <c r="CT1458" s="1"/>
      <c r="CU1458" s="1"/>
    </row>
    <row r="1459" spans="1:99" s="13" customFormat="1" ht="12" customHeight="1" x14ac:dyDescent="0.2">
      <c r="A1459" s="68">
        <v>43509</v>
      </c>
      <c r="B1459" s="70" t="s">
        <v>258</v>
      </c>
      <c r="C1459" s="70" t="s">
        <v>45</v>
      </c>
      <c r="D1459" s="69">
        <v>2012</v>
      </c>
      <c r="E1459" s="87">
        <v>2</v>
      </c>
      <c r="F1459" s="69">
        <v>15</v>
      </c>
      <c r="G1459" s="69">
        <v>15</v>
      </c>
      <c r="H1459" s="69" t="s">
        <v>41</v>
      </c>
      <c r="I1459" s="69" t="s">
        <v>854</v>
      </c>
      <c r="J1459" s="69" t="s">
        <v>320</v>
      </c>
      <c r="K1459" s="69">
        <f>IF(J1459="syllables",1,IF(J1459="trigrams",2,IF(J1459="strings",3,IF(J1459="visual array",4,IF(J1459="characters",5,IF(J1459="letters",6,IF(J1459="free forms",7,IF(J1459="odors",8,IF(J1459="words",9,IF(J1459="pictures",10,IF(J1459="object pictures",11,IF(J1459="faces",12,IF(J1459="names",13,IF(J1459="idioms",14,IF(J1459="grades",15,IF(J1459="syllable-digit pairs",16,IF(J1459="trigram-word pairs",17,IF(J1459="word-digit pairs",18,IF(J1459="English-Swahili pairs",19,IF(J1459="spatial position",20,IF(J1459="word pairs",21,IF(J1459="word triads",22,IF(J1459="generated words",23,IF(J1459="word definition pairs",24,IF(J1459="math problems",25,IF(J1459="famous faces",26,IF(J1459="famous names",27,IF(J1459="famous voices",28,IF(J1459="television programs",29,IF(J1459="race horses",30,IF(J1459="new vocabulary",31,IF(J1459="sentences",32,IF(J1459="concepts",33,IF(J1459="ad slides",34,IF(J1459="scenes",35,IF(J1459="famous scenes",36,IF(J1459="poems",37,IF(J1459="walk",38,IF(J1459="faces and events",39,IF(J1459="events and names",40,IF(J1459="flashbulb",41,IF(J1459="stories",42,IF(J1459="course material",43,IF(J1459="autobiographical",44,IF(J1459="novels",45,IF(J1459="public events",46,"99"))))))))))))))))))))))))))))))))))))))))))))))</f>
        <v>21</v>
      </c>
      <c r="L1459" s="69">
        <f>IF(J1459="syllables",1,IF(J1459="trigrams",1,IF(J1459="strings",1,IF(J1459="visual array",1,IF(J1459="characters",1,IF(J1459="letters",1,IF(J1459="free forms",1,IF(J1459="odors",2,IF(J1459="words",2,IF(J1459="pictures",2,IF(J1459="object pictures",2,IF(J1459="faces",2,IF(J1459="names",2,IF(J1459="idioms","2",IF(J1459="grades",2,IF(J1459="syllable-digit pairs",3,IF(J1459="trigram-word pairs",3,IF(J1459="word-digit pairs",3,IF(J1459="English-Swahili pairs",3,IF(J1459="spatial position",3,IF(J1459="word pairs",4,IF(J1459="word triads",4,IF(J1459="generated words",4,IF(J1459="word definition pairs",4,IF(J1459="math problems",4,IF(J1459="famous faces",4,IF(J1459="famous names",4,IF(J1459="famous voices",4,IF(J1459="television programs",4,IF(J1459="race horses",4,IF(J1459="new vocabulary",4,IF(J1459="sentences",5,IF(J1459="concepts",5,IF(J1459="ad slides",5,IF(J1459="scenes",5,IF(J1459="famous scenes",5,IF(J1459="poems",6,IF(J1459="walk",6,IF(J1459="faces and events",6,IF(J1459="events and names",6,IF(J1459="flashbulb",7,IF(J1459="stories",7,IF(J1459="course material",7,IF(J1459="autobiographical",7,IF(J1459="novels",7,IF(J1459="public events",7,"99"))))))))))))))))))))))))))))))))))))))))))))))</f>
        <v>4</v>
      </c>
      <c r="M1459" s="69">
        <v>0</v>
      </c>
      <c r="N1459" s="69">
        <v>1</v>
      </c>
      <c r="O1459" s="69">
        <v>1</v>
      </c>
      <c r="P1459" s="69" t="s">
        <v>53</v>
      </c>
      <c r="Q1459" s="69" t="s">
        <v>174</v>
      </c>
      <c r="R1459" s="69">
        <f>IF(Q1459="Free Recall",1,IF(Q1459="Cued Recall",2,IF(Q1459="Recognition",3,IF(Q1459="Multiple Choice",4,IF(Q1459="Savings",5,IF(Q1459="Stem Completion",6,IF(Q1459="Fragment Completion",7,IF(Q1459="anagram solution",8,IF(Q1459="Matching",9,IF(Q1459="Problem Solving",10,"99"))))))))))</f>
        <v>1</v>
      </c>
      <c r="S1459" s="69" t="s">
        <v>49</v>
      </c>
      <c r="T1459" s="92" t="s">
        <v>581</v>
      </c>
      <c r="U1459" s="69">
        <f>IF(T1459="within",1,0)</f>
        <v>1</v>
      </c>
      <c r="V1459" s="92">
        <v>25</v>
      </c>
      <c r="W1459" s="69">
        <f>F1459*V1459</f>
        <v>375</v>
      </c>
      <c r="X1459" s="69">
        <v>5</v>
      </c>
      <c r="Y1459" s="87">
        <f>AV1458</f>
        <v>2</v>
      </c>
      <c r="Z1459" s="69" t="s">
        <v>47</v>
      </c>
      <c r="AA1459" s="69">
        <v>32</v>
      </c>
      <c r="AB1459" s="69" t="str">
        <f>IF(AA1459&lt;60,"1",IF(AA1459&lt;=43200,"2",IF(AA1459&lt;=777600,"3","4")))</f>
        <v>1</v>
      </c>
      <c r="AC1459" s="72">
        <f>AVERAGE(AV1458:DA1458)</f>
        <v>12.4</v>
      </c>
      <c r="AD1459" s="69" t="str">
        <f>IF(AC1459&lt;60,"1",IF(AC1459&lt;=43200,"2",IF(AC1459&lt;=777600,"3","4")))</f>
        <v>1</v>
      </c>
      <c r="AE1459" s="87">
        <f>AA1459-Y1459</f>
        <v>30</v>
      </c>
      <c r="AF1459" s="88">
        <f>AV1459</f>
        <v>0.92</v>
      </c>
      <c r="AG1459" s="72">
        <f>((AW1459-AV1459)+(AX1459-AW1459)+(AY1459-AX1459)+(AZ1459-AY1459))/4</f>
        <v>-4.3500000000000011E-2</v>
      </c>
      <c r="AH1459" s="4"/>
      <c r="AI1459" s="72">
        <f>RSQ(AV1459:AZ1459,AV1458:AZ1458)</f>
        <v>0.41716435433924565</v>
      </c>
      <c r="AJ1459" s="110">
        <f>SLOPE(AV1459:AZ1459,AV1458:AZ1458)</f>
        <v>-4.2587365591397848E-3</v>
      </c>
      <c r="AK1459" s="72">
        <f>INTERCEPT(AV1459:AZ1459,AV1458:AZ1458)</f>
        <v>0.87220833333333325</v>
      </c>
      <c r="AL1459" s="72">
        <f>INDEX(LINEST(LN(AV1459:AZ1459),LN(AV1458:AZ1458),TRUE,TRUE),3,1)</f>
        <v>0.58630872385104582</v>
      </c>
      <c r="AM1459" s="72">
        <f>INDEX(LINEST(LN(AV1459:AZ1459),LN(AV1458:AZ1458)),1)</f>
        <v>-6.8650399587453712E-2</v>
      </c>
      <c r="AN1459" s="72">
        <f>EXP(INDEX(LINEST(LN(AV1459:AZ1459),LN(AV1458:AZ1458)),1,2))</f>
        <v>0.94149334128308138</v>
      </c>
      <c r="AO1459" s="89">
        <f>INDEX(LINEST((AV1459:AZ1459),LN(AV1458:AZ1458),TRUE,TRUE),3,1)</f>
        <v>0.60600064922016306</v>
      </c>
      <c r="AP1459" s="89">
        <f>INDEX(LINEST((AV1459:AZ1459),LN(AV1458:AZ1458)),1)</f>
        <v>-5.7130723619202954E-2</v>
      </c>
      <c r="AQ1459" s="90">
        <f>INDEX(LINEST(LN(AV1459:AZ1459),SQRT(AV1458:AZ1458),TRUE,TRUE),3,1)</f>
        <v>0.49343733333356449</v>
      </c>
      <c r="AR1459" s="117">
        <f>INDEX(LINEST(LN(AV1459:AZ1459),SQRT((AV1458:AZ1458))),1)</f>
        <v>-4.0811761077559475E-2</v>
      </c>
      <c r="AS1459" s="91">
        <f>INDEX(LINEST(1/(AV1459:AZ1459),1/(SQRT(AV1458:AZ1458)),TRUE,TRUE),3,1)</f>
        <v>0.62485601415116021</v>
      </c>
      <c r="AT1459" s="91">
        <f>INDEX(LINEST(1/(AV1459:AZ1459),1/SQRT(AV1458:AZ1458)),1)</f>
        <v>-0.4508618156927291</v>
      </c>
      <c r="AU1459" s="3"/>
      <c r="AV1459" s="73">
        <v>0.92</v>
      </c>
      <c r="AW1459" s="73">
        <v>0.873</v>
      </c>
      <c r="AX1459" s="73">
        <v>0.73299999999999998</v>
      </c>
      <c r="AY1459" s="73">
        <v>0.82499999999999996</v>
      </c>
      <c r="AZ1459" s="73">
        <v>0.746</v>
      </c>
      <c r="BA1459" s="42"/>
      <c r="BB1459" s="42"/>
      <c r="BC1459" s="2"/>
      <c r="BD1459" s="2"/>
      <c r="BE1459" s="2"/>
      <c r="BF1459" s="2"/>
      <c r="BG1459" s="2"/>
      <c r="BH1459" s="2"/>
      <c r="BI1459" s="2"/>
      <c r="BJ1459" s="2"/>
      <c r="BK1459" s="2"/>
      <c r="BL1459" s="2"/>
      <c r="BM1459" s="2"/>
      <c r="BN1459" s="2"/>
      <c r="BO1459" s="2"/>
      <c r="BP1459" s="2"/>
      <c r="BQ1459" s="2"/>
      <c r="BR1459" s="2"/>
      <c r="BS1459" s="2"/>
      <c r="BT1459" s="2"/>
      <c r="BU1459" s="2"/>
      <c r="BV1459" s="2"/>
      <c r="BW1459" s="2"/>
      <c r="BX1459" s="2"/>
      <c r="BY1459" s="2"/>
      <c r="BZ1459" s="2"/>
      <c r="CA1459" s="2"/>
      <c r="CB1459" s="2"/>
      <c r="CC1459" s="2"/>
      <c r="CD1459" s="2"/>
      <c r="CE1459" s="2"/>
      <c r="CF1459" s="2"/>
      <c r="CG1459" s="2"/>
      <c r="CH1459" s="2"/>
      <c r="CI1459" s="2"/>
      <c r="CJ1459" s="2"/>
      <c r="CK1459" s="2"/>
      <c r="CL1459" s="2"/>
      <c r="CM1459" s="2"/>
      <c r="CN1459" s="2"/>
      <c r="CO1459" s="2"/>
      <c r="CP1459" s="2"/>
      <c r="CQ1459" s="2"/>
      <c r="CR1459" s="1"/>
      <c r="CS1459" s="1"/>
      <c r="CT1459" s="1"/>
      <c r="CU1459" s="1"/>
    </row>
    <row r="1460" spans="1:99" s="13" customFormat="1" ht="12" customHeight="1" x14ac:dyDescent="0.2">
      <c r="A1460" s="68">
        <v>43509</v>
      </c>
      <c r="B1460" s="70"/>
      <c r="C1460" s="70"/>
      <c r="D1460" s="69"/>
      <c r="E1460" s="87"/>
      <c r="F1460" s="69"/>
      <c r="G1460" s="69"/>
      <c r="H1460" s="69"/>
      <c r="I1460" s="69"/>
      <c r="J1460" s="69"/>
      <c r="K1460" s="107"/>
      <c r="L1460" s="107"/>
      <c r="M1460" s="69"/>
      <c r="N1460" s="69"/>
      <c r="O1460" s="69"/>
      <c r="P1460" s="69"/>
      <c r="Q1460" s="69"/>
      <c r="R1460" s="69"/>
      <c r="S1460" s="69"/>
      <c r="T1460" s="92"/>
      <c r="U1460" s="69"/>
      <c r="V1460" s="69"/>
      <c r="W1460" s="69"/>
      <c r="X1460" s="69"/>
      <c r="Y1460" s="87"/>
      <c r="Z1460" s="69"/>
      <c r="AA1460" s="69"/>
      <c r="AB1460" s="69"/>
      <c r="AC1460" s="69"/>
      <c r="AD1460" s="69"/>
      <c r="AE1460" s="69"/>
      <c r="AF1460" s="88"/>
      <c r="AG1460" s="72"/>
      <c r="AH1460" s="4"/>
      <c r="AI1460" s="72"/>
      <c r="AJ1460" s="110"/>
      <c r="AK1460" s="72"/>
      <c r="AL1460" s="72"/>
      <c r="AM1460" s="72"/>
      <c r="AN1460" s="72"/>
      <c r="AO1460" s="89"/>
      <c r="AP1460" s="89"/>
      <c r="AQ1460" s="72"/>
      <c r="AR1460" s="110"/>
      <c r="AS1460" s="72"/>
      <c r="AT1460" s="72"/>
      <c r="AU1460" s="3"/>
      <c r="AV1460" s="71">
        <v>2</v>
      </c>
      <c r="AW1460" s="71">
        <v>4</v>
      </c>
      <c r="AX1460" s="71">
        <v>8</v>
      </c>
      <c r="AY1460" s="71">
        <v>16</v>
      </c>
      <c r="AZ1460" s="71">
        <v>32</v>
      </c>
      <c r="BA1460" s="42"/>
      <c r="BB1460" s="42"/>
      <c r="BC1460" s="2"/>
      <c r="BD1460" s="2"/>
      <c r="BE1460" s="2"/>
      <c r="BF1460" s="2"/>
      <c r="BG1460" s="2"/>
      <c r="BH1460" s="2"/>
      <c r="BI1460" s="2"/>
      <c r="BJ1460" s="2"/>
      <c r="BK1460" s="2"/>
      <c r="BL1460" s="2"/>
      <c r="BM1460" s="2"/>
      <c r="BN1460" s="2"/>
      <c r="BO1460" s="2"/>
      <c r="BP1460" s="2"/>
      <c r="BQ1460" s="2"/>
      <c r="BR1460" s="2"/>
      <c r="BS1460" s="2"/>
      <c r="BT1460" s="2"/>
      <c r="BU1460" s="2"/>
      <c r="BV1460" s="2"/>
      <c r="BW1460" s="2"/>
      <c r="BX1460" s="2"/>
      <c r="BY1460" s="2"/>
      <c r="BZ1460" s="2"/>
      <c r="CA1460" s="2"/>
      <c r="CB1460" s="2"/>
      <c r="CC1460" s="2"/>
      <c r="CD1460" s="2"/>
      <c r="CE1460" s="2"/>
      <c r="CF1460" s="2"/>
      <c r="CG1460" s="2"/>
      <c r="CH1460" s="2"/>
      <c r="CI1460" s="2"/>
      <c r="CJ1460" s="2"/>
      <c r="CK1460" s="2"/>
      <c r="CL1460" s="2"/>
      <c r="CM1460" s="2"/>
      <c r="CN1460" s="2"/>
      <c r="CO1460" s="2"/>
      <c r="CP1460" s="2"/>
      <c r="CQ1460" s="2"/>
      <c r="CR1460" s="1"/>
      <c r="CS1460" s="1"/>
      <c r="CT1460" s="1"/>
      <c r="CU1460" s="1"/>
    </row>
    <row r="1461" spans="1:99" s="13" customFormat="1" ht="12" customHeight="1" x14ac:dyDescent="0.2">
      <c r="A1461" s="68">
        <v>43509</v>
      </c>
      <c r="B1461" s="70" t="s">
        <v>258</v>
      </c>
      <c r="C1461" s="70" t="s">
        <v>45</v>
      </c>
      <c r="D1461" s="69">
        <v>2012</v>
      </c>
      <c r="E1461" s="87">
        <v>2</v>
      </c>
      <c r="F1461" s="69">
        <v>15</v>
      </c>
      <c r="G1461" s="69">
        <v>15</v>
      </c>
      <c r="H1461" s="69" t="s">
        <v>41</v>
      </c>
      <c r="I1461" s="69" t="s">
        <v>855</v>
      </c>
      <c r="J1461" s="69" t="s">
        <v>320</v>
      </c>
      <c r="K1461" s="69">
        <f>IF(J1461="syllables",1,IF(J1461="trigrams",2,IF(J1461="strings",3,IF(J1461="visual array",4,IF(J1461="characters",5,IF(J1461="letters",6,IF(J1461="free forms",7,IF(J1461="odors",8,IF(J1461="words",9,IF(J1461="pictures",10,IF(J1461="object pictures",11,IF(J1461="faces",12,IF(J1461="names",13,IF(J1461="idioms",14,IF(J1461="grades",15,IF(J1461="syllable-digit pairs",16,IF(J1461="trigram-word pairs",17,IF(J1461="word-digit pairs",18,IF(J1461="English-Swahili pairs",19,IF(J1461="spatial position",20,IF(J1461="word pairs",21,IF(J1461="word triads",22,IF(J1461="generated words",23,IF(J1461="word definition pairs",24,IF(J1461="math problems",25,IF(J1461="famous faces",26,IF(J1461="famous names",27,IF(J1461="famous voices",28,IF(J1461="television programs",29,IF(J1461="race horses",30,IF(J1461="new vocabulary",31,IF(J1461="sentences",32,IF(J1461="concepts",33,IF(J1461="ad slides",34,IF(J1461="scenes",35,IF(J1461="famous scenes",36,IF(J1461="poems",37,IF(J1461="walk",38,IF(J1461="faces and events",39,IF(J1461="events and names",40,IF(J1461="flashbulb",41,IF(J1461="stories",42,IF(J1461="course material",43,IF(J1461="autobiographical",44,IF(J1461="novels",45,IF(J1461="public events",46,"99"))))))))))))))))))))))))))))))))))))))))))))))</f>
        <v>21</v>
      </c>
      <c r="L1461" s="69">
        <f>IF(J1461="syllables",1,IF(J1461="trigrams",1,IF(J1461="strings",1,IF(J1461="visual array",1,IF(J1461="characters",1,IF(J1461="letters",1,IF(J1461="free forms",1,IF(J1461="odors",2,IF(J1461="words",2,IF(J1461="pictures",2,IF(J1461="object pictures",2,IF(J1461="faces",2,IF(J1461="names",2,IF(J1461="idioms","2",IF(J1461="grades",2,IF(J1461="syllable-digit pairs",3,IF(J1461="trigram-word pairs",3,IF(J1461="word-digit pairs",3,IF(J1461="English-Swahili pairs",3,IF(J1461="spatial position",3,IF(J1461="word pairs",4,IF(J1461="word triads",4,IF(J1461="generated words",4,IF(J1461="word definition pairs",4,IF(J1461="math problems",4,IF(J1461="famous faces",4,IF(J1461="famous names",4,IF(J1461="famous voices",4,IF(J1461="television programs",4,IF(J1461="race horses",4,IF(J1461="new vocabulary",4,IF(J1461="sentences",5,IF(J1461="concepts",5,IF(J1461="ad slides",5,IF(J1461="scenes",5,IF(J1461="famous scenes",5,IF(J1461="poems",6,IF(J1461="walk",6,IF(J1461="faces and events",6,IF(J1461="events and names",6,IF(J1461="flashbulb",7,IF(J1461="stories",7,IF(J1461="course material",7,IF(J1461="autobiographical",7,IF(J1461="novels",7,IF(J1461="public events",7,"99"))))))))))))))))))))))))))))))))))))))))))))))</f>
        <v>4</v>
      </c>
      <c r="M1461" s="69">
        <v>0</v>
      </c>
      <c r="N1461" s="69">
        <v>1</v>
      </c>
      <c r="O1461" s="69">
        <v>1</v>
      </c>
      <c r="P1461" s="69" t="s">
        <v>53</v>
      </c>
      <c r="Q1461" s="69" t="s">
        <v>174</v>
      </c>
      <c r="R1461" s="69">
        <f>IF(Q1461="Free Recall",1,IF(Q1461="Cued Recall",2,IF(Q1461="Recognition",3,IF(Q1461="Multiple Choice",4,IF(Q1461="Savings",5,IF(Q1461="Stem Completion",6,IF(Q1461="Fragment Completion",7,IF(Q1461="anagram solution",8,IF(Q1461="Matching",9,IF(Q1461="Problem Solving",10,"99"))))))))))</f>
        <v>1</v>
      </c>
      <c r="S1461" s="69" t="s">
        <v>49</v>
      </c>
      <c r="T1461" s="92" t="s">
        <v>581</v>
      </c>
      <c r="U1461" s="69">
        <f>IF(T1461="within",1,0)</f>
        <v>1</v>
      </c>
      <c r="V1461" s="92">
        <v>25</v>
      </c>
      <c r="W1461" s="69">
        <f>F1461*V1461</f>
        <v>375</v>
      </c>
      <c r="X1461" s="69">
        <v>5</v>
      </c>
      <c r="Y1461" s="87">
        <f>AV1460</f>
        <v>2</v>
      </c>
      <c r="Z1461" s="69" t="s">
        <v>47</v>
      </c>
      <c r="AA1461" s="69">
        <v>32</v>
      </c>
      <c r="AB1461" s="69" t="str">
        <f>IF(AA1461&lt;60,"1",IF(AA1461&lt;=43200,"2",IF(AA1461&lt;=777600,"3","4")))</f>
        <v>1</v>
      </c>
      <c r="AC1461" s="72">
        <f>AVERAGE(AV1460:DA1460)</f>
        <v>12.4</v>
      </c>
      <c r="AD1461" s="69" t="str">
        <f>IF(AC1461&lt;60,"1",IF(AC1461&lt;=43200,"2",IF(AC1461&lt;=777600,"3","4")))</f>
        <v>1</v>
      </c>
      <c r="AE1461" s="87">
        <f>AA1461-Y1461</f>
        <v>30</v>
      </c>
      <c r="AF1461" s="88">
        <f>AV1461</f>
        <v>0.95199999999999996</v>
      </c>
      <c r="AG1461" s="72">
        <f>((AW1461-AV1461)+(AX1461-AW1461)+(AY1461-AX1461)+(AZ1461-AY1461))/4</f>
        <v>-6.3E-2</v>
      </c>
      <c r="AH1461" s="4"/>
      <c r="AI1461" s="72">
        <f>RSQ(AV1461:AZ1461,AV1460:AZ1460)</f>
        <v>0.4098632696574025</v>
      </c>
      <c r="AJ1461" s="110">
        <f>SLOPE(AV1461:AZ1461,AV1460:AZ1460)</f>
        <v>-6.4549731182795686E-3</v>
      </c>
      <c r="AK1461" s="72">
        <f>INTERCEPT(AV1461:AZ1461,AV1460:AZ1460)</f>
        <v>0.84504166666666658</v>
      </c>
      <c r="AL1461" s="72">
        <f>INDEX(LINEST(LN(AV1461:AZ1461),LN(AV1460:AZ1460),TRUE,TRUE),3,1)</f>
        <v>0.75966121544029841</v>
      </c>
      <c r="AM1461" s="72">
        <f>INDEX(LINEST(LN(AV1461:AZ1461),LN(AV1460:AZ1460)),1)</f>
        <v>-0.12311677041685908</v>
      </c>
      <c r="AN1461" s="72">
        <f>EXP(INDEX(LINEST(LN(AV1461:AZ1461),LN(AV1460:AZ1460)),1,2))</f>
        <v>0.97853658132940291</v>
      </c>
      <c r="AO1461" s="89">
        <f>INDEX(LINEST((AV1461:AZ1461),LN(AV1460:AZ1460),TRUE,TRUE),3,1)</f>
        <v>0.76195048588616376</v>
      </c>
      <c r="AP1461" s="89">
        <f>INDEX(LINEST((AV1461:AZ1461),LN(AV1460:AZ1460)),1)</f>
        <v>-9.7958993276360623E-2</v>
      </c>
      <c r="AQ1461" s="90">
        <f>INDEX(LINEST(LN(AV1461:AZ1461),SQRT(AV1460:AZ1460),TRUE,TRUE),3,1)</f>
        <v>0.57848422886559858</v>
      </c>
      <c r="AR1461" s="117">
        <f>INDEX(LINEST(LN(AV1461:AZ1461),SQRT((AV1460:AZ1460))),1)</f>
        <v>-6.9621350111549005E-2</v>
      </c>
      <c r="AS1461" s="91">
        <f>INDEX(LINEST(1/(AV1461:AZ1461),1/(SQRT(AV1460:AZ1460)),TRUE,TRUE),3,1)</f>
        <v>0.87025911973024939</v>
      </c>
      <c r="AT1461" s="91">
        <f>INDEX(LINEST(1/(AV1461:AZ1461),1/SQRT(AV1460:AZ1460)),1)</f>
        <v>-0.87072782058242415</v>
      </c>
      <c r="AU1461" s="3"/>
      <c r="AV1461" s="73">
        <v>0.95199999999999996</v>
      </c>
      <c r="AW1461" s="73">
        <v>0.82499999999999996</v>
      </c>
      <c r="AX1461" s="73">
        <v>0.69799999999999995</v>
      </c>
      <c r="AY1461" s="73">
        <v>0.65</v>
      </c>
      <c r="AZ1461" s="73">
        <v>0.7</v>
      </c>
      <c r="BA1461" s="42"/>
      <c r="BB1461" s="42"/>
      <c r="BC1461" s="2"/>
      <c r="BD1461" s="2"/>
      <c r="BE1461" s="2"/>
      <c r="BF1461" s="2"/>
      <c r="BG1461" s="2"/>
      <c r="BH1461" s="2"/>
      <c r="BI1461" s="2"/>
      <c r="BJ1461" s="2"/>
      <c r="BK1461" s="2"/>
      <c r="BL1461" s="2"/>
      <c r="BM1461" s="2"/>
      <c r="BN1461" s="2"/>
      <c r="BO1461" s="2"/>
      <c r="BP1461" s="2"/>
      <c r="BQ1461" s="2"/>
      <c r="BR1461" s="2"/>
      <c r="BS1461" s="2"/>
      <c r="BT1461" s="2"/>
      <c r="BU1461" s="2"/>
      <c r="BV1461" s="2"/>
      <c r="BW1461" s="2"/>
      <c r="BX1461" s="2"/>
      <c r="BY1461" s="2"/>
      <c r="BZ1461" s="2"/>
      <c r="CA1461" s="2"/>
      <c r="CB1461" s="2"/>
      <c r="CC1461" s="2"/>
      <c r="CD1461" s="2"/>
      <c r="CE1461" s="2"/>
      <c r="CF1461" s="2"/>
      <c r="CG1461" s="2"/>
      <c r="CH1461" s="2"/>
      <c r="CI1461" s="2"/>
      <c r="CJ1461" s="2"/>
      <c r="CK1461" s="2"/>
      <c r="CL1461" s="2"/>
      <c r="CM1461" s="2"/>
      <c r="CN1461" s="2"/>
      <c r="CO1461" s="2"/>
      <c r="CP1461" s="2"/>
      <c r="CQ1461" s="2"/>
      <c r="CR1461" s="1"/>
      <c r="CS1461" s="1"/>
      <c r="CT1461" s="1"/>
      <c r="CU1461" s="1"/>
    </row>
    <row r="1462" spans="1:99" s="13" customFormat="1" ht="12" customHeight="1" x14ac:dyDescent="0.2">
      <c r="A1462" s="65">
        <v>43979</v>
      </c>
      <c r="B1462" s="1"/>
      <c r="C1462" s="1"/>
      <c r="D1462" s="60"/>
      <c r="E1462" s="76"/>
      <c r="F1462" s="60"/>
      <c r="G1462" s="60"/>
      <c r="H1462" s="60"/>
      <c r="I1462" s="60"/>
      <c r="J1462" s="60"/>
      <c r="K1462" s="60"/>
      <c r="L1462" s="60"/>
      <c r="M1462" s="60"/>
      <c r="N1462" s="60"/>
      <c r="O1462" s="60"/>
      <c r="P1462" s="60"/>
      <c r="Q1462" s="60"/>
      <c r="R1462" s="60"/>
      <c r="S1462" s="60"/>
      <c r="T1462" s="59"/>
      <c r="U1462" s="60"/>
      <c r="V1462" s="59"/>
      <c r="W1462" s="60"/>
      <c r="X1462" s="60"/>
      <c r="Y1462" s="76"/>
      <c r="Z1462" s="60"/>
      <c r="AA1462" s="60"/>
      <c r="AB1462" s="60"/>
      <c r="AC1462" s="56"/>
      <c r="AD1462" s="60"/>
      <c r="AE1462" s="76"/>
      <c r="AF1462" s="80"/>
      <c r="AG1462" s="56"/>
      <c r="AH1462" s="4"/>
      <c r="AI1462" s="56"/>
      <c r="AJ1462" s="109"/>
      <c r="AK1462" s="56"/>
      <c r="AL1462" s="56"/>
      <c r="AM1462" s="56"/>
      <c r="AN1462" s="56"/>
      <c r="AO1462" s="82"/>
      <c r="AP1462" s="82"/>
      <c r="AQ1462" s="83"/>
      <c r="AR1462" s="116"/>
      <c r="AS1462" s="84"/>
      <c r="AT1462" s="84"/>
      <c r="AU1462" s="3"/>
      <c r="AV1462" s="25">
        <v>30</v>
      </c>
      <c r="AW1462" s="25">
        <f>60*60</f>
        <v>3600</v>
      </c>
      <c r="AX1462" s="25">
        <f>60*60*24*7*6</f>
        <v>3628800</v>
      </c>
      <c r="AY1462" s="53"/>
      <c r="AZ1462" s="53" t="s">
        <v>947</v>
      </c>
      <c r="BA1462" s="53"/>
      <c r="BB1462" s="53"/>
      <c r="BC1462" s="53"/>
      <c r="BD1462" s="53"/>
      <c r="BE1462" s="53"/>
      <c r="BF1462" s="53"/>
      <c r="BG1462" s="53"/>
      <c r="BH1462" s="53"/>
      <c r="BI1462" s="53"/>
      <c r="BJ1462" s="53"/>
      <c r="BK1462" s="53"/>
      <c r="BL1462" s="53"/>
      <c r="BM1462" s="53"/>
      <c r="BN1462" s="53"/>
      <c r="BO1462" s="53"/>
      <c r="BP1462" s="53"/>
      <c r="BQ1462" s="53"/>
      <c r="BR1462" s="53"/>
      <c r="BS1462" s="53"/>
      <c r="BT1462" s="53"/>
      <c r="BU1462" s="53"/>
      <c r="BV1462" s="53"/>
      <c r="BW1462" s="53"/>
      <c r="BX1462" s="53"/>
      <c r="BY1462" s="53"/>
      <c r="BZ1462" s="53"/>
      <c r="CA1462" s="53"/>
      <c r="CB1462" s="53"/>
      <c r="CC1462" s="53"/>
      <c r="CD1462" s="53"/>
      <c r="CE1462" s="53"/>
      <c r="CF1462" s="53"/>
      <c r="CG1462" s="53"/>
      <c r="CH1462" s="53"/>
      <c r="CI1462" s="53"/>
      <c r="CJ1462" s="53"/>
      <c r="CK1462" s="53"/>
      <c r="CL1462" s="53"/>
      <c r="CM1462" s="53"/>
      <c r="CN1462" s="53"/>
      <c r="CO1462" s="53"/>
      <c r="CP1462" s="53"/>
      <c r="CQ1462" s="53"/>
      <c r="CR1462" s="1"/>
      <c r="CS1462" s="1"/>
      <c r="CT1462" s="1"/>
      <c r="CU1462" s="1"/>
    </row>
    <row r="1463" spans="1:99" s="13" customFormat="1" ht="12" customHeight="1" x14ac:dyDescent="0.2">
      <c r="A1463" s="65">
        <v>43979</v>
      </c>
      <c r="B1463" s="1" t="s">
        <v>1017</v>
      </c>
      <c r="C1463" s="1" t="s">
        <v>357</v>
      </c>
      <c r="D1463" s="60">
        <v>2012</v>
      </c>
      <c r="E1463" s="76">
        <v>1</v>
      </c>
      <c r="F1463" s="60">
        <v>22</v>
      </c>
      <c r="G1463" s="60">
        <v>22</v>
      </c>
      <c r="H1463" s="60" t="s">
        <v>38</v>
      </c>
      <c r="I1463" s="60" t="s">
        <v>330</v>
      </c>
      <c r="J1463" s="60" t="s">
        <v>677</v>
      </c>
      <c r="K1463" s="60">
        <f>IF(J1463="syllables",1,IF(J1463="trigrams",2,IF(J1463="strings",3,IF(J1463="visual array",4,IF(J1463="characters",5,IF(J1463="letters",6,IF(J1463="free forms",7,IF(J1463="odors",8,IF(J1463="words",9,IF(J1463="pictures",10,IF(J1463="object pictures",11,IF(J1463="faces",12,IF(J1463="names",13,IF(J1463="idioms",14,IF(J1463="grades",15,IF(J1463="syllable-digit pairs",16,IF(J1463="trigram-word pairs",17,IF(J1463="word-digit pairs",18,IF(J1463="English-Swahili pairs",19,IF(J1463="spatial position",20,IF(J1463="word pairs",21,IF(J1463="word triads",22,IF(J1463="generated words",23,IF(J1463="word definition pairs",24,IF(J1463="math problems",25,IF(J1463="famous faces",26,IF(J1463="famous names",27,IF(J1463="famous voices",28,IF(J1463="television programs",29,IF(J1463="race horses",30,IF(J1463="new vocabulary",31,IF(J1463="sentences",32,IF(J1463="concepts",33,IF(J1463="ad slides",34,IF(J1463="scenes",35,IF(J1463="famous scenes",36,IF(J1463="poems",37,IF(J1463="walk",38,IF(J1463="faces and events",39,IF(J1463="events and names",40,IF(J1463="flashbulb",41,IF(J1463="stories",42,IF(J1463="course material",43,IF(J1463="autobiographical",44,IF(J1463="novels",45,IF(J1463="public events",46,"99"))))))))))))))))))))))))))))))))))))))))))))))</f>
        <v>42</v>
      </c>
      <c r="L1463" s="60">
        <f>IF(J1463="syllables",1,IF(J1463="trigrams",1,IF(J1463="strings",1,IF(J1463="visual array",1,IF(J1463="characters",1,IF(J1463="letters",1,IF(J1463="free forms",1,IF(J1463="odors",2,IF(J1463="words",2,IF(J1463="pictures",2,IF(J1463="object pictures",2,IF(J1463="faces",2,IF(J1463="names",2,IF(J1463="idioms","2",IF(J1463="grades",2,IF(J1463="syllable-digit pairs",3,IF(J1463="trigram-word pairs",3,IF(J1463="word-digit pairs",3,IF(J1463="English-Swahili pairs",3,IF(J1463="spatial position",3,IF(J1463="word pairs",4,IF(J1463="word triads",4,IF(J1463="generated words",4,IF(J1463="word definition pairs",4,IF(J1463="math problems",4,IF(J1463="famous faces",4,IF(J1463="famous names",4,IF(J1463="famous voices",4,IF(J1463="television programs",4,IF(J1463="race horses",4,IF(J1463="new vocabulary",4,IF(J1463="sentences",5,IF(J1463="concepts",5,IF(J1463="ad slides",5,IF(J1463="scenes",5,IF(J1463="famous scenes",5,IF(J1463="poems",6,IF(J1463="walk",6,IF(J1463="faces and events",6,IF(J1463="events and names",6,IF(J1463="flashbulb",7,IF(J1463="stories",7,IF(J1463="course material",7,IF(J1463="autobiographical",7,IF(J1463="novels",7,IF(J1463="public events",7,"99"))))))))))))))))))))))))))))))))))))))))))))))</f>
        <v>7</v>
      </c>
      <c r="M1463" s="60">
        <v>1</v>
      </c>
      <c r="N1463" s="60">
        <v>4</v>
      </c>
      <c r="O1463" s="60">
        <v>0</v>
      </c>
      <c r="P1463" s="60"/>
      <c r="Q1463" s="60" t="s">
        <v>174</v>
      </c>
      <c r="R1463" s="60">
        <f>IF(Q1463="Free Recall",1,IF(Q1463="Cued Recall",2,IF(Q1463="Recognition",3,IF(Q1463="Multiple Choice",4,IF(Q1463="Savings",5,IF(Q1463="Stem Completion",6,IF(Q1463="Fragment Completion",7,IF(Q1463="anagram solution",8,IF(Q1463="Matching",9,IF(Q1463="Problem Solving",10,"99"))))))))))</f>
        <v>1</v>
      </c>
      <c r="S1463" s="60" t="s">
        <v>49</v>
      </c>
      <c r="T1463" s="59" t="s">
        <v>581</v>
      </c>
      <c r="U1463" s="60">
        <f>IF(T1463="within",1,0)</f>
        <v>1</v>
      </c>
      <c r="V1463" s="59">
        <f>3*73</f>
        <v>219</v>
      </c>
      <c r="W1463" s="60">
        <f>F1463*V1463</f>
        <v>4818</v>
      </c>
      <c r="X1463" s="60">
        <v>3</v>
      </c>
      <c r="Y1463" s="76">
        <f>AV1462</f>
        <v>30</v>
      </c>
      <c r="Z1463" s="60" t="s">
        <v>160</v>
      </c>
      <c r="AA1463" s="60">
        <f>60*60*24*7*6</f>
        <v>3628800</v>
      </c>
      <c r="AB1463" s="60" t="str">
        <f>IF(AA1463&lt;60,"1",IF(AA1463&lt;=43200,"2",IF(AA1463&lt;=777600,"3","4")))</f>
        <v>4</v>
      </c>
      <c r="AC1463" s="56">
        <f>AVERAGE(AV1462:DA1462)</f>
        <v>1210810</v>
      </c>
      <c r="AD1463" s="60" t="str">
        <f>IF(AC1463&lt;60,"1",IF(AC1463&lt;=43200,"2",IF(AC1463&lt;=777600,"3","4")))</f>
        <v>4</v>
      </c>
      <c r="AE1463" s="76">
        <f>AA1463-Y1463</f>
        <v>3628770</v>
      </c>
      <c r="AF1463" s="80">
        <f>AV1463</f>
        <v>0.8397</v>
      </c>
      <c r="AG1463" s="56">
        <f>((AW1463-AV1463)+(AX1463-AW1463))/2</f>
        <v>-0.21395</v>
      </c>
      <c r="AH1463" s="4"/>
      <c r="AI1463" s="56">
        <f>RSQ(AV1463:AX1463,AV1462:AX1462)</f>
        <v>0.92005300674519452</v>
      </c>
      <c r="AJ1463" s="109">
        <f>SLOPE(AV1463:AX1463,AV1462:AX1462)</f>
        <v>-1.0079773248790086E-7</v>
      </c>
      <c r="AK1463" s="56">
        <f>INTERCEPT(AV1463:AX1463,AV1462:AX1462)</f>
        <v>0.77751356914034186</v>
      </c>
      <c r="AL1463" s="56">
        <f>INDEX(LINEST(LN(AV1463:AX1463),LN(AV1462:AX1462),TRUE,TRUE),3,1)</f>
        <v>0.95974858921188289</v>
      </c>
      <c r="AM1463" s="56">
        <f>INDEX(LINEST(LN(AV1463:AX1463),LN(AV1462:AX1462)),1)</f>
        <v>-6.2219086302059662E-2</v>
      </c>
      <c r="AN1463" s="56">
        <f>EXP(INDEX(LINEST(LN(AV1463:AX1463),LN(AV1462:AX1462)),1,2))</f>
        <v>1.0917530837030365</v>
      </c>
      <c r="AO1463" s="82">
        <f>INDEX(LINEST((AV1463:AX1463),LN(AV1462:AX1462),TRUE,TRUE),3,1)</f>
        <v>0.98281252026497801</v>
      </c>
      <c r="AP1463" s="82">
        <f>INDEX(LINEST((AV1463:AX1463),LN(AV1462:AX1462)),1)</f>
        <v>-3.7077395590622945E-2</v>
      </c>
      <c r="AQ1463" s="83">
        <f>INDEX(LINEST(LN(AV1463:AX1463),SQRT(AV1462:AX1462),TRUE,TRUE),3,1)</f>
        <v>0.9636702408684974</v>
      </c>
      <c r="AR1463" s="116">
        <f>INDEX(LINEST(LN(AV1463:AX1463),SQRT((AV1462:AX1462))),1)</f>
        <v>-3.3926153750342631E-4</v>
      </c>
      <c r="AS1463" s="84">
        <f>INDEX(LINEST(1/(AV1463:AX1463),1/(SQRT(AV1462:AX1462)),TRUE,TRUE),3,1)</f>
        <v>0.47590763106507122</v>
      </c>
      <c r="AT1463" s="84">
        <f>INDEX(LINEST(1/(AV1463:AX1463),1/SQRT(AV1462:AX1462)),1)</f>
        <v>-4.5363436408849545</v>
      </c>
      <c r="AU1463" s="3"/>
      <c r="AV1463" s="53">
        <v>0.8397</v>
      </c>
      <c r="AW1463" s="53">
        <v>0.71489999999999998</v>
      </c>
      <c r="AX1463" s="53">
        <v>0.4118</v>
      </c>
      <c r="AY1463" s="53"/>
      <c r="AZ1463" s="53"/>
      <c r="BA1463" s="53"/>
      <c r="BB1463" s="53"/>
      <c r="BC1463" s="53"/>
      <c r="BD1463" s="53"/>
      <c r="BE1463" s="53"/>
      <c r="BF1463" s="53"/>
      <c r="BG1463" s="53"/>
      <c r="BH1463" s="53"/>
      <c r="BI1463" s="53"/>
      <c r="BJ1463" s="53"/>
      <c r="BK1463" s="53"/>
      <c r="BL1463" s="53"/>
      <c r="BM1463" s="53"/>
      <c r="BN1463" s="53"/>
      <c r="BO1463" s="53"/>
      <c r="BP1463" s="53"/>
      <c r="BQ1463" s="53"/>
      <c r="BR1463" s="53"/>
      <c r="BS1463" s="53"/>
      <c r="BT1463" s="53"/>
      <c r="BU1463" s="53"/>
      <c r="BV1463" s="53"/>
      <c r="BW1463" s="53"/>
      <c r="BX1463" s="53"/>
      <c r="BY1463" s="53"/>
      <c r="BZ1463" s="53"/>
      <c r="CA1463" s="53"/>
      <c r="CB1463" s="53"/>
      <c r="CC1463" s="53"/>
      <c r="CD1463" s="53"/>
      <c r="CE1463" s="53"/>
      <c r="CF1463" s="53"/>
      <c r="CG1463" s="53"/>
      <c r="CH1463" s="53"/>
      <c r="CI1463" s="53"/>
      <c r="CJ1463" s="53"/>
      <c r="CK1463" s="53"/>
      <c r="CL1463" s="53"/>
      <c r="CM1463" s="53"/>
      <c r="CN1463" s="53"/>
      <c r="CO1463" s="53"/>
      <c r="CP1463" s="53"/>
      <c r="CQ1463" s="53"/>
      <c r="CR1463" s="1"/>
      <c r="CS1463" s="1"/>
      <c r="CT1463" s="1"/>
      <c r="CU1463" s="1"/>
    </row>
    <row r="1464" spans="1:99" s="13" customFormat="1" ht="12" customHeight="1" x14ac:dyDescent="0.2">
      <c r="A1464" s="65">
        <v>43979</v>
      </c>
      <c r="B1464" s="1"/>
      <c r="C1464" s="1"/>
      <c r="D1464" s="60"/>
      <c r="E1464" s="76"/>
      <c r="F1464" s="60"/>
      <c r="G1464" s="60"/>
      <c r="H1464" s="60"/>
      <c r="I1464" s="60"/>
      <c r="J1464" s="60"/>
      <c r="K1464" s="60"/>
      <c r="L1464" s="60"/>
      <c r="M1464" s="60"/>
      <c r="N1464" s="60"/>
      <c r="O1464" s="60"/>
      <c r="P1464" s="60"/>
      <c r="Q1464" s="60"/>
      <c r="R1464" s="60"/>
      <c r="S1464" s="60"/>
      <c r="T1464" s="59"/>
      <c r="U1464" s="60"/>
      <c r="V1464" s="59"/>
      <c r="W1464" s="60"/>
      <c r="X1464" s="60"/>
      <c r="Y1464" s="76"/>
      <c r="Z1464" s="60"/>
      <c r="AA1464" s="60"/>
      <c r="AB1464" s="60"/>
      <c r="AC1464" s="56"/>
      <c r="AD1464" s="60"/>
      <c r="AE1464" s="76"/>
      <c r="AF1464" s="80"/>
      <c r="AG1464" s="56"/>
      <c r="AH1464" s="4"/>
      <c r="AI1464" s="56"/>
      <c r="AJ1464" s="109"/>
      <c r="AK1464" s="56"/>
      <c r="AL1464" s="56"/>
      <c r="AM1464" s="56"/>
      <c r="AN1464" s="56"/>
      <c r="AO1464" s="82"/>
      <c r="AP1464" s="82"/>
      <c r="AQ1464" s="83"/>
      <c r="AR1464" s="116"/>
      <c r="AS1464" s="84"/>
      <c r="AT1464" s="84"/>
      <c r="AU1464" s="3"/>
      <c r="AV1464" s="25">
        <v>30</v>
      </c>
      <c r="AW1464" s="25">
        <f>60*60</f>
        <v>3600</v>
      </c>
      <c r="AX1464" s="25">
        <f>60*60*24*7*6</f>
        <v>3628800</v>
      </c>
      <c r="AY1464" s="53"/>
      <c r="AZ1464" s="53"/>
      <c r="BA1464" s="53"/>
      <c r="BB1464" s="53"/>
      <c r="BC1464" s="53"/>
      <c r="BD1464" s="53"/>
      <c r="BE1464" s="53"/>
      <c r="BF1464" s="53"/>
      <c r="BG1464" s="53"/>
      <c r="BH1464" s="53"/>
      <c r="BI1464" s="53"/>
      <c r="BJ1464" s="53"/>
      <c r="BK1464" s="53"/>
      <c r="BL1464" s="53"/>
      <c r="BM1464" s="53"/>
      <c r="BN1464" s="53"/>
      <c r="BO1464" s="53"/>
      <c r="BP1464" s="53"/>
      <c r="BQ1464" s="53"/>
      <c r="BR1464" s="53"/>
      <c r="BS1464" s="53"/>
      <c r="BT1464" s="53"/>
      <c r="BU1464" s="53"/>
      <c r="BV1464" s="53"/>
      <c r="BW1464" s="53"/>
      <c r="BX1464" s="53"/>
      <c r="BY1464" s="53"/>
      <c r="BZ1464" s="53"/>
      <c r="CA1464" s="53"/>
      <c r="CB1464" s="53"/>
      <c r="CC1464" s="53"/>
      <c r="CD1464" s="53"/>
      <c r="CE1464" s="53"/>
      <c r="CF1464" s="53"/>
      <c r="CG1464" s="53"/>
      <c r="CH1464" s="53"/>
      <c r="CI1464" s="53"/>
      <c r="CJ1464" s="53"/>
      <c r="CK1464" s="53"/>
      <c r="CL1464" s="53"/>
      <c r="CM1464" s="53"/>
      <c r="CN1464" s="53"/>
      <c r="CO1464" s="53"/>
      <c r="CP1464" s="53"/>
      <c r="CQ1464" s="53"/>
      <c r="CR1464" s="1"/>
      <c r="CS1464" s="1"/>
      <c r="CT1464" s="1"/>
      <c r="CU1464" s="1"/>
    </row>
    <row r="1465" spans="1:99" s="13" customFormat="1" ht="12" customHeight="1" x14ac:dyDescent="0.2">
      <c r="A1465" s="65">
        <v>43979</v>
      </c>
      <c r="B1465" s="1" t="s">
        <v>1017</v>
      </c>
      <c r="C1465" s="1" t="s">
        <v>357</v>
      </c>
      <c r="D1465" s="60">
        <v>2012</v>
      </c>
      <c r="E1465" s="76">
        <v>1</v>
      </c>
      <c r="F1465" s="60">
        <v>22</v>
      </c>
      <c r="G1465" s="60">
        <v>22</v>
      </c>
      <c r="H1465" s="60" t="s">
        <v>30</v>
      </c>
      <c r="I1465" s="60" t="s">
        <v>330</v>
      </c>
      <c r="J1465" s="60" t="s">
        <v>317</v>
      </c>
      <c r="K1465" s="60">
        <f>IF(J1465="syllables",1,IF(J1465="trigrams",2,IF(J1465="strings",3,IF(J1465="visual array",4,IF(J1465="characters",5,IF(J1465="letters",6,IF(J1465="free forms",7,IF(J1465="odors",8,IF(J1465="words",9,IF(J1465="pictures",10,IF(J1465="object pictures",11,IF(J1465="faces",12,IF(J1465="names",13,IF(J1465="idioms",14,IF(J1465="grades",15,IF(J1465="syllable-digit pairs",16,IF(J1465="trigram-word pairs",17,IF(J1465="word-digit pairs",18,IF(J1465="English-Swahili pairs",19,IF(J1465="spatial position",20,IF(J1465="word pairs",21,IF(J1465="word triads",22,IF(J1465="generated words",23,IF(J1465="word definition pairs",24,IF(J1465="math problems",25,IF(J1465="famous faces",26,IF(J1465="famous names",27,IF(J1465="famous voices",28,IF(J1465="television programs",29,IF(J1465="race horses",30,IF(J1465="new vocabulary",31,IF(J1465="sentences",32,IF(J1465="concepts",33,IF(J1465="ad slides",34,IF(J1465="scenes",35,IF(J1465="famous scenes",36,IF(J1465="poems",37,IF(J1465="walk",38,IF(J1465="faces and events",39,IF(J1465="events and names",40,IF(J1465="flashbulb",41,IF(J1465="stories",42,IF(J1465="course material",43,IF(J1465="autobiographical",44,IF(J1465="novels",45,IF(J1465="public events",46,"99"))))))))))))))))))))))))))))))))))))))))))))))</f>
        <v>7</v>
      </c>
      <c r="L1465" s="60">
        <f>IF(J1465="syllables",1,IF(J1465="trigrams",1,IF(J1465="strings",1,IF(J1465="visual array",1,IF(J1465="characters",1,IF(J1465="letters",1,IF(J1465="free forms",1,IF(J1465="odors",2,IF(J1465="words",2,IF(J1465="pictures",2,IF(J1465="object pictures",2,IF(J1465="faces",2,IF(J1465="names",2,IF(J1465="idioms","2",IF(J1465="grades",2,IF(J1465="syllable-digit pairs",3,IF(J1465="trigram-word pairs",3,IF(J1465="word-digit pairs",3,IF(J1465="English-Swahili pairs",3,IF(J1465="spatial position",3,IF(J1465="word pairs",4,IF(J1465="word triads",4,IF(J1465="generated words",4,IF(J1465="word definition pairs",4,IF(J1465="math problems",4,IF(J1465="famous faces",4,IF(J1465="famous names",4,IF(J1465="famous voices",4,IF(J1465="television programs",4,IF(J1465="race horses",4,IF(J1465="new vocabulary",4,IF(J1465="sentences",5,IF(J1465="concepts",5,IF(J1465="ad slides",5,IF(J1465="scenes",5,IF(J1465="famous scenes",5,IF(J1465="poems",6,IF(J1465="walk",6,IF(J1465="faces and events",6,IF(J1465="events and names",6,IF(J1465="flashbulb",7,IF(J1465="stories",7,IF(J1465="course material",7,IF(J1465="autobiographical",7,IF(J1465="novels",7,IF(J1465="public events",7,"99"))))))))))))))))))))))))))))))))))))))))))))))</f>
        <v>1</v>
      </c>
      <c r="M1465" s="60">
        <v>0</v>
      </c>
      <c r="N1465" s="60">
        <v>2</v>
      </c>
      <c r="O1465" s="60">
        <v>0</v>
      </c>
      <c r="P1465" s="60"/>
      <c r="Q1465" s="60" t="s">
        <v>174</v>
      </c>
      <c r="R1465" s="60">
        <f>IF(Q1465="Free Recall",1,IF(Q1465="Cued Recall",2,IF(Q1465="Recognition",3,IF(Q1465="Multiple Choice",4,IF(Q1465="Savings",5,IF(Q1465="Stem Completion",6,IF(Q1465="Fragment Completion",7,IF(Q1465="anagram solution",8,IF(Q1465="Matching",9,IF(Q1465="Problem Solving",10,"99"))))))))))</f>
        <v>1</v>
      </c>
      <c r="S1465" s="60" t="s">
        <v>49</v>
      </c>
      <c r="T1465" s="59" t="s">
        <v>581</v>
      </c>
      <c r="U1465" s="60">
        <f>IF(T1465="within",1,0)</f>
        <v>1</v>
      </c>
      <c r="V1465" s="59">
        <f>48*3</f>
        <v>144</v>
      </c>
      <c r="W1465" s="60">
        <f>F1465*V1465</f>
        <v>3168</v>
      </c>
      <c r="X1465" s="60">
        <v>3</v>
      </c>
      <c r="Y1465" s="76">
        <f>AV1464</f>
        <v>30</v>
      </c>
      <c r="Z1465" s="60" t="s">
        <v>160</v>
      </c>
      <c r="AA1465" s="60">
        <f>60*60*24*7*6</f>
        <v>3628800</v>
      </c>
      <c r="AB1465" s="60" t="str">
        <f>IF(AA1465&lt;60,"1",IF(AA1465&lt;=43200,"2",IF(AA1465&lt;=777600,"3","4")))</f>
        <v>4</v>
      </c>
      <c r="AC1465" s="56">
        <f>AVERAGE(AV1464:DA1464)</f>
        <v>1210810</v>
      </c>
      <c r="AD1465" s="60" t="str">
        <f>IF(AC1465&lt;60,"1",IF(AC1465&lt;=43200,"2",IF(AC1465&lt;=777600,"3","4")))</f>
        <v>4</v>
      </c>
      <c r="AE1465" s="76">
        <f>AA1465-Y1465</f>
        <v>3628770</v>
      </c>
      <c r="AF1465" s="80">
        <f>AV1465</f>
        <v>0.6865</v>
      </c>
      <c r="AG1465" s="56">
        <f>((AW1465-AV1465)+(AX1465-AW1465))/2</f>
        <v>-0.17599999999999999</v>
      </c>
      <c r="AH1465" s="4"/>
      <c r="AI1465" s="56">
        <f>RSQ(AV1465:AX1465,AV1464:AX1464)</f>
        <v>0.96001040592205666</v>
      </c>
      <c r="AJ1465" s="109">
        <f>SLOPE(AV1465:AX1465,AV1464:AX1464)</f>
        <v>-8.6795166890099554E-8</v>
      </c>
      <c r="AK1465" s="56">
        <f>INTERCEPT(AV1465:AX1465,AV1464:AX1464)</f>
        <v>0.64942578935553474</v>
      </c>
      <c r="AL1465" s="56">
        <f>INDEX(LINEST(LN(AV1465:AX1465),LN(AV1464:AX1464),TRUE,TRUE),3,1)</f>
        <v>0.92899540906395373</v>
      </c>
      <c r="AM1465" s="56">
        <f>INDEX(LINEST(LN(AV1465:AX1465),LN(AV1464:AX1464)),1)</f>
        <v>-6.3269973440317914E-2</v>
      </c>
      <c r="AN1465" s="56">
        <f>EXP(INDEX(LINEST(LN(AV1465:AX1465),LN(AV1464:AX1464)),1,2))</f>
        <v>0.91291337235551051</v>
      </c>
      <c r="AO1465" s="82">
        <f>INDEX(LINEST((AV1465:AX1465),LN(AV1464:AX1464),TRUE,TRUE),3,1)</f>
        <v>0.95372662729577162</v>
      </c>
      <c r="AP1465" s="82">
        <f>INDEX(LINEST((AV1465:AX1465),LN(AV1464:AX1464)),1)</f>
        <v>-3.0789247070257379E-2</v>
      </c>
      <c r="AQ1465" s="83">
        <f>INDEX(LINEST(LN(AV1465:AX1465),SQRT(AV1464:AX1464),TRUE,TRUE),3,1)</f>
        <v>0.98469036888931838</v>
      </c>
      <c r="AR1465" s="116">
        <f>INDEX(LINEST(LN(AV1465:AX1465),SQRT((AV1464:AX1464))),1)</f>
        <v>-3.5445917920288718E-4</v>
      </c>
      <c r="AS1465" s="84">
        <f>INDEX(LINEST(1/(AV1465:AX1465),1/(SQRT(AV1464:AX1464)),TRUE,TRUE),3,1)</f>
        <v>0.42460096043252976</v>
      </c>
      <c r="AT1465" s="84">
        <f>INDEX(LINEST(1/(AV1465:AX1465),1/SQRT(AV1464:AX1464)),1)</f>
        <v>-5.4221291046624991</v>
      </c>
      <c r="AU1465" s="3"/>
      <c r="AV1465" s="53">
        <v>0.6865</v>
      </c>
      <c r="AW1465" s="53">
        <v>0.61199999999999999</v>
      </c>
      <c r="AX1465" s="53">
        <v>0.33450000000000002</v>
      </c>
      <c r="AY1465" s="53"/>
      <c r="AZ1465" s="53"/>
      <c r="BA1465" s="53"/>
      <c r="BB1465" s="53"/>
      <c r="BC1465" s="53"/>
      <c r="BD1465" s="53"/>
      <c r="BE1465" s="53"/>
      <c r="BF1465" s="53"/>
      <c r="BG1465" s="53"/>
      <c r="BH1465" s="53"/>
      <c r="BI1465" s="53"/>
      <c r="BJ1465" s="53"/>
      <c r="BK1465" s="53"/>
      <c r="BL1465" s="53"/>
      <c r="BM1465" s="53"/>
      <c r="BN1465" s="53"/>
      <c r="BO1465" s="53"/>
      <c r="BP1465" s="53"/>
      <c r="BQ1465" s="53"/>
      <c r="BR1465" s="53"/>
      <c r="BS1465" s="53"/>
      <c r="BT1465" s="53"/>
      <c r="BU1465" s="53"/>
      <c r="BV1465" s="53"/>
      <c r="BW1465" s="53"/>
      <c r="BX1465" s="53"/>
      <c r="BY1465" s="53"/>
      <c r="BZ1465" s="53"/>
      <c r="CA1465" s="53"/>
      <c r="CB1465" s="53"/>
      <c r="CC1465" s="53"/>
      <c r="CD1465" s="53"/>
      <c r="CE1465" s="53"/>
      <c r="CF1465" s="53"/>
      <c r="CG1465" s="53"/>
      <c r="CH1465" s="53"/>
      <c r="CI1465" s="53"/>
      <c r="CJ1465" s="53"/>
      <c r="CK1465" s="53"/>
      <c r="CL1465" s="53"/>
      <c r="CM1465" s="53"/>
      <c r="CN1465" s="53"/>
      <c r="CO1465" s="53"/>
      <c r="CP1465" s="53"/>
      <c r="CQ1465" s="53"/>
      <c r="CR1465" s="1"/>
      <c r="CS1465" s="1"/>
      <c r="CT1465" s="1"/>
      <c r="CU1465" s="1"/>
    </row>
    <row r="1466" spans="1:99" s="13" customFormat="1" ht="12" customHeight="1" x14ac:dyDescent="0.2">
      <c r="A1466" s="68">
        <v>43903</v>
      </c>
      <c r="B1466" s="70"/>
      <c r="C1466" s="70"/>
      <c r="D1466" s="69"/>
      <c r="E1466" s="87"/>
      <c r="F1466" s="69"/>
      <c r="G1466" s="69"/>
      <c r="H1466" s="69"/>
      <c r="I1466" s="69"/>
      <c r="J1466" s="69"/>
      <c r="K1466" s="107"/>
      <c r="L1466" s="107"/>
      <c r="M1466" s="69"/>
      <c r="N1466" s="69"/>
      <c r="O1466" s="69"/>
      <c r="P1466" s="69"/>
      <c r="Q1466" s="69"/>
      <c r="R1466" s="69"/>
      <c r="S1466" s="69"/>
      <c r="T1466" s="92"/>
      <c r="U1466" s="69"/>
      <c r="V1466" s="69"/>
      <c r="W1466" s="69"/>
      <c r="X1466" s="69"/>
      <c r="Y1466" s="87"/>
      <c r="Z1466" s="69"/>
      <c r="AA1466" s="69"/>
      <c r="AB1466" s="69"/>
      <c r="AC1466" s="72"/>
      <c r="AD1466" s="69"/>
      <c r="AE1466" s="69"/>
      <c r="AF1466" s="88"/>
      <c r="AG1466" s="72"/>
      <c r="AH1466" s="4"/>
      <c r="AI1466" s="72"/>
      <c r="AJ1466" s="110"/>
      <c r="AK1466" s="72"/>
      <c r="AL1466" s="72"/>
      <c r="AM1466" s="72"/>
      <c r="AN1466" s="72"/>
      <c r="AO1466" s="89"/>
      <c r="AP1466" s="89"/>
      <c r="AQ1466" s="90"/>
      <c r="AR1466" s="117"/>
      <c r="AS1466" s="91"/>
      <c r="AT1466" s="91"/>
      <c r="AU1466" s="3"/>
      <c r="AV1466" s="71">
        <v>157680000</v>
      </c>
      <c r="AW1466" s="71">
        <v>473040000</v>
      </c>
      <c r="AX1466" s="71">
        <v>788400000</v>
      </c>
      <c r="AY1466" s="71">
        <v>1103760000</v>
      </c>
      <c r="AZ1466" s="71">
        <v>1419120000</v>
      </c>
      <c r="BA1466" s="42"/>
      <c r="BB1466" s="42"/>
      <c r="BC1466" s="38"/>
      <c r="BD1466" s="38"/>
      <c r="BE1466" s="38"/>
      <c r="BF1466" s="38"/>
      <c r="BG1466" s="38"/>
      <c r="BH1466" s="38"/>
      <c r="BI1466" s="38"/>
      <c r="BJ1466" s="38"/>
      <c r="BK1466" s="38"/>
      <c r="BL1466" s="38"/>
      <c r="BM1466" s="38"/>
      <c r="BN1466" s="38"/>
      <c r="BO1466" s="38"/>
      <c r="BP1466" s="38"/>
      <c r="BQ1466" s="38"/>
      <c r="BR1466" s="38"/>
      <c r="BS1466" s="38"/>
      <c r="BT1466" s="38"/>
      <c r="BU1466" s="38"/>
      <c r="BV1466" s="38"/>
      <c r="BW1466" s="38"/>
      <c r="BX1466" s="38"/>
      <c r="BY1466" s="38"/>
      <c r="BZ1466" s="38"/>
      <c r="CA1466" s="38"/>
      <c r="CB1466" s="38"/>
      <c r="CC1466" s="38"/>
      <c r="CD1466" s="38"/>
      <c r="CE1466" s="38"/>
      <c r="CF1466" s="38"/>
      <c r="CG1466" s="38"/>
      <c r="CH1466" s="38"/>
      <c r="CI1466" s="38"/>
      <c r="CJ1466" s="38"/>
      <c r="CK1466" s="38"/>
      <c r="CL1466" s="38"/>
      <c r="CM1466" s="38"/>
      <c r="CN1466" s="38"/>
      <c r="CO1466" s="38"/>
      <c r="CP1466" s="38"/>
      <c r="CQ1466" s="38"/>
      <c r="CR1466" s="1"/>
      <c r="CS1466" s="1"/>
      <c r="CT1466" s="1"/>
      <c r="CU1466" s="1"/>
    </row>
    <row r="1467" spans="1:99" s="13" customFormat="1" ht="12" customHeight="1" x14ac:dyDescent="0.2">
      <c r="A1467" s="68">
        <v>43903</v>
      </c>
      <c r="B1467" s="70" t="s">
        <v>487</v>
      </c>
      <c r="C1467" s="70" t="s">
        <v>357</v>
      </c>
      <c r="D1467" s="69">
        <v>1981</v>
      </c>
      <c r="E1467" s="87">
        <v>1</v>
      </c>
      <c r="F1467" s="69">
        <v>24</v>
      </c>
      <c r="G1467" s="69">
        <v>24</v>
      </c>
      <c r="H1467" s="69" t="s">
        <v>50</v>
      </c>
      <c r="I1467" s="69" t="s">
        <v>330</v>
      </c>
      <c r="J1467" s="69" t="s">
        <v>342</v>
      </c>
      <c r="K1467" s="69">
        <f>IF(J1467="syllables",1,IF(J1467="trigrams",2,IF(J1467="strings",3,IF(J1467="visual array",4,IF(J1467="characters",5,IF(J1467="letters",6,IF(J1467="free forms",7,IF(J1467="odors",8,IF(J1467="words",9,IF(J1467="pictures",10,IF(J1467="object pictures",11,IF(J1467="faces",12,IF(J1467="names",13,IF(J1467="idioms",14,IF(J1467="grades",15,IF(J1467="syllable-digit pairs",16,IF(J1467="trigram-word pairs",17,IF(J1467="word-digit pairs",18,IF(J1467="English-Swahili pairs",19,IF(J1467="spatial position",20,IF(J1467="word pairs",21,IF(J1467="word triads",22,IF(J1467="generated words",23,IF(J1467="word definition pairs",24,IF(J1467="math problems",25,IF(J1467="famous faces",26,IF(J1467="famous names",27,IF(J1467="famous voices",28,IF(J1467="television programs",29,IF(J1467="race horses",30,IF(J1467="new vocabulary",31,IF(J1467="sentences",32,IF(J1467="concepts",33,IF(J1467="ad slides",34,IF(J1467="scenes",35,IF(J1467="famous scenes",36,IF(J1467="poems",37,IF(J1467="walk",38,IF(J1467="faces and events",39,IF(J1467="events and names",40,IF(J1467="flashbulb",41,IF(J1467="stories",42,IF(J1467="course material",43,IF(J1467="autobiographical",44,IF(J1467="novels",45,IF(J1467="public events",46,"99"))))))))))))))))))))))))))))))))))))))))))))))</f>
        <v>26</v>
      </c>
      <c r="L1467" s="69">
        <f>IF(J1467="syllables",1,IF(J1467="trigrams",1,IF(J1467="strings",1,IF(J1467="visual array",1,IF(J1467="characters",1,IF(J1467="letters",1,IF(J1467="free forms",1,IF(J1467="odors",2,IF(J1467="words",2,IF(J1467="pictures",2,IF(J1467="object pictures",2,IF(J1467="faces",2,IF(J1467="names",2,IF(J1467="idioms","2",IF(J1467="grades",2,IF(J1467="syllable-digit pairs",3,IF(J1467="trigram-word pairs",3,IF(J1467="word-digit pairs",3,IF(J1467="English-Swahili pairs",3,IF(J1467="spatial position",3,IF(J1467="word pairs",4,IF(J1467="word triads",4,IF(J1467="generated words",4,IF(J1467="word definition pairs",4,IF(J1467="math problems",4,IF(J1467="famous faces",4,IF(J1467="famous names",4,IF(J1467="famous voices",4,IF(J1467="television programs",4,IF(J1467="race horses",4,IF(J1467="new vocabulary",4,IF(J1467="sentences",5,IF(J1467="concepts",5,IF(J1467="ad slides",5,IF(J1467="scenes",5,IF(J1467="famous scenes",5,IF(J1467="poems",6,IF(J1467="walk",6,IF(J1467="faces and events",6,IF(J1467="events and names",6,IF(J1467="flashbulb",7,IF(J1467="stories",7,IF(J1467="course material",7,IF(J1467="autobiographical",7,IF(J1467="novels",7,IF(J1467="public events",7,"99"))))))))))))))))))))))))))))))))))))))))))))))</f>
        <v>4</v>
      </c>
      <c r="M1467" s="69">
        <v>1</v>
      </c>
      <c r="N1467" s="86">
        <v>2</v>
      </c>
      <c r="O1467" s="69">
        <v>0</v>
      </c>
      <c r="P1467" s="69"/>
      <c r="Q1467" s="69" t="s">
        <v>174</v>
      </c>
      <c r="R1467" s="69">
        <f>IF(Q1467="Free Recall",1,IF(Q1467="Cued Recall",2,IF(Q1467="Recognition",3,IF(Q1467="Multiple Choice",4,IF(Q1467="Savings",5,IF(Q1467="Stem Completion",6,IF(Q1467="Fragment Completion",7,IF(Q1467="anagram solution",8,IF(Q1467="Matching",9,IF(Q1467="Problem Solving",10,"99"))))))))))</f>
        <v>1</v>
      </c>
      <c r="S1467" s="69" t="s">
        <v>49</v>
      </c>
      <c r="T1467" s="92" t="s">
        <v>581</v>
      </c>
      <c r="U1467" s="69">
        <f>IF(T1467="within",1,0)</f>
        <v>1</v>
      </c>
      <c r="V1467" s="92">
        <v>180</v>
      </c>
      <c r="W1467" s="69">
        <f>F1467*V1467</f>
        <v>4320</v>
      </c>
      <c r="X1467" s="69">
        <v>5</v>
      </c>
      <c r="Y1467" s="87">
        <f>AV1466</f>
        <v>157680000</v>
      </c>
      <c r="Z1467" s="69" t="s">
        <v>373</v>
      </c>
      <c r="AA1467" s="87">
        <f>60*60*24*365*45</f>
        <v>1419120000</v>
      </c>
      <c r="AB1467" s="69" t="str">
        <f t="shared" ref="AB1467:AB1487" si="98">IF(AA1467&lt;60,"1",IF(AA1467&lt;=43200,"2",IF(AA1467&lt;=777600,"3","4")))</f>
        <v>4</v>
      </c>
      <c r="AC1467" s="72">
        <f t="shared" ref="AC1467" si="99">AVERAGE(AV1466:DA1466)</f>
        <v>788400000</v>
      </c>
      <c r="AD1467" s="69" t="str">
        <f>IF(AC1467&lt;60,"1",IF(AC1467&lt;=43200,"2",IF(AC1467&lt;=777600,"3","4")))</f>
        <v>4</v>
      </c>
      <c r="AE1467" s="87">
        <f>AA1467-Y1467</f>
        <v>1261440000</v>
      </c>
      <c r="AF1467" s="88">
        <f>AV1467</f>
        <v>0.48974110917159103</v>
      </c>
      <c r="AG1467" s="72">
        <f>((AW1467-AV1467)+(AX1467-AW1467)+(AY1467-AX1467)+(AZ1467-AY1467))/4</f>
        <v>5.2556310332500106E-3</v>
      </c>
      <c r="AH1467" s="4"/>
      <c r="AI1467" s="72">
        <f>RSQ(AV1467:AZ1467,AV1466:AZ1466)</f>
        <v>9.2531283271330741E-2</v>
      </c>
      <c r="AJ1467" s="110">
        <f>SLOPE(AV1467:AZ1467,AV1466:AZ1466)</f>
        <v>3.7169592757095082E-11</v>
      </c>
      <c r="AK1467" s="72">
        <f>INTERCEPT(AV1467:AZ1467,AV1466:AZ1466)</f>
        <v>0.41195188121727006</v>
      </c>
      <c r="AL1467" s="72">
        <f>INDEX(LINEST(LN(AV1467:AZ1467),LN(AV1466:AZ1466),TRUE,TRUE),3,1)</f>
        <v>1.375531604218039E-5</v>
      </c>
      <c r="AM1467" s="72">
        <f>INDEX(LINEST(LN(AV1467:AZ1467),LN(AV1466:AZ1466)),1)</f>
        <v>5.9556666883778231E-4</v>
      </c>
      <c r="AN1467" s="72">
        <f>EXP(INDEX(LINEST(LN(AV1467:AZ1467),LN(AV1466:AZ1466)),1,2))</f>
        <v>0.43260562838959021</v>
      </c>
      <c r="AO1467" s="89">
        <f>INDEX(LINEST((AV1467:AZ1467),LN(AV1466:AZ1466),TRUE,TRUE),3,1)</f>
        <v>5.9713545984294609E-6</v>
      </c>
      <c r="AP1467" s="89">
        <f>INDEX(LINEST((AV1467:AZ1467),LN(AV1466:AZ1466)),1)</f>
        <v>1.7124034778346429E-4</v>
      </c>
      <c r="AQ1467" s="90">
        <f t="shared" ref="AQ1467" si="100">INDEX(LINEST(LN(AV1467:AZ1467),SQRT(AV1466:AZ1466),TRUE,TRUE),3,1)</f>
        <v>2.6062129677289568E-2</v>
      </c>
      <c r="AR1467" s="117">
        <f t="shared" ref="AR1467" si="101">INDEX(LINEST(LN(AV1467:AZ1467),SQRT((AV1466:AZ1466))),1)</f>
        <v>2.2846424861308986E-6</v>
      </c>
      <c r="AS1467" s="91">
        <f t="shared" ref="AS1467" si="102">INDEX(LINEST(1/(AV1467:AZ1467),1/(SQRT(AV1466:AZ1466)),TRUE,TRUE),3,1)</f>
        <v>1.9501646104757877E-2</v>
      </c>
      <c r="AT1467" s="91">
        <f t="shared" ref="AT1467" si="103">INDEX(LINEST(1/(AV1467:AZ1467),1/SQRT(AV1466:AZ1466)),1)</f>
        <v>-2100.5782178392597</v>
      </c>
      <c r="AU1467" s="3"/>
      <c r="AV1467" s="73">
        <v>0.48974110917159103</v>
      </c>
      <c r="AW1467" s="73">
        <v>0.37012555469094999</v>
      </c>
      <c r="AX1467" s="73">
        <v>0.39035310942396201</v>
      </c>
      <c r="AY1467" s="73">
        <v>0.44529853414372494</v>
      </c>
      <c r="AZ1467" s="73">
        <v>0.51076363330459107</v>
      </c>
      <c r="BA1467" s="42"/>
      <c r="BB1467" s="42"/>
      <c r="BC1467" s="38"/>
      <c r="BD1467" s="38"/>
      <c r="BE1467" s="38"/>
      <c r="BF1467" s="38"/>
      <c r="BG1467" s="38"/>
      <c r="BH1467" s="38"/>
      <c r="BI1467" s="38"/>
      <c r="BJ1467" s="38"/>
      <c r="BK1467" s="38"/>
      <c r="BL1467" s="38"/>
      <c r="BM1467" s="38"/>
      <c r="BN1467" s="38"/>
      <c r="BO1467" s="38"/>
      <c r="BP1467" s="38"/>
      <c r="BQ1467" s="38"/>
      <c r="BR1467" s="38"/>
      <c r="BS1467" s="38"/>
      <c r="BT1467" s="38"/>
      <c r="BU1467" s="38"/>
      <c r="BV1467" s="38"/>
      <c r="BW1467" s="38"/>
      <c r="BX1467" s="38"/>
      <c r="BY1467" s="38"/>
      <c r="BZ1467" s="38"/>
      <c r="CA1467" s="38"/>
      <c r="CB1467" s="38"/>
      <c r="CC1467" s="38"/>
      <c r="CD1467" s="38"/>
      <c r="CE1467" s="38"/>
      <c r="CF1467" s="38"/>
      <c r="CG1467" s="38"/>
      <c r="CH1467" s="38"/>
      <c r="CI1467" s="38"/>
      <c r="CJ1467" s="38"/>
      <c r="CK1467" s="38"/>
      <c r="CL1467" s="38"/>
      <c r="CM1467" s="38"/>
      <c r="CN1467" s="38"/>
      <c r="CO1467" s="38"/>
      <c r="CP1467" s="38"/>
      <c r="CQ1467" s="38"/>
      <c r="CR1467" s="1"/>
      <c r="CS1467" s="1"/>
      <c r="CT1467" s="1"/>
      <c r="CU1467" s="1"/>
    </row>
    <row r="1468" spans="1:99" s="13" customFormat="1" ht="12" customHeight="1" x14ac:dyDescent="0.2">
      <c r="A1468" s="68">
        <v>43903</v>
      </c>
      <c r="B1468" s="70"/>
      <c r="C1468" s="70"/>
      <c r="D1468" s="69"/>
      <c r="E1468" s="87"/>
      <c r="F1468" s="69"/>
      <c r="G1468" s="69"/>
      <c r="H1468" s="69"/>
      <c r="I1468" s="69"/>
      <c r="J1468" s="69"/>
      <c r="K1468" s="107"/>
      <c r="L1468" s="107"/>
      <c r="M1468" s="69"/>
      <c r="N1468" s="69"/>
      <c r="O1468" s="69"/>
      <c r="P1468" s="69"/>
      <c r="Q1468" s="69"/>
      <c r="R1468" s="69"/>
      <c r="S1468" s="69"/>
      <c r="T1468" s="92"/>
      <c r="U1468" s="69"/>
      <c r="V1468" s="69"/>
      <c r="W1468" s="69"/>
      <c r="X1468" s="69"/>
      <c r="Y1468" s="87"/>
      <c r="Z1468" s="69"/>
      <c r="AA1468" s="69"/>
      <c r="AB1468" s="69"/>
      <c r="AC1468" s="72"/>
      <c r="AD1468" s="69"/>
      <c r="AE1468" s="69"/>
      <c r="AF1468" s="88"/>
      <c r="AG1468" s="72"/>
      <c r="AH1468" s="4"/>
      <c r="AI1468" s="72"/>
      <c r="AJ1468" s="110"/>
      <c r="AK1468" s="72"/>
      <c r="AL1468" s="72"/>
      <c r="AM1468" s="72"/>
      <c r="AN1468" s="72"/>
      <c r="AO1468" s="89"/>
      <c r="AP1468" s="89"/>
      <c r="AQ1468" s="90"/>
      <c r="AR1468" s="117"/>
      <c r="AS1468" s="91"/>
      <c r="AT1468" s="91"/>
      <c r="AU1468" s="3"/>
      <c r="AV1468" s="71">
        <v>157680000</v>
      </c>
      <c r="AW1468" s="71">
        <v>473040000</v>
      </c>
      <c r="AX1468" s="71">
        <v>788400000</v>
      </c>
      <c r="AY1468" s="71">
        <v>1103760000</v>
      </c>
      <c r="AZ1468" s="71">
        <v>1419120000</v>
      </c>
      <c r="BA1468" s="42"/>
      <c r="BB1468" s="42"/>
      <c r="BC1468" s="38"/>
      <c r="BD1468" s="38"/>
      <c r="BE1468" s="38"/>
      <c r="BF1468" s="38"/>
      <c r="BG1468" s="38"/>
      <c r="BH1468" s="38"/>
      <c r="BI1468" s="38"/>
      <c r="BJ1468" s="38"/>
      <c r="BK1468" s="38"/>
      <c r="BL1468" s="38"/>
      <c r="BM1468" s="38"/>
      <c r="BN1468" s="38"/>
      <c r="BO1468" s="38"/>
      <c r="BP1468" s="38"/>
      <c r="BQ1468" s="38"/>
      <c r="BR1468" s="38"/>
      <c r="BS1468" s="38"/>
      <c r="BT1468" s="38"/>
      <c r="BU1468" s="38"/>
      <c r="BV1468" s="38"/>
      <c r="BW1468" s="38"/>
      <c r="BX1468" s="38"/>
      <c r="BY1468" s="38"/>
      <c r="BZ1468" s="38"/>
      <c r="CA1468" s="38"/>
      <c r="CB1468" s="38"/>
      <c r="CC1468" s="38"/>
      <c r="CD1468" s="38"/>
      <c r="CE1468" s="38"/>
      <c r="CF1468" s="38"/>
      <c r="CG1468" s="38"/>
      <c r="CH1468" s="38"/>
      <c r="CI1468" s="38"/>
      <c r="CJ1468" s="38"/>
      <c r="CK1468" s="38"/>
      <c r="CL1468" s="38"/>
      <c r="CM1468" s="38"/>
      <c r="CN1468" s="38"/>
      <c r="CO1468" s="38"/>
      <c r="CP1468" s="38"/>
      <c r="CQ1468" s="38"/>
      <c r="CR1468" s="1"/>
      <c r="CS1468" s="1"/>
      <c r="CT1468" s="1"/>
      <c r="CU1468" s="1"/>
    </row>
    <row r="1469" spans="1:99" s="13" customFormat="1" ht="12" customHeight="1" x14ac:dyDescent="0.2">
      <c r="A1469" s="68">
        <v>43903</v>
      </c>
      <c r="B1469" s="70" t="s">
        <v>487</v>
      </c>
      <c r="C1469" s="70" t="s">
        <v>357</v>
      </c>
      <c r="D1469" s="69">
        <v>1981</v>
      </c>
      <c r="E1469" s="87">
        <v>1</v>
      </c>
      <c r="F1469" s="69">
        <v>24</v>
      </c>
      <c r="G1469" s="69">
        <v>24</v>
      </c>
      <c r="H1469" s="69" t="s">
        <v>50</v>
      </c>
      <c r="I1469" s="69" t="s">
        <v>330</v>
      </c>
      <c r="J1469" s="69" t="s">
        <v>336</v>
      </c>
      <c r="K1469" s="69">
        <f>IF(J1469="syllables",1,IF(J1469="trigrams",2,IF(J1469="strings",3,IF(J1469="visual array",4,IF(J1469="characters",5,IF(J1469="letters",6,IF(J1469="free forms",7,IF(J1469="odors",8,IF(J1469="words",9,IF(J1469="pictures",10,IF(J1469="object pictures",11,IF(J1469="faces",12,IF(J1469="names",13,IF(J1469="idioms",14,IF(J1469="grades",15,IF(J1469="syllable-digit pairs",16,IF(J1469="trigram-word pairs",17,IF(J1469="word-digit pairs",18,IF(J1469="English-Swahili pairs",19,IF(J1469="spatial position",20,IF(J1469="word pairs",21,IF(J1469="word triads",22,IF(J1469="generated words",23,IF(J1469="word definition pairs",24,IF(J1469="math problems",25,IF(J1469="famous faces",26,IF(J1469="famous names",27,IF(J1469="famous voices",28,IF(J1469="television programs",29,IF(J1469="race horses",30,IF(J1469="new vocabulary",31,IF(J1469="sentences",32,IF(J1469="concepts",33,IF(J1469="ad slides",34,IF(J1469="scenes",35,IF(J1469="famous scenes",36,IF(J1469="poems",37,IF(J1469="walk",38,IF(J1469="faces and events",39,IF(J1469="events and names",40,IF(J1469="flashbulb",41,IF(J1469="stories",42,IF(J1469="course material",43,IF(J1469="autobiographical",44,IF(J1469="novels",45,IF(J1469="public events",46,"99"))))))))))))))))))))))))))))))))))))))))))))))</f>
        <v>39</v>
      </c>
      <c r="L1469" s="69">
        <f>IF(J1469="syllables",1,IF(J1469="trigrams",1,IF(J1469="strings",1,IF(J1469="visual array",1,IF(J1469="characters",1,IF(J1469="letters",1,IF(J1469="free forms",1,IF(J1469="odors",2,IF(J1469="words",2,IF(J1469="pictures",2,IF(J1469="object pictures",2,IF(J1469="faces",2,IF(J1469="names",2,IF(J1469="idioms","2",IF(J1469="grades",2,IF(J1469="syllable-digit pairs",3,IF(J1469="trigram-word pairs",3,IF(J1469="word-digit pairs",3,IF(J1469="English-Swahili pairs",3,IF(J1469="spatial position",3,IF(J1469="word pairs",4,IF(J1469="word triads",4,IF(J1469="generated words",4,IF(J1469="word definition pairs",4,IF(J1469="math problems",4,IF(J1469="famous faces",4,IF(J1469="famous names",4,IF(J1469="famous voices",4,IF(J1469="television programs",4,IF(J1469="race horses",4,IF(J1469="new vocabulary",4,IF(J1469="sentences",5,IF(J1469="concepts",5,IF(J1469="ad slides",5,IF(J1469="scenes",5,IF(J1469="famous scenes",5,IF(J1469="poems",6,IF(J1469="walk",6,IF(J1469="faces and events",6,IF(J1469="events and names",6,IF(J1469="flashbulb",7,IF(J1469="stories",7,IF(J1469="course material",7,IF(J1469="autobiographical",7,IF(J1469="novels",7,IF(J1469="public events",7,"99"))))))))))))))))))))))))))))))))))))))))))))))</f>
        <v>6</v>
      </c>
      <c r="M1469" s="69">
        <v>1</v>
      </c>
      <c r="N1469" s="86">
        <v>2</v>
      </c>
      <c r="O1469" s="69">
        <v>0</v>
      </c>
      <c r="P1469" s="69"/>
      <c r="Q1469" s="69" t="s">
        <v>174</v>
      </c>
      <c r="R1469" s="69">
        <f>IF(Q1469="Free Recall",1,IF(Q1469="Cued Recall",2,IF(Q1469="Recognition",3,IF(Q1469="Multiple Choice",4,IF(Q1469="Savings",5,IF(Q1469="Stem Completion",6,IF(Q1469="Fragment Completion",7,IF(Q1469="anagram solution",8,IF(Q1469="Matching",9,IF(Q1469="Problem Solving",10,"99"))))))))))</f>
        <v>1</v>
      </c>
      <c r="S1469" s="69" t="s">
        <v>15</v>
      </c>
      <c r="T1469" s="92" t="s">
        <v>581</v>
      </c>
      <c r="U1469" s="69">
        <f>IF(T1469="within",1,0)</f>
        <v>1</v>
      </c>
      <c r="V1469" s="92">
        <v>180</v>
      </c>
      <c r="W1469" s="69">
        <f>F1469*V1469</f>
        <v>4320</v>
      </c>
      <c r="X1469" s="69">
        <v>5</v>
      </c>
      <c r="Y1469" s="87">
        <f>AV1468</f>
        <v>157680000</v>
      </c>
      <c r="Z1469" s="69" t="s">
        <v>373</v>
      </c>
      <c r="AA1469" s="87">
        <f>60*60*24*365*45</f>
        <v>1419120000</v>
      </c>
      <c r="AB1469" s="69" t="str">
        <f t="shared" si="98"/>
        <v>4</v>
      </c>
      <c r="AC1469" s="72">
        <f t="shared" ref="AC1469" si="104">AVERAGE(AV1468:DA1468)</f>
        <v>788400000</v>
      </c>
      <c r="AD1469" s="69" t="str">
        <f>IF(AC1469&lt;60,"1",IF(AC1469&lt;=43200,"2",IF(AC1469&lt;=777600,"3","4")))</f>
        <v>4</v>
      </c>
      <c r="AE1469" s="87">
        <f>AA1469-Y1469</f>
        <v>1261440000</v>
      </c>
      <c r="AF1469" s="88">
        <f>AV1469</f>
        <v>0.34776546299606698</v>
      </c>
      <c r="AG1469" s="72">
        <f>((AW1469-AV1469)+(AX1469-AW1469)+(AY1469-AX1469)+(AZ1469-AY1469))/4</f>
        <v>1.1171633472838505E-2</v>
      </c>
      <c r="AH1469" s="4"/>
      <c r="AI1469" s="72">
        <f>RSQ(AV1469:AZ1469,AV1468:AZ1468)</f>
        <v>0.15525563986201474</v>
      </c>
      <c r="AJ1469" s="110">
        <f>SLOPE(AV1469:AZ1469,AV1468:AZ1468)</f>
        <v>3.3835159647695331E-11</v>
      </c>
      <c r="AK1469" s="72">
        <f>INTERCEPT(AV1469:AZ1469,AV1468:AZ1468)</f>
        <v>0.38229573702916958</v>
      </c>
      <c r="AL1469" s="72">
        <f>INDEX(LINEST(LN(AV1469:AZ1469),LN(AV1468:AZ1468),TRUE,TRUE),3,1)</f>
        <v>0.38709364979609834</v>
      </c>
      <c r="AM1469" s="72">
        <f>INDEX(LINEST(LN(AV1469:AZ1469),LN(AV1468:AZ1468)),1)</f>
        <v>7.6560292744234232E-2</v>
      </c>
      <c r="AN1469" s="72">
        <f>EXP(INDEX(LINEST(LN(AV1469:AZ1469),LN(AV1468:AZ1468)),1,2))</f>
        <v>8.6407091153315518E-2</v>
      </c>
      <c r="AO1469" s="89">
        <f>INDEX(LINEST((AV1469:AZ1469),LN(AV1468:AZ1468),TRUE,TRUE),3,1)</f>
        <v>0.35887129058392209</v>
      </c>
      <c r="AP1469" s="89">
        <f>INDEX(LINEST((AV1469:AZ1469),LN(AV1468:AZ1468)),1)</f>
        <v>2.9501225391546895E-2</v>
      </c>
      <c r="AQ1469" s="90">
        <f t="shared" ref="AQ1469" si="105">INDEX(LINEST(LN(AV1469:AZ1469),SQRT(AV1468:AZ1468),TRUE,TRUE),3,1)</f>
        <v>0.27164145391215194</v>
      </c>
      <c r="AR1469" s="117">
        <f t="shared" ref="AR1469" si="106">INDEX(LINEST(LN(AV1469:AZ1469),SQRT((AV1468:AZ1468))),1)</f>
        <v>5.6521253597566374E-6</v>
      </c>
      <c r="AS1469" s="91">
        <f t="shared" ref="AS1469" si="107">INDEX(LINEST(1/(AV1469:AZ1469),1/(SQRT(AV1468:AZ1468)),TRUE,TRUE),3,1)</f>
        <v>0.52528594606380574</v>
      </c>
      <c r="AT1469" s="91">
        <f t="shared" ref="AT1469" si="108">INDEX(LINEST(1/(AV1469:AZ1469),1/SQRT(AV1468:AZ1468)),1)</f>
        <v>9099.4879891508117</v>
      </c>
      <c r="AU1469" s="3"/>
      <c r="AV1469" s="73">
        <v>0.34776546299606698</v>
      </c>
      <c r="AW1469" s="73">
        <v>0.44006183095333201</v>
      </c>
      <c r="AX1469" s="73">
        <v>0.40718627100464699</v>
      </c>
      <c r="AY1469" s="73">
        <v>0.45739132263559595</v>
      </c>
      <c r="AZ1469" s="73">
        <v>0.392451996887421</v>
      </c>
      <c r="BA1469" s="42"/>
      <c r="BB1469" s="42"/>
      <c r="BC1469" s="38"/>
      <c r="BD1469" s="38"/>
      <c r="BE1469" s="38"/>
      <c r="BF1469" s="38"/>
      <c r="BG1469" s="38"/>
      <c r="BH1469" s="38"/>
      <c r="BI1469" s="38"/>
      <c r="BJ1469" s="38"/>
      <c r="BK1469" s="38"/>
      <c r="BL1469" s="38"/>
      <c r="BM1469" s="38"/>
      <c r="BN1469" s="38"/>
      <c r="BO1469" s="38"/>
      <c r="BP1469" s="38"/>
      <c r="BQ1469" s="38"/>
      <c r="BR1469" s="38"/>
      <c r="BS1469" s="38"/>
      <c r="BT1469" s="38"/>
      <c r="BU1469" s="38"/>
      <c r="BV1469" s="38"/>
      <c r="BW1469" s="38"/>
      <c r="BX1469" s="38"/>
      <c r="BY1469" s="38"/>
      <c r="BZ1469" s="38"/>
      <c r="CA1469" s="38"/>
      <c r="CB1469" s="38"/>
      <c r="CC1469" s="38"/>
      <c r="CD1469" s="38"/>
      <c r="CE1469" s="38"/>
      <c r="CF1469" s="38"/>
      <c r="CG1469" s="38"/>
      <c r="CH1469" s="38"/>
      <c r="CI1469" s="38"/>
      <c r="CJ1469" s="38"/>
      <c r="CK1469" s="38"/>
      <c r="CL1469" s="38"/>
      <c r="CM1469" s="38"/>
      <c r="CN1469" s="38"/>
      <c r="CO1469" s="38"/>
      <c r="CP1469" s="38"/>
      <c r="CQ1469" s="38"/>
      <c r="CR1469" s="1"/>
      <c r="CS1469" s="1"/>
      <c r="CT1469" s="1"/>
      <c r="CU1469" s="1"/>
    </row>
    <row r="1470" spans="1:99" s="13" customFormat="1" ht="12" customHeight="1" x14ac:dyDescent="0.2">
      <c r="A1470" s="65">
        <v>43509</v>
      </c>
      <c r="B1470" s="1"/>
      <c r="C1470" s="1"/>
      <c r="D1470" s="60"/>
      <c r="E1470" s="76"/>
      <c r="F1470" s="60"/>
      <c r="G1470" s="60"/>
      <c r="H1470" s="60"/>
      <c r="I1470" s="60"/>
      <c r="J1470" s="60"/>
      <c r="K1470" s="64"/>
      <c r="L1470" s="64"/>
      <c r="M1470" s="60"/>
      <c r="N1470" s="60"/>
      <c r="O1470" s="60"/>
      <c r="P1470" s="60"/>
      <c r="Q1470" s="60"/>
      <c r="R1470" s="60"/>
      <c r="S1470" s="60"/>
      <c r="T1470" s="59"/>
      <c r="U1470" s="60"/>
      <c r="V1470" s="60"/>
      <c r="W1470" s="60"/>
      <c r="X1470" s="60"/>
      <c r="Y1470" s="76"/>
      <c r="Z1470" s="60"/>
      <c r="AA1470" s="60"/>
      <c r="AB1470" s="60"/>
      <c r="AC1470" s="60"/>
      <c r="AD1470" s="60"/>
      <c r="AE1470" s="60"/>
      <c r="AF1470" s="80"/>
      <c r="AG1470" s="56"/>
      <c r="AH1470" s="4"/>
      <c r="AI1470" s="56"/>
      <c r="AJ1470" s="109"/>
      <c r="AK1470" s="56"/>
      <c r="AL1470" s="56"/>
      <c r="AM1470" s="56"/>
      <c r="AN1470" s="56"/>
      <c r="AO1470" s="56"/>
      <c r="AP1470" s="56"/>
      <c r="AQ1470" s="56"/>
      <c r="AR1470" s="109"/>
      <c r="AS1470" s="56"/>
      <c r="AT1470" s="56"/>
      <c r="AU1470" s="4"/>
      <c r="AV1470" s="53">
        <v>2.5</v>
      </c>
      <c r="AW1470" s="25">
        <v>5</v>
      </c>
      <c r="AX1470" s="25">
        <v>10</v>
      </c>
      <c r="AY1470" s="25">
        <v>20</v>
      </c>
      <c r="AZ1470" s="25">
        <v>40</v>
      </c>
      <c r="BA1470" s="42"/>
      <c r="BB1470" s="42"/>
      <c r="BC1470" s="2"/>
      <c r="BD1470" s="2"/>
      <c r="BE1470" s="2"/>
      <c r="BF1470" s="2"/>
      <c r="BG1470" s="2"/>
      <c r="BH1470" s="2"/>
      <c r="BI1470" s="2"/>
      <c r="BJ1470" s="2"/>
      <c r="BK1470" s="2"/>
      <c r="BL1470" s="2"/>
      <c r="BM1470" s="2"/>
      <c r="BN1470" s="2"/>
      <c r="BO1470" s="2"/>
      <c r="BP1470" s="2"/>
      <c r="BQ1470" s="2"/>
      <c r="BR1470" s="2"/>
      <c r="BS1470" s="2"/>
      <c r="BT1470" s="2"/>
      <c r="BU1470" s="2"/>
      <c r="BV1470" s="2"/>
      <c r="BW1470" s="2"/>
      <c r="BX1470" s="2"/>
      <c r="BY1470" s="2"/>
      <c r="BZ1470" s="2"/>
      <c r="CA1470" s="2"/>
      <c r="CB1470" s="2"/>
      <c r="CC1470" s="2"/>
      <c r="CD1470" s="2"/>
      <c r="CE1470" s="2"/>
      <c r="CF1470" s="2"/>
      <c r="CG1470" s="2"/>
      <c r="CH1470" s="2"/>
      <c r="CI1470" s="2"/>
      <c r="CJ1470" s="2"/>
      <c r="CK1470" s="2"/>
      <c r="CL1470" s="2"/>
      <c r="CM1470" s="2"/>
      <c r="CN1470" s="2"/>
      <c r="CO1470" s="2"/>
      <c r="CP1470" s="2"/>
      <c r="CQ1470" s="2"/>
      <c r="CR1470" s="1"/>
      <c r="CS1470" s="1"/>
      <c r="CT1470" s="1"/>
      <c r="CU1470" s="1"/>
    </row>
    <row r="1471" spans="1:99" s="13" customFormat="1" ht="12" customHeight="1" x14ac:dyDescent="0.2">
      <c r="A1471" s="65">
        <v>43509</v>
      </c>
      <c r="B1471" s="1" t="s">
        <v>259</v>
      </c>
      <c r="C1471" s="1" t="s">
        <v>55</v>
      </c>
      <c r="D1471" s="60">
        <v>1991</v>
      </c>
      <c r="E1471" s="76">
        <v>1</v>
      </c>
      <c r="F1471" s="60">
        <v>8</v>
      </c>
      <c r="G1471" s="60">
        <v>8</v>
      </c>
      <c r="H1471" s="60" t="s">
        <v>50</v>
      </c>
      <c r="I1471" s="60" t="s">
        <v>856</v>
      </c>
      <c r="J1471" s="60" t="s">
        <v>16</v>
      </c>
      <c r="K1471" s="60">
        <f>IF(J1471="syllables",1,IF(J1471="trigrams",2,IF(J1471="strings",3,IF(J1471="visual array",4,IF(J1471="characters",5,IF(J1471="letters",6,IF(J1471="free forms",7,IF(J1471="odors",8,IF(J1471="words",9,IF(J1471="pictures",10,IF(J1471="object pictures",11,IF(J1471="faces",12,IF(J1471="names",13,IF(J1471="idioms",14,IF(J1471="grades",15,IF(J1471="syllable-digit pairs",16,IF(J1471="trigram-word pairs",17,IF(J1471="word-digit pairs",18,IF(J1471="English-Swahili pairs",19,IF(J1471="spatial position",20,IF(J1471="word pairs",21,IF(J1471="word triads",22,IF(J1471="generated words",23,IF(J1471="word definition pairs",24,IF(J1471="math problems",25,IF(J1471="famous faces",26,IF(J1471="famous names",27,IF(J1471="famous voices",28,IF(J1471="television programs",29,IF(J1471="race horses",30,IF(J1471="new vocabulary",31,IF(J1471="sentences",32,IF(J1471="concepts",33,IF(J1471="ad slides",34,IF(J1471="scenes",35,IF(J1471="famous scenes",36,IF(J1471="poems",37,IF(J1471="walk",38,IF(J1471="faces and events",39,IF(J1471="events and names",40,IF(J1471="flashbulb",41,IF(J1471="stories",42,IF(J1471="course material",43,IF(J1471="autobiographical",44,IF(J1471="novels",45,IF(J1471="public events",46,"99"))))))))))))))))))))))))))))))))))))))))))))))</f>
        <v>9</v>
      </c>
      <c r="L1471" s="60">
        <f>IF(J1471="syllables",1,IF(J1471="trigrams",1,IF(J1471="strings",1,IF(J1471="visual array",1,IF(J1471="characters",1,IF(J1471="letters",1,IF(J1471="free forms",1,IF(J1471="odors",2,IF(J1471="words",2,IF(J1471="pictures",2,IF(J1471="object pictures",2,IF(J1471="faces",2,IF(J1471="names",2,IF(J1471="idioms","2",IF(J1471="grades",2,IF(J1471="syllable-digit pairs",3,IF(J1471="trigram-word pairs",3,IF(J1471="word-digit pairs",3,IF(J1471="English-Swahili pairs",3,IF(J1471="spatial position",3,IF(J1471="word pairs",4,IF(J1471="word triads",4,IF(J1471="generated words",4,IF(J1471="word definition pairs",4,IF(J1471="math problems",4,IF(J1471="famous faces",4,IF(J1471="famous names",4,IF(J1471="famous voices",4,IF(J1471="television programs",4,IF(J1471="race horses",4,IF(J1471="new vocabulary",4,IF(J1471="sentences",5,IF(J1471="concepts",5,IF(J1471="ad slides",5,IF(J1471="scenes",5,IF(J1471="famous scenes",5,IF(J1471="poems",6,IF(J1471="walk",6,IF(J1471="faces and events",6,IF(J1471="events and names",6,IF(J1471="flashbulb",7,IF(J1471="stories",7,IF(J1471="course material",7,IF(J1471="autobiographical",7,IF(J1471="novels",7,IF(J1471="public events",7,"99"))))))))))))))))))))))))))))))))))))))))))))))</f>
        <v>2</v>
      </c>
      <c r="M1471" s="60">
        <v>0</v>
      </c>
      <c r="N1471" s="60">
        <v>1</v>
      </c>
      <c r="O1471" s="60">
        <v>1</v>
      </c>
      <c r="P1471" s="60" t="s">
        <v>901</v>
      </c>
      <c r="Q1471" s="60" t="s">
        <v>174</v>
      </c>
      <c r="R1471" s="60">
        <f>IF(Q1471="Free Recall",1,IF(Q1471="Cued Recall",2,IF(Q1471="Recognition",3,IF(Q1471="Multiple Choice",4,IF(Q1471="Savings",5,IF(Q1471="Stem Completion",6,IF(Q1471="Fragment Completion",7,IF(Q1471="anagram solution",8,IF(Q1471="Matching",9,IF(Q1471="Problem Solving",10,"99"))))))))))</f>
        <v>1</v>
      </c>
      <c r="S1471" s="60" t="s">
        <v>49</v>
      </c>
      <c r="T1471" s="59" t="s">
        <v>581</v>
      </c>
      <c r="U1471" s="60">
        <f>IF(T1471="within",1,0)</f>
        <v>1</v>
      </c>
      <c r="V1471" s="59">
        <v>45</v>
      </c>
      <c r="W1471" s="60">
        <f>F1471*V1471</f>
        <v>360</v>
      </c>
      <c r="X1471" s="60">
        <v>5</v>
      </c>
      <c r="Y1471" s="76">
        <f>AV1470</f>
        <v>2.5</v>
      </c>
      <c r="Z1471" s="60" t="s">
        <v>56</v>
      </c>
      <c r="AA1471" s="60">
        <v>40</v>
      </c>
      <c r="AB1471" s="60" t="str">
        <f t="shared" si="98"/>
        <v>1</v>
      </c>
      <c r="AC1471" s="56">
        <f t="shared" ref="AC1471" si="109">AVERAGE(AV1470:DA1470)</f>
        <v>15.5</v>
      </c>
      <c r="AD1471" s="60" t="str">
        <f>IF(AC1471&lt;60,"1",IF(AC1471&lt;=43200,"2",IF(AC1471&lt;=777600,"3","4")))</f>
        <v>1</v>
      </c>
      <c r="AE1471" s="76">
        <f>AA1471-Y1471</f>
        <v>37.5</v>
      </c>
      <c r="AF1471" s="80">
        <f>AV1471</f>
        <v>0.77</v>
      </c>
      <c r="AG1471" s="56">
        <f>((AW1471-AV1471)+(AX1471-AW1471)+(AY1471-AX1471)+(AZ1471-AY1471))/4</f>
        <v>-5.4999999999999993E-2</v>
      </c>
      <c r="AH1471" s="4"/>
      <c r="AI1471" s="56">
        <f>RSQ(AV1471:AZ1471,AV1470:AZ1470)</f>
        <v>0.77259180573762642</v>
      </c>
      <c r="AJ1471" s="109">
        <f>SLOPE(AV1471:AZ1471,AV1470:AZ1470)</f>
        <v>-4.9569892473118266E-3</v>
      </c>
      <c r="AK1471" s="56">
        <f>INTERCEPT(AV1471:AZ1471,AV1470:AZ1470)</f>
        <v>0.72483333333333333</v>
      </c>
      <c r="AL1471" s="56">
        <f>INDEX(LINEST(LN(AV1471:AZ1471),LN(AV1470:AZ1470),TRUE,TRUE),3,1)</f>
        <v>0.99003162792132282</v>
      </c>
      <c r="AM1471" s="56">
        <f>INDEX(LINEST(LN(AV1471:AZ1471),LN(AV1470:AZ1470)),1)</f>
        <v>-0.11908193382823912</v>
      </c>
      <c r="AN1471" s="56">
        <f>EXP(INDEX(LINEST(LN(AV1471:AZ1471),LN(AV1470:AZ1470)),1,2))</f>
        <v>0.84653724893233373</v>
      </c>
      <c r="AO1471" s="82">
        <f>INDEX(LINEST((AV1471:AZ1471),LN(AV1470:AZ1470),TRUE,TRUE),3,1)</f>
        <v>0.97857867333829196</v>
      </c>
      <c r="AP1471" s="82">
        <f>INDEX(LINEST((AV1471:AZ1471),LN(AV1470:AZ1470)),1)</f>
        <v>-7.7616993199826234E-2</v>
      </c>
      <c r="AQ1471" s="83">
        <f t="shared" ref="AQ1471" si="110">INDEX(LINEST(LN(AV1471:AZ1471),SQRT(AV1470:AZ1470),TRUE,TRUE),3,1)</f>
        <v>0.92010655888020487</v>
      </c>
      <c r="AR1471" s="116">
        <f t="shared" ref="AR1471" si="111">INDEX(LINEST(LN(AV1471:AZ1471),SQRT((AV1470:AZ1470))),1)</f>
        <v>-6.653878137586032E-2</v>
      </c>
      <c r="AS1471" s="84">
        <f t="shared" ref="AS1471" si="112">INDEX(LINEST(1/(AV1471:AZ1471),1/(SQRT(AV1470:AZ1470)),TRUE,TRUE),3,1)</f>
        <v>0.97273124345148854</v>
      </c>
      <c r="AT1471" s="84">
        <f t="shared" ref="AT1471" si="113">INDEX(LINEST(1/(AV1471:AZ1471),1/SQRT(AV1470:AZ1470)),1)</f>
        <v>-1.054792435547496</v>
      </c>
      <c r="AU1471" s="3"/>
      <c r="AV1471" s="53">
        <v>0.77</v>
      </c>
      <c r="AW1471" s="53">
        <v>0.69299999999999995</v>
      </c>
      <c r="AX1471" s="53">
        <v>0.63200000000000001</v>
      </c>
      <c r="AY1471" s="53">
        <v>0.59499999999999997</v>
      </c>
      <c r="AZ1471" s="53">
        <v>0.55000000000000004</v>
      </c>
      <c r="BA1471" s="42"/>
      <c r="BB1471" s="42"/>
      <c r="BC1471" s="2"/>
      <c r="BD1471" s="2"/>
      <c r="BE1471" s="2"/>
      <c r="BF1471" s="2"/>
      <c r="BG1471" s="2"/>
      <c r="BH1471" s="2"/>
      <c r="BI1471" s="2"/>
      <c r="BJ1471" s="2"/>
      <c r="BK1471" s="2"/>
      <c r="BL1471" s="2"/>
      <c r="BM1471" s="2"/>
      <c r="BN1471" s="2"/>
      <c r="BO1471" s="2"/>
      <c r="BP1471" s="2"/>
      <c r="BQ1471" s="2"/>
      <c r="BR1471" s="2"/>
      <c r="BS1471" s="2"/>
      <c r="BT1471" s="2"/>
      <c r="BU1471" s="2"/>
      <c r="BV1471" s="2"/>
      <c r="BW1471" s="2"/>
      <c r="BX1471" s="2"/>
      <c r="BY1471" s="2"/>
      <c r="BZ1471" s="2"/>
      <c r="CA1471" s="2"/>
      <c r="CB1471" s="2"/>
      <c r="CC1471" s="2"/>
      <c r="CD1471" s="2"/>
      <c r="CE1471" s="2"/>
      <c r="CF1471" s="2"/>
      <c r="CG1471" s="2"/>
      <c r="CH1471" s="2"/>
      <c r="CI1471" s="2"/>
      <c r="CJ1471" s="2"/>
      <c r="CK1471" s="2"/>
      <c r="CL1471" s="2"/>
      <c r="CM1471" s="2"/>
      <c r="CN1471" s="2"/>
      <c r="CO1471" s="2"/>
      <c r="CP1471" s="2"/>
      <c r="CQ1471" s="2"/>
      <c r="CR1471" s="1"/>
      <c r="CS1471" s="1"/>
      <c r="CT1471" s="1"/>
      <c r="CU1471" s="1"/>
    </row>
    <row r="1472" spans="1:99" s="13" customFormat="1" ht="12" customHeight="1" x14ac:dyDescent="0.2">
      <c r="A1472" s="65">
        <v>43509</v>
      </c>
      <c r="B1472" s="1"/>
      <c r="C1472" s="1"/>
      <c r="D1472" s="60"/>
      <c r="E1472" s="76"/>
      <c r="F1472" s="60"/>
      <c r="G1472" s="60"/>
      <c r="H1472" s="60"/>
      <c r="I1472" s="60"/>
      <c r="J1472" s="60"/>
      <c r="K1472" s="64"/>
      <c r="L1472" s="64"/>
      <c r="M1472" s="60"/>
      <c r="N1472" s="60"/>
      <c r="O1472" s="60"/>
      <c r="P1472" s="60"/>
      <c r="Q1472" s="60"/>
      <c r="R1472" s="60"/>
      <c r="S1472" s="60"/>
      <c r="T1472" s="59"/>
      <c r="U1472" s="60"/>
      <c r="V1472" s="60"/>
      <c r="W1472" s="60"/>
      <c r="X1472" s="60"/>
      <c r="Y1472" s="76"/>
      <c r="Z1472" s="60"/>
      <c r="AA1472" s="60"/>
      <c r="AB1472" s="60"/>
      <c r="AC1472" s="60"/>
      <c r="AD1472" s="60"/>
      <c r="AE1472" s="60"/>
      <c r="AF1472" s="80"/>
      <c r="AG1472" s="56"/>
      <c r="AH1472" s="4"/>
      <c r="AI1472" s="56"/>
      <c r="AJ1472" s="109"/>
      <c r="AK1472" s="56"/>
      <c r="AL1472" s="56"/>
      <c r="AM1472" s="56"/>
      <c r="AN1472" s="56"/>
      <c r="AO1472" s="82"/>
      <c r="AP1472" s="82"/>
      <c r="AQ1472" s="56"/>
      <c r="AR1472" s="109"/>
      <c r="AS1472" s="56"/>
      <c r="AT1472" s="56"/>
      <c r="AU1472" s="3"/>
      <c r="AV1472" s="53">
        <v>2.5</v>
      </c>
      <c r="AW1472" s="25">
        <v>5</v>
      </c>
      <c r="AX1472" s="25">
        <v>10</v>
      </c>
      <c r="AY1472" s="25">
        <v>20</v>
      </c>
      <c r="AZ1472" s="25">
        <v>40</v>
      </c>
      <c r="BA1472" s="42"/>
      <c r="BB1472" s="42"/>
      <c r="BC1472" s="2"/>
      <c r="BD1472" s="2"/>
      <c r="BE1472" s="2"/>
      <c r="BF1472" s="2"/>
      <c r="BG1472" s="2"/>
      <c r="BH1472" s="2"/>
      <c r="BI1472" s="2"/>
      <c r="BJ1472" s="2"/>
      <c r="BK1472" s="2"/>
      <c r="BL1472" s="2"/>
      <c r="BM1472" s="2"/>
      <c r="BN1472" s="2"/>
      <c r="BO1472" s="2"/>
      <c r="BP1472" s="2"/>
      <c r="BQ1472" s="2"/>
      <c r="BR1472" s="2"/>
      <c r="BS1472" s="2"/>
      <c r="BT1472" s="2"/>
      <c r="BU1472" s="2"/>
      <c r="BV1472" s="2"/>
      <c r="BW1472" s="2"/>
      <c r="BX1472" s="2"/>
      <c r="BY1472" s="2"/>
      <c r="BZ1472" s="2"/>
      <c r="CA1472" s="2"/>
      <c r="CB1472" s="2"/>
      <c r="CC1472" s="2"/>
      <c r="CD1472" s="2"/>
      <c r="CE1472" s="2"/>
      <c r="CF1472" s="2"/>
      <c r="CG1472" s="2"/>
      <c r="CH1472" s="2"/>
      <c r="CI1472" s="2"/>
      <c r="CJ1472" s="2"/>
      <c r="CK1472" s="2"/>
      <c r="CL1472" s="2"/>
      <c r="CM1472" s="2"/>
      <c r="CN1472" s="2"/>
      <c r="CO1472" s="2"/>
      <c r="CP1472" s="2"/>
      <c r="CQ1472" s="2"/>
      <c r="CR1472" s="1"/>
      <c r="CS1472" s="1"/>
      <c r="CT1472" s="1"/>
      <c r="CU1472" s="1"/>
    </row>
    <row r="1473" spans="1:99" s="13" customFormat="1" ht="12" customHeight="1" x14ac:dyDescent="0.2">
      <c r="A1473" s="65">
        <v>43509</v>
      </c>
      <c r="B1473" s="1" t="s">
        <v>259</v>
      </c>
      <c r="C1473" s="1" t="s">
        <v>55</v>
      </c>
      <c r="D1473" s="60">
        <v>1991</v>
      </c>
      <c r="E1473" s="76">
        <v>1</v>
      </c>
      <c r="F1473" s="60">
        <v>8</v>
      </c>
      <c r="G1473" s="60">
        <v>8</v>
      </c>
      <c r="H1473" s="60" t="s">
        <v>50</v>
      </c>
      <c r="I1473" s="60" t="s">
        <v>857</v>
      </c>
      <c r="J1473" s="60" t="s">
        <v>16</v>
      </c>
      <c r="K1473" s="60">
        <f>IF(J1473="syllables",1,IF(J1473="trigrams",2,IF(J1473="strings",3,IF(J1473="visual array",4,IF(J1473="characters",5,IF(J1473="letters",6,IF(J1473="free forms",7,IF(J1473="odors",8,IF(J1473="words",9,IF(J1473="pictures",10,IF(J1473="object pictures",11,IF(J1473="faces",12,IF(J1473="names",13,IF(J1473="idioms",14,IF(J1473="grades",15,IF(J1473="syllable-digit pairs",16,IF(J1473="trigram-word pairs",17,IF(J1473="word-digit pairs",18,IF(J1473="English-Swahili pairs",19,IF(J1473="spatial position",20,IF(J1473="word pairs",21,IF(J1473="word triads",22,IF(J1473="generated words",23,IF(J1473="word definition pairs",24,IF(J1473="math problems",25,IF(J1473="famous faces",26,IF(J1473="famous names",27,IF(J1473="famous voices",28,IF(J1473="television programs",29,IF(J1473="race horses",30,IF(J1473="new vocabulary",31,IF(J1473="sentences",32,IF(J1473="concepts",33,IF(J1473="ad slides",34,IF(J1473="scenes",35,IF(J1473="famous scenes",36,IF(J1473="poems",37,IF(J1473="walk",38,IF(J1473="faces and events",39,IF(J1473="events and names",40,IF(J1473="flashbulb",41,IF(J1473="stories",42,IF(J1473="course material",43,IF(J1473="autobiographical",44,IF(J1473="novels",45,IF(J1473="public events",46,"99"))))))))))))))))))))))))))))))))))))))))))))))</f>
        <v>9</v>
      </c>
      <c r="L1473" s="60">
        <f>IF(J1473="syllables",1,IF(J1473="trigrams",1,IF(J1473="strings",1,IF(J1473="visual array",1,IF(J1473="characters",1,IF(J1473="letters",1,IF(J1473="free forms",1,IF(J1473="odors",2,IF(J1473="words",2,IF(J1473="pictures",2,IF(J1473="object pictures",2,IF(J1473="faces",2,IF(J1473="names",2,IF(J1473="idioms","2",IF(J1473="grades",2,IF(J1473="syllable-digit pairs",3,IF(J1473="trigram-word pairs",3,IF(J1473="word-digit pairs",3,IF(J1473="English-Swahili pairs",3,IF(J1473="spatial position",3,IF(J1473="word pairs",4,IF(J1473="word triads",4,IF(J1473="generated words",4,IF(J1473="word definition pairs",4,IF(J1473="math problems",4,IF(J1473="famous faces",4,IF(J1473="famous names",4,IF(J1473="famous voices",4,IF(J1473="television programs",4,IF(J1473="race horses",4,IF(J1473="new vocabulary",4,IF(J1473="sentences",5,IF(J1473="concepts",5,IF(J1473="ad slides",5,IF(J1473="scenes",5,IF(J1473="famous scenes",5,IF(J1473="poems",6,IF(J1473="walk",6,IF(J1473="faces and events",6,IF(J1473="events and names",6,IF(J1473="flashbulb",7,IF(J1473="stories",7,IF(J1473="course material",7,IF(J1473="autobiographical",7,IF(J1473="novels",7,IF(J1473="public events",7,"99"))))))))))))))))))))))))))))))))))))))))))))))</f>
        <v>2</v>
      </c>
      <c r="M1473" s="60">
        <v>0</v>
      </c>
      <c r="N1473" s="60">
        <v>1</v>
      </c>
      <c r="O1473" s="60">
        <v>1</v>
      </c>
      <c r="P1473" s="60" t="s">
        <v>901</v>
      </c>
      <c r="Q1473" s="60" t="s">
        <v>174</v>
      </c>
      <c r="R1473" s="60">
        <f>IF(Q1473="Free Recall",1,IF(Q1473="Cued Recall",2,IF(Q1473="Recognition",3,IF(Q1473="Multiple Choice",4,IF(Q1473="Savings",5,IF(Q1473="Stem Completion",6,IF(Q1473="Fragment Completion",7,IF(Q1473="anagram solution",8,IF(Q1473="Matching",9,IF(Q1473="Problem Solving",10,"99"))))))))))</f>
        <v>1</v>
      </c>
      <c r="S1473" s="60" t="s">
        <v>49</v>
      </c>
      <c r="T1473" s="59" t="s">
        <v>581</v>
      </c>
      <c r="U1473" s="60">
        <f>IF(T1473="within",1,0)</f>
        <v>1</v>
      </c>
      <c r="V1473" s="59">
        <v>45</v>
      </c>
      <c r="W1473" s="60">
        <f>F1473*V1473</f>
        <v>360</v>
      </c>
      <c r="X1473" s="60">
        <v>5</v>
      </c>
      <c r="Y1473" s="76">
        <f>AV1472</f>
        <v>2.5</v>
      </c>
      <c r="Z1473" s="60" t="s">
        <v>56</v>
      </c>
      <c r="AA1473" s="60">
        <v>40</v>
      </c>
      <c r="AB1473" s="60" t="str">
        <f t="shared" si="98"/>
        <v>1</v>
      </c>
      <c r="AC1473" s="56">
        <f t="shared" ref="AC1473" si="114">AVERAGE(AV1472:DA1472)</f>
        <v>15.5</v>
      </c>
      <c r="AD1473" s="60" t="str">
        <f>IF(AC1473&lt;60,"1",IF(AC1473&lt;=43200,"2",IF(AC1473&lt;=777600,"3","4")))</f>
        <v>1</v>
      </c>
      <c r="AE1473" s="76">
        <f>AA1473-Y1473</f>
        <v>37.5</v>
      </c>
      <c r="AF1473" s="80">
        <f>AV1473</f>
        <v>0.57699999999999996</v>
      </c>
      <c r="AG1473" s="56">
        <f>((AW1473-AV1473)+(AX1473-AW1473)+(AY1473-AX1473)+(AZ1473-AY1473))/4</f>
        <v>-4.3499999999999983E-2</v>
      </c>
      <c r="AH1473" s="4"/>
      <c r="AI1473" s="56">
        <f>RSQ(AV1473:AZ1473,AV1472:AZ1472)</f>
        <v>0.75288422386101428</v>
      </c>
      <c r="AJ1473" s="109">
        <f>SLOPE(AV1473:AZ1473,AV1472:AZ1472)</f>
        <v>-4.1612903225806443E-3</v>
      </c>
      <c r="AK1473" s="56">
        <f>INTERCEPT(AV1473:AZ1473,AV1472:AZ1472)</f>
        <v>0.54349999999999998</v>
      </c>
      <c r="AL1473" s="56">
        <f>INDEX(LINEST(LN(AV1473:AZ1473),LN(AV1472:AZ1472),TRUE,TRUE),3,1)</f>
        <v>0.97720461437401152</v>
      </c>
      <c r="AM1473" s="56">
        <f>INDEX(LINEST(LN(AV1473:AZ1473),LN(AV1472:AZ1472)),1)</f>
        <v>-0.13685662436313883</v>
      </c>
      <c r="AN1473" s="56">
        <f>EXP(INDEX(LINEST(LN(AV1473:AZ1473),LN(AV1472:AZ1472)),1,2))</f>
        <v>0.65039387346689803</v>
      </c>
      <c r="AO1473" s="82">
        <f>INDEX(LINEST((AV1473:AZ1473),LN(AV1472:AZ1472),TRUE,TRUE),3,1)</f>
        <v>0.97211781206171111</v>
      </c>
      <c r="AP1473" s="82">
        <f>INDEX(LINEST((AV1473:AZ1473),LN(AV1472:AZ1472)),1)</f>
        <v>-6.5786893864536733E-2</v>
      </c>
      <c r="AQ1473" s="83">
        <f t="shared" ref="AQ1473" si="115">INDEX(LINEST(LN(AV1473:AZ1473),SQRT(AV1472:AZ1472),TRUE,TRUE),3,1)</f>
        <v>0.90272228418776945</v>
      </c>
      <c r="AR1473" s="116">
        <f t="shared" ref="AR1473" si="116">INDEX(LINEST(LN(AV1473:AZ1473),SQRT((AV1472:AZ1472))),1)</f>
        <v>-7.6240298157408362E-2</v>
      </c>
      <c r="AS1473" s="84">
        <f t="shared" ref="AS1473" si="117">INDEX(LINEST(1/(AV1473:AZ1473),1/(SQRT(AV1472:AZ1472)),TRUE,TRUE),3,1)</f>
        <v>0.94992583969954492</v>
      </c>
      <c r="AT1473" s="84">
        <f t="shared" ref="AT1473" si="118">INDEX(LINEST(1/(AV1473:AZ1473),1/SQRT(AV1472:AZ1472)),1)</f>
        <v>-1.641455555814473</v>
      </c>
      <c r="AU1473" s="3"/>
      <c r="AV1473" s="53">
        <v>0.57699999999999996</v>
      </c>
      <c r="AW1473" s="53">
        <v>0.52400000000000002</v>
      </c>
      <c r="AX1473" s="53">
        <v>0.47499999999999998</v>
      </c>
      <c r="AY1473" s="53">
        <v>0.41599999999999998</v>
      </c>
      <c r="AZ1473" s="53">
        <v>0.40300000000000002</v>
      </c>
      <c r="BA1473" s="42"/>
      <c r="BB1473" s="42"/>
      <c r="BC1473" s="2"/>
      <c r="BD1473" s="2"/>
      <c r="BE1473" s="2"/>
      <c r="BF1473" s="2"/>
      <c r="BG1473" s="2"/>
      <c r="BH1473" s="2"/>
      <c r="BI1473" s="2"/>
      <c r="BJ1473" s="2"/>
      <c r="BK1473" s="2"/>
      <c r="BL1473" s="2"/>
      <c r="BM1473" s="2"/>
      <c r="BN1473" s="2"/>
      <c r="BO1473" s="2"/>
      <c r="BP1473" s="2"/>
      <c r="BQ1473" s="2"/>
      <c r="BR1473" s="2"/>
      <c r="BS1473" s="2"/>
      <c r="BT1473" s="2"/>
      <c r="BU1473" s="2"/>
      <c r="BV1473" s="2"/>
      <c r="BW1473" s="2"/>
      <c r="BX1473" s="2"/>
      <c r="BY1473" s="2"/>
      <c r="BZ1473" s="2"/>
      <c r="CA1473" s="2"/>
      <c r="CB1473" s="2"/>
      <c r="CC1473" s="2"/>
      <c r="CD1473" s="2"/>
      <c r="CE1473" s="2"/>
      <c r="CF1473" s="2"/>
      <c r="CG1473" s="2"/>
      <c r="CH1473" s="2"/>
      <c r="CI1473" s="2"/>
      <c r="CJ1473" s="2"/>
      <c r="CK1473" s="2"/>
      <c r="CL1473" s="2"/>
      <c r="CM1473" s="2"/>
      <c r="CN1473" s="2"/>
      <c r="CO1473" s="2"/>
      <c r="CP1473" s="2"/>
      <c r="CQ1473" s="2"/>
      <c r="CR1473" s="1"/>
      <c r="CS1473" s="1"/>
      <c r="CT1473" s="1"/>
      <c r="CU1473" s="1"/>
    </row>
    <row r="1474" spans="1:99" s="13" customFormat="1" ht="12" customHeight="1" x14ac:dyDescent="0.2">
      <c r="A1474" s="65">
        <v>43509</v>
      </c>
      <c r="B1474" s="1"/>
      <c r="C1474" s="1"/>
      <c r="D1474" s="60"/>
      <c r="E1474" s="76"/>
      <c r="F1474" s="60"/>
      <c r="G1474" s="60"/>
      <c r="H1474" s="60"/>
      <c r="I1474" s="60"/>
      <c r="J1474" s="60"/>
      <c r="K1474" s="64"/>
      <c r="L1474" s="64"/>
      <c r="M1474" s="60"/>
      <c r="N1474" s="60"/>
      <c r="O1474" s="60"/>
      <c r="P1474" s="60"/>
      <c r="Q1474" s="60"/>
      <c r="R1474" s="60"/>
      <c r="S1474" s="60"/>
      <c r="T1474" s="60"/>
      <c r="U1474" s="60"/>
      <c r="V1474" s="60"/>
      <c r="W1474" s="60"/>
      <c r="X1474" s="60"/>
      <c r="Y1474" s="76"/>
      <c r="Z1474" s="60"/>
      <c r="AA1474" s="60"/>
      <c r="AB1474" s="60"/>
      <c r="AC1474" s="60"/>
      <c r="AD1474" s="60"/>
      <c r="AE1474" s="60"/>
      <c r="AF1474" s="80"/>
      <c r="AG1474" s="56"/>
      <c r="AH1474" s="4"/>
      <c r="AI1474" s="56"/>
      <c r="AJ1474" s="109"/>
      <c r="AK1474" s="56"/>
      <c r="AL1474" s="56"/>
      <c r="AM1474" s="56"/>
      <c r="AN1474" s="56"/>
      <c r="AO1474" s="56"/>
      <c r="AP1474" s="56"/>
      <c r="AQ1474" s="56"/>
      <c r="AR1474" s="109"/>
      <c r="AS1474" s="56"/>
      <c r="AT1474" s="56"/>
      <c r="AU1474" s="4"/>
      <c r="AV1474" s="25">
        <f>60*60</f>
        <v>3600</v>
      </c>
      <c r="AW1474" s="25">
        <f>24*3600</f>
        <v>86400</v>
      </c>
      <c r="AX1474" s="25">
        <f>7*24*3600*1</f>
        <v>604800</v>
      </c>
      <c r="AY1474" s="25">
        <f>7*24*3600*2</f>
        <v>1209600</v>
      </c>
      <c r="AZ1474" s="53"/>
      <c r="BA1474" s="42"/>
      <c r="BB1474" s="42"/>
      <c r="BC1474" s="2"/>
      <c r="BD1474" s="2"/>
      <c r="BE1474" s="2"/>
      <c r="BF1474" s="2"/>
      <c r="BG1474" s="2"/>
      <c r="BH1474" s="2"/>
      <c r="BI1474" s="2"/>
      <c r="BJ1474" s="2"/>
      <c r="BK1474" s="2"/>
      <c r="BL1474" s="2"/>
      <c r="BM1474" s="2"/>
      <c r="BN1474" s="2"/>
      <c r="BO1474" s="2"/>
      <c r="BP1474" s="2"/>
      <c r="BQ1474" s="2"/>
      <c r="BR1474" s="2"/>
      <c r="BS1474" s="2"/>
      <c r="BT1474" s="2"/>
      <c r="BU1474" s="2"/>
      <c r="BV1474" s="2"/>
      <c r="BW1474" s="2"/>
      <c r="BX1474" s="2"/>
      <c r="BY1474" s="2"/>
      <c r="BZ1474" s="2"/>
      <c r="CA1474" s="2"/>
      <c r="CB1474" s="2"/>
      <c r="CC1474" s="2"/>
      <c r="CD1474" s="2"/>
      <c r="CE1474" s="2"/>
      <c r="CF1474" s="2"/>
      <c r="CG1474" s="2"/>
      <c r="CH1474" s="2"/>
      <c r="CI1474" s="2"/>
      <c r="CJ1474" s="2"/>
      <c r="CK1474" s="2"/>
      <c r="CL1474" s="2"/>
      <c r="CM1474" s="2"/>
      <c r="CN1474" s="2"/>
      <c r="CO1474" s="2"/>
      <c r="CP1474" s="2"/>
      <c r="CQ1474" s="2"/>
      <c r="CR1474" s="1"/>
      <c r="CS1474" s="1"/>
      <c r="CT1474" s="1"/>
      <c r="CU1474" s="1"/>
    </row>
    <row r="1475" spans="1:99" s="13" customFormat="1" ht="12" customHeight="1" x14ac:dyDescent="0.2">
      <c r="A1475" s="65">
        <v>43509</v>
      </c>
      <c r="B1475" s="1" t="s">
        <v>171</v>
      </c>
      <c r="C1475" s="1" t="s">
        <v>55</v>
      </c>
      <c r="D1475" s="60">
        <v>1991</v>
      </c>
      <c r="E1475" s="76">
        <v>2</v>
      </c>
      <c r="F1475" s="60">
        <v>195</v>
      </c>
      <c r="G1475" s="60">
        <v>48.8</v>
      </c>
      <c r="H1475" s="60" t="s">
        <v>41</v>
      </c>
      <c r="I1475" s="60"/>
      <c r="J1475" s="60" t="s">
        <v>328</v>
      </c>
      <c r="K1475" s="60">
        <f>IF(J1475="syllables",1,IF(J1475="trigrams",2,IF(J1475="strings",3,IF(J1475="visual array",4,IF(J1475="characters",5,IF(J1475="letters",6,IF(J1475="free forms",7,IF(J1475="odors",8,IF(J1475="words",9,IF(J1475="pictures",10,IF(J1475="object pictures",11,IF(J1475="faces",12,IF(J1475="names",13,IF(J1475="idioms",14,IF(J1475="grades",15,IF(J1475="syllable-digit pairs",16,IF(J1475="trigram-word pairs",17,IF(J1475="word-digit pairs",18,IF(J1475="English-Swahili pairs",19,IF(J1475="spatial position",20,IF(J1475="word pairs",21,IF(J1475="word triads",22,IF(J1475="generated words",23,IF(J1475="word definition pairs",24,IF(J1475="math problems",25,IF(J1475="famous faces",26,IF(J1475="famous names",27,IF(J1475="famous voices",28,IF(J1475="television programs",29,IF(J1475="race horses",30,IF(J1475="new vocabulary",31,IF(J1475="sentences",32,IF(J1475="concepts",33,IF(J1475="ad slides",34,IF(J1475="scenes",35,IF(J1475="famous scenes",36,IF(J1475="poems",37,IF(J1475="walk",38,IF(J1475="faces and events",39,IF(J1475="events and names",40,IF(J1475="flashbulb",41,IF(J1475="stories",42,IF(J1475="course material",43,IF(J1475="autobiographical",44,IF(J1475="novels",45,IF(J1475="public events",46,"99"))))))))))))))))))))))))))))))))))))))))))))))</f>
        <v>12</v>
      </c>
      <c r="L1475" s="60">
        <f>IF(J1475="syllables",1,IF(J1475="trigrams",1,IF(J1475="strings",1,IF(J1475="visual array",1,IF(J1475="characters",1,IF(J1475="letters",1,IF(J1475="free forms",1,IF(J1475="odors",2,IF(J1475="words",2,IF(J1475="pictures",2,IF(J1475="object pictures",2,IF(J1475="faces",2,IF(J1475="names",2,IF(J1475="idioms","2",IF(J1475="grades",2,IF(J1475="syllable-digit pairs",3,IF(J1475="trigram-word pairs",3,IF(J1475="word-digit pairs",3,IF(J1475="English-Swahili pairs",3,IF(J1475="spatial position",3,IF(J1475="word pairs",4,IF(J1475="word triads",4,IF(J1475="generated words",4,IF(J1475="word definition pairs",4,IF(J1475="math problems",4,IF(J1475="famous faces",4,IF(J1475="famous names",4,IF(J1475="famous voices",4,IF(J1475="television programs",4,IF(J1475="race horses",4,IF(J1475="new vocabulary",4,IF(J1475="sentences",5,IF(J1475="concepts",5,IF(J1475="ad slides",5,IF(J1475="scenes",5,IF(J1475="famous scenes",5,IF(J1475="poems",6,IF(J1475="walk",6,IF(J1475="faces and events",6,IF(J1475="events and names",6,IF(J1475="flashbulb",7,IF(J1475="stories",7,IF(J1475="course material",7,IF(J1475="autobiographical",7,IF(J1475="novels",7,IF(J1475="public events",7,"99"))))))))))))))))))))))))))))))))))))))))))))))</f>
        <v>2</v>
      </c>
      <c r="M1475" s="60">
        <v>0</v>
      </c>
      <c r="N1475" s="60">
        <v>1</v>
      </c>
      <c r="O1475" s="60">
        <v>0</v>
      </c>
      <c r="P1475" s="60"/>
      <c r="Q1475" s="60" t="s">
        <v>34</v>
      </c>
      <c r="R1475" s="60">
        <f>IF(Q1475="Free Recall",1,IF(Q1475="Cued Recall",2,IF(Q1475="Recognition",3,IF(Q1475="Multiple Choice",4,IF(Q1475="Savings",5,IF(Q1475="Stem Completion",6,IF(Q1475="Fragment Completion",7,IF(Q1475="anagram solution",8,IF(Q1475="Matching",9,IF(Q1475="Problem Solving",10,"99"))))))))))</f>
        <v>3</v>
      </c>
      <c r="S1475" s="60" t="s">
        <v>15</v>
      </c>
      <c r="T1475" s="60" t="s">
        <v>261</v>
      </c>
      <c r="U1475" s="60">
        <f>IF(T1475="within",1,0)</f>
        <v>0</v>
      </c>
      <c r="V1475" s="60">
        <v>40</v>
      </c>
      <c r="W1475" s="60">
        <f>F1475*V1475</f>
        <v>7800</v>
      </c>
      <c r="X1475" s="60">
        <v>4</v>
      </c>
      <c r="Y1475" s="76">
        <f>AV1474</f>
        <v>3600</v>
      </c>
      <c r="Z1475" s="60" t="s">
        <v>170</v>
      </c>
      <c r="AA1475" s="60">
        <v>1209600</v>
      </c>
      <c r="AB1475" s="60" t="str">
        <f t="shared" si="98"/>
        <v>4</v>
      </c>
      <c r="AC1475" s="56">
        <f t="shared" ref="AC1475" si="119">AVERAGE(AV1474:DA1474)</f>
        <v>476100</v>
      </c>
      <c r="AD1475" s="60" t="str">
        <f>IF(AC1475&lt;60,"1",IF(AC1475&lt;=43200,"2",IF(AC1475&lt;=777600,"3","4")))</f>
        <v>3</v>
      </c>
      <c r="AE1475" s="76">
        <f>AA1475-Y1475</f>
        <v>1206000</v>
      </c>
      <c r="AF1475" s="80">
        <f>AV1475</f>
        <v>0.82699999999999996</v>
      </c>
      <c r="AG1475" s="56">
        <f>((AW1475-AV1475)+(AX1475-AW1475)+(AY1475-AX1475))/3</f>
        <v>-2.4333333333333318E-2</v>
      </c>
      <c r="AH1475" s="4"/>
      <c r="AI1475" s="56">
        <f>RSQ(AV1475:AY1475,AV1474:AY1474)</f>
        <v>0.67513334905066702</v>
      </c>
      <c r="AJ1475" s="109">
        <f>SLOPE(AV1475:AY1475,AV1474:AY1474)</f>
        <v>-4.7175765714380838E-8</v>
      </c>
      <c r="AK1475" s="56">
        <f>INTERCEPT(AV1475:AY1475,AV1474:AY1474)</f>
        <v>0.80471038205661671</v>
      </c>
      <c r="AL1475" s="56">
        <f>INDEX(LINEST(LN(AV1475:AY1475),LN(AV1474:AY1474),TRUE,TRUE),3,1)</f>
        <v>0.99016073813171968</v>
      </c>
      <c r="AM1475" s="56">
        <f>INDEX(LINEST(LN(AV1475:AY1475),LN(AV1474:AY1474)),1)</f>
        <v>-1.5417705311268558E-2</v>
      </c>
      <c r="AN1475" s="56">
        <f>EXP(INDEX(LINEST(LN(AV1475:AY1475),LN(AV1474:AY1474)),1,2))</f>
        <v>0.9365757749790834</v>
      </c>
      <c r="AO1475" s="82">
        <f>INDEX(LINEST((AV1475:AY1475),LN(AV1474:AY1474),TRUE,TRUE),3,1)</f>
        <v>0.98896528862385791</v>
      </c>
      <c r="AP1475" s="82">
        <f>INDEX(LINEST((AV1475:AY1475),LN(AV1474:AY1474)),1)</f>
        <v>-1.2202194447609808E-2</v>
      </c>
      <c r="AQ1475" s="83">
        <f>INDEX(LINEST(LN(AV1475:AY1475),SQRT(AV1474:AY1474),TRUE,TRUE),3,1)</f>
        <v>0.84410757252460089</v>
      </c>
      <c r="AR1475" s="116">
        <f>INDEX(LINEST(LN(AV1475:AY1475),SQRT((AV1474:AY1474))),1)</f>
        <v>-7.9083877844639362E-5</v>
      </c>
      <c r="AS1475" s="84">
        <f>INDEX(LINEST(1/(AV1475:AY1475),1/(SQRT(AV1474:AY1474)),TRUE,TRUE),3,1)</f>
        <v>0.93654862499447311</v>
      </c>
      <c r="AT1475" s="84">
        <f>INDEX(LINEST(1/(AV1475:AY1475),1/SQRT(AV1474:AY1474)),1)</f>
        <v>-6.5979395844339388</v>
      </c>
      <c r="AU1475" s="3"/>
      <c r="AV1475" s="53">
        <v>0.82699999999999996</v>
      </c>
      <c r="AW1475" s="53">
        <v>0.78200000000000003</v>
      </c>
      <c r="AX1475" s="53">
        <v>0.76600000000000001</v>
      </c>
      <c r="AY1475" s="53">
        <v>0.754</v>
      </c>
      <c r="AZ1475" s="53"/>
      <c r="BA1475" s="42"/>
      <c r="BB1475" s="42"/>
      <c r="BC1475" s="2"/>
      <c r="BD1475" s="2"/>
      <c r="BE1475" s="2"/>
      <c r="BF1475" s="2"/>
      <c r="BG1475" s="2"/>
      <c r="BH1475" s="2"/>
      <c r="BI1475" s="2"/>
      <c r="BJ1475" s="2"/>
      <c r="BK1475" s="2"/>
      <c r="BL1475" s="2"/>
      <c r="BM1475" s="2"/>
      <c r="BN1475" s="2"/>
      <c r="BO1475" s="2"/>
      <c r="BP1475" s="2"/>
      <c r="BQ1475" s="2"/>
      <c r="BR1475" s="2"/>
      <c r="BS1475" s="2"/>
      <c r="BT1475" s="2"/>
      <c r="BU1475" s="2"/>
      <c r="BV1475" s="2"/>
      <c r="BW1475" s="2"/>
      <c r="BX1475" s="2"/>
      <c r="BY1475" s="2"/>
      <c r="BZ1475" s="2"/>
      <c r="CA1475" s="2"/>
      <c r="CB1475" s="2"/>
      <c r="CC1475" s="2"/>
      <c r="CD1475" s="2"/>
      <c r="CE1475" s="2"/>
      <c r="CF1475" s="2"/>
      <c r="CG1475" s="2"/>
      <c r="CH1475" s="2"/>
      <c r="CI1475" s="2"/>
      <c r="CJ1475" s="2"/>
      <c r="CK1475" s="2"/>
      <c r="CL1475" s="2"/>
      <c r="CM1475" s="2"/>
      <c r="CN1475" s="2"/>
      <c r="CO1475" s="2"/>
      <c r="CP1475" s="2"/>
      <c r="CQ1475" s="2"/>
      <c r="CR1475" s="1"/>
      <c r="CS1475" s="1"/>
      <c r="CT1475" s="1"/>
      <c r="CU1475" s="1"/>
    </row>
    <row r="1476" spans="1:99" ht="12" customHeight="1" x14ac:dyDescent="0.2">
      <c r="A1476" s="68">
        <v>43509</v>
      </c>
      <c r="B1476" s="94"/>
      <c r="C1476" s="94"/>
      <c r="D1476" s="92"/>
      <c r="E1476" s="143"/>
      <c r="F1476" s="92"/>
      <c r="G1476" s="92"/>
      <c r="H1476" s="107"/>
      <c r="I1476" s="107"/>
      <c r="J1476" s="92"/>
      <c r="K1476" s="107"/>
      <c r="L1476" s="107"/>
      <c r="M1476" s="92"/>
      <c r="N1476" s="92"/>
      <c r="O1476" s="92"/>
      <c r="P1476" s="92"/>
      <c r="Q1476" s="92"/>
      <c r="R1476" s="69"/>
      <c r="S1476" s="92"/>
      <c r="T1476" s="92"/>
      <c r="U1476" s="69"/>
      <c r="V1476" s="92"/>
      <c r="W1476" s="69"/>
      <c r="X1476" s="107"/>
      <c r="Y1476" s="87"/>
      <c r="Z1476" s="107"/>
      <c r="AA1476" s="107"/>
      <c r="AB1476" s="69"/>
      <c r="AC1476" s="69"/>
      <c r="AD1476" s="69"/>
      <c r="AE1476" s="69"/>
      <c r="AF1476" s="88"/>
      <c r="AG1476" s="72"/>
      <c r="AI1476" s="108"/>
      <c r="AJ1476" s="113"/>
      <c r="AK1476" s="108"/>
      <c r="AL1476" s="108"/>
      <c r="AM1476" s="108"/>
      <c r="AN1476" s="108"/>
      <c r="AO1476" s="108"/>
      <c r="AP1476" s="108"/>
      <c r="AQ1476" s="72"/>
      <c r="AR1476" s="110"/>
      <c r="AS1476" s="72"/>
      <c r="AT1476" s="72"/>
      <c r="AU1476" s="4"/>
      <c r="AV1476" s="98">
        <v>300</v>
      </c>
      <c r="AW1476" s="98">
        <v>1200</v>
      </c>
      <c r="AX1476" s="98">
        <v>3600</v>
      </c>
      <c r="AY1476" s="98">
        <v>86400</v>
      </c>
      <c r="AZ1476" s="98">
        <v>172800</v>
      </c>
      <c r="BA1476" s="97"/>
      <c r="BB1476" s="11"/>
      <c r="BC1476" s="11"/>
      <c r="BD1476" s="11"/>
      <c r="BE1476" s="11"/>
      <c r="BF1476" s="11"/>
      <c r="BG1476" s="11"/>
      <c r="BH1476" s="11"/>
      <c r="BI1476" s="11"/>
      <c r="BJ1476" s="11"/>
      <c r="BK1476" s="11"/>
      <c r="BL1476" s="11"/>
      <c r="BM1476" s="11"/>
      <c r="BN1476" s="11"/>
      <c r="BO1476" s="11"/>
      <c r="BP1476" s="11"/>
      <c r="BQ1476" s="11"/>
      <c r="BR1476" s="11"/>
      <c r="BS1476" s="11"/>
      <c r="BT1476" s="11"/>
      <c r="BU1476" s="11"/>
      <c r="BV1476" s="11"/>
      <c r="BW1476" s="11"/>
      <c r="BX1476" s="11"/>
      <c r="BY1476" s="11"/>
      <c r="BZ1476" s="11"/>
      <c r="CA1476" s="11"/>
      <c r="CB1476" s="11"/>
      <c r="CC1476" s="11"/>
      <c r="CD1476" s="11"/>
      <c r="CE1476" s="11"/>
      <c r="CF1476" s="11"/>
      <c r="CG1476" s="11"/>
      <c r="CH1476" s="11"/>
      <c r="CI1476" s="11"/>
      <c r="CJ1476" s="11"/>
      <c r="CK1476" s="11"/>
      <c r="CL1476" s="11"/>
      <c r="CM1476" s="11"/>
      <c r="CN1476" s="11"/>
      <c r="CO1476" s="11"/>
      <c r="CP1476" s="11"/>
      <c r="CQ1476" s="11"/>
      <c r="CR1476" s="15"/>
      <c r="CS1476" s="15"/>
      <c r="CT1476" s="15"/>
      <c r="CU1476" s="15"/>
    </row>
    <row r="1477" spans="1:99" ht="12" customHeight="1" x14ac:dyDescent="0.2">
      <c r="A1477" s="68">
        <v>43509</v>
      </c>
      <c r="B1477" s="94" t="s">
        <v>905</v>
      </c>
      <c r="C1477" s="94" t="s">
        <v>84</v>
      </c>
      <c r="D1477" s="92">
        <v>1926</v>
      </c>
      <c r="E1477" s="143">
        <v>1</v>
      </c>
      <c r="F1477" s="92">
        <v>5</v>
      </c>
      <c r="G1477" s="92">
        <v>5</v>
      </c>
      <c r="H1477" s="92" t="s">
        <v>38</v>
      </c>
      <c r="I1477" s="107" t="s">
        <v>858</v>
      </c>
      <c r="J1477" s="92" t="s">
        <v>765</v>
      </c>
      <c r="K1477" s="69">
        <f>IF(J1477="syllables",1,IF(J1477="trigrams",2,IF(J1477="strings",3,IF(J1477="visual array",4,IF(J1477="characters",5,IF(J1477="letters",6,IF(J1477="free forms",7,IF(J1477="odors",8,IF(J1477="words",9,IF(J1477="pictures",10,IF(J1477="object pictures",11,IF(J1477="faces",12,IF(J1477="names",13,IF(J1477="idioms",14,IF(J1477="grades",15,IF(J1477="syllable-digit pairs",16,IF(J1477="trigram-word pairs",17,IF(J1477="word-digit pairs",18,IF(J1477="English-Swahili pairs",19,IF(J1477="spatial position",20,IF(J1477="word pairs",21,IF(J1477="word triads",22,IF(J1477="generated words",23,IF(J1477="word definition pairs",24,IF(J1477="math problems",25,IF(J1477="famous faces",26,IF(J1477="famous names",27,IF(J1477="famous voices",28,IF(J1477="television programs",29,IF(J1477="race horses",30,IF(J1477="new vocabulary",31,IF(J1477="sentences",32,IF(J1477="concepts",33,IF(J1477="ad slides",34,IF(J1477="scenes",35,IF(J1477="famous scenes",36,IF(J1477="poems",37,IF(J1477="walk",38,IF(J1477="faces and events",39,IF(J1477="events and names",40,IF(J1477="flashbulb",41,IF(J1477="stories",42,IF(J1477="course material",43,IF(J1477="autobiographical",44,IF(J1477="novels",45,IF(J1477="public events",46,"99"))))))))))))))))))))))))))))))))))))))))))))))</f>
        <v>5</v>
      </c>
      <c r="L1477" s="69">
        <f>IF(J1477="syllables",1,IF(J1477="trigrams",1,IF(J1477="strings",1,IF(J1477="visual array",1,IF(J1477="characters",1,IF(J1477="letters",1,IF(J1477="free forms",1,IF(J1477="odors",2,IF(J1477="words",2,IF(J1477="pictures",2,IF(J1477="object pictures",2,IF(J1477="faces",2,IF(J1477="names",2,IF(J1477="idioms","2",IF(J1477="grades",2,IF(J1477="syllable-digit pairs",3,IF(J1477="trigram-word pairs",3,IF(J1477="word-digit pairs",3,IF(J1477="English-Swahili pairs",3,IF(J1477="spatial position",3,IF(J1477="word pairs",4,IF(J1477="word triads",4,IF(J1477="generated words",4,IF(J1477="word definition pairs",4,IF(J1477="math problems",4,IF(J1477="famous faces",4,IF(J1477="famous names",4,IF(J1477="famous voices",4,IF(J1477="television programs",4,IF(J1477="race horses",4,IF(J1477="new vocabulary",4,IF(J1477="sentences",5,IF(J1477="concepts",5,IF(J1477="ad slides",5,IF(J1477="scenes",5,IF(J1477="famous scenes",5,IF(J1477="poems",6,IF(J1477="walk",6,IF(J1477="faces and events",6,IF(J1477="events and names",6,IF(J1477="flashbulb",7,IF(J1477="stories",7,IF(J1477="course material",7,IF(J1477="autobiographical",7,IF(J1477="novels",7,IF(J1477="public events",7,"99"))))))))))))))))))))))))))))))))))))))))))))))</f>
        <v>1</v>
      </c>
      <c r="M1477" s="107">
        <v>0</v>
      </c>
      <c r="N1477" s="92">
        <v>1</v>
      </c>
      <c r="O1477" s="92">
        <v>0</v>
      </c>
      <c r="P1477" s="92"/>
      <c r="Q1477" s="92" t="s">
        <v>34</v>
      </c>
      <c r="R1477" s="69">
        <f>IF(Q1477="Free Recall",1,IF(Q1477="Cued Recall",2,IF(Q1477="Recognition",3,IF(Q1477="Multiple Choice",4,IF(Q1477="Savings",5,IF(Q1477="Stem Completion",6,IF(Q1477="Fragment Completion",7,IF(Q1477="anagram solution",8,IF(Q1477="Matching",9,IF(Q1477="Problem Solving",10,"99"))))))))))</f>
        <v>3</v>
      </c>
      <c r="S1477" s="92" t="s">
        <v>15</v>
      </c>
      <c r="T1477" s="92" t="s">
        <v>581</v>
      </c>
      <c r="U1477" s="69">
        <f>IF(T1477="within",1,0)</f>
        <v>1</v>
      </c>
      <c r="V1477" s="92">
        <v>65</v>
      </c>
      <c r="W1477" s="69">
        <f>F1477*V1477</f>
        <v>325</v>
      </c>
      <c r="X1477" s="69">
        <v>5</v>
      </c>
      <c r="Y1477" s="87">
        <f>AV1476</f>
        <v>300</v>
      </c>
      <c r="Z1477" s="107" t="s">
        <v>88</v>
      </c>
      <c r="AA1477" s="92">
        <f>2*24*3600</f>
        <v>172800</v>
      </c>
      <c r="AB1477" s="69" t="str">
        <f t="shared" si="98"/>
        <v>3</v>
      </c>
      <c r="AC1477" s="72">
        <f t="shared" ref="AC1477" si="120">AVERAGE(AV1476:DA1476)</f>
        <v>52860</v>
      </c>
      <c r="AD1477" s="69" t="str">
        <f>IF(AC1477&lt;60,"1",IF(AC1477&lt;=43200,"2",IF(AC1477&lt;=777600,"3","4")))</f>
        <v>3</v>
      </c>
      <c r="AE1477" s="87">
        <f>AA1477-Y1477</f>
        <v>172500</v>
      </c>
      <c r="AF1477" s="88">
        <f>AV1477</f>
        <v>0.71</v>
      </c>
      <c r="AG1477" s="72">
        <f>((AW1477-AV1477)+(AX1477-AW1477)+(AY1477-AX1477)+(AZ1477-AY1477))/4</f>
        <v>-1.7499999999999988E-2</v>
      </c>
      <c r="AI1477" s="72">
        <f>RSQ(AV1477:AZ1477,AV1476:AZ1476)</f>
        <v>0.45042457126907454</v>
      </c>
      <c r="AJ1477" s="110">
        <f>SLOPE(AV1477:AZ1477,AV1476:AZ1476)</f>
        <v>-4.8253641072094275E-7</v>
      </c>
      <c r="AK1477" s="72">
        <f>INTERCEPT(AV1477:AZ1477,AV1476:AZ1476)</f>
        <v>0.70250687467070905</v>
      </c>
      <c r="AL1477" s="72">
        <f>INDEX(LINEST(LN(AV1477:AZ1477),LN(AV1476:AZ1476),TRUE,TRUE),3,1)</f>
        <v>0.68343536697858587</v>
      </c>
      <c r="AM1477" s="72">
        <f>INDEX(LINEST(LN(AV1477:AZ1477),LN(AV1476:AZ1476)),1)</f>
        <v>-2.4153167525071149E-2</v>
      </c>
      <c r="AN1477" s="72">
        <f>EXP(INDEX(LINEST(LN(AV1477:AZ1477),LN(AV1476:AZ1476)),1,2))</f>
        <v>0.83681793167297913</v>
      </c>
      <c r="AO1477" s="89">
        <f>INDEX(LINEST((AV1477:AZ1477),LN(AV1476:AZ1476),TRUE,TRUE),3,1)</f>
        <v>0.66669724399335784</v>
      </c>
      <c r="AP1477" s="89">
        <f>INDEX(LINEST((AV1477:AZ1477),LN(AV1476:AZ1476)),1)</f>
        <v>-1.6366746872929317E-2</v>
      </c>
      <c r="AQ1477" s="90">
        <f>INDEX(LINEST(LN(AV1477:AZ1477),SQRT(AV1476:AZ1476),TRUE,TRUE),3,1)</f>
        <v>0.58376688657834841</v>
      </c>
      <c r="AR1477" s="117">
        <f>INDEX(LINEST(LN(AV1477:AZ1477),SQRT((AV1476:AZ1476))),1)</f>
        <v>-3.4039724837843564E-4</v>
      </c>
      <c r="AS1477" s="91">
        <f>INDEX(LINEST(1/(AV1477:AZ1477),1/(SQRT(AV1476:AZ1476)),TRUE,TRUE),3,1)</f>
        <v>0.54547222475322132</v>
      </c>
      <c r="AT1477" s="91">
        <f>INDEX(LINEST(1/(AV1477:AZ1477),1/SQRT(AV1476:AZ1476)),1)</f>
        <v>-3.7920910561709977</v>
      </c>
      <c r="AU1477" s="3"/>
      <c r="AV1477" s="97">
        <v>0.71</v>
      </c>
      <c r="AW1477" s="97">
        <v>0.755</v>
      </c>
      <c r="AX1477" s="97">
        <v>0.65999999999999992</v>
      </c>
      <c r="AY1477" s="97">
        <v>0.62</v>
      </c>
      <c r="AZ1477" s="97">
        <v>0.64</v>
      </c>
      <c r="BA1477" s="97"/>
      <c r="BB1477" s="11"/>
      <c r="BC1477" s="11"/>
      <c r="BD1477" s="11"/>
      <c r="BE1477" s="11"/>
      <c r="BF1477" s="11"/>
      <c r="BG1477" s="11"/>
      <c r="BH1477" s="11"/>
      <c r="BI1477" s="11"/>
      <c r="BJ1477" s="11"/>
      <c r="BK1477" s="11"/>
      <c r="BL1477" s="11"/>
      <c r="BM1477" s="11"/>
      <c r="BN1477" s="11"/>
      <c r="BO1477" s="11"/>
      <c r="BP1477" s="11"/>
      <c r="BQ1477" s="11"/>
      <c r="BR1477" s="11"/>
      <c r="BS1477" s="11"/>
      <c r="BT1477" s="11"/>
      <c r="BU1477" s="11"/>
      <c r="BV1477" s="11"/>
      <c r="BW1477" s="11"/>
      <c r="BX1477" s="11"/>
      <c r="BY1477" s="11"/>
      <c r="BZ1477" s="11"/>
      <c r="CA1477" s="11"/>
      <c r="CB1477" s="11"/>
      <c r="CC1477" s="11"/>
      <c r="CD1477" s="11"/>
      <c r="CE1477" s="11"/>
      <c r="CF1477" s="11"/>
      <c r="CG1477" s="11"/>
      <c r="CH1477" s="11"/>
      <c r="CI1477" s="11"/>
      <c r="CJ1477" s="11"/>
      <c r="CK1477" s="11"/>
      <c r="CL1477" s="11"/>
      <c r="CM1477" s="11"/>
      <c r="CN1477" s="11"/>
      <c r="CO1477" s="11"/>
      <c r="CP1477" s="11"/>
      <c r="CQ1477" s="11"/>
      <c r="CR1477" s="15"/>
      <c r="CS1477" s="15"/>
      <c r="CT1477" s="15"/>
      <c r="CU1477" s="15"/>
    </row>
    <row r="1478" spans="1:99" ht="12" customHeight="1" x14ac:dyDescent="0.2">
      <c r="A1478" s="68">
        <v>43509</v>
      </c>
      <c r="B1478" s="94"/>
      <c r="C1478" s="94"/>
      <c r="D1478" s="92"/>
      <c r="E1478" s="143"/>
      <c r="F1478" s="92"/>
      <c r="G1478" s="92"/>
      <c r="H1478" s="92"/>
      <c r="I1478" s="107"/>
      <c r="J1478" s="92"/>
      <c r="K1478" s="107"/>
      <c r="L1478" s="107"/>
      <c r="M1478" s="107"/>
      <c r="N1478" s="92"/>
      <c r="O1478" s="92"/>
      <c r="P1478" s="92"/>
      <c r="Q1478" s="92"/>
      <c r="R1478" s="69"/>
      <c r="S1478" s="92"/>
      <c r="T1478" s="92"/>
      <c r="U1478" s="69"/>
      <c r="V1478" s="92"/>
      <c r="W1478" s="69"/>
      <c r="X1478" s="107"/>
      <c r="Y1478" s="87"/>
      <c r="Z1478" s="107"/>
      <c r="AA1478" s="107"/>
      <c r="AB1478" s="69"/>
      <c r="AC1478" s="69"/>
      <c r="AD1478" s="69"/>
      <c r="AE1478" s="69"/>
      <c r="AF1478" s="88"/>
      <c r="AG1478" s="72"/>
      <c r="AI1478" s="108"/>
      <c r="AJ1478" s="113"/>
      <c r="AK1478" s="108"/>
      <c r="AL1478" s="108"/>
      <c r="AM1478" s="108"/>
      <c r="AN1478" s="108"/>
      <c r="AO1478" s="108"/>
      <c r="AP1478" s="108"/>
      <c r="AQ1478" s="72"/>
      <c r="AR1478" s="110"/>
      <c r="AS1478" s="72"/>
      <c r="AT1478" s="72"/>
      <c r="AU1478" s="4"/>
      <c r="AV1478" s="98">
        <v>300</v>
      </c>
      <c r="AW1478" s="98">
        <v>1200</v>
      </c>
      <c r="AX1478" s="98">
        <v>3600</v>
      </c>
      <c r="AY1478" s="98">
        <v>28800</v>
      </c>
      <c r="AZ1478" s="98">
        <v>86400</v>
      </c>
      <c r="BA1478" s="98">
        <v>172800</v>
      </c>
      <c r="BB1478" s="11"/>
      <c r="BC1478" s="11"/>
      <c r="BD1478" s="11"/>
      <c r="BE1478" s="11"/>
      <c r="BF1478" s="11"/>
      <c r="BG1478" s="11"/>
      <c r="BH1478" s="11"/>
      <c r="BI1478" s="11"/>
      <c r="BJ1478" s="11"/>
      <c r="BK1478" s="11"/>
      <c r="BL1478" s="11"/>
      <c r="BM1478" s="11"/>
      <c r="BN1478" s="11"/>
      <c r="BO1478" s="11"/>
      <c r="BP1478" s="11"/>
      <c r="BQ1478" s="11"/>
      <c r="BR1478" s="11"/>
      <c r="BS1478" s="11"/>
      <c r="BT1478" s="11"/>
      <c r="BU1478" s="11"/>
      <c r="BV1478" s="11"/>
      <c r="BW1478" s="11"/>
      <c r="BX1478" s="11"/>
      <c r="BY1478" s="11"/>
      <c r="BZ1478" s="11"/>
      <c r="CA1478" s="11"/>
      <c r="CB1478" s="11"/>
      <c r="CC1478" s="11"/>
      <c r="CD1478" s="11"/>
      <c r="CE1478" s="11"/>
      <c r="CF1478" s="11"/>
      <c r="CG1478" s="11"/>
      <c r="CH1478" s="11"/>
      <c r="CI1478" s="11"/>
      <c r="CJ1478" s="11"/>
      <c r="CK1478" s="11"/>
      <c r="CL1478" s="11"/>
      <c r="CM1478" s="11"/>
      <c r="CN1478" s="11"/>
      <c r="CO1478" s="11"/>
      <c r="CP1478" s="11"/>
      <c r="CQ1478" s="11"/>
      <c r="CR1478" s="15"/>
      <c r="CS1478" s="15"/>
      <c r="CT1478" s="15"/>
      <c r="CU1478" s="15"/>
    </row>
    <row r="1479" spans="1:99" ht="12" customHeight="1" x14ac:dyDescent="0.2">
      <c r="A1479" s="68">
        <v>43509</v>
      </c>
      <c r="B1479" s="94" t="s">
        <v>905</v>
      </c>
      <c r="C1479" s="94" t="s">
        <v>84</v>
      </c>
      <c r="D1479" s="92">
        <v>1926</v>
      </c>
      <c r="E1479" s="143">
        <v>2</v>
      </c>
      <c r="F1479" s="92">
        <v>6</v>
      </c>
      <c r="G1479" s="92">
        <v>6</v>
      </c>
      <c r="H1479" s="92" t="s">
        <v>38</v>
      </c>
      <c r="I1479" s="107" t="s">
        <v>859</v>
      </c>
      <c r="J1479" s="92" t="s">
        <v>765</v>
      </c>
      <c r="K1479" s="69">
        <f>IF(J1479="syllables",1,IF(J1479="trigrams",2,IF(J1479="strings",3,IF(J1479="visual array",4,IF(J1479="characters",5,IF(J1479="letters",6,IF(J1479="free forms",7,IF(J1479="odors",8,IF(J1479="words",9,IF(J1479="pictures",10,IF(J1479="object pictures",11,IF(J1479="faces",12,IF(J1479="names",13,IF(J1479="idioms",14,IF(J1479="grades",15,IF(J1479="syllable-digit pairs",16,IF(J1479="trigram-word pairs",17,IF(J1479="word-digit pairs",18,IF(J1479="English-Swahili pairs",19,IF(J1479="spatial position",20,IF(J1479="word pairs",21,IF(J1479="word triads",22,IF(J1479="generated words",23,IF(J1479="word definition pairs",24,IF(J1479="math problems",25,IF(J1479="famous faces",26,IF(J1479="famous names",27,IF(J1479="famous voices",28,IF(J1479="television programs",29,IF(J1479="race horses",30,IF(J1479="new vocabulary",31,IF(J1479="sentences",32,IF(J1479="concepts",33,IF(J1479="ad slides",34,IF(J1479="scenes",35,IF(J1479="famous scenes",36,IF(J1479="poems",37,IF(J1479="walk",38,IF(J1479="faces and events",39,IF(J1479="events and names",40,IF(J1479="flashbulb",41,IF(J1479="stories",42,IF(J1479="course material",43,IF(J1479="autobiographical",44,IF(J1479="novels",45,IF(J1479="public events",46,"99"))))))))))))))))))))))))))))))))))))))))))))))</f>
        <v>5</v>
      </c>
      <c r="L1479" s="69">
        <f>IF(J1479="syllables",1,IF(J1479="trigrams",1,IF(J1479="strings",1,IF(J1479="visual array",1,IF(J1479="characters",1,IF(J1479="letters",1,IF(J1479="free forms",1,IF(J1479="odors",2,IF(J1479="words",2,IF(J1479="pictures",2,IF(J1479="object pictures",2,IF(J1479="faces",2,IF(J1479="names",2,IF(J1479="idioms","2",IF(J1479="grades",2,IF(J1479="syllable-digit pairs",3,IF(J1479="trigram-word pairs",3,IF(J1479="word-digit pairs",3,IF(J1479="English-Swahili pairs",3,IF(J1479="spatial position",3,IF(J1479="word pairs",4,IF(J1479="word triads",4,IF(J1479="generated words",4,IF(J1479="word definition pairs",4,IF(J1479="math problems",4,IF(J1479="famous faces",4,IF(J1479="famous names",4,IF(J1479="famous voices",4,IF(J1479="television programs",4,IF(J1479="race horses",4,IF(J1479="new vocabulary",4,IF(J1479="sentences",5,IF(J1479="concepts",5,IF(J1479="ad slides",5,IF(J1479="scenes",5,IF(J1479="famous scenes",5,IF(J1479="poems",6,IF(J1479="walk",6,IF(J1479="faces and events",6,IF(J1479="events and names",6,IF(J1479="flashbulb",7,IF(J1479="stories",7,IF(J1479="course material",7,IF(J1479="autobiographical",7,IF(J1479="novels",7,IF(J1479="public events",7,"99"))))))))))))))))))))))))))))))))))))))))))))))</f>
        <v>1</v>
      </c>
      <c r="M1479" s="107">
        <v>0</v>
      </c>
      <c r="N1479" s="92">
        <v>1</v>
      </c>
      <c r="O1479" s="92">
        <v>0</v>
      </c>
      <c r="P1479" s="92"/>
      <c r="Q1479" s="92" t="s">
        <v>34</v>
      </c>
      <c r="R1479" s="69">
        <f>IF(Q1479="Free Recall",1,IF(Q1479="Cued Recall",2,IF(Q1479="Recognition",3,IF(Q1479="Multiple Choice",4,IF(Q1479="Savings",5,IF(Q1479="Stem Completion",6,IF(Q1479="Fragment Completion",7,IF(Q1479="anagram solution",8,IF(Q1479="Matching",9,IF(Q1479="Problem Solving",10,"99"))))))))))</f>
        <v>3</v>
      </c>
      <c r="S1479" s="92" t="s">
        <v>15</v>
      </c>
      <c r="T1479" s="92" t="s">
        <v>581</v>
      </c>
      <c r="U1479" s="69">
        <f>IF(T1479="within",1,0)</f>
        <v>1</v>
      </c>
      <c r="V1479" s="92">
        <v>65</v>
      </c>
      <c r="W1479" s="69">
        <f>F1479*V1479</f>
        <v>390</v>
      </c>
      <c r="X1479" s="69">
        <v>6</v>
      </c>
      <c r="Y1479" s="87">
        <f>AV1478</f>
        <v>300</v>
      </c>
      <c r="Z1479" s="107" t="s">
        <v>88</v>
      </c>
      <c r="AA1479" s="92">
        <f>2*24*3600</f>
        <v>172800</v>
      </c>
      <c r="AB1479" s="69" t="str">
        <f t="shared" si="98"/>
        <v>3</v>
      </c>
      <c r="AC1479" s="72">
        <f t="shared" ref="AC1479" si="121">AVERAGE(AV1478:DA1478)</f>
        <v>48850</v>
      </c>
      <c r="AD1479" s="69" t="str">
        <f>IF(AC1479&lt;60,"1",IF(AC1479&lt;=43200,"2",IF(AC1479&lt;=777600,"3","4")))</f>
        <v>3</v>
      </c>
      <c r="AE1479" s="87">
        <f>AA1479-Y1479</f>
        <v>172500</v>
      </c>
      <c r="AF1479" s="88">
        <f>AV1479</f>
        <v>0.73199999999999998</v>
      </c>
      <c r="AG1479" s="72">
        <f>((AW1479-AV1479)+(AX1479-AW1479)+(AY1479-AX1479)+(AZ1479-AY1479)+(BA1479-AZ1479))/5</f>
        <v>-1.2999999999999989E-2</v>
      </c>
      <c r="AI1479" s="72">
        <f>RSQ(AV1479:BA1479,AV1478:BA1478)</f>
        <v>0.66179841418918539</v>
      </c>
      <c r="AJ1479" s="110">
        <f>SLOPE(AV1479:BA1479,AV1478:BA1478)</f>
        <v>-3.1247176456801499E-7</v>
      </c>
      <c r="AK1479" s="72">
        <f>INTERCEPT(AV1479:BA1479,AV1478:BA1478)</f>
        <v>0.7249309123658142</v>
      </c>
      <c r="AL1479" s="72">
        <f>INDEX(LINEST(LN(AV1479:BA1479),LN(AV1478:BA1478),TRUE,TRUE),3,1)</f>
        <v>0.67635444432697245</v>
      </c>
      <c r="AM1479" s="72">
        <f>INDEX(LINEST(LN(AV1479:BA1479),LN(AV1478:BA1478)),1)</f>
        <v>-1.2359592810696339E-2</v>
      </c>
      <c r="AN1479" s="72">
        <f>EXP(INDEX(LINEST(LN(AV1479:BA1479),LN(AV1478:BA1478)),1,2))</f>
        <v>0.79380317948774815</v>
      </c>
      <c r="AO1479" s="89">
        <f>INDEX(LINEST((AV1479:BA1479),LN(AV1478:BA1478),TRUE,TRUE),3,1)</f>
        <v>0.68203834478863179</v>
      </c>
      <c r="AP1479" s="89">
        <f>INDEX(LINEST((AV1479:BA1479),LN(AV1478:BA1478)),1)</f>
        <v>-8.7056070468199079E-3</v>
      </c>
      <c r="AQ1479" s="90">
        <f>INDEX(LINEST(LN(AV1479:BA1479),SQRT(AV1478:BA1478),TRUE,TRUE),3,1)</f>
        <v>0.69973219156244282</v>
      </c>
      <c r="AR1479" s="117">
        <f>INDEX(LINEST(LN(AV1479:BA1479),SQRT((AV1478:BA1478))),1)</f>
        <v>-1.967218049164407E-4</v>
      </c>
      <c r="AS1479" s="91">
        <f>INDEX(LINEST(1/(AV1479:BA1479),1/(SQRT(AV1478:BA1478)),TRUE,TRUE),3,1)</f>
        <v>0.48115290655962206</v>
      </c>
      <c r="AT1479" s="91">
        <f>INDEX(LINEST(1/(AV1479:BA1479),1/SQRT(AV1478:BA1478)),1)</f>
        <v>-1.7479132058706346</v>
      </c>
      <c r="AU1479" s="3"/>
      <c r="AV1479" s="97">
        <v>0.73199999999999998</v>
      </c>
      <c r="AW1479" s="97">
        <v>0.73649999999999993</v>
      </c>
      <c r="AX1479" s="97">
        <v>0.71799999999999997</v>
      </c>
      <c r="AY1479" s="97">
        <v>0.69</v>
      </c>
      <c r="AZ1479" s="97">
        <v>0.71450000000000002</v>
      </c>
      <c r="BA1479" s="97">
        <v>0.66700000000000004</v>
      </c>
      <c r="BB1479" s="11"/>
      <c r="BC1479" s="11"/>
      <c r="BD1479" s="11"/>
      <c r="BE1479" s="11"/>
      <c r="BF1479" s="11"/>
      <c r="BG1479" s="11"/>
      <c r="BH1479" s="11"/>
      <c r="BI1479" s="11"/>
      <c r="BJ1479" s="11"/>
      <c r="BK1479" s="11"/>
      <c r="BL1479" s="11"/>
      <c r="BM1479" s="11"/>
      <c r="BN1479" s="11"/>
      <c r="BO1479" s="11"/>
      <c r="BP1479" s="11"/>
      <c r="BQ1479" s="11"/>
      <c r="BR1479" s="11"/>
      <c r="BS1479" s="11"/>
      <c r="BT1479" s="11"/>
      <c r="BU1479" s="11"/>
      <c r="BV1479" s="11"/>
      <c r="BW1479" s="11"/>
      <c r="BX1479" s="11"/>
      <c r="BY1479" s="11"/>
      <c r="BZ1479" s="11"/>
      <c r="CA1479" s="11"/>
      <c r="CB1479" s="11"/>
      <c r="CC1479" s="11"/>
      <c r="CD1479" s="11"/>
      <c r="CE1479" s="11"/>
      <c r="CF1479" s="11"/>
      <c r="CG1479" s="11"/>
      <c r="CH1479" s="11"/>
      <c r="CI1479" s="11"/>
      <c r="CJ1479" s="11"/>
      <c r="CK1479" s="11"/>
      <c r="CL1479" s="11"/>
      <c r="CM1479" s="11"/>
      <c r="CN1479" s="11"/>
      <c r="CO1479" s="11"/>
      <c r="CP1479" s="11"/>
      <c r="CQ1479" s="11"/>
      <c r="CR1479" s="15"/>
      <c r="CS1479" s="15"/>
      <c r="CT1479" s="15"/>
      <c r="CU1479" s="15"/>
    </row>
    <row r="1480" spans="1:99" ht="12" customHeight="1" x14ac:dyDescent="0.2">
      <c r="A1480" s="68">
        <v>43509</v>
      </c>
      <c r="B1480" s="94"/>
      <c r="C1480" s="94"/>
      <c r="D1480" s="92"/>
      <c r="E1480" s="143"/>
      <c r="F1480" s="92"/>
      <c r="G1480" s="92"/>
      <c r="H1480" s="92"/>
      <c r="I1480" s="107"/>
      <c r="J1480" s="92"/>
      <c r="K1480" s="107"/>
      <c r="L1480" s="107"/>
      <c r="M1480" s="107"/>
      <c r="N1480" s="92"/>
      <c r="O1480" s="92"/>
      <c r="P1480" s="92"/>
      <c r="Q1480" s="92"/>
      <c r="R1480" s="69"/>
      <c r="S1480" s="92"/>
      <c r="T1480" s="92"/>
      <c r="U1480" s="69"/>
      <c r="V1480" s="92"/>
      <c r="W1480" s="69"/>
      <c r="X1480" s="107"/>
      <c r="Y1480" s="87"/>
      <c r="Z1480" s="107"/>
      <c r="AA1480" s="107"/>
      <c r="AB1480" s="69"/>
      <c r="AC1480" s="69"/>
      <c r="AD1480" s="69"/>
      <c r="AE1480" s="69"/>
      <c r="AF1480" s="88"/>
      <c r="AG1480" s="72"/>
      <c r="AI1480" s="108"/>
      <c r="AJ1480" s="113"/>
      <c r="AK1480" s="108"/>
      <c r="AL1480" s="108"/>
      <c r="AM1480" s="108"/>
      <c r="AN1480" s="108"/>
      <c r="AO1480" s="108"/>
      <c r="AP1480" s="108"/>
      <c r="AQ1480" s="72"/>
      <c r="AR1480" s="110"/>
      <c r="AS1480" s="72"/>
      <c r="AT1480" s="72"/>
      <c r="AU1480" s="4"/>
      <c r="AV1480" s="98">
        <v>300</v>
      </c>
      <c r="AW1480" s="98">
        <v>1200</v>
      </c>
      <c r="AX1480" s="98">
        <v>3600</v>
      </c>
      <c r="AY1480" s="98">
        <v>28800</v>
      </c>
      <c r="AZ1480" s="98">
        <v>86400</v>
      </c>
      <c r="BA1480" s="98">
        <v>172800</v>
      </c>
      <c r="BB1480" s="11"/>
      <c r="BC1480" s="11"/>
      <c r="BD1480" s="11"/>
      <c r="BE1480" s="11"/>
      <c r="BF1480" s="11"/>
      <c r="BG1480" s="11"/>
      <c r="BH1480" s="11"/>
      <c r="BI1480" s="11"/>
      <c r="BJ1480" s="11"/>
      <c r="BK1480" s="11"/>
      <c r="BL1480" s="11"/>
      <c r="BM1480" s="11"/>
      <c r="BN1480" s="11"/>
      <c r="BO1480" s="11"/>
      <c r="BP1480" s="11"/>
      <c r="BQ1480" s="11"/>
      <c r="BR1480" s="11"/>
      <c r="BS1480" s="11"/>
      <c r="BT1480" s="11"/>
      <c r="BU1480" s="11"/>
      <c r="BV1480" s="11"/>
      <c r="BW1480" s="11"/>
      <c r="BX1480" s="11"/>
      <c r="BY1480" s="11"/>
      <c r="BZ1480" s="11"/>
      <c r="CA1480" s="11"/>
      <c r="CB1480" s="11"/>
      <c r="CC1480" s="11"/>
      <c r="CD1480" s="11"/>
      <c r="CE1480" s="11"/>
      <c r="CF1480" s="11"/>
      <c r="CG1480" s="11"/>
      <c r="CH1480" s="11"/>
      <c r="CI1480" s="11"/>
      <c r="CJ1480" s="11"/>
      <c r="CK1480" s="11"/>
      <c r="CL1480" s="11"/>
      <c r="CM1480" s="11"/>
      <c r="CN1480" s="11"/>
      <c r="CO1480" s="11"/>
      <c r="CP1480" s="11"/>
      <c r="CQ1480" s="11"/>
      <c r="CR1480" s="15"/>
      <c r="CS1480" s="15"/>
      <c r="CT1480" s="15"/>
      <c r="CU1480" s="15"/>
    </row>
    <row r="1481" spans="1:99" ht="12" customHeight="1" x14ac:dyDescent="0.2">
      <c r="A1481" s="68">
        <v>43509</v>
      </c>
      <c r="B1481" s="94" t="s">
        <v>905</v>
      </c>
      <c r="C1481" s="94" t="s">
        <v>84</v>
      </c>
      <c r="D1481" s="92">
        <v>1926</v>
      </c>
      <c r="E1481" s="143">
        <v>2</v>
      </c>
      <c r="F1481" s="92">
        <v>13</v>
      </c>
      <c r="G1481" s="92">
        <v>13</v>
      </c>
      <c r="H1481" s="92" t="s">
        <v>38</v>
      </c>
      <c r="I1481" s="107" t="s">
        <v>860</v>
      </c>
      <c r="J1481" s="92" t="s">
        <v>765</v>
      </c>
      <c r="K1481" s="69">
        <f>IF(J1481="syllables",1,IF(J1481="trigrams",2,IF(J1481="strings",3,IF(J1481="visual array",4,IF(J1481="characters",5,IF(J1481="letters",6,IF(J1481="free forms",7,IF(J1481="odors",8,IF(J1481="words",9,IF(J1481="pictures",10,IF(J1481="object pictures",11,IF(J1481="faces",12,IF(J1481="names",13,IF(J1481="idioms",14,IF(J1481="grades",15,IF(J1481="syllable-digit pairs",16,IF(J1481="trigram-word pairs",17,IF(J1481="word-digit pairs",18,IF(J1481="English-Swahili pairs",19,IF(J1481="spatial position",20,IF(J1481="word pairs",21,IF(J1481="word triads",22,IF(J1481="generated words",23,IF(J1481="word definition pairs",24,IF(J1481="math problems",25,IF(J1481="famous faces",26,IF(J1481="famous names",27,IF(J1481="famous voices",28,IF(J1481="television programs",29,IF(J1481="race horses",30,IF(J1481="new vocabulary",31,IF(J1481="sentences",32,IF(J1481="concepts",33,IF(J1481="ad slides",34,IF(J1481="scenes",35,IF(J1481="famous scenes",36,IF(J1481="poems",37,IF(J1481="walk",38,IF(J1481="faces and events",39,IF(J1481="events and names",40,IF(J1481="flashbulb",41,IF(J1481="stories",42,IF(J1481="course material",43,IF(J1481="autobiographical",44,IF(J1481="novels",45,IF(J1481="public events",46,"99"))))))))))))))))))))))))))))))))))))))))))))))</f>
        <v>5</v>
      </c>
      <c r="L1481" s="69">
        <f>IF(J1481="syllables",1,IF(J1481="trigrams",1,IF(J1481="strings",1,IF(J1481="visual array",1,IF(J1481="characters",1,IF(J1481="letters",1,IF(J1481="free forms",1,IF(J1481="odors",2,IF(J1481="words",2,IF(J1481="pictures",2,IF(J1481="object pictures",2,IF(J1481="faces",2,IF(J1481="names",2,IF(J1481="idioms","2",IF(J1481="grades",2,IF(J1481="syllable-digit pairs",3,IF(J1481="trigram-word pairs",3,IF(J1481="word-digit pairs",3,IF(J1481="English-Swahili pairs",3,IF(J1481="spatial position",3,IF(J1481="word pairs",4,IF(J1481="word triads",4,IF(J1481="generated words",4,IF(J1481="word definition pairs",4,IF(J1481="math problems",4,IF(J1481="famous faces",4,IF(J1481="famous names",4,IF(J1481="famous voices",4,IF(J1481="television programs",4,IF(J1481="race horses",4,IF(J1481="new vocabulary",4,IF(J1481="sentences",5,IF(J1481="concepts",5,IF(J1481="ad slides",5,IF(J1481="scenes",5,IF(J1481="famous scenes",5,IF(J1481="poems",6,IF(J1481="walk",6,IF(J1481="faces and events",6,IF(J1481="events and names",6,IF(J1481="flashbulb",7,IF(J1481="stories",7,IF(J1481="course material",7,IF(J1481="autobiographical",7,IF(J1481="novels",7,IF(J1481="public events",7,"99"))))))))))))))))))))))))))))))))))))))))))))))</f>
        <v>1</v>
      </c>
      <c r="M1481" s="107">
        <v>0</v>
      </c>
      <c r="N1481" s="92">
        <v>1</v>
      </c>
      <c r="O1481" s="92">
        <v>0</v>
      </c>
      <c r="P1481" s="92"/>
      <c r="Q1481" s="92" t="s">
        <v>34</v>
      </c>
      <c r="R1481" s="69">
        <f>IF(Q1481="Free Recall",1,IF(Q1481="Cued Recall",2,IF(Q1481="Recognition",3,IF(Q1481="Multiple Choice",4,IF(Q1481="Savings",5,IF(Q1481="Stem Completion",6,IF(Q1481="Fragment Completion",7,IF(Q1481="anagram solution",8,IF(Q1481="Matching",9,IF(Q1481="Problem Solving",10,"99"))))))))))</f>
        <v>3</v>
      </c>
      <c r="S1481" s="92" t="s">
        <v>15</v>
      </c>
      <c r="T1481" s="92" t="s">
        <v>581</v>
      </c>
      <c r="U1481" s="69">
        <f>IF(T1481="within",1,0)</f>
        <v>1</v>
      </c>
      <c r="V1481" s="92">
        <v>65</v>
      </c>
      <c r="W1481" s="69">
        <f>F1481*V1481</f>
        <v>845</v>
      </c>
      <c r="X1481" s="69">
        <v>6</v>
      </c>
      <c r="Y1481" s="87">
        <f>AV1480</f>
        <v>300</v>
      </c>
      <c r="Z1481" s="107" t="s">
        <v>88</v>
      </c>
      <c r="AA1481" s="92">
        <f>2*24*3600</f>
        <v>172800</v>
      </c>
      <c r="AB1481" s="69" t="str">
        <f t="shared" si="98"/>
        <v>3</v>
      </c>
      <c r="AC1481" s="72">
        <f t="shared" ref="AC1481" si="122">AVERAGE(AV1480:DA1480)</f>
        <v>48850</v>
      </c>
      <c r="AD1481" s="69" t="str">
        <f>IF(AC1481&lt;60,"1",IF(AC1481&lt;=43200,"2",IF(AC1481&lt;=777600,"3","4")))</f>
        <v>3</v>
      </c>
      <c r="AE1481" s="87">
        <f>AA1481-Y1481</f>
        <v>172500</v>
      </c>
      <c r="AF1481" s="88">
        <f>AV1481</f>
        <v>0.66600000000000004</v>
      </c>
      <c r="AG1481" s="93">
        <f>((AW1481-AV1481)+(AX1481-AW1481)+(AY1481-AX1481)+(AZ1481-AY1481)+(BA1481-AZ1481))/5</f>
        <v>-2.300000000000013E-3</v>
      </c>
      <c r="AI1481" s="72">
        <f>RSQ(AV1481:BA1481,AV1480:BA1480)</f>
        <v>1.7864656067130204E-3</v>
      </c>
      <c r="AJ1481" s="110">
        <f>SLOPE(AV1481:BA1481,AV1480:BA1480)</f>
        <v>-2.1707871792114286E-8</v>
      </c>
      <c r="AK1481" s="72">
        <f>INTERCEPT(AV1481:BA1481,AV1480:BA1480)</f>
        <v>0.65822709620371145</v>
      </c>
      <c r="AL1481" s="72">
        <f>INDEX(LINEST(LN(AV1481:BA1481),LN(AV1480:BA1480),TRUE,TRUE),3,1)</f>
        <v>3.7822840840896967E-2</v>
      </c>
      <c r="AM1481" s="72">
        <f>INDEX(LINEST(LN(AV1481:BA1481),LN(AV1480:BA1480)),1)</f>
        <v>-4.1988415964167311E-3</v>
      </c>
      <c r="AN1481" s="72">
        <f>EXP(INDEX(LINEST(LN(AV1481:BA1481),LN(AV1480:BA1480)),1,2))</f>
        <v>0.68196408207944714</v>
      </c>
      <c r="AO1481" s="89">
        <f>INDEX(LINEST((AV1481:BA1481),LN(AV1480:BA1480),TRUE,TRUE),3,1)</f>
        <v>4.4534456795517832E-2</v>
      </c>
      <c r="AP1481" s="89">
        <f>INDEX(LINEST((AV1481:BA1481),LN(AV1480:BA1480)),1)</f>
        <v>-2.9745052738581997E-3</v>
      </c>
      <c r="AQ1481" s="90">
        <f t="shared" ref="AQ1481" si="123">INDEX(LINEST(LN(AV1481:BA1481),SQRT(AV1480:BA1480),TRUE,TRUE),3,1)</f>
        <v>5.309290566802201E-3</v>
      </c>
      <c r="AR1481" s="117">
        <f t="shared" ref="AR1481" si="124">INDEX(LINEST(LN(AV1481:BA1481),SQRT((AV1480:BA1480))),1)</f>
        <v>-2.4617290440300542E-5</v>
      </c>
      <c r="AS1481" s="91">
        <f t="shared" ref="AS1481" si="125">INDEX(LINEST(1/(AV1481:BA1481),1/(SQRT(AV1480:BA1480)),TRUE,TRUE),3,1)</f>
        <v>7.4133192705712059E-2</v>
      </c>
      <c r="AT1481" s="91">
        <f t="shared" ref="AT1481" si="126">INDEX(LINEST(1/(AV1481:BA1481),1/SQRT(AV1480:BA1480)),1)</f>
        <v>-1.0617017347349065</v>
      </c>
      <c r="AU1481" s="3"/>
      <c r="AV1481" s="97">
        <v>0.66600000000000004</v>
      </c>
      <c r="AW1481" s="97">
        <v>0.71099999999999997</v>
      </c>
      <c r="AX1481" s="97">
        <v>0.6</v>
      </c>
      <c r="AY1481" s="97">
        <v>0.65149999999999997</v>
      </c>
      <c r="AZ1481" s="97">
        <v>0.66</v>
      </c>
      <c r="BA1481" s="97">
        <v>0.65449999999999997</v>
      </c>
      <c r="BB1481" s="11"/>
      <c r="BC1481" s="11"/>
      <c r="BD1481" s="11"/>
      <c r="BE1481" s="11"/>
      <c r="BF1481" s="11"/>
      <c r="BG1481" s="11"/>
      <c r="BH1481" s="11"/>
      <c r="BI1481" s="11"/>
      <c r="BJ1481" s="11"/>
      <c r="BK1481" s="11"/>
      <c r="BL1481" s="11"/>
      <c r="BM1481" s="11"/>
      <c r="BN1481" s="11"/>
      <c r="BO1481" s="11"/>
      <c r="BP1481" s="11"/>
      <c r="BQ1481" s="11"/>
      <c r="BR1481" s="11"/>
      <c r="BS1481" s="11"/>
      <c r="BT1481" s="11"/>
      <c r="BU1481" s="11"/>
      <c r="BV1481" s="11"/>
      <c r="BW1481" s="11"/>
      <c r="BX1481" s="11"/>
      <c r="BY1481" s="11"/>
      <c r="BZ1481" s="11"/>
      <c r="CA1481" s="11"/>
      <c r="CB1481" s="11"/>
      <c r="CC1481" s="11"/>
      <c r="CD1481" s="11"/>
      <c r="CE1481" s="11"/>
      <c r="CF1481" s="11"/>
      <c r="CG1481" s="11"/>
      <c r="CH1481" s="11"/>
      <c r="CI1481" s="11"/>
      <c r="CJ1481" s="11"/>
      <c r="CK1481" s="11"/>
      <c r="CL1481" s="11"/>
      <c r="CM1481" s="11"/>
      <c r="CN1481" s="11"/>
      <c r="CO1481" s="11"/>
      <c r="CP1481" s="11"/>
      <c r="CQ1481" s="11"/>
      <c r="CR1481" s="15"/>
      <c r="CS1481" s="15"/>
      <c r="CT1481" s="15"/>
      <c r="CU1481" s="15"/>
    </row>
    <row r="1482" spans="1:99" ht="12" customHeight="1" x14ac:dyDescent="0.2">
      <c r="A1482" s="68">
        <v>43509</v>
      </c>
      <c r="B1482" s="94"/>
      <c r="C1482" s="94"/>
      <c r="D1482" s="92"/>
      <c r="E1482" s="143"/>
      <c r="F1482" s="92"/>
      <c r="G1482" s="92"/>
      <c r="H1482" s="92"/>
      <c r="I1482" s="107"/>
      <c r="J1482" s="92"/>
      <c r="K1482" s="107"/>
      <c r="L1482" s="107"/>
      <c r="M1482" s="107"/>
      <c r="N1482" s="92"/>
      <c r="O1482" s="92"/>
      <c r="P1482" s="92"/>
      <c r="Q1482" s="92"/>
      <c r="R1482" s="69"/>
      <c r="S1482" s="92"/>
      <c r="T1482" s="92"/>
      <c r="U1482" s="69"/>
      <c r="V1482" s="92"/>
      <c r="W1482" s="69"/>
      <c r="X1482" s="107"/>
      <c r="Y1482" s="87"/>
      <c r="Z1482" s="107"/>
      <c r="AA1482" s="107"/>
      <c r="AB1482" s="69"/>
      <c r="AC1482" s="69"/>
      <c r="AD1482" s="69"/>
      <c r="AE1482" s="69"/>
      <c r="AF1482" s="88"/>
      <c r="AG1482" s="72"/>
      <c r="AI1482" s="108"/>
      <c r="AJ1482" s="113"/>
      <c r="AK1482" s="108"/>
      <c r="AL1482" s="108"/>
      <c r="AM1482" s="108"/>
      <c r="AN1482" s="108"/>
      <c r="AO1482" s="108"/>
      <c r="AP1482" s="108"/>
      <c r="AQ1482" s="72"/>
      <c r="AR1482" s="110"/>
      <c r="AS1482" s="72"/>
      <c r="AT1482" s="72"/>
      <c r="AU1482" s="4"/>
      <c r="AV1482" s="98">
        <v>300</v>
      </c>
      <c r="AW1482" s="98">
        <v>1200</v>
      </c>
      <c r="AX1482" s="98">
        <v>3600</v>
      </c>
      <c r="AY1482" s="98">
        <v>28800</v>
      </c>
      <c r="AZ1482" s="98">
        <v>86400</v>
      </c>
      <c r="BA1482" s="98">
        <v>172800</v>
      </c>
      <c r="BB1482" s="11"/>
      <c r="BC1482" s="11"/>
      <c r="BD1482" s="11"/>
      <c r="BE1482" s="11"/>
      <c r="BF1482" s="11"/>
      <c r="BG1482" s="11"/>
      <c r="BH1482" s="11"/>
      <c r="BI1482" s="11"/>
      <c r="BJ1482" s="11"/>
      <c r="BK1482" s="11"/>
      <c r="BL1482" s="11"/>
      <c r="BM1482" s="11"/>
      <c r="BN1482" s="11"/>
      <c r="BO1482" s="11"/>
      <c r="BP1482" s="11"/>
      <c r="BQ1482" s="11"/>
      <c r="BR1482" s="11"/>
      <c r="BS1482" s="11"/>
      <c r="BT1482" s="11"/>
      <c r="BU1482" s="11"/>
      <c r="BV1482" s="11"/>
      <c r="BW1482" s="11"/>
      <c r="BX1482" s="11"/>
      <c r="BY1482" s="11"/>
      <c r="BZ1482" s="11"/>
      <c r="CA1482" s="11"/>
      <c r="CB1482" s="11"/>
      <c r="CC1482" s="11"/>
      <c r="CD1482" s="11"/>
      <c r="CE1482" s="11"/>
      <c r="CF1482" s="11"/>
      <c r="CG1482" s="11"/>
      <c r="CH1482" s="11"/>
      <c r="CI1482" s="11"/>
      <c r="CJ1482" s="11"/>
      <c r="CK1482" s="11"/>
      <c r="CL1482" s="11"/>
      <c r="CM1482" s="11"/>
      <c r="CN1482" s="11"/>
      <c r="CO1482" s="11"/>
      <c r="CP1482" s="11"/>
      <c r="CQ1482" s="11"/>
      <c r="CR1482" s="15"/>
      <c r="CS1482" s="15"/>
      <c r="CT1482" s="15"/>
      <c r="CU1482" s="15"/>
    </row>
    <row r="1483" spans="1:99" ht="12" customHeight="1" x14ac:dyDescent="0.2">
      <c r="A1483" s="68">
        <v>43509</v>
      </c>
      <c r="B1483" s="94" t="s">
        <v>905</v>
      </c>
      <c r="C1483" s="94" t="s">
        <v>84</v>
      </c>
      <c r="D1483" s="92">
        <v>1926</v>
      </c>
      <c r="E1483" s="143">
        <v>3</v>
      </c>
      <c r="F1483" s="92">
        <v>13</v>
      </c>
      <c r="G1483" s="92">
        <v>13</v>
      </c>
      <c r="H1483" s="92" t="s">
        <v>30</v>
      </c>
      <c r="I1483" s="107"/>
      <c r="J1483" s="92" t="s">
        <v>765</v>
      </c>
      <c r="K1483" s="69">
        <f>IF(J1483="syllables",1,IF(J1483="trigrams",2,IF(J1483="strings",3,IF(J1483="visual array",4,IF(J1483="characters",5,IF(J1483="letters",6,IF(J1483="free forms",7,IF(J1483="odors",8,IF(J1483="words",9,IF(J1483="pictures",10,IF(J1483="object pictures",11,IF(J1483="faces",12,IF(J1483="names",13,IF(J1483="idioms",14,IF(J1483="grades",15,IF(J1483="syllable-digit pairs",16,IF(J1483="trigram-word pairs",17,IF(J1483="word-digit pairs",18,IF(J1483="English-Swahili pairs",19,IF(J1483="spatial position",20,IF(J1483="word pairs",21,IF(J1483="word triads",22,IF(J1483="generated words",23,IF(J1483="word definition pairs",24,IF(J1483="math problems",25,IF(J1483="famous faces",26,IF(J1483="famous names",27,IF(J1483="famous voices",28,IF(J1483="television programs",29,IF(J1483="race horses",30,IF(J1483="new vocabulary",31,IF(J1483="sentences",32,IF(J1483="concepts",33,IF(J1483="ad slides",34,IF(J1483="scenes",35,IF(J1483="famous scenes",36,IF(J1483="poems",37,IF(J1483="walk",38,IF(J1483="faces and events",39,IF(J1483="events and names",40,IF(J1483="flashbulb",41,IF(J1483="stories",42,IF(J1483="course material",43,IF(J1483="autobiographical",44,IF(J1483="novels",45,IF(J1483="public events",46,"99"))))))))))))))))))))))))))))))))))))))))))))))</f>
        <v>5</v>
      </c>
      <c r="L1483" s="69">
        <f>IF(J1483="syllables",1,IF(J1483="trigrams",1,IF(J1483="strings",1,IF(J1483="visual array",1,IF(J1483="characters",1,IF(J1483="letters",1,IF(J1483="free forms",1,IF(J1483="odors",2,IF(J1483="words",2,IF(J1483="pictures",2,IF(J1483="object pictures",2,IF(J1483="faces",2,IF(J1483="names",2,IF(J1483="idioms","2",IF(J1483="grades",2,IF(J1483="syllable-digit pairs",3,IF(J1483="trigram-word pairs",3,IF(J1483="word-digit pairs",3,IF(J1483="English-Swahili pairs",3,IF(J1483="spatial position",3,IF(J1483="word pairs",4,IF(J1483="word triads",4,IF(J1483="generated words",4,IF(J1483="word definition pairs",4,IF(J1483="math problems",4,IF(J1483="famous faces",4,IF(J1483="famous names",4,IF(J1483="famous voices",4,IF(J1483="television programs",4,IF(J1483="race horses",4,IF(J1483="new vocabulary",4,IF(J1483="sentences",5,IF(J1483="concepts",5,IF(J1483="ad slides",5,IF(J1483="scenes",5,IF(J1483="famous scenes",5,IF(J1483="poems",6,IF(J1483="walk",6,IF(J1483="faces and events",6,IF(J1483="events and names",6,IF(J1483="flashbulb",7,IF(J1483="stories",7,IF(J1483="course material",7,IF(J1483="autobiographical",7,IF(J1483="novels",7,IF(J1483="public events",7,"99"))))))))))))))))))))))))))))))))))))))))))))))</f>
        <v>1</v>
      </c>
      <c r="M1483" s="107">
        <v>0</v>
      </c>
      <c r="N1483" s="92">
        <v>1</v>
      </c>
      <c r="O1483" s="92">
        <v>0</v>
      </c>
      <c r="P1483" s="92"/>
      <c r="Q1483" s="92" t="s">
        <v>34</v>
      </c>
      <c r="R1483" s="69">
        <f>IF(Q1483="Free Recall",1,IF(Q1483="Cued Recall",2,IF(Q1483="Recognition",3,IF(Q1483="Multiple Choice",4,IF(Q1483="Savings",5,IF(Q1483="Stem Completion",6,IF(Q1483="Fragment Completion",7,IF(Q1483="anagram solution",8,IF(Q1483="Matching",9,IF(Q1483="Problem Solving",10,"99"))))))))))</f>
        <v>3</v>
      </c>
      <c r="S1483" s="92" t="s">
        <v>15</v>
      </c>
      <c r="T1483" s="92" t="s">
        <v>581</v>
      </c>
      <c r="U1483" s="69">
        <f>IF(T1483="within",1,0)</f>
        <v>1</v>
      </c>
      <c r="V1483" s="92">
        <v>65</v>
      </c>
      <c r="W1483" s="69">
        <f>F1483*V1483</f>
        <v>845</v>
      </c>
      <c r="X1483" s="69">
        <v>6</v>
      </c>
      <c r="Y1483" s="87">
        <f>AV1482</f>
        <v>300</v>
      </c>
      <c r="Z1483" s="107" t="s">
        <v>88</v>
      </c>
      <c r="AA1483" s="92">
        <f>2*24*3600</f>
        <v>172800</v>
      </c>
      <c r="AB1483" s="69" t="str">
        <f t="shared" si="98"/>
        <v>3</v>
      </c>
      <c r="AC1483" s="72">
        <f t="shared" ref="AC1483" si="127">AVERAGE(AV1482:DA1482)</f>
        <v>48850</v>
      </c>
      <c r="AD1483" s="69" t="str">
        <f>IF(AC1483&lt;60,"1",IF(AC1483&lt;=43200,"2",IF(AC1483&lt;=777600,"3","4")))</f>
        <v>3</v>
      </c>
      <c r="AE1483" s="87">
        <f>AA1483-Y1483</f>
        <v>172500</v>
      </c>
      <c r="AF1483" s="88">
        <f>AV1483</f>
        <v>0.76550000000000007</v>
      </c>
      <c r="AG1483" s="72">
        <f>((AW1483-AV1483)+(AX1483-AW1483)+(AY1483-AX1483)+(AZ1483-AY1483)+(BA1483-AZ1483))/5</f>
        <v>-3.1899999999999998E-2</v>
      </c>
      <c r="AI1483" s="72">
        <f>RSQ(AV1483:BA1483,AV1482:BA1482)</f>
        <v>0.20749326915588359</v>
      </c>
      <c r="AJ1483" s="110">
        <f>SLOPE(AV1483:BA1483,AV1482:BA1482)</f>
        <v>-4.1978894204574698E-7</v>
      </c>
      <c r="AK1483" s="72">
        <f>INTERCEPT(AV1483:BA1483,AV1482:BA1482)</f>
        <v>0.67567335648560145</v>
      </c>
      <c r="AL1483" s="72">
        <f>INDEX(LINEST(LN(AV1483:BA1483),LN(AV1482:BA1482),TRUE,TRUE),3,1)</f>
        <v>0.57833692115574697</v>
      </c>
      <c r="AM1483" s="72">
        <f>INDEX(LINEST(LN(AV1483:BA1483),LN(AV1482:BA1482)),1)</f>
        <v>-2.8441587524971786E-2</v>
      </c>
      <c r="AN1483" s="72">
        <f>EXP(INDEX(LINEST(LN(AV1483:BA1483),LN(AV1482:BA1482)),1,2))</f>
        <v>0.84581900064290938</v>
      </c>
      <c r="AO1483" s="89">
        <f>INDEX(LINEST((AV1483:BA1483),LN(AV1482:BA1482),TRUE,TRUE),3,1)</f>
        <v>0.58361702337677746</v>
      </c>
      <c r="AP1483" s="89">
        <f>INDEX(LINEST((AV1483:BA1483),LN(AV1482:BA1482)),1)</f>
        <v>-1.9321449701135029E-2</v>
      </c>
      <c r="AQ1483" s="90">
        <f t="shared" ref="AQ1483" si="128">INDEX(LINEST(LN(AV1483:BA1483),SQRT(AV1482:BA1482),TRUE,TRUE),3,1)</f>
        <v>0.31581400200593457</v>
      </c>
      <c r="AR1483" s="117">
        <f t="shared" ref="AR1483" si="129">INDEX(LINEST(LN(AV1483:BA1483),SQRT((AV1482:BA1482))),1)</f>
        <v>-3.2888847054446938E-4</v>
      </c>
      <c r="AS1483" s="91">
        <f t="shared" ref="AS1483" si="130">INDEX(LINEST(1/(AV1483:BA1483),1/(SQRT(AV1482:BA1482)),TRUE,TRUE),3,1)</f>
        <v>0.79146649388831669</v>
      </c>
      <c r="AT1483" s="91">
        <f t="shared" ref="AT1483" si="131">INDEX(LINEST(1/(AV1483:BA1483),1/SQRT(AV1482:BA1482)),1)</f>
        <v>-5.8161018187844737</v>
      </c>
      <c r="AU1483" s="3"/>
      <c r="AV1483" s="97">
        <v>0.76550000000000007</v>
      </c>
      <c r="AW1483" s="97">
        <v>0.6855</v>
      </c>
      <c r="AX1483" s="97">
        <v>0.62</v>
      </c>
      <c r="AY1483" s="97">
        <v>0.59600000000000009</v>
      </c>
      <c r="AZ1483" s="97">
        <v>0.65800000000000003</v>
      </c>
      <c r="BA1483" s="97">
        <v>0.60600000000000009</v>
      </c>
      <c r="BB1483" s="11"/>
      <c r="BC1483" s="11"/>
      <c r="BD1483" s="11"/>
      <c r="BE1483" s="11"/>
      <c r="BF1483" s="11"/>
      <c r="BG1483" s="11"/>
      <c r="BH1483" s="11"/>
      <c r="BI1483" s="11"/>
      <c r="BJ1483" s="11"/>
      <c r="BK1483" s="11"/>
      <c r="BL1483" s="11"/>
      <c r="BM1483" s="11"/>
      <c r="BN1483" s="11"/>
      <c r="BO1483" s="11"/>
      <c r="BP1483" s="11"/>
      <c r="BQ1483" s="11"/>
      <c r="BR1483" s="11"/>
      <c r="BS1483" s="11"/>
      <c r="BT1483" s="11"/>
      <c r="BU1483" s="11"/>
      <c r="BV1483" s="11"/>
      <c r="BW1483" s="11"/>
      <c r="BX1483" s="11"/>
      <c r="BY1483" s="11"/>
      <c r="BZ1483" s="11"/>
      <c r="CA1483" s="11"/>
      <c r="CB1483" s="11"/>
      <c r="CC1483" s="11"/>
      <c r="CD1483" s="11"/>
      <c r="CE1483" s="11"/>
      <c r="CF1483" s="11"/>
      <c r="CG1483" s="11"/>
      <c r="CH1483" s="11"/>
      <c r="CI1483" s="11"/>
      <c r="CJ1483" s="11"/>
      <c r="CK1483" s="11"/>
      <c r="CL1483" s="11"/>
      <c r="CM1483" s="11"/>
      <c r="CN1483" s="11"/>
      <c r="CO1483" s="11"/>
      <c r="CP1483" s="11"/>
      <c r="CQ1483" s="11"/>
      <c r="CR1483" s="15"/>
      <c r="CS1483" s="15"/>
      <c r="CT1483" s="15"/>
      <c r="CU1483" s="15"/>
    </row>
    <row r="1484" spans="1:99" ht="12" customHeight="1" x14ac:dyDescent="0.2">
      <c r="A1484" s="65">
        <v>43906</v>
      </c>
      <c r="B1484" s="15"/>
      <c r="C1484" s="15"/>
      <c r="D1484" s="59"/>
      <c r="E1484" s="75"/>
      <c r="F1484" s="59"/>
      <c r="G1484" s="59"/>
      <c r="H1484" s="59"/>
      <c r="I1484" s="59"/>
      <c r="J1484" s="59"/>
      <c r="M1484" s="59"/>
      <c r="N1484" s="60"/>
      <c r="O1484" s="59"/>
      <c r="P1484" s="59"/>
      <c r="Q1484" s="59"/>
      <c r="R1484" s="60"/>
      <c r="S1484" s="59"/>
      <c r="T1484" s="59"/>
      <c r="U1484" s="60"/>
      <c r="V1484" s="59"/>
      <c r="W1484" s="60"/>
      <c r="X1484" s="59"/>
      <c r="Y1484" s="76"/>
      <c r="Z1484" s="59"/>
      <c r="AA1484" s="59"/>
      <c r="AB1484" s="60"/>
      <c r="AC1484" s="60"/>
      <c r="AD1484" s="60"/>
      <c r="AE1484" s="60"/>
      <c r="AF1484" s="80"/>
      <c r="AG1484" s="56"/>
      <c r="AH1484" s="4"/>
      <c r="AI1484" s="55"/>
      <c r="AJ1484" s="111"/>
      <c r="AK1484" s="55"/>
      <c r="AL1484" s="55"/>
      <c r="AM1484" s="55"/>
      <c r="AN1484" s="55"/>
      <c r="AO1484" s="55"/>
      <c r="AP1484" s="55"/>
      <c r="AQ1484" s="56"/>
      <c r="AR1484" s="109"/>
      <c r="AS1484" s="56"/>
      <c r="AT1484" s="56"/>
      <c r="AU1484" s="4"/>
      <c r="AV1484" s="47">
        <v>300</v>
      </c>
      <c r="AW1484" s="47">
        <f>30*60</f>
        <v>1800</v>
      </c>
      <c r="AX1484" s="47">
        <f>2*3600</f>
        <v>7200</v>
      </c>
      <c r="AY1484" s="47">
        <f>24*3600</f>
        <v>86400</v>
      </c>
      <c r="BA1484" s="11"/>
      <c r="BB1484" s="11"/>
      <c r="BC1484" s="11"/>
      <c r="BD1484" s="11"/>
      <c r="BE1484" s="11"/>
      <c r="BF1484" s="11"/>
      <c r="BG1484" s="11"/>
      <c r="BH1484" s="11"/>
      <c r="BI1484" s="11"/>
      <c r="BJ1484" s="11"/>
      <c r="BK1484" s="11"/>
      <c r="BL1484" s="11"/>
      <c r="BM1484" s="11"/>
      <c r="BN1484" s="11"/>
      <c r="BO1484" s="11"/>
      <c r="BP1484" s="11"/>
      <c r="BQ1484" s="11"/>
      <c r="BR1484" s="11"/>
      <c r="BS1484" s="11"/>
      <c r="BT1484" s="11"/>
      <c r="BU1484" s="11"/>
      <c r="BV1484" s="11"/>
      <c r="BW1484" s="11"/>
      <c r="BX1484" s="11"/>
      <c r="BY1484" s="11"/>
      <c r="BZ1484" s="11"/>
      <c r="CA1484" s="11"/>
      <c r="CB1484" s="11"/>
      <c r="CC1484" s="11"/>
      <c r="CD1484" s="11"/>
      <c r="CE1484" s="11"/>
      <c r="CF1484" s="11"/>
      <c r="CG1484" s="11"/>
      <c r="CH1484" s="11"/>
      <c r="CI1484" s="11"/>
      <c r="CJ1484" s="11"/>
      <c r="CK1484" s="11"/>
      <c r="CL1484" s="11"/>
      <c r="CM1484" s="11"/>
      <c r="CN1484" s="11"/>
      <c r="CO1484" s="11"/>
      <c r="CP1484" s="11"/>
      <c r="CQ1484" s="11"/>
      <c r="CR1484" s="15"/>
      <c r="CS1484" s="15"/>
      <c r="CT1484" s="15"/>
      <c r="CU1484" s="15"/>
    </row>
    <row r="1485" spans="1:99" s="13" customFormat="1" ht="12" customHeight="1" x14ac:dyDescent="0.2">
      <c r="A1485" s="65">
        <v>43906</v>
      </c>
      <c r="B1485" s="1" t="s">
        <v>272</v>
      </c>
      <c r="C1485" s="1" t="s">
        <v>495</v>
      </c>
      <c r="D1485" s="60">
        <v>1996</v>
      </c>
      <c r="E1485" s="76">
        <v>1</v>
      </c>
      <c r="F1485" s="60">
        <v>279</v>
      </c>
      <c r="G1485" s="60">
        <v>34.9</v>
      </c>
      <c r="H1485" s="60" t="s">
        <v>22</v>
      </c>
      <c r="I1485" s="60" t="s">
        <v>493</v>
      </c>
      <c r="J1485" s="60" t="s">
        <v>328</v>
      </c>
      <c r="K1485" s="60">
        <f>IF(J1485="syllables",1,IF(J1485="trigrams",2,IF(J1485="strings",3,IF(J1485="visual array",4,IF(J1485="characters",5,IF(J1485="letters",6,IF(J1485="free forms",7,IF(J1485="odors",8,IF(J1485="words",9,IF(J1485="pictures",10,IF(J1485="object pictures",11,IF(J1485="faces",12,IF(J1485="names",13,IF(J1485="idioms",14,IF(J1485="grades",15,IF(J1485="syllable-digit pairs",16,IF(J1485="trigram-word pairs",17,IF(J1485="word-digit pairs",18,IF(J1485="English-Swahili pairs",19,IF(J1485="spatial position",20,IF(J1485="word pairs",21,IF(J1485="word triads",22,IF(J1485="generated words",23,IF(J1485="word definition pairs",24,IF(J1485="math problems",25,IF(J1485="famous faces",26,IF(J1485="famous names",27,IF(J1485="famous voices",28,IF(J1485="television programs",29,IF(J1485="race horses",30,IF(J1485="new vocabulary",31,IF(J1485="sentences",32,IF(J1485="concepts",33,IF(J1485="ad slides",34,IF(J1485="scenes",35,IF(J1485="famous scenes",36,IF(J1485="poems",37,IF(J1485="walk",38,IF(J1485="faces and events",39,IF(J1485="events and names",40,IF(J1485="flashbulb",41,IF(J1485="stories",42,IF(J1485="course material",43,IF(J1485="autobiographical",44,IF(J1485="novels",45,IF(J1485="public events",46,"99"))))))))))))))))))))))))))))))))))))))))))))))</f>
        <v>12</v>
      </c>
      <c r="L1485" s="60">
        <f>IF(J1485="syllables",1,IF(J1485="trigrams",1,IF(J1485="strings",1,IF(J1485="visual array",1,IF(J1485="characters",1,IF(J1485="letters",1,IF(J1485="free forms",1,IF(J1485="odors",2,IF(J1485="words",2,IF(J1485="pictures",2,IF(J1485="object pictures",2,IF(J1485="faces",2,IF(J1485="names",2,IF(J1485="idioms","2",IF(J1485="grades",2,IF(J1485="syllable-digit pairs",3,IF(J1485="trigram-word pairs",3,IF(J1485="word-digit pairs",3,IF(J1485="English-Swahili pairs",3,IF(J1485="spatial position",3,IF(J1485="word pairs",4,IF(J1485="word triads",4,IF(J1485="generated words",4,IF(J1485="word definition pairs",4,IF(J1485="math problems",4,IF(J1485="famous faces",4,IF(J1485="famous names",4,IF(J1485="famous voices",4,IF(J1485="television programs",4,IF(J1485="race horses",4,IF(J1485="new vocabulary",4,IF(J1485="sentences",5,IF(J1485="concepts",5,IF(J1485="ad slides",5,IF(J1485="scenes",5,IF(J1485="famous scenes",5,IF(J1485="poems",6,IF(J1485="walk",6,IF(J1485="faces and events",6,IF(J1485="events and names",6,IF(J1485="flashbulb",7,IF(J1485="stories",7,IF(J1485="course material",7,IF(J1485="autobiographical",7,IF(J1485="novels",7,IF(J1485="public events",7,"99"))))))))))))))))))))))))))))))))))))))))))))))</f>
        <v>2</v>
      </c>
      <c r="M1485" s="60">
        <v>0</v>
      </c>
      <c r="N1485" s="60">
        <v>1</v>
      </c>
      <c r="O1485" s="60">
        <v>0</v>
      </c>
      <c r="P1485" s="60"/>
      <c r="Q1485" s="60" t="s">
        <v>182</v>
      </c>
      <c r="R1485" s="60">
        <f>IF(Q1485="Free Recall",1,IF(Q1485="Cued Recall",2,IF(Q1485="Recognition",3,IF(Q1485="Multiple Choice",4,IF(Q1485="Savings",5,IF(Q1485="Stem Completion",6,IF(Q1485="Fragment Completion",7,IF(Q1485="anagram solution",8,IF(Q1485="Matching",9,IF(Q1485="Problem Solving",10,"99"))))))))))</f>
        <v>4</v>
      </c>
      <c r="S1485" s="59" t="s">
        <v>15</v>
      </c>
      <c r="T1485" s="60" t="s">
        <v>261</v>
      </c>
      <c r="U1485" s="60">
        <f>IF(T1485="within",1,0)</f>
        <v>0</v>
      </c>
      <c r="V1485" s="60">
        <v>2</v>
      </c>
      <c r="W1485" s="60">
        <f>F1485*V1485</f>
        <v>558</v>
      </c>
      <c r="X1485" s="60">
        <v>4</v>
      </c>
      <c r="Y1485" s="76">
        <f>AV1484</f>
        <v>300</v>
      </c>
      <c r="Z1485" s="60" t="s">
        <v>449</v>
      </c>
      <c r="AA1485" s="60">
        <f>24*3600</f>
        <v>86400</v>
      </c>
      <c r="AB1485" s="60" t="str">
        <f t="shared" si="98"/>
        <v>3</v>
      </c>
      <c r="AC1485" s="56">
        <f t="shared" ref="AC1485" si="132">AVERAGE(AV1484:DA1484)</f>
        <v>23925</v>
      </c>
      <c r="AD1485" s="60" t="str">
        <f>IF(AC1485&lt;60,"1",IF(AC1485&lt;=43200,"2",IF(AC1485&lt;=777600,"3","4")))</f>
        <v>2</v>
      </c>
      <c r="AE1485" s="76">
        <f>AA1485-Y1485</f>
        <v>86100</v>
      </c>
      <c r="AF1485" s="80">
        <f>AV1485</f>
        <v>0.76</v>
      </c>
      <c r="AG1485" s="56">
        <f>((AW1485-AV1485)+(AX1485-AW1485)+(AY1485-AX1485))/3</f>
        <v>-8.3333333333333329E-2</v>
      </c>
      <c r="AH1485" s="4"/>
      <c r="AI1485" s="56">
        <f>RSQ(AV1485:AY1485,AV1484:AY1484)</f>
        <v>0.22027014709339479</v>
      </c>
      <c r="AJ1485" s="109">
        <f>SLOPE(AV1485:AY1485,AV1484:AY1484)</f>
        <v>-1.4139641325435441E-6</v>
      </c>
      <c r="AK1485" s="56">
        <f>INTERCEPT(AV1485:AY1485,AV1484:AY1484)</f>
        <v>0.6213290918711043</v>
      </c>
      <c r="AL1485" s="56">
        <f>INDEX(LINEST(LN(AV1485:AY1485),LN(AV1484:AY1484),TRUE,TRUE),3,1)</f>
        <v>0.70175345312773696</v>
      </c>
      <c r="AM1485" s="56">
        <f>INDEX(LINEST(LN(AV1485:AY1485),LN(AV1484:AY1484)),1)</f>
        <v>-7.2022222805653915E-2</v>
      </c>
      <c r="AN1485" s="56">
        <f>EXP(INDEX(LINEST(LN(AV1485:AY1485),LN(AV1484:AY1484)),1,2))</f>
        <v>1.0555944239933479</v>
      </c>
      <c r="AO1485" s="82">
        <f>INDEX(LINEST((AV1485:AY1485),LN(AV1484:AY1484),TRUE,TRUE),3,1)</f>
        <v>0.70733152657227982</v>
      </c>
      <c r="AP1485" s="82">
        <f>INDEX(LINEST((AV1485:AY1485),LN(AV1484:AY1484)),1)</f>
        <v>-4.4294334836707527E-2</v>
      </c>
      <c r="AQ1485" s="83">
        <f>INDEX(LINEST(LN(AV1485:AY1485),SQRT(AV1484:AY1484),TRUE,TRUE),3,1)</f>
        <v>0.35496995068996962</v>
      </c>
      <c r="AR1485" s="116">
        <f>INDEX(LINEST(LN(AV1485:AY1485),SQRT((AV1484:AY1484))),1)</f>
        <v>-9.7110593289296556E-4</v>
      </c>
      <c r="AS1485" s="84">
        <f>INDEX(LINEST(1/(AV1485:AY1485),1/(SQRT(AV1484:AY1484)),TRUE,TRUE),3,1)</f>
        <v>0.88310416173285244</v>
      </c>
      <c r="AT1485" s="84">
        <f>INDEX(LINEST(1/(AV1485:AY1485),1/SQRT(AV1484:AY1484)),1)</f>
        <v>-13.454182818509977</v>
      </c>
      <c r="AU1485" s="3"/>
      <c r="AV1485" s="53">
        <v>0.76</v>
      </c>
      <c r="AW1485" s="53">
        <v>0.60000000000000009</v>
      </c>
      <c r="AX1485" s="53">
        <v>0.48</v>
      </c>
      <c r="AY1485" s="53">
        <v>0.51</v>
      </c>
      <c r="AZ1485" s="43"/>
      <c r="BA1485" s="42"/>
      <c r="BB1485" s="42"/>
      <c r="BC1485" s="2"/>
      <c r="BD1485" s="2"/>
      <c r="BE1485" s="2"/>
      <c r="BF1485" s="2"/>
      <c r="BG1485" s="2"/>
      <c r="BH1485" s="2"/>
      <c r="BI1485" s="2"/>
      <c r="BJ1485" s="2"/>
      <c r="BK1485" s="2"/>
      <c r="BL1485" s="2"/>
      <c r="BM1485" s="2"/>
      <c r="BN1485" s="2"/>
      <c r="BO1485" s="2"/>
      <c r="BP1485" s="2"/>
      <c r="BQ1485" s="2"/>
      <c r="BR1485" s="2"/>
      <c r="BS1485" s="2"/>
      <c r="BT1485" s="2"/>
      <c r="BU1485" s="2"/>
      <c r="BV1485" s="2"/>
      <c r="BW1485" s="2"/>
      <c r="BX1485" s="2"/>
      <c r="BY1485" s="2"/>
      <c r="BZ1485" s="2"/>
      <c r="CA1485" s="2"/>
      <c r="CB1485" s="2"/>
      <c r="CC1485" s="2"/>
      <c r="CD1485" s="2"/>
      <c r="CE1485" s="2"/>
      <c r="CF1485" s="2"/>
      <c r="CG1485" s="2"/>
      <c r="CH1485" s="2"/>
      <c r="CI1485" s="2"/>
      <c r="CJ1485" s="2"/>
      <c r="CK1485" s="2"/>
      <c r="CL1485" s="2"/>
      <c r="CM1485" s="2"/>
      <c r="CN1485" s="2"/>
      <c r="CO1485" s="2"/>
      <c r="CP1485" s="2"/>
      <c r="CQ1485" s="2"/>
      <c r="CR1485" s="1"/>
      <c r="CS1485" s="1"/>
      <c r="CT1485" s="1"/>
      <c r="CU1485" s="1"/>
    </row>
    <row r="1486" spans="1:99" s="13" customFormat="1" ht="12" customHeight="1" x14ac:dyDescent="0.2">
      <c r="A1486" s="65">
        <v>43906</v>
      </c>
      <c r="B1486" s="15"/>
      <c r="C1486" s="15"/>
      <c r="D1486" s="59"/>
      <c r="E1486" s="76"/>
      <c r="F1486" s="59"/>
      <c r="G1486" s="59"/>
      <c r="H1486" s="59"/>
      <c r="I1486" s="60"/>
      <c r="J1486" s="59"/>
      <c r="K1486" s="64"/>
      <c r="L1486" s="64"/>
      <c r="M1486" s="59"/>
      <c r="N1486" s="61"/>
      <c r="O1486" s="59"/>
      <c r="P1486" s="59"/>
      <c r="Q1486" s="59"/>
      <c r="R1486" s="60"/>
      <c r="S1486" s="59"/>
      <c r="T1486" s="59"/>
      <c r="U1486" s="60"/>
      <c r="V1486" s="59"/>
      <c r="W1486" s="60"/>
      <c r="X1486" s="59"/>
      <c r="Y1486" s="76"/>
      <c r="Z1486" s="59"/>
      <c r="AA1486" s="59"/>
      <c r="AB1486" s="60"/>
      <c r="AC1486" s="60"/>
      <c r="AD1486" s="60"/>
      <c r="AE1486" s="60"/>
      <c r="AF1486" s="80"/>
      <c r="AG1486" s="56"/>
      <c r="AH1486" s="4"/>
      <c r="AI1486" s="55"/>
      <c r="AJ1486" s="111"/>
      <c r="AK1486" s="55"/>
      <c r="AL1486" s="55"/>
      <c r="AM1486" s="55"/>
      <c r="AN1486" s="55"/>
      <c r="AO1486" s="55"/>
      <c r="AP1486" s="55"/>
      <c r="AQ1486" s="56"/>
      <c r="AR1486" s="109"/>
      <c r="AS1486" s="56"/>
      <c r="AT1486" s="56"/>
      <c r="AU1486" s="4"/>
      <c r="AV1486" s="47">
        <v>300</v>
      </c>
      <c r="AW1486" s="47">
        <f>30*60</f>
        <v>1800</v>
      </c>
      <c r="AX1486" s="47">
        <f>2*3600</f>
        <v>7200</v>
      </c>
      <c r="AY1486" s="47">
        <f>24*3600</f>
        <v>86400</v>
      </c>
      <c r="AZ1486" s="43"/>
      <c r="BA1486" s="42"/>
      <c r="BB1486" s="42"/>
      <c r="BC1486" s="41"/>
      <c r="BD1486" s="41"/>
      <c r="BE1486" s="41"/>
      <c r="BF1486" s="41"/>
      <c r="BG1486" s="41"/>
      <c r="BH1486" s="41"/>
      <c r="BI1486" s="41"/>
      <c r="BJ1486" s="41"/>
      <c r="BK1486" s="41"/>
      <c r="BL1486" s="41"/>
      <c r="BM1486" s="41"/>
      <c r="BN1486" s="41"/>
      <c r="BO1486" s="41"/>
      <c r="BP1486" s="41"/>
      <c r="BQ1486" s="41"/>
      <c r="BR1486" s="41"/>
      <c r="BS1486" s="41"/>
      <c r="BT1486" s="41"/>
      <c r="BU1486" s="41"/>
      <c r="BV1486" s="41"/>
      <c r="BW1486" s="41"/>
      <c r="BX1486" s="41"/>
      <c r="BY1486" s="41"/>
      <c r="BZ1486" s="41"/>
      <c r="CA1486" s="41"/>
      <c r="CB1486" s="41"/>
      <c r="CC1486" s="41"/>
      <c r="CD1486" s="41"/>
      <c r="CE1486" s="41"/>
      <c r="CF1486" s="41"/>
      <c r="CG1486" s="41"/>
      <c r="CH1486" s="41"/>
      <c r="CI1486" s="41"/>
      <c r="CJ1486" s="41"/>
      <c r="CK1486" s="41"/>
      <c r="CL1486" s="41"/>
      <c r="CM1486" s="41"/>
      <c r="CN1486" s="41"/>
      <c r="CO1486" s="41"/>
      <c r="CP1486" s="41"/>
      <c r="CQ1486" s="41"/>
      <c r="CR1486" s="1"/>
      <c r="CS1486" s="1"/>
      <c r="CT1486" s="1"/>
      <c r="CU1486" s="1"/>
    </row>
    <row r="1487" spans="1:99" s="13" customFormat="1" ht="12" customHeight="1" x14ac:dyDescent="0.2">
      <c r="A1487" s="65">
        <v>43906</v>
      </c>
      <c r="B1487" s="1" t="s">
        <v>272</v>
      </c>
      <c r="C1487" s="1" t="s">
        <v>495</v>
      </c>
      <c r="D1487" s="60">
        <v>1996</v>
      </c>
      <c r="E1487" s="76">
        <v>1</v>
      </c>
      <c r="F1487" s="60">
        <v>286</v>
      </c>
      <c r="G1487" s="60">
        <v>35.799999999999997</v>
      </c>
      <c r="H1487" s="60" t="s">
        <v>22</v>
      </c>
      <c r="I1487" s="60" t="s">
        <v>494</v>
      </c>
      <c r="J1487" s="60" t="s">
        <v>328</v>
      </c>
      <c r="K1487" s="60">
        <f>IF(J1487="syllables",1,IF(J1487="trigrams",2,IF(J1487="strings",3,IF(J1487="visual array",4,IF(J1487="characters",5,IF(J1487="letters",6,IF(J1487="free forms",7,IF(J1487="odors",8,IF(J1487="words",9,IF(J1487="pictures",10,IF(J1487="object pictures",11,IF(J1487="faces",12,IF(J1487="names",13,IF(J1487="idioms",14,IF(J1487="grades",15,IF(J1487="syllable-digit pairs",16,IF(J1487="trigram-word pairs",17,IF(J1487="word-digit pairs",18,IF(J1487="English-Swahili pairs",19,IF(J1487="spatial position",20,IF(J1487="word pairs",21,IF(J1487="word triads",22,IF(J1487="generated words",23,IF(J1487="word definition pairs",24,IF(J1487="math problems",25,IF(J1487="famous faces",26,IF(J1487="famous names",27,IF(J1487="famous voices",28,IF(J1487="television programs",29,IF(J1487="race horses",30,IF(J1487="new vocabulary",31,IF(J1487="sentences",32,IF(J1487="concepts",33,IF(J1487="ad slides",34,IF(J1487="scenes",35,IF(J1487="famous scenes",36,IF(J1487="poems",37,IF(J1487="walk",38,IF(J1487="faces and events",39,IF(J1487="events and names",40,IF(J1487="flashbulb",41,IF(J1487="stories",42,IF(J1487="course material",43,IF(J1487="autobiographical",44,IF(J1487="novels",45,IF(J1487="public events",46,"99"))))))))))))))))))))))))))))))))))))))))))))))</f>
        <v>12</v>
      </c>
      <c r="L1487" s="60">
        <f>IF(J1487="syllables",1,IF(J1487="trigrams",1,IF(J1487="strings",1,IF(J1487="visual array",1,IF(J1487="characters",1,IF(J1487="letters",1,IF(J1487="free forms",1,IF(J1487="odors",2,IF(J1487="words",2,IF(J1487="pictures",2,IF(J1487="object pictures",2,IF(J1487="faces",2,IF(J1487="names",2,IF(J1487="idioms","2",IF(J1487="grades",2,IF(J1487="syllable-digit pairs",3,IF(J1487="trigram-word pairs",3,IF(J1487="word-digit pairs",3,IF(J1487="English-Swahili pairs",3,IF(J1487="spatial position",3,IF(J1487="word pairs",4,IF(J1487="word triads",4,IF(J1487="generated words",4,IF(J1487="word definition pairs",4,IF(J1487="math problems",4,IF(J1487="famous faces",4,IF(J1487="famous names",4,IF(J1487="famous voices",4,IF(J1487="television programs",4,IF(J1487="race horses",4,IF(J1487="new vocabulary",4,IF(J1487="sentences",5,IF(J1487="concepts",5,IF(J1487="ad slides",5,IF(J1487="scenes",5,IF(J1487="famous scenes",5,IF(J1487="poems",6,IF(J1487="walk",6,IF(J1487="faces and events",6,IF(J1487="events and names",6,IF(J1487="flashbulb",7,IF(J1487="stories",7,IF(J1487="course material",7,IF(J1487="autobiographical",7,IF(J1487="novels",7,IF(J1487="public events",7,"99"))))))))))))))))))))))))))))))))))))))))))))))</f>
        <v>2</v>
      </c>
      <c r="M1487" s="60">
        <v>0</v>
      </c>
      <c r="N1487" s="61">
        <v>1</v>
      </c>
      <c r="O1487" s="60">
        <v>0</v>
      </c>
      <c r="P1487" s="60"/>
      <c r="Q1487" s="60" t="s">
        <v>182</v>
      </c>
      <c r="R1487" s="60">
        <f>IF(Q1487="Free Recall",1,IF(Q1487="Cued Recall",2,IF(Q1487="Recognition",3,IF(Q1487="Multiple Choice",4,IF(Q1487="Savings",5,IF(Q1487="Stem Completion",6,IF(Q1487="Fragment Completion",7,IF(Q1487="anagram solution",8,IF(Q1487="Matching",9,IF(Q1487="Problem Solving",10,"99"))))))))))</f>
        <v>4</v>
      </c>
      <c r="S1487" s="59" t="s">
        <v>15</v>
      </c>
      <c r="T1487" s="60" t="s">
        <v>261</v>
      </c>
      <c r="U1487" s="60">
        <f>IF(T1487="within",1,0)</f>
        <v>0</v>
      </c>
      <c r="V1487" s="60">
        <v>2</v>
      </c>
      <c r="W1487" s="60">
        <f>F1487*V1487</f>
        <v>572</v>
      </c>
      <c r="X1487" s="60">
        <v>4</v>
      </c>
      <c r="Y1487" s="76">
        <f>AV1486</f>
        <v>300</v>
      </c>
      <c r="Z1487" s="60" t="s">
        <v>449</v>
      </c>
      <c r="AA1487" s="60">
        <f>24*3600</f>
        <v>86400</v>
      </c>
      <c r="AB1487" s="60" t="str">
        <f t="shared" si="98"/>
        <v>3</v>
      </c>
      <c r="AC1487" s="56">
        <f t="shared" ref="AC1487" si="133">AVERAGE(AV1486:DA1486)</f>
        <v>23925</v>
      </c>
      <c r="AD1487" s="60" t="str">
        <f>IF(AC1487&lt;60,"1",IF(AC1487&lt;=43200,"2",IF(AC1487&lt;=777600,"3","4")))</f>
        <v>2</v>
      </c>
      <c r="AE1487" s="76">
        <f>AA1487-Y1487</f>
        <v>86100</v>
      </c>
      <c r="AF1487" s="80">
        <f>AV1487</f>
        <v>0.435</v>
      </c>
      <c r="AG1487" s="56">
        <f>((AW1487-AV1487)+(AX1487-AW1487)+(AY1487-AX1487))/3</f>
        <v>-4.3333333333333335E-2</v>
      </c>
      <c r="AH1487" s="4"/>
      <c r="AI1487" s="56">
        <f>RSQ(AV1487:AY1487,AV1486:AY1486)</f>
        <v>0.35470791002994079</v>
      </c>
      <c r="AJ1487" s="109">
        <f>SLOPE(AV1487:AY1487,AV1486:AY1486)</f>
        <v>-8.1000744191648707E-7</v>
      </c>
      <c r="AK1487" s="56">
        <f>INTERCEPT(AV1487:AY1487,AV1486:AY1486)</f>
        <v>0.37187942804785196</v>
      </c>
      <c r="AL1487" s="56">
        <f>INDEX(LINEST(LN(AV1487:AY1487),LN(AV1486:AY1486),TRUE,TRUE),3,1)</f>
        <v>0.79516829599425787</v>
      </c>
      <c r="AM1487" s="56">
        <f>INDEX(LINEST(LN(AV1487:AY1487),LN(AV1486:AY1486)),1)</f>
        <v>-5.7039541277365886E-2</v>
      </c>
      <c r="AN1487" s="56">
        <f>EXP(INDEX(LINEST(LN(AV1487:AY1487),LN(AV1486:AY1486)),1,2))</f>
        <v>0.56281050375923725</v>
      </c>
      <c r="AO1487" s="82">
        <f>INDEX(LINEST((AV1487:AY1487),LN(AV1486:AY1486),TRUE,TRUE),3,1)</f>
        <v>0.76518341803102052</v>
      </c>
      <c r="AP1487" s="82">
        <f>INDEX(LINEST((AV1487:AY1487),LN(AV1486:AY1486)),1)</f>
        <v>-2.0797563152517861E-2</v>
      </c>
      <c r="AQ1487" s="83">
        <f>INDEX(LINEST(LN(AV1487:AY1487),SQRT(AV1486:AY1486),TRUE,TRUE),3,1)</f>
        <v>0.51407184308467502</v>
      </c>
      <c r="AR1487" s="116">
        <f>INDEX(LINEST(LN(AV1487:AY1487),SQRT((AV1486:AY1486))),1)</f>
        <v>-8.6947074806293485E-4</v>
      </c>
      <c r="AS1487" s="84">
        <f>INDEX(LINEST(1/(AV1487:AY1487),1/(SQRT(AV1486:AY1486)),TRUE,TRUE),3,1)</f>
        <v>0.95725312956752184</v>
      </c>
      <c r="AT1487" s="84">
        <f>INDEX(LINEST(1/(AV1487:AY1487),1/SQRT(AV1486:AY1486)),1)</f>
        <v>-17.029893900452887</v>
      </c>
      <c r="AU1487" s="3"/>
      <c r="AV1487" s="53">
        <v>0.435</v>
      </c>
      <c r="AW1487" s="53">
        <v>0.33500000000000002</v>
      </c>
      <c r="AX1487" s="53">
        <v>0.33499999999999996</v>
      </c>
      <c r="AY1487" s="53">
        <v>0.30499999999999999</v>
      </c>
      <c r="AZ1487" s="43"/>
      <c r="BA1487" s="42"/>
      <c r="BB1487" s="42"/>
      <c r="BC1487" s="41"/>
      <c r="BD1487" s="41"/>
      <c r="BE1487" s="41"/>
      <c r="BF1487" s="41"/>
      <c r="BG1487" s="41"/>
      <c r="BH1487" s="41"/>
      <c r="BI1487" s="41"/>
      <c r="BJ1487" s="41"/>
      <c r="BK1487" s="41"/>
      <c r="BL1487" s="41"/>
      <c r="BM1487" s="41"/>
      <c r="BN1487" s="41"/>
      <c r="BO1487" s="41"/>
      <c r="BP1487" s="41"/>
      <c r="BQ1487" s="41"/>
      <c r="BR1487" s="41"/>
      <c r="BS1487" s="41"/>
      <c r="BT1487" s="41"/>
      <c r="BU1487" s="41"/>
      <c r="BV1487" s="41"/>
      <c r="BW1487" s="41"/>
      <c r="BX1487" s="41"/>
      <c r="BY1487" s="41"/>
      <c r="BZ1487" s="41"/>
      <c r="CA1487" s="41"/>
      <c r="CB1487" s="41"/>
      <c r="CC1487" s="41"/>
      <c r="CD1487" s="41"/>
      <c r="CE1487" s="41"/>
      <c r="CF1487" s="41"/>
      <c r="CG1487" s="41"/>
      <c r="CH1487" s="41"/>
      <c r="CI1487" s="41"/>
      <c r="CJ1487" s="41"/>
      <c r="CK1487" s="41"/>
      <c r="CL1487" s="41"/>
      <c r="CM1487" s="41"/>
      <c r="CN1487" s="41"/>
      <c r="CO1487" s="41"/>
      <c r="CP1487" s="41"/>
      <c r="CQ1487" s="41"/>
      <c r="CR1487" s="1"/>
      <c r="CS1487" s="1"/>
      <c r="CT1487" s="1"/>
      <c r="CU1487" s="1"/>
    </row>
    <row r="1488" spans="1:99" s="13" customFormat="1" ht="12" customHeight="1" x14ac:dyDescent="0.2">
      <c r="A1488" s="65">
        <v>43906</v>
      </c>
      <c r="B1488" s="15"/>
      <c r="C1488" s="15"/>
      <c r="D1488" s="59"/>
      <c r="E1488" s="75"/>
      <c r="F1488" s="59"/>
      <c r="G1488" s="59"/>
      <c r="H1488" s="59"/>
      <c r="I1488" s="59"/>
      <c r="J1488" s="59"/>
      <c r="K1488" s="64"/>
      <c r="L1488" s="64"/>
      <c r="M1488" s="59"/>
      <c r="N1488" s="60"/>
      <c r="O1488" s="59"/>
      <c r="P1488" s="59"/>
      <c r="Q1488" s="59"/>
      <c r="R1488" s="60"/>
      <c r="S1488" s="59"/>
      <c r="T1488" s="59"/>
      <c r="U1488" s="60"/>
      <c r="V1488" s="59"/>
      <c r="W1488" s="60"/>
      <c r="X1488" s="59"/>
      <c r="Y1488" s="76"/>
      <c r="Z1488" s="59"/>
      <c r="AA1488" s="59"/>
      <c r="AB1488" s="60"/>
      <c r="AC1488" s="60"/>
      <c r="AD1488" s="60"/>
      <c r="AE1488" s="60"/>
      <c r="AF1488" s="80"/>
      <c r="AG1488" s="56"/>
      <c r="AH1488" s="4"/>
      <c r="AI1488" s="55"/>
      <c r="AJ1488" s="111"/>
      <c r="AK1488" s="55"/>
      <c r="AL1488" s="55"/>
      <c r="AM1488" s="55"/>
      <c r="AN1488" s="55"/>
      <c r="AO1488" s="55"/>
      <c r="AP1488" s="55"/>
      <c r="AQ1488" s="56"/>
      <c r="AR1488" s="109"/>
      <c r="AS1488" s="56"/>
      <c r="AT1488" s="56"/>
      <c r="AU1488" s="4"/>
      <c r="AV1488" s="47">
        <v>300</v>
      </c>
      <c r="AW1488" s="47">
        <f>30*60</f>
        <v>1800</v>
      </c>
      <c r="AX1488" s="47">
        <f>2*3600</f>
        <v>7200</v>
      </c>
      <c r="AY1488" s="47">
        <f>24*3600</f>
        <v>86400</v>
      </c>
      <c r="AZ1488" s="43"/>
      <c r="BA1488" s="42"/>
      <c r="BB1488" s="42"/>
      <c r="BC1488" s="41"/>
      <c r="BD1488" s="41"/>
      <c r="BE1488" s="41"/>
      <c r="BF1488" s="41"/>
      <c r="BG1488" s="41"/>
      <c r="BH1488" s="41"/>
      <c r="BI1488" s="41"/>
      <c r="BJ1488" s="41"/>
      <c r="BK1488" s="41"/>
      <c r="BL1488" s="41"/>
      <c r="BM1488" s="41"/>
      <c r="BN1488" s="41"/>
      <c r="BO1488" s="41"/>
      <c r="BP1488" s="41"/>
      <c r="BQ1488" s="41"/>
      <c r="BR1488" s="41"/>
      <c r="BS1488" s="41"/>
      <c r="BT1488" s="41"/>
      <c r="BU1488" s="41"/>
      <c r="BV1488" s="41"/>
      <c r="BW1488" s="41"/>
      <c r="BX1488" s="41"/>
      <c r="BY1488" s="41"/>
      <c r="BZ1488" s="41"/>
      <c r="CA1488" s="41"/>
      <c r="CB1488" s="41"/>
      <c r="CC1488" s="41"/>
      <c r="CD1488" s="41"/>
      <c r="CE1488" s="41"/>
      <c r="CF1488" s="41"/>
      <c r="CG1488" s="41"/>
      <c r="CH1488" s="41"/>
      <c r="CI1488" s="41"/>
      <c r="CJ1488" s="41"/>
      <c r="CK1488" s="41"/>
      <c r="CL1488" s="41"/>
      <c r="CM1488" s="41"/>
      <c r="CN1488" s="41"/>
      <c r="CO1488" s="41"/>
      <c r="CP1488" s="41"/>
      <c r="CQ1488" s="41"/>
      <c r="CR1488" s="1"/>
      <c r="CS1488" s="1"/>
      <c r="CT1488" s="1"/>
      <c r="CU1488" s="1"/>
    </row>
    <row r="1489" spans="1:99" s="13" customFormat="1" ht="12" customHeight="1" x14ac:dyDescent="0.2">
      <c r="A1489" s="65">
        <v>43906</v>
      </c>
      <c r="B1489" s="1" t="s">
        <v>272</v>
      </c>
      <c r="C1489" s="1" t="s">
        <v>495</v>
      </c>
      <c r="D1489" s="60">
        <v>1996</v>
      </c>
      <c r="E1489" s="76">
        <v>2</v>
      </c>
      <c r="F1489" s="60">
        <v>543</v>
      </c>
      <c r="G1489" s="60">
        <v>45.3</v>
      </c>
      <c r="H1489" s="60" t="s">
        <v>38</v>
      </c>
      <c r="I1489" s="60" t="s">
        <v>496</v>
      </c>
      <c r="J1489" s="60" t="s">
        <v>328</v>
      </c>
      <c r="K1489" s="60">
        <f>IF(J1489="syllables",1,IF(J1489="trigrams",2,IF(J1489="strings",3,IF(J1489="visual array",4,IF(J1489="characters",5,IF(J1489="letters",6,IF(J1489="free forms",7,IF(J1489="odors",8,IF(J1489="words",9,IF(J1489="pictures",10,IF(J1489="object pictures",11,IF(J1489="faces",12,IF(J1489="names",13,IF(J1489="idioms",14,IF(J1489="grades",15,IF(J1489="syllable-digit pairs",16,IF(J1489="trigram-word pairs",17,IF(J1489="word-digit pairs",18,IF(J1489="English-Swahili pairs",19,IF(J1489="spatial position",20,IF(J1489="word pairs",21,IF(J1489="word triads",22,IF(J1489="generated words",23,IF(J1489="word definition pairs",24,IF(J1489="math problems",25,IF(J1489="famous faces",26,IF(J1489="famous names",27,IF(J1489="famous voices",28,IF(J1489="television programs",29,IF(J1489="race horses",30,IF(J1489="new vocabulary",31,IF(J1489="sentences",32,IF(J1489="concepts",33,IF(J1489="ad slides",34,IF(J1489="scenes",35,IF(J1489="famous scenes",36,IF(J1489="poems",37,IF(J1489="walk",38,IF(J1489="faces and events",39,IF(J1489="events and names",40,IF(J1489="flashbulb",41,IF(J1489="stories",42,IF(J1489="course material",43,IF(J1489="autobiographical",44,IF(J1489="novels",45,IF(J1489="public events",46,"99"))))))))))))))))))))))))))))))))))))))))))))))</f>
        <v>12</v>
      </c>
      <c r="L1489" s="60">
        <f>IF(J1489="syllables",1,IF(J1489="trigrams",1,IF(J1489="strings",1,IF(J1489="visual array",1,IF(J1489="characters",1,IF(J1489="letters",1,IF(J1489="free forms",1,IF(J1489="odors",2,IF(J1489="words",2,IF(J1489="pictures",2,IF(J1489="object pictures",2,IF(J1489="faces",2,IF(J1489="names",2,IF(J1489="idioms","2",IF(J1489="grades",2,IF(J1489="syllable-digit pairs",3,IF(J1489="trigram-word pairs",3,IF(J1489="word-digit pairs",3,IF(J1489="English-Swahili pairs",3,IF(J1489="spatial position",3,IF(J1489="word pairs",4,IF(J1489="word triads",4,IF(J1489="generated words",4,IF(J1489="word definition pairs",4,IF(J1489="math problems",4,IF(J1489="famous faces",4,IF(J1489="famous names",4,IF(J1489="famous voices",4,IF(J1489="television programs",4,IF(J1489="race horses",4,IF(J1489="new vocabulary",4,IF(J1489="sentences",5,IF(J1489="concepts",5,IF(J1489="ad slides",5,IF(J1489="scenes",5,IF(J1489="famous scenes",5,IF(J1489="poems",6,IF(J1489="walk",6,IF(J1489="faces and events",6,IF(J1489="events and names",6,IF(J1489="flashbulb",7,IF(J1489="stories",7,IF(J1489="course material",7,IF(J1489="autobiographical",7,IF(J1489="novels",7,IF(J1489="public events",7,"99"))))))))))))))))))))))))))))))))))))))))))))))</f>
        <v>2</v>
      </c>
      <c r="M1489" s="60">
        <v>0</v>
      </c>
      <c r="N1489" s="60">
        <v>1</v>
      </c>
      <c r="O1489" s="60">
        <v>0</v>
      </c>
      <c r="P1489" s="60"/>
      <c r="Q1489" s="60" t="s">
        <v>182</v>
      </c>
      <c r="R1489" s="60">
        <f>IF(Q1489="Free Recall",1,IF(Q1489="Cued Recall",2,IF(Q1489="Recognition",3,IF(Q1489="Multiple Choice",4,IF(Q1489="Savings",5,IF(Q1489="Stem Completion",6,IF(Q1489="Fragment Completion",7,IF(Q1489="anagram solution",8,IF(Q1489="Matching",9,IF(Q1489="Problem Solving",10,"99"))))))))))</f>
        <v>4</v>
      </c>
      <c r="S1489" s="59" t="s">
        <v>15</v>
      </c>
      <c r="T1489" s="60" t="s">
        <v>261</v>
      </c>
      <c r="U1489" s="60">
        <f>IF(T1489="within",1,0)</f>
        <v>0</v>
      </c>
      <c r="V1489" s="60">
        <v>2</v>
      </c>
      <c r="W1489" s="60">
        <f>F1489*V1489</f>
        <v>1086</v>
      </c>
      <c r="X1489" s="60">
        <v>4</v>
      </c>
      <c r="Y1489" s="76">
        <f>AV1488</f>
        <v>300</v>
      </c>
      <c r="Z1489" s="60" t="s">
        <v>449</v>
      </c>
      <c r="AA1489" s="60">
        <f>24*3600</f>
        <v>86400</v>
      </c>
      <c r="AB1489" s="60" t="str">
        <f>IF(AA1489&lt;60,"1",IF(AA1489&lt;=43200,"2",IF(AA1489&lt;=777600,"3","4")))</f>
        <v>3</v>
      </c>
      <c r="AC1489" s="56">
        <f t="shared" ref="AC1489" si="134">AVERAGE(AV1488:DA1488)</f>
        <v>23925</v>
      </c>
      <c r="AD1489" s="60" t="str">
        <f>IF(AC1489&lt;60,"1",IF(AC1489&lt;=43200,"2",IF(AC1489&lt;=777600,"3","4")))</f>
        <v>2</v>
      </c>
      <c r="AE1489" s="76">
        <f>AA1489-Y1489</f>
        <v>86100</v>
      </c>
      <c r="AF1489" s="80">
        <f>AV1489</f>
        <v>0.78875000000000006</v>
      </c>
      <c r="AG1489" s="56">
        <f>((AW1489-AV1489)+(AX1489-AW1489)+(AY1489-AX1489))/3</f>
        <v>-1.4166666666666697E-2</v>
      </c>
      <c r="AH1489" s="4"/>
      <c r="AI1489" s="56">
        <f>RSQ(AV1489:AY1489,AV1488:AY1488)</f>
        <v>0.14941824229626929</v>
      </c>
      <c r="AJ1489" s="109">
        <f>SLOPE(AV1489:AY1489,AV1488:AY1488)</f>
        <v>-4.1070345468389115E-7</v>
      </c>
      <c r="AK1489" s="56">
        <f>INTERCEPT(AV1489:AY1489,AV1488:AY1488)</f>
        <v>0.77795108015331205</v>
      </c>
      <c r="AL1489" s="56">
        <f>INDEX(LINEST(LN(AV1489:AY1489),LN(AV1488:AY1488),TRUE,TRUE),3,1)</f>
        <v>0.35604730297662363</v>
      </c>
      <c r="AM1489" s="56">
        <f>INDEX(LINEST(LN(AV1489:AY1489),LN(AV1488:AY1488)),1)</f>
        <v>-1.4436401050226736E-2</v>
      </c>
      <c r="AN1489" s="56">
        <f>EXP(INDEX(LINEST(LN(AV1489:AY1489),LN(AV1488:AY1488)),1,2))</f>
        <v>0.86559527752524978</v>
      </c>
      <c r="AO1489" s="82">
        <f>INDEX(LINEST((AV1489:AY1489),LN(AV1488:AY1488),TRUE,TRUE),3,1)</f>
        <v>0.35752878941291955</v>
      </c>
      <c r="AP1489" s="82">
        <f>INDEX(LINEST((AV1489:AY1489),LN(AV1488:AY1488)),1)</f>
        <v>-1.1106012501858688E-2</v>
      </c>
      <c r="AQ1489" s="83">
        <f>INDEX(LINEST(LN(AV1489:AY1489),SQRT(AV1488:AY1488),TRUE,TRUE),3,1)</f>
        <v>0.22732285665715601</v>
      </c>
      <c r="AR1489" s="116">
        <f>INDEX(LINEST(LN(AV1489:AY1489),SQRT((AV1488:AY1488))),1)</f>
        <v>-2.1868712316576216E-4</v>
      </c>
      <c r="AS1489" s="84">
        <f>INDEX(LINEST(1/(AV1489:AY1489),1/(SQRT(AV1488:AY1488)),TRUE,TRUE),3,1)</f>
        <v>0.30712805959302242</v>
      </c>
      <c r="AT1489" s="84">
        <f>INDEX(LINEST(1/(AV1489:AY1489),1/SQRT(AV1488:AY1488)),1)</f>
        <v>-1.749133393983797</v>
      </c>
      <c r="AU1489" s="3"/>
      <c r="AV1489" s="53">
        <v>0.78875000000000006</v>
      </c>
      <c r="AW1489" s="53">
        <v>0.81874999999999998</v>
      </c>
      <c r="AX1489" s="53">
        <v>0.71875</v>
      </c>
      <c r="AY1489" s="53">
        <v>0.74624999999999997</v>
      </c>
      <c r="AZ1489" s="43"/>
      <c r="BA1489" s="42"/>
      <c r="BB1489" s="42"/>
      <c r="BC1489" s="41"/>
      <c r="BD1489" s="41"/>
      <c r="BE1489" s="41"/>
      <c r="BF1489" s="41"/>
      <c r="BG1489" s="41"/>
      <c r="BH1489" s="41"/>
      <c r="BI1489" s="41"/>
      <c r="BJ1489" s="41"/>
      <c r="BK1489" s="41"/>
      <c r="BL1489" s="41"/>
      <c r="BM1489" s="41"/>
      <c r="BN1489" s="41"/>
      <c r="BO1489" s="41"/>
      <c r="BP1489" s="41"/>
      <c r="BQ1489" s="41"/>
      <c r="BR1489" s="41"/>
      <c r="BS1489" s="41"/>
      <c r="BT1489" s="41"/>
      <c r="BU1489" s="41"/>
      <c r="BV1489" s="41"/>
      <c r="BW1489" s="41"/>
      <c r="BX1489" s="41"/>
      <c r="BY1489" s="41"/>
      <c r="BZ1489" s="41"/>
      <c r="CA1489" s="41"/>
      <c r="CB1489" s="41"/>
      <c r="CC1489" s="41"/>
      <c r="CD1489" s="41"/>
      <c r="CE1489" s="41"/>
      <c r="CF1489" s="41"/>
      <c r="CG1489" s="41"/>
      <c r="CH1489" s="41"/>
      <c r="CI1489" s="41"/>
      <c r="CJ1489" s="41"/>
      <c r="CK1489" s="41"/>
      <c r="CL1489" s="41"/>
      <c r="CM1489" s="41"/>
      <c r="CN1489" s="41"/>
      <c r="CO1489" s="41"/>
      <c r="CP1489" s="41"/>
      <c r="CQ1489" s="41"/>
      <c r="CR1489" s="1"/>
      <c r="CS1489" s="1"/>
      <c r="CT1489" s="1"/>
      <c r="CU1489" s="1"/>
    </row>
    <row r="1490" spans="1:99" s="13" customFormat="1" ht="12" customHeight="1" x14ac:dyDescent="0.2">
      <c r="A1490" s="65">
        <v>43906</v>
      </c>
      <c r="B1490" s="15"/>
      <c r="C1490" s="15"/>
      <c r="D1490" s="59"/>
      <c r="E1490" s="76"/>
      <c r="F1490" s="59"/>
      <c r="G1490" s="59"/>
      <c r="H1490" s="59"/>
      <c r="I1490" s="60"/>
      <c r="J1490" s="59"/>
      <c r="K1490" s="64"/>
      <c r="L1490" s="64"/>
      <c r="M1490" s="59"/>
      <c r="N1490" s="61"/>
      <c r="O1490" s="59"/>
      <c r="P1490" s="59"/>
      <c r="Q1490" s="59"/>
      <c r="R1490" s="60"/>
      <c r="S1490" s="59"/>
      <c r="T1490" s="59"/>
      <c r="U1490" s="60"/>
      <c r="V1490" s="59"/>
      <c r="W1490" s="60"/>
      <c r="X1490" s="59"/>
      <c r="Y1490" s="76"/>
      <c r="Z1490" s="59"/>
      <c r="AA1490" s="59"/>
      <c r="AB1490" s="60"/>
      <c r="AC1490" s="60"/>
      <c r="AD1490" s="60"/>
      <c r="AE1490" s="60"/>
      <c r="AF1490" s="80"/>
      <c r="AG1490" s="56"/>
      <c r="AH1490" s="4"/>
      <c r="AI1490" s="55"/>
      <c r="AJ1490" s="111"/>
      <c r="AK1490" s="55"/>
      <c r="AL1490" s="55"/>
      <c r="AM1490" s="55"/>
      <c r="AN1490" s="55"/>
      <c r="AO1490" s="55"/>
      <c r="AP1490" s="55"/>
      <c r="AQ1490" s="56"/>
      <c r="AR1490" s="109"/>
      <c r="AS1490" s="56"/>
      <c r="AT1490" s="56"/>
      <c r="AU1490" s="4"/>
      <c r="AV1490" s="47">
        <v>300</v>
      </c>
      <c r="AW1490" s="47">
        <f>30*60</f>
        <v>1800</v>
      </c>
      <c r="AX1490" s="47">
        <f>2*3600</f>
        <v>7200</v>
      </c>
      <c r="AY1490" s="47">
        <f>24*3600</f>
        <v>86400</v>
      </c>
      <c r="AZ1490" s="43"/>
      <c r="BA1490" s="42"/>
      <c r="BB1490" s="42"/>
      <c r="BC1490" s="41"/>
      <c r="BD1490" s="41"/>
      <c r="BE1490" s="41"/>
      <c r="BF1490" s="41"/>
      <c r="BG1490" s="41"/>
      <c r="BH1490" s="41"/>
      <c r="BI1490" s="41"/>
      <c r="BJ1490" s="41"/>
      <c r="BK1490" s="41"/>
      <c r="BL1490" s="41"/>
      <c r="BM1490" s="41"/>
      <c r="BN1490" s="41"/>
      <c r="BO1490" s="41"/>
      <c r="BP1490" s="41"/>
      <c r="BQ1490" s="41"/>
      <c r="BR1490" s="41"/>
      <c r="BS1490" s="41"/>
      <c r="BT1490" s="41"/>
      <c r="BU1490" s="41"/>
      <c r="BV1490" s="41"/>
      <c r="BW1490" s="41"/>
      <c r="BX1490" s="41"/>
      <c r="BY1490" s="41"/>
      <c r="BZ1490" s="41"/>
      <c r="CA1490" s="41"/>
      <c r="CB1490" s="41"/>
      <c r="CC1490" s="41"/>
      <c r="CD1490" s="41"/>
      <c r="CE1490" s="41"/>
      <c r="CF1490" s="41"/>
      <c r="CG1490" s="41"/>
      <c r="CH1490" s="41"/>
      <c r="CI1490" s="41"/>
      <c r="CJ1490" s="41"/>
      <c r="CK1490" s="41"/>
      <c r="CL1490" s="41"/>
      <c r="CM1490" s="41"/>
      <c r="CN1490" s="41"/>
      <c r="CO1490" s="41"/>
      <c r="CP1490" s="41"/>
      <c r="CQ1490" s="41"/>
      <c r="CR1490" s="1"/>
      <c r="CS1490" s="1"/>
      <c r="CT1490" s="1"/>
      <c r="CU1490" s="1"/>
    </row>
    <row r="1491" spans="1:99" s="13" customFormat="1" ht="12" customHeight="1" x14ac:dyDescent="0.2">
      <c r="A1491" s="65">
        <v>43906</v>
      </c>
      <c r="B1491" s="1" t="s">
        <v>272</v>
      </c>
      <c r="C1491" s="1" t="s">
        <v>495</v>
      </c>
      <c r="D1491" s="60">
        <v>1996</v>
      </c>
      <c r="E1491" s="76">
        <v>2</v>
      </c>
      <c r="F1491" s="60">
        <v>511</v>
      </c>
      <c r="G1491" s="60">
        <v>42.6</v>
      </c>
      <c r="H1491" s="60" t="s">
        <v>38</v>
      </c>
      <c r="I1491" s="60" t="s">
        <v>497</v>
      </c>
      <c r="J1491" s="60" t="s">
        <v>328</v>
      </c>
      <c r="K1491" s="60">
        <f>IF(J1491="syllables",1,IF(J1491="trigrams",2,IF(J1491="strings",3,IF(J1491="visual array",4,IF(J1491="characters",5,IF(J1491="letters",6,IF(J1491="free forms",7,IF(J1491="odors",8,IF(J1491="words",9,IF(J1491="pictures",10,IF(J1491="object pictures",11,IF(J1491="faces",12,IF(J1491="names",13,IF(J1491="idioms",14,IF(J1491="grades",15,IF(J1491="syllable-digit pairs",16,IF(J1491="trigram-word pairs",17,IF(J1491="word-digit pairs",18,IF(J1491="English-Swahili pairs",19,IF(J1491="spatial position",20,IF(J1491="word pairs",21,IF(J1491="word triads",22,IF(J1491="generated words",23,IF(J1491="word definition pairs",24,IF(J1491="math problems",25,IF(J1491="famous faces",26,IF(J1491="famous names",27,IF(J1491="famous voices",28,IF(J1491="television programs",29,IF(J1491="race horses",30,IF(J1491="new vocabulary",31,IF(J1491="sentences",32,IF(J1491="concepts",33,IF(J1491="ad slides",34,IF(J1491="scenes",35,IF(J1491="famous scenes",36,IF(J1491="poems",37,IF(J1491="walk",38,IF(J1491="faces and events",39,IF(J1491="events and names",40,IF(J1491="flashbulb",41,IF(J1491="stories",42,IF(J1491="course material",43,IF(J1491="autobiographical",44,IF(J1491="novels",45,IF(J1491="public events",46,"99"))))))))))))))))))))))))))))))))))))))))))))))</f>
        <v>12</v>
      </c>
      <c r="L1491" s="60">
        <f>IF(J1491="syllables",1,IF(J1491="trigrams",1,IF(J1491="strings",1,IF(J1491="visual array",1,IF(J1491="characters",1,IF(J1491="letters",1,IF(J1491="free forms",1,IF(J1491="odors",2,IF(J1491="words",2,IF(J1491="pictures",2,IF(J1491="object pictures",2,IF(J1491="faces",2,IF(J1491="names",2,IF(J1491="idioms","2",IF(J1491="grades",2,IF(J1491="syllable-digit pairs",3,IF(J1491="trigram-word pairs",3,IF(J1491="word-digit pairs",3,IF(J1491="English-Swahili pairs",3,IF(J1491="spatial position",3,IF(J1491="word pairs",4,IF(J1491="word triads",4,IF(J1491="generated words",4,IF(J1491="word definition pairs",4,IF(J1491="math problems",4,IF(J1491="famous faces",4,IF(J1491="famous names",4,IF(J1491="famous voices",4,IF(J1491="television programs",4,IF(J1491="race horses",4,IF(J1491="new vocabulary",4,IF(J1491="sentences",5,IF(J1491="concepts",5,IF(J1491="ad slides",5,IF(J1491="scenes",5,IF(J1491="famous scenes",5,IF(J1491="poems",6,IF(J1491="walk",6,IF(J1491="faces and events",6,IF(J1491="events and names",6,IF(J1491="flashbulb",7,IF(J1491="stories",7,IF(J1491="course material",7,IF(J1491="autobiographical",7,IF(J1491="novels",7,IF(J1491="public events",7,"99"))))))))))))))))))))))))))))))))))))))))))))))</f>
        <v>2</v>
      </c>
      <c r="M1491" s="60">
        <v>0</v>
      </c>
      <c r="N1491" s="61">
        <v>1</v>
      </c>
      <c r="O1491" s="60">
        <v>0</v>
      </c>
      <c r="P1491" s="60"/>
      <c r="Q1491" s="60" t="s">
        <v>182</v>
      </c>
      <c r="R1491" s="60">
        <f>IF(Q1491="Free Recall",1,IF(Q1491="Cued Recall",2,IF(Q1491="Recognition",3,IF(Q1491="Multiple Choice",4,IF(Q1491="Savings",5,IF(Q1491="Stem Completion",6,IF(Q1491="Fragment Completion",7,IF(Q1491="anagram solution",8,IF(Q1491="Matching",9,IF(Q1491="Problem Solving",10,"99"))))))))))</f>
        <v>4</v>
      </c>
      <c r="S1491" s="59" t="s">
        <v>15</v>
      </c>
      <c r="T1491" s="60" t="s">
        <v>261</v>
      </c>
      <c r="U1491" s="60">
        <f>IF(T1491="within",1,0)</f>
        <v>0</v>
      </c>
      <c r="V1491" s="60">
        <v>2</v>
      </c>
      <c r="W1491" s="60">
        <f>F1491*V1491</f>
        <v>1022</v>
      </c>
      <c r="X1491" s="60">
        <v>4</v>
      </c>
      <c r="Y1491" s="76">
        <f>AV1490</f>
        <v>300</v>
      </c>
      <c r="Z1491" s="60" t="s">
        <v>449</v>
      </c>
      <c r="AA1491" s="60">
        <f>24*3600</f>
        <v>86400</v>
      </c>
      <c r="AB1491" s="60" t="str">
        <f>IF(AA1491&lt;60,"1",IF(AA1491&lt;=43200,"2",IF(AA1491&lt;=777600,"3","4")))</f>
        <v>3</v>
      </c>
      <c r="AC1491" s="56">
        <f t="shared" ref="AC1491" si="135">AVERAGE(AV1490:DA1490)</f>
        <v>23925</v>
      </c>
      <c r="AD1491" s="60" t="str">
        <f>IF(AC1491&lt;60,"1",IF(AC1491&lt;=43200,"2",IF(AC1491&lt;=777600,"3","4")))</f>
        <v>2</v>
      </c>
      <c r="AE1491" s="76">
        <f>AA1491-Y1491</f>
        <v>86100</v>
      </c>
      <c r="AF1491" s="80">
        <f>AV1491</f>
        <v>0.86499999999999999</v>
      </c>
      <c r="AG1491" s="56">
        <f>((AW1491-AV1491)+(AX1491-AW1491)+(AY1491-AX1491))/3</f>
        <v>-2.5000000000000022E-2</v>
      </c>
      <c r="AH1491" s="4"/>
      <c r="AI1491" s="56">
        <f>RSQ(AV1491:AY1491,AV1490:AY1490)</f>
        <v>8.1870171432205652E-2</v>
      </c>
      <c r="AJ1491" s="109">
        <f>SLOPE(AV1491:AY1491,AV1490:AY1490)</f>
        <v>-2.8213681941953135E-7</v>
      </c>
      <c r="AK1491" s="56">
        <f>INTERCEPT(AV1491:AY1491,AV1490:AY1490)</f>
        <v>0.81268762340461231</v>
      </c>
      <c r="AL1491" s="56">
        <f>INDEX(LINEST(LN(AV1491:AY1491),LN(AV1490:AY1490),TRUE,TRUE),3,1)</f>
        <v>0.35119386846453032</v>
      </c>
      <c r="AM1491" s="56">
        <f>INDEX(LINEST(LN(AV1491:AY1491),LN(AV1490:AY1490)),1)</f>
        <v>-1.2453287522516739E-2</v>
      </c>
      <c r="AN1491" s="56">
        <f>EXP(INDEX(LINEST(LN(AV1491:AY1491),LN(AV1490:AY1490)),1,2))</f>
        <v>0.89353395276638314</v>
      </c>
      <c r="AO1491" s="82">
        <f>INDEX(LINEST((AV1491:AY1491),LN(AV1490:AY1490),TRUE,TRUE),3,1)</f>
        <v>0.36191289934471482</v>
      </c>
      <c r="AP1491" s="82">
        <f>INDEX(LINEST((AV1491:AY1491),LN(AV1490:AY1490)),1)</f>
        <v>-1.0369911547204225E-2</v>
      </c>
      <c r="AQ1491" s="83">
        <f>INDEX(LINEST(LN(AV1491:AY1491),SQRT(AV1490:AY1490),TRUE,TRUE),3,1)</f>
        <v>0.13312896805095162</v>
      </c>
      <c r="AR1491" s="116">
        <f>INDEX(LINEST(LN(AV1491:AY1491),SQRT((AV1490:AY1490))),1)</f>
        <v>-1.453594952621987E-4</v>
      </c>
      <c r="AS1491" s="84">
        <f>INDEX(LINEST(1/(AV1491:AY1491),1/(SQRT(AV1490:AY1490)),TRUE,TRUE),3,1)</f>
        <v>0.6487473821267643</v>
      </c>
      <c r="AT1491" s="84">
        <f>INDEX(LINEST(1/(AV1491:AY1491),1/SQRT(AV1490:AY1490)),1)</f>
        <v>-2.0659047610771841</v>
      </c>
      <c r="AU1491" s="3"/>
      <c r="AV1491" s="53">
        <v>0.86499999999999999</v>
      </c>
      <c r="AW1491" s="53">
        <v>0.77</v>
      </c>
      <c r="AX1491" s="53">
        <v>0.79874999999999996</v>
      </c>
      <c r="AY1491" s="53">
        <v>0.78999999999999992</v>
      </c>
      <c r="AZ1491" s="43"/>
      <c r="BA1491" s="42"/>
      <c r="BB1491" s="42"/>
      <c r="BC1491" s="42"/>
      <c r="BD1491" s="42"/>
      <c r="BE1491" s="42"/>
      <c r="BF1491" s="42"/>
      <c r="BG1491" s="42"/>
      <c r="BH1491" s="41"/>
      <c r="BI1491" s="41"/>
      <c r="BJ1491" s="41"/>
      <c r="BK1491" s="41"/>
      <c r="BL1491" s="41"/>
      <c r="BM1491" s="41"/>
      <c r="BN1491" s="41"/>
      <c r="BO1491" s="41"/>
      <c r="BP1491" s="41"/>
      <c r="BQ1491" s="41"/>
      <c r="BR1491" s="41"/>
      <c r="BS1491" s="41"/>
      <c r="BT1491" s="41"/>
      <c r="BU1491" s="41"/>
      <c r="BV1491" s="41"/>
      <c r="BW1491" s="41"/>
      <c r="BX1491" s="41"/>
      <c r="BY1491" s="41"/>
      <c r="BZ1491" s="41"/>
      <c r="CA1491" s="41"/>
      <c r="CB1491" s="41"/>
      <c r="CC1491" s="41"/>
      <c r="CD1491" s="41"/>
      <c r="CE1491" s="41"/>
      <c r="CF1491" s="41"/>
      <c r="CG1491" s="41"/>
      <c r="CH1491" s="41"/>
      <c r="CI1491" s="41"/>
      <c r="CJ1491" s="41"/>
      <c r="CK1491" s="41"/>
      <c r="CL1491" s="41"/>
      <c r="CM1491" s="41"/>
      <c r="CN1491" s="41"/>
      <c r="CO1491" s="41"/>
      <c r="CP1491" s="41"/>
      <c r="CQ1491" s="41"/>
      <c r="CR1491" s="1"/>
      <c r="CS1491" s="1"/>
      <c r="CT1491" s="1"/>
      <c r="CU1491" s="1"/>
    </row>
    <row r="1492" spans="1:99" s="13" customFormat="1" ht="12" customHeight="1" x14ac:dyDescent="0.2">
      <c r="A1492" s="68">
        <v>43509</v>
      </c>
      <c r="B1492" s="70"/>
      <c r="C1492" s="70"/>
      <c r="D1492" s="69"/>
      <c r="E1492" s="87"/>
      <c r="F1492" s="69"/>
      <c r="G1492" s="69"/>
      <c r="H1492" s="69"/>
      <c r="I1492" s="69"/>
      <c r="J1492" s="69"/>
      <c r="K1492" s="107"/>
      <c r="L1492" s="107"/>
      <c r="M1492" s="69"/>
      <c r="N1492" s="69"/>
      <c r="O1492" s="69"/>
      <c r="P1492" s="69"/>
      <c r="Q1492" s="69"/>
      <c r="R1492" s="69"/>
      <c r="S1492" s="69"/>
      <c r="T1492" s="69"/>
      <c r="U1492" s="69"/>
      <c r="V1492" s="69"/>
      <c r="W1492" s="69"/>
      <c r="X1492" s="69"/>
      <c r="Y1492" s="87"/>
      <c r="Z1492" s="69"/>
      <c r="AA1492" s="69"/>
      <c r="AB1492" s="69"/>
      <c r="AC1492" s="69"/>
      <c r="AD1492" s="69"/>
      <c r="AE1492" s="69"/>
      <c r="AF1492" s="88"/>
      <c r="AG1492" s="72"/>
      <c r="AH1492" s="4"/>
      <c r="AI1492" s="89"/>
      <c r="AJ1492" s="118"/>
      <c r="AK1492" s="89"/>
      <c r="AL1492" s="89"/>
      <c r="AM1492" s="89"/>
      <c r="AN1492" s="89"/>
      <c r="AO1492" s="89"/>
      <c r="AP1492" s="72"/>
      <c r="AQ1492" s="72"/>
      <c r="AR1492" s="110"/>
      <c r="AS1492" s="72"/>
      <c r="AT1492" s="72"/>
      <c r="AU1492" s="4"/>
      <c r="AV1492" s="193">
        <v>6</v>
      </c>
      <c r="AW1492" s="193">
        <f>10*60</f>
        <v>600</v>
      </c>
      <c r="AX1492" s="193">
        <f>20*60</f>
        <v>1200</v>
      </c>
      <c r="AY1492" s="193">
        <f>40*60</f>
        <v>2400</v>
      </c>
      <c r="AZ1492" s="193">
        <f>60*60</f>
        <v>3600</v>
      </c>
      <c r="BA1492" s="156">
        <f>120*60</f>
        <v>7200</v>
      </c>
      <c r="BB1492" s="70">
        <f>24*3600</f>
        <v>86400</v>
      </c>
      <c r="BC1492" s="42"/>
      <c r="BD1492" s="42"/>
      <c r="BE1492" s="42"/>
      <c r="BF1492" s="42"/>
      <c r="BG1492" s="42"/>
      <c r="BH1492" s="2"/>
      <c r="BI1492" s="2"/>
      <c r="BJ1492" s="2"/>
      <c r="BK1492" s="2"/>
      <c r="BL1492" s="2"/>
      <c r="BM1492" s="2"/>
      <c r="BN1492" s="2"/>
      <c r="BO1492" s="2"/>
      <c r="BP1492" s="2"/>
      <c r="BQ1492" s="2"/>
      <c r="BR1492" s="2"/>
      <c r="BS1492" s="2"/>
      <c r="BT1492" s="2"/>
      <c r="BU1492" s="2"/>
      <c r="BV1492" s="2"/>
      <c r="BW1492" s="2"/>
      <c r="BX1492" s="2"/>
      <c r="BY1492" s="2"/>
      <c r="BZ1492" s="2"/>
      <c r="CA1492" s="2"/>
      <c r="CB1492" s="2"/>
      <c r="CC1492" s="2"/>
      <c r="CD1492" s="2"/>
      <c r="CE1492" s="2"/>
      <c r="CF1492" s="2"/>
      <c r="CG1492" s="2"/>
      <c r="CH1492" s="2"/>
      <c r="CI1492" s="2"/>
      <c r="CJ1492" s="2"/>
      <c r="CK1492" s="2"/>
      <c r="CL1492" s="2"/>
      <c r="CM1492" s="2"/>
      <c r="CN1492" s="2"/>
      <c r="CO1492" s="2"/>
      <c r="CP1492" s="2"/>
      <c r="CQ1492" s="2"/>
      <c r="CR1492" s="1"/>
      <c r="CS1492" s="1"/>
      <c r="CT1492" s="1"/>
      <c r="CU1492" s="1"/>
    </row>
    <row r="1493" spans="1:99" s="13" customFormat="1" ht="12" customHeight="1" x14ac:dyDescent="0.2">
      <c r="A1493" s="68">
        <v>43509</v>
      </c>
      <c r="B1493" s="70" t="s">
        <v>296</v>
      </c>
      <c r="C1493" s="70" t="s">
        <v>288</v>
      </c>
      <c r="D1493" s="69">
        <v>1941</v>
      </c>
      <c r="E1493" s="87">
        <v>1</v>
      </c>
      <c r="F1493" s="69">
        <v>15</v>
      </c>
      <c r="G1493" s="69">
        <v>15</v>
      </c>
      <c r="H1493" s="69" t="s">
        <v>22</v>
      </c>
      <c r="I1493" s="69" t="s">
        <v>861</v>
      </c>
      <c r="J1493" s="69" t="s">
        <v>281</v>
      </c>
      <c r="K1493" s="69">
        <f>IF(J1493="syllables",1,IF(J1493="trigrams",2,IF(J1493="strings",3,IF(J1493="visual array",4,IF(J1493="characters",5,IF(J1493="letters",6,IF(J1493="free forms",7,IF(J1493="odors",8,IF(J1493="words",9,IF(J1493="pictures",10,IF(J1493="object pictures",11,IF(J1493="faces",12,IF(J1493="names",13,IF(J1493="idioms",14,IF(J1493="grades",15,IF(J1493="syllable-digit pairs",16,IF(J1493="trigram-word pairs",17,IF(J1493="word-digit pairs",18,IF(J1493="English-Swahili pairs",19,IF(J1493="spatial position",20,IF(J1493="word pairs",21,IF(J1493="word triads",22,IF(J1493="generated words",23,IF(J1493="word definition pairs",24,IF(J1493="math problems",25,IF(J1493="famous faces",26,IF(J1493="famous names",27,IF(J1493="famous voices",28,IF(J1493="television programs",29,IF(J1493="race horses",30,IF(J1493="new vocabulary",31,IF(J1493="sentences",32,IF(J1493="concepts",33,IF(J1493="ad slides",34,IF(J1493="scenes",35,IF(J1493="famous scenes",36,IF(J1493="poems",37,IF(J1493="walk",38,IF(J1493="faces and events",39,IF(J1493="events and names",40,IF(J1493="flashbulb",41,IF(J1493="stories",42,IF(J1493="course material",43,IF(J1493="autobiographical",44,IF(J1493="novels",45,IF(J1493="public events",46,"99"))))))))))))))))))))))))))))))))))))))))))))))</f>
        <v>1</v>
      </c>
      <c r="L1493" s="69">
        <f>IF(J1493="syllables",1,IF(J1493="trigrams",1,IF(J1493="strings",1,IF(J1493="visual array",1,IF(J1493="characters",1,IF(J1493="letters",1,IF(J1493="free forms",1,IF(J1493="odors",2,IF(J1493="words",2,IF(J1493="pictures",2,IF(J1493="object pictures",2,IF(J1493="faces",2,IF(J1493="names",2,IF(J1493="idioms","2",IF(J1493="grades",2,IF(J1493="syllable-digit pairs",3,IF(J1493="trigram-word pairs",3,IF(J1493="word-digit pairs",3,IF(J1493="English-Swahili pairs",3,IF(J1493="spatial position",3,IF(J1493="word pairs",4,IF(J1493="word triads",4,IF(J1493="generated words",4,IF(J1493="word definition pairs",4,IF(J1493="math problems",4,IF(J1493="famous faces",4,IF(J1493="famous names",4,IF(J1493="famous voices",4,IF(J1493="television programs",4,IF(J1493="race horses",4,IF(J1493="new vocabulary",4,IF(J1493="sentences",5,IF(J1493="concepts",5,IF(J1493="ad slides",5,IF(J1493="scenes",5,IF(J1493="famous scenes",5,IF(J1493="poems",6,IF(J1493="walk",6,IF(J1493="faces and events",6,IF(J1493="events and names",6,IF(J1493="flashbulb",7,IF(J1493="stories",7,IF(J1493="course material",7,IF(J1493="autobiographical",7,IF(J1493="novels",7,IF(J1493="public events",7,"99"))))))))))))))))))))))))))))))))))))))))))))))</f>
        <v>1</v>
      </c>
      <c r="M1493" s="69">
        <v>1</v>
      </c>
      <c r="N1493" s="69">
        <v>2</v>
      </c>
      <c r="O1493" s="69">
        <v>1</v>
      </c>
      <c r="P1493" s="69" t="s">
        <v>293</v>
      </c>
      <c r="Q1493" s="69" t="s">
        <v>174</v>
      </c>
      <c r="R1493" s="69">
        <f>IF(Q1493="Free Recall",1,IF(Q1493="Cued Recall",2,IF(Q1493="Recognition",3,IF(Q1493="Multiple Choice",4,IF(Q1493="Savings",5,IF(Q1493="Stem Completion",6,IF(Q1493="Fragment Completion",7,IF(Q1493="anagram solution",8,IF(Q1493="Matching",9,IF(Q1493="Problem Solving",10,"99"))))))))))</f>
        <v>1</v>
      </c>
      <c r="S1493" s="69" t="s">
        <v>295</v>
      </c>
      <c r="T1493" s="92" t="s">
        <v>581</v>
      </c>
      <c r="U1493" s="69">
        <f>IF(T1493="within",1,0)</f>
        <v>1</v>
      </c>
      <c r="V1493" s="92">
        <v>12</v>
      </c>
      <c r="W1493" s="69">
        <f>F1493*V1493</f>
        <v>180</v>
      </c>
      <c r="X1493" s="69">
        <v>7</v>
      </c>
      <c r="Y1493" s="87">
        <f>AV1492</f>
        <v>6</v>
      </c>
      <c r="Z1493" s="69" t="s">
        <v>79</v>
      </c>
      <c r="AA1493" s="69">
        <f>24*3600</f>
        <v>86400</v>
      </c>
      <c r="AB1493" s="69" t="str">
        <f>IF(AA1493&lt;60,"1",IF(AA1493&lt;=43200,"2",IF(AA1493&lt;=777600,"3","4")))</f>
        <v>3</v>
      </c>
      <c r="AC1493" s="72">
        <f t="shared" ref="AC1493" si="136">AVERAGE(AV1492:DA1492)</f>
        <v>14486.571428571429</v>
      </c>
      <c r="AD1493" s="69" t="str">
        <f>IF(AC1493&lt;60,"1",IF(AC1493&lt;=43200,"2",IF(AC1493&lt;=777600,"3","4")))</f>
        <v>2</v>
      </c>
      <c r="AE1493" s="87">
        <f>AA1493-Y1493</f>
        <v>86394</v>
      </c>
      <c r="AF1493" s="88">
        <f>AV1493</f>
        <v>0.81666666666666676</v>
      </c>
      <c r="AG1493" s="72">
        <f>((AW1493-AV1493)+(AX1493-AW1493)+(AY1493-AX1493)+(AZ1493-AY1493)+(BA1493-AZ1493)+(BB1493-BA1493))/6</f>
        <v>-0.1166666666666667</v>
      </c>
      <c r="AH1493" s="4"/>
      <c r="AI1493" s="72">
        <f>RSQ(AV1493:AZ1493,AV1492:AZ1492)</f>
        <v>0.98750576380228927</v>
      </c>
      <c r="AJ1493" s="110">
        <f>SLOPE(AV1493:AZ1493,AV1492:AZ1492)</f>
        <v>-8.7826698561800577E-5</v>
      </c>
      <c r="AK1493" s="72">
        <f>INTERCEPT(AV1493:AZ1493,AV1492:AZ1492)</f>
        <v>0.83494837512801634</v>
      </c>
      <c r="AL1493" s="72">
        <f>INDEX(LINEST(LN(AV1493:AZ1493),LN(AV1492:AZ1492),TRUE,TRUE),3,1)</f>
        <v>0.47319990651657701</v>
      </c>
      <c r="AM1493" s="72">
        <f>INDEX(LINEST(LN(AV1493:AZ1493),LN(AV1492:AZ1492)),1)</f>
        <v>-5.234539928858041E-2</v>
      </c>
      <c r="AN1493" s="72">
        <f>EXP(INDEX(LINEST(LN(AV1493:AZ1493),LN(AV1492:AZ1492)),1,2))</f>
        <v>0.9537640256719232</v>
      </c>
      <c r="AO1493" s="89">
        <f>INDEX(LINEST((AV1493:AZ1493),LN(AV1492:AZ1492),TRUE,TRUE),3,1)</f>
        <v>0.51558569212492056</v>
      </c>
      <c r="AP1493" s="89">
        <f>INDEX(LINEST((AV1493:AZ1493),LN(AV1492:AZ1492)),1)</f>
        <v>-3.5445286873496233E-2</v>
      </c>
      <c r="AQ1493" s="90">
        <f>INDEX(LINEST(LN(AV1493:AZ1493),SQRT(AV1492:AZ1492),TRUE,TRUE),3,1)</f>
        <v>0.81682468471778502</v>
      </c>
      <c r="AR1493" s="117">
        <f>INDEX(LINEST(LN(AV1493:AZ1493),SQRT((AV1492:AZ1492))),1)</f>
        <v>-7.9744130545607236E-3</v>
      </c>
      <c r="AS1493" s="91">
        <f>INDEX(LINEST(1/(AV1493:AZ1493),1/(SQRT(AV1492:AZ1492)),TRUE,TRUE),3,1)</f>
        <v>0.2487697791833742</v>
      </c>
      <c r="AT1493" s="91">
        <f>INDEX(LINEST(1/(AV1493:AZ1493),1/SQRT(AV1492:AZ1492)),1)</f>
        <v>-0.90367110523016081</v>
      </c>
      <c r="AU1493" s="4"/>
      <c r="AV1493" s="73">
        <f>9.8/12</f>
        <v>0.81666666666666676</v>
      </c>
      <c r="AW1493" s="102">
        <f>9.47/12</f>
        <v>0.78916666666666668</v>
      </c>
      <c r="AX1493" s="102">
        <f>8.9/12</f>
        <v>0.7416666666666667</v>
      </c>
      <c r="AY1493" s="102">
        <f>7.63/12</f>
        <v>0.63583333333333336</v>
      </c>
      <c r="AZ1493" s="102">
        <f>6.07/12</f>
        <v>0.50583333333333336</v>
      </c>
      <c r="BA1493" s="73">
        <f>3.87/12</f>
        <v>0.32250000000000001</v>
      </c>
      <c r="BB1493" s="73">
        <f>1.4/12</f>
        <v>0.11666666666666665</v>
      </c>
      <c r="BC1493" s="42"/>
      <c r="BD1493" s="42"/>
      <c r="BE1493" s="42"/>
      <c r="BF1493" s="42"/>
      <c r="BG1493" s="42"/>
      <c r="BH1493" s="2"/>
      <c r="BI1493" s="2"/>
      <c r="BJ1493" s="2"/>
      <c r="BK1493" s="2"/>
      <c r="BL1493" s="2"/>
      <c r="BM1493" s="2"/>
      <c r="BN1493" s="2"/>
      <c r="BO1493" s="2"/>
      <c r="BP1493" s="2"/>
      <c r="BQ1493" s="2"/>
      <c r="BR1493" s="2"/>
      <c r="BS1493" s="2"/>
      <c r="BT1493" s="2"/>
      <c r="BU1493" s="2"/>
      <c r="BV1493" s="2"/>
      <c r="BW1493" s="2"/>
      <c r="BX1493" s="2"/>
      <c r="BY1493" s="2"/>
      <c r="BZ1493" s="2"/>
      <c r="CA1493" s="2"/>
      <c r="CB1493" s="2"/>
      <c r="CC1493" s="2"/>
      <c r="CD1493" s="2"/>
      <c r="CE1493" s="2"/>
      <c r="CF1493" s="2"/>
      <c r="CG1493" s="2"/>
      <c r="CH1493" s="2"/>
      <c r="CI1493" s="2"/>
      <c r="CJ1493" s="2"/>
      <c r="CK1493" s="2"/>
      <c r="CL1493" s="2"/>
      <c r="CM1493" s="2"/>
      <c r="CN1493" s="2"/>
      <c r="CO1493" s="2"/>
      <c r="CP1493" s="2"/>
      <c r="CQ1493" s="2"/>
      <c r="CR1493" s="1"/>
      <c r="CS1493" s="1"/>
      <c r="CT1493" s="1"/>
      <c r="CU1493" s="1"/>
    </row>
    <row r="1494" spans="1:99" s="13" customFormat="1" ht="12" customHeight="1" x14ac:dyDescent="0.2">
      <c r="A1494" s="68">
        <v>43509</v>
      </c>
      <c r="B1494" s="70"/>
      <c r="C1494" s="70"/>
      <c r="D1494" s="69"/>
      <c r="E1494" s="87"/>
      <c r="F1494" s="69"/>
      <c r="G1494" s="69"/>
      <c r="H1494" s="69"/>
      <c r="I1494" s="69"/>
      <c r="J1494" s="69"/>
      <c r="K1494" s="107"/>
      <c r="L1494" s="107"/>
      <c r="M1494" s="69"/>
      <c r="N1494" s="69"/>
      <c r="O1494" s="69"/>
      <c r="P1494" s="69"/>
      <c r="Q1494" s="69"/>
      <c r="R1494" s="69"/>
      <c r="S1494" s="69"/>
      <c r="T1494" s="92"/>
      <c r="U1494" s="69"/>
      <c r="V1494" s="92"/>
      <c r="W1494" s="69"/>
      <c r="X1494" s="69"/>
      <c r="Y1494" s="87"/>
      <c r="Z1494" s="69"/>
      <c r="AA1494" s="69"/>
      <c r="AB1494" s="69"/>
      <c r="AC1494" s="69"/>
      <c r="AD1494" s="69"/>
      <c r="AE1494" s="69"/>
      <c r="AF1494" s="88"/>
      <c r="AG1494" s="72"/>
      <c r="AH1494" s="4"/>
      <c r="AI1494" s="89"/>
      <c r="AJ1494" s="118"/>
      <c r="AK1494" s="89"/>
      <c r="AL1494" s="89"/>
      <c r="AM1494" s="89"/>
      <c r="AN1494" s="89"/>
      <c r="AO1494" s="89"/>
      <c r="AP1494" s="72"/>
      <c r="AQ1494" s="72"/>
      <c r="AR1494" s="110"/>
      <c r="AS1494" s="72"/>
      <c r="AT1494" s="72"/>
      <c r="AU1494" s="4"/>
      <c r="AV1494" s="193">
        <v>6</v>
      </c>
      <c r="AW1494" s="193">
        <f>10*60</f>
        <v>600</v>
      </c>
      <c r="AX1494" s="193">
        <f>20*60</f>
        <v>1200</v>
      </c>
      <c r="AY1494" s="193">
        <f>40*60</f>
        <v>2400</v>
      </c>
      <c r="AZ1494" s="193">
        <f>60*60</f>
        <v>3600</v>
      </c>
      <c r="BA1494" s="156"/>
      <c r="BB1494" s="70"/>
      <c r="BC1494" s="42"/>
      <c r="BD1494" s="42"/>
      <c r="BE1494" s="42"/>
      <c r="BF1494" s="42"/>
      <c r="BG1494" s="42"/>
      <c r="BH1494" s="2"/>
      <c r="BI1494" s="2"/>
      <c r="BJ1494" s="2"/>
      <c r="BK1494" s="2"/>
      <c r="BL1494" s="2"/>
      <c r="BM1494" s="2"/>
      <c r="BN1494" s="2"/>
      <c r="BO1494" s="2"/>
      <c r="BP1494" s="2"/>
      <c r="BQ1494" s="2"/>
      <c r="BR1494" s="2"/>
      <c r="BS1494" s="2"/>
      <c r="BT1494" s="2"/>
      <c r="BU1494" s="2"/>
      <c r="BV1494" s="2"/>
      <c r="BW1494" s="2"/>
      <c r="BX1494" s="2"/>
      <c r="BY1494" s="2"/>
      <c r="BZ1494" s="2"/>
      <c r="CA1494" s="2"/>
      <c r="CB1494" s="2"/>
      <c r="CC1494" s="2"/>
      <c r="CD1494" s="2"/>
      <c r="CE1494" s="2"/>
      <c r="CF1494" s="2"/>
      <c r="CG1494" s="2"/>
      <c r="CH1494" s="2"/>
      <c r="CI1494" s="2"/>
      <c r="CJ1494" s="2"/>
      <c r="CK1494" s="2"/>
      <c r="CL1494" s="2"/>
      <c r="CM1494" s="2"/>
      <c r="CN1494" s="2"/>
      <c r="CO1494" s="2"/>
      <c r="CP1494" s="2"/>
      <c r="CQ1494" s="2"/>
      <c r="CR1494" s="1"/>
      <c r="CS1494" s="1"/>
      <c r="CT1494" s="1"/>
      <c r="CU1494" s="1"/>
    </row>
    <row r="1495" spans="1:99" s="13" customFormat="1" ht="12" customHeight="1" x14ac:dyDescent="0.2">
      <c r="A1495" s="68">
        <v>43509</v>
      </c>
      <c r="B1495" s="70" t="s">
        <v>296</v>
      </c>
      <c r="C1495" s="70" t="s">
        <v>288</v>
      </c>
      <c r="D1495" s="69">
        <v>1941</v>
      </c>
      <c r="E1495" s="87">
        <v>1</v>
      </c>
      <c r="F1495" s="69">
        <v>15</v>
      </c>
      <c r="G1495" s="69">
        <v>15</v>
      </c>
      <c r="H1495" s="69" t="s">
        <v>22</v>
      </c>
      <c r="I1495" s="69" t="s">
        <v>862</v>
      </c>
      <c r="J1495" s="69" t="s">
        <v>281</v>
      </c>
      <c r="K1495" s="69">
        <f>IF(J1495="syllables",1,IF(J1495="trigrams",2,IF(J1495="strings",3,IF(J1495="visual array",4,IF(J1495="characters",5,IF(J1495="letters",6,IF(J1495="free forms",7,IF(J1495="odors",8,IF(J1495="words",9,IF(J1495="pictures",10,IF(J1495="object pictures",11,IF(J1495="faces",12,IF(J1495="names",13,IF(J1495="idioms",14,IF(J1495="grades",15,IF(J1495="syllable-digit pairs",16,IF(J1495="trigram-word pairs",17,IF(J1495="word-digit pairs",18,IF(J1495="English-Swahili pairs",19,IF(J1495="spatial position",20,IF(J1495="word pairs",21,IF(J1495="word triads",22,IF(J1495="generated words",23,IF(J1495="word definition pairs",24,IF(J1495="math problems",25,IF(J1495="famous faces",26,IF(J1495="famous names",27,IF(J1495="famous voices",28,IF(J1495="television programs",29,IF(J1495="race horses",30,IF(J1495="new vocabulary",31,IF(J1495="sentences",32,IF(J1495="concepts",33,IF(J1495="ad slides",34,IF(J1495="scenes",35,IF(J1495="famous scenes",36,IF(J1495="poems",37,IF(J1495="walk",38,IF(J1495="faces and events",39,IF(J1495="events and names",40,IF(J1495="flashbulb",41,IF(J1495="stories",42,IF(J1495="course material",43,IF(J1495="autobiographical",44,IF(J1495="novels",45,IF(J1495="public events",46,"99"))))))))))))))))))))))))))))))))))))))))))))))</f>
        <v>1</v>
      </c>
      <c r="L1495" s="69">
        <f>IF(J1495="syllables",1,IF(J1495="trigrams",1,IF(J1495="strings",1,IF(J1495="visual array",1,IF(J1495="characters",1,IF(J1495="letters",1,IF(J1495="free forms",1,IF(J1495="odors",2,IF(J1495="words",2,IF(J1495="pictures",2,IF(J1495="object pictures",2,IF(J1495="faces",2,IF(J1495="names",2,IF(J1495="idioms","2",IF(J1495="grades",2,IF(J1495="syllable-digit pairs",3,IF(J1495="trigram-word pairs",3,IF(J1495="word-digit pairs",3,IF(J1495="English-Swahili pairs",3,IF(J1495="spatial position",3,IF(J1495="word pairs",4,IF(J1495="word triads",4,IF(J1495="generated words",4,IF(J1495="word definition pairs",4,IF(J1495="math problems",4,IF(J1495="famous faces",4,IF(J1495="famous names",4,IF(J1495="famous voices",4,IF(J1495="television programs",4,IF(J1495="race horses",4,IF(J1495="new vocabulary",4,IF(J1495="sentences",5,IF(J1495="concepts",5,IF(J1495="ad slides",5,IF(J1495="scenes",5,IF(J1495="famous scenes",5,IF(J1495="poems",6,IF(J1495="walk",6,IF(J1495="faces and events",6,IF(J1495="events and names",6,IF(J1495="flashbulb",7,IF(J1495="stories",7,IF(J1495="course material",7,IF(J1495="autobiographical",7,IF(J1495="novels",7,IF(J1495="public events",7,"99"))))))))))))))))))))))))))))))))))))))))))))))</f>
        <v>1</v>
      </c>
      <c r="M1495" s="69">
        <v>1</v>
      </c>
      <c r="N1495" s="69">
        <v>2</v>
      </c>
      <c r="O1495" s="69">
        <v>1</v>
      </c>
      <c r="P1495" s="69" t="s">
        <v>293</v>
      </c>
      <c r="Q1495" s="69" t="s">
        <v>174</v>
      </c>
      <c r="R1495" s="69">
        <f>IF(Q1495="Free Recall",1,IF(Q1495="Cued Recall",2,IF(Q1495="Recognition",3,IF(Q1495="Multiple Choice",4,IF(Q1495="Savings",5,IF(Q1495="Stem Completion",6,IF(Q1495="Fragment Completion",7,IF(Q1495="anagram solution",8,IF(Q1495="Matching",9,IF(Q1495="Problem Solving",10,"99"))))))))))</f>
        <v>1</v>
      </c>
      <c r="S1495" s="69" t="s">
        <v>295</v>
      </c>
      <c r="T1495" s="92" t="s">
        <v>581</v>
      </c>
      <c r="U1495" s="69">
        <f>IF(T1495="within",1,0)</f>
        <v>1</v>
      </c>
      <c r="V1495" s="92">
        <v>12</v>
      </c>
      <c r="W1495" s="69">
        <f>F1495*V1495</f>
        <v>180</v>
      </c>
      <c r="X1495" s="69">
        <v>5</v>
      </c>
      <c r="Y1495" s="87">
        <f>AV1494</f>
        <v>6</v>
      </c>
      <c r="Z1495" s="69" t="s">
        <v>294</v>
      </c>
      <c r="AA1495" s="86">
        <f>60*60</f>
        <v>3600</v>
      </c>
      <c r="AB1495" s="69" t="str">
        <f>IF(AA1495&lt;60,"1",IF(AA1495&lt;=43200,"2",IF(AA1495&lt;=777600,"3","4")))</f>
        <v>2</v>
      </c>
      <c r="AC1495" s="72">
        <f t="shared" ref="AC1495" si="137">AVERAGE(AV1494:DA1494)</f>
        <v>1561.2</v>
      </c>
      <c r="AD1495" s="69" t="str">
        <f>IF(AC1495&lt;60,"1",IF(AC1495&lt;=43200,"2",IF(AC1495&lt;=777600,"3","4")))</f>
        <v>2</v>
      </c>
      <c r="AE1495" s="87">
        <f>AA1495-Y1495</f>
        <v>3594</v>
      </c>
      <c r="AF1495" s="88">
        <f>AV1495</f>
        <v>0.69916666666666671</v>
      </c>
      <c r="AG1495" s="72">
        <f>((AW1495-AV1495)+(AX1495-AW1495)+(AY1495-AX1495)+(AZ1495-AY1495))/4</f>
        <v>-8.9375000000000024E-2</v>
      </c>
      <c r="AH1495" s="4"/>
      <c r="AI1495" s="72">
        <f>RSQ(AV1495:AZ1495,AV1494:AZ1494)</f>
        <v>0.60241335358575809</v>
      </c>
      <c r="AJ1495" s="110">
        <f>SLOPE(AV1495:AZ1495,AV1494:AZ1494)</f>
        <v>-7.5233981488841524E-5</v>
      </c>
      <c r="AK1495" s="72">
        <f>INTERCEPT(AV1495:AZ1495,AV1494:AZ1494)</f>
        <v>0.57462195856704612</v>
      </c>
      <c r="AL1495" s="72">
        <f>INDEX(LINEST(LN(AV1495:AZ1495),LN(AV1494:AZ1494),TRUE,TRUE),3,1)</f>
        <v>0.96745072875362481</v>
      </c>
      <c r="AM1495" s="72">
        <f>INDEX(LINEST(LN(AV1495:AZ1495),LN(AV1494:AZ1494)),1)</f>
        <v>-0.10339978263300202</v>
      </c>
      <c r="AN1495" s="72">
        <f>EXP(INDEX(LINEST(LN(AV1495:AZ1495),LN(AV1494:AZ1494)),1,2))</f>
        <v>0.84501004616714237</v>
      </c>
      <c r="AO1495" s="89">
        <f>INDEX(LINEST((AV1495:AZ1495),LN(AV1494:AZ1494),TRUE,TRUE),3,1)</f>
        <v>0.98069490695211914</v>
      </c>
      <c r="AP1495" s="89">
        <f>INDEX(LINEST((AV1495:AZ1495),LN(AV1494:AZ1494)),1)</f>
        <v>-5.3614843143373551E-2</v>
      </c>
      <c r="AQ1495" s="90">
        <f>INDEX(LINEST(LN(AV1495:AZ1495),SQRT(AV1494:AZ1494),TRUE,TRUE),3,1)</f>
        <v>0.87513608671017884</v>
      </c>
      <c r="AR1495" s="117">
        <f>INDEX(LINEST(LN(AV1495:AZ1495),SQRT((AV1494:AZ1494))),1)</f>
        <v>-1.140305194102547E-2</v>
      </c>
      <c r="AS1495" s="91">
        <f>INDEX(LINEST(1/(AV1495:AZ1495),1/(SQRT(AV1494:AZ1494)),TRUE,TRUE),3,1)</f>
        <v>0.83982780555477865</v>
      </c>
      <c r="AT1495" s="91">
        <f>INDEX(LINEST(1/(AV1495:AZ1495),1/SQRT(AV1494:AZ1494)),1)</f>
        <v>-2.9670874246587711</v>
      </c>
      <c r="AU1495" s="4"/>
      <c r="AV1495" s="73">
        <f>8.39/12</f>
        <v>0.69916666666666671</v>
      </c>
      <c r="AW1495" s="73">
        <f>5.07/12</f>
        <v>0.42250000000000004</v>
      </c>
      <c r="AX1495" s="73">
        <f>5.2/12</f>
        <v>0.43333333333333335</v>
      </c>
      <c r="AY1495" s="73">
        <f>4.67/12</f>
        <v>0.38916666666666666</v>
      </c>
      <c r="AZ1495" s="73">
        <f>4.1/12</f>
        <v>0.34166666666666662</v>
      </c>
      <c r="BA1495" s="156"/>
      <c r="BB1495" s="70"/>
      <c r="BC1495" s="42"/>
      <c r="BD1495" s="42"/>
      <c r="BE1495" s="42"/>
      <c r="BF1495" s="42"/>
      <c r="BG1495" s="42"/>
      <c r="BH1495" s="2"/>
      <c r="BI1495" s="2"/>
      <c r="BJ1495" s="2"/>
      <c r="BK1495" s="2"/>
      <c r="BL1495" s="2"/>
      <c r="BM1495" s="2"/>
      <c r="BN1495" s="2"/>
      <c r="BO1495" s="2"/>
      <c r="BP1495" s="2"/>
      <c r="BQ1495" s="2"/>
      <c r="BR1495" s="2"/>
      <c r="BS1495" s="2"/>
      <c r="BT1495" s="2"/>
      <c r="BU1495" s="2"/>
      <c r="BV1495" s="2"/>
      <c r="BW1495" s="2"/>
      <c r="BX1495" s="2"/>
      <c r="BY1495" s="2"/>
      <c r="BZ1495" s="2"/>
      <c r="CA1495" s="2"/>
      <c r="CB1495" s="2"/>
      <c r="CC1495" s="2"/>
      <c r="CD1495" s="2"/>
      <c r="CE1495" s="2"/>
      <c r="CF1495" s="2"/>
      <c r="CG1495" s="2"/>
      <c r="CH1495" s="2"/>
      <c r="CI1495" s="2"/>
      <c r="CJ1495" s="2"/>
      <c r="CK1495" s="2"/>
      <c r="CL1495" s="2"/>
      <c r="CM1495" s="2"/>
      <c r="CN1495" s="2"/>
      <c r="CO1495" s="2"/>
      <c r="CP1495" s="2"/>
      <c r="CQ1495" s="2"/>
      <c r="CR1495" s="1"/>
      <c r="CS1495" s="1"/>
      <c r="CT1495" s="1"/>
      <c r="CU1495" s="1"/>
    </row>
    <row r="1496" spans="1:99" s="13" customFormat="1" ht="12" customHeight="1" x14ac:dyDescent="0.2">
      <c r="A1496" s="68">
        <v>43509</v>
      </c>
      <c r="B1496" s="70"/>
      <c r="C1496" s="70"/>
      <c r="D1496" s="69"/>
      <c r="E1496" s="87"/>
      <c r="F1496" s="69"/>
      <c r="G1496" s="69"/>
      <c r="H1496" s="69"/>
      <c r="I1496" s="69"/>
      <c r="J1496" s="69"/>
      <c r="K1496" s="107"/>
      <c r="L1496" s="107"/>
      <c r="M1496" s="69"/>
      <c r="N1496" s="69"/>
      <c r="O1496" s="69"/>
      <c r="P1496" s="69"/>
      <c r="Q1496" s="69"/>
      <c r="R1496" s="69"/>
      <c r="S1496" s="69"/>
      <c r="T1496" s="92"/>
      <c r="U1496" s="69"/>
      <c r="V1496" s="92"/>
      <c r="W1496" s="69"/>
      <c r="X1496" s="69"/>
      <c r="Y1496" s="87"/>
      <c r="Z1496" s="69"/>
      <c r="AA1496" s="69"/>
      <c r="AB1496" s="69"/>
      <c r="AC1496" s="69"/>
      <c r="AD1496" s="69"/>
      <c r="AE1496" s="69"/>
      <c r="AF1496" s="88"/>
      <c r="AG1496" s="72"/>
      <c r="AH1496" s="4"/>
      <c r="AI1496" s="89"/>
      <c r="AJ1496" s="118"/>
      <c r="AK1496" s="89"/>
      <c r="AL1496" s="89"/>
      <c r="AM1496" s="89"/>
      <c r="AN1496" s="89"/>
      <c r="AO1496" s="89"/>
      <c r="AP1496" s="72"/>
      <c r="AQ1496" s="72"/>
      <c r="AR1496" s="110"/>
      <c r="AS1496" s="72"/>
      <c r="AT1496" s="72"/>
      <c r="AU1496" s="4"/>
      <c r="AV1496" s="193">
        <v>6</v>
      </c>
      <c r="AW1496" s="193">
        <f>10*60</f>
        <v>600</v>
      </c>
      <c r="AX1496" s="193">
        <f>20*60</f>
        <v>1200</v>
      </c>
      <c r="AY1496" s="193">
        <f>40*60</f>
        <v>2400</v>
      </c>
      <c r="AZ1496" s="193">
        <f>60*60</f>
        <v>3600</v>
      </c>
      <c r="BA1496" s="156"/>
      <c r="BB1496" s="70"/>
      <c r="BC1496" s="42"/>
      <c r="BD1496" s="42"/>
      <c r="BE1496" s="42"/>
      <c r="BF1496" s="42"/>
      <c r="BG1496" s="42"/>
      <c r="BH1496" s="2"/>
      <c r="BI1496" s="2"/>
      <c r="BJ1496" s="2"/>
      <c r="BK1496" s="2"/>
      <c r="BL1496" s="2"/>
      <c r="BM1496" s="2"/>
      <c r="BN1496" s="2"/>
      <c r="BO1496" s="2"/>
      <c r="BP1496" s="2"/>
      <c r="BQ1496" s="2"/>
      <c r="BR1496" s="2"/>
      <c r="BS1496" s="2"/>
      <c r="BT1496" s="2"/>
      <c r="BU1496" s="2"/>
      <c r="BV1496" s="2"/>
      <c r="BW1496" s="2"/>
      <c r="BX1496" s="2"/>
      <c r="BY1496" s="2"/>
      <c r="BZ1496" s="2"/>
      <c r="CA1496" s="2"/>
      <c r="CB1496" s="2"/>
      <c r="CC1496" s="2"/>
      <c r="CD1496" s="2"/>
      <c r="CE1496" s="2"/>
      <c r="CF1496" s="2"/>
      <c r="CG1496" s="2"/>
      <c r="CH1496" s="2"/>
      <c r="CI1496" s="2"/>
      <c r="CJ1496" s="2"/>
      <c r="CK1496" s="2"/>
      <c r="CL1496" s="2"/>
      <c r="CM1496" s="2"/>
      <c r="CN1496" s="2"/>
      <c r="CO1496" s="2"/>
      <c r="CP1496" s="2"/>
      <c r="CQ1496" s="2"/>
      <c r="CR1496" s="1"/>
      <c r="CS1496" s="1"/>
      <c r="CT1496" s="1"/>
      <c r="CU1496" s="1"/>
    </row>
    <row r="1497" spans="1:99" s="13" customFormat="1" ht="12" customHeight="1" x14ac:dyDescent="0.2">
      <c r="A1497" s="68">
        <v>43509</v>
      </c>
      <c r="B1497" s="70" t="s">
        <v>296</v>
      </c>
      <c r="C1497" s="70" t="s">
        <v>288</v>
      </c>
      <c r="D1497" s="69">
        <v>1941</v>
      </c>
      <c r="E1497" s="87">
        <v>1</v>
      </c>
      <c r="F1497" s="69">
        <v>15</v>
      </c>
      <c r="G1497" s="69">
        <v>15</v>
      </c>
      <c r="H1497" s="69" t="s">
        <v>22</v>
      </c>
      <c r="I1497" s="69" t="s">
        <v>863</v>
      </c>
      <c r="J1497" s="69" t="s">
        <v>281</v>
      </c>
      <c r="K1497" s="69">
        <f>IF(J1497="syllables",1,IF(J1497="trigrams",2,IF(J1497="strings",3,IF(J1497="visual array",4,IF(J1497="characters",5,IF(J1497="letters",6,IF(J1497="free forms",7,IF(J1497="odors",8,IF(J1497="words",9,IF(J1497="pictures",10,IF(J1497="object pictures",11,IF(J1497="faces",12,IF(J1497="names",13,IF(J1497="idioms",14,IF(J1497="grades",15,IF(J1497="syllable-digit pairs",16,IF(J1497="trigram-word pairs",17,IF(J1497="word-digit pairs",18,IF(J1497="English-Swahili pairs",19,IF(J1497="spatial position",20,IF(J1497="word pairs",21,IF(J1497="word triads",22,IF(J1497="generated words",23,IF(J1497="word definition pairs",24,IF(J1497="math problems",25,IF(J1497="famous faces",26,IF(J1497="famous names",27,IF(J1497="famous voices",28,IF(J1497="television programs",29,IF(J1497="race horses",30,IF(J1497="new vocabulary",31,IF(J1497="sentences",32,IF(J1497="concepts",33,IF(J1497="ad slides",34,IF(J1497="scenes",35,IF(J1497="famous scenes",36,IF(J1497="poems",37,IF(J1497="walk",38,IF(J1497="faces and events",39,IF(J1497="events and names",40,IF(J1497="flashbulb",41,IF(J1497="stories",42,IF(J1497="course material",43,IF(J1497="autobiographical",44,IF(J1497="novels",45,IF(J1497="public events",46,"99"))))))))))))))))))))))))))))))))))))))))))))))</f>
        <v>1</v>
      </c>
      <c r="L1497" s="69">
        <f>IF(J1497="syllables",1,IF(J1497="trigrams",1,IF(J1497="strings",1,IF(J1497="visual array",1,IF(J1497="characters",1,IF(J1497="letters",1,IF(J1497="free forms",1,IF(J1497="odors",2,IF(J1497="words",2,IF(J1497="pictures",2,IF(J1497="object pictures",2,IF(J1497="faces",2,IF(J1497="names",2,IF(J1497="idioms","2",IF(J1497="grades",2,IF(J1497="syllable-digit pairs",3,IF(J1497="trigram-word pairs",3,IF(J1497="word-digit pairs",3,IF(J1497="English-Swahili pairs",3,IF(J1497="spatial position",3,IF(J1497="word pairs",4,IF(J1497="word triads",4,IF(J1497="generated words",4,IF(J1497="word definition pairs",4,IF(J1497="math problems",4,IF(J1497="famous faces",4,IF(J1497="famous names",4,IF(J1497="famous voices",4,IF(J1497="television programs",4,IF(J1497="race horses",4,IF(J1497="new vocabulary",4,IF(J1497="sentences",5,IF(J1497="concepts",5,IF(J1497="ad slides",5,IF(J1497="scenes",5,IF(J1497="famous scenes",5,IF(J1497="poems",6,IF(J1497="walk",6,IF(J1497="faces and events",6,IF(J1497="events and names",6,IF(J1497="flashbulb",7,IF(J1497="stories",7,IF(J1497="course material",7,IF(J1497="autobiographical",7,IF(J1497="novels",7,IF(J1497="public events",7,"99"))))))))))))))))))))))))))))))))))))))))))))))</f>
        <v>1</v>
      </c>
      <c r="M1497" s="69">
        <v>1</v>
      </c>
      <c r="N1497" s="69">
        <v>2</v>
      </c>
      <c r="O1497" s="69">
        <v>1</v>
      </c>
      <c r="P1497" s="69" t="s">
        <v>293</v>
      </c>
      <c r="Q1497" s="69" t="s">
        <v>174</v>
      </c>
      <c r="R1497" s="69">
        <f>IF(Q1497="Free Recall",1,IF(Q1497="Cued Recall",2,IF(Q1497="Recognition",3,IF(Q1497="Multiple Choice",4,IF(Q1497="Savings",5,IF(Q1497="Stem Completion",6,IF(Q1497="Fragment Completion",7,IF(Q1497="anagram solution",8,IF(Q1497="Matching",9,IF(Q1497="Problem Solving",10,"99"))))))))))</f>
        <v>1</v>
      </c>
      <c r="S1497" s="69" t="s">
        <v>295</v>
      </c>
      <c r="T1497" s="92" t="s">
        <v>581</v>
      </c>
      <c r="U1497" s="69">
        <f>IF(T1497="within",1,0)</f>
        <v>1</v>
      </c>
      <c r="V1497" s="92">
        <v>12</v>
      </c>
      <c r="W1497" s="69">
        <f>F1497*V1497</f>
        <v>180</v>
      </c>
      <c r="X1497" s="69">
        <v>5</v>
      </c>
      <c r="Y1497" s="87">
        <f>AV1496</f>
        <v>6</v>
      </c>
      <c r="Z1497" s="69" t="s">
        <v>294</v>
      </c>
      <c r="AA1497" s="86">
        <f>60*60</f>
        <v>3600</v>
      </c>
      <c r="AB1497" s="69" t="str">
        <f>IF(AA1497&lt;60,"1",IF(AA1497&lt;=43200,"2",IF(AA1497&lt;=777600,"3","4")))</f>
        <v>2</v>
      </c>
      <c r="AC1497" s="72">
        <f t="shared" ref="AC1497" si="138">AVERAGE(AV1496:DA1496)</f>
        <v>1561.2</v>
      </c>
      <c r="AD1497" s="69" t="str">
        <f>IF(AC1497&lt;60,"1",IF(AC1497&lt;=43200,"2",IF(AC1497&lt;=777600,"3","4")))</f>
        <v>2</v>
      </c>
      <c r="AE1497" s="87">
        <f>AA1497-Y1497</f>
        <v>3594</v>
      </c>
      <c r="AF1497" s="88">
        <f>AV1497</f>
        <v>0.53749999999999998</v>
      </c>
      <c r="AG1497" s="72">
        <f>((AW1497-AV1497)+(AX1497-AW1497)+(AY1497-AX1497)+(AZ1497-AY1497))/4</f>
        <v>-6.0833333333333336E-2</v>
      </c>
      <c r="AH1497" s="4"/>
      <c r="AI1497" s="72">
        <f>RSQ(AV1497:AZ1497,AV1496:AZ1496)</f>
        <v>0.60596503771057841</v>
      </c>
      <c r="AJ1497" s="110">
        <f>SLOPE(AV1497:AZ1497,AV1496:AZ1496)</f>
        <v>-5.4343719987911641E-5</v>
      </c>
      <c r="AK1497" s="72">
        <f>INTERCEPT(AV1497:AZ1497,AV1496:AZ1496)</f>
        <v>0.44950808231179434</v>
      </c>
      <c r="AL1497" s="72">
        <f>INDEX(LINEST(LN(AV1497:AZ1497),LN(AV1496:AZ1496),TRUE,TRUE),3,1)</f>
        <v>0.96749036069185634</v>
      </c>
      <c r="AM1497" s="72">
        <f>INDEX(LINEST(LN(AV1497:AZ1497),LN(AV1496:AZ1496)),1)</f>
        <v>-9.4491566824757581E-2</v>
      </c>
      <c r="AN1497" s="72">
        <f>EXP(INDEX(LINEST(LN(AV1497:AZ1497),LN(AV1496:AZ1496)),1,2))</f>
        <v>0.64103596022095855</v>
      </c>
      <c r="AO1497" s="89">
        <f>INDEX(LINEST((AV1497:AZ1497),LN(AV1496:AZ1496),TRUE,TRUE),3,1)</f>
        <v>0.98146286604672761</v>
      </c>
      <c r="AP1497" s="89">
        <f>INDEX(LINEST((AV1497:AZ1497),LN(AV1496:AZ1496)),1)</f>
        <v>-3.8629033784316091E-2</v>
      </c>
      <c r="AQ1497" s="90">
        <f>INDEX(LINEST(LN(AV1497:AZ1497),SQRT(AV1496:AZ1496),TRUE,TRUE),3,1)</f>
        <v>0.87670952420979731</v>
      </c>
      <c r="AR1497" s="117">
        <f>INDEX(LINEST(LN(AV1497:AZ1497),SQRT((AV1496:AZ1496))),1)</f>
        <v>-1.0429793209391225E-2</v>
      </c>
      <c r="AS1497" s="91">
        <f>INDEX(LINEST(1/(AV1497:AZ1497),1/(SQRT(AV1496:AZ1496)),TRUE,TRUE),3,1)</f>
        <v>0.84128764631529407</v>
      </c>
      <c r="AT1497" s="91">
        <f>INDEX(LINEST(1/(AV1497:AZ1497),1/SQRT(AV1496:AZ1496)),1)</f>
        <v>-3.4073636210414557</v>
      </c>
      <c r="AU1497" s="4"/>
      <c r="AV1497" s="73">
        <f>6.45/12</f>
        <v>0.53749999999999998</v>
      </c>
      <c r="AW1497" s="73">
        <f>4.17/12</f>
        <v>0.34749999999999998</v>
      </c>
      <c r="AX1497" s="73">
        <f>4.23/12</f>
        <v>0.35250000000000004</v>
      </c>
      <c r="AY1497" s="73">
        <f>3.5/12</f>
        <v>0.29166666666666669</v>
      </c>
      <c r="AZ1497" s="73">
        <f>3.53/12</f>
        <v>0.29416666666666663</v>
      </c>
      <c r="BA1497" s="156"/>
      <c r="BB1497" s="70"/>
      <c r="BC1497" s="42"/>
      <c r="BD1497" s="42"/>
      <c r="BE1497" s="42"/>
      <c r="BF1497" s="42"/>
      <c r="BG1497" s="42"/>
      <c r="BH1497" s="2"/>
      <c r="BI1497" s="2"/>
      <c r="BJ1497" s="2"/>
      <c r="BK1497" s="2"/>
      <c r="BL1497" s="2"/>
      <c r="BM1497" s="2"/>
      <c r="BN1497" s="2"/>
      <c r="BO1497" s="2"/>
      <c r="BP1497" s="2"/>
      <c r="BQ1497" s="2"/>
      <c r="BR1497" s="2"/>
      <c r="BS1497" s="2"/>
      <c r="BT1497" s="2"/>
      <c r="BU1497" s="2"/>
      <c r="BV1497" s="2"/>
      <c r="BW1497" s="2"/>
      <c r="BX1497" s="2"/>
      <c r="BY1497" s="2"/>
      <c r="BZ1497" s="2"/>
      <c r="CA1497" s="2"/>
      <c r="CB1497" s="2"/>
      <c r="CC1497" s="2"/>
      <c r="CD1497" s="2"/>
      <c r="CE1497" s="2"/>
      <c r="CF1497" s="2"/>
      <c r="CG1497" s="2"/>
      <c r="CH1497" s="2"/>
      <c r="CI1497" s="2"/>
      <c r="CJ1497" s="2"/>
      <c r="CK1497" s="2"/>
      <c r="CL1497" s="2"/>
      <c r="CM1497" s="2"/>
      <c r="CN1497" s="2"/>
      <c r="CO1497" s="2"/>
      <c r="CP1497" s="2"/>
      <c r="CQ1497" s="2"/>
      <c r="CR1497" s="1"/>
      <c r="CS1497" s="1"/>
      <c r="CT1497" s="1"/>
      <c r="CU1497" s="1"/>
    </row>
    <row r="1498" spans="1:99" ht="12" customHeight="1" x14ac:dyDescent="0.2">
      <c r="A1498" s="65">
        <v>43916</v>
      </c>
      <c r="R1498" s="60"/>
      <c r="U1498" s="60"/>
      <c r="W1498" s="60"/>
      <c r="Y1498" s="76"/>
      <c r="AB1498" s="60"/>
      <c r="AC1498" s="60"/>
      <c r="AD1498" s="60"/>
      <c r="AE1498" s="60"/>
      <c r="AF1498" s="80"/>
      <c r="AG1498" s="56"/>
      <c r="AH1498" s="4"/>
      <c r="AI1498" s="56"/>
      <c r="AJ1498" s="109"/>
      <c r="AK1498" s="56"/>
      <c r="AL1498" s="56"/>
      <c r="AM1498" s="56"/>
      <c r="AN1498" s="56"/>
      <c r="AO1498" s="56"/>
      <c r="AP1498" s="56"/>
      <c r="AQ1498" s="82"/>
      <c r="AR1498" s="115"/>
      <c r="AS1498" s="82"/>
      <c r="AT1498" s="82"/>
      <c r="AU1498" s="4"/>
      <c r="AV1498" s="25">
        <v>1</v>
      </c>
      <c r="AW1498" s="25">
        <v>4</v>
      </c>
      <c r="AX1498" s="25">
        <v>10</v>
      </c>
    </row>
    <row r="1499" spans="1:99" s="15" customFormat="1" ht="12" customHeight="1" x14ac:dyDescent="0.2">
      <c r="A1499" s="65">
        <v>43916</v>
      </c>
      <c r="B1499" s="15" t="s">
        <v>552</v>
      </c>
      <c r="C1499" s="15" t="s">
        <v>551</v>
      </c>
      <c r="D1499" s="59">
        <v>2009</v>
      </c>
      <c r="E1499" s="76">
        <v>1</v>
      </c>
      <c r="F1499" s="60">
        <v>12</v>
      </c>
      <c r="G1499" s="60">
        <v>12</v>
      </c>
      <c r="H1499" s="60" t="s">
        <v>553</v>
      </c>
      <c r="I1499" s="60" t="s">
        <v>555</v>
      </c>
      <c r="J1499" s="60" t="s">
        <v>764</v>
      </c>
      <c r="K1499" s="60">
        <f>IF(J1499="syllables",1,IF(J1499="trigrams",2,IF(J1499="strings",3,IF(J1499="visual array",4,IF(J1499="characters",5,IF(J1499="letters",6,IF(J1499="free forms",7,IF(J1499="odors",8,IF(J1499="words",9,IF(J1499="pictures",10,IF(J1499="object pictures",11,IF(J1499="faces",12,IF(J1499="names",13,IF(J1499="idioms",14,IF(J1499="grades",15,IF(J1499="syllable-digit pairs",16,IF(J1499="trigram-word pairs",17,IF(J1499="word-digit pairs",18,IF(J1499="English-Swahili pairs",19,IF(J1499="spatial position",20,IF(J1499="word pairs",21,IF(J1499="word triads",22,IF(J1499="generated words",23,IF(J1499="word definition pairs",24,IF(J1499="math problems",25,IF(J1499="famous faces",26,IF(J1499="famous names",27,IF(J1499="famous voices",28,IF(J1499="television programs",29,IF(J1499="race horses",30,IF(J1499="new vocabulary",31,IF(J1499="sentences",32,IF(J1499="concepts",33,IF(J1499="ad slides",34,IF(J1499="scenes",35,IF(J1499="famous scenes",36,IF(J1499="poems",37,IF(J1499="walk",38,IF(J1499="faces and events",39,IF(J1499="events and names",40,IF(J1499="flashbulb",41,IF(J1499="stories",42,IF(J1499="course material",43,IF(J1499="autobiographical",44,IF(J1499="novels",45,IF(J1499="public events",46,"99"))))))))))))))))))))))))))))))))))))))))))))))</f>
        <v>4</v>
      </c>
      <c r="L1499" s="60">
        <f>IF(J1499="syllables",1,IF(J1499="trigrams",1,IF(J1499="strings",1,IF(J1499="visual array",1,IF(J1499="characters",1,IF(J1499="letters",1,IF(J1499="free forms",1,IF(J1499="odors",2,IF(J1499="words",2,IF(J1499="pictures",2,IF(J1499="object pictures",2,IF(J1499="faces",2,IF(J1499="names",2,IF(J1499="idioms","2",IF(J1499="grades",2,IF(J1499="syllable-digit pairs",3,IF(J1499="trigram-word pairs",3,IF(J1499="word-digit pairs",3,IF(J1499="English-Swahili pairs",3,IF(J1499="spatial position",3,IF(J1499="word pairs",4,IF(J1499="word triads",4,IF(J1499="generated words",4,IF(J1499="word definition pairs",4,IF(J1499="math problems",4,IF(J1499="famous faces",4,IF(J1499="famous names",4,IF(J1499="famous voices",4,IF(J1499="television programs",4,IF(J1499="race horses",4,IF(J1499="new vocabulary",4,IF(J1499="sentences",5,IF(J1499="concepts",5,IF(J1499="ad slides",5,IF(J1499="scenes",5,IF(J1499="famous scenes",5,IF(J1499="poems",6,IF(J1499="walk",6,IF(J1499="faces and events",6,IF(J1499="events and names",6,IF(J1499="flashbulb",7,IF(J1499="stories",7,IF(J1499="course material",7,IF(J1499="autobiographical",7,IF(J1499="novels",7,IF(J1499="public events",7,"99"))))))))))))))))))))))))))))))))))))))))))))))</f>
        <v>1</v>
      </c>
      <c r="M1499" s="60">
        <v>0</v>
      </c>
      <c r="N1499" s="60">
        <v>1</v>
      </c>
      <c r="O1499" s="60">
        <v>0</v>
      </c>
      <c r="P1499" s="59"/>
      <c r="Q1499" s="60" t="s">
        <v>174</v>
      </c>
      <c r="R1499" s="60">
        <f>IF(Q1499="Free Recall",1,IF(Q1499="Cued Recall",2,IF(Q1499="Recognition",3,IF(Q1499="Multiple Choice",4,IF(Q1499="Savings",5,IF(Q1499="Stem Completion",6,IF(Q1499="Fragment Completion",7,IF(Q1499="anagram solution",8,IF(Q1499="Matching",9,IF(Q1499="Problem Solving",10,"99"))))))))))</f>
        <v>1</v>
      </c>
      <c r="S1499" s="60" t="s">
        <v>295</v>
      </c>
      <c r="T1499" s="59" t="s">
        <v>581</v>
      </c>
      <c r="U1499" s="60">
        <f>IF(T1499="within",1,0)</f>
        <v>1</v>
      </c>
      <c r="V1499" s="59">
        <v>150</v>
      </c>
      <c r="W1499" s="60">
        <f>F1499*V1499</f>
        <v>1800</v>
      </c>
      <c r="X1499" s="60">
        <v>3</v>
      </c>
      <c r="Y1499" s="76">
        <f>AV1498</f>
        <v>1</v>
      </c>
      <c r="Z1499" s="60" t="s">
        <v>554</v>
      </c>
      <c r="AA1499" s="59">
        <v>10</v>
      </c>
      <c r="AB1499" s="60" t="str">
        <f>IF(AA1499&lt;60,"1",IF(AA1499&lt;=43200,"2",IF(AA1499&lt;=777600,"3","4")))</f>
        <v>1</v>
      </c>
      <c r="AC1499" s="56">
        <f t="shared" ref="AC1499" si="139">AVERAGE(AV1498:DA1498)</f>
        <v>5</v>
      </c>
      <c r="AD1499" s="60" t="str">
        <f>IF(AC1499&lt;60,"1",IF(AC1499&lt;=43200,"2",IF(AC1499&lt;=777600,"3","4")))</f>
        <v>1</v>
      </c>
      <c r="AE1499" s="76">
        <f>AA1499-Y1499</f>
        <v>9</v>
      </c>
      <c r="AF1499" s="80">
        <f>AV1499</f>
        <v>0.74</v>
      </c>
      <c r="AG1499" s="56">
        <f>((AW1499-AV1499)+(AX1499-AW1499))/2</f>
        <v>-4.9999999999999989E-2</v>
      </c>
      <c r="AH1499" s="4"/>
      <c r="AI1499" s="56">
        <f>RSQ(AV1499:AX1499,AV1498:AX1498)</f>
        <v>0.89285714285714257</v>
      </c>
      <c r="AJ1499" s="109">
        <f>SLOPE(AV1499:AX1499,AV1498:AX1498)</f>
        <v>-1.1904761904761902E-2</v>
      </c>
      <c r="AK1499" s="56">
        <f>INTERCEPT(AV1499:AX1499,AV1498:AX1498)</f>
        <v>0.7661904761904762</v>
      </c>
      <c r="AL1499" s="56">
        <f>INDEX(LINEST(LN(AV1499:AX1499),LN(AV1498:AX1498),TRUE,TRUE),3,1)</f>
        <v>0.64248899495600853</v>
      </c>
      <c r="AM1499" s="56">
        <f>INDEX(LINEST(LN(AV1499:AX1499),LN(AV1498:AX1498)),1)</f>
        <v>-5.7956782843279799E-2</v>
      </c>
      <c r="AN1499" s="56">
        <f>EXP(INDEX(LINEST(LN(AV1499:AX1499),LN(AV1498:AX1498)),1,2))</f>
        <v>0.75711970981043697</v>
      </c>
      <c r="AO1499" s="82">
        <f>INDEX(LINEST((AV1499:AX1499),LN(AV1498:AX1498),TRUE,TRUE),3,1)</f>
        <v>0.64248899495600842</v>
      </c>
      <c r="AP1499" s="82">
        <f>INDEX(LINEST((AV1499:AX1499),LN(AV1498:AX1498)),1)</f>
        <v>-3.9920085763626205E-2</v>
      </c>
      <c r="AQ1499" s="83">
        <f t="shared" ref="AQ1499" si="140">INDEX(LINEST(LN(AV1499:AX1499),SQRT(AV1498:AX1498),TRUE,TRUE),3,1)</f>
        <v>0.78651740841292606</v>
      </c>
      <c r="AR1499" s="116">
        <f t="shared" ref="AR1499" si="141">INDEX(LINEST(LN(AV1499:AX1499),SQRT((AV1498:AX1498))),1)</f>
        <v>-6.8693805413656203E-2</v>
      </c>
      <c r="AS1499" s="84">
        <f t="shared" ref="AS1499" si="142">INDEX(LINEST(1/(AV1499:AX1499),1/(SQRT(AV1498:AX1498)),TRUE,TRUE),3,1)</f>
        <v>0.50087626293017951</v>
      </c>
      <c r="AT1499" s="84">
        <f t="shared" ref="AT1499" si="143">INDEX(LINEST(1/(AV1499:AX1499),1/SQRT(AV1498:AX1498)),1)</f>
        <v>-0.24381308385450498</v>
      </c>
      <c r="AU1499" s="3"/>
      <c r="AV1499" s="53">
        <f>1-0.26</f>
        <v>0.74</v>
      </c>
      <c r="AW1499" s="53">
        <f>1-0.26</f>
        <v>0.74</v>
      </c>
      <c r="AX1499" s="53">
        <f>1-0.36</f>
        <v>0.64</v>
      </c>
      <c r="AY1499" s="11"/>
      <c r="AZ1499" s="11"/>
      <c r="BA1499" s="11"/>
      <c r="BB1499" s="11"/>
      <c r="BC1499" s="11"/>
      <c r="BD1499" s="11"/>
      <c r="BE1499" s="11"/>
      <c r="BF1499" s="11"/>
      <c r="BG1499" s="11"/>
      <c r="BH1499" s="11"/>
      <c r="BI1499" s="11"/>
      <c r="BJ1499" s="11"/>
      <c r="BK1499" s="11"/>
      <c r="BL1499" s="11"/>
      <c r="BM1499" s="11"/>
      <c r="BN1499" s="11"/>
      <c r="BO1499" s="11"/>
      <c r="BP1499" s="11"/>
      <c r="BQ1499" s="11"/>
      <c r="BR1499" s="11"/>
      <c r="BS1499" s="11"/>
      <c r="BT1499" s="11"/>
      <c r="BU1499" s="11"/>
      <c r="BV1499" s="11"/>
      <c r="BW1499" s="11"/>
      <c r="BX1499" s="11"/>
      <c r="BY1499" s="11"/>
      <c r="BZ1499" s="11"/>
      <c r="CA1499" s="11"/>
      <c r="CB1499" s="11"/>
      <c r="CC1499" s="11"/>
      <c r="CD1499" s="11"/>
      <c r="CE1499" s="11"/>
      <c r="CF1499" s="11"/>
      <c r="CG1499" s="11"/>
      <c r="CH1499" s="11"/>
      <c r="CI1499" s="11"/>
      <c r="CJ1499" s="11"/>
      <c r="CK1499" s="11"/>
      <c r="CL1499" s="11"/>
      <c r="CM1499" s="11"/>
      <c r="CN1499" s="11"/>
      <c r="CO1499" s="11"/>
      <c r="CP1499" s="11"/>
      <c r="CQ1499" s="11"/>
    </row>
    <row r="1500" spans="1:99" ht="12" customHeight="1" x14ac:dyDescent="0.2">
      <c r="A1500" s="65">
        <v>43916</v>
      </c>
      <c r="R1500" s="60"/>
      <c r="U1500" s="60"/>
      <c r="W1500" s="60"/>
      <c r="Y1500" s="76"/>
      <c r="AB1500" s="60"/>
      <c r="AC1500" s="60"/>
      <c r="AD1500" s="60"/>
      <c r="AE1500" s="60"/>
      <c r="AF1500" s="80"/>
      <c r="AG1500" s="56"/>
      <c r="AH1500" s="4"/>
      <c r="AI1500" s="56"/>
      <c r="AJ1500" s="109"/>
      <c r="AK1500" s="56"/>
      <c r="AL1500" s="56"/>
      <c r="AM1500" s="56"/>
      <c r="AN1500" s="56"/>
      <c r="AO1500" s="56"/>
      <c r="AP1500" s="56"/>
      <c r="AQ1500" s="82"/>
      <c r="AR1500" s="115"/>
      <c r="AS1500" s="82"/>
      <c r="AT1500" s="82"/>
      <c r="AU1500" s="4"/>
      <c r="AV1500" s="25">
        <v>1</v>
      </c>
      <c r="AW1500" s="25">
        <v>4</v>
      </c>
      <c r="AX1500" s="25">
        <v>10</v>
      </c>
    </row>
    <row r="1501" spans="1:99" ht="12" customHeight="1" x14ac:dyDescent="0.2">
      <c r="A1501" s="65">
        <v>43916</v>
      </c>
      <c r="B1501" s="15" t="s">
        <v>552</v>
      </c>
      <c r="C1501" s="15" t="s">
        <v>551</v>
      </c>
      <c r="D1501" s="59">
        <v>2009</v>
      </c>
      <c r="E1501" s="76">
        <v>1</v>
      </c>
      <c r="F1501" s="60">
        <v>12</v>
      </c>
      <c r="G1501" s="60">
        <v>12</v>
      </c>
      <c r="H1501" s="60" t="s">
        <v>557</v>
      </c>
      <c r="I1501" s="60" t="s">
        <v>556</v>
      </c>
      <c r="J1501" s="60" t="s">
        <v>764</v>
      </c>
      <c r="K1501" s="60">
        <f>IF(J1501="syllables",1,IF(J1501="trigrams",2,IF(J1501="strings",3,IF(J1501="visual array",4,IF(J1501="characters",5,IF(J1501="letters",6,IF(J1501="free forms",7,IF(J1501="odors",8,IF(J1501="words",9,IF(J1501="pictures",10,IF(J1501="object pictures",11,IF(J1501="faces",12,IF(J1501="names",13,IF(J1501="idioms",14,IF(J1501="grades",15,IF(J1501="syllable-digit pairs",16,IF(J1501="trigram-word pairs",17,IF(J1501="word-digit pairs",18,IF(J1501="English-Swahili pairs",19,IF(J1501="spatial position",20,IF(J1501="word pairs",21,IF(J1501="word triads",22,IF(J1501="generated words",23,IF(J1501="word definition pairs",24,IF(J1501="math problems",25,IF(J1501="famous faces",26,IF(J1501="famous names",27,IF(J1501="famous voices",28,IF(J1501="television programs",29,IF(J1501="race horses",30,IF(J1501="new vocabulary",31,IF(J1501="sentences",32,IF(J1501="concepts",33,IF(J1501="ad slides",34,IF(J1501="scenes",35,IF(J1501="famous scenes",36,IF(J1501="poems",37,IF(J1501="walk",38,IF(J1501="faces and events",39,IF(J1501="events and names",40,IF(J1501="flashbulb",41,IF(J1501="stories",42,IF(J1501="course material",43,IF(J1501="autobiographical",44,IF(J1501="novels",45,IF(J1501="public events",46,"99"))))))))))))))))))))))))))))))))))))))))))))))</f>
        <v>4</v>
      </c>
      <c r="L1501" s="60">
        <f>IF(J1501="syllables",1,IF(J1501="trigrams",1,IF(J1501="strings",1,IF(J1501="visual array",1,IF(J1501="characters",1,IF(J1501="letters",1,IF(J1501="free forms",1,IF(J1501="odors",2,IF(J1501="words",2,IF(J1501="pictures",2,IF(J1501="object pictures",2,IF(J1501="faces",2,IF(J1501="names",2,IF(J1501="idioms","2",IF(J1501="grades",2,IF(J1501="syllable-digit pairs",3,IF(J1501="trigram-word pairs",3,IF(J1501="word-digit pairs",3,IF(J1501="English-Swahili pairs",3,IF(J1501="spatial position",3,IF(J1501="word pairs",4,IF(J1501="word triads",4,IF(J1501="generated words",4,IF(J1501="word definition pairs",4,IF(J1501="math problems",4,IF(J1501="famous faces",4,IF(J1501="famous names",4,IF(J1501="famous voices",4,IF(J1501="television programs",4,IF(J1501="race horses",4,IF(J1501="new vocabulary",4,IF(J1501="sentences",5,IF(J1501="concepts",5,IF(J1501="ad slides",5,IF(J1501="scenes",5,IF(J1501="famous scenes",5,IF(J1501="poems",6,IF(J1501="walk",6,IF(J1501="faces and events",6,IF(J1501="events and names",6,IF(J1501="flashbulb",7,IF(J1501="stories",7,IF(J1501="course material",7,IF(J1501="autobiographical",7,IF(J1501="novels",7,IF(J1501="public events",7,"99"))))))))))))))))))))))))))))))))))))))))))))))</f>
        <v>1</v>
      </c>
      <c r="M1501" s="60">
        <v>0</v>
      </c>
      <c r="N1501" s="60">
        <v>1</v>
      </c>
      <c r="O1501" s="60">
        <v>0</v>
      </c>
      <c r="P1501" s="59"/>
      <c r="Q1501" s="60" t="s">
        <v>174</v>
      </c>
      <c r="R1501" s="60">
        <f>IF(Q1501="Free Recall",1,IF(Q1501="Cued Recall",2,IF(Q1501="Recognition",3,IF(Q1501="Multiple Choice",4,IF(Q1501="Savings",5,IF(Q1501="Stem Completion",6,IF(Q1501="Fragment Completion",7,IF(Q1501="anagram solution",8,IF(Q1501="Matching",9,IF(Q1501="Problem Solving",10,"99"))))))))))</f>
        <v>1</v>
      </c>
      <c r="S1501" s="60" t="s">
        <v>295</v>
      </c>
      <c r="T1501" s="59" t="s">
        <v>581</v>
      </c>
      <c r="U1501" s="60">
        <f>IF(T1501="within",1,0)</f>
        <v>1</v>
      </c>
      <c r="V1501" s="59">
        <v>150</v>
      </c>
      <c r="W1501" s="60">
        <f>F1501*V1501</f>
        <v>1800</v>
      </c>
      <c r="X1501" s="60">
        <v>3</v>
      </c>
      <c r="Y1501" s="76">
        <f>AV1500</f>
        <v>1</v>
      </c>
      <c r="Z1501" s="60" t="s">
        <v>554</v>
      </c>
      <c r="AA1501" s="59">
        <v>10</v>
      </c>
      <c r="AB1501" s="60" t="str">
        <f>IF(AA1501&lt;60,"1",IF(AA1501&lt;=43200,"2",IF(AA1501&lt;=777600,"3","4")))</f>
        <v>1</v>
      </c>
      <c r="AC1501" s="56">
        <f t="shared" ref="AC1501" si="144">AVERAGE(AV1500:DA1500)</f>
        <v>5</v>
      </c>
      <c r="AD1501" s="60" t="str">
        <f>IF(AC1501&lt;60,"1",IF(AC1501&lt;=43200,"2",IF(AC1501&lt;=777600,"3","4")))</f>
        <v>1</v>
      </c>
      <c r="AE1501" s="76">
        <f>AA1501-Y1501</f>
        <v>9</v>
      </c>
      <c r="AF1501" s="80">
        <f>AV1501</f>
        <v>0.6</v>
      </c>
      <c r="AG1501" s="56">
        <f>((AW1501-AV1501)+(AX1501-AW1501))/2</f>
        <v>-7.0000000000000007E-2</v>
      </c>
      <c r="AH1501" s="4"/>
      <c r="AI1501" s="56">
        <f>RSQ(AV1501:AX1501,AV1500:AX1500)</f>
        <v>0.96013289036544824</v>
      </c>
      <c r="AJ1501" s="109">
        <f>SLOPE(AV1501:AX1501,AV1500:AX1500)</f>
        <v>-1.6190476190476193E-2</v>
      </c>
      <c r="AK1501" s="56">
        <f>INTERCEPT(AV1501:AX1501,AV1500:AX1500)</f>
        <v>0.62761904761904774</v>
      </c>
      <c r="AL1501" s="56">
        <f>INDEX(LINEST(LN(AV1501:AX1501),LN(AV1500:AX1500),TRUE,TRUE),3,1)</f>
        <v>0.75015262170069064</v>
      </c>
      <c r="AM1501" s="56">
        <f>INDEX(LINEST(LN(AV1501:AX1501),LN(AV1500:AX1500)),1)</f>
        <v>-0.10804502759734136</v>
      </c>
      <c r="AN1501" s="56">
        <f>EXP(INDEX(LINEST(LN(AV1501:AX1501),LN(AV1500:AX1500)),1,2))</f>
        <v>0.6201221306467396</v>
      </c>
      <c r="AO1501" s="82">
        <f>INDEX(LINEST((AV1501:AX1501),LN(AV1500:AX1500),TRUE,TRUE),3,1)</f>
        <v>0.7630009254687028</v>
      </c>
      <c r="AP1501" s="82">
        <f>INDEX(LINEST((AV1501:AX1501),LN(AV1500:AX1500)),1)</f>
        <v>-5.7053905033116026E-2</v>
      </c>
      <c r="AQ1501" s="83">
        <f t="shared" ref="AQ1501" si="145">INDEX(LINEST(LN(AV1501:AX1501),SQRT(AV1500:AX1500),TRUE,TRUE),3,1)</f>
        <v>0.87404263347715105</v>
      </c>
      <c r="AR1501" s="116">
        <f t="shared" ref="AR1501" si="146">INDEX(LINEST(LN(AV1501:AX1501),SQRT((AV1500:AX1500))),1)</f>
        <v>-0.1249361906101744</v>
      </c>
      <c r="AS1501" s="84">
        <f t="shared" ref="AS1501" si="147">INDEX(LINEST(1/(AV1501:AX1501),1/(SQRT(AV1500:AX1500)),TRUE,TRUE),3,1)</f>
        <v>0.60375758475279429</v>
      </c>
      <c r="AT1501" s="84">
        <f t="shared" ref="AT1501" si="148">INDEX(LINEST(1/(AV1501:AX1501),1/SQRT(AV1500:AX1500)),1)</f>
        <v>-0.60990631041617172</v>
      </c>
      <c r="AU1501" s="3"/>
      <c r="AV1501" s="53">
        <f>1-0.4</f>
        <v>0.6</v>
      </c>
      <c r="AW1501" s="53">
        <f>1-0.42</f>
        <v>0.58000000000000007</v>
      </c>
      <c r="AX1501" s="53">
        <f>1-0.54</f>
        <v>0.45999999999999996</v>
      </c>
    </row>
    <row r="1502" spans="1:99" ht="12" customHeight="1" x14ac:dyDescent="0.2">
      <c r="R1502" s="60"/>
      <c r="U1502" s="60"/>
      <c r="W1502" s="60"/>
      <c r="Y1502" s="76"/>
      <c r="AB1502" s="60"/>
      <c r="AD1502" s="60"/>
      <c r="AE1502" s="60"/>
      <c r="AF1502" s="80"/>
    </row>
    <row r="1503" spans="1:99" ht="12" customHeight="1" x14ac:dyDescent="0.2">
      <c r="D1503" s="64">
        <f>AVERAGE(D3:D1501)</f>
        <v>1991.0653333333332</v>
      </c>
      <c r="F1503" s="64">
        <f>AVERAGE(F3:F1501)</f>
        <v>115.64933333333333</v>
      </c>
      <c r="G1503" s="64">
        <f>AVERAGE(G3:G1501)</f>
        <v>29.524666666666658</v>
      </c>
      <c r="K1503" s="60"/>
      <c r="L1503" s="64">
        <f>COUNTIF(L3:L1501,"1")</f>
        <v>123</v>
      </c>
      <c r="M1503" s="64">
        <f>COUNTIF(M3:M1501,0)</f>
        <v>391</v>
      </c>
      <c r="N1503" s="64">
        <f>COUNTIF(N3:N1501,"1")</f>
        <v>266</v>
      </c>
      <c r="O1503" s="64">
        <f>COUNTIF(O3:O1501,0)</f>
        <v>631</v>
      </c>
      <c r="Q1503" s="64">
        <f>COUNTIF(Q3:Q1501,"Free Recall")</f>
        <v>379</v>
      </c>
      <c r="R1503" s="60"/>
      <c r="T1503" s="64">
        <f>COUNTIF(T3:T1501,"within")</f>
        <v>482</v>
      </c>
      <c r="U1503" s="60"/>
      <c r="V1503" s="64">
        <f>AVERAGE(V3:V1501)</f>
        <v>115.087</v>
      </c>
      <c r="W1503" s="64">
        <f>AVERAGE(W3:W1501)</f>
        <v>3768.116</v>
      </c>
      <c r="X1503" s="64">
        <f>AVERAGE(X3:X1501)</f>
        <v>4.8479999999999999</v>
      </c>
      <c r="Y1503" s="64">
        <f>AVERAGE(Y3:Y1501)</f>
        <v>32234093.623186655</v>
      </c>
      <c r="AA1503" s="64">
        <f>AVERAGE(AA3:AA1501)</f>
        <v>271887669.00514668</v>
      </c>
      <c r="AB1503" s="60"/>
      <c r="AC1503" s="64">
        <f>AVERAGE(AC3:AC1501)</f>
        <v>172664668.3940573</v>
      </c>
      <c r="AD1503" s="60"/>
      <c r="AE1503" s="77">
        <f>AVERAGE(AE3:AE1501)</f>
        <v>239653575.38196009</v>
      </c>
      <c r="AF1503" s="57">
        <f>AVERAGE(AF3:AF1501)</f>
        <v>0.72954310061121641</v>
      </c>
      <c r="AG1503" s="57">
        <f>AVERAGE(AG3:AG1501)</f>
        <v>-6.7687209000388993E-2</v>
      </c>
    </row>
    <row r="1504" spans="1:99" ht="12" customHeight="1" x14ac:dyDescent="0.2">
      <c r="D1504" s="64">
        <f>MEDIAN(D3:D1501)</f>
        <v>1995</v>
      </c>
      <c r="F1504" s="64">
        <f>MEDIAN(F3:F1501)</f>
        <v>28</v>
      </c>
      <c r="G1504" s="64">
        <f>MEDIAN(G3:G1501)</f>
        <v>20</v>
      </c>
      <c r="L1504" s="64">
        <f>COUNTIF(L3:L1501,"2")</f>
        <v>195</v>
      </c>
      <c r="M1504" s="64">
        <f>COUNTIF(M3:M1501,1)</f>
        <v>359</v>
      </c>
      <c r="N1504" s="64">
        <f>COUNTIF(N3:N1501,"2")</f>
        <v>217</v>
      </c>
      <c r="O1504" s="64">
        <f>COUNTIF(O3:O1501,1)</f>
        <v>119</v>
      </c>
      <c r="Q1504" s="64">
        <f>COUNTIF(Q3:Q1501,"Cued Recall")</f>
        <v>81</v>
      </c>
      <c r="R1504" s="60"/>
      <c r="T1504" s="64">
        <f>COUNTIF(T3:T1501,"between")</f>
        <v>268</v>
      </c>
      <c r="V1504" s="64">
        <f>MEDIAN(V3:V1501)</f>
        <v>32</v>
      </c>
      <c r="W1504" s="64">
        <f>MEDIAN(W3:W1501)</f>
        <v>1134</v>
      </c>
      <c r="X1504" s="64">
        <f>MEDIAN(X3:X1501)</f>
        <v>4</v>
      </c>
      <c r="Y1504" s="64">
        <f>MEDIAN(Y3:Y1501)</f>
        <v>315.36</v>
      </c>
      <c r="AA1504" s="64">
        <f>MEDIAN(AA3:AA1501)</f>
        <v>2289600</v>
      </c>
      <c r="AB1504" s="60"/>
      <c r="AC1504" s="64">
        <f>MEDIAN(AC3:AC1501)</f>
        <v>626450</v>
      </c>
      <c r="AD1504" s="60"/>
      <c r="AE1504" s="64">
        <f>MEDIAN(AE3:AE1501)</f>
        <v>2159940</v>
      </c>
      <c r="AF1504" s="64">
        <f>MEDIAN(AF3:AF1501)</f>
        <v>0.78635326344668721</v>
      </c>
      <c r="AG1504" s="64">
        <f>MEDIAN(AG3:AG1501)</f>
        <v>-5.0723425196851267E-2</v>
      </c>
    </row>
    <row r="1505" spans="4:33" ht="12" customHeight="1" x14ac:dyDescent="0.2">
      <c r="D1505" s="64">
        <f>MIN(D3:D1501)</f>
        <v>1885</v>
      </c>
      <c r="F1505" s="64">
        <f>MIN(F3:F1501)</f>
        <v>1</v>
      </c>
      <c r="G1505" s="64">
        <f>MIN(G3:G1501)</f>
        <v>1</v>
      </c>
      <c r="K1505" s="60"/>
      <c r="L1505" s="64">
        <f>COUNTIF(L3:L1501,"3")</f>
        <v>33</v>
      </c>
      <c r="N1505" s="64">
        <f>COUNTIF(N3:N1501,"3")</f>
        <v>140</v>
      </c>
      <c r="Q1505" s="64">
        <f>COUNTIF(Q3:Q1501,"Recognition")</f>
        <v>95</v>
      </c>
      <c r="R1505" s="60"/>
      <c r="V1505" s="64">
        <f>MIN(V3:V1501)</f>
        <v>1</v>
      </c>
      <c r="W1505" s="64">
        <f>MIN(W3:W1501)</f>
        <v>10</v>
      </c>
      <c r="X1505" s="64">
        <f>MIN(X3:X1501)</f>
        <v>3</v>
      </c>
      <c r="Y1505" s="64">
        <f>MIN(Y3:Y1501)</f>
        <v>0.01</v>
      </c>
      <c r="AA1505" s="64">
        <f>MIN(AA3:AA1501)</f>
        <v>5.9</v>
      </c>
      <c r="AB1505" s="60"/>
      <c r="AC1505" s="64">
        <f>MIN(AC3:AC1501)</f>
        <v>3.5</v>
      </c>
      <c r="AD1505" s="60"/>
      <c r="AE1505" s="64">
        <f>MIN(AE3:AE1501)</f>
        <v>4.4000000000000004</v>
      </c>
      <c r="AF1505" s="64">
        <f>MIN(AF3:AF1501)</f>
        <v>2.7E-2</v>
      </c>
      <c r="AG1505" s="64">
        <f>MIN(AG3:AG1501)</f>
        <v>-0.375</v>
      </c>
    </row>
    <row r="1506" spans="4:33" ht="12" customHeight="1" x14ac:dyDescent="0.2">
      <c r="D1506" s="64">
        <f>MAX(D3:D1501)</f>
        <v>2020</v>
      </c>
      <c r="F1506" s="64">
        <f>MAX(F3:F1501)</f>
        <v>4239</v>
      </c>
      <c r="G1506" s="64">
        <f>MAX(G3:G1501)</f>
        <v>421</v>
      </c>
      <c r="L1506" s="64">
        <f>COUNTIF(L3:L1501,"4")</f>
        <v>124</v>
      </c>
      <c r="N1506" s="64">
        <f>COUNTIF(N3:N1501,"4")</f>
        <v>127</v>
      </c>
      <c r="Q1506" s="64">
        <f>COUNTIF(Q3:Q1501,"Multiple Choice")</f>
        <v>135</v>
      </c>
      <c r="R1506" s="60"/>
      <c r="V1506" s="64">
        <f>MAX(V3:V1501)</f>
        <v>15964</v>
      </c>
      <c r="W1506" s="64">
        <f>MAX(W3:W1501)</f>
        <v>127170</v>
      </c>
      <c r="X1506" s="64">
        <f>MAX(X3:X1501)</f>
        <v>52</v>
      </c>
      <c r="Y1506" s="64">
        <f>MAX(Y3:Y1501)</f>
        <v>473040000</v>
      </c>
      <c r="AA1506" s="64">
        <f>MAX(AA3:AA1501)</f>
        <v>1892160000</v>
      </c>
      <c r="AB1506" s="60"/>
      <c r="AC1506" s="64">
        <f>MAX(AC3:AC1501)</f>
        <v>3156672000</v>
      </c>
      <c r="AD1506" s="60"/>
      <c r="AE1506" s="64">
        <f>MAX(AE3:AE1501)</f>
        <v>1576800000</v>
      </c>
      <c r="AF1506" s="57">
        <f>MAX(AF3:AF1501)</f>
        <v>1</v>
      </c>
      <c r="AG1506" s="57">
        <f>MAX(AG3:AG1501)</f>
        <v>0.11000000000000001</v>
      </c>
    </row>
    <row r="1507" spans="4:33" ht="12" customHeight="1" x14ac:dyDescent="0.2">
      <c r="D1507" s="64">
        <f xml:space="preserve"> STDEV(D3:D1501)/SQRT(COUNT(D3:D1501))</f>
        <v>0.88255989549947433</v>
      </c>
      <c r="F1507" s="64">
        <f xml:space="preserve"> STDEV(F3:F1501)/SQRT(COUNT(F3:F1501))</f>
        <v>11.171482287964745</v>
      </c>
      <c r="G1507" s="64">
        <f xml:space="preserve"> STDEV(G3:G1501)/SQRT(COUNT(G3:G1501))</f>
        <v>1.2094169693394214</v>
      </c>
      <c r="K1507" s="60"/>
      <c r="L1507" s="64">
        <f>COUNTIF(L3:L1501,"5")</f>
        <v>66</v>
      </c>
      <c r="Q1507" s="64">
        <f>COUNTIF(Q3:Q1501,"Savings")</f>
        <v>14</v>
      </c>
      <c r="R1507" s="60"/>
      <c r="V1507" s="64">
        <f xml:space="preserve"> STDEV(V3:V1501)/SQRT(COUNT(V3:V1501))</f>
        <v>27.326152184818472</v>
      </c>
      <c r="W1507" s="64">
        <f xml:space="preserve"> STDEV(W3:W1501)/SQRT(COUNT(W3:W1501))</f>
        <v>376.02398824128858</v>
      </c>
      <c r="X1507" s="64">
        <f xml:space="preserve"> STDEV(X3:X1501)/SQRT(COUNT(X3:X1501))</f>
        <v>0.12007023608386644</v>
      </c>
      <c r="Y1507" s="64">
        <f xml:space="preserve"> STDEV(Y3:Y1501)/SQRT(COUNT(Y3:Y1501))</f>
        <v>2849193.4037400265</v>
      </c>
      <c r="AA1507" s="64">
        <f xml:space="preserve"> STDEV(AA3:AA1501)/SQRT(COUNT(AA3:AA1501))</f>
        <v>19415672.683990907</v>
      </c>
      <c r="AB1507" s="60"/>
      <c r="AC1507" s="64">
        <f xml:space="preserve"> STDEV(AC3:AC1501)/SQRT(COUNT(AC3:AC1501))</f>
        <v>16287780.914831368</v>
      </c>
      <c r="AD1507" s="60"/>
      <c r="AE1507" s="64">
        <f xml:space="preserve"> STDEV(AE3:AE1501)/SQRT(COUNT(AE3:AE1501))</f>
        <v>17240061.009092353</v>
      </c>
      <c r="AF1507" s="64">
        <f xml:space="preserve"> STDEV(AF3:AF1501)/SQRT(COUNT(AF3:AF1501))</f>
        <v>8.2855559652400008E-3</v>
      </c>
      <c r="AG1507" s="64">
        <f xml:space="preserve"> STDEV(AG3:AG1501)/SQRT(COUNT(AG3:AG1501))</f>
        <v>2.6127992962392786E-3</v>
      </c>
    </row>
    <row r="1508" spans="4:33" ht="12" customHeight="1" x14ac:dyDescent="0.2">
      <c r="L1508" s="64">
        <f>COUNTIF(L3:L1501,"6")</f>
        <v>21</v>
      </c>
      <c r="Q1508" s="64">
        <f>COUNTIF(Q3:Q1501,"Stem Completion")</f>
        <v>20</v>
      </c>
      <c r="R1508" s="60"/>
      <c r="W1508" s="60"/>
      <c r="Y1508" s="76"/>
      <c r="AB1508" s="60"/>
      <c r="AD1508" s="60"/>
      <c r="AE1508" s="60"/>
      <c r="AF1508" s="80"/>
    </row>
    <row r="1509" spans="4:33" ht="12" customHeight="1" x14ac:dyDescent="0.2">
      <c r="K1509" s="60"/>
      <c r="L1509" s="64">
        <f>COUNTIF(L3:L1501,"7")</f>
        <v>188</v>
      </c>
      <c r="Q1509" s="64">
        <f>COUNTIF(Q3:Q1501,"Fragment Completion")</f>
        <v>12</v>
      </c>
      <c r="R1509" s="60"/>
      <c r="W1509" s="60"/>
      <c r="X1509" s="77"/>
      <c r="Y1509" s="76"/>
      <c r="AB1509" s="60"/>
      <c r="AC1509" s="77"/>
      <c r="AD1509" s="60"/>
      <c r="AE1509" s="76"/>
      <c r="AF1509" s="80"/>
    </row>
    <row r="1510" spans="4:33" ht="12" customHeight="1" x14ac:dyDescent="0.2">
      <c r="Q1510" s="64">
        <f>COUNTIF(Q3:Q1501,"anagram solution")</f>
        <v>1</v>
      </c>
      <c r="R1510" s="60"/>
      <c r="W1510" s="60"/>
      <c r="Y1510" s="76"/>
      <c r="AB1510" s="60"/>
      <c r="AD1510" s="60"/>
      <c r="AE1510" s="60"/>
      <c r="AF1510" s="80"/>
    </row>
    <row r="1511" spans="4:33" ht="12" customHeight="1" x14ac:dyDescent="0.2">
      <c r="K1511" s="60"/>
      <c r="L1511" s="60"/>
      <c r="Q1511" s="64">
        <f>COUNTIF(Q3:Q1501,"matching")</f>
        <v>7</v>
      </c>
      <c r="R1511" s="60"/>
      <c r="W1511" s="60"/>
      <c r="Y1511" s="76"/>
      <c r="AB1511" s="60"/>
      <c r="AE1511" s="76"/>
      <c r="AF1511" s="80"/>
    </row>
    <row r="1512" spans="4:33" ht="12" customHeight="1" x14ac:dyDescent="0.2">
      <c r="Q1512" s="64">
        <f>COUNTIF(Q3:Q1501,"problem solving")</f>
        <v>4</v>
      </c>
      <c r="R1512" s="60"/>
      <c r="W1512" s="60"/>
      <c r="Y1512" s="76"/>
      <c r="AB1512" s="60"/>
      <c r="AE1512" s="60"/>
      <c r="AF1512" s="80"/>
    </row>
    <row r="1513" spans="4:33" ht="12" customHeight="1" x14ac:dyDescent="0.2">
      <c r="K1513" s="60"/>
      <c r="L1513" s="60"/>
      <c r="Q1513" s="64">
        <f>COUNTIF(Q3:Q1501,"source monitoring")</f>
        <v>2</v>
      </c>
      <c r="R1513" s="60"/>
      <c r="W1513" s="60"/>
      <c r="Y1513" s="76"/>
      <c r="AB1513" s="60"/>
      <c r="AE1513" s="76"/>
      <c r="AF1513" s="80"/>
    </row>
    <row r="1514" spans="4:33" ht="12" customHeight="1" x14ac:dyDescent="0.2">
      <c r="R1514" s="60"/>
      <c r="W1514" s="60"/>
      <c r="Y1514" s="76"/>
      <c r="AB1514" s="60"/>
      <c r="AE1514" s="60"/>
      <c r="AF1514" s="80"/>
    </row>
    <row r="1515" spans="4:33" ht="12" customHeight="1" x14ac:dyDescent="0.2">
      <c r="K1515" s="60"/>
      <c r="L1515" s="60"/>
      <c r="R1515" s="60"/>
      <c r="W1515" s="60"/>
      <c r="Y1515" s="76"/>
      <c r="AB1515" s="60"/>
      <c r="AE1515" s="76"/>
      <c r="AF1515" s="80"/>
    </row>
    <row r="1516" spans="4:33" ht="12" customHeight="1" x14ac:dyDescent="0.2">
      <c r="R1516" s="60"/>
      <c r="W1516" s="60"/>
      <c r="Y1516" s="76"/>
      <c r="AB1516" s="60"/>
      <c r="AE1516" s="60"/>
      <c r="AF1516" s="80"/>
    </row>
    <row r="1517" spans="4:33" ht="12" customHeight="1" x14ac:dyDescent="0.2">
      <c r="K1517" s="60"/>
      <c r="L1517" s="60"/>
      <c r="R1517" s="60"/>
      <c r="W1517" s="60"/>
      <c r="Y1517" s="76"/>
      <c r="AB1517" s="60"/>
      <c r="AE1517" s="76"/>
      <c r="AF1517" s="80"/>
    </row>
    <row r="1518" spans="4:33" ht="12" customHeight="1" x14ac:dyDescent="0.2">
      <c r="R1518" s="60"/>
      <c r="W1518" s="60"/>
      <c r="Y1518" s="76"/>
      <c r="AB1518" s="60"/>
      <c r="AE1518" s="60"/>
      <c r="AF1518" s="80"/>
    </row>
    <row r="1519" spans="4:33" ht="12" customHeight="1" x14ac:dyDescent="0.2">
      <c r="K1519" s="60"/>
      <c r="L1519" s="60"/>
      <c r="R1519" s="60"/>
      <c r="W1519" s="60"/>
      <c r="Y1519" s="76"/>
      <c r="AB1519" s="60"/>
      <c r="AE1519" s="76"/>
      <c r="AF1519" s="80"/>
    </row>
    <row r="1520" spans="4:33" ht="12" customHeight="1" x14ac:dyDescent="0.2">
      <c r="R1520" s="60"/>
      <c r="W1520" s="60"/>
      <c r="Y1520" s="76"/>
      <c r="AB1520" s="60"/>
      <c r="AE1520" s="60"/>
      <c r="AF1520" s="80"/>
    </row>
    <row r="1521" spans="11:32" ht="12" customHeight="1" x14ac:dyDescent="0.2">
      <c r="K1521" s="60"/>
      <c r="L1521" s="60"/>
      <c r="R1521" s="60"/>
      <c r="W1521" s="60"/>
      <c r="Y1521" s="76"/>
      <c r="AB1521" s="60"/>
      <c r="AE1521" s="76"/>
      <c r="AF1521" s="80"/>
    </row>
    <row r="1522" spans="11:32" ht="12" customHeight="1" x14ac:dyDescent="0.2">
      <c r="R1522" s="60"/>
      <c r="W1522" s="60"/>
      <c r="Y1522" s="76"/>
      <c r="AB1522" s="60"/>
      <c r="AE1522" s="60"/>
      <c r="AF1522" s="80"/>
    </row>
    <row r="1523" spans="11:32" ht="12" customHeight="1" x14ac:dyDescent="0.2">
      <c r="K1523" s="60"/>
      <c r="L1523" s="60"/>
      <c r="R1523" s="60"/>
      <c r="W1523" s="60"/>
      <c r="Y1523" s="76"/>
      <c r="AB1523" s="60"/>
      <c r="AE1523" s="76"/>
      <c r="AF1523" s="80"/>
    </row>
    <row r="1524" spans="11:32" ht="12" customHeight="1" x14ac:dyDescent="0.2">
      <c r="R1524" s="60"/>
      <c r="W1524" s="60"/>
      <c r="Y1524" s="76"/>
      <c r="AB1524" s="60"/>
      <c r="AE1524" s="60"/>
      <c r="AF1524" s="80"/>
    </row>
    <row r="1525" spans="11:32" ht="12" customHeight="1" x14ac:dyDescent="0.2">
      <c r="K1525" s="60"/>
      <c r="L1525" s="60"/>
      <c r="R1525" s="60"/>
      <c r="W1525" s="60"/>
      <c r="Y1525" s="76"/>
      <c r="AB1525" s="60"/>
      <c r="AE1525" s="76"/>
      <c r="AF1525" s="80"/>
    </row>
    <row r="1526" spans="11:32" ht="12" customHeight="1" x14ac:dyDescent="0.2">
      <c r="R1526" s="60"/>
      <c r="W1526" s="60"/>
      <c r="Y1526" s="76"/>
      <c r="AB1526" s="60"/>
      <c r="AE1526" s="60"/>
      <c r="AF1526" s="80"/>
    </row>
    <row r="1527" spans="11:32" ht="12" customHeight="1" x14ac:dyDescent="0.2">
      <c r="K1527" s="60"/>
      <c r="L1527" s="60"/>
      <c r="R1527" s="60"/>
      <c r="W1527" s="60"/>
      <c r="Y1527" s="76"/>
      <c r="AB1527" s="60"/>
      <c r="AE1527" s="76"/>
      <c r="AF1527" s="80"/>
    </row>
    <row r="1528" spans="11:32" ht="12" customHeight="1" x14ac:dyDescent="0.2">
      <c r="R1528" s="60"/>
      <c r="W1528" s="60"/>
      <c r="Y1528" s="76"/>
      <c r="AB1528" s="60"/>
      <c r="AE1528" s="60"/>
      <c r="AF1528" s="80"/>
    </row>
    <row r="1529" spans="11:32" ht="12" customHeight="1" x14ac:dyDescent="0.2">
      <c r="K1529" s="60"/>
      <c r="L1529" s="60"/>
      <c r="R1529" s="60"/>
      <c r="W1529" s="60"/>
      <c r="Y1529" s="76"/>
      <c r="AB1529" s="60"/>
      <c r="AE1529" s="76"/>
      <c r="AF1529" s="80"/>
    </row>
    <row r="1530" spans="11:32" ht="12" customHeight="1" x14ac:dyDescent="0.2">
      <c r="R1530" s="60"/>
      <c r="W1530" s="60"/>
      <c r="Y1530" s="76"/>
      <c r="AB1530" s="60"/>
      <c r="AE1530" s="60"/>
      <c r="AF1530" s="80"/>
    </row>
    <row r="1531" spans="11:32" ht="12" customHeight="1" x14ac:dyDescent="0.2">
      <c r="K1531" s="60"/>
      <c r="L1531" s="60"/>
      <c r="R1531" s="60"/>
      <c r="W1531" s="60"/>
      <c r="Y1531" s="76"/>
      <c r="AB1531" s="60"/>
      <c r="AE1531" s="76"/>
      <c r="AF1531" s="80"/>
    </row>
    <row r="1532" spans="11:32" ht="12" customHeight="1" x14ac:dyDescent="0.2">
      <c r="R1532" s="60"/>
      <c r="W1532" s="60"/>
      <c r="Y1532" s="76"/>
      <c r="AB1532" s="60"/>
      <c r="AE1532" s="60"/>
      <c r="AF1532" s="80"/>
    </row>
    <row r="1533" spans="11:32" ht="12" customHeight="1" x14ac:dyDescent="0.2">
      <c r="K1533" s="60"/>
      <c r="L1533" s="60"/>
      <c r="R1533" s="60"/>
      <c r="W1533" s="60"/>
      <c r="Y1533" s="76"/>
      <c r="AB1533" s="60"/>
      <c r="AE1533" s="76"/>
      <c r="AF1533" s="80"/>
    </row>
    <row r="1534" spans="11:32" ht="12" customHeight="1" x14ac:dyDescent="0.2">
      <c r="W1534" s="60"/>
      <c r="Y1534" s="76"/>
      <c r="AB1534" s="60"/>
      <c r="AE1534" s="60"/>
      <c r="AF1534" s="80"/>
    </row>
    <row r="1535" spans="11:32" ht="12" customHeight="1" x14ac:dyDescent="0.2">
      <c r="K1535" s="60"/>
      <c r="L1535" s="60"/>
      <c r="W1535" s="60"/>
      <c r="Y1535" s="76"/>
      <c r="AE1535" s="76"/>
      <c r="AF1535" s="80"/>
    </row>
    <row r="1536" spans="11:32" ht="12" customHeight="1" x14ac:dyDescent="0.2">
      <c r="W1536" s="60"/>
      <c r="Y1536" s="76"/>
      <c r="AE1536" s="60"/>
      <c r="AF1536" s="80"/>
    </row>
    <row r="1537" spans="11:32" ht="12" customHeight="1" x14ac:dyDescent="0.2">
      <c r="K1537" s="60"/>
      <c r="L1537" s="60"/>
      <c r="W1537" s="60"/>
      <c r="Y1537" s="76"/>
      <c r="AE1537" s="76"/>
      <c r="AF1537" s="80"/>
    </row>
    <row r="1538" spans="11:32" ht="12" customHeight="1" x14ac:dyDescent="0.2">
      <c r="W1538" s="60"/>
      <c r="Y1538" s="76"/>
      <c r="AE1538" s="60"/>
      <c r="AF1538" s="80"/>
    </row>
    <row r="1539" spans="11:32" ht="12" customHeight="1" x14ac:dyDescent="0.2">
      <c r="K1539" s="60"/>
      <c r="L1539" s="60"/>
      <c r="W1539" s="60"/>
      <c r="Y1539" s="76"/>
      <c r="AE1539" s="76"/>
      <c r="AF1539" s="80"/>
    </row>
    <row r="1540" spans="11:32" ht="12" customHeight="1" x14ac:dyDescent="0.2">
      <c r="W1540" s="60"/>
      <c r="Y1540" s="76"/>
      <c r="AE1540" s="60"/>
      <c r="AF1540" s="80"/>
    </row>
    <row r="1541" spans="11:32" ht="12" customHeight="1" x14ac:dyDescent="0.2">
      <c r="K1541" s="60"/>
      <c r="L1541" s="60"/>
      <c r="W1541" s="60"/>
      <c r="Y1541" s="76"/>
      <c r="AE1541" s="76"/>
      <c r="AF1541" s="80"/>
    </row>
    <row r="1543" spans="11:32" ht="12" customHeight="1" x14ac:dyDescent="0.2">
      <c r="K1543" s="60"/>
      <c r="L1543" s="60"/>
    </row>
  </sheetData>
  <conditionalFormatting sqref="AB28:AD28 AB30:AD30 AB32:AD32 AB34:AD34 AB36:AD36 AB38:AD38 AB40:AD40 AB48:AD48 AB42:AD42 AB44:AC44 AB46:AC46 AB50:AC50 AB52:AC52 AB54:AC54 AB56:AC56 AB58:AC58 AB60:AC60 AB62:AC62 AB64:AC64 AB66:AC66 AB68:AC68 AB74:AC74 AB76:AC76 AB78:AC78 AB80:AC80 AB70:AC70 AB72:AC72 AB82:AC82 AB84:AC84 AB92:AC92 AB94:AC94 AC96 AB98:AC98 AB100:AC100 AB102:AC102 AB104:AC104 AC106 AB108:AC108 AB110:AC110 AB112:AC112 AB114:AC114 AC140 AC150 AC152 AC154 AC156 AC158 AC160 AC162 AC164 AC172 AC174 AC176 AC178 AC180 AC182 AC184 AC186 AC188 AC190 AC192 AC200 AC202 AC204 AC206 AC228 AC230 AC232 AC234 AC236 AC238 AC240 AC244 AC246 AC248 AC250 AC252 AC254 AC256 AC258 AC260 AC262 AC280 AC282 AC284 AC286 AC288 AC290 AC292 AC294 AC296 AC298 AC306 AC308 AC310 AC312 AC314 AC316 AC318 AC320 AC322 AC324 AC326 AC358 AC360 AC394 AC396 AC398 AC432 AC434 AC436 AC438 AC440 AC472 AC474 AC470 AC496 AC498 AC504 AC506 AC508 AC510 AC514 AC516 AC518 AC530 AC532 AC534 AC536 AC538 AC540 AC542 AC544 AC550 AC552 AC554 AC558 AC560 AC562 AC564 AC566 AC568 AC570 AC586 AC588 AC602 AC604 AC606 AC608 AC610 AC612 AC614 AC616 AC618 AC620 AC622 AC624 AC626 AC662 AC664 AC666 AC668 AC696 AC714 AC716 AC718 AC724 AC720 AC730 AC732 AC746 AC748 AC766 AC774 AC776 AC778 AC780 AC830 AC832 AC834 AC836 AC838 AC840 AC842 AC844 AC846 AC848 AC850 AC852 AC854 AC856 AC858 AC860 AC862 AC864 AC870 AC872 AC914 AC916 AC918 AC920 AC922 AC924 AC926 AC928 AC930 AC936 AC940 AC942 AC944 AC946 AC970 AC972 AC974 AC976 AC978 AC980 AC982 AC994 AC998 AC1000 AC1002 AC1004 AC1006 AC1110 AC1112 AC1038 AC1040 AC1042 AC1044 AC1046 AC1048 AC1050 AC1052 AC1054 AC1056 AC1058 AC1060 AC1062 AC1064 AC1068 AC1070 AC1072 AC1074 AC1076 AC1078 AC1114 AC1116 AC1118 AC1120 AC1122 AC1128 AC1130 AC1132 AC1134 AC1136 AC1144 AC1146 AC1148 AC1150 AC1152 AC1154 AC1156 AC1158 AC1160 AC1162 AC1164 AC1184 AC1186 AC1188 AC1190 AC1192 AC1194 AC1196 AC1198 AC1200 AC1202 AC1204 AC1206 AC1208 AC1210 AC1212 AC1214 AC1216 AC1218 AC1220 AC1222 AC1236 AC1238 AC1240 AC1242 AC1244 AC1246 AC1248 AC1250 AC1252 AC1254 AC1256 AC1258 AC1224 AC1230 AC1286 AC1290 AC1298 AC1292 AC1300 AC1288 AC1294 AC1302 AC1296 AC1304 AC1272 AC1328 AC1330 AC1332 AC1334 AC1336 AC1338 AC1340 AC1350 AC1356 AC1358 AC1374 AC1376 AC1378 AC1380 AC1384 AC1386 AC1390 AC1392 AC1398 AC1400 AC1422 AC1424 AC1434 AC1436 AC1438 AC1440 AC1448 AC1450 AC1452 AC1454 AC1456 AC1458 AC1460 AC1470 AC1472 AC1474 AC1476 AC1478 AC1480 AC1482 AC1484 AC1492 AC1494 AC1496 AC1442 AC1446 AG162 AC1142 AC1140 AC728 AC242 AC1138 AC726 AG44 AG80 AG78 AG76 AG74 AG68 AG66 AG64 AG62 AG60 AG58 AG56 AG54 AG52 AG50 AG46 AG104 AG102 AG100 AG98 AG96 AG94 AG92 AG84 AG82 AG72 AG70 AG140 AG114 AG112 AG110 AG108 AG106 AG202 AG200 AG192 AG190 AG188 AG186 AG184 AG182 AG180 AG178 AG176 AG174 AG172 AG164 AG160 AG158 AG156 AG152 AG150 AG242 AG246 AG244 AG240 AG238 AG236 AG234 AG232 AG230 AG228 AG206 AG204 AG290 AG288 AG286 AG284 AG282 AG280 AG262 AG260 AG258 AG256 AG254 AG252 AG250 AG248 AG326 AG324 AG322 AG320 AG318 AG316 AG314 AG312 AG310 AG308 AG306 AG298 AG296 AG294 AG292 AG360 AG358 AG440 AG438 AG436 AG434 AG432 AG398 AG396 AG394 AG470 AG474 AG472 AG538 AG536 AG534 AG532 AG530 AG518 AG516 AG514 AG510 AG508 AG506 AG504 AG498 AG496 AG570 AG568 AG566 AG564 AG562 AG560 AG558 AG554 AG552 AG550 AG544 AG542 AG540 AG626 AG624 AG622 AG620 AG618 AG616 AG614 AG612 AG610 AG608 AG606 AG604 AG602 AG588 AG586 AG668 AG666 AG664 AG662 AG726 AG728 AG748 AG746 AG732 AG730 AG720 AG724 AG718 AG716 AG714 AG696 AG780 AG778 AG776 AG774 AG766 AG864 AG862 AG860 AG858 AG856 AG854 AG852 AG850 AG848 AG846 AG844 AG842 AG840 AG838 AG836 AG834 AG832 AG830 AG946 AG944 AG942 AG940 AG936 AG930 AG928 AG926 AG924 AG922 AG920 AG918 AG916 AG914 AG872 AG870 AG1006 AG1004 AG1002 AG1000 AG998 AG994 AG982 AG980 AG978 AG976 AG974 AG972 AG970 AG1064 AG1062 AG1060 AG1058 AG1056 AG1054 AG1052 AG1050 AG1048 AG1046 AG1044 AG1042 AG1040 AG1038 AG1078 AG1076 AG1074 AG1072 AG1070 AG1068 AG1110 AG1138 AG1140 AG1142 AG1154 AG1152 AG1150 AG1148 AG1146 AG1144 AG1136 AG1134 AG1132 AG1130 AG1128 AG1122 AG1120 AG1118 AG1116 AG1114 AG1112 AG1190 AG1188 AG1186 AG1184 AG1164 AG1162 AG1160 AG1156 AG1230 AG1224 AG1238 AG1236 AG1222 AG1220 AG1218 AG1216 AG1214 AG1212 AG1210 AG1208 AG1206 AG1204 AG1202 AG1200 AG1198 AG1196 AG1194 AG1192 AG1272 AG1258 AG1256 AG1254 AG1252 AG1250 AG1248 AG1246 AG1244 AG1242 AG1240 AG1304 AG1296 AG1302 AG1294 AG1288 AG1300 AG1292 AG1298 AG1290 AG1286 AG1358 AG1356 AG1350 AG1340 AG1338 AG1336 AG1334 AG1332 AG1330 AG1328 AG1400 AG1398 AG1392 AG1390 AG1386 AG1384 AG1380 AG1378 AG1376 AG1374 AG1446 AG1442 AG1460 AG1458 AG1456 AG1454 AG1452 AG1450 AG1448 AG1440 AG1438 AG1436 AG1434 AG1424 AG1422 AG1496 AG1494 AG1492 AG1484 AG1482 AG1480 AG1478 AG1476 AG1474 AG1472 AG1470 Z8:AD8 Z6:AD6 Z16:AA16 Z10:AA10 Z242:AA242 Z726:AA726 Z1138:AA1138 AG4 AG6 AG8 AG32 AG28 AG42 AG48 AG40 AG38 AG36 AG34 Z728:AA728 Z1140:AA1140 Z1142:AA1142 M132:P132 O129:O132 O87:O91 O121 O123 O5:P5 O9:P9 O7:P7 O1143:P1143 O1141:P1141 O1139:P1139 E790:J790 E1426:J1426 E826:I826 E828:I828 E1428:I1428 E1430:I1430 E1282:I1282 E1180:I1180 E1182:I1182 E1276:I1276 E1278:I1278 E1316:I1316 E1326:I1326 E1312:I1312 E1352:I1352 E1320:I1320 E1324:I1324 E1322:I1322 E802:I802 E1432:I1432 E1296:I1296 E1298:I1298 E1294:I1294 E794:I794 E800:I800 E798:I798 E796:I796 E88:I88 E132:I132 E136:I136 E670:I670 E592:I592 E630:I630 E632:I632 E634:I634 E646:I646 E488:I488 E490:I490 E672:I672 E674:I674 E1354:I1354 AE684:AF684 AE686:AF686 AE688:AF688 O16:P21 M136:P136 M274:P274 M276:P276 M278:P278 S16:T16 S10:T10 S6:V6 S8:V8 T242 S726:T726 S728 S1138:T1138 S1140:T1140 S1142:T1142 X16 X10 X1138 X1140 X1142 X18 X20 X14 X12 X6 X8 X242 X728 X726 S4:AD4 X22 V10 V16 V242 V726 B1132:P1132 B1134:P1134 B1138:Q1138 B1140:Q1140 B1142:Q1142 B4:Q4 B6:Q6 B8:Q8 B10:Q10 B726:Q726 B728:Q728 B20:Q20 B22:P22 B16:Q16 B18:Q18 B12:Q12 B14:Q14 B24:P24 B26:P26 B242:Q242">
    <cfRule type="expression" dxfId="3291" priority="1921">
      <formula>MOD(ROW(),2)=1</formula>
    </cfRule>
  </conditionalFormatting>
  <conditionalFormatting sqref="AX724">
    <cfRule type="expression" dxfId="3290" priority="1892">
      <formula>MOD(ROW(),2)=1</formula>
    </cfRule>
  </conditionalFormatting>
  <conditionalFormatting sqref="T18 Z18:AA18 J18 V18">
    <cfRule type="expression" dxfId="3289" priority="1872">
      <formula>MOD(ROW(),2)=1</formula>
    </cfRule>
  </conditionalFormatting>
  <conditionalFormatting sqref="S18">
    <cfRule type="expression" dxfId="3288" priority="1871">
      <formula>MOD(ROW(),2)=1</formula>
    </cfRule>
  </conditionalFormatting>
  <conditionalFormatting sqref="X24 X26 T20 Z26 Z24 Z20:AA20 Z22 J20 F22 V20">
    <cfRule type="expression" dxfId="3287" priority="1870">
      <formula>MOD(ROW(),2)=1</formula>
    </cfRule>
  </conditionalFormatting>
  <conditionalFormatting sqref="S20">
    <cfRule type="expression" dxfId="3286" priority="1869">
      <formula>MOD(ROW(),2)=1</formula>
    </cfRule>
  </conditionalFormatting>
  <conditionalFormatting sqref="Q22">
    <cfRule type="expression" dxfId="3285" priority="1868">
      <formula>MOD(ROW(),2)=1</formula>
    </cfRule>
  </conditionalFormatting>
  <conditionalFormatting sqref="J88">
    <cfRule type="expression" dxfId="3284" priority="1846">
      <formula>MOD(ROW(),2)=1</formula>
    </cfRule>
  </conditionalFormatting>
  <conditionalFormatting sqref="J90">
    <cfRule type="expression" dxfId="3283" priority="1845">
      <formula>MOD(ROW(),2)=1</formula>
    </cfRule>
  </conditionalFormatting>
  <conditionalFormatting sqref="J132 J134 J136 J138">
    <cfRule type="expression" dxfId="3282" priority="1831">
      <formula>MOD(ROW(),2)=1</formula>
    </cfRule>
  </conditionalFormatting>
  <conditionalFormatting sqref="I134 I138">
    <cfRule type="expression" dxfId="3281" priority="1830">
      <formula>MOD(ROW(),2)=1</formula>
    </cfRule>
  </conditionalFormatting>
  <conditionalFormatting sqref="Z132:AA132 Z134:AA134 Z136:AA136 Z138:AA138">
    <cfRule type="expression" dxfId="3280" priority="1829">
      <formula>MOD(ROW(),2)=1</formula>
    </cfRule>
  </conditionalFormatting>
  <conditionalFormatting sqref="J274 J278 J276">
    <cfRule type="expression" dxfId="3279" priority="1821">
      <formula>MOD(ROW(),2)=1</formula>
    </cfRule>
  </conditionalFormatting>
  <conditionalFormatting sqref="J302 J304">
    <cfRule type="expression" dxfId="3278" priority="1813">
      <formula>MOD(ROW(),2)=1</formula>
    </cfRule>
  </conditionalFormatting>
  <conditionalFormatting sqref="J578">
    <cfRule type="expression" dxfId="3277" priority="1792">
      <formula>MOD(ROW(),2)=1</formula>
    </cfRule>
  </conditionalFormatting>
  <conditionalFormatting sqref="J630 J632 J634">
    <cfRule type="expression" dxfId="3276" priority="1778">
      <formula>MOD(ROW(),2)=1</formula>
    </cfRule>
  </conditionalFormatting>
  <conditionalFormatting sqref="J356">
    <cfRule type="expression" dxfId="3275" priority="1800">
      <formula>MOD(ROW(),2)=1</formula>
    </cfRule>
  </conditionalFormatting>
  <conditionalFormatting sqref="E650:I650">
    <cfRule type="expression" dxfId="3274" priority="1766">
      <formula>MOD(ROW(),2)=1</formula>
    </cfRule>
  </conditionalFormatting>
  <conditionalFormatting sqref="J486">
    <cfRule type="expression" dxfId="3273" priority="1796">
      <formula>MOD(ROW(),2)=1</formula>
    </cfRule>
  </conditionalFormatting>
  <conditionalFormatting sqref="J580">
    <cfRule type="expression" dxfId="3272" priority="1788">
      <formula>MOD(ROW(),2)=1</formula>
    </cfRule>
  </conditionalFormatting>
  <conditionalFormatting sqref="J592">
    <cfRule type="expression" dxfId="3271" priority="1784">
      <formula>MOD(ROW(),2)=1</formula>
    </cfRule>
  </conditionalFormatting>
  <conditionalFormatting sqref="J646">
    <cfRule type="expression" dxfId="3270" priority="1771">
      <formula>MOD(ROW(),2)=1</formula>
    </cfRule>
  </conditionalFormatting>
  <conditionalFormatting sqref="J1430">
    <cfRule type="expression" dxfId="3269" priority="1745">
      <formula>MOD(ROW(),2)=1</formula>
    </cfRule>
  </conditionalFormatting>
  <conditionalFormatting sqref="Z794:AA794">
    <cfRule type="expression" dxfId="3268" priority="1736">
      <formula>MOD(ROW(),2)=1</formula>
    </cfRule>
  </conditionalFormatting>
  <conditionalFormatting sqref="J670">
    <cfRule type="expression" dxfId="3267" priority="1762">
      <formula>MOD(ROW(),2)=1</formula>
    </cfRule>
  </conditionalFormatting>
  <conditionalFormatting sqref="J826 I820:J820 I822:J822 I824:J824 J828">
    <cfRule type="expression" dxfId="3266" priority="1733">
      <formula>MOD(ROW(),2)=1</formula>
    </cfRule>
  </conditionalFormatting>
  <conditionalFormatting sqref="J1428">
    <cfRule type="expression" dxfId="3265" priority="1749">
      <formula>MOD(ROW(),2)=1</formula>
    </cfRule>
  </conditionalFormatting>
  <conditionalFormatting sqref="J794 I804:J804">
    <cfRule type="expression" dxfId="3264" priority="1737">
      <formula>MOD(ROW(),2)=1</formula>
    </cfRule>
  </conditionalFormatting>
  <conditionalFormatting sqref="J878">
    <cfRule type="expression" dxfId="3263" priority="1730">
      <formula>MOD(ROW(),2)=1</formula>
    </cfRule>
  </conditionalFormatting>
  <conditionalFormatting sqref="I806:J806">
    <cfRule type="expression" dxfId="3262" priority="1734">
      <formula>MOD(ROW(),2)=1</formula>
    </cfRule>
  </conditionalFormatting>
  <conditionalFormatting sqref="E1010:I1010 E1012:I1012 E1014:I1014 E1016:I1016 E1018:I1018">
    <cfRule type="expression" dxfId="3261" priority="1693">
      <formula>MOD(ROW(),2)=1</formula>
    </cfRule>
  </conditionalFormatting>
  <conditionalFormatting sqref="J488 J490">
    <cfRule type="expression" dxfId="3260" priority="1711">
      <formula>MOD(ROW(),2)=1</formula>
    </cfRule>
  </conditionalFormatting>
  <conditionalFormatting sqref="E1016:I1016 E1018:I1018">
    <cfRule type="expression" dxfId="3259" priority="1687">
      <formula>MOD(ROW(),2)=1</formula>
    </cfRule>
  </conditionalFormatting>
  <conditionalFormatting sqref="J968">
    <cfRule type="expression" dxfId="3258" priority="1725">
      <formula>MOD(ROW(),2)=1</formula>
    </cfRule>
  </conditionalFormatting>
  <conditionalFormatting sqref="J22">
    <cfRule type="expression" dxfId="3257" priority="1721">
      <formula>MOD(ROW(),2)=1</formula>
    </cfRule>
  </conditionalFormatting>
  <conditionalFormatting sqref="E1012:I1012 E1014:I1014 E1016:I1016 E1018:I1018">
    <cfRule type="expression" dxfId="3256" priority="1691">
      <formula>MOD(ROW(),2)=1</formula>
    </cfRule>
  </conditionalFormatting>
  <conditionalFormatting sqref="E1014:I1014 E1016:I1016 E1018:I1018">
    <cfRule type="expression" dxfId="3255" priority="1689">
      <formula>MOD(ROW(),2)=1</formula>
    </cfRule>
  </conditionalFormatting>
  <conditionalFormatting sqref="E1284:I1284">
    <cfRule type="expression" dxfId="3254" priority="1666">
      <formula>MOD(ROW(),2)=1</formula>
    </cfRule>
  </conditionalFormatting>
  <conditionalFormatting sqref="E1280:I1280">
    <cfRule type="expression" dxfId="3253" priority="1669">
      <formula>MOD(ROW(),2)=1</formula>
    </cfRule>
  </conditionalFormatting>
  <conditionalFormatting sqref="E1018:I1018">
    <cfRule type="expression" dxfId="3252" priority="1685">
      <formula>MOD(ROW(),2)=1</formula>
    </cfRule>
  </conditionalFormatting>
  <conditionalFormatting sqref="J800 J802">
    <cfRule type="expression" dxfId="3251" priority="1632">
      <formula>MOD(ROW(),2)=1</formula>
    </cfRule>
  </conditionalFormatting>
  <conditionalFormatting sqref="Z1353">
    <cfRule type="expression" dxfId="3250" priority="1648">
      <formula>MOD(ROW(),2)=1</formula>
    </cfRule>
  </conditionalFormatting>
  <conditionalFormatting sqref="AX794">
    <cfRule type="expression" dxfId="3249" priority="1639">
      <formula>MOD(ROW(),2)=1</formula>
    </cfRule>
  </conditionalFormatting>
  <conditionalFormatting sqref="J798">
    <cfRule type="expression" dxfId="3248" priority="1635">
      <formula>MOD(ROW(),2)=1</formula>
    </cfRule>
  </conditionalFormatting>
  <conditionalFormatting sqref="Z798:AA798">
    <cfRule type="expression" dxfId="3247" priority="1634">
      <formula>MOD(ROW(),2)=1</formula>
    </cfRule>
  </conditionalFormatting>
  <conditionalFormatting sqref="J796">
    <cfRule type="expression" dxfId="3246" priority="1638">
      <formula>MOD(ROW(),2)=1</formula>
    </cfRule>
  </conditionalFormatting>
  <conditionalFormatting sqref="Z796:AA796">
    <cfRule type="expression" dxfId="3245" priority="1637">
      <formula>MOD(ROW(),2)=1</formula>
    </cfRule>
  </conditionalFormatting>
  <conditionalFormatting sqref="J650">
    <cfRule type="expression" dxfId="3244" priority="1628">
      <formula>MOD(ROW(),2)=1</formula>
    </cfRule>
  </conditionalFormatting>
  <conditionalFormatting sqref="Z800:AA800 Z802:AA802">
    <cfRule type="expression" dxfId="3243" priority="1631">
      <formula>MOD(ROW(),2)=1</formula>
    </cfRule>
  </conditionalFormatting>
  <conditionalFormatting sqref="T14 Z14:AA14 F14 V14">
    <cfRule type="expression" dxfId="3242" priority="1615">
      <formula>MOD(ROW(),2)=1</formula>
    </cfRule>
  </conditionalFormatting>
  <conditionalFormatting sqref="S14">
    <cfRule type="expression" dxfId="3241" priority="1614">
      <formula>MOD(ROW(),2)=1</formula>
    </cfRule>
  </conditionalFormatting>
  <conditionalFormatting sqref="S12">
    <cfRule type="expression" dxfId="3240" priority="1618">
      <formula>MOD(ROW(),2)=1</formula>
    </cfRule>
  </conditionalFormatting>
  <conditionalFormatting sqref="T12 Z12:AA12 J12 F12 V12">
    <cfRule type="expression" dxfId="3239" priority="1619">
      <formula>MOD(ROW(),2)=1</formula>
    </cfRule>
  </conditionalFormatting>
  <conditionalFormatting sqref="T26 I26:J26 F26 V26">
    <cfRule type="expression" dxfId="3238" priority="1602">
      <formula>MOD(ROW(),2)=1</formula>
    </cfRule>
  </conditionalFormatting>
  <conditionalFormatting sqref="Q24 S24">
    <cfRule type="expression" dxfId="3237" priority="1603">
      <formula>MOD(ROW(),2)=1</formula>
    </cfRule>
  </conditionalFormatting>
  <conditionalFormatting sqref="J14">
    <cfRule type="expression" dxfId="3236" priority="1609">
      <formula>MOD(ROW(),2)=1</formula>
    </cfRule>
  </conditionalFormatting>
  <conditionalFormatting sqref="T24 I24:J24 F24 V24">
    <cfRule type="expression" dxfId="3235" priority="1604">
      <formula>MOD(ROW(),2)=1</formula>
    </cfRule>
  </conditionalFormatting>
  <conditionalFormatting sqref="Q26 S26">
    <cfRule type="expression" dxfId="3234" priority="1601">
      <formula>MOD(ROW(),2)=1</formula>
    </cfRule>
  </conditionalFormatting>
  <conditionalFormatting sqref="AA878">
    <cfRule type="expression" dxfId="3233" priority="1572">
      <formula>MOD(ROW(),2)=1</formula>
    </cfRule>
  </conditionalFormatting>
  <conditionalFormatting sqref="Z878">
    <cfRule type="expression" dxfId="3232" priority="1573">
      <formula>MOD(ROW(),2)=1</formula>
    </cfRule>
  </conditionalFormatting>
  <conditionalFormatting sqref="J1432">
    <cfRule type="expression" dxfId="3231" priority="1559">
      <formula>MOD(ROW(),2)=1</formula>
    </cfRule>
  </conditionalFormatting>
  <conditionalFormatting sqref="AC1444 AG1444">
    <cfRule type="expression" dxfId="3230" priority="1538">
      <formula>MOD(ROW(),2)=1</formula>
    </cfRule>
  </conditionalFormatting>
  <conditionalFormatting sqref="AA1467">
    <cfRule type="expression" dxfId="3229" priority="1517">
      <formula>MOD(ROW(),2)=1</formula>
    </cfRule>
  </conditionalFormatting>
  <conditionalFormatting sqref="AA1469">
    <cfRule type="expression" dxfId="3228" priority="1516">
      <formula>MOD(ROW(),2)=1</formula>
    </cfRule>
  </conditionalFormatting>
  <conditionalFormatting sqref="AC520 AG520">
    <cfRule type="expression" dxfId="3227" priority="1512">
      <formula>MOD(ROW(),2)=1</formula>
    </cfRule>
  </conditionalFormatting>
  <conditionalFormatting sqref="AC522 AC524 AC526 AG526 AG524 AG522">
    <cfRule type="expression" dxfId="3226" priority="1511">
      <formula>MOD(ROW(),2)=1</formula>
    </cfRule>
  </conditionalFormatting>
  <conditionalFormatting sqref="AC528 AG528">
    <cfRule type="expression" dxfId="3225" priority="1510">
      <formula>MOD(ROW(),2)=1</formula>
    </cfRule>
  </conditionalFormatting>
  <conditionalFormatting sqref="AC556 AG556">
    <cfRule type="expression" dxfId="3224" priority="1504">
      <formula>MOD(ROW(),2)=1</formula>
    </cfRule>
  </conditionalFormatting>
  <conditionalFormatting sqref="E1290:I1290">
    <cfRule type="expression" dxfId="3223" priority="1500">
      <formula>MOD(ROW(),2)=1</formula>
    </cfRule>
  </conditionalFormatting>
  <conditionalFormatting sqref="E1304:I1304">
    <cfRule type="expression" dxfId="3222" priority="1495">
      <formula>MOD(ROW(),2)=1</formula>
    </cfRule>
  </conditionalFormatting>
  <conditionalFormatting sqref="E1292:I1292">
    <cfRule type="expression" dxfId="3221" priority="1499">
      <formula>MOD(ROW(),2)=1</formula>
    </cfRule>
  </conditionalFormatting>
  <conditionalFormatting sqref="E1288:I1288">
    <cfRule type="expression" dxfId="3220" priority="1498">
      <formula>MOD(ROW(),2)=1</formula>
    </cfRule>
  </conditionalFormatting>
  <conditionalFormatting sqref="AC1382 AG1382">
    <cfRule type="expression" dxfId="3219" priority="1494">
      <formula>MOD(ROW(),2)=1</formula>
    </cfRule>
  </conditionalFormatting>
  <conditionalFormatting sqref="E1302:I1302">
    <cfRule type="expression" dxfId="3218" priority="1496">
      <formula>MOD(ROW(),2)=1</formula>
    </cfRule>
  </conditionalFormatting>
  <conditionalFormatting sqref="AC1486 AG1486">
    <cfRule type="expression" dxfId="3217" priority="1493">
      <formula>MOD(ROW(),2)=1</formula>
    </cfRule>
  </conditionalFormatting>
  <conditionalFormatting sqref="AC1488 AG1488">
    <cfRule type="expression" dxfId="3216" priority="1492">
      <formula>MOD(ROW(),2)=1</formula>
    </cfRule>
  </conditionalFormatting>
  <conditionalFormatting sqref="AC1490 AG1490">
    <cfRule type="expression" dxfId="3215" priority="1491">
      <formula>MOD(ROW(),2)=1</formula>
    </cfRule>
  </conditionalFormatting>
  <conditionalFormatting sqref="J672">
    <cfRule type="expression" dxfId="3214" priority="1490">
      <formula>MOD(ROW(),2)=1</formula>
    </cfRule>
  </conditionalFormatting>
  <conditionalFormatting sqref="J674">
    <cfRule type="expression" dxfId="3213" priority="1488">
      <formula>MOD(ROW(),2)=1</formula>
    </cfRule>
  </conditionalFormatting>
  <conditionalFormatting sqref="AB116:AC116 AG116">
    <cfRule type="expression" dxfId="3212" priority="1485">
      <formula>MOD(ROW(),2)=1</formula>
    </cfRule>
  </conditionalFormatting>
  <conditionalFormatting sqref="AB118:AC118 AG118">
    <cfRule type="expression" dxfId="3211" priority="1484">
      <formula>MOD(ROW(),2)=1</formula>
    </cfRule>
  </conditionalFormatting>
  <conditionalFormatting sqref="AX726">
    <cfRule type="expression" dxfId="3210" priority="1481">
      <formula>MOD(ROW(),2)=1</formula>
    </cfRule>
  </conditionalFormatting>
  <conditionalFormatting sqref="AX728">
    <cfRule type="expression" dxfId="3209" priority="1480">
      <formula>MOD(ROW(),2)=1</formula>
    </cfRule>
  </conditionalFormatting>
  <conditionalFormatting sqref="AX796">
    <cfRule type="expression" dxfId="3208" priority="1469">
      <formula>MOD(ROW(),2)=1</formula>
    </cfRule>
  </conditionalFormatting>
  <conditionalFormatting sqref="AX798">
    <cfRule type="expression" dxfId="3207" priority="1468">
      <formula>MOD(ROW(),2)=1</formula>
    </cfRule>
  </conditionalFormatting>
  <conditionalFormatting sqref="AX800">
    <cfRule type="expression" dxfId="3206" priority="1467">
      <formula>MOD(ROW(),2)=1</formula>
    </cfRule>
  </conditionalFormatting>
  <conditionalFormatting sqref="AC996 AG996">
    <cfRule type="expression" dxfId="3205" priority="1466">
      <formula>MOD(ROW(),2)=1</formula>
    </cfRule>
  </conditionalFormatting>
  <conditionalFormatting sqref="AC1124 AC1126 AG1126 AG1124">
    <cfRule type="expression" dxfId="3204" priority="1465">
      <formula>MOD(ROW(),2)=1</formula>
    </cfRule>
  </conditionalFormatting>
  <conditionalFormatting sqref="AC1166 AG1166">
    <cfRule type="expression" dxfId="3203" priority="1464">
      <formula>MOD(ROW(),2)=1</formula>
    </cfRule>
  </conditionalFormatting>
  <conditionalFormatting sqref="AC1168">
    <cfRule type="expression" dxfId="3202" priority="1463">
      <formula>MOD(ROW(),2)=1</formula>
    </cfRule>
  </conditionalFormatting>
  <conditionalFormatting sqref="AC1170 AG1170">
    <cfRule type="expression" dxfId="3201" priority="1462">
      <formula>MOD(ROW(),2)=1</formula>
    </cfRule>
  </conditionalFormatting>
  <conditionalFormatting sqref="AC1172 AG1172">
    <cfRule type="expression" dxfId="3200" priority="1461">
      <formula>MOD(ROW(),2)=1</formula>
    </cfRule>
  </conditionalFormatting>
  <conditionalFormatting sqref="AC1410 AG1410">
    <cfRule type="expression" dxfId="3199" priority="1460">
      <formula>MOD(ROW(),2)=1</formula>
    </cfRule>
  </conditionalFormatting>
  <conditionalFormatting sqref="AC1414 AG1414">
    <cfRule type="expression" dxfId="3198" priority="1458">
      <formula>MOD(ROW(),2)=1</formula>
    </cfRule>
  </conditionalFormatting>
  <conditionalFormatting sqref="AC1412 AG1412">
    <cfRule type="expression" dxfId="3197" priority="1459">
      <formula>MOD(ROW(),2)=1</formula>
    </cfRule>
  </conditionalFormatting>
  <conditionalFormatting sqref="AC1418 AG1418">
    <cfRule type="expression" dxfId="3196" priority="1456">
      <formula>MOD(ROW(),2)=1</formula>
    </cfRule>
  </conditionalFormatting>
  <conditionalFormatting sqref="AC1416 AG1416">
    <cfRule type="expression" dxfId="3195" priority="1457">
      <formula>MOD(ROW(),2)=1</formula>
    </cfRule>
  </conditionalFormatting>
  <conditionalFormatting sqref="AC1500 AG1500">
    <cfRule type="expression" dxfId="3194" priority="1454">
      <formula>MOD(ROW(),2)=1</formula>
    </cfRule>
  </conditionalFormatting>
  <conditionalFormatting sqref="AC1092 AG1092">
    <cfRule type="expression" dxfId="3193" priority="1447">
      <formula>MOD(ROW(),2)=1</formula>
    </cfRule>
  </conditionalFormatting>
  <conditionalFormatting sqref="AC1498 AG1498">
    <cfRule type="expression" dxfId="3192" priority="1455">
      <formula>MOD(ROW(),2)=1</formula>
    </cfRule>
  </conditionalFormatting>
  <conditionalFormatting sqref="AC1100 AG1100">
    <cfRule type="expression" dxfId="3191" priority="1443">
      <formula>MOD(ROW(),2)=1</formula>
    </cfRule>
  </conditionalFormatting>
  <conditionalFormatting sqref="AC1080 AG1080">
    <cfRule type="expression" dxfId="3190" priority="1453">
      <formula>MOD(ROW(),2)=1</formula>
    </cfRule>
  </conditionalFormatting>
  <conditionalFormatting sqref="AC1082 AG1082">
    <cfRule type="expression" dxfId="3189" priority="1452">
      <formula>MOD(ROW(),2)=1</formula>
    </cfRule>
  </conditionalFormatting>
  <conditionalFormatting sqref="AC1084 AG1084">
    <cfRule type="expression" dxfId="3188" priority="1451">
      <formula>MOD(ROW(),2)=1</formula>
    </cfRule>
  </conditionalFormatting>
  <conditionalFormatting sqref="AC1086 AG1086">
    <cfRule type="expression" dxfId="3187" priority="1450">
      <formula>MOD(ROW(),2)=1</formula>
    </cfRule>
  </conditionalFormatting>
  <conditionalFormatting sqref="AC1088 AG1088">
    <cfRule type="expression" dxfId="3186" priority="1449">
      <formula>MOD(ROW(),2)=1</formula>
    </cfRule>
  </conditionalFormatting>
  <conditionalFormatting sqref="AC1090 AG1090">
    <cfRule type="expression" dxfId="3185" priority="1448">
      <formula>MOD(ROW(),2)=1</formula>
    </cfRule>
  </conditionalFormatting>
  <conditionalFormatting sqref="AC1108 AG1108">
    <cfRule type="expression" dxfId="3184" priority="1439">
      <formula>MOD(ROW(),2)=1</formula>
    </cfRule>
  </conditionalFormatting>
  <conditionalFormatting sqref="AC1094 AG1094">
    <cfRule type="expression" dxfId="3183" priority="1446">
      <formula>MOD(ROW(),2)=1</formula>
    </cfRule>
  </conditionalFormatting>
  <conditionalFormatting sqref="AC1096 AG1096">
    <cfRule type="expression" dxfId="3182" priority="1445">
      <formula>MOD(ROW(),2)=1</formula>
    </cfRule>
  </conditionalFormatting>
  <conditionalFormatting sqref="AC1098 AG1098">
    <cfRule type="expression" dxfId="3181" priority="1444">
      <formula>MOD(ROW(),2)=1</formula>
    </cfRule>
  </conditionalFormatting>
  <conditionalFormatting sqref="AC1102 AG1102">
    <cfRule type="expression" dxfId="3180" priority="1442">
      <formula>MOD(ROW(),2)=1</formula>
    </cfRule>
  </conditionalFormatting>
  <conditionalFormatting sqref="AC1104 AG1104">
    <cfRule type="expression" dxfId="3179" priority="1441">
      <formula>MOD(ROW(),2)=1</formula>
    </cfRule>
  </conditionalFormatting>
  <conditionalFormatting sqref="AC1106 AG1106">
    <cfRule type="expression" dxfId="3178" priority="1440">
      <formula>MOD(ROW(),2)=1</formula>
    </cfRule>
  </conditionalFormatting>
  <conditionalFormatting sqref="AB162">
    <cfRule type="expression" dxfId="3177" priority="1438">
      <formula>MOD(ROW(),2)=1</formula>
    </cfRule>
  </conditionalFormatting>
  <conditionalFormatting sqref="AB218">
    <cfRule type="expression" dxfId="3176" priority="1437">
      <formula>MOD(ROW(),2)=1</formula>
    </cfRule>
  </conditionalFormatting>
  <conditionalFormatting sqref="AB266">
    <cfRule type="expression" dxfId="3175" priority="1436">
      <formula>MOD(ROW(),2)=1</formula>
    </cfRule>
  </conditionalFormatting>
  <conditionalFormatting sqref="AB312">
    <cfRule type="expression" dxfId="3174" priority="1435">
      <formula>MOD(ROW(),2)=1</formula>
    </cfRule>
  </conditionalFormatting>
  <conditionalFormatting sqref="AB468">
    <cfRule type="expression" dxfId="3173" priority="1432">
      <formula>MOD(ROW(),2)=1</formula>
    </cfRule>
  </conditionalFormatting>
  <conditionalFormatting sqref="AB524">
    <cfRule type="expression" dxfId="3172" priority="1431">
      <formula>MOD(ROW(),2)=1</formula>
    </cfRule>
  </conditionalFormatting>
  <conditionalFormatting sqref="AB620">
    <cfRule type="expression" dxfId="3171" priority="1429">
      <formula>MOD(ROW(),2)=1</formula>
    </cfRule>
  </conditionalFormatting>
  <conditionalFormatting sqref="AB756">
    <cfRule type="expression" dxfId="3170" priority="1427">
      <formula>MOD(ROW(),2)=1</formula>
    </cfRule>
  </conditionalFormatting>
  <conditionalFormatting sqref="AB806">
    <cfRule type="expression" dxfId="3169" priority="1426">
      <formula>MOD(ROW(),2)=1</formula>
    </cfRule>
  </conditionalFormatting>
  <conditionalFormatting sqref="AB862">
    <cfRule type="expression" dxfId="3168" priority="1425">
      <formula>MOD(ROW(),2)=1</formula>
    </cfRule>
  </conditionalFormatting>
  <conditionalFormatting sqref="AB966">
    <cfRule type="expression" dxfId="3167" priority="1424">
      <formula>MOD(ROW(),2)=1</formula>
    </cfRule>
  </conditionalFormatting>
  <conditionalFormatting sqref="AB1028">
    <cfRule type="expression" dxfId="3166" priority="1423">
      <formula>MOD(ROW(),2)=1</formula>
    </cfRule>
  </conditionalFormatting>
  <conditionalFormatting sqref="AB1070">
    <cfRule type="expression" dxfId="3165" priority="1422">
      <formula>MOD(ROW(),2)=1</formula>
    </cfRule>
  </conditionalFormatting>
  <conditionalFormatting sqref="AB1116">
    <cfRule type="expression" dxfId="3164" priority="1421">
      <formula>MOD(ROW(),2)=1</formula>
    </cfRule>
  </conditionalFormatting>
  <conditionalFormatting sqref="AB1160">
    <cfRule type="expression" dxfId="3163" priority="1420">
      <formula>MOD(ROW(),2)=1</formula>
    </cfRule>
  </conditionalFormatting>
  <conditionalFormatting sqref="AB1200">
    <cfRule type="expression" dxfId="3162" priority="1419">
      <formula>MOD(ROW(),2)=1</formula>
    </cfRule>
  </conditionalFormatting>
  <conditionalFormatting sqref="AB1246">
    <cfRule type="expression" dxfId="3161" priority="1418">
      <formula>MOD(ROW(),2)=1</formula>
    </cfRule>
  </conditionalFormatting>
  <conditionalFormatting sqref="AB1292">
    <cfRule type="expression" dxfId="3160" priority="1417">
      <formula>MOD(ROW(),2)=1</formula>
    </cfRule>
  </conditionalFormatting>
  <conditionalFormatting sqref="AB1332">
    <cfRule type="expression" dxfId="3159" priority="1416">
      <formula>MOD(ROW(),2)=1</formula>
    </cfRule>
  </conditionalFormatting>
  <conditionalFormatting sqref="AB1376">
    <cfRule type="expression" dxfId="3158" priority="1415">
      <formula>MOD(ROW(),2)=1</formula>
    </cfRule>
  </conditionalFormatting>
  <conditionalFormatting sqref="AB1438">
    <cfRule type="expression" dxfId="3157" priority="1414">
      <formula>MOD(ROW(),2)=1</formula>
    </cfRule>
  </conditionalFormatting>
  <conditionalFormatting sqref="AB1490">
    <cfRule type="expression" dxfId="3156" priority="1412">
      <formula>MOD(ROW(),2)=1</formula>
    </cfRule>
  </conditionalFormatting>
  <conditionalFormatting sqref="AD46 AD50 AD74 AD76 AD78 AD80 AD52">
    <cfRule type="expression" dxfId="3155" priority="1411">
      <formula>MOD(ROW(),2)=1</formula>
    </cfRule>
  </conditionalFormatting>
  <conditionalFormatting sqref="AD70 AD88 AD90 AD92 AD94 AD96 AD98 AD100 AD102 AD72">
    <cfRule type="expression" dxfId="3154" priority="1410">
      <formula>MOD(ROW(),2)=1</formula>
    </cfRule>
  </conditionalFormatting>
  <conditionalFormatting sqref="AD106 AD108 AD130 AD132 AD134 AD136 AD138 AD140 AD110">
    <cfRule type="expression" dxfId="3153" priority="1409">
      <formula>MOD(ROW(),2)=1</formula>
    </cfRule>
  </conditionalFormatting>
  <conditionalFormatting sqref="AD150 AD178 AD180 AD182 AD184 AD186 AD188 AD190 AD192 AD200 AD152">
    <cfRule type="expression" dxfId="3152" priority="1408">
      <formula>MOD(ROW(),2)=1</formula>
    </cfRule>
  </conditionalFormatting>
  <conditionalFormatting sqref="AD204 AD206 AD228 AD230 AD232 AD234 AD236 AD238 AD240 AD242 AD244 AD208">
    <cfRule type="expression" dxfId="3151" priority="1407">
      <formula>MOD(ROW(),2)=1</formula>
    </cfRule>
  </conditionalFormatting>
  <conditionalFormatting sqref="AD248 AD250 AD272 AD274 AD276 AD278 AD280 AD282 AD284 AD286 AD288 AD252">
    <cfRule type="expression" dxfId="3150" priority="1406">
      <formula>MOD(ROW(),2)=1</formula>
    </cfRule>
  </conditionalFormatting>
  <conditionalFormatting sqref="AD292 AD294 AD316 AD318 AD320 AD322 AD324 AD326 AD338 AD340 AD342 AD296">
    <cfRule type="expression" dxfId="3149" priority="1405">
      <formula>MOD(ROW(),2)=1</formula>
    </cfRule>
  </conditionalFormatting>
  <conditionalFormatting sqref="AD346 AD348 AD350">
    <cfRule type="expression" dxfId="3148" priority="1404">
      <formula>MOD(ROW(),2)=1</formula>
    </cfRule>
  </conditionalFormatting>
  <conditionalFormatting sqref="AD400 AD402 AD404 AD406 AD432 AD434 AD436 AD438">
    <cfRule type="expression" dxfId="3147" priority="1403">
      <formula>MOD(ROW(),2)=1</formula>
    </cfRule>
  </conditionalFormatting>
  <conditionalFormatting sqref="AD442 AD444 AD466 AD468 AD472 AD474 AD470 AD486 AD446">
    <cfRule type="expression" dxfId="3146" priority="1402">
      <formula>MOD(ROW(),2)=1</formula>
    </cfRule>
  </conditionalFormatting>
  <conditionalFormatting sqref="AD490 AD496 AD520 AD522 AD524 AD526 AD528 AD530 AD532 AD534 AD536 AD498">
    <cfRule type="expression" dxfId="3145" priority="1401">
      <formula>MOD(ROW(),2)=1</formula>
    </cfRule>
  </conditionalFormatting>
  <conditionalFormatting sqref="AD540 AD542 AD562 AD564 AD566 AD568 AD570 AD584 AD582 AD572 AD544">
    <cfRule type="expression" dxfId="3144" priority="1400">
      <formula>MOD(ROW(),2)=1</formula>
    </cfRule>
  </conditionalFormatting>
  <conditionalFormatting sqref="AD576 AD578 AD612 AD614 AD616 AD618 AD620 AD622 AD624 AD626 AD628 AD580">
    <cfRule type="expression" dxfId="3143" priority="1399">
      <formula>MOD(ROW(),2)=1</formula>
    </cfRule>
  </conditionalFormatting>
  <conditionalFormatting sqref="AD632 AD634 AD666 AD668 AD680 AD682 AD670 AD672 AD642">
    <cfRule type="expression" dxfId="3142" priority="1398">
      <formula>MOD(ROW(),2)=1</formula>
    </cfRule>
  </conditionalFormatting>
  <conditionalFormatting sqref="AD696 AD714 AD748 AD750 AD752 AD754 AD756 AD758 AD760 AD716">
    <cfRule type="expression" dxfId="3141" priority="1397">
      <formula>MOD(ROW(),2)=1</formula>
    </cfRule>
  </conditionalFormatting>
  <conditionalFormatting sqref="AD764 AD790 AD794 AD796 AD798 AD800 AD802 AD804 AD806">
    <cfRule type="expression" dxfId="3140" priority="1396">
      <formula>MOD(ROW(),2)=1</formula>
    </cfRule>
  </conditionalFormatting>
  <conditionalFormatting sqref="AD822 AD824 AD846 AD848 AD850 AD852 AD854 AD856 AD858 AD860 AD862 AD826">
    <cfRule type="expression" dxfId="3139" priority="1395">
      <formula>MOD(ROW(),2)=1</formula>
    </cfRule>
  </conditionalFormatting>
  <conditionalFormatting sqref="AD870 AD872 AD928 AD930 AD936 AD940 AD942 AD944 AD946 AD952 AD964 AD874">
    <cfRule type="expression" dxfId="3138" priority="1394">
      <formula>MOD(ROW(),2)=1</formula>
    </cfRule>
  </conditionalFormatting>
  <conditionalFormatting sqref="AD968 AD970 AD1002 AD1004 AD1006 AD1020 AD1022 AD1008 AD1024 AD1010 AD1026 AD972">
    <cfRule type="expression" dxfId="3137" priority="1393">
      <formula>MOD(ROW(),2)=1</formula>
    </cfRule>
  </conditionalFormatting>
  <conditionalFormatting sqref="AD1028 AD1014 AD1046 AD1048 AD1050 AD1052 AD1054 AD1056 AD1058 AD1060 AD1062 AD1030">
    <cfRule type="expression" dxfId="3136" priority="1392">
      <formula>MOD(ROW(),2)=1</formula>
    </cfRule>
  </conditionalFormatting>
  <conditionalFormatting sqref="AD1068 AD1070 AD1092 AD1094 AD1096 AD1098 AD1100 AD1102 AD1104 AD1106 AD1108 AD1072">
    <cfRule type="expression" dxfId="3135" priority="1391">
      <formula>MOD(ROW(),2)=1</formula>
    </cfRule>
  </conditionalFormatting>
  <conditionalFormatting sqref="AD1112 AD1114 AD1136 AD1138 AD1140 AD1142 AD1144 AD1146 AD1148 AD1150 AD1152 AD1116">
    <cfRule type="expression" dxfId="3134" priority="1390">
      <formula>MOD(ROW(),2)=1</formula>
    </cfRule>
  </conditionalFormatting>
  <conditionalFormatting sqref="AD1156 AD1178 AD1180 AD1182 AD1184 AD1186 AD1188 AD1158">
    <cfRule type="expression" dxfId="3133" priority="1389">
      <formula>MOD(ROW(),2)=1</formula>
    </cfRule>
  </conditionalFormatting>
  <conditionalFormatting sqref="AD1192 AD1194 AD1216 AD1218 AD1220 AD1222 AD1224 AD1230 AD1236 AD1238 AD1196">
    <cfRule type="expression" dxfId="3132" priority="1388">
      <formula>MOD(ROW(),2)=1</formula>
    </cfRule>
  </conditionalFormatting>
  <conditionalFormatting sqref="AD1240 AD1242 AD1256 AD1258 AD1260 AD1262 AD1264 AD1266 AD1272 AD1274 AD1276">
    <cfRule type="expression" dxfId="3131" priority="1387">
      <formula>MOD(ROW(),2)=1</formula>
    </cfRule>
  </conditionalFormatting>
  <conditionalFormatting sqref="AD1280 AD1282 AD1304 AD1306 AD1308 AD1310 AD1312 AD1314 AD1316 AD1318 AD1320 AD1284">
    <cfRule type="expression" dxfId="3130" priority="1386">
      <formula>MOD(ROW(),2)=1</formula>
    </cfRule>
  </conditionalFormatting>
  <conditionalFormatting sqref="AD1342 AD1344 AD1346 AD1348 AD1350 AD1352 AD1356 AD1358 AD1360 AD1324">
    <cfRule type="expression" dxfId="3129" priority="1385">
      <formula>MOD(ROW(),2)=1</formula>
    </cfRule>
  </conditionalFormatting>
  <conditionalFormatting sqref="AD1362 AD1384 AD1386 AD1390 AD1392 AD1398 AD1400 AD1410 AD1412 AD1414 AD1364">
    <cfRule type="expression" dxfId="3128" priority="1384">
      <formula>MOD(ROW(),2)=1</formula>
    </cfRule>
  </conditionalFormatting>
  <conditionalFormatting sqref="AD1418 AD1422 AD1444 AD1446 AD1448 AD1450 AD1452 AD1454 AD1456 AD1458 AD1460 AD1424">
    <cfRule type="expression" dxfId="3127" priority="1381">
      <formula>MOD(ROW(),2)=1</formula>
    </cfRule>
  </conditionalFormatting>
  <conditionalFormatting sqref="AD1466 AD1468">
    <cfRule type="expression" dxfId="3126" priority="1380">
      <formula>MOD(ROW(),2)=1</formula>
    </cfRule>
  </conditionalFormatting>
  <conditionalFormatting sqref="AD1470 AD1492 AD1494 AD1496 AD1498 AD1500 AD1502 AD1504 AD1506 AD1508 AD1472">
    <cfRule type="expression" dxfId="3125" priority="1379">
      <formula>MOD(ROW(),2)=1</formula>
    </cfRule>
  </conditionalFormatting>
  <conditionalFormatting sqref="Y8">
    <cfRule type="expression" dxfId="3124" priority="1378">
      <formula>MOD(ROW(),2)=1</formula>
    </cfRule>
  </conditionalFormatting>
  <conditionalFormatting sqref="Y12">
    <cfRule type="expression" dxfId="3123" priority="1377">
      <formula>MOD(ROW(),2)=1</formula>
    </cfRule>
  </conditionalFormatting>
  <conditionalFormatting sqref="Y16">
    <cfRule type="expression" dxfId="3122" priority="1376">
      <formula>MOD(ROW(),2)=1</formula>
    </cfRule>
  </conditionalFormatting>
  <conditionalFormatting sqref="Y20">
    <cfRule type="expression" dxfId="3121" priority="1375">
      <formula>MOD(ROW(),2)=1</formula>
    </cfRule>
  </conditionalFormatting>
  <conditionalFormatting sqref="Y24">
    <cfRule type="expression" dxfId="3120" priority="1374">
      <formula>MOD(ROW(),2)=1</formula>
    </cfRule>
  </conditionalFormatting>
  <conditionalFormatting sqref="Y28">
    <cfRule type="expression" dxfId="3119" priority="1373">
      <formula>MOD(ROW(),2)=1</formula>
    </cfRule>
  </conditionalFormatting>
  <conditionalFormatting sqref="Y32">
    <cfRule type="expression" dxfId="3118" priority="1372">
      <formula>MOD(ROW(),2)=1</formula>
    </cfRule>
  </conditionalFormatting>
  <conditionalFormatting sqref="Y36">
    <cfRule type="expression" dxfId="3117" priority="1371">
      <formula>MOD(ROW(),2)=1</formula>
    </cfRule>
  </conditionalFormatting>
  <conditionalFormatting sqref="Y40">
    <cfRule type="expression" dxfId="3116" priority="1370">
      <formula>MOD(ROW(),2)=1</formula>
    </cfRule>
  </conditionalFormatting>
  <conditionalFormatting sqref="Y42">
    <cfRule type="expression" dxfId="3115" priority="1369">
      <formula>MOD(ROW(),2)=1</formula>
    </cfRule>
  </conditionalFormatting>
  <conditionalFormatting sqref="Y46">
    <cfRule type="expression" dxfId="3114" priority="1368">
      <formula>MOD(ROW(),2)=1</formula>
    </cfRule>
  </conditionalFormatting>
  <conditionalFormatting sqref="Y52">
    <cfRule type="expression" dxfId="3113" priority="1367">
      <formula>MOD(ROW(),2)=1</formula>
    </cfRule>
  </conditionalFormatting>
  <conditionalFormatting sqref="Y56">
    <cfRule type="expression" dxfId="3112" priority="1366">
      <formula>MOD(ROW(),2)=1</formula>
    </cfRule>
  </conditionalFormatting>
  <conditionalFormatting sqref="Y60">
    <cfRule type="expression" dxfId="3111" priority="1365">
      <formula>MOD(ROW(),2)=1</formula>
    </cfRule>
  </conditionalFormatting>
  <conditionalFormatting sqref="Y64">
    <cfRule type="expression" dxfId="3110" priority="1364">
      <formula>MOD(ROW(),2)=1</formula>
    </cfRule>
  </conditionalFormatting>
  <conditionalFormatting sqref="Y68">
    <cfRule type="expression" dxfId="3109" priority="1363">
      <formula>MOD(ROW(),2)=1</formula>
    </cfRule>
  </conditionalFormatting>
  <conditionalFormatting sqref="Y76">
    <cfRule type="expression" dxfId="3108" priority="1359">
      <formula>MOD(ROW(),2)=1</formula>
    </cfRule>
  </conditionalFormatting>
  <conditionalFormatting sqref="Y80">
    <cfRule type="expression" dxfId="3107" priority="1358">
      <formula>MOD(ROW(),2)=1</formula>
    </cfRule>
  </conditionalFormatting>
  <conditionalFormatting sqref="Y72">
    <cfRule type="expression" dxfId="3106" priority="1356">
      <formula>MOD(ROW(),2)=1</formula>
    </cfRule>
  </conditionalFormatting>
  <conditionalFormatting sqref="Y84">
    <cfRule type="expression" dxfId="3105" priority="1353">
      <formula>MOD(ROW(),2)=1</formula>
    </cfRule>
  </conditionalFormatting>
  <conditionalFormatting sqref="Y88">
    <cfRule type="expression" dxfId="3104" priority="1351">
      <formula>MOD(ROW(),2)=1</formula>
    </cfRule>
  </conditionalFormatting>
  <conditionalFormatting sqref="Y92">
    <cfRule type="expression" dxfId="3103" priority="1350">
      <formula>MOD(ROW(),2)=1</formula>
    </cfRule>
  </conditionalFormatting>
  <conditionalFormatting sqref="Y96">
    <cfRule type="expression" dxfId="3102" priority="1349">
      <formula>MOD(ROW(),2)=1</formula>
    </cfRule>
  </conditionalFormatting>
  <conditionalFormatting sqref="Y100">
    <cfRule type="expression" dxfId="3101" priority="1348">
      <formula>MOD(ROW(),2)=1</formula>
    </cfRule>
  </conditionalFormatting>
  <conditionalFormatting sqref="Y102">
    <cfRule type="expression" dxfId="3100" priority="1347">
      <formula>MOD(ROW(),2)=1</formula>
    </cfRule>
  </conditionalFormatting>
  <conditionalFormatting sqref="Y106">
    <cfRule type="expression" dxfId="3099" priority="1346">
      <formula>MOD(ROW(),2)=1</formula>
    </cfRule>
  </conditionalFormatting>
  <conditionalFormatting sqref="Y110">
    <cfRule type="expression" dxfId="3098" priority="1345">
      <formula>MOD(ROW(),2)=1</formula>
    </cfRule>
  </conditionalFormatting>
  <conditionalFormatting sqref="Y114">
    <cfRule type="expression" dxfId="3097" priority="1344">
      <formula>MOD(ROW(),2)=1</formula>
    </cfRule>
  </conditionalFormatting>
  <conditionalFormatting sqref="Y118">
    <cfRule type="expression" dxfId="3096" priority="1343">
      <formula>MOD(ROW(),2)=1</formula>
    </cfRule>
  </conditionalFormatting>
  <conditionalFormatting sqref="Y122">
    <cfRule type="expression" dxfId="3095" priority="1342">
      <formula>MOD(ROW(),2)=1</formula>
    </cfRule>
  </conditionalFormatting>
  <conditionalFormatting sqref="Y126">
    <cfRule type="expression" dxfId="3094" priority="1341">
      <formula>MOD(ROW(),2)=1</formula>
    </cfRule>
  </conditionalFormatting>
  <conditionalFormatting sqref="Y130">
    <cfRule type="expression" dxfId="3093" priority="1340">
      <formula>MOD(ROW(),2)=1</formula>
    </cfRule>
  </conditionalFormatting>
  <conditionalFormatting sqref="Y134">
    <cfRule type="expression" dxfId="3092" priority="1339">
      <formula>MOD(ROW(),2)=1</formula>
    </cfRule>
  </conditionalFormatting>
  <conditionalFormatting sqref="Y138">
    <cfRule type="expression" dxfId="3091" priority="1338">
      <formula>MOD(ROW(),2)=1</formula>
    </cfRule>
  </conditionalFormatting>
  <conditionalFormatting sqref="Y152">
    <cfRule type="expression" dxfId="3090" priority="1334">
      <formula>MOD(ROW(),2)=1</formula>
    </cfRule>
  </conditionalFormatting>
  <conditionalFormatting sqref="Y156">
    <cfRule type="expression" dxfId="3089" priority="1333">
      <formula>MOD(ROW(),2)=1</formula>
    </cfRule>
  </conditionalFormatting>
  <conditionalFormatting sqref="Y160">
    <cfRule type="expression" dxfId="3088" priority="1332">
      <formula>MOD(ROW(),2)=1</formula>
    </cfRule>
  </conditionalFormatting>
  <conditionalFormatting sqref="Y164">
    <cfRule type="expression" dxfId="3087" priority="1331">
      <formula>MOD(ROW(),2)=1</formula>
    </cfRule>
  </conditionalFormatting>
  <conditionalFormatting sqref="Y174">
    <cfRule type="expression" dxfId="3086" priority="1330">
      <formula>MOD(ROW(),2)=1</formula>
    </cfRule>
  </conditionalFormatting>
  <conditionalFormatting sqref="Y178">
    <cfRule type="expression" dxfId="3085" priority="1329">
      <formula>MOD(ROW(),2)=1</formula>
    </cfRule>
  </conditionalFormatting>
  <conditionalFormatting sqref="Y182">
    <cfRule type="expression" dxfId="3084" priority="1328">
      <formula>MOD(ROW(),2)=1</formula>
    </cfRule>
  </conditionalFormatting>
  <conditionalFormatting sqref="Y186">
    <cfRule type="expression" dxfId="3083" priority="1327">
      <formula>MOD(ROW(),2)=1</formula>
    </cfRule>
  </conditionalFormatting>
  <conditionalFormatting sqref="Y190">
    <cfRule type="expression" dxfId="3082" priority="1326">
      <formula>MOD(ROW(),2)=1</formula>
    </cfRule>
  </conditionalFormatting>
  <conditionalFormatting sqref="Y200">
    <cfRule type="expression" dxfId="3081" priority="1325">
      <formula>MOD(ROW(),2)=1</formula>
    </cfRule>
  </conditionalFormatting>
  <conditionalFormatting sqref="Y204">
    <cfRule type="expression" dxfId="3080" priority="1324">
      <formula>MOD(ROW(),2)=1</formula>
    </cfRule>
  </conditionalFormatting>
  <conditionalFormatting sqref="Y208">
    <cfRule type="expression" dxfId="3079" priority="1323">
      <formula>MOD(ROW(),2)=1</formula>
    </cfRule>
  </conditionalFormatting>
  <conditionalFormatting sqref="Y212">
    <cfRule type="expression" dxfId="3078" priority="1322">
      <formula>MOD(ROW(),2)=1</formula>
    </cfRule>
  </conditionalFormatting>
  <conditionalFormatting sqref="Y214">
    <cfRule type="expression" dxfId="3077" priority="1321">
      <formula>MOD(ROW(),2)=1</formula>
    </cfRule>
  </conditionalFormatting>
  <conditionalFormatting sqref="Y218">
    <cfRule type="expression" dxfId="3076" priority="1320">
      <formula>MOD(ROW(),2)=1</formula>
    </cfRule>
  </conditionalFormatting>
  <conditionalFormatting sqref="Y222">
    <cfRule type="expression" dxfId="3075" priority="1319">
      <formula>MOD(ROW(),2)=1</formula>
    </cfRule>
  </conditionalFormatting>
  <conditionalFormatting sqref="Y228">
    <cfRule type="expression" dxfId="3074" priority="1318">
      <formula>MOD(ROW(),2)=1</formula>
    </cfRule>
  </conditionalFormatting>
  <conditionalFormatting sqref="Y232">
    <cfRule type="expression" dxfId="3073" priority="1317">
      <formula>MOD(ROW(),2)=1</formula>
    </cfRule>
  </conditionalFormatting>
  <conditionalFormatting sqref="Y236">
    <cfRule type="expression" dxfId="3072" priority="1316">
      <formula>MOD(ROW(),2)=1</formula>
    </cfRule>
  </conditionalFormatting>
  <conditionalFormatting sqref="Y240">
    <cfRule type="expression" dxfId="3071" priority="1315">
      <formula>MOD(ROW(),2)=1</formula>
    </cfRule>
  </conditionalFormatting>
  <conditionalFormatting sqref="Y244">
    <cfRule type="expression" dxfId="3070" priority="1314">
      <formula>MOD(ROW(),2)=1</formula>
    </cfRule>
  </conditionalFormatting>
  <conditionalFormatting sqref="Y248">
    <cfRule type="expression" dxfId="3069" priority="1313">
      <formula>MOD(ROW(),2)=1</formula>
    </cfRule>
  </conditionalFormatting>
  <conditionalFormatting sqref="Y252">
    <cfRule type="expression" dxfId="3068" priority="1312">
      <formula>MOD(ROW(),2)=1</formula>
    </cfRule>
  </conditionalFormatting>
  <conditionalFormatting sqref="Y256">
    <cfRule type="expression" dxfId="3067" priority="1311">
      <formula>MOD(ROW(),2)=1</formula>
    </cfRule>
  </conditionalFormatting>
  <conditionalFormatting sqref="Y260">
    <cfRule type="expression" dxfId="3066" priority="1310">
      <formula>MOD(ROW(),2)=1</formula>
    </cfRule>
  </conditionalFormatting>
  <conditionalFormatting sqref="Y264">
    <cfRule type="expression" dxfId="3065" priority="1309">
      <formula>MOD(ROW(),2)=1</formula>
    </cfRule>
  </conditionalFormatting>
  <conditionalFormatting sqref="Y268">
    <cfRule type="expression" dxfId="3064" priority="1308">
      <formula>MOD(ROW(),2)=1</formula>
    </cfRule>
  </conditionalFormatting>
  <conditionalFormatting sqref="Y272">
    <cfRule type="expression" dxfId="3063" priority="1307">
      <formula>MOD(ROW(),2)=1</formula>
    </cfRule>
  </conditionalFormatting>
  <conditionalFormatting sqref="Y276">
    <cfRule type="expression" dxfId="3062" priority="1306">
      <formula>MOD(ROW(),2)=1</formula>
    </cfRule>
  </conditionalFormatting>
  <conditionalFormatting sqref="Y280">
    <cfRule type="expression" dxfId="3061" priority="1305">
      <formula>MOD(ROW(),2)=1</formula>
    </cfRule>
  </conditionalFormatting>
  <conditionalFormatting sqref="Y284">
    <cfRule type="expression" dxfId="3060" priority="1304">
      <formula>MOD(ROW(),2)=1</formula>
    </cfRule>
  </conditionalFormatting>
  <conditionalFormatting sqref="Y288">
    <cfRule type="expression" dxfId="3059" priority="1303">
      <formula>MOD(ROW(),2)=1</formula>
    </cfRule>
  </conditionalFormatting>
  <conditionalFormatting sqref="Y292">
    <cfRule type="expression" dxfId="3058" priority="1302">
      <formula>MOD(ROW(),2)=1</formula>
    </cfRule>
  </conditionalFormatting>
  <conditionalFormatting sqref="Y296">
    <cfRule type="expression" dxfId="3057" priority="1301">
      <formula>MOD(ROW(),2)=1</formula>
    </cfRule>
  </conditionalFormatting>
  <conditionalFormatting sqref="Y300">
    <cfRule type="expression" dxfId="3056" priority="1300">
      <formula>MOD(ROW(),2)=1</formula>
    </cfRule>
  </conditionalFormatting>
  <conditionalFormatting sqref="Y304">
    <cfRule type="expression" dxfId="3055" priority="1299">
      <formula>MOD(ROW(),2)=1</formula>
    </cfRule>
  </conditionalFormatting>
  <conditionalFormatting sqref="Y308">
    <cfRule type="expression" dxfId="3054" priority="1298">
      <formula>MOD(ROW(),2)=1</formula>
    </cfRule>
  </conditionalFormatting>
  <conditionalFormatting sqref="Y312">
    <cfRule type="expression" dxfId="3053" priority="1297">
      <formula>MOD(ROW(),2)=1</formula>
    </cfRule>
  </conditionalFormatting>
  <conditionalFormatting sqref="Y316">
    <cfRule type="expression" dxfId="3052" priority="1296">
      <formula>MOD(ROW(),2)=1</formula>
    </cfRule>
  </conditionalFormatting>
  <conditionalFormatting sqref="Y320">
    <cfRule type="expression" dxfId="3051" priority="1295">
      <formula>MOD(ROW(),2)=1</formula>
    </cfRule>
  </conditionalFormatting>
  <conditionalFormatting sqref="Y324">
    <cfRule type="expression" dxfId="3050" priority="1294">
      <formula>MOD(ROW(),2)=1</formula>
    </cfRule>
  </conditionalFormatting>
  <conditionalFormatting sqref="Y338">
    <cfRule type="expression" dxfId="3049" priority="1293">
      <formula>MOD(ROW(),2)=1</formula>
    </cfRule>
  </conditionalFormatting>
  <conditionalFormatting sqref="Y342">
    <cfRule type="expression" dxfId="3048" priority="1292">
      <formula>MOD(ROW(),2)=1</formula>
    </cfRule>
  </conditionalFormatting>
  <conditionalFormatting sqref="Y346">
    <cfRule type="expression" dxfId="3047" priority="1291">
      <formula>MOD(ROW(),2)=1</formula>
    </cfRule>
  </conditionalFormatting>
  <conditionalFormatting sqref="Y350">
    <cfRule type="expression" dxfId="3046" priority="1290">
      <formula>MOD(ROW(),2)=1</formula>
    </cfRule>
  </conditionalFormatting>
  <conditionalFormatting sqref="Y354">
    <cfRule type="expression" dxfId="3045" priority="1289">
      <formula>MOD(ROW(),2)=1</formula>
    </cfRule>
  </conditionalFormatting>
  <conditionalFormatting sqref="Y358">
    <cfRule type="expression" dxfId="3044" priority="1288">
      <formula>MOD(ROW(),2)=1</formula>
    </cfRule>
  </conditionalFormatting>
  <conditionalFormatting sqref="Y394">
    <cfRule type="expression" dxfId="3043" priority="1277">
      <formula>MOD(ROW(),2)=1</formula>
    </cfRule>
  </conditionalFormatting>
  <conditionalFormatting sqref="Y398">
    <cfRule type="expression" dxfId="3042" priority="1276">
      <formula>MOD(ROW(),2)=1</formula>
    </cfRule>
  </conditionalFormatting>
  <conditionalFormatting sqref="Y402">
    <cfRule type="expression" dxfId="3041" priority="1273">
      <formula>MOD(ROW(),2)=1</formula>
    </cfRule>
  </conditionalFormatting>
  <conditionalFormatting sqref="Y406">
    <cfRule type="expression" dxfId="3040" priority="1272">
      <formula>MOD(ROW(),2)=1</formula>
    </cfRule>
  </conditionalFormatting>
  <conditionalFormatting sqref="Y434">
    <cfRule type="expression" dxfId="3039" priority="1271">
      <formula>MOD(ROW(),2)=1</formula>
    </cfRule>
  </conditionalFormatting>
  <conditionalFormatting sqref="Y438">
    <cfRule type="expression" dxfId="3038" priority="1270">
      <formula>MOD(ROW(),2)=1</formula>
    </cfRule>
  </conditionalFormatting>
  <conditionalFormatting sqref="Y442">
    <cfRule type="expression" dxfId="3037" priority="1269">
      <formula>MOD(ROW(),2)=1</formula>
    </cfRule>
  </conditionalFormatting>
  <conditionalFormatting sqref="Y446">
    <cfRule type="expression" dxfId="3036" priority="1268">
      <formula>MOD(ROW(),2)=1</formula>
    </cfRule>
  </conditionalFormatting>
  <conditionalFormatting sqref="Y450">
    <cfRule type="expression" dxfId="3035" priority="1267">
      <formula>MOD(ROW(),2)=1</formula>
    </cfRule>
  </conditionalFormatting>
  <conditionalFormatting sqref="Y454">
    <cfRule type="expression" dxfId="3034" priority="1266">
      <formula>MOD(ROW(),2)=1</formula>
    </cfRule>
  </conditionalFormatting>
  <conditionalFormatting sqref="Y458">
    <cfRule type="expression" dxfId="3033" priority="1265">
      <formula>MOD(ROW(),2)=1</formula>
    </cfRule>
  </conditionalFormatting>
  <conditionalFormatting sqref="Y462">
    <cfRule type="expression" dxfId="3032" priority="1264">
      <formula>MOD(ROW(),2)=1</formula>
    </cfRule>
  </conditionalFormatting>
  <conditionalFormatting sqref="Y466">
    <cfRule type="expression" dxfId="3031" priority="1263">
      <formula>MOD(ROW(),2)=1</formula>
    </cfRule>
  </conditionalFormatting>
  <conditionalFormatting sqref="Y472">
    <cfRule type="expression" dxfId="3030" priority="1262">
      <formula>MOD(ROW(),2)=1</formula>
    </cfRule>
  </conditionalFormatting>
  <conditionalFormatting sqref="Y470">
    <cfRule type="expression" dxfId="3029" priority="1261">
      <formula>MOD(ROW(),2)=1</formula>
    </cfRule>
  </conditionalFormatting>
  <conditionalFormatting sqref="Y486">
    <cfRule type="expression" dxfId="3028" priority="1259">
      <formula>MOD(ROW(),2)=1</formula>
    </cfRule>
  </conditionalFormatting>
  <conditionalFormatting sqref="Y490">
    <cfRule type="expression" dxfId="3027" priority="1258">
      <formula>MOD(ROW(),2)=1</formula>
    </cfRule>
  </conditionalFormatting>
  <conditionalFormatting sqref="Y498">
    <cfRule type="expression" dxfId="3026" priority="1257">
      <formula>MOD(ROW(),2)=1</formula>
    </cfRule>
  </conditionalFormatting>
  <conditionalFormatting sqref="Y502">
    <cfRule type="expression" dxfId="3025" priority="1256">
      <formula>MOD(ROW(),2)=1</formula>
    </cfRule>
  </conditionalFormatting>
  <conditionalFormatting sqref="Y506">
    <cfRule type="expression" dxfId="3024" priority="1255">
      <formula>MOD(ROW(),2)=1</formula>
    </cfRule>
  </conditionalFormatting>
  <conditionalFormatting sqref="Y510">
    <cfRule type="expression" dxfId="3023" priority="1254">
      <formula>MOD(ROW(),2)=1</formula>
    </cfRule>
  </conditionalFormatting>
  <conditionalFormatting sqref="Y516">
    <cfRule type="expression" dxfId="3022" priority="1253">
      <formula>MOD(ROW(),2)=1</formula>
    </cfRule>
  </conditionalFormatting>
  <conditionalFormatting sqref="Y520">
    <cfRule type="expression" dxfId="3021" priority="1252">
      <formula>MOD(ROW(),2)=1</formula>
    </cfRule>
  </conditionalFormatting>
  <conditionalFormatting sqref="Y524">
    <cfRule type="expression" dxfId="3020" priority="1251">
      <formula>MOD(ROW(),2)=1</formula>
    </cfRule>
  </conditionalFormatting>
  <conditionalFormatting sqref="Y528">
    <cfRule type="expression" dxfId="3019" priority="1250">
      <formula>MOD(ROW(),2)=1</formula>
    </cfRule>
  </conditionalFormatting>
  <conditionalFormatting sqref="Y532">
    <cfRule type="expression" dxfId="3018" priority="1249">
      <formula>MOD(ROW(),2)=1</formula>
    </cfRule>
  </conditionalFormatting>
  <conditionalFormatting sqref="Y536">
    <cfRule type="expression" dxfId="3017" priority="1248">
      <formula>MOD(ROW(),2)=1</formula>
    </cfRule>
  </conditionalFormatting>
  <conditionalFormatting sqref="Y540">
    <cfRule type="expression" dxfId="3016" priority="1247">
      <formula>MOD(ROW(),2)=1</formula>
    </cfRule>
  </conditionalFormatting>
  <conditionalFormatting sqref="Y544">
    <cfRule type="expression" dxfId="3015" priority="1246">
      <formula>MOD(ROW(),2)=1</formula>
    </cfRule>
  </conditionalFormatting>
  <conditionalFormatting sqref="Y548">
    <cfRule type="expression" dxfId="3014" priority="1245">
      <formula>MOD(ROW(),2)=1</formula>
    </cfRule>
  </conditionalFormatting>
  <conditionalFormatting sqref="Y552">
    <cfRule type="expression" dxfId="3013" priority="1244">
      <formula>MOD(ROW(),2)=1</formula>
    </cfRule>
  </conditionalFormatting>
  <conditionalFormatting sqref="Y554">
    <cfRule type="expression" dxfId="3012" priority="1243">
      <formula>MOD(ROW(),2)=1</formula>
    </cfRule>
  </conditionalFormatting>
  <conditionalFormatting sqref="Y558">
    <cfRule type="expression" dxfId="3011" priority="1242">
      <formula>MOD(ROW(),2)=1</formula>
    </cfRule>
  </conditionalFormatting>
  <conditionalFormatting sqref="Y562">
    <cfRule type="expression" dxfId="3010" priority="1241">
      <formula>MOD(ROW(),2)=1</formula>
    </cfRule>
  </conditionalFormatting>
  <conditionalFormatting sqref="Y566">
    <cfRule type="expression" dxfId="3009" priority="1240">
      <formula>MOD(ROW(),2)=1</formula>
    </cfRule>
  </conditionalFormatting>
  <conditionalFormatting sqref="Y568">
    <cfRule type="expression" dxfId="3008" priority="1239">
      <formula>MOD(ROW(),2)=1</formula>
    </cfRule>
  </conditionalFormatting>
  <conditionalFormatting sqref="Y584">
    <cfRule type="expression" dxfId="3007" priority="1238">
      <formula>MOD(ROW(),2)=1</formula>
    </cfRule>
  </conditionalFormatting>
  <conditionalFormatting sqref="Y572">
    <cfRule type="expression" dxfId="3006" priority="1237">
      <formula>MOD(ROW(),2)=1</formula>
    </cfRule>
  </conditionalFormatting>
  <conditionalFormatting sqref="Y576">
    <cfRule type="expression" dxfId="3005" priority="1236">
      <formula>MOD(ROW(),2)=1</formula>
    </cfRule>
  </conditionalFormatting>
  <conditionalFormatting sqref="Y580">
    <cfRule type="expression" dxfId="3004" priority="1235">
      <formula>MOD(ROW(),2)=1</formula>
    </cfRule>
  </conditionalFormatting>
  <conditionalFormatting sqref="Y588">
    <cfRule type="expression" dxfId="3003" priority="1234">
      <formula>MOD(ROW(),2)=1</formula>
    </cfRule>
  </conditionalFormatting>
  <conditionalFormatting sqref="Y592">
    <cfRule type="expression" dxfId="3002" priority="1233">
      <formula>MOD(ROW(),2)=1</formula>
    </cfRule>
  </conditionalFormatting>
  <conditionalFormatting sqref="Y604">
    <cfRule type="expression" dxfId="3001" priority="1232">
      <formula>MOD(ROW(),2)=1</formula>
    </cfRule>
  </conditionalFormatting>
  <conditionalFormatting sqref="Y608">
    <cfRule type="expression" dxfId="3000" priority="1231">
      <formula>MOD(ROW(),2)=1</formula>
    </cfRule>
  </conditionalFormatting>
  <conditionalFormatting sqref="Y612">
    <cfRule type="expression" dxfId="2999" priority="1230">
      <formula>MOD(ROW(),2)=1</formula>
    </cfRule>
  </conditionalFormatting>
  <conditionalFormatting sqref="Y616">
    <cfRule type="expression" dxfId="2998" priority="1229">
      <formula>MOD(ROW(),2)=1</formula>
    </cfRule>
  </conditionalFormatting>
  <conditionalFormatting sqref="Y620">
    <cfRule type="expression" dxfId="2997" priority="1228">
      <formula>MOD(ROW(),2)=1</formula>
    </cfRule>
  </conditionalFormatting>
  <conditionalFormatting sqref="Y624">
    <cfRule type="expression" dxfId="2996" priority="1227">
      <formula>MOD(ROW(),2)=1</formula>
    </cfRule>
  </conditionalFormatting>
  <conditionalFormatting sqref="Y628">
    <cfRule type="expression" dxfId="2995" priority="1226">
      <formula>MOD(ROW(),2)=1</formula>
    </cfRule>
  </conditionalFormatting>
  <conditionalFormatting sqref="Y632">
    <cfRule type="expression" dxfId="2994" priority="1225">
      <formula>MOD(ROW(),2)=1</formula>
    </cfRule>
  </conditionalFormatting>
  <conditionalFormatting sqref="Y642">
    <cfRule type="expression" dxfId="2993" priority="1224">
      <formula>MOD(ROW(),2)=1</formula>
    </cfRule>
  </conditionalFormatting>
  <conditionalFormatting sqref="Y646">
    <cfRule type="expression" dxfId="2992" priority="1223">
      <formula>MOD(ROW(),2)=1</formula>
    </cfRule>
  </conditionalFormatting>
  <conditionalFormatting sqref="Y650">
    <cfRule type="expression" dxfId="2991" priority="1222">
      <formula>MOD(ROW(),2)=1</formula>
    </cfRule>
  </conditionalFormatting>
  <conditionalFormatting sqref="Y662">
    <cfRule type="expression" dxfId="2990" priority="1220">
      <formula>MOD(ROW(),2)=1</formula>
    </cfRule>
  </conditionalFormatting>
  <conditionalFormatting sqref="Y666">
    <cfRule type="expression" dxfId="2989" priority="1219">
      <formula>MOD(ROW(),2)=1</formula>
    </cfRule>
  </conditionalFormatting>
  <conditionalFormatting sqref="Y680">
    <cfRule type="expression" dxfId="2988" priority="1218">
      <formula>MOD(ROW(),2)=1</formula>
    </cfRule>
  </conditionalFormatting>
  <conditionalFormatting sqref="Y672">
    <cfRule type="expression" dxfId="2987" priority="1215">
      <formula>MOD(ROW(),2)=1</formula>
    </cfRule>
  </conditionalFormatting>
  <conditionalFormatting sqref="Y696">
    <cfRule type="expression" dxfId="2986" priority="1214">
      <formula>MOD(ROW(),2)=1</formula>
    </cfRule>
  </conditionalFormatting>
  <conditionalFormatting sqref="Y716">
    <cfRule type="expression" dxfId="2985" priority="1213">
      <formula>MOD(ROW(),2)=1</formula>
    </cfRule>
  </conditionalFormatting>
  <conditionalFormatting sqref="Y724">
    <cfRule type="expression" dxfId="2984" priority="1211">
      <formula>MOD(ROW(),2)=1</formula>
    </cfRule>
  </conditionalFormatting>
  <conditionalFormatting sqref="Y728">
    <cfRule type="expression" dxfId="2983" priority="1210">
      <formula>MOD(ROW(),2)=1</formula>
    </cfRule>
  </conditionalFormatting>
  <conditionalFormatting sqref="Y732">
    <cfRule type="expression" dxfId="2982" priority="1209">
      <formula>MOD(ROW(),2)=1</formula>
    </cfRule>
  </conditionalFormatting>
  <conditionalFormatting sqref="Y752">
    <cfRule type="expression" dxfId="2981" priority="1206">
      <formula>MOD(ROW(),2)=1</formula>
    </cfRule>
  </conditionalFormatting>
  <conditionalFormatting sqref="Y756">
    <cfRule type="expression" dxfId="2980" priority="1205">
      <formula>MOD(ROW(),2)=1</formula>
    </cfRule>
  </conditionalFormatting>
  <conditionalFormatting sqref="Y760">
    <cfRule type="expression" dxfId="2979" priority="1204">
      <formula>MOD(ROW(),2)=1</formula>
    </cfRule>
  </conditionalFormatting>
  <conditionalFormatting sqref="Y764">
    <cfRule type="expression" dxfId="2978" priority="1203">
      <formula>MOD(ROW(),2)=1</formula>
    </cfRule>
  </conditionalFormatting>
  <conditionalFormatting sqref="Y774">
    <cfRule type="expression" dxfId="2977" priority="1200">
      <formula>MOD(ROW(),2)=1</formula>
    </cfRule>
  </conditionalFormatting>
  <conditionalFormatting sqref="Y778">
    <cfRule type="expression" dxfId="2976" priority="1199">
      <formula>MOD(ROW(),2)=1</formula>
    </cfRule>
  </conditionalFormatting>
  <conditionalFormatting sqref="Y786">
    <cfRule type="expression" dxfId="2975" priority="1198">
      <formula>MOD(ROW(),2)=1</formula>
    </cfRule>
  </conditionalFormatting>
  <conditionalFormatting sqref="Y790">
    <cfRule type="expression" dxfId="2974" priority="1197">
      <formula>MOD(ROW(),2)=1</formula>
    </cfRule>
  </conditionalFormatting>
  <conditionalFormatting sqref="Y796">
    <cfRule type="expression" dxfId="2973" priority="1196">
      <formula>MOD(ROW(),2)=1</formula>
    </cfRule>
  </conditionalFormatting>
  <conditionalFormatting sqref="Y800">
    <cfRule type="expression" dxfId="2972" priority="1195">
      <formula>MOD(ROW(),2)=1</formula>
    </cfRule>
  </conditionalFormatting>
  <conditionalFormatting sqref="Y804">
    <cfRule type="expression" dxfId="2971" priority="1194">
      <formula>MOD(ROW(),2)=1</formula>
    </cfRule>
  </conditionalFormatting>
  <conditionalFormatting sqref="Y822">
    <cfRule type="expression" dxfId="2970" priority="1192">
      <formula>MOD(ROW(),2)=1</formula>
    </cfRule>
  </conditionalFormatting>
  <conditionalFormatting sqref="Y826">
    <cfRule type="expression" dxfId="2969" priority="1191">
      <formula>MOD(ROW(),2)=1</formula>
    </cfRule>
  </conditionalFormatting>
  <conditionalFormatting sqref="Y830">
    <cfRule type="expression" dxfId="2968" priority="1190">
      <formula>MOD(ROW(),2)=1</formula>
    </cfRule>
  </conditionalFormatting>
  <conditionalFormatting sqref="Y834">
    <cfRule type="expression" dxfId="2967" priority="1189">
      <formula>MOD(ROW(),2)=1</formula>
    </cfRule>
  </conditionalFormatting>
  <conditionalFormatting sqref="Y838">
    <cfRule type="expression" dxfId="2966" priority="1188">
      <formula>MOD(ROW(),2)=1</formula>
    </cfRule>
  </conditionalFormatting>
  <conditionalFormatting sqref="Y842">
    <cfRule type="expression" dxfId="2965" priority="1187">
      <formula>MOD(ROW(),2)=1</formula>
    </cfRule>
  </conditionalFormatting>
  <conditionalFormatting sqref="Y846">
    <cfRule type="expression" dxfId="2964" priority="1186">
      <formula>MOD(ROW(),2)=1</formula>
    </cfRule>
  </conditionalFormatting>
  <conditionalFormatting sqref="Y850">
    <cfRule type="expression" dxfId="2963" priority="1185">
      <formula>MOD(ROW(),2)=1</formula>
    </cfRule>
  </conditionalFormatting>
  <conditionalFormatting sqref="Y854">
    <cfRule type="expression" dxfId="2962" priority="1184">
      <formula>MOD(ROW(),2)=1</formula>
    </cfRule>
  </conditionalFormatting>
  <conditionalFormatting sqref="Y858">
    <cfRule type="expression" dxfId="2961" priority="1183">
      <formula>MOD(ROW(),2)=1</formula>
    </cfRule>
  </conditionalFormatting>
  <conditionalFormatting sqref="Y862">
    <cfRule type="expression" dxfId="2960" priority="1182">
      <formula>MOD(ROW(),2)=1</formula>
    </cfRule>
  </conditionalFormatting>
  <conditionalFormatting sqref="Y870">
    <cfRule type="expression" dxfId="2959" priority="1181">
      <formula>MOD(ROW(),2)=1</formula>
    </cfRule>
  </conditionalFormatting>
  <conditionalFormatting sqref="Y874">
    <cfRule type="expression" dxfId="2958" priority="1180">
      <formula>MOD(ROW(),2)=1</formula>
    </cfRule>
  </conditionalFormatting>
  <conditionalFormatting sqref="Y878">
    <cfRule type="expression" dxfId="2957" priority="1179">
      <formula>MOD(ROW(),2)=1</formula>
    </cfRule>
  </conditionalFormatting>
  <conditionalFormatting sqref="Y916">
    <cfRule type="expression" dxfId="2956" priority="1178">
      <formula>MOD(ROW(),2)=1</formula>
    </cfRule>
  </conditionalFormatting>
  <conditionalFormatting sqref="Y920">
    <cfRule type="expression" dxfId="2955" priority="1177">
      <formula>MOD(ROW(),2)=1</formula>
    </cfRule>
  </conditionalFormatting>
  <conditionalFormatting sqref="Y924">
    <cfRule type="expression" dxfId="2954" priority="1176">
      <formula>MOD(ROW(),2)=1</formula>
    </cfRule>
  </conditionalFormatting>
  <conditionalFormatting sqref="Y928">
    <cfRule type="expression" dxfId="2953" priority="1175">
      <formula>MOD(ROW(),2)=1</formula>
    </cfRule>
  </conditionalFormatting>
  <conditionalFormatting sqref="Y936">
    <cfRule type="expression" dxfId="2952" priority="1174">
      <formula>MOD(ROW(),2)=1</formula>
    </cfRule>
  </conditionalFormatting>
  <conditionalFormatting sqref="Y942">
    <cfRule type="expression" dxfId="2951" priority="1173">
      <formula>MOD(ROW(),2)=1</formula>
    </cfRule>
  </conditionalFormatting>
  <conditionalFormatting sqref="Y946">
    <cfRule type="expression" dxfId="2950" priority="1172">
      <formula>MOD(ROW(),2)=1</formula>
    </cfRule>
  </conditionalFormatting>
  <conditionalFormatting sqref="Y964">
    <cfRule type="expression" dxfId="2949" priority="1171">
      <formula>MOD(ROW(),2)=1</formula>
    </cfRule>
  </conditionalFormatting>
  <conditionalFormatting sqref="Y968">
    <cfRule type="expression" dxfId="2948" priority="1170">
      <formula>MOD(ROW(),2)=1</formula>
    </cfRule>
  </conditionalFormatting>
  <conditionalFormatting sqref="Y972">
    <cfRule type="expression" dxfId="2947" priority="1169">
      <formula>MOD(ROW(),2)=1</formula>
    </cfRule>
  </conditionalFormatting>
  <conditionalFormatting sqref="Y976">
    <cfRule type="expression" dxfId="2946" priority="1168">
      <formula>MOD(ROW(),2)=1</formula>
    </cfRule>
  </conditionalFormatting>
  <conditionalFormatting sqref="Y980">
    <cfRule type="expression" dxfId="2945" priority="1167">
      <formula>MOD(ROW(),2)=1</formula>
    </cfRule>
  </conditionalFormatting>
  <conditionalFormatting sqref="Y994">
    <cfRule type="expression" dxfId="2944" priority="1166">
      <formula>MOD(ROW(),2)=1</formula>
    </cfRule>
  </conditionalFormatting>
  <conditionalFormatting sqref="Y998">
    <cfRule type="expression" dxfId="2943" priority="1165">
      <formula>MOD(ROW(),2)=1</formula>
    </cfRule>
  </conditionalFormatting>
  <conditionalFormatting sqref="Y1002">
    <cfRule type="expression" dxfId="2942" priority="1164">
      <formula>MOD(ROW(),2)=1</formula>
    </cfRule>
  </conditionalFormatting>
  <conditionalFormatting sqref="Y1006">
    <cfRule type="expression" dxfId="2941" priority="1163">
      <formula>MOD(ROW(),2)=1</formula>
    </cfRule>
  </conditionalFormatting>
  <conditionalFormatting sqref="Y1022">
    <cfRule type="expression" dxfId="2940" priority="1162">
      <formula>MOD(ROW(),2)=1</formula>
    </cfRule>
  </conditionalFormatting>
  <conditionalFormatting sqref="Y1024">
    <cfRule type="expression" dxfId="2939" priority="1161">
      <formula>MOD(ROW(),2)=1</formula>
    </cfRule>
  </conditionalFormatting>
  <conditionalFormatting sqref="Y1026">
    <cfRule type="expression" dxfId="2938" priority="1160">
      <formula>MOD(ROW(),2)=1</formula>
    </cfRule>
  </conditionalFormatting>
  <conditionalFormatting sqref="Y1028">
    <cfRule type="expression" dxfId="2937" priority="1159">
      <formula>MOD(ROW(),2)=1</formula>
    </cfRule>
  </conditionalFormatting>
  <conditionalFormatting sqref="Y1030">
    <cfRule type="expression" dxfId="2936" priority="1158">
      <formula>MOD(ROW(),2)=1</formula>
    </cfRule>
  </conditionalFormatting>
  <conditionalFormatting sqref="Y1032">
    <cfRule type="expression" dxfId="2935" priority="1157">
      <formula>MOD(ROW(),2)=1</formula>
    </cfRule>
  </conditionalFormatting>
  <conditionalFormatting sqref="Y1034">
    <cfRule type="expression" dxfId="2934" priority="1156">
      <formula>MOD(ROW(),2)=1</formula>
    </cfRule>
  </conditionalFormatting>
  <conditionalFormatting sqref="Y1038">
    <cfRule type="expression" dxfId="2933" priority="1155">
      <formula>MOD(ROW(),2)=1</formula>
    </cfRule>
  </conditionalFormatting>
  <conditionalFormatting sqref="Y1042">
    <cfRule type="expression" dxfId="2932" priority="1154">
      <formula>MOD(ROW(),2)=1</formula>
    </cfRule>
  </conditionalFormatting>
  <conditionalFormatting sqref="Y1046">
    <cfRule type="expression" dxfId="2931" priority="1153">
      <formula>MOD(ROW(),2)=1</formula>
    </cfRule>
  </conditionalFormatting>
  <conditionalFormatting sqref="Y1050">
    <cfRule type="expression" dxfId="2930" priority="1152">
      <formula>MOD(ROW(),2)=1</formula>
    </cfRule>
  </conditionalFormatting>
  <conditionalFormatting sqref="Y1054">
    <cfRule type="expression" dxfId="2929" priority="1151">
      <formula>MOD(ROW(),2)=1</formula>
    </cfRule>
  </conditionalFormatting>
  <conditionalFormatting sqref="Y1058">
    <cfRule type="expression" dxfId="2928" priority="1150">
      <formula>MOD(ROW(),2)=1</formula>
    </cfRule>
  </conditionalFormatting>
  <conditionalFormatting sqref="Y1062">
    <cfRule type="expression" dxfId="2927" priority="1149">
      <formula>MOD(ROW(),2)=1</formula>
    </cfRule>
  </conditionalFormatting>
  <conditionalFormatting sqref="Y1068">
    <cfRule type="expression" dxfId="2926" priority="1148">
      <formula>MOD(ROW(),2)=1</formula>
    </cfRule>
  </conditionalFormatting>
  <conditionalFormatting sqref="Y1072">
    <cfRule type="expression" dxfId="2925" priority="1147">
      <formula>MOD(ROW(),2)=1</formula>
    </cfRule>
  </conditionalFormatting>
  <conditionalFormatting sqref="Y1076">
    <cfRule type="expression" dxfId="2924" priority="1146">
      <formula>MOD(ROW(),2)=1</formula>
    </cfRule>
  </conditionalFormatting>
  <conditionalFormatting sqref="Y1080">
    <cfRule type="expression" dxfId="2923" priority="1145">
      <formula>MOD(ROW(),2)=1</formula>
    </cfRule>
  </conditionalFormatting>
  <conditionalFormatting sqref="Y1084">
    <cfRule type="expression" dxfId="2922" priority="1144">
      <formula>MOD(ROW(),2)=1</formula>
    </cfRule>
  </conditionalFormatting>
  <conditionalFormatting sqref="Y1088">
    <cfRule type="expression" dxfId="2921" priority="1143">
      <formula>MOD(ROW(),2)=1</formula>
    </cfRule>
  </conditionalFormatting>
  <conditionalFormatting sqref="Y1092">
    <cfRule type="expression" dxfId="2920" priority="1142">
      <formula>MOD(ROW(),2)=1</formula>
    </cfRule>
  </conditionalFormatting>
  <conditionalFormatting sqref="Y1096">
    <cfRule type="expression" dxfId="2919" priority="1141">
      <formula>MOD(ROW(),2)=1</formula>
    </cfRule>
  </conditionalFormatting>
  <conditionalFormatting sqref="Y1100">
    <cfRule type="expression" dxfId="2918" priority="1140">
      <formula>MOD(ROW(),2)=1</formula>
    </cfRule>
  </conditionalFormatting>
  <conditionalFormatting sqref="Y1104">
    <cfRule type="expression" dxfId="2917" priority="1139">
      <formula>MOD(ROW(),2)=1</formula>
    </cfRule>
  </conditionalFormatting>
  <conditionalFormatting sqref="Y1108">
    <cfRule type="expression" dxfId="2916" priority="1138">
      <formula>MOD(ROW(),2)=1</formula>
    </cfRule>
  </conditionalFormatting>
  <conditionalFormatting sqref="Y1112">
    <cfRule type="expression" dxfId="2915" priority="1137">
      <formula>MOD(ROW(),2)=1</formula>
    </cfRule>
  </conditionalFormatting>
  <conditionalFormatting sqref="Y1116">
    <cfRule type="expression" dxfId="2914" priority="1136">
      <formula>MOD(ROW(),2)=1</formula>
    </cfRule>
  </conditionalFormatting>
  <conditionalFormatting sqref="Y1120">
    <cfRule type="expression" dxfId="2913" priority="1135">
      <formula>MOD(ROW(),2)=1</formula>
    </cfRule>
  </conditionalFormatting>
  <conditionalFormatting sqref="Y1124">
    <cfRule type="expression" dxfId="2912" priority="1134">
      <formula>MOD(ROW(),2)=1</formula>
    </cfRule>
  </conditionalFormatting>
  <conditionalFormatting sqref="Y1128">
    <cfRule type="expression" dxfId="2911" priority="1133">
      <formula>MOD(ROW(),2)=1</formula>
    </cfRule>
  </conditionalFormatting>
  <conditionalFormatting sqref="Y1132">
    <cfRule type="expression" dxfId="2910" priority="1132">
      <formula>MOD(ROW(),2)=1</formula>
    </cfRule>
  </conditionalFormatting>
  <conditionalFormatting sqref="Y1136">
    <cfRule type="expression" dxfId="2909" priority="1131">
      <formula>MOD(ROW(),2)=1</formula>
    </cfRule>
  </conditionalFormatting>
  <conditionalFormatting sqref="Y1140">
    <cfRule type="expression" dxfId="2908" priority="1130">
      <formula>MOD(ROW(),2)=1</formula>
    </cfRule>
  </conditionalFormatting>
  <conditionalFormatting sqref="Y1144">
    <cfRule type="expression" dxfId="2907" priority="1129">
      <formula>MOD(ROW(),2)=1</formula>
    </cfRule>
  </conditionalFormatting>
  <conditionalFormatting sqref="Y1148">
    <cfRule type="expression" dxfId="2906" priority="1128">
      <formula>MOD(ROW(),2)=1</formula>
    </cfRule>
  </conditionalFormatting>
  <conditionalFormatting sqref="Y1152">
    <cfRule type="expression" dxfId="2905" priority="1127">
      <formula>MOD(ROW(),2)=1</formula>
    </cfRule>
  </conditionalFormatting>
  <conditionalFormatting sqref="Y1156">
    <cfRule type="expression" dxfId="2904" priority="1126">
      <formula>MOD(ROW(),2)=1</formula>
    </cfRule>
  </conditionalFormatting>
  <conditionalFormatting sqref="Y1158">
    <cfRule type="expression" dxfId="2903" priority="1125">
      <formula>MOD(ROW(),2)=1</formula>
    </cfRule>
  </conditionalFormatting>
  <conditionalFormatting sqref="Y1162">
    <cfRule type="expression" dxfId="2902" priority="1124">
      <formula>MOD(ROW(),2)=1</formula>
    </cfRule>
  </conditionalFormatting>
  <conditionalFormatting sqref="Y1166">
    <cfRule type="expression" dxfId="2901" priority="1123">
      <formula>MOD(ROW(),2)=1</formula>
    </cfRule>
  </conditionalFormatting>
  <conditionalFormatting sqref="Y1170">
    <cfRule type="expression" dxfId="2900" priority="1122">
      <formula>MOD(ROW(),2)=1</formula>
    </cfRule>
  </conditionalFormatting>
  <conditionalFormatting sqref="Y1174">
    <cfRule type="expression" dxfId="2899" priority="1121">
      <formula>MOD(ROW(),2)=1</formula>
    </cfRule>
  </conditionalFormatting>
  <conditionalFormatting sqref="Y1178">
    <cfRule type="expression" dxfId="2898" priority="1120">
      <formula>MOD(ROW(),2)=1</formula>
    </cfRule>
  </conditionalFormatting>
  <conditionalFormatting sqref="Y1182">
    <cfRule type="expression" dxfId="2897" priority="1119">
      <formula>MOD(ROW(),2)=1</formula>
    </cfRule>
  </conditionalFormatting>
  <conditionalFormatting sqref="Y1186">
    <cfRule type="expression" dxfId="2896" priority="1118">
      <formula>MOD(ROW(),2)=1</formula>
    </cfRule>
  </conditionalFormatting>
  <conditionalFormatting sqref="Y1188">
    <cfRule type="expression" dxfId="2895" priority="1116">
      <formula>MOD(ROW(),2)=1</formula>
    </cfRule>
  </conditionalFormatting>
  <conditionalFormatting sqref="Y1192">
    <cfRule type="expression" dxfId="2894" priority="1115">
      <formula>MOD(ROW(),2)=1</formula>
    </cfRule>
  </conditionalFormatting>
  <conditionalFormatting sqref="Y1196">
    <cfRule type="expression" dxfId="2893" priority="1114">
      <formula>MOD(ROW(),2)=1</formula>
    </cfRule>
  </conditionalFormatting>
  <conditionalFormatting sqref="Y1200">
    <cfRule type="expression" dxfId="2892" priority="1113">
      <formula>MOD(ROW(),2)=1</formula>
    </cfRule>
  </conditionalFormatting>
  <conditionalFormatting sqref="Y1204">
    <cfRule type="expression" dxfId="2891" priority="1112">
      <formula>MOD(ROW(),2)=1</formula>
    </cfRule>
  </conditionalFormatting>
  <conditionalFormatting sqref="Y1208">
    <cfRule type="expression" dxfId="2890" priority="1111">
      <formula>MOD(ROW(),2)=1</formula>
    </cfRule>
  </conditionalFormatting>
  <conditionalFormatting sqref="Y1212">
    <cfRule type="expression" dxfId="2889" priority="1110">
      <formula>MOD(ROW(),2)=1</formula>
    </cfRule>
  </conditionalFormatting>
  <conditionalFormatting sqref="Y1216">
    <cfRule type="expression" dxfId="2888" priority="1109">
      <formula>MOD(ROW(),2)=1</formula>
    </cfRule>
  </conditionalFormatting>
  <conditionalFormatting sqref="Y1220">
    <cfRule type="expression" dxfId="2887" priority="1108">
      <formula>MOD(ROW(),2)=1</formula>
    </cfRule>
  </conditionalFormatting>
  <conditionalFormatting sqref="Y1224">
    <cfRule type="expression" dxfId="2886" priority="1107">
      <formula>MOD(ROW(),2)=1</formula>
    </cfRule>
  </conditionalFormatting>
  <conditionalFormatting sqref="Y1236">
    <cfRule type="expression" dxfId="2885" priority="1106">
      <formula>MOD(ROW(),2)=1</formula>
    </cfRule>
  </conditionalFormatting>
  <conditionalFormatting sqref="Y1256">
    <cfRule type="expression" dxfId="2884" priority="1098">
      <formula>MOD(ROW(),2)=1</formula>
    </cfRule>
  </conditionalFormatting>
  <conditionalFormatting sqref="Y1240">
    <cfRule type="expression" dxfId="2883" priority="1104">
      <formula>MOD(ROW(),2)=1</formula>
    </cfRule>
  </conditionalFormatting>
  <conditionalFormatting sqref="Y1264">
    <cfRule type="expression" dxfId="2882" priority="1096">
      <formula>MOD(ROW(),2)=1</formula>
    </cfRule>
  </conditionalFormatting>
  <conditionalFormatting sqref="Y1244">
    <cfRule type="expression" dxfId="2881" priority="1102">
      <formula>MOD(ROW(),2)=1</formula>
    </cfRule>
  </conditionalFormatting>
  <conditionalFormatting sqref="Y1276">
    <cfRule type="expression" dxfId="2880" priority="1094">
      <formula>MOD(ROW(),2)=1</formula>
    </cfRule>
  </conditionalFormatting>
  <conditionalFormatting sqref="Y1248">
    <cfRule type="expression" dxfId="2879" priority="1100">
      <formula>MOD(ROW(),2)=1</formula>
    </cfRule>
  </conditionalFormatting>
  <conditionalFormatting sqref="Y1252">
    <cfRule type="expression" dxfId="2878" priority="1099">
      <formula>MOD(ROW(),2)=1</formula>
    </cfRule>
  </conditionalFormatting>
  <conditionalFormatting sqref="Y1260">
    <cfRule type="expression" dxfId="2877" priority="1097">
      <formula>MOD(ROW(),2)=1</formula>
    </cfRule>
  </conditionalFormatting>
  <conditionalFormatting sqref="Y1272">
    <cfRule type="expression" dxfId="2876" priority="1095">
      <formula>MOD(ROW(),2)=1</formula>
    </cfRule>
  </conditionalFormatting>
  <conditionalFormatting sqref="Y1280">
    <cfRule type="expression" dxfId="2875" priority="1093">
      <formula>MOD(ROW(),2)=1</formula>
    </cfRule>
  </conditionalFormatting>
  <conditionalFormatting sqref="Y1284">
    <cfRule type="expression" dxfId="2874" priority="1092">
      <formula>MOD(ROW(),2)=1</formula>
    </cfRule>
  </conditionalFormatting>
  <conditionalFormatting sqref="Y1290">
    <cfRule type="expression" dxfId="2873" priority="1091">
      <formula>MOD(ROW(),2)=1</formula>
    </cfRule>
  </conditionalFormatting>
  <conditionalFormatting sqref="Y1292">
    <cfRule type="expression" dxfId="2872" priority="1090">
      <formula>MOD(ROW(),2)=1</formula>
    </cfRule>
  </conditionalFormatting>
  <conditionalFormatting sqref="Y1288">
    <cfRule type="expression" dxfId="2871" priority="1089">
      <formula>MOD(ROW(),2)=1</formula>
    </cfRule>
  </conditionalFormatting>
  <conditionalFormatting sqref="Y1302">
    <cfRule type="expression" dxfId="2870" priority="1088">
      <formula>MOD(ROW(),2)=1</formula>
    </cfRule>
  </conditionalFormatting>
  <conditionalFormatting sqref="Y1304">
    <cfRule type="expression" dxfId="2869" priority="1087">
      <formula>MOD(ROW(),2)=1</formula>
    </cfRule>
  </conditionalFormatting>
  <conditionalFormatting sqref="Y1308">
    <cfRule type="expression" dxfId="2868" priority="1086">
      <formula>MOD(ROW(),2)=1</formula>
    </cfRule>
  </conditionalFormatting>
  <conditionalFormatting sqref="Y1312">
    <cfRule type="expression" dxfId="2867" priority="1085">
      <formula>MOD(ROW(),2)=1</formula>
    </cfRule>
  </conditionalFormatting>
  <conditionalFormatting sqref="Y1316">
    <cfRule type="expression" dxfId="2866" priority="1084">
      <formula>MOD(ROW(),2)=1</formula>
    </cfRule>
  </conditionalFormatting>
  <conditionalFormatting sqref="Y1320">
    <cfRule type="expression" dxfId="2865" priority="1083">
      <formula>MOD(ROW(),2)=1</formula>
    </cfRule>
  </conditionalFormatting>
  <conditionalFormatting sqref="Y1324">
    <cfRule type="expression" dxfId="2864" priority="1081">
      <formula>MOD(ROW(),2)=1</formula>
    </cfRule>
  </conditionalFormatting>
  <conditionalFormatting sqref="Y1330">
    <cfRule type="expression" dxfId="2863" priority="1079">
      <formula>MOD(ROW(),2)=1</formula>
    </cfRule>
  </conditionalFormatting>
  <conditionalFormatting sqref="Y1334">
    <cfRule type="expression" dxfId="2862" priority="1078">
      <formula>MOD(ROW(),2)=1</formula>
    </cfRule>
  </conditionalFormatting>
  <conditionalFormatting sqref="Y1338">
    <cfRule type="expression" dxfId="2861" priority="1077">
      <formula>MOD(ROW(),2)=1</formula>
    </cfRule>
  </conditionalFormatting>
  <conditionalFormatting sqref="Y1342">
    <cfRule type="expression" dxfId="2860" priority="1076">
      <formula>MOD(ROW(),2)=1</formula>
    </cfRule>
  </conditionalFormatting>
  <conditionalFormatting sqref="Y1346">
    <cfRule type="expression" dxfId="2859" priority="1075">
      <formula>MOD(ROW(),2)=1</formula>
    </cfRule>
  </conditionalFormatting>
  <conditionalFormatting sqref="Y1350">
    <cfRule type="expression" dxfId="2858" priority="1074">
      <formula>MOD(ROW(),2)=1</formula>
    </cfRule>
  </conditionalFormatting>
  <conditionalFormatting sqref="Y1356">
    <cfRule type="expression" dxfId="2857" priority="1073">
      <formula>MOD(ROW(),2)=1</formula>
    </cfRule>
  </conditionalFormatting>
  <conditionalFormatting sqref="Y1360">
    <cfRule type="expression" dxfId="2856" priority="1072">
      <formula>MOD(ROW(),2)=1</formula>
    </cfRule>
  </conditionalFormatting>
  <conditionalFormatting sqref="Y1376">
    <cfRule type="expression" dxfId="2855" priority="1067">
      <formula>MOD(ROW(),2)=1</formula>
    </cfRule>
  </conditionalFormatting>
  <conditionalFormatting sqref="Y1364">
    <cfRule type="expression" dxfId="2854" priority="1070">
      <formula>MOD(ROW(),2)=1</formula>
    </cfRule>
  </conditionalFormatting>
  <conditionalFormatting sqref="Y1368">
    <cfRule type="expression" dxfId="2853" priority="1069">
      <formula>MOD(ROW(),2)=1</formula>
    </cfRule>
  </conditionalFormatting>
  <conditionalFormatting sqref="Y1372">
    <cfRule type="expression" dxfId="2852" priority="1068">
      <formula>MOD(ROW(),2)=1</formula>
    </cfRule>
  </conditionalFormatting>
  <conditionalFormatting sqref="Y1424">
    <cfRule type="expression" dxfId="2851" priority="1059">
      <formula>MOD(ROW(),2)=1</formula>
    </cfRule>
  </conditionalFormatting>
  <conditionalFormatting sqref="Y1380">
    <cfRule type="expression" dxfId="2850" priority="1066">
      <formula>MOD(ROW(),2)=1</formula>
    </cfRule>
  </conditionalFormatting>
  <conditionalFormatting sqref="Y1384">
    <cfRule type="expression" dxfId="2849" priority="1065">
      <formula>MOD(ROW(),2)=1</formula>
    </cfRule>
  </conditionalFormatting>
  <conditionalFormatting sqref="Y1390">
    <cfRule type="expression" dxfId="2848" priority="1064">
      <formula>MOD(ROW(),2)=1</formula>
    </cfRule>
  </conditionalFormatting>
  <conditionalFormatting sqref="Y1398">
    <cfRule type="expression" dxfId="2847" priority="1063">
      <formula>MOD(ROW(),2)=1</formula>
    </cfRule>
  </conditionalFormatting>
  <conditionalFormatting sqref="Y1410">
    <cfRule type="expression" dxfId="2846" priority="1062">
      <formula>MOD(ROW(),2)=1</formula>
    </cfRule>
  </conditionalFormatting>
  <conditionalFormatting sqref="Y1414">
    <cfRule type="expression" dxfId="2845" priority="1061">
      <formula>MOD(ROW(),2)=1</formula>
    </cfRule>
  </conditionalFormatting>
  <conditionalFormatting sqref="Y1418">
    <cfRule type="expression" dxfId="2844" priority="1060">
      <formula>MOD(ROW(),2)=1</formula>
    </cfRule>
  </conditionalFormatting>
  <conditionalFormatting sqref="Y1428">
    <cfRule type="expression" dxfId="2843" priority="1058">
      <formula>MOD(ROW(),2)=1</formula>
    </cfRule>
  </conditionalFormatting>
  <conditionalFormatting sqref="Y1432">
    <cfRule type="expression" dxfId="2842" priority="1057">
      <formula>MOD(ROW(),2)=1</formula>
    </cfRule>
  </conditionalFormatting>
  <conditionalFormatting sqref="Y1436">
    <cfRule type="expression" dxfId="2841" priority="1056">
      <formula>MOD(ROW(),2)=1</formula>
    </cfRule>
  </conditionalFormatting>
  <conditionalFormatting sqref="Y1440">
    <cfRule type="expression" dxfId="2840" priority="1055">
      <formula>MOD(ROW(),2)=1</formula>
    </cfRule>
  </conditionalFormatting>
  <conditionalFormatting sqref="Y1444">
    <cfRule type="expression" dxfId="2839" priority="1054">
      <formula>MOD(ROW(),2)=1</formula>
    </cfRule>
  </conditionalFormatting>
  <conditionalFormatting sqref="Y1448">
    <cfRule type="expression" dxfId="2838" priority="1053">
      <formula>MOD(ROW(),2)=1</formula>
    </cfRule>
  </conditionalFormatting>
  <conditionalFormatting sqref="Y1452">
    <cfRule type="expression" dxfId="2837" priority="1052">
      <formula>MOD(ROW(),2)=1</formula>
    </cfRule>
  </conditionalFormatting>
  <conditionalFormatting sqref="Y1456">
    <cfRule type="expression" dxfId="2836" priority="1051">
      <formula>MOD(ROW(),2)=1</formula>
    </cfRule>
  </conditionalFormatting>
  <conditionalFormatting sqref="Y1460">
    <cfRule type="expression" dxfId="2835" priority="1050">
      <formula>MOD(ROW(),2)=1</formula>
    </cfRule>
  </conditionalFormatting>
  <conditionalFormatting sqref="Y1468">
    <cfRule type="expression" dxfId="2834" priority="1039">
      <formula>MOD(ROW(),2)=1</formula>
    </cfRule>
  </conditionalFormatting>
  <conditionalFormatting sqref="Y1472">
    <cfRule type="expression" dxfId="2833" priority="1037">
      <formula>MOD(ROW(),2)=1</formula>
    </cfRule>
  </conditionalFormatting>
  <conditionalFormatting sqref="Y1476">
    <cfRule type="expression" dxfId="2832" priority="1036">
      <formula>MOD(ROW(),2)=1</formula>
    </cfRule>
  </conditionalFormatting>
  <conditionalFormatting sqref="Y1480">
    <cfRule type="expression" dxfId="2831" priority="1035">
      <formula>MOD(ROW(),2)=1</formula>
    </cfRule>
  </conditionalFormatting>
  <conditionalFormatting sqref="Y1484">
    <cfRule type="expression" dxfId="2830" priority="1034">
      <formula>MOD(ROW(),2)=1</formula>
    </cfRule>
  </conditionalFormatting>
  <conditionalFormatting sqref="Y1488">
    <cfRule type="expression" dxfId="2829" priority="1033">
      <formula>MOD(ROW(),2)=1</formula>
    </cfRule>
  </conditionalFormatting>
  <conditionalFormatting sqref="Y1492">
    <cfRule type="expression" dxfId="2828" priority="1032">
      <formula>MOD(ROW(),2)=1</formula>
    </cfRule>
  </conditionalFormatting>
  <conditionalFormatting sqref="Y1496">
    <cfRule type="expression" dxfId="2827" priority="1031">
      <formula>MOD(ROW(),2)=1</formula>
    </cfRule>
  </conditionalFormatting>
  <conditionalFormatting sqref="Y1500">
    <cfRule type="expression" dxfId="2826" priority="1030">
      <formula>MOD(ROW(),2)=1</formula>
    </cfRule>
  </conditionalFormatting>
  <conditionalFormatting sqref="Y1508">
    <cfRule type="expression" dxfId="2825" priority="1028">
      <formula>MOD(ROW(),2)=1</formula>
    </cfRule>
  </conditionalFormatting>
  <conditionalFormatting sqref="Y1512">
    <cfRule type="expression" dxfId="2824" priority="1027">
      <formula>MOD(ROW(),2)=1</formula>
    </cfRule>
  </conditionalFormatting>
  <conditionalFormatting sqref="Y1516">
    <cfRule type="expression" dxfId="2823" priority="1026">
      <formula>MOD(ROW(),2)=1</formula>
    </cfRule>
  </conditionalFormatting>
  <conditionalFormatting sqref="Y1520">
    <cfRule type="expression" dxfId="2822" priority="1025">
      <formula>MOD(ROW(),2)=1</formula>
    </cfRule>
  </conditionalFormatting>
  <conditionalFormatting sqref="Y1524">
    <cfRule type="expression" dxfId="2821" priority="1024">
      <formula>MOD(ROW(),2)=1</formula>
    </cfRule>
  </conditionalFormatting>
  <conditionalFormatting sqref="Y1528">
    <cfRule type="expression" dxfId="2820" priority="1023">
      <formula>MOD(ROW(),2)=1</formula>
    </cfRule>
  </conditionalFormatting>
  <conditionalFormatting sqref="Y1532">
    <cfRule type="expression" dxfId="2819" priority="1022">
      <formula>MOD(ROW(),2)=1</formula>
    </cfRule>
  </conditionalFormatting>
  <conditionalFormatting sqref="Y1536">
    <cfRule type="expression" dxfId="2818" priority="1021">
      <formula>MOD(ROW(),2)=1</formula>
    </cfRule>
  </conditionalFormatting>
  <conditionalFormatting sqref="Y1540">
    <cfRule type="expression" dxfId="2817" priority="1020">
      <formula>MOD(ROW(),2)=1</formula>
    </cfRule>
  </conditionalFormatting>
  <conditionalFormatting sqref="W8">
    <cfRule type="expression" dxfId="2816" priority="673">
      <formula>MOD(ROW(),2)=1</formula>
    </cfRule>
  </conditionalFormatting>
  <conditionalFormatting sqref="W12">
    <cfRule type="expression" dxfId="2815" priority="672">
      <formula>MOD(ROW(),2)=1</formula>
    </cfRule>
  </conditionalFormatting>
  <conditionalFormatting sqref="W16">
    <cfRule type="expression" dxfId="2814" priority="671">
      <formula>MOD(ROW(),2)=1</formula>
    </cfRule>
  </conditionalFormatting>
  <conditionalFormatting sqref="W20">
    <cfRule type="expression" dxfId="2813" priority="670">
      <formula>MOD(ROW(),2)=1</formula>
    </cfRule>
  </conditionalFormatting>
  <conditionalFormatting sqref="W24">
    <cfRule type="expression" dxfId="2812" priority="669">
      <formula>MOD(ROW(),2)=1</formula>
    </cfRule>
  </conditionalFormatting>
  <conditionalFormatting sqref="W28">
    <cfRule type="expression" dxfId="2811" priority="668">
      <formula>MOD(ROW(),2)=1</formula>
    </cfRule>
  </conditionalFormatting>
  <conditionalFormatting sqref="W32">
    <cfRule type="expression" dxfId="2810" priority="667">
      <formula>MOD(ROW(),2)=1</formula>
    </cfRule>
  </conditionalFormatting>
  <conditionalFormatting sqref="W36">
    <cfRule type="expression" dxfId="2809" priority="666">
      <formula>MOD(ROW(),2)=1</formula>
    </cfRule>
  </conditionalFormatting>
  <conditionalFormatting sqref="W40">
    <cfRule type="expression" dxfId="2808" priority="665">
      <formula>MOD(ROW(),2)=1</formula>
    </cfRule>
  </conditionalFormatting>
  <conditionalFormatting sqref="W42">
    <cfRule type="expression" dxfId="2807" priority="664">
      <formula>MOD(ROW(),2)=1</formula>
    </cfRule>
  </conditionalFormatting>
  <conditionalFormatting sqref="W46">
    <cfRule type="expression" dxfId="2806" priority="663">
      <formula>MOD(ROW(),2)=1</formula>
    </cfRule>
  </conditionalFormatting>
  <conditionalFormatting sqref="W52">
    <cfRule type="expression" dxfId="2805" priority="662">
      <formula>MOD(ROW(),2)=1</formula>
    </cfRule>
  </conditionalFormatting>
  <conditionalFormatting sqref="W56">
    <cfRule type="expression" dxfId="2804" priority="661">
      <formula>MOD(ROW(),2)=1</formula>
    </cfRule>
  </conditionalFormatting>
  <conditionalFormatting sqref="W60">
    <cfRule type="expression" dxfId="2803" priority="660">
      <formula>MOD(ROW(),2)=1</formula>
    </cfRule>
  </conditionalFormatting>
  <conditionalFormatting sqref="W64">
    <cfRule type="expression" dxfId="2802" priority="659">
      <formula>MOD(ROW(),2)=1</formula>
    </cfRule>
  </conditionalFormatting>
  <conditionalFormatting sqref="W68">
    <cfRule type="expression" dxfId="2801" priority="658">
      <formula>MOD(ROW(),2)=1</formula>
    </cfRule>
  </conditionalFormatting>
  <conditionalFormatting sqref="W76">
    <cfRule type="expression" dxfId="2800" priority="654">
      <formula>MOD(ROW(),2)=1</formula>
    </cfRule>
  </conditionalFormatting>
  <conditionalFormatting sqref="W80">
    <cfRule type="expression" dxfId="2799" priority="653">
      <formula>MOD(ROW(),2)=1</formula>
    </cfRule>
  </conditionalFormatting>
  <conditionalFormatting sqref="W72">
    <cfRule type="expression" dxfId="2798" priority="651">
      <formula>MOD(ROW(),2)=1</formula>
    </cfRule>
  </conditionalFormatting>
  <conditionalFormatting sqref="W84">
    <cfRule type="expression" dxfId="2797" priority="648">
      <formula>MOD(ROW(),2)=1</formula>
    </cfRule>
  </conditionalFormatting>
  <conditionalFormatting sqref="W88">
    <cfRule type="expression" dxfId="2796" priority="646">
      <formula>MOD(ROW(),2)=1</formula>
    </cfRule>
  </conditionalFormatting>
  <conditionalFormatting sqref="W92">
    <cfRule type="expression" dxfId="2795" priority="645">
      <formula>MOD(ROW(),2)=1</formula>
    </cfRule>
  </conditionalFormatting>
  <conditionalFormatting sqref="W96">
    <cfRule type="expression" dxfId="2794" priority="644">
      <formula>MOD(ROW(),2)=1</formula>
    </cfRule>
  </conditionalFormatting>
  <conditionalFormatting sqref="W100">
    <cfRule type="expression" dxfId="2793" priority="643">
      <formula>MOD(ROW(),2)=1</formula>
    </cfRule>
  </conditionalFormatting>
  <conditionalFormatting sqref="W102">
    <cfRule type="expression" dxfId="2792" priority="642">
      <formula>MOD(ROW(),2)=1</formula>
    </cfRule>
  </conditionalFormatting>
  <conditionalFormatting sqref="W106">
    <cfRule type="expression" dxfId="2791" priority="641">
      <formula>MOD(ROW(),2)=1</formula>
    </cfRule>
  </conditionalFormatting>
  <conditionalFormatting sqref="W110">
    <cfRule type="expression" dxfId="2790" priority="640">
      <formula>MOD(ROW(),2)=1</formula>
    </cfRule>
  </conditionalFormatting>
  <conditionalFormatting sqref="W114">
    <cfRule type="expression" dxfId="2789" priority="639">
      <formula>MOD(ROW(),2)=1</formula>
    </cfRule>
  </conditionalFormatting>
  <conditionalFormatting sqref="W118">
    <cfRule type="expression" dxfId="2788" priority="638">
      <formula>MOD(ROW(),2)=1</formula>
    </cfRule>
  </conditionalFormatting>
  <conditionalFormatting sqref="W122">
    <cfRule type="expression" dxfId="2787" priority="637">
      <formula>MOD(ROW(),2)=1</formula>
    </cfRule>
  </conditionalFormatting>
  <conditionalFormatting sqref="W126">
    <cfRule type="expression" dxfId="2786" priority="636">
      <formula>MOD(ROW(),2)=1</formula>
    </cfRule>
  </conditionalFormatting>
  <conditionalFormatting sqref="W130">
    <cfRule type="expression" dxfId="2785" priority="635">
      <formula>MOD(ROW(),2)=1</formula>
    </cfRule>
  </conditionalFormatting>
  <conditionalFormatting sqref="W134">
    <cfRule type="expression" dxfId="2784" priority="634">
      <formula>MOD(ROW(),2)=1</formula>
    </cfRule>
  </conditionalFormatting>
  <conditionalFormatting sqref="W138">
    <cfRule type="expression" dxfId="2783" priority="633">
      <formula>MOD(ROW(),2)=1</formula>
    </cfRule>
  </conditionalFormatting>
  <conditionalFormatting sqref="W152">
    <cfRule type="expression" dxfId="2782" priority="629">
      <formula>MOD(ROW(),2)=1</formula>
    </cfRule>
  </conditionalFormatting>
  <conditionalFormatting sqref="W156">
    <cfRule type="expression" dxfId="2781" priority="628">
      <formula>MOD(ROW(),2)=1</formula>
    </cfRule>
  </conditionalFormatting>
  <conditionalFormatting sqref="W160">
    <cfRule type="expression" dxfId="2780" priority="627">
      <formula>MOD(ROW(),2)=1</formula>
    </cfRule>
  </conditionalFormatting>
  <conditionalFormatting sqref="W164">
    <cfRule type="expression" dxfId="2779" priority="626">
      <formula>MOD(ROW(),2)=1</formula>
    </cfRule>
  </conditionalFormatting>
  <conditionalFormatting sqref="W174">
    <cfRule type="expression" dxfId="2778" priority="625">
      <formula>MOD(ROW(),2)=1</formula>
    </cfRule>
  </conditionalFormatting>
  <conditionalFormatting sqref="W178">
    <cfRule type="expression" dxfId="2777" priority="624">
      <formula>MOD(ROW(),2)=1</formula>
    </cfRule>
  </conditionalFormatting>
  <conditionalFormatting sqref="W182">
    <cfRule type="expression" dxfId="2776" priority="623">
      <formula>MOD(ROW(),2)=1</formula>
    </cfRule>
  </conditionalFormatting>
  <conditionalFormatting sqref="W186">
    <cfRule type="expression" dxfId="2775" priority="622">
      <formula>MOD(ROW(),2)=1</formula>
    </cfRule>
  </conditionalFormatting>
  <conditionalFormatting sqref="W190">
    <cfRule type="expression" dxfId="2774" priority="621">
      <formula>MOD(ROW(),2)=1</formula>
    </cfRule>
  </conditionalFormatting>
  <conditionalFormatting sqref="W200">
    <cfRule type="expression" dxfId="2773" priority="620">
      <formula>MOD(ROW(),2)=1</formula>
    </cfRule>
  </conditionalFormatting>
  <conditionalFormatting sqref="W204">
    <cfRule type="expression" dxfId="2772" priority="619">
      <formula>MOD(ROW(),2)=1</formula>
    </cfRule>
  </conditionalFormatting>
  <conditionalFormatting sqref="W208">
    <cfRule type="expression" dxfId="2771" priority="618">
      <formula>MOD(ROW(),2)=1</formula>
    </cfRule>
  </conditionalFormatting>
  <conditionalFormatting sqref="W212">
    <cfRule type="expression" dxfId="2770" priority="617">
      <formula>MOD(ROW(),2)=1</formula>
    </cfRule>
  </conditionalFormatting>
  <conditionalFormatting sqref="W214">
    <cfRule type="expression" dxfId="2769" priority="616">
      <formula>MOD(ROW(),2)=1</formula>
    </cfRule>
  </conditionalFormatting>
  <conditionalFormatting sqref="W218">
    <cfRule type="expression" dxfId="2768" priority="615">
      <formula>MOD(ROW(),2)=1</formula>
    </cfRule>
  </conditionalFormatting>
  <conditionalFormatting sqref="W222">
    <cfRule type="expression" dxfId="2767" priority="614">
      <formula>MOD(ROW(),2)=1</formula>
    </cfRule>
  </conditionalFormatting>
  <conditionalFormatting sqref="W228">
    <cfRule type="expression" dxfId="2766" priority="613">
      <formula>MOD(ROW(),2)=1</formula>
    </cfRule>
  </conditionalFormatting>
  <conditionalFormatting sqref="W232">
    <cfRule type="expression" dxfId="2765" priority="612">
      <formula>MOD(ROW(),2)=1</formula>
    </cfRule>
  </conditionalFormatting>
  <conditionalFormatting sqref="W236">
    <cfRule type="expression" dxfId="2764" priority="611">
      <formula>MOD(ROW(),2)=1</formula>
    </cfRule>
  </conditionalFormatting>
  <conditionalFormatting sqref="W240">
    <cfRule type="expression" dxfId="2763" priority="610">
      <formula>MOD(ROW(),2)=1</formula>
    </cfRule>
  </conditionalFormatting>
  <conditionalFormatting sqref="W244">
    <cfRule type="expression" dxfId="2762" priority="609">
      <formula>MOD(ROW(),2)=1</formula>
    </cfRule>
  </conditionalFormatting>
  <conditionalFormatting sqref="W248">
    <cfRule type="expression" dxfId="2761" priority="608">
      <formula>MOD(ROW(),2)=1</formula>
    </cfRule>
  </conditionalFormatting>
  <conditionalFormatting sqref="W252">
    <cfRule type="expression" dxfId="2760" priority="607">
      <formula>MOD(ROW(),2)=1</formula>
    </cfRule>
  </conditionalFormatting>
  <conditionalFormatting sqref="W256">
    <cfRule type="expression" dxfId="2759" priority="606">
      <formula>MOD(ROW(),2)=1</formula>
    </cfRule>
  </conditionalFormatting>
  <conditionalFormatting sqref="W260">
    <cfRule type="expression" dxfId="2758" priority="605">
      <formula>MOD(ROW(),2)=1</formula>
    </cfRule>
  </conditionalFormatting>
  <conditionalFormatting sqref="W264">
    <cfRule type="expression" dxfId="2757" priority="604">
      <formula>MOD(ROW(),2)=1</formula>
    </cfRule>
  </conditionalFormatting>
  <conditionalFormatting sqref="W268">
    <cfRule type="expression" dxfId="2756" priority="603">
      <formula>MOD(ROW(),2)=1</formula>
    </cfRule>
  </conditionalFormatting>
  <conditionalFormatting sqref="W272">
    <cfRule type="expression" dxfId="2755" priority="602">
      <formula>MOD(ROW(),2)=1</formula>
    </cfRule>
  </conditionalFormatting>
  <conditionalFormatting sqref="W276">
    <cfRule type="expression" dxfId="2754" priority="601">
      <formula>MOD(ROW(),2)=1</formula>
    </cfRule>
  </conditionalFormatting>
  <conditionalFormatting sqref="W280">
    <cfRule type="expression" dxfId="2753" priority="600">
      <formula>MOD(ROW(),2)=1</formula>
    </cfRule>
  </conditionalFormatting>
  <conditionalFormatting sqref="W284">
    <cfRule type="expression" dxfId="2752" priority="599">
      <formula>MOD(ROW(),2)=1</formula>
    </cfRule>
  </conditionalFormatting>
  <conditionalFormatting sqref="W288">
    <cfRule type="expression" dxfId="2751" priority="598">
      <formula>MOD(ROW(),2)=1</formula>
    </cfRule>
  </conditionalFormatting>
  <conditionalFormatting sqref="W292">
    <cfRule type="expression" dxfId="2750" priority="597">
      <formula>MOD(ROW(),2)=1</formula>
    </cfRule>
  </conditionalFormatting>
  <conditionalFormatting sqref="W296">
    <cfRule type="expression" dxfId="2749" priority="596">
      <formula>MOD(ROW(),2)=1</formula>
    </cfRule>
  </conditionalFormatting>
  <conditionalFormatting sqref="W300">
    <cfRule type="expression" dxfId="2748" priority="595">
      <formula>MOD(ROW(),2)=1</formula>
    </cfRule>
  </conditionalFormatting>
  <conditionalFormatting sqref="W304">
    <cfRule type="expression" dxfId="2747" priority="594">
      <formula>MOD(ROW(),2)=1</formula>
    </cfRule>
  </conditionalFormatting>
  <conditionalFormatting sqref="W308">
    <cfRule type="expression" dxfId="2746" priority="593">
      <formula>MOD(ROW(),2)=1</formula>
    </cfRule>
  </conditionalFormatting>
  <conditionalFormatting sqref="W312">
    <cfRule type="expression" dxfId="2745" priority="592">
      <formula>MOD(ROW(),2)=1</formula>
    </cfRule>
  </conditionalFormatting>
  <conditionalFormatting sqref="W316">
    <cfRule type="expression" dxfId="2744" priority="591">
      <formula>MOD(ROW(),2)=1</formula>
    </cfRule>
  </conditionalFormatting>
  <conditionalFormatting sqref="W320">
    <cfRule type="expression" dxfId="2743" priority="590">
      <formula>MOD(ROW(),2)=1</formula>
    </cfRule>
  </conditionalFormatting>
  <conditionalFormatting sqref="W324">
    <cfRule type="expression" dxfId="2742" priority="589">
      <formula>MOD(ROW(),2)=1</formula>
    </cfRule>
  </conditionalFormatting>
  <conditionalFormatting sqref="W338">
    <cfRule type="expression" dxfId="2741" priority="588">
      <formula>MOD(ROW(),2)=1</formula>
    </cfRule>
  </conditionalFormatting>
  <conditionalFormatting sqref="W342">
    <cfRule type="expression" dxfId="2740" priority="587">
      <formula>MOD(ROW(),2)=1</formula>
    </cfRule>
  </conditionalFormatting>
  <conditionalFormatting sqref="W346">
    <cfRule type="expression" dxfId="2739" priority="586">
      <formula>MOD(ROW(),2)=1</formula>
    </cfRule>
  </conditionalFormatting>
  <conditionalFormatting sqref="W350">
    <cfRule type="expression" dxfId="2738" priority="585">
      <formula>MOD(ROW(),2)=1</formula>
    </cfRule>
  </conditionalFormatting>
  <conditionalFormatting sqref="W354">
    <cfRule type="expression" dxfId="2737" priority="584">
      <formula>MOD(ROW(),2)=1</formula>
    </cfRule>
  </conditionalFormatting>
  <conditionalFormatting sqref="W358">
    <cfRule type="expression" dxfId="2736" priority="583">
      <formula>MOD(ROW(),2)=1</formula>
    </cfRule>
  </conditionalFormatting>
  <conditionalFormatting sqref="W394">
    <cfRule type="expression" dxfId="2735" priority="572">
      <formula>MOD(ROW(),2)=1</formula>
    </cfRule>
  </conditionalFormatting>
  <conditionalFormatting sqref="W398">
    <cfRule type="expression" dxfId="2734" priority="571">
      <formula>MOD(ROW(),2)=1</formula>
    </cfRule>
  </conditionalFormatting>
  <conditionalFormatting sqref="W402">
    <cfRule type="expression" dxfId="2733" priority="568">
      <formula>MOD(ROW(),2)=1</formula>
    </cfRule>
  </conditionalFormatting>
  <conditionalFormatting sqref="W406">
    <cfRule type="expression" dxfId="2732" priority="567">
      <formula>MOD(ROW(),2)=1</formula>
    </cfRule>
  </conditionalFormatting>
  <conditionalFormatting sqref="W434">
    <cfRule type="expression" dxfId="2731" priority="566">
      <formula>MOD(ROW(),2)=1</formula>
    </cfRule>
  </conditionalFormatting>
  <conditionalFormatting sqref="W438">
    <cfRule type="expression" dxfId="2730" priority="565">
      <formula>MOD(ROW(),2)=1</formula>
    </cfRule>
  </conditionalFormatting>
  <conditionalFormatting sqref="W442">
    <cfRule type="expression" dxfId="2729" priority="564">
      <formula>MOD(ROW(),2)=1</formula>
    </cfRule>
  </conditionalFormatting>
  <conditionalFormatting sqref="W446">
    <cfRule type="expression" dxfId="2728" priority="563">
      <formula>MOD(ROW(),2)=1</formula>
    </cfRule>
  </conditionalFormatting>
  <conditionalFormatting sqref="W450">
    <cfRule type="expression" dxfId="2727" priority="562">
      <formula>MOD(ROW(),2)=1</formula>
    </cfRule>
  </conditionalFormatting>
  <conditionalFormatting sqref="W454">
    <cfRule type="expression" dxfId="2726" priority="561">
      <formula>MOD(ROW(),2)=1</formula>
    </cfRule>
  </conditionalFormatting>
  <conditionalFormatting sqref="W458">
    <cfRule type="expression" dxfId="2725" priority="560">
      <formula>MOD(ROW(),2)=1</formula>
    </cfRule>
  </conditionalFormatting>
  <conditionalFormatting sqref="W462">
    <cfRule type="expression" dxfId="2724" priority="559">
      <formula>MOD(ROW(),2)=1</formula>
    </cfRule>
  </conditionalFormatting>
  <conditionalFormatting sqref="W466">
    <cfRule type="expression" dxfId="2723" priority="558">
      <formula>MOD(ROW(),2)=1</formula>
    </cfRule>
  </conditionalFormatting>
  <conditionalFormatting sqref="W472">
    <cfRule type="expression" dxfId="2722" priority="557">
      <formula>MOD(ROW(),2)=1</formula>
    </cfRule>
  </conditionalFormatting>
  <conditionalFormatting sqref="W470">
    <cfRule type="expression" dxfId="2721" priority="556">
      <formula>MOD(ROW(),2)=1</formula>
    </cfRule>
  </conditionalFormatting>
  <conditionalFormatting sqref="W486">
    <cfRule type="expression" dxfId="2720" priority="554">
      <formula>MOD(ROW(),2)=1</formula>
    </cfRule>
  </conditionalFormatting>
  <conditionalFormatting sqref="W490">
    <cfRule type="expression" dxfId="2719" priority="553">
      <formula>MOD(ROW(),2)=1</formula>
    </cfRule>
  </conditionalFormatting>
  <conditionalFormatting sqref="W498">
    <cfRule type="expression" dxfId="2718" priority="552">
      <formula>MOD(ROW(),2)=1</formula>
    </cfRule>
  </conditionalFormatting>
  <conditionalFormatting sqref="W502">
    <cfRule type="expression" dxfId="2717" priority="551">
      <formula>MOD(ROW(),2)=1</formula>
    </cfRule>
  </conditionalFormatting>
  <conditionalFormatting sqref="W506">
    <cfRule type="expression" dxfId="2716" priority="550">
      <formula>MOD(ROW(),2)=1</formula>
    </cfRule>
  </conditionalFormatting>
  <conditionalFormatting sqref="W510">
    <cfRule type="expression" dxfId="2715" priority="549">
      <formula>MOD(ROW(),2)=1</formula>
    </cfRule>
  </conditionalFormatting>
  <conditionalFormatting sqref="W516">
    <cfRule type="expression" dxfId="2714" priority="548">
      <formula>MOD(ROW(),2)=1</formula>
    </cfRule>
  </conditionalFormatting>
  <conditionalFormatting sqref="W520">
    <cfRule type="expression" dxfId="2713" priority="547">
      <formula>MOD(ROW(),2)=1</formula>
    </cfRule>
  </conditionalFormatting>
  <conditionalFormatting sqref="W524">
    <cfRule type="expression" dxfId="2712" priority="546">
      <formula>MOD(ROW(),2)=1</formula>
    </cfRule>
  </conditionalFormatting>
  <conditionalFormatting sqref="W528">
    <cfRule type="expression" dxfId="2711" priority="545">
      <formula>MOD(ROW(),2)=1</formula>
    </cfRule>
  </conditionalFormatting>
  <conditionalFormatting sqref="W532">
    <cfRule type="expression" dxfId="2710" priority="544">
      <formula>MOD(ROW(),2)=1</formula>
    </cfRule>
  </conditionalFormatting>
  <conditionalFormatting sqref="W536">
    <cfRule type="expression" dxfId="2709" priority="543">
      <formula>MOD(ROW(),2)=1</formula>
    </cfRule>
  </conditionalFormatting>
  <conditionalFormatting sqref="W540">
    <cfRule type="expression" dxfId="2708" priority="542">
      <formula>MOD(ROW(),2)=1</formula>
    </cfRule>
  </conditionalFormatting>
  <conditionalFormatting sqref="W544">
    <cfRule type="expression" dxfId="2707" priority="541">
      <formula>MOD(ROW(),2)=1</formula>
    </cfRule>
  </conditionalFormatting>
  <conditionalFormatting sqref="W548">
    <cfRule type="expression" dxfId="2706" priority="540">
      <formula>MOD(ROW(),2)=1</formula>
    </cfRule>
  </conditionalFormatting>
  <conditionalFormatting sqref="W552">
    <cfRule type="expression" dxfId="2705" priority="539">
      <formula>MOD(ROW(),2)=1</formula>
    </cfRule>
  </conditionalFormatting>
  <conditionalFormatting sqref="W554">
    <cfRule type="expression" dxfId="2704" priority="538">
      <formula>MOD(ROW(),2)=1</formula>
    </cfRule>
  </conditionalFormatting>
  <conditionalFormatting sqref="W558">
    <cfRule type="expression" dxfId="2703" priority="537">
      <formula>MOD(ROW(),2)=1</formula>
    </cfRule>
  </conditionalFormatting>
  <conditionalFormatting sqref="W562">
    <cfRule type="expression" dxfId="2702" priority="536">
      <formula>MOD(ROW(),2)=1</formula>
    </cfRule>
  </conditionalFormatting>
  <conditionalFormatting sqref="W566">
    <cfRule type="expression" dxfId="2701" priority="535">
      <formula>MOD(ROW(),2)=1</formula>
    </cfRule>
  </conditionalFormatting>
  <conditionalFormatting sqref="W568">
    <cfRule type="expression" dxfId="2700" priority="534">
      <formula>MOD(ROW(),2)=1</formula>
    </cfRule>
  </conditionalFormatting>
  <conditionalFormatting sqref="W584">
    <cfRule type="expression" dxfId="2699" priority="533">
      <formula>MOD(ROW(),2)=1</formula>
    </cfRule>
  </conditionalFormatting>
  <conditionalFormatting sqref="W572">
    <cfRule type="expression" dxfId="2698" priority="532">
      <formula>MOD(ROW(),2)=1</formula>
    </cfRule>
  </conditionalFormatting>
  <conditionalFormatting sqref="W576">
    <cfRule type="expression" dxfId="2697" priority="531">
      <formula>MOD(ROW(),2)=1</formula>
    </cfRule>
  </conditionalFormatting>
  <conditionalFormatting sqref="W580">
    <cfRule type="expression" dxfId="2696" priority="530">
      <formula>MOD(ROW(),2)=1</formula>
    </cfRule>
  </conditionalFormatting>
  <conditionalFormatting sqref="W588">
    <cfRule type="expression" dxfId="2695" priority="529">
      <formula>MOD(ROW(),2)=1</formula>
    </cfRule>
  </conditionalFormatting>
  <conditionalFormatting sqref="W592">
    <cfRule type="expression" dxfId="2694" priority="528">
      <formula>MOD(ROW(),2)=1</formula>
    </cfRule>
  </conditionalFormatting>
  <conditionalFormatting sqref="W604">
    <cfRule type="expression" dxfId="2693" priority="527">
      <formula>MOD(ROW(),2)=1</formula>
    </cfRule>
  </conditionalFormatting>
  <conditionalFormatting sqref="W608">
    <cfRule type="expression" dxfId="2692" priority="526">
      <formula>MOD(ROW(),2)=1</formula>
    </cfRule>
  </conditionalFormatting>
  <conditionalFormatting sqref="W612">
    <cfRule type="expression" dxfId="2691" priority="525">
      <formula>MOD(ROW(),2)=1</formula>
    </cfRule>
  </conditionalFormatting>
  <conditionalFormatting sqref="W616">
    <cfRule type="expression" dxfId="2690" priority="524">
      <formula>MOD(ROW(),2)=1</formula>
    </cfRule>
  </conditionalFormatting>
  <conditionalFormatting sqref="W620">
    <cfRule type="expression" dxfId="2689" priority="523">
      <formula>MOD(ROW(),2)=1</formula>
    </cfRule>
  </conditionalFormatting>
  <conditionalFormatting sqref="W624">
    <cfRule type="expression" dxfId="2688" priority="522">
      <formula>MOD(ROW(),2)=1</formula>
    </cfRule>
  </conditionalFormatting>
  <conditionalFormatting sqref="W628">
    <cfRule type="expression" dxfId="2687" priority="521">
      <formula>MOD(ROW(),2)=1</formula>
    </cfRule>
  </conditionalFormatting>
  <conditionalFormatting sqref="W632">
    <cfRule type="expression" dxfId="2686" priority="520">
      <formula>MOD(ROW(),2)=1</formula>
    </cfRule>
  </conditionalFormatting>
  <conditionalFormatting sqref="W642">
    <cfRule type="expression" dxfId="2685" priority="519">
      <formula>MOD(ROW(),2)=1</formula>
    </cfRule>
  </conditionalFormatting>
  <conditionalFormatting sqref="W646">
    <cfRule type="expression" dxfId="2684" priority="518">
      <formula>MOD(ROW(),2)=1</formula>
    </cfRule>
  </conditionalFormatting>
  <conditionalFormatting sqref="W650">
    <cfRule type="expression" dxfId="2683" priority="517">
      <formula>MOD(ROW(),2)=1</formula>
    </cfRule>
  </conditionalFormatting>
  <conditionalFormatting sqref="W662">
    <cfRule type="expression" dxfId="2682" priority="515">
      <formula>MOD(ROW(),2)=1</formula>
    </cfRule>
  </conditionalFormatting>
  <conditionalFormatting sqref="W666">
    <cfRule type="expression" dxfId="2681" priority="514">
      <formula>MOD(ROW(),2)=1</formula>
    </cfRule>
  </conditionalFormatting>
  <conditionalFormatting sqref="W680">
    <cfRule type="expression" dxfId="2680" priority="513">
      <formula>MOD(ROW(),2)=1</formula>
    </cfRule>
  </conditionalFormatting>
  <conditionalFormatting sqref="W672">
    <cfRule type="expression" dxfId="2679" priority="510">
      <formula>MOD(ROW(),2)=1</formula>
    </cfRule>
  </conditionalFormatting>
  <conditionalFormatting sqref="W696">
    <cfRule type="expression" dxfId="2678" priority="509">
      <formula>MOD(ROW(),2)=1</formula>
    </cfRule>
  </conditionalFormatting>
  <conditionalFormatting sqref="W716">
    <cfRule type="expression" dxfId="2677" priority="508">
      <formula>MOD(ROW(),2)=1</formula>
    </cfRule>
  </conditionalFormatting>
  <conditionalFormatting sqref="W724">
    <cfRule type="expression" dxfId="2676" priority="506">
      <formula>MOD(ROW(),2)=1</formula>
    </cfRule>
  </conditionalFormatting>
  <conditionalFormatting sqref="W728">
    <cfRule type="expression" dxfId="2675" priority="505">
      <formula>MOD(ROW(),2)=1</formula>
    </cfRule>
  </conditionalFormatting>
  <conditionalFormatting sqref="W732">
    <cfRule type="expression" dxfId="2674" priority="504">
      <formula>MOD(ROW(),2)=1</formula>
    </cfRule>
  </conditionalFormatting>
  <conditionalFormatting sqref="W752">
    <cfRule type="expression" dxfId="2673" priority="501">
      <formula>MOD(ROW(),2)=1</formula>
    </cfRule>
  </conditionalFormatting>
  <conditionalFormatting sqref="W756">
    <cfRule type="expression" dxfId="2672" priority="500">
      <formula>MOD(ROW(),2)=1</formula>
    </cfRule>
  </conditionalFormatting>
  <conditionalFormatting sqref="W760">
    <cfRule type="expression" dxfId="2671" priority="499">
      <formula>MOD(ROW(),2)=1</formula>
    </cfRule>
  </conditionalFormatting>
  <conditionalFormatting sqref="W764">
    <cfRule type="expression" dxfId="2670" priority="498">
      <formula>MOD(ROW(),2)=1</formula>
    </cfRule>
  </conditionalFormatting>
  <conditionalFormatting sqref="W774">
    <cfRule type="expression" dxfId="2669" priority="495">
      <formula>MOD(ROW(),2)=1</formula>
    </cfRule>
  </conditionalFormatting>
  <conditionalFormatting sqref="W778">
    <cfRule type="expression" dxfId="2668" priority="494">
      <formula>MOD(ROW(),2)=1</formula>
    </cfRule>
  </conditionalFormatting>
  <conditionalFormatting sqref="W786">
    <cfRule type="expression" dxfId="2667" priority="493">
      <formula>MOD(ROW(),2)=1</formula>
    </cfRule>
  </conditionalFormatting>
  <conditionalFormatting sqref="W790">
    <cfRule type="expression" dxfId="2666" priority="492">
      <formula>MOD(ROW(),2)=1</formula>
    </cfRule>
  </conditionalFormatting>
  <conditionalFormatting sqref="W796">
    <cfRule type="expression" dxfId="2665" priority="491">
      <formula>MOD(ROW(),2)=1</formula>
    </cfRule>
  </conditionalFormatting>
  <conditionalFormatting sqref="W800">
    <cfRule type="expression" dxfId="2664" priority="490">
      <formula>MOD(ROW(),2)=1</formula>
    </cfRule>
  </conditionalFormatting>
  <conditionalFormatting sqref="W804">
    <cfRule type="expression" dxfId="2663" priority="489">
      <formula>MOD(ROW(),2)=1</formula>
    </cfRule>
  </conditionalFormatting>
  <conditionalFormatting sqref="W822">
    <cfRule type="expression" dxfId="2662" priority="487">
      <formula>MOD(ROW(),2)=1</formula>
    </cfRule>
  </conditionalFormatting>
  <conditionalFormatting sqref="W826">
    <cfRule type="expression" dxfId="2661" priority="486">
      <formula>MOD(ROW(),2)=1</formula>
    </cfRule>
  </conditionalFormatting>
  <conditionalFormatting sqref="W830">
    <cfRule type="expression" dxfId="2660" priority="485">
      <formula>MOD(ROW(),2)=1</formula>
    </cfRule>
  </conditionalFormatting>
  <conditionalFormatting sqref="W834">
    <cfRule type="expression" dxfId="2659" priority="484">
      <formula>MOD(ROW(),2)=1</formula>
    </cfRule>
  </conditionalFormatting>
  <conditionalFormatting sqref="W838">
    <cfRule type="expression" dxfId="2658" priority="483">
      <formula>MOD(ROW(),2)=1</formula>
    </cfRule>
  </conditionalFormatting>
  <conditionalFormatting sqref="W842">
    <cfRule type="expression" dxfId="2657" priority="482">
      <formula>MOD(ROW(),2)=1</formula>
    </cfRule>
  </conditionalFormatting>
  <conditionalFormatting sqref="W846">
    <cfRule type="expression" dxfId="2656" priority="481">
      <formula>MOD(ROW(),2)=1</formula>
    </cfRule>
  </conditionalFormatting>
  <conditionalFormatting sqref="W850">
    <cfRule type="expression" dxfId="2655" priority="480">
      <formula>MOD(ROW(),2)=1</formula>
    </cfRule>
  </conditionalFormatting>
  <conditionalFormatting sqref="W854">
    <cfRule type="expression" dxfId="2654" priority="479">
      <formula>MOD(ROW(),2)=1</formula>
    </cfRule>
  </conditionalFormatting>
  <conditionalFormatting sqref="W858">
    <cfRule type="expression" dxfId="2653" priority="478">
      <formula>MOD(ROW(),2)=1</formula>
    </cfRule>
  </conditionalFormatting>
  <conditionalFormatting sqref="W862">
    <cfRule type="expression" dxfId="2652" priority="477">
      <formula>MOD(ROW(),2)=1</formula>
    </cfRule>
  </conditionalFormatting>
  <conditionalFormatting sqref="W870">
    <cfRule type="expression" dxfId="2651" priority="476">
      <formula>MOD(ROW(),2)=1</formula>
    </cfRule>
  </conditionalFormatting>
  <conditionalFormatting sqref="W874">
    <cfRule type="expression" dxfId="2650" priority="475">
      <formula>MOD(ROW(),2)=1</formula>
    </cfRule>
  </conditionalFormatting>
  <conditionalFormatting sqref="W878">
    <cfRule type="expression" dxfId="2649" priority="474">
      <formula>MOD(ROW(),2)=1</formula>
    </cfRule>
  </conditionalFormatting>
  <conditionalFormatting sqref="W916">
    <cfRule type="expression" dxfId="2648" priority="473">
      <formula>MOD(ROW(),2)=1</formula>
    </cfRule>
  </conditionalFormatting>
  <conditionalFormatting sqref="W920">
    <cfRule type="expression" dxfId="2647" priority="472">
      <formula>MOD(ROW(),2)=1</formula>
    </cfRule>
  </conditionalFormatting>
  <conditionalFormatting sqref="W924">
    <cfRule type="expression" dxfId="2646" priority="471">
      <formula>MOD(ROW(),2)=1</formula>
    </cfRule>
  </conditionalFormatting>
  <conditionalFormatting sqref="W928">
    <cfRule type="expression" dxfId="2645" priority="470">
      <formula>MOD(ROW(),2)=1</formula>
    </cfRule>
  </conditionalFormatting>
  <conditionalFormatting sqref="W936">
    <cfRule type="expression" dxfId="2644" priority="469">
      <formula>MOD(ROW(),2)=1</formula>
    </cfRule>
  </conditionalFormatting>
  <conditionalFormatting sqref="W942">
    <cfRule type="expression" dxfId="2643" priority="468">
      <formula>MOD(ROW(),2)=1</formula>
    </cfRule>
  </conditionalFormatting>
  <conditionalFormatting sqref="W946">
    <cfRule type="expression" dxfId="2642" priority="467">
      <formula>MOD(ROW(),2)=1</formula>
    </cfRule>
  </conditionalFormatting>
  <conditionalFormatting sqref="W964">
    <cfRule type="expression" dxfId="2641" priority="466">
      <formula>MOD(ROW(),2)=1</formula>
    </cfRule>
  </conditionalFormatting>
  <conditionalFormatting sqref="W968">
    <cfRule type="expression" dxfId="2640" priority="465">
      <formula>MOD(ROW(),2)=1</formula>
    </cfRule>
  </conditionalFormatting>
  <conditionalFormatting sqref="W972">
    <cfRule type="expression" dxfId="2639" priority="464">
      <formula>MOD(ROW(),2)=1</formula>
    </cfRule>
  </conditionalFormatting>
  <conditionalFormatting sqref="W976">
    <cfRule type="expression" dxfId="2638" priority="463">
      <formula>MOD(ROW(),2)=1</formula>
    </cfRule>
  </conditionalFormatting>
  <conditionalFormatting sqref="W980">
    <cfRule type="expression" dxfId="2637" priority="462">
      <formula>MOD(ROW(),2)=1</formula>
    </cfRule>
  </conditionalFormatting>
  <conditionalFormatting sqref="W994">
    <cfRule type="expression" dxfId="2636" priority="461">
      <formula>MOD(ROW(),2)=1</formula>
    </cfRule>
  </conditionalFormatting>
  <conditionalFormatting sqref="W998">
    <cfRule type="expression" dxfId="2635" priority="460">
      <formula>MOD(ROW(),2)=1</formula>
    </cfRule>
  </conditionalFormatting>
  <conditionalFormatting sqref="W1002">
    <cfRule type="expression" dxfId="2634" priority="459">
      <formula>MOD(ROW(),2)=1</formula>
    </cfRule>
  </conditionalFormatting>
  <conditionalFormatting sqref="W1006">
    <cfRule type="expression" dxfId="2633" priority="458">
      <formula>MOD(ROW(),2)=1</formula>
    </cfRule>
  </conditionalFormatting>
  <conditionalFormatting sqref="W1022">
    <cfRule type="expression" dxfId="2632" priority="457">
      <formula>MOD(ROW(),2)=1</formula>
    </cfRule>
  </conditionalFormatting>
  <conditionalFormatting sqref="W1024">
    <cfRule type="expression" dxfId="2631" priority="456">
      <formula>MOD(ROW(),2)=1</formula>
    </cfRule>
  </conditionalFormatting>
  <conditionalFormatting sqref="W1026">
    <cfRule type="expression" dxfId="2630" priority="455">
      <formula>MOD(ROW(),2)=1</formula>
    </cfRule>
  </conditionalFormatting>
  <conditionalFormatting sqref="W1028">
    <cfRule type="expression" dxfId="2629" priority="454">
      <formula>MOD(ROW(),2)=1</formula>
    </cfRule>
  </conditionalFormatting>
  <conditionalFormatting sqref="W1030">
    <cfRule type="expression" dxfId="2628" priority="453">
      <formula>MOD(ROW(),2)=1</formula>
    </cfRule>
  </conditionalFormatting>
  <conditionalFormatting sqref="W1032">
    <cfRule type="expression" dxfId="2627" priority="452">
      <formula>MOD(ROW(),2)=1</formula>
    </cfRule>
  </conditionalFormatting>
  <conditionalFormatting sqref="W1034">
    <cfRule type="expression" dxfId="2626" priority="451">
      <formula>MOD(ROW(),2)=1</formula>
    </cfRule>
  </conditionalFormatting>
  <conditionalFormatting sqref="W1038">
    <cfRule type="expression" dxfId="2625" priority="450">
      <formula>MOD(ROW(),2)=1</formula>
    </cfRule>
  </conditionalFormatting>
  <conditionalFormatting sqref="W1042">
    <cfRule type="expression" dxfId="2624" priority="449">
      <formula>MOD(ROW(),2)=1</formula>
    </cfRule>
  </conditionalFormatting>
  <conditionalFormatting sqref="W1046">
    <cfRule type="expression" dxfId="2623" priority="448">
      <formula>MOD(ROW(),2)=1</formula>
    </cfRule>
  </conditionalFormatting>
  <conditionalFormatting sqref="W1050">
    <cfRule type="expression" dxfId="2622" priority="447">
      <formula>MOD(ROW(),2)=1</formula>
    </cfRule>
  </conditionalFormatting>
  <conditionalFormatting sqref="W1054">
    <cfRule type="expression" dxfId="2621" priority="446">
      <formula>MOD(ROW(),2)=1</formula>
    </cfRule>
  </conditionalFormatting>
  <conditionalFormatting sqref="W1058">
    <cfRule type="expression" dxfId="2620" priority="445">
      <formula>MOD(ROW(),2)=1</formula>
    </cfRule>
  </conditionalFormatting>
  <conditionalFormatting sqref="W1062">
    <cfRule type="expression" dxfId="2619" priority="444">
      <formula>MOD(ROW(),2)=1</formula>
    </cfRule>
  </conditionalFormatting>
  <conditionalFormatting sqref="W1068">
    <cfRule type="expression" dxfId="2618" priority="443">
      <formula>MOD(ROW(),2)=1</formula>
    </cfRule>
  </conditionalFormatting>
  <conditionalFormatting sqref="W1072">
    <cfRule type="expression" dxfId="2617" priority="442">
      <formula>MOD(ROW(),2)=1</formula>
    </cfRule>
  </conditionalFormatting>
  <conditionalFormatting sqref="W1076">
    <cfRule type="expression" dxfId="2616" priority="441">
      <formula>MOD(ROW(),2)=1</formula>
    </cfRule>
  </conditionalFormatting>
  <conditionalFormatting sqref="W1080">
    <cfRule type="expression" dxfId="2615" priority="440">
      <formula>MOD(ROW(),2)=1</formula>
    </cfRule>
  </conditionalFormatting>
  <conditionalFormatting sqref="W1084">
    <cfRule type="expression" dxfId="2614" priority="439">
      <formula>MOD(ROW(),2)=1</formula>
    </cfRule>
  </conditionalFormatting>
  <conditionalFormatting sqref="W1088">
    <cfRule type="expression" dxfId="2613" priority="438">
      <formula>MOD(ROW(),2)=1</formula>
    </cfRule>
  </conditionalFormatting>
  <conditionalFormatting sqref="W1092">
    <cfRule type="expression" dxfId="2612" priority="437">
      <formula>MOD(ROW(),2)=1</formula>
    </cfRule>
  </conditionalFormatting>
  <conditionalFormatting sqref="W1096">
    <cfRule type="expression" dxfId="2611" priority="436">
      <formula>MOD(ROW(),2)=1</formula>
    </cfRule>
  </conditionalFormatting>
  <conditionalFormatting sqref="W1100">
    <cfRule type="expression" dxfId="2610" priority="435">
      <formula>MOD(ROW(),2)=1</formula>
    </cfRule>
  </conditionalFormatting>
  <conditionalFormatting sqref="W1104">
    <cfRule type="expression" dxfId="2609" priority="434">
      <formula>MOD(ROW(),2)=1</formula>
    </cfRule>
  </conditionalFormatting>
  <conditionalFormatting sqref="W1108">
    <cfRule type="expression" dxfId="2608" priority="433">
      <formula>MOD(ROW(),2)=1</formula>
    </cfRule>
  </conditionalFormatting>
  <conditionalFormatting sqref="W1112">
    <cfRule type="expression" dxfId="2607" priority="432">
      <formula>MOD(ROW(),2)=1</formula>
    </cfRule>
  </conditionalFormatting>
  <conditionalFormatting sqref="W1116">
    <cfRule type="expression" dxfId="2606" priority="431">
      <formula>MOD(ROW(),2)=1</formula>
    </cfRule>
  </conditionalFormatting>
  <conditionalFormatting sqref="W1120">
    <cfRule type="expression" dxfId="2605" priority="430">
      <formula>MOD(ROW(),2)=1</formula>
    </cfRule>
  </conditionalFormatting>
  <conditionalFormatting sqref="W1124">
    <cfRule type="expression" dxfId="2604" priority="429">
      <formula>MOD(ROW(),2)=1</formula>
    </cfRule>
  </conditionalFormatting>
  <conditionalFormatting sqref="W1128">
    <cfRule type="expression" dxfId="2603" priority="428">
      <formula>MOD(ROW(),2)=1</formula>
    </cfRule>
  </conditionalFormatting>
  <conditionalFormatting sqref="W1132">
    <cfRule type="expression" dxfId="2602" priority="427">
      <formula>MOD(ROW(),2)=1</formula>
    </cfRule>
  </conditionalFormatting>
  <conditionalFormatting sqref="W1136">
    <cfRule type="expression" dxfId="2601" priority="426">
      <formula>MOD(ROW(),2)=1</formula>
    </cfRule>
  </conditionalFormatting>
  <conditionalFormatting sqref="W1140">
    <cfRule type="expression" dxfId="2600" priority="425">
      <formula>MOD(ROW(),2)=1</formula>
    </cfRule>
  </conditionalFormatting>
  <conditionalFormatting sqref="W1144">
    <cfRule type="expression" dxfId="2599" priority="424">
      <formula>MOD(ROW(),2)=1</formula>
    </cfRule>
  </conditionalFormatting>
  <conditionalFormatting sqref="W1148">
    <cfRule type="expression" dxfId="2598" priority="423">
      <formula>MOD(ROW(),2)=1</formula>
    </cfRule>
  </conditionalFormatting>
  <conditionalFormatting sqref="W1152">
    <cfRule type="expression" dxfId="2597" priority="422">
      <formula>MOD(ROW(),2)=1</formula>
    </cfRule>
  </conditionalFormatting>
  <conditionalFormatting sqref="W1156">
    <cfRule type="expression" dxfId="2596" priority="421">
      <formula>MOD(ROW(),2)=1</formula>
    </cfRule>
  </conditionalFormatting>
  <conditionalFormatting sqref="W1158">
    <cfRule type="expression" dxfId="2595" priority="420">
      <formula>MOD(ROW(),2)=1</formula>
    </cfRule>
  </conditionalFormatting>
  <conditionalFormatting sqref="W1162">
    <cfRule type="expression" dxfId="2594" priority="419">
      <formula>MOD(ROW(),2)=1</formula>
    </cfRule>
  </conditionalFormatting>
  <conditionalFormatting sqref="W1166">
    <cfRule type="expression" dxfId="2593" priority="418">
      <formula>MOD(ROW(),2)=1</formula>
    </cfRule>
  </conditionalFormatting>
  <conditionalFormatting sqref="W1170">
    <cfRule type="expression" dxfId="2592" priority="417">
      <formula>MOD(ROW(),2)=1</formula>
    </cfRule>
  </conditionalFormatting>
  <conditionalFormatting sqref="W1174">
    <cfRule type="expression" dxfId="2591" priority="416">
      <formula>MOD(ROW(),2)=1</formula>
    </cfRule>
  </conditionalFormatting>
  <conditionalFormatting sqref="W1178">
    <cfRule type="expression" dxfId="2590" priority="415">
      <formula>MOD(ROW(),2)=1</formula>
    </cfRule>
  </conditionalFormatting>
  <conditionalFormatting sqref="W1182">
    <cfRule type="expression" dxfId="2589" priority="414">
      <formula>MOD(ROW(),2)=1</formula>
    </cfRule>
  </conditionalFormatting>
  <conditionalFormatting sqref="W1186">
    <cfRule type="expression" dxfId="2588" priority="413">
      <formula>MOD(ROW(),2)=1</formula>
    </cfRule>
  </conditionalFormatting>
  <conditionalFormatting sqref="W1188">
    <cfRule type="expression" dxfId="2587" priority="411">
      <formula>MOD(ROW(),2)=1</formula>
    </cfRule>
  </conditionalFormatting>
  <conditionalFormatting sqref="W1192">
    <cfRule type="expression" dxfId="2586" priority="410">
      <formula>MOD(ROW(),2)=1</formula>
    </cfRule>
  </conditionalFormatting>
  <conditionalFormatting sqref="W1196">
    <cfRule type="expression" dxfId="2585" priority="409">
      <formula>MOD(ROW(),2)=1</formula>
    </cfRule>
  </conditionalFormatting>
  <conditionalFormatting sqref="W1200">
    <cfRule type="expression" dxfId="2584" priority="408">
      <formula>MOD(ROW(),2)=1</formula>
    </cfRule>
  </conditionalFormatting>
  <conditionalFormatting sqref="W1204">
    <cfRule type="expression" dxfId="2583" priority="407">
      <formula>MOD(ROW(),2)=1</formula>
    </cfRule>
  </conditionalFormatting>
  <conditionalFormatting sqref="W1208">
    <cfRule type="expression" dxfId="2582" priority="406">
      <formula>MOD(ROW(),2)=1</formula>
    </cfRule>
  </conditionalFormatting>
  <conditionalFormatting sqref="W1212">
    <cfRule type="expression" dxfId="2581" priority="405">
      <formula>MOD(ROW(),2)=1</formula>
    </cfRule>
  </conditionalFormatting>
  <conditionalFormatting sqref="W1216">
    <cfRule type="expression" dxfId="2580" priority="404">
      <formula>MOD(ROW(),2)=1</formula>
    </cfRule>
  </conditionalFormatting>
  <conditionalFormatting sqref="W1220">
    <cfRule type="expression" dxfId="2579" priority="403">
      <formula>MOD(ROW(),2)=1</formula>
    </cfRule>
  </conditionalFormatting>
  <conditionalFormatting sqref="W1224">
    <cfRule type="expression" dxfId="2578" priority="402">
      <formula>MOD(ROW(),2)=1</formula>
    </cfRule>
  </conditionalFormatting>
  <conditionalFormatting sqref="W1236">
    <cfRule type="expression" dxfId="2577" priority="401">
      <formula>MOD(ROW(),2)=1</formula>
    </cfRule>
  </conditionalFormatting>
  <conditionalFormatting sqref="W1256">
    <cfRule type="expression" dxfId="2576" priority="393">
      <formula>MOD(ROW(),2)=1</formula>
    </cfRule>
  </conditionalFormatting>
  <conditionalFormatting sqref="W1240">
    <cfRule type="expression" dxfId="2575" priority="399">
      <formula>MOD(ROW(),2)=1</formula>
    </cfRule>
  </conditionalFormatting>
  <conditionalFormatting sqref="W1264">
    <cfRule type="expression" dxfId="2574" priority="391">
      <formula>MOD(ROW(),2)=1</formula>
    </cfRule>
  </conditionalFormatting>
  <conditionalFormatting sqref="W1244">
    <cfRule type="expression" dxfId="2573" priority="397">
      <formula>MOD(ROW(),2)=1</formula>
    </cfRule>
  </conditionalFormatting>
  <conditionalFormatting sqref="W1276">
    <cfRule type="expression" dxfId="2572" priority="389">
      <formula>MOD(ROW(),2)=1</formula>
    </cfRule>
  </conditionalFormatting>
  <conditionalFormatting sqref="W1248">
    <cfRule type="expression" dxfId="2571" priority="395">
      <formula>MOD(ROW(),2)=1</formula>
    </cfRule>
  </conditionalFormatting>
  <conditionalFormatting sqref="W1252">
    <cfRule type="expression" dxfId="2570" priority="394">
      <formula>MOD(ROW(),2)=1</formula>
    </cfRule>
  </conditionalFormatting>
  <conditionalFormatting sqref="W1260">
    <cfRule type="expression" dxfId="2569" priority="392">
      <formula>MOD(ROW(),2)=1</formula>
    </cfRule>
  </conditionalFormatting>
  <conditionalFormatting sqref="W1272">
    <cfRule type="expression" dxfId="2568" priority="390">
      <formula>MOD(ROW(),2)=1</formula>
    </cfRule>
  </conditionalFormatting>
  <conditionalFormatting sqref="W1280">
    <cfRule type="expression" dxfId="2567" priority="388">
      <formula>MOD(ROW(),2)=1</formula>
    </cfRule>
  </conditionalFormatting>
  <conditionalFormatting sqref="W1284">
    <cfRule type="expression" dxfId="2566" priority="387">
      <formula>MOD(ROW(),2)=1</formula>
    </cfRule>
  </conditionalFormatting>
  <conditionalFormatting sqref="W1290">
    <cfRule type="expression" dxfId="2565" priority="386">
      <formula>MOD(ROW(),2)=1</formula>
    </cfRule>
  </conditionalFormatting>
  <conditionalFormatting sqref="W1292">
    <cfRule type="expression" dxfId="2564" priority="385">
      <formula>MOD(ROW(),2)=1</formula>
    </cfRule>
  </conditionalFormatting>
  <conditionalFormatting sqref="W1288">
    <cfRule type="expression" dxfId="2563" priority="384">
      <formula>MOD(ROW(),2)=1</formula>
    </cfRule>
  </conditionalFormatting>
  <conditionalFormatting sqref="W1302">
    <cfRule type="expression" dxfId="2562" priority="383">
      <formula>MOD(ROW(),2)=1</formula>
    </cfRule>
  </conditionalFormatting>
  <conditionalFormatting sqref="W1304">
    <cfRule type="expression" dxfId="2561" priority="382">
      <formula>MOD(ROW(),2)=1</formula>
    </cfRule>
  </conditionalFormatting>
  <conditionalFormatting sqref="W1308">
    <cfRule type="expression" dxfId="2560" priority="381">
      <formula>MOD(ROW(),2)=1</formula>
    </cfRule>
  </conditionalFormatting>
  <conditionalFormatting sqref="W1312">
    <cfRule type="expression" dxfId="2559" priority="380">
      <formula>MOD(ROW(),2)=1</formula>
    </cfRule>
  </conditionalFormatting>
  <conditionalFormatting sqref="W1316">
    <cfRule type="expression" dxfId="2558" priority="379">
      <formula>MOD(ROW(),2)=1</formula>
    </cfRule>
  </conditionalFormatting>
  <conditionalFormatting sqref="W1320">
    <cfRule type="expression" dxfId="2557" priority="378">
      <formula>MOD(ROW(),2)=1</formula>
    </cfRule>
  </conditionalFormatting>
  <conditionalFormatting sqref="W1324">
    <cfRule type="expression" dxfId="2556" priority="376">
      <formula>MOD(ROW(),2)=1</formula>
    </cfRule>
  </conditionalFormatting>
  <conditionalFormatting sqref="W1330">
    <cfRule type="expression" dxfId="2555" priority="374">
      <formula>MOD(ROW(),2)=1</formula>
    </cfRule>
  </conditionalFormatting>
  <conditionalFormatting sqref="W1334">
    <cfRule type="expression" dxfId="2554" priority="373">
      <formula>MOD(ROW(),2)=1</formula>
    </cfRule>
  </conditionalFormatting>
  <conditionalFormatting sqref="W1338">
    <cfRule type="expression" dxfId="2553" priority="372">
      <formula>MOD(ROW(),2)=1</formula>
    </cfRule>
  </conditionalFormatting>
  <conditionalFormatting sqref="W1342">
    <cfRule type="expression" dxfId="2552" priority="371">
      <formula>MOD(ROW(),2)=1</formula>
    </cfRule>
  </conditionalFormatting>
  <conditionalFormatting sqref="W1346">
    <cfRule type="expression" dxfId="2551" priority="370">
      <formula>MOD(ROW(),2)=1</formula>
    </cfRule>
  </conditionalFormatting>
  <conditionalFormatting sqref="W1350">
    <cfRule type="expression" dxfId="2550" priority="369">
      <formula>MOD(ROW(),2)=1</formula>
    </cfRule>
  </conditionalFormatting>
  <conditionalFormatting sqref="W1356">
    <cfRule type="expression" dxfId="2549" priority="368">
      <formula>MOD(ROW(),2)=1</formula>
    </cfRule>
  </conditionalFormatting>
  <conditionalFormatting sqref="W1360">
    <cfRule type="expression" dxfId="2548" priority="367">
      <formula>MOD(ROW(),2)=1</formula>
    </cfRule>
  </conditionalFormatting>
  <conditionalFormatting sqref="W1376">
    <cfRule type="expression" dxfId="2547" priority="362">
      <formula>MOD(ROW(),2)=1</formula>
    </cfRule>
  </conditionalFormatting>
  <conditionalFormatting sqref="W1364">
    <cfRule type="expression" dxfId="2546" priority="365">
      <formula>MOD(ROW(),2)=1</formula>
    </cfRule>
  </conditionalFormatting>
  <conditionalFormatting sqref="W1368">
    <cfRule type="expression" dxfId="2545" priority="364">
      <formula>MOD(ROW(),2)=1</formula>
    </cfRule>
  </conditionalFormatting>
  <conditionalFormatting sqref="W1372">
    <cfRule type="expression" dxfId="2544" priority="363">
      <formula>MOD(ROW(),2)=1</formula>
    </cfRule>
  </conditionalFormatting>
  <conditionalFormatting sqref="W1424">
    <cfRule type="expression" dxfId="2543" priority="354">
      <formula>MOD(ROW(),2)=1</formula>
    </cfRule>
  </conditionalFormatting>
  <conditionalFormatting sqref="W1380">
    <cfRule type="expression" dxfId="2542" priority="361">
      <formula>MOD(ROW(),2)=1</formula>
    </cfRule>
  </conditionalFormatting>
  <conditionalFormatting sqref="W1384">
    <cfRule type="expression" dxfId="2541" priority="360">
      <formula>MOD(ROW(),2)=1</formula>
    </cfRule>
  </conditionalFormatting>
  <conditionalFormatting sqref="W1390">
    <cfRule type="expression" dxfId="2540" priority="359">
      <formula>MOD(ROW(),2)=1</formula>
    </cfRule>
  </conditionalFormatting>
  <conditionalFormatting sqref="W1398">
    <cfRule type="expression" dxfId="2539" priority="358">
      <formula>MOD(ROW(),2)=1</formula>
    </cfRule>
  </conditionalFormatting>
  <conditionalFormatting sqref="W1410">
    <cfRule type="expression" dxfId="2538" priority="357">
      <formula>MOD(ROW(),2)=1</formula>
    </cfRule>
  </conditionalFormatting>
  <conditionalFormatting sqref="W1414">
    <cfRule type="expression" dxfId="2537" priority="356">
      <formula>MOD(ROW(),2)=1</formula>
    </cfRule>
  </conditionalFormatting>
  <conditionalFormatting sqref="W1418">
    <cfRule type="expression" dxfId="2536" priority="355">
      <formula>MOD(ROW(),2)=1</formula>
    </cfRule>
  </conditionalFormatting>
  <conditionalFormatting sqref="W1428">
    <cfRule type="expression" dxfId="2535" priority="353">
      <formula>MOD(ROW(),2)=1</formula>
    </cfRule>
  </conditionalFormatting>
  <conditionalFormatting sqref="W1432">
    <cfRule type="expression" dxfId="2534" priority="352">
      <formula>MOD(ROW(),2)=1</formula>
    </cfRule>
  </conditionalFormatting>
  <conditionalFormatting sqref="W1436">
    <cfRule type="expression" dxfId="2533" priority="351">
      <formula>MOD(ROW(),2)=1</formula>
    </cfRule>
  </conditionalFormatting>
  <conditionalFormatting sqref="W1440">
    <cfRule type="expression" dxfId="2532" priority="350">
      <formula>MOD(ROW(),2)=1</formula>
    </cfRule>
  </conditionalFormatting>
  <conditionalFormatting sqref="W1444">
    <cfRule type="expression" dxfId="2531" priority="349">
      <formula>MOD(ROW(),2)=1</formula>
    </cfRule>
  </conditionalFormatting>
  <conditionalFormatting sqref="W1448">
    <cfRule type="expression" dxfId="2530" priority="348">
      <formula>MOD(ROW(),2)=1</formula>
    </cfRule>
  </conditionalFormatting>
  <conditionalFormatting sqref="W1452">
    <cfRule type="expression" dxfId="2529" priority="347">
      <formula>MOD(ROW(),2)=1</formula>
    </cfRule>
  </conditionalFormatting>
  <conditionalFormatting sqref="W1456">
    <cfRule type="expression" dxfId="2528" priority="346">
      <formula>MOD(ROW(),2)=1</formula>
    </cfRule>
  </conditionalFormatting>
  <conditionalFormatting sqref="W1460">
    <cfRule type="expression" dxfId="2527" priority="345">
      <formula>MOD(ROW(),2)=1</formula>
    </cfRule>
  </conditionalFormatting>
  <conditionalFormatting sqref="W1468">
    <cfRule type="expression" dxfId="2526" priority="334">
      <formula>MOD(ROW(),2)=1</formula>
    </cfRule>
  </conditionalFormatting>
  <conditionalFormatting sqref="W1472">
    <cfRule type="expression" dxfId="2525" priority="332">
      <formula>MOD(ROW(),2)=1</formula>
    </cfRule>
  </conditionalFormatting>
  <conditionalFormatting sqref="W1476">
    <cfRule type="expression" dxfId="2524" priority="331">
      <formula>MOD(ROW(),2)=1</formula>
    </cfRule>
  </conditionalFormatting>
  <conditionalFormatting sqref="W1480">
    <cfRule type="expression" dxfId="2523" priority="330">
      <formula>MOD(ROW(),2)=1</formula>
    </cfRule>
  </conditionalFormatting>
  <conditionalFormatting sqref="W1484">
    <cfRule type="expression" dxfId="2522" priority="329">
      <formula>MOD(ROW(),2)=1</formula>
    </cfRule>
  </conditionalFormatting>
  <conditionalFormatting sqref="W1488">
    <cfRule type="expression" dxfId="2521" priority="328">
      <formula>MOD(ROW(),2)=1</formula>
    </cfRule>
  </conditionalFormatting>
  <conditionalFormatting sqref="W1492">
    <cfRule type="expression" dxfId="2520" priority="327">
      <formula>MOD(ROW(),2)=1</formula>
    </cfRule>
  </conditionalFormatting>
  <conditionalFormatting sqref="W1496">
    <cfRule type="expression" dxfId="2519" priority="326">
      <formula>MOD(ROW(),2)=1</formula>
    </cfRule>
  </conditionalFormatting>
  <conditionalFormatting sqref="W1500">
    <cfRule type="expression" dxfId="2518" priority="325">
      <formula>MOD(ROW(),2)=1</formula>
    </cfRule>
  </conditionalFormatting>
  <conditionalFormatting sqref="W1508">
    <cfRule type="expression" dxfId="2517" priority="323">
      <formula>MOD(ROW(),2)=1</formula>
    </cfRule>
  </conditionalFormatting>
  <conditionalFormatting sqref="W1512">
    <cfRule type="expression" dxfId="2516" priority="322">
      <formula>MOD(ROW(),2)=1</formula>
    </cfRule>
  </conditionalFormatting>
  <conditionalFormatting sqref="W1516">
    <cfRule type="expression" dxfId="2515" priority="321">
      <formula>MOD(ROW(),2)=1</formula>
    </cfRule>
  </conditionalFormatting>
  <conditionalFormatting sqref="W1520">
    <cfRule type="expression" dxfId="2514" priority="320">
      <formula>MOD(ROW(),2)=1</formula>
    </cfRule>
  </conditionalFormatting>
  <conditionalFormatting sqref="W1524">
    <cfRule type="expression" dxfId="2513" priority="319">
      <formula>MOD(ROW(),2)=1</formula>
    </cfRule>
  </conditionalFormatting>
  <conditionalFormatting sqref="W1528">
    <cfRule type="expression" dxfId="2512" priority="318">
      <formula>MOD(ROW(),2)=1</formula>
    </cfRule>
  </conditionalFormatting>
  <conditionalFormatting sqref="W1532">
    <cfRule type="expression" dxfId="2511" priority="317">
      <formula>MOD(ROW(),2)=1</formula>
    </cfRule>
  </conditionalFormatting>
  <conditionalFormatting sqref="W1536">
    <cfRule type="expression" dxfId="2510" priority="316">
      <formula>MOD(ROW(),2)=1</formula>
    </cfRule>
  </conditionalFormatting>
  <conditionalFormatting sqref="W1540">
    <cfRule type="expression" dxfId="2509" priority="315">
      <formula>MOD(ROW(),2)=1</formula>
    </cfRule>
  </conditionalFormatting>
  <conditionalFormatting sqref="M12:P12">
    <cfRule type="expression" dxfId="2508" priority="300">
      <formula>MOD(ROW(),2)=1</formula>
    </cfRule>
  </conditionalFormatting>
  <conditionalFormatting sqref="M14:P14">
    <cfRule type="expression" dxfId="2507" priority="299">
      <formula>MOD(ROW(),2)=1</formula>
    </cfRule>
  </conditionalFormatting>
  <conditionalFormatting sqref="M18:P18">
    <cfRule type="expression" dxfId="2506" priority="298">
      <formula>MOD(ROW(),2)=1</formula>
    </cfRule>
  </conditionalFormatting>
  <conditionalFormatting sqref="M20:P20">
    <cfRule type="expression" dxfId="2505" priority="297">
      <formula>MOD(ROW(),2)=1</formula>
    </cfRule>
  </conditionalFormatting>
  <conditionalFormatting sqref="H24:I24">
    <cfRule type="expression" dxfId="2504" priority="296">
      <formula>MOD(ROW(),2)=1</formula>
    </cfRule>
  </conditionalFormatting>
  <conditionalFormatting sqref="H26:I26">
    <cfRule type="expression" dxfId="2503" priority="295">
      <formula>MOD(ROW(),2)=1</formula>
    </cfRule>
  </conditionalFormatting>
  <conditionalFormatting sqref="E24:I24">
    <cfRule type="expression" dxfId="2502" priority="294">
      <formula>MOD(ROW(),2)=1</formula>
    </cfRule>
  </conditionalFormatting>
  <conditionalFormatting sqref="E26:I26">
    <cfRule type="expression" dxfId="2501" priority="293">
      <formula>MOD(ROW(),2)=1</formula>
    </cfRule>
  </conditionalFormatting>
  <conditionalFormatting sqref="H82:I82">
    <cfRule type="expression" dxfId="2500" priority="289">
      <formula>MOD(ROW(),2)=1</formula>
    </cfRule>
  </conditionalFormatting>
  <conditionalFormatting sqref="H84:I84">
    <cfRule type="expression" dxfId="2499" priority="288">
      <formula>MOD(ROW(),2)=1</formula>
    </cfRule>
  </conditionalFormatting>
  <conditionalFormatting sqref="I122">
    <cfRule type="expression" dxfId="2498" priority="287">
      <formula>MOD(ROW(),2)=1</formula>
    </cfRule>
  </conditionalFormatting>
  <conditionalFormatting sqref="I126">
    <cfRule type="expression" dxfId="2497" priority="286">
      <formula>MOD(ROW(),2)=1</formula>
    </cfRule>
  </conditionalFormatting>
  <conditionalFormatting sqref="I130">
    <cfRule type="expression" dxfId="2496" priority="285">
      <formula>MOD(ROW(),2)=1</formula>
    </cfRule>
  </conditionalFormatting>
  <conditionalFormatting sqref="AC722 AG722">
    <cfRule type="expression" dxfId="2495" priority="284">
      <formula>MOD(ROW(),2)=1</formula>
    </cfRule>
  </conditionalFormatting>
  <conditionalFormatting sqref="AC734 AC736 AG736 AG734">
    <cfRule type="expression" dxfId="2494" priority="283">
      <formula>MOD(ROW(),2)=1</formula>
    </cfRule>
  </conditionalFormatting>
  <conditionalFormatting sqref="Y736">
    <cfRule type="expression" dxfId="2493" priority="282">
      <formula>MOD(ROW(),2)=1</formula>
    </cfRule>
  </conditionalFormatting>
  <conditionalFormatting sqref="W736">
    <cfRule type="expression" dxfId="2492" priority="281">
      <formula>MOD(ROW(),2)=1</formula>
    </cfRule>
  </conditionalFormatting>
  <conditionalFormatting sqref="E806:I806">
    <cfRule type="expression" dxfId="2491" priority="279">
      <formula>MOD(ROW(),2)=1</formula>
    </cfRule>
  </conditionalFormatting>
  <conditionalFormatting sqref="E804:I804">
    <cfRule type="expression" dxfId="2490" priority="280">
      <formula>MOD(ROW(),2)=1</formula>
    </cfRule>
  </conditionalFormatting>
  <conditionalFormatting sqref="E824:I824">
    <cfRule type="expression" dxfId="2489" priority="276">
      <formula>MOD(ROW(),2)=1</formula>
    </cfRule>
  </conditionalFormatting>
  <conditionalFormatting sqref="E822:I822">
    <cfRule type="expression" dxfId="2488" priority="277">
      <formula>MOD(ROW(),2)=1</formula>
    </cfRule>
  </conditionalFormatting>
  <conditionalFormatting sqref="E820:I820">
    <cfRule type="expression" dxfId="2487" priority="278">
      <formula>MOD(ROW(),2)=1</formula>
    </cfRule>
  </conditionalFormatting>
  <conditionalFormatting sqref="J876">
    <cfRule type="expression" dxfId="2486" priority="275">
      <formula>MOD(ROW(),2)=1</formula>
    </cfRule>
  </conditionalFormatting>
  <conditionalFormatting sqref="I876">
    <cfRule type="expression" dxfId="2485" priority="274">
      <formula>MOD(ROW(),2)=1</formula>
    </cfRule>
  </conditionalFormatting>
  <conditionalFormatting sqref="AC1066 AG1066">
    <cfRule type="expression" dxfId="2484" priority="273">
      <formula>MOD(ROW(),2)=1</formula>
    </cfRule>
  </conditionalFormatting>
  <conditionalFormatting sqref="W1226">
    <cfRule type="expression" dxfId="2483" priority="268">
      <formula>MOD(ROW(),2)=1</formula>
    </cfRule>
  </conditionalFormatting>
  <conditionalFormatting sqref="AC1226 AG1226">
    <cfRule type="expression" dxfId="2482" priority="271">
      <formula>MOD(ROW(),2)=1</formula>
    </cfRule>
  </conditionalFormatting>
  <conditionalFormatting sqref="AD1226">
    <cfRule type="expression" dxfId="2481" priority="270">
      <formula>MOD(ROW(),2)=1</formula>
    </cfRule>
  </conditionalFormatting>
  <conditionalFormatting sqref="Y1226">
    <cfRule type="expression" dxfId="2480" priority="269">
      <formula>MOD(ROW(),2)=1</formula>
    </cfRule>
  </conditionalFormatting>
  <conditionalFormatting sqref="AC1228 AG1228">
    <cfRule type="expression" dxfId="2479" priority="267">
      <formula>MOD(ROW(),2)=1</formula>
    </cfRule>
  </conditionalFormatting>
  <conditionalFormatting sqref="AD1228">
    <cfRule type="expression" dxfId="2478" priority="266">
      <formula>MOD(ROW(),2)=1</formula>
    </cfRule>
  </conditionalFormatting>
  <conditionalFormatting sqref="Y1228">
    <cfRule type="expression" dxfId="2477" priority="265">
      <formula>MOD(ROW(),2)=1</formula>
    </cfRule>
  </conditionalFormatting>
  <conditionalFormatting sqref="W1228">
    <cfRule type="expression" dxfId="2476" priority="264">
      <formula>MOD(ROW(),2)=1</formula>
    </cfRule>
  </conditionalFormatting>
  <conditionalFormatting sqref="I1280">
    <cfRule type="expression" dxfId="2475" priority="263">
      <formula>MOD(ROW(),2)=1</formula>
    </cfRule>
  </conditionalFormatting>
  <conditionalFormatting sqref="I1284">
    <cfRule type="expression" dxfId="2474" priority="262">
      <formula>MOD(ROW(),2)=1</formula>
    </cfRule>
  </conditionalFormatting>
  <conditionalFormatting sqref="I1290">
    <cfRule type="expression" dxfId="2473" priority="261">
      <formula>MOD(ROW(),2)=1</formula>
    </cfRule>
  </conditionalFormatting>
  <conditionalFormatting sqref="I1292">
    <cfRule type="expression" dxfId="2472" priority="260">
      <formula>MOD(ROW(),2)=1</formula>
    </cfRule>
  </conditionalFormatting>
  <conditionalFormatting sqref="I1288">
    <cfRule type="expression" dxfId="2471" priority="259">
      <formula>MOD(ROW(),2)=1</formula>
    </cfRule>
  </conditionalFormatting>
  <conditionalFormatting sqref="I1302">
    <cfRule type="expression" dxfId="2470" priority="258">
      <formula>MOD(ROW(),2)=1</formula>
    </cfRule>
  </conditionalFormatting>
  <conditionalFormatting sqref="I1304">
    <cfRule type="expression" dxfId="2469" priority="257">
      <formula>MOD(ROW(),2)=1</formula>
    </cfRule>
  </conditionalFormatting>
  <conditionalFormatting sqref="AC1394 AC1396 AG1396 AG1394">
    <cfRule type="expression" dxfId="2468" priority="256">
      <formula>MOD(ROW(),2)=1</formula>
    </cfRule>
  </conditionalFormatting>
  <conditionalFormatting sqref="AD1394 AD1396">
    <cfRule type="expression" dxfId="2467" priority="255">
      <formula>MOD(ROW(),2)=1</formula>
    </cfRule>
  </conditionalFormatting>
  <conditionalFormatting sqref="Y1394">
    <cfRule type="expression" dxfId="2466" priority="254">
      <formula>MOD(ROW(),2)=1</formula>
    </cfRule>
  </conditionalFormatting>
  <conditionalFormatting sqref="W1394">
    <cfRule type="expression" dxfId="2465" priority="253">
      <formula>MOD(ROW(),2)=1</formula>
    </cfRule>
  </conditionalFormatting>
  <conditionalFormatting sqref="W1402">
    <cfRule type="expression" dxfId="2464" priority="245">
      <formula>MOD(ROW(),2)=1</formula>
    </cfRule>
  </conditionalFormatting>
  <conditionalFormatting sqref="AC1406 AC1408 AG1408 AG1406">
    <cfRule type="expression" dxfId="2463" priority="252">
      <formula>MOD(ROW(),2)=1</formula>
    </cfRule>
  </conditionalFormatting>
  <conditionalFormatting sqref="AD1406 AD1408">
    <cfRule type="expression" dxfId="2462" priority="251">
      <formula>MOD(ROW(),2)=1</formula>
    </cfRule>
  </conditionalFormatting>
  <conditionalFormatting sqref="Y1406">
    <cfRule type="expression" dxfId="2461" priority="250">
      <formula>MOD(ROW(),2)=1</formula>
    </cfRule>
  </conditionalFormatting>
  <conditionalFormatting sqref="W1406">
    <cfRule type="expression" dxfId="2460" priority="249">
      <formula>MOD(ROW(),2)=1</formula>
    </cfRule>
  </conditionalFormatting>
  <conditionalFormatting sqref="AC1402 AC1404 AG1404 AG1402">
    <cfRule type="expression" dxfId="2459" priority="248">
      <formula>MOD(ROW(),2)=1</formula>
    </cfRule>
  </conditionalFormatting>
  <conditionalFormatting sqref="AD1402 AD1404">
    <cfRule type="expression" dxfId="2458" priority="247">
      <formula>MOD(ROW(),2)=1</formula>
    </cfRule>
  </conditionalFormatting>
  <conditionalFormatting sqref="Y1402">
    <cfRule type="expression" dxfId="2457" priority="246">
      <formula>MOD(ROW(),2)=1</formula>
    </cfRule>
  </conditionalFormatting>
  <conditionalFormatting sqref="W698">
    <cfRule type="expression" dxfId="2456" priority="238">
      <formula>MOD(ROW(),2)=1</formula>
    </cfRule>
  </conditionalFormatting>
  <conditionalFormatting sqref="AC698 AG698">
    <cfRule type="expression" dxfId="2455" priority="241">
      <formula>MOD(ROW(),2)=1</formula>
    </cfRule>
  </conditionalFormatting>
  <conditionalFormatting sqref="AD698">
    <cfRule type="expression" dxfId="2454" priority="240">
      <formula>MOD(ROW(),2)=1</formula>
    </cfRule>
  </conditionalFormatting>
  <conditionalFormatting sqref="Y698">
    <cfRule type="expression" dxfId="2453" priority="239">
      <formula>MOD(ROW(),2)=1</formula>
    </cfRule>
  </conditionalFormatting>
  <conditionalFormatting sqref="W700">
    <cfRule type="expression" dxfId="2452" priority="234">
      <formula>MOD(ROW(),2)=1</formula>
    </cfRule>
  </conditionalFormatting>
  <conditionalFormatting sqref="W702">
    <cfRule type="expression" dxfId="2451" priority="230">
      <formula>MOD(ROW(),2)=1</formula>
    </cfRule>
  </conditionalFormatting>
  <conditionalFormatting sqref="AC700 AG700">
    <cfRule type="expression" dxfId="2450" priority="237">
      <formula>MOD(ROW(),2)=1</formula>
    </cfRule>
  </conditionalFormatting>
  <conditionalFormatting sqref="AD700">
    <cfRule type="expression" dxfId="2449" priority="236">
      <formula>MOD(ROW(),2)=1</formula>
    </cfRule>
  </conditionalFormatting>
  <conditionalFormatting sqref="Y700">
    <cfRule type="expression" dxfId="2448" priority="235">
      <formula>MOD(ROW(),2)=1</formula>
    </cfRule>
  </conditionalFormatting>
  <conditionalFormatting sqref="W704">
    <cfRule type="expression" dxfId="2447" priority="226">
      <formula>MOD(ROW(),2)=1</formula>
    </cfRule>
  </conditionalFormatting>
  <conditionalFormatting sqref="AC702 AG702">
    <cfRule type="expression" dxfId="2446" priority="233">
      <formula>MOD(ROW(),2)=1</formula>
    </cfRule>
  </conditionalFormatting>
  <conditionalFormatting sqref="AD702">
    <cfRule type="expression" dxfId="2445" priority="232">
      <formula>MOD(ROW(),2)=1</formula>
    </cfRule>
  </conditionalFormatting>
  <conditionalFormatting sqref="Y702">
    <cfRule type="expression" dxfId="2444" priority="231">
      <formula>MOD(ROW(),2)=1</formula>
    </cfRule>
  </conditionalFormatting>
  <conditionalFormatting sqref="W706">
    <cfRule type="expression" dxfId="2443" priority="222">
      <formula>MOD(ROW(),2)=1</formula>
    </cfRule>
  </conditionalFormatting>
  <conditionalFormatting sqref="AC704 AG704">
    <cfRule type="expression" dxfId="2442" priority="229">
      <formula>MOD(ROW(),2)=1</formula>
    </cfRule>
  </conditionalFormatting>
  <conditionalFormatting sqref="AD704">
    <cfRule type="expression" dxfId="2441" priority="228">
      <formula>MOD(ROW(),2)=1</formula>
    </cfRule>
  </conditionalFormatting>
  <conditionalFormatting sqref="Y704">
    <cfRule type="expression" dxfId="2440" priority="227">
      <formula>MOD(ROW(),2)=1</formula>
    </cfRule>
  </conditionalFormatting>
  <conditionalFormatting sqref="W708">
    <cfRule type="expression" dxfId="2439" priority="218">
      <formula>MOD(ROW(),2)=1</formula>
    </cfRule>
  </conditionalFormatting>
  <conditionalFormatting sqref="AC706 AG706">
    <cfRule type="expression" dxfId="2438" priority="225">
      <formula>MOD(ROW(),2)=1</formula>
    </cfRule>
  </conditionalFormatting>
  <conditionalFormatting sqref="AD706">
    <cfRule type="expression" dxfId="2437" priority="224">
      <formula>MOD(ROW(),2)=1</formula>
    </cfRule>
  </conditionalFormatting>
  <conditionalFormatting sqref="Y706">
    <cfRule type="expression" dxfId="2436" priority="223">
      <formula>MOD(ROW(),2)=1</formula>
    </cfRule>
  </conditionalFormatting>
  <conditionalFormatting sqref="W710">
    <cfRule type="expression" dxfId="2435" priority="214">
      <formula>MOD(ROW(),2)=1</formula>
    </cfRule>
  </conditionalFormatting>
  <conditionalFormatting sqref="W712">
    <cfRule type="expression" dxfId="2434" priority="210">
      <formula>MOD(ROW(),2)=1</formula>
    </cfRule>
  </conditionalFormatting>
  <conditionalFormatting sqref="AC708 AG708">
    <cfRule type="expression" dxfId="2433" priority="221">
      <formula>MOD(ROW(),2)=1</formula>
    </cfRule>
  </conditionalFormatting>
  <conditionalFormatting sqref="AD708">
    <cfRule type="expression" dxfId="2432" priority="220">
      <formula>MOD(ROW(),2)=1</formula>
    </cfRule>
  </conditionalFormatting>
  <conditionalFormatting sqref="Y708">
    <cfRule type="expression" dxfId="2431" priority="219">
      <formula>MOD(ROW(),2)=1</formula>
    </cfRule>
  </conditionalFormatting>
  <conditionalFormatting sqref="AC710 AG710">
    <cfRule type="expression" dxfId="2430" priority="217">
      <formula>MOD(ROW(),2)=1</formula>
    </cfRule>
  </conditionalFormatting>
  <conditionalFormatting sqref="AD710">
    <cfRule type="expression" dxfId="2429" priority="216">
      <formula>MOD(ROW(),2)=1</formula>
    </cfRule>
  </conditionalFormatting>
  <conditionalFormatting sqref="Y710">
    <cfRule type="expression" dxfId="2428" priority="215">
      <formula>MOD(ROW(),2)=1</formula>
    </cfRule>
  </conditionalFormatting>
  <conditionalFormatting sqref="AC712 AG712">
    <cfRule type="expression" dxfId="2427" priority="213">
      <formula>MOD(ROW(),2)=1</formula>
    </cfRule>
  </conditionalFormatting>
  <conditionalFormatting sqref="AD712">
    <cfRule type="expression" dxfId="2426" priority="212">
      <formula>MOD(ROW(),2)=1</formula>
    </cfRule>
  </conditionalFormatting>
  <conditionalFormatting sqref="Y712">
    <cfRule type="expression" dxfId="2425" priority="211">
      <formula>MOD(ROW(),2)=1</formula>
    </cfRule>
  </conditionalFormatting>
  <conditionalFormatting sqref="AD954">
    <cfRule type="expression" dxfId="2424" priority="208">
      <formula>MOD(ROW(),2)=1</formula>
    </cfRule>
  </conditionalFormatting>
  <conditionalFormatting sqref="AD956">
    <cfRule type="expression" dxfId="2423" priority="207">
      <formula>MOD(ROW(),2)=1</formula>
    </cfRule>
  </conditionalFormatting>
  <conditionalFormatting sqref="AD958">
    <cfRule type="expression" dxfId="2422" priority="206">
      <formula>MOD(ROW(),2)=1</formula>
    </cfRule>
  </conditionalFormatting>
  <conditionalFormatting sqref="AD960">
    <cfRule type="expression" dxfId="2421" priority="205">
      <formula>MOD(ROW(),2)=1</formula>
    </cfRule>
  </conditionalFormatting>
  <conditionalFormatting sqref="AD962">
    <cfRule type="expression" dxfId="2420" priority="204">
      <formula>MOD(ROW(),2)=1</formula>
    </cfRule>
  </conditionalFormatting>
  <conditionalFormatting sqref="Z1355">
    <cfRule type="expression" dxfId="2419" priority="202">
      <formula>MOD(ROW(),2)=1</formula>
    </cfRule>
  </conditionalFormatting>
  <conditionalFormatting sqref="AD1354">
    <cfRule type="expression" dxfId="2418" priority="201">
      <formula>MOD(ROW(),2)=1</formula>
    </cfRule>
  </conditionalFormatting>
  <conditionalFormatting sqref="AC932 AG932">
    <cfRule type="expression" dxfId="2417" priority="194">
      <formula>MOD(ROW(),2)=1</formula>
    </cfRule>
  </conditionalFormatting>
  <conditionalFormatting sqref="AD932">
    <cfRule type="expression" dxfId="2416" priority="193">
      <formula>MOD(ROW(),2)=1</formula>
    </cfRule>
  </conditionalFormatting>
  <conditionalFormatting sqref="AC934 AG934">
    <cfRule type="expression" dxfId="2415" priority="192">
      <formula>MOD(ROW(),2)=1</formula>
    </cfRule>
  </conditionalFormatting>
  <conditionalFormatting sqref="AD934">
    <cfRule type="expression" dxfId="2414" priority="191">
      <formula>MOD(ROW(),2)=1</formula>
    </cfRule>
  </conditionalFormatting>
  <conditionalFormatting sqref="I684 I688">
    <cfRule type="expression" dxfId="2413" priority="189">
      <formula>MOD(ROW(),2)=1</formula>
    </cfRule>
  </conditionalFormatting>
  <conditionalFormatting sqref="J688">
    <cfRule type="expression" dxfId="2412" priority="190">
      <formula>MOD(ROW(),2)=1</formula>
    </cfRule>
  </conditionalFormatting>
  <conditionalFormatting sqref="AB686">
    <cfRule type="expression" dxfId="2411" priority="183">
      <formula>MOD(ROW(),2)=1</formula>
    </cfRule>
  </conditionalFormatting>
  <conditionalFormatting sqref="AD684 AD686 AD688">
    <cfRule type="expression" dxfId="2410" priority="182">
      <formula>MOD(ROW(),2)=1</formula>
    </cfRule>
  </conditionalFormatting>
  <conditionalFormatting sqref="U14 U16 U12">
    <cfRule type="expression" dxfId="2409" priority="181">
      <formula>MOD(ROW(),2)=1</formula>
    </cfRule>
  </conditionalFormatting>
  <conditionalFormatting sqref="U22 U24 U20">
    <cfRule type="expression" dxfId="2408" priority="180">
      <formula>MOD(ROW(),2)=1</formula>
    </cfRule>
  </conditionalFormatting>
  <conditionalFormatting sqref="U30 U32 U28">
    <cfRule type="expression" dxfId="2407" priority="179">
      <formula>MOD(ROW(),2)=1</formula>
    </cfRule>
  </conditionalFormatting>
  <conditionalFormatting sqref="U38 U40 U36">
    <cfRule type="expression" dxfId="2406" priority="178">
      <formula>MOD(ROW(),2)=1</formula>
    </cfRule>
  </conditionalFormatting>
  <conditionalFormatting sqref="U46 U48 U44">
    <cfRule type="expression" dxfId="2405" priority="177">
      <formula>MOD(ROW(),2)=1</formula>
    </cfRule>
  </conditionalFormatting>
  <conditionalFormatting sqref="U54 U56 U52">
    <cfRule type="expression" dxfId="2404" priority="176">
      <formula>MOD(ROW(),2)=1</formula>
    </cfRule>
  </conditionalFormatting>
  <conditionalFormatting sqref="U62 U64 U60">
    <cfRule type="expression" dxfId="2403" priority="175">
      <formula>MOD(ROW(),2)=1</formula>
    </cfRule>
  </conditionalFormatting>
  <conditionalFormatting sqref="U70 U72 U68">
    <cfRule type="expression" dxfId="2402" priority="174">
      <formula>MOD(ROW(),2)=1</formula>
    </cfRule>
  </conditionalFormatting>
  <conditionalFormatting sqref="U78 U80 U76">
    <cfRule type="expression" dxfId="2401" priority="173">
      <formula>MOD(ROW(),2)=1</formula>
    </cfRule>
  </conditionalFormatting>
  <conditionalFormatting sqref="U86 U88 U84">
    <cfRule type="expression" dxfId="2400" priority="172">
      <formula>MOD(ROW(),2)=1</formula>
    </cfRule>
  </conditionalFormatting>
  <conditionalFormatting sqref="U94 U96 U92">
    <cfRule type="expression" dxfId="2399" priority="171">
      <formula>MOD(ROW(),2)=1</formula>
    </cfRule>
  </conditionalFormatting>
  <conditionalFormatting sqref="U102 U104 U100">
    <cfRule type="expression" dxfId="2398" priority="170">
      <formula>MOD(ROW(),2)=1</formula>
    </cfRule>
  </conditionalFormatting>
  <conditionalFormatting sqref="U110 U112 U108">
    <cfRule type="expression" dxfId="2397" priority="169">
      <formula>MOD(ROW(),2)=1</formula>
    </cfRule>
  </conditionalFormatting>
  <conditionalFormatting sqref="U118 U120 U116">
    <cfRule type="expression" dxfId="2396" priority="168">
      <formula>MOD(ROW(),2)=1</formula>
    </cfRule>
  </conditionalFormatting>
  <conditionalFormatting sqref="U126 U128 U124">
    <cfRule type="expression" dxfId="2395" priority="167">
      <formula>MOD(ROW(),2)=1</formula>
    </cfRule>
  </conditionalFormatting>
  <conditionalFormatting sqref="U134 U136 U132">
    <cfRule type="expression" dxfId="2394" priority="166">
      <formula>MOD(ROW(),2)=1</formula>
    </cfRule>
  </conditionalFormatting>
  <conditionalFormatting sqref="U140">
    <cfRule type="expression" dxfId="2393" priority="165">
      <formula>MOD(ROW(),2)=1</formula>
    </cfRule>
  </conditionalFormatting>
  <conditionalFormatting sqref="U152 U154 U150">
    <cfRule type="expression" dxfId="2392" priority="164">
      <formula>MOD(ROW(),2)=1</formula>
    </cfRule>
  </conditionalFormatting>
  <conditionalFormatting sqref="U160 U162 U158">
    <cfRule type="expression" dxfId="2391" priority="163">
      <formula>MOD(ROW(),2)=1</formula>
    </cfRule>
  </conditionalFormatting>
  <conditionalFormatting sqref="U168 U170 U166">
    <cfRule type="expression" dxfId="2390" priority="162">
      <formula>MOD(ROW(),2)=1</formula>
    </cfRule>
  </conditionalFormatting>
  <conditionalFormatting sqref="U176 U178 U174">
    <cfRule type="expression" dxfId="2389" priority="161">
      <formula>MOD(ROW(),2)=1</formula>
    </cfRule>
  </conditionalFormatting>
  <conditionalFormatting sqref="U184 U186 U182">
    <cfRule type="expression" dxfId="2388" priority="160">
      <formula>MOD(ROW(),2)=1</formula>
    </cfRule>
  </conditionalFormatting>
  <conditionalFormatting sqref="U192 U200 U190">
    <cfRule type="expression" dxfId="2387" priority="159">
      <formula>MOD(ROW(),2)=1</formula>
    </cfRule>
  </conditionalFormatting>
  <conditionalFormatting sqref="U206 U208 U204">
    <cfRule type="expression" dxfId="2386" priority="158">
      <formula>MOD(ROW(),2)=1</formula>
    </cfRule>
  </conditionalFormatting>
  <conditionalFormatting sqref="U214 U216 U212">
    <cfRule type="expression" dxfId="2385" priority="157">
      <formula>MOD(ROW(),2)=1</formula>
    </cfRule>
  </conditionalFormatting>
  <conditionalFormatting sqref="U222 U224 U220">
    <cfRule type="expression" dxfId="2384" priority="156">
      <formula>MOD(ROW(),2)=1</formula>
    </cfRule>
  </conditionalFormatting>
  <conditionalFormatting sqref="U232 U234 U230">
    <cfRule type="expression" dxfId="2383" priority="155">
      <formula>MOD(ROW(),2)=1</formula>
    </cfRule>
  </conditionalFormatting>
  <conditionalFormatting sqref="U240 U242 U238">
    <cfRule type="expression" dxfId="2382" priority="154">
      <formula>MOD(ROW(),2)=1</formula>
    </cfRule>
  </conditionalFormatting>
  <conditionalFormatting sqref="U248 U250 U246">
    <cfRule type="expression" dxfId="2381" priority="153">
      <formula>MOD(ROW(),2)=1</formula>
    </cfRule>
  </conditionalFormatting>
  <conditionalFormatting sqref="U256 U258 U254">
    <cfRule type="expression" dxfId="2380" priority="152">
      <formula>MOD(ROW(),2)=1</formula>
    </cfRule>
  </conditionalFormatting>
  <conditionalFormatting sqref="U264 U266 U262">
    <cfRule type="expression" dxfId="2379" priority="151">
      <formula>MOD(ROW(),2)=1</formula>
    </cfRule>
  </conditionalFormatting>
  <conditionalFormatting sqref="U272 U274 U270">
    <cfRule type="expression" dxfId="2378" priority="150">
      <formula>MOD(ROW(),2)=1</formula>
    </cfRule>
  </conditionalFormatting>
  <conditionalFormatting sqref="U280 U282 U278">
    <cfRule type="expression" dxfId="2377" priority="149">
      <formula>MOD(ROW(),2)=1</formula>
    </cfRule>
  </conditionalFormatting>
  <conditionalFormatting sqref="U288 U290 U286">
    <cfRule type="expression" dxfId="2376" priority="148">
      <formula>MOD(ROW(),2)=1</formula>
    </cfRule>
  </conditionalFormatting>
  <conditionalFormatting sqref="U296 U298 U294">
    <cfRule type="expression" dxfId="2375" priority="147">
      <formula>MOD(ROW(),2)=1</formula>
    </cfRule>
  </conditionalFormatting>
  <conditionalFormatting sqref="U304 U306 U302">
    <cfRule type="expression" dxfId="2374" priority="146">
      <formula>MOD(ROW(),2)=1</formula>
    </cfRule>
  </conditionalFormatting>
  <conditionalFormatting sqref="U312 U314 U310">
    <cfRule type="expression" dxfId="2373" priority="145">
      <formula>MOD(ROW(),2)=1</formula>
    </cfRule>
  </conditionalFormatting>
  <conditionalFormatting sqref="U320 U322 U318">
    <cfRule type="expression" dxfId="2372" priority="144">
      <formula>MOD(ROW(),2)=1</formula>
    </cfRule>
  </conditionalFormatting>
  <conditionalFormatting sqref="U338 U340 U326">
    <cfRule type="expression" dxfId="2371" priority="143">
      <formula>MOD(ROW(),2)=1</formula>
    </cfRule>
  </conditionalFormatting>
  <conditionalFormatting sqref="U346 U348 U344">
    <cfRule type="expression" dxfId="2370" priority="142">
      <formula>MOD(ROW(),2)=1</formula>
    </cfRule>
  </conditionalFormatting>
  <conditionalFormatting sqref="U354 U356 U352">
    <cfRule type="expression" dxfId="2369" priority="141">
      <formula>MOD(ROW(),2)=1</formula>
    </cfRule>
  </conditionalFormatting>
  <conditionalFormatting sqref="U360">
    <cfRule type="expression" dxfId="2368" priority="140">
      <formula>MOD(ROW(),2)=1</formula>
    </cfRule>
  </conditionalFormatting>
  <conditionalFormatting sqref="U398 U400 U396">
    <cfRule type="expression" dxfId="2367" priority="139">
      <formula>MOD(ROW(),2)=1</formula>
    </cfRule>
  </conditionalFormatting>
  <conditionalFormatting sqref="U406 U432 U404">
    <cfRule type="expression" dxfId="2366" priority="138">
      <formula>MOD(ROW(),2)=1</formula>
    </cfRule>
  </conditionalFormatting>
  <conditionalFormatting sqref="U438 U440 U436">
    <cfRule type="expression" dxfId="2365" priority="137">
      <formula>MOD(ROW(),2)=1</formula>
    </cfRule>
  </conditionalFormatting>
  <conditionalFormatting sqref="U446 U448 U444">
    <cfRule type="expression" dxfId="2364" priority="136">
      <formula>MOD(ROW(),2)=1</formula>
    </cfRule>
  </conditionalFormatting>
  <conditionalFormatting sqref="U454 U456 U452">
    <cfRule type="expression" dxfId="2363" priority="135">
      <formula>MOD(ROW(),2)=1</formula>
    </cfRule>
  </conditionalFormatting>
  <conditionalFormatting sqref="U462 U464 U460">
    <cfRule type="expression" dxfId="2362" priority="134">
      <formula>MOD(ROW(),2)=1</formula>
    </cfRule>
  </conditionalFormatting>
  <conditionalFormatting sqref="U470 U472 U468">
    <cfRule type="expression" dxfId="2361" priority="133">
      <formula>MOD(ROW(),2)=1</formula>
    </cfRule>
  </conditionalFormatting>
  <conditionalFormatting sqref="U488 U490 U486">
    <cfRule type="expression" dxfId="2360" priority="132">
      <formula>MOD(ROW(),2)=1</formula>
    </cfRule>
  </conditionalFormatting>
  <conditionalFormatting sqref="U500 U502 U498">
    <cfRule type="expression" dxfId="2359" priority="131">
      <formula>MOD(ROW(),2)=1</formula>
    </cfRule>
  </conditionalFormatting>
  <conditionalFormatting sqref="U508 U510 U506">
    <cfRule type="expression" dxfId="2358" priority="130">
      <formula>MOD(ROW(),2)=1</formula>
    </cfRule>
  </conditionalFormatting>
  <conditionalFormatting sqref="U518 U520 U516">
    <cfRule type="expression" dxfId="2357" priority="129">
      <formula>MOD(ROW(),2)=1</formula>
    </cfRule>
  </conditionalFormatting>
  <conditionalFormatting sqref="U526 U528 U524">
    <cfRule type="expression" dxfId="2356" priority="128">
      <formula>MOD(ROW(),2)=1</formula>
    </cfRule>
  </conditionalFormatting>
  <conditionalFormatting sqref="U534 U536 U532">
    <cfRule type="expression" dxfId="2355" priority="127">
      <formula>MOD(ROW(),2)=1</formula>
    </cfRule>
  </conditionalFormatting>
  <conditionalFormatting sqref="U542 U544 U540">
    <cfRule type="expression" dxfId="2354" priority="126">
      <formula>MOD(ROW(),2)=1</formula>
    </cfRule>
  </conditionalFormatting>
  <conditionalFormatting sqref="U550 U552 U548">
    <cfRule type="expression" dxfId="2353" priority="125">
      <formula>MOD(ROW(),2)=1</formula>
    </cfRule>
  </conditionalFormatting>
  <conditionalFormatting sqref="U558 U560 U556">
    <cfRule type="expression" dxfId="2352" priority="124">
      <formula>MOD(ROW(),2)=1</formula>
    </cfRule>
  </conditionalFormatting>
  <conditionalFormatting sqref="U566 U568 U564">
    <cfRule type="expression" dxfId="2351" priority="123">
      <formula>MOD(ROW(),2)=1</formula>
    </cfRule>
  </conditionalFormatting>
  <conditionalFormatting sqref="U574 U576 U572">
    <cfRule type="expression" dxfId="2350" priority="122">
      <formula>MOD(ROW(),2)=1</formula>
    </cfRule>
  </conditionalFormatting>
  <conditionalFormatting sqref="U582 U584 U580">
    <cfRule type="expression" dxfId="2349" priority="121">
      <formula>MOD(ROW(),2)=1</formula>
    </cfRule>
  </conditionalFormatting>
  <conditionalFormatting sqref="U590 U592 U588">
    <cfRule type="expression" dxfId="2348" priority="120">
      <formula>MOD(ROW(),2)=1</formula>
    </cfRule>
  </conditionalFormatting>
  <conditionalFormatting sqref="U606 U608 U604">
    <cfRule type="expression" dxfId="2347" priority="119">
      <formula>MOD(ROW(),2)=1</formula>
    </cfRule>
  </conditionalFormatting>
  <conditionalFormatting sqref="U614 U616 U612">
    <cfRule type="expression" dxfId="2346" priority="118">
      <formula>MOD(ROW(),2)=1</formula>
    </cfRule>
  </conditionalFormatting>
  <conditionalFormatting sqref="U622 U624 U620">
    <cfRule type="expression" dxfId="2345" priority="117">
      <formula>MOD(ROW(),2)=1</formula>
    </cfRule>
  </conditionalFormatting>
  <conditionalFormatting sqref="U630 U632 U628">
    <cfRule type="expression" dxfId="2344" priority="116">
      <formula>MOD(ROW(),2)=1</formula>
    </cfRule>
  </conditionalFormatting>
  <conditionalFormatting sqref="U644 U646 U642">
    <cfRule type="expression" dxfId="2343" priority="115">
      <formula>MOD(ROW(),2)=1</formula>
    </cfRule>
  </conditionalFormatting>
  <conditionalFormatting sqref="U662 U664 U650">
    <cfRule type="expression" dxfId="2342" priority="114">
      <formula>MOD(ROW(),2)=1</formula>
    </cfRule>
  </conditionalFormatting>
  <conditionalFormatting sqref="U670 U672 U668">
    <cfRule type="expression" dxfId="2341" priority="113">
      <formula>MOD(ROW(),2)=1</formula>
    </cfRule>
  </conditionalFormatting>
  <conditionalFormatting sqref="U682 U684 U680">
    <cfRule type="expression" dxfId="2340" priority="112">
      <formula>MOD(ROW(),2)=1</formula>
    </cfRule>
  </conditionalFormatting>
  <conditionalFormatting sqref="U690 U692 U688">
    <cfRule type="expression" dxfId="2339" priority="111">
      <formula>MOD(ROW(),2)=1</formula>
    </cfRule>
  </conditionalFormatting>
  <conditionalFormatting sqref="U698 U700 U696">
    <cfRule type="expression" dxfId="2338" priority="110">
      <formula>MOD(ROW(),2)=1</formula>
    </cfRule>
  </conditionalFormatting>
  <conditionalFormatting sqref="U706 U708 U704">
    <cfRule type="expression" dxfId="2337" priority="109">
      <formula>MOD(ROW(),2)=1</formula>
    </cfRule>
  </conditionalFormatting>
  <conditionalFormatting sqref="U714 U716 U712">
    <cfRule type="expression" dxfId="2336" priority="108">
      <formula>MOD(ROW(),2)=1</formula>
    </cfRule>
  </conditionalFormatting>
  <conditionalFormatting sqref="U722 U724 U720">
    <cfRule type="expression" dxfId="2335" priority="107">
      <formula>MOD(ROW(),2)=1</formula>
    </cfRule>
  </conditionalFormatting>
  <conditionalFormatting sqref="U730 U732 U728">
    <cfRule type="expression" dxfId="2334" priority="106">
      <formula>MOD(ROW(),2)=1</formula>
    </cfRule>
  </conditionalFormatting>
  <conditionalFormatting sqref="U746 U748 U736">
    <cfRule type="expression" dxfId="2333" priority="105">
      <formula>MOD(ROW(),2)=1</formula>
    </cfRule>
  </conditionalFormatting>
  <conditionalFormatting sqref="U754 U756 U752">
    <cfRule type="expression" dxfId="2332" priority="104">
      <formula>MOD(ROW(),2)=1</formula>
    </cfRule>
  </conditionalFormatting>
  <conditionalFormatting sqref="U762 U764 U760">
    <cfRule type="expression" dxfId="2331" priority="103">
      <formula>MOD(ROW(),2)=1</formula>
    </cfRule>
  </conditionalFormatting>
  <conditionalFormatting sqref="U776 U778 U774">
    <cfRule type="expression" dxfId="2330" priority="102">
      <formula>MOD(ROW(),2)=1</formula>
    </cfRule>
  </conditionalFormatting>
  <conditionalFormatting sqref="U788 U790 U786">
    <cfRule type="expression" dxfId="2329" priority="101">
      <formula>MOD(ROW(),2)=1</formula>
    </cfRule>
  </conditionalFormatting>
  <conditionalFormatting sqref="U798 U800 U796">
    <cfRule type="expression" dxfId="2328" priority="100">
      <formula>MOD(ROW(),2)=1</formula>
    </cfRule>
  </conditionalFormatting>
  <conditionalFormatting sqref="U806 U820 U804">
    <cfRule type="expression" dxfId="2327" priority="99">
      <formula>MOD(ROW(),2)=1</formula>
    </cfRule>
  </conditionalFormatting>
  <conditionalFormatting sqref="U826 U828 U824">
    <cfRule type="expression" dxfId="2326" priority="98">
      <formula>MOD(ROW(),2)=1</formula>
    </cfRule>
  </conditionalFormatting>
  <conditionalFormatting sqref="U834 U836 U832">
    <cfRule type="expression" dxfId="2325" priority="97">
      <formula>MOD(ROW(),2)=1</formula>
    </cfRule>
  </conditionalFormatting>
  <conditionalFormatting sqref="U842 U844 U840">
    <cfRule type="expression" dxfId="2324" priority="96">
      <formula>MOD(ROW(),2)=1</formula>
    </cfRule>
  </conditionalFormatting>
  <conditionalFormatting sqref="U850 U852 U848">
    <cfRule type="expression" dxfId="2323" priority="95">
      <formula>MOD(ROW(),2)=1</formula>
    </cfRule>
  </conditionalFormatting>
  <conditionalFormatting sqref="U858 U860 U856">
    <cfRule type="expression" dxfId="2322" priority="94">
      <formula>MOD(ROW(),2)=1</formula>
    </cfRule>
  </conditionalFormatting>
  <conditionalFormatting sqref="U870 U872 U864">
    <cfRule type="expression" dxfId="2321" priority="93">
      <formula>MOD(ROW(),2)=1</formula>
    </cfRule>
  </conditionalFormatting>
  <conditionalFormatting sqref="U878 U914 U876">
    <cfRule type="expression" dxfId="2320" priority="92">
      <formula>MOD(ROW(),2)=1</formula>
    </cfRule>
  </conditionalFormatting>
  <conditionalFormatting sqref="U920 U922 U918">
    <cfRule type="expression" dxfId="2319" priority="91">
      <formula>MOD(ROW(),2)=1</formula>
    </cfRule>
  </conditionalFormatting>
  <conditionalFormatting sqref="U928 U930 U926">
    <cfRule type="expression" dxfId="2318" priority="90">
      <formula>MOD(ROW(),2)=1</formula>
    </cfRule>
  </conditionalFormatting>
  <conditionalFormatting sqref="U936 U938 U934">
    <cfRule type="expression" dxfId="2317" priority="89">
      <formula>MOD(ROW(),2)=1</formula>
    </cfRule>
  </conditionalFormatting>
  <conditionalFormatting sqref="U944 U946 U942">
    <cfRule type="expression" dxfId="2316" priority="88">
      <formula>MOD(ROW(),2)=1</formula>
    </cfRule>
  </conditionalFormatting>
  <conditionalFormatting sqref="U956 U958 U954">
    <cfRule type="expression" dxfId="2315" priority="87">
      <formula>MOD(ROW(),2)=1</formula>
    </cfRule>
  </conditionalFormatting>
  <conditionalFormatting sqref="U964 U966 U962">
    <cfRule type="expression" dxfId="2314" priority="86">
      <formula>MOD(ROW(),2)=1</formula>
    </cfRule>
  </conditionalFormatting>
  <conditionalFormatting sqref="U972 U974 U970">
    <cfRule type="expression" dxfId="2313" priority="85">
      <formula>MOD(ROW(),2)=1</formula>
    </cfRule>
  </conditionalFormatting>
  <conditionalFormatting sqref="U980 U982 U978">
    <cfRule type="expression" dxfId="2312" priority="84">
      <formula>MOD(ROW(),2)=1</formula>
    </cfRule>
  </conditionalFormatting>
  <conditionalFormatting sqref="U988 U990 U986">
    <cfRule type="expression" dxfId="2311" priority="83">
      <formula>MOD(ROW(),2)=1</formula>
    </cfRule>
  </conditionalFormatting>
  <conditionalFormatting sqref="U996 U998 U994">
    <cfRule type="expression" dxfId="2310" priority="82">
      <formula>MOD(ROW(),2)=1</formula>
    </cfRule>
  </conditionalFormatting>
  <conditionalFormatting sqref="U1004 U1006 U1002">
    <cfRule type="expression" dxfId="2309" priority="81">
      <formula>MOD(ROW(),2)=1</formula>
    </cfRule>
  </conditionalFormatting>
  <conditionalFormatting sqref="U1012 U1014 U1010">
    <cfRule type="expression" dxfId="2308" priority="80">
      <formula>MOD(ROW(),2)=1</formula>
    </cfRule>
  </conditionalFormatting>
  <conditionalFormatting sqref="U1020 U1022 U1018">
    <cfRule type="expression" dxfId="2307" priority="79">
      <formula>MOD(ROW(),2)=1</formula>
    </cfRule>
  </conditionalFormatting>
  <conditionalFormatting sqref="U1028 U1030 U1026">
    <cfRule type="expression" dxfId="2306" priority="78">
      <formula>MOD(ROW(),2)=1</formula>
    </cfRule>
  </conditionalFormatting>
  <conditionalFormatting sqref="U1036 U1038 U1034">
    <cfRule type="expression" dxfId="2305" priority="77">
      <formula>MOD(ROW(),2)=1</formula>
    </cfRule>
  </conditionalFormatting>
  <conditionalFormatting sqref="U1044 U1046 U1042">
    <cfRule type="expression" dxfId="2304" priority="76">
      <formula>MOD(ROW(),2)=1</formula>
    </cfRule>
  </conditionalFormatting>
  <conditionalFormatting sqref="U1052 U1054 U1050">
    <cfRule type="expression" dxfId="2303" priority="75">
      <formula>MOD(ROW(),2)=1</formula>
    </cfRule>
  </conditionalFormatting>
  <conditionalFormatting sqref="U1060 U1062 U1058">
    <cfRule type="expression" dxfId="2302" priority="74">
      <formula>MOD(ROW(),2)=1</formula>
    </cfRule>
  </conditionalFormatting>
  <conditionalFormatting sqref="U1068 U1070 U1066">
    <cfRule type="expression" dxfId="2301" priority="73">
      <formula>MOD(ROW(),2)=1</formula>
    </cfRule>
  </conditionalFormatting>
  <conditionalFormatting sqref="U1076 U1078 U1074">
    <cfRule type="expression" dxfId="2300" priority="72">
      <formula>MOD(ROW(),2)=1</formula>
    </cfRule>
  </conditionalFormatting>
  <conditionalFormatting sqref="U1084 U1086 U1082">
    <cfRule type="expression" dxfId="2299" priority="71">
      <formula>MOD(ROW(),2)=1</formula>
    </cfRule>
  </conditionalFormatting>
  <conditionalFormatting sqref="U1092 U1094 U1090">
    <cfRule type="expression" dxfId="2298" priority="70">
      <formula>MOD(ROW(),2)=1</formula>
    </cfRule>
  </conditionalFormatting>
  <conditionalFormatting sqref="U1100 U1102 U1098">
    <cfRule type="expression" dxfId="2297" priority="69">
      <formula>MOD(ROW(),2)=1</formula>
    </cfRule>
  </conditionalFormatting>
  <conditionalFormatting sqref="U1108 U1110 U1106">
    <cfRule type="expression" dxfId="2296" priority="68">
      <formula>MOD(ROW(),2)=1</formula>
    </cfRule>
  </conditionalFormatting>
  <conditionalFormatting sqref="U1116 U1118 U1114">
    <cfRule type="expression" dxfId="2295" priority="67">
      <formula>MOD(ROW(),2)=1</formula>
    </cfRule>
  </conditionalFormatting>
  <conditionalFormatting sqref="U1124 U1126 U1122">
    <cfRule type="expression" dxfId="2294" priority="66">
      <formula>MOD(ROW(),2)=1</formula>
    </cfRule>
  </conditionalFormatting>
  <conditionalFormatting sqref="U1132 U1134 U1130">
    <cfRule type="expression" dxfId="2293" priority="65">
      <formula>MOD(ROW(),2)=1</formula>
    </cfRule>
  </conditionalFormatting>
  <conditionalFormatting sqref="U1140 U1142 U1138">
    <cfRule type="expression" dxfId="2292" priority="64">
      <formula>MOD(ROW(),2)=1</formula>
    </cfRule>
  </conditionalFormatting>
  <conditionalFormatting sqref="U1148 U1150 U1146">
    <cfRule type="expression" dxfId="2291" priority="63">
      <formula>MOD(ROW(),2)=1</formula>
    </cfRule>
  </conditionalFormatting>
  <conditionalFormatting sqref="U1156 U1158 U1154">
    <cfRule type="expression" dxfId="2290" priority="62">
      <formula>MOD(ROW(),2)=1</formula>
    </cfRule>
  </conditionalFormatting>
  <conditionalFormatting sqref="U1164 U1166 U1162">
    <cfRule type="expression" dxfId="2289" priority="61">
      <formula>MOD(ROW(),2)=1</formula>
    </cfRule>
  </conditionalFormatting>
  <conditionalFormatting sqref="U1172 U1174 U1170">
    <cfRule type="expression" dxfId="2288" priority="60">
      <formula>MOD(ROW(),2)=1</formula>
    </cfRule>
  </conditionalFormatting>
  <conditionalFormatting sqref="U1180 U1182 U1178">
    <cfRule type="expression" dxfId="2287" priority="59">
      <formula>MOD(ROW(),2)=1</formula>
    </cfRule>
  </conditionalFormatting>
  <conditionalFormatting sqref="U1188 U1190 U1186">
    <cfRule type="expression" dxfId="2286" priority="58">
      <formula>MOD(ROW(),2)=1</formula>
    </cfRule>
  </conditionalFormatting>
  <conditionalFormatting sqref="U1196 U1198 U1194">
    <cfRule type="expression" dxfId="2285" priority="57">
      <formula>MOD(ROW(),2)=1</formula>
    </cfRule>
  </conditionalFormatting>
  <conditionalFormatting sqref="U1204 U1206 U1202">
    <cfRule type="expression" dxfId="2284" priority="56">
      <formula>MOD(ROW(),2)=1</formula>
    </cfRule>
  </conditionalFormatting>
  <conditionalFormatting sqref="U1212 U1214 U1210">
    <cfRule type="expression" dxfId="2283" priority="55">
      <formula>MOD(ROW(),2)=1</formula>
    </cfRule>
  </conditionalFormatting>
  <conditionalFormatting sqref="U1220 U1222 U1218">
    <cfRule type="expression" dxfId="2282" priority="54">
      <formula>MOD(ROW(),2)=1</formula>
    </cfRule>
  </conditionalFormatting>
  <conditionalFormatting sqref="U1228 U1230 U1226">
    <cfRule type="expression" dxfId="2281" priority="53">
      <formula>MOD(ROW(),2)=1</formula>
    </cfRule>
  </conditionalFormatting>
  <conditionalFormatting sqref="U1240 U1242 U1238">
    <cfRule type="expression" dxfId="2280" priority="52">
      <formula>MOD(ROW(),2)=1</formula>
    </cfRule>
  </conditionalFormatting>
  <conditionalFormatting sqref="U1248 U1250 U1246">
    <cfRule type="expression" dxfId="2279" priority="51">
      <formula>MOD(ROW(),2)=1</formula>
    </cfRule>
  </conditionalFormatting>
  <conditionalFormatting sqref="U1256 U1258 U1254">
    <cfRule type="expression" dxfId="2278" priority="50">
      <formula>MOD(ROW(),2)=1</formula>
    </cfRule>
  </conditionalFormatting>
  <conditionalFormatting sqref="U1264 U1266 U1262">
    <cfRule type="expression" dxfId="2277" priority="49">
      <formula>MOD(ROW(),2)=1</formula>
    </cfRule>
  </conditionalFormatting>
  <conditionalFormatting sqref="U1276 U1278 U1274">
    <cfRule type="expression" dxfId="2276" priority="48">
      <formula>MOD(ROW(),2)=1</formula>
    </cfRule>
  </conditionalFormatting>
  <conditionalFormatting sqref="U1284 U1286 U1282">
    <cfRule type="expression" dxfId="2275" priority="47">
      <formula>MOD(ROW(),2)=1</formula>
    </cfRule>
  </conditionalFormatting>
  <conditionalFormatting sqref="U1292 U1294 U1290">
    <cfRule type="expression" dxfId="2274" priority="46">
      <formula>MOD(ROW(),2)=1</formula>
    </cfRule>
  </conditionalFormatting>
  <conditionalFormatting sqref="U1300 U1302 U1298">
    <cfRule type="expression" dxfId="2273" priority="45">
      <formula>MOD(ROW(),2)=1</formula>
    </cfRule>
  </conditionalFormatting>
  <conditionalFormatting sqref="U1308 U1310 U1306">
    <cfRule type="expression" dxfId="2272" priority="44">
      <formula>MOD(ROW(),2)=1</formula>
    </cfRule>
  </conditionalFormatting>
  <conditionalFormatting sqref="U1316 U1318 U1314">
    <cfRule type="expression" dxfId="2271" priority="43">
      <formula>MOD(ROW(),2)=1</formula>
    </cfRule>
  </conditionalFormatting>
  <conditionalFormatting sqref="U1324 U1326 U1322">
    <cfRule type="expression" dxfId="2270" priority="42">
      <formula>MOD(ROW(),2)=1</formula>
    </cfRule>
  </conditionalFormatting>
  <conditionalFormatting sqref="U1332 U1334 U1330">
    <cfRule type="expression" dxfId="2269" priority="41">
      <formula>MOD(ROW(),2)=1</formula>
    </cfRule>
  </conditionalFormatting>
  <conditionalFormatting sqref="U1340 U1342 U1338">
    <cfRule type="expression" dxfId="2268" priority="40">
      <formula>MOD(ROW(),2)=1</formula>
    </cfRule>
  </conditionalFormatting>
  <conditionalFormatting sqref="U1348 U1350 U1346">
    <cfRule type="expression" dxfId="2267" priority="39">
      <formula>MOD(ROW(),2)=1</formula>
    </cfRule>
  </conditionalFormatting>
  <conditionalFormatting sqref="U1356 U1358 U1354">
    <cfRule type="expression" dxfId="2266" priority="38">
      <formula>MOD(ROW(),2)=1</formula>
    </cfRule>
  </conditionalFormatting>
  <conditionalFormatting sqref="U1364 U1366 U1362">
    <cfRule type="expression" dxfId="2265" priority="37">
      <formula>MOD(ROW(),2)=1</formula>
    </cfRule>
  </conditionalFormatting>
  <conditionalFormatting sqref="U1372 U1374 U1370">
    <cfRule type="expression" dxfId="2264" priority="36">
      <formula>MOD(ROW(),2)=1</formula>
    </cfRule>
  </conditionalFormatting>
  <conditionalFormatting sqref="U1380 U1382 U1378">
    <cfRule type="expression" dxfId="2263" priority="35">
      <formula>MOD(ROW(),2)=1</formula>
    </cfRule>
  </conditionalFormatting>
  <conditionalFormatting sqref="U1390 U1392 U1386">
    <cfRule type="expression" dxfId="2262" priority="34">
      <formula>MOD(ROW(),2)=1</formula>
    </cfRule>
  </conditionalFormatting>
  <conditionalFormatting sqref="U1398 U1400 U1396">
    <cfRule type="expression" dxfId="2261" priority="33">
      <formula>MOD(ROW(),2)=1</formula>
    </cfRule>
  </conditionalFormatting>
  <conditionalFormatting sqref="U1406 U1408 U1404">
    <cfRule type="expression" dxfId="2260" priority="32">
      <formula>MOD(ROW(),2)=1</formula>
    </cfRule>
  </conditionalFormatting>
  <conditionalFormatting sqref="U1414 U1416 U1412">
    <cfRule type="expression" dxfId="2259" priority="31">
      <formula>MOD(ROW(),2)=1</formula>
    </cfRule>
  </conditionalFormatting>
  <conditionalFormatting sqref="U1424 U1426 U1422">
    <cfRule type="expression" dxfId="2258" priority="30">
      <formula>MOD(ROW(),2)=1</formula>
    </cfRule>
  </conditionalFormatting>
  <conditionalFormatting sqref="U1432 U1434 U1430">
    <cfRule type="expression" dxfId="2257" priority="29">
      <formula>MOD(ROW(),2)=1</formula>
    </cfRule>
  </conditionalFormatting>
  <conditionalFormatting sqref="U1440 U1442 U1438">
    <cfRule type="expression" dxfId="2256" priority="28">
      <formula>MOD(ROW(),2)=1</formula>
    </cfRule>
  </conditionalFormatting>
  <conditionalFormatting sqref="U1448 U1450 U1446">
    <cfRule type="expression" dxfId="2255" priority="27">
      <formula>MOD(ROW(),2)=1</formula>
    </cfRule>
  </conditionalFormatting>
  <conditionalFormatting sqref="U1456 U1458 U1454">
    <cfRule type="expression" dxfId="2254" priority="26">
      <formula>MOD(ROW(),2)=1</formula>
    </cfRule>
  </conditionalFormatting>
  <conditionalFormatting sqref="U1468 U1470 U1466">
    <cfRule type="expression" dxfId="2253" priority="25">
      <formula>MOD(ROW(),2)=1</formula>
    </cfRule>
  </conditionalFormatting>
  <conditionalFormatting sqref="U1476 U1478 U1474">
    <cfRule type="expression" dxfId="2252" priority="24">
      <formula>MOD(ROW(),2)=1</formula>
    </cfRule>
  </conditionalFormatting>
  <conditionalFormatting sqref="U1484 U1486 U1482">
    <cfRule type="expression" dxfId="2251" priority="23">
      <formula>MOD(ROW(),2)=1</formula>
    </cfRule>
  </conditionalFormatting>
  <conditionalFormatting sqref="U1492 U1494 U1490">
    <cfRule type="expression" dxfId="2250" priority="22">
      <formula>MOD(ROW(),2)=1</formula>
    </cfRule>
  </conditionalFormatting>
  <conditionalFormatting sqref="U1500 U1502 U1498">
    <cfRule type="expression" dxfId="2249" priority="21">
      <formula>MOD(ROW(),2)=1</formula>
    </cfRule>
  </conditionalFormatting>
  <conditionalFormatting sqref="W362 W364 W366 W368 W370 W372 W374 W376">
    <cfRule type="expression" dxfId="2248" priority="20">
      <formula>MOD(ROW(),2)=1</formula>
    </cfRule>
  </conditionalFormatting>
  <conditionalFormatting sqref="U362 U364 U366 U368 U370 U372 U374 U376">
    <cfRule type="expression" dxfId="2247" priority="19">
      <formula>MOD(ROW(),2)=1</formula>
    </cfRule>
  </conditionalFormatting>
  <conditionalFormatting sqref="Y362">
    <cfRule type="expression" dxfId="2246" priority="18">
      <formula>MOD(ROW(),2)=1</formula>
    </cfRule>
  </conditionalFormatting>
  <conditionalFormatting sqref="Y364">
    <cfRule type="expression" dxfId="2245" priority="17">
      <formula>MOD(ROW(),2)=1</formula>
    </cfRule>
  </conditionalFormatting>
  <conditionalFormatting sqref="Y366">
    <cfRule type="expression" dxfId="2244" priority="16">
      <formula>MOD(ROW(),2)=1</formula>
    </cfRule>
  </conditionalFormatting>
  <conditionalFormatting sqref="Y368">
    <cfRule type="expression" dxfId="2243" priority="15">
      <formula>MOD(ROW(),2)=1</formula>
    </cfRule>
  </conditionalFormatting>
  <conditionalFormatting sqref="Y370">
    <cfRule type="expression" dxfId="2242" priority="14">
      <formula>MOD(ROW(),2)=1</formula>
    </cfRule>
  </conditionalFormatting>
  <conditionalFormatting sqref="Y372">
    <cfRule type="expression" dxfId="2241" priority="13">
      <formula>MOD(ROW(),2)=1</formula>
    </cfRule>
  </conditionalFormatting>
  <conditionalFormatting sqref="Y374">
    <cfRule type="expression" dxfId="2240" priority="12">
      <formula>MOD(ROW(),2)=1</formula>
    </cfRule>
  </conditionalFormatting>
  <conditionalFormatting sqref="Y376">
    <cfRule type="expression" dxfId="2239" priority="11">
      <formula>MOD(ROW(),2)=1</formula>
    </cfRule>
  </conditionalFormatting>
  <conditionalFormatting sqref="Y378">
    <cfRule type="expression" dxfId="2238" priority="10">
      <formula>MOD(ROW(),2)=1</formula>
    </cfRule>
  </conditionalFormatting>
  <conditionalFormatting sqref="Y380">
    <cfRule type="expression" dxfId="2237" priority="9">
      <formula>MOD(ROW(),2)=1</formula>
    </cfRule>
  </conditionalFormatting>
  <conditionalFormatting sqref="Y382">
    <cfRule type="expression" dxfId="2236" priority="8">
      <formula>MOD(ROW(),2)=1</formula>
    </cfRule>
  </conditionalFormatting>
  <conditionalFormatting sqref="Y384">
    <cfRule type="expression" dxfId="2235" priority="7">
      <formula>MOD(ROW(),2)=1</formula>
    </cfRule>
  </conditionalFormatting>
  <conditionalFormatting sqref="Y386">
    <cfRule type="expression" dxfId="2234" priority="6">
      <formula>MOD(ROW(),2)=1</formula>
    </cfRule>
  </conditionalFormatting>
  <conditionalFormatting sqref="Y388">
    <cfRule type="expression" dxfId="2233" priority="5">
      <formula>MOD(ROW(),2)=1</formula>
    </cfRule>
  </conditionalFormatting>
  <conditionalFormatting sqref="Y390">
    <cfRule type="expression" dxfId="2232" priority="4">
      <formula>MOD(ROW(),2)=1</formula>
    </cfRule>
  </conditionalFormatting>
  <conditionalFormatting sqref="Y392">
    <cfRule type="expression" dxfId="2231" priority="3">
      <formula>MOD(ROW(),2)=1</formula>
    </cfRule>
  </conditionalFormatting>
  <conditionalFormatting sqref="W378 W380 W382 W384 W386 W388 W390 W392">
    <cfRule type="expression" dxfId="2230" priority="2">
      <formula>MOD(ROW(),2)=1</formula>
    </cfRule>
  </conditionalFormatting>
  <conditionalFormatting sqref="U378 U380 U382 U384 U386 U388 U390 U392">
    <cfRule type="expression" dxfId="2229" priority="1">
      <formula>MOD(ROW(),2)=1</formula>
    </cfRule>
  </conditionalFormatting>
  <pageMargins left="0.7" right="0.7" top="0.75" bottom="0.75" header="0" footer="0"/>
  <pageSetup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U98"/>
  <sheetViews>
    <sheetView workbookViewId="0">
      <selection activeCell="A2" sqref="A2"/>
    </sheetView>
  </sheetViews>
  <sheetFormatPr defaultColWidth="5.28515625" defaultRowHeight="12.75" outlineLevelCol="1" x14ac:dyDescent="0.2"/>
  <cols>
    <col min="1" max="1" width="11.28515625" style="61" bestFit="1" customWidth="1"/>
    <col min="2" max="2" width="9.7109375" style="14" customWidth="1"/>
    <col min="3" max="3" width="17.85546875" style="14" customWidth="1"/>
    <col min="4" max="4" width="6.85546875" style="64" customWidth="1"/>
    <col min="5" max="5" width="4.28515625" style="77" customWidth="1"/>
    <col min="6" max="6" width="10.28515625" style="64" bestFit="1" customWidth="1"/>
    <col min="7" max="7" width="9.28515625" style="64" customWidth="1"/>
    <col min="8" max="8" width="14.85546875" style="64" bestFit="1" customWidth="1"/>
    <col min="9" max="9" width="30.5703125" style="64" customWidth="1"/>
    <col min="10" max="10" width="17.5703125" style="64" customWidth="1"/>
    <col min="11" max="11" width="9.5703125" style="64" customWidth="1"/>
    <col min="12" max="13" width="9.7109375" style="64" customWidth="1"/>
    <col min="14" max="14" width="13.85546875" style="64" customWidth="1"/>
    <col min="15" max="15" width="8.7109375" style="64" customWidth="1"/>
    <col min="16" max="16" width="22.7109375" style="64" customWidth="1"/>
    <col min="17" max="17" width="18.28515625" style="64" bestFit="1" customWidth="1"/>
    <col min="18" max="18" width="8.7109375" style="64" customWidth="1"/>
    <col min="19" max="19" width="11.42578125" style="64" customWidth="1"/>
    <col min="20" max="20" width="12.7109375" style="64" customWidth="1"/>
    <col min="21" max="22" width="10.42578125" style="64" customWidth="1"/>
    <col min="23" max="23" width="11.85546875" style="64" customWidth="1"/>
    <col min="24" max="24" width="8.140625" style="64" customWidth="1"/>
    <col min="25" max="25" width="10" style="77" customWidth="1"/>
    <col min="26" max="26" width="15.42578125" style="64" customWidth="1"/>
    <col min="27" max="27" width="11" style="64" customWidth="1"/>
    <col min="28" max="28" width="16.42578125" style="64" customWidth="1"/>
    <col min="29" max="29" width="13.5703125" style="64" customWidth="1"/>
    <col min="30" max="30" width="13.140625" style="64" customWidth="1"/>
    <col min="31" max="31" width="11" style="64" customWidth="1"/>
    <col min="32" max="32" width="12.5703125" style="81" customWidth="1"/>
    <col min="33" max="33" width="10.140625" style="57" customWidth="1"/>
    <col min="34" max="34" width="10.7109375" style="12" customWidth="1"/>
    <col min="35" max="35" width="10.7109375" style="57" customWidth="1"/>
    <col min="36" max="36" width="10.7109375" style="114" customWidth="1"/>
    <col min="37" max="40" width="10.7109375" style="57" customWidth="1"/>
    <col min="41" max="43" width="10.7109375" style="57" customWidth="1" outlineLevel="1"/>
    <col min="44" max="44" width="16.85546875" style="114" customWidth="1" outlineLevel="1"/>
    <col min="45" max="46" width="16.85546875" style="57" customWidth="1" outlineLevel="1"/>
    <col min="47" max="47" width="5.28515625" style="12" outlineLevel="1"/>
    <col min="48" max="50" width="13.42578125" style="45" bestFit="1" customWidth="1" outlineLevel="1"/>
    <col min="51" max="51" width="14.85546875" style="45" bestFit="1" customWidth="1" outlineLevel="1"/>
    <col min="52" max="53" width="14.5703125" style="45" bestFit="1" customWidth="1"/>
    <col min="54" max="54" width="13.5703125" style="45" bestFit="1" customWidth="1"/>
    <col min="55" max="57" width="13.5703125" style="20" bestFit="1" customWidth="1"/>
    <col min="58" max="62" width="12.42578125" style="20" bestFit="1" customWidth="1"/>
    <col min="63" max="74" width="10.42578125" style="20" bestFit="1" customWidth="1"/>
    <col min="75" max="95" width="11.42578125" style="20" bestFit="1" customWidth="1"/>
    <col min="96" max="99" width="12.42578125" style="14" bestFit="1" customWidth="1"/>
    <col min="100" max="133" width="10.42578125" style="14" bestFit="1" customWidth="1"/>
    <col min="134" max="16384" width="5.28515625" style="14"/>
  </cols>
  <sheetData>
    <row r="1" spans="1:99" ht="12" customHeight="1" x14ac:dyDescent="0.2">
      <c r="A1" s="61" t="s">
        <v>304</v>
      </c>
      <c r="B1" s="15" t="s">
        <v>0</v>
      </c>
      <c r="C1" s="15" t="s">
        <v>1</v>
      </c>
      <c r="D1" s="59" t="s">
        <v>2</v>
      </c>
      <c r="E1" s="75" t="s">
        <v>579</v>
      </c>
      <c r="F1" s="59" t="s">
        <v>6</v>
      </c>
      <c r="G1" s="59" t="s">
        <v>485</v>
      </c>
      <c r="H1" s="59" t="s">
        <v>1</v>
      </c>
      <c r="I1" s="59" t="s">
        <v>8</v>
      </c>
      <c r="J1" s="59" t="s">
        <v>7</v>
      </c>
      <c r="K1" s="59" t="s">
        <v>571</v>
      </c>
      <c r="L1" s="59" t="s">
        <v>565</v>
      </c>
      <c r="M1" s="59" t="s">
        <v>569</v>
      </c>
      <c r="N1" s="59" t="s">
        <v>566</v>
      </c>
      <c r="O1" s="59" t="s">
        <v>5</v>
      </c>
      <c r="P1" s="59" t="s">
        <v>570</v>
      </c>
      <c r="Q1" s="59" t="s">
        <v>3</v>
      </c>
      <c r="R1" s="59" t="s">
        <v>568</v>
      </c>
      <c r="S1" s="59" t="s">
        <v>4</v>
      </c>
      <c r="T1" s="59" t="s">
        <v>237</v>
      </c>
      <c r="U1" s="59" t="s">
        <v>910</v>
      </c>
      <c r="V1" s="59" t="s">
        <v>563</v>
      </c>
      <c r="W1" s="59" t="s">
        <v>564</v>
      </c>
      <c r="X1" s="59" t="s">
        <v>576</v>
      </c>
      <c r="Y1" s="75" t="s">
        <v>558</v>
      </c>
      <c r="Z1" s="59" t="s">
        <v>577</v>
      </c>
      <c r="AA1" s="59" t="s">
        <v>327</v>
      </c>
      <c r="AB1" s="59" t="s">
        <v>325</v>
      </c>
      <c r="AC1" s="59" t="s">
        <v>326</v>
      </c>
      <c r="AD1" s="59" t="s">
        <v>578</v>
      </c>
      <c r="AE1" s="59" t="s">
        <v>559</v>
      </c>
      <c r="AF1" s="79" t="s">
        <v>560</v>
      </c>
      <c r="AG1" s="55" t="s">
        <v>546</v>
      </c>
      <c r="AH1" s="4"/>
      <c r="AI1" s="139" t="s">
        <v>297</v>
      </c>
      <c r="AJ1" s="111" t="s">
        <v>289</v>
      </c>
      <c r="AK1" s="55" t="s">
        <v>9</v>
      </c>
      <c r="AL1" s="139" t="s">
        <v>298</v>
      </c>
      <c r="AM1" s="55" t="s">
        <v>10</v>
      </c>
      <c r="AN1" s="55" t="s">
        <v>11</v>
      </c>
      <c r="AO1" s="139" t="s">
        <v>907</v>
      </c>
      <c r="AP1" s="55" t="s">
        <v>303</v>
      </c>
      <c r="AQ1" s="139" t="s">
        <v>908</v>
      </c>
      <c r="AR1" s="111" t="s">
        <v>301</v>
      </c>
      <c r="AS1" s="139" t="s">
        <v>909</v>
      </c>
      <c r="AT1" s="55" t="s">
        <v>302</v>
      </c>
      <c r="AU1" s="4"/>
      <c r="AV1" s="11" t="s">
        <v>292</v>
      </c>
      <c r="AW1" s="11"/>
      <c r="AX1" s="11"/>
      <c r="AY1" s="11"/>
      <c r="AZ1" s="11"/>
      <c r="BA1" s="11"/>
      <c r="BB1" s="11"/>
      <c r="BC1" s="10"/>
      <c r="BD1" s="10"/>
      <c r="BE1" s="10"/>
      <c r="BF1" s="10"/>
      <c r="BG1" s="10"/>
      <c r="BH1" s="10"/>
      <c r="BI1" s="10"/>
      <c r="BJ1" s="10"/>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5"/>
      <c r="CS1" s="15"/>
      <c r="CT1" s="15"/>
      <c r="CU1" s="15"/>
    </row>
    <row r="2" spans="1:99" s="13" customFormat="1" ht="12" customHeight="1" x14ac:dyDescent="0.2">
      <c r="A2" s="65">
        <v>43509</v>
      </c>
      <c r="B2" s="1"/>
      <c r="C2" s="1"/>
      <c r="D2" s="60"/>
      <c r="E2" s="76"/>
      <c r="F2" s="60"/>
      <c r="G2" s="60"/>
      <c r="H2" s="60"/>
      <c r="I2" s="60"/>
      <c r="J2" s="60"/>
      <c r="K2" s="64"/>
      <c r="L2" s="64"/>
      <c r="M2" s="60"/>
      <c r="N2" s="60"/>
      <c r="O2" s="60"/>
      <c r="P2" s="60"/>
      <c r="Q2" s="60"/>
      <c r="R2" s="60"/>
      <c r="S2" s="60"/>
      <c r="T2" s="60"/>
      <c r="U2" s="60"/>
      <c r="V2" s="60"/>
      <c r="W2" s="60"/>
      <c r="X2" s="60"/>
      <c r="Y2" s="76"/>
      <c r="Z2" s="60"/>
      <c r="AA2" s="60"/>
      <c r="AB2" s="60"/>
      <c r="AC2" s="60"/>
      <c r="AD2" s="60"/>
      <c r="AE2" s="60"/>
      <c r="AF2" s="80"/>
      <c r="AG2" s="56"/>
      <c r="AH2" s="4"/>
      <c r="AI2" s="56"/>
      <c r="AJ2" s="109"/>
      <c r="AK2" s="56"/>
      <c r="AL2" s="56"/>
      <c r="AM2" s="56"/>
      <c r="AN2" s="56"/>
      <c r="AO2" s="56"/>
      <c r="AP2" s="56"/>
      <c r="AQ2" s="82"/>
      <c r="AR2" s="115"/>
      <c r="AS2" s="82"/>
      <c r="AT2" s="82"/>
      <c r="AU2" s="3"/>
      <c r="AV2" s="25">
        <v>0.5</v>
      </c>
      <c r="AW2" s="25">
        <v>7.5</v>
      </c>
      <c r="AX2" s="25">
        <v>15</v>
      </c>
      <c r="AY2" s="25">
        <v>22.5</v>
      </c>
      <c r="AZ2" s="25">
        <v>30</v>
      </c>
      <c r="BA2" s="25">
        <v>37.5</v>
      </c>
      <c r="BB2" s="25">
        <v>45</v>
      </c>
      <c r="BC2" s="25">
        <v>60</v>
      </c>
      <c r="BD2" s="25">
        <v>120</v>
      </c>
      <c r="BE2" s="25">
        <v>240</v>
      </c>
      <c r="BF2" s="25">
        <v>360</v>
      </c>
      <c r="BG2" s="25">
        <v>720</v>
      </c>
      <c r="BH2" s="25">
        <v>1500</v>
      </c>
      <c r="BI2" s="25">
        <v>3600</v>
      </c>
      <c r="BJ2" s="25">
        <v>7200</v>
      </c>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1"/>
      <c r="CS2" s="1"/>
      <c r="CT2" s="1"/>
      <c r="CU2" s="1"/>
    </row>
    <row r="3" spans="1:99" s="19" customFormat="1" ht="12" customHeight="1" x14ac:dyDescent="0.2">
      <c r="A3" s="65">
        <v>43509</v>
      </c>
      <c r="B3" s="17" t="s">
        <v>260</v>
      </c>
      <c r="C3" s="17" t="s">
        <v>75</v>
      </c>
      <c r="D3" s="62">
        <v>1974</v>
      </c>
      <c r="E3" s="78">
        <v>1</v>
      </c>
      <c r="F3" s="62">
        <v>7</v>
      </c>
      <c r="G3" s="62">
        <v>7</v>
      </c>
      <c r="H3" s="62" t="s">
        <v>30</v>
      </c>
      <c r="I3" s="62" t="s">
        <v>1030</v>
      </c>
      <c r="J3" s="62" t="s">
        <v>475</v>
      </c>
      <c r="K3" s="60">
        <f>IF(J3="syllables",1,IF(J3="trigrams",2,IF(J3="strings",3,IF(J3="visual array",4,IF(J3="characters",5,IF(J3="letters",6,IF(J3="free forms",7,IF(J3="odors",8,IF(J3="words",9,IF(J3="pictures",10,IF(J3="object pictures",11,IF(J3="faces",12,IF(J3="names",13,IF(J3="idioms",14,IF(J3="grades",15,IF(J3="syllable-digit pairs",16,IF(J3="trigram-word pairs",17,IF(J3="word-digit pairs",18,IF(J3="English-Swahili pairs",19,IF(J3="spatial position",20,IF(J3="word pairs",21,IF(J3="word triads",22,IF(J3="generated words",23,IF(J3="word definition pairs",24,IF(J3="math problems",25,IF(J3="famous faces",26,IF(J3="famous names",27,IF(J3="famous voices",28,IF(J3="television programs",29,IF(J3="race horses",30,IF(J3="new vocabulary",31,IF(J3="sentences",32,IF(J3="concepts",33,IF(J3="ad slides",34,IF(J3="scenes",35,IF(J3="famous scenes",36,IF(J3="poems",37,IF(J3="walk",38,IF(J3="faces and events",39,IF(J3="events and names",40,IF(J3="flashbulb",41,IF(J3="stories",42,IF(J3="course material",43,IF(J3="autobiographical",44,IF(J3="novels",45,IF(J3="public events",46,"99"))))))))))))))))))))))))))))))))))))))))))))))</f>
        <v>32</v>
      </c>
      <c r="L3" s="60">
        <f>IF(J3="syllables",1,IF(J3="trigrams",1,IF(J3="strings",1,IF(J3="visual array",1,IF(J3="characters",1,IF(J3="letters",1,IF(J3="free forms",1,IF(J3="odors",2,IF(J3="words",2,IF(J3="pictures",2,IF(J3="object pictures",2,IF(J3="faces",2,IF(J3="names",2,IF(J3="idioms","2",IF(J3="grades",2,IF(J3="syllable-digit pairs",3,IF(J3="trigram-word pairs",3,IF(J3="word-digit pairs",3,IF(J3="English-Swahili pairs",3,IF(J3="spatial position",3,IF(J3="word pairs",4,IF(J3="word triads",4,IF(J3="generated words",4,IF(J3="word definition pairs",4,IF(J3="math problems",4,IF(J3="famous faces",4,IF(J3="famous names",4,IF(J3="famous voices",4,IF(J3="television programs",4,IF(J3="race horses",4,IF(J3="new vocabulary",4,IF(J3="sentences",5,IF(J3="concepts",5,IF(J3="ad slides",5,IF(J3="scenes",5,IF(J3="famous scenes",5,IF(J3="poems",6,IF(J3="walk",6,IF(J3="faces and events",6,IF(J3="events and names",6,IF(J3="flashbulb",7,IF(J3="stories",7,IF(J3="course material",7,IF(J3="autobiographical",7,IF(J3="novels",7,IF(J3="public events",7,"99"))))))))))))))))))))))))))))))))))))))))))))))</f>
        <v>5</v>
      </c>
      <c r="M3" s="62">
        <v>0</v>
      </c>
      <c r="N3" s="62">
        <v>2</v>
      </c>
      <c r="O3" s="62">
        <v>0</v>
      </c>
      <c r="P3" s="62"/>
      <c r="Q3" s="62" t="s">
        <v>34</v>
      </c>
      <c r="R3" s="60">
        <f>IF(Q3="Free Recall",1,IF(Q3="Cued Recall",2,IF(Q3="Recognition",3,IF(Q3="Multiple Choice",4,IF(Q3="Savings",5,IF(Q3="Stem Completion",6,IF(Q3="Fragment Completion",7,IF(Q3="anagram solution",8,IF(Q3="Matching",9,IF(Q3="Problem Solving",10,"99"))))))))))</f>
        <v>3</v>
      </c>
      <c r="S3" s="60" t="s">
        <v>15</v>
      </c>
      <c r="T3" s="59" t="s">
        <v>581</v>
      </c>
      <c r="U3" s="60">
        <f>IF(T3="within",1,0)</f>
        <v>1</v>
      </c>
      <c r="V3" s="59">
        <v>900</v>
      </c>
      <c r="W3" s="60">
        <f>F3*V3</f>
        <v>6300</v>
      </c>
      <c r="X3" s="62">
        <v>15</v>
      </c>
      <c r="Y3" s="76">
        <f>AV2</f>
        <v>0.5</v>
      </c>
      <c r="Z3" s="62" t="s">
        <v>76</v>
      </c>
      <c r="AA3" s="62">
        <v>7200</v>
      </c>
      <c r="AB3" s="60" t="str">
        <f>IF(AA3&lt;60,"1",IF(AA3&lt;=43200,"2",IF(AA3&lt;=777600,"3","4")))</f>
        <v>2</v>
      </c>
      <c r="AC3" s="56">
        <f>AVERAGE(AV2:DA2)</f>
        <v>930.5333333333333</v>
      </c>
      <c r="AD3" s="60" t="str">
        <f>IF(AC3&lt;60,"1",IF(AC3&lt;=43200,"2",IF(AC3&lt;=777600,"3","4")))</f>
        <v>2</v>
      </c>
      <c r="AE3" s="76">
        <f>AA3-Y3</f>
        <v>7199.5</v>
      </c>
      <c r="AF3" s="80">
        <f>AV3</f>
        <v>0.91</v>
      </c>
      <c r="AG3" s="56">
        <f>((AW3-AV3)+(AX3-AW3)+(AY3-AX3)+(AZ3-AY3)+(BA3-AZ3)+(BB3-BA3)+(BC3-BB3)+(BD3-BC3)+(BE3-BD3)+(BF3-BE3)+(BG3-BF3)+(BH3-BG3)+(BI3-BH3)+(BJ3-BI3))/14</f>
        <v>-2.1428571428571425E-2</v>
      </c>
      <c r="AH3" s="4"/>
      <c r="AI3" s="56">
        <f>RSQ(AV3:BJ3,AV2:BJ2)</f>
        <v>0.50802820986235508</v>
      </c>
      <c r="AJ3" s="109">
        <f>SLOPE(AV3:BJ3,AV2:BJ2)</f>
        <v>-3.0732208667737748E-5</v>
      </c>
      <c r="AK3" s="56">
        <f>INTERCEPT(AV3:BJ3,AV2:BJ2)</f>
        <v>0.77959734457228547</v>
      </c>
      <c r="AL3" s="56">
        <f>INDEX(LINEST(LN(AV3:BJ3),LN(AV2:BJ2),TRUE,TRUE),3,1)</f>
        <v>0.94307131004729372</v>
      </c>
      <c r="AM3" s="56">
        <f>INDEX(LINEST(LN(AV3:BJ3),LN(AV2:BJ2)),1)</f>
        <v>-4.4677116287178305E-2</v>
      </c>
      <c r="AN3" s="56">
        <f>EXP(INDEX(LINEST(LN(AV3:BJ3),LN(AV2:BJ2)),1,2))</f>
        <v>0.91718030102829606</v>
      </c>
      <c r="AO3" s="82">
        <f>INDEX(LINEST((AV3:BJ3),LN(AV2:BJ2),TRUE,TRUE),3,1)</f>
        <v>0.95350286391738437</v>
      </c>
      <c r="AP3" s="82">
        <f>INDEX(LINEST((AV3:BJ3),LN(AV2:BJ2)),1)</f>
        <v>-3.3087046919245071E-2</v>
      </c>
      <c r="AQ3" s="83">
        <f>INDEX(LINEST(LN(AV3:BJ3),SQRT(AV2:BJ2),TRUE,TRUE),3,1)</f>
        <v>0.78057737224556101</v>
      </c>
      <c r="AR3" s="116">
        <f>INDEX(LINEST(LN(AV3:BJ3),SQRT((AV2:BJ2))),1)</f>
        <v>-4.2284990401688597E-3</v>
      </c>
      <c r="AS3" s="84">
        <f>INDEX(LINEST(1/(AV3:BJ3),1/(SQRT(AV2:BJ2)),TRUE,TRUE),3,1)</f>
        <v>0.39411635968502312</v>
      </c>
      <c r="AT3" s="84">
        <f>INDEX(LINEST(1/(AV3:BJ3),1/SQRT(AV2:BJ2)),1)</f>
        <v>-0.28743541243290083</v>
      </c>
      <c r="AU3" s="3"/>
      <c r="AV3" s="18">
        <v>0.91</v>
      </c>
      <c r="AW3" s="18">
        <v>0.81499999999999995</v>
      </c>
      <c r="AX3" s="18">
        <v>0.82499999999999996</v>
      </c>
      <c r="AY3" s="18">
        <v>0.80500000000000005</v>
      </c>
      <c r="AZ3" s="18">
        <v>0.81499999999999995</v>
      </c>
      <c r="BA3" s="18">
        <v>0.76</v>
      </c>
      <c r="BB3" s="18">
        <v>0.78500000000000003</v>
      </c>
      <c r="BC3" s="18">
        <v>0.79</v>
      </c>
      <c r="BD3" s="18">
        <v>0.78</v>
      </c>
      <c r="BE3" s="18">
        <v>0.72499999999999998</v>
      </c>
      <c r="BF3" s="18">
        <v>0.71</v>
      </c>
      <c r="BG3" s="18">
        <v>0.65999999999999992</v>
      </c>
      <c r="BH3" s="18">
        <v>0.64500000000000002</v>
      </c>
      <c r="BI3" s="18">
        <v>0.63</v>
      </c>
      <c r="BJ3" s="18">
        <v>0.6100000000000001</v>
      </c>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7"/>
      <c r="CS3" s="17"/>
      <c r="CT3" s="17"/>
      <c r="CU3" s="17"/>
    </row>
    <row r="4" spans="1:99" s="13" customFormat="1" ht="12" customHeight="1" x14ac:dyDescent="0.2">
      <c r="A4" s="68">
        <v>43509</v>
      </c>
      <c r="B4" s="70"/>
      <c r="C4" s="70"/>
      <c r="D4" s="69"/>
      <c r="E4" s="87"/>
      <c r="F4" s="69"/>
      <c r="G4" s="69"/>
      <c r="H4" s="69"/>
      <c r="I4" s="69"/>
      <c r="J4" s="69"/>
      <c r="K4" s="107"/>
      <c r="L4" s="107"/>
      <c r="M4" s="69"/>
      <c r="N4" s="69"/>
      <c r="O4" s="69"/>
      <c r="P4" s="69"/>
      <c r="Q4" s="69"/>
      <c r="R4" s="69"/>
      <c r="S4" s="69"/>
      <c r="T4" s="69"/>
      <c r="U4" s="69"/>
      <c r="V4" s="69"/>
      <c r="W4" s="69"/>
      <c r="X4" s="86"/>
      <c r="Y4" s="87"/>
      <c r="Z4" s="69"/>
      <c r="AA4" s="69"/>
      <c r="AB4" s="69"/>
      <c r="AC4" s="69"/>
      <c r="AD4" s="69"/>
      <c r="AE4" s="69"/>
      <c r="AF4" s="88"/>
      <c r="AG4" s="72"/>
      <c r="AH4" s="4"/>
      <c r="AI4" s="72"/>
      <c r="AJ4" s="110"/>
      <c r="AK4" s="72"/>
      <c r="AL4" s="72"/>
      <c r="AM4" s="72"/>
      <c r="AN4" s="72"/>
      <c r="AO4" s="72"/>
      <c r="AP4" s="72"/>
      <c r="AQ4" s="72"/>
      <c r="AR4" s="110"/>
      <c r="AS4" s="72"/>
      <c r="AT4" s="72"/>
      <c r="AU4" s="4"/>
      <c r="AV4" s="71">
        <f>3*1</f>
        <v>3</v>
      </c>
      <c r="AW4" s="71">
        <f>3*2</f>
        <v>6</v>
      </c>
      <c r="AX4" s="71">
        <f>3*3</f>
        <v>9</v>
      </c>
      <c r="AY4" s="71">
        <f>3*6</f>
        <v>18</v>
      </c>
      <c r="AZ4" s="71">
        <f>3*12</f>
        <v>36</v>
      </c>
      <c r="BA4" s="71">
        <f>3*24</f>
        <v>72</v>
      </c>
      <c r="BB4" s="71">
        <f>3*48</f>
        <v>144</v>
      </c>
      <c r="BC4" s="71">
        <f>3*96</f>
        <v>288</v>
      </c>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1"/>
      <c r="CS4" s="1"/>
      <c r="CT4" s="1"/>
      <c r="CU4" s="1"/>
    </row>
    <row r="5" spans="1:99" s="13" customFormat="1" ht="12" customHeight="1" x14ac:dyDescent="0.2">
      <c r="A5" s="68">
        <v>43509</v>
      </c>
      <c r="B5" s="70" t="s">
        <v>241</v>
      </c>
      <c r="C5" s="70" t="s">
        <v>19</v>
      </c>
      <c r="D5" s="69">
        <v>1968</v>
      </c>
      <c r="E5" s="87">
        <v>1</v>
      </c>
      <c r="F5" s="69">
        <v>92</v>
      </c>
      <c r="G5" s="69">
        <v>92</v>
      </c>
      <c r="H5" s="69" t="s">
        <v>50</v>
      </c>
      <c r="I5" s="69" t="s">
        <v>633</v>
      </c>
      <c r="J5" s="69" t="s">
        <v>16</v>
      </c>
      <c r="K5" s="69">
        <f>IF(J5="syllables",1,IF(J5="trigrams",2,IF(J5="strings",3,IF(J5="visual array",4,IF(J5="characters",5,IF(J5="letters",6,IF(J5="free forms",7,IF(J5="odors",8,IF(J5="words",9,IF(J5="pictures",10,IF(J5="object pictures",11,IF(J5="faces",12,IF(J5="names",13,IF(J5="idioms",14,IF(J5="grades",15,IF(J5="syllable-digit pairs",16,IF(J5="trigram-word pairs",17,IF(J5="word-digit pairs",18,IF(J5="English-Swahili pairs",19,IF(J5="spatial position",20,IF(J5="word pairs",21,IF(J5="word triads",22,IF(J5="generated words",23,IF(J5="word definition pairs",24,IF(J5="math problems",25,IF(J5="famous faces",26,IF(J5="famous names",27,IF(J5="famous voices",28,IF(J5="television programs",29,IF(J5="race horses",30,IF(J5="new vocabulary",31,IF(J5="sentences",32,IF(J5="concepts",33,IF(J5="ad slides",34,IF(J5="scenes",35,IF(J5="famous scenes",36,IF(J5="poems",37,IF(J5="walk",38,IF(J5="faces and events",39,IF(J5="events and names",40,IF(J5="flashbulb",41,IF(J5="stories",42,IF(J5="course material",43,IF(J5="autobiographical",44,IF(J5="novels",45,IF(J5="public events",46,"99"))))))))))))))))))))))))))))))))))))))))))))))</f>
        <v>9</v>
      </c>
      <c r="L5" s="69">
        <f>IF(J5="syllables",1,IF(J5="trigrams",1,IF(J5="strings",1,IF(J5="visual array",1,IF(J5="characters",1,IF(J5="letters",1,IF(J5="free forms",1,IF(J5="odors",2,IF(J5="words",2,IF(J5="pictures",2,IF(J5="object pictures",2,IF(J5="faces",2,IF(J5="names",2,IF(J5="idioms","2",IF(J5="grades",2,IF(J5="syllable-digit pairs",3,IF(J5="trigram-word pairs",3,IF(J5="word-digit pairs",3,IF(J5="English-Swahili pairs",3,IF(J5="spatial position",3,IF(J5="word pairs",4,IF(J5="word triads",4,IF(J5="generated words",4,IF(J5="word definition pairs",4,IF(J5="math problems",4,IF(J5="famous faces",4,IF(J5="famous names",4,IF(J5="famous voices",4,IF(J5="television programs",4,IF(J5="race horses",4,IF(J5="new vocabulary",4,IF(J5="sentences",5,IF(J5="concepts",5,IF(J5="ad slides",5,IF(J5="scenes",5,IF(J5="famous scenes",5,IF(J5="poems",6,IF(J5="walk",6,IF(J5="faces and events",6,IF(J5="events and names",6,IF(J5="flashbulb",7,IF(J5="stories",7,IF(J5="course material",7,IF(J5="autobiographical",7,IF(J5="novels",7,IF(J5="public events",7,"99"))))))))))))))))))))))))))))))))))))))))))))))</f>
        <v>2</v>
      </c>
      <c r="M5" s="69">
        <v>0</v>
      </c>
      <c r="N5" s="69">
        <v>1</v>
      </c>
      <c r="O5" s="69">
        <v>0</v>
      </c>
      <c r="P5" s="69"/>
      <c r="Q5" s="69" t="s">
        <v>65</v>
      </c>
      <c r="R5" s="69">
        <f>IF(Q5="Free Recall",1,IF(Q5="Cued Recall",2,IF(Q5="Recognition",3,IF(Q5="Multiple Choice",4,IF(Q5="Savings",5,IF(Q5="Stem Completion",6,IF(Q5="Fragment Completion",7,IF(Q5="anagram solution",8,IF(Q5="Matching",9,IF(Q5="Problem Solving",10,"99"))))))))))</f>
        <v>2</v>
      </c>
      <c r="S5" s="69" t="s">
        <v>15</v>
      </c>
      <c r="T5" s="92" t="s">
        <v>581</v>
      </c>
      <c r="U5" s="69">
        <f>IF(T5="within",1,0)</f>
        <v>1</v>
      </c>
      <c r="V5" s="92">
        <v>32</v>
      </c>
      <c r="W5" s="69">
        <f>F5*V5</f>
        <v>2944</v>
      </c>
      <c r="X5" s="69">
        <v>8</v>
      </c>
      <c r="Y5" s="87">
        <f>AV4</f>
        <v>3</v>
      </c>
      <c r="Z5" s="69" t="s">
        <v>57</v>
      </c>
      <c r="AA5" s="69">
        <v>288</v>
      </c>
      <c r="AB5" s="69" t="str">
        <f>IF(AA5&lt;60,"1",IF(AA5&lt;=43200,"2",IF(AA5&lt;=777600,"3","4")))</f>
        <v>2</v>
      </c>
      <c r="AC5" s="72">
        <f>AVERAGE(AV4:DA4)</f>
        <v>72</v>
      </c>
      <c r="AD5" s="69" t="str">
        <f>IF(AC5&lt;60,"1",IF(AC5&lt;=43200,"2",IF(AC5&lt;=777600,"3","4")))</f>
        <v>2</v>
      </c>
      <c r="AE5" s="87">
        <f>AA5-Y5</f>
        <v>285</v>
      </c>
      <c r="AF5" s="88">
        <f>AV5</f>
        <v>0.78582128099173498</v>
      </c>
      <c r="AG5" s="72">
        <f>((AW5-AV5)+(AX5-AW5)+(AY5-AX5)+(AZ5-AY5)+(BA5-AZ5)+(BB5-BA5)+(BC5-BB5))/7</f>
        <v>-0.10868967680047217</v>
      </c>
      <c r="AH5" s="4"/>
      <c r="AI5" s="72">
        <f>RSQ(AV5:BC5,AV4:BC4)</f>
        <v>0.41969762008778971</v>
      </c>
      <c r="AJ5" s="110">
        <f>SLOPE(AV5:BC5,AV4:BC4)</f>
        <v>-1.9942510886419738E-3</v>
      </c>
      <c r="AK5" s="72">
        <f>INTERCEPT(AV5:BC5,AV4:BC4)</f>
        <v>0.45968321810329615</v>
      </c>
      <c r="AL5" s="72">
        <f>INDEX(LINEST(LN(AV5:BC5),LN(AV4:BC4),TRUE,TRUE),3,1)</f>
        <v>0.93743283514416176</v>
      </c>
      <c r="AM5" s="72">
        <f>INDEX(LINEST(LN(AV5:BC5),LN(AV4:BC4)),1)</f>
        <v>-0.75462173189743664</v>
      </c>
      <c r="AN5" s="72">
        <f>EXP(INDEX(LINEST(LN(AV5:BC5),LN(AV4:BC4)),1,2))</f>
        <v>2.1989074079203448</v>
      </c>
      <c r="AO5" s="89">
        <f>INDEX(LINEST((AV5:BC5),LN(AV4:BC4),TRUE,TRUE),3,1)</f>
        <v>0.83456147871754716</v>
      </c>
      <c r="AP5" s="89">
        <f>INDEX(LINEST((AV5:BC5),LN(AV4:BC4)),1)</f>
        <v>-0.17472207485284422</v>
      </c>
      <c r="AQ5" s="90">
        <f>INDEX(LINEST(LN(AV5:BC5),SQRT(AV4:BC4),TRUE,TRUE),3,1)</f>
        <v>0.8855778535826665</v>
      </c>
      <c r="AR5" s="117">
        <f>INDEX(LINEST(LN(AV5:BC5),SQRT((AV4:BC4))),1)</f>
        <v>-0.2197493801033939</v>
      </c>
      <c r="AS5" s="91">
        <f>INDEX(LINEST(1/(AV5:BC5),1/(SQRT(AV4:BC4)),TRUE,TRUE),3,1)</f>
        <v>0.47730730635699359</v>
      </c>
      <c r="AT5" s="91">
        <f>INDEX(LINEST(1/(AV5:BC5),1/SQRT(AV4:BC4)),1)</f>
        <v>-50.59519299870913</v>
      </c>
      <c r="AU5" s="3"/>
      <c r="AV5" s="73">
        <v>0.78582128099173498</v>
      </c>
      <c r="AW5" s="73">
        <v>0.75088455578512303</v>
      </c>
      <c r="AX5" s="73">
        <v>0.41378486570247902</v>
      </c>
      <c r="AY5" s="73">
        <v>0.26235795454545402</v>
      </c>
      <c r="AZ5" s="73">
        <v>8.9527376033057798E-2</v>
      </c>
      <c r="BA5" s="73">
        <v>0.14638429752066101</v>
      </c>
      <c r="BB5" s="73">
        <v>5.5023243801652903E-2</v>
      </c>
      <c r="BC5" s="73">
        <v>2.4993543388429601E-2</v>
      </c>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1"/>
      <c r="CS5" s="1"/>
      <c r="CT5" s="1"/>
      <c r="CU5" s="1"/>
    </row>
    <row r="6" spans="1:99" s="13" customFormat="1" ht="12" customHeight="1" x14ac:dyDescent="0.2">
      <c r="A6" s="68">
        <v>43509</v>
      </c>
      <c r="B6" s="70"/>
      <c r="C6" s="70"/>
      <c r="D6" s="69"/>
      <c r="E6" s="87"/>
      <c r="F6" s="69"/>
      <c r="G6" s="69"/>
      <c r="H6" s="69"/>
      <c r="I6" s="69"/>
      <c r="J6" s="69"/>
      <c r="K6" s="107"/>
      <c r="L6" s="107"/>
      <c r="M6" s="69"/>
      <c r="N6" s="69"/>
      <c r="O6" s="69"/>
      <c r="P6" s="69"/>
      <c r="Q6" s="69"/>
      <c r="R6" s="69"/>
      <c r="S6" s="69"/>
      <c r="T6" s="69"/>
      <c r="U6" s="69"/>
      <c r="V6" s="69"/>
      <c r="W6" s="69"/>
      <c r="X6" s="69"/>
      <c r="Y6" s="87"/>
      <c r="Z6" s="69"/>
      <c r="AA6" s="69"/>
      <c r="AB6" s="69"/>
      <c r="AC6" s="69"/>
      <c r="AD6" s="69"/>
      <c r="AE6" s="69"/>
      <c r="AF6" s="88"/>
      <c r="AG6" s="72"/>
      <c r="AH6" s="4"/>
      <c r="AI6" s="72"/>
      <c r="AJ6" s="110"/>
      <c r="AK6" s="72"/>
      <c r="AL6" s="72"/>
      <c r="AM6" s="72"/>
      <c r="AN6" s="72"/>
      <c r="AO6" s="89"/>
      <c r="AP6" s="89"/>
      <c r="AQ6" s="89"/>
      <c r="AR6" s="118"/>
      <c r="AS6" s="89"/>
      <c r="AT6" s="89"/>
      <c r="AU6" s="129"/>
      <c r="AV6" s="71">
        <f>3*1</f>
        <v>3</v>
      </c>
      <c r="AW6" s="71">
        <f>3*2</f>
        <v>6</v>
      </c>
      <c r="AX6" s="71">
        <f>3*3</f>
        <v>9</v>
      </c>
      <c r="AY6" s="71">
        <f>3*6</f>
        <v>18</v>
      </c>
      <c r="AZ6" s="71">
        <f>3*12</f>
        <v>36</v>
      </c>
      <c r="BA6" s="71">
        <f>3*24</f>
        <v>72</v>
      </c>
      <c r="BB6" s="71">
        <f>3*48</f>
        <v>144</v>
      </c>
      <c r="BC6" s="71">
        <f>3*96</f>
        <v>288</v>
      </c>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1"/>
      <c r="CS6" s="1"/>
      <c r="CT6" s="1"/>
      <c r="CU6" s="1"/>
    </row>
    <row r="7" spans="1:99" s="13" customFormat="1" ht="12" customHeight="1" x14ac:dyDescent="0.2">
      <c r="A7" s="68">
        <v>43509</v>
      </c>
      <c r="B7" s="70" t="s">
        <v>241</v>
      </c>
      <c r="C7" s="70" t="s">
        <v>19</v>
      </c>
      <c r="D7" s="69">
        <v>1968</v>
      </c>
      <c r="E7" s="87">
        <v>1</v>
      </c>
      <c r="F7" s="69">
        <v>92</v>
      </c>
      <c r="G7" s="69">
        <v>92</v>
      </c>
      <c r="H7" s="69" t="s">
        <v>50</v>
      </c>
      <c r="I7" s="69" t="s">
        <v>634</v>
      </c>
      <c r="J7" s="69" t="s">
        <v>16</v>
      </c>
      <c r="K7" s="69">
        <f>IF(J7="syllables",1,IF(J7="trigrams",2,IF(J7="strings",3,IF(J7="visual array",4,IF(J7="characters",5,IF(J7="letters",6,IF(J7="free forms",7,IF(J7="odors",8,IF(J7="words",9,IF(J7="pictures",10,IF(J7="object pictures",11,IF(J7="faces",12,IF(J7="names",13,IF(J7="idioms",14,IF(J7="grades",15,IF(J7="syllable-digit pairs",16,IF(J7="trigram-word pairs",17,IF(J7="word-digit pairs",18,IF(J7="English-Swahili pairs",19,IF(J7="spatial position",20,IF(J7="word pairs",21,IF(J7="word triads",22,IF(J7="generated words",23,IF(J7="word definition pairs",24,IF(J7="math problems",25,IF(J7="famous faces",26,IF(J7="famous names",27,IF(J7="famous voices",28,IF(J7="television programs",29,IF(J7="race horses",30,IF(J7="new vocabulary",31,IF(J7="sentences",32,IF(J7="concepts",33,IF(J7="ad slides",34,IF(J7="scenes",35,IF(J7="famous scenes",36,IF(J7="poems",37,IF(J7="walk",38,IF(J7="faces and events",39,IF(J7="events and names",40,IF(J7="flashbulb",41,IF(J7="stories",42,IF(J7="course material",43,IF(J7="autobiographical",44,IF(J7="novels",45,IF(J7="public events",46,"99"))))))))))))))))))))))))))))))))))))))))))))))</f>
        <v>9</v>
      </c>
      <c r="L7" s="69">
        <f>IF(J7="syllables",1,IF(J7="trigrams",1,IF(J7="strings",1,IF(J7="visual array",1,IF(J7="characters",1,IF(J7="letters",1,IF(J7="free forms",1,IF(J7="odors",2,IF(J7="words",2,IF(J7="pictures",2,IF(J7="object pictures",2,IF(J7="faces",2,IF(J7="names",2,IF(J7="idioms","2",IF(J7="grades",2,IF(J7="syllable-digit pairs",3,IF(J7="trigram-word pairs",3,IF(J7="word-digit pairs",3,IF(J7="English-Swahili pairs",3,IF(J7="spatial position",3,IF(J7="word pairs",4,IF(J7="word triads",4,IF(J7="generated words",4,IF(J7="word definition pairs",4,IF(J7="math problems",4,IF(J7="famous faces",4,IF(J7="famous names",4,IF(J7="famous voices",4,IF(J7="television programs",4,IF(J7="race horses",4,IF(J7="new vocabulary",4,IF(J7="sentences",5,IF(J7="concepts",5,IF(J7="ad slides",5,IF(J7="scenes",5,IF(J7="famous scenes",5,IF(J7="poems",6,IF(J7="walk",6,IF(J7="faces and events",6,IF(J7="events and names",6,IF(J7="flashbulb",7,IF(J7="stories",7,IF(J7="course material",7,IF(J7="autobiographical",7,IF(J7="novels",7,IF(J7="public events",7,"99"))))))))))))))))))))))))))))))))))))))))))))))</f>
        <v>2</v>
      </c>
      <c r="M7" s="69">
        <v>0</v>
      </c>
      <c r="N7" s="69">
        <v>1</v>
      </c>
      <c r="O7" s="69">
        <v>0</v>
      </c>
      <c r="P7" s="69"/>
      <c r="Q7" s="69" t="s">
        <v>65</v>
      </c>
      <c r="R7" s="69">
        <f>IF(Q7="Free Recall",1,IF(Q7="Cued Recall",2,IF(Q7="Recognition",3,IF(Q7="Multiple Choice",4,IF(Q7="Savings",5,IF(Q7="Stem Completion",6,IF(Q7="Fragment Completion",7,IF(Q7="anagram solution",8,IF(Q7="Matching",9,IF(Q7="Problem Solving",10,"99"))))))))))</f>
        <v>2</v>
      </c>
      <c r="S7" s="69" t="s">
        <v>15</v>
      </c>
      <c r="T7" s="92" t="s">
        <v>581</v>
      </c>
      <c r="U7" s="69">
        <f>IF(T7="within",1,0)</f>
        <v>1</v>
      </c>
      <c r="V7" s="92">
        <v>32</v>
      </c>
      <c r="W7" s="69">
        <f>F7*V7</f>
        <v>2944</v>
      </c>
      <c r="X7" s="69">
        <v>8</v>
      </c>
      <c r="Y7" s="87">
        <f>AV6</f>
        <v>3</v>
      </c>
      <c r="Z7" s="69" t="s">
        <v>57</v>
      </c>
      <c r="AA7" s="69">
        <v>288</v>
      </c>
      <c r="AB7" s="69" t="str">
        <f>IF(AA7&lt;60,"1",IF(AA7&lt;=43200,"2",IF(AA7&lt;=777600,"3","4")))</f>
        <v>2</v>
      </c>
      <c r="AC7" s="72">
        <f>AVERAGE(AV6:DA6)</f>
        <v>72</v>
      </c>
      <c r="AD7" s="69" t="str">
        <f>IF(AC7&lt;60,"1",IF(AC7&lt;=43200,"2",IF(AC7&lt;=777600,"3","4")))</f>
        <v>2</v>
      </c>
      <c r="AE7" s="87">
        <f>AA7-Y7</f>
        <v>285</v>
      </c>
      <c r="AF7" s="88">
        <f>AV7</f>
        <v>0.74548037190082606</v>
      </c>
      <c r="AG7" s="72">
        <f>((AW7-AV7)+(AX7-AW7)+(AY7-AX7)+(AZ7-AY7)+(BA7-AZ7)+(BB7-BA7)+(BC7-BB7))/7</f>
        <v>-8.5435729043683573E-2</v>
      </c>
      <c r="AH7" s="4"/>
      <c r="AI7" s="72">
        <f>RSQ(AV7:BC7,AV6:BC6)</f>
        <v>0.50079974141873695</v>
      </c>
      <c r="AJ7" s="110">
        <f>SLOPE(AV7:BC7,AV6:BC6)</f>
        <v>-1.8349686720701597E-3</v>
      </c>
      <c r="AK7" s="72">
        <f>INTERCEPT(AV7:BC7,AV6:BC6)</f>
        <v>0.54221749903781125</v>
      </c>
      <c r="AL7" s="72">
        <f>INDEX(LINEST(LN(AV7:BC7),LN(AV6:BC6),TRUE,TRUE),3,1)</f>
        <v>0.88284261806445485</v>
      </c>
      <c r="AM7" s="72">
        <f>INDEX(LINEST(LN(AV7:BC7),LN(AV6:BC6)),1)</f>
        <v>-0.40883666822206854</v>
      </c>
      <c r="AN7" s="72">
        <f>EXP(INDEX(LINEST(LN(AV7:BC7),LN(AV6:BC6)),1,2))</f>
        <v>1.3026449623933485</v>
      </c>
      <c r="AO7" s="89">
        <f>INDEX(LINEST((AV7:BC7),LN(AV6:BC6),TRUE,TRUE),3,1)</f>
        <v>0.82460604692561734</v>
      </c>
      <c r="AP7" s="89">
        <f>INDEX(LINEST((AV7:BC7),LN(AV6:BC6)),1)</f>
        <v>-0.14629412646768444</v>
      </c>
      <c r="AQ7" s="90">
        <f>INDEX(LINEST(LN(AV7:BC7),SQRT(AV6:BC6),TRUE,TRUE),3,1)</f>
        <v>0.80642746430824919</v>
      </c>
      <c r="AR7" s="117">
        <f>INDEX(LINEST(LN(AV7:BC7),SQRT((AV6:BC6))),1)</f>
        <v>-0.11707007809406436</v>
      </c>
      <c r="AS7" s="91">
        <f>INDEX(LINEST(1/(AV7:BC7),1/(SQRT(AV6:BC6)),TRUE,TRUE),3,1)</f>
        <v>0.65564996239325657</v>
      </c>
      <c r="AT7" s="91">
        <f>INDEX(LINEST(1/(AV7:BC7),1/SQRT(AV6:BC6)),1)</f>
        <v>-11.15878721250836</v>
      </c>
      <c r="AU7" s="3"/>
      <c r="AV7" s="73">
        <v>0.74548037190082606</v>
      </c>
      <c r="AW7" s="73">
        <v>0.58124354338842898</v>
      </c>
      <c r="AX7" s="73">
        <v>0.770829028925619</v>
      </c>
      <c r="AY7" s="73">
        <v>0.297339876033057</v>
      </c>
      <c r="AZ7" s="73">
        <v>0.37447055785123901</v>
      </c>
      <c r="BA7" s="73">
        <v>0.23638300619834701</v>
      </c>
      <c r="BB7" s="73">
        <v>0.12762138429752001</v>
      </c>
      <c r="BC7" s="73">
        <v>0.14743026859504099</v>
      </c>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53"/>
      <c r="CI7" s="53"/>
      <c r="CJ7" s="53"/>
      <c r="CK7" s="53"/>
      <c r="CL7" s="53"/>
      <c r="CM7" s="53"/>
      <c r="CN7" s="53"/>
      <c r="CO7" s="53"/>
      <c r="CP7" s="53"/>
      <c r="CQ7" s="53"/>
      <c r="CR7" s="1"/>
      <c r="CS7" s="1"/>
      <c r="CT7" s="1"/>
      <c r="CU7" s="1"/>
    </row>
    <row r="8" spans="1:99" s="13" customFormat="1" ht="12" customHeight="1" x14ac:dyDescent="0.2">
      <c r="A8" s="68">
        <v>43509</v>
      </c>
      <c r="B8" s="70"/>
      <c r="C8" s="70"/>
      <c r="D8" s="69"/>
      <c r="E8" s="87"/>
      <c r="F8" s="69"/>
      <c r="G8" s="69"/>
      <c r="H8" s="69"/>
      <c r="I8" s="69"/>
      <c r="J8" s="69"/>
      <c r="K8" s="107"/>
      <c r="L8" s="107"/>
      <c r="M8" s="69"/>
      <c r="N8" s="69"/>
      <c r="O8" s="69"/>
      <c r="P8" s="69"/>
      <c r="Q8" s="69"/>
      <c r="R8" s="69"/>
      <c r="S8" s="69"/>
      <c r="T8" s="69"/>
      <c r="U8" s="69"/>
      <c r="V8" s="69"/>
      <c r="W8" s="69"/>
      <c r="X8" s="69"/>
      <c r="Y8" s="87"/>
      <c r="Z8" s="69"/>
      <c r="AA8" s="69"/>
      <c r="AB8" s="69"/>
      <c r="AC8" s="69"/>
      <c r="AD8" s="69"/>
      <c r="AE8" s="69"/>
      <c r="AF8" s="88"/>
      <c r="AG8" s="72"/>
      <c r="AH8" s="4"/>
      <c r="AI8" s="72"/>
      <c r="AJ8" s="110"/>
      <c r="AK8" s="72"/>
      <c r="AL8" s="72"/>
      <c r="AM8" s="72"/>
      <c r="AN8" s="72"/>
      <c r="AO8" s="89"/>
      <c r="AP8" s="89"/>
      <c r="AQ8" s="89"/>
      <c r="AR8" s="118"/>
      <c r="AS8" s="89"/>
      <c r="AT8" s="89"/>
      <c r="AU8" s="129"/>
      <c r="AV8" s="71">
        <f>3*1</f>
        <v>3</v>
      </c>
      <c r="AW8" s="71">
        <f>3*2</f>
        <v>6</v>
      </c>
      <c r="AX8" s="71">
        <f>3*3</f>
        <v>9</v>
      </c>
      <c r="AY8" s="71">
        <f>3*6</f>
        <v>18</v>
      </c>
      <c r="AZ8" s="71">
        <f>3*12</f>
        <v>36</v>
      </c>
      <c r="BA8" s="71">
        <f>3*24</f>
        <v>72</v>
      </c>
      <c r="BB8" s="71">
        <f>3*48</f>
        <v>144</v>
      </c>
      <c r="BC8" s="71">
        <f>3*96</f>
        <v>288</v>
      </c>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c r="CP8" s="53"/>
      <c r="CQ8" s="53"/>
      <c r="CR8" s="1"/>
      <c r="CS8" s="1"/>
      <c r="CT8" s="1"/>
      <c r="CU8" s="1"/>
    </row>
    <row r="9" spans="1:99" s="13" customFormat="1" ht="12" customHeight="1" x14ac:dyDescent="0.2">
      <c r="A9" s="68">
        <v>43509</v>
      </c>
      <c r="B9" s="70" t="s">
        <v>241</v>
      </c>
      <c r="C9" s="70" t="s">
        <v>19</v>
      </c>
      <c r="D9" s="69">
        <v>1968</v>
      </c>
      <c r="E9" s="87">
        <v>1</v>
      </c>
      <c r="F9" s="69">
        <v>92</v>
      </c>
      <c r="G9" s="69">
        <v>92</v>
      </c>
      <c r="H9" s="69" t="s">
        <v>50</v>
      </c>
      <c r="I9" s="69" t="s">
        <v>635</v>
      </c>
      <c r="J9" s="69" t="s">
        <v>16</v>
      </c>
      <c r="K9" s="69">
        <f>IF(J9="syllables",1,IF(J9="trigrams",2,IF(J9="strings",3,IF(J9="visual array",4,IF(J9="characters",5,IF(J9="letters",6,IF(J9="free forms",7,IF(J9="odors",8,IF(J9="words",9,IF(J9="pictures",10,IF(J9="object pictures",11,IF(J9="faces",12,IF(J9="names",13,IF(J9="idioms",14,IF(J9="grades",15,IF(J9="syllable-digit pairs",16,IF(J9="trigram-word pairs",17,IF(J9="word-digit pairs",18,IF(J9="English-Swahili pairs",19,IF(J9="spatial position",20,IF(J9="word pairs",21,IF(J9="word triads",22,IF(J9="generated words",23,IF(J9="word definition pairs",24,IF(J9="math problems",25,IF(J9="famous faces",26,IF(J9="famous names",27,IF(J9="famous voices",28,IF(J9="television programs",29,IF(J9="race horses",30,IF(J9="new vocabulary",31,IF(J9="sentences",32,IF(J9="concepts",33,IF(J9="ad slides",34,IF(J9="scenes",35,IF(J9="famous scenes",36,IF(J9="poems",37,IF(J9="walk",38,IF(J9="faces and events",39,IF(J9="events and names",40,IF(J9="flashbulb",41,IF(J9="stories",42,IF(J9="course material",43,IF(J9="autobiographical",44,IF(J9="novels",45,IF(J9="public events",46,"99"))))))))))))))))))))))))))))))))))))))))))))))</f>
        <v>9</v>
      </c>
      <c r="L9" s="69">
        <f>IF(J9="syllables",1,IF(J9="trigrams",1,IF(J9="strings",1,IF(J9="visual array",1,IF(J9="characters",1,IF(J9="letters",1,IF(J9="free forms",1,IF(J9="odors",2,IF(J9="words",2,IF(J9="pictures",2,IF(J9="object pictures",2,IF(J9="faces",2,IF(J9="names",2,IF(J9="idioms","2",IF(J9="grades",2,IF(J9="syllable-digit pairs",3,IF(J9="trigram-word pairs",3,IF(J9="word-digit pairs",3,IF(J9="English-Swahili pairs",3,IF(J9="spatial position",3,IF(J9="word pairs",4,IF(J9="word triads",4,IF(J9="generated words",4,IF(J9="word definition pairs",4,IF(J9="math problems",4,IF(J9="famous faces",4,IF(J9="famous names",4,IF(J9="famous voices",4,IF(J9="television programs",4,IF(J9="race horses",4,IF(J9="new vocabulary",4,IF(J9="sentences",5,IF(J9="concepts",5,IF(J9="ad slides",5,IF(J9="scenes",5,IF(J9="famous scenes",5,IF(J9="poems",6,IF(J9="walk",6,IF(J9="faces and events",6,IF(J9="events and names",6,IF(J9="flashbulb",7,IF(J9="stories",7,IF(J9="course material",7,IF(J9="autobiographical",7,IF(J9="novels",7,IF(J9="public events",7,"99"))))))))))))))))))))))))))))))))))))))))))))))</f>
        <v>2</v>
      </c>
      <c r="M9" s="69">
        <v>0</v>
      </c>
      <c r="N9" s="69">
        <v>1</v>
      </c>
      <c r="O9" s="69">
        <v>0</v>
      </c>
      <c r="P9" s="69"/>
      <c r="Q9" s="69" t="s">
        <v>65</v>
      </c>
      <c r="R9" s="69">
        <f>IF(Q9="Free Recall",1,IF(Q9="Cued Recall",2,IF(Q9="Recognition",3,IF(Q9="Multiple Choice",4,IF(Q9="Savings",5,IF(Q9="Stem Completion",6,IF(Q9="Fragment Completion",7,IF(Q9="anagram solution",8,IF(Q9="Matching",9,IF(Q9="Problem Solving",10,"99"))))))))))</f>
        <v>2</v>
      </c>
      <c r="S9" s="69" t="s">
        <v>15</v>
      </c>
      <c r="T9" s="92" t="s">
        <v>581</v>
      </c>
      <c r="U9" s="69">
        <f>IF(T9="within",1,0)</f>
        <v>1</v>
      </c>
      <c r="V9" s="92">
        <v>32</v>
      </c>
      <c r="W9" s="69">
        <f>F9*V9</f>
        <v>2944</v>
      </c>
      <c r="X9" s="69">
        <v>8</v>
      </c>
      <c r="Y9" s="87">
        <f>AV8</f>
        <v>3</v>
      </c>
      <c r="Z9" s="69" t="s">
        <v>57</v>
      </c>
      <c r="AA9" s="69">
        <v>288</v>
      </c>
      <c r="AB9" s="69" t="str">
        <f>IF(AA9&lt;60,"1",IF(AA9&lt;=43200,"2",IF(AA9&lt;=777600,"3","4")))</f>
        <v>2</v>
      </c>
      <c r="AC9" s="72">
        <f>AVERAGE(AV8:DA8)</f>
        <v>72</v>
      </c>
      <c r="AD9" s="69" t="str">
        <f>IF(AC9&lt;60,"1",IF(AC9&lt;=43200,"2",IF(AC9&lt;=777600,"3","4")))</f>
        <v>2</v>
      </c>
      <c r="AE9" s="87">
        <f>AA9-Y9</f>
        <v>285</v>
      </c>
      <c r="AF9" s="88">
        <f>AV9</f>
        <v>0.76833032024793302</v>
      </c>
      <c r="AG9" s="72">
        <f>((AW9-AV9)+(AX9-AW9)+(AY9-AX9)+(AZ9-AY9)+(BA9-AZ9)+(BB9-BA9)+(BC9-BB9))/7</f>
        <v>-9.9752804014167529E-2</v>
      </c>
      <c r="AH9" s="4"/>
      <c r="AI9" s="72">
        <f>RSQ(AV9:BC9,AV8:BC8)</f>
        <v>0.59754332133251598</v>
      </c>
      <c r="AJ9" s="110">
        <f>SLOPE(AV9:BC9,AV8:BC8)</f>
        <v>-2.1736754661714993E-3</v>
      </c>
      <c r="AK9" s="72">
        <f>INTERCEPT(AV9:BC9,AV8:BC8)</f>
        <v>0.61192173067178546</v>
      </c>
      <c r="AL9" s="72">
        <f>INDEX(LINEST(LN(AV9:BC9),LN(AV8:BC8),TRUE,TRUE),3,1)</f>
        <v>0.82420775277556968</v>
      </c>
      <c r="AM9" s="72">
        <f>INDEX(LINEST(LN(AV9:BC9),LN(AV8:BC8)),1)</f>
        <v>-0.45755734351725819</v>
      </c>
      <c r="AN9" s="72">
        <f>EXP(INDEX(LINEST(LN(AV9:BC9),LN(AV8:BC8)),1,2))</f>
        <v>1.6544468270298138</v>
      </c>
      <c r="AO9" s="89">
        <f>INDEX(LINEST((AV9:BC9),LN(AV8:BC8),TRUE,TRUE),3,1)</f>
        <v>0.83990532832959475</v>
      </c>
      <c r="AP9" s="89">
        <f>INDEX(LINEST((AV9:BC9),LN(AV8:BC8)),1)</f>
        <v>-0.16011506642523496</v>
      </c>
      <c r="AQ9" s="90">
        <f>INDEX(LINEST(LN(AV9:BC9),SQRT(AV8:BC8),TRUE,TRUE),3,1)</f>
        <v>0.90580339828123846</v>
      </c>
      <c r="AR9" s="117">
        <f>INDEX(LINEST(LN(AV9:BC9),SQRT((AV8:BC8))),1)</f>
        <v>-0.14371404482107042</v>
      </c>
      <c r="AS9" s="91">
        <f>INDEX(LINEST(1/(AV9:BC9),1/(SQRT(AV8:BC8)),TRUE,TRUE),3,1)</f>
        <v>0.35836830665402436</v>
      </c>
      <c r="AT9" s="91">
        <f>INDEX(LINEST(1/(AV9:BC9),1/SQRT(AV8:BC8)),1)</f>
        <v>-14.35995336259346</v>
      </c>
      <c r="AU9" s="3"/>
      <c r="AV9" s="73">
        <v>0.76833032024793302</v>
      </c>
      <c r="AW9" s="73">
        <v>0.91539256198347096</v>
      </c>
      <c r="AX9" s="73">
        <v>0.56361699380165198</v>
      </c>
      <c r="AY9" s="73">
        <v>0.37234633264462802</v>
      </c>
      <c r="AZ9" s="73">
        <v>0.34952866735537103</v>
      </c>
      <c r="BA9" s="73">
        <v>0.378899793388429</v>
      </c>
      <c r="BB9" s="73">
        <v>0.22516141528925601</v>
      </c>
      <c r="BC9" s="73">
        <v>7.0060692148760303E-2</v>
      </c>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c r="CP9" s="53"/>
      <c r="CQ9" s="53"/>
      <c r="CR9" s="1"/>
      <c r="CS9" s="1"/>
      <c r="CT9" s="1"/>
      <c r="CU9" s="1"/>
    </row>
    <row r="10" spans="1:99" s="13" customFormat="1" ht="12" customHeight="1" x14ac:dyDescent="0.2">
      <c r="A10" s="68">
        <v>43509</v>
      </c>
      <c r="B10" s="70"/>
      <c r="C10" s="70"/>
      <c r="D10" s="69"/>
      <c r="E10" s="87"/>
      <c r="F10" s="69"/>
      <c r="G10" s="69"/>
      <c r="H10" s="69"/>
      <c r="I10" s="69"/>
      <c r="J10" s="69"/>
      <c r="K10" s="107"/>
      <c r="L10" s="107"/>
      <c r="M10" s="69"/>
      <c r="N10" s="69"/>
      <c r="O10" s="69"/>
      <c r="P10" s="69"/>
      <c r="Q10" s="69"/>
      <c r="R10" s="69"/>
      <c r="S10" s="69"/>
      <c r="T10" s="69"/>
      <c r="U10" s="69"/>
      <c r="V10" s="69"/>
      <c r="W10" s="69"/>
      <c r="X10" s="69"/>
      <c r="Y10" s="87"/>
      <c r="Z10" s="69"/>
      <c r="AA10" s="69"/>
      <c r="AB10" s="69"/>
      <c r="AC10" s="69"/>
      <c r="AD10" s="69"/>
      <c r="AE10" s="69"/>
      <c r="AF10" s="88"/>
      <c r="AG10" s="72"/>
      <c r="AH10" s="4"/>
      <c r="AI10" s="72"/>
      <c r="AJ10" s="110"/>
      <c r="AK10" s="72"/>
      <c r="AL10" s="72"/>
      <c r="AM10" s="72"/>
      <c r="AN10" s="72"/>
      <c r="AO10" s="89"/>
      <c r="AP10" s="89"/>
      <c r="AQ10" s="89"/>
      <c r="AR10" s="118"/>
      <c r="AS10" s="89"/>
      <c r="AT10" s="89"/>
      <c r="AU10" s="129"/>
      <c r="AV10" s="71">
        <f>3*1</f>
        <v>3</v>
      </c>
      <c r="AW10" s="71">
        <f>3*2</f>
        <v>6</v>
      </c>
      <c r="AX10" s="71">
        <f>3*3</f>
        <v>9</v>
      </c>
      <c r="AY10" s="71">
        <f>3*6</f>
        <v>18</v>
      </c>
      <c r="AZ10" s="71">
        <f>3*12</f>
        <v>36</v>
      </c>
      <c r="BA10" s="71">
        <f>3*24</f>
        <v>72</v>
      </c>
      <c r="BB10" s="71">
        <f>3*48</f>
        <v>144</v>
      </c>
      <c r="BC10" s="71">
        <f>3*96</f>
        <v>288</v>
      </c>
      <c r="BD10" s="53"/>
      <c r="BE10" s="53"/>
      <c r="BF10" s="53"/>
      <c r="BG10" s="53"/>
      <c r="BH10" s="53"/>
      <c r="BI10" s="53"/>
      <c r="BJ10" s="53"/>
      <c r="BK10" s="53"/>
      <c r="BL10" s="53"/>
      <c r="BM10" s="53"/>
      <c r="BN10" s="53"/>
      <c r="BO10" s="53"/>
      <c r="BP10" s="53"/>
      <c r="BQ10" s="53"/>
      <c r="BR10" s="53"/>
      <c r="BS10" s="53"/>
      <c r="BT10" s="53"/>
      <c r="BU10" s="53"/>
      <c r="BV10" s="53"/>
      <c r="BW10" s="53"/>
      <c r="BX10" s="53"/>
      <c r="BY10" s="53"/>
      <c r="BZ10" s="53"/>
      <c r="CA10" s="53"/>
      <c r="CB10" s="53"/>
      <c r="CC10" s="53"/>
      <c r="CD10" s="53"/>
      <c r="CE10" s="53"/>
      <c r="CF10" s="53"/>
      <c r="CG10" s="53"/>
      <c r="CH10" s="53"/>
      <c r="CI10" s="53"/>
      <c r="CJ10" s="53"/>
      <c r="CK10" s="53"/>
      <c r="CL10" s="53"/>
      <c r="CM10" s="53"/>
      <c r="CN10" s="53"/>
      <c r="CO10" s="53"/>
      <c r="CP10" s="53"/>
      <c r="CQ10" s="53"/>
      <c r="CR10" s="1"/>
      <c r="CS10" s="1"/>
      <c r="CT10" s="1"/>
      <c r="CU10" s="1"/>
    </row>
    <row r="11" spans="1:99" s="13" customFormat="1" ht="12" customHeight="1" x14ac:dyDescent="0.2">
      <c r="A11" s="68">
        <v>43509</v>
      </c>
      <c r="B11" s="70" t="s">
        <v>241</v>
      </c>
      <c r="C11" s="70" t="s">
        <v>19</v>
      </c>
      <c r="D11" s="69">
        <v>1968</v>
      </c>
      <c r="E11" s="87">
        <v>1</v>
      </c>
      <c r="F11" s="69">
        <v>92</v>
      </c>
      <c r="G11" s="69">
        <v>92</v>
      </c>
      <c r="H11" s="69" t="s">
        <v>50</v>
      </c>
      <c r="I11" s="69" t="s">
        <v>636</v>
      </c>
      <c r="J11" s="69" t="s">
        <v>16</v>
      </c>
      <c r="K11" s="69">
        <f>IF(J11="syllables",1,IF(J11="trigrams",2,IF(J11="strings",3,IF(J11="visual array",4,IF(J11="characters",5,IF(J11="letters",6,IF(J11="free forms",7,IF(J11="odors",8,IF(J11="words",9,IF(J11="pictures",10,IF(J11="object pictures",11,IF(J11="faces",12,IF(J11="names",13,IF(J11="idioms",14,IF(J11="grades",15,IF(J11="syllable-digit pairs",16,IF(J11="trigram-word pairs",17,IF(J11="word-digit pairs",18,IF(J11="English-Swahili pairs",19,IF(J11="spatial position",20,IF(J11="word pairs",21,IF(J11="word triads",22,IF(J11="generated words",23,IF(J11="word definition pairs",24,IF(J11="math problems",25,IF(J11="famous faces",26,IF(J11="famous names",27,IF(J11="famous voices",28,IF(J11="television programs",29,IF(J11="race horses",30,IF(J11="new vocabulary",31,IF(J11="sentences",32,IF(J11="concepts",33,IF(J11="ad slides",34,IF(J11="scenes",35,IF(J11="famous scenes",36,IF(J11="poems",37,IF(J11="walk",38,IF(J11="faces and events",39,IF(J11="events and names",40,IF(J11="flashbulb",41,IF(J11="stories",42,IF(J11="course material",43,IF(J11="autobiographical",44,IF(J11="novels",45,IF(J11="public events",46,"99"))))))))))))))))))))))))))))))))))))))))))))))</f>
        <v>9</v>
      </c>
      <c r="L11" s="69">
        <f>IF(J11="syllables",1,IF(J11="trigrams",1,IF(J11="strings",1,IF(J11="visual array",1,IF(J11="characters",1,IF(J11="letters",1,IF(J11="free forms",1,IF(J11="odors",2,IF(J11="words",2,IF(J11="pictures",2,IF(J11="object pictures",2,IF(J11="faces",2,IF(J11="names",2,IF(J11="idioms","2",IF(J11="grades",2,IF(J11="syllable-digit pairs",3,IF(J11="trigram-word pairs",3,IF(J11="word-digit pairs",3,IF(J11="English-Swahili pairs",3,IF(J11="spatial position",3,IF(J11="word pairs",4,IF(J11="word triads",4,IF(J11="generated words",4,IF(J11="word definition pairs",4,IF(J11="math problems",4,IF(J11="famous faces",4,IF(J11="famous names",4,IF(J11="famous voices",4,IF(J11="television programs",4,IF(J11="race horses",4,IF(J11="new vocabulary",4,IF(J11="sentences",5,IF(J11="concepts",5,IF(J11="ad slides",5,IF(J11="scenes",5,IF(J11="famous scenes",5,IF(J11="poems",6,IF(J11="walk",6,IF(J11="faces and events",6,IF(J11="events and names",6,IF(J11="flashbulb",7,IF(J11="stories",7,IF(J11="course material",7,IF(J11="autobiographical",7,IF(J11="novels",7,IF(J11="public events",7,"99"))))))))))))))))))))))))))))))))))))))))))))))</f>
        <v>2</v>
      </c>
      <c r="M11" s="69">
        <v>0</v>
      </c>
      <c r="N11" s="69">
        <v>1</v>
      </c>
      <c r="O11" s="69">
        <v>0</v>
      </c>
      <c r="P11" s="69"/>
      <c r="Q11" s="69" t="s">
        <v>65</v>
      </c>
      <c r="R11" s="69">
        <f>IF(Q11="Free Recall",1,IF(Q11="Cued Recall",2,IF(Q11="Recognition",3,IF(Q11="Multiple Choice",4,IF(Q11="Savings",5,IF(Q11="Stem Completion",6,IF(Q11="Fragment Completion",7,IF(Q11="anagram solution",8,IF(Q11="Matching",9,IF(Q11="Problem Solving",10,"99"))))))))))</f>
        <v>2</v>
      </c>
      <c r="S11" s="69" t="s">
        <v>15</v>
      </c>
      <c r="T11" s="92" t="s">
        <v>581</v>
      </c>
      <c r="U11" s="69">
        <f>IF(T11="within",1,0)</f>
        <v>1</v>
      </c>
      <c r="V11" s="92">
        <v>32</v>
      </c>
      <c r="W11" s="69">
        <f>F11*V11</f>
        <v>2944</v>
      </c>
      <c r="X11" s="69">
        <v>8</v>
      </c>
      <c r="Y11" s="87">
        <f>AV10</f>
        <v>3</v>
      </c>
      <c r="Z11" s="69" t="s">
        <v>57</v>
      </c>
      <c r="AA11" s="69">
        <v>288</v>
      </c>
      <c r="AB11" s="69" t="str">
        <f>IF(AA11&lt;60,"1",IF(AA11&lt;=43200,"2",IF(AA11&lt;=777600,"3","4")))</f>
        <v>2</v>
      </c>
      <c r="AC11" s="72">
        <f>AVERAGE(AV10:DA10)</f>
        <v>72</v>
      </c>
      <c r="AD11" s="69" t="str">
        <f>IF(AC11&lt;60,"1",IF(AC11&lt;=43200,"2",IF(AC11&lt;=777600,"3","4")))</f>
        <v>2</v>
      </c>
      <c r="AE11" s="87">
        <f>AA11-Y11</f>
        <v>285</v>
      </c>
      <c r="AF11" s="88">
        <f>AV11</f>
        <v>0.805449380165289</v>
      </c>
      <c r="AG11" s="72">
        <f>((AW11-AV11)+(AX11-AW11)+(AY11-AX11)+(AZ11-AY11)+(BA11-AZ11)+(BB11-BA11)+(BC11-BB11))/7</f>
        <v>-8.2937020365997718E-2</v>
      </c>
      <c r="AH11" s="4"/>
      <c r="AI11" s="72">
        <f>RSQ(AV11:BC11,AV10:BC10)</f>
        <v>0.58506340591897732</v>
      </c>
      <c r="AJ11" s="110">
        <f>SLOPE(AV11:BC11,AV10:BC10)</f>
        <v>-1.7541422387886828E-3</v>
      </c>
      <c r="AK11" s="72">
        <f>INTERCEPT(AV11:BC11,AV10:BC10)</f>
        <v>0.62821989021137958</v>
      </c>
      <c r="AL11" s="72">
        <f>INDEX(LINEST(LN(AV11:BC11),LN(AV10:BC10),TRUE,TRUE),3,1)</f>
        <v>0.94822331792961601</v>
      </c>
      <c r="AM11" s="72">
        <f>INDEX(LINEST(LN(AV11:BC11),LN(AV10:BC10)),1)</f>
        <v>-0.29520485385500506</v>
      </c>
      <c r="AN11" s="72">
        <f>EXP(INDEX(LINEST(LN(AV11:BC11),LN(AV10:BC10)),1,2))</f>
        <v>1.2081223843829691</v>
      </c>
      <c r="AO11" s="89">
        <f>INDEX(LINEST((AV11:BC11),LN(AV10:BC10),TRUE,TRUE),3,1)</f>
        <v>0.93112759749405771</v>
      </c>
      <c r="AP11" s="89">
        <f>INDEX(LINEST((AV11:BC11),LN(AV10:BC10)),1)</f>
        <v>-0.13749121965912697</v>
      </c>
      <c r="AQ11" s="90">
        <f>INDEX(LINEST(LN(AV11:BC11),SQRT(AV10:BC10),TRUE,TRUE),3,1)</f>
        <v>0.86525863398617209</v>
      </c>
      <c r="AR11" s="117">
        <f>INDEX(LINEST(LN(AV11:BC11),SQRT((AV10:BC10))),1)</f>
        <v>-8.4488229053187869E-2</v>
      </c>
      <c r="AS11" s="91">
        <f>INDEX(LINEST(1/(AV11:BC11),1/(SQRT(AV10:BC10)),TRUE,TRUE),3,1)</f>
        <v>0.74789087529908882</v>
      </c>
      <c r="AT11" s="91">
        <f>INDEX(LINEST(1/(AV11:BC11),1/SQRT(AV10:BC10)),1)</f>
        <v>-5.6356347667895399</v>
      </c>
      <c r="AU11" s="3"/>
      <c r="AV11" s="73">
        <v>0.805449380165289</v>
      </c>
      <c r="AW11" s="73">
        <v>0.74084452479338803</v>
      </c>
      <c r="AX11" s="73">
        <v>0.72616864669421399</v>
      </c>
      <c r="AY11" s="73">
        <v>0.46225464876033001</v>
      </c>
      <c r="AZ11" s="73">
        <v>0.46197055785123903</v>
      </c>
      <c r="BA11" s="73">
        <v>0.28881069214875998</v>
      </c>
      <c r="BB11" s="73">
        <v>0.30498450413223099</v>
      </c>
      <c r="BC11" s="73">
        <v>0.22489023760330501</v>
      </c>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1"/>
      <c r="CS11" s="1"/>
      <c r="CT11" s="1"/>
      <c r="CU11" s="1"/>
    </row>
    <row r="12" spans="1:99" s="13" customFormat="1" ht="12" customHeight="1" x14ac:dyDescent="0.2">
      <c r="A12" s="68">
        <v>43509</v>
      </c>
      <c r="B12" s="70"/>
      <c r="C12" s="70"/>
      <c r="D12" s="69"/>
      <c r="E12" s="87"/>
      <c r="F12" s="69"/>
      <c r="G12" s="69"/>
      <c r="H12" s="69"/>
      <c r="I12" s="69"/>
      <c r="J12" s="69"/>
      <c r="K12" s="107"/>
      <c r="L12" s="107"/>
      <c r="M12" s="69"/>
      <c r="N12" s="69"/>
      <c r="O12" s="69"/>
      <c r="P12" s="69"/>
      <c r="Q12" s="69"/>
      <c r="R12" s="69"/>
      <c r="S12" s="69"/>
      <c r="T12" s="69"/>
      <c r="U12" s="69"/>
      <c r="V12" s="69"/>
      <c r="W12" s="69"/>
      <c r="X12" s="69"/>
      <c r="Y12" s="87"/>
      <c r="Z12" s="69"/>
      <c r="AA12" s="69"/>
      <c r="AB12" s="69"/>
      <c r="AC12" s="69"/>
      <c r="AD12" s="69"/>
      <c r="AE12" s="69"/>
      <c r="AF12" s="88"/>
      <c r="AG12" s="72"/>
      <c r="AH12" s="4"/>
      <c r="AI12" s="72"/>
      <c r="AJ12" s="110"/>
      <c r="AK12" s="72"/>
      <c r="AL12" s="72"/>
      <c r="AM12" s="72"/>
      <c r="AN12" s="72"/>
      <c r="AO12" s="89"/>
      <c r="AP12" s="89"/>
      <c r="AQ12" s="89"/>
      <c r="AR12" s="118"/>
      <c r="AS12" s="89"/>
      <c r="AT12" s="89"/>
      <c r="AU12" s="129"/>
      <c r="AV12" s="71">
        <f>3*1</f>
        <v>3</v>
      </c>
      <c r="AW12" s="71">
        <f>3*2</f>
        <v>6</v>
      </c>
      <c r="AX12" s="71">
        <f>3*3</f>
        <v>9</v>
      </c>
      <c r="AY12" s="71">
        <f>3*6</f>
        <v>18</v>
      </c>
      <c r="AZ12" s="71">
        <f>3*12</f>
        <v>36</v>
      </c>
      <c r="BA12" s="71">
        <f>3*24</f>
        <v>72</v>
      </c>
      <c r="BB12" s="71">
        <f>3*48</f>
        <v>144</v>
      </c>
      <c r="BC12" s="71">
        <f>3*96</f>
        <v>288</v>
      </c>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1"/>
      <c r="CS12" s="1"/>
      <c r="CT12" s="1"/>
      <c r="CU12" s="1"/>
    </row>
    <row r="13" spans="1:99" s="13" customFormat="1" ht="12" customHeight="1" x14ac:dyDescent="0.2">
      <c r="A13" s="68">
        <v>43509</v>
      </c>
      <c r="B13" s="70" t="s">
        <v>241</v>
      </c>
      <c r="C13" s="70" t="s">
        <v>19</v>
      </c>
      <c r="D13" s="69">
        <v>1968</v>
      </c>
      <c r="E13" s="87">
        <v>2</v>
      </c>
      <c r="F13" s="69">
        <v>100</v>
      </c>
      <c r="G13" s="69">
        <v>100</v>
      </c>
      <c r="H13" s="69" t="s">
        <v>50</v>
      </c>
      <c r="I13" s="69" t="s">
        <v>637</v>
      </c>
      <c r="J13" s="69" t="s">
        <v>16</v>
      </c>
      <c r="K13" s="69">
        <f>IF(J13="syllables",1,IF(J13="trigrams",2,IF(J13="strings",3,IF(J13="visual array",4,IF(J13="characters",5,IF(J13="letters",6,IF(J13="free forms",7,IF(J13="odors",8,IF(J13="words",9,IF(J13="pictures",10,IF(J13="object pictures",11,IF(J13="faces",12,IF(J13="names",13,IF(J13="idioms",14,IF(J13="grades",15,IF(J13="syllable-digit pairs",16,IF(J13="trigram-word pairs",17,IF(J13="word-digit pairs",18,IF(J13="English-Swahili pairs",19,IF(J13="spatial position",20,IF(J13="word pairs",21,IF(J13="word triads",22,IF(J13="generated words",23,IF(J13="word definition pairs",24,IF(J13="math problems",25,IF(J13="famous faces",26,IF(J13="famous names",27,IF(J13="famous voices",28,IF(J13="television programs",29,IF(J13="race horses",30,IF(J13="new vocabulary",31,IF(J13="sentences",32,IF(J13="concepts",33,IF(J13="ad slides",34,IF(J13="scenes",35,IF(J13="famous scenes",36,IF(J13="poems",37,IF(J13="walk",38,IF(J13="faces and events",39,IF(J13="events and names",40,IF(J13="flashbulb",41,IF(J13="stories",42,IF(J13="course material",43,IF(J13="autobiographical",44,IF(J13="novels",45,IF(J13="public events",46,"99"))))))))))))))))))))))))))))))))))))))))))))))</f>
        <v>9</v>
      </c>
      <c r="L13" s="69">
        <f>IF(J13="syllables",1,IF(J13="trigrams",1,IF(J13="strings",1,IF(J13="visual array",1,IF(J13="characters",1,IF(J13="letters",1,IF(J13="free forms",1,IF(J13="odors",2,IF(J13="words",2,IF(J13="pictures",2,IF(J13="object pictures",2,IF(J13="faces",2,IF(J13="names",2,IF(J13="idioms","2",IF(J13="grades",2,IF(J13="syllable-digit pairs",3,IF(J13="trigram-word pairs",3,IF(J13="word-digit pairs",3,IF(J13="English-Swahili pairs",3,IF(J13="spatial position",3,IF(J13="word pairs",4,IF(J13="word triads",4,IF(J13="generated words",4,IF(J13="word definition pairs",4,IF(J13="math problems",4,IF(J13="famous faces",4,IF(J13="famous names",4,IF(J13="famous voices",4,IF(J13="television programs",4,IF(J13="race horses",4,IF(J13="new vocabulary",4,IF(J13="sentences",5,IF(J13="concepts",5,IF(J13="ad slides",5,IF(J13="scenes",5,IF(J13="famous scenes",5,IF(J13="poems",6,IF(J13="walk",6,IF(J13="faces and events",6,IF(J13="events and names",6,IF(J13="flashbulb",7,IF(J13="stories",7,IF(J13="course material",7,IF(J13="autobiographical",7,IF(J13="novels",7,IF(J13="public events",7,"99"))))))))))))))))))))))))))))))))))))))))))))))</f>
        <v>2</v>
      </c>
      <c r="M13" s="69">
        <v>0</v>
      </c>
      <c r="N13" s="69">
        <v>1</v>
      </c>
      <c r="O13" s="69">
        <v>0</v>
      </c>
      <c r="P13" s="69"/>
      <c r="Q13" s="69" t="s">
        <v>65</v>
      </c>
      <c r="R13" s="69">
        <f>IF(Q13="Free Recall",1,IF(Q13="Cued Recall",2,IF(Q13="Recognition",3,IF(Q13="Multiple Choice",4,IF(Q13="Savings",5,IF(Q13="Stem Completion",6,IF(Q13="Fragment Completion",7,IF(Q13="anagram solution",8,IF(Q13="Matching",9,IF(Q13="Problem Solving",10,"99"))))))))))</f>
        <v>2</v>
      </c>
      <c r="S13" s="69" t="s">
        <v>15</v>
      </c>
      <c r="T13" s="92" t="s">
        <v>581</v>
      </c>
      <c r="U13" s="69">
        <f>IF(T13="within",1,0)</f>
        <v>1</v>
      </c>
      <c r="V13" s="92">
        <v>32</v>
      </c>
      <c r="W13" s="69">
        <f>F13*V13</f>
        <v>3200</v>
      </c>
      <c r="X13" s="69">
        <v>8</v>
      </c>
      <c r="Y13" s="87">
        <f>AV12</f>
        <v>3</v>
      </c>
      <c r="Z13" s="69" t="s">
        <v>57</v>
      </c>
      <c r="AA13" s="69">
        <v>288</v>
      </c>
      <c r="AB13" s="69" t="str">
        <f>IF(AA13&lt;60,"1",IF(AA13&lt;=43200,"2",IF(AA13&lt;=777600,"3","4")))</f>
        <v>2</v>
      </c>
      <c r="AC13" s="72">
        <f>AVERAGE(AV12:DA12)</f>
        <v>72</v>
      </c>
      <c r="AD13" s="69" t="str">
        <f>IF(AC13&lt;60,"1",IF(AC13&lt;=43200,"2",IF(AC13&lt;=777600,"3","4")))</f>
        <v>2</v>
      </c>
      <c r="AE13" s="87">
        <f>AA13-Y13</f>
        <v>285</v>
      </c>
      <c r="AF13" s="88">
        <f>AV13</f>
        <v>0.78</v>
      </c>
      <c r="AG13" s="72">
        <f>((AW13-AV13)+(AX13-AW13)+(AY13-AX13)+(AZ13-AY13)+(BA13-AZ13)+(BB13-BA13)+(BC13-BB13))/7</f>
        <v>-0.10797746494594519</v>
      </c>
      <c r="AH13" s="4"/>
      <c r="AI13" s="72">
        <f>RSQ(AV13:BC13,AV12:BC12)</f>
        <v>0.28996660539573244</v>
      </c>
      <c r="AJ13" s="110">
        <f>SLOPE(AV13:BC13,AV12:BC12)</f>
        <v>-1.5011390241173865E-3</v>
      </c>
      <c r="AK13" s="72">
        <f>INTERCEPT(AV13:BC13,AV12:BC12)</f>
        <v>0.34032959108612121</v>
      </c>
      <c r="AL13" s="72">
        <f>INDEX(LINEST(LN(AV13:BC13),LN(AV12:BC12),TRUE,TRUE),3,1)</f>
        <v>0.91823579491830809</v>
      </c>
      <c r="AM13" s="72">
        <f>INDEX(LINEST(LN(AV13:BC13),LN(AV12:BC12)),1)</f>
        <v>-0.74934456887203515</v>
      </c>
      <c r="AN13" s="72">
        <f>EXP(INDEX(LINEST(LN(AV13:BC13),LN(AV12:BC12)),1,2))</f>
        <v>1.4242632060180567</v>
      </c>
      <c r="AO13" s="89">
        <f>INDEX(LINEST((AV13:BC13),LN(AV12:BC12),TRUE,TRUE),3,1)</f>
        <v>0.72732351625960889</v>
      </c>
      <c r="AP13" s="89">
        <f>INDEX(LINEST((AV13:BC13),LN(AV12:BC12)),1)</f>
        <v>-0.14771267539494995</v>
      </c>
      <c r="AQ13" s="90">
        <f>INDEX(LINEST(LN(AV13:BC13),SQRT(AV12:BC12),TRUE,TRUE),3,1)</f>
        <v>0.73685952076040584</v>
      </c>
      <c r="AR13" s="117">
        <f>INDEX(LINEST(LN(AV13:BC13),SQRT((AV12:BC12))),1)</f>
        <v>-0.20111842624486573</v>
      </c>
      <c r="AS13" s="91">
        <f>INDEX(LINEST(1/(AV13:BC13),1/(SQRT(AV12:BC12)),TRUE,TRUE),3,1)</f>
        <v>0.68234020220133929</v>
      </c>
      <c r="AT13" s="91">
        <f>INDEX(LINEST(1/(AV13:BC13),1/SQRT(AV12:BC12)),1)</f>
        <v>-61.931163053239558</v>
      </c>
      <c r="AU13" s="3"/>
      <c r="AV13" s="73">
        <v>0.78</v>
      </c>
      <c r="AW13" s="73">
        <v>0.51207019105031604</v>
      </c>
      <c r="AX13" s="73">
        <v>0.28141640938268098</v>
      </c>
      <c r="AY13" s="73">
        <v>9.4254382871126599E-2</v>
      </c>
      <c r="AZ13" s="73">
        <v>6.8740131418308703E-2</v>
      </c>
      <c r="BA13" s="73">
        <v>4.3085888538608903E-2</v>
      </c>
      <c r="BB13" s="73">
        <v>5.4255902157929997E-2</v>
      </c>
      <c r="BC13" s="73">
        <v>2.41577453783836E-2</v>
      </c>
      <c r="BD13" s="53"/>
      <c r="BE13" s="53"/>
      <c r="BF13" s="53"/>
      <c r="BG13" s="53"/>
      <c r="BH13" s="53"/>
      <c r="BI13" s="53"/>
      <c r="BJ13" s="53"/>
      <c r="BK13" s="53"/>
      <c r="BL13" s="53"/>
      <c r="BM13" s="53"/>
      <c r="BN13" s="53"/>
      <c r="BO13" s="53"/>
      <c r="BP13" s="53"/>
      <c r="BQ13" s="53"/>
      <c r="BR13" s="53"/>
      <c r="BS13" s="53"/>
      <c r="BT13" s="53"/>
      <c r="BU13" s="53"/>
      <c r="BV13" s="53"/>
      <c r="BW13" s="53"/>
      <c r="BX13" s="53"/>
      <c r="BY13" s="53"/>
      <c r="BZ13" s="53"/>
      <c r="CA13" s="53"/>
      <c r="CB13" s="53"/>
      <c r="CC13" s="53"/>
      <c r="CD13" s="53"/>
      <c r="CE13" s="53"/>
      <c r="CF13" s="53"/>
      <c r="CG13" s="53"/>
      <c r="CH13" s="53"/>
      <c r="CI13" s="53"/>
      <c r="CJ13" s="53"/>
      <c r="CK13" s="53"/>
      <c r="CL13" s="53"/>
      <c r="CM13" s="53"/>
      <c r="CN13" s="53"/>
      <c r="CO13" s="53"/>
      <c r="CP13" s="53"/>
      <c r="CQ13" s="53"/>
      <c r="CR13" s="1"/>
      <c r="CS13" s="1"/>
      <c r="CT13" s="1"/>
      <c r="CU13" s="1"/>
    </row>
    <row r="14" spans="1:99" s="13" customFormat="1" ht="12" customHeight="1" x14ac:dyDescent="0.2">
      <c r="A14" s="68">
        <v>43509</v>
      </c>
      <c r="B14" s="70"/>
      <c r="C14" s="70"/>
      <c r="D14" s="69"/>
      <c r="E14" s="87"/>
      <c r="F14" s="69"/>
      <c r="G14" s="69"/>
      <c r="H14" s="69"/>
      <c r="I14" s="69"/>
      <c r="J14" s="69"/>
      <c r="K14" s="107"/>
      <c r="L14" s="107"/>
      <c r="M14" s="69"/>
      <c r="N14" s="69"/>
      <c r="O14" s="69"/>
      <c r="P14" s="69"/>
      <c r="Q14" s="69"/>
      <c r="R14" s="69"/>
      <c r="S14" s="69"/>
      <c r="T14" s="69"/>
      <c r="U14" s="69"/>
      <c r="V14" s="69"/>
      <c r="W14" s="69"/>
      <c r="X14" s="69"/>
      <c r="Y14" s="87"/>
      <c r="Z14" s="69"/>
      <c r="AA14" s="69"/>
      <c r="AB14" s="69"/>
      <c r="AC14" s="69"/>
      <c r="AD14" s="69"/>
      <c r="AE14" s="69"/>
      <c r="AF14" s="88"/>
      <c r="AG14" s="72"/>
      <c r="AH14" s="4"/>
      <c r="AI14" s="72"/>
      <c r="AJ14" s="110"/>
      <c r="AK14" s="72"/>
      <c r="AL14" s="72"/>
      <c r="AM14" s="72"/>
      <c r="AN14" s="72"/>
      <c r="AO14" s="89"/>
      <c r="AP14" s="89"/>
      <c r="AQ14" s="89"/>
      <c r="AR14" s="118"/>
      <c r="AS14" s="89"/>
      <c r="AT14" s="89"/>
      <c r="AU14" s="129"/>
      <c r="AV14" s="71">
        <f>3*1</f>
        <v>3</v>
      </c>
      <c r="AW14" s="71">
        <f>3*2</f>
        <v>6</v>
      </c>
      <c r="AX14" s="71">
        <f>3*3</f>
        <v>9</v>
      </c>
      <c r="AY14" s="71">
        <f>3*6</f>
        <v>18</v>
      </c>
      <c r="AZ14" s="71">
        <f>3*12</f>
        <v>36</v>
      </c>
      <c r="BA14" s="71">
        <f>3*24</f>
        <v>72</v>
      </c>
      <c r="BB14" s="71">
        <f>3*48</f>
        <v>144</v>
      </c>
      <c r="BC14" s="71">
        <f>3*96</f>
        <v>288</v>
      </c>
      <c r="BD14" s="53"/>
      <c r="BE14" s="53"/>
      <c r="BF14" s="53"/>
      <c r="BG14" s="53"/>
      <c r="BH14" s="53"/>
      <c r="BI14" s="53"/>
      <c r="BJ14" s="53"/>
      <c r="BK14" s="53"/>
      <c r="BL14" s="53"/>
      <c r="BM14" s="53"/>
      <c r="BN14" s="53"/>
      <c r="BO14" s="53"/>
      <c r="BP14" s="53"/>
      <c r="BQ14" s="53"/>
      <c r="BR14" s="53"/>
      <c r="BS14" s="53"/>
      <c r="BT14" s="53"/>
      <c r="BU14" s="53"/>
      <c r="BV14" s="53"/>
      <c r="BW14" s="53"/>
      <c r="BX14" s="53"/>
      <c r="BY14" s="53"/>
      <c r="BZ14" s="53"/>
      <c r="CA14" s="53"/>
      <c r="CB14" s="53"/>
      <c r="CC14" s="53"/>
      <c r="CD14" s="53"/>
      <c r="CE14" s="53"/>
      <c r="CF14" s="53"/>
      <c r="CG14" s="53"/>
      <c r="CH14" s="53"/>
      <c r="CI14" s="53"/>
      <c r="CJ14" s="53"/>
      <c r="CK14" s="53"/>
      <c r="CL14" s="53"/>
      <c r="CM14" s="53"/>
      <c r="CN14" s="53"/>
      <c r="CO14" s="53"/>
      <c r="CP14" s="53"/>
      <c r="CQ14" s="53"/>
      <c r="CR14" s="1"/>
      <c r="CS14" s="1"/>
      <c r="CT14" s="1"/>
      <c r="CU14" s="1"/>
    </row>
    <row r="15" spans="1:99" s="13" customFormat="1" ht="12" customHeight="1" x14ac:dyDescent="0.2">
      <c r="A15" s="68">
        <v>43509</v>
      </c>
      <c r="B15" s="70" t="s">
        <v>241</v>
      </c>
      <c r="C15" s="70" t="s">
        <v>19</v>
      </c>
      <c r="D15" s="69">
        <v>1968</v>
      </c>
      <c r="E15" s="87">
        <v>2</v>
      </c>
      <c r="F15" s="69">
        <v>100</v>
      </c>
      <c r="G15" s="69">
        <v>100</v>
      </c>
      <c r="H15" s="69" t="s">
        <v>50</v>
      </c>
      <c r="I15" s="69" t="s">
        <v>638</v>
      </c>
      <c r="J15" s="69" t="s">
        <v>16</v>
      </c>
      <c r="K15" s="69">
        <f>IF(J15="syllables",1,IF(J15="trigrams",2,IF(J15="strings",3,IF(J15="visual array",4,IF(J15="characters",5,IF(J15="letters",6,IF(J15="free forms",7,IF(J15="odors",8,IF(J15="words",9,IF(J15="pictures",10,IF(J15="object pictures",11,IF(J15="faces",12,IF(J15="names",13,IF(J15="idioms",14,IF(J15="grades",15,IF(J15="syllable-digit pairs",16,IF(J15="trigram-word pairs",17,IF(J15="word-digit pairs",18,IF(J15="English-Swahili pairs",19,IF(J15="spatial position",20,IF(J15="word pairs",21,IF(J15="word triads",22,IF(J15="generated words",23,IF(J15="word definition pairs",24,IF(J15="math problems",25,IF(J15="famous faces",26,IF(J15="famous names",27,IF(J15="famous voices",28,IF(J15="television programs",29,IF(J15="race horses",30,IF(J15="new vocabulary",31,IF(J15="sentences",32,IF(J15="concepts",33,IF(J15="ad slides",34,IF(J15="scenes",35,IF(J15="famous scenes",36,IF(J15="poems",37,IF(J15="walk",38,IF(J15="faces and events",39,IF(J15="events and names",40,IF(J15="flashbulb",41,IF(J15="stories",42,IF(J15="course material",43,IF(J15="autobiographical",44,IF(J15="novels",45,IF(J15="public events",46,"99"))))))))))))))))))))))))))))))))))))))))))))))</f>
        <v>9</v>
      </c>
      <c r="L15" s="69">
        <f>IF(J15="syllables",1,IF(J15="trigrams",1,IF(J15="strings",1,IF(J15="visual array",1,IF(J15="characters",1,IF(J15="letters",1,IF(J15="free forms",1,IF(J15="odors",2,IF(J15="words",2,IF(J15="pictures",2,IF(J15="object pictures",2,IF(J15="faces",2,IF(J15="names",2,IF(J15="idioms","2",IF(J15="grades",2,IF(J15="syllable-digit pairs",3,IF(J15="trigram-word pairs",3,IF(J15="word-digit pairs",3,IF(J15="English-Swahili pairs",3,IF(J15="spatial position",3,IF(J15="word pairs",4,IF(J15="word triads",4,IF(J15="generated words",4,IF(J15="word definition pairs",4,IF(J15="math problems",4,IF(J15="famous faces",4,IF(J15="famous names",4,IF(J15="famous voices",4,IF(J15="television programs",4,IF(J15="race horses",4,IF(J15="new vocabulary",4,IF(J15="sentences",5,IF(J15="concepts",5,IF(J15="ad slides",5,IF(J15="scenes",5,IF(J15="famous scenes",5,IF(J15="poems",6,IF(J15="walk",6,IF(J15="faces and events",6,IF(J15="events and names",6,IF(J15="flashbulb",7,IF(J15="stories",7,IF(J15="course material",7,IF(J15="autobiographical",7,IF(J15="novels",7,IF(J15="public events",7,"99"))))))))))))))))))))))))))))))))))))))))))))))</f>
        <v>2</v>
      </c>
      <c r="M15" s="69">
        <v>0</v>
      </c>
      <c r="N15" s="69">
        <v>1</v>
      </c>
      <c r="O15" s="69">
        <v>0</v>
      </c>
      <c r="P15" s="69"/>
      <c r="Q15" s="69" t="s">
        <v>65</v>
      </c>
      <c r="R15" s="69">
        <f>IF(Q15="Free Recall",1,IF(Q15="Cued Recall",2,IF(Q15="Recognition",3,IF(Q15="Multiple Choice",4,IF(Q15="Savings",5,IF(Q15="Stem Completion",6,IF(Q15="Fragment Completion",7,IF(Q15="anagram solution",8,IF(Q15="Matching",9,IF(Q15="Problem Solving",10,"99"))))))))))</f>
        <v>2</v>
      </c>
      <c r="S15" s="69" t="s">
        <v>15</v>
      </c>
      <c r="T15" s="92" t="s">
        <v>581</v>
      </c>
      <c r="U15" s="69">
        <f>IF(T15="within",1,0)</f>
        <v>1</v>
      </c>
      <c r="V15" s="92">
        <v>32</v>
      </c>
      <c r="W15" s="69">
        <f>F15*V15</f>
        <v>3200</v>
      </c>
      <c r="X15" s="69">
        <v>8</v>
      </c>
      <c r="Y15" s="87">
        <f>AV14</f>
        <v>3</v>
      </c>
      <c r="Z15" s="69" t="s">
        <v>57</v>
      </c>
      <c r="AA15" s="69">
        <v>288</v>
      </c>
      <c r="AB15" s="69" t="str">
        <f>IF(AA15&lt;60,"1",IF(AA15&lt;=43200,"2",IF(AA15&lt;=777600,"3","4")))</f>
        <v>2</v>
      </c>
      <c r="AC15" s="72">
        <f>AVERAGE(AV14:DA14)</f>
        <v>72</v>
      </c>
      <c r="AD15" s="69" t="str">
        <f>IF(AC15&lt;60,"1",IF(AC15&lt;=43200,"2",IF(AC15&lt;=777600,"3","4")))</f>
        <v>2</v>
      </c>
      <c r="AE15" s="87">
        <f>AA15-Y15</f>
        <v>285</v>
      </c>
      <c r="AF15" s="88">
        <f>AV15</f>
        <v>0.85316744168380398</v>
      </c>
      <c r="AG15" s="72">
        <f>((AW15-AV15)+(AX15-AW15)+(AY15-AX15)+(AZ15-AY15)+(BA15-AZ15)+(BB15-BA15)+(BC15-BB15))/7</f>
        <v>-0.104086648957157</v>
      </c>
      <c r="AH15" s="4"/>
      <c r="AI15" s="72">
        <f>RSQ(AV15:BC15,AV14:BC14)</f>
        <v>0.50951054051920253</v>
      </c>
      <c r="AJ15" s="110">
        <f>SLOPE(AV15:BC15,AV14:BC14)</f>
        <v>-1.7990464569631525E-3</v>
      </c>
      <c r="AK15" s="72">
        <f>INTERCEPT(AV15:BC15,AV14:BC14)</f>
        <v>0.55106859184513857</v>
      </c>
      <c r="AL15" s="72">
        <f>INDEX(LINEST(LN(AV15:BC15),LN(AV14:BC14),TRUE,TRUE),3,1)</f>
        <v>0.94354787932912332</v>
      </c>
      <c r="AM15" s="72">
        <f>INDEX(LINEST(LN(AV15:BC15),LN(AV14:BC14)),1)</f>
        <v>-0.38361945485187965</v>
      </c>
      <c r="AN15" s="72">
        <f>EXP(INDEX(LINEST(LN(AV15:BC15),LN(AV14:BC14)),1,2))</f>
        <v>1.2722929210589915</v>
      </c>
      <c r="AO15" s="89">
        <f>INDEX(LINEST((AV15:BC15),LN(AV14:BC14),TRUE,TRUE),3,1)</f>
        <v>0.89399461027955851</v>
      </c>
      <c r="AP15" s="89">
        <f>INDEX(LINEST((AV15:BC15),LN(AV14:BC14)),1)</f>
        <v>-0.14806086030769725</v>
      </c>
      <c r="AQ15" s="90">
        <f>INDEX(LINEST(LN(AV15:BC15),SQRT(AV14:BC14),TRUE,TRUE),3,1)</f>
        <v>0.86781192559339471</v>
      </c>
      <c r="AR15" s="117">
        <f>INDEX(LINEST(LN(AV15:BC15),SQRT((AV14:BC14))),1)</f>
        <v>-0.11022662677170703</v>
      </c>
      <c r="AS15" s="91">
        <f>INDEX(LINEST(1/(AV15:BC15),1/(SQRT(AV14:BC14)),TRUE,TRUE),3,1)</f>
        <v>0.63786400677111366</v>
      </c>
      <c r="AT15" s="91">
        <f>INDEX(LINEST(1/(AV15:BC15),1/SQRT(AV14:BC14)),1)</f>
        <v>-9.7696083424276949</v>
      </c>
      <c r="AU15" s="3"/>
      <c r="AV15" s="73">
        <v>0.85316744168380398</v>
      </c>
      <c r="AW15" s="73">
        <v>0.69786160382426199</v>
      </c>
      <c r="AX15" s="73">
        <v>0.50732350499465495</v>
      </c>
      <c r="AY15" s="73">
        <v>0.41549889580405502</v>
      </c>
      <c r="AZ15" s="73">
        <v>0.25708720163648902</v>
      </c>
      <c r="BA15" s="73">
        <v>0.27661437787918403</v>
      </c>
      <c r="BB15" s="73">
        <v>0.24018405074417901</v>
      </c>
      <c r="BC15" s="73">
        <v>0.124560898983705</v>
      </c>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1"/>
      <c r="CS15" s="1"/>
      <c r="CT15" s="1"/>
      <c r="CU15" s="1"/>
    </row>
    <row r="16" spans="1:99" s="13" customFormat="1" ht="12" customHeight="1" x14ac:dyDescent="0.2">
      <c r="A16" s="68">
        <v>43509</v>
      </c>
      <c r="B16" s="70"/>
      <c r="C16" s="70"/>
      <c r="D16" s="69"/>
      <c r="E16" s="87"/>
      <c r="F16" s="69"/>
      <c r="G16" s="69"/>
      <c r="H16" s="69"/>
      <c r="I16" s="69"/>
      <c r="J16" s="69"/>
      <c r="K16" s="107"/>
      <c r="L16" s="107"/>
      <c r="M16" s="69"/>
      <c r="N16" s="69"/>
      <c r="O16" s="69"/>
      <c r="P16" s="69"/>
      <c r="Q16" s="69"/>
      <c r="R16" s="69"/>
      <c r="S16" s="69"/>
      <c r="T16" s="92"/>
      <c r="U16" s="69"/>
      <c r="V16" s="69"/>
      <c r="W16" s="69"/>
      <c r="X16" s="69"/>
      <c r="Y16" s="87"/>
      <c r="Z16" s="69"/>
      <c r="AA16" s="69"/>
      <c r="AB16" s="69"/>
      <c r="AC16" s="69"/>
      <c r="AD16" s="69"/>
      <c r="AE16" s="69"/>
      <c r="AF16" s="88"/>
      <c r="AG16" s="72"/>
      <c r="AH16" s="4"/>
      <c r="AI16" s="72"/>
      <c r="AJ16" s="110"/>
      <c r="AK16" s="72"/>
      <c r="AL16" s="72"/>
      <c r="AM16" s="72"/>
      <c r="AN16" s="72"/>
      <c r="AO16" s="89"/>
      <c r="AP16" s="89"/>
      <c r="AQ16" s="89"/>
      <c r="AR16" s="118"/>
      <c r="AS16" s="89"/>
      <c r="AT16" s="89"/>
      <c r="AU16" s="129"/>
      <c r="AV16" s="71">
        <f>3*1</f>
        <v>3</v>
      </c>
      <c r="AW16" s="71">
        <f>3*2</f>
        <v>6</v>
      </c>
      <c r="AX16" s="71">
        <f>3*3</f>
        <v>9</v>
      </c>
      <c r="AY16" s="71">
        <f>3*6</f>
        <v>18</v>
      </c>
      <c r="AZ16" s="71">
        <f>3*12</f>
        <v>36</v>
      </c>
      <c r="BA16" s="71">
        <f>3*24</f>
        <v>72</v>
      </c>
      <c r="BB16" s="71">
        <f>3*48</f>
        <v>144</v>
      </c>
      <c r="BC16" s="71">
        <f>3*96</f>
        <v>288</v>
      </c>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1"/>
      <c r="CS16" s="1"/>
      <c r="CT16" s="1"/>
      <c r="CU16" s="1"/>
    </row>
    <row r="17" spans="1:99" s="13" customFormat="1" ht="12" customHeight="1" x14ac:dyDescent="0.2">
      <c r="A17" s="68">
        <v>43509</v>
      </c>
      <c r="B17" s="70" t="s">
        <v>241</v>
      </c>
      <c r="C17" s="70" t="s">
        <v>19</v>
      </c>
      <c r="D17" s="69">
        <v>1968</v>
      </c>
      <c r="E17" s="87">
        <v>2</v>
      </c>
      <c r="F17" s="69">
        <v>100</v>
      </c>
      <c r="G17" s="69">
        <v>100</v>
      </c>
      <c r="H17" s="69" t="s">
        <v>50</v>
      </c>
      <c r="I17" s="69" t="s">
        <v>639</v>
      </c>
      <c r="J17" s="69" t="s">
        <v>16</v>
      </c>
      <c r="K17" s="69">
        <f>IF(J17="syllables",1,IF(J17="trigrams",2,IF(J17="strings",3,IF(J17="visual array",4,IF(J17="characters",5,IF(J17="letters",6,IF(J17="free forms",7,IF(J17="odors",8,IF(J17="words",9,IF(J17="pictures",10,IF(J17="object pictures",11,IF(J17="faces",12,IF(J17="names",13,IF(J17="idioms",14,IF(J17="grades",15,IF(J17="syllable-digit pairs",16,IF(J17="trigram-word pairs",17,IF(J17="word-digit pairs",18,IF(J17="English-Swahili pairs",19,IF(J17="spatial position",20,IF(J17="word pairs",21,IF(J17="word triads",22,IF(J17="generated words",23,IF(J17="word definition pairs",24,IF(J17="math problems",25,IF(J17="famous faces",26,IF(J17="famous names",27,IF(J17="famous voices",28,IF(J17="television programs",29,IF(J17="race horses",30,IF(J17="new vocabulary",31,IF(J17="sentences",32,IF(J17="concepts",33,IF(J17="ad slides",34,IF(J17="scenes",35,IF(J17="famous scenes",36,IF(J17="poems",37,IF(J17="walk",38,IF(J17="faces and events",39,IF(J17="events and names",40,IF(J17="flashbulb",41,IF(J17="stories",42,IF(J17="course material",43,IF(J17="autobiographical",44,IF(J17="novels",45,IF(J17="public events",46,"99"))))))))))))))))))))))))))))))))))))))))))))))</f>
        <v>9</v>
      </c>
      <c r="L17" s="69">
        <f>IF(J17="syllables",1,IF(J17="trigrams",1,IF(J17="strings",1,IF(J17="visual array",1,IF(J17="characters",1,IF(J17="letters",1,IF(J17="free forms",1,IF(J17="odors",2,IF(J17="words",2,IF(J17="pictures",2,IF(J17="object pictures",2,IF(J17="faces",2,IF(J17="names",2,IF(J17="idioms","2",IF(J17="grades",2,IF(J17="syllable-digit pairs",3,IF(J17="trigram-word pairs",3,IF(J17="word-digit pairs",3,IF(J17="English-Swahili pairs",3,IF(J17="spatial position",3,IF(J17="word pairs",4,IF(J17="word triads",4,IF(J17="generated words",4,IF(J17="word definition pairs",4,IF(J17="math problems",4,IF(J17="famous faces",4,IF(J17="famous names",4,IF(J17="famous voices",4,IF(J17="television programs",4,IF(J17="race horses",4,IF(J17="new vocabulary",4,IF(J17="sentences",5,IF(J17="concepts",5,IF(J17="ad slides",5,IF(J17="scenes",5,IF(J17="famous scenes",5,IF(J17="poems",6,IF(J17="walk",6,IF(J17="faces and events",6,IF(J17="events and names",6,IF(J17="flashbulb",7,IF(J17="stories",7,IF(J17="course material",7,IF(J17="autobiographical",7,IF(J17="novels",7,IF(J17="public events",7,"99"))))))))))))))))))))))))))))))))))))))))))))))</f>
        <v>2</v>
      </c>
      <c r="M17" s="69">
        <v>0</v>
      </c>
      <c r="N17" s="69">
        <v>1</v>
      </c>
      <c r="O17" s="69">
        <v>0</v>
      </c>
      <c r="P17" s="69"/>
      <c r="Q17" s="69" t="s">
        <v>65</v>
      </c>
      <c r="R17" s="69">
        <f>IF(Q17="Free Recall",1,IF(Q17="Cued Recall",2,IF(Q17="Recognition",3,IF(Q17="Multiple Choice",4,IF(Q17="Savings",5,IF(Q17="Stem Completion",6,IF(Q17="Fragment Completion",7,IF(Q17="anagram solution",8,IF(Q17="Matching",9,IF(Q17="Problem Solving",10,"99"))))))))))</f>
        <v>2</v>
      </c>
      <c r="S17" s="69" t="s">
        <v>15</v>
      </c>
      <c r="T17" s="92" t="s">
        <v>581</v>
      </c>
      <c r="U17" s="69">
        <f>IF(T17="within",1,0)</f>
        <v>1</v>
      </c>
      <c r="V17" s="92">
        <v>32</v>
      </c>
      <c r="W17" s="69">
        <f>F17*V17</f>
        <v>3200</v>
      </c>
      <c r="X17" s="69">
        <v>8</v>
      </c>
      <c r="Y17" s="87">
        <f>AV16</f>
        <v>3</v>
      </c>
      <c r="Z17" s="69" t="s">
        <v>57</v>
      </c>
      <c r="AA17" s="69">
        <v>288</v>
      </c>
      <c r="AB17" s="69" t="str">
        <f>IF(AA17&lt;60,"1",IF(AA17&lt;=43200,"2",IF(AA17&lt;=777600,"3","4")))</f>
        <v>2</v>
      </c>
      <c r="AC17" s="72">
        <f>AVERAGE(AV16:DA16)</f>
        <v>72</v>
      </c>
      <c r="AD17" s="69" t="str">
        <f>IF(AC17&lt;60,"1",IF(AC17&lt;=43200,"2",IF(AC17&lt;=777600,"3","4")))</f>
        <v>2</v>
      </c>
      <c r="AE17" s="87">
        <f>AA17-Y17</f>
        <v>285</v>
      </c>
      <c r="AF17" s="88">
        <f>AV17</f>
        <v>0.923540806415731</v>
      </c>
      <c r="AG17" s="72">
        <f>((AW17-AV17)+(AX17-AW17)+(AY17-AX17)+(AZ17-AY17)+(BA17-AZ17)+(BB17-BA17)+(BC17-BB17))/7</f>
        <v>-0.11127132524442299</v>
      </c>
      <c r="AH17" s="4"/>
      <c r="AI17" s="72">
        <f>RSQ(AV17:BC17,AV16:BC16)</f>
        <v>0.47963894689149289</v>
      </c>
      <c r="AJ17" s="110">
        <f>SLOPE(AV17:BC17,AV16:BC16)</f>
        <v>-2.0191355238029091E-3</v>
      </c>
      <c r="AK17" s="72">
        <f>INTERCEPT(AV17:BC17,AV16:BC16)</f>
        <v>0.57291062585599262</v>
      </c>
      <c r="AL17" s="72">
        <f>INDEX(LINEST(LN(AV17:BC17),LN(AV16:BC16),TRUE,TRUE),3,1)</f>
        <v>0.96298881645745071</v>
      </c>
      <c r="AM17" s="72">
        <f>INDEX(LINEST(LN(AV17:BC17),LN(AV16:BC16)),1)</f>
        <v>-0.44995182923018884</v>
      </c>
      <c r="AN17" s="72">
        <f>EXP(INDEX(LINEST(LN(AV17:BC17),LN(AV16:BC16)),1,2))</f>
        <v>1.5195390824282691</v>
      </c>
      <c r="AO17" s="89">
        <f>INDEX(LINEST((AV17:BC17),LN(AV16:BC16),TRUE,TRUE),3,1)</f>
        <v>0.90180575078075009</v>
      </c>
      <c r="AP17" s="89">
        <f>INDEX(LINEST((AV17:BC17),LN(AV16:BC16)),1)</f>
        <v>-0.17201716106719955</v>
      </c>
      <c r="AQ17" s="90">
        <f>INDEX(LINEST(LN(AV17:BC17),SQRT(AV16:BC16),TRUE,TRUE),3,1)</f>
        <v>0.84219946321908856</v>
      </c>
      <c r="AR17" s="117">
        <f>INDEX(LINEST(LN(AV17:BC17),SQRT((AV16:BC16))),1)</f>
        <v>-0.12607179541829022</v>
      </c>
      <c r="AS17" s="91">
        <f>INDEX(LINEST(1/(AV17:BC17),1/(SQRT(AV16:BC16)),TRUE,TRUE),3,1)</f>
        <v>0.70449066435837748</v>
      </c>
      <c r="AT17" s="91">
        <f>INDEX(LINEST(1/(AV17:BC17),1/SQRT(AV16:BC16)),1)</f>
        <v>-12.050111571151588</v>
      </c>
      <c r="AU17" s="3"/>
      <c r="AV17" s="73">
        <v>0.923540806415731</v>
      </c>
      <c r="AW17" s="73">
        <v>0.75559341714732198</v>
      </c>
      <c r="AX17" s="73">
        <v>0.50495016196682496</v>
      </c>
      <c r="AY17" s="73">
        <v>0.440690841413588</v>
      </c>
      <c r="AZ17" s="73">
        <v>0.29478396284258501</v>
      </c>
      <c r="BA17" s="73">
        <v>0.23143295875678899</v>
      </c>
      <c r="BB17" s="73">
        <v>0.124629266889856</v>
      </c>
      <c r="BC17" s="73">
        <v>0.14464152970477001</v>
      </c>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1"/>
      <c r="CS17" s="1"/>
      <c r="CT17" s="1"/>
      <c r="CU17" s="1"/>
    </row>
    <row r="18" spans="1:99" s="13" customFormat="1" ht="12" customHeight="1" x14ac:dyDescent="0.2">
      <c r="A18" s="68">
        <v>43509</v>
      </c>
      <c r="B18" s="70"/>
      <c r="C18" s="70"/>
      <c r="D18" s="69"/>
      <c r="E18" s="87"/>
      <c r="F18" s="69"/>
      <c r="G18" s="69"/>
      <c r="H18" s="69"/>
      <c r="I18" s="69"/>
      <c r="J18" s="69"/>
      <c r="K18" s="107"/>
      <c r="L18" s="107"/>
      <c r="M18" s="69"/>
      <c r="N18" s="69"/>
      <c r="O18" s="69"/>
      <c r="P18" s="69"/>
      <c r="Q18" s="69"/>
      <c r="R18" s="69"/>
      <c r="S18" s="69"/>
      <c r="T18" s="69"/>
      <c r="U18" s="69"/>
      <c r="V18" s="69"/>
      <c r="W18" s="69"/>
      <c r="X18" s="69"/>
      <c r="Y18" s="87"/>
      <c r="Z18" s="69"/>
      <c r="AA18" s="69"/>
      <c r="AB18" s="69"/>
      <c r="AC18" s="69"/>
      <c r="AD18" s="69"/>
      <c r="AE18" s="69"/>
      <c r="AF18" s="88"/>
      <c r="AG18" s="72"/>
      <c r="AH18" s="4"/>
      <c r="AI18" s="72"/>
      <c r="AJ18" s="110"/>
      <c r="AK18" s="72"/>
      <c r="AL18" s="72"/>
      <c r="AM18" s="72"/>
      <c r="AN18" s="72"/>
      <c r="AO18" s="89"/>
      <c r="AP18" s="89"/>
      <c r="AQ18" s="89"/>
      <c r="AR18" s="118"/>
      <c r="AS18" s="89"/>
      <c r="AT18" s="89"/>
      <c r="AU18" s="129"/>
      <c r="AV18" s="71">
        <f>3*1</f>
        <v>3</v>
      </c>
      <c r="AW18" s="71">
        <f>3*2</f>
        <v>6</v>
      </c>
      <c r="AX18" s="71">
        <f>3*3</f>
        <v>9</v>
      </c>
      <c r="AY18" s="71">
        <f>3*6</f>
        <v>18</v>
      </c>
      <c r="AZ18" s="71">
        <f>3*12</f>
        <v>36</v>
      </c>
      <c r="BA18" s="71">
        <f>3*24</f>
        <v>72</v>
      </c>
      <c r="BB18" s="71">
        <f>3*48</f>
        <v>144</v>
      </c>
      <c r="BC18" s="71">
        <f>3*96</f>
        <v>288</v>
      </c>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1"/>
      <c r="CS18" s="1"/>
      <c r="CT18" s="1"/>
      <c r="CU18" s="1"/>
    </row>
    <row r="19" spans="1:99" s="13" customFormat="1" ht="12" customHeight="1" x14ac:dyDescent="0.2">
      <c r="A19" s="68">
        <v>43509</v>
      </c>
      <c r="B19" s="70" t="s">
        <v>241</v>
      </c>
      <c r="C19" s="70" t="s">
        <v>19</v>
      </c>
      <c r="D19" s="69">
        <v>1968</v>
      </c>
      <c r="E19" s="87">
        <v>2</v>
      </c>
      <c r="F19" s="69">
        <v>100</v>
      </c>
      <c r="G19" s="69">
        <v>100</v>
      </c>
      <c r="H19" s="69" t="s">
        <v>50</v>
      </c>
      <c r="I19" s="69" t="s">
        <v>640</v>
      </c>
      <c r="J19" s="69" t="s">
        <v>16</v>
      </c>
      <c r="K19" s="69">
        <f>IF(J19="syllables",1,IF(J19="trigrams",2,IF(J19="strings",3,IF(J19="visual array",4,IF(J19="characters",5,IF(J19="letters",6,IF(J19="free forms",7,IF(J19="odors",8,IF(J19="words",9,IF(J19="pictures",10,IF(J19="object pictures",11,IF(J19="faces",12,IF(J19="names",13,IF(J19="idioms",14,IF(J19="grades",15,IF(J19="syllable-digit pairs",16,IF(J19="trigram-word pairs",17,IF(J19="word-digit pairs",18,IF(J19="English-Swahili pairs",19,IF(J19="spatial position",20,IF(J19="word pairs",21,IF(J19="word triads",22,IF(J19="generated words",23,IF(J19="word definition pairs",24,IF(J19="math problems",25,IF(J19="famous faces",26,IF(J19="famous names",27,IF(J19="famous voices",28,IF(J19="television programs",29,IF(J19="race horses",30,IF(J19="new vocabulary",31,IF(J19="sentences",32,IF(J19="concepts",33,IF(J19="ad slides",34,IF(J19="scenes",35,IF(J19="famous scenes",36,IF(J19="poems",37,IF(J19="walk",38,IF(J19="faces and events",39,IF(J19="events and names",40,IF(J19="flashbulb",41,IF(J19="stories",42,IF(J19="course material",43,IF(J19="autobiographical",44,IF(J19="novels",45,IF(J19="public events",46,"99"))))))))))))))))))))))))))))))))))))))))))))))</f>
        <v>9</v>
      </c>
      <c r="L19" s="69">
        <f>IF(J19="syllables",1,IF(J19="trigrams",1,IF(J19="strings",1,IF(J19="visual array",1,IF(J19="characters",1,IF(J19="letters",1,IF(J19="free forms",1,IF(J19="odors",2,IF(J19="words",2,IF(J19="pictures",2,IF(J19="object pictures",2,IF(J19="faces",2,IF(J19="names",2,IF(J19="idioms","2",IF(J19="grades",2,IF(J19="syllable-digit pairs",3,IF(J19="trigram-word pairs",3,IF(J19="word-digit pairs",3,IF(J19="English-Swahili pairs",3,IF(J19="spatial position",3,IF(J19="word pairs",4,IF(J19="word triads",4,IF(J19="generated words",4,IF(J19="word definition pairs",4,IF(J19="math problems",4,IF(J19="famous faces",4,IF(J19="famous names",4,IF(J19="famous voices",4,IF(J19="television programs",4,IF(J19="race horses",4,IF(J19="new vocabulary",4,IF(J19="sentences",5,IF(J19="concepts",5,IF(J19="ad slides",5,IF(J19="scenes",5,IF(J19="famous scenes",5,IF(J19="poems",6,IF(J19="walk",6,IF(J19="faces and events",6,IF(J19="events and names",6,IF(J19="flashbulb",7,IF(J19="stories",7,IF(J19="course material",7,IF(J19="autobiographical",7,IF(J19="novels",7,IF(J19="public events",7,"99"))))))))))))))))))))))))))))))))))))))))))))))</f>
        <v>2</v>
      </c>
      <c r="M19" s="69">
        <v>0</v>
      </c>
      <c r="N19" s="69">
        <v>1</v>
      </c>
      <c r="O19" s="69">
        <v>0</v>
      </c>
      <c r="P19" s="69"/>
      <c r="Q19" s="69" t="s">
        <v>65</v>
      </c>
      <c r="R19" s="69">
        <f>IF(Q19="Free Recall",1,IF(Q19="Cued Recall",2,IF(Q19="Recognition",3,IF(Q19="Multiple Choice",4,IF(Q19="Savings",5,IF(Q19="Stem Completion",6,IF(Q19="Fragment Completion",7,IF(Q19="anagram solution",8,IF(Q19="Matching",9,IF(Q19="Problem Solving",10,"99"))))))))))</f>
        <v>2</v>
      </c>
      <c r="S19" s="69" t="s">
        <v>15</v>
      </c>
      <c r="T19" s="92" t="s">
        <v>581</v>
      </c>
      <c r="U19" s="69">
        <f>IF(T19="within",1,0)</f>
        <v>1</v>
      </c>
      <c r="V19" s="92">
        <v>32</v>
      </c>
      <c r="W19" s="69">
        <f>F19*V19</f>
        <v>3200</v>
      </c>
      <c r="X19" s="69">
        <v>8</v>
      </c>
      <c r="Y19" s="87">
        <f>AV18</f>
        <v>3</v>
      </c>
      <c r="Z19" s="69" t="s">
        <v>57</v>
      </c>
      <c r="AA19" s="69">
        <v>288</v>
      </c>
      <c r="AB19" s="69" t="str">
        <f>IF(AA19&lt;60,"1",IF(AA19&lt;=43200,"2",IF(AA19&lt;=777600,"3","4")))</f>
        <v>2</v>
      </c>
      <c r="AC19" s="72">
        <f>AVERAGE(AV18:DA18)</f>
        <v>72</v>
      </c>
      <c r="AD19" s="69" t="str">
        <f>IF(AC19&lt;60,"1",IF(AC19&lt;=43200,"2",IF(AC19&lt;=777600,"3","4")))</f>
        <v>2</v>
      </c>
      <c r="AE19" s="87">
        <f>AA19-Y19</f>
        <v>285</v>
      </c>
      <c r="AF19" s="88">
        <f>AV19</f>
        <v>0.88077830892526698</v>
      </c>
      <c r="AG19" s="72">
        <f>((AW19-AV19)+(AX19-AW19)+(AY19-AX19)+(AZ19-AY19)+(BA19-AZ19)+(BB19-BA19)+(BC19-BB19))/7</f>
        <v>-0.10050082204268114</v>
      </c>
      <c r="AH19" s="4"/>
      <c r="AI19" s="72">
        <f>RSQ(AV19:BC19,AV18:BC18)</f>
        <v>0.49478737256156602</v>
      </c>
      <c r="AJ19" s="110">
        <f>SLOPE(AV19:BC19,AV18:BC18)</f>
        <v>-1.8507771922322348E-3</v>
      </c>
      <c r="AK19" s="72">
        <f>INTERCEPT(AV19:BC19,AV18:BC18)</f>
        <v>0.5761573615532064</v>
      </c>
      <c r="AL19" s="72">
        <f>INDEX(LINEST(LN(AV19:BC19),LN(AV18:BC18),TRUE,TRUE),3,1)</f>
        <v>0.93291989233429951</v>
      </c>
      <c r="AM19" s="72">
        <f>INDEX(LINEST(LN(AV19:BC19),LN(AV18:BC18)),1)</f>
        <v>-0.37724989468313669</v>
      </c>
      <c r="AN19" s="72">
        <f>EXP(INDEX(LINEST(LN(AV19:BC19),LN(AV18:BC18)),1,2))</f>
        <v>1.3123334417987347</v>
      </c>
      <c r="AO19" s="89">
        <f>INDEX(LINEST((AV19:BC19),LN(AV18:BC18),TRUE,TRUE),3,1)</f>
        <v>0.88218550470670642</v>
      </c>
      <c r="AP19" s="89">
        <f>INDEX(LINEST((AV19:BC19),LN(AV18:BC18)),1)</f>
        <v>-0.15354363585718472</v>
      </c>
      <c r="AQ19" s="90">
        <f>INDEX(LINEST(LN(AV19:BC19),SQRT(AV18:BC18),TRUE,TRUE),3,1)</f>
        <v>0.83033950006718737</v>
      </c>
      <c r="AR19" s="117">
        <f>INDEX(LINEST(LN(AV19:BC19),SQRT((AV18:BC18))),1)</f>
        <v>-0.10663256527968477</v>
      </c>
      <c r="AS19" s="91">
        <f>INDEX(LINEST(1/(AV19:BC19),1/(SQRT(AV18:BC18)),TRUE,TRUE),3,1)</f>
        <v>0.68162512564223043</v>
      </c>
      <c r="AT19" s="91">
        <f>INDEX(LINEST(1/(AV19:BC19),1/SQRT(AV18:BC18)),1)</f>
        <v>-9.0259393706201063</v>
      </c>
      <c r="AU19" s="3"/>
      <c r="AV19" s="73">
        <v>0.88077830892526698</v>
      </c>
      <c r="AW19" s="73">
        <v>0.76567931111195497</v>
      </c>
      <c r="AX19" s="73">
        <v>0.46971790099676097</v>
      </c>
      <c r="AY19" s="73">
        <v>0.440690841413588</v>
      </c>
      <c r="AZ19" s="73">
        <v>0.34758677569358098</v>
      </c>
      <c r="BA19" s="73">
        <v>0.30924540280091301</v>
      </c>
      <c r="BB19" s="73">
        <v>0.15224013413132001</v>
      </c>
      <c r="BC19" s="73">
        <v>0.17727255462649899</v>
      </c>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1"/>
      <c r="CS19" s="1"/>
      <c r="CT19" s="1"/>
      <c r="CU19" s="1"/>
    </row>
    <row r="20" spans="1:99" s="13" customFormat="1" ht="12" customHeight="1" x14ac:dyDescent="0.2">
      <c r="A20" s="65">
        <v>43509</v>
      </c>
      <c r="B20" s="1"/>
      <c r="C20" s="1"/>
      <c r="D20" s="60"/>
      <c r="E20" s="76"/>
      <c r="F20" s="60"/>
      <c r="G20" s="60"/>
      <c r="H20" s="60"/>
      <c r="I20" s="60"/>
      <c r="J20" s="60"/>
      <c r="K20" s="64"/>
      <c r="L20" s="64"/>
      <c r="M20" s="60"/>
      <c r="N20" s="60"/>
      <c r="O20" s="60"/>
      <c r="P20" s="60"/>
      <c r="Q20" s="60"/>
      <c r="R20" s="60"/>
      <c r="S20" s="60"/>
      <c r="T20" s="60"/>
      <c r="U20" s="60"/>
      <c r="V20" s="60"/>
      <c r="W20" s="60"/>
      <c r="X20" s="60"/>
      <c r="Y20" s="76"/>
      <c r="Z20" s="60"/>
      <c r="AA20" s="60"/>
      <c r="AB20" s="60"/>
      <c r="AC20" s="60"/>
      <c r="AD20" s="60"/>
      <c r="AE20" s="60"/>
      <c r="AF20" s="80"/>
      <c r="AG20" s="56"/>
      <c r="AH20" s="4"/>
      <c r="AI20" s="56"/>
      <c r="AJ20" s="109"/>
      <c r="AK20" s="56"/>
      <c r="AL20" s="56"/>
      <c r="AM20" s="56"/>
      <c r="AN20" s="56"/>
      <c r="AO20" s="56"/>
      <c r="AP20" s="56"/>
      <c r="AQ20" s="82"/>
      <c r="AR20" s="115"/>
      <c r="AS20" s="82"/>
      <c r="AT20" s="82"/>
      <c r="AU20" s="8"/>
      <c r="AV20" s="25">
        <v>15</v>
      </c>
      <c r="AW20" s="25">
        <f>60*1</f>
        <v>60</v>
      </c>
      <c r="AX20" s="25">
        <f>60*2</f>
        <v>120</v>
      </c>
      <c r="AY20" s="25">
        <f>60*5</f>
        <v>300</v>
      </c>
      <c r="AZ20" s="25">
        <f>60*10</f>
        <v>600</v>
      </c>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1"/>
      <c r="CS20" s="1"/>
      <c r="CT20" s="1"/>
      <c r="CU20" s="1"/>
    </row>
    <row r="21" spans="1:99" s="13" customFormat="1" ht="12" customHeight="1" x14ac:dyDescent="0.2">
      <c r="A21" s="65">
        <v>43509</v>
      </c>
      <c r="B21" s="1" t="s">
        <v>244</v>
      </c>
      <c r="C21" s="1" t="s">
        <v>45</v>
      </c>
      <c r="D21" s="60">
        <v>1999</v>
      </c>
      <c r="E21" s="76">
        <v>1</v>
      </c>
      <c r="F21" s="60">
        <v>19</v>
      </c>
      <c r="G21" s="60">
        <v>19</v>
      </c>
      <c r="H21" s="60" t="s">
        <v>227</v>
      </c>
      <c r="I21" s="60" t="s">
        <v>330</v>
      </c>
      <c r="J21" s="60" t="s">
        <v>61</v>
      </c>
      <c r="K21" s="60">
        <f>IF(J21="syllables",1,IF(J21="trigrams",2,IF(J21="strings",3,IF(J21="visual array",4,IF(J21="characters",5,IF(J21="letters",6,IF(J21="free forms",7,IF(J21="odors",8,IF(J21="words",9,IF(J21="pictures",10,IF(J21="object pictures",11,IF(J21="faces",12,IF(J21="names",13,IF(J21="idioms",14,IF(J21="grades",15,IF(J21="syllable-digit pairs",16,IF(J21="trigram-word pairs",17,IF(J21="word-digit pairs",18,IF(J21="English-Swahili pairs",19,IF(J21="spatial position",20,IF(J21="word pairs",21,IF(J21="word triads",22,IF(J21="generated words",23,IF(J21="word definition pairs",24,IF(J21="math problems",25,IF(J21="famous faces",26,IF(J21="famous names",27,IF(J21="famous voices",28,IF(J21="television programs",29,IF(J21="race horses",30,IF(J21="new vocabulary",31,IF(J21="sentences",32,IF(J21="concepts",33,IF(J21="ad slides",34,IF(J21="scenes",35,IF(J21="famous scenes",36,IF(J21="poems",37,IF(J21="walk",38,IF(J21="faces and events",39,IF(J21="events and names",40,IF(J21="flashbulb",41,IF(J21="stories",42,IF(J21="course material",43,IF(J21="autobiographical",44,IF(J21="novels",45,IF(J21="public events",46,"99"))))))))))))))))))))))))))))))))))))))))))))))</f>
        <v>42</v>
      </c>
      <c r="L21" s="60">
        <f>IF(J21="syllables",1,IF(J21="trigrams",1,IF(J21="strings",1,IF(J21="visual array",1,IF(J21="characters",1,IF(J21="letters",1,IF(J21="free forms",1,IF(J21="odors",2,IF(J21="words",2,IF(J21="pictures",2,IF(J21="object pictures",2,IF(J21="faces",2,IF(J21="names",2,IF(J21="idioms","2",IF(J21="grades",2,IF(J21="syllable-digit pairs",3,IF(J21="trigram-word pairs",3,IF(J21="word-digit pairs",3,IF(J21="English-Swahili pairs",3,IF(J21="spatial position",3,IF(J21="word pairs",4,IF(J21="word triads",4,IF(J21="generated words",4,IF(J21="word definition pairs",4,IF(J21="math problems",4,IF(J21="famous faces",4,IF(J21="famous names",4,IF(J21="famous voices",4,IF(J21="television programs",4,IF(J21="race horses",4,IF(J21="new vocabulary",4,IF(J21="sentences",5,IF(J21="concepts",5,IF(J21="ad slides",5,IF(J21="scenes",5,IF(J21="famous scenes",5,IF(J21="poems",6,IF(J21="walk",6,IF(J21="faces and events",6,IF(J21="events and names",6,IF(J21="flashbulb",7,IF(J21="stories",7,IF(J21="course material",7,IF(J21="autobiographical",7,IF(J21="novels",7,IF(J21="public events",7,"99"))))))))))))))))))))))))))))))))))))))))))))))</f>
        <v>7</v>
      </c>
      <c r="M21" s="60">
        <v>0</v>
      </c>
      <c r="N21" s="60">
        <v>3</v>
      </c>
      <c r="O21" s="60">
        <v>1</v>
      </c>
      <c r="P21" s="60" t="s">
        <v>60</v>
      </c>
      <c r="Q21" s="60" t="s">
        <v>174</v>
      </c>
      <c r="R21" s="60">
        <f>IF(Q21="Free Recall",1,IF(Q21="Cued Recall",2,IF(Q21="Recognition",3,IF(Q21="Multiple Choice",4,IF(Q21="Savings",5,IF(Q21="Stem Completion",6,IF(Q21="Fragment Completion",7,IF(Q21="anagram solution",8,IF(Q21="Matching",9,IF(Q21="Problem Solving",10,"99"))))))))))</f>
        <v>1</v>
      </c>
      <c r="S21" s="60" t="s">
        <v>49</v>
      </c>
      <c r="T21" s="59" t="s">
        <v>581</v>
      </c>
      <c r="U21" s="60">
        <f>IF(T21="within",1,0)</f>
        <v>1</v>
      </c>
      <c r="V21" s="59">
        <v>100</v>
      </c>
      <c r="W21" s="60">
        <f>F21*V21</f>
        <v>1900</v>
      </c>
      <c r="X21" s="60">
        <v>5</v>
      </c>
      <c r="Y21" s="76">
        <f>AV20</f>
        <v>15</v>
      </c>
      <c r="Z21" s="60" t="s">
        <v>62</v>
      </c>
      <c r="AA21" s="60">
        <v>600</v>
      </c>
      <c r="AB21" s="60" t="str">
        <f>IF(AA21&lt;60,"1",IF(AA21&lt;=43200,"2",IF(AA21&lt;=777600,"3","4")))</f>
        <v>2</v>
      </c>
      <c r="AC21" s="56">
        <f>AVERAGE(AV20:DA20)</f>
        <v>219</v>
      </c>
      <c r="AD21" s="60" t="str">
        <f>IF(AC21&lt;60,"1",IF(AC21&lt;=43200,"2",IF(AC21&lt;=777600,"3","4")))</f>
        <v>2</v>
      </c>
      <c r="AE21" s="76">
        <f>AA21-Y21</f>
        <v>585</v>
      </c>
      <c r="AF21" s="80">
        <f>AV21</f>
        <v>0.372</v>
      </c>
      <c r="AG21" s="56">
        <f>((AW21-AV21)+(AX21-AW21)+(AY21-AX21)+(AZ21-AY21))/4</f>
        <v>-5.0000000000000044E-3</v>
      </c>
      <c r="AH21" s="4"/>
      <c r="AI21" s="56">
        <f>RSQ(AV21:AZ21,AV20:AZ20)</f>
        <v>0.50199373235802991</v>
      </c>
      <c r="AJ21" s="109">
        <f>SLOPE(AV21:AZ21,AV20:AZ20)</f>
        <v>-7.0212765957446827E-5</v>
      </c>
      <c r="AK21" s="56">
        <f>INTERCEPT(AV21:AZ21,AV20:AZ20)</f>
        <v>0.39577659574468088</v>
      </c>
      <c r="AL21" s="56">
        <f>INDEX(LINEST(LN(AV21:AZ21),LN(AV20:AZ20),TRUE,TRUE),3,1)</f>
        <v>0.19580435416010614</v>
      </c>
      <c r="AM21" s="56">
        <f>INDEX(LINEST(LN(AV21:AZ21),LN(AV20:AZ20)),1)</f>
        <v>-1.9019416808138942E-2</v>
      </c>
      <c r="AN21" s="56">
        <f>EXP(INDEX(LINEST(LN(AV21:AZ21),LN(AV20:AZ20)),1,2))</f>
        <v>0.41563628354163684</v>
      </c>
      <c r="AO21" s="82">
        <f>INDEX(LINEST((AV21:AZ21),LN(AV20:AZ20),TRUE,TRUE),3,1)</f>
        <v>0.18733425582538948</v>
      </c>
      <c r="AP21" s="82">
        <f>INDEX(LINEST((AV21:AZ21),LN(AV20:AZ20)),1)</f>
        <v>-7.1490447926789826E-3</v>
      </c>
      <c r="AQ21" s="83">
        <f>INDEX(LINEST(LN(AV21:AZ21),SQRT(AV20:AZ20),TRUE,TRUE),3,1)</f>
        <v>0.40125079692996207</v>
      </c>
      <c r="AR21" s="116">
        <f>INDEX(LINEST(LN(AV21:AZ21),SQRT((AV20:AZ20))),1)</f>
        <v>-4.7884806962814278E-3</v>
      </c>
      <c r="AS21" s="84">
        <f>INDEX(LINEST(1/(AV21:AZ21),1/(SQRT(AV20:AZ20)),TRUE,TRUE),3,1)</f>
        <v>4.4603369458420764E-2</v>
      </c>
      <c r="AT21" s="84">
        <f>INDEX(LINEST(1/(AV21:AZ21),1/SQRT(AV20:AZ20)),1)</f>
        <v>-0.39191875661354098</v>
      </c>
      <c r="AU21" s="3"/>
      <c r="AV21" s="53">
        <v>0.372</v>
      </c>
      <c r="AW21" s="53">
        <v>0.41599999999999998</v>
      </c>
      <c r="AX21" s="53">
        <v>0.38800000000000001</v>
      </c>
      <c r="AY21" s="53">
        <v>0.374</v>
      </c>
      <c r="AZ21" s="53">
        <v>0.35199999999999998</v>
      </c>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1"/>
      <c r="CS21" s="1"/>
      <c r="CT21" s="1"/>
      <c r="CU21" s="1"/>
    </row>
    <row r="22" spans="1:99" s="13" customFormat="1" ht="12" customHeight="1" x14ac:dyDescent="0.2">
      <c r="A22" s="65">
        <v>43509</v>
      </c>
      <c r="B22" s="1"/>
      <c r="C22" s="1"/>
      <c r="D22" s="60"/>
      <c r="E22" s="76"/>
      <c r="F22" s="60"/>
      <c r="G22" s="60"/>
      <c r="H22" s="60"/>
      <c r="I22" s="60"/>
      <c r="J22" s="60"/>
      <c r="K22" s="64"/>
      <c r="L22" s="64"/>
      <c r="M22" s="60"/>
      <c r="N22" s="60"/>
      <c r="O22" s="60"/>
      <c r="P22" s="60"/>
      <c r="Q22" s="60"/>
      <c r="R22" s="60"/>
      <c r="S22" s="60"/>
      <c r="T22" s="60"/>
      <c r="U22" s="60"/>
      <c r="V22" s="60"/>
      <c r="W22" s="60"/>
      <c r="X22" s="60"/>
      <c r="Y22" s="76"/>
      <c r="Z22" s="60"/>
      <c r="AA22" s="60"/>
      <c r="AB22" s="60"/>
      <c r="AC22" s="60"/>
      <c r="AD22" s="60"/>
      <c r="AE22" s="60"/>
      <c r="AF22" s="80"/>
      <c r="AG22" s="56"/>
      <c r="AH22" s="4"/>
      <c r="AI22" s="56"/>
      <c r="AJ22" s="109"/>
      <c r="AK22" s="56"/>
      <c r="AL22" s="56"/>
      <c r="AM22" s="56"/>
      <c r="AN22" s="56"/>
      <c r="AO22" s="56"/>
      <c r="AP22" s="56"/>
      <c r="AQ22" s="82"/>
      <c r="AR22" s="115"/>
      <c r="AS22" s="82"/>
      <c r="AT22" s="82"/>
      <c r="AU22" s="8"/>
      <c r="AV22" s="25">
        <v>15</v>
      </c>
      <c r="AW22" s="25">
        <f>60*10</f>
        <v>600</v>
      </c>
      <c r="AX22" s="25">
        <f>60*60</f>
        <v>3600</v>
      </c>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1"/>
      <c r="CS22" s="1"/>
      <c r="CT22" s="1"/>
      <c r="CU22" s="1"/>
    </row>
    <row r="23" spans="1:99" s="13" customFormat="1" ht="12" customHeight="1" x14ac:dyDescent="0.2">
      <c r="A23" s="65">
        <v>43509</v>
      </c>
      <c r="B23" s="1" t="s">
        <v>244</v>
      </c>
      <c r="C23" s="1" t="s">
        <v>45</v>
      </c>
      <c r="D23" s="60">
        <v>1999</v>
      </c>
      <c r="E23" s="76">
        <v>1</v>
      </c>
      <c r="F23" s="60">
        <v>19</v>
      </c>
      <c r="G23" s="60">
        <v>19</v>
      </c>
      <c r="H23" s="60" t="s">
        <v>398</v>
      </c>
      <c r="I23" s="60" t="s">
        <v>330</v>
      </c>
      <c r="J23" s="60" t="s">
        <v>61</v>
      </c>
      <c r="K23" s="60">
        <f>IF(J23="syllables",1,IF(J23="trigrams",2,IF(J23="strings",3,IF(J23="visual array",4,IF(J23="characters",5,IF(J23="letters",6,IF(J23="free forms",7,IF(J23="odors",8,IF(J23="words",9,IF(J23="pictures",10,IF(J23="object pictures",11,IF(J23="faces",12,IF(J23="names",13,IF(J23="idioms",14,IF(J23="grades",15,IF(J23="syllable-digit pairs",16,IF(J23="trigram-word pairs",17,IF(J23="word-digit pairs",18,IF(J23="English-Swahili pairs",19,IF(J23="spatial position",20,IF(J23="word pairs",21,IF(J23="word triads",22,IF(J23="generated words",23,IF(J23="word definition pairs",24,IF(J23="math problems",25,IF(J23="famous faces",26,IF(J23="famous names",27,IF(J23="famous voices",28,IF(J23="television programs",29,IF(J23="race horses",30,IF(J23="new vocabulary",31,IF(J23="sentences",32,IF(J23="concepts",33,IF(J23="ad slides",34,IF(J23="scenes",35,IF(J23="famous scenes",36,IF(J23="poems",37,IF(J23="walk",38,IF(J23="faces and events",39,IF(J23="events and names",40,IF(J23="flashbulb",41,IF(J23="stories",42,IF(J23="course material",43,IF(J23="autobiographical",44,IF(J23="novels",45,IF(J23="public events",46,"99"))))))))))))))))))))))))))))))))))))))))))))))</f>
        <v>42</v>
      </c>
      <c r="L23" s="60">
        <f>IF(J23="syllables",1,IF(J23="trigrams",1,IF(J23="strings",1,IF(J23="visual array",1,IF(J23="characters",1,IF(J23="letters",1,IF(J23="free forms",1,IF(J23="odors",2,IF(J23="words",2,IF(J23="pictures",2,IF(J23="object pictures",2,IF(J23="faces",2,IF(J23="names",2,IF(J23="idioms","2",IF(J23="grades",2,IF(J23="syllable-digit pairs",3,IF(J23="trigram-word pairs",3,IF(J23="word-digit pairs",3,IF(J23="English-Swahili pairs",3,IF(J23="spatial position",3,IF(J23="word pairs",4,IF(J23="word triads",4,IF(J23="generated words",4,IF(J23="word definition pairs",4,IF(J23="math problems",4,IF(J23="famous faces",4,IF(J23="famous names",4,IF(J23="famous voices",4,IF(J23="television programs",4,IF(J23="race horses",4,IF(J23="new vocabulary",4,IF(J23="sentences",5,IF(J23="concepts",5,IF(J23="ad slides",5,IF(J23="scenes",5,IF(J23="famous scenes",5,IF(J23="poems",6,IF(J23="walk",6,IF(J23="faces and events",6,IF(J23="events and names",6,IF(J23="flashbulb",7,IF(J23="stories",7,IF(J23="course material",7,IF(J23="autobiographical",7,IF(J23="novels",7,IF(J23="public events",7,"99"))))))))))))))))))))))))))))))))))))))))))))))</f>
        <v>7</v>
      </c>
      <c r="M23" s="60">
        <v>0</v>
      </c>
      <c r="N23" s="60">
        <v>3</v>
      </c>
      <c r="O23" s="60">
        <v>1</v>
      </c>
      <c r="P23" s="60" t="s">
        <v>60</v>
      </c>
      <c r="Q23" s="60" t="s">
        <v>182</v>
      </c>
      <c r="R23" s="60">
        <f>IF(Q23="Free Recall",1,IF(Q23="Cued Recall",2,IF(Q23="Recognition",3,IF(Q23="Multiple Choice",4,IF(Q23="Savings",5,IF(Q23="Stem Completion",6,IF(Q23="Fragment Completion",7,IF(Q23="anagram solution",8,IF(Q23="Matching",9,IF(Q23="Problem Solving",10,"99"))))))))))</f>
        <v>4</v>
      </c>
      <c r="S23" s="60" t="s">
        <v>15</v>
      </c>
      <c r="T23" s="59" t="s">
        <v>581</v>
      </c>
      <c r="U23" s="60">
        <f>IF(T23="within",1,0)</f>
        <v>1</v>
      </c>
      <c r="V23" s="59">
        <v>96</v>
      </c>
      <c r="W23" s="60">
        <f>F23*V23</f>
        <v>1824</v>
      </c>
      <c r="X23" s="60">
        <v>3</v>
      </c>
      <c r="Y23" s="76">
        <f>AV22</f>
        <v>15</v>
      </c>
      <c r="Z23" s="60" t="s">
        <v>63</v>
      </c>
      <c r="AA23" s="60">
        <v>3600</v>
      </c>
      <c r="AB23" s="60" t="str">
        <f>IF(AA23&lt;60,"1",IF(AA23&lt;=43200,"2",IF(AA23&lt;=777600,"3","4")))</f>
        <v>2</v>
      </c>
      <c r="AC23" s="56">
        <f>AVERAGE(AV22:DA22)</f>
        <v>1405</v>
      </c>
      <c r="AD23" s="60" t="str">
        <f>IF(AC23&lt;60,"1",IF(AC23&lt;=43200,"2",IF(AC23&lt;=777600,"3","4")))</f>
        <v>2</v>
      </c>
      <c r="AE23" s="76">
        <f>AA23-Y23</f>
        <v>3585</v>
      </c>
      <c r="AF23" s="80">
        <f>AV23</f>
        <v>0.71916666666666673</v>
      </c>
      <c r="AG23" s="56">
        <f>((AW23-AV23)+(AX23-AW23))/2</f>
        <v>-5.9166666666666701E-2</v>
      </c>
      <c r="AH23" s="4"/>
      <c r="AI23" s="56">
        <f>RSQ(AV23:AX23,AV22:AX22)</f>
        <v>0.8516994970928039</v>
      </c>
      <c r="AJ23" s="109">
        <f>SLOPE(AV23:AX23,AV22:AX22)</f>
        <v>-2.8398991639801853E-5</v>
      </c>
      <c r="AK23" s="56">
        <f>INTERCEPT(AV23:AX23,AV22:AX22)</f>
        <v>0.69906724992058833</v>
      </c>
      <c r="AL23" s="56">
        <f>INDEX(LINEST(LN(AV23:AX23),LN(AV22:AX22),TRUE,TRUE),3,1)</f>
        <v>0.96100091835957513</v>
      </c>
      <c r="AM23" s="56">
        <f>INDEX(LINEST(LN(AV23:AX23),LN(AV22:AX22)),1)</f>
        <v>-3.1532453072946921E-2</v>
      </c>
      <c r="AN23" s="56">
        <f>EXP(INDEX(LINEST(LN(AV23:AX23),LN(AV22:AX22)),1,2))</f>
        <v>0.78843956779075974</v>
      </c>
      <c r="AO23" s="82">
        <f>INDEX(LINEST((AV23:AX23),LN(AV22:AX22),TRUE,TRUE),3,1)</f>
        <v>0.9704156630006926</v>
      </c>
      <c r="AP23" s="82">
        <f>INDEX(LINEST((AV23:AX23),LN(AV22:AX22)),1)</f>
        <v>-2.0863150714655561E-2</v>
      </c>
      <c r="AQ23" s="83">
        <f>INDEX(LINEST(LN(AV23:AX23),SQRT(AV22:AX22),TRUE,TRUE),3,1)</f>
        <v>0.97755623205337094</v>
      </c>
      <c r="AR23" s="116">
        <f>INDEX(LINEST(LN(AV23:AX23),SQRT((AV22:AX22))),1)</f>
        <v>-3.1303955964076904E-3</v>
      </c>
      <c r="AS23" s="84">
        <f>INDEX(LINEST(1/(AV23:AX23),1/(SQRT(AV22:AX22)),TRUE,TRUE),3,1)</f>
        <v>0.80280705622438686</v>
      </c>
      <c r="AT23" s="84">
        <f>INDEX(LINEST(1/(AV23:AX23),1/SQRT(AV22:AX22)),1)</f>
        <v>-0.92263863436326288</v>
      </c>
      <c r="AU23" s="3"/>
      <c r="AV23" s="53">
        <f>8.63/12</f>
        <v>0.71916666666666673</v>
      </c>
      <c r="AW23" s="53">
        <f>7.89/12</f>
        <v>0.65749999999999997</v>
      </c>
      <c r="AX23" s="53">
        <f>7.21/12</f>
        <v>0.60083333333333333</v>
      </c>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1"/>
      <c r="CS23" s="1"/>
      <c r="CT23" s="1"/>
      <c r="CU23" s="1"/>
    </row>
    <row r="24" spans="1:99" s="13" customFormat="1" ht="12" customHeight="1" x14ac:dyDescent="0.2">
      <c r="A24" s="68">
        <v>43509</v>
      </c>
      <c r="B24" s="70"/>
      <c r="C24" s="70"/>
      <c r="D24" s="69"/>
      <c r="E24" s="87"/>
      <c r="F24" s="69"/>
      <c r="G24" s="69"/>
      <c r="H24" s="69"/>
      <c r="I24" s="69"/>
      <c r="J24" s="69"/>
      <c r="K24" s="107"/>
      <c r="L24" s="107"/>
      <c r="M24" s="69"/>
      <c r="N24" s="69"/>
      <c r="O24" s="69"/>
      <c r="P24" s="69"/>
      <c r="Q24" s="69"/>
      <c r="R24" s="69"/>
      <c r="S24" s="69"/>
      <c r="T24" s="69"/>
      <c r="U24" s="69"/>
      <c r="V24" s="69"/>
      <c r="W24" s="69"/>
      <c r="X24" s="69"/>
      <c r="Y24" s="87"/>
      <c r="Z24" s="69"/>
      <c r="AA24" s="69"/>
      <c r="AB24" s="69"/>
      <c r="AC24" s="69"/>
      <c r="AD24" s="69"/>
      <c r="AE24" s="69"/>
      <c r="AF24" s="88"/>
      <c r="AG24" s="72"/>
      <c r="AH24" s="4"/>
      <c r="AI24" s="72"/>
      <c r="AJ24" s="110"/>
      <c r="AK24" s="72"/>
      <c r="AL24" s="72"/>
      <c r="AM24" s="72"/>
      <c r="AN24" s="72"/>
      <c r="AO24" s="72"/>
      <c r="AP24" s="72"/>
      <c r="AQ24" s="72"/>
      <c r="AR24" s="110"/>
      <c r="AS24" s="72"/>
      <c r="AT24" s="72"/>
      <c r="AU24" s="4"/>
      <c r="AV24" s="71">
        <f>60*3</f>
        <v>180</v>
      </c>
      <c r="AW24" s="71">
        <f>60*9</f>
        <v>540</v>
      </c>
      <c r="AX24" s="71">
        <f>60*12</f>
        <v>720</v>
      </c>
      <c r="AY24" s="71">
        <f>60*15</f>
        <v>900</v>
      </c>
      <c r="AZ24" s="71">
        <f>60*42</f>
        <v>2520</v>
      </c>
      <c r="BA24" s="71">
        <f>60*66</f>
        <v>3960</v>
      </c>
      <c r="BB24" s="71">
        <f>60*90</f>
        <v>5400</v>
      </c>
      <c r="BC24" s="73"/>
      <c r="BD24" s="7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1"/>
      <c r="CS24" s="1"/>
      <c r="CT24" s="1"/>
      <c r="CU24" s="1"/>
    </row>
    <row r="25" spans="1:99" s="13" customFormat="1" ht="12" customHeight="1" x14ac:dyDescent="0.2">
      <c r="A25" s="68">
        <v>43509</v>
      </c>
      <c r="B25" s="70" t="s">
        <v>246</v>
      </c>
      <c r="C25" s="70" t="s">
        <v>45</v>
      </c>
      <c r="D25" s="69">
        <v>1997</v>
      </c>
      <c r="E25" s="87">
        <v>1</v>
      </c>
      <c r="F25" s="69">
        <v>14</v>
      </c>
      <c r="G25" s="69">
        <v>14</v>
      </c>
      <c r="H25" s="69" t="s">
        <v>32</v>
      </c>
      <c r="I25" s="69" t="s">
        <v>733</v>
      </c>
      <c r="J25" s="69" t="s">
        <v>16</v>
      </c>
      <c r="K25" s="69">
        <f>IF(J25="syllables",1,IF(J25="trigrams",2,IF(J25="strings",3,IF(J25="visual array",4,IF(J25="characters",5,IF(J25="letters",6,IF(J25="free forms",7,IF(J25="odors",8,IF(J25="words",9,IF(J25="pictures",10,IF(J25="object pictures",11,IF(J25="faces",12,IF(J25="names",13,IF(J25="idioms",14,IF(J25="grades",15,IF(J25="syllable-digit pairs",16,IF(J25="trigram-word pairs",17,IF(J25="word-digit pairs",18,IF(J25="English-Swahili pairs",19,IF(J25="spatial position",20,IF(J25="word pairs",21,IF(J25="word triads",22,IF(J25="generated words",23,IF(J25="word definition pairs",24,IF(J25="math problems",25,IF(J25="famous faces",26,IF(J25="famous names",27,IF(J25="famous voices",28,IF(J25="television programs",29,IF(J25="race horses",30,IF(J25="new vocabulary",31,IF(J25="sentences",32,IF(J25="concepts",33,IF(J25="ad slides",34,IF(J25="scenes",35,IF(J25="famous scenes",36,IF(J25="poems",37,IF(J25="walk",38,IF(J25="faces and events",39,IF(J25="events and names",40,IF(J25="flashbulb",41,IF(J25="stories",42,IF(J25="course material",43,IF(J25="autobiographical",44,IF(J25="novels",45,IF(J25="public events",46,"99"))))))))))))))))))))))))))))))))))))))))))))))</f>
        <v>9</v>
      </c>
      <c r="L25" s="69">
        <f>IF(J25="syllables",1,IF(J25="trigrams",1,IF(J25="strings",1,IF(J25="visual array",1,IF(J25="characters",1,IF(J25="letters",1,IF(J25="free forms",1,IF(J25="odors",2,IF(J25="words",2,IF(J25="pictures",2,IF(J25="object pictures",2,IF(J25="faces",2,IF(J25="names",2,IF(J25="idioms","2",IF(J25="grades",2,IF(J25="syllable-digit pairs",3,IF(J25="trigram-word pairs",3,IF(J25="word-digit pairs",3,IF(J25="English-Swahili pairs",3,IF(J25="spatial position",3,IF(J25="word pairs",4,IF(J25="word triads",4,IF(J25="generated words",4,IF(J25="word definition pairs",4,IF(J25="math problems",4,IF(J25="famous faces",4,IF(J25="famous names",4,IF(J25="famous voices",4,IF(J25="television programs",4,IF(J25="race horses",4,IF(J25="new vocabulary",4,IF(J25="sentences",5,IF(J25="concepts",5,IF(J25="ad slides",5,IF(J25="scenes",5,IF(J25="famous scenes",5,IF(J25="poems",6,IF(J25="walk",6,IF(J25="faces and events",6,IF(J25="events and names",6,IF(J25="flashbulb",7,IF(J25="stories",7,IF(J25="course material",7,IF(J25="autobiographical",7,IF(J25="novels",7,IF(J25="public events",7,"99"))))))))))))))))))))))))))))))))))))))))))))))</f>
        <v>2</v>
      </c>
      <c r="M25" s="69">
        <v>0</v>
      </c>
      <c r="N25" s="69">
        <v>1</v>
      </c>
      <c r="O25" s="69">
        <v>0</v>
      </c>
      <c r="P25" s="69"/>
      <c r="Q25" s="69" t="s">
        <v>64</v>
      </c>
      <c r="R25" s="69">
        <f>IF(Q25="Free Recall",1,IF(Q25="Cued Recall",2,IF(Q25="Recognition",3,IF(Q25="Multiple Choice",4,IF(Q25="Savings",5,IF(Q25="Stem Completion",6,IF(Q25="Fragment Completion",7,IF(Q25="anagram solution",8,IF(Q25="Matching",9,IF(Q25="Problem Solving",10,"99"))))))))))</f>
        <v>6</v>
      </c>
      <c r="S25" s="69" t="s">
        <v>15</v>
      </c>
      <c r="T25" s="92" t="s">
        <v>581</v>
      </c>
      <c r="U25" s="69">
        <f>IF(T25="within",1,0)</f>
        <v>1</v>
      </c>
      <c r="V25" s="92">
        <v>22</v>
      </c>
      <c r="W25" s="69">
        <f>F25*V25</f>
        <v>308</v>
      </c>
      <c r="X25" s="69">
        <v>7</v>
      </c>
      <c r="Y25" s="87">
        <f>AV24</f>
        <v>180</v>
      </c>
      <c r="Z25" s="69" t="s">
        <v>59</v>
      </c>
      <c r="AA25" s="69">
        <v>5400</v>
      </c>
      <c r="AB25" s="69" t="str">
        <f>IF(AA25&lt;60,"1",IF(AA25&lt;=43200,"2",IF(AA25&lt;=777600,"3","4")))</f>
        <v>2</v>
      </c>
      <c r="AC25" s="72">
        <f>AVERAGE(AV24:DA24)</f>
        <v>2031.4285714285713</v>
      </c>
      <c r="AD25" s="69" t="str">
        <f>IF(AC25&lt;60,"1",IF(AC25&lt;=43200,"2",IF(AC25&lt;=777600,"3","4")))</f>
        <v>2</v>
      </c>
      <c r="AE25" s="87">
        <f>AA25-Y25</f>
        <v>5220</v>
      </c>
      <c r="AF25" s="88">
        <f>AV25</f>
        <v>0.539087135221889</v>
      </c>
      <c r="AG25" s="72">
        <f>((AW25-AV25)+(AX25-AW25)+(AY25-AX25)+(AZ25-AY25)+(BA25-AZ25)+(BB25-BA25))/6</f>
        <v>-5.1910417920531166E-2</v>
      </c>
      <c r="AH25" s="4"/>
      <c r="AI25" s="72">
        <f>RSQ(AV25:BB25,AV24:BB24)</f>
        <v>0.63156945985823354</v>
      </c>
      <c r="AJ25" s="110">
        <f>SLOPE(AV25:BB25,AV24:BB24)</f>
        <v>-4.2722244679667778E-5</v>
      </c>
      <c r="AK25" s="72">
        <f>INTERCEPT(AV25:BB25,AV24:BB24)</f>
        <v>0.42435138817610324</v>
      </c>
      <c r="AL25" s="72">
        <f>INDEX(LINEST(LN(AV25:BB25),LN(AV24:BB24),TRUE,TRUE),3,1)</f>
        <v>0.96385578516889714</v>
      </c>
      <c r="AM25" s="72">
        <f>INDEX(LINEST(LN(AV25:BB25),LN(AV24:BB24)),1)</f>
        <v>-0.24040884614397717</v>
      </c>
      <c r="AN25" s="72">
        <f>EXP(INDEX(LINEST(LN(AV25:BB25),LN(AV24:BB24)),1,2))</f>
        <v>1.7810855631323417</v>
      </c>
      <c r="AO25" s="89">
        <f>INDEX(LINEST((AV25:BB25),LN(AV24:BB24),TRUE,TRUE),3,1)</f>
        <v>0.91729047345106784</v>
      </c>
      <c r="AP25" s="89">
        <f>INDEX(LINEST((AV25:BB25),LN(AV24:BB24)),1)</f>
        <v>-8.4865119064540431E-2</v>
      </c>
      <c r="AQ25" s="90">
        <f>INDEX(LINEST(LN(AV25:BB25),SQRT(AV24:BB24),TRUE,TRUE),3,1)</f>
        <v>0.86068682328048784</v>
      </c>
      <c r="AR25" s="117">
        <f>INDEX(LINEST(LN(AV25:BB25),SQRT((AV24:BB24))),1)</f>
        <v>-1.2292144351938518E-2</v>
      </c>
      <c r="AS25" s="91">
        <f>INDEX(LINEST(1/(AV25:BB25),1/(SQRT(AV24:BB24)),TRUE,TRUE),3,1)</f>
        <v>0.91225221261723755</v>
      </c>
      <c r="AT25" s="91">
        <f>INDEX(LINEST(1/(AV25:BB25),1/SQRT(AV24:BB24)),1)</f>
        <v>-39.691162718826185</v>
      </c>
      <c r="AU25" s="3"/>
      <c r="AV25" s="73">
        <v>0.539087135221889</v>
      </c>
      <c r="AW25" s="73">
        <v>0.408685229862293</v>
      </c>
      <c r="AX25" s="73">
        <v>0.33933816531978001</v>
      </c>
      <c r="AY25" s="73">
        <v>0.32276915004706802</v>
      </c>
      <c r="AZ25" s="73">
        <v>0.26793862108344102</v>
      </c>
      <c r="BA25" s="73">
        <v>0.25750646865467403</v>
      </c>
      <c r="BB25" s="73">
        <v>0.22762462769870201</v>
      </c>
      <c r="BC25" s="73"/>
      <c r="BD25" s="73"/>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1"/>
      <c r="CS25" s="1"/>
      <c r="CT25" s="1"/>
      <c r="CU25" s="1"/>
    </row>
    <row r="26" spans="1:99" s="13" customFormat="1" ht="12" customHeight="1" x14ac:dyDescent="0.2">
      <c r="A26" s="68">
        <v>43509</v>
      </c>
      <c r="B26" s="70"/>
      <c r="C26" s="70"/>
      <c r="D26" s="69"/>
      <c r="E26" s="87"/>
      <c r="F26" s="69"/>
      <c r="G26" s="69"/>
      <c r="H26" s="69"/>
      <c r="I26" s="69"/>
      <c r="J26" s="69"/>
      <c r="K26" s="107"/>
      <c r="L26" s="107"/>
      <c r="M26" s="69"/>
      <c r="N26" s="69"/>
      <c r="O26" s="69"/>
      <c r="P26" s="69"/>
      <c r="Q26" s="69"/>
      <c r="R26" s="69"/>
      <c r="S26" s="69"/>
      <c r="T26" s="92"/>
      <c r="U26" s="69"/>
      <c r="V26" s="92"/>
      <c r="W26" s="69"/>
      <c r="X26" s="69"/>
      <c r="Y26" s="87"/>
      <c r="Z26" s="69"/>
      <c r="AA26" s="69"/>
      <c r="AB26" s="69"/>
      <c r="AC26" s="69"/>
      <c r="AD26" s="69"/>
      <c r="AE26" s="69"/>
      <c r="AF26" s="88"/>
      <c r="AG26" s="72"/>
      <c r="AH26" s="4"/>
      <c r="AI26" s="72"/>
      <c r="AJ26" s="110"/>
      <c r="AK26" s="72"/>
      <c r="AL26" s="72"/>
      <c r="AM26" s="72"/>
      <c r="AN26" s="72"/>
      <c r="AO26" s="72"/>
      <c r="AP26" s="72"/>
      <c r="AQ26" s="72"/>
      <c r="AR26" s="110"/>
      <c r="AS26" s="72"/>
      <c r="AT26" s="72"/>
      <c r="AU26" s="5"/>
      <c r="AV26" s="71">
        <f>60*3</f>
        <v>180</v>
      </c>
      <c r="AW26" s="71">
        <f>60*9</f>
        <v>540</v>
      </c>
      <c r="AX26" s="71">
        <f>60*12</f>
        <v>720</v>
      </c>
      <c r="AY26" s="71">
        <f>60*15</f>
        <v>900</v>
      </c>
      <c r="AZ26" s="71">
        <f>60*42</f>
        <v>2520</v>
      </c>
      <c r="BA26" s="71">
        <f>60*66</f>
        <v>3960</v>
      </c>
      <c r="BB26" s="71">
        <f>60*90</f>
        <v>5400</v>
      </c>
      <c r="BC26" s="73"/>
      <c r="BD26" s="7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1"/>
      <c r="CS26" s="1"/>
      <c r="CT26" s="1"/>
      <c r="CU26" s="1"/>
    </row>
    <row r="27" spans="1:99" s="13" customFormat="1" ht="12" customHeight="1" x14ac:dyDescent="0.2">
      <c r="A27" s="68">
        <v>43509</v>
      </c>
      <c r="B27" s="70" t="s">
        <v>246</v>
      </c>
      <c r="C27" s="70" t="s">
        <v>45</v>
      </c>
      <c r="D27" s="69">
        <v>1997</v>
      </c>
      <c r="E27" s="87">
        <v>1</v>
      </c>
      <c r="F27" s="69">
        <v>14</v>
      </c>
      <c r="G27" s="69">
        <v>14</v>
      </c>
      <c r="H27" s="69" t="s">
        <v>32</v>
      </c>
      <c r="I27" s="69" t="s">
        <v>734</v>
      </c>
      <c r="J27" s="69" t="s">
        <v>16</v>
      </c>
      <c r="K27" s="69">
        <f>IF(J27="syllables",1,IF(J27="trigrams",2,IF(J27="strings",3,IF(J27="visual array",4,IF(J27="characters",5,IF(J27="letters",6,IF(J27="free forms",7,IF(J27="odors",8,IF(J27="words",9,IF(J27="pictures",10,IF(J27="object pictures",11,IF(J27="faces",12,IF(J27="names",13,IF(J27="idioms",14,IF(J27="grades",15,IF(J27="syllable-digit pairs",16,IF(J27="trigram-word pairs",17,IF(J27="word-digit pairs",18,IF(J27="English-Swahili pairs",19,IF(J27="spatial position",20,IF(J27="word pairs",21,IF(J27="word triads",22,IF(J27="generated words",23,IF(J27="word definition pairs",24,IF(J27="math problems",25,IF(J27="famous faces",26,IF(J27="famous names",27,IF(J27="famous voices",28,IF(J27="television programs",29,IF(J27="race horses",30,IF(J27="new vocabulary",31,IF(J27="sentences",32,IF(J27="concepts",33,IF(J27="ad slides",34,IF(J27="scenes",35,IF(J27="famous scenes",36,IF(J27="poems",37,IF(J27="walk",38,IF(J27="faces and events",39,IF(J27="events and names",40,IF(J27="flashbulb",41,IF(J27="stories",42,IF(J27="course material",43,IF(J27="autobiographical",44,IF(J27="novels",45,IF(J27="public events",46,"99"))))))))))))))))))))))))))))))))))))))))))))))</f>
        <v>9</v>
      </c>
      <c r="L27" s="69">
        <f>IF(J27="syllables",1,IF(J27="trigrams",1,IF(J27="strings",1,IF(J27="visual array",1,IF(J27="characters",1,IF(J27="letters",1,IF(J27="free forms",1,IF(J27="odors",2,IF(J27="words",2,IF(J27="pictures",2,IF(J27="object pictures",2,IF(J27="faces",2,IF(J27="names",2,IF(J27="idioms","2",IF(J27="grades",2,IF(J27="syllable-digit pairs",3,IF(J27="trigram-word pairs",3,IF(J27="word-digit pairs",3,IF(J27="English-Swahili pairs",3,IF(J27="spatial position",3,IF(J27="word pairs",4,IF(J27="word triads",4,IF(J27="generated words",4,IF(J27="word definition pairs",4,IF(J27="math problems",4,IF(J27="famous faces",4,IF(J27="famous names",4,IF(J27="famous voices",4,IF(J27="television programs",4,IF(J27="race horses",4,IF(J27="new vocabulary",4,IF(J27="sentences",5,IF(J27="concepts",5,IF(J27="ad slides",5,IF(J27="scenes",5,IF(J27="famous scenes",5,IF(J27="poems",6,IF(J27="walk",6,IF(J27="faces and events",6,IF(J27="events and names",6,IF(J27="flashbulb",7,IF(J27="stories",7,IF(J27="course material",7,IF(J27="autobiographical",7,IF(J27="novels",7,IF(J27="public events",7,"99"))))))))))))))))))))))))))))))))))))))))))))))</f>
        <v>2</v>
      </c>
      <c r="M27" s="69">
        <v>0</v>
      </c>
      <c r="N27" s="69">
        <v>1</v>
      </c>
      <c r="O27" s="69">
        <v>0</v>
      </c>
      <c r="P27" s="69"/>
      <c r="Q27" s="69" t="s">
        <v>64</v>
      </c>
      <c r="R27" s="69">
        <f>IF(Q27="Free Recall",1,IF(Q27="Cued Recall",2,IF(Q27="Recognition",3,IF(Q27="Multiple Choice",4,IF(Q27="Savings",5,IF(Q27="Stem Completion",6,IF(Q27="Fragment Completion",7,IF(Q27="anagram solution",8,IF(Q27="Matching",9,IF(Q27="Problem Solving",10,"99"))))))))))</f>
        <v>6</v>
      </c>
      <c r="S27" s="69" t="s">
        <v>15</v>
      </c>
      <c r="T27" s="92" t="s">
        <v>581</v>
      </c>
      <c r="U27" s="69">
        <f>IF(T27="within",1,0)</f>
        <v>1</v>
      </c>
      <c r="V27" s="92">
        <v>22</v>
      </c>
      <c r="W27" s="69">
        <f>F27*V27</f>
        <v>308</v>
      </c>
      <c r="X27" s="69">
        <v>7</v>
      </c>
      <c r="Y27" s="87">
        <f>AV26</f>
        <v>180</v>
      </c>
      <c r="Z27" s="69" t="s">
        <v>59</v>
      </c>
      <c r="AA27" s="69">
        <v>5400</v>
      </c>
      <c r="AB27" s="69" t="str">
        <f>IF(AA27&lt;60,"1",IF(AA27&lt;=43200,"2",IF(AA27&lt;=777600,"3","4")))</f>
        <v>2</v>
      </c>
      <c r="AC27" s="72">
        <f>AVERAGE(AV26:DA26)</f>
        <v>2031.4285714285713</v>
      </c>
      <c r="AD27" s="69" t="str">
        <f>IF(AC27&lt;60,"1",IF(AC27&lt;=43200,"2",IF(AC27&lt;=777600,"3","4")))</f>
        <v>2</v>
      </c>
      <c r="AE27" s="87">
        <f>AA27-Y27</f>
        <v>5220</v>
      </c>
      <c r="AF27" s="88">
        <f>AV27</f>
        <v>0.48075350181842502</v>
      </c>
      <c r="AG27" s="72">
        <f>((AW27-AV27)+(AX27-AW27)+(AY27-AX27)+(AZ27-AY27)+(BA27-AZ27)+(BB27-BA27))/6</f>
        <v>-4.3808524392272341E-2</v>
      </c>
      <c r="AH27" s="4"/>
      <c r="AI27" s="72">
        <f>RSQ(AV27:BB27,AV26:BB26)</f>
        <v>0.45008678042235667</v>
      </c>
      <c r="AJ27" s="110">
        <f>SLOPE(AV27:BB27,AV26:BB26)</f>
        <v>-3.1837806373005864E-5</v>
      </c>
      <c r="AK27" s="72">
        <f>INTERCEPT(AV27:BB27,AV26:BB26)</f>
        <v>0.35363053777769754</v>
      </c>
      <c r="AL27" s="72">
        <f>INDEX(LINEST(LN(AV27:BB27),LN(AV26:BB26),TRUE,TRUE),3,1)</f>
        <v>0.81491721861112776</v>
      </c>
      <c r="AM27" s="72">
        <f>INDEX(LINEST(LN(AV27:BB27),LN(AV26:BB26)),1)</f>
        <v>-0.2149309009739736</v>
      </c>
      <c r="AN27" s="72">
        <f>EXP(INDEX(LINEST(LN(AV27:BB27),LN(AV26:BB26)),1,2))</f>
        <v>1.2736533776315786</v>
      </c>
      <c r="AO27" s="89">
        <f>INDEX(LINEST((AV27:BB27),LN(AV26:BB26),TRUE,TRUE),3,1)</f>
        <v>0.76711390217270925</v>
      </c>
      <c r="AP27" s="89">
        <f>INDEX(LINEST((AV27:BB27),LN(AV26:BB26)),1)</f>
        <v>-6.8510512457607545E-2</v>
      </c>
      <c r="AQ27" s="90">
        <f>INDEX(LINEST(LN(AV27:BB27),SQRT(AV26:BB26),TRUE,TRUE),3,1)</f>
        <v>0.66003724717273216</v>
      </c>
      <c r="AR27" s="117">
        <f>INDEX(LINEST(LN(AV27:BB27),SQRT((AV26:BB26))),1)</f>
        <v>-1.0466150948096541E-2</v>
      </c>
      <c r="AS27" s="91">
        <f>INDEX(LINEST(1/(AV27:BB27),1/(SQRT(AV26:BB26)),TRUE,TRUE),3,1)</f>
        <v>0.88654431195573535</v>
      </c>
      <c r="AT27" s="91">
        <f>INDEX(LINEST(1/(AV27:BB27),1/SQRT(AV26:BB26)),1)</f>
        <v>-41.726653912753932</v>
      </c>
      <c r="AU27" s="3"/>
      <c r="AV27" s="73">
        <v>0.48075350181842502</v>
      </c>
      <c r="AW27" s="73">
        <v>0.342018220258334</v>
      </c>
      <c r="AX27" s="73">
        <v>0.25044881918116801</v>
      </c>
      <c r="AY27" s="73">
        <v>0.26443551664360399</v>
      </c>
      <c r="AZ27" s="73">
        <v>0.25683259687549798</v>
      </c>
      <c r="BA27" s="73">
        <v>0.210289147577919</v>
      </c>
      <c r="BB27" s="73">
        <v>0.217902355464791</v>
      </c>
      <c r="BC27" s="73"/>
      <c r="BD27" s="7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1"/>
      <c r="CS27" s="1"/>
      <c r="CT27" s="1"/>
      <c r="CU27" s="1"/>
    </row>
    <row r="28" spans="1:99" s="13" customFormat="1" ht="12" customHeight="1" x14ac:dyDescent="0.2">
      <c r="A28" s="68">
        <v>43509</v>
      </c>
      <c r="B28" s="70"/>
      <c r="C28" s="70"/>
      <c r="D28" s="69"/>
      <c r="E28" s="87"/>
      <c r="F28" s="69"/>
      <c r="G28" s="69"/>
      <c r="H28" s="69"/>
      <c r="I28" s="69"/>
      <c r="J28" s="69"/>
      <c r="K28" s="107"/>
      <c r="L28" s="107"/>
      <c r="M28" s="69"/>
      <c r="N28" s="69"/>
      <c r="O28" s="69"/>
      <c r="P28" s="69"/>
      <c r="Q28" s="69"/>
      <c r="R28" s="69"/>
      <c r="S28" s="69"/>
      <c r="T28" s="69"/>
      <c r="U28" s="69"/>
      <c r="V28" s="69"/>
      <c r="W28" s="69"/>
      <c r="X28" s="69"/>
      <c r="Y28" s="87"/>
      <c r="Z28" s="69"/>
      <c r="AA28" s="69"/>
      <c r="AB28" s="69"/>
      <c r="AC28" s="69"/>
      <c r="AD28" s="69"/>
      <c r="AE28" s="69"/>
      <c r="AF28" s="88"/>
      <c r="AG28" s="72"/>
      <c r="AH28" s="4"/>
      <c r="AI28" s="72"/>
      <c r="AJ28" s="110"/>
      <c r="AK28" s="72"/>
      <c r="AL28" s="72"/>
      <c r="AM28" s="72"/>
      <c r="AN28" s="72"/>
      <c r="AO28" s="72"/>
      <c r="AP28" s="72"/>
      <c r="AQ28" s="72"/>
      <c r="AR28" s="110"/>
      <c r="AS28" s="72"/>
      <c r="AT28" s="72"/>
      <c r="AU28" s="5"/>
      <c r="AV28" s="71">
        <f>60*3</f>
        <v>180</v>
      </c>
      <c r="AW28" s="71">
        <f>60*9</f>
        <v>540</v>
      </c>
      <c r="AX28" s="71">
        <f>60*12</f>
        <v>720</v>
      </c>
      <c r="AY28" s="71">
        <f>60*15</f>
        <v>900</v>
      </c>
      <c r="AZ28" s="71">
        <f>60*42</f>
        <v>2520</v>
      </c>
      <c r="BA28" s="71">
        <f>60*66</f>
        <v>3960</v>
      </c>
      <c r="BB28" s="71">
        <f>60*90</f>
        <v>5400</v>
      </c>
      <c r="BC28" s="73"/>
      <c r="BD28" s="7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1"/>
      <c r="CS28" s="1"/>
      <c r="CT28" s="1"/>
      <c r="CU28" s="1"/>
    </row>
    <row r="29" spans="1:99" s="13" customFormat="1" ht="12" customHeight="1" x14ac:dyDescent="0.2">
      <c r="A29" s="68">
        <v>43509</v>
      </c>
      <c r="B29" s="70" t="s">
        <v>246</v>
      </c>
      <c r="C29" s="70" t="s">
        <v>45</v>
      </c>
      <c r="D29" s="69">
        <v>1997</v>
      </c>
      <c r="E29" s="87">
        <v>1</v>
      </c>
      <c r="F29" s="69">
        <v>12</v>
      </c>
      <c r="G29" s="69">
        <v>12</v>
      </c>
      <c r="H29" s="69" t="s">
        <v>32</v>
      </c>
      <c r="I29" s="69" t="s">
        <v>733</v>
      </c>
      <c r="J29" s="69" t="s">
        <v>16</v>
      </c>
      <c r="K29" s="69">
        <f>IF(J29="syllables",1,IF(J29="trigrams",2,IF(J29="strings",3,IF(J29="visual array",4,IF(J29="characters",5,IF(J29="letters",6,IF(J29="free forms",7,IF(J29="odors",8,IF(J29="words",9,IF(J29="pictures",10,IF(J29="object pictures",11,IF(J29="faces",12,IF(J29="names",13,IF(J29="idioms",14,IF(J29="grades",15,IF(J29="syllable-digit pairs",16,IF(J29="trigram-word pairs",17,IF(J29="word-digit pairs",18,IF(J29="English-Swahili pairs",19,IF(J29="spatial position",20,IF(J29="word pairs",21,IF(J29="word triads",22,IF(J29="generated words",23,IF(J29="word definition pairs",24,IF(J29="math problems",25,IF(J29="famous faces",26,IF(J29="famous names",27,IF(J29="famous voices",28,IF(J29="television programs",29,IF(J29="race horses",30,IF(J29="new vocabulary",31,IF(J29="sentences",32,IF(J29="concepts",33,IF(J29="ad slides",34,IF(J29="scenes",35,IF(J29="famous scenes",36,IF(J29="poems",37,IF(J29="walk",38,IF(J29="faces and events",39,IF(J29="events and names",40,IF(J29="flashbulb",41,IF(J29="stories",42,IF(J29="course material",43,IF(J29="autobiographical",44,IF(J29="novels",45,IF(J29="public events",46,"99"))))))))))))))))))))))))))))))))))))))))))))))</f>
        <v>9</v>
      </c>
      <c r="L29" s="69">
        <f>IF(J29="syllables",1,IF(J29="trigrams",1,IF(J29="strings",1,IF(J29="visual array",1,IF(J29="characters",1,IF(J29="letters",1,IF(J29="free forms",1,IF(J29="odors",2,IF(J29="words",2,IF(J29="pictures",2,IF(J29="object pictures",2,IF(J29="faces",2,IF(J29="names",2,IF(J29="idioms","2",IF(J29="grades",2,IF(J29="syllable-digit pairs",3,IF(J29="trigram-word pairs",3,IF(J29="word-digit pairs",3,IF(J29="English-Swahili pairs",3,IF(J29="spatial position",3,IF(J29="word pairs",4,IF(J29="word triads",4,IF(J29="generated words",4,IF(J29="word definition pairs",4,IF(J29="math problems",4,IF(J29="famous faces",4,IF(J29="famous names",4,IF(J29="famous voices",4,IF(J29="television programs",4,IF(J29="race horses",4,IF(J29="new vocabulary",4,IF(J29="sentences",5,IF(J29="concepts",5,IF(J29="ad slides",5,IF(J29="scenes",5,IF(J29="famous scenes",5,IF(J29="poems",6,IF(J29="walk",6,IF(J29="faces and events",6,IF(J29="events and names",6,IF(J29="flashbulb",7,IF(J29="stories",7,IF(J29="course material",7,IF(J29="autobiographical",7,IF(J29="novels",7,IF(J29="public events",7,"99"))))))))))))))))))))))))))))))))))))))))))))))</f>
        <v>2</v>
      </c>
      <c r="M29" s="69">
        <v>0</v>
      </c>
      <c r="N29" s="69">
        <v>1</v>
      </c>
      <c r="O29" s="69">
        <v>0</v>
      </c>
      <c r="P29" s="69"/>
      <c r="Q29" s="69" t="s">
        <v>65</v>
      </c>
      <c r="R29" s="69">
        <f>IF(Q29="Free Recall",1,IF(Q29="Cued Recall",2,IF(Q29="Recognition",3,IF(Q29="Multiple Choice",4,IF(Q29="Savings",5,IF(Q29="Stem Completion",6,IF(Q29="Fragment Completion",7,IF(Q29="anagram solution",8,IF(Q29="Matching",9,IF(Q29="Problem Solving",10,"99"))))))))))</f>
        <v>2</v>
      </c>
      <c r="S29" s="69" t="s">
        <v>49</v>
      </c>
      <c r="T29" s="92" t="s">
        <v>581</v>
      </c>
      <c r="U29" s="69">
        <f>IF(T29="within",1,0)</f>
        <v>1</v>
      </c>
      <c r="V29" s="92">
        <v>22</v>
      </c>
      <c r="W29" s="69">
        <f>F29*V29</f>
        <v>264</v>
      </c>
      <c r="X29" s="69">
        <v>7</v>
      </c>
      <c r="Y29" s="87">
        <f>AV28</f>
        <v>180</v>
      </c>
      <c r="Z29" s="69" t="s">
        <v>59</v>
      </c>
      <c r="AA29" s="69">
        <v>5400</v>
      </c>
      <c r="AB29" s="69" t="str">
        <f>IF(AA29&lt;60,"1",IF(AA29&lt;=43200,"2",IF(AA29&lt;=777600,"3","4")))</f>
        <v>2</v>
      </c>
      <c r="AC29" s="72">
        <f>AVERAGE(AV28:DA28)</f>
        <v>2031.4285714285713</v>
      </c>
      <c r="AD29" s="69" t="str">
        <f>IF(AC29&lt;60,"1",IF(AC29&lt;=43200,"2",IF(AC29&lt;=777600,"3","4")))</f>
        <v>2</v>
      </c>
      <c r="AE29" s="87">
        <f>AA29-Y29</f>
        <v>5220</v>
      </c>
      <c r="AF29" s="88">
        <f>AV29</f>
        <v>0.58908739242485797</v>
      </c>
      <c r="AG29" s="72">
        <f>((AW29-AV29)+(AX29-AW29)+(AY29-AX29)+(AZ29-AY29)+(BA29-AZ29)+(BB29-BA29))/6</f>
        <v>-6.0475276793261999E-2</v>
      </c>
      <c r="AH29" s="4"/>
      <c r="AI29" s="72">
        <f>RSQ(AV29:BB29,AV28:BB28)</f>
        <v>0.60172725415542472</v>
      </c>
      <c r="AJ29" s="110">
        <f>SLOPE(AV29:BB29,AV28:BB28)</f>
        <v>-4.845713545820829E-5</v>
      </c>
      <c r="AK29" s="72">
        <f>INTERCEPT(AV29:BB29,AV28:BB28)</f>
        <v>0.46278726123067188</v>
      </c>
      <c r="AL29" s="72">
        <f>INDEX(LINEST(LN(AV29:BB29),LN(AV28:BB28),TRUE,TRUE),3,1)</f>
        <v>0.87153079773888675</v>
      </c>
      <c r="AM29" s="72">
        <f>INDEX(LINEST(LN(AV29:BB29),LN(AV28:BB28)),1)</f>
        <v>-0.24951026457854411</v>
      </c>
      <c r="AN29" s="72">
        <f>EXP(INDEX(LINEST(LN(AV29:BB29),LN(AV28:BB28)),1,2))</f>
        <v>2.0359608522852364</v>
      </c>
      <c r="AO29" s="89">
        <f>INDEX(LINEST((AV29:BB29),LN(AV28:BB28),TRUE,TRUE),3,1)</f>
        <v>0.84497262275805241</v>
      </c>
      <c r="AP29" s="89">
        <f>INDEX(LINEST((AV29:BB29),LN(AV28:BB28)),1)</f>
        <v>-9.4648011875192103E-2</v>
      </c>
      <c r="AQ29" s="90">
        <f>INDEX(LINEST(LN(AV29:BB29),SQRT(AV28:BB28),TRUE,TRUE),3,1)</f>
        <v>0.7937882717027368</v>
      </c>
      <c r="AR29" s="117">
        <f>INDEX(LINEST(LN(AV29:BB29),SQRT((AV28:BB28))),1)</f>
        <v>-1.2884276791866427E-2</v>
      </c>
      <c r="AS29" s="91">
        <f>INDEX(LINEST(1/(AV29:BB29),1/(SQRT(AV28:BB28)),TRUE,TRUE),3,1)</f>
        <v>0.7940801068207004</v>
      </c>
      <c r="AT29" s="91">
        <f>INDEX(LINEST(1/(AV29:BB29),1/SQRT(AV28:BB28)),1)</f>
        <v>-38.563540637843438</v>
      </c>
      <c r="AU29" s="3"/>
      <c r="AV29" s="73">
        <v>0.58908739242485797</v>
      </c>
      <c r="AW29" s="73">
        <v>0.46979665533258902</v>
      </c>
      <c r="AX29" s="73">
        <v>0.35322712565393799</v>
      </c>
      <c r="AY29" s="73">
        <v>0.31165798177974102</v>
      </c>
      <c r="AZ29" s="73">
        <v>0.32905004655373699</v>
      </c>
      <c r="BA29" s="73">
        <v>0.27139542898883201</v>
      </c>
      <c r="BB29" s="73">
        <v>0.22623573166528599</v>
      </c>
      <c r="BC29" s="73"/>
      <c r="BD29" s="7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1"/>
      <c r="CS29" s="1"/>
      <c r="CT29" s="1"/>
      <c r="CU29" s="1"/>
    </row>
    <row r="30" spans="1:99" s="13" customFormat="1" ht="12" customHeight="1" x14ac:dyDescent="0.2">
      <c r="A30" s="68">
        <v>43509</v>
      </c>
      <c r="B30" s="70"/>
      <c r="C30" s="70"/>
      <c r="D30" s="69"/>
      <c r="E30" s="87"/>
      <c r="F30" s="69"/>
      <c r="G30" s="69"/>
      <c r="H30" s="69"/>
      <c r="I30" s="69"/>
      <c r="J30" s="69"/>
      <c r="K30" s="107"/>
      <c r="L30" s="107"/>
      <c r="M30" s="69"/>
      <c r="N30" s="69"/>
      <c r="O30" s="69"/>
      <c r="P30" s="69"/>
      <c r="Q30" s="69"/>
      <c r="R30" s="69"/>
      <c r="S30" s="69"/>
      <c r="T30" s="92"/>
      <c r="U30" s="69"/>
      <c r="V30" s="92"/>
      <c r="W30" s="69"/>
      <c r="X30" s="69"/>
      <c r="Y30" s="87"/>
      <c r="Z30" s="69"/>
      <c r="AA30" s="69"/>
      <c r="AB30" s="69"/>
      <c r="AC30" s="69"/>
      <c r="AD30" s="69"/>
      <c r="AE30" s="69"/>
      <c r="AF30" s="88"/>
      <c r="AG30" s="72"/>
      <c r="AH30" s="4"/>
      <c r="AI30" s="72"/>
      <c r="AJ30" s="110"/>
      <c r="AK30" s="72"/>
      <c r="AL30" s="72"/>
      <c r="AM30" s="72"/>
      <c r="AN30" s="72"/>
      <c r="AO30" s="72"/>
      <c r="AP30" s="72"/>
      <c r="AQ30" s="72"/>
      <c r="AR30" s="110"/>
      <c r="AS30" s="72"/>
      <c r="AT30" s="72"/>
      <c r="AU30" s="5"/>
      <c r="AV30" s="71">
        <f>60*3</f>
        <v>180</v>
      </c>
      <c r="AW30" s="71">
        <f>60*9</f>
        <v>540</v>
      </c>
      <c r="AX30" s="71">
        <f>60*12</f>
        <v>720</v>
      </c>
      <c r="AY30" s="71">
        <f>60*15</f>
        <v>900</v>
      </c>
      <c r="AZ30" s="71">
        <f>60*42</f>
        <v>2520</v>
      </c>
      <c r="BA30" s="71">
        <f>60*66</f>
        <v>3960</v>
      </c>
      <c r="BB30" s="71">
        <f>60*90</f>
        <v>5400</v>
      </c>
      <c r="BC30" s="73"/>
      <c r="BD30" s="7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1"/>
      <c r="CS30" s="1"/>
      <c r="CT30" s="1"/>
      <c r="CU30" s="1"/>
    </row>
    <row r="31" spans="1:99" s="13" customFormat="1" ht="12" customHeight="1" x14ac:dyDescent="0.2">
      <c r="A31" s="68">
        <v>43509</v>
      </c>
      <c r="B31" s="70" t="s">
        <v>246</v>
      </c>
      <c r="C31" s="70" t="s">
        <v>45</v>
      </c>
      <c r="D31" s="69">
        <v>1997</v>
      </c>
      <c r="E31" s="87">
        <v>1</v>
      </c>
      <c r="F31" s="69">
        <v>12</v>
      </c>
      <c r="G31" s="69">
        <v>12</v>
      </c>
      <c r="H31" s="69" t="s">
        <v>32</v>
      </c>
      <c r="I31" s="69" t="s">
        <v>734</v>
      </c>
      <c r="J31" s="69" t="s">
        <v>16</v>
      </c>
      <c r="K31" s="69">
        <f>IF(J31="syllables",1,IF(J31="trigrams",2,IF(J31="strings",3,IF(J31="visual array",4,IF(J31="characters",5,IF(J31="letters",6,IF(J31="free forms",7,IF(J31="odors",8,IF(J31="words",9,IF(J31="pictures",10,IF(J31="object pictures",11,IF(J31="faces",12,IF(J31="names",13,IF(J31="idioms",14,IF(J31="grades",15,IF(J31="syllable-digit pairs",16,IF(J31="trigram-word pairs",17,IF(J31="word-digit pairs",18,IF(J31="English-Swahili pairs",19,IF(J31="spatial position",20,IF(J31="word pairs",21,IF(J31="word triads",22,IF(J31="generated words",23,IF(J31="word definition pairs",24,IF(J31="math problems",25,IF(J31="famous faces",26,IF(J31="famous names",27,IF(J31="famous voices",28,IF(J31="television programs",29,IF(J31="race horses",30,IF(J31="new vocabulary",31,IF(J31="sentences",32,IF(J31="concepts",33,IF(J31="ad slides",34,IF(J31="scenes",35,IF(J31="famous scenes",36,IF(J31="poems",37,IF(J31="walk",38,IF(J31="faces and events",39,IF(J31="events and names",40,IF(J31="flashbulb",41,IF(J31="stories",42,IF(J31="course material",43,IF(J31="autobiographical",44,IF(J31="novels",45,IF(J31="public events",46,"99"))))))))))))))))))))))))))))))))))))))))))))))</f>
        <v>9</v>
      </c>
      <c r="L31" s="69">
        <f>IF(J31="syllables",1,IF(J31="trigrams",1,IF(J31="strings",1,IF(J31="visual array",1,IF(J31="characters",1,IF(J31="letters",1,IF(J31="free forms",1,IF(J31="odors",2,IF(J31="words",2,IF(J31="pictures",2,IF(J31="object pictures",2,IF(J31="faces",2,IF(J31="names",2,IF(J31="idioms","2",IF(J31="grades",2,IF(J31="syllable-digit pairs",3,IF(J31="trigram-word pairs",3,IF(J31="word-digit pairs",3,IF(J31="English-Swahili pairs",3,IF(J31="spatial position",3,IF(J31="word pairs",4,IF(J31="word triads",4,IF(J31="generated words",4,IF(J31="word definition pairs",4,IF(J31="math problems",4,IF(J31="famous faces",4,IF(J31="famous names",4,IF(J31="famous voices",4,IF(J31="television programs",4,IF(J31="race horses",4,IF(J31="new vocabulary",4,IF(J31="sentences",5,IF(J31="concepts",5,IF(J31="ad slides",5,IF(J31="scenes",5,IF(J31="famous scenes",5,IF(J31="poems",6,IF(J31="walk",6,IF(J31="faces and events",6,IF(J31="events and names",6,IF(J31="flashbulb",7,IF(J31="stories",7,IF(J31="course material",7,IF(J31="autobiographical",7,IF(J31="novels",7,IF(J31="public events",7,"99"))))))))))))))))))))))))))))))))))))))))))))))</f>
        <v>2</v>
      </c>
      <c r="M31" s="69">
        <v>0</v>
      </c>
      <c r="N31" s="69">
        <v>1</v>
      </c>
      <c r="O31" s="69">
        <v>0</v>
      </c>
      <c r="P31" s="69"/>
      <c r="Q31" s="69" t="s">
        <v>65</v>
      </c>
      <c r="R31" s="69">
        <f>IF(Q31="Free Recall",1,IF(Q31="Cued Recall",2,IF(Q31="Recognition",3,IF(Q31="Multiple Choice",4,IF(Q31="Savings",5,IF(Q31="Stem Completion",6,IF(Q31="Fragment Completion",7,IF(Q31="anagram solution",8,IF(Q31="Matching",9,IF(Q31="Problem Solving",10,"99"))))))))))</f>
        <v>2</v>
      </c>
      <c r="S31" s="69" t="s">
        <v>49</v>
      </c>
      <c r="T31" s="92" t="s">
        <v>581</v>
      </c>
      <c r="U31" s="69">
        <f>IF(T31="within",1,0)</f>
        <v>1</v>
      </c>
      <c r="V31" s="92">
        <v>22</v>
      </c>
      <c r="W31" s="69">
        <f>F31*V31</f>
        <v>264</v>
      </c>
      <c r="X31" s="69">
        <v>7</v>
      </c>
      <c r="Y31" s="87">
        <f>AV30</f>
        <v>180</v>
      </c>
      <c r="Z31" s="69" t="s">
        <v>59</v>
      </c>
      <c r="AA31" s="69">
        <v>5400</v>
      </c>
      <c r="AB31" s="69" t="str">
        <f>IF(AA31&lt;60,"1",IF(AA31&lt;=43200,"2",IF(AA31&lt;=777600,"3","4")))</f>
        <v>2</v>
      </c>
      <c r="AC31" s="72">
        <f>AVERAGE(AV30:DA30)</f>
        <v>2031.4285714285713</v>
      </c>
      <c r="AD31" s="69" t="str">
        <f>IF(AC31&lt;60,"1",IF(AC31&lt;=43200,"2",IF(AC31&lt;=777600,"3","4")))</f>
        <v>2</v>
      </c>
      <c r="AE31" s="87">
        <f>AA31-Y31</f>
        <v>5220</v>
      </c>
      <c r="AF31" s="88">
        <f>AV31</f>
        <v>0.49186467008575102</v>
      </c>
      <c r="AG31" s="72">
        <f>((AW31-AV31)+(AX31-AW31)+(AY31-AX31)+(AZ31-AY31)+(BA31-AZ31)+(BB31-BA31))/6</f>
        <v>-5.7929396070281504E-2</v>
      </c>
      <c r="AH31" s="4"/>
      <c r="AI31" s="72">
        <f>RSQ(AV31:BB31,AV30:BB30)</f>
        <v>0.61773969151675057</v>
      </c>
      <c r="AJ31" s="110">
        <f>SLOPE(AV31:BB31,AV30:BB30)</f>
        <v>-4.7433251317521194E-5</v>
      </c>
      <c r="AK31" s="72">
        <f>INTERCEPT(AV31:BB31,AV30:BB30)</f>
        <v>0.35296903171700578</v>
      </c>
      <c r="AL31" s="72">
        <f>INDEX(LINEST(LN(AV31:BB31),LN(AV30:BB30),TRUE,TRUE),3,1)</f>
        <v>0.98219887946656093</v>
      </c>
      <c r="AM31" s="72">
        <f>INDEX(LINEST(LN(AV31:BB31),LN(AV30:BB30)),1)</f>
        <v>-0.35645670893384496</v>
      </c>
      <c r="AN31" s="72">
        <f>EXP(INDEX(LINEST(LN(AV31:BB31),LN(AV30:BB30)),1,2))</f>
        <v>2.9431732047849382</v>
      </c>
      <c r="AO31" s="89">
        <f>INDEX(LINEST((AV31:BB31),LN(AV30:BB30),TRUE,TRUE),3,1)</f>
        <v>0.91331025249150832</v>
      </c>
      <c r="AP31" s="89">
        <f>INDEX(LINEST((AV31:BB31),LN(AV30:BB30)),1)</f>
        <v>-9.5065204837352521E-2</v>
      </c>
      <c r="AQ31" s="90">
        <f>INDEX(LINEST(LN(AV31:BB31),SQRT(AV30:BB30),TRUE,TRUE),3,1)</f>
        <v>0.89738254600462308</v>
      </c>
      <c r="AR31" s="117">
        <f>INDEX(LINEST(LN(AV31:BB31),SQRT((AV30:BB30))),1)</f>
        <v>-1.8435568937114493E-2</v>
      </c>
      <c r="AS31" s="91">
        <f>INDEX(LINEST(1/(AV31:BB31),1/(SQRT(AV30:BB30)),TRUE,TRUE),3,1)</f>
        <v>0.85494397785868448</v>
      </c>
      <c r="AT31" s="91">
        <f>INDEX(LINEST(1/(AV31:BB31),1/SQRT(AV30:BB30)),1)</f>
        <v>-80.322203293405252</v>
      </c>
      <c r="AU31" s="3"/>
      <c r="AV31" s="73">
        <v>0.49186467008575102</v>
      </c>
      <c r="AW31" s="73">
        <v>0.30868471545635501</v>
      </c>
      <c r="AX31" s="73">
        <v>0.26989336364899003</v>
      </c>
      <c r="AY31" s="73">
        <v>0.24221318010895099</v>
      </c>
      <c r="AZ31" s="73">
        <v>0.192943379338371</v>
      </c>
      <c r="BA31" s="73">
        <v>0.14639478598140901</v>
      </c>
      <c r="BB31" s="73">
        <v>0.14428829366406201</v>
      </c>
      <c r="BC31" s="73"/>
      <c r="BD31" s="7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1"/>
      <c r="CS31" s="1"/>
      <c r="CT31" s="1"/>
      <c r="CU31" s="1"/>
    </row>
    <row r="32" spans="1:99" s="13" customFormat="1" ht="12" customHeight="1" x14ac:dyDescent="0.2">
      <c r="A32" s="68">
        <v>43509</v>
      </c>
      <c r="B32" s="70"/>
      <c r="C32" s="70"/>
      <c r="D32" s="69"/>
      <c r="E32" s="87"/>
      <c r="F32" s="69"/>
      <c r="G32" s="69"/>
      <c r="H32" s="69"/>
      <c r="I32" s="67"/>
      <c r="J32" s="69"/>
      <c r="K32" s="107"/>
      <c r="L32" s="107"/>
      <c r="M32" s="69"/>
      <c r="N32" s="69"/>
      <c r="O32" s="69"/>
      <c r="P32" s="69"/>
      <c r="Q32" s="69"/>
      <c r="R32" s="69"/>
      <c r="S32" s="69"/>
      <c r="T32" s="69"/>
      <c r="U32" s="69"/>
      <c r="V32" s="69"/>
      <c r="W32" s="69"/>
      <c r="X32" s="69"/>
      <c r="Y32" s="87"/>
      <c r="Z32" s="69"/>
      <c r="AA32" s="69"/>
      <c r="AB32" s="69"/>
      <c r="AC32" s="69"/>
      <c r="AD32" s="69"/>
      <c r="AE32" s="69"/>
      <c r="AF32" s="88"/>
      <c r="AG32" s="72"/>
      <c r="AH32" s="4"/>
      <c r="AI32" s="72"/>
      <c r="AJ32" s="110"/>
      <c r="AK32" s="72"/>
      <c r="AL32" s="72"/>
      <c r="AM32" s="72"/>
      <c r="AN32" s="72"/>
      <c r="AO32" s="72"/>
      <c r="AP32" s="72"/>
      <c r="AQ32" s="72"/>
      <c r="AR32" s="110"/>
      <c r="AS32" s="72"/>
      <c r="AT32" s="72"/>
      <c r="AU32" s="6"/>
      <c r="AV32" s="71">
        <f>60*1.5</f>
        <v>90</v>
      </c>
      <c r="AW32" s="71">
        <f>60*4.5</f>
        <v>270</v>
      </c>
      <c r="AX32" s="71">
        <f>60*9.54858818246651</f>
        <v>572.91529094799057</v>
      </c>
      <c r="AY32" s="71">
        <f>60*15</f>
        <v>900</v>
      </c>
      <c r="AZ32" s="71">
        <f>60*22</f>
        <v>1320</v>
      </c>
      <c r="BA32" s="71">
        <f>60*28</f>
        <v>1680</v>
      </c>
      <c r="BB32" s="71">
        <f>60*35</f>
        <v>2100</v>
      </c>
      <c r="BC32" s="71">
        <f>60*46</f>
        <v>2760</v>
      </c>
      <c r="BD32" s="71">
        <f>60*62.8</f>
        <v>3768</v>
      </c>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1"/>
      <c r="CS32" s="1"/>
      <c r="CT32" s="1"/>
      <c r="CU32" s="1"/>
    </row>
    <row r="33" spans="1:99" s="13" customFormat="1" ht="12" customHeight="1" x14ac:dyDescent="0.2">
      <c r="A33" s="68">
        <v>43509</v>
      </c>
      <c r="B33" s="70" t="s">
        <v>246</v>
      </c>
      <c r="C33" s="70" t="s">
        <v>45</v>
      </c>
      <c r="D33" s="69">
        <v>1997</v>
      </c>
      <c r="E33" s="87">
        <v>3</v>
      </c>
      <c r="F33" s="69">
        <v>12</v>
      </c>
      <c r="G33" s="69">
        <v>12</v>
      </c>
      <c r="H33" s="69" t="s">
        <v>43</v>
      </c>
      <c r="I33" s="69" t="s">
        <v>733</v>
      </c>
      <c r="J33" s="69" t="s">
        <v>16</v>
      </c>
      <c r="K33" s="69">
        <f>IF(J33="syllables",1,IF(J33="trigrams",2,IF(J33="strings",3,IF(J33="visual array",4,IF(J33="characters",5,IF(J33="letters",6,IF(J33="free forms",7,IF(J33="odors",8,IF(J33="words",9,IF(J33="pictures",10,IF(J33="object pictures",11,IF(J33="faces",12,IF(J33="names",13,IF(J33="idioms",14,IF(J33="grades",15,IF(J33="syllable-digit pairs",16,IF(J33="trigram-word pairs",17,IF(J33="word-digit pairs",18,IF(J33="English-Swahili pairs",19,IF(J33="spatial position",20,IF(J33="word pairs",21,IF(J33="word triads",22,IF(J33="generated words",23,IF(J33="word definition pairs",24,IF(J33="math problems",25,IF(J33="famous faces",26,IF(J33="famous names",27,IF(J33="famous voices",28,IF(J33="television programs",29,IF(J33="race horses",30,IF(J33="new vocabulary",31,IF(J33="sentences",32,IF(J33="concepts",33,IF(J33="ad slides",34,IF(J33="scenes",35,IF(J33="famous scenes",36,IF(J33="poems",37,IF(J33="walk",38,IF(J33="faces and events",39,IF(J33="events and names",40,IF(J33="flashbulb",41,IF(J33="stories",42,IF(J33="course material",43,IF(J33="autobiographical",44,IF(J33="novels",45,IF(J33="public events",46,"99"))))))))))))))))))))))))))))))))))))))))))))))</f>
        <v>9</v>
      </c>
      <c r="L33" s="69">
        <f>IF(J33="syllables",1,IF(J33="trigrams",1,IF(J33="strings",1,IF(J33="visual array",1,IF(J33="characters",1,IF(J33="letters",1,IF(J33="free forms",1,IF(J33="odors",2,IF(J33="words",2,IF(J33="pictures",2,IF(J33="object pictures",2,IF(J33="faces",2,IF(J33="names",2,IF(J33="idioms","2",IF(J33="grades",2,IF(J33="syllable-digit pairs",3,IF(J33="trigram-word pairs",3,IF(J33="word-digit pairs",3,IF(J33="English-Swahili pairs",3,IF(J33="spatial position",3,IF(J33="word pairs",4,IF(J33="word triads",4,IF(J33="generated words",4,IF(J33="word definition pairs",4,IF(J33="math problems",4,IF(J33="famous faces",4,IF(J33="famous names",4,IF(J33="famous voices",4,IF(J33="television programs",4,IF(J33="race horses",4,IF(J33="new vocabulary",4,IF(J33="sentences",5,IF(J33="concepts",5,IF(J33="ad slides",5,IF(J33="scenes",5,IF(J33="famous scenes",5,IF(J33="poems",6,IF(J33="walk",6,IF(J33="faces and events",6,IF(J33="events and names",6,IF(J33="flashbulb",7,IF(J33="stories",7,IF(J33="course material",7,IF(J33="autobiographical",7,IF(J33="novels",7,IF(J33="public events",7,"99"))))))))))))))))))))))))))))))))))))))))))))))</f>
        <v>2</v>
      </c>
      <c r="M33" s="69">
        <v>0</v>
      </c>
      <c r="N33" s="69">
        <v>1</v>
      </c>
      <c r="O33" s="69">
        <v>0</v>
      </c>
      <c r="P33" s="69"/>
      <c r="Q33" s="69" t="s">
        <v>64</v>
      </c>
      <c r="R33" s="69">
        <f>IF(Q33="Free Recall",1,IF(Q33="Cued Recall",2,IF(Q33="Recognition",3,IF(Q33="Multiple Choice",4,IF(Q33="Savings",5,IF(Q33="Stem Completion",6,IF(Q33="Fragment Completion",7,IF(Q33="anagram solution",8,IF(Q33="Matching",9,IF(Q33="Problem Solving",10,"99"))))))))))</f>
        <v>6</v>
      </c>
      <c r="S33" s="69" t="s">
        <v>15</v>
      </c>
      <c r="T33" s="92" t="s">
        <v>581</v>
      </c>
      <c r="U33" s="69">
        <f>IF(T33="within",1,0)</f>
        <v>1</v>
      </c>
      <c r="V33" s="92">
        <v>22</v>
      </c>
      <c r="W33" s="69">
        <f>F33*V33</f>
        <v>264</v>
      </c>
      <c r="X33" s="69">
        <v>9</v>
      </c>
      <c r="Y33" s="87">
        <f>AV32</f>
        <v>90</v>
      </c>
      <c r="Z33" s="69" t="s">
        <v>66</v>
      </c>
      <c r="AA33" s="69">
        <v>3768</v>
      </c>
      <c r="AB33" s="69" t="str">
        <f>IF(AA33&lt;60,"1",IF(AA33&lt;=43200,"2",IF(AA33&lt;=777600,"3","4")))</f>
        <v>2</v>
      </c>
      <c r="AC33" s="72">
        <f>AVERAGE(AV32:DA32)</f>
        <v>1495.6572545497768</v>
      </c>
      <c r="AD33" s="69" t="str">
        <f>IF(AC33&lt;60,"1",IF(AC33&lt;=43200,"2",IF(AC33&lt;=777600,"3","4")))</f>
        <v>2</v>
      </c>
      <c r="AE33" s="87">
        <f>AA33-Y33</f>
        <v>3678</v>
      </c>
      <c r="AF33" s="88">
        <f>AV33</f>
        <v>0.54761615467920399</v>
      </c>
      <c r="AG33" s="72">
        <f>((AW33-AV33)+(AX33-AW33)+(AY33-AX33)+(AZ33-AY33)+(BA33-AZ33)+(BB33-BA33)+(BC33-BB33)+(BD33-BC33))/8</f>
        <v>-2.9126165508861872E-2</v>
      </c>
      <c r="AH33" s="4"/>
      <c r="AI33" s="72">
        <f>RSQ(AV33:BD33,AV32:BD32)</f>
        <v>0.17729310649075267</v>
      </c>
      <c r="AJ33" s="110">
        <f>SLOPE(AV33:BD33,AV32:BD32)</f>
        <v>-3.135241228324958E-5</v>
      </c>
      <c r="AK33" s="72">
        <f>INTERCEPT(AV33:BD33,AV32:BD32)</f>
        <v>0.37350113658355388</v>
      </c>
      <c r="AL33" s="72">
        <f>INDEX(LINEST(LN(AV33:BD33),LN(AV32:BD32),TRUE,TRUE),3,1)</f>
        <v>0.55129204890876904</v>
      </c>
      <c r="AM33" s="72">
        <f>INDEX(LINEST(LN(AV33:BD33),LN(AV32:BD32)),1)</f>
        <v>-0.14575647814423051</v>
      </c>
      <c r="AN33" s="72">
        <f>EXP(INDEX(LINEST(LN(AV33:BD33),LN(AV32:BD32)),1,2))</f>
        <v>0.86271630070125283</v>
      </c>
      <c r="AO33" s="89">
        <f>INDEX(LINEST((AV33:BD33),LN(AV32:BD32),TRUE,TRUE),3,1)</f>
        <v>0.59570726015847508</v>
      </c>
      <c r="AP33" s="89">
        <f>INDEX(LINEST((AV33:BD33),LN(AV32:BD32)),1)</f>
        <v>-5.8420311887098231E-2</v>
      </c>
      <c r="AQ33" s="90">
        <f>INDEX(LINEST(LN(AV33:BD33),SQRT(AV32:BD32),TRUE,TRUE),3,1)</f>
        <v>0.30661307511792724</v>
      </c>
      <c r="AR33" s="117">
        <f>INDEX(LINEST(LN(AV33:BD33),SQRT((AV32:BD32))),1)</f>
        <v>-7.6821314736269554E-3</v>
      </c>
      <c r="AS33" s="91">
        <f>INDEX(LINEST(1/(AV33:BD33),1/(SQRT(AV32:BD32)),TRUE,TRUE),3,1)</f>
        <v>0.68607117429832454</v>
      </c>
      <c r="AT33" s="91">
        <f>INDEX(LINEST(1/(AV33:BD33),1/SQRT(AV32:BD32)),1)</f>
        <v>-18.740928443447309</v>
      </c>
      <c r="AU33" s="3"/>
      <c r="AV33" s="73">
        <v>0.54761615467920399</v>
      </c>
      <c r="AW33" s="73">
        <v>0.38245067223117302</v>
      </c>
      <c r="AX33" s="73">
        <v>0.27967986476135098</v>
      </c>
      <c r="AY33" s="73">
        <v>0.25553765286985902</v>
      </c>
      <c r="AZ33" s="73">
        <v>0.26398478565202399</v>
      </c>
      <c r="BA33" s="73">
        <v>0.30898333289310298</v>
      </c>
      <c r="BB33" s="73">
        <v>0.28898280461713199</v>
      </c>
      <c r="BC33" s="73">
        <v>0.29763596502813</v>
      </c>
      <c r="BD33" s="73">
        <v>0.31460683060830902</v>
      </c>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1"/>
      <c r="CS33" s="1"/>
      <c r="CT33" s="1"/>
      <c r="CU33" s="1"/>
    </row>
    <row r="34" spans="1:99" s="13" customFormat="1" ht="12" customHeight="1" x14ac:dyDescent="0.2">
      <c r="A34" s="68">
        <v>43509</v>
      </c>
      <c r="B34" s="70"/>
      <c r="C34" s="70"/>
      <c r="D34" s="69"/>
      <c r="E34" s="87"/>
      <c r="F34" s="69"/>
      <c r="G34" s="69"/>
      <c r="H34" s="69"/>
      <c r="I34" s="69"/>
      <c r="J34" s="69"/>
      <c r="K34" s="107"/>
      <c r="L34" s="107"/>
      <c r="M34" s="69"/>
      <c r="N34" s="69"/>
      <c r="O34" s="69"/>
      <c r="P34" s="69"/>
      <c r="Q34" s="69"/>
      <c r="R34" s="69"/>
      <c r="S34" s="69"/>
      <c r="T34" s="92"/>
      <c r="U34" s="69"/>
      <c r="V34" s="92"/>
      <c r="W34" s="69"/>
      <c r="X34" s="69"/>
      <c r="Y34" s="87"/>
      <c r="Z34" s="69"/>
      <c r="AA34" s="69"/>
      <c r="AB34" s="69"/>
      <c r="AC34" s="69"/>
      <c r="AD34" s="69"/>
      <c r="AE34" s="69"/>
      <c r="AF34" s="88"/>
      <c r="AG34" s="72"/>
      <c r="AH34" s="4"/>
      <c r="AI34" s="72"/>
      <c r="AJ34" s="110"/>
      <c r="AK34" s="72"/>
      <c r="AL34" s="72"/>
      <c r="AM34" s="72"/>
      <c r="AN34" s="72"/>
      <c r="AO34" s="72"/>
      <c r="AP34" s="72"/>
      <c r="AQ34" s="89"/>
      <c r="AR34" s="118"/>
      <c r="AS34" s="89"/>
      <c r="AT34" s="89"/>
      <c r="AU34" s="5"/>
      <c r="AV34" s="71">
        <f>60*1.5</f>
        <v>90</v>
      </c>
      <c r="AW34" s="71">
        <f>60*4.5</f>
        <v>270</v>
      </c>
      <c r="AX34" s="71">
        <f>60*9.54858818246651</f>
        <v>572.91529094799057</v>
      </c>
      <c r="AY34" s="71">
        <f>60*15</f>
        <v>900</v>
      </c>
      <c r="AZ34" s="71">
        <f>60*22</f>
        <v>1320</v>
      </c>
      <c r="BA34" s="71">
        <f>60*28</f>
        <v>1680</v>
      </c>
      <c r="BB34" s="71">
        <f>60*35</f>
        <v>2100</v>
      </c>
      <c r="BC34" s="71">
        <f>60*46</f>
        <v>2760</v>
      </c>
      <c r="BD34" s="71">
        <f>60*62.8</f>
        <v>3768</v>
      </c>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1"/>
      <c r="CS34" s="1"/>
      <c r="CT34" s="1"/>
      <c r="CU34" s="1"/>
    </row>
    <row r="35" spans="1:99" s="13" customFormat="1" ht="12" customHeight="1" x14ac:dyDescent="0.2">
      <c r="A35" s="68">
        <v>43509</v>
      </c>
      <c r="B35" s="70" t="s">
        <v>246</v>
      </c>
      <c r="C35" s="70" t="s">
        <v>45</v>
      </c>
      <c r="D35" s="69">
        <v>1997</v>
      </c>
      <c r="E35" s="87">
        <v>3</v>
      </c>
      <c r="F35" s="69">
        <v>12</v>
      </c>
      <c r="G35" s="69">
        <v>12</v>
      </c>
      <c r="H35" s="69" t="s">
        <v>43</v>
      </c>
      <c r="I35" s="69" t="s">
        <v>734</v>
      </c>
      <c r="J35" s="69" t="s">
        <v>16</v>
      </c>
      <c r="K35" s="69">
        <f>IF(J35="syllables",1,IF(J35="trigrams",2,IF(J35="strings",3,IF(J35="visual array",4,IF(J35="characters",5,IF(J35="letters",6,IF(J35="free forms",7,IF(J35="odors",8,IF(J35="words",9,IF(J35="pictures",10,IF(J35="object pictures",11,IF(J35="faces",12,IF(J35="names",13,IF(J35="idioms",14,IF(J35="grades",15,IF(J35="syllable-digit pairs",16,IF(J35="trigram-word pairs",17,IF(J35="word-digit pairs",18,IF(J35="English-Swahili pairs",19,IF(J35="spatial position",20,IF(J35="word pairs",21,IF(J35="word triads",22,IF(J35="generated words",23,IF(J35="word definition pairs",24,IF(J35="math problems",25,IF(J35="famous faces",26,IF(J35="famous names",27,IF(J35="famous voices",28,IF(J35="television programs",29,IF(J35="race horses",30,IF(J35="new vocabulary",31,IF(J35="sentences",32,IF(J35="concepts",33,IF(J35="ad slides",34,IF(J35="scenes",35,IF(J35="famous scenes",36,IF(J35="poems",37,IF(J35="walk",38,IF(J35="faces and events",39,IF(J35="events and names",40,IF(J35="flashbulb",41,IF(J35="stories",42,IF(J35="course material",43,IF(J35="autobiographical",44,IF(J35="novels",45,IF(J35="public events",46,"99"))))))))))))))))))))))))))))))))))))))))))))))</f>
        <v>9</v>
      </c>
      <c r="L35" s="69">
        <f>IF(J35="syllables",1,IF(J35="trigrams",1,IF(J35="strings",1,IF(J35="visual array",1,IF(J35="characters",1,IF(J35="letters",1,IF(J35="free forms",1,IF(J35="odors",2,IF(J35="words",2,IF(J35="pictures",2,IF(J35="object pictures",2,IF(J35="faces",2,IF(J35="names",2,IF(J35="idioms","2",IF(J35="grades",2,IF(J35="syllable-digit pairs",3,IF(J35="trigram-word pairs",3,IF(J35="word-digit pairs",3,IF(J35="English-Swahili pairs",3,IF(J35="spatial position",3,IF(J35="word pairs",4,IF(J35="word triads",4,IF(J35="generated words",4,IF(J35="word definition pairs",4,IF(J35="math problems",4,IF(J35="famous faces",4,IF(J35="famous names",4,IF(J35="famous voices",4,IF(J35="television programs",4,IF(J35="race horses",4,IF(J35="new vocabulary",4,IF(J35="sentences",5,IF(J35="concepts",5,IF(J35="ad slides",5,IF(J35="scenes",5,IF(J35="famous scenes",5,IF(J35="poems",6,IF(J35="walk",6,IF(J35="faces and events",6,IF(J35="events and names",6,IF(J35="flashbulb",7,IF(J35="stories",7,IF(J35="course material",7,IF(J35="autobiographical",7,IF(J35="novels",7,IF(J35="public events",7,"99"))))))))))))))))))))))))))))))))))))))))))))))</f>
        <v>2</v>
      </c>
      <c r="M35" s="69">
        <v>0</v>
      </c>
      <c r="N35" s="69">
        <v>1</v>
      </c>
      <c r="O35" s="69">
        <v>0</v>
      </c>
      <c r="P35" s="69"/>
      <c r="Q35" s="69" t="s">
        <v>64</v>
      </c>
      <c r="R35" s="69">
        <f>IF(Q35="Free Recall",1,IF(Q35="Cued Recall",2,IF(Q35="Recognition",3,IF(Q35="Multiple Choice",4,IF(Q35="Savings",5,IF(Q35="Stem Completion",6,IF(Q35="Fragment Completion",7,IF(Q35="anagram solution",8,IF(Q35="Matching",9,IF(Q35="Problem Solving",10,"99"))))))))))</f>
        <v>6</v>
      </c>
      <c r="S35" s="69" t="s">
        <v>15</v>
      </c>
      <c r="T35" s="92" t="s">
        <v>581</v>
      </c>
      <c r="U35" s="69">
        <f>IF(T35="within",1,0)</f>
        <v>1</v>
      </c>
      <c r="V35" s="92">
        <v>22</v>
      </c>
      <c r="W35" s="69">
        <f>F35*V35</f>
        <v>264</v>
      </c>
      <c r="X35" s="69">
        <v>9</v>
      </c>
      <c r="Y35" s="87">
        <f>AV34</f>
        <v>90</v>
      </c>
      <c r="Z35" s="69" t="s">
        <v>66</v>
      </c>
      <c r="AA35" s="69">
        <v>3768</v>
      </c>
      <c r="AB35" s="69" t="str">
        <f>IF(AA35&lt;60,"1",IF(AA35&lt;=43200,"2",IF(AA35&lt;=777600,"3","4")))</f>
        <v>2</v>
      </c>
      <c r="AC35" s="72">
        <f>AVERAGE(AV34:DA34)</f>
        <v>1495.6572545497768</v>
      </c>
      <c r="AD35" s="69" t="str">
        <f>IF(AC35&lt;60,"1",IF(AC35&lt;=43200,"2",IF(AC35&lt;=777600,"3","4")))</f>
        <v>2</v>
      </c>
      <c r="AE35" s="87">
        <f>AA35-Y35</f>
        <v>3678</v>
      </c>
      <c r="AF35" s="88">
        <f>AV35</f>
        <v>0.479870044111043</v>
      </c>
      <c r="AG35" s="72">
        <f>((AW35-AV35)+(AX35-AW35)+(AY35-AX35)+(AZ35-AY35)+(BA35-AZ35)+(BB35-BA35)+(BC35-BB35)+(BD35-BC35))/8</f>
        <v>-2.7433041020629122E-2</v>
      </c>
      <c r="AH35" s="4"/>
      <c r="AI35" s="72">
        <f>RSQ(AV35:BD35,AV34:BD34)</f>
        <v>0.14176199335336603</v>
      </c>
      <c r="AJ35" s="110">
        <f>SLOPE(AV35:BD35,AV34:BD34)</f>
        <v>-2.6654573117146435E-5</v>
      </c>
      <c r="AK35" s="72">
        <f>INTERCEPT(AV35:BD35,AV34:BD34)</f>
        <v>0.30519770154194797</v>
      </c>
      <c r="AL35" s="72">
        <f>INDEX(LINEST(LN(AV35:BD35),LN(AV34:BD34),TRUE,TRUE),3,1)</f>
        <v>0.4429026527062187</v>
      </c>
      <c r="AM35" s="72">
        <f>INDEX(LINEST(LN(AV35:BD35),LN(AV34:BD34)),1)</f>
        <v>-0.14951745200006822</v>
      </c>
      <c r="AN35" s="72">
        <f>EXP(INDEX(LINEST(LN(AV35:BD35),LN(AV34:BD34)),1,2))</f>
        <v>0.7127441409056231</v>
      </c>
      <c r="AO35" s="89">
        <f>INDEX(LINEST((AV35:BD35),LN(AV34:BD34),TRUE,TRUE),3,1)</f>
        <v>0.51447441653504222</v>
      </c>
      <c r="AP35" s="89">
        <f>INDEX(LINEST((AV35:BD35),LN(AV34:BD34)),1)</f>
        <v>-5.1617397680963933E-2</v>
      </c>
      <c r="AQ35" s="90">
        <f>INDEX(LINEST(LN(AV35:BD35),SQRT(AV34:BD34),TRUE,TRUE),3,1)</f>
        <v>0.22784457785476189</v>
      </c>
      <c r="AR35" s="117">
        <f>INDEX(LINEST(LN(AV35:BD35),SQRT((AV34:BD34))),1)</f>
        <v>-7.5789055367910746E-3</v>
      </c>
      <c r="AS35" s="91">
        <f>INDEX(LINEST(1/(AV35:BD35),1/(SQRT(AV34:BD34)),TRUE,TRUE),3,1)</f>
        <v>0.54320441589976998</v>
      </c>
      <c r="AT35" s="91">
        <f>INDEX(LINEST(1/(AV35:BD35),1/SQRT(AV34:BD34)),1)</f>
        <v>-23.641878822542076</v>
      </c>
      <c r="AU35" s="3"/>
      <c r="AV35" s="73">
        <v>0.479870044111043</v>
      </c>
      <c r="AW35" s="73">
        <v>0.295728888771494</v>
      </c>
      <c r="AX35" s="73">
        <v>0.19024538418869999</v>
      </c>
      <c r="AY35" s="73">
        <v>0.20946670540690401</v>
      </c>
      <c r="AZ35" s="73">
        <v>0.236884228320874</v>
      </c>
      <c r="BA35" s="73">
        <v>0.261559998943448</v>
      </c>
      <c r="BB35" s="73">
        <v>0.229358937108745</v>
      </c>
      <c r="BC35" s="73">
        <v>0.224464460234026</v>
      </c>
      <c r="BD35" s="73">
        <v>0.26040571594600997</v>
      </c>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1"/>
      <c r="CS35" s="1"/>
      <c r="CT35" s="1"/>
      <c r="CU35" s="1"/>
    </row>
    <row r="36" spans="1:99" s="13" customFormat="1" ht="12" customHeight="1" x14ac:dyDescent="0.2">
      <c r="A36" s="68">
        <v>43509</v>
      </c>
      <c r="B36" s="70"/>
      <c r="C36" s="70"/>
      <c r="D36" s="69"/>
      <c r="E36" s="87"/>
      <c r="F36" s="69"/>
      <c r="G36" s="69"/>
      <c r="H36" s="69"/>
      <c r="I36" s="69"/>
      <c r="J36" s="69"/>
      <c r="K36" s="107"/>
      <c r="L36" s="107"/>
      <c r="M36" s="69"/>
      <c r="N36" s="69"/>
      <c r="O36" s="69"/>
      <c r="P36" s="69"/>
      <c r="Q36" s="69"/>
      <c r="R36" s="69"/>
      <c r="S36" s="69"/>
      <c r="T36" s="69"/>
      <c r="U36" s="69"/>
      <c r="V36" s="69"/>
      <c r="W36" s="69"/>
      <c r="X36" s="69"/>
      <c r="Y36" s="87"/>
      <c r="Z36" s="69"/>
      <c r="AA36" s="69"/>
      <c r="AB36" s="69"/>
      <c r="AC36" s="69"/>
      <c r="AD36" s="69"/>
      <c r="AE36" s="69"/>
      <c r="AF36" s="88"/>
      <c r="AG36" s="72"/>
      <c r="AH36" s="4"/>
      <c r="AI36" s="72"/>
      <c r="AJ36" s="110"/>
      <c r="AK36" s="72"/>
      <c r="AL36" s="72"/>
      <c r="AM36" s="72"/>
      <c r="AN36" s="72"/>
      <c r="AO36" s="72"/>
      <c r="AP36" s="72"/>
      <c r="AQ36" s="89"/>
      <c r="AR36" s="118"/>
      <c r="AS36" s="89"/>
      <c r="AT36" s="89"/>
      <c r="AU36" s="5"/>
      <c r="AV36" s="71">
        <f>60*1.5</f>
        <v>90</v>
      </c>
      <c r="AW36" s="71">
        <f>60*4.5</f>
        <v>270</v>
      </c>
      <c r="AX36" s="71">
        <f>60*9.54858818246651</f>
        <v>572.91529094799057</v>
      </c>
      <c r="AY36" s="71">
        <f>60*15</f>
        <v>900</v>
      </c>
      <c r="AZ36" s="71">
        <f>60*22</f>
        <v>1320</v>
      </c>
      <c r="BA36" s="71">
        <f>60*28</f>
        <v>1680</v>
      </c>
      <c r="BB36" s="71">
        <f>60*35</f>
        <v>2100</v>
      </c>
      <c r="BC36" s="71">
        <f>60*46</f>
        <v>2760</v>
      </c>
      <c r="BD36" s="71">
        <f>60*62.8</f>
        <v>3768</v>
      </c>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1"/>
      <c r="CS36" s="1"/>
      <c r="CT36" s="1"/>
      <c r="CU36" s="1"/>
    </row>
    <row r="37" spans="1:99" s="13" customFormat="1" ht="12" customHeight="1" x14ac:dyDescent="0.2">
      <c r="A37" s="68">
        <v>43509</v>
      </c>
      <c r="B37" s="70" t="s">
        <v>246</v>
      </c>
      <c r="C37" s="70" t="s">
        <v>45</v>
      </c>
      <c r="D37" s="69">
        <v>1997</v>
      </c>
      <c r="E37" s="87">
        <v>3</v>
      </c>
      <c r="F37" s="69">
        <v>18</v>
      </c>
      <c r="G37" s="69">
        <v>18</v>
      </c>
      <c r="H37" s="69" t="s">
        <v>43</v>
      </c>
      <c r="I37" s="69" t="s">
        <v>733</v>
      </c>
      <c r="J37" s="69" t="s">
        <v>16</v>
      </c>
      <c r="K37" s="69">
        <f>IF(J37="syllables",1,IF(J37="trigrams",2,IF(J37="strings",3,IF(J37="visual array",4,IF(J37="characters",5,IF(J37="letters",6,IF(J37="free forms",7,IF(J37="odors",8,IF(J37="words",9,IF(J37="pictures",10,IF(J37="object pictures",11,IF(J37="faces",12,IF(J37="names",13,IF(J37="idioms",14,IF(J37="grades",15,IF(J37="syllable-digit pairs",16,IF(J37="trigram-word pairs",17,IF(J37="word-digit pairs",18,IF(J37="English-Swahili pairs",19,IF(J37="spatial position",20,IF(J37="word pairs",21,IF(J37="word triads",22,IF(J37="generated words",23,IF(J37="word definition pairs",24,IF(J37="math problems",25,IF(J37="famous faces",26,IF(J37="famous names",27,IF(J37="famous voices",28,IF(J37="television programs",29,IF(J37="race horses",30,IF(J37="new vocabulary",31,IF(J37="sentences",32,IF(J37="concepts",33,IF(J37="ad slides",34,IF(J37="scenes",35,IF(J37="famous scenes",36,IF(J37="poems",37,IF(J37="walk",38,IF(J37="faces and events",39,IF(J37="events and names",40,IF(J37="flashbulb",41,IF(J37="stories",42,IF(J37="course material",43,IF(J37="autobiographical",44,IF(J37="novels",45,IF(J37="public events",46,"99"))))))))))))))))))))))))))))))))))))))))))))))</f>
        <v>9</v>
      </c>
      <c r="L37" s="69">
        <f>IF(J37="syllables",1,IF(J37="trigrams",1,IF(J37="strings",1,IF(J37="visual array",1,IF(J37="characters",1,IF(J37="letters",1,IF(J37="free forms",1,IF(J37="odors",2,IF(J37="words",2,IF(J37="pictures",2,IF(J37="object pictures",2,IF(J37="faces",2,IF(J37="names",2,IF(J37="idioms","2",IF(J37="grades",2,IF(J37="syllable-digit pairs",3,IF(J37="trigram-word pairs",3,IF(J37="word-digit pairs",3,IF(J37="English-Swahili pairs",3,IF(J37="spatial position",3,IF(J37="word pairs",4,IF(J37="word triads",4,IF(J37="generated words",4,IF(J37="word definition pairs",4,IF(J37="math problems",4,IF(J37="famous faces",4,IF(J37="famous names",4,IF(J37="famous voices",4,IF(J37="television programs",4,IF(J37="race horses",4,IF(J37="new vocabulary",4,IF(J37="sentences",5,IF(J37="concepts",5,IF(J37="ad slides",5,IF(J37="scenes",5,IF(J37="famous scenes",5,IF(J37="poems",6,IF(J37="walk",6,IF(J37="faces and events",6,IF(J37="events and names",6,IF(J37="flashbulb",7,IF(J37="stories",7,IF(J37="course material",7,IF(J37="autobiographical",7,IF(J37="novels",7,IF(J37="public events",7,"99"))))))))))))))))))))))))))))))))))))))))))))))</f>
        <v>2</v>
      </c>
      <c r="M37" s="69">
        <v>0</v>
      </c>
      <c r="N37" s="69">
        <v>1</v>
      </c>
      <c r="O37" s="69">
        <v>0</v>
      </c>
      <c r="P37" s="69"/>
      <c r="Q37" s="69" t="s">
        <v>65</v>
      </c>
      <c r="R37" s="69">
        <f>IF(Q37="Free Recall",1,IF(Q37="Cued Recall",2,IF(Q37="Recognition",3,IF(Q37="Multiple Choice",4,IF(Q37="Savings",5,IF(Q37="Stem Completion",6,IF(Q37="Fragment Completion",7,IF(Q37="anagram solution",8,IF(Q37="Matching",9,IF(Q37="Problem Solving",10,"99"))))))))))</f>
        <v>2</v>
      </c>
      <c r="S37" s="69" t="s">
        <v>49</v>
      </c>
      <c r="T37" s="92" t="s">
        <v>581</v>
      </c>
      <c r="U37" s="69">
        <f>IF(T37="within",1,0)</f>
        <v>1</v>
      </c>
      <c r="V37" s="92">
        <v>22</v>
      </c>
      <c r="W37" s="69">
        <f>F37*V37</f>
        <v>396</v>
      </c>
      <c r="X37" s="69">
        <v>9</v>
      </c>
      <c r="Y37" s="87">
        <f>AV36</f>
        <v>90</v>
      </c>
      <c r="Z37" s="69" t="s">
        <v>66</v>
      </c>
      <c r="AA37" s="69">
        <v>3768</v>
      </c>
      <c r="AB37" s="69" t="str">
        <f>IF(AA37&lt;60,"1",IF(AA37&lt;=43200,"2",IF(AA37&lt;=777600,"3","4")))</f>
        <v>2</v>
      </c>
      <c r="AC37" s="72">
        <f>AVERAGE(AV36:DA36)</f>
        <v>1495.6572545497768</v>
      </c>
      <c r="AD37" s="69" t="str">
        <f>IF(AC37&lt;60,"1",IF(AC37&lt;=43200,"2",IF(AC37&lt;=777600,"3","4")))</f>
        <v>2</v>
      </c>
      <c r="AE37" s="87">
        <f>AA37-Y37</f>
        <v>3678</v>
      </c>
      <c r="AF37" s="88">
        <f>AV37</f>
        <v>0.72106500435827603</v>
      </c>
      <c r="AG37" s="72">
        <f>((AW37-AV37)+(AX37-AW37)+(AY37-AX37)+(AZ37-AY37)+(BA37-AZ37)+(BB37-BA37)+(BC37-BB37)+(BD37-BC37))/8</f>
        <v>-5.0130087957949127E-2</v>
      </c>
      <c r="AH37" s="4"/>
      <c r="AI37" s="72">
        <f>RSQ(AV37:BD37,AV36:BD36)</f>
        <v>0.38500168023610715</v>
      </c>
      <c r="AJ37" s="110">
        <f>SLOPE(AV37:BD37,AV36:BD36)</f>
        <v>-7.1853527648162323E-5</v>
      </c>
      <c r="AK37" s="72">
        <f>INTERCEPT(AV37:BD37,AV36:BD36)</f>
        <v>0.49460062117605874</v>
      </c>
      <c r="AL37" s="72">
        <f>INDEX(LINEST(LN(AV37:BD37),LN(AV36:BD36),TRUE,TRUE),3,1)</f>
        <v>0.82079157586455909</v>
      </c>
      <c r="AM37" s="72">
        <f>INDEX(LINEST(LN(AV37:BD37),LN(AV36:BD36)),1)</f>
        <v>-0.2265743324061473</v>
      </c>
      <c r="AN37" s="72">
        <f>EXP(INDEX(LINEST(LN(AV37:BD37),LN(AV36:BD36)),1,2))</f>
        <v>1.7472635017091722</v>
      </c>
      <c r="AO37" s="89">
        <f>INDEX(LINEST((AV37:BD37),LN(AV36:BD36),TRUE,TRUE),3,1)</f>
        <v>0.80447635469819578</v>
      </c>
      <c r="AP37" s="89">
        <f>INDEX(LINEST((AV37:BD37),LN(AV36:BD36)),1)</f>
        <v>-0.10558344111348335</v>
      </c>
      <c r="AQ37" s="90">
        <f>INDEX(LINEST(LN(AV37:BD37),SQRT(AV36:BD36),TRUE,TRUE),3,1)</f>
        <v>0.6131094578187346</v>
      </c>
      <c r="AR37" s="117">
        <f>INDEX(LINEST(LN(AV37:BD37),SQRT((AV36:BD36))),1)</f>
        <v>-1.383925367439039E-2</v>
      </c>
      <c r="AS37" s="91">
        <f>INDEX(LINEST(1/(AV37:BD37),1/(SQRT(AV36:BD36)),TRUE,TRUE),3,1)</f>
        <v>0.88138748993239879</v>
      </c>
      <c r="AT37" s="91">
        <f>INDEX(LINEST(1/(AV37:BD37),1/SQRT(AV36:BD36)),1)</f>
        <v>-22.496825305217499</v>
      </c>
      <c r="AU37" s="3"/>
      <c r="AV37" s="73">
        <v>0.72106500435827603</v>
      </c>
      <c r="AW37" s="73">
        <v>0.50710795319474899</v>
      </c>
      <c r="AX37" s="73">
        <v>0.34743125808922498</v>
      </c>
      <c r="AY37" s="73">
        <v>0.30431865606592901</v>
      </c>
      <c r="AZ37" s="73">
        <v>0.36696690351039302</v>
      </c>
      <c r="BA37" s="73">
        <v>0.31575847222588999</v>
      </c>
      <c r="BB37" s="73">
        <v>0.29981774478987799</v>
      </c>
      <c r="BC37" s="73">
        <v>0.301701048627803</v>
      </c>
      <c r="BD37" s="73">
        <v>0.32002430069468302</v>
      </c>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1"/>
      <c r="CS37" s="1"/>
      <c r="CT37" s="1"/>
      <c r="CU37" s="1"/>
    </row>
    <row r="38" spans="1:99" s="13" customFormat="1" ht="12" customHeight="1" x14ac:dyDescent="0.2">
      <c r="A38" s="68">
        <v>43509</v>
      </c>
      <c r="B38" s="70"/>
      <c r="C38" s="70"/>
      <c r="D38" s="69"/>
      <c r="E38" s="87"/>
      <c r="F38" s="69"/>
      <c r="G38" s="69"/>
      <c r="H38" s="69"/>
      <c r="I38" s="69"/>
      <c r="J38" s="69"/>
      <c r="K38" s="107"/>
      <c r="L38" s="107"/>
      <c r="M38" s="69"/>
      <c r="N38" s="69"/>
      <c r="O38" s="69"/>
      <c r="P38" s="69"/>
      <c r="Q38" s="69"/>
      <c r="R38" s="69"/>
      <c r="S38" s="69"/>
      <c r="T38" s="92"/>
      <c r="U38" s="69"/>
      <c r="V38" s="92"/>
      <c r="W38" s="69"/>
      <c r="X38" s="69"/>
      <c r="Y38" s="87"/>
      <c r="Z38" s="69"/>
      <c r="AA38" s="69"/>
      <c r="AB38" s="69"/>
      <c r="AC38" s="69"/>
      <c r="AD38" s="69"/>
      <c r="AE38" s="69"/>
      <c r="AF38" s="88"/>
      <c r="AG38" s="72"/>
      <c r="AH38" s="4"/>
      <c r="AI38" s="72"/>
      <c r="AJ38" s="110"/>
      <c r="AK38" s="72"/>
      <c r="AL38" s="72"/>
      <c r="AM38" s="72"/>
      <c r="AN38" s="72"/>
      <c r="AO38" s="72"/>
      <c r="AP38" s="72"/>
      <c r="AQ38" s="89"/>
      <c r="AR38" s="118"/>
      <c r="AS38" s="89"/>
      <c r="AT38" s="89"/>
      <c r="AU38" s="5"/>
      <c r="AV38" s="71">
        <f>60*1.5</f>
        <v>90</v>
      </c>
      <c r="AW38" s="71">
        <f>60*4.5</f>
        <v>270</v>
      </c>
      <c r="AX38" s="71">
        <f>60*9.54858818246651</f>
        <v>572.91529094799057</v>
      </c>
      <c r="AY38" s="71">
        <f>60*15</f>
        <v>900</v>
      </c>
      <c r="AZ38" s="71">
        <f>60*22</f>
        <v>1320</v>
      </c>
      <c r="BA38" s="71">
        <f>60*28</f>
        <v>1680</v>
      </c>
      <c r="BB38" s="71">
        <f>60*35</f>
        <v>2100</v>
      </c>
      <c r="BC38" s="71">
        <f>60*46</f>
        <v>2760</v>
      </c>
      <c r="BD38" s="71">
        <f>60*62.8</f>
        <v>3768</v>
      </c>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1"/>
      <c r="CS38" s="1"/>
      <c r="CT38" s="1"/>
      <c r="CU38" s="1"/>
    </row>
    <row r="39" spans="1:99" s="13" customFormat="1" ht="12" customHeight="1" x14ac:dyDescent="0.2">
      <c r="A39" s="68">
        <v>43509</v>
      </c>
      <c r="B39" s="70" t="s">
        <v>246</v>
      </c>
      <c r="C39" s="70" t="s">
        <v>45</v>
      </c>
      <c r="D39" s="69">
        <v>1997</v>
      </c>
      <c r="E39" s="87">
        <v>3</v>
      </c>
      <c r="F39" s="69">
        <v>18</v>
      </c>
      <c r="G39" s="69">
        <v>18</v>
      </c>
      <c r="H39" s="69" t="s">
        <v>43</v>
      </c>
      <c r="I39" s="69" t="s">
        <v>734</v>
      </c>
      <c r="J39" s="69" t="s">
        <v>16</v>
      </c>
      <c r="K39" s="69">
        <f>IF(J39="syllables",1,IF(J39="trigrams",2,IF(J39="strings",3,IF(J39="visual array",4,IF(J39="characters",5,IF(J39="letters",6,IF(J39="free forms",7,IF(J39="odors",8,IF(J39="words",9,IF(J39="pictures",10,IF(J39="object pictures",11,IF(J39="faces",12,IF(J39="names",13,IF(J39="idioms",14,IF(J39="grades",15,IF(J39="syllable-digit pairs",16,IF(J39="trigram-word pairs",17,IF(J39="word-digit pairs",18,IF(J39="English-Swahili pairs",19,IF(J39="spatial position",20,IF(J39="word pairs",21,IF(J39="word triads",22,IF(J39="generated words",23,IF(J39="word definition pairs",24,IF(J39="math problems",25,IF(J39="famous faces",26,IF(J39="famous names",27,IF(J39="famous voices",28,IF(J39="television programs",29,IF(J39="race horses",30,IF(J39="new vocabulary",31,IF(J39="sentences",32,IF(J39="concepts",33,IF(J39="ad slides",34,IF(J39="scenes",35,IF(J39="famous scenes",36,IF(J39="poems",37,IF(J39="walk",38,IF(J39="faces and events",39,IF(J39="events and names",40,IF(J39="flashbulb",41,IF(J39="stories",42,IF(J39="course material",43,IF(J39="autobiographical",44,IF(J39="novels",45,IF(J39="public events",46,"99"))))))))))))))))))))))))))))))))))))))))))))))</f>
        <v>9</v>
      </c>
      <c r="L39" s="69">
        <f>IF(J39="syllables",1,IF(J39="trigrams",1,IF(J39="strings",1,IF(J39="visual array",1,IF(J39="characters",1,IF(J39="letters",1,IF(J39="free forms",1,IF(J39="odors",2,IF(J39="words",2,IF(J39="pictures",2,IF(J39="object pictures",2,IF(J39="faces",2,IF(J39="names",2,IF(J39="idioms","2",IF(J39="grades",2,IF(J39="syllable-digit pairs",3,IF(J39="trigram-word pairs",3,IF(J39="word-digit pairs",3,IF(J39="English-Swahili pairs",3,IF(J39="spatial position",3,IF(J39="word pairs",4,IF(J39="word triads",4,IF(J39="generated words",4,IF(J39="word definition pairs",4,IF(J39="math problems",4,IF(J39="famous faces",4,IF(J39="famous names",4,IF(J39="famous voices",4,IF(J39="television programs",4,IF(J39="race horses",4,IF(J39="new vocabulary",4,IF(J39="sentences",5,IF(J39="concepts",5,IF(J39="ad slides",5,IF(J39="scenes",5,IF(J39="famous scenes",5,IF(J39="poems",6,IF(J39="walk",6,IF(J39="faces and events",6,IF(J39="events and names",6,IF(J39="flashbulb",7,IF(J39="stories",7,IF(J39="course material",7,IF(J39="autobiographical",7,IF(J39="novels",7,IF(J39="public events",7,"99"))))))))))))))))))))))))))))))))))))))))))))))</f>
        <v>2</v>
      </c>
      <c r="M39" s="69">
        <v>0</v>
      </c>
      <c r="N39" s="69">
        <v>1</v>
      </c>
      <c r="O39" s="69">
        <v>0</v>
      </c>
      <c r="P39" s="69"/>
      <c r="Q39" s="69" t="s">
        <v>65</v>
      </c>
      <c r="R39" s="69">
        <f>IF(Q39="Free Recall",1,IF(Q39="Cued Recall",2,IF(Q39="Recognition",3,IF(Q39="Multiple Choice",4,IF(Q39="Savings",5,IF(Q39="Stem Completion",6,IF(Q39="Fragment Completion",7,IF(Q39="anagram solution",8,IF(Q39="Matching",9,IF(Q39="Problem Solving",10,"99"))))))))))</f>
        <v>2</v>
      </c>
      <c r="S39" s="69" t="s">
        <v>49</v>
      </c>
      <c r="T39" s="92" t="s">
        <v>581</v>
      </c>
      <c r="U39" s="69">
        <f>IF(T39="within",1,0)</f>
        <v>1</v>
      </c>
      <c r="V39" s="92">
        <v>22</v>
      </c>
      <c r="W39" s="69">
        <f>F39*V39</f>
        <v>396</v>
      </c>
      <c r="X39" s="69">
        <v>9</v>
      </c>
      <c r="Y39" s="87">
        <f>AV38</f>
        <v>90</v>
      </c>
      <c r="Z39" s="69" t="s">
        <v>66</v>
      </c>
      <c r="AA39" s="69">
        <v>3768</v>
      </c>
      <c r="AB39" s="69" t="str">
        <f>IF(AA39&lt;60,"1",IF(AA39&lt;=43200,"2",IF(AA39&lt;=777600,"3","4")))</f>
        <v>2</v>
      </c>
      <c r="AC39" s="72">
        <f>AVERAGE(AV38:DA38)</f>
        <v>1495.6572545497768</v>
      </c>
      <c r="AD39" s="69" t="str">
        <f>IF(AC39&lt;60,"1",IF(AC39&lt;=43200,"2",IF(AC39&lt;=777600,"3","4")))</f>
        <v>2</v>
      </c>
      <c r="AE39" s="87">
        <f>AA39-Y39</f>
        <v>3678</v>
      </c>
      <c r="AF39" s="88">
        <f>AV39</f>
        <v>0.46089965397923799</v>
      </c>
      <c r="AG39" s="72">
        <f>((AW39-AV39)+(AX39-AW39)+(AY39-AX39)+(AZ39-AY39)+(BA39-AZ39)+(BB39-BA39)+(BC39-BB39)+(BD39-BC39))/8</f>
        <v>-3.4886024459177378E-2</v>
      </c>
      <c r="AH39" s="4"/>
      <c r="AI39" s="72">
        <f>RSQ(AV39:BD39,AV38:BD38)</f>
        <v>0.35622471060028787</v>
      </c>
      <c r="AJ39" s="110">
        <f>SLOPE(AV39:BD39,AV38:BD38)</f>
        <v>-4.3887547824253566E-5</v>
      </c>
      <c r="AK39" s="72">
        <f>INTERCEPT(AV39:BD39,AV38:BD38)</f>
        <v>0.30206418356692699</v>
      </c>
      <c r="AL39" s="72">
        <f>INDEX(LINEST(LN(AV39:BD39),LN(AV38:BD38),TRUE,TRUE),3,1)</f>
        <v>0.79906340473359405</v>
      </c>
      <c r="AM39" s="72">
        <f>INDEX(LINEST(LN(AV39:BD39),LN(AV38:BD38)),1)</f>
        <v>-0.22268948822304618</v>
      </c>
      <c r="AN39" s="72">
        <f>EXP(INDEX(LINEST(LN(AV39:BD39),LN(AV38:BD38)),1,2))</f>
        <v>1.0380337618424229</v>
      </c>
      <c r="AO39" s="89">
        <f>INDEX(LINEST((AV39:BD39),LN(AV38:BD38),TRUE,TRUE),3,1)</f>
        <v>0.76055582159941659</v>
      </c>
      <c r="AP39" s="89">
        <f>INDEX(LINEST((AV39:BD39),LN(AV38:BD38)),1)</f>
        <v>-6.5187935937966304E-2</v>
      </c>
      <c r="AQ39" s="90">
        <f>INDEX(LINEST(LN(AV39:BD39),SQRT(AV38:BD38),TRUE,TRUE),3,1)</f>
        <v>0.58935556110370169</v>
      </c>
      <c r="AR39" s="117">
        <f>INDEX(LINEST(LN(AV39:BD39),SQRT((AV38:BD38))),1)</f>
        <v>-1.3515969025569452E-2</v>
      </c>
      <c r="AS39" s="91">
        <f>INDEX(LINEST(1/(AV39:BD39),1/(SQRT(AV38:BD38)),TRUE,TRUE),3,1)</f>
        <v>0.90834176688501578</v>
      </c>
      <c r="AT39" s="91">
        <f>INDEX(LINEST(1/(AV39:BD39),1/SQRT(AV38:BD38)),1)</f>
        <v>-35.987235218875966</v>
      </c>
      <c r="AU39" s="3"/>
      <c r="AV39" s="73">
        <v>0.46089965397923799</v>
      </c>
      <c r="AW39" s="73">
        <v>0.28488338307931999</v>
      </c>
      <c r="AX39" s="73">
        <v>0.19024802556855699</v>
      </c>
      <c r="AY39" s="73">
        <v>0.217602155365963</v>
      </c>
      <c r="AZ39" s="73">
        <v>0.204363559523495</v>
      </c>
      <c r="BA39" s="73">
        <v>0.19922343432209</v>
      </c>
      <c r="BB39" s="73">
        <v>0.18870545973216399</v>
      </c>
      <c r="BC39" s="73">
        <v>0.20007395863599101</v>
      </c>
      <c r="BD39" s="73">
        <v>0.18181145830581899</v>
      </c>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1"/>
      <c r="CS39" s="1"/>
      <c r="CT39" s="1"/>
      <c r="CU39" s="1"/>
    </row>
    <row r="40" spans="1:99" s="13" customFormat="1" ht="12" customHeight="1" x14ac:dyDescent="0.2">
      <c r="A40" s="68">
        <v>43509</v>
      </c>
      <c r="B40" s="70"/>
      <c r="C40" s="70"/>
      <c r="D40" s="69"/>
      <c r="E40" s="87"/>
      <c r="F40" s="69"/>
      <c r="G40" s="69"/>
      <c r="H40" s="69"/>
      <c r="I40" s="69"/>
      <c r="J40" s="69"/>
      <c r="K40" s="107"/>
      <c r="L40" s="107"/>
      <c r="M40" s="69"/>
      <c r="N40" s="69"/>
      <c r="O40" s="69"/>
      <c r="P40" s="69"/>
      <c r="Q40" s="69"/>
      <c r="R40" s="69"/>
      <c r="S40" s="69"/>
      <c r="T40" s="69"/>
      <c r="U40" s="69"/>
      <c r="V40" s="69"/>
      <c r="W40" s="69"/>
      <c r="X40" s="69"/>
      <c r="Y40" s="87"/>
      <c r="Z40" s="69"/>
      <c r="AA40" s="69"/>
      <c r="AB40" s="69"/>
      <c r="AC40" s="69"/>
      <c r="AD40" s="69"/>
      <c r="AE40" s="69"/>
      <c r="AF40" s="88"/>
      <c r="AG40" s="72"/>
      <c r="AH40" s="4"/>
      <c r="AI40" s="72"/>
      <c r="AJ40" s="110"/>
      <c r="AK40" s="72"/>
      <c r="AL40" s="72"/>
      <c r="AM40" s="72"/>
      <c r="AN40" s="72"/>
      <c r="AO40" s="72"/>
      <c r="AP40" s="72"/>
      <c r="AQ40" s="89"/>
      <c r="AR40" s="118"/>
      <c r="AS40" s="89"/>
      <c r="AT40" s="89"/>
      <c r="AU40" s="5"/>
      <c r="AV40" s="71">
        <f>60*1.5</f>
        <v>90</v>
      </c>
      <c r="AW40" s="71">
        <f>60*4.5</f>
        <v>270</v>
      </c>
      <c r="AX40" s="71">
        <f>60*9.54858818246651</f>
        <v>572.91529094799057</v>
      </c>
      <c r="AY40" s="71">
        <f>60*15</f>
        <v>900</v>
      </c>
      <c r="AZ40" s="71">
        <f>60*22</f>
        <v>1320</v>
      </c>
      <c r="BA40" s="71">
        <f>60*28</f>
        <v>1680</v>
      </c>
      <c r="BB40" s="71">
        <f>60*35</f>
        <v>2100</v>
      </c>
      <c r="BC40" s="71">
        <f>60*46</f>
        <v>2760</v>
      </c>
      <c r="BD40" s="71">
        <f>60*62.8</f>
        <v>3768</v>
      </c>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1"/>
      <c r="CS40" s="1"/>
      <c r="CT40" s="1"/>
      <c r="CU40" s="1"/>
    </row>
    <row r="41" spans="1:99" s="13" customFormat="1" ht="12" customHeight="1" x14ac:dyDescent="0.2">
      <c r="A41" s="68">
        <v>43509</v>
      </c>
      <c r="B41" s="70" t="s">
        <v>246</v>
      </c>
      <c r="C41" s="70" t="s">
        <v>45</v>
      </c>
      <c r="D41" s="69">
        <v>1997</v>
      </c>
      <c r="E41" s="87">
        <v>4</v>
      </c>
      <c r="F41" s="69">
        <v>9</v>
      </c>
      <c r="G41" s="69">
        <v>9</v>
      </c>
      <c r="H41" s="69" t="s">
        <v>67</v>
      </c>
      <c r="I41" s="69" t="s">
        <v>733</v>
      </c>
      <c r="J41" s="69" t="s">
        <v>16</v>
      </c>
      <c r="K41" s="69">
        <f>IF(J41="syllables",1,IF(J41="trigrams",2,IF(J41="strings",3,IF(J41="visual array",4,IF(J41="characters",5,IF(J41="letters",6,IF(J41="free forms",7,IF(J41="odors",8,IF(J41="words",9,IF(J41="pictures",10,IF(J41="object pictures",11,IF(J41="faces",12,IF(J41="names",13,IF(J41="idioms",14,IF(J41="grades",15,IF(J41="syllable-digit pairs",16,IF(J41="trigram-word pairs",17,IF(J41="word-digit pairs",18,IF(J41="English-Swahili pairs",19,IF(J41="spatial position",20,IF(J41="word pairs",21,IF(J41="word triads",22,IF(J41="generated words",23,IF(J41="word definition pairs",24,IF(J41="math problems",25,IF(J41="famous faces",26,IF(J41="famous names",27,IF(J41="famous voices",28,IF(J41="television programs",29,IF(J41="race horses",30,IF(J41="new vocabulary",31,IF(J41="sentences",32,IF(J41="concepts",33,IF(J41="ad slides",34,IF(J41="scenes",35,IF(J41="famous scenes",36,IF(J41="poems",37,IF(J41="walk",38,IF(J41="faces and events",39,IF(J41="events and names",40,IF(J41="flashbulb",41,IF(J41="stories",42,IF(J41="course material",43,IF(J41="autobiographical",44,IF(J41="novels",45,IF(J41="public events",46,"99"))))))))))))))))))))))))))))))))))))))))))))))</f>
        <v>9</v>
      </c>
      <c r="L41" s="69">
        <f>IF(J41="syllables",1,IF(J41="trigrams",1,IF(J41="strings",1,IF(J41="visual array",1,IF(J41="characters",1,IF(J41="letters",1,IF(J41="free forms",1,IF(J41="odors",2,IF(J41="words",2,IF(J41="pictures",2,IF(J41="object pictures",2,IF(J41="faces",2,IF(J41="names",2,IF(J41="idioms","2",IF(J41="grades",2,IF(J41="syllable-digit pairs",3,IF(J41="trigram-word pairs",3,IF(J41="word-digit pairs",3,IF(J41="English-Swahili pairs",3,IF(J41="spatial position",3,IF(J41="word pairs",4,IF(J41="word triads",4,IF(J41="generated words",4,IF(J41="word definition pairs",4,IF(J41="math problems",4,IF(J41="famous faces",4,IF(J41="famous names",4,IF(J41="famous voices",4,IF(J41="television programs",4,IF(J41="race horses",4,IF(J41="new vocabulary",4,IF(J41="sentences",5,IF(J41="concepts",5,IF(J41="ad slides",5,IF(J41="scenes",5,IF(J41="famous scenes",5,IF(J41="poems",6,IF(J41="walk",6,IF(J41="faces and events",6,IF(J41="events and names",6,IF(J41="flashbulb",7,IF(J41="stories",7,IF(J41="course material",7,IF(J41="autobiographical",7,IF(J41="novels",7,IF(J41="public events",7,"99"))))))))))))))))))))))))))))))))))))))))))))))</f>
        <v>2</v>
      </c>
      <c r="M41" s="69">
        <v>0</v>
      </c>
      <c r="N41" s="69">
        <v>1</v>
      </c>
      <c r="O41" s="69">
        <v>0</v>
      </c>
      <c r="P41" s="69"/>
      <c r="Q41" s="69" t="s">
        <v>34</v>
      </c>
      <c r="R41" s="69">
        <f>IF(Q41="Free Recall",1,IF(Q41="Cued Recall",2,IF(Q41="Recognition",3,IF(Q41="Multiple Choice",4,IF(Q41="Savings",5,IF(Q41="Stem Completion",6,IF(Q41="Fragment Completion",7,IF(Q41="anagram solution",8,IF(Q41="Matching",9,IF(Q41="Problem Solving",10,"99"))))))))))</f>
        <v>3</v>
      </c>
      <c r="S41" s="69" t="s">
        <v>15</v>
      </c>
      <c r="T41" s="92" t="s">
        <v>581</v>
      </c>
      <c r="U41" s="69">
        <f>IF(T41="within",1,0)</f>
        <v>1</v>
      </c>
      <c r="V41" s="92">
        <v>22</v>
      </c>
      <c r="W41" s="69">
        <f>F41*V41</f>
        <v>198</v>
      </c>
      <c r="X41" s="69">
        <v>9</v>
      </c>
      <c r="Y41" s="87">
        <f>AV40</f>
        <v>90</v>
      </c>
      <c r="Z41" s="69" t="s">
        <v>66</v>
      </c>
      <c r="AA41" s="69">
        <v>3768</v>
      </c>
      <c r="AB41" s="69" t="str">
        <f>IF(AA41&lt;60,"1",IF(AA41&lt;=43200,"2",IF(AA41&lt;=777600,"3","4")))</f>
        <v>2</v>
      </c>
      <c r="AC41" s="72">
        <f>AVERAGE(AV40:DA40)</f>
        <v>1495.6572545497768</v>
      </c>
      <c r="AD41" s="69" t="str">
        <f>IF(AC41&lt;60,"1",IF(AC41&lt;=43200,"2",IF(AC41&lt;=777600,"3","4")))</f>
        <v>2</v>
      </c>
      <c r="AE41" s="87">
        <f>AA41-Y41</f>
        <v>3678</v>
      </c>
      <c r="AF41" s="88">
        <f>AV41</f>
        <v>0.87083267498814898</v>
      </c>
      <c r="AG41" s="72">
        <f>((AW41-AV41)+(AX41-AW41)+(AY41-AX41)+(AZ41-AY41)+(BA41-AZ41)+(BB41-BA41)+(BC41-BB41)+(BD41-BC41))/8</f>
        <v>-9.2177730627722443E-3</v>
      </c>
      <c r="AH41" s="4"/>
      <c r="AI41" s="72">
        <f>RSQ(AV41:BD41,AV40:BD40)</f>
        <v>0.48118484190166427</v>
      </c>
      <c r="AJ41" s="110">
        <f>SLOPE(AV41:BD41,AV40:BD40)</f>
        <v>-1.2652734624503988E-5</v>
      </c>
      <c r="AK41" s="72">
        <f>INTERCEPT(AV41:BD41,AV40:BD40)</f>
        <v>0.83929711628244252</v>
      </c>
      <c r="AL41" s="72">
        <f>INDEX(LINEST(LN(AV41:BD41),LN(AV40:BD40),TRUE,TRUE),3,1)</f>
        <v>0.74951419398093377</v>
      </c>
      <c r="AM41" s="72">
        <f>INDEX(LINEST(LN(AV41:BD41),LN(AV40:BD40)),1)</f>
        <v>-1.9249060332196644E-2</v>
      </c>
      <c r="AN41" s="72">
        <f>EXP(INDEX(LINEST(LN(AV41:BD41),LN(AV40:BD40)),1,2))</f>
        <v>0.9357416238682047</v>
      </c>
      <c r="AO41" s="89">
        <f>INDEX(LINEST((AV41:BD41),LN(AV40:BD40),TRUE,TRUE),3,1)</f>
        <v>0.75021666857882596</v>
      </c>
      <c r="AP41" s="89">
        <f>INDEX(LINEST((AV41:BD41),LN(AV40:BD40)),1)</f>
        <v>-1.6059949416026426E-2</v>
      </c>
      <c r="AQ41" s="90">
        <f>INDEX(LINEST(LN(AV41:BD41),SQRT(AV40:BD40),TRUE,TRUE),3,1)</f>
        <v>0.61039512222996761</v>
      </c>
      <c r="AR41" s="117">
        <f>INDEX(LINEST(LN(AV41:BD41),SQRT((AV40:BD40))),1)</f>
        <v>-1.2276498878732926E-3</v>
      </c>
      <c r="AS41" s="91">
        <f>INDEX(LINEST(1/(AV41:BD41),1/(SQRT(AV40:BD40)),TRUE,TRUE),3,1)</f>
        <v>0.82456085006196467</v>
      </c>
      <c r="AT41" s="91">
        <f>INDEX(LINEST(1/(AV41:BD41),1/SQRT(AV40:BD40)),1)</f>
        <v>-1.0202052079761947</v>
      </c>
      <c r="AU41" s="3"/>
      <c r="AV41" s="73">
        <v>0.87083267498814898</v>
      </c>
      <c r="AW41" s="73">
        <v>0.83554951131977495</v>
      </c>
      <c r="AX41" s="73">
        <v>0.80525020878947196</v>
      </c>
      <c r="AY41" s="73">
        <v>0.81348102837279601</v>
      </c>
      <c r="AZ41" s="73">
        <v>0.82585942261246403</v>
      </c>
      <c r="BA41" s="73">
        <v>0.81982258537796504</v>
      </c>
      <c r="BB41" s="73">
        <v>0.80957384375775898</v>
      </c>
      <c r="BC41" s="73">
        <v>0.80589689185833902</v>
      </c>
      <c r="BD41" s="73">
        <v>0.79709049048597103</v>
      </c>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1"/>
      <c r="CS41" s="1"/>
      <c r="CT41" s="1"/>
      <c r="CU41" s="1"/>
    </row>
    <row r="42" spans="1:99" s="13" customFormat="1" ht="12" customHeight="1" x14ac:dyDescent="0.2">
      <c r="A42" s="68">
        <v>43509</v>
      </c>
      <c r="B42" s="70"/>
      <c r="C42" s="70"/>
      <c r="D42" s="69"/>
      <c r="E42" s="87"/>
      <c r="F42" s="69"/>
      <c r="G42" s="69"/>
      <c r="H42" s="69"/>
      <c r="I42" s="69"/>
      <c r="J42" s="69"/>
      <c r="K42" s="107"/>
      <c r="L42" s="107"/>
      <c r="M42" s="69"/>
      <c r="N42" s="69"/>
      <c r="O42" s="69"/>
      <c r="P42" s="69"/>
      <c r="Q42" s="69"/>
      <c r="R42" s="69"/>
      <c r="S42" s="69"/>
      <c r="T42" s="92"/>
      <c r="U42" s="69"/>
      <c r="V42" s="92"/>
      <c r="W42" s="69"/>
      <c r="X42" s="69"/>
      <c r="Y42" s="87"/>
      <c r="Z42" s="69"/>
      <c r="AA42" s="69"/>
      <c r="AB42" s="69"/>
      <c r="AC42" s="69"/>
      <c r="AD42" s="69"/>
      <c r="AE42" s="69"/>
      <c r="AF42" s="88"/>
      <c r="AG42" s="72"/>
      <c r="AH42" s="4"/>
      <c r="AI42" s="72"/>
      <c r="AJ42" s="110"/>
      <c r="AK42" s="72"/>
      <c r="AL42" s="72"/>
      <c r="AM42" s="72"/>
      <c r="AN42" s="72"/>
      <c r="AO42" s="72"/>
      <c r="AP42" s="72"/>
      <c r="AQ42" s="89"/>
      <c r="AR42" s="118"/>
      <c r="AS42" s="89"/>
      <c r="AT42" s="89"/>
      <c r="AU42" s="5"/>
      <c r="AV42" s="71">
        <f>60*1.5</f>
        <v>90</v>
      </c>
      <c r="AW42" s="71">
        <f>60*4.5</f>
        <v>270</v>
      </c>
      <c r="AX42" s="71">
        <f>60*9.54858818246651</f>
        <v>572.91529094799057</v>
      </c>
      <c r="AY42" s="71">
        <f>60*15</f>
        <v>900</v>
      </c>
      <c r="AZ42" s="71">
        <f>60*22</f>
        <v>1320</v>
      </c>
      <c r="BA42" s="71">
        <f>60*28</f>
        <v>1680</v>
      </c>
      <c r="BB42" s="71">
        <f>60*35</f>
        <v>2100</v>
      </c>
      <c r="BC42" s="71">
        <f>60*46</f>
        <v>2760</v>
      </c>
      <c r="BD42" s="71">
        <f>60*62.8</f>
        <v>3768</v>
      </c>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1"/>
      <c r="CS42" s="1"/>
      <c r="CT42" s="1"/>
      <c r="CU42" s="1"/>
    </row>
    <row r="43" spans="1:99" s="13" customFormat="1" ht="12" customHeight="1" x14ac:dyDescent="0.2">
      <c r="A43" s="68">
        <v>43509</v>
      </c>
      <c r="B43" s="70" t="s">
        <v>246</v>
      </c>
      <c r="C43" s="70" t="s">
        <v>45</v>
      </c>
      <c r="D43" s="69">
        <v>1997</v>
      </c>
      <c r="E43" s="87">
        <v>4</v>
      </c>
      <c r="F43" s="69">
        <v>9</v>
      </c>
      <c r="G43" s="69">
        <v>9</v>
      </c>
      <c r="H43" s="69" t="s">
        <v>67</v>
      </c>
      <c r="I43" s="69" t="s">
        <v>734</v>
      </c>
      <c r="J43" s="69" t="s">
        <v>16</v>
      </c>
      <c r="K43" s="69">
        <f>IF(J43="syllables",1,IF(J43="trigrams",2,IF(J43="strings",3,IF(J43="visual array",4,IF(J43="characters",5,IF(J43="letters",6,IF(J43="free forms",7,IF(J43="odors",8,IF(J43="words",9,IF(J43="pictures",10,IF(J43="object pictures",11,IF(J43="faces",12,IF(J43="names",13,IF(J43="idioms",14,IF(J43="grades",15,IF(J43="syllable-digit pairs",16,IF(J43="trigram-word pairs",17,IF(J43="word-digit pairs",18,IF(J43="English-Swahili pairs",19,IF(J43="spatial position",20,IF(J43="word pairs",21,IF(J43="word triads",22,IF(J43="generated words",23,IF(J43="word definition pairs",24,IF(J43="math problems",25,IF(J43="famous faces",26,IF(J43="famous names",27,IF(J43="famous voices",28,IF(J43="television programs",29,IF(J43="race horses",30,IF(J43="new vocabulary",31,IF(J43="sentences",32,IF(J43="concepts",33,IF(J43="ad slides",34,IF(J43="scenes",35,IF(J43="famous scenes",36,IF(J43="poems",37,IF(J43="walk",38,IF(J43="faces and events",39,IF(J43="events and names",40,IF(J43="flashbulb",41,IF(J43="stories",42,IF(J43="course material",43,IF(J43="autobiographical",44,IF(J43="novels",45,IF(J43="public events",46,"99"))))))))))))))))))))))))))))))))))))))))))))))</f>
        <v>9</v>
      </c>
      <c r="L43" s="69">
        <f>IF(J43="syllables",1,IF(J43="trigrams",1,IF(J43="strings",1,IF(J43="visual array",1,IF(J43="characters",1,IF(J43="letters",1,IF(J43="free forms",1,IF(J43="odors",2,IF(J43="words",2,IF(J43="pictures",2,IF(J43="object pictures",2,IF(J43="faces",2,IF(J43="names",2,IF(J43="idioms","2",IF(J43="grades",2,IF(J43="syllable-digit pairs",3,IF(J43="trigram-word pairs",3,IF(J43="word-digit pairs",3,IF(J43="English-Swahili pairs",3,IF(J43="spatial position",3,IF(J43="word pairs",4,IF(J43="word triads",4,IF(J43="generated words",4,IF(J43="word definition pairs",4,IF(J43="math problems",4,IF(J43="famous faces",4,IF(J43="famous names",4,IF(J43="famous voices",4,IF(J43="television programs",4,IF(J43="race horses",4,IF(J43="new vocabulary",4,IF(J43="sentences",5,IF(J43="concepts",5,IF(J43="ad slides",5,IF(J43="scenes",5,IF(J43="famous scenes",5,IF(J43="poems",6,IF(J43="walk",6,IF(J43="faces and events",6,IF(J43="events and names",6,IF(J43="flashbulb",7,IF(J43="stories",7,IF(J43="course material",7,IF(J43="autobiographical",7,IF(J43="novels",7,IF(J43="public events",7,"99"))))))))))))))))))))))))))))))))))))))))))))))</f>
        <v>2</v>
      </c>
      <c r="M43" s="69">
        <v>0</v>
      </c>
      <c r="N43" s="69">
        <v>1</v>
      </c>
      <c r="O43" s="69">
        <v>0</v>
      </c>
      <c r="P43" s="69"/>
      <c r="Q43" s="69" t="s">
        <v>34</v>
      </c>
      <c r="R43" s="69">
        <f>IF(Q43="Free Recall",1,IF(Q43="Cued Recall",2,IF(Q43="Recognition",3,IF(Q43="Multiple Choice",4,IF(Q43="Savings",5,IF(Q43="Stem Completion",6,IF(Q43="Fragment Completion",7,IF(Q43="anagram solution",8,IF(Q43="Matching",9,IF(Q43="Problem Solving",10,"99"))))))))))</f>
        <v>3</v>
      </c>
      <c r="S43" s="69" t="s">
        <v>15</v>
      </c>
      <c r="T43" s="92" t="s">
        <v>581</v>
      </c>
      <c r="U43" s="69">
        <f>IF(T43="within",1,0)</f>
        <v>1</v>
      </c>
      <c r="V43" s="92">
        <v>22</v>
      </c>
      <c r="W43" s="69">
        <f>F43*V43</f>
        <v>198</v>
      </c>
      <c r="X43" s="69">
        <v>9</v>
      </c>
      <c r="Y43" s="87">
        <f>AV42</f>
        <v>90</v>
      </c>
      <c r="Z43" s="69" t="s">
        <v>66</v>
      </c>
      <c r="AA43" s="69">
        <v>3768</v>
      </c>
      <c r="AB43" s="69" t="str">
        <f>IF(AA43&lt;60,"1",IF(AA43&lt;=43200,"2",IF(AA43&lt;=777600,"3","4")))</f>
        <v>2</v>
      </c>
      <c r="AC43" s="72">
        <f>AVERAGE(AV42:DA42)</f>
        <v>1495.6572545497768</v>
      </c>
      <c r="AD43" s="69" t="str">
        <f>IF(AC43&lt;60,"1",IF(AC43&lt;=43200,"2",IF(AC43&lt;=777600,"3","4")))</f>
        <v>2</v>
      </c>
      <c r="AE43" s="87">
        <f>AA43-Y43</f>
        <v>3678</v>
      </c>
      <c r="AF43" s="88">
        <f>AV43</f>
        <v>0.72167234724510698</v>
      </c>
      <c r="AG43" s="72">
        <f>((AW43-AV43)+(AX43-AW43)+(AY43-AX43)+(AZ43-AY43)+(BA43-AZ43)+(BB43-BA43)+(BC43-BB43)+(BD43-BC43))/8</f>
        <v>-1.1836881813872629E-2</v>
      </c>
      <c r="AH43" s="4"/>
      <c r="AI43" s="72">
        <f>RSQ(AV43:BD43,AV42:BD42)</f>
        <v>0.27770672644299293</v>
      </c>
      <c r="AJ43" s="110">
        <f>SLOPE(AV43:BD43,AV42:BD42)</f>
        <v>-1.5018463829441097E-5</v>
      </c>
      <c r="AK43" s="72">
        <f>INTERCEPT(AV43:BD43,AV42:BD42)</f>
        <v>0.66360058391228716</v>
      </c>
      <c r="AL43" s="72">
        <f>INDEX(LINEST(LN(AV43:BD43),LN(AV42:BD42),TRUE,TRUE),3,1)</f>
        <v>0.7096634534787758</v>
      </c>
      <c r="AM43" s="72">
        <f>INDEX(LINEST(LN(AV43:BD43),LN(AV42:BD42)),1)</f>
        <v>-3.6593837642734404E-2</v>
      </c>
      <c r="AN43" s="72">
        <f>EXP(INDEX(LINEST(LN(AV43:BD43),LN(AV42:BD42)),1,2))</f>
        <v>0.82283705081279657</v>
      </c>
      <c r="AO43" s="89">
        <f>INDEX(LINEST((AV43:BD43),LN(AV42:BD42),TRUE,TRUE),3,1)</f>
        <v>0.7124996918132902</v>
      </c>
      <c r="AP43" s="89">
        <f>INDEX(LINEST((AV43:BD43),LN(AV42:BD42)),1)</f>
        <v>-2.4453838621626922E-2</v>
      </c>
      <c r="AQ43" s="90">
        <f>INDEX(LINEST(LN(AV43:BD43),SQRT(AV42:BD42),TRUE,TRUE),3,1)</f>
        <v>0.46563293534413441</v>
      </c>
      <c r="AR43" s="117">
        <f>INDEX(LINEST(LN(AV43:BD43),SQRT((AV42:BD42))),1)</f>
        <v>-2.0948502399892686E-3</v>
      </c>
      <c r="AS43" s="91">
        <f>INDEX(LINEST(1/(AV43:BD43),1/(SQRT(AV42:BD42)),TRUE,TRUE),3,1)</f>
        <v>0.86913851756780813</v>
      </c>
      <c r="AT43" s="91">
        <f>INDEX(LINEST(1/(AV43:BD43),1/SQRT(AV42:BD42)),1)</f>
        <v>-2.5621880953765266</v>
      </c>
      <c r="AU43" s="3"/>
      <c r="AV43" s="73">
        <v>0.72167234724510698</v>
      </c>
      <c r="AW43" s="73">
        <v>0.67465747240593099</v>
      </c>
      <c r="AX43" s="73">
        <v>0.62508633726835605</v>
      </c>
      <c r="AY43" s="73">
        <v>0.62242173216260699</v>
      </c>
      <c r="AZ43" s="73">
        <v>0.61887682549714396</v>
      </c>
      <c r="BA43" s="73">
        <v>0.62289574069476095</v>
      </c>
      <c r="BB43" s="73">
        <v>0.62186646502494103</v>
      </c>
      <c r="BC43" s="73">
        <v>0.63578877276933798</v>
      </c>
      <c r="BD43" s="73">
        <v>0.62697729273412595</v>
      </c>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1"/>
      <c r="CS43" s="1"/>
      <c r="CT43" s="1"/>
      <c r="CU43" s="1"/>
    </row>
    <row r="44" spans="1:99" s="13" customFormat="1" ht="12" customHeight="1" x14ac:dyDescent="0.2">
      <c r="A44" s="65">
        <v>43509</v>
      </c>
      <c r="B44" s="1"/>
      <c r="C44" s="1"/>
      <c r="D44" s="60"/>
      <c r="E44" s="76"/>
      <c r="F44" s="60"/>
      <c r="G44" s="60"/>
      <c r="H44" s="60"/>
      <c r="I44" s="60"/>
      <c r="J44" s="60"/>
      <c r="K44" s="64"/>
      <c r="L44" s="64"/>
      <c r="M44" s="60"/>
      <c r="N44" s="60"/>
      <c r="O44" s="60"/>
      <c r="P44" s="60"/>
      <c r="Q44" s="60"/>
      <c r="R44" s="60"/>
      <c r="S44" s="60"/>
      <c r="T44" s="60"/>
      <c r="U44" s="60"/>
      <c r="V44" s="60"/>
      <c r="W44" s="60"/>
      <c r="X44" s="60"/>
      <c r="Y44" s="76"/>
      <c r="Z44" s="60"/>
      <c r="AA44" s="60"/>
      <c r="AB44" s="60"/>
      <c r="AC44" s="60"/>
      <c r="AD44" s="60"/>
      <c r="AE44" s="60"/>
      <c r="AF44" s="80"/>
      <c r="AG44" s="56"/>
      <c r="AH44" s="4"/>
      <c r="AI44" s="56"/>
      <c r="AJ44" s="109"/>
      <c r="AK44" s="56"/>
      <c r="AL44" s="56"/>
      <c r="AM44" s="56"/>
      <c r="AN44" s="56"/>
      <c r="AO44" s="56"/>
      <c r="AP44" s="56"/>
      <c r="AQ44" s="82"/>
      <c r="AR44" s="115"/>
      <c r="AS44" s="82"/>
      <c r="AT44" s="82"/>
      <c r="AU44" s="8"/>
      <c r="AV44" s="25">
        <f>60*0.88</f>
        <v>52.8</v>
      </c>
      <c r="AW44" s="25">
        <f>60*3.52</f>
        <v>211.2</v>
      </c>
      <c r="AX44" s="25">
        <f>60*7.04</f>
        <v>422.4</v>
      </c>
      <c r="AY44" s="25">
        <f>60*10.56</f>
        <v>633.6</v>
      </c>
      <c r="AZ44" s="25">
        <f>60*18.48</f>
        <v>1108.8</v>
      </c>
      <c r="BA44" s="25">
        <f>60*29.92</f>
        <v>1795.2</v>
      </c>
      <c r="BB44" s="25">
        <f>60*39.6</f>
        <v>2376</v>
      </c>
      <c r="BC44" s="25">
        <f>60*52.8</f>
        <v>3168</v>
      </c>
      <c r="BD44" s="25">
        <f>60*70.4</f>
        <v>4224</v>
      </c>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1"/>
      <c r="CS44" s="1"/>
      <c r="CT44" s="1"/>
      <c r="CU44" s="1"/>
    </row>
    <row r="45" spans="1:99" s="13" customFormat="1" ht="12" customHeight="1" x14ac:dyDescent="0.2">
      <c r="A45" s="65">
        <v>43509</v>
      </c>
      <c r="B45" s="1" t="s">
        <v>247</v>
      </c>
      <c r="C45" s="1" t="s">
        <v>45</v>
      </c>
      <c r="D45" s="60">
        <v>1999</v>
      </c>
      <c r="E45" s="76">
        <v>1</v>
      </c>
      <c r="F45" s="60">
        <v>32</v>
      </c>
      <c r="G45" s="60">
        <v>32</v>
      </c>
      <c r="H45" s="60" t="s">
        <v>41</v>
      </c>
      <c r="I45" s="60" t="s">
        <v>735</v>
      </c>
      <c r="J45" s="60" t="s">
        <v>16</v>
      </c>
      <c r="K45" s="60">
        <f>IF(J45="syllables",1,IF(J45="trigrams",2,IF(J45="strings",3,IF(J45="visual array",4,IF(J45="characters",5,IF(J45="letters",6,IF(J45="free forms",7,IF(J45="odors",8,IF(J45="words",9,IF(J45="pictures",10,IF(J45="object pictures",11,IF(J45="faces",12,IF(J45="names",13,IF(J45="idioms",14,IF(J45="grades",15,IF(J45="syllable-digit pairs",16,IF(J45="trigram-word pairs",17,IF(J45="word-digit pairs",18,IF(J45="English-Swahili pairs",19,IF(J45="spatial position",20,IF(J45="word pairs",21,IF(J45="word triads",22,IF(J45="generated words",23,IF(J45="word definition pairs",24,IF(J45="math problems",25,IF(J45="famous faces",26,IF(J45="famous names",27,IF(J45="famous voices",28,IF(J45="television programs",29,IF(J45="race horses",30,IF(J45="new vocabulary",31,IF(J45="sentences",32,IF(J45="concepts",33,IF(J45="ad slides",34,IF(J45="scenes",35,IF(J45="famous scenes",36,IF(J45="poems",37,IF(J45="walk",38,IF(J45="faces and events",39,IF(J45="events and names",40,IF(J45="flashbulb",41,IF(J45="stories",42,IF(J45="course material",43,IF(J45="autobiographical",44,IF(J45="novels",45,IF(J45="public events",46,"99"))))))))))))))))))))))))))))))))))))))))))))))</f>
        <v>9</v>
      </c>
      <c r="L45" s="60">
        <f>IF(J45="syllables",1,IF(J45="trigrams",1,IF(J45="strings",1,IF(J45="visual array",1,IF(J45="characters",1,IF(J45="letters",1,IF(J45="free forms",1,IF(J45="odors",2,IF(J45="words",2,IF(J45="pictures",2,IF(J45="object pictures",2,IF(J45="faces",2,IF(J45="names",2,IF(J45="idioms","2",IF(J45="grades",2,IF(J45="syllable-digit pairs",3,IF(J45="trigram-word pairs",3,IF(J45="word-digit pairs",3,IF(J45="English-Swahili pairs",3,IF(J45="spatial position",3,IF(J45="word pairs",4,IF(J45="word triads",4,IF(J45="generated words",4,IF(J45="word definition pairs",4,IF(J45="math problems",4,IF(J45="famous faces",4,IF(J45="famous names",4,IF(J45="famous voices",4,IF(J45="television programs",4,IF(J45="race horses",4,IF(J45="new vocabulary",4,IF(J45="sentences",5,IF(J45="concepts",5,IF(J45="ad slides",5,IF(J45="scenes",5,IF(J45="famous scenes",5,IF(J45="poems",6,IF(J45="walk",6,IF(J45="faces and events",6,IF(J45="events and names",6,IF(J45="flashbulb",7,IF(J45="stories",7,IF(J45="course material",7,IF(J45="autobiographical",7,IF(J45="novels",7,IF(J45="public events",7,"99"))))))))))))))))))))))))))))))))))))))))))))))</f>
        <v>2</v>
      </c>
      <c r="M45" s="60">
        <v>0</v>
      </c>
      <c r="N45" s="60">
        <v>1</v>
      </c>
      <c r="O45" s="60">
        <v>0</v>
      </c>
      <c r="P45" s="60"/>
      <c r="Q45" s="60" t="s">
        <v>64</v>
      </c>
      <c r="R45" s="60">
        <f>IF(Q45="Free Recall",1,IF(Q45="Cued Recall",2,IF(Q45="Recognition",3,IF(Q45="Multiple Choice",4,IF(Q45="Savings",5,IF(Q45="Stem Completion",6,IF(Q45="Fragment Completion",7,IF(Q45="anagram solution",8,IF(Q45="Matching",9,IF(Q45="Problem Solving",10,"99"))))))))))</f>
        <v>6</v>
      </c>
      <c r="S45" s="60" t="s">
        <v>49</v>
      </c>
      <c r="T45" s="59" t="s">
        <v>581</v>
      </c>
      <c r="U45" s="60">
        <f>IF(T45="within",1,0)</f>
        <v>1</v>
      </c>
      <c r="V45" s="59">
        <v>180</v>
      </c>
      <c r="W45" s="60">
        <f>F45*V45</f>
        <v>5760</v>
      </c>
      <c r="X45" s="60">
        <v>9</v>
      </c>
      <c r="Y45" s="76">
        <f>AV44</f>
        <v>52.8</v>
      </c>
      <c r="Z45" s="60" t="s">
        <v>68</v>
      </c>
      <c r="AA45" s="60">
        <v>4224</v>
      </c>
      <c r="AB45" s="60" t="str">
        <f>IF(AA45&lt;60,"1",IF(AA45&lt;=43200,"2",IF(AA45&lt;=777600,"3","4")))</f>
        <v>2</v>
      </c>
      <c r="AC45" s="56">
        <f>AVERAGE(AV44:DA44)</f>
        <v>1554.6666666666667</v>
      </c>
      <c r="AD45" s="60" t="str">
        <f>IF(AC45&lt;60,"1",IF(AC45&lt;=43200,"2",IF(AC45&lt;=777600,"3","4")))</f>
        <v>2</v>
      </c>
      <c r="AE45" s="76">
        <f>AA45-Y45</f>
        <v>4171.2</v>
      </c>
      <c r="AF45" s="80">
        <f>AV45</f>
        <v>0.675111875646635</v>
      </c>
      <c r="AG45" s="56">
        <f>((AW45-AV45)+(AX45-AW45)+(AY45-AX45)+(AZ45-AY45)+(BA45-AZ45)+(BB45-BA45)+(BC45-BB45)+(BD45-BC45))/8</f>
        <v>-5.1254783540879874E-2</v>
      </c>
      <c r="AH45" s="4"/>
      <c r="AI45" s="56">
        <f>RSQ(AV45:BD45,AV44:BD44)</f>
        <v>0.39758326358304447</v>
      </c>
      <c r="AJ45" s="109">
        <f>SLOPE(AV45:BD45,AV44:BD44)</f>
        <v>-5.7590122394409863E-5</v>
      </c>
      <c r="AK45" s="56">
        <f>INTERCEPT(AV45:BD45,AV44:BD44)</f>
        <v>0.46827180764832377</v>
      </c>
      <c r="AL45" s="56">
        <f>INDEX(LINEST(LN(AV45:BD45),LN(AV44:BD44),TRUE,TRUE),3,1)</f>
        <v>0.82095517721876776</v>
      </c>
      <c r="AM45" s="56">
        <f>INDEX(LINEST(LN(AV45:BD45),LN(AV44:BD44)),1)</f>
        <v>-0.19073528606652271</v>
      </c>
      <c r="AN45" s="56">
        <f>EXP(INDEX(LINEST(LN(AV45:BD45),LN(AV44:BD44)),1,2))</f>
        <v>1.3061550557609947</v>
      </c>
      <c r="AO45" s="82">
        <f>INDEX(LINEST((AV45:BD45),LN(AV44:BD44),TRUE,TRUE),3,1)</f>
        <v>0.81315564131684359</v>
      </c>
      <c r="AP45" s="82">
        <f>INDEX(LINEST((AV45:BD45),LN(AV44:BD44)),1)</f>
        <v>-8.3949594421529605E-2</v>
      </c>
      <c r="AQ45" s="83">
        <f>INDEX(LINEST(LN(AV45:BD45),SQRT(AV44:BD44),TRUE,TRUE),3,1)</f>
        <v>0.61952814662351685</v>
      </c>
      <c r="AR45" s="116">
        <f>INDEX(LINEST(LN(AV45:BD45),SQRT((AV44:BD44))),1)</f>
        <v>-1.2000691113491772E-2</v>
      </c>
      <c r="AS45" s="84">
        <f>INDEX(LINEST(1/(AV45:BD45),1/(SQRT(AV44:BD44)),TRUE,TRUE),3,1)</f>
        <v>0.81190198977152805</v>
      </c>
      <c r="AT45" s="84">
        <f>INDEX(LINEST(1/(AV45:BD45),1/SQRT(AV44:BD44)),1)</f>
        <v>-16.850512281621466</v>
      </c>
      <c r="AU45" s="3"/>
      <c r="AV45" s="53">
        <v>0.675111875646635</v>
      </c>
      <c r="AW45" s="53">
        <v>0.51545691385263503</v>
      </c>
      <c r="AX45" s="53">
        <v>0.37373945127955799</v>
      </c>
      <c r="AY45" s="53">
        <v>0.30916632387220599</v>
      </c>
      <c r="AZ45" s="53">
        <v>0.30126335340239002</v>
      </c>
      <c r="BA45" s="53">
        <v>0.304538598656245</v>
      </c>
      <c r="BB45" s="53">
        <v>0.34630966181768302</v>
      </c>
      <c r="BC45" s="53">
        <v>0.31798549044538299</v>
      </c>
      <c r="BD45" s="53">
        <v>0.26507360731959601</v>
      </c>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1"/>
      <c r="CS45" s="1"/>
      <c r="CT45" s="1"/>
      <c r="CU45" s="1"/>
    </row>
    <row r="46" spans="1:99" s="13" customFormat="1" ht="12" customHeight="1" x14ac:dyDescent="0.2">
      <c r="A46" s="65">
        <v>43509</v>
      </c>
      <c r="B46" s="1"/>
      <c r="C46" s="1"/>
      <c r="D46" s="60"/>
      <c r="E46" s="76"/>
      <c r="F46" s="60"/>
      <c r="G46" s="60"/>
      <c r="H46" s="60"/>
      <c r="I46" s="60"/>
      <c r="J46" s="60"/>
      <c r="K46" s="64"/>
      <c r="L46" s="64"/>
      <c r="M46" s="60"/>
      <c r="N46" s="60"/>
      <c r="O46" s="60"/>
      <c r="P46" s="60"/>
      <c r="Q46" s="60"/>
      <c r="R46" s="60"/>
      <c r="S46" s="60"/>
      <c r="T46" s="59"/>
      <c r="U46" s="60"/>
      <c r="V46" s="59"/>
      <c r="W46" s="60"/>
      <c r="X46" s="60"/>
      <c r="Y46" s="76"/>
      <c r="Z46" s="60"/>
      <c r="AA46" s="60"/>
      <c r="AB46" s="60"/>
      <c r="AC46" s="60"/>
      <c r="AD46" s="60"/>
      <c r="AE46" s="60"/>
      <c r="AF46" s="80"/>
      <c r="AG46" s="56"/>
      <c r="AH46" s="4"/>
      <c r="AI46" s="56"/>
      <c r="AJ46" s="109"/>
      <c r="AK46" s="56"/>
      <c r="AL46" s="56"/>
      <c r="AM46" s="56"/>
      <c r="AN46" s="56"/>
      <c r="AO46" s="56"/>
      <c r="AP46" s="56"/>
      <c r="AQ46" s="82"/>
      <c r="AR46" s="115"/>
      <c r="AS46" s="82"/>
      <c r="AT46" s="82"/>
      <c r="AU46" s="5"/>
      <c r="AV46" s="25">
        <f>60*0.88</f>
        <v>52.8</v>
      </c>
      <c r="AW46" s="25">
        <f>60*3.52</f>
        <v>211.2</v>
      </c>
      <c r="AX46" s="25">
        <f>60*7.04</f>
        <v>422.4</v>
      </c>
      <c r="AY46" s="25">
        <f>60*10.56</f>
        <v>633.6</v>
      </c>
      <c r="AZ46" s="25">
        <f>60*18.48</f>
        <v>1108.8</v>
      </c>
      <c r="BA46" s="25">
        <f>60*29.92</f>
        <v>1795.2</v>
      </c>
      <c r="BB46" s="25">
        <f>60*39.6</f>
        <v>2376</v>
      </c>
      <c r="BC46" s="25">
        <f>60*52.8</f>
        <v>3168</v>
      </c>
      <c r="BD46" s="25">
        <f>60*70.4</f>
        <v>4224</v>
      </c>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53"/>
      <c r="CO46" s="53"/>
      <c r="CP46" s="53"/>
      <c r="CQ46" s="53"/>
      <c r="CR46" s="1"/>
      <c r="CS46" s="1"/>
      <c r="CT46" s="1"/>
      <c r="CU46" s="1"/>
    </row>
    <row r="47" spans="1:99" s="13" customFormat="1" ht="12" customHeight="1" x14ac:dyDescent="0.2">
      <c r="A47" s="65">
        <v>43509</v>
      </c>
      <c r="B47" s="1" t="s">
        <v>247</v>
      </c>
      <c r="C47" s="1" t="s">
        <v>45</v>
      </c>
      <c r="D47" s="60">
        <v>1999</v>
      </c>
      <c r="E47" s="76">
        <v>1</v>
      </c>
      <c r="F47" s="60">
        <v>32</v>
      </c>
      <c r="G47" s="60">
        <v>32</v>
      </c>
      <c r="H47" s="60" t="s">
        <v>41</v>
      </c>
      <c r="I47" s="60" t="s">
        <v>736</v>
      </c>
      <c r="J47" s="60" t="s">
        <v>16</v>
      </c>
      <c r="K47" s="60">
        <f>IF(J47="syllables",1,IF(J47="trigrams",2,IF(J47="strings",3,IF(J47="visual array",4,IF(J47="characters",5,IF(J47="letters",6,IF(J47="free forms",7,IF(J47="odors",8,IF(J47="words",9,IF(J47="pictures",10,IF(J47="object pictures",11,IF(J47="faces",12,IF(J47="names",13,IF(J47="idioms",14,IF(J47="grades",15,IF(J47="syllable-digit pairs",16,IF(J47="trigram-word pairs",17,IF(J47="word-digit pairs",18,IF(J47="English-Swahili pairs",19,IF(J47="spatial position",20,IF(J47="word pairs",21,IF(J47="word triads",22,IF(J47="generated words",23,IF(J47="word definition pairs",24,IF(J47="math problems",25,IF(J47="famous faces",26,IF(J47="famous names",27,IF(J47="famous voices",28,IF(J47="television programs",29,IF(J47="race horses",30,IF(J47="new vocabulary",31,IF(J47="sentences",32,IF(J47="concepts",33,IF(J47="ad slides",34,IF(J47="scenes",35,IF(J47="famous scenes",36,IF(J47="poems",37,IF(J47="walk",38,IF(J47="faces and events",39,IF(J47="events and names",40,IF(J47="flashbulb",41,IF(J47="stories",42,IF(J47="course material",43,IF(J47="autobiographical",44,IF(J47="novels",45,IF(J47="public events",46,"99"))))))))))))))))))))))))))))))))))))))))))))))</f>
        <v>9</v>
      </c>
      <c r="L47" s="60">
        <f>IF(J47="syllables",1,IF(J47="trigrams",1,IF(J47="strings",1,IF(J47="visual array",1,IF(J47="characters",1,IF(J47="letters",1,IF(J47="free forms",1,IF(J47="odors",2,IF(J47="words",2,IF(J47="pictures",2,IF(J47="object pictures",2,IF(J47="faces",2,IF(J47="names",2,IF(J47="idioms","2",IF(J47="grades",2,IF(J47="syllable-digit pairs",3,IF(J47="trigram-word pairs",3,IF(J47="word-digit pairs",3,IF(J47="English-Swahili pairs",3,IF(J47="spatial position",3,IF(J47="word pairs",4,IF(J47="word triads",4,IF(J47="generated words",4,IF(J47="word definition pairs",4,IF(J47="math problems",4,IF(J47="famous faces",4,IF(J47="famous names",4,IF(J47="famous voices",4,IF(J47="television programs",4,IF(J47="race horses",4,IF(J47="new vocabulary",4,IF(J47="sentences",5,IF(J47="concepts",5,IF(J47="ad slides",5,IF(J47="scenes",5,IF(J47="famous scenes",5,IF(J47="poems",6,IF(J47="walk",6,IF(J47="faces and events",6,IF(J47="events and names",6,IF(J47="flashbulb",7,IF(J47="stories",7,IF(J47="course material",7,IF(J47="autobiographical",7,IF(J47="novels",7,IF(J47="public events",7,"99"))))))))))))))))))))))))))))))))))))))))))))))</f>
        <v>2</v>
      </c>
      <c r="M47" s="60">
        <v>0</v>
      </c>
      <c r="N47" s="60">
        <v>1</v>
      </c>
      <c r="O47" s="60">
        <v>0</v>
      </c>
      <c r="P47" s="60"/>
      <c r="Q47" s="60" t="s">
        <v>64</v>
      </c>
      <c r="R47" s="60">
        <f>IF(Q47="Free Recall",1,IF(Q47="Cued Recall",2,IF(Q47="Recognition",3,IF(Q47="Multiple Choice",4,IF(Q47="Savings",5,IF(Q47="Stem Completion",6,IF(Q47="Fragment Completion",7,IF(Q47="anagram solution",8,IF(Q47="Matching",9,IF(Q47="Problem Solving",10,"99"))))))))))</f>
        <v>6</v>
      </c>
      <c r="S47" s="60" t="s">
        <v>49</v>
      </c>
      <c r="T47" s="59" t="s">
        <v>581</v>
      </c>
      <c r="U47" s="60">
        <f>IF(T47="within",1,0)</f>
        <v>1</v>
      </c>
      <c r="V47" s="59">
        <v>180</v>
      </c>
      <c r="W47" s="60">
        <f>F47*V47</f>
        <v>5760</v>
      </c>
      <c r="X47" s="60">
        <v>9</v>
      </c>
      <c r="Y47" s="76">
        <f>AV46</f>
        <v>52.8</v>
      </c>
      <c r="Z47" s="60" t="s">
        <v>68</v>
      </c>
      <c r="AA47" s="60">
        <v>4224</v>
      </c>
      <c r="AB47" s="60" t="str">
        <f>IF(AA47&lt;60,"1",IF(AA47&lt;=43200,"2",IF(AA47&lt;=777600,"3","4")))</f>
        <v>2</v>
      </c>
      <c r="AC47" s="56">
        <f>AVERAGE(AV46:DA46)</f>
        <v>1554.6666666666667</v>
      </c>
      <c r="AD47" s="60" t="str">
        <f>IF(AC47&lt;60,"1",IF(AC47&lt;=43200,"2",IF(AC47&lt;=777600,"3","4")))</f>
        <v>2</v>
      </c>
      <c r="AE47" s="76">
        <f>AA47-Y47</f>
        <v>4171.2</v>
      </c>
      <c r="AF47" s="80">
        <f>AV47</f>
        <v>0.50155815663837</v>
      </c>
      <c r="AG47" s="56">
        <f>((AW47-AV47)+(AX47-AW47)+(AY47-AX47)+(AZ47-AY47)+(BA47-AZ47)+(BB47-BA47)+(BC47-BB47)+(BD47-BC47))/8</f>
        <v>-3.0249273899006494E-2</v>
      </c>
      <c r="AH47" s="4"/>
      <c r="AI47" s="56">
        <f>RSQ(AV47:BD47,AV46:BD46)</f>
        <v>0.26768765388966359</v>
      </c>
      <c r="AJ47" s="109">
        <f>SLOPE(AV47:BD47,AV46:BD46)</f>
        <v>-3.3212806427779019E-5</v>
      </c>
      <c r="AK47" s="56">
        <f>INTERCEPT(AV47:BD47,AV46:BD46)</f>
        <v>0.34497341179935831</v>
      </c>
      <c r="AL47" s="56">
        <f>INDEX(LINEST(LN(AV47:BD47),LN(AV46:BD46),TRUE,TRUE),3,1)</f>
        <v>0.68499199472360295</v>
      </c>
      <c r="AM47" s="56">
        <f>INDEX(LINEST(LN(AV47:BD47),LN(AV46:BD46)),1)</f>
        <v>-0.15658516371995584</v>
      </c>
      <c r="AN47" s="56">
        <f>EXP(INDEX(LINEST(LN(AV47:BD47),LN(AV46:BD46)),1,2))</f>
        <v>0.81072565736884405</v>
      </c>
      <c r="AO47" s="82">
        <f>INDEX(LINEST((AV47:BD47),LN(AV46:BD46),TRUE,TRUE),3,1)</f>
        <v>0.70567157137799008</v>
      </c>
      <c r="AP47" s="82">
        <f>INDEX(LINEST((AV47:BD47),LN(AV46:BD46)),1)</f>
        <v>-5.4965543019159055E-2</v>
      </c>
      <c r="AQ47" s="83">
        <f>INDEX(LINEST(LN(AV47:BD47),SQRT(AV46:BD46),TRUE,TRUE),3,1)</f>
        <v>0.43627427012643355</v>
      </c>
      <c r="AR47" s="116">
        <f>INDEX(LINEST(LN(AV47:BD47),SQRT((AV46:BD46))),1)</f>
        <v>-9.0509064786974333E-3</v>
      </c>
      <c r="AS47" s="84">
        <f>INDEX(LINEST(1/(AV47:BD47),1/(SQRT(AV46:BD46)),TRUE,TRUE),3,1)</f>
        <v>0.77734964797465578</v>
      </c>
      <c r="AT47" s="84">
        <f>INDEX(LINEST(1/(AV47:BD47),1/SQRT(AV46:BD46)),1)</f>
        <v>-18.501117023980193</v>
      </c>
      <c r="AU47" s="3"/>
      <c r="AV47" s="53">
        <v>0.50155815663837</v>
      </c>
      <c r="AW47" s="53">
        <v>0.398373907732196</v>
      </c>
      <c r="AX47" s="53">
        <v>0.249775625444074</v>
      </c>
      <c r="AY47" s="53">
        <v>0.232028221333034</v>
      </c>
      <c r="AZ47" s="53">
        <v>0.27096343941263701</v>
      </c>
      <c r="BA47" s="53">
        <v>0.23842289617690701</v>
      </c>
      <c r="BB47" s="53">
        <v>0.244375054535482</v>
      </c>
      <c r="BC47" s="53">
        <v>0.24498585193772299</v>
      </c>
      <c r="BD47" s="53">
        <v>0.25956396544631799</v>
      </c>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53"/>
      <c r="CO47" s="53"/>
      <c r="CP47" s="53"/>
      <c r="CQ47" s="53"/>
      <c r="CR47" s="1"/>
      <c r="CS47" s="1"/>
      <c r="CT47" s="1"/>
      <c r="CU47" s="1"/>
    </row>
    <row r="48" spans="1:99" s="13" customFormat="1" ht="12" customHeight="1" x14ac:dyDescent="0.2">
      <c r="A48" s="65">
        <v>43509</v>
      </c>
      <c r="B48" s="1"/>
      <c r="C48" s="1"/>
      <c r="D48" s="60"/>
      <c r="E48" s="76"/>
      <c r="F48" s="60"/>
      <c r="G48" s="60"/>
      <c r="H48" s="60"/>
      <c r="I48" s="60"/>
      <c r="J48" s="60"/>
      <c r="K48" s="64"/>
      <c r="L48" s="64"/>
      <c r="M48" s="60"/>
      <c r="N48" s="60"/>
      <c r="O48" s="60"/>
      <c r="P48" s="60"/>
      <c r="Q48" s="60"/>
      <c r="R48" s="60"/>
      <c r="S48" s="60"/>
      <c r="T48" s="60"/>
      <c r="U48" s="60"/>
      <c r="V48" s="60"/>
      <c r="W48" s="60"/>
      <c r="X48" s="60"/>
      <c r="Y48" s="76"/>
      <c r="Z48" s="60"/>
      <c r="AA48" s="60"/>
      <c r="AB48" s="60"/>
      <c r="AC48" s="60"/>
      <c r="AD48" s="60"/>
      <c r="AE48" s="60"/>
      <c r="AF48" s="80"/>
      <c r="AG48" s="56"/>
      <c r="AH48" s="4"/>
      <c r="AI48" s="56"/>
      <c r="AJ48" s="109"/>
      <c r="AK48" s="56"/>
      <c r="AL48" s="56"/>
      <c r="AM48" s="56"/>
      <c r="AN48" s="56"/>
      <c r="AO48" s="56"/>
      <c r="AP48" s="56"/>
      <c r="AQ48" s="82"/>
      <c r="AR48" s="115"/>
      <c r="AS48" s="82"/>
      <c r="AT48" s="82"/>
      <c r="AU48" s="5"/>
      <c r="AV48" s="25">
        <f>60*0.88</f>
        <v>52.8</v>
      </c>
      <c r="AW48" s="25">
        <f>60*3.52</f>
        <v>211.2</v>
      </c>
      <c r="AX48" s="25">
        <f>60*7.04</f>
        <v>422.4</v>
      </c>
      <c r="AY48" s="25">
        <f>60*10.56</f>
        <v>633.6</v>
      </c>
      <c r="AZ48" s="25">
        <f>60*18.48</f>
        <v>1108.8</v>
      </c>
      <c r="BA48" s="25">
        <f>60*29.92</f>
        <v>1795.2</v>
      </c>
      <c r="BB48" s="25">
        <f>60*39.6</f>
        <v>2376</v>
      </c>
      <c r="BC48" s="25">
        <f>60*52.8</f>
        <v>3168</v>
      </c>
      <c r="BD48" s="25">
        <f>60*70.4</f>
        <v>4224</v>
      </c>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53"/>
      <c r="CO48" s="53"/>
      <c r="CP48" s="53"/>
      <c r="CQ48" s="53"/>
      <c r="CR48" s="1"/>
      <c r="CS48" s="1"/>
      <c r="CT48" s="1"/>
      <c r="CU48" s="1"/>
    </row>
    <row r="49" spans="1:99" s="13" customFormat="1" ht="12" customHeight="1" x14ac:dyDescent="0.2">
      <c r="A49" s="65">
        <v>43509</v>
      </c>
      <c r="B49" s="1" t="s">
        <v>247</v>
      </c>
      <c r="C49" s="1" t="s">
        <v>45</v>
      </c>
      <c r="D49" s="60">
        <v>1999</v>
      </c>
      <c r="E49" s="76">
        <v>1</v>
      </c>
      <c r="F49" s="60">
        <v>32</v>
      </c>
      <c r="G49" s="60">
        <v>32</v>
      </c>
      <c r="H49" s="60" t="s">
        <v>41</v>
      </c>
      <c r="I49" s="60" t="s">
        <v>737</v>
      </c>
      <c r="J49" s="60" t="s">
        <v>16</v>
      </c>
      <c r="K49" s="60">
        <f>IF(J49="syllables",1,IF(J49="trigrams",2,IF(J49="strings",3,IF(J49="visual array",4,IF(J49="characters",5,IF(J49="letters",6,IF(J49="free forms",7,IF(J49="odors",8,IF(J49="words",9,IF(J49="pictures",10,IF(J49="object pictures",11,IF(J49="faces",12,IF(J49="names",13,IF(J49="idioms",14,IF(J49="grades",15,IF(J49="syllable-digit pairs",16,IF(J49="trigram-word pairs",17,IF(J49="word-digit pairs",18,IF(J49="English-Swahili pairs",19,IF(J49="spatial position",20,IF(J49="word pairs",21,IF(J49="word triads",22,IF(J49="generated words",23,IF(J49="word definition pairs",24,IF(J49="math problems",25,IF(J49="famous faces",26,IF(J49="famous names",27,IF(J49="famous voices",28,IF(J49="television programs",29,IF(J49="race horses",30,IF(J49="new vocabulary",31,IF(J49="sentences",32,IF(J49="concepts",33,IF(J49="ad slides",34,IF(J49="scenes",35,IF(J49="famous scenes",36,IF(J49="poems",37,IF(J49="walk",38,IF(J49="faces and events",39,IF(J49="events and names",40,IF(J49="flashbulb",41,IF(J49="stories",42,IF(J49="course material",43,IF(J49="autobiographical",44,IF(J49="novels",45,IF(J49="public events",46,"99"))))))))))))))))))))))))))))))))))))))))))))))</f>
        <v>9</v>
      </c>
      <c r="L49" s="60">
        <f>IF(J49="syllables",1,IF(J49="trigrams",1,IF(J49="strings",1,IF(J49="visual array",1,IF(J49="characters",1,IF(J49="letters",1,IF(J49="free forms",1,IF(J49="odors",2,IF(J49="words",2,IF(J49="pictures",2,IF(J49="object pictures",2,IF(J49="faces",2,IF(J49="names",2,IF(J49="idioms","2",IF(J49="grades",2,IF(J49="syllable-digit pairs",3,IF(J49="trigram-word pairs",3,IF(J49="word-digit pairs",3,IF(J49="English-Swahili pairs",3,IF(J49="spatial position",3,IF(J49="word pairs",4,IF(J49="word triads",4,IF(J49="generated words",4,IF(J49="word definition pairs",4,IF(J49="math problems",4,IF(J49="famous faces",4,IF(J49="famous names",4,IF(J49="famous voices",4,IF(J49="television programs",4,IF(J49="race horses",4,IF(J49="new vocabulary",4,IF(J49="sentences",5,IF(J49="concepts",5,IF(J49="ad slides",5,IF(J49="scenes",5,IF(J49="famous scenes",5,IF(J49="poems",6,IF(J49="walk",6,IF(J49="faces and events",6,IF(J49="events and names",6,IF(J49="flashbulb",7,IF(J49="stories",7,IF(J49="course material",7,IF(J49="autobiographical",7,IF(J49="novels",7,IF(J49="public events",7,"99"))))))))))))))))))))))))))))))))))))))))))))))</f>
        <v>2</v>
      </c>
      <c r="M49" s="60">
        <v>0</v>
      </c>
      <c r="N49" s="60">
        <v>1</v>
      </c>
      <c r="O49" s="60">
        <v>0</v>
      </c>
      <c r="P49" s="60"/>
      <c r="Q49" s="60" t="s">
        <v>64</v>
      </c>
      <c r="R49" s="60">
        <f>IF(Q49="Free Recall",1,IF(Q49="Cued Recall",2,IF(Q49="Recognition",3,IF(Q49="Multiple Choice",4,IF(Q49="Savings",5,IF(Q49="Stem Completion",6,IF(Q49="Fragment Completion",7,IF(Q49="anagram solution",8,IF(Q49="Matching",9,IF(Q49="Problem Solving",10,"99"))))))))))</f>
        <v>6</v>
      </c>
      <c r="S49" s="60" t="s">
        <v>49</v>
      </c>
      <c r="T49" s="59" t="s">
        <v>581</v>
      </c>
      <c r="U49" s="60">
        <f>IF(T49="within",1,0)</f>
        <v>1</v>
      </c>
      <c r="V49" s="59">
        <v>180</v>
      </c>
      <c r="W49" s="60">
        <f>F49*V49</f>
        <v>5760</v>
      </c>
      <c r="X49" s="60">
        <v>9</v>
      </c>
      <c r="Y49" s="76">
        <f>AV48</f>
        <v>52.8</v>
      </c>
      <c r="Z49" s="60" t="s">
        <v>68</v>
      </c>
      <c r="AA49" s="60">
        <v>4224</v>
      </c>
      <c r="AB49" s="60" t="str">
        <f>IF(AA49&lt;60,"1",IF(AA49&lt;=43200,"2",IF(AA49&lt;=777600,"3","4")))</f>
        <v>2</v>
      </c>
      <c r="AC49" s="56">
        <f>AVERAGE(AV48:DA48)</f>
        <v>1554.6666666666667</v>
      </c>
      <c r="AD49" s="60" t="str">
        <f>IF(AC49&lt;60,"1",IF(AC49&lt;=43200,"2",IF(AC49&lt;=777600,"3","4")))</f>
        <v>2</v>
      </c>
      <c r="AE49" s="76">
        <f>AA49-Y49</f>
        <v>4171.2</v>
      </c>
      <c r="AF49" s="80">
        <f>AV49</f>
        <v>0.20679231641798401</v>
      </c>
      <c r="AG49" s="56">
        <f>((AW49-AV49)+(AX49-AW49)+(AY49-AX49)+(AZ49-AY49)+(BA49-AZ49)+(BB49-BA49)+(BC49-BB49)+(BD49-BC49))/8</f>
        <v>-7.694567019433253E-3</v>
      </c>
      <c r="AH49" s="4"/>
      <c r="AI49" s="56">
        <f>RSQ(AV49:BD49,AV48:BD48)</f>
        <v>2.1375681095973795E-2</v>
      </c>
      <c r="AJ49" s="109">
        <f>SLOPE(AV49:BD49,AV48:BD48)</f>
        <v>-3.287121151083069E-6</v>
      </c>
      <c r="AK49" s="56">
        <f>INTERCEPT(AV49:BD49,AV48:BD48)</f>
        <v>0.17325729315600225</v>
      </c>
      <c r="AL49" s="56">
        <f>INDEX(LINEST(LN(AV49:BD49),LN(AV48:BD48),TRUE,TRUE),3,1)</f>
        <v>9.5307926813173793E-2</v>
      </c>
      <c r="AM49" s="56">
        <f>INDEX(LINEST(LN(AV49:BD49),LN(AV48:BD48)),1)</f>
        <v>-4.656993122468521E-2</v>
      </c>
      <c r="AN49" s="56">
        <f>EXP(INDEX(LINEST(LN(AV49:BD49),LN(AV48:BD48)),1,2))</f>
        <v>0.22561463686222014</v>
      </c>
      <c r="AO49" s="82">
        <f>INDEX(LINEST((AV49:BD49),LN(AV48:BD48),TRUE,TRUE),3,1)</f>
        <v>9.8777651397519289E-2</v>
      </c>
      <c r="AP49" s="82">
        <f>INDEX(LINEST((AV49:BD49),LN(AV48:BD48)),1)</f>
        <v>-7.2024936871050178E-3</v>
      </c>
      <c r="AQ49" s="83">
        <f>INDEX(LINEST(LN(AV49:BD49),SQRT(AV48:BD48),TRUE,TRUE),3,1)</f>
        <v>4.7854784218713392E-2</v>
      </c>
      <c r="AR49" s="116">
        <f>INDEX(LINEST(LN(AV49:BD49),SQRT((AV48:BD48))),1)</f>
        <v>-2.3900565725873718E-3</v>
      </c>
      <c r="AS49" s="84">
        <f>INDEX(LINEST(1/(AV49:BD49),1/(SQRT(AV48:BD48)),TRUE,TRUE),3,1)</f>
        <v>0.12055394623761148</v>
      </c>
      <c r="AT49" s="84">
        <f>INDEX(LINEST(1/(AV49:BD49),1/SQRT(AV48:BD48)),1)</f>
        <v>-13.281314347420542</v>
      </c>
      <c r="AU49" s="3"/>
      <c r="AV49" s="53">
        <v>0.20679231641798401</v>
      </c>
      <c r="AW49" s="53">
        <v>0.16008501302618899</v>
      </c>
      <c r="AX49" s="53">
        <v>0.176769754309861</v>
      </c>
      <c r="AY49" s="53">
        <v>0.15076100370218001</v>
      </c>
      <c r="AZ49" s="53">
        <v>0.185557757750271</v>
      </c>
      <c r="BA49" s="53">
        <v>0.10343667028159</v>
      </c>
      <c r="BB49" s="53">
        <v>0.17826558468269699</v>
      </c>
      <c r="BC49" s="53">
        <v>0.20641835882477599</v>
      </c>
      <c r="BD49" s="53">
        <v>0.14523578026251799</v>
      </c>
      <c r="BE49" s="53"/>
      <c r="BF49" s="53"/>
      <c r="BG49" s="53"/>
      <c r="BH49" s="53"/>
      <c r="BI49" s="53"/>
      <c r="BJ49" s="53"/>
      <c r="BK49" s="53"/>
      <c r="BL49" s="53"/>
      <c r="BM49" s="53"/>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53"/>
      <c r="CO49" s="53"/>
      <c r="CP49" s="53"/>
      <c r="CQ49" s="53"/>
      <c r="CR49" s="1"/>
      <c r="CS49" s="1"/>
      <c r="CT49" s="1"/>
      <c r="CU49" s="1"/>
    </row>
    <row r="50" spans="1:99" s="13" customFormat="1" ht="12" customHeight="1" x14ac:dyDescent="0.2">
      <c r="A50" s="65">
        <v>43509</v>
      </c>
      <c r="B50" s="1"/>
      <c r="C50" s="1"/>
      <c r="D50" s="60"/>
      <c r="E50" s="76"/>
      <c r="F50" s="60"/>
      <c r="G50" s="60"/>
      <c r="H50" s="60"/>
      <c r="I50" s="60"/>
      <c r="J50" s="60"/>
      <c r="K50" s="64"/>
      <c r="L50" s="64"/>
      <c r="M50" s="60"/>
      <c r="N50" s="60"/>
      <c r="O50" s="60"/>
      <c r="P50" s="60"/>
      <c r="Q50" s="60"/>
      <c r="R50" s="60"/>
      <c r="S50" s="60"/>
      <c r="T50" s="59"/>
      <c r="U50" s="60"/>
      <c r="V50" s="59"/>
      <c r="W50" s="60"/>
      <c r="X50" s="60"/>
      <c r="Y50" s="76"/>
      <c r="Z50" s="60"/>
      <c r="AA50" s="60"/>
      <c r="AB50" s="60"/>
      <c r="AC50" s="60"/>
      <c r="AD50" s="60"/>
      <c r="AE50" s="60"/>
      <c r="AF50" s="80"/>
      <c r="AG50" s="56"/>
      <c r="AH50" s="4"/>
      <c r="AI50" s="56"/>
      <c r="AJ50" s="109"/>
      <c r="AK50" s="56"/>
      <c r="AL50" s="56"/>
      <c r="AM50" s="56"/>
      <c r="AN50" s="56"/>
      <c r="AO50" s="56"/>
      <c r="AP50" s="56"/>
      <c r="AQ50" s="82"/>
      <c r="AR50" s="115"/>
      <c r="AS50" s="82"/>
      <c r="AT50" s="82"/>
      <c r="AU50" s="5"/>
      <c r="AV50" s="25">
        <f>60*0.88</f>
        <v>52.8</v>
      </c>
      <c r="AW50" s="25">
        <f>60*3.52</f>
        <v>211.2</v>
      </c>
      <c r="AX50" s="25">
        <f>60*7.04</f>
        <v>422.4</v>
      </c>
      <c r="AY50" s="25">
        <f>60*10.56</f>
        <v>633.6</v>
      </c>
      <c r="AZ50" s="25">
        <f>60*18.48</f>
        <v>1108.8</v>
      </c>
      <c r="BA50" s="25">
        <f>60*29.92</f>
        <v>1795.2</v>
      </c>
      <c r="BB50" s="25">
        <f>60*39.6</f>
        <v>2376</v>
      </c>
      <c r="BC50" s="25">
        <f>60*52.8</f>
        <v>3168</v>
      </c>
      <c r="BD50" s="25">
        <f>60*70.4</f>
        <v>4224</v>
      </c>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53"/>
      <c r="CO50" s="53"/>
      <c r="CP50" s="53"/>
      <c r="CQ50" s="53"/>
      <c r="CR50" s="1"/>
      <c r="CS50" s="1"/>
      <c r="CT50" s="1"/>
      <c r="CU50" s="1"/>
    </row>
    <row r="51" spans="1:99" s="13" customFormat="1" ht="12" customHeight="1" x14ac:dyDescent="0.2">
      <c r="A51" s="65">
        <v>43509</v>
      </c>
      <c r="B51" s="1" t="s">
        <v>247</v>
      </c>
      <c r="C51" s="1" t="s">
        <v>45</v>
      </c>
      <c r="D51" s="60">
        <v>1999</v>
      </c>
      <c r="E51" s="76">
        <v>1</v>
      </c>
      <c r="F51" s="60">
        <v>32</v>
      </c>
      <c r="G51" s="60">
        <v>32</v>
      </c>
      <c r="H51" s="60" t="s">
        <v>41</v>
      </c>
      <c r="I51" s="60" t="s">
        <v>738</v>
      </c>
      <c r="J51" s="60" t="s">
        <v>16</v>
      </c>
      <c r="K51" s="60">
        <f>IF(J51="syllables",1,IF(J51="trigrams",2,IF(J51="strings",3,IF(J51="visual array",4,IF(J51="characters",5,IF(J51="letters",6,IF(J51="free forms",7,IF(J51="odors",8,IF(J51="words",9,IF(J51="pictures",10,IF(J51="object pictures",11,IF(J51="faces",12,IF(J51="names",13,IF(J51="idioms",14,IF(J51="grades",15,IF(J51="syllable-digit pairs",16,IF(J51="trigram-word pairs",17,IF(J51="word-digit pairs",18,IF(J51="English-Swahili pairs",19,IF(J51="spatial position",20,IF(J51="word pairs",21,IF(J51="word triads",22,IF(J51="generated words",23,IF(J51="word definition pairs",24,IF(J51="math problems",25,IF(J51="famous faces",26,IF(J51="famous names",27,IF(J51="famous voices",28,IF(J51="television programs",29,IF(J51="race horses",30,IF(J51="new vocabulary",31,IF(J51="sentences",32,IF(J51="concepts",33,IF(J51="ad slides",34,IF(J51="scenes",35,IF(J51="famous scenes",36,IF(J51="poems",37,IF(J51="walk",38,IF(J51="faces and events",39,IF(J51="events and names",40,IF(J51="flashbulb",41,IF(J51="stories",42,IF(J51="course material",43,IF(J51="autobiographical",44,IF(J51="novels",45,IF(J51="public events",46,"99"))))))))))))))))))))))))))))))))))))))))))))))</f>
        <v>9</v>
      </c>
      <c r="L51" s="60">
        <f>IF(J51="syllables",1,IF(J51="trigrams",1,IF(J51="strings",1,IF(J51="visual array",1,IF(J51="characters",1,IF(J51="letters",1,IF(J51="free forms",1,IF(J51="odors",2,IF(J51="words",2,IF(J51="pictures",2,IF(J51="object pictures",2,IF(J51="faces",2,IF(J51="names",2,IF(J51="idioms","2",IF(J51="grades",2,IF(J51="syllable-digit pairs",3,IF(J51="trigram-word pairs",3,IF(J51="word-digit pairs",3,IF(J51="English-Swahili pairs",3,IF(J51="spatial position",3,IF(J51="word pairs",4,IF(J51="word triads",4,IF(J51="generated words",4,IF(J51="word definition pairs",4,IF(J51="math problems",4,IF(J51="famous faces",4,IF(J51="famous names",4,IF(J51="famous voices",4,IF(J51="television programs",4,IF(J51="race horses",4,IF(J51="new vocabulary",4,IF(J51="sentences",5,IF(J51="concepts",5,IF(J51="ad slides",5,IF(J51="scenes",5,IF(J51="famous scenes",5,IF(J51="poems",6,IF(J51="walk",6,IF(J51="faces and events",6,IF(J51="events and names",6,IF(J51="flashbulb",7,IF(J51="stories",7,IF(J51="course material",7,IF(J51="autobiographical",7,IF(J51="novels",7,IF(J51="public events",7,"99"))))))))))))))))))))))))))))))))))))))))))))))</f>
        <v>2</v>
      </c>
      <c r="M51" s="60">
        <v>0</v>
      </c>
      <c r="N51" s="60">
        <v>1</v>
      </c>
      <c r="O51" s="60">
        <v>0</v>
      </c>
      <c r="P51" s="60"/>
      <c r="Q51" s="60" t="s">
        <v>64</v>
      </c>
      <c r="R51" s="60">
        <f>IF(Q51="Free Recall",1,IF(Q51="Cued Recall",2,IF(Q51="Recognition",3,IF(Q51="Multiple Choice",4,IF(Q51="Savings",5,IF(Q51="Stem Completion",6,IF(Q51="Fragment Completion",7,IF(Q51="anagram solution",8,IF(Q51="Matching",9,IF(Q51="Problem Solving",10,"99"))))))))))</f>
        <v>6</v>
      </c>
      <c r="S51" s="60" t="s">
        <v>49</v>
      </c>
      <c r="T51" s="59" t="s">
        <v>581</v>
      </c>
      <c r="U51" s="60">
        <f>IF(T51="within",1,0)</f>
        <v>1</v>
      </c>
      <c r="V51" s="59">
        <v>180</v>
      </c>
      <c r="W51" s="60">
        <f>F51*V51</f>
        <v>5760</v>
      </c>
      <c r="X51" s="60">
        <v>9</v>
      </c>
      <c r="Y51" s="76">
        <f>AV50</f>
        <v>52.8</v>
      </c>
      <c r="Z51" s="60" t="s">
        <v>68</v>
      </c>
      <c r="AA51" s="60">
        <v>4224</v>
      </c>
      <c r="AB51" s="60" t="str">
        <f>IF(AA51&lt;60,"1",IF(AA51&lt;=43200,"2",IF(AA51&lt;=777600,"3","4")))</f>
        <v>2</v>
      </c>
      <c r="AC51" s="56">
        <f>AVERAGE(AV50:DA50)</f>
        <v>1554.6666666666667</v>
      </c>
      <c r="AD51" s="60" t="str">
        <f>IF(AC51&lt;60,"1",IF(AC51&lt;=43200,"2",IF(AC51&lt;=777600,"3","4")))</f>
        <v>2</v>
      </c>
      <c r="AE51" s="76">
        <f>AA51-Y51</f>
        <v>4171.2</v>
      </c>
      <c r="AF51" s="80">
        <f>AV51</f>
        <v>0.328004437630106</v>
      </c>
      <c r="AG51" s="56">
        <f>((AW51-AV51)+(AX51-AW51)+(AY51-AX51)+(AZ51-AY51)+(BA51-AZ51)+(BB51-BA51)+(BC51-BB51)+(BD51-BC51))/8</f>
        <v>-2.0091261234309377E-2</v>
      </c>
      <c r="AH51" s="4"/>
      <c r="AI51" s="56">
        <f>RSQ(AV51:BD51,AV50:BD50)</f>
        <v>0.57789981511899402</v>
      </c>
      <c r="AJ51" s="109">
        <f>SLOPE(AV51:BD51,AV50:BD50)</f>
        <v>-2.7497725717648903E-5</v>
      </c>
      <c r="AK51" s="56">
        <f>INTERCEPT(AV51:BD51,AV50:BD50)</f>
        <v>0.26124767918185704</v>
      </c>
      <c r="AL51" s="56">
        <f>INDEX(LINEST(LN(AV51:BD51),LN(AV50:BD50),TRUE,TRUE),3,1)</f>
        <v>0.84950715423643408</v>
      </c>
      <c r="AM51" s="56">
        <f>INDEX(LINEST(LN(AV51:BD51),LN(AV50:BD50)),1)</f>
        <v>-0.14891790493837317</v>
      </c>
      <c r="AN51" s="56">
        <f>EXP(INDEX(LINEST(LN(AV51:BD51),LN(AV50:BD50)),1,2))</f>
        <v>0.58044119745598721</v>
      </c>
      <c r="AO51" s="82">
        <f>INDEX(LINEST((AV51:BD51),LN(AV50:BD50),TRUE,TRUE),3,1)</f>
        <v>0.88544006718890833</v>
      </c>
      <c r="AP51" s="82">
        <f>INDEX(LINEST((AV51:BD51),LN(AV50:BD50)),1)</f>
        <v>-3.4693482125625251E-2</v>
      </c>
      <c r="AQ51" s="83">
        <f>INDEX(LINEST(LN(AV51:BD51),SQRT(AV50:BD50),TRUE,TRUE),3,1)</f>
        <v>0.75146650590043984</v>
      </c>
      <c r="AR51" s="116">
        <f>INDEX(LINEST(LN(AV51:BD51),SQRT((AV50:BD50))),1)</f>
        <v>-1.0144312650974947E-2</v>
      </c>
      <c r="AS51" s="84">
        <f>INDEX(LINEST(1/(AV51:BD51),1/(SQRT(AV50:BD50)),TRUE,TRUE),3,1)</f>
        <v>0.6814319380134134</v>
      </c>
      <c r="AT51" s="84">
        <f>INDEX(LINEST(1/(AV51:BD51),1/SQRT(AV50:BD50)),1)</f>
        <v>-22.601497269375209</v>
      </c>
      <c r="AU51" s="3"/>
      <c r="AV51" s="53">
        <v>0.328004437630106</v>
      </c>
      <c r="AW51" s="53">
        <v>0.253742692245366</v>
      </c>
      <c r="AX51" s="53">
        <v>0.23737893122919801</v>
      </c>
      <c r="AY51" s="53">
        <v>0.219631527118158</v>
      </c>
      <c r="AZ51" s="53">
        <v>0.22413148348977199</v>
      </c>
      <c r="BA51" s="53">
        <v>0.15440085760941299</v>
      </c>
      <c r="BB51" s="53">
        <v>0.20029791954925599</v>
      </c>
      <c r="BC51" s="53">
        <v>0.18161873776847001</v>
      </c>
      <c r="BD51" s="53">
        <v>0.16727434775563099</v>
      </c>
      <c r="BE51" s="53"/>
      <c r="BF51" s="53"/>
      <c r="BG51" s="53"/>
      <c r="BH51" s="53"/>
      <c r="BI51" s="53"/>
      <c r="BJ51" s="53"/>
      <c r="BK51" s="53"/>
      <c r="BL51" s="53"/>
      <c r="BM51" s="53"/>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53"/>
      <c r="CO51" s="53"/>
      <c r="CP51" s="53"/>
      <c r="CQ51" s="53"/>
      <c r="CR51" s="1"/>
      <c r="CS51" s="1"/>
      <c r="CT51" s="1"/>
      <c r="CU51" s="1"/>
    </row>
    <row r="52" spans="1:99" s="13" customFormat="1" ht="12" customHeight="1" x14ac:dyDescent="0.2">
      <c r="A52" s="65">
        <v>43509</v>
      </c>
      <c r="B52" s="1"/>
      <c r="C52" s="1"/>
      <c r="D52" s="60"/>
      <c r="E52" s="76"/>
      <c r="F52" s="60"/>
      <c r="G52" s="60"/>
      <c r="H52" s="60"/>
      <c r="I52" s="60"/>
      <c r="J52" s="60"/>
      <c r="K52" s="64"/>
      <c r="L52" s="64"/>
      <c r="M52" s="60"/>
      <c r="N52" s="60"/>
      <c r="O52" s="60"/>
      <c r="P52" s="60"/>
      <c r="Q52" s="60"/>
      <c r="R52" s="60"/>
      <c r="S52" s="60"/>
      <c r="T52" s="60"/>
      <c r="U52" s="60"/>
      <c r="V52" s="60"/>
      <c r="W52" s="60"/>
      <c r="X52" s="60"/>
      <c r="Y52" s="76"/>
      <c r="Z52" s="60"/>
      <c r="AA52" s="60"/>
      <c r="AB52" s="60"/>
      <c r="AC52" s="60"/>
      <c r="AD52" s="60"/>
      <c r="AE52" s="60"/>
      <c r="AF52" s="80"/>
      <c r="AG52" s="56"/>
      <c r="AH52" s="4"/>
      <c r="AI52" s="56"/>
      <c r="AJ52" s="109"/>
      <c r="AK52" s="56"/>
      <c r="AL52" s="56"/>
      <c r="AM52" s="56"/>
      <c r="AN52" s="56"/>
      <c r="AO52" s="56"/>
      <c r="AP52" s="56"/>
      <c r="AQ52" s="82"/>
      <c r="AR52" s="115"/>
      <c r="AS52" s="82"/>
      <c r="AT52" s="82"/>
      <c r="AU52" s="4"/>
      <c r="AV52" s="25">
        <f>60*0.85</f>
        <v>51</v>
      </c>
      <c r="AW52" s="25">
        <f>60*2.55</f>
        <v>153</v>
      </c>
      <c r="AX52" s="25">
        <f>60*5.1</f>
        <v>306</v>
      </c>
      <c r="AY52" s="25">
        <f>60*7.65</f>
        <v>459</v>
      </c>
      <c r="AZ52" s="25">
        <f>60*10.2</f>
        <v>612</v>
      </c>
      <c r="BA52" s="25">
        <f>60*12.75</f>
        <v>765</v>
      </c>
      <c r="BB52" s="53"/>
      <c r="BC52" s="53"/>
      <c r="BD52" s="53"/>
      <c r="BE52" s="53"/>
      <c r="BF52" s="53"/>
      <c r="BG52" s="53"/>
      <c r="BH52" s="53"/>
      <c r="BI52" s="53"/>
      <c r="BJ52" s="53"/>
      <c r="BK52" s="53"/>
      <c r="BL52" s="53"/>
      <c r="BM52" s="53"/>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53"/>
      <c r="CO52" s="53"/>
      <c r="CP52" s="53"/>
      <c r="CQ52" s="53"/>
      <c r="CR52" s="1"/>
      <c r="CS52" s="1"/>
      <c r="CT52" s="1"/>
      <c r="CU52" s="1"/>
    </row>
    <row r="53" spans="1:99" s="13" customFormat="1" ht="12" customHeight="1" x14ac:dyDescent="0.2">
      <c r="A53" s="65">
        <v>43509</v>
      </c>
      <c r="B53" s="1" t="s">
        <v>247</v>
      </c>
      <c r="C53" s="1" t="s">
        <v>45</v>
      </c>
      <c r="D53" s="60">
        <v>1999</v>
      </c>
      <c r="E53" s="76">
        <v>2</v>
      </c>
      <c r="F53" s="60">
        <v>25</v>
      </c>
      <c r="G53" s="60">
        <v>25</v>
      </c>
      <c r="H53" s="60" t="s">
        <v>769</v>
      </c>
      <c r="I53" s="60" t="s">
        <v>735</v>
      </c>
      <c r="J53" s="60" t="s">
        <v>16</v>
      </c>
      <c r="K53" s="60">
        <f>IF(J53="syllables",1,IF(J53="trigrams",2,IF(J53="strings",3,IF(J53="visual array",4,IF(J53="characters",5,IF(J53="letters",6,IF(J53="free forms",7,IF(J53="odors",8,IF(J53="words",9,IF(J53="pictures",10,IF(J53="object pictures",11,IF(J53="faces",12,IF(J53="names",13,IF(J53="idioms",14,IF(J53="grades",15,IF(J53="syllable-digit pairs",16,IF(J53="trigram-word pairs",17,IF(J53="word-digit pairs",18,IF(J53="English-Swahili pairs",19,IF(J53="spatial position",20,IF(J53="word pairs",21,IF(J53="word triads",22,IF(J53="generated words",23,IF(J53="word definition pairs",24,IF(J53="math problems",25,IF(J53="famous faces",26,IF(J53="famous names",27,IF(J53="famous voices",28,IF(J53="television programs",29,IF(J53="race horses",30,IF(J53="new vocabulary",31,IF(J53="sentences",32,IF(J53="concepts",33,IF(J53="ad slides",34,IF(J53="scenes",35,IF(J53="famous scenes",36,IF(J53="poems",37,IF(J53="walk",38,IF(J53="faces and events",39,IF(J53="events and names",40,IF(J53="flashbulb",41,IF(J53="stories",42,IF(J53="course material",43,IF(J53="autobiographical",44,IF(J53="novels",45,IF(J53="public events",46,"99"))))))))))))))))))))))))))))))))))))))))))))))</f>
        <v>9</v>
      </c>
      <c r="L53" s="60">
        <f>IF(J53="syllables",1,IF(J53="trigrams",1,IF(J53="strings",1,IF(J53="visual array",1,IF(J53="characters",1,IF(J53="letters",1,IF(J53="free forms",1,IF(J53="odors",2,IF(J53="words",2,IF(J53="pictures",2,IF(J53="object pictures",2,IF(J53="faces",2,IF(J53="names",2,IF(J53="idioms","2",IF(J53="grades",2,IF(J53="syllable-digit pairs",3,IF(J53="trigram-word pairs",3,IF(J53="word-digit pairs",3,IF(J53="English-Swahili pairs",3,IF(J53="spatial position",3,IF(J53="word pairs",4,IF(J53="word triads",4,IF(J53="generated words",4,IF(J53="word definition pairs",4,IF(J53="math problems",4,IF(J53="famous faces",4,IF(J53="famous names",4,IF(J53="famous voices",4,IF(J53="television programs",4,IF(J53="race horses",4,IF(J53="new vocabulary",4,IF(J53="sentences",5,IF(J53="concepts",5,IF(J53="ad slides",5,IF(J53="scenes",5,IF(J53="famous scenes",5,IF(J53="poems",6,IF(J53="walk",6,IF(J53="faces and events",6,IF(J53="events and names",6,IF(J53="flashbulb",7,IF(J53="stories",7,IF(J53="course material",7,IF(J53="autobiographical",7,IF(J53="novels",7,IF(J53="public events",7,"99"))))))))))))))))))))))))))))))))))))))))))))))</f>
        <v>2</v>
      </c>
      <c r="M53" s="60">
        <v>0</v>
      </c>
      <c r="N53" s="60">
        <v>1</v>
      </c>
      <c r="O53" s="60">
        <v>0</v>
      </c>
      <c r="P53" s="60"/>
      <c r="Q53" s="60" t="s">
        <v>64</v>
      </c>
      <c r="R53" s="60">
        <f>IF(Q53="Free Recall",1,IF(Q53="Cued Recall",2,IF(Q53="Recognition",3,IF(Q53="Multiple Choice",4,IF(Q53="Savings",5,IF(Q53="Stem Completion",6,IF(Q53="Fragment Completion",7,IF(Q53="anagram solution",8,IF(Q53="Matching",9,IF(Q53="Problem Solving",10,"99"))))))))))</f>
        <v>6</v>
      </c>
      <c r="S53" s="60" t="s">
        <v>49</v>
      </c>
      <c r="T53" s="59" t="s">
        <v>581</v>
      </c>
      <c r="U53" s="60">
        <f>IF(T53="within",1,0)</f>
        <v>1</v>
      </c>
      <c r="V53" s="59">
        <v>180</v>
      </c>
      <c r="W53" s="60">
        <f>F53*V53</f>
        <v>4500</v>
      </c>
      <c r="X53" s="60">
        <v>6</v>
      </c>
      <c r="Y53" s="76">
        <f>AV52</f>
        <v>51</v>
      </c>
      <c r="Z53" s="60" t="s">
        <v>69</v>
      </c>
      <c r="AA53" s="60">
        <v>765</v>
      </c>
      <c r="AB53" s="60" t="str">
        <f>IF(AA53&lt;60,"1",IF(AA53&lt;=43200,"2",IF(AA53&lt;=777600,"3","4")))</f>
        <v>2</v>
      </c>
      <c r="AC53" s="56">
        <f>AVERAGE(AV52:DA52)</f>
        <v>391</v>
      </c>
      <c r="AD53" s="60" t="str">
        <f>IF(AC53&lt;60,"1",IF(AC53&lt;=43200,"2",IF(AC53&lt;=777600,"3","4")))</f>
        <v>2</v>
      </c>
      <c r="AE53" s="76">
        <f>AA53-Y53</f>
        <v>714</v>
      </c>
      <c r="AF53" s="80">
        <f>AV53</f>
        <v>0.65440439093830804</v>
      </c>
      <c r="AG53" s="56">
        <f>((AW53-AV53)+(AX53-AW53)+(AY53-AX53)+(AZ53-AY53)+(BA53-AZ53))/5</f>
        <v>-6.6926587777185409E-2</v>
      </c>
      <c r="AH53" s="4"/>
      <c r="AI53" s="56">
        <f>RSQ(AV53:BA53,AV52:BA52)</f>
        <v>0.73542813598814294</v>
      </c>
      <c r="AJ53" s="109">
        <f>SLOPE(AV53:BA53,AV52:BA52)</f>
        <v>-4.5419039937949143E-4</v>
      </c>
      <c r="AK53" s="56">
        <f>INTERCEPT(AV53:BA53,AV52:BA52)</f>
        <v>0.59012270959737312</v>
      </c>
      <c r="AL53" s="56">
        <f>INDEX(LINEST(LN(AV53:BA53),LN(AV52:BA52),TRUE,TRUE),3,1)</f>
        <v>0.91837595205787137</v>
      </c>
      <c r="AM53" s="56">
        <f>INDEX(LINEST(LN(AV53:BA53),LN(AV52:BA52)),1)</f>
        <v>-0.30475135206540238</v>
      </c>
      <c r="AN53" s="56">
        <f>EXP(INDEX(LINEST(LN(AV53:BA53),LN(AV52:BA52)),1,2))</f>
        <v>2.2014195339278282</v>
      </c>
      <c r="AO53" s="82">
        <f>INDEX(LINEST((AV53:BA53),LN(AV52:BA52),TRUE,TRUE),3,1)</f>
        <v>0.93296604937998584</v>
      </c>
      <c r="AP53" s="82">
        <f>INDEX(LINEST((AV53:BA53),LN(AV52:BA52)),1)</f>
        <v>-0.1377929917236897</v>
      </c>
      <c r="AQ53" s="83">
        <f>INDEX(LINEST(LN(AV53:BA53),SQRT(AV52:BA52),TRUE,TRUE),3,1)</f>
        <v>0.8663688155877366</v>
      </c>
      <c r="AR53" s="116">
        <f>INDEX(LINEST(LN(AV53:BA53),SQRT((AV52:BA52))),1)</f>
        <v>-3.8805615640286485E-2</v>
      </c>
      <c r="AS53" s="84">
        <f>INDEX(LINEST(1/(AV53:BA53),1/(SQRT(AV52:BA52)),TRUE,TRUE),3,1)</f>
        <v>0.84023965909410514</v>
      </c>
      <c r="AT53" s="84">
        <f>INDEX(LINEST(1/(AV53:BA53),1/SQRT(AV52:BA52)),1)</f>
        <v>-17.711340349532467</v>
      </c>
      <c r="AU53" s="3"/>
      <c r="AV53" s="53">
        <v>0.65440439093830804</v>
      </c>
      <c r="AW53" s="53">
        <v>0.52407531515842298</v>
      </c>
      <c r="AX53" s="53">
        <v>0.339495453011187</v>
      </c>
      <c r="AY53" s="53">
        <v>0.35107939008223199</v>
      </c>
      <c r="AZ53" s="53">
        <v>0.28637957939741998</v>
      </c>
      <c r="BA53" s="53">
        <v>0.319771452052381</v>
      </c>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1"/>
      <c r="CS53" s="1"/>
      <c r="CT53" s="1"/>
      <c r="CU53" s="1"/>
    </row>
    <row r="54" spans="1:99" s="13" customFormat="1" ht="12" customHeight="1" x14ac:dyDescent="0.2">
      <c r="A54" s="65">
        <v>43509</v>
      </c>
      <c r="B54" s="1"/>
      <c r="C54" s="1"/>
      <c r="D54" s="60"/>
      <c r="E54" s="76"/>
      <c r="F54" s="60"/>
      <c r="G54" s="60"/>
      <c r="H54" s="60"/>
      <c r="I54" s="60"/>
      <c r="J54" s="60"/>
      <c r="K54" s="64"/>
      <c r="L54" s="64"/>
      <c r="M54" s="60"/>
      <c r="N54" s="60"/>
      <c r="O54" s="60"/>
      <c r="P54" s="60"/>
      <c r="Q54" s="60"/>
      <c r="R54" s="60"/>
      <c r="S54" s="60"/>
      <c r="T54" s="59"/>
      <c r="U54" s="60"/>
      <c r="V54" s="59"/>
      <c r="W54" s="60"/>
      <c r="X54" s="60"/>
      <c r="Y54" s="76"/>
      <c r="Z54" s="60"/>
      <c r="AA54" s="60"/>
      <c r="AB54" s="60"/>
      <c r="AC54" s="60"/>
      <c r="AD54" s="60"/>
      <c r="AE54" s="60"/>
      <c r="AF54" s="80"/>
      <c r="AG54" s="56"/>
      <c r="AH54" s="4"/>
      <c r="AI54" s="56"/>
      <c r="AJ54" s="109"/>
      <c r="AK54" s="56"/>
      <c r="AL54" s="56"/>
      <c r="AM54" s="56"/>
      <c r="AN54" s="56"/>
      <c r="AO54" s="56"/>
      <c r="AP54" s="56"/>
      <c r="AQ54" s="56"/>
      <c r="AR54" s="109"/>
      <c r="AS54" s="56"/>
      <c r="AT54" s="56"/>
      <c r="AU54" s="5"/>
      <c r="AV54" s="25">
        <f>60*0.85</f>
        <v>51</v>
      </c>
      <c r="AW54" s="25">
        <f>60*2.55</f>
        <v>153</v>
      </c>
      <c r="AX54" s="25">
        <f>60*5.1</f>
        <v>306</v>
      </c>
      <c r="AY54" s="25">
        <f>60*7.65</f>
        <v>459</v>
      </c>
      <c r="AZ54" s="25">
        <f>60*10.2</f>
        <v>612</v>
      </c>
      <c r="BA54" s="25">
        <f>60*12.75</f>
        <v>765</v>
      </c>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1"/>
      <c r="CS54" s="1"/>
      <c r="CT54" s="1"/>
      <c r="CU54" s="1"/>
    </row>
    <row r="55" spans="1:99" s="13" customFormat="1" ht="12" customHeight="1" x14ac:dyDescent="0.2">
      <c r="A55" s="65">
        <v>43509</v>
      </c>
      <c r="B55" s="1" t="s">
        <v>247</v>
      </c>
      <c r="C55" s="1" t="s">
        <v>45</v>
      </c>
      <c r="D55" s="60">
        <v>1999</v>
      </c>
      <c r="E55" s="76">
        <v>2</v>
      </c>
      <c r="F55" s="60">
        <v>25</v>
      </c>
      <c r="G55" s="60">
        <v>25</v>
      </c>
      <c r="H55" s="60" t="s">
        <v>769</v>
      </c>
      <c r="I55" s="60" t="s">
        <v>736</v>
      </c>
      <c r="J55" s="60" t="s">
        <v>16</v>
      </c>
      <c r="K55" s="60">
        <f>IF(J55="syllables",1,IF(J55="trigrams",2,IF(J55="strings",3,IF(J55="visual array",4,IF(J55="characters",5,IF(J55="letters",6,IF(J55="free forms",7,IF(J55="odors",8,IF(J55="words",9,IF(J55="pictures",10,IF(J55="object pictures",11,IF(J55="faces",12,IF(J55="names",13,IF(J55="idioms",14,IF(J55="grades",15,IF(J55="syllable-digit pairs",16,IF(J55="trigram-word pairs",17,IF(J55="word-digit pairs",18,IF(J55="English-Swahili pairs",19,IF(J55="spatial position",20,IF(J55="word pairs",21,IF(J55="word triads",22,IF(J55="generated words",23,IF(J55="word definition pairs",24,IF(J55="math problems",25,IF(J55="famous faces",26,IF(J55="famous names",27,IF(J55="famous voices",28,IF(J55="television programs",29,IF(J55="race horses",30,IF(J55="new vocabulary",31,IF(J55="sentences",32,IF(J55="concepts",33,IF(J55="ad slides",34,IF(J55="scenes",35,IF(J55="famous scenes",36,IF(J55="poems",37,IF(J55="walk",38,IF(J55="faces and events",39,IF(J55="events and names",40,IF(J55="flashbulb",41,IF(J55="stories",42,IF(J55="course material",43,IF(J55="autobiographical",44,IF(J55="novels",45,IF(J55="public events",46,"99"))))))))))))))))))))))))))))))))))))))))))))))</f>
        <v>9</v>
      </c>
      <c r="L55" s="60">
        <f>IF(J55="syllables",1,IF(J55="trigrams",1,IF(J55="strings",1,IF(J55="visual array",1,IF(J55="characters",1,IF(J55="letters",1,IF(J55="free forms",1,IF(J55="odors",2,IF(J55="words",2,IF(J55="pictures",2,IF(J55="object pictures",2,IF(J55="faces",2,IF(J55="names",2,IF(J55="idioms","2",IF(J55="grades",2,IF(J55="syllable-digit pairs",3,IF(J55="trigram-word pairs",3,IF(J55="word-digit pairs",3,IF(J55="English-Swahili pairs",3,IF(J55="spatial position",3,IF(J55="word pairs",4,IF(J55="word triads",4,IF(J55="generated words",4,IF(J55="word definition pairs",4,IF(J55="math problems",4,IF(J55="famous faces",4,IF(J55="famous names",4,IF(J55="famous voices",4,IF(J55="television programs",4,IF(J55="race horses",4,IF(J55="new vocabulary",4,IF(J55="sentences",5,IF(J55="concepts",5,IF(J55="ad slides",5,IF(J55="scenes",5,IF(J55="famous scenes",5,IF(J55="poems",6,IF(J55="walk",6,IF(J55="faces and events",6,IF(J55="events and names",6,IF(J55="flashbulb",7,IF(J55="stories",7,IF(J55="course material",7,IF(J55="autobiographical",7,IF(J55="novels",7,IF(J55="public events",7,"99"))))))))))))))))))))))))))))))))))))))))))))))</f>
        <v>2</v>
      </c>
      <c r="M55" s="60">
        <v>0</v>
      </c>
      <c r="N55" s="60">
        <v>1</v>
      </c>
      <c r="O55" s="60">
        <v>0</v>
      </c>
      <c r="P55" s="60"/>
      <c r="Q55" s="60" t="s">
        <v>64</v>
      </c>
      <c r="R55" s="60">
        <f>IF(Q55="Free Recall",1,IF(Q55="Cued Recall",2,IF(Q55="Recognition",3,IF(Q55="Multiple Choice",4,IF(Q55="Savings",5,IF(Q55="Stem Completion",6,IF(Q55="Fragment Completion",7,IF(Q55="anagram solution",8,IF(Q55="Matching",9,IF(Q55="Problem Solving",10,"99"))))))))))</f>
        <v>6</v>
      </c>
      <c r="S55" s="60" t="s">
        <v>49</v>
      </c>
      <c r="T55" s="59" t="s">
        <v>581</v>
      </c>
      <c r="U55" s="60">
        <f>IF(T55="within",1,0)</f>
        <v>1</v>
      </c>
      <c r="V55" s="59">
        <v>180</v>
      </c>
      <c r="W55" s="60">
        <f>F55*V55</f>
        <v>4500</v>
      </c>
      <c r="X55" s="60">
        <v>6</v>
      </c>
      <c r="Y55" s="76">
        <f>AV54</f>
        <v>51</v>
      </c>
      <c r="Z55" s="60" t="s">
        <v>69</v>
      </c>
      <c r="AA55" s="60">
        <v>765</v>
      </c>
      <c r="AB55" s="60" t="str">
        <f>IF(AA55&lt;60,"1",IF(AA55&lt;=43200,"2",IF(AA55&lt;=777600,"3","4")))</f>
        <v>2</v>
      </c>
      <c r="AC55" s="56">
        <f>AVERAGE(AV54:DA54)</f>
        <v>391</v>
      </c>
      <c r="AD55" s="60" t="str">
        <f>IF(AC55&lt;60,"1",IF(AC55&lt;=43200,"2",IF(AC55&lt;=777600,"3","4")))</f>
        <v>2</v>
      </c>
      <c r="AE55" s="76">
        <f>AA55-Y55</f>
        <v>714</v>
      </c>
      <c r="AF55" s="80">
        <f>AV55</f>
        <v>0.60263378028676096</v>
      </c>
      <c r="AG55" s="56">
        <f>((AW55-AV55)+(AX55-AW55)+(AY55-AX55)+(AZ55-AY55)+(BA55-AZ55))/5</f>
        <v>-6.9377901487616384E-2</v>
      </c>
      <c r="AH55" s="4"/>
      <c r="AI55" s="56">
        <f>RSQ(AV55:BA55,AV54:BA54)</f>
        <v>0.70818549260499519</v>
      </c>
      <c r="AJ55" s="109">
        <f>SLOPE(AV55:BA55,AV54:BA54)</f>
        <v>-4.3206636408438682E-4</v>
      </c>
      <c r="AK55" s="56">
        <f>INTERCEPT(AV55:BA55,AV54:BA54)</f>
        <v>0.51925828400418039</v>
      </c>
      <c r="AL55" s="56">
        <f>INDEX(LINEST(LN(AV55:BA55),LN(AV54:BA54),TRUE,TRUE),3,1)</f>
        <v>0.95282467639303337</v>
      </c>
      <c r="AM55" s="56">
        <f>INDEX(LINEST(LN(AV55:BA55),LN(AV54:BA54)),1)</f>
        <v>-0.34061755633118523</v>
      </c>
      <c r="AN55" s="56">
        <f>EXP(INDEX(LINEST(LN(AV55:BA55),LN(AV54:BA54)),1,2))</f>
        <v>2.2642765376595708</v>
      </c>
      <c r="AO55" s="82">
        <f>INDEX(LINEST((AV55:BA55),LN(AV54:BA54),TRUE,TRUE),3,1)</f>
        <v>0.94400157161077414</v>
      </c>
      <c r="AP55" s="82">
        <f>INDEX(LINEST((AV55:BA55),LN(AV54:BA54)),1)</f>
        <v>-0.13436609140778485</v>
      </c>
      <c r="AQ55" s="83">
        <f>INDEX(LINEST(LN(AV55:BA55),SQRT(AV54:BA54),TRUE,TRUE),3,1)</f>
        <v>0.88065508558406047</v>
      </c>
      <c r="AR55" s="116">
        <f>INDEX(LINEST(LN(AV55:BA55),SQRT((AV54:BA54))),1)</f>
        <v>-4.2931022956378406E-2</v>
      </c>
      <c r="AS55" s="84">
        <f>INDEX(LINEST(1/(AV55:BA55),1/(SQRT(AV54:BA54)),TRUE,TRUE),3,1)</f>
        <v>0.90753686727355953</v>
      </c>
      <c r="AT55" s="84">
        <f>INDEX(LINEST(1/(AV55:BA55),1/SQRT(AV54:BA54)),1)</f>
        <v>-23.186968252541945</v>
      </c>
      <c r="AU55" s="3"/>
      <c r="AV55" s="53">
        <v>0.60263378028676096</v>
      </c>
      <c r="AW55" s="53">
        <v>0.42871329266562602</v>
      </c>
      <c r="AX55" s="53">
        <v>0.28090313617485402</v>
      </c>
      <c r="AY55" s="53">
        <v>0.28705221087853</v>
      </c>
      <c r="AZ55" s="53">
        <v>0.246875321028661</v>
      </c>
      <c r="BA55" s="53">
        <v>0.25574427284867901</v>
      </c>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1"/>
      <c r="CS55" s="1"/>
      <c r="CT55" s="1"/>
      <c r="CU55" s="1"/>
    </row>
    <row r="56" spans="1:99" s="13" customFormat="1" ht="12" customHeight="1" x14ac:dyDescent="0.2">
      <c r="A56" s="65">
        <v>43509</v>
      </c>
      <c r="B56" s="1"/>
      <c r="C56" s="1"/>
      <c r="D56" s="60"/>
      <c r="E56" s="76"/>
      <c r="F56" s="60"/>
      <c r="G56" s="60"/>
      <c r="H56" s="60"/>
      <c r="I56" s="60"/>
      <c r="J56" s="60"/>
      <c r="K56" s="64"/>
      <c r="L56" s="64"/>
      <c r="M56" s="60"/>
      <c r="N56" s="60"/>
      <c r="O56" s="60"/>
      <c r="P56" s="60"/>
      <c r="Q56" s="60"/>
      <c r="R56" s="60"/>
      <c r="S56" s="60"/>
      <c r="T56" s="60"/>
      <c r="U56" s="60"/>
      <c r="V56" s="60"/>
      <c r="W56" s="60"/>
      <c r="X56" s="60"/>
      <c r="Y56" s="76"/>
      <c r="Z56" s="60"/>
      <c r="AA56" s="60"/>
      <c r="AB56" s="60"/>
      <c r="AC56" s="60"/>
      <c r="AD56" s="60"/>
      <c r="AE56" s="60"/>
      <c r="AF56" s="80"/>
      <c r="AG56" s="56"/>
      <c r="AH56" s="4"/>
      <c r="AI56" s="56"/>
      <c r="AJ56" s="109"/>
      <c r="AK56" s="56"/>
      <c r="AL56" s="56"/>
      <c r="AM56" s="56"/>
      <c r="AN56" s="56"/>
      <c r="AO56" s="56"/>
      <c r="AP56" s="56"/>
      <c r="AQ56" s="56"/>
      <c r="AR56" s="109"/>
      <c r="AS56" s="56"/>
      <c r="AT56" s="56"/>
      <c r="AU56" s="5"/>
      <c r="AV56" s="25">
        <f>60*0.85</f>
        <v>51</v>
      </c>
      <c r="AW56" s="25">
        <f>60*2.55</f>
        <v>153</v>
      </c>
      <c r="AX56" s="25">
        <f>60*5.1</f>
        <v>306</v>
      </c>
      <c r="AY56" s="25">
        <f>60*7.65</f>
        <v>459</v>
      </c>
      <c r="AZ56" s="25">
        <f>60*10.2</f>
        <v>612</v>
      </c>
      <c r="BA56" s="25">
        <f>60*12.75</f>
        <v>765</v>
      </c>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1"/>
      <c r="CS56" s="1"/>
      <c r="CT56" s="1"/>
      <c r="CU56" s="1"/>
    </row>
    <row r="57" spans="1:99" s="13" customFormat="1" ht="12" customHeight="1" x14ac:dyDescent="0.2">
      <c r="A57" s="65">
        <v>43509</v>
      </c>
      <c r="B57" s="1" t="s">
        <v>247</v>
      </c>
      <c r="C57" s="1" t="s">
        <v>45</v>
      </c>
      <c r="D57" s="60">
        <v>1999</v>
      </c>
      <c r="E57" s="76">
        <v>2</v>
      </c>
      <c r="F57" s="60">
        <v>25</v>
      </c>
      <c r="G57" s="60">
        <v>25</v>
      </c>
      <c r="H57" s="60" t="s">
        <v>769</v>
      </c>
      <c r="I57" s="60" t="s">
        <v>737</v>
      </c>
      <c r="J57" s="60" t="s">
        <v>16</v>
      </c>
      <c r="K57" s="60">
        <f>IF(J57="syllables",1,IF(J57="trigrams",2,IF(J57="strings",3,IF(J57="visual array",4,IF(J57="characters",5,IF(J57="letters",6,IF(J57="free forms",7,IF(J57="odors",8,IF(J57="words",9,IF(J57="pictures",10,IF(J57="object pictures",11,IF(J57="faces",12,IF(J57="names",13,IF(J57="idioms",14,IF(J57="grades",15,IF(J57="syllable-digit pairs",16,IF(J57="trigram-word pairs",17,IF(J57="word-digit pairs",18,IF(J57="English-Swahili pairs",19,IF(J57="spatial position",20,IF(J57="word pairs",21,IF(J57="word triads",22,IF(J57="generated words",23,IF(J57="word definition pairs",24,IF(J57="math problems",25,IF(J57="famous faces",26,IF(J57="famous names",27,IF(J57="famous voices",28,IF(J57="television programs",29,IF(J57="race horses",30,IF(J57="new vocabulary",31,IF(J57="sentences",32,IF(J57="concepts",33,IF(J57="ad slides",34,IF(J57="scenes",35,IF(J57="famous scenes",36,IF(J57="poems",37,IF(J57="walk",38,IF(J57="faces and events",39,IF(J57="events and names",40,IF(J57="flashbulb",41,IF(J57="stories",42,IF(J57="course material",43,IF(J57="autobiographical",44,IF(J57="novels",45,IF(J57="public events",46,"99"))))))))))))))))))))))))))))))))))))))))))))))</f>
        <v>9</v>
      </c>
      <c r="L57" s="60">
        <f>IF(J57="syllables",1,IF(J57="trigrams",1,IF(J57="strings",1,IF(J57="visual array",1,IF(J57="characters",1,IF(J57="letters",1,IF(J57="free forms",1,IF(J57="odors",2,IF(J57="words",2,IF(J57="pictures",2,IF(J57="object pictures",2,IF(J57="faces",2,IF(J57="names",2,IF(J57="idioms","2",IF(J57="grades",2,IF(J57="syllable-digit pairs",3,IF(J57="trigram-word pairs",3,IF(J57="word-digit pairs",3,IF(J57="English-Swahili pairs",3,IF(J57="spatial position",3,IF(J57="word pairs",4,IF(J57="word triads",4,IF(J57="generated words",4,IF(J57="word definition pairs",4,IF(J57="math problems",4,IF(J57="famous faces",4,IF(J57="famous names",4,IF(J57="famous voices",4,IF(J57="television programs",4,IF(J57="race horses",4,IF(J57="new vocabulary",4,IF(J57="sentences",5,IF(J57="concepts",5,IF(J57="ad slides",5,IF(J57="scenes",5,IF(J57="famous scenes",5,IF(J57="poems",6,IF(J57="walk",6,IF(J57="faces and events",6,IF(J57="events and names",6,IF(J57="flashbulb",7,IF(J57="stories",7,IF(J57="course material",7,IF(J57="autobiographical",7,IF(J57="novels",7,IF(J57="public events",7,"99"))))))))))))))))))))))))))))))))))))))))))))))</f>
        <v>2</v>
      </c>
      <c r="M57" s="60">
        <v>0</v>
      </c>
      <c r="N57" s="60">
        <v>1</v>
      </c>
      <c r="O57" s="60">
        <v>0</v>
      </c>
      <c r="P57" s="60"/>
      <c r="Q57" s="60" t="s">
        <v>64</v>
      </c>
      <c r="R57" s="60">
        <f>IF(Q57="Free Recall",1,IF(Q57="Cued Recall",2,IF(Q57="Recognition",3,IF(Q57="Multiple Choice",4,IF(Q57="Savings",5,IF(Q57="Stem Completion",6,IF(Q57="Fragment Completion",7,IF(Q57="anagram solution",8,IF(Q57="Matching",9,IF(Q57="Problem Solving",10,"99"))))))))))</f>
        <v>6</v>
      </c>
      <c r="S57" s="60" t="s">
        <v>49</v>
      </c>
      <c r="T57" s="59" t="s">
        <v>581</v>
      </c>
      <c r="U57" s="60">
        <f>IF(T57="within",1,0)</f>
        <v>1</v>
      </c>
      <c r="V57" s="59">
        <v>180</v>
      </c>
      <c r="W57" s="60">
        <f>F57*V57</f>
        <v>4500</v>
      </c>
      <c r="X57" s="60">
        <v>6</v>
      </c>
      <c r="Y57" s="76">
        <f>AV56</f>
        <v>51</v>
      </c>
      <c r="Z57" s="60" t="s">
        <v>69</v>
      </c>
      <c r="AA57" s="60">
        <v>765</v>
      </c>
      <c r="AB57" s="60" t="str">
        <f>IF(AA57&lt;60,"1",IF(AA57&lt;=43200,"2",IF(AA57&lt;=777600,"3","4")))</f>
        <v>2</v>
      </c>
      <c r="AC57" s="56">
        <f>AVERAGE(AV56:DA56)</f>
        <v>391</v>
      </c>
      <c r="AD57" s="60" t="str">
        <f>IF(AC57&lt;60,"1",IF(AC57&lt;=43200,"2",IF(AC57&lt;=777600,"3","4")))</f>
        <v>2</v>
      </c>
      <c r="AE57" s="76">
        <f>AA57-Y57</f>
        <v>714</v>
      </c>
      <c r="AF57" s="80">
        <f>AV57</f>
        <v>0.20345512447351199</v>
      </c>
      <c r="AG57" s="56">
        <f>((AW57-AV57)+(AX57-AW57)+(AY57-AX57)+(AZ57-AY57)+(BA57-AZ57))/5</f>
        <v>-1.73348139379026E-2</v>
      </c>
      <c r="AH57" s="4"/>
      <c r="AI57" s="56">
        <f>RSQ(AV57:BA57,AV56:BA56)</f>
        <v>0.87853101643644627</v>
      </c>
      <c r="AJ57" s="109">
        <f>SLOPE(AV57:BA57,AV56:BA56)</f>
        <v>-1.1144608305722961E-4</v>
      </c>
      <c r="AK57" s="56">
        <f>INTERCEPT(AV57:BA57,AV56:BA56)</f>
        <v>0.19930102070476194</v>
      </c>
      <c r="AL57" s="56">
        <f>INDEX(LINEST(LN(AV57:BA57),LN(AV56:BA56),TRUE,TRUE),3,1)</f>
        <v>0.83171069799690533</v>
      </c>
      <c r="AM57" s="56">
        <f>INDEX(LINEST(LN(AV57:BA57),LN(AV56:BA56)),1)</f>
        <v>-0.18699373208102818</v>
      </c>
      <c r="AN57" s="56">
        <f>EXP(INDEX(LINEST(LN(AV57:BA57),LN(AV56:BA56)),1,2))</f>
        <v>0.43952509538595225</v>
      </c>
      <c r="AO57" s="82">
        <f>INDEX(LINEST((AV57:BA57),LN(AV56:BA56),TRUE,TRUE),3,1)</f>
        <v>0.85738380433495509</v>
      </c>
      <c r="AP57" s="82">
        <f>INDEX(LINEST((AV57:BA57),LN(AV56:BA56)),1)</f>
        <v>-2.9655160415908023E-2</v>
      </c>
      <c r="AQ57" s="83">
        <f>INDEX(LINEST(LN(AV57:BA57),SQRT(AV56:BA56),TRUE,TRUE),3,1)</f>
        <v>0.89126218850899208</v>
      </c>
      <c r="AR57" s="116">
        <f>INDEX(LINEST(LN(AV57:BA57),SQRT((AV56:BA56))),1)</f>
        <v>-2.5377651497057792E-2</v>
      </c>
      <c r="AS57" s="84">
        <f>INDEX(LINEST(1/(AV57:BA57),1/(SQRT(AV56:BA56)),TRUE,TRUE),3,1)</f>
        <v>0.68312991024828917</v>
      </c>
      <c r="AT57" s="84">
        <f>INDEX(LINEST(1/(AV57:BA57),1/SQRT(AV56:BA56)),1)</f>
        <v>-28.77780360528158</v>
      </c>
      <c r="AU57" s="3"/>
      <c r="AV57" s="53">
        <v>0.20345512447351199</v>
      </c>
      <c r="AW57" s="53">
        <v>0.16713057856090999</v>
      </c>
      <c r="AX57" s="53">
        <v>0.17737169860239299</v>
      </c>
      <c r="AY57" s="53">
        <v>0.13582264053106</v>
      </c>
      <c r="AZ57" s="53">
        <v>0.13379251642443701</v>
      </c>
      <c r="BA57" s="53">
        <v>0.116781054783999</v>
      </c>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1"/>
      <c r="CS57" s="1"/>
      <c r="CT57" s="1"/>
      <c r="CU57" s="1"/>
    </row>
    <row r="58" spans="1:99" s="13" customFormat="1" ht="12" customHeight="1" x14ac:dyDescent="0.2">
      <c r="A58" s="65">
        <v>43509</v>
      </c>
      <c r="B58" s="1"/>
      <c r="C58" s="1"/>
      <c r="D58" s="60"/>
      <c r="E58" s="76"/>
      <c r="F58" s="60"/>
      <c r="G58" s="60"/>
      <c r="H58" s="60"/>
      <c r="I58" s="60"/>
      <c r="J58" s="60"/>
      <c r="K58" s="64"/>
      <c r="L58" s="64"/>
      <c r="M58" s="60"/>
      <c r="N58" s="60"/>
      <c r="O58" s="60"/>
      <c r="P58" s="60"/>
      <c r="Q58" s="60"/>
      <c r="R58" s="60"/>
      <c r="S58" s="60"/>
      <c r="T58" s="59"/>
      <c r="U58" s="60"/>
      <c r="V58" s="59"/>
      <c r="W58" s="60"/>
      <c r="X58" s="60"/>
      <c r="Y58" s="76"/>
      <c r="Z58" s="60"/>
      <c r="AA58" s="60"/>
      <c r="AB58" s="60"/>
      <c r="AC58" s="60"/>
      <c r="AD58" s="60"/>
      <c r="AE58" s="60"/>
      <c r="AF58" s="80"/>
      <c r="AG58" s="56"/>
      <c r="AH58" s="4"/>
      <c r="AI58" s="56"/>
      <c r="AJ58" s="109"/>
      <c r="AK58" s="56"/>
      <c r="AL58" s="56"/>
      <c r="AM58" s="56"/>
      <c r="AN58" s="56"/>
      <c r="AO58" s="56"/>
      <c r="AP58" s="56"/>
      <c r="AQ58" s="56"/>
      <c r="AR58" s="109"/>
      <c r="AS58" s="56"/>
      <c r="AT58" s="56"/>
      <c r="AU58" s="5"/>
      <c r="AV58" s="25">
        <f>60*0.85</f>
        <v>51</v>
      </c>
      <c r="AW58" s="25">
        <f>60*2.55</f>
        <v>153</v>
      </c>
      <c r="AX58" s="25">
        <f>60*5.1</f>
        <v>306</v>
      </c>
      <c r="AY58" s="25">
        <f>60*7.65</f>
        <v>459</v>
      </c>
      <c r="AZ58" s="25">
        <f>60*10.2</f>
        <v>612</v>
      </c>
      <c r="BA58" s="25">
        <f>60*12.75</f>
        <v>765</v>
      </c>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1"/>
      <c r="CS58" s="1"/>
      <c r="CT58" s="1"/>
      <c r="CU58" s="1"/>
    </row>
    <row r="59" spans="1:99" s="13" customFormat="1" ht="12" customHeight="1" x14ac:dyDescent="0.2">
      <c r="A59" s="65">
        <v>43509</v>
      </c>
      <c r="B59" s="1" t="s">
        <v>247</v>
      </c>
      <c r="C59" s="1" t="s">
        <v>45</v>
      </c>
      <c r="D59" s="60">
        <v>1999</v>
      </c>
      <c r="E59" s="76">
        <v>2</v>
      </c>
      <c r="F59" s="60">
        <v>25</v>
      </c>
      <c r="G59" s="60">
        <v>25</v>
      </c>
      <c r="H59" s="60" t="s">
        <v>769</v>
      </c>
      <c r="I59" s="60" t="s">
        <v>738</v>
      </c>
      <c r="J59" s="60" t="s">
        <v>16</v>
      </c>
      <c r="K59" s="60">
        <f>IF(J59="syllables",1,IF(J59="trigrams",2,IF(J59="strings",3,IF(J59="visual array",4,IF(J59="characters",5,IF(J59="letters",6,IF(J59="free forms",7,IF(J59="odors",8,IF(J59="words",9,IF(J59="pictures",10,IF(J59="object pictures",11,IF(J59="faces",12,IF(J59="names",13,IF(J59="idioms",14,IF(J59="grades",15,IF(J59="syllable-digit pairs",16,IF(J59="trigram-word pairs",17,IF(J59="word-digit pairs",18,IF(J59="English-Swahili pairs",19,IF(J59="spatial position",20,IF(J59="word pairs",21,IF(J59="word triads",22,IF(J59="generated words",23,IF(J59="word definition pairs",24,IF(J59="math problems",25,IF(J59="famous faces",26,IF(J59="famous names",27,IF(J59="famous voices",28,IF(J59="television programs",29,IF(J59="race horses",30,IF(J59="new vocabulary",31,IF(J59="sentences",32,IF(J59="concepts",33,IF(J59="ad slides",34,IF(J59="scenes",35,IF(J59="famous scenes",36,IF(J59="poems",37,IF(J59="walk",38,IF(J59="faces and events",39,IF(J59="events and names",40,IF(J59="flashbulb",41,IF(J59="stories",42,IF(J59="course material",43,IF(J59="autobiographical",44,IF(J59="novels",45,IF(J59="public events",46,"99"))))))))))))))))))))))))))))))))))))))))))))))</f>
        <v>9</v>
      </c>
      <c r="L59" s="60">
        <f>IF(J59="syllables",1,IF(J59="trigrams",1,IF(J59="strings",1,IF(J59="visual array",1,IF(J59="characters",1,IF(J59="letters",1,IF(J59="free forms",1,IF(J59="odors",2,IF(J59="words",2,IF(J59="pictures",2,IF(J59="object pictures",2,IF(J59="faces",2,IF(J59="names",2,IF(J59="idioms","2",IF(J59="grades",2,IF(J59="syllable-digit pairs",3,IF(J59="trigram-word pairs",3,IF(J59="word-digit pairs",3,IF(J59="English-Swahili pairs",3,IF(J59="spatial position",3,IF(J59="word pairs",4,IF(J59="word triads",4,IF(J59="generated words",4,IF(J59="word definition pairs",4,IF(J59="math problems",4,IF(J59="famous faces",4,IF(J59="famous names",4,IF(J59="famous voices",4,IF(J59="television programs",4,IF(J59="race horses",4,IF(J59="new vocabulary",4,IF(J59="sentences",5,IF(J59="concepts",5,IF(J59="ad slides",5,IF(J59="scenes",5,IF(J59="famous scenes",5,IF(J59="poems",6,IF(J59="walk",6,IF(J59="faces and events",6,IF(J59="events and names",6,IF(J59="flashbulb",7,IF(J59="stories",7,IF(J59="course material",7,IF(J59="autobiographical",7,IF(J59="novels",7,IF(J59="public events",7,"99"))))))))))))))))))))))))))))))))))))))))))))))</f>
        <v>2</v>
      </c>
      <c r="M59" s="60">
        <v>0</v>
      </c>
      <c r="N59" s="60">
        <v>1</v>
      </c>
      <c r="O59" s="60">
        <v>0</v>
      </c>
      <c r="P59" s="60"/>
      <c r="Q59" s="60" t="s">
        <v>64</v>
      </c>
      <c r="R59" s="60">
        <f>IF(Q59="Free Recall",1,IF(Q59="Cued Recall",2,IF(Q59="Recognition",3,IF(Q59="Multiple Choice",4,IF(Q59="Savings",5,IF(Q59="Stem Completion",6,IF(Q59="Fragment Completion",7,IF(Q59="anagram solution",8,IF(Q59="Matching",9,IF(Q59="Problem Solving",10,"99"))))))))))</f>
        <v>6</v>
      </c>
      <c r="S59" s="60" t="s">
        <v>49</v>
      </c>
      <c r="T59" s="59" t="s">
        <v>581</v>
      </c>
      <c r="U59" s="60">
        <f>IF(T59="within",1,0)</f>
        <v>1</v>
      </c>
      <c r="V59" s="59">
        <v>180</v>
      </c>
      <c r="W59" s="60">
        <f>F59*V59</f>
        <v>4500</v>
      </c>
      <c r="X59" s="60">
        <v>6</v>
      </c>
      <c r="Y59" s="76">
        <f>AV58</f>
        <v>51</v>
      </c>
      <c r="Z59" s="60" t="s">
        <v>69</v>
      </c>
      <c r="AA59" s="60">
        <v>765</v>
      </c>
      <c r="AB59" s="60" t="str">
        <f>IF(AA59&lt;60,"1",IF(AA59&lt;=43200,"2",IF(AA59&lt;=777600,"3","4")))</f>
        <v>2</v>
      </c>
      <c r="AC59" s="56">
        <f>AVERAGE(AV58:DA58)</f>
        <v>391</v>
      </c>
      <c r="AD59" s="60" t="str">
        <f>IF(AC59&lt;60,"1",IF(AC59&lt;=43200,"2",IF(AC59&lt;=777600,"3","4")))</f>
        <v>2</v>
      </c>
      <c r="AE59" s="76">
        <f>AA59-Y59</f>
        <v>714</v>
      </c>
      <c r="AF59" s="80">
        <f>AV59</f>
        <v>0.353317418464834</v>
      </c>
      <c r="AG59" s="56">
        <f>((AW59-AV59)+(AX59-AW59)+(AY59-AX59)+(AZ59-AY59)+(BA59-AZ59))/5</f>
        <v>-2.3057807172452999E-2</v>
      </c>
      <c r="AH59" s="4"/>
      <c r="AI59" s="56">
        <f>RSQ(AV59:BA59,AV58:BA58)</f>
        <v>0.74261846216398342</v>
      </c>
      <c r="AJ59" s="109">
        <f>SLOPE(AV59:BA59,AV58:BA58)</f>
        <v>-1.5021584446712905E-4</v>
      </c>
      <c r="AK59" s="56">
        <f>INTERCEPT(AV59:BA59,AV58:BA58)</f>
        <v>0.33911980894876831</v>
      </c>
      <c r="AL59" s="56">
        <f>INDEX(LINEST(LN(AV59:BA59),LN(AV58:BA58),TRUE,TRUE),3,1)</f>
        <v>0.85050289743167851</v>
      </c>
      <c r="AM59" s="56">
        <f>INDEX(LINEST(LN(AV59:BA59),LN(AV58:BA58)),1)</f>
        <v>-0.14920548299381145</v>
      </c>
      <c r="AN59" s="56">
        <f>EXP(INDEX(LINEST(LN(AV59:BA59),LN(AV58:BA58)),1,2))</f>
        <v>0.64354666251084847</v>
      </c>
      <c r="AO59" s="82">
        <f>INDEX(LINEST((AV59:BA59),LN(AV58:BA58),TRUE,TRUE),3,1)</f>
        <v>0.86911809066873102</v>
      </c>
      <c r="AP59" s="82">
        <f>INDEX(LINEST((AV59:BA59),LN(AV58:BA58)),1)</f>
        <v>-4.3772227490241129E-2</v>
      </c>
      <c r="AQ59" s="83">
        <f>INDEX(LINEST(LN(AV59:BA59),SQRT(AV58:BA58),TRUE,TRUE),3,1)</f>
        <v>0.82224999995399028</v>
      </c>
      <c r="AR59" s="116">
        <f>INDEX(LINEST(LN(AV59:BA59),SQRT((AV58:BA58))),1)</f>
        <v>-1.9233424081337363E-2</v>
      </c>
      <c r="AS59" s="84">
        <f>INDEX(LINEST(1/(AV59:BA59),1/(SQRT(AV58:BA58)),TRUE,TRUE),3,1)</f>
        <v>0.78245365358710584</v>
      </c>
      <c r="AT59" s="84">
        <f>INDEX(LINEST(1/(AV59:BA59),1/SQRT(AV58:BA58)),1)</f>
        <v>-12.909824957933752</v>
      </c>
      <c r="AU59" s="3"/>
      <c r="AV59" s="53">
        <v>0.353317418464834</v>
      </c>
      <c r="AW59" s="53">
        <v>0.32244730238086999</v>
      </c>
      <c r="AX59" s="53">
        <v>0.24685330763473401</v>
      </c>
      <c r="AY59" s="53">
        <v>0.27751551944271802</v>
      </c>
      <c r="AZ59" s="53">
        <v>0.24415055204700001</v>
      </c>
      <c r="BA59" s="53">
        <v>0.23802838260256901</v>
      </c>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1"/>
      <c r="CS59" s="1"/>
      <c r="CT59" s="1"/>
      <c r="CU59" s="1"/>
    </row>
    <row r="60" spans="1:99" s="13" customFormat="1" ht="12" customHeight="1" x14ac:dyDescent="0.2">
      <c r="A60" s="65">
        <v>43979</v>
      </c>
      <c r="B60" s="1"/>
      <c r="C60" s="1"/>
      <c r="D60" s="60"/>
      <c r="E60" s="76"/>
      <c r="F60" s="60"/>
      <c r="G60" s="60"/>
      <c r="H60" s="60"/>
      <c r="I60" s="60"/>
      <c r="J60" s="60"/>
      <c r="K60" s="60"/>
      <c r="L60" s="60"/>
      <c r="M60" s="60"/>
      <c r="N60" s="60"/>
      <c r="O60" s="60"/>
      <c r="P60" s="60"/>
      <c r="Q60" s="60"/>
      <c r="R60" s="60"/>
      <c r="S60" s="60"/>
      <c r="T60" s="59"/>
      <c r="U60" s="60"/>
      <c r="V60" s="59"/>
      <c r="W60" s="60"/>
      <c r="X60" s="60"/>
      <c r="Y60" s="76"/>
      <c r="Z60" s="60"/>
      <c r="AA60" s="60"/>
      <c r="AB60" s="60"/>
      <c r="AC60" s="56"/>
      <c r="AD60" s="60"/>
      <c r="AE60" s="76"/>
      <c r="AF60" s="80"/>
      <c r="AG60" s="56"/>
      <c r="AH60" s="4"/>
      <c r="AI60" s="56"/>
      <c r="AJ60" s="109"/>
      <c r="AK60" s="56"/>
      <c r="AL60" s="56"/>
      <c r="AM60" s="56"/>
      <c r="AN60" s="56"/>
      <c r="AO60" s="82"/>
      <c r="AP60" s="82"/>
      <c r="AQ60" s="83"/>
      <c r="AR60" s="116"/>
      <c r="AS60" s="84"/>
      <c r="AT60" s="84"/>
      <c r="AU60" s="3"/>
      <c r="AV60" s="25">
        <f>60*5</f>
        <v>300</v>
      </c>
      <c r="AW60" s="25">
        <f>60*30</f>
        <v>1800</v>
      </c>
      <c r="AX60" s="25">
        <f>60*55</f>
        <v>3300</v>
      </c>
      <c r="AY60" s="25">
        <f>60*60*4</f>
        <v>14400</v>
      </c>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1"/>
      <c r="CS60" s="1"/>
      <c r="CT60" s="1"/>
      <c r="CU60" s="1"/>
    </row>
    <row r="61" spans="1:99" s="13" customFormat="1" ht="12" customHeight="1" x14ac:dyDescent="0.2">
      <c r="A61" s="65">
        <v>43979</v>
      </c>
      <c r="B61" s="1" t="s">
        <v>980</v>
      </c>
      <c r="C61" s="1" t="s">
        <v>981</v>
      </c>
      <c r="D61" s="60">
        <v>2013</v>
      </c>
      <c r="E61" s="76">
        <v>1</v>
      </c>
      <c r="F61" s="60">
        <v>5</v>
      </c>
      <c r="G61" s="60">
        <v>5</v>
      </c>
      <c r="H61" s="60" t="s">
        <v>17</v>
      </c>
      <c r="I61" s="60" t="s">
        <v>330</v>
      </c>
      <c r="J61" s="60" t="s">
        <v>320</v>
      </c>
      <c r="K61" s="60">
        <f>IF(J61="syllables",1,IF(J61="trigrams",2,IF(J61="strings",3,IF(J61="visual array",4,IF(J61="characters",5,IF(J61="letters",6,IF(J61="free forms",7,IF(J61="odors",8,IF(J61="words",9,IF(J61="pictures",10,IF(J61="object pictures",11,IF(J61="faces",12,IF(J61="names",13,IF(J61="idioms",14,IF(J61="grades",15,IF(J61="syllable-digit pairs",16,IF(J61="trigram-word pairs",17,IF(J61="word-digit pairs",18,IF(J61="English-Swahili pairs",19,IF(J61="spatial position",20,IF(J61="word pairs",21,IF(J61="word triads",22,IF(J61="generated words",23,IF(J61="word definition pairs",24,IF(J61="math problems",25,IF(J61="famous faces",26,IF(J61="famous names",27,IF(J61="famous voices",28,IF(J61="television programs",29,IF(J61="race horses",30,IF(J61="new vocabulary",31,IF(J61="sentences",32,IF(J61="concepts",33,IF(J61="ad slides",34,IF(J61="scenes",35,IF(J61="famous scenes",36,IF(J61="poems",37,IF(J61="walk",38,IF(J61="faces and events",39,IF(J61="events and names",40,IF(J61="flashbulb",41,IF(J61="stories",42,IF(J61="course material",43,IF(J61="autobiographical",44,IF(J61="novels",45,IF(J61="public events",46,"99"))))))))))))))))))))))))))))))))))))))))))))))</f>
        <v>21</v>
      </c>
      <c r="L61" s="60">
        <f>IF(J61="syllables",1,IF(J61="trigrams",1,IF(J61="strings",1,IF(J61="visual array",1,IF(J61="characters",1,IF(J61="letters",1,IF(J61="free forms",1,IF(J61="odors",2,IF(J61="words",2,IF(J61="pictures",2,IF(J61="object pictures",2,IF(J61="faces",2,IF(J61="names",2,IF(J61="idioms","2",IF(J61="grades",2,IF(J61="syllable-digit pairs",3,IF(J61="trigram-word pairs",3,IF(J61="word-digit pairs",3,IF(J61="English-Swahili pairs",3,IF(J61="spatial position",3,IF(J61="word pairs",4,IF(J61="word triads",4,IF(J61="generated words",4,IF(J61="word definition pairs",4,IF(J61="math problems",4,IF(J61="famous faces",4,IF(J61="famous names",4,IF(J61="famous voices",4,IF(J61="television programs",4,IF(J61="race horses",4,IF(J61="new vocabulary",4,IF(J61="sentences",5,IF(J61="concepts",5,IF(J61="ad slides",5,IF(J61="scenes",5,IF(J61="famous scenes",5,IF(J61="poems",6,IF(J61="walk",6,IF(J61="faces and events",6,IF(J61="events and names",6,IF(J61="flashbulb",7,IF(J61="stories",7,IF(J61="course material",7,IF(J61="autobiographical",7,IF(J61="novels",7,IF(J61="public events",7,"99"))))))))))))))))))))))))))))))))))))))))))))))</f>
        <v>4</v>
      </c>
      <c r="M61" s="60">
        <v>0</v>
      </c>
      <c r="N61" s="60">
        <v>1</v>
      </c>
      <c r="O61" s="60">
        <v>0</v>
      </c>
      <c r="P61" s="60"/>
      <c r="Q61" s="60" t="s">
        <v>65</v>
      </c>
      <c r="R61" s="60">
        <f>IF(Q61="Free Recall",1,IF(Q61="Cued Recall",2,IF(Q61="Recognition",3,IF(Q61="Multiple Choice",4,IF(Q61="Savings",5,IF(Q61="Stem Completion",6,IF(Q61="Fragment Completion",7,IF(Q61="anagram solution",8,IF(Q61="Matching",9,IF(Q61="Problem Solving",10,"99"))))))))))</f>
        <v>2</v>
      </c>
      <c r="S61" s="60" t="s">
        <v>49</v>
      </c>
      <c r="T61" s="59" t="s">
        <v>581</v>
      </c>
      <c r="U61" s="60">
        <f>IF(T61="within",1,0)</f>
        <v>1</v>
      </c>
      <c r="V61" s="59">
        <v>48</v>
      </c>
      <c r="W61" s="60">
        <f>F61*V61</f>
        <v>240</v>
      </c>
      <c r="X61" s="60">
        <v>4</v>
      </c>
      <c r="Y61" s="76">
        <f>AV60</f>
        <v>300</v>
      </c>
      <c r="Z61" s="60" t="s">
        <v>982</v>
      </c>
      <c r="AA61" s="60">
        <f>60*60*4</f>
        <v>14400</v>
      </c>
      <c r="AB61" s="60" t="str">
        <f>IF(AA61&lt;60,"1",IF(AA61&lt;=43200,"2",IF(AA61&lt;=777600,"3","4")))</f>
        <v>2</v>
      </c>
      <c r="AC61" s="56">
        <f>AVERAGE(AV60:DA60)</f>
        <v>4950</v>
      </c>
      <c r="AD61" s="60" t="str">
        <f>IF(AC61&lt;60,"1",IF(AC61&lt;=43200,"2",IF(AC61&lt;=777600,"3","4")))</f>
        <v>2</v>
      </c>
      <c r="AE61" s="76">
        <f>AA61-Y61</f>
        <v>14100</v>
      </c>
      <c r="AF61" s="80">
        <f>AV61</f>
        <v>0.66674610740387663</v>
      </c>
      <c r="AG61" s="56">
        <f>((AW61-AV61)+(AX61-AW61)+(AY61-AX61))/3</f>
        <v>-4.4698654803516646E-2</v>
      </c>
      <c r="AH61" s="4"/>
      <c r="AI61" s="56">
        <f>RSQ(AV61:AY61,AV60:AY60)</f>
        <v>0.12444270492093906</v>
      </c>
      <c r="AJ61" s="109">
        <f>SLOPE(AV61:AY61,AV60:AY60)</f>
        <v>-4.5924807828247344E-6</v>
      </c>
      <c r="AK61" s="56">
        <f>INTERCEPT(AV61:AY61,AV60:AY60)</f>
        <v>0.57651415896618019</v>
      </c>
      <c r="AL61" s="56">
        <f>INDEX(LINEST(LN(AV61:AY61),LN(AV60:AY60),TRUE,TRUE),3,1)</f>
        <v>0.51645479129748728</v>
      </c>
      <c r="AM61" s="56">
        <f>INDEX(LINEST(LN(AV61:AY61),LN(AV60:AY60)),1)</f>
        <v>-6.6320753200862073E-2</v>
      </c>
      <c r="AN61" s="56">
        <f>EXP(INDEX(LINEST(LN(AV61:AY61),LN(AV60:AY60)),1,2))</f>
        <v>0.91634646383376916</v>
      </c>
      <c r="AO61" s="82">
        <f>INDEX(LINEST((AV61:AY61),LN(AV60:AY60),TRUE,TRUE),3,1)</f>
        <v>0.55646934392918945</v>
      </c>
      <c r="AP61" s="82">
        <f>INDEX(LINEST((AV61:AY61),LN(AV60:AY60)),1)</f>
        <v>-3.8898578011814199E-2</v>
      </c>
      <c r="AQ61" s="83">
        <f>INDEX(LINEST(LN(AV61:AY61),SQRT(AV60:AY60),TRUE,TRUE),3,1)</f>
        <v>0.25077570747736344</v>
      </c>
      <c r="AR61" s="116">
        <f>INDEX(LINEST(LN(AV61:AY61),SQRT((AV60:AY60))),1)</f>
        <v>-1.6936287509694843E-3</v>
      </c>
      <c r="AS61" s="84">
        <f>INDEX(LINEST(1/(AV61:AY61),1/(SQRT(AV60:AY60)),TRUE,TRUE),3,1)</f>
        <v>0.66634534815667823</v>
      </c>
      <c r="AT61" s="84">
        <f>INDEX(LINEST(1/(AV61:AY61),1/SQRT(AV60:AY60)),1)</f>
        <v>-10.040711315514772</v>
      </c>
      <c r="AU61" s="3"/>
      <c r="AV61" s="53">
        <v>0.66674610740387663</v>
      </c>
      <c r="AW61" s="53">
        <v>0.54980934223069589</v>
      </c>
      <c r="AX61" s="53">
        <v>0.46591992373689167</v>
      </c>
      <c r="AY61" s="53">
        <v>0.53265014299332669</v>
      </c>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1"/>
      <c r="CS61" s="1"/>
      <c r="CT61" s="1"/>
      <c r="CU61" s="1"/>
    </row>
    <row r="62" spans="1:99" s="13" customFormat="1" ht="12" customHeight="1" x14ac:dyDescent="0.2">
      <c r="A62" s="68">
        <v>43509</v>
      </c>
      <c r="B62" s="70"/>
      <c r="C62" s="70"/>
      <c r="D62" s="69"/>
      <c r="E62" s="87"/>
      <c r="F62" s="69"/>
      <c r="G62" s="69"/>
      <c r="H62" s="69"/>
      <c r="I62" s="69"/>
      <c r="J62" s="69"/>
      <c r="K62" s="107"/>
      <c r="L62" s="107"/>
      <c r="M62" s="69"/>
      <c r="N62" s="69"/>
      <c r="O62" s="69"/>
      <c r="P62" s="69"/>
      <c r="Q62" s="69"/>
      <c r="R62" s="69"/>
      <c r="S62" s="69"/>
      <c r="T62" s="69"/>
      <c r="U62" s="60"/>
      <c r="V62" s="69"/>
      <c r="W62" s="69"/>
      <c r="X62" s="69"/>
      <c r="Y62" s="87"/>
      <c r="Z62" s="69"/>
      <c r="AA62" s="69"/>
      <c r="AB62" s="69"/>
      <c r="AC62" s="69"/>
      <c r="AD62" s="69"/>
      <c r="AE62" s="69"/>
      <c r="AF62" s="88"/>
      <c r="AG62" s="72"/>
      <c r="AH62" s="4"/>
      <c r="AI62" s="72"/>
      <c r="AJ62" s="110"/>
      <c r="AK62" s="72"/>
      <c r="AL62" s="72"/>
      <c r="AM62" s="72"/>
      <c r="AN62" s="72"/>
      <c r="AO62" s="72"/>
      <c r="AP62" s="72"/>
      <c r="AQ62" s="89"/>
      <c r="AR62" s="118"/>
      <c r="AS62" s="89"/>
      <c r="AT62" s="89"/>
      <c r="AU62" s="5"/>
      <c r="AV62" s="71">
        <f>60*1</f>
        <v>60</v>
      </c>
      <c r="AW62" s="71">
        <f>60*4</f>
        <v>240</v>
      </c>
      <c r="AX62" s="71">
        <f>60*8</f>
        <v>480</v>
      </c>
      <c r="AY62" s="53"/>
      <c r="AZ62" s="53"/>
      <c r="BA62" s="53"/>
      <c r="BB62" s="53"/>
      <c r="BC62" s="53"/>
      <c r="BD62" s="53"/>
      <c r="BE62" s="53"/>
      <c r="BF62" s="53"/>
      <c r="BG62" s="53"/>
      <c r="BH62" s="53"/>
      <c r="BI62" s="53"/>
      <c r="BJ62" s="53"/>
      <c r="BK62" s="53"/>
      <c r="BL62" s="53"/>
      <c r="BM62" s="53"/>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53"/>
      <c r="CO62" s="53"/>
      <c r="CP62" s="53"/>
      <c r="CQ62" s="53"/>
      <c r="CR62" s="1"/>
      <c r="CS62" s="1"/>
      <c r="CT62" s="1"/>
      <c r="CU62" s="1"/>
    </row>
    <row r="63" spans="1:99" s="13" customFormat="1" ht="12" customHeight="1" x14ac:dyDescent="0.2">
      <c r="A63" s="68">
        <v>43509</v>
      </c>
      <c r="B63" s="70" t="s">
        <v>253</v>
      </c>
      <c r="C63" s="70" t="s">
        <v>70</v>
      </c>
      <c r="D63" s="69">
        <v>2015</v>
      </c>
      <c r="E63" s="87">
        <v>1</v>
      </c>
      <c r="F63" s="69">
        <v>36</v>
      </c>
      <c r="G63" s="69">
        <v>36</v>
      </c>
      <c r="H63" s="69" t="s">
        <v>50</v>
      </c>
      <c r="I63" s="69" t="s">
        <v>785</v>
      </c>
      <c r="J63" s="69" t="s">
        <v>16</v>
      </c>
      <c r="K63" s="69">
        <f>IF(J63="syllables",1,IF(J63="trigrams",2,IF(J63="strings",3,IF(J63="visual array",4,IF(J63="characters",5,IF(J63="letters",6,IF(J63="free forms",7,IF(J63="odors",8,IF(J63="words",9,IF(J63="pictures",10,IF(J63="object pictures",11,IF(J63="faces",12,IF(J63="names",13,IF(J63="idioms",14,IF(J63="grades",15,IF(J63="syllable-digit pairs",16,IF(J63="trigram-word pairs",17,IF(J63="word-digit pairs",18,IF(J63="English-Swahili pairs",19,IF(J63="spatial position",20,IF(J63="word pairs",21,IF(J63="word triads",22,IF(J63="generated words",23,IF(J63="word definition pairs",24,IF(J63="math problems",25,IF(J63="famous faces",26,IF(J63="famous names",27,IF(J63="famous voices",28,IF(J63="television programs",29,IF(J63="race horses",30,IF(J63="new vocabulary",31,IF(J63="sentences",32,IF(J63="concepts",33,IF(J63="ad slides",34,IF(J63="scenes",35,IF(J63="famous scenes",36,IF(J63="poems",37,IF(J63="walk",38,IF(J63="faces and events",39,IF(J63="events and names",40,IF(J63="flashbulb",41,IF(J63="stories",42,IF(J63="course material",43,IF(J63="autobiographical",44,IF(J63="novels",45,IF(J63="public events",46,"99"))))))))))))))))))))))))))))))))))))))))))))))</f>
        <v>9</v>
      </c>
      <c r="L63" s="69">
        <f>IF(J63="syllables",1,IF(J63="trigrams",1,IF(J63="strings",1,IF(J63="visual array",1,IF(J63="characters",1,IF(J63="letters",1,IF(J63="free forms",1,IF(J63="odors",2,IF(J63="words",2,IF(J63="pictures",2,IF(J63="object pictures",2,IF(J63="faces",2,IF(J63="names",2,IF(J63="idioms","2",IF(J63="grades",2,IF(J63="syllable-digit pairs",3,IF(J63="trigram-word pairs",3,IF(J63="word-digit pairs",3,IF(J63="English-Swahili pairs",3,IF(J63="spatial position",3,IF(J63="word pairs",4,IF(J63="word triads",4,IF(J63="generated words",4,IF(J63="word definition pairs",4,IF(J63="math problems",4,IF(J63="famous faces",4,IF(J63="famous names",4,IF(J63="famous voices",4,IF(J63="television programs",4,IF(J63="race horses",4,IF(J63="new vocabulary",4,IF(J63="sentences",5,IF(J63="concepts",5,IF(J63="ad slides",5,IF(J63="scenes",5,IF(J63="famous scenes",5,IF(J63="poems",6,IF(J63="walk",6,IF(J63="faces and events",6,IF(J63="events and names",6,IF(J63="flashbulb",7,IF(J63="stories",7,IF(J63="course material",7,IF(J63="autobiographical",7,IF(J63="novels",7,IF(J63="public events",7,"99"))))))))))))))))))))))))))))))))))))))))))))))</f>
        <v>2</v>
      </c>
      <c r="M63" s="69">
        <v>0</v>
      </c>
      <c r="N63" s="69">
        <v>1</v>
      </c>
      <c r="O63" s="69">
        <v>1</v>
      </c>
      <c r="P63" s="69" t="s">
        <v>71</v>
      </c>
      <c r="Q63" s="69" t="s">
        <v>174</v>
      </c>
      <c r="R63" s="69">
        <f>IF(Q63="Free Recall",1,IF(Q63="Cued Recall",2,IF(Q63="Recognition",3,IF(Q63="Multiple Choice",4,IF(Q63="Savings",5,IF(Q63="Stem Completion",6,IF(Q63="Fragment Completion",7,IF(Q63="anagram solution",8,IF(Q63="Matching",9,IF(Q63="Problem Solving",10,"99"))))))))))</f>
        <v>1</v>
      </c>
      <c r="S63" s="69" t="s">
        <v>49</v>
      </c>
      <c r="T63" s="92" t="s">
        <v>581</v>
      </c>
      <c r="U63" s="60">
        <f>IF(T63="within",1,0)</f>
        <v>1</v>
      </c>
      <c r="V63" s="92">
        <v>10</v>
      </c>
      <c r="W63" s="69">
        <f>F63*V63</f>
        <v>360</v>
      </c>
      <c r="X63" s="69">
        <v>3</v>
      </c>
      <c r="Y63" s="87">
        <f>AV62</f>
        <v>60</v>
      </c>
      <c r="Z63" s="69" t="s">
        <v>72</v>
      </c>
      <c r="AA63" s="69">
        <v>480</v>
      </c>
      <c r="AB63" s="69" t="str">
        <f>IF(AA63&lt;60,"1",IF(AA63&lt;=43200,"2",IF(AA63&lt;=777600,"3","4")))</f>
        <v>2</v>
      </c>
      <c r="AC63" s="72">
        <f>AVERAGE(AV62:DA62)</f>
        <v>260</v>
      </c>
      <c r="AD63" s="69" t="str">
        <f>IF(AC63&lt;60,"1",IF(AC63&lt;=43200,"2",IF(AC63&lt;=777600,"3","4")))</f>
        <v>2</v>
      </c>
      <c r="AE63" s="87">
        <f>AA63-Y63</f>
        <v>420</v>
      </c>
      <c r="AF63" s="88">
        <f>AV63</f>
        <v>0.29699999999999999</v>
      </c>
      <c r="AG63" s="72">
        <f>((AW63-AV63)+(AX63-AW63))/2</f>
        <v>-3.1499999999999986E-2</v>
      </c>
      <c r="AH63" s="4"/>
      <c r="AI63" s="72">
        <f>RSQ(AV63:AX63,AV62:AX62)</f>
        <v>0.99466177632116504</v>
      </c>
      <c r="AJ63" s="110">
        <f>SLOPE(AV63:AX63,AV62:AX62)</f>
        <v>-1.4909909909909905E-4</v>
      </c>
      <c r="AK63" s="72">
        <f>INTERCEPT(AV63:AX63,AV62:AX62)</f>
        <v>0.3044324324324324</v>
      </c>
      <c r="AL63" s="72">
        <f>INDEX(LINEST(LN(AV63:AX63),LN(AV62:AX62),TRUE,TRUE),3,1)</f>
        <v>0.94644285766145786</v>
      </c>
      <c r="AM63" s="72">
        <f>INDEX(LINEST(LN(AV63:AX63),LN(AV62:AX62)),1)</f>
        <v>-0.10963244929778714</v>
      </c>
      <c r="AN63" s="72">
        <f>EXP(INDEX(LINEST(LN(AV63:AX63),LN(AV62:AX62)),1,2))</f>
        <v>0.47014535624050813</v>
      </c>
      <c r="AO63" s="89">
        <f>INDEX(LINEST((AV63:AX63),LN(AV62:AX62),TRUE,TRUE),3,1)</f>
        <v>0.96080666058831987</v>
      </c>
      <c r="AP63" s="89">
        <f>INDEX(LINEST((AV63:AX63),LN(AV62:AX62)),1)</f>
        <v>-2.9163049755112594E-2</v>
      </c>
      <c r="AQ63" s="90">
        <f>INDEX(LINEST(LN(AV63:AX63),SQRT(AV62:AX62),TRUE,TRUE),3,1)</f>
        <v>0.99051622960352947</v>
      </c>
      <c r="AR63" s="117">
        <f>INDEX(LINEST(LN(AV63:AX63),SQRT((AV62:AX62))),1)</f>
        <v>-1.6744680766842115E-2</v>
      </c>
      <c r="AS63" s="91">
        <f>INDEX(LINEST(1/(AV63:AX63),1/(SQRT(AV62:AX62)),TRUE,TRUE),3,1)</f>
        <v>0.86019363802387616</v>
      </c>
      <c r="AT63" s="91">
        <f>INDEX(LINEST(1/(AV63:AX63),1/SQRT(AV62:AX62)),1)</f>
        <v>-9.6354466120822391</v>
      </c>
      <c r="AU63" s="3"/>
      <c r="AV63" s="73">
        <v>0.29699999999999999</v>
      </c>
      <c r="AW63" s="73">
        <v>0.26600000000000001</v>
      </c>
      <c r="AX63" s="73">
        <v>0.23400000000000001</v>
      </c>
      <c r="AY63" s="53"/>
      <c r="AZ63" s="53"/>
      <c r="BA63" s="53"/>
      <c r="BB63" s="53"/>
      <c r="BC63" s="53"/>
      <c r="BD63" s="53"/>
      <c r="BE63" s="53"/>
      <c r="BF63" s="53"/>
      <c r="BG63" s="53"/>
      <c r="BH63" s="53"/>
      <c r="BI63" s="53"/>
      <c r="BJ63" s="53"/>
      <c r="BK63" s="53"/>
      <c r="BL63" s="53"/>
      <c r="BM63" s="53"/>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53"/>
      <c r="CO63" s="53"/>
      <c r="CP63" s="53"/>
      <c r="CQ63" s="53"/>
      <c r="CR63" s="1"/>
      <c r="CS63" s="1"/>
      <c r="CT63" s="1"/>
      <c r="CU63" s="1"/>
    </row>
    <row r="64" spans="1:99" s="13" customFormat="1" ht="12" customHeight="1" x14ac:dyDescent="0.2">
      <c r="A64" s="68">
        <v>43509</v>
      </c>
      <c r="B64" s="70"/>
      <c r="C64" s="70"/>
      <c r="D64" s="69"/>
      <c r="E64" s="87"/>
      <c r="F64" s="69"/>
      <c r="G64" s="69"/>
      <c r="H64" s="69"/>
      <c r="I64" s="69"/>
      <c r="J64" s="69"/>
      <c r="K64" s="107"/>
      <c r="L64" s="107"/>
      <c r="M64" s="69"/>
      <c r="N64" s="69"/>
      <c r="O64" s="69"/>
      <c r="P64" s="69"/>
      <c r="Q64" s="69"/>
      <c r="R64" s="69"/>
      <c r="S64" s="69"/>
      <c r="T64" s="69"/>
      <c r="U64" s="60"/>
      <c r="V64" s="69"/>
      <c r="W64" s="69"/>
      <c r="X64" s="69"/>
      <c r="Y64" s="87"/>
      <c r="Z64" s="69"/>
      <c r="AA64" s="69"/>
      <c r="AB64" s="69"/>
      <c r="AC64" s="69"/>
      <c r="AD64" s="69"/>
      <c r="AE64" s="69"/>
      <c r="AF64" s="88"/>
      <c r="AG64" s="72"/>
      <c r="AH64" s="4"/>
      <c r="AI64" s="72"/>
      <c r="AJ64" s="110"/>
      <c r="AK64" s="72"/>
      <c r="AL64" s="72"/>
      <c r="AM64" s="72"/>
      <c r="AN64" s="72"/>
      <c r="AO64" s="72"/>
      <c r="AP64" s="72"/>
      <c r="AQ64" s="89"/>
      <c r="AR64" s="118"/>
      <c r="AS64" s="89"/>
      <c r="AT64" s="89"/>
      <c r="AU64" s="5"/>
      <c r="AV64" s="71">
        <f>60*0.5</f>
        <v>30</v>
      </c>
      <c r="AW64" s="71">
        <f>60*1.5</f>
        <v>90</v>
      </c>
      <c r="AX64" s="71">
        <f>60*4</f>
        <v>240</v>
      </c>
      <c r="AY64" s="53"/>
      <c r="AZ64" s="53"/>
      <c r="BA64" s="53"/>
      <c r="BB64" s="53"/>
      <c r="BC64" s="53"/>
      <c r="BD64" s="53"/>
      <c r="BE64" s="53"/>
      <c r="BF64" s="53"/>
      <c r="BG64" s="53"/>
      <c r="BH64" s="53"/>
      <c r="BI64" s="53"/>
      <c r="BJ64" s="53"/>
      <c r="BK64" s="53"/>
      <c r="BL64" s="53"/>
      <c r="BM64" s="53"/>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53"/>
      <c r="CO64" s="53"/>
      <c r="CP64" s="53"/>
      <c r="CQ64" s="53"/>
      <c r="CR64" s="1"/>
      <c r="CS64" s="1"/>
      <c r="CT64" s="1"/>
      <c r="CU64" s="1"/>
    </row>
    <row r="65" spans="1:99" s="13" customFormat="1" ht="12" customHeight="1" x14ac:dyDescent="0.2">
      <c r="A65" s="68">
        <v>43509</v>
      </c>
      <c r="B65" s="70" t="s">
        <v>253</v>
      </c>
      <c r="C65" s="70" t="s">
        <v>70</v>
      </c>
      <c r="D65" s="69">
        <v>2015</v>
      </c>
      <c r="E65" s="87">
        <v>3</v>
      </c>
      <c r="F65" s="69">
        <v>63</v>
      </c>
      <c r="G65" s="69">
        <v>63</v>
      </c>
      <c r="H65" s="69" t="s">
        <v>32</v>
      </c>
      <c r="I65" s="69" t="s">
        <v>785</v>
      </c>
      <c r="J65" s="69" t="s">
        <v>16</v>
      </c>
      <c r="K65" s="69">
        <f>IF(J65="syllables",1,IF(J65="trigrams",2,IF(J65="strings",3,IF(J65="visual array",4,IF(J65="characters",5,IF(J65="letters",6,IF(J65="free forms",7,IF(J65="odors",8,IF(J65="words",9,IF(J65="pictures",10,IF(J65="object pictures",11,IF(J65="faces",12,IF(J65="names",13,IF(J65="idioms",14,IF(J65="grades",15,IF(J65="syllable-digit pairs",16,IF(J65="trigram-word pairs",17,IF(J65="word-digit pairs",18,IF(J65="English-Swahili pairs",19,IF(J65="spatial position",20,IF(J65="word pairs",21,IF(J65="word triads",22,IF(J65="generated words",23,IF(J65="word definition pairs",24,IF(J65="math problems",25,IF(J65="famous faces",26,IF(J65="famous names",27,IF(J65="famous voices",28,IF(J65="television programs",29,IF(J65="race horses",30,IF(J65="new vocabulary",31,IF(J65="sentences",32,IF(J65="concepts",33,IF(J65="ad slides",34,IF(J65="scenes",35,IF(J65="famous scenes",36,IF(J65="poems",37,IF(J65="walk",38,IF(J65="faces and events",39,IF(J65="events and names",40,IF(J65="flashbulb",41,IF(J65="stories",42,IF(J65="course material",43,IF(J65="autobiographical",44,IF(J65="novels",45,IF(J65="public events",46,"99"))))))))))))))))))))))))))))))))))))))))))))))</f>
        <v>9</v>
      </c>
      <c r="L65" s="69">
        <f>IF(J65="syllables",1,IF(J65="trigrams",1,IF(J65="strings",1,IF(J65="visual array",1,IF(J65="characters",1,IF(J65="letters",1,IF(J65="free forms",1,IF(J65="odors",2,IF(J65="words",2,IF(J65="pictures",2,IF(J65="object pictures",2,IF(J65="faces",2,IF(J65="names",2,IF(J65="idioms","2",IF(J65="grades",2,IF(J65="syllable-digit pairs",3,IF(J65="trigram-word pairs",3,IF(J65="word-digit pairs",3,IF(J65="English-Swahili pairs",3,IF(J65="spatial position",3,IF(J65="word pairs",4,IF(J65="word triads",4,IF(J65="generated words",4,IF(J65="word definition pairs",4,IF(J65="math problems",4,IF(J65="famous faces",4,IF(J65="famous names",4,IF(J65="famous voices",4,IF(J65="television programs",4,IF(J65="race horses",4,IF(J65="new vocabulary",4,IF(J65="sentences",5,IF(J65="concepts",5,IF(J65="ad slides",5,IF(J65="scenes",5,IF(J65="famous scenes",5,IF(J65="poems",6,IF(J65="walk",6,IF(J65="faces and events",6,IF(J65="events and names",6,IF(J65="flashbulb",7,IF(J65="stories",7,IF(J65="course material",7,IF(J65="autobiographical",7,IF(J65="novels",7,IF(J65="public events",7,"99"))))))))))))))))))))))))))))))))))))))))))))))</f>
        <v>2</v>
      </c>
      <c r="M65" s="69">
        <v>0</v>
      </c>
      <c r="N65" s="69">
        <v>1</v>
      </c>
      <c r="O65" s="69">
        <v>1</v>
      </c>
      <c r="P65" s="69" t="s">
        <v>71</v>
      </c>
      <c r="Q65" s="69" t="s">
        <v>174</v>
      </c>
      <c r="R65" s="69">
        <f>IF(Q65="Free Recall",1,IF(Q65="Cued Recall",2,IF(Q65="Recognition",3,IF(Q65="Multiple Choice",4,IF(Q65="Savings",5,IF(Q65="Stem Completion",6,IF(Q65="Fragment Completion",7,IF(Q65="anagram solution",8,IF(Q65="Matching",9,IF(Q65="Problem Solving",10,"99"))))))))))</f>
        <v>1</v>
      </c>
      <c r="S65" s="69" t="s">
        <v>49</v>
      </c>
      <c r="T65" s="92" t="s">
        <v>581</v>
      </c>
      <c r="U65" s="60">
        <f>IF(T65="within",1,0)</f>
        <v>1</v>
      </c>
      <c r="V65" s="92">
        <v>10</v>
      </c>
      <c r="W65" s="69">
        <f>F65*V65</f>
        <v>630</v>
      </c>
      <c r="X65" s="69">
        <v>3</v>
      </c>
      <c r="Y65" s="87">
        <f>AV64</f>
        <v>30</v>
      </c>
      <c r="Z65" s="69" t="s">
        <v>73</v>
      </c>
      <c r="AA65" s="69">
        <v>240</v>
      </c>
      <c r="AB65" s="69" t="str">
        <f>IF(AA65&lt;60,"1",IF(AA65&lt;=43200,"2",IF(AA65&lt;=777600,"3","4")))</f>
        <v>2</v>
      </c>
      <c r="AC65" s="72">
        <f>AVERAGE(AV64:DA64)</f>
        <v>120</v>
      </c>
      <c r="AD65" s="69" t="str">
        <f>IF(AC65&lt;60,"1",IF(AC65&lt;=43200,"2",IF(AC65&lt;=777600,"3","4")))</f>
        <v>2</v>
      </c>
      <c r="AE65" s="87">
        <f>AA65-Y65</f>
        <v>210</v>
      </c>
      <c r="AF65" s="88">
        <f>AV65</f>
        <v>0.45900000000000002</v>
      </c>
      <c r="AG65" s="72">
        <f>((AW65-AV65)+(AX65-AW65))/2</f>
        <v>-1.8000000000000016E-2</v>
      </c>
      <c r="AH65" s="4"/>
      <c r="AI65" s="72">
        <f>RSQ(AV65:AX65,AV64:AX64)</f>
        <v>0.28185955786736033</v>
      </c>
      <c r="AJ65" s="110">
        <f>SLOPE(AV65:AX65,AV64:AX64)</f>
        <v>-2.8333333333333352E-4</v>
      </c>
      <c r="AK65" s="72">
        <f>INTERCEPT(AV65:AX65,AV64:AX64)</f>
        <v>0.50666666666666671</v>
      </c>
      <c r="AL65" s="72">
        <f>INDEX(LINEST(LN(AV65:AX65),LN(AV64:AX64),TRUE,TRUE),3,1)</f>
        <v>9.5269872939361885E-2</v>
      </c>
      <c r="AM65" s="72">
        <f>INDEX(LINEST(LN(AV65:AX65),LN(AV64:AX64)),1)</f>
        <v>-3.5682854601662491E-2</v>
      </c>
      <c r="AN65" s="72">
        <f>EXP(INDEX(LINEST(LN(AV65:AX65),LN(AV64:AX64)),1,2))</f>
        <v>0.55152322999382775</v>
      </c>
      <c r="AO65" s="89">
        <f>INDEX(LINEST((AV65:AX65),LN(AV64:AX64),TRUE,TRUE),3,1)</f>
        <v>7.8733152851051827E-2</v>
      </c>
      <c r="AP65" s="89">
        <f>INDEX(LINEST((AV65:AX65),LN(AV64:AX64)),1)</f>
        <v>-1.5570559600662309E-2</v>
      </c>
      <c r="AQ65" s="90">
        <f>INDEX(LINEST(LN(AV65:AX65),SQRT(AV64:AX64),TRUE,TRUE),3,1)</f>
        <v>0.19789376246165899</v>
      </c>
      <c r="AR65" s="117">
        <f>INDEX(LINEST(LN(AV65:AX65),SQRT((AV64:AX64))),1)</f>
        <v>-1.0614106228199893E-2</v>
      </c>
      <c r="AS65" s="91">
        <f>INDEX(LINEST(1/(AV65:AX65),1/(SQRT(AV64:AX64)),TRUE,TRUE),3,1)</f>
        <v>3.9909194030403085E-2</v>
      </c>
      <c r="AT65" s="91">
        <f>INDEX(LINEST(1/(AV65:AX65),1/SQRT(AV64:AX64)),1)</f>
        <v>-0.83962425835326848</v>
      </c>
      <c r="AU65" s="3"/>
      <c r="AV65" s="73">
        <v>0.45900000000000002</v>
      </c>
      <c r="AW65" s="73">
        <v>0.53600000000000003</v>
      </c>
      <c r="AX65" s="73">
        <v>0.42299999999999999</v>
      </c>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1"/>
      <c r="CS65" s="1"/>
      <c r="CT65" s="1"/>
      <c r="CU65" s="1"/>
    </row>
    <row r="66" spans="1:99" s="13" customFormat="1" ht="12" customHeight="1" x14ac:dyDescent="0.2">
      <c r="A66" s="68">
        <v>43912</v>
      </c>
      <c r="B66" s="70"/>
      <c r="C66" s="70"/>
      <c r="D66" s="69"/>
      <c r="E66" s="87"/>
      <c r="F66" s="69"/>
      <c r="G66" s="69"/>
      <c r="H66" s="69"/>
      <c r="I66" s="69"/>
      <c r="J66" s="69"/>
      <c r="K66" s="107"/>
      <c r="L66" s="107"/>
      <c r="M66" s="69"/>
      <c r="N66" s="69"/>
      <c r="O66" s="69"/>
      <c r="P66" s="69"/>
      <c r="Q66" s="69"/>
      <c r="R66" s="69"/>
      <c r="S66" s="69"/>
      <c r="T66" s="69"/>
      <c r="U66" s="60"/>
      <c r="V66" s="69"/>
      <c r="W66" s="69"/>
      <c r="X66" s="69"/>
      <c r="Y66" s="87"/>
      <c r="Z66" s="69"/>
      <c r="AA66" s="69"/>
      <c r="AB66" s="69"/>
      <c r="AC66" s="69"/>
      <c r="AD66" s="69"/>
      <c r="AE66" s="69"/>
      <c r="AF66" s="88"/>
      <c r="AG66" s="72"/>
      <c r="AH66" s="4"/>
      <c r="AI66" s="72"/>
      <c r="AJ66" s="110"/>
      <c r="AK66" s="72"/>
      <c r="AL66" s="72"/>
      <c r="AM66" s="72"/>
      <c r="AN66" s="72"/>
      <c r="AO66" s="72"/>
      <c r="AP66" s="72"/>
      <c r="AQ66" s="72"/>
      <c r="AR66" s="110"/>
      <c r="AS66" s="72"/>
      <c r="AT66" s="72"/>
      <c r="AU66" s="4"/>
      <c r="AV66" s="71">
        <v>30</v>
      </c>
      <c r="AW66" s="71">
        <f>30*60</f>
        <v>1800</v>
      </c>
      <c r="AX66" s="71">
        <f>45*60</f>
        <v>2700</v>
      </c>
      <c r="AY66" s="53"/>
      <c r="AZ66" s="53"/>
      <c r="BA66" s="53"/>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53"/>
      <c r="CD66" s="53"/>
      <c r="CE66" s="53"/>
      <c r="CF66" s="53"/>
      <c r="CG66" s="53"/>
      <c r="CH66" s="53"/>
      <c r="CI66" s="53"/>
      <c r="CJ66" s="53"/>
      <c r="CK66" s="53"/>
      <c r="CL66" s="53"/>
      <c r="CM66" s="53"/>
      <c r="CN66" s="53"/>
      <c r="CO66" s="53"/>
      <c r="CP66" s="53"/>
      <c r="CQ66" s="53"/>
      <c r="CR66" s="1"/>
      <c r="CS66" s="1"/>
      <c r="CT66" s="1"/>
      <c r="CU66" s="1"/>
    </row>
    <row r="67" spans="1:99" s="13" customFormat="1" ht="12" customHeight="1" x14ac:dyDescent="0.2">
      <c r="A67" s="68">
        <v>43912</v>
      </c>
      <c r="B67" s="70" t="s">
        <v>540</v>
      </c>
      <c r="C67" s="70" t="s">
        <v>114</v>
      </c>
      <c r="D67" s="69">
        <v>1970</v>
      </c>
      <c r="E67" s="87">
        <v>1</v>
      </c>
      <c r="F67" s="69">
        <v>14</v>
      </c>
      <c r="G67" s="69">
        <v>14</v>
      </c>
      <c r="H67" s="69" t="s">
        <v>50</v>
      </c>
      <c r="I67" s="69" t="s">
        <v>542</v>
      </c>
      <c r="J67" s="69" t="s">
        <v>313</v>
      </c>
      <c r="K67" s="69">
        <f>IF(J67="syllables",1,IF(J67="trigrams",2,IF(J67="strings",3,IF(J67="visual array",4,IF(J67="characters",5,IF(J67="letters",6,IF(J67="free forms",7,IF(J67="odors",8,IF(J67="words",9,IF(J67="pictures",10,IF(J67="object pictures",11,IF(J67="faces",12,IF(J67="names",13,IF(J67="idioms",14,IF(J67="grades",15,IF(J67="syllable-digit pairs",16,IF(J67="trigram-word pairs",17,IF(J67="word-digit pairs",18,IF(J67="English-Swahili pairs",19,IF(J67="spatial position",20,IF(J67="word pairs",21,IF(J67="word triads",22,IF(J67="generated words",23,IF(J67="word definition pairs",24,IF(J67="math problems",25,IF(J67="famous faces",26,IF(J67="famous names",27,IF(J67="famous voices",28,IF(J67="television programs",29,IF(J67="race horses",30,IF(J67="new vocabulary",31,IF(J67="sentences",32,IF(J67="concepts",33,IF(J67="ad slides",34,IF(J67="scenes",35,IF(J67="famous scenes",36,IF(J67="poems",37,IF(J67="walk",38,IF(J67="faces and events",39,IF(J67="events and names",40,IF(J67="flashbulb",41,IF(J67="stories",42,IF(J67="course material",43,IF(J67="autobiographical",44,IF(J67="novels",45,IF(J67="public events",46,"99"))))))))))))))))))))))))))))))))))))))))))))))</f>
        <v>10</v>
      </c>
      <c r="L67" s="69">
        <f>IF(J67="syllables",1,IF(J67="trigrams",1,IF(J67="strings",1,IF(J67="visual array",1,IF(J67="characters",1,IF(J67="letters",1,IF(J67="free forms",1,IF(J67="odors",2,IF(J67="words",2,IF(J67="pictures",2,IF(J67="object pictures",2,IF(J67="faces",2,IF(J67="names",2,IF(J67="idioms","2",IF(J67="grades",2,IF(J67="syllable-digit pairs",3,IF(J67="trigram-word pairs",3,IF(J67="word-digit pairs",3,IF(J67="English-Swahili pairs",3,IF(J67="spatial position",3,IF(J67="word pairs",4,IF(J67="word triads",4,IF(J67="generated words",4,IF(J67="word definition pairs",4,IF(J67="math problems",4,IF(J67="famous faces",4,IF(J67="famous names",4,IF(J67="famous voices",4,IF(J67="television programs",4,IF(J67="race horses",4,IF(J67="new vocabulary",4,IF(J67="sentences",5,IF(J67="concepts",5,IF(J67="ad slides",5,IF(J67="scenes",5,IF(J67="famous scenes",5,IF(J67="poems",6,IF(J67="walk",6,IF(J67="faces and events",6,IF(J67="events and names",6,IF(J67="flashbulb",7,IF(J67="stories",7,IF(J67="course material",7,IF(J67="autobiographical",7,IF(J67="novels",7,IF(J67="public events",7,"99"))))))))))))))))))))))))))))))))))))))))))))))</f>
        <v>2</v>
      </c>
      <c r="M67" s="69">
        <v>0</v>
      </c>
      <c r="N67" s="69">
        <v>1</v>
      </c>
      <c r="O67" s="69">
        <v>0</v>
      </c>
      <c r="P67" s="69"/>
      <c r="Q67" s="69" t="s">
        <v>34</v>
      </c>
      <c r="R67" s="69">
        <f>IF(Q67="Free Recall",1,IF(Q67="Cued Recall",2,IF(Q67="Recognition",3,IF(Q67="Multiple Choice",4,IF(Q67="Savings",5,IF(Q67="Stem Completion",6,IF(Q67="Fragment Completion",7,IF(Q67="anagram solution",8,IF(Q67="Matching",9,IF(Q67="Problem Solving",10,"99"))))))))))</f>
        <v>3</v>
      </c>
      <c r="S67" s="69" t="s">
        <v>15</v>
      </c>
      <c r="T67" s="92" t="s">
        <v>581</v>
      </c>
      <c r="U67" s="60">
        <f>IF(T67="within",1,0)</f>
        <v>1</v>
      </c>
      <c r="V67" s="92">
        <v>200</v>
      </c>
      <c r="W67" s="69">
        <f>F67*V67</f>
        <v>2800</v>
      </c>
      <c r="X67" s="69">
        <v>3</v>
      </c>
      <c r="Y67" s="87">
        <f>AV66</f>
        <v>30</v>
      </c>
      <c r="Z67" s="69" t="s">
        <v>541</v>
      </c>
      <c r="AA67" s="87">
        <f>45*60</f>
        <v>2700</v>
      </c>
      <c r="AB67" s="69" t="str">
        <f>IF(AA67&lt;60,"1",IF(AA67&lt;=43200,"2",IF(AA67&lt;=777600,"3","4")))</f>
        <v>2</v>
      </c>
      <c r="AC67" s="87">
        <f>AVERAGE(AV66:DA66)</f>
        <v>1510</v>
      </c>
      <c r="AD67" s="69" t="str">
        <f>IF(AC67&lt;60,"1",IF(AC67&lt;=43200,"2",IF(AC67&lt;=777600,"3","4")))</f>
        <v>2</v>
      </c>
      <c r="AE67" s="87">
        <f>AA67-Y67</f>
        <v>2670</v>
      </c>
      <c r="AF67" s="88">
        <f>AV67</f>
        <v>1</v>
      </c>
      <c r="AG67" s="72">
        <f>((AW67-AV67)+(AX67-AW67))/2</f>
        <v>-3.0000000000000027E-2</v>
      </c>
      <c r="AH67" s="4"/>
      <c r="AI67" s="72">
        <f>RSQ(AV67:AX67,AV66:AX66)</f>
        <v>0.47659944510050251</v>
      </c>
      <c r="AJ67" s="110">
        <f>SLOPE(AV67:AX67,AV66:AX66)</f>
        <v>-2.7990028721617097E-5</v>
      </c>
      <c r="AK67" s="72">
        <f>INTERCEPT(AV67:AX67,AV66:AX66)</f>
        <v>0.98559827670297517</v>
      </c>
      <c r="AL67" s="72">
        <f>INDEX(LINEST(LN(AV67:AX67),LN(AV66:AX66),TRUE,TRUE),3,1)</f>
        <v>0.70934772641954158</v>
      </c>
      <c r="AM67" s="72">
        <f>INDEX(LINEST(LN(AV67:AX67),LN(AV66:AX66)),1)</f>
        <v>-1.9727464596118505E-2</v>
      </c>
      <c r="AN67" s="72">
        <f>EXP(INDEX(LINEST(LN(AV67:AX67),LN(AV66:AX66)),1,2))</f>
        <v>1.0662426061876644</v>
      </c>
      <c r="AO67" s="89">
        <f>INDEX(LINEST((AV67:AX67),LN(AV66:AX66),TRUE,TRUE),3,1)</f>
        <v>0.72439202012442394</v>
      </c>
      <c r="AP67" s="89">
        <f>INDEX(LINEST((AV67:AX67),LN(AV66:AX66)),1)</f>
        <v>-1.8831684501768718E-2</v>
      </c>
      <c r="AQ67" s="90">
        <f>INDEX(LINEST(LN(AV67:AX67),SQRT(AV66:AX66),TRUE,TRUE),3,1)</f>
        <v>0.60141162794312841</v>
      </c>
      <c r="AR67" s="117">
        <f>INDEX(LINEST(LN(AV67:AX67),SQRT((AV66:AX66))),1)</f>
        <v>-1.8415760745410508E-3</v>
      </c>
      <c r="AS67" s="91">
        <f>INDEX(LINEST(1/(AV67:AX67),1/(SQRT(AV66:AX66)),TRUE,TRUE),3,1)</f>
        <v>0.74630594260236904</v>
      </c>
      <c r="AT67" s="91">
        <f>INDEX(LINEST(1/(AV67:AX67),1/SQRT(AV66:AX66)),1)</f>
        <v>-0.57369066771207455</v>
      </c>
      <c r="AU67" s="3"/>
      <c r="AV67" s="73">
        <v>1</v>
      </c>
      <c r="AW67" s="73">
        <v>0.89</v>
      </c>
      <c r="AX67" s="73">
        <v>0.94</v>
      </c>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1"/>
      <c r="CS67" s="1"/>
      <c r="CT67" s="1"/>
      <c r="CU67" s="1"/>
    </row>
    <row r="68" spans="1:99" s="13" customFormat="1" ht="12" customHeight="1" x14ac:dyDescent="0.2">
      <c r="A68" s="68">
        <v>43912</v>
      </c>
      <c r="B68" s="70"/>
      <c r="C68" s="70"/>
      <c r="D68" s="69"/>
      <c r="E68" s="87"/>
      <c r="F68" s="69"/>
      <c r="G68" s="69"/>
      <c r="H68" s="69"/>
      <c r="I68" s="69"/>
      <c r="J68" s="69"/>
      <c r="K68" s="107"/>
      <c r="L68" s="107"/>
      <c r="M68" s="69"/>
      <c r="N68" s="69"/>
      <c r="O68" s="69"/>
      <c r="P68" s="69"/>
      <c r="Q68" s="69"/>
      <c r="R68" s="69"/>
      <c r="S68" s="69"/>
      <c r="T68" s="69"/>
      <c r="U68" s="60"/>
      <c r="V68" s="69"/>
      <c r="W68" s="69"/>
      <c r="X68" s="69"/>
      <c r="Y68" s="87"/>
      <c r="Z68" s="69"/>
      <c r="AA68" s="69"/>
      <c r="AB68" s="69"/>
      <c r="AC68" s="69"/>
      <c r="AD68" s="69"/>
      <c r="AE68" s="69"/>
      <c r="AF68" s="88"/>
      <c r="AG68" s="72"/>
      <c r="AH68" s="4"/>
      <c r="AI68" s="72"/>
      <c r="AJ68" s="110"/>
      <c r="AK68" s="72"/>
      <c r="AL68" s="72"/>
      <c r="AM68" s="72"/>
      <c r="AN68" s="72"/>
      <c r="AO68" s="72"/>
      <c r="AP68" s="72"/>
      <c r="AQ68" s="72"/>
      <c r="AR68" s="110"/>
      <c r="AS68" s="72"/>
      <c r="AT68" s="72"/>
      <c r="AU68" s="4"/>
      <c r="AV68" s="71">
        <v>30</v>
      </c>
      <c r="AW68" s="71">
        <f>30*60</f>
        <v>1800</v>
      </c>
      <c r="AX68" s="71">
        <f>45*60</f>
        <v>2700</v>
      </c>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1"/>
      <c r="CS68" s="1"/>
      <c r="CT68" s="1"/>
      <c r="CU68" s="1"/>
    </row>
    <row r="69" spans="1:99" s="13" customFormat="1" ht="12" customHeight="1" x14ac:dyDescent="0.2">
      <c r="A69" s="68">
        <v>43912</v>
      </c>
      <c r="B69" s="70" t="s">
        <v>540</v>
      </c>
      <c r="C69" s="70" t="s">
        <v>114</v>
      </c>
      <c r="D69" s="69">
        <v>1970</v>
      </c>
      <c r="E69" s="87">
        <v>1</v>
      </c>
      <c r="F69" s="69">
        <v>14</v>
      </c>
      <c r="G69" s="69">
        <v>14</v>
      </c>
      <c r="H69" s="69" t="s">
        <v>50</v>
      </c>
      <c r="I69" s="69" t="s">
        <v>544</v>
      </c>
      <c r="J69" s="69" t="s">
        <v>313</v>
      </c>
      <c r="K69" s="69">
        <f>IF(J69="syllables",1,IF(J69="trigrams",2,IF(J69="strings",3,IF(J69="visual array",4,IF(J69="characters",5,IF(J69="letters",6,IF(J69="free forms",7,IF(J69="odors",8,IF(J69="words",9,IF(J69="pictures",10,IF(J69="object pictures",11,IF(J69="faces",12,IF(J69="names",13,IF(J69="idioms",14,IF(J69="grades",15,IF(J69="syllable-digit pairs",16,IF(J69="trigram-word pairs",17,IF(J69="word-digit pairs",18,IF(J69="English-Swahili pairs",19,IF(J69="spatial position",20,IF(J69="word pairs",21,IF(J69="word triads",22,IF(J69="generated words",23,IF(J69="word definition pairs",24,IF(J69="math problems",25,IF(J69="famous faces",26,IF(J69="famous names",27,IF(J69="famous voices",28,IF(J69="television programs",29,IF(J69="race horses",30,IF(J69="new vocabulary",31,IF(J69="sentences",32,IF(J69="concepts",33,IF(J69="ad slides",34,IF(J69="scenes",35,IF(J69="famous scenes",36,IF(J69="poems",37,IF(J69="walk",38,IF(J69="faces and events",39,IF(J69="events and names",40,IF(J69="flashbulb",41,IF(J69="stories",42,IF(J69="course material",43,IF(J69="autobiographical",44,IF(J69="novels",45,IF(J69="public events",46,"99"))))))))))))))))))))))))))))))))))))))))))))))</f>
        <v>10</v>
      </c>
      <c r="L69" s="69">
        <f>IF(J69="syllables",1,IF(J69="trigrams",1,IF(J69="strings",1,IF(J69="visual array",1,IF(J69="characters",1,IF(J69="letters",1,IF(J69="free forms",1,IF(J69="odors",2,IF(J69="words",2,IF(J69="pictures",2,IF(J69="object pictures",2,IF(J69="faces",2,IF(J69="names",2,IF(J69="idioms","2",IF(J69="grades",2,IF(J69="syllable-digit pairs",3,IF(J69="trigram-word pairs",3,IF(J69="word-digit pairs",3,IF(J69="English-Swahili pairs",3,IF(J69="spatial position",3,IF(J69="word pairs",4,IF(J69="word triads",4,IF(J69="generated words",4,IF(J69="word definition pairs",4,IF(J69="math problems",4,IF(J69="famous faces",4,IF(J69="famous names",4,IF(J69="famous voices",4,IF(J69="television programs",4,IF(J69="race horses",4,IF(J69="new vocabulary",4,IF(J69="sentences",5,IF(J69="concepts",5,IF(J69="ad slides",5,IF(J69="scenes",5,IF(J69="famous scenes",5,IF(J69="poems",6,IF(J69="walk",6,IF(J69="faces and events",6,IF(J69="events and names",6,IF(J69="flashbulb",7,IF(J69="stories",7,IF(J69="course material",7,IF(J69="autobiographical",7,IF(J69="novels",7,IF(J69="public events",7,"99"))))))))))))))))))))))))))))))))))))))))))))))</f>
        <v>2</v>
      </c>
      <c r="M69" s="69">
        <v>0</v>
      </c>
      <c r="N69" s="69">
        <v>1</v>
      </c>
      <c r="O69" s="69">
        <v>0</v>
      </c>
      <c r="P69" s="69"/>
      <c r="Q69" s="69" t="s">
        <v>34</v>
      </c>
      <c r="R69" s="69">
        <f>IF(Q69="Free Recall",1,IF(Q69="Cued Recall",2,IF(Q69="Recognition",3,IF(Q69="Multiple Choice",4,IF(Q69="Savings",5,IF(Q69="Stem Completion",6,IF(Q69="Fragment Completion",7,IF(Q69="anagram solution",8,IF(Q69="Matching",9,IF(Q69="Problem Solving",10,"99"))))))))))</f>
        <v>3</v>
      </c>
      <c r="S69" s="69" t="s">
        <v>15</v>
      </c>
      <c r="T69" s="92" t="s">
        <v>581</v>
      </c>
      <c r="U69" s="60">
        <f>IF(T69="within",1,0)</f>
        <v>1</v>
      </c>
      <c r="V69" s="92">
        <v>200</v>
      </c>
      <c r="W69" s="69">
        <f>F69*V69</f>
        <v>2800</v>
      </c>
      <c r="X69" s="69">
        <v>3</v>
      </c>
      <c r="Y69" s="87">
        <f>AV68</f>
        <v>30</v>
      </c>
      <c r="Z69" s="69" t="s">
        <v>541</v>
      </c>
      <c r="AA69" s="87">
        <f>45*60</f>
        <v>2700</v>
      </c>
      <c r="AB69" s="69" t="str">
        <f>IF(AA69&lt;60,"1",IF(AA69&lt;=43200,"2",IF(AA69&lt;=777600,"3","4")))</f>
        <v>2</v>
      </c>
      <c r="AC69" s="87">
        <f>AVERAGE(AV68:DA68)</f>
        <v>1510</v>
      </c>
      <c r="AD69" s="69" t="str">
        <f>IF(AC69&lt;60,"1",IF(AC69&lt;=43200,"2",IF(AC69&lt;=777600,"3","4")))</f>
        <v>2</v>
      </c>
      <c r="AE69" s="87">
        <f>AA69-Y69</f>
        <v>2670</v>
      </c>
      <c r="AF69" s="88">
        <f>AV69</f>
        <v>0.79</v>
      </c>
      <c r="AG69" s="72">
        <f>((AW69-AV69)+(AX69-AW69))/2</f>
        <v>-2.0000000000000018E-2</v>
      </c>
      <c r="AH69" s="4"/>
      <c r="AI69" s="72">
        <f>RSQ(AV69:AX69,AV68:AX68)</f>
        <v>0.16622324649474776</v>
      </c>
      <c r="AJ69" s="110">
        <f>SLOPE(AV69:AX69,AV68:AX68)</f>
        <v>-1.0540291551509257E-5</v>
      </c>
      <c r="AK69" s="72">
        <f>INTERCEPT(AV69:AX69,AV68:AX68)</f>
        <v>0.80258250690944566</v>
      </c>
      <c r="AL69" s="72">
        <f>INDEX(LINEST(LN(AV69:AX69),LN(AV68:AX68),TRUE,TRUE),3,1)</f>
        <v>3.0757076885725095E-2</v>
      </c>
      <c r="AM69" s="72">
        <f>INDEX(LINEST(LN(AV69:AX69),LN(AV68:AX68)),1)</f>
        <v>-3.157575331899632E-3</v>
      </c>
      <c r="AN69" s="72">
        <f>EXP(INDEX(LINEST(LN(AV69:AX69),LN(AV68:AX68)),1,2))</f>
        <v>0.80185029899449611</v>
      </c>
      <c r="AO69" s="89">
        <f>INDEX(LINEST((AV69:AX69),LN(AV68:AX68),TRUE,TRUE),3,1)</f>
        <v>2.660031931799629E-2</v>
      </c>
      <c r="AP69" s="89">
        <f>INDEX(LINEST((AV69:AX69),LN(AV68:AX68)),1)</f>
        <v>-2.3010493434163157E-3</v>
      </c>
      <c r="AQ69" s="90">
        <f>INDEX(LINEST(LN(AV69:AX69),SQRT(AV68:AX68),TRUE,TRUE),3,1)</f>
        <v>8.1863333792942708E-2</v>
      </c>
      <c r="AR69" s="117">
        <f>INDEX(LINEST(LN(AV69:AX69),SQRT((AV68:AX68))),1)</f>
        <v>-5.2226145748634697E-4</v>
      </c>
      <c r="AS69" s="91">
        <f>INDEX(LINEST(1/(AV69:AX69),1/(SQRT(AV68:AX68)),TRUE,TRUE),3,1)</f>
        <v>1.6897951435186118E-2</v>
      </c>
      <c r="AT69" s="91">
        <f>INDEX(LINEST(1/(AV69:AX69),1/SQRT(AV68:AX68)),1)</f>
        <v>-7.9942001097693782E-2</v>
      </c>
      <c r="AU69" s="3"/>
      <c r="AV69" s="73">
        <v>0.79</v>
      </c>
      <c r="AW69" s="73">
        <v>0.82</v>
      </c>
      <c r="AX69" s="73">
        <v>0.75</v>
      </c>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1"/>
      <c r="CS69" s="1"/>
      <c r="CT69" s="1"/>
      <c r="CU69" s="1"/>
    </row>
    <row r="70" spans="1:99" s="13" customFormat="1" ht="12" customHeight="1" x14ac:dyDescent="0.2">
      <c r="A70" s="68">
        <v>43912</v>
      </c>
      <c r="B70" s="70"/>
      <c r="C70" s="70"/>
      <c r="D70" s="69"/>
      <c r="E70" s="87"/>
      <c r="F70" s="69"/>
      <c r="G70" s="69"/>
      <c r="H70" s="69"/>
      <c r="I70" s="69"/>
      <c r="J70" s="69"/>
      <c r="K70" s="107"/>
      <c r="L70" s="107"/>
      <c r="M70" s="69"/>
      <c r="N70" s="69"/>
      <c r="O70" s="69"/>
      <c r="P70" s="69"/>
      <c r="Q70" s="69"/>
      <c r="R70" s="69"/>
      <c r="S70" s="69"/>
      <c r="T70" s="69"/>
      <c r="U70" s="60"/>
      <c r="V70" s="69"/>
      <c r="W70" s="69"/>
      <c r="X70" s="69"/>
      <c r="Y70" s="87"/>
      <c r="Z70" s="69"/>
      <c r="AA70" s="69"/>
      <c r="AB70" s="69"/>
      <c r="AC70" s="69"/>
      <c r="AD70" s="69"/>
      <c r="AE70" s="69"/>
      <c r="AF70" s="88"/>
      <c r="AG70" s="72"/>
      <c r="AH70" s="4"/>
      <c r="AI70" s="72"/>
      <c r="AJ70" s="110"/>
      <c r="AK70" s="72"/>
      <c r="AL70" s="72"/>
      <c r="AM70" s="72"/>
      <c r="AN70" s="72"/>
      <c r="AO70" s="72"/>
      <c r="AP70" s="72"/>
      <c r="AQ70" s="72"/>
      <c r="AR70" s="110"/>
      <c r="AS70" s="72"/>
      <c r="AT70" s="72"/>
      <c r="AU70" s="4"/>
      <c r="AV70" s="71">
        <v>30</v>
      </c>
      <c r="AW70" s="71">
        <f>30*60</f>
        <v>1800</v>
      </c>
      <c r="AX70" s="71">
        <f>45*60</f>
        <v>2700</v>
      </c>
      <c r="AY70" s="53"/>
      <c r="AZ70" s="53"/>
      <c r="BA70" s="53"/>
      <c r="BB70" s="53"/>
      <c r="BC70" s="53"/>
      <c r="BD70" s="53"/>
      <c r="BE70" s="53"/>
      <c r="BF70" s="53"/>
      <c r="BG70" s="53"/>
      <c r="BH70" s="53"/>
      <c r="BI70" s="53"/>
      <c r="BJ70" s="53"/>
      <c r="BK70" s="53"/>
      <c r="BL70" s="53"/>
      <c r="BM70" s="53"/>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3"/>
      <c r="CQ70" s="53"/>
      <c r="CR70" s="1"/>
      <c r="CS70" s="1"/>
      <c r="CT70" s="1"/>
      <c r="CU70" s="1"/>
    </row>
    <row r="71" spans="1:99" s="13" customFormat="1" ht="12" customHeight="1" x14ac:dyDescent="0.2">
      <c r="A71" s="68">
        <v>43912</v>
      </c>
      <c r="B71" s="70" t="s">
        <v>540</v>
      </c>
      <c r="C71" s="70" t="s">
        <v>114</v>
      </c>
      <c r="D71" s="69">
        <v>1970</v>
      </c>
      <c r="E71" s="87">
        <v>1</v>
      </c>
      <c r="F71" s="69">
        <v>14</v>
      </c>
      <c r="G71" s="69">
        <v>14</v>
      </c>
      <c r="H71" s="69" t="s">
        <v>50</v>
      </c>
      <c r="I71" s="69" t="s">
        <v>545</v>
      </c>
      <c r="J71" s="69" t="s">
        <v>313</v>
      </c>
      <c r="K71" s="69">
        <f>IF(J71="syllables",1,IF(J71="trigrams",2,IF(J71="strings",3,IF(J71="visual array",4,IF(J71="characters",5,IF(J71="letters",6,IF(J71="free forms",7,IF(J71="odors",8,IF(J71="words",9,IF(J71="pictures",10,IF(J71="object pictures",11,IF(J71="faces",12,IF(J71="names",13,IF(J71="idioms",14,IF(J71="grades",15,IF(J71="syllable-digit pairs",16,IF(J71="trigram-word pairs",17,IF(J71="word-digit pairs",18,IF(J71="English-Swahili pairs",19,IF(J71="spatial position",20,IF(J71="word pairs",21,IF(J71="word triads",22,IF(J71="generated words",23,IF(J71="word definition pairs",24,IF(J71="math problems",25,IF(J71="famous faces",26,IF(J71="famous names",27,IF(J71="famous voices",28,IF(J71="television programs",29,IF(J71="race horses",30,IF(J71="new vocabulary",31,IF(J71="sentences",32,IF(J71="concepts",33,IF(J71="ad slides",34,IF(J71="scenes",35,IF(J71="famous scenes",36,IF(J71="poems",37,IF(J71="walk",38,IF(J71="faces and events",39,IF(J71="events and names",40,IF(J71="flashbulb",41,IF(J71="stories",42,IF(J71="course material",43,IF(J71="autobiographical",44,IF(J71="novels",45,IF(J71="public events",46,"99"))))))))))))))))))))))))))))))))))))))))))))))</f>
        <v>10</v>
      </c>
      <c r="L71" s="69">
        <f>IF(J71="syllables",1,IF(J71="trigrams",1,IF(J71="strings",1,IF(J71="visual array",1,IF(J71="characters",1,IF(J71="letters",1,IF(J71="free forms",1,IF(J71="odors",2,IF(J71="words",2,IF(J71="pictures",2,IF(J71="object pictures",2,IF(J71="faces",2,IF(J71="names",2,IF(J71="idioms","2",IF(J71="grades",2,IF(J71="syllable-digit pairs",3,IF(J71="trigram-word pairs",3,IF(J71="word-digit pairs",3,IF(J71="English-Swahili pairs",3,IF(J71="spatial position",3,IF(J71="word pairs",4,IF(J71="word triads",4,IF(J71="generated words",4,IF(J71="word definition pairs",4,IF(J71="math problems",4,IF(J71="famous faces",4,IF(J71="famous names",4,IF(J71="famous voices",4,IF(J71="television programs",4,IF(J71="race horses",4,IF(J71="new vocabulary",4,IF(J71="sentences",5,IF(J71="concepts",5,IF(J71="ad slides",5,IF(J71="scenes",5,IF(J71="famous scenes",5,IF(J71="poems",6,IF(J71="walk",6,IF(J71="faces and events",6,IF(J71="events and names",6,IF(J71="flashbulb",7,IF(J71="stories",7,IF(J71="course material",7,IF(J71="autobiographical",7,IF(J71="novels",7,IF(J71="public events",7,"99"))))))))))))))))))))))))))))))))))))))))))))))</f>
        <v>2</v>
      </c>
      <c r="M71" s="69">
        <v>0</v>
      </c>
      <c r="N71" s="69">
        <v>1</v>
      </c>
      <c r="O71" s="69">
        <v>0</v>
      </c>
      <c r="P71" s="69"/>
      <c r="Q71" s="69" t="s">
        <v>34</v>
      </c>
      <c r="R71" s="69">
        <f>IF(Q71="Free Recall",1,IF(Q71="Cued Recall",2,IF(Q71="Recognition",3,IF(Q71="Multiple Choice",4,IF(Q71="Savings",5,IF(Q71="Stem Completion",6,IF(Q71="Fragment Completion",7,IF(Q71="anagram solution",8,IF(Q71="Matching",9,IF(Q71="Problem Solving",10,"99"))))))))))</f>
        <v>3</v>
      </c>
      <c r="S71" s="69" t="s">
        <v>15</v>
      </c>
      <c r="T71" s="92" t="s">
        <v>581</v>
      </c>
      <c r="U71" s="60">
        <f>IF(T71="within",1,0)</f>
        <v>1</v>
      </c>
      <c r="V71" s="92">
        <v>200</v>
      </c>
      <c r="W71" s="69">
        <f>F71*V71</f>
        <v>2800</v>
      </c>
      <c r="X71" s="69">
        <v>3</v>
      </c>
      <c r="Y71" s="87">
        <f>AV70</f>
        <v>30</v>
      </c>
      <c r="Z71" s="69" t="s">
        <v>541</v>
      </c>
      <c r="AA71" s="87">
        <f>45*60</f>
        <v>2700</v>
      </c>
      <c r="AB71" s="69" t="str">
        <f>IF(AA71&lt;60,"1",IF(AA71&lt;=43200,"2",IF(AA71&lt;=777600,"3","4")))</f>
        <v>2</v>
      </c>
      <c r="AC71" s="87">
        <f>AVERAGE(AV70:DA70)</f>
        <v>1510</v>
      </c>
      <c r="AD71" s="69" t="str">
        <f>IF(AC71&lt;60,"1",IF(AC71&lt;=43200,"2",IF(AC71&lt;=777600,"3","4")))</f>
        <v>2</v>
      </c>
      <c r="AE71" s="87">
        <f>AA71-Y71</f>
        <v>2670</v>
      </c>
      <c r="AF71" s="88">
        <f>AV71</f>
        <v>0.75</v>
      </c>
      <c r="AG71" s="72">
        <f>((AW71-AV71)+(AX71-AW71))/2</f>
        <v>-2.0000000000000018E-2</v>
      </c>
      <c r="AH71" s="4"/>
      <c r="AI71" s="72">
        <f>RSQ(AV71:AX71,AV70:AX70)</f>
        <v>0.74637689574285249</v>
      </c>
      <c r="AJ71" s="110">
        <f>SLOPE(AV71:AX71,AV70:AX70)</f>
        <v>-1.6826532271175433E-5</v>
      </c>
      <c r="AK71" s="72">
        <f>INTERCEPT(AV71:AX71,AV70:AX70)</f>
        <v>0.74540806372947499</v>
      </c>
      <c r="AL71" s="72">
        <f>INDEX(LINEST(LN(AV71:AX71),LN(AV70:AX70),TRUE,TRUE),3,1)</f>
        <v>0.92498094718953883</v>
      </c>
      <c r="AM71" s="72">
        <f>INDEX(LINEST(LN(AV71:AX71),LN(AV70:AX70)),1)</f>
        <v>-1.4077656808005854E-2</v>
      </c>
      <c r="AN71" s="72">
        <f>EXP(INDEX(LINEST(LN(AV71:AX71),LN(AV70:AX70)),1,2))</f>
        <v>0.78604620678430026</v>
      </c>
      <c r="AO71" s="89">
        <f>INDEX(LINEST((AV71:AX71),LN(AV70:AX70),TRUE,TRUE),3,1)</f>
        <v>0.92799791023336997</v>
      </c>
      <c r="AP71" s="89">
        <f>INDEX(LINEST((AV71:AX71),LN(AV70:AX70)),1)</f>
        <v>-1.0239170884910123E-2</v>
      </c>
      <c r="AQ71" s="90">
        <f>INDEX(LINEST(LN(AV71:AX71),SQRT(AV70:AX70),TRUE,TRUE),3,1)</f>
        <v>0.85452317005446388</v>
      </c>
      <c r="AR71" s="117">
        <f>INDEX(LINEST(LN(AV71:AX71),SQRT((AV70:AX70))),1)</f>
        <v>-1.371791075129805E-3</v>
      </c>
      <c r="AS71" s="91">
        <f>INDEX(LINEST(1/(AV71:AX71),1/(SQRT(AV70:AX70)),TRUE,TRUE),3,1)</f>
        <v>0.95021224049428421</v>
      </c>
      <c r="AT71" s="91">
        <f>INDEX(LINEST(1/(AV71:AX71),1/SQRT(AV70:AX70)),1)</f>
        <v>-0.52571065671971162</v>
      </c>
      <c r="AU71" s="3"/>
      <c r="AV71" s="73">
        <v>0.75</v>
      </c>
      <c r="AW71" s="73">
        <v>0.7</v>
      </c>
      <c r="AX71" s="73">
        <v>0.71</v>
      </c>
      <c r="AY71" s="53"/>
      <c r="AZ71" s="53"/>
      <c r="BA71" s="53"/>
      <c r="BB71" s="53"/>
      <c r="BC71" s="53"/>
      <c r="BD71" s="53"/>
      <c r="BE71" s="53"/>
      <c r="BF71" s="53"/>
      <c r="BG71" s="53"/>
      <c r="BH71" s="53"/>
      <c r="BI71" s="53"/>
      <c r="BJ71" s="53"/>
      <c r="BK71" s="53"/>
      <c r="BL71" s="53"/>
      <c r="BM71" s="53"/>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3"/>
      <c r="CQ71" s="53"/>
      <c r="CR71" s="1"/>
      <c r="CS71" s="1"/>
      <c r="CT71" s="1"/>
      <c r="CU71" s="1"/>
    </row>
    <row r="72" spans="1:99" s="13" customFormat="1" ht="12" customHeight="1" x14ac:dyDescent="0.2">
      <c r="A72" s="68">
        <v>43902</v>
      </c>
      <c r="B72" s="70"/>
      <c r="C72" s="70"/>
      <c r="D72" s="69"/>
      <c r="E72" s="87"/>
      <c r="F72" s="69"/>
      <c r="G72" s="69"/>
      <c r="H72" s="69"/>
      <c r="I72" s="69"/>
      <c r="J72" s="69"/>
      <c r="K72" s="107"/>
      <c r="L72" s="107"/>
      <c r="M72" s="69"/>
      <c r="N72" s="86"/>
      <c r="O72" s="69"/>
      <c r="P72" s="69"/>
      <c r="Q72" s="69"/>
      <c r="R72" s="69"/>
      <c r="S72" s="69"/>
      <c r="T72" s="92"/>
      <c r="U72" s="60"/>
      <c r="V72" s="69"/>
      <c r="W72" s="69"/>
      <c r="X72" s="69"/>
      <c r="Y72" s="87"/>
      <c r="Z72" s="69"/>
      <c r="AA72" s="69"/>
      <c r="AB72" s="69"/>
      <c r="AC72" s="69"/>
      <c r="AD72" s="69"/>
      <c r="AE72" s="69"/>
      <c r="AF72" s="88"/>
      <c r="AG72" s="72"/>
      <c r="AH72" s="4"/>
      <c r="AI72" s="72"/>
      <c r="AJ72" s="110"/>
      <c r="AK72" s="72"/>
      <c r="AL72" s="72"/>
      <c r="AM72" s="72"/>
      <c r="AN72" s="72"/>
      <c r="AO72" s="72"/>
      <c r="AP72" s="72"/>
      <c r="AQ72" s="89"/>
      <c r="AR72" s="118"/>
      <c r="AS72" s="89"/>
      <c r="AT72" s="89"/>
      <c r="AU72" s="4"/>
      <c r="AV72" s="73">
        <v>0.01</v>
      </c>
      <c r="AW72" s="71">
        <v>5</v>
      </c>
      <c r="AX72" s="71">
        <v>10</v>
      </c>
      <c r="AY72" s="71">
        <v>30</v>
      </c>
      <c r="AZ72" s="71">
        <v>60</v>
      </c>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1"/>
      <c r="CS72" s="1"/>
      <c r="CT72" s="1"/>
      <c r="CU72" s="1"/>
    </row>
    <row r="73" spans="1:99" s="13" customFormat="1" ht="12" customHeight="1" x14ac:dyDescent="0.2">
      <c r="A73" s="68">
        <v>43902</v>
      </c>
      <c r="B73" s="70" t="s">
        <v>456</v>
      </c>
      <c r="C73" s="70" t="s">
        <v>139</v>
      </c>
      <c r="D73" s="69">
        <v>1982</v>
      </c>
      <c r="E73" s="87">
        <v>1</v>
      </c>
      <c r="F73" s="69">
        <v>4</v>
      </c>
      <c r="G73" s="69">
        <v>4</v>
      </c>
      <c r="H73" s="69" t="s">
        <v>457</v>
      </c>
      <c r="I73" s="69" t="s">
        <v>330</v>
      </c>
      <c r="J73" s="69" t="s">
        <v>443</v>
      </c>
      <c r="K73" s="69">
        <f>IF(J73="syllables",1,IF(J73="trigrams",2,IF(J73="strings",3,IF(J73="visual array",4,IF(J73="characters",5,IF(J73="letters",6,IF(J73="free forms",7,IF(J73="odors",8,IF(J73="words",9,IF(J73="pictures",10,IF(J73="object pictures",11,IF(J73="faces",12,IF(J73="names",13,IF(J73="idioms",14,IF(J73="grades",15,IF(J73="syllable-digit pairs",16,IF(J73="trigram-word pairs",17,IF(J73="word-digit pairs",18,IF(J73="English-Swahili pairs",19,IF(J73="spatial position",20,IF(J73="word pairs",21,IF(J73="word triads",22,IF(J73="generated words",23,IF(J73="word definition pairs",24,IF(J73="math problems",25,IF(J73="famous faces",26,IF(J73="famous names",27,IF(J73="famous voices",28,IF(J73="television programs",29,IF(J73="race horses",30,IF(J73="new vocabulary",31,IF(J73="sentences",32,IF(J73="concepts",33,IF(J73="ad slides",34,IF(J73="scenes",35,IF(J73="famous scenes",36,IF(J73="poems",37,IF(J73="walk",38,IF(J73="faces and events",39,IF(J73="events and names",40,IF(J73="flashbulb",41,IF(J73="stories",42,IF(J73="course material",43,IF(J73="autobiographical",44,IF(J73="novels",45,IF(J73="public events",46,"99"))))))))))))))))))))))))))))))))))))))))))))))</f>
        <v>2</v>
      </c>
      <c r="L73" s="69">
        <f>IF(J73="syllables",1,IF(J73="trigrams",1,IF(J73="strings",1,IF(J73="visual array",1,IF(J73="characters",1,IF(J73="letters",1,IF(J73="free forms",1,IF(J73="odors",2,IF(J73="words",2,IF(J73="pictures",2,IF(J73="object pictures",2,IF(J73="faces",2,IF(J73="names",2,IF(J73="idioms","2",IF(J73="grades",2,IF(J73="syllable-digit pairs",3,IF(J73="trigram-word pairs",3,IF(J73="word-digit pairs",3,IF(J73="English-Swahili pairs",3,IF(J73="spatial position",3,IF(J73="word pairs",4,IF(J73="word triads",4,IF(J73="generated words",4,IF(J73="word definition pairs",4,IF(J73="math problems",4,IF(J73="famous faces",4,IF(J73="famous names",4,IF(J73="famous voices",4,IF(J73="television programs",4,IF(J73="race horses",4,IF(J73="new vocabulary",4,IF(J73="sentences",5,IF(J73="concepts",5,IF(J73="ad slides",5,IF(J73="scenes",5,IF(J73="famous scenes",5,IF(J73="poems",6,IF(J73="walk",6,IF(J73="faces and events",6,IF(J73="events and names",6,IF(J73="flashbulb",7,IF(J73="stories",7,IF(J73="course material",7,IF(J73="autobiographical",7,IF(J73="novels",7,IF(J73="public events",7,"99"))))))))))))))))))))))))))))))))))))))))))))))</f>
        <v>1</v>
      </c>
      <c r="M73" s="69">
        <v>0</v>
      </c>
      <c r="N73" s="86">
        <v>1</v>
      </c>
      <c r="O73" s="69">
        <v>1</v>
      </c>
      <c r="P73" s="69" t="s">
        <v>53</v>
      </c>
      <c r="Q73" s="69" t="s">
        <v>174</v>
      </c>
      <c r="R73" s="69">
        <f>IF(Q73="Free Recall",1,IF(Q73="Cued Recall",2,IF(Q73="Recognition",3,IF(Q73="Multiple Choice",4,IF(Q73="Savings",5,IF(Q73="Stem Completion",6,IF(Q73="Fragment Completion",7,IF(Q73="anagram solution",8,IF(Q73="Matching",9,IF(Q73="Problem Solving",10,"99"))))))))))</f>
        <v>1</v>
      </c>
      <c r="S73" s="69" t="s">
        <v>49</v>
      </c>
      <c r="T73" s="92" t="s">
        <v>581</v>
      </c>
      <c r="U73" s="60">
        <f>IF(T73="within",1,0)</f>
        <v>1</v>
      </c>
      <c r="V73" s="92">
        <v>50</v>
      </c>
      <c r="W73" s="69">
        <f>F73*V73</f>
        <v>200</v>
      </c>
      <c r="X73" s="69">
        <v>5</v>
      </c>
      <c r="Y73" s="87">
        <f>AV72</f>
        <v>0.01</v>
      </c>
      <c r="Z73" s="69" t="s">
        <v>458</v>
      </c>
      <c r="AA73" s="69">
        <v>60</v>
      </c>
      <c r="AB73" s="69" t="str">
        <f>IF(AA73&lt;60,"1",IF(AA73&lt;=43200,"2",IF(AA73&lt;=777600,"3","4")))</f>
        <v>2</v>
      </c>
      <c r="AC73" s="72">
        <f>AVERAGE(AV72:DA72)</f>
        <v>21.001999999999999</v>
      </c>
      <c r="AD73" s="69" t="str">
        <f>IF(AC73&lt;60,"1",IF(AC73&lt;=43200,"2",IF(AC73&lt;=777600,"3","4")))</f>
        <v>1</v>
      </c>
      <c r="AE73" s="87">
        <f>AA73-Y73</f>
        <v>59.99</v>
      </c>
      <c r="AF73" s="88">
        <f>AV73</f>
        <v>1</v>
      </c>
      <c r="AG73" s="72">
        <f>((AW73-AV73)+(AX73-AW73)+(AY73-AX73)+(AZ73-AY73))/4</f>
        <v>-0.13250000000000001</v>
      </c>
      <c r="AH73" s="4"/>
      <c r="AI73" s="72">
        <f>RSQ(AV73:AZ73,AV72:AZ72)</f>
        <v>0.73923138843760217</v>
      </c>
      <c r="AJ73" s="110">
        <f>SLOPE(AV73:AZ73,AV72:AZ72)</f>
        <v>-7.3719734045752262E-3</v>
      </c>
      <c r="AK73" s="72">
        <f>INTERCEPT(AV73:AZ73,AV72:AZ72)</f>
        <v>0.86282618544288892</v>
      </c>
      <c r="AL73" s="72">
        <f>INDEX(LINEST(LN(AV73:AZ73),LN(AV72:AZ72),TRUE,TRUE),3,1)</f>
        <v>0.76294483860737761</v>
      </c>
      <c r="AM73" s="72">
        <f>INDEX(LINEST(LN(AV73:AZ73),LN(AV72:AZ72)),1)</f>
        <v>-7.4822670105094274E-2</v>
      </c>
      <c r="AN73" s="72">
        <f>EXP(INDEX(LINEST(LN(AV73:AZ73),LN(AV72:AZ72)),1,2))</f>
        <v>0.75664242482323996</v>
      </c>
      <c r="AO73" s="89">
        <f>INDEX(LINEST((AV73:AZ73),LN(AV72:AZ72),TRUE,TRUE),3,1)</f>
        <v>0.82852948655984682</v>
      </c>
      <c r="AP73" s="89">
        <f>INDEX(LINEST((AV73:AZ73),LN(AV72:AZ72)),1)</f>
        <v>-5.5309198655963475E-2</v>
      </c>
      <c r="AQ73" s="90">
        <f>INDEX(LINEST(LN(AV73:AZ73),SQRT(AV72:AZ72),TRUE,TRUE),3,1)</f>
        <v>0.94382396461183071</v>
      </c>
      <c r="AR73" s="117">
        <f>INDEX(LINEST(LN(AV73:AZ73),SQRT((AV72:AZ72))),1)</f>
        <v>-9.7762520053356769E-2</v>
      </c>
      <c r="AS73" s="91">
        <f>INDEX(LINEST(1/(AV73:AZ73),1/(SQRT(AV72:AZ72)),TRUE,TRUE),3,1)</f>
        <v>0.45156580980982103</v>
      </c>
      <c r="AT73" s="91">
        <f>INDEX(LINEST(1/(AV73:AZ73),1/SQRT(AV72:AZ72)),1)</f>
        <v>-6.8181227981727516E-2</v>
      </c>
      <c r="AU73" s="4"/>
      <c r="AV73" s="73">
        <v>1</v>
      </c>
      <c r="AW73" s="73">
        <v>0.84</v>
      </c>
      <c r="AX73" s="73">
        <v>0.64</v>
      </c>
      <c r="AY73" s="73">
        <v>0.59</v>
      </c>
      <c r="AZ73" s="73">
        <v>0.47</v>
      </c>
      <c r="BA73" s="53"/>
      <c r="BB73" s="53"/>
      <c r="BC73" s="53"/>
      <c r="BD73" s="53"/>
      <c r="BE73" s="53"/>
      <c r="BF73" s="53"/>
      <c r="BG73" s="53"/>
      <c r="BH73" s="53"/>
      <c r="BI73" s="53"/>
      <c r="BJ73" s="53"/>
      <c r="BK73" s="53"/>
      <c r="BL73" s="53"/>
      <c r="BM73" s="53"/>
      <c r="BN73" s="53"/>
      <c r="BO73" s="53"/>
      <c r="BP73" s="53"/>
      <c r="BQ73" s="53"/>
      <c r="BR73" s="53"/>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3"/>
      <c r="CQ73" s="53"/>
      <c r="CR73" s="1"/>
      <c r="CS73" s="1"/>
      <c r="CT73" s="1"/>
      <c r="CU73" s="1"/>
    </row>
    <row r="74" spans="1:99" s="13" customFormat="1" ht="12" customHeight="1" x14ac:dyDescent="0.2">
      <c r="A74" s="68">
        <v>43902</v>
      </c>
      <c r="B74" s="70"/>
      <c r="C74" s="70"/>
      <c r="D74" s="69"/>
      <c r="E74" s="87"/>
      <c r="F74" s="69"/>
      <c r="G74" s="69"/>
      <c r="H74" s="69"/>
      <c r="I74" s="69"/>
      <c r="J74" s="69"/>
      <c r="K74" s="107"/>
      <c r="L74" s="107"/>
      <c r="M74" s="69"/>
      <c r="N74" s="86"/>
      <c r="O74" s="69"/>
      <c r="P74" s="69"/>
      <c r="Q74" s="69"/>
      <c r="R74" s="69"/>
      <c r="S74" s="69"/>
      <c r="T74" s="92"/>
      <c r="U74" s="60"/>
      <c r="V74" s="69"/>
      <c r="W74" s="69"/>
      <c r="X74" s="69"/>
      <c r="Y74" s="87"/>
      <c r="Z74" s="69"/>
      <c r="AA74" s="69"/>
      <c r="AB74" s="69"/>
      <c r="AC74" s="69"/>
      <c r="AD74" s="69"/>
      <c r="AE74" s="69"/>
      <c r="AF74" s="88"/>
      <c r="AG74" s="72"/>
      <c r="AH74" s="4"/>
      <c r="AI74" s="72"/>
      <c r="AJ74" s="110"/>
      <c r="AK74" s="72"/>
      <c r="AL74" s="72"/>
      <c r="AM74" s="72"/>
      <c r="AN74" s="72"/>
      <c r="AO74" s="72"/>
      <c r="AP74" s="72"/>
      <c r="AQ74" s="89"/>
      <c r="AR74" s="118"/>
      <c r="AS74" s="89"/>
      <c r="AT74" s="89"/>
      <c r="AU74" s="4"/>
      <c r="AV74" s="73">
        <v>0.01</v>
      </c>
      <c r="AW74" s="71">
        <v>5</v>
      </c>
      <c r="AX74" s="71">
        <v>10</v>
      </c>
      <c r="AY74" s="71">
        <v>30</v>
      </c>
      <c r="AZ74" s="71">
        <v>60</v>
      </c>
      <c r="BA74" s="53"/>
      <c r="BB74" s="53"/>
      <c r="BC74" s="53"/>
      <c r="BD74" s="53"/>
      <c r="BE74" s="53"/>
      <c r="BF74" s="53"/>
      <c r="BG74" s="53"/>
      <c r="BH74" s="53"/>
      <c r="BI74" s="53"/>
      <c r="BJ74" s="53"/>
      <c r="BK74" s="53"/>
      <c r="BL74" s="53"/>
      <c r="BM74" s="53"/>
      <c r="BN74" s="53"/>
      <c r="BO74" s="53"/>
      <c r="BP74" s="53"/>
      <c r="BQ74" s="53"/>
      <c r="BR74" s="53"/>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3"/>
      <c r="CQ74" s="53"/>
      <c r="CR74" s="1"/>
      <c r="CS74" s="1"/>
      <c r="CT74" s="1"/>
      <c r="CU74" s="1"/>
    </row>
    <row r="75" spans="1:99" s="13" customFormat="1" ht="12" customHeight="1" x14ac:dyDescent="0.2">
      <c r="A75" s="68">
        <v>43902</v>
      </c>
      <c r="B75" s="70" t="s">
        <v>456</v>
      </c>
      <c r="C75" s="70" t="s">
        <v>139</v>
      </c>
      <c r="D75" s="69">
        <v>1982</v>
      </c>
      <c r="E75" s="87">
        <v>1</v>
      </c>
      <c r="F75" s="69">
        <v>4</v>
      </c>
      <c r="G75" s="69">
        <v>4</v>
      </c>
      <c r="H75" s="69" t="s">
        <v>459</v>
      </c>
      <c r="I75" s="69" t="s">
        <v>330</v>
      </c>
      <c r="J75" s="69" t="s">
        <v>443</v>
      </c>
      <c r="K75" s="69">
        <f>IF(J75="syllables",1,IF(J75="trigrams",2,IF(J75="strings",3,IF(J75="visual array",4,IF(J75="characters",5,IF(J75="letters",6,IF(J75="free forms",7,IF(J75="odors",8,IF(J75="words",9,IF(J75="pictures",10,IF(J75="object pictures",11,IF(J75="faces",12,IF(J75="names",13,IF(J75="idioms",14,IF(J75="grades",15,IF(J75="syllable-digit pairs",16,IF(J75="trigram-word pairs",17,IF(J75="word-digit pairs",18,IF(J75="English-Swahili pairs",19,IF(J75="spatial position",20,IF(J75="word pairs",21,IF(J75="word triads",22,IF(J75="generated words",23,IF(J75="word definition pairs",24,IF(J75="math problems",25,IF(J75="famous faces",26,IF(J75="famous names",27,IF(J75="famous voices",28,IF(J75="television programs",29,IF(J75="race horses",30,IF(J75="new vocabulary",31,IF(J75="sentences",32,IF(J75="concepts",33,IF(J75="ad slides",34,IF(J75="scenes",35,IF(J75="famous scenes",36,IF(J75="poems",37,IF(J75="walk",38,IF(J75="faces and events",39,IF(J75="events and names",40,IF(J75="flashbulb",41,IF(J75="stories",42,IF(J75="course material",43,IF(J75="autobiographical",44,IF(J75="novels",45,IF(J75="public events",46,"99"))))))))))))))))))))))))))))))))))))))))))))))</f>
        <v>2</v>
      </c>
      <c r="L75" s="69">
        <f>IF(J75="syllables",1,IF(J75="trigrams",1,IF(J75="strings",1,IF(J75="visual array",1,IF(J75="characters",1,IF(J75="letters",1,IF(J75="free forms",1,IF(J75="odors",2,IF(J75="words",2,IF(J75="pictures",2,IF(J75="object pictures",2,IF(J75="faces",2,IF(J75="names",2,IF(J75="idioms","2",IF(J75="grades",2,IF(J75="syllable-digit pairs",3,IF(J75="trigram-word pairs",3,IF(J75="word-digit pairs",3,IF(J75="English-Swahili pairs",3,IF(J75="spatial position",3,IF(J75="word pairs",4,IF(J75="word triads",4,IF(J75="generated words",4,IF(J75="word definition pairs",4,IF(J75="math problems",4,IF(J75="famous faces",4,IF(J75="famous names",4,IF(J75="famous voices",4,IF(J75="television programs",4,IF(J75="race horses",4,IF(J75="new vocabulary",4,IF(J75="sentences",5,IF(J75="concepts",5,IF(J75="ad slides",5,IF(J75="scenes",5,IF(J75="famous scenes",5,IF(J75="poems",6,IF(J75="walk",6,IF(J75="faces and events",6,IF(J75="events and names",6,IF(J75="flashbulb",7,IF(J75="stories",7,IF(J75="course material",7,IF(J75="autobiographical",7,IF(J75="novels",7,IF(J75="public events",7,"99"))))))))))))))))))))))))))))))))))))))))))))))</f>
        <v>1</v>
      </c>
      <c r="M75" s="69">
        <v>0</v>
      </c>
      <c r="N75" s="86">
        <v>1</v>
      </c>
      <c r="O75" s="69">
        <v>1</v>
      </c>
      <c r="P75" s="69" t="s">
        <v>53</v>
      </c>
      <c r="Q75" s="69" t="s">
        <v>174</v>
      </c>
      <c r="R75" s="69">
        <f>IF(Q75="Free Recall",1,IF(Q75="Cued Recall",2,IF(Q75="Recognition",3,IF(Q75="Multiple Choice",4,IF(Q75="Savings",5,IF(Q75="Stem Completion",6,IF(Q75="Fragment Completion",7,IF(Q75="anagram solution",8,IF(Q75="Matching",9,IF(Q75="Problem Solving",10,"99"))))))))))</f>
        <v>1</v>
      </c>
      <c r="S75" s="69" t="s">
        <v>49</v>
      </c>
      <c r="T75" s="92" t="s">
        <v>581</v>
      </c>
      <c r="U75" s="60">
        <f>IF(T75="within",1,0)</f>
        <v>1</v>
      </c>
      <c r="V75" s="92">
        <v>50</v>
      </c>
      <c r="W75" s="69">
        <f>F75*V75</f>
        <v>200</v>
      </c>
      <c r="X75" s="69">
        <v>5</v>
      </c>
      <c r="Y75" s="87">
        <f>AV74</f>
        <v>0.01</v>
      </c>
      <c r="Z75" s="69" t="s">
        <v>458</v>
      </c>
      <c r="AA75" s="69">
        <v>60</v>
      </c>
      <c r="AB75" s="69" t="str">
        <f>IF(AA75&lt;60,"1",IF(AA75&lt;=43200,"2",IF(AA75&lt;=777600,"3","4")))</f>
        <v>2</v>
      </c>
      <c r="AC75" s="72">
        <f>AVERAGE(AV74:DA74)</f>
        <v>21.001999999999999</v>
      </c>
      <c r="AD75" s="69" t="str">
        <f>IF(AC75&lt;60,"1",IF(AC75&lt;=43200,"2",IF(AC75&lt;=777600,"3","4")))</f>
        <v>1</v>
      </c>
      <c r="AE75" s="87">
        <f>AA75-Y75</f>
        <v>59.99</v>
      </c>
      <c r="AF75" s="88">
        <f>AV75</f>
        <v>1</v>
      </c>
      <c r="AG75" s="72">
        <f>((AW75-AV75)+(AX75-AW75)+(AY75-AX75)+(AZ75-AY75))/4</f>
        <v>-0.13250000000000001</v>
      </c>
      <c r="AH75" s="4"/>
      <c r="AI75" s="72">
        <f>RSQ(AV75:AZ75,AV74:AZ74)</f>
        <v>0.66758856900889552</v>
      </c>
      <c r="AJ75" s="110">
        <f>SLOPE(AV75:AZ75,AV74:AZ74)</f>
        <v>-7.4173201161418069E-3</v>
      </c>
      <c r="AK75" s="72">
        <f>INTERCEPT(AV75:AZ75,AV74:AZ74)</f>
        <v>0.83577855707921023</v>
      </c>
      <c r="AL75" s="72">
        <f>INDEX(LINEST(LN(AV75:AZ75),LN(AV74:AZ74),TRUE,TRUE),3,1)</f>
        <v>0.8022534315037313</v>
      </c>
      <c r="AM75" s="72">
        <f>INDEX(LINEST(LN(AV75:AZ75),LN(AV74:AZ74)),1)</f>
        <v>-8.2642429220752947E-2</v>
      </c>
      <c r="AN75" s="72">
        <f>EXP(INDEX(LINEST(LN(AV75:AZ75),LN(AV74:AZ74)),1,2))</f>
        <v>0.72982388025851708</v>
      </c>
      <c r="AO75" s="89">
        <f>INDEX(LINEST((AV75:AZ75),LN(AV74:AZ74),TRUE,TRUE),3,1)</f>
        <v>0.86018627910329093</v>
      </c>
      <c r="AP75" s="89">
        <f>INDEX(LINEST((AV75:AZ75),LN(AV74:AZ74)),1)</f>
        <v>-5.9667611548141569E-2</v>
      </c>
      <c r="AQ75" s="90">
        <f>INDEX(LINEST(LN(AV75:AZ75),SQRT(AV74:AZ74),TRUE,TRUE),3,1)</f>
        <v>0.91848341773649833</v>
      </c>
      <c r="AR75" s="117">
        <f>INDEX(LINEST(LN(AV75:AZ75),SQRT((AV74:AZ74))),1)</f>
        <v>-0.10387790877345761</v>
      </c>
      <c r="AS75" s="91">
        <f>INDEX(LINEST(1/(AV75:AZ75),1/(SQRT(AV74:AZ74)),TRUE,TRUE),3,1)</f>
        <v>0.50321258863825424</v>
      </c>
      <c r="AT75" s="91">
        <f>INDEX(LINEST(1/(AV75:AZ75),1/SQRT(AV74:AZ74)),1)</f>
        <v>-7.8649935252203346E-2</v>
      </c>
      <c r="AU75" s="4"/>
      <c r="AV75" s="73">
        <v>1</v>
      </c>
      <c r="AW75" s="73">
        <v>0.81</v>
      </c>
      <c r="AX75" s="73">
        <v>0.62</v>
      </c>
      <c r="AY75" s="73">
        <v>0.5</v>
      </c>
      <c r="AZ75" s="73">
        <v>0.47</v>
      </c>
      <c r="BA75" s="53"/>
      <c r="BB75" s="53"/>
      <c r="BC75" s="53"/>
      <c r="BD75" s="53"/>
      <c r="BE75" s="53"/>
      <c r="BF75" s="53"/>
      <c r="BG75" s="53"/>
      <c r="BH75" s="53"/>
      <c r="BI75" s="53"/>
      <c r="BJ75" s="53"/>
      <c r="BK75" s="53"/>
      <c r="BL75" s="53"/>
      <c r="BM75" s="53"/>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1"/>
      <c r="CS75" s="1"/>
      <c r="CT75" s="1"/>
      <c r="CU75" s="1"/>
    </row>
    <row r="76" spans="1:99" ht="12" customHeight="1" x14ac:dyDescent="0.2">
      <c r="K76" s="60"/>
      <c r="L76" s="60"/>
      <c r="R76" s="60"/>
      <c r="W76" s="60"/>
      <c r="Y76" s="76"/>
      <c r="AB76" s="60"/>
      <c r="AE76" s="76"/>
      <c r="AF76" s="80"/>
    </row>
    <row r="77" spans="1:99" ht="12" customHeight="1" x14ac:dyDescent="0.2">
      <c r="R77" s="60"/>
      <c r="W77" s="60"/>
      <c r="Y77" s="76"/>
      <c r="AB77" s="60"/>
      <c r="AE77" s="60"/>
      <c r="AF77" s="80"/>
      <c r="AL77" s="167" t="s">
        <v>695</v>
      </c>
      <c r="AM77" s="57">
        <f>AVERAGE(AM3:AM75)</f>
        <v>-0.20983089089889678</v>
      </c>
    </row>
    <row r="78" spans="1:99" ht="12" customHeight="1" x14ac:dyDescent="0.2">
      <c r="K78" s="60"/>
      <c r="L78" s="60"/>
      <c r="R78" s="60"/>
      <c r="W78" s="60"/>
      <c r="Y78" s="76"/>
      <c r="AB78" s="60"/>
      <c r="AE78" s="76"/>
      <c r="AF78" s="80"/>
      <c r="AL78" s="45" t="s">
        <v>1026</v>
      </c>
      <c r="AM78" s="57">
        <f>MEDIAN(AM3:AM75)</f>
        <v>-0.15658516371995584</v>
      </c>
    </row>
    <row r="79" spans="1:99" ht="12" customHeight="1" x14ac:dyDescent="0.2">
      <c r="R79" s="60"/>
      <c r="W79" s="60"/>
      <c r="Y79" s="76"/>
      <c r="AB79" s="60"/>
      <c r="AE79" s="60"/>
      <c r="AF79" s="80"/>
      <c r="AL79" s="167" t="s">
        <v>918</v>
      </c>
      <c r="AM79" s="57">
        <f>MIN(AM3:AM75)</f>
        <v>-0.75462173189743664</v>
      </c>
    </row>
    <row r="80" spans="1:99" ht="12" customHeight="1" x14ac:dyDescent="0.2">
      <c r="K80" s="60"/>
      <c r="L80" s="60"/>
      <c r="R80" s="60"/>
      <c r="W80" s="60"/>
      <c r="Y80" s="76"/>
      <c r="AB80" s="60"/>
      <c r="AE80" s="76"/>
      <c r="AF80" s="80"/>
      <c r="AL80" s="167" t="s">
        <v>917</v>
      </c>
      <c r="AM80" s="57">
        <f>MAX(AM3:AM75)</f>
        <v>-3.157575331899632E-3</v>
      </c>
    </row>
    <row r="81" spans="11:39" ht="12" customHeight="1" x14ac:dyDescent="0.2">
      <c r="R81" s="60"/>
      <c r="W81" s="60"/>
      <c r="Y81" s="76"/>
      <c r="AB81" s="60"/>
      <c r="AE81" s="60"/>
      <c r="AF81" s="80"/>
      <c r="AL81" s="167" t="s">
        <v>919</v>
      </c>
      <c r="AM81" s="64">
        <f xml:space="preserve"> STDEV(AM3:AM75)</f>
        <v>0.18874355392391773</v>
      </c>
    </row>
    <row r="82" spans="11:39" ht="12" customHeight="1" x14ac:dyDescent="0.2">
      <c r="K82" s="60"/>
      <c r="L82" s="60"/>
      <c r="R82" s="60"/>
      <c r="W82" s="60"/>
      <c r="Y82" s="76"/>
      <c r="AB82" s="60"/>
      <c r="AE82" s="76"/>
      <c r="AF82" s="80"/>
      <c r="AL82" s="45" t="s">
        <v>1025</v>
      </c>
      <c r="AM82" s="64">
        <f xml:space="preserve"> STDEV(AM3:AM75)/SQRT(COUNT(AM3:AM75))</f>
        <v>3.102924912550617E-2</v>
      </c>
    </row>
    <row r="83" spans="11:39" ht="12" customHeight="1" x14ac:dyDescent="0.2">
      <c r="R83" s="60"/>
      <c r="W83" s="60"/>
      <c r="Y83" s="76"/>
      <c r="AB83" s="60"/>
      <c r="AE83" s="60"/>
      <c r="AF83" s="80"/>
      <c r="AL83" s="168"/>
      <c r="AM83" s="169"/>
    </row>
    <row r="84" spans="11:39" ht="12" customHeight="1" x14ac:dyDescent="0.2">
      <c r="K84" s="60"/>
      <c r="L84" s="60"/>
      <c r="R84" s="60"/>
      <c r="W84" s="60"/>
      <c r="Y84" s="76"/>
      <c r="AB84" s="60"/>
      <c r="AE84" s="76"/>
      <c r="AF84" s="80"/>
      <c r="AL84" s="168" t="s">
        <v>132</v>
      </c>
      <c r="AM84" s="169">
        <f>AM77-(3*AM81)</f>
        <v>-0.77606155267065002</v>
      </c>
    </row>
    <row r="85" spans="11:39" ht="12" customHeight="1" x14ac:dyDescent="0.2">
      <c r="R85" s="60"/>
      <c r="W85" s="60"/>
      <c r="Y85" s="76"/>
      <c r="AB85" s="60"/>
      <c r="AE85" s="60"/>
      <c r="AF85" s="80"/>
      <c r="AL85" s="168" t="s">
        <v>130</v>
      </c>
      <c r="AM85" s="169">
        <f>AM77+(3*AM81)</f>
        <v>0.3563997708728564</v>
      </c>
    </row>
    <row r="86" spans="11:39" ht="12" customHeight="1" x14ac:dyDescent="0.2">
      <c r="K86" s="60"/>
      <c r="L86" s="60"/>
      <c r="R86" s="60"/>
      <c r="W86" s="60"/>
      <c r="Y86" s="76"/>
      <c r="AB86" s="60"/>
      <c r="AE86" s="76"/>
      <c r="AF86" s="80"/>
    </row>
    <row r="87" spans="11:39" ht="12" customHeight="1" x14ac:dyDescent="0.2">
      <c r="R87" s="60"/>
      <c r="W87" s="60"/>
      <c r="Y87" s="76"/>
      <c r="AB87" s="60"/>
      <c r="AE87" s="60"/>
      <c r="AF87" s="80"/>
    </row>
    <row r="88" spans="11:39" ht="12" customHeight="1" x14ac:dyDescent="0.2">
      <c r="K88" s="60"/>
      <c r="L88" s="60"/>
      <c r="R88" s="60"/>
      <c r="W88" s="60"/>
      <c r="Y88" s="76"/>
      <c r="AB88" s="60"/>
      <c r="AE88" s="76"/>
      <c r="AF88" s="80"/>
    </row>
    <row r="89" spans="11:39" ht="12" customHeight="1" x14ac:dyDescent="0.2">
      <c r="W89" s="60"/>
      <c r="Y89" s="76"/>
      <c r="AB89" s="60"/>
      <c r="AE89" s="60"/>
      <c r="AF89" s="80"/>
    </row>
    <row r="90" spans="11:39" ht="12" customHeight="1" x14ac:dyDescent="0.2">
      <c r="K90" s="60"/>
      <c r="L90" s="60"/>
      <c r="W90" s="60"/>
      <c r="Y90" s="76"/>
      <c r="AE90" s="76"/>
      <c r="AF90" s="80"/>
    </row>
    <row r="91" spans="11:39" ht="12" customHeight="1" x14ac:dyDescent="0.2">
      <c r="W91" s="60"/>
      <c r="Y91" s="76"/>
      <c r="AE91" s="60"/>
      <c r="AF91" s="80"/>
    </row>
    <row r="92" spans="11:39" ht="12" customHeight="1" x14ac:dyDescent="0.2">
      <c r="K92" s="60"/>
      <c r="L92" s="60"/>
      <c r="W92" s="60"/>
      <c r="Y92" s="76"/>
      <c r="AE92" s="76"/>
      <c r="AF92" s="80"/>
    </row>
    <row r="93" spans="11:39" ht="12" customHeight="1" x14ac:dyDescent="0.2">
      <c r="W93" s="60"/>
      <c r="Y93" s="76"/>
      <c r="AE93" s="60"/>
      <c r="AF93" s="80"/>
    </row>
    <row r="94" spans="11:39" ht="12" customHeight="1" x14ac:dyDescent="0.2">
      <c r="K94" s="60"/>
      <c r="L94" s="60"/>
      <c r="W94" s="60"/>
      <c r="Y94" s="76"/>
      <c r="AE94" s="76"/>
      <c r="AF94" s="80"/>
    </row>
    <row r="95" spans="11:39" ht="12" customHeight="1" x14ac:dyDescent="0.2">
      <c r="W95" s="60"/>
      <c r="Y95" s="76"/>
      <c r="AE95" s="60"/>
      <c r="AF95" s="80"/>
    </row>
    <row r="96" spans="11:39" ht="12" customHeight="1" x14ac:dyDescent="0.2">
      <c r="K96" s="60"/>
      <c r="L96" s="60"/>
      <c r="W96" s="60"/>
      <c r="Y96" s="76"/>
      <c r="AE96" s="76"/>
      <c r="AF96" s="80"/>
    </row>
    <row r="98" spans="11:12" ht="12" customHeight="1" x14ac:dyDescent="0.2">
      <c r="K98" s="60"/>
      <c r="L98" s="60"/>
    </row>
  </sheetData>
  <conditionalFormatting sqref="AC2 AC4 AC6 AC8 AC10 AC12 AC14 AC16 AC18 AC20 AC22 AC24 AC26 AC28 AC30 AC32 AC34 AC36 AC38 AC40 AC42 AC44 AC46 AC48 AC50 AC52 AC54 AC56 AC58 AC62 AC64 AC72 AG16 AG2 AG18 AG14 AG12 AG10 AG6 AG4 AG22 AG20 AG58 AG56 AG54 AG52 AG50 AG48 AG46 AG44 AG42 AG40 AG38 AG36 AG34 AG32 AG30 AG28 AG26 AG24 AG64 AG62 AG72">
    <cfRule type="expression" dxfId="1765" priority="92">
      <formula>MOD(ROW(),2)=1</formula>
    </cfRule>
  </conditionalFormatting>
  <conditionalFormatting sqref="AC74 AG74">
    <cfRule type="expression" dxfId="1764" priority="90">
      <formula>MOD(ROW(),2)=1</formula>
    </cfRule>
  </conditionalFormatting>
  <conditionalFormatting sqref="AC66 AG66">
    <cfRule type="expression" dxfId="1763" priority="89">
      <formula>MOD(ROW(),2)=1</formula>
    </cfRule>
  </conditionalFormatting>
  <conditionalFormatting sqref="AC68 AG68">
    <cfRule type="expression" dxfId="1762" priority="87">
      <formula>MOD(ROW(),2)=1</formula>
    </cfRule>
  </conditionalFormatting>
  <conditionalFormatting sqref="AC70 AG70">
    <cfRule type="expression" dxfId="1761" priority="86">
      <formula>MOD(ROW(),2)=1</formula>
    </cfRule>
  </conditionalFormatting>
  <conditionalFormatting sqref="AB16">
    <cfRule type="expression" dxfId="1760" priority="85">
      <formula>MOD(ROW(),2)=1</formula>
    </cfRule>
  </conditionalFormatting>
  <conditionalFormatting sqref="AB56">
    <cfRule type="expression" dxfId="1759" priority="84">
      <formula>MOD(ROW(),2)=1</formula>
    </cfRule>
  </conditionalFormatting>
  <conditionalFormatting sqref="AD2">
    <cfRule type="expression" dxfId="1758" priority="83">
      <formula>MOD(ROW(),2)=1</formula>
    </cfRule>
  </conditionalFormatting>
  <conditionalFormatting sqref="AD4 AD6">
    <cfRule type="expression" dxfId="1757" priority="82">
      <formula>MOD(ROW(),2)=1</formula>
    </cfRule>
  </conditionalFormatting>
  <conditionalFormatting sqref="AD40 AD42 AD44 AD46 AD48 AD50 AD52 AD54 AD56">
    <cfRule type="expression" dxfId="1756" priority="80">
      <formula>MOD(ROW(),2)=1</formula>
    </cfRule>
  </conditionalFormatting>
  <conditionalFormatting sqref="AD62 AD64">
    <cfRule type="expression" dxfId="1755" priority="79">
      <formula>MOD(ROW(),2)=1</formula>
    </cfRule>
  </conditionalFormatting>
  <conditionalFormatting sqref="AD74">
    <cfRule type="expression" dxfId="1754" priority="78">
      <formula>MOD(ROW(),2)=1</formula>
    </cfRule>
  </conditionalFormatting>
  <conditionalFormatting sqref="Y6">
    <cfRule type="expression" dxfId="1753" priority="75">
      <formula>MOD(ROW(),2)=1</formula>
    </cfRule>
  </conditionalFormatting>
  <conditionalFormatting sqref="Y10">
    <cfRule type="expression" dxfId="1752" priority="74">
      <formula>MOD(ROW(),2)=1</formula>
    </cfRule>
  </conditionalFormatting>
  <conditionalFormatting sqref="Y14">
    <cfRule type="expression" dxfId="1751" priority="73">
      <formula>MOD(ROW(),2)=1</formula>
    </cfRule>
  </conditionalFormatting>
  <conditionalFormatting sqref="Y18">
    <cfRule type="expression" dxfId="1750" priority="72">
      <formula>MOD(ROW(),2)=1</formula>
    </cfRule>
  </conditionalFormatting>
  <conditionalFormatting sqref="Y22">
    <cfRule type="expression" dxfId="1749" priority="70">
      <formula>MOD(ROW(),2)=1</formula>
    </cfRule>
  </conditionalFormatting>
  <conditionalFormatting sqref="Y24">
    <cfRule type="expression" dxfId="1748" priority="68">
      <formula>MOD(ROW(),2)=1</formula>
    </cfRule>
  </conditionalFormatting>
  <conditionalFormatting sqref="Y28">
    <cfRule type="expression" dxfId="1747" priority="67">
      <formula>MOD(ROW(),2)=1</formula>
    </cfRule>
  </conditionalFormatting>
  <conditionalFormatting sqref="Y32">
    <cfRule type="expression" dxfId="1746" priority="66">
      <formula>MOD(ROW(),2)=1</formula>
    </cfRule>
  </conditionalFormatting>
  <conditionalFormatting sqref="Y36">
    <cfRule type="expression" dxfId="1745" priority="65">
      <formula>MOD(ROW(),2)=1</formula>
    </cfRule>
  </conditionalFormatting>
  <conditionalFormatting sqref="Y40">
    <cfRule type="expression" dxfId="1744" priority="64">
      <formula>MOD(ROW(),2)=1</formula>
    </cfRule>
  </conditionalFormatting>
  <conditionalFormatting sqref="Y44">
    <cfRule type="expression" dxfId="1743" priority="63">
      <formula>MOD(ROW(),2)=1</formula>
    </cfRule>
  </conditionalFormatting>
  <conditionalFormatting sqref="Y48">
    <cfRule type="expression" dxfId="1742" priority="62">
      <formula>MOD(ROW(),2)=1</formula>
    </cfRule>
  </conditionalFormatting>
  <conditionalFormatting sqref="Y52">
    <cfRule type="expression" dxfId="1741" priority="61">
      <formula>MOD(ROW(),2)=1</formula>
    </cfRule>
  </conditionalFormatting>
  <conditionalFormatting sqref="Y56">
    <cfRule type="expression" dxfId="1740" priority="60">
      <formula>MOD(ROW(),2)=1</formula>
    </cfRule>
  </conditionalFormatting>
  <conditionalFormatting sqref="Y66">
    <cfRule type="expression" dxfId="1739" priority="57">
      <formula>MOD(ROW(),2)=1</formula>
    </cfRule>
  </conditionalFormatting>
  <conditionalFormatting sqref="Y68">
    <cfRule type="expression" dxfId="1738" priority="56">
      <formula>MOD(ROW(),2)=1</formula>
    </cfRule>
  </conditionalFormatting>
  <conditionalFormatting sqref="Y74">
    <cfRule type="expression" dxfId="1737" priority="54">
      <formula>MOD(ROW(),2)=1</formula>
    </cfRule>
  </conditionalFormatting>
  <conditionalFormatting sqref="Y79">
    <cfRule type="expression" dxfId="1736" priority="52">
      <formula>MOD(ROW(),2)=1</formula>
    </cfRule>
  </conditionalFormatting>
  <conditionalFormatting sqref="Y83">
    <cfRule type="expression" dxfId="1735" priority="51">
      <formula>MOD(ROW(),2)=1</formula>
    </cfRule>
  </conditionalFormatting>
  <conditionalFormatting sqref="Y87">
    <cfRule type="expression" dxfId="1734" priority="50">
      <formula>MOD(ROW(),2)=1</formula>
    </cfRule>
  </conditionalFormatting>
  <conditionalFormatting sqref="Y91">
    <cfRule type="expression" dxfId="1733" priority="49">
      <formula>MOD(ROW(),2)=1</formula>
    </cfRule>
  </conditionalFormatting>
  <conditionalFormatting sqref="Y95">
    <cfRule type="expression" dxfId="1732" priority="48">
      <formula>MOD(ROW(),2)=1</formula>
    </cfRule>
  </conditionalFormatting>
  <conditionalFormatting sqref="W6">
    <cfRule type="expression" dxfId="1731" priority="46">
      <formula>MOD(ROW(),2)=1</formula>
    </cfRule>
  </conditionalFormatting>
  <conditionalFormatting sqref="W10">
    <cfRule type="expression" dxfId="1730" priority="45">
      <formula>MOD(ROW(),2)=1</formula>
    </cfRule>
  </conditionalFormatting>
  <conditionalFormatting sqref="W14">
    <cfRule type="expression" dxfId="1729" priority="44">
      <formula>MOD(ROW(),2)=1</formula>
    </cfRule>
  </conditionalFormatting>
  <conditionalFormatting sqref="W18">
    <cfRule type="expression" dxfId="1728" priority="43">
      <formula>MOD(ROW(),2)=1</formula>
    </cfRule>
  </conditionalFormatting>
  <conditionalFormatting sqref="W22">
    <cfRule type="expression" dxfId="1727" priority="41">
      <formula>MOD(ROW(),2)=1</formula>
    </cfRule>
  </conditionalFormatting>
  <conditionalFormatting sqref="W24">
    <cfRule type="expression" dxfId="1726" priority="39">
      <formula>MOD(ROW(),2)=1</formula>
    </cfRule>
  </conditionalFormatting>
  <conditionalFormatting sqref="W28">
    <cfRule type="expression" dxfId="1725" priority="38">
      <formula>MOD(ROW(),2)=1</formula>
    </cfRule>
  </conditionalFormatting>
  <conditionalFormatting sqref="W32">
    <cfRule type="expression" dxfId="1724" priority="37">
      <formula>MOD(ROW(),2)=1</formula>
    </cfRule>
  </conditionalFormatting>
  <conditionalFormatting sqref="W36">
    <cfRule type="expression" dxfId="1723" priority="36">
      <formula>MOD(ROW(),2)=1</formula>
    </cfRule>
  </conditionalFormatting>
  <conditionalFormatting sqref="W40">
    <cfRule type="expression" dxfId="1722" priority="35">
      <formula>MOD(ROW(),2)=1</formula>
    </cfRule>
  </conditionalFormatting>
  <conditionalFormatting sqref="W44">
    <cfRule type="expression" dxfId="1721" priority="34">
      <formula>MOD(ROW(),2)=1</formula>
    </cfRule>
  </conditionalFormatting>
  <conditionalFormatting sqref="W48">
    <cfRule type="expression" dxfId="1720" priority="33">
      <formula>MOD(ROW(),2)=1</formula>
    </cfRule>
  </conditionalFormatting>
  <conditionalFormatting sqref="W52">
    <cfRule type="expression" dxfId="1719" priority="32">
      <formula>MOD(ROW(),2)=1</formula>
    </cfRule>
  </conditionalFormatting>
  <conditionalFormatting sqref="W56">
    <cfRule type="expression" dxfId="1718" priority="31">
      <formula>MOD(ROW(),2)=1</formula>
    </cfRule>
  </conditionalFormatting>
  <conditionalFormatting sqref="W66">
    <cfRule type="expression" dxfId="1717" priority="28">
      <formula>MOD(ROW(),2)=1</formula>
    </cfRule>
  </conditionalFormatting>
  <conditionalFormatting sqref="W68">
    <cfRule type="expression" dxfId="1716" priority="27">
      <formula>MOD(ROW(),2)=1</formula>
    </cfRule>
  </conditionalFormatting>
  <conditionalFormatting sqref="W74">
    <cfRule type="expression" dxfId="1715" priority="25">
      <formula>MOD(ROW(),2)=1</formula>
    </cfRule>
  </conditionalFormatting>
  <conditionalFormatting sqref="W79">
    <cfRule type="expression" dxfId="1714" priority="23">
      <formula>MOD(ROW(),2)=1</formula>
    </cfRule>
  </conditionalFormatting>
  <conditionalFormatting sqref="W83">
    <cfRule type="expression" dxfId="1713" priority="22">
      <formula>MOD(ROW(),2)=1</formula>
    </cfRule>
  </conditionalFormatting>
  <conditionalFormatting sqref="W87">
    <cfRule type="expression" dxfId="1712" priority="21">
      <formula>MOD(ROW(),2)=1</formula>
    </cfRule>
  </conditionalFormatting>
  <conditionalFormatting sqref="W91">
    <cfRule type="expression" dxfId="1711" priority="20">
      <formula>MOD(ROW(),2)=1</formula>
    </cfRule>
  </conditionalFormatting>
  <conditionalFormatting sqref="W95">
    <cfRule type="expression" dxfId="1710" priority="19">
      <formula>MOD(ROW(),2)=1</formula>
    </cfRule>
  </conditionalFormatting>
  <conditionalFormatting sqref="U2">
    <cfRule type="expression" dxfId="1709" priority="18">
      <formula>MOD(ROW(),2)=1</formula>
    </cfRule>
  </conditionalFormatting>
  <conditionalFormatting sqref="U6 U8 U4">
    <cfRule type="expression" dxfId="1708" priority="17">
      <formula>MOD(ROW(),2)=1</formula>
    </cfRule>
  </conditionalFormatting>
  <conditionalFormatting sqref="U14 U16 U12">
    <cfRule type="expression" dxfId="1707" priority="16">
      <formula>MOD(ROW(),2)=1</formula>
    </cfRule>
  </conditionalFormatting>
  <conditionalFormatting sqref="U22">
    <cfRule type="expression" dxfId="1706" priority="14">
      <formula>MOD(ROW(),2)=1</formula>
    </cfRule>
  </conditionalFormatting>
  <conditionalFormatting sqref="U28 U30 U26">
    <cfRule type="expression" dxfId="1705" priority="12">
      <formula>MOD(ROW(),2)=1</formula>
    </cfRule>
  </conditionalFormatting>
  <conditionalFormatting sqref="U36 U38 U34">
    <cfRule type="expression" dxfId="1704" priority="11">
      <formula>MOD(ROW(),2)=1</formula>
    </cfRule>
  </conditionalFormatting>
  <conditionalFormatting sqref="U44 U46 U42">
    <cfRule type="expression" dxfId="1703" priority="10">
      <formula>MOD(ROW(),2)=1</formula>
    </cfRule>
  </conditionalFormatting>
  <conditionalFormatting sqref="U52 U54 U50">
    <cfRule type="expression" dxfId="1702" priority="9">
      <formula>MOD(ROW(),2)=1</formula>
    </cfRule>
  </conditionalFormatting>
  <conditionalFormatting sqref="U58">
    <cfRule type="expression" dxfId="1701" priority="8">
      <formula>MOD(ROW(),2)=1</formula>
    </cfRule>
  </conditionalFormatting>
  <conditionalFormatting sqref="U64 U62">
    <cfRule type="expression" dxfId="1700" priority="6">
      <formula>MOD(ROW(),2)=1</formula>
    </cfRule>
  </conditionalFormatting>
  <conditionalFormatting sqref="U66">
    <cfRule type="expression" dxfId="1699" priority="5">
      <formula>MOD(ROW(),2)=1</formula>
    </cfRule>
  </conditionalFormatting>
  <conditionalFormatting sqref="U70 U68">
    <cfRule type="expression" dxfId="1698" priority="4">
      <formula>MOD(ROW(),2)=1</formula>
    </cfRule>
  </conditionalFormatting>
  <conditionalFormatting sqref="U72">
    <cfRule type="expression" dxfId="1697" priority="2">
      <formula>MOD(ROW(),2)=1</formula>
    </cfRule>
  </conditionalFormatting>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3:H195"/>
  <sheetViews>
    <sheetView workbookViewId="0"/>
  </sheetViews>
  <sheetFormatPr defaultRowHeight="15" x14ac:dyDescent="0.25"/>
  <sheetData>
    <row r="3" spans="1:4" x14ac:dyDescent="0.25">
      <c r="A3" t="str">
        <f>'e-LTM Single'!B3</f>
        <v>Begg, I. &amp; Wickelgren, W. A. (1974). Retention functions for syntactic and lexical vs semantic information in sentence recognition memory. Memory &amp; Cognition, 2(2), 353-359.</v>
      </c>
      <c r="B3">
        <f>'e-LTM Single'!AA3</f>
        <v>7200</v>
      </c>
      <c r="C3">
        <f>B3/(60*60)</f>
        <v>2</v>
      </c>
      <c r="D3" s="63">
        <f>'e-LTM Single'!AM3</f>
        <v>-4.4677116287178305E-2</v>
      </c>
    </row>
    <row r="5" spans="1:4" x14ac:dyDescent="0.25">
      <c r="A5" t="str">
        <f>'e-LTM Single'!B5</f>
        <v>Bregman, A. S. (1968). Forgetting curves with semantic, phonetic, graphic, and contiguity cues. Journal of Experimental Psychology, 78, 539-546.</v>
      </c>
      <c r="B5">
        <f>'e-LTM Single'!AA5</f>
        <v>288</v>
      </c>
      <c r="C5">
        <f>B5/(60*60)</f>
        <v>0.08</v>
      </c>
      <c r="D5" s="63">
        <f>'e-LTM Single'!AM5</f>
        <v>-0.75462173189743664</v>
      </c>
    </row>
    <row r="7" spans="1:4" x14ac:dyDescent="0.25">
      <c r="A7" t="str">
        <f>'e-LTM Single'!B7</f>
        <v>Bregman, A. S. (1968). Forgetting curves with semantic, phonetic, graphic, and contiguity cues. Journal of Experimental Psychology, 78, 539-546.</v>
      </c>
      <c r="B7">
        <f>'e-LTM Single'!AA7</f>
        <v>288</v>
      </c>
      <c r="C7">
        <f>B7/(60*60)</f>
        <v>0.08</v>
      </c>
      <c r="D7" s="63">
        <f>'e-LTM Single'!AM7</f>
        <v>-0.40883666822206854</v>
      </c>
    </row>
    <row r="9" spans="1:4" x14ac:dyDescent="0.25">
      <c r="A9" t="str">
        <f>'e-LTM Single'!B9</f>
        <v>Bregman, A. S. (1968). Forgetting curves with semantic, phonetic, graphic, and contiguity cues. Journal of Experimental Psychology, 78, 539-546.</v>
      </c>
      <c r="B9">
        <f>'e-LTM Single'!AA9</f>
        <v>288</v>
      </c>
      <c r="C9">
        <f>B9/(60*60)</f>
        <v>0.08</v>
      </c>
      <c r="D9" s="63">
        <f>'e-LTM Single'!AM9</f>
        <v>-0.45755734351725819</v>
      </c>
    </row>
    <row r="11" spans="1:4" x14ac:dyDescent="0.25">
      <c r="A11" t="str">
        <f>'e-LTM Single'!B11</f>
        <v>Bregman, A. S. (1968). Forgetting curves with semantic, phonetic, graphic, and contiguity cues. Journal of Experimental Psychology, 78, 539-546.</v>
      </c>
      <c r="B11">
        <f>'e-LTM Single'!AA11</f>
        <v>288</v>
      </c>
      <c r="C11">
        <f>B11/(60*60)</f>
        <v>0.08</v>
      </c>
      <c r="D11" s="63">
        <f>'e-LTM Single'!AM11</f>
        <v>-0.29520485385500506</v>
      </c>
    </row>
    <row r="13" spans="1:4" x14ac:dyDescent="0.25">
      <c r="A13" t="str">
        <f>'e-LTM Single'!B13</f>
        <v>Bregman, A. S. (1968). Forgetting curves with semantic, phonetic, graphic, and contiguity cues. Journal of Experimental Psychology, 78, 539-546.</v>
      </c>
      <c r="B13">
        <f>'e-LTM Single'!AA13</f>
        <v>288</v>
      </c>
      <c r="C13">
        <f>B13/(60*60)</f>
        <v>0.08</v>
      </c>
      <c r="D13" s="63">
        <f>'e-LTM Single'!AM13</f>
        <v>-0.74934456887203515</v>
      </c>
    </row>
    <row r="15" spans="1:4" x14ac:dyDescent="0.25">
      <c r="A15" t="str">
        <f>'e-LTM Single'!B15</f>
        <v>Bregman, A. S. (1968). Forgetting curves with semantic, phonetic, graphic, and contiguity cues. Journal of Experimental Psychology, 78, 539-546.</v>
      </c>
      <c r="B15">
        <f>'e-LTM Single'!AA15</f>
        <v>288</v>
      </c>
      <c r="C15">
        <f>B15/(60*60)</f>
        <v>0.08</v>
      </c>
      <c r="D15" s="63">
        <f>'e-LTM Single'!AM15</f>
        <v>-0.38361945485187965</v>
      </c>
    </row>
    <row r="17" spans="1:8" x14ac:dyDescent="0.25">
      <c r="A17" t="str">
        <f>'e-LTM Single'!B17</f>
        <v>Bregman, A. S. (1968). Forgetting curves with semantic, phonetic, graphic, and contiguity cues. Journal of Experimental Psychology, 78, 539-546.</v>
      </c>
      <c r="B17">
        <f>'e-LTM Single'!AA17</f>
        <v>288</v>
      </c>
      <c r="C17">
        <f>B17/(60*60)</f>
        <v>0.08</v>
      </c>
      <c r="D17" s="63">
        <f>'e-LTM Single'!AM17</f>
        <v>-0.44995182923018884</v>
      </c>
    </row>
    <row r="18" spans="1:8" x14ac:dyDescent="0.25">
      <c r="G18" s="166">
        <f>AVERAGE(D3:D75)</f>
        <v>-0.20983089089889678</v>
      </c>
      <c r="H18" s="165">
        <f xml:space="preserve"> STDEV(D3:D75)/SQRT(COUNT(D3:D75))</f>
        <v>3.102924912550617E-2</v>
      </c>
    </row>
    <row r="19" spans="1:8" x14ac:dyDescent="0.25">
      <c r="A19" t="str">
        <f>'e-LTM Single'!B19</f>
        <v>Bregman, A. S. (1968). Forgetting curves with semantic, phonetic, graphic, and contiguity cues. Journal of Experimental Psychology, 78, 539-546.</v>
      </c>
      <c r="B19">
        <f>'e-LTM Single'!AA19</f>
        <v>288</v>
      </c>
      <c r="C19">
        <f>B19/(60*60)</f>
        <v>0.08</v>
      </c>
      <c r="D19" s="63">
        <f>'e-LTM Single'!AM19</f>
        <v>-0.37724989468313669</v>
      </c>
    </row>
    <row r="21" spans="1:8" x14ac:dyDescent="0.25">
      <c r="A21" t="str">
        <f>'e-LTM Single'!B21</f>
        <v>Isaac, C. L., &amp; Mayes, A. R. (1999).Rate of Forgetting in Amnesia: I. Recall and recognition of prose. Journal of Experimental Psychology: Learning, Memory and Cognition, 25(4), 942.</v>
      </c>
      <c r="B21">
        <f>'e-LTM Single'!AA21</f>
        <v>600</v>
      </c>
      <c r="C21">
        <f>B21/(60*60)</f>
        <v>0.16666666666666666</v>
      </c>
      <c r="D21" s="63">
        <f>'e-LTM Single'!AM21</f>
        <v>-1.9019416808138942E-2</v>
      </c>
    </row>
    <row r="23" spans="1:8" x14ac:dyDescent="0.25">
      <c r="A23" t="str">
        <f>'e-LTM Single'!B23</f>
        <v>Isaac, C. L., &amp; Mayes, A. R. (1999).Rate of Forgetting in Amnesia: I. Recall and recognition of prose. Journal of Experimental Psychology: Learning, Memory and Cognition, 25(4), 942.</v>
      </c>
      <c r="B23">
        <f>'e-LTM Single'!AA23</f>
        <v>3600</v>
      </c>
      <c r="C23">
        <f>B23/(60*60)</f>
        <v>1</v>
      </c>
      <c r="D23" s="63">
        <f>'e-LTM Single'!AM23</f>
        <v>-3.1532453072946921E-2</v>
      </c>
    </row>
    <row r="25" spans="1:8" x14ac:dyDescent="0.25">
      <c r="A25" t="str">
        <f>'e-LTM Single'!B25</f>
        <v>McBride, D. M., &amp; Dosher, B. A. (1997). A comparison of forgetting in an implicit and explicit memory task. Journal of Experimental Psychology: General, 126(4), 371.</v>
      </c>
      <c r="B25">
        <f>'e-LTM Single'!AA25</f>
        <v>5400</v>
      </c>
      <c r="C25">
        <f>B25/(60*60)</f>
        <v>1.5</v>
      </c>
      <c r="D25" s="63">
        <f>'e-LTM Single'!AM25</f>
        <v>-0.24040884614397717</v>
      </c>
    </row>
    <row r="27" spans="1:8" x14ac:dyDescent="0.25">
      <c r="A27" t="str">
        <f>'e-LTM Single'!B27</f>
        <v>McBride, D. M., &amp; Dosher, B. A. (1997). A comparison of forgetting in an implicit and explicit memory task. Journal of Experimental Psychology: General, 126(4), 371.</v>
      </c>
      <c r="B27">
        <f>'e-LTM Single'!AA27</f>
        <v>5400</v>
      </c>
      <c r="C27">
        <f>B27/(60*60)</f>
        <v>1.5</v>
      </c>
      <c r="D27" s="63">
        <f>'e-LTM Single'!AM27</f>
        <v>-0.2149309009739736</v>
      </c>
    </row>
    <row r="29" spans="1:8" x14ac:dyDescent="0.25">
      <c r="A29" t="str">
        <f>'e-LTM Single'!B29</f>
        <v>McBride, D. M., &amp; Dosher, B. A. (1997). A comparison of forgetting in an implicit and explicit memory task. Journal of Experimental Psychology: General, 126(4), 371.</v>
      </c>
      <c r="B29">
        <f>'e-LTM Single'!AA29</f>
        <v>5400</v>
      </c>
      <c r="C29">
        <f>B29/(60*60)</f>
        <v>1.5</v>
      </c>
      <c r="D29" s="63">
        <f>'e-LTM Single'!AM29</f>
        <v>-0.24951026457854411</v>
      </c>
    </row>
    <row r="31" spans="1:8" x14ac:dyDescent="0.25">
      <c r="A31" t="str">
        <f>'e-LTM Single'!B31</f>
        <v>McBride, D. M., &amp; Dosher, B. A. (1997). A comparison of forgetting in an implicit and explicit memory task. Journal of Experimental Psychology: General, 126(4), 371.</v>
      </c>
      <c r="B31">
        <f>'e-LTM Single'!AA31</f>
        <v>5400</v>
      </c>
      <c r="C31">
        <f>B31/(60*60)</f>
        <v>1.5</v>
      </c>
      <c r="D31" s="63">
        <f>'e-LTM Single'!AM31</f>
        <v>-0.35645670893384496</v>
      </c>
    </row>
    <row r="33" spans="1:4" x14ac:dyDescent="0.25">
      <c r="A33" t="str">
        <f>'e-LTM Single'!B33</f>
        <v>McBride, D. M., &amp; Dosher, B. A. (1997). A comparison of forgetting in an implicit and explicit memory task. Journal of Experimental Psychology: General, 126(4), 371.</v>
      </c>
      <c r="B33">
        <f>'e-LTM Single'!AA33</f>
        <v>3768</v>
      </c>
      <c r="C33">
        <f>B33/(60*60)</f>
        <v>1.0466666666666666</v>
      </c>
      <c r="D33" s="63">
        <f>'e-LTM Single'!AM33</f>
        <v>-0.14575647814423051</v>
      </c>
    </row>
    <row r="35" spans="1:4" x14ac:dyDescent="0.25">
      <c r="A35" t="str">
        <f>'e-LTM Single'!B35</f>
        <v>McBride, D. M., &amp; Dosher, B. A. (1997). A comparison of forgetting in an implicit and explicit memory task. Journal of Experimental Psychology: General, 126(4), 371.</v>
      </c>
      <c r="B35">
        <f>'e-LTM Single'!AA35</f>
        <v>3768</v>
      </c>
      <c r="C35">
        <f>B35/(60*60)</f>
        <v>1.0466666666666666</v>
      </c>
      <c r="D35" s="63">
        <f>'e-LTM Single'!AM35</f>
        <v>-0.14951745200006822</v>
      </c>
    </row>
    <row r="37" spans="1:4" x14ac:dyDescent="0.25">
      <c r="A37" t="str">
        <f>'e-LTM Single'!B37</f>
        <v>McBride, D. M., &amp; Dosher, B. A. (1997). A comparison of forgetting in an implicit and explicit memory task. Journal of Experimental Psychology: General, 126(4), 371.</v>
      </c>
      <c r="B37">
        <f>'e-LTM Single'!AA37</f>
        <v>3768</v>
      </c>
      <c r="C37">
        <f>B37/(60*60)</f>
        <v>1.0466666666666666</v>
      </c>
      <c r="D37" s="63">
        <f>'e-LTM Single'!AM37</f>
        <v>-0.2265743324061473</v>
      </c>
    </row>
    <row r="39" spans="1:4" x14ac:dyDescent="0.25">
      <c r="A39" t="str">
        <f>'e-LTM Single'!B39</f>
        <v>McBride, D. M., &amp; Dosher, B. A. (1997). A comparison of forgetting in an implicit and explicit memory task. Journal of Experimental Psychology: General, 126(4), 371.</v>
      </c>
      <c r="B39">
        <f>'e-LTM Single'!AA39</f>
        <v>3768</v>
      </c>
      <c r="C39">
        <f>B39/(60*60)</f>
        <v>1.0466666666666666</v>
      </c>
      <c r="D39" s="63">
        <f>'e-LTM Single'!AM39</f>
        <v>-0.22268948822304618</v>
      </c>
    </row>
    <row r="41" spans="1:4" x14ac:dyDescent="0.25">
      <c r="A41" t="str">
        <f>'e-LTM Single'!B41</f>
        <v>McBride, D. M., &amp; Dosher, B. A. (1997). A comparison of forgetting in an implicit and explicit memory task. Journal of Experimental Psychology: General, 126(4), 371.</v>
      </c>
      <c r="B41">
        <f>'e-LTM Single'!AA41</f>
        <v>3768</v>
      </c>
      <c r="C41">
        <f>B41/(60*60)</f>
        <v>1.0466666666666666</v>
      </c>
      <c r="D41" s="63">
        <f>'e-LTM Single'!AM41</f>
        <v>-1.9249060332196644E-2</v>
      </c>
    </row>
    <row r="43" spans="1:4" x14ac:dyDescent="0.25">
      <c r="A43" t="str">
        <f>'e-LTM Single'!B43</f>
        <v>McBride, D. M., &amp; Dosher, B. A. (1997). A comparison of forgetting in an implicit and explicit memory task. Journal of Experimental Psychology: General, 126(4), 371.</v>
      </c>
      <c r="B43">
        <f>'e-LTM Single'!AA43</f>
        <v>3768</v>
      </c>
      <c r="C43">
        <f>B43/(60*60)</f>
        <v>1.0466666666666666</v>
      </c>
      <c r="D43" s="63">
        <f>'e-LTM Single'!AM43</f>
        <v>-3.6593837642734404E-2</v>
      </c>
    </row>
    <row r="45" spans="1:4" x14ac:dyDescent="0.25">
      <c r="A45" t="str">
        <f>'e-LTM Single'!B45</f>
        <v>McBride, D. M., &amp; Dosher, B. A. (1999). Forgetting rates are comparable in conscious and automatic memory: A process-dissociation study. Journal of Experimental Psychology: Learning, Memory, and Cognition, 25(3), 583-607.</v>
      </c>
      <c r="B45">
        <f>'e-LTM Single'!AA45</f>
        <v>4224</v>
      </c>
      <c r="C45">
        <f>B45/(60*60)</f>
        <v>1.1733333333333333</v>
      </c>
      <c r="D45" s="63">
        <f>'e-LTM Single'!AM45</f>
        <v>-0.19073528606652271</v>
      </c>
    </row>
    <row r="47" spans="1:4" x14ac:dyDescent="0.25">
      <c r="A47" t="str">
        <f>'e-LTM Single'!B47</f>
        <v>McBride, D. M., &amp; Dosher, B. A. (1999). Forgetting rates are comparable in conscious and automatic memory: A process-dissociation study. Journal of Experimental Psychology: Learning, Memory, and Cognition, 25(3), 583-607.</v>
      </c>
      <c r="B47">
        <f>'e-LTM Single'!AA47</f>
        <v>4224</v>
      </c>
      <c r="C47">
        <f>B47/(60*60)</f>
        <v>1.1733333333333333</v>
      </c>
      <c r="D47" s="63">
        <f>'e-LTM Single'!AM47</f>
        <v>-0.15658516371995584</v>
      </c>
    </row>
    <row r="49" spans="1:4" x14ac:dyDescent="0.25">
      <c r="A49" t="str">
        <f>'e-LTM Single'!B49</f>
        <v>McBride, D. M., &amp; Dosher, B. A. (1999). Forgetting rates are comparable in conscious and automatic memory: A process-dissociation study. Journal of Experimental Psychology: Learning, Memory, and Cognition, 25(3), 583-607.</v>
      </c>
      <c r="B49">
        <f>'e-LTM Single'!AA49</f>
        <v>4224</v>
      </c>
      <c r="C49">
        <f>B49/(60*60)</f>
        <v>1.1733333333333333</v>
      </c>
      <c r="D49" s="63">
        <f>'e-LTM Single'!AM49</f>
        <v>-4.656993122468521E-2</v>
      </c>
    </row>
    <row r="51" spans="1:4" x14ac:dyDescent="0.25">
      <c r="A51" t="str">
        <f>'e-LTM Single'!B51</f>
        <v>McBride, D. M., &amp; Dosher, B. A. (1999). Forgetting rates are comparable in conscious and automatic memory: A process-dissociation study. Journal of Experimental Psychology: Learning, Memory, and Cognition, 25(3), 583-607.</v>
      </c>
      <c r="B51">
        <f>'e-LTM Single'!AA51</f>
        <v>4224</v>
      </c>
      <c r="C51">
        <f>B51/(60*60)</f>
        <v>1.1733333333333333</v>
      </c>
      <c r="D51" s="63">
        <f>'e-LTM Single'!AM51</f>
        <v>-0.14891790493837317</v>
      </c>
    </row>
    <row r="53" spans="1:4" x14ac:dyDescent="0.25">
      <c r="A53" t="str">
        <f>'e-LTM Single'!B53</f>
        <v>McBride, D. M., &amp; Dosher, B. A. (1999). Forgetting rates are comparable in conscious and automatic memory: A process-dissociation study. Journal of Experimental Psychology: Learning, Memory, and Cognition, 25(3), 583-607.</v>
      </c>
      <c r="B53">
        <f>'e-LTM Single'!AA53</f>
        <v>765</v>
      </c>
      <c r="C53">
        <f>B53/(60*60)</f>
        <v>0.21249999999999999</v>
      </c>
      <c r="D53" s="63">
        <f>'e-LTM Single'!AM53</f>
        <v>-0.30475135206540238</v>
      </c>
    </row>
    <row r="55" spans="1:4" x14ac:dyDescent="0.25">
      <c r="A55" t="str">
        <f>'e-LTM Single'!B55</f>
        <v>McBride, D. M., &amp; Dosher, B. A. (1999). Forgetting rates are comparable in conscious and automatic memory: A process-dissociation study. Journal of Experimental Psychology: Learning, Memory, and Cognition, 25(3), 583-607.</v>
      </c>
      <c r="B55">
        <f>'e-LTM Single'!AA55</f>
        <v>765</v>
      </c>
      <c r="C55">
        <f>B55/(60*60)</f>
        <v>0.21249999999999999</v>
      </c>
      <c r="D55" s="63">
        <f>'e-LTM Single'!AM55</f>
        <v>-0.34061755633118523</v>
      </c>
    </row>
    <row r="57" spans="1:4" x14ac:dyDescent="0.25">
      <c r="A57" t="str">
        <f>'e-LTM Single'!B57</f>
        <v>McBride, D. M., &amp; Dosher, B. A. (1999). Forgetting rates are comparable in conscious and automatic memory: A process-dissociation study. Journal of Experimental Psychology: Learning, Memory, and Cognition, 25(3), 583-607.</v>
      </c>
      <c r="B57">
        <f>'e-LTM Single'!AA57</f>
        <v>765</v>
      </c>
      <c r="C57">
        <f>B57/(60*60)</f>
        <v>0.21249999999999999</v>
      </c>
      <c r="D57" s="63">
        <f>'e-LTM Single'!AM57</f>
        <v>-0.18699373208102818</v>
      </c>
    </row>
    <row r="59" spans="1:4" x14ac:dyDescent="0.25">
      <c r="A59" t="str">
        <f>'e-LTM Single'!B59</f>
        <v>McBride, D. M., &amp; Dosher, B. A. (1999). Forgetting rates are comparable in conscious and automatic memory: A process-dissociation study. Journal of Experimental Psychology: Learning, Memory, and Cognition, 25(3), 583-607.</v>
      </c>
      <c r="B59">
        <f>'e-LTM Single'!AA59</f>
        <v>765</v>
      </c>
      <c r="C59">
        <f>B59/(60*60)</f>
        <v>0.21249999999999999</v>
      </c>
      <c r="D59" s="63">
        <f>'e-LTM Single'!AM59</f>
        <v>-0.14920548299381145</v>
      </c>
    </row>
    <row r="60" spans="1:4" x14ac:dyDescent="0.25">
      <c r="D60" s="63"/>
    </row>
    <row r="61" spans="1:4" x14ac:dyDescent="0.25">
      <c r="A61" t="str">
        <f>'e-LTM Single'!B61</f>
        <v>McGibbon, T., &amp; Jansari, A. S. (2013). Detecting the onset of accelerated long-term forgetting: evidence from temporal lobe epilepsy. Neuropsychologia, 51(1), 114-122.</v>
      </c>
      <c r="B61">
        <f>'e-LTM Single'!AA61</f>
        <v>14400</v>
      </c>
      <c r="C61">
        <f>B61/(60*60)</f>
        <v>4</v>
      </c>
      <c r="D61" s="63">
        <f>'e-LTM Single'!AM61</f>
        <v>-6.6320753200862073E-2</v>
      </c>
    </row>
    <row r="63" spans="1:4" x14ac:dyDescent="0.25">
      <c r="A63" t="str">
        <f>'e-LTM Single'!B63</f>
        <v>Rowland, C., &amp; Delosh, E. (2014). Mnemonic benefits of retrieval practice at short retention intervals. Memory, 23(3), 1-17.</v>
      </c>
      <c r="B63">
        <f>'e-LTM Single'!AA63</f>
        <v>480</v>
      </c>
      <c r="C63">
        <f>B63/(60*60)</f>
        <v>0.13333333333333333</v>
      </c>
      <c r="D63" s="63">
        <f>'e-LTM Single'!AM63</f>
        <v>-0.10963244929778714</v>
      </c>
    </row>
    <row r="65" spans="1:4" x14ac:dyDescent="0.25">
      <c r="A65" t="str">
        <f>'e-LTM Single'!B65</f>
        <v>Rowland, C., &amp; Delosh, E. (2014). Mnemonic benefits of retrieval practice at short retention intervals. Memory, 23(3), 1-17.</v>
      </c>
      <c r="B65">
        <f>'e-LTM Single'!AA65</f>
        <v>240</v>
      </c>
      <c r="C65">
        <f>B65/(60*60)</f>
        <v>6.6666666666666666E-2</v>
      </c>
      <c r="D65" s="63">
        <f>'e-LTM Single'!AM65</f>
        <v>-3.5682854601662491E-2</v>
      </c>
    </row>
    <row r="67" spans="1:4" x14ac:dyDescent="0.25">
      <c r="A67" t="str">
        <f>'e-LTM Single'!B67</f>
        <v>Ryback, R. S., Weinert, J., &amp; Fozard, J. L. (1970). Disruption of short-term memory in man following consumption of ethanol. Psychonomic Science, 20(6), 353-354.</v>
      </c>
      <c r="B67">
        <f>'e-LTM Single'!AA67</f>
        <v>2700</v>
      </c>
      <c r="C67">
        <f>B67/(60*60)</f>
        <v>0.75</v>
      </c>
      <c r="D67" s="63">
        <f>'e-LTM Single'!AM67</f>
        <v>-1.9727464596118505E-2</v>
      </c>
    </row>
    <row r="69" spans="1:4" x14ac:dyDescent="0.25">
      <c r="A69" t="str">
        <f>'e-LTM Single'!B69</f>
        <v>Ryback, R. S., Weinert, J., &amp; Fozard, J. L. (1970). Disruption of short-term memory in man following consumption of ethanol. Psychonomic Science, 20(6), 353-354.</v>
      </c>
      <c r="B69">
        <f>'e-LTM Single'!AA69</f>
        <v>2700</v>
      </c>
      <c r="C69">
        <f>B69/(60*60)</f>
        <v>0.75</v>
      </c>
      <c r="D69" s="63">
        <f>'e-LTM Single'!AM69</f>
        <v>-3.157575331899632E-3</v>
      </c>
    </row>
    <row r="71" spans="1:4" x14ac:dyDescent="0.25">
      <c r="A71" t="str">
        <f>'e-LTM Single'!B71</f>
        <v>Ryback, R. S., Weinert, J., &amp; Fozard, J. L. (1970). Disruption of short-term memory in man following consumption of ethanol. Psychonomic Science, 20(6), 353-354.</v>
      </c>
      <c r="B71">
        <f>'e-LTM Single'!AA71</f>
        <v>2700</v>
      </c>
      <c r="C71">
        <f>B71/(60*60)</f>
        <v>0.75</v>
      </c>
      <c r="D71" s="63">
        <f>'e-LTM Single'!AM71</f>
        <v>-1.4077656808005854E-2</v>
      </c>
    </row>
    <row r="73" spans="1:4" x14ac:dyDescent="0.25">
      <c r="A73" t="str">
        <f>'e-LTM Single'!B73</f>
        <v>Warrington, E. K. (1982). The double dissociation of short- and long-term memory deficits. Cermak, L. S. (Ed.), Human Memory and Amnesia, (pp. 61-76). Erlbaum, Hillsdale, NJ.</v>
      </c>
      <c r="B73">
        <f>'e-LTM Single'!AA73</f>
        <v>60</v>
      </c>
      <c r="C73">
        <f>B73/(60*60)</f>
        <v>1.6666666666666666E-2</v>
      </c>
      <c r="D73" s="63">
        <f>'e-LTM Single'!AM73</f>
        <v>-7.4822670105094274E-2</v>
      </c>
    </row>
    <row r="75" spans="1:4" x14ac:dyDescent="0.25">
      <c r="A75" t="str">
        <f>'e-LTM Single'!B75</f>
        <v>Warrington, E. K. (1982). The double dissociation of short- and long-term memory deficits. Cermak, L. S. (Ed.), Human Memory and Amnesia, (pp. 61-76). Erlbaum, Hillsdale, NJ.</v>
      </c>
      <c r="B75">
        <f>'e-LTM Single'!AA75</f>
        <v>60</v>
      </c>
      <c r="C75">
        <f>B75/(60*60)</f>
        <v>1.6666666666666666E-2</v>
      </c>
      <c r="D75" s="63">
        <f>'e-LTM Single'!AM75</f>
        <v>-8.2642429220752947E-2</v>
      </c>
    </row>
    <row r="77" spans="1:4" x14ac:dyDescent="0.25">
      <c r="D77" s="63"/>
    </row>
    <row r="79" spans="1:4" x14ac:dyDescent="0.25">
      <c r="D79" s="63"/>
    </row>
    <row r="81" spans="4:4" x14ac:dyDescent="0.25">
      <c r="D81" s="63"/>
    </row>
    <row r="83" spans="4:4" x14ac:dyDescent="0.25">
      <c r="D83" s="63"/>
    </row>
    <row r="85" spans="4:4" x14ac:dyDescent="0.25">
      <c r="D85" s="63"/>
    </row>
    <row r="87" spans="4:4" x14ac:dyDescent="0.25">
      <c r="D87" s="63"/>
    </row>
    <row r="89" spans="4:4" x14ac:dyDescent="0.25">
      <c r="D89" s="63"/>
    </row>
    <row r="91" spans="4:4" x14ac:dyDescent="0.25">
      <c r="D91" s="63"/>
    </row>
    <row r="93" spans="4:4" x14ac:dyDescent="0.25">
      <c r="D93" s="63"/>
    </row>
    <row r="95" spans="4:4" x14ac:dyDescent="0.25">
      <c r="D95" s="63"/>
    </row>
    <row r="97" spans="4:4" x14ac:dyDescent="0.25">
      <c r="D97" s="63"/>
    </row>
    <row r="99" spans="4:4" x14ac:dyDescent="0.25">
      <c r="D99" s="63"/>
    </row>
    <row r="101" spans="4:4" x14ac:dyDescent="0.25">
      <c r="D101" s="63"/>
    </row>
    <row r="103" spans="4:4" x14ac:dyDescent="0.25">
      <c r="D103" s="63"/>
    </row>
    <row r="105" spans="4:4" x14ac:dyDescent="0.25">
      <c r="D105" s="63"/>
    </row>
    <row r="107" spans="4:4" x14ac:dyDescent="0.25">
      <c r="D107" s="63"/>
    </row>
    <row r="109" spans="4:4" x14ac:dyDescent="0.25">
      <c r="D109" s="63"/>
    </row>
    <row r="111" spans="4:4" x14ac:dyDescent="0.25">
      <c r="D111" s="63"/>
    </row>
    <row r="113" spans="4:4" x14ac:dyDescent="0.25">
      <c r="D113" s="63"/>
    </row>
    <row r="115" spans="4:4" x14ac:dyDescent="0.25">
      <c r="D115" s="63"/>
    </row>
    <row r="117" spans="4:4" x14ac:dyDescent="0.25">
      <c r="D117" s="63"/>
    </row>
    <row r="119" spans="4:4" x14ac:dyDescent="0.25">
      <c r="D119" s="63"/>
    </row>
    <row r="121" spans="4:4" x14ac:dyDescent="0.25">
      <c r="D121" s="63"/>
    </row>
    <row r="123" spans="4:4" x14ac:dyDescent="0.25">
      <c r="D123" s="63"/>
    </row>
    <row r="125" spans="4:4" x14ac:dyDescent="0.25">
      <c r="D125" s="63"/>
    </row>
    <row r="127" spans="4:4" x14ac:dyDescent="0.25">
      <c r="D127" s="63"/>
    </row>
    <row r="129" spans="4:4" x14ac:dyDescent="0.25">
      <c r="D129" s="63"/>
    </row>
    <row r="131" spans="4:4" x14ac:dyDescent="0.25">
      <c r="D131" s="63"/>
    </row>
    <row r="133" spans="4:4" x14ac:dyDescent="0.25">
      <c r="D133" s="63"/>
    </row>
    <row r="135" spans="4:4" x14ac:dyDescent="0.25">
      <c r="D135" s="63"/>
    </row>
    <row r="137" spans="4:4" x14ac:dyDescent="0.25">
      <c r="D137" s="63"/>
    </row>
    <row r="139" spans="4:4" x14ac:dyDescent="0.25">
      <c r="D139" s="63"/>
    </row>
    <row r="141" spans="4:4" x14ac:dyDescent="0.25">
      <c r="D141" s="63"/>
    </row>
    <row r="143" spans="4:4" x14ac:dyDescent="0.25">
      <c r="D143" s="63"/>
    </row>
    <row r="145" spans="4:4" x14ac:dyDescent="0.25">
      <c r="D145" s="63"/>
    </row>
    <row r="147" spans="4:4" x14ac:dyDescent="0.25">
      <c r="D147" s="63"/>
    </row>
    <row r="149" spans="4:4" x14ac:dyDescent="0.25">
      <c r="D149" s="63"/>
    </row>
    <row r="151" spans="4:4" x14ac:dyDescent="0.25">
      <c r="D151" s="63"/>
    </row>
    <row r="153" spans="4:4" x14ac:dyDescent="0.25">
      <c r="D153" s="63"/>
    </row>
    <row r="155" spans="4:4" x14ac:dyDescent="0.25">
      <c r="D155" s="63"/>
    </row>
    <row r="157" spans="4:4" x14ac:dyDescent="0.25">
      <c r="D157" s="63"/>
    </row>
    <row r="159" spans="4:4" x14ac:dyDescent="0.25">
      <c r="D159" s="63"/>
    </row>
    <row r="161" spans="4:4" x14ac:dyDescent="0.25">
      <c r="D161" s="63"/>
    </row>
    <row r="163" spans="4:4" x14ac:dyDescent="0.25">
      <c r="D163" s="63"/>
    </row>
    <row r="165" spans="4:4" x14ac:dyDescent="0.25">
      <c r="D165" s="63"/>
    </row>
    <row r="167" spans="4:4" x14ac:dyDescent="0.25">
      <c r="D167" s="63"/>
    </row>
    <row r="169" spans="4:4" x14ac:dyDescent="0.25">
      <c r="D169" s="63"/>
    </row>
    <row r="171" spans="4:4" x14ac:dyDescent="0.25">
      <c r="D171" s="63"/>
    </row>
    <row r="173" spans="4:4" x14ac:dyDescent="0.25">
      <c r="D173" s="63"/>
    </row>
    <row r="175" spans="4:4" x14ac:dyDescent="0.25">
      <c r="D175" s="63"/>
    </row>
    <row r="177" spans="4:4" x14ac:dyDescent="0.25">
      <c r="D177" s="63"/>
    </row>
    <row r="179" spans="4:4" x14ac:dyDescent="0.25">
      <c r="D179" s="63"/>
    </row>
    <row r="181" spans="4:4" x14ac:dyDescent="0.25">
      <c r="D181" s="63"/>
    </row>
    <row r="183" spans="4:4" x14ac:dyDescent="0.25">
      <c r="D183" s="63"/>
    </row>
    <row r="185" spans="4:4" x14ac:dyDescent="0.25">
      <c r="D185" s="63"/>
    </row>
    <row r="187" spans="4:4" x14ac:dyDescent="0.25">
      <c r="D187" s="63"/>
    </row>
    <row r="189" spans="4:4" x14ac:dyDescent="0.25">
      <c r="D189" s="63"/>
    </row>
    <row r="191" spans="4:4" x14ac:dyDescent="0.25">
      <c r="D191" s="63"/>
    </row>
    <row r="193" spans="4:4" x14ac:dyDescent="0.25">
      <c r="D193" s="63"/>
    </row>
    <row r="195" spans="4:4" x14ac:dyDescent="0.25">
      <c r="D195" s="63"/>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U48"/>
  <sheetViews>
    <sheetView workbookViewId="0">
      <selection activeCell="A2" sqref="A2"/>
    </sheetView>
  </sheetViews>
  <sheetFormatPr defaultColWidth="5.28515625" defaultRowHeight="12.75" outlineLevelCol="1" x14ac:dyDescent="0.2"/>
  <cols>
    <col min="1" max="1" width="11.28515625" style="61" bestFit="1" customWidth="1"/>
    <col min="2" max="2" width="9.7109375" style="14" customWidth="1"/>
    <col min="3" max="3" width="17.85546875" style="14" customWidth="1"/>
    <col min="4" max="4" width="6.85546875" style="64" customWidth="1"/>
    <col min="5" max="5" width="4.28515625" style="77" customWidth="1"/>
    <col min="6" max="6" width="10.28515625" style="64" bestFit="1" customWidth="1"/>
    <col min="7" max="7" width="9.28515625" style="64" customWidth="1"/>
    <col min="8" max="8" width="14.85546875" style="64" bestFit="1" customWidth="1"/>
    <col min="9" max="9" width="30.5703125" style="64" customWidth="1"/>
    <col min="10" max="10" width="17.5703125" style="64" customWidth="1"/>
    <col min="11" max="11" width="9.5703125" style="64" customWidth="1"/>
    <col min="12" max="13" width="9.7109375" style="64" customWidth="1"/>
    <col min="14" max="14" width="13.85546875" style="64" customWidth="1"/>
    <col min="15" max="15" width="8.7109375" style="64" customWidth="1"/>
    <col min="16" max="16" width="22.7109375" style="64" bestFit="1" customWidth="1"/>
    <col min="17" max="17" width="18.28515625" style="64" bestFit="1" customWidth="1"/>
    <col min="18" max="18" width="8.7109375" style="64" bestFit="1" customWidth="1"/>
    <col min="19" max="19" width="11.42578125" style="64" bestFit="1" customWidth="1"/>
    <col min="20" max="20" width="12.7109375" style="64" customWidth="1"/>
    <col min="21" max="21" width="10.42578125" style="64" bestFit="1" customWidth="1"/>
    <col min="22" max="22" width="10.42578125" style="64" customWidth="1"/>
    <col min="23" max="23" width="11.85546875" style="64" customWidth="1"/>
    <col min="24" max="24" width="8.140625" style="64" customWidth="1"/>
    <col min="25" max="25" width="10" style="77" customWidth="1"/>
    <col min="26" max="26" width="15.42578125" style="64" customWidth="1"/>
    <col min="27" max="27" width="11" style="64" customWidth="1"/>
    <col min="28" max="28" width="16.42578125" style="64" customWidth="1"/>
    <col min="29" max="29" width="13.5703125" style="64" customWidth="1"/>
    <col min="30" max="30" width="13.140625" style="64" customWidth="1"/>
    <col min="31" max="31" width="11" style="64" customWidth="1"/>
    <col min="32" max="32" width="12.5703125" style="81" customWidth="1"/>
    <col min="33" max="33" width="10.140625" style="57" customWidth="1"/>
    <col min="34" max="34" width="10.7109375" style="12" customWidth="1"/>
    <col min="35" max="35" width="10.7109375" style="57" customWidth="1"/>
    <col min="36" max="36" width="10.7109375" style="114" customWidth="1"/>
    <col min="37" max="40" width="10.7109375" style="57" customWidth="1"/>
    <col min="41" max="43" width="10.7109375" style="57" customWidth="1" outlineLevel="1"/>
    <col min="44" max="44" width="16.85546875" style="114" customWidth="1" outlineLevel="1"/>
    <col min="45" max="46" width="16.85546875" style="57" customWidth="1" outlineLevel="1"/>
    <col min="47" max="47" width="5.28515625" style="12" outlineLevel="1"/>
    <col min="48" max="50" width="13.42578125" style="45" bestFit="1" customWidth="1" outlineLevel="1"/>
    <col min="51" max="51" width="14.85546875" style="45" bestFit="1" customWidth="1" outlineLevel="1"/>
    <col min="52" max="53" width="14.5703125" style="45" bestFit="1" customWidth="1"/>
    <col min="54" max="54" width="13.5703125" style="45" bestFit="1" customWidth="1"/>
    <col min="55" max="57" width="13.5703125" style="20" bestFit="1" customWidth="1"/>
    <col min="58" max="62" width="12.42578125" style="20" bestFit="1" customWidth="1"/>
    <col min="63" max="74" width="10.42578125" style="20" bestFit="1" customWidth="1"/>
    <col min="75" max="95" width="11.42578125" style="20" bestFit="1" customWidth="1"/>
    <col min="96" max="99" width="12.42578125" style="14" bestFit="1" customWidth="1"/>
    <col min="100" max="133" width="10.42578125" style="14" bestFit="1" customWidth="1"/>
    <col min="134" max="16384" width="5.28515625" style="14"/>
  </cols>
  <sheetData>
    <row r="1" spans="1:99" ht="12" customHeight="1" x14ac:dyDescent="0.2">
      <c r="A1" s="61" t="s">
        <v>304</v>
      </c>
      <c r="B1" s="15" t="s">
        <v>0</v>
      </c>
      <c r="C1" s="15" t="s">
        <v>1</v>
      </c>
      <c r="D1" s="59" t="s">
        <v>2</v>
      </c>
      <c r="E1" s="75" t="s">
        <v>579</v>
      </c>
      <c r="F1" s="59" t="s">
        <v>6</v>
      </c>
      <c r="G1" s="59" t="s">
        <v>485</v>
      </c>
      <c r="H1" s="59" t="s">
        <v>1</v>
      </c>
      <c r="I1" s="59" t="s">
        <v>8</v>
      </c>
      <c r="J1" s="59" t="s">
        <v>7</v>
      </c>
      <c r="K1" s="59" t="s">
        <v>571</v>
      </c>
      <c r="L1" s="59" t="s">
        <v>565</v>
      </c>
      <c r="M1" s="59" t="s">
        <v>569</v>
      </c>
      <c r="N1" s="59" t="s">
        <v>566</v>
      </c>
      <c r="O1" s="59" t="s">
        <v>5</v>
      </c>
      <c r="P1" s="59" t="s">
        <v>570</v>
      </c>
      <c r="Q1" s="59" t="s">
        <v>3</v>
      </c>
      <c r="R1" s="59" t="s">
        <v>568</v>
      </c>
      <c r="S1" s="59" t="s">
        <v>4</v>
      </c>
      <c r="T1" s="59" t="s">
        <v>237</v>
      </c>
      <c r="U1" s="59" t="s">
        <v>910</v>
      </c>
      <c r="V1" s="59" t="s">
        <v>563</v>
      </c>
      <c r="W1" s="59" t="s">
        <v>564</v>
      </c>
      <c r="X1" s="59" t="s">
        <v>576</v>
      </c>
      <c r="Y1" s="75" t="s">
        <v>558</v>
      </c>
      <c r="Z1" s="59" t="s">
        <v>577</v>
      </c>
      <c r="AA1" s="59" t="s">
        <v>327</v>
      </c>
      <c r="AB1" s="59" t="s">
        <v>325</v>
      </c>
      <c r="AC1" s="59" t="s">
        <v>326</v>
      </c>
      <c r="AD1" s="59" t="s">
        <v>578</v>
      </c>
      <c r="AE1" s="59" t="s">
        <v>559</v>
      </c>
      <c r="AF1" s="79" t="s">
        <v>560</v>
      </c>
      <c r="AG1" s="55" t="s">
        <v>546</v>
      </c>
      <c r="AH1" s="4"/>
      <c r="AI1" s="139" t="s">
        <v>297</v>
      </c>
      <c r="AJ1" s="111" t="s">
        <v>289</v>
      </c>
      <c r="AK1" s="55" t="s">
        <v>9</v>
      </c>
      <c r="AL1" s="139" t="s">
        <v>298</v>
      </c>
      <c r="AM1" s="55" t="s">
        <v>10</v>
      </c>
      <c r="AN1" s="55" t="s">
        <v>11</v>
      </c>
      <c r="AO1" s="139" t="s">
        <v>907</v>
      </c>
      <c r="AP1" s="55" t="s">
        <v>303</v>
      </c>
      <c r="AQ1" s="139" t="s">
        <v>908</v>
      </c>
      <c r="AR1" s="111" t="s">
        <v>301</v>
      </c>
      <c r="AS1" s="139" t="s">
        <v>909</v>
      </c>
      <c r="AT1" s="55" t="s">
        <v>302</v>
      </c>
      <c r="AU1" s="4"/>
      <c r="AV1" s="11" t="s">
        <v>292</v>
      </c>
      <c r="AW1" s="11"/>
      <c r="AX1" s="11"/>
      <c r="AY1" s="11"/>
      <c r="AZ1" s="11"/>
      <c r="BA1" s="11"/>
      <c r="BB1" s="11"/>
      <c r="BC1" s="10"/>
      <c r="BD1" s="10"/>
      <c r="BE1" s="10"/>
      <c r="BF1" s="10"/>
      <c r="BG1" s="10"/>
      <c r="BH1" s="10"/>
      <c r="BI1" s="10"/>
      <c r="BJ1" s="10"/>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5"/>
      <c r="CS1" s="15"/>
      <c r="CT1" s="15"/>
      <c r="CU1" s="15"/>
    </row>
    <row r="2" spans="1:99" s="13" customFormat="1" ht="12" customHeight="1" x14ac:dyDescent="0.2">
      <c r="A2" s="65">
        <v>43509</v>
      </c>
      <c r="B2" s="1"/>
      <c r="C2" s="1"/>
      <c r="D2" s="60"/>
      <c r="E2" s="76"/>
      <c r="F2" s="60"/>
      <c r="G2" s="60"/>
      <c r="H2" s="60"/>
      <c r="I2" s="60"/>
      <c r="J2" s="60"/>
      <c r="K2" s="64"/>
      <c r="L2" s="64"/>
      <c r="M2" s="60"/>
      <c r="N2" s="60"/>
      <c r="O2" s="60"/>
      <c r="P2" s="60"/>
      <c r="Q2" s="60"/>
      <c r="R2" s="60"/>
      <c r="S2" s="60"/>
      <c r="T2" s="60"/>
      <c r="U2" s="60"/>
      <c r="V2" s="60"/>
      <c r="W2" s="60"/>
      <c r="X2" s="60"/>
      <c r="Y2" s="76"/>
      <c r="Z2" s="60"/>
      <c r="AA2" s="60"/>
      <c r="AB2" s="60"/>
      <c r="AC2" s="60"/>
      <c r="AD2" s="60"/>
      <c r="AE2" s="60"/>
      <c r="AF2" s="80"/>
      <c r="AG2" s="56"/>
      <c r="AH2" s="4"/>
      <c r="AI2" s="56"/>
      <c r="AJ2" s="109"/>
      <c r="AK2" s="56"/>
      <c r="AL2" s="56"/>
      <c r="AM2" s="56"/>
      <c r="AN2" s="56"/>
      <c r="AO2" s="56"/>
      <c r="AP2" s="56"/>
      <c r="AQ2" s="56"/>
      <c r="AR2" s="109"/>
      <c r="AS2" s="56"/>
      <c r="AT2" s="56"/>
      <c r="AU2" s="6"/>
      <c r="AV2" s="25">
        <v>30</v>
      </c>
      <c r="AW2" s="25">
        <f>60*20</f>
        <v>1200</v>
      </c>
      <c r="AX2" s="25">
        <f>60*90</f>
        <v>5400</v>
      </c>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1"/>
      <c r="CS2" s="1"/>
      <c r="CT2" s="1"/>
      <c r="CU2" s="1"/>
    </row>
    <row r="3" spans="1:99" s="13" customFormat="1" ht="12" customHeight="1" x14ac:dyDescent="0.2">
      <c r="A3" s="65">
        <v>43509</v>
      </c>
      <c r="B3" s="1" t="s">
        <v>242</v>
      </c>
      <c r="C3" s="1" t="s">
        <v>58</v>
      </c>
      <c r="D3" s="60">
        <v>1984</v>
      </c>
      <c r="E3" s="76">
        <v>2</v>
      </c>
      <c r="F3" s="60">
        <v>48</v>
      </c>
      <c r="G3" s="60">
        <v>48</v>
      </c>
      <c r="H3" s="60" t="s">
        <v>38</v>
      </c>
      <c r="I3" s="60"/>
      <c r="J3" s="60" t="s">
        <v>16</v>
      </c>
      <c r="K3" s="60">
        <f>IF(J3="syllables",1,IF(J3="trigrams",2,IF(J3="strings",3,IF(J3="visual array",4,IF(J3="characters",5,IF(J3="letters",6,IF(J3="free forms",7,IF(J3="odors",8,IF(J3="words",9,IF(J3="pictures",10,IF(J3="object pictures",11,IF(J3="faces",12,IF(J3="names",13,IF(J3="idioms",14,IF(J3="grades",15,IF(J3="syllable-digit pairs",16,IF(J3="trigram-word pairs",17,IF(J3="word-digit pairs",18,IF(J3="English-Swahili pairs",19,IF(J3="spatial position",20,IF(J3="word pairs",21,IF(J3="word triads",22,IF(J3="generated words",23,IF(J3="word definition pairs",24,IF(J3="math problems",25,IF(J3="famous faces",26,IF(J3="famous names",27,IF(J3="famous voices",28,IF(J3="television programs",29,IF(J3="race horses",30,IF(J3="new vocabulary",31,IF(J3="sentences",32,IF(J3="concepts",33,IF(J3="ad slides",34,IF(J3="scenes",35,IF(J3="famous scenes",36,IF(J3="poems",37,IF(J3="walk",38,IF(J3="faces and events",39,IF(J3="events and names",40,IF(J3="flashbulb",41,IF(J3="stories",42,IF(J3="course material",43,IF(J3="autobiographical",44,IF(J3="novels",45,IF(J3="public events",46,"99"))))))))))))))))))))))))))))))))))))))))))))))</f>
        <v>9</v>
      </c>
      <c r="L3" s="60">
        <f>IF(J3="syllables",1,IF(J3="trigrams",1,IF(J3="strings",1,IF(J3="visual array",1,IF(J3="characters",1,IF(J3="letters",1,IF(J3="free forms",1,IF(J3="odors",2,IF(J3="words",2,IF(J3="pictures",2,IF(J3="object pictures",2,IF(J3="faces",2,IF(J3="names",2,IF(J3="idioms","2",IF(J3="grades",2,IF(J3="syllable-digit pairs",3,IF(J3="trigram-word pairs",3,IF(J3="word-digit pairs",3,IF(J3="English-Swahili pairs",3,IF(J3="spatial position",3,IF(J3="word pairs",4,IF(J3="word triads",4,IF(J3="generated words",4,IF(J3="word definition pairs",4,IF(J3="math problems",4,IF(J3="famous faces",4,IF(J3="famous names",4,IF(J3="famous voices",4,IF(J3="television programs",4,IF(J3="race horses",4,IF(J3="new vocabulary",4,IF(J3="sentences",5,IF(J3="concepts",5,IF(J3="ad slides",5,IF(J3="scenes",5,IF(J3="famous scenes",5,IF(J3="poems",6,IF(J3="walk",6,IF(J3="faces and events",6,IF(J3="events and names",6,IF(J3="flashbulb",7,IF(J3="stories",7,IF(J3="course material",7,IF(J3="autobiographical",7,IF(J3="novels",7,IF(J3="public events",7,"99"))))))))))))))))))))))))))))))))))))))))))))))</f>
        <v>2</v>
      </c>
      <c r="M3" s="60">
        <v>1</v>
      </c>
      <c r="N3" s="60">
        <v>1</v>
      </c>
      <c r="O3" s="60">
        <v>0</v>
      </c>
      <c r="P3" s="60"/>
      <c r="Q3" s="60" t="s">
        <v>14</v>
      </c>
      <c r="R3" s="60">
        <f>IF(Q3="Free Recall",1,IF(Q3="Cued Recall",2,IF(Q3="Recognition",3,IF(Q3="Multiple Choice",4,IF(Q3="Savings",5,IF(Q3="Stem Completion",6,IF(Q3="Fragment Completion",7,IF(Q3="anagram solution",8,IF(Q3="Matching",9,IF(Q3="Problem Solving",10,"99"))))))))))</f>
        <v>6</v>
      </c>
      <c r="S3" s="60" t="s">
        <v>15</v>
      </c>
      <c r="T3" s="59" t="s">
        <v>581</v>
      </c>
      <c r="U3" s="60">
        <f>IF(T3="within",1,0)</f>
        <v>1</v>
      </c>
      <c r="V3" s="59">
        <v>20</v>
      </c>
      <c r="W3" s="60">
        <f>F3*V3</f>
        <v>960</v>
      </c>
      <c r="X3" s="60">
        <v>3</v>
      </c>
      <c r="Y3" s="76">
        <f>AV2</f>
        <v>30</v>
      </c>
      <c r="Z3" s="60" t="s">
        <v>59</v>
      </c>
      <c r="AA3" s="60">
        <v>5400</v>
      </c>
      <c r="AB3" s="60" t="str">
        <f>IF(AA3&lt;60,"1",IF(AA3&lt;=43200,"2",IF(AA3&lt;=777600,"3","4")))</f>
        <v>2</v>
      </c>
      <c r="AC3" s="56">
        <f>AVERAGE(AV2:DA2)</f>
        <v>2210</v>
      </c>
      <c r="AD3" s="60" t="str">
        <f>IF(AC3&lt;60,"1",IF(AC3&lt;=43200,"2",IF(AC3&lt;=777600,"3","4")))</f>
        <v>2</v>
      </c>
      <c r="AE3" s="76">
        <f>AA3-Y3</f>
        <v>5370</v>
      </c>
      <c r="AF3" s="80">
        <f>AV3</f>
        <v>0.25800000000000001</v>
      </c>
      <c r="AG3" s="56">
        <f>((AW3-AV3)+(AX3-AW3))/2</f>
        <v>-5.6000000000000008E-2</v>
      </c>
      <c r="AH3" s="4"/>
      <c r="AI3" s="56">
        <f>RSQ(AV3:AX3,AV2:AX2)</f>
        <v>0.92693513800179816</v>
      </c>
      <c r="AJ3" s="109">
        <f>SLOPE(AV3:AX3,AV2:AX2)</f>
        <v>-1.9108887300452704E-5</v>
      </c>
      <c r="AK3" s="56">
        <f>INTERCEPT(AV3:AX3,AV2:AX2)</f>
        <v>0.24556397426733381</v>
      </c>
      <c r="AL3" s="56">
        <f>INDEX(LINEST(LN(AV3:AX3),LN(AV2:AX2),TRUE,TRUE),3,1)</f>
        <v>0.87684622326028527</v>
      </c>
      <c r="AM3" s="56">
        <f>INDEX(LINEST(LN(AV3:AX3),LN(AV2:AX2)),1)</f>
        <v>-0.10049141940032545</v>
      </c>
      <c r="AN3" s="56">
        <f>EXP(INDEX(LINEST(LN(AV3:AX3),LN(AV2:AX2)),1,2))</f>
        <v>0.37519831395832293</v>
      </c>
      <c r="AO3" s="82">
        <f>INDEX(LINEST((AV3:AX3),LN(AV2:AX2),TRUE,TRUE),3,1)</f>
        <v>0.92388972366598965</v>
      </c>
      <c r="AP3" s="82">
        <f>INDEX(LINEST((AV3:AX3),LN(AV2:AX2)),1)</f>
        <v>-2.0162007983687738E-2</v>
      </c>
      <c r="AQ3" s="83">
        <f>INDEX(LINEST(LN(AV3:AX3),SQRT(AV2:AX2),TRUE,TRUE),3,1)</f>
        <v>0.99853508114536671</v>
      </c>
      <c r="AR3" s="116">
        <f>INDEX(LINEST(LN(AV3:AX3),SQRT((AV2:AX2))),1)</f>
        <v>-8.3983529892431193E-3</v>
      </c>
      <c r="AS3" s="84">
        <f>INDEX(LINEST(1/(AV3:AX3),1/(SQRT(AV2:AX2)),TRUE,TRUE),3,1)</f>
        <v>0.64646317834272049</v>
      </c>
      <c r="AT3" s="84">
        <f>INDEX(LINEST(1/(AV3:AX3),1/SQRT(AV2:AX2)),1)</f>
        <v>-13.036583050768614</v>
      </c>
      <c r="AU3" s="3"/>
      <c r="AV3" s="53">
        <v>0.25800000000000001</v>
      </c>
      <c r="AW3" s="53">
        <v>0.20599999999999999</v>
      </c>
      <c r="AX3" s="53">
        <v>0.14599999999999999</v>
      </c>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1"/>
      <c r="CS3" s="1"/>
      <c r="CT3" s="1"/>
      <c r="CU3" s="1"/>
    </row>
    <row r="4" spans="1:99" s="13" customFormat="1" ht="12" customHeight="1" x14ac:dyDescent="0.2">
      <c r="A4" s="65">
        <v>43509</v>
      </c>
      <c r="B4" s="1"/>
      <c r="C4" s="1"/>
      <c r="D4" s="60"/>
      <c r="E4" s="76"/>
      <c r="F4" s="60"/>
      <c r="G4" s="60"/>
      <c r="H4" s="60"/>
      <c r="I4" s="60"/>
      <c r="J4" s="60"/>
      <c r="K4" s="64"/>
      <c r="L4" s="64"/>
      <c r="M4" s="60"/>
      <c r="N4" s="60"/>
      <c r="O4" s="60"/>
      <c r="P4" s="60"/>
      <c r="Q4" s="60"/>
      <c r="R4" s="60"/>
      <c r="S4" s="60"/>
      <c r="T4" s="60"/>
      <c r="U4" s="60"/>
      <c r="V4" s="60"/>
      <c r="W4" s="60"/>
      <c r="X4" s="60"/>
      <c r="Y4" s="76"/>
      <c r="Z4" s="60"/>
      <c r="AA4" s="60"/>
      <c r="AB4" s="60"/>
      <c r="AC4" s="60"/>
      <c r="AD4" s="60"/>
      <c r="AE4" s="60"/>
      <c r="AF4" s="80"/>
      <c r="AG4" s="56"/>
      <c r="AH4" s="4"/>
      <c r="AI4" s="56"/>
      <c r="AJ4" s="109"/>
      <c r="AK4" s="56"/>
      <c r="AL4" s="56"/>
      <c r="AM4" s="56"/>
      <c r="AN4" s="56"/>
      <c r="AO4" s="56"/>
      <c r="AP4" s="56"/>
      <c r="AQ4" s="56"/>
      <c r="AR4" s="109"/>
      <c r="AS4" s="56"/>
      <c r="AT4" s="56"/>
      <c r="AU4" s="5"/>
      <c r="AV4" s="25">
        <v>30</v>
      </c>
      <c r="AW4" s="25">
        <f>60*20</f>
        <v>1200</v>
      </c>
      <c r="AX4" s="25">
        <f>60*90</f>
        <v>5400</v>
      </c>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1"/>
      <c r="CS4" s="1"/>
      <c r="CT4" s="1"/>
      <c r="CU4" s="1"/>
    </row>
    <row r="5" spans="1:99" s="13" customFormat="1" ht="12" customHeight="1" x14ac:dyDescent="0.2">
      <c r="A5" s="65">
        <v>43509</v>
      </c>
      <c r="B5" s="1" t="s">
        <v>242</v>
      </c>
      <c r="C5" s="1" t="s">
        <v>58</v>
      </c>
      <c r="D5" s="60">
        <v>1984</v>
      </c>
      <c r="E5" s="76">
        <v>2</v>
      </c>
      <c r="F5" s="60">
        <v>48</v>
      </c>
      <c r="G5" s="60">
        <v>48</v>
      </c>
      <c r="H5" s="60" t="s">
        <v>38</v>
      </c>
      <c r="I5" s="60"/>
      <c r="J5" s="60" t="s">
        <v>16</v>
      </c>
      <c r="K5" s="60">
        <f>IF(J5="syllables",1,IF(J5="trigrams",2,IF(J5="strings",3,IF(J5="visual array",4,IF(J5="characters",5,IF(J5="letters",6,IF(J5="free forms",7,IF(J5="odors",8,IF(J5="words",9,IF(J5="pictures",10,IF(J5="object pictures",11,IF(J5="faces",12,IF(J5="names",13,IF(J5="idioms",14,IF(J5="grades",15,IF(J5="syllable-digit pairs",16,IF(J5="trigram-word pairs",17,IF(J5="word-digit pairs",18,IF(J5="English-Swahili pairs",19,IF(J5="spatial position",20,IF(J5="word pairs",21,IF(J5="word triads",22,IF(J5="generated words",23,IF(J5="word definition pairs",24,IF(J5="math problems",25,IF(J5="famous faces",26,IF(J5="famous names",27,IF(J5="famous voices",28,IF(J5="television programs",29,IF(J5="race horses",30,IF(J5="new vocabulary",31,IF(J5="sentences",32,IF(J5="concepts",33,IF(J5="ad slides",34,IF(J5="scenes",35,IF(J5="famous scenes",36,IF(J5="poems",37,IF(J5="walk",38,IF(J5="faces and events",39,IF(J5="events and names",40,IF(J5="flashbulb",41,IF(J5="stories",42,IF(J5="course material",43,IF(J5="autobiographical",44,IF(J5="novels",45,IF(J5="public events",46,"99"))))))))))))))))))))))))))))))))))))))))))))))</f>
        <v>9</v>
      </c>
      <c r="L5" s="60">
        <f>IF(J5="syllables",1,IF(J5="trigrams",1,IF(J5="strings",1,IF(J5="visual array",1,IF(J5="characters",1,IF(J5="letters",1,IF(J5="free forms",1,IF(J5="odors",2,IF(J5="words",2,IF(J5="pictures",2,IF(J5="object pictures",2,IF(J5="faces",2,IF(J5="names",2,IF(J5="idioms","2",IF(J5="grades",2,IF(J5="syllable-digit pairs",3,IF(J5="trigram-word pairs",3,IF(J5="word-digit pairs",3,IF(J5="English-Swahili pairs",3,IF(J5="spatial position",3,IF(J5="word pairs",4,IF(J5="word triads",4,IF(J5="generated words",4,IF(J5="word definition pairs",4,IF(J5="math problems",4,IF(J5="famous faces",4,IF(J5="famous names",4,IF(J5="famous voices",4,IF(J5="television programs",4,IF(J5="race horses",4,IF(J5="new vocabulary",4,IF(J5="sentences",5,IF(J5="concepts",5,IF(J5="ad slides",5,IF(J5="scenes",5,IF(J5="famous scenes",5,IF(J5="poems",6,IF(J5="walk",6,IF(J5="faces and events",6,IF(J5="events and names",6,IF(J5="flashbulb",7,IF(J5="stories",7,IF(J5="course material",7,IF(J5="autobiographical",7,IF(J5="novels",7,IF(J5="public events",7,"99"))))))))))))))))))))))))))))))))))))))))))))))</f>
        <v>2</v>
      </c>
      <c r="M5" s="60">
        <v>1</v>
      </c>
      <c r="N5" s="60">
        <v>1</v>
      </c>
      <c r="O5" s="60">
        <v>0</v>
      </c>
      <c r="P5" s="60"/>
      <c r="Q5" s="60" t="s">
        <v>34</v>
      </c>
      <c r="R5" s="60">
        <f>IF(Q5="Free Recall",1,IF(Q5="Cued Recall",2,IF(Q5="Recognition",3,IF(Q5="Multiple Choice",4,IF(Q5="Savings",5,IF(Q5="Stem Completion",6,IF(Q5="Fragment Completion",7,IF(Q5="anagram solution",8,IF(Q5="Matching",9,IF(Q5="Problem Solving",10,"99"))))))))))</f>
        <v>3</v>
      </c>
      <c r="S5" s="60" t="s">
        <v>15</v>
      </c>
      <c r="T5" s="59" t="s">
        <v>581</v>
      </c>
      <c r="U5" s="60">
        <f>IF(T5="within",1,0)</f>
        <v>1</v>
      </c>
      <c r="V5" s="59">
        <v>20</v>
      </c>
      <c r="W5" s="60">
        <f>F5*V5</f>
        <v>960</v>
      </c>
      <c r="X5" s="60">
        <v>3</v>
      </c>
      <c r="Y5" s="76">
        <f>AV4</f>
        <v>30</v>
      </c>
      <c r="Z5" s="60" t="s">
        <v>59</v>
      </c>
      <c r="AA5" s="60">
        <v>5400</v>
      </c>
      <c r="AB5" s="60" t="str">
        <f>IF(AA5&lt;60,"1",IF(AA5&lt;=43200,"2",IF(AA5&lt;=777600,"3","4")))</f>
        <v>2</v>
      </c>
      <c r="AC5" s="56">
        <f>AVERAGE(AV4:DA4)</f>
        <v>2210</v>
      </c>
      <c r="AD5" s="60" t="str">
        <f>IF(AC5&lt;60,"1",IF(AC5&lt;=43200,"2",IF(AC5&lt;=777600,"3","4")))</f>
        <v>2</v>
      </c>
      <c r="AE5" s="76">
        <f>AA5-Y5</f>
        <v>5370</v>
      </c>
      <c r="AF5" s="80">
        <f>AV5</f>
        <v>0.76200000000000001</v>
      </c>
      <c r="AG5" s="56">
        <f>((AW5-AV5)+(AX5-AW5))/2</f>
        <v>-1.5249999999999986E-2</v>
      </c>
      <c r="AH5" s="4"/>
      <c r="AI5" s="56">
        <f>RSQ(AV5:AX5,AV4:AX4)</f>
        <v>0.90955950357236992</v>
      </c>
      <c r="AJ5" s="109">
        <f>SLOPE(AV5:AX5,AV4:AX4)</f>
        <v>-5.1506088308691603E-6</v>
      </c>
      <c r="AK5" s="56">
        <f>INTERCEPT(AV5:AX5,AV4:AX4)</f>
        <v>0.75821617884955417</v>
      </c>
      <c r="AL5" s="56">
        <f>INDEX(LINEST(LN(AV5:AX5),LN(AV4:AX4),TRUE,TRUE),3,1)</f>
        <v>0.93703142956921237</v>
      </c>
      <c r="AM5" s="56">
        <f>INDEX(LINEST(LN(AV5:AX5),LN(AV4:AX4)),1)</f>
        <v>-7.4003112899792538E-3</v>
      </c>
      <c r="AN5" s="56">
        <f>EXP(INDEX(LINEST(LN(AV5:AX5),LN(AV4:AX4)),1,2))</f>
        <v>0.78272573311519489</v>
      </c>
      <c r="AO5" s="82">
        <f>INDEX(LINEST((AV5:AX5),LN(AV4:AX4),TRUE,TRUE),3,1)</f>
        <v>0.93986336247296598</v>
      </c>
      <c r="AP5" s="82">
        <f>INDEX(LINEST((AV5:AX5),LN(AV4:AX4)),1)</f>
        <v>-5.5333527612969197E-3</v>
      </c>
      <c r="AQ5" s="83">
        <f>INDEX(LINEST(LN(AV5:AX5),SQRT(AV4:AX4),TRUE,TRUE),3,1)</f>
        <v>0.99556608712722772</v>
      </c>
      <c r="AR5" s="116">
        <f>INDEX(LINEST(LN(AV5:AX5),SQRT((AV4:AX4))),1)</f>
        <v>-5.973834060660117E-4</v>
      </c>
      <c r="AS5" s="84">
        <f>INDEX(LINEST(1/(AV5:AX5),1/(SQRT(AV4:AX4)),TRUE,TRUE),3,1)</f>
        <v>0.80042410990565638</v>
      </c>
      <c r="AT5" s="84">
        <f>INDEX(LINEST(1/(AV5:AX5),1/SQRT(AV4:AX4)),1)</f>
        <v>-0.26196013539222879</v>
      </c>
      <c r="AU5" s="3"/>
      <c r="AV5" s="53">
        <v>0.76200000000000001</v>
      </c>
      <c r="AW5" s="53">
        <v>0.747</v>
      </c>
      <c r="AX5" s="53">
        <v>0.73150000000000004</v>
      </c>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1"/>
      <c r="CS5" s="1"/>
      <c r="CT5" s="1"/>
      <c r="CU5" s="1"/>
    </row>
    <row r="6" spans="1:99" s="13" customFormat="1" ht="12" customHeight="1" x14ac:dyDescent="0.2">
      <c r="A6" s="65">
        <v>43509</v>
      </c>
      <c r="B6" s="1"/>
      <c r="C6" s="1"/>
      <c r="D6" s="60"/>
      <c r="E6" s="76"/>
      <c r="F6" s="60"/>
      <c r="G6" s="60"/>
      <c r="H6" s="60"/>
      <c r="I6" s="60"/>
      <c r="J6" s="60"/>
      <c r="K6" s="64"/>
      <c r="L6" s="64"/>
      <c r="M6" s="60"/>
      <c r="N6" s="60"/>
      <c r="O6" s="60"/>
      <c r="P6" s="60"/>
      <c r="Q6" s="60"/>
      <c r="R6" s="60"/>
      <c r="S6" s="60"/>
      <c r="T6" s="60"/>
      <c r="U6" s="60"/>
      <c r="V6" s="60"/>
      <c r="W6" s="60"/>
      <c r="X6" s="60"/>
      <c r="Y6" s="76"/>
      <c r="Z6" s="60"/>
      <c r="AA6" s="60"/>
      <c r="AB6" s="60"/>
      <c r="AC6" s="60"/>
      <c r="AD6" s="60"/>
      <c r="AE6" s="60"/>
      <c r="AF6" s="80"/>
      <c r="AG6" s="56"/>
      <c r="AH6" s="4"/>
      <c r="AI6" s="56"/>
      <c r="AJ6" s="109"/>
      <c r="AK6" s="56"/>
      <c r="AL6" s="56"/>
      <c r="AM6" s="56"/>
      <c r="AN6" s="56"/>
      <c r="AO6" s="56"/>
      <c r="AP6" s="56"/>
      <c r="AQ6" s="56"/>
      <c r="AR6" s="109"/>
      <c r="AS6" s="56"/>
      <c r="AT6" s="56"/>
      <c r="AU6" s="4"/>
      <c r="AV6" s="25">
        <v>30</v>
      </c>
      <c r="AW6" s="25">
        <f>60*60*1</f>
        <v>3600</v>
      </c>
      <c r="AX6" s="25">
        <f>60*60*2</f>
        <v>7200</v>
      </c>
      <c r="AY6" s="25">
        <f>60*60*4</f>
        <v>14400</v>
      </c>
      <c r="AZ6" s="25">
        <f>60*60*8</f>
        <v>28800</v>
      </c>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1"/>
      <c r="CS6" s="1"/>
      <c r="CT6" s="1"/>
      <c r="CU6" s="1"/>
    </row>
    <row r="7" spans="1:99" s="13" customFormat="1" ht="12" customHeight="1" x14ac:dyDescent="0.2">
      <c r="A7" s="65">
        <v>43509</v>
      </c>
      <c r="B7" s="1" t="s">
        <v>245</v>
      </c>
      <c r="C7" s="1" t="s">
        <v>84</v>
      </c>
      <c r="D7" s="60">
        <v>1924</v>
      </c>
      <c r="E7" s="76">
        <v>1</v>
      </c>
      <c r="F7" s="60">
        <v>2</v>
      </c>
      <c r="G7" s="60">
        <v>2</v>
      </c>
      <c r="H7" s="60" t="s">
        <v>30</v>
      </c>
      <c r="I7" s="60" t="s">
        <v>620</v>
      </c>
      <c r="J7" s="60" t="s">
        <v>281</v>
      </c>
      <c r="K7" s="60">
        <f>IF(J7="syllables",1,IF(J7="trigrams",2,IF(J7="strings",3,IF(J7="visual array",4,IF(J7="characters",5,IF(J7="letters",6,IF(J7="free forms",7,IF(J7="odors",8,IF(J7="words",9,IF(J7="pictures",10,IF(J7="object pictures",11,IF(J7="faces",12,IF(J7="names",13,IF(J7="idioms",14,IF(J7="grades",15,IF(J7="syllable-digit pairs",16,IF(J7="trigram-word pairs",17,IF(J7="word-digit pairs",18,IF(J7="English-Swahili pairs",19,IF(J7="spatial position",20,IF(J7="word pairs",21,IF(J7="word triads",22,IF(J7="generated words",23,IF(J7="word definition pairs",24,IF(J7="math problems",25,IF(J7="famous faces",26,IF(J7="famous names",27,IF(J7="famous voices",28,IF(J7="television programs",29,IF(J7="race horses",30,IF(J7="new vocabulary",31,IF(J7="sentences",32,IF(J7="concepts",33,IF(J7="ad slides",34,IF(J7="scenes",35,IF(J7="famous scenes",36,IF(J7="poems",37,IF(J7="walk",38,IF(J7="faces and events",39,IF(J7="events and names",40,IF(J7="flashbulb",41,IF(J7="stories",42,IF(J7="course material",43,IF(J7="autobiographical",44,IF(J7="novels",45,IF(J7="public events",46,"99"))))))))))))))))))))))))))))))))))))))))))))))</f>
        <v>1</v>
      </c>
      <c r="L7" s="60">
        <f>IF(J7="syllables",1,IF(J7="trigrams",1,IF(J7="strings",1,IF(J7="visual array",1,IF(J7="characters",1,IF(J7="letters",1,IF(J7="free forms",1,IF(J7="odors",2,IF(J7="words",2,IF(J7="pictures",2,IF(J7="object pictures",2,IF(J7="faces",2,IF(J7="names",2,IF(J7="idioms","2",IF(J7="grades",2,IF(J7="syllable-digit pairs",3,IF(J7="trigram-word pairs",3,IF(J7="word-digit pairs",3,IF(J7="English-Swahili pairs",3,IF(J7="spatial position",3,IF(J7="word pairs",4,IF(J7="word triads",4,IF(J7="generated words",4,IF(J7="word definition pairs",4,IF(J7="math problems",4,IF(J7="famous faces",4,IF(J7="famous names",4,IF(J7="famous voices",4,IF(J7="television programs",4,IF(J7="race horses",4,IF(J7="new vocabulary",4,IF(J7="sentences",5,IF(J7="concepts",5,IF(J7="ad slides",5,IF(J7="scenes",5,IF(J7="famous scenes",5,IF(J7="poems",6,IF(J7="walk",6,IF(J7="faces and events",6,IF(J7="events and names",6,IF(J7="flashbulb",7,IF(J7="stories",7,IF(J7="course material",7,IF(J7="autobiographical",7,IF(J7="novels",7,IF(J7="public events",7,"99"))))))))))))))))))))))))))))))))))))))))))))))</f>
        <v>1</v>
      </c>
      <c r="M7" s="60">
        <v>1</v>
      </c>
      <c r="N7" s="60">
        <v>2</v>
      </c>
      <c r="O7" s="60">
        <v>0</v>
      </c>
      <c r="P7" s="60"/>
      <c r="Q7" s="60" t="s">
        <v>174</v>
      </c>
      <c r="R7" s="60">
        <f>IF(Q7="Free Recall",1,IF(Q7="Cued Recall",2,IF(Q7="Recognition",3,IF(Q7="Multiple Choice",4,IF(Q7="Savings",5,IF(Q7="Stem Completion",6,IF(Q7="Fragment Completion",7,IF(Q7="anagram solution",8,IF(Q7="Matching",9,IF(Q7="Problem Solving",10,"99"))))))))))</f>
        <v>1</v>
      </c>
      <c r="S7" s="60" t="s">
        <v>49</v>
      </c>
      <c r="T7" s="59" t="s">
        <v>581</v>
      </c>
      <c r="U7" s="60">
        <f>IF(T7="within",1,0)</f>
        <v>1</v>
      </c>
      <c r="V7" s="59">
        <v>50</v>
      </c>
      <c r="W7" s="60">
        <f>F7*V7</f>
        <v>100</v>
      </c>
      <c r="X7" s="60">
        <v>5</v>
      </c>
      <c r="Y7" s="76">
        <f>AV6</f>
        <v>30</v>
      </c>
      <c r="Z7" s="60" t="s">
        <v>85</v>
      </c>
      <c r="AA7" s="60">
        <v>28800</v>
      </c>
      <c r="AB7" s="60" t="str">
        <f>IF(AA7&lt;60,"1",IF(AA7&lt;=43200,"2",IF(AA7&lt;=777600,"3","4")))</f>
        <v>2</v>
      </c>
      <c r="AC7" s="56">
        <f>AVERAGE(AV6:DA6)</f>
        <v>10806</v>
      </c>
      <c r="AD7" s="60" t="str">
        <f>IF(AC7&lt;60,"1",IF(AC7&lt;=43200,"2",IF(AC7&lt;=777600,"3","4")))</f>
        <v>2</v>
      </c>
      <c r="AE7" s="76">
        <f>AA7-Y7</f>
        <v>28770</v>
      </c>
      <c r="AF7" s="80">
        <f>AV7</f>
        <v>1</v>
      </c>
      <c r="AG7" s="56">
        <f>((AW7-AV7)+(AX7-AW7)+(AY7-AX7)+(AZ7-AY7))/4</f>
        <v>-0.10875000000000001</v>
      </c>
      <c r="AH7" s="4"/>
      <c r="AI7" s="56">
        <f>RSQ(AV7:AZ7,AV6:AZ6)</f>
        <v>0.40656975914090321</v>
      </c>
      <c r="AJ7" s="109">
        <f>SLOPE(AV7:AZ7,AV6:AZ6)</f>
        <v>-1.0897460857376088E-5</v>
      </c>
      <c r="AK7" s="56">
        <f>INTERCEPT(AV7:AZ7,AV6:AZ6)</f>
        <v>0.79075796202480597</v>
      </c>
      <c r="AL7" s="56">
        <f>INDEX(LINEST(LN(AV7:AZ7),LN(AV6:AZ6),TRUE,TRUE),3,1)</f>
        <v>0.9083295202963324</v>
      </c>
      <c r="AM7" s="56">
        <f>INDEX(LINEST(LN(AV7:AZ7),LN(AV6:AZ6)),1)</f>
        <v>-9.1241439313960643E-2</v>
      </c>
      <c r="AN7" s="56">
        <f>EXP(INDEX(LINEST(LN(AV7:AZ7),LN(AV6:AZ6)),1,2))</f>
        <v>1.3642225204911356</v>
      </c>
      <c r="AO7" s="82">
        <f>INDEX(LINEST((AV7:AZ7),LN(AV6:AZ6),TRUE,TRUE),3,1)</f>
        <v>0.93605469127532082</v>
      </c>
      <c r="AP7" s="82">
        <f>INDEX(LINEST((AV7:AZ7),LN(AV6:AZ6)),1)</f>
        <v>-6.9193149033946869E-2</v>
      </c>
      <c r="AQ7" s="83">
        <f>INDEX(LINEST(LN(AV7:AZ7),SQRT(AV6:AZ6),TRUE,TRUE),3,1)</f>
        <v>0.69656681728221448</v>
      </c>
      <c r="AR7" s="116">
        <f>INDEX(LINEST(LN(AV7:AZ7),SQRT((AV6:AZ6))),1)</f>
        <v>-3.5120424509482388E-3</v>
      </c>
      <c r="AS7" s="84">
        <f>INDEX(LINEST(1/(AV7:AZ7),1/(SQRT(AV6:AZ6)),TRUE,TRUE),3,1)</f>
        <v>0.80644714783973348</v>
      </c>
      <c r="AT7" s="84">
        <f>INDEX(LINEST(1/(AV7:AZ7),1/SQRT(AV6:AZ6)),1)</f>
        <v>-4.2098932600715688</v>
      </c>
      <c r="AU7" s="3"/>
      <c r="AV7" s="53">
        <v>1</v>
      </c>
      <c r="AW7" s="53">
        <v>0.70499999999999996</v>
      </c>
      <c r="AX7" s="53">
        <v>0.54</v>
      </c>
      <c r="AY7" s="53">
        <v>0.55499999999999994</v>
      </c>
      <c r="AZ7" s="53">
        <v>0.56499999999999995</v>
      </c>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53"/>
      <c r="CI7" s="53"/>
      <c r="CJ7" s="53"/>
      <c r="CK7" s="53"/>
      <c r="CL7" s="53"/>
      <c r="CM7" s="53"/>
      <c r="CN7" s="53"/>
      <c r="CO7" s="53"/>
      <c r="CP7" s="53"/>
      <c r="CQ7" s="53"/>
      <c r="CR7" s="1"/>
      <c r="CS7" s="1"/>
      <c r="CT7" s="1"/>
      <c r="CU7" s="1"/>
    </row>
    <row r="8" spans="1:99" s="13" customFormat="1" ht="12" customHeight="1" x14ac:dyDescent="0.2">
      <c r="A8" s="65">
        <v>43509</v>
      </c>
      <c r="B8" s="1"/>
      <c r="C8" s="1"/>
      <c r="D8" s="60"/>
      <c r="E8" s="76"/>
      <c r="F8" s="60"/>
      <c r="G8" s="60"/>
      <c r="H8" s="60"/>
      <c r="I8" s="60"/>
      <c r="J8" s="60"/>
      <c r="K8" s="64"/>
      <c r="L8" s="64"/>
      <c r="M8" s="60"/>
      <c r="N8" s="60"/>
      <c r="O8" s="60"/>
      <c r="P8" s="60"/>
      <c r="Q8" s="60"/>
      <c r="R8" s="60"/>
      <c r="S8" s="60"/>
      <c r="T8" s="60"/>
      <c r="U8" s="60"/>
      <c r="V8" s="60"/>
      <c r="W8" s="60"/>
      <c r="X8" s="60"/>
      <c r="Y8" s="76"/>
      <c r="Z8" s="60"/>
      <c r="AA8" s="60"/>
      <c r="AB8" s="60"/>
      <c r="AC8" s="60"/>
      <c r="AD8" s="60"/>
      <c r="AE8" s="60"/>
      <c r="AF8" s="80"/>
      <c r="AG8" s="56"/>
      <c r="AH8" s="4"/>
      <c r="AI8" s="56"/>
      <c r="AJ8" s="109"/>
      <c r="AK8" s="56"/>
      <c r="AL8" s="56"/>
      <c r="AM8" s="56"/>
      <c r="AN8" s="56"/>
      <c r="AO8" s="56"/>
      <c r="AP8" s="56"/>
      <c r="AQ8" s="82"/>
      <c r="AR8" s="115"/>
      <c r="AS8" s="82"/>
      <c r="AT8" s="82"/>
      <c r="AU8" s="4"/>
      <c r="AV8" s="25">
        <v>30</v>
      </c>
      <c r="AW8" s="25">
        <f>60*60*1</f>
        <v>3600</v>
      </c>
      <c r="AX8" s="25">
        <f>60*60*2</f>
        <v>7200</v>
      </c>
      <c r="AY8" s="25">
        <f>60*60*4</f>
        <v>14400</v>
      </c>
      <c r="AZ8" s="25">
        <f>60*60*8</f>
        <v>28800</v>
      </c>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c r="CP8" s="53"/>
      <c r="CQ8" s="53"/>
      <c r="CR8" s="1"/>
      <c r="CS8" s="1"/>
      <c r="CT8" s="1"/>
      <c r="CU8" s="1"/>
    </row>
    <row r="9" spans="1:99" s="13" customFormat="1" ht="12" customHeight="1" x14ac:dyDescent="0.2">
      <c r="A9" s="65">
        <v>43509</v>
      </c>
      <c r="B9" s="1" t="s">
        <v>245</v>
      </c>
      <c r="C9" s="1" t="s">
        <v>84</v>
      </c>
      <c r="D9" s="60">
        <v>1924</v>
      </c>
      <c r="E9" s="76">
        <v>1</v>
      </c>
      <c r="F9" s="60">
        <v>2</v>
      </c>
      <c r="G9" s="60">
        <v>2</v>
      </c>
      <c r="H9" s="60" t="s">
        <v>30</v>
      </c>
      <c r="I9" s="60" t="s">
        <v>621</v>
      </c>
      <c r="J9" s="60" t="s">
        <v>281</v>
      </c>
      <c r="K9" s="60">
        <f>IF(J9="syllables",1,IF(J9="trigrams",2,IF(J9="strings",3,IF(J9="visual array",4,IF(J9="characters",5,IF(J9="letters",6,IF(J9="free forms",7,IF(J9="odors",8,IF(J9="words",9,IF(J9="pictures",10,IF(J9="object pictures",11,IF(J9="faces",12,IF(J9="names",13,IF(J9="idioms",14,IF(J9="grades",15,IF(J9="syllable-digit pairs",16,IF(J9="trigram-word pairs",17,IF(J9="word-digit pairs",18,IF(J9="English-Swahili pairs",19,IF(J9="spatial position",20,IF(J9="word pairs",21,IF(J9="word triads",22,IF(J9="generated words",23,IF(J9="word definition pairs",24,IF(J9="math problems",25,IF(J9="famous faces",26,IF(J9="famous names",27,IF(J9="famous voices",28,IF(J9="television programs",29,IF(J9="race horses",30,IF(J9="new vocabulary",31,IF(J9="sentences",32,IF(J9="concepts",33,IF(J9="ad slides",34,IF(J9="scenes",35,IF(J9="famous scenes",36,IF(J9="poems",37,IF(J9="walk",38,IF(J9="faces and events",39,IF(J9="events and names",40,IF(J9="flashbulb",41,IF(J9="stories",42,IF(J9="course material",43,IF(J9="autobiographical",44,IF(J9="novels",45,IF(J9="public events",46,"99"))))))))))))))))))))))))))))))))))))))))))))))</f>
        <v>1</v>
      </c>
      <c r="L9" s="60">
        <f>IF(J9="syllables",1,IF(J9="trigrams",1,IF(J9="strings",1,IF(J9="visual array",1,IF(J9="characters",1,IF(J9="letters",1,IF(J9="free forms",1,IF(J9="odors",2,IF(J9="words",2,IF(J9="pictures",2,IF(J9="object pictures",2,IF(J9="faces",2,IF(J9="names",2,IF(J9="idioms","2",IF(J9="grades",2,IF(J9="syllable-digit pairs",3,IF(J9="trigram-word pairs",3,IF(J9="word-digit pairs",3,IF(J9="English-Swahili pairs",3,IF(J9="spatial position",3,IF(J9="word pairs",4,IF(J9="word triads",4,IF(J9="generated words",4,IF(J9="word definition pairs",4,IF(J9="math problems",4,IF(J9="famous faces",4,IF(J9="famous names",4,IF(J9="famous voices",4,IF(J9="television programs",4,IF(J9="race horses",4,IF(J9="new vocabulary",4,IF(J9="sentences",5,IF(J9="concepts",5,IF(J9="ad slides",5,IF(J9="scenes",5,IF(J9="famous scenes",5,IF(J9="poems",6,IF(J9="walk",6,IF(J9="faces and events",6,IF(J9="events and names",6,IF(J9="flashbulb",7,IF(J9="stories",7,IF(J9="course material",7,IF(J9="autobiographical",7,IF(J9="novels",7,IF(J9="public events",7,"99"))))))))))))))))))))))))))))))))))))))))))))))</f>
        <v>1</v>
      </c>
      <c r="M9" s="60">
        <v>1</v>
      </c>
      <c r="N9" s="60">
        <v>2</v>
      </c>
      <c r="O9" s="60">
        <v>0</v>
      </c>
      <c r="P9" s="60"/>
      <c r="Q9" s="60" t="s">
        <v>174</v>
      </c>
      <c r="R9" s="60">
        <f>IF(Q9="Free Recall",1,IF(Q9="Cued Recall",2,IF(Q9="Recognition",3,IF(Q9="Multiple Choice",4,IF(Q9="Savings",5,IF(Q9="Stem Completion",6,IF(Q9="Fragment Completion",7,IF(Q9="anagram solution",8,IF(Q9="Matching",9,IF(Q9="Problem Solving",10,"99"))))))))))</f>
        <v>1</v>
      </c>
      <c r="S9" s="60" t="s">
        <v>49</v>
      </c>
      <c r="T9" s="59" t="s">
        <v>581</v>
      </c>
      <c r="U9" s="60">
        <f>IF(T9="within",1,0)</f>
        <v>1</v>
      </c>
      <c r="V9" s="59">
        <v>50</v>
      </c>
      <c r="W9" s="60">
        <f>F9*V9</f>
        <v>100</v>
      </c>
      <c r="X9" s="60">
        <v>5</v>
      </c>
      <c r="Y9" s="76">
        <f>AV8</f>
        <v>30</v>
      </c>
      <c r="Z9" s="60" t="s">
        <v>85</v>
      </c>
      <c r="AA9" s="60">
        <v>28800</v>
      </c>
      <c r="AB9" s="60" t="str">
        <f>IF(AA9&lt;60,"1",IF(AA9&lt;=43200,"2",IF(AA9&lt;=777600,"3","4")))</f>
        <v>2</v>
      </c>
      <c r="AC9" s="56">
        <f>AVERAGE(AV8:DA8)</f>
        <v>10806</v>
      </c>
      <c r="AD9" s="60" t="str">
        <f>IF(AC9&lt;60,"1",IF(AC9&lt;=43200,"2",IF(AC9&lt;=777600,"3","4")))</f>
        <v>2</v>
      </c>
      <c r="AE9" s="76">
        <f>AA9-Y9</f>
        <v>28770</v>
      </c>
      <c r="AF9" s="80">
        <f>AV9</f>
        <v>1</v>
      </c>
      <c r="AG9" s="56">
        <f>((AW9-AV9)+(AX9-AW9)+(AY9-AX9)+(AZ9-AY9))/4</f>
        <v>-0.22749999999999998</v>
      </c>
      <c r="AH9" s="4"/>
      <c r="AI9" s="56">
        <f>RSQ(AV9:AZ9,AV8:AZ8)</f>
        <v>0.63479729589999889</v>
      </c>
      <c r="AJ9" s="109">
        <f>SLOPE(AV9:AZ9,AV8:AZ8)</f>
        <v>-2.4684583018704369E-5</v>
      </c>
      <c r="AK9" s="56">
        <f>INTERCEPT(AV9:AZ9,AV8:AZ8)</f>
        <v>0.68374160410011942</v>
      </c>
      <c r="AL9" s="56">
        <f>INDEX(LINEST(LN(AV9:AZ9),LN(AV8:AZ8),TRUE,TRUE),3,1)</f>
        <v>0.79571509566027476</v>
      </c>
      <c r="AM9" s="56">
        <f>INDEX(LINEST(LN(AV9:AZ9),LN(AV8:AZ8)),1)</f>
        <v>-0.29160475075341569</v>
      </c>
      <c r="AN9" s="56">
        <f>EXP(INDEX(LINEST(LN(AV9:AZ9),LN(AV8:AZ8)),1,2))</f>
        <v>3.2600324377331007</v>
      </c>
      <c r="AO9" s="82">
        <f>INDEX(LINEST((AV9:AZ9),LN(AV8:AZ8),TRUE,TRUE),3,1)</f>
        <v>0.98860271268773592</v>
      </c>
      <c r="AP9" s="82">
        <f>INDEX(LINEST((AV9:AZ9),LN(AV8:AZ8)),1)</f>
        <v>-0.12890621680672018</v>
      </c>
      <c r="AQ9" s="83">
        <f>INDEX(LINEST(LN(AV9:AZ9),SQRT(AV8:AZ8),TRUE,TRUE),3,1)</f>
        <v>0.99189855243629432</v>
      </c>
      <c r="AR9" s="116">
        <f>INDEX(LINEST(LN(AV9:AZ9),SQRT((AV8:AZ8))),1)</f>
        <v>-1.4310584662116257E-2</v>
      </c>
      <c r="AS9" s="84">
        <f>INDEX(LINEST(1/(AV9:AZ9),1/(SQRT(AV8:AZ8)),TRUE,TRUE),3,1)</f>
        <v>0.26582349958721319</v>
      </c>
      <c r="AT9" s="84">
        <f>INDEX(LINEST(1/(AV9:AZ9),1/SQRT(AV8:AZ8)),1)</f>
        <v>-26.56491606923349</v>
      </c>
      <c r="AU9" s="3"/>
      <c r="AV9" s="53">
        <v>1</v>
      </c>
      <c r="AW9" s="53">
        <v>0.45999999999999996</v>
      </c>
      <c r="AX9" s="53">
        <v>0.31000000000000005</v>
      </c>
      <c r="AY9" s="53">
        <v>0.22499999999999998</v>
      </c>
      <c r="AZ9" s="53">
        <v>9.0000000000000011E-2</v>
      </c>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c r="CP9" s="53"/>
      <c r="CQ9" s="53"/>
      <c r="CR9" s="1"/>
      <c r="CS9" s="1"/>
      <c r="CT9" s="1"/>
      <c r="CU9" s="1"/>
    </row>
    <row r="10" spans="1:99" s="19" customFormat="1" ht="12" customHeight="1" x14ac:dyDescent="0.2">
      <c r="A10" s="68">
        <v>43951</v>
      </c>
      <c r="B10" s="100"/>
      <c r="C10" s="100"/>
      <c r="D10" s="99"/>
      <c r="E10" s="106"/>
      <c r="F10" s="99"/>
      <c r="G10" s="99"/>
      <c r="H10" s="69"/>
      <c r="I10" s="99"/>
      <c r="J10" s="69"/>
      <c r="K10" s="69"/>
      <c r="L10" s="69"/>
      <c r="M10" s="99"/>
      <c r="N10" s="99"/>
      <c r="O10" s="99"/>
      <c r="P10" s="99"/>
      <c r="Q10" s="69"/>
      <c r="R10" s="69"/>
      <c r="S10" s="69"/>
      <c r="T10" s="92"/>
      <c r="U10" s="60"/>
      <c r="V10" s="92"/>
      <c r="W10" s="69"/>
      <c r="X10" s="99"/>
      <c r="Y10" s="87"/>
      <c r="Z10" s="99"/>
      <c r="AA10" s="99"/>
      <c r="AB10" s="69"/>
      <c r="AC10" s="72"/>
      <c r="AD10" s="69"/>
      <c r="AE10" s="87"/>
      <c r="AF10" s="88"/>
      <c r="AG10" s="72"/>
      <c r="AH10" s="4"/>
      <c r="AI10" s="72"/>
      <c r="AJ10" s="110"/>
      <c r="AK10" s="72"/>
      <c r="AL10" s="72"/>
      <c r="AM10" s="72"/>
      <c r="AN10" s="72"/>
      <c r="AO10" s="89"/>
      <c r="AP10" s="89"/>
      <c r="AQ10" s="90"/>
      <c r="AR10" s="117"/>
      <c r="AS10" s="91"/>
      <c r="AT10" s="91"/>
      <c r="AU10" s="3"/>
      <c r="AV10" s="158">
        <f>60*2</f>
        <v>120</v>
      </c>
      <c r="AW10" s="158">
        <f>60*8</f>
        <v>480</v>
      </c>
      <c r="AX10" s="158">
        <f>60*26</f>
        <v>1560</v>
      </c>
      <c r="AY10" s="141"/>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7"/>
      <c r="CS10" s="17"/>
      <c r="CT10" s="17"/>
      <c r="CU10" s="17"/>
    </row>
    <row r="11" spans="1:99" s="19" customFormat="1" ht="12" customHeight="1" x14ac:dyDescent="0.2">
      <c r="A11" s="68">
        <v>43951</v>
      </c>
      <c r="B11" s="100" t="s">
        <v>887</v>
      </c>
      <c r="C11" s="100" t="s">
        <v>58</v>
      </c>
      <c r="D11" s="99">
        <v>1968</v>
      </c>
      <c r="E11" s="106">
        <v>2</v>
      </c>
      <c r="F11" s="99">
        <f>3*16</f>
        <v>48</v>
      </c>
      <c r="G11" s="99">
        <v>16</v>
      </c>
      <c r="H11" s="69" t="s">
        <v>50</v>
      </c>
      <c r="I11" s="99" t="s">
        <v>888</v>
      </c>
      <c r="J11" s="69" t="s">
        <v>828</v>
      </c>
      <c r="K11" s="69">
        <f>IF(J11="syllables",1,IF(J11="trigrams",2,IF(J11="strings",3,IF(J11="visual array",4,IF(J11="characters",5,IF(J11="letters",6,IF(J11="free forms",7,IF(J11="odors",8,IF(J11="words",9,IF(J11="pictures",10,IF(J11="object pictures",11,IF(J11="faces",12,IF(J11="names",13,IF(J11="idioms",14,IF(J11="grades",15,IF(J11="syllable-digit pairs",16,IF(J11="trigram-word pairs",17,IF(J11="word-digit pairs",18,IF(J11="English-Swahili pairs",19,IF(J11="spatial position",20,IF(J11="word pairs",21,IF(J11="word triads",22,IF(J11="generated words",23,IF(J11="word definition pairs",24,IF(J11="math problems",25,IF(J11="famous faces",26,IF(J11="famous names",27,IF(J11="famous voices",28,IF(J11="television programs",29,IF(J11="race horses",30,IF(J11="new vocabulary",31,IF(J11="sentences",32,IF(J11="concepts",33,IF(J11="ad slides",34,IF(J11="scenes",35,IF(J11="famous scenes",36,IF(J11="poems",37,IF(J11="walk",38,IF(J11="faces and events",39,IF(J11="events and names",40,IF(J11="flashbulb",41,IF(J11="stories",42,IF(J11="course material",43,IF(J11="autobiographical",44,IF(J11="novels",45,IF(J11="public events",46,"99"))))))))))))))))))))))))))))))))))))))))))))))</f>
        <v>17</v>
      </c>
      <c r="L11" s="69">
        <f>IF(J11="syllables",1,IF(J11="trigrams",1,IF(J11="strings",1,IF(J11="visual array",1,IF(J11="characters",1,IF(J11="letters",1,IF(J11="free forms",1,IF(J11="odors",2,IF(J11="words",2,IF(J11="pictures",2,IF(J11="object pictures",2,IF(J11="faces",2,IF(J11="names",2,IF(J11="idioms","2",IF(J11="grades",2,IF(J11="syllable-digit pairs",3,IF(J11="trigram-word pairs",3,IF(J11="word-digit pairs",3,IF(J11="English-Swahili pairs",3,IF(J11="spatial position",3,IF(J11="word pairs",4,IF(J11="word triads",4,IF(J11="generated words",4,IF(J11="word definition pairs",4,IF(J11="math problems",4,IF(J11="famous faces",4,IF(J11="famous names",4,IF(J11="famous voices",4,IF(J11="television programs",4,IF(J11="race horses",4,IF(J11="new vocabulary",4,IF(J11="sentences",5,IF(J11="concepts",5,IF(J11="ad slides",5,IF(J11="scenes",5,IF(J11="famous scenes",5,IF(J11="poems",6,IF(J11="walk",6,IF(J11="faces and events",6,IF(J11="events and names",6,IF(J11="flashbulb",7,IF(J11="stories",7,IF(J11="course material",7,IF(J11="autobiographical",7,IF(J11="novels",7,IF(J11="public events",7,"99"))))))))))))))))))))))))))))))))))))))))))))))</f>
        <v>3</v>
      </c>
      <c r="M11" s="99">
        <v>1</v>
      </c>
      <c r="N11" s="99">
        <v>2</v>
      </c>
      <c r="O11" s="99">
        <v>0</v>
      </c>
      <c r="P11" s="99"/>
      <c r="Q11" s="69" t="s">
        <v>65</v>
      </c>
      <c r="R11" s="69">
        <f>IF(Q11="Free Recall",1,IF(Q11="Cued Recall",2,IF(Q11="Recognition",3,IF(Q11="Multiple Choice",4,IF(Q11="Savings",5,IF(Q11="Stem Completion",6,IF(Q11="Fragment Completion",7,IF(Q11="anagram solution",8,IF(Q11="Matching",9,IF(Q11="Problem Solving",10,"99"))))))))))</f>
        <v>2</v>
      </c>
      <c r="S11" s="69" t="s">
        <v>49</v>
      </c>
      <c r="T11" s="92" t="s">
        <v>261</v>
      </c>
      <c r="U11" s="60">
        <f>IF(T11="within",1,0)</f>
        <v>0</v>
      </c>
      <c r="V11" s="92">
        <v>8</v>
      </c>
      <c r="W11" s="69">
        <f>F11*V11</f>
        <v>384</v>
      </c>
      <c r="X11" s="99">
        <v>3</v>
      </c>
      <c r="Y11" s="87">
        <f>AV10</f>
        <v>120</v>
      </c>
      <c r="Z11" s="99" t="s">
        <v>889</v>
      </c>
      <c r="AA11" s="99">
        <f>60*26</f>
        <v>1560</v>
      </c>
      <c r="AB11" s="69" t="str">
        <f>IF(AA11&lt;60,"1",IF(AA11&lt;=43200,"2",IF(AA11&lt;=777600,"3","4")))</f>
        <v>2</v>
      </c>
      <c r="AC11" s="72">
        <f>AVERAGE(AV10:DA10)</f>
        <v>720</v>
      </c>
      <c r="AD11" s="69" t="str">
        <f>IF(AC11&lt;60,"1",IF(AC11&lt;=43200,"2",IF(AC11&lt;=777600,"3","4")))</f>
        <v>2</v>
      </c>
      <c r="AE11" s="87">
        <f>AA11-Y11</f>
        <v>1440</v>
      </c>
      <c r="AF11" s="88">
        <f>AV11</f>
        <v>0.81384711139697496</v>
      </c>
      <c r="AG11" s="72">
        <f>((AW11-AV11)+(AX11-AW11))/2</f>
        <v>-3.9568001134763109E-2</v>
      </c>
      <c r="AH11" s="4"/>
      <c r="AI11" s="72">
        <f>RSQ(AV11:AX11,AV10:AX10)</f>
        <v>0.44648555143867708</v>
      </c>
      <c r="AJ11" s="110">
        <f>SLOPE(AV11:AX11,AV10:AX10)</f>
        <v>-4.1588322846442433E-5</v>
      </c>
      <c r="AK11" s="72">
        <f>INTERCEPT(AV11:AX11,AV10:AX10)</f>
        <v>0.78996448408257436</v>
      </c>
      <c r="AL11" s="72">
        <f>INDEX(LINEST(LN(AV11:AX11),LN(AV10:AX10),TRUE,TRUE),3,1)</f>
        <v>0.75900705694144888</v>
      </c>
      <c r="AM11" s="72">
        <f>INDEX(LINEST(LN(AV11:AX11),LN(AV10:AX10)),1)</f>
        <v>-4.0960677745524365E-2</v>
      </c>
      <c r="AN11" s="72">
        <f>EXP(INDEX(LINEST(LN(AV11:AX11),LN(AV10:AX10)),1,2))</f>
        <v>0.97473455488349425</v>
      </c>
      <c r="AO11" s="89">
        <f>INDEX(LINEST((AV11:AX11),LN(AV10:AX10),TRUE,TRUE),3,1)</f>
        <v>0.76059450848757448</v>
      </c>
      <c r="AP11" s="89">
        <f>INDEX(LINEST((AV11:AX11),LN(AV10:AX10)),1)</f>
        <v>-3.1683650715659956E-2</v>
      </c>
      <c r="AQ11" s="90">
        <f>INDEX(LINEST(LN(AV11:AX11),SQRT(AV10:AX10),TRUE,TRUE),3,1)</f>
        <v>0.59165438727446729</v>
      </c>
      <c r="AR11" s="117">
        <f>INDEX(LINEST(LN(AV11:AX11),SQRT((AV10:AX10))),1)</f>
        <v>-3.2245253545823984E-3</v>
      </c>
      <c r="AS11" s="91">
        <f>INDEX(LINEST(1/(AV11:AX11),1/(SQRT(AV10:AX10)),TRUE,TRUE),3,1)</f>
        <v>0.88644889708052754</v>
      </c>
      <c r="AT11" s="91">
        <f>INDEX(LINEST(1/(AV11:AX11),1/SQRT(AV10:AX10)),1)</f>
        <v>-2.1790252062563069</v>
      </c>
      <c r="AU11" s="3"/>
      <c r="AV11" s="101">
        <v>0.81384711139697496</v>
      </c>
      <c r="AW11" s="101">
        <v>0.73150445437498379</v>
      </c>
      <c r="AX11" s="101">
        <v>0.73471110912744875</v>
      </c>
      <c r="AY11" s="141"/>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7"/>
      <c r="CS11" s="17"/>
      <c r="CT11" s="17"/>
      <c r="CU11" s="17"/>
    </row>
    <row r="12" spans="1:99" s="19" customFormat="1" ht="12" customHeight="1" x14ac:dyDescent="0.2">
      <c r="A12" s="68">
        <v>43951</v>
      </c>
      <c r="B12" s="100"/>
      <c r="C12" s="100"/>
      <c r="D12" s="99"/>
      <c r="E12" s="106"/>
      <c r="F12" s="99"/>
      <c r="G12" s="99"/>
      <c r="H12" s="69"/>
      <c r="I12" s="99"/>
      <c r="J12" s="69"/>
      <c r="K12" s="69"/>
      <c r="L12" s="69"/>
      <c r="M12" s="99"/>
      <c r="N12" s="99"/>
      <c r="O12" s="99"/>
      <c r="P12" s="99"/>
      <c r="Q12" s="69"/>
      <c r="R12" s="69"/>
      <c r="S12" s="69"/>
      <c r="T12" s="92"/>
      <c r="U12" s="60"/>
      <c r="V12" s="92"/>
      <c r="W12" s="69"/>
      <c r="X12" s="99"/>
      <c r="Y12" s="87"/>
      <c r="Z12" s="99"/>
      <c r="AA12" s="99"/>
      <c r="AB12" s="69"/>
      <c r="AC12" s="72"/>
      <c r="AD12" s="69"/>
      <c r="AE12" s="87"/>
      <c r="AF12" s="88"/>
      <c r="AG12" s="72"/>
      <c r="AH12" s="4"/>
      <c r="AI12" s="72"/>
      <c r="AJ12" s="110"/>
      <c r="AK12" s="72"/>
      <c r="AL12" s="72"/>
      <c r="AM12" s="72"/>
      <c r="AN12" s="72"/>
      <c r="AO12" s="89"/>
      <c r="AP12" s="89"/>
      <c r="AQ12" s="90"/>
      <c r="AR12" s="117"/>
      <c r="AS12" s="91"/>
      <c r="AT12" s="91"/>
      <c r="AU12" s="3"/>
      <c r="AV12" s="158">
        <f>60*2</f>
        <v>120</v>
      </c>
      <c r="AW12" s="158">
        <f>60*8</f>
        <v>480</v>
      </c>
      <c r="AX12" s="158">
        <f>60*26</f>
        <v>1560</v>
      </c>
      <c r="AY12" s="141"/>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7"/>
      <c r="CS12" s="17"/>
      <c r="CT12" s="17"/>
      <c r="CU12" s="17"/>
    </row>
    <row r="13" spans="1:99" s="19" customFormat="1" ht="12" customHeight="1" x14ac:dyDescent="0.2">
      <c r="A13" s="68">
        <v>43951</v>
      </c>
      <c r="B13" s="100" t="s">
        <v>887</v>
      </c>
      <c r="C13" s="100" t="s">
        <v>58</v>
      </c>
      <c r="D13" s="99">
        <v>1968</v>
      </c>
      <c r="E13" s="106">
        <v>2</v>
      </c>
      <c r="F13" s="99">
        <f>3*16</f>
        <v>48</v>
      </c>
      <c r="G13" s="99">
        <v>16</v>
      </c>
      <c r="H13" s="69" t="s">
        <v>50</v>
      </c>
      <c r="I13" s="99" t="s">
        <v>479</v>
      </c>
      <c r="J13" s="69" t="s">
        <v>828</v>
      </c>
      <c r="K13" s="69">
        <f>IF(J13="syllables",1,IF(J13="trigrams",2,IF(J13="strings",3,IF(J13="visual array",4,IF(J13="characters",5,IF(J13="letters",6,IF(J13="free forms",7,IF(J13="odors",8,IF(J13="words",9,IF(J13="pictures",10,IF(J13="object pictures",11,IF(J13="faces",12,IF(J13="names",13,IF(J13="idioms",14,IF(J13="grades",15,IF(J13="syllable-digit pairs",16,IF(J13="trigram-word pairs",17,IF(J13="word-digit pairs",18,IF(J13="English-Swahili pairs",19,IF(J13="spatial position",20,IF(J13="word pairs",21,IF(J13="word triads",22,IF(J13="generated words",23,IF(J13="word definition pairs",24,IF(J13="math problems",25,IF(J13="famous faces",26,IF(J13="famous names",27,IF(J13="famous voices",28,IF(J13="television programs",29,IF(J13="race horses",30,IF(J13="new vocabulary",31,IF(J13="sentences",32,IF(J13="concepts",33,IF(J13="ad slides",34,IF(J13="scenes",35,IF(J13="famous scenes",36,IF(J13="poems",37,IF(J13="walk",38,IF(J13="faces and events",39,IF(J13="events and names",40,IF(J13="flashbulb",41,IF(J13="stories",42,IF(J13="course material",43,IF(J13="autobiographical",44,IF(J13="novels",45,IF(J13="public events",46,"99"))))))))))))))))))))))))))))))))))))))))))))))</f>
        <v>17</v>
      </c>
      <c r="L13" s="69">
        <f>IF(J13="syllables",1,IF(J13="trigrams",1,IF(J13="strings",1,IF(J13="visual array",1,IF(J13="characters",1,IF(J13="letters",1,IF(J13="free forms",1,IF(J13="odors",2,IF(J13="words",2,IF(J13="pictures",2,IF(J13="object pictures",2,IF(J13="faces",2,IF(J13="names",2,IF(J13="idioms","2",IF(J13="grades",2,IF(J13="syllable-digit pairs",3,IF(J13="trigram-word pairs",3,IF(J13="word-digit pairs",3,IF(J13="English-Swahili pairs",3,IF(J13="spatial position",3,IF(J13="word pairs",4,IF(J13="word triads",4,IF(J13="generated words",4,IF(J13="word definition pairs",4,IF(J13="math problems",4,IF(J13="famous faces",4,IF(J13="famous names",4,IF(J13="famous voices",4,IF(J13="television programs",4,IF(J13="race horses",4,IF(J13="new vocabulary",4,IF(J13="sentences",5,IF(J13="concepts",5,IF(J13="ad slides",5,IF(J13="scenes",5,IF(J13="famous scenes",5,IF(J13="poems",6,IF(J13="walk",6,IF(J13="faces and events",6,IF(J13="events and names",6,IF(J13="flashbulb",7,IF(J13="stories",7,IF(J13="course material",7,IF(J13="autobiographical",7,IF(J13="novels",7,IF(J13="public events",7,"99"))))))))))))))))))))))))))))))))))))))))))))))</f>
        <v>3</v>
      </c>
      <c r="M13" s="99">
        <v>1</v>
      </c>
      <c r="N13" s="99">
        <v>2</v>
      </c>
      <c r="O13" s="99">
        <v>0</v>
      </c>
      <c r="P13" s="99"/>
      <c r="Q13" s="69" t="s">
        <v>65</v>
      </c>
      <c r="R13" s="69">
        <f>IF(Q13="Free Recall",1,IF(Q13="Cued Recall",2,IF(Q13="Recognition",3,IF(Q13="Multiple Choice",4,IF(Q13="Savings",5,IF(Q13="Stem Completion",6,IF(Q13="Fragment Completion",7,IF(Q13="anagram solution",8,IF(Q13="Matching",9,IF(Q13="Problem Solving",10,"99"))))))))))</f>
        <v>2</v>
      </c>
      <c r="S13" s="69" t="s">
        <v>49</v>
      </c>
      <c r="T13" s="92" t="s">
        <v>261</v>
      </c>
      <c r="U13" s="60">
        <f>IF(T13="within",1,0)</f>
        <v>0</v>
      </c>
      <c r="V13" s="92">
        <v>8</v>
      </c>
      <c r="W13" s="69">
        <f>F13*V13</f>
        <v>384</v>
      </c>
      <c r="X13" s="99">
        <v>3</v>
      </c>
      <c r="Y13" s="87">
        <f>AV12</f>
        <v>120</v>
      </c>
      <c r="Z13" s="99" t="s">
        <v>889</v>
      </c>
      <c r="AA13" s="99">
        <f>60*26</f>
        <v>1560</v>
      </c>
      <c r="AB13" s="69" t="str">
        <f>IF(AA13&lt;60,"1",IF(AA13&lt;=43200,"2",IF(AA13&lt;=777600,"3","4")))</f>
        <v>2</v>
      </c>
      <c r="AC13" s="72">
        <f>AVERAGE(AV12:DA12)</f>
        <v>720</v>
      </c>
      <c r="AD13" s="69" t="str">
        <f>IF(AC13&lt;60,"1",IF(AC13&lt;=43200,"2",IF(AC13&lt;=777600,"3","4")))</f>
        <v>2</v>
      </c>
      <c r="AE13" s="87">
        <f>AA13-Y13</f>
        <v>1440</v>
      </c>
      <c r="AF13" s="88">
        <f>AV13</f>
        <v>0.91340855217986505</v>
      </c>
      <c r="AG13" s="72">
        <f>((AW13-AV13)+(AX13-AW13))/2</f>
        <v>-2.8079895670229393E-2</v>
      </c>
      <c r="AH13" s="4"/>
      <c r="AI13" s="72">
        <f>RSQ(AV13:AX13,AV12:AX12)</f>
        <v>0.98095776481407204</v>
      </c>
      <c r="AJ13" s="110">
        <f>SLOPE(AV13:AX13,AV12:AX12)</f>
        <v>-4.0634165440504155E-5</v>
      </c>
      <c r="AK13" s="72">
        <f>INTERCEPT(AV13:AX13,AV12:AX12)</f>
        <v>0.92181476237352633</v>
      </c>
      <c r="AL13" s="72">
        <f>INDEX(LINEST(LN(AV13:AX13),LN(AV12:AX12),TRUE,TRUE),3,1)</f>
        <v>0.79553786475235699</v>
      </c>
      <c r="AM13" s="72">
        <f>INDEX(LINEST(LN(AV13:AX13),LN(AV12:AX12)),1)</f>
        <v>-2.4166709395687224E-2</v>
      </c>
      <c r="AN13" s="72">
        <f>EXP(INDEX(LINEST(LN(AV13:AX13),LN(AV12:AX12)),1,2))</f>
        <v>1.0340292819218277</v>
      </c>
      <c r="AO13" s="89">
        <f>INDEX(LINEST((AV13:AX13),LN(AV12:AX12),TRUE,TRUE),3,1)</f>
        <v>0.7979748396727413</v>
      </c>
      <c r="AP13" s="89">
        <f>INDEX(LINEST((AV13:AX13),LN(AV12:AX12)),1)</f>
        <v>-2.1392015822880469E-2</v>
      </c>
      <c r="AQ13" s="90">
        <f>INDEX(LINEST(LN(AV13:AX13),SQRT(AV12:AX12),TRUE,TRUE),3,1)</f>
        <v>0.91871620028618628</v>
      </c>
      <c r="AR13" s="117">
        <f>INDEX(LINEST(LN(AV13:AX13),SQRT((AV12:AX12))),1)</f>
        <v>-2.3156093997505635E-3</v>
      </c>
      <c r="AS13" s="91">
        <f>INDEX(LINEST(1/(AV13:AX13),1/(SQRT(AV12:AX12)),TRUE,TRUE),3,1)</f>
        <v>0.63997222279033972</v>
      </c>
      <c r="AT13" s="91">
        <f>INDEX(LINEST(1/(AV13:AX13),1/SQRT(AV12:AX12)),1)</f>
        <v>-0.93227433708464813</v>
      </c>
      <c r="AU13" s="3"/>
      <c r="AV13" s="101">
        <v>0.91340855217986505</v>
      </c>
      <c r="AW13" s="101">
        <v>0.90701717674981874</v>
      </c>
      <c r="AX13" s="101">
        <v>0.85724876083940627</v>
      </c>
      <c r="AY13" s="141"/>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7"/>
      <c r="CS13" s="17"/>
      <c r="CT13" s="17"/>
      <c r="CU13" s="17"/>
    </row>
    <row r="14" spans="1:99" s="13" customFormat="1" ht="12" customHeight="1" x14ac:dyDescent="0.2">
      <c r="A14" s="68">
        <v>43509</v>
      </c>
      <c r="B14" s="70"/>
      <c r="C14" s="70"/>
      <c r="D14" s="69"/>
      <c r="E14" s="87"/>
      <c r="F14" s="69"/>
      <c r="G14" s="69"/>
      <c r="H14" s="69"/>
      <c r="I14" s="69"/>
      <c r="J14" s="69"/>
      <c r="K14" s="107"/>
      <c r="L14" s="107"/>
      <c r="M14" s="69"/>
      <c r="N14" s="69"/>
      <c r="O14" s="69"/>
      <c r="P14" s="69"/>
      <c r="Q14" s="69"/>
      <c r="R14" s="69"/>
      <c r="S14" s="69"/>
      <c r="T14" s="69"/>
      <c r="U14" s="60"/>
      <c r="V14" s="69"/>
      <c r="W14" s="69"/>
      <c r="X14" s="69"/>
      <c r="Y14" s="87"/>
      <c r="Z14" s="69"/>
      <c r="AA14" s="69"/>
      <c r="AB14" s="69"/>
      <c r="AC14" s="69"/>
      <c r="AD14" s="69"/>
      <c r="AE14" s="69"/>
      <c r="AF14" s="88"/>
      <c r="AG14" s="72"/>
      <c r="AH14" s="4"/>
      <c r="AI14" s="72"/>
      <c r="AJ14" s="110"/>
      <c r="AK14" s="72"/>
      <c r="AL14" s="72"/>
      <c r="AM14" s="72"/>
      <c r="AN14" s="72"/>
      <c r="AO14" s="72"/>
      <c r="AP14" s="72"/>
      <c r="AQ14" s="89"/>
      <c r="AR14" s="118"/>
      <c r="AS14" s="89"/>
      <c r="AT14" s="89"/>
      <c r="AU14" s="9"/>
      <c r="AV14" s="71">
        <f>60*1</f>
        <v>60</v>
      </c>
      <c r="AW14" s="71">
        <f>60*4</f>
        <v>240</v>
      </c>
      <c r="AX14" s="71">
        <f>60*8</f>
        <v>480</v>
      </c>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c r="BZ14" s="53"/>
      <c r="CA14" s="53"/>
      <c r="CB14" s="53"/>
      <c r="CC14" s="53"/>
      <c r="CD14" s="53"/>
      <c r="CE14" s="53"/>
      <c r="CF14" s="53"/>
      <c r="CG14" s="53"/>
      <c r="CH14" s="53"/>
      <c r="CI14" s="53"/>
      <c r="CJ14" s="53"/>
      <c r="CK14" s="53"/>
      <c r="CL14" s="53"/>
      <c r="CM14" s="53"/>
      <c r="CN14" s="53"/>
      <c r="CO14" s="53"/>
      <c r="CP14" s="53"/>
      <c r="CQ14" s="53"/>
      <c r="CR14" s="1"/>
      <c r="CS14" s="1"/>
      <c r="CT14" s="1"/>
      <c r="CU14" s="1"/>
    </row>
    <row r="15" spans="1:99" s="13" customFormat="1" ht="12" customHeight="1" x14ac:dyDescent="0.2">
      <c r="A15" s="68">
        <v>43509</v>
      </c>
      <c r="B15" s="70" t="s">
        <v>253</v>
      </c>
      <c r="C15" s="70" t="s">
        <v>70</v>
      </c>
      <c r="D15" s="69">
        <v>2015</v>
      </c>
      <c r="E15" s="87">
        <v>1</v>
      </c>
      <c r="F15" s="69">
        <v>36</v>
      </c>
      <c r="G15" s="69">
        <v>36</v>
      </c>
      <c r="H15" s="69" t="s">
        <v>50</v>
      </c>
      <c r="I15" s="69" t="s">
        <v>784</v>
      </c>
      <c r="J15" s="69" t="s">
        <v>16</v>
      </c>
      <c r="K15" s="69">
        <f>IF(J15="syllables",1,IF(J15="trigrams",2,IF(J15="strings",3,IF(J15="visual array",4,IF(J15="characters",5,IF(J15="letters",6,IF(J15="free forms",7,IF(J15="odors",8,IF(J15="words",9,IF(J15="pictures",10,IF(J15="object pictures",11,IF(J15="faces",12,IF(J15="names",13,IF(J15="idioms",14,IF(J15="grades",15,IF(J15="syllable-digit pairs",16,IF(J15="trigram-word pairs",17,IF(J15="word-digit pairs",18,IF(J15="English-Swahili pairs",19,IF(J15="spatial position",20,IF(J15="word pairs",21,IF(J15="word triads",22,IF(J15="generated words",23,IF(J15="word definition pairs",24,IF(J15="math problems",25,IF(J15="famous faces",26,IF(J15="famous names",27,IF(J15="famous voices",28,IF(J15="television programs",29,IF(J15="race horses",30,IF(J15="new vocabulary",31,IF(J15="sentences",32,IF(J15="concepts",33,IF(J15="ad slides",34,IF(J15="scenes",35,IF(J15="famous scenes",36,IF(J15="poems",37,IF(J15="walk",38,IF(J15="faces and events",39,IF(J15="events and names",40,IF(J15="flashbulb",41,IF(J15="stories",42,IF(J15="course material",43,IF(J15="autobiographical",44,IF(J15="novels",45,IF(J15="public events",46,"99"))))))))))))))))))))))))))))))))))))))))))))))</f>
        <v>9</v>
      </c>
      <c r="L15" s="69">
        <f>IF(J15="syllables",1,IF(J15="trigrams",1,IF(J15="strings",1,IF(J15="visual array",1,IF(J15="characters",1,IF(J15="letters",1,IF(J15="free forms",1,IF(J15="odors",2,IF(J15="words",2,IF(J15="pictures",2,IF(J15="object pictures",2,IF(J15="faces",2,IF(J15="names",2,IF(J15="idioms","2",IF(J15="grades",2,IF(J15="syllable-digit pairs",3,IF(J15="trigram-word pairs",3,IF(J15="word-digit pairs",3,IF(J15="English-Swahili pairs",3,IF(J15="spatial position",3,IF(J15="word pairs",4,IF(J15="word triads",4,IF(J15="generated words",4,IF(J15="word definition pairs",4,IF(J15="math problems",4,IF(J15="famous faces",4,IF(J15="famous names",4,IF(J15="famous voices",4,IF(J15="television programs",4,IF(J15="race horses",4,IF(J15="new vocabulary",4,IF(J15="sentences",5,IF(J15="concepts",5,IF(J15="ad slides",5,IF(J15="scenes",5,IF(J15="famous scenes",5,IF(J15="poems",6,IF(J15="walk",6,IF(J15="faces and events",6,IF(J15="events and names",6,IF(J15="flashbulb",7,IF(J15="stories",7,IF(J15="course material",7,IF(J15="autobiographical",7,IF(J15="novels",7,IF(J15="public events",7,"99"))))))))))))))))))))))))))))))))))))))))))))))</f>
        <v>2</v>
      </c>
      <c r="M15" s="69">
        <v>1</v>
      </c>
      <c r="N15" s="69">
        <v>2</v>
      </c>
      <c r="O15" s="69">
        <v>1</v>
      </c>
      <c r="P15" s="69" t="s">
        <v>71</v>
      </c>
      <c r="Q15" s="69" t="s">
        <v>174</v>
      </c>
      <c r="R15" s="69">
        <f>IF(Q15="Free Recall",1,IF(Q15="Cued Recall",2,IF(Q15="Recognition",3,IF(Q15="Multiple Choice",4,IF(Q15="Savings",5,IF(Q15="Stem Completion",6,IF(Q15="Fragment Completion",7,IF(Q15="anagram solution",8,IF(Q15="Matching",9,IF(Q15="Problem Solving",10,"99"))))))))))</f>
        <v>1</v>
      </c>
      <c r="S15" s="69" t="s">
        <v>49</v>
      </c>
      <c r="T15" s="92" t="s">
        <v>581</v>
      </c>
      <c r="U15" s="60">
        <f>IF(T15="within",1,0)</f>
        <v>1</v>
      </c>
      <c r="V15" s="92">
        <v>10</v>
      </c>
      <c r="W15" s="69">
        <f>F15*V15</f>
        <v>360</v>
      </c>
      <c r="X15" s="69">
        <v>3</v>
      </c>
      <c r="Y15" s="87">
        <f>AV14</f>
        <v>60</v>
      </c>
      <c r="Z15" s="69" t="s">
        <v>72</v>
      </c>
      <c r="AA15" s="69">
        <v>480</v>
      </c>
      <c r="AB15" s="69" t="str">
        <f>IF(AA15&lt;60,"1",IF(AA15&lt;=43200,"2",IF(AA15&lt;=777600,"3","4")))</f>
        <v>2</v>
      </c>
      <c r="AC15" s="72">
        <f>AVERAGE(AV14:DA14)</f>
        <v>260</v>
      </c>
      <c r="AD15" s="69" t="str">
        <f>IF(AC15&lt;60,"1",IF(AC15&lt;=43200,"2",IF(AC15&lt;=777600,"3","4")))</f>
        <v>2</v>
      </c>
      <c r="AE15" s="87">
        <f>AA15-Y15</f>
        <v>420</v>
      </c>
      <c r="AF15" s="88">
        <f>AV15</f>
        <v>0.37</v>
      </c>
      <c r="AG15" s="72">
        <f>((AW15-AV15)+(AX15-AW15))/2</f>
        <v>-6.7000000000000004E-2</v>
      </c>
      <c r="AH15" s="4"/>
      <c r="AI15" s="72">
        <f>RSQ(AV15:AX15,AV14:AX14)</f>
        <v>0.91113787548419556</v>
      </c>
      <c r="AJ15" s="110">
        <f>SLOPE(AV15:AX15,AV14:AX14)</f>
        <v>-3.1103603603603607E-4</v>
      </c>
      <c r="AK15" s="72">
        <f>INTERCEPT(AV15:AX15,AV14:AX14)</f>
        <v>0.37520270270270273</v>
      </c>
      <c r="AL15" s="72">
        <f>INDEX(LINEST(LN(AV15:AX15),LN(AV14:AX14),TRUE,TRUE),3,1)</f>
        <v>0.99934411894180042</v>
      </c>
      <c r="AM15" s="72">
        <f>INDEX(LINEST(LN(AV15:AX15),LN(AV14:AX14)),1)</f>
        <v>-0.21518520993464335</v>
      </c>
      <c r="AN15" s="72">
        <f>EXP(INDEX(LINEST(LN(AV15:AX15),LN(AV14:AX14)),1,2))</f>
        <v>0.89493539894878338</v>
      </c>
      <c r="AO15" s="89">
        <f>INDEX(LINEST((AV15:AX15),LN(AV14:AX14),TRUE,TRUE),3,1)</f>
        <v>0.9990833425924992</v>
      </c>
      <c r="AP15" s="89">
        <f>INDEX(LINEST((AV15:AX15),LN(AV14:AX14)),1)</f>
        <v>-6.4818227194225558E-2</v>
      </c>
      <c r="AQ15" s="90">
        <f>INDEX(LINEST(LN(AV15:AX15),SQRT(AV14:AX14),TRUE,TRUE),3,1)</f>
        <v>0.98786366078150989</v>
      </c>
      <c r="AR15" s="117">
        <f>INDEX(LINEST(LN(AV15:AX15),SQRT((AV14:AX14))),1)</f>
        <v>-3.1941664904172079E-2</v>
      </c>
      <c r="AS15" s="91">
        <f>INDEX(LINEST(1/(AV15:AX15),1/(SQRT(AV14:AX14)),TRUE,TRUE),3,1)</f>
        <v>0.9602124914342457</v>
      </c>
      <c r="AT15" s="91">
        <f>INDEX(LINEST(1/(AV15:AX15),1/SQRT(AV14:AX14)),1)</f>
        <v>-17.2774486373469</v>
      </c>
      <c r="AU15" s="3"/>
      <c r="AV15" s="73">
        <v>0.37</v>
      </c>
      <c r="AW15" s="73">
        <v>0.27700000000000002</v>
      </c>
      <c r="AX15" s="73">
        <v>0.23599999999999999</v>
      </c>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1"/>
      <c r="CS15" s="1"/>
      <c r="CT15" s="1"/>
      <c r="CU15" s="1"/>
    </row>
    <row r="16" spans="1:99" s="13" customFormat="1" ht="12" customHeight="1" x14ac:dyDescent="0.2">
      <c r="A16" s="68">
        <v>43509</v>
      </c>
      <c r="B16" s="70"/>
      <c r="C16" s="70"/>
      <c r="D16" s="69"/>
      <c r="E16" s="87"/>
      <c r="F16" s="69"/>
      <c r="G16" s="69"/>
      <c r="H16" s="69"/>
      <c r="I16" s="69"/>
      <c r="J16" s="69"/>
      <c r="K16" s="107"/>
      <c r="L16" s="107"/>
      <c r="M16" s="69"/>
      <c r="N16" s="69"/>
      <c r="O16" s="69"/>
      <c r="P16" s="69"/>
      <c r="Q16" s="69"/>
      <c r="R16" s="69"/>
      <c r="S16" s="69"/>
      <c r="T16" s="69"/>
      <c r="U16" s="60"/>
      <c r="V16" s="69"/>
      <c r="W16" s="69"/>
      <c r="X16" s="69"/>
      <c r="Y16" s="87"/>
      <c r="Z16" s="69"/>
      <c r="AA16" s="69"/>
      <c r="AB16" s="69"/>
      <c r="AC16" s="69"/>
      <c r="AD16" s="69"/>
      <c r="AE16" s="69"/>
      <c r="AF16" s="88"/>
      <c r="AG16" s="72"/>
      <c r="AH16" s="4"/>
      <c r="AI16" s="72"/>
      <c r="AJ16" s="110"/>
      <c r="AK16" s="72"/>
      <c r="AL16" s="72"/>
      <c r="AM16" s="72"/>
      <c r="AN16" s="72"/>
      <c r="AO16" s="72"/>
      <c r="AP16" s="72"/>
      <c r="AQ16" s="89"/>
      <c r="AR16" s="118"/>
      <c r="AS16" s="89"/>
      <c r="AT16" s="89"/>
      <c r="AU16" s="6"/>
      <c r="AV16" s="71">
        <f>60*0.5</f>
        <v>30</v>
      </c>
      <c r="AW16" s="71">
        <f>60*1.5</f>
        <v>90</v>
      </c>
      <c r="AX16" s="71">
        <f>60*4</f>
        <v>240</v>
      </c>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1"/>
      <c r="CS16" s="1"/>
      <c r="CT16" s="1"/>
      <c r="CU16" s="1"/>
    </row>
    <row r="17" spans="1:99" s="13" customFormat="1" ht="12" customHeight="1" x14ac:dyDescent="0.2">
      <c r="A17" s="68">
        <v>43509</v>
      </c>
      <c r="B17" s="70" t="s">
        <v>253</v>
      </c>
      <c r="C17" s="70" t="s">
        <v>70</v>
      </c>
      <c r="D17" s="69">
        <v>2015</v>
      </c>
      <c r="E17" s="87">
        <v>3</v>
      </c>
      <c r="F17" s="69">
        <v>63</v>
      </c>
      <c r="G17" s="69">
        <v>63</v>
      </c>
      <c r="H17" s="69" t="s">
        <v>32</v>
      </c>
      <c r="I17" s="69" t="s">
        <v>784</v>
      </c>
      <c r="J17" s="69" t="s">
        <v>16</v>
      </c>
      <c r="K17" s="69">
        <f>IF(J17="syllables",1,IF(J17="trigrams",2,IF(J17="strings",3,IF(J17="visual array",4,IF(J17="characters",5,IF(J17="letters",6,IF(J17="free forms",7,IF(J17="odors",8,IF(J17="words",9,IF(J17="pictures",10,IF(J17="object pictures",11,IF(J17="faces",12,IF(J17="names",13,IF(J17="idioms",14,IF(J17="grades",15,IF(J17="syllable-digit pairs",16,IF(J17="trigram-word pairs",17,IF(J17="word-digit pairs",18,IF(J17="English-Swahili pairs",19,IF(J17="spatial position",20,IF(J17="word pairs",21,IF(J17="word triads",22,IF(J17="generated words",23,IF(J17="word definition pairs",24,IF(J17="math problems",25,IF(J17="famous faces",26,IF(J17="famous names",27,IF(J17="famous voices",28,IF(J17="television programs",29,IF(J17="race horses",30,IF(J17="new vocabulary",31,IF(J17="sentences",32,IF(J17="concepts",33,IF(J17="ad slides",34,IF(J17="scenes",35,IF(J17="famous scenes",36,IF(J17="poems",37,IF(J17="walk",38,IF(J17="faces and events",39,IF(J17="events and names",40,IF(J17="flashbulb",41,IF(J17="stories",42,IF(J17="course material",43,IF(J17="autobiographical",44,IF(J17="novels",45,IF(J17="public events",46,"99"))))))))))))))))))))))))))))))))))))))))))))))</f>
        <v>9</v>
      </c>
      <c r="L17" s="69">
        <f>IF(J17="syllables",1,IF(J17="trigrams",1,IF(J17="strings",1,IF(J17="visual array",1,IF(J17="characters",1,IF(J17="letters",1,IF(J17="free forms",1,IF(J17="odors",2,IF(J17="words",2,IF(J17="pictures",2,IF(J17="object pictures",2,IF(J17="faces",2,IF(J17="names",2,IF(J17="idioms","2",IF(J17="grades",2,IF(J17="syllable-digit pairs",3,IF(J17="trigram-word pairs",3,IF(J17="word-digit pairs",3,IF(J17="English-Swahili pairs",3,IF(J17="spatial position",3,IF(J17="word pairs",4,IF(J17="word triads",4,IF(J17="generated words",4,IF(J17="word definition pairs",4,IF(J17="math problems",4,IF(J17="famous faces",4,IF(J17="famous names",4,IF(J17="famous voices",4,IF(J17="television programs",4,IF(J17="race horses",4,IF(J17="new vocabulary",4,IF(J17="sentences",5,IF(J17="concepts",5,IF(J17="ad slides",5,IF(J17="scenes",5,IF(J17="famous scenes",5,IF(J17="poems",6,IF(J17="walk",6,IF(J17="faces and events",6,IF(J17="events and names",6,IF(J17="flashbulb",7,IF(J17="stories",7,IF(J17="course material",7,IF(J17="autobiographical",7,IF(J17="novels",7,IF(J17="public events",7,"99"))))))))))))))))))))))))))))))))))))))))))))))</f>
        <v>2</v>
      </c>
      <c r="M17" s="69">
        <v>1</v>
      </c>
      <c r="N17" s="69">
        <v>2</v>
      </c>
      <c r="O17" s="69">
        <v>1</v>
      </c>
      <c r="P17" s="69" t="s">
        <v>71</v>
      </c>
      <c r="Q17" s="69" t="s">
        <v>174</v>
      </c>
      <c r="R17" s="69">
        <f>IF(Q17="Free Recall",1,IF(Q17="Cued Recall",2,IF(Q17="Recognition",3,IF(Q17="Multiple Choice",4,IF(Q17="Savings",5,IF(Q17="Stem Completion",6,IF(Q17="Fragment Completion",7,IF(Q17="anagram solution",8,IF(Q17="Matching",9,IF(Q17="Problem Solving",10,"99"))))))))))</f>
        <v>1</v>
      </c>
      <c r="S17" s="69" t="s">
        <v>49</v>
      </c>
      <c r="T17" s="92" t="s">
        <v>581</v>
      </c>
      <c r="U17" s="60">
        <f>IF(T17="within",1,0)</f>
        <v>1</v>
      </c>
      <c r="V17" s="92">
        <v>10</v>
      </c>
      <c r="W17" s="69">
        <f>F17*V17</f>
        <v>630</v>
      </c>
      <c r="X17" s="69">
        <v>3</v>
      </c>
      <c r="Y17" s="87">
        <f>AV16</f>
        <v>30</v>
      </c>
      <c r="Z17" s="69" t="s">
        <v>73</v>
      </c>
      <c r="AA17" s="69">
        <v>240</v>
      </c>
      <c r="AB17" s="69" t="str">
        <f>IF(AA17&lt;60,"1",IF(AA17&lt;=43200,"2",IF(AA17&lt;=777600,"3","4")))</f>
        <v>2</v>
      </c>
      <c r="AC17" s="72">
        <f>AVERAGE(AV16:DA16)</f>
        <v>120</v>
      </c>
      <c r="AD17" s="69" t="str">
        <f>IF(AC17&lt;60,"1",IF(AC17&lt;=43200,"2",IF(AC17&lt;=777600,"3","4")))</f>
        <v>2</v>
      </c>
      <c r="AE17" s="87">
        <f>AA17-Y17</f>
        <v>210</v>
      </c>
      <c r="AF17" s="88">
        <f>AV17</f>
        <v>0.30099999999999999</v>
      </c>
      <c r="AG17" s="72">
        <f>((AW17-AV17)+(AX17-AW17))/2</f>
        <v>-3.0499999999999999E-2</v>
      </c>
      <c r="AH17" s="4"/>
      <c r="AI17" s="72">
        <f>RSQ(AV17:AX17,AV16:AX16)</f>
        <v>0.32532233615381118</v>
      </c>
      <c r="AJ17" s="110">
        <f>SLOPE(AV17:AX17,AV16:AX16)</f>
        <v>-4.512820512820512E-4</v>
      </c>
      <c r="AK17" s="72">
        <f>INTERCEPT(AV17:AX17,AV16:AX16)</f>
        <v>0.37082051282051282</v>
      </c>
      <c r="AL17" s="72">
        <f>INDEX(LINEST(LN(AV17:AX17),LN(AV16:AX16),TRUE,TRUE),3,1)</f>
        <v>0.15477039358386907</v>
      </c>
      <c r="AM17" s="72">
        <f>INDEX(LINEST(LN(AV17:AX17),LN(AV16:AX16)),1)</f>
        <v>-0.10117749958037014</v>
      </c>
      <c r="AN17" s="72">
        <f>EXP(INDEX(LINEST(LN(AV17:AX17),LN(AV16:AX16)),1,2))</f>
        <v>0.48547539564427139</v>
      </c>
      <c r="AO17" s="89">
        <f>INDEX(LINEST((AV17:AX17),LN(AV16:AX16),TRUE,TRUE),3,1)</f>
        <v>0.10604991857350331</v>
      </c>
      <c r="AP17" s="89">
        <f>INDEX(LINEST((AV17:AX17),LN(AV16:AX16)),1)</f>
        <v>-2.6791091105988724E-2</v>
      </c>
      <c r="AQ17" s="90">
        <f>INDEX(LINEST(LN(AV17:AX17),SQRT(AV16:AX16),TRUE,TRUE),3,1)</f>
        <v>0.27459679831736911</v>
      </c>
      <c r="AR17" s="117">
        <f>INDEX(LINEST(LN(AV17:AX17),SQRT((AV16:AX16))),1)</f>
        <v>-2.7814631666790317E-2</v>
      </c>
      <c r="AS17" s="91">
        <f>INDEX(LINEST(1/(AV17:AX17),1/(SQRT(AV16:AX16)),TRUE,TRUE),3,1)</f>
        <v>0.10921764057965229</v>
      </c>
      <c r="AT17" s="91">
        <f>INDEX(LINEST(1/(AV17:AX17),1/SQRT(AV16:AX16)),1)</f>
        <v>-4.7468948913017144</v>
      </c>
      <c r="AU17" s="3"/>
      <c r="AV17" s="73">
        <v>0.30099999999999999</v>
      </c>
      <c r="AW17" s="73">
        <v>0.40899999999999997</v>
      </c>
      <c r="AX17" s="73">
        <v>0.24</v>
      </c>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1"/>
      <c r="CS17" s="1"/>
      <c r="CT17" s="1"/>
      <c r="CU17" s="1"/>
    </row>
    <row r="18" spans="1:99" s="13" customFormat="1" ht="12" customHeight="1" x14ac:dyDescent="0.2">
      <c r="A18" s="68">
        <v>43509</v>
      </c>
      <c r="B18" s="70"/>
      <c r="C18" s="70"/>
      <c r="D18" s="69"/>
      <c r="E18" s="87"/>
      <c r="F18" s="69"/>
      <c r="G18" s="69"/>
      <c r="H18" s="69"/>
      <c r="I18" s="69"/>
      <c r="J18" s="69"/>
      <c r="K18" s="107"/>
      <c r="L18" s="107"/>
      <c r="M18" s="69"/>
      <c r="N18" s="69"/>
      <c r="O18" s="69"/>
      <c r="P18" s="69"/>
      <c r="Q18" s="69"/>
      <c r="R18" s="69"/>
      <c r="S18" s="69"/>
      <c r="T18" s="69"/>
      <c r="U18" s="60"/>
      <c r="V18" s="69"/>
      <c r="W18" s="69"/>
      <c r="X18" s="69"/>
      <c r="Y18" s="87"/>
      <c r="Z18" s="69"/>
      <c r="AA18" s="69"/>
      <c r="AB18" s="69"/>
      <c r="AC18" s="69"/>
      <c r="AD18" s="69"/>
      <c r="AE18" s="69"/>
      <c r="AF18" s="88"/>
      <c r="AG18" s="72"/>
      <c r="AH18" s="4"/>
      <c r="AI18" s="72"/>
      <c r="AJ18" s="110"/>
      <c r="AK18" s="72"/>
      <c r="AL18" s="72"/>
      <c r="AM18" s="72"/>
      <c r="AN18" s="72"/>
      <c r="AO18" s="72"/>
      <c r="AP18" s="72"/>
      <c r="AQ18" s="72"/>
      <c r="AR18" s="110"/>
      <c r="AS18" s="72"/>
      <c r="AT18" s="72"/>
      <c r="AU18" s="4"/>
      <c r="AV18" s="71">
        <v>30</v>
      </c>
      <c r="AW18" s="71">
        <f>3600*1</f>
        <v>3600</v>
      </c>
      <c r="AX18" s="71">
        <f>3600*2</f>
        <v>7200</v>
      </c>
      <c r="AY18" s="71">
        <f>3600*4</f>
        <v>14400</v>
      </c>
      <c r="AZ18" s="71">
        <f>3600*8</f>
        <v>28800</v>
      </c>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1"/>
      <c r="CS18" s="1"/>
      <c r="CT18" s="1"/>
      <c r="CU18" s="1"/>
    </row>
    <row r="19" spans="1:99" s="13" customFormat="1" ht="12" customHeight="1" x14ac:dyDescent="0.2">
      <c r="A19" s="68">
        <v>43509</v>
      </c>
      <c r="B19" s="70" t="s">
        <v>257</v>
      </c>
      <c r="C19" s="70" t="s">
        <v>86</v>
      </c>
      <c r="D19" s="69">
        <v>1932</v>
      </c>
      <c r="E19" s="87">
        <v>1</v>
      </c>
      <c r="F19" s="69">
        <v>2</v>
      </c>
      <c r="G19" s="69">
        <v>2</v>
      </c>
      <c r="H19" s="69" t="s">
        <v>41</v>
      </c>
      <c r="I19" s="69" t="s">
        <v>620</v>
      </c>
      <c r="J19" s="69" t="s">
        <v>281</v>
      </c>
      <c r="K19" s="69">
        <f>IF(J19="syllables",1,IF(J19="trigrams",2,IF(J19="strings",3,IF(J19="visual array",4,IF(J19="characters",5,IF(J19="letters",6,IF(J19="free forms",7,IF(J19="odors",8,IF(J19="words",9,IF(J19="pictures",10,IF(J19="object pictures",11,IF(J19="faces",12,IF(J19="names",13,IF(J19="idioms",14,IF(J19="grades",15,IF(J19="syllable-digit pairs",16,IF(J19="trigram-word pairs",17,IF(J19="word-digit pairs",18,IF(J19="English-Swahili pairs",19,IF(J19="spatial position",20,IF(J19="word pairs",21,IF(J19="word triads",22,IF(J19="generated words",23,IF(J19="word definition pairs",24,IF(J19="math problems",25,IF(J19="famous faces",26,IF(J19="famous names",27,IF(J19="famous voices",28,IF(J19="television programs",29,IF(J19="race horses",30,IF(J19="new vocabulary",31,IF(J19="sentences",32,IF(J19="concepts",33,IF(J19="ad slides",34,IF(J19="scenes",35,IF(J19="famous scenes",36,IF(J19="poems",37,IF(J19="walk",38,IF(J19="faces and events",39,IF(J19="events and names",40,IF(J19="flashbulb",41,IF(J19="stories",42,IF(J19="course material",43,IF(J19="autobiographical",44,IF(J19="novels",45,IF(J19="public events",46,"99"))))))))))))))))))))))))))))))))))))))))))))))</f>
        <v>1</v>
      </c>
      <c r="L19" s="69">
        <f>IF(J19="syllables",1,IF(J19="trigrams",1,IF(J19="strings",1,IF(J19="visual array",1,IF(J19="characters",1,IF(J19="letters",1,IF(J19="free forms",1,IF(J19="odors",2,IF(J19="words",2,IF(J19="pictures",2,IF(J19="object pictures",2,IF(J19="faces",2,IF(J19="names",2,IF(J19="idioms","2",IF(J19="grades",2,IF(J19="syllable-digit pairs",3,IF(J19="trigram-word pairs",3,IF(J19="word-digit pairs",3,IF(J19="English-Swahili pairs",3,IF(J19="spatial position",3,IF(J19="word pairs",4,IF(J19="word triads",4,IF(J19="generated words",4,IF(J19="word definition pairs",4,IF(J19="math problems",4,IF(J19="famous faces",4,IF(J19="famous names",4,IF(J19="famous voices",4,IF(J19="television programs",4,IF(J19="race horses",4,IF(J19="new vocabulary",4,IF(J19="sentences",5,IF(J19="concepts",5,IF(J19="ad slides",5,IF(J19="scenes",5,IF(J19="famous scenes",5,IF(J19="poems",6,IF(J19="walk",6,IF(J19="faces and events",6,IF(J19="events and names",6,IF(J19="flashbulb",7,IF(J19="stories",7,IF(J19="course material",7,IF(J19="autobiographical",7,IF(J19="novels",7,IF(J19="public events",7,"99"))))))))))))))))))))))))))))))))))))))))))))))</f>
        <v>1</v>
      </c>
      <c r="M19" s="69">
        <v>1</v>
      </c>
      <c r="N19" s="69">
        <v>2</v>
      </c>
      <c r="O19" s="69">
        <v>0</v>
      </c>
      <c r="P19" s="69"/>
      <c r="Q19" s="69" t="s">
        <v>87</v>
      </c>
      <c r="R19" s="69">
        <f>IF(Q19="Free Recall",1,IF(Q19="Cued Recall",2,IF(Q19="Recognition",3,IF(Q19="Multiple Choice",4,IF(Q19="Savings",5,IF(Q19="Stem Completion",6,IF(Q19="Fragment Completion",7,IF(Q19="anagram solution",8,IF(Q19="Matching",9,IF(Q19="Problem Solving",10,"99"))))))))))</f>
        <v>5</v>
      </c>
      <c r="S19" s="69" t="s">
        <v>233</v>
      </c>
      <c r="T19" s="92" t="s">
        <v>581</v>
      </c>
      <c r="U19" s="60">
        <f>IF(T19="within",1,0)</f>
        <v>1</v>
      </c>
      <c r="V19" s="92">
        <v>120</v>
      </c>
      <c r="W19" s="69">
        <f>F19*V19</f>
        <v>240</v>
      </c>
      <c r="X19" s="69">
        <v>5</v>
      </c>
      <c r="Y19" s="87">
        <f>AV18</f>
        <v>30</v>
      </c>
      <c r="Z19" s="69" t="s">
        <v>85</v>
      </c>
      <c r="AA19" s="69">
        <v>28800</v>
      </c>
      <c r="AB19" s="69" t="str">
        <f>IF(AA19&lt;60,"1",IF(AA19&lt;=43200,"2",IF(AA19&lt;=777600,"3","4")))</f>
        <v>2</v>
      </c>
      <c r="AC19" s="72">
        <f>AVERAGE(AV18:DA18)</f>
        <v>10806</v>
      </c>
      <c r="AD19" s="69" t="str">
        <f>IF(AC19&lt;60,"1",IF(AC19&lt;=43200,"2",IF(AC19&lt;=777600,"3","4")))</f>
        <v>2</v>
      </c>
      <c r="AE19" s="87">
        <f>AA19-Y19</f>
        <v>28770</v>
      </c>
      <c r="AF19" s="88">
        <f>AV19</f>
        <v>1</v>
      </c>
      <c r="AG19" s="72">
        <f>((AW19-AV19)+(AX19-AW19)+(AY19-AX19)+(AZ19-AY19))/4</f>
        <v>-0.16575000000000001</v>
      </c>
      <c r="AH19" s="4"/>
      <c r="AI19" s="72">
        <f>RSQ(AV19:AZ19,AV18:AZ18)</f>
        <v>0.43390447119154446</v>
      </c>
      <c r="AJ19" s="110">
        <f>SLOPE(AV19:AZ19,AV18:AZ18)</f>
        <v>-1.5526713215528832E-5</v>
      </c>
      <c r="AK19" s="72">
        <f>INTERCEPT(AV19:AZ19,AV18:AZ18)</f>
        <v>0.69438166300700455</v>
      </c>
      <c r="AL19" s="72">
        <f>INDEX(LINEST(LN(AV19:AZ19),LN(AV18:AZ18),TRUE,TRUE),3,1)</f>
        <v>0.98792295085439252</v>
      </c>
      <c r="AM19" s="72">
        <f>INDEX(LINEST(LN(AV19:AZ19),LN(AV18:AZ18)),1)</f>
        <v>-0.15302715566210412</v>
      </c>
      <c r="AN19" s="72">
        <f>EXP(INDEX(LINEST(LN(AV19:AZ19),LN(AV18:AZ18)),1,2))</f>
        <v>1.6691473075404764</v>
      </c>
      <c r="AO19" s="89">
        <f>INDEX(LINEST((AV19:AZ19),LN(AV18:AZ18),TRUE,TRUE),3,1)</f>
        <v>0.97816756477322375</v>
      </c>
      <c r="AP19" s="89">
        <f>INDEX(LINEST((AV19:AZ19),LN(AV18:AZ18)),1)</f>
        <v>-9.7553712214733163E-2</v>
      </c>
      <c r="AQ19" s="90">
        <f>INDEX(LINEST(LN(AV19:AZ19),SQRT(AV18:AZ18),TRUE,TRUE),3,1)</f>
        <v>0.79357122311326278</v>
      </c>
      <c r="AR19" s="117">
        <f>INDEX(LINEST(LN(AV19:AZ19),SQRT((AV18:AZ18))),1)</f>
        <v>-6.0284807241244558E-3</v>
      </c>
      <c r="AS19" s="91">
        <f>INDEX(LINEST(1/(AV19:AZ19),1/(SQRT(AV18:AZ18)),TRUE,TRUE),3,1)</f>
        <v>0.86895402612297301</v>
      </c>
      <c r="AT19" s="91">
        <f>INDEX(LINEST(1/(AV19:AZ19),1/SQRT(AV18:AZ18)),1)</f>
        <v>-8.7550761610031493</v>
      </c>
      <c r="AU19" s="3"/>
      <c r="AV19" s="73">
        <v>1</v>
      </c>
      <c r="AW19" s="73">
        <v>0.45200000000000001</v>
      </c>
      <c r="AX19" s="73">
        <v>0.43099999999999999</v>
      </c>
      <c r="AY19" s="73">
        <v>0.41299999999999998</v>
      </c>
      <c r="AZ19" s="73">
        <v>0.33700000000000002</v>
      </c>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1"/>
      <c r="CS19" s="1"/>
      <c r="CT19" s="1"/>
      <c r="CU19" s="1"/>
    </row>
    <row r="20" spans="1:99" s="13" customFormat="1" ht="12" customHeight="1" x14ac:dyDescent="0.2">
      <c r="A20" s="68">
        <v>43509</v>
      </c>
      <c r="B20" s="70"/>
      <c r="C20" s="70"/>
      <c r="D20" s="69"/>
      <c r="E20" s="87"/>
      <c r="F20" s="69"/>
      <c r="G20" s="69"/>
      <c r="H20" s="69"/>
      <c r="I20" s="69"/>
      <c r="J20" s="69"/>
      <c r="K20" s="107"/>
      <c r="L20" s="107"/>
      <c r="M20" s="69"/>
      <c r="N20" s="69"/>
      <c r="O20" s="69"/>
      <c r="P20" s="69"/>
      <c r="Q20" s="69"/>
      <c r="R20" s="69"/>
      <c r="S20" s="69"/>
      <c r="T20" s="69"/>
      <c r="U20" s="60"/>
      <c r="V20" s="69"/>
      <c r="W20" s="69"/>
      <c r="X20" s="69"/>
      <c r="Y20" s="87"/>
      <c r="Z20" s="69"/>
      <c r="AA20" s="69"/>
      <c r="AB20" s="69"/>
      <c r="AC20" s="69"/>
      <c r="AD20" s="69"/>
      <c r="AE20" s="69"/>
      <c r="AF20" s="88"/>
      <c r="AG20" s="72"/>
      <c r="AH20" s="4"/>
      <c r="AI20" s="72"/>
      <c r="AJ20" s="110"/>
      <c r="AK20" s="72"/>
      <c r="AL20" s="72"/>
      <c r="AM20" s="72"/>
      <c r="AN20" s="72"/>
      <c r="AO20" s="72"/>
      <c r="AP20" s="72"/>
      <c r="AQ20" s="72"/>
      <c r="AR20" s="110"/>
      <c r="AS20" s="72"/>
      <c r="AT20" s="72"/>
      <c r="AU20" s="4"/>
      <c r="AV20" s="71">
        <v>30</v>
      </c>
      <c r="AW20" s="71">
        <f>3600*1</f>
        <v>3600</v>
      </c>
      <c r="AX20" s="71">
        <f>3600*2</f>
        <v>7200</v>
      </c>
      <c r="AY20" s="71">
        <f>3600*4</f>
        <v>14400</v>
      </c>
      <c r="AZ20" s="71">
        <f>3600*8</f>
        <v>28800</v>
      </c>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1"/>
      <c r="CS20" s="1"/>
      <c r="CT20" s="1"/>
      <c r="CU20" s="1"/>
    </row>
    <row r="21" spans="1:99" s="13" customFormat="1" ht="12" customHeight="1" x14ac:dyDescent="0.2">
      <c r="A21" s="68">
        <v>43509</v>
      </c>
      <c r="B21" s="70" t="s">
        <v>257</v>
      </c>
      <c r="C21" s="70" t="s">
        <v>86</v>
      </c>
      <c r="D21" s="69">
        <v>1932</v>
      </c>
      <c r="E21" s="87">
        <v>1</v>
      </c>
      <c r="F21" s="69">
        <v>2</v>
      </c>
      <c r="G21" s="69">
        <v>2</v>
      </c>
      <c r="H21" s="69" t="s">
        <v>41</v>
      </c>
      <c r="I21" s="69" t="s">
        <v>621</v>
      </c>
      <c r="J21" s="69" t="s">
        <v>281</v>
      </c>
      <c r="K21" s="69">
        <f>IF(J21="syllables",1,IF(J21="trigrams",2,IF(J21="strings",3,IF(J21="visual array",4,IF(J21="characters",5,IF(J21="letters",6,IF(J21="free forms",7,IF(J21="odors",8,IF(J21="words",9,IF(J21="pictures",10,IF(J21="object pictures",11,IF(J21="faces",12,IF(J21="names",13,IF(J21="idioms",14,IF(J21="grades",15,IF(J21="syllable-digit pairs",16,IF(J21="trigram-word pairs",17,IF(J21="word-digit pairs",18,IF(J21="English-Swahili pairs",19,IF(J21="spatial position",20,IF(J21="word pairs",21,IF(J21="word triads",22,IF(J21="generated words",23,IF(J21="word definition pairs",24,IF(J21="math problems",25,IF(J21="famous faces",26,IF(J21="famous names",27,IF(J21="famous voices",28,IF(J21="television programs",29,IF(J21="race horses",30,IF(J21="new vocabulary",31,IF(J21="sentences",32,IF(J21="concepts",33,IF(J21="ad slides",34,IF(J21="scenes",35,IF(J21="famous scenes",36,IF(J21="poems",37,IF(J21="walk",38,IF(J21="faces and events",39,IF(J21="events and names",40,IF(J21="flashbulb",41,IF(J21="stories",42,IF(J21="course material",43,IF(J21="autobiographical",44,IF(J21="novels",45,IF(J21="public events",46,"99"))))))))))))))))))))))))))))))))))))))))))))))</f>
        <v>1</v>
      </c>
      <c r="L21" s="69">
        <f>IF(J21="syllables",1,IF(J21="trigrams",1,IF(J21="strings",1,IF(J21="visual array",1,IF(J21="characters",1,IF(J21="letters",1,IF(J21="free forms",1,IF(J21="odors",2,IF(J21="words",2,IF(J21="pictures",2,IF(J21="object pictures",2,IF(J21="faces",2,IF(J21="names",2,IF(J21="idioms","2",IF(J21="grades",2,IF(J21="syllable-digit pairs",3,IF(J21="trigram-word pairs",3,IF(J21="word-digit pairs",3,IF(J21="English-Swahili pairs",3,IF(J21="spatial position",3,IF(J21="word pairs",4,IF(J21="word triads",4,IF(J21="generated words",4,IF(J21="word definition pairs",4,IF(J21="math problems",4,IF(J21="famous faces",4,IF(J21="famous names",4,IF(J21="famous voices",4,IF(J21="television programs",4,IF(J21="race horses",4,IF(J21="new vocabulary",4,IF(J21="sentences",5,IF(J21="concepts",5,IF(J21="ad slides",5,IF(J21="scenes",5,IF(J21="famous scenes",5,IF(J21="poems",6,IF(J21="walk",6,IF(J21="faces and events",6,IF(J21="events and names",6,IF(J21="flashbulb",7,IF(J21="stories",7,IF(J21="course material",7,IF(J21="autobiographical",7,IF(J21="novels",7,IF(J21="public events",7,"99"))))))))))))))))))))))))))))))))))))))))))))))</f>
        <v>1</v>
      </c>
      <c r="M21" s="69">
        <v>1</v>
      </c>
      <c r="N21" s="69">
        <v>2</v>
      </c>
      <c r="O21" s="69">
        <v>0</v>
      </c>
      <c r="P21" s="69"/>
      <c r="Q21" s="69" t="s">
        <v>87</v>
      </c>
      <c r="R21" s="69">
        <f>IF(Q21="Free Recall",1,IF(Q21="Cued Recall",2,IF(Q21="Recognition",3,IF(Q21="Multiple Choice",4,IF(Q21="Savings",5,IF(Q21="Stem Completion",6,IF(Q21="Fragment Completion",7,IF(Q21="anagram solution",8,IF(Q21="Matching",9,IF(Q21="Problem Solving",10,"99"))))))))))</f>
        <v>5</v>
      </c>
      <c r="S21" s="69" t="s">
        <v>233</v>
      </c>
      <c r="T21" s="92" t="s">
        <v>581</v>
      </c>
      <c r="U21" s="60">
        <f>IF(T21="within",1,0)</f>
        <v>1</v>
      </c>
      <c r="V21" s="92">
        <v>120</v>
      </c>
      <c r="W21" s="69">
        <f>F21*V21</f>
        <v>240</v>
      </c>
      <c r="X21" s="69">
        <v>5</v>
      </c>
      <c r="Y21" s="87">
        <f>AV20</f>
        <v>30</v>
      </c>
      <c r="Z21" s="69" t="s">
        <v>85</v>
      </c>
      <c r="AA21" s="69">
        <v>28800</v>
      </c>
      <c r="AB21" s="69" t="str">
        <f>IF(AA21&lt;60,"1",IF(AA21&lt;=43200,"2",IF(AA21&lt;=777600,"3","4")))</f>
        <v>2</v>
      </c>
      <c r="AC21" s="72">
        <f>AVERAGE(AV20:DA20)</f>
        <v>10806</v>
      </c>
      <c r="AD21" s="69" t="str">
        <f>IF(AC21&lt;60,"1",IF(AC21&lt;=43200,"2",IF(AC21&lt;=777600,"3","4")))</f>
        <v>2</v>
      </c>
      <c r="AE21" s="87">
        <f>AA21-Y21</f>
        <v>28770</v>
      </c>
      <c r="AF21" s="88">
        <f>AV21</f>
        <v>1</v>
      </c>
      <c r="AG21" s="72">
        <f>((AW21-AV21)+(AX21-AW21)+(AY21-AX21)+(AZ21-AY21))/4</f>
        <v>-0.19025000000000003</v>
      </c>
      <c r="AH21" s="4"/>
      <c r="AI21" s="72">
        <f>RSQ(AV21:AZ21,AV20:AZ20)</f>
        <v>0.51934222819785003</v>
      </c>
      <c r="AJ21" s="110">
        <f>SLOPE(AV21:AZ21,AV20:AZ20)</f>
        <v>-1.8958926956482239E-5</v>
      </c>
      <c r="AK21" s="72">
        <f>INTERCEPT(AV21:AZ21,AV20:AZ20)</f>
        <v>0.68607016469174709</v>
      </c>
      <c r="AL21" s="72">
        <f>INDEX(LINEST(LN(AV21:AZ21),LN(AV20:AZ20),TRUE,TRUE),3,1)</f>
        <v>0.96725440924063455</v>
      </c>
      <c r="AM21" s="72">
        <f>INDEX(LINEST(LN(AV21:AZ21),LN(AV20:AZ20)),1)</f>
        <v>-0.19168140517604182</v>
      </c>
      <c r="AN21" s="72">
        <f>EXP(INDEX(LINEST(LN(AV21:AZ21),LN(AV20:AZ20)),1,2))</f>
        <v>1.9926064274805224</v>
      </c>
      <c r="AO21" s="89">
        <f>INDEX(LINEST((AV21:AZ21),LN(AV20:AZ20),TRUE,TRUE),3,1)</f>
        <v>0.99595098541540372</v>
      </c>
      <c r="AP21" s="89">
        <f>INDEX(LINEST((AV21:AZ21),LN(AV20:AZ20)),1)</f>
        <v>-0.10986531879538895</v>
      </c>
      <c r="AQ21" s="90">
        <f>INDEX(LINEST(LN(AV21:AZ21),SQRT(AV20:AZ20),TRUE,TRUE),3,1)</f>
        <v>0.91508868800724119</v>
      </c>
      <c r="AR21" s="117">
        <f>INDEX(LINEST(LN(AV21:AZ21),SQRT((AV20:AZ20))),1)</f>
        <v>-8.1950040276132213E-3</v>
      </c>
      <c r="AS21" s="91">
        <f>INDEX(LINEST(1/(AV21:AZ21),1/(SQRT(AV20:AZ20)),TRUE,TRUE),3,1)</f>
        <v>0.64653260927973621</v>
      </c>
      <c r="AT21" s="91">
        <f>INDEX(LINEST(1/(AV21:AZ21),1/SQRT(AV20:AZ20)),1)</f>
        <v>-12.011751054556491</v>
      </c>
      <c r="AU21" s="3"/>
      <c r="AV21" s="73">
        <v>1</v>
      </c>
      <c r="AW21" s="73">
        <v>0.441</v>
      </c>
      <c r="AX21" s="73">
        <v>0.38500000000000001</v>
      </c>
      <c r="AY21" s="73">
        <v>0.34100000000000003</v>
      </c>
      <c r="AZ21" s="73">
        <v>0.23899999999999999</v>
      </c>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1"/>
      <c r="CS21" s="1"/>
      <c r="CT21" s="1"/>
      <c r="CU21" s="1"/>
    </row>
    <row r="22" spans="1:99" s="13" customFormat="1" ht="12" customHeight="1" x14ac:dyDescent="0.2">
      <c r="A22" s="65">
        <v>43509</v>
      </c>
      <c r="B22" s="1"/>
      <c r="C22" s="1"/>
      <c r="D22" s="60"/>
      <c r="E22" s="76"/>
      <c r="F22" s="60"/>
      <c r="G22" s="60"/>
      <c r="H22" s="60"/>
      <c r="I22" s="60"/>
      <c r="J22" s="60"/>
      <c r="K22" s="64"/>
      <c r="L22" s="64"/>
      <c r="M22" s="60"/>
      <c r="N22" s="60"/>
      <c r="O22" s="60"/>
      <c r="P22" s="60"/>
      <c r="Q22" s="60"/>
      <c r="R22" s="60"/>
      <c r="S22" s="60"/>
      <c r="T22" s="59"/>
      <c r="U22" s="60"/>
      <c r="V22" s="59"/>
      <c r="W22" s="60"/>
      <c r="X22" s="60"/>
      <c r="Y22" s="76"/>
      <c r="Z22" s="60"/>
      <c r="AA22" s="60"/>
      <c r="AB22" s="60"/>
      <c r="AC22" s="60"/>
      <c r="AD22" s="60"/>
      <c r="AE22" s="60"/>
      <c r="AF22" s="80"/>
      <c r="AG22" s="56"/>
      <c r="AH22" s="4"/>
      <c r="AI22" s="82"/>
      <c r="AJ22" s="115"/>
      <c r="AK22" s="82"/>
      <c r="AL22" s="82"/>
      <c r="AM22" s="82"/>
      <c r="AN22" s="82"/>
      <c r="AO22" s="82"/>
      <c r="AP22" s="56"/>
      <c r="AQ22" s="56"/>
      <c r="AR22" s="109"/>
      <c r="AS22" s="56"/>
      <c r="AT22" s="56"/>
      <c r="AU22" s="4"/>
      <c r="AV22" s="26">
        <v>6</v>
      </c>
      <c r="AW22" s="26">
        <f>10*60</f>
        <v>600</v>
      </c>
      <c r="AX22" s="26">
        <f>20*60</f>
        <v>1200</v>
      </c>
      <c r="AY22" s="26">
        <f>40*60</f>
        <v>2400</v>
      </c>
      <c r="AZ22" s="26">
        <f>60*60</f>
        <v>3600</v>
      </c>
      <c r="BA22" s="16"/>
      <c r="BB22" s="1"/>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1"/>
      <c r="CS22" s="1"/>
      <c r="CT22" s="1"/>
      <c r="CU22" s="1"/>
    </row>
    <row r="23" spans="1:99" s="13" customFormat="1" ht="12" customHeight="1" x14ac:dyDescent="0.2">
      <c r="A23" s="65">
        <v>43509</v>
      </c>
      <c r="B23" s="1" t="s">
        <v>296</v>
      </c>
      <c r="C23" s="1" t="s">
        <v>288</v>
      </c>
      <c r="D23" s="60">
        <v>1941</v>
      </c>
      <c r="E23" s="76">
        <v>1</v>
      </c>
      <c r="F23" s="60">
        <v>15</v>
      </c>
      <c r="G23" s="60">
        <v>15</v>
      </c>
      <c r="H23" s="60" t="s">
        <v>22</v>
      </c>
      <c r="I23" s="60" t="s">
        <v>862</v>
      </c>
      <c r="J23" s="60" t="s">
        <v>281</v>
      </c>
      <c r="K23" s="60">
        <f>IF(J23="syllables",1,IF(J23="trigrams",2,IF(J23="strings",3,IF(J23="visual array",4,IF(J23="characters",5,IF(J23="letters",6,IF(J23="free forms",7,IF(J23="odors",8,IF(J23="words",9,IF(J23="pictures",10,IF(J23="object pictures",11,IF(J23="faces",12,IF(J23="names",13,IF(J23="idioms",14,IF(J23="grades",15,IF(J23="syllable-digit pairs",16,IF(J23="trigram-word pairs",17,IF(J23="word-digit pairs",18,IF(J23="English-Swahili pairs",19,IF(J23="spatial position",20,IF(J23="word pairs",21,IF(J23="word triads",22,IF(J23="generated words",23,IF(J23="word definition pairs",24,IF(J23="math problems",25,IF(J23="famous faces",26,IF(J23="famous names",27,IF(J23="famous voices",28,IF(J23="television programs",29,IF(J23="race horses",30,IF(J23="new vocabulary",31,IF(J23="sentences",32,IF(J23="concepts",33,IF(J23="ad slides",34,IF(J23="scenes",35,IF(J23="famous scenes",36,IF(J23="poems",37,IF(J23="walk",38,IF(J23="faces and events",39,IF(J23="events and names",40,IF(J23="flashbulb",41,IF(J23="stories",42,IF(J23="course material",43,IF(J23="autobiographical",44,IF(J23="novels",45,IF(J23="public events",46,"99"))))))))))))))))))))))))))))))))))))))))))))))</f>
        <v>1</v>
      </c>
      <c r="L23" s="60">
        <f>IF(J23="syllables",1,IF(J23="trigrams",1,IF(J23="strings",1,IF(J23="visual array",1,IF(J23="characters",1,IF(J23="letters",1,IF(J23="free forms",1,IF(J23="odors",2,IF(J23="words",2,IF(J23="pictures",2,IF(J23="object pictures",2,IF(J23="faces",2,IF(J23="names",2,IF(J23="idioms","2",IF(J23="grades",2,IF(J23="syllable-digit pairs",3,IF(J23="trigram-word pairs",3,IF(J23="word-digit pairs",3,IF(J23="English-Swahili pairs",3,IF(J23="spatial position",3,IF(J23="word pairs",4,IF(J23="word triads",4,IF(J23="generated words",4,IF(J23="word definition pairs",4,IF(J23="math problems",4,IF(J23="famous faces",4,IF(J23="famous names",4,IF(J23="famous voices",4,IF(J23="television programs",4,IF(J23="race horses",4,IF(J23="new vocabulary",4,IF(J23="sentences",5,IF(J23="concepts",5,IF(J23="ad slides",5,IF(J23="scenes",5,IF(J23="famous scenes",5,IF(J23="poems",6,IF(J23="walk",6,IF(J23="faces and events",6,IF(J23="events and names",6,IF(J23="flashbulb",7,IF(J23="stories",7,IF(J23="course material",7,IF(J23="autobiographical",7,IF(J23="novels",7,IF(J23="public events",7,"99"))))))))))))))))))))))))))))))))))))))))))))))</f>
        <v>1</v>
      </c>
      <c r="M23" s="60">
        <v>1</v>
      </c>
      <c r="N23" s="60">
        <v>2</v>
      </c>
      <c r="O23" s="60">
        <v>1</v>
      </c>
      <c r="P23" s="60" t="s">
        <v>293</v>
      </c>
      <c r="Q23" s="60" t="s">
        <v>174</v>
      </c>
      <c r="R23" s="60">
        <f>IF(Q23="Free Recall",1,IF(Q23="Cued Recall",2,IF(Q23="Recognition",3,IF(Q23="Multiple Choice",4,IF(Q23="Savings",5,IF(Q23="Stem Completion",6,IF(Q23="Fragment Completion",7,IF(Q23="anagram solution",8,IF(Q23="Matching",9,IF(Q23="Problem Solving",10,"99"))))))))))</f>
        <v>1</v>
      </c>
      <c r="S23" s="60" t="s">
        <v>295</v>
      </c>
      <c r="T23" s="59" t="s">
        <v>581</v>
      </c>
      <c r="U23" s="60">
        <f>IF(T23="within",1,0)</f>
        <v>1</v>
      </c>
      <c r="V23" s="59">
        <v>12</v>
      </c>
      <c r="W23" s="60">
        <f>F23*V23</f>
        <v>180</v>
      </c>
      <c r="X23" s="60">
        <v>5</v>
      </c>
      <c r="Y23" s="76">
        <f>AV22</f>
        <v>6</v>
      </c>
      <c r="Z23" s="60" t="s">
        <v>294</v>
      </c>
      <c r="AA23" s="61">
        <f>60*60</f>
        <v>3600</v>
      </c>
      <c r="AB23" s="60" t="str">
        <f>IF(AA23&lt;60,"1",IF(AA23&lt;=43200,"2",IF(AA23&lt;=777600,"3","4")))</f>
        <v>2</v>
      </c>
      <c r="AC23" s="56">
        <f t="shared" ref="AC23" si="0">AVERAGE(AV22:DA22)</f>
        <v>1561.2</v>
      </c>
      <c r="AD23" s="60" t="str">
        <f>IF(AC23&lt;60,"1",IF(AC23&lt;=43200,"2",IF(AC23&lt;=777600,"3","4")))</f>
        <v>2</v>
      </c>
      <c r="AE23" s="76">
        <f>AA23-Y23</f>
        <v>3594</v>
      </c>
      <c r="AF23" s="80">
        <f>AV23</f>
        <v>0.69916666666666671</v>
      </c>
      <c r="AG23" s="56">
        <f>((AW23-AV23)+(AX23-AW23)+(AY23-AX23)+(AZ23-AY23))/4</f>
        <v>-8.9375000000000024E-2</v>
      </c>
      <c r="AH23" s="4"/>
      <c r="AI23" s="56">
        <f>RSQ(AV23:AZ23,AV22:AZ22)</f>
        <v>0.60241335358575809</v>
      </c>
      <c r="AJ23" s="109">
        <f>SLOPE(AV23:AZ23,AV22:AZ22)</f>
        <v>-7.5233981488841524E-5</v>
      </c>
      <c r="AK23" s="56">
        <f>INTERCEPT(AV23:AZ23,AV22:AZ22)</f>
        <v>0.57462195856704612</v>
      </c>
      <c r="AL23" s="56">
        <f>INDEX(LINEST(LN(AV23:AZ23),LN(AV22:AZ22),TRUE,TRUE),3,1)</f>
        <v>0.96745072875362481</v>
      </c>
      <c r="AM23" s="56">
        <f>INDEX(LINEST(LN(AV23:AZ23),LN(AV22:AZ22)),1)</f>
        <v>-0.10339978263300202</v>
      </c>
      <c r="AN23" s="56">
        <f>EXP(INDEX(LINEST(LN(AV23:AZ23),LN(AV22:AZ22)),1,2))</f>
        <v>0.84501004616714237</v>
      </c>
      <c r="AO23" s="82">
        <f>INDEX(LINEST((AV23:AZ23),LN(AV22:AZ22),TRUE,TRUE),3,1)</f>
        <v>0.98069490695211914</v>
      </c>
      <c r="AP23" s="82">
        <f>INDEX(LINEST((AV23:AZ23),LN(AV22:AZ22)),1)</f>
        <v>-5.3614843143373551E-2</v>
      </c>
      <c r="AQ23" s="83">
        <f t="shared" ref="AQ23" si="1">INDEX(LINEST(LN(AV23:AZ23),SQRT(AV22:AZ22),TRUE,TRUE),3,1)</f>
        <v>0.87513608671017884</v>
      </c>
      <c r="AR23" s="116">
        <f t="shared" ref="AR23" si="2">INDEX(LINEST(LN(AV23:AZ23),SQRT((AV22:AZ22))),1)</f>
        <v>-1.140305194102547E-2</v>
      </c>
      <c r="AS23" s="84">
        <f t="shared" ref="AS23" si="3">INDEX(LINEST(1/(AV23:AZ23),1/(SQRT(AV22:AZ22)),TRUE,TRUE),3,1)</f>
        <v>0.83982780555477865</v>
      </c>
      <c r="AT23" s="84">
        <f t="shared" ref="AT23" si="4">INDEX(LINEST(1/(AV23:AZ23),1/SQRT(AV22:AZ22)),1)</f>
        <v>-2.9670874246587711</v>
      </c>
      <c r="AU23" s="4"/>
      <c r="AV23" s="53">
        <f>8.39/12</f>
        <v>0.69916666666666671</v>
      </c>
      <c r="AW23" s="53">
        <f>5.07/12</f>
        <v>0.42250000000000004</v>
      </c>
      <c r="AX23" s="53">
        <f>5.2/12</f>
        <v>0.43333333333333335</v>
      </c>
      <c r="AY23" s="53">
        <f>4.67/12</f>
        <v>0.38916666666666666</v>
      </c>
      <c r="AZ23" s="53">
        <f>4.1/12</f>
        <v>0.34166666666666662</v>
      </c>
      <c r="BA23" s="16"/>
      <c r="BB23" s="1"/>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1"/>
      <c r="CS23" s="1"/>
      <c r="CT23" s="1"/>
      <c r="CU23" s="1"/>
    </row>
    <row r="24" spans="1:99" s="13" customFormat="1" ht="12" customHeight="1" x14ac:dyDescent="0.2">
      <c r="A24" s="65">
        <v>43509</v>
      </c>
      <c r="B24" s="1"/>
      <c r="C24" s="1"/>
      <c r="D24" s="60"/>
      <c r="E24" s="76"/>
      <c r="F24" s="60"/>
      <c r="G24" s="60"/>
      <c r="H24" s="60"/>
      <c r="I24" s="60"/>
      <c r="J24" s="60"/>
      <c r="K24" s="64"/>
      <c r="L24" s="64"/>
      <c r="M24" s="60"/>
      <c r="N24" s="60"/>
      <c r="O24" s="60"/>
      <c r="P24" s="60"/>
      <c r="Q24" s="60"/>
      <c r="R24" s="60"/>
      <c r="S24" s="60"/>
      <c r="T24" s="59"/>
      <c r="U24" s="60"/>
      <c r="V24" s="59"/>
      <c r="W24" s="60"/>
      <c r="X24" s="60"/>
      <c r="Y24" s="76"/>
      <c r="Z24" s="60"/>
      <c r="AA24" s="60"/>
      <c r="AB24" s="60"/>
      <c r="AC24" s="60"/>
      <c r="AD24" s="60"/>
      <c r="AE24" s="60"/>
      <c r="AF24" s="80"/>
      <c r="AG24" s="56"/>
      <c r="AH24" s="4"/>
      <c r="AI24" s="82"/>
      <c r="AJ24" s="115"/>
      <c r="AK24" s="82"/>
      <c r="AL24" s="82"/>
      <c r="AM24" s="82"/>
      <c r="AN24" s="82"/>
      <c r="AO24" s="82"/>
      <c r="AP24" s="56"/>
      <c r="AQ24" s="56"/>
      <c r="AR24" s="109"/>
      <c r="AS24" s="56"/>
      <c r="AT24" s="56"/>
      <c r="AU24" s="4"/>
      <c r="AV24" s="26">
        <v>6</v>
      </c>
      <c r="AW24" s="26">
        <f>10*60</f>
        <v>600</v>
      </c>
      <c r="AX24" s="26">
        <f>20*60</f>
        <v>1200</v>
      </c>
      <c r="AY24" s="26">
        <f>40*60</f>
        <v>2400</v>
      </c>
      <c r="AZ24" s="26">
        <f>60*60</f>
        <v>3600</v>
      </c>
      <c r="BA24" s="16"/>
      <c r="BB24" s="1"/>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1"/>
      <c r="CS24" s="1"/>
      <c r="CT24" s="1"/>
      <c r="CU24" s="1"/>
    </row>
    <row r="25" spans="1:99" s="13" customFormat="1" ht="12" customHeight="1" x14ac:dyDescent="0.2">
      <c r="A25" s="65">
        <v>43509</v>
      </c>
      <c r="B25" s="1" t="s">
        <v>296</v>
      </c>
      <c r="C25" s="1" t="s">
        <v>288</v>
      </c>
      <c r="D25" s="60">
        <v>1941</v>
      </c>
      <c r="E25" s="76">
        <v>1</v>
      </c>
      <c r="F25" s="60">
        <v>15</v>
      </c>
      <c r="G25" s="60">
        <v>15</v>
      </c>
      <c r="H25" s="60" t="s">
        <v>22</v>
      </c>
      <c r="I25" s="60" t="s">
        <v>863</v>
      </c>
      <c r="J25" s="60" t="s">
        <v>281</v>
      </c>
      <c r="K25" s="60">
        <f>IF(J25="syllables",1,IF(J25="trigrams",2,IF(J25="strings",3,IF(J25="visual array",4,IF(J25="characters",5,IF(J25="letters",6,IF(J25="free forms",7,IF(J25="odors",8,IF(J25="words",9,IF(J25="pictures",10,IF(J25="object pictures",11,IF(J25="faces",12,IF(J25="names",13,IF(J25="idioms",14,IF(J25="grades",15,IF(J25="syllable-digit pairs",16,IF(J25="trigram-word pairs",17,IF(J25="word-digit pairs",18,IF(J25="English-Swahili pairs",19,IF(J25="spatial position",20,IF(J25="word pairs",21,IF(J25="word triads",22,IF(J25="generated words",23,IF(J25="word definition pairs",24,IF(J25="math problems",25,IF(J25="famous faces",26,IF(J25="famous names",27,IF(J25="famous voices",28,IF(J25="television programs",29,IF(J25="race horses",30,IF(J25="new vocabulary",31,IF(J25="sentences",32,IF(J25="concepts",33,IF(J25="ad slides",34,IF(J25="scenes",35,IF(J25="famous scenes",36,IF(J25="poems",37,IF(J25="walk",38,IF(J25="faces and events",39,IF(J25="events and names",40,IF(J25="flashbulb",41,IF(J25="stories",42,IF(J25="course material",43,IF(J25="autobiographical",44,IF(J25="novels",45,IF(J25="public events",46,"99"))))))))))))))))))))))))))))))))))))))))))))))</f>
        <v>1</v>
      </c>
      <c r="L25" s="60">
        <f>IF(J25="syllables",1,IF(J25="trigrams",1,IF(J25="strings",1,IF(J25="visual array",1,IF(J25="characters",1,IF(J25="letters",1,IF(J25="free forms",1,IF(J25="odors",2,IF(J25="words",2,IF(J25="pictures",2,IF(J25="object pictures",2,IF(J25="faces",2,IF(J25="names",2,IF(J25="idioms","2",IF(J25="grades",2,IF(J25="syllable-digit pairs",3,IF(J25="trigram-word pairs",3,IF(J25="word-digit pairs",3,IF(J25="English-Swahili pairs",3,IF(J25="spatial position",3,IF(J25="word pairs",4,IF(J25="word triads",4,IF(J25="generated words",4,IF(J25="word definition pairs",4,IF(J25="math problems",4,IF(J25="famous faces",4,IF(J25="famous names",4,IF(J25="famous voices",4,IF(J25="television programs",4,IF(J25="race horses",4,IF(J25="new vocabulary",4,IF(J25="sentences",5,IF(J25="concepts",5,IF(J25="ad slides",5,IF(J25="scenes",5,IF(J25="famous scenes",5,IF(J25="poems",6,IF(J25="walk",6,IF(J25="faces and events",6,IF(J25="events and names",6,IF(J25="flashbulb",7,IF(J25="stories",7,IF(J25="course material",7,IF(J25="autobiographical",7,IF(J25="novels",7,IF(J25="public events",7,"99"))))))))))))))))))))))))))))))))))))))))))))))</f>
        <v>1</v>
      </c>
      <c r="M25" s="60">
        <v>1</v>
      </c>
      <c r="N25" s="60">
        <v>2</v>
      </c>
      <c r="O25" s="60">
        <v>1</v>
      </c>
      <c r="P25" s="60" t="s">
        <v>293</v>
      </c>
      <c r="Q25" s="60" t="s">
        <v>174</v>
      </c>
      <c r="R25" s="60">
        <f>IF(Q25="Free Recall",1,IF(Q25="Cued Recall",2,IF(Q25="Recognition",3,IF(Q25="Multiple Choice",4,IF(Q25="Savings",5,IF(Q25="Stem Completion",6,IF(Q25="Fragment Completion",7,IF(Q25="anagram solution",8,IF(Q25="Matching",9,IF(Q25="Problem Solving",10,"99"))))))))))</f>
        <v>1</v>
      </c>
      <c r="S25" s="60" t="s">
        <v>295</v>
      </c>
      <c r="T25" s="59" t="s">
        <v>581</v>
      </c>
      <c r="U25" s="60">
        <f>IF(T25="within",1,0)</f>
        <v>1</v>
      </c>
      <c r="V25" s="59">
        <v>12</v>
      </c>
      <c r="W25" s="60">
        <f>F25*V25</f>
        <v>180</v>
      </c>
      <c r="X25" s="60">
        <v>5</v>
      </c>
      <c r="Y25" s="76">
        <f>AV24</f>
        <v>6</v>
      </c>
      <c r="Z25" s="60" t="s">
        <v>294</v>
      </c>
      <c r="AA25" s="61">
        <f>60*60</f>
        <v>3600</v>
      </c>
      <c r="AB25" s="60" t="str">
        <f>IF(AA25&lt;60,"1",IF(AA25&lt;=43200,"2",IF(AA25&lt;=777600,"3","4")))</f>
        <v>2</v>
      </c>
      <c r="AC25" s="56">
        <f t="shared" ref="AC25" si="5">AVERAGE(AV24:DA24)</f>
        <v>1561.2</v>
      </c>
      <c r="AD25" s="60" t="str">
        <f>IF(AC25&lt;60,"1",IF(AC25&lt;=43200,"2",IF(AC25&lt;=777600,"3","4")))</f>
        <v>2</v>
      </c>
      <c r="AE25" s="76">
        <f>AA25-Y25</f>
        <v>3594</v>
      </c>
      <c r="AF25" s="80">
        <f>AV25</f>
        <v>0.53749999999999998</v>
      </c>
      <c r="AG25" s="56">
        <f>((AW25-AV25)+(AX25-AW25)+(AY25-AX25)+(AZ25-AY25))/4</f>
        <v>-6.0833333333333336E-2</v>
      </c>
      <c r="AH25" s="4"/>
      <c r="AI25" s="56">
        <f>RSQ(AV25:AZ25,AV24:AZ24)</f>
        <v>0.60596503771057841</v>
      </c>
      <c r="AJ25" s="109">
        <f>SLOPE(AV25:AZ25,AV24:AZ24)</f>
        <v>-5.4343719987911641E-5</v>
      </c>
      <c r="AK25" s="56">
        <f>INTERCEPT(AV25:AZ25,AV24:AZ24)</f>
        <v>0.44950808231179434</v>
      </c>
      <c r="AL25" s="56">
        <f>INDEX(LINEST(LN(AV25:AZ25),LN(AV24:AZ24),TRUE,TRUE),3,1)</f>
        <v>0.96749036069185634</v>
      </c>
      <c r="AM25" s="56">
        <f>INDEX(LINEST(LN(AV25:AZ25),LN(AV24:AZ24)),1)</f>
        <v>-9.4491566824757581E-2</v>
      </c>
      <c r="AN25" s="56">
        <f>EXP(INDEX(LINEST(LN(AV25:AZ25),LN(AV24:AZ24)),1,2))</f>
        <v>0.64103596022095855</v>
      </c>
      <c r="AO25" s="82">
        <f>INDEX(LINEST((AV25:AZ25),LN(AV24:AZ24),TRUE,TRUE),3,1)</f>
        <v>0.98146286604672761</v>
      </c>
      <c r="AP25" s="82">
        <f>INDEX(LINEST((AV25:AZ25),LN(AV24:AZ24)),1)</f>
        <v>-3.8629033784316091E-2</v>
      </c>
      <c r="AQ25" s="83">
        <f t="shared" ref="AQ25" si="6">INDEX(LINEST(LN(AV25:AZ25),SQRT(AV24:AZ24),TRUE,TRUE),3,1)</f>
        <v>0.87670952420979731</v>
      </c>
      <c r="AR25" s="116">
        <f t="shared" ref="AR25" si="7">INDEX(LINEST(LN(AV25:AZ25),SQRT((AV24:AZ24))),1)</f>
        <v>-1.0429793209391225E-2</v>
      </c>
      <c r="AS25" s="84">
        <f t="shared" ref="AS25" si="8">INDEX(LINEST(1/(AV25:AZ25),1/(SQRT(AV24:AZ24)),TRUE,TRUE),3,1)</f>
        <v>0.84128764631529407</v>
      </c>
      <c r="AT25" s="84">
        <f t="shared" ref="AT25" si="9">INDEX(LINEST(1/(AV25:AZ25),1/SQRT(AV24:AZ24)),1)</f>
        <v>-3.4073636210414557</v>
      </c>
      <c r="AU25" s="4"/>
      <c r="AV25" s="53">
        <f>6.45/12</f>
        <v>0.53749999999999998</v>
      </c>
      <c r="AW25" s="53">
        <f>4.17/12</f>
        <v>0.34749999999999998</v>
      </c>
      <c r="AX25" s="53">
        <f>4.23/12</f>
        <v>0.35250000000000004</v>
      </c>
      <c r="AY25" s="53">
        <f>3.5/12</f>
        <v>0.29166666666666669</v>
      </c>
      <c r="AZ25" s="53">
        <f>3.53/12</f>
        <v>0.29416666666666663</v>
      </c>
      <c r="BA25" s="16"/>
      <c r="BB25" s="1"/>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1"/>
      <c r="CS25" s="1"/>
      <c r="CT25" s="1"/>
      <c r="CU25" s="1"/>
    </row>
    <row r="26" spans="1:99" ht="12" customHeight="1" x14ac:dyDescent="0.2">
      <c r="K26" s="60"/>
      <c r="L26" s="60"/>
      <c r="R26" s="60"/>
      <c r="W26" s="60"/>
      <c r="Y26" s="76"/>
      <c r="AB26" s="60"/>
      <c r="AE26" s="76"/>
      <c r="AF26" s="80"/>
    </row>
    <row r="27" spans="1:99" ht="12" customHeight="1" x14ac:dyDescent="0.2">
      <c r="R27" s="60"/>
      <c r="W27" s="60"/>
      <c r="Y27" s="76"/>
      <c r="AB27" s="60"/>
      <c r="AE27" s="60"/>
      <c r="AF27" s="80"/>
      <c r="AL27" s="167" t="s">
        <v>695</v>
      </c>
      <c r="AM27" s="57">
        <f>AVERAGE(AM3:AM25)</f>
        <v>-0.117902327309151</v>
      </c>
    </row>
    <row r="28" spans="1:99" ht="12" customHeight="1" x14ac:dyDescent="0.2">
      <c r="K28" s="60"/>
      <c r="L28" s="60"/>
      <c r="R28" s="60"/>
      <c r="W28" s="60"/>
      <c r="Y28" s="76"/>
      <c r="AB28" s="60"/>
      <c r="AE28" s="76"/>
      <c r="AF28" s="80"/>
      <c r="AL28" s="45" t="s">
        <v>1026</v>
      </c>
      <c r="AM28" s="57">
        <f>MEDIAN(AM3:AM25)</f>
        <v>-0.10083445949034781</v>
      </c>
    </row>
    <row r="29" spans="1:99" ht="12" customHeight="1" x14ac:dyDescent="0.2">
      <c r="R29" s="60"/>
      <c r="W29" s="60"/>
      <c r="Y29" s="76"/>
      <c r="AB29" s="60"/>
      <c r="AE29" s="60"/>
      <c r="AF29" s="80"/>
      <c r="AL29" s="167" t="s">
        <v>918</v>
      </c>
      <c r="AM29" s="57">
        <f>MIN(AM3:AM25)</f>
        <v>-0.29160475075341569</v>
      </c>
    </row>
    <row r="30" spans="1:99" ht="12" customHeight="1" x14ac:dyDescent="0.2">
      <c r="K30" s="60"/>
      <c r="L30" s="60"/>
      <c r="R30" s="60"/>
      <c r="W30" s="60"/>
      <c r="Y30" s="76"/>
      <c r="AB30" s="60"/>
      <c r="AE30" s="76"/>
      <c r="AF30" s="80"/>
      <c r="AL30" s="167" t="s">
        <v>917</v>
      </c>
      <c r="AM30" s="57">
        <f>MAX(AM3:AM25)</f>
        <v>-7.4003112899792538E-3</v>
      </c>
    </row>
    <row r="31" spans="1:99" ht="12" customHeight="1" x14ac:dyDescent="0.2">
      <c r="R31" s="60"/>
      <c r="W31" s="60"/>
      <c r="Y31" s="76"/>
      <c r="AB31" s="60"/>
      <c r="AE31" s="60"/>
      <c r="AF31" s="80"/>
      <c r="AL31" s="167" t="s">
        <v>919</v>
      </c>
      <c r="AM31" s="64">
        <f xml:space="preserve"> STDEV(AM3:AM25)</f>
        <v>8.2727771604737405E-2</v>
      </c>
    </row>
    <row r="32" spans="1:99" ht="12" customHeight="1" x14ac:dyDescent="0.2">
      <c r="K32" s="60"/>
      <c r="L32" s="60"/>
      <c r="R32" s="60"/>
      <c r="W32" s="60"/>
      <c r="Y32" s="76"/>
      <c r="AB32" s="60"/>
      <c r="AE32" s="76"/>
      <c r="AF32" s="80"/>
      <c r="AL32" s="45" t="s">
        <v>1025</v>
      </c>
      <c r="AM32" s="64">
        <f xml:space="preserve"> STDEV(AM3:AM25)/SQRT(COUNT(AM3:AM25))</f>
        <v>2.388145060272651E-2</v>
      </c>
    </row>
    <row r="33" spans="11:39" ht="12" customHeight="1" x14ac:dyDescent="0.2">
      <c r="R33" s="60"/>
      <c r="W33" s="60"/>
      <c r="Y33" s="76"/>
      <c r="AB33" s="60"/>
      <c r="AE33" s="60"/>
      <c r="AF33" s="80"/>
      <c r="AL33" s="168"/>
      <c r="AM33" s="169"/>
    </row>
    <row r="34" spans="11:39" ht="12" customHeight="1" x14ac:dyDescent="0.2">
      <c r="K34" s="60"/>
      <c r="L34" s="60"/>
      <c r="R34" s="60"/>
      <c r="W34" s="60"/>
      <c r="Y34" s="76"/>
      <c r="AB34" s="60"/>
      <c r="AE34" s="76"/>
      <c r="AF34" s="80"/>
      <c r="AL34" s="168" t="s">
        <v>132</v>
      </c>
      <c r="AM34" s="169">
        <f>AM27-(3*AM31)</f>
        <v>-0.3660856421233632</v>
      </c>
    </row>
    <row r="35" spans="11:39" ht="12" customHeight="1" x14ac:dyDescent="0.2">
      <c r="R35" s="60"/>
      <c r="W35" s="60"/>
      <c r="Y35" s="76"/>
      <c r="AB35" s="60"/>
      <c r="AE35" s="60"/>
      <c r="AF35" s="80"/>
      <c r="AL35" s="168" t="s">
        <v>130</v>
      </c>
      <c r="AM35" s="169">
        <f>AM27+(3*AM31)</f>
        <v>0.13028098750506123</v>
      </c>
    </row>
    <row r="36" spans="11:39" ht="12" customHeight="1" x14ac:dyDescent="0.2">
      <c r="K36" s="60"/>
      <c r="L36" s="60"/>
      <c r="R36" s="60"/>
      <c r="W36" s="60"/>
      <c r="Y36" s="76"/>
      <c r="AB36" s="60"/>
      <c r="AE36" s="76"/>
      <c r="AF36" s="80"/>
    </row>
    <row r="37" spans="11:39" ht="12" customHeight="1" x14ac:dyDescent="0.2">
      <c r="R37" s="60"/>
      <c r="W37" s="60"/>
      <c r="Y37" s="76"/>
      <c r="AB37" s="60"/>
      <c r="AE37" s="60"/>
      <c r="AF37" s="80"/>
    </row>
    <row r="38" spans="11:39" ht="12" customHeight="1" x14ac:dyDescent="0.2">
      <c r="K38" s="60"/>
      <c r="L38" s="60"/>
      <c r="R38" s="60"/>
      <c r="W38" s="60"/>
      <c r="Y38" s="76"/>
      <c r="AB38" s="60"/>
      <c r="AE38" s="76"/>
      <c r="AF38" s="80"/>
    </row>
    <row r="39" spans="11:39" ht="12" customHeight="1" x14ac:dyDescent="0.2">
      <c r="W39" s="60"/>
      <c r="Y39" s="76"/>
      <c r="AB39" s="60"/>
      <c r="AE39" s="60"/>
      <c r="AF39" s="80"/>
    </row>
    <row r="40" spans="11:39" ht="12" customHeight="1" x14ac:dyDescent="0.2">
      <c r="K40" s="60"/>
      <c r="L40" s="60"/>
      <c r="W40" s="60"/>
      <c r="Y40" s="76"/>
      <c r="AE40" s="76"/>
      <c r="AF40" s="80"/>
    </row>
    <row r="41" spans="11:39" ht="12" customHeight="1" x14ac:dyDescent="0.2">
      <c r="W41" s="60"/>
      <c r="Y41" s="76"/>
      <c r="AE41" s="60"/>
      <c r="AF41" s="80"/>
    </row>
    <row r="42" spans="11:39" ht="12" customHeight="1" x14ac:dyDescent="0.2">
      <c r="K42" s="60"/>
      <c r="L42" s="60"/>
      <c r="W42" s="60"/>
      <c r="Y42" s="76"/>
      <c r="AE42" s="76"/>
      <c r="AF42" s="80"/>
    </row>
    <row r="43" spans="11:39" ht="12" customHeight="1" x14ac:dyDescent="0.2">
      <c r="W43" s="60"/>
      <c r="Y43" s="76"/>
      <c r="AE43" s="60"/>
      <c r="AF43" s="80"/>
    </row>
    <row r="44" spans="11:39" ht="12" customHeight="1" x14ac:dyDescent="0.2">
      <c r="K44" s="60"/>
      <c r="L44" s="60"/>
      <c r="W44" s="60"/>
      <c r="Y44" s="76"/>
      <c r="AE44" s="76"/>
      <c r="AF44" s="80"/>
    </row>
    <row r="45" spans="11:39" ht="12" customHeight="1" x14ac:dyDescent="0.2">
      <c r="W45" s="60"/>
      <c r="Y45" s="76"/>
      <c r="AE45" s="60"/>
      <c r="AF45" s="80"/>
    </row>
    <row r="46" spans="11:39" ht="12" customHeight="1" x14ac:dyDescent="0.2">
      <c r="K46" s="60"/>
      <c r="L46" s="60"/>
      <c r="W46" s="60"/>
      <c r="Y46" s="76"/>
      <c r="AE46" s="76"/>
      <c r="AF46" s="80"/>
    </row>
    <row r="48" spans="11:39" ht="12" customHeight="1" x14ac:dyDescent="0.2">
      <c r="K48" s="60"/>
      <c r="L48" s="60"/>
    </row>
  </sheetData>
  <conditionalFormatting sqref="AI25:AP25 AC2 AC4 AC6 AC8 AC14 AC16 AC18 AC20 AC22 AC24 AG2 AG4 AG8 AG6 AG16 AG14 AG20 AG18 AG24 AG22">
    <cfRule type="expression" dxfId="1696" priority="92">
      <formula>MOD(ROW(),2)=1</formula>
    </cfRule>
  </conditionalFormatting>
  <conditionalFormatting sqref="AI23:AP23">
    <cfRule type="expression" dxfId="1695" priority="91">
      <formula>MOD(ROW(),2)=1</formula>
    </cfRule>
  </conditionalFormatting>
  <conditionalFormatting sqref="AD4">
    <cfRule type="expression" dxfId="1694" priority="81">
      <formula>MOD(ROW(),2)=1</formula>
    </cfRule>
  </conditionalFormatting>
  <conditionalFormatting sqref="AD14 AD16">
    <cfRule type="expression" dxfId="1693" priority="79">
      <formula>MOD(ROW(),2)=1</formula>
    </cfRule>
  </conditionalFormatting>
  <conditionalFormatting sqref="AD18 AD20">
    <cfRule type="expression" dxfId="1692" priority="78">
      <formula>MOD(ROW(),2)=1</formula>
    </cfRule>
  </conditionalFormatting>
  <conditionalFormatting sqref="AD22 AD24">
    <cfRule type="expression" dxfId="1691" priority="77">
      <formula>MOD(ROW(),2)=1</formula>
    </cfRule>
  </conditionalFormatting>
  <conditionalFormatting sqref="Y4">
    <cfRule type="expression" dxfId="1690" priority="71">
      <formula>MOD(ROW(),2)=1</formula>
    </cfRule>
  </conditionalFormatting>
  <conditionalFormatting sqref="Y8">
    <cfRule type="expression" dxfId="1689" priority="69">
      <formula>MOD(ROW(),2)=1</formula>
    </cfRule>
  </conditionalFormatting>
  <conditionalFormatting sqref="Y14">
    <cfRule type="expression" dxfId="1688" priority="59">
      <formula>MOD(ROW(),2)=1</formula>
    </cfRule>
  </conditionalFormatting>
  <conditionalFormatting sqref="Y16">
    <cfRule type="expression" dxfId="1687" priority="58">
      <formula>MOD(ROW(),2)=1</formula>
    </cfRule>
  </conditionalFormatting>
  <conditionalFormatting sqref="Y20">
    <cfRule type="expression" dxfId="1686" priority="55">
      <formula>MOD(ROW(),2)=1</formula>
    </cfRule>
  </conditionalFormatting>
  <conditionalFormatting sqref="Y24">
    <cfRule type="expression" dxfId="1685" priority="53">
      <formula>MOD(ROW(),2)=1</formula>
    </cfRule>
  </conditionalFormatting>
  <conditionalFormatting sqref="Y29">
    <cfRule type="expression" dxfId="1684" priority="52">
      <formula>MOD(ROW(),2)=1</formula>
    </cfRule>
  </conditionalFormatting>
  <conditionalFormatting sqref="Y33">
    <cfRule type="expression" dxfId="1683" priority="51">
      <formula>MOD(ROW(),2)=1</formula>
    </cfRule>
  </conditionalFormatting>
  <conditionalFormatting sqref="Y37">
    <cfRule type="expression" dxfId="1682" priority="50">
      <formula>MOD(ROW(),2)=1</formula>
    </cfRule>
  </conditionalFormatting>
  <conditionalFormatting sqref="Y41">
    <cfRule type="expression" dxfId="1681" priority="49">
      <formula>MOD(ROW(),2)=1</formula>
    </cfRule>
  </conditionalFormatting>
  <conditionalFormatting sqref="Y45">
    <cfRule type="expression" dxfId="1680" priority="48">
      <formula>MOD(ROW(),2)=1</formula>
    </cfRule>
  </conditionalFormatting>
  <conditionalFormatting sqref="W4">
    <cfRule type="expression" dxfId="1679" priority="42">
      <formula>MOD(ROW(),2)=1</formula>
    </cfRule>
  </conditionalFormatting>
  <conditionalFormatting sqref="W8">
    <cfRule type="expression" dxfId="1678" priority="40">
      <formula>MOD(ROW(),2)=1</formula>
    </cfRule>
  </conditionalFormatting>
  <conditionalFormatting sqref="W14">
    <cfRule type="expression" dxfId="1677" priority="30">
      <formula>MOD(ROW(),2)=1</formula>
    </cfRule>
  </conditionalFormatting>
  <conditionalFormatting sqref="W16">
    <cfRule type="expression" dxfId="1676" priority="29">
      <formula>MOD(ROW(),2)=1</formula>
    </cfRule>
  </conditionalFormatting>
  <conditionalFormatting sqref="W20">
    <cfRule type="expression" dxfId="1675" priority="26">
      <formula>MOD(ROW(),2)=1</formula>
    </cfRule>
  </conditionalFormatting>
  <conditionalFormatting sqref="W24">
    <cfRule type="expression" dxfId="1674" priority="24">
      <formula>MOD(ROW(),2)=1</formula>
    </cfRule>
  </conditionalFormatting>
  <conditionalFormatting sqref="W29">
    <cfRule type="expression" dxfId="1673" priority="23">
      <formula>MOD(ROW(),2)=1</formula>
    </cfRule>
  </conditionalFormatting>
  <conditionalFormatting sqref="W33">
    <cfRule type="expression" dxfId="1672" priority="22">
      <formula>MOD(ROW(),2)=1</formula>
    </cfRule>
  </conditionalFormatting>
  <conditionalFormatting sqref="W37">
    <cfRule type="expression" dxfId="1671" priority="21">
      <formula>MOD(ROW(),2)=1</formula>
    </cfRule>
  </conditionalFormatting>
  <conditionalFormatting sqref="W41">
    <cfRule type="expression" dxfId="1670" priority="20">
      <formula>MOD(ROW(),2)=1</formula>
    </cfRule>
  </conditionalFormatting>
  <conditionalFormatting sqref="W45">
    <cfRule type="expression" dxfId="1669" priority="19">
      <formula>MOD(ROW(),2)=1</formula>
    </cfRule>
  </conditionalFormatting>
  <conditionalFormatting sqref="U4">
    <cfRule type="expression" dxfId="1668" priority="15">
      <formula>MOD(ROW(),2)=1</formula>
    </cfRule>
  </conditionalFormatting>
  <conditionalFormatting sqref="U8">
    <cfRule type="expression" dxfId="1667" priority="13">
      <formula>MOD(ROW(),2)=1</formula>
    </cfRule>
  </conditionalFormatting>
  <conditionalFormatting sqref="U10">
    <cfRule type="expression" dxfId="1666" priority="7">
      <formula>MOD(ROW(),2)=1</formula>
    </cfRule>
  </conditionalFormatting>
  <conditionalFormatting sqref="U16">
    <cfRule type="expression" dxfId="1665" priority="6">
      <formula>MOD(ROW(),2)=1</formula>
    </cfRule>
  </conditionalFormatting>
  <conditionalFormatting sqref="U20 U18">
    <cfRule type="expression" dxfId="1664" priority="3">
      <formula>MOD(ROW(),2)=1</formula>
    </cfRule>
  </conditionalFormatting>
  <conditionalFormatting sqref="U22">
    <cfRule type="expression" dxfId="1663" priority="1">
      <formula>MOD(ROW(),2)=1</formula>
    </cfRule>
  </conditionalFormatting>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H197"/>
  <sheetViews>
    <sheetView workbookViewId="0"/>
  </sheetViews>
  <sheetFormatPr defaultRowHeight="15" x14ac:dyDescent="0.25"/>
  <sheetData>
    <row r="3" spans="1:4" x14ac:dyDescent="0.25">
      <c r="A3" t="str">
        <f>'e-LTM Multiple'!B3</f>
        <v>Graf, P., &amp; Mandler, G. (1984). Activation Makes Words More Accessible, but Not Necessarily More Retrievable. Journal of Verbal Learning and Verbal Behavior, 23(5), 553-568.</v>
      </c>
      <c r="B3">
        <f>'e-LTM Multiple'!AA3</f>
        <v>5400</v>
      </c>
      <c r="C3">
        <f>B3/(60*60)</f>
        <v>1.5</v>
      </c>
      <c r="D3" s="63">
        <f>'e-LTM Multiple'!AM3</f>
        <v>-0.10049141940032545</v>
      </c>
    </row>
    <row r="5" spans="1:4" x14ac:dyDescent="0.25">
      <c r="A5" t="str">
        <f>'e-LTM Multiple'!B5</f>
        <v>Graf, P., &amp; Mandler, G. (1984). Activation Makes Words More Accessible, but Not Necessarily More Retrievable. Journal of Verbal Learning and Verbal Behavior, 23(5), 553-568.</v>
      </c>
      <c r="B5">
        <f>'e-LTM Multiple'!AA5</f>
        <v>5400</v>
      </c>
      <c r="C5">
        <f>B5/(60*60)</f>
        <v>1.5</v>
      </c>
      <c r="D5" s="63">
        <f>'e-LTM Multiple'!AM5</f>
        <v>-7.4003112899792538E-3</v>
      </c>
    </row>
    <row r="7" spans="1:4" x14ac:dyDescent="0.25">
      <c r="A7" t="str">
        <f>'e-LTM Multiple'!B7</f>
        <v>Jenkins, J. G., &amp; Dallenbach, K. M. (1924). Minor studies from the psychological laboratory of Cornell university: Obliviance during sleep and waking. American Journal of Psychology, 35, 605-612.</v>
      </c>
      <c r="B7">
        <f>'e-LTM Multiple'!AA7</f>
        <v>28800</v>
      </c>
      <c r="C7">
        <f>B7/(60*60)</f>
        <v>8</v>
      </c>
      <c r="D7" s="63">
        <f>'e-LTM Multiple'!AM7</f>
        <v>-9.1241439313960643E-2</v>
      </c>
    </row>
    <row r="9" spans="1:4" x14ac:dyDescent="0.25">
      <c r="A9" t="str">
        <f>'e-LTM Multiple'!B9</f>
        <v>Jenkins, J. G., &amp; Dallenbach, K. M. (1924). Minor studies from the psychological laboratory of Cornell university: Obliviance during sleep and waking. American Journal of Psychology, 35, 605-612.</v>
      </c>
      <c r="B9">
        <f>'e-LTM Multiple'!AA9</f>
        <v>28800</v>
      </c>
      <c r="C9">
        <f>B9/(60*60)</f>
        <v>8</v>
      </c>
      <c r="D9" s="63">
        <f>'e-LTM Multiple'!AM9</f>
        <v>-0.29160475075341569</v>
      </c>
    </row>
    <row r="11" spans="1:4" x14ac:dyDescent="0.25">
      <c r="A11" t="str">
        <f>'e-LTM Multiple'!B11</f>
        <v>Postman, L., Stark, K., &amp; Fraser, J. (1968). Temporal changes in interference. Journal of Verbal Learning and Verbal Behavior, 7(3), 672-694.</v>
      </c>
      <c r="B11">
        <f>'e-LTM Multiple'!AA11</f>
        <v>1560</v>
      </c>
      <c r="C11">
        <f>B11/(60*60)</f>
        <v>0.43333333333333335</v>
      </c>
      <c r="D11" s="63">
        <f>'e-LTM Multiple'!AM11</f>
        <v>-4.0960677745524365E-2</v>
      </c>
    </row>
    <row r="13" spans="1:4" x14ac:dyDescent="0.25">
      <c r="A13" t="str">
        <f>'e-LTM Multiple'!B13</f>
        <v>Postman, L., Stark, K., &amp; Fraser, J. (1968). Temporal changes in interference. Journal of Verbal Learning and Verbal Behavior, 7(3), 672-694.</v>
      </c>
      <c r="B13">
        <f>'e-LTM Multiple'!AA13</f>
        <v>1560</v>
      </c>
      <c r="C13">
        <f>B13/(60*60)</f>
        <v>0.43333333333333335</v>
      </c>
      <c r="D13" s="63">
        <f>'e-LTM Multiple'!AM13</f>
        <v>-2.4166709395687224E-2</v>
      </c>
    </row>
    <row r="15" spans="1:4" x14ac:dyDescent="0.25">
      <c r="A15" t="str">
        <f>'e-LTM Multiple'!B15</f>
        <v>Rowland, C., &amp; Delosh, E. (2014). Mnemonic benefits of retrieval practice at short retention intervals. Memory, 23(3), 1-17.</v>
      </c>
      <c r="B15">
        <f>'e-LTM Multiple'!AA15</f>
        <v>480</v>
      </c>
      <c r="C15">
        <f>B15/(60*60)</f>
        <v>0.13333333333333333</v>
      </c>
      <c r="D15" s="63">
        <f>'e-LTM Multiple'!AM15</f>
        <v>-0.21518520993464335</v>
      </c>
    </row>
    <row r="17" spans="1:8" x14ac:dyDescent="0.25">
      <c r="A17" t="str">
        <f>'e-LTM Multiple'!B17</f>
        <v>Rowland, C., &amp; Delosh, E. (2014). Mnemonic benefits of retrieval practice at short retention intervals. Memory, 23(3), 1-17.</v>
      </c>
      <c r="B17">
        <f>'e-LTM Multiple'!AA17</f>
        <v>240</v>
      </c>
      <c r="C17">
        <f>B17/(60*60)</f>
        <v>6.6666666666666666E-2</v>
      </c>
      <c r="D17" s="63">
        <f>'e-LTM Multiple'!AM17</f>
        <v>-0.10117749958037014</v>
      </c>
    </row>
    <row r="18" spans="1:8" x14ac:dyDescent="0.25">
      <c r="G18" s="166">
        <f>AVERAGE(D3:D101)</f>
        <v>-0.117902327309151</v>
      </c>
      <c r="H18" s="165">
        <f xml:space="preserve"> STDEV(D3:D101)/SQRT(COUNT(D3:D101))</f>
        <v>2.388145060272651E-2</v>
      </c>
    </row>
    <row r="19" spans="1:8" x14ac:dyDescent="0.25">
      <c r="A19" t="str">
        <f>'e-LTM Multiple'!B19</f>
        <v>Van Ormer, E. B. (1932). Sleep and Retention. Archives of Psychology, 137, 49.</v>
      </c>
      <c r="B19">
        <f>'e-LTM Multiple'!AA19</f>
        <v>28800</v>
      </c>
      <c r="C19">
        <f>B19/(60*60)</f>
        <v>8</v>
      </c>
      <c r="D19" s="63">
        <f>'e-LTM Multiple'!AM19</f>
        <v>-0.15302715566210412</v>
      </c>
    </row>
    <row r="21" spans="1:8" x14ac:dyDescent="0.25">
      <c r="A21" t="str">
        <f>'e-LTM Multiple'!B21</f>
        <v>Van Ormer, E. B. (1932). Sleep and Retention. Archives of Psychology, 137, 49.</v>
      </c>
      <c r="B21">
        <f>'e-LTM Multiple'!AA21</f>
        <v>28800</v>
      </c>
      <c r="C21">
        <f>B21/(60*60)</f>
        <v>8</v>
      </c>
      <c r="D21" s="63">
        <f>'e-LTM Multiple'!AM21</f>
        <v>-0.19168140517604182</v>
      </c>
    </row>
    <row r="23" spans="1:8" x14ac:dyDescent="0.25">
      <c r="A23" t="str">
        <f>'e-LTM Multiple'!B23</f>
        <v>Youtz, A. C. (1941). An experimental evaluation of Jost's laws. The psychological monographs, 238, 1-54.</v>
      </c>
      <c r="B23">
        <f>'e-LTM Multiple'!AA23</f>
        <v>3600</v>
      </c>
      <c r="C23">
        <f>B23/(60*60)</f>
        <v>1</v>
      </c>
      <c r="D23" s="63">
        <f>'e-LTM Multiple'!AM23</f>
        <v>-0.10339978263300202</v>
      </c>
    </row>
    <row r="25" spans="1:8" x14ac:dyDescent="0.25">
      <c r="A25" t="str">
        <f>'e-LTM Multiple'!B25</f>
        <v>Youtz, A. C. (1941). An experimental evaluation of Jost's laws. The psychological monographs, 238, 1-54.</v>
      </c>
      <c r="B25">
        <f>'e-LTM Multiple'!AA25</f>
        <v>3600</v>
      </c>
      <c r="C25">
        <f>B25/(60*60)</f>
        <v>1</v>
      </c>
      <c r="D25" s="63">
        <f>'e-LTM Multiple'!AM25</f>
        <v>-9.4491566824757581E-2</v>
      </c>
    </row>
    <row r="27" spans="1:8" x14ac:dyDescent="0.25">
      <c r="D27" s="63"/>
    </row>
    <row r="29" spans="1:8" x14ac:dyDescent="0.25">
      <c r="D29" s="63"/>
    </row>
    <row r="31" spans="1:8" x14ac:dyDescent="0.25">
      <c r="D31" s="63"/>
    </row>
    <row r="33" spans="4:4" x14ac:dyDescent="0.25">
      <c r="D33" s="63"/>
    </row>
    <row r="35" spans="4:4" x14ac:dyDescent="0.25">
      <c r="D35" s="63"/>
    </row>
    <row r="37" spans="4:4" x14ac:dyDescent="0.25">
      <c r="D37" s="63"/>
    </row>
    <row r="39" spans="4:4" x14ac:dyDescent="0.25">
      <c r="D39" s="63"/>
    </row>
    <row r="41" spans="4:4" x14ac:dyDescent="0.25">
      <c r="D41" s="63"/>
    </row>
    <row r="43" spans="4:4" x14ac:dyDescent="0.25">
      <c r="D43" s="63"/>
    </row>
    <row r="45" spans="4:4" x14ac:dyDescent="0.25">
      <c r="D45" s="63"/>
    </row>
    <row r="47" spans="4:4" x14ac:dyDescent="0.25">
      <c r="D47" s="63"/>
    </row>
    <row r="49" spans="4:4" x14ac:dyDescent="0.25">
      <c r="D49" s="63"/>
    </row>
    <row r="51" spans="4:4" x14ac:dyDescent="0.25">
      <c r="D51" s="63"/>
    </row>
    <row r="53" spans="4:4" x14ac:dyDescent="0.25">
      <c r="D53" s="63"/>
    </row>
    <row r="55" spans="4:4" x14ac:dyDescent="0.25">
      <c r="D55" s="63"/>
    </row>
    <row r="57" spans="4:4" x14ac:dyDescent="0.25">
      <c r="D57" s="63"/>
    </row>
    <row r="59" spans="4:4" x14ac:dyDescent="0.25">
      <c r="D59" s="63"/>
    </row>
    <row r="61" spans="4:4" x14ac:dyDescent="0.25">
      <c r="D61" s="63"/>
    </row>
    <row r="63" spans="4:4" x14ac:dyDescent="0.25">
      <c r="D63" s="63"/>
    </row>
    <row r="65" spans="4:4" x14ac:dyDescent="0.25">
      <c r="D65" s="63"/>
    </row>
    <row r="67" spans="4:4" x14ac:dyDescent="0.25">
      <c r="D67" s="63"/>
    </row>
    <row r="69" spans="4:4" x14ac:dyDescent="0.25">
      <c r="D69" s="63"/>
    </row>
    <row r="71" spans="4:4" x14ac:dyDescent="0.25">
      <c r="D71" s="63"/>
    </row>
    <row r="73" spans="4:4" x14ac:dyDescent="0.25">
      <c r="D73" s="63"/>
    </row>
    <row r="75" spans="4:4" x14ac:dyDescent="0.25">
      <c r="D75" s="63"/>
    </row>
    <row r="77" spans="4:4" x14ac:dyDescent="0.25">
      <c r="D77" s="63"/>
    </row>
    <row r="79" spans="4:4" x14ac:dyDescent="0.25">
      <c r="D79" s="63"/>
    </row>
    <row r="81" spans="4:4" x14ac:dyDescent="0.25">
      <c r="D81" s="63"/>
    </row>
    <row r="83" spans="4:4" x14ac:dyDescent="0.25">
      <c r="D83" s="63"/>
    </row>
    <row r="85" spans="4:4" x14ac:dyDescent="0.25">
      <c r="D85" s="63"/>
    </row>
    <row r="87" spans="4:4" x14ac:dyDescent="0.25">
      <c r="D87" s="63"/>
    </row>
    <row r="89" spans="4:4" x14ac:dyDescent="0.25">
      <c r="D89" s="63"/>
    </row>
    <row r="91" spans="4:4" x14ac:dyDescent="0.25">
      <c r="D91" s="63"/>
    </row>
    <row r="93" spans="4:4" x14ac:dyDescent="0.25">
      <c r="D93" s="63"/>
    </row>
    <row r="95" spans="4:4" x14ac:dyDescent="0.25">
      <c r="D95" s="63"/>
    </row>
    <row r="97" spans="4:4" x14ac:dyDescent="0.25">
      <c r="D97" s="63"/>
    </row>
    <row r="99" spans="4:4" x14ac:dyDescent="0.25">
      <c r="D99" s="63"/>
    </row>
    <row r="101" spans="4:4" x14ac:dyDescent="0.25">
      <c r="D101" s="63"/>
    </row>
    <row r="103" spans="4:4" x14ac:dyDescent="0.25">
      <c r="D103" s="63"/>
    </row>
    <row r="105" spans="4:4" x14ac:dyDescent="0.25">
      <c r="D105" s="63"/>
    </row>
    <row r="107" spans="4:4" x14ac:dyDescent="0.25">
      <c r="D107" s="63"/>
    </row>
    <row r="109" spans="4:4" x14ac:dyDescent="0.25">
      <c r="D109" s="63"/>
    </row>
    <row r="111" spans="4:4" x14ac:dyDescent="0.25">
      <c r="D111" s="63"/>
    </row>
    <row r="113" spans="4:4" x14ac:dyDescent="0.25">
      <c r="D113" s="63"/>
    </row>
    <row r="115" spans="4:4" x14ac:dyDescent="0.25">
      <c r="D115" s="63"/>
    </row>
    <row r="117" spans="4:4" x14ac:dyDescent="0.25">
      <c r="D117" s="63"/>
    </row>
    <row r="119" spans="4:4" x14ac:dyDescent="0.25">
      <c r="D119" s="63"/>
    </row>
    <row r="121" spans="4:4" x14ac:dyDescent="0.25">
      <c r="D121" s="63"/>
    </row>
    <row r="123" spans="4:4" x14ac:dyDescent="0.25">
      <c r="D123" s="63"/>
    </row>
    <row r="125" spans="4:4" x14ac:dyDescent="0.25">
      <c r="D125" s="63"/>
    </row>
    <row r="127" spans="4:4" x14ac:dyDescent="0.25">
      <c r="D127" s="63"/>
    </row>
    <row r="129" spans="4:4" x14ac:dyDescent="0.25">
      <c r="D129" s="63"/>
    </row>
    <row r="131" spans="4:4" x14ac:dyDescent="0.25">
      <c r="D131" s="63"/>
    </row>
    <row r="133" spans="4:4" x14ac:dyDescent="0.25">
      <c r="D133" s="63"/>
    </row>
    <row r="135" spans="4:4" x14ac:dyDescent="0.25">
      <c r="D135" s="63"/>
    </row>
    <row r="137" spans="4:4" x14ac:dyDescent="0.25">
      <c r="D137" s="63"/>
    </row>
    <row r="139" spans="4:4" x14ac:dyDescent="0.25">
      <c r="D139" s="63"/>
    </row>
    <row r="141" spans="4:4" x14ac:dyDescent="0.25">
      <c r="D141" s="63"/>
    </row>
    <row r="143" spans="4:4" x14ac:dyDescent="0.25">
      <c r="D143" s="63"/>
    </row>
    <row r="145" spans="4:4" x14ac:dyDescent="0.25">
      <c r="D145" s="63"/>
    </row>
    <row r="147" spans="4:4" x14ac:dyDescent="0.25">
      <c r="D147" s="63"/>
    </row>
    <row r="149" spans="4:4" x14ac:dyDescent="0.25">
      <c r="D149" s="63"/>
    </row>
    <row r="151" spans="4:4" x14ac:dyDescent="0.25">
      <c r="D151" s="63"/>
    </row>
    <row r="153" spans="4:4" x14ac:dyDescent="0.25">
      <c r="D153" s="63"/>
    </row>
    <row r="155" spans="4:4" x14ac:dyDescent="0.25">
      <c r="D155" s="63"/>
    </row>
    <row r="157" spans="4:4" x14ac:dyDescent="0.25">
      <c r="D157" s="63"/>
    </row>
    <row r="159" spans="4:4" x14ac:dyDescent="0.25">
      <c r="D159" s="63"/>
    </row>
    <row r="161" spans="4:4" x14ac:dyDescent="0.25">
      <c r="D161" s="63"/>
    </row>
    <row r="163" spans="4:4" x14ac:dyDescent="0.25">
      <c r="D163" s="63"/>
    </row>
    <row r="165" spans="4:4" x14ac:dyDescent="0.25">
      <c r="D165" s="63"/>
    </row>
    <row r="167" spans="4:4" x14ac:dyDescent="0.25">
      <c r="D167" s="63"/>
    </row>
    <row r="169" spans="4:4" x14ac:dyDescent="0.25">
      <c r="D169" s="63"/>
    </row>
    <row r="171" spans="4:4" x14ac:dyDescent="0.25">
      <c r="D171" s="63"/>
    </row>
    <row r="173" spans="4:4" x14ac:dyDescent="0.25">
      <c r="D173" s="63"/>
    </row>
    <row r="175" spans="4:4" x14ac:dyDescent="0.25">
      <c r="D175" s="63"/>
    </row>
    <row r="177" spans="4:4" x14ac:dyDescent="0.25">
      <c r="D177" s="63"/>
    </row>
    <row r="179" spans="4:4" x14ac:dyDescent="0.25">
      <c r="D179" s="63"/>
    </row>
    <row r="181" spans="4:4" x14ac:dyDescent="0.25">
      <c r="D181" s="63"/>
    </row>
    <row r="183" spans="4:4" x14ac:dyDescent="0.25">
      <c r="D183" s="63"/>
    </row>
    <row r="185" spans="4:4" x14ac:dyDescent="0.25">
      <c r="D185" s="63"/>
    </row>
    <row r="187" spans="4:4" x14ac:dyDescent="0.25">
      <c r="D187" s="63"/>
    </row>
    <row r="189" spans="4:4" x14ac:dyDescent="0.25">
      <c r="D189" s="63"/>
    </row>
    <row r="191" spans="4:4" x14ac:dyDescent="0.25">
      <c r="D191" s="63"/>
    </row>
    <row r="193" spans="4:4" x14ac:dyDescent="0.25">
      <c r="D193" s="63"/>
    </row>
    <row r="195" spans="4:4" x14ac:dyDescent="0.25">
      <c r="D195" s="63"/>
    </row>
    <row r="197" spans="4:4" x14ac:dyDescent="0.25">
      <c r="D197" s="63"/>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U373"/>
  <sheetViews>
    <sheetView workbookViewId="0">
      <pane ySplit="1" topLeftCell="A2" activePane="bottomLeft" state="frozen"/>
      <selection pane="bottomLeft" activeCell="A2" sqref="A2"/>
    </sheetView>
  </sheetViews>
  <sheetFormatPr defaultColWidth="5.28515625" defaultRowHeight="12" customHeight="1" outlineLevelCol="1" x14ac:dyDescent="0.2"/>
  <cols>
    <col min="1" max="1" width="11.28515625" style="61" bestFit="1" customWidth="1"/>
    <col min="2" max="2" width="9.7109375" style="14" customWidth="1"/>
    <col min="3" max="3" width="17.85546875" style="14" customWidth="1"/>
    <col min="4" max="4" width="6.85546875" style="64" customWidth="1"/>
    <col min="5" max="5" width="4.28515625" style="77" customWidth="1"/>
    <col min="6" max="6" width="10.28515625" style="64" bestFit="1" customWidth="1"/>
    <col min="7" max="7" width="9.28515625" style="64" customWidth="1"/>
    <col min="8" max="8" width="14.85546875" style="64" bestFit="1" customWidth="1"/>
    <col min="9" max="9" width="30.5703125" style="64" customWidth="1"/>
    <col min="10" max="10" width="17.5703125" style="64" customWidth="1"/>
    <col min="11" max="11" width="9.5703125" style="64" customWidth="1"/>
    <col min="12" max="13" width="9.7109375" style="64" customWidth="1"/>
    <col min="14" max="14" width="13.85546875" style="64" customWidth="1"/>
    <col min="15" max="15" width="8.7109375" style="64" customWidth="1"/>
    <col min="16" max="16" width="22.7109375" style="64" bestFit="1" customWidth="1"/>
    <col min="17" max="17" width="18.28515625" style="64" bestFit="1" customWidth="1"/>
    <col min="18" max="18" width="8.7109375" style="64" bestFit="1" customWidth="1"/>
    <col min="19" max="19" width="11.42578125" style="64" bestFit="1" customWidth="1"/>
    <col min="20" max="20" width="12.7109375" style="64" customWidth="1"/>
    <col min="21" max="21" width="10.42578125" style="64" bestFit="1" customWidth="1"/>
    <col min="22" max="22" width="10.42578125" style="64" customWidth="1"/>
    <col min="23" max="23" width="11.85546875" style="64" customWidth="1"/>
    <col min="24" max="24" width="8.140625" style="64" customWidth="1"/>
    <col min="25" max="25" width="10" style="77" customWidth="1"/>
    <col min="26" max="26" width="15.42578125" style="64" customWidth="1"/>
    <col min="27" max="27" width="11" style="64" customWidth="1"/>
    <col min="28" max="28" width="16.42578125" style="64" customWidth="1"/>
    <col min="29" max="29" width="13.5703125" style="64" customWidth="1"/>
    <col min="30" max="30" width="13.140625" style="64" customWidth="1"/>
    <col min="31" max="31" width="11" style="64" customWidth="1"/>
    <col min="32" max="32" width="12.5703125" style="81" customWidth="1"/>
    <col min="33" max="33" width="10.140625" style="57" customWidth="1"/>
    <col min="34" max="34" width="10.7109375" style="12" customWidth="1"/>
    <col min="35" max="35" width="10.7109375" style="57" customWidth="1"/>
    <col min="36" max="36" width="10.7109375" style="114" customWidth="1"/>
    <col min="37" max="40" width="10.7109375" style="57" customWidth="1"/>
    <col min="41" max="43" width="10.7109375" style="57" customWidth="1" outlineLevel="1"/>
    <col min="44" max="44" width="16.85546875" style="114" customWidth="1" outlineLevel="1"/>
    <col min="45" max="46" width="16.85546875" style="57" customWidth="1" outlineLevel="1"/>
    <col min="47" max="47" width="5.28515625" style="12" outlineLevel="1"/>
    <col min="48" max="50" width="13.42578125" style="45" bestFit="1" customWidth="1" outlineLevel="1"/>
    <col min="51" max="51" width="14.85546875" style="45" bestFit="1" customWidth="1" outlineLevel="1"/>
    <col min="52" max="53" width="14.5703125" style="45" bestFit="1" customWidth="1"/>
    <col min="54" max="54" width="13.5703125" style="45" bestFit="1" customWidth="1"/>
    <col min="55" max="57" width="13.5703125" style="20" bestFit="1" customWidth="1"/>
    <col min="58" max="62" width="12.42578125" style="20" bestFit="1" customWidth="1"/>
    <col min="63" max="74" width="10.42578125" style="20" bestFit="1" customWidth="1"/>
    <col min="75" max="95" width="11.42578125" style="20" bestFit="1" customWidth="1"/>
    <col min="96" max="99" width="12.42578125" style="14" bestFit="1" customWidth="1"/>
    <col min="100" max="133" width="10.42578125" style="14" bestFit="1" customWidth="1"/>
    <col min="134" max="16384" width="5.28515625" style="14"/>
  </cols>
  <sheetData>
    <row r="1" spans="1:99" ht="12" customHeight="1" x14ac:dyDescent="0.2">
      <c r="A1" s="61" t="s">
        <v>304</v>
      </c>
      <c r="B1" s="15" t="s">
        <v>0</v>
      </c>
      <c r="C1" s="15" t="s">
        <v>1</v>
      </c>
      <c r="D1" s="59" t="s">
        <v>2</v>
      </c>
      <c r="E1" s="75" t="s">
        <v>579</v>
      </c>
      <c r="F1" s="59" t="s">
        <v>6</v>
      </c>
      <c r="G1" s="59" t="s">
        <v>485</v>
      </c>
      <c r="H1" s="59" t="s">
        <v>1</v>
      </c>
      <c r="I1" s="59" t="s">
        <v>8</v>
      </c>
      <c r="J1" s="59" t="s">
        <v>7</v>
      </c>
      <c r="K1" s="59" t="s">
        <v>571</v>
      </c>
      <c r="L1" s="59" t="s">
        <v>565</v>
      </c>
      <c r="M1" s="59" t="s">
        <v>569</v>
      </c>
      <c r="N1" s="59" t="s">
        <v>566</v>
      </c>
      <c r="O1" s="59" t="s">
        <v>5</v>
      </c>
      <c r="P1" s="59" t="s">
        <v>570</v>
      </c>
      <c r="Q1" s="59" t="s">
        <v>3</v>
      </c>
      <c r="R1" s="59" t="s">
        <v>568</v>
      </c>
      <c r="S1" s="59" t="s">
        <v>4</v>
      </c>
      <c r="T1" s="59" t="s">
        <v>237</v>
      </c>
      <c r="U1" s="59" t="s">
        <v>910</v>
      </c>
      <c r="V1" s="59" t="s">
        <v>563</v>
      </c>
      <c r="W1" s="59" t="s">
        <v>564</v>
      </c>
      <c r="X1" s="59" t="s">
        <v>576</v>
      </c>
      <c r="Y1" s="75" t="s">
        <v>558</v>
      </c>
      <c r="Z1" s="59" t="s">
        <v>577</v>
      </c>
      <c r="AA1" s="59" t="s">
        <v>327</v>
      </c>
      <c r="AB1" s="59" t="s">
        <v>325</v>
      </c>
      <c r="AC1" s="59" t="s">
        <v>326</v>
      </c>
      <c r="AD1" s="59" t="s">
        <v>578</v>
      </c>
      <c r="AE1" s="59" t="s">
        <v>559</v>
      </c>
      <c r="AF1" s="79" t="s">
        <v>560</v>
      </c>
      <c r="AG1" s="55" t="s">
        <v>546</v>
      </c>
      <c r="AH1" s="4"/>
      <c r="AI1" s="139" t="s">
        <v>297</v>
      </c>
      <c r="AJ1" s="111" t="s">
        <v>289</v>
      </c>
      <c r="AK1" s="55" t="s">
        <v>9</v>
      </c>
      <c r="AL1" s="139" t="s">
        <v>298</v>
      </c>
      <c r="AM1" s="55" t="s">
        <v>10</v>
      </c>
      <c r="AN1" s="55" t="s">
        <v>11</v>
      </c>
      <c r="AO1" s="139" t="s">
        <v>907</v>
      </c>
      <c r="AP1" s="55" t="s">
        <v>303</v>
      </c>
      <c r="AQ1" s="139" t="s">
        <v>908</v>
      </c>
      <c r="AR1" s="111" t="s">
        <v>301</v>
      </c>
      <c r="AS1" s="139" t="s">
        <v>909</v>
      </c>
      <c r="AT1" s="55" t="s">
        <v>302</v>
      </c>
      <c r="AU1" s="4"/>
      <c r="AV1" s="11" t="s">
        <v>292</v>
      </c>
      <c r="AW1" s="11"/>
      <c r="AX1" s="11"/>
      <c r="AY1" s="11"/>
      <c r="AZ1" s="11"/>
      <c r="BA1" s="11"/>
      <c r="BB1" s="11"/>
      <c r="BC1" s="10"/>
      <c r="BD1" s="10"/>
      <c r="BE1" s="10"/>
      <c r="BF1" s="10"/>
      <c r="BG1" s="10"/>
      <c r="BH1" s="10"/>
      <c r="BI1" s="10"/>
      <c r="BJ1" s="10"/>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5"/>
      <c r="CS1" s="15"/>
      <c r="CT1" s="15"/>
      <c r="CU1" s="15"/>
    </row>
    <row r="2" spans="1:99" s="13" customFormat="1" ht="12" customHeight="1" x14ac:dyDescent="0.2">
      <c r="A2" s="65">
        <v>43648</v>
      </c>
      <c r="B2" s="1"/>
      <c r="C2" s="1"/>
      <c r="D2" s="60"/>
      <c r="E2" s="76"/>
      <c r="F2" s="60"/>
      <c r="G2" s="60"/>
      <c r="H2" s="60"/>
      <c r="I2" s="60"/>
      <c r="J2" s="60"/>
      <c r="K2" s="64"/>
      <c r="L2" s="64"/>
      <c r="M2" s="60"/>
      <c r="N2" s="60"/>
      <c r="O2" s="60"/>
      <c r="P2" s="60"/>
      <c r="Q2" s="60"/>
      <c r="R2" s="60"/>
      <c r="S2" s="60"/>
      <c r="T2" s="60"/>
      <c r="U2" s="60"/>
      <c r="V2" s="60"/>
      <c r="W2" s="60"/>
      <c r="X2" s="60"/>
      <c r="Y2" s="76"/>
      <c r="Z2" s="60"/>
      <c r="AA2" s="60"/>
      <c r="AB2" s="60"/>
      <c r="AC2" s="60"/>
      <c r="AD2" s="60"/>
      <c r="AE2" s="60"/>
      <c r="AF2" s="80"/>
      <c r="AG2" s="56"/>
      <c r="AH2" s="4"/>
      <c r="AI2" s="56"/>
      <c r="AJ2" s="109"/>
      <c r="AK2" s="56"/>
      <c r="AL2" s="56"/>
      <c r="AM2" s="56"/>
      <c r="AN2" s="56"/>
      <c r="AO2" s="56"/>
      <c r="AP2" s="56"/>
      <c r="AQ2" s="56"/>
      <c r="AR2" s="109"/>
      <c r="AS2" s="56"/>
      <c r="AT2" s="56"/>
      <c r="AU2" s="4"/>
      <c r="AV2" s="53">
        <v>450</v>
      </c>
      <c r="AW2" s="25">
        <f>12*3600</f>
        <v>43200</v>
      </c>
      <c r="AX2" s="1">
        <f>7*24*3600</f>
        <v>604800</v>
      </c>
      <c r="AY2" s="53" t="s">
        <v>504</v>
      </c>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1"/>
      <c r="CS2" s="1"/>
      <c r="CT2" s="1"/>
      <c r="CU2" s="1"/>
    </row>
    <row r="3" spans="1:99" s="13" customFormat="1" ht="12" customHeight="1" x14ac:dyDescent="0.2">
      <c r="A3" s="65">
        <v>43648</v>
      </c>
      <c r="B3" s="1" t="s">
        <v>321</v>
      </c>
      <c r="C3" s="1" t="s">
        <v>45</v>
      </c>
      <c r="D3" s="60">
        <v>2019</v>
      </c>
      <c r="E3" s="76" t="s">
        <v>580</v>
      </c>
      <c r="F3" s="60">
        <v>160</v>
      </c>
      <c r="G3" s="60">
        <v>32</v>
      </c>
      <c r="H3" s="60" t="s">
        <v>43</v>
      </c>
      <c r="I3" s="60" t="s">
        <v>572</v>
      </c>
      <c r="J3" s="60" t="s">
        <v>320</v>
      </c>
      <c r="K3" s="60">
        <f>IF(J3="syllables",1,IF(J3="trigrams",2,IF(J3="strings",3,IF(J3="visual array",4,IF(J3="characters",5,IF(J3="letters",6,IF(J3="free forms",7,IF(J3="odors",8,IF(J3="words",9,IF(J3="pictures",10,IF(J3="object pictures",11,IF(J3="faces",12,IF(J3="names",13,IF(J3="idioms",14,IF(J3="grades",15,IF(J3="syllable-digit pairs",16,IF(J3="trigram-word pairs",17,IF(J3="word-digit pairs",18,IF(J3="English-Swahili pairs",19,IF(J3="spatial position",20,IF(J3="word pairs",21,IF(J3="word triads",22,IF(J3="generated words",23,IF(J3="word definition pairs",24,IF(J3="math problems",25,IF(J3="famous faces",26,IF(J3="famous names",27,IF(J3="famous voices",28,IF(J3="television programs",29,IF(J3="race horses",30,IF(J3="new vocabulary",31,IF(J3="sentences",32,IF(J3="concepts",33,IF(J3="ad slides",34,IF(J3="scenes",35,IF(J3="famous scenes",36,IF(J3="poems",37,IF(J3="walk",38,IF(J3="faces and events",39,IF(J3="events and names",40,IF(J3="flashbulb",41,IF(J3="stories",42,IF(J3="course material",43,IF(J3="autobiographical",44,IF(J3="novels",45,IF(J3="public events",46,"99"))))))))))))))))))))))))))))))))))))))))))))))</f>
        <v>21</v>
      </c>
      <c r="L3" s="60">
        <f>IF(J3="syllables",1,IF(J3="trigrams",1,IF(J3="strings",1,IF(J3="visual array",1,IF(J3="characters",1,IF(J3="letters",1,IF(J3="free forms",1,IF(J3="odors",2,IF(J3="words",2,IF(J3="pictures",2,IF(J3="object pictures",2,IF(J3="faces",2,IF(J3="names",2,IF(J3="idioms","2",IF(J3="grades",2,IF(J3="syllable-digit pairs",3,IF(J3="trigram-word pairs",3,IF(J3="word-digit pairs",3,IF(J3="English-Swahili pairs",3,IF(J3="spatial position",3,IF(J3="word pairs",4,IF(J3="word triads",4,IF(J3="generated words",4,IF(J3="word definition pairs",4,IF(J3="math problems",4,IF(J3="famous faces",4,IF(J3="famous names",4,IF(J3="famous voices",4,IF(J3="television programs",4,IF(J3="race horses",4,IF(J3="new vocabulary",4,IF(J3="sentences",5,IF(J3="concepts",5,IF(J3="ad slides",5,IF(J3="scenes",5,IF(J3="famous scenes",5,IF(J3="poems",6,IF(J3="walk",6,IF(J3="faces and events",6,IF(J3="events and names",6,IF(J3="flashbulb",7,IF(J3="stories",7,IF(J3="course material",7,IF(J3="autobiographical",7,IF(J3="novels",7,IF(J3="public events",7,"99"))))))))))))))))))))))))))))))))))))))))))))))</f>
        <v>4</v>
      </c>
      <c r="M3" s="60">
        <v>1</v>
      </c>
      <c r="N3" s="60">
        <v>2</v>
      </c>
      <c r="O3" s="60">
        <v>0</v>
      </c>
      <c r="P3" s="60"/>
      <c r="Q3" s="60" t="s">
        <v>65</v>
      </c>
      <c r="R3" s="60">
        <f>IF(Q3="Free Recall",1,IF(Q3="Cued Recall",2,IF(Q3="Recognition",3,IF(Q3="Multiple Choice",4,IF(Q3="Savings",5,IF(Q3="Stem Completion",6,IF(Q3="Fragment Completion",7,IF(Q3="anagram solution",8,IF(Q3="Matching",9,IF(Q3="Problem Solving",10,"99"))))))))))</f>
        <v>2</v>
      </c>
      <c r="S3" s="60" t="s">
        <v>20</v>
      </c>
      <c r="T3" s="60" t="s">
        <v>261</v>
      </c>
      <c r="U3" s="60">
        <f>IF(T3="within",1,0)</f>
        <v>0</v>
      </c>
      <c r="V3" s="60">
        <v>36</v>
      </c>
      <c r="W3" s="60">
        <f>F3*V3</f>
        <v>5760</v>
      </c>
      <c r="X3" s="60">
        <v>3</v>
      </c>
      <c r="Y3" s="76">
        <f>AV2</f>
        <v>450</v>
      </c>
      <c r="Z3" s="60" t="s">
        <v>97</v>
      </c>
      <c r="AA3" s="60">
        <f>7*24*3600</f>
        <v>604800</v>
      </c>
      <c r="AB3" s="60" t="str">
        <f>IF(AA3&lt;60,"1",IF(AA3&lt;=43200,"2",IF(AA3&lt;=777600,"3","4")))</f>
        <v>3</v>
      </c>
      <c r="AC3" s="76">
        <f>AVERAGE(AV2:DA2)</f>
        <v>216150</v>
      </c>
      <c r="AD3" s="60" t="str">
        <f>IF(AC3&lt;60,"1",IF(AC3&lt;=43200,"2",IF(AC3&lt;=777600,"3","4")))</f>
        <v>3</v>
      </c>
      <c r="AE3" s="76">
        <f>AA3-Y3</f>
        <v>604350</v>
      </c>
      <c r="AF3" s="80">
        <f>AV3</f>
        <v>0.83</v>
      </c>
      <c r="AG3" s="56">
        <f>((AW3-AV3)+(AX3-AW3))/2</f>
        <v>-0.24499999999999997</v>
      </c>
      <c r="AH3" s="4"/>
      <c r="AI3" s="56">
        <f>RSQ(AV3:AX3,AV2:AX2)</f>
        <v>0.83010847235608554</v>
      </c>
      <c r="AJ3" s="109">
        <f>SLOPE(AV3:AX3,AV2:AX2)</f>
        <v>-6.6227955912120963E-7</v>
      </c>
      <c r="AK3" s="56">
        <f>INTERCEPT(AV3:AX3,AV2:AX2)</f>
        <v>0.73315172670404949</v>
      </c>
      <c r="AL3" s="56">
        <f>INDEX(LINEST(LN(AV3:AX3),LN(AV2:AX2),TRUE,TRUE),3,1)</f>
        <v>0.90732593036589027</v>
      </c>
      <c r="AM3" s="56">
        <f>INDEX(LINEST(LN(AV3:AX3),LN(AV2:AX2)),1)</f>
        <v>-0.11807393106200441</v>
      </c>
      <c r="AN3" s="56">
        <f>EXP(INDEX(LINEST(LN(AV3:AX3),LN(AV2:AX2)),1,2))</f>
        <v>1.8085213367094177</v>
      </c>
      <c r="AO3" s="82">
        <f>INDEX(LINEST((AV3:AX3),LN(AV2:AX2),TRUE,TRUE),3,1)</f>
        <v>0.96490979802952626</v>
      </c>
      <c r="AP3" s="82">
        <f>INDEX(LINEST((AV3:AX3),LN(AV2:AX2)),1)</f>
        <v>-6.6078871814430867E-2</v>
      </c>
      <c r="AQ3" s="83">
        <f>INDEX(LINEST(LN(AV3:AX3),SQRT(AV2:AX2),TRUE,TRUE),3,1)</f>
        <v>0.98362820069145551</v>
      </c>
      <c r="AR3" s="116">
        <f>INDEX(LINEST(LN(AV3:AX3),SQRT((AV2:AX2))),1)</f>
        <v>-1.1368893746585176E-3</v>
      </c>
      <c r="AS3" s="84">
        <f>INDEX(LINEST(1/(AV3:AX3),1/(SQRT(AV2:AX2)),TRUE,TRUE),3,1)</f>
        <v>0.56681924750490187</v>
      </c>
      <c r="AT3" s="84">
        <f>INDEX(LINEST(1/(AV3:AX3),1/SQRT(AV2:AX2)),1)</f>
        <v>-26.533697088006676</v>
      </c>
      <c r="AU3" s="4"/>
      <c r="AV3" s="1">
        <v>0.83</v>
      </c>
      <c r="AW3" s="1">
        <v>0.6</v>
      </c>
      <c r="AX3" s="1">
        <v>0.34</v>
      </c>
      <c r="AY3" s="1"/>
      <c r="AZ3" s="1"/>
      <c r="BA3" s="1"/>
      <c r="BB3" s="1"/>
      <c r="BC3" s="1"/>
      <c r="BD3" s="1"/>
      <c r="BE3" s="1"/>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1"/>
      <c r="CS3" s="1"/>
      <c r="CT3" s="1"/>
      <c r="CU3" s="1"/>
    </row>
    <row r="4" spans="1:99" s="13" customFormat="1" ht="12.75" x14ac:dyDescent="0.2">
      <c r="A4" s="65">
        <v>43648</v>
      </c>
      <c r="B4" s="1"/>
      <c r="C4" s="1"/>
      <c r="D4" s="60"/>
      <c r="E4" s="76"/>
      <c r="F4" s="60"/>
      <c r="G4" s="60"/>
      <c r="H4" s="60"/>
      <c r="I4" s="60"/>
      <c r="J4" s="60"/>
      <c r="K4" s="64"/>
      <c r="L4" s="64"/>
      <c r="M4" s="60"/>
      <c r="N4" s="60"/>
      <c r="O4" s="60"/>
      <c r="P4" s="60"/>
      <c r="Q4" s="60"/>
      <c r="R4" s="60"/>
      <c r="S4" s="60"/>
      <c r="T4" s="60"/>
      <c r="U4" s="60"/>
      <c r="V4" s="60"/>
      <c r="W4" s="60"/>
      <c r="X4" s="60"/>
      <c r="Y4" s="76"/>
      <c r="Z4" s="60"/>
      <c r="AA4" s="60"/>
      <c r="AB4" s="60"/>
      <c r="AC4" s="76"/>
      <c r="AD4" s="60"/>
      <c r="AE4" s="60"/>
      <c r="AF4" s="80"/>
      <c r="AG4" s="56"/>
      <c r="AH4" s="4"/>
      <c r="AI4" s="56"/>
      <c r="AJ4" s="109"/>
      <c r="AK4" s="56"/>
      <c r="AL4" s="56"/>
      <c r="AM4" s="56"/>
      <c r="AN4" s="56"/>
      <c r="AO4" s="56"/>
      <c r="AP4" s="56"/>
      <c r="AQ4" s="56"/>
      <c r="AR4" s="109"/>
      <c r="AS4" s="56"/>
      <c r="AT4" s="56"/>
      <c r="AU4" s="4"/>
      <c r="AV4" s="53">
        <v>450</v>
      </c>
      <c r="AW4" s="25">
        <f>12*3600</f>
        <v>43200</v>
      </c>
      <c r="AX4" s="1">
        <f>7*24*3600</f>
        <v>604800</v>
      </c>
      <c r="AY4" s="26"/>
      <c r="AZ4" s="26"/>
      <c r="BA4" s="26"/>
      <c r="BB4" s="26"/>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1"/>
      <c r="CS4" s="1"/>
      <c r="CT4" s="1"/>
      <c r="CU4" s="1"/>
    </row>
    <row r="5" spans="1:99" s="13" customFormat="1" ht="12" customHeight="1" x14ac:dyDescent="0.2">
      <c r="A5" s="65">
        <v>43648</v>
      </c>
      <c r="B5" s="1" t="s">
        <v>321</v>
      </c>
      <c r="C5" s="1" t="s">
        <v>45</v>
      </c>
      <c r="D5" s="60">
        <v>2019</v>
      </c>
      <c r="E5" s="76" t="s">
        <v>580</v>
      </c>
      <c r="F5" s="60">
        <v>160</v>
      </c>
      <c r="G5" s="60">
        <v>32</v>
      </c>
      <c r="H5" s="60" t="s">
        <v>43</v>
      </c>
      <c r="I5" s="60" t="s">
        <v>573</v>
      </c>
      <c r="J5" s="60" t="s">
        <v>320</v>
      </c>
      <c r="K5" s="60">
        <f>IF(J5="syllables",1,IF(J5="trigrams",2,IF(J5="strings",3,IF(J5="visual array",4,IF(J5="characters",5,IF(J5="letters",6,IF(J5="free forms",7,IF(J5="odors",8,IF(J5="words",9,IF(J5="pictures",10,IF(J5="object pictures",11,IF(J5="faces",12,IF(J5="names",13,IF(J5="idioms",14,IF(J5="grades",15,IF(J5="syllable-digit pairs",16,IF(J5="trigram-word pairs",17,IF(J5="word-digit pairs",18,IF(J5="English-Swahili pairs",19,IF(J5="spatial position",20,IF(J5="word pairs",21,IF(J5="word triads",22,IF(J5="generated words",23,IF(J5="word definition pairs",24,IF(J5="math problems",25,IF(J5="famous faces",26,IF(J5="famous names",27,IF(J5="famous voices",28,IF(J5="television programs",29,IF(J5="race horses",30,IF(J5="new vocabulary",31,IF(J5="sentences",32,IF(J5="concepts",33,IF(J5="ad slides",34,IF(J5="scenes",35,IF(J5="famous scenes",36,IF(J5="poems",37,IF(J5="walk",38,IF(J5="faces and events",39,IF(J5="events and names",40,IF(J5="flashbulb",41,IF(J5="stories",42,IF(J5="course material",43,IF(J5="autobiographical",44,IF(J5="novels",45,IF(J5="public events",46,"99"))))))))))))))))))))))))))))))))))))))))))))))</f>
        <v>21</v>
      </c>
      <c r="L5" s="60">
        <f>IF(J5="syllables",1,IF(J5="trigrams",1,IF(J5="strings",1,IF(J5="visual array",1,IF(J5="characters",1,IF(J5="letters",1,IF(J5="free forms",1,IF(J5="odors",2,IF(J5="words",2,IF(J5="pictures",2,IF(J5="object pictures",2,IF(J5="faces",2,IF(J5="names",2,IF(J5="idioms","2",IF(J5="grades",2,IF(J5="syllable-digit pairs",3,IF(J5="trigram-word pairs",3,IF(J5="word-digit pairs",3,IF(J5="English-Swahili pairs",3,IF(J5="spatial position",3,IF(J5="word pairs",4,IF(J5="word triads",4,IF(J5="generated words",4,IF(J5="word definition pairs",4,IF(J5="math problems",4,IF(J5="famous faces",4,IF(J5="famous names",4,IF(J5="famous voices",4,IF(J5="television programs",4,IF(J5="race horses",4,IF(J5="new vocabulary",4,IF(J5="sentences",5,IF(J5="concepts",5,IF(J5="ad slides",5,IF(J5="scenes",5,IF(J5="famous scenes",5,IF(J5="poems",6,IF(J5="walk",6,IF(J5="faces and events",6,IF(J5="events and names",6,IF(J5="flashbulb",7,IF(J5="stories",7,IF(J5="course material",7,IF(J5="autobiographical",7,IF(J5="novels",7,IF(J5="public events",7,"99"))))))))))))))))))))))))))))))))))))))))))))))</f>
        <v>4</v>
      </c>
      <c r="M5" s="60">
        <v>1</v>
      </c>
      <c r="N5" s="60">
        <v>2</v>
      </c>
      <c r="O5" s="60">
        <v>0</v>
      </c>
      <c r="P5" s="60"/>
      <c r="Q5" s="60" t="s">
        <v>65</v>
      </c>
      <c r="R5" s="60">
        <f>IF(Q5="Free Recall",1,IF(Q5="Cued Recall",2,IF(Q5="Recognition",3,IF(Q5="Multiple Choice",4,IF(Q5="Savings",5,IF(Q5="Stem Completion",6,IF(Q5="Fragment Completion",7,IF(Q5="anagram solution",8,IF(Q5="Matching",9,IF(Q5="Problem Solving",10,"99"))))))))))</f>
        <v>2</v>
      </c>
      <c r="S5" s="60" t="s">
        <v>20</v>
      </c>
      <c r="T5" s="60" t="s">
        <v>261</v>
      </c>
      <c r="U5" s="60">
        <f>IF(T5="within",1,0)</f>
        <v>0</v>
      </c>
      <c r="V5" s="60">
        <v>36</v>
      </c>
      <c r="W5" s="60">
        <f>F5*V5</f>
        <v>5760</v>
      </c>
      <c r="X5" s="60">
        <v>3</v>
      </c>
      <c r="Y5" s="76">
        <f>AV4</f>
        <v>450</v>
      </c>
      <c r="Z5" s="60" t="s">
        <v>97</v>
      </c>
      <c r="AA5" s="60">
        <f>7*24*3600</f>
        <v>604800</v>
      </c>
      <c r="AB5" s="60" t="str">
        <f>IF(AA5&lt;60,"1",IF(AA5&lt;=43200,"2",IF(AA5&lt;=777600,"3","4")))</f>
        <v>3</v>
      </c>
      <c r="AC5" s="76">
        <f>AVERAGE(AV4:DA4)</f>
        <v>216150</v>
      </c>
      <c r="AD5" s="60" t="str">
        <f>IF(AC5&lt;60,"1",IF(AC5&lt;=43200,"2",IF(AC5&lt;=777600,"3","4")))</f>
        <v>3</v>
      </c>
      <c r="AE5" s="76">
        <f>AA5-Y5</f>
        <v>604350</v>
      </c>
      <c r="AF5" s="80">
        <f>AV5</f>
        <v>0.82</v>
      </c>
      <c r="AG5" s="56">
        <f>((AW5-AV5)+(AX5-AW5))/2</f>
        <v>-0.24999999999999997</v>
      </c>
      <c r="AH5" s="4"/>
      <c r="AI5" s="56">
        <f>RSQ(AV5:AX5,AV4:AX4)</f>
        <v>0.978409943363031</v>
      </c>
      <c r="AJ5" s="109">
        <f>SLOPE(AV5:AX5,AV4:AX4)</f>
        <v>-7.7059563157923545E-7</v>
      </c>
      <c r="AK5" s="56">
        <f>INTERCEPT(AV5:AX5,AV4:AX4)</f>
        <v>0.7832309124325183</v>
      </c>
      <c r="AL5" s="56">
        <f>INDEX(LINEST(LN(AV5:AX5),LN(AV4:AX4),TRUE,TRUE),3,1)</f>
        <v>0.74082996209601903</v>
      </c>
      <c r="AM5" s="56">
        <f>INDEX(LINEST(LN(AV5:AX5),LN(AV4:AX4)),1)</f>
        <v>-0.11970481241427627</v>
      </c>
      <c r="AN5" s="56">
        <f>EXP(INDEX(LINEST(LN(AV5:AX5),LN(AV4:AX4)),1,2))</f>
        <v>1.897872285939614</v>
      </c>
      <c r="AO5" s="82">
        <f>INDEX(LINEST((AV5:AX5),LN(AV4:AX4),TRUE,TRUE),3,1)</f>
        <v>0.79826576672259952</v>
      </c>
      <c r="AP5" s="82">
        <f>INDEX(LINEST((AV5:AX5),LN(AV4:AX4)),1)</f>
        <v>-6.4414731369755077E-2</v>
      </c>
      <c r="AQ5" s="83">
        <f>INDEX(LINEST(LN(AV5:AX5),SQRT(AV4:AX4),TRUE,TRUE),3,1)</f>
        <v>0.99071924038404136</v>
      </c>
      <c r="AR5" s="116">
        <f>INDEX(LINEST(LN(AV5:AX5),SQRT((AV4:AX4))),1)</f>
        <v>-1.2801415693923029E-3</v>
      </c>
      <c r="AS5" s="84">
        <f>INDEX(LINEST(1/(AV5:AX5),1/(SQRT(AV4:AX4)),TRUE,TRUE),3,1)</f>
        <v>0.39815684419663339</v>
      </c>
      <c r="AT5" s="84">
        <f>INDEX(LINEST(1/(AV5:AX5),1/SQRT(AV4:AX4)),1)</f>
        <v>-25.960793795555773</v>
      </c>
      <c r="AU5" s="4"/>
      <c r="AV5" s="53">
        <v>0.82</v>
      </c>
      <c r="AW5" s="53">
        <v>0.71</v>
      </c>
      <c r="AX5" s="53">
        <v>0.32</v>
      </c>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1"/>
      <c r="CS5" s="1"/>
      <c r="CT5" s="1"/>
      <c r="CU5" s="1"/>
    </row>
    <row r="6" spans="1:99" s="13" customFormat="1" ht="12" customHeight="1" x14ac:dyDescent="0.2">
      <c r="A6" s="65">
        <v>43648</v>
      </c>
      <c r="B6" s="1"/>
      <c r="C6" s="1"/>
      <c r="D6" s="60"/>
      <c r="E6" s="76"/>
      <c r="F6" s="60"/>
      <c r="G6" s="60"/>
      <c r="H6" s="60"/>
      <c r="I6" s="60"/>
      <c r="J6" s="60"/>
      <c r="K6" s="64"/>
      <c r="L6" s="64"/>
      <c r="M6" s="60"/>
      <c r="N6" s="60"/>
      <c r="O6" s="60"/>
      <c r="P6" s="60"/>
      <c r="Q6" s="60"/>
      <c r="R6" s="60"/>
      <c r="S6" s="60"/>
      <c r="T6" s="60"/>
      <c r="U6" s="60"/>
      <c r="V6" s="60"/>
      <c r="W6" s="60"/>
      <c r="X6" s="60"/>
      <c r="Y6" s="76"/>
      <c r="Z6" s="60"/>
      <c r="AA6" s="60"/>
      <c r="AB6" s="60"/>
      <c r="AC6" s="76"/>
      <c r="AD6" s="60"/>
      <c r="AE6" s="60"/>
      <c r="AF6" s="80"/>
      <c r="AG6" s="56"/>
      <c r="AH6" s="4"/>
      <c r="AI6" s="56"/>
      <c r="AJ6" s="109"/>
      <c r="AK6" s="56"/>
      <c r="AL6" s="56"/>
      <c r="AM6" s="56"/>
      <c r="AN6" s="56"/>
      <c r="AO6" s="56"/>
      <c r="AP6" s="56"/>
      <c r="AQ6" s="56"/>
      <c r="AR6" s="109"/>
      <c r="AS6" s="56"/>
      <c r="AT6" s="56"/>
      <c r="AU6" s="4"/>
      <c r="AV6" s="53">
        <v>450</v>
      </c>
      <c r="AW6" s="25">
        <f>12*3600</f>
        <v>43200</v>
      </c>
      <c r="AX6" s="1">
        <f>7*24*3600</f>
        <v>604800</v>
      </c>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1"/>
      <c r="CS6" s="1"/>
      <c r="CT6" s="1"/>
      <c r="CU6" s="1"/>
    </row>
    <row r="7" spans="1:99" s="13" customFormat="1" ht="12" customHeight="1" x14ac:dyDescent="0.2">
      <c r="A7" s="65">
        <v>43648</v>
      </c>
      <c r="B7" s="1" t="s">
        <v>321</v>
      </c>
      <c r="C7" s="1" t="s">
        <v>45</v>
      </c>
      <c r="D7" s="60">
        <v>2019</v>
      </c>
      <c r="E7" s="76" t="s">
        <v>580</v>
      </c>
      <c r="F7" s="60">
        <v>160</v>
      </c>
      <c r="G7" s="60">
        <v>32</v>
      </c>
      <c r="H7" s="60" t="s">
        <v>43</v>
      </c>
      <c r="I7" s="60" t="s">
        <v>590</v>
      </c>
      <c r="J7" s="60" t="s">
        <v>320</v>
      </c>
      <c r="K7" s="60">
        <f>IF(J7="syllables",1,IF(J7="trigrams",2,IF(J7="strings",3,IF(J7="visual array",4,IF(J7="characters",5,IF(J7="letters",6,IF(J7="free forms",7,IF(J7="odors",8,IF(J7="words",9,IF(J7="pictures",10,IF(J7="object pictures",11,IF(J7="faces",12,IF(J7="names",13,IF(J7="idioms",14,IF(J7="grades",15,IF(J7="syllable-digit pairs",16,IF(J7="trigram-word pairs",17,IF(J7="word-digit pairs",18,IF(J7="English-Swahili pairs",19,IF(J7="spatial position",20,IF(J7="word pairs",21,IF(J7="word triads",22,IF(J7="generated words",23,IF(J7="word definition pairs",24,IF(J7="math problems",25,IF(J7="famous faces",26,IF(J7="famous names",27,IF(J7="famous voices",28,IF(J7="television programs",29,IF(J7="race horses",30,IF(J7="new vocabulary",31,IF(J7="sentences",32,IF(J7="concepts",33,IF(J7="ad slides",34,IF(J7="scenes",35,IF(J7="famous scenes",36,IF(J7="poems",37,IF(J7="walk",38,IF(J7="faces and events",39,IF(J7="events and names",40,IF(J7="flashbulb",41,IF(J7="stories",42,IF(J7="course material",43,IF(J7="autobiographical",44,IF(J7="novels",45,IF(J7="public events",46,"99"))))))))))))))))))))))))))))))))))))))))))))))</f>
        <v>21</v>
      </c>
      <c r="L7" s="60">
        <f>IF(J7="syllables",1,IF(J7="trigrams",1,IF(J7="strings",1,IF(J7="visual array",1,IF(J7="characters",1,IF(J7="letters",1,IF(J7="free forms",1,IF(J7="odors",2,IF(J7="words",2,IF(J7="pictures",2,IF(J7="object pictures",2,IF(J7="faces",2,IF(J7="names",2,IF(J7="idioms","2",IF(J7="grades",2,IF(J7="syllable-digit pairs",3,IF(J7="trigram-word pairs",3,IF(J7="word-digit pairs",3,IF(J7="English-Swahili pairs",3,IF(J7="spatial position",3,IF(J7="word pairs",4,IF(J7="word triads",4,IF(J7="generated words",4,IF(J7="word definition pairs",4,IF(J7="math problems",4,IF(J7="famous faces",4,IF(J7="famous names",4,IF(J7="famous voices",4,IF(J7="television programs",4,IF(J7="race horses",4,IF(J7="new vocabulary",4,IF(J7="sentences",5,IF(J7="concepts",5,IF(J7="ad slides",5,IF(J7="scenes",5,IF(J7="famous scenes",5,IF(J7="poems",6,IF(J7="walk",6,IF(J7="faces and events",6,IF(J7="events and names",6,IF(J7="flashbulb",7,IF(J7="stories",7,IF(J7="course material",7,IF(J7="autobiographical",7,IF(J7="novels",7,IF(J7="public events",7,"99"))))))))))))))))))))))))))))))))))))))))))))))</f>
        <v>4</v>
      </c>
      <c r="M7" s="60">
        <v>1</v>
      </c>
      <c r="N7" s="60">
        <v>2</v>
      </c>
      <c r="O7" s="60">
        <v>0</v>
      </c>
      <c r="P7" s="60"/>
      <c r="Q7" s="60" t="s">
        <v>65</v>
      </c>
      <c r="R7" s="60">
        <f>IF(Q7="Free Recall",1,IF(Q7="Cued Recall",2,IF(Q7="Recognition",3,IF(Q7="Multiple Choice",4,IF(Q7="Savings",5,IF(Q7="Stem Completion",6,IF(Q7="Fragment Completion",7,IF(Q7="anagram solution",8,IF(Q7="Matching",9,IF(Q7="Problem Solving",10,"99"))))))))))</f>
        <v>2</v>
      </c>
      <c r="S7" s="60" t="s">
        <v>20</v>
      </c>
      <c r="T7" s="60" t="s">
        <v>261</v>
      </c>
      <c r="U7" s="60">
        <f>IF(T7="within",1,0)</f>
        <v>0</v>
      </c>
      <c r="V7" s="60">
        <v>36</v>
      </c>
      <c r="W7" s="60">
        <f>F7*V7</f>
        <v>5760</v>
      </c>
      <c r="X7" s="60">
        <v>3</v>
      </c>
      <c r="Y7" s="76">
        <f>AV6</f>
        <v>450</v>
      </c>
      <c r="Z7" s="60" t="s">
        <v>97</v>
      </c>
      <c r="AA7" s="60">
        <f>7*24*3600</f>
        <v>604800</v>
      </c>
      <c r="AB7" s="60" t="str">
        <f>IF(AA7&lt;60,"1",IF(AA7&lt;=43200,"2",IF(AA7&lt;=777600,"3","4")))</f>
        <v>3</v>
      </c>
      <c r="AC7" s="76">
        <f>AVERAGE(AV6:DA6)</f>
        <v>216150</v>
      </c>
      <c r="AD7" s="60" t="str">
        <f>IF(AC7&lt;60,"1",IF(AC7&lt;=43200,"2",IF(AC7&lt;=777600,"3","4")))</f>
        <v>3</v>
      </c>
      <c r="AE7" s="76">
        <f>AA7-Y7</f>
        <v>604350</v>
      </c>
      <c r="AF7" s="80">
        <f>AV7</f>
        <v>0.65</v>
      </c>
      <c r="AG7" s="56">
        <f>((AW7-AV7)+(AX7-AW7))/2</f>
        <v>-0.13500000000000001</v>
      </c>
      <c r="AH7" s="4"/>
      <c r="AI7" s="56">
        <f>RSQ(AV7:AX7,AV6:AX6)</f>
        <v>0.97772896985829982</v>
      </c>
      <c r="AJ7" s="109">
        <f>SLOPE(AV7:AX7,AV6:AX6)</f>
        <v>-4.1566548314856565E-7</v>
      </c>
      <c r="AK7" s="56">
        <f>INTERCEPT(AV7:AX7,AV6:AX6)</f>
        <v>0.62984609418256254</v>
      </c>
      <c r="AL7" s="56">
        <f>INDEX(LINEST(LN(AV7:AX7),LN(AV6:AX6),TRUE,TRUE),3,1)</f>
        <v>0.76455679730142989</v>
      </c>
      <c r="AM7" s="56">
        <f>INDEX(LINEST(LN(AV7:AX7),LN(AV6:AX6)),1)</f>
        <v>-6.8642470712818149E-2</v>
      </c>
      <c r="AN7" s="56">
        <f>EXP(INDEX(LINEST(LN(AV7:AX7),LN(AV6:AX6)),1,2))</f>
        <v>1.0477131640261095</v>
      </c>
      <c r="AO7" s="82">
        <f>INDEX(LINEST((AV7:AX7),LN(AV6:AX6),TRUE,TRUE),3,1)</f>
        <v>0.80012847328930303</v>
      </c>
      <c r="AP7" s="82">
        <f>INDEX(LINEST((AV7:AX7),LN(AV6:AX6)),1)</f>
        <v>-3.4798451347550267E-2</v>
      </c>
      <c r="AQ7" s="83">
        <f>INDEX(LINEST(LN(AV7:AX7),SQRT(AV6:AX6),TRUE,TRUE),3,1)</f>
        <v>0.99524896437583044</v>
      </c>
      <c r="AR7" s="116">
        <f>INDEX(LINEST(LN(AV7:AX7),SQRT((AV6:AX6))),1)</f>
        <v>-7.2424291947413447E-4</v>
      </c>
      <c r="AS7" s="84">
        <f>INDEX(LINEST(1/(AV7:AX7),1/(SQRT(AV6:AX6)),TRUE,TRUE),3,1)</f>
        <v>0.44019742297926256</v>
      </c>
      <c r="AT7" s="84">
        <f>INDEX(LINEST(1/(AV7:AX7),1/SQRT(AV6:AX6)),1)</f>
        <v>-15.370280029580099</v>
      </c>
      <c r="AU7" s="4"/>
      <c r="AV7" s="53">
        <v>0.65</v>
      </c>
      <c r="AW7" s="53">
        <v>0.59</v>
      </c>
      <c r="AX7" s="53">
        <v>0.38</v>
      </c>
      <c r="AY7" s="53"/>
      <c r="AZ7" s="53"/>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53"/>
      <c r="CI7" s="53"/>
      <c r="CJ7" s="53"/>
      <c r="CK7" s="53"/>
      <c r="CL7" s="53"/>
      <c r="CM7" s="53"/>
      <c r="CN7" s="53"/>
      <c r="CO7" s="53"/>
      <c r="CP7" s="53"/>
      <c r="CQ7" s="53"/>
      <c r="CR7" s="1"/>
      <c r="CS7" s="1"/>
      <c r="CT7" s="1"/>
      <c r="CU7" s="1"/>
    </row>
    <row r="8" spans="1:99" s="13" customFormat="1" ht="12" customHeight="1" x14ac:dyDescent="0.2">
      <c r="A8" s="65">
        <v>43648</v>
      </c>
      <c r="B8" s="1"/>
      <c r="C8" s="1"/>
      <c r="D8" s="60"/>
      <c r="E8" s="76"/>
      <c r="F8" s="60"/>
      <c r="G8" s="60"/>
      <c r="H8" s="60"/>
      <c r="I8" s="60"/>
      <c r="J8" s="60"/>
      <c r="K8" s="64"/>
      <c r="L8" s="64"/>
      <c r="M8" s="60"/>
      <c r="N8" s="60"/>
      <c r="O8" s="60"/>
      <c r="P8" s="60"/>
      <c r="Q8" s="60"/>
      <c r="R8" s="60"/>
      <c r="S8" s="60"/>
      <c r="T8" s="60"/>
      <c r="U8" s="60"/>
      <c r="V8" s="60"/>
      <c r="W8" s="60"/>
      <c r="X8" s="60"/>
      <c r="Y8" s="76"/>
      <c r="Z8" s="60"/>
      <c r="AA8" s="60"/>
      <c r="AB8" s="60"/>
      <c r="AC8" s="76"/>
      <c r="AD8" s="60"/>
      <c r="AE8" s="60"/>
      <c r="AF8" s="80"/>
      <c r="AG8" s="56"/>
      <c r="AH8" s="4"/>
      <c r="AI8" s="56"/>
      <c r="AJ8" s="109"/>
      <c r="AK8" s="56"/>
      <c r="AL8" s="56"/>
      <c r="AM8" s="56"/>
      <c r="AN8" s="56"/>
      <c r="AO8" s="56"/>
      <c r="AP8" s="56"/>
      <c r="AQ8" s="56"/>
      <c r="AR8" s="109"/>
      <c r="AS8" s="56"/>
      <c r="AT8" s="56"/>
      <c r="AU8" s="4"/>
      <c r="AV8" s="53">
        <v>450</v>
      </c>
      <c r="AW8" s="25">
        <f>12*3600</f>
        <v>43200</v>
      </c>
      <c r="AX8" s="1">
        <f>7*24*3600</f>
        <v>604800</v>
      </c>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c r="CP8" s="53"/>
      <c r="CQ8" s="53"/>
      <c r="CR8" s="1"/>
      <c r="CS8" s="1"/>
      <c r="CT8" s="1"/>
      <c r="CU8" s="1"/>
    </row>
    <row r="9" spans="1:99" s="13" customFormat="1" ht="12" customHeight="1" x14ac:dyDescent="0.2">
      <c r="A9" s="65">
        <v>43648</v>
      </c>
      <c r="B9" s="1" t="s">
        <v>321</v>
      </c>
      <c r="C9" s="1" t="s">
        <v>45</v>
      </c>
      <c r="D9" s="60">
        <v>2019</v>
      </c>
      <c r="E9" s="76" t="s">
        <v>580</v>
      </c>
      <c r="F9" s="60">
        <v>160</v>
      </c>
      <c r="G9" s="60">
        <v>32</v>
      </c>
      <c r="H9" s="60" t="s">
        <v>43</v>
      </c>
      <c r="I9" s="60" t="s">
        <v>574</v>
      </c>
      <c r="J9" s="60" t="s">
        <v>320</v>
      </c>
      <c r="K9" s="60">
        <f>IF(J9="syllables",1,IF(J9="trigrams",2,IF(J9="strings",3,IF(J9="visual array",4,IF(J9="characters",5,IF(J9="letters",6,IF(J9="free forms",7,IF(J9="odors",8,IF(J9="words",9,IF(J9="pictures",10,IF(J9="object pictures",11,IF(J9="faces",12,IF(J9="names",13,IF(J9="idioms",14,IF(J9="grades",15,IF(J9="syllable-digit pairs",16,IF(J9="trigram-word pairs",17,IF(J9="word-digit pairs",18,IF(J9="English-Swahili pairs",19,IF(J9="spatial position",20,IF(J9="word pairs",21,IF(J9="word triads",22,IF(J9="generated words",23,IF(J9="word definition pairs",24,IF(J9="math problems",25,IF(J9="famous faces",26,IF(J9="famous names",27,IF(J9="famous voices",28,IF(J9="television programs",29,IF(J9="race horses",30,IF(J9="new vocabulary",31,IF(J9="sentences",32,IF(J9="concepts",33,IF(J9="ad slides",34,IF(J9="scenes",35,IF(J9="famous scenes",36,IF(J9="poems",37,IF(J9="walk",38,IF(J9="faces and events",39,IF(J9="events and names",40,IF(J9="flashbulb",41,IF(J9="stories",42,IF(J9="course material",43,IF(J9="autobiographical",44,IF(J9="novels",45,IF(J9="public events",46,"99"))))))))))))))))))))))))))))))))))))))))))))))</f>
        <v>21</v>
      </c>
      <c r="L9" s="60">
        <f>IF(J9="syllables",1,IF(J9="trigrams",1,IF(J9="strings",1,IF(J9="visual array",1,IF(J9="characters",1,IF(J9="letters",1,IF(J9="free forms",1,IF(J9="odors",2,IF(J9="words",2,IF(J9="pictures",2,IF(J9="object pictures",2,IF(J9="faces",2,IF(J9="names",2,IF(J9="idioms","2",IF(J9="grades",2,IF(J9="syllable-digit pairs",3,IF(J9="trigram-word pairs",3,IF(J9="word-digit pairs",3,IF(J9="English-Swahili pairs",3,IF(J9="spatial position",3,IF(J9="word pairs",4,IF(J9="word triads",4,IF(J9="generated words",4,IF(J9="word definition pairs",4,IF(J9="math problems",4,IF(J9="famous faces",4,IF(J9="famous names",4,IF(J9="famous voices",4,IF(J9="television programs",4,IF(J9="race horses",4,IF(J9="new vocabulary",4,IF(J9="sentences",5,IF(J9="concepts",5,IF(J9="ad slides",5,IF(J9="scenes",5,IF(J9="famous scenes",5,IF(J9="poems",6,IF(J9="walk",6,IF(J9="faces and events",6,IF(J9="events and names",6,IF(J9="flashbulb",7,IF(J9="stories",7,IF(J9="course material",7,IF(J9="autobiographical",7,IF(J9="novels",7,IF(J9="public events",7,"99"))))))))))))))))))))))))))))))))))))))))))))))</f>
        <v>4</v>
      </c>
      <c r="M9" s="60">
        <v>1</v>
      </c>
      <c r="N9" s="60">
        <v>2</v>
      </c>
      <c r="O9" s="60">
        <v>0</v>
      </c>
      <c r="P9" s="60"/>
      <c r="Q9" s="60" t="s">
        <v>65</v>
      </c>
      <c r="R9" s="60">
        <f>IF(Q9="Free Recall",1,IF(Q9="Cued Recall",2,IF(Q9="Recognition",3,IF(Q9="Multiple Choice",4,IF(Q9="Savings",5,IF(Q9="Stem Completion",6,IF(Q9="Fragment Completion",7,IF(Q9="anagram solution",8,IF(Q9="Matching",9,IF(Q9="Problem Solving",10,"99"))))))))))</f>
        <v>2</v>
      </c>
      <c r="S9" s="60" t="s">
        <v>20</v>
      </c>
      <c r="T9" s="60" t="s">
        <v>261</v>
      </c>
      <c r="U9" s="60">
        <f>IF(T9="within",1,0)</f>
        <v>0</v>
      </c>
      <c r="V9" s="60">
        <v>36</v>
      </c>
      <c r="W9" s="60">
        <f>F9*V9</f>
        <v>5760</v>
      </c>
      <c r="X9" s="60">
        <v>3</v>
      </c>
      <c r="Y9" s="76">
        <f>AV8</f>
        <v>450</v>
      </c>
      <c r="Z9" s="60" t="s">
        <v>97</v>
      </c>
      <c r="AA9" s="60">
        <f>7*24*3600</f>
        <v>604800</v>
      </c>
      <c r="AB9" s="60" t="str">
        <f>IF(AA9&lt;60,"1",IF(AA9&lt;=43200,"2",IF(AA9&lt;=777600,"3","4")))</f>
        <v>3</v>
      </c>
      <c r="AC9" s="76">
        <f>AVERAGE(AV8:DA8)</f>
        <v>216150</v>
      </c>
      <c r="AD9" s="60" t="str">
        <f>IF(AC9&lt;60,"1",IF(AC9&lt;=43200,"2",IF(AC9&lt;=777600,"3","4")))</f>
        <v>3</v>
      </c>
      <c r="AE9" s="76">
        <f>AA9-Y9</f>
        <v>604350</v>
      </c>
      <c r="AF9" s="80">
        <f>AV9</f>
        <v>0.65</v>
      </c>
      <c r="AG9" s="56">
        <f>((AW9-AV9)+(AX9-AW9))/2</f>
        <v>-0.15000000000000002</v>
      </c>
      <c r="AH9" s="4"/>
      <c r="AI9" s="56">
        <f>RSQ(AV9:AX9,AV8:AX8)</f>
        <v>0.99142101884577383</v>
      </c>
      <c r="AJ9" s="109">
        <f>SLOPE(AV9:AX9,AV8:AX8)</f>
        <v>-4.7452158972678067E-7</v>
      </c>
      <c r="AK9" s="56">
        <f>INTERCEPT(AV9:AX9,AV8:AX8)</f>
        <v>0.63590117495277698</v>
      </c>
      <c r="AL9" s="56">
        <f>INDEX(LINEST(LN(AV9:AX9),LN(AV8:AX8),TRUE,TRUE),3,1)</f>
        <v>0.72004266197036881</v>
      </c>
      <c r="AM9" s="56">
        <f>INDEX(LINEST(LN(AV9:AX9),LN(AV8:AX8)),1)</f>
        <v>-7.8393965082307462E-2</v>
      </c>
      <c r="AN9" s="56">
        <f>EXP(INDEX(LINEST(LN(AV9:AX9),LN(AV8:AX8)),1,2))</f>
        <v>1.1304602810028144</v>
      </c>
      <c r="AO9" s="82">
        <f>INDEX(LINEST((AV9:AX9),LN(AV8:AX8),TRUE,TRUE),3,1)</f>
        <v>0.75265667736135289</v>
      </c>
      <c r="AP9" s="82">
        <f>INDEX(LINEST((AV9:AX9),LN(AV8:AX8)),1)</f>
        <v>-3.8262267944986175E-2</v>
      </c>
      <c r="AQ9" s="83">
        <f>INDEX(LINEST(LN(AV9:AX9),SQRT(AV8:AX8),TRUE,TRUE),3,1)</f>
        <v>0.98568956171028121</v>
      </c>
      <c r="AR9" s="116">
        <f>INDEX(LINEST(LN(AV9:AX9),SQRT((AV8:AX8))),1)</f>
        <v>-8.4821110906641223E-4</v>
      </c>
      <c r="AS9" s="84">
        <f>INDEX(LINEST(1/(AV9:AX9),1/(SQRT(AV8:AX8)),TRUE,TRUE),3,1)</f>
        <v>0.39635965208317386</v>
      </c>
      <c r="AT9" s="84">
        <f>INDEX(LINEST(1/(AV9:AX9),1/SQRT(AV8:AX8)),1)</f>
        <v>-17.940696750293739</v>
      </c>
      <c r="AU9" s="4"/>
      <c r="AV9" s="53">
        <v>0.65</v>
      </c>
      <c r="AW9" s="53">
        <v>0.6</v>
      </c>
      <c r="AX9" s="53">
        <v>0.35</v>
      </c>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c r="CP9" s="53"/>
      <c r="CQ9" s="53"/>
      <c r="CR9" s="1"/>
      <c r="CS9" s="1"/>
      <c r="CT9" s="1"/>
      <c r="CU9" s="1"/>
    </row>
    <row r="10" spans="1:99" s="13" customFormat="1" ht="12" customHeight="1" x14ac:dyDescent="0.2">
      <c r="A10" s="65" t="s">
        <v>932</v>
      </c>
      <c r="B10" s="1"/>
      <c r="C10" s="1"/>
      <c r="D10" s="60"/>
      <c r="E10" s="76"/>
      <c r="F10" s="60"/>
      <c r="G10" s="60"/>
      <c r="H10" s="62"/>
      <c r="I10" s="60"/>
      <c r="J10" s="60"/>
      <c r="K10" s="60"/>
      <c r="L10" s="60"/>
      <c r="M10" s="60"/>
      <c r="N10" s="60"/>
      <c r="O10" s="60"/>
      <c r="P10" s="60"/>
      <c r="Q10" s="62"/>
      <c r="R10" s="60"/>
      <c r="S10" s="60"/>
      <c r="T10" s="59"/>
      <c r="U10" s="60"/>
      <c r="V10" s="59"/>
      <c r="W10" s="60"/>
      <c r="X10" s="60"/>
      <c r="Y10" s="76"/>
      <c r="Z10" s="60"/>
      <c r="AA10" s="60"/>
      <c r="AB10" s="60"/>
      <c r="AC10" s="56"/>
      <c r="AD10" s="60"/>
      <c r="AE10" s="76"/>
      <c r="AF10" s="80"/>
      <c r="AG10" s="56"/>
      <c r="AH10" s="4"/>
      <c r="AI10" s="56"/>
      <c r="AJ10" s="109"/>
      <c r="AK10" s="56"/>
      <c r="AL10" s="56"/>
      <c r="AM10" s="56"/>
      <c r="AN10" s="56"/>
      <c r="AO10" s="82"/>
      <c r="AP10" s="82"/>
      <c r="AQ10" s="83"/>
      <c r="AR10" s="116"/>
      <c r="AS10" s="84"/>
      <c r="AT10" s="84"/>
      <c r="AU10" s="3"/>
      <c r="AV10" s="25">
        <v>30</v>
      </c>
      <c r="AW10" s="25">
        <f>60*30</f>
        <v>1800</v>
      </c>
      <c r="AX10" s="25">
        <f>60*60*24</f>
        <v>86400</v>
      </c>
      <c r="AY10" s="53"/>
      <c r="AZ10" s="53" t="s">
        <v>935</v>
      </c>
      <c r="BA10" s="53"/>
      <c r="BB10" s="53"/>
      <c r="BC10" s="53"/>
      <c r="BD10" s="53"/>
      <c r="BE10" s="53"/>
      <c r="BF10" s="53"/>
      <c r="BG10" s="53"/>
      <c r="BH10" s="53"/>
      <c r="BI10" s="53"/>
      <c r="BJ10" s="53"/>
      <c r="BK10" s="53"/>
      <c r="BL10" s="53"/>
      <c r="BM10" s="53"/>
      <c r="BN10" s="53"/>
      <c r="BO10" s="53"/>
      <c r="BP10" s="53"/>
      <c r="BQ10" s="53"/>
      <c r="BR10" s="53"/>
      <c r="BS10" s="53"/>
      <c r="BT10" s="53"/>
      <c r="BU10" s="53"/>
      <c r="BV10" s="53"/>
      <c r="BW10" s="53"/>
      <c r="BX10" s="53"/>
      <c r="BY10" s="53"/>
      <c r="BZ10" s="53"/>
      <c r="CA10" s="53"/>
      <c r="CB10" s="53"/>
      <c r="CC10" s="53"/>
      <c r="CD10" s="53"/>
      <c r="CE10" s="53"/>
      <c r="CF10" s="53"/>
      <c r="CG10" s="53"/>
      <c r="CH10" s="53"/>
      <c r="CI10" s="53"/>
      <c r="CJ10" s="53"/>
      <c r="CK10" s="53"/>
      <c r="CL10" s="53"/>
      <c r="CM10" s="53"/>
      <c r="CN10" s="53"/>
      <c r="CO10" s="53"/>
      <c r="CP10" s="53"/>
      <c r="CQ10" s="53"/>
      <c r="CR10" s="1"/>
      <c r="CS10" s="1"/>
      <c r="CT10" s="1"/>
      <c r="CU10" s="1"/>
    </row>
    <row r="11" spans="1:99" s="13" customFormat="1" ht="12" customHeight="1" x14ac:dyDescent="0.2">
      <c r="A11" s="65" t="s">
        <v>932</v>
      </c>
      <c r="B11" s="1" t="s">
        <v>936</v>
      </c>
      <c r="C11" s="1" t="s">
        <v>937</v>
      </c>
      <c r="D11" s="60">
        <v>2005</v>
      </c>
      <c r="E11" s="76">
        <v>1</v>
      </c>
      <c r="F11" s="60">
        <v>49</v>
      </c>
      <c r="G11" s="60">
        <v>49</v>
      </c>
      <c r="H11" s="62" t="s">
        <v>38</v>
      </c>
      <c r="I11" s="60" t="s">
        <v>938</v>
      </c>
      <c r="J11" s="60" t="s">
        <v>16</v>
      </c>
      <c r="K11" s="60">
        <f>IF(J11="syllables",1,IF(J11="trigrams",2,IF(J11="strings",3,IF(J11="visual array",4,IF(J11="characters",5,IF(J11="letters",6,IF(J11="free forms",7,IF(J11="odors",8,IF(J11="words",9,IF(J11="pictures",10,IF(J11="object pictures",11,IF(J11="faces",12,IF(J11="names",13,IF(J11="idioms",14,IF(J11="grades",15,IF(J11="syllable-digit pairs",16,IF(J11="trigram-word pairs",17,IF(J11="word-digit pairs",18,IF(J11="English-Swahili pairs",19,IF(J11="spatial position",20,IF(J11="word pairs",21,IF(J11="word triads",22,IF(J11="generated words",23,IF(J11="word definition pairs",24,IF(J11="math problems",25,IF(J11="famous faces",26,IF(J11="famous names",27,IF(J11="famous voices",28,IF(J11="television programs",29,IF(J11="race horses",30,IF(J11="new vocabulary",31,IF(J11="sentences",32,IF(J11="concepts",33,IF(J11="ad slides",34,IF(J11="scenes",35,IF(J11="famous scenes",36,IF(J11="poems",37,IF(J11="walk",38,IF(J11="faces and events",39,IF(J11="events and names",40,IF(J11="flashbulb",41,IF(J11="stories",42,IF(J11="course material",43,IF(J11="autobiographical",44,IF(J11="novels",45,IF(J11="public events",46,"99"))))))))))))))))))))))))))))))))))))))))))))))</f>
        <v>9</v>
      </c>
      <c r="L11" s="60">
        <f>IF(J11="syllables",1,IF(J11="trigrams",1,IF(J11="strings",1,IF(J11="visual array",1,IF(J11="characters",1,IF(J11="letters",1,IF(J11="free forms",1,IF(J11="odors",2,IF(J11="words",2,IF(J11="pictures",2,IF(J11="object pictures",2,IF(J11="faces",2,IF(J11="names",2,IF(J11="idioms","2",IF(J11="grades",2,IF(J11="syllable-digit pairs",3,IF(J11="trigram-word pairs",3,IF(J11="word-digit pairs",3,IF(J11="English-Swahili pairs",3,IF(J11="spatial position",3,IF(J11="word pairs",4,IF(J11="word triads",4,IF(J11="generated words",4,IF(J11="word definition pairs",4,IF(J11="math problems",4,IF(J11="famous faces",4,IF(J11="famous names",4,IF(J11="famous voices",4,IF(J11="television programs",4,IF(J11="race horses",4,IF(J11="new vocabulary",4,IF(J11="sentences",5,IF(J11="concepts",5,IF(J11="ad slides",5,IF(J11="scenes",5,IF(J11="famous scenes",5,IF(J11="poems",6,IF(J11="walk",6,IF(J11="faces and events",6,IF(J11="events and names",6,IF(J11="flashbulb",7,IF(J11="stories",7,IF(J11="course material",7,IF(J11="autobiographical",7,IF(J11="novels",7,IF(J11="public events",7,"99"))))))))))))))))))))))))))))))))))))))))))))))</f>
        <v>2</v>
      </c>
      <c r="M11" s="60">
        <v>1</v>
      </c>
      <c r="N11" s="60">
        <v>2</v>
      </c>
      <c r="O11" s="60">
        <v>0</v>
      </c>
      <c r="P11" s="60"/>
      <c r="Q11" s="62" t="s">
        <v>174</v>
      </c>
      <c r="R11" s="60">
        <f>IF(Q11="Free Recall",1,IF(Q11="Cued Recall",2,IF(Q11="Recognition",3,IF(Q11="Multiple Choice",4,IF(Q11="Savings",5,IF(Q11="Stem Completion",6,IF(Q11="Fragment Completion",7,IF(Q11="anagram solution",8,IF(Q11="Matching",9,IF(Q11="Problem Solving",10,"99"))))))))))</f>
        <v>1</v>
      </c>
      <c r="S11" s="60" t="s">
        <v>49</v>
      </c>
      <c r="T11" s="59" t="s">
        <v>581</v>
      </c>
      <c r="U11" s="60">
        <f>IF(T11="within",1,0)</f>
        <v>1</v>
      </c>
      <c r="V11" s="59">
        <v>12</v>
      </c>
      <c r="W11" s="60">
        <f>F11*V11</f>
        <v>588</v>
      </c>
      <c r="X11" s="60">
        <v>3</v>
      </c>
      <c r="Y11" s="76">
        <f>AV10</f>
        <v>30</v>
      </c>
      <c r="Z11" s="60" t="s">
        <v>79</v>
      </c>
      <c r="AA11" s="60">
        <f>60*60*24</f>
        <v>86400</v>
      </c>
      <c r="AB11" s="60" t="str">
        <f>IF(AA11&lt;60,"1",IF(AA11&lt;=43200,"2",IF(AA11&lt;=777600,"3","4")))</f>
        <v>3</v>
      </c>
      <c r="AC11" s="56">
        <f>AVERAGE(AV10:DA10)</f>
        <v>29410</v>
      </c>
      <c r="AD11" s="60" t="str">
        <f>IF(AC11&lt;60,"1",IF(AC11&lt;=43200,"2",IF(AC11&lt;=777600,"3","4")))</f>
        <v>2</v>
      </c>
      <c r="AE11" s="76">
        <f>AA11-Y11</f>
        <v>86370</v>
      </c>
      <c r="AF11" s="80">
        <f>AV11</f>
        <v>0.83333333333333337</v>
      </c>
      <c r="AG11" s="56">
        <f>((AW11-AV11)+(AX11-AW11))/2</f>
        <v>-0.16666666666666669</v>
      </c>
      <c r="AH11" s="4"/>
      <c r="AI11" s="56">
        <f>RSQ(AV11:AX11,AV10:AX10)</f>
        <v>0.68855953104512446</v>
      </c>
      <c r="AJ11" s="109">
        <f>SLOPE(AV11:AX11,AV10:AX10)</f>
        <v>-2.8121787763284142E-6</v>
      </c>
      <c r="AK11" s="56">
        <f>INTERCEPT(AV11:AX11,AV10:AX10)</f>
        <v>0.74103951114515199</v>
      </c>
      <c r="AL11" s="56">
        <f>INDEX(LINEST(LN(AV11:AX11),LN(AV10:AX10),TRUE,TRUE),3,1)</f>
        <v>0.99999260754014596</v>
      </c>
      <c r="AM11" s="56">
        <f>INDEX(LINEST(LN(AV11:AX11),LN(AV10:AX10)),1)</f>
        <v>-6.4126575711424896E-2</v>
      </c>
      <c r="AN11" s="56">
        <f>EXP(INDEX(LINEST(LN(AV11:AX11),LN(AV10:AX10)),1,2))</f>
        <v>1.0368375618432171</v>
      </c>
      <c r="AO11" s="82">
        <f>INDEX(LINEST((AV11:AX11),LN(AV10:AX10),TRUE,TRUE),3,1)</f>
        <v>0.99507798447393037</v>
      </c>
      <c r="AP11" s="82">
        <f>INDEX(LINEST((AV11:AX11),LN(AV10:AX10)),1)</f>
        <v>-4.1894548022784077E-2</v>
      </c>
      <c r="AQ11" s="83">
        <f>INDEX(LINEST(LN(AV11:AX11),SQRT(AV10:AX10),TRUE,TRUE),3,1)</f>
        <v>0.83441432004265736</v>
      </c>
      <c r="AR11" s="116">
        <f>INDEX(LINEST(LN(AV11:AX11),SQRT((AV10:AX10))),1)</f>
        <v>-1.4864888339396274E-3</v>
      </c>
      <c r="AS11" s="84">
        <f>INDEX(LINEST(1/(AV11:AX11),1/(SQRT(AV10:AX10)),TRUE,TRUE),3,1)</f>
        <v>0.78628435712775191</v>
      </c>
      <c r="AT11" s="84">
        <f>INDEX(LINEST(1/(AV11:AX11),1/SQRT(AV10:AX10)),1)</f>
        <v>-3.6205351452876302</v>
      </c>
      <c r="AU11" s="3"/>
      <c r="AV11" s="53">
        <f>10/12</f>
        <v>0.83333333333333337</v>
      </c>
      <c r="AW11" s="53">
        <f>7.7/12</f>
        <v>0.64166666666666672</v>
      </c>
      <c r="AX11" s="53">
        <f>6/12</f>
        <v>0.5</v>
      </c>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1"/>
      <c r="CS11" s="1"/>
      <c r="CT11" s="1"/>
      <c r="CU11" s="1"/>
    </row>
    <row r="12" spans="1:99" s="13" customFormat="1" ht="12" customHeight="1" x14ac:dyDescent="0.2">
      <c r="A12" s="65" t="s">
        <v>932</v>
      </c>
      <c r="B12" s="1"/>
      <c r="C12" s="1"/>
      <c r="D12" s="60"/>
      <c r="E12" s="76"/>
      <c r="F12" s="60"/>
      <c r="G12" s="60"/>
      <c r="H12" s="62"/>
      <c r="I12" s="60"/>
      <c r="J12" s="60"/>
      <c r="K12" s="60"/>
      <c r="L12" s="60"/>
      <c r="M12" s="60"/>
      <c r="N12" s="60"/>
      <c r="O12" s="60"/>
      <c r="P12" s="60"/>
      <c r="Q12" s="62"/>
      <c r="R12" s="60"/>
      <c r="S12" s="60"/>
      <c r="T12" s="59"/>
      <c r="U12" s="60"/>
      <c r="V12" s="59"/>
      <c r="W12" s="60"/>
      <c r="X12" s="60"/>
      <c r="Y12" s="76"/>
      <c r="Z12" s="60"/>
      <c r="AA12" s="60"/>
      <c r="AB12" s="60"/>
      <c r="AC12" s="56"/>
      <c r="AD12" s="60"/>
      <c r="AE12" s="76"/>
      <c r="AF12" s="80"/>
      <c r="AG12" s="56"/>
      <c r="AH12" s="4"/>
      <c r="AI12" s="56"/>
      <c r="AJ12" s="109"/>
      <c r="AK12" s="56"/>
      <c r="AL12" s="56"/>
      <c r="AM12" s="56"/>
      <c r="AN12" s="56"/>
      <c r="AO12" s="82"/>
      <c r="AP12" s="82"/>
      <c r="AQ12" s="83"/>
      <c r="AR12" s="116"/>
      <c r="AS12" s="84"/>
      <c r="AT12" s="84"/>
      <c r="AU12" s="3"/>
      <c r="AV12" s="25">
        <v>30</v>
      </c>
      <c r="AW12" s="25">
        <f>60*30</f>
        <v>1800</v>
      </c>
      <c r="AX12" s="25">
        <f>60*60*24</f>
        <v>86400</v>
      </c>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1"/>
      <c r="CS12" s="1"/>
      <c r="CT12" s="1"/>
      <c r="CU12" s="1"/>
    </row>
    <row r="13" spans="1:99" s="13" customFormat="1" ht="12" customHeight="1" x14ac:dyDescent="0.2">
      <c r="A13" s="65" t="s">
        <v>932</v>
      </c>
      <c r="B13" s="1" t="s">
        <v>936</v>
      </c>
      <c r="C13" s="1" t="s">
        <v>937</v>
      </c>
      <c r="D13" s="60">
        <v>2005</v>
      </c>
      <c r="E13" s="76">
        <v>1</v>
      </c>
      <c r="F13" s="60">
        <v>49</v>
      </c>
      <c r="G13" s="60">
        <v>49</v>
      </c>
      <c r="H13" s="62" t="s">
        <v>38</v>
      </c>
      <c r="I13" s="60" t="s">
        <v>939</v>
      </c>
      <c r="J13" s="60" t="s">
        <v>317</v>
      </c>
      <c r="K13" s="60">
        <f>IF(J13="syllables",1,IF(J13="trigrams",2,IF(J13="strings",3,IF(J13="visual array",4,IF(J13="characters",5,IF(J13="letters",6,IF(J13="free forms",7,IF(J13="odors",8,IF(J13="words",9,IF(J13="pictures",10,IF(J13="object pictures",11,IF(J13="faces",12,IF(J13="names",13,IF(J13="idioms",14,IF(J13="grades",15,IF(J13="syllable-digit pairs",16,IF(J13="trigram-word pairs",17,IF(J13="word-digit pairs",18,IF(J13="English-Swahili pairs",19,IF(J13="spatial position",20,IF(J13="word pairs",21,IF(J13="word triads",22,IF(J13="generated words",23,IF(J13="word definition pairs",24,IF(J13="math problems",25,IF(J13="famous faces",26,IF(J13="famous names",27,IF(J13="famous voices",28,IF(J13="television programs",29,IF(J13="race horses",30,IF(J13="new vocabulary",31,IF(J13="sentences",32,IF(J13="concepts",33,IF(J13="ad slides",34,IF(J13="scenes",35,IF(J13="famous scenes",36,IF(J13="poems",37,IF(J13="walk",38,IF(J13="faces and events",39,IF(J13="events and names",40,IF(J13="flashbulb",41,IF(J13="stories",42,IF(J13="course material",43,IF(J13="autobiographical",44,IF(J13="novels",45,IF(J13="public events",46,"99"))))))))))))))))))))))))))))))))))))))))))))))</f>
        <v>7</v>
      </c>
      <c r="L13" s="60">
        <f>IF(J13="syllables",1,IF(J13="trigrams",1,IF(J13="strings",1,IF(J13="visual array",1,IF(J13="characters",1,IF(J13="letters",1,IF(J13="free forms",1,IF(J13="odors",2,IF(J13="words",2,IF(J13="pictures",2,IF(J13="object pictures",2,IF(J13="faces",2,IF(J13="names",2,IF(J13="idioms","2",IF(J13="grades",2,IF(J13="syllable-digit pairs",3,IF(J13="trigram-word pairs",3,IF(J13="word-digit pairs",3,IF(J13="English-Swahili pairs",3,IF(J13="spatial position",3,IF(J13="word pairs",4,IF(J13="word triads",4,IF(J13="generated words",4,IF(J13="word definition pairs",4,IF(J13="math problems",4,IF(J13="famous faces",4,IF(J13="famous names",4,IF(J13="famous voices",4,IF(J13="television programs",4,IF(J13="race horses",4,IF(J13="new vocabulary",4,IF(J13="sentences",5,IF(J13="concepts",5,IF(J13="ad slides",5,IF(J13="scenes",5,IF(J13="famous scenes",5,IF(J13="poems",6,IF(J13="walk",6,IF(J13="faces and events",6,IF(J13="events and names",6,IF(J13="flashbulb",7,IF(J13="stories",7,IF(J13="course material",7,IF(J13="autobiographical",7,IF(J13="novels",7,IF(J13="public events",7,"99"))))))))))))))))))))))))))))))))))))))))))))))</f>
        <v>1</v>
      </c>
      <c r="M13" s="60">
        <v>1</v>
      </c>
      <c r="N13" s="60">
        <v>2</v>
      </c>
      <c r="O13" s="60">
        <v>0</v>
      </c>
      <c r="P13" s="60"/>
      <c r="Q13" s="62" t="s">
        <v>174</v>
      </c>
      <c r="R13" s="60">
        <f>IF(Q13="Free Recall",1,IF(Q13="Cued Recall",2,IF(Q13="Recognition",3,IF(Q13="Multiple Choice",4,IF(Q13="Savings",5,IF(Q13="Stem Completion",6,IF(Q13="Fragment Completion",7,IF(Q13="anagram solution",8,IF(Q13="Matching",9,IF(Q13="Problem Solving",10,"99"))))))))))</f>
        <v>1</v>
      </c>
      <c r="S13" s="60" t="s">
        <v>49</v>
      </c>
      <c r="T13" s="59" t="s">
        <v>581</v>
      </c>
      <c r="U13" s="60">
        <f>IF(T13="within",1,0)</f>
        <v>1</v>
      </c>
      <c r="V13" s="59">
        <v>12</v>
      </c>
      <c r="W13" s="60">
        <f>F13*V13</f>
        <v>588</v>
      </c>
      <c r="X13" s="60">
        <v>3</v>
      </c>
      <c r="Y13" s="76">
        <f>AV12</f>
        <v>30</v>
      </c>
      <c r="Z13" s="60" t="s">
        <v>79</v>
      </c>
      <c r="AA13" s="60">
        <f>60*60*24</f>
        <v>86400</v>
      </c>
      <c r="AB13" s="60" t="str">
        <f>IF(AA13&lt;60,"1",IF(AA13&lt;=43200,"2",IF(AA13&lt;=777600,"3","4")))</f>
        <v>3</v>
      </c>
      <c r="AC13" s="56">
        <f>AVERAGE(AV12:DA12)</f>
        <v>29410</v>
      </c>
      <c r="AD13" s="60" t="str">
        <f>IF(AC13&lt;60,"1",IF(AC13&lt;=43200,"2",IF(AC13&lt;=777600,"3","4")))</f>
        <v>2</v>
      </c>
      <c r="AE13" s="76">
        <f>AA13-Y13</f>
        <v>86370</v>
      </c>
      <c r="AF13" s="80">
        <f>AV13</f>
        <v>0.95000000000000007</v>
      </c>
      <c r="AG13" s="56">
        <f>((AW13-AV13)+(AX13-AW13))/2</f>
        <v>-5.0000000000000044E-2</v>
      </c>
      <c r="AH13" s="4"/>
      <c r="AI13" s="56">
        <f>RSQ(AV13:AX13,AV12:AX12)</f>
        <v>0.95038245224120166</v>
      </c>
      <c r="AJ13" s="109">
        <f>SLOPE(AV13:AX13,AV12:AX12)</f>
        <v>-1.0277823707791057E-6</v>
      </c>
      <c r="AK13" s="56">
        <f>INTERCEPT(AV13:AX13,AV12:AX12)</f>
        <v>0.93856041285794678</v>
      </c>
      <c r="AL13" s="56">
        <f>INDEX(LINEST(LN(AV13:AX13),LN(AV12:AX12),TRUE,TRUE),3,1)</f>
        <v>0.90805209590894242</v>
      </c>
      <c r="AM13" s="56">
        <f>INDEX(LINEST(LN(AV13:AX13),LN(AV12:AX12)),1)</f>
        <v>-1.3891845440066442E-2</v>
      </c>
      <c r="AN13" s="56">
        <f>EXP(INDEX(LINEST(LN(AV13:AX13),LN(AV12:AX12)),1,2))</f>
        <v>1.0058527573282312</v>
      </c>
      <c r="AO13" s="82">
        <f>INDEX(LINEST((AV13:AX13),LN(AV12:AX12),TRUE,TRUE),3,1)</f>
        <v>0.91423832512255532</v>
      </c>
      <c r="AP13" s="82">
        <f>INDEX(LINEST((AV13:AX13),LN(AV12:AX12)),1)</f>
        <v>-1.2492186015372671E-2</v>
      </c>
      <c r="AQ13" s="83">
        <f>INDEX(LINEST(LN(AV13:AX13),SQRT(AV12:AX12),TRUE,TRUE),3,1)</f>
        <v>0.98712306315474119</v>
      </c>
      <c r="AR13" s="116">
        <f>INDEX(LINEST(LN(AV13:AX13),SQRT((AV12:AX12))),1)</f>
        <v>-3.6755415072616232E-4</v>
      </c>
      <c r="AS13" s="84">
        <f>INDEX(LINEST(1/(AV13:AX13),1/(SQRT(AV12:AX12)),TRUE,TRUE),3,1)</f>
        <v>0.56206661686696957</v>
      </c>
      <c r="AT13" s="84">
        <f>INDEX(LINEST(1/(AV13:AX13),1/SQRT(AV12:AX12)),1)</f>
        <v>-0.49550248042978839</v>
      </c>
      <c r="AU13" s="3"/>
      <c r="AV13" s="53">
        <f>11.4/12</f>
        <v>0.95000000000000007</v>
      </c>
      <c r="AW13" s="53">
        <f>11.1/12</f>
        <v>0.92499999999999993</v>
      </c>
      <c r="AX13" s="53">
        <f>10.2/12</f>
        <v>0.85</v>
      </c>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c r="BZ13" s="53"/>
      <c r="CA13" s="53"/>
      <c r="CB13" s="53"/>
      <c r="CC13" s="53"/>
      <c r="CD13" s="53"/>
      <c r="CE13" s="53"/>
      <c r="CF13" s="53"/>
      <c r="CG13" s="53"/>
      <c r="CH13" s="53"/>
      <c r="CI13" s="53"/>
      <c r="CJ13" s="53"/>
      <c r="CK13" s="53"/>
      <c r="CL13" s="53"/>
      <c r="CM13" s="53"/>
      <c r="CN13" s="53"/>
      <c r="CO13" s="53"/>
      <c r="CP13" s="53"/>
      <c r="CQ13" s="53"/>
      <c r="CR13" s="1"/>
      <c r="CS13" s="1"/>
      <c r="CT13" s="1"/>
      <c r="CU13" s="1"/>
    </row>
    <row r="14" spans="1:99" s="13" customFormat="1" ht="12" customHeight="1" x14ac:dyDescent="0.2">
      <c r="A14" s="65">
        <v>43951</v>
      </c>
      <c r="B14" s="1"/>
      <c r="C14" s="1"/>
      <c r="D14" s="60"/>
      <c r="E14" s="76"/>
      <c r="F14" s="60"/>
      <c r="G14" s="60"/>
      <c r="H14" s="60"/>
      <c r="I14" s="60"/>
      <c r="J14" s="60"/>
      <c r="K14" s="60"/>
      <c r="L14" s="60"/>
      <c r="M14" s="60"/>
      <c r="N14" s="60"/>
      <c r="O14" s="60"/>
      <c r="P14" s="60"/>
      <c r="Q14" s="60"/>
      <c r="R14" s="60"/>
      <c r="S14" s="60"/>
      <c r="T14" s="59"/>
      <c r="U14" s="60"/>
      <c r="V14" s="59"/>
      <c r="W14" s="60"/>
      <c r="X14" s="60"/>
      <c r="Y14" s="76"/>
      <c r="Z14" s="60"/>
      <c r="AA14" s="60"/>
      <c r="AB14" s="60"/>
      <c r="AC14" s="56"/>
      <c r="AD14" s="60"/>
      <c r="AE14" s="76"/>
      <c r="AF14" s="80"/>
      <c r="AG14" s="56"/>
      <c r="AH14" s="4"/>
      <c r="AI14" s="56"/>
      <c r="AJ14" s="109"/>
      <c r="AK14" s="56"/>
      <c r="AL14" s="56"/>
      <c r="AM14" s="56"/>
      <c r="AN14" s="56"/>
      <c r="AO14" s="82"/>
      <c r="AP14" s="82"/>
      <c r="AQ14" s="83"/>
      <c r="AR14" s="116"/>
      <c r="AS14" s="84"/>
      <c r="AT14" s="84"/>
      <c r="AU14" s="3"/>
      <c r="AV14" s="25">
        <f>60*4</f>
        <v>240</v>
      </c>
      <c r="AW14" s="25">
        <f>60*60*6</f>
        <v>21600</v>
      </c>
      <c r="AX14" s="25">
        <f>60*60*24</f>
        <v>86400</v>
      </c>
      <c r="AY14" s="25">
        <f>60*60*48</f>
        <v>172800</v>
      </c>
      <c r="AZ14" s="25">
        <f>60*60*72</f>
        <v>259200</v>
      </c>
      <c r="BA14" s="25"/>
      <c r="BB14" s="25"/>
      <c r="BC14" s="25"/>
      <c r="BD14" s="53"/>
      <c r="BE14" s="53"/>
      <c r="BF14" s="53"/>
      <c r="BG14" s="53"/>
      <c r="BH14" s="53"/>
      <c r="BI14" s="53"/>
      <c r="BJ14" s="53"/>
      <c r="BK14" s="53"/>
      <c r="BL14" s="53"/>
      <c r="BM14" s="53"/>
      <c r="BN14" s="53"/>
      <c r="BO14" s="53"/>
      <c r="BP14" s="53"/>
      <c r="BQ14" s="53"/>
      <c r="BR14" s="53"/>
      <c r="BS14" s="53"/>
      <c r="BT14" s="53"/>
      <c r="BU14" s="53"/>
      <c r="BV14" s="53"/>
      <c r="BW14" s="53"/>
      <c r="BX14" s="53"/>
      <c r="BY14" s="53"/>
      <c r="BZ14" s="53"/>
      <c r="CA14" s="53"/>
      <c r="CB14" s="53"/>
      <c r="CC14" s="53"/>
      <c r="CD14" s="53"/>
      <c r="CE14" s="53"/>
      <c r="CF14" s="53"/>
      <c r="CG14" s="53"/>
      <c r="CH14" s="53"/>
      <c r="CI14" s="53"/>
      <c r="CJ14" s="53"/>
      <c r="CK14" s="53"/>
      <c r="CL14" s="53"/>
      <c r="CM14" s="53"/>
      <c r="CN14" s="53"/>
      <c r="CO14" s="53"/>
      <c r="CP14" s="53"/>
      <c r="CQ14" s="53"/>
      <c r="CR14" s="1"/>
      <c r="CS14" s="1"/>
      <c r="CT14" s="1"/>
      <c r="CU14" s="1"/>
    </row>
    <row r="15" spans="1:99" s="13" customFormat="1" ht="12" customHeight="1" x14ac:dyDescent="0.2">
      <c r="A15" s="65">
        <v>43951</v>
      </c>
      <c r="B15" s="1" t="s">
        <v>879</v>
      </c>
      <c r="C15" s="1" t="s">
        <v>19</v>
      </c>
      <c r="D15" s="60">
        <v>1954</v>
      </c>
      <c r="E15" s="76">
        <v>1</v>
      </c>
      <c r="F15" s="60">
        <v>125</v>
      </c>
      <c r="G15" s="60">
        <v>25</v>
      </c>
      <c r="H15" s="60" t="s">
        <v>22</v>
      </c>
      <c r="I15" s="60" t="s">
        <v>882</v>
      </c>
      <c r="J15" s="60" t="s">
        <v>320</v>
      </c>
      <c r="K15" s="60">
        <f>IF(J15="syllables",1,IF(J15="trigrams",2,IF(J15="strings",3,IF(J15="visual array",4,IF(J15="characters",5,IF(J15="letters",6,IF(J15="free forms",7,IF(J15="odors",8,IF(J15="words",9,IF(J15="pictures",10,IF(J15="object pictures",11,IF(J15="faces",12,IF(J15="names",13,IF(J15="idioms",14,IF(J15="grades",15,IF(J15="syllable-digit pairs",16,IF(J15="trigram-word pairs",17,IF(J15="word-digit pairs",18,IF(J15="English-Swahili pairs",19,IF(J15="spatial position",20,IF(J15="word pairs",21,IF(J15="word triads",22,IF(J15="generated words",23,IF(J15="word definition pairs",24,IF(J15="math problems",25,IF(J15="famous faces",26,IF(J15="famous names",27,IF(J15="famous voices",28,IF(J15="television programs",29,IF(J15="race horses",30,IF(J15="new vocabulary",31,IF(J15="sentences",32,IF(J15="concepts",33,IF(J15="ad slides",34,IF(J15="scenes",35,IF(J15="famous scenes",36,IF(J15="poems",37,IF(J15="walk",38,IF(J15="faces and events",39,IF(J15="events and names",40,IF(J15="flashbulb",41,IF(J15="stories",42,IF(J15="course material",43,IF(J15="autobiographical",44,IF(J15="novels",45,IF(J15="public events",46,"99"))))))))))))))))))))))))))))))))))))))))))))))</f>
        <v>21</v>
      </c>
      <c r="L15" s="60">
        <f>IF(J15="syllables",1,IF(J15="trigrams",1,IF(J15="strings",1,IF(J15="visual array",1,IF(J15="characters",1,IF(J15="letters",1,IF(J15="free forms",1,IF(J15="odors",2,IF(J15="words",2,IF(J15="pictures",2,IF(J15="object pictures",2,IF(J15="faces",2,IF(J15="names",2,IF(J15="idioms","2",IF(J15="grades",2,IF(J15="syllable-digit pairs",3,IF(J15="trigram-word pairs",3,IF(J15="word-digit pairs",3,IF(J15="English-Swahili pairs",3,IF(J15="spatial position",3,IF(J15="word pairs",4,IF(J15="word triads",4,IF(J15="generated words",4,IF(J15="word definition pairs",4,IF(J15="math problems",4,IF(J15="famous faces",4,IF(J15="famous names",4,IF(J15="famous voices",4,IF(J15="television programs",4,IF(J15="race horses",4,IF(J15="new vocabulary",4,IF(J15="sentences",5,IF(J15="concepts",5,IF(J15="ad slides",5,IF(J15="scenes",5,IF(J15="famous scenes",5,IF(J15="poems",6,IF(J15="walk",6,IF(J15="faces and events",6,IF(J15="events and names",6,IF(J15="flashbulb",7,IF(J15="stories",7,IF(J15="course material",7,IF(J15="autobiographical",7,IF(J15="novels",7,IF(J15="public events",7,"99"))))))))))))))))))))))))))))))))))))))))))))))</f>
        <v>4</v>
      </c>
      <c r="M15" s="60">
        <v>1</v>
      </c>
      <c r="N15" s="60">
        <v>2</v>
      </c>
      <c r="O15" s="60">
        <v>0</v>
      </c>
      <c r="P15" s="60"/>
      <c r="Q15" s="60" t="s">
        <v>65</v>
      </c>
      <c r="R15" s="60">
        <f>IF(Q15="Free Recall",1,IF(Q15="Cued Recall",2,IF(Q15="Recognition",3,IF(Q15="Multiple Choice",4,IF(Q15="Savings",5,IF(Q15="Stem Completion",6,IF(Q15="Fragment Completion",7,IF(Q15="anagram solution",8,IF(Q15="Matching",9,IF(Q15="Problem Solving",10,"99"))))))))))</f>
        <v>2</v>
      </c>
      <c r="S15" s="60" t="s">
        <v>15</v>
      </c>
      <c r="T15" s="59" t="s">
        <v>261</v>
      </c>
      <c r="U15" s="60">
        <f>IF(T15="within",1,0)</f>
        <v>0</v>
      </c>
      <c r="V15" s="59">
        <v>12</v>
      </c>
      <c r="W15" s="60">
        <f>F15*V15</f>
        <v>1500</v>
      </c>
      <c r="X15" s="60">
        <v>5</v>
      </c>
      <c r="Y15" s="76">
        <f>4*60</f>
        <v>240</v>
      </c>
      <c r="Z15" s="60" t="s">
        <v>881</v>
      </c>
      <c r="AA15" s="60">
        <f>60*60*72</f>
        <v>259200</v>
      </c>
      <c r="AB15" s="60" t="str">
        <f>IF(AA15&lt;60,"1",IF(AA15&lt;=43200,"2",IF(AA15&lt;=777600,"3","4")))</f>
        <v>3</v>
      </c>
      <c r="AC15" s="56">
        <f>AVERAGE(AV14:DA14)</f>
        <v>108048</v>
      </c>
      <c r="AD15" s="60" t="str">
        <f>IF(AC15&lt;60,"1",IF(AC15&lt;=43200,"2",IF(AC15&lt;=777600,"3","4")))</f>
        <v>3</v>
      </c>
      <c r="AE15" s="76">
        <f>AA15-Y15</f>
        <v>258960</v>
      </c>
      <c r="AF15" s="80">
        <f>AV15</f>
        <v>0.68333333333333324</v>
      </c>
      <c r="AG15" s="56">
        <f>((AW15-AV15)+(AX15-AW15)+(AY15-AX15)+(AZ15-AY15))/4</f>
        <v>-9.1666666666666646E-2</v>
      </c>
      <c r="AH15" s="4"/>
      <c r="AI15" s="56">
        <f>RSQ(AV15:AZ15,AV14:AZ14)</f>
        <v>0.622019579301198</v>
      </c>
      <c r="AJ15" s="109">
        <f>SLOPE(AV15:AZ15,AV14:AZ14)</f>
        <v>-1.0708973330503304E-6</v>
      </c>
      <c r="AK15" s="56">
        <f>INTERCEPT(AV15:AZ15,AV14:AZ14)</f>
        <v>0.55037498170808874</v>
      </c>
      <c r="AL15" s="56">
        <f>INDEX(LINEST(LN(AV15:AZ15),LN(AV14:AZ14),TRUE,TRUE),3,1)</f>
        <v>0.97863846869272531</v>
      </c>
      <c r="AM15" s="56">
        <f>INDEX(LINEST(LN(AV15:AZ15),LN(AV14:AZ14)),1)</f>
        <v>-0.10518063464026346</v>
      </c>
      <c r="AN15" s="56">
        <f>EXP(INDEX(LINEST(LN(AV15:AZ15),LN(AV14:AZ14)),1,2))</f>
        <v>1.2310463792088222</v>
      </c>
      <c r="AO15" s="82">
        <f>INDEX(LINEST((AV15:AZ15),LN(AV14:AZ14),TRUE,TRUE),3,1)</f>
        <v>0.99099159229876699</v>
      </c>
      <c r="AP15" s="82">
        <f>INDEX(LINEST((AV15:AZ15),LN(AV14:AZ14)),1)</f>
        <v>-5.1385698912878246E-2</v>
      </c>
      <c r="AQ15" s="83">
        <f>INDEX(LINEST(LN(AV15:AZ15),SQRT(AV14:AZ14),TRUE,TRUE),3,1)</f>
        <v>0.89111956347439059</v>
      </c>
      <c r="AR15" s="116">
        <f>INDEX(LINEST(LN(AV15:AZ15),SQRT((AV14:AZ14))),1)</f>
        <v>-1.4307569356511569E-3</v>
      </c>
      <c r="AS15" s="84">
        <f>INDEX(LINEST(1/(AV15:AZ15),1/(SQRT(AV14:AZ14)),TRUE,TRUE),3,1)</f>
        <v>0.78677078837752612</v>
      </c>
      <c r="AT15" s="84">
        <f>INDEX(LINEST(1/(AV15:AZ15),1/SQRT(AV14:AZ14)),1)</f>
        <v>-21.398955349117063</v>
      </c>
      <c r="AU15" s="3"/>
      <c r="AV15" s="53">
        <v>0.68333333333333324</v>
      </c>
      <c r="AW15" s="53">
        <v>0.43333333333333335</v>
      </c>
      <c r="AX15" s="53">
        <v>0.39999999999999997</v>
      </c>
      <c r="AY15" s="53">
        <v>0.34</v>
      </c>
      <c r="AZ15" s="53">
        <v>0.31666666666666665</v>
      </c>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1"/>
      <c r="CS15" s="1"/>
      <c r="CT15" s="1"/>
      <c r="CU15" s="1"/>
    </row>
    <row r="16" spans="1:99" s="13" customFormat="1" ht="12" customHeight="1" x14ac:dyDescent="0.2">
      <c r="A16" s="68">
        <v>43977</v>
      </c>
      <c r="B16" s="70"/>
      <c r="C16" s="70"/>
      <c r="D16" s="69"/>
      <c r="E16" s="87"/>
      <c r="F16" s="69"/>
      <c r="G16" s="69"/>
      <c r="H16" s="69"/>
      <c r="I16" s="69"/>
      <c r="J16" s="69"/>
      <c r="K16" s="69"/>
      <c r="L16" s="69"/>
      <c r="M16" s="69"/>
      <c r="N16" s="69"/>
      <c r="O16" s="69"/>
      <c r="P16" s="69"/>
      <c r="Q16" s="69"/>
      <c r="R16" s="69"/>
      <c r="S16" s="69"/>
      <c r="T16" s="92"/>
      <c r="U16" s="69"/>
      <c r="V16" s="92"/>
      <c r="W16" s="69"/>
      <c r="X16" s="69"/>
      <c r="Y16" s="87"/>
      <c r="Z16" s="69"/>
      <c r="AA16" s="69"/>
      <c r="AB16" s="69"/>
      <c r="AC16" s="72"/>
      <c r="AD16" s="69"/>
      <c r="AE16" s="87"/>
      <c r="AF16" s="88"/>
      <c r="AG16" s="72"/>
      <c r="AH16" s="4"/>
      <c r="AI16" s="72"/>
      <c r="AJ16" s="110"/>
      <c r="AK16" s="72"/>
      <c r="AL16" s="72"/>
      <c r="AM16" s="72"/>
      <c r="AN16" s="72"/>
      <c r="AO16" s="89"/>
      <c r="AP16" s="89"/>
      <c r="AQ16" s="90"/>
      <c r="AR16" s="117"/>
      <c r="AS16" s="91"/>
      <c r="AT16" s="91"/>
      <c r="AU16" s="3"/>
      <c r="AV16" s="71">
        <v>30</v>
      </c>
      <c r="AW16" s="71">
        <f>60*30</f>
        <v>1800</v>
      </c>
      <c r="AX16" s="71">
        <f>60*60*24*7</f>
        <v>604800</v>
      </c>
      <c r="AY16" s="43"/>
      <c r="AZ16" s="53" t="s">
        <v>935</v>
      </c>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1"/>
      <c r="CH16" s="1"/>
      <c r="CI16" s="1"/>
      <c r="CJ16" s="1"/>
    </row>
    <row r="17" spans="1:99" s="13" customFormat="1" ht="12" customHeight="1" x14ac:dyDescent="0.2">
      <c r="A17" s="68">
        <v>43977</v>
      </c>
      <c r="B17" s="70" t="s">
        <v>943</v>
      </c>
      <c r="C17" s="70" t="s">
        <v>54</v>
      </c>
      <c r="D17" s="69">
        <v>2012</v>
      </c>
      <c r="E17" s="87">
        <v>1</v>
      </c>
      <c r="F17" s="69">
        <v>20</v>
      </c>
      <c r="G17" s="69">
        <v>20</v>
      </c>
      <c r="H17" s="69" t="s">
        <v>50</v>
      </c>
      <c r="I17" s="69" t="s">
        <v>330</v>
      </c>
      <c r="J17" s="69" t="s">
        <v>16</v>
      </c>
      <c r="K17" s="69">
        <f>IF(J17="syllables",1,IF(J17="trigrams",2,IF(J17="strings",3,IF(J17="visual array",4,IF(J17="characters",5,IF(J17="letters",6,IF(J17="free forms",7,IF(J17="odors",8,IF(J17="words",9,IF(J17="pictures",10,IF(J17="object pictures",11,IF(J17="faces",12,IF(J17="names",13,IF(J17="idioms",14,IF(J17="grades",15,IF(J17="syllable-digit pairs",16,IF(J17="trigram-word pairs",17,IF(J17="word-digit pairs",18,IF(J17="English-Swahili pairs",19,IF(J17="spatial position",20,IF(J17="word pairs",21,IF(J17="word triads",22,IF(J17="generated words",23,IF(J17="word definition pairs",24,IF(J17="math problems",25,IF(J17="famous faces",26,IF(J17="famous names",27,IF(J17="famous voices",28,IF(J17="television programs",29,IF(J17="race horses",30,IF(J17="new vocabulary",31,IF(J17="sentences",32,IF(J17="concepts",33,IF(J17="ad slides",34,IF(J17="scenes",35,IF(J17="famous scenes",36,IF(J17="poems",37,IF(J17="walk",38,IF(J17="faces and events",39,IF(J17="events and names",40,IF(J17="flashbulb",41,IF(J17="stories",42,IF(J17="course material",43,IF(J17="autobiographical",44,IF(J17="novels",45,IF(J17="public events",46,"99"))))))))))))))))))))))))))))))))))))))))))))))</f>
        <v>9</v>
      </c>
      <c r="L17" s="69">
        <f>IF(J17="syllables",1,IF(J17="trigrams",1,IF(J17="strings",1,IF(J17="visual array",1,IF(J17="characters",1,IF(J17="letters",1,IF(J17="free forms",1,IF(J17="odors",2,IF(J17="words",2,IF(J17="pictures",2,IF(J17="object pictures",2,IF(J17="faces",2,IF(J17="names",2,IF(J17="idioms","2",IF(J17="grades",2,IF(J17="syllable-digit pairs",3,IF(J17="trigram-word pairs",3,IF(J17="word-digit pairs",3,IF(J17="English-Swahili pairs",3,IF(J17="spatial position",3,IF(J17="word pairs",4,IF(J17="word triads",4,IF(J17="generated words",4,IF(J17="word definition pairs",4,IF(J17="math problems",4,IF(J17="famous faces",4,IF(J17="famous names",4,IF(J17="famous voices",4,IF(J17="television programs",4,IF(J17="race horses",4,IF(J17="new vocabulary",4,IF(J17="sentences",5,IF(J17="concepts",5,IF(J17="ad slides",5,IF(J17="scenes",5,IF(J17="famous scenes",5,IF(J17="poems",6,IF(J17="walk",6,IF(J17="faces and events",6,IF(J17="events and names",6,IF(J17="flashbulb",7,IF(J17="stories",7,IF(J17="course material",7,IF(J17="autobiographical",7,IF(J17="novels",7,IF(J17="public events",7,"99"))))))))))))))))))))))))))))))))))))))))))))))</f>
        <v>2</v>
      </c>
      <c r="M17" s="69">
        <v>1</v>
      </c>
      <c r="N17" s="69">
        <v>2</v>
      </c>
      <c r="O17" s="69">
        <v>0</v>
      </c>
      <c r="P17" s="69"/>
      <c r="Q17" s="69" t="s">
        <v>174</v>
      </c>
      <c r="R17" s="69">
        <f>IF(Q17="Free Recall",1,IF(Q17="Cued Recall",2,IF(Q17="Recognition",3,IF(Q17="Multiple Choice",4,IF(Q17="Savings",5,IF(Q17="Stem Completion",6,IF(Q17="Fragment Completion",7,IF(Q17="anagram solution",8,IF(Q17="Matching",9,IF(Q17="Problem Solving",10,"99"))))))))))</f>
        <v>1</v>
      </c>
      <c r="S17" s="99" t="s">
        <v>49</v>
      </c>
      <c r="T17" s="92" t="s">
        <v>581</v>
      </c>
      <c r="U17" s="69">
        <f>IF(T17="within",1,0)</f>
        <v>1</v>
      </c>
      <c r="V17" s="92">
        <v>15</v>
      </c>
      <c r="W17" s="69">
        <f>F17*V17</f>
        <v>300</v>
      </c>
      <c r="X17" s="69">
        <v>3</v>
      </c>
      <c r="Y17" s="87">
        <f>AV16</f>
        <v>30</v>
      </c>
      <c r="Z17" s="69" t="s">
        <v>150</v>
      </c>
      <c r="AA17" s="69">
        <f>60*60*24*7</f>
        <v>604800</v>
      </c>
      <c r="AB17" s="69" t="str">
        <f>IF(AA17&lt;60,"1",IF(AA17&lt;=43200,"2",IF(AA17&lt;=777600,"3","4")))</f>
        <v>3</v>
      </c>
      <c r="AC17" s="72">
        <f>AVERAGE(AV16:DA16)</f>
        <v>202210</v>
      </c>
      <c r="AD17" s="69" t="str">
        <f>IF(AC17&lt;60,"1",IF(AC17&lt;=43200,"2",IF(AC17&lt;=777600,"3","4")))</f>
        <v>3</v>
      </c>
      <c r="AE17" s="87">
        <f>AA17-Y17</f>
        <v>604770</v>
      </c>
      <c r="AF17" s="88">
        <f>AV17</f>
        <v>0.93799999999999994</v>
      </c>
      <c r="AG17" s="72">
        <f>((AW17-AV17)+(AX17-AW17))/2</f>
        <v>-0.12699999999999995</v>
      </c>
      <c r="AH17" s="4"/>
      <c r="AI17" s="72">
        <f>RSQ(AV17:AX17,AV16:AX16)</f>
        <v>0.99896172914415271</v>
      </c>
      <c r="AJ17" s="110">
        <f>SLOPE(AV17:AX17,AV16:AX16)</f>
        <v>-4.1236390733775572E-7</v>
      </c>
      <c r="AK17" s="72">
        <f>INTERCEPT(AV17:AX17,AV16:AX16)</f>
        <v>0.93338410570276764</v>
      </c>
      <c r="AL17" s="72">
        <f>INDEX(LINEST(LN(AV17:AX17),LN(AV16:AX16),TRUE,TRUE),3,1)</f>
        <v>0.85285270918597467</v>
      </c>
      <c r="AM17" s="72">
        <f>INDEX(LINEST(LN(AV17:AX17),LN(AV16:AX16)),1)</f>
        <v>-3.3247186533008365E-2</v>
      </c>
      <c r="AN17" s="72">
        <f>EXP(INDEX(LINEST(LN(AV17:AX17),LN(AV16:AX16)),1,2))</f>
        <v>1.1001603949951162</v>
      </c>
      <c r="AO17" s="89">
        <f>INDEX(LINEST((AV17:AX17),LN(AV16:AX16),TRUE,TRUE),3,1)</f>
        <v>0.85628918219662886</v>
      </c>
      <c r="AP17" s="89">
        <f>INDEX(LINEST((AV17:AX17),LN(AV16:AX16)),1)</f>
        <v>-2.6725641717052388E-2</v>
      </c>
      <c r="AQ17" s="90">
        <f>INDEX(LINEST(LN(AV17:AX17),SQRT(AV16:AX16),TRUE,TRUE),3,1)</f>
        <v>0.99984285303681442</v>
      </c>
      <c r="AR17" s="117">
        <f>INDEX(LINEST(LN(AV17:AX17),SQRT((AV16:AX16))),1)</f>
        <v>-4.1163928579043677E-4</v>
      </c>
      <c r="AS17" s="91">
        <f>INDEX(LINEST(1/(AV17:AX17),1/(SQRT(AV16:AX16)),TRUE,TRUE),3,1)</f>
        <v>0.37788587199384693</v>
      </c>
      <c r="AT17" s="91">
        <f>INDEX(LINEST(1/(AV17:AX17),1/SQRT(AV16:AX16)),1)</f>
        <v>-1.4010411417539366</v>
      </c>
      <c r="AU17" s="3"/>
      <c r="AV17" s="73">
        <v>0.93799999999999994</v>
      </c>
      <c r="AW17" s="73">
        <v>0.92800000000000005</v>
      </c>
      <c r="AX17" s="73">
        <v>0.68400000000000005</v>
      </c>
      <c r="AY17" s="4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1"/>
      <c r="CH17" s="1"/>
      <c r="CI17" s="1"/>
      <c r="CJ17" s="1"/>
    </row>
    <row r="18" spans="1:99" s="13" customFormat="1" ht="12" customHeight="1" x14ac:dyDescent="0.2">
      <c r="A18" s="68">
        <v>43509</v>
      </c>
      <c r="B18" s="70"/>
      <c r="C18" s="70"/>
      <c r="D18" s="69"/>
      <c r="E18" s="87"/>
      <c r="F18" s="69"/>
      <c r="G18" s="69"/>
      <c r="H18" s="69"/>
      <c r="I18" s="69"/>
      <c r="J18" s="69"/>
      <c r="K18" s="107"/>
      <c r="L18" s="107"/>
      <c r="M18" s="69"/>
      <c r="N18" s="69"/>
      <c r="O18" s="69"/>
      <c r="P18" s="69"/>
      <c r="Q18" s="69"/>
      <c r="R18" s="69"/>
      <c r="S18" s="69"/>
      <c r="T18" s="69"/>
      <c r="U18" s="69"/>
      <c r="V18" s="69"/>
      <c r="W18" s="69"/>
      <c r="X18" s="69"/>
      <c r="Y18" s="87"/>
      <c r="Z18" s="69"/>
      <c r="AA18" s="69"/>
      <c r="AB18" s="69"/>
      <c r="AC18" s="69"/>
      <c r="AD18" s="69"/>
      <c r="AE18" s="69"/>
      <c r="AF18" s="88"/>
      <c r="AG18" s="72"/>
      <c r="AH18" s="4"/>
      <c r="AI18" s="72"/>
      <c r="AJ18" s="110"/>
      <c r="AK18" s="72"/>
      <c r="AL18" s="72"/>
      <c r="AM18" s="72"/>
      <c r="AN18" s="72"/>
      <c r="AO18" s="72"/>
      <c r="AP18" s="72"/>
      <c r="AQ18" s="72"/>
      <c r="AR18" s="110"/>
      <c r="AS18" s="72"/>
      <c r="AT18" s="72"/>
      <c r="AU18" s="3"/>
      <c r="AV18" s="71">
        <f>2*60</f>
        <v>120</v>
      </c>
      <c r="AW18" s="71">
        <f>20*60</f>
        <v>1200</v>
      </c>
      <c r="AX18" s="71">
        <f>24*60*60*2</f>
        <v>172800</v>
      </c>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1"/>
      <c r="CS18" s="1"/>
      <c r="CT18" s="1"/>
      <c r="CU18" s="1"/>
    </row>
    <row r="19" spans="1:99" s="13" customFormat="1" ht="12" customHeight="1" x14ac:dyDescent="0.2">
      <c r="A19" s="68">
        <v>43509</v>
      </c>
      <c r="B19" s="70" t="s">
        <v>89</v>
      </c>
      <c r="C19" s="70" t="s">
        <v>19</v>
      </c>
      <c r="D19" s="69">
        <v>1970</v>
      </c>
      <c r="E19" s="87">
        <v>2</v>
      </c>
      <c r="F19" s="69">
        <v>48</v>
      </c>
      <c r="G19" s="69">
        <v>16</v>
      </c>
      <c r="H19" s="69" t="s">
        <v>22</v>
      </c>
      <c r="I19" s="69" t="s">
        <v>644</v>
      </c>
      <c r="J19" s="69" t="s">
        <v>90</v>
      </c>
      <c r="K19" s="69">
        <f>IF(J19="syllables",1,IF(J19="trigrams",2,IF(J19="strings",3,IF(J19="visual array",4,IF(J19="characters",5,IF(J19="letters",6,IF(J19="free forms",7,IF(J19="odors",8,IF(J19="words",9,IF(J19="pictures",10,IF(J19="object pictures",11,IF(J19="faces",12,IF(J19="names",13,IF(J19="idioms",14,IF(J19="grades",15,IF(J19="syllable-digit pairs",16,IF(J19="trigram-word pairs",17,IF(J19="word-digit pairs",18,IF(J19="English-Swahili pairs",19,IF(J19="spatial position",20,IF(J19="word pairs",21,IF(J19="word triads",22,IF(J19="generated words",23,IF(J19="word definition pairs",24,IF(J19="math problems",25,IF(J19="famous faces",26,IF(J19="famous names",27,IF(J19="famous voices",28,IF(J19="television programs",29,IF(J19="race horses",30,IF(J19="new vocabulary",31,IF(J19="sentences",32,IF(J19="concepts",33,IF(J19="ad slides",34,IF(J19="scenes",35,IF(J19="famous scenes",36,IF(J19="poems",37,IF(J19="walk",38,IF(J19="faces and events",39,IF(J19="events and names",40,IF(J19="flashbulb",41,IF(J19="stories",42,IF(J19="course material",43,IF(J19="autobiographical",44,IF(J19="novels",45,IF(J19="public events",46,"99"))))))))))))))))))))))))))))))))))))))))))))))</f>
        <v>18</v>
      </c>
      <c r="L19" s="69">
        <f>IF(J19="syllables",1,IF(J19="trigrams",1,IF(J19="strings",1,IF(J19="visual array",1,IF(J19="characters",1,IF(J19="letters",1,IF(J19="free forms",1,IF(J19="odors",2,IF(J19="words",2,IF(J19="pictures",2,IF(J19="object pictures",2,IF(J19="faces",2,IF(J19="names",2,IF(J19="idioms","2",IF(J19="grades",2,IF(J19="syllable-digit pairs",3,IF(J19="trigram-word pairs",3,IF(J19="word-digit pairs",3,IF(J19="English-Swahili pairs",3,IF(J19="spatial position",3,IF(J19="word pairs",4,IF(J19="word triads",4,IF(J19="generated words",4,IF(J19="word definition pairs",4,IF(J19="math problems",4,IF(J19="famous faces",4,IF(J19="famous names",4,IF(J19="famous voices",4,IF(J19="television programs",4,IF(J19="race horses",4,IF(J19="new vocabulary",4,IF(J19="sentences",5,IF(J19="concepts",5,IF(J19="ad slides",5,IF(J19="scenes",5,IF(J19="famous scenes",5,IF(J19="poems",6,IF(J19="walk",6,IF(J19="faces and events",6,IF(J19="events and names",6,IF(J19="flashbulb",7,IF(J19="stories",7,IF(J19="course material",7,IF(J19="autobiographical",7,IF(J19="novels",7,IF(J19="public events",7,"99"))))))))))))))))))))))))))))))))))))))))))))))</f>
        <v>3</v>
      </c>
      <c r="M19" s="69">
        <v>0</v>
      </c>
      <c r="N19" s="69">
        <v>1</v>
      </c>
      <c r="O19" s="69">
        <v>0</v>
      </c>
      <c r="P19" s="69"/>
      <c r="Q19" s="69" t="s">
        <v>174</v>
      </c>
      <c r="R19" s="69">
        <f>IF(Q19="Free Recall",1,IF(Q19="Cued Recall",2,IF(Q19="Recognition",3,IF(Q19="Multiple Choice",4,IF(Q19="Savings",5,IF(Q19="Stem Completion",6,IF(Q19="Fragment Completion",7,IF(Q19="anagram solution",8,IF(Q19="Matching",9,IF(Q19="Problem Solving",10,"99"))))))))))</f>
        <v>1</v>
      </c>
      <c r="S19" s="69" t="s">
        <v>49</v>
      </c>
      <c r="T19" s="69" t="s">
        <v>261</v>
      </c>
      <c r="U19" s="69">
        <f>IF(T19="within",1,0)</f>
        <v>0</v>
      </c>
      <c r="V19" s="92">
        <v>8</v>
      </c>
      <c r="W19" s="69">
        <f>F19*V19</f>
        <v>384</v>
      </c>
      <c r="X19" s="69">
        <v>3</v>
      </c>
      <c r="Y19" s="87">
        <f>AV18</f>
        <v>120</v>
      </c>
      <c r="Z19" s="69" t="s">
        <v>88</v>
      </c>
      <c r="AA19" s="69">
        <v>172800</v>
      </c>
      <c r="AB19" s="69" t="str">
        <f>IF(AA19&lt;60,"1",IF(AA19&lt;=43200,"2",IF(AA19&lt;=777600,"3","4")))</f>
        <v>3</v>
      </c>
      <c r="AC19" s="72">
        <f>AVERAGE(AV18:DA18)</f>
        <v>58040</v>
      </c>
      <c r="AD19" s="69" t="str">
        <f>IF(AC19&lt;60,"1",IF(AC19&lt;=43200,"2",IF(AC19&lt;=777600,"3","4")))</f>
        <v>3</v>
      </c>
      <c r="AE19" s="87">
        <f>AA19-Y19</f>
        <v>172680</v>
      </c>
      <c r="AF19" s="88">
        <f>AV19</f>
        <v>0.5</v>
      </c>
      <c r="AG19" s="72">
        <f>((AW19-AV19)+(AX19-AW19))/2</f>
        <v>-0.20835000000000001</v>
      </c>
      <c r="AH19" s="4"/>
      <c r="AI19" s="72">
        <f>RSQ(AV19:AX19,AV18:AX18)</f>
        <v>0.48626352147765439</v>
      </c>
      <c r="AJ19" s="110">
        <f>SLOPE(AV19:AX19,AV18:AX18)</f>
        <v>-1.521509979747481E-6</v>
      </c>
      <c r="AK19" s="72">
        <f>INTERCEPT(AV19:AX19,AV18:AX18)</f>
        <v>0.34524177255787714</v>
      </c>
      <c r="AL19" s="72">
        <f>INDEX(LINEST(LN(AV19:AX19),LN(AV18:AX18),TRUE,TRUE),3,1)</f>
        <v>0.93230192471481943</v>
      </c>
      <c r="AM19" s="72">
        <f>INDEX(LINEST(LN(AV19:AX19),LN(AV18:AX18)),1)</f>
        <v>-0.23313064757059063</v>
      </c>
      <c r="AN19" s="72">
        <f>EXP(INDEX(LINEST(LN(AV19:AX19),LN(AV18:AX18)),1,2))</f>
        <v>1.2746967439134511</v>
      </c>
      <c r="AO19" s="89">
        <f>INDEX(LINEST((AV19:AX19),LN(AV18:AX18),TRUE,TRUE),3,1)</f>
        <v>0.77881190275621404</v>
      </c>
      <c r="AP19" s="89">
        <f>INDEX(LINEST((AV19:AX19),LN(AV18:AX18)),1)</f>
        <v>-5.1488559122577778E-2</v>
      </c>
      <c r="AQ19" s="90">
        <f>INDEX(LINEST(LN(AV19:AX19),SQRT(AV18:AX18),TRUE,TRUE),3,1)</f>
        <v>0.74792954195117223</v>
      </c>
      <c r="AR19" s="117">
        <f>INDEX(LINEST(LN(AV19:AX19),SQRT((AV18:AX18))),1)</f>
        <v>-3.4167807946846158E-3</v>
      </c>
      <c r="AS19" s="91">
        <f>INDEX(LINEST(1/(AV19:AX19),1/(SQRT(AV18:AX18)),TRUE,TRUE),3,1)</f>
        <v>0.83390890657925554</v>
      </c>
      <c r="AT19" s="91">
        <f>INDEX(LINEST(1/(AV19:AX19),1/SQRT(AV18:AX18)),1)</f>
        <v>-101.93747227075491</v>
      </c>
      <c r="AU19" s="3"/>
      <c r="AV19" s="73">
        <v>0.5</v>
      </c>
      <c r="AW19" s="73">
        <v>0.1875</v>
      </c>
      <c r="AX19" s="73">
        <v>8.3299999999999999E-2</v>
      </c>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1"/>
      <c r="CS19" s="1"/>
      <c r="CT19" s="1"/>
      <c r="CU19" s="1"/>
    </row>
    <row r="20" spans="1:99" s="13" customFormat="1" ht="12" customHeight="1" x14ac:dyDescent="0.2">
      <c r="A20" s="68">
        <v>43509</v>
      </c>
      <c r="B20" s="70"/>
      <c r="C20" s="70"/>
      <c r="D20" s="69"/>
      <c r="E20" s="87"/>
      <c r="F20" s="69"/>
      <c r="G20" s="69"/>
      <c r="H20" s="69"/>
      <c r="I20" s="69"/>
      <c r="J20" s="69"/>
      <c r="K20" s="107"/>
      <c r="L20" s="107"/>
      <c r="M20" s="69"/>
      <c r="N20" s="69"/>
      <c r="O20" s="69"/>
      <c r="P20" s="69"/>
      <c r="Q20" s="69"/>
      <c r="R20" s="69"/>
      <c r="S20" s="69"/>
      <c r="T20" s="69"/>
      <c r="U20" s="69"/>
      <c r="V20" s="69"/>
      <c r="W20" s="69"/>
      <c r="X20" s="69"/>
      <c r="Y20" s="87"/>
      <c r="Z20" s="69"/>
      <c r="AA20" s="69"/>
      <c r="AB20" s="69"/>
      <c r="AC20" s="69"/>
      <c r="AD20" s="69"/>
      <c r="AE20" s="69"/>
      <c r="AF20" s="88"/>
      <c r="AG20" s="72"/>
      <c r="AH20" s="4"/>
      <c r="AI20" s="72"/>
      <c r="AJ20" s="110"/>
      <c r="AK20" s="72"/>
      <c r="AL20" s="72"/>
      <c r="AM20" s="72"/>
      <c r="AN20" s="72"/>
      <c r="AO20" s="72"/>
      <c r="AP20" s="72"/>
      <c r="AQ20" s="72"/>
      <c r="AR20" s="110"/>
      <c r="AS20" s="72"/>
      <c r="AT20" s="72"/>
      <c r="AU20" s="3"/>
      <c r="AV20" s="71">
        <f>2*60</f>
        <v>120</v>
      </c>
      <c r="AW20" s="71">
        <f>20*60</f>
        <v>1200</v>
      </c>
      <c r="AX20" s="71">
        <f>24*60*60*2</f>
        <v>172800</v>
      </c>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1"/>
      <c r="CS20" s="1"/>
      <c r="CT20" s="1"/>
      <c r="CU20" s="1"/>
    </row>
    <row r="21" spans="1:99" s="13" customFormat="1" ht="12" customHeight="1" x14ac:dyDescent="0.2">
      <c r="A21" s="68">
        <v>43509</v>
      </c>
      <c r="B21" s="70" t="s">
        <v>89</v>
      </c>
      <c r="C21" s="70" t="s">
        <v>19</v>
      </c>
      <c r="D21" s="69">
        <v>1970</v>
      </c>
      <c r="E21" s="87">
        <v>2</v>
      </c>
      <c r="F21" s="69">
        <v>48</v>
      </c>
      <c r="G21" s="69">
        <v>16</v>
      </c>
      <c r="H21" s="69" t="s">
        <v>22</v>
      </c>
      <c r="I21" s="69" t="s">
        <v>646</v>
      </c>
      <c r="J21" s="69" t="s">
        <v>90</v>
      </c>
      <c r="K21" s="69">
        <f>IF(J21="syllables",1,IF(J21="trigrams",2,IF(J21="strings",3,IF(J21="visual array",4,IF(J21="characters",5,IF(J21="letters",6,IF(J21="free forms",7,IF(J21="odors",8,IF(J21="words",9,IF(J21="pictures",10,IF(J21="object pictures",11,IF(J21="faces",12,IF(J21="names",13,IF(J21="idioms",14,IF(J21="grades",15,IF(J21="syllable-digit pairs",16,IF(J21="trigram-word pairs",17,IF(J21="word-digit pairs",18,IF(J21="English-Swahili pairs",19,IF(J21="spatial position",20,IF(J21="word pairs",21,IF(J21="word triads",22,IF(J21="generated words",23,IF(J21="word definition pairs",24,IF(J21="math problems",25,IF(J21="famous faces",26,IF(J21="famous names",27,IF(J21="famous voices",28,IF(J21="television programs",29,IF(J21="race horses",30,IF(J21="new vocabulary",31,IF(J21="sentences",32,IF(J21="concepts",33,IF(J21="ad slides",34,IF(J21="scenes",35,IF(J21="famous scenes",36,IF(J21="poems",37,IF(J21="walk",38,IF(J21="faces and events",39,IF(J21="events and names",40,IF(J21="flashbulb",41,IF(J21="stories",42,IF(J21="course material",43,IF(J21="autobiographical",44,IF(J21="novels",45,IF(J21="public events",46,"99"))))))))))))))))))))))))))))))))))))))))))))))</f>
        <v>18</v>
      </c>
      <c r="L21" s="69">
        <f>IF(J21="syllables",1,IF(J21="trigrams",1,IF(J21="strings",1,IF(J21="visual array",1,IF(J21="characters",1,IF(J21="letters",1,IF(J21="free forms",1,IF(J21="odors",2,IF(J21="words",2,IF(J21="pictures",2,IF(J21="object pictures",2,IF(J21="faces",2,IF(J21="names",2,IF(J21="idioms","2",IF(J21="grades",2,IF(J21="syllable-digit pairs",3,IF(J21="trigram-word pairs",3,IF(J21="word-digit pairs",3,IF(J21="English-Swahili pairs",3,IF(J21="spatial position",3,IF(J21="word pairs",4,IF(J21="word triads",4,IF(J21="generated words",4,IF(J21="word definition pairs",4,IF(J21="math problems",4,IF(J21="famous faces",4,IF(J21="famous names",4,IF(J21="famous voices",4,IF(J21="television programs",4,IF(J21="race horses",4,IF(J21="new vocabulary",4,IF(J21="sentences",5,IF(J21="concepts",5,IF(J21="ad slides",5,IF(J21="scenes",5,IF(J21="famous scenes",5,IF(J21="poems",6,IF(J21="walk",6,IF(J21="faces and events",6,IF(J21="events and names",6,IF(J21="flashbulb",7,IF(J21="stories",7,IF(J21="course material",7,IF(J21="autobiographical",7,IF(J21="novels",7,IF(J21="public events",7,"99"))))))))))))))))))))))))))))))))))))))))))))))</f>
        <v>3</v>
      </c>
      <c r="M21" s="69">
        <v>0</v>
      </c>
      <c r="N21" s="69">
        <v>1</v>
      </c>
      <c r="O21" s="69">
        <v>0</v>
      </c>
      <c r="P21" s="69"/>
      <c r="Q21" s="69" t="s">
        <v>174</v>
      </c>
      <c r="R21" s="69">
        <f>IF(Q21="Free Recall",1,IF(Q21="Cued Recall",2,IF(Q21="Recognition",3,IF(Q21="Multiple Choice",4,IF(Q21="Savings",5,IF(Q21="Stem Completion",6,IF(Q21="Fragment Completion",7,IF(Q21="anagram solution",8,IF(Q21="Matching",9,IF(Q21="Problem Solving",10,"99"))))))))))</f>
        <v>1</v>
      </c>
      <c r="S21" s="69" t="s">
        <v>49</v>
      </c>
      <c r="T21" s="69" t="s">
        <v>261</v>
      </c>
      <c r="U21" s="69">
        <f>IF(T21="within",1,0)</f>
        <v>0</v>
      </c>
      <c r="V21" s="69">
        <v>8</v>
      </c>
      <c r="W21" s="69">
        <f>F21*V21</f>
        <v>384</v>
      </c>
      <c r="X21" s="69">
        <v>3</v>
      </c>
      <c r="Y21" s="87">
        <f>AV20</f>
        <v>120</v>
      </c>
      <c r="Z21" s="69" t="s">
        <v>88</v>
      </c>
      <c r="AA21" s="69">
        <v>172800</v>
      </c>
      <c r="AB21" s="69" t="str">
        <f>IF(AA21&lt;60,"1",IF(AA21&lt;=43200,"2",IF(AA21&lt;=777600,"3","4")))</f>
        <v>3</v>
      </c>
      <c r="AC21" s="72">
        <f>AVERAGE(AV20:DA20)</f>
        <v>58040</v>
      </c>
      <c r="AD21" s="69" t="str">
        <f>IF(AC21&lt;60,"1",IF(AC21&lt;=43200,"2",IF(AC21&lt;=777600,"3","4")))</f>
        <v>3</v>
      </c>
      <c r="AE21" s="87">
        <f>AA21-Y21</f>
        <v>172680</v>
      </c>
      <c r="AF21" s="88">
        <f>AV21</f>
        <v>0.4375</v>
      </c>
      <c r="AG21" s="72">
        <f>((AW21-AV21)+(AX21-AW21))/2</f>
        <v>-0.14584999999999998</v>
      </c>
      <c r="AH21" s="4"/>
      <c r="AI21" s="72">
        <f>RSQ(AV21:AX21,AV20:AX20)</f>
        <v>0.821788458307389</v>
      </c>
      <c r="AJ21" s="110">
        <f>SLOPE(AV21:AX21,AV20:AX20)</f>
        <v>-1.3348518673120648E-6</v>
      </c>
      <c r="AK21" s="72">
        <f>INTERCEPT(AV21:AX21,AV20:AX20)</f>
        <v>0.37607480237879226</v>
      </c>
      <c r="AL21" s="72">
        <f>INDEX(LINEST(LN(AV21:AX21),LN(AV20:AX20),TRUE,TRUE),3,1)</f>
        <v>0.99986822205521708</v>
      </c>
      <c r="AM21" s="72">
        <f>INDEX(LINEST(LN(AV21:AX21),LN(AV20:AX20)),1)</f>
        <v>-0.15146565654909644</v>
      </c>
      <c r="AN21" s="72">
        <f>EXP(INDEX(LINEST(LN(AV21:AX21),LN(AV20:AX20)),1,2))</f>
        <v>0.90796572636000383</v>
      </c>
      <c r="AO21" s="89">
        <f>INDEX(LINEST((AV21:AX21),LN(AV20:AX20),TRUE,TRUE),3,1)</f>
        <v>0.98412833448466608</v>
      </c>
      <c r="AP21" s="89">
        <f>INDEX(LINEST((AV21:AX21),LN(AV20:AX20)),1)</f>
        <v>-3.9060195362180021E-2</v>
      </c>
      <c r="AQ21" s="90">
        <f>INDEX(LINEST(LN(AV21:AX21),SQRT(AV20:AX20),TRUE,TRUE),3,1)</f>
        <v>0.93817180444074755</v>
      </c>
      <c r="AR21" s="117">
        <f>INDEX(LINEST(LN(AV21:AX21),SQRT((AV20:AX20))),1)</f>
        <v>-2.4007651109035667E-3</v>
      </c>
      <c r="AS21" s="91">
        <f>INDEX(LINEST(1/(AV21:AX21),1/(SQRT(AV20:AX20)),TRUE,TRUE),3,1)</f>
        <v>0.7151354733153692</v>
      </c>
      <c r="AT21" s="91">
        <f>INDEX(LINEST(1/(AV21:AX21),1/SQRT(AV20:AX20)),1)</f>
        <v>-44.840318161582715</v>
      </c>
      <c r="AU21" s="3"/>
      <c r="AV21" s="73">
        <v>0.4375</v>
      </c>
      <c r="AW21" s="73">
        <v>0.3125</v>
      </c>
      <c r="AX21" s="73">
        <v>0.14580000000000001</v>
      </c>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1"/>
      <c r="CS21" s="1"/>
      <c r="CT21" s="1"/>
      <c r="CU21" s="1"/>
    </row>
    <row r="22" spans="1:99" s="13" customFormat="1" ht="12" customHeight="1" x14ac:dyDescent="0.2">
      <c r="A22" s="68">
        <v>43976</v>
      </c>
      <c r="B22" s="70"/>
      <c r="C22" s="70"/>
      <c r="D22" s="69"/>
      <c r="E22" s="87"/>
      <c r="F22" s="69"/>
      <c r="G22" s="69"/>
      <c r="H22" s="69"/>
      <c r="I22" s="69"/>
      <c r="J22" s="69"/>
      <c r="K22" s="69"/>
      <c r="L22" s="69"/>
      <c r="M22" s="69"/>
      <c r="N22" s="69"/>
      <c r="O22" s="69"/>
      <c r="P22" s="69"/>
      <c r="Q22" s="69"/>
      <c r="R22" s="92"/>
      <c r="S22" s="69"/>
      <c r="T22" s="92"/>
      <c r="U22" s="69"/>
      <c r="V22" s="69"/>
      <c r="W22" s="87"/>
      <c r="X22" s="69"/>
      <c r="Y22" s="69"/>
      <c r="Z22" s="69"/>
      <c r="AA22" s="72"/>
      <c r="AB22" s="69"/>
      <c r="AC22" s="87"/>
      <c r="AD22" s="87"/>
      <c r="AE22" s="87"/>
      <c r="AF22" s="88"/>
      <c r="AG22" s="72"/>
      <c r="AH22" s="4"/>
      <c r="AI22" s="72"/>
      <c r="AJ22" s="110"/>
      <c r="AK22" s="72"/>
      <c r="AL22" s="72"/>
      <c r="AM22" s="72"/>
      <c r="AN22" s="72"/>
      <c r="AO22" s="89"/>
      <c r="AP22" s="89"/>
      <c r="AQ22" s="90"/>
      <c r="AR22" s="117"/>
      <c r="AS22" s="91"/>
      <c r="AT22" s="91"/>
      <c r="AU22" s="3"/>
      <c r="AV22" s="71">
        <v>90</v>
      </c>
      <c r="AW22" s="71">
        <f>60*10</f>
        <v>600</v>
      </c>
      <c r="AX22" s="71">
        <f>60*60</f>
        <v>3600</v>
      </c>
      <c r="AY22" s="71">
        <f>60*60*24</f>
        <v>86400</v>
      </c>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1"/>
      <c r="CS22" s="1"/>
      <c r="CT22" s="1"/>
      <c r="CU22" s="1"/>
    </row>
    <row r="23" spans="1:99" s="13" customFormat="1" ht="12" customHeight="1" x14ac:dyDescent="0.2">
      <c r="A23" s="68">
        <v>43976</v>
      </c>
      <c r="B23" s="70" t="s">
        <v>924</v>
      </c>
      <c r="C23" s="70" t="s">
        <v>357</v>
      </c>
      <c r="D23" s="69">
        <v>1995</v>
      </c>
      <c r="E23" s="87">
        <v>2</v>
      </c>
      <c r="F23" s="69">
        <v>21</v>
      </c>
      <c r="G23" s="69">
        <v>21</v>
      </c>
      <c r="H23" s="69" t="s">
        <v>32</v>
      </c>
      <c r="I23" s="69" t="s">
        <v>330</v>
      </c>
      <c r="J23" s="69" t="s">
        <v>313</v>
      </c>
      <c r="K23" s="69">
        <f>IF(J23="syllables",1,IF(J23="trigrams",2,IF(J23="strings",3,IF(J23="visual array",4,IF(J23="characters",5,IF(J23="letters",6,IF(J23="free forms",7,IF(J23="odors",8,IF(J23="words",9,IF(J23="pictures",10,IF(J23="object pictures",11,IF(J23="faces",12,IF(J23="names",13,IF(J23="idioms",14,IF(J23="grades",15,IF(J23="syllable-digit pairs",16,IF(J23="trigram-word pairs",17,IF(J23="word-digit pairs",18,IF(J23="English-Swahili pairs",19,IF(J23="spatial position",20,IF(J23="word pairs",21,IF(J23="word triads",22,IF(J23="generated words",23,IF(J23="word definition pairs",24,IF(J23="math problems",25,IF(J23="famous faces",26,IF(J23="famous names",27,IF(J23="famous voices",28,IF(J23="television programs",29,IF(J23="race horses",30,IF(J23="new vocabulary",31,IF(J23="sentences",32,IF(J23="concepts",33,IF(J23="ad slides",34,IF(J23="scenes",35,IF(J23="famous scenes",36,IF(J23="poems",37,IF(J23="walk",38,IF(J23="faces and events",39,IF(J23="events and names",40,IF(J23="flashbulb",41,IF(J23="stories",42,IF(J23="course material",43,IF(J23="autobiographical",44,IF(J23="novels",45,IF(J23="public events",46,"99"))))))))))))))))))))))))))))))))))))))))))))))</f>
        <v>10</v>
      </c>
      <c r="L23" s="69">
        <f>IF(J23="syllables",1,IF(J23="trigrams",1,IF(J23="strings",1,IF(J23="visual array",1,IF(J23="characters",1,IF(J23="letters",1,IF(J23="free forms",1,IF(J23="odors",2,IF(J23="words",2,IF(J23="pictures",2,IF(J23="object pictures",2,IF(J23="faces",2,IF(J23="names",2,IF(J23="idioms","2",IF(J23="grades",2,IF(J23="syllable-digit pairs",3,IF(J23="trigram-word pairs",3,IF(J23="word-digit pairs",3,IF(J23="English-Swahili pairs",3,IF(J23="spatial position",3,IF(J23="word pairs",4,IF(J23="word triads",4,IF(J23="generated words",4,IF(J23="word definition pairs",4,IF(J23="math problems",4,IF(J23="famous faces",4,IF(J23="famous names",4,IF(J23="famous voices",4,IF(J23="television programs",4,IF(J23="race horses",4,IF(J23="new vocabulary",4,IF(J23="sentences",5,IF(J23="concepts",5,IF(J23="ad slides",5,IF(J23="scenes",5,IF(J23="famous scenes",5,IF(J23="poems",6,IF(J23="walk",6,IF(J23="faces and events",6,IF(J23="events and names",6,IF(J23="flashbulb",7,IF(J23="stories",7,IF(J23="course material",7,IF(J23="autobiographical",7,IF(J23="novels",7,IF(J23="public events",7,"99"))))))))))))))))))))))))))))))))))))))))))))))</f>
        <v>2</v>
      </c>
      <c r="M23" s="69">
        <v>0</v>
      </c>
      <c r="N23" s="69">
        <v>1</v>
      </c>
      <c r="O23" s="69">
        <v>0</v>
      </c>
      <c r="P23" s="69"/>
      <c r="Q23" s="69" t="s">
        <v>34</v>
      </c>
      <c r="R23" s="69">
        <f>IF(Q23="Free Recall",1,IF(Q23="Cued Recall",2,IF(Q23="Recognition",3,IF(Q23="Multiple Choice",4,IF(Q23="Savings",5,IF(Q23="Stem Completion",6,IF(Q23="Fragment Completion",7,IF(Q23="anagram solution",8,IF(Q23="Matching",9,IF(Q23="Problem Solving",10,"99"))))))))))</f>
        <v>3</v>
      </c>
      <c r="S23" s="69" t="s">
        <v>49</v>
      </c>
      <c r="T23" s="92" t="s">
        <v>581</v>
      </c>
      <c r="U23" s="69">
        <f>IF(T23="within",1,0)</f>
        <v>1</v>
      </c>
      <c r="V23" s="92">
        <v>100</v>
      </c>
      <c r="W23" s="69">
        <f>F23*V23</f>
        <v>2100</v>
      </c>
      <c r="X23" s="69">
        <v>4</v>
      </c>
      <c r="Y23" s="87">
        <f>AV22</f>
        <v>90</v>
      </c>
      <c r="Z23" s="69" t="s">
        <v>79</v>
      </c>
      <c r="AA23" s="69">
        <f>60*60*24</f>
        <v>86400</v>
      </c>
      <c r="AB23" s="69" t="str">
        <f>IF(AA23&lt;60,"1",IF(AA23&lt;=43200,"2",IF(AA23&lt;=777600,"3","4")))</f>
        <v>3</v>
      </c>
      <c r="AC23" s="72">
        <f>AVERAGE(AV22:AZ22)</f>
        <v>22672.5</v>
      </c>
      <c r="AD23" s="69" t="str">
        <f>IF(AC23&lt;60,"1",IF(AC23&lt;=43200,"2",IF(AC23&lt;=777600,"3","4")))</f>
        <v>2</v>
      </c>
      <c r="AE23" s="87">
        <f>AA23-Y23</f>
        <v>86310</v>
      </c>
      <c r="AF23" s="88">
        <f>AV23</f>
        <v>0.89045622199999996</v>
      </c>
      <c r="AG23" s="72">
        <f>((AW23-AV23)+(AX23-AW23)+(AY23-AX23))/3</f>
        <v>-4.4065930666666642E-2</v>
      </c>
      <c r="AH23" s="4"/>
      <c r="AI23" s="72">
        <f>RSQ(AV23:AY23,AV22:AY22)</f>
        <v>0.44266277301030366</v>
      </c>
      <c r="AJ23" s="110">
        <f>SLOPE(AV23:AY23,AV22:AY22)</f>
        <v>-8.7174491176772909E-7</v>
      </c>
      <c r="AK23" s="72">
        <f>INTERCEPT(AV23:AY23,AV22:AY22)</f>
        <v>0.83233046551205392</v>
      </c>
      <c r="AL23" s="72">
        <f>INDEX(LINEST(LN(AV23:AY23),LN(AV22:AY22),TRUE,TRUE),3,1)</f>
        <v>0.80486971769474402</v>
      </c>
      <c r="AM23" s="72">
        <f>INDEX(LINEST(LN(AV23:AY23),LN(AV22:AY22)),1)</f>
        <v>-2.0682404901746009E-2</v>
      </c>
      <c r="AN23" s="72">
        <f>EXP(INDEX(LINEST(LN(AV23:AY23),LN(AV22:AY22)),1,2))</f>
        <v>0.94949704911830035</v>
      </c>
      <c r="AO23" s="89">
        <f>INDEX(LINEST((AV23:AY23),LN(AV22:AY22),TRUE,TRUE),3,1)</f>
        <v>0.79077611560755812</v>
      </c>
      <c r="AP23" s="89">
        <f>INDEX(LINEST((AV23:AY23),LN(AV22:AY22)),1)</f>
        <v>-1.6959203130312586E-2</v>
      </c>
      <c r="AQ23" s="90">
        <f>INDEX(LINEST(LN(AV23:AY23),SQRT(AV22:AY22),TRUE,TRUE),3,1)</f>
        <v>0.54941571336571926</v>
      </c>
      <c r="AR23" s="117">
        <f>INDEX(LINEST(LN(AV23:AY23),SQRT((AV22:AY22))),1)</f>
        <v>-3.752540426727167E-4</v>
      </c>
      <c r="AS23" s="91">
        <f>INDEX(LINEST(1/(AV23:AY23),1/(SQRT(AV22:AY22)),TRUE,TRUE),3,1)</f>
        <v>0.91428302353590685</v>
      </c>
      <c r="AT23" s="91">
        <f>INDEX(LINEST(1/(AV23:AY23),1/SQRT(AV22:AY22)),1)</f>
        <v>-1.7230122535623253</v>
      </c>
      <c r="AU23" s="3"/>
      <c r="AV23" s="73">
        <v>0.89045622199999996</v>
      </c>
      <c r="AW23" s="73">
        <v>0.79811809499999997</v>
      </c>
      <c r="AX23" s="73">
        <v>0.80343056899999998</v>
      </c>
      <c r="AY23" s="73">
        <v>0.75825843000000004</v>
      </c>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1"/>
      <c r="CS23" s="1"/>
      <c r="CT23" s="1"/>
      <c r="CU23" s="1"/>
    </row>
    <row r="24" spans="1:99" s="13" customFormat="1" ht="12" customHeight="1" x14ac:dyDescent="0.2">
      <c r="A24" s="65">
        <v>43509</v>
      </c>
      <c r="B24" s="1"/>
      <c r="C24" s="1"/>
      <c r="D24" s="60"/>
      <c r="E24" s="76"/>
      <c r="F24" s="60"/>
      <c r="G24" s="60"/>
      <c r="H24" s="60"/>
      <c r="I24" s="60"/>
      <c r="J24" s="60"/>
      <c r="K24" s="64"/>
      <c r="L24" s="64"/>
      <c r="M24" s="60"/>
      <c r="N24" s="60"/>
      <c r="O24" s="60"/>
      <c r="P24" s="60"/>
      <c r="Q24" s="60"/>
      <c r="R24" s="60"/>
      <c r="S24" s="60"/>
      <c r="T24" s="60"/>
      <c r="U24" s="60"/>
      <c r="V24" s="60"/>
      <c r="W24" s="60"/>
      <c r="X24" s="60"/>
      <c r="Y24" s="76"/>
      <c r="Z24" s="60"/>
      <c r="AA24" s="60"/>
      <c r="AB24" s="60"/>
      <c r="AC24" s="60"/>
      <c r="AD24" s="60"/>
      <c r="AE24" s="60"/>
      <c r="AF24" s="80"/>
      <c r="AG24" s="56"/>
      <c r="AH24" s="4"/>
      <c r="AI24" s="56"/>
      <c r="AJ24" s="109"/>
      <c r="AK24" s="56"/>
      <c r="AL24" s="56"/>
      <c r="AM24" s="56"/>
      <c r="AN24" s="56"/>
      <c r="AO24" s="56"/>
      <c r="AP24" s="56"/>
      <c r="AQ24" s="56"/>
      <c r="AR24" s="109"/>
      <c r="AS24" s="56"/>
      <c r="AT24" s="56"/>
      <c r="AU24" s="4"/>
      <c r="AV24" s="25">
        <f>20*60</f>
        <v>1200</v>
      </c>
      <c r="AW24" s="25">
        <f>24*60*60*1</f>
        <v>86400</v>
      </c>
      <c r="AX24" s="25">
        <f>24*60*60*7</f>
        <v>604800</v>
      </c>
      <c r="AY24" s="53"/>
      <c r="AZ24" s="53"/>
      <c r="BA24" s="53"/>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1"/>
      <c r="CS24" s="1"/>
      <c r="CT24" s="1"/>
      <c r="CU24" s="1"/>
    </row>
    <row r="25" spans="1:99" s="13" customFormat="1" ht="12" customHeight="1" x14ac:dyDescent="0.2">
      <c r="A25" s="65">
        <v>43509</v>
      </c>
      <c r="B25" s="1" t="s">
        <v>91</v>
      </c>
      <c r="C25" s="1" t="s">
        <v>70</v>
      </c>
      <c r="D25" s="60">
        <v>2010</v>
      </c>
      <c r="E25" s="76">
        <v>1</v>
      </c>
      <c r="F25" s="60">
        <v>84</v>
      </c>
      <c r="G25" s="60">
        <v>28</v>
      </c>
      <c r="H25" s="60" t="s">
        <v>50</v>
      </c>
      <c r="I25" s="60" t="s">
        <v>662</v>
      </c>
      <c r="J25" s="60" t="s">
        <v>61</v>
      </c>
      <c r="K25" s="60">
        <f>IF(J25="syllables",1,IF(J25="trigrams",2,IF(J25="strings",3,IF(J25="visual array",4,IF(J25="characters",5,IF(J25="letters",6,IF(J25="free forms",7,IF(J25="odors",8,IF(J25="words",9,IF(J25="pictures",10,IF(J25="object pictures",11,IF(J25="faces",12,IF(J25="names",13,IF(J25="idioms",14,IF(J25="grades",15,IF(J25="syllable-digit pairs",16,IF(J25="trigram-word pairs",17,IF(J25="word-digit pairs",18,IF(J25="English-Swahili pairs",19,IF(J25="spatial position",20,IF(J25="word pairs",21,IF(J25="word triads",22,IF(J25="generated words",23,IF(J25="word definition pairs",24,IF(J25="math problems",25,IF(J25="famous faces",26,IF(J25="famous names",27,IF(J25="famous voices",28,IF(J25="television programs",29,IF(J25="race horses",30,IF(J25="new vocabulary",31,IF(J25="sentences",32,IF(J25="concepts",33,IF(J25="ad slides",34,IF(J25="scenes",35,IF(J25="famous scenes",36,IF(J25="poems",37,IF(J25="walk",38,IF(J25="faces and events",39,IF(J25="events and names",40,IF(J25="flashbulb",41,IF(J25="stories",42,IF(J25="course material",43,IF(J25="autobiographical",44,IF(J25="novels",45,IF(J25="public events",46,"99"))))))))))))))))))))))))))))))))))))))))))))))</f>
        <v>42</v>
      </c>
      <c r="L25" s="60">
        <f>IF(J25="syllables",1,IF(J25="trigrams",1,IF(J25="strings",1,IF(J25="visual array",1,IF(J25="characters",1,IF(J25="letters",1,IF(J25="free forms",1,IF(J25="odors",2,IF(J25="words",2,IF(J25="pictures",2,IF(J25="object pictures",2,IF(J25="faces",2,IF(J25="names",2,IF(J25="idioms","2",IF(J25="grades",2,IF(J25="syllable-digit pairs",3,IF(J25="trigram-word pairs",3,IF(J25="word-digit pairs",3,IF(J25="English-Swahili pairs",3,IF(J25="spatial position",3,IF(J25="word pairs",4,IF(J25="word triads",4,IF(J25="generated words",4,IF(J25="word definition pairs",4,IF(J25="math problems",4,IF(J25="famous faces",4,IF(J25="famous names",4,IF(J25="famous voices",4,IF(J25="television programs",4,IF(J25="race horses",4,IF(J25="new vocabulary",4,IF(J25="sentences",5,IF(J25="concepts",5,IF(J25="ad slides",5,IF(J25="scenes",5,IF(J25="famous scenes",5,IF(J25="poems",6,IF(J25="walk",6,IF(J25="faces and events",6,IF(J25="events and names",6,IF(J25="flashbulb",7,IF(J25="stories",7,IF(J25="course material",7,IF(J25="autobiographical",7,IF(J25="novels",7,IF(J25="public events",7,"99"))))))))))))))))))))))))))))))))))))))))))))))</f>
        <v>7</v>
      </c>
      <c r="M25" s="60">
        <v>0</v>
      </c>
      <c r="N25" s="60">
        <v>4</v>
      </c>
      <c r="O25" s="60">
        <v>1</v>
      </c>
      <c r="P25" s="60" t="s">
        <v>92</v>
      </c>
      <c r="Q25" s="60" t="s">
        <v>174</v>
      </c>
      <c r="R25" s="60">
        <f>IF(Q25="Free Recall",1,IF(Q25="Cued Recall",2,IF(Q25="Recognition",3,IF(Q25="Multiple Choice",4,IF(Q25="Savings",5,IF(Q25="Stem Completion",6,IF(Q25="Fragment Completion",7,IF(Q25="anagram solution",8,IF(Q25="Matching",9,IF(Q25="Problem Solving",10,"99"))))))))))</f>
        <v>1</v>
      </c>
      <c r="S25" s="60" t="s">
        <v>15</v>
      </c>
      <c r="T25" s="59" t="s">
        <v>261</v>
      </c>
      <c r="U25" s="60">
        <f>IF(T25="within",1,0)</f>
        <v>0</v>
      </c>
      <c r="V25" s="59">
        <v>48</v>
      </c>
      <c r="W25" s="60">
        <f>F25*V25</f>
        <v>4032</v>
      </c>
      <c r="X25" s="60">
        <v>3</v>
      </c>
      <c r="Y25" s="76">
        <f>AV24</f>
        <v>1200</v>
      </c>
      <c r="Z25" s="60" t="s">
        <v>97</v>
      </c>
      <c r="AA25" s="60">
        <v>604800</v>
      </c>
      <c r="AB25" s="60" t="str">
        <f>IF(AA25&lt;60,"1",IF(AA25&lt;=43200,"2",IF(AA25&lt;=777600,"3","4")))</f>
        <v>3</v>
      </c>
      <c r="AC25" s="56">
        <f>AVERAGE(AV24:DA24)</f>
        <v>230800</v>
      </c>
      <c r="AD25" s="60" t="str">
        <f>IF(AC25&lt;60,"1",IF(AC25&lt;=43200,"2",IF(AC25&lt;=777600,"3","4")))</f>
        <v>3</v>
      </c>
      <c r="AE25" s="76">
        <f>AA25-Y25</f>
        <v>603600</v>
      </c>
      <c r="AF25" s="80">
        <f>AV25</f>
        <v>0.60399999999999998</v>
      </c>
      <c r="AG25" s="56">
        <f>((AW25-AV25)+(AX25-AW25))/2</f>
        <v>-4.2499999999999982E-2</v>
      </c>
      <c r="AH25" s="4"/>
      <c r="AI25" s="56">
        <f>RSQ(AV25:AX25,AV24:AX24)</f>
        <v>0.77878398076363653</v>
      </c>
      <c r="AJ25" s="109">
        <f>SLOPE(AV25:AX25,AV24:AX24)</f>
        <v>-1.807354001658143E-7</v>
      </c>
      <c r="AK25" s="56">
        <f>INTERCEPT(AV25:AX25,AV24:AX24)</f>
        <v>0.63304706369160335</v>
      </c>
      <c r="AL25" s="56">
        <f>INDEX(LINEST(LN(AV25:AX25),LN(AV24:AX24),TRUE,TRUE),3,1)</f>
        <v>0.23296513274876129</v>
      </c>
      <c r="AM25" s="56">
        <f>INDEX(LINEST(LN(AV25:AX25),LN(AV24:AX24)),1)</f>
        <v>-1.7505181395033102E-2</v>
      </c>
      <c r="AN25" s="56">
        <f>EXP(INDEX(LINEST(LN(AV25:AX25),LN(AV24:AX24)),1,2))</f>
        <v>0.70865776077852982</v>
      </c>
      <c r="AO25" s="82">
        <f>INDEX(LINEST((AV25:AX25),LN(AV24:AX24),TRUE,TRUE),3,1)</f>
        <v>0.20942269192848584</v>
      </c>
      <c r="AP25" s="82">
        <f>INDEX(LINEST((AV25:AX25),LN(AV24:AX24)),1)</f>
        <v>-9.6185145089980224E-3</v>
      </c>
      <c r="AQ25" s="83">
        <f>INDEX(LINEST(LN(AV25:AX25),SQRT(AV24:AX24),TRUE,TRUE),3,1)</f>
        <v>0.60318843534265221</v>
      </c>
      <c r="AR25" s="116">
        <f>INDEX(LINEST(LN(AV25:AX25),SQRT((AV24:AX24))),1)</f>
        <v>-2.3774958238986972E-4</v>
      </c>
      <c r="AS25" s="84">
        <f>INDEX(LINEST(1/(AV25:AX25),1/(SQRT(AV24:AX24)),TRUE,TRUE),3,1)</f>
        <v>8.1447151231600873E-2</v>
      </c>
      <c r="AT25" s="84">
        <f>INDEX(LINEST(1/(AV25:AX25),1/SQRT(AV24:AX24)),1)</f>
        <v>-3.7219066405166217</v>
      </c>
      <c r="AU25" s="3"/>
      <c r="AV25" s="53">
        <v>0.60399999999999998</v>
      </c>
      <c r="AW25" s="53">
        <v>0.65100000000000002</v>
      </c>
      <c r="AX25" s="53">
        <v>0.51900000000000002</v>
      </c>
      <c r="AY25" s="53"/>
      <c r="AZ25" s="53"/>
      <c r="BA25" s="53"/>
      <c r="BB25" s="53"/>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1"/>
      <c r="CS25" s="1"/>
      <c r="CT25" s="1"/>
      <c r="CU25" s="1"/>
    </row>
    <row r="26" spans="1:99" s="13" customFormat="1" ht="12" customHeight="1" x14ac:dyDescent="0.2">
      <c r="A26" s="65">
        <v>43509</v>
      </c>
      <c r="B26" s="1"/>
      <c r="C26" s="1"/>
      <c r="D26" s="60"/>
      <c r="E26" s="76"/>
      <c r="F26" s="60"/>
      <c r="G26" s="60"/>
      <c r="H26" s="60"/>
      <c r="I26" s="60"/>
      <c r="J26" s="60"/>
      <c r="K26" s="64"/>
      <c r="L26" s="64"/>
      <c r="M26" s="60"/>
      <c r="N26" s="60"/>
      <c r="O26" s="60"/>
      <c r="P26" s="60"/>
      <c r="Q26" s="60"/>
      <c r="R26" s="60"/>
      <c r="S26" s="60"/>
      <c r="T26" s="60"/>
      <c r="U26" s="60"/>
      <c r="V26" s="60"/>
      <c r="W26" s="60"/>
      <c r="X26" s="60"/>
      <c r="Y26" s="76"/>
      <c r="Z26" s="60"/>
      <c r="AA26" s="60"/>
      <c r="AB26" s="60"/>
      <c r="AC26" s="60"/>
      <c r="AD26" s="60"/>
      <c r="AE26" s="60"/>
      <c r="AF26" s="80"/>
      <c r="AG26" s="56"/>
      <c r="AH26" s="4"/>
      <c r="AI26" s="56"/>
      <c r="AJ26" s="109"/>
      <c r="AK26" s="56"/>
      <c r="AL26" s="56"/>
      <c r="AM26" s="56"/>
      <c r="AN26" s="56"/>
      <c r="AO26" s="56"/>
      <c r="AP26" s="56"/>
      <c r="AQ26" s="56"/>
      <c r="AR26" s="109"/>
      <c r="AS26" s="56"/>
      <c r="AT26" s="56"/>
      <c r="AU26" s="4"/>
      <c r="AV26" s="25">
        <f>20*60</f>
        <v>1200</v>
      </c>
      <c r="AW26" s="25">
        <f>24*60*60*1</f>
        <v>86400</v>
      </c>
      <c r="AX26" s="25">
        <f>24*60*60*7</f>
        <v>604800</v>
      </c>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1"/>
      <c r="CS26" s="1"/>
      <c r="CT26" s="1"/>
      <c r="CU26" s="1"/>
    </row>
    <row r="27" spans="1:99" s="13" customFormat="1" ht="12" customHeight="1" x14ac:dyDescent="0.2">
      <c r="A27" s="65">
        <v>43509</v>
      </c>
      <c r="B27" s="1" t="s">
        <v>91</v>
      </c>
      <c r="C27" s="1" t="s">
        <v>70</v>
      </c>
      <c r="D27" s="60">
        <v>2010</v>
      </c>
      <c r="E27" s="76">
        <v>1</v>
      </c>
      <c r="F27" s="60">
        <v>84</v>
      </c>
      <c r="G27" s="60">
        <v>28</v>
      </c>
      <c r="H27" s="60" t="s">
        <v>50</v>
      </c>
      <c r="I27" s="60" t="s">
        <v>663</v>
      </c>
      <c r="J27" s="60" t="s">
        <v>61</v>
      </c>
      <c r="K27" s="60">
        <f>IF(J27="syllables",1,IF(J27="trigrams",2,IF(J27="strings",3,IF(J27="visual array",4,IF(J27="characters",5,IF(J27="letters",6,IF(J27="free forms",7,IF(J27="odors",8,IF(J27="words",9,IF(J27="pictures",10,IF(J27="object pictures",11,IF(J27="faces",12,IF(J27="names",13,IF(J27="idioms",14,IF(J27="grades",15,IF(J27="syllable-digit pairs",16,IF(J27="trigram-word pairs",17,IF(J27="word-digit pairs",18,IF(J27="English-Swahili pairs",19,IF(J27="spatial position",20,IF(J27="word pairs",21,IF(J27="word triads",22,IF(J27="generated words",23,IF(J27="word definition pairs",24,IF(J27="math problems",25,IF(J27="famous faces",26,IF(J27="famous names",27,IF(J27="famous voices",28,IF(J27="television programs",29,IF(J27="race horses",30,IF(J27="new vocabulary",31,IF(J27="sentences",32,IF(J27="concepts",33,IF(J27="ad slides",34,IF(J27="scenes",35,IF(J27="famous scenes",36,IF(J27="poems",37,IF(J27="walk",38,IF(J27="faces and events",39,IF(J27="events and names",40,IF(J27="flashbulb",41,IF(J27="stories",42,IF(J27="course material",43,IF(J27="autobiographical",44,IF(J27="novels",45,IF(J27="public events",46,"99"))))))))))))))))))))))))))))))))))))))))))))))</f>
        <v>42</v>
      </c>
      <c r="L27" s="60">
        <f>IF(J27="syllables",1,IF(J27="trigrams",1,IF(J27="strings",1,IF(J27="visual array",1,IF(J27="characters",1,IF(J27="letters",1,IF(J27="free forms",1,IF(J27="odors",2,IF(J27="words",2,IF(J27="pictures",2,IF(J27="object pictures",2,IF(J27="faces",2,IF(J27="names",2,IF(J27="idioms","2",IF(J27="grades",2,IF(J27="syllable-digit pairs",3,IF(J27="trigram-word pairs",3,IF(J27="word-digit pairs",3,IF(J27="English-Swahili pairs",3,IF(J27="spatial position",3,IF(J27="word pairs",4,IF(J27="word triads",4,IF(J27="generated words",4,IF(J27="word definition pairs",4,IF(J27="math problems",4,IF(J27="famous faces",4,IF(J27="famous names",4,IF(J27="famous voices",4,IF(J27="television programs",4,IF(J27="race horses",4,IF(J27="new vocabulary",4,IF(J27="sentences",5,IF(J27="concepts",5,IF(J27="ad slides",5,IF(J27="scenes",5,IF(J27="famous scenes",5,IF(J27="poems",6,IF(J27="walk",6,IF(J27="faces and events",6,IF(J27="events and names",6,IF(J27="flashbulb",7,IF(J27="stories",7,IF(J27="course material",7,IF(J27="autobiographical",7,IF(J27="novels",7,IF(J27="public events",7,"99"))))))))))))))))))))))))))))))))))))))))))))))</f>
        <v>7</v>
      </c>
      <c r="M27" s="60">
        <v>0</v>
      </c>
      <c r="N27" s="60">
        <v>4</v>
      </c>
      <c r="O27" s="60">
        <v>1</v>
      </c>
      <c r="P27" s="60" t="s">
        <v>92</v>
      </c>
      <c r="Q27" s="60" t="s">
        <v>174</v>
      </c>
      <c r="R27" s="60">
        <f>IF(Q27="Free Recall",1,IF(Q27="Cued Recall",2,IF(Q27="Recognition",3,IF(Q27="Multiple Choice",4,IF(Q27="Savings",5,IF(Q27="Stem Completion",6,IF(Q27="Fragment Completion",7,IF(Q27="anagram solution",8,IF(Q27="Matching",9,IF(Q27="Problem Solving",10,"99"))))))))))</f>
        <v>1</v>
      </c>
      <c r="S27" s="60" t="s">
        <v>15</v>
      </c>
      <c r="T27" s="59" t="s">
        <v>261</v>
      </c>
      <c r="U27" s="60">
        <f>IF(T27="within",1,0)</f>
        <v>0</v>
      </c>
      <c r="V27" s="59">
        <v>48</v>
      </c>
      <c r="W27" s="60">
        <f>F27*V27</f>
        <v>4032</v>
      </c>
      <c r="X27" s="60">
        <v>3</v>
      </c>
      <c r="Y27" s="76">
        <f>AV26</f>
        <v>1200</v>
      </c>
      <c r="Z27" s="60" t="s">
        <v>97</v>
      </c>
      <c r="AA27" s="60">
        <v>604800</v>
      </c>
      <c r="AB27" s="60" t="str">
        <f>IF(AA27&lt;60,"1",IF(AA27&lt;=43200,"2",IF(AA27&lt;=777600,"3","4")))</f>
        <v>3</v>
      </c>
      <c r="AC27" s="56">
        <f>AVERAGE(AV26:DA26)</f>
        <v>230800</v>
      </c>
      <c r="AD27" s="60" t="str">
        <f>IF(AC27&lt;60,"1",IF(AC27&lt;=43200,"2",IF(AC27&lt;=777600,"3","4")))</f>
        <v>3</v>
      </c>
      <c r="AE27" s="76">
        <f>AA27-Y27</f>
        <v>603600</v>
      </c>
      <c r="AF27" s="80">
        <f>AV27</f>
        <v>0.52600000000000002</v>
      </c>
      <c r="AG27" s="56">
        <f>((AW27-AV27)+(AX27-AW27))/2</f>
        <v>-7.9000000000000015E-2</v>
      </c>
      <c r="AH27" s="4"/>
      <c r="AI27" s="56">
        <f>RSQ(AV27:AX27,AV26:AX26)</f>
        <v>0.9936071203038136</v>
      </c>
      <c r="AJ27" s="109">
        <f>SLOPE(AV27:AX27,AV26:AX26)</f>
        <v>-2.7076202641335755E-7</v>
      </c>
      <c r="AK27" s="56">
        <f>INTERCEPT(AV27:AX27,AV26:AX26)</f>
        <v>0.53282520902953623</v>
      </c>
      <c r="AL27" s="56">
        <f>INDEX(LINEST(LN(AV27:AX27),LN(AV26:AX26),TRUE,TRUE),3,1)</f>
        <v>0.59116122874336929</v>
      </c>
      <c r="AM27" s="56">
        <f>INDEX(LINEST(LN(AV27:AX27),LN(AV26:AX26)),1)</f>
        <v>-4.8656392858362589E-2</v>
      </c>
      <c r="AN27" s="56">
        <f>EXP(INDEX(LINEST(LN(AV27:AX27),LN(AV26:AX26)),1,2))</f>
        <v>0.77723156194502485</v>
      </c>
      <c r="AO27" s="82">
        <f>INDEX(LINEST((AV27:AX27),LN(AV26:AX26),TRUE,TRUE),3,1)</f>
        <v>0.5989007001772092</v>
      </c>
      <c r="AP27" s="82">
        <f>INDEX(LINEST((AV27:AX27),LN(AV26:AX26)),1)</f>
        <v>-2.1573431696713535E-2</v>
      </c>
      <c r="AQ27" s="83">
        <f>INDEX(LINEST(LN(AV27:AX27),SQRT(AV26:AX26),TRUE,TRUE),3,1)</f>
        <v>0.90804873600990355</v>
      </c>
      <c r="AR27" s="116">
        <f>INDEX(LINEST(LN(AV27:AX27),SQRT((AV26:AX26))),1)</f>
        <v>-5.0899512654635037E-4</v>
      </c>
      <c r="AS27" s="84">
        <f>INDEX(LINEST(1/(AV27:AX27),1/(SQRT(AV26:AX26)),TRUE,TRUE),3,1)</f>
        <v>0.34557897982582991</v>
      </c>
      <c r="AT27" s="84">
        <f>INDEX(LINEST(1/(AV27:AX27),1/SQRT(AV26:AX26)),1)</f>
        <v>-17.693560044573399</v>
      </c>
      <c r="AU27" s="3"/>
      <c r="AV27" s="53">
        <v>0.52600000000000002</v>
      </c>
      <c r="AW27" s="53">
        <v>0.51700000000000002</v>
      </c>
      <c r="AX27" s="53">
        <v>0.36799999999999999</v>
      </c>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1"/>
      <c r="CS27" s="1"/>
      <c r="CT27" s="1"/>
      <c r="CU27" s="1"/>
    </row>
    <row r="28" spans="1:99" s="13" customFormat="1" ht="12" customHeight="1" x14ac:dyDescent="0.2">
      <c r="A28" s="65">
        <v>43509</v>
      </c>
      <c r="B28" s="1"/>
      <c r="C28" s="1"/>
      <c r="D28" s="60"/>
      <c r="E28" s="76"/>
      <c r="F28" s="60"/>
      <c r="G28" s="60"/>
      <c r="H28" s="60"/>
      <c r="I28" s="60"/>
      <c r="J28" s="60"/>
      <c r="K28" s="64"/>
      <c r="L28" s="64"/>
      <c r="M28" s="60"/>
      <c r="N28" s="60"/>
      <c r="O28" s="60"/>
      <c r="P28" s="60"/>
      <c r="Q28" s="60"/>
      <c r="R28" s="60"/>
      <c r="S28" s="60"/>
      <c r="T28" s="60"/>
      <c r="U28" s="60"/>
      <c r="V28" s="60"/>
      <c r="W28" s="60"/>
      <c r="X28" s="60"/>
      <c r="Y28" s="76"/>
      <c r="Z28" s="60"/>
      <c r="AA28" s="60"/>
      <c r="AB28" s="60"/>
      <c r="AC28" s="60"/>
      <c r="AD28" s="60"/>
      <c r="AE28" s="60"/>
      <c r="AF28" s="80"/>
      <c r="AG28" s="56"/>
      <c r="AH28" s="4"/>
      <c r="AI28" s="56"/>
      <c r="AJ28" s="109"/>
      <c r="AK28" s="56"/>
      <c r="AL28" s="56"/>
      <c r="AM28" s="56"/>
      <c r="AN28" s="56"/>
      <c r="AO28" s="56"/>
      <c r="AP28" s="56"/>
      <c r="AQ28" s="56"/>
      <c r="AR28" s="109"/>
      <c r="AS28" s="56"/>
      <c r="AT28" s="56"/>
      <c r="AU28" s="4"/>
      <c r="AV28" s="25">
        <f>20*60</f>
        <v>1200</v>
      </c>
      <c r="AW28" s="25">
        <f>24*60*60*1</f>
        <v>86400</v>
      </c>
      <c r="AX28" s="25">
        <f>24*60*60*7</f>
        <v>604800</v>
      </c>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1"/>
      <c r="CS28" s="1"/>
      <c r="CT28" s="1"/>
      <c r="CU28" s="1"/>
    </row>
    <row r="29" spans="1:99" s="13" customFormat="1" ht="12" customHeight="1" x14ac:dyDescent="0.2">
      <c r="A29" s="65">
        <v>43509</v>
      </c>
      <c r="B29" s="1" t="s">
        <v>91</v>
      </c>
      <c r="C29" s="1" t="s">
        <v>70</v>
      </c>
      <c r="D29" s="60">
        <v>2010</v>
      </c>
      <c r="E29" s="76">
        <v>1</v>
      </c>
      <c r="F29" s="60">
        <v>84</v>
      </c>
      <c r="G29" s="60">
        <v>28</v>
      </c>
      <c r="H29" s="60" t="s">
        <v>50</v>
      </c>
      <c r="I29" s="60" t="s">
        <v>664</v>
      </c>
      <c r="J29" s="60" t="s">
        <v>61</v>
      </c>
      <c r="K29" s="60">
        <f>IF(J29="syllables",1,IF(J29="trigrams",2,IF(J29="strings",3,IF(J29="visual array",4,IF(J29="characters",5,IF(J29="letters",6,IF(J29="free forms",7,IF(J29="odors",8,IF(J29="words",9,IF(J29="pictures",10,IF(J29="object pictures",11,IF(J29="faces",12,IF(J29="names",13,IF(J29="idioms",14,IF(J29="grades",15,IF(J29="syllable-digit pairs",16,IF(J29="trigram-word pairs",17,IF(J29="word-digit pairs",18,IF(J29="English-Swahili pairs",19,IF(J29="spatial position",20,IF(J29="word pairs",21,IF(J29="word triads",22,IF(J29="generated words",23,IF(J29="word definition pairs",24,IF(J29="math problems",25,IF(J29="famous faces",26,IF(J29="famous names",27,IF(J29="famous voices",28,IF(J29="television programs",29,IF(J29="race horses",30,IF(J29="new vocabulary",31,IF(J29="sentences",32,IF(J29="concepts",33,IF(J29="ad slides",34,IF(J29="scenes",35,IF(J29="famous scenes",36,IF(J29="poems",37,IF(J29="walk",38,IF(J29="faces and events",39,IF(J29="events and names",40,IF(J29="flashbulb",41,IF(J29="stories",42,IF(J29="course material",43,IF(J29="autobiographical",44,IF(J29="novels",45,IF(J29="public events",46,"99"))))))))))))))))))))))))))))))))))))))))))))))</f>
        <v>42</v>
      </c>
      <c r="L29" s="60">
        <f>IF(J29="syllables",1,IF(J29="trigrams",1,IF(J29="strings",1,IF(J29="visual array",1,IF(J29="characters",1,IF(J29="letters",1,IF(J29="free forms",1,IF(J29="odors",2,IF(J29="words",2,IF(J29="pictures",2,IF(J29="object pictures",2,IF(J29="faces",2,IF(J29="names",2,IF(J29="idioms","2",IF(J29="grades",2,IF(J29="syllable-digit pairs",3,IF(J29="trigram-word pairs",3,IF(J29="word-digit pairs",3,IF(J29="English-Swahili pairs",3,IF(J29="spatial position",3,IF(J29="word pairs",4,IF(J29="word triads",4,IF(J29="generated words",4,IF(J29="word definition pairs",4,IF(J29="math problems",4,IF(J29="famous faces",4,IF(J29="famous names",4,IF(J29="famous voices",4,IF(J29="television programs",4,IF(J29="race horses",4,IF(J29="new vocabulary",4,IF(J29="sentences",5,IF(J29="concepts",5,IF(J29="ad slides",5,IF(J29="scenes",5,IF(J29="famous scenes",5,IF(J29="poems",6,IF(J29="walk",6,IF(J29="faces and events",6,IF(J29="events and names",6,IF(J29="flashbulb",7,IF(J29="stories",7,IF(J29="course material",7,IF(J29="autobiographical",7,IF(J29="novels",7,IF(J29="public events",7,"99"))))))))))))))))))))))))))))))))))))))))))))))</f>
        <v>7</v>
      </c>
      <c r="M29" s="60">
        <v>0</v>
      </c>
      <c r="N29" s="60">
        <v>3</v>
      </c>
      <c r="O29" s="60">
        <v>1</v>
      </c>
      <c r="P29" s="60" t="s">
        <v>92</v>
      </c>
      <c r="Q29" s="60" t="s">
        <v>174</v>
      </c>
      <c r="R29" s="60">
        <f>IF(Q29="Free Recall",1,IF(Q29="Cued Recall",2,IF(Q29="Recognition",3,IF(Q29="Multiple Choice",4,IF(Q29="Savings",5,IF(Q29="Stem Completion",6,IF(Q29="Fragment Completion",7,IF(Q29="anagram solution",8,IF(Q29="Matching",9,IF(Q29="Problem Solving",10,"99"))))))))))</f>
        <v>1</v>
      </c>
      <c r="S29" s="60" t="s">
        <v>15</v>
      </c>
      <c r="T29" s="59" t="s">
        <v>261</v>
      </c>
      <c r="U29" s="60">
        <f>IF(T29="within",1,0)</f>
        <v>0</v>
      </c>
      <c r="V29" s="59">
        <v>48</v>
      </c>
      <c r="W29" s="60">
        <f>F29*V29</f>
        <v>4032</v>
      </c>
      <c r="X29" s="60">
        <v>3</v>
      </c>
      <c r="Y29" s="76">
        <f>AV28</f>
        <v>1200</v>
      </c>
      <c r="Z29" s="60" t="s">
        <v>97</v>
      </c>
      <c r="AA29" s="60">
        <v>604800</v>
      </c>
      <c r="AB29" s="60" t="str">
        <f>IF(AA29&lt;60,"1",IF(AA29&lt;=43200,"2",IF(AA29&lt;=777600,"3","4")))</f>
        <v>3</v>
      </c>
      <c r="AC29" s="56">
        <f>AVERAGE(AV28:DA28)</f>
        <v>230800</v>
      </c>
      <c r="AD29" s="60" t="str">
        <f>IF(AC29&lt;60,"1",IF(AC29&lt;=43200,"2",IF(AC29&lt;=777600,"3","4")))</f>
        <v>3</v>
      </c>
      <c r="AE29" s="76">
        <f>AA29-Y29</f>
        <v>603600</v>
      </c>
      <c r="AF29" s="80">
        <f>AV29</f>
        <v>0.54200000000000004</v>
      </c>
      <c r="AG29" s="56">
        <f>((AW29-AV29)+(AX29-AW29))/2</f>
        <v>-0.15200000000000002</v>
      </c>
      <c r="AH29" s="4"/>
      <c r="AI29" s="56">
        <f>RSQ(AV29:AX29,AV28:AX28)</f>
        <v>0.9219648966041839</v>
      </c>
      <c r="AJ29" s="109">
        <f>SLOPE(AV29:AX29,AV28:AX28)</f>
        <v>-4.4946222775936237E-7</v>
      </c>
      <c r="AK29" s="56">
        <f>INTERCEPT(AV29:AX29,AV28:AX28)</f>
        <v>0.50340254883352753</v>
      </c>
      <c r="AL29" s="56">
        <f>INDEX(LINEST(LN(AV29:AX29),LN(AV28:AX28),TRUE,TRUE),3,1)</f>
        <v>0.82930688571354905</v>
      </c>
      <c r="AM29" s="56">
        <f>INDEX(LINEST(LN(AV29:AX29),LN(AV28:AX28)),1)</f>
        <v>-0.12044284994417628</v>
      </c>
      <c r="AN29" s="56">
        <f>EXP(INDEX(LINEST(LN(AV29:AX29),LN(AV28:AX28)),1,2))</f>
        <v>1.3537103161744559</v>
      </c>
      <c r="AO29" s="82">
        <f>INDEX(LINEST((AV29:AX29),LN(AV28:AX28),TRUE,TRUE),3,1)</f>
        <v>0.89943841856676909</v>
      </c>
      <c r="AP29" s="82">
        <f>INDEX(LINEST((AV29:AX29),LN(AV28:AX28)),1)</f>
        <v>-4.5559939592300557E-2</v>
      </c>
      <c r="AQ29" s="83">
        <f>INDEX(LINEST(LN(AV29:AX29),SQRT(AV28:AX28),TRUE,TRUE),3,1)</f>
        <v>0.99837905987354936</v>
      </c>
      <c r="AR29" s="116">
        <f>INDEX(LINEST(LN(AV29:AX29),SQRT((AV28:AX28))),1)</f>
        <v>-1.115432326382016E-3</v>
      </c>
      <c r="AS29" s="84">
        <f>INDEX(LINEST(1/(AV29:AX29),1/(SQRT(AV28:AX28)),TRUE,TRUE),3,1)</f>
        <v>0.52836658035672579</v>
      </c>
      <c r="AT29" s="84">
        <f>INDEX(LINEST(1/(AV29:AX29),1/SQRT(AV28:AX28)),1)</f>
        <v>-58.451788278513547</v>
      </c>
      <c r="AU29" s="3"/>
      <c r="AV29" s="53">
        <v>0.54200000000000004</v>
      </c>
      <c r="AW29" s="53">
        <v>0.41899999999999998</v>
      </c>
      <c r="AX29" s="53">
        <v>0.23799999999999999</v>
      </c>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1"/>
      <c r="CS29" s="1"/>
      <c r="CT29" s="1"/>
      <c r="CU29" s="1"/>
    </row>
    <row r="30" spans="1:99" ht="12" customHeight="1" x14ac:dyDescent="0.2">
      <c r="A30" s="68">
        <v>43509</v>
      </c>
      <c r="B30" s="94"/>
      <c r="C30" s="94"/>
      <c r="D30" s="92"/>
      <c r="E30" s="105"/>
      <c r="F30" s="92"/>
      <c r="G30" s="92"/>
      <c r="H30" s="92"/>
      <c r="I30" s="92"/>
      <c r="J30" s="92"/>
      <c r="K30" s="107"/>
      <c r="L30" s="107"/>
      <c r="M30" s="92"/>
      <c r="N30" s="92"/>
      <c r="O30" s="92"/>
      <c r="P30" s="92"/>
      <c r="Q30" s="92"/>
      <c r="R30" s="69"/>
      <c r="S30" s="92"/>
      <c r="T30" s="92"/>
      <c r="U30" s="69"/>
      <c r="V30" s="92"/>
      <c r="W30" s="69"/>
      <c r="X30" s="92"/>
      <c r="Y30" s="87"/>
      <c r="Z30" s="92"/>
      <c r="AA30" s="92"/>
      <c r="AB30" s="69"/>
      <c r="AC30" s="69"/>
      <c r="AD30" s="69"/>
      <c r="AE30" s="69"/>
      <c r="AF30" s="88"/>
      <c r="AG30" s="72"/>
      <c r="AH30" s="4"/>
      <c r="AI30" s="108"/>
      <c r="AJ30" s="113"/>
      <c r="AK30" s="108"/>
      <c r="AL30" s="108"/>
      <c r="AM30" s="108"/>
      <c r="AN30" s="108"/>
      <c r="AO30" s="108"/>
      <c r="AP30" s="108"/>
      <c r="AQ30" s="108"/>
      <c r="AR30" s="113"/>
      <c r="AS30" s="108"/>
      <c r="AT30" s="108"/>
      <c r="AU30" s="3"/>
      <c r="AV30" s="98">
        <v>300</v>
      </c>
      <c r="AW30" s="98">
        <f>2*24*3600</f>
        <v>172800</v>
      </c>
      <c r="AX30" s="98">
        <f>7*24*3600</f>
        <v>604800</v>
      </c>
      <c r="AY30" s="11" t="s">
        <v>508</v>
      </c>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5"/>
      <c r="CS30" s="15"/>
      <c r="CT30" s="15"/>
      <c r="CU30" s="15"/>
    </row>
    <row r="31" spans="1:99" ht="12" customHeight="1" x14ac:dyDescent="0.2">
      <c r="A31" s="68">
        <v>43509</v>
      </c>
      <c r="B31" s="127" t="s">
        <v>266</v>
      </c>
      <c r="C31" s="94" t="s">
        <v>78</v>
      </c>
      <c r="D31" s="92">
        <v>1987</v>
      </c>
      <c r="E31" s="105">
        <v>1</v>
      </c>
      <c r="F31" s="92">
        <v>59</v>
      </c>
      <c r="G31" s="92">
        <v>19.7</v>
      </c>
      <c r="H31" s="92" t="s">
        <v>22</v>
      </c>
      <c r="I31" s="92"/>
      <c r="J31" s="92" t="s">
        <v>172</v>
      </c>
      <c r="K31" s="69">
        <f>IF(J31="syllables",1,IF(J31="trigrams",2,IF(J31="strings",3,IF(J31="visual array",4,IF(J31="characters",5,IF(J31="letters",6,IF(J31="free forms",7,IF(J31="odors",8,IF(J31="words",9,IF(J31="pictures",10,IF(J31="object pictures",11,IF(J31="faces",12,IF(J31="names",13,IF(J31="idioms",14,IF(J31="grades",15,IF(J31="syllable-digit pairs",16,IF(J31="trigram-word pairs",17,IF(J31="word-digit pairs",18,IF(J31="English-Swahili pairs",19,IF(J31="spatial position",20,IF(J31="word pairs",21,IF(J31="word triads",22,IF(J31="generated words",23,IF(J31="word definition pairs",24,IF(J31="math problems",25,IF(J31="famous faces",26,IF(J31="famous names",27,IF(J31="famous voices",28,IF(J31="television programs",29,IF(J31="race horses",30,IF(J31="new vocabulary",31,IF(J31="sentences",32,IF(J31="concepts",33,IF(J31="ad slides",34,IF(J31="scenes",35,IF(J31="famous scenes",36,IF(J31="poems",37,IF(J31="walk",38,IF(J31="faces and events",39,IF(J31="events and names",40,IF(J31="flashbulb",41,IF(J31="stories",42,IF(J31="course material",43,IF(J31="autobiographical",44,IF(J31="novels",45,IF(J31="public events",46,"99"))))))))))))))))))))))))))))))))))))))))))))))</f>
        <v>12</v>
      </c>
      <c r="L31" s="69">
        <f>IF(J31="syllables",1,IF(J31="trigrams",1,IF(J31="strings",1,IF(J31="visual array",1,IF(J31="characters",1,IF(J31="letters",1,IF(J31="free forms",1,IF(J31="odors",2,IF(J31="words",2,IF(J31="pictures",2,IF(J31="object pictures",2,IF(J31="faces",2,IF(J31="names",2,IF(J31="idioms","2",IF(J31="grades",2,IF(J31="syllable-digit pairs",3,IF(J31="trigram-word pairs",3,IF(J31="word-digit pairs",3,IF(J31="English-Swahili pairs",3,IF(J31="spatial position",3,IF(J31="word pairs",4,IF(J31="word triads",4,IF(J31="generated words",4,IF(J31="word definition pairs",4,IF(J31="math problems",4,IF(J31="famous faces",4,IF(J31="famous names",4,IF(J31="famous voices",4,IF(J31="television programs",4,IF(J31="race horses",4,IF(J31="new vocabulary",4,IF(J31="sentences",5,IF(J31="concepts",5,IF(J31="ad slides",5,IF(J31="scenes",5,IF(J31="famous scenes",5,IF(J31="poems",6,IF(J31="walk",6,IF(J31="faces and events",6,IF(J31="events and names",6,IF(J31="flashbulb",7,IF(J31="stories",7,IF(J31="course material",7,IF(J31="autobiographical",7,IF(J31="novels",7,IF(J31="public events",7,"99"))))))))))))))))))))))))))))))))))))))))))))))</f>
        <v>2</v>
      </c>
      <c r="M31" s="92">
        <v>0</v>
      </c>
      <c r="N31" s="92">
        <v>1</v>
      </c>
      <c r="O31" s="92">
        <v>0</v>
      </c>
      <c r="P31" s="92"/>
      <c r="Q31" s="92" t="s">
        <v>34</v>
      </c>
      <c r="R31" s="69">
        <f>IF(Q31="Free Recall",1,IF(Q31="Cued Recall",2,IF(Q31="Recognition",3,IF(Q31="Multiple Choice",4,IF(Q31="Savings",5,IF(Q31="Stem Completion",6,IF(Q31="Fragment Completion",7,IF(Q31="anagram solution",8,IF(Q31="Matching",9,IF(Q31="Problem Solving",10,"99"))))))))))</f>
        <v>3</v>
      </c>
      <c r="S31" s="92" t="s">
        <v>15</v>
      </c>
      <c r="T31" s="92" t="s">
        <v>261</v>
      </c>
      <c r="U31" s="69">
        <f>IF(T31="within",1,0)</f>
        <v>0</v>
      </c>
      <c r="V31" s="92">
        <v>32</v>
      </c>
      <c r="W31" s="69">
        <f>F31*V31</f>
        <v>1888</v>
      </c>
      <c r="X31" s="92">
        <v>3</v>
      </c>
      <c r="Y31" s="87">
        <f>AV30</f>
        <v>300</v>
      </c>
      <c r="Z31" s="92" t="s">
        <v>97</v>
      </c>
      <c r="AA31" s="92">
        <f>7*24*3600</f>
        <v>604800</v>
      </c>
      <c r="AB31" s="69" t="str">
        <f>IF(AA31&lt;60,"1",IF(AA31&lt;=43200,"2",IF(AA31&lt;=777600,"3","4")))</f>
        <v>3</v>
      </c>
      <c r="AC31" s="72">
        <f>AVERAGE(AV30:DA30)</f>
        <v>259300</v>
      </c>
      <c r="AD31" s="69" t="str">
        <f>IF(AC31&lt;60,"1",IF(AC31&lt;=43200,"2",IF(AC31&lt;=777600,"3","4")))</f>
        <v>3</v>
      </c>
      <c r="AE31" s="87">
        <f>AA31-Y31</f>
        <v>604500</v>
      </c>
      <c r="AF31" s="88">
        <f>AV31</f>
        <v>0.66</v>
      </c>
      <c r="AG31" s="72">
        <f>((AW31-AV31)+(AX31-AW31))/2</f>
        <v>-0.11000000000000001</v>
      </c>
      <c r="AH31" s="4"/>
      <c r="AI31" s="72">
        <f>RSQ(AV31:AX31,AV30:AX30)</f>
        <v>0.91525444869696848</v>
      </c>
      <c r="AJ31" s="110">
        <f>SLOPE(AV31:AX31,AV30:AX30)</f>
        <v>-3.3841497214251277E-7</v>
      </c>
      <c r="AK31" s="72">
        <f>INTERCEPT(AV31:AX31,AV30:AX30)</f>
        <v>0.63441766894322027</v>
      </c>
      <c r="AL31" s="72">
        <f>INDEX(LINEST(LN(AV31:AX31),LN(AV30:AX30),TRUE,TRUE),3,1)</f>
        <v>0.86562266443730396</v>
      </c>
      <c r="AM31" s="72">
        <f>INDEX(LINEST(LN(AV31:AX31),LN(AV30:AX30)),1)</f>
        <v>-4.623442866854223E-2</v>
      </c>
      <c r="AN31" s="72">
        <f>EXP(INDEX(LINEST(LN(AV31:AX31),LN(AV30:AX30)),1,2))</f>
        <v>0.87055124156505437</v>
      </c>
      <c r="AO31" s="89">
        <f>INDEX(LINEST((AV31:AX31),LN(AV30:AX30),TRUE,TRUE),3,1)</f>
        <v>0.90282324083473775</v>
      </c>
      <c r="AP31" s="89">
        <f>INDEX(LINEST((AV31:AX31),LN(AV30:AX30)),1)</f>
        <v>-2.5654386709831563E-2</v>
      </c>
      <c r="AQ31" s="90">
        <f>INDEX(LINEST(LN(AV31:AX31),SQRT(AV30:AX30),TRUE,TRUE),3,1)</f>
        <v>0.99887921280820136</v>
      </c>
      <c r="AR31" s="117">
        <f>INDEX(LINEST(LN(AV31:AX31),SQRT((AV30:AX30))),1)</f>
        <v>-5.3275536179431455E-4</v>
      </c>
      <c r="AS31" s="91">
        <f>INDEX(LINEST(1/(AV31:AX31),1/(SQRT(AV30:AX30)),TRUE,TRUE),3,1)</f>
        <v>0.70851409109736041</v>
      </c>
      <c r="AT31" s="91">
        <f>INDEX(LINEST(1/(AV31:AX31),1/SQRT(AV30:AX30)),1)</f>
        <v>-9.899854636132039</v>
      </c>
      <c r="AU31" s="3"/>
      <c r="AV31" s="97">
        <v>0.66</v>
      </c>
      <c r="AW31" s="97">
        <v>0.54</v>
      </c>
      <c r="AX31" s="97">
        <v>0.44</v>
      </c>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5"/>
      <c r="CS31" s="15"/>
      <c r="CT31" s="15"/>
      <c r="CU31" s="15"/>
    </row>
    <row r="32" spans="1:99" s="13" customFormat="1" ht="12" customHeight="1" x14ac:dyDescent="0.2">
      <c r="A32" s="65">
        <v>43509</v>
      </c>
      <c r="B32" s="1"/>
      <c r="C32" s="1"/>
      <c r="D32" s="60"/>
      <c r="E32" s="76"/>
      <c r="F32" s="60"/>
      <c r="G32" s="60"/>
      <c r="H32" s="60"/>
      <c r="I32" s="60"/>
      <c r="J32" s="60"/>
      <c r="K32" s="64"/>
      <c r="L32" s="64"/>
      <c r="M32" s="60"/>
      <c r="N32" s="60"/>
      <c r="O32" s="60"/>
      <c r="P32" s="60"/>
      <c r="Q32" s="60"/>
      <c r="R32" s="60"/>
      <c r="S32" s="60"/>
      <c r="T32" s="60"/>
      <c r="U32" s="60"/>
      <c r="V32" s="60"/>
      <c r="W32" s="60"/>
      <c r="X32" s="60"/>
      <c r="Y32" s="76"/>
      <c r="Z32" s="60"/>
      <c r="AA32" s="60"/>
      <c r="AB32" s="60"/>
      <c r="AC32" s="60"/>
      <c r="AD32" s="60"/>
      <c r="AE32" s="60"/>
      <c r="AF32" s="80"/>
      <c r="AG32" s="56"/>
      <c r="AH32" s="4"/>
      <c r="AI32" s="56"/>
      <c r="AJ32" s="109"/>
      <c r="AK32" s="56"/>
      <c r="AL32" s="56"/>
      <c r="AM32" s="56"/>
      <c r="AN32" s="56"/>
      <c r="AO32" s="56"/>
      <c r="AP32" s="56"/>
      <c r="AQ32" s="56"/>
      <c r="AR32" s="109"/>
      <c r="AS32" s="56"/>
      <c r="AT32" s="56"/>
      <c r="AU32" s="4"/>
      <c r="AV32" s="25">
        <v>800</v>
      </c>
      <c r="AW32" s="25">
        <f>60*60*2</f>
        <v>7200</v>
      </c>
      <c r="AX32" s="25">
        <f>60*60*24</f>
        <v>86400</v>
      </c>
      <c r="AY32" s="11" t="s">
        <v>509</v>
      </c>
      <c r="AZ32" s="11"/>
      <c r="BA32" s="53"/>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1"/>
      <c r="CS32" s="1"/>
      <c r="CT32" s="1"/>
      <c r="CU32" s="1"/>
    </row>
    <row r="33" spans="1:99" s="13" customFormat="1" ht="12" customHeight="1" x14ac:dyDescent="0.2">
      <c r="A33" s="65">
        <v>43509</v>
      </c>
      <c r="B33" s="1" t="s">
        <v>77</v>
      </c>
      <c r="C33" s="1" t="s">
        <v>78</v>
      </c>
      <c r="D33" s="60">
        <v>1990</v>
      </c>
      <c r="E33" s="76">
        <v>1</v>
      </c>
      <c r="F33" s="60">
        <v>48</v>
      </c>
      <c r="G33" s="60">
        <v>9.3000000000000007</v>
      </c>
      <c r="H33" s="60" t="s">
        <v>50</v>
      </c>
      <c r="I33" s="60" t="s">
        <v>665</v>
      </c>
      <c r="J33" s="60" t="s">
        <v>29</v>
      </c>
      <c r="K33" s="60">
        <f>IF(J33="syllables",1,IF(J33="trigrams",2,IF(J33="strings",3,IF(J33="visual array",4,IF(J33="characters",5,IF(J33="letters",6,IF(J33="free forms",7,IF(J33="odors",8,IF(J33="words",9,IF(J33="pictures",10,IF(J33="object pictures",11,IF(J33="faces",12,IF(J33="names",13,IF(J33="idioms",14,IF(J33="grades",15,IF(J33="syllable-digit pairs",16,IF(J33="trigram-word pairs",17,IF(J33="word-digit pairs",18,IF(J33="English-Swahili pairs",19,IF(J33="spatial position",20,IF(J33="word pairs",21,IF(J33="word triads",22,IF(J33="generated words",23,IF(J33="word definition pairs",24,IF(J33="math problems",25,IF(J33="famous faces",26,IF(J33="famous names",27,IF(J33="famous voices",28,IF(J33="television programs",29,IF(J33="race horses",30,IF(J33="new vocabulary",31,IF(J33="sentences",32,IF(J33="concepts",33,IF(J33="ad slides",34,IF(J33="scenes",35,IF(J33="famous scenes",36,IF(J33="poems",37,IF(J33="walk",38,IF(J33="faces and events",39,IF(J33="events and names",40,IF(J33="flashbulb",41,IF(J33="stories",42,IF(J33="course material",43,IF(J33="autobiographical",44,IF(J33="novels",45,IF(J33="public events",46,"99"))))))))))))))))))))))))))))))))))))))))))))))</f>
        <v>9</v>
      </c>
      <c r="L33" s="60">
        <f>IF(J33="syllables",1,IF(J33="trigrams",1,IF(J33="strings",1,IF(J33="visual array",1,IF(J33="characters",1,IF(J33="letters",1,IF(J33="free forms",1,IF(J33="odors",2,IF(J33="words",2,IF(J33="pictures",2,IF(J33="object pictures",2,IF(J33="faces",2,IF(J33="names",2,IF(J33="idioms","2",IF(J33="grades",2,IF(J33="syllable-digit pairs",3,IF(J33="trigram-word pairs",3,IF(J33="word-digit pairs",3,IF(J33="English-Swahili pairs",3,IF(J33="spatial position",3,IF(J33="word pairs",4,IF(J33="word triads",4,IF(J33="generated words",4,IF(J33="word definition pairs",4,IF(J33="math problems",4,IF(J33="famous faces",4,IF(J33="famous names",4,IF(J33="famous voices",4,IF(J33="television programs",4,IF(J33="race horses",4,IF(J33="new vocabulary",4,IF(J33="sentences",5,IF(J33="concepts",5,IF(J33="ad slides",5,IF(J33="scenes",5,IF(J33="famous scenes",5,IF(J33="poems",6,IF(J33="walk",6,IF(J33="faces and events",6,IF(J33="events and names",6,IF(J33="flashbulb",7,IF(J33="stories",7,IF(J33="course material",7,IF(J33="autobiographical",7,IF(J33="novels",7,IF(J33="public events",7,"99"))))))))))))))))))))))))))))))))))))))))))))))</f>
        <v>2</v>
      </c>
      <c r="M33" s="60">
        <v>1</v>
      </c>
      <c r="N33" s="60">
        <v>2</v>
      </c>
      <c r="O33" s="60">
        <v>0</v>
      </c>
      <c r="P33" s="60"/>
      <c r="Q33" s="60" t="s">
        <v>14</v>
      </c>
      <c r="R33" s="60">
        <f>IF(Q33="Free Recall",1,IF(Q33="Cued Recall",2,IF(Q33="Recognition",3,IF(Q33="Multiple Choice",4,IF(Q33="Savings",5,IF(Q33="Stem Completion",6,IF(Q33="Fragment Completion",7,IF(Q33="anagram solution",8,IF(Q33="Matching",9,IF(Q33="Problem Solving",10,"99"))))))))))</f>
        <v>6</v>
      </c>
      <c r="S33" s="59" t="s">
        <v>15</v>
      </c>
      <c r="T33" s="59" t="s">
        <v>261</v>
      </c>
      <c r="U33" s="60">
        <f>IF(T33="within",1,0)</f>
        <v>0</v>
      </c>
      <c r="V33" s="59">
        <v>40</v>
      </c>
      <c r="W33" s="60">
        <f>F33*V33</f>
        <v>1920</v>
      </c>
      <c r="X33" s="60">
        <v>3</v>
      </c>
      <c r="Y33" s="76">
        <f>AV32</f>
        <v>800</v>
      </c>
      <c r="Z33" s="60" t="s">
        <v>79</v>
      </c>
      <c r="AA33" s="60">
        <v>86400</v>
      </c>
      <c r="AB33" s="60" t="str">
        <f>IF(AA33&lt;60,"1",IF(AA33&lt;=43200,"2",IF(AA33&lt;=777600,"3","4")))</f>
        <v>3</v>
      </c>
      <c r="AC33" s="56">
        <f>AVERAGE(AV32:DA32)</f>
        <v>31466.666666666668</v>
      </c>
      <c r="AD33" s="60" t="str">
        <f>IF(AC33&lt;60,"1",IF(AC33&lt;=43200,"2",IF(AC33&lt;=777600,"3","4")))</f>
        <v>2</v>
      </c>
      <c r="AE33" s="76">
        <f>AA33-Y33</f>
        <v>85600</v>
      </c>
      <c r="AF33" s="80">
        <f>AV33</f>
        <v>0.4</v>
      </c>
      <c r="AG33" s="56">
        <f>((AW33-AV33)+(AX33-AW33))/2</f>
        <v>-0.11000000000000001</v>
      </c>
      <c r="AH33" s="4"/>
      <c r="AI33" s="56">
        <f>RSQ(AV33:AX33,AV32:AX32)</f>
        <v>0.16317386328856487</v>
      </c>
      <c r="AJ33" s="109">
        <f>SLOPE(AV33:AX33,AV32:AX32)</f>
        <v>-1.2169231491038756E-6</v>
      </c>
      <c r="AK33" s="56">
        <f>INTERCEPT(AV33:AX33,AV32:AX32)</f>
        <v>0.27495918175846862</v>
      </c>
      <c r="AL33" s="56">
        <f>INDEX(LINEST(LN(AV33:AX33),LN(AV32:AX32),TRUE,TRUE),3,1)</f>
        <v>0.44127469128245894</v>
      </c>
      <c r="AM33" s="56">
        <f>INDEX(LINEST(LN(AV33:AX33),LN(AV32:AX32)),1)</f>
        <v>-0.16399742349111279</v>
      </c>
      <c r="AN33" s="56">
        <f>EXP(INDEX(LINEST(LN(AV33:AX33),LN(AV32:AX32)),1,2))</f>
        <v>0.91871558586536695</v>
      </c>
      <c r="AO33" s="82">
        <f>INDEX(LINEST((AV33:AX33),LN(AV32:AX32),TRUE,TRUE),3,1)</f>
        <v>0.55131652037969248</v>
      </c>
      <c r="AP33" s="82">
        <f>INDEX(LINEST((AV33:AX33),LN(AV32:AX32)),1)</f>
        <v>-4.5530092130187064E-2</v>
      </c>
      <c r="AQ33" s="83">
        <f>INDEX(LINEST(LN(AV33:AX33),SQRT(AV32:AX32),TRUE,TRUE),3,1)</f>
        <v>0.18291058598709237</v>
      </c>
      <c r="AR33" s="116">
        <f>INDEX(LINEST(LN(AV33:AX33),SQRT((AV32:AX32))),1)</f>
        <v>-1.7675233846219669E-3</v>
      </c>
      <c r="AS33" s="84">
        <f>INDEX(LINEST(1/(AV33:AX33),1/(SQRT(AV32:AX32)),TRUE,TRUE),3,1)</f>
        <v>0.60699670072087841</v>
      </c>
      <c r="AT33" s="84">
        <f>INDEX(LINEST(1/(AV33:AX33),1/SQRT(AV32:AX32)),1)</f>
        <v>-122.72356191358193</v>
      </c>
      <c r="AU33" s="3"/>
      <c r="AV33" s="53">
        <v>0.4</v>
      </c>
      <c r="AW33" s="53">
        <v>0.13</v>
      </c>
      <c r="AX33" s="53">
        <v>0.18</v>
      </c>
      <c r="AY33" s="53"/>
      <c r="AZ33" s="4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1"/>
      <c r="CS33" s="1"/>
      <c r="CT33" s="1"/>
      <c r="CU33" s="1"/>
    </row>
    <row r="34" spans="1:99" s="13" customFormat="1" ht="12" customHeight="1" x14ac:dyDescent="0.2">
      <c r="A34" s="65">
        <v>43509</v>
      </c>
      <c r="B34" s="1"/>
      <c r="C34" s="1"/>
      <c r="D34" s="60"/>
      <c r="E34" s="76"/>
      <c r="F34" s="60"/>
      <c r="G34" s="60"/>
      <c r="H34" s="60"/>
      <c r="I34" s="60"/>
      <c r="J34" s="60"/>
      <c r="K34" s="64"/>
      <c r="L34" s="64"/>
      <c r="M34" s="60"/>
      <c r="N34" s="60"/>
      <c r="O34" s="60"/>
      <c r="P34" s="60"/>
      <c r="Q34" s="60"/>
      <c r="R34" s="60"/>
      <c r="S34" s="60"/>
      <c r="T34" s="59"/>
      <c r="U34" s="60"/>
      <c r="V34" s="59"/>
      <c r="W34" s="60"/>
      <c r="X34" s="60"/>
      <c r="Y34" s="76"/>
      <c r="Z34" s="60"/>
      <c r="AA34" s="60"/>
      <c r="AB34" s="60"/>
      <c r="AC34" s="60"/>
      <c r="AD34" s="60"/>
      <c r="AE34" s="60"/>
      <c r="AF34" s="80"/>
      <c r="AG34" s="56"/>
      <c r="AH34" s="4"/>
      <c r="AI34" s="56"/>
      <c r="AJ34" s="109"/>
      <c r="AK34" s="56"/>
      <c r="AL34" s="56"/>
      <c r="AM34" s="56"/>
      <c r="AN34" s="56"/>
      <c r="AO34" s="56"/>
      <c r="AP34" s="56"/>
      <c r="AQ34" s="56"/>
      <c r="AR34" s="109"/>
      <c r="AS34" s="56"/>
      <c r="AT34" s="56"/>
      <c r="AU34" s="5"/>
      <c r="AV34" s="25">
        <v>800</v>
      </c>
      <c r="AW34" s="25">
        <f>60*60*2</f>
        <v>7200</v>
      </c>
      <c r="AX34" s="25">
        <f>60*60*24</f>
        <v>86400</v>
      </c>
      <c r="AY34" s="53"/>
      <c r="AZ34" s="43"/>
      <c r="BA34" s="53"/>
      <c r="BB34" s="53"/>
      <c r="BC34" s="53"/>
      <c r="BD34" s="53"/>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1"/>
      <c r="CS34" s="1"/>
      <c r="CT34" s="1"/>
      <c r="CU34" s="1"/>
    </row>
    <row r="35" spans="1:99" s="13" customFormat="1" ht="12" customHeight="1" x14ac:dyDescent="0.2">
      <c r="A35" s="65">
        <v>43509</v>
      </c>
      <c r="B35" s="1" t="s">
        <v>77</v>
      </c>
      <c r="C35" s="1" t="s">
        <v>78</v>
      </c>
      <c r="D35" s="60">
        <v>1990</v>
      </c>
      <c r="E35" s="76">
        <v>1</v>
      </c>
      <c r="F35" s="60">
        <v>48</v>
      </c>
      <c r="G35" s="60">
        <v>9.3000000000000007</v>
      </c>
      <c r="H35" s="60" t="s">
        <v>50</v>
      </c>
      <c r="I35" s="60" t="s">
        <v>666</v>
      </c>
      <c r="J35" s="60" t="s">
        <v>29</v>
      </c>
      <c r="K35" s="60">
        <f>IF(J35="syllables",1,IF(J35="trigrams",2,IF(J35="strings",3,IF(J35="visual array",4,IF(J35="characters",5,IF(J35="letters",6,IF(J35="free forms",7,IF(J35="odors",8,IF(J35="words",9,IF(J35="pictures",10,IF(J35="object pictures",11,IF(J35="faces",12,IF(J35="names",13,IF(J35="idioms",14,IF(J35="grades",15,IF(J35="syllable-digit pairs",16,IF(J35="trigram-word pairs",17,IF(J35="word-digit pairs",18,IF(J35="English-Swahili pairs",19,IF(J35="spatial position",20,IF(J35="word pairs",21,IF(J35="word triads",22,IF(J35="generated words",23,IF(J35="word definition pairs",24,IF(J35="math problems",25,IF(J35="famous faces",26,IF(J35="famous names",27,IF(J35="famous voices",28,IF(J35="television programs",29,IF(J35="race horses",30,IF(J35="new vocabulary",31,IF(J35="sentences",32,IF(J35="concepts",33,IF(J35="ad slides",34,IF(J35="scenes",35,IF(J35="famous scenes",36,IF(J35="poems",37,IF(J35="walk",38,IF(J35="faces and events",39,IF(J35="events and names",40,IF(J35="flashbulb",41,IF(J35="stories",42,IF(J35="course material",43,IF(J35="autobiographical",44,IF(J35="novels",45,IF(J35="public events",46,"99"))))))))))))))))))))))))))))))))))))))))))))))</f>
        <v>9</v>
      </c>
      <c r="L35" s="60">
        <f>IF(J35="syllables",1,IF(J35="trigrams",1,IF(J35="strings",1,IF(J35="visual array",1,IF(J35="characters",1,IF(J35="letters",1,IF(J35="free forms",1,IF(J35="odors",2,IF(J35="words",2,IF(J35="pictures",2,IF(J35="object pictures",2,IF(J35="faces",2,IF(J35="names",2,IF(J35="idioms","2",IF(J35="grades",2,IF(J35="syllable-digit pairs",3,IF(J35="trigram-word pairs",3,IF(J35="word-digit pairs",3,IF(J35="English-Swahili pairs",3,IF(J35="spatial position",3,IF(J35="word pairs",4,IF(J35="word triads",4,IF(J35="generated words",4,IF(J35="word definition pairs",4,IF(J35="math problems",4,IF(J35="famous faces",4,IF(J35="famous names",4,IF(J35="famous voices",4,IF(J35="television programs",4,IF(J35="race horses",4,IF(J35="new vocabulary",4,IF(J35="sentences",5,IF(J35="concepts",5,IF(J35="ad slides",5,IF(J35="scenes",5,IF(J35="famous scenes",5,IF(J35="poems",6,IF(J35="walk",6,IF(J35="faces and events",6,IF(J35="events and names",6,IF(J35="flashbulb",7,IF(J35="stories",7,IF(J35="course material",7,IF(J35="autobiographical",7,IF(J35="novels",7,IF(J35="public events",7,"99"))))))))))))))))))))))))))))))))))))))))))))))</f>
        <v>2</v>
      </c>
      <c r="M35" s="60">
        <v>1</v>
      </c>
      <c r="N35" s="60">
        <v>2</v>
      </c>
      <c r="O35" s="60">
        <v>0</v>
      </c>
      <c r="P35" s="60"/>
      <c r="Q35" s="60" t="s">
        <v>14</v>
      </c>
      <c r="R35" s="60">
        <f>IF(Q35="Free Recall",1,IF(Q35="Cued Recall",2,IF(Q35="Recognition",3,IF(Q35="Multiple Choice",4,IF(Q35="Savings",5,IF(Q35="Stem Completion",6,IF(Q35="Fragment Completion",7,IF(Q35="anagram solution",8,IF(Q35="Matching",9,IF(Q35="Problem Solving",10,"99"))))))))))</f>
        <v>6</v>
      </c>
      <c r="S35" s="59" t="s">
        <v>15</v>
      </c>
      <c r="T35" s="59" t="s">
        <v>261</v>
      </c>
      <c r="U35" s="60">
        <f>IF(T35="within",1,0)</f>
        <v>0</v>
      </c>
      <c r="V35" s="59">
        <v>40</v>
      </c>
      <c r="W35" s="60">
        <f>F35*V35</f>
        <v>1920</v>
      </c>
      <c r="X35" s="60">
        <v>3</v>
      </c>
      <c r="Y35" s="76">
        <f>AV34</f>
        <v>800</v>
      </c>
      <c r="Z35" s="60" t="s">
        <v>79</v>
      </c>
      <c r="AA35" s="60">
        <v>86400</v>
      </c>
      <c r="AB35" s="60" t="str">
        <f>IF(AA35&lt;60,"1",IF(AA35&lt;=43200,"2",IF(AA35&lt;=777600,"3","4")))</f>
        <v>3</v>
      </c>
      <c r="AC35" s="56">
        <f>AVERAGE(AV34:DA34)</f>
        <v>31466.666666666668</v>
      </c>
      <c r="AD35" s="60" t="str">
        <f>IF(AC35&lt;60,"1",IF(AC35&lt;=43200,"2",IF(AC35&lt;=777600,"3","4")))</f>
        <v>2</v>
      </c>
      <c r="AE35" s="76">
        <f>AA35-Y35</f>
        <v>85600</v>
      </c>
      <c r="AF35" s="80">
        <f>AV35</f>
        <v>0.53</v>
      </c>
      <c r="AG35" s="56">
        <f>((AW35-AV35)+(AX35-AW35))/2</f>
        <v>-0.18500000000000003</v>
      </c>
      <c r="AH35" s="4"/>
      <c r="AI35" s="56">
        <f>RSQ(AV35:AX35,AV34:AX34)</f>
        <v>0.21453102418715461</v>
      </c>
      <c r="AJ35" s="109">
        <f>SLOPE(AV35:AX35,AV34:AX34)</f>
        <v>-2.2285821525757717E-6</v>
      </c>
      <c r="AK35" s="56">
        <f>INTERCEPT(AV35:AX35,AV34:AX34)</f>
        <v>0.33679271840105096</v>
      </c>
      <c r="AL35" s="56">
        <f>INDEX(LINEST(LN(AV35:AX35),LN(AV34:AX34),TRUE,TRUE),3,1)</f>
        <v>0.49620777404645827</v>
      </c>
      <c r="AM35" s="56">
        <f>INDEX(LINEST(LN(AV35:AX35),LN(AV34:AX34)),1)</f>
        <v>-0.24697512855560716</v>
      </c>
      <c r="AN35" s="56">
        <f>EXP(INDEX(LINEST(LN(AV35:AX35),LN(AV34:AX34)),1,2))</f>
        <v>1.9329188521011729</v>
      </c>
      <c r="AO35" s="82">
        <f>INDEX(LINEST((AV35:AX35),LN(AV34:AX34),TRUE,TRUE),3,1)</f>
        <v>0.61608390798872847</v>
      </c>
      <c r="AP35" s="82">
        <f>INDEX(LINEST((AV35:AX35),LN(AV34:AX34)),1)</f>
        <v>-7.6871206780136286E-2</v>
      </c>
      <c r="AQ35" s="83">
        <f>INDEX(LINEST(LN(AV35:AX35),SQRT(AV34:AX34),TRUE,TRUE),3,1)</f>
        <v>0.22732434416119027</v>
      </c>
      <c r="AR35" s="116">
        <f>INDEX(LINEST(LN(AV35:AX35),SQRT((AV34:AX34))),1)</f>
        <v>-2.7983861593231765E-3</v>
      </c>
      <c r="AS35" s="84">
        <f>INDEX(LINEST(1/(AV35:AX35),1/(SQRT(AV34:AX34)),TRUE,TRUE),3,1)</f>
        <v>0.62604401815820643</v>
      </c>
      <c r="AT35" s="84">
        <f>INDEX(LINEST(1/(AV35:AX35),1/SQRT(AV34:AX34)),1)</f>
        <v>-173.30494593585968</v>
      </c>
      <c r="AU35" s="3"/>
      <c r="AV35" s="53">
        <v>0.53</v>
      </c>
      <c r="AW35" s="53">
        <v>0.11</v>
      </c>
      <c r="AX35" s="53">
        <v>0.16</v>
      </c>
      <c r="AY35" s="53"/>
      <c r="AZ35" s="4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1"/>
      <c r="CS35" s="1"/>
      <c r="CT35" s="1"/>
      <c r="CU35" s="1"/>
    </row>
    <row r="36" spans="1:99" s="13" customFormat="1" ht="12" customHeight="1" x14ac:dyDescent="0.2">
      <c r="A36" s="65">
        <v>43509</v>
      </c>
      <c r="B36" s="1"/>
      <c r="C36" s="1"/>
      <c r="D36" s="60"/>
      <c r="E36" s="76"/>
      <c r="F36" s="60"/>
      <c r="G36" s="60"/>
      <c r="H36" s="60"/>
      <c r="I36" s="60"/>
      <c r="J36" s="60"/>
      <c r="K36" s="64"/>
      <c r="L36" s="64"/>
      <c r="M36" s="60"/>
      <c r="N36" s="60"/>
      <c r="O36" s="60"/>
      <c r="P36" s="60"/>
      <c r="Q36" s="60"/>
      <c r="R36" s="60"/>
      <c r="S36" s="60"/>
      <c r="T36" s="60"/>
      <c r="U36" s="60"/>
      <c r="V36" s="60"/>
      <c r="W36" s="60"/>
      <c r="X36" s="60"/>
      <c r="Y36" s="76"/>
      <c r="Z36" s="60"/>
      <c r="AA36" s="60"/>
      <c r="AB36" s="60"/>
      <c r="AC36" s="60"/>
      <c r="AD36" s="60"/>
      <c r="AE36" s="60"/>
      <c r="AF36" s="80"/>
      <c r="AG36" s="56"/>
      <c r="AH36" s="4"/>
      <c r="AI36" s="56"/>
      <c r="AJ36" s="109"/>
      <c r="AK36" s="56"/>
      <c r="AL36" s="56"/>
      <c r="AM36" s="56"/>
      <c r="AN36" s="56"/>
      <c r="AO36" s="56"/>
      <c r="AP36" s="56"/>
      <c r="AQ36" s="56"/>
      <c r="AR36" s="109"/>
      <c r="AS36" s="56"/>
      <c r="AT36" s="56"/>
      <c r="AU36" s="5"/>
      <c r="AV36" s="25">
        <v>800</v>
      </c>
      <c r="AW36" s="25">
        <f>60*60*2</f>
        <v>7200</v>
      </c>
      <c r="AX36" s="25">
        <f>60*60*24</f>
        <v>86400</v>
      </c>
      <c r="AY36" s="53"/>
      <c r="AZ36" s="4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1"/>
      <c r="CS36" s="1"/>
      <c r="CT36" s="1"/>
      <c r="CU36" s="1"/>
    </row>
    <row r="37" spans="1:99" s="13" customFormat="1" ht="12" customHeight="1" x14ac:dyDescent="0.2">
      <c r="A37" s="65">
        <v>43509</v>
      </c>
      <c r="B37" s="1" t="s">
        <v>77</v>
      </c>
      <c r="C37" s="1" t="s">
        <v>78</v>
      </c>
      <c r="D37" s="60">
        <v>1990</v>
      </c>
      <c r="E37" s="76">
        <v>1</v>
      </c>
      <c r="F37" s="60">
        <v>48</v>
      </c>
      <c r="G37" s="60">
        <v>9.3000000000000007</v>
      </c>
      <c r="H37" s="60" t="s">
        <v>50</v>
      </c>
      <c r="I37" s="60" t="s">
        <v>667</v>
      </c>
      <c r="J37" s="60" t="s">
        <v>29</v>
      </c>
      <c r="K37" s="60">
        <f>IF(J37="syllables",1,IF(J37="trigrams",2,IF(J37="strings",3,IF(J37="visual array",4,IF(J37="characters",5,IF(J37="letters",6,IF(J37="free forms",7,IF(J37="odors",8,IF(J37="words",9,IF(J37="pictures",10,IF(J37="object pictures",11,IF(J37="faces",12,IF(J37="names",13,IF(J37="idioms",14,IF(J37="grades",15,IF(J37="syllable-digit pairs",16,IF(J37="trigram-word pairs",17,IF(J37="word-digit pairs",18,IF(J37="English-Swahili pairs",19,IF(J37="spatial position",20,IF(J37="word pairs",21,IF(J37="word triads",22,IF(J37="generated words",23,IF(J37="word definition pairs",24,IF(J37="math problems",25,IF(J37="famous faces",26,IF(J37="famous names",27,IF(J37="famous voices",28,IF(J37="television programs",29,IF(J37="race horses",30,IF(J37="new vocabulary",31,IF(J37="sentences",32,IF(J37="concepts",33,IF(J37="ad slides",34,IF(J37="scenes",35,IF(J37="famous scenes",36,IF(J37="poems",37,IF(J37="walk",38,IF(J37="faces and events",39,IF(J37="events and names",40,IF(J37="flashbulb",41,IF(J37="stories",42,IF(J37="course material",43,IF(J37="autobiographical",44,IF(J37="novels",45,IF(J37="public events",46,"99"))))))))))))))))))))))))))))))))))))))))))))))</f>
        <v>9</v>
      </c>
      <c r="L37" s="60">
        <f>IF(J37="syllables",1,IF(J37="trigrams",1,IF(J37="strings",1,IF(J37="visual array",1,IF(J37="characters",1,IF(J37="letters",1,IF(J37="free forms",1,IF(J37="odors",2,IF(J37="words",2,IF(J37="pictures",2,IF(J37="object pictures",2,IF(J37="faces",2,IF(J37="names",2,IF(J37="idioms","2",IF(J37="grades",2,IF(J37="syllable-digit pairs",3,IF(J37="trigram-word pairs",3,IF(J37="word-digit pairs",3,IF(J37="English-Swahili pairs",3,IF(J37="spatial position",3,IF(J37="word pairs",4,IF(J37="word triads",4,IF(J37="generated words",4,IF(J37="word definition pairs",4,IF(J37="math problems",4,IF(J37="famous faces",4,IF(J37="famous names",4,IF(J37="famous voices",4,IF(J37="television programs",4,IF(J37="race horses",4,IF(J37="new vocabulary",4,IF(J37="sentences",5,IF(J37="concepts",5,IF(J37="ad slides",5,IF(J37="scenes",5,IF(J37="famous scenes",5,IF(J37="poems",6,IF(J37="walk",6,IF(J37="faces and events",6,IF(J37="events and names",6,IF(J37="flashbulb",7,IF(J37="stories",7,IF(J37="course material",7,IF(J37="autobiographical",7,IF(J37="novels",7,IF(J37="public events",7,"99"))))))))))))))))))))))))))))))))))))))))))))))</f>
        <v>2</v>
      </c>
      <c r="M37" s="60">
        <v>1</v>
      </c>
      <c r="N37" s="60">
        <v>2</v>
      </c>
      <c r="O37" s="60">
        <v>0</v>
      </c>
      <c r="P37" s="60"/>
      <c r="Q37" s="60" t="s">
        <v>14</v>
      </c>
      <c r="R37" s="60">
        <f>IF(Q37="Free Recall",1,IF(Q37="Cued Recall",2,IF(Q37="Recognition",3,IF(Q37="Multiple Choice",4,IF(Q37="Savings",5,IF(Q37="Stem Completion",6,IF(Q37="Fragment Completion",7,IF(Q37="anagram solution",8,IF(Q37="Matching",9,IF(Q37="Problem Solving",10,"99"))))))))))</f>
        <v>6</v>
      </c>
      <c r="S37" s="59" t="s">
        <v>15</v>
      </c>
      <c r="T37" s="59" t="s">
        <v>261</v>
      </c>
      <c r="U37" s="60">
        <f>IF(T37="within",1,0)</f>
        <v>0</v>
      </c>
      <c r="V37" s="59">
        <v>40</v>
      </c>
      <c r="W37" s="60">
        <f>F37*V37</f>
        <v>1920</v>
      </c>
      <c r="X37" s="60">
        <v>3</v>
      </c>
      <c r="Y37" s="76">
        <f>AV36</f>
        <v>800</v>
      </c>
      <c r="Z37" s="60" t="s">
        <v>79</v>
      </c>
      <c r="AA37" s="60">
        <v>86400</v>
      </c>
      <c r="AB37" s="60" t="str">
        <f>IF(AA37&lt;60,"1",IF(AA37&lt;=43200,"2",IF(AA37&lt;=777600,"3","4")))</f>
        <v>3</v>
      </c>
      <c r="AC37" s="56">
        <f>AVERAGE(AV36:DA36)</f>
        <v>31466.666666666668</v>
      </c>
      <c r="AD37" s="60" t="str">
        <f>IF(AC37&lt;60,"1",IF(AC37&lt;=43200,"2",IF(AC37&lt;=777600,"3","4")))</f>
        <v>2</v>
      </c>
      <c r="AE37" s="76">
        <f>AA37-Y37</f>
        <v>85600</v>
      </c>
      <c r="AF37" s="80">
        <f>AV37</f>
        <v>0.48</v>
      </c>
      <c r="AG37" s="56">
        <f>((AW37-AV37)+(AX37-AW37))/2</f>
        <v>-0.14999999999999997</v>
      </c>
      <c r="AH37" s="4"/>
      <c r="AI37" s="56">
        <f>RSQ(AV37:AX37,AV36:AX36)</f>
        <v>0.23701399156499101</v>
      </c>
      <c r="AJ37" s="109">
        <f>SLOPE(AV37:AX37,AV36:AX36)</f>
        <v>-1.8632119733508494E-6</v>
      </c>
      <c r="AK37" s="56">
        <f>INTERCEPT(AV37:AX37,AV36:AX36)</f>
        <v>0.32862907009477343</v>
      </c>
      <c r="AL37" s="56">
        <f>INDEX(LINEST(LN(AV37:AX37),LN(AV36:AX36),TRUE,TRUE),3,1)</f>
        <v>0.57975813119066055</v>
      </c>
      <c r="AM37" s="56">
        <f>INDEX(LINEST(LN(AV37:AX37),LN(AV36:AX36)),1)</f>
        <v>-0.20334217547138236</v>
      </c>
      <c r="AN37" s="56">
        <f>EXP(INDEX(LINEST(LN(AV37:AX37),LN(AV36:AX36)),1,2))</f>
        <v>1.4577906262892855</v>
      </c>
      <c r="AO37" s="82">
        <f>INDEX(LINEST((AV37:AX37),LN(AV36:AX36),TRUE,TRUE),3,1)</f>
        <v>0.64206364583871101</v>
      </c>
      <c r="AP37" s="82">
        <f>INDEX(LINEST((AV37:AX37),LN(AV36:AX36)),1)</f>
        <v>-6.2420103686055356E-2</v>
      </c>
      <c r="AQ37" s="83">
        <f>INDEX(LINEST(LN(AV37:AX37),SQRT(AV36:AX36),TRUE,TRUE),3,1)</f>
        <v>0.30114342895179769</v>
      </c>
      <c r="AR37" s="116">
        <f>INDEX(LINEST(LN(AV37:AX37),SQRT((AV36:AX36))),1)</f>
        <v>-2.453318702114658E-3</v>
      </c>
      <c r="AS37" s="84">
        <f>INDEX(LINEST(1/(AV37:AX37),1/(SQRT(AV36:AX36)),TRUE,TRUE),3,1)</f>
        <v>0.77827172664496636</v>
      </c>
      <c r="AT37" s="84">
        <f>INDEX(LINEST(1/(AV37:AX37),1/SQRT(AV36:AX36)),1)</f>
        <v>-127.31306773060919</v>
      </c>
      <c r="AU37" s="3"/>
      <c r="AV37" s="53">
        <v>0.48</v>
      </c>
      <c r="AW37" s="53">
        <v>0.15</v>
      </c>
      <c r="AX37" s="53">
        <v>0.18</v>
      </c>
      <c r="AY37" s="53"/>
      <c r="AZ37" s="4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1"/>
      <c r="CS37" s="1"/>
      <c r="CT37" s="1"/>
      <c r="CU37" s="1"/>
    </row>
    <row r="38" spans="1:99" s="13" customFormat="1" ht="12" customHeight="1" x14ac:dyDescent="0.2">
      <c r="A38" s="65">
        <v>43509</v>
      </c>
      <c r="B38" s="1"/>
      <c r="C38" s="1"/>
      <c r="D38" s="60"/>
      <c r="E38" s="76"/>
      <c r="F38" s="60"/>
      <c r="G38" s="60"/>
      <c r="H38" s="60"/>
      <c r="I38" s="60"/>
      <c r="J38" s="60"/>
      <c r="K38" s="64"/>
      <c r="L38" s="64"/>
      <c r="M38" s="60"/>
      <c r="N38" s="60"/>
      <c r="O38" s="60"/>
      <c r="P38" s="60"/>
      <c r="Q38" s="60"/>
      <c r="R38" s="60"/>
      <c r="S38" s="60"/>
      <c r="T38" s="59"/>
      <c r="U38" s="60"/>
      <c r="V38" s="59"/>
      <c r="W38" s="60"/>
      <c r="X38" s="60"/>
      <c r="Y38" s="76"/>
      <c r="Z38" s="60"/>
      <c r="AA38" s="60"/>
      <c r="AB38" s="60"/>
      <c r="AC38" s="60"/>
      <c r="AD38" s="60"/>
      <c r="AE38" s="60"/>
      <c r="AF38" s="80"/>
      <c r="AG38" s="56"/>
      <c r="AH38" s="4"/>
      <c r="AI38" s="56"/>
      <c r="AJ38" s="109"/>
      <c r="AK38" s="56"/>
      <c r="AL38" s="56"/>
      <c r="AM38" s="56"/>
      <c r="AN38" s="56"/>
      <c r="AO38" s="56"/>
      <c r="AP38" s="56"/>
      <c r="AQ38" s="56"/>
      <c r="AR38" s="109"/>
      <c r="AS38" s="56"/>
      <c r="AT38" s="56"/>
      <c r="AU38" s="5"/>
      <c r="AV38" s="25">
        <v>800</v>
      </c>
      <c r="AW38" s="25">
        <f>60*60*2</f>
        <v>7200</v>
      </c>
      <c r="AX38" s="25">
        <f>60*60*24</f>
        <v>86400</v>
      </c>
      <c r="AY38" s="53"/>
      <c r="AZ38" s="4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1"/>
      <c r="CS38" s="1"/>
      <c r="CT38" s="1"/>
      <c r="CU38" s="1"/>
    </row>
    <row r="39" spans="1:99" s="13" customFormat="1" ht="12" customHeight="1" x14ac:dyDescent="0.2">
      <c r="A39" s="65">
        <v>43509</v>
      </c>
      <c r="B39" s="1" t="s">
        <v>77</v>
      </c>
      <c r="C39" s="1" t="s">
        <v>78</v>
      </c>
      <c r="D39" s="60">
        <v>1990</v>
      </c>
      <c r="E39" s="76">
        <v>1</v>
      </c>
      <c r="F39" s="60">
        <v>48</v>
      </c>
      <c r="G39" s="60">
        <v>9.3000000000000007</v>
      </c>
      <c r="H39" s="60" t="s">
        <v>22</v>
      </c>
      <c r="I39" s="60" t="s">
        <v>665</v>
      </c>
      <c r="J39" s="60" t="s">
        <v>29</v>
      </c>
      <c r="K39" s="60">
        <f>IF(J39="syllables",1,IF(J39="trigrams",2,IF(J39="strings",3,IF(J39="visual array",4,IF(J39="characters",5,IF(J39="letters",6,IF(J39="free forms",7,IF(J39="odors",8,IF(J39="words",9,IF(J39="pictures",10,IF(J39="object pictures",11,IF(J39="faces",12,IF(J39="names",13,IF(J39="idioms",14,IF(J39="grades",15,IF(J39="syllable-digit pairs",16,IF(J39="trigram-word pairs",17,IF(J39="word-digit pairs",18,IF(J39="English-Swahili pairs",19,IF(J39="spatial position",20,IF(J39="word pairs",21,IF(J39="word triads",22,IF(J39="generated words",23,IF(J39="word definition pairs",24,IF(J39="math problems",25,IF(J39="famous faces",26,IF(J39="famous names",27,IF(J39="famous voices",28,IF(J39="television programs",29,IF(J39="race horses",30,IF(J39="new vocabulary",31,IF(J39="sentences",32,IF(J39="concepts",33,IF(J39="ad slides",34,IF(J39="scenes",35,IF(J39="famous scenes",36,IF(J39="poems",37,IF(J39="walk",38,IF(J39="faces and events",39,IF(J39="events and names",40,IF(J39="flashbulb",41,IF(J39="stories",42,IF(J39="course material",43,IF(J39="autobiographical",44,IF(J39="novels",45,IF(J39="public events",46,"99"))))))))))))))))))))))))))))))))))))))))))))))</f>
        <v>9</v>
      </c>
      <c r="L39" s="60">
        <f>IF(J39="syllables",1,IF(J39="trigrams",1,IF(J39="strings",1,IF(J39="visual array",1,IF(J39="characters",1,IF(J39="letters",1,IF(J39="free forms",1,IF(J39="odors",2,IF(J39="words",2,IF(J39="pictures",2,IF(J39="object pictures",2,IF(J39="faces",2,IF(J39="names",2,IF(J39="idioms","2",IF(J39="grades",2,IF(J39="syllable-digit pairs",3,IF(J39="trigram-word pairs",3,IF(J39="word-digit pairs",3,IF(J39="English-Swahili pairs",3,IF(J39="spatial position",3,IF(J39="word pairs",4,IF(J39="word triads",4,IF(J39="generated words",4,IF(J39="word definition pairs",4,IF(J39="math problems",4,IF(J39="famous faces",4,IF(J39="famous names",4,IF(J39="famous voices",4,IF(J39="television programs",4,IF(J39="race horses",4,IF(J39="new vocabulary",4,IF(J39="sentences",5,IF(J39="concepts",5,IF(J39="ad slides",5,IF(J39="scenes",5,IF(J39="famous scenes",5,IF(J39="poems",6,IF(J39="walk",6,IF(J39="faces and events",6,IF(J39="events and names",6,IF(J39="flashbulb",7,IF(J39="stories",7,IF(J39="course material",7,IF(J39="autobiographical",7,IF(J39="novels",7,IF(J39="public events",7,"99"))))))))))))))))))))))))))))))))))))))))))))))</f>
        <v>2</v>
      </c>
      <c r="M39" s="60">
        <v>1</v>
      </c>
      <c r="N39" s="60">
        <v>2</v>
      </c>
      <c r="O39" s="60">
        <v>0</v>
      </c>
      <c r="P39" s="60"/>
      <c r="Q39" s="60" t="s">
        <v>34</v>
      </c>
      <c r="R39" s="60">
        <f>IF(Q39="Free Recall",1,IF(Q39="Cued Recall",2,IF(Q39="Recognition",3,IF(Q39="Multiple Choice",4,IF(Q39="Savings",5,IF(Q39="Stem Completion",6,IF(Q39="Fragment Completion",7,IF(Q39="anagram solution",8,IF(Q39="Matching",9,IF(Q39="Problem Solving",10,"99"))))))))))</f>
        <v>3</v>
      </c>
      <c r="S39" s="59" t="s">
        <v>15</v>
      </c>
      <c r="T39" s="59" t="s">
        <v>261</v>
      </c>
      <c r="U39" s="60">
        <f>IF(T39="within",1,0)</f>
        <v>0</v>
      </c>
      <c r="V39" s="59">
        <v>40</v>
      </c>
      <c r="W39" s="60">
        <f>F39*V39</f>
        <v>1920</v>
      </c>
      <c r="X39" s="60">
        <v>3</v>
      </c>
      <c r="Y39" s="76">
        <f>AV38</f>
        <v>800</v>
      </c>
      <c r="Z39" s="60" t="s">
        <v>79</v>
      </c>
      <c r="AA39" s="60">
        <v>86400</v>
      </c>
      <c r="AB39" s="60" t="str">
        <f>IF(AA39&lt;60,"1",IF(AA39&lt;=43200,"2",IF(AA39&lt;=777600,"3","4")))</f>
        <v>3</v>
      </c>
      <c r="AC39" s="56">
        <f>AVERAGE(AV38:DA38)</f>
        <v>31466.666666666668</v>
      </c>
      <c r="AD39" s="60" t="str">
        <f>IF(AC39&lt;60,"1",IF(AC39&lt;=43200,"2",IF(AC39&lt;=777600,"3","4")))</f>
        <v>2</v>
      </c>
      <c r="AE39" s="76">
        <f>AA39-Y39</f>
        <v>85600</v>
      </c>
      <c r="AF39" s="80">
        <f>AV39</f>
        <v>0.93300000000000005</v>
      </c>
      <c r="AG39" s="56">
        <f>((AW39-AV39)+(AX39-AW39))/2</f>
        <v>-1.5500000000000014E-2</v>
      </c>
      <c r="AH39" s="4"/>
      <c r="AI39" s="56">
        <f>RSQ(AV39:AX39,AV38:AX38)</f>
        <v>0.69847978160878388</v>
      </c>
      <c r="AJ39" s="109">
        <f>SLOPE(AV39:AX39,AV38:AX38)</f>
        <v>-5.3462512902317718E-7</v>
      </c>
      <c r="AK39" s="56">
        <f>INTERCEPT(AV39:AX39,AV38:AX38)</f>
        <v>0.94948953739326258</v>
      </c>
      <c r="AL39" s="56">
        <f>INDEX(LINEST(LN(AV39:AX39),LN(AV38:AX38),TRUE,TRUE),3,1)</f>
        <v>0.29845977534544799</v>
      </c>
      <c r="AM39" s="56">
        <f>INDEX(LINEST(LN(AV39:AX39),LN(AV38:AX38)),1)</f>
        <v>-7.6320243260043566E-3</v>
      </c>
      <c r="AN39" s="56">
        <f>EXP(INDEX(LINEST(LN(AV39:AX39),LN(AV38:AX38)),1,2))</f>
        <v>0.99845521592745345</v>
      </c>
      <c r="AO39" s="82">
        <f>INDEX(LINEST((AV39:AX39),LN(AV38:AX38),TRUE,TRUE),3,1)</f>
        <v>0.28986093262399526</v>
      </c>
      <c r="AP39" s="82">
        <f>INDEX(LINEST((AV39:AX39),LN(AV38:AX38)),1)</f>
        <v>-7.0101524424704747E-3</v>
      </c>
      <c r="AQ39" s="83">
        <f>INDEX(LINEST(LN(AV39:AX39),SQRT(AV38:AX38),TRUE,TRUE),3,1)</f>
        <v>0.57686561381083024</v>
      </c>
      <c r="AR39" s="116">
        <f>INDEX(LINEST(LN(AV39:AX39),SQRT((AV38:AX38))),1)</f>
        <v>-1.7762226372922225E-4</v>
      </c>
      <c r="AS39" s="84">
        <f>INDEX(LINEST(1/(AV39:AX39),1/(SQRT(AV38:AX38)),TRUE,TRUE),3,1)</f>
        <v>7.8567869951178829E-2</v>
      </c>
      <c r="AT39" s="84">
        <f>INDEX(LINEST(1/(AV39:AX39),1/SQRT(AV38:AX38)),1)</f>
        <v>-0.59431043508251524</v>
      </c>
      <c r="AU39" s="3"/>
      <c r="AV39" s="53">
        <v>0.93300000000000005</v>
      </c>
      <c r="AW39" s="53">
        <v>0.96299999999999997</v>
      </c>
      <c r="AX39" s="53">
        <v>0.90200000000000002</v>
      </c>
      <c r="AY39" s="53"/>
      <c r="AZ39" s="4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1"/>
      <c r="CS39" s="1"/>
      <c r="CT39" s="1"/>
      <c r="CU39" s="1"/>
    </row>
    <row r="40" spans="1:99" s="13" customFormat="1" ht="12" customHeight="1" x14ac:dyDescent="0.2">
      <c r="A40" s="65">
        <v>43509</v>
      </c>
      <c r="B40" s="1"/>
      <c r="C40" s="1"/>
      <c r="D40" s="60"/>
      <c r="E40" s="76"/>
      <c r="F40" s="60"/>
      <c r="G40" s="60"/>
      <c r="H40" s="60"/>
      <c r="I40" s="60"/>
      <c r="J40" s="60"/>
      <c r="K40" s="64"/>
      <c r="L40" s="64"/>
      <c r="M40" s="60"/>
      <c r="N40" s="60"/>
      <c r="O40" s="60"/>
      <c r="P40" s="60"/>
      <c r="Q40" s="60"/>
      <c r="R40" s="60"/>
      <c r="S40" s="60"/>
      <c r="T40" s="60"/>
      <c r="U40" s="60"/>
      <c r="V40" s="59"/>
      <c r="W40" s="60"/>
      <c r="X40" s="60"/>
      <c r="Y40" s="76"/>
      <c r="Z40" s="60"/>
      <c r="AA40" s="60"/>
      <c r="AB40" s="60"/>
      <c r="AC40" s="60"/>
      <c r="AD40" s="60"/>
      <c r="AE40" s="60"/>
      <c r="AF40" s="80"/>
      <c r="AG40" s="56"/>
      <c r="AH40" s="4"/>
      <c r="AI40" s="56"/>
      <c r="AJ40" s="109"/>
      <c r="AK40" s="56"/>
      <c r="AL40" s="56"/>
      <c r="AM40" s="56"/>
      <c r="AN40" s="56"/>
      <c r="AO40" s="56"/>
      <c r="AP40" s="56"/>
      <c r="AQ40" s="56"/>
      <c r="AR40" s="109"/>
      <c r="AS40" s="56"/>
      <c r="AT40" s="56"/>
      <c r="AU40" s="5"/>
      <c r="AV40" s="25">
        <v>800</v>
      </c>
      <c r="AW40" s="25">
        <f>60*60*2</f>
        <v>7200</v>
      </c>
      <c r="AX40" s="25">
        <f>60*60*24</f>
        <v>86400</v>
      </c>
      <c r="AY40" s="53"/>
      <c r="AZ40" s="4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1"/>
      <c r="CS40" s="1"/>
      <c r="CT40" s="1"/>
      <c r="CU40" s="1"/>
    </row>
    <row r="41" spans="1:99" s="13" customFormat="1" ht="12" customHeight="1" x14ac:dyDescent="0.2">
      <c r="A41" s="65">
        <v>43509</v>
      </c>
      <c r="B41" s="1" t="s">
        <v>77</v>
      </c>
      <c r="C41" s="1" t="s">
        <v>78</v>
      </c>
      <c r="D41" s="60">
        <v>1990</v>
      </c>
      <c r="E41" s="76">
        <v>1</v>
      </c>
      <c r="F41" s="60">
        <v>48</v>
      </c>
      <c r="G41" s="60">
        <v>9.3000000000000007</v>
      </c>
      <c r="H41" s="60" t="s">
        <v>22</v>
      </c>
      <c r="I41" s="60" t="s">
        <v>666</v>
      </c>
      <c r="J41" s="60" t="s">
        <v>29</v>
      </c>
      <c r="K41" s="60">
        <f>IF(J41="syllables",1,IF(J41="trigrams",2,IF(J41="strings",3,IF(J41="visual array",4,IF(J41="characters",5,IF(J41="letters",6,IF(J41="free forms",7,IF(J41="odors",8,IF(J41="words",9,IF(J41="pictures",10,IF(J41="object pictures",11,IF(J41="faces",12,IF(J41="names",13,IF(J41="idioms",14,IF(J41="grades",15,IF(J41="syllable-digit pairs",16,IF(J41="trigram-word pairs",17,IF(J41="word-digit pairs",18,IF(J41="English-Swahili pairs",19,IF(J41="spatial position",20,IF(J41="word pairs",21,IF(J41="word triads",22,IF(J41="generated words",23,IF(J41="word definition pairs",24,IF(J41="math problems",25,IF(J41="famous faces",26,IF(J41="famous names",27,IF(J41="famous voices",28,IF(J41="television programs",29,IF(J41="race horses",30,IF(J41="new vocabulary",31,IF(J41="sentences",32,IF(J41="concepts",33,IF(J41="ad slides",34,IF(J41="scenes",35,IF(J41="famous scenes",36,IF(J41="poems",37,IF(J41="walk",38,IF(J41="faces and events",39,IF(J41="events and names",40,IF(J41="flashbulb",41,IF(J41="stories",42,IF(J41="course material",43,IF(J41="autobiographical",44,IF(J41="novels",45,IF(J41="public events",46,"99"))))))))))))))))))))))))))))))))))))))))))))))</f>
        <v>9</v>
      </c>
      <c r="L41" s="60">
        <f>IF(J41="syllables",1,IF(J41="trigrams",1,IF(J41="strings",1,IF(J41="visual array",1,IF(J41="characters",1,IF(J41="letters",1,IF(J41="free forms",1,IF(J41="odors",2,IF(J41="words",2,IF(J41="pictures",2,IF(J41="object pictures",2,IF(J41="faces",2,IF(J41="names",2,IF(J41="idioms","2",IF(J41="grades",2,IF(J41="syllable-digit pairs",3,IF(J41="trigram-word pairs",3,IF(J41="word-digit pairs",3,IF(J41="English-Swahili pairs",3,IF(J41="spatial position",3,IF(J41="word pairs",4,IF(J41="word triads",4,IF(J41="generated words",4,IF(J41="word definition pairs",4,IF(J41="math problems",4,IF(J41="famous faces",4,IF(J41="famous names",4,IF(J41="famous voices",4,IF(J41="television programs",4,IF(J41="race horses",4,IF(J41="new vocabulary",4,IF(J41="sentences",5,IF(J41="concepts",5,IF(J41="ad slides",5,IF(J41="scenes",5,IF(J41="famous scenes",5,IF(J41="poems",6,IF(J41="walk",6,IF(J41="faces and events",6,IF(J41="events and names",6,IF(J41="flashbulb",7,IF(J41="stories",7,IF(J41="course material",7,IF(J41="autobiographical",7,IF(J41="novels",7,IF(J41="public events",7,"99"))))))))))))))))))))))))))))))))))))))))))))))</f>
        <v>2</v>
      </c>
      <c r="M41" s="60">
        <v>1</v>
      </c>
      <c r="N41" s="60">
        <v>2</v>
      </c>
      <c r="O41" s="60">
        <v>0</v>
      </c>
      <c r="P41" s="60"/>
      <c r="Q41" s="60" t="s">
        <v>34</v>
      </c>
      <c r="R41" s="60">
        <f>IF(Q41="Free Recall",1,IF(Q41="Cued Recall",2,IF(Q41="Recognition",3,IF(Q41="Multiple Choice",4,IF(Q41="Savings",5,IF(Q41="Stem Completion",6,IF(Q41="Fragment Completion",7,IF(Q41="anagram solution",8,IF(Q41="Matching",9,IF(Q41="Problem Solving",10,"99"))))))))))</f>
        <v>3</v>
      </c>
      <c r="S41" s="59" t="s">
        <v>15</v>
      </c>
      <c r="T41" s="59" t="s">
        <v>261</v>
      </c>
      <c r="U41" s="60">
        <f>IF(T41="within",1,0)</f>
        <v>0</v>
      </c>
      <c r="V41" s="59">
        <v>40</v>
      </c>
      <c r="W41" s="60">
        <f>F41*V41</f>
        <v>1920</v>
      </c>
      <c r="X41" s="60">
        <v>3</v>
      </c>
      <c r="Y41" s="76">
        <f>AV40</f>
        <v>800</v>
      </c>
      <c r="Z41" s="60" t="s">
        <v>79</v>
      </c>
      <c r="AA41" s="60">
        <v>86400</v>
      </c>
      <c r="AB41" s="60" t="str">
        <f>IF(AA41&lt;60,"1",IF(AA41&lt;=43200,"2",IF(AA41&lt;=777600,"3","4")))</f>
        <v>3</v>
      </c>
      <c r="AC41" s="56">
        <f>AVERAGE(AV40:DA40)</f>
        <v>31466.666666666668</v>
      </c>
      <c r="AD41" s="60" t="str">
        <f>IF(AC41&lt;60,"1",IF(AC41&lt;=43200,"2",IF(AC41&lt;=777600,"3","4")))</f>
        <v>2</v>
      </c>
      <c r="AE41" s="76">
        <f>AA41-Y41</f>
        <v>85600</v>
      </c>
      <c r="AF41" s="80">
        <f>AV41</f>
        <v>0.96299999999999997</v>
      </c>
      <c r="AG41" s="56">
        <f>((AW41-AV41)+(AX41-AW41))/2</f>
        <v>-1.0500000000000009E-2</v>
      </c>
      <c r="AH41" s="4"/>
      <c r="AI41" s="56">
        <f>RSQ(AV41:AX41,AV40:AX40)</f>
        <v>0.8227304785284244</v>
      </c>
      <c r="AJ41" s="109">
        <f>SLOPE(AV41:AX41,AV40:AX40)</f>
        <v>-3.1774889743830373E-7</v>
      </c>
      <c r="AK41" s="56">
        <f>INTERCEPT(AV41:AX41,AV40:AX40)</f>
        <v>0.96999849863939192</v>
      </c>
      <c r="AL41" s="56">
        <f>INDEX(LINEST(LN(AV41:AX41),LN(AV40:AX40),TRUE,TRUE),3,1)</f>
        <v>0.4344968192259403</v>
      </c>
      <c r="AM41" s="56">
        <f>INDEX(LINEST(LN(AV41:AX41),LN(AV40:AX40)),1)</f>
        <v>-4.9076066639987337E-3</v>
      </c>
      <c r="AN41" s="56">
        <f>EXP(INDEX(LINEST(LN(AV41:AX41),LN(AV40:AX40)),1,2))</f>
        <v>1.003140864878368</v>
      </c>
      <c r="AO41" s="82">
        <f>INDEX(LINEST((AV41:AX41),LN(AV40:AX40),TRUE,TRUE),3,1)</f>
        <v>0.43006653218500951</v>
      </c>
      <c r="AP41" s="82">
        <f>INDEX(LINEST((AV41:AX41),LN(AV40:AX40)),1)</f>
        <v>-4.6760942262203016E-3</v>
      </c>
      <c r="AQ41" s="83">
        <f>INDEX(LINEST(LN(AV41:AX41),SQRT(AV40:AX40),TRUE,TRUE),3,1)</f>
        <v>0.71199193870391975</v>
      </c>
      <c r="AR41" s="116">
        <f>INDEX(LINEST(LN(AV41:AX41),SQRT((AV40:AX40))),1)</f>
        <v>-1.0516645084707174E-4</v>
      </c>
      <c r="AS41" s="84">
        <f>INDEX(LINEST(1/(AV41:AX41),1/(SQRT(AV40:AX40)),TRUE,TRUE),3,1)</f>
        <v>0.16692397240875007</v>
      </c>
      <c r="AT41" s="84">
        <f>INDEX(LINEST(1/(AV41:AX41),1/SQRT(AV40:AX40)),1)</f>
        <v>-0.44914172383553058</v>
      </c>
      <c r="AU41" s="3"/>
      <c r="AV41" s="53">
        <v>0.96299999999999997</v>
      </c>
      <c r="AW41" s="53">
        <v>0.97499999999999998</v>
      </c>
      <c r="AX41" s="53">
        <v>0.94199999999999995</v>
      </c>
      <c r="AY41" s="53"/>
      <c r="AZ41" s="4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1"/>
      <c r="CS41" s="1"/>
      <c r="CT41" s="1"/>
      <c r="CU41" s="1"/>
    </row>
    <row r="42" spans="1:99" s="13" customFormat="1" ht="12" customHeight="1" x14ac:dyDescent="0.2">
      <c r="A42" s="65">
        <v>43509</v>
      </c>
      <c r="B42" s="1"/>
      <c r="C42" s="1"/>
      <c r="D42" s="60"/>
      <c r="E42" s="76"/>
      <c r="F42" s="60"/>
      <c r="G42" s="60"/>
      <c r="H42" s="60"/>
      <c r="I42" s="60"/>
      <c r="J42" s="60"/>
      <c r="K42" s="64"/>
      <c r="L42" s="64"/>
      <c r="M42" s="60"/>
      <c r="N42" s="60"/>
      <c r="O42" s="60"/>
      <c r="P42" s="60"/>
      <c r="Q42" s="60"/>
      <c r="R42" s="60"/>
      <c r="S42" s="60"/>
      <c r="T42" s="59"/>
      <c r="U42" s="60"/>
      <c r="V42" s="60"/>
      <c r="W42" s="60"/>
      <c r="X42" s="60"/>
      <c r="Y42" s="76"/>
      <c r="Z42" s="60"/>
      <c r="AA42" s="60"/>
      <c r="AB42" s="60"/>
      <c r="AC42" s="60"/>
      <c r="AD42" s="60"/>
      <c r="AE42" s="60"/>
      <c r="AF42" s="80"/>
      <c r="AG42" s="56"/>
      <c r="AH42" s="4"/>
      <c r="AI42" s="56"/>
      <c r="AJ42" s="109"/>
      <c r="AK42" s="56"/>
      <c r="AL42" s="56"/>
      <c r="AM42" s="56"/>
      <c r="AN42" s="56"/>
      <c r="AO42" s="56"/>
      <c r="AP42" s="56"/>
      <c r="AQ42" s="56"/>
      <c r="AR42" s="109"/>
      <c r="AS42" s="56"/>
      <c r="AT42" s="56"/>
      <c r="AU42" s="5"/>
      <c r="AV42" s="25">
        <v>800</v>
      </c>
      <c r="AW42" s="25">
        <f>60*60*2</f>
        <v>7200</v>
      </c>
      <c r="AX42" s="25">
        <f>60*60*24</f>
        <v>86400</v>
      </c>
      <c r="AY42" s="53"/>
      <c r="AZ42" s="4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1"/>
      <c r="CS42" s="1"/>
      <c r="CT42" s="1"/>
      <c r="CU42" s="1"/>
    </row>
    <row r="43" spans="1:99" s="13" customFormat="1" ht="12" customHeight="1" x14ac:dyDescent="0.2">
      <c r="A43" s="65">
        <v>43509</v>
      </c>
      <c r="B43" s="1" t="s">
        <v>77</v>
      </c>
      <c r="C43" s="1" t="s">
        <v>78</v>
      </c>
      <c r="D43" s="60">
        <v>1990</v>
      </c>
      <c r="E43" s="76">
        <v>1</v>
      </c>
      <c r="F43" s="60">
        <v>48</v>
      </c>
      <c r="G43" s="60">
        <v>9.3000000000000007</v>
      </c>
      <c r="H43" s="60" t="s">
        <v>22</v>
      </c>
      <c r="I43" s="60" t="s">
        <v>667</v>
      </c>
      <c r="J43" s="60" t="s">
        <v>29</v>
      </c>
      <c r="K43" s="60">
        <f>IF(J43="syllables",1,IF(J43="trigrams",2,IF(J43="strings",3,IF(J43="visual array",4,IF(J43="characters",5,IF(J43="letters",6,IF(J43="free forms",7,IF(J43="odors",8,IF(J43="words",9,IF(J43="pictures",10,IF(J43="object pictures",11,IF(J43="faces",12,IF(J43="names",13,IF(J43="idioms",14,IF(J43="grades",15,IF(J43="syllable-digit pairs",16,IF(J43="trigram-word pairs",17,IF(J43="word-digit pairs",18,IF(J43="English-Swahili pairs",19,IF(J43="spatial position",20,IF(J43="word pairs",21,IF(J43="word triads",22,IF(J43="generated words",23,IF(J43="word definition pairs",24,IF(J43="math problems",25,IF(J43="famous faces",26,IF(J43="famous names",27,IF(J43="famous voices",28,IF(J43="television programs",29,IF(J43="race horses",30,IF(J43="new vocabulary",31,IF(J43="sentences",32,IF(J43="concepts",33,IF(J43="ad slides",34,IF(J43="scenes",35,IF(J43="famous scenes",36,IF(J43="poems",37,IF(J43="walk",38,IF(J43="faces and events",39,IF(J43="events and names",40,IF(J43="flashbulb",41,IF(J43="stories",42,IF(J43="course material",43,IF(J43="autobiographical",44,IF(J43="novels",45,IF(J43="public events",46,"99"))))))))))))))))))))))))))))))))))))))))))))))</f>
        <v>9</v>
      </c>
      <c r="L43" s="60">
        <f>IF(J43="syllables",1,IF(J43="trigrams",1,IF(J43="strings",1,IF(J43="visual array",1,IF(J43="characters",1,IF(J43="letters",1,IF(J43="free forms",1,IF(J43="odors",2,IF(J43="words",2,IF(J43="pictures",2,IF(J43="object pictures",2,IF(J43="faces",2,IF(J43="names",2,IF(J43="idioms","2",IF(J43="grades",2,IF(J43="syllable-digit pairs",3,IF(J43="trigram-word pairs",3,IF(J43="word-digit pairs",3,IF(J43="English-Swahili pairs",3,IF(J43="spatial position",3,IF(J43="word pairs",4,IF(J43="word triads",4,IF(J43="generated words",4,IF(J43="word definition pairs",4,IF(J43="math problems",4,IF(J43="famous faces",4,IF(J43="famous names",4,IF(J43="famous voices",4,IF(J43="television programs",4,IF(J43="race horses",4,IF(J43="new vocabulary",4,IF(J43="sentences",5,IF(J43="concepts",5,IF(J43="ad slides",5,IF(J43="scenes",5,IF(J43="famous scenes",5,IF(J43="poems",6,IF(J43="walk",6,IF(J43="faces and events",6,IF(J43="events and names",6,IF(J43="flashbulb",7,IF(J43="stories",7,IF(J43="course material",7,IF(J43="autobiographical",7,IF(J43="novels",7,IF(J43="public events",7,"99"))))))))))))))))))))))))))))))))))))))))))))))</f>
        <v>2</v>
      </c>
      <c r="M43" s="60">
        <v>1</v>
      </c>
      <c r="N43" s="60">
        <v>2</v>
      </c>
      <c r="O43" s="60">
        <v>0</v>
      </c>
      <c r="P43" s="60"/>
      <c r="Q43" s="60" t="s">
        <v>34</v>
      </c>
      <c r="R43" s="60">
        <f>IF(Q43="Free Recall",1,IF(Q43="Cued Recall",2,IF(Q43="Recognition",3,IF(Q43="Multiple Choice",4,IF(Q43="Savings",5,IF(Q43="Stem Completion",6,IF(Q43="Fragment Completion",7,IF(Q43="anagram solution",8,IF(Q43="Matching",9,IF(Q43="Problem Solving",10,"99"))))))))))</f>
        <v>3</v>
      </c>
      <c r="S43" s="59" t="s">
        <v>15</v>
      </c>
      <c r="T43" s="59" t="s">
        <v>261</v>
      </c>
      <c r="U43" s="60">
        <f>IF(T43="within",1,0)</f>
        <v>0</v>
      </c>
      <c r="V43" s="59">
        <v>40</v>
      </c>
      <c r="W43" s="60">
        <f>F43*V43</f>
        <v>1920</v>
      </c>
      <c r="X43" s="60">
        <v>3</v>
      </c>
      <c r="Y43" s="76">
        <f>AV42</f>
        <v>800</v>
      </c>
      <c r="Z43" s="60" t="s">
        <v>79</v>
      </c>
      <c r="AA43" s="60">
        <v>86400</v>
      </c>
      <c r="AB43" s="60" t="str">
        <f>IF(AA43&lt;60,"1",IF(AA43&lt;=43200,"2",IF(AA43&lt;=777600,"3","4")))</f>
        <v>3</v>
      </c>
      <c r="AC43" s="56">
        <f>AVERAGE(AV42:DA42)</f>
        <v>31466.666666666668</v>
      </c>
      <c r="AD43" s="60" t="str">
        <f>IF(AC43&lt;60,"1",IF(AC43&lt;=43200,"2",IF(AC43&lt;=777600,"3","4")))</f>
        <v>2</v>
      </c>
      <c r="AE43" s="76">
        <f>AA43-Y43</f>
        <v>85600</v>
      </c>
      <c r="AF43" s="80">
        <f>AV43</f>
        <v>0.98299999999999998</v>
      </c>
      <c r="AG43" s="56">
        <f>((AW43-AV43)+(AX43-AW43))/2</f>
        <v>-1.9500000000000017E-2</v>
      </c>
      <c r="AH43" s="4"/>
      <c r="AI43" s="56">
        <f>RSQ(AV43:AX43,AV42:AX42)</f>
        <v>0.98363953310692509</v>
      </c>
      <c r="AJ43" s="109">
        <f>SLOPE(AV43:AX43,AV42:AX42)</f>
        <v>-4.2847424228206854E-7</v>
      </c>
      <c r="AK43" s="56">
        <f>INTERCEPT(AV43:AX43,AV42:AX42)</f>
        <v>0.98081598949047577</v>
      </c>
      <c r="AL43" s="56">
        <f>INDEX(LINEST(LN(AV43:AX43),LN(AV42:AX42),TRUE,TRUE),3,1)</f>
        <v>0.91485656257094861</v>
      </c>
      <c r="AM43" s="56">
        <f>INDEX(LINEST(LN(AV43:AX43),LN(AV42:AX42)),1)</f>
        <v>-8.7408600388486375E-3</v>
      </c>
      <c r="AN43" s="56">
        <f>EXP(INDEX(LINEST(LN(AV43:AX43),LN(AV42:AX42)),1,2))</f>
        <v>1.0461415948307704</v>
      </c>
      <c r="AO43" s="82">
        <f>INDEX(LINEST((AV43:AX43),LN(AV42:AX42),TRUE,TRUE),3,1)</f>
        <v>0.9167359401726175</v>
      </c>
      <c r="AP43" s="82">
        <f>INDEX(LINEST((AV43:AX43),LN(AV42:AX42)),1)</f>
        <v>-8.4195529432913394E-3</v>
      </c>
      <c r="AQ43" s="83">
        <f>INDEX(LINEST(LN(AV43:AX43),SQRT(AV42:AX42),TRUE,TRUE),3,1)</f>
        <v>0.99986799580836971</v>
      </c>
      <c r="AR43" s="116">
        <f>INDEX(LINEST(LN(AV43:AX43),SQRT((AV42:AX42))),1)</f>
        <v>-1.5297210000093575E-4</v>
      </c>
      <c r="AS43" s="84">
        <f>INDEX(LINEST(1/(AV43:AX43),1/(SQRT(AV42:AX42)),TRUE,TRUE),3,1)</f>
        <v>0.67863372869436589</v>
      </c>
      <c r="AT43" s="84">
        <f>INDEX(LINEST(1/(AV43:AX43),1/SQRT(AV42:AX42)),1)</f>
        <v>-1.106374132659856</v>
      </c>
      <c r="AU43" s="3"/>
      <c r="AV43" s="53">
        <v>0.98299999999999998</v>
      </c>
      <c r="AW43" s="53">
        <v>0.97499999999999998</v>
      </c>
      <c r="AX43" s="53">
        <v>0.94399999999999995</v>
      </c>
      <c r="AY43" s="53"/>
      <c r="AZ43" s="4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1"/>
      <c r="CS43" s="1"/>
      <c r="CT43" s="1"/>
      <c r="CU43" s="1"/>
    </row>
    <row r="44" spans="1:99" s="13" customFormat="1" ht="12" customHeight="1" x14ac:dyDescent="0.2">
      <c r="A44" s="68">
        <v>43899</v>
      </c>
      <c r="B44" s="70"/>
      <c r="C44" s="70"/>
      <c r="D44" s="69"/>
      <c r="E44" s="87"/>
      <c r="F44" s="69"/>
      <c r="G44" s="69"/>
      <c r="H44" s="69"/>
      <c r="I44" s="104"/>
      <c r="J44" s="69"/>
      <c r="K44" s="107"/>
      <c r="L44" s="107"/>
      <c r="M44" s="69"/>
      <c r="N44" s="86"/>
      <c r="O44" s="69"/>
      <c r="P44" s="69"/>
      <c r="Q44" s="69"/>
      <c r="R44" s="69"/>
      <c r="S44" s="69"/>
      <c r="T44" s="69"/>
      <c r="U44" s="69"/>
      <c r="V44" s="69"/>
      <c r="W44" s="69"/>
      <c r="X44" s="69"/>
      <c r="Y44" s="87"/>
      <c r="Z44" s="69"/>
      <c r="AA44" s="69"/>
      <c r="AB44" s="69"/>
      <c r="AC44" s="72"/>
      <c r="AD44" s="69"/>
      <c r="AE44" s="69"/>
      <c r="AF44" s="88"/>
      <c r="AG44" s="72"/>
      <c r="AH44" s="4"/>
      <c r="AI44" s="72"/>
      <c r="AJ44" s="110"/>
      <c r="AK44" s="72"/>
      <c r="AL44" s="72"/>
      <c r="AM44" s="72"/>
      <c r="AN44" s="72"/>
      <c r="AO44" s="89"/>
      <c r="AP44" s="89"/>
      <c r="AQ44" s="90"/>
      <c r="AR44" s="117"/>
      <c r="AS44" s="91"/>
      <c r="AT44" s="91"/>
      <c r="AU44" s="3"/>
      <c r="AV44" s="71">
        <v>3600</v>
      </c>
      <c r="AW44" s="71">
        <v>172800</v>
      </c>
      <c r="AX44" s="71">
        <v>604800</v>
      </c>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1"/>
      <c r="CS44" s="1"/>
      <c r="CT44" s="1"/>
      <c r="CU44" s="1"/>
    </row>
    <row r="45" spans="1:99" s="13" customFormat="1" ht="12" customHeight="1" x14ac:dyDescent="0.25">
      <c r="A45" s="68">
        <v>43899</v>
      </c>
      <c r="B45" s="70" t="s">
        <v>378</v>
      </c>
      <c r="C45" s="70" t="s">
        <v>107</v>
      </c>
      <c r="D45" s="69">
        <v>1994</v>
      </c>
      <c r="E45" s="105">
        <v>1</v>
      </c>
      <c r="F45" s="69">
        <v>36</v>
      </c>
      <c r="G45" s="69">
        <v>12</v>
      </c>
      <c r="H45" s="69" t="s">
        <v>38</v>
      </c>
      <c r="I45" s="104" t="s">
        <v>379</v>
      </c>
      <c r="J45" s="69" t="s">
        <v>61</v>
      </c>
      <c r="K45" s="69">
        <f>IF(J45="syllables",1,IF(J45="trigrams",2,IF(J45="strings",3,IF(J45="visual array",4,IF(J45="characters",5,IF(J45="letters",6,IF(J45="free forms",7,IF(J45="odors",8,IF(J45="words",9,IF(J45="pictures",10,IF(J45="object pictures",11,IF(J45="faces",12,IF(J45="names",13,IF(J45="idioms",14,IF(J45="grades",15,IF(J45="syllable-digit pairs",16,IF(J45="trigram-word pairs",17,IF(J45="word-digit pairs",18,IF(J45="English-Swahili pairs",19,IF(J45="spatial position",20,IF(J45="word pairs",21,IF(J45="word triads",22,IF(J45="generated words",23,IF(J45="word definition pairs",24,IF(J45="math problems",25,IF(J45="famous faces",26,IF(J45="famous names",27,IF(J45="famous voices",28,IF(J45="television programs",29,IF(J45="race horses",30,IF(J45="new vocabulary",31,IF(J45="sentences",32,IF(J45="concepts",33,IF(J45="ad slides",34,IF(J45="scenes",35,IF(J45="famous scenes",36,IF(J45="poems",37,IF(J45="walk",38,IF(J45="faces and events",39,IF(J45="events and names",40,IF(J45="flashbulb",41,IF(J45="stories",42,IF(J45="course material",43,IF(J45="autobiographical",44,IF(J45="novels",45,IF(J45="public events",46,"99"))))))))))))))))))))))))))))))))))))))))))))))</f>
        <v>42</v>
      </c>
      <c r="L45" s="69">
        <f>IF(J45="syllables",1,IF(J45="trigrams",1,IF(J45="strings",1,IF(J45="visual array",1,IF(J45="characters",1,IF(J45="letters",1,IF(J45="free forms",1,IF(J45="odors",2,IF(J45="words",2,IF(J45="pictures",2,IF(J45="object pictures",2,IF(J45="faces",2,IF(J45="names",2,IF(J45="idioms","2",IF(J45="grades",2,IF(J45="syllable-digit pairs",3,IF(J45="trigram-word pairs",3,IF(J45="word-digit pairs",3,IF(J45="English-Swahili pairs",3,IF(J45="spatial position",3,IF(J45="word pairs",4,IF(J45="word triads",4,IF(J45="generated words",4,IF(J45="word definition pairs",4,IF(J45="math problems",4,IF(J45="famous faces",4,IF(J45="famous names",4,IF(J45="famous voices",4,IF(J45="television programs",4,IF(J45="race horses",4,IF(J45="new vocabulary",4,IF(J45="sentences",5,IF(J45="concepts",5,IF(J45="ad slides",5,IF(J45="scenes",5,IF(J45="famous scenes",5,IF(J45="poems",6,IF(J45="walk",6,IF(J45="faces and events",6,IF(J45="events and names",6,IF(J45="flashbulb",7,IF(J45="stories",7,IF(J45="course material",7,IF(J45="autobiographical",7,IF(J45="novels",7,IF(J45="public events",7,"99"))))))))))))))))))))))))))))))))))))))))))))))</f>
        <v>7</v>
      </c>
      <c r="M45" s="69">
        <v>0</v>
      </c>
      <c r="N45" s="86">
        <v>3</v>
      </c>
      <c r="O45" s="69">
        <v>0</v>
      </c>
      <c r="P45" s="69"/>
      <c r="Q45" s="69" t="s">
        <v>34</v>
      </c>
      <c r="R45" s="69">
        <f>IF(Q45="Free Recall",1,IF(Q45="Cued Recall",2,IF(Q45="Recognition",3,IF(Q45="Multiple Choice",4,IF(Q45="Savings",5,IF(Q45="Stem Completion",6,IF(Q45="Fragment Completion",7,IF(Q45="anagram solution",8,IF(Q45="Matching",9,IF(Q45="Problem Solving",10,"99"))))))))))</f>
        <v>3</v>
      </c>
      <c r="S45" s="69" t="s">
        <v>15</v>
      </c>
      <c r="T45" s="92" t="s">
        <v>261</v>
      </c>
      <c r="U45" s="69">
        <f>IF(T45="within",1,0)</f>
        <v>0</v>
      </c>
      <c r="V45" s="92">
        <v>18</v>
      </c>
      <c r="W45" s="69">
        <f>F45*V45</f>
        <v>648</v>
      </c>
      <c r="X45" s="69">
        <v>3</v>
      </c>
      <c r="Y45" s="87">
        <f>AV44</f>
        <v>3600</v>
      </c>
      <c r="Z45" s="69" t="s">
        <v>97</v>
      </c>
      <c r="AA45" s="69">
        <v>604800</v>
      </c>
      <c r="AB45" s="69" t="str">
        <f>IF(AA45&lt;60,"1",IF(AA45&lt;=43200,"2",IF(AA45&lt;=777600,"3","4")))</f>
        <v>3</v>
      </c>
      <c r="AC45" s="72">
        <f>AVERAGE(AV44:DA44)</f>
        <v>260400</v>
      </c>
      <c r="AD45" s="69" t="str">
        <f>IF(AC45&lt;60,"1",IF(AC45&lt;=43200,"2",IF(AC45&lt;=777600,"3","4")))</f>
        <v>3</v>
      </c>
      <c r="AE45" s="87">
        <f>AA45-Y45</f>
        <v>601200</v>
      </c>
      <c r="AF45" s="88">
        <f>AV45</f>
        <v>0.76</v>
      </c>
      <c r="AG45" s="72">
        <f>((AW45-AV45)+(AX45-AW45))/2</f>
        <v>-7.7500000000000013E-2</v>
      </c>
      <c r="AH45" s="4"/>
      <c r="AI45" s="72">
        <f>RSQ(AV45:AX45,AV44:AX44)</f>
        <v>0.83870043379104664</v>
      </c>
      <c r="AJ45" s="110">
        <f>SLOPE(AV45:AX45,AV44:AX44)</f>
        <v>-2.3212653752228564E-7</v>
      </c>
      <c r="AK45" s="72">
        <f>INTERCEPT(AV45:AX45,AV44:AX44)</f>
        <v>0.73544575037080306</v>
      </c>
      <c r="AL45" s="72">
        <f>INDEX(LINEST(LN(AV45:AX45),LN(AV44:AX44),TRUE,TRUE),3,1)</f>
        <v>0.97740603967154405</v>
      </c>
      <c r="AM45" s="72">
        <f>INDEX(LINEST(LN(AV45:AX45),LN(AV44:AX44)),1)</f>
        <v>-4.2603286173484557E-2</v>
      </c>
      <c r="AN45" s="72">
        <f>EXP(INDEX(LINEST(LN(AV45:AX45),LN(AV44:AX44)),1,2))</f>
        <v>1.0823268619917041</v>
      </c>
      <c r="AO45" s="89">
        <f>INDEX(LINEST((AV45:AX45),LN(AV44:AX44),TRUE,TRUE),3,1)</f>
        <v>0.9854727342926638</v>
      </c>
      <c r="AP45" s="89">
        <f>INDEX(LINEST((AV45:AX45),LN(AV44:AX44)),1)</f>
        <v>-2.9203886909062927E-2</v>
      </c>
      <c r="AQ45" s="90">
        <f>INDEX(LINEST(LN(AV45:AX45),SQRT(AV44:AX44),TRUE,TRUE),3,1)</f>
        <v>0.98022708743421327</v>
      </c>
      <c r="AR45" s="117">
        <f>INDEX(LINEST(LN(AV45:AX45),SQRT((AV44:AX44))),1)</f>
        <v>-3.1758300966863782E-4</v>
      </c>
      <c r="AS45" s="91">
        <f>INDEX(LINEST(1/(AV45:AX45),1/(SQRT(AV44:AX44)),TRUE,TRUE),3,1)</f>
        <v>0.88040811826201304</v>
      </c>
      <c r="AT45" s="91">
        <f>INDEX(LINEST(1/(AV45:AX45),1/SQRT(AV44:AX44)),1)</f>
        <v>-18.545463965624503</v>
      </c>
      <c r="AU45" s="3"/>
      <c r="AV45" s="160">
        <v>0.76</v>
      </c>
      <c r="AW45" s="160">
        <v>0.65999999999999992</v>
      </c>
      <c r="AX45" s="160">
        <v>0.60499999999999998</v>
      </c>
      <c r="AY45" s="53"/>
      <c r="AZ45" s="134"/>
      <c r="BA45" s="134"/>
      <c r="BB45" s="134"/>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1"/>
      <c r="CS45" s="1"/>
      <c r="CT45" s="1"/>
      <c r="CU45" s="1"/>
    </row>
    <row r="46" spans="1:99" s="13" customFormat="1" ht="12" customHeight="1" x14ac:dyDescent="0.2">
      <c r="A46" s="68">
        <v>43899</v>
      </c>
      <c r="B46" s="70"/>
      <c r="C46" s="70"/>
      <c r="D46" s="69"/>
      <c r="E46" s="87"/>
      <c r="F46" s="69"/>
      <c r="G46" s="69"/>
      <c r="H46" s="69"/>
      <c r="I46" s="104"/>
      <c r="J46" s="69"/>
      <c r="K46" s="107"/>
      <c r="L46" s="107"/>
      <c r="M46" s="69"/>
      <c r="N46" s="86"/>
      <c r="O46" s="69"/>
      <c r="P46" s="69"/>
      <c r="Q46" s="69"/>
      <c r="R46" s="69"/>
      <c r="S46" s="69"/>
      <c r="T46" s="69"/>
      <c r="U46" s="69"/>
      <c r="V46" s="69"/>
      <c r="W46" s="69"/>
      <c r="X46" s="69"/>
      <c r="Y46" s="87"/>
      <c r="Z46" s="69"/>
      <c r="AA46" s="69"/>
      <c r="AB46" s="69"/>
      <c r="AC46" s="72"/>
      <c r="AD46" s="69"/>
      <c r="AE46" s="69"/>
      <c r="AF46" s="88"/>
      <c r="AG46" s="72"/>
      <c r="AH46" s="4"/>
      <c r="AI46" s="72"/>
      <c r="AJ46" s="110"/>
      <c r="AK46" s="72"/>
      <c r="AL46" s="72"/>
      <c r="AM46" s="72"/>
      <c r="AN46" s="72"/>
      <c r="AO46" s="89"/>
      <c r="AP46" s="89"/>
      <c r="AQ46" s="90"/>
      <c r="AR46" s="117"/>
      <c r="AS46" s="91"/>
      <c r="AT46" s="91"/>
      <c r="AU46" s="3"/>
      <c r="AV46" s="71">
        <v>3600</v>
      </c>
      <c r="AW46" s="71">
        <v>172800</v>
      </c>
      <c r="AX46" s="71">
        <v>604800</v>
      </c>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53"/>
      <c r="CO46" s="53"/>
      <c r="CP46" s="53"/>
      <c r="CQ46" s="53"/>
      <c r="CR46" s="1"/>
      <c r="CS46" s="1"/>
      <c r="CT46" s="1"/>
      <c r="CU46" s="1"/>
    </row>
    <row r="47" spans="1:99" s="13" customFormat="1" ht="12" customHeight="1" x14ac:dyDescent="0.2">
      <c r="A47" s="68">
        <v>43899</v>
      </c>
      <c r="B47" s="70" t="s">
        <v>378</v>
      </c>
      <c r="C47" s="70" t="s">
        <v>107</v>
      </c>
      <c r="D47" s="69">
        <v>1994</v>
      </c>
      <c r="E47" s="105">
        <v>1</v>
      </c>
      <c r="F47" s="69">
        <v>36</v>
      </c>
      <c r="G47" s="69">
        <v>12</v>
      </c>
      <c r="H47" s="69" t="s">
        <v>38</v>
      </c>
      <c r="I47" s="104" t="s">
        <v>380</v>
      </c>
      <c r="J47" s="69" t="s">
        <v>61</v>
      </c>
      <c r="K47" s="69">
        <f>IF(J47="syllables",1,IF(J47="trigrams",2,IF(J47="strings",3,IF(J47="visual array",4,IF(J47="characters",5,IF(J47="letters",6,IF(J47="free forms",7,IF(J47="odors",8,IF(J47="words",9,IF(J47="pictures",10,IF(J47="object pictures",11,IF(J47="faces",12,IF(J47="names",13,IF(J47="idioms",14,IF(J47="grades",15,IF(J47="syllable-digit pairs",16,IF(J47="trigram-word pairs",17,IF(J47="word-digit pairs",18,IF(J47="English-Swahili pairs",19,IF(J47="spatial position",20,IF(J47="word pairs",21,IF(J47="word triads",22,IF(J47="generated words",23,IF(J47="word definition pairs",24,IF(J47="math problems",25,IF(J47="famous faces",26,IF(J47="famous names",27,IF(J47="famous voices",28,IF(J47="television programs",29,IF(J47="race horses",30,IF(J47="new vocabulary",31,IF(J47="sentences",32,IF(J47="concepts",33,IF(J47="ad slides",34,IF(J47="scenes",35,IF(J47="famous scenes",36,IF(J47="poems",37,IF(J47="walk",38,IF(J47="faces and events",39,IF(J47="events and names",40,IF(J47="flashbulb",41,IF(J47="stories",42,IF(J47="course material",43,IF(J47="autobiographical",44,IF(J47="novels",45,IF(J47="public events",46,"99"))))))))))))))))))))))))))))))))))))))))))))))</f>
        <v>42</v>
      </c>
      <c r="L47" s="69">
        <f>IF(J47="syllables",1,IF(J47="trigrams",1,IF(J47="strings",1,IF(J47="visual array",1,IF(J47="characters",1,IF(J47="letters",1,IF(J47="free forms",1,IF(J47="odors",2,IF(J47="words",2,IF(J47="pictures",2,IF(J47="object pictures",2,IF(J47="faces",2,IF(J47="names",2,IF(J47="idioms","2",IF(J47="grades",2,IF(J47="syllable-digit pairs",3,IF(J47="trigram-word pairs",3,IF(J47="word-digit pairs",3,IF(J47="English-Swahili pairs",3,IF(J47="spatial position",3,IF(J47="word pairs",4,IF(J47="word triads",4,IF(J47="generated words",4,IF(J47="word definition pairs",4,IF(J47="math problems",4,IF(J47="famous faces",4,IF(J47="famous names",4,IF(J47="famous voices",4,IF(J47="television programs",4,IF(J47="race horses",4,IF(J47="new vocabulary",4,IF(J47="sentences",5,IF(J47="concepts",5,IF(J47="ad slides",5,IF(J47="scenes",5,IF(J47="famous scenes",5,IF(J47="poems",6,IF(J47="walk",6,IF(J47="faces and events",6,IF(J47="events and names",6,IF(J47="flashbulb",7,IF(J47="stories",7,IF(J47="course material",7,IF(J47="autobiographical",7,IF(J47="novels",7,IF(J47="public events",7,"99"))))))))))))))))))))))))))))))))))))))))))))))</f>
        <v>7</v>
      </c>
      <c r="M47" s="69">
        <v>0</v>
      </c>
      <c r="N47" s="86">
        <v>3</v>
      </c>
      <c r="O47" s="69">
        <v>0</v>
      </c>
      <c r="P47" s="69"/>
      <c r="Q47" s="69" t="s">
        <v>34</v>
      </c>
      <c r="R47" s="69">
        <f>IF(Q47="Free Recall",1,IF(Q47="Cued Recall",2,IF(Q47="Recognition",3,IF(Q47="Multiple Choice",4,IF(Q47="Savings",5,IF(Q47="Stem Completion",6,IF(Q47="Fragment Completion",7,IF(Q47="anagram solution",8,IF(Q47="Matching",9,IF(Q47="Problem Solving",10,"99"))))))))))</f>
        <v>3</v>
      </c>
      <c r="S47" s="69" t="s">
        <v>15</v>
      </c>
      <c r="T47" s="92" t="s">
        <v>261</v>
      </c>
      <c r="U47" s="69">
        <f>IF(T47="within",1,0)</f>
        <v>0</v>
      </c>
      <c r="V47" s="92">
        <v>18</v>
      </c>
      <c r="W47" s="69">
        <f>F47*V47</f>
        <v>648</v>
      </c>
      <c r="X47" s="69">
        <v>3</v>
      </c>
      <c r="Y47" s="87">
        <f>AV46</f>
        <v>3600</v>
      </c>
      <c r="Z47" s="69" t="s">
        <v>97</v>
      </c>
      <c r="AA47" s="69">
        <v>604800</v>
      </c>
      <c r="AB47" s="69" t="str">
        <f>IF(AA47&lt;60,"1",IF(AA47&lt;=43200,"2",IF(AA47&lt;=777600,"3","4")))</f>
        <v>3</v>
      </c>
      <c r="AC47" s="72">
        <f>AVERAGE(AV46:DA46)</f>
        <v>260400</v>
      </c>
      <c r="AD47" s="69" t="str">
        <f>IF(AC47&lt;60,"1",IF(AC47&lt;=43200,"2",IF(AC47&lt;=777600,"3","4")))</f>
        <v>3</v>
      </c>
      <c r="AE47" s="87">
        <f>AA47-Y47</f>
        <v>601200</v>
      </c>
      <c r="AF47" s="88">
        <f>AV47</f>
        <v>0.93500000000000005</v>
      </c>
      <c r="AG47" s="72">
        <f>((AW47-AV47)+(AX47-AW47))/2</f>
        <v>-7.7500000000000013E-2</v>
      </c>
      <c r="AH47" s="4"/>
      <c r="AI47" s="72">
        <f>RSQ(AV47:AX47,AV46:AX46)</f>
        <v>0.72337049649623597</v>
      </c>
      <c r="AJ47" s="110">
        <f>SLOPE(AV47:AX47,AV46:AX46)</f>
        <v>-2.2301251991350422E-7</v>
      </c>
      <c r="AK47" s="72">
        <f>INTERCEPT(AV47:AX47,AV46:AX46)</f>
        <v>0.90140579351880989</v>
      </c>
      <c r="AL47" s="72">
        <f>INDEX(LINEST(LN(AV47:AX47),LN(AV46:AX46),TRUE,TRUE),3,1)</f>
        <v>0.99999393771204281</v>
      </c>
      <c r="AM47" s="72">
        <f>INDEX(LINEST(LN(AV47:AX47),LN(AV46:AX46)),1)</f>
        <v>-3.5399228764858529E-2</v>
      </c>
      <c r="AN47" s="72">
        <f>EXP(INDEX(LINEST(LN(AV47:AX47),LN(AV46:AX46)),1,2))</f>
        <v>1.2493226058595268</v>
      </c>
      <c r="AO47" s="89">
        <f>INDEX(LINEST((AV47:AX47),LN(AV46:AX46),TRUE,TRUE),3,1)</f>
        <v>0.99961080584458661</v>
      </c>
      <c r="AP47" s="89">
        <f>INDEX(LINEST((AV47:AX47),LN(AV46:AX46)),1)</f>
        <v>-3.0427152581133477E-2</v>
      </c>
      <c r="AQ47" s="90">
        <f>INDEX(LINEST(LN(AV47:AX47),SQRT(AV46:AX46),TRUE,TRUE),3,1)</f>
        <v>0.91578682355466834</v>
      </c>
      <c r="AR47" s="117">
        <f>INDEX(LINEST(LN(AV47:AX47),SQRT((AV46:AX46))),1)</f>
        <v>-2.5216257578609318E-4</v>
      </c>
      <c r="AS47" s="91">
        <f>INDEX(LINEST(1/(AV47:AX47),1/(SQRT(AV46:AX46)),TRUE,TRUE),3,1)</f>
        <v>0.96547201561879159</v>
      </c>
      <c r="AT47" s="91">
        <f>INDEX(LINEST(1/(AV47:AX47),1/SQRT(AV46:AX46)),1)</f>
        <v>-12.639004423297221</v>
      </c>
      <c r="AU47" s="3"/>
      <c r="AV47" s="160">
        <v>0.93500000000000005</v>
      </c>
      <c r="AW47" s="160">
        <v>0.81499999999999995</v>
      </c>
      <c r="AX47" s="160">
        <v>0.78</v>
      </c>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53"/>
      <c r="CO47" s="53"/>
      <c r="CP47" s="53"/>
      <c r="CQ47" s="53"/>
      <c r="CR47" s="1"/>
      <c r="CS47" s="1"/>
      <c r="CT47" s="1"/>
      <c r="CU47" s="1"/>
    </row>
    <row r="48" spans="1:99" s="13" customFormat="1" ht="12" customHeight="1" x14ac:dyDescent="0.2">
      <c r="A48" s="68">
        <v>43899</v>
      </c>
      <c r="B48" s="70"/>
      <c r="C48" s="70"/>
      <c r="D48" s="69"/>
      <c r="E48" s="87"/>
      <c r="F48" s="69"/>
      <c r="G48" s="69"/>
      <c r="H48" s="69"/>
      <c r="I48" s="104"/>
      <c r="J48" s="69"/>
      <c r="K48" s="107"/>
      <c r="L48" s="107"/>
      <c r="M48" s="69"/>
      <c r="N48" s="86"/>
      <c r="O48" s="69"/>
      <c r="P48" s="69"/>
      <c r="Q48" s="69"/>
      <c r="R48" s="69"/>
      <c r="S48" s="69"/>
      <c r="T48" s="69"/>
      <c r="U48" s="69"/>
      <c r="V48" s="69"/>
      <c r="W48" s="69"/>
      <c r="X48" s="69"/>
      <c r="Y48" s="87"/>
      <c r="Z48" s="69"/>
      <c r="AA48" s="69"/>
      <c r="AB48" s="69"/>
      <c r="AC48" s="72"/>
      <c r="AD48" s="69"/>
      <c r="AE48" s="69"/>
      <c r="AF48" s="88"/>
      <c r="AG48" s="72"/>
      <c r="AH48" s="4"/>
      <c r="AI48" s="72"/>
      <c r="AJ48" s="110"/>
      <c r="AK48" s="72"/>
      <c r="AL48" s="72"/>
      <c r="AM48" s="72"/>
      <c r="AN48" s="72"/>
      <c r="AO48" s="89"/>
      <c r="AP48" s="89"/>
      <c r="AQ48" s="90"/>
      <c r="AR48" s="117"/>
      <c r="AS48" s="91"/>
      <c r="AT48" s="91"/>
      <c r="AU48" s="3"/>
      <c r="AV48" s="71">
        <v>3600</v>
      </c>
      <c r="AW48" s="71">
        <v>172800</v>
      </c>
      <c r="AX48" s="71">
        <v>604800</v>
      </c>
      <c r="AY48" s="53"/>
      <c r="AZ48" s="53"/>
      <c r="BA48" s="53"/>
      <c r="BB48" s="53"/>
      <c r="BC48" s="53"/>
      <c r="BD48" s="53"/>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53"/>
      <c r="CO48" s="53"/>
      <c r="CP48" s="53"/>
      <c r="CQ48" s="53"/>
      <c r="CR48" s="1"/>
      <c r="CS48" s="1"/>
      <c r="CT48" s="1"/>
      <c r="CU48" s="1"/>
    </row>
    <row r="49" spans="1:99" s="13" customFormat="1" ht="12" customHeight="1" x14ac:dyDescent="0.2">
      <c r="A49" s="68">
        <v>43899</v>
      </c>
      <c r="B49" s="70" t="s">
        <v>378</v>
      </c>
      <c r="C49" s="70" t="s">
        <v>107</v>
      </c>
      <c r="D49" s="69">
        <v>1994</v>
      </c>
      <c r="E49" s="105">
        <v>1</v>
      </c>
      <c r="F49" s="69">
        <v>36</v>
      </c>
      <c r="G49" s="69">
        <v>12</v>
      </c>
      <c r="H49" s="69" t="s">
        <v>38</v>
      </c>
      <c r="I49" s="104" t="s">
        <v>381</v>
      </c>
      <c r="J49" s="69" t="s">
        <v>61</v>
      </c>
      <c r="K49" s="69">
        <f>IF(J49="syllables",1,IF(J49="trigrams",2,IF(J49="strings",3,IF(J49="visual array",4,IF(J49="characters",5,IF(J49="letters",6,IF(J49="free forms",7,IF(J49="odors",8,IF(J49="words",9,IF(J49="pictures",10,IF(J49="object pictures",11,IF(J49="faces",12,IF(J49="names",13,IF(J49="idioms",14,IF(J49="grades",15,IF(J49="syllable-digit pairs",16,IF(J49="trigram-word pairs",17,IF(J49="word-digit pairs",18,IF(J49="English-Swahili pairs",19,IF(J49="spatial position",20,IF(J49="word pairs",21,IF(J49="word triads",22,IF(J49="generated words",23,IF(J49="word definition pairs",24,IF(J49="math problems",25,IF(J49="famous faces",26,IF(J49="famous names",27,IF(J49="famous voices",28,IF(J49="television programs",29,IF(J49="race horses",30,IF(J49="new vocabulary",31,IF(J49="sentences",32,IF(J49="concepts",33,IF(J49="ad slides",34,IF(J49="scenes",35,IF(J49="famous scenes",36,IF(J49="poems",37,IF(J49="walk",38,IF(J49="faces and events",39,IF(J49="events and names",40,IF(J49="flashbulb",41,IF(J49="stories",42,IF(J49="course material",43,IF(J49="autobiographical",44,IF(J49="novels",45,IF(J49="public events",46,"99"))))))))))))))))))))))))))))))))))))))))))))))</f>
        <v>42</v>
      </c>
      <c r="L49" s="69">
        <f>IF(J49="syllables",1,IF(J49="trigrams",1,IF(J49="strings",1,IF(J49="visual array",1,IF(J49="characters",1,IF(J49="letters",1,IF(J49="free forms",1,IF(J49="odors",2,IF(J49="words",2,IF(J49="pictures",2,IF(J49="object pictures",2,IF(J49="faces",2,IF(J49="names",2,IF(J49="idioms","2",IF(J49="grades",2,IF(J49="syllable-digit pairs",3,IF(J49="trigram-word pairs",3,IF(J49="word-digit pairs",3,IF(J49="English-Swahili pairs",3,IF(J49="spatial position",3,IF(J49="word pairs",4,IF(J49="word triads",4,IF(J49="generated words",4,IF(J49="word definition pairs",4,IF(J49="math problems",4,IF(J49="famous faces",4,IF(J49="famous names",4,IF(J49="famous voices",4,IF(J49="television programs",4,IF(J49="race horses",4,IF(J49="new vocabulary",4,IF(J49="sentences",5,IF(J49="concepts",5,IF(J49="ad slides",5,IF(J49="scenes",5,IF(J49="famous scenes",5,IF(J49="poems",6,IF(J49="walk",6,IF(J49="faces and events",6,IF(J49="events and names",6,IF(J49="flashbulb",7,IF(J49="stories",7,IF(J49="course material",7,IF(J49="autobiographical",7,IF(J49="novels",7,IF(J49="public events",7,"99"))))))))))))))))))))))))))))))))))))))))))))))</f>
        <v>7</v>
      </c>
      <c r="M49" s="69">
        <v>0</v>
      </c>
      <c r="N49" s="86">
        <v>3</v>
      </c>
      <c r="O49" s="69">
        <v>0</v>
      </c>
      <c r="P49" s="69"/>
      <c r="Q49" s="69" t="s">
        <v>34</v>
      </c>
      <c r="R49" s="69">
        <f>IF(Q49="Free Recall",1,IF(Q49="Cued Recall",2,IF(Q49="Recognition",3,IF(Q49="Multiple Choice",4,IF(Q49="Savings",5,IF(Q49="Stem Completion",6,IF(Q49="Fragment Completion",7,IF(Q49="anagram solution",8,IF(Q49="Matching",9,IF(Q49="Problem Solving",10,"99"))))))))))</f>
        <v>3</v>
      </c>
      <c r="S49" s="69" t="s">
        <v>15</v>
      </c>
      <c r="T49" s="92" t="s">
        <v>261</v>
      </c>
      <c r="U49" s="69">
        <f>IF(T49="within",1,0)</f>
        <v>0</v>
      </c>
      <c r="V49" s="92">
        <v>18</v>
      </c>
      <c r="W49" s="69">
        <f>F49*V49</f>
        <v>648</v>
      </c>
      <c r="X49" s="69">
        <v>3</v>
      </c>
      <c r="Y49" s="87">
        <f>AV48</f>
        <v>3600</v>
      </c>
      <c r="Z49" s="69" t="s">
        <v>97</v>
      </c>
      <c r="AA49" s="69">
        <v>604800</v>
      </c>
      <c r="AB49" s="69" t="str">
        <f>IF(AA49&lt;60,"1",IF(AA49&lt;=43200,"2",IF(AA49&lt;=777600,"3","4")))</f>
        <v>3</v>
      </c>
      <c r="AC49" s="72">
        <f>AVERAGE(AV48:DA48)</f>
        <v>260400</v>
      </c>
      <c r="AD49" s="69" t="str">
        <f>IF(AC49&lt;60,"1",IF(AC49&lt;=43200,"2",IF(AC49&lt;=777600,"3","4")))</f>
        <v>3</v>
      </c>
      <c r="AE49" s="87">
        <f>AA49-Y49</f>
        <v>601200</v>
      </c>
      <c r="AF49" s="88">
        <f>AV49</f>
        <v>0.95</v>
      </c>
      <c r="AG49" s="72">
        <f>((AW49-AV49)+(AX49-AW49))/2</f>
        <v>-6.9999999999999951E-2</v>
      </c>
      <c r="AH49" s="4"/>
      <c r="AI49" s="72">
        <f>RSQ(AV49:AX49,AV48:AX48)</f>
        <v>0.61137311380407144</v>
      </c>
      <c r="AJ49" s="110">
        <f>SLOPE(AV49:AX49,AV48:AX48)</f>
        <v>-1.9386014852103196E-7</v>
      </c>
      <c r="AK49" s="72">
        <f>INTERCEPT(AV49:AX49,AV48:AX48)</f>
        <v>0.91214784934154336</v>
      </c>
      <c r="AL49" s="72">
        <f>INDEX(LINEST(LN(AV49:AX49),LN(AV48:AX48),TRUE,TRUE),3,1)</f>
        <v>0.98285049867823959</v>
      </c>
      <c r="AM49" s="72">
        <f>INDEX(LINEST(LN(AV49:AX49),LN(AV48:AX48)),1)</f>
        <v>-3.2375909093925896E-2</v>
      </c>
      <c r="AN49" s="72">
        <f>EXP(INDEX(LINEST(LN(AV49:AX49),LN(AV48:AX48)),1,2))</f>
        <v>1.2345786402886154</v>
      </c>
      <c r="AO49" s="89">
        <f>INDEX(LINEST((AV49:AX49),LN(AV48:AX48),TRUE,TRUE),3,1)</f>
        <v>0.98081034520531929</v>
      </c>
      <c r="AP49" s="89">
        <f>INDEX(LINEST((AV49:AX49),LN(AV48:AX48)),1)</f>
        <v>-2.8498689139598469E-2</v>
      </c>
      <c r="AQ49" s="90">
        <f>INDEX(LINEST(LN(AV49:AX49),SQRT(AV48:AX48),TRUE,TRUE),3,1)</f>
        <v>0.83126547377333448</v>
      </c>
      <c r="AR49" s="117">
        <f>INDEX(LINEST(LN(AV49:AX49),SQRT((AV48:AX48))),1)</f>
        <v>-2.2163402431705161E-4</v>
      </c>
      <c r="AS49" s="91">
        <f>INDEX(LINEST(1/(AV49:AX49),1/(SQRT(AV48:AX48)),TRUE,TRUE),3,1)</f>
        <v>0.99769337695366855</v>
      </c>
      <c r="AT49" s="91">
        <f>INDEX(LINEST(1/(AV49:AX49),1/SQRT(AV48:AX48)),1)</f>
        <v>-11.554729244983886</v>
      </c>
      <c r="AU49" s="3"/>
      <c r="AV49" s="161">
        <v>0.95</v>
      </c>
      <c r="AW49" s="161">
        <v>0.82499999999999996</v>
      </c>
      <c r="AX49" s="161">
        <v>0.81</v>
      </c>
      <c r="AY49" s="53"/>
      <c r="AZ49" s="53"/>
      <c r="BA49" s="53"/>
      <c r="BB49" s="53"/>
      <c r="BC49" s="53"/>
      <c r="BD49" s="53"/>
      <c r="BE49" s="53"/>
      <c r="BF49" s="53"/>
      <c r="BG49" s="53"/>
      <c r="BH49" s="53"/>
      <c r="BI49" s="53"/>
      <c r="BJ49" s="53"/>
      <c r="BK49" s="53"/>
      <c r="BL49" s="53"/>
      <c r="BM49" s="53"/>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53"/>
      <c r="CO49" s="53"/>
      <c r="CP49" s="53"/>
      <c r="CQ49" s="53"/>
      <c r="CR49" s="1"/>
      <c r="CS49" s="1"/>
      <c r="CT49" s="1"/>
      <c r="CU49" s="1"/>
    </row>
    <row r="50" spans="1:99" s="13" customFormat="1" ht="12" customHeight="1" x14ac:dyDescent="0.2">
      <c r="A50" s="68">
        <v>43899</v>
      </c>
      <c r="B50" s="70"/>
      <c r="C50" s="70"/>
      <c r="D50" s="69"/>
      <c r="E50" s="87"/>
      <c r="F50" s="69"/>
      <c r="G50" s="69"/>
      <c r="H50" s="69"/>
      <c r="I50" s="104"/>
      <c r="J50" s="69"/>
      <c r="K50" s="107"/>
      <c r="L50" s="107"/>
      <c r="M50" s="69"/>
      <c r="N50" s="86"/>
      <c r="O50" s="69"/>
      <c r="P50" s="69"/>
      <c r="Q50" s="69"/>
      <c r="R50" s="69"/>
      <c r="S50" s="69"/>
      <c r="T50" s="92"/>
      <c r="U50" s="69"/>
      <c r="V50" s="92"/>
      <c r="W50" s="69"/>
      <c r="X50" s="69"/>
      <c r="Y50" s="87"/>
      <c r="Z50" s="69"/>
      <c r="AA50" s="69"/>
      <c r="AB50" s="69"/>
      <c r="AC50" s="72"/>
      <c r="AD50" s="69"/>
      <c r="AE50" s="69"/>
      <c r="AF50" s="88"/>
      <c r="AG50" s="72"/>
      <c r="AH50" s="4"/>
      <c r="AI50" s="72"/>
      <c r="AJ50" s="110"/>
      <c r="AK50" s="72"/>
      <c r="AL50" s="72"/>
      <c r="AM50" s="72"/>
      <c r="AN50" s="72"/>
      <c r="AO50" s="89"/>
      <c r="AP50" s="89"/>
      <c r="AQ50" s="90"/>
      <c r="AR50" s="117"/>
      <c r="AS50" s="91"/>
      <c r="AT50" s="91"/>
      <c r="AU50" s="3"/>
      <c r="AV50" s="71">
        <v>3600</v>
      </c>
      <c r="AW50" s="71">
        <v>172800</v>
      </c>
      <c r="AX50" s="71">
        <v>604800</v>
      </c>
      <c r="AY50" s="53"/>
      <c r="AZ50" s="53"/>
      <c r="BA50" s="5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53"/>
      <c r="CO50" s="53"/>
      <c r="CP50" s="53"/>
      <c r="CQ50" s="53"/>
      <c r="CR50" s="1"/>
      <c r="CS50" s="1"/>
      <c r="CT50" s="1"/>
      <c r="CU50" s="1"/>
    </row>
    <row r="51" spans="1:99" s="13" customFormat="1" ht="12" customHeight="1" x14ac:dyDescent="0.25">
      <c r="A51" s="68">
        <v>43899</v>
      </c>
      <c r="B51" s="70" t="s">
        <v>378</v>
      </c>
      <c r="C51" s="70" t="s">
        <v>107</v>
      </c>
      <c r="D51" s="69">
        <v>1994</v>
      </c>
      <c r="E51" s="87">
        <v>2</v>
      </c>
      <c r="F51" s="69">
        <v>72</v>
      </c>
      <c r="G51" s="69">
        <v>24</v>
      </c>
      <c r="H51" s="69" t="s">
        <v>50</v>
      </c>
      <c r="I51" s="104" t="s">
        <v>379</v>
      </c>
      <c r="J51" s="69" t="s">
        <v>61</v>
      </c>
      <c r="K51" s="69">
        <f>IF(J51="syllables",1,IF(J51="trigrams",2,IF(J51="strings",3,IF(J51="visual array",4,IF(J51="characters",5,IF(J51="letters",6,IF(J51="free forms",7,IF(J51="odors",8,IF(J51="words",9,IF(J51="pictures",10,IF(J51="object pictures",11,IF(J51="faces",12,IF(J51="names",13,IF(J51="idioms",14,IF(J51="grades",15,IF(J51="syllable-digit pairs",16,IF(J51="trigram-word pairs",17,IF(J51="word-digit pairs",18,IF(J51="English-Swahili pairs",19,IF(J51="spatial position",20,IF(J51="word pairs",21,IF(J51="word triads",22,IF(J51="generated words",23,IF(J51="word definition pairs",24,IF(J51="math problems",25,IF(J51="famous faces",26,IF(J51="famous names",27,IF(J51="famous voices",28,IF(J51="television programs",29,IF(J51="race horses",30,IF(J51="new vocabulary",31,IF(J51="sentences",32,IF(J51="concepts",33,IF(J51="ad slides",34,IF(J51="scenes",35,IF(J51="famous scenes",36,IF(J51="poems",37,IF(J51="walk",38,IF(J51="faces and events",39,IF(J51="events and names",40,IF(J51="flashbulb",41,IF(J51="stories",42,IF(J51="course material",43,IF(J51="autobiographical",44,IF(J51="novels",45,IF(J51="public events",46,"99"))))))))))))))))))))))))))))))))))))))))))))))</f>
        <v>42</v>
      </c>
      <c r="L51" s="69">
        <f>IF(J51="syllables",1,IF(J51="trigrams",1,IF(J51="strings",1,IF(J51="visual array",1,IF(J51="characters",1,IF(J51="letters",1,IF(J51="free forms",1,IF(J51="odors",2,IF(J51="words",2,IF(J51="pictures",2,IF(J51="object pictures",2,IF(J51="faces",2,IF(J51="names",2,IF(J51="idioms","2",IF(J51="grades",2,IF(J51="syllable-digit pairs",3,IF(J51="trigram-word pairs",3,IF(J51="word-digit pairs",3,IF(J51="English-Swahili pairs",3,IF(J51="spatial position",3,IF(J51="word pairs",4,IF(J51="word triads",4,IF(J51="generated words",4,IF(J51="word definition pairs",4,IF(J51="math problems",4,IF(J51="famous faces",4,IF(J51="famous names",4,IF(J51="famous voices",4,IF(J51="television programs",4,IF(J51="race horses",4,IF(J51="new vocabulary",4,IF(J51="sentences",5,IF(J51="concepts",5,IF(J51="ad slides",5,IF(J51="scenes",5,IF(J51="famous scenes",5,IF(J51="poems",6,IF(J51="walk",6,IF(J51="faces and events",6,IF(J51="events and names",6,IF(J51="flashbulb",7,IF(J51="stories",7,IF(J51="course material",7,IF(J51="autobiographical",7,IF(J51="novels",7,IF(J51="public events",7,"99"))))))))))))))))))))))))))))))))))))))))))))))</f>
        <v>7</v>
      </c>
      <c r="M51" s="69">
        <v>0</v>
      </c>
      <c r="N51" s="86">
        <v>3</v>
      </c>
      <c r="O51" s="69">
        <v>0</v>
      </c>
      <c r="P51" s="69"/>
      <c r="Q51" s="69" t="s">
        <v>174</v>
      </c>
      <c r="R51" s="69">
        <f>IF(Q51="Free Recall",1,IF(Q51="Cued Recall",2,IF(Q51="Recognition",3,IF(Q51="Multiple Choice",4,IF(Q51="Savings",5,IF(Q51="Stem Completion",6,IF(Q51="Fragment Completion",7,IF(Q51="anagram solution",8,IF(Q51="Matching",9,IF(Q51="Problem Solving",10,"99"))))))))))</f>
        <v>1</v>
      </c>
      <c r="S51" s="69" t="s">
        <v>49</v>
      </c>
      <c r="T51" s="92" t="s">
        <v>261</v>
      </c>
      <c r="U51" s="69">
        <f>IF(T51="within",1,0)</f>
        <v>0</v>
      </c>
      <c r="V51" s="92">
        <v>12</v>
      </c>
      <c r="W51" s="69">
        <f>F51*V51</f>
        <v>864</v>
      </c>
      <c r="X51" s="69">
        <v>3</v>
      </c>
      <c r="Y51" s="87">
        <f>AV50</f>
        <v>3600</v>
      </c>
      <c r="Z51" s="69" t="s">
        <v>97</v>
      </c>
      <c r="AA51" s="69">
        <v>604800</v>
      </c>
      <c r="AB51" s="69" t="str">
        <f>IF(AA51&lt;60,"1",IF(AA51&lt;=43200,"2",IF(AA51&lt;=777600,"3","4")))</f>
        <v>3</v>
      </c>
      <c r="AC51" s="72">
        <f>AVERAGE(AV50:DA50)</f>
        <v>260400</v>
      </c>
      <c r="AD51" s="69" t="str">
        <f>IF(AC51&lt;60,"1",IF(AC51&lt;=43200,"2",IF(AC51&lt;=777600,"3","4")))</f>
        <v>3</v>
      </c>
      <c r="AE51" s="87">
        <f>AA51-Y51</f>
        <v>601200</v>
      </c>
      <c r="AF51" s="88">
        <f>AV51</f>
        <v>0.40014157960263602</v>
      </c>
      <c r="AG51" s="72">
        <f>((AW51-AV51)+(AX51-AW51))/2</f>
        <v>-0.10803612755035101</v>
      </c>
      <c r="AH51" s="4"/>
      <c r="AI51" s="72">
        <f>RSQ(AV51:AX51,AV50:AX50)</f>
        <v>0.99224683774747191</v>
      </c>
      <c r="AJ51" s="110">
        <f>SLOPE(AV51:AX51,AV50:AX50)</f>
        <v>-3.5155878312339289E-7</v>
      </c>
      <c r="AK51" s="72">
        <f>INTERCEPT(AV51:AX51,AV50:AX50)</f>
        <v>0.39365631776393251</v>
      </c>
      <c r="AL51" s="72">
        <f>INDEX(LINEST(LN(AV51:AX51),LN(AV50:AX50),TRUE,TRUE),3,1)</f>
        <v>0.73882721406701823</v>
      </c>
      <c r="AM51" s="72">
        <f>INDEX(LINEST(LN(AV51:AX51),LN(AV50:AX50)),1)</f>
        <v>-0.12892801646218516</v>
      </c>
      <c r="AN51" s="72">
        <f>EXP(INDEX(LINEST(LN(AV51:AX51),LN(AV50:AX50)),1,2))</f>
        <v>1.2156243057096749</v>
      </c>
      <c r="AO51" s="89">
        <f>INDEX(LINEST((AV51:AX51),LN(AV50:AX50),TRUE,TRUE),3,1)</f>
        <v>0.81397266707778126</v>
      </c>
      <c r="AP51" s="89">
        <f>INDEX(LINEST((AV51:AX51),LN(AV50:AX50)),1)</f>
        <v>-3.6956428469060477E-2</v>
      </c>
      <c r="AQ51" s="90">
        <f>INDEX(LINEST(LN(AV51:AX51),SQRT(AV50:AX50),TRUE,TRUE),3,1)</f>
        <v>0.94143054941923132</v>
      </c>
      <c r="AR51" s="117">
        <f>INDEX(LINEST(LN(AV51:AX51),SQRT((AV50:AX50))),1)</f>
        <v>-1.0833238957522761E-3</v>
      </c>
      <c r="AS51" s="91">
        <f>INDEX(LINEST(1/(AV51:AX51),1/(SQRT(AV50:AX50)),TRUE,TRUE),3,1)</f>
        <v>0.50021198361239994</v>
      </c>
      <c r="AT51" s="91">
        <f>INDEX(LINEST(1/(AV51:AX51),1/SQRT(AV50:AX50)),1)</f>
        <v>-127.744722588618</v>
      </c>
      <c r="AU51" s="3"/>
      <c r="AV51" s="160">
        <v>0.40014157960263602</v>
      </c>
      <c r="AW51" s="160">
        <v>0.32212032781123301</v>
      </c>
      <c r="AX51" s="160">
        <v>0.184069324501934</v>
      </c>
      <c r="AY51" s="53"/>
      <c r="AZ51" s="135"/>
      <c r="BA51" s="135"/>
      <c r="BB51" s="135"/>
      <c r="BC51" s="53"/>
      <c r="BD51" s="53"/>
      <c r="BE51" s="53"/>
      <c r="BF51" s="53"/>
      <c r="BG51" s="53"/>
      <c r="BH51" s="53"/>
      <c r="BI51" s="53"/>
      <c r="BJ51" s="53"/>
      <c r="BK51" s="53"/>
      <c r="BL51" s="53"/>
      <c r="BM51" s="53"/>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53"/>
      <c r="CO51" s="53"/>
      <c r="CP51" s="53"/>
      <c r="CQ51" s="53"/>
      <c r="CR51" s="1"/>
      <c r="CS51" s="1"/>
      <c r="CT51" s="1"/>
      <c r="CU51" s="1"/>
    </row>
    <row r="52" spans="1:99" s="13" customFormat="1" ht="12" customHeight="1" x14ac:dyDescent="0.2">
      <c r="A52" s="68">
        <v>43899</v>
      </c>
      <c r="B52" s="70"/>
      <c r="C52" s="70"/>
      <c r="D52" s="69"/>
      <c r="E52" s="87"/>
      <c r="F52" s="69"/>
      <c r="G52" s="69"/>
      <c r="H52" s="69"/>
      <c r="I52" s="104"/>
      <c r="J52" s="69"/>
      <c r="K52" s="107"/>
      <c r="L52" s="107"/>
      <c r="M52" s="69"/>
      <c r="N52" s="86"/>
      <c r="O52" s="69"/>
      <c r="P52" s="69"/>
      <c r="Q52" s="69"/>
      <c r="R52" s="69"/>
      <c r="S52" s="69"/>
      <c r="T52" s="92"/>
      <c r="U52" s="69"/>
      <c r="V52" s="92"/>
      <c r="W52" s="69"/>
      <c r="X52" s="69"/>
      <c r="Y52" s="87"/>
      <c r="Z52" s="69"/>
      <c r="AA52" s="69"/>
      <c r="AB52" s="69"/>
      <c r="AC52" s="72"/>
      <c r="AD52" s="69"/>
      <c r="AE52" s="69"/>
      <c r="AF52" s="88"/>
      <c r="AG52" s="72"/>
      <c r="AH52" s="4"/>
      <c r="AI52" s="72"/>
      <c r="AJ52" s="110"/>
      <c r="AK52" s="72"/>
      <c r="AL52" s="72"/>
      <c r="AM52" s="72"/>
      <c r="AN52" s="72"/>
      <c r="AO52" s="89"/>
      <c r="AP52" s="89"/>
      <c r="AQ52" s="90"/>
      <c r="AR52" s="117"/>
      <c r="AS52" s="91"/>
      <c r="AT52" s="91"/>
      <c r="AU52" s="3"/>
      <c r="AV52" s="71">
        <v>3600</v>
      </c>
      <c r="AW52" s="71">
        <v>172800</v>
      </c>
      <c r="AX52" s="71">
        <v>604800</v>
      </c>
      <c r="AY52" s="53"/>
      <c r="AZ52" s="53"/>
      <c r="BA52" s="53"/>
      <c r="BB52" s="53"/>
      <c r="BC52" s="53"/>
      <c r="BD52" s="53"/>
      <c r="BE52" s="53"/>
      <c r="BF52" s="53"/>
      <c r="BG52" s="53"/>
      <c r="BH52" s="53"/>
      <c r="BI52" s="53"/>
      <c r="BJ52" s="53"/>
      <c r="BK52" s="53"/>
      <c r="BL52" s="53"/>
      <c r="BM52" s="53"/>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53"/>
      <c r="CO52" s="53"/>
      <c r="CP52" s="53"/>
      <c r="CQ52" s="53"/>
      <c r="CR52" s="1"/>
      <c r="CS52" s="1"/>
      <c r="CT52" s="1"/>
      <c r="CU52" s="1"/>
    </row>
    <row r="53" spans="1:99" s="13" customFormat="1" ht="12" customHeight="1" x14ac:dyDescent="0.25">
      <c r="A53" s="68">
        <v>43899</v>
      </c>
      <c r="B53" s="70" t="s">
        <v>378</v>
      </c>
      <c r="C53" s="70" t="s">
        <v>107</v>
      </c>
      <c r="D53" s="69">
        <v>1994</v>
      </c>
      <c r="E53" s="87">
        <v>2</v>
      </c>
      <c r="F53" s="69">
        <v>72</v>
      </c>
      <c r="G53" s="69">
        <v>24</v>
      </c>
      <c r="H53" s="69" t="s">
        <v>50</v>
      </c>
      <c r="I53" s="104" t="s">
        <v>380</v>
      </c>
      <c r="J53" s="69" t="s">
        <v>61</v>
      </c>
      <c r="K53" s="69">
        <f>IF(J53="syllables",1,IF(J53="trigrams",2,IF(J53="strings",3,IF(J53="visual array",4,IF(J53="characters",5,IF(J53="letters",6,IF(J53="free forms",7,IF(J53="odors",8,IF(J53="words",9,IF(J53="pictures",10,IF(J53="object pictures",11,IF(J53="faces",12,IF(J53="names",13,IF(J53="idioms",14,IF(J53="grades",15,IF(J53="syllable-digit pairs",16,IF(J53="trigram-word pairs",17,IF(J53="word-digit pairs",18,IF(J53="English-Swahili pairs",19,IF(J53="spatial position",20,IF(J53="word pairs",21,IF(J53="word triads",22,IF(J53="generated words",23,IF(J53="word definition pairs",24,IF(J53="math problems",25,IF(J53="famous faces",26,IF(J53="famous names",27,IF(J53="famous voices",28,IF(J53="television programs",29,IF(J53="race horses",30,IF(J53="new vocabulary",31,IF(J53="sentences",32,IF(J53="concepts",33,IF(J53="ad slides",34,IF(J53="scenes",35,IF(J53="famous scenes",36,IF(J53="poems",37,IF(J53="walk",38,IF(J53="faces and events",39,IF(J53="events and names",40,IF(J53="flashbulb",41,IF(J53="stories",42,IF(J53="course material",43,IF(J53="autobiographical",44,IF(J53="novels",45,IF(J53="public events",46,"99"))))))))))))))))))))))))))))))))))))))))))))))</f>
        <v>42</v>
      </c>
      <c r="L53" s="69">
        <f>IF(J53="syllables",1,IF(J53="trigrams",1,IF(J53="strings",1,IF(J53="visual array",1,IF(J53="characters",1,IF(J53="letters",1,IF(J53="free forms",1,IF(J53="odors",2,IF(J53="words",2,IF(J53="pictures",2,IF(J53="object pictures",2,IF(J53="faces",2,IF(J53="names",2,IF(J53="idioms","2",IF(J53="grades",2,IF(J53="syllable-digit pairs",3,IF(J53="trigram-word pairs",3,IF(J53="word-digit pairs",3,IF(J53="English-Swahili pairs",3,IF(J53="spatial position",3,IF(J53="word pairs",4,IF(J53="word triads",4,IF(J53="generated words",4,IF(J53="word definition pairs",4,IF(J53="math problems",4,IF(J53="famous faces",4,IF(J53="famous names",4,IF(J53="famous voices",4,IF(J53="television programs",4,IF(J53="race horses",4,IF(J53="new vocabulary",4,IF(J53="sentences",5,IF(J53="concepts",5,IF(J53="ad slides",5,IF(J53="scenes",5,IF(J53="famous scenes",5,IF(J53="poems",6,IF(J53="walk",6,IF(J53="faces and events",6,IF(J53="events and names",6,IF(J53="flashbulb",7,IF(J53="stories",7,IF(J53="course material",7,IF(J53="autobiographical",7,IF(J53="novels",7,IF(J53="public events",7,"99"))))))))))))))))))))))))))))))))))))))))))))))</f>
        <v>7</v>
      </c>
      <c r="M53" s="69">
        <v>0</v>
      </c>
      <c r="N53" s="86">
        <v>3</v>
      </c>
      <c r="O53" s="69">
        <v>0</v>
      </c>
      <c r="P53" s="69"/>
      <c r="Q53" s="69" t="s">
        <v>174</v>
      </c>
      <c r="R53" s="69">
        <f>IF(Q53="Free Recall",1,IF(Q53="Cued Recall",2,IF(Q53="Recognition",3,IF(Q53="Multiple Choice",4,IF(Q53="Savings",5,IF(Q53="Stem Completion",6,IF(Q53="Fragment Completion",7,IF(Q53="anagram solution",8,IF(Q53="Matching",9,IF(Q53="Problem Solving",10,"99"))))))))))</f>
        <v>1</v>
      </c>
      <c r="S53" s="69" t="s">
        <v>49</v>
      </c>
      <c r="T53" s="92" t="s">
        <v>261</v>
      </c>
      <c r="U53" s="69">
        <f>IF(T53="within",1,0)</f>
        <v>0</v>
      </c>
      <c r="V53" s="92">
        <v>12</v>
      </c>
      <c r="W53" s="69">
        <f>F53*V53</f>
        <v>864</v>
      </c>
      <c r="X53" s="69">
        <v>3</v>
      </c>
      <c r="Y53" s="87">
        <f>AV52</f>
        <v>3600</v>
      </c>
      <c r="Z53" s="69" t="s">
        <v>97</v>
      </c>
      <c r="AA53" s="69">
        <v>604800</v>
      </c>
      <c r="AB53" s="69" t="str">
        <f>IF(AA53&lt;60,"1",IF(AA53&lt;=43200,"2",IF(AA53&lt;=777600,"3","4")))</f>
        <v>3</v>
      </c>
      <c r="AC53" s="72">
        <f>AVERAGE(AV52:DA52)</f>
        <v>260400</v>
      </c>
      <c r="AD53" s="69" t="str">
        <f>IF(AC53&lt;60,"1",IF(AC53&lt;=43200,"2",IF(AC53&lt;=777600,"3","4")))</f>
        <v>3</v>
      </c>
      <c r="AE53" s="87">
        <f>AA53-Y53</f>
        <v>601200</v>
      </c>
      <c r="AF53" s="88">
        <f>AV53</f>
        <v>0.51244984691086604</v>
      </c>
      <c r="AG53" s="72">
        <f>((AW53-AV53)+(AX53-AW53))/2</f>
        <v>-0.18982606995319451</v>
      </c>
      <c r="AH53" s="4"/>
      <c r="AI53" s="72">
        <f>RSQ(AV53:AX53,AV52:AX52)</f>
        <v>0.93273696112589299</v>
      </c>
      <c r="AJ53" s="110">
        <f>SLOPE(AV53:AX53,AV52:AX52)</f>
        <v>-5.9140922049254431E-7</v>
      </c>
      <c r="AK53" s="72">
        <f>INTERCEPT(AV53:AX53,AV52:AX52)</f>
        <v>0.47496755043953559</v>
      </c>
      <c r="AL53" s="72">
        <f>INDEX(LINEST(LN(AV53:AX53),LN(AV52:AX52),TRUE,TRUE),3,1)</f>
        <v>0.80788233316330937</v>
      </c>
      <c r="AM53" s="72">
        <f>INDEX(LINEST(LN(AV53:AX53),LN(AV52:AX52)),1)</f>
        <v>-0.23039340924468046</v>
      </c>
      <c r="AN53" s="72">
        <f>EXP(INDEX(LINEST(LN(AV53:AX53),LN(AV52:AX52)),1,2))</f>
        <v>3.6668377820798548</v>
      </c>
      <c r="AO53" s="89">
        <f>INDEX(LINEST((AV53:AX53),LN(AV52:AX52),TRUE,TRUE),3,1)</f>
        <v>0.92794738095615503</v>
      </c>
      <c r="AP53" s="89">
        <f>INDEX(LINEST((AV53:AX53),LN(AV52:AX52)),1)</f>
        <v>-6.8464771813635777E-2</v>
      </c>
      <c r="AQ53" s="90">
        <f>INDEX(LINEST(LN(AV53:AX53),SQRT(AV52:AX52),TRUE,TRUE),3,1)</f>
        <v>0.97406379313941127</v>
      </c>
      <c r="AR53" s="117">
        <f>INDEX(LINEST(LN(AV53:AX53),SQRT((AV52:AX52))),1)</f>
        <v>-1.8831200876910743E-3</v>
      </c>
      <c r="AS53" s="91">
        <f>INDEX(LINEST(1/(AV53:AX53),1/(SQRT(AV52:AX52)),TRUE,TRUE),3,1)</f>
        <v>0.50870521691813331</v>
      </c>
      <c r="AT53" s="91">
        <f>INDEX(LINEST(1/(AV53:AX53),1/SQRT(AV52:AX52)),1)</f>
        <v>-244.28996366523648</v>
      </c>
      <c r="AU53" s="3"/>
      <c r="AV53" s="160">
        <v>0.51244984691086604</v>
      </c>
      <c r="AW53" s="160">
        <v>0.31764621435448803</v>
      </c>
      <c r="AX53" s="160">
        <v>0.13279770700447699</v>
      </c>
      <c r="AY53" s="53"/>
      <c r="AZ53" s="135"/>
      <c r="BA53" s="135"/>
      <c r="BB53" s="135"/>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1"/>
      <c r="CS53" s="1"/>
      <c r="CT53" s="1"/>
      <c r="CU53" s="1"/>
    </row>
    <row r="54" spans="1:99" s="13" customFormat="1" ht="12" customHeight="1" x14ac:dyDescent="0.2">
      <c r="A54" s="68">
        <v>43899</v>
      </c>
      <c r="B54" s="70"/>
      <c r="C54" s="70"/>
      <c r="D54" s="69"/>
      <c r="E54" s="87"/>
      <c r="F54" s="69"/>
      <c r="G54" s="69"/>
      <c r="H54" s="69"/>
      <c r="I54" s="104"/>
      <c r="J54" s="69"/>
      <c r="K54" s="107"/>
      <c r="L54" s="107"/>
      <c r="M54" s="69"/>
      <c r="N54" s="86"/>
      <c r="O54" s="69"/>
      <c r="P54" s="69"/>
      <c r="Q54" s="69"/>
      <c r="R54" s="69"/>
      <c r="S54" s="69"/>
      <c r="T54" s="92"/>
      <c r="U54" s="69"/>
      <c r="V54" s="92"/>
      <c r="W54" s="69"/>
      <c r="X54" s="69"/>
      <c r="Y54" s="87"/>
      <c r="Z54" s="69"/>
      <c r="AA54" s="69"/>
      <c r="AB54" s="69"/>
      <c r="AC54" s="72"/>
      <c r="AD54" s="69"/>
      <c r="AE54" s="69"/>
      <c r="AF54" s="88"/>
      <c r="AG54" s="72"/>
      <c r="AH54" s="4"/>
      <c r="AI54" s="72"/>
      <c r="AJ54" s="110"/>
      <c r="AK54" s="72"/>
      <c r="AL54" s="72"/>
      <c r="AM54" s="72"/>
      <c r="AN54" s="72"/>
      <c r="AO54" s="89"/>
      <c r="AP54" s="89"/>
      <c r="AQ54" s="90"/>
      <c r="AR54" s="117"/>
      <c r="AS54" s="91"/>
      <c r="AT54" s="91"/>
      <c r="AU54" s="3"/>
      <c r="AV54" s="71">
        <v>3600</v>
      </c>
      <c r="AW54" s="71">
        <v>172800</v>
      </c>
      <c r="AX54" s="71">
        <v>604800</v>
      </c>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1"/>
      <c r="CS54" s="1"/>
      <c r="CT54" s="1"/>
      <c r="CU54" s="1"/>
    </row>
    <row r="55" spans="1:99" s="13" customFormat="1" ht="12" customHeight="1" x14ac:dyDescent="0.25">
      <c r="A55" s="68">
        <v>43899</v>
      </c>
      <c r="B55" s="70" t="s">
        <v>378</v>
      </c>
      <c r="C55" s="70" t="s">
        <v>107</v>
      </c>
      <c r="D55" s="69">
        <v>1994</v>
      </c>
      <c r="E55" s="87">
        <v>2</v>
      </c>
      <c r="F55" s="69">
        <v>72</v>
      </c>
      <c r="G55" s="69">
        <v>24</v>
      </c>
      <c r="H55" s="69" t="s">
        <v>50</v>
      </c>
      <c r="I55" s="104" t="s">
        <v>381</v>
      </c>
      <c r="J55" s="69" t="s">
        <v>61</v>
      </c>
      <c r="K55" s="69">
        <f>IF(J55="syllables",1,IF(J55="trigrams",2,IF(J55="strings",3,IF(J55="visual array",4,IF(J55="characters",5,IF(J55="letters",6,IF(J55="free forms",7,IF(J55="odors",8,IF(J55="words",9,IF(J55="pictures",10,IF(J55="object pictures",11,IF(J55="faces",12,IF(J55="names",13,IF(J55="idioms",14,IF(J55="grades",15,IF(J55="syllable-digit pairs",16,IF(J55="trigram-word pairs",17,IF(J55="word-digit pairs",18,IF(J55="English-Swahili pairs",19,IF(J55="spatial position",20,IF(J55="word pairs",21,IF(J55="word triads",22,IF(J55="generated words",23,IF(J55="word definition pairs",24,IF(J55="math problems",25,IF(J55="famous faces",26,IF(J55="famous names",27,IF(J55="famous voices",28,IF(J55="television programs",29,IF(J55="race horses",30,IF(J55="new vocabulary",31,IF(J55="sentences",32,IF(J55="concepts",33,IF(J55="ad slides",34,IF(J55="scenes",35,IF(J55="famous scenes",36,IF(J55="poems",37,IF(J55="walk",38,IF(J55="faces and events",39,IF(J55="events and names",40,IF(J55="flashbulb",41,IF(J55="stories",42,IF(J55="course material",43,IF(J55="autobiographical",44,IF(J55="novels",45,IF(J55="public events",46,"99"))))))))))))))))))))))))))))))))))))))))))))))</f>
        <v>42</v>
      </c>
      <c r="L55" s="69">
        <f>IF(J55="syllables",1,IF(J55="trigrams",1,IF(J55="strings",1,IF(J55="visual array",1,IF(J55="characters",1,IF(J55="letters",1,IF(J55="free forms",1,IF(J55="odors",2,IF(J55="words",2,IF(J55="pictures",2,IF(J55="object pictures",2,IF(J55="faces",2,IF(J55="names",2,IF(J55="idioms","2",IF(J55="grades",2,IF(J55="syllable-digit pairs",3,IF(J55="trigram-word pairs",3,IF(J55="word-digit pairs",3,IF(J55="English-Swahili pairs",3,IF(J55="spatial position",3,IF(J55="word pairs",4,IF(J55="word triads",4,IF(J55="generated words",4,IF(J55="word definition pairs",4,IF(J55="math problems",4,IF(J55="famous faces",4,IF(J55="famous names",4,IF(J55="famous voices",4,IF(J55="television programs",4,IF(J55="race horses",4,IF(J55="new vocabulary",4,IF(J55="sentences",5,IF(J55="concepts",5,IF(J55="ad slides",5,IF(J55="scenes",5,IF(J55="famous scenes",5,IF(J55="poems",6,IF(J55="walk",6,IF(J55="faces and events",6,IF(J55="events and names",6,IF(J55="flashbulb",7,IF(J55="stories",7,IF(J55="course material",7,IF(J55="autobiographical",7,IF(J55="novels",7,IF(J55="public events",7,"99"))))))))))))))))))))))))))))))))))))))))))))))</f>
        <v>7</v>
      </c>
      <c r="M55" s="69">
        <v>0</v>
      </c>
      <c r="N55" s="86">
        <v>3</v>
      </c>
      <c r="O55" s="69">
        <v>0</v>
      </c>
      <c r="P55" s="69"/>
      <c r="Q55" s="69" t="s">
        <v>174</v>
      </c>
      <c r="R55" s="69">
        <f>IF(Q55="Free Recall",1,IF(Q55="Cued Recall",2,IF(Q55="Recognition",3,IF(Q55="Multiple Choice",4,IF(Q55="Savings",5,IF(Q55="Stem Completion",6,IF(Q55="Fragment Completion",7,IF(Q55="anagram solution",8,IF(Q55="Matching",9,IF(Q55="Problem Solving",10,"99"))))))))))</f>
        <v>1</v>
      </c>
      <c r="S55" s="69" t="s">
        <v>49</v>
      </c>
      <c r="T55" s="92" t="s">
        <v>261</v>
      </c>
      <c r="U55" s="69">
        <f>IF(T55="within",1,0)</f>
        <v>0</v>
      </c>
      <c r="V55" s="92">
        <v>12</v>
      </c>
      <c r="W55" s="69">
        <f>F55*V55</f>
        <v>864</v>
      </c>
      <c r="X55" s="69">
        <v>3</v>
      </c>
      <c r="Y55" s="87">
        <f>AV54</f>
        <v>3600</v>
      </c>
      <c r="Z55" s="69" t="s">
        <v>97</v>
      </c>
      <c r="AA55" s="69">
        <v>604800</v>
      </c>
      <c r="AB55" s="69" t="str">
        <f>IF(AA55&lt;60,"1",IF(AA55&lt;=43200,"2",IF(AA55&lt;=777600,"3","4")))</f>
        <v>3</v>
      </c>
      <c r="AC55" s="72">
        <f>AVERAGE(AV54:DA54)</f>
        <v>260400</v>
      </c>
      <c r="AD55" s="69" t="str">
        <f>IF(AC55&lt;60,"1",IF(AC55&lt;=43200,"2",IF(AC55&lt;=777600,"3","4")))</f>
        <v>3</v>
      </c>
      <c r="AE55" s="87">
        <f>AA55-Y55</f>
        <v>601200</v>
      </c>
      <c r="AF55" s="88">
        <f>AV55</f>
        <v>0.73625749666471052</v>
      </c>
      <c r="AG55" s="72">
        <f>((AW55-AV55)+(AX55-AW55))/2</f>
        <v>-0.12390492385146024</v>
      </c>
      <c r="AH55" s="4"/>
      <c r="AI55" s="72">
        <f>RSQ(AV55:AX55,AV54:AX54)</f>
        <v>0.84298004992707154</v>
      </c>
      <c r="AJ55" s="110">
        <f>SLOPE(AV55:AX55,AV54:AX54)</f>
        <v>-3.7170524989909107E-7</v>
      </c>
      <c r="AK55" s="72">
        <f>INTERCEPT(AV55:AX55,AV54:AX54)</f>
        <v>0.69758360576119072</v>
      </c>
      <c r="AL55" s="72">
        <f>INDEX(LINEST(LN(AV55:AX55),LN(AV54:AX54),TRUE,TRUE),3,1)</f>
        <v>0.96722969412361615</v>
      </c>
      <c r="AM55" s="72">
        <f>INDEX(LINEST(LN(AV55:AX55),LN(AV54:AX54)),1)</f>
        <v>-7.5958959080907149E-2</v>
      </c>
      <c r="AN55" s="72">
        <f>EXP(INDEX(LINEST(LN(AV55:AX55),LN(AV54:AX54)),1,2))</f>
        <v>1.3853343767851249</v>
      </c>
      <c r="AO55" s="89">
        <f>INDEX(LINEST((AV55:AX55),LN(AV54:AX54),TRUE,TRUE),3,1)</f>
        <v>0.98403978205800746</v>
      </c>
      <c r="AP55" s="89">
        <f>INDEX(LINEST((AV55:AX55),LN(AV54:AX54)),1)</f>
        <v>-4.6611530869321384E-2</v>
      </c>
      <c r="AQ55" s="90">
        <f>INDEX(LINEST(LN(AV55:AX55),SQRT(AV54:AX54),TRUE,TRUE),3,1)</f>
        <v>0.98796198766379462</v>
      </c>
      <c r="AR55" s="117">
        <f>INDEX(LINEST(LN(AV55:AX55),SQRT((AV54:AX54))),1)</f>
        <v>-5.7144262471100257E-4</v>
      </c>
      <c r="AS55" s="91">
        <f>INDEX(LINEST(1/(AV55:AX55),1/(SQRT(AV54:AX54)),TRUE,TRUE),3,1)</f>
        <v>0.84051040452912673</v>
      </c>
      <c r="AT55" s="91">
        <f>INDEX(LINEST(1/(AV55:AX55),1/SQRT(AV54:AX54)),1)</f>
        <v>-36.877287883652848</v>
      </c>
      <c r="AU55" s="3"/>
      <c r="AV55" s="160">
        <v>0.73625749666471052</v>
      </c>
      <c r="AW55" s="160">
        <v>0.57766953043590152</v>
      </c>
      <c r="AX55" s="160">
        <v>0.48844764896179005</v>
      </c>
      <c r="AY55" s="53"/>
      <c r="AZ55" s="135"/>
      <c r="BA55" s="135"/>
      <c r="BB55" s="135"/>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1"/>
      <c r="CS55" s="1"/>
      <c r="CT55" s="1"/>
      <c r="CU55" s="1"/>
    </row>
    <row r="56" spans="1:99" s="13" customFormat="1" ht="12" customHeight="1" x14ac:dyDescent="0.25">
      <c r="A56" s="68">
        <v>43899</v>
      </c>
      <c r="B56" s="70"/>
      <c r="C56" s="70"/>
      <c r="D56" s="69"/>
      <c r="E56" s="87"/>
      <c r="F56" s="69"/>
      <c r="G56" s="69"/>
      <c r="H56" s="69"/>
      <c r="I56" s="104"/>
      <c r="J56" s="69"/>
      <c r="K56" s="107"/>
      <c r="L56" s="107"/>
      <c r="M56" s="69"/>
      <c r="N56" s="86"/>
      <c r="O56" s="69"/>
      <c r="P56" s="69"/>
      <c r="Q56" s="69"/>
      <c r="R56" s="69"/>
      <c r="S56" s="69"/>
      <c r="T56" s="92"/>
      <c r="U56" s="69"/>
      <c r="V56" s="92"/>
      <c r="W56" s="69"/>
      <c r="X56" s="69"/>
      <c r="Y56" s="87"/>
      <c r="Z56" s="69"/>
      <c r="AA56" s="69"/>
      <c r="AB56" s="69"/>
      <c r="AC56" s="72"/>
      <c r="AD56" s="69"/>
      <c r="AE56" s="69"/>
      <c r="AF56" s="88"/>
      <c r="AG56" s="72"/>
      <c r="AH56" s="4"/>
      <c r="AI56" s="72"/>
      <c r="AJ56" s="110"/>
      <c r="AK56" s="72"/>
      <c r="AL56" s="72"/>
      <c r="AM56" s="72"/>
      <c r="AN56" s="72"/>
      <c r="AO56" s="89"/>
      <c r="AP56" s="89"/>
      <c r="AQ56" s="90"/>
      <c r="AR56" s="117"/>
      <c r="AS56" s="91"/>
      <c r="AT56" s="91"/>
      <c r="AU56" s="3"/>
      <c r="AV56" s="71">
        <v>3600</v>
      </c>
      <c r="AW56" s="71">
        <v>172800</v>
      </c>
      <c r="AX56" s="71">
        <v>604800</v>
      </c>
      <c r="AY56" s="53"/>
      <c r="AZ56" s="135"/>
      <c r="BA56" s="135"/>
      <c r="BB56" s="135"/>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1"/>
      <c r="CS56" s="1"/>
      <c r="CT56" s="1"/>
      <c r="CU56" s="1"/>
    </row>
    <row r="57" spans="1:99" s="13" customFormat="1" ht="12" customHeight="1" x14ac:dyDescent="0.25">
      <c r="A57" s="68">
        <v>43899</v>
      </c>
      <c r="B57" s="70" t="s">
        <v>378</v>
      </c>
      <c r="C57" s="70" t="s">
        <v>107</v>
      </c>
      <c r="D57" s="69">
        <v>1994</v>
      </c>
      <c r="E57" s="87">
        <v>3</v>
      </c>
      <c r="F57" s="69">
        <v>36</v>
      </c>
      <c r="G57" s="69">
        <v>12</v>
      </c>
      <c r="H57" s="69" t="s">
        <v>41</v>
      </c>
      <c r="I57" s="104" t="s">
        <v>379</v>
      </c>
      <c r="J57" s="69" t="s">
        <v>61</v>
      </c>
      <c r="K57" s="69">
        <f>IF(J57="syllables",1,IF(J57="trigrams",2,IF(J57="strings",3,IF(J57="visual array",4,IF(J57="characters",5,IF(J57="letters",6,IF(J57="free forms",7,IF(J57="odors",8,IF(J57="words",9,IF(J57="pictures",10,IF(J57="object pictures",11,IF(J57="faces",12,IF(J57="names",13,IF(J57="idioms",14,IF(J57="grades",15,IF(J57="syllable-digit pairs",16,IF(J57="trigram-word pairs",17,IF(J57="word-digit pairs",18,IF(J57="English-Swahili pairs",19,IF(J57="spatial position",20,IF(J57="word pairs",21,IF(J57="word triads",22,IF(J57="generated words",23,IF(J57="word definition pairs",24,IF(J57="math problems",25,IF(J57="famous faces",26,IF(J57="famous names",27,IF(J57="famous voices",28,IF(J57="television programs",29,IF(J57="race horses",30,IF(J57="new vocabulary",31,IF(J57="sentences",32,IF(J57="concepts",33,IF(J57="ad slides",34,IF(J57="scenes",35,IF(J57="famous scenes",36,IF(J57="poems",37,IF(J57="walk",38,IF(J57="faces and events",39,IF(J57="events and names",40,IF(J57="flashbulb",41,IF(J57="stories",42,IF(J57="course material",43,IF(J57="autobiographical",44,IF(J57="novels",45,IF(J57="public events",46,"99"))))))))))))))))))))))))))))))))))))))))))))))</f>
        <v>42</v>
      </c>
      <c r="L57" s="69">
        <f>IF(J57="syllables",1,IF(J57="trigrams",1,IF(J57="strings",1,IF(J57="visual array",1,IF(J57="characters",1,IF(J57="letters",1,IF(J57="free forms",1,IF(J57="odors",2,IF(J57="words",2,IF(J57="pictures",2,IF(J57="object pictures",2,IF(J57="faces",2,IF(J57="names",2,IF(J57="idioms","2",IF(J57="grades",2,IF(J57="syllable-digit pairs",3,IF(J57="trigram-word pairs",3,IF(J57="word-digit pairs",3,IF(J57="English-Swahili pairs",3,IF(J57="spatial position",3,IF(J57="word pairs",4,IF(J57="word triads",4,IF(J57="generated words",4,IF(J57="word definition pairs",4,IF(J57="math problems",4,IF(J57="famous faces",4,IF(J57="famous names",4,IF(J57="famous voices",4,IF(J57="television programs",4,IF(J57="race horses",4,IF(J57="new vocabulary",4,IF(J57="sentences",5,IF(J57="concepts",5,IF(J57="ad slides",5,IF(J57="scenes",5,IF(J57="famous scenes",5,IF(J57="poems",6,IF(J57="walk",6,IF(J57="faces and events",6,IF(J57="events and names",6,IF(J57="flashbulb",7,IF(J57="stories",7,IF(J57="course material",7,IF(J57="autobiographical",7,IF(J57="novels",7,IF(J57="public events",7,"99"))))))))))))))))))))))))))))))))))))))))))))))</f>
        <v>7</v>
      </c>
      <c r="M57" s="69">
        <v>0</v>
      </c>
      <c r="N57" s="86">
        <v>3</v>
      </c>
      <c r="O57" s="69">
        <v>0</v>
      </c>
      <c r="P57" s="69"/>
      <c r="Q57" s="69" t="s">
        <v>174</v>
      </c>
      <c r="R57" s="69">
        <f>IF(Q57="Free Recall",1,IF(Q57="Cued Recall",2,IF(Q57="Recognition",3,IF(Q57="Multiple Choice",4,IF(Q57="Savings",5,IF(Q57="Stem Completion",6,IF(Q57="Fragment Completion",7,IF(Q57="anagram solution",8,IF(Q57="Matching",9,IF(Q57="Problem Solving",10,"99"))))))))))</f>
        <v>1</v>
      </c>
      <c r="S57" s="69" t="s">
        <v>49</v>
      </c>
      <c r="T57" s="92" t="s">
        <v>261</v>
      </c>
      <c r="U57" s="69">
        <f>IF(T57="within",1,0)</f>
        <v>0</v>
      </c>
      <c r="V57" s="92">
        <v>12</v>
      </c>
      <c r="W57" s="69">
        <f>F57*V57</f>
        <v>432</v>
      </c>
      <c r="X57" s="69">
        <v>3</v>
      </c>
      <c r="Y57" s="87">
        <f>AV56</f>
        <v>3600</v>
      </c>
      <c r="Z57" s="69" t="s">
        <v>97</v>
      </c>
      <c r="AA57" s="69">
        <v>604800</v>
      </c>
      <c r="AB57" s="69" t="str">
        <f>IF(AA57&lt;60,"1",IF(AA57&lt;=43200,"2",IF(AA57&lt;=777600,"3","4")))</f>
        <v>3</v>
      </c>
      <c r="AC57" s="72">
        <f>AVERAGE(AV56:DA56)</f>
        <v>260400</v>
      </c>
      <c r="AD57" s="69" t="str">
        <f>IF(AC57&lt;60,"1",IF(AC57&lt;=43200,"2",IF(AC57&lt;=777600,"3","4")))</f>
        <v>3</v>
      </c>
      <c r="AE57" s="87">
        <f>AA57-Y57</f>
        <v>601200</v>
      </c>
      <c r="AF57" s="88">
        <f>AV57</f>
        <v>0.49530761209593299</v>
      </c>
      <c r="AG57" s="72">
        <f>((AW57-AV57)+(AX57-AW57))/2</f>
        <v>-0.15224191866527648</v>
      </c>
      <c r="AH57" s="4"/>
      <c r="AI57" s="72">
        <f>RSQ(AV57:AX57,AV56:AX56)</f>
        <v>0.98341774623458833</v>
      </c>
      <c r="AJ57" s="110">
        <f>SLOPE(AV57:AX57,AV56:AX56)</f>
        <v>-4.9038926862682135E-7</v>
      </c>
      <c r="AK57" s="72">
        <f>INTERCEPT(AV57:AX57,AV56:AX56)</f>
        <v>0.48119058765678457</v>
      </c>
      <c r="AL57" s="72">
        <f>INDEX(LINEST(LN(AV57:AX57),LN(AV56:AX56),TRUE,TRUE),3,1)</f>
        <v>0.75231494844518099</v>
      </c>
      <c r="AM57" s="72">
        <f>INDEX(LINEST(LN(AV57:AX57),LN(AV56:AX56)),1)</f>
        <v>-0.15919993184058162</v>
      </c>
      <c r="AN57" s="72">
        <f>EXP(INDEX(LINEST(LN(AV57:AX57),LN(AV56:AX56)),1,2))</f>
        <v>1.948640614095831</v>
      </c>
      <c r="AO57" s="89">
        <f>INDEX(LINEST((AV57:AX57),LN(AV56:AX56),TRUE,TRUE),3,1)</f>
        <v>0.84476474361265153</v>
      </c>
      <c r="AP57" s="89">
        <f>INDEX(LINEST((AV57:AX57),LN(AV56:AX56)),1)</f>
        <v>-5.2751743653771124E-2</v>
      </c>
      <c r="AQ57" s="90">
        <f>INDEX(LINEST(LN(AV57:AX57),SQRT(AV56:AX56),TRUE,TRUE),3,1)</f>
        <v>0.94849005462877867</v>
      </c>
      <c r="AR57" s="117">
        <f>INDEX(LINEST(LN(AV57:AX57),SQRT((AV56:AX56))),1)</f>
        <v>-1.3306006849035459E-3</v>
      </c>
      <c r="AS57" s="91">
        <f>INDEX(LINEST(1/(AV57:AX57),1/(SQRT(AV56:AX56)),TRUE,TRUE),3,1)</f>
        <v>0.49624692007092358</v>
      </c>
      <c r="AT57" s="91">
        <f>INDEX(LINEST(1/(AV57:AX57),1/SQRT(AV56:AX56)),1)</f>
        <v>-139.91214791333843</v>
      </c>
      <c r="AU57" s="3"/>
      <c r="AV57" s="160">
        <v>0.49530761209593299</v>
      </c>
      <c r="AW57" s="160">
        <v>0.374348279457768</v>
      </c>
      <c r="AX57" s="160">
        <v>0.19082377476538001</v>
      </c>
      <c r="AY57" s="135"/>
      <c r="AZ57" s="135"/>
      <c r="BA57" s="135"/>
      <c r="BB57" s="135"/>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1"/>
      <c r="CS57" s="1"/>
      <c r="CT57" s="1"/>
      <c r="CU57" s="1"/>
    </row>
    <row r="58" spans="1:99" s="13" customFormat="1" ht="12" customHeight="1" x14ac:dyDescent="0.25">
      <c r="A58" s="68">
        <v>43899</v>
      </c>
      <c r="B58" s="70"/>
      <c r="C58" s="70"/>
      <c r="D58" s="69"/>
      <c r="E58" s="87"/>
      <c r="F58" s="69"/>
      <c r="G58" s="69"/>
      <c r="H58" s="69"/>
      <c r="I58" s="104"/>
      <c r="J58" s="69"/>
      <c r="K58" s="107"/>
      <c r="L58" s="107"/>
      <c r="M58" s="69"/>
      <c r="N58" s="86"/>
      <c r="O58" s="69"/>
      <c r="P58" s="69"/>
      <c r="Q58" s="69"/>
      <c r="R58" s="69"/>
      <c r="S58" s="69"/>
      <c r="T58" s="92"/>
      <c r="U58" s="69"/>
      <c r="V58" s="92"/>
      <c r="W58" s="69"/>
      <c r="X58" s="69"/>
      <c r="Y58" s="87"/>
      <c r="Z58" s="69"/>
      <c r="AA58" s="69"/>
      <c r="AB58" s="69"/>
      <c r="AC58" s="72"/>
      <c r="AD58" s="69"/>
      <c r="AE58" s="69"/>
      <c r="AF58" s="88"/>
      <c r="AG58" s="72"/>
      <c r="AH58" s="4"/>
      <c r="AI58" s="72"/>
      <c r="AJ58" s="110"/>
      <c r="AK58" s="72"/>
      <c r="AL58" s="72"/>
      <c r="AM58" s="72"/>
      <c r="AN58" s="72"/>
      <c r="AO58" s="89"/>
      <c r="AP58" s="89"/>
      <c r="AQ58" s="90"/>
      <c r="AR58" s="117"/>
      <c r="AS58" s="91"/>
      <c r="AT58" s="91"/>
      <c r="AU58" s="3"/>
      <c r="AV58" s="71">
        <v>3600</v>
      </c>
      <c r="AW58" s="71">
        <v>172800</v>
      </c>
      <c r="AX58" s="71">
        <v>604800</v>
      </c>
      <c r="AY58" s="135"/>
      <c r="AZ58" s="135"/>
      <c r="BA58" s="135"/>
      <c r="BB58" s="135"/>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1"/>
      <c r="CS58" s="1"/>
      <c r="CT58" s="1"/>
      <c r="CU58" s="1"/>
    </row>
    <row r="59" spans="1:99" s="13" customFormat="1" ht="12" customHeight="1" x14ac:dyDescent="0.25">
      <c r="A59" s="68">
        <v>43899</v>
      </c>
      <c r="B59" s="70" t="s">
        <v>378</v>
      </c>
      <c r="C59" s="70" t="s">
        <v>107</v>
      </c>
      <c r="D59" s="69">
        <v>1994</v>
      </c>
      <c r="E59" s="87">
        <v>3</v>
      </c>
      <c r="F59" s="69">
        <v>36</v>
      </c>
      <c r="G59" s="69">
        <v>12</v>
      </c>
      <c r="H59" s="69" t="s">
        <v>41</v>
      </c>
      <c r="I59" s="104" t="s">
        <v>380</v>
      </c>
      <c r="J59" s="69" t="s">
        <v>61</v>
      </c>
      <c r="K59" s="69">
        <f>IF(J59="syllables",1,IF(J59="trigrams",2,IF(J59="strings",3,IF(J59="visual array",4,IF(J59="characters",5,IF(J59="letters",6,IF(J59="free forms",7,IF(J59="odors",8,IF(J59="words",9,IF(J59="pictures",10,IF(J59="object pictures",11,IF(J59="faces",12,IF(J59="names",13,IF(J59="idioms",14,IF(J59="grades",15,IF(J59="syllable-digit pairs",16,IF(J59="trigram-word pairs",17,IF(J59="word-digit pairs",18,IF(J59="English-Swahili pairs",19,IF(J59="spatial position",20,IF(J59="word pairs",21,IF(J59="word triads",22,IF(J59="generated words",23,IF(J59="word definition pairs",24,IF(J59="math problems",25,IF(J59="famous faces",26,IF(J59="famous names",27,IF(J59="famous voices",28,IF(J59="television programs",29,IF(J59="race horses",30,IF(J59="new vocabulary",31,IF(J59="sentences",32,IF(J59="concepts",33,IF(J59="ad slides",34,IF(J59="scenes",35,IF(J59="famous scenes",36,IF(J59="poems",37,IF(J59="walk",38,IF(J59="faces and events",39,IF(J59="events and names",40,IF(J59="flashbulb",41,IF(J59="stories",42,IF(J59="course material",43,IF(J59="autobiographical",44,IF(J59="novels",45,IF(J59="public events",46,"99"))))))))))))))))))))))))))))))))))))))))))))))</f>
        <v>42</v>
      </c>
      <c r="L59" s="69">
        <f>IF(J59="syllables",1,IF(J59="trigrams",1,IF(J59="strings",1,IF(J59="visual array",1,IF(J59="characters",1,IF(J59="letters",1,IF(J59="free forms",1,IF(J59="odors",2,IF(J59="words",2,IF(J59="pictures",2,IF(J59="object pictures",2,IF(J59="faces",2,IF(J59="names",2,IF(J59="idioms","2",IF(J59="grades",2,IF(J59="syllable-digit pairs",3,IF(J59="trigram-word pairs",3,IF(J59="word-digit pairs",3,IF(J59="English-Swahili pairs",3,IF(J59="spatial position",3,IF(J59="word pairs",4,IF(J59="word triads",4,IF(J59="generated words",4,IF(J59="word definition pairs",4,IF(J59="math problems",4,IF(J59="famous faces",4,IF(J59="famous names",4,IF(J59="famous voices",4,IF(J59="television programs",4,IF(J59="race horses",4,IF(J59="new vocabulary",4,IF(J59="sentences",5,IF(J59="concepts",5,IF(J59="ad slides",5,IF(J59="scenes",5,IF(J59="famous scenes",5,IF(J59="poems",6,IF(J59="walk",6,IF(J59="faces and events",6,IF(J59="events and names",6,IF(J59="flashbulb",7,IF(J59="stories",7,IF(J59="course material",7,IF(J59="autobiographical",7,IF(J59="novels",7,IF(J59="public events",7,"99"))))))))))))))))))))))))))))))))))))))))))))))</f>
        <v>7</v>
      </c>
      <c r="M59" s="69">
        <v>0</v>
      </c>
      <c r="N59" s="86">
        <v>3</v>
      </c>
      <c r="O59" s="69">
        <v>0</v>
      </c>
      <c r="P59" s="69"/>
      <c r="Q59" s="69" t="s">
        <v>174</v>
      </c>
      <c r="R59" s="69">
        <f>IF(Q59="Free Recall",1,IF(Q59="Cued Recall",2,IF(Q59="Recognition",3,IF(Q59="Multiple Choice",4,IF(Q59="Savings",5,IF(Q59="Stem Completion",6,IF(Q59="Fragment Completion",7,IF(Q59="anagram solution",8,IF(Q59="Matching",9,IF(Q59="Problem Solving",10,"99"))))))))))</f>
        <v>1</v>
      </c>
      <c r="S59" s="69" t="s">
        <v>49</v>
      </c>
      <c r="T59" s="92" t="s">
        <v>261</v>
      </c>
      <c r="U59" s="69">
        <f>IF(T59="within",1,0)</f>
        <v>0</v>
      </c>
      <c r="V59" s="92">
        <v>12</v>
      </c>
      <c r="W59" s="69">
        <f>F59*V59</f>
        <v>432</v>
      </c>
      <c r="X59" s="69">
        <v>3</v>
      </c>
      <c r="Y59" s="87">
        <f>AV58</f>
        <v>3600</v>
      </c>
      <c r="Z59" s="69" t="s">
        <v>97</v>
      </c>
      <c r="AA59" s="69">
        <v>604800</v>
      </c>
      <c r="AB59" s="69" t="str">
        <f>IF(AA59&lt;60,"1",IF(AA59&lt;=43200,"2",IF(AA59&lt;=777600,"3","4")))</f>
        <v>3</v>
      </c>
      <c r="AC59" s="72">
        <f>AVERAGE(AV58:DA58)</f>
        <v>260400</v>
      </c>
      <c r="AD59" s="69" t="str">
        <f>IF(AC59&lt;60,"1",IF(AC59&lt;=43200,"2",IF(AC59&lt;=777600,"3","4")))</f>
        <v>3</v>
      </c>
      <c r="AE59" s="87">
        <f>AA59-Y59</f>
        <v>601200</v>
      </c>
      <c r="AF59" s="88">
        <f>AV59</f>
        <v>0.62460896767466101</v>
      </c>
      <c r="AG59" s="72">
        <f>((AW59-AV59)+(AX59-AW59))/2</f>
        <v>-0.20281543274244052</v>
      </c>
      <c r="AH59" s="4"/>
      <c r="AI59" s="72">
        <f>RSQ(AV59:AX59,AV58:AX58)</f>
        <v>0.88099851479518032</v>
      </c>
      <c r="AJ59" s="110">
        <f>SLOPE(AV59:AX59,AV58:AX58)</f>
        <v>-6.1743247978469734E-7</v>
      </c>
      <c r="AK59" s="72">
        <f>INTERCEPT(AV59:AX59,AV58:AX58)</f>
        <v>0.57023371040190618</v>
      </c>
      <c r="AL59" s="72">
        <f>INDEX(LINEST(LN(AV59:AX59),LN(AV58:AX58),TRUE,TRUE),3,1)</f>
        <v>0.89468452338007076</v>
      </c>
      <c r="AM59" s="72">
        <f>INDEX(LINEST(LN(AV59:AX59),LN(AV58:AX58)),1)</f>
        <v>-0.18575610221508479</v>
      </c>
      <c r="AN59" s="72">
        <f>EXP(INDEX(LINEST(LN(AV59:AX59),LN(AV58:AX58)),1,2))</f>
        <v>2.9938656718502226</v>
      </c>
      <c r="AO59" s="89">
        <f>INDEX(LINEST((AV59:AX59),LN(AV58:AX58),TRUE,TRUE),3,1)</f>
        <v>0.96727330918821597</v>
      </c>
      <c r="AP59" s="89">
        <f>INDEX(LINEST((AV59:AX59),LN(AV58:AX58)),1)</f>
        <v>-7.5088508432265041E-2</v>
      </c>
      <c r="AQ59" s="90">
        <f>INDEX(LINEST(LN(AV59:AX59),SQRT(AV58:AX58),TRUE,TRUE),3,1)</f>
        <v>0.9985154511894534</v>
      </c>
      <c r="AR59" s="117">
        <f>INDEX(LINEST(LN(AV59:AX59),SQRT((AV58:AX58))),1)</f>
        <v>-1.4607430949740308E-3</v>
      </c>
      <c r="AS59" s="91">
        <f>INDEX(LINEST(1/(AV59:AX59),1/(SQRT(AV58:AX58)),TRUE,TRUE),3,1)</f>
        <v>0.63868496911761574</v>
      </c>
      <c r="AT59" s="91">
        <f>INDEX(LINEST(1/(AV59:AX59),1/SQRT(AV58:AX58)),1)</f>
        <v>-140.6368654937811</v>
      </c>
      <c r="AU59" s="3"/>
      <c r="AV59" s="160">
        <v>0.62460896767466101</v>
      </c>
      <c r="AW59" s="160">
        <v>0.38477580813347201</v>
      </c>
      <c r="AX59" s="160">
        <v>0.21897810218978001</v>
      </c>
      <c r="AY59" s="135"/>
      <c r="AZ59" s="135"/>
      <c r="BA59" s="135"/>
      <c r="BB59" s="135"/>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1"/>
      <c r="CS59" s="1"/>
      <c r="CT59" s="1"/>
      <c r="CU59" s="1"/>
    </row>
    <row r="60" spans="1:99" s="13" customFormat="1" ht="12" customHeight="1" x14ac:dyDescent="0.25">
      <c r="A60" s="68">
        <v>43899</v>
      </c>
      <c r="B60" s="70"/>
      <c r="C60" s="70"/>
      <c r="D60" s="69"/>
      <c r="E60" s="87"/>
      <c r="F60" s="69"/>
      <c r="G60" s="69"/>
      <c r="H60" s="69"/>
      <c r="I60" s="104"/>
      <c r="J60" s="69"/>
      <c r="K60" s="107"/>
      <c r="L60" s="107"/>
      <c r="M60" s="69"/>
      <c r="N60" s="86"/>
      <c r="O60" s="69"/>
      <c r="P60" s="69"/>
      <c r="Q60" s="69"/>
      <c r="R60" s="69"/>
      <c r="S60" s="69"/>
      <c r="T60" s="92"/>
      <c r="U60" s="69"/>
      <c r="V60" s="92"/>
      <c r="W60" s="69"/>
      <c r="X60" s="69"/>
      <c r="Y60" s="87"/>
      <c r="Z60" s="69"/>
      <c r="AA60" s="69"/>
      <c r="AB60" s="69"/>
      <c r="AC60" s="72"/>
      <c r="AD60" s="69"/>
      <c r="AE60" s="69"/>
      <c r="AF60" s="88"/>
      <c r="AG60" s="72"/>
      <c r="AH60" s="4"/>
      <c r="AI60" s="72"/>
      <c r="AJ60" s="110"/>
      <c r="AK60" s="72"/>
      <c r="AL60" s="72"/>
      <c r="AM60" s="72"/>
      <c r="AN60" s="72"/>
      <c r="AO60" s="89"/>
      <c r="AP60" s="89"/>
      <c r="AQ60" s="90"/>
      <c r="AR60" s="117"/>
      <c r="AS60" s="91"/>
      <c r="AT60" s="91"/>
      <c r="AU60" s="3"/>
      <c r="AV60" s="71">
        <v>3600</v>
      </c>
      <c r="AW60" s="71">
        <v>172800</v>
      </c>
      <c r="AX60" s="71">
        <v>604800</v>
      </c>
      <c r="AY60" s="53"/>
      <c r="AZ60" s="135"/>
      <c r="BA60" s="135"/>
      <c r="BB60" s="135"/>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1"/>
      <c r="CS60" s="1"/>
      <c r="CT60" s="1"/>
      <c r="CU60" s="1"/>
    </row>
    <row r="61" spans="1:99" s="13" customFormat="1" ht="12" customHeight="1" x14ac:dyDescent="0.25">
      <c r="A61" s="68">
        <v>43899</v>
      </c>
      <c r="B61" s="70" t="s">
        <v>378</v>
      </c>
      <c r="C61" s="70" t="s">
        <v>107</v>
      </c>
      <c r="D61" s="69">
        <v>1994</v>
      </c>
      <c r="E61" s="87">
        <v>3</v>
      </c>
      <c r="F61" s="69">
        <v>36</v>
      </c>
      <c r="G61" s="69">
        <v>12</v>
      </c>
      <c r="H61" s="69" t="s">
        <v>41</v>
      </c>
      <c r="I61" s="104" t="s">
        <v>381</v>
      </c>
      <c r="J61" s="69" t="s">
        <v>61</v>
      </c>
      <c r="K61" s="69">
        <f>IF(J61="syllables",1,IF(J61="trigrams",2,IF(J61="strings",3,IF(J61="visual array",4,IF(J61="characters",5,IF(J61="letters",6,IF(J61="free forms",7,IF(J61="odors",8,IF(J61="words",9,IF(J61="pictures",10,IF(J61="object pictures",11,IF(J61="faces",12,IF(J61="names",13,IF(J61="idioms",14,IF(J61="grades",15,IF(J61="syllable-digit pairs",16,IF(J61="trigram-word pairs",17,IF(J61="word-digit pairs",18,IF(J61="English-Swahili pairs",19,IF(J61="spatial position",20,IF(J61="word pairs",21,IF(J61="word triads",22,IF(J61="generated words",23,IF(J61="word definition pairs",24,IF(J61="math problems",25,IF(J61="famous faces",26,IF(J61="famous names",27,IF(J61="famous voices",28,IF(J61="television programs",29,IF(J61="race horses",30,IF(J61="new vocabulary",31,IF(J61="sentences",32,IF(J61="concepts",33,IF(J61="ad slides",34,IF(J61="scenes",35,IF(J61="famous scenes",36,IF(J61="poems",37,IF(J61="walk",38,IF(J61="faces and events",39,IF(J61="events and names",40,IF(J61="flashbulb",41,IF(J61="stories",42,IF(J61="course material",43,IF(J61="autobiographical",44,IF(J61="novels",45,IF(J61="public events",46,"99"))))))))))))))))))))))))))))))))))))))))))))))</f>
        <v>42</v>
      </c>
      <c r="L61" s="69">
        <f>IF(J61="syllables",1,IF(J61="trigrams",1,IF(J61="strings",1,IF(J61="visual array",1,IF(J61="characters",1,IF(J61="letters",1,IF(J61="free forms",1,IF(J61="odors",2,IF(J61="words",2,IF(J61="pictures",2,IF(J61="object pictures",2,IF(J61="faces",2,IF(J61="names",2,IF(J61="idioms","2",IF(J61="grades",2,IF(J61="syllable-digit pairs",3,IF(J61="trigram-word pairs",3,IF(J61="word-digit pairs",3,IF(J61="English-Swahili pairs",3,IF(J61="spatial position",3,IF(J61="word pairs",4,IF(J61="word triads",4,IF(J61="generated words",4,IF(J61="word definition pairs",4,IF(J61="math problems",4,IF(J61="famous faces",4,IF(J61="famous names",4,IF(J61="famous voices",4,IF(J61="television programs",4,IF(J61="race horses",4,IF(J61="new vocabulary",4,IF(J61="sentences",5,IF(J61="concepts",5,IF(J61="ad slides",5,IF(J61="scenes",5,IF(J61="famous scenes",5,IF(J61="poems",6,IF(J61="walk",6,IF(J61="faces and events",6,IF(J61="events and names",6,IF(J61="flashbulb",7,IF(J61="stories",7,IF(J61="course material",7,IF(J61="autobiographical",7,IF(J61="novels",7,IF(J61="public events",7,"99"))))))))))))))))))))))))))))))))))))))))))))))</f>
        <v>7</v>
      </c>
      <c r="M61" s="69">
        <v>0</v>
      </c>
      <c r="N61" s="86">
        <v>3</v>
      </c>
      <c r="O61" s="69">
        <v>0</v>
      </c>
      <c r="P61" s="69"/>
      <c r="Q61" s="69" t="s">
        <v>174</v>
      </c>
      <c r="R61" s="69">
        <f>IF(Q61="Free Recall",1,IF(Q61="Cued Recall",2,IF(Q61="Recognition",3,IF(Q61="Multiple Choice",4,IF(Q61="Savings",5,IF(Q61="Stem Completion",6,IF(Q61="Fragment Completion",7,IF(Q61="anagram solution",8,IF(Q61="Matching",9,IF(Q61="Problem Solving",10,"99"))))))))))</f>
        <v>1</v>
      </c>
      <c r="S61" s="69" t="s">
        <v>49</v>
      </c>
      <c r="T61" s="92" t="s">
        <v>261</v>
      </c>
      <c r="U61" s="69">
        <f>IF(T61="within",1,0)</f>
        <v>0</v>
      </c>
      <c r="V61" s="92">
        <v>12</v>
      </c>
      <c r="W61" s="69">
        <f>F61*V61</f>
        <v>432</v>
      </c>
      <c r="X61" s="69">
        <v>3</v>
      </c>
      <c r="Y61" s="87">
        <f>AV60</f>
        <v>3600</v>
      </c>
      <c r="Z61" s="69" t="s">
        <v>97</v>
      </c>
      <c r="AA61" s="69">
        <v>604800</v>
      </c>
      <c r="AB61" s="69" t="str">
        <f>IF(AA61&lt;60,"1",IF(AA61&lt;=43200,"2",IF(AA61&lt;=777600,"3","4")))</f>
        <v>3</v>
      </c>
      <c r="AC61" s="72">
        <f>AVERAGE(AV60:DA60)</f>
        <v>260400</v>
      </c>
      <c r="AD61" s="69" t="str">
        <f>IF(AC61&lt;60,"1",IF(AC61&lt;=43200,"2",IF(AC61&lt;=777600,"3","4")))</f>
        <v>3</v>
      </c>
      <c r="AE61" s="87">
        <f>AA61-Y61</f>
        <v>601200</v>
      </c>
      <c r="AF61" s="88">
        <f>AV61</f>
        <v>0.75860271115745548</v>
      </c>
      <c r="AG61" s="72">
        <f>((AW61-AV61)+(AX61-AW61))/2</f>
        <v>-0.12226277372262778</v>
      </c>
      <c r="AH61" s="4"/>
      <c r="AI61" s="72">
        <f>RSQ(AV61:AX61,AV60:AX60)</f>
        <v>0.78254173378667391</v>
      </c>
      <c r="AJ61" s="110">
        <f>SLOPE(AV61:AX61,AV60:AX60)</f>
        <v>-3.5897176644583319E-7</v>
      </c>
      <c r="AK61" s="72">
        <f>INTERCEPT(AV61:AX61,AV60:AX60)</f>
        <v>0.71269765917470873</v>
      </c>
      <c r="AL61" s="72">
        <f>INDEX(LINEST(LN(AV61:AX61),LN(AV60:AX60),TRUE,TRUE),3,1)</f>
        <v>0.99093214617635728</v>
      </c>
      <c r="AM61" s="72">
        <f>INDEX(LINEST(LN(AV61:AX61),LN(AV60:AX60)),1)</f>
        <v>-7.3853853236332159E-2</v>
      </c>
      <c r="AN61" s="72">
        <f>EXP(INDEX(LINEST(LN(AV61:AX61),LN(AV60:AX60)),1,2))</f>
        <v>1.3959833273714981</v>
      </c>
      <c r="AO61" s="89">
        <f>INDEX(LINEST((AV61:AX61),LN(AV60:AX60),TRUE,TRUE),3,1)</f>
        <v>0.99760304580786618</v>
      </c>
      <c r="AP61" s="89">
        <f>INDEX(LINEST((AV61:AX61),LN(AV60:AX60)),1)</f>
        <v>-4.704163558323908E-2</v>
      </c>
      <c r="AQ61" s="90">
        <f>INDEX(LINEST(LN(AV61:AX61),SQRT(AV60:AX60),TRUE,TRUE),3,1)</f>
        <v>0.96184435567624216</v>
      </c>
      <c r="AR61" s="117">
        <f>INDEX(LINEST(LN(AV61:AX61),SQRT((AV60:AX60))),1)</f>
        <v>-5.4161654303708511E-4</v>
      </c>
      <c r="AS61" s="91">
        <f>INDEX(LINEST(1/(AV61:AX61),1/(SQRT(AV60:AX60)),TRUE,TRUE),3,1)</f>
        <v>0.9033693049226752</v>
      </c>
      <c r="AT61" s="91">
        <f>INDEX(LINEST(1/(AV61:AX61),1/SQRT(AV60:AX60)),1)</f>
        <v>-35.103123513115001</v>
      </c>
      <c r="AU61" s="3"/>
      <c r="AV61" s="160">
        <v>0.75860271115745548</v>
      </c>
      <c r="AW61" s="160">
        <v>0.58498435870698595</v>
      </c>
      <c r="AX61" s="160">
        <v>0.51407716371219991</v>
      </c>
      <c r="AY61" s="135"/>
      <c r="AZ61" s="135"/>
      <c r="BA61" s="135"/>
      <c r="BB61" s="135"/>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1"/>
      <c r="CS61" s="1"/>
      <c r="CT61" s="1"/>
      <c r="CU61" s="1"/>
    </row>
    <row r="62" spans="1:99" s="13" customFormat="1" ht="12" customHeight="1" x14ac:dyDescent="0.2">
      <c r="A62" s="68">
        <v>43509</v>
      </c>
      <c r="B62" s="70"/>
      <c r="C62" s="70"/>
      <c r="D62" s="69"/>
      <c r="E62" s="87"/>
      <c r="F62" s="69"/>
      <c r="G62" s="69"/>
      <c r="H62" s="69"/>
      <c r="I62" s="69"/>
      <c r="J62" s="69"/>
      <c r="K62" s="107"/>
      <c r="L62" s="107"/>
      <c r="M62" s="69"/>
      <c r="N62" s="69"/>
      <c r="O62" s="69"/>
      <c r="P62" s="69"/>
      <c r="Q62" s="69"/>
      <c r="R62" s="69"/>
      <c r="S62" s="69"/>
      <c r="T62" s="69"/>
      <c r="U62" s="69"/>
      <c r="V62" s="69"/>
      <c r="W62" s="69"/>
      <c r="X62" s="69"/>
      <c r="Y62" s="87"/>
      <c r="Z62" s="69"/>
      <c r="AA62" s="69"/>
      <c r="AB62" s="69"/>
      <c r="AC62" s="69"/>
      <c r="AD62" s="69"/>
      <c r="AE62" s="69"/>
      <c r="AF62" s="88"/>
      <c r="AG62" s="72"/>
      <c r="AH62" s="4"/>
      <c r="AI62" s="72"/>
      <c r="AJ62" s="110"/>
      <c r="AK62" s="72"/>
      <c r="AL62" s="72"/>
      <c r="AM62" s="72"/>
      <c r="AN62" s="72"/>
      <c r="AO62" s="72"/>
      <c r="AP62" s="72"/>
      <c r="AQ62" s="72"/>
      <c r="AR62" s="110"/>
      <c r="AS62" s="72"/>
      <c r="AT62" s="72"/>
      <c r="AU62" s="3"/>
      <c r="AV62" s="71">
        <v>30</v>
      </c>
      <c r="AW62" s="71">
        <f>23*60</f>
        <v>1380</v>
      </c>
      <c r="AX62" s="71">
        <f>24*60*60*7</f>
        <v>604800</v>
      </c>
      <c r="AY62" s="53"/>
      <c r="AZ62" s="53"/>
      <c r="BA62" s="53"/>
      <c r="BB62" s="53"/>
      <c r="BC62" s="53"/>
      <c r="BD62" s="53"/>
      <c r="BE62" s="53"/>
      <c r="BF62" s="53"/>
      <c r="BG62" s="53"/>
      <c r="BH62" s="53"/>
      <c r="BI62" s="53"/>
      <c r="BJ62" s="53"/>
      <c r="BK62" s="53"/>
      <c r="BL62" s="53"/>
      <c r="BM62" s="53"/>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53"/>
      <c r="CO62" s="53"/>
      <c r="CP62" s="53"/>
      <c r="CQ62" s="53"/>
      <c r="CR62" s="1"/>
      <c r="CS62" s="1"/>
      <c r="CT62" s="1"/>
      <c r="CU62" s="1"/>
    </row>
    <row r="63" spans="1:99" s="13" customFormat="1" ht="12" customHeight="1" x14ac:dyDescent="0.2">
      <c r="A63" s="68">
        <v>43509</v>
      </c>
      <c r="B63" s="103" t="s">
        <v>94</v>
      </c>
      <c r="C63" s="70" t="s">
        <v>95</v>
      </c>
      <c r="D63" s="69">
        <v>2012</v>
      </c>
      <c r="E63" s="87">
        <v>1</v>
      </c>
      <c r="F63" s="69">
        <v>14</v>
      </c>
      <c r="G63" s="69">
        <v>14</v>
      </c>
      <c r="H63" s="69" t="s">
        <v>41</v>
      </c>
      <c r="I63" s="69" t="s">
        <v>672</v>
      </c>
      <c r="J63" s="69" t="s">
        <v>61</v>
      </c>
      <c r="K63" s="69">
        <f>IF(J63="syllables",1,IF(J63="trigrams",2,IF(J63="strings",3,IF(J63="visual array",4,IF(J63="characters",5,IF(J63="letters",6,IF(J63="free forms",7,IF(J63="odors",8,IF(J63="words",9,IF(J63="pictures",10,IF(J63="object pictures",11,IF(J63="faces",12,IF(J63="names",13,IF(J63="idioms",14,IF(J63="grades",15,IF(J63="syllable-digit pairs",16,IF(J63="trigram-word pairs",17,IF(J63="word-digit pairs",18,IF(J63="English-Swahili pairs",19,IF(J63="spatial position",20,IF(J63="word pairs",21,IF(J63="word triads",22,IF(J63="generated words",23,IF(J63="word definition pairs",24,IF(J63="math problems",25,IF(J63="famous faces",26,IF(J63="famous names",27,IF(J63="famous voices",28,IF(J63="television programs",29,IF(J63="race horses",30,IF(J63="new vocabulary",31,IF(J63="sentences",32,IF(J63="concepts",33,IF(J63="ad slides",34,IF(J63="scenes",35,IF(J63="famous scenes",36,IF(J63="poems",37,IF(J63="walk",38,IF(J63="faces and events",39,IF(J63="events and names",40,IF(J63="flashbulb",41,IF(J63="stories",42,IF(J63="course material",43,IF(J63="autobiographical",44,IF(J63="novels",45,IF(J63="public events",46,"99"))))))))))))))))))))))))))))))))))))))))))))))</f>
        <v>42</v>
      </c>
      <c r="L63" s="69">
        <f>IF(J63="syllables",1,IF(J63="trigrams",1,IF(J63="strings",1,IF(J63="visual array",1,IF(J63="characters",1,IF(J63="letters",1,IF(J63="free forms",1,IF(J63="odors",2,IF(J63="words",2,IF(J63="pictures",2,IF(J63="object pictures",2,IF(J63="faces",2,IF(J63="names",2,IF(J63="idioms","2",IF(J63="grades",2,IF(J63="syllable-digit pairs",3,IF(J63="trigram-word pairs",3,IF(J63="word-digit pairs",3,IF(J63="English-Swahili pairs",3,IF(J63="spatial position",3,IF(J63="word pairs",4,IF(J63="word triads",4,IF(J63="generated words",4,IF(J63="word definition pairs",4,IF(J63="math problems",4,IF(J63="famous faces",4,IF(J63="famous names",4,IF(J63="famous voices",4,IF(J63="television programs",4,IF(J63="race horses",4,IF(J63="new vocabulary",4,IF(J63="sentences",5,IF(J63="concepts",5,IF(J63="ad slides",5,IF(J63="scenes",5,IF(J63="famous scenes",5,IF(J63="poems",6,IF(J63="walk",6,IF(J63="faces and events",6,IF(J63="events and names",6,IF(J63="flashbulb",7,IF(J63="stories",7,IF(J63="course material",7,IF(J63="autobiographical",7,IF(J63="novels",7,IF(J63="public events",7,"99"))))))))))))))))))))))))))))))))))))))))))))))</f>
        <v>7</v>
      </c>
      <c r="M63" s="69">
        <v>0</v>
      </c>
      <c r="N63" s="69">
        <v>3</v>
      </c>
      <c r="O63" s="69">
        <v>1</v>
      </c>
      <c r="P63" s="69" t="s">
        <v>96</v>
      </c>
      <c r="Q63" s="69" t="s">
        <v>174</v>
      </c>
      <c r="R63" s="69">
        <f>IF(Q63="Free Recall",1,IF(Q63="Cued Recall",2,IF(Q63="Recognition",3,IF(Q63="Multiple Choice",4,IF(Q63="Savings",5,IF(Q63="Stem Completion",6,IF(Q63="Fragment Completion",7,IF(Q63="anagram solution",8,IF(Q63="Matching",9,IF(Q63="Problem Solving",10,"99"))))))))))</f>
        <v>1</v>
      </c>
      <c r="S63" s="69" t="s">
        <v>49</v>
      </c>
      <c r="T63" s="92" t="s">
        <v>581</v>
      </c>
      <c r="U63" s="69">
        <f>IF(T63="within",1,0)</f>
        <v>1</v>
      </c>
      <c r="V63" s="92">
        <v>25</v>
      </c>
      <c r="W63" s="69">
        <f>F63*V63</f>
        <v>350</v>
      </c>
      <c r="X63" s="69">
        <v>3</v>
      </c>
      <c r="Y63" s="87">
        <f>AV62</f>
        <v>30</v>
      </c>
      <c r="Z63" s="69" t="s">
        <v>97</v>
      </c>
      <c r="AA63" s="69">
        <v>604800</v>
      </c>
      <c r="AB63" s="69" t="str">
        <f>IF(AA63&lt;60,"1",IF(AA63&lt;=43200,"2",IF(AA63&lt;=777600,"3","4")))</f>
        <v>3</v>
      </c>
      <c r="AC63" s="72">
        <f>AVERAGE(AV62:DA62)</f>
        <v>202070</v>
      </c>
      <c r="AD63" s="69" t="str">
        <f>IF(AC63&lt;60,"1",IF(AC63&lt;=43200,"2",IF(AC63&lt;=777600,"3","4")))</f>
        <v>3</v>
      </c>
      <c r="AE63" s="87">
        <f>AA63-Y63</f>
        <v>604770</v>
      </c>
      <c r="AF63" s="88">
        <f>AV63</f>
        <v>0.6</v>
      </c>
      <c r="AG63" s="72">
        <f>((AW63-AV63)+(AX63-AW63))/2</f>
        <v>-9.9999999999999978E-2</v>
      </c>
      <c r="AH63" s="4"/>
      <c r="AI63" s="72">
        <f>RSQ(AV63:AX63,AV62:AX62)</f>
        <v>0.53674051099532749</v>
      </c>
      <c r="AJ63" s="110">
        <f>SLOPE(AV63:AX63,AV62:AX62)</f>
        <v>-2.1558556306907031E-7</v>
      </c>
      <c r="AK63" s="72">
        <f>INTERCEPT(AV63:AX63,AV62:AX62)</f>
        <v>0.53023004139603369</v>
      </c>
      <c r="AL63" s="72">
        <f>INDEX(LINEST(LN(AV63:AX63),LN(AV62:AX62),TRUE,TRUE),3,1)</f>
        <v>0.90809533926466635</v>
      </c>
      <c r="AM63" s="72">
        <f>INDEX(LINEST(LN(AV63:AX63),LN(AV62:AX62)),1)</f>
        <v>-3.9268388916605348E-2</v>
      </c>
      <c r="AN63" s="72">
        <f>EXP(INDEX(LINEST(LN(AV63:AX63),LN(AV62:AX62)),1,2))</f>
        <v>0.65629929764387163</v>
      </c>
      <c r="AO63" s="89">
        <f>INDEX(LINEST((AV63:AX63),LN(AV62:AX62),TRUE,TRUE),3,1)</f>
        <v>0.87753250715868891</v>
      </c>
      <c r="AP63" s="89">
        <f>INDEX(LINEST((AV63:AX63),LN(AV62:AX62)),1)</f>
        <v>-1.9235124809440604E-2</v>
      </c>
      <c r="AQ63" s="90">
        <f>INDEX(LINEST(LN(AV63:AX63),SQRT(AV62:AX62),TRUE,TRUE),3,1)</f>
        <v>0.61943564359307268</v>
      </c>
      <c r="AR63" s="117">
        <f>INDEX(LINEST(LN(AV63:AX63),SQRT((AV62:AX62))),1)</f>
        <v>-3.7096458295499395E-4</v>
      </c>
      <c r="AS63" s="91">
        <f>INDEX(LINEST(1/(AV63:AX63),1/(SQRT(AV62:AX62)),TRUE,TRUE),3,1)</f>
        <v>0.93001783054486098</v>
      </c>
      <c r="AT63" s="91">
        <f>INDEX(LINEST(1/(AV63:AX63),1/SQRT(AV62:AX62)),1)</f>
        <v>-4.1278529917009541</v>
      </c>
      <c r="AU63" s="3"/>
      <c r="AV63" s="73">
        <v>0.6</v>
      </c>
      <c r="AW63" s="73">
        <v>0.46</v>
      </c>
      <c r="AX63" s="73">
        <v>0.4</v>
      </c>
      <c r="AY63" s="53"/>
      <c r="AZ63" s="53"/>
      <c r="BA63" s="53"/>
      <c r="BB63" s="53"/>
      <c r="BC63" s="53"/>
      <c r="BD63" s="53"/>
      <c r="BE63" s="53"/>
      <c r="BF63" s="53"/>
      <c r="BG63" s="53"/>
      <c r="BH63" s="53"/>
      <c r="BI63" s="53"/>
      <c r="BJ63" s="53"/>
      <c r="BK63" s="53"/>
      <c r="BL63" s="53"/>
      <c r="BM63" s="53"/>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53"/>
      <c r="CO63" s="53"/>
      <c r="CP63" s="53"/>
      <c r="CQ63" s="53"/>
      <c r="CR63" s="1"/>
      <c r="CS63" s="1"/>
      <c r="CT63" s="1"/>
      <c r="CU63" s="1"/>
    </row>
    <row r="64" spans="1:99" s="13" customFormat="1" ht="12" customHeight="1" x14ac:dyDescent="0.2">
      <c r="A64" s="68">
        <v>43509</v>
      </c>
      <c r="B64" s="70"/>
      <c r="C64" s="70"/>
      <c r="D64" s="69"/>
      <c r="E64" s="87"/>
      <c r="F64" s="69"/>
      <c r="G64" s="69"/>
      <c r="H64" s="69"/>
      <c r="I64" s="69"/>
      <c r="J64" s="69"/>
      <c r="K64" s="107"/>
      <c r="L64" s="107"/>
      <c r="M64" s="69"/>
      <c r="N64" s="69"/>
      <c r="O64" s="69"/>
      <c r="P64" s="69"/>
      <c r="Q64" s="69"/>
      <c r="R64" s="69"/>
      <c r="S64" s="69"/>
      <c r="T64" s="69"/>
      <c r="U64" s="69"/>
      <c r="V64" s="69"/>
      <c r="W64" s="69"/>
      <c r="X64" s="69"/>
      <c r="Y64" s="87"/>
      <c r="Z64" s="69"/>
      <c r="AA64" s="69"/>
      <c r="AB64" s="69"/>
      <c r="AC64" s="69"/>
      <c r="AD64" s="69"/>
      <c r="AE64" s="69"/>
      <c r="AF64" s="88"/>
      <c r="AG64" s="72"/>
      <c r="AH64" s="4"/>
      <c r="AI64" s="72"/>
      <c r="AJ64" s="110"/>
      <c r="AK64" s="72"/>
      <c r="AL64" s="72"/>
      <c r="AM64" s="72"/>
      <c r="AN64" s="72"/>
      <c r="AO64" s="72"/>
      <c r="AP64" s="72"/>
      <c r="AQ64" s="72"/>
      <c r="AR64" s="110"/>
      <c r="AS64" s="72"/>
      <c r="AT64" s="72"/>
      <c r="AU64" s="3"/>
      <c r="AV64" s="71">
        <v>30</v>
      </c>
      <c r="AW64" s="71">
        <f>23*60</f>
        <v>1380</v>
      </c>
      <c r="AX64" s="71">
        <f>24*60*60*7</f>
        <v>604800</v>
      </c>
      <c r="AY64" s="53"/>
      <c r="AZ64" s="53"/>
      <c r="BA64" s="53"/>
      <c r="BB64" s="53"/>
      <c r="BC64" s="53"/>
      <c r="BD64" s="53"/>
      <c r="BE64" s="53"/>
      <c r="BF64" s="53"/>
      <c r="BG64" s="53"/>
      <c r="BH64" s="53"/>
      <c r="BI64" s="53"/>
      <c r="BJ64" s="53"/>
      <c r="BK64" s="53"/>
      <c r="BL64" s="53"/>
      <c r="BM64" s="53"/>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53"/>
      <c r="CO64" s="53"/>
      <c r="CP64" s="53"/>
      <c r="CQ64" s="53"/>
      <c r="CR64" s="1"/>
      <c r="CS64" s="1"/>
      <c r="CT64" s="1"/>
      <c r="CU64" s="1"/>
    </row>
    <row r="65" spans="1:99" s="13" customFormat="1" ht="12" customHeight="1" x14ac:dyDescent="0.2">
      <c r="A65" s="68">
        <v>43509</v>
      </c>
      <c r="B65" s="70" t="s">
        <v>94</v>
      </c>
      <c r="C65" s="70" t="s">
        <v>95</v>
      </c>
      <c r="D65" s="69">
        <v>2012</v>
      </c>
      <c r="E65" s="87">
        <v>1</v>
      </c>
      <c r="F65" s="69">
        <v>14</v>
      </c>
      <c r="G65" s="69">
        <v>14</v>
      </c>
      <c r="H65" s="69" t="s">
        <v>41</v>
      </c>
      <c r="I65" s="69" t="s">
        <v>673</v>
      </c>
      <c r="J65" s="69" t="s">
        <v>61</v>
      </c>
      <c r="K65" s="69">
        <f>IF(J65="syllables",1,IF(J65="trigrams",2,IF(J65="strings",3,IF(J65="visual array",4,IF(J65="characters",5,IF(J65="letters",6,IF(J65="free forms",7,IF(J65="odors",8,IF(J65="words",9,IF(J65="pictures",10,IF(J65="object pictures",11,IF(J65="faces",12,IF(J65="names",13,IF(J65="idioms",14,IF(J65="grades",15,IF(J65="syllable-digit pairs",16,IF(J65="trigram-word pairs",17,IF(J65="word-digit pairs",18,IF(J65="English-Swahili pairs",19,IF(J65="spatial position",20,IF(J65="word pairs",21,IF(J65="word triads",22,IF(J65="generated words",23,IF(J65="word definition pairs",24,IF(J65="math problems",25,IF(J65="famous faces",26,IF(J65="famous names",27,IF(J65="famous voices",28,IF(J65="television programs",29,IF(J65="race horses",30,IF(J65="new vocabulary",31,IF(J65="sentences",32,IF(J65="concepts",33,IF(J65="ad slides",34,IF(J65="scenes",35,IF(J65="famous scenes",36,IF(J65="poems",37,IF(J65="walk",38,IF(J65="faces and events",39,IF(J65="events and names",40,IF(J65="flashbulb",41,IF(J65="stories",42,IF(J65="course material",43,IF(J65="autobiographical",44,IF(J65="novels",45,IF(J65="public events",46,"99"))))))))))))))))))))))))))))))))))))))))))))))</f>
        <v>42</v>
      </c>
      <c r="L65" s="69">
        <f>IF(J65="syllables",1,IF(J65="trigrams",1,IF(J65="strings",1,IF(J65="visual array",1,IF(J65="characters",1,IF(J65="letters",1,IF(J65="free forms",1,IF(J65="odors",2,IF(J65="words",2,IF(J65="pictures",2,IF(J65="object pictures",2,IF(J65="faces",2,IF(J65="names",2,IF(J65="idioms","2",IF(J65="grades",2,IF(J65="syllable-digit pairs",3,IF(J65="trigram-word pairs",3,IF(J65="word-digit pairs",3,IF(J65="English-Swahili pairs",3,IF(J65="spatial position",3,IF(J65="word pairs",4,IF(J65="word triads",4,IF(J65="generated words",4,IF(J65="word definition pairs",4,IF(J65="math problems",4,IF(J65="famous faces",4,IF(J65="famous names",4,IF(J65="famous voices",4,IF(J65="television programs",4,IF(J65="race horses",4,IF(J65="new vocabulary",4,IF(J65="sentences",5,IF(J65="concepts",5,IF(J65="ad slides",5,IF(J65="scenes",5,IF(J65="famous scenes",5,IF(J65="poems",6,IF(J65="walk",6,IF(J65="faces and events",6,IF(J65="events and names",6,IF(J65="flashbulb",7,IF(J65="stories",7,IF(J65="course material",7,IF(J65="autobiographical",7,IF(J65="novels",7,IF(J65="public events",7,"99"))))))))))))))))))))))))))))))))))))))))))))))</f>
        <v>7</v>
      </c>
      <c r="M65" s="69">
        <v>0</v>
      </c>
      <c r="N65" s="69">
        <v>3</v>
      </c>
      <c r="O65" s="69">
        <v>1</v>
      </c>
      <c r="P65" s="69" t="s">
        <v>96</v>
      </c>
      <c r="Q65" s="69" t="s">
        <v>174</v>
      </c>
      <c r="R65" s="69">
        <f>IF(Q65="Free Recall",1,IF(Q65="Cued Recall",2,IF(Q65="Recognition",3,IF(Q65="Multiple Choice",4,IF(Q65="Savings",5,IF(Q65="Stem Completion",6,IF(Q65="Fragment Completion",7,IF(Q65="anagram solution",8,IF(Q65="Matching",9,IF(Q65="Problem Solving",10,"99"))))))))))</f>
        <v>1</v>
      </c>
      <c r="S65" s="69" t="s">
        <v>49</v>
      </c>
      <c r="T65" s="92" t="s">
        <v>581</v>
      </c>
      <c r="U65" s="69">
        <f>IF(T65="within",1,0)</f>
        <v>1</v>
      </c>
      <c r="V65" s="92">
        <v>25</v>
      </c>
      <c r="W65" s="69">
        <f>F65*V65</f>
        <v>350</v>
      </c>
      <c r="X65" s="69">
        <v>3</v>
      </c>
      <c r="Y65" s="87">
        <f>AV64</f>
        <v>30</v>
      </c>
      <c r="Z65" s="69" t="s">
        <v>97</v>
      </c>
      <c r="AA65" s="69">
        <v>604800</v>
      </c>
      <c r="AB65" s="69" t="str">
        <f>IF(AA65&lt;60,"1",IF(AA65&lt;=43200,"2",IF(AA65&lt;=777600,"3","4")))</f>
        <v>3</v>
      </c>
      <c r="AC65" s="72">
        <f>AVERAGE(AV64:DA64)</f>
        <v>202070</v>
      </c>
      <c r="AD65" s="69" t="str">
        <f>IF(AC65&lt;60,"1",IF(AC65&lt;=43200,"2",IF(AC65&lt;=777600,"3","4")))</f>
        <v>3</v>
      </c>
      <c r="AE65" s="87">
        <f>AA65-Y65</f>
        <v>604770</v>
      </c>
      <c r="AF65" s="88">
        <f>AV65</f>
        <v>0.57999999999999996</v>
      </c>
      <c r="AG65" s="72">
        <f>((AW65-AV65)+(AX65-AW65))/2</f>
        <v>-4.9999999999999989E-2</v>
      </c>
      <c r="AH65" s="4"/>
      <c r="AI65" s="72">
        <f>RSQ(AV65:AX65,AV64:AX64)</f>
        <v>0.96500054538339919</v>
      </c>
      <c r="AJ65" s="110">
        <f>SLOPE(AV65:AX65,AV64:AX64)</f>
        <v>-1.4903812147391653E-7</v>
      </c>
      <c r="AK65" s="72">
        <f>INTERCEPT(AV65:AX65,AV64:AX64)</f>
        <v>0.57011613320623433</v>
      </c>
      <c r="AL65" s="72">
        <f>INDEX(LINEST(LN(AV65:AX65),LN(AV64:AX64),TRUE,TRUE),3,1)</f>
        <v>0.95328559261088863</v>
      </c>
      <c r="AM65" s="72">
        <f>INDEX(LINEST(LN(AV65:AX65),LN(AV64:AX64)),1)</f>
        <v>-1.9664862159056648E-2</v>
      </c>
      <c r="AN65" s="72">
        <f>EXP(INDEX(LINEST(LN(AV65:AX65),LN(AV64:AX64)),1,2))</f>
        <v>0.62967267027742757</v>
      </c>
      <c r="AO65" s="89">
        <f>INDEX(LINEST((AV65:AX65),LN(AV64:AX64),TRUE,TRUE),3,1)</f>
        <v>0.95938842069755048</v>
      </c>
      <c r="AP65" s="89">
        <f>INDEX(LINEST((AV65:AX65),LN(AV64:AX64)),1)</f>
        <v>-1.0369474307710983E-2</v>
      </c>
      <c r="AQ65" s="90">
        <f>INDEX(LINEST(LN(AV65:AX65),SQRT(AV64:AX64),TRUE,TRUE),3,1)</f>
        <v>0.98082026015973189</v>
      </c>
      <c r="AR65" s="117">
        <f>INDEX(LINEST(LN(AV65:AX65),SQRT((AV64:AX64))),1)</f>
        <v>-2.2815558168708588E-4</v>
      </c>
      <c r="AS65" s="91">
        <f>INDEX(LINEST(1/(AV65:AX65),1/(SQRT(AV64:AX64)),TRUE,TRUE),3,1)</f>
        <v>0.53016939602502966</v>
      </c>
      <c r="AT65" s="91">
        <f>INDEX(LINEST(1/(AV65:AX65),1/SQRT(AV64:AX64)),1)</f>
        <v>-1.4256291061685442</v>
      </c>
      <c r="AU65" s="3"/>
      <c r="AV65" s="73">
        <v>0.57999999999999996</v>
      </c>
      <c r="AW65" s="73">
        <v>0.56000000000000005</v>
      </c>
      <c r="AX65" s="73">
        <v>0.48</v>
      </c>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1"/>
      <c r="CS65" s="1"/>
      <c r="CT65" s="1"/>
      <c r="CU65" s="1"/>
    </row>
    <row r="66" spans="1:99" ht="12" customHeight="1" x14ac:dyDescent="0.2">
      <c r="A66" s="68">
        <v>43978</v>
      </c>
      <c r="B66" s="94"/>
      <c r="C66" s="94"/>
      <c r="D66" s="92"/>
      <c r="E66" s="105"/>
      <c r="F66" s="92"/>
      <c r="G66" s="92"/>
      <c r="H66" s="92"/>
      <c r="I66" s="92"/>
      <c r="J66" s="92"/>
      <c r="K66" s="69"/>
      <c r="L66" s="69"/>
      <c r="M66" s="92"/>
      <c r="N66" s="92"/>
      <c r="O66" s="92"/>
      <c r="P66" s="92"/>
      <c r="Q66" s="92"/>
      <c r="R66" s="69"/>
      <c r="S66" s="69"/>
      <c r="T66" s="92"/>
      <c r="U66" s="69"/>
      <c r="V66" s="92"/>
      <c r="W66" s="69"/>
      <c r="X66" s="92"/>
      <c r="Y66" s="87"/>
      <c r="Z66" s="92"/>
      <c r="AA66" s="92"/>
      <c r="AB66" s="69"/>
      <c r="AC66" s="72"/>
      <c r="AD66" s="69"/>
      <c r="AE66" s="87"/>
      <c r="AF66" s="88"/>
      <c r="AG66" s="72"/>
      <c r="AH66" s="4"/>
      <c r="AI66" s="72"/>
      <c r="AJ66" s="110"/>
      <c r="AK66" s="72"/>
      <c r="AL66" s="72"/>
      <c r="AM66" s="72"/>
      <c r="AN66" s="72"/>
      <c r="AO66" s="89"/>
      <c r="AP66" s="89"/>
      <c r="AQ66" s="90"/>
      <c r="AR66" s="117"/>
      <c r="AS66" s="91"/>
      <c r="AT66" s="91"/>
      <c r="AU66" s="3"/>
      <c r="AV66" s="98">
        <v>30</v>
      </c>
      <c r="AW66" s="98">
        <f>60*60*30</f>
        <v>108000</v>
      </c>
      <c r="AX66" s="98">
        <f>60*60*24*7</f>
        <v>604800</v>
      </c>
      <c r="AY66" s="11"/>
      <c r="AZ66" s="43" t="s">
        <v>950</v>
      </c>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5"/>
      <c r="CS66" s="15"/>
      <c r="CT66" s="15"/>
      <c r="CU66" s="15"/>
    </row>
    <row r="67" spans="1:99" ht="12" customHeight="1" x14ac:dyDescent="0.2">
      <c r="A67" s="68">
        <v>43978</v>
      </c>
      <c r="B67" s="94" t="s">
        <v>948</v>
      </c>
      <c r="C67" s="94" t="s">
        <v>54</v>
      </c>
      <c r="D67" s="92">
        <v>2014</v>
      </c>
      <c r="E67" s="105">
        <v>1</v>
      </c>
      <c r="F67" s="92">
        <v>25</v>
      </c>
      <c r="G67" s="92">
        <v>25</v>
      </c>
      <c r="H67" s="92" t="s">
        <v>41</v>
      </c>
      <c r="I67" s="92" t="s">
        <v>949</v>
      </c>
      <c r="J67" s="92" t="s">
        <v>686</v>
      </c>
      <c r="K67" s="69">
        <f>IF(J67="syllables",1,IF(J67="trigrams",2,IF(J67="strings",3,IF(J67="visual array",4,IF(J67="characters",5,IF(J67="letters",6,IF(J67="free forms",7,IF(J67="odors",8,IF(J67="words",9,IF(J67="pictures",10,IF(J67="object pictures",11,IF(J67="faces",12,IF(J67="names",13,IF(J67="idioms",14,IF(J67="grades",15,IF(J67="syllable-digit pairs",16,IF(J67="trigram-word pairs",17,IF(J67="word-digit pairs",18,IF(J67="English-Swahili pairs",19,IF(J67="spatial position",20,IF(J67="word pairs",21,IF(J67="word triads",22,IF(J67="generated words",23,IF(J67="word definition pairs",24,IF(J67="math problems",25,IF(J67="famous faces",26,IF(J67="famous names",27,IF(J67="famous voices",28,IF(J67="television programs",29,IF(J67="race horses",30,IF(J67="new vocabulary",31,IF(J67="sentences",32,IF(J67="concepts",33,IF(J67="ad slides",34,IF(J67="scenes",35,IF(J67="famous scenes",36,IF(J67="poems",37,IF(J67="walk",38,IF(J67="faces and events",39,IF(J67="events and names",40,IF(J67="flashbulb",41,IF(J67="stories",42,IF(J67="course material",43,IF(J67="autobiographical",44,IF(J67="novels",45,IF(J67="public events",46,"99"))))))))))))))))))))))))))))))))))))))))))))))</f>
        <v>35</v>
      </c>
      <c r="L67" s="69">
        <f>IF(J67="syllables",1,IF(J67="trigrams",1,IF(J67="strings",1,IF(J67="visual array",1,IF(J67="characters",1,IF(J67="letters",1,IF(J67="free forms",1,IF(J67="odors",2,IF(J67="words",2,IF(J67="pictures",2,IF(J67="object pictures",2,IF(J67="faces",2,IF(J67="names",2,IF(J67="idioms","2",IF(J67="grades",2,IF(J67="syllable-digit pairs",3,IF(J67="trigram-word pairs",3,IF(J67="word-digit pairs",3,IF(J67="English-Swahili pairs",3,IF(J67="spatial position",3,IF(J67="word pairs",4,IF(J67="word triads",4,IF(J67="generated words",4,IF(J67="word definition pairs",4,IF(J67="math problems",4,IF(J67="famous faces",4,IF(J67="famous names",4,IF(J67="famous voices",4,IF(J67="television programs",4,IF(J67="race horses",4,IF(J67="new vocabulary",4,IF(J67="sentences",5,IF(J67="concepts",5,IF(J67="ad slides",5,IF(J67="scenes",5,IF(J67="famous scenes",5,IF(J67="poems",6,IF(J67="walk",6,IF(J67="faces and events",6,IF(J67="events and names",6,IF(J67="flashbulb",7,IF(J67="stories",7,IF(J67="course material",7,IF(J67="autobiographical",7,IF(J67="novels",7,IF(J67="public events",7,"99"))))))))))))))))))))))))))))))))))))))))))))))</f>
        <v>5</v>
      </c>
      <c r="M67" s="92">
        <v>0</v>
      </c>
      <c r="N67" s="92">
        <v>3</v>
      </c>
      <c r="O67" s="92">
        <v>0</v>
      </c>
      <c r="P67" s="92"/>
      <c r="Q67" s="92" t="s">
        <v>174</v>
      </c>
      <c r="R67" s="69">
        <f>IF(Q67="Free Recall",1,IF(Q67="Cued Recall",2,IF(Q67="Recognition",3,IF(Q67="Multiple Choice",4,IF(Q67="Savings",5,IF(Q67="Stem Completion",6,IF(Q67="Fragment Completion",7,IF(Q67="anagram solution",8,IF(Q67="Matching",9,IF(Q67="Problem Solving",10,"99"))))))))))</f>
        <v>1</v>
      </c>
      <c r="S67" s="69" t="s">
        <v>49</v>
      </c>
      <c r="T67" s="92" t="s">
        <v>581</v>
      </c>
      <c r="U67" s="69">
        <f>IF(T67="within",1,0)</f>
        <v>1</v>
      </c>
      <c r="V67" s="92">
        <f>3*18</f>
        <v>54</v>
      </c>
      <c r="W67" s="69">
        <f>F67*V67</f>
        <v>1350</v>
      </c>
      <c r="X67" s="92">
        <v>3</v>
      </c>
      <c r="Y67" s="87">
        <f>AV66</f>
        <v>30</v>
      </c>
      <c r="Z67" s="92" t="s">
        <v>150</v>
      </c>
      <c r="AA67" s="92">
        <f>60*60*24*7</f>
        <v>604800</v>
      </c>
      <c r="AB67" s="69" t="str">
        <f>IF(AA67&lt;60,"1",IF(AA67&lt;=43200,"2",IF(AA67&lt;=777600,"3","4")))</f>
        <v>3</v>
      </c>
      <c r="AC67" s="72">
        <f>AVERAGE(AV66:DA66)</f>
        <v>237610</v>
      </c>
      <c r="AD67" s="69" t="str">
        <f>IF(AC67&lt;60,"1",IF(AC67&lt;=43200,"2",IF(AC67&lt;=777600,"3","4")))</f>
        <v>3</v>
      </c>
      <c r="AE67" s="87">
        <f>AA67-Y67</f>
        <v>604770</v>
      </c>
      <c r="AF67" s="88">
        <f>AV67</f>
        <v>0.84667267998767226</v>
      </c>
      <c r="AG67" s="72">
        <f>((AW67-AV67)+(AX67-AW67))/2</f>
        <v>-0.18195311777078033</v>
      </c>
      <c r="AH67" s="4"/>
      <c r="AI67" s="72">
        <f>RSQ(AV67:AX67,AV66:AX66)</f>
        <v>0.99937614404368114</v>
      </c>
      <c r="AJ67" s="110">
        <f>SLOPE(AV67:AX67,AV66:AX66)</f>
        <v>-6.0735957090184951E-7</v>
      </c>
      <c r="AK67" s="72">
        <f>INTERCEPT(AV67:AX67,AV66:AX66)</f>
        <v>0.85104345823560912</v>
      </c>
      <c r="AL67" s="72">
        <f>INDEX(LINEST(LN(AV67:AX67),LN(AV66:AX66),TRUE,TRUE),3,1)</f>
        <v>0.51328544991195779</v>
      </c>
      <c r="AM67" s="72">
        <f>INDEX(LINEST(LN(AV67:AX67),LN(AV66:AX66)),1)</f>
        <v>-4.1470120856888885E-2</v>
      </c>
      <c r="AN67" s="72">
        <f>EXP(INDEX(LINEST(LN(AV67:AX67),LN(AV66:AX66)),1,2))</f>
        <v>1.0148826413791181</v>
      </c>
      <c r="AO67" s="89">
        <f>INDEX(LINEST((AV67:AX67),LN(AV66:AX66),TRUE,TRUE),3,1)</f>
        <v>0.5447107011445167</v>
      </c>
      <c r="AP67" s="89">
        <f>INDEX(LINEST((AV67:AX67),LN(AV66:AX66)),1)</f>
        <v>-2.7311243029722841E-2</v>
      </c>
      <c r="AQ67" s="90">
        <f>INDEX(LINEST(LN(AV67:AX67),SQRT(AV66:AX66),TRUE,TRUE),3,1)</f>
        <v>0.90221172820000073</v>
      </c>
      <c r="AR67" s="117">
        <f>INDEX(LINEST(LN(AV67:AX67),SQRT((AV66:AX66))),1)</f>
        <v>-7.5076212778992218E-4</v>
      </c>
      <c r="AS67" s="91">
        <f>INDEX(LINEST(1/(AV67:AX67),1/(SQRT(AV66:AX66)),TRUE,TRUE),3,1)</f>
        <v>0.33484480118207172</v>
      </c>
      <c r="AT67" s="91">
        <f>INDEX(LINEST(1/(AV67:AX67),1/SQRT(AV66:AX66)),1)</f>
        <v>-2.7314192240676989</v>
      </c>
      <c r="AU67" s="3"/>
      <c r="AV67" s="97">
        <v>0.84667267998767226</v>
      </c>
      <c r="AW67" s="97">
        <v>0.79074712734707786</v>
      </c>
      <c r="AX67" s="97">
        <v>0.48276644444611161</v>
      </c>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5"/>
      <c r="CS67" s="15"/>
      <c r="CT67" s="15"/>
      <c r="CU67" s="15"/>
    </row>
    <row r="68" spans="1:99" ht="12" customHeight="1" x14ac:dyDescent="0.2">
      <c r="A68" s="68">
        <v>43978</v>
      </c>
      <c r="B68" s="94"/>
      <c r="C68" s="94"/>
      <c r="D68" s="92"/>
      <c r="E68" s="105"/>
      <c r="F68" s="92"/>
      <c r="G68" s="92"/>
      <c r="H68" s="92"/>
      <c r="I68" s="92"/>
      <c r="J68" s="92"/>
      <c r="K68" s="69"/>
      <c r="L68" s="69"/>
      <c r="M68" s="92"/>
      <c r="N68" s="92"/>
      <c r="O68" s="92"/>
      <c r="P68" s="92"/>
      <c r="Q68" s="92"/>
      <c r="R68" s="69"/>
      <c r="S68" s="69"/>
      <c r="T68" s="92"/>
      <c r="U68" s="69"/>
      <c r="V68" s="92"/>
      <c r="W68" s="69"/>
      <c r="X68" s="92"/>
      <c r="Y68" s="87"/>
      <c r="Z68" s="92"/>
      <c r="AA68" s="92"/>
      <c r="AB68" s="69"/>
      <c r="AC68" s="72"/>
      <c r="AD68" s="69"/>
      <c r="AE68" s="87"/>
      <c r="AF68" s="88"/>
      <c r="AG68" s="72"/>
      <c r="AH68" s="4"/>
      <c r="AI68" s="72"/>
      <c r="AJ68" s="110"/>
      <c r="AK68" s="72"/>
      <c r="AL68" s="72"/>
      <c r="AM68" s="72"/>
      <c r="AN68" s="72"/>
      <c r="AO68" s="89"/>
      <c r="AP68" s="89"/>
      <c r="AQ68" s="90"/>
      <c r="AR68" s="117"/>
      <c r="AS68" s="91"/>
      <c r="AT68" s="91"/>
      <c r="AU68" s="3"/>
      <c r="AV68" s="98">
        <v>30</v>
      </c>
      <c r="AW68" s="98">
        <f>60*60*30</f>
        <v>108000</v>
      </c>
      <c r="AX68" s="98">
        <f>60*60*24*7</f>
        <v>604800</v>
      </c>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5"/>
      <c r="CS68" s="15"/>
      <c r="CT68" s="15"/>
      <c r="CU68" s="15"/>
    </row>
    <row r="69" spans="1:99" ht="12" customHeight="1" x14ac:dyDescent="0.2">
      <c r="A69" s="68">
        <v>43978</v>
      </c>
      <c r="B69" s="94" t="s">
        <v>948</v>
      </c>
      <c r="C69" s="94" t="s">
        <v>54</v>
      </c>
      <c r="D69" s="92">
        <v>2014</v>
      </c>
      <c r="E69" s="105">
        <v>1</v>
      </c>
      <c r="F69" s="92">
        <v>25</v>
      </c>
      <c r="G69" s="92">
        <v>25</v>
      </c>
      <c r="H69" s="92" t="s">
        <v>41</v>
      </c>
      <c r="I69" s="92" t="s">
        <v>951</v>
      </c>
      <c r="J69" s="92" t="s">
        <v>686</v>
      </c>
      <c r="K69" s="69">
        <f>IF(J69="syllables",1,IF(J69="trigrams",2,IF(J69="strings",3,IF(J69="visual array",4,IF(J69="characters",5,IF(J69="letters",6,IF(J69="free forms",7,IF(J69="odors",8,IF(J69="words",9,IF(J69="pictures",10,IF(J69="object pictures",11,IF(J69="faces",12,IF(J69="names",13,IF(J69="idioms",14,IF(J69="grades",15,IF(J69="syllable-digit pairs",16,IF(J69="trigram-word pairs",17,IF(J69="word-digit pairs",18,IF(J69="English-Swahili pairs",19,IF(J69="spatial position",20,IF(J69="word pairs",21,IF(J69="word triads",22,IF(J69="generated words",23,IF(J69="word definition pairs",24,IF(J69="math problems",25,IF(J69="famous faces",26,IF(J69="famous names",27,IF(J69="famous voices",28,IF(J69="television programs",29,IF(J69="race horses",30,IF(J69="new vocabulary",31,IF(J69="sentences",32,IF(J69="concepts",33,IF(J69="ad slides",34,IF(J69="scenes",35,IF(J69="famous scenes",36,IF(J69="poems",37,IF(J69="walk",38,IF(J69="faces and events",39,IF(J69="events and names",40,IF(J69="flashbulb",41,IF(J69="stories",42,IF(J69="course material",43,IF(J69="autobiographical",44,IF(J69="novels",45,IF(J69="public events",46,"99"))))))))))))))))))))))))))))))))))))))))))))))</f>
        <v>35</v>
      </c>
      <c r="L69" s="69">
        <f>IF(J69="syllables",1,IF(J69="trigrams",1,IF(J69="strings",1,IF(J69="visual array",1,IF(J69="characters",1,IF(J69="letters",1,IF(J69="free forms",1,IF(J69="odors",2,IF(J69="words",2,IF(J69="pictures",2,IF(J69="object pictures",2,IF(J69="faces",2,IF(J69="names",2,IF(J69="idioms","2",IF(J69="grades",2,IF(J69="syllable-digit pairs",3,IF(J69="trigram-word pairs",3,IF(J69="word-digit pairs",3,IF(J69="English-Swahili pairs",3,IF(J69="spatial position",3,IF(J69="word pairs",4,IF(J69="word triads",4,IF(J69="generated words",4,IF(J69="word definition pairs",4,IF(J69="math problems",4,IF(J69="famous faces",4,IF(J69="famous names",4,IF(J69="famous voices",4,IF(J69="television programs",4,IF(J69="race horses",4,IF(J69="new vocabulary",4,IF(J69="sentences",5,IF(J69="concepts",5,IF(J69="ad slides",5,IF(J69="scenes",5,IF(J69="famous scenes",5,IF(J69="poems",6,IF(J69="walk",6,IF(J69="faces and events",6,IF(J69="events and names",6,IF(J69="flashbulb",7,IF(J69="stories",7,IF(J69="course material",7,IF(J69="autobiographical",7,IF(J69="novels",7,IF(J69="public events",7,"99"))))))))))))))))))))))))))))))))))))))))))))))</f>
        <v>5</v>
      </c>
      <c r="M69" s="92">
        <v>0</v>
      </c>
      <c r="N69" s="92">
        <v>3</v>
      </c>
      <c r="O69" s="92">
        <v>0</v>
      </c>
      <c r="P69" s="92"/>
      <c r="Q69" s="92" t="s">
        <v>174</v>
      </c>
      <c r="R69" s="69">
        <f>IF(Q69="Free Recall",1,IF(Q69="Cued Recall",2,IF(Q69="Recognition",3,IF(Q69="Multiple Choice",4,IF(Q69="Savings",5,IF(Q69="Stem Completion",6,IF(Q69="Fragment Completion",7,IF(Q69="anagram solution",8,IF(Q69="Matching",9,IF(Q69="Problem Solving",10,"99"))))))))))</f>
        <v>1</v>
      </c>
      <c r="S69" s="69" t="s">
        <v>49</v>
      </c>
      <c r="T69" s="92" t="s">
        <v>581</v>
      </c>
      <c r="U69" s="69">
        <f>IF(T69="within",1,0)</f>
        <v>1</v>
      </c>
      <c r="V69" s="92">
        <f>3*18</f>
        <v>54</v>
      </c>
      <c r="W69" s="69">
        <f>F69*V69</f>
        <v>1350</v>
      </c>
      <c r="X69" s="92">
        <v>3</v>
      </c>
      <c r="Y69" s="87">
        <f>AV68</f>
        <v>30</v>
      </c>
      <c r="Z69" s="92" t="s">
        <v>150</v>
      </c>
      <c r="AA69" s="92">
        <f>60*60*24*7</f>
        <v>604800</v>
      </c>
      <c r="AB69" s="69" t="str">
        <f>IF(AA69&lt;60,"1",IF(AA69&lt;=43200,"2",IF(AA69&lt;=777600,"3","4")))</f>
        <v>3</v>
      </c>
      <c r="AC69" s="72">
        <f>AVERAGE(AV68:DA68)</f>
        <v>237610</v>
      </c>
      <c r="AD69" s="69" t="str">
        <f>IF(AC69&lt;60,"1",IF(AC69&lt;=43200,"2",IF(AC69&lt;=777600,"3","4")))</f>
        <v>3</v>
      </c>
      <c r="AE69" s="87">
        <f>AA69-Y69</f>
        <v>604770</v>
      </c>
      <c r="AF69" s="88">
        <f>AV69</f>
        <v>0.84575734360155008</v>
      </c>
      <c r="AG69" s="72">
        <f>((AW69-AV69)+(AX69-AW69))/2</f>
        <v>-0.10083643238890283</v>
      </c>
      <c r="AH69" s="4"/>
      <c r="AI69" s="72">
        <f>RSQ(AV69:AX69,AV68:AX68)</f>
        <v>0.99989170790991388</v>
      </c>
      <c r="AJ69" s="110">
        <f>SLOPE(AV69:AX69,AV68:AX68)</f>
        <v>-3.3476356172586225E-7</v>
      </c>
      <c r="AK69" s="72">
        <f>INTERCEPT(AV69:AX69,AV68:AX68)</f>
        <v>0.8467666523092432</v>
      </c>
      <c r="AL69" s="72">
        <f>INDEX(LINEST(LN(AV69:AX69),LN(AV68:AX68),TRUE,TRUE),3,1)</f>
        <v>0.54136575953321953</v>
      </c>
      <c r="AM69" s="72">
        <f>INDEX(LINEST(LN(AV69:AX69),LN(AV68:AX68)),1)</f>
        <v>-2.040852310772337E-2</v>
      </c>
      <c r="AN69" s="72">
        <f>EXP(INDEX(LINEST(LN(AV69:AX69),LN(AV68:AX68)),1,2))</f>
        <v>0.92364676275530222</v>
      </c>
      <c r="AO69" s="89">
        <f>INDEX(LINEST((AV69:AX69),LN(AV68:AX68),TRUE,TRUE),3,1)</f>
        <v>0.55920444460531149</v>
      </c>
      <c r="AP69" s="89">
        <f>INDEX(LINEST((AV69:AX69),LN(AV68:AX68)),1)</f>
        <v>-1.524839475239047E-2</v>
      </c>
      <c r="AQ69" s="90">
        <f>INDEX(LINEST(LN(AV69:AX69),SQRT(AV68:AX68),TRUE,TRUE),3,1)</f>
        <v>0.91827520046714584</v>
      </c>
      <c r="AR69" s="117">
        <f>INDEX(LINEST(LN(AV69:AX69),SQRT((AV68:AX68))),1)</f>
        <v>-3.6294842104780462E-4</v>
      </c>
      <c r="AS69" s="91">
        <f>INDEX(LINEST(1/(AV69:AX69),1/(SQRT(AV68:AX68)),TRUE,TRUE),3,1)</f>
        <v>0.37132974985528178</v>
      </c>
      <c r="AT69" s="91">
        <f>INDEX(LINEST(1/(AV69:AX69),1/SQRT(AV68:AX68)),1)</f>
        <v>-1.1759070795543805</v>
      </c>
      <c r="AU69" s="3"/>
      <c r="AV69" s="97">
        <v>0.84575734360155008</v>
      </c>
      <c r="AW69" s="97">
        <v>0.81182862479738882</v>
      </c>
      <c r="AX69" s="97">
        <v>0.64408447882374442</v>
      </c>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5"/>
      <c r="CS69" s="15"/>
      <c r="CT69" s="15"/>
      <c r="CU69" s="15"/>
    </row>
    <row r="70" spans="1:99" ht="12" customHeight="1" x14ac:dyDescent="0.2">
      <c r="A70" s="68">
        <v>43978</v>
      </c>
      <c r="B70" s="94"/>
      <c r="C70" s="94"/>
      <c r="D70" s="92"/>
      <c r="E70" s="105"/>
      <c r="F70" s="92"/>
      <c r="G70" s="92"/>
      <c r="H70" s="92"/>
      <c r="I70" s="92"/>
      <c r="J70" s="92"/>
      <c r="K70" s="69"/>
      <c r="L70" s="69"/>
      <c r="M70" s="92"/>
      <c r="N70" s="92"/>
      <c r="O70" s="92"/>
      <c r="P70" s="92"/>
      <c r="Q70" s="92"/>
      <c r="R70" s="69"/>
      <c r="S70" s="69"/>
      <c r="T70" s="92"/>
      <c r="U70" s="69"/>
      <c r="V70" s="92"/>
      <c r="W70" s="69"/>
      <c r="X70" s="92"/>
      <c r="Y70" s="87"/>
      <c r="Z70" s="92"/>
      <c r="AA70" s="92"/>
      <c r="AB70" s="69"/>
      <c r="AC70" s="72"/>
      <c r="AD70" s="69"/>
      <c r="AE70" s="87"/>
      <c r="AF70" s="88"/>
      <c r="AG70" s="72"/>
      <c r="AH70" s="4"/>
      <c r="AI70" s="72"/>
      <c r="AJ70" s="110"/>
      <c r="AK70" s="72"/>
      <c r="AL70" s="72"/>
      <c r="AM70" s="72"/>
      <c r="AN70" s="72"/>
      <c r="AO70" s="89"/>
      <c r="AP70" s="89"/>
      <c r="AQ70" s="90"/>
      <c r="AR70" s="117"/>
      <c r="AS70" s="91"/>
      <c r="AT70" s="91"/>
      <c r="AU70" s="3"/>
      <c r="AV70" s="98">
        <v>30</v>
      </c>
      <c r="AW70" s="98">
        <f>60*60*30</f>
        <v>108000</v>
      </c>
      <c r="AX70" s="98">
        <f>60*60*24*7</f>
        <v>604800</v>
      </c>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5"/>
      <c r="CS70" s="15"/>
      <c r="CT70" s="15"/>
      <c r="CU70" s="15"/>
    </row>
    <row r="71" spans="1:99" ht="12" customHeight="1" x14ac:dyDescent="0.2">
      <c r="A71" s="68">
        <v>43978</v>
      </c>
      <c r="B71" s="94" t="s">
        <v>948</v>
      </c>
      <c r="C71" s="94" t="s">
        <v>54</v>
      </c>
      <c r="D71" s="92">
        <v>2014</v>
      </c>
      <c r="E71" s="105">
        <v>1</v>
      </c>
      <c r="F71" s="92">
        <v>25</v>
      </c>
      <c r="G71" s="92">
        <v>25</v>
      </c>
      <c r="H71" s="92" t="s">
        <v>41</v>
      </c>
      <c r="I71" s="92" t="s">
        <v>952</v>
      </c>
      <c r="J71" s="92" t="s">
        <v>686</v>
      </c>
      <c r="K71" s="69">
        <f>IF(J71="syllables",1,IF(J71="trigrams",2,IF(J71="strings",3,IF(J71="visual array",4,IF(J71="characters",5,IF(J71="letters",6,IF(J71="free forms",7,IF(J71="odors",8,IF(J71="words",9,IF(J71="pictures",10,IF(J71="object pictures",11,IF(J71="faces",12,IF(J71="names",13,IF(J71="idioms",14,IF(J71="grades",15,IF(J71="syllable-digit pairs",16,IF(J71="trigram-word pairs",17,IF(J71="word-digit pairs",18,IF(J71="English-Swahili pairs",19,IF(J71="spatial position",20,IF(J71="word pairs",21,IF(J71="word triads",22,IF(J71="generated words",23,IF(J71="word definition pairs",24,IF(J71="math problems",25,IF(J71="famous faces",26,IF(J71="famous names",27,IF(J71="famous voices",28,IF(J71="television programs",29,IF(J71="race horses",30,IF(J71="new vocabulary",31,IF(J71="sentences",32,IF(J71="concepts",33,IF(J71="ad slides",34,IF(J71="scenes",35,IF(J71="famous scenes",36,IF(J71="poems",37,IF(J71="walk",38,IF(J71="faces and events",39,IF(J71="events and names",40,IF(J71="flashbulb",41,IF(J71="stories",42,IF(J71="course material",43,IF(J71="autobiographical",44,IF(J71="novels",45,IF(J71="public events",46,"99"))))))))))))))))))))))))))))))))))))))))))))))</f>
        <v>35</v>
      </c>
      <c r="L71" s="69">
        <f>IF(J71="syllables",1,IF(J71="trigrams",1,IF(J71="strings",1,IF(J71="visual array",1,IF(J71="characters",1,IF(J71="letters",1,IF(J71="free forms",1,IF(J71="odors",2,IF(J71="words",2,IF(J71="pictures",2,IF(J71="object pictures",2,IF(J71="faces",2,IF(J71="names",2,IF(J71="idioms","2",IF(J71="grades",2,IF(J71="syllable-digit pairs",3,IF(J71="trigram-word pairs",3,IF(J71="word-digit pairs",3,IF(J71="English-Swahili pairs",3,IF(J71="spatial position",3,IF(J71="word pairs",4,IF(J71="word triads",4,IF(J71="generated words",4,IF(J71="word definition pairs",4,IF(J71="math problems",4,IF(J71="famous faces",4,IF(J71="famous names",4,IF(J71="famous voices",4,IF(J71="television programs",4,IF(J71="race horses",4,IF(J71="new vocabulary",4,IF(J71="sentences",5,IF(J71="concepts",5,IF(J71="ad slides",5,IF(J71="scenes",5,IF(J71="famous scenes",5,IF(J71="poems",6,IF(J71="walk",6,IF(J71="faces and events",6,IF(J71="events and names",6,IF(J71="flashbulb",7,IF(J71="stories",7,IF(J71="course material",7,IF(J71="autobiographical",7,IF(J71="novels",7,IF(J71="public events",7,"99"))))))))))))))))))))))))))))))))))))))))))))))</f>
        <v>5</v>
      </c>
      <c r="M71" s="92">
        <v>0</v>
      </c>
      <c r="N71" s="92">
        <v>3</v>
      </c>
      <c r="O71" s="92">
        <v>0</v>
      </c>
      <c r="P71" s="92"/>
      <c r="Q71" s="92" t="s">
        <v>65</v>
      </c>
      <c r="R71" s="69">
        <f>IF(Q71="Free Recall",1,IF(Q71="Cued Recall",2,IF(Q71="Recognition",3,IF(Q71="Multiple Choice",4,IF(Q71="Savings",5,IF(Q71="Stem Completion",6,IF(Q71="Fragment Completion",7,IF(Q71="anagram solution",8,IF(Q71="Matching",9,IF(Q71="Problem Solving",10,"99"))))))))))</f>
        <v>2</v>
      </c>
      <c r="S71" s="69" t="s">
        <v>49</v>
      </c>
      <c r="T71" s="92" t="s">
        <v>581</v>
      </c>
      <c r="U71" s="69">
        <f>IF(T71="within",1,0)</f>
        <v>1</v>
      </c>
      <c r="V71" s="92">
        <f>3*18</f>
        <v>54</v>
      </c>
      <c r="W71" s="69">
        <f>F71*V71</f>
        <v>1350</v>
      </c>
      <c r="X71" s="92">
        <v>3</v>
      </c>
      <c r="Y71" s="87">
        <f>AV70</f>
        <v>30</v>
      </c>
      <c r="Z71" s="92" t="s">
        <v>150</v>
      </c>
      <c r="AA71" s="92">
        <f>60*60*24*7</f>
        <v>604800</v>
      </c>
      <c r="AB71" s="69" t="str">
        <f>IF(AA71&lt;60,"1",IF(AA71&lt;=43200,"2",IF(AA71&lt;=777600,"3","4")))</f>
        <v>3</v>
      </c>
      <c r="AC71" s="72">
        <f>AVERAGE(AV70:DA70)</f>
        <v>237610</v>
      </c>
      <c r="AD71" s="69" t="str">
        <f>IF(AC71&lt;60,"1",IF(AC71&lt;=43200,"2",IF(AC71&lt;=777600,"3","4")))</f>
        <v>3</v>
      </c>
      <c r="AE71" s="87">
        <f>AA71-Y71</f>
        <v>604770</v>
      </c>
      <c r="AF71" s="88">
        <f>AV71</f>
        <v>0.34388252756573334</v>
      </c>
      <c r="AG71" s="72">
        <f>((AW71-AV71)+(AX71-AW71))/2</f>
        <v>-4.2673876166242491E-2</v>
      </c>
      <c r="AH71" s="4"/>
      <c r="AI71" s="72">
        <f>RSQ(AV71:AX71,AV70:AX70)</f>
        <v>0.97904279145760598</v>
      </c>
      <c r="AJ71" s="110">
        <f>SLOPE(AV71:AX71,AV70:AX70)</f>
        <v>-1.4922884013217025E-7</v>
      </c>
      <c r="AK71" s="72">
        <f>INTERCEPT(AV71:AX71,AV70:AX70)</f>
        <v>0.35014938712393479</v>
      </c>
      <c r="AL71" s="72">
        <f>INDEX(LINEST(LN(AV71:AX71),LN(AV70:AX70),TRUE,TRUE),3,1)</f>
        <v>0.4218525214049218</v>
      </c>
      <c r="AM71" s="72">
        <f>INDEX(LINEST(LN(AV71:AX71),LN(AV70:AX70)),1)</f>
        <v>-1.9974461330275948E-2</v>
      </c>
      <c r="AN71" s="72">
        <f>EXP(INDEX(LINEST(LN(AV71:AX71),LN(AV70:AX70)),1,2))</f>
        <v>0.37671751053532443</v>
      </c>
      <c r="AO71" s="89">
        <f>INDEX(LINEST((AV71:AX71),LN(AV70:AX70),TRUE,TRUE),3,1)</f>
        <v>0.42476056873415224</v>
      </c>
      <c r="AP71" s="89">
        <f>INDEX(LINEST((AV71:AX71),LN(AV70:AX70)),1)</f>
        <v>-5.9868881699987912E-3</v>
      </c>
      <c r="AQ71" s="90">
        <f>INDEX(LINEST(LN(AV71:AX71),SQRT(AV70:AX70),TRUE,TRUE),3,1)</f>
        <v>0.8412551858164693</v>
      </c>
      <c r="AR71" s="117">
        <f>INDEX(LINEST(LN(AV71:AX71),SQRT((AV70:AX70))),1)</f>
        <v>-3.851686458836613E-4</v>
      </c>
      <c r="AS71" s="91">
        <f>INDEX(LINEST(1/(AV71:AX71),1/(SQRT(AV70:AX70)),TRUE,TRUE),3,1)</f>
        <v>0.27257584853507955</v>
      </c>
      <c r="AT71" s="91">
        <f>INDEX(LINEST(1/(AV71:AX71),1/SQRT(AV70:AX70)),1)</f>
        <v>-2.7509835883787872</v>
      </c>
      <c r="AU71" s="3"/>
      <c r="AV71" s="97">
        <v>0.34388252756573334</v>
      </c>
      <c r="AW71" s="97">
        <v>0.34165606446140778</v>
      </c>
      <c r="AX71" s="97">
        <v>0.25853477523324836</v>
      </c>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5"/>
      <c r="CS71" s="15"/>
      <c r="CT71" s="15"/>
      <c r="CU71" s="15"/>
    </row>
    <row r="72" spans="1:99" ht="12" customHeight="1" x14ac:dyDescent="0.2">
      <c r="A72" s="68">
        <v>43978</v>
      </c>
      <c r="B72" s="94"/>
      <c r="C72" s="94"/>
      <c r="D72" s="92"/>
      <c r="E72" s="105"/>
      <c r="F72" s="92"/>
      <c r="G72" s="92"/>
      <c r="H72" s="92"/>
      <c r="I72" s="92"/>
      <c r="J72" s="92"/>
      <c r="K72" s="69"/>
      <c r="L72" s="69"/>
      <c r="M72" s="92"/>
      <c r="N72" s="92"/>
      <c r="O72" s="92"/>
      <c r="P72" s="92"/>
      <c r="Q72" s="92"/>
      <c r="R72" s="69"/>
      <c r="S72" s="69"/>
      <c r="T72" s="92"/>
      <c r="U72" s="69"/>
      <c r="V72" s="92"/>
      <c r="W72" s="69"/>
      <c r="X72" s="92"/>
      <c r="Y72" s="87"/>
      <c r="Z72" s="92"/>
      <c r="AA72" s="92"/>
      <c r="AB72" s="69"/>
      <c r="AC72" s="72"/>
      <c r="AD72" s="69"/>
      <c r="AE72" s="87"/>
      <c r="AF72" s="88"/>
      <c r="AG72" s="72"/>
      <c r="AH72" s="4"/>
      <c r="AI72" s="72"/>
      <c r="AJ72" s="110"/>
      <c r="AK72" s="72"/>
      <c r="AL72" s="72"/>
      <c r="AM72" s="72"/>
      <c r="AN72" s="72"/>
      <c r="AO72" s="89"/>
      <c r="AP72" s="89"/>
      <c r="AQ72" s="90"/>
      <c r="AR72" s="117"/>
      <c r="AS72" s="91"/>
      <c r="AT72" s="91"/>
      <c r="AU72" s="3"/>
      <c r="AV72" s="98">
        <v>30</v>
      </c>
      <c r="AW72" s="98">
        <f>60*60*30</f>
        <v>108000</v>
      </c>
      <c r="AX72" s="98">
        <f>60*60*24*7</f>
        <v>604800</v>
      </c>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5"/>
      <c r="CS72" s="15"/>
      <c r="CT72" s="15"/>
      <c r="CU72" s="15"/>
    </row>
    <row r="73" spans="1:99" ht="12" customHeight="1" x14ac:dyDescent="0.2">
      <c r="A73" s="68">
        <v>43978</v>
      </c>
      <c r="B73" s="94" t="s">
        <v>948</v>
      </c>
      <c r="C73" s="94" t="s">
        <v>54</v>
      </c>
      <c r="D73" s="92">
        <v>2014</v>
      </c>
      <c r="E73" s="105">
        <v>1</v>
      </c>
      <c r="F73" s="92">
        <v>25</v>
      </c>
      <c r="G73" s="92">
        <v>25</v>
      </c>
      <c r="H73" s="92" t="s">
        <v>41</v>
      </c>
      <c r="I73" s="92" t="s">
        <v>953</v>
      </c>
      <c r="J73" s="92" t="s">
        <v>686</v>
      </c>
      <c r="K73" s="69">
        <f>IF(J73="syllables",1,IF(J73="trigrams",2,IF(J73="strings",3,IF(J73="visual array",4,IF(J73="characters",5,IF(J73="letters",6,IF(J73="free forms",7,IF(J73="odors",8,IF(J73="words",9,IF(J73="pictures",10,IF(J73="object pictures",11,IF(J73="faces",12,IF(J73="names",13,IF(J73="idioms",14,IF(J73="grades",15,IF(J73="syllable-digit pairs",16,IF(J73="trigram-word pairs",17,IF(J73="word-digit pairs",18,IF(J73="English-Swahili pairs",19,IF(J73="spatial position",20,IF(J73="word pairs",21,IF(J73="word triads",22,IF(J73="generated words",23,IF(J73="word definition pairs",24,IF(J73="math problems",25,IF(J73="famous faces",26,IF(J73="famous names",27,IF(J73="famous voices",28,IF(J73="television programs",29,IF(J73="race horses",30,IF(J73="new vocabulary",31,IF(J73="sentences",32,IF(J73="concepts",33,IF(J73="ad slides",34,IF(J73="scenes",35,IF(J73="famous scenes",36,IF(J73="poems",37,IF(J73="walk",38,IF(J73="faces and events",39,IF(J73="events and names",40,IF(J73="flashbulb",41,IF(J73="stories",42,IF(J73="course material",43,IF(J73="autobiographical",44,IF(J73="novels",45,IF(J73="public events",46,"99"))))))))))))))))))))))))))))))))))))))))))))))</f>
        <v>35</v>
      </c>
      <c r="L73" s="69">
        <f>IF(J73="syllables",1,IF(J73="trigrams",1,IF(J73="strings",1,IF(J73="visual array",1,IF(J73="characters",1,IF(J73="letters",1,IF(J73="free forms",1,IF(J73="odors",2,IF(J73="words",2,IF(J73="pictures",2,IF(J73="object pictures",2,IF(J73="faces",2,IF(J73="names",2,IF(J73="idioms","2",IF(J73="grades",2,IF(J73="syllable-digit pairs",3,IF(J73="trigram-word pairs",3,IF(J73="word-digit pairs",3,IF(J73="English-Swahili pairs",3,IF(J73="spatial position",3,IF(J73="word pairs",4,IF(J73="word triads",4,IF(J73="generated words",4,IF(J73="word definition pairs",4,IF(J73="math problems",4,IF(J73="famous faces",4,IF(J73="famous names",4,IF(J73="famous voices",4,IF(J73="television programs",4,IF(J73="race horses",4,IF(J73="new vocabulary",4,IF(J73="sentences",5,IF(J73="concepts",5,IF(J73="ad slides",5,IF(J73="scenes",5,IF(J73="famous scenes",5,IF(J73="poems",6,IF(J73="walk",6,IF(J73="faces and events",6,IF(J73="events and names",6,IF(J73="flashbulb",7,IF(J73="stories",7,IF(J73="course material",7,IF(J73="autobiographical",7,IF(J73="novels",7,IF(J73="public events",7,"99"))))))))))))))))))))))))))))))))))))))))))))))</f>
        <v>5</v>
      </c>
      <c r="M73" s="92">
        <v>0</v>
      </c>
      <c r="N73" s="92">
        <v>3</v>
      </c>
      <c r="O73" s="92">
        <v>0</v>
      </c>
      <c r="P73" s="92"/>
      <c r="Q73" s="92" t="s">
        <v>65</v>
      </c>
      <c r="R73" s="69">
        <f>IF(Q73="Free Recall",1,IF(Q73="Cued Recall",2,IF(Q73="Recognition",3,IF(Q73="Multiple Choice",4,IF(Q73="Savings",5,IF(Q73="Stem Completion",6,IF(Q73="Fragment Completion",7,IF(Q73="anagram solution",8,IF(Q73="Matching",9,IF(Q73="Problem Solving",10,"99"))))))))))</f>
        <v>2</v>
      </c>
      <c r="S73" s="69" t="s">
        <v>49</v>
      </c>
      <c r="T73" s="92" t="s">
        <v>581</v>
      </c>
      <c r="U73" s="69">
        <f>IF(T73="within",1,0)</f>
        <v>1</v>
      </c>
      <c r="V73" s="92">
        <f>3*18</f>
        <v>54</v>
      </c>
      <c r="W73" s="69">
        <f>F73*V73</f>
        <v>1350</v>
      </c>
      <c r="X73" s="92">
        <v>3</v>
      </c>
      <c r="Y73" s="87">
        <f>AV72</f>
        <v>30</v>
      </c>
      <c r="Z73" s="92" t="s">
        <v>150</v>
      </c>
      <c r="AA73" s="92">
        <f>60*60*24*7</f>
        <v>604800</v>
      </c>
      <c r="AB73" s="69" t="str">
        <f>IF(AA73&lt;60,"1",IF(AA73&lt;=43200,"2",IF(AA73&lt;=777600,"3","4")))</f>
        <v>3</v>
      </c>
      <c r="AC73" s="72">
        <f>AVERAGE(AV72:DA72)</f>
        <v>237610</v>
      </c>
      <c r="AD73" s="69" t="str">
        <f>IF(AC73&lt;60,"1",IF(AC73&lt;=43200,"2",IF(AC73&lt;=777600,"3","4")))</f>
        <v>3</v>
      </c>
      <c r="AE73" s="87">
        <f>AA73-Y73</f>
        <v>604770</v>
      </c>
      <c r="AF73" s="88">
        <f>AV73</f>
        <v>0.36095207803223056</v>
      </c>
      <c r="AG73" s="72">
        <f>((AW73-AV73)+(AX73-AW73))/2</f>
        <v>-6.6422815945716668E-2</v>
      </c>
      <c r="AH73" s="4"/>
      <c r="AI73" s="72">
        <f>RSQ(AV73:AX73,AV72:AX72)</f>
        <v>0.97198674339763447</v>
      </c>
      <c r="AJ73" s="110">
        <f>SLOPE(AV73:AX73,AV72:AX72)</f>
        <v>-2.3443665516808783E-7</v>
      </c>
      <c r="AK73" s="72">
        <f>INTERCEPT(AV73:AX73,AV72:AX72)</f>
        <v>0.37237469436957549</v>
      </c>
      <c r="AL73" s="72">
        <f>INDEX(LINEST(LN(AV73:AX73),LN(AV72:AX72),TRUE,TRUE),3,1)</f>
        <v>0.40222133627573375</v>
      </c>
      <c r="AM73" s="72">
        <f>INDEX(LINEST(LN(AV73:AX73),LN(AV72:AX72)),1)</f>
        <v>-3.1732687254297863E-2</v>
      </c>
      <c r="AN73" s="72">
        <f>EXP(INDEX(LINEST(LN(AV73:AX73),LN(AV72:AX72)),1,2))</f>
        <v>0.41786237929047404</v>
      </c>
      <c r="AO73" s="89">
        <f>INDEX(LINEST((AV73:AX73),LN(AV72:AX72),TRUE,TRUE),3,1)</f>
        <v>0.40222133627573381</v>
      </c>
      <c r="AP73" s="89">
        <f>INDEX(LINEST((AV73:AX73),LN(AV72:AX72)),1)</f>
        <v>-9.1855469335924717E-3</v>
      </c>
      <c r="AQ73" s="90">
        <f>INDEX(LINEST(LN(AV73:AX73),SQRT(AV72:AX72),TRUE,TRUE),3,1)</f>
        <v>0.8264112738218552</v>
      </c>
      <c r="AR73" s="117">
        <f>INDEX(LINEST(LN(AV73:AX73),SQRT((AV72:AX72))),1)</f>
        <v>-6.2110455445794595E-4</v>
      </c>
      <c r="AS73" s="91">
        <f>INDEX(LINEST(1/(AV73:AX73),1/(SQRT(AV72:AX72)),TRUE,TRUE),3,1)</f>
        <v>0.25733942509074897</v>
      </c>
      <c r="AT73" s="91">
        <f>INDEX(LINEST(1/(AV73:AX73),1/SQRT(AV72:AX72)),1)</f>
        <v>-4.5366759217563457</v>
      </c>
      <c r="AU73" s="3"/>
      <c r="AV73" s="97">
        <v>0.36095207803223056</v>
      </c>
      <c r="AW73" s="97">
        <v>0.36095207803223056</v>
      </c>
      <c r="AX73" s="97">
        <v>0.22810644614079723</v>
      </c>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5"/>
      <c r="CS73" s="15"/>
      <c r="CT73" s="15"/>
      <c r="CU73" s="15"/>
    </row>
    <row r="74" spans="1:99" ht="12" customHeight="1" x14ac:dyDescent="0.2">
      <c r="A74" s="68">
        <v>43978</v>
      </c>
      <c r="B74" s="94"/>
      <c r="C74" s="94"/>
      <c r="D74" s="92"/>
      <c r="E74" s="105"/>
      <c r="F74" s="92"/>
      <c r="G74" s="92"/>
      <c r="H74" s="92"/>
      <c r="I74" s="92"/>
      <c r="J74" s="92"/>
      <c r="K74" s="69"/>
      <c r="L74" s="69"/>
      <c r="M74" s="92"/>
      <c r="N74" s="92"/>
      <c r="O74" s="92"/>
      <c r="P74" s="92"/>
      <c r="Q74" s="92"/>
      <c r="R74" s="69"/>
      <c r="S74" s="69"/>
      <c r="T74" s="92"/>
      <c r="U74" s="69"/>
      <c r="V74" s="92"/>
      <c r="W74" s="69"/>
      <c r="X74" s="92"/>
      <c r="Y74" s="87"/>
      <c r="Z74" s="92"/>
      <c r="AA74" s="92"/>
      <c r="AB74" s="69"/>
      <c r="AC74" s="72"/>
      <c r="AD74" s="69"/>
      <c r="AE74" s="87"/>
      <c r="AF74" s="88"/>
      <c r="AG74" s="72"/>
      <c r="AH74" s="4"/>
      <c r="AI74" s="72"/>
      <c r="AJ74" s="110"/>
      <c r="AK74" s="72"/>
      <c r="AL74" s="72"/>
      <c r="AM74" s="72"/>
      <c r="AN74" s="72"/>
      <c r="AO74" s="89"/>
      <c r="AP74" s="89"/>
      <c r="AQ74" s="90"/>
      <c r="AR74" s="117"/>
      <c r="AS74" s="91"/>
      <c r="AT74" s="91"/>
      <c r="AU74" s="3"/>
      <c r="AV74" s="98">
        <v>30</v>
      </c>
      <c r="AW74" s="98">
        <f>60*60*30</f>
        <v>108000</v>
      </c>
      <c r="AX74" s="98">
        <f>60*60*24*7</f>
        <v>604800</v>
      </c>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5"/>
      <c r="CS74" s="15"/>
      <c r="CT74" s="15"/>
      <c r="CU74" s="15"/>
    </row>
    <row r="75" spans="1:99" ht="12" customHeight="1" x14ac:dyDescent="0.2">
      <c r="A75" s="68">
        <v>43978</v>
      </c>
      <c r="B75" s="94" t="s">
        <v>948</v>
      </c>
      <c r="C75" s="94" t="s">
        <v>54</v>
      </c>
      <c r="D75" s="92">
        <v>2014</v>
      </c>
      <c r="E75" s="105">
        <v>1</v>
      </c>
      <c r="F75" s="92">
        <v>25</v>
      </c>
      <c r="G75" s="92">
        <v>25</v>
      </c>
      <c r="H75" s="92" t="s">
        <v>41</v>
      </c>
      <c r="I75" s="92" t="s">
        <v>954</v>
      </c>
      <c r="J75" s="92" t="s">
        <v>686</v>
      </c>
      <c r="K75" s="69">
        <f>IF(J75="syllables",1,IF(J75="trigrams",2,IF(J75="strings",3,IF(J75="visual array",4,IF(J75="characters",5,IF(J75="letters",6,IF(J75="free forms",7,IF(J75="odors",8,IF(J75="words",9,IF(J75="pictures",10,IF(J75="object pictures",11,IF(J75="faces",12,IF(J75="names",13,IF(J75="idioms",14,IF(J75="grades",15,IF(J75="syllable-digit pairs",16,IF(J75="trigram-word pairs",17,IF(J75="word-digit pairs",18,IF(J75="English-Swahili pairs",19,IF(J75="spatial position",20,IF(J75="word pairs",21,IF(J75="word triads",22,IF(J75="generated words",23,IF(J75="word definition pairs",24,IF(J75="math problems",25,IF(J75="famous faces",26,IF(J75="famous names",27,IF(J75="famous voices",28,IF(J75="television programs",29,IF(J75="race horses",30,IF(J75="new vocabulary",31,IF(J75="sentences",32,IF(J75="concepts",33,IF(J75="ad slides",34,IF(J75="scenes",35,IF(J75="famous scenes",36,IF(J75="poems",37,IF(J75="walk",38,IF(J75="faces and events",39,IF(J75="events and names",40,IF(J75="flashbulb",41,IF(J75="stories",42,IF(J75="course material",43,IF(J75="autobiographical",44,IF(J75="novels",45,IF(J75="public events",46,"99"))))))))))))))))))))))))))))))))))))))))))))))</f>
        <v>35</v>
      </c>
      <c r="L75" s="69">
        <f>IF(J75="syllables",1,IF(J75="trigrams",1,IF(J75="strings",1,IF(J75="visual array",1,IF(J75="characters",1,IF(J75="letters",1,IF(J75="free forms",1,IF(J75="odors",2,IF(J75="words",2,IF(J75="pictures",2,IF(J75="object pictures",2,IF(J75="faces",2,IF(J75="names",2,IF(J75="idioms","2",IF(J75="grades",2,IF(J75="syllable-digit pairs",3,IF(J75="trigram-word pairs",3,IF(J75="word-digit pairs",3,IF(J75="English-Swahili pairs",3,IF(J75="spatial position",3,IF(J75="word pairs",4,IF(J75="word triads",4,IF(J75="generated words",4,IF(J75="word definition pairs",4,IF(J75="math problems",4,IF(J75="famous faces",4,IF(J75="famous names",4,IF(J75="famous voices",4,IF(J75="television programs",4,IF(J75="race horses",4,IF(J75="new vocabulary",4,IF(J75="sentences",5,IF(J75="concepts",5,IF(J75="ad slides",5,IF(J75="scenes",5,IF(J75="famous scenes",5,IF(J75="poems",6,IF(J75="walk",6,IF(J75="faces and events",6,IF(J75="events and names",6,IF(J75="flashbulb",7,IF(J75="stories",7,IF(J75="course material",7,IF(J75="autobiographical",7,IF(J75="novels",7,IF(J75="public events",7,"99"))))))))))))))))))))))))))))))))))))))))))))))</f>
        <v>5</v>
      </c>
      <c r="M75" s="92">
        <v>0</v>
      </c>
      <c r="N75" s="92">
        <v>3</v>
      </c>
      <c r="O75" s="92">
        <v>0</v>
      </c>
      <c r="P75" s="92"/>
      <c r="Q75" s="92" t="s">
        <v>174</v>
      </c>
      <c r="R75" s="69">
        <f>IF(Q75="Free Recall",1,IF(Q75="Cued Recall",2,IF(Q75="Recognition",3,IF(Q75="Multiple Choice",4,IF(Q75="Savings",5,IF(Q75="Stem Completion",6,IF(Q75="Fragment Completion",7,IF(Q75="anagram solution",8,IF(Q75="Matching",9,IF(Q75="Problem Solving",10,"99"))))))))))</f>
        <v>1</v>
      </c>
      <c r="S75" s="69" t="s">
        <v>49</v>
      </c>
      <c r="T75" s="92" t="s">
        <v>581</v>
      </c>
      <c r="U75" s="69">
        <f>IF(T75="within",1,0)</f>
        <v>1</v>
      </c>
      <c r="V75" s="92">
        <f>3*36</f>
        <v>108</v>
      </c>
      <c r="W75" s="69">
        <f>F75*V75</f>
        <v>2700</v>
      </c>
      <c r="X75" s="92">
        <v>3</v>
      </c>
      <c r="Y75" s="87">
        <f>AV74</f>
        <v>30</v>
      </c>
      <c r="Z75" s="92" t="s">
        <v>150</v>
      </c>
      <c r="AA75" s="92">
        <f>60*60*24*7</f>
        <v>604800</v>
      </c>
      <c r="AB75" s="69" t="str">
        <f>IF(AA75&lt;60,"1",IF(AA75&lt;=43200,"2",IF(AA75&lt;=777600,"3","4")))</f>
        <v>3</v>
      </c>
      <c r="AC75" s="72">
        <f>AVERAGE(AV74:DA74)</f>
        <v>237610</v>
      </c>
      <c r="AD75" s="69" t="str">
        <f>IF(AC75&lt;60,"1",IF(AC75&lt;=43200,"2",IF(AC75&lt;=777600,"3","4")))</f>
        <v>3</v>
      </c>
      <c r="AE75" s="87">
        <f>AA75-Y75</f>
        <v>604770</v>
      </c>
      <c r="AF75" s="88">
        <f>AV75</f>
        <v>0.78253111885201998</v>
      </c>
      <c r="AG75" s="72">
        <f>((AW75-AV75)+(AX75-AW75))/2</f>
        <v>-7.8040730921498491E-2</v>
      </c>
      <c r="AH75" s="4"/>
      <c r="AI75" s="72">
        <f>RSQ(AV75:AX75,AV74:AX74)</f>
        <v>0.99997691572559988</v>
      </c>
      <c r="AJ75" s="110">
        <f>SLOPE(AV75:AX75,AV74:AX74)</f>
        <v>-2.5762452972586866E-7</v>
      </c>
      <c r="AK75" s="72">
        <f>INTERCEPT(AV75:AX75,AV74:AX74)</f>
        <v>0.78218381248172264</v>
      </c>
      <c r="AL75" s="72">
        <f>INDEX(LINEST(LN(AV75:AX75),LN(AV74:AX74),TRUE,TRUE),3,1)</f>
        <v>0.55834996617324872</v>
      </c>
      <c r="AM75" s="72">
        <f>INDEX(LINEST(LN(AV75:AX75),LN(AV74:AX74)),1)</f>
        <v>-1.6813191845441774E-2</v>
      </c>
      <c r="AN75" s="72">
        <f>EXP(INDEX(LINEST(LN(AV75:AX75),LN(AV74:AX74)),1,2))</f>
        <v>0.84100010680953607</v>
      </c>
      <c r="AO75" s="89">
        <f>INDEX(LINEST((AV75:AX75),LN(AV74:AX74),TRUE,TRUE),3,1)</f>
        <v>0.57427887239825304</v>
      </c>
      <c r="AP75" s="89">
        <f>INDEX(LINEST((AV75:AX75),LN(AV74:AX74)),1)</f>
        <v>-1.1891339185025846E-2</v>
      </c>
      <c r="AQ75" s="90">
        <f>INDEX(LINEST(LN(AV75:AX75),SQRT(AV74:AX74),TRUE,TRUE),3,1)</f>
        <v>0.92738220101355784</v>
      </c>
      <c r="AR75" s="117">
        <f>INDEX(LINEST(LN(AV75:AX75),SQRT((AV74:AX74))),1)</f>
        <v>-2.9588203541763966E-4</v>
      </c>
      <c r="AS75" s="91">
        <f>INDEX(LINEST(1/(AV75:AX75),1/(SQRT(AV74:AX74)),TRUE,TRUE),3,1)</f>
        <v>0.389338493902469</v>
      </c>
      <c r="AT75" s="91">
        <f>INDEX(LINEST(1/(AV75:AX75),1/SQRT(AV74:AX74)),1)</f>
        <v>-1.0276369505105651</v>
      </c>
      <c r="AU75" s="3"/>
      <c r="AV75" s="97">
        <v>0.78253111885201998</v>
      </c>
      <c r="AW75" s="97">
        <v>0.75392816805963403</v>
      </c>
      <c r="AX75" s="97">
        <v>0.626449657009023</v>
      </c>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5"/>
      <c r="CS75" s="15"/>
      <c r="CT75" s="15"/>
      <c r="CU75" s="15"/>
    </row>
    <row r="76" spans="1:99" ht="12" customHeight="1" x14ac:dyDescent="0.2">
      <c r="A76" s="68">
        <v>43978</v>
      </c>
      <c r="B76" s="94"/>
      <c r="C76" s="94"/>
      <c r="D76" s="92"/>
      <c r="E76" s="105"/>
      <c r="F76" s="92"/>
      <c r="G76" s="92"/>
      <c r="H76" s="92"/>
      <c r="I76" s="92"/>
      <c r="J76" s="92"/>
      <c r="K76" s="69"/>
      <c r="L76" s="69"/>
      <c r="M76" s="92"/>
      <c r="N76" s="92"/>
      <c r="O76" s="92"/>
      <c r="P76" s="92"/>
      <c r="Q76" s="92"/>
      <c r="R76" s="69"/>
      <c r="S76" s="69"/>
      <c r="T76" s="92"/>
      <c r="U76" s="69"/>
      <c r="V76" s="92"/>
      <c r="W76" s="69"/>
      <c r="X76" s="92"/>
      <c r="Y76" s="87"/>
      <c r="Z76" s="92"/>
      <c r="AA76" s="92"/>
      <c r="AB76" s="69"/>
      <c r="AC76" s="72"/>
      <c r="AD76" s="69"/>
      <c r="AE76" s="87"/>
      <c r="AF76" s="88"/>
      <c r="AG76" s="72"/>
      <c r="AH76" s="4"/>
      <c r="AI76" s="72"/>
      <c r="AJ76" s="110"/>
      <c r="AK76" s="72"/>
      <c r="AL76" s="72"/>
      <c r="AM76" s="72"/>
      <c r="AN76" s="72"/>
      <c r="AO76" s="89"/>
      <c r="AP76" s="89"/>
      <c r="AQ76" s="90"/>
      <c r="AR76" s="117"/>
      <c r="AS76" s="91"/>
      <c r="AT76" s="91"/>
      <c r="AU76" s="3"/>
      <c r="AV76" s="98">
        <v>30</v>
      </c>
      <c r="AW76" s="98">
        <f>60*60*30</f>
        <v>108000</v>
      </c>
      <c r="AX76" s="98">
        <f>60*60*24*7</f>
        <v>604800</v>
      </c>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5"/>
      <c r="CS76" s="15"/>
      <c r="CT76" s="15"/>
      <c r="CU76" s="15"/>
    </row>
    <row r="77" spans="1:99" ht="12" customHeight="1" x14ac:dyDescent="0.2">
      <c r="A77" s="68">
        <v>43978</v>
      </c>
      <c r="B77" s="94" t="s">
        <v>948</v>
      </c>
      <c r="C77" s="94" t="s">
        <v>54</v>
      </c>
      <c r="D77" s="92">
        <v>2014</v>
      </c>
      <c r="E77" s="105">
        <v>1</v>
      </c>
      <c r="F77" s="92">
        <v>25</v>
      </c>
      <c r="G77" s="92">
        <v>25</v>
      </c>
      <c r="H77" s="92" t="s">
        <v>41</v>
      </c>
      <c r="I77" s="92" t="s">
        <v>955</v>
      </c>
      <c r="J77" s="92" t="s">
        <v>686</v>
      </c>
      <c r="K77" s="69">
        <f>IF(J77="syllables",1,IF(J77="trigrams",2,IF(J77="strings",3,IF(J77="visual array",4,IF(J77="characters",5,IF(J77="letters",6,IF(J77="free forms",7,IF(J77="odors",8,IF(J77="words",9,IF(J77="pictures",10,IF(J77="object pictures",11,IF(J77="faces",12,IF(J77="names",13,IF(J77="idioms",14,IF(J77="grades",15,IF(J77="syllable-digit pairs",16,IF(J77="trigram-word pairs",17,IF(J77="word-digit pairs",18,IF(J77="English-Swahili pairs",19,IF(J77="spatial position",20,IF(J77="word pairs",21,IF(J77="word triads",22,IF(J77="generated words",23,IF(J77="word definition pairs",24,IF(J77="math problems",25,IF(J77="famous faces",26,IF(J77="famous names",27,IF(J77="famous voices",28,IF(J77="television programs",29,IF(J77="race horses",30,IF(J77="new vocabulary",31,IF(J77="sentences",32,IF(J77="concepts",33,IF(J77="ad slides",34,IF(J77="scenes",35,IF(J77="famous scenes",36,IF(J77="poems",37,IF(J77="walk",38,IF(J77="faces and events",39,IF(J77="events and names",40,IF(J77="flashbulb",41,IF(J77="stories",42,IF(J77="course material",43,IF(J77="autobiographical",44,IF(J77="novels",45,IF(J77="public events",46,"99"))))))))))))))))))))))))))))))))))))))))))))))</f>
        <v>35</v>
      </c>
      <c r="L77" s="69">
        <f>IF(J77="syllables",1,IF(J77="trigrams",1,IF(J77="strings",1,IF(J77="visual array",1,IF(J77="characters",1,IF(J77="letters",1,IF(J77="free forms",1,IF(J77="odors",2,IF(J77="words",2,IF(J77="pictures",2,IF(J77="object pictures",2,IF(J77="faces",2,IF(J77="names",2,IF(J77="idioms","2",IF(J77="grades",2,IF(J77="syllable-digit pairs",3,IF(J77="trigram-word pairs",3,IF(J77="word-digit pairs",3,IF(J77="English-Swahili pairs",3,IF(J77="spatial position",3,IF(J77="word pairs",4,IF(J77="word triads",4,IF(J77="generated words",4,IF(J77="word definition pairs",4,IF(J77="math problems",4,IF(J77="famous faces",4,IF(J77="famous names",4,IF(J77="famous voices",4,IF(J77="television programs",4,IF(J77="race horses",4,IF(J77="new vocabulary",4,IF(J77="sentences",5,IF(J77="concepts",5,IF(J77="ad slides",5,IF(J77="scenes",5,IF(J77="famous scenes",5,IF(J77="poems",6,IF(J77="walk",6,IF(J77="faces and events",6,IF(J77="events and names",6,IF(J77="flashbulb",7,IF(J77="stories",7,IF(J77="course material",7,IF(J77="autobiographical",7,IF(J77="novels",7,IF(J77="public events",7,"99"))))))))))))))))))))))))))))))))))))))))))))))</f>
        <v>5</v>
      </c>
      <c r="M77" s="92">
        <v>0</v>
      </c>
      <c r="N77" s="92">
        <v>3</v>
      </c>
      <c r="O77" s="92">
        <v>0</v>
      </c>
      <c r="P77" s="92"/>
      <c r="Q77" s="92" t="s">
        <v>174</v>
      </c>
      <c r="R77" s="69">
        <f>IF(Q77="Free Recall",1,IF(Q77="Cued Recall",2,IF(Q77="Recognition",3,IF(Q77="Multiple Choice",4,IF(Q77="Savings",5,IF(Q77="Stem Completion",6,IF(Q77="Fragment Completion",7,IF(Q77="anagram solution",8,IF(Q77="Matching",9,IF(Q77="Problem Solving",10,"99"))))))))))</f>
        <v>1</v>
      </c>
      <c r="S77" s="69" t="s">
        <v>49</v>
      </c>
      <c r="T77" s="92" t="s">
        <v>581</v>
      </c>
      <c r="U77" s="69">
        <f>IF(T77="within",1,0)</f>
        <v>1</v>
      </c>
      <c r="V77" s="92">
        <f>3*36</f>
        <v>108</v>
      </c>
      <c r="W77" s="69">
        <f>F77*V77</f>
        <v>2700</v>
      </c>
      <c r="X77" s="92">
        <v>3</v>
      </c>
      <c r="Y77" s="87">
        <f>AV76</f>
        <v>30</v>
      </c>
      <c r="Z77" s="92" t="s">
        <v>150</v>
      </c>
      <c r="AA77" s="92">
        <f>60*60*24*7</f>
        <v>604800</v>
      </c>
      <c r="AB77" s="69" t="str">
        <f>IF(AA77&lt;60,"1",IF(AA77&lt;=43200,"2",IF(AA77&lt;=777600,"3","4")))</f>
        <v>3</v>
      </c>
      <c r="AC77" s="72">
        <f>AVERAGE(AV76:DA76)</f>
        <v>237610</v>
      </c>
      <c r="AD77" s="69" t="str">
        <f>IF(AC77&lt;60,"1",IF(AC77&lt;=43200,"2",IF(AC77&lt;=777600,"3","4")))</f>
        <v>3</v>
      </c>
      <c r="AE77" s="87">
        <f>AA77-Y77</f>
        <v>604770</v>
      </c>
      <c r="AF77" s="88">
        <f>AV77</f>
        <v>0.80725214899999997</v>
      </c>
      <c r="AG77" s="72">
        <f>((AW77-AV77)+(AX77-AW77))/2</f>
        <v>-9.0401245999999991E-2</v>
      </c>
      <c r="AH77" s="4"/>
      <c r="AI77" s="72">
        <f>RSQ(AV77:AX77,AV76:AX76)</f>
        <v>0.99997075671786539</v>
      </c>
      <c r="AJ77" s="110">
        <f>SLOPE(AV77:AX77,AV76:AX76)</f>
        <v>-2.9836182492929401E-7</v>
      </c>
      <c r="AK77" s="72">
        <f>INTERCEPT(AV77:AX77,AV76:AX76)</f>
        <v>0.80679831022144943</v>
      </c>
      <c r="AL77" s="72">
        <f>INDEX(LINEST(LN(AV77:AX77),LN(AV76:AX76),TRUE,TRUE),3,1)</f>
        <v>0.55679895467915808</v>
      </c>
      <c r="AM77" s="72">
        <f>INDEX(LINEST(LN(AV77:AX77),LN(AV76:AX76)),1)</f>
        <v>-1.9148678371994979E-2</v>
      </c>
      <c r="AN77" s="72">
        <f>EXP(INDEX(LINEST(LN(AV77:AX77),LN(AV76:AX76)),1,2))</f>
        <v>0.87634245836037605</v>
      </c>
      <c r="AO77" s="89">
        <f>INDEX(LINEST((AV77:AX77),LN(AV76:AX76),TRUE,TRUE),3,1)</f>
        <v>0.57487522999530638</v>
      </c>
      <c r="AP77" s="89">
        <f>INDEX(LINEST((AV77:AX77),LN(AV76:AX76)),1)</f>
        <v>-1.3778867564414602E-2</v>
      </c>
      <c r="AQ77" s="90">
        <f>INDEX(LINEST(LN(AV77:AX77),SQRT(AV76:AX76),TRUE,TRUE),3,1)</f>
        <v>0.92656972748730404</v>
      </c>
      <c r="AR77" s="117">
        <f>INDEX(LINEST(LN(AV77:AX77),SQRT((AV76:AX76))),1)</f>
        <v>-3.3730357993975313E-4</v>
      </c>
      <c r="AS77" s="91">
        <f>INDEX(LINEST(1/(AV77:AX77),1/(SQRT(AV76:AX76)),TRUE,TRUE),3,1)</f>
        <v>0.38597906494364359</v>
      </c>
      <c r="AT77" s="91">
        <f>INDEX(LINEST(1/(AV77:AX77),1/SQRT(AV76:AX76)),1)</f>
        <v>-1.1505555648415937</v>
      </c>
      <c r="AU77" s="3"/>
      <c r="AV77" s="97">
        <v>0.80725214899999997</v>
      </c>
      <c r="AW77" s="97">
        <v>0.77401186499999997</v>
      </c>
      <c r="AX77" s="97">
        <v>0.62644965699999999</v>
      </c>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5"/>
      <c r="CS77" s="15"/>
      <c r="CT77" s="15"/>
      <c r="CU77" s="15"/>
    </row>
    <row r="78" spans="1:99" ht="12" customHeight="1" x14ac:dyDescent="0.2">
      <c r="A78" s="68">
        <v>43978</v>
      </c>
      <c r="B78" s="94"/>
      <c r="C78" s="94"/>
      <c r="D78" s="92"/>
      <c r="E78" s="105"/>
      <c r="F78" s="92"/>
      <c r="G78" s="92"/>
      <c r="H78" s="92"/>
      <c r="I78" s="92"/>
      <c r="J78" s="92"/>
      <c r="K78" s="69"/>
      <c r="L78" s="69"/>
      <c r="M78" s="92"/>
      <c r="N78" s="92"/>
      <c r="O78" s="92"/>
      <c r="P78" s="92"/>
      <c r="Q78" s="92"/>
      <c r="R78" s="69"/>
      <c r="S78" s="69"/>
      <c r="T78" s="92"/>
      <c r="U78" s="69"/>
      <c r="V78" s="92"/>
      <c r="W78" s="69"/>
      <c r="X78" s="92"/>
      <c r="Y78" s="87"/>
      <c r="Z78" s="92"/>
      <c r="AA78" s="92"/>
      <c r="AB78" s="69"/>
      <c r="AC78" s="72"/>
      <c r="AD78" s="69"/>
      <c r="AE78" s="87"/>
      <c r="AF78" s="88"/>
      <c r="AG78" s="72"/>
      <c r="AH78" s="4"/>
      <c r="AI78" s="72"/>
      <c r="AJ78" s="110"/>
      <c r="AK78" s="72"/>
      <c r="AL78" s="72"/>
      <c r="AM78" s="72"/>
      <c r="AN78" s="72"/>
      <c r="AO78" s="89"/>
      <c r="AP78" s="89"/>
      <c r="AQ78" s="90"/>
      <c r="AR78" s="117"/>
      <c r="AS78" s="91"/>
      <c r="AT78" s="91"/>
      <c r="AU78" s="3"/>
      <c r="AV78" s="98">
        <v>30</v>
      </c>
      <c r="AW78" s="98">
        <f>60*60*30</f>
        <v>108000</v>
      </c>
      <c r="AX78" s="98">
        <f>60*60*24*7</f>
        <v>604800</v>
      </c>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5"/>
      <c r="CS78" s="15"/>
      <c r="CT78" s="15"/>
      <c r="CU78" s="15"/>
    </row>
    <row r="79" spans="1:99" ht="12" customHeight="1" x14ac:dyDescent="0.2">
      <c r="A79" s="68">
        <v>43978</v>
      </c>
      <c r="B79" s="94" t="s">
        <v>948</v>
      </c>
      <c r="C79" s="94" t="s">
        <v>54</v>
      </c>
      <c r="D79" s="92">
        <v>2014</v>
      </c>
      <c r="E79" s="105">
        <v>1</v>
      </c>
      <c r="F79" s="92">
        <v>25</v>
      </c>
      <c r="G79" s="92">
        <v>25</v>
      </c>
      <c r="H79" s="92" t="s">
        <v>41</v>
      </c>
      <c r="I79" s="92" t="s">
        <v>956</v>
      </c>
      <c r="J79" s="92" t="s">
        <v>686</v>
      </c>
      <c r="K79" s="69">
        <f>IF(J79="syllables",1,IF(J79="trigrams",2,IF(J79="strings",3,IF(J79="visual array",4,IF(J79="characters",5,IF(J79="letters",6,IF(J79="free forms",7,IF(J79="odors",8,IF(J79="words",9,IF(J79="pictures",10,IF(J79="object pictures",11,IF(J79="faces",12,IF(J79="names",13,IF(J79="idioms",14,IF(J79="grades",15,IF(J79="syllable-digit pairs",16,IF(J79="trigram-word pairs",17,IF(J79="word-digit pairs",18,IF(J79="English-Swahili pairs",19,IF(J79="spatial position",20,IF(J79="word pairs",21,IF(J79="word triads",22,IF(J79="generated words",23,IF(J79="word definition pairs",24,IF(J79="math problems",25,IF(J79="famous faces",26,IF(J79="famous names",27,IF(J79="famous voices",28,IF(J79="television programs",29,IF(J79="race horses",30,IF(J79="new vocabulary",31,IF(J79="sentences",32,IF(J79="concepts",33,IF(J79="ad slides",34,IF(J79="scenes",35,IF(J79="famous scenes",36,IF(J79="poems",37,IF(J79="walk",38,IF(J79="faces and events",39,IF(J79="events and names",40,IF(J79="flashbulb",41,IF(J79="stories",42,IF(J79="course material",43,IF(J79="autobiographical",44,IF(J79="novels",45,IF(J79="public events",46,"99"))))))))))))))))))))))))))))))))))))))))))))))</f>
        <v>35</v>
      </c>
      <c r="L79" s="69">
        <f>IF(J79="syllables",1,IF(J79="trigrams",1,IF(J79="strings",1,IF(J79="visual array",1,IF(J79="characters",1,IF(J79="letters",1,IF(J79="free forms",1,IF(J79="odors",2,IF(J79="words",2,IF(J79="pictures",2,IF(J79="object pictures",2,IF(J79="faces",2,IF(J79="names",2,IF(J79="idioms","2",IF(J79="grades",2,IF(J79="syllable-digit pairs",3,IF(J79="trigram-word pairs",3,IF(J79="word-digit pairs",3,IF(J79="English-Swahili pairs",3,IF(J79="spatial position",3,IF(J79="word pairs",4,IF(J79="word triads",4,IF(J79="generated words",4,IF(J79="word definition pairs",4,IF(J79="math problems",4,IF(J79="famous faces",4,IF(J79="famous names",4,IF(J79="famous voices",4,IF(J79="television programs",4,IF(J79="race horses",4,IF(J79="new vocabulary",4,IF(J79="sentences",5,IF(J79="concepts",5,IF(J79="ad slides",5,IF(J79="scenes",5,IF(J79="famous scenes",5,IF(J79="poems",6,IF(J79="walk",6,IF(J79="faces and events",6,IF(J79="events and names",6,IF(J79="flashbulb",7,IF(J79="stories",7,IF(J79="course material",7,IF(J79="autobiographical",7,IF(J79="novels",7,IF(J79="public events",7,"99"))))))))))))))))))))))))))))))))))))))))))))))</f>
        <v>5</v>
      </c>
      <c r="M79" s="92">
        <v>0</v>
      </c>
      <c r="N79" s="92">
        <v>3</v>
      </c>
      <c r="O79" s="92">
        <v>0</v>
      </c>
      <c r="P79" s="92"/>
      <c r="Q79" s="92" t="s">
        <v>182</v>
      </c>
      <c r="R79" s="69">
        <f>IF(Q79="Free Recall",1,IF(Q79="Cued Recall",2,IF(Q79="Recognition",3,IF(Q79="Multiple Choice",4,IF(Q79="Savings",5,IF(Q79="Stem Completion",6,IF(Q79="Fragment Completion",7,IF(Q79="anagram solution",8,IF(Q79="Matching",9,IF(Q79="Problem Solving",10,"99"))))))))))</f>
        <v>4</v>
      </c>
      <c r="S79" s="69" t="s">
        <v>15</v>
      </c>
      <c r="T79" s="92" t="s">
        <v>581</v>
      </c>
      <c r="U79" s="69">
        <f>IF(T79="within",1,0)</f>
        <v>1</v>
      </c>
      <c r="V79" s="92">
        <v>150</v>
      </c>
      <c r="W79" s="69">
        <f>F79*V79</f>
        <v>3750</v>
      </c>
      <c r="X79" s="92">
        <v>3</v>
      </c>
      <c r="Y79" s="87">
        <f>AV78</f>
        <v>30</v>
      </c>
      <c r="Z79" s="92" t="s">
        <v>150</v>
      </c>
      <c r="AA79" s="92">
        <f>60*60*24*7</f>
        <v>604800</v>
      </c>
      <c r="AB79" s="69" t="str">
        <f>IF(AA79&lt;60,"1",IF(AA79&lt;=43200,"2",IF(AA79&lt;=777600,"3","4")))</f>
        <v>3</v>
      </c>
      <c r="AC79" s="72">
        <f>AVERAGE(AV78:DA78)</f>
        <v>237610</v>
      </c>
      <c r="AD79" s="69" t="str">
        <f>IF(AC79&lt;60,"1",IF(AC79&lt;=43200,"2",IF(AC79&lt;=777600,"3","4")))</f>
        <v>3</v>
      </c>
      <c r="AE79" s="87">
        <f>AA79-Y79</f>
        <v>604770</v>
      </c>
      <c r="AF79" s="88">
        <f>AV79</f>
        <v>0.801521443727234</v>
      </c>
      <c r="AG79" s="72">
        <f>((AW79-AV79)+(AX79-AW79))/2</f>
        <v>-0.197243748018611</v>
      </c>
      <c r="AH79" s="4"/>
      <c r="AI79" s="72">
        <f>RSQ(AV79:AX79,AV78:AX78)</f>
        <v>0.99983325922577215</v>
      </c>
      <c r="AJ79" s="110">
        <f>SLOPE(AV79:AX79,AV78:AX78)</f>
        <v>-6.4918148070266954E-7</v>
      </c>
      <c r="AK79" s="72">
        <f>INTERCEPT(AV79:AX79,AV78:AX78)</f>
        <v>0.79913631166172605</v>
      </c>
      <c r="AL79" s="72">
        <f>INDEX(LINEST(LN(AV79:AX79),LN(AV78:AX78),TRUE,TRUE),3,1)</f>
        <v>0.53696111253522971</v>
      </c>
      <c r="AM79" s="72">
        <f>INDEX(LINEST(LN(AV79:AX79),LN(AV78:AX78)),1)</f>
        <v>-5.0651137425773506E-2</v>
      </c>
      <c r="AN79" s="72">
        <f>EXP(INDEX(LINEST(LN(AV79:AX79),LN(AV78:AX78)),1,2))</f>
        <v>0.99781680932429717</v>
      </c>
      <c r="AO79" s="89">
        <f>INDEX(LINEST((AV79:AX79),LN(AV78:AX78),TRUE,TRUE),3,1)</f>
        <v>0.58228732415705686</v>
      </c>
      <c r="AP79" s="89">
        <f>INDEX(LINEST((AV79:AX79),LN(AV78:AX78)),1)</f>
        <v>-3.0175058672245403E-2</v>
      </c>
      <c r="AQ79" s="90">
        <f>INDEX(LINEST(LN(AV79:AX79),SQRT(AV78:AX78),TRUE,TRUE),3,1)</f>
        <v>0.91583819493685492</v>
      </c>
      <c r="AR79" s="117">
        <f>INDEX(LINEST(LN(AV79:AX79),SQRT((AV78:AX78))),1)</f>
        <v>-9.0327389469185533E-4</v>
      </c>
      <c r="AS79" s="91">
        <f>INDEX(LINEST(1/(AV79:AX79),1/(SQRT(AV78:AX78)),TRUE,TRUE),3,1)</f>
        <v>0.34689762066613944</v>
      </c>
      <c r="AT79" s="91">
        <f>INDEX(LINEST(1/(AV79:AX79),1/SQRT(AV78:AX78)),1)</f>
        <v>-3.7537964701928717</v>
      </c>
      <c r="AU79" s="3"/>
      <c r="AV79" s="97">
        <v>0.801521443727234</v>
      </c>
      <c r="AW79" s="97">
        <v>0.72609750867864808</v>
      </c>
      <c r="AX79" s="97">
        <v>0.407033947690012</v>
      </c>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5"/>
      <c r="CS79" s="15"/>
      <c r="CT79" s="15"/>
      <c r="CU79" s="15"/>
    </row>
    <row r="80" spans="1:99" ht="12" customHeight="1" x14ac:dyDescent="0.2">
      <c r="A80" s="68">
        <v>43978</v>
      </c>
      <c r="B80" s="94"/>
      <c r="C80" s="94"/>
      <c r="D80" s="92"/>
      <c r="E80" s="105"/>
      <c r="F80" s="92"/>
      <c r="G80" s="92"/>
      <c r="H80" s="92"/>
      <c r="I80" s="92"/>
      <c r="J80" s="92"/>
      <c r="K80" s="69"/>
      <c r="L80" s="69"/>
      <c r="M80" s="92"/>
      <c r="N80" s="92"/>
      <c r="O80" s="92"/>
      <c r="P80" s="92"/>
      <c r="Q80" s="92"/>
      <c r="R80" s="69"/>
      <c r="S80" s="69"/>
      <c r="T80" s="92"/>
      <c r="U80" s="69"/>
      <c r="V80" s="92"/>
      <c r="W80" s="69"/>
      <c r="X80" s="92"/>
      <c r="Y80" s="87"/>
      <c r="Z80" s="92"/>
      <c r="AA80" s="92"/>
      <c r="AB80" s="69"/>
      <c r="AC80" s="72"/>
      <c r="AD80" s="69"/>
      <c r="AE80" s="87"/>
      <c r="AF80" s="88"/>
      <c r="AG80" s="72"/>
      <c r="AH80" s="4"/>
      <c r="AI80" s="72"/>
      <c r="AJ80" s="110"/>
      <c r="AK80" s="72"/>
      <c r="AL80" s="72"/>
      <c r="AM80" s="72"/>
      <c r="AN80" s="72"/>
      <c r="AO80" s="89"/>
      <c r="AP80" s="89"/>
      <c r="AQ80" s="90"/>
      <c r="AR80" s="117"/>
      <c r="AS80" s="91"/>
      <c r="AT80" s="91"/>
      <c r="AU80" s="3"/>
      <c r="AV80" s="98">
        <v>30</v>
      </c>
      <c r="AW80" s="98">
        <f>60*60*30</f>
        <v>108000</v>
      </c>
      <c r="AX80" s="98">
        <f>60*60*24*7</f>
        <v>604800</v>
      </c>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5"/>
      <c r="CS80" s="15"/>
      <c r="CT80" s="15"/>
      <c r="CU80" s="15"/>
    </row>
    <row r="81" spans="1:99" ht="12" customHeight="1" x14ac:dyDescent="0.2">
      <c r="A81" s="68">
        <v>43978</v>
      </c>
      <c r="B81" s="94" t="s">
        <v>948</v>
      </c>
      <c r="C81" s="94" t="s">
        <v>54</v>
      </c>
      <c r="D81" s="92">
        <v>2014</v>
      </c>
      <c r="E81" s="105">
        <v>1</v>
      </c>
      <c r="F81" s="92">
        <v>25</v>
      </c>
      <c r="G81" s="92">
        <v>25</v>
      </c>
      <c r="H81" s="92" t="s">
        <v>41</v>
      </c>
      <c r="I81" s="92" t="s">
        <v>957</v>
      </c>
      <c r="J81" s="92" t="s">
        <v>686</v>
      </c>
      <c r="K81" s="69">
        <f>IF(J81="syllables",1,IF(J81="trigrams",2,IF(J81="strings",3,IF(J81="visual array",4,IF(J81="characters",5,IF(J81="letters",6,IF(J81="free forms",7,IF(J81="odors",8,IF(J81="words",9,IF(J81="pictures",10,IF(J81="object pictures",11,IF(J81="faces",12,IF(J81="names",13,IF(J81="idioms",14,IF(J81="grades",15,IF(J81="syllable-digit pairs",16,IF(J81="trigram-word pairs",17,IF(J81="word-digit pairs",18,IF(J81="English-Swahili pairs",19,IF(J81="spatial position",20,IF(J81="word pairs",21,IF(J81="word triads",22,IF(J81="generated words",23,IF(J81="word definition pairs",24,IF(J81="math problems",25,IF(J81="famous faces",26,IF(J81="famous names",27,IF(J81="famous voices",28,IF(J81="television programs",29,IF(J81="race horses",30,IF(J81="new vocabulary",31,IF(J81="sentences",32,IF(J81="concepts",33,IF(J81="ad slides",34,IF(J81="scenes",35,IF(J81="famous scenes",36,IF(J81="poems",37,IF(J81="walk",38,IF(J81="faces and events",39,IF(J81="events and names",40,IF(J81="flashbulb",41,IF(J81="stories",42,IF(J81="course material",43,IF(J81="autobiographical",44,IF(J81="novels",45,IF(J81="public events",46,"99"))))))))))))))))))))))))))))))))))))))))))))))</f>
        <v>35</v>
      </c>
      <c r="L81" s="69">
        <f>IF(J81="syllables",1,IF(J81="trigrams",1,IF(J81="strings",1,IF(J81="visual array",1,IF(J81="characters",1,IF(J81="letters",1,IF(J81="free forms",1,IF(J81="odors",2,IF(J81="words",2,IF(J81="pictures",2,IF(J81="object pictures",2,IF(J81="faces",2,IF(J81="names",2,IF(J81="idioms","2",IF(J81="grades",2,IF(J81="syllable-digit pairs",3,IF(J81="trigram-word pairs",3,IF(J81="word-digit pairs",3,IF(J81="English-Swahili pairs",3,IF(J81="spatial position",3,IF(J81="word pairs",4,IF(J81="word triads",4,IF(J81="generated words",4,IF(J81="word definition pairs",4,IF(J81="math problems",4,IF(J81="famous faces",4,IF(J81="famous names",4,IF(J81="famous voices",4,IF(J81="television programs",4,IF(J81="race horses",4,IF(J81="new vocabulary",4,IF(J81="sentences",5,IF(J81="concepts",5,IF(J81="ad slides",5,IF(J81="scenes",5,IF(J81="famous scenes",5,IF(J81="poems",6,IF(J81="walk",6,IF(J81="faces and events",6,IF(J81="events and names",6,IF(J81="flashbulb",7,IF(J81="stories",7,IF(J81="course material",7,IF(J81="autobiographical",7,IF(J81="novels",7,IF(J81="public events",7,"99"))))))))))))))))))))))))))))))))))))))))))))))</f>
        <v>5</v>
      </c>
      <c r="M81" s="92">
        <v>0</v>
      </c>
      <c r="N81" s="92">
        <v>3</v>
      </c>
      <c r="O81" s="92">
        <v>0</v>
      </c>
      <c r="P81" s="92"/>
      <c r="Q81" s="92" t="s">
        <v>182</v>
      </c>
      <c r="R81" s="69">
        <f>IF(Q81="Free Recall",1,IF(Q81="Cued Recall",2,IF(Q81="Recognition",3,IF(Q81="Multiple Choice",4,IF(Q81="Savings",5,IF(Q81="Stem Completion",6,IF(Q81="Fragment Completion",7,IF(Q81="anagram solution",8,IF(Q81="Matching",9,IF(Q81="Problem Solving",10,"99"))))))))))</f>
        <v>4</v>
      </c>
      <c r="S81" s="69" t="s">
        <v>15</v>
      </c>
      <c r="T81" s="92" t="s">
        <v>581</v>
      </c>
      <c r="U81" s="69">
        <f>IF(T81="within",1,0)</f>
        <v>1</v>
      </c>
      <c r="V81" s="92">
        <v>150</v>
      </c>
      <c r="W81" s="69">
        <f>F81*V81</f>
        <v>3750</v>
      </c>
      <c r="X81" s="92">
        <v>3</v>
      </c>
      <c r="Y81" s="87">
        <f>AV80</f>
        <v>30</v>
      </c>
      <c r="Z81" s="92" t="s">
        <v>150</v>
      </c>
      <c r="AA81" s="92">
        <f>60*60*24*7</f>
        <v>604800</v>
      </c>
      <c r="AB81" s="69" t="str">
        <f>IF(AA81&lt;60,"1",IF(AA81&lt;=43200,"2",IF(AA81&lt;=777600,"3","4")))</f>
        <v>3</v>
      </c>
      <c r="AC81" s="72">
        <f>AVERAGE(AV80:DA80)</f>
        <v>237610</v>
      </c>
      <c r="AD81" s="69" t="str">
        <f>IF(AC81&lt;60,"1",IF(AC81&lt;=43200,"2",IF(AC81&lt;=777600,"3","4")))</f>
        <v>3</v>
      </c>
      <c r="AE81" s="87">
        <f>AA81-Y81</f>
        <v>604770</v>
      </c>
      <c r="AF81" s="88">
        <f>AV81</f>
        <v>0.68549682385796196</v>
      </c>
      <c r="AG81" s="72">
        <f>((AW81-AV81)+(AX81-AW81))/2</f>
        <v>-0.17486684407635297</v>
      </c>
      <c r="AH81" s="4"/>
      <c r="AI81" s="72">
        <f>RSQ(AV81:AX81,AV80:AX80)</f>
        <v>0.9611583805849041</v>
      </c>
      <c r="AJ81" s="110">
        <f>SLOPE(AV81:AX81,AV80:AX80)</f>
        <v>-6.2492443971717747E-7</v>
      </c>
      <c r="AK81" s="72">
        <f>INTERCEPT(AV81:AX81,AV80:AX80)</f>
        <v>0.72154850798677517</v>
      </c>
      <c r="AL81" s="72">
        <f>INDEX(LINEST(LN(AV81:AX81),LN(AV80:AX80),TRUE,TRUE),3,1)</f>
        <v>0.38121406301338168</v>
      </c>
      <c r="AM81" s="72">
        <f>INDEX(LINEST(LN(AV81:AX81),LN(AV80:AX80)),1)</f>
        <v>-4.8660829493556233E-2</v>
      </c>
      <c r="AN81" s="72">
        <f>EXP(INDEX(LINEST(LN(AV81:AX81),LN(AV80:AX80)),1,2))</f>
        <v>0.86032727146315469</v>
      </c>
      <c r="AO81" s="89">
        <f>INDEX(LINEST((AV81:AX81),LN(AV80:AX80),TRUE,TRUE),3,1)</f>
        <v>0.37278297019686407</v>
      </c>
      <c r="AP81" s="89">
        <f>INDEX(LINEST((AV81:AX81),LN(AV80:AX80)),1)</f>
        <v>-2.3704739435597449E-2</v>
      </c>
      <c r="AQ81" s="90">
        <f>INDEX(LINEST(LN(AV81:AX81),SQRT(AV80:AX80),TRUE,TRUE),3,1)</f>
        <v>0.80981251824301359</v>
      </c>
      <c r="AR81" s="117">
        <f>INDEX(LINEST(LN(AV81:AX81),SQRT((AV80:AX80))),1)</f>
        <v>-9.6845532649312454E-4</v>
      </c>
      <c r="AS81" s="91">
        <f>INDEX(LINEST(1/(AV81:AX81),1/(SQRT(AV80:AX80)),TRUE,TRUE),3,1)</f>
        <v>0.24461571541947319</v>
      </c>
      <c r="AT81" s="91">
        <f>INDEX(LINEST(1/(AV81:AX81),1/SQRT(AV80:AX80)),1)</f>
        <v>-4.201532012050655</v>
      </c>
      <c r="AU81" s="3"/>
      <c r="AV81" s="97">
        <v>0.68549682385796196</v>
      </c>
      <c r="AW81" s="97">
        <v>0.69792067603351193</v>
      </c>
      <c r="AX81" s="97">
        <v>0.33576313570525601</v>
      </c>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5"/>
      <c r="CS81" s="15"/>
      <c r="CT81" s="15"/>
      <c r="CU81" s="15"/>
    </row>
    <row r="82" spans="1:99" ht="12" customHeight="1" x14ac:dyDescent="0.2">
      <c r="A82" s="68">
        <v>43978</v>
      </c>
      <c r="B82" s="94"/>
      <c r="C82" s="94"/>
      <c r="D82" s="92"/>
      <c r="E82" s="105"/>
      <c r="F82" s="92"/>
      <c r="G82" s="92"/>
      <c r="H82" s="92"/>
      <c r="I82" s="92"/>
      <c r="J82" s="92"/>
      <c r="K82" s="69"/>
      <c r="L82" s="69"/>
      <c r="M82" s="92"/>
      <c r="N82" s="92"/>
      <c r="O82" s="92"/>
      <c r="P82" s="92"/>
      <c r="Q82" s="92"/>
      <c r="R82" s="69"/>
      <c r="S82" s="69"/>
      <c r="T82" s="92"/>
      <c r="U82" s="69"/>
      <c r="V82" s="92"/>
      <c r="W82" s="69"/>
      <c r="X82" s="92"/>
      <c r="Y82" s="87"/>
      <c r="Z82" s="92"/>
      <c r="AA82" s="92"/>
      <c r="AB82" s="69"/>
      <c r="AC82" s="72"/>
      <c r="AD82" s="69"/>
      <c r="AE82" s="87"/>
      <c r="AF82" s="88"/>
      <c r="AG82" s="72"/>
      <c r="AH82" s="4"/>
      <c r="AI82" s="72"/>
      <c r="AJ82" s="110"/>
      <c r="AK82" s="72"/>
      <c r="AL82" s="72"/>
      <c r="AM82" s="72"/>
      <c r="AN82" s="72"/>
      <c r="AO82" s="89"/>
      <c r="AP82" s="89"/>
      <c r="AQ82" s="90"/>
      <c r="AR82" s="117"/>
      <c r="AS82" s="91"/>
      <c r="AT82" s="91"/>
      <c r="AU82" s="3"/>
      <c r="AV82" s="98">
        <v>30</v>
      </c>
      <c r="AW82" s="98">
        <f>60*60*30</f>
        <v>108000</v>
      </c>
      <c r="AX82" s="98">
        <f>60*60*24*7</f>
        <v>604800</v>
      </c>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5"/>
      <c r="CS82" s="15"/>
      <c r="CT82" s="15"/>
      <c r="CU82" s="15"/>
    </row>
    <row r="83" spans="1:99" ht="12" customHeight="1" x14ac:dyDescent="0.2">
      <c r="A83" s="68">
        <v>43978</v>
      </c>
      <c r="B83" s="94" t="s">
        <v>948</v>
      </c>
      <c r="C83" s="94" t="s">
        <v>54</v>
      </c>
      <c r="D83" s="92">
        <v>2014</v>
      </c>
      <c r="E83" s="105">
        <v>1</v>
      </c>
      <c r="F83" s="92">
        <v>25</v>
      </c>
      <c r="G83" s="92">
        <v>25</v>
      </c>
      <c r="H83" s="92" t="s">
        <v>41</v>
      </c>
      <c r="I83" s="92" t="s">
        <v>958</v>
      </c>
      <c r="J83" s="92" t="s">
        <v>677</v>
      </c>
      <c r="K83" s="69">
        <f>IF(J83="syllables",1,IF(J83="trigrams",2,IF(J83="strings",3,IF(J83="visual array",4,IF(J83="characters",5,IF(J83="letters",6,IF(J83="free forms",7,IF(J83="odors",8,IF(J83="words",9,IF(J83="pictures",10,IF(J83="object pictures",11,IF(J83="faces",12,IF(J83="names",13,IF(J83="idioms",14,IF(J83="grades",15,IF(J83="syllable-digit pairs",16,IF(J83="trigram-word pairs",17,IF(J83="word-digit pairs",18,IF(J83="English-Swahili pairs",19,IF(J83="spatial position",20,IF(J83="word pairs",21,IF(J83="word triads",22,IF(J83="generated words",23,IF(J83="word definition pairs",24,IF(J83="math problems",25,IF(J83="famous faces",26,IF(J83="famous names",27,IF(J83="famous voices",28,IF(J83="television programs",29,IF(J83="race horses",30,IF(J83="new vocabulary",31,IF(J83="sentences",32,IF(J83="concepts",33,IF(J83="ad slides",34,IF(J83="scenes",35,IF(J83="famous scenes",36,IF(J83="poems",37,IF(J83="walk",38,IF(J83="faces and events",39,IF(J83="events and names",40,IF(J83="flashbulb",41,IF(J83="stories",42,IF(J83="course material",43,IF(J83="autobiographical",44,IF(J83="novels",45,IF(J83="public events",46,"99"))))))))))))))))))))))))))))))))))))))))))))))</f>
        <v>42</v>
      </c>
      <c r="L83" s="69">
        <f>IF(J83="syllables",1,IF(J83="trigrams",1,IF(J83="strings",1,IF(J83="visual array",1,IF(J83="characters",1,IF(J83="letters",1,IF(J83="free forms",1,IF(J83="odors",2,IF(J83="words",2,IF(J83="pictures",2,IF(J83="object pictures",2,IF(J83="faces",2,IF(J83="names",2,IF(J83="idioms","2",IF(J83="grades",2,IF(J83="syllable-digit pairs",3,IF(J83="trigram-word pairs",3,IF(J83="word-digit pairs",3,IF(J83="English-Swahili pairs",3,IF(J83="spatial position",3,IF(J83="word pairs",4,IF(J83="word triads",4,IF(J83="generated words",4,IF(J83="word definition pairs",4,IF(J83="math problems",4,IF(J83="famous faces",4,IF(J83="famous names",4,IF(J83="famous voices",4,IF(J83="television programs",4,IF(J83="race horses",4,IF(J83="new vocabulary",4,IF(J83="sentences",5,IF(J83="concepts",5,IF(J83="ad slides",5,IF(J83="scenes",5,IF(J83="famous scenes",5,IF(J83="poems",6,IF(J83="walk",6,IF(J83="faces and events",6,IF(J83="events and names",6,IF(J83="flashbulb",7,IF(J83="stories",7,IF(J83="course material",7,IF(J83="autobiographical",7,IF(J83="novels",7,IF(J83="public events",7,"99"))))))))))))))))))))))))))))))))))))))))))))))</f>
        <v>7</v>
      </c>
      <c r="M83" s="92">
        <v>1</v>
      </c>
      <c r="N83" s="92">
        <v>4</v>
      </c>
      <c r="O83" s="92">
        <v>0</v>
      </c>
      <c r="P83" s="92"/>
      <c r="Q83" s="92" t="s">
        <v>174</v>
      </c>
      <c r="R83" s="69">
        <f>IF(Q83="Free Recall",1,IF(Q83="Cued Recall",2,IF(Q83="Recognition",3,IF(Q83="Multiple Choice",4,IF(Q83="Savings",5,IF(Q83="Stem Completion",6,IF(Q83="Fragment Completion",7,IF(Q83="anagram solution",8,IF(Q83="Matching",9,IF(Q83="Problem Solving",10,"99"))))))))))</f>
        <v>1</v>
      </c>
      <c r="S83" s="69" t="s">
        <v>49</v>
      </c>
      <c r="T83" s="92" t="s">
        <v>581</v>
      </c>
      <c r="U83" s="69">
        <f>IF(T83="within",1,0)</f>
        <v>1</v>
      </c>
      <c r="V83" s="92">
        <v>60</v>
      </c>
      <c r="W83" s="69">
        <f>F83*V83</f>
        <v>1500</v>
      </c>
      <c r="X83" s="92">
        <v>3</v>
      </c>
      <c r="Y83" s="87">
        <f>AV82</f>
        <v>30</v>
      </c>
      <c r="Z83" s="92" t="s">
        <v>150</v>
      </c>
      <c r="AA83" s="92">
        <f>60*60*24*7</f>
        <v>604800</v>
      </c>
      <c r="AB83" s="69" t="str">
        <f>IF(AA83&lt;60,"1",IF(AA83&lt;=43200,"2",IF(AA83&lt;=777600,"3","4")))</f>
        <v>3</v>
      </c>
      <c r="AC83" s="72">
        <f>AVERAGE(AV82:DA82)</f>
        <v>237610</v>
      </c>
      <c r="AD83" s="69" t="str">
        <f>IF(AC83&lt;60,"1",IF(AC83&lt;=43200,"2",IF(AC83&lt;=777600,"3","4")))</f>
        <v>3</v>
      </c>
      <c r="AE83" s="87">
        <f>AA83-Y83</f>
        <v>604770</v>
      </c>
      <c r="AF83" s="88">
        <f>AV83</f>
        <v>0.618385189738895</v>
      </c>
      <c r="AG83" s="72">
        <f>((AW83-AV83)+(AX83-AW83))/2</f>
        <v>-9.2930087925931493E-2</v>
      </c>
      <c r="AH83" s="4"/>
      <c r="AI83" s="72">
        <f>RSQ(AV83:AX83,AV82:AX82)</f>
        <v>0.91580289300263829</v>
      </c>
      <c r="AJ83" s="110">
        <f>SLOPE(AV83:AX83,AV82:AX82)</f>
        <v>-2.7623293347570189E-7</v>
      </c>
      <c r="AK83" s="72">
        <f>INTERCEPT(AV83:AX83,AV82:AX82)</f>
        <v>0.59436955000847391</v>
      </c>
      <c r="AL83" s="72">
        <f>INDEX(LINEST(LN(AV83:AX83),LN(AV82:AX82),TRUE,TRUE),3,1)</f>
        <v>0.79409446677836815</v>
      </c>
      <c r="AM83" s="72">
        <f>INDEX(LINEST(LN(AV83:AX83),LN(AV82:AX82)),1)</f>
        <v>-3.0262402091758095E-2</v>
      </c>
      <c r="AN83" s="72">
        <f>EXP(INDEX(LINEST(LN(AV83:AX83),LN(AV82:AX82)),1,2))</f>
        <v>0.69601227912916375</v>
      </c>
      <c r="AO83" s="89">
        <f>INDEX(LINEST((AV83:AX83),LN(AV82:AX82),TRUE,TRUE),3,1)</f>
        <v>0.83280238895847769</v>
      </c>
      <c r="AP83" s="89">
        <f>INDEX(LINEST((AV83:AX83),LN(AV82:AX82)),1)</f>
        <v>-1.6044365754450111E-2</v>
      </c>
      <c r="AQ83" s="90">
        <f>INDEX(LINEST(LN(AV83:AX83),SQRT(AV82:AX82),TRUE,TRUE),3,1)</f>
        <v>0.99971359802038384</v>
      </c>
      <c r="AR83" s="117">
        <f>INDEX(LINEST(LN(AV83:AX83),SQRT((AV82:AX82))),1)</f>
        <v>-4.6365762914019705E-4</v>
      </c>
      <c r="AS83" s="91">
        <f>INDEX(LINEST(1/(AV83:AX83),1/(SQRT(AV82:AX82)),TRUE,TRUE),3,1)</f>
        <v>0.6104465180744737</v>
      </c>
      <c r="AT83" s="91">
        <f>INDEX(LINEST(1/(AV83:AX83),1/SQRT(AV82:AX82)),1)</f>
        <v>-2.6393606219085837</v>
      </c>
      <c r="AU83" s="3"/>
      <c r="AV83" s="97">
        <v>0.618385189738895</v>
      </c>
      <c r="AW83" s="97">
        <v>0.53529132443001004</v>
      </c>
      <c r="AX83" s="97">
        <v>0.43252501388703202</v>
      </c>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5"/>
      <c r="CS83" s="15"/>
      <c r="CT83" s="15"/>
      <c r="CU83" s="15"/>
    </row>
    <row r="84" spans="1:99" ht="12" customHeight="1" x14ac:dyDescent="0.2">
      <c r="A84" s="68">
        <v>43978</v>
      </c>
      <c r="B84" s="94"/>
      <c r="C84" s="94"/>
      <c r="D84" s="92"/>
      <c r="E84" s="105"/>
      <c r="F84" s="92"/>
      <c r="G84" s="92"/>
      <c r="H84" s="92"/>
      <c r="I84" s="92"/>
      <c r="J84" s="92"/>
      <c r="K84" s="69"/>
      <c r="L84" s="69"/>
      <c r="M84" s="92"/>
      <c r="N84" s="92"/>
      <c r="O84" s="92"/>
      <c r="P84" s="92"/>
      <c r="Q84" s="188" t="s">
        <v>960</v>
      </c>
      <c r="R84" s="69"/>
      <c r="S84" s="69"/>
      <c r="T84" s="92"/>
      <c r="U84" s="69"/>
      <c r="V84" s="92"/>
      <c r="W84" s="69"/>
      <c r="X84" s="92"/>
      <c r="Y84" s="87"/>
      <c r="Z84" s="92"/>
      <c r="AA84" s="92"/>
      <c r="AB84" s="69"/>
      <c r="AC84" s="72"/>
      <c r="AD84" s="69"/>
      <c r="AE84" s="87"/>
      <c r="AF84" s="88"/>
      <c r="AG84" s="72"/>
      <c r="AH84" s="4"/>
      <c r="AI84" s="72"/>
      <c r="AJ84" s="110"/>
      <c r="AK84" s="72"/>
      <c r="AL84" s="72"/>
      <c r="AM84" s="72"/>
      <c r="AN84" s="72"/>
      <c r="AO84" s="89"/>
      <c r="AP84" s="89"/>
      <c r="AQ84" s="90"/>
      <c r="AR84" s="117"/>
      <c r="AS84" s="91"/>
      <c r="AT84" s="91"/>
      <c r="AU84" s="3"/>
      <c r="AV84" s="98">
        <v>30</v>
      </c>
      <c r="AW84" s="98">
        <f>60*60*30</f>
        <v>108000</v>
      </c>
      <c r="AX84" s="98">
        <f>60*60*24*7</f>
        <v>604800</v>
      </c>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5"/>
      <c r="CS84" s="15"/>
      <c r="CT84" s="15"/>
      <c r="CU84" s="15"/>
    </row>
    <row r="85" spans="1:99" ht="12" customHeight="1" x14ac:dyDescent="0.2">
      <c r="A85" s="68">
        <v>43978</v>
      </c>
      <c r="B85" s="94" t="s">
        <v>948</v>
      </c>
      <c r="C85" s="94" t="s">
        <v>54</v>
      </c>
      <c r="D85" s="92">
        <v>2014</v>
      </c>
      <c r="E85" s="105">
        <v>1</v>
      </c>
      <c r="F85" s="92">
        <v>25</v>
      </c>
      <c r="G85" s="92">
        <v>25</v>
      </c>
      <c r="H85" s="92" t="s">
        <v>41</v>
      </c>
      <c r="I85" s="92" t="s">
        <v>959</v>
      </c>
      <c r="J85" s="92" t="s">
        <v>677</v>
      </c>
      <c r="K85" s="69">
        <f>IF(J85="syllables",1,IF(J85="trigrams",2,IF(J85="strings",3,IF(J85="visual array",4,IF(J85="characters",5,IF(J85="letters",6,IF(J85="free forms",7,IF(J85="odors",8,IF(J85="words",9,IF(J85="pictures",10,IF(J85="object pictures",11,IF(J85="faces",12,IF(J85="names",13,IF(J85="idioms",14,IF(J85="grades",15,IF(J85="syllable-digit pairs",16,IF(J85="trigram-word pairs",17,IF(J85="word-digit pairs",18,IF(J85="English-Swahili pairs",19,IF(J85="spatial position",20,IF(J85="word pairs",21,IF(J85="word triads",22,IF(J85="generated words",23,IF(J85="word definition pairs",24,IF(J85="math problems",25,IF(J85="famous faces",26,IF(J85="famous names",27,IF(J85="famous voices",28,IF(J85="television programs",29,IF(J85="race horses",30,IF(J85="new vocabulary",31,IF(J85="sentences",32,IF(J85="concepts",33,IF(J85="ad slides",34,IF(J85="scenes",35,IF(J85="famous scenes",36,IF(J85="poems",37,IF(J85="walk",38,IF(J85="faces and events",39,IF(J85="events and names",40,IF(J85="flashbulb",41,IF(J85="stories",42,IF(J85="course material",43,IF(J85="autobiographical",44,IF(J85="novels",45,IF(J85="public events",46,"99"))))))))))))))))))))))))))))))))))))))))))))))</f>
        <v>42</v>
      </c>
      <c r="L85" s="69">
        <f>IF(J85="syllables",1,IF(J85="trigrams",1,IF(J85="strings",1,IF(J85="visual array",1,IF(J85="characters",1,IF(J85="letters",1,IF(J85="free forms",1,IF(J85="odors",2,IF(J85="words",2,IF(J85="pictures",2,IF(J85="object pictures",2,IF(J85="faces",2,IF(J85="names",2,IF(J85="idioms","2",IF(J85="grades",2,IF(J85="syllable-digit pairs",3,IF(J85="trigram-word pairs",3,IF(J85="word-digit pairs",3,IF(J85="English-Swahili pairs",3,IF(J85="spatial position",3,IF(J85="word pairs",4,IF(J85="word triads",4,IF(J85="generated words",4,IF(J85="word definition pairs",4,IF(J85="math problems",4,IF(J85="famous faces",4,IF(J85="famous names",4,IF(J85="famous voices",4,IF(J85="television programs",4,IF(J85="race horses",4,IF(J85="new vocabulary",4,IF(J85="sentences",5,IF(J85="concepts",5,IF(J85="ad slides",5,IF(J85="scenes",5,IF(J85="famous scenes",5,IF(J85="poems",6,IF(J85="walk",6,IF(J85="faces and events",6,IF(J85="events and names",6,IF(J85="flashbulb",7,IF(J85="stories",7,IF(J85="course material",7,IF(J85="autobiographical",7,IF(J85="novels",7,IF(J85="public events",7,"99"))))))))))))))))))))))))))))))))))))))))))))))</f>
        <v>7</v>
      </c>
      <c r="M85" s="92">
        <v>1</v>
      </c>
      <c r="N85" s="92">
        <v>4</v>
      </c>
      <c r="O85" s="92">
        <v>0</v>
      </c>
      <c r="P85" s="92"/>
      <c r="Q85" s="92" t="s">
        <v>174</v>
      </c>
      <c r="R85" s="69">
        <f>IF(Q85="Free Recall",1,IF(Q85="Cued Recall",2,IF(Q85="Recognition",3,IF(Q85="Multiple Choice",4,IF(Q85="Savings",5,IF(Q85="Stem Completion",6,IF(Q85="Fragment Completion",7,IF(Q85="anagram solution",8,IF(Q85="Matching",9,IF(Q85="Problem Solving",10,"99"))))))))))</f>
        <v>1</v>
      </c>
      <c r="S85" s="69" t="s">
        <v>49</v>
      </c>
      <c r="T85" s="92" t="s">
        <v>581</v>
      </c>
      <c r="U85" s="69">
        <f>IF(T85="within",1,0)</f>
        <v>1</v>
      </c>
      <c r="V85" s="92">
        <v>60</v>
      </c>
      <c r="W85" s="69">
        <f>F85*V85</f>
        <v>1500</v>
      </c>
      <c r="X85" s="92">
        <v>3</v>
      </c>
      <c r="Y85" s="87">
        <f>AV84</f>
        <v>30</v>
      </c>
      <c r="Z85" s="92" t="s">
        <v>150</v>
      </c>
      <c r="AA85" s="92">
        <f>60*60*24*7</f>
        <v>604800</v>
      </c>
      <c r="AB85" s="69" t="str">
        <f>IF(AA85&lt;60,"1",IF(AA85&lt;=43200,"2",IF(AA85&lt;=777600,"3","4")))</f>
        <v>3</v>
      </c>
      <c r="AC85" s="72">
        <f>AVERAGE(AV84:DA84)</f>
        <v>237610</v>
      </c>
      <c r="AD85" s="69" t="str">
        <f>IF(AC85&lt;60,"1",IF(AC85&lt;=43200,"2",IF(AC85&lt;=777600,"3","4")))</f>
        <v>3</v>
      </c>
      <c r="AE85" s="87">
        <f>AA85-Y85</f>
        <v>604770</v>
      </c>
      <c r="AF85" s="88">
        <f>AV85</f>
        <v>0.66315160503765003</v>
      </c>
      <c r="AG85" s="72">
        <f>((AW85-AV85)+(AX85-AW85))/2</f>
        <v>-0.11565195996675376</v>
      </c>
      <c r="AH85" s="4"/>
      <c r="AI85" s="72">
        <f>RSQ(AV85:AX85,AV84:AX84)</f>
        <v>0.91758320833890517</v>
      </c>
      <c r="AJ85" s="110">
        <f>SLOPE(AV85:AX85,AV84:AX84)</f>
        <v>-3.4417678999797528E-7</v>
      </c>
      <c r="AK85" s="72">
        <f>INTERCEPT(AV85:AX85,AV84:AX84)</f>
        <v>0.6335758342820248</v>
      </c>
      <c r="AL85" s="72">
        <f>INDEX(LINEST(LN(AV85:AX85),LN(AV84:AX84),TRUE,TRUE),3,1)</f>
        <v>0.78375095553066776</v>
      </c>
      <c r="AM85" s="72">
        <f>INDEX(LINEST(LN(AV85:AX85),LN(AV84:AX84)),1)</f>
        <v>-3.612848953466926E-2</v>
      </c>
      <c r="AN85" s="72">
        <f>EXP(INDEX(LINEST(LN(AV85:AX85),LN(AV84:AX84)),1,2))</f>
        <v>0.76414646569837374</v>
      </c>
      <c r="AO85" s="89">
        <f>INDEX(LINEST((AV85:AX85),LN(AV84:AX84),TRUE,TRUE),3,1)</f>
        <v>0.83039148931102669</v>
      </c>
      <c r="AP85" s="89">
        <f>INDEX(LINEST((AV85:AX85),LN(AV84:AX84)),1)</f>
        <v>-1.9942399794510499E-2</v>
      </c>
      <c r="AQ85" s="90">
        <f>INDEX(LINEST(LN(AV85:AX85),SQRT(AV84:AX84),TRUE,TRUE),3,1)</f>
        <v>0.99912417435190948</v>
      </c>
      <c r="AR85" s="117">
        <f>INDEX(LINEST(LN(AV85:AX85),SQRT((AV84:AX84))),1)</f>
        <v>-5.5700974694259232E-4</v>
      </c>
      <c r="AS85" s="91">
        <f>INDEX(LINEST(1/(AV85:AX85),1/(SQRT(AV84:AX84)),TRUE,TRUE),3,1)</f>
        <v>0.58970001056415022</v>
      </c>
      <c r="AT85" s="91">
        <f>INDEX(LINEST(1/(AV85:AX85),1/SQRT(AV84:AX84)),1)</f>
        <v>-3.0261305776105423</v>
      </c>
      <c r="AU85" s="3"/>
      <c r="AV85" s="97">
        <v>0.66315160503765003</v>
      </c>
      <c r="AW85" s="97">
        <v>0.56038867149002503</v>
      </c>
      <c r="AX85" s="97">
        <v>0.43184768510414251</v>
      </c>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5"/>
      <c r="CS85" s="15"/>
      <c r="CT85" s="15"/>
      <c r="CU85" s="15"/>
    </row>
    <row r="86" spans="1:99" ht="12" customHeight="1" x14ac:dyDescent="0.2">
      <c r="A86" s="68">
        <v>43978</v>
      </c>
      <c r="B86" s="94"/>
      <c r="C86" s="94"/>
      <c r="D86" s="92"/>
      <c r="E86" s="105"/>
      <c r="F86" s="92"/>
      <c r="G86" s="92"/>
      <c r="H86" s="92"/>
      <c r="I86" s="92"/>
      <c r="J86" s="92"/>
      <c r="K86" s="69"/>
      <c r="L86" s="69"/>
      <c r="M86" s="92"/>
      <c r="N86" s="92"/>
      <c r="O86" s="92"/>
      <c r="P86" s="92"/>
      <c r="Q86" s="92"/>
      <c r="R86" s="69"/>
      <c r="S86" s="69"/>
      <c r="T86" s="92"/>
      <c r="U86" s="69"/>
      <c r="V86" s="92"/>
      <c r="W86" s="69"/>
      <c r="X86" s="92"/>
      <c r="Y86" s="87"/>
      <c r="Z86" s="92"/>
      <c r="AA86" s="92"/>
      <c r="AB86" s="69"/>
      <c r="AC86" s="72"/>
      <c r="AD86" s="69"/>
      <c r="AE86" s="87"/>
      <c r="AF86" s="88"/>
      <c r="AG86" s="72"/>
      <c r="AH86" s="4"/>
      <c r="AI86" s="72"/>
      <c r="AJ86" s="110"/>
      <c r="AK86" s="72"/>
      <c r="AL86" s="72"/>
      <c r="AM86" s="72"/>
      <c r="AN86" s="72"/>
      <c r="AO86" s="89"/>
      <c r="AP86" s="89"/>
      <c r="AQ86" s="90"/>
      <c r="AR86" s="117"/>
      <c r="AS86" s="91"/>
      <c r="AT86" s="91"/>
      <c r="AU86" s="3"/>
      <c r="AV86" s="98">
        <v>30</v>
      </c>
      <c r="AW86" s="98">
        <f>60*60*30</f>
        <v>108000</v>
      </c>
      <c r="AX86" s="98">
        <f>60*60*24*7</f>
        <v>604800</v>
      </c>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5"/>
      <c r="CS86" s="15"/>
      <c r="CT86" s="15"/>
      <c r="CU86" s="15"/>
    </row>
    <row r="87" spans="1:99" ht="12" customHeight="1" x14ac:dyDescent="0.2">
      <c r="A87" s="68">
        <v>43978</v>
      </c>
      <c r="B87" s="94" t="s">
        <v>948</v>
      </c>
      <c r="C87" s="94" t="s">
        <v>54</v>
      </c>
      <c r="D87" s="92">
        <v>2014</v>
      </c>
      <c r="E87" s="105">
        <v>1</v>
      </c>
      <c r="F87" s="92">
        <v>25</v>
      </c>
      <c r="G87" s="92">
        <v>25</v>
      </c>
      <c r="H87" s="92" t="s">
        <v>41</v>
      </c>
      <c r="I87" s="92" t="s">
        <v>961</v>
      </c>
      <c r="J87" s="92" t="s">
        <v>677</v>
      </c>
      <c r="K87" s="69">
        <f>IF(J87="syllables",1,IF(J87="trigrams",2,IF(J87="strings",3,IF(J87="visual array",4,IF(J87="characters",5,IF(J87="letters",6,IF(J87="free forms",7,IF(J87="odors",8,IF(J87="words",9,IF(J87="pictures",10,IF(J87="object pictures",11,IF(J87="faces",12,IF(J87="names",13,IF(J87="idioms",14,IF(J87="grades",15,IF(J87="syllable-digit pairs",16,IF(J87="trigram-word pairs",17,IF(J87="word-digit pairs",18,IF(J87="English-Swahili pairs",19,IF(J87="spatial position",20,IF(J87="word pairs",21,IF(J87="word triads",22,IF(J87="generated words",23,IF(J87="word definition pairs",24,IF(J87="math problems",25,IF(J87="famous faces",26,IF(J87="famous names",27,IF(J87="famous voices",28,IF(J87="television programs",29,IF(J87="race horses",30,IF(J87="new vocabulary",31,IF(J87="sentences",32,IF(J87="concepts",33,IF(J87="ad slides",34,IF(J87="scenes",35,IF(J87="famous scenes",36,IF(J87="poems",37,IF(J87="walk",38,IF(J87="faces and events",39,IF(J87="events and names",40,IF(J87="flashbulb",41,IF(J87="stories",42,IF(J87="course material",43,IF(J87="autobiographical",44,IF(J87="novels",45,IF(J87="public events",46,"99"))))))))))))))))))))))))))))))))))))))))))))))</f>
        <v>42</v>
      </c>
      <c r="L87" s="69">
        <f>IF(J87="syllables",1,IF(J87="trigrams",1,IF(J87="strings",1,IF(J87="visual array",1,IF(J87="characters",1,IF(J87="letters",1,IF(J87="free forms",1,IF(J87="odors",2,IF(J87="words",2,IF(J87="pictures",2,IF(J87="object pictures",2,IF(J87="faces",2,IF(J87="names",2,IF(J87="idioms","2",IF(J87="grades",2,IF(J87="syllable-digit pairs",3,IF(J87="trigram-word pairs",3,IF(J87="word-digit pairs",3,IF(J87="English-Swahili pairs",3,IF(J87="spatial position",3,IF(J87="word pairs",4,IF(J87="word triads",4,IF(J87="generated words",4,IF(J87="word definition pairs",4,IF(J87="math problems",4,IF(J87="famous faces",4,IF(J87="famous names",4,IF(J87="famous voices",4,IF(J87="television programs",4,IF(J87="race horses",4,IF(J87="new vocabulary",4,IF(J87="sentences",5,IF(J87="concepts",5,IF(J87="ad slides",5,IF(J87="scenes",5,IF(J87="famous scenes",5,IF(J87="poems",6,IF(J87="walk",6,IF(J87="faces and events",6,IF(J87="events and names",6,IF(J87="flashbulb",7,IF(J87="stories",7,IF(J87="course material",7,IF(J87="autobiographical",7,IF(J87="novels",7,IF(J87="public events",7,"99"))))))))))))))))))))))))))))))))))))))))))))))</f>
        <v>7</v>
      </c>
      <c r="M87" s="92">
        <v>1</v>
      </c>
      <c r="N87" s="92">
        <v>4</v>
      </c>
      <c r="O87" s="92">
        <v>0</v>
      </c>
      <c r="P87" s="92"/>
      <c r="Q87" s="92" t="s">
        <v>182</v>
      </c>
      <c r="R87" s="69">
        <f>IF(Q87="Free Recall",1,IF(Q87="Cued Recall",2,IF(Q87="Recognition",3,IF(Q87="Multiple Choice",4,IF(Q87="Savings",5,IF(Q87="Stem Completion",6,IF(Q87="Fragment Completion",7,IF(Q87="anagram solution",8,IF(Q87="Matching",9,IF(Q87="Problem Solving",10,"99"))))))))))</f>
        <v>4</v>
      </c>
      <c r="S87" s="69" t="s">
        <v>15</v>
      </c>
      <c r="T87" s="92" t="s">
        <v>581</v>
      </c>
      <c r="U87" s="69">
        <f>IF(T87="within",1,0)</f>
        <v>1</v>
      </c>
      <c r="V87" s="92">
        <v>36</v>
      </c>
      <c r="W87" s="69">
        <f>F87*V87</f>
        <v>900</v>
      </c>
      <c r="X87" s="92">
        <v>3</v>
      </c>
      <c r="Y87" s="87">
        <f>AV86</f>
        <v>30</v>
      </c>
      <c r="Z87" s="92" t="s">
        <v>150</v>
      </c>
      <c r="AA87" s="92">
        <f>60*60*24*7</f>
        <v>604800</v>
      </c>
      <c r="AB87" s="69" t="str">
        <f>IF(AA87&lt;60,"1",IF(AA87&lt;=43200,"2",IF(AA87&lt;=777600,"3","4")))</f>
        <v>3</v>
      </c>
      <c r="AC87" s="72">
        <f>AVERAGE(AV86:DA86)</f>
        <v>237610</v>
      </c>
      <c r="AD87" s="69" t="str">
        <f>IF(AC87&lt;60,"1",IF(AC87&lt;=43200,"2",IF(AC87&lt;=777600,"3","4")))</f>
        <v>3</v>
      </c>
      <c r="AE87" s="87">
        <f>AA87-Y87</f>
        <v>604770</v>
      </c>
      <c r="AF87" s="88">
        <f>AV87</f>
        <v>0.82382825303179252</v>
      </c>
      <c r="AG87" s="72">
        <f>((AW87-AV87)+(AX87-AW87))/2</f>
        <v>-2.7450016388069542E-2</v>
      </c>
      <c r="AH87" s="4"/>
      <c r="AI87" s="72">
        <f>RSQ(AV87:AX87,AV86:AX86)</f>
        <v>0.99974972985762456</v>
      </c>
      <c r="AJ87" s="110">
        <f>SLOPE(AV87:AX87,AV86:AX86)</f>
        <v>-9.0248328694824873E-8</v>
      </c>
      <c r="AK87" s="72">
        <f>INTERCEPT(AV87:AX87,AV86:AX86)</f>
        <v>0.82342139909908385</v>
      </c>
      <c r="AL87" s="72">
        <f>INDEX(LINEST(LN(AV87:AX87),LN(AV86:AX86),TRUE,TRUE),3,1)</f>
        <v>0.57978096158421022</v>
      </c>
      <c r="AM87" s="72">
        <f>INDEX(LINEST(LN(AV87:AX87),LN(AV86:AX86)),1)</f>
        <v>-5.2686385463934469E-3</v>
      </c>
      <c r="AN87" s="72">
        <f>EXP(INDEX(LINEST(LN(AV87:AX87),LN(AV86:AX86)),1,2))</f>
        <v>0.84247429062737211</v>
      </c>
      <c r="AO87" s="89">
        <f>INDEX(LINEST((AV87:AX87),LN(AV86:AX86),TRUE,TRUE),3,1)</f>
        <v>0.58515368853725858</v>
      </c>
      <c r="AP87" s="89">
        <f>INDEX(LINEST((AV87:AX87),LN(AV86:AX86)),1)</f>
        <v>-4.2053835973907489E-3</v>
      </c>
      <c r="AQ87" s="90">
        <f>INDEX(LINEST(LN(AV87:AX87),SQRT(AV86:AX86),TRUE,TRUE),3,1)</f>
        <v>0.93821009155286217</v>
      </c>
      <c r="AR87" s="117">
        <f>INDEX(LINEST(LN(AV87:AX87),SQRT((AV86:AX86))),1)</f>
        <v>-9.1518475659913259E-5</v>
      </c>
      <c r="AS87" s="91">
        <f>INDEX(LINEST(1/(AV87:AX87),1/(SQRT(AV86:AX86)),TRUE,TRUE),3,1)</f>
        <v>0.42016509436058652</v>
      </c>
      <c r="AT87" s="91">
        <f>INDEX(LINEST(1/(AV87:AX87),1/SQRT(AV86:AX86)),1)</f>
        <v>-0.2871061634336976</v>
      </c>
      <c r="AU87" s="3"/>
      <c r="AV87" s="97">
        <v>0.82382825303179252</v>
      </c>
      <c r="AW87" s="97">
        <v>0.81317600786627331</v>
      </c>
      <c r="AX87" s="97">
        <v>0.76892822025565344</v>
      </c>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5"/>
      <c r="CS87" s="15"/>
      <c r="CT87" s="15"/>
      <c r="CU87" s="15"/>
    </row>
    <row r="88" spans="1:99" ht="12" customHeight="1" x14ac:dyDescent="0.2">
      <c r="A88" s="68">
        <v>43978</v>
      </c>
      <c r="B88" s="94"/>
      <c r="C88" s="94"/>
      <c r="D88" s="92"/>
      <c r="E88" s="105"/>
      <c r="F88" s="92"/>
      <c r="G88" s="92"/>
      <c r="H88" s="92"/>
      <c r="I88" s="92"/>
      <c r="J88" s="92"/>
      <c r="K88" s="69"/>
      <c r="L88" s="69"/>
      <c r="M88" s="92"/>
      <c r="N88" s="92"/>
      <c r="O88" s="92"/>
      <c r="P88" s="92"/>
      <c r="Q88" s="92"/>
      <c r="R88" s="69"/>
      <c r="S88" s="69"/>
      <c r="T88" s="92"/>
      <c r="U88" s="69"/>
      <c r="V88" s="92"/>
      <c r="W88" s="69"/>
      <c r="X88" s="92"/>
      <c r="Y88" s="87"/>
      <c r="Z88" s="92"/>
      <c r="AA88" s="92"/>
      <c r="AB88" s="69"/>
      <c r="AC88" s="72"/>
      <c r="AD88" s="69"/>
      <c r="AE88" s="87"/>
      <c r="AF88" s="88"/>
      <c r="AG88" s="72"/>
      <c r="AH88" s="4"/>
      <c r="AI88" s="72"/>
      <c r="AJ88" s="110"/>
      <c r="AK88" s="72"/>
      <c r="AL88" s="72"/>
      <c r="AM88" s="72"/>
      <c r="AN88" s="72"/>
      <c r="AO88" s="89"/>
      <c r="AP88" s="89"/>
      <c r="AQ88" s="90"/>
      <c r="AR88" s="117"/>
      <c r="AS88" s="91"/>
      <c r="AT88" s="91"/>
      <c r="AU88" s="3"/>
      <c r="AV88" s="98">
        <v>30</v>
      </c>
      <c r="AW88" s="98">
        <f>60*60*30</f>
        <v>108000</v>
      </c>
      <c r="AX88" s="98">
        <f>60*60*24*7</f>
        <v>604800</v>
      </c>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5"/>
      <c r="CS88" s="15"/>
      <c r="CT88" s="15"/>
      <c r="CU88" s="15"/>
    </row>
    <row r="89" spans="1:99" ht="12" customHeight="1" x14ac:dyDescent="0.2">
      <c r="A89" s="68">
        <v>43978</v>
      </c>
      <c r="B89" s="94" t="s">
        <v>948</v>
      </c>
      <c r="C89" s="94" t="s">
        <v>54</v>
      </c>
      <c r="D89" s="92">
        <v>2014</v>
      </c>
      <c r="E89" s="105">
        <v>1</v>
      </c>
      <c r="F89" s="92">
        <v>25</v>
      </c>
      <c r="G89" s="92">
        <v>25</v>
      </c>
      <c r="H89" s="92" t="s">
        <v>41</v>
      </c>
      <c r="I89" s="92" t="s">
        <v>962</v>
      </c>
      <c r="J89" s="92" t="s">
        <v>677</v>
      </c>
      <c r="K89" s="69">
        <f>IF(J89="syllables",1,IF(J89="trigrams",2,IF(J89="strings",3,IF(J89="visual array",4,IF(J89="characters",5,IF(J89="letters",6,IF(J89="free forms",7,IF(J89="odors",8,IF(J89="words",9,IF(J89="pictures",10,IF(J89="object pictures",11,IF(J89="faces",12,IF(J89="names",13,IF(J89="idioms",14,IF(J89="grades",15,IF(J89="syllable-digit pairs",16,IF(J89="trigram-word pairs",17,IF(J89="word-digit pairs",18,IF(J89="English-Swahili pairs",19,IF(J89="spatial position",20,IF(J89="word pairs",21,IF(J89="word triads",22,IF(J89="generated words",23,IF(J89="word definition pairs",24,IF(J89="math problems",25,IF(J89="famous faces",26,IF(J89="famous names",27,IF(J89="famous voices",28,IF(J89="television programs",29,IF(J89="race horses",30,IF(J89="new vocabulary",31,IF(J89="sentences",32,IF(J89="concepts",33,IF(J89="ad slides",34,IF(J89="scenes",35,IF(J89="famous scenes",36,IF(J89="poems",37,IF(J89="walk",38,IF(J89="faces and events",39,IF(J89="events and names",40,IF(J89="flashbulb",41,IF(J89="stories",42,IF(J89="course material",43,IF(J89="autobiographical",44,IF(J89="novels",45,IF(J89="public events",46,"99"))))))))))))))))))))))))))))))))))))))))))))))</f>
        <v>42</v>
      </c>
      <c r="L89" s="69">
        <f>IF(J89="syllables",1,IF(J89="trigrams",1,IF(J89="strings",1,IF(J89="visual array",1,IF(J89="characters",1,IF(J89="letters",1,IF(J89="free forms",1,IF(J89="odors",2,IF(J89="words",2,IF(J89="pictures",2,IF(J89="object pictures",2,IF(J89="faces",2,IF(J89="names",2,IF(J89="idioms","2",IF(J89="grades",2,IF(J89="syllable-digit pairs",3,IF(J89="trigram-word pairs",3,IF(J89="word-digit pairs",3,IF(J89="English-Swahili pairs",3,IF(J89="spatial position",3,IF(J89="word pairs",4,IF(J89="word triads",4,IF(J89="generated words",4,IF(J89="word definition pairs",4,IF(J89="math problems",4,IF(J89="famous faces",4,IF(J89="famous names",4,IF(J89="famous voices",4,IF(J89="television programs",4,IF(J89="race horses",4,IF(J89="new vocabulary",4,IF(J89="sentences",5,IF(J89="concepts",5,IF(J89="ad slides",5,IF(J89="scenes",5,IF(J89="famous scenes",5,IF(J89="poems",6,IF(J89="walk",6,IF(J89="faces and events",6,IF(J89="events and names",6,IF(J89="flashbulb",7,IF(J89="stories",7,IF(J89="course material",7,IF(J89="autobiographical",7,IF(J89="novels",7,IF(J89="public events",7,"99"))))))))))))))))))))))))))))))))))))))))))))))</f>
        <v>7</v>
      </c>
      <c r="M89" s="92">
        <v>1</v>
      </c>
      <c r="N89" s="92">
        <v>4</v>
      </c>
      <c r="O89" s="92">
        <v>0</v>
      </c>
      <c r="P89" s="92"/>
      <c r="Q89" s="92" t="s">
        <v>182</v>
      </c>
      <c r="R89" s="69">
        <f>IF(Q89="Free Recall",1,IF(Q89="Cued Recall",2,IF(Q89="Recognition",3,IF(Q89="Multiple Choice",4,IF(Q89="Savings",5,IF(Q89="Stem Completion",6,IF(Q89="Fragment Completion",7,IF(Q89="anagram solution",8,IF(Q89="Matching",9,IF(Q89="Problem Solving",10,"99"))))))))))</f>
        <v>4</v>
      </c>
      <c r="S89" s="69" t="s">
        <v>15</v>
      </c>
      <c r="T89" s="92" t="s">
        <v>581</v>
      </c>
      <c r="U89" s="69">
        <f>IF(T89="within",1,0)</f>
        <v>1</v>
      </c>
      <c r="V89" s="92">
        <v>36</v>
      </c>
      <c r="W89" s="69">
        <f>F89*V89</f>
        <v>900</v>
      </c>
      <c r="X89" s="92">
        <v>3</v>
      </c>
      <c r="Y89" s="87">
        <f>AV88</f>
        <v>30</v>
      </c>
      <c r="Z89" s="92" t="s">
        <v>150</v>
      </c>
      <c r="AA89" s="92">
        <f>60*60*24*7</f>
        <v>604800</v>
      </c>
      <c r="AB89" s="69" t="str">
        <f>IF(AA89&lt;60,"1",IF(AA89&lt;=43200,"2",IF(AA89&lt;=777600,"3","4")))</f>
        <v>3</v>
      </c>
      <c r="AC89" s="72">
        <f>AVERAGE(AV88:DA88)</f>
        <v>237610</v>
      </c>
      <c r="AD89" s="69" t="str">
        <f>IF(AC89&lt;60,"1",IF(AC89&lt;=43200,"2",IF(AC89&lt;=777600,"3","4")))</f>
        <v>3</v>
      </c>
      <c r="AE89" s="87">
        <f>AA89-Y89</f>
        <v>604770</v>
      </c>
      <c r="AF89" s="88">
        <f>AV89</f>
        <v>0.80252376270075343</v>
      </c>
      <c r="AG89" s="72">
        <f>((AW89-AV89)+(AX89-AW89))/2</f>
        <v>-3.5644051130776733E-2</v>
      </c>
      <c r="AH89" s="4"/>
      <c r="AI89" s="72">
        <f>RSQ(AV89:AX89,AV88:AX88)</f>
        <v>0.99968485601570944</v>
      </c>
      <c r="AJ89" s="110">
        <f>SLOPE(AV89:AX89,AV88:AX88)</f>
        <v>-1.186584291620325E-7</v>
      </c>
      <c r="AK89" s="72">
        <f>INTERCEPT(AV89:AX89,AV88:AX88)</f>
        <v>0.80313160842016273</v>
      </c>
      <c r="AL89" s="72">
        <f>INDEX(LINEST(LN(AV89:AX89),LN(AV88:AX88),TRUE,TRUE),3,1)</f>
        <v>0.54579095173233882</v>
      </c>
      <c r="AM89" s="72">
        <f>INDEX(LINEST(LN(AV89:AX89),LN(AV88:AX88)),1)</f>
        <v>-6.9854909369670938E-3</v>
      </c>
      <c r="AN89" s="72">
        <f>EXP(INDEX(LINEST(LN(AV89:AX89),LN(AV88:AX88)),1,2))</f>
        <v>0.82704480163336969</v>
      </c>
      <c r="AO89" s="89">
        <f>INDEX(LINEST((AV89:AX89),LN(AV88:AX88),TRUE,TRUE),3,1)</f>
        <v>0.55190330941575305</v>
      </c>
      <c r="AP89" s="89">
        <f>INDEX(LINEST((AV89:AX89),LN(AV88:AX88)),1)</f>
        <v>-5.3700169931389678E-3</v>
      </c>
      <c r="AQ89" s="90">
        <f>INDEX(LINEST(LN(AV89:AX89),SQRT(AV88:AX88),TRUE,TRUE),3,1)</f>
        <v>0.92069244956677587</v>
      </c>
      <c r="AR89" s="117">
        <f>INDEX(LINEST(LN(AV89:AX89),SQRT((AV88:AX88))),1)</f>
        <v>-1.23889173770391E-4</v>
      </c>
      <c r="AS89" s="91">
        <f>INDEX(LINEST(1/(AV89:AX89),1/(SQRT(AV88:AX88)),TRUE,TRUE),3,1)</f>
        <v>0.38593348247632303</v>
      </c>
      <c r="AT89" s="91">
        <f>INDEX(LINEST(1/(AV89:AX89),1/SQRT(AV88:AX88)),1)</f>
        <v>-0.39091556355683355</v>
      </c>
      <c r="AU89" s="3"/>
      <c r="AV89" s="97">
        <v>0.80252376270075343</v>
      </c>
      <c r="AW89" s="97">
        <v>0.79105211406096332</v>
      </c>
      <c r="AX89" s="97">
        <v>0.73123566043919996</v>
      </c>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5"/>
      <c r="CS89" s="15"/>
      <c r="CT89" s="15"/>
      <c r="CU89" s="15"/>
    </row>
    <row r="90" spans="1:99" s="13" customFormat="1" ht="12" customHeight="1" x14ac:dyDescent="0.2">
      <c r="A90" s="65">
        <v>43509</v>
      </c>
      <c r="B90" s="1"/>
      <c r="C90" s="1"/>
      <c r="D90" s="60"/>
      <c r="E90" s="76"/>
      <c r="F90" s="60"/>
      <c r="G90" s="60"/>
      <c r="H90" s="60"/>
      <c r="I90" s="60"/>
      <c r="J90" s="60"/>
      <c r="K90" s="64"/>
      <c r="L90" s="64"/>
      <c r="M90" s="60"/>
      <c r="N90" s="60"/>
      <c r="O90" s="60"/>
      <c r="P90" s="60"/>
      <c r="Q90" s="60"/>
      <c r="R90" s="60"/>
      <c r="S90" s="60"/>
      <c r="T90" s="60"/>
      <c r="U90" s="60"/>
      <c r="V90" s="60"/>
      <c r="W90" s="60"/>
      <c r="X90" s="60"/>
      <c r="Y90" s="76"/>
      <c r="Z90" s="60"/>
      <c r="AA90" s="60"/>
      <c r="AB90" s="60"/>
      <c r="AC90" s="60"/>
      <c r="AD90" s="60"/>
      <c r="AE90" s="60"/>
      <c r="AF90" s="80"/>
      <c r="AG90" s="56"/>
      <c r="AH90" s="4"/>
      <c r="AI90" s="56"/>
      <c r="AJ90" s="109"/>
      <c r="AK90" s="56"/>
      <c r="AL90" s="56"/>
      <c r="AM90" s="56"/>
      <c r="AN90" s="56"/>
      <c r="AO90" s="56"/>
      <c r="AP90" s="56"/>
      <c r="AQ90" s="56"/>
      <c r="AR90" s="109"/>
      <c r="AS90" s="56"/>
      <c r="AT90" s="56"/>
      <c r="AU90" s="4"/>
      <c r="AV90" s="25">
        <f>30*60</f>
        <v>1800</v>
      </c>
      <c r="AW90" s="25">
        <f>60*60</f>
        <v>3600</v>
      </c>
      <c r="AX90" s="25">
        <f>2*60*60</f>
        <v>7200</v>
      </c>
      <c r="AY90" s="25">
        <f>4*60*60</f>
        <v>14400</v>
      </c>
      <c r="AZ90" s="25">
        <f>8*60*60</f>
        <v>28800</v>
      </c>
      <c r="BA90" s="25">
        <f>12*60*60</f>
        <v>43200</v>
      </c>
      <c r="BB90" s="25">
        <f>16*60*60</f>
        <v>57600</v>
      </c>
      <c r="BC90" s="25">
        <f>24*60*60</f>
        <v>86400</v>
      </c>
      <c r="BD90" s="25">
        <f>36*60*60</f>
        <v>129600</v>
      </c>
      <c r="BE90" s="25">
        <f>48*60*60</f>
        <v>172800</v>
      </c>
      <c r="BF90" s="25">
        <v>172800</v>
      </c>
      <c r="BG90" s="25">
        <v>259200</v>
      </c>
      <c r="BH90" s="53"/>
      <c r="BI90" s="53"/>
      <c r="BJ90" s="53"/>
      <c r="BK90" s="53"/>
      <c r="BL90" s="53"/>
      <c r="BM90" s="53"/>
      <c r="BN90" s="53"/>
      <c r="BO90" s="53"/>
      <c r="BP90" s="53"/>
      <c r="BQ90" s="53"/>
      <c r="BR90" s="53"/>
      <c r="BS90" s="53"/>
      <c r="BT90" s="53"/>
      <c r="BU90" s="53"/>
      <c r="BV90" s="53"/>
      <c r="BW90" s="53"/>
      <c r="BX90" s="53"/>
      <c r="BY90" s="53"/>
      <c r="BZ90" s="53"/>
      <c r="CA90" s="53"/>
      <c r="CB90" s="53"/>
      <c r="CC90" s="53"/>
      <c r="CD90" s="53"/>
      <c r="CE90" s="53"/>
      <c r="CF90" s="53"/>
      <c r="CG90" s="53"/>
      <c r="CH90" s="53"/>
      <c r="CI90" s="53"/>
      <c r="CJ90" s="53"/>
      <c r="CK90" s="53"/>
      <c r="CL90" s="53"/>
      <c r="CM90" s="53"/>
      <c r="CN90" s="53"/>
      <c r="CO90" s="53"/>
      <c r="CP90" s="53"/>
      <c r="CQ90" s="53"/>
      <c r="CR90" s="1"/>
      <c r="CS90" s="1"/>
      <c r="CT90" s="1"/>
      <c r="CU90" s="1"/>
    </row>
    <row r="91" spans="1:99" s="13" customFormat="1" ht="12" customHeight="1" x14ac:dyDescent="0.2">
      <c r="A91" s="65">
        <v>43509</v>
      </c>
      <c r="B91" s="1" t="s">
        <v>98</v>
      </c>
      <c r="C91" s="1" t="s">
        <v>84</v>
      </c>
      <c r="D91" s="60">
        <v>1913</v>
      </c>
      <c r="E91" s="76">
        <v>1</v>
      </c>
      <c r="F91" s="60">
        <v>14</v>
      </c>
      <c r="G91" s="60">
        <v>14</v>
      </c>
      <c r="H91" s="60" t="s">
        <v>38</v>
      </c>
      <c r="I91" s="60"/>
      <c r="J91" s="60" t="s">
        <v>281</v>
      </c>
      <c r="K91" s="60">
        <f>IF(J91="syllables",1,IF(J91="trigrams",2,IF(J91="strings",3,IF(J91="visual array",4,IF(J91="characters",5,IF(J91="letters",6,IF(J91="free forms",7,IF(J91="odors",8,IF(J91="words",9,IF(J91="pictures",10,IF(J91="object pictures",11,IF(J91="faces",12,IF(J91="names",13,IF(J91="idioms",14,IF(J91="grades",15,IF(J91="syllable-digit pairs",16,IF(J91="trigram-word pairs",17,IF(J91="word-digit pairs",18,IF(J91="English-Swahili pairs",19,IF(J91="spatial position",20,IF(J91="word pairs",21,IF(J91="word triads",22,IF(J91="generated words",23,IF(J91="word definition pairs",24,IF(J91="math problems",25,IF(J91="famous faces",26,IF(J91="famous names",27,IF(J91="famous voices",28,IF(J91="television programs",29,IF(J91="race horses",30,IF(J91="new vocabulary",31,IF(J91="sentences",32,IF(J91="concepts",33,IF(J91="ad slides",34,IF(J91="scenes",35,IF(J91="famous scenes",36,IF(J91="poems",37,IF(J91="walk",38,IF(J91="faces and events",39,IF(J91="events and names",40,IF(J91="flashbulb",41,IF(J91="stories",42,IF(J91="course material",43,IF(J91="autobiographical",44,IF(J91="novels",45,IF(J91="public events",46,"99"))))))))))))))))))))))))))))))))))))))))))))))</f>
        <v>1</v>
      </c>
      <c r="L91" s="60">
        <f>IF(J91="syllables",1,IF(J91="trigrams",1,IF(J91="strings",1,IF(J91="visual array",1,IF(J91="characters",1,IF(J91="letters",1,IF(J91="free forms",1,IF(J91="odors",2,IF(J91="words",2,IF(J91="pictures",2,IF(J91="object pictures",2,IF(J91="faces",2,IF(J91="names",2,IF(J91="idioms","2",IF(J91="grades",2,IF(J91="syllable-digit pairs",3,IF(J91="trigram-word pairs",3,IF(J91="word-digit pairs",3,IF(J91="English-Swahili pairs",3,IF(J91="spatial position",3,IF(J91="word pairs",4,IF(J91="word triads",4,IF(J91="generated words",4,IF(J91="word definition pairs",4,IF(J91="math problems",4,IF(J91="famous faces",4,IF(J91="famous names",4,IF(J91="famous voices",4,IF(J91="television programs",4,IF(J91="race horses",4,IF(J91="new vocabulary",4,IF(J91="sentences",5,IF(J91="concepts",5,IF(J91="ad slides",5,IF(J91="scenes",5,IF(J91="famous scenes",5,IF(J91="poems",6,IF(J91="walk",6,IF(J91="faces and events",6,IF(J91="events and names",6,IF(J91="flashbulb",7,IF(J91="stories",7,IF(J91="course material",7,IF(J91="autobiographical",7,IF(J91="novels",7,IF(J91="public events",7,"99"))))))))))))))))))))))))))))))))))))))))))))))</f>
        <v>1</v>
      </c>
      <c r="M91" s="60">
        <v>1</v>
      </c>
      <c r="N91" s="60">
        <v>2</v>
      </c>
      <c r="O91" s="60">
        <v>0</v>
      </c>
      <c r="P91" s="60"/>
      <c r="Q91" s="60" t="s">
        <v>99</v>
      </c>
      <c r="R91" s="60">
        <f>IF(Q91="Free Recall",1,IF(Q91="Cued Recall",2,IF(Q91="Recognition",3,IF(Q91="Multiple Choice",4,IF(Q91="Savings",5,IF(Q91="Stem Completion",6,IF(Q91="Fragment Completion",7,IF(Q91="anagram solution",8,IF(Q91="Matching",9,IF(Q91="Problem Solving",10,"99"))))))))))</f>
        <v>5</v>
      </c>
      <c r="S91" s="60" t="s">
        <v>99</v>
      </c>
      <c r="T91" s="59" t="s">
        <v>581</v>
      </c>
      <c r="U91" s="60">
        <f>IF(T91="within",1,0)</f>
        <v>1</v>
      </c>
      <c r="V91" s="59">
        <v>132</v>
      </c>
      <c r="W91" s="60">
        <f>F91*V91</f>
        <v>1848</v>
      </c>
      <c r="X91" s="60">
        <v>12</v>
      </c>
      <c r="Y91" s="76">
        <f>AV90</f>
        <v>1800</v>
      </c>
      <c r="Z91" s="60" t="s">
        <v>100</v>
      </c>
      <c r="AA91" s="76">
        <f>48*60*60</f>
        <v>172800</v>
      </c>
      <c r="AB91" s="60" t="str">
        <f>IF(AA91&lt;60,"1",IF(AA91&lt;=43200,"2",IF(AA91&lt;=777600,"3","4")))</f>
        <v>3</v>
      </c>
      <c r="AC91" s="56">
        <f>AVERAGE(AV90:DA90)</f>
        <v>81450</v>
      </c>
      <c r="AD91" s="60" t="str">
        <f>IF(AC91&lt;60,"1",IF(AC91&lt;=43200,"2",IF(AC91&lt;=777600,"3","4")))</f>
        <v>3</v>
      </c>
      <c r="AE91" s="76">
        <f>AA91-Y91</f>
        <v>171000</v>
      </c>
      <c r="AF91" s="80">
        <f>AV91</f>
        <v>1</v>
      </c>
      <c r="AG91" s="56">
        <f>((AW91-AV91)+(AX91-AW91)+(AY91-AX91)+(AZ91-AY91)+(BA91-AZ91)+(BB91-BA91)+(BC91-BB91)+(BD91-BC91)+(BE91-BD91)+(BF91-BE91)+(BG91-BF91))/11</f>
        <v>-4.3545454545454547E-2</v>
      </c>
      <c r="AH91" s="4"/>
      <c r="AI91" s="56">
        <f>RSQ(AV91:BG91,AV90:BG90)</f>
        <v>0.54893433230157196</v>
      </c>
      <c r="AJ91" s="109">
        <f>SLOPE(AV91:BG91,AV90:BG90)</f>
        <v>-1.1032666816965239E-6</v>
      </c>
      <c r="AK91" s="56">
        <f>INTERCEPT(AV91:BG91,AV90:BG90)</f>
        <v>0.75661107122418181</v>
      </c>
      <c r="AL91" s="56">
        <f>INDEX(LINEST(LN(AV91:BG91),LN(AV90:BG90),TRUE,TRUE),3,1)</f>
        <v>0.89098901006359343</v>
      </c>
      <c r="AM91" s="56">
        <f>INDEX(LINEST(LN(AV91:BG91),LN(AV90:BG90)),1)</f>
        <v>-9.8947942040260403E-2</v>
      </c>
      <c r="AN91" s="56">
        <f>EXP(INDEX(LINEST(LN(AV91:BG91),LN(AV90:BG90)),1,2))</f>
        <v>1.8542913780464736</v>
      </c>
      <c r="AO91" s="82">
        <f>INDEX(LINEST((AV91:BG91),LN(AV90:BG90),TRUE,TRUE),3,1)</f>
        <v>0.84177670601232557</v>
      </c>
      <c r="AP91" s="82">
        <f>INDEX(LINEST((AV91:BG91),LN(AV90:BG90)),1)</f>
        <v>-7.0500015927161236E-2</v>
      </c>
      <c r="AQ91" s="83">
        <f>INDEX(LINEST(LN(AV91:BG91),SQRT(AV90:BG90),TRUE,TRUE),3,1)</f>
        <v>0.78252070486399605</v>
      </c>
      <c r="AR91" s="116">
        <f>INDEX(LINEST(LN(AV91:BG91),SQRT((AV90:BG90))),1)</f>
        <v>-9.6990216543095975E-4</v>
      </c>
      <c r="AS91" s="84">
        <f>INDEX(LINEST(1/(AV91:BG91),1/(SQRT(AV90:BG90)),TRUE,TRUE),3,1)</f>
        <v>0.85241924253549894</v>
      </c>
      <c r="AT91" s="84">
        <f>INDEX(LINEST(1/(AV91:BG91),1/SQRT(AV90:BG90)),1)</f>
        <v>-33.182807497827476</v>
      </c>
      <c r="AU91" s="3"/>
      <c r="AV91" s="53">
        <v>1</v>
      </c>
      <c r="AW91" s="53">
        <v>0.75</v>
      </c>
      <c r="AX91" s="53">
        <v>0.72799999999999998</v>
      </c>
      <c r="AY91" s="53">
        <v>0.69399999999999995</v>
      </c>
      <c r="AZ91" s="53">
        <v>0.66400000000000003</v>
      </c>
      <c r="BA91" s="53">
        <v>0.65500000000000003</v>
      </c>
      <c r="BB91" s="53">
        <v>0.63800000000000001</v>
      </c>
      <c r="BC91" s="53">
        <v>0.63</v>
      </c>
      <c r="BD91" s="53">
        <v>0.57799999999999996</v>
      </c>
      <c r="BE91" s="53">
        <v>0.58799999999999997</v>
      </c>
      <c r="BF91" s="53">
        <v>0.55500000000000005</v>
      </c>
      <c r="BG91" s="53">
        <v>0.52100000000000002</v>
      </c>
      <c r="BH91" s="53"/>
      <c r="BI91" s="53"/>
      <c r="BJ91" s="53"/>
      <c r="BK91" s="53"/>
      <c r="BL91" s="53"/>
      <c r="BM91" s="53"/>
      <c r="BN91" s="53"/>
      <c r="BO91" s="53"/>
      <c r="BP91" s="53"/>
      <c r="BQ91" s="53"/>
      <c r="BR91" s="53"/>
      <c r="BS91" s="53"/>
      <c r="BT91" s="53"/>
      <c r="BU91" s="53"/>
      <c r="BV91" s="53"/>
      <c r="BW91" s="53"/>
      <c r="BX91" s="53"/>
      <c r="BY91" s="53"/>
      <c r="BZ91" s="53"/>
      <c r="CA91" s="53"/>
      <c r="CB91" s="53"/>
      <c r="CC91" s="53"/>
      <c r="CD91" s="53"/>
      <c r="CE91" s="53"/>
      <c r="CF91" s="53"/>
      <c r="CG91" s="53"/>
      <c r="CH91" s="53"/>
      <c r="CI91" s="53"/>
      <c r="CJ91" s="53"/>
      <c r="CK91" s="53"/>
      <c r="CL91" s="53"/>
      <c r="CM91" s="53"/>
      <c r="CN91" s="53"/>
      <c r="CO91" s="53"/>
      <c r="CP91" s="53"/>
      <c r="CQ91" s="53"/>
      <c r="CR91" s="1"/>
      <c r="CS91" s="1"/>
      <c r="CT91" s="1"/>
      <c r="CU91" s="1"/>
    </row>
    <row r="92" spans="1:99" s="13" customFormat="1" ht="12" customHeight="1" x14ac:dyDescent="0.2">
      <c r="A92" s="68">
        <v>43509</v>
      </c>
      <c r="B92" s="70"/>
      <c r="C92" s="70"/>
      <c r="D92" s="69"/>
      <c r="E92" s="87"/>
      <c r="F92" s="69"/>
      <c r="G92" s="69"/>
      <c r="H92" s="69"/>
      <c r="I92" s="69"/>
      <c r="J92" s="69"/>
      <c r="K92" s="107"/>
      <c r="L92" s="107"/>
      <c r="M92" s="69"/>
      <c r="N92" s="69"/>
      <c r="O92" s="69"/>
      <c r="P92" s="69"/>
      <c r="Q92" s="69"/>
      <c r="R92" s="69"/>
      <c r="S92" s="69"/>
      <c r="T92" s="69"/>
      <c r="U92" s="69"/>
      <c r="V92" s="69"/>
      <c r="W92" s="69"/>
      <c r="X92" s="69"/>
      <c r="Y92" s="87"/>
      <c r="Z92" s="69"/>
      <c r="AA92" s="69"/>
      <c r="AB92" s="69"/>
      <c r="AC92" s="69"/>
      <c r="AD92" s="69"/>
      <c r="AE92" s="69"/>
      <c r="AF92" s="88"/>
      <c r="AG92" s="72"/>
      <c r="AH92" s="4"/>
      <c r="AI92" s="72"/>
      <c r="AJ92" s="110"/>
      <c r="AK92" s="72"/>
      <c r="AL92" s="72"/>
      <c r="AM92" s="72"/>
      <c r="AN92" s="72"/>
      <c r="AO92" s="72"/>
      <c r="AP92" s="72"/>
      <c r="AQ92" s="72"/>
      <c r="AR92" s="110"/>
      <c r="AS92" s="72"/>
      <c r="AT92" s="72"/>
      <c r="AU92" s="4"/>
      <c r="AV92" s="71">
        <v>30</v>
      </c>
      <c r="AW92" s="71">
        <f>3*60</f>
        <v>180</v>
      </c>
      <c r="AX92" s="71">
        <f>2*60*60</f>
        <v>7200</v>
      </c>
      <c r="AY92" s="71">
        <f>8*60*60</f>
        <v>28800</v>
      </c>
      <c r="AZ92" s="71">
        <f>12*60*60</f>
        <v>43200</v>
      </c>
      <c r="BA92" s="71">
        <f>24*60*60*1</f>
        <v>86400</v>
      </c>
      <c r="BB92" s="71">
        <f>24*60*60*2</f>
        <v>172800</v>
      </c>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53"/>
      <c r="CD92" s="53"/>
      <c r="CE92" s="53"/>
      <c r="CF92" s="53"/>
      <c r="CG92" s="53"/>
      <c r="CH92" s="53"/>
      <c r="CI92" s="53"/>
      <c r="CJ92" s="53"/>
      <c r="CK92" s="53"/>
      <c r="CL92" s="53"/>
      <c r="CM92" s="53"/>
      <c r="CN92" s="53"/>
      <c r="CO92" s="53"/>
      <c r="CP92" s="53"/>
      <c r="CQ92" s="53"/>
      <c r="CR92" s="1"/>
      <c r="CS92" s="1"/>
      <c r="CT92" s="1"/>
      <c r="CU92" s="1"/>
    </row>
    <row r="93" spans="1:99" s="13" customFormat="1" ht="12" customHeight="1" x14ac:dyDescent="0.2">
      <c r="A93" s="68">
        <v>43509</v>
      </c>
      <c r="B93" s="103" t="s">
        <v>101</v>
      </c>
      <c r="C93" s="70" t="s">
        <v>102</v>
      </c>
      <c r="D93" s="69">
        <v>1992</v>
      </c>
      <c r="E93" s="87">
        <v>1</v>
      </c>
      <c r="F93" s="69">
        <v>20</v>
      </c>
      <c r="G93" s="69">
        <v>20</v>
      </c>
      <c r="H93" s="69" t="s">
        <v>38</v>
      </c>
      <c r="I93" s="69" t="s">
        <v>679</v>
      </c>
      <c r="J93" s="69" t="s">
        <v>16</v>
      </c>
      <c r="K93" s="69">
        <f>IF(J93="syllables",1,IF(J93="trigrams",2,IF(J93="strings",3,IF(J93="visual array",4,IF(J93="characters",5,IF(J93="letters",6,IF(J93="free forms",7,IF(J93="odors",8,IF(J93="words",9,IF(J93="pictures",10,IF(J93="object pictures",11,IF(J93="faces",12,IF(J93="names",13,IF(J93="idioms",14,IF(J93="grades",15,IF(J93="syllable-digit pairs",16,IF(J93="trigram-word pairs",17,IF(J93="word-digit pairs",18,IF(J93="English-Swahili pairs",19,IF(J93="spatial position",20,IF(J93="word pairs",21,IF(J93="word triads",22,IF(J93="generated words",23,IF(J93="word definition pairs",24,IF(J93="math problems",25,IF(J93="famous faces",26,IF(J93="famous names",27,IF(J93="famous voices",28,IF(J93="television programs",29,IF(J93="race horses",30,IF(J93="new vocabulary",31,IF(J93="sentences",32,IF(J93="concepts",33,IF(J93="ad slides",34,IF(J93="scenes",35,IF(J93="famous scenes",36,IF(J93="poems",37,IF(J93="walk",38,IF(J93="faces and events",39,IF(J93="events and names",40,IF(J93="flashbulb",41,IF(J93="stories",42,IF(J93="course material",43,IF(J93="autobiographical",44,IF(J93="novels",45,IF(J93="public events",46,"99"))))))))))))))))))))))))))))))))))))))))))))))</f>
        <v>9</v>
      </c>
      <c r="L93" s="69">
        <f>IF(J93="syllables",1,IF(J93="trigrams",1,IF(J93="strings",1,IF(J93="visual array",1,IF(J93="characters",1,IF(J93="letters",1,IF(J93="free forms",1,IF(J93="odors",2,IF(J93="words",2,IF(J93="pictures",2,IF(J93="object pictures",2,IF(J93="faces",2,IF(J93="names",2,IF(J93="idioms","2",IF(J93="grades",2,IF(J93="syllable-digit pairs",3,IF(J93="trigram-word pairs",3,IF(J93="word-digit pairs",3,IF(J93="English-Swahili pairs",3,IF(J93="spatial position",3,IF(J93="word pairs",4,IF(J93="word triads",4,IF(J93="generated words",4,IF(J93="word definition pairs",4,IF(J93="math problems",4,IF(J93="famous faces",4,IF(J93="famous names",4,IF(J93="famous voices",4,IF(J93="television programs",4,IF(J93="race horses",4,IF(J93="new vocabulary",4,IF(J93="sentences",5,IF(J93="concepts",5,IF(J93="ad slides",5,IF(J93="scenes",5,IF(J93="famous scenes",5,IF(J93="poems",6,IF(J93="walk",6,IF(J93="faces and events",6,IF(J93="events and names",6,IF(J93="flashbulb",7,IF(J93="stories",7,IF(J93="course material",7,IF(J93="autobiographical",7,IF(J93="novels",7,IF(J93="public events",7,"99"))))))))))))))))))))))))))))))))))))))))))))))</f>
        <v>2</v>
      </c>
      <c r="M93" s="69">
        <v>1</v>
      </c>
      <c r="N93" s="69">
        <v>2</v>
      </c>
      <c r="O93" s="69">
        <v>1</v>
      </c>
      <c r="P93" s="69" t="s">
        <v>103</v>
      </c>
      <c r="Q93" s="92" t="s">
        <v>174</v>
      </c>
      <c r="R93" s="69">
        <f>IF(Q93="Free Recall",1,IF(Q93="Cued Recall",2,IF(Q93="Recognition",3,IF(Q93="Multiple Choice",4,IF(Q93="Savings",5,IF(Q93="Stem Completion",6,IF(Q93="Fragment Completion",7,IF(Q93="anagram solution",8,IF(Q93="Matching",9,IF(Q93="Problem Solving",10,"99"))))))))))</f>
        <v>1</v>
      </c>
      <c r="S93" s="69" t="s">
        <v>49</v>
      </c>
      <c r="T93" s="92" t="s">
        <v>581</v>
      </c>
      <c r="U93" s="69">
        <f>IF(T93="within",1,0)</f>
        <v>1</v>
      </c>
      <c r="V93" s="92">
        <v>5</v>
      </c>
      <c r="W93" s="69">
        <f>F93*V93</f>
        <v>100</v>
      </c>
      <c r="X93" s="69">
        <v>7</v>
      </c>
      <c r="Y93" s="87">
        <f>AV92</f>
        <v>30</v>
      </c>
      <c r="Z93" s="69" t="s">
        <v>88</v>
      </c>
      <c r="AA93" s="69">
        <v>172800</v>
      </c>
      <c r="AB93" s="69" t="str">
        <f>IF(AA93&lt;60,"1",IF(AA93&lt;=43200,"2",IF(AA93&lt;=777600,"3","4")))</f>
        <v>3</v>
      </c>
      <c r="AC93" s="72">
        <f>AVERAGE(AV92:DA92)</f>
        <v>48372.857142857145</v>
      </c>
      <c r="AD93" s="69" t="str">
        <f>IF(AC93&lt;60,"1",IF(AC93&lt;=43200,"2",IF(AC93&lt;=777600,"3","4")))</f>
        <v>3</v>
      </c>
      <c r="AE93" s="87">
        <f>AA93-Y93</f>
        <v>172770</v>
      </c>
      <c r="AF93" s="88">
        <f>AV93</f>
        <v>0.96699999999999997</v>
      </c>
      <c r="AG93" s="72">
        <f>((AW93-AV93)+(AX93-AW93)+(AY93-AX93)+(AZ93-AY93)+(BA93-AZ93)+(BB93-BA93))/6</f>
        <v>-4.7833333333333318E-2</v>
      </c>
      <c r="AH93" s="4"/>
      <c r="AI93" s="72">
        <f>RSQ(AV93:BB93,AV92:BB92)</f>
        <v>0.91064504512541578</v>
      </c>
      <c r="AJ93" s="110">
        <f>SLOPE(AV93:BB93,AV92:BB92)</f>
        <v>-1.5105353706883387E-6</v>
      </c>
      <c r="AK93" s="72">
        <f>INTERCEPT(AV93:BB93,AV92:BB92)</f>
        <v>0.92121176883839684</v>
      </c>
      <c r="AL93" s="72">
        <f>INDEX(LINEST(LN(AV93:BB93),LN(AV92:BB92),TRUE,TRUE),3,1)</f>
        <v>0.64603565305613708</v>
      </c>
      <c r="AM93" s="72">
        <f>INDEX(LINEST(LN(AV93:BB93),LN(AV92:BB92)),1)</f>
        <v>-2.9807273464141082E-2</v>
      </c>
      <c r="AN93" s="72">
        <f>EXP(INDEX(LINEST(LN(AV93:BB93),LN(AV92:BB92)),1,2))</f>
        <v>1.0968271500280313</v>
      </c>
      <c r="AO93" s="89">
        <f>INDEX(LINEST((AV93:BB93),LN(AV92:BB92),TRUE,TRUE),3,1)</f>
        <v>0.67844412405898225</v>
      </c>
      <c r="AP93" s="89">
        <f>INDEX(LINEST((AV93:BB93),LN(AV92:BB92)),1)</f>
        <v>-2.4885255779354409E-2</v>
      </c>
      <c r="AQ93" s="90">
        <f>INDEX(LINEST(LN(AV93:BB93),SQRT(AV92:BB92),TRUE,TRUE),3,1)</f>
        <v>0.93440373282962308</v>
      </c>
      <c r="AR93" s="117">
        <f>INDEX(LINEST(LN(AV93:BB93),SQRT((AV92:BB92))),1)</f>
        <v>-7.8393690681288623E-4</v>
      </c>
      <c r="AS93" s="91">
        <f>INDEX(LINEST(1/(AV93:BB93),1/(SQRT(AV92:BB92)),TRUE,TRUE),3,1)</f>
        <v>0.35516203372379979</v>
      </c>
      <c r="AT93" s="91">
        <f>INDEX(LINEST(1/(AV93:BB93),1/SQRT(AV92:BB92)),1)</f>
        <v>-1.3344440929297989</v>
      </c>
      <c r="AU93" s="3"/>
      <c r="AV93" s="73">
        <v>0.96699999999999997</v>
      </c>
      <c r="AW93" s="73">
        <v>0.91</v>
      </c>
      <c r="AX93" s="73">
        <v>0.91</v>
      </c>
      <c r="AY93" s="73">
        <v>0.89</v>
      </c>
      <c r="AZ93" s="73">
        <v>0.81</v>
      </c>
      <c r="BA93" s="73">
        <v>0.77</v>
      </c>
      <c r="BB93" s="73">
        <v>0.68</v>
      </c>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53"/>
      <c r="CD93" s="53"/>
      <c r="CE93" s="53"/>
      <c r="CF93" s="53"/>
      <c r="CG93" s="53"/>
      <c r="CH93" s="53"/>
      <c r="CI93" s="53"/>
      <c r="CJ93" s="53"/>
      <c r="CK93" s="53"/>
      <c r="CL93" s="53"/>
      <c r="CM93" s="53"/>
      <c r="CN93" s="53"/>
      <c r="CO93" s="53"/>
      <c r="CP93" s="53"/>
      <c r="CQ93" s="53"/>
      <c r="CR93" s="1"/>
      <c r="CS93" s="1"/>
      <c r="CT93" s="1"/>
      <c r="CU93" s="1"/>
    </row>
    <row r="94" spans="1:99" s="13" customFormat="1" ht="12" customHeight="1" x14ac:dyDescent="0.2">
      <c r="A94" s="68">
        <v>43509</v>
      </c>
      <c r="B94" s="70"/>
      <c r="C94" s="70"/>
      <c r="D94" s="69"/>
      <c r="E94" s="87"/>
      <c r="F94" s="69"/>
      <c r="G94" s="69"/>
      <c r="H94" s="69"/>
      <c r="I94" s="69"/>
      <c r="J94" s="69"/>
      <c r="K94" s="107"/>
      <c r="L94" s="107"/>
      <c r="M94" s="69"/>
      <c r="N94" s="69"/>
      <c r="O94" s="69"/>
      <c r="P94" s="69"/>
      <c r="Q94" s="92"/>
      <c r="R94" s="69"/>
      <c r="S94" s="69"/>
      <c r="T94" s="92"/>
      <c r="U94" s="69"/>
      <c r="V94" s="92"/>
      <c r="W94" s="69"/>
      <c r="X94" s="69"/>
      <c r="Y94" s="87"/>
      <c r="Z94" s="69"/>
      <c r="AA94" s="69"/>
      <c r="AB94" s="69"/>
      <c r="AC94" s="69"/>
      <c r="AD94" s="69"/>
      <c r="AE94" s="69"/>
      <c r="AF94" s="88"/>
      <c r="AG94" s="72"/>
      <c r="AH94" s="4"/>
      <c r="AI94" s="72"/>
      <c r="AJ94" s="110"/>
      <c r="AK94" s="72"/>
      <c r="AL94" s="72"/>
      <c r="AM94" s="72"/>
      <c r="AN94" s="72"/>
      <c r="AO94" s="72"/>
      <c r="AP94" s="72"/>
      <c r="AQ94" s="72"/>
      <c r="AR94" s="110"/>
      <c r="AS94" s="72"/>
      <c r="AT94" s="72"/>
      <c r="AU94" s="4"/>
      <c r="AV94" s="71">
        <v>30</v>
      </c>
      <c r="AW94" s="71">
        <f>3*60</f>
        <v>180</v>
      </c>
      <c r="AX94" s="71">
        <f>2*60*60</f>
        <v>7200</v>
      </c>
      <c r="AY94" s="71">
        <f>8*60*60</f>
        <v>28800</v>
      </c>
      <c r="AZ94" s="71">
        <f>12*60*60</f>
        <v>43200</v>
      </c>
      <c r="BA94" s="71">
        <f>24*60*60*1</f>
        <v>86400</v>
      </c>
      <c r="BB94" s="71">
        <f>24*60*60*2</f>
        <v>172800</v>
      </c>
      <c r="BC94" s="53"/>
      <c r="BD94" s="53"/>
      <c r="BE94" s="53"/>
      <c r="BF94" s="53"/>
      <c r="BG94" s="53"/>
      <c r="BH94" s="53"/>
      <c r="BI94" s="53"/>
      <c r="BJ94" s="53"/>
      <c r="BK94" s="53"/>
      <c r="BL94" s="53"/>
      <c r="BM94" s="53"/>
      <c r="BN94" s="53"/>
      <c r="BO94" s="53"/>
      <c r="BP94" s="53"/>
      <c r="BQ94" s="53"/>
      <c r="BR94" s="53"/>
      <c r="BS94" s="53"/>
      <c r="BT94" s="53"/>
      <c r="BU94" s="53"/>
      <c r="BV94" s="53"/>
      <c r="BW94" s="53"/>
      <c r="BX94" s="53"/>
      <c r="BY94" s="53"/>
      <c r="BZ94" s="53"/>
      <c r="CA94" s="53"/>
      <c r="CB94" s="53"/>
      <c r="CC94" s="53"/>
      <c r="CD94" s="53"/>
      <c r="CE94" s="53"/>
      <c r="CF94" s="53"/>
      <c r="CG94" s="53"/>
      <c r="CH94" s="53"/>
      <c r="CI94" s="53"/>
      <c r="CJ94" s="53"/>
      <c r="CK94" s="53"/>
      <c r="CL94" s="53"/>
      <c r="CM94" s="53"/>
      <c r="CN94" s="53"/>
      <c r="CO94" s="53"/>
      <c r="CP94" s="53"/>
      <c r="CQ94" s="53"/>
      <c r="CR94" s="1"/>
      <c r="CS94" s="1"/>
      <c r="CT94" s="1"/>
      <c r="CU94" s="1"/>
    </row>
    <row r="95" spans="1:99" s="13" customFormat="1" ht="12" customHeight="1" x14ac:dyDescent="0.2">
      <c r="A95" s="68">
        <v>43509</v>
      </c>
      <c r="B95" s="70" t="s">
        <v>101</v>
      </c>
      <c r="C95" s="70" t="s">
        <v>102</v>
      </c>
      <c r="D95" s="69">
        <v>1992</v>
      </c>
      <c r="E95" s="87">
        <v>1</v>
      </c>
      <c r="F95" s="69">
        <v>20</v>
      </c>
      <c r="G95" s="69">
        <v>20</v>
      </c>
      <c r="H95" s="69" t="s">
        <v>38</v>
      </c>
      <c r="I95" s="69" t="s">
        <v>680</v>
      </c>
      <c r="J95" s="69" t="s">
        <v>320</v>
      </c>
      <c r="K95" s="69">
        <f>IF(J95="syllables",1,IF(J95="trigrams",2,IF(J95="strings",3,IF(J95="visual array",4,IF(J95="characters",5,IF(J95="letters",6,IF(J95="free forms",7,IF(J95="odors",8,IF(J95="words",9,IF(J95="pictures",10,IF(J95="object pictures",11,IF(J95="faces",12,IF(J95="names",13,IF(J95="idioms",14,IF(J95="grades",15,IF(J95="syllable-digit pairs",16,IF(J95="trigram-word pairs",17,IF(J95="word-digit pairs",18,IF(J95="English-Swahili pairs",19,IF(J95="spatial position",20,IF(J95="word pairs",21,IF(J95="word triads",22,IF(J95="generated words",23,IF(J95="word definition pairs",24,IF(J95="math problems",25,IF(J95="famous faces",26,IF(J95="famous names",27,IF(J95="famous voices",28,IF(J95="television programs",29,IF(J95="race horses",30,IF(J95="new vocabulary",31,IF(J95="sentences",32,IF(J95="concepts",33,IF(J95="ad slides",34,IF(J95="scenes",35,IF(J95="famous scenes",36,IF(J95="poems",37,IF(J95="walk",38,IF(J95="faces and events",39,IF(J95="events and names",40,IF(J95="flashbulb",41,IF(J95="stories",42,IF(J95="course material",43,IF(J95="autobiographical",44,IF(J95="novels",45,IF(J95="public events",46,"99"))))))))))))))))))))))))))))))))))))))))))))))</f>
        <v>21</v>
      </c>
      <c r="L95" s="69">
        <f>IF(J95="syllables",1,IF(J95="trigrams",1,IF(J95="strings",1,IF(J95="visual array",1,IF(J95="characters",1,IF(J95="letters",1,IF(J95="free forms",1,IF(J95="odors",2,IF(J95="words",2,IF(J95="pictures",2,IF(J95="object pictures",2,IF(J95="faces",2,IF(J95="names",2,IF(J95="idioms","2",IF(J95="grades",2,IF(J95="syllable-digit pairs",3,IF(J95="trigram-word pairs",3,IF(J95="word-digit pairs",3,IF(J95="English-Swahili pairs",3,IF(J95="spatial position",3,IF(J95="word pairs",4,IF(J95="word triads",4,IF(J95="generated words",4,IF(J95="word definition pairs",4,IF(J95="math problems",4,IF(J95="famous faces",4,IF(J95="famous names",4,IF(J95="famous voices",4,IF(J95="television programs",4,IF(J95="race horses",4,IF(J95="new vocabulary",4,IF(J95="sentences",5,IF(J95="concepts",5,IF(J95="ad slides",5,IF(J95="scenes",5,IF(J95="famous scenes",5,IF(J95="poems",6,IF(J95="walk",6,IF(J95="faces and events",6,IF(J95="events and names",6,IF(J95="flashbulb",7,IF(J95="stories",7,IF(J95="course material",7,IF(J95="autobiographical",7,IF(J95="novels",7,IF(J95="public events",7,"99"))))))))))))))))))))))))))))))))))))))))))))))</f>
        <v>4</v>
      </c>
      <c r="M95" s="69">
        <v>1</v>
      </c>
      <c r="N95" s="69">
        <v>2</v>
      </c>
      <c r="O95" s="69">
        <v>1</v>
      </c>
      <c r="P95" s="69" t="s">
        <v>103</v>
      </c>
      <c r="Q95" s="92" t="s">
        <v>174</v>
      </c>
      <c r="R95" s="69">
        <f>IF(Q95="Free Recall",1,IF(Q95="Cued Recall",2,IF(Q95="Recognition",3,IF(Q95="Multiple Choice",4,IF(Q95="Savings",5,IF(Q95="Stem Completion",6,IF(Q95="Fragment Completion",7,IF(Q95="anagram solution",8,IF(Q95="Matching",9,IF(Q95="Problem Solving",10,"99"))))))))))</f>
        <v>1</v>
      </c>
      <c r="S95" s="69" t="s">
        <v>49</v>
      </c>
      <c r="T95" s="92" t="s">
        <v>581</v>
      </c>
      <c r="U95" s="69">
        <f>IF(T95="within",1,0)</f>
        <v>1</v>
      </c>
      <c r="V95" s="92">
        <v>6</v>
      </c>
      <c r="W95" s="69">
        <f>F95*V95</f>
        <v>120</v>
      </c>
      <c r="X95" s="69">
        <v>7</v>
      </c>
      <c r="Y95" s="87">
        <f>AV94</f>
        <v>30</v>
      </c>
      <c r="Z95" s="69" t="s">
        <v>88</v>
      </c>
      <c r="AA95" s="69">
        <v>172800</v>
      </c>
      <c r="AB95" s="69" t="str">
        <f>IF(AA95&lt;60,"1",IF(AA95&lt;=43200,"2",IF(AA95&lt;=777600,"3","4")))</f>
        <v>3</v>
      </c>
      <c r="AC95" s="72">
        <f>AVERAGE(AV94:DA94)</f>
        <v>48372.857142857145</v>
      </c>
      <c r="AD95" s="69" t="str">
        <f>IF(AC95&lt;60,"1",IF(AC95&lt;=43200,"2",IF(AC95&lt;=777600,"3","4")))</f>
        <v>3</v>
      </c>
      <c r="AE95" s="87">
        <f>AA95-Y95</f>
        <v>172770</v>
      </c>
      <c r="AF95" s="88">
        <f>AV95</f>
        <v>0.96099999999999997</v>
      </c>
      <c r="AG95" s="72">
        <f>((AW95-AV95)+(AX95-AW95)+(AY95-AX95)+(AZ95-AY95)+(BA95-AZ95)+(BB95-BA95))/6</f>
        <v>-8.8333333333333233E-3</v>
      </c>
      <c r="AH95" s="4"/>
      <c r="AI95" s="72">
        <f>RSQ(AV95:BB95,AV94:BB94)</f>
        <v>0.56016021401945604</v>
      </c>
      <c r="AJ95" s="110">
        <f>SLOPE(AV95:BB95,AV94:BB94)</f>
        <v>-4.1673149191110263E-7</v>
      </c>
      <c r="AK95" s="72">
        <f>INTERCEPT(AV95:BB95,AV94:BB94)</f>
        <v>0.97187277863943122</v>
      </c>
      <c r="AL95" s="72">
        <f>INDEX(LINEST(LN(AV95:BB95),LN(AV94:BB94),TRUE,TRUE),3,1)</f>
        <v>0.46108723853560829</v>
      </c>
      <c r="AM95" s="72">
        <f>INDEX(LINEST(LN(AV95:BB95),LN(AV94:BB94)),1)</f>
        <v>-7.5602697699415642E-3</v>
      </c>
      <c r="AN95" s="72">
        <f>EXP(INDEX(LINEST(LN(AV95:BB95),LN(AV94:BB94)),1,2))</f>
        <v>1.0168675651740731</v>
      </c>
      <c r="AO95" s="89">
        <f>INDEX(LINEST((AV95:BB95),LN(AV94:BB94),TRUE,TRUE),3,1)</f>
        <v>0.45797272305148773</v>
      </c>
      <c r="AP95" s="89">
        <f>INDEX(LINEST((AV95:BB95),LN(AV94:BB94)),1)</f>
        <v>-7.1919842675468642E-3</v>
      </c>
      <c r="AQ95" s="90">
        <f>INDEX(LINEST(LN(AV95:BB95),SQRT(AV94:BB94),TRUE,TRUE),3,1)</f>
        <v>0.67001909993454101</v>
      </c>
      <c r="AR95" s="117">
        <f>INDEX(LINEST(LN(AV95:BB95),SQRT((AV94:BB94))),1)</f>
        <v>-1.9930085077532044E-4</v>
      </c>
      <c r="AS95" s="91">
        <f>INDEX(LINEST(1/(AV95:BB95),1/(SQRT(AV94:BB94)),TRUE,TRUE),3,1)</f>
        <v>0.15133702401864652</v>
      </c>
      <c r="AT95" s="91">
        <f>INDEX(LINEST(1/(AV95:BB95),1/SQRT(AV94:BB94)),1)</f>
        <v>-0.2209937896770888</v>
      </c>
      <c r="AU95" s="3"/>
      <c r="AV95" s="73">
        <v>0.96099999999999997</v>
      </c>
      <c r="AW95" s="73">
        <v>1</v>
      </c>
      <c r="AX95" s="73">
        <v>0.99199999999999999</v>
      </c>
      <c r="AY95" s="73">
        <v>0.94199999999999995</v>
      </c>
      <c r="AZ95" s="73">
        <v>0.91700000000000004</v>
      </c>
      <c r="BA95" s="73">
        <v>0.94199999999999995</v>
      </c>
      <c r="BB95" s="73">
        <v>0.90800000000000003</v>
      </c>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53"/>
      <c r="CD95" s="53"/>
      <c r="CE95" s="53"/>
      <c r="CF95" s="53"/>
      <c r="CG95" s="53"/>
      <c r="CH95" s="53"/>
      <c r="CI95" s="53"/>
      <c r="CJ95" s="53"/>
      <c r="CK95" s="53"/>
      <c r="CL95" s="53"/>
      <c r="CM95" s="53"/>
      <c r="CN95" s="53"/>
      <c r="CO95" s="53"/>
      <c r="CP95" s="53"/>
      <c r="CQ95" s="53"/>
      <c r="CR95" s="1"/>
      <c r="CS95" s="1"/>
      <c r="CT95" s="1"/>
      <c r="CU95" s="1"/>
    </row>
    <row r="96" spans="1:99" s="13" customFormat="1" ht="12" customHeight="1" x14ac:dyDescent="0.2">
      <c r="A96" s="68">
        <v>43509</v>
      </c>
      <c r="B96" s="70"/>
      <c r="C96" s="70"/>
      <c r="D96" s="69"/>
      <c r="E96" s="87"/>
      <c r="F96" s="69"/>
      <c r="G96" s="69"/>
      <c r="H96" s="69"/>
      <c r="I96" s="69"/>
      <c r="J96" s="69"/>
      <c r="K96" s="107"/>
      <c r="L96" s="107"/>
      <c r="M96" s="69"/>
      <c r="N96" s="69"/>
      <c r="O96" s="69"/>
      <c r="P96" s="69"/>
      <c r="Q96" s="92"/>
      <c r="R96" s="69"/>
      <c r="S96" s="69"/>
      <c r="T96" s="69"/>
      <c r="U96" s="69"/>
      <c r="V96" s="69"/>
      <c r="W96" s="69"/>
      <c r="X96" s="69"/>
      <c r="Y96" s="87"/>
      <c r="Z96" s="69"/>
      <c r="AA96" s="69"/>
      <c r="AB96" s="69"/>
      <c r="AC96" s="69"/>
      <c r="AD96" s="69"/>
      <c r="AE96" s="69"/>
      <c r="AF96" s="88"/>
      <c r="AG96" s="72"/>
      <c r="AH96" s="4"/>
      <c r="AI96" s="72"/>
      <c r="AJ96" s="110"/>
      <c r="AK96" s="72"/>
      <c r="AL96" s="72"/>
      <c r="AM96" s="72"/>
      <c r="AN96" s="72"/>
      <c r="AO96" s="72"/>
      <c r="AP96" s="72"/>
      <c r="AQ96" s="72"/>
      <c r="AR96" s="110"/>
      <c r="AS96" s="72"/>
      <c r="AT96" s="72"/>
      <c r="AU96" s="4"/>
      <c r="AV96" s="71">
        <f>3*60</f>
        <v>180</v>
      </c>
      <c r="AW96" s="71">
        <f>2*60*60</f>
        <v>7200</v>
      </c>
      <c r="AX96" s="71">
        <f>8*60*60</f>
        <v>28800</v>
      </c>
      <c r="AY96" s="71">
        <f>12*60*60</f>
        <v>43200</v>
      </c>
      <c r="AZ96" s="71">
        <f>24*60*60*1</f>
        <v>86400</v>
      </c>
      <c r="BA96" s="71">
        <f>24*60*60*2</f>
        <v>172800</v>
      </c>
      <c r="BB96" s="102"/>
      <c r="BC96" s="53"/>
      <c r="BD96" s="53"/>
      <c r="BE96" s="53"/>
      <c r="BF96" s="53"/>
      <c r="BG96" s="53"/>
      <c r="BH96" s="53"/>
      <c r="BI96" s="53"/>
      <c r="BJ96" s="53"/>
      <c r="BK96" s="53"/>
      <c r="BL96" s="53"/>
      <c r="BM96" s="53"/>
      <c r="BN96" s="53"/>
      <c r="BO96" s="53"/>
      <c r="BP96" s="53"/>
      <c r="BQ96" s="53"/>
      <c r="BR96" s="53"/>
      <c r="BS96" s="53"/>
      <c r="BT96" s="53"/>
      <c r="BU96" s="53"/>
      <c r="BV96" s="53"/>
      <c r="BW96" s="53"/>
      <c r="BX96" s="53"/>
      <c r="BY96" s="53"/>
      <c r="BZ96" s="53"/>
      <c r="CA96" s="53"/>
      <c r="CB96" s="53"/>
      <c r="CC96" s="53"/>
      <c r="CD96" s="53"/>
      <c r="CE96" s="53"/>
      <c r="CF96" s="53"/>
      <c r="CG96" s="53"/>
      <c r="CH96" s="53"/>
      <c r="CI96" s="53"/>
      <c r="CJ96" s="53"/>
      <c r="CK96" s="53"/>
      <c r="CL96" s="53"/>
      <c r="CM96" s="53"/>
      <c r="CN96" s="53"/>
      <c r="CO96" s="53"/>
      <c r="CP96" s="53"/>
      <c r="CQ96" s="53"/>
      <c r="CR96" s="1"/>
      <c r="CS96" s="1"/>
      <c r="CT96" s="1"/>
      <c r="CU96" s="1"/>
    </row>
    <row r="97" spans="1:99" s="13" customFormat="1" ht="12" customHeight="1" x14ac:dyDescent="0.2">
      <c r="A97" s="68">
        <v>43509</v>
      </c>
      <c r="B97" s="70" t="s">
        <v>101</v>
      </c>
      <c r="C97" s="70" t="s">
        <v>102</v>
      </c>
      <c r="D97" s="69">
        <v>1992</v>
      </c>
      <c r="E97" s="87">
        <v>1</v>
      </c>
      <c r="F97" s="69">
        <v>20</v>
      </c>
      <c r="G97" s="69">
        <v>20</v>
      </c>
      <c r="H97" s="69" t="s">
        <v>38</v>
      </c>
      <c r="I97" s="69" t="s">
        <v>681</v>
      </c>
      <c r="J97" s="69" t="s">
        <v>313</v>
      </c>
      <c r="K97" s="69">
        <f>IF(J97="syllables",1,IF(J97="trigrams",2,IF(J97="strings",3,IF(J97="visual array",4,IF(J97="characters",5,IF(J97="letters",6,IF(J97="free forms",7,IF(J97="odors",8,IF(J97="words",9,IF(J97="pictures",10,IF(J97="object pictures",11,IF(J97="faces",12,IF(J97="names",13,IF(J97="idioms",14,IF(J97="grades",15,IF(J97="syllable-digit pairs",16,IF(J97="trigram-word pairs",17,IF(J97="word-digit pairs",18,IF(J97="English-Swahili pairs",19,IF(J97="spatial position",20,IF(J97="word pairs",21,IF(J97="word triads",22,IF(J97="generated words",23,IF(J97="word definition pairs",24,IF(J97="math problems",25,IF(J97="famous faces",26,IF(J97="famous names",27,IF(J97="famous voices",28,IF(J97="television programs",29,IF(J97="race horses",30,IF(J97="new vocabulary",31,IF(J97="sentences",32,IF(J97="concepts",33,IF(J97="ad slides",34,IF(J97="scenes",35,IF(J97="famous scenes",36,IF(J97="poems",37,IF(J97="walk",38,IF(J97="faces and events",39,IF(J97="events and names",40,IF(J97="flashbulb",41,IF(J97="stories",42,IF(J97="course material",43,IF(J97="autobiographical",44,IF(J97="novels",45,IF(J97="public events",46,"99"))))))))))))))))))))))))))))))))))))))))))))))</f>
        <v>10</v>
      </c>
      <c r="L97" s="69">
        <f>IF(J97="syllables",1,IF(J97="trigrams",1,IF(J97="strings",1,IF(J97="visual array",1,IF(J97="characters",1,IF(J97="letters",1,IF(J97="free forms",1,IF(J97="odors",2,IF(J97="words",2,IF(J97="pictures",2,IF(J97="object pictures",2,IF(J97="faces",2,IF(J97="names",2,IF(J97="idioms","2",IF(J97="grades",2,IF(J97="syllable-digit pairs",3,IF(J97="trigram-word pairs",3,IF(J97="word-digit pairs",3,IF(J97="English-Swahili pairs",3,IF(J97="spatial position",3,IF(J97="word pairs",4,IF(J97="word triads",4,IF(J97="generated words",4,IF(J97="word definition pairs",4,IF(J97="math problems",4,IF(J97="famous faces",4,IF(J97="famous names",4,IF(J97="famous voices",4,IF(J97="television programs",4,IF(J97="race horses",4,IF(J97="new vocabulary",4,IF(J97="sentences",5,IF(J97="concepts",5,IF(J97="ad slides",5,IF(J97="scenes",5,IF(J97="famous scenes",5,IF(J97="poems",6,IF(J97="walk",6,IF(J97="faces and events",6,IF(J97="events and names",6,IF(J97="flashbulb",7,IF(J97="stories",7,IF(J97="course material",7,IF(J97="autobiographical",7,IF(J97="novels",7,IF(J97="public events",7,"99"))))))))))))))))))))))))))))))))))))))))))))))</f>
        <v>2</v>
      </c>
      <c r="M97" s="69">
        <v>0</v>
      </c>
      <c r="N97" s="69">
        <v>3</v>
      </c>
      <c r="O97" s="69">
        <v>1</v>
      </c>
      <c r="P97" s="69" t="s">
        <v>103</v>
      </c>
      <c r="Q97" s="92" t="s">
        <v>174</v>
      </c>
      <c r="R97" s="69">
        <f>IF(Q97="Free Recall",1,IF(Q97="Cued Recall",2,IF(Q97="Recognition",3,IF(Q97="Multiple Choice",4,IF(Q97="Savings",5,IF(Q97="Stem Completion",6,IF(Q97="Fragment Completion",7,IF(Q97="anagram solution",8,IF(Q97="Matching",9,IF(Q97="Problem Solving",10,"99"))))))))))</f>
        <v>1</v>
      </c>
      <c r="S97" s="69" t="s">
        <v>49</v>
      </c>
      <c r="T97" s="92" t="s">
        <v>581</v>
      </c>
      <c r="U97" s="69">
        <f>IF(T97="within",1,0)</f>
        <v>1</v>
      </c>
      <c r="V97" s="92">
        <v>7</v>
      </c>
      <c r="W97" s="69">
        <f>F97*V97</f>
        <v>140</v>
      </c>
      <c r="X97" s="69">
        <v>6</v>
      </c>
      <c r="Y97" s="87">
        <f>AV96</f>
        <v>180</v>
      </c>
      <c r="Z97" s="69" t="s">
        <v>88</v>
      </c>
      <c r="AA97" s="69">
        <v>172800</v>
      </c>
      <c r="AB97" s="69" t="str">
        <f>IF(AA97&lt;60,"1",IF(AA97&lt;=43200,"2",IF(AA97&lt;=777600,"3","4")))</f>
        <v>3</v>
      </c>
      <c r="AC97" s="72">
        <f>AVERAGE(AV96:DA96)</f>
        <v>56430</v>
      </c>
      <c r="AD97" s="69" t="str">
        <f>IF(AC97&lt;60,"1",IF(AC97&lt;=43200,"2",IF(AC97&lt;=777600,"3","4")))</f>
        <v>3</v>
      </c>
      <c r="AE97" s="87">
        <f>AA97-Y97</f>
        <v>172620</v>
      </c>
      <c r="AF97" s="88">
        <f>AV97</f>
        <v>0.89300000000000002</v>
      </c>
      <c r="AG97" s="72">
        <f>((AW97-AV97)+(AX97-AW97)+(AY97-AX97)+(AZ97-AY97)+(BA97-AZ97))/5</f>
        <v>-2.1399999999999995E-2</v>
      </c>
      <c r="AH97" s="4"/>
      <c r="AI97" s="72">
        <f>RSQ(AV97:BA97,AV96:BA96)</f>
        <v>0.57906394484917578</v>
      </c>
      <c r="AJ97" s="110">
        <f>SLOPE(AV97:BA97,AV96:BA96)</f>
        <v>-4.230320653403367E-7</v>
      </c>
      <c r="AK97" s="72">
        <f>INTERCEPT(AV97:BA97,AV96:BA96)</f>
        <v>0.85137169944715518</v>
      </c>
      <c r="AL97" s="72">
        <f>INDEX(LINEST(LN(AV97:BA97),LN(AV96:BA96),TRUE,TRUE),3,1)</f>
        <v>0.88345849422315792</v>
      </c>
      <c r="AM97" s="72">
        <f>INDEX(LINEST(LN(AV97:BA97),LN(AV96:BA96)),1)</f>
        <v>-1.6251198968042613E-2</v>
      </c>
      <c r="AN97" s="72">
        <f>EXP(INDEX(LINEST(LN(AV97:BA97),LN(AV96:BA96)),1,2))</f>
        <v>0.96867932902323017</v>
      </c>
      <c r="AO97" s="89">
        <f>INDEX(LINEST((AV97:BA97),LN(AV96:BA96),TRUE,TRUE),3,1)</f>
        <v>0.88861554988895397</v>
      </c>
      <c r="AP97" s="89">
        <f>INDEX(LINEST((AV97:BA97),LN(AV96:BA96)),1)</f>
        <v>-1.3719321534989093E-2</v>
      </c>
      <c r="AQ97" s="90">
        <f>INDEX(LINEST(LN(AV97:BA97),SQRT(AV96:BA96),TRUE,TRUE),3,1)</f>
        <v>0.75321930489288258</v>
      </c>
      <c r="AR97" s="117">
        <f>INDEX(LINEST(LN(AV97:BA97),SQRT((AV96:BA96))),1)</f>
        <v>-2.5690516832534431E-4</v>
      </c>
      <c r="AS97" s="91">
        <f>INDEX(LINEST(1/(AV97:BA97),1/(SQRT(AV96:BA96)),TRUE,TRUE),3,1)</f>
        <v>0.8013670402302453</v>
      </c>
      <c r="AT97" s="91">
        <f>INDEX(LINEST(1/(AV97:BA97),1/SQRT(AV96:BA96)),1)</f>
        <v>-1.609322675363356</v>
      </c>
      <c r="AU97" s="3"/>
      <c r="AV97" s="73">
        <v>0.89300000000000002</v>
      </c>
      <c r="AW97" s="73">
        <v>0.82099999999999995</v>
      </c>
      <c r="AX97" s="73">
        <v>0.82899999999999996</v>
      </c>
      <c r="AY97" s="73">
        <v>0.82899999999999996</v>
      </c>
      <c r="AZ97" s="73">
        <v>0.80700000000000005</v>
      </c>
      <c r="BA97" s="73">
        <v>0.78600000000000003</v>
      </c>
      <c r="BB97" s="102"/>
      <c r="BC97" s="53"/>
      <c r="BD97" s="53"/>
      <c r="BE97" s="53"/>
      <c r="BF97" s="53"/>
      <c r="BG97" s="53"/>
      <c r="BH97" s="53"/>
      <c r="BI97" s="53"/>
      <c r="BJ97" s="53"/>
      <c r="BK97" s="53"/>
      <c r="BL97" s="53"/>
      <c r="BM97" s="53"/>
      <c r="BN97" s="53"/>
      <c r="BO97" s="53"/>
      <c r="BP97" s="53"/>
      <c r="BQ97" s="53"/>
      <c r="BR97" s="53"/>
      <c r="BS97" s="53"/>
      <c r="BT97" s="53"/>
      <c r="BU97" s="53"/>
      <c r="BV97" s="53"/>
      <c r="BW97" s="53"/>
      <c r="BX97" s="53"/>
      <c r="BY97" s="53"/>
      <c r="BZ97" s="53"/>
      <c r="CA97" s="53"/>
      <c r="CB97" s="53"/>
      <c r="CC97" s="53"/>
      <c r="CD97" s="53"/>
      <c r="CE97" s="53"/>
      <c r="CF97" s="53"/>
      <c r="CG97" s="53"/>
      <c r="CH97" s="53"/>
      <c r="CI97" s="53"/>
      <c r="CJ97" s="53"/>
      <c r="CK97" s="53"/>
      <c r="CL97" s="53"/>
      <c r="CM97" s="53"/>
      <c r="CN97" s="53"/>
      <c r="CO97" s="53"/>
      <c r="CP97" s="53"/>
      <c r="CQ97" s="53"/>
      <c r="CR97" s="1"/>
      <c r="CS97" s="1"/>
      <c r="CT97" s="1"/>
      <c r="CU97" s="1"/>
    </row>
    <row r="98" spans="1:99" s="13" customFormat="1" ht="12" customHeight="1" x14ac:dyDescent="0.2">
      <c r="A98" s="65">
        <v>43903</v>
      </c>
      <c r="D98" s="61"/>
      <c r="E98" s="76"/>
      <c r="F98" s="60"/>
      <c r="G98" s="60"/>
      <c r="H98" s="60"/>
      <c r="I98" s="60"/>
      <c r="J98" s="60"/>
      <c r="K98" s="64"/>
      <c r="L98" s="64"/>
      <c r="M98" s="60"/>
      <c r="N98" s="61"/>
      <c r="O98" s="60"/>
      <c r="P98" s="60"/>
      <c r="Q98" s="60"/>
      <c r="R98" s="60"/>
      <c r="S98" s="60"/>
      <c r="T98" s="60"/>
      <c r="U98" s="60"/>
      <c r="V98" s="60"/>
      <c r="W98" s="60"/>
      <c r="X98" s="60"/>
      <c r="Y98" s="76"/>
      <c r="Z98" s="60"/>
      <c r="AA98" s="60"/>
      <c r="AB98" s="60"/>
      <c r="AC98" s="56"/>
      <c r="AD98" s="60"/>
      <c r="AE98" s="60"/>
      <c r="AF98" s="80"/>
      <c r="AG98" s="56"/>
      <c r="AH98" s="4"/>
      <c r="AI98" s="56"/>
      <c r="AJ98" s="109"/>
      <c r="AK98" s="56"/>
      <c r="AL98" s="56"/>
      <c r="AM98" s="56"/>
      <c r="AN98" s="56"/>
      <c r="AO98" s="82"/>
      <c r="AP98" s="82"/>
      <c r="AQ98" s="83"/>
      <c r="AR98" s="116"/>
      <c r="AS98" s="84"/>
      <c r="AT98" s="84"/>
      <c r="AU98" s="3"/>
      <c r="AV98" s="162">
        <v>60</v>
      </c>
      <c r="AW98" s="162">
        <v>86400</v>
      </c>
      <c r="AX98" s="162">
        <v>259200</v>
      </c>
      <c r="AY98" s="162">
        <v>604800</v>
      </c>
      <c r="AZ98" s="53"/>
      <c r="BA98" s="53"/>
      <c r="BB98" s="4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53"/>
      <c r="CD98" s="53"/>
      <c r="CE98" s="53"/>
      <c r="CF98" s="53"/>
      <c r="CG98" s="53"/>
      <c r="CH98" s="53"/>
      <c r="CI98" s="53"/>
      <c r="CJ98" s="53"/>
      <c r="CK98" s="53"/>
      <c r="CL98" s="53"/>
      <c r="CM98" s="53"/>
      <c r="CN98" s="53"/>
      <c r="CO98" s="53"/>
      <c r="CP98" s="53"/>
      <c r="CQ98" s="53"/>
      <c r="CR98" s="1"/>
      <c r="CS98" s="1"/>
      <c r="CT98" s="1"/>
      <c r="CU98" s="1"/>
    </row>
    <row r="99" spans="1:99" s="13" customFormat="1" ht="12" customHeight="1" x14ac:dyDescent="0.2">
      <c r="A99" s="65">
        <v>43903</v>
      </c>
      <c r="B99" s="1" t="s">
        <v>473</v>
      </c>
      <c r="C99" s="1" t="s">
        <v>474</v>
      </c>
      <c r="D99" s="60">
        <v>2020</v>
      </c>
      <c r="E99" s="76">
        <v>3</v>
      </c>
      <c r="F99" s="60">
        <v>96</v>
      </c>
      <c r="G99" s="60">
        <v>24</v>
      </c>
      <c r="H99" s="60"/>
      <c r="I99" s="60" t="s">
        <v>477</v>
      </c>
      <c r="J99" s="60" t="s">
        <v>475</v>
      </c>
      <c r="K99" s="60">
        <f>IF(J99="syllables",1,IF(J99="trigrams",2,IF(J99="strings",3,IF(J99="visual array",4,IF(J99="characters",5,IF(J99="letters",6,IF(J99="free forms",7,IF(J99="odors",8,IF(J99="words",9,IF(J99="pictures",10,IF(J99="object pictures",11,IF(J99="faces",12,IF(J99="names",13,IF(J99="idioms",14,IF(J99="grades",15,IF(J99="syllable-digit pairs",16,IF(J99="trigram-word pairs",17,IF(J99="word-digit pairs",18,IF(J99="English-Swahili pairs",19,IF(J99="spatial position",20,IF(J99="word pairs",21,IF(J99="word triads",22,IF(J99="generated words",23,IF(J99="word definition pairs",24,IF(J99="math problems",25,IF(J99="famous faces",26,IF(J99="famous names",27,IF(J99="famous voices",28,IF(J99="television programs",29,IF(J99="race horses",30,IF(J99="new vocabulary",31,IF(J99="sentences",32,IF(J99="concepts",33,IF(J99="ad slides",34,IF(J99="scenes",35,IF(J99="famous scenes",36,IF(J99="poems",37,IF(J99="walk",38,IF(J99="faces and events",39,IF(J99="events and names",40,IF(J99="flashbulb",41,IF(J99="stories",42,IF(J99="course material",43,IF(J99="autobiographical",44,IF(J99="novels",45,IF(J99="public events",46,"99"))))))))))))))))))))))))))))))))))))))))))))))</f>
        <v>32</v>
      </c>
      <c r="L99" s="60">
        <f>IF(J99="syllables",1,IF(J99="trigrams",1,IF(J99="strings",1,IF(J99="visual array",1,IF(J99="characters",1,IF(J99="letters",1,IF(J99="free forms",1,IF(J99="odors",2,IF(J99="words",2,IF(J99="pictures",2,IF(J99="object pictures",2,IF(J99="faces",2,IF(J99="names",2,IF(J99="idioms","2",IF(J99="grades",2,IF(J99="syllable-digit pairs",3,IF(J99="trigram-word pairs",3,IF(J99="word-digit pairs",3,IF(J99="English-Swahili pairs",3,IF(J99="spatial position",3,IF(J99="word pairs",4,IF(J99="word triads",4,IF(J99="generated words",4,IF(J99="word definition pairs",4,IF(J99="math problems",4,IF(J99="famous faces",4,IF(J99="famous names",4,IF(J99="famous voices",4,IF(J99="television programs",4,IF(J99="race horses",4,IF(J99="new vocabulary",4,IF(J99="sentences",5,IF(J99="concepts",5,IF(J99="ad slides",5,IF(J99="scenes",5,IF(J99="famous scenes",5,IF(J99="poems",6,IF(J99="walk",6,IF(J99="faces and events",6,IF(J99="events and names",6,IF(J99="flashbulb",7,IF(J99="stories",7,IF(J99="course material",7,IF(J99="autobiographical",7,IF(J99="novels",7,IF(J99="public events",7,"99"))))))))))))))))))))))))))))))))))))))))))))))</f>
        <v>5</v>
      </c>
      <c r="M99" s="60">
        <v>0</v>
      </c>
      <c r="N99" s="61">
        <v>2</v>
      </c>
      <c r="O99" s="60">
        <v>0</v>
      </c>
      <c r="P99" s="60"/>
      <c r="Q99" s="60" t="s">
        <v>174</v>
      </c>
      <c r="R99" s="60">
        <f>IF(Q99="Free Recall",1,IF(Q99="Cued Recall",2,IF(Q99="Recognition",3,IF(Q99="Multiple Choice",4,IF(Q99="Savings",5,IF(Q99="Stem Completion",6,IF(Q99="Fragment Completion",7,IF(Q99="anagram solution",8,IF(Q99="Matching",9,IF(Q99="Problem Solving",10,"99"))))))))))</f>
        <v>1</v>
      </c>
      <c r="S99" s="62" t="s">
        <v>49</v>
      </c>
      <c r="T99" s="60" t="s">
        <v>261</v>
      </c>
      <c r="U99" s="60">
        <f>IF(T99="within",1,0)</f>
        <v>0</v>
      </c>
      <c r="V99" s="60">
        <v>18</v>
      </c>
      <c r="W99" s="60">
        <f>F99*V99</f>
        <v>1728</v>
      </c>
      <c r="X99" s="60">
        <v>4</v>
      </c>
      <c r="Y99" s="76">
        <f>AV98</f>
        <v>60</v>
      </c>
      <c r="Z99" s="60" t="s">
        <v>97</v>
      </c>
      <c r="AA99" s="60">
        <v>604800</v>
      </c>
      <c r="AB99" s="60" t="str">
        <f>IF(AA99&lt;60,"1",IF(AA99&lt;=43200,"2",IF(AA99&lt;=777600,"3","4")))</f>
        <v>3</v>
      </c>
      <c r="AC99" s="56">
        <f>AVERAGE(AV98:DA98)</f>
        <v>237615</v>
      </c>
      <c r="AD99" s="60" t="str">
        <f>IF(AC99&lt;60,"1",IF(AC99&lt;=43200,"2",IF(AC99&lt;=777600,"3","4")))</f>
        <v>3</v>
      </c>
      <c r="AE99" s="76">
        <f>AA99-Y99</f>
        <v>604740</v>
      </c>
      <c r="AF99" s="80">
        <f>AV99</f>
        <v>0.62500000000000011</v>
      </c>
      <c r="AG99" s="56">
        <f>((AW99-AV99)+(AX99-AW99)+(AY99-AX99))/3</f>
        <v>-0.12345679012345684</v>
      </c>
      <c r="AH99" s="4"/>
      <c r="AI99" s="56">
        <f>RSQ(AV99:AY99,AV98:AY98)</f>
        <v>0.4838196111441081</v>
      </c>
      <c r="AJ99" s="109">
        <f>SLOPE(AV99:AY99,AV98:AY98)</f>
        <v>-4.8667027575248712E-7</v>
      </c>
      <c r="AK99" s="56">
        <f>INTERCEPT(AV99:AY99,AV98:AY98)</f>
        <v>0.47617256498033461</v>
      </c>
      <c r="AL99" s="56">
        <f>INDEX(LINEST(LN(AV99:AY99),LN(AV98:AY98),TRUE,TRUE),3,1)</f>
        <v>0.85986894138247327</v>
      </c>
      <c r="AM99" s="56">
        <f>INDEX(LINEST(LN(AV99:AY99),LN(AV98:AY98)),1)</f>
        <v>-0.10638132353925876</v>
      </c>
      <c r="AN99" s="56">
        <f>EXP(INDEX(LINEST(LN(AV99:AY99),LN(AV98:AY98)),1,2))</f>
        <v>0.98458468717710379</v>
      </c>
      <c r="AO99" s="82">
        <f>INDEX(LINEST((AV99:AY99),LN(AV98:AY98),TRUE,TRUE),3,1)</f>
        <v>0.94209418470833506</v>
      </c>
      <c r="AP99" s="82">
        <f>INDEX(LINEST((AV99:AY99),LN(AV98:AY98)),1)</f>
        <v>-4.3044966347829915E-2</v>
      </c>
      <c r="AQ99" s="83">
        <f>INDEX(LINEST(LN(AV99:AY99),SQRT(AV98:AY98),TRUE,TRUE),3,1)</f>
        <v>0.74113594957583218</v>
      </c>
      <c r="AR99" s="116">
        <f>INDEX(LINEST(LN(AV99:AY99),SQRT((AV98:AY98))),1)</f>
        <v>-1.2767124176675463E-3</v>
      </c>
      <c r="AS99" s="84">
        <f>INDEX(LINEST(1/(AV99:AY99),1/(SQRT(AV98:AY98)),TRUE,TRUE),3,1)</f>
        <v>0.65508579278441403</v>
      </c>
      <c r="AT99" s="84">
        <f>INDEX(LINEST(1/(AV99:AY99),1/SQRT(AV98:AY98)),1)</f>
        <v>-17.954682494993403</v>
      </c>
      <c r="AU99" s="3"/>
      <c r="AV99" s="163">
        <v>0.62500000000000011</v>
      </c>
      <c r="AW99" s="163">
        <v>0.35648148148148145</v>
      </c>
      <c r="AX99" s="163">
        <v>0.20601851851851849</v>
      </c>
      <c r="AY99" s="163">
        <v>0.25462962962962959</v>
      </c>
      <c r="AZ99" s="53"/>
      <c r="BA99" s="53"/>
      <c r="BB99" s="43"/>
      <c r="BC99" s="53"/>
      <c r="BD99" s="53"/>
      <c r="BE99" s="53"/>
      <c r="BF99" s="53"/>
      <c r="BG99" s="53"/>
      <c r="BH99" s="53"/>
      <c r="BI99" s="53"/>
      <c r="BJ99" s="53"/>
      <c r="BK99" s="53"/>
      <c r="BL99" s="53"/>
      <c r="BM99" s="53"/>
      <c r="BN99" s="53"/>
      <c r="BO99" s="53"/>
      <c r="BP99" s="53"/>
      <c r="BQ99" s="53"/>
      <c r="BR99" s="53"/>
      <c r="BS99" s="53"/>
      <c r="BT99" s="53"/>
      <c r="BU99" s="53"/>
      <c r="BV99" s="53"/>
      <c r="BW99" s="53"/>
      <c r="BX99" s="53"/>
      <c r="BY99" s="53"/>
      <c r="BZ99" s="53"/>
      <c r="CA99" s="53"/>
      <c r="CB99" s="53"/>
      <c r="CC99" s="53"/>
      <c r="CD99" s="53"/>
      <c r="CE99" s="53"/>
      <c r="CF99" s="53"/>
      <c r="CG99" s="53"/>
      <c r="CH99" s="53"/>
      <c r="CI99" s="53"/>
      <c r="CJ99" s="53"/>
      <c r="CK99" s="53"/>
      <c r="CL99" s="53"/>
      <c r="CM99" s="53"/>
      <c r="CN99" s="53"/>
      <c r="CO99" s="53"/>
      <c r="CP99" s="53"/>
      <c r="CQ99" s="53"/>
      <c r="CR99" s="1"/>
      <c r="CS99" s="1"/>
      <c r="CT99" s="1"/>
      <c r="CU99" s="1"/>
    </row>
    <row r="100" spans="1:99" s="13" customFormat="1" ht="12" customHeight="1" x14ac:dyDescent="0.2">
      <c r="A100" s="65">
        <v>43903</v>
      </c>
      <c r="D100" s="61"/>
      <c r="E100" s="76"/>
      <c r="F100" s="60"/>
      <c r="G100" s="60"/>
      <c r="H100" s="60"/>
      <c r="I100" s="60"/>
      <c r="J100" s="60"/>
      <c r="K100" s="64"/>
      <c r="L100" s="64"/>
      <c r="M100" s="60"/>
      <c r="N100" s="61"/>
      <c r="O100" s="60"/>
      <c r="P100" s="60"/>
      <c r="Q100" s="60"/>
      <c r="R100" s="60"/>
      <c r="S100" s="60"/>
      <c r="T100" s="60"/>
      <c r="U100" s="60"/>
      <c r="V100" s="60"/>
      <c r="W100" s="60"/>
      <c r="X100" s="60"/>
      <c r="Y100" s="76"/>
      <c r="Z100" s="60"/>
      <c r="AA100" s="60"/>
      <c r="AB100" s="60"/>
      <c r="AC100" s="56"/>
      <c r="AD100" s="60"/>
      <c r="AE100" s="60"/>
      <c r="AF100" s="80"/>
      <c r="AG100" s="56"/>
      <c r="AH100" s="4"/>
      <c r="AI100" s="56"/>
      <c r="AJ100" s="109"/>
      <c r="AK100" s="56"/>
      <c r="AL100" s="56"/>
      <c r="AM100" s="56"/>
      <c r="AN100" s="56"/>
      <c r="AO100" s="82"/>
      <c r="AP100" s="82"/>
      <c r="AQ100" s="83"/>
      <c r="AR100" s="116"/>
      <c r="AS100" s="84"/>
      <c r="AT100" s="84"/>
      <c r="AU100" s="3"/>
      <c r="AV100" s="162">
        <v>60</v>
      </c>
      <c r="AW100" s="162">
        <v>86400</v>
      </c>
      <c r="AX100" s="162">
        <v>259200</v>
      </c>
      <c r="AY100" s="162">
        <v>604800</v>
      </c>
      <c r="AZ100" s="53"/>
      <c r="BA100" s="53"/>
      <c r="BB100" s="43"/>
      <c r="BC100" s="53"/>
      <c r="BD100" s="53"/>
      <c r="BE100" s="53"/>
      <c r="BF100" s="53"/>
      <c r="BG100" s="53"/>
      <c r="BH100" s="53"/>
      <c r="BI100" s="53"/>
      <c r="BJ100" s="53"/>
      <c r="BK100" s="53"/>
      <c r="BL100" s="53"/>
      <c r="BM100" s="53"/>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1"/>
      <c r="CS100" s="1"/>
      <c r="CT100" s="1"/>
      <c r="CU100" s="1"/>
    </row>
    <row r="101" spans="1:99" s="13" customFormat="1" ht="12" customHeight="1" x14ac:dyDescent="0.2">
      <c r="A101" s="65">
        <v>43903</v>
      </c>
      <c r="B101" s="1" t="s">
        <v>473</v>
      </c>
      <c r="C101" s="1" t="s">
        <v>474</v>
      </c>
      <c r="D101" s="60">
        <v>2020</v>
      </c>
      <c r="E101" s="76">
        <v>3</v>
      </c>
      <c r="F101" s="60">
        <v>96</v>
      </c>
      <c r="G101" s="60">
        <v>24</v>
      </c>
      <c r="H101" s="60"/>
      <c r="I101" s="60" t="s">
        <v>478</v>
      </c>
      <c r="J101" s="60" t="s">
        <v>475</v>
      </c>
      <c r="K101" s="60">
        <f>IF(J101="syllables",1,IF(J101="trigrams",2,IF(J101="strings",3,IF(J101="visual array",4,IF(J101="characters",5,IF(J101="letters",6,IF(J101="free forms",7,IF(J101="odors",8,IF(J101="words",9,IF(J101="pictures",10,IF(J101="object pictures",11,IF(J101="faces",12,IF(J101="names",13,IF(J101="idioms",14,IF(J101="grades",15,IF(J101="syllable-digit pairs",16,IF(J101="trigram-word pairs",17,IF(J101="word-digit pairs",18,IF(J101="English-Swahili pairs",19,IF(J101="spatial position",20,IF(J101="word pairs",21,IF(J101="word triads",22,IF(J101="generated words",23,IF(J101="word definition pairs",24,IF(J101="math problems",25,IF(J101="famous faces",26,IF(J101="famous names",27,IF(J101="famous voices",28,IF(J101="television programs",29,IF(J101="race horses",30,IF(J101="new vocabulary",31,IF(J101="sentences",32,IF(J101="concepts",33,IF(J101="ad slides",34,IF(J101="scenes",35,IF(J101="famous scenes",36,IF(J101="poems",37,IF(J101="walk",38,IF(J101="faces and events",39,IF(J101="events and names",40,IF(J101="flashbulb",41,IF(J101="stories",42,IF(J101="course material",43,IF(J101="autobiographical",44,IF(J101="novels",45,IF(J101="public events",46,"99"))))))))))))))))))))))))))))))))))))))))))))))</f>
        <v>32</v>
      </c>
      <c r="L101" s="60">
        <f>IF(J101="syllables",1,IF(J101="trigrams",1,IF(J101="strings",1,IF(J101="visual array",1,IF(J101="characters",1,IF(J101="letters",1,IF(J101="free forms",1,IF(J101="odors",2,IF(J101="words",2,IF(J101="pictures",2,IF(J101="object pictures",2,IF(J101="faces",2,IF(J101="names",2,IF(J101="idioms","2",IF(J101="grades",2,IF(J101="syllable-digit pairs",3,IF(J101="trigram-word pairs",3,IF(J101="word-digit pairs",3,IF(J101="English-Swahili pairs",3,IF(J101="spatial position",3,IF(J101="word pairs",4,IF(J101="word triads",4,IF(J101="generated words",4,IF(J101="word definition pairs",4,IF(J101="math problems",4,IF(J101="famous faces",4,IF(J101="famous names",4,IF(J101="famous voices",4,IF(J101="television programs",4,IF(J101="race horses",4,IF(J101="new vocabulary",4,IF(J101="sentences",5,IF(J101="concepts",5,IF(J101="ad slides",5,IF(J101="scenes",5,IF(J101="famous scenes",5,IF(J101="poems",6,IF(J101="walk",6,IF(J101="faces and events",6,IF(J101="events and names",6,IF(J101="flashbulb",7,IF(J101="stories",7,IF(J101="course material",7,IF(J101="autobiographical",7,IF(J101="novels",7,IF(J101="public events",7,"99"))))))))))))))))))))))))))))))))))))))))))))))</f>
        <v>5</v>
      </c>
      <c r="M101" s="60">
        <v>0</v>
      </c>
      <c r="N101" s="61">
        <v>1</v>
      </c>
      <c r="O101" s="60">
        <v>0</v>
      </c>
      <c r="P101" s="60"/>
      <c r="Q101" s="60" t="s">
        <v>174</v>
      </c>
      <c r="R101" s="60">
        <f>IF(Q101="Free Recall",1,IF(Q101="Cued Recall",2,IF(Q101="Recognition",3,IF(Q101="Multiple Choice",4,IF(Q101="Savings",5,IF(Q101="Stem Completion",6,IF(Q101="Fragment Completion",7,IF(Q101="anagram solution",8,IF(Q101="Matching",9,IF(Q101="Problem Solving",10,"99"))))))))))</f>
        <v>1</v>
      </c>
      <c r="S101" s="62" t="s">
        <v>49</v>
      </c>
      <c r="T101" s="60" t="s">
        <v>261</v>
      </c>
      <c r="U101" s="60">
        <f>IF(T101="within",1,0)</f>
        <v>0</v>
      </c>
      <c r="V101" s="60">
        <v>18</v>
      </c>
      <c r="W101" s="60">
        <f>F101*V101</f>
        <v>1728</v>
      </c>
      <c r="X101" s="60">
        <v>4</v>
      </c>
      <c r="Y101" s="76">
        <f>AV100</f>
        <v>60</v>
      </c>
      <c r="Z101" s="60" t="s">
        <v>97</v>
      </c>
      <c r="AA101" s="60">
        <v>604800</v>
      </c>
      <c r="AB101" s="60" t="str">
        <f>IF(AA101&lt;60,"1",IF(AA101&lt;=43200,"2",IF(AA101&lt;=777600,"3","4")))</f>
        <v>3</v>
      </c>
      <c r="AC101" s="56">
        <f>AVERAGE(AV100:DA100)</f>
        <v>237615</v>
      </c>
      <c r="AD101" s="60" t="str">
        <f>IF(AC101&lt;60,"1",IF(AC101&lt;=43200,"2",IF(AC101&lt;=777600,"3","4")))</f>
        <v>3</v>
      </c>
      <c r="AE101" s="76">
        <f>AA101-Y101</f>
        <v>604740</v>
      </c>
      <c r="AF101" s="80">
        <f>AV101</f>
        <v>0.49305555555555564</v>
      </c>
      <c r="AG101" s="56">
        <f>((AW101-AV101)+(AX101-AW101)+(AY101-AX101))/3</f>
        <v>-0.14660493827160498</v>
      </c>
      <c r="AH101" s="4"/>
      <c r="AI101" s="56">
        <f>RSQ(AV101:AY101,AV100:AY100)</f>
        <v>0.58236952085760307</v>
      </c>
      <c r="AJ101" s="109">
        <f>SLOPE(AV101:AY101,AV100:AY100)</f>
        <v>-5.7753418087540377E-7</v>
      </c>
      <c r="AK101" s="56">
        <f>INTERCEPT(AV101:AY101,AV100:AY100)</f>
        <v>0.33919837698130162</v>
      </c>
      <c r="AL101" s="56">
        <f>INDEX(LINEST(LN(AV101:AY101),LN(AV100:AY100),TRUE,TRUE),3,1)</f>
        <v>0.87016572029762285</v>
      </c>
      <c r="AM101" s="56">
        <f>INDEX(LINEST(LN(AV101:AY101),LN(AV100:AY100)),1)</f>
        <v>-0.21977134839840412</v>
      </c>
      <c r="AN101" s="56">
        <f>EXP(INDEX(LINEST(LN(AV101:AY101),LN(AV100:AY100)),1,2))</f>
        <v>1.3380287950102689</v>
      </c>
      <c r="AO101" s="82">
        <f>INDEX(LINEST((AV101:AY101),LN(AV100:AY100),TRUE,TRUE),3,1)</f>
        <v>0.98610167708558449</v>
      </c>
      <c r="AP101" s="82">
        <f>INDEX(LINEST((AV101:AY101),LN(AV100:AY100)),1)</f>
        <v>-4.7634470943780809E-2</v>
      </c>
      <c r="AQ101" s="83">
        <f>INDEX(LINEST(LN(AV101:AY101),SQRT(AV100:AY100),TRUE,TRUE),3,1)</f>
        <v>0.9621575341843891</v>
      </c>
      <c r="AR101" s="116">
        <f>INDEX(LINEST(LN(AV101:AY101),SQRT((AV100:AY100))),1)</f>
        <v>-2.9873634598378907E-3</v>
      </c>
      <c r="AS101" s="84">
        <f>INDEX(LINEST(1/(AV101:AY101),1/(SQRT(AV100:AY100)),TRUE,TRUE),3,1)</f>
        <v>0.48708424928868316</v>
      </c>
      <c r="AT101" s="84">
        <f>INDEX(LINEST(1/(AV101:AY101),1/SQRT(AV100:AY100)),1)</f>
        <v>-83.114644347364973</v>
      </c>
      <c r="AU101" s="3"/>
      <c r="AV101" s="163">
        <v>0.49305555555555564</v>
      </c>
      <c r="AW101" s="163">
        <v>0.1851851851851852</v>
      </c>
      <c r="AX101" s="163">
        <v>7.6388888888888881E-2</v>
      </c>
      <c r="AY101" s="163">
        <v>5.3240740740740748E-2</v>
      </c>
      <c r="AZ101" s="53"/>
      <c r="BA101" s="53"/>
      <c r="BB101" s="4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1"/>
      <c r="CS101" s="1"/>
      <c r="CT101" s="1"/>
      <c r="CU101" s="1"/>
    </row>
    <row r="102" spans="1:99" s="13" customFormat="1" ht="12" customHeight="1" x14ac:dyDescent="0.2">
      <c r="A102" s="65">
        <v>43903</v>
      </c>
      <c r="D102" s="61"/>
      <c r="E102" s="76"/>
      <c r="F102" s="60"/>
      <c r="G102" s="60"/>
      <c r="H102" s="60"/>
      <c r="I102" s="60"/>
      <c r="J102" s="60"/>
      <c r="K102" s="64"/>
      <c r="L102" s="64"/>
      <c r="M102" s="60"/>
      <c r="N102" s="61"/>
      <c r="O102" s="60"/>
      <c r="P102" s="60"/>
      <c r="Q102" s="60"/>
      <c r="R102" s="60"/>
      <c r="S102" s="60"/>
      <c r="T102" s="60"/>
      <c r="U102" s="60"/>
      <c r="V102" s="60"/>
      <c r="W102" s="60"/>
      <c r="X102" s="60"/>
      <c r="Y102" s="76"/>
      <c r="Z102" s="60"/>
      <c r="AA102" s="60"/>
      <c r="AB102" s="60"/>
      <c r="AC102" s="56"/>
      <c r="AD102" s="60"/>
      <c r="AE102" s="60"/>
      <c r="AF102" s="80"/>
      <c r="AG102" s="56"/>
      <c r="AH102" s="4"/>
      <c r="AI102" s="56"/>
      <c r="AJ102" s="109"/>
      <c r="AK102" s="56"/>
      <c r="AL102" s="56"/>
      <c r="AM102" s="56"/>
      <c r="AN102" s="56"/>
      <c r="AO102" s="82"/>
      <c r="AP102" s="82"/>
      <c r="AQ102" s="83"/>
      <c r="AR102" s="116"/>
      <c r="AS102" s="84"/>
      <c r="AT102" s="84"/>
      <c r="AU102" s="3"/>
      <c r="AV102" s="162">
        <v>60</v>
      </c>
      <c r="AW102" s="162">
        <v>86400</v>
      </c>
      <c r="AX102" s="162">
        <v>259200</v>
      </c>
      <c r="AY102" s="162">
        <v>604800</v>
      </c>
      <c r="AZ102" s="53"/>
      <c r="BA102" s="53"/>
      <c r="BB102" s="4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1"/>
      <c r="CS102" s="1"/>
      <c r="CT102" s="1"/>
      <c r="CU102" s="1"/>
    </row>
    <row r="103" spans="1:99" s="13" customFormat="1" ht="12" customHeight="1" x14ac:dyDescent="0.2">
      <c r="A103" s="65">
        <v>43903</v>
      </c>
      <c r="B103" s="1" t="s">
        <v>473</v>
      </c>
      <c r="C103" s="1" t="s">
        <v>474</v>
      </c>
      <c r="D103" s="60">
        <v>2020</v>
      </c>
      <c r="E103" s="76">
        <v>3</v>
      </c>
      <c r="F103" s="60">
        <v>96</v>
      </c>
      <c r="G103" s="60">
        <v>24</v>
      </c>
      <c r="H103" s="60"/>
      <c r="I103" s="60" t="s">
        <v>477</v>
      </c>
      <c r="J103" s="60" t="s">
        <v>475</v>
      </c>
      <c r="K103" s="60">
        <f>IF(J103="syllables",1,IF(J103="trigrams",2,IF(J103="strings",3,IF(J103="visual array",4,IF(J103="characters",5,IF(J103="letters",6,IF(J103="free forms",7,IF(J103="odors",8,IF(J103="words",9,IF(J103="pictures",10,IF(J103="object pictures",11,IF(J103="faces",12,IF(J103="names",13,IF(J103="idioms",14,IF(J103="grades",15,IF(J103="syllable-digit pairs",16,IF(J103="trigram-word pairs",17,IF(J103="word-digit pairs",18,IF(J103="English-Swahili pairs",19,IF(J103="spatial position",20,IF(J103="word pairs",21,IF(J103="word triads",22,IF(J103="generated words",23,IF(J103="word definition pairs",24,IF(J103="math problems",25,IF(J103="famous faces",26,IF(J103="famous names",27,IF(J103="famous voices",28,IF(J103="television programs",29,IF(J103="race horses",30,IF(J103="new vocabulary",31,IF(J103="sentences",32,IF(J103="concepts",33,IF(J103="ad slides",34,IF(J103="scenes",35,IF(J103="famous scenes",36,IF(J103="poems",37,IF(J103="walk",38,IF(J103="faces and events",39,IF(J103="events and names",40,IF(J103="flashbulb",41,IF(J103="stories",42,IF(J103="course material",43,IF(J103="autobiographical",44,IF(J103="novels",45,IF(J103="public events",46,"99"))))))))))))))))))))))))))))))))))))))))))))))</f>
        <v>32</v>
      </c>
      <c r="L103" s="60">
        <f>IF(J103="syllables",1,IF(J103="trigrams",1,IF(J103="strings",1,IF(J103="visual array",1,IF(J103="characters",1,IF(J103="letters",1,IF(J103="free forms",1,IF(J103="odors",2,IF(J103="words",2,IF(J103="pictures",2,IF(J103="object pictures",2,IF(J103="faces",2,IF(J103="names",2,IF(J103="idioms","2",IF(J103="grades",2,IF(J103="syllable-digit pairs",3,IF(J103="trigram-word pairs",3,IF(J103="word-digit pairs",3,IF(J103="English-Swahili pairs",3,IF(J103="spatial position",3,IF(J103="word pairs",4,IF(J103="word triads",4,IF(J103="generated words",4,IF(J103="word definition pairs",4,IF(J103="math problems",4,IF(J103="famous faces",4,IF(J103="famous names",4,IF(J103="famous voices",4,IF(J103="television programs",4,IF(J103="race horses",4,IF(J103="new vocabulary",4,IF(J103="sentences",5,IF(J103="concepts",5,IF(J103="ad slides",5,IF(J103="scenes",5,IF(J103="famous scenes",5,IF(J103="poems",6,IF(J103="walk",6,IF(J103="faces and events",6,IF(J103="events and names",6,IF(J103="flashbulb",7,IF(J103="stories",7,IF(J103="course material",7,IF(J103="autobiographical",7,IF(J103="novels",7,IF(J103="public events",7,"99"))))))))))))))))))))))))))))))))))))))))))))))</f>
        <v>5</v>
      </c>
      <c r="M103" s="60">
        <v>0</v>
      </c>
      <c r="N103" s="61">
        <v>2</v>
      </c>
      <c r="O103" s="60">
        <v>0</v>
      </c>
      <c r="P103" s="60"/>
      <c r="Q103" s="60" t="s">
        <v>34</v>
      </c>
      <c r="R103" s="60">
        <f>IF(Q103="Free Recall",1,IF(Q103="Cued Recall",2,IF(Q103="Recognition",3,IF(Q103="Multiple Choice",4,IF(Q103="Savings",5,IF(Q103="Stem Completion",6,IF(Q103="Fragment Completion",7,IF(Q103="anagram solution",8,IF(Q103="Matching",9,IF(Q103="Problem Solving",10,"99"))))))))))</f>
        <v>3</v>
      </c>
      <c r="S103" s="60" t="s">
        <v>15</v>
      </c>
      <c r="T103" s="60" t="s">
        <v>261</v>
      </c>
      <c r="U103" s="60">
        <f>IF(T103="within",1,0)</f>
        <v>0</v>
      </c>
      <c r="V103" s="60">
        <v>18</v>
      </c>
      <c r="W103" s="60">
        <f>F103*V103</f>
        <v>1728</v>
      </c>
      <c r="X103" s="60">
        <v>4</v>
      </c>
      <c r="Y103" s="76">
        <f>AV102</f>
        <v>60</v>
      </c>
      <c r="Z103" s="60" t="s">
        <v>97</v>
      </c>
      <c r="AA103" s="60">
        <v>604800</v>
      </c>
      <c r="AB103" s="60" t="str">
        <f>IF(AA103&lt;60,"1",IF(AA103&lt;=43200,"2",IF(AA103&lt;=777600,"3","4")))</f>
        <v>3</v>
      </c>
      <c r="AC103" s="56">
        <f>AVERAGE(AV102:DA102)</f>
        <v>237615</v>
      </c>
      <c r="AD103" s="60" t="str">
        <f>IF(AC103&lt;60,"1",IF(AC103&lt;=43200,"2",IF(AC103&lt;=777600,"3","4")))</f>
        <v>3</v>
      </c>
      <c r="AE103" s="76">
        <f>AA103-Y103</f>
        <v>604740</v>
      </c>
      <c r="AF103" s="80">
        <f>AV103</f>
        <v>0.81018518518518512</v>
      </c>
      <c r="AG103" s="56">
        <f>((AW103-AV103)+(AX103-AW103)+(AY103-AX103))/3</f>
        <v>-6.4043209876543175E-2</v>
      </c>
      <c r="AH103" s="4"/>
      <c r="AI103" s="56">
        <f>RSQ(AV103:AY103,AV102:AY102)</f>
        <v>0.71502775591513534</v>
      </c>
      <c r="AJ103" s="109">
        <f>SLOPE(AV103:AY103,AV102:AY102)</f>
        <v>-2.5277816930513689E-7</v>
      </c>
      <c r="AK103" s="56">
        <f>INTERCEPT(AV103:AY103,AV102:AY102)</f>
        <v>0.76087406988462525</v>
      </c>
      <c r="AL103" s="56">
        <f>INDEX(LINEST(LN(AV103:AY103),LN(AV102:AY102),TRUE,TRUE),3,1)</f>
        <v>0.89221662518285438</v>
      </c>
      <c r="AM103" s="56">
        <f>INDEX(LINEST(LN(AV103:AY103),LN(AV102:AY102)),1)</f>
        <v>-2.5025125375607447E-2</v>
      </c>
      <c r="AN103" s="56">
        <f>EXP(INDEX(LINEST(LN(AV103:AY103),LN(AV102:AY102)),1,2))</f>
        <v>0.90279162234221189</v>
      </c>
      <c r="AO103" s="82">
        <f>INDEX(LINEST((AV103:AY103),LN(AV102:AY102),TRUE,TRUE),3,1)</f>
        <v>0.91584094917251568</v>
      </c>
      <c r="AP103" s="82">
        <f>INDEX(LINEST((AV103:AY103),LN(AV102:AY102)),1)</f>
        <v>-1.8133025249210854E-2</v>
      </c>
      <c r="AQ103" s="83">
        <f>INDEX(LINEST(LN(AV103:AY103),SQRT(AV102:AY102),TRUE,TRUE),3,1)</f>
        <v>0.89800024273816903</v>
      </c>
      <c r="AR103" s="116">
        <f>INDEX(LINEST(LN(AV103:AY103),SQRT((AV102:AY102))),1)</f>
        <v>-3.2454447327495792E-4</v>
      </c>
      <c r="AS103" s="84">
        <f>INDEX(LINEST(1/(AV103:AY103),1/(SQRT(AV102:AY102)),TRUE,TRUE),3,1)</f>
        <v>0.7685969271977896</v>
      </c>
      <c r="AT103" s="84">
        <f>INDEX(LINEST(1/(AV103:AY103),1/SQRT(AV102:AY102)),1)</f>
        <v>-2.1769844261487576</v>
      </c>
      <c r="AU103" s="3"/>
      <c r="AV103" s="163">
        <v>0.81018518518518512</v>
      </c>
      <c r="AW103" s="163">
        <v>0.68518518518518512</v>
      </c>
      <c r="AX103" s="163">
        <v>0.68981481481481477</v>
      </c>
      <c r="AY103" s="163">
        <v>0.61805555555555558</v>
      </c>
      <c r="AZ103" s="53"/>
      <c r="BA103" s="53"/>
      <c r="BB103" s="43"/>
      <c r="BC103" s="53"/>
      <c r="BD103" s="53"/>
      <c r="BE103" s="53"/>
      <c r="BF103" s="53"/>
      <c r="BG103" s="53"/>
      <c r="BH103" s="53"/>
      <c r="BI103" s="53"/>
      <c r="BJ103" s="53"/>
      <c r="BK103" s="53"/>
      <c r="BL103" s="53"/>
      <c r="BM103" s="53"/>
      <c r="BN103" s="53"/>
      <c r="BO103" s="53"/>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53"/>
      <c r="CR103" s="1"/>
      <c r="CS103" s="1"/>
      <c r="CT103" s="1"/>
      <c r="CU103" s="1"/>
    </row>
    <row r="104" spans="1:99" s="13" customFormat="1" ht="12" customHeight="1" x14ac:dyDescent="0.2">
      <c r="A104" s="65">
        <v>43903</v>
      </c>
      <c r="D104" s="61"/>
      <c r="E104" s="76"/>
      <c r="F104" s="60"/>
      <c r="G104" s="60"/>
      <c r="H104" s="60"/>
      <c r="I104" s="60"/>
      <c r="J104" s="60"/>
      <c r="K104" s="64"/>
      <c r="L104" s="64"/>
      <c r="M104" s="60"/>
      <c r="N104" s="61"/>
      <c r="O104" s="60"/>
      <c r="P104" s="60"/>
      <c r="Q104" s="60"/>
      <c r="R104" s="60"/>
      <c r="S104" s="60"/>
      <c r="T104" s="60"/>
      <c r="U104" s="60"/>
      <c r="V104" s="60"/>
      <c r="W104" s="60"/>
      <c r="X104" s="60"/>
      <c r="Y104" s="76"/>
      <c r="Z104" s="60"/>
      <c r="AA104" s="60"/>
      <c r="AB104" s="60"/>
      <c r="AC104" s="56"/>
      <c r="AD104" s="60"/>
      <c r="AE104" s="60"/>
      <c r="AF104" s="80"/>
      <c r="AG104" s="56"/>
      <c r="AH104" s="4"/>
      <c r="AI104" s="56"/>
      <c r="AJ104" s="109"/>
      <c r="AK104" s="56"/>
      <c r="AL104" s="56"/>
      <c r="AM104" s="56"/>
      <c r="AN104" s="56"/>
      <c r="AO104" s="82"/>
      <c r="AP104" s="82"/>
      <c r="AQ104" s="83"/>
      <c r="AR104" s="116"/>
      <c r="AS104" s="84"/>
      <c r="AT104" s="84"/>
      <c r="AU104" s="3"/>
      <c r="AV104" s="162">
        <v>60</v>
      </c>
      <c r="AW104" s="162">
        <v>86400</v>
      </c>
      <c r="AX104" s="162">
        <v>259200</v>
      </c>
      <c r="AY104" s="162">
        <v>604800</v>
      </c>
      <c r="AZ104" s="53"/>
      <c r="BA104" s="53"/>
      <c r="BB104" s="4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53"/>
      <c r="CR104" s="1"/>
      <c r="CS104" s="1"/>
      <c r="CT104" s="1"/>
      <c r="CU104" s="1"/>
    </row>
    <row r="105" spans="1:99" s="13" customFormat="1" ht="12" customHeight="1" x14ac:dyDescent="0.2">
      <c r="A105" s="65">
        <v>43903</v>
      </c>
      <c r="B105" s="1" t="s">
        <v>473</v>
      </c>
      <c r="C105" s="1" t="s">
        <v>474</v>
      </c>
      <c r="D105" s="60">
        <v>2020</v>
      </c>
      <c r="E105" s="76">
        <v>3</v>
      </c>
      <c r="F105" s="60">
        <v>96</v>
      </c>
      <c r="G105" s="60">
        <v>24</v>
      </c>
      <c r="H105" s="60"/>
      <c r="I105" s="60" t="s">
        <v>478</v>
      </c>
      <c r="J105" s="60" t="s">
        <v>475</v>
      </c>
      <c r="K105" s="60">
        <f>IF(J105="syllables",1,IF(J105="trigrams",2,IF(J105="strings",3,IF(J105="visual array",4,IF(J105="characters",5,IF(J105="letters",6,IF(J105="free forms",7,IF(J105="odors",8,IF(J105="words",9,IF(J105="pictures",10,IF(J105="object pictures",11,IF(J105="faces",12,IF(J105="names",13,IF(J105="idioms",14,IF(J105="grades",15,IF(J105="syllable-digit pairs",16,IF(J105="trigram-word pairs",17,IF(J105="word-digit pairs",18,IF(J105="English-Swahili pairs",19,IF(J105="spatial position",20,IF(J105="word pairs",21,IF(J105="word triads",22,IF(J105="generated words",23,IF(J105="word definition pairs",24,IF(J105="math problems",25,IF(J105="famous faces",26,IF(J105="famous names",27,IF(J105="famous voices",28,IF(J105="television programs",29,IF(J105="race horses",30,IF(J105="new vocabulary",31,IF(J105="sentences",32,IF(J105="concepts",33,IF(J105="ad slides",34,IF(J105="scenes",35,IF(J105="famous scenes",36,IF(J105="poems",37,IF(J105="walk",38,IF(J105="faces and events",39,IF(J105="events and names",40,IF(J105="flashbulb",41,IF(J105="stories",42,IF(J105="course material",43,IF(J105="autobiographical",44,IF(J105="novels",45,IF(J105="public events",46,"99"))))))))))))))))))))))))))))))))))))))))))))))</f>
        <v>32</v>
      </c>
      <c r="L105" s="60">
        <f>IF(J105="syllables",1,IF(J105="trigrams",1,IF(J105="strings",1,IF(J105="visual array",1,IF(J105="characters",1,IF(J105="letters",1,IF(J105="free forms",1,IF(J105="odors",2,IF(J105="words",2,IF(J105="pictures",2,IF(J105="object pictures",2,IF(J105="faces",2,IF(J105="names",2,IF(J105="idioms","2",IF(J105="grades",2,IF(J105="syllable-digit pairs",3,IF(J105="trigram-word pairs",3,IF(J105="word-digit pairs",3,IF(J105="English-Swahili pairs",3,IF(J105="spatial position",3,IF(J105="word pairs",4,IF(J105="word triads",4,IF(J105="generated words",4,IF(J105="word definition pairs",4,IF(J105="math problems",4,IF(J105="famous faces",4,IF(J105="famous names",4,IF(J105="famous voices",4,IF(J105="television programs",4,IF(J105="race horses",4,IF(J105="new vocabulary",4,IF(J105="sentences",5,IF(J105="concepts",5,IF(J105="ad slides",5,IF(J105="scenes",5,IF(J105="famous scenes",5,IF(J105="poems",6,IF(J105="walk",6,IF(J105="faces and events",6,IF(J105="events and names",6,IF(J105="flashbulb",7,IF(J105="stories",7,IF(J105="course material",7,IF(J105="autobiographical",7,IF(J105="novels",7,IF(J105="public events",7,"99"))))))))))))))))))))))))))))))))))))))))))))))</f>
        <v>5</v>
      </c>
      <c r="M105" s="60">
        <v>0</v>
      </c>
      <c r="N105" s="61">
        <v>1</v>
      </c>
      <c r="O105" s="60">
        <v>0</v>
      </c>
      <c r="P105" s="60"/>
      <c r="Q105" s="60" t="s">
        <v>34</v>
      </c>
      <c r="R105" s="60">
        <f>IF(Q105="Free Recall",1,IF(Q105="Cued Recall",2,IF(Q105="Recognition",3,IF(Q105="Multiple Choice",4,IF(Q105="Savings",5,IF(Q105="Stem Completion",6,IF(Q105="Fragment Completion",7,IF(Q105="anagram solution",8,IF(Q105="Matching",9,IF(Q105="Problem Solving",10,"99"))))))))))</f>
        <v>3</v>
      </c>
      <c r="S105" s="60" t="s">
        <v>15</v>
      </c>
      <c r="T105" s="60" t="s">
        <v>261</v>
      </c>
      <c r="U105" s="60">
        <f>IF(T105="within",1,0)</f>
        <v>0</v>
      </c>
      <c r="V105" s="60">
        <v>18</v>
      </c>
      <c r="W105" s="60">
        <f>F105*V105</f>
        <v>1728</v>
      </c>
      <c r="X105" s="60">
        <v>4</v>
      </c>
      <c r="Y105" s="76">
        <f>AV104</f>
        <v>60</v>
      </c>
      <c r="Z105" s="60" t="s">
        <v>97</v>
      </c>
      <c r="AA105" s="60">
        <v>604800</v>
      </c>
      <c r="AB105" s="60" t="str">
        <f>IF(AA105&lt;60,"1",IF(AA105&lt;=43200,"2",IF(AA105&lt;=777600,"3","4")))</f>
        <v>3</v>
      </c>
      <c r="AC105" s="56">
        <f>AVERAGE(AV104:DA104)</f>
        <v>237615</v>
      </c>
      <c r="AD105" s="60" t="str">
        <f>IF(AC105&lt;60,"1",IF(AC105&lt;=43200,"2",IF(AC105&lt;=777600,"3","4")))</f>
        <v>3</v>
      </c>
      <c r="AE105" s="76">
        <f>AA105-Y105</f>
        <v>604740</v>
      </c>
      <c r="AF105" s="80">
        <f>AV105</f>
        <v>0.72685185185185197</v>
      </c>
      <c r="AG105" s="56">
        <f>((AW105-AV105)+(AX105-AW105)+(AY105-AX105))/3</f>
        <v>-8.2561728395061804E-2</v>
      </c>
      <c r="AH105" s="4"/>
      <c r="AI105" s="56">
        <f>RSQ(AV105:AY105,AV104:AY104)</f>
        <v>0.49696070812875476</v>
      </c>
      <c r="AJ105" s="109">
        <f>SLOPE(AV105:AY105,AV104:AY104)</f>
        <v>-3.3524294702958424E-7</v>
      </c>
      <c r="AK105" s="56">
        <f>INTERCEPT(AV105:AY105,AV104:AY104)</f>
        <v>0.63116338248806425</v>
      </c>
      <c r="AL105" s="56">
        <f>INDEX(LINEST(LN(AV105:AY105),LN(AV104:AY104),TRUE,TRUE),3,1)</f>
        <v>0.87300267354646544</v>
      </c>
      <c r="AM105" s="56">
        <f>INDEX(LINEST(LN(AV105:AY105),LN(AV104:AY104)),1)</f>
        <v>-4.8853910085287923E-2</v>
      </c>
      <c r="AN105" s="56">
        <f>EXP(INDEX(LINEST(LN(AV105:AY105),LN(AV104:AY104)),1,2))</f>
        <v>0.89562415530675088</v>
      </c>
      <c r="AO105" s="82">
        <f>INDEX(LINEST((AV105:AY105),LN(AV104:AY104),TRUE,TRUE),3,1)</f>
        <v>0.9133517922389166</v>
      </c>
      <c r="AP105" s="82">
        <f>INDEX(LINEST((AV105:AY105),LN(AV104:AY104)),1)</f>
        <v>-2.8807116527343322E-2</v>
      </c>
      <c r="AQ105" s="83">
        <f>INDEX(LINEST(LN(AV105:AY105),SQRT(AV104:AY104),TRUE,TRUE),3,1)</f>
        <v>0.75691971719156459</v>
      </c>
      <c r="AR105" s="116">
        <f>INDEX(LINEST(LN(AV105:AY105),SQRT((AV104:AY104))),1)</f>
        <v>-5.8804604809946403E-4</v>
      </c>
      <c r="AS105" s="84">
        <f>INDEX(LINEST(1/(AV105:AY105),1/(SQRT(AV104:AY104)),TRUE,TRUE),3,1)</f>
        <v>0.74554705073282379</v>
      </c>
      <c r="AT105" s="84">
        <f>INDEX(LINEST(1/(AV105:AY105),1/SQRT(AV104:AY104)),1)</f>
        <v>-5.3349975576195208</v>
      </c>
      <c r="AU105" s="3"/>
      <c r="AV105" s="163">
        <v>0.72685185185185197</v>
      </c>
      <c r="AW105" s="163">
        <v>0.56018518518518523</v>
      </c>
      <c r="AX105" s="163">
        <v>0.43981481481481483</v>
      </c>
      <c r="AY105" s="163">
        <v>0.47916666666666657</v>
      </c>
      <c r="AZ105" s="53"/>
      <c r="BA105" s="53"/>
      <c r="BB105" s="4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1"/>
      <c r="CS105" s="1"/>
      <c r="CT105" s="1"/>
      <c r="CU105" s="1"/>
    </row>
    <row r="106" spans="1:99" s="13" customFormat="1" ht="12" customHeight="1" x14ac:dyDescent="0.2">
      <c r="A106" s="65">
        <v>43903</v>
      </c>
      <c r="D106" s="61"/>
      <c r="E106" s="76"/>
      <c r="F106" s="60"/>
      <c r="G106" s="60"/>
      <c r="H106" s="60"/>
      <c r="I106" s="60"/>
      <c r="J106" s="60"/>
      <c r="K106" s="64"/>
      <c r="L106" s="64"/>
      <c r="M106" s="60"/>
      <c r="N106" s="61"/>
      <c r="O106" s="60"/>
      <c r="P106" s="60"/>
      <c r="Q106" s="60"/>
      <c r="R106" s="60"/>
      <c r="S106" s="60"/>
      <c r="T106" s="60"/>
      <c r="U106" s="60"/>
      <c r="V106" s="60"/>
      <c r="W106" s="60"/>
      <c r="X106" s="60"/>
      <c r="Y106" s="76"/>
      <c r="Z106" s="60"/>
      <c r="AA106" s="60"/>
      <c r="AB106" s="60"/>
      <c r="AC106" s="56"/>
      <c r="AD106" s="60"/>
      <c r="AE106" s="60"/>
      <c r="AF106" s="80"/>
      <c r="AG106" s="56"/>
      <c r="AH106" s="4"/>
      <c r="AI106" s="56"/>
      <c r="AJ106" s="109"/>
      <c r="AK106" s="56"/>
      <c r="AL106" s="56"/>
      <c r="AM106" s="56"/>
      <c r="AN106" s="56"/>
      <c r="AO106" s="82"/>
      <c r="AP106" s="82"/>
      <c r="AQ106" s="83"/>
      <c r="AR106" s="116"/>
      <c r="AS106" s="84"/>
      <c r="AT106" s="84"/>
      <c r="AU106" s="3"/>
      <c r="AV106" s="25">
        <v>60</v>
      </c>
      <c r="AW106" s="25">
        <v>86400</v>
      </c>
      <c r="AX106" s="25">
        <v>259200</v>
      </c>
      <c r="AY106" s="25">
        <v>604800</v>
      </c>
      <c r="AZ106" s="53"/>
      <c r="BA106" s="53"/>
      <c r="BB106" s="43"/>
      <c r="BC106" s="53"/>
      <c r="BD106" s="53"/>
      <c r="BE106" s="53"/>
      <c r="BF106" s="53"/>
      <c r="BG106" s="53"/>
      <c r="BH106" s="53"/>
      <c r="BI106" s="53"/>
      <c r="BJ106" s="53"/>
      <c r="BK106" s="53"/>
      <c r="BL106" s="53"/>
      <c r="BM106" s="53"/>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1"/>
      <c r="CS106" s="1"/>
      <c r="CT106" s="1"/>
      <c r="CU106" s="1"/>
    </row>
    <row r="107" spans="1:99" s="13" customFormat="1" ht="12" customHeight="1" x14ac:dyDescent="0.2">
      <c r="A107" s="65">
        <v>43903</v>
      </c>
      <c r="B107" s="1" t="s">
        <v>473</v>
      </c>
      <c r="C107" s="1" t="s">
        <v>474</v>
      </c>
      <c r="D107" s="60">
        <v>2020</v>
      </c>
      <c r="E107" s="76">
        <v>4</v>
      </c>
      <c r="F107" s="60">
        <v>96</v>
      </c>
      <c r="G107" s="60">
        <v>24</v>
      </c>
      <c r="H107" s="60"/>
      <c r="I107" s="60" t="s">
        <v>479</v>
      </c>
      <c r="J107" s="60" t="s">
        <v>16</v>
      </c>
      <c r="K107" s="60">
        <f>IF(J107="syllables",1,IF(J107="trigrams",2,IF(J107="strings",3,IF(J107="visual array",4,IF(J107="characters",5,IF(J107="letters",6,IF(J107="free forms",7,IF(J107="odors",8,IF(J107="words",9,IF(J107="pictures",10,IF(J107="object pictures",11,IF(J107="faces",12,IF(J107="names",13,IF(J107="idioms",14,IF(J107="grades",15,IF(J107="syllable-digit pairs",16,IF(J107="trigram-word pairs",17,IF(J107="word-digit pairs",18,IF(J107="English-Swahili pairs",19,IF(J107="spatial position",20,IF(J107="word pairs",21,IF(J107="word triads",22,IF(J107="generated words",23,IF(J107="word definition pairs",24,IF(J107="math problems",25,IF(J107="famous faces",26,IF(J107="famous names",27,IF(J107="famous voices",28,IF(J107="television programs",29,IF(J107="race horses",30,IF(J107="new vocabulary",31,IF(J107="sentences",32,IF(J107="concepts",33,IF(J107="ad slides",34,IF(J107="scenes",35,IF(J107="famous scenes",36,IF(J107="poems",37,IF(J107="walk",38,IF(J107="faces and events",39,IF(J107="events and names",40,IF(J107="flashbulb",41,IF(J107="stories",42,IF(J107="course material",43,IF(J107="autobiographical",44,IF(J107="novels",45,IF(J107="public events",46,"99"))))))))))))))))))))))))))))))))))))))))))))))</f>
        <v>9</v>
      </c>
      <c r="L107" s="60">
        <f>IF(J107="syllables",1,IF(J107="trigrams",1,IF(J107="strings",1,IF(J107="visual array",1,IF(J107="characters",1,IF(J107="letters",1,IF(J107="free forms",1,IF(J107="odors",2,IF(J107="words",2,IF(J107="pictures",2,IF(J107="object pictures",2,IF(J107="faces",2,IF(J107="names",2,IF(J107="idioms","2",IF(J107="grades",2,IF(J107="syllable-digit pairs",3,IF(J107="trigram-word pairs",3,IF(J107="word-digit pairs",3,IF(J107="English-Swahili pairs",3,IF(J107="spatial position",3,IF(J107="word pairs",4,IF(J107="word triads",4,IF(J107="generated words",4,IF(J107="word definition pairs",4,IF(J107="math problems",4,IF(J107="famous faces",4,IF(J107="famous names",4,IF(J107="famous voices",4,IF(J107="television programs",4,IF(J107="race horses",4,IF(J107="new vocabulary",4,IF(J107="sentences",5,IF(J107="concepts",5,IF(J107="ad slides",5,IF(J107="scenes",5,IF(J107="famous scenes",5,IF(J107="poems",6,IF(J107="walk",6,IF(J107="faces and events",6,IF(J107="events and names",6,IF(J107="flashbulb",7,IF(J107="stories",7,IF(J107="course material",7,IF(J107="autobiographical",7,IF(J107="novels",7,IF(J107="public events",7,"99"))))))))))))))))))))))))))))))))))))))))))))))</f>
        <v>2</v>
      </c>
      <c r="M107" s="60">
        <v>0</v>
      </c>
      <c r="N107" s="61">
        <v>1</v>
      </c>
      <c r="O107" s="60">
        <v>0</v>
      </c>
      <c r="P107" s="60"/>
      <c r="Q107" s="60" t="s">
        <v>174</v>
      </c>
      <c r="R107" s="60">
        <f>IF(Q107="Free Recall",1,IF(Q107="Cued Recall",2,IF(Q107="Recognition",3,IF(Q107="Multiple Choice",4,IF(Q107="Savings",5,IF(Q107="Stem Completion",6,IF(Q107="Fragment Completion",7,IF(Q107="anagram solution",8,IF(Q107="Matching",9,IF(Q107="Problem Solving",10,"99"))))))))))</f>
        <v>1</v>
      </c>
      <c r="S107" s="60" t="s">
        <v>49</v>
      </c>
      <c r="T107" s="60" t="s">
        <v>261</v>
      </c>
      <c r="U107" s="60">
        <f>IF(T107="within",1,0)</f>
        <v>0</v>
      </c>
      <c r="V107" s="60">
        <v>12</v>
      </c>
      <c r="W107" s="60">
        <f>F107*V107</f>
        <v>1152</v>
      </c>
      <c r="X107" s="60">
        <v>4</v>
      </c>
      <c r="Y107" s="76">
        <f>AV106</f>
        <v>60</v>
      </c>
      <c r="Z107" s="60" t="s">
        <v>97</v>
      </c>
      <c r="AA107" s="60">
        <v>604800</v>
      </c>
      <c r="AB107" s="60" t="str">
        <f>IF(AA107&lt;60,"1",IF(AA107&lt;=43200,"2",IF(AA107&lt;=777600,"3","4")))</f>
        <v>3</v>
      </c>
      <c r="AC107" s="56">
        <f>AVERAGE(AV106:DA106)</f>
        <v>237615</v>
      </c>
      <c r="AD107" s="60" t="str">
        <f>IF(AC107&lt;60,"1",IF(AC107&lt;=43200,"2",IF(AC107&lt;=777600,"3","4")))</f>
        <v>3</v>
      </c>
      <c r="AE107" s="76">
        <f>AA107-Y107</f>
        <v>604740</v>
      </c>
      <c r="AF107" s="80">
        <f>AV107</f>
        <v>0.76388888888888873</v>
      </c>
      <c r="AG107" s="56">
        <f>((AW107-AV107)+(AX107-AW107)+(AY107-AX107))/3</f>
        <v>-0.19212962962962962</v>
      </c>
      <c r="AH107" s="4"/>
      <c r="AI107" s="56">
        <f>RSQ(AV107:AY107,AV106:AY106)</f>
        <v>0.59663977629434162</v>
      </c>
      <c r="AJ107" s="109">
        <f>SLOPE(AV107:AY107,AV106:AY106)</f>
        <v>-7.2092847270108981E-7</v>
      </c>
      <c r="AK107" s="56">
        <f>INTERCEPT(AV107:AY107,AV106:AY106)</f>
        <v>0.57494925237420269</v>
      </c>
      <c r="AL107" s="56">
        <f>INDEX(LINEST(LN(AV107:AY107),LN(AV106:AY106),TRUE,TRUE),3,1)</f>
        <v>0.88273613879667445</v>
      </c>
      <c r="AM107" s="56">
        <f>INDEX(LINEST(LN(AV107:AY107),LN(AV106:AY106)),1)</f>
        <v>-0.12884593549700782</v>
      </c>
      <c r="AN107" s="56">
        <f>EXP(INDEX(LINEST(LN(AV107:AY107),LN(AV106:AY106)),1,2))</f>
        <v>1.3371845609719428</v>
      </c>
      <c r="AO107" s="82">
        <f>INDEX(LINEST((AV107:AY107),LN(AV106:AY106),TRUE,TRUE),3,1)</f>
        <v>0.97112648843817007</v>
      </c>
      <c r="AP107" s="82">
        <f>INDEX(LINEST((AV107:AY107),LN(AV106:AY106)),1)</f>
        <v>-5.8298328083112194E-2</v>
      </c>
      <c r="AQ107" s="83">
        <f>INDEX(LINEST(LN(AV107:AY107),SQRT(AV106:AY106),TRUE,TRUE),3,1)</f>
        <v>0.90326983083100076</v>
      </c>
      <c r="AR107" s="116">
        <f>INDEX(LINEST(LN(AV107:AY107),SQRT((AV106:AY106))),1)</f>
        <v>-1.6848409396423309E-3</v>
      </c>
      <c r="AS107" s="84">
        <f>INDEX(LINEST(1/(AV107:AY107),1/(SQRT(AV106:AY106)),TRUE,TRUE),3,1)</f>
        <v>0.57265051366190245</v>
      </c>
      <c r="AT107" s="84">
        <f>INDEX(LINEST(1/(AV107:AY107),1/SQRT(AV106:AY106)),1)</f>
        <v>-19.712271570273465</v>
      </c>
      <c r="AU107" s="3"/>
      <c r="AV107" s="53">
        <v>0.76388888888888873</v>
      </c>
      <c r="AW107" s="53">
        <v>0.32638888888888867</v>
      </c>
      <c r="AX107" s="53">
        <v>0.33680555555555541</v>
      </c>
      <c r="AY107" s="53">
        <v>0.18749999999999992</v>
      </c>
      <c r="AZ107" s="53"/>
      <c r="BA107" s="53"/>
      <c r="BB107" s="4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c r="CA107" s="53"/>
      <c r="CB107" s="53"/>
      <c r="CC107" s="53"/>
      <c r="CD107" s="53"/>
      <c r="CE107" s="53"/>
      <c r="CF107" s="53"/>
      <c r="CG107" s="53"/>
      <c r="CH107" s="53"/>
      <c r="CI107" s="53"/>
      <c r="CJ107" s="53"/>
      <c r="CK107" s="53"/>
      <c r="CL107" s="53"/>
      <c r="CM107" s="53"/>
      <c r="CN107" s="53"/>
      <c r="CO107" s="53"/>
      <c r="CP107" s="53"/>
      <c r="CQ107" s="53"/>
      <c r="CR107" s="1"/>
      <c r="CS107" s="1"/>
      <c r="CT107" s="1"/>
      <c r="CU107" s="1"/>
    </row>
    <row r="108" spans="1:99" s="13" customFormat="1" ht="12" customHeight="1" x14ac:dyDescent="0.2">
      <c r="A108" s="65">
        <v>43903</v>
      </c>
      <c r="D108" s="61"/>
      <c r="E108" s="76"/>
      <c r="F108" s="60"/>
      <c r="G108" s="60"/>
      <c r="H108" s="60"/>
      <c r="I108" s="60"/>
      <c r="J108" s="60"/>
      <c r="K108" s="64"/>
      <c r="L108" s="64"/>
      <c r="M108" s="60"/>
      <c r="N108" s="61"/>
      <c r="O108" s="60"/>
      <c r="P108" s="60"/>
      <c r="Q108" s="60"/>
      <c r="R108" s="60"/>
      <c r="S108" s="60"/>
      <c r="T108" s="60"/>
      <c r="U108" s="60"/>
      <c r="V108" s="60"/>
      <c r="W108" s="60"/>
      <c r="X108" s="60"/>
      <c r="Y108" s="76"/>
      <c r="Z108" s="60"/>
      <c r="AA108" s="60"/>
      <c r="AB108" s="60"/>
      <c r="AC108" s="56"/>
      <c r="AD108" s="60"/>
      <c r="AE108" s="60"/>
      <c r="AF108" s="80"/>
      <c r="AG108" s="56"/>
      <c r="AH108" s="4"/>
      <c r="AI108" s="56"/>
      <c r="AJ108" s="109"/>
      <c r="AK108" s="56"/>
      <c r="AL108" s="56"/>
      <c r="AM108" s="56"/>
      <c r="AN108" s="56"/>
      <c r="AO108" s="82"/>
      <c r="AP108" s="82"/>
      <c r="AQ108" s="83"/>
      <c r="AR108" s="116"/>
      <c r="AS108" s="84"/>
      <c r="AT108" s="84"/>
      <c r="AU108" s="3"/>
      <c r="AV108" s="25">
        <v>60</v>
      </c>
      <c r="AW108" s="25">
        <v>86400</v>
      </c>
      <c r="AX108" s="25">
        <v>259200</v>
      </c>
      <c r="AY108" s="25">
        <v>604800</v>
      </c>
      <c r="AZ108" s="53"/>
      <c r="BA108" s="53"/>
      <c r="BB108" s="43"/>
      <c r="BC108" s="53"/>
      <c r="BD108" s="53"/>
      <c r="BE108" s="53"/>
      <c r="BF108" s="53"/>
      <c r="BG108" s="53"/>
      <c r="BH108" s="53"/>
      <c r="BI108" s="53"/>
      <c r="BJ108" s="53"/>
      <c r="BK108" s="53"/>
      <c r="BL108" s="53"/>
      <c r="BM108" s="53"/>
      <c r="BN108" s="53"/>
      <c r="BO108" s="53"/>
      <c r="BP108" s="53"/>
      <c r="BQ108" s="53"/>
      <c r="BR108" s="53"/>
      <c r="BS108" s="53"/>
      <c r="BT108" s="53"/>
      <c r="BU108" s="53"/>
      <c r="BV108" s="53"/>
      <c r="BW108" s="53"/>
      <c r="BX108" s="53"/>
      <c r="BY108" s="53"/>
      <c r="BZ108" s="53"/>
      <c r="CA108" s="53"/>
      <c r="CB108" s="53"/>
      <c r="CC108" s="53"/>
      <c r="CD108" s="53"/>
      <c r="CE108" s="53"/>
      <c r="CF108" s="53"/>
      <c r="CG108" s="53"/>
      <c r="CH108" s="53"/>
      <c r="CI108" s="53"/>
      <c r="CJ108" s="53"/>
      <c r="CK108" s="53"/>
      <c r="CL108" s="53"/>
      <c r="CM108" s="53"/>
      <c r="CN108" s="53"/>
      <c r="CO108" s="53"/>
      <c r="CP108" s="53"/>
      <c r="CQ108" s="53"/>
      <c r="CR108" s="1"/>
      <c r="CS108" s="1"/>
      <c r="CT108" s="1"/>
      <c r="CU108" s="1"/>
    </row>
    <row r="109" spans="1:99" s="13" customFormat="1" ht="12" customHeight="1" x14ac:dyDescent="0.2">
      <c r="A109" s="65">
        <v>43903</v>
      </c>
      <c r="B109" s="1" t="s">
        <v>473</v>
      </c>
      <c r="C109" s="1" t="s">
        <v>474</v>
      </c>
      <c r="D109" s="60">
        <v>2020</v>
      </c>
      <c r="E109" s="76">
        <v>4</v>
      </c>
      <c r="F109" s="60">
        <v>96</v>
      </c>
      <c r="G109" s="60">
        <v>24</v>
      </c>
      <c r="H109" s="60"/>
      <c r="I109" s="60" t="s">
        <v>480</v>
      </c>
      <c r="J109" s="60" t="s">
        <v>16</v>
      </c>
      <c r="K109" s="60">
        <f>IF(J109="syllables",1,IF(J109="trigrams",2,IF(J109="strings",3,IF(J109="visual array",4,IF(J109="characters",5,IF(J109="letters",6,IF(J109="free forms",7,IF(J109="odors",8,IF(J109="words",9,IF(J109="pictures",10,IF(J109="object pictures",11,IF(J109="faces",12,IF(J109="names",13,IF(J109="idioms",14,IF(J109="grades",15,IF(J109="syllable-digit pairs",16,IF(J109="trigram-word pairs",17,IF(J109="word-digit pairs",18,IF(J109="English-Swahili pairs",19,IF(J109="spatial position",20,IF(J109="word pairs",21,IF(J109="word triads",22,IF(J109="generated words",23,IF(J109="word definition pairs",24,IF(J109="math problems",25,IF(J109="famous faces",26,IF(J109="famous names",27,IF(J109="famous voices",28,IF(J109="television programs",29,IF(J109="race horses",30,IF(J109="new vocabulary",31,IF(J109="sentences",32,IF(J109="concepts",33,IF(J109="ad slides",34,IF(J109="scenes",35,IF(J109="famous scenes",36,IF(J109="poems",37,IF(J109="walk",38,IF(J109="faces and events",39,IF(J109="events and names",40,IF(J109="flashbulb",41,IF(J109="stories",42,IF(J109="course material",43,IF(J109="autobiographical",44,IF(J109="novels",45,IF(J109="public events",46,"99"))))))))))))))))))))))))))))))))))))))))))))))</f>
        <v>9</v>
      </c>
      <c r="L109" s="60">
        <f>IF(J109="syllables",1,IF(J109="trigrams",1,IF(J109="strings",1,IF(J109="visual array",1,IF(J109="characters",1,IF(J109="letters",1,IF(J109="free forms",1,IF(J109="odors",2,IF(J109="words",2,IF(J109="pictures",2,IF(J109="object pictures",2,IF(J109="faces",2,IF(J109="names",2,IF(J109="idioms","2",IF(J109="grades",2,IF(J109="syllable-digit pairs",3,IF(J109="trigram-word pairs",3,IF(J109="word-digit pairs",3,IF(J109="English-Swahili pairs",3,IF(J109="spatial position",3,IF(J109="word pairs",4,IF(J109="word triads",4,IF(J109="generated words",4,IF(J109="word definition pairs",4,IF(J109="math problems",4,IF(J109="famous faces",4,IF(J109="famous names",4,IF(J109="famous voices",4,IF(J109="television programs",4,IF(J109="race horses",4,IF(J109="new vocabulary",4,IF(J109="sentences",5,IF(J109="concepts",5,IF(J109="ad slides",5,IF(J109="scenes",5,IF(J109="famous scenes",5,IF(J109="poems",6,IF(J109="walk",6,IF(J109="faces and events",6,IF(J109="events and names",6,IF(J109="flashbulb",7,IF(J109="stories",7,IF(J109="course material",7,IF(J109="autobiographical",7,IF(J109="novels",7,IF(J109="public events",7,"99"))))))))))))))))))))))))))))))))))))))))))))))</f>
        <v>2</v>
      </c>
      <c r="M109" s="60">
        <v>0</v>
      </c>
      <c r="N109" s="61">
        <v>2</v>
      </c>
      <c r="O109" s="60">
        <v>0</v>
      </c>
      <c r="P109" s="60"/>
      <c r="Q109" s="60" t="s">
        <v>174</v>
      </c>
      <c r="R109" s="60">
        <f>IF(Q109="Free Recall",1,IF(Q109="Cued Recall",2,IF(Q109="Recognition",3,IF(Q109="Multiple Choice",4,IF(Q109="Savings",5,IF(Q109="Stem Completion",6,IF(Q109="Fragment Completion",7,IF(Q109="anagram solution",8,IF(Q109="Matching",9,IF(Q109="Problem Solving",10,"99"))))))))))</f>
        <v>1</v>
      </c>
      <c r="S109" s="60" t="s">
        <v>49</v>
      </c>
      <c r="T109" s="60" t="s">
        <v>261</v>
      </c>
      <c r="U109" s="60">
        <f>IF(T109="within",1,0)</f>
        <v>0</v>
      </c>
      <c r="V109" s="60">
        <v>12</v>
      </c>
      <c r="W109" s="60">
        <f>F109*V109</f>
        <v>1152</v>
      </c>
      <c r="X109" s="60">
        <v>4</v>
      </c>
      <c r="Y109" s="76">
        <f>AV108</f>
        <v>60</v>
      </c>
      <c r="Z109" s="60" t="s">
        <v>97</v>
      </c>
      <c r="AA109" s="60">
        <v>604800</v>
      </c>
      <c r="AB109" s="60" t="str">
        <f>IF(AA109&lt;60,"1",IF(AA109&lt;=43200,"2",IF(AA109&lt;=777600,"3","4")))</f>
        <v>3</v>
      </c>
      <c r="AC109" s="56">
        <f>AVERAGE(AV108:DA108)</f>
        <v>237615</v>
      </c>
      <c r="AD109" s="60" t="str">
        <f>IF(AC109&lt;60,"1",IF(AC109&lt;=43200,"2",IF(AC109&lt;=777600,"3","4")))</f>
        <v>3</v>
      </c>
      <c r="AE109" s="76">
        <f>AA109-Y109</f>
        <v>604740</v>
      </c>
      <c r="AF109" s="80">
        <f>AV109</f>
        <v>0.89236111111111061</v>
      </c>
      <c r="AG109" s="56">
        <f>((AW109-AV109)+(AX109-AW109)+(AY109-AX109))/3</f>
        <v>-0.15856481481481469</v>
      </c>
      <c r="AH109" s="4"/>
      <c r="AI109" s="56">
        <f>RSQ(AV109:AY109,AV108:AY108)</f>
        <v>0.81940354618843814</v>
      </c>
      <c r="AJ109" s="109">
        <f>SLOPE(AV109:AY109,AV108:AY108)</f>
        <v>-6.7621899266475564E-7</v>
      </c>
      <c r="AK109" s="56">
        <f>INTERCEPT(AV109:AY109,AV108:AY108)</f>
        <v>0.79002005371981343</v>
      </c>
      <c r="AL109" s="56">
        <f>INDEX(LINEST(LN(AV109:AY109),LN(AV108:AY108),TRUE,TRUE),3,1)</f>
        <v>0.81914587865429922</v>
      </c>
      <c r="AM109" s="56">
        <f>INDEX(LINEST(LN(AV109:AY109),LN(AV108:AY108)),1)</f>
        <v>-6.7982734725501884E-2</v>
      </c>
      <c r="AN109" s="56">
        <f>EXP(INDEX(LINEST(LN(AV109:AY109),LN(AV108:AY108)),1,2))</f>
        <v>1.2216426051873168</v>
      </c>
      <c r="AO109" s="82">
        <f>INDEX(LINEST((AV109:AY109),LN(AV108:AY108),TRUE,TRUE),3,1)</f>
        <v>0.90343818274530041</v>
      </c>
      <c r="AP109" s="82">
        <f>INDEX(LINEST((AV109:AY109),LN(AV108:AY108)),1)</f>
        <v>-4.5005935044708449E-2</v>
      </c>
      <c r="AQ109" s="83">
        <f>INDEX(LINEST(LN(AV109:AY109),SQRT(AV108:AY108),TRUE,TRUE),3,1)</f>
        <v>0.99382443525416786</v>
      </c>
      <c r="AR109" s="116">
        <f>INDEX(LINEST(LN(AV109:AY109),SQRT((AV108:AY108))),1)</f>
        <v>-9.6798298948861251E-4</v>
      </c>
      <c r="AS109" s="84">
        <f>INDEX(LINEST(1/(AV109:AY109),1/(SQRT(AV108:AY108)),TRUE,TRUE),3,1)</f>
        <v>0.55634023554992096</v>
      </c>
      <c r="AT109" s="84">
        <f>INDEX(LINEST(1/(AV109:AY109),1/SQRT(AV108:AY108)),1)</f>
        <v>-6.2888660439183059</v>
      </c>
      <c r="AU109" s="3"/>
      <c r="AV109" s="53">
        <v>0.89236111111111061</v>
      </c>
      <c r="AW109" s="53">
        <v>0.64930555555555525</v>
      </c>
      <c r="AX109" s="53">
        <v>0.55902777777777735</v>
      </c>
      <c r="AY109" s="53">
        <v>0.41666666666666657</v>
      </c>
      <c r="AZ109" s="53"/>
      <c r="BA109" s="53"/>
      <c r="BB109" s="4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c r="BY109" s="53"/>
      <c r="BZ109" s="53"/>
      <c r="CA109" s="53"/>
      <c r="CB109" s="53"/>
      <c r="CC109" s="53"/>
      <c r="CD109" s="53"/>
      <c r="CE109" s="53"/>
      <c r="CF109" s="53"/>
      <c r="CG109" s="53"/>
      <c r="CH109" s="53"/>
      <c r="CI109" s="53"/>
      <c r="CJ109" s="53"/>
      <c r="CK109" s="53"/>
      <c r="CL109" s="53"/>
      <c r="CM109" s="53"/>
      <c r="CN109" s="53"/>
      <c r="CO109" s="53"/>
      <c r="CP109" s="53"/>
      <c r="CQ109" s="53"/>
      <c r="CR109" s="1"/>
      <c r="CS109" s="1"/>
      <c r="CT109" s="1"/>
      <c r="CU109" s="1"/>
    </row>
    <row r="110" spans="1:99" s="13" customFormat="1" ht="12" customHeight="1" x14ac:dyDescent="0.2">
      <c r="A110" s="65">
        <v>43903</v>
      </c>
      <c r="D110" s="61"/>
      <c r="E110" s="76"/>
      <c r="F110" s="60"/>
      <c r="G110" s="60"/>
      <c r="H110" s="60"/>
      <c r="I110" s="60"/>
      <c r="J110" s="60"/>
      <c r="K110" s="64"/>
      <c r="L110" s="64"/>
      <c r="M110" s="60"/>
      <c r="N110" s="61"/>
      <c r="O110" s="60"/>
      <c r="P110" s="60"/>
      <c r="Q110" s="60"/>
      <c r="R110" s="60"/>
      <c r="S110" s="60"/>
      <c r="T110" s="60"/>
      <c r="U110" s="60"/>
      <c r="V110" s="60"/>
      <c r="W110" s="60"/>
      <c r="X110" s="60"/>
      <c r="Y110" s="76"/>
      <c r="Z110" s="60"/>
      <c r="AA110" s="60"/>
      <c r="AB110" s="60"/>
      <c r="AC110" s="56"/>
      <c r="AD110" s="60"/>
      <c r="AE110" s="60"/>
      <c r="AF110" s="80"/>
      <c r="AG110" s="56"/>
      <c r="AH110" s="4"/>
      <c r="AI110" s="56"/>
      <c r="AJ110" s="109"/>
      <c r="AK110" s="56"/>
      <c r="AL110" s="56"/>
      <c r="AM110" s="56"/>
      <c r="AN110" s="56"/>
      <c r="AO110" s="82"/>
      <c r="AP110" s="82"/>
      <c r="AQ110" s="83"/>
      <c r="AR110" s="116"/>
      <c r="AS110" s="84"/>
      <c r="AT110" s="84"/>
      <c r="AU110" s="3"/>
      <c r="AV110" s="25">
        <v>60</v>
      </c>
      <c r="AW110" s="25">
        <v>86400</v>
      </c>
      <c r="AX110" s="25">
        <v>259200</v>
      </c>
      <c r="AY110" s="25">
        <v>604800</v>
      </c>
      <c r="AZ110" s="53"/>
      <c r="BA110" s="53"/>
      <c r="BB110" s="43"/>
      <c r="BC110" s="53"/>
      <c r="BD110" s="53"/>
      <c r="BE110" s="53"/>
      <c r="BF110" s="53"/>
      <c r="BG110" s="53"/>
      <c r="BH110" s="53"/>
      <c r="BI110" s="53"/>
      <c r="BJ110" s="53"/>
      <c r="BK110" s="53"/>
      <c r="BL110" s="53"/>
      <c r="BM110" s="53"/>
      <c r="BN110" s="53"/>
      <c r="BO110" s="53"/>
      <c r="BP110" s="53"/>
      <c r="BQ110" s="53"/>
      <c r="BR110" s="53"/>
      <c r="BS110" s="53"/>
      <c r="BT110" s="53"/>
      <c r="BU110" s="53"/>
      <c r="BV110" s="53"/>
      <c r="BW110" s="53"/>
      <c r="BX110" s="53"/>
      <c r="BY110" s="53"/>
      <c r="BZ110" s="53"/>
      <c r="CA110" s="53"/>
      <c r="CB110" s="53"/>
      <c r="CC110" s="53"/>
      <c r="CD110" s="53"/>
      <c r="CE110" s="53"/>
      <c r="CF110" s="53"/>
      <c r="CG110" s="53"/>
      <c r="CH110" s="53"/>
      <c r="CI110" s="53"/>
      <c r="CJ110" s="53"/>
      <c r="CK110" s="53"/>
      <c r="CL110" s="53"/>
      <c r="CM110" s="53"/>
      <c r="CN110" s="53"/>
      <c r="CO110" s="53"/>
      <c r="CP110" s="53"/>
      <c r="CQ110" s="53"/>
      <c r="CR110" s="1"/>
      <c r="CS110" s="1"/>
      <c r="CT110" s="1"/>
      <c r="CU110" s="1"/>
    </row>
    <row r="111" spans="1:99" s="13" customFormat="1" ht="12" customHeight="1" x14ac:dyDescent="0.2">
      <c r="A111" s="65">
        <v>43903</v>
      </c>
      <c r="B111" s="1" t="s">
        <v>473</v>
      </c>
      <c r="C111" s="1" t="s">
        <v>474</v>
      </c>
      <c r="D111" s="60">
        <v>2020</v>
      </c>
      <c r="E111" s="76">
        <v>4</v>
      </c>
      <c r="F111" s="60">
        <v>96</v>
      </c>
      <c r="G111" s="60">
        <v>24</v>
      </c>
      <c r="H111" s="60"/>
      <c r="I111" s="60" t="s">
        <v>479</v>
      </c>
      <c r="J111" s="60" t="s">
        <v>16</v>
      </c>
      <c r="K111" s="60">
        <f>IF(J111="syllables",1,IF(J111="trigrams",2,IF(J111="strings",3,IF(J111="visual array",4,IF(J111="characters",5,IF(J111="letters",6,IF(J111="free forms",7,IF(J111="odors",8,IF(J111="words",9,IF(J111="pictures",10,IF(J111="object pictures",11,IF(J111="faces",12,IF(J111="names",13,IF(J111="idioms",14,IF(J111="grades",15,IF(J111="syllable-digit pairs",16,IF(J111="trigram-word pairs",17,IF(J111="word-digit pairs",18,IF(J111="English-Swahili pairs",19,IF(J111="spatial position",20,IF(J111="word pairs",21,IF(J111="word triads",22,IF(J111="generated words",23,IF(J111="word definition pairs",24,IF(J111="math problems",25,IF(J111="famous faces",26,IF(J111="famous names",27,IF(J111="famous voices",28,IF(J111="television programs",29,IF(J111="race horses",30,IF(J111="new vocabulary",31,IF(J111="sentences",32,IF(J111="concepts",33,IF(J111="ad slides",34,IF(J111="scenes",35,IF(J111="famous scenes",36,IF(J111="poems",37,IF(J111="walk",38,IF(J111="faces and events",39,IF(J111="events and names",40,IF(J111="flashbulb",41,IF(J111="stories",42,IF(J111="course material",43,IF(J111="autobiographical",44,IF(J111="novels",45,IF(J111="public events",46,"99"))))))))))))))))))))))))))))))))))))))))))))))</f>
        <v>9</v>
      </c>
      <c r="L111" s="60">
        <f>IF(J111="syllables",1,IF(J111="trigrams",1,IF(J111="strings",1,IF(J111="visual array",1,IF(J111="characters",1,IF(J111="letters",1,IF(J111="free forms",1,IF(J111="odors",2,IF(J111="words",2,IF(J111="pictures",2,IF(J111="object pictures",2,IF(J111="faces",2,IF(J111="names",2,IF(J111="idioms","2",IF(J111="grades",2,IF(J111="syllable-digit pairs",3,IF(J111="trigram-word pairs",3,IF(J111="word-digit pairs",3,IF(J111="English-Swahili pairs",3,IF(J111="spatial position",3,IF(J111="word pairs",4,IF(J111="word triads",4,IF(J111="generated words",4,IF(J111="word definition pairs",4,IF(J111="math problems",4,IF(J111="famous faces",4,IF(J111="famous names",4,IF(J111="famous voices",4,IF(J111="television programs",4,IF(J111="race horses",4,IF(J111="new vocabulary",4,IF(J111="sentences",5,IF(J111="concepts",5,IF(J111="ad slides",5,IF(J111="scenes",5,IF(J111="famous scenes",5,IF(J111="poems",6,IF(J111="walk",6,IF(J111="faces and events",6,IF(J111="events and names",6,IF(J111="flashbulb",7,IF(J111="stories",7,IF(J111="course material",7,IF(J111="autobiographical",7,IF(J111="novels",7,IF(J111="public events",7,"99"))))))))))))))))))))))))))))))))))))))))))))))</f>
        <v>2</v>
      </c>
      <c r="M111" s="60">
        <v>0</v>
      </c>
      <c r="N111" s="61">
        <v>1</v>
      </c>
      <c r="O111" s="60">
        <v>0</v>
      </c>
      <c r="P111" s="60"/>
      <c r="Q111" s="60" t="s">
        <v>34</v>
      </c>
      <c r="R111" s="60">
        <f>IF(Q111="Free Recall",1,IF(Q111="Cued Recall",2,IF(Q111="Recognition",3,IF(Q111="Multiple Choice",4,IF(Q111="Savings",5,IF(Q111="Stem Completion",6,IF(Q111="Fragment Completion",7,IF(Q111="anagram solution",8,IF(Q111="Matching",9,IF(Q111="Problem Solving",10,"99"))))))))))</f>
        <v>3</v>
      </c>
      <c r="S111" s="60" t="s">
        <v>15</v>
      </c>
      <c r="T111" s="60" t="s">
        <v>261</v>
      </c>
      <c r="U111" s="60">
        <f>IF(T111="within",1,0)</f>
        <v>0</v>
      </c>
      <c r="V111" s="60">
        <v>12</v>
      </c>
      <c r="W111" s="60">
        <f>F111*V111</f>
        <v>1152</v>
      </c>
      <c r="X111" s="60">
        <v>4</v>
      </c>
      <c r="Y111" s="76">
        <f>AV110</f>
        <v>60</v>
      </c>
      <c r="Z111" s="60" t="s">
        <v>97</v>
      </c>
      <c r="AA111" s="60">
        <v>604800</v>
      </c>
      <c r="AB111" s="60" t="str">
        <f>IF(AA111&lt;60,"1",IF(AA111&lt;=43200,"2",IF(AA111&lt;=777600,"3","4")))</f>
        <v>3</v>
      </c>
      <c r="AC111" s="56">
        <f>AVERAGE(AV110:DA110)</f>
        <v>237615</v>
      </c>
      <c r="AD111" s="60" t="str">
        <f>IF(AC111&lt;60,"1",IF(AC111&lt;=43200,"2",IF(AC111&lt;=777600,"3","4")))</f>
        <v>3</v>
      </c>
      <c r="AE111" s="76">
        <f>AA111-Y111</f>
        <v>604740</v>
      </c>
      <c r="AF111" s="80">
        <f>AV111</f>
        <v>0.96701388888888884</v>
      </c>
      <c r="AG111" s="56">
        <f>((AW111-AV111)+(AX111-AW111)+(AY111-AX111))/3</f>
        <v>-8.969907407407407E-2</v>
      </c>
      <c r="AH111" s="4"/>
      <c r="AI111" s="56">
        <f>RSQ(AV111:AY111,AV110:AY110)</f>
        <v>0.70031267963328336</v>
      </c>
      <c r="AJ111" s="109">
        <f>SLOPE(AV111:AY111,AV110:AY110)</f>
        <v>-3.4998733298452194E-7</v>
      </c>
      <c r="AK111" s="56">
        <f>INTERCEPT(AV111:AY111,AV110:AY110)</f>
        <v>0.89956849012711715</v>
      </c>
      <c r="AL111" s="56">
        <f>INDEX(LINEST(LN(AV111:AY111),LN(AV110:AY110),TRUE,TRUE),3,1)</f>
        <v>0.85023367760117496</v>
      </c>
      <c r="AM111" s="56">
        <f>INDEX(LINEST(LN(AV111:AY111),LN(AV110:AY110)),1)</f>
        <v>-2.9406470587592642E-2</v>
      </c>
      <c r="AN111" s="56">
        <f>EXP(INDEX(LINEST(LN(AV111:AY111),LN(AV110:AY110)),1,2))</f>
        <v>1.0979690003196363</v>
      </c>
      <c r="AO111" s="82">
        <f>INDEX(LINEST((AV111:AY111),LN(AV110:AY110),TRUE,TRUE),3,1)</f>
        <v>0.88253350143749498</v>
      </c>
      <c r="AP111" s="82">
        <f>INDEX(LINEST((AV111:AY111),LN(AV110:AY110)),1)</f>
        <v>-2.4903136847379721E-2</v>
      </c>
      <c r="AQ111" s="83">
        <f>INDEX(LINEST(LN(AV111:AY111),SQRT(AV110:AY110),TRUE,TRUE),3,1)</f>
        <v>0.86433556964974934</v>
      </c>
      <c r="AR111" s="116">
        <f>INDEX(LINEST(LN(AV111:AY111),SQRT((AV110:AY110))),1)</f>
        <v>-3.8327441433339606E-4</v>
      </c>
      <c r="AS111" s="84">
        <f>INDEX(LINEST(1/(AV111:AY111),1/(SQRT(AV110:AY110)),TRUE,TRUE),3,1)</f>
        <v>0.72099709148054791</v>
      </c>
      <c r="AT111" s="84">
        <f>INDEX(LINEST(1/(AV111:AY111),1/SQRT(AV110:AY110)),1)</f>
        <v>-2.1919268362683919</v>
      </c>
      <c r="AU111" s="3"/>
      <c r="AV111" s="53">
        <v>0.96701388888888884</v>
      </c>
      <c r="AW111" s="53">
        <v>0.78819444444444453</v>
      </c>
      <c r="AX111" s="53">
        <v>0.81249999999999989</v>
      </c>
      <c r="AY111" s="53">
        <v>0.69791666666666663</v>
      </c>
      <c r="AZ111" s="53"/>
      <c r="BA111" s="53"/>
      <c r="BB111" s="4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c r="BY111" s="53"/>
      <c r="BZ111" s="53"/>
      <c r="CA111" s="53"/>
      <c r="CB111" s="53"/>
      <c r="CC111" s="53"/>
      <c r="CD111" s="53"/>
      <c r="CE111" s="53"/>
      <c r="CF111" s="53"/>
      <c r="CG111" s="53"/>
      <c r="CH111" s="53"/>
      <c r="CI111" s="53"/>
      <c r="CJ111" s="53"/>
      <c r="CK111" s="53"/>
      <c r="CL111" s="53"/>
      <c r="CM111" s="53"/>
      <c r="CN111" s="53"/>
      <c r="CO111" s="53"/>
      <c r="CP111" s="53"/>
      <c r="CQ111" s="53"/>
      <c r="CR111" s="1"/>
      <c r="CS111" s="1"/>
      <c r="CT111" s="1"/>
      <c r="CU111" s="1"/>
    </row>
    <row r="112" spans="1:99" s="13" customFormat="1" ht="12" customHeight="1" x14ac:dyDescent="0.2">
      <c r="A112" s="65">
        <v>43903</v>
      </c>
      <c r="D112" s="61"/>
      <c r="E112" s="76"/>
      <c r="F112" s="60"/>
      <c r="G112" s="60"/>
      <c r="H112" s="60"/>
      <c r="I112" s="60"/>
      <c r="J112" s="60"/>
      <c r="K112" s="64"/>
      <c r="L112" s="64"/>
      <c r="M112" s="60"/>
      <c r="N112" s="61"/>
      <c r="O112" s="60"/>
      <c r="P112" s="60"/>
      <c r="Q112" s="60"/>
      <c r="R112" s="60"/>
      <c r="S112" s="60"/>
      <c r="T112" s="60"/>
      <c r="U112" s="60"/>
      <c r="V112" s="60"/>
      <c r="W112" s="60"/>
      <c r="X112" s="60"/>
      <c r="Y112" s="76"/>
      <c r="Z112" s="60"/>
      <c r="AA112" s="60"/>
      <c r="AB112" s="60"/>
      <c r="AC112" s="56"/>
      <c r="AD112" s="60"/>
      <c r="AE112" s="60"/>
      <c r="AF112" s="80"/>
      <c r="AG112" s="56"/>
      <c r="AH112" s="4"/>
      <c r="AI112" s="56"/>
      <c r="AJ112" s="109"/>
      <c r="AK112" s="56"/>
      <c r="AL112" s="56"/>
      <c r="AM112" s="56"/>
      <c r="AN112" s="56"/>
      <c r="AO112" s="82"/>
      <c r="AP112" s="82"/>
      <c r="AQ112" s="83"/>
      <c r="AR112" s="116"/>
      <c r="AS112" s="84"/>
      <c r="AT112" s="84"/>
      <c r="AU112" s="3"/>
      <c r="AV112" s="25">
        <v>60</v>
      </c>
      <c r="AW112" s="25">
        <v>86400</v>
      </c>
      <c r="AX112" s="25">
        <v>259200</v>
      </c>
      <c r="AY112" s="25">
        <v>604800</v>
      </c>
      <c r="AZ112" s="53"/>
      <c r="BA112" s="53"/>
      <c r="BB112" s="4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1"/>
      <c r="CS112" s="1"/>
      <c r="CT112" s="1"/>
      <c r="CU112" s="1"/>
    </row>
    <row r="113" spans="1:99" s="13" customFormat="1" ht="12" customHeight="1" x14ac:dyDescent="0.2">
      <c r="A113" s="65">
        <v>43903</v>
      </c>
      <c r="B113" s="1" t="s">
        <v>473</v>
      </c>
      <c r="C113" s="1" t="s">
        <v>474</v>
      </c>
      <c r="D113" s="60">
        <v>2020</v>
      </c>
      <c r="E113" s="76">
        <v>4</v>
      </c>
      <c r="F113" s="60">
        <v>96</v>
      </c>
      <c r="G113" s="60">
        <v>24</v>
      </c>
      <c r="H113" s="60"/>
      <c r="I113" s="60" t="s">
        <v>480</v>
      </c>
      <c r="J113" s="60" t="s">
        <v>16</v>
      </c>
      <c r="K113" s="60">
        <f>IF(J113="syllables",1,IF(J113="trigrams",2,IF(J113="strings",3,IF(J113="visual array",4,IF(J113="characters",5,IF(J113="letters",6,IF(J113="free forms",7,IF(J113="odors",8,IF(J113="words",9,IF(J113="pictures",10,IF(J113="object pictures",11,IF(J113="faces",12,IF(J113="names",13,IF(J113="idioms",14,IF(J113="grades",15,IF(J113="syllable-digit pairs",16,IF(J113="trigram-word pairs",17,IF(J113="word-digit pairs",18,IF(J113="English-Swahili pairs",19,IF(J113="spatial position",20,IF(J113="word pairs",21,IF(J113="word triads",22,IF(J113="generated words",23,IF(J113="word definition pairs",24,IF(J113="math problems",25,IF(J113="famous faces",26,IF(J113="famous names",27,IF(J113="famous voices",28,IF(J113="television programs",29,IF(J113="race horses",30,IF(J113="new vocabulary",31,IF(J113="sentences",32,IF(J113="concepts",33,IF(J113="ad slides",34,IF(J113="scenes",35,IF(J113="famous scenes",36,IF(J113="poems",37,IF(J113="walk",38,IF(J113="faces and events",39,IF(J113="events and names",40,IF(J113="flashbulb",41,IF(J113="stories",42,IF(J113="course material",43,IF(J113="autobiographical",44,IF(J113="novels",45,IF(J113="public events",46,"99"))))))))))))))))))))))))))))))))))))))))))))))</f>
        <v>9</v>
      </c>
      <c r="L113" s="60">
        <f>IF(J113="syllables",1,IF(J113="trigrams",1,IF(J113="strings",1,IF(J113="visual array",1,IF(J113="characters",1,IF(J113="letters",1,IF(J113="free forms",1,IF(J113="odors",2,IF(J113="words",2,IF(J113="pictures",2,IF(J113="object pictures",2,IF(J113="faces",2,IF(J113="names",2,IF(J113="idioms","2",IF(J113="grades",2,IF(J113="syllable-digit pairs",3,IF(J113="trigram-word pairs",3,IF(J113="word-digit pairs",3,IF(J113="English-Swahili pairs",3,IF(J113="spatial position",3,IF(J113="word pairs",4,IF(J113="word triads",4,IF(J113="generated words",4,IF(J113="word definition pairs",4,IF(J113="math problems",4,IF(J113="famous faces",4,IF(J113="famous names",4,IF(J113="famous voices",4,IF(J113="television programs",4,IF(J113="race horses",4,IF(J113="new vocabulary",4,IF(J113="sentences",5,IF(J113="concepts",5,IF(J113="ad slides",5,IF(J113="scenes",5,IF(J113="famous scenes",5,IF(J113="poems",6,IF(J113="walk",6,IF(J113="faces and events",6,IF(J113="events and names",6,IF(J113="flashbulb",7,IF(J113="stories",7,IF(J113="course material",7,IF(J113="autobiographical",7,IF(J113="novels",7,IF(J113="public events",7,"99"))))))))))))))))))))))))))))))))))))))))))))))</f>
        <v>2</v>
      </c>
      <c r="M113" s="60">
        <v>0</v>
      </c>
      <c r="N113" s="61">
        <v>2</v>
      </c>
      <c r="O113" s="60">
        <v>0</v>
      </c>
      <c r="P113" s="60"/>
      <c r="Q113" s="60" t="s">
        <v>34</v>
      </c>
      <c r="R113" s="60">
        <f>IF(Q113="Free Recall",1,IF(Q113="Cued Recall",2,IF(Q113="Recognition",3,IF(Q113="Multiple Choice",4,IF(Q113="Savings",5,IF(Q113="Stem Completion",6,IF(Q113="Fragment Completion",7,IF(Q113="anagram solution",8,IF(Q113="Matching",9,IF(Q113="Problem Solving",10,"99"))))))))))</f>
        <v>3</v>
      </c>
      <c r="S113" s="60" t="s">
        <v>15</v>
      </c>
      <c r="T113" s="60" t="s">
        <v>261</v>
      </c>
      <c r="U113" s="60">
        <f>IF(T113="within",1,0)</f>
        <v>0</v>
      </c>
      <c r="V113" s="60">
        <v>12</v>
      </c>
      <c r="W113" s="60">
        <f>F113*V113</f>
        <v>1152</v>
      </c>
      <c r="X113" s="60">
        <v>4</v>
      </c>
      <c r="Y113" s="76">
        <f>AV112</f>
        <v>60</v>
      </c>
      <c r="Z113" s="60" t="s">
        <v>97</v>
      </c>
      <c r="AA113" s="60">
        <v>604800</v>
      </c>
      <c r="AB113" s="60" t="str">
        <f>IF(AA113&lt;60,"1",IF(AA113&lt;=43200,"2",IF(AA113&lt;=777600,"3","4")))</f>
        <v>3</v>
      </c>
      <c r="AC113" s="56">
        <f>AVERAGE(AV112:DA112)</f>
        <v>237615</v>
      </c>
      <c r="AD113" s="60" t="str">
        <f>IF(AC113&lt;60,"1",IF(AC113&lt;=43200,"2",IF(AC113&lt;=777600,"3","4")))</f>
        <v>3</v>
      </c>
      <c r="AE113" s="76">
        <f>AA113-Y113</f>
        <v>604740</v>
      </c>
      <c r="AF113" s="80">
        <f>AV113</f>
        <v>0.97048611111111083</v>
      </c>
      <c r="AG113" s="56">
        <f>((AW113-AV113)+(AX113-AW113)+(AY113-AX113))/3</f>
        <v>-4.918981481481477E-2</v>
      </c>
      <c r="AH113" s="4"/>
      <c r="AI113" s="56">
        <f>RSQ(AV113:AY113,AV112:AY112)</f>
        <v>0.95757591326843061</v>
      </c>
      <c r="AJ113" s="109">
        <f>SLOPE(AV113:AY113,AV112:AY112)</f>
        <v>-2.4218840488955639E-7</v>
      </c>
      <c r="AK113" s="56">
        <f>INTERCEPT(AV113:AY113,AV112:AY112)</f>
        <v>0.96119343116116518</v>
      </c>
      <c r="AL113" s="56">
        <f>INDEX(LINEST(LN(AV113:AY113),LN(AV112:AY112),TRUE,TRUE),3,1)</f>
        <v>0.62549888104207185</v>
      </c>
      <c r="AM113" s="56">
        <f>INDEX(LINEST(LN(AV113:AY113),LN(AV112:AY112)),1)</f>
        <v>-1.3867887696298507E-2</v>
      </c>
      <c r="AN113" s="56">
        <f>EXP(INDEX(LINEST(LN(AV113:AY113),LN(AV112:AY112)),1,2))</f>
        <v>1.0404130761055665</v>
      </c>
      <c r="AO113" s="82">
        <f>INDEX(LINEST((AV113:AY113),LN(AV112:AY112),TRUE,TRUE),3,1)</f>
        <v>0.64098717161533592</v>
      </c>
      <c r="AP113" s="82">
        <f>INDEX(LINEST((AV113:AY113),LN(AV112:AY112)),1)</f>
        <v>-1.2559534189612705E-2</v>
      </c>
      <c r="AQ113" s="83">
        <f>INDEX(LINEST(LN(AV113:AY113),SQRT(AV112:AY112),TRUE,TRUE),3,1)</f>
        <v>0.95847570184226971</v>
      </c>
      <c r="AR113" s="116">
        <f>INDEX(LINEST(LN(AV113:AY113),SQRT((AV112:AY112))),1)</f>
        <v>-2.2191286778815194E-4</v>
      </c>
      <c r="AS113" s="84">
        <f>INDEX(LINEST(1/(AV113:AY113),1/(SQRT(AV112:AY112)),TRUE,TRUE),3,1)</f>
        <v>0.43529264228392384</v>
      </c>
      <c r="AT113" s="84">
        <f>INDEX(LINEST(1/(AV113:AY113),1/SQRT(AV112:AY112)),1)</f>
        <v>-0.8621107507971012</v>
      </c>
      <c r="AU113" s="3"/>
      <c r="AV113" s="53">
        <v>0.97048611111111083</v>
      </c>
      <c r="AW113" s="53">
        <v>0.94270833333333348</v>
      </c>
      <c r="AX113" s="53">
        <v>0.87847222222222232</v>
      </c>
      <c r="AY113" s="53">
        <v>0.82291666666666652</v>
      </c>
      <c r="AZ113" s="53"/>
      <c r="BA113" s="53"/>
      <c r="BB113" s="4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53"/>
      <c r="CD113" s="53"/>
      <c r="CE113" s="53"/>
      <c r="CF113" s="53"/>
      <c r="CG113" s="53"/>
      <c r="CH113" s="53"/>
      <c r="CI113" s="53"/>
      <c r="CJ113" s="53"/>
      <c r="CK113" s="53"/>
      <c r="CL113" s="53"/>
      <c r="CM113" s="53"/>
      <c r="CN113" s="53"/>
      <c r="CO113" s="53"/>
      <c r="CP113" s="53"/>
      <c r="CQ113" s="53"/>
      <c r="CR113" s="1"/>
      <c r="CS113" s="1"/>
      <c r="CT113" s="1"/>
      <c r="CU113" s="1"/>
    </row>
    <row r="114" spans="1:99" s="13" customFormat="1" ht="12" customHeight="1" x14ac:dyDescent="0.2">
      <c r="A114" s="68">
        <v>43978</v>
      </c>
      <c r="B114" s="70"/>
      <c r="C114" s="70"/>
      <c r="D114" s="69"/>
      <c r="E114" s="87"/>
      <c r="F114" s="69"/>
      <c r="G114" s="69"/>
      <c r="H114" s="69"/>
      <c r="I114" s="69"/>
      <c r="J114" s="69"/>
      <c r="K114" s="69"/>
      <c r="L114" s="69"/>
      <c r="M114" s="69"/>
      <c r="N114" s="69"/>
      <c r="O114" s="69"/>
      <c r="P114" s="69"/>
      <c r="Q114" s="69"/>
      <c r="R114" s="69"/>
      <c r="S114" s="69"/>
      <c r="T114" s="69"/>
      <c r="U114" s="69"/>
      <c r="V114" s="69"/>
      <c r="W114" s="69"/>
      <c r="X114" s="69"/>
      <c r="Y114" s="87"/>
      <c r="Z114" s="69"/>
      <c r="AA114" s="69"/>
      <c r="AB114" s="69"/>
      <c r="AC114" s="72"/>
      <c r="AD114" s="69"/>
      <c r="AE114" s="87"/>
      <c r="AF114" s="88"/>
      <c r="AG114" s="72"/>
      <c r="AH114" s="4"/>
      <c r="AI114" s="72"/>
      <c r="AJ114" s="110"/>
      <c r="AK114" s="72"/>
      <c r="AL114" s="72"/>
      <c r="AM114" s="72"/>
      <c r="AN114" s="72"/>
      <c r="AO114" s="89"/>
      <c r="AP114" s="89"/>
      <c r="AQ114" s="90"/>
      <c r="AR114" s="117"/>
      <c r="AS114" s="91"/>
      <c r="AT114" s="91"/>
      <c r="AU114" s="3"/>
      <c r="AV114" s="71">
        <f>60*30</f>
        <v>1800</v>
      </c>
      <c r="AW114" s="71">
        <f>60*60*24</f>
        <v>86400</v>
      </c>
      <c r="AX114" s="71">
        <f>60*60*24*4</f>
        <v>345600</v>
      </c>
      <c r="AY114" s="53"/>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53"/>
      <c r="BZ114" s="53"/>
      <c r="CA114" s="53"/>
      <c r="CB114" s="53"/>
      <c r="CC114" s="53"/>
      <c r="CD114" s="53"/>
      <c r="CE114" s="53"/>
      <c r="CF114" s="53"/>
      <c r="CG114" s="53"/>
      <c r="CH114" s="53"/>
      <c r="CI114" s="53"/>
      <c r="CJ114" s="53"/>
      <c r="CK114" s="53"/>
      <c r="CL114" s="53"/>
      <c r="CM114" s="53"/>
      <c r="CN114" s="53"/>
      <c r="CO114" s="53"/>
      <c r="CP114" s="53"/>
      <c r="CQ114" s="53"/>
      <c r="CR114" s="1"/>
      <c r="CS114" s="1"/>
      <c r="CT114" s="1"/>
      <c r="CU114" s="1"/>
    </row>
    <row r="115" spans="1:99" s="13" customFormat="1" ht="12" customHeight="1" x14ac:dyDescent="0.2">
      <c r="A115" s="68">
        <v>43978</v>
      </c>
      <c r="B115" s="70" t="s">
        <v>963</v>
      </c>
      <c r="C115" s="70" t="s">
        <v>964</v>
      </c>
      <c r="D115" s="69">
        <v>2013</v>
      </c>
      <c r="E115" s="87">
        <v>1</v>
      </c>
      <c r="F115" s="69">
        <v>15</v>
      </c>
      <c r="G115" s="69">
        <v>15</v>
      </c>
      <c r="H115" s="69" t="s">
        <v>50</v>
      </c>
      <c r="I115" s="69" t="s">
        <v>330</v>
      </c>
      <c r="J115" s="69" t="s">
        <v>16</v>
      </c>
      <c r="K115" s="69">
        <f>IF(J115="syllables",1,IF(J115="trigrams",2,IF(J115="strings",3,IF(J115="visual array",4,IF(J115="characters",5,IF(J115="letters",6,IF(J115="free forms",7,IF(J115="odors",8,IF(J115="words",9,IF(J115="pictures",10,IF(J115="object pictures",11,IF(J115="faces",12,IF(J115="names",13,IF(J115="idioms",14,IF(J115="grades",15,IF(J115="syllable-digit pairs",16,IF(J115="trigram-word pairs",17,IF(J115="word-digit pairs",18,IF(J115="English-Swahili pairs",19,IF(J115="spatial position",20,IF(J115="word pairs",21,IF(J115="word triads",22,IF(J115="generated words",23,IF(J115="word definition pairs",24,IF(J115="math problems",25,IF(J115="famous faces",26,IF(J115="famous names",27,IF(J115="famous voices",28,IF(J115="television programs",29,IF(J115="race horses",30,IF(J115="new vocabulary",31,IF(J115="sentences",32,IF(J115="concepts",33,IF(J115="ad slides",34,IF(J115="scenes",35,IF(J115="famous scenes",36,IF(J115="poems",37,IF(J115="walk",38,IF(J115="faces and events",39,IF(J115="events and names",40,IF(J115="flashbulb",41,IF(J115="stories",42,IF(J115="course material",43,IF(J115="autobiographical",44,IF(J115="novels",45,IF(J115="public events",46,"99"))))))))))))))))))))))))))))))))))))))))))))))</f>
        <v>9</v>
      </c>
      <c r="L115" s="69">
        <f>IF(J115="syllables",1,IF(J115="trigrams",1,IF(J115="strings",1,IF(J115="visual array",1,IF(J115="characters",1,IF(J115="letters",1,IF(J115="free forms",1,IF(J115="odors",2,IF(J115="words",2,IF(J115="pictures",2,IF(J115="object pictures",2,IF(J115="faces",2,IF(J115="names",2,IF(J115="idioms","2",IF(J115="grades",2,IF(J115="syllable-digit pairs",3,IF(J115="trigram-word pairs",3,IF(J115="word-digit pairs",3,IF(J115="English-Swahili pairs",3,IF(J115="spatial position",3,IF(J115="word pairs",4,IF(J115="word triads",4,IF(J115="generated words",4,IF(J115="word definition pairs",4,IF(J115="math problems",4,IF(J115="famous faces",4,IF(J115="famous names",4,IF(J115="famous voices",4,IF(J115="television programs",4,IF(J115="race horses",4,IF(J115="new vocabulary",4,IF(J115="sentences",5,IF(J115="concepts",5,IF(J115="ad slides",5,IF(J115="scenes",5,IF(J115="famous scenes",5,IF(J115="poems",6,IF(J115="walk",6,IF(J115="faces and events",6,IF(J115="events and names",6,IF(J115="flashbulb",7,IF(J115="stories",7,IF(J115="course material",7,IF(J115="autobiographical",7,IF(J115="novels",7,IF(J115="public events",7,"99"))))))))))))))))))))))))))))))))))))))))))))))</f>
        <v>2</v>
      </c>
      <c r="M115" s="69">
        <v>0</v>
      </c>
      <c r="N115" s="69">
        <v>1</v>
      </c>
      <c r="O115" s="69">
        <v>0</v>
      </c>
      <c r="P115" s="69"/>
      <c r="Q115" s="69" t="s">
        <v>174</v>
      </c>
      <c r="R115" s="69">
        <f>IF(Q115="Free Recall",1,IF(Q115="Cued Recall",2,IF(Q115="Recognition",3,IF(Q115="Multiple Choice",4,IF(Q115="Savings",5,IF(Q115="Stem Completion",6,IF(Q115="Fragment Completion",7,IF(Q115="anagram solution",8,IF(Q115="Matching",9,IF(Q115="Problem Solving",10,"99"))))))))))</f>
        <v>1</v>
      </c>
      <c r="S115" s="99" t="s">
        <v>49</v>
      </c>
      <c r="T115" s="69" t="s">
        <v>581</v>
      </c>
      <c r="U115" s="69">
        <f>IF(T115="within",1,0)</f>
        <v>1</v>
      </c>
      <c r="V115" s="69">
        <v>13</v>
      </c>
      <c r="W115" s="69">
        <f>F115*V115</f>
        <v>195</v>
      </c>
      <c r="X115" s="69">
        <v>3</v>
      </c>
      <c r="Y115" s="87">
        <f>AV114</f>
        <v>1800</v>
      </c>
      <c r="Z115" s="69" t="s">
        <v>150</v>
      </c>
      <c r="AA115" s="69">
        <f>60*60*24*7</f>
        <v>604800</v>
      </c>
      <c r="AB115" s="69" t="str">
        <f>IF(AA115&lt;60,"1",IF(AA115&lt;=43200,"2",IF(AA115&lt;=777600,"3","4")))</f>
        <v>3</v>
      </c>
      <c r="AC115" s="72">
        <f>AVERAGE(AV114:DA114)</f>
        <v>144600</v>
      </c>
      <c r="AD115" s="69" t="str">
        <f>IF(AC115&lt;60,"1",IF(AC115&lt;=43200,"2",IF(AC115&lt;=777600,"3","4")))</f>
        <v>3</v>
      </c>
      <c r="AE115" s="87">
        <f>AA115-Y115</f>
        <v>603000</v>
      </c>
      <c r="AF115" s="88">
        <f>AV115</f>
        <v>0.87260000000000004</v>
      </c>
      <c r="AG115" s="72">
        <f>((AW115-AV115)+(AX115-AW115))/2</f>
        <v>-6.8850000000000022E-2</v>
      </c>
      <c r="AH115" s="4"/>
      <c r="AI115" s="72">
        <f>RSQ(AV115:AX115,AV114:AX114)</f>
        <v>0.7799664286077469</v>
      </c>
      <c r="AJ115" s="110">
        <f>SLOPE(AV115:AX115,AV114:AX114)</f>
        <v>-3.4655332308716358E-7</v>
      </c>
      <c r="AK115" s="72">
        <f>INTERCEPT(AV115:AX115,AV114:AX114)</f>
        <v>0.8456782771850706</v>
      </c>
      <c r="AL115" s="72">
        <f>INDEX(LINEST(LN(AV115:AX115),LN(AV114:AX114),TRUE,TRUE),3,1)</f>
        <v>0.99285707628804176</v>
      </c>
      <c r="AM115" s="72">
        <f>INDEX(LINEST(LN(AV115:AX115),LN(AV114:AX114)),1)</f>
        <v>-3.1927310533355263E-2</v>
      </c>
      <c r="AN115" s="72">
        <f>EXP(INDEX(LINEST(LN(AV115:AX115),LN(AV114:AX114)),1,2))</f>
        <v>1.1109349304841249</v>
      </c>
      <c r="AO115" s="89">
        <f>INDEX(LINEST((AV115:AX115),LN(AV114:AX114),TRUE,TRUE),3,1)</f>
        <v>0.9959905069953553</v>
      </c>
      <c r="AP115" s="89">
        <f>INDEX(LINEST((AV115:AX115),LN(AV114:AX114)),1)</f>
        <v>-2.5745432122971618E-2</v>
      </c>
      <c r="AQ115" s="90">
        <f>INDEX(LINEST(LN(AV115:AX115),SQRT(AV114:AX114),TRUE,TRUE),3,1)</f>
        <v>0.94950156658030926</v>
      </c>
      <c r="AR115" s="117">
        <f>INDEX(LINEST(LN(AV115:AX115),SQRT((AV114:AX114))),1)</f>
        <v>-3.1163637057547548E-4</v>
      </c>
      <c r="AS115" s="91">
        <f>INDEX(LINEST(1/(AV115:AX115),1/(SQRT(AV114:AX114)),TRUE,TRUE),3,1)</f>
        <v>0.91621116834357286</v>
      </c>
      <c r="AT115" s="91">
        <f>INDEX(LINEST(1/(AV115:AX115),1/SQRT(AV114:AX114)),1)</f>
        <v>-8.557158817826334</v>
      </c>
      <c r="AU115" s="3"/>
      <c r="AV115" s="73">
        <v>0.87260000000000004</v>
      </c>
      <c r="AW115" s="73">
        <v>0.7792</v>
      </c>
      <c r="AX115" s="73">
        <v>0.7349</v>
      </c>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BY115" s="53"/>
      <c r="BZ115" s="53"/>
      <c r="CA115" s="53"/>
      <c r="CB115" s="53"/>
      <c r="CC115" s="53"/>
      <c r="CD115" s="53"/>
      <c r="CE115" s="53"/>
      <c r="CF115" s="53"/>
      <c r="CG115" s="53"/>
      <c r="CH115" s="53"/>
      <c r="CI115" s="53"/>
      <c r="CJ115" s="53"/>
      <c r="CK115" s="53"/>
      <c r="CL115" s="53"/>
      <c r="CM115" s="53"/>
      <c r="CN115" s="53"/>
      <c r="CO115" s="53"/>
      <c r="CP115" s="53"/>
      <c r="CQ115" s="53"/>
      <c r="CR115" s="1"/>
      <c r="CS115" s="1"/>
      <c r="CT115" s="1"/>
      <c r="CU115" s="1"/>
    </row>
    <row r="116" spans="1:99" s="13" customFormat="1" ht="12" customHeight="1" x14ac:dyDescent="0.2">
      <c r="A116" s="68">
        <v>43978</v>
      </c>
      <c r="B116" s="70"/>
      <c r="C116" s="70"/>
      <c r="D116" s="69"/>
      <c r="E116" s="87"/>
      <c r="F116" s="69"/>
      <c r="G116" s="69"/>
      <c r="H116" s="69"/>
      <c r="I116" s="69"/>
      <c r="J116" s="69"/>
      <c r="K116" s="69"/>
      <c r="L116" s="69"/>
      <c r="M116" s="69"/>
      <c r="N116" s="69"/>
      <c r="O116" s="69"/>
      <c r="P116" s="69"/>
      <c r="Q116" s="69"/>
      <c r="R116" s="69"/>
      <c r="S116" s="69"/>
      <c r="T116" s="69"/>
      <c r="U116" s="69"/>
      <c r="V116" s="69"/>
      <c r="W116" s="69"/>
      <c r="X116" s="69"/>
      <c r="Y116" s="87"/>
      <c r="Z116" s="69"/>
      <c r="AA116" s="69"/>
      <c r="AB116" s="69"/>
      <c r="AC116" s="72"/>
      <c r="AD116" s="69"/>
      <c r="AE116" s="87"/>
      <c r="AF116" s="88"/>
      <c r="AG116" s="72"/>
      <c r="AH116" s="4"/>
      <c r="AI116" s="72"/>
      <c r="AJ116" s="110"/>
      <c r="AK116" s="72"/>
      <c r="AL116" s="72"/>
      <c r="AM116" s="72"/>
      <c r="AN116" s="72"/>
      <c r="AO116" s="89"/>
      <c r="AP116" s="89"/>
      <c r="AQ116" s="90"/>
      <c r="AR116" s="117"/>
      <c r="AS116" s="91"/>
      <c r="AT116" s="91"/>
      <c r="AU116" s="3"/>
      <c r="AV116" s="71">
        <f>60*30</f>
        <v>1800</v>
      </c>
      <c r="AW116" s="71">
        <f>60*60*24</f>
        <v>86400</v>
      </c>
      <c r="AX116" s="71">
        <f>60*60*24*4</f>
        <v>345600</v>
      </c>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53"/>
      <c r="CA116" s="53"/>
      <c r="CB116" s="53"/>
      <c r="CC116" s="53"/>
      <c r="CD116" s="53"/>
      <c r="CE116" s="53"/>
      <c r="CF116" s="53"/>
      <c r="CG116" s="53"/>
      <c r="CH116" s="53"/>
      <c r="CI116" s="53"/>
      <c r="CJ116" s="53"/>
      <c r="CK116" s="53"/>
      <c r="CL116" s="53"/>
      <c r="CM116" s="53"/>
      <c r="CN116" s="53"/>
      <c r="CO116" s="53"/>
      <c r="CP116" s="53"/>
      <c r="CQ116" s="53"/>
      <c r="CR116" s="1"/>
      <c r="CS116" s="1"/>
      <c r="CT116" s="1"/>
      <c r="CU116" s="1"/>
    </row>
    <row r="117" spans="1:99" s="13" customFormat="1" ht="12" customHeight="1" x14ac:dyDescent="0.2">
      <c r="A117" s="68">
        <v>43978</v>
      </c>
      <c r="B117" s="70" t="s">
        <v>963</v>
      </c>
      <c r="C117" s="70" t="s">
        <v>964</v>
      </c>
      <c r="D117" s="69">
        <v>2013</v>
      </c>
      <c r="E117" s="87">
        <v>1</v>
      </c>
      <c r="F117" s="69">
        <v>15</v>
      </c>
      <c r="G117" s="69">
        <v>15</v>
      </c>
      <c r="H117" s="69" t="s">
        <v>50</v>
      </c>
      <c r="I117" s="69" t="s">
        <v>330</v>
      </c>
      <c r="J117" s="69" t="s">
        <v>317</v>
      </c>
      <c r="K117" s="69">
        <f>IF(J117="syllables",1,IF(J117="trigrams",2,IF(J117="strings",3,IF(J117="visual array",4,IF(J117="characters",5,IF(J117="letters",6,IF(J117="free forms",7,IF(J117="odors",8,IF(J117="words",9,IF(J117="pictures",10,IF(J117="object pictures",11,IF(J117="faces",12,IF(J117="names",13,IF(J117="idioms",14,IF(J117="grades",15,IF(J117="syllable-digit pairs",16,IF(J117="trigram-word pairs",17,IF(J117="word-digit pairs",18,IF(J117="English-Swahili pairs",19,IF(J117="spatial position",20,IF(J117="word pairs",21,IF(J117="word triads",22,IF(J117="generated words",23,IF(J117="word definition pairs",24,IF(J117="math problems",25,IF(J117="famous faces",26,IF(J117="famous names",27,IF(J117="famous voices",28,IF(J117="television programs",29,IF(J117="race horses",30,IF(J117="new vocabulary",31,IF(J117="sentences",32,IF(J117="concepts",33,IF(J117="ad slides",34,IF(J117="scenes",35,IF(J117="famous scenes",36,IF(J117="poems",37,IF(J117="walk",38,IF(J117="faces and events",39,IF(J117="events and names",40,IF(J117="flashbulb",41,IF(J117="stories",42,IF(J117="course material",43,IF(J117="autobiographical",44,IF(J117="novels",45,IF(J117="public events",46,"99"))))))))))))))))))))))))))))))))))))))))))))))</f>
        <v>7</v>
      </c>
      <c r="L117" s="69">
        <f>IF(J117="syllables",1,IF(J117="trigrams",1,IF(J117="strings",1,IF(J117="visual array",1,IF(J117="characters",1,IF(J117="letters",1,IF(J117="free forms",1,IF(J117="odors",2,IF(J117="words",2,IF(J117="pictures",2,IF(J117="object pictures",2,IF(J117="faces",2,IF(J117="names",2,IF(J117="idioms","2",IF(J117="grades",2,IF(J117="syllable-digit pairs",3,IF(J117="trigram-word pairs",3,IF(J117="word-digit pairs",3,IF(J117="English-Swahili pairs",3,IF(J117="spatial position",3,IF(J117="word pairs",4,IF(J117="word triads",4,IF(J117="generated words",4,IF(J117="word definition pairs",4,IF(J117="math problems",4,IF(J117="famous faces",4,IF(J117="famous names",4,IF(J117="famous voices",4,IF(J117="television programs",4,IF(J117="race horses",4,IF(J117="new vocabulary",4,IF(J117="sentences",5,IF(J117="concepts",5,IF(J117="ad slides",5,IF(J117="scenes",5,IF(J117="famous scenes",5,IF(J117="poems",6,IF(J117="walk",6,IF(J117="faces and events",6,IF(J117="events and names",6,IF(J117="flashbulb",7,IF(J117="stories",7,IF(J117="course material",7,IF(J117="autobiographical",7,IF(J117="novels",7,IF(J117="public events",7,"99"))))))))))))))))))))))))))))))))))))))))))))))</f>
        <v>1</v>
      </c>
      <c r="M117" s="69">
        <v>0</v>
      </c>
      <c r="N117" s="69">
        <v>1</v>
      </c>
      <c r="O117" s="69">
        <v>0</v>
      </c>
      <c r="P117" s="69"/>
      <c r="Q117" s="69" t="s">
        <v>174</v>
      </c>
      <c r="R117" s="69">
        <f>IF(Q117="Free Recall",1,IF(Q117="Cued Recall",2,IF(Q117="Recognition",3,IF(Q117="Multiple Choice",4,IF(Q117="Savings",5,IF(Q117="Stem Completion",6,IF(Q117="Fragment Completion",7,IF(Q117="anagram solution",8,IF(Q117="Matching",9,IF(Q117="Problem Solving",10,"99"))))))))))</f>
        <v>1</v>
      </c>
      <c r="S117" s="99" t="s">
        <v>49</v>
      </c>
      <c r="T117" s="69" t="s">
        <v>581</v>
      </c>
      <c r="U117" s="69">
        <f>IF(T117="within",1,0)</f>
        <v>1</v>
      </c>
      <c r="V117" s="69">
        <v>13</v>
      </c>
      <c r="W117" s="69">
        <f>F117*V117</f>
        <v>195</v>
      </c>
      <c r="X117" s="69">
        <v>3</v>
      </c>
      <c r="Y117" s="87">
        <f>AV116</f>
        <v>1800</v>
      </c>
      <c r="Z117" s="69" t="s">
        <v>150</v>
      </c>
      <c r="AA117" s="69">
        <f>60*60*24*7</f>
        <v>604800</v>
      </c>
      <c r="AB117" s="69" t="str">
        <f>IF(AA117&lt;60,"1",IF(AA117&lt;=43200,"2",IF(AA117&lt;=777600,"3","4")))</f>
        <v>3</v>
      </c>
      <c r="AC117" s="72">
        <f>AVERAGE(AV116:DA116)</f>
        <v>144600</v>
      </c>
      <c r="AD117" s="69" t="str">
        <f>IF(AC117&lt;60,"1",IF(AC117&lt;=43200,"2",IF(AC117&lt;=777600,"3","4")))</f>
        <v>3</v>
      </c>
      <c r="AE117" s="87">
        <f>AA117-Y117</f>
        <v>603000</v>
      </c>
      <c r="AF117" s="88">
        <f>AV117</f>
        <v>0.99580000000000002</v>
      </c>
      <c r="AG117" s="72">
        <f>((AW117-AV117)+(AX117-AW117))/2</f>
        <v>-4.2200000000000015E-2</v>
      </c>
      <c r="AH117" s="4"/>
      <c r="AI117" s="72">
        <f>RSQ(AV117:AX117,AV116:AX116)</f>
        <v>0.95077578920216022</v>
      </c>
      <c r="AJ117" s="110">
        <f>SLOPE(AV117:AX117,AV116:AX116)</f>
        <v>-2.3013776237112828E-7</v>
      </c>
      <c r="AK117" s="72">
        <f>INTERCEPT(AV117:AX117,AV116:AX116)</f>
        <v>0.98837792043886508</v>
      </c>
      <c r="AL117" s="72">
        <f>INDEX(LINEST(LN(AV117:AX117),LN(AV116:AX116),TRUE,TRUE),3,1)</f>
        <v>0.88852345265554733</v>
      </c>
      <c r="AM117" s="72">
        <f>INDEX(LINEST(LN(AV117:AX117),LN(AV116:AX116)),1)</f>
        <v>-1.5360689594856362E-2</v>
      </c>
      <c r="AN117" s="72">
        <f>EXP(INDEX(LINEST(LN(AV117:AX117),LN(AV116:AX116)),1,2))</f>
        <v>1.1221905177207874</v>
      </c>
      <c r="AO117" s="89">
        <f>INDEX(LINEST((AV117:AX117),LN(AV116:AX116),TRUE,TRUE),3,1)</f>
        <v>0.89629133212097467</v>
      </c>
      <c r="AP117" s="89">
        <f>INDEX(LINEST((AV117:AX117),LN(AV116:AX116)),1)</f>
        <v>-1.4689732953524434E-2</v>
      </c>
      <c r="AQ117" s="90">
        <f>INDEX(LINEST(LN(AV117:AX117),SQRT(AV116:AX116),TRUE,TRUE),3,1)</f>
        <v>0.99915069679751944</v>
      </c>
      <c r="AR117" s="117">
        <f>INDEX(LINEST(LN(AV117:AX117),SQRT((AV116:AX116))),1)</f>
        <v>-1.625822350155339E-4</v>
      </c>
      <c r="AS117" s="91">
        <f>INDEX(LINEST(1/(AV117:AX117),1/(SQRT(AV116:AX116)),TRUE,TRUE),3,1)</f>
        <v>0.73556183184283697</v>
      </c>
      <c r="AT117" s="91">
        <f>INDEX(LINEST(1/(AV117:AX117),1/SQRT(AV116:AX116)),1)</f>
        <v>-3.2904746407557282</v>
      </c>
      <c r="AU117" s="3"/>
      <c r="AV117" s="73">
        <v>0.99580000000000002</v>
      </c>
      <c r="AW117" s="73">
        <v>0.95809999999999995</v>
      </c>
      <c r="AX117" s="73">
        <v>0.91139999999999999</v>
      </c>
      <c r="AY117" s="53"/>
      <c r="AZ117" s="53"/>
      <c r="BA117" s="53"/>
      <c r="BB117" s="53"/>
      <c r="BC117" s="53"/>
      <c r="BD117" s="53"/>
      <c r="BE117" s="53"/>
      <c r="BF117" s="53"/>
      <c r="BG117" s="53"/>
      <c r="BH117" s="53"/>
      <c r="BI117" s="53"/>
      <c r="BJ117" s="53"/>
      <c r="BK117" s="53"/>
      <c r="BL117" s="53"/>
      <c r="BM117" s="53"/>
      <c r="BN117" s="53"/>
      <c r="BO117" s="53"/>
      <c r="BP117" s="53"/>
      <c r="BQ117" s="53"/>
      <c r="BR117" s="53"/>
      <c r="BS117" s="53"/>
      <c r="BT117" s="53"/>
      <c r="BU117" s="53"/>
      <c r="BV117" s="53"/>
      <c r="BW117" s="53"/>
      <c r="BX117" s="53"/>
      <c r="BY117" s="53"/>
      <c r="BZ117" s="53"/>
      <c r="CA117" s="53"/>
      <c r="CB117" s="53"/>
      <c r="CC117" s="53"/>
      <c r="CD117" s="53"/>
      <c r="CE117" s="53"/>
      <c r="CF117" s="53"/>
      <c r="CG117" s="53"/>
      <c r="CH117" s="53"/>
      <c r="CI117" s="53"/>
      <c r="CJ117" s="53"/>
      <c r="CK117" s="53"/>
      <c r="CL117" s="53"/>
      <c r="CM117" s="53"/>
      <c r="CN117" s="53"/>
      <c r="CO117" s="53"/>
      <c r="CP117" s="53"/>
      <c r="CQ117" s="53"/>
      <c r="CR117" s="1"/>
      <c r="CS117" s="1"/>
      <c r="CT117" s="1"/>
      <c r="CU117" s="1"/>
    </row>
    <row r="118" spans="1:99" s="13" customFormat="1" ht="12" customHeight="1" x14ac:dyDescent="0.2">
      <c r="A118" s="68">
        <v>43964</v>
      </c>
      <c r="B118" s="70"/>
      <c r="C118" s="70"/>
      <c r="D118" s="69"/>
      <c r="E118" s="87"/>
      <c r="F118" s="67"/>
      <c r="G118" s="67"/>
      <c r="H118" s="69"/>
      <c r="I118" s="69"/>
      <c r="J118" s="69"/>
      <c r="K118" s="69"/>
      <c r="L118" s="69"/>
      <c r="M118" s="67"/>
      <c r="N118" s="67"/>
      <c r="O118" s="67"/>
      <c r="P118" s="69"/>
      <c r="Q118" s="69"/>
      <c r="R118" s="69"/>
      <c r="S118" s="69"/>
      <c r="T118" s="69"/>
      <c r="U118" s="69"/>
      <c r="V118" s="69"/>
      <c r="W118" s="69"/>
      <c r="X118" s="69"/>
      <c r="Y118" s="87"/>
      <c r="Z118" s="69"/>
      <c r="AA118" s="69"/>
      <c r="AB118" s="69"/>
      <c r="AC118" s="72"/>
      <c r="AD118" s="69"/>
      <c r="AE118" s="87"/>
      <c r="AF118" s="88"/>
      <c r="AG118" s="72"/>
      <c r="AH118" s="4"/>
      <c r="AI118" s="72"/>
      <c r="AJ118" s="110"/>
      <c r="AK118" s="72"/>
      <c r="AL118" s="72"/>
      <c r="AM118" s="72"/>
      <c r="AN118" s="72"/>
      <c r="AO118" s="89"/>
      <c r="AP118" s="89"/>
      <c r="AQ118" s="90"/>
      <c r="AR118" s="117"/>
      <c r="AS118" s="91"/>
      <c r="AT118" s="91"/>
      <c r="AU118" s="3"/>
      <c r="AV118" s="73">
        <v>600</v>
      </c>
      <c r="AW118" s="73">
        <v>86400</v>
      </c>
      <c r="AX118" s="73">
        <v>604800</v>
      </c>
      <c r="AY118" s="53"/>
      <c r="AZ118" s="53"/>
      <c r="BA118" s="53"/>
      <c r="BB118" s="53"/>
      <c r="BC118" s="53"/>
      <c r="BD118" s="53"/>
      <c r="BE118" s="53"/>
      <c r="BF118" s="53"/>
      <c r="BG118" s="53"/>
      <c r="BH118" s="53"/>
      <c r="BI118" s="53"/>
      <c r="BJ118" s="53"/>
      <c r="BK118" s="53"/>
      <c r="BL118" s="53"/>
      <c r="BM118" s="53"/>
      <c r="BN118" s="53"/>
      <c r="BO118" s="53"/>
      <c r="BP118" s="53"/>
      <c r="BQ118" s="53"/>
      <c r="BR118" s="53"/>
      <c r="BS118" s="53"/>
      <c r="BT118" s="53"/>
      <c r="BU118" s="53"/>
      <c r="BV118" s="53"/>
      <c r="BW118" s="53"/>
      <c r="BX118" s="53"/>
      <c r="BY118" s="53"/>
      <c r="BZ118" s="53"/>
      <c r="CA118" s="53"/>
      <c r="CB118" s="53"/>
      <c r="CC118" s="53"/>
      <c r="CD118" s="53"/>
      <c r="CE118" s="53"/>
      <c r="CF118" s="53"/>
      <c r="CG118" s="53"/>
      <c r="CH118" s="53"/>
      <c r="CI118" s="53"/>
      <c r="CJ118" s="53"/>
      <c r="CK118" s="53"/>
      <c r="CL118" s="53"/>
      <c r="CM118" s="53"/>
      <c r="CN118" s="53"/>
      <c r="CO118" s="53"/>
      <c r="CP118" s="53"/>
      <c r="CQ118" s="53"/>
      <c r="CR118" s="1"/>
      <c r="CS118" s="1"/>
      <c r="CT118" s="1"/>
      <c r="CU118" s="1"/>
    </row>
    <row r="119" spans="1:99" s="13" customFormat="1" ht="12" customHeight="1" x14ac:dyDescent="0.2">
      <c r="A119" s="68">
        <v>43964</v>
      </c>
      <c r="B119" s="70" t="s">
        <v>911</v>
      </c>
      <c r="C119" s="70" t="s">
        <v>45</v>
      </c>
      <c r="D119" s="69">
        <v>2017</v>
      </c>
      <c r="E119" s="87">
        <v>1</v>
      </c>
      <c r="F119" s="69">
        <v>243</v>
      </c>
      <c r="G119" s="69">
        <v>243</v>
      </c>
      <c r="H119" s="69" t="s">
        <v>32</v>
      </c>
      <c r="I119" s="69" t="s">
        <v>913</v>
      </c>
      <c r="J119" s="69" t="s">
        <v>912</v>
      </c>
      <c r="K119" s="69">
        <f>IF(J119="syllables",1,IF(J119="trigrams",2,IF(J119="strings",3,IF(J119="visual array",4,IF(J119="characters",5,IF(J119="letters",6,IF(J119="free forms",7,IF(J119="odors",8,IF(J119="words",9,IF(J119="pictures",10,IF(J119="object pictures",11,IF(J119="faces",12,IF(J119="names",13,IF(J119="idioms",14,IF(J119="grades",15,IF(J119="syllable-digit pairs",16,IF(J119="trigram-word pairs",17,IF(J119="word-digit pairs",18,IF(J119="English-Swahili pairs",19,IF(J119="spatial position",20,IF(J119="word pairs",21,IF(J119="word triads",22,IF(J119="generated words",23,IF(J119="word definition pairs",24,IF(J119="math problems",25,IF(J119="famous faces",26,IF(J119="famous names",27,IF(J119="famous voices",28,IF(J119="television programs",29,IF(J119="race horses",30,IF(J119="new vocabulary",31,IF(J119="sentences",32,IF(J119="concepts",33,IF(J119="ad slides",34,IF(J119="scenes",35,IF(J119="famous scenes",36,IF(J119="poems",37,IF(J119="walk",38,IF(J119="faces and events",39,IF(J119="events and names",40,IF(J119="flashbulb",41,IF(J119="stories",42,IF(J119="course material",43,IF(J119="autobiographical",44,IF(J119="novels",45,IF(J119="public events",46,IF(J119="video activities",47,"99")))))))))))))))))))))))))))))))))))))))))))))))</f>
        <v>47</v>
      </c>
      <c r="L119" s="69">
        <v>7</v>
      </c>
      <c r="M119" s="69">
        <v>0</v>
      </c>
      <c r="N119" s="69">
        <v>3</v>
      </c>
      <c r="O119" s="69">
        <v>0</v>
      </c>
      <c r="P119" s="69"/>
      <c r="Q119" s="69" t="s">
        <v>34</v>
      </c>
      <c r="R119" s="69">
        <f>IF(Q119="Free Recall",1,IF(Q119="Cued Recall",2,IF(Q119="Recognition",3,IF(Q119="Multiple Choice",4,IF(Q119="Savings",5,IF(Q119="Stem Completion",6,IF(Q119="Fragment Completion",7,IF(Q119="anagram solution",8,IF(Q119="Matching",9,IF(Q119="Problem Solving",10,"99"))))))))))</f>
        <v>3</v>
      </c>
      <c r="S119" s="69" t="s">
        <v>15</v>
      </c>
      <c r="T119" s="69" t="s">
        <v>581</v>
      </c>
      <c r="U119" s="69">
        <f>IF(T119="within",1,0)</f>
        <v>1</v>
      </c>
      <c r="V119" s="69">
        <v>20</v>
      </c>
      <c r="W119" s="69">
        <f>F119*V119</f>
        <v>4860</v>
      </c>
      <c r="X119" s="69">
        <v>3</v>
      </c>
      <c r="Y119" s="87">
        <f>AV118</f>
        <v>600</v>
      </c>
      <c r="Z119" s="69" t="s">
        <v>150</v>
      </c>
      <c r="AA119" s="69">
        <f>60*60*24*7</f>
        <v>604800</v>
      </c>
      <c r="AB119" s="69" t="str">
        <f>IF(AA119&lt;60,"1",IF(AA119&lt;=43200,"2",IF(AA119&lt;=777600,"3","4")))</f>
        <v>3</v>
      </c>
      <c r="AC119" s="72">
        <f>AVERAGE(AV118:DA118)</f>
        <v>230600</v>
      </c>
      <c r="AD119" s="69" t="str">
        <f>IF(AC119&lt;60,"1",IF(AC119&lt;=43200,"2",IF(AC119&lt;=777600,"3","4")))</f>
        <v>3</v>
      </c>
      <c r="AE119" s="87">
        <f>AA119-Y119</f>
        <v>604200</v>
      </c>
      <c r="AF119" s="88">
        <f>AV119</f>
        <v>0.73284132841328398</v>
      </c>
      <c r="AG119" s="72">
        <f>((AW119-AV119)+(AX119-AW119))/2</f>
        <v>-2.6213883361130508E-2</v>
      </c>
      <c r="AH119" s="4"/>
      <c r="AI119" s="72">
        <f>RSQ(AV119:AX119,AV118:AX118)</f>
        <v>0.23686578663494268</v>
      </c>
      <c r="AJ119" s="110">
        <f>SLOPE(AV119:AX119,AV118:AX118)</f>
        <v>-4.9812290158771035E-8</v>
      </c>
      <c r="AK119" s="72">
        <f>INTERCEPT(AV119:AX119,AV118:AX118)</f>
        <v>0.70611096559154218</v>
      </c>
      <c r="AL119" s="72">
        <f>INDEX(LINEST(LN(AV119:AX119),LN(AV118:AX118),TRUE,TRUE),3,1)</f>
        <v>0.82678902873860494</v>
      </c>
      <c r="AM119" s="72">
        <f>INDEX(LINEST(LN(AV119:AX119),LN(AV118:AX118)),1)</f>
        <v>-1.2135508937400896E-2</v>
      </c>
      <c r="AN119" s="72">
        <f>EXP(INDEX(LINEST(LN(AV119:AX119),LN(AV118:AX118)),1,2))</f>
        <v>0.7870712944577869</v>
      </c>
      <c r="AO119" s="89">
        <f>INDEX(LINEST((AV119:AX119),LN(AV118:AX118),TRUE,TRUE),3,1)</f>
        <v>0.83131382831506095</v>
      </c>
      <c r="AP119" s="89">
        <f>INDEX(LINEST((AV119:AX119),LN(AV118:AX118)),1)</f>
        <v>-8.5536506892833781E-3</v>
      </c>
      <c r="AQ119" s="90">
        <f>INDEX(LINEST(LN(AV119:AX119),SQRT(AV118:AX118),TRUE,TRUE),3,1)</f>
        <v>0.44615648139100023</v>
      </c>
      <c r="AR119" s="117">
        <f>INDEX(LINEST(LN(AV119:AX119),SQRT((AV118:AX118))),1)</f>
        <v>-8.330448275714516E-5</v>
      </c>
      <c r="AS119" s="91">
        <f>INDEX(LINEST(1/(AV119:AX119),1/(SQRT(AV118:AX118)),TRUE,TRUE),3,1)</f>
        <v>0.95788898361741037</v>
      </c>
      <c r="AT119" s="91">
        <f>INDEX(LINEST(1/(AV119:AX119),1/SQRT(AV118:AX118)),1)</f>
        <v>-2.9815013141790798</v>
      </c>
      <c r="AU119" s="3"/>
      <c r="AV119" s="73">
        <v>0.73284132841328398</v>
      </c>
      <c r="AW119" s="73">
        <v>0.67061786433848203</v>
      </c>
      <c r="AX119" s="73">
        <v>0.68041356169102296</v>
      </c>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53"/>
      <c r="CD119" s="53"/>
      <c r="CE119" s="53"/>
      <c r="CF119" s="53"/>
      <c r="CG119" s="53"/>
      <c r="CH119" s="53"/>
      <c r="CI119" s="53"/>
      <c r="CJ119" s="53"/>
      <c r="CK119" s="53"/>
      <c r="CL119" s="53"/>
      <c r="CM119" s="53"/>
      <c r="CN119" s="53"/>
      <c r="CO119" s="53"/>
      <c r="CP119" s="53"/>
      <c r="CQ119" s="53"/>
      <c r="CR119" s="1"/>
      <c r="CS119" s="1"/>
      <c r="CT119" s="1"/>
      <c r="CU119" s="1"/>
    </row>
    <row r="120" spans="1:99" s="13" customFormat="1" ht="12" customHeight="1" x14ac:dyDescent="0.2">
      <c r="A120" s="68">
        <v>43964</v>
      </c>
      <c r="B120" s="70"/>
      <c r="C120" s="70"/>
      <c r="D120" s="69"/>
      <c r="E120" s="87"/>
      <c r="F120" s="69"/>
      <c r="G120" s="69"/>
      <c r="H120" s="69"/>
      <c r="I120" s="69"/>
      <c r="J120" s="69"/>
      <c r="K120" s="69"/>
      <c r="L120" s="69"/>
      <c r="M120" s="69"/>
      <c r="N120" s="69"/>
      <c r="O120" s="69"/>
      <c r="P120" s="69"/>
      <c r="Q120" s="69"/>
      <c r="R120" s="69"/>
      <c r="S120" s="69"/>
      <c r="T120" s="69"/>
      <c r="U120" s="69"/>
      <c r="V120" s="69"/>
      <c r="W120" s="69"/>
      <c r="X120" s="69"/>
      <c r="Y120" s="87"/>
      <c r="Z120" s="69"/>
      <c r="AA120" s="69"/>
      <c r="AB120" s="69"/>
      <c r="AC120" s="72"/>
      <c r="AD120" s="69"/>
      <c r="AE120" s="87"/>
      <c r="AF120" s="88"/>
      <c r="AG120" s="72"/>
      <c r="AH120" s="4"/>
      <c r="AI120" s="72"/>
      <c r="AJ120" s="110"/>
      <c r="AK120" s="72"/>
      <c r="AL120" s="72"/>
      <c r="AM120" s="72"/>
      <c r="AN120" s="72"/>
      <c r="AO120" s="89"/>
      <c r="AP120" s="89"/>
      <c r="AQ120" s="90"/>
      <c r="AR120" s="117"/>
      <c r="AS120" s="91"/>
      <c r="AT120" s="91"/>
      <c r="AU120" s="3"/>
      <c r="AV120" s="73">
        <v>600</v>
      </c>
      <c r="AW120" s="73">
        <v>86400</v>
      </c>
      <c r="AX120" s="73">
        <v>604800</v>
      </c>
      <c r="AY120" s="53"/>
      <c r="AZ120" s="53"/>
      <c r="BA120" s="53"/>
      <c r="BB120" s="53"/>
      <c r="BC120" s="53"/>
      <c r="BD120" s="53"/>
      <c r="BE120" s="53"/>
      <c r="BF120" s="53"/>
      <c r="BG120" s="53"/>
      <c r="BH120" s="53"/>
      <c r="BI120" s="53"/>
      <c r="BJ120" s="53"/>
      <c r="BK120" s="53"/>
      <c r="BL120" s="53"/>
      <c r="BM120" s="53"/>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53"/>
      <c r="CR120" s="1"/>
      <c r="CS120" s="1"/>
      <c r="CT120" s="1"/>
      <c r="CU120" s="1"/>
    </row>
    <row r="121" spans="1:99" s="13" customFormat="1" ht="12" customHeight="1" x14ac:dyDescent="0.2">
      <c r="A121" s="68">
        <v>43964</v>
      </c>
      <c r="B121" s="70" t="s">
        <v>911</v>
      </c>
      <c r="C121" s="70" t="s">
        <v>45</v>
      </c>
      <c r="D121" s="69">
        <v>2017</v>
      </c>
      <c r="E121" s="87">
        <v>1</v>
      </c>
      <c r="F121" s="69">
        <v>84</v>
      </c>
      <c r="G121" s="69">
        <v>84</v>
      </c>
      <c r="H121" s="69" t="s">
        <v>32</v>
      </c>
      <c r="I121" s="69" t="s">
        <v>914</v>
      </c>
      <c r="J121" s="69" t="s">
        <v>912</v>
      </c>
      <c r="K121" s="69">
        <f>IF(J121="syllables",1,IF(J121="trigrams",2,IF(J121="strings",3,IF(J121="visual array",4,IF(J121="characters",5,IF(J121="letters",6,IF(J121="free forms",7,IF(J121="odors",8,IF(J121="words",9,IF(J121="pictures",10,IF(J121="object pictures",11,IF(J121="faces",12,IF(J121="names",13,IF(J121="idioms",14,IF(J121="grades",15,IF(J121="syllable-digit pairs",16,IF(J121="trigram-word pairs",17,IF(J121="word-digit pairs",18,IF(J121="English-Swahili pairs",19,IF(J121="spatial position",20,IF(J121="word pairs",21,IF(J121="word triads",22,IF(J121="generated words",23,IF(J121="word definition pairs",24,IF(J121="math problems",25,IF(J121="famous faces",26,IF(J121="famous names",27,IF(J121="famous voices",28,IF(J121="television programs",29,IF(J121="race horses",30,IF(J121="new vocabulary",31,IF(J121="sentences",32,IF(J121="concepts",33,IF(J121="ad slides",34,IF(J121="scenes",35,IF(J121="famous scenes",36,IF(J121="poems",37,IF(J121="walk",38,IF(J121="faces and events",39,IF(J121="events and names",40,IF(J121="flashbulb",41,IF(J121="stories",42,IF(J121="course material",43,IF(J121="autobiographical",44,IF(J121="novels",45,IF(J121="public events",46,IF(J121="video activities",47,"99")))))))))))))))))))))))))))))))))))))))))))))))</f>
        <v>47</v>
      </c>
      <c r="L121" s="69">
        <v>7</v>
      </c>
      <c r="M121" s="69">
        <v>0</v>
      </c>
      <c r="N121" s="69">
        <v>3</v>
      </c>
      <c r="O121" s="69">
        <v>0</v>
      </c>
      <c r="P121" s="69"/>
      <c r="Q121" s="69" t="s">
        <v>34</v>
      </c>
      <c r="R121" s="69">
        <f>IF(Q121="Free Recall",1,IF(Q121="Cued Recall",2,IF(Q121="Recognition",3,IF(Q121="Multiple Choice",4,IF(Q121="Savings",5,IF(Q121="Stem Completion",6,IF(Q121="Fragment Completion",7,IF(Q121="anagram solution",8,IF(Q121="Matching",9,IF(Q121="Problem Solving",10,"99"))))))))))</f>
        <v>3</v>
      </c>
      <c r="S121" s="69" t="s">
        <v>15</v>
      </c>
      <c r="T121" s="69" t="s">
        <v>581</v>
      </c>
      <c r="U121" s="69">
        <f>IF(T121="within",1,0)</f>
        <v>1</v>
      </c>
      <c r="V121" s="69">
        <v>20</v>
      </c>
      <c r="W121" s="69">
        <f>F121*V121</f>
        <v>1680</v>
      </c>
      <c r="X121" s="69">
        <v>3</v>
      </c>
      <c r="Y121" s="87">
        <f>AV120</f>
        <v>600</v>
      </c>
      <c r="Z121" s="69" t="s">
        <v>150</v>
      </c>
      <c r="AA121" s="69">
        <f>60*60*24*7</f>
        <v>604800</v>
      </c>
      <c r="AB121" s="69" t="str">
        <f>IF(AA121&lt;60,"1",IF(AA121&lt;=43200,"2",IF(AA121&lt;=777600,"3","4")))</f>
        <v>3</v>
      </c>
      <c r="AC121" s="72">
        <f>AVERAGE(AV120:DA120)</f>
        <v>230600</v>
      </c>
      <c r="AD121" s="69" t="str">
        <f>IF(AC121&lt;60,"1",IF(AC121&lt;=43200,"2",IF(AC121&lt;=777600,"3","4")))</f>
        <v>3</v>
      </c>
      <c r="AE121" s="87">
        <f>AA121-Y121</f>
        <v>604200</v>
      </c>
      <c r="AF121" s="88">
        <f>AV121</f>
        <v>0.68856088560885598</v>
      </c>
      <c r="AG121" s="72">
        <f>((AW121-AV121)+(AX121-AW121))/2</f>
        <v>-3.6152696651211014E-2</v>
      </c>
      <c r="AH121" s="4"/>
      <c r="AI121" s="72">
        <f>RSQ(AV121:AX121,AV120:AX120)</f>
        <v>0.28457372757606325</v>
      </c>
      <c r="AJ121" s="110">
        <f>SLOPE(AV121:AX121,AV120:AX120)</f>
        <v>-7.2289897607986834E-8</v>
      </c>
      <c r="AK121" s="72">
        <f>INTERCEPT(AV121:AX121,AV120:AX120)</f>
        <v>0.65429850183192506</v>
      </c>
      <c r="AL121" s="72">
        <f>INDEX(LINEST(LN(AV121:AX121),LN(AV120:AX120),TRUE,TRUE),3,1)</f>
        <v>0.8662112569485334</v>
      </c>
      <c r="AM121" s="72">
        <f>INDEX(LINEST(LN(AV121:AX121),LN(AV120:AX120)),1)</f>
        <v>-1.7808878466835282E-2</v>
      </c>
      <c r="AN121" s="72">
        <f>EXP(INDEX(LINEST(LN(AV121:AX121),LN(AV120:AX120)),1,2))</f>
        <v>0.76560221904330328</v>
      </c>
      <c r="AO121" s="89">
        <f>INDEX(LINEST((AV121:AX121),LN(AV120:AX120),TRUE,TRUE),3,1)</f>
        <v>0.87000682016890829</v>
      </c>
      <c r="AP121" s="89">
        <f>INDEX(LINEST((AV121:AX121),LN(AV120:AX120)),1)</f>
        <v>-1.1585778024274192E-2</v>
      </c>
      <c r="AQ121" s="90">
        <f>INDEX(LINEST(LN(AV121:AX121),SQRT(AV120:AX120),TRUE,TRUE),3,1)</f>
        <v>0.50083731504731455</v>
      </c>
      <c r="AR121" s="117">
        <f>INDEX(LINEST(LN(AV121:AX121),SQRT((AV120:AX120))),1)</f>
        <v>-1.2654270822330579E-4</v>
      </c>
      <c r="AS121" s="91">
        <f>INDEX(LINEST(1/(AV121:AX121),1/(SQRT(AV120:AX120)),TRUE,TRUE),3,1)</f>
        <v>0.97720578778152745</v>
      </c>
      <c r="AT121" s="91">
        <f>INDEX(LINEST(1/(AV121:AX121),1/SQRT(AV120:AX120)),1)</f>
        <v>-4.677991404915395</v>
      </c>
      <c r="AU121" s="3"/>
      <c r="AV121" s="73">
        <v>0.68856088560885598</v>
      </c>
      <c r="AW121" s="73">
        <v>0.60806897641528002</v>
      </c>
      <c r="AX121" s="73">
        <v>0.61625549230643395</v>
      </c>
      <c r="AY121" s="53"/>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c r="CO121" s="53"/>
      <c r="CP121" s="53"/>
      <c r="CQ121" s="53"/>
      <c r="CR121" s="1"/>
      <c r="CS121" s="1"/>
      <c r="CT121" s="1"/>
      <c r="CU121" s="1"/>
    </row>
    <row r="122" spans="1:99" s="13" customFormat="1" ht="12" customHeight="1" x14ac:dyDescent="0.2">
      <c r="A122" s="68">
        <v>43964</v>
      </c>
      <c r="B122" s="70"/>
      <c r="C122" s="70"/>
      <c r="D122" s="69"/>
      <c r="E122" s="87"/>
      <c r="F122" s="69"/>
      <c r="G122" s="69"/>
      <c r="H122" s="69"/>
      <c r="I122" s="69"/>
      <c r="J122" s="69"/>
      <c r="K122" s="69"/>
      <c r="L122" s="69"/>
      <c r="M122" s="69"/>
      <c r="N122" s="69"/>
      <c r="O122" s="69"/>
      <c r="P122" s="69"/>
      <c r="Q122" s="69"/>
      <c r="R122" s="69"/>
      <c r="S122" s="69"/>
      <c r="T122" s="69"/>
      <c r="U122" s="69"/>
      <c r="V122" s="69"/>
      <c r="W122" s="69"/>
      <c r="X122" s="69"/>
      <c r="Y122" s="87"/>
      <c r="Z122" s="69"/>
      <c r="AA122" s="69"/>
      <c r="AB122" s="69"/>
      <c r="AC122" s="72"/>
      <c r="AD122" s="69"/>
      <c r="AE122" s="87"/>
      <c r="AF122" s="88"/>
      <c r="AG122" s="72"/>
      <c r="AH122" s="4"/>
      <c r="AI122" s="72"/>
      <c r="AJ122" s="110"/>
      <c r="AK122" s="72"/>
      <c r="AL122" s="72"/>
      <c r="AM122" s="72"/>
      <c r="AN122" s="72"/>
      <c r="AO122" s="89"/>
      <c r="AP122" s="89"/>
      <c r="AQ122" s="90"/>
      <c r="AR122" s="117"/>
      <c r="AS122" s="91"/>
      <c r="AT122" s="91"/>
      <c r="AU122" s="3"/>
      <c r="AV122" s="73">
        <v>600</v>
      </c>
      <c r="AW122" s="73">
        <v>86400</v>
      </c>
      <c r="AX122" s="73">
        <v>604800</v>
      </c>
      <c r="AY122" s="53"/>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c r="CA122" s="53"/>
      <c r="CB122" s="53"/>
      <c r="CC122" s="53"/>
      <c r="CD122" s="53"/>
      <c r="CE122" s="53"/>
      <c r="CF122" s="53"/>
      <c r="CG122" s="53"/>
      <c r="CH122" s="53"/>
      <c r="CI122" s="53"/>
      <c r="CJ122" s="53"/>
      <c r="CK122" s="53"/>
      <c r="CL122" s="53"/>
      <c r="CM122" s="53"/>
      <c r="CN122" s="53"/>
      <c r="CO122" s="53"/>
      <c r="CP122" s="53"/>
      <c r="CQ122" s="53"/>
      <c r="CR122" s="1"/>
      <c r="CS122" s="1"/>
      <c r="CT122" s="1"/>
      <c r="CU122" s="1"/>
    </row>
    <row r="123" spans="1:99" s="13" customFormat="1" ht="12" customHeight="1" x14ac:dyDescent="0.2">
      <c r="A123" s="68">
        <v>43964</v>
      </c>
      <c r="B123" s="70" t="s">
        <v>911</v>
      </c>
      <c r="C123" s="70" t="s">
        <v>45</v>
      </c>
      <c r="D123" s="69">
        <v>2017</v>
      </c>
      <c r="E123" s="87">
        <v>1</v>
      </c>
      <c r="F123" s="69">
        <v>155</v>
      </c>
      <c r="G123" s="69">
        <v>155</v>
      </c>
      <c r="H123" s="69" t="s">
        <v>32</v>
      </c>
      <c r="I123" s="69" t="s">
        <v>915</v>
      </c>
      <c r="J123" s="69" t="s">
        <v>912</v>
      </c>
      <c r="K123" s="69">
        <f>IF(J123="syllables",1,IF(J123="trigrams",2,IF(J123="strings",3,IF(J123="visual array",4,IF(J123="characters",5,IF(J123="letters",6,IF(J123="free forms",7,IF(J123="odors",8,IF(J123="words",9,IF(J123="pictures",10,IF(J123="object pictures",11,IF(J123="faces",12,IF(J123="names",13,IF(J123="idioms",14,IF(J123="grades",15,IF(J123="syllable-digit pairs",16,IF(J123="trigram-word pairs",17,IF(J123="word-digit pairs",18,IF(J123="English-Swahili pairs",19,IF(J123="spatial position",20,IF(J123="word pairs",21,IF(J123="word triads",22,IF(J123="generated words",23,IF(J123="word definition pairs",24,IF(J123="math problems",25,IF(J123="famous faces",26,IF(J123="famous names",27,IF(J123="famous voices",28,IF(J123="television programs",29,IF(J123="race horses",30,IF(J123="new vocabulary",31,IF(J123="sentences",32,IF(J123="concepts",33,IF(J123="ad slides",34,IF(J123="scenes",35,IF(J123="famous scenes",36,IF(J123="poems",37,IF(J123="walk",38,IF(J123="faces and events",39,IF(J123="events and names",40,IF(J123="flashbulb",41,IF(J123="stories",42,IF(J123="course material",43,IF(J123="autobiographical",44,IF(J123="novels",45,IF(J123="public events",46,IF(J123="video activities",47,"99")))))))))))))))))))))))))))))))))))))))))))))))</f>
        <v>47</v>
      </c>
      <c r="L123" s="69">
        <v>7</v>
      </c>
      <c r="M123" s="69">
        <v>0</v>
      </c>
      <c r="N123" s="69">
        <v>3</v>
      </c>
      <c r="O123" s="69">
        <v>0</v>
      </c>
      <c r="P123" s="69"/>
      <c r="Q123" s="69" t="s">
        <v>34</v>
      </c>
      <c r="R123" s="69">
        <f>IF(Q123="Free Recall",1,IF(Q123="Cued Recall",2,IF(Q123="Recognition",3,IF(Q123="Multiple Choice",4,IF(Q123="Savings",5,IF(Q123="Stem Completion",6,IF(Q123="Fragment Completion",7,IF(Q123="anagram solution",8,IF(Q123="Matching",9,IF(Q123="Problem Solving",10,"99"))))))))))</f>
        <v>3</v>
      </c>
      <c r="S123" s="69" t="s">
        <v>15</v>
      </c>
      <c r="T123" s="69" t="s">
        <v>581</v>
      </c>
      <c r="U123" s="69">
        <f>IF(T123="within",1,0)</f>
        <v>1</v>
      </c>
      <c r="V123" s="69">
        <v>20</v>
      </c>
      <c r="W123" s="69">
        <f>F123*V123</f>
        <v>3100</v>
      </c>
      <c r="X123" s="69">
        <v>3</v>
      </c>
      <c r="Y123" s="87">
        <f>AV122</f>
        <v>600</v>
      </c>
      <c r="Z123" s="69" t="s">
        <v>150</v>
      </c>
      <c r="AA123" s="69">
        <f>60*60*24*7</f>
        <v>604800</v>
      </c>
      <c r="AB123" s="69" t="str">
        <f>IF(AA123&lt;60,"1",IF(AA123&lt;=43200,"2",IF(AA123&lt;=777600,"3","4")))</f>
        <v>3</v>
      </c>
      <c r="AC123" s="72">
        <f>AVERAGE(AV122:DA122)</f>
        <v>230600</v>
      </c>
      <c r="AD123" s="69" t="str">
        <f>IF(AC123&lt;60,"1",IF(AC123&lt;=43200,"2",IF(AC123&lt;=777600,"3","4")))</f>
        <v>3</v>
      </c>
      <c r="AE123" s="87">
        <f>AA123-Y123</f>
        <v>604200</v>
      </c>
      <c r="AF123" s="88">
        <f>AV123</f>
        <v>0.69</v>
      </c>
      <c r="AG123" s="72">
        <f>((AW123-AV123)+(AX123-AW123))/2</f>
        <v>-5.4999999999999993E-2</v>
      </c>
      <c r="AH123" s="4"/>
      <c r="AI123" s="72">
        <f>RSQ(AV123:AX123,AV122:AX122)</f>
        <v>0.88907190943020442</v>
      </c>
      <c r="AJ123" s="110">
        <f>SLOPE(AV123:AX123,AV122:AX122)</f>
        <v>-1.5886259770293073E-7</v>
      </c>
      <c r="AK123" s="72">
        <f>INTERCEPT(AV123:AX123,AV122:AX122)</f>
        <v>0.67330038169696249</v>
      </c>
      <c r="AL123" s="72">
        <f>INDEX(LINEST(LN(AV123:AX123),LN(AV122:AX122),TRUE,TRUE),3,1)</f>
        <v>0.89845794875751039</v>
      </c>
      <c r="AM123" s="72">
        <f>INDEX(LINEST(LN(AV123:AX123),LN(AV122:AX122)),1)</f>
        <v>-2.3146964031138736E-2</v>
      </c>
      <c r="AN123" s="72">
        <f>EXP(INDEX(LINEST(LN(AV123:AX123),LN(AV122:AX122)),1,2))</f>
        <v>0.80714512945459105</v>
      </c>
      <c r="AO123" s="89">
        <f>INDEX(LINEST((AV123:AX123),LN(AV122:AX122),TRUE,TRUE),3,1)</f>
        <v>0.91282677614542207</v>
      </c>
      <c r="AP123" s="89">
        <f>INDEX(LINEST((AV123:AX123),LN(AV122:AX122)),1)</f>
        <v>-1.4754723231674025E-2</v>
      </c>
      <c r="AQ123" s="90">
        <f>INDEX(LINEST(LN(AV123:AX123),SQRT(AV122:AX122),TRUE,TRUE),3,1)</f>
        <v>0.99265855765578481</v>
      </c>
      <c r="AR123" s="117">
        <f>INDEX(LINEST(LN(AV123:AX123),SQRT((AV122:AX122))),1)</f>
        <v>-2.2735747198805389E-4</v>
      </c>
      <c r="AS123" s="91">
        <f>INDEX(LINEST(1/(AV123:AX123),1/(SQRT(AV122:AX122)),TRUE,TRUE),3,1)</f>
        <v>0.70209398617616847</v>
      </c>
      <c r="AT123" s="91">
        <f>INDEX(LINEST(1/(AV123:AX123),1/SQRT(AV122:AX122)),1)</f>
        <v>-5.2040459668771399</v>
      </c>
      <c r="AU123" s="3"/>
      <c r="AV123" s="73">
        <v>0.69</v>
      </c>
      <c r="AW123" s="73">
        <v>0.64</v>
      </c>
      <c r="AX123" s="73">
        <v>0.57999999999999996</v>
      </c>
      <c r="AY123" s="53"/>
      <c r="AZ123" s="53"/>
      <c r="BA123" s="53"/>
      <c r="BB123" s="53"/>
      <c r="BC123" s="53"/>
      <c r="BD123" s="53"/>
      <c r="BE123" s="53"/>
      <c r="BF123" s="53"/>
      <c r="BG123" s="53"/>
      <c r="BH123" s="53"/>
      <c r="BI123" s="53"/>
      <c r="BJ123" s="53"/>
      <c r="BK123" s="53"/>
      <c r="BL123" s="53"/>
      <c r="BM123" s="53"/>
      <c r="BN123" s="53"/>
      <c r="BO123" s="53"/>
      <c r="BP123" s="53"/>
      <c r="BQ123" s="53"/>
      <c r="BR123" s="53"/>
      <c r="BS123" s="53"/>
      <c r="BT123" s="53"/>
      <c r="BU123" s="53"/>
      <c r="BV123" s="53"/>
      <c r="BW123" s="53"/>
      <c r="BX123" s="53"/>
      <c r="BY123" s="53"/>
      <c r="BZ123" s="53"/>
      <c r="CA123" s="53"/>
      <c r="CB123" s="53"/>
      <c r="CC123" s="53"/>
      <c r="CD123" s="53"/>
      <c r="CE123" s="53"/>
      <c r="CF123" s="53"/>
      <c r="CG123" s="53"/>
      <c r="CH123" s="53"/>
      <c r="CI123" s="53"/>
      <c r="CJ123" s="53"/>
      <c r="CK123" s="53"/>
      <c r="CL123" s="53"/>
      <c r="CM123" s="53"/>
      <c r="CN123" s="53"/>
      <c r="CO123" s="53"/>
      <c r="CP123" s="53"/>
      <c r="CQ123" s="53"/>
      <c r="CR123" s="1"/>
      <c r="CS123" s="1"/>
      <c r="CT123" s="1"/>
      <c r="CU123" s="1"/>
    </row>
    <row r="124" spans="1:99" s="13" customFormat="1" ht="12" customHeight="1" x14ac:dyDescent="0.2">
      <c r="A124" s="68">
        <v>43976</v>
      </c>
      <c r="B124" s="70"/>
      <c r="C124" s="70"/>
      <c r="D124" s="69"/>
      <c r="E124" s="87"/>
      <c r="F124" s="69"/>
      <c r="G124" s="69"/>
      <c r="H124" s="69"/>
      <c r="I124" s="69"/>
      <c r="J124" s="69"/>
      <c r="K124" s="69"/>
      <c r="L124" s="69"/>
      <c r="M124" s="69"/>
      <c r="N124" s="92"/>
      <c r="O124" s="69"/>
      <c r="P124" s="69"/>
      <c r="Q124" s="69"/>
      <c r="R124" s="69"/>
      <c r="S124" s="69"/>
      <c r="T124" s="92"/>
      <c r="U124" s="69"/>
      <c r="V124" s="92"/>
      <c r="W124" s="69"/>
      <c r="X124" s="69"/>
      <c r="Y124" s="87"/>
      <c r="Z124" s="92"/>
      <c r="AA124" s="69"/>
      <c r="AB124" s="69"/>
      <c r="AC124" s="72"/>
      <c r="AD124" s="69"/>
      <c r="AE124" s="87"/>
      <c r="AF124" s="88"/>
      <c r="AG124" s="72"/>
      <c r="AH124" s="4"/>
      <c r="AI124" s="72"/>
      <c r="AJ124" s="110"/>
      <c r="AK124" s="72"/>
      <c r="AL124" s="72"/>
      <c r="AM124" s="72"/>
      <c r="AN124" s="72"/>
      <c r="AO124" s="89"/>
      <c r="AP124" s="89"/>
      <c r="AQ124" s="90"/>
      <c r="AR124" s="117"/>
      <c r="AS124" s="91"/>
      <c r="AT124" s="91"/>
      <c r="AU124" s="4"/>
      <c r="AV124" s="96">
        <f>60*30</f>
        <v>1800</v>
      </c>
      <c r="AW124" s="96">
        <f>60*90</f>
        <v>5400</v>
      </c>
      <c r="AX124" s="96">
        <f>60*60*24*7</f>
        <v>604800</v>
      </c>
      <c r="AY124" s="27"/>
      <c r="AZ124" s="53"/>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c r="BY124" s="53"/>
      <c r="BZ124" s="53"/>
      <c r="CA124" s="53"/>
      <c r="CB124" s="53"/>
      <c r="CC124" s="53"/>
      <c r="CD124" s="53"/>
      <c r="CE124" s="53"/>
      <c r="CF124" s="53"/>
      <c r="CG124" s="53"/>
      <c r="CH124" s="53"/>
      <c r="CI124" s="53"/>
      <c r="CJ124" s="53"/>
      <c r="CK124" s="53"/>
      <c r="CL124" s="53"/>
      <c r="CM124" s="53"/>
      <c r="CN124" s="53"/>
      <c r="CO124" s="53"/>
      <c r="CP124" s="53"/>
      <c r="CQ124" s="53"/>
      <c r="CR124" s="1"/>
      <c r="CS124" s="1"/>
      <c r="CT124" s="1"/>
      <c r="CU124" s="1"/>
    </row>
    <row r="125" spans="1:99" s="13" customFormat="1" ht="12" customHeight="1" x14ac:dyDescent="0.2">
      <c r="A125" s="68">
        <v>43976</v>
      </c>
      <c r="B125" s="70" t="s">
        <v>925</v>
      </c>
      <c r="C125" s="70" t="s">
        <v>926</v>
      </c>
      <c r="D125" s="69">
        <v>2001</v>
      </c>
      <c r="E125" s="87">
        <v>1</v>
      </c>
      <c r="F125" s="69">
        <v>20</v>
      </c>
      <c r="G125" s="69">
        <v>20</v>
      </c>
      <c r="H125" s="69" t="s">
        <v>41</v>
      </c>
      <c r="I125" s="69" t="s">
        <v>330</v>
      </c>
      <c r="J125" s="69" t="s">
        <v>16</v>
      </c>
      <c r="K125" s="69">
        <f>IF(J125="syllables",1,IF(J125="trigrams",2,IF(J125="strings",3,IF(J125="visual array",4,IF(J125="characters",5,IF(J125="letters",6,IF(J125="free forms",7,IF(J125="odors",8,IF(J125="words",9,IF(J125="pictures",10,IF(J125="object pictures",11,IF(J125="faces",12,IF(J125="names",13,IF(J125="idioms",14,IF(J125="grades",15,IF(J125="syllable-digit pairs",16,IF(J125="trigram-word pairs",17,IF(J125="word-digit pairs",18,IF(J125="English-Swahili pairs",19,IF(J125="spatial position",20,IF(J125="word pairs",21,IF(J125="word triads",22,IF(J125="generated words",23,IF(J125="word definition pairs",24,IF(J125="math problems",25,IF(J125="famous faces",26,IF(J125="famous names",27,IF(J125="famous voices",28,IF(J125="television programs",29,IF(J125="race horses",30,IF(J125="new vocabulary",31,IF(J125="sentences",32,IF(J125="concepts",33,IF(J125="ad slides",34,IF(J125="scenes",35,IF(J125="famous scenes",36,IF(J125="poems",37,IF(J125="walk",38,IF(J125="faces and events",39,IF(J125="events and names",40,IF(J125="flashbulb",41,IF(J125="stories",42,IF(J125="course material",43,IF(J125="autobiographical",44,IF(J125="novels",45,IF(J125="public events",46,"99"))))))))))))))))))))))))))))))))))))))))))))))</f>
        <v>9</v>
      </c>
      <c r="L125" s="69">
        <f>IF(J125="syllables",1,IF(J125="trigrams",1,IF(J125="strings",1,IF(J125="visual array",1,IF(J125="characters",1,IF(J125="letters",1,IF(J125="free forms",1,IF(J125="odors",2,IF(J125="words",2,IF(J125="pictures",2,IF(J125="object pictures",2,IF(J125="faces",2,IF(J125="names",2,IF(J125="idioms","2",IF(J125="grades",2,IF(J125="syllable-digit pairs",3,IF(J125="trigram-word pairs",3,IF(J125="word-digit pairs",3,IF(J125="English-Swahili pairs",3,IF(J125="spatial position",3,IF(J125="word pairs",4,IF(J125="word triads",4,IF(J125="generated words",4,IF(J125="word definition pairs",4,IF(J125="math problems",4,IF(J125="famous faces",4,IF(J125="famous names",4,IF(J125="famous voices",4,IF(J125="television programs",4,IF(J125="race horses",4,IF(J125="new vocabulary",4,IF(J125="sentences",5,IF(J125="concepts",5,IF(J125="ad slides",5,IF(J125="scenes",5,IF(J125="famous scenes",5,IF(J125="poems",6,IF(J125="walk",6,IF(J125="faces and events",6,IF(J125="events and names",6,IF(J125="flashbulb",7,IF(J125="stories",7,IF(J125="course material",7,IF(J125="autobiographical",7,IF(J125="novels",7,IF(J125="public events",7,"99"))))))))))))))))))))))))))))))))))))))))))))))</f>
        <v>2</v>
      </c>
      <c r="M125" s="69">
        <v>1</v>
      </c>
      <c r="N125" s="69">
        <v>2</v>
      </c>
      <c r="O125" s="69">
        <v>0</v>
      </c>
      <c r="P125" s="69"/>
      <c r="Q125" s="69" t="s">
        <v>174</v>
      </c>
      <c r="R125" s="69">
        <f>IF(Q125="Free Recall",1,IF(Q125="Cued Recall",2,IF(Q125="Recognition",3,IF(Q125="Multiple Choice",4,IF(Q125="Savings",5,IF(Q125="Stem Completion",6,IF(Q125="Fragment Completion",7,IF(Q125="anagram solution",8,IF(Q125="Matching",9,IF(Q125="Problem Solving",10,"99"))))))))))</f>
        <v>1</v>
      </c>
      <c r="S125" s="69" t="s">
        <v>15</v>
      </c>
      <c r="T125" s="92" t="s">
        <v>581</v>
      </c>
      <c r="U125" s="69">
        <f>IF(T125="within",1,0)</f>
        <v>1</v>
      </c>
      <c r="V125" s="92">
        <v>10</v>
      </c>
      <c r="W125" s="69">
        <f>F125*V125</f>
        <v>200</v>
      </c>
      <c r="X125" s="69">
        <v>3</v>
      </c>
      <c r="Y125" s="87">
        <f>AV124</f>
        <v>1800</v>
      </c>
      <c r="Z125" s="69" t="s">
        <v>150</v>
      </c>
      <c r="AA125" s="69">
        <f>60*60*24*7</f>
        <v>604800</v>
      </c>
      <c r="AB125" s="69" t="str">
        <f>IF(AA125&lt;60,"1",IF(AA125&lt;=43200,"2",IF(AA125&lt;=777600,"3","4")))</f>
        <v>3</v>
      </c>
      <c r="AC125" s="72">
        <f>AVERAGE(AV124:DA124)</f>
        <v>204000</v>
      </c>
      <c r="AD125" s="69" t="str">
        <f>IF(AC125&lt;60,"1",IF(AC125&lt;=43200,"2",IF(AC125&lt;=777600,"3","4")))</f>
        <v>3</v>
      </c>
      <c r="AE125" s="87">
        <f>AA125-Y125</f>
        <v>603000</v>
      </c>
      <c r="AF125" s="88">
        <f>AV125</f>
        <v>0.97328731631144993</v>
      </c>
      <c r="AG125" s="72">
        <f>((AW125-AV125)+(AX125-AW125))/2</f>
        <v>-5.8959435154804951E-2</v>
      </c>
      <c r="AH125" s="4"/>
      <c r="AI125" s="72">
        <f>RSQ(AV125:AX125,AV124:AX124)</f>
        <v>0.98905597088703434</v>
      </c>
      <c r="AJ125" s="110">
        <f>SLOPE(AV125:AX125,AV124:AX124)</f>
        <v>-1.8448341561964356E-7</v>
      </c>
      <c r="AK125" s="72">
        <f>INTERCEPT(AV125:AX125,AV124:AX124)</f>
        <v>0.96690368120249193</v>
      </c>
      <c r="AL125" s="72">
        <f>INDEX(LINEST(LN(AV125:AX125),LN(AV124:AX124),TRUE,TRUE),3,1)</f>
        <v>0.99437660899412406</v>
      </c>
      <c r="AM125" s="72">
        <f>INDEX(LINEST(LN(AV125:AX125),LN(AV124:AX124)),1)</f>
        <v>-2.2817715052872257E-2</v>
      </c>
      <c r="AN125" s="72">
        <f>EXP(INDEX(LINEST(LN(AV125:AX125),LN(AV124:AX124)),1,2))</f>
        <v>1.1602433075741063</v>
      </c>
      <c r="AO125" s="89">
        <f>INDEX(LINEST((AV125:AX125),LN(AV124:AX124),TRUE,TRUE),3,1)</f>
        <v>0.99528855616101097</v>
      </c>
      <c r="AP125" s="89">
        <f>INDEX(LINEST((AV125:AX125),LN(AV124:AX124)),1)</f>
        <v>-2.0784814241122149E-2</v>
      </c>
      <c r="AQ125" s="90">
        <f>INDEX(LINEST(LN(AV125:AX125),SQRT(AV124:AX124),TRUE,TRUE),3,1)</f>
        <v>0.99561449054448981</v>
      </c>
      <c r="AR125" s="117">
        <f>INDEX(LINEST(LN(AV125:AX125),SQRT((AV124:AX124))),1)</f>
        <v>-1.6969447326422975E-4</v>
      </c>
      <c r="AS125" s="91">
        <f>INDEX(LINEST(1/(AV125:AX125),1/(SQRT(AV124:AX124)),TRUE,TRUE),3,1)</f>
        <v>0.87257598641827316</v>
      </c>
      <c r="AT125" s="91">
        <f>INDEX(LINEST(1/(AV125:AX125),1/SQRT(AV124:AX124)),1)</f>
        <v>-6.5081679223220013</v>
      </c>
      <c r="AU125" s="4"/>
      <c r="AV125" s="95">
        <v>0.97328731631144993</v>
      </c>
      <c r="AW125" s="95">
        <v>0.95915143093496391</v>
      </c>
      <c r="AX125" s="95">
        <v>0.85536844600184003</v>
      </c>
      <c r="AY125" s="27"/>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53"/>
      <c r="CD125" s="53"/>
      <c r="CE125" s="53"/>
      <c r="CF125" s="53"/>
      <c r="CG125" s="53"/>
      <c r="CH125" s="53"/>
      <c r="CI125" s="53"/>
      <c r="CJ125" s="53"/>
      <c r="CK125" s="53"/>
      <c r="CL125" s="53"/>
      <c r="CM125" s="53"/>
      <c r="CN125" s="53"/>
      <c r="CO125" s="53"/>
      <c r="CP125" s="53"/>
      <c r="CQ125" s="53"/>
      <c r="CR125" s="1"/>
      <c r="CS125" s="1"/>
      <c r="CT125" s="1"/>
      <c r="CU125" s="1"/>
    </row>
    <row r="126" spans="1:99" s="13" customFormat="1" ht="12" customHeight="1" x14ac:dyDescent="0.2">
      <c r="A126" s="68">
        <v>43976</v>
      </c>
      <c r="B126" s="70"/>
      <c r="C126" s="70"/>
      <c r="D126" s="69"/>
      <c r="E126" s="87"/>
      <c r="F126" s="69"/>
      <c r="G126" s="69"/>
      <c r="H126" s="69"/>
      <c r="I126" s="69"/>
      <c r="J126" s="69"/>
      <c r="K126" s="69"/>
      <c r="L126" s="69"/>
      <c r="M126" s="69"/>
      <c r="N126" s="92"/>
      <c r="O126" s="69"/>
      <c r="P126" s="69"/>
      <c r="Q126" s="69"/>
      <c r="R126" s="69"/>
      <c r="S126" s="69"/>
      <c r="T126" s="92"/>
      <c r="U126" s="69"/>
      <c r="V126" s="92"/>
      <c r="W126" s="69"/>
      <c r="X126" s="69"/>
      <c r="Y126" s="87"/>
      <c r="Z126" s="92"/>
      <c r="AA126" s="69"/>
      <c r="AB126" s="69"/>
      <c r="AC126" s="72"/>
      <c r="AD126" s="69"/>
      <c r="AE126" s="87"/>
      <c r="AF126" s="88"/>
      <c r="AG126" s="72"/>
      <c r="AH126" s="4"/>
      <c r="AI126" s="72"/>
      <c r="AJ126" s="110"/>
      <c r="AK126" s="72"/>
      <c r="AL126" s="72"/>
      <c r="AM126" s="72"/>
      <c r="AN126" s="72"/>
      <c r="AO126" s="89"/>
      <c r="AP126" s="89"/>
      <c r="AQ126" s="90"/>
      <c r="AR126" s="117"/>
      <c r="AS126" s="91"/>
      <c r="AT126" s="91"/>
      <c r="AU126" s="4"/>
      <c r="AV126" s="96">
        <f>60*30</f>
        <v>1800</v>
      </c>
      <c r="AW126" s="96">
        <f>60*90</f>
        <v>5400</v>
      </c>
      <c r="AX126" s="96">
        <f>60*60*24*7</f>
        <v>604800</v>
      </c>
      <c r="AY126" s="27"/>
      <c r="AZ126" s="53"/>
      <c r="BA126" s="53"/>
      <c r="BB126" s="53"/>
      <c r="BC126" s="53"/>
      <c r="BD126" s="53"/>
      <c r="BE126" s="53"/>
      <c r="BF126" s="53"/>
      <c r="BG126" s="53"/>
      <c r="BH126" s="53"/>
      <c r="BI126" s="53"/>
      <c r="BJ126" s="53"/>
      <c r="BK126" s="53"/>
      <c r="BL126" s="53"/>
      <c r="BM126" s="53"/>
      <c r="BN126" s="53"/>
      <c r="BO126" s="53"/>
      <c r="BP126" s="53"/>
      <c r="BQ126" s="53"/>
      <c r="BR126" s="53"/>
      <c r="BS126" s="53"/>
      <c r="BT126" s="53"/>
      <c r="BU126" s="53"/>
      <c r="BV126" s="53"/>
      <c r="BW126" s="53"/>
      <c r="BX126" s="53"/>
      <c r="BY126" s="53"/>
      <c r="BZ126" s="53"/>
      <c r="CA126" s="53"/>
      <c r="CB126" s="53"/>
      <c r="CC126" s="53"/>
      <c r="CD126" s="53"/>
      <c r="CE126" s="53"/>
      <c r="CF126" s="53"/>
      <c r="CG126" s="53"/>
      <c r="CH126" s="53"/>
      <c r="CI126" s="53"/>
      <c r="CJ126" s="53"/>
      <c r="CK126" s="53"/>
      <c r="CL126" s="53"/>
      <c r="CM126" s="53"/>
      <c r="CN126" s="53"/>
      <c r="CO126" s="53"/>
      <c r="CP126" s="53"/>
      <c r="CQ126" s="53"/>
      <c r="CR126" s="1"/>
      <c r="CS126" s="1"/>
      <c r="CT126" s="1"/>
      <c r="CU126" s="1"/>
    </row>
    <row r="127" spans="1:99" s="13" customFormat="1" ht="12" customHeight="1" x14ac:dyDescent="0.2">
      <c r="A127" s="68">
        <v>43976</v>
      </c>
      <c r="B127" s="70" t="s">
        <v>925</v>
      </c>
      <c r="C127" s="70" t="s">
        <v>926</v>
      </c>
      <c r="D127" s="69">
        <v>2001</v>
      </c>
      <c r="E127" s="87">
        <v>1</v>
      </c>
      <c r="F127" s="69">
        <v>20</v>
      </c>
      <c r="G127" s="69">
        <v>20</v>
      </c>
      <c r="H127" s="69" t="s">
        <v>927</v>
      </c>
      <c r="I127" s="69" t="s">
        <v>330</v>
      </c>
      <c r="J127" s="69" t="s">
        <v>16</v>
      </c>
      <c r="K127" s="69">
        <f>IF(J127="syllables",1,IF(J127="trigrams",2,IF(J127="strings",3,IF(J127="visual array",4,IF(J127="characters",5,IF(J127="letters",6,IF(J127="free forms",7,IF(J127="odors",8,IF(J127="words",9,IF(J127="pictures",10,IF(J127="object pictures",11,IF(J127="faces",12,IF(J127="names",13,IF(J127="idioms",14,IF(J127="grades",15,IF(J127="syllable-digit pairs",16,IF(J127="trigram-word pairs",17,IF(J127="word-digit pairs",18,IF(J127="English-Swahili pairs",19,IF(J127="spatial position",20,IF(J127="word pairs",21,IF(J127="word triads",22,IF(J127="generated words",23,IF(J127="word definition pairs",24,IF(J127="math problems",25,IF(J127="famous faces",26,IF(J127="famous names",27,IF(J127="famous voices",28,IF(J127="television programs",29,IF(J127="race horses",30,IF(J127="new vocabulary",31,IF(J127="sentences",32,IF(J127="concepts",33,IF(J127="ad slides",34,IF(J127="scenes",35,IF(J127="famous scenes",36,IF(J127="poems",37,IF(J127="walk",38,IF(J127="faces and events",39,IF(J127="events and names",40,IF(J127="flashbulb",41,IF(J127="stories",42,IF(J127="course material",43,IF(J127="autobiographical",44,IF(J127="novels",45,IF(J127="public events",46,"99"))))))))))))))))))))))))))))))))))))))))))))))</f>
        <v>9</v>
      </c>
      <c r="L127" s="69">
        <f>IF(J127="syllables",1,IF(J127="trigrams",1,IF(J127="strings",1,IF(J127="visual array",1,IF(J127="characters",1,IF(J127="letters",1,IF(J127="free forms",1,IF(J127="odors",2,IF(J127="words",2,IF(J127="pictures",2,IF(J127="object pictures",2,IF(J127="faces",2,IF(J127="names",2,IF(J127="idioms","2",IF(J127="grades",2,IF(J127="syllable-digit pairs",3,IF(J127="trigram-word pairs",3,IF(J127="word-digit pairs",3,IF(J127="English-Swahili pairs",3,IF(J127="spatial position",3,IF(J127="word pairs",4,IF(J127="word triads",4,IF(J127="generated words",4,IF(J127="word definition pairs",4,IF(J127="math problems",4,IF(J127="famous faces",4,IF(J127="famous names",4,IF(J127="famous voices",4,IF(J127="television programs",4,IF(J127="race horses",4,IF(J127="new vocabulary",4,IF(J127="sentences",5,IF(J127="concepts",5,IF(J127="ad slides",5,IF(J127="scenes",5,IF(J127="famous scenes",5,IF(J127="poems",6,IF(J127="walk",6,IF(J127="faces and events",6,IF(J127="events and names",6,IF(J127="flashbulb",7,IF(J127="stories",7,IF(J127="course material",7,IF(J127="autobiographical",7,IF(J127="novels",7,IF(J127="public events",7,"99"))))))))))))))))))))))))))))))))))))))))))))))</f>
        <v>2</v>
      </c>
      <c r="M127" s="69">
        <v>1</v>
      </c>
      <c r="N127" s="69">
        <v>2</v>
      </c>
      <c r="O127" s="69">
        <v>0</v>
      </c>
      <c r="P127" s="69"/>
      <c r="Q127" s="69" t="s">
        <v>182</v>
      </c>
      <c r="R127" s="69">
        <f>IF(Q127="Free Recall",1,IF(Q127="Cued Recall",2,IF(Q127="Recognition",3,IF(Q127="Multiple Choice",4,IF(Q127="Savings",5,IF(Q127="Stem Completion",6,IF(Q127="Fragment Completion",7,IF(Q127="anagram solution",8,IF(Q127="Matching",9,IF(Q127="Problem Solving",10,"99"))))))))))</f>
        <v>4</v>
      </c>
      <c r="S127" s="69" t="s">
        <v>15</v>
      </c>
      <c r="T127" s="92" t="s">
        <v>581</v>
      </c>
      <c r="U127" s="69">
        <f>IF(T127="within",1,0)</f>
        <v>1</v>
      </c>
      <c r="V127" s="92">
        <v>10</v>
      </c>
      <c r="W127" s="69">
        <f>F127*V127</f>
        <v>200</v>
      </c>
      <c r="X127" s="69">
        <v>3</v>
      </c>
      <c r="Y127" s="87">
        <f>AV126</f>
        <v>1800</v>
      </c>
      <c r="Z127" s="69" t="s">
        <v>150</v>
      </c>
      <c r="AA127" s="69">
        <f>60*60*24*7</f>
        <v>604800</v>
      </c>
      <c r="AB127" s="69" t="str">
        <f>IF(AA127&lt;60,"1",IF(AA127&lt;=43200,"2",IF(AA127&lt;=777600,"3","4")))</f>
        <v>3</v>
      </c>
      <c r="AC127" s="72">
        <f>AVERAGE(AV126:DA126)</f>
        <v>204000</v>
      </c>
      <c r="AD127" s="69" t="str">
        <f>IF(AC127&lt;60,"1",IF(AC127&lt;=43200,"2",IF(AC127&lt;=777600,"3","4")))</f>
        <v>3</v>
      </c>
      <c r="AE127" s="87">
        <f>AA127-Y127</f>
        <v>603000</v>
      </c>
      <c r="AF127" s="88">
        <f>AV127</f>
        <v>0.95899999999999996</v>
      </c>
      <c r="AG127" s="72">
        <f>((AW127-AV127)+(AX127-AW127))/2</f>
        <v>-9.7999999999999976E-2</v>
      </c>
      <c r="AH127" s="4"/>
      <c r="AI127" s="72">
        <f>RSQ(AV127:AX127,AV126:AX126)</f>
        <v>0.98745089735245806</v>
      </c>
      <c r="AJ127" s="110">
        <f>SLOPE(AV127:AX127,AV126:AX126)</f>
        <v>-3.0540142684837418E-7</v>
      </c>
      <c r="AK127" s="72">
        <f>INTERCEPT(AV127:AX127,AV126:AX126)</f>
        <v>0.94763522441040171</v>
      </c>
      <c r="AL127" s="72">
        <f>INDEX(LINEST(LN(AV127:AX127),LN(AV126:AX126),TRUE,TRUE),3,1)</f>
        <v>0.99469600356333077</v>
      </c>
      <c r="AM127" s="72">
        <f>INDEX(LINEST(LN(AV127:AX127),LN(AV126:AX126)),1)</f>
        <v>-4.0362451579561136E-2</v>
      </c>
      <c r="AN127" s="72">
        <f>EXP(INDEX(LINEST(LN(AV127:AX127),LN(AV126:AX126)),1,2))</f>
        <v>1.308267228802461</v>
      </c>
      <c r="AO127" s="89">
        <f>INDEX(LINEST((AV127:AX127),LN(AV126:AX126),TRUE,TRUE),3,1)</f>
        <v>0.99625422144313158</v>
      </c>
      <c r="AP127" s="89">
        <f>INDEX(LINEST((AV127:AX127),LN(AV126:AX126)),1)</f>
        <v>-3.4452690332818843E-2</v>
      </c>
      <c r="AQ127" s="90">
        <f>INDEX(LINEST(LN(AV127:AX127),SQRT(AV126:AX126),TRUE,TRUE),3,1)</f>
        <v>0.99532350226092892</v>
      </c>
      <c r="AR127" s="117">
        <f>INDEX(LINEST(LN(AV127:AX127),SQRT((AV126:AX126))),1)</f>
        <v>-3.0008194855464732E-4</v>
      </c>
      <c r="AS127" s="91">
        <f>INDEX(LINEST(1/(AV127:AX127),1/(SQRT(AV126:AX126)),TRUE,TRUE),3,1)</f>
        <v>0.8708437058504227</v>
      </c>
      <c r="AT127" s="91">
        <f>INDEX(LINEST(1/(AV127:AX127),1/SQRT(AV126:AX126)),1)</f>
        <v>-12.310153428749381</v>
      </c>
      <c r="AU127" s="4"/>
      <c r="AV127" s="95">
        <v>0.95899999999999996</v>
      </c>
      <c r="AW127" s="95">
        <v>0.93400000000000005</v>
      </c>
      <c r="AX127" s="95">
        <v>0.76300000000000001</v>
      </c>
      <c r="AY127" s="27"/>
      <c r="AZ127" s="53"/>
      <c r="BA127" s="53"/>
      <c r="BB127" s="53"/>
      <c r="BC127" s="53"/>
      <c r="BD127" s="53"/>
      <c r="BE127" s="53"/>
      <c r="BF127" s="53"/>
      <c r="BG127" s="53"/>
      <c r="BH127" s="53"/>
      <c r="BI127" s="53"/>
      <c r="BJ127" s="53"/>
      <c r="BK127" s="53"/>
      <c r="BL127" s="53"/>
      <c r="BM127" s="53"/>
      <c r="BN127" s="53"/>
      <c r="BO127" s="53"/>
      <c r="BP127" s="53"/>
      <c r="BQ127" s="53"/>
      <c r="BR127" s="53"/>
      <c r="BS127" s="53"/>
      <c r="BT127" s="53"/>
      <c r="BU127" s="53"/>
      <c r="BV127" s="53"/>
      <c r="BW127" s="53"/>
      <c r="BX127" s="53"/>
      <c r="BY127" s="53"/>
      <c r="BZ127" s="53"/>
      <c r="CA127" s="53"/>
      <c r="CB127" s="53"/>
      <c r="CC127" s="53"/>
      <c r="CD127" s="53"/>
      <c r="CE127" s="53"/>
      <c r="CF127" s="53"/>
      <c r="CG127" s="53"/>
      <c r="CH127" s="53"/>
      <c r="CI127" s="53"/>
      <c r="CJ127" s="53"/>
      <c r="CK127" s="53"/>
      <c r="CL127" s="53"/>
      <c r="CM127" s="53"/>
      <c r="CN127" s="53"/>
      <c r="CO127" s="53"/>
      <c r="CP127" s="53"/>
      <c r="CQ127" s="53"/>
      <c r="CR127" s="1"/>
      <c r="CS127" s="1"/>
      <c r="CT127" s="1"/>
      <c r="CU127" s="1"/>
    </row>
    <row r="128" spans="1:99" s="13" customFormat="1" ht="12" customHeight="1" x14ac:dyDescent="0.2">
      <c r="A128" s="68">
        <v>43509</v>
      </c>
      <c r="B128" s="70"/>
      <c r="C128" s="70"/>
      <c r="D128" s="69"/>
      <c r="E128" s="87"/>
      <c r="F128" s="69"/>
      <c r="G128" s="69"/>
      <c r="H128" s="69"/>
      <c r="I128" s="69"/>
      <c r="J128" s="69"/>
      <c r="K128" s="107"/>
      <c r="L128" s="107"/>
      <c r="M128" s="69"/>
      <c r="N128" s="69"/>
      <c r="O128" s="69"/>
      <c r="P128" s="69"/>
      <c r="Q128" s="69"/>
      <c r="R128" s="69"/>
      <c r="S128" s="69"/>
      <c r="T128" s="69"/>
      <c r="U128" s="69"/>
      <c r="V128" s="69"/>
      <c r="W128" s="69"/>
      <c r="X128" s="69"/>
      <c r="Y128" s="87"/>
      <c r="Z128" s="69"/>
      <c r="AA128" s="69"/>
      <c r="AB128" s="69"/>
      <c r="AC128" s="69"/>
      <c r="AD128" s="69"/>
      <c r="AE128" s="69"/>
      <c r="AF128" s="88"/>
      <c r="AG128" s="72"/>
      <c r="AH128" s="4"/>
      <c r="AI128" s="72"/>
      <c r="AJ128" s="110"/>
      <c r="AK128" s="72"/>
      <c r="AL128" s="72"/>
      <c r="AM128" s="72"/>
      <c r="AN128" s="72"/>
      <c r="AO128" s="72"/>
      <c r="AP128" s="72"/>
      <c r="AQ128" s="72"/>
      <c r="AR128" s="110"/>
      <c r="AS128" s="72"/>
      <c r="AT128" s="72"/>
      <c r="AU128" s="4"/>
      <c r="AV128" s="71">
        <f>15*60</f>
        <v>900</v>
      </c>
      <c r="AW128" s="71">
        <f>24*60*60*1</f>
        <v>86400</v>
      </c>
      <c r="AX128" s="71">
        <f>24*60*60*2</f>
        <v>172800</v>
      </c>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53"/>
      <c r="CD128" s="53"/>
      <c r="CE128" s="53"/>
      <c r="CF128" s="53"/>
      <c r="CG128" s="53"/>
      <c r="CH128" s="53"/>
      <c r="CI128" s="53"/>
      <c r="CJ128" s="53"/>
      <c r="CK128" s="53"/>
      <c r="CL128" s="53"/>
      <c r="CM128" s="53"/>
      <c r="CN128" s="53"/>
      <c r="CO128" s="53"/>
      <c r="CP128" s="53"/>
      <c r="CQ128" s="53"/>
      <c r="CR128" s="1"/>
      <c r="CS128" s="1"/>
      <c r="CT128" s="1"/>
      <c r="CU128" s="1"/>
    </row>
    <row r="129" spans="1:99" s="13" customFormat="1" ht="12" customHeight="1" x14ac:dyDescent="0.2">
      <c r="A129" s="68">
        <v>43509</v>
      </c>
      <c r="B129" s="70" t="s">
        <v>104</v>
      </c>
      <c r="C129" s="70" t="s">
        <v>105</v>
      </c>
      <c r="D129" s="69">
        <v>1957</v>
      </c>
      <c r="E129" s="87">
        <v>1</v>
      </c>
      <c r="F129" s="69">
        <v>27</v>
      </c>
      <c r="G129" s="69">
        <v>9</v>
      </c>
      <c r="H129" s="69" t="s">
        <v>22</v>
      </c>
      <c r="I129" s="104">
        <v>0</v>
      </c>
      <c r="J129" s="69" t="s">
        <v>677</v>
      </c>
      <c r="K129" s="69">
        <f>IF(J129="syllables",1,IF(J129="trigrams",2,IF(J129="strings",3,IF(J129="visual array",4,IF(J129="characters",5,IF(J129="letters",6,IF(J129="free forms",7,IF(J129="odors",8,IF(J129="words",9,IF(J129="pictures",10,IF(J129="object pictures",11,IF(J129="faces",12,IF(J129="names",13,IF(J129="idioms",14,IF(J129="grades",15,IF(J129="syllable-digit pairs",16,IF(J129="trigram-word pairs",17,IF(J129="word-digit pairs",18,IF(J129="English-Swahili pairs",19,IF(J129="spatial position",20,IF(J129="word pairs",21,IF(J129="word triads",22,IF(J129="generated words",23,IF(J129="word definition pairs",24,IF(J129="math problems",25,IF(J129="famous faces",26,IF(J129="famous names",27,IF(J129="famous voices",28,IF(J129="television programs",29,IF(J129="race horses",30,IF(J129="new vocabulary",31,IF(J129="sentences",32,IF(J129="concepts",33,IF(J129="ad slides",34,IF(J129="scenes",35,IF(J129="famous scenes",36,IF(J129="poems",37,IF(J129="walk",38,IF(J129="faces and events",39,IF(J129="events and names",40,IF(J129="flashbulb",41,IF(J129="stories",42,IF(J129="course material",43,IF(J129="autobiographical",44,IF(J129="novels",45,IF(J129="public events",46,"99"))))))))))))))))))))))))))))))))))))))))))))))</f>
        <v>42</v>
      </c>
      <c r="L129" s="69">
        <f>IF(J129="syllables",1,IF(J129="trigrams",1,IF(J129="strings",1,IF(J129="visual array",1,IF(J129="characters",1,IF(J129="letters",1,IF(J129="free forms",1,IF(J129="odors",2,IF(J129="words",2,IF(J129="pictures",2,IF(J129="object pictures",2,IF(J129="faces",2,IF(J129="names",2,IF(J129="idioms","2",IF(J129="grades",2,IF(J129="syllable-digit pairs",3,IF(J129="trigram-word pairs",3,IF(J129="word-digit pairs",3,IF(J129="English-Swahili pairs",3,IF(J129="spatial position",3,IF(J129="word pairs",4,IF(J129="word triads",4,IF(J129="generated words",4,IF(J129="word definition pairs",4,IF(J129="math problems",4,IF(J129="famous faces",4,IF(J129="famous names",4,IF(J129="famous voices",4,IF(J129="television programs",4,IF(J129="race horses",4,IF(J129="new vocabulary",4,IF(J129="sentences",5,IF(J129="concepts",5,IF(J129="ad slides",5,IF(J129="scenes",5,IF(J129="famous scenes",5,IF(J129="poems",6,IF(J129="walk",6,IF(J129="faces and events",6,IF(J129="events and names",6,IF(J129="flashbulb",7,IF(J129="stories",7,IF(J129="course material",7,IF(J129="autobiographical",7,IF(J129="novels",7,IF(J129="public events",7,"99"))))))))))))))))))))))))))))))))))))))))))))))</f>
        <v>7</v>
      </c>
      <c r="M129" s="69">
        <v>1</v>
      </c>
      <c r="N129" s="69">
        <v>4</v>
      </c>
      <c r="O129" s="69">
        <v>0</v>
      </c>
      <c r="P129" s="69"/>
      <c r="Q129" s="69" t="s">
        <v>174</v>
      </c>
      <c r="R129" s="69">
        <f>IF(Q129="Free Recall",1,IF(Q129="Cued Recall",2,IF(Q129="Recognition",3,IF(Q129="Multiple Choice",4,IF(Q129="Savings",5,IF(Q129="Stem Completion",6,IF(Q129="Fragment Completion",7,IF(Q129="anagram solution",8,IF(Q129="Matching",9,IF(Q129="Problem Solving",10,"99"))))))))))</f>
        <v>1</v>
      </c>
      <c r="S129" s="69" t="s">
        <v>49</v>
      </c>
      <c r="T129" s="69" t="s">
        <v>261</v>
      </c>
      <c r="U129" s="69">
        <f>IF(T129="within",1,0)</f>
        <v>0</v>
      </c>
      <c r="V129" s="69">
        <v>22</v>
      </c>
      <c r="W129" s="69">
        <f>F129*V129</f>
        <v>594</v>
      </c>
      <c r="X129" s="69">
        <v>3</v>
      </c>
      <c r="Y129" s="87">
        <f>AV128</f>
        <v>900</v>
      </c>
      <c r="Z129" s="69" t="s">
        <v>88</v>
      </c>
      <c r="AA129" s="69">
        <v>172800</v>
      </c>
      <c r="AB129" s="69" t="str">
        <f>IF(AA129&lt;60,"1",IF(AA129&lt;=43200,"2",IF(AA129&lt;=777600,"3","4")))</f>
        <v>3</v>
      </c>
      <c r="AC129" s="72">
        <f>AVERAGE(AV128:DA128)</f>
        <v>86700</v>
      </c>
      <c r="AD129" s="69" t="str">
        <f>IF(AC129&lt;60,"1",IF(AC129&lt;=43200,"2",IF(AC129&lt;=777600,"3","4")))</f>
        <v>3</v>
      </c>
      <c r="AE129" s="87">
        <f>AA129-Y129</f>
        <v>171900</v>
      </c>
      <c r="AF129" s="88">
        <f>AV129</f>
        <v>0.68200000000000005</v>
      </c>
      <c r="AG129" s="72">
        <f>((AW129-AV129)+(AX129-AW129))/2</f>
        <v>-4.550000000000004E-2</v>
      </c>
      <c r="AH129" s="4"/>
      <c r="AI129" s="72">
        <f>RSQ(AV129:AX129,AV128:AX128)</f>
        <v>0.51183780265262713</v>
      </c>
      <c r="AJ129" s="110">
        <f>SLOPE(AV129:AX129,AV128:AX128)</f>
        <v>-5.2781940231229419E-7</v>
      </c>
      <c r="AK129" s="72">
        <f>INTERCEPT(AV129:AX129,AV128:AX128)</f>
        <v>0.6567619421804759</v>
      </c>
      <c r="AL129" s="72">
        <f>INDEX(LINEST(LN(AV129:AX129),LN(AV128:AX128),TRUE,TRUE),3,1)</f>
        <v>0.85596328558138979</v>
      </c>
      <c r="AM129" s="72">
        <f>INDEX(LINEST(LN(AV129:AX129),LN(AV128:AX128)),1)</f>
        <v>-3.2993561655819785E-2</v>
      </c>
      <c r="AN129" s="72">
        <f>EXP(INDEX(LINEST(LN(AV129:AX129),LN(AV128:AX128)),1,2))</f>
        <v>0.8489909990412986</v>
      </c>
      <c r="AO129" s="89">
        <f>INDEX(LINEST((AV129:AX129),LN(AV128:AX128),TRUE,TRUE),3,1)</f>
        <v>0.87019791971310934</v>
      </c>
      <c r="AP129" s="89">
        <f>INDEX(LINEST((AV129:AX129),LN(AV128:AX128)),1)</f>
        <v>-2.0708718332385152E-2</v>
      </c>
      <c r="AQ129" s="90">
        <f>INDEX(LINEST(LN(AV129:AX129),SQRT(AV128:AX128),TRUE,TRUE),3,1)</f>
        <v>0.69826026748342485</v>
      </c>
      <c r="AR129" s="117">
        <f>INDEX(LINEST(LN(AV129:AX129),SQRT((AV128:AX128))),1)</f>
        <v>-4.3171945439728169E-4</v>
      </c>
      <c r="AS129" s="91">
        <f>INDEX(LINEST(1/(AV129:AX129),1/(SQRT(AV128:AX128)),TRUE,TRUE),3,1)</f>
        <v>0.90249245293282299</v>
      </c>
      <c r="AT129" s="91">
        <f>INDEX(LINEST(1/(AV129:AX129),1/SQRT(AV128:AX128)),1)</f>
        <v>-8.8758499921568372</v>
      </c>
      <c r="AU129" s="3"/>
      <c r="AV129" s="73">
        <v>0.68200000000000005</v>
      </c>
      <c r="AW129" s="73">
        <v>0.56000000000000005</v>
      </c>
      <c r="AX129" s="73">
        <v>0.59099999999999997</v>
      </c>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53"/>
      <c r="CI129" s="53"/>
      <c r="CJ129" s="53"/>
      <c r="CK129" s="53"/>
      <c r="CL129" s="53"/>
      <c r="CM129" s="53"/>
      <c r="CN129" s="53"/>
      <c r="CO129" s="53"/>
      <c r="CP129" s="53"/>
      <c r="CQ129" s="53"/>
      <c r="CR129" s="1"/>
      <c r="CS129" s="1"/>
      <c r="CT129" s="1"/>
      <c r="CU129" s="1"/>
    </row>
    <row r="130" spans="1:99" s="13" customFormat="1" ht="12" customHeight="1" x14ac:dyDescent="0.2">
      <c r="A130" s="68">
        <v>43509</v>
      </c>
      <c r="B130" s="70"/>
      <c r="C130" s="70"/>
      <c r="D130" s="69"/>
      <c r="E130" s="87"/>
      <c r="F130" s="69"/>
      <c r="G130" s="69"/>
      <c r="H130" s="69"/>
      <c r="I130" s="69"/>
      <c r="J130" s="69"/>
      <c r="K130" s="107"/>
      <c r="L130" s="107"/>
      <c r="M130" s="69"/>
      <c r="N130" s="69"/>
      <c r="O130" s="69"/>
      <c r="P130" s="69"/>
      <c r="Q130" s="69"/>
      <c r="R130" s="69"/>
      <c r="S130" s="69"/>
      <c r="T130" s="69"/>
      <c r="U130" s="69"/>
      <c r="V130" s="69"/>
      <c r="W130" s="69"/>
      <c r="X130" s="69"/>
      <c r="Y130" s="87"/>
      <c r="Z130" s="69"/>
      <c r="AA130" s="69"/>
      <c r="AB130" s="69"/>
      <c r="AC130" s="69"/>
      <c r="AD130" s="69"/>
      <c r="AE130" s="69"/>
      <c r="AF130" s="88"/>
      <c r="AG130" s="72"/>
      <c r="AH130" s="4"/>
      <c r="AI130" s="72"/>
      <c r="AJ130" s="110"/>
      <c r="AK130" s="72"/>
      <c r="AL130" s="72"/>
      <c r="AM130" s="72"/>
      <c r="AN130" s="72"/>
      <c r="AO130" s="72"/>
      <c r="AP130" s="72"/>
      <c r="AQ130" s="72"/>
      <c r="AR130" s="110"/>
      <c r="AS130" s="72"/>
      <c r="AT130" s="72"/>
      <c r="AU130" s="5"/>
      <c r="AV130" s="71">
        <f>15*60</f>
        <v>900</v>
      </c>
      <c r="AW130" s="71">
        <f>24*60*60*1</f>
        <v>86400</v>
      </c>
      <c r="AX130" s="71">
        <f>24*60*60*2</f>
        <v>172800</v>
      </c>
      <c r="AY130" s="53"/>
      <c r="AZ130" s="53"/>
      <c r="BA130" s="53"/>
      <c r="BB130" s="53"/>
      <c r="BC130" s="53"/>
      <c r="BD130" s="53"/>
      <c r="BE130" s="53"/>
      <c r="BF130" s="53"/>
      <c r="BG130" s="53"/>
      <c r="BH130" s="53"/>
      <c r="BI130" s="53"/>
      <c r="BJ130" s="53"/>
      <c r="BK130" s="53"/>
      <c r="BL130" s="53"/>
      <c r="BM130" s="53"/>
      <c r="BN130" s="53"/>
      <c r="BO130" s="53"/>
      <c r="BP130" s="53"/>
      <c r="BQ130" s="53"/>
      <c r="BR130" s="53"/>
      <c r="BS130" s="53"/>
      <c r="BT130" s="53"/>
      <c r="BU130" s="53"/>
      <c r="BV130" s="53"/>
      <c r="BW130" s="53"/>
      <c r="BX130" s="53"/>
      <c r="BY130" s="53"/>
      <c r="BZ130" s="53"/>
      <c r="CA130" s="53"/>
      <c r="CB130" s="53"/>
      <c r="CC130" s="53"/>
      <c r="CD130" s="53"/>
      <c r="CE130" s="53"/>
      <c r="CF130" s="53"/>
      <c r="CG130" s="53"/>
      <c r="CH130" s="53"/>
      <c r="CI130" s="53"/>
      <c r="CJ130" s="53"/>
      <c r="CK130" s="53"/>
      <c r="CL130" s="53"/>
      <c r="CM130" s="53"/>
      <c r="CN130" s="53"/>
      <c r="CO130" s="53"/>
      <c r="CP130" s="53"/>
      <c r="CQ130" s="53"/>
      <c r="CR130" s="1"/>
      <c r="CS130" s="1"/>
      <c r="CT130" s="1"/>
      <c r="CU130" s="1"/>
    </row>
    <row r="131" spans="1:99" s="13" customFormat="1" ht="12" customHeight="1" x14ac:dyDescent="0.2">
      <c r="A131" s="68">
        <v>43509</v>
      </c>
      <c r="B131" s="70" t="s">
        <v>104</v>
      </c>
      <c r="C131" s="70" t="s">
        <v>105</v>
      </c>
      <c r="D131" s="69">
        <v>1957</v>
      </c>
      <c r="E131" s="87">
        <v>1</v>
      </c>
      <c r="F131" s="69">
        <v>27</v>
      </c>
      <c r="G131" s="69">
        <v>9</v>
      </c>
      <c r="H131" s="69" t="s">
        <v>22</v>
      </c>
      <c r="I131" s="104">
        <v>1</v>
      </c>
      <c r="J131" s="69" t="s">
        <v>677</v>
      </c>
      <c r="K131" s="69">
        <f>IF(J131="syllables",1,IF(J131="trigrams",2,IF(J131="strings",3,IF(J131="visual array",4,IF(J131="characters",5,IF(J131="letters",6,IF(J131="free forms",7,IF(J131="odors",8,IF(J131="words",9,IF(J131="pictures",10,IF(J131="object pictures",11,IF(J131="faces",12,IF(J131="names",13,IF(J131="idioms",14,IF(J131="grades",15,IF(J131="syllable-digit pairs",16,IF(J131="trigram-word pairs",17,IF(J131="word-digit pairs",18,IF(J131="English-Swahili pairs",19,IF(J131="spatial position",20,IF(J131="word pairs",21,IF(J131="word triads",22,IF(J131="generated words",23,IF(J131="word definition pairs",24,IF(J131="math problems",25,IF(J131="famous faces",26,IF(J131="famous names",27,IF(J131="famous voices",28,IF(J131="television programs",29,IF(J131="race horses",30,IF(J131="new vocabulary",31,IF(J131="sentences",32,IF(J131="concepts",33,IF(J131="ad slides",34,IF(J131="scenes",35,IF(J131="famous scenes",36,IF(J131="poems",37,IF(J131="walk",38,IF(J131="faces and events",39,IF(J131="events and names",40,IF(J131="flashbulb",41,IF(J131="stories",42,IF(J131="course material",43,IF(J131="autobiographical",44,IF(J131="novels",45,IF(J131="public events",46,"99"))))))))))))))))))))))))))))))))))))))))))))))</f>
        <v>42</v>
      </c>
      <c r="L131" s="69">
        <f>IF(J131="syllables",1,IF(J131="trigrams",1,IF(J131="strings",1,IF(J131="visual array",1,IF(J131="characters",1,IF(J131="letters",1,IF(J131="free forms",1,IF(J131="odors",2,IF(J131="words",2,IF(J131="pictures",2,IF(J131="object pictures",2,IF(J131="faces",2,IF(J131="names",2,IF(J131="idioms","2",IF(J131="grades",2,IF(J131="syllable-digit pairs",3,IF(J131="trigram-word pairs",3,IF(J131="word-digit pairs",3,IF(J131="English-Swahili pairs",3,IF(J131="spatial position",3,IF(J131="word pairs",4,IF(J131="word triads",4,IF(J131="generated words",4,IF(J131="word definition pairs",4,IF(J131="math problems",4,IF(J131="famous faces",4,IF(J131="famous names",4,IF(J131="famous voices",4,IF(J131="television programs",4,IF(J131="race horses",4,IF(J131="new vocabulary",4,IF(J131="sentences",5,IF(J131="concepts",5,IF(J131="ad slides",5,IF(J131="scenes",5,IF(J131="famous scenes",5,IF(J131="poems",6,IF(J131="walk",6,IF(J131="faces and events",6,IF(J131="events and names",6,IF(J131="flashbulb",7,IF(J131="stories",7,IF(J131="course material",7,IF(J131="autobiographical",7,IF(J131="novels",7,IF(J131="public events",7,"99"))))))))))))))))))))))))))))))))))))))))))))))</f>
        <v>7</v>
      </c>
      <c r="M131" s="69">
        <v>1</v>
      </c>
      <c r="N131" s="69">
        <v>4</v>
      </c>
      <c r="O131" s="69">
        <v>0</v>
      </c>
      <c r="P131" s="69"/>
      <c r="Q131" s="69" t="s">
        <v>174</v>
      </c>
      <c r="R131" s="69">
        <f>IF(Q131="Free Recall",1,IF(Q131="Cued Recall",2,IF(Q131="Recognition",3,IF(Q131="Multiple Choice",4,IF(Q131="Savings",5,IF(Q131="Stem Completion",6,IF(Q131="Fragment Completion",7,IF(Q131="anagram solution",8,IF(Q131="Matching",9,IF(Q131="Problem Solving",10,"99"))))))))))</f>
        <v>1</v>
      </c>
      <c r="S131" s="69" t="s">
        <v>49</v>
      </c>
      <c r="T131" s="69" t="s">
        <v>261</v>
      </c>
      <c r="U131" s="69">
        <f>IF(T131="within",1,0)</f>
        <v>0</v>
      </c>
      <c r="V131" s="69">
        <v>22</v>
      </c>
      <c r="W131" s="69">
        <f>F131*V131</f>
        <v>594</v>
      </c>
      <c r="X131" s="69">
        <v>3</v>
      </c>
      <c r="Y131" s="87">
        <f>AV130</f>
        <v>900</v>
      </c>
      <c r="Z131" s="69" t="s">
        <v>88</v>
      </c>
      <c r="AA131" s="69">
        <v>172800</v>
      </c>
      <c r="AB131" s="69" t="str">
        <f>IF(AA131&lt;60,"1",IF(AA131&lt;=43200,"2",IF(AA131&lt;=777600,"3","4")))</f>
        <v>3</v>
      </c>
      <c r="AC131" s="72">
        <f>AVERAGE(AV130:DA130)</f>
        <v>86700</v>
      </c>
      <c r="AD131" s="69" t="str">
        <f>IF(AC131&lt;60,"1",IF(AC131&lt;=43200,"2",IF(AC131&lt;=777600,"3","4")))</f>
        <v>3</v>
      </c>
      <c r="AE131" s="87">
        <f>AA131-Y131</f>
        <v>171900</v>
      </c>
      <c r="AF131" s="88">
        <f>AV131</f>
        <v>0.879</v>
      </c>
      <c r="AG131" s="72">
        <f>((AW131-AV131)+(AX131-AW131))/2</f>
        <v>-0.11399999999999999</v>
      </c>
      <c r="AH131" s="4"/>
      <c r="AI131" s="72">
        <f>RSQ(AV131:AX131,AV130:AX130)</f>
        <v>0.74737765432549974</v>
      </c>
      <c r="AJ131" s="110">
        <f>SLOPE(AV131:AX131,AV130:AX130)</f>
        <v>-1.3240256813225635E-6</v>
      </c>
      <c r="AK131" s="72">
        <f>INTERCEPT(AV131:AX131,AV130:AX130)</f>
        <v>0.84179302657066624</v>
      </c>
      <c r="AL131" s="72">
        <f>INDEX(LINEST(LN(AV131:AX131),LN(AV130:AX130),TRUE,TRUE),3,1)</f>
        <v>0.9852787306405133</v>
      </c>
      <c r="AM131" s="72">
        <f>INDEX(LINEST(LN(AV131:AX131),LN(AV130:AX130)),1)</f>
        <v>-6.0244254685207492E-2</v>
      </c>
      <c r="AN131" s="72">
        <f>EXP(INDEX(LINEST(LN(AV131:AX131),LN(AV130:AX130)),1,2))</f>
        <v>1.3203381341319294</v>
      </c>
      <c r="AO131" s="89">
        <f>INDEX(LINEST((AV131:AX131),LN(AV130:AX130),TRUE,TRUE),3,1)</f>
        <v>0.9852787306405133</v>
      </c>
      <c r="AP131" s="89">
        <f>INDEX(LINEST((AV131:AX131),LN(AV130:AX130)),1)</f>
        <v>-4.5743662914966218E-2</v>
      </c>
      <c r="AQ131" s="90">
        <f>INDEX(LINEST(LN(AV131:AX131),SQRT(AV130:AX130),TRUE,TRUE),3,1)</f>
        <v>0.90466785733177502</v>
      </c>
      <c r="AR131" s="117">
        <f>INDEX(LINEST(LN(AV131:AX131),SQRT((AV130:AX130))),1)</f>
        <v>-8.3631904103828255E-4</v>
      </c>
      <c r="AS131" s="91">
        <f>INDEX(LINEST(1/(AV131:AX131),1/(SQRT(AV130:AX130)),TRUE,TRUE),3,1)</f>
        <v>0.99919642244159812</v>
      </c>
      <c r="AT131" s="91">
        <f>INDEX(LINEST(1/(AV131:AX131),1/SQRT(AV130:AX130)),1)</f>
        <v>-13.083418731572904</v>
      </c>
      <c r="AU131" s="3"/>
      <c r="AV131" s="73">
        <v>0.879</v>
      </c>
      <c r="AW131" s="73">
        <v>0.65100000000000002</v>
      </c>
      <c r="AX131" s="73">
        <v>0.65100000000000002</v>
      </c>
      <c r="AY131" s="53"/>
      <c r="AZ131" s="53"/>
      <c r="BA131" s="53"/>
      <c r="BB131" s="53"/>
      <c r="BC131" s="53"/>
      <c r="BD131" s="53"/>
      <c r="BE131" s="53"/>
      <c r="BF131" s="53"/>
      <c r="BG131" s="53"/>
      <c r="BH131" s="53"/>
      <c r="BI131" s="53"/>
      <c r="BJ131" s="53"/>
      <c r="BK131" s="53"/>
      <c r="BL131" s="53"/>
      <c r="BM131" s="53"/>
      <c r="BN131" s="53"/>
      <c r="BO131" s="53"/>
      <c r="BP131" s="53"/>
      <c r="BQ131" s="53"/>
      <c r="BR131" s="53"/>
      <c r="BS131" s="53"/>
      <c r="BT131" s="53"/>
      <c r="BU131" s="53"/>
      <c r="BV131" s="53"/>
      <c r="BW131" s="53"/>
      <c r="BX131" s="53"/>
      <c r="BY131" s="53"/>
      <c r="BZ131" s="53"/>
      <c r="CA131" s="53"/>
      <c r="CB131" s="53"/>
      <c r="CC131" s="53"/>
      <c r="CD131" s="53"/>
      <c r="CE131" s="53"/>
      <c r="CF131" s="53"/>
      <c r="CG131" s="53"/>
      <c r="CH131" s="53"/>
      <c r="CI131" s="53"/>
      <c r="CJ131" s="53"/>
      <c r="CK131" s="53"/>
      <c r="CL131" s="53"/>
      <c r="CM131" s="53"/>
      <c r="CN131" s="53"/>
      <c r="CO131" s="53"/>
      <c r="CP131" s="53"/>
      <c r="CQ131" s="53"/>
      <c r="CR131" s="1"/>
      <c r="CS131" s="1"/>
      <c r="CT131" s="1"/>
      <c r="CU131" s="1"/>
    </row>
    <row r="132" spans="1:99" s="13" customFormat="1" ht="12" customHeight="1" x14ac:dyDescent="0.2">
      <c r="A132" s="68">
        <v>43509</v>
      </c>
      <c r="B132" s="70"/>
      <c r="C132" s="70"/>
      <c r="D132" s="69"/>
      <c r="E132" s="87"/>
      <c r="F132" s="69"/>
      <c r="G132" s="69"/>
      <c r="H132" s="69"/>
      <c r="I132" s="69"/>
      <c r="J132" s="69"/>
      <c r="K132" s="107"/>
      <c r="L132" s="107"/>
      <c r="M132" s="69"/>
      <c r="N132" s="69"/>
      <c r="O132" s="69"/>
      <c r="P132" s="69"/>
      <c r="Q132" s="69"/>
      <c r="R132" s="69"/>
      <c r="S132" s="69"/>
      <c r="T132" s="69"/>
      <c r="U132" s="69"/>
      <c r="V132" s="69"/>
      <c r="W132" s="69"/>
      <c r="X132" s="69"/>
      <c r="Y132" s="87"/>
      <c r="Z132" s="69"/>
      <c r="AA132" s="69"/>
      <c r="AB132" s="69"/>
      <c r="AC132" s="69"/>
      <c r="AD132" s="69"/>
      <c r="AE132" s="69"/>
      <c r="AF132" s="88"/>
      <c r="AG132" s="72"/>
      <c r="AH132" s="4"/>
      <c r="AI132" s="72"/>
      <c r="AJ132" s="110"/>
      <c r="AK132" s="72"/>
      <c r="AL132" s="72"/>
      <c r="AM132" s="72"/>
      <c r="AN132" s="72"/>
      <c r="AO132" s="72"/>
      <c r="AP132" s="72"/>
      <c r="AQ132" s="72"/>
      <c r="AR132" s="110"/>
      <c r="AS132" s="72"/>
      <c r="AT132" s="72"/>
      <c r="AU132" s="5"/>
      <c r="AV132" s="71">
        <f>15*60</f>
        <v>900</v>
      </c>
      <c r="AW132" s="71">
        <f>24*60*60*1</f>
        <v>86400</v>
      </c>
      <c r="AX132" s="71">
        <f>24*60*60*2</f>
        <v>172800</v>
      </c>
      <c r="AY132" s="53"/>
      <c r="AZ132" s="53"/>
      <c r="BA132" s="53"/>
      <c r="BB132" s="53"/>
      <c r="BC132" s="53"/>
      <c r="BD132" s="53"/>
      <c r="BE132" s="53"/>
      <c r="BF132" s="53"/>
      <c r="BG132" s="53"/>
      <c r="BH132" s="53"/>
      <c r="BI132" s="53"/>
      <c r="BJ132" s="53"/>
      <c r="BK132" s="53"/>
      <c r="BL132" s="53"/>
      <c r="BM132" s="53"/>
      <c r="BN132" s="53"/>
      <c r="BO132" s="53"/>
      <c r="BP132" s="53"/>
      <c r="BQ132" s="53"/>
      <c r="BR132" s="53"/>
      <c r="BS132" s="53"/>
      <c r="BT132" s="53"/>
      <c r="BU132" s="53"/>
      <c r="BV132" s="53"/>
      <c r="BW132" s="53"/>
      <c r="BX132" s="53"/>
      <c r="BY132" s="53"/>
      <c r="BZ132" s="53"/>
      <c r="CA132" s="53"/>
      <c r="CB132" s="53"/>
      <c r="CC132" s="53"/>
      <c r="CD132" s="53"/>
      <c r="CE132" s="53"/>
      <c r="CF132" s="53"/>
      <c r="CG132" s="53"/>
      <c r="CH132" s="53"/>
      <c r="CI132" s="53"/>
      <c r="CJ132" s="53"/>
      <c r="CK132" s="53"/>
      <c r="CL132" s="53"/>
      <c r="CM132" s="53"/>
      <c r="CN132" s="53"/>
      <c r="CO132" s="53"/>
      <c r="CP132" s="53"/>
      <c r="CQ132" s="53"/>
      <c r="CR132" s="1"/>
      <c r="CS132" s="1"/>
      <c r="CT132" s="1"/>
      <c r="CU132" s="1"/>
    </row>
    <row r="133" spans="1:99" s="13" customFormat="1" ht="12" customHeight="1" x14ac:dyDescent="0.2">
      <c r="A133" s="68">
        <v>43509</v>
      </c>
      <c r="B133" s="70" t="s">
        <v>104</v>
      </c>
      <c r="C133" s="70" t="s">
        <v>105</v>
      </c>
      <c r="D133" s="69">
        <v>1957</v>
      </c>
      <c r="E133" s="87">
        <v>1</v>
      </c>
      <c r="F133" s="69">
        <v>27</v>
      </c>
      <c r="G133" s="69">
        <v>9</v>
      </c>
      <c r="H133" s="69" t="s">
        <v>22</v>
      </c>
      <c r="I133" s="104">
        <v>2</v>
      </c>
      <c r="J133" s="69" t="s">
        <v>677</v>
      </c>
      <c r="K133" s="69">
        <f>IF(J133="syllables",1,IF(J133="trigrams",2,IF(J133="strings",3,IF(J133="visual array",4,IF(J133="characters",5,IF(J133="letters",6,IF(J133="free forms",7,IF(J133="odors",8,IF(J133="words",9,IF(J133="pictures",10,IF(J133="object pictures",11,IF(J133="faces",12,IF(J133="names",13,IF(J133="idioms",14,IF(J133="grades",15,IF(J133="syllable-digit pairs",16,IF(J133="trigram-word pairs",17,IF(J133="word-digit pairs",18,IF(J133="English-Swahili pairs",19,IF(J133="spatial position",20,IF(J133="word pairs",21,IF(J133="word triads",22,IF(J133="generated words",23,IF(J133="word definition pairs",24,IF(J133="math problems",25,IF(J133="famous faces",26,IF(J133="famous names",27,IF(J133="famous voices",28,IF(J133="television programs",29,IF(J133="race horses",30,IF(J133="new vocabulary",31,IF(J133="sentences",32,IF(J133="concepts",33,IF(J133="ad slides",34,IF(J133="scenes",35,IF(J133="famous scenes",36,IF(J133="poems",37,IF(J133="walk",38,IF(J133="faces and events",39,IF(J133="events and names",40,IF(J133="flashbulb",41,IF(J133="stories",42,IF(J133="course material",43,IF(J133="autobiographical",44,IF(J133="novels",45,IF(J133="public events",46,"99"))))))))))))))))))))))))))))))))))))))))))))))</f>
        <v>42</v>
      </c>
      <c r="L133" s="69">
        <f>IF(J133="syllables",1,IF(J133="trigrams",1,IF(J133="strings",1,IF(J133="visual array",1,IF(J133="characters",1,IF(J133="letters",1,IF(J133="free forms",1,IF(J133="odors",2,IF(J133="words",2,IF(J133="pictures",2,IF(J133="object pictures",2,IF(J133="faces",2,IF(J133="names",2,IF(J133="idioms","2",IF(J133="grades",2,IF(J133="syllable-digit pairs",3,IF(J133="trigram-word pairs",3,IF(J133="word-digit pairs",3,IF(J133="English-Swahili pairs",3,IF(J133="spatial position",3,IF(J133="word pairs",4,IF(J133="word triads",4,IF(J133="generated words",4,IF(J133="word definition pairs",4,IF(J133="math problems",4,IF(J133="famous faces",4,IF(J133="famous names",4,IF(J133="famous voices",4,IF(J133="television programs",4,IF(J133="race horses",4,IF(J133="new vocabulary",4,IF(J133="sentences",5,IF(J133="concepts",5,IF(J133="ad slides",5,IF(J133="scenes",5,IF(J133="famous scenes",5,IF(J133="poems",6,IF(J133="walk",6,IF(J133="faces and events",6,IF(J133="events and names",6,IF(J133="flashbulb",7,IF(J133="stories",7,IF(J133="course material",7,IF(J133="autobiographical",7,IF(J133="novels",7,IF(J133="public events",7,"99"))))))))))))))))))))))))))))))))))))))))))))))</f>
        <v>7</v>
      </c>
      <c r="M133" s="69">
        <v>1</v>
      </c>
      <c r="N133" s="69">
        <v>4</v>
      </c>
      <c r="O133" s="69">
        <v>0</v>
      </c>
      <c r="P133" s="69"/>
      <c r="Q133" s="69" t="s">
        <v>174</v>
      </c>
      <c r="R133" s="69">
        <f>IF(Q133="Free Recall",1,IF(Q133="Cued Recall",2,IF(Q133="Recognition",3,IF(Q133="Multiple Choice",4,IF(Q133="Savings",5,IF(Q133="Stem Completion",6,IF(Q133="Fragment Completion",7,IF(Q133="anagram solution",8,IF(Q133="Matching",9,IF(Q133="Problem Solving",10,"99"))))))))))</f>
        <v>1</v>
      </c>
      <c r="S133" s="69" t="s">
        <v>49</v>
      </c>
      <c r="T133" s="69" t="s">
        <v>261</v>
      </c>
      <c r="U133" s="69">
        <f>IF(T133="within",1,0)</f>
        <v>0</v>
      </c>
      <c r="V133" s="69">
        <v>22</v>
      </c>
      <c r="W133" s="69">
        <f>F133*V133</f>
        <v>594</v>
      </c>
      <c r="X133" s="69">
        <v>3</v>
      </c>
      <c r="Y133" s="87">
        <f>AV132</f>
        <v>900</v>
      </c>
      <c r="Z133" s="69" t="s">
        <v>88</v>
      </c>
      <c r="AA133" s="69">
        <v>172800</v>
      </c>
      <c r="AB133" s="69" t="str">
        <f>IF(AA133&lt;60,"1",IF(AA133&lt;=43200,"2",IF(AA133&lt;=777600,"3","4")))</f>
        <v>3</v>
      </c>
      <c r="AC133" s="72">
        <f>AVERAGE(AV132:DA132)</f>
        <v>86700</v>
      </c>
      <c r="AD133" s="69" t="str">
        <f>IF(AC133&lt;60,"1",IF(AC133&lt;=43200,"2",IF(AC133&lt;=777600,"3","4")))</f>
        <v>3</v>
      </c>
      <c r="AE133" s="87">
        <f>AA133-Y133</f>
        <v>171900</v>
      </c>
      <c r="AF133" s="88">
        <f>AV133</f>
        <v>1</v>
      </c>
      <c r="AG133" s="72">
        <f>((AW133-AV133)+(AX133-AW133))/2</f>
        <v>-0.11199999999999999</v>
      </c>
      <c r="AH133" s="4"/>
      <c r="AI133" s="72">
        <f>RSQ(AV133:AX133,AV132:AX132)</f>
        <v>0.88285543670504107</v>
      </c>
      <c r="AJ133" s="110">
        <f>SLOPE(AV133:AX133,AV132:AX132)</f>
        <v>-1.301649955938907E-6</v>
      </c>
      <c r="AK133" s="72">
        <f>INTERCEPT(AV133:AX133,AV132:AX132)</f>
        <v>0.97751971784656999</v>
      </c>
      <c r="AL133" s="72">
        <f>INDEX(LINEST(LN(AV133:AX133),LN(AV132:AX132),TRUE,TRUE),3,1)</f>
        <v>0.99414325523189206</v>
      </c>
      <c r="AM133" s="72">
        <f>INDEX(LINEST(LN(AV133:AX133),LN(AV132:AX132)),1)</f>
        <v>-4.6712226118396982E-2</v>
      </c>
      <c r="AN133" s="72">
        <f>EXP(INDEX(LINEST(LN(AV133:AX133),LN(AV132:AX132)),1,2))</f>
        <v>1.3760125054745063</v>
      </c>
      <c r="AO133" s="89">
        <f>INDEX(LINEST((AV133:AX133),LN(AV132:AX132),TRUE,TRUE),3,1)</f>
        <v>0.99690456444685516</v>
      </c>
      <c r="AP133" s="89">
        <f>INDEX(LINEST((AV133:AX133),LN(AV132:AX132)),1)</f>
        <v>-4.1619919098982196E-2</v>
      </c>
      <c r="AQ133" s="90">
        <f>INDEX(LINEST(LN(AV133:AX133),SQRT(AV132:AX132),TRUE,TRUE),3,1)</f>
        <v>0.98668394664985593</v>
      </c>
      <c r="AR133" s="117">
        <f>INDEX(LINEST(LN(AV133:AX133),SQRT((AV132:AX132))),1)</f>
        <v>-6.7419640614464424E-4</v>
      </c>
      <c r="AS133" s="91">
        <f>INDEX(LINEST(1/(AV133:AX133),1/(SQRT(AV132:AX132)),TRUE,TRUE),3,1)</f>
        <v>0.96350975730198085</v>
      </c>
      <c r="AT133" s="91">
        <f>INDEX(LINEST(1/(AV133:AX133),1/SQRT(AV132:AX132)),1)</f>
        <v>-8.4455965283668419</v>
      </c>
      <c r="AU133" s="3"/>
      <c r="AV133" s="73">
        <v>1</v>
      </c>
      <c r="AW133" s="73">
        <v>0.81799999999999995</v>
      </c>
      <c r="AX133" s="73">
        <v>0.77600000000000002</v>
      </c>
      <c r="AY133" s="53"/>
      <c r="AZ133" s="53"/>
      <c r="BA133" s="53"/>
      <c r="BB133" s="53"/>
      <c r="BC133" s="53"/>
      <c r="BD133" s="53"/>
      <c r="BE133" s="53"/>
      <c r="BF133" s="53"/>
      <c r="BG133" s="53"/>
      <c r="BH133" s="53"/>
      <c r="BI133" s="53"/>
      <c r="BJ133" s="53"/>
      <c r="BK133" s="53"/>
      <c r="BL133" s="53"/>
      <c r="BM133" s="53"/>
      <c r="BN133" s="53"/>
      <c r="BO133" s="53"/>
      <c r="BP133" s="53"/>
      <c r="BQ133" s="53"/>
      <c r="BR133" s="53"/>
      <c r="BS133" s="53"/>
      <c r="BT133" s="53"/>
      <c r="BU133" s="53"/>
      <c r="BV133" s="53"/>
      <c r="BW133" s="53"/>
      <c r="BX133" s="53"/>
      <c r="BY133" s="53"/>
      <c r="BZ133" s="53"/>
      <c r="CA133" s="53"/>
      <c r="CB133" s="53"/>
      <c r="CC133" s="53"/>
      <c r="CD133" s="53"/>
      <c r="CE133" s="53"/>
      <c r="CF133" s="53"/>
      <c r="CG133" s="53"/>
      <c r="CH133" s="53"/>
      <c r="CI133" s="53"/>
      <c r="CJ133" s="53"/>
      <c r="CK133" s="53"/>
      <c r="CL133" s="53"/>
      <c r="CM133" s="53"/>
      <c r="CN133" s="53"/>
      <c r="CO133" s="53"/>
      <c r="CP133" s="53"/>
      <c r="CQ133" s="53"/>
      <c r="CR133" s="1"/>
      <c r="CS133" s="1"/>
      <c r="CT133" s="1"/>
      <c r="CU133" s="1"/>
    </row>
    <row r="134" spans="1:99" s="13" customFormat="1" ht="12" customHeight="1" x14ac:dyDescent="0.2">
      <c r="A134" s="65">
        <v>43509</v>
      </c>
      <c r="B134" s="1"/>
      <c r="C134" s="1"/>
      <c r="D134" s="60"/>
      <c r="E134" s="76"/>
      <c r="F134" s="60"/>
      <c r="G134" s="60"/>
      <c r="H134" s="60"/>
      <c r="I134" s="60"/>
      <c r="J134" s="60"/>
      <c r="K134" s="64"/>
      <c r="L134" s="64"/>
      <c r="M134" s="60"/>
      <c r="N134" s="60"/>
      <c r="O134" s="60"/>
      <c r="P134" s="60"/>
      <c r="Q134" s="60"/>
      <c r="R134" s="60"/>
      <c r="S134" s="60"/>
      <c r="T134" s="60"/>
      <c r="U134" s="60"/>
      <c r="V134" s="60"/>
      <c r="W134" s="60"/>
      <c r="X134" s="60"/>
      <c r="Y134" s="76"/>
      <c r="Z134" s="60"/>
      <c r="AA134" s="60"/>
      <c r="AB134" s="60"/>
      <c r="AC134" s="60"/>
      <c r="AD134" s="60"/>
      <c r="AE134" s="60"/>
      <c r="AF134" s="80"/>
      <c r="AG134" s="56"/>
      <c r="AH134" s="4"/>
      <c r="AI134" s="56"/>
      <c r="AJ134" s="109"/>
      <c r="AK134" s="56"/>
      <c r="AL134" s="56"/>
      <c r="AM134" s="56"/>
      <c r="AN134" s="56"/>
      <c r="AO134" s="56"/>
      <c r="AP134" s="56"/>
      <c r="AQ134" s="82"/>
      <c r="AR134" s="115"/>
      <c r="AS134" s="82"/>
      <c r="AT134" s="82"/>
      <c r="AU134" s="4"/>
      <c r="AV134" s="25">
        <f>20*60</f>
        <v>1200</v>
      </c>
      <c r="AW134" s="25">
        <f>24*60*60</f>
        <v>86400</v>
      </c>
      <c r="AX134" s="25">
        <f>7*24*60*60*1</f>
        <v>604800</v>
      </c>
      <c r="AY134" s="53"/>
      <c r="AZ134" s="53"/>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3"/>
      <c r="CA134" s="53"/>
      <c r="CB134" s="53"/>
      <c r="CC134" s="53"/>
      <c r="CD134" s="53"/>
      <c r="CE134" s="53"/>
      <c r="CF134" s="53"/>
      <c r="CG134" s="53"/>
      <c r="CH134" s="53"/>
      <c r="CI134" s="53"/>
      <c r="CJ134" s="53"/>
      <c r="CK134" s="53"/>
      <c r="CL134" s="53"/>
      <c r="CM134" s="53"/>
      <c r="CN134" s="53"/>
      <c r="CO134" s="53"/>
      <c r="CP134" s="53"/>
      <c r="CQ134" s="53"/>
      <c r="CR134" s="1"/>
      <c r="CS134" s="1"/>
      <c r="CT134" s="1"/>
      <c r="CU134" s="1"/>
    </row>
    <row r="135" spans="1:99" s="13" customFormat="1" ht="12" customHeight="1" x14ac:dyDescent="0.2">
      <c r="A135" s="65">
        <v>43509</v>
      </c>
      <c r="B135" s="1" t="s">
        <v>149</v>
      </c>
      <c r="C135" s="1" t="s">
        <v>70</v>
      </c>
      <c r="D135" s="60">
        <v>2018</v>
      </c>
      <c r="E135" s="76">
        <v>1</v>
      </c>
      <c r="F135" s="60">
        <v>77</v>
      </c>
      <c r="G135" s="60">
        <v>77</v>
      </c>
      <c r="H135" s="60" t="s">
        <v>22</v>
      </c>
      <c r="I135" s="60" t="s">
        <v>695</v>
      </c>
      <c r="J135" s="60" t="s">
        <v>313</v>
      </c>
      <c r="K135" s="60">
        <f>IF(J135="syllables",1,IF(J135="trigrams",2,IF(J135="strings",3,IF(J135="visual array",4,IF(J135="characters",5,IF(J135="letters",6,IF(J135="free forms",7,IF(J135="odors",8,IF(J135="words",9,IF(J135="pictures",10,IF(J135="object pictures",11,IF(J135="faces",12,IF(J135="names",13,IF(J135="idioms",14,IF(J135="grades",15,IF(J135="syllable-digit pairs",16,IF(J135="trigram-word pairs",17,IF(J135="word-digit pairs",18,IF(J135="English-Swahili pairs",19,IF(J135="spatial position",20,IF(J135="word pairs",21,IF(J135="word triads",22,IF(J135="generated words",23,IF(J135="word definition pairs",24,IF(J135="math problems",25,IF(J135="famous faces",26,IF(J135="famous names",27,IF(J135="famous voices",28,IF(J135="television programs",29,IF(J135="race horses",30,IF(J135="new vocabulary",31,IF(J135="sentences",32,IF(J135="concepts",33,IF(J135="ad slides",34,IF(J135="scenes",35,IF(J135="famous scenes",36,IF(J135="poems",37,IF(J135="walk",38,IF(J135="faces and events",39,IF(J135="events and names",40,IF(J135="flashbulb",41,IF(J135="stories",42,IF(J135="course material",43,IF(J135="autobiographical",44,IF(J135="novels",45,IF(J135="public events",46,"99"))))))))))))))))))))))))))))))))))))))))))))))</f>
        <v>10</v>
      </c>
      <c r="L135" s="60">
        <f>IF(J135="syllables",1,IF(J135="trigrams",1,IF(J135="strings",1,IF(J135="visual array",1,IF(J135="characters",1,IF(J135="letters",1,IF(J135="free forms",1,IF(J135="odors",2,IF(J135="words",2,IF(J135="pictures",2,IF(J135="object pictures",2,IF(J135="faces",2,IF(J135="names",2,IF(J135="idioms","2",IF(J135="grades",2,IF(J135="syllable-digit pairs",3,IF(J135="trigram-word pairs",3,IF(J135="word-digit pairs",3,IF(J135="English-Swahili pairs",3,IF(J135="spatial position",3,IF(J135="word pairs",4,IF(J135="word triads",4,IF(J135="generated words",4,IF(J135="word definition pairs",4,IF(J135="math problems",4,IF(J135="famous faces",4,IF(J135="famous names",4,IF(J135="famous voices",4,IF(J135="television programs",4,IF(J135="race horses",4,IF(J135="new vocabulary",4,IF(J135="sentences",5,IF(J135="concepts",5,IF(J135="ad slides",5,IF(J135="scenes",5,IF(J135="famous scenes",5,IF(J135="poems",6,IF(J135="walk",6,IF(J135="faces and events",6,IF(J135="events and names",6,IF(J135="flashbulb",7,IF(J135="stories",7,IF(J135="course material",7,IF(J135="autobiographical",7,IF(J135="novels",7,IF(J135="public events",7,"99"))))))))))))))))))))))))))))))))))))))))))))))</f>
        <v>2</v>
      </c>
      <c r="M135" s="60">
        <v>0</v>
      </c>
      <c r="N135" s="60">
        <v>1</v>
      </c>
      <c r="O135" s="60">
        <v>0</v>
      </c>
      <c r="P135" s="60"/>
      <c r="Q135" s="60" t="s">
        <v>34</v>
      </c>
      <c r="R135" s="60">
        <f>IF(Q135="Free Recall",1,IF(Q135="Cued Recall",2,IF(Q135="Recognition",3,IF(Q135="Multiple Choice",4,IF(Q135="Savings",5,IF(Q135="Stem Completion",6,IF(Q135="Fragment Completion",7,IF(Q135="anagram solution",8,IF(Q135="Matching",9,IF(Q135="Problem Solving",10,"99"))))))))))</f>
        <v>3</v>
      </c>
      <c r="S135" s="60" t="s">
        <v>15</v>
      </c>
      <c r="T135" s="59" t="s">
        <v>581</v>
      </c>
      <c r="U135" s="60">
        <f>IF(T135="within",1,0)</f>
        <v>1</v>
      </c>
      <c r="V135" s="59">
        <v>342</v>
      </c>
      <c r="W135" s="60">
        <f>F135*V135</f>
        <v>26334</v>
      </c>
      <c r="X135" s="60">
        <v>3</v>
      </c>
      <c r="Y135" s="76">
        <f>AV134</f>
        <v>1200</v>
      </c>
      <c r="Z135" s="60" t="s">
        <v>150</v>
      </c>
      <c r="AA135" s="60">
        <v>604800</v>
      </c>
      <c r="AB135" s="60" t="str">
        <f>IF(AA135&lt;60,"1",IF(AA135&lt;=43200,"2",IF(AA135&lt;=777600,"3","4")))</f>
        <v>3</v>
      </c>
      <c r="AC135" s="56">
        <f>AVERAGE(AV134:DA134)</f>
        <v>230800</v>
      </c>
      <c r="AD135" s="60" t="str">
        <f>IF(AC135&lt;60,"1",IF(AC135&lt;=43200,"2",IF(AC135&lt;=777600,"3","4")))</f>
        <v>3</v>
      </c>
      <c r="AE135" s="76">
        <f>AA135-Y135</f>
        <v>603600</v>
      </c>
      <c r="AF135" s="80">
        <f>AV135</f>
        <v>0.6</v>
      </c>
      <c r="AG135" s="56">
        <f>((AW135-AV135)+(AX135-AW135))/2</f>
        <v>-6.5000000000000002E-2</v>
      </c>
      <c r="AH135" s="4"/>
      <c r="AI135" s="56">
        <f>RSQ(AV135:AX135,AV134:AX134)</f>
        <v>0.93372557957535929</v>
      </c>
      <c r="AJ135" s="109">
        <f>SLOPE(AV135:AX135,AV134:AX134)</f>
        <v>-1.9396231846251418E-7</v>
      </c>
      <c r="AK135" s="56">
        <f>INTERCEPT(AV135:AX135,AV134:AX134)</f>
        <v>0.58476650310114819</v>
      </c>
      <c r="AL135" s="56">
        <f>INDEX(LINEST(LN(AV135:AX135),LN(AV134:AX134),TRUE,TRUE),3,1)</f>
        <v>0.86421170311240691</v>
      </c>
      <c r="AM135" s="56">
        <f>INDEX(LINEST(LN(AV135:AX135),LN(AV134:AX134)),1)</f>
        <v>-3.6145297356931498E-2</v>
      </c>
      <c r="AN135" s="56">
        <f>EXP(INDEX(LINEST(LN(AV135:AX135),LN(AV134:AX134)),1,2))</f>
        <v>0.78784330949176906</v>
      </c>
      <c r="AO135" s="82">
        <f>INDEX(LINEST((AV135:AX135),LN(AV134:AX134),TRUE,TRUE),3,1)</f>
        <v>0.88534921735049998</v>
      </c>
      <c r="AP135" s="82">
        <f>INDEX(LINEST((AV135:AX135),LN(AV134:AX134)),1)</f>
        <v>-1.9383243771504754E-2</v>
      </c>
      <c r="AQ135" s="83">
        <f>INDEX(LINEST(LN(AV135:AX135),SQRT(AV134:AX134),TRUE,TRUE),3,1)</f>
        <v>0.99993194461528112</v>
      </c>
      <c r="AR135" s="116">
        <f>INDEX(LINEST(LN(AV135:AX135),SQRT((AV134:AX134))),1)</f>
        <v>-3.2817013748688751E-4</v>
      </c>
      <c r="AS135" s="84">
        <f>INDEX(LINEST(1/(AV135:AX135),1/(SQRT(AV134:AX134)),TRUE,TRUE),3,1)</f>
        <v>0.63382354877270641</v>
      </c>
      <c r="AT135" s="84">
        <f>INDEX(LINEST(1/(AV135:AX135),1/SQRT(AV134:AX134)),1)</f>
        <v>-12.186522208787297</v>
      </c>
      <c r="AU135" s="3"/>
      <c r="AV135" s="53">
        <v>0.6</v>
      </c>
      <c r="AW135" s="53">
        <v>0.55000000000000004</v>
      </c>
      <c r="AX135" s="53">
        <v>0.47</v>
      </c>
      <c r="AY135" s="53"/>
      <c r="AZ135" s="53"/>
      <c r="BA135" s="53"/>
      <c r="BB135" s="53"/>
      <c r="BC135" s="53"/>
      <c r="BD135" s="53"/>
      <c r="BE135" s="53"/>
      <c r="BF135" s="53"/>
      <c r="BG135" s="53"/>
      <c r="BH135" s="53"/>
      <c r="BI135" s="53"/>
      <c r="BJ135" s="53"/>
      <c r="BK135" s="53"/>
      <c r="BL135" s="53"/>
      <c r="BM135" s="53"/>
      <c r="BN135" s="53"/>
      <c r="BO135" s="53"/>
      <c r="BP135" s="53"/>
      <c r="BQ135" s="53"/>
      <c r="BR135" s="53"/>
      <c r="BS135" s="53"/>
      <c r="BT135" s="53"/>
      <c r="BU135" s="53"/>
      <c r="BV135" s="53"/>
      <c r="BW135" s="53"/>
      <c r="BX135" s="53"/>
      <c r="BY135" s="53"/>
      <c r="BZ135" s="53"/>
      <c r="CA135" s="53"/>
      <c r="CB135" s="53"/>
      <c r="CC135" s="53"/>
      <c r="CD135" s="53"/>
      <c r="CE135" s="53"/>
      <c r="CF135" s="53"/>
      <c r="CG135" s="53"/>
      <c r="CH135" s="53"/>
      <c r="CI135" s="53"/>
      <c r="CJ135" s="53"/>
      <c r="CK135" s="53"/>
      <c r="CL135" s="53"/>
      <c r="CM135" s="53"/>
      <c r="CN135" s="53"/>
      <c r="CO135" s="53"/>
      <c r="CP135" s="53"/>
      <c r="CQ135" s="53"/>
      <c r="CR135" s="1"/>
      <c r="CS135" s="1"/>
      <c r="CT135" s="1"/>
      <c r="CU135" s="1"/>
    </row>
    <row r="136" spans="1:99" s="13" customFormat="1" ht="12" customHeight="1" x14ac:dyDescent="0.2">
      <c r="A136" s="68">
        <v>43509</v>
      </c>
      <c r="B136" s="70"/>
      <c r="C136" s="70"/>
      <c r="D136" s="69"/>
      <c r="E136" s="87"/>
      <c r="F136" s="69"/>
      <c r="G136" s="69"/>
      <c r="H136" s="69"/>
      <c r="I136" s="69"/>
      <c r="J136" s="69"/>
      <c r="K136" s="107"/>
      <c r="L136" s="107"/>
      <c r="M136" s="69"/>
      <c r="N136" s="69"/>
      <c r="O136" s="69"/>
      <c r="P136" s="69"/>
      <c r="Q136" s="69"/>
      <c r="R136" s="69"/>
      <c r="S136" s="69"/>
      <c r="T136" s="69"/>
      <c r="U136" s="69"/>
      <c r="V136" s="69"/>
      <c r="W136" s="69"/>
      <c r="X136" s="69"/>
      <c r="Y136" s="87"/>
      <c r="Z136" s="69"/>
      <c r="AA136" s="69"/>
      <c r="AB136" s="69"/>
      <c r="AC136" s="69"/>
      <c r="AD136" s="69"/>
      <c r="AE136" s="69"/>
      <c r="AF136" s="88"/>
      <c r="AG136" s="72"/>
      <c r="AH136" s="4"/>
      <c r="AI136" s="72"/>
      <c r="AJ136" s="110"/>
      <c r="AK136" s="72"/>
      <c r="AL136" s="72"/>
      <c r="AM136" s="72"/>
      <c r="AN136" s="72"/>
      <c r="AO136" s="72"/>
      <c r="AP136" s="72"/>
      <c r="AQ136" s="72"/>
      <c r="AR136" s="110"/>
      <c r="AS136" s="72"/>
      <c r="AT136" s="72"/>
      <c r="AU136" s="4"/>
      <c r="AV136" s="71">
        <f>5*60</f>
        <v>300</v>
      </c>
      <c r="AW136" s="71">
        <f>24*60*60*1</f>
        <v>86400</v>
      </c>
      <c r="AX136" s="71">
        <f>24*60*60*7</f>
        <v>604800</v>
      </c>
      <c r="AY136" s="53"/>
      <c r="AZ136" s="53"/>
      <c r="BA136" s="53"/>
      <c r="BB136" s="53"/>
      <c r="BC136" s="53"/>
      <c r="BD136" s="53"/>
      <c r="BE136" s="53"/>
      <c r="BF136" s="53"/>
      <c r="BG136" s="53"/>
      <c r="BH136" s="53"/>
      <c r="BI136" s="53"/>
      <c r="BJ136" s="53"/>
      <c r="BK136" s="53"/>
      <c r="BL136" s="53"/>
      <c r="BM136" s="53"/>
      <c r="BN136" s="53"/>
      <c r="BO136" s="53"/>
      <c r="BP136" s="53"/>
      <c r="BQ136" s="53"/>
      <c r="BR136" s="53"/>
      <c r="BS136" s="53"/>
      <c r="BT136" s="53"/>
      <c r="BU136" s="53"/>
      <c r="BV136" s="53"/>
      <c r="BW136" s="53"/>
      <c r="BX136" s="53"/>
      <c r="BY136" s="53"/>
      <c r="BZ136" s="53"/>
      <c r="CA136" s="53"/>
      <c r="CB136" s="53"/>
      <c r="CC136" s="53"/>
      <c r="CD136" s="53"/>
      <c r="CE136" s="53"/>
      <c r="CF136" s="53"/>
      <c r="CG136" s="53"/>
      <c r="CH136" s="53"/>
      <c r="CI136" s="53"/>
      <c r="CJ136" s="53"/>
      <c r="CK136" s="53"/>
      <c r="CL136" s="53"/>
      <c r="CM136" s="53"/>
      <c r="CN136" s="53"/>
      <c r="CO136" s="53"/>
      <c r="CP136" s="53"/>
      <c r="CQ136" s="53"/>
      <c r="CR136" s="1"/>
      <c r="CS136" s="1"/>
      <c r="CT136" s="1"/>
      <c r="CU136" s="1"/>
    </row>
    <row r="137" spans="1:99" s="13" customFormat="1" ht="12" customHeight="1" x14ac:dyDescent="0.2">
      <c r="A137" s="68">
        <v>43509</v>
      </c>
      <c r="B137" s="70" t="s">
        <v>106</v>
      </c>
      <c r="C137" s="70" t="s">
        <v>107</v>
      </c>
      <c r="D137" s="69">
        <v>2005</v>
      </c>
      <c r="E137" s="87">
        <v>1</v>
      </c>
      <c r="F137" s="69">
        <v>72</v>
      </c>
      <c r="G137" s="69">
        <v>24</v>
      </c>
      <c r="H137" s="69" t="s">
        <v>41</v>
      </c>
      <c r="I137" s="69" t="s">
        <v>696</v>
      </c>
      <c r="J137" s="69" t="s">
        <v>677</v>
      </c>
      <c r="K137" s="69">
        <f>IF(J137="syllables",1,IF(J137="trigrams",2,IF(J137="strings",3,IF(J137="visual array",4,IF(J137="characters",5,IF(J137="letters",6,IF(J137="free forms",7,IF(J137="odors",8,IF(J137="words",9,IF(J137="pictures",10,IF(J137="object pictures",11,IF(J137="faces",12,IF(J137="names",13,IF(J137="idioms",14,IF(J137="grades",15,IF(J137="syllable-digit pairs",16,IF(J137="trigram-word pairs",17,IF(J137="word-digit pairs",18,IF(J137="English-Swahili pairs",19,IF(J137="spatial position",20,IF(J137="word pairs",21,IF(J137="word triads",22,IF(J137="generated words",23,IF(J137="word definition pairs",24,IF(J137="math problems",25,IF(J137="famous faces",26,IF(J137="famous names",27,IF(J137="famous voices",28,IF(J137="television programs",29,IF(J137="race horses",30,IF(J137="new vocabulary",31,IF(J137="sentences",32,IF(J137="concepts",33,IF(J137="ad slides",34,IF(J137="scenes",35,IF(J137="famous scenes",36,IF(J137="poems",37,IF(J137="walk",38,IF(J137="faces and events",39,IF(J137="events and names",40,IF(J137="flashbulb",41,IF(J137="stories",42,IF(J137="course material",43,IF(J137="autobiographical",44,IF(J137="novels",45,IF(J137="public events",46,"99"))))))))))))))))))))))))))))))))))))))))))))))</f>
        <v>42</v>
      </c>
      <c r="L137" s="69">
        <f>IF(J137="syllables",1,IF(J137="trigrams",1,IF(J137="strings",1,IF(J137="visual array",1,IF(J137="characters",1,IF(J137="letters",1,IF(J137="free forms",1,IF(J137="odors",2,IF(J137="words",2,IF(J137="pictures",2,IF(J137="object pictures",2,IF(J137="faces",2,IF(J137="names",2,IF(J137="idioms","2",IF(J137="grades",2,IF(J137="syllable-digit pairs",3,IF(J137="trigram-word pairs",3,IF(J137="word-digit pairs",3,IF(J137="English-Swahili pairs",3,IF(J137="spatial position",3,IF(J137="word pairs",4,IF(J137="word triads",4,IF(J137="generated words",4,IF(J137="word definition pairs",4,IF(J137="math problems",4,IF(J137="famous faces",4,IF(J137="famous names",4,IF(J137="famous voices",4,IF(J137="television programs",4,IF(J137="race horses",4,IF(J137="new vocabulary",4,IF(J137="sentences",5,IF(J137="concepts",5,IF(J137="ad slides",5,IF(J137="scenes",5,IF(J137="famous scenes",5,IF(J137="poems",6,IF(J137="walk",6,IF(J137="faces and events",6,IF(J137="events and names",6,IF(J137="flashbulb",7,IF(J137="stories",7,IF(J137="course material",7,IF(J137="autobiographical",7,IF(J137="novels",7,IF(J137="public events",7,"99"))))))))))))))))))))))))))))))))))))))))))))))</f>
        <v>7</v>
      </c>
      <c r="M137" s="69">
        <v>0</v>
      </c>
      <c r="N137" s="69">
        <v>3</v>
      </c>
      <c r="O137" s="69">
        <v>1</v>
      </c>
      <c r="P137" s="69" t="s">
        <v>108</v>
      </c>
      <c r="Q137" s="69" t="s">
        <v>174</v>
      </c>
      <c r="R137" s="69">
        <f>IF(Q137="Free Recall",1,IF(Q137="Cued Recall",2,IF(Q137="Recognition",3,IF(Q137="Multiple Choice",4,IF(Q137="Savings",5,IF(Q137="Stem Completion",6,IF(Q137="Fragment Completion",7,IF(Q137="anagram solution",8,IF(Q137="Matching",9,IF(Q137="Problem Solving",10,"99"))))))))))</f>
        <v>1</v>
      </c>
      <c r="S137" s="69" t="s">
        <v>49</v>
      </c>
      <c r="T137" s="69" t="s">
        <v>261</v>
      </c>
      <c r="U137" s="69">
        <f>IF(T137="within",1,0)</f>
        <v>0</v>
      </c>
      <c r="V137" s="69">
        <v>22</v>
      </c>
      <c r="W137" s="69">
        <f>F137*V137</f>
        <v>1584</v>
      </c>
      <c r="X137" s="69">
        <v>3</v>
      </c>
      <c r="Y137" s="87">
        <f>AV136</f>
        <v>300</v>
      </c>
      <c r="Z137" s="69" t="s">
        <v>97</v>
      </c>
      <c r="AA137" s="69">
        <v>604800</v>
      </c>
      <c r="AB137" s="69" t="str">
        <f>IF(AA137&lt;60,"1",IF(AA137&lt;=43200,"2",IF(AA137&lt;=777600,"3","4")))</f>
        <v>3</v>
      </c>
      <c r="AC137" s="72">
        <f>AVERAGE(AV136:DA136)</f>
        <v>230500</v>
      </c>
      <c r="AD137" s="69" t="str">
        <f>IF(AC137&lt;60,"1",IF(AC137&lt;=43200,"2",IF(AC137&lt;=777600,"3","4")))</f>
        <v>3</v>
      </c>
      <c r="AE137" s="87">
        <f>AA137-Y137</f>
        <v>604500</v>
      </c>
      <c r="AF137" s="88">
        <f>AV137</f>
        <v>0.75800000000000001</v>
      </c>
      <c r="AG137" s="72">
        <f>((AW137-AV137)+(AX137-AW137))/2</f>
        <v>-0.13100000000000001</v>
      </c>
      <c r="AH137" s="4"/>
      <c r="AI137" s="72">
        <f>RSQ(AV137:AX137,AV136:AX136)</f>
        <v>0.70071922782380869</v>
      </c>
      <c r="AJ137" s="110">
        <f>SLOPE(AV137:AX137,AV136:AX136)</f>
        <v>-3.4131725382911802E-7</v>
      </c>
      <c r="AK137" s="72">
        <f>INTERCEPT(AV137:AX137,AV136:AX136)</f>
        <v>0.69134029367427841</v>
      </c>
      <c r="AL137" s="72">
        <f>INDEX(LINEST(LN(AV137:AX137),LN(AV136:AX136),TRUE,TRUE),3,1)</f>
        <v>0.97968938094060842</v>
      </c>
      <c r="AM137" s="72">
        <f>INDEX(LINEST(LN(AV137:AX137),LN(AV136:AX136)),1)</f>
        <v>-5.3563338424100639E-2</v>
      </c>
      <c r="AN137" s="72">
        <f>EXP(INDEX(LINEST(LN(AV137:AX137),LN(AV136:AX136)),1,2))</f>
        <v>1.037803344687215</v>
      </c>
      <c r="AO137" s="89">
        <f>INDEX(LINEST((AV137:AX137),LN(AV136:AX136),TRUE,TRUE),3,1)</f>
        <v>0.99234363215271348</v>
      </c>
      <c r="AP137" s="89">
        <f>INDEX(LINEST((AV137:AX137),LN(AV136:AX136)),1)</f>
        <v>-3.3601057730487938E-2</v>
      </c>
      <c r="AQ137" s="90">
        <f>INDEX(LINEST(LN(AV137:AX137),SQRT(AV136:AX136),TRUE,TRUE),3,1)</f>
        <v>0.91937882372867608</v>
      </c>
      <c r="AR137" s="117">
        <f>INDEX(LINEST(LN(AV137:AX137),SQRT((AV136:AX136))),1)</f>
        <v>-5.3294464333535551E-4</v>
      </c>
      <c r="AS137" s="91">
        <f>INDEX(LINEST(1/(AV137:AX137),1/(SQRT(AV136:AX136)),TRUE,TRUE),3,1)</f>
        <v>0.83618032583667368</v>
      </c>
      <c r="AT137" s="91">
        <f>INDEX(LINEST(1/(AV137:AX137),1/SQRT(AV136:AX136)),1)</f>
        <v>-9.9847738304303668</v>
      </c>
      <c r="AU137" s="3"/>
      <c r="AV137" s="73">
        <v>0.75800000000000001</v>
      </c>
      <c r="AW137" s="73">
        <v>0.58399999999999996</v>
      </c>
      <c r="AX137" s="73">
        <v>0.496</v>
      </c>
      <c r="AY137" s="53"/>
      <c r="AZ137" s="53"/>
      <c r="BA137" s="53"/>
      <c r="BB137" s="53"/>
      <c r="BC137" s="53"/>
      <c r="BD137" s="53"/>
      <c r="BE137" s="53"/>
      <c r="BF137" s="53"/>
      <c r="BG137" s="53"/>
      <c r="BH137" s="53"/>
      <c r="BI137" s="53"/>
      <c r="BJ137" s="53"/>
      <c r="BK137" s="53"/>
      <c r="BL137" s="53"/>
      <c r="BM137" s="53"/>
      <c r="BN137" s="53"/>
      <c r="BO137" s="53"/>
      <c r="BP137" s="53"/>
      <c r="BQ137" s="53"/>
      <c r="BR137" s="53"/>
      <c r="BS137" s="53"/>
      <c r="BT137" s="53"/>
      <c r="BU137" s="53"/>
      <c r="BV137" s="53"/>
      <c r="BW137" s="53"/>
      <c r="BX137" s="53"/>
      <c r="BY137" s="53"/>
      <c r="BZ137" s="53"/>
      <c r="CA137" s="53"/>
      <c r="CB137" s="53"/>
      <c r="CC137" s="53"/>
      <c r="CD137" s="53"/>
      <c r="CE137" s="53"/>
      <c r="CF137" s="53"/>
      <c r="CG137" s="53"/>
      <c r="CH137" s="53"/>
      <c r="CI137" s="53"/>
      <c r="CJ137" s="53"/>
      <c r="CK137" s="53"/>
      <c r="CL137" s="53"/>
      <c r="CM137" s="53"/>
      <c r="CN137" s="53"/>
      <c r="CO137" s="53"/>
      <c r="CP137" s="53"/>
      <c r="CQ137" s="53"/>
      <c r="CR137" s="1"/>
      <c r="CS137" s="1"/>
      <c r="CT137" s="1"/>
      <c r="CU137" s="1"/>
    </row>
    <row r="138" spans="1:99" s="13" customFormat="1" ht="12" customHeight="1" x14ac:dyDescent="0.2">
      <c r="A138" s="68">
        <v>43509</v>
      </c>
      <c r="B138" s="70"/>
      <c r="C138" s="70"/>
      <c r="D138" s="69"/>
      <c r="E138" s="87"/>
      <c r="F138" s="69"/>
      <c r="G138" s="69"/>
      <c r="H138" s="69"/>
      <c r="I138" s="69"/>
      <c r="J138" s="69"/>
      <c r="K138" s="107"/>
      <c r="L138" s="107"/>
      <c r="M138" s="69"/>
      <c r="N138" s="69"/>
      <c r="O138" s="69"/>
      <c r="P138" s="69"/>
      <c r="Q138" s="69"/>
      <c r="R138" s="69"/>
      <c r="S138" s="69"/>
      <c r="T138" s="69"/>
      <c r="U138" s="69"/>
      <c r="V138" s="69"/>
      <c r="W138" s="69"/>
      <c r="X138" s="69"/>
      <c r="Y138" s="87"/>
      <c r="Z138" s="69"/>
      <c r="AA138" s="69"/>
      <c r="AB138" s="69"/>
      <c r="AC138" s="69"/>
      <c r="AD138" s="69"/>
      <c r="AE138" s="69"/>
      <c r="AF138" s="88"/>
      <c r="AG138" s="72"/>
      <c r="AH138" s="4"/>
      <c r="AI138" s="72"/>
      <c r="AJ138" s="110"/>
      <c r="AK138" s="72"/>
      <c r="AL138" s="72"/>
      <c r="AM138" s="72"/>
      <c r="AN138" s="72"/>
      <c r="AO138" s="72"/>
      <c r="AP138" s="72"/>
      <c r="AQ138" s="72"/>
      <c r="AR138" s="110"/>
      <c r="AS138" s="72"/>
      <c r="AT138" s="72"/>
      <c r="AU138" s="4"/>
      <c r="AV138" s="71">
        <f>5*60</f>
        <v>300</v>
      </c>
      <c r="AW138" s="71">
        <f>24*60*60*1</f>
        <v>86400</v>
      </c>
      <c r="AX138" s="71">
        <f>24*60*60*7</f>
        <v>604800</v>
      </c>
      <c r="AY138" s="53"/>
      <c r="AZ138" s="53"/>
      <c r="BA138" s="53"/>
      <c r="BB138" s="53"/>
      <c r="BC138" s="53"/>
      <c r="BD138" s="53"/>
      <c r="BE138" s="53"/>
      <c r="BF138" s="53"/>
      <c r="BG138" s="53"/>
      <c r="BH138" s="53"/>
      <c r="BI138" s="53"/>
      <c r="BJ138" s="53"/>
      <c r="BK138" s="53"/>
      <c r="BL138" s="53"/>
      <c r="BM138" s="53"/>
      <c r="BN138" s="53"/>
      <c r="BO138" s="53"/>
      <c r="BP138" s="53"/>
      <c r="BQ138" s="53"/>
      <c r="BR138" s="53"/>
      <c r="BS138" s="53"/>
      <c r="BT138" s="53"/>
      <c r="BU138" s="53"/>
      <c r="BV138" s="53"/>
      <c r="BW138" s="53"/>
      <c r="BX138" s="53"/>
      <c r="BY138" s="53"/>
      <c r="BZ138" s="53"/>
      <c r="CA138" s="53"/>
      <c r="CB138" s="53"/>
      <c r="CC138" s="53"/>
      <c r="CD138" s="53"/>
      <c r="CE138" s="53"/>
      <c r="CF138" s="53"/>
      <c r="CG138" s="53"/>
      <c r="CH138" s="53"/>
      <c r="CI138" s="53"/>
      <c r="CJ138" s="53"/>
      <c r="CK138" s="53"/>
      <c r="CL138" s="53"/>
      <c r="CM138" s="53"/>
      <c r="CN138" s="53"/>
      <c r="CO138" s="53"/>
      <c r="CP138" s="53"/>
      <c r="CQ138" s="53"/>
      <c r="CR138" s="1"/>
      <c r="CS138" s="1"/>
      <c r="CT138" s="1"/>
      <c r="CU138" s="1"/>
    </row>
    <row r="139" spans="1:99" s="13" customFormat="1" ht="12" customHeight="1" x14ac:dyDescent="0.2">
      <c r="A139" s="68">
        <v>43509</v>
      </c>
      <c r="B139" s="70" t="s">
        <v>106</v>
      </c>
      <c r="C139" s="70" t="s">
        <v>107</v>
      </c>
      <c r="D139" s="69">
        <v>2005</v>
      </c>
      <c r="E139" s="87">
        <v>1</v>
      </c>
      <c r="F139" s="69">
        <v>72</v>
      </c>
      <c r="G139" s="69">
        <v>24</v>
      </c>
      <c r="H139" s="69" t="s">
        <v>41</v>
      </c>
      <c r="I139" s="69" t="s">
        <v>697</v>
      </c>
      <c r="J139" s="69" t="s">
        <v>677</v>
      </c>
      <c r="K139" s="69">
        <f>IF(J139="syllables",1,IF(J139="trigrams",2,IF(J139="strings",3,IF(J139="visual array",4,IF(J139="characters",5,IF(J139="letters",6,IF(J139="free forms",7,IF(J139="odors",8,IF(J139="words",9,IF(J139="pictures",10,IF(J139="object pictures",11,IF(J139="faces",12,IF(J139="names",13,IF(J139="idioms",14,IF(J139="grades",15,IF(J139="syllable-digit pairs",16,IF(J139="trigram-word pairs",17,IF(J139="word-digit pairs",18,IF(J139="English-Swahili pairs",19,IF(J139="spatial position",20,IF(J139="word pairs",21,IF(J139="word triads",22,IF(J139="generated words",23,IF(J139="word definition pairs",24,IF(J139="math problems",25,IF(J139="famous faces",26,IF(J139="famous names",27,IF(J139="famous voices",28,IF(J139="television programs",29,IF(J139="race horses",30,IF(J139="new vocabulary",31,IF(J139="sentences",32,IF(J139="concepts",33,IF(J139="ad slides",34,IF(J139="scenes",35,IF(J139="famous scenes",36,IF(J139="poems",37,IF(J139="walk",38,IF(J139="faces and events",39,IF(J139="events and names",40,IF(J139="flashbulb",41,IF(J139="stories",42,IF(J139="course material",43,IF(J139="autobiographical",44,IF(J139="novels",45,IF(J139="public events",46,"99"))))))))))))))))))))))))))))))))))))))))))))))</f>
        <v>42</v>
      </c>
      <c r="L139" s="69">
        <f>IF(J139="syllables",1,IF(J139="trigrams",1,IF(J139="strings",1,IF(J139="visual array",1,IF(J139="characters",1,IF(J139="letters",1,IF(J139="free forms",1,IF(J139="odors",2,IF(J139="words",2,IF(J139="pictures",2,IF(J139="object pictures",2,IF(J139="faces",2,IF(J139="names",2,IF(J139="idioms","2",IF(J139="grades",2,IF(J139="syllable-digit pairs",3,IF(J139="trigram-word pairs",3,IF(J139="word-digit pairs",3,IF(J139="English-Swahili pairs",3,IF(J139="spatial position",3,IF(J139="word pairs",4,IF(J139="word triads",4,IF(J139="generated words",4,IF(J139="word definition pairs",4,IF(J139="math problems",4,IF(J139="famous faces",4,IF(J139="famous names",4,IF(J139="famous voices",4,IF(J139="television programs",4,IF(J139="race horses",4,IF(J139="new vocabulary",4,IF(J139="sentences",5,IF(J139="concepts",5,IF(J139="ad slides",5,IF(J139="scenes",5,IF(J139="famous scenes",5,IF(J139="poems",6,IF(J139="walk",6,IF(J139="faces and events",6,IF(J139="events and names",6,IF(J139="flashbulb",7,IF(J139="stories",7,IF(J139="course material",7,IF(J139="autobiographical",7,IF(J139="novels",7,IF(J139="public events",7,"99"))))))))))))))))))))))))))))))))))))))))))))))</f>
        <v>7</v>
      </c>
      <c r="M139" s="69">
        <v>0</v>
      </c>
      <c r="N139" s="69">
        <v>3</v>
      </c>
      <c r="O139" s="69">
        <v>1</v>
      </c>
      <c r="P139" s="69" t="s">
        <v>108</v>
      </c>
      <c r="Q139" s="69" t="s">
        <v>174</v>
      </c>
      <c r="R139" s="69">
        <f>IF(Q139="Free Recall",1,IF(Q139="Cued Recall",2,IF(Q139="Recognition",3,IF(Q139="Multiple Choice",4,IF(Q139="Savings",5,IF(Q139="Stem Completion",6,IF(Q139="Fragment Completion",7,IF(Q139="anagram solution",8,IF(Q139="Matching",9,IF(Q139="Problem Solving",10,"99"))))))))))</f>
        <v>1</v>
      </c>
      <c r="S139" s="69" t="s">
        <v>49</v>
      </c>
      <c r="T139" s="69" t="s">
        <v>261</v>
      </c>
      <c r="U139" s="69">
        <f>IF(T139="within",1,0)</f>
        <v>0</v>
      </c>
      <c r="V139" s="69">
        <v>22</v>
      </c>
      <c r="W139" s="69">
        <f>F139*V139</f>
        <v>1584</v>
      </c>
      <c r="X139" s="69">
        <v>3</v>
      </c>
      <c r="Y139" s="87">
        <f>AV138</f>
        <v>300</v>
      </c>
      <c r="Z139" s="69" t="s">
        <v>97</v>
      </c>
      <c r="AA139" s="69">
        <v>604800</v>
      </c>
      <c r="AB139" s="69" t="str">
        <f>IF(AA139&lt;60,"1",IF(AA139&lt;=43200,"2",IF(AA139&lt;=777600,"3","4")))</f>
        <v>3</v>
      </c>
      <c r="AC139" s="72">
        <f>AVERAGE(AV138:DA138)</f>
        <v>230500</v>
      </c>
      <c r="AD139" s="69" t="str">
        <f>IF(AC139&lt;60,"1",IF(AC139&lt;=43200,"2",IF(AC139&lt;=777600,"3","4")))</f>
        <v>3</v>
      </c>
      <c r="AE139" s="87">
        <f>AA139-Y139</f>
        <v>604500</v>
      </c>
      <c r="AF139" s="88">
        <f>AV139</f>
        <v>0.70299999999999996</v>
      </c>
      <c r="AG139" s="72">
        <f>((AW139-AV139)+(AX139-AW139))/2</f>
        <v>-0.12799999999999997</v>
      </c>
      <c r="AH139" s="4"/>
      <c r="AI139" s="72">
        <f>RSQ(AV139:AX139,AV138:AX138)</f>
        <v>0.53163979671025596</v>
      </c>
      <c r="AJ139" s="110">
        <f>SLOPE(AV139:AX139,AV138:AX138)</f>
        <v>-3.0521094108811037E-7</v>
      </c>
      <c r="AK139" s="72">
        <f>INTERCEPT(AV139:AX139,AV138:AX138)</f>
        <v>0.61735112192080943</v>
      </c>
      <c r="AL139" s="72">
        <f>INDEX(LINEST(LN(AV139:AX139),LN(AV138:AX138),TRUE,TRUE),3,1)</f>
        <v>0.99740358280672914</v>
      </c>
      <c r="AM139" s="72">
        <f>INDEX(LINEST(LN(AV139:AX139),LN(AV138:AX138)),1)</f>
        <v>-6.0378123203897564E-2</v>
      </c>
      <c r="AN139" s="72">
        <f>EXP(INDEX(LINEST(LN(AV139:AX139),LN(AV138:AX138)),1,2))</f>
        <v>0.98858995205561606</v>
      </c>
      <c r="AO139" s="89">
        <f>INDEX(LINEST((AV139:AX139),LN(AV138:AX138),TRUE,TRUE),3,1)</f>
        <v>0.99240330263243104</v>
      </c>
      <c r="AP139" s="89">
        <f>INDEX(LINEST((AV139:AX139),LN(AV138:AX138)),1)</f>
        <v>-3.4496190433081775E-2</v>
      </c>
      <c r="AQ139" s="90">
        <f>INDEX(LINEST(LN(AV139:AX139),SQRT(AV138:AX138),TRUE,TRUE),3,1)</f>
        <v>0.7852189386587507</v>
      </c>
      <c r="AR139" s="117">
        <f>INDEX(LINEST(LN(AV139:AX139),SQRT((AV138:AX138))),1)</f>
        <v>-5.5023846445825992E-4</v>
      </c>
      <c r="AS139" s="91">
        <f>INDEX(LINEST(1/(AV139:AX139),1/(SQRT(AV138:AX138)),TRUE,TRUE),3,1)</f>
        <v>0.95843174924579755</v>
      </c>
      <c r="AT139" s="91">
        <f>INDEX(LINEST(1/(AV139:AX139),1/SQRT(AV138:AX138)),1)</f>
        <v>-12.98729282189745</v>
      </c>
      <c r="AU139" s="3"/>
      <c r="AV139" s="73">
        <v>0.70299999999999996</v>
      </c>
      <c r="AW139" s="73">
        <v>0.49099999999999999</v>
      </c>
      <c r="AX139" s="73">
        <v>0.44700000000000001</v>
      </c>
      <c r="AY139" s="53"/>
      <c r="AZ139" s="53"/>
      <c r="BA139" s="53"/>
      <c r="BB139" s="53"/>
      <c r="BC139" s="53"/>
      <c r="BD139" s="53"/>
      <c r="BE139" s="53"/>
      <c r="BF139" s="53"/>
      <c r="BG139" s="53"/>
      <c r="BH139" s="53"/>
      <c r="BI139" s="53"/>
      <c r="BJ139" s="53"/>
      <c r="BK139" s="53"/>
      <c r="BL139" s="53"/>
      <c r="BM139" s="53"/>
      <c r="BN139" s="53"/>
      <c r="BO139" s="53"/>
      <c r="BP139" s="53"/>
      <c r="BQ139" s="53"/>
      <c r="BR139" s="53"/>
      <c r="BS139" s="53"/>
      <c r="BT139" s="53"/>
      <c r="BU139" s="53"/>
      <c r="BV139" s="53"/>
      <c r="BW139" s="53"/>
      <c r="BX139" s="53"/>
      <c r="BY139" s="53"/>
      <c r="BZ139" s="53"/>
      <c r="CA139" s="53"/>
      <c r="CB139" s="53"/>
      <c r="CC139" s="53"/>
      <c r="CD139" s="53"/>
      <c r="CE139" s="53"/>
      <c r="CF139" s="53"/>
      <c r="CG139" s="53"/>
      <c r="CH139" s="53"/>
      <c r="CI139" s="53"/>
      <c r="CJ139" s="53"/>
      <c r="CK139" s="53"/>
      <c r="CL139" s="53"/>
      <c r="CM139" s="53"/>
      <c r="CN139" s="53"/>
      <c r="CO139" s="53"/>
      <c r="CP139" s="53"/>
      <c r="CQ139" s="53"/>
      <c r="CR139" s="1"/>
      <c r="CS139" s="1"/>
      <c r="CT139" s="1"/>
      <c r="CU139" s="1"/>
    </row>
    <row r="140" spans="1:99" s="13" customFormat="1" ht="12" customHeight="1" x14ac:dyDescent="0.2">
      <c r="A140" s="68">
        <v>43509</v>
      </c>
      <c r="B140" s="70"/>
      <c r="C140" s="70"/>
      <c r="D140" s="69"/>
      <c r="E140" s="87"/>
      <c r="F140" s="69"/>
      <c r="G140" s="69"/>
      <c r="H140" s="69"/>
      <c r="I140" s="69"/>
      <c r="J140" s="69"/>
      <c r="K140" s="107"/>
      <c r="L140" s="107"/>
      <c r="M140" s="69"/>
      <c r="N140" s="69"/>
      <c r="O140" s="69"/>
      <c r="P140" s="69"/>
      <c r="Q140" s="69"/>
      <c r="R140" s="69"/>
      <c r="S140" s="69"/>
      <c r="T140" s="69"/>
      <c r="U140" s="69"/>
      <c r="V140" s="69"/>
      <c r="W140" s="69"/>
      <c r="X140" s="69"/>
      <c r="Y140" s="87"/>
      <c r="Z140" s="69"/>
      <c r="AA140" s="69"/>
      <c r="AB140" s="69"/>
      <c r="AC140" s="69"/>
      <c r="AD140" s="69"/>
      <c r="AE140" s="69"/>
      <c r="AF140" s="88"/>
      <c r="AG140" s="72"/>
      <c r="AH140" s="4"/>
      <c r="AI140" s="72"/>
      <c r="AJ140" s="110"/>
      <c r="AK140" s="72"/>
      <c r="AL140" s="72"/>
      <c r="AM140" s="72"/>
      <c r="AN140" s="72"/>
      <c r="AO140" s="72"/>
      <c r="AP140" s="72"/>
      <c r="AQ140" s="72"/>
      <c r="AR140" s="110"/>
      <c r="AS140" s="72"/>
      <c r="AT140" s="72"/>
      <c r="AU140" s="4"/>
      <c r="AV140" s="71">
        <f>5*60</f>
        <v>300</v>
      </c>
      <c r="AW140" s="71">
        <f>24*60*60*1</f>
        <v>86400</v>
      </c>
      <c r="AX140" s="71">
        <f>24*60*60*7</f>
        <v>604800</v>
      </c>
      <c r="AY140" s="53"/>
      <c r="AZ140" s="53"/>
      <c r="BA140" s="53"/>
      <c r="BB140" s="53"/>
      <c r="BC140" s="53"/>
      <c r="BD140" s="53"/>
      <c r="BE140" s="53"/>
      <c r="BF140" s="53"/>
      <c r="BG140" s="53"/>
      <c r="BH140" s="53"/>
      <c r="BI140" s="53"/>
      <c r="BJ140" s="53"/>
      <c r="BK140" s="53"/>
      <c r="BL140" s="53"/>
      <c r="BM140" s="53"/>
      <c r="BN140" s="53"/>
      <c r="BO140" s="53"/>
      <c r="BP140" s="53"/>
      <c r="BQ140" s="53"/>
      <c r="BR140" s="53"/>
      <c r="BS140" s="53"/>
      <c r="BT140" s="53"/>
      <c r="BU140" s="53"/>
      <c r="BV140" s="53"/>
      <c r="BW140" s="53"/>
      <c r="BX140" s="53"/>
      <c r="BY140" s="53"/>
      <c r="BZ140" s="53"/>
      <c r="CA140" s="53"/>
      <c r="CB140" s="53"/>
      <c r="CC140" s="53"/>
      <c r="CD140" s="53"/>
      <c r="CE140" s="53"/>
      <c r="CF140" s="53"/>
      <c r="CG140" s="53"/>
      <c r="CH140" s="53"/>
      <c r="CI140" s="53"/>
      <c r="CJ140" s="53"/>
      <c r="CK140" s="53"/>
      <c r="CL140" s="53"/>
      <c r="CM140" s="53"/>
      <c r="CN140" s="53"/>
      <c r="CO140" s="53"/>
      <c r="CP140" s="53"/>
      <c r="CQ140" s="53"/>
      <c r="CR140" s="1"/>
      <c r="CS140" s="1"/>
      <c r="CT140" s="1"/>
      <c r="CU140" s="1"/>
    </row>
    <row r="141" spans="1:99" s="13" customFormat="1" ht="12" customHeight="1" x14ac:dyDescent="0.2">
      <c r="A141" s="68">
        <v>43509</v>
      </c>
      <c r="B141" s="70" t="s">
        <v>106</v>
      </c>
      <c r="C141" s="70" t="s">
        <v>107</v>
      </c>
      <c r="D141" s="69">
        <v>2005</v>
      </c>
      <c r="E141" s="87">
        <v>1</v>
      </c>
      <c r="F141" s="69">
        <v>72</v>
      </c>
      <c r="G141" s="69">
        <v>24</v>
      </c>
      <c r="H141" s="69" t="s">
        <v>41</v>
      </c>
      <c r="I141" s="69" t="s">
        <v>698</v>
      </c>
      <c r="J141" s="69" t="s">
        <v>677</v>
      </c>
      <c r="K141" s="69">
        <f>IF(J141="syllables",1,IF(J141="trigrams",2,IF(J141="strings",3,IF(J141="visual array",4,IF(J141="characters",5,IF(J141="letters",6,IF(J141="free forms",7,IF(J141="odors",8,IF(J141="words",9,IF(J141="pictures",10,IF(J141="object pictures",11,IF(J141="faces",12,IF(J141="names",13,IF(J141="idioms",14,IF(J141="grades",15,IF(J141="syllable-digit pairs",16,IF(J141="trigram-word pairs",17,IF(J141="word-digit pairs",18,IF(J141="English-Swahili pairs",19,IF(J141="spatial position",20,IF(J141="word pairs",21,IF(J141="word triads",22,IF(J141="generated words",23,IF(J141="word definition pairs",24,IF(J141="math problems",25,IF(J141="famous faces",26,IF(J141="famous names",27,IF(J141="famous voices",28,IF(J141="television programs",29,IF(J141="race horses",30,IF(J141="new vocabulary",31,IF(J141="sentences",32,IF(J141="concepts",33,IF(J141="ad slides",34,IF(J141="scenes",35,IF(J141="famous scenes",36,IF(J141="poems",37,IF(J141="walk",38,IF(J141="faces and events",39,IF(J141="events and names",40,IF(J141="flashbulb",41,IF(J141="stories",42,IF(J141="course material",43,IF(J141="autobiographical",44,IF(J141="novels",45,IF(J141="public events",46,"99"))))))))))))))))))))))))))))))))))))))))))))))</f>
        <v>42</v>
      </c>
      <c r="L141" s="69">
        <f>IF(J141="syllables",1,IF(J141="trigrams",1,IF(J141="strings",1,IF(J141="visual array",1,IF(J141="characters",1,IF(J141="letters",1,IF(J141="free forms",1,IF(J141="odors",2,IF(J141="words",2,IF(J141="pictures",2,IF(J141="object pictures",2,IF(J141="faces",2,IF(J141="names",2,IF(J141="idioms","2",IF(J141="grades",2,IF(J141="syllable-digit pairs",3,IF(J141="trigram-word pairs",3,IF(J141="word-digit pairs",3,IF(J141="English-Swahili pairs",3,IF(J141="spatial position",3,IF(J141="word pairs",4,IF(J141="word triads",4,IF(J141="generated words",4,IF(J141="word definition pairs",4,IF(J141="math problems",4,IF(J141="famous faces",4,IF(J141="famous names",4,IF(J141="famous voices",4,IF(J141="television programs",4,IF(J141="race horses",4,IF(J141="new vocabulary",4,IF(J141="sentences",5,IF(J141="concepts",5,IF(J141="ad slides",5,IF(J141="scenes",5,IF(J141="famous scenes",5,IF(J141="poems",6,IF(J141="walk",6,IF(J141="faces and events",6,IF(J141="events and names",6,IF(J141="flashbulb",7,IF(J141="stories",7,IF(J141="course material",7,IF(J141="autobiographical",7,IF(J141="novels",7,IF(J141="public events",7,"99"))))))))))))))))))))))))))))))))))))))))))))))</f>
        <v>7</v>
      </c>
      <c r="M141" s="69">
        <v>0</v>
      </c>
      <c r="N141" s="69">
        <v>3</v>
      </c>
      <c r="O141" s="69">
        <v>1</v>
      </c>
      <c r="P141" s="69" t="s">
        <v>108</v>
      </c>
      <c r="Q141" s="69" t="s">
        <v>174</v>
      </c>
      <c r="R141" s="69">
        <f>IF(Q141="Free Recall",1,IF(Q141="Cued Recall",2,IF(Q141="Recognition",3,IF(Q141="Multiple Choice",4,IF(Q141="Savings",5,IF(Q141="Stem Completion",6,IF(Q141="Fragment Completion",7,IF(Q141="anagram solution",8,IF(Q141="Matching",9,IF(Q141="Problem Solving",10,"99"))))))))))</f>
        <v>1</v>
      </c>
      <c r="S141" s="69" t="s">
        <v>49</v>
      </c>
      <c r="T141" s="69" t="s">
        <v>261</v>
      </c>
      <c r="U141" s="69">
        <f>IF(T141="within",1,0)</f>
        <v>0</v>
      </c>
      <c r="V141" s="69">
        <v>22</v>
      </c>
      <c r="W141" s="69">
        <f>F141*V141</f>
        <v>1584</v>
      </c>
      <c r="X141" s="69">
        <v>3</v>
      </c>
      <c r="Y141" s="87">
        <f>AV140</f>
        <v>300</v>
      </c>
      <c r="Z141" s="69" t="s">
        <v>97</v>
      </c>
      <c r="AA141" s="69">
        <v>604800</v>
      </c>
      <c r="AB141" s="69" t="str">
        <f>IF(AA141&lt;60,"1",IF(AA141&lt;=43200,"2",IF(AA141&lt;=777600,"3","4")))</f>
        <v>3</v>
      </c>
      <c r="AC141" s="72">
        <f>AVERAGE(AV140:DA140)</f>
        <v>230500</v>
      </c>
      <c r="AD141" s="69" t="str">
        <f>IF(AC141&lt;60,"1",IF(AC141&lt;=43200,"2",IF(AC141&lt;=777600,"3","4")))</f>
        <v>3</v>
      </c>
      <c r="AE141" s="87">
        <f>AA141-Y141</f>
        <v>604500</v>
      </c>
      <c r="AF141" s="88">
        <f>AV141</f>
        <v>0.57599999999999996</v>
      </c>
      <c r="AG141" s="72">
        <f>((AW141-AV141)+(AX141-AW141))/2</f>
        <v>-0.186</v>
      </c>
      <c r="AH141" s="4"/>
      <c r="AI141" s="72">
        <f>RSQ(AV141:AX141,AV140:AX140)</f>
        <v>0.61463808511326556</v>
      </c>
      <c r="AJ141" s="110">
        <f>SLOPE(AV141:AX141,AV140:AX140)</f>
        <v>-4.6376617234648101E-7</v>
      </c>
      <c r="AK141" s="72">
        <f>INTERCEPT(AV141:AX141,AV140:AX140)</f>
        <v>0.46623143605919715</v>
      </c>
      <c r="AL141" s="72">
        <f>INDEX(LINEST(LN(AV141:AX141),LN(AV140:AX140),TRUE,TRUE),3,1)</f>
        <v>0.9855783217113091</v>
      </c>
      <c r="AM141" s="72">
        <f>INDEX(LINEST(LN(AV141:AX141),LN(AV140:AX140)),1)</f>
        <v>-0.13191737937665859</v>
      </c>
      <c r="AN141" s="72">
        <f>EXP(INDEX(LINEST(LN(AV141:AX141),LN(AV140:AX140)),1,2))</f>
        <v>1.2444680851520158</v>
      </c>
      <c r="AO141" s="89">
        <f>INDEX(LINEST((AV141:AX141),LN(AV140:AX140),TRUE,TRUE),3,1)</f>
        <v>0.99998934811138795</v>
      </c>
      <c r="AP141" s="89">
        <f>INDEX(LINEST((AV141:AX141),LN(AV140:AX140)),1)</f>
        <v>-4.8935350211387459E-2</v>
      </c>
      <c r="AQ141" s="90">
        <f>INDEX(LINEST(LN(AV141:AX141),SQRT(AV140:AX140),TRUE,TRUE),3,1)</f>
        <v>0.90663642568087222</v>
      </c>
      <c r="AR141" s="117">
        <f>INDEX(LINEST(LN(AV141:AX141),SQRT((AV140:AX140))),1)</f>
        <v>-1.2995244114286707E-3</v>
      </c>
      <c r="AS141" s="91">
        <f>INDEX(LINEST(1/(AV141:AX141),1/(SQRT(AV140:AX140)),TRUE,TRUE),3,1)</f>
        <v>0.78908934016734733</v>
      </c>
      <c r="AT141" s="91">
        <f>INDEX(LINEST(1/(AV141:AX141),1/SQRT(AV140:AX140)),1)</f>
        <v>-43.948653629577869</v>
      </c>
      <c r="AU141" s="3"/>
      <c r="AV141" s="73">
        <v>0.57599999999999996</v>
      </c>
      <c r="AW141" s="73">
        <v>0.29799999999999999</v>
      </c>
      <c r="AX141" s="73">
        <v>0.20399999999999999</v>
      </c>
      <c r="AY141" s="53"/>
      <c r="AZ141" s="53"/>
      <c r="BA141" s="53"/>
      <c r="BB141" s="53"/>
      <c r="BC141" s="53"/>
      <c r="BD141" s="53"/>
      <c r="BE141" s="53"/>
      <c r="BF141" s="53"/>
      <c r="BG141" s="53"/>
      <c r="BH141" s="53"/>
      <c r="BI141" s="53"/>
      <c r="BJ141" s="53"/>
      <c r="BK141" s="53"/>
      <c r="BL141" s="53"/>
      <c r="BM141" s="53"/>
      <c r="BN141" s="53"/>
      <c r="BO141" s="53"/>
      <c r="BP141" s="53"/>
      <c r="BQ141" s="53"/>
      <c r="BR141" s="53"/>
      <c r="BS141" s="53"/>
      <c r="BT141" s="53"/>
      <c r="BU141" s="53"/>
      <c r="BV141" s="53"/>
      <c r="BW141" s="53"/>
      <c r="BX141" s="53"/>
      <c r="BY141" s="53"/>
      <c r="BZ141" s="53"/>
      <c r="CA141" s="53"/>
      <c r="CB141" s="53"/>
      <c r="CC141" s="53"/>
      <c r="CD141" s="53"/>
      <c r="CE141" s="53"/>
      <c r="CF141" s="53"/>
      <c r="CG141" s="53"/>
      <c r="CH141" s="53"/>
      <c r="CI141" s="53"/>
      <c r="CJ141" s="53"/>
      <c r="CK141" s="53"/>
      <c r="CL141" s="53"/>
      <c r="CM141" s="53"/>
      <c r="CN141" s="53"/>
      <c r="CO141" s="53"/>
      <c r="CP141" s="53"/>
      <c r="CQ141" s="53"/>
      <c r="CR141" s="1"/>
      <c r="CS141" s="1"/>
      <c r="CT141" s="1"/>
      <c r="CU141" s="1"/>
    </row>
    <row r="142" spans="1:99" s="13" customFormat="1" ht="12" customHeight="1" x14ac:dyDescent="0.2">
      <c r="A142" s="68">
        <v>43509</v>
      </c>
      <c r="B142" s="70"/>
      <c r="C142" s="70"/>
      <c r="D142" s="69"/>
      <c r="E142" s="87"/>
      <c r="F142" s="69"/>
      <c r="G142" s="69"/>
      <c r="H142" s="69"/>
      <c r="I142" s="69"/>
      <c r="J142" s="69"/>
      <c r="K142" s="107"/>
      <c r="L142" s="107"/>
      <c r="M142" s="69"/>
      <c r="N142" s="69"/>
      <c r="O142" s="69"/>
      <c r="P142" s="69"/>
      <c r="Q142" s="69"/>
      <c r="R142" s="69"/>
      <c r="S142" s="69"/>
      <c r="T142" s="69"/>
      <c r="U142" s="69"/>
      <c r="V142" s="69"/>
      <c r="W142" s="69"/>
      <c r="X142" s="69"/>
      <c r="Y142" s="87"/>
      <c r="Z142" s="69"/>
      <c r="AA142" s="69"/>
      <c r="AB142" s="69"/>
      <c r="AC142" s="69"/>
      <c r="AD142" s="69"/>
      <c r="AE142" s="69"/>
      <c r="AF142" s="88"/>
      <c r="AG142" s="72"/>
      <c r="AH142" s="4"/>
      <c r="AI142" s="72"/>
      <c r="AJ142" s="110"/>
      <c r="AK142" s="72"/>
      <c r="AL142" s="72"/>
      <c r="AM142" s="72"/>
      <c r="AN142" s="72"/>
      <c r="AO142" s="72"/>
      <c r="AP142" s="72"/>
      <c r="AQ142" s="72"/>
      <c r="AR142" s="110"/>
      <c r="AS142" s="72"/>
      <c r="AT142" s="72"/>
      <c r="AU142" s="4"/>
      <c r="AV142" s="71">
        <v>30</v>
      </c>
      <c r="AW142" s="71">
        <f>24*3600*1</f>
        <v>86400</v>
      </c>
      <c r="AX142" s="71">
        <f>24*3600*2</f>
        <v>172800</v>
      </c>
      <c r="AY142" s="71">
        <f>24*3600*3</f>
        <v>259200</v>
      </c>
      <c r="AZ142" s="71">
        <f>24*3600*4</f>
        <v>345600</v>
      </c>
      <c r="BA142" s="71">
        <f>24*3600*6</f>
        <v>518400</v>
      </c>
      <c r="BB142" s="53"/>
      <c r="BC142" s="53"/>
      <c r="BD142" s="53"/>
      <c r="BE142" s="53"/>
      <c r="BF142" s="53"/>
      <c r="BG142" s="53"/>
      <c r="BH142" s="53"/>
      <c r="BI142" s="53"/>
      <c r="BJ142" s="53"/>
      <c r="BK142" s="53"/>
      <c r="BL142" s="53"/>
      <c r="BM142" s="53"/>
      <c r="BN142" s="53"/>
      <c r="BO142" s="53"/>
      <c r="BP142" s="53"/>
      <c r="BQ142" s="53"/>
      <c r="BR142" s="53"/>
      <c r="BS142" s="53"/>
      <c r="BT142" s="53"/>
      <c r="BU142" s="53"/>
      <c r="BV142" s="53"/>
      <c r="BW142" s="53"/>
      <c r="BX142" s="53"/>
      <c r="BY142" s="53"/>
      <c r="BZ142" s="53"/>
      <c r="CA142" s="53"/>
      <c r="CB142" s="53"/>
      <c r="CC142" s="53"/>
      <c r="CD142" s="53"/>
      <c r="CE142" s="53"/>
      <c r="CF142" s="53"/>
      <c r="CG142" s="53"/>
      <c r="CH142" s="53"/>
      <c r="CI142" s="53"/>
      <c r="CJ142" s="53"/>
      <c r="CK142" s="53"/>
      <c r="CL142" s="53"/>
      <c r="CM142" s="53"/>
      <c r="CN142" s="53"/>
      <c r="CO142" s="53"/>
      <c r="CP142" s="53"/>
      <c r="CQ142" s="53"/>
      <c r="CR142" s="1"/>
      <c r="CS142" s="1"/>
      <c r="CT142" s="1"/>
      <c r="CU142" s="1"/>
    </row>
    <row r="143" spans="1:99" s="13" customFormat="1" ht="12" customHeight="1" x14ac:dyDescent="0.2">
      <c r="A143" s="68">
        <v>43509</v>
      </c>
      <c r="B143" s="70" t="s">
        <v>109</v>
      </c>
      <c r="C143" s="70" t="s">
        <v>19</v>
      </c>
      <c r="D143" s="69">
        <v>1936</v>
      </c>
      <c r="E143" s="87">
        <v>1</v>
      </c>
      <c r="F143" s="69">
        <v>1</v>
      </c>
      <c r="G143" s="69">
        <v>1</v>
      </c>
      <c r="H143" s="69" t="s">
        <v>50</v>
      </c>
      <c r="I143" s="69" t="s">
        <v>699</v>
      </c>
      <c r="J143" s="69" t="s">
        <v>281</v>
      </c>
      <c r="K143" s="69">
        <f>IF(J143="syllables",1,IF(J143="trigrams",2,IF(J143="strings",3,IF(J143="visual array",4,IF(J143="characters",5,IF(J143="letters",6,IF(J143="free forms",7,IF(J143="odors",8,IF(J143="words",9,IF(J143="pictures",10,IF(J143="object pictures",11,IF(J143="faces",12,IF(J143="names",13,IF(J143="idioms",14,IF(J143="grades",15,IF(J143="syllable-digit pairs",16,IF(J143="trigram-word pairs",17,IF(J143="word-digit pairs",18,IF(J143="English-Swahili pairs",19,IF(J143="spatial position",20,IF(J143="word pairs",21,IF(J143="word triads",22,IF(J143="generated words",23,IF(J143="word definition pairs",24,IF(J143="math problems",25,IF(J143="famous faces",26,IF(J143="famous names",27,IF(J143="famous voices",28,IF(J143="television programs",29,IF(J143="race horses",30,IF(J143="new vocabulary",31,IF(J143="sentences",32,IF(J143="concepts",33,IF(J143="ad slides",34,IF(J143="scenes",35,IF(J143="famous scenes",36,IF(J143="poems",37,IF(J143="walk",38,IF(J143="faces and events",39,IF(J143="events and names",40,IF(J143="flashbulb",41,IF(J143="stories",42,IF(J143="course material",43,IF(J143="autobiographical",44,IF(J143="novels",45,IF(J143="public events",46,"99"))))))))))))))))))))))))))))))))))))))))))))))</f>
        <v>1</v>
      </c>
      <c r="L143" s="69">
        <f>IF(J143="syllables",1,IF(J143="trigrams",1,IF(J143="strings",1,IF(J143="visual array",1,IF(J143="characters",1,IF(J143="letters",1,IF(J143="free forms",1,IF(J143="odors",2,IF(J143="words",2,IF(J143="pictures",2,IF(J143="object pictures",2,IF(J143="faces",2,IF(J143="names",2,IF(J143="idioms","2",IF(J143="grades",2,IF(J143="syllable-digit pairs",3,IF(J143="trigram-word pairs",3,IF(J143="word-digit pairs",3,IF(J143="English-Swahili pairs",3,IF(J143="spatial position",3,IF(J143="word pairs",4,IF(J143="word triads",4,IF(J143="generated words",4,IF(J143="word definition pairs",4,IF(J143="math problems",4,IF(J143="famous faces",4,IF(J143="famous names",4,IF(J143="famous voices",4,IF(J143="television programs",4,IF(J143="race horses",4,IF(J143="new vocabulary",4,IF(J143="sentences",5,IF(J143="concepts",5,IF(J143="ad slides",5,IF(J143="scenes",5,IF(J143="famous scenes",5,IF(J143="poems",6,IF(J143="walk",6,IF(J143="faces and events",6,IF(J143="events and names",6,IF(J143="flashbulb",7,IF(J143="stories",7,IF(J143="course material",7,IF(J143="autobiographical",7,IF(J143="novels",7,IF(J143="public events",7,"99"))))))))))))))))))))))))))))))))))))))))))))))</f>
        <v>1</v>
      </c>
      <c r="M143" s="69">
        <v>1</v>
      </c>
      <c r="N143" s="69">
        <v>2</v>
      </c>
      <c r="O143" s="69">
        <v>0</v>
      </c>
      <c r="P143" s="69"/>
      <c r="Q143" s="69" t="s">
        <v>87</v>
      </c>
      <c r="R143" s="69">
        <f>IF(Q143="Free Recall",1,IF(Q143="Cued Recall",2,IF(Q143="Recognition",3,IF(Q143="Multiple Choice",4,IF(Q143="Savings",5,IF(Q143="Stem Completion",6,IF(Q143="Fragment Completion",7,IF(Q143="anagram solution",8,IF(Q143="Matching",9,IF(Q143="Problem Solving",10,"99"))))))))))</f>
        <v>5</v>
      </c>
      <c r="S143" s="69" t="s">
        <v>99</v>
      </c>
      <c r="T143" s="92" t="s">
        <v>581</v>
      </c>
      <c r="U143" s="69">
        <f>IF(T143="within",1,0)</f>
        <v>1</v>
      </c>
      <c r="V143" s="92">
        <v>72</v>
      </c>
      <c r="W143" s="69">
        <f>F143*V143</f>
        <v>72</v>
      </c>
      <c r="X143" s="69">
        <v>6</v>
      </c>
      <c r="Y143" s="87">
        <f>AV142</f>
        <v>30</v>
      </c>
      <c r="Z143" s="69" t="s">
        <v>110</v>
      </c>
      <c r="AA143" s="69">
        <v>518400</v>
      </c>
      <c r="AB143" s="69" t="str">
        <f>IF(AA143&lt;60,"1",IF(AA143&lt;=43200,"2",IF(AA143&lt;=777600,"3","4")))</f>
        <v>3</v>
      </c>
      <c r="AC143" s="72">
        <f>AVERAGE(AV142:DA142)</f>
        <v>230405</v>
      </c>
      <c r="AD143" s="69" t="str">
        <f>IF(AC143&lt;60,"1",IF(AC143&lt;=43200,"2",IF(AC143&lt;=777600,"3","4")))</f>
        <v>3</v>
      </c>
      <c r="AE143" s="87">
        <f>AA143-Y143</f>
        <v>518370</v>
      </c>
      <c r="AF143" s="88">
        <f>AV143</f>
        <v>1</v>
      </c>
      <c r="AG143" s="72">
        <f>((AW143-AV143)+(AX143-AW143)+(AY143-AX143)+(AZ143-AY143)+(BA143-AZ143))/5</f>
        <v>-0.14440000000000003</v>
      </c>
      <c r="AH143" s="4"/>
      <c r="AI143" s="72">
        <f>RSQ(AV143:BA143,AV142:BA142)</f>
        <v>0.86515619149638157</v>
      </c>
      <c r="AJ143" s="110">
        <f>SLOPE(AV143:BA143,AV142:BA142)</f>
        <v>-1.270032282100508E-6</v>
      </c>
      <c r="AK143" s="72">
        <f>INTERCEPT(AV143:BA143,AV142:BA142)</f>
        <v>0.85645512129070078</v>
      </c>
      <c r="AL143" s="72">
        <f>INDEX(LINEST(LN(AV143:BA143),LN(AV142:BA142),TRUE,TRUE),3,1)</f>
        <v>0.66615917561948135</v>
      </c>
      <c r="AM143" s="72">
        <f>INDEX(LINEST(LN(AV143:BA143),LN(AV142:BA142)),1)</f>
        <v>-9.8516611570544546E-2</v>
      </c>
      <c r="AN143" s="72">
        <f>EXP(INDEX(LINEST(LN(AV143:BA143),LN(AV142:BA142)),1,2))</f>
        <v>1.5135285512785381</v>
      </c>
      <c r="AO143" s="89">
        <f>INDEX(LINEST((AV143:BA143),LN(AV142:BA142),TRUE,TRUE),3,1)</f>
        <v>0.8333213935850019</v>
      </c>
      <c r="AP143" s="89">
        <f>INDEX(LINEST((AV143:BA143),LN(AV142:BA142)),1)</f>
        <v>-6.2725938235600381E-2</v>
      </c>
      <c r="AQ143" s="90">
        <f>INDEX(LINEST(LN(AV143:BA143),SQRT(AV142:BA142),TRUE,TRUE),3,1)</f>
        <v>0.9568280448306189</v>
      </c>
      <c r="AR143" s="117">
        <f>INDEX(LINEST(LN(AV143:BA143),SQRT((AV142:BA142))),1)</f>
        <v>-1.7478138583454841E-3</v>
      </c>
      <c r="AS143" s="91">
        <f>INDEX(LINEST(1/(AV143:BA143),1/(SQRT(AV142:BA142)),TRUE,TRUE),3,1)</f>
        <v>0.34523443251162855</v>
      </c>
      <c r="AT143" s="91">
        <f>INDEX(LINEST(1/(AV143:BA143),1/SQRT(AV142:BA142)),1)</f>
        <v>-7.3416725481678347</v>
      </c>
      <c r="AU143" s="3"/>
      <c r="AV143" s="73">
        <v>1</v>
      </c>
      <c r="AW143" s="73">
        <v>0.64500000000000002</v>
      </c>
      <c r="AX143" s="73">
        <v>0.61799999999999999</v>
      </c>
      <c r="AY143" s="73">
        <v>0.45600000000000002</v>
      </c>
      <c r="AZ143" s="73">
        <v>0.38600000000000001</v>
      </c>
      <c r="BA143" s="73">
        <v>0.27800000000000002</v>
      </c>
      <c r="BB143" s="53"/>
      <c r="BC143" s="53"/>
      <c r="BD143" s="53"/>
      <c r="BE143" s="53"/>
      <c r="BF143" s="53"/>
      <c r="BG143" s="53"/>
      <c r="BH143" s="53"/>
      <c r="BI143" s="53"/>
      <c r="BJ143" s="53"/>
      <c r="BK143" s="53"/>
      <c r="BL143" s="53"/>
      <c r="BM143" s="53"/>
      <c r="BN143" s="53"/>
      <c r="BO143" s="53"/>
      <c r="BP143" s="53"/>
      <c r="BQ143" s="53"/>
      <c r="BR143" s="53"/>
      <c r="BS143" s="53"/>
      <c r="BT143" s="53"/>
      <c r="BU143" s="53"/>
      <c r="BV143" s="53"/>
      <c r="BW143" s="53"/>
      <c r="BX143" s="53"/>
      <c r="BY143" s="53"/>
      <c r="BZ143" s="53"/>
      <c r="CA143" s="53"/>
      <c r="CB143" s="53"/>
      <c r="CC143" s="53"/>
      <c r="CD143" s="53"/>
      <c r="CE143" s="53"/>
      <c r="CF143" s="53"/>
      <c r="CG143" s="53"/>
      <c r="CH143" s="53"/>
      <c r="CI143" s="53"/>
      <c r="CJ143" s="53"/>
      <c r="CK143" s="53"/>
      <c r="CL143" s="53"/>
      <c r="CM143" s="53"/>
      <c r="CN143" s="53"/>
      <c r="CO143" s="53"/>
      <c r="CP143" s="53"/>
      <c r="CQ143" s="53"/>
      <c r="CR143" s="1"/>
      <c r="CS143" s="1"/>
      <c r="CT143" s="1"/>
      <c r="CU143" s="1"/>
    </row>
    <row r="144" spans="1:99" s="13" customFormat="1" ht="12" customHeight="1" x14ac:dyDescent="0.2">
      <c r="A144" s="68">
        <v>43509</v>
      </c>
      <c r="B144" s="70"/>
      <c r="C144" s="70"/>
      <c r="D144" s="69"/>
      <c r="E144" s="87"/>
      <c r="F144" s="69"/>
      <c r="G144" s="69"/>
      <c r="H144" s="69"/>
      <c r="I144" s="69"/>
      <c r="J144" s="69"/>
      <c r="K144" s="107"/>
      <c r="L144" s="107"/>
      <c r="M144" s="69"/>
      <c r="N144" s="69"/>
      <c r="O144" s="69"/>
      <c r="P144" s="69"/>
      <c r="Q144" s="69"/>
      <c r="R144" s="69"/>
      <c r="S144" s="69"/>
      <c r="T144" s="69"/>
      <c r="U144" s="69"/>
      <c r="V144" s="69"/>
      <c r="W144" s="69"/>
      <c r="X144" s="69"/>
      <c r="Y144" s="87"/>
      <c r="Z144" s="69"/>
      <c r="AA144" s="69"/>
      <c r="AB144" s="69"/>
      <c r="AC144" s="69"/>
      <c r="AD144" s="69"/>
      <c r="AE144" s="69"/>
      <c r="AF144" s="88"/>
      <c r="AG144" s="72"/>
      <c r="AH144" s="4"/>
      <c r="AI144" s="72"/>
      <c r="AJ144" s="110"/>
      <c r="AK144" s="72"/>
      <c r="AL144" s="72"/>
      <c r="AM144" s="72"/>
      <c r="AN144" s="72"/>
      <c r="AO144" s="72"/>
      <c r="AP144" s="72"/>
      <c r="AQ144" s="72"/>
      <c r="AR144" s="110"/>
      <c r="AS144" s="72"/>
      <c r="AT144" s="72"/>
      <c r="AU144" s="4"/>
      <c r="AV144" s="71">
        <v>30</v>
      </c>
      <c r="AW144" s="71">
        <f>24*3600*1</f>
        <v>86400</v>
      </c>
      <c r="AX144" s="71">
        <f>24*3600*2</f>
        <v>172800</v>
      </c>
      <c r="AY144" s="71">
        <f>24*3600*3</f>
        <v>259200</v>
      </c>
      <c r="AZ144" s="71">
        <f>24*3600*4</f>
        <v>345600</v>
      </c>
      <c r="BA144" s="71">
        <f>24*3600*6</f>
        <v>518400</v>
      </c>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53"/>
      <c r="CD144" s="53"/>
      <c r="CE144" s="53"/>
      <c r="CF144" s="53"/>
      <c r="CG144" s="53"/>
      <c r="CH144" s="53"/>
      <c r="CI144" s="53"/>
      <c r="CJ144" s="53"/>
      <c r="CK144" s="53"/>
      <c r="CL144" s="53"/>
      <c r="CM144" s="53"/>
      <c r="CN144" s="53"/>
      <c r="CO144" s="53"/>
      <c r="CP144" s="53"/>
      <c r="CQ144" s="53"/>
      <c r="CR144" s="1"/>
      <c r="CS144" s="1"/>
      <c r="CT144" s="1"/>
      <c r="CU144" s="1"/>
    </row>
    <row r="145" spans="1:99" s="13" customFormat="1" ht="12" customHeight="1" x14ac:dyDescent="0.2">
      <c r="A145" s="68">
        <v>43509</v>
      </c>
      <c r="B145" s="70" t="s">
        <v>109</v>
      </c>
      <c r="C145" s="70" t="s">
        <v>19</v>
      </c>
      <c r="D145" s="69">
        <v>1936</v>
      </c>
      <c r="E145" s="87">
        <v>1</v>
      </c>
      <c r="F145" s="69">
        <v>1</v>
      </c>
      <c r="G145" s="69">
        <v>1</v>
      </c>
      <c r="H145" s="69" t="s">
        <v>50</v>
      </c>
      <c r="I145" s="69" t="s">
        <v>700</v>
      </c>
      <c r="J145" s="69" t="s">
        <v>281</v>
      </c>
      <c r="K145" s="69">
        <f>IF(J145="syllables",1,IF(J145="trigrams",2,IF(J145="strings",3,IF(J145="visual array",4,IF(J145="characters",5,IF(J145="letters",6,IF(J145="free forms",7,IF(J145="odors",8,IF(J145="words",9,IF(J145="pictures",10,IF(J145="object pictures",11,IF(J145="faces",12,IF(J145="names",13,IF(J145="idioms",14,IF(J145="grades",15,IF(J145="syllable-digit pairs",16,IF(J145="trigram-word pairs",17,IF(J145="word-digit pairs",18,IF(J145="English-Swahili pairs",19,IF(J145="spatial position",20,IF(J145="word pairs",21,IF(J145="word triads",22,IF(J145="generated words",23,IF(J145="word definition pairs",24,IF(J145="math problems",25,IF(J145="famous faces",26,IF(J145="famous names",27,IF(J145="famous voices",28,IF(J145="television programs",29,IF(J145="race horses",30,IF(J145="new vocabulary",31,IF(J145="sentences",32,IF(J145="concepts",33,IF(J145="ad slides",34,IF(J145="scenes",35,IF(J145="famous scenes",36,IF(J145="poems",37,IF(J145="walk",38,IF(J145="faces and events",39,IF(J145="events and names",40,IF(J145="flashbulb",41,IF(J145="stories",42,IF(J145="course material",43,IF(J145="autobiographical",44,IF(J145="novels",45,IF(J145="public events",46,"99"))))))))))))))))))))))))))))))))))))))))))))))</f>
        <v>1</v>
      </c>
      <c r="L145" s="69">
        <f>IF(J145="syllables",1,IF(J145="trigrams",1,IF(J145="strings",1,IF(J145="visual array",1,IF(J145="characters",1,IF(J145="letters",1,IF(J145="free forms",1,IF(J145="odors",2,IF(J145="words",2,IF(J145="pictures",2,IF(J145="object pictures",2,IF(J145="faces",2,IF(J145="names",2,IF(J145="idioms","2",IF(J145="grades",2,IF(J145="syllable-digit pairs",3,IF(J145="trigram-word pairs",3,IF(J145="word-digit pairs",3,IF(J145="English-Swahili pairs",3,IF(J145="spatial position",3,IF(J145="word pairs",4,IF(J145="word triads",4,IF(J145="generated words",4,IF(J145="word definition pairs",4,IF(J145="math problems",4,IF(J145="famous faces",4,IF(J145="famous names",4,IF(J145="famous voices",4,IF(J145="television programs",4,IF(J145="race horses",4,IF(J145="new vocabulary",4,IF(J145="sentences",5,IF(J145="concepts",5,IF(J145="ad slides",5,IF(J145="scenes",5,IF(J145="famous scenes",5,IF(J145="poems",6,IF(J145="walk",6,IF(J145="faces and events",6,IF(J145="events and names",6,IF(J145="flashbulb",7,IF(J145="stories",7,IF(J145="course material",7,IF(J145="autobiographical",7,IF(J145="novels",7,IF(J145="public events",7,"99"))))))))))))))))))))))))))))))))))))))))))))))</f>
        <v>1</v>
      </c>
      <c r="M145" s="69">
        <v>1</v>
      </c>
      <c r="N145" s="69">
        <v>2</v>
      </c>
      <c r="O145" s="69">
        <v>0</v>
      </c>
      <c r="P145" s="69"/>
      <c r="Q145" s="69" t="s">
        <v>87</v>
      </c>
      <c r="R145" s="69">
        <f>IF(Q145="Free Recall",1,IF(Q145="Cued Recall",2,IF(Q145="Recognition",3,IF(Q145="Multiple Choice",4,IF(Q145="Savings",5,IF(Q145="Stem Completion",6,IF(Q145="Fragment Completion",7,IF(Q145="anagram solution",8,IF(Q145="Matching",9,IF(Q145="Problem Solving",10,"99"))))))))))</f>
        <v>5</v>
      </c>
      <c r="S145" s="69" t="s">
        <v>99</v>
      </c>
      <c r="T145" s="92" t="s">
        <v>581</v>
      </c>
      <c r="U145" s="69">
        <f>IF(T145="within",1,0)</f>
        <v>1</v>
      </c>
      <c r="V145" s="92">
        <v>72</v>
      </c>
      <c r="W145" s="69">
        <f>F145*V145</f>
        <v>72</v>
      </c>
      <c r="X145" s="69">
        <v>6</v>
      </c>
      <c r="Y145" s="87">
        <f>AV144</f>
        <v>30</v>
      </c>
      <c r="Z145" s="69" t="s">
        <v>110</v>
      </c>
      <c r="AA145" s="69">
        <v>518400</v>
      </c>
      <c r="AB145" s="69" t="str">
        <f>IF(AA145&lt;60,"1",IF(AA145&lt;=43200,"2",IF(AA145&lt;=777600,"3","4")))</f>
        <v>3</v>
      </c>
      <c r="AC145" s="72">
        <f>AVERAGE(AV144:DA144)</f>
        <v>230405</v>
      </c>
      <c r="AD145" s="69" t="str">
        <f>IF(AC145&lt;60,"1",IF(AC145&lt;=43200,"2",IF(AC145&lt;=777600,"3","4")))</f>
        <v>3</v>
      </c>
      <c r="AE145" s="87">
        <f>AA145-Y145</f>
        <v>518370</v>
      </c>
      <c r="AF145" s="88">
        <f>AV145</f>
        <v>1</v>
      </c>
      <c r="AG145" s="72">
        <f>((AW145-AV145)+(AX145-AW145)+(AY145-AX145)+(AZ145-AY145)+(BA145-AZ145))/5</f>
        <v>-0.11280000000000001</v>
      </c>
      <c r="AH145" s="4"/>
      <c r="AI145" s="72">
        <f>RSQ(AV145:BA145,AV144:BA144)</f>
        <v>0.68994508787955366</v>
      </c>
      <c r="AJ145" s="110">
        <f>SLOPE(AV145:BA145,AV144:BA144)</f>
        <v>-8.7169733962931968E-7</v>
      </c>
      <c r="AK145" s="72">
        <f>INTERCEPT(AV145:BA145,AV144:BA144)</f>
        <v>0.82367675887062675</v>
      </c>
      <c r="AL145" s="72">
        <f>INDEX(LINEST(LN(AV145:BA145),LN(AV144:BA144),TRUE,TRUE),3,1)</f>
        <v>0.89813788409284312</v>
      </c>
      <c r="AM145" s="72">
        <f>INDEX(LINEST(LN(AV145:BA145),LN(AV144:BA144)),1)</f>
        <v>-7.1193197587546664E-2</v>
      </c>
      <c r="AN145" s="72">
        <f>EXP(INDEX(LINEST(LN(AV145:BA145),LN(AV144:BA144)),1,2))</f>
        <v>1.303777026447458</v>
      </c>
      <c r="AO145" s="89">
        <f>INDEX(LINEST((AV145:BA145),LN(AV144:BA144),TRUE,TRUE),3,1)</f>
        <v>0.96047925925451638</v>
      </c>
      <c r="AP145" s="89">
        <f>INDEX(LINEST((AV145:BA145),LN(AV144:BA144)),1)</f>
        <v>-5.175780533891456E-2</v>
      </c>
      <c r="AQ145" s="90">
        <f>INDEX(LINEST(LN(AV145:BA145),SQRT(AV144:BA144),TRUE,TRUE),3,1)</f>
        <v>0.94887443613609612</v>
      </c>
      <c r="AR145" s="117">
        <f>INDEX(LINEST(LN(AV145:BA145),SQRT((AV144:BA144))),1)</f>
        <v>-1.0832510938343217E-3</v>
      </c>
      <c r="AS145" s="91">
        <f>INDEX(LINEST(1/(AV145:BA145),1/(SQRT(AV144:BA144)),TRUE,TRUE),3,1)</f>
        <v>0.68156301513307482</v>
      </c>
      <c r="AT145" s="91">
        <f>INDEX(LINEST(1/(AV145:BA145),1/SQRT(AV144:BA144)),1)</f>
        <v>-4.7667393579650996</v>
      </c>
      <c r="AU145" s="3"/>
      <c r="AV145" s="73">
        <v>1</v>
      </c>
      <c r="AW145" s="73">
        <v>0.61199999999999999</v>
      </c>
      <c r="AX145" s="73">
        <v>0.60799999999999998</v>
      </c>
      <c r="AY145" s="73">
        <v>0.56000000000000005</v>
      </c>
      <c r="AZ145" s="73">
        <v>0.52100000000000002</v>
      </c>
      <c r="BA145" s="73">
        <v>0.436</v>
      </c>
      <c r="BB145" s="53"/>
      <c r="BC145" s="53"/>
      <c r="BD145" s="53"/>
      <c r="BE145" s="53"/>
      <c r="BF145" s="53"/>
      <c r="BG145" s="53"/>
      <c r="BH145" s="53"/>
      <c r="BI145" s="53"/>
      <c r="BJ145" s="53"/>
      <c r="BK145" s="53"/>
      <c r="BL145" s="53"/>
      <c r="BM145" s="53"/>
      <c r="BN145" s="53"/>
      <c r="BO145" s="53"/>
      <c r="BP145" s="53"/>
      <c r="BQ145" s="53"/>
      <c r="BR145" s="53"/>
      <c r="BS145" s="53"/>
      <c r="BT145" s="53"/>
      <c r="BU145" s="53"/>
      <c r="BV145" s="53"/>
      <c r="BW145" s="53"/>
      <c r="BX145" s="53"/>
      <c r="BY145" s="53"/>
      <c r="BZ145" s="53"/>
      <c r="CA145" s="53"/>
      <c r="CB145" s="53"/>
      <c r="CC145" s="53"/>
      <c r="CD145" s="53"/>
      <c r="CE145" s="53"/>
      <c r="CF145" s="53"/>
      <c r="CG145" s="53"/>
      <c r="CH145" s="53"/>
      <c r="CI145" s="53"/>
      <c r="CJ145" s="53"/>
      <c r="CK145" s="53"/>
      <c r="CL145" s="53"/>
      <c r="CM145" s="53"/>
      <c r="CN145" s="53"/>
      <c r="CO145" s="53"/>
      <c r="CP145" s="53"/>
      <c r="CQ145" s="53"/>
      <c r="CR145" s="1"/>
      <c r="CS145" s="1"/>
      <c r="CT145" s="1"/>
      <c r="CU145" s="1"/>
    </row>
    <row r="146" spans="1:99" ht="12" customHeight="1" x14ac:dyDescent="0.2">
      <c r="A146" s="68">
        <v>43648</v>
      </c>
      <c r="B146" s="94"/>
      <c r="C146" s="94"/>
      <c r="D146" s="92"/>
      <c r="E146" s="105"/>
      <c r="F146" s="92"/>
      <c r="G146" s="92"/>
      <c r="H146" s="92"/>
      <c r="I146" s="92"/>
      <c r="J146" s="92"/>
      <c r="K146" s="107"/>
      <c r="L146" s="107"/>
      <c r="M146" s="92"/>
      <c r="N146" s="92"/>
      <c r="O146" s="92"/>
      <c r="P146" s="92"/>
      <c r="Q146" s="92"/>
      <c r="R146" s="69"/>
      <c r="S146" s="92"/>
      <c r="T146" s="92"/>
      <c r="U146" s="69"/>
      <c r="V146" s="92"/>
      <c r="W146" s="69"/>
      <c r="X146" s="92"/>
      <c r="Y146" s="87"/>
      <c r="Z146" s="92"/>
      <c r="AA146" s="92"/>
      <c r="AB146" s="69"/>
      <c r="AC146" s="69"/>
      <c r="AD146" s="69"/>
      <c r="AE146" s="69"/>
      <c r="AF146" s="88"/>
      <c r="AG146" s="72"/>
      <c r="AH146" s="4"/>
      <c r="AI146" s="108"/>
      <c r="AJ146" s="113"/>
      <c r="AK146" s="108"/>
      <c r="AL146" s="108"/>
      <c r="AM146" s="108"/>
      <c r="AN146" s="108"/>
      <c r="AO146" s="108"/>
      <c r="AP146" s="108"/>
      <c r="AQ146" s="72"/>
      <c r="AR146" s="110"/>
      <c r="AS146" s="72"/>
      <c r="AT146" s="72"/>
      <c r="AU146" s="4"/>
      <c r="AV146" s="98">
        <f>5*60</f>
        <v>300</v>
      </c>
      <c r="AW146" s="98">
        <f>2*24*3600</f>
        <v>172800</v>
      </c>
      <c r="AX146" s="98">
        <f>1*7*24*3600</f>
        <v>604800</v>
      </c>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c r="BU146" s="11"/>
      <c r="BV146" s="11"/>
      <c r="BW146" s="11"/>
      <c r="BX146" s="11"/>
      <c r="BY146" s="11"/>
      <c r="BZ146" s="11"/>
      <c r="CA146" s="11"/>
      <c r="CB146" s="11"/>
      <c r="CC146" s="11"/>
      <c r="CD146" s="11"/>
      <c r="CE146" s="11"/>
      <c r="CF146" s="11"/>
      <c r="CG146" s="11"/>
      <c r="CH146" s="11"/>
      <c r="CI146" s="11"/>
      <c r="CJ146" s="11"/>
      <c r="CK146" s="11"/>
      <c r="CL146" s="11"/>
      <c r="CM146" s="11"/>
      <c r="CN146" s="11"/>
      <c r="CO146" s="11"/>
      <c r="CP146" s="11"/>
      <c r="CQ146" s="11"/>
      <c r="CR146" s="15"/>
      <c r="CS146" s="15"/>
      <c r="CT146" s="15"/>
      <c r="CU146" s="15"/>
    </row>
    <row r="147" spans="1:99" ht="12" customHeight="1" x14ac:dyDescent="0.2">
      <c r="A147" s="68">
        <v>43648</v>
      </c>
      <c r="B147" s="94" t="s">
        <v>305</v>
      </c>
      <c r="C147" s="94" t="s">
        <v>877</v>
      </c>
      <c r="D147" s="92">
        <v>1978</v>
      </c>
      <c r="E147" s="105">
        <v>1</v>
      </c>
      <c r="F147" s="92">
        <v>108</v>
      </c>
      <c r="G147" s="92">
        <v>36</v>
      </c>
      <c r="H147" s="92" t="s">
        <v>227</v>
      </c>
      <c r="I147" s="92" t="s">
        <v>632</v>
      </c>
      <c r="J147" s="92" t="s">
        <v>677</v>
      </c>
      <c r="K147" s="69">
        <f>IF(J147="syllables",1,IF(J147="trigrams",2,IF(J147="strings",3,IF(J147="visual array",4,IF(J147="characters",5,IF(J147="letters",6,IF(J147="free forms",7,IF(J147="odors",8,IF(J147="words",9,IF(J147="pictures",10,IF(J147="object pictures",11,IF(J147="faces",12,IF(J147="names",13,IF(J147="idioms",14,IF(J147="grades",15,IF(J147="syllable-digit pairs",16,IF(J147="trigram-word pairs",17,IF(J147="word-digit pairs",18,IF(J147="English-Swahili pairs",19,IF(J147="spatial position",20,IF(J147="word pairs",21,IF(J147="word triads",22,IF(J147="generated words",23,IF(J147="word definition pairs",24,IF(J147="math problems",25,IF(J147="famous faces",26,IF(J147="famous names",27,IF(J147="famous voices",28,IF(J147="television programs",29,IF(J147="race horses",30,IF(J147="new vocabulary",31,IF(J147="sentences",32,IF(J147="concepts",33,IF(J147="ad slides",34,IF(J147="scenes",35,IF(J147="famous scenes",36,IF(J147="poems",37,IF(J147="walk",38,IF(J147="faces and events",39,IF(J147="events and names",40,IF(J147="flashbulb",41,IF(J147="stories",42,IF(J147="course material",43,IF(J147="autobiographical",44,IF(J147="novels",45,IF(J147="public events",46,"99"))))))))))))))))))))))))))))))))))))))))))))))</f>
        <v>42</v>
      </c>
      <c r="L147" s="69">
        <f>IF(J147="syllables",1,IF(J147="trigrams",1,IF(J147="strings",1,IF(J147="visual array",1,IF(J147="characters",1,IF(J147="letters",1,IF(J147="free forms",1,IF(J147="odors",2,IF(J147="words",2,IF(J147="pictures",2,IF(J147="object pictures",2,IF(J147="faces",2,IF(J147="names",2,IF(J147="idioms","2",IF(J147="grades",2,IF(J147="syllable-digit pairs",3,IF(J147="trigram-word pairs",3,IF(J147="word-digit pairs",3,IF(J147="English-Swahili pairs",3,IF(J147="spatial position",3,IF(J147="word pairs",4,IF(J147="word triads",4,IF(J147="generated words",4,IF(J147="word definition pairs",4,IF(J147="math problems",4,IF(J147="famous faces",4,IF(J147="famous names",4,IF(J147="famous voices",4,IF(J147="television programs",4,IF(J147="race horses",4,IF(J147="new vocabulary",4,IF(J147="sentences",5,IF(J147="concepts",5,IF(J147="ad slides",5,IF(J147="scenes",5,IF(J147="famous scenes",5,IF(J147="poems",6,IF(J147="walk",6,IF(J147="faces and events",6,IF(J147="events and names",6,IF(J147="flashbulb",7,IF(J147="stories",7,IF(J147="course material",7,IF(J147="autobiographical",7,IF(J147="novels",7,IF(J147="public events",7,"99"))))))))))))))))))))))))))))))))))))))))))))))</f>
        <v>7</v>
      </c>
      <c r="M147" s="92">
        <v>0</v>
      </c>
      <c r="N147" s="92">
        <v>3</v>
      </c>
      <c r="O147" s="92">
        <v>0</v>
      </c>
      <c r="P147" s="92"/>
      <c r="Q147" s="92" t="s">
        <v>174</v>
      </c>
      <c r="R147" s="69">
        <f>IF(Q147="Free Recall",1,IF(Q147="Cued Recall",2,IF(Q147="Recognition",3,IF(Q147="Multiple Choice",4,IF(Q147="Savings",5,IF(Q147="Stem Completion",6,IF(Q147="Fragment Completion",7,IF(Q147="anagram solution",8,IF(Q147="Matching",9,IF(Q147="Problem Solving",10,"99"))))))))))</f>
        <v>1</v>
      </c>
      <c r="S147" s="92" t="s">
        <v>314</v>
      </c>
      <c r="T147" s="92" t="s">
        <v>261</v>
      </c>
      <c r="U147" s="69">
        <f>IF(T147="within",1,0)</f>
        <v>0</v>
      </c>
      <c r="V147" s="92">
        <v>39.5</v>
      </c>
      <c r="W147" s="69">
        <f>F147*V147</f>
        <v>4266</v>
      </c>
      <c r="X147" s="92">
        <v>3</v>
      </c>
      <c r="Y147" s="87">
        <f>AV146</f>
        <v>300</v>
      </c>
      <c r="Z147" s="92" t="s">
        <v>150</v>
      </c>
      <c r="AA147" s="92">
        <f>1*7*24*3600</f>
        <v>604800</v>
      </c>
      <c r="AB147" s="69" t="str">
        <f>IF(AA147&lt;60,"1",IF(AA147&lt;=43200,"2",IF(AA147&lt;=777600,"3","4")))</f>
        <v>3</v>
      </c>
      <c r="AC147" s="72">
        <f>AVERAGE(AV146:DA146)</f>
        <v>259300</v>
      </c>
      <c r="AD147" s="69" t="str">
        <f>IF(AC147&lt;60,"1",IF(AC147&lt;=43200,"2",IF(AC147&lt;=777600,"3","4")))</f>
        <v>3</v>
      </c>
      <c r="AE147" s="87">
        <f>AA147-Y147</f>
        <v>604500</v>
      </c>
      <c r="AF147" s="88">
        <f>AV147</f>
        <v>0.34</v>
      </c>
      <c r="AG147" s="72">
        <f>((AW147-AV147)+(AX147-AW147))/2</f>
        <v>-9.5000000000000015E-2</v>
      </c>
      <c r="AH147" s="4"/>
      <c r="AI147" s="72">
        <f>RSQ(AV147:AX147,AV146:AX146)</f>
        <v>0.61377409162504237</v>
      </c>
      <c r="AJ147" s="110">
        <f>SLOPE(AV147:AX147,AV146:AX146)</f>
        <v>-2.6266735762516543E-7</v>
      </c>
      <c r="AK147" s="72">
        <f>INTERCEPT(AV147:AX147,AV146:AX146)</f>
        <v>0.28810964583220539</v>
      </c>
      <c r="AL147" s="72">
        <f>INDEX(LINEST(LN(AV147:AX147),LN(AV146:AX146),TRUE,TRUE),3,1)</f>
        <v>0.99986343100691832</v>
      </c>
      <c r="AM147" s="72">
        <f>INDEX(LINEST(LN(AV147:AX147),LN(AV146:AX146)),1)</f>
        <v>-0.10803581450967538</v>
      </c>
      <c r="AN147" s="72">
        <f>EXP(INDEX(LINEST(LN(AV147:AX147),LN(AV146:AX146)),1,2))</f>
        <v>0.62907165538327747</v>
      </c>
      <c r="AO147" s="89">
        <f>INDEX(LINEST((AV147:AX147),LN(AV146:AX146),TRUE,TRUE),3,1)</f>
        <v>0.99661476754574685</v>
      </c>
      <c r="AP147" s="89">
        <f>INDEX(LINEST((AV147:AX147),LN(AV146:AX146)),1)</f>
        <v>-2.5547423969272211E-2</v>
      </c>
      <c r="AQ147" s="90">
        <f>INDEX(LINEST(LN(AV147:AX147),SQRT(AV146:AX146),TRUE,TRUE),3,1)</f>
        <v>0.88013920991894701</v>
      </c>
      <c r="AR147" s="117">
        <f>INDEX(LINEST(LN(AV147:AX147),SQRT((AV146:AX146))),1)</f>
        <v>-1.0872846291063278E-3</v>
      </c>
      <c r="AS147" s="91">
        <f>INDEX(LINEST(1/(AV147:AX147),1/(SQRT(AV146:AX146)),TRUE,TRUE),3,1)</f>
        <v>0.96664328110153963</v>
      </c>
      <c r="AT147" s="91">
        <f>INDEX(LINEST(1/(AV147:AX147),1/SQRT(AV146:AX146)),1)</f>
        <v>-59.83458522651182</v>
      </c>
      <c r="AU147" s="4"/>
      <c r="AV147" s="97">
        <v>0.34</v>
      </c>
      <c r="AW147" s="97">
        <v>0.17</v>
      </c>
      <c r="AX147" s="97">
        <v>0.15</v>
      </c>
      <c r="AY147" s="11"/>
      <c r="AZ147" s="11"/>
      <c r="BA147" s="11"/>
      <c r="BB147" s="11"/>
      <c r="BC147" s="11"/>
      <c r="BD147" s="11"/>
      <c r="BE147" s="11"/>
      <c r="BF147" s="11"/>
      <c r="BG147" s="11"/>
      <c r="BH147" s="11"/>
      <c r="BI147" s="11"/>
      <c r="BJ147" s="11"/>
      <c r="BK147" s="11"/>
      <c r="BL147" s="11"/>
      <c r="BM147" s="11"/>
      <c r="BN147" s="11"/>
      <c r="BO147" s="11"/>
      <c r="BP147" s="11"/>
      <c r="BQ147" s="11"/>
      <c r="BR147" s="11"/>
      <c r="BS147" s="11"/>
      <c r="BT147" s="11"/>
      <c r="BU147" s="11"/>
      <c r="BV147" s="11"/>
      <c r="BW147" s="11"/>
      <c r="BX147" s="11"/>
      <c r="BY147" s="11"/>
      <c r="BZ147" s="11"/>
      <c r="CA147" s="11"/>
      <c r="CB147" s="11"/>
      <c r="CC147" s="11"/>
      <c r="CD147" s="11"/>
      <c r="CE147" s="11"/>
      <c r="CF147" s="11"/>
      <c r="CG147" s="11"/>
      <c r="CH147" s="11"/>
      <c r="CI147" s="11"/>
      <c r="CJ147" s="11"/>
      <c r="CK147" s="11"/>
      <c r="CL147" s="11"/>
      <c r="CM147" s="11"/>
      <c r="CN147" s="11"/>
      <c r="CO147" s="11"/>
      <c r="CP147" s="11"/>
      <c r="CQ147" s="11"/>
      <c r="CR147" s="15"/>
      <c r="CS147" s="15"/>
      <c r="CT147" s="15"/>
      <c r="CU147" s="15"/>
    </row>
    <row r="148" spans="1:99" ht="12" customHeight="1" x14ac:dyDescent="0.2">
      <c r="A148" s="68">
        <v>43648</v>
      </c>
      <c r="B148" s="94"/>
      <c r="C148" s="94"/>
      <c r="D148" s="92"/>
      <c r="E148" s="105"/>
      <c r="F148" s="92"/>
      <c r="G148" s="92"/>
      <c r="H148" s="92"/>
      <c r="I148" s="92"/>
      <c r="J148" s="92"/>
      <c r="K148" s="107"/>
      <c r="L148" s="107"/>
      <c r="M148" s="92"/>
      <c r="N148" s="92"/>
      <c r="O148" s="92"/>
      <c r="P148" s="92"/>
      <c r="Q148" s="92"/>
      <c r="R148" s="69"/>
      <c r="S148" s="92"/>
      <c r="T148" s="92"/>
      <c r="U148" s="69"/>
      <c r="V148" s="92"/>
      <c r="W148" s="69"/>
      <c r="X148" s="92"/>
      <c r="Y148" s="87"/>
      <c r="Z148" s="92"/>
      <c r="AA148" s="92"/>
      <c r="AB148" s="69"/>
      <c r="AC148" s="69"/>
      <c r="AD148" s="69"/>
      <c r="AE148" s="69"/>
      <c r="AF148" s="88"/>
      <c r="AG148" s="72"/>
      <c r="AH148" s="4"/>
      <c r="AI148" s="108"/>
      <c r="AJ148" s="113"/>
      <c r="AK148" s="108"/>
      <c r="AL148" s="108"/>
      <c r="AM148" s="108"/>
      <c r="AN148" s="108"/>
      <c r="AO148" s="108"/>
      <c r="AP148" s="108"/>
      <c r="AQ148" s="108"/>
      <c r="AR148" s="113"/>
      <c r="AS148" s="108"/>
      <c r="AT148" s="108"/>
      <c r="AU148" s="4"/>
      <c r="AV148" s="98">
        <f>5*60</f>
        <v>300</v>
      </c>
      <c r="AW148" s="98">
        <f>2*24*3600</f>
        <v>172800</v>
      </c>
      <c r="AX148" s="98">
        <f>1*7*24*3600</f>
        <v>604800</v>
      </c>
      <c r="AY148" s="15"/>
      <c r="AZ148" s="11"/>
      <c r="BA148" s="11"/>
      <c r="BB148" s="11"/>
      <c r="BC148" s="11"/>
      <c r="BD148" s="11"/>
      <c r="BE148" s="11"/>
      <c r="BF148" s="11"/>
      <c r="BG148" s="11"/>
      <c r="BH148" s="11"/>
      <c r="BI148" s="11"/>
      <c r="BJ148" s="11"/>
      <c r="BK148" s="11"/>
      <c r="BL148" s="11"/>
      <c r="BM148" s="11"/>
      <c r="BN148" s="11"/>
      <c r="BO148" s="11"/>
      <c r="BP148" s="11"/>
      <c r="BQ148" s="11"/>
      <c r="BR148" s="11"/>
      <c r="BS148" s="11"/>
      <c r="BT148" s="11"/>
      <c r="BU148" s="11"/>
      <c r="BV148" s="11"/>
      <c r="BW148" s="11"/>
      <c r="BX148" s="11"/>
      <c r="BY148" s="11"/>
      <c r="BZ148" s="11"/>
      <c r="CA148" s="11"/>
      <c r="CB148" s="11"/>
      <c r="CC148" s="11"/>
      <c r="CD148" s="11"/>
      <c r="CE148" s="11"/>
      <c r="CF148" s="11"/>
      <c r="CG148" s="11"/>
      <c r="CH148" s="11"/>
      <c r="CI148" s="11"/>
      <c r="CJ148" s="11"/>
      <c r="CK148" s="11"/>
      <c r="CL148" s="11"/>
      <c r="CM148" s="11"/>
      <c r="CN148" s="11"/>
      <c r="CO148" s="11"/>
      <c r="CP148" s="11"/>
      <c r="CQ148" s="11"/>
      <c r="CR148" s="15"/>
      <c r="CS148" s="15"/>
      <c r="CT148" s="15"/>
      <c r="CU148" s="15"/>
    </row>
    <row r="149" spans="1:99" ht="12" customHeight="1" x14ac:dyDescent="0.2">
      <c r="A149" s="68">
        <v>43648</v>
      </c>
      <c r="B149" s="94" t="s">
        <v>305</v>
      </c>
      <c r="C149" s="94" t="s">
        <v>877</v>
      </c>
      <c r="D149" s="92">
        <v>1978</v>
      </c>
      <c r="E149" s="105">
        <v>1</v>
      </c>
      <c r="F149" s="92">
        <v>108</v>
      </c>
      <c r="G149" s="92">
        <v>36</v>
      </c>
      <c r="H149" s="92" t="s">
        <v>227</v>
      </c>
      <c r="I149" s="92" t="s">
        <v>701</v>
      </c>
      <c r="J149" s="92" t="s">
        <v>677</v>
      </c>
      <c r="K149" s="69">
        <f>IF(J149="syllables",1,IF(J149="trigrams",2,IF(J149="strings",3,IF(J149="visual array",4,IF(J149="characters",5,IF(J149="letters",6,IF(J149="free forms",7,IF(J149="odors",8,IF(J149="words",9,IF(J149="pictures",10,IF(J149="object pictures",11,IF(J149="faces",12,IF(J149="names",13,IF(J149="idioms",14,IF(J149="grades",15,IF(J149="syllable-digit pairs",16,IF(J149="trigram-word pairs",17,IF(J149="word-digit pairs",18,IF(J149="English-Swahili pairs",19,IF(J149="spatial position",20,IF(J149="word pairs",21,IF(J149="word triads",22,IF(J149="generated words",23,IF(J149="word definition pairs",24,IF(J149="math problems",25,IF(J149="famous faces",26,IF(J149="famous names",27,IF(J149="famous voices",28,IF(J149="television programs",29,IF(J149="race horses",30,IF(J149="new vocabulary",31,IF(J149="sentences",32,IF(J149="concepts",33,IF(J149="ad slides",34,IF(J149="scenes",35,IF(J149="famous scenes",36,IF(J149="poems",37,IF(J149="walk",38,IF(J149="faces and events",39,IF(J149="events and names",40,IF(J149="flashbulb",41,IF(J149="stories",42,IF(J149="course material",43,IF(J149="autobiographical",44,IF(J149="novels",45,IF(J149="public events",46,"99"))))))))))))))))))))))))))))))))))))))))))))))</f>
        <v>42</v>
      </c>
      <c r="L149" s="69">
        <f>IF(J149="syllables",1,IF(J149="trigrams",1,IF(J149="strings",1,IF(J149="visual array",1,IF(J149="characters",1,IF(J149="letters",1,IF(J149="free forms",1,IF(J149="odors",2,IF(J149="words",2,IF(J149="pictures",2,IF(J149="object pictures",2,IF(J149="faces",2,IF(J149="names",2,IF(J149="idioms","2",IF(J149="grades",2,IF(J149="syllable-digit pairs",3,IF(J149="trigram-word pairs",3,IF(J149="word-digit pairs",3,IF(J149="English-Swahili pairs",3,IF(J149="spatial position",3,IF(J149="word pairs",4,IF(J149="word triads",4,IF(J149="generated words",4,IF(J149="word definition pairs",4,IF(J149="math problems",4,IF(J149="famous faces",4,IF(J149="famous names",4,IF(J149="famous voices",4,IF(J149="television programs",4,IF(J149="race horses",4,IF(J149="new vocabulary",4,IF(J149="sentences",5,IF(J149="concepts",5,IF(J149="ad slides",5,IF(J149="scenes",5,IF(J149="famous scenes",5,IF(J149="poems",6,IF(J149="walk",6,IF(J149="faces and events",6,IF(J149="events and names",6,IF(J149="flashbulb",7,IF(J149="stories",7,IF(J149="course material",7,IF(J149="autobiographical",7,IF(J149="novels",7,IF(J149="public events",7,"99"))))))))))))))))))))))))))))))))))))))))))))))</f>
        <v>7</v>
      </c>
      <c r="M149" s="92">
        <v>0</v>
      </c>
      <c r="N149" s="92">
        <v>3</v>
      </c>
      <c r="O149" s="92">
        <v>0</v>
      </c>
      <c r="P149" s="92"/>
      <c r="Q149" s="92" t="s">
        <v>174</v>
      </c>
      <c r="R149" s="69">
        <f>IF(Q149="Free Recall",1,IF(Q149="Cued Recall",2,IF(Q149="Recognition",3,IF(Q149="Multiple Choice",4,IF(Q149="Savings",5,IF(Q149="Stem Completion",6,IF(Q149="Fragment Completion",7,IF(Q149="anagram solution",8,IF(Q149="Matching",9,IF(Q149="Problem Solving",10,"99"))))))))))</f>
        <v>1</v>
      </c>
      <c r="S149" s="92" t="s">
        <v>314</v>
      </c>
      <c r="T149" s="92" t="s">
        <v>261</v>
      </c>
      <c r="U149" s="69">
        <f>IF(T149="within",1,0)</f>
        <v>0</v>
      </c>
      <c r="V149" s="92">
        <v>39.5</v>
      </c>
      <c r="W149" s="69">
        <f>F149*V149</f>
        <v>4266</v>
      </c>
      <c r="X149" s="92">
        <v>3</v>
      </c>
      <c r="Y149" s="87">
        <f>AV148</f>
        <v>300</v>
      </c>
      <c r="Z149" s="92" t="s">
        <v>150</v>
      </c>
      <c r="AA149" s="92">
        <f>1*7*24*3600</f>
        <v>604800</v>
      </c>
      <c r="AB149" s="69" t="str">
        <f>IF(AA149&lt;60,"1",IF(AA149&lt;=43200,"2",IF(AA149&lt;=777600,"3","4")))</f>
        <v>3</v>
      </c>
      <c r="AC149" s="72">
        <f>AVERAGE(AV148:DA148)</f>
        <v>259300</v>
      </c>
      <c r="AD149" s="69" t="str">
        <f>IF(AC149&lt;60,"1",IF(AC149&lt;=43200,"2",IF(AC149&lt;=777600,"3","4")))</f>
        <v>3</v>
      </c>
      <c r="AE149" s="87">
        <f>AA149-Y149</f>
        <v>604500</v>
      </c>
      <c r="AF149" s="88">
        <f>AV149</f>
        <v>0.35</v>
      </c>
      <c r="AG149" s="72">
        <f>((AW149-AV149)+(AX149-AW149))/2</f>
        <v>-4.4999999999999984E-2</v>
      </c>
      <c r="AH149" s="4"/>
      <c r="AI149" s="72">
        <f>RSQ(AV149:AX149,AV148:AX148)</f>
        <v>0.96833922959987084</v>
      </c>
      <c r="AJ149" s="110">
        <f>SLOPE(AV149:AX149,AV148:AX148)</f>
        <v>-1.4249729933198748E-7</v>
      </c>
      <c r="AK149" s="72">
        <f>INTERCEPT(AV149:AX149,AV148:AX148)</f>
        <v>0.34361621638345097</v>
      </c>
      <c r="AL149" s="72">
        <f>INDEX(LINEST(LN(AV149:AX149),LN(AV148:AX148),TRUE,TRUE),3,1)</f>
        <v>0.79086345028697957</v>
      </c>
      <c r="AM149" s="72">
        <f>INDEX(LINEST(LN(AV149:AX149),LN(AV148:AX148)),1)</f>
        <v>-3.2578970418358659E-2</v>
      </c>
      <c r="AN149" s="72">
        <f>EXP(INDEX(LINEST(LN(AV149:AX149),LN(AV148:AX148)),1,2))</f>
        <v>0.42661156969242486</v>
      </c>
      <c r="AO149" s="89">
        <f>INDEX(LINEST((AV149:AX149),LN(AV148:AX148),TRUE,TRUE),3,1)</f>
        <v>0.82354634159776308</v>
      </c>
      <c r="AP149" s="89">
        <f>INDEX(LINEST((AV149:AX149),LN(AV148:AX148)),1)</f>
        <v>-1.0030406145695794E-2</v>
      </c>
      <c r="AQ149" s="90">
        <f>INDEX(LINEST(LN(AV149:AX149),SQRT(AV148:AX148),TRUE,TRUE),3,1)</f>
        <v>0.98238027227195956</v>
      </c>
      <c r="AR149" s="117">
        <f>INDEX(LINEST(LN(AV149:AX149),SQRT((AV148:AX148))),1)</f>
        <v>-3.8949023589667723E-4</v>
      </c>
      <c r="AS149" s="91">
        <f>INDEX(LINEST(1/(AV149:AX149),1/(SQRT(AV148:AX148)),TRUE,TRUE),3,1)</f>
        <v>0.63169594174210242</v>
      </c>
      <c r="AT149" s="91">
        <f>INDEX(LINEST(1/(AV149:AX149),1/SQRT(AV148:AX148)),1)</f>
        <v>-12.309190994280446</v>
      </c>
      <c r="AU149" s="4"/>
      <c r="AV149" s="97">
        <v>0.35</v>
      </c>
      <c r="AW149" s="97">
        <v>0.31</v>
      </c>
      <c r="AX149" s="97">
        <v>0.26</v>
      </c>
      <c r="AY149" s="11"/>
      <c r="AZ149" s="11"/>
      <c r="BA149" s="11"/>
      <c r="BB149" s="11"/>
      <c r="BC149" s="11"/>
      <c r="BD149" s="11"/>
      <c r="BE149" s="11"/>
      <c r="BF149" s="11"/>
      <c r="BG149" s="11"/>
      <c r="BH149" s="11"/>
      <c r="BI149" s="11"/>
      <c r="BJ149" s="11"/>
      <c r="BK149" s="11"/>
      <c r="BL149" s="11"/>
      <c r="BM149" s="11"/>
      <c r="BN149" s="11"/>
      <c r="BO149" s="11"/>
      <c r="BP149" s="11"/>
      <c r="BQ149" s="11"/>
      <c r="BR149" s="11"/>
      <c r="BS149" s="11"/>
      <c r="BT149" s="11"/>
      <c r="BU149" s="11"/>
      <c r="BV149" s="11"/>
      <c r="BW149" s="11"/>
      <c r="BX149" s="11"/>
      <c r="BY149" s="11"/>
      <c r="BZ149" s="11"/>
      <c r="CA149" s="11"/>
      <c r="CB149" s="11"/>
      <c r="CC149" s="11"/>
      <c r="CD149" s="11"/>
      <c r="CE149" s="11"/>
      <c r="CF149" s="11"/>
      <c r="CG149" s="11"/>
      <c r="CH149" s="11"/>
      <c r="CI149" s="11"/>
      <c r="CJ149" s="11"/>
      <c r="CK149" s="11"/>
      <c r="CL149" s="11"/>
      <c r="CM149" s="11"/>
      <c r="CN149" s="11"/>
      <c r="CO149" s="11"/>
      <c r="CP149" s="11"/>
      <c r="CQ149" s="11"/>
      <c r="CR149" s="15"/>
      <c r="CS149" s="15"/>
      <c r="CT149" s="15"/>
      <c r="CU149" s="15"/>
    </row>
    <row r="150" spans="1:99" s="13" customFormat="1" ht="12" customHeight="1" x14ac:dyDescent="0.2">
      <c r="A150" s="65">
        <v>43509</v>
      </c>
      <c r="B150" s="1"/>
      <c r="C150" s="1"/>
      <c r="D150" s="60"/>
      <c r="E150" s="76"/>
      <c r="F150" s="60"/>
      <c r="G150" s="60"/>
      <c r="H150" s="60"/>
      <c r="I150" s="60"/>
      <c r="J150" s="60"/>
      <c r="K150" s="64"/>
      <c r="L150" s="64"/>
      <c r="M150" s="60"/>
      <c r="N150" s="60"/>
      <c r="O150" s="60"/>
      <c r="P150" s="60"/>
      <c r="Q150" s="60"/>
      <c r="R150" s="60"/>
      <c r="S150" s="60"/>
      <c r="T150" s="60"/>
      <c r="U150" s="60"/>
      <c r="V150" s="60"/>
      <c r="W150" s="60"/>
      <c r="X150" s="60"/>
      <c r="Y150" s="76"/>
      <c r="Z150" s="60"/>
      <c r="AA150" s="60"/>
      <c r="AB150" s="60"/>
      <c r="AC150" s="60"/>
      <c r="AD150" s="60"/>
      <c r="AE150" s="60"/>
      <c r="AF150" s="80"/>
      <c r="AG150" s="56"/>
      <c r="AH150" s="4"/>
      <c r="AI150" s="56"/>
      <c r="AJ150" s="109"/>
      <c r="AK150" s="56"/>
      <c r="AL150" s="56"/>
      <c r="AM150" s="56"/>
      <c r="AN150" s="56"/>
      <c r="AO150" s="56"/>
      <c r="AP150" s="56"/>
      <c r="AQ150" s="56"/>
      <c r="AR150" s="109"/>
      <c r="AS150" s="56"/>
      <c r="AT150" s="56"/>
      <c r="AU150" s="5"/>
      <c r="AV150" s="25">
        <v>62</v>
      </c>
      <c r="AW150" s="25">
        <f>3600*1</f>
        <v>3600</v>
      </c>
      <c r="AX150" s="25">
        <f>3600*24</f>
        <v>86400</v>
      </c>
      <c r="AY150" s="53" t="s">
        <v>514</v>
      </c>
      <c r="AZ150" s="53"/>
      <c r="BA150" s="53"/>
      <c r="BB150" s="53"/>
      <c r="BC150" s="53"/>
      <c r="BD150" s="53"/>
      <c r="BE150" s="53"/>
      <c r="BF150" s="53"/>
      <c r="BG150" s="53"/>
      <c r="BH150" s="53"/>
      <c r="BI150" s="53"/>
      <c r="BJ150" s="53"/>
      <c r="BK150" s="53"/>
      <c r="BL150" s="53"/>
      <c r="BM150" s="53"/>
      <c r="BN150" s="53"/>
      <c r="BO150" s="53"/>
      <c r="BP150" s="53"/>
      <c r="BQ150" s="53"/>
      <c r="BR150" s="53"/>
      <c r="BS150" s="53"/>
      <c r="BT150" s="53"/>
      <c r="BU150" s="53"/>
      <c r="BV150" s="53"/>
      <c r="BW150" s="53"/>
      <c r="BX150" s="53"/>
      <c r="BY150" s="53"/>
      <c r="BZ150" s="53"/>
      <c r="CA150" s="53"/>
      <c r="CB150" s="53"/>
      <c r="CC150" s="53"/>
      <c r="CD150" s="53"/>
      <c r="CE150" s="53"/>
      <c r="CF150" s="53"/>
      <c r="CG150" s="53"/>
      <c r="CH150" s="53"/>
      <c r="CI150" s="53"/>
      <c r="CJ150" s="53"/>
      <c r="CK150" s="53"/>
      <c r="CL150" s="53"/>
      <c r="CM150" s="53"/>
      <c r="CN150" s="53"/>
      <c r="CO150" s="53"/>
      <c r="CP150" s="53"/>
      <c r="CQ150" s="53"/>
      <c r="CR150" s="1"/>
      <c r="CS150" s="1"/>
      <c r="CT150" s="1"/>
      <c r="CU150" s="1"/>
    </row>
    <row r="151" spans="1:99" s="13" customFormat="1" ht="12" customHeight="1" x14ac:dyDescent="0.2">
      <c r="A151" s="65">
        <v>43509</v>
      </c>
      <c r="B151" s="1" t="s">
        <v>80</v>
      </c>
      <c r="C151" s="1" t="s">
        <v>45</v>
      </c>
      <c r="D151" s="60">
        <v>1988</v>
      </c>
      <c r="E151" s="76">
        <v>3</v>
      </c>
      <c r="F151" s="60">
        <v>48</v>
      </c>
      <c r="G151" s="60">
        <v>16</v>
      </c>
      <c r="H151" s="60" t="s">
        <v>30</v>
      </c>
      <c r="I151" s="60" t="s">
        <v>702</v>
      </c>
      <c r="J151" s="60" t="s">
        <v>16</v>
      </c>
      <c r="K151" s="60">
        <f>IF(J151="syllables",1,IF(J151="trigrams",2,IF(J151="strings",3,IF(J151="visual array",4,IF(J151="characters",5,IF(J151="letters",6,IF(J151="free forms",7,IF(J151="odors",8,IF(J151="words",9,IF(J151="pictures",10,IF(J151="object pictures",11,IF(J151="faces",12,IF(J151="names",13,IF(J151="idioms",14,IF(J151="grades",15,IF(J151="syllable-digit pairs",16,IF(J151="trigram-word pairs",17,IF(J151="word-digit pairs",18,IF(J151="English-Swahili pairs",19,IF(J151="spatial position",20,IF(J151="word pairs",21,IF(J151="word triads",22,IF(J151="generated words",23,IF(J151="word definition pairs",24,IF(J151="math problems",25,IF(J151="famous faces",26,IF(J151="famous names",27,IF(J151="famous voices",28,IF(J151="television programs",29,IF(J151="race horses",30,IF(J151="new vocabulary",31,IF(J151="sentences",32,IF(J151="concepts",33,IF(J151="ad slides",34,IF(J151="scenes",35,IF(J151="famous scenes",36,IF(J151="poems",37,IF(J151="walk",38,IF(J151="faces and events",39,IF(J151="events and names",40,IF(J151="flashbulb",41,IF(J151="stories",42,IF(J151="course material",43,IF(J151="autobiographical",44,IF(J151="novels",45,IF(J151="public events",46,"99"))))))))))))))))))))))))))))))))))))))))))))))</f>
        <v>9</v>
      </c>
      <c r="L151" s="60">
        <f>IF(J151="syllables",1,IF(J151="trigrams",1,IF(J151="strings",1,IF(J151="visual array",1,IF(J151="characters",1,IF(J151="letters",1,IF(J151="free forms",1,IF(J151="odors",2,IF(J151="words",2,IF(J151="pictures",2,IF(J151="object pictures",2,IF(J151="faces",2,IF(J151="names",2,IF(J151="idioms","2",IF(J151="grades",2,IF(J151="syllable-digit pairs",3,IF(J151="trigram-word pairs",3,IF(J151="word-digit pairs",3,IF(J151="English-Swahili pairs",3,IF(J151="spatial position",3,IF(J151="word pairs",4,IF(J151="word triads",4,IF(J151="generated words",4,IF(J151="word definition pairs",4,IF(J151="math problems",4,IF(J151="famous faces",4,IF(J151="famous names",4,IF(J151="famous voices",4,IF(J151="television programs",4,IF(J151="race horses",4,IF(J151="new vocabulary",4,IF(J151="sentences",5,IF(J151="concepts",5,IF(J151="ad slides",5,IF(J151="scenes",5,IF(J151="famous scenes",5,IF(J151="poems",6,IF(J151="walk",6,IF(J151="faces and events",6,IF(J151="events and names",6,IF(J151="flashbulb",7,IF(J151="stories",7,IF(J151="course material",7,IF(J151="autobiographical",7,IF(J151="novels",7,IF(J151="public events",7,"99"))))))))))))))))))))))))))))))))))))))))))))))</f>
        <v>2</v>
      </c>
      <c r="M151" s="60">
        <v>0</v>
      </c>
      <c r="N151" s="60">
        <v>1</v>
      </c>
      <c r="O151" s="59">
        <v>0</v>
      </c>
      <c r="P151" s="60"/>
      <c r="Q151" s="60" t="s">
        <v>34</v>
      </c>
      <c r="R151" s="60">
        <f>IF(Q151="Free Recall",1,IF(Q151="Cued Recall",2,IF(Q151="Recognition",3,IF(Q151="Multiple Choice",4,IF(Q151="Savings",5,IF(Q151="Stem Completion",6,IF(Q151="Fragment Completion",7,IF(Q151="anagram solution",8,IF(Q151="Matching",9,IF(Q151="Problem Solving",10,"99"))))))))))</f>
        <v>3</v>
      </c>
      <c r="S151" s="60" t="s">
        <v>15</v>
      </c>
      <c r="T151" s="59" t="s">
        <v>261</v>
      </c>
      <c r="U151" s="60">
        <f>IF(T151="within",1,0)</f>
        <v>0</v>
      </c>
      <c r="V151" s="59">
        <v>27</v>
      </c>
      <c r="W151" s="60">
        <f>F151*V151</f>
        <v>1296</v>
      </c>
      <c r="X151" s="60">
        <v>3</v>
      </c>
      <c r="Y151" s="76">
        <f>AV150</f>
        <v>62</v>
      </c>
      <c r="Z151" s="60" t="s">
        <v>79</v>
      </c>
      <c r="AA151" s="60">
        <v>86400</v>
      </c>
      <c r="AB151" s="60" t="str">
        <f>IF(AA151&lt;60,"1",IF(AA151&lt;=43200,"2",IF(AA151&lt;=777600,"3","4")))</f>
        <v>3</v>
      </c>
      <c r="AC151" s="56">
        <f>AVERAGE(AV150:DA150)</f>
        <v>30020.666666666668</v>
      </c>
      <c r="AD151" s="60" t="str">
        <f>IF(AC151&lt;60,"1",IF(AC151&lt;=43200,"2",IF(AC151&lt;=777600,"3","4")))</f>
        <v>2</v>
      </c>
      <c r="AE151" s="76">
        <f>AA151-Y151</f>
        <v>86338</v>
      </c>
      <c r="AF151" s="80">
        <f>AV151</f>
        <v>0.19</v>
      </c>
      <c r="AG151" s="56">
        <f>((AW151-AV151)+(AX151-AW151))/2</f>
        <v>-2.0000000000000004E-2</v>
      </c>
      <c r="AH151" s="4"/>
      <c r="AI151" s="56">
        <f>RSQ(AV151:AX151,AV150:AX150)</f>
        <v>0.51697612761186429</v>
      </c>
      <c r="AJ151" s="109">
        <f>SLOPE(AV151:AX151,AV150:AX150)</f>
        <v>-3.0634505221253405E-7</v>
      </c>
      <c r="AK151" s="56">
        <f>INTERCEPT(AV151:AX151,AV150:AX150)</f>
        <v>0.17586334936412173</v>
      </c>
      <c r="AL151" s="56">
        <f>INDEX(LINEST(LN(AV151:AX151),LN(AV150:AX150),TRUE,TRUE),3,1)</f>
        <v>0.96580546712491144</v>
      </c>
      <c r="AM151" s="56">
        <f>INDEX(LINEST(LN(AV151:AX151),LN(AV150:AX150)),1)</f>
        <v>-3.3090854239568694E-2</v>
      </c>
      <c r="AN151" s="56">
        <f>EXP(INDEX(LINEST(LN(AV151:AX151),LN(AV150:AX150)),1,2))</f>
        <v>0.21532959310014457</v>
      </c>
      <c r="AO151" s="82">
        <f>INDEX(LINEST((AV151:AX151),LN(AV150:AX150),TRUE,TRUE),3,1)</f>
        <v>0.95626145781781069</v>
      </c>
      <c r="AP151" s="82">
        <f>INDEX(LINEST((AV151:AX151),LN(AV150:AX150)),1)</f>
        <v>-5.6096912191106619E-3</v>
      </c>
      <c r="AQ151" s="83">
        <f>INDEX(LINEST(LN(AV151:AX151),SQRT(AV150:AX150),TRUE,TRUE),3,1)</f>
        <v>0.67368194987615038</v>
      </c>
      <c r="AR151" s="116">
        <f>INDEX(LINEST(LN(AV151:AX151),SQRT((AV150:AX150))),1)</f>
        <v>-6.5824284053739236E-4</v>
      </c>
      <c r="AS151" s="84">
        <f>INDEX(LINEST(1/(AV151:AX151),1/(SQRT(AV150:AX150)),TRUE,TRUE),3,1)</f>
        <v>0.9623341744536309</v>
      </c>
      <c r="AT151" s="84">
        <f>INDEX(LINEST(1/(AV151:AX151),1/SQRT(AV150:AX150)),1)</f>
        <v>-10.420639986897124</v>
      </c>
      <c r="AU151" s="3"/>
      <c r="AV151" s="53">
        <v>0.19</v>
      </c>
      <c r="AW151" s="53">
        <v>0.16</v>
      </c>
      <c r="AX151" s="53">
        <v>0.15</v>
      </c>
      <c r="AY151" s="53"/>
      <c r="AZ151" s="53"/>
      <c r="BA151" s="53"/>
      <c r="BB151" s="53"/>
      <c r="BC151" s="53"/>
      <c r="BD151" s="53"/>
      <c r="BE151" s="53"/>
      <c r="BF151" s="53"/>
      <c r="BG151" s="53"/>
      <c r="BH151" s="53"/>
      <c r="BI151" s="53"/>
      <c r="BJ151" s="53"/>
      <c r="BK151" s="53"/>
      <c r="BL151" s="53"/>
      <c r="BM151" s="53"/>
      <c r="BN151" s="53"/>
      <c r="BO151" s="53"/>
      <c r="BP151" s="53"/>
      <c r="BQ151" s="53"/>
      <c r="BR151" s="53"/>
      <c r="BS151" s="53"/>
      <c r="BT151" s="53"/>
      <c r="BU151" s="53"/>
      <c r="BV151" s="53"/>
      <c r="BW151" s="53"/>
      <c r="BX151" s="53"/>
      <c r="BY151" s="53"/>
      <c r="BZ151" s="53"/>
      <c r="CA151" s="53"/>
      <c r="CB151" s="53"/>
      <c r="CC151" s="53"/>
      <c r="CD151" s="53"/>
      <c r="CE151" s="53"/>
      <c r="CF151" s="53"/>
      <c r="CG151" s="53"/>
      <c r="CH151" s="53"/>
      <c r="CI151" s="53"/>
      <c r="CJ151" s="53"/>
      <c r="CK151" s="53"/>
      <c r="CL151" s="53"/>
      <c r="CM151" s="53"/>
      <c r="CN151" s="53"/>
      <c r="CO151" s="53"/>
      <c r="CP151" s="53"/>
      <c r="CQ151" s="53"/>
      <c r="CR151" s="1"/>
      <c r="CS151" s="1"/>
      <c r="CT151" s="1"/>
      <c r="CU151" s="1"/>
    </row>
    <row r="152" spans="1:99" s="13" customFormat="1" ht="12" customHeight="1" x14ac:dyDescent="0.2">
      <c r="A152" s="65">
        <v>43509</v>
      </c>
      <c r="B152" s="1"/>
      <c r="C152" s="1"/>
      <c r="D152" s="60"/>
      <c r="E152" s="76"/>
      <c r="F152" s="60"/>
      <c r="G152" s="60"/>
      <c r="H152" s="60"/>
      <c r="I152" s="60"/>
      <c r="J152" s="60"/>
      <c r="K152" s="64"/>
      <c r="L152" s="64"/>
      <c r="M152" s="60"/>
      <c r="N152" s="60"/>
      <c r="O152" s="60"/>
      <c r="P152" s="60"/>
      <c r="Q152" s="60"/>
      <c r="R152" s="60"/>
      <c r="S152" s="60"/>
      <c r="T152" s="60"/>
      <c r="U152" s="60"/>
      <c r="V152" s="60"/>
      <c r="W152" s="60"/>
      <c r="X152" s="60"/>
      <c r="Y152" s="76"/>
      <c r="Z152" s="60"/>
      <c r="AA152" s="60"/>
      <c r="AB152" s="60"/>
      <c r="AC152" s="60"/>
      <c r="AD152" s="60"/>
      <c r="AE152" s="60"/>
      <c r="AF152" s="80"/>
      <c r="AG152" s="56"/>
      <c r="AH152" s="4"/>
      <c r="AI152" s="56"/>
      <c r="AJ152" s="109"/>
      <c r="AK152" s="56"/>
      <c r="AL152" s="56"/>
      <c r="AM152" s="56"/>
      <c r="AN152" s="56"/>
      <c r="AO152" s="56"/>
      <c r="AP152" s="56"/>
      <c r="AQ152" s="56"/>
      <c r="AR152" s="109"/>
      <c r="AS152" s="56"/>
      <c r="AT152" s="56"/>
      <c r="AU152" s="5"/>
      <c r="AV152" s="25">
        <v>62</v>
      </c>
      <c r="AW152" s="25">
        <f>3600*1</f>
        <v>3600</v>
      </c>
      <c r="AX152" s="25">
        <f>3600*24</f>
        <v>86400</v>
      </c>
      <c r="AY152" s="53"/>
      <c r="AZ152" s="53"/>
      <c r="BA152" s="53"/>
      <c r="BB152" s="53"/>
      <c r="BC152" s="53"/>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53"/>
      <c r="BZ152" s="53"/>
      <c r="CA152" s="53"/>
      <c r="CB152" s="53"/>
      <c r="CC152" s="53"/>
      <c r="CD152" s="53"/>
      <c r="CE152" s="53"/>
      <c r="CF152" s="53"/>
      <c r="CG152" s="53"/>
      <c r="CH152" s="53"/>
      <c r="CI152" s="53"/>
      <c r="CJ152" s="53"/>
      <c r="CK152" s="53"/>
      <c r="CL152" s="53"/>
      <c r="CM152" s="53"/>
      <c r="CN152" s="53"/>
      <c r="CO152" s="53"/>
      <c r="CP152" s="53"/>
      <c r="CQ152" s="53"/>
      <c r="CR152" s="1"/>
      <c r="CS152" s="1"/>
      <c r="CT152" s="1"/>
      <c r="CU152" s="1"/>
    </row>
    <row r="153" spans="1:99" s="13" customFormat="1" ht="12" customHeight="1" x14ac:dyDescent="0.2">
      <c r="A153" s="65">
        <v>43509</v>
      </c>
      <c r="B153" s="1" t="s">
        <v>80</v>
      </c>
      <c r="C153" s="1" t="s">
        <v>45</v>
      </c>
      <c r="D153" s="60">
        <v>1988</v>
      </c>
      <c r="E153" s="76">
        <v>3</v>
      </c>
      <c r="F153" s="60">
        <v>48</v>
      </c>
      <c r="G153" s="60">
        <v>16</v>
      </c>
      <c r="H153" s="60" t="s">
        <v>30</v>
      </c>
      <c r="I153" s="60" t="s">
        <v>703</v>
      </c>
      <c r="J153" s="60" t="s">
        <v>16</v>
      </c>
      <c r="K153" s="60">
        <f>IF(J153="syllables",1,IF(J153="trigrams",2,IF(J153="strings",3,IF(J153="visual array",4,IF(J153="characters",5,IF(J153="letters",6,IF(J153="free forms",7,IF(J153="odors",8,IF(J153="words",9,IF(J153="pictures",10,IF(J153="object pictures",11,IF(J153="faces",12,IF(J153="names",13,IF(J153="idioms",14,IF(J153="grades",15,IF(J153="syllable-digit pairs",16,IF(J153="trigram-word pairs",17,IF(J153="word-digit pairs",18,IF(J153="English-Swahili pairs",19,IF(J153="spatial position",20,IF(J153="word pairs",21,IF(J153="word triads",22,IF(J153="generated words",23,IF(J153="word definition pairs",24,IF(J153="math problems",25,IF(J153="famous faces",26,IF(J153="famous names",27,IF(J153="famous voices",28,IF(J153="television programs",29,IF(J153="race horses",30,IF(J153="new vocabulary",31,IF(J153="sentences",32,IF(J153="concepts",33,IF(J153="ad slides",34,IF(J153="scenes",35,IF(J153="famous scenes",36,IF(J153="poems",37,IF(J153="walk",38,IF(J153="faces and events",39,IF(J153="events and names",40,IF(J153="flashbulb",41,IF(J153="stories",42,IF(J153="course material",43,IF(J153="autobiographical",44,IF(J153="novels",45,IF(J153="public events",46,"99"))))))))))))))))))))))))))))))))))))))))))))))</f>
        <v>9</v>
      </c>
      <c r="L153" s="60">
        <f>IF(J153="syllables",1,IF(J153="trigrams",1,IF(J153="strings",1,IF(J153="visual array",1,IF(J153="characters",1,IF(J153="letters",1,IF(J153="free forms",1,IF(J153="odors",2,IF(J153="words",2,IF(J153="pictures",2,IF(J153="object pictures",2,IF(J153="faces",2,IF(J153="names",2,IF(J153="idioms","2",IF(J153="grades",2,IF(J153="syllable-digit pairs",3,IF(J153="trigram-word pairs",3,IF(J153="word-digit pairs",3,IF(J153="English-Swahili pairs",3,IF(J153="spatial position",3,IF(J153="word pairs",4,IF(J153="word triads",4,IF(J153="generated words",4,IF(J153="word definition pairs",4,IF(J153="math problems",4,IF(J153="famous faces",4,IF(J153="famous names",4,IF(J153="famous voices",4,IF(J153="television programs",4,IF(J153="race horses",4,IF(J153="new vocabulary",4,IF(J153="sentences",5,IF(J153="concepts",5,IF(J153="ad slides",5,IF(J153="scenes",5,IF(J153="famous scenes",5,IF(J153="poems",6,IF(J153="walk",6,IF(J153="faces and events",6,IF(J153="events and names",6,IF(J153="flashbulb",7,IF(J153="stories",7,IF(J153="course material",7,IF(J153="autobiographical",7,IF(J153="novels",7,IF(J153="public events",7,"99"))))))))))))))))))))))))))))))))))))))))))))))</f>
        <v>2</v>
      </c>
      <c r="M153" s="60">
        <v>0</v>
      </c>
      <c r="N153" s="60">
        <v>1</v>
      </c>
      <c r="O153" s="59">
        <v>0</v>
      </c>
      <c r="P153" s="60"/>
      <c r="Q153" s="60" t="s">
        <v>34</v>
      </c>
      <c r="R153" s="60">
        <f>IF(Q153="Free Recall",1,IF(Q153="Cued Recall",2,IF(Q153="Recognition",3,IF(Q153="Multiple Choice",4,IF(Q153="Savings",5,IF(Q153="Stem Completion",6,IF(Q153="Fragment Completion",7,IF(Q153="anagram solution",8,IF(Q153="Matching",9,IF(Q153="Problem Solving",10,"99"))))))))))</f>
        <v>3</v>
      </c>
      <c r="S153" s="60" t="s">
        <v>15</v>
      </c>
      <c r="T153" s="59" t="s">
        <v>261</v>
      </c>
      <c r="U153" s="60">
        <f>IF(T153="within",1,0)</f>
        <v>0</v>
      </c>
      <c r="V153" s="59">
        <v>27</v>
      </c>
      <c r="W153" s="60">
        <f>F153*V153</f>
        <v>1296</v>
      </c>
      <c r="X153" s="60">
        <v>3</v>
      </c>
      <c r="Y153" s="76">
        <f>AV152</f>
        <v>62</v>
      </c>
      <c r="Z153" s="60" t="s">
        <v>79</v>
      </c>
      <c r="AA153" s="60">
        <v>86400</v>
      </c>
      <c r="AB153" s="60" t="str">
        <f>IF(AA153&lt;60,"1",IF(AA153&lt;=43200,"2",IF(AA153&lt;=777600,"3","4")))</f>
        <v>3</v>
      </c>
      <c r="AC153" s="56">
        <f>AVERAGE(AV152:DA152)</f>
        <v>30020.666666666668</v>
      </c>
      <c r="AD153" s="60" t="str">
        <f>IF(AC153&lt;60,"1",IF(AC153&lt;=43200,"2",IF(AC153&lt;=777600,"3","4")))</f>
        <v>2</v>
      </c>
      <c r="AE153" s="76">
        <f>AA153-Y153</f>
        <v>86338</v>
      </c>
      <c r="AF153" s="80">
        <f>AV153</f>
        <v>0.87</v>
      </c>
      <c r="AG153" s="56">
        <f>((AW153-AV153)+(AX153-AW153))/2</f>
        <v>-9.2499999999999971E-2</v>
      </c>
      <c r="AH153" s="4"/>
      <c r="AI153" s="56">
        <f>RSQ(AV153:AX153,AV152:AX152)</f>
        <v>0.62663171455654709</v>
      </c>
      <c r="AJ153" s="109">
        <f>SLOPE(AV153:AX153,AV152:AX152)</f>
        <v>-1.5206092685375515E-6</v>
      </c>
      <c r="AK153" s="56">
        <f>INTERCEPT(AV153:AX153,AV152:AX152)</f>
        <v>0.81398303731434307</v>
      </c>
      <c r="AL153" s="56">
        <f>INDEX(LINEST(LN(AV153:AX153),LN(AV152:AX152),TRUE,TRUE),3,1)</f>
        <v>0.99534724051545453</v>
      </c>
      <c r="AM153" s="56">
        <f>INDEX(LINEST(LN(AV153:AX153),LN(AV152:AX152)),1)</f>
        <v>-3.3182958324869442E-2</v>
      </c>
      <c r="AN153" s="56">
        <f>EXP(INDEX(LINEST(LN(AV153:AX153),LN(AV152:AX152)),1,2))</f>
        <v>0.99354659176369842</v>
      </c>
      <c r="AO153" s="82">
        <f>INDEX(LINEST((AV153:AX153),LN(AV152:AX152),TRUE,TRUE),3,1)</f>
        <v>0.99010343789232269</v>
      </c>
      <c r="AP153" s="82">
        <f>INDEX(LINEST((AV153:AX153),LN(AV152:AX152)),1)</f>
        <v>-2.5735151941111076E-2</v>
      </c>
      <c r="AQ153" s="83">
        <f>INDEX(LINEST(LN(AV153:AX153),SQRT(AV152:AX152),TRUE,TRUE),3,1)</f>
        <v>0.77826621875707014</v>
      </c>
      <c r="AR153" s="116">
        <f>INDEX(LINEST(LN(AV153:AX153),SQRT((AV152:AX152))),1)</f>
        <v>-6.9885555695927749E-4</v>
      </c>
      <c r="AS153" s="84">
        <f>INDEX(LINEST(1/(AV153:AX153),1/(SQRT(AV152:AX152)),TRUE,TRUE),3,1)</f>
        <v>0.90142309442504909</v>
      </c>
      <c r="AT153" s="84">
        <f>INDEX(LINEST(1/(AV153:AX153),1/SQRT(AV152:AX152)),1)</f>
        <v>-2.1841040687571627</v>
      </c>
      <c r="AU153" s="3"/>
      <c r="AV153" s="53">
        <v>0.87</v>
      </c>
      <c r="AW153" s="53">
        <v>0.75</v>
      </c>
      <c r="AX153" s="53">
        <v>0.68500000000000005</v>
      </c>
      <c r="AY153" s="53"/>
      <c r="AZ153" s="53"/>
      <c r="BA153" s="53"/>
      <c r="BB153" s="53"/>
      <c r="BC153" s="53"/>
      <c r="BD153" s="53"/>
      <c r="BE153" s="53"/>
      <c r="BF153" s="53"/>
      <c r="BG153" s="53"/>
      <c r="BH153" s="53"/>
      <c r="BI153" s="53"/>
      <c r="BJ153" s="53"/>
      <c r="BK153" s="53"/>
      <c r="BL153" s="53"/>
      <c r="BM153" s="53"/>
      <c r="BN153" s="53"/>
      <c r="BO153" s="53"/>
      <c r="BP153" s="53"/>
      <c r="BQ153" s="53"/>
      <c r="BR153" s="53"/>
      <c r="BS153" s="53"/>
      <c r="BT153" s="53"/>
      <c r="BU153" s="53"/>
      <c r="BV153" s="53"/>
      <c r="BW153" s="53"/>
      <c r="BX153" s="53"/>
      <c r="BY153" s="53"/>
      <c r="BZ153" s="53"/>
      <c r="CA153" s="53"/>
      <c r="CB153" s="53"/>
      <c r="CC153" s="53"/>
      <c r="CD153" s="53"/>
      <c r="CE153" s="53"/>
      <c r="CF153" s="53"/>
      <c r="CG153" s="53"/>
      <c r="CH153" s="53"/>
      <c r="CI153" s="53"/>
      <c r="CJ153" s="53"/>
      <c r="CK153" s="53"/>
      <c r="CL153" s="53"/>
      <c r="CM153" s="53"/>
      <c r="CN153" s="53"/>
      <c r="CO153" s="53"/>
      <c r="CP153" s="53"/>
      <c r="CQ153" s="53"/>
      <c r="CR153" s="1"/>
      <c r="CS153" s="1"/>
      <c r="CT153" s="1"/>
      <c r="CU153" s="1"/>
    </row>
    <row r="154" spans="1:99" s="13" customFormat="1" ht="12" customHeight="1" x14ac:dyDescent="0.2">
      <c r="A154" s="68">
        <v>43509</v>
      </c>
      <c r="B154" s="70"/>
      <c r="C154" s="70"/>
      <c r="D154" s="69"/>
      <c r="E154" s="87"/>
      <c r="F154" s="69"/>
      <c r="G154" s="69"/>
      <c r="H154" s="69"/>
      <c r="I154" s="69"/>
      <c r="J154" s="69"/>
      <c r="K154" s="107"/>
      <c r="L154" s="107"/>
      <c r="M154" s="69"/>
      <c r="N154" s="69"/>
      <c r="O154" s="69"/>
      <c r="P154" s="69"/>
      <c r="Q154" s="69"/>
      <c r="R154" s="69"/>
      <c r="S154" s="69"/>
      <c r="T154" s="69"/>
      <c r="U154" s="69"/>
      <c r="V154" s="69"/>
      <c r="W154" s="69"/>
      <c r="X154" s="69"/>
      <c r="Y154" s="87"/>
      <c r="Z154" s="69"/>
      <c r="AA154" s="69"/>
      <c r="AB154" s="69"/>
      <c r="AC154" s="69"/>
      <c r="AD154" s="69"/>
      <c r="AE154" s="69"/>
      <c r="AF154" s="88"/>
      <c r="AG154" s="72"/>
      <c r="AH154" s="4"/>
      <c r="AI154" s="72"/>
      <c r="AJ154" s="110"/>
      <c r="AK154" s="72"/>
      <c r="AL154" s="72"/>
      <c r="AM154" s="72"/>
      <c r="AN154" s="72"/>
      <c r="AO154" s="72"/>
      <c r="AP154" s="72"/>
      <c r="AQ154" s="72"/>
      <c r="AR154" s="110"/>
      <c r="AS154" s="72"/>
      <c r="AT154" s="72"/>
      <c r="AU154" s="7"/>
      <c r="AV154" s="73">
        <v>74</v>
      </c>
      <c r="AW154" s="71">
        <f>60</f>
        <v>60</v>
      </c>
      <c r="AX154" s="71">
        <f>5*60</f>
        <v>300</v>
      </c>
      <c r="AY154" s="71">
        <f>30*60</f>
        <v>1800</v>
      </c>
      <c r="AZ154" s="71">
        <f>3600*24</f>
        <v>86400</v>
      </c>
      <c r="BA154" s="53" t="s">
        <v>515</v>
      </c>
      <c r="BB154" s="53"/>
      <c r="BC154" s="53"/>
      <c r="BD154" s="53"/>
      <c r="BE154" s="53"/>
      <c r="BF154" s="53"/>
      <c r="BG154" s="53"/>
      <c r="BH154" s="53"/>
      <c r="BI154" s="53"/>
      <c r="BJ154" s="53"/>
      <c r="BK154" s="53"/>
      <c r="BL154" s="53"/>
      <c r="BM154" s="53"/>
      <c r="BN154" s="53"/>
      <c r="BO154" s="53"/>
      <c r="BP154" s="53"/>
      <c r="BQ154" s="53"/>
      <c r="BR154" s="53"/>
      <c r="BS154" s="53"/>
      <c r="BT154" s="53"/>
      <c r="BU154" s="53"/>
      <c r="BV154" s="53"/>
      <c r="BW154" s="53"/>
      <c r="BX154" s="53"/>
      <c r="BY154" s="53"/>
      <c r="BZ154" s="53"/>
      <c r="CA154" s="53"/>
      <c r="CB154" s="53"/>
      <c r="CC154" s="53"/>
      <c r="CD154" s="53"/>
      <c r="CE154" s="53"/>
      <c r="CF154" s="53"/>
      <c r="CG154" s="53"/>
      <c r="CH154" s="53"/>
      <c r="CI154" s="53"/>
      <c r="CJ154" s="53"/>
      <c r="CK154" s="53"/>
      <c r="CL154" s="53"/>
      <c r="CM154" s="53"/>
      <c r="CN154" s="53"/>
      <c r="CO154" s="53"/>
      <c r="CP154" s="53"/>
      <c r="CQ154" s="53"/>
      <c r="CR154" s="1"/>
      <c r="CS154" s="1"/>
      <c r="CT154" s="1"/>
      <c r="CU154" s="1"/>
    </row>
    <row r="155" spans="1:99" s="13" customFormat="1" ht="12" customHeight="1" x14ac:dyDescent="0.2">
      <c r="A155" s="68">
        <v>43509</v>
      </c>
      <c r="B155" s="70" t="s">
        <v>81</v>
      </c>
      <c r="C155" s="70" t="s">
        <v>82</v>
      </c>
      <c r="D155" s="69">
        <v>1968</v>
      </c>
      <c r="E155" s="87">
        <v>1</v>
      </c>
      <c r="F155" s="69">
        <v>95</v>
      </c>
      <c r="G155" s="69">
        <v>19</v>
      </c>
      <c r="H155" s="69" t="s">
        <v>50</v>
      </c>
      <c r="I155" s="69" t="s">
        <v>706</v>
      </c>
      <c r="J155" s="69" t="s">
        <v>281</v>
      </c>
      <c r="K155" s="69">
        <f>IF(J155="syllables",1,IF(J155="trigrams",2,IF(J155="strings",3,IF(J155="visual array",4,IF(J155="characters",5,IF(J155="letters",6,IF(J155="free forms",7,IF(J155="odors",8,IF(J155="words",9,IF(J155="pictures",10,IF(J155="object pictures",11,IF(J155="faces",12,IF(J155="names",13,IF(J155="idioms",14,IF(J155="grades",15,IF(J155="syllable-digit pairs",16,IF(J155="trigram-word pairs",17,IF(J155="word-digit pairs",18,IF(J155="English-Swahili pairs",19,IF(J155="spatial position",20,IF(J155="word pairs",21,IF(J155="word triads",22,IF(J155="generated words",23,IF(J155="word definition pairs",24,IF(J155="math problems",25,IF(J155="famous faces",26,IF(J155="famous names",27,IF(J155="famous voices",28,IF(J155="television programs",29,IF(J155="race horses",30,IF(J155="new vocabulary",31,IF(J155="sentences",32,IF(J155="concepts",33,IF(J155="ad slides",34,IF(J155="scenes",35,IF(J155="famous scenes",36,IF(J155="poems",37,IF(J155="walk",38,IF(J155="faces and events",39,IF(J155="events and names",40,IF(J155="flashbulb",41,IF(J155="stories",42,IF(J155="course material",43,IF(J155="autobiographical",44,IF(J155="novels",45,IF(J155="public events",46,"99"))))))))))))))))))))))))))))))))))))))))))))))</f>
        <v>1</v>
      </c>
      <c r="L155" s="69">
        <f>IF(J155="syllables",1,IF(J155="trigrams",1,IF(J155="strings",1,IF(J155="visual array",1,IF(J155="characters",1,IF(J155="letters",1,IF(J155="free forms",1,IF(J155="odors",2,IF(J155="words",2,IF(J155="pictures",2,IF(J155="object pictures",2,IF(J155="faces",2,IF(J155="names",2,IF(J155="idioms","2",IF(J155="grades",2,IF(J155="syllable-digit pairs",3,IF(J155="trigram-word pairs",3,IF(J155="word-digit pairs",3,IF(J155="English-Swahili pairs",3,IF(J155="spatial position",3,IF(J155="word pairs",4,IF(J155="word triads",4,IF(J155="generated words",4,IF(J155="word definition pairs",4,IF(J155="math problems",4,IF(J155="famous faces",4,IF(J155="famous names",4,IF(J155="famous voices",4,IF(J155="television programs",4,IF(J155="race horses",4,IF(J155="new vocabulary",4,IF(J155="sentences",5,IF(J155="concepts",5,IF(J155="ad slides",5,IF(J155="scenes",5,IF(J155="famous scenes",5,IF(J155="poems",6,IF(J155="walk",6,IF(J155="faces and events",6,IF(J155="events and names",6,IF(J155="flashbulb",7,IF(J155="stories",7,IF(J155="course material",7,IF(J155="autobiographical",7,IF(J155="novels",7,IF(J155="public events",7,"99"))))))))))))))))))))))))))))))))))))))))))))))</f>
        <v>1</v>
      </c>
      <c r="M155" s="69">
        <v>0</v>
      </c>
      <c r="N155" s="69">
        <v>1</v>
      </c>
      <c r="O155" s="69">
        <v>1</v>
      </c>
      <c r="P155" s="69" t="s">
        <v>83</v>
      </c>
      <c r="Q155" s="69" t="s">
        <v>174</v>
      </c>
      <c r="R155" s="69">
        <f>IF(Q155="Free Recall",1,IF(Q155="Cued Recall",2,IF(Q155="Recognition",3,IF(Q155="Multiple Choice",4,IF(Q155="Savings",5,IF(Q155="Stem Completion",6,IF(Q155="Fragment Completion",7,IF(Q155="anagram solution",8,IF(Q155="Matching",9,IF(Q155="Problem Solving",10,"99"))))))))))</f>
        <v>1</v>
      </c>
      <c r="S155" s="69" t="s">
        <v>49</v>
      </c>
      <c r="T155" s="69" t="s">
        <v>261</v>
      </c>
      <c r="U155" s="69">
        <f>IF(T155="within",1,0)</f>
        <v>0</v>
      </c>
      <c r="V155" s="69">
        <v>7</v>
      </c>
      <c r="W155" s="69">
        <f>F155*V155</f>
        <v>665</v>
      </c>
      <c r="X155" s="69">
        <v>5</v>
      </c>
      <c r="Y155" s="87">
        <f>AV154</f>
        <v>74</v>
      </c>
      <c r="Z155" s="69" t="s">
        <v>79</v>
      </c>
      <c r="AA155" s="69">
        <v>86400</v>
      </c>
      <c r="AB155" s="69" t="str">
        <f>IF(AA155&lt;60,"1",IF(AA155&lt;=43200,"2",IF(AA155&lt;=777600,"3","4")))</f>
        <v>3</v>
      </c>
      <c r="AC155" s="72">
        <f>AVERAGE(AV154:DA154)</f>
        <v>17726.8</v>
      </c>
      <c r="AD155" s="69" t="str">
        <f>IF(AC155&lt;60,"1",IF(AC155&lt;=43200,"2",IF(AC155&lt;=777600,"3","4")))</f>
        <v>2</v>
      </c>
      <c r="AE155" s="87">
        <f>AA155-Y155</f>
        <v>86326</v>
      </c>
      <c r="AF155" s="88">
        <f>AV155</f>
        <v>0.84299999999999997</v>
      </c>
      <c r="AG155" s="72">
        <f>((AW155-AV155)+(AX155-AW155)+(AY155-AX155)+(AZ155-AY155))/4</f>
        <v>-8.5749999999999993E-2</v>
      </c>
      <c r="AH155" s="4"/>
      <c r="AI155" s="72">
        <f>RSQ(AV155:AZ155,AV154:AZ154)</f>
        <v>0.27054475291634944</v>
      </c>
      <c r="AJ155" s="110">
        <f>SLOPE(AV155:AZ155,AV154:AZ154)</f>
        <v>-1.9199787660416178E-6</v>
      </c>
      <c r="AK155" s="72">
        <f>INTERCEPT(AV155:AZ155,AV154:AZ154)</f>
        <v>0.66263507958986656</v>
      </c>
      <c r="AL155" s="72">
        <f>INDEX(LINEST(LN(AV155:AZ155),LN(AV154:AZ154),TRUE,TRUE),3,1)</f>
        <v>0.65097240595077277</v>
      </c>
      <c r="AM155" s="72">
        <f>INDEX(LINEST(LN(AV155:AZ155),LN(AV154:AZ154)),1)</f>
        <v>-5.9043720295593315E-2</v>
      </c>
      <c r="AN155" s="72">
        <f>EXP(INDEX(LINEST(LN(AV155:AZ155),LN(AV154:AZ154)),1,2))</f>
        <v>0.90977912094093505</v>
      </c>
      <c r="AO155" s="89">
        <f>INDEX(LINEST((AV155:AZ155),LN(AV154:AZ154),TRUE,TRUE),3,1)</f>
        <v>0.60054519349039648</v>
      </c>
      <c r="AP155" s="89">
        <f>INDEX(LINEST((AV155:AZ155),LN(AV154:AZ154)),1)</f>
        <v>-3.6674526944839435E-2</v>
      </c>
      <c r="AQ155" s="90">
        <f>INDEX(LINEST(LN(AV155:AZ155),SQRT(AV154:AZ154),TRUE,TRUE),3,1)</f>
        <v>0.3769173825015556</v>
      </c>
      <c r="AR155" s="117">
        <f>INDEX(LINEST(LN(AV155:AZ155),SQRT((AV154:AZ154))),1)</f>
        <v>-1.0873531542923412E-3</v>
      </c>
      <c r="AS155" s="91">
        <f>INDEX(LINEST(1/(AV155:AZ155),1/(SQRT(AV154:AZ154)),TRUE,TRUE),3,1)</f>
        <v>0.78421084347388648</v>
      </c>
      <c r="AT155" s="91">
        <f>INDEX(LINEST(1/(AV155:AZ155),1/SQRT(AV154:AZ154)),1)</f>
        <v>-5.5725197460782718</v>
      </c>
      <c r="AU155" s="3"/>
      <c r="AV155" s="73">
        <v>0.84299999999999997</v>
      </c>
      <c r="AW155" s="73">
        <v>0.66400000000000003</v>
      </c>
      <c r="AX155" s="73">
        <v>0.63600000000000001</v>
      </c>
      <c r="AY155" s="73">
        <v>0.5</v>
      </c>
      <c r="AZ155" s="73">
        <v>0.5</v>
      </c>
      <c r="BA155" s="53"/>
      <c r="BB155" s="53"/>
      <c r="BC155" s="53"/>
      <c r="BD155" s="53"/>
      <c r="BE155" s="53"/>
      <c r="BF155" s="53"/>
      <c r="BG155" s="53"/>
      <c r="BH155" s="53"/>
      <c r="BI155" s="53"/>
      <c r="BJ155" s="53"/>
      <c r="BK155" s="53"/>
      <c r="BL155" s="53"/>
      <c r="BM155" s="53"/>
      <c r="BN155" s="53"/>
      <c r="BO155" s="53"/>
      <c r="BP155" s="53"/>
      <c r="BQ155" s="53"/>
      <c r="BR155" s="53"/>
      <c r="BS155" s="53"/>
      <c r="BT155" s="53"/>
      <c r="BU155" s="53"/>
      <c r="BV155" s="53"/>
      <c r="BW155" s="53"/>
      <c r="BX155" s="53"/>
      <c r="BY155" s="53"/>
      <c r="BZ155" s="53"/>
      <c r="CA155" s="53"/>
      <c r="CB155" s="53"/>
      <c r="CC155" s="53"/>
      <c r="CD155" s="53"/>
      <c r="CE155" s="53"/>
      <c r="CF155" s="53"/>
      <c r="CG155" s="53"/>
      <c r="CH155" s="53"/>
      <c r="CI155" s="53"/>
      <c r="CJ155" s="53"/>
      <c r="CK155" s="53"/>
      <c r="CL155" s="53"/>
      <c r="CM155" s="53"/>
      <c r="CN155" s="53"/>
      <c r="CO155" s="53"/>
      <c r="CP155" s="53"/>
      <c r="CQ155" s="53"/>
      <c r="CR155" s="1"/>
      <c r="CS155" s="1"/>
      <c r="CT155" s="1"/>
      <c r="CU155" s="1"/>
    </row>
    <row r="156" spans="1:99" s="13" customFormat="1" ht="12" customHeight="1" x14ac:dyDescent="0.2">
      <c r="A156" s="65">
        <v>43903</v>
      </c>
      <c r="B156" s="1"/>
      <c r="C156" s="1"/>
      <c r="D156" s="60"/>
      <c r="E156" s="76"/>
      <c r="F156" s="60"/>
      <c r="G156" s="60"/>
      <c r="H156" s="60"/>
      <c r="I156" s="60"/>
      <c r="J156" s="60"/>
      <c r="K156" s="64"/>
      <c r="L156" s="64"/>
      <c r="M156" s="60"/>
      <c r="N156" s="61"/>
      <c r="O156" s="60"/>
      <c r="P156" s="60"/>
      <c r="Q156" s="60"/>
      <c r="R156" s="60"/>
      <c r="S156" s="60"/>
      <c r="T156" s="59"/>
      <c r="U156" s="60"/>
      <c r="V156" s="59"/>
      <c r="W156" s="60"/>
      <c r="X156" s="60"/>
      <c r="Y156" s="76"/>
      <c r="Z156" s="60"/>
      <c r="AA156" s="60"/>
      <c r="AB156" s="60"/>
      <c r="AC156" s="56"/>
      <c r="AD156" s="60"/>
      <c r="AE156" s="60"/>
      <c r="AF156" s="80"/>
      <c r="AG156" s="56"/>
      <c r="AH156" s="4"/>
      <c r="AI156" s="56"/>
      <c r="AJ156" s="109"/>
      <c r="AK156" s="56"/>
      <c r="AL156" s="56"/>
      <c r="AM156" s="56"/>
      <c r="AN156" s="56"/>
      <c r="AO156" s="82"/>
      <c r="AP156" s="82"/>
      <c r="AQ156" s="83"/>
      <c r="AR156" s="116"/>
      <c r="AS156" s="84"/>
      <c r="AT156" s="84"/>
      <c r="AU156" s="3"/>
      <c r="AV156" s="25">
        <v>600</v>
      </c>
      <c r="AW156" s="25">
        <v>86400</v>
      </c>
      <c r="AX156" s="25">
        <v>604800</v>
      </c>
      <c r="AY156" s="53"/>
      <c r="AZ156" s="53"/>
      <c r="BA156" s="53"/>
      <c r="BB156" s="53"/>
      <c r="BC156" s="53"/>
      <c r="BD156" s="53"/>
      <c r="BE156" s="53"/>
      <c r="BF156" s="53"/>
      <c r="BG156" s="53"/>
      <c r="BH156" s="53"/>
      <c r="BI156" s="53"/>
      <c r="BJ156" s="53"/>
      <c r="BK156" s="53"/>
      <c r="BL156" s="53"/>
      <c r="BM156" s="53"/>
      <c r="BN156" s="53"/>
      <c r="BO156" s="53"/>
      <c r="BP156" s="53"/>
      <c r="BQ156" s="53"/>
      <c r="BR156" s="53"/>
      <c r="BS156" s="53"/>
      <c r="BT156" s="53"/>
      <c r="BU156" s="53"/>
      <c r="BV156" s="53"/>
      <c r="BW156" s="53"/>
      <c r="BX156" s="53"/>
      <c r="BY156" s="53"/>
      <c r="BZ156" s="53"/>
      <c r="CA156" s="53"/>
      <c r="CB156" s="53"/>
      <c r="CC156" s="53"/>
      <c r="CD156" s="53"/>
      <c r="CE156" s="53"/>
      <c r="CF156" s="53"/>
      <c r="CG156" s="53"/>
      <c r="CH156" s="53"/>
      <c r="CI156" s="53"/>
      <c r="CJ156" s="53"/>
      <c r="CK156" s="53"/>
      <c r="CL156" s="53"/>
      <c r="CM156" s="53"/>
      <c r="CN156" s="53"/>
      <c r="CO156" s="53"/>
      <c r="CP156" s="53"/>
      <c r="CQ156" s="53"/>
      <c r="CR156" s="1"/>
      <c r="CS156" s="1"/>
      <c r="CT156" s="1"/>
      <c r="CU156" s="1"/>
    </row>
    <row r="157" spans="1:99" s="13" customFormat="1" ht="12" customHeight="1" x14ac:dyDescent="0.2">
      <c r="A157" s="65">
        <v>43903</v>
      </c>
      <c r="B157" s="1" t="s">
        <v>486</v>
      </c>
      <c r="C157" s="1" t="s">
        <v>357</v>
      </c>
      <c r="D157" s="60">
        <v>1979</v>
      </c>
      <c r="E157" s="76">
        <v>1</v>
      </c>
      <c r="F157" s="60">
        <v>2</v>
      </c>
      <c r="G157" s="60">
        <v>2</v>
      </c>
      <c r="H157" s="60" t="s">
        <v>50</v>
      </c>
      <c r="I157" s="60" t="s">
        <v>330</v>
      </c>
      <c r="J157" s="60" t="s">
        <v>313</v>
      </c>
      <c r="K157" s="60">
        <f>IF(J157="syllables",1,IF(J157="trigrams",2,IF(J157="strings",3,IF(J157="visual array",4,IF(J157="characters",5,IF(J157="letters",6,IF(J157="free forms",7,IF(J157="odors",8,IF(J157="words",9,IF(J157="pictures",10,IF(J157="object pictures",11,IF(J157="faces",12,IF(J157="names",13,IF(J157="idioms",14,IF(J157="grades",15,IF(J157="syllable-digit pairs",16,IF(J157="trigram-word pairs",17,IF(J157="word-digit pairs",18,IF(J157="English-Swahili pairs",19,IF(J157="spatial position",20,IF(J157="word pairs",21,IF(J157="word triads",22,IF(J157="generated words",23,IF(J157="word definition pairs",24,IF(J157="math problems",25,IF(J157="famous faces",26,IF(J157="famous names",27,IF(J157="famous voices",28,IF(J157="television programs",29,IF(J157="race horses",30,IF(J157="new vocabulary",31,IF(J157="sentences",32,IF(J157="concepts",33,IF(J157="ad slides",34,IF(J157="scenes",35,IF(J157="famous scenes",36,IF(J157="poems",37,IF(J157="walk",38,IF(J157="faces and events",39,IF(J157="events and names",40,IF(J157="flashbulb",41,IF(J157="stories",42,IF(J157="course material",43,IF(J157="autobiographical",44,IF(J157="novels",45,IF(J157="public events",46,"99"))))))))))))))))))))))))))))))))))))))))))))))</f>
        <v>10</v>
      </c>
      <c r="L157" s="60">
        <f>IF(J157="syllables",1,IF(J157="trigrams",1,IF(J157="strings",1,IF(J157="visual array",1,IF(J157="characters",1,IF(J157="letters",1,IF(J157="free forms",1,IF(J157="odors",2,IF(J157="words",2,IF(J157="pictures",2,IF(J157="object pictures",2,IF(J157="faces",2,IF(J157="names",2,IF(J157="idioms","2",IF(J157="grades",2,IF(J157="syllable-digit pairs",3,IF(J157="trigram-word pairs",3,IF(J157="word-digit pairs",3,IF(J157="English-Swahili pairs",3,IF(J157="spatial position",3,IF(J157="word pairs",4,IF(J157="word triads",4,IF(J157="generated words",4,IF(J157="word definition pairs",4,IF(J157="math problems",4,IF(J157="famous faces",4,IF(J157="famous names",4,IF(J157="famous voices",4,IF(J157="television programs",4,IF(J157="race horses",4,IF(J157="new vocabulary",4,IF(J157="sentences",5,IF(J157="concepts",5,IF(J157="ad slides",5,IF(J157="scenes",5,IF(J157="famous scenes",5,IF(J157="poems",6,IF(J157="walk",6,IF(J157="faces and events",6,IF(J157="events and names",6,IF(J157="flashbulb",7,IF(J157="stories",7,IF(J157="course material",7,IF(J157="autobiographical",7,IF(J157="novels",7,IF(J157="public events",7,"99"))))))))))))))))))))))))))))))))))))))))))))))</f>
        <v>2</v>
      </c>
      <c r="M157" s="60">
        <v>0</v>
      </c>
      <c r="N157" s="61">
        <v>1</v>
      </c>
      <c r="O157" s="60">
        <v>0</v>
      </c>
      <c r="P157" s="60"/>
      <c r="Q157" s="60" t="s">
        <v>34</v>
      </c>
      <c r="R157" s="60">
        <f>IF(Q157="Free Recall",1,IF(Q157="Cued Recall",2,IF(Q157="Recognition",3,IF(Q157="Multiple Choice",4,IF(Q157="Savings",5,IF(Q157="Stem Completion",6,IF(Q157="Fragment Completion",7,IF(Q157="anagram solution",8,IF(Q157="Matching",9,IF(Q157="Problem Solving",10,"99"))))))))))</f>
        <v>3</v>
      </c>
      <c r="S157" s="60" t="s">
        <v>15</v>
      </c>
      <c r="T157" s="59" t="s">
        <v>581</v>
      </c>
      <c r="U157" s="60">
        <f>IF(T157="within",1,0)</f>
        <v>1</v>
      </c>
      <c r="V157" s="59">
        <v>120</v>
      </c>
      <c r="W157" s="60">
        <f>F157*V157</f>
        <v>240</v>
      </c>
      <c r="X157" s="60">
        <v>3</v>
      </c>
      <c r="Y157" s="76">
        <f>AV156</f>
        <v>600</v>
      </c>
      <c r="Z157" s="60" t="s">
        <v>97</v>
      </c>
      <c r="AA157" s="60">
        <v>604800</v>
      </c>
      <c r="AB157" s="60" t="str">
        <f>IF(AA157&lt;60,"1",IF(AA157&lt;=43200,"2",IF(AA157&lt;=777600,"3","4")))</f>
        <v>3</v>
      </c>
      <c r="AC157" s="56">
        <f>AVERAGE(AV156:DA156)</f>
        <v>230600</v>
      </c>
      <c r="AD157" s="60" t="str">
        <f>IF(AC157&lt;60,"1",IF(AC157&lt;=43200,"2",IF(AC157&lt;=777600,"3","4")))</f>
        <v>3</v>
      </c>
      <c r="AE157" s="76">
        <f>AA157-Y157</f>
        <v>604200</v>
      </c>
      <c r="AF157" s="80">
        <f>AV157</f>
        <v>0.84</v>
      </c>
      <c r="AG157" s="56">
        <f>((AW157-AV157)+(AX157-AW157))/2</f>
        <v>-7.0000000000000007E-2</v>
      </c>
      <c r="AH157" s="4"/>
      <c r="AI157" s="56">
        <f>RSQ(AV157:AX157,AV156:AX156)</f>
        <v>0.85405874472345267</v>
      </c>
      <c r="AJ157" s="109">
        <f>SLOPE(AV157:AX157,AV156:AX156)</f>
        <v>-1.9789510801271657E-7</v>
      </c>
      <c r="AK157" s="56">
        <f>INTERCEPT(AV157:AX157,AV156:AX156)</f>
        <v>0.81563461190773234</v>
      </c>
      <c r="AL157" s="56">
        <f>INDEX(LINEST(LN(AV157:AX157),LN(AV156:AX156),TRUE,TRUE),3,1)</f>
        <v>0.92701653841827814</v>
      </c>
      <c r="AM157" s="56">
        <f>INDEX(LINEST(LN(AV157:AX157),LN(AV156:AX156)),1)</f>
        <v>-2.4619458230427545E-2</v>
      </c>
      <c r="AN157" s="56">
        <f>EXP(INDEX(LINEST(LN(AV157:AX157),LN(AV156:AX156)),1,2))</f>
        <v>0.99093771483458859</v>
      </c>
      <c r="AO157" s="82">
        <f>INDEX(LINEST((AV157:AX157),LN(AV156:AX156),TRUE,TRUE),3,1)</f>
        <v>0.94008878387362016</v>
      </c>
      <c r="AP157" s="82">
        <f>INDEX(LINEST((AV157:AX157),LN(AV156:AX156)),1)</f>
        <v>-1.9030898317421031E-2</v>
      </c>
      <c r="AQ157" s="83">
        <f>INDEX(LINEST(LN(AV157:AX157),SQRT(AV156:AX156),TRUE,TRUE),3,1)</f>
        <v>0.98147083301333538</v>
      </c>
      <c r="AR157" s="116">
        <f>INDEX(LINEST(LN(AV157:AX157),SQRT((AV156:AX156))),1)</f>
        <v>-2.3672143050461382E-4</v>
      </c>
      <c r="AS157" s="84">
        <f>INDEX(LINEST(1/(AV157:AX157),1/(SQRT(AV156:AX156)),TRUE,TRUE),3,1)</f>
        <v>0.74578962495735912</v>
      </c>
      <c r="AT157" s="84">
        <f>INDEX(LINEST(1/(AV157:AX157),1/SQRT(AV156:AX156)),1)</f>
        <v>-4.6286047066886802</v>
      </c>
      <c r="AU157" s="3"/>
      <c r="AV157" s="53">
        <v>0.84</v>
      </c>
      <c r="AW157" s="53">
        <v>0.77</v>
      </c>
      <c r="AX157" s="53">
        <v>0.7</v>
      </c>
      <c r="AY157" s="53"/>
      <c r="AZ157" s="53"/>
      <c r="BA157" s="53"/>
      <c r="BB157" s="53"/>
      <c r="BC157" s="53"/>
      <c r="BD157" s="53"/>
      <c r="BE157" s="53"/>
      <c r="BF157" s="53"/>
      <c r="BG157" s="53"/>
      <c r="BH157" s="53"/>
      <c r="BI157" s="53"/>
      <c r="BJ157" s="53"/>
      <c r="BK157" s="53"/>
      <c r="BL157" s="53"/>
      <c r="BM157" s="53"/>
      <c r="BN157" s="53"/>
      <c r="BO157" s="53"/>
      <c r="BP157" s="53"/>
      <c r="BQ157" s="53"/>
      <c r="BR157" s="53"/>
      <c r="BS157" s="53"/>
      <c r="BT157" s="53"/>
      <c r="BU157" s="53"/>
      <c r="BV157" s="53"/>
      <c r="BW157" s="53"/>
      <c r="BX157" s="53"/>
      <c r="BY157" s="53"/>
      <c r="BZ157" s="53"/>
      <c r="CA157" s="53"/>
      <c r="CB157" s="53"/>
      <c r="CC157" s="53"/>
      <c r="CD157" s="53"/>
      <c r="CE157" s="53"/>
      <c r="CF157" s="53"/>
      <c r="CG157" s="53"/>
      <c r="CH157" s="53"/>
      <c r="CI157" s="53"/>
      <c r="CJ157" s="53"/>
      <c r="CK157" s="53"/>
      <c r="CL157" s="53"/>
      <c r="CM157" s="53"/>
      <c r="CN157" s="53"/>
      <c r="CO157" s="53"/>
      <c r="CP157" s="53"/>
      <c r="CQ157" s="53"/>
      <c r="CR157" s="1"/>
      <c r="CS157" s="1"/>
      <c r="CT157" s="1"/>
      <c r="CU157" s="1"/>
    </row>
    <row r="158" spans="1:99" s="13" customFormat="1" ht="12" customHeight="1" x14ac:dyDescent="0.2">
      <c r="A158" s="68">
        <v>43902</v>
      </c>
      <c r="B158" s="70"/>
      <c r="C158" s="70"/>
      <c r="D158" s="69"/>
      <c r="E158" s="87"/>
      <c r="F158" s="69"/>
      <c r="G158" s="69"/>
      <c r="H158" s="69"/>
      <c r="I158" s="69"/>
      <c r="J158" s="69"/>
      <c r="K158" s="107"/>
      <c r="L158" s="107"/>
      <c r="M158" s="69"/>
      <c r="N158" s="86"/>
      <c r="O158" s="69"/>
      <c r="P158" s="69"/>
      <c r="Q158" s="69"/>
      <c r="R158" s="69"/>
      <c r="S158" s="69"/>
      <c r="T158" s="69"/>
      <c r="U158" s="69"/>
      <c r="V158" s="69"/>
      <c r="W158" s="69"/>
      <c r="X158" s="69"/>
      <c r="Y158" s="87"/>
      <c r="Z158" s="69"/>
      <c r="AA158" s="69"/>
      <c r="AB158" s="69"/>
      <c r="AC158" s="72"/>
      <c r="AD158" s="69"/>
      <c r="AE158" s="69"/>
      <c r="AF158" s="88"/>
      <c r="AG158" s="72"/>
      <c r="AH158" s="4"/>
      <c r="AI158" s="72"/>
      <c r="AJ158" s="110"/>
      <c r="AK158" s="72"/>
      <c r="AL158" s="72"/>
      <c r="AM158" s="72"/>
      <c r="AN158" s="72"/>
      <c r="AO158" s="89"/>
      <c r="AP158" s="89"/>
      <c r="AQ158" s="90"/>
      <c r="AR158" s="117"/>
      <c r="AS158" s="91"/>
      <c r="AT158" s="91"/>
      <c r="AU158" s="3"/>
      <c r="AV158" s="71">
        <v>600</v>
      </c>
      <c r="AW158" s="71">
        <v>86400</v>
      </c>
      <c r="AX158" s="71">
        <v>604800</v>
      </c>
      <c r="AY158" s="53"/>
      <c r="AZ158" s="53"/>
      <c r="BA158" s="53"/>
      <c r="BB158" s="53"/>
      <c r="BC158" s="53"/>
      <c r="BD158" s="53"/>
      <c r="BE158" s="53"/>
      <c r="BF158" s="53"/>
      <c r="BG158" s="53"/>
      <c r="BH158" s="53"/>
      <c r="BI158" s="53"/>
      <c r="BJ158" s="53"/>
      <c r="BK158" s="53"/>
      <c r="BL158" s="53"/>
      <c r="BM158" s="53"/>
      <c r="BN158" s="53"/>
      <c r="BO158" s="53"/>
      <c r="BP158" s="53"/>
      <c r="BQ158" s="53"/>
      <c r="BR158" s="53"/>
      <c r="BS158" s="53"/>
      <c r="BT158" s="53"/>
      <c r="BU158" s="53"/>
      <c r="BV158" s="53"/>
      <c r="BW158" s="53"/>
      <c r="BX158" s="53"/>
      <c r="BY158" s="53"/>
      <c r="BZ158" s="53"/>
      <c r="CA158" s="53"/>
      <c r="CB158" s="53"/>
      <c r="CC158" s="53"/>
      <c r="CD158" s="53"/>
      <c r="CE158" s="53"/>
      <c r="CF158" s="53"/>
      <c r="CG158" s="53"/>
      <c r="CH158" s="53"/>
      <c r="CI158" s="53"/>
      <c r="CJ158" s="53"/>
      <c r="CK158" s="53"/>
      <c r="CL158" s="53"/>
      <c r="CM158" s="53"/>
      <c r="CN158" s="53"/>
      <c r="CO158" s="53"/>
      <c r="CP158" s="53"/>
      <c r="CQ158" s="53"/>
      <c r="CR158" s="1"/>
      <c r="CS158" s="1"/>
      <c r="CT158" s="1"/>
      <c r="CU158" s="1"/>
    </row>
    <row r="159" spans="1:99" s="13" customFormat="1" ht="12" customHeight="1" x14ac:dyDescent="0.2">
      <c r="A159" s="68">
        <v>43902</v>
      </c>
      <c r="B159" s="70" t="s">
        <v>462</v>
      </c>
      <c r="C159" s="70" t="s">
        <v>463</v>
      </c>
      <c r="D159" s="69">
        <v>1978</v>
      </c>
      <c r="E159" s="87">
        <v>1</v>
      </c>
      <c r="F159" s="69">
        <v>6</v>
      </c>
      <c r="G159" s="69">
        <v>6</v>
      </c>
      <c r="H159" s="69" t="s">
        <v>50</v>
      </c>
      <c r="I159" s="69" t="s">
        <v>330</v>
      </c>
      <c r="J159" s="69" t="s">
        <v>313</v>
      </c>
      <c r="K159" s="69">
        <f>IF(J159="syllables",1,IF(J159="trigrams",2,IF(J159="strings",3,IF(J159="visual array",4,IF(J159="characters",5,IF(J159="letters",6,IF(J159="free forms",7,IF(J159="odors",8,IF(J159="words",9,IF(J159="pictures",10,IF(J159="object pictures",11,IF(J159="faces",12,IF(J159="names",13,IF(J159="idioms",14,IF(J159="grades",15,IF(J159="syllable-digit pairs",16,IF(J159="trigram-word pairs",17,IF(J159="word-digit pairs",18,IF(J159="English-Swahili pairs",19,IF(J159="spatial position",20,IF(J159="word pairs",21,IF(J159="word triads",22,IF(J159="generated words",23,IF(J159="word definition pairs",24,IF(J159="math problems",25,IF(J159="famous faces",26,IF(J159="famous names",27,IF(J159="famous voices",28,IF(J159="television programs",29,IF(J159="race horses",30,IF(J159="new vocabulary",31,IF(J159="sentences",32,IF(J159="concepts",33,IF(J159="ad slides",34,IF(J159="scenes",35,IF(J159="famous scenes",36,IF(J159="poems",37,IF(J159="walk",38,IF(J159="faces and events",39,IF(J159="events and names",40,IF(J159="flashbulb",41,IF(J159="stories",42,IF(J159="course material",43,IF(J159="autobiographical",44,IF(J159="novels",45,IF(J159="public events",46,"99"))))))))))))))))))))))))))))))))))))))))))))))</f>
        <v>10</v>
      </c>
      <c r="L159" s="69">
        <f>IF(J159="syllables",1,IF(J159="trigrams",1,IF(J159="strings",1,IF(J159="visual array",1,IF(J159="characters",1,IF(J159="letters",1,IF(J159="free forms",1,IF(J159="odors",2,IF(J159="words",2,IF(J159="pictures",2,IF(J159="object pictures",2,IF(J159="faces",2,IF(J159="names",2,IF(J159="idioms","2",IF(J159="grades",2,IF(J159="syllable-digit pairs",3,IF(J159="trigram-word pairs",3,IF(J159="word-digit pairs",3,IF(J159="English-Swahili pairs",3,IF(J159="spatial position",3,IF(J159="word pairs",4,IF(J159="word triads",4,IF(J159="generated words",4,IF(J159="word definition pairs",4,IF(J159="math problems",4,IF(J159="famous faces",4,IF(J159="famous names",4,IF(J159="famous voices",4,IF(J159="television programs",4,IF(J159="race horses",4,IF(J159="new vocabulary",4,IF(J159="sentences",5,IF(J159="concepts",5,IF(J159="ad slides",5,IF(J159="scenes",5,IF(J159="famous scenes",5,IF(J159="poems",6,IF(J159="walk",6,IF(J159="faces and events",6,IF(J159="events and names",6,IF(J159="flashbulb",7,IF(J159="stories",7,IF(J159="course material",7,IF(J159="autobiographical",7,IF(J159="novels",7,IF(J159="public events",7,"99"))))))))))))))))))))))))))))))))))))))))))))))</f>
        <v>2</v>
      </c>
      <c r="M159" s="69">
        <v>0</v>
      </c>
      <c r="N159" s="86">
        <v>1</v>
      </c>
      <c r="O159" s="69">
        <v>0</v>
      </c>
      <c r="P159" s="69"/>
      <c r="Q159" s="69" t="s">
        <v>34</v>
      </c>
      <c r="R159" s="69">
        <f>IF(Q159="Free Recall",1,IF(Q159="Cued Recall",2,IF(Q159="Recognition",3,IF(Q159="Multiple Choice",4,IF(Q159="Savings",5,IF(Q159="Stem Completion",6,IF(Q159="Fragment Completion",7,IF(Q159="anagram solution",8,IF(Q159="Matching",9,IF(Q159="Problem Solving",10,"99"))))))))))</f>
        <v>3</v>
      </c>
      <c r="S159" s="69" t="s">
        <v>15</v>
      </c>
      <c r="T159" s="92" t="s">
        <v>581</v>
      </c>
      <c r="U159" s="69">
        <f>IF(T159="within",1,0)</f>
        <v>1</v>
      </c>
      <c r="V159" s="92">
        <v>120</v>
      </c>
      <c r="W159" s="69">
        <f>F159*V159</f>
        <v>720</v>
      </c>
      <c r="X159" s="69">
        <v>3</v>
      </c>
      <c r="Y159" s="87">
        <f>AV158</f>
        <v>600</v>
      </c>
      <c r="Z159" s="69" t="s">
        <v>97</v>
      </c>
      <c r="AA159" s="69">
        <v>604800</v>
      </c>
      <c r="AB159" s="69" t="str">
        <f>IF(AA159&lt;60,"1",IF(AA159&lt;=43200,"2",IF(AA159&lt;=777600,"3","4")))</f>
        <v>3</v>
      </c>
      <c r="AC159" s="72">
        <f>AVERAGE(AV158:DA158)</f>
        <v>230600</v>
      </c>
      <c r="AD159" s="69" t="str">
        <f>IF(AC159&lt;60,"1",IF(AC159&lt;=43200,"2",IF(AC159&lt;=777600,"3","4")))</f>
        <v>3</v>
      </c>
      <c r="AE159" s="87">
        <f>AA159-Y159</f>
        <v>604200</v>
      </c>
      <c r="AF159" s="88">
        <f>AV159</f>
        <v>0.78</v>
      </c>
      <c r="AG159" s="72">
        <f>((AW159-AV159)+(AX159-AW159))/2</f>
        <v>-8.0000000000000016E-2</v>
      </c>
      <c r="AH159" s="4"/>
      <c r="AI159" s="72">
        <f>RSQ(AV159:AX159,AV158:AX158)</f>
        <v>0.85405874472345178</v>
      </c>
      <c r="AJ159" s="110">
        <f>SLOPE(AV159:AX159,AV158:AX158)</f>
        <v>-2.2616583772881884E-7</v>
      </c>
      <c r="AK159" s="72">
        <f>INTERCEPT(AV159:AX159,AV158:AX158)</f>
        <v>0.75215384218026571</v>
      </c>
      <c r="AL159" s="72">
        <f>INDEX(LINEST(LN(AV159:AX159),LN(AV158:AX158),TRUE,TRUE),3,1)</f>
        <v>0.92345124796976052</v>
      </c>
      <c r="AM159" s="72">
        <f>INDEX(LINEST(LN(AV159:AX159),LN(AV158:AX158)),1)</f>
        <v>-3.0946718045348078E-2</v>
      </c>
      <c r="AN159" s="72">
        <f>EXP(INDEX(LINEST(LN(AV159:AX159),LN(AV158:AX158)),1,2))</f>
        <v>0.96032138790740962</v>
      </c>
      <c r="AO159" s="89">
        <f>INDEX(LINEST((AV159:AX159),LN(AV158:AX158),TRUE,TRUE),3,1)</f>
        <v>0.94008878387362038</v>
      </c>
      <c r="AP159" s="89">
        <f>INDEX(LINEST((AV159:AX159),LN(AV158:AX158)),1)</f>
        <v>-2.1749598077052613E-2</v>
      </c>
      <c r="AQ159" s="90">
        <f>INDEX(LINEST(LN(AV159:AX159),SQRT(AV158:AX158),TRUE,TRUE),3,1)</f>
        <v>0.98325469011799782</v>
      </c>
      <c r="AR159" s="117">
        <f>INDEX(LINEST(LN(AV159:AX159),SQRT((AV158:AX158))),1)</f>
        <v>-2.9840407680177387E-4</v>
      </c>
      <c r="AS159" s="91">
        <f>INDEX(LINEST(1/(AV159:AX159),1/(SQRT(AV158:AX158)),TRUE,TRUE),3,1)</f>
        <v>0.73399020055261577</v>
      </c>
      <c r="AT159" s="91">
        <f>INDEX(LINEST(1/(AV159:AX159),1/SQRT(AV158:AX158)),1)</f>
        <v>-6.3858102149991973</v>
      </c>
      <c r="AU159" s="3"/>
      <c r="AV159" s="73">
        <v>0.78</v>
      </c>
      <c r="AW159" s="73">
        <v>0.7</v>
      </c>
      <c r="AX159" s="73">
        <v>0.62</v>
      </c>
      <c r="AY159" s="53"/>
      <c r="AZ159" s="53"/>
      <c r="BA159" s="53"/>
      <c r="BB159" s="53"/>
      <c r="BC159" s="53"/>
      <c r="BD159" s="53"/>
      <c r="BE159" s="53"/>
      <c r="BF159" s="53"/>
      <c r="BG159" s="53"/>
      <c r="BH159" s="53"/>
      <c r="BI159" s="53"/>
      <c r="BJ159" s="53"/>
      <c r="BK159" s="53"/>
      <c r="BL159" s="53"/>
      <c r="BM159" s="53"/>
      <c r="BN159" s="53"/>
      <c r="BO159" s="53"/>
      <c r="BP159" s="53"/>
      <c r="BQ159" s="53"/>
      <c r="BR159" s="53"/>
      <c r="BS159" s="53"/>
      <c r="BT159" s="53"/>
      <c r="BU159" s="53"/>
      <c r="BV159" s="53"/>
      <c r="BW159" s="53"/>
      <c r="BX159" s="53"/>
      <c r="BY159" s="53"/>
      <c r="BZ159" s="53"/>
      <c r="CA159" s="53"/>
      <c r="CB159" s="53"/>
      <c r="CC159" s="53"/>
      <c r="CD159" s="53"/>
      <c r="CE159" s="53"/>
      <c r="CF159" s="53"/>
      <c r="CG159" s="53"/>
      <c r="CH159" s="53"/>
      <c r="CI159" s="53"/>
      <c r="CJ159" s="53"/>
      <c r="CK159" s="53"/>
      <c r="CL159" s="53"/>
      <c r="CM159" s="53"/>
      <c r="CN159" s="53"/>
      <c r="CO159" s="53"/>
      <c r="CP159" s="53"/>
      <c r="CQ159" s="53"/>
      <c r="CR159" s="1"/>
      <c r="CS159" s="1"/>
      <c r="CT159" s="1"/>
      <c r="CU159" s="1"/>
    </row>
    <row r="160" spans="1:99" s="13" customFormat="1" ht="12" customHeight="1" x14ac:dyDescent="0.2">
      <c r="A160" s="68">
        <v>43509</v>
      </c>
      <c r="B160" s="70"/>
      <c r="C160" s="70"/>
      <c r="D160" s="69"/>
      <c r="E160" s="87"/>
      <c r="F160" s="69"/>
      <c r="G160" s="69"/>
      <c r="H160" s="69"/>
      <c r="I160" s="69"/>
      <c r="J160" s="69"/>
      <c r="K160" s="107"/>
      <c r="L160" s="107"/>
      <c r="M160" s="69"/>
      <c r="N160" s="69"/>
      <c r="O160" s="69"/>
      <c r="P160" s="69"/>
      <c r="Q160" s="69"/>
      <c r="R160" s="69"/>
      <c r="S160" s="69"/>
      <c r="T160" s="69"/>
      <c r="U160" s="69"/>
      <c r="V160" s="69"/>
      <c r="W160" s="69"/>
      <c r="X160" s="69"/>
      <c r="Y160" s="87"/>
      <c r="Z160" s="69"/>
      <c r="AA160" s="69"/>
      <c r="AB160" s="69"/>
      <c r="AC160" s="69"/>
      <c r="AD160" s="69"/>
      <c r="AE160" s="69"/>
      <c r="AF160" s="88"/>
      <c r="AG160" s="72"/>
      <c r="AH160" s="4"/>
      <c r="AI160" s="72"/>
      <c r="AJ160" s="110"/>
      <c r="AK160" s="72"/>
      <c r="AL160" s="72"/>
      <c r="AM160" s="72"/>
      <c r="AN160" s="72"/>
      <c r="AO160" s="72"/>
      <c r="AP160" s="72"/>
      <c r="AQ160" s="72"/>
      <c r="AR160" s="110"/>
      <c r="AS160" s="72"/>
      <c r="AT160" s="72"/>
      <c r="AU160" s="4"/>
      <c r="AV160" s="71">
        <f>60</f>
        <v>60</v>
      </c>
      <c r="AW160" s="71">
        <f>6*60</f>
        <v>360</v>
      </c>
      <c r="AX160" s="71">
        <f>18*60</f>
        <v>1080</v>
      </c>
      <c r="AY160" s="71">
        <f>24*3600*2</f>
        <v>172800</v>
      </c>
      <c r="AZ160" s="53"/>
      <c r="BA160" s="53"/>
      <c r="BB160" s="53"/>
      <c r="BC160" s="53"/>
      <c r="BD160" s="53"/>
      <c r="BE160" s="53"/>
      <c r="BF160" s="53"/>
      <c r="BG160" s="53"/>
      <c r="BH160" s="53"/>
      <c r="BI160" s="53"/>
      <c r="BJ160" s="53"/>
      <c r="BK160" s="53"/>
      <c r="BL160" s="53"/>
      <c r="BM160" s="53"/>
      <c r="BN160" s="53"/>
      <c r="BO160" s="53"/>
      <c r="BP160" s="53"/>
      <c r="BQ160" s="53"/>
      <c r="BR160" s="53"/>
      <c r="BS160" s="53"/>
      <c r="BT160" s="53"/>
      <c r="BU160" s="53"/>
      <c r="BV160" s="53"/>
      <c r="BW160" s="53"/>
      <c r="BX160" s="53"/>
      <c r="BY160" s="53"/>
      <c r="BZ160" s="53"/>
      <c r="CA160" s="53"/>
      <c r="CB160" s="53"/>
      <c r="CC160" s="53"/>
      <c r="CD160" s="53"/>
      <c r="CE160" s="53"/>
      <c r="CF160" s="53"/>
      <c r="CG160" s="53"/>
      <c r="CH160" s="53"/>
      <c r="CI160" s="53"/>
      <c r="CJ160" s="53"/>
      <c r="CK160" s="53"/>
      <c r="CL160" s="53"/>
      <c r="CM160" s="53"/>
      <c r="CN160" s="53"/>
      <c r="CO160" s="53"/>
      <c r="CP160" s="53"/>
      <c r="CQ160" s="53"/>
      <c r="CR160" s="1"/>
      <c r="CS160" s="1"/>
      <c r="CT160" s="1"/>
      <c r="CU160" s="1"/>
    </row>
    <row r="161" spans="1:99" s="13" customFormat="1" ht="12" customHeight="1" x14ac:dyDescent="0.2">
      <c r="A161" s="68">
        <v>43509</v>
      </c>
      <c r="B161" s="70" t="s">
        <v>113</v>
      </c>
      <c r="C161" s="70" t="s">
        <v>114</v>
      </c>
      <c r="D161" s="69">
        <v>1969</v>
      </c>
      <c r="E161" s="87">
        <v>1</v>
      </c>
      <c r="F161" s="69">
        <v>189</v>
      </c>
      <c r="G161" s="69">
        <v>47.3</v>
      </c>
      <c r="H161" s="69" t="s">
        <v>50</v>
      </c>
      <c r="I161" s="69" t="s">
        <v>717</v>
      </c>
      <c r="J161" s="69" t="s">
        <v>90</v>
      </c>
      <c r="K161" s="69">
        <f>IF(J161="syllables",1,IF(J161="trigrams",2,IF(J161="strings",3,IF(J161="visual array",4,IF(J161="characters",5,IF(J161="letters",6,IF(J161="free forms",7,IF(J161="odors",8,IF(J161="words",9,IF(J161="pictures",10,IF(J161="object pictures",11,IF(J161="faces",12,IF(J161="names",13,IF(J161="idioms",14,IF(J161="grades",15,IF(J161="syllable-digit pairs",16,IF(J161="trigram-word pairs",17,IF(J161="word-digit pairs",18,IF(J161="English-Swahili pairs",19,IF(J161="spatial position",20,IF(J161="word pairs",21,IF(J161="word triads",22,IF(J161="generated words",23,IF(J161="word definition pairs",24,IF(J161="math problems",25,IF(J161="famous faces",26,IF(J161="famous names",27,IF(J161="famous voices",28,IF(J161="television programs",29,IF(J161="race horses",30,IF(J161="new vocabulary",31,IF(J161="sentences",32,IF(J161="concepts",33,IF(J161="ad slides",34,IF(J161="scenes",35,IF(J161="famous scenes",36,IF(J161="poems",37,IF(J161="walk",38,IF(J161="faces and events",39,IF(J161="events and names",40,IF(J161="flashbulb",41,IF(J161="stories",42,IF(J161="course material",43,IF(J161="autobiographical",44,IF(J161="novels",45,IF(J161="public events",46,"99"))))))))))))))))))))))))))))))))))))))))))))))</f>
        <v>18</v>
      </c>
      <c r="L161" s="69">
        <f>IF(J161="syllables",1,IF(J161="trigrams",1,IF(J161="strings",1,IF(J161="visual array",1,IF(J161="characters",1,IF(J161="letters",1,IF(J161="free forms",1,IF(J161="odors",2,IF(J161="words",2,IF(J161="pictures",2,IF(J161="object pictures",2,IF(J161="faces",2,IF(J161="names",2,IF(J161="idioms","2",IF(J161="grades",2,IF(J161="syllable-digit pairs",3,IF(J161="trigram-word pairs",3,IF(J161="word-digit pairs",3,IF(J161="English-Swahili pairs",3,IF(J161="spatial position",3,IF(J161="word pairs",4,IF(J161="word triads",4,IF(J161="generated words",4,IF(J161="word definition pairs",4,IF(J161="math problems",4,IF(J161="famous faces",4,IF(J161="famous names",4,IF(J161="famous voices",4,IF(J161="television programs",4,IF(J161="race horses",4,IF(J161="new vocabulary",4,IF(J161="sentences",5,IF(J161="concepts",5,IF(J161="ad slides",5,IF(J161="scenes",5,IF(J161="famous scenes",5,IF(J161="poems",6,IF(J161="walk",6,IF(J161="faces and events",6,IF(J161="events and names",6,IF(J161="flashbulb",7,IF(J161="stories",7,IF(J161="course material",7,IF(J161="autobiographical",7,IF(J161="novels",7,IF(J161="public events",7,"99"))))))))))))))))))))))))))))))))))))))))))))))</f>
        <v>3</v>
      </c>
      <c r="M161" s="69">
        <v>0</v>
      </c>
      <c r="N161" s="69">
        <v>1</v>
      </c>
      <c r="O161" s="69">
        <v>0</v>
      </c>
      <c r="P161" s="69"/>
      <c r="Q161" s="69" t="s">
        <v>174</v>
      </c>
      <c r="R161" s="69">
        <f>IF(Q161="Free Recall",1,IF(Q161="Cued Recall",2,IF(Q161="Recognition",3,IF(Q161="Multiple Choice",4,IF(Q161="Savings",5,IF(Q161="Stem Completion",6,IF(Q161="Fragment Completion",7,IF(Q161="anagram solution",8,IF(Q161="Matching",9,IF(Q161="Problem Solving",10,"99"))))))))))</f>
        <v>1</v>
      </c>
      <c r="S161" s="69" t="s">
        <v>49</v>
      </c>
      <c r="T161" s="92" t="s">
        <v>261</v>
      </c>
      <c r="U161" s="69">
        <f>IF(T161="within",1,0)</f>
        <v>0</v>
      </c>
      <c r="V161" s="92">
        <v>6</v>
      </c>
      <c r="W161" s="69">
        <f>F161*V161</f>
        <v>1134</v>
      </c>
      <c r="X161" s="69">
        <v>4</v>
      </c>
      <c r="Y161" s="87">
        <f>AV160</f>
        <v>60</v>
      </c>
      <c r="Z161" s="69" t="s">
        <v>88</v>
      </c>
      <c r="AA161" s="69">
        <v>172800</v>
      </c>
      <c r="AB161" s="69" t="str">
        <f>IF(AA161&lt;60,"1",IF(AA161&lt;=43200,"2",IF(AA161&lt;=777600,"3","4")))</f>
        <v>3</v>
      </c>
      <c r="AC161" s="72">
        <f>AVERAGE(AV160:DA160)</f>
        <v>43575</v>
      </c>
      <c r="AD161" s="69" t="str">
        <f>IF(AC161&lt;60,"1",IF(AC161&lt;=43200,"2",IF(AC161&lt;=777600,"3","4")))</f>
        <v>3</v>
      </c>
      <c r="AE161" s="87">
        <f>AA161-Y161</f>
        <v>172740</v>
      </c>
      <c r="AF161" s="88">
        <f>AV161</f>
        <v>0.47499999999999998</v>
      </c>
      <c r="AG161" s="72">
        <f>((AW161-AV161)+(AX161-AW161)+(AY161-AX161))/3</f>
        <v>-4.8333333333333318E-2</v>
      </c>
      <c r="AH161" s="4"/>
      <c r="AI161" s="72">
        <f>RSQ(AV161:AY161,AV160:AY160)</f>
        <v>0.70367198541975418</v>
      </c>
      <c r="AJ161" s="110">
        <f>SLOPE(AV161:AY161,AV160:AY160)</f>
        <v>-1.0361047014555645E-6</v>
      </c>
      <c r="AK161" s="72">
        <f>INTERCEPT(AV161:AY161,AV160:AY160)</f>
        <v>0.50889826236592617</v>
      </c>
      <c r="AL161" s="72">
        <f>INDEX(LINEST(LN(AV161:AY161),LN(AV160:AY160),TRUE,TRUE),3,1)</f>
        <v>0.6868844455578188</v>
      </c>
      <c r="AM161" s="72">
        <f>INDEX(LINEST(LN(AV161:AY161),LN(AV160:AY160)),1)</f>
        <v>-5.8187416724719776E-2</v>
      </c>
      <c r="AN161" s="72">
        <f>EXP(INDEX(LINEST(LN(AV161:AY161),LN(AV160:AY160)),1,2))</f>
        <v>0.6927452760686682</v>
      </c>
      <c r="AO161" s="89">
        <f>INDEX(LINEST((AV161:AY161),LN(AV160:AY160),TRUE,TRUE),3,1)</f>
        <v>0.60732129130526102</v>
      </c>
      <c r="AP161" s="89">
        <f>INDEX(LINEST((AV161:AY161),LN(AV160:AY160)),1)</f>
        <v>-2.4269924581651583E-2</v>
      </c>
      <c r="AQ161" s="90">
        <f>INDEX(LINEST(LN(AV161:AY161),SQRT(AV160:AY160),TRUE,TRUE),3,1)</f>
        <v>0.79311730244373879</v>
      </c>
      <c r="AR161" s="117">
        <f>INDEX(LINEST(LN(AV161:AY161),SQRT((AV160:AY160))),1)</f>
        <v>-1.0779822550156856E-3</v>
      </c>
      <c r="AS161" s="91">
        <f>INDEX(LINEST(1/(AV161:AY161),1/(SQRT(AV160:AY160)),TRUE,TRUE),3,1)</f>
        <v>0.28269827932974867</v>
      </c>
      <c r="AT161" s="91">
        <f>INDEX(LINEST(1/(AV161:AY161),1/SQRT(AV160:AY160)),1)</f>
        <v>-5.4878097572948406</v>
      </c>
      <c r="AU161" s="3"/>
      <c r="AV161" s="73">
        <v>0.47499999999999998</v>
      </c>
      <c r="AW161" s="73">
        <v>0.59</v>
      </c>
      <c r="AX161" s="73">
        <v>0.46</v>
      </c>
      <c r="AY161" s="73">
        <v>0.33</v>
      </c>
      <c r="AZ161" s="53"/>
      <c r="BA161" s="53"/>
      <c r="BB161" s="53"/>
      <c r="BC161" s="53"/>
      <c r="BD161" s="53"/>
      <c r="BE161" s="53"/>
      <c r="BF161" s="53"/>
      <c r="BG161" s="53"/>
      <c r="BH161" s="53"/>
      <c r="BI161" s="53"/>
      <c r="BJ161" s="53"/>
      <c r="BK161" s="53"/>
      <c r="BL161" s="53"/>
      <c r="BM161" s="53"/>
      <c r="BN161" s="53"/>
      <c r="BO161" s="53"/>
      <c r="BP161" s="53"/>
      <c r="BQ161" s="53"/>
      <c r="BR161" s="53"/>
      <c r="BS161" s="53"/>
      <c r="BT161" s="53"/>
      <c r="BU161" s="53"/>
      <c r="BV161" s="53"/>
      <c r="BW161" s="53"/>
      <c r="BX161" s="53"/>
      <c r="BY161" s="53"/>
      <c r="BZ161" s="53"/>
      <c r="CA161" s="53"/>
      <c r="CB161" s="53"/>
      <c r="CC161" s="53"/>
      <c r="CD161" s="53"/>
      <c r="CE161" s="53"/>
      <c r="CF161" s="53"/>
      <c r="CG161" s="53"/>
      <c r="CH161" s="53"/>
      <c r="CI161" s="53"/>
      <c r="CJ161" s="53"/>
      <c r="CK161" s="53"/>
      <c r="CL161" s="53"/>
      <c r="CM161" s="53"/>
      <c r="CN161" s="53"/>
      <c r="CO161" s="53"/>
      <c r="CP161" s="53"/>
      <c r="CQ161" s="53"/>
      <c r="CR161" s="1"/>
      <c r="CS161" s="1"/>
      <c r="CT161" s="1"/>
      <c r="CU161" s="1"/>
    </row>
    <row r="162" spans="1:99" s="13" customFormat="1" ht="12" customHeight="1" x14ac:dyDescent="0.2">
      <c r="A162" s="68">
        <v>43509</v>
      </c>
      <c r="B162" s="70"/>
      <c r="C162" s="70"/>
      <c r="D162" s="69"/>
      <c r="E162" s="87"/>
      <c r="F162" s="69"/>
      <c r="G162" s="69"/>
      <c r="H162" s="69"/>
      <c r="I162" s="69"/>
      <c r="J162" s="69"/>
      <c r="K162" s="107"/>
      <c r="L162" s="107"/>
      <c r="M162" s="69"/>
      <c r="N162" s="69"/>
      <c r="O162" s="69"/>
      <c r="P162" s="69"/>
      <c r="Q162" s="69"/>
      <c r="R162" s="69"/>
      <c r="S162" s="69"/>
      <c r="T162" s="69"/>
      <c r="U162" s="69"/>
      <c r="V162" s="69"/>
      <c r="W162" s="69"/>
      <c r="X162" s="69"/>
      <c r="Y162" s="87"/>
      <c r="Z162" s="69"/>
      <c r="AA162" s="69"/>
      <c r="AB162" s="69"/>
      <c r="AC162" s="69"/>
      <c r="AD162" s="69"/>
      <c r="AE162" s="69"/>
      <c r="AF162" s="88"/>
      <c r="AG162" s="72"/>
      <c r="AH162" s="4"/>
      <c r="AI162" s="72"/>
      <c r="AJ162" s="110"/>
      <c r="AK162" s="72"/>
      <c r="AL162" s="72"/>
      <c r="AM162" s="72"/>
      <c r="AN162" s="72"/>
      <c r="AO162" s="72"/>
      <c r="AP162" s="72"/>
      <c r="AQ162" s="72"/>
      <c r="AR162" s="110"/>
      <c r="AS162" s="72"/>
      <c r="AT162" s="72"/>
      <c r="AU162" s="4"/>
      <c r="AV162" s="71">
        <f>60</f>
        <v>60</v>
      </c>
      <c r="AW162" s="71">
        <f>6*60</f>
        <v>360</v>
      </c>
      <c r="AX162" s="71">
        <f>18*60</f>
        <v>1080</v>
      </c>
      <c r="AY162" s="71">
        <f>24*3600*2</f>
        <v>172800</v>
      </c>
      <c r="AZ162" s="53"/>
      <c r="BA162" s="53"/>
      <c r="BB162" s="53"/>
      <c r="BC162" s="53"/>
      <c r="BD162" s="53"/>
      <c r="BE162" s="53"/>
      <c r="BF162" s="53"/>
      <c r="BG162" s="53"/>
      <c r="BH162" s="53"/>
      <c r="BI162" s="53"/>
      <c r="BJ162" s="53"/>
      <c r="BK162" s="53"/>
      <c r="BL162" s="53"/>
      <c r="BM162" s="53"/>
      <c r="BN162" s="53"/>
      <c r="BO162" s="53"/>
      <c r="BP162" s="53"/>
      <c r="BQ162" s="53"/>
      <c r="BR162" s="53"/>
      <c r="BS162" s="53"/>
      <c r="BT162" s="53"/>
      <c r="BU162" s="53"/>
      <c r="BV162" s="53"/>
      <c r="BW162" s="53"/>
      <c r="BX162" s="53"/>
      <c r="BY162" s="53"/>
      <c r="BZ162" s="53"/>
      <c r="CA162" s="53"/>
      <c r="CB162" s="53"/>
      <c r="CC162" s="53"/>
      <c r="CD162" s="53"/>
      <c r="CE162" s="53"/>
      <c r="CF162" s="53"/>
      <c r="CG162" s="53"/>
      <c r="CH162" s="53"/>
      <c r="CI162" s="53"/>
      <c r="CJ162" s="53"/>
      <c r="CK162" s="53"/>
      <c r="CL162" s="53"/>
      <c r="CM162" s="53"/>
      <c r="CN162" s="53"/>
      <c r="CO162" s="53"/>
      <c r="CP162" s="53"/>
      <c r="CQ162" s="53"/>
      <c r="CR162" s="1"/>
      <c r="CS162" s="1"/>
      <c r="CT162" s="1"/>
      <c r="CU162" s="1"/>
    </row>
    <row r="163" spans="1:99" s="13" customFormat="1" ht="12" customHeight="1" x14ac:dyDescent="0.2">
      <c r="A163" s="68">
        <v>43509</v>
      </c>
      <c r="B163" s="70" t="s">
        <v>113</v>
      </c>
      <c r="C163" s="70" t="s">
        <v>114</v>
      </c>
      <c r="D163" s="69">
        <v>1969</v>
      </c>
      <c r="E163" s="87">
        <v>1</v>
      </c>
      <c r="F163" s="69">
        <v>189</v>
      </c>
      <c r="G163" s="69">
        <v>47.3</v>
      </c>
      <c r="H163" s="69" t="s">
        <v>50</v>
      </c>
      <c r="I163" s="69" t="s">
        <v>718</v>
      </c>
      <c r="J163" s="69" t="s">
        <v>90</v>
      </c>
      <c r="K163" s="69">
        <f>IF(J163="syllables",1,IF(J163="trigrams",2,IF(J163="strings",3,IF(J163="visual array",4,IF(J163="characters",5,IF(J163="letters",6,IF(J163="free forms",7,IF(J163="odors",8,IF(J163="words",9,IF(J163="pictures",10,IF(J163="object pictures",11,IF(J163="faces",12,IF(J163="names",13,IF(J163="idioms",14,IF(J163="grades",15,IF(J163="syllable-digit pairs",16,IF(J163="trigram-word pairs",17,IF(J163="word-digit pairs",18,IF(J163="English-Swahili pairs",19,IF(J163="spatial position",20,IF(J163="word pairs",21,IF(J163="word triads",22,IF(J163="generated words",23,IF(J163="word definition pairs",24,IF(J163="math problems",25,IF(J163="famous faces",26,IF(J163="famous names",27,IF(J163="famous voices",28,IF(J163="television programs",29,IF(J163="race horses",30,IF(J163="new vocabulary",31,IF(J163="sentences",32,IF(J163="concepts",33,IF(J163="ad slides",34,IF(J163="scenes",35,IF(J163="famous scenes",36,IF(J163="poems",37,IF(J163="walk",38,IF(J163="faces and events",39,IF(J163="events and names",40,IF(J163="flashbulb",41,IF(J163="stories",42,IF(J163="course material",43,IF(J163="autobiographical",44,IF(J163="novels",45,IF(J163="public events",46,"99"))))))))))))))))))))))))))))))))))))))))))))))</f>
        <v>18</v>
      </c>
      <c r="L163" s="69">
        <f>IF(J163="syllables",1,IF(J163="trigrams",1,IF(J163="strings",1,IF(J163="visual array",1,IF(J163="characters",1,IF(J163="letters",1,IF(J163="free forms",1,IF(J163="odors",2,IF(J163="words",2,IF(J163="pictures",2,IF(J163="object pictures",2,IF(J163="faces",2,IF(J163="names",2,IF(J163="idioms","2",IF(J163="grades",2,IF(J163="syllable-digit pairs",3,IF(J163="trigram-word pairs",3,IF(J163="word-digit pairs",3,IF(J163="English-Swahili pairs",3,IF(J163="spatial position",3,IF(J163="word pairs",4,IF(J163="word triads",4,IF(J163="generated words",4,IF(J163="word definition pairs",4,IF(J163="math problems",4,IF(J163="famous faces",4,IF(J163="famous names",4,IF(J163="famous voices",4,IF(J163="television programs",4,IF(J163="race horses",4,IF(J163="new vocabulary",4,IF(J163="sentences",5,IF(J163="concepts",5,IF(J163="ad slides",5,IF(J163="scenes",5,IF(J163="famous scenes",5,IF(J163="poems",6,IF(J163="walk",6,IF(J163="faces and events",6,IF(J163="events and names",6,IF(J163="flashbulb",7,IF(J163="stories",7,IF(J163="course material",7,IF(J163="autobiographical",7,IF(J163="novels",7,IF(J163="public events",7,"99"))))))))))))))))))))))))))))))))))))))))))))))</f>
        <v>3</v>
      </c>
      <c r="M163" s="69">
        <v>0</v>
      </c>
      <c r="N163" s="69">
        <v>1</v>
      </c>
      <c r="O163" s="69">
        <v>0</v>
      </c>
      <c r="P163" s="69"/>
      <c r="Q163" s="69" t="s">
        <v>174</v>
      </c>
      <c r="R163" s="69">
        <f>IF(Q163="Free Recall",1,IF(Q163="Cued Recall",2,IF(Q163="Recognition",3,IF(Q163="Multiple Choice",4,IF(Q163="Savings",5,IF(Q163="Stem Completion",6,IF(Q163="Fragment Completion",7,IF(Q163="anagram solution",8,IF(Q163="Matching",9,IF(Q163="Problem Solving",10,"99"))))))))))</f>
        <v>1</v>
      </c>
      <c r="S163" s="69" t="s">
        <v>49</v>
      </c>
      <c r="T163" s="92" t="s">
        <v>261</v>
      </c>
      <c r="U163" s="69">
        <f>IF(T163="within",1,0)</f>
        <v>0</v>
      </c>
      <c r="V163" s="92">
        <v>6</v>
      </c>
      <c r="W163" s="69">
        <f>F163*V163</f>
        <v>1134</v>
      </c>
      <c r="X163" s="69">
        <v>4</v>
      </c>
      <c r="Y163" s="87">
        <f>AV162</f>
        <v>60</v>
      </c>
      <c r="Z163" s="69" t="s">
        <v>88</v>
      </c>
      <c r="AA163" s="69">
        <v>172800</v>
      </c>
      <c r="AB163" s="69" t="str">
        <f>IF(AA163&lt;60,"1",IF(AA163&lt;=43200,"2",IF(AA163&lt;=777600,"3","4")))</f>
        <v>3</v>
      </c>
      <c r="AC163" s="72">
        <f>AVERAGE(AV162:DA162)</f>
        <v>43575</v>
      </c>
      <c r="AD163" s="69" t="str">
        <f>IF(AC163&lt;60,"1",IF(AC163&lt;=43200,"2",IF(AC163&lt;=777600,"3","4")))</f>
        <v>3</v>
      </c>
      <c r="AE163" s="87">
        <f>AA163-Y163</f>
        <v>172740</v>
      </c>
      <c r="AF163" s="88">
        <f>AV163</f>
        <v>0.56999999999999995</v>
      </c>
      <c r="AG163" s="72">
        <f>((AW163-AV163)+(AX163-AW163)+(AY163-AX163))/3</f>
        <v>-0.10666666666666665</v>
      </c>
      <c r="AH163" s="4"/>
      <c r="AI163" s="72">
        <f>RSQ(AV163:AY163,AV162:AY162)</f>
        <v>0.61894199747183909</v>
      </c>
      <c r="AJ163" s="110">
        <f>SLOPE(AV163:AY163,AV162:AY162)</f>
        <v>-1.2034348073863645E-6</v>
      </c>
      <c r="AK163" s="72">
        <f>INTERCEPT(AV163:AY163,AV162:AY162)</f>
        <v>0.45743967173186084</v>
      </c>
      <c r="AL163" s="72">
        <f>INDEX(LINEST(LN(AV163:AY163),LN(AV162:AY162),TRUE,TRUE),3,1)</f>
        <v>0.96596409056871069</v>
      </c>
      <c r="AM163" s="72">
        <f>INDEX(LINEST(LN(AV163:AY163),LN(AV162:AY162)),1)</f>
        <v>-9.794832078783669E-2</v>
      </c>
      <c r="AN163" s="72">
        <f>EXP(INDEX(LINEST(LN(AV163:AY163),LN(AV162:AY162)),1,2))</f>
        <v>0.79046364157693272</v>
      </c>
      <c r="AO163" s="89">
        <f>INDEX(LINEST((AV163:AY163),LN(AV162:AY162),TRUE,TRUE),3,1)</f>
        <v>0.89794515843040579</v>
      </c>
      <c r="AP163" s="89">
        <f>INDEX(LINEST((AV163:AY163),LN(AV162:AY162)),1)</f>
        <v>-3.6547961498314546E-2</v>
      </c>
      <c r="AQ163" s="90">
        <f>INDEX(LINEST(LN(AV163:AY163),SQRT(AV162:AY162),TRUE,TRUE),3,1)</f>
        <v>0.78465026738920318</v>
      </c>
      <c r="AR163" s="117">
        <f>INDEX(LINEST(LN(AV163:AY163),SQRT((AV162:AY162))),1)</f>
        <v>-1.5219845060563679E-3</v>
      </c>
      <c r="AS163" s="91">
        <f>INDEX(LINEST(1/(AV163:AY163),1/(SQRT(AV162:AY162)),TRUE,TRUE),3,1)</f>
        <v>0.77688887800249518</v>
      </c>
      <c r="AT163" s="91">
        <f>INDEX(LINEST(1/(AV163:AY163),1/SQRT(AV162:AY162)),1)</f>
        <v>-15.36036027588885</v>
      </c>
      <c r="AU163" s="3"/>
      <c r="AV163" s="73">
        <v>0.56999999999999995</v>
      </c>
      <c r="AW163" s="73">
        <v>0.42</v>
      </c>
      <c r="AX163" s="73">
        <v>0.38</v>
      </c>
      <c r="AY163" s="73">
        <v>0.25</v>
      </c>
      <c r="AZ163" s="53"/>
      <c r="BA163" s="53"/>
      <c r="BB163" s="53"/>
      <c r="BC163" s="53"/>
      <c r="BD163" s="53"/>
      <c r="BE163" s="53"/>
      <c r="BF163" s="53"/>
      <c r="BG163" s="53"/>
      <c r="BH163" s="53"/>
      <c r="BI163" s="53"/>
      <c r="BJ163" s="53"/>
      <c r="BK163" s="53"/>
      <c r="BL163" s="53"/>
      <c r="BM163" s="53"/>
      <c r="BN163" s="53"/>
      <c r="BO163" s="53"/>
      <c r="BP163" s="53"/>
      <c r="BQ163" s="53"/>
      <c r="BR163" s="53"/>
      <c r="BS163" s="53"/>
      <c r="BT163" s="53"/>
      <c r="BU163" s="53"/>
      <c r="BV163" s="53"/>
      <c r="BW163" s="53"/>
      <c r="BX163" s="53"/>
      <c r="BY163" s="53"/>
      <c r="BZ163" s="53"/>
      <c r="CA163" s="53"/>
      <c r="CB163" s="53"/>
      <c r="CC163" s="53"/>
      <c r="CD163" s="53"/>
      <c r="CE163" s="53"/>
      <c r="CF163" s="53"/>
      <c r="CG163" s="53"/>
      <c r="CH163" s="53"/>
      <c r="CI163" s="53"/>
      <c r="CJ163" s="53"/>
      <c r="CK163" s="53"/>
      <c r="CL163" s="53"/>
      <c r="CM163" s="53"/>
      <c r="CN163" s="53"/>
      <c r="CO163" s="53"/>
      <c r="CP163" s="53"/>
      <c r="CQ163" s="53"/>
      <c r="CR163" s="1"/>
      <c r="CS163" s="1"/>
      <c r="CT163" s="1"/>
      <c r="CU163" s="1"/>
    </row>
    <row r="164" spans="1:99" s="13" customFormat="1" ht="12" customHeight="1" x14ac:dyDescent="0.2">
      <c r="A164" s="68">
        <v>43509</v>
      </c>
      <c r="B164" s="70"/>
      <c r="C164" s="70"/>
      <c r="D164" s="69"/>
      <c r="E164" s="87"/>
      <c r="F164" s="69"/>
      <c r="G164" s="69"/>
      <c r="H164" s="69"/>
      <c r="I164" s="69"/>
      <c r="J164" s="69"/>
      <c r="K164" s="107"/>
      <c r="L164" s="107"/>
      <c r="M164" s="69"/>
      <c r="N164" s="69"/>
      <c r="O164" s="69"/>
      <c r="P164" s="69"/>
      <c r="Q164" s="69"/>
      <c r="R164" s="69"/>
      <c r="S164" s="69"/>
      <c r="T164" s="69"/>
      <c r="U164" s="69"/>
      <c r="V164" s="69"/>
      <c r="W164" s="69"/>
      <c r="X164" s="69"/>
      <c r="Y164" s="87"/>
      <c r="Z164" s="69"/>
      <c r="AA164" s="69"/>
      <c r="AB164" s="69"/>
      <c r="AC164" s="69"/>
      <c r="AD164" s="69"/>
      <c r="AE164" s="69"/>
      <c r="AF164" s="88"/>
      <c r="AG164" s="72"/>
      <c r="AH164" s="4"/>
      <c r="AI164" s="72"/>
      <c r="AJ164" s="110"/>
      <c r="AK164" s="72"/>
      <c r="AL164" s="72"/>
      <c r="AM164" s="72"/>
      <c r="AN164" s="72"/>
      <c r="AO164" s="72"/>
      <c r="AP164" s="72"/>
      <c r="AQ164" s="72"/>
      <c r="AR164" s="110"/>
      <c r="AS164" s="72"/>
      <c r="AT164" s="72"/>
      <c r="AU164" s="4"/>
      <c r="AV164" s="71">
        <f>2*60</f>
        <v>120</v>
      </c>
      <c r="AW164" s="71">
        <f>20*60</f>
        <v>1200</v>
      </c>
      <c r="AX164" s="71">
        <f>45*60</f>
        <v>2700</v>
      </c>
      <c r="AY164" s="71">
        <f>24*3600*1</f>
        <v>86400</v>
      </c>
      <c r="AZ164" s="71">
        <f>24*3600*7</f>
        <v>604800</v>
      </c>
      <c r="BA164" s="53"/>
      <c r="BB164" s="53"/>
      <c r="BC164" s="53"/>
      <c r="BD164" s="53"/>
      <c r="BE164" s="53"/>
      <c r="BF164" s="53"/>
      <c r="BG164" s="53"/>
      <c r="BH164" s="53"/>
      <c r="BI164" s="53"/>
      <c r="BJ164" s="53"/>
      <c r="BK164" s="53"/>
      <c r="BL164" s="53"/>
      <c r="BM164" s="53"/>
      <c r="BN164" s="53"/>
      <c r="BO164" s="53"/>
      <c r="BP164" s="53"/>
      <c r="BQ164" s="53"/>
      <c r="BR164" s="53"/>
      <c r="BS164" s="53"/>
      <c r="BT164" s="53"/>
      <c r="BU164" s="53"/>
      <c r="BV164" s="53"/>
      <c r="BW164" s="53"/>
      <c r="BX164" s="53"/>
      <c r="BY164" s="53"/>
      <c r="BZ164" s="53"/>
      <c r="CA164" s="53"/>
      <c r="CB164" s="53"/>
      <c r="CC164" s="53"/>
      <c r="CD164" s="53"/>
      <c r="CE164" s="53"/>
      <c r="CF164" s="53"/>
      <c r="CG164" s="53"/>
      <c r="CH164" s="53"/>
      <c r="CI164" s="53"/>
      <c r="CJ164" s="53"/>
      <c r="CK164" s="53"/>
      <c r="CL164" s="53"/>
      <c r="CM164" s="53"/>
      <c r="CN164" s="53"/>
      <c r="CO164" s="53"/>
      <c r="CP164" s="53"/>
      <c r="CQ164" s="53"/>
      <c r="CR164" s="1"/>
      <c r="CS164" s="1"/>
      <c r="CT164" s="1"/>
      <c r="CU164" s="1"/>
    </row>
    <row r="165" spans="1:99" s="13" customFormat="1" ht="12" customHeight="1" x14ac:dyDescent="0.2">
      <c r="A165" s="68">
        <v>43509</v>
      </c>
      <c r="B165" s="70" t="s">
        <v>116</v>
      </c>
      <c r="C165" s="70" t="s">
        <v>19</v>
      </c>
      <c r="D165" s="69">
        <v>1963</v>
      </c>
      <c r="E165" s="87">
        <v>1</v>
      </c>
      <c r="F165" s="69">
        <v>48</v>
      </c>
      <c r="G165" s="69">
        <v>8</v>
      </c>
      <c r="H165" s="69" t="s">
        <v>50</v>
      </c>
      <c r="I165" s="69" t="s">
        <v>718</v>
      </c>
      <c r="J165" s="69" t="s">
        <v>90</v>
      </c>
      <c r="K165" s="69">
        <f>IF(J165="syllables",1,IF(J165="trigrams",2,IF(J165="strings",3,IF(J165="visual array",4,IF(J165="characters",5,IF(J165="letters",6,IF(J165="free forms",7,IF(J165="odors",8,IF(J165="words",9,IF(J165="pictures",10,IF(J165="object pictures",11,IF(J165="faces",12,IF(J165="names",13,IF(J165="idioms",14,IF(J165="grades",15,IF(J165="syllable-digit pairs",16,IF(J165="trigram-word pairs",17,IF(J165="word-digit pairs",18,IF(J165="English-Swahili pairs",19,IF(J165="spatial position",20,IF(J165="word pairs",21,IF(J165="word triads",22,IF(J165="generated words",23,IF(J165="word definition pairs",24,IF(J165="math problems",25,IF(J165="famous faces",26,IF(J165="famous names",27,IF(J165="famous voices",28,IF(J165="television programs",29,IF(J165="race horses",30,IF(J165="new vocabulary",31,IF(J165="sentences",32,IF(J165="concepts",33,IF(J165="ad slides",34,IF(J165="scenes",35,IF(J165="famous scenes",36,IF(J165="poems",37,IF(J165="walk",38,IF(J165="faces and events",39,IF(J165="events and names",40,IF(J165="flashbulb",41,IF(J165="stories",42,IF(J165="course material",43,IF(J165="autobiographical",44,IF(J165="novels",45,IF(J165="public events",46,"99"))))))))))))))))))))))))))))))))))))))))))))))</f>
        <v>18</v>
      </c>
      <c r="L165" s="69">
        <f>IF(J165="syllables",1,IF(J165="trigrams",1,IF(J165="strings",1,IF(J165="visual array",1,IF(J165="characters",1,IF(J165="letters",1,IF(J165="free forms",1,IF(J165="odors",2,IF(J165="words",2,IF(J165="pictures",2,IF(J165="object pictures",2,IF(J165="faces",2,IF(J165="names",2,IF(J165="idioms","2",IF(J165="grades",2,IF(J165="syllable-digit pairs",3,IF(J165="trigram-word pairs",3,IF(J165="word-digit pairs",3,IF(J165="English-Swahili pairs",3,IF(J165="spatial position",3,IF(J165="word pairs",4,IF(J165="word triads",4,IF(J165="generated words",4,IF(J165="word definition pairs",4,IF(J165="math problems",4,IF(J165="famous faces",4,IF(J165="famous names",4,IF(J165="famous voices",4,IF(J165="television programs",4,IF(J165="race horses",4,IF(J165="new vocabulary",4,IF(J165="sentences",5,IF(J165="concepts",5,IF(J165="ad slides",5,IF(J165="scenes",5,IF(J165="famous scenes",5,IF(J165="poems",6,IF(J165="walk",6,IF(J165="faces and events",6,IF(J165="events and names",6,IF(J165="flashbulb",7,IF(J165="stories",7,IF(J165="course material",7,IF(J165="autobiographical",7,IF(J165="novels",7,IF(J165="public events",7,"99"))))))))))))))))))))))))))))))))))))))))))))))</f>
        <v>3</v>
      </c>
      <c r="M165" s="69">
        <v>0</v>
      </c>
      <c r="N165" s="69">
        <v>1</v>
      </c>
      <c r="O165" s="69">
        <v>0</v>
      </c>
      <c r="P165" s="69"/>
      <c r="Q165" s="69" t="s">
        <v>65</v>
      </c>
      <c r="R165" s="69">
        <f>IF(Q165="Free Recall",1,IF(Q165="Cued Recall",2,IF(Q165="Recognition",3,IF(Q165="Multiple Choice",4,IF(Q165="Savings",5,IF(Q165="Stem Completion",6,IF(Q165="Fragment Completion",7,IF(Q165="anagram solution",8,IF(Q165="Matching",9,IF(Q165="Problem Solving",10,"99"))))))))))</f>
        <v>2</v>
      </c>
      <c r="S165" s="69" t="s">
        <v>49</v>
      </c>
      <c r="T165" s="69" t="s">
        <v>261</v>
      </c>
      <c r="U165" s="69">
        <f>IF(T165="within",1,0)</f>
        <v>0</v>
      </c>
      <c r="V165" s="69">
        <v>8</v>
      </c>
      <c r="W165" s="69">
        <f>F165*V165</f>
        <v>384</v>
      </c>
      <c r="X165" s="69">
        <v>5</v>
      </c>
      <c r="Y165" s="87">
        <f>AV164</f>
        <v>120</v>
      </c>
      <c r="Z165" s="69" t="s">
        <v>97</v>
      </c>
      <c r="AA165" s="69">
        <v>604800</v>
      </c>
      <c r="AB165" s="69" t="str">
        <f>IF(AA165&lt;60,"1",IF(AA165&lt;=43200,"2",IF(AA165&lt;=777600,"3","4")))</f>
        <v>3</v>
      </c>
      <c r="AC165" s="72">
        <f>AVERAGE(AV164:DA164)</f>
        <v>139044</v>
      </c>
      <c r="AD165" s="69" t="str">
        <f>IF(AC165&lt;60,"1",IF(AC165&lt;=43200,"2",IF(AC165&lt;=777600,"3","4")))</f>
        <v>3</v>
      </c>
      <c r="AE165" s="87">
        <f>AA165-Y165</f>
        <v>604680</v>
      </c>
      <c r="AF165" s="88">
        <f>AV165</f>
        <v>0.45</v>
      </c>
      <c r="AG165" s="72">
        <f>((AW165-AV165)+(AX165-AW165)+(AY165-AX165)+(AZ165-AY165))/4</f>
        <v>-0.11225</v>
      </c>
      <c r="AH165" s="4"/>
      <c r="AI165" s="72">
        <f>RSQ(AV165:AZ165,AV164:AZ164)</f>
        <v>0.40518541764186922</v>
      </c>
      <c r="AJ165" s="110">
        <f>SLOPE(AV165:AZ165,AV164:AZ164)</f>
        <v>-4.0600589558657832E-7</v>
      </c>
      <c r="AK165" s="72">
        <f>INTERCEPT(AV165:AZ165,AV164:AZ164)</f>
        <v>0.2346526837459402</v>
      </c>
      <c r="AL165" s="72">
        <f>INDEX(LINEST(LN(AV165:AZ165),LN(AV164:AZ164),TRUE,TRUE),3,1)</f>
        <v>0.69846359793365875</v>
      </c>
      <c r="AM165" s="72">
        <f>INDEX(LINEST(LN(AV165:AZ165),LN(AV164:AZ164)),1)</f>
        <v>-0.58855774879787159</v>
      </c>
      <c r="AN165" s="72">
        <f>EXP(INDEX(LINEST(LN(AV165:AZ165),LN(AV164:AZ164)),1,2))</f>
        <v>12.453119511466605</v>
      </c>
      <c r="AO165" s="89">
        <f>INDEX(LINEST((AV165:AZ165),LN(AV164:AZ164),TRUE,TRUE),3,1)</f>
        <v>0.77930984220496657</v>
      </c>
      <c r="AP165" s="89">
        <f>INDEX(LINEST((AV165:AZ165),LN(AV164:AZ164)),1)</f>
        <v>-4.3313492182956492E-2</v>
      </c>
      <c r="AQ165" s="90">
        <f>INDEX(LINEST(LN(AV165:AZ165),SQRT(AV164:AZ164),TRUE,TRUE),3,1)</f>
        <v>0.92040349407198008</v>
      </c>
      <c r="AR165" s="117">
        <f>INDEX(LINEST(LN(AV165:AZ165),SQRT((AV164:AZ164))),1)</f>
        <v>-7.112102317336705E-3</v>
      </c>
      <c r="AS165" s="91">
        <f>INDEX(LINEST(1/(AV165:AZ165),1/(SQRT(AV164:AZ164)),TRUE,TRUE),3,1)</f>
        <v>0.17960823276110982</v>
      </c>
      <c r="AT165" s="91">
        <f>INDEX(LINEST(1/(AV165:AZ165),1/SQRT(AV164:AZ164)),1)</f>
        <v>-5128.573209877417</v>
      </c>
      <c r="AU165" s="3"/>
      <c r="AV165" s="73">
        <v>0.45</v>
      </c>
      <c r="AW165" s="73">
        <v>0.2</v>
      </c>
      <c r="AX165" s="73">
        <v>0.12</v>
      </c>
      <c r="AY165" s="73">
        <v>0.12</v>
      </c>
      <c r="AZ165" s="73">
        <v>1E-3</v>
      </c>
      <c r="BA165" s="53"/>
      <c r="BB165" s="53"/>
      <c r="BC165" s="53"/>
      <c r="BD165" s="53"/>
      <c r="BE165" s="53"/>
      <c r="BF165" s="53"/>
      <c r="BG165" s="53"/>
      <c r="BH165" s="53"/>
      <c r="BI165" s="53"/>
      <c r="BJ165" s="53"/>
      <c r="BK165" s="53"/>
      <c r="BL165" s="53"/>
      <c r="BM165" s="53"/>
      <c r="BN165" s="53"/>
      <c r="BO165" s="53"/>
      <c r="BP165" s="53"/>
      <c r="BQ165" s="53"/>
      <c r="BR165" s="53"/>
      <c r="BS165" s="53"/>
      <c r="BT165" s="53"/>
      <c r="BU165" s="53"/>
      <c r="BV165" s="53"/>
      <c r="BW165" s="53"/>
      <c r="BX165" s="53"/>
      <c r="BY165" s="53"/>
      <c r="BZ165" s="53"/>
      <c r="CA165" s="53"/>
      <c r="CB165" s="53"/>
      <c r="CC165" s="53"/>
      <c r="CD165" s="53"/>
      <c r="CE165" s="53"/>
      <c r="CF165" s="53"/>
      <c r="CG165" s="53"/>
      <c r="CH165" s="53"/>
      <c r="CI165" s="53"/>
      <c r="CJ165" s="53"/>
      <c r="CK165" s="53"/>
      <c r="CL165" s="53"/>
      <c r="CM165" s="53"/>
      <c r="CN165" s="53"/>
      <c r="CO165" s="53"/>
      <c r="CP165" s="53"/>
      <c r="CQ165" s="53"/>
      <c r="CR165" s="1"/>
      <c r="CS165" s="1"/>
      <c r="CT165" s="1"/>
      <c r="CU165" s="1"/>
    </row>
    <row r="166" spans="1:99" s="13" customFormat="1" ht="12" customHeight="1" x14ac:dyDescent="0.2">
      <c r="A166" s="65">
        <v>43509</v>
      </c>
      <c r="B166" s="1"/>
      <c r="C166" s="1"/>
      <c r="D166" s="60"/>
      <c r="E166" s="76"/>
      <c r="F166" s="60"/>
      <c r="G166" s="60"/>
      <c r="H166" s="60"/>
      <c r="I166" s="60"/>
      <c r="J166" s="60"/>
      <c r="K166" s="64"/>
      <c r="L166" s="64"/>
      <c r="M166" s="60"/>
      <c r="N166" s="60"/>
      <c r="O166" s="60"/>
      <c r="P166" s="60"/>
      <c r="Q166" s="60"/>
      <c r="R166" s="60"/>
      <c r="S166" s="60"/>
      <c r="T166" s="60"/>
      <c r="U166" s="60"/>
      <c r="V166" s="60"/>
      <c r="W166" s="60"/>
      <c r="X166" s="60"/>
      <c r="Y166" s="76"/>
      <c r="Z166" s="60"/>
      <c r="AA166" s="60"/>
      <c r="AB166" s="60"/>
      <c r="AC166" s="60"/>
      <c r="AD166" s="60"/>
      <c r="AE166" s="60"/>
      <c r="AF166" s="80"/>
      <c r="AG166" s="56"/>
      <c r="AH166" s="4"/>
      <c r="AI166" s="56"/>
      <c r="AJ166" s="109"/>
      <c r="AK166" s="56"/>
      <c r="AL166" s="56"/>
      <c r="AM166" s="56"/>
      <c r="AN166" s="56"/>
      <c r="AO166" s="56"/>
      <c r="AP166" s="56"/>
      <c r="AQ166" s="56"/>
      <c r="AR166" s="109"/>
      <c r="AS166" s="56"/>
      <c r="AT166" s="56"/>
      <c r="AU166" s="4"/>
      <c r="AV166" s="25">
        <f>2*60</f>
        <v>120</v>
      </c>
      <c r="AW166" s="25">
        <f>20*60</f>
        <v>1200</v>
      </c>
      <c r="AX166" s="25">
        <f>24*3600*7</f>
        <v>604800</v>
      </c>
      <c r="AY166" s="53"/>
      <c r="AZ166" s="53"/>
      <c r="BA166" s="53"/>
      <c r="BB166" s="53"/>
      <c r="BC166" s="53"/>
      <c r="BD166" s="53"/>
      <c r="BE166" s="53"/>
      <c r="BF166" s="53"/>
      <c r="BG166" s="53"/>
      <c r="BH166" s="53"/>
      <c r="BI166" s="53"/>
      <c r="BJ166" s="53"/>
      <c r="BK166" s="53"/>
      <c r="BL166" s="53"/>
      <c r="BM166" s="53"/>
      <c r="BN166" s="53"/>
      <c r="BO166" s="53"/>
      <c r="BP166" s="53"/>
      <c r="BQ166" s="53"/>
      <c r="BR166" s="53"/>
      <c r="BS166" s="53"/>
      <c r="BT166" s="53"/>
      <c r="BU166" s="53"/>
      <c r="BV166" s="53"/>
      <c r="BW166" s="53"/>
      <c r="BX166" s="53"/>
      <c r="BY166" s="53"/>
      <c r="BZ166" s="53"/>
      <c r="CA166" s="53"/>
      <c r="CB166" s="53"/>
      <c r="CC166" s="53"/>
      <c r="CD166" s="53"/>
      <c r="CE166" s="53"/>
      <c r="CF166" s="53"/>
      <c r="CG166" s="53"/>
      <c r="CH166" s="53"/>
      <c r="CI166" s="53"/>
      <c r="CJ166" s="53"/>
      <c r="CK166" s="53"/>
      <c r="CL166" s="53"/>
      <c r="CM166" s="53"/>
      <c r="CN166" s="53"/>
      <c r="CO166" s="53"/>
      <c r="CP166" s="53"/>
      <c r="CQ166" s="53"/>
      <c r="CR166" s="1"/>
      <c r="CS166" s="1"/>
      <c r="CT166" s="1"/>
      <c r="CU166" s="1"/>
    </row>
    <row r="167" spans="1:99" s="13" customFormat="1" ht="12" customHeight="1" x14ac:dyDescent="0.2">
      <c r="A167" s="65">
        <v>43509</v>
      </c>
      <c r="B167" s="1" t="s">
        <v>117</v>
      </c>
      <c r="C167" s="1" t="s">
        <v>19</v>
      </c>
      <c r="D167" s="60">
        <v>1964</v>
      </c>
      <c r="E167" s="76">
        <v>1</v>
      </c>
      <c r="F167" s="60">
        <v>36</v>
      </c>
      <c r="G167" s="60">
        <v>12</v>
      </c>
      <c r="H167" s="60" t="s">
        <v>50</v>
      </c>
      <c r="I167" s="60" t="s">
        <v>718</v>
      </c>
      <c r="J167" s="60" t="s">
        <v>721</v>
      </c>
      <c r="K167" s="60">
        <f>IF(J167="syllables",1,IF(J167="trigrams",2,IF(J167="strings",3,IF(J167="visual array",4,IF(J167="characters",5,IF(J167="letters",6,IF(J167="free forms",7,IF(J167="odors",8,IF(J167="words",9,IF(J167="pictures",10,IF(J167="object pictures",11,IF(J167="faces",12,IF(J167="names",13,IF(J167="idioms",14,IF(J167="grades",15,IF(J167="syllable-digit pairs",16,IF(J167="trigram-word pairs",17,IF(J167="word-digit pairs",18,IF(J167="English-Swahili pairs",19,IF(J167="spatial position",20,IF(J167="word pairs",21,IF(J167="word triads",22,IF(J167="generated words",23,IF(J167="word definition pairs",24,IF(J167="math problems",25,IF(J167="famous faces",26,IF(J167="famous names",27,IF(J167="famous voices",28,IF(J167="television programs",29,IF(J167="race horses",30,IF(J167="new vocabulary",31,IF(J167="sentences",32,IF(J167="concepts",33,IF(J167="ad slides",34,IF(J167="scenes",35,IF(J167="famous scenes",36,IF(J167="poems",37,IF(J167="walk",38,IF(J167="faces and events",39,IF(J167="events and names",40,IF(J167="flashbulb",41,IF(J167="stories",42,IF(J167="course material",43,IF(J167="autobiographical",44,IF(J167="novels",45,IF(J167="public events",46,"99"))))))))))))))))))))))))))))))))))))))))))))))</f>
        <v>16</v>
      </c>
      <c r="L167" s="60">
        <f>IF(J167="syllables",1,IF(J167="trigrams",1,IF(J167="strings",1,IF(J167="visual array",1,IF(J167="characters",1,IF(J167="letters",1,IF(J167="free forms",1,IF(J167="odors",2,IF(J167="words",2,IF(J167="pictures",2,IF(J167="object pictures",2,IF(J167="faces",2,IF(J167="names",2,IF(J167="idioms","2",IF(J167="grades",2,IF(J167="syllable-digit pairs",3,IF(J167="trigram-word pairs",3,IF(J167="word-digit pairs",3,IF(J167="English-Swahili pairs",3,IF(J167="spatial position",3,IF(J167="word pairs",4,IF(J167="word triads",4,IF(J167="generated words",4,IF(J167="word definition pairs",4,IF(J167="math problems",4,IF(J167="famous faces",4,IF(J167="famous names",4,IF(J167="famous voices",4,IF(J167="television programs",4,IF(J167="race horses",4,IF(J167="new vocabulary",4,IF(J167="sentences",5,IF(J167="concepts",5,IF(J167="ad slides",5,IF(J167="scenes",5,IF(J167="famous scenes",5,IF(J167="poems",6,IF(J167="walk",6,IF(J167="faces and events",6,IF(J167="events and names",6,IF(J167="flashbulb",7,IF(J167="stories",7,IF(J167="course material",7,IF(J167="autobiographical",7,IF(J167="novels",7,IF(J167="public events",7,"99"))))))))))))))))))))))))))))))))))))))))))))))</f>
        <v>3</v>
      </c>
      <c r="M167" s="60">
        <v>0</v>
      </c>
      <c r="N167" s="60">
        <v>1</v>
      </c>
      <c r="O167" s="60">
        <v>0</v>
      </c>
      <c r="P167" s="60"/>
      <c r="Q167" s="60" t="s">
        <v>65</v>
      </c>
      <c r="R167" s="60">
        <f>IF(Q167="Free Recall",1,IF(Q167="Cued Recall",2,IF(Q167="Recognition",3,IF(Q167="Multiple Choice",4,IF(Q167="Savings",5,IF(Q167="Stem Completion",6,IF(Q167="Fragment Completion",7,IF(Q167="anagram solution",8,IF(Q167="Matching",9,IF(Q167="Problem Solving",10,"99"))))))))))</f>
        <v>2</v>
      </c>
      <c r="S167" s="60" t="s">
        <v>49</v>
      </c>
      <c r="T167" s="60" t="s">
        <v>261</v>
      </c>
      <c r="U167" s="60">
        <f>IF(T167="within",1,0)</f>
        <v>0</v>
      </c>
      <c r="V167" s="60">
        <v>6</v>
      </c>
      <c r="W167" s="60">
        <f>F167*V167</f>
        <v>216</v>
      </c>
      <c r="X167" s="60">
        <v>3</v>
      </c>
      <c r="Y167" s="76">
        <f>AV166</f>
        <v>120</v>
      </c>
      <c r="Z167" s="60" t="s">
        <v>97</v>
      </c>
      <c r="AA167" s="60">
        <v>604800</v>
      </c>
      <c r="AB167" s="60" t="str">
        <f>IF(AA167&lt;60,"1",IF(AA167&lt;=43200,"2",IF(AA167&lt;=777600,"3","4")))</f>
        <v>3</v>
      </c>
      <c r="AC167" s="56">
        <f>AVERAGE(AV166:DA166)</f>
        <v>202040</v>
      </c>
      <c r="AD167" s="60" t="str">
        <f>IF(AC167&lt;60,"1",IF(AC167&lt;=43200,"2",IF(AC167&lt;=777600,"3","4")))</f>
        <v>3</v>
      </c>
      <c r="AE167" s="76">
        <f>AA167-Y167</f>
        <v>604680</v>
      </c>
      <c r="AF167" s="80">
        <f>AV167</f>
        <v>0.44</v>
      </c>
      <c r="AG167" s="56">
        <f>((AW167-AV167)+(AX167-AW167))/2</f>
        <v>-0.18</v>
      </c>
      <c r="AH167" s="4"/>
      <c r="AI167" s="56">
        <f>RSQ(AV167:AX167,AV166:AX166)</f>
        <v>0.80450808316295164</v>
      </c>
      <c r="AJ167" s="109">
        <f>SLOPE(AV167:AX167,AV166:AX166)</f>
        <v>-4.6382270366795731E-7</v>
      </c>
      <c r="AK167" s="56">
        <f>INTERCEPT(AV167:AX167,AV166:AX166)</f>
        <v>0.36037740571574073</v>
      </c>
      <c r="AL167" s="56">
        <f>INDEX(LINEST(LN(AV167:AX167),LN(AV166:AX166),TRUE,TRUE),3,1)</f>
        <v>0.99997145956760369</v>
      </c>
      <c r="AM167" s="56">
        <f>INDEX(LINEST(LN(AV167:AX167),LN(AV166:AX166)),1)</f>
        <v>-0.20025067487493042</v>
      </c>
      <c r="AN167" s="56">
        <f>EXP(INDEX(LINEST(LN(AV167:AX167),LN(AV166:AX166)),1,2))</f>
        <v>1.1520711701236224</v>
      </c>
      <c r="AO167" s="82">
        <f>INDEX(LINEST((AV167:AX167),LN(AV166:AX166),TRUE,TRUE),3,1)</f>
        <v>0.96229230769970098</v>
      </c>
      <c r="AP167" s="82">
        <f>INDEX(LINEST((AV167:AX167),LN(AV166:AX166)),1)</f>
        <v>-4.0119603093488547E-2</v>
      </c>
      <c r="AQ167" s="83">
        <f>INDEX(LINEST(LN(AV167:AX167),SQRT(AV166:AX166),TRUE,TRUE),3,1)</f>
        <v>0.94731321939258817</v>
      </c>
      <c r="AR167" s="116">
        <f>INDEX(LINEST(LN(AV167:AX167),SQRT((AV166:AX166))),1)</f>
        <v>-1.97153347148213E-3</v>
      </c>
      <c r="AS167" s="84">
        <f>INDEX(LINEST(1/(AV167:AX167),1/(SQRT(AV166:AX166)),TRUE,TRUE),3,1)</f>
        <v>0.6561644474570163</v>
      </c>
      <c r="AT167" s="84">
        <f>INDEX(LINEST(1/(AV167:AX167),1/SQRT(AV166:AX166)),1)</f>
        <v>-97.81134653710167</v>
      </c>
      <c r="AU167" s="3"/>
      <c r="AV167" s="53">
        <v>0.44</v>
      </c>
      <c r="AW167" s="53">
        <v>0.28000000000000003</v>
      </c>
      <c r="AX167" s="53">
        <v>0.08</v>
      </c>
      <c r="AY167" s="53"/>
      <c r="AZ167" s="53"/>
      <c r="BA167" s="53"/>
      <c r="BB167" s="53"/>
      <c r="BC167" s="53"/>
      <c r="BD167" s="53"/>
      <c r="BE167" s="53"/>
      <c r="BF167" s="53"/>
      <c r="BG167" s="53"/>
      <c r="BH167" s="53"/>
      <c r="BI167" s="53"/>
      <c r="BJ167" s="53"/>
      <c r="BK167" s="53"/>
      <c r="BL167" s="53"/>
      <c r="BM167" s="53"/>
      <c r="BN167" s="53"/>
      <c r="BO167" s="53"/>
      <c r="BP167" s="53"/>
      <c r="BQ167" s="53"/>
      <c r="BR167" s="53"/>
      <c r="BS167" s="53"/>
      <c r="BT167" s="53"/>
      <c r="BU167" s="53"/>
      <c r="BV167" s="53"/>
      <c r="BW167" s="53"/>
      <c r="BX167" s="53"/>
      <c r="BY167" s="53"/>
      <c r="BZ167" s="53"/>
      <c r="CA167" s="53"/>
      <c r="CB167" s="53"/>
      <c r="CC167" s="53"/>
      <c r="CD167" s="53"/>
      <c r="CE167" s="53"/>
      <c r="CF167" s="53"/>
      <c r="CG167" s="53"/>
      <c r="CH167" s="53"/>
      <c r="CI167" s="53"/>
      <c r="CJ167" s="53"/>
      <c r="CK167" s="53"/>
      <c r="CL167" s="53"/>
      <c r="CM167" s="53"/>
      <c r="CN167" s="53"/>
      <c r="CO167" s="53"/>
      <c r="CP167" s="53"/>
      <c r="CQ167" s="53"/>
      <c r="CR167" s="1"/>
      <c r="CS167" s="1"/>
      <c r="CT167" s="1"/>
      <c r="CU167" s="1"/>
    </row>
    <row r="168" spans="1:99" s="13" customFormat="1" ht="12" customHeight="1" x14ac:dyDescent="0.2">
      <c r="A168" s="65">
        <v>43976</v>
      </c>
      <c r="B168" s="1"/>
      <c r="C168" s="1"/>
      <c r="D168" s="60"/>
      <c r="E168" s="76"/>
      <c r="F168" s="60"/>
      <c r="G168" s="60"/>
      <c r="H168" s="60"/>
      <c r="I168" s="60"/>
      <c r="J168" s="60"/>
      <c r="K168" s="60"/>
      <c r="L168" s="60"/>
      <c r="M168" s="60"/>
      <c r="N168" s="60"/>
      <c r="O168" s="60"/>
      <c r="P168" s="60"/>
      <c r="Q168" s="60"/>
      <c r="R168" s="60"/>
      <c r="S168" s="60"/>
      <c r="T168" s="59"/>
      <c r="U168" s="60"/>
      <c r="V168" s="59"/>
      <c r="W168" s="60"/>
      <c r="X168" s="60"/>
      <c r="Y168" s="76"/>
      <c r="Z168" s="59"/>
      <c r="AA168" s="60"/>
      <c r="AB168" s="60"/>
      <c r="AC168" s="56"/>
      <c r="AD168" s="60"/>
      <c r="AE168" s="76"/>
      <c r="AF168" s="80"/>
      <c r="AG168" s="56"/>
      <c r="AH168" s="4"/>
      <c r="AI168" s="56"/>
      <c r="AJ168" s="109"/>
      <c r="AK168" s="56"/>
      <c r="AL168" s="56"/>
      <c r="AM168" s="56"/>
      <c r="AN168" s="56"/>
      <c r="AO168" s="82"/>
      <c r="AP168" s="82"/>
      <c r="AQ168" s="83"/>
      <c r="AR168" s="116"/>
      <c r="AS168" s="84"/>
      <c r="AT168" s="84"/>
      <c r="AU168" s="3"/>
      <c r="AV168" s="25">
        <f>60*10</f>
        <v>600</v>
      </c>
      <c r="AW168" s="25">
        <f>60*60*24</f>
        <v>86400</v>
      </c>
      <c r="AX168" s="25">
        <f>60*60*24*7</f>
        <v>604800</v>
      </c>
      <c r="AY168" s="53"/>
      <c r="AZ168" s="53"/>
      <c r="BA168" s="53"/>
      <c r="BB168" s="53"/>
      <c r="BC168" s="53"/>
      <c r="BD168" s="53"/>
      <c r="BE168" s="53"/>
      <c r="BF168" s="53"/>
      <c r="BG168" s="53"/>
      <c r="BH168" s="53"/>
      <c r="BI168" s="53"/>
      <c r="BJ168" s="53"/>
      <c r="BK168" s="53"/>
      <c r="BL168" s="53"/>
      <c r="BM168" s="53"/>
      <c r="BN168" s="53"/>
      <c r="BO168" s="53"/>
      <c r="BP168" s="53"/>
      <c r="BQ168" s="53"/>
      <c r="BR168" s="53"/>
      <c r="BS168" s="53"/>
      <c r="BT168" s="53"/>
      <c r="BU168" s="53"/>
      <c r="BV168" s="53"/>
      <c r="BW168" s="53"/>
      <c r="BX168" s="53"/>
      <c r="BY168" s="53"/>
      <c r="BZ168" s="53"/>
      <c r="CA168" s="53"/>
      <c r="CB168" s="53"/>
      <c r="CC168" s="53"/>
      <c r="CD168" s="53"/>
      <c r="CE168" s="53"/>
      <c r="CF168" s="53"/>
      <c r="CG168" s="53"/>
      <c r="CH168" s="53"/>
      <c r="CI168" s="53"/>
      <c r="CJ168" s="53"/>
      <c r="CK168" s="53"/>
      <c r="CL168" s="53"/>
      <c r="CM168" s="53"/>
      <c r="CN168" s="53"/>
      <c r="CO168" s="53"/>
      <c r="CP168" s="53"/>
      <c r="CQ168" s="53"/>
      <c r="CR168" s="1"/>
      <c r="CS168" s="1"/>
      <c r="CT168" s="1"/>
      <c r="CU168" s="1"/>
    </row>
    <row r="169" spans="1:99" s="13" customFormat="1" ht="12" customHeight="1" x14ac:dyDescent="0.2">
      <c r="A169" s="65">
        <v>43976</v>
      </c>
      <c r="B169" s="1" t="s">
        <v>928</v>
      </c>
      <c r="C169" s="1" t="s">
        <v>54</v>
      </c>
      <c r="D169" s="60">
        <v>1985</v>
      </c>
      <c r="E169" s="76">
        <v>1</v>
      </c>
      <c r="F169" s="60">
        <v>16</v>
      </c>
      <c r="G169" s="60">
        <v>16</v>
      </c>
      <c r="H169" s="60" t="s">
        <v>41</v>
      </c>
      <c r="I169" s="60" t="s">
        <v>330</v>
      </c>
      <c r="J169" s="60" t="s">
        <v>313</v>
      </c>
      <c r="K169" s="60">
        <f>IF(J169="syllables",1,IF(J169="trigrams",2,IF(J169="strings",3,IF(J169="visual array",4,IF(J169="characters",5,IF(J169="letters",6,IF(J169="free forms",7,IF(J169="odors",8,IF(J169="words",9,IF(J169="pictures",10,IF(J169="object pictures",11,IF(J169="faces",12,IF(J169="names",13,IF(J169="idioms",14,IF(J169="grades",15,IF(J169="syllable-digit pairs",16,IF(J169="trigram-word pairs",17,IF(J169="word-digit pairs",18,IF(J169="English-Swahili pairs",19,IF(J169="spatial position",20,IF(J169="word pairs",21,IF(J169="word triads",22,IF(J169="generated words",23,IF(J169="word definition pairs",24,IF(J169="math problems",25,IF(J169="famous faces",26,IF(J169="famous names",27,IF(J169="famous voices",28,IF(J169="television programs",29,IF(J169="race horses",30,IF(J169="new vocabulary",31,IF(J169="sentences",32,IF(J169="concepts",33,IF(J169="ad slides",34,IF(J169="scenes",35,IF(J169="famous scenes",36,IF(J169="poems",37,IF(J169="walk",38,IF(J169="faces and events",39,IF(J169="events and names",40,IF(J169="flashbulb",41,IF(J169="stories",42,IF(J169="course material",43,IF(J169="autobiographical",44,IF(J169="novels",45,IF(J169="public events",46,"99"))))))))))))))))))))))))))))))))))))))))))))))</f>
        <v>10</v>
      </c>
      <c r="L169" s="60">
        <f>IF(J169="syllables",1,IF(J169="trigrams",1,IF(J169="strings",1,IF(J169="visual array",1,IF(J169="characters",1,IF(J169="letters",1,IF(J169="free forms",1,IF(J169="odors",2,IF(J169="words",2,IF(J169="pictures",2,IF(J169="object pictures",2,IF(J169="faces",2,IF(J169="names",2,IF(J169="idioms","2",IF(J169="grades",2,IF(J169="syllable-digit pairs",3,IF(J169="trigram-word pairs",3,IF(J169="word-digit pairs",3,IF(J169="English-Swahili pairs",3,IF(J169="spatial position",3,IF(J169="word pairs",4,IF(J169="word triads",4,IF(J169="generated words",4,IF(J169="word definition pairs",4,IF(J169="math problems",4,IF(J169="famous faces",4,IF(J169="famous names",4,IF(J169="famous voices",4,IF(J169="television programs",4,IF(J169="race horses",4,IF(J169="new vocabulary",4,IF(J169="sentences",5,IF(J169="concepts",5,IF(J169="ad slides",5,IF(J169="scenes",5,IF(J169="famous scenes",5,IF(J169="poems",6,IF(J169="walk",6,IF(J169="faces and events",6,IF(J169="events and names",6,IF(J169="flashbulb",7,IF(J169="stories",7,IF(J169="course material",7,IF(J169="autobiographical",7,IF(J169="novels",7,IF(J169="public events",7,"99"))))))))))))))))))))))))))))))))))))))))))))))</f>
        <v>2</v>
      </c>
      <c r="M169" s="60">
        <v>0</v>
      </c>
      <c r="N169" s="60">
        <v>1</v>
      </c>
      <c r="O169" s="60">
        <v>0</v>
      </c>
      <c r="P169" s="60"/>
      <c r="Q169" s="60" t="s">
        <v>34</v>
      </c>
      <c r="R169" s="60">
        <f>IF(Q169="Free Recall",1,IF(Q169="Cued Recall",2,IF(Q169="Recognition",3,IF(Q169="Multiple Choice",4,IF(Q169="Savings",5,IF(Q169="Stem Completion",6,IF(Q169="Fragment Completion",7,IF(Q169="anagram solution",8,IF(Q169="Matching",9,IF(Q169="Problem Solving",10,"99"))))))))))</f>
        <v>3</v>
      </c>
      <c r="S169" s="60" t="s">
        <v>15</v>
      </c>
      <c r="T169" s="59" t="s">
        <v>581</v>
      </c>
      <c r="U169" s="60">
        <f>IF(T169="within",1,0)</f>
        <v>1</v>
      </c>
      <c r="V169" s="59">
        <v>120</v>
      </c>
      <c r="W169" s="60" t="e">
        <f>#REF!*V169</f>
        <v>#REF!</v>
      </c>
      <c r="X169" s="60">
        <v>3</v>
      </c>
      <c r="Y169" s="76">
        <f>AV168</f>
        <v>600</v>
      </c>
      <c r="Z169" s="60" t="s">
        <v>97</v>
      </c>
      <c r="AA169" s="60">
        <v>604800</v>
      </c>
      <c r="AB169" s="60" t="str">
        <f>IF(AA169&lt;60,"1",IF(AA169&lt;=43200,"2",IF(AA169&lt;=777600,"3","4")))</f>
        <v>3</v>
      </c>
      <c r="AC169" s="56">
        <f>AVERAGE(AV168:DA168)</f>
        <v>230600</v>
      </c>
      <c r="AD169" s="60" t="str">
        <f>IF(AC169&lt;60,"1",IF(AC169&lt;=43200,"2",IF(AC169&lt;=777600,"3","4")))</f>
        <v>3</v>
      </c>
      <c r="AE169" s="76">
        <f>AA169-Y169</f>
        <v>604200</v>
      </c>
      <c r="AF169" s="80">
        <f>AV169</f>
        <v>0.81442509826868004</v>
      </c>
      <c r="AG169" s="56">
        <f>((AW169-AV169)+(AX169-AW169))/2</f>
        <v>-0.10779416920246299</v>
      </c>
      <c r="AH169" s="4"/>
      <c r="AI169" s="56">
        <f>RSQ(AV169:AX169,AV168:AX168)</f>
        <v>0.83893050318398321</v>
      </c>
      <c r="AJ169" s="109">
        <f>SLOPE(AV169:AX169,AV168:AX168)</f>
        <v>-3.0209746671927545E-7</v>
      </c>
      <c r="AK169" s="56">
        <f>INTERCEPT(AV169:AX169,AV168:AX168)</f>
        <v>0.77498812325723765</v>
      </c>
      <c r="AL169" s="56">
        <f>INDEX(LINEST(LN(AV169:AX169),LN(AV168:AX168),TRUE,TRUE),3,1)</f>
        <v>0.92854652780261737</v>
      </c>
      <c r="AM169" s="56">
        <f>INDEX(LINEST(LN(AV169:AX169),LN(AV168:AX168)),1)</f>
        <v>-4.1553017301313395E-2</v>
      </c>
      <c r="AN169" s="56">
        <f>EXP(INDEX(LINEST(LN(AV169:AX169),LN(AV168:AX168)),1,2))</f>
        <v>1.0762567578338706</v>
      </c>
      <c r="AO169" s="82">
        <f>INDEX(LINEST((AV169:AX169),LN(AV168:AX168),TRUE,TRUE),3,1)</f>
        <v>0.94966075549527063</v>
      </c>
      <c r="AP169" s="82">
        <f>INDEX(LINEST((AV169:AX169),LN(AV168:AX168)),1)</f>
        <v>-2.9461306544186099E-2</v>
      </c>
      <c r="AQ169" s="83">
        <f>INDEX(LINEST(LN(AV169:AX169),SQRT(AV168:AX168),TRUE,TRUE),3,1)</f>
        <v>0.98066532496485592</v>
      </c>
      <c r="AR169" s="116">
        <f>INDEX(LINEST(LN(AV169:AX169),SQRT((AV168:AX168))),1)</f>
        <v>-3.9904811753857381E-4</v>
      </c>
      <c r="AS169" s="84">
        <f>INDEX(LINEST(1/(AV169:AX169),1/(SQRT(AV168:AX168)),TRUE,TRUE),3,1)</f>
        <v>0.73269464500909887</v>
      </c>
      <c r="AT169" s="84">
        <f>INDEX(LINEST(1/(AV169:AX169),1/SQRT(AV168:AX168)),1)</f>
        <v>-8.5252437347902585</v>
      </c>
      <c r="AU169" s="3"/>
      <c r="AV169" s="53">
        <v>0.81442509826868004</v>
      </c>
      <c r="AW169" s="53">
        <v>0.70271148416288398</v>
      </c>
      <c r="AX169" s="53">
        <v>0.59883675986375406</v>
      </c>
      <c r="AY169" s="53"/>
      <c r="AZ169" s="53"/>
      <c r="BA169" s="53"/>
      <c r="BB169" s="53"/>
      <c r="BC169" s="53"/>
      <c r="BD169" s="53"/>
      <c r="BE169" s="53"/>
      <c r="BF169" s="53"/>
      <c r="BG169" s="53"/>
      <c r="BH169" s="53"/>
      <c r="BI169" s="53"/>
      <c r="BJ169" s="53"/>
      <c r="BK169" s="53"/>
      <c r="BL169" s="53"/>
      <c r="BM169" s="53"/>
      <c r="BN169" s="53"/>
      <c r="BO169" s="53"/>
      <c r="BP169" s="53"/>
      <c r="BQ169" s="53"/>
      <c r="BR169" s="53"/>
      <c r="BS169" s="53"/>
      <c r="BT169" s="53"/>
      <c r="BU169" s="53"/>
      <c r="BV169" s="53"/>
      <c r="BW169" s="53"/>
      <c r="BX169" s="53"/>
      <c r="BY169" s="53"/>
      <c r="BZ169" s="53"/>
      <c r="CA169" s="53"/>
      <c r="CB169" s="53"/>
      <c r="CC169" s="53"/>
      <c r="CD169" s="53"/>
      <c r="CE169" s="53"/>
      <c r="CF169" s="53"/>
      <c r="CG169" s="53"/>
      <c r="CH169" s="53"/>
      <c r="CI169" s="53"/>
      <c r="CJ169" s="53"/>
      <c r="CK169" s="53"/>
      <c r="CL169" s="53"/>
      <c r="CM169" s="53"/>
      <c r="CN169" s="53"/>
      <c r="CO169" s="53"/>
      <c r="CP169" s="53"/>
      <c r="CQ169" s="53"/>
      <c r="CR169" s="1"/>
      <c r="CS169" s="1"/>
      <c r="CT169" s="1"/>
      <c r="CU169" s="1"/>
    </row>
    <row r="170" spans="1:99" s="13" customFormat="1" ht="12" customHeight="1" x14ac:dyDescent="0.2">
      <c r="A170" s="65">
        <v>43951</v>
      </c>
      <c r="B170" s="1"/>
      <c r="C170" s="1"/>
      <c r="D170" s="60"/>
      <c r="E170" s="76"/>
      <c r="F170" s="60"/>
      <c r="G170" s="60"/>
      <c r="H170" s="60"/>
      <c r="I170" s="60"/>
      <c r="J170" s="60"/>
      <c r="K170" s="60"/>
      <c r="L170" s="60"/>
      <c r="M170" s="60"/>
      <c r="N170" s="59"/>
      <c r="O170" s="60"/>
      <c r="P170" s="60"/>
      <c r="Q170" s="60"/>
      <c r="R170" s="60"/>
      <c r="S170" s="60"/>
      <c r="T170" s="59"/>
      <c r="U170" s="60"/>
      <c r="V170" s="59"/>
      <c r="W170" s="60"/>
      <c r="X170" s="60"/>
      <c r="Y170" s="76"/>
      <c r="Z170" s="59"/>
      <c r="AA170" s="60"/>
      <c r="AB170" s="60"/>
      <c r="AC170" s="56"/>
      <c r="AD170" s="60"/>
      <c r="AE170" s="76"/>
      <c r="AF170" s="80"/>
      <c r="AG170" s="56"/>
      <c r="AH170" s="4"/>
      <c r="AI170" s="56"/>
      <c r="AJ170" s="109"/>
      <c r="AK170" s="56"/>
      <c r="AL170" s="56"/>
      <c r="AM170" s="56"/>
      <c r="AN170" s="56"/>
      <c r="AO170" s="82"/>
      <c r="AP170" s="82"/>
      <c r="AQ170" s="83"/>
      <c r="AR170" s="116"/>
      <c r="AS170" s="84"/>
      <c r="AT170" s="84"/>
      <c r="AU170" s="3"/>
      <c r="AV170" s="25">
        <v>60</v>
      </c>
      <c r="AW170" s="25">
        <f>60*20</f>
        <v>1200</v>
      </c>
      <c r="AX170" s="25">
        <f>60*90</f>
        <v>5400</v>
      </c>
      <c r="AY170" s="25">
        <f>60*60*6</f>
        <v>21600</v>
      </c>
      <c r="AZ170" s="25">
        <f>60*60*24</f>
        <v>86400</v>
      </c>
      <c r="BA170" s="25">
        <f>60*60*72</f>
        <v>259200</v>
      </c>
      <c r="BB170" s="25">
        <f>60*60*24*7</f>
        <v>604800</v>
      </c>
      <c r="BC170" s="53"/>
      <c r="BD170" s="53"/>
      <c r="BE170" s="53"/>
      <c r="BF170" s="53"/>
      <c r="BG170" s="53"/>
      <c r="BH170" s="53"/>
      <c r="BI170" s="53"/>
      <c r="BJ170" s="53"/>
      <c r="BK170" s="53"/>
      <c r="BL170" s="53"/>
      <c r="BM170" s="53"/>
      <c r="BN170" s="53"/>
      <c r="BO170" s="53"/>
      <c r="BP170" s="53"/>
      <c r="BQ170" s="53"/>
      <c r="BR170" s="53"/>
      <c r="BS170" s="53"/>
      <c r="BT170" s="53"/>
      <c r="BU170" s="53"/>
      <c r="BV170" s="53"/>
      <c r="BW170" s="53"/>
      <c r="BX170" s="53"/>
      <c r="BY170" s="53"/>
      <c r="BZ170" s="53"/>
      <c r="CA170" s="53"/>
      <c r="CB170" s="53"/>
      <c r="CC170" s="53"/>
      <c r="CD170" s="53"/>
      <c r="CE170" s="53"/>
      <c r="CF170" s="53"/>
      <c r="CG170" s="53"/>
      <c r="CH170" s="53"/>
      <c r="CI170" s="53"/>
      <c r="CJ170" s="53"/>
      <c r="CK170" s="53"/>
      <c r="CL170" s="53"/>
      <c r="CM170" s="53"/>
      <c r="CN170" s="53"/>
      <c r="CO170" s="53"/>
      <c r="CP170" s="53"/>
      <c r="CQ170" s="53"/>
      <c r="CR170" s="1"/>
      <c r="CS170" s="1"/>
      <c r="CT170" s="1"/>
      <c r="CU170" s="1"/>
    </row>
    <row r="171" spans="1:99" s="13" customFormat="1" ht="12" customHeight="1" x14ac:dyDescent="0.2">
      <c r="A171" s="65">
        <v>43951</v>
      </c>
      <c r="B171" s="1" t="s">
        <v>883</v>
      </c>
      <c r="C171" s="1" t="s">
        <v>884</v>
      </c>
      <c r="D171" s="60">
        <v>1963</v>
      </c>
      <c r="E171" s="76">
        <v>1</v>
      </c>
      <c r="F171" s="60">
        <v>112</v>
      </c>
      <c r="G171" s="60">
        <v>16</v>
      </c>
      <c r="H171" s="60" t="s">
        <v>50</v>
      </c>
      <c r="I171" s="60" t="s">
        <v>885</v>
      </c>
      <c r="J171" s="60" t="s">
        <v>320</v>
      </c>
      <c r="K171" s="60">
        <f>IF(J171="syllables",1,IF(J171="trigrams",2,IF(J171="strings",3,IF(J171="visual array",4,IF(J171="characters",5,IF(J171="letters",6,IF(J171="free forms",7,IF(J171="odors",8,IF(J171="words",9,IF(J171="pictures",10,IF(J171="object pictures",11,IF(J171="faces",12,IF(J171="names",13,IF(J171="idioms",14,IF(J171="grades",15,IF(J171="syllable-digit pairs",16,IF(J171="trigram-word pairs",17,IF(J171="word-digit pairs",18,IF(J171="English-Swahili pairs",19,IF(J171="spatial position",20,IF(J171="word pairs",21,IF(J171="word triads",22,IF(J171="generated words",23,IF(J171="word definition pairs",24,IF(J171="math problems",25,IF(J171="famous faces",26,IF(J171="famous names",27,IF(J171="famous voices",28,IF(J171="television programs",29,IF(J171="race horses",30,IF(J171="new vocabulary",31,IF(J171="sentences",32,IF(J171="concepts",33,IF(J171="ad slides",34,IF(J171="scenes",35,IF(J171="famous scenes",36,IF(J171="poems",37,IF(J171="walk",38,IF(J171="faces and events",39,IF(J171="events and names",40,IF(J171="flashbulb",41,IF(J171="stories",42,IF(J171="course material",43,IF(J171="autobiographical",44,IF(J171="novels",45,IF(J171="public events",46,"99"))))))))))))))))))))))))))))))))))))))))))))))</f>
        <v>21</v>
      </c>
      <c r="L171" s="60">
        <f>IF(J171="syllables",1,IF(J171="trigrams",1,IF(J171="strings",1,IF(J171="visual array",1,IF(J171="characters",1,IF(J171="letters",1,IF(J171="free forms",1,IF(J171="odors",2,IF(J171="words",2,IF(J171="pictures",2,IF(J171="object pictures",2,IF(J171="faces",2,IF(J171="names",2,IF(J171="idioms","2",IF(J171="grades",2,IF(J171="syllable-digit pairs",3,IF(J171="trigram-word pairs",3,IF(J171="word-digit pairs",3,IF(J171="English-Swahili pairs",3,IF(J171="spatial position",3,IF(J171="word pairs",4,IF(J171="word triads",4,IF(J171="generated words",4,IF(J171="word definition pairs",4,IF(J171="math problems",4,IF(J171="famous faces",4,IF(J171="famous names",4,IF(J171="famous voices",4,IF(J171="television programs",4,IF(J171="race horses",4,IF(J171="new vocabulary",4,IF(J171="sentences",5,IF(J171="concepts",5,IF(J171="ad slides",5,IF(J171="scenes",5,IF(J171="famous scenes",5,IF(J171="poems",6,IF(J171="walk",6,IF(J171="faces and events",6,IF(J171="events and names",6,IF(J171="flashbulb",7,IF(J171="stories",7,IF(J171="course material",7,IF(J171="autobiographical",7,IF(J171="novels",7,IF(J171="public events",7,"99"))))))))))))))))))))))))))))))))))))))))))))))</f>
        <v>4</v>
      </c>
      <c r="M171" s="60">
        <v>1</v>
      </c>
      <c r="N171" s="59">
        <v>2</v>
      </c>
      <c r="O171" s="60">
        <v>0</v>
      </c>
      <c r="P171" s="60"/>
      <c r="Q171" s="60" t="s">
        <v>65</v>
      </c>
      <c r="R171" s="60">
        <f>IF(Q171="Free Recall",1,IF(Q171="Cued Recall",2,IF(Q171="Recognition",3,IF(Q171="Multiple Choice",4,IF(Q171="Savings",5,IF(Q171="Stem Completion",6,IF(Q171="Fragment Completion",7,IF(Q171="anagram solution",8,IF(Q171="Matching",9,IF(Q171="Problem Solving",10,"99"))))))))))</f>
        <v>2</v>
      </c>
      <c r="S171" s="60" t="s">
        <v>15</v>
      </c>
      <c r="T171" s="59" t="s">
        <v>261</v>
      </c>
      <c r="U171" s="60">
        <f>IF(T171="within",1,0)</f>
        <v>0</v>
      </c>
      <c r="V171" s="59">
        <v>10</v>
      </c>
      <c r="W171" s="60">
        <f>F171*V171</f>
        <v>1120</v>
      </c>
      <c r="X171" s="60">
        <v>7</v>
      </c>
      <c r="Y171" s="76">
        <f>AV170</f>
        <v>60</v>
      </c>
      <c r="Z171" s="59" t="s">
        <v>150</v>
      </c>
      <c r="AA171" s="60">
        <v>172800</v>
      </c>
      <c r="AB171" s="60" t="str">
        <f>IF(AA171&lt;60,"1",IF(AA171&lt;=43200,"2",IF(AA171&lt;=777600,"3","4")))</f>
        <v>3</v>
      </c>
      <c r="AC171" s="56">
        <f>AVERAGE(AV170:DA170)</f>
        <v>139808.57142857142</v>
      </c>
      <c r="AD171" s="60" t="str">
        <f>IF(AC171&lt;60,"1",IF(AC171&lt;=43200,"2",IF(AC171&lt;=777600,"3","4")))</f>
        <v>3</v>
      </c>
      <c r="AE171" s="76">
        <f>AA171-Y171</f>
        <v>172740</v>
      </c>
      <c r="AF171" s="80">
        <f>AV171</f>
        <v>0.66335801960545604</v>
      </c>
      <c r="AG171" s="56">
        <f>((AW171-AV171)+(AX171-AW171)+(AY171-AX171)+(AZ171-AY171)+(BA171-AZ171)+(BB171-BA171))/6</f>
        <v>-2.6962652260619668E-2</v>
      </c>
      <c r="AH171" s="4"/>
      <c r="AI171" s="56">
        <f>RSQ(AV171:BB171,AV170:BB170)</f>
        <v>0.79747397187966984</v>
      </c>
      <c r="AJ171" s="109">
        <f>SLOPE(AV171:BB171,AV170:BB170)</f>
        <v>-2.9310821498394279E-7</v>
      </c>
      <c r="AK171" s="56">
        <f>INTERCEPT(AV171:BB171,AV170:BB170)</f>
        <v>0.68269818976981977</v>
      </c>
      <c r="AL171" s="56">
        <f>INDEX(LINEST(LN(AV171:BB171),LN(AV170:BB170),TRUE,TRUE),3,1)</f>
        <v>0.29643923345027523</v>
      </c>
      <c r="AM171" s="56">
        <f>INDEX(LINEST(LN(AV171:BB171),LN(AV170:BB170)),1)</f>
        <v>-2.0430453216611359E-2</v>
      </c>
      <c r="AN171" s="56">
        <f>EXP(INDEX(LINEST(LN(AV171:BB171),LN(AV170:BB170)),1,2))</f>
        <v>0.77535907343637345</v>
      </c>
      <c r="AO171" s="82">
        <f>INDEX(LINEST((AV171:BB171),LN(AV170:BB170),TRUE,TRUE),3,1)</f>
        <v>0.27724550030009937</v>
      </c>
      <c r="AP171" s="82">
        <f>INDEX(LINEST((AV171:BB171),LN(AV170:BB170)),1)</f>
        <v>-1.2019524566460108E-2</v>
      </c>
      <c r="AQ171" s="83">
        <f>INDEX(LINEST(LN(AV171:BB171),SQRT(AV170:BB170),TRUE,TRUE),3,1)</f>
        <v>0.70826264011270046</v>
      </c>
      <c r="AR171" s="116">
        <f>INDEX(LINEST(LN(AV171:BB171),SQRT((AV170:BB170))),1)</f>
        <v>-3.5658171196982388E-4</v>
      </c>
      <c r="AS171" s="84">
        <f>INDEX(LINEST(1/(AV171:BB171),1/(SQRT(AV170:BB170)),TRUE,TRUE),3,1)</f>
        <v>5.6183129837885357E-2</v>
      </c>
      <c r="AT171" s="84">
        <f>INDEX(LINEST(1/(AV171:BB171),1/SQRT(AV170:BB170)),1)</f>
        <v>-1.0394691238033038</v>
      </c>
      <c r="AU171" s="3"/>
      <c r="AV171" s="53">
        <v>0.66335801960545604</v>
      </c>
      <c r="AW171" s="53">
        <v>0.67386744314511193</v>
      </c>
      <c r="AX171" s="53">
        <v>0.64669731384647</v>
      </c>
      <c r="AY171" s="53">
        <v>0.74575037216661799</v>
      </c>
      <c r="AZ171" s="53">
        <v>0.646471485951295</v>
      </c>
      <c r="BA171" s="53">
        <v>0.61430730195586403</v>
      </c>
      <c r="BB171" s="53">
        <v>0.50158210604173803</v>
      </c>
      <c r="BC171" s="53"/>
      <c r="BD171" s="53"/>
      <c r="BE171" s="53"/>
      <c r="BF171" s="53"/>
      <c r="BG171" s="53"/>
      <c r="BH171" s="53"/>
      <c r="BI171" s="53"/>
      <c r="BJ171" s="53"/>
      <c r="BK171" s="53"/>
      <c r="BL171" s="53"/>
      <c r="BM171" s="53"/>
      <c r="BN171" s="53"/>
      <c r="BO171" s="53"/>
      <c r="BP171" s="53"/>
      <c r="BQ171" s="53"/>
      <c r="BR171" s="53"/>
      <c r="BS171" s="53"/>
      <c r="BT171" s="53"/>
      <c r="BU171" s="53"/>
      <c r="BV171" s="53"/>
      <c r="BW171" s="53"/>
      <c r="BX171" s="53"/>
      <c r="BY171" s="53"/>
      <c r="BZ171" s="53"/>
      <c r="CA171" s="53"/>
      <c r="CB171" s="53"/>
      <c r="CC171" s="53"/>
      <c r="CD171" s="53"/>
      <c r="CE171" s="53"/>
      <c r="CF171" s="53"/>
      <c r="CG171" s="53"/>
      <c r="CH171" s="53"/>
      <c r="CI171" s="53"/>
      <c r="CJ171" s="53"/>
      <c r="CK171" s="53"/>
      <c r="CL171" s="53"/>
      <c r="CM171" s="53"/>
      <c r="CN171" s="53"/>
      <c r="CO171" s="53"/>
      <c r="CP171" s="53"/>
      <c r="CQ171" s="53"/>
      <c r="CR171" s="1"/>
      <c r="CS171" s="1"/>
      <c r="CT171" s="1"/>
      <c r="CU171" s="1"/>
    </row>
    <row r="172" spans="1:99" s="13" customFormat="1" ht="12" customHeight="1" x14ac:dyDescent="0.2">
      <c r="A172" s="65">
        <v>43951</v>
      </c>
      <c r="B172" s="1"/>
      <c r="C172" s="1"/>
      <c r="D172" s="60"/>
      <c r="E172" s="76"/>
      <c r="F172" s="60"/>
      <c r="G172" s="60"/>
      <c r="H172" s="60"/>
      <c r="I172" s="60"/>
      <c r="J172" s="60"/>
      <c r="K172" s="60"/>
      <c r="L172" s="60"/>
      <c r="M172" s="60"/>
      <c r="N172" s="59"/>
      <c r="O172" s="60"/>
      <c r="P172" s="60"/>
      <c r="Q172" s="60"/>
      <c r="R172" s="60"/>
      <c r="S172" s="60"/>
      <c r="T172" s="59"/>
      <c r="U172" s="60"/>
      <c r="V172" s="59"/>
      <c r="W172" s="60"/>
      <c r="X172" s="60"/>
      <c r="Y172" s="76"/>
      <c r="Z172" s="59"/>
      <c r="AA172" s="60"/>
      <c r="AB172" s="60"/>
      <c r="AC172" s="56"/>
      <c r="AD172" s="60"/>
      <c r="AE172" s="76"/>
      <c r="AF172" s="80"/>
      <c r="AG172" s="56"/>
      <c r="AH172" s="4"/>
      <c r="AI172" s="56"/>
      <c r="AJ172" s="109"/>
      <c r="AK172" s="56"/>
      <c r="AL172" s="56"/>
      <c r="AM172" s="56"/>
      <c r="AN172" s="56"/>
      <c r="AO172" s="82"/>
      <c r="AP172" s="82"/>
      <c r="AQ172" s="83"/>
      <c r="AR172" s="116"/>
      <c r="AS172" s="84"/>
      <c r="AT172" s="84"/>
      <c r="AU172" s="3"/>
      <c r="AV172" s="25">
        <v>60</v>
      </c>
      <c r="AW172" s="25">
        <f>60*20</f>
        <v>1200</v>
      </c>
      <c r="AX172" s="25">
        <f>60*90</f>
        <v>5400</v>
      </c>
      <c r="AY172" s="25">
        <f>60*60*6</f>
        <v>21600</v>
      </c>
      <c r="AZ172" s="25">
        <f>60*60*24</f>
        <v>86400</v>
      </c>
      <c r="BA172" s="25">
        <f>60*60*72</f>
        <v>259200</v>
      </c>
      <c r="BB172" s="25">
        <f>60*60*24*7</f>
        <v>604800</v>
      </c>
      <c r="BC172" s="53"/>
      <c r="BD172" s="53"/>
      <c r="BE172" s="53"/>
      <c r="BF172" s="53"/>
      <c r="BG172" s="53"/>
      <c r="BH172" s="53"/>
      <c r="BI172" s="53"/>
      <c r="BJ172" s="53"/>
      <c r="BK172" s="53"/>
      <c r="BL172" s="53"/>
      <c r="BM172" s="53"/>
      <c r="BN172" s="53"/>
      <c r="BO172" s="53"/>
      <c r="BP172" s="53"/>
      <c r="BQ172" s="53"/>
      <c r="BR172" s="53"/>
      <c r="BS172" s="53"/>
      <c r="BT172" s="53"/>
      <c r="BU172" s="53"/>
      <c r="BV172" s="53"/>
      <c r="BW172" s="53"/>
      <c r="BX172" s="53"/>
      <c r="BY172" s="53"/>
      <c r="BZ172" s="53"/>
      <c r="CA172" s="53"/>
      <c r="CB172" s="53"/>
      <c r="CC172" s="53"/>
      <c r="CD172" s="53"/>
      <c r="CE172" s="53"/>
      <c r="CF172" s="53"/>
      <c r="CG172" s="53"/>
      <c r="CH172" s="53"/>
      <c r="CI172" s="53"/>
      <c r="CJ172" s="53"/>
      <c r="CK172" s="53"/>
      <c r="CL172" s="53"/>
      <c r="CM172" s="53"/>
      <c r="CN172" s="53"/>
      <c r="CO172" s="53"/>
      <c r="CP172" s="53"/>
      <c r="CQ172" s="53"/>
      <c r="CR172" s="1"/>
      <c r="CS172" s="1"/>
      <c r="CT172" s="1"/>
      <c r="CU172" s="1"/>
    </row>
    <row r="173" spans="1:99" s="13" customFormat="1" ht="12" customHeight="1" x14ac:dyDescent="0.2">
      <c r="A173" s="65">
        <v>43951</v>
      </c>
      <c r="B173" s="1" t="s">
        <v>883</v>
      </c>
      <c r="C173" s="1" t="s">
        <v>884</v>
      </c>
      <c r="D173" s="60">
        <v>1963</v>
      </c>
      <c r="E173" s="76">
        <v>1</v>
      </c>
      <c r="F173" s="60">
        <v>112</v>
      </c>
      <c r="G173" s="60">
        <v>16</v>
      </c>
      <c r="H173" s="60" t="s">
        <v>50</v>
      </c>
      <c r="I173" s="60" t="s">
        <v>886</v>
      </c>
      <c r="J173" s="60" t="s">
        <v>320</v>
      </c>
      <c r="K173" s="60">
        <f>IF(J173="syllables",1,IF(J173="trigrams",2,IF(J173="strings",3,IF(J173="visual array",4,IF(J173="characters",5,IF(J173="letters",6,IF(J173="free forms",7,IF(J173="odors",8,IF(J173="words",9,IF(J173="pictures",10,IF(J173="object pictures",11,IF(J173="faces",12,IF(J173="names",13,IF(J173="idioms",14,IF(J173="grades",15,IF(J173="syllable-digit pairs",16,IF(J173="trigram-word pairs",17,IF(J173="word-digit pairs",18,IF(J173="English-Swahili pairs",19,IF(J173="spatial position",20,IF(J173="word pairs",21,IF(J173="word triads",22,IF(J173="generated words",23,IF(J173="word definition pairs",24,IF(J173="math problems",25,IF(J173="famous faces",26,IF(J173="famous names",27,IF(J173="famous voices",28,IF(J173="television programs",29,IF(J173="race horses",30,IF(J173="new vocabulary",31,IF(J173="sentences",32,IF(J173="concepts",33,IF(J173="ad slides",34,IF(J173="scenes",35,IF(J173="famous scenes",36,IF(J173="poems",37,IF(J173="walk",38,IF(J173="faces and events",39,IF(J173="events and names",40,IF(J173="flashbulb",41,IF(J173="stories",42,IF(J173="course material",43,IF(J173="autobiographical",44,IF(J173="novels",45,IF(J173="public events",46,"99"))))))))))))))))))))))))))))))))))))))))))))))</f>
        <v>21</v>
      </c>
      <c r="L173" s="60">
        <f>IF(J173="syllables",1,IF(J173="trigrams",1,IF(J173="strings",1,IF(J173="visual array",1,IF(J173="characters",1,IF(J173="letters",1,IF(J173="free forms",1,IF(J173="odors",2,IF(J173="words",2,IF(J173="pictures",2,IF(J173="object pictures",2,IF(J173="faces",2,IF(J173="names",2,IF(J173="idioms","2",IF(J173="grades",2,IF(J173="syllable-digit pairs",3,IF(J173="trigram-word pairs",3,IF(J173="word-digit pairs",3,IF(J173="English-Swahili pairs",3,IF(J173="spatial position",3,IF(J173="word pairs",4,IF(J173="word triads",4,IF(J173="generated words",4,IF(J173="word definition pairs",4,IF(J173="math problems",4,IF(J173="famous faces",4,IF(J173="famous names",4,IF(J173="famous voices",4,IF(J173="television programs",4,IF(J173="race horses",4,IF(J173="new vocabulary",4,IF(J173="sentences",5,IF(J173="concepts",5,IF(J173="ad slides",5,IF(J173="scenes",5,IF(J173="famous scenes",5,IF(J173="poems",6,IF(J173="walk",6,IF(J173="faces and events",6,IF(J173="events and names",6,IF(J173="flashbulb",7,IF(J173="stories",7,IF(J173="course material",7,IF(J173="autobiographical",7,IF(J173="novels",7,IF(J173="public events",7,"99"))))))))))))))))))))))))))))))))))))))))))))))</f>
        <v>4</v>
      </c>
      <c r="M173" s="60">
        <v>1</v>
      </c>
      <c r="N173" s="59">
        <v>2</v>
      </c>
      <c r="O173" s="60">
        <v>0</v>
      </c>
      <c r="P173" s="60"/>
      <c r="Q173" s="60" t="s">
        <v>65</v>
      </c>
      <c r="R173" s="60">
        <f>IF(Q173="Free Recall",1,IF(Q173="Cued Recall",2,IF(Q173="Recognition",3,IF(Q173="Multiple Choice",4,IF(Q173="Savings",5,IF(Q173="Stem Completion",6,IF(Q173="Fragment Completion",7,IF(Q173="anagram solution",8,IF(Q173="Matching",9,IF(Q173="Problem Solving",10,"99"))))))))))</f>
        <v>2</v>
      </c>
      <c r="S173" s="60" t="s">
        <v>15</v>
      </c>
      <c r="T173" s="59" t="s">
        <v>261</v>
      </c>
      <c r="U173" s="60">
        <f>IF(T173="within",1,0)</f>
        <v>0</v>
      </c>
      <c r="V173" s="59">
        <v>10</v>
      </c>
      <c r="W173" s="60">
        <f>F173*V173</f>
        <v>1120</v>
      </c>
      <c r="X173" s="60">
        <v>7</v>
      </c>
      <c r="Y173" s="76">
        <f>AV172</f>
        <v>60</v>
      </c>
      <c r="Z173" s="59" t="s">
        <v>150</v>
      </c>
      <c r="AA173" s="60">
        <v>172800</v>
      </c>
      <c r="AB173" s="60" t="str">
        <f>IF(AA173&lt;60,"1",IF(AA173&lt;=43200,"2",IF(AA173&lt;=777600,"3","4")))</f>
        <v>3</v>
      </c>
      <c r="AC173" s="56">
        <f>AVERAGE(AV172:DA172)</f>
        <v>139808.57142857142</v>
      </c>
      <c r="AD173" s="60" t="str">
        <f>IF(AC173&lt;60,"1",IF(AC173&lt;=43200,"2",IF(AC173&lt;=777600,"3","4")))</f>
        <v>3</v>
      </c>
      <c r="AE173" s="76">
        <f>AA173-Y173</f>
        <v>172740</v>
      </c>
      <c r="AF173" s="80">
        <f>AV173</f>
        <v>0.943465503197355</v>
      </c>
      <c r="AG173" s="56">
        <f>((AW173-AV173)+(AX173-AW173)+(AY173-AX173)+(AZ173-AY173)+(BA173-AZ173)+(BB173-BA173))/6</f>
        <v>-8.8482215585120816E-2</v>
      </c>
      <c r="AH173" s="4"/>
      <c r="AI173" s="56">
        <f>RSQ(AV173:BB173,AV172:BB172)</f>
        <v>0.94014364172189713</v>
      </c>
      <c r="AJ173" s="109">
        <f>SLOPE(AV173:BB173,AV172:BB172)</f>
        <v>-8.109658672902818E-7</v>
      </c>
      <c r="AK173" s="56">
        <f>INTERCEPT(AV173:BB173,AV172:BB172)</f>
        <v>0.87746125281497012</v>
      </c>
      <c r="AL173" s="56">
        <f>INDEX(LINEST(LN(AV173:BB173),LN(AV172:BB172),TRUE,TRUE),3,1)</f>
        <v>0.64605146516848233</v>
      </c>
      <c r="AM173" s="56">
        <f>INDEX(LINEST(LN(AV173:BB173),LN(AV172:BB172)),1)</f>
        <v>-7.2498428077765964E-2</v>
      </c>
      <c r="AN173" s="56">
        <f>EXP(INDEX(LINEST(LN(AV173:BB173),LN(AV172:BB172)),1,2))</f>
        <v>1.4788924769248122</v>
      </c>
      <c r="AO173" s="82">
        <f>INDEX(LINEST((AV173:BB173),LN(AV172:BB172),TRUE,TRUE),3,1)</f>
        <v>0.73004420725919217</v>
      </c>
      <c r="AP173" s="82">
        <f>INDEX(LINEST((AV173:BB173),LN(AV172:BB172)),1)</f>
        <v>-4.9701025864938263E-2</v>
      </c>
      <c r="AQ173" s="83">
        <f>INDEX(LINEST(LN(AV173:BB173),SQRT(AV172:BB172),TRUE,TRUE),3,1)</f>
        <v>0.96729786266640216</v>
      </c>
      <c r="AR173" s="116">
        <f>INDEX(LINEST(LN(AV173:BB173),SQRT((AV172:BB172))),1)</f>
        <v>-1.0016751162456705E-3</v>
      </c>
      <c r="AS173" s="84">
        <f>INDEX(LINEST(1/(AV173:BB173),1/(SQRT(AV172:BB172)),TRUE,TRUE),3,1)</f>
        <v>0.18045900019928032</v>
      </c>
      <c r="AT173" s="84">
        <f>INDEX(LINEST(1/(AV173:BB173),1/SQRT(AV172:BB172)),1)</f>
        <v>-4.4296957814813087</v>
      </c>
      <c r="AU173" s="3"/>
      <c r="AV173" s="53">
        <v>0.943465503197355</v>
      </c>
      <c r="AW173" s="53">
        <v>0.88381323321505101</v>
      </c>
      <c r="AX173" s="53">
        <v>0.89381538663196203</v>
      </c>
      <c r="AY173" s="53">
        <v>0.85150580018163491</v>
      </c>
      <c r="AZ173" s="53">
        <v>0.72971771513103001</v>
      </c>
      <c r="BA173" s="53">
        <v>0.63367906597882107</v>
      </c>
      <c r="BB173" s="53">
        <v>0.41257220968663005</v>
      </c>
      <c r="BC173" s="53"/>
      <c r="BD173" s="53"/>
      <c r="BE173" s="53"/>
      <c r="BF173" s="53"/>
      <c r="BG173" s="53"/>
      <c r="BH173" s="53"/>
      <c r="BI173" s="53"/>
      <c r="BJ173" s="53"/>
      <c r="BK173" s="53"/>
      <c r="BL173" s="53"/>
      <c r="BM173" s="53"/>
      <c r="BN173" s="53"/>
      <c r="BO173" s="53"/>
      <c r="BP173" s="53"/>
      <c r="BQ173" s="53"/>
      <c r="BR173" s="53"/>
      <c r="BS173" s="53"/>
      <c r="BT173" s="53"/>
      <c r="BU173" s="53"/>
      <c r="BV173" s="53"/>
      <c r="BW173" s="53"/>
      <c r="BX173" s="53"/>
      <c r="BY173" s="53"/>
      <c r="BZ173" s="53"/>
      <c r="CA173" s="53"/>
      <c r="CB173" s="53"/>
      <c r="CC173" s="53"/>
      <c r="CD173" s="53"/>
      <c r="CE173" s="53"/>
      <c r="CF173" s="53"/>
      <c r="CG173" s="53"/>
      <c r="CH173" s="53"/>
      <c r="CI173" s="53"/>
      <c r="CJ173" s="53"/>
      <c r="CK173" s="53"/>
      <c r="CL173" s="53"/>
      <c r="CM173" s="53"/>
      <c r="CN173" s="53"/>
      <c r="CO173" s="53"/>
      <c r="CP173" s="53"/>
      <c r="CQ173" s="53"/>
      <c r="CR173" s="1"/>
      <c r="CS173" s="1"/>
      <c r="CT173" s="1"/>
      <c r="CU173" s="1"/>
    </row>
    <row r="174" spans="1:99" s="13" customFormat="1" ht="12" customHeight="1" x14ac:dyDescent="0.2">
      <c r="A174" s="65">
        <v>43951</v>
      </c>
      <c r="B174" s="1"/>
      <c r="C174" s="1"/>
      <c r="D174" s="60"/>
      <c r="E174" s="76"/>
      <c r="F174" s="60"/>
      <c r="G174" s="60"/>
      <c r="H174" s="60"/>
      <c r="I174" s="60"/>
      <c r="J174" s="60"/>
      <c r="K174" s="60"/>
      <c r="L174" s="60"/>
      <c r="M174" s="60"/>
      <c r="N174" s="59"/>
      <c r="O174" s="60"/>
      <c r="P174" s="60"/>
      <c r="Q174" s="60"/>
      <c r="R174" s="60"/>
      <c r="S174" s="60"/>
      <c r="T174" s="59"/>
      <c r="U174" s="60"/>
      <c r="V174" s="59"/>
      <c r="W174" s="60"/>
      <c r="X174" s="60"/>
      <c r="Y174" s="76"/>
      <c r="Z174" s="59"/>
      <c r="AA174" s="60"/>
      <c r="AB174" s="60"/>
      <c r="AC174" s="56"/>
      <c r="AD174" s="60"/>
      <c r="AE174" s="76"/>
      <c r="AF174" s="80"/>
      <c r="AG174" s="56"/>
      <c r="AH174" s="4"/>
      <c r="AI174" s="56"/>
      <c r="AJ174" s="109"/>
      <c r="AK174" s="56"/>
      <c r="AL174" s="56"/>
      <c r="AM174" s="56"/>
      <c r="AN174" s="56"/>
      <c r="AO174" s="82"/>
      <c r="AP174" s="82"/>
      <c r="AQ174" s="83"/>
      <c r="AR174" s="116"/>
      <c r="AS174" s="84"/>
      <c r="AT174" s="84"/>
      <c r="AU174" s="3"/>
      <c r="AV174" s="25">
        <v>60</v>
      </c>
      <c r="AW174" s="25">
        <f>60*20</f>
        <v>1200</v>
      </c>
      <c r="AX174" s="25">
        <f>60*90</f>
        <v>5400</v>
      </c>
      <c r="AY174" s="25">
        <f>60*60*6</f>
        <v>21600</v>
      </c>
      <c r="AZ174" s="25">
        <f>60*60*24</f>
        <v>86400</v>
      </c>
      <c r="BA174" s="25">
        <f>60*60*72</f>
        <v>259200</v>
      </c>
      <c r="BB174" s="25">
        <f>60*60*24*7</f>
        <v>604800</v>
      </c>
      <c r="BC174" s="53"/>
      <c r="BD174" s="53"/>
      <c r="BE174" s="53"/>
      <c r="BF174" s="53"/>
      <c r="BG174" s="53"/>
      <c r="BH174" s="53"/>
      <c r="BI174" s="53"/>
      <c r="BJ174" s="53"/>
      <c r="BK174" s="53"/>
      <c r="BL174" s="53"/>
      <c r="BM174" s="53"/>
      <c r="BN174" s="53"/>
      <c r="BO174" s="53"/>
      <c r="BP174" s="53"/>
      <c r="BQ174" s="53"/>
      <c r="BR174" s="53"/>
      <c r="BS174" s="53"/>
      <c r="BT174" s="53"/>
      <c r="BU174" s="53"/>
      <c r="BV174" s="53"/>
      <c r="BW174" s="53"/>
      <c r="BX174" s="53"/>
      <c r="BY174" s="53"/>
      <c r="BZ174" s="53"/>
      <c r="CA174" s="53"/>
      <c r="CB174" s="53"/>
      <c r="CC174" s="53"/>
      <c r="CD174" s="53"/>
      <c r="CE174" s="53"/>
      <c r="CF174" s="53"/>
      <c r="CG174" s="53"/>
      <c r="CH174" s="53"/>
      <c r="CI174" s="53"/>
      <c r="CJ174" s="53"/>
      <c r="CK174" s="53"/>
      <c r="CL174" s="53"/>
      <c r="CM174" s="53"/>
      <c r="CN174" s="53"/>
      <c r="CO174" s="53"/>
      <c r="CP174" s="53"/>
      <c r="CQ174" s="53"/>
      <c r="CR174" s="1"/>
      <c r="CS174" s="1"/>
      <c r="CT174" s="1"/>
      <c r="CU174" s="1"/>
    </row>
    <row r="175" spans="1:99" s="13" customFormat="1" ht="12" customHeight="1" x14ac:dyDescent="0.2">
      <c r="A175" s="65">
        <v>43951</v>
      </c>
      <c r="B175" s="1" t="s">
        <v>883</v>
      </c>
      <c r="C175" s="1" t="s">
        <v>884</v>
      </c>
      <c r="D175" s="60">
        <v>1963</v>
      </c>
      <c r="E175" s="76">
        <v>1</v>
      </c>
      <c r="F175" s="60">
        <v>56</v>
      </c>
      <c r="G175" s="60">
        <v>8</v>
      </c>
      <c r="H175" s="60" t="s">
        <v>50</v>
      </c>
      <c r="I175" s="60" t="s">
        <v>479</v>
      </c>
      <c r="J175" s="60" t="s">
        <v>320</v>
      </c>
      <c r="K175" s="60">
        <f>IF(J175="syllables",1,IF(J175="trigrams",2,IF(J175="strings",3,IF(J175="visual array",4,IF(J175="characters",5,IF(J175="letters",6,IF(J175="free forms",7,IF(J175="odors",8,IF(J175="words",9,IF(J175="pictures",10,IF(J175="object pictures",11,IF(J175="faces",12,IF(J175="names",13,IF(J175="idioms",14,IF(J175="grades",15,IF(J175="syllable-digit pairs",16,IF(J175="trigram-word pairs",17,IF(J175="word-digit pairs",18,IF(J175="English-Swahili pairs",19,IF(J175="spatial position",20,IF(J175="word pairs",21,IF(J175="word triads",22,IF(J175="generated words",23,IF(J175="word definition pairs",24,IF(J175="math problems",25,IF(J175="famous faces",26,IF(J175="famous names",27,IF(J175="famous voices",28,IF(J175="television programs",29,IF(J175="race horses",30,IF(J175="new vocabulary",31,IF(J175="sentences",32,IF(J175="concepts",33,IF(J175="ad slides",34,IF(J175="scenes",35,IF(J175="famous scenes",36,IF(J175="poems",37,IF(J175="walk",38,IF(J175="faces and events",39,IF(J175="events and names",40,IF(J175="flashbulb",41,IF(J175="stories",42,IF(J175="course material",43,IF(J175="autobiographical",44,IF(J175="novels",45,IF(J175="public events",46,"99"))))))))))))))))))))))))))))))))))))))))))))))</f>
        <v>21</v>
      </c>
      <c r="L175" s="60">
        <f>IF(J175="syllables",1,IF(J175="trigrams",1,IF(J175="strings",1,IF(J175="visual array",1,IF(J175="characters",1,IF(J175="letters",1,IF(J175="free forms",1,IF(J175="odors",2,IF(J175="words",2,IF(J175="pictures",2,IF(J175="object pictures",2,IF(J175="faces",2,IF(J175="names",2,IF(J175="idioms","2",IF(J175="grades",2,IF(J175="syllable-digit pairs",3,IF(J175="trigram-word pairs",3,IF(J175="word-digit pairs",3,IF(J175="English-Swahili pairs",3,IF(J175="spatial position",3,IF(J175="word pairs",4,IF(J175="word triads",4,IF(J175="generated words",4,IF(J175="word definition pairs",4,IF(J175="math problems",4,IF(J175="famous faces",4,IF(J175="famous names",4,IF(J175="famous voices",4,IF(J175="television programs",4,IF(J175="race horses",4,IF(J175="new vocabulary",4,IF(J175="sentences",5,IF(J175="concepts",5,IF(J175="ad slides",5,IF(J175="scenes",5,IF(J175="famous scenes",5,IF(J175="poems",6,IF(J175="walk",6,IF(J175="faces and events",6,IF(J175="events and names",6,IF(J175="flashbulb",7,IF(J175="stories",7,IF(J175="course material",7,IF(J175="autobiographical",7,IF(J175="novels",7,IF(J175="public events",7,"99"))))))))))))))))))))))))))))))))))))))))))))))</f>
        <v>4</v>
      </c>
      <c r="M175" s="60">
        <v>1</v>
      </c>
      <c r="N175" s="59">
        <v>2</v>
      </c>
      <c r="O175" s="60">
        <v>0</v>
      </c>
      <c r="P175" s="60"/>
      <c r="Q175" s="60" t="s">
        <v>65</v>
      </c>
      <c r="R175" s="60">
        <f>IF(Q175="Free Recall",1,IF(Q175="Cued Recall",2,IF(Q175="Recognition",3,IF(Q175="Multiple Choice",4,IF(Q175="Savings",5,IF(Q175="Stem Completion",6,IF(Q175="Fragment Completion",7,IF(Q175="anagram solution",8,IF(Q175="Matching",9,IF(Q175="Problem Solving",10,"99"))))))))))</f>
        <v>2</v>
      </c>
      <c r="S175" s="60" t="s">
        <v>15</v>
      </c>
      <c r="T175" s="59" t="s">
        <v>261</v>
      </c>
      <c r="U175" s="60">
        <f>IF(T175="within",1,0)</f>
        <v>0</v>
      </c>
      <c r="V175" s="59">
        <v>10</v>
      </c>
      <c r="W175" s="60">
        <f>F175*V175</f>
        <v>560</v>
      </c>
      <c r="X175" s="60">
        <v>7</v>
      </c>
      <c r="Y175" s="76">
        <f>AV174</f>
        <v>60</v>
      </c>
      <c r="Z175" s="59" t="s">
        <v>150</v>
      </c>
      <c r="AA175" s="60">
        <v>172800</v>
      </c>
      <c r="AB175" s="60" t="str">
        <f>IF(AA175&lt;60,"1",IF(AA175&lt;=43200,"2",IF(AA175&lt;=777600,"3","4")))</f>
        <v>3</v>
      </c>
      <c r="AC175" s="56">
        <f>AVERAGE(AV174:DA174)</f>
        <v>139808.57142857142</v>
      </c>
      <c r="AD175" s="60" t="str">
        <f>IF(AC175&lt;60,"1",IF(AC175&lt;=43200,"2",IF(AC175&lt;=777600,"3","4")))</f>
        <v>3</v>
      </c>
      <c r="AE175" s="76">
        <f>AA175-Y175</f>
        <v>172740</v>
      </c>
      <c r="AF175" s="80">
        <f>AV175</f>
        <v>0.98534927486026103</v>
      </c>
      <c r="AG175" s="56">
        <f>((AW175-AV175)+(AX175-AW175)+(AY175-AX175)+(AZ175-AY175)+(BA175-AZ175)+(BB175-BA175))/6</f>
        <v>-7.1727883003923007E-2</v>
      </c>
      <c r="AH175" s="4"/>
      <c r="AI175" s="56">
        <f>RSQ(AV175:BB175,AV174:BB174)</f>
        <v>0.92469446974817515</v>
      </c>
      <c r="AJ175" s="109">
        <f>SLOPE(AV175:BB175,AV174:BB174)</f>
        <v>-6.1010590568439386E-7</v>
      </c>
      <c r="AK175" s="56">
        <f>INTERCEPT(AV175:BB175,AV174:BB174)</f>
        <v>0.92537119776779775</v>
      </c>
      <c r="AL175" s="56">
        <f>INDEX(LINEST(LN(AV175:BB175),LN(AV174:BB174),TRUE,TRUE),3,1)</f>
        <v>0.59854673529355407</v>
      </c>
      <c r="AM175" s="56">
        <f>INDEX(LINEST(LN(AV175:BB175),LN(AV174:BB174)),1)</f>
        <v>-4.6015031429518342E-2</v>
      </c>
      <c r="AN175" s="56">
        <f>EXP(INDEX(LINEST(LN(AV175:BB175),LN(AV174:BB174)),1,2))</f>
        <v>1.285221559792586</v>
      </c>
      <c r="AO175" s="82">
        <f>INDEX(LINEST((AV175:BB175),LN(AV174:BB174),TRUE,TRUE),3,1)</f>
        <v>0.66462050482047752</v>
      </c>
      <c r="AP175" s="82">
        <f>INDEX(LINEST((AV175:BB175),LN(AV174:BB174)),1)</f>
        <v>-3.5973133637826872E-2</v>
      </c>
      <c r="AQ175" s="83">
        <f>INDEX(LINEST(LN(AV175:BB175),SQRT(AV174:BB174),TRUE,TRUE),3,1)</f>
        <v>0.88316795923081626</v>
      </c>
      <c r="AR175" s="116">
        <f>INDEX(LINEST(LN(AV175:BB175),SQRT((AV174:BB174))),1)</f>
        <v>-6.3113763901058136E-4</v>
      </c>
      <c r="AS175" s="84">
        <f>INDEX(LINEST(1/(AV175:BB175),1/(SQRT(AV174:BB174)),TRUE,TRUE),3,1)</f>
        <v>0.20424623326933958</v>
      </c>
      <c r="AT175" s="84">
        <f>INDEX(LINEST(1/(AV175:BB175),1/SQRT(AV174:BB174)),1)</f>
        <v>-2.6134514268357827</v>
      </c>
      <c r="AU175" s="3"/>
      <c r="AV175" s="53">
        <v>0.98534927486026103</v>
      </c>
      <c r="AW175" s="53">
        <v>0.94769163069836204</v>
      </c>
      <c r="AX175" s="53">
        <v>0.852980422631475</v>
      </c>
      <c r="AY175" s="53">
        <v>0.90072336082840998</v>
      </c>
      <c r="AZ175" s="53">
        <v>0.86269944853801694</v>
      </c>
      <c r="BA175" s="53">
        <v>0.776086024324248</v>
      </c>
      <c r="BB175" s="53">
        <v>0.55498197683672301</v>
      </c>
      <c r="BC175" s="53"/>
      <c r="BD175" s="53"/>
      <c r="BE175" s="53"/>
      <c r="BF175" s="53"/>
      <c r="BG175" s="53"/>
      <c r="BH175" s="53"/>
      <c r="BI175" s="53"/>
      <c r="BJ175" s="53"/>
      <c r="BK175" s="53"/>
      <c r="BL175" s="53"/>
      <c r="BM175" s="53"/>
      <c r="BN175" s="53"/>
      <c r="BO175" s="53"/>
      <c r="BP175" s="53"/>
      <c r="BQ175" s="53"/>
      <c r="BR175" s="53"/>
      <c r="BS175" s="53"/>
      <c r="BT175" s="53"/>
      <c r="BU175" s="53"/>
      <c r="BV175" s="53"/>
      <c r="BW175" s="53"/>
      <c r="BX175" s="53"/>
      <c r="BY175" s="53"/>
      <c r="BZ175" s="53"/>
      <c r="CA175" s="53"/>
      <c r="CB175" s="53"/>
      <c r="CC175" s="53"/>
      <c r="CD175" s="53"/>
      <c r="CE175" s="53"/>
      <c r="CF175" s="53"/>
      <c r="CG175" s="53"/>
      <c r="CH175" s="53"/>
      <c r="CI175" s="53"/>
      <c r="CJ175" s="53"/>
      <c r="CK175" s="53"/>
      <c r="CL175" s="53"/>
      <c r="CM175" s="53"/>
      <c r="CN175" s="53"/>
      <c r="CO175" s="53"/>
      <c r="CP175" s="53"/>
      <c r="CQ175" s="53"/>
      <c r="CR175" s="1"/>
      <c r="CS175" s="1"/>
      <c r="CT175" s="1"/>
      <c r="CU175" s="1"/>
    </row>
    <row r="176" spans="1:99" s="13" customFormat="1" ht="12" customHeight="1" x14ac:dyDescent="0.2">
      <c r="A176" s="68">
        <v>43509</v>
      </c>
      <c r="B176" s="70"/>
      <c r="C176" s="70"/>
      <c r="D176" s="69"/>
      <c r="E176" s="87"/>
      <c r="F176" s="69"/>
      <c r="G176" s="69"/>
      <c r="H176" s="69"/>
      <c r="I176" s="69"/>
      <c r="J176" s="69"/>
      <c r="K176" s="107"/>
      <c r="L176" s="107"/>
      <c r="M176" s="69"/>
      <c r="N176" s="69"/>
      <c r="O176" s="69"/>
      <c r="P176" s="69"/>
      <c r="Q176" s="69"/>
      <c r="R176" s="69"/>
      <c r="S176" s="92"/>
      <c r="T176" s="69"/>
      <c r="U176" s="69"/>
      <c r="V176" s="69"/>
      <c r="W176" s="69"/>
      <c r="X176" s="69"/>
      <c r="Y176" s="87"/>
      <c r="Z176" s="69"/>
      <c r="AA176" s="69"/>
      <c r="AB176" s="69"/>
      <c r="AC176" s="69"/>
      <c r="AD176" s="69"/>
      <c r="AE176" s="69"/>
      <c r="AF176" s="88"/>
      <c r="AG176" s="72"/>
      <c r="AH176" s="4"/>
      <c r="AI176" s="72"/>
      <c r="AJ176" s="110"/>
      <c r="AK176" s="72"/>
      <c r="AL176" s="72"/>
      <c r="AM176" s="72"/>
      <c r="AN176" s="72"/>
      <c r="AO176" s="72"/>
      <c r="AP176" s="72"/>
      <c r="AQ176" s="72"/>
      <c r="AR176" s="110"/>
      <c r="AS176" s="72"/>
      <c r="AT176" s="72"/>
      <c r="AU176" s="4"/>
      <c r="AV176" s="71">
        <v>60</v>
      </c>
      <c r="AW176" s="71">
        <f>30*60</f>
        <v>1800</v>
      </c>
      <c r="AX176" s="71">
        <f>7*24*3600</f>
        <v>604800</v>
      </c>
      <c r="AY176" s="53" t="s">
        <v>513</v>
      </c>
      <c r="AZ176" s="53"/>
      <c r="BA176" s="53"/>
      <c r="BB176" s="53"/>
      <c r="BC176" s="53"/>
      <c r="BD176" s="53"/>
      <c r="BE176" s="53"/>
      <c r="BF176" s="53"/>
      <c r="BG176" s="53"/>
      <c r="BH176" s="53"/>
      <c r="BI176" s="53"/>
      <c r="BJ176" s="53"/>
      <c r="BK176" s="53"/>
      <c r="BL176" s="53"/>
      <c r="BM176" s="53"/>
      <c r="BN176" s="53"/>
      <c r="BO176" s="53"/>
      <c r="BP176" s="53"/>
      <c r="BQ176" s="53"/>
      <c r="BR176" s="53"/>
      <c r="BS176" s="53"/>
      <c r="BT176" s="53"/>
      <c r="BU176" s="53"/>
      <c r="BV176" s="53"/>
      <c r="BW176" s="53"/>
      <c r="BX176" s="53"/>
      <c r="BY176" s="53"/>
      <c r="BZ176" s="53"/>
      <c r="CA176" s="53"/>
      <c r="CB176" s="53"/>
      <c r="CC176" s="53"/>
      <c r="CD176" s="53"/>
      <c r="CE176" s="53"/>
      <c r="CF176" s="53"/>
      <c r="CG176" s="53"/>
      <c r="CH176" s="53"/>
      <c r="CI176" s="53"/>
      <c r="CJ176" s="53"/>
      <c r="CK176" s="53"/>
      <c r="CL176" s="53"/>
      <c r="CM176" s="53"/>
      <c r="CN176" s="53"/>
      <c r="CO176" s="53"/>
      <c r="CP176" s="53"/>
      <c r="CQ176" s="53"/>
      <c r="CR176" s="1"/>
      <c r="CS176" s="1"/>
      <c r="CT176" s="1"/>
      <c r="CU176" s="1"/>
    </row>
    <row r="177" spans="1:99" s="13" customFormat="1" ht="12" customHeight="1" x14ac:dyDescent="0.2">
      <c r="A177" s="68">
        <v>43509</v>
      </c>
      <c r="B177" s="70" t="s">
        <v>154</v>
      </c>
      <c r="C177" s="70" t="s">
        <v>155</v>
      </c>
      <c r="D177" s="69">
        <v>2007</v>
      </c>
      <c r="E177" s="87">
        <v>1</v>
      </c>
      <c r="F177" s="69">
        <v>18</v>
      </c>
      <c r="G177" s="69">
        <v>18</v>
      </c>
      <c r="H177" s="69" t="s">
        <v>41</v>
      </c>
      <c r="I177" s="69" t="s">
        <v>724</v>
      </c>
      <c r="J177" s="69" t="s">
        <v>300</v>
      </c>
      <c r="K177" s="69">
        <f>IF(J177="syllables",1,IF(J177="trigrams",2,IF(J177="strings",3,IF(J177="visual array",4,IF(J177="characters",5,IF(J177="letters",6,IF(J177="free forms",7,IF(J177="odors",8,IF(J177="words",9,IF(J177="pictures",10,IF(J177="object pictures",11,IF(J177="faces",12,IF(J177="names",13,IF(J177="idioms",14,IF(J177="grades",15,IF(J177="syllable-digit pairs",16,IF(J177="trigram-word pairs",17,IF(J177="word-digit pairs",18,IF(J177="English-Swahili pairs",19,IF(J177="spatial position",20,IF(J177="word pairs",21,IF(J177="word triads",22,IF(J177="generated words",23,IF(J177="word definition pairs",24,IF(J177="math problems",25,IF(J177="famous faces",26,IF(J177="famous names",27,IF(J177="famous voices",28,IF(J177="television programs",29,IF(J177="race horses",30,IF(J177="new vocabulary",31,IF(J177="sentences",32,IF(J177="concepts",33,IF(J177="ad slides",34,IF(J177="scenes",35,IF(J177="famous scenes",36,IF(J177="poems",37,IF(J177="walk",38,IF(J177="faces and events",39,IF(J177="events and names",40,IF(J177="flashbulb",41,IF(J177="stories",42,IF(J177="course material",43,IF(J177="autobiographical",44,IF(J177="novels",45,IF(J177="public events",46,"99"))))))))))))))))))))))))))))))))))))))))))))))</f>
        <v>23</v>
      </c>
      <c r="L177" s="69">
        <f>IF(J177="syllables",1,IF(J177="trigrams",1,IF(J177="strings",1,IF(J177="visual array",1,IF(J177="characters",1,IF(J177="letters",1,IF(J177="free forms",1,IF(J177="odors",2,IF(J177="words",2,IF(J177="pictures",2,IF(J177="object pictures",2,IF(J177="faces",2,IF(J177="names",2,IF(J177="idioms","2",IF(J177="grades",2,IF(J177="syllable-digit pairs",3,IF(J177="trigram-word pairs",3,IF(J177="word-digit pairs",3,IF(J177="English-Swahili pairs",3,IF(J177="spatial position",3,IF(J177="word pairs",4,IF(J177="word triads",4,IF(J177="generated words",4,IF(J177="word definition pairs",4,IF(J177="math problems",4,IF(J177="famous faces",4,IF(J177="famous names",4,IF(J177="famous voices",4,IF(J177="television programs",4,IF(J177="race horses",4,IF(J177="new vocabulary",4,IF(J177="sentences",5,IF(J177="concepts",5,IF(J177="ad slides",5,IF(J177="scenes",5,IF(J177="famous scenes",5,IF(J177="poems",6,IF(J177="walk",6,IF(J177="faces and events",6,IF(J177="events and names",6,IF(J177="flashbulb",7,IF(J177="stories",7,IF(J177="course material",7,IF(J177="autobiographical",7,IF(J177="novels",7,IF(J177="public events",7,"99"))))))))))))))))))))))))))))))))))))))))))))))</f>
        <v>4</v>
      </c>
      <c r="M177" s="69">
        <v>0</v>
      </c>
      <c r="N177" s="69">
        <v>2</v>
      </c>
      <c r="O177" s="69">
        <v>0</v>
      </c>
      <c r="P177" s="69"/>
      <c r="Q177" s="69" t="s">
        <v>174</v>
      </c>
      <c r="R177" s="69">
        <f>IF(Q177="Free Recall",1,IF(Q177="Cued Recall",2,IF(Q177="Recognition",3,IF(Q177="Multiple Choice",4,IF(Q177="Savings",5,IF(Q177="Stem Completion",6,IF(Q177="Fragment Completion",7,IF(Q177="anagram solution",8,IF(Q177="Matching",9,IF(Q177="Problem Solving",10,"99"))))))))))</f>
        <v>1</v>
      </c>
      <c r="S177" s="69" t="s">
        <v>49</v>
      </c>
      <c r="T177" s="92" t="s">
        <v>581</v>
      </c>
      <c r="U177" s="69">
        <f>IF(T177="within",1,0)</f>
        <v>1</v>
      </c>
      <c r="V177" s="92">
        <v>16</v>
      </c>
      <c r="W177" s="69">
        <f>F177*V177</f>
        <v>288</v>
      </c>
      <c r="X177" s="69">
        <v>3</v>
      </c>
      <c r="Y177" s="87">
        <f>AV176</f>
        <v>60</v>
      </c>
      <c r="Z177" s="69" t="s">
        <v>150</v>
      </c>
      <c r="AA177" s="69">
        <v>604800</v>
      </c>
      <c r="AB177" s="69" t="str">
        <f>IF(AA177&lt;60,"1",IF(AA177&lt;=43200,"2",IF(AA177&lt;=777600,"3","4")))</f>
        <v>3</v>
      </c>
      <c r="AC177" s="72">
        <f>AVERAGE(AV176:DA176)</f>
        <v>202220</v>
      </c>
      <c r="AD177" s="69" t="str">
        <f>IF(AC177&lt;60,"1",IF(AC177&lt;=43200,"2",IF(AC177&lt;=777600,"3","4")))</f>
        <v>3</v>
      </c>
      <c r="AE177" s="87">
        <f>AA177-Y177</f>
        <v>604740</v>
      </c>
      <c r="AF177" s="88">
        <f>AV177</f>
        <v>0.236875</v>
      </c>
      <c r="AG177" s="72">
        <f>((AW177-AV177)+(AX177-AW177))/2</f>
        <v>-4.8437499999999994E-2</v>
      </c>
      <c r="AH177" s="4"/>
      <c r="AI177" s="72">
        <f>RSQ(AV177:AX177,AV176:AX176)</f>
        <v>0.80129099892603006</v>
      </c>
      <c r="AJ177" s="110">
        <f>SLOPE(AV177:AX177,AV176:AX176)</f>
        <v>-2.2431429659267144E-7</v>
      </c>
      <c r="AK177" s="72">
        <f>INTERCEPT(AV177:AX177,AV176:AX176)</f>
        <v>0.27577750372363669</v>
      </c>
      <c r="AL177" s="72">
        <f>INDEX(LINEST(LN(AV177:AX177),LN(AV176:AX176),TRUE,TRUE),3,1)</f>
        <v>0.55983791611156986</v>
      </c>
      <c r="AM177" s="72">
        <f>INDEX(LINEST(LN(AV177:AX177),LN(AV176:AX176)),1)</f>
        <v>-6.5888483525902999E-2</v>
      </c>
      <c r="AN177" s="72">
        <f>EXP(INDEX(LINEST(LN(AV177:AX177),LN(AV176:AX176)),1,2))</f>
        <v>0.37747991804711173</v>
      </c>
      <c r="AO177" s="89">
        <f>INDEX(LINEST((AV177:AX177),LN(AV176:AX176),TRUE,TRUE),3,1)</f>
        <v>0.45250610574050409</v>
      </c>
      <c r="AP177" s="89">
        <f>INDEX(LINEST((AV177:AX177),LN(AV176:AX176)),1)</f>
        <v>-1.2607282017088431E-2</v>
      </c>
      <c r="AQ177" s="90">
        <f>INDEX(LINEST(LN(AV177:AX177),SQRT(AV176:AX176),TRUE,TRUE),3,1)</f>
        <v>0.85413554641482559</v>
      </c>
      <c r="AR177" s="117">
        <f>INDEX(LINEST(LN(AV177:AX177),SQRT((AV176:AX176))),1)</f>
        <v>-8.7242443478747632E-4</v>
      </c>
      <c r="AS177" s="91">
        <f>INDEX(LINEST(1/(AV177:AX177),1/(SQRT(AV176:AX176)),TRUE,TRUE),3,1)</f>
        <v>0.17484003719024363</v>
      </c>
      <c r="AT177" s="91">
        <f>INDEX(LINEST(1/(AV177:AX177),1/SQRT(AV176:AX176)),1)</f>
        <v>-12.579304944082843</v>
      </c>
      <c r="AU177" s="3"/>
      <c r="AV177" s="73">
        <v>0.236875</v>
      </c>
      <c r="AW177" s="73">
        <v>0.31437500000000002</v>
      </c>
      <c r="AX177" s="73">
        <v>0.14000000000000001</v>
      </c>
      <c r="AY177" s="53"/>
      <c r="AZ177" s="53"/>
      <c r="BA177" s="53"/>
      <c r="BB177" s="53"/>
      <c r="BC177" s="53"/>
      <c r="BD177" s="53"/>
      <c r="BE177" s="53"/>
      <c r="BF177" s="53"/>
      <c r="BG177" s="53"/>
      <c r="BH177" s="53"/>
      <c r="BI177" s="53"/>
      <c r="BJ177" s="53"/>
      <c r="BK177" s="53"/>
      <c r="BL177" s="53"/>
      <c r="BM177" s="53"/>
      <c r="BN177" s="53"/>
      <c r="BO177" s="53"/>
      <c r="BP177" s="53"/>
      <c r="BQ177" s="53"/>
      <c r="BR177" s="53"/>
      <c r="BS177" s="53"/>
      <c r="BT177" s="53"/>
      <c r="BU177" s="53"/>
      <c r="BV177" s="53"/>
      <c r="BW177" s="53"/>
      <c r="BX177" s="53"/>
      <c r="BY177" s="53"/>
      <c r="BZ177" s="53"/>
      <c r="CA177" s="53"/>
      <c r="CB177" s="53"/>
      <c r="CC177" s="53"/>
      <c r="CD177" s="53"/>
      <c r="CE177" s="53"/>
      <c r="CF177" s="53"/>
      <c r="CG177" s="53"/>
      <c r="CH177" s="53"/>
      <c r="CI177" s="53"/>
      <c r="CJ177" s="53"/>
      <c r="CK177" s="53"/>
      <c r="CL177" s="53"/>
      <c r="CM177" s="53"/>
      <c r="CN177" s="53"/>
      <c r="CO177" s="53"/>
      <c r="CP177" s="53"/>
      <c r="CQ177" s="53"/>
      <c r="CR177" s="1"/>
      <c r="CS177" s="1"/>
      <c r="CT177" s="1"/>
      <c r="CU177" s="1"/>
    </row>
    <row r="178" spans="1:99" s="13" customFormat="1" ht="12" customHeight="1" x14ac:dyDescent="0.2">
      <c r="A178" s="68">
        <v>43509</v>
      </c>
      <c r="B178" s="70"/>
      <c r="C178" s="70"/>
      <c r="D178" s="69"/>
      <c r="E178" s="87"/>
      <c r="F178" s="69"/>
      <c r="G178" s="69"/>
      <c r="H178" s="69"/>
      <c r="I178" s="69"/>
      <c r="J178" s="69"/>
      <c r="K178" s="107"/>
      <c r="L178" s="107"/>
      <c r="M178" s="69"/>
      <c r="N178" s="69"/>
      <c r="O178" s="69"/>
      <c r="P178" s="69"/>
      <c r="Q178" s="69"/>
      <c r="R178" s="69"/>
      <c r="S178" s="69"/>
      <c r="T178" s="69"/>
      <c r="U178" s="69"/>
      <c r="V178" s="69"/>
      <c r="W178" s="69"/>
      <c r="X178" s="69"/>
      <c r="Y178" s="87"/>
      <c r="Z178" s="69"/>
      <c r="AA178" s="69"/>
      <c r="AB178" s="69"/>
      <c r="AC178" s="69"/>
      <c r="AD178" s="69"/>
      <c r="AE178" s="69"/>
      <c r="AF178" s="88"/>
      <c r="AG178" s="72"/>
      <c r="AH178" s="4"/>
      <c r="AI178" s="72"/>
      <c r="AJ178" s="110"/>
      <c r="AK178" s="72"/>
      <c r="AL178" s="72"/>
      <c r="AM178" s="72"/>
      <c r="AN178" s="72"/>
      <c r="AO178" s="72"/>
      <c r="AP178" s="72"/>
      <c r="AQ178" s="72"/>
      <c r="AR178" s="110"/>
      <c r="AS178" s="72"/>
      <c r="AT178" s="72"/>
      <c r="AU178" s="4"/>
      <c r="AV178" s="71">
        <v>60</v>
      </c>
      <c r="AW178" s="71">
        <f>7*24*3600*0.003</f>
        <v>1814.4</v>
      </c>
      <c r="AX178" s="71">
        <f>7*24*3600*1</f>
        <v>604800</v>
      </c>
      <c r="AY178" s="53"/>
      <c r="AZ178" s="53"/>
      <c r="BA178" s="53"/>
      <c r="BB178" s="53"/>
      <c r="BC178" s="53"/>
      <c r="BD178" s="53"/>
      <c r="BE178" s="53"/>
      <c r="BF178" s="53"/>
      <c r="BG178" s="53"/>
      <c r="BH178" s="53"/>
      <c r="BI178" s="53"/>
      <c r="BJ178" s="53"/>
      <c r="BK178" s="53"/>
      <c r="BL178" s="53"/>
      <c r="BM178" s="53"/>
      <c r="BN178" s="53"/>
      <c r="BO178" s="53"/>
      <c r="BP178" s="53"/>
      <c r="BQ178" s="53"/>
      <c r="BR178" s="53"/>
      <c r="BS178" s="53"/>
      <c r="BT178" s="53"/>
      <c r="BU178" s="53"/>
      <c r="BV178" s="53"/>
      <c r="BW178" s="53"/>
      <c r="BX178" s="53"/>
      <c r="BY178" s="53"/>
      <c r="BZ178" s="53"/>
      <c r="CA178" s="53"/>
      <c r="CB178" s="53"/>
      <c r="CC178" s="53"/>
      <c r="CD178" s="53"/>
      <c r="CE178" s="53"/>
      <c r="CF178" s="53"/>
      <c r="CG178" s="53"/>
      <c r="CH178" s="53"/>
      <c r="CI178" s="53"/>
      <c r="CJ178" s="53"/>
      <c r="CK178" s="53"/>
      <c r="CL178" s="53"/>
      <c r="CM178" s="53"/>
      <c r="CN178" s="53"/>
      <c r="CO178" s="53"/>
      <c r="CP178" s="53"/>
      <c r="CQ178" s="53"/>
      <c r="CR178" s="1"/>
      <c r="CS178" s="1"/>
      <c r="CT178" s="1"/>
      <c r="CU178" s="1"/>
    </row>
    <row r="179" spans="1:99" s="13" customFormat="1" ht="12" customHeight="1" x14ac:dyDescent="0.2">
      <c r="A179" s="68">
        <v>43509</v>
      </c>
      <c r="B179" s="70" t="s">
        <v>154</v>
      </c>
      <c r="C179" s="70" t="s">
        <v>155</v>
      </c>
      <c r="D179" s="69">
        <v>2007</v>
      </c>
      <c r="E179" s="87">
        <v>1</v>
      </c>
      <c r="F179" s="69">
        <v>18</v>
      </c>
      <c r="G179" s="69">
        <v>18</v>
      </c>
      <c r="H179" s="69" t="s">
        <v>41</v>
      </c>
      <c r="I179" s="69" t="s">
        <v>723</v>
      </c>
      <c r="J179" s="69" t="s">
        <v>475</v>
      </c>
      <c r="K179" s="69">
        <f>IF(J179="syllables",1,IF(J179="trigrams",2,IF(J179="strings",3,IF(J179="visual array",4,IF(J179="characters",5,IF(J179="letters",6,IF(J179="free forms",7,IF(J179="odors",8,IF(J179="words",9,IF(J179="pictures",10,IF(J179="object pictures",11,IF(J179="faces",12,IF(J179="names",13,IF(J179="idioms",14,IF(J179="grades",15,IF(J179="syllable-digit pairs",16,IF(J179="trigram-word pairs",17,IF(J179="word-digit pairs",18,IF(J179="English-Swahili pairs",19,IF(J179="spatial position",20,IF(J179="word pairs",21,IF(J179="word triads",22,IF(J179="generated words",23,IF(J179="word definition pairs",24,IF(J179="math problems",25,IF(J179="famous faces",26,IF(J179="famous names",27,IF(J179="famous voices",28,IF(J179="television programs",29,IF(J179="race horses",30,IF(J179="new vocabulary",31,IF(J179="sentences",32,IF(J179="concepts",33,IF(J179="ad slides",34,IF(J179="scenes",35,IF(J179="famous scenes",36,IF(J179="poems",37,IF(J179="walk",38,IF(J179="faces and events",39,IF(J179="events and names",40,IF(J179="flashbulb",41,IF(J179="stories",42,IF(J179="course material",43,IF(J179="autobiographical",44,IF(J179="novels",45,IF(J179="public events",46,"99"))))))))))))))))))))))))))))))))))))))))))))))</f>
        <v>32</v>
      </c>
      <c r="L179" s="69">
        <f>IF(J179="syllables",1,IF(J179="trigrams",1,IF(J179="strings",1,IF(J179="visual array",1,IF(J179="characters",1,IF(J179="letters",1,IF(J179="free forms",1,IF(J179="odors",2,IF(J179="words",2,IF(J179="pictures",2,IF(J179="object pictures",2,IF(J179="faces",2,IF(J179="names",2,IF(J179="idioms","2",IF(J179="grades",2,IF(J179="syllable-digit pairs",3,IF(J179="trigram-word pairs",3,IF(J179="word-digit pairs",3,IF(J179="English-Swahili pairs",3,IF(J179="spatial position",3,IF(J179="word pairs",4,IF(J179="word triads",4,IF(J179="generated words",4,IF(J179="word definition pairs",4,IF(J179="math problems",4,IF(J179="famous faces",4,IF(J179="famous names",4,IF(J179="famous voices",4,IF(J179="television programs",4,IF(J179="race horses",4,IF(J179="new vocabulary",4,IF(J179="sentences",5,IF(J179="concepts",5,IF(J179="ad slides",5,IF(J179="scenes",5,IF(J179="famous scenes",5,IF(J179="poems",6,IF(J179="walk",6,IF(J179="faces and events",6,IF(J179="events and names",6,IF(J179="flashbulb",7,IF(J179="stories",7,IF(J179="course material",7,IF(J179="autobiographical",7,IF(J179="novels",7,IF(J179="public events",7,"99"))))))))))))))))))))))))))))))))))))))))))))))</f>
        <v>5</v>
      </c>
      <c r="M179" s="69">
        <v>0</v>
      </c>
      <c r="N179" s="69">
        <v>2</v>
      </c>
      <c r="O179" s="69">
        <v>0</v>
      </c>
      <c r="P179" s="69"/>
      <c r="Q179" s="69" t="s">
        <v>174</v>
      </c>
      <c r="R179" s="69">
        <f>IF(Q179="Free Recall",1,IF(Q179="Cued Recall",2,IF(Q179="Recognition",3,IF(Q179="Multiple Choice",4,IF(Q179="Savings",5,IF(Q179="Stem Completion",6,IF(Q179="Fragment Completion",7,IF(Q179="anagram solution",8,IF(Q179="Matching",9,IF(Q179="Problem Solving",10,"99"))))))))))</f>
        <v>1</v>
      </c>
      <c r="S179" s="69" t="s">
        <v>49</v>
      </c>
      <c r="T179" s="92" t="s">
        <v>581</v>
      </c>
      <c r="U179" s="69">
        <f>IF(T179="within",1,0)</f>
        <v>1</v>
      </c>
      <c r="V179" s="92">
        <v>16</v>
      </c>
      <c r="W179" s="69">
        <f>F179*V179</f>
        <v>288</v>
      </c>
      <c r="X179" s="69">
        <v>3</v>
      </c>
      <c r="Y179" s="87">
        <f>AV178</f>
        <v>60</v>
      </c>
      <c r="Z179" s="69" t="s">
        <v>150</v>
      </c>
      <c r="AA179" s="69">
        <v>604800</v>
      </c>
      <c r="AB179" s="69" t="str">
        <f>IF(AA179&lt;60,"1",IF(AA179&lt;=43200,"2",IF(AA179&lt;=777600,"3","4")))</f>
        <v>3</v>
      </c>
      <c r="AC179" s="72">
        <f>AVERAGE(AV178:DA178)</f>
        <v>202224.80000000002</v>
      </c>
      <c r="AD179" s="69" t="str">
        <f>IF(AC179&lt;60,"1",IF(AC179&lt;=43200,"2",IF(AC179&lt;=777600,"3","4")))</f>
        <v>3</v>
      </c>
      <c r="AE179" s="87">
        <f>AA179-Y179</f>
        <v>604740</v>
      </c>
      <c r="AF179" s="88">
        <f>AV179</f>
        <v>0.13875000000000001</v>
      </c>
      <c r="AG179" s="72">
        <f>((AW179-AV179)+(AX179-AW179))/2</f>
        <v>-2.8750000000000005E-2</v>
      </c>
      <c r="AH179" s="4"/>
      <c r="AI179" s="72">
        <f>RSQ(AV179:AX179,AV178:AX178)</f>
        <v>0.81562015187343317</v>
      </c>
      <c r="AJ179" s="110">
        <f>SLOPE(AV179:AX179,AV178:AX178)</f>
        <v>-1.3077147976385666E-7</v>
      </c>
      <c r="AK179" s="72">
        <f>INTERCEPT(AV179:AX179,AV178:AX178)</f>
        <v>0.16040356967428332</v>
      </c>
      <c r="AL179" s="72">
        <f>INDEX(LINEST(LN(AV179:AX179),LN(AV178:AX178),TRUE,TRUE),3,1)</f>
        <v>0.57441064339199488</v>
      </c>
      <c r="AM179" s="72">
        <f>INDEX(LINEST(LN(AV179:AX179),LN(AV178:AX178)),1)</f>
        <v>-6.6679408592660666E-2</v>
      </c>
      <c r="AN179" s="72">
        <f>EXP(INDEX(LINEST(LN(AV179:AX179),LN(AV178:AX178)),1,2))</f>
        <v>0.22100398051809603</v>
      </c>
      <c r="AO179" s="89">
        <f>INDEX(LINEST((AV179:AX179),LN(AV178:AX178),TRUE,TRUE),3,1)</f>
        <v>0.46970714102815964</v>
      </c>
      <c r="AP179" s="89">
        <f>INDEX(LINEST((AV179:AX179),LN(AV178:AX178)),1)</f>
        <v>-7.4231601966291763E-3</v>
      </c>
      <c r="AQ179" s="90">
        <f>INDEX(LINEST(LN(AV179:AX179),SQRT(AV178:AX178),TRUE,TRUE),3,1)</f>
        <v>0.86489426004533421</v>
      </c>
      <c r="AR179" s="117">
        <f>INDEX(LINEST(LN(AV179:AX179),SQRT((AV178:AX178))),1)</f>
        <v>-8.7706052493128793E-4</v>
      </c>
      <c r="AS179" s="91">
        <f>INDEX(LINEST(1/(AV179:AX179),1/(SQRT(AV178:AX178)),TRUE,TRUE),3,1)</f>
        <v>0.18389082603374099</v>
      </c>
      <c r="AT179" s="91">
        <f>INDEX(LINEST(1/(AV179:AX179),1/SQRT(AV178:AX178)),1)</f>
        <v>-22.244633371051062</v>
      </c>
      <c r="AU179" s="3"/>
      <c r="AV179" s="73">
        <v>0.13875000000000001</v>
      </c>
      <c r="AW179" s="73">
        <v>0.18187500000000001</v>
      </c>
      <c r="AX179" s="73">
        <v>8.1250000000000003E-2</v>
      </c>
      <c r="AY179" s="53"/>
      <c r="AZ179" s="53"/>
      <c r="BA179" s="53"/>
      <c r="BB179" s="53"/>
      <c r="BC179" s="53"/>
      <c r="BD179" s="53"/>
      <c r="BE179" s="53"/>
      <c r="BF179" s="53"/>
      <c r="BG179" s="53"/>
      <c r="BH179" s="53"/>
      <c r="BI179" s="53"/>
      <c r="BJ179" s="53"/>
      <c r="BK179" s="53"/>
      <c r="BL179" s="53"/>
      <c r="BM179" s="53"/>
      <c r="BN179" s="53"/>
      <c r="BO179" s="53"/>
      <c r="BP179" s="53"/>
      <c r="BQ179" s="53"/>
      <c r="BR179" s="53"/>
      <c r="BS179" s="53"/>
      <c r="BT179" s="53"/>
      <c r="BU179" s="53"/>
      <c r="BV179" s="53"/>
      <c r="BW179" s="53"/>
      <c r="BX179" s="53"/>
      <c r="BY179" s="53"/>
      <c r="BZ179" s="53"/>
      <c r="CA179" s="53"/>
      <c r="CB179" s="53"/>
      <c r="CC179" s="53"/>
      <c r="CD179" s="53"/>
      <c r="CE179" s="53"/>
      <c r="CF179" s="53"/>
      <c r="CG179" s="53"/>
      <c r="CH179" s="53"/>
      <c r="CI179" s="53"/>
      <c r="CJ179" s="53"/>
      <c r="CK179" s="53"/>
      <c r="CL179" s="53"/>
      <c r="CM179" s="53"/>
      <c r="CN179" s="53"/>
      <c r="CO179" s="53"/>
      <c r="CP179" s="53"/>
      <c r="CQ179" s="53"/>
      <c r="CR179" s="1"/>
      <c r="CS179" s="1"/>
      <c r="CT179" s="1"/>
      <c r="CU179" s="1"/>
    </row>
    <row r="180" spans="1:99" s="13" customFormat="1" ht="12" customHeight="1" x14ac:dyDescent="0.2">
      <c r="A180" s="68">
        <v>43509</v>
      </c>
      <c r="B180" s="70"/>
      <c r="C180" s="70"/>
      <c r="D180" s="69"/>
      <c r="E180" s="87"/>
      <c r="F180" s="69"/>
      <c r="G180" s="69"/>
      <c r="H180" s="69"/>
      <c r="I180" s="69"/>
      <c r="J180" s="69"/>
      <c r="K180" s="107"/>
      <c r="L180" s="107"/>
      <c r="M180" s="69"/>
      <c r="N180" s="69"/>
      <c r="O180" s="69"/>
      <c r="P180" s="69"/>
      <c r="Q180" s="69"/>
      <c r="R180" s="69"/>
      <c r="S180" s="69"/>
      <c r="T180" s="69"/>
      <c r="U180" s="69"/>
      <c r="V180" s="69"/>
      <c r="W180" s="69"/>
      <c r="X180" s="69"/>
      <c r="Y180" s="87"/>
      <c r="Z180" s="69"/>
      <c r="AA180" s="69"/>
      <c r="AB180" s="69"/>
      <c r="AC180" s="69"/>
      <c r="AD180" s="69"/>
      <c r="AE180" s="69"/>
      <c r="AF180" s="88"/>
      <c r="AG180" s="72"/>
      <c r="AH180" s="4"/>
      <c r="AI180" s="72"/>
      <c r="AJ180" s="110"/>
      <c r="AK180" s="72"/>
      <c r="AL180" s="72"/>
      <c r="AM180" s="72"/>
      <c r="AN180" s="72"/>
      <c r="AO180" s="72"/>
      <c r="AP180" s="72"/>
      <c r="AQ180" s="72"/>
      <c r="AR180" s="110"/>
      <c r="AS180" s="72"/>
      <c r="AT180" s="72"/>
      <c r="AU180" s="4"/>
      <c r="AV180" s="71">
        <v>60</v>
      </c>
      <c r="AW180" s="71">
        <f>30*60</f>
        <v>1800</v>
      </c>
      <c r="AX180" s="71">
        <f>7*24*3600</f>
        <v>604800</v>
      </c>
      <c r="AY180" s="53"/>
      <c r="AZ180" s="53"/>
      <c r="BA180" s="53"/>
      <c r="BB180" s="53"/>
      <c r="BC180" s="53"/>
      <c r="BD180" s="53"/>
      <c r="BE180" s="53"/>
      <c r="BF180" s="53"/>
      <c r="BG180" s="53"/>
      <c r="BH180" s="53"/>
      <c r="BI180" s="53"/>
      <c r="BJ180" s="53"/>
      <c r="BK180" s="53"/>
      <c r="BL180" s="53"/>
      <c r="BM180" s="53"/>
      <c r="BN180" s="53"/>
      <c r="BO180" s="53"/>
      <c r="BP180" s="53"/>
      <c r="BQ180" s="53"/>
      <c r="BR180" s="53"/>
      <c r="BS180" s="53"/>
      <c r="BT180" s="53"/>
      <c r="BU180" s="53"/>
      <c r="BV180" s="53"/>
      <c r="BW180" s="53"/>
      <c r="BX180" s="53"/>
      <c r="BY180" s="53"/>
      <c r="BZ180" s="53"/>
      <c r="CA180" s="53"/>
      <c r="CB180" s="53"/>
      <c r="CC180" s="53"/>
      <c r="CD180" s="53"/>
      <c r="CE180" s="53"/>
      <c r="CF180" s="53"/>
      <c r="CG180" s="53"/>
      <c r="CH180" s="53"/>
      <c r="CI180" s="53"/>
      <c r="CJ180" s="53"/>
      <c r="CK180" s="53"/>
      <c r="CL180" s="53"/>
      <c r="CM180" s="53"/>
      <c r="CN180" s="53"/>
      <c r="CO180" s="53"/>
      <c r="CP180" s="53"/>
      <c r="CQ180" s="53"/>
      <c r="CR180" s="1"/>
      <c r="CS180" s="1"/>
      <c r="CT180" s="1"/>
      <c r="CU180" s="1"/>
    </row>
    <row r="181" spans="1:99" s="13" customFormat="1" ht="12" customHeight="1" x14ac:dyDescent="0.2">
      <c r="A181" s="68">
        <v>43509</v>
      </c>
      <c r="B181" s="70" t="s">
        <v>154</v>
      </c>
      <c r="C181" s="70" t="s">
        <v>155</v>
      </c>
      <c r="D181" s="69">
        <v>2007</v>
      </c>
      <c r="E181" s="87">
        <v>1</v>
      </c>
      <c r="F181" s="69">
        <v>18</v>
      </c>
      <c r="G181" s="69">
        <v>18</v>
      </c>
      <c r="H181" s="69" t="s">
        <v>32</v>
      </c>
      <c r="I181" s="69" t="s">
        <v>724</v>
      </c>
      <c r="J181" s="69" t="s">
        <v>300</v>
      </c>
      <c r="K181" s="69">
        <f>IF(J181="syllables",1,IF(J181="trigrams",2,IF(J181="strings",3,IF(J181="visual array",4,IF(J181="characters",5,IF(J181="letters",6,IF(J181="free forms",7,IF(J181="odors",8,IF(J181="words",9,IF(J181="pictures",10,IF(J181="object pictures",11,IF(J181="faces",12,IF(J181="names",13,IF(J181="idioms",14,IF(J181="grades",15,IF(J181="syllable-digit pairs",16,IF(J181="trigram-word pairs",17,IF(J181="word-digit pairs",18,IF(J181="English-Swahili pairs",19,IF(J181="spatial position",20,IF(J181="word pairs",21,IF(J181="word triads",22,IF(J181="generated words",23,IF(J181="word definition pairs",24,IF(J181="math problems",25,IF(J181="famous faces",26,IF(J181="famous names",27,IF(J181="famous voices",28,IF(J181="television programs",29,IF(J181="race horses",30,IF(J181="new vocabulary",31,IF(J181="sentences",32,IF(J181="concepts",33,IF(J181="ad slides",34,IF(J181="scenes",35,IF(J181="famous scenes",36,IF(J181="poems",37,IF(J181="walk",38,IF(J181="faces and events",39,IF(J181="events and names",40,IF(J181="flashbulb",41,IF(J181="stories",42,IF(J181="course material",43,IF(J181="autobiographical",44,IF(J181="novels",45,IF(J181="public events",46,"99"))))))))))))))))))))))))))))))))))))))))))))))</f>
        <v>23</v>
      </c>
      <c r="L181" s="69">
        <f>IF(J181="syllables",1,IF(J181="trigrams",1,IF(J181="strings",1,IF(J181="visual array",1,IF(J181="characters",1,IF(J181="letters",1,IF(J181="free forms",1,IF(J181="odors",2,IF(J181="words",2,IF(J181="pictures",2,IF(J181="object pictures",2,IF(J181="faces",2,IF(J181="names",2,IF(J181="idioms","2",IF(J181="grades",2,IF(J181="syllable-digit pairs",3,IF(J181="trigram-word pairs",3,IF(J181="word-digit pairs",3,IF(J181="English-Swahili pairs",3,IF(J181="spatial position",3,IF(J181="word pairs",4,IF(J181="word triads",4,IF(J181="generated words",4,IF(J181="word definition pairs",4,IF(J181="math problems",4,IF(J181="famous faces",4,IF(J181="famous names",4,IF(J181="famous voices",4,IF(J181="television programs",4,IF(J181="race horses",4,IF(J181="new vocabulary",4,IF(J181="sentences",5,IF(J181="concepts",5,IF(J181="ad slides",5,IF(J181="scenes",5,IF(J181="famous scenes",5,IF(J181="poems",6,IF(J181="walk",6,IF(J181="faces and events",6,IF(J181="events and names",6,IF(J181="flashbulb",7,IF(J181="stories",7,IF(J181="course material",7,IF(J181="autobiographical",7,IF(J181="novels",7,IF(J181="public events",7,"99"))))))))))))))))))))))))))))))))))))))))))))))</f>
        <v>4</v>
      </c>
      <c r="M181" s="69">
        <v>0</v>
      </c>
      <c r="N181" s="69">
        <v>2</v>
      </c>
      <c r="O181" s="69">
        <v>0</v>
      </c>
      <c r="P181" s="69"/>
      <c r="Q181" s="153" t="s">
        <v>182</v>
      </c>
      <c r="R181" s="69">
        <f>IF(Q181="Free Recall",1,IF(Q181="Cued Recall",2,IF(Q181="Recognition",3,IF(Q181="Multiple Choice",4,IF(Q181="Savings",5,IF(Q181="Stem Completion",6,IF(Q181="Fragment Completion",7,IF(Q181="anagram solution",8,IF(Q181="Matching",9,IF(Q181="Problem Solving",10,"99"))))))))))</f>
        <v>4</v>
      </c>
      <c r="S181" s="69" t="s">
        <v>15</v>
      </c>
      <c r="T181" s="92" t="s">
        <v>581</v>
      </c>
      <c r="U181" s="69">
        <f>IF(T181="within",1,0)</f>
        <v>1</v>
      </c>
      <c r="V181" s="92">
        <v>16</v>
      </c>
      <c r="W181" s="69">
        <f>F181*V181</f>
        <v>288</v>
      </c>
      <c r="X181" s="69">
        <v>3</v>
      </c>
      <c r="Y181" s="87">
        <f>AV180</f>
        <v>60</v>
      </c>
      <c r="Z181" s="69" t="s">
        <v>150</v>
      </c>
      <c r="AA181" s="69">
        <v>604800</v>
      </c>
      <c r="AB181" s="69" t="str">
        <f>IF(AA181&lt;60,"1",IF(AA181&lt;=43200,"2",IF(AA181&lt;=777600,"3","4")))</f>
        <v>3</v>
      </c>
      <c r="AC181" s="72">
        <f>AVERAGE(AV180:DA180)</f>
        <v>202220</v>
      </c>
      <c r="AD181" s="69" t="str">
        <f>IF(AC181&lt;60,"1",IF(AC181&lt;=43200,"2",IF(AC181&lt;=777600,"3","4")))</f>
        <v>3</v>
      </c>
      <c r="AE181" s="87">
        <f>AA181-Y181</f>
        <v>604740</v>
      </c>
      <c r="AF181" s="88">
        <f>AV181</f>
        <v>0.97</v>
      </c>
      <c r="AG181" s="72">
        <f>((AW181-AV181)+(AX181-AW181))/2</f>
        <v>-4.4999999999999984E-2</v>
      </c>
      <c r="AH181" s="4"/>
      <c r="AI181" s="72">
        <f>RSQ(AV181:AX181,AV180:AX180)</f>
        <v>0.99022318615506588</v>
      </c>
      <c r="AJ181" s="110">
        <f>SLOPE(AV181:AX181,AV180:AX180)</f>
        <v>-1.4079368273405749E-7</v>
      </c>
      <c r="AK181" s="72">
        <f>INTERCEPT(AV181:AX181,AV180:AX180)</f>
        <v>0.96513796518914774</v>
      </c>
      <c r="AL181" s="72">
        <f>INDEX(LINEST(LN(AV181:AX181),LN(AV180:AX180),TRUE,TRUE),3,1)</f>
        <v>0.92553474957801074</v>
      </c>
      <c r="AM181" s="72">
        <f>INDEX(LINEST(LN(AV181:AX181),LN(AV180:AX180)),1)</f>
        <v>-1.1036816622011864E-2</v>
      </c>
      <c r="AN181" s="72">
        <f>EXP(INDEX(LINEST(LN(AV181:AX181),LN(AV180:AX180)),1,2))</f>
        <v>1.0255647090376478</v>
      </c>
      <c r="AO181" s="89">
        <f>INDEX(LINEST((AV181:AX181),LN(AV180:AX180),TRUE,TRUE),3,1)</f>
        <v>0.92787838956540514</v>
      </c>
      <c r="AP181" s="89">
        <f>INDEX(LINEST((AV181:AX181),LN(AV180:AX180)),1)</f>
        <v>-1.0193177277919052E-2</v>
      </c>
      <c r="AQ181" s="90">
        <f>INDEX(LINEST(LN(AV181:AX181),SQRT(AV180:AX180),TRUE,TRUE),3,1)</f>
        <v>0.99673712967579964</v>
      </c>
      <c r="AR181" s="117">
        <f>INDEX(LINEST(LN(AV181:AX181),SQRT((AV180:AX180))),1)</f>
        <v>-1.227789303135561E-4</v>
      </c>
      <c r="AS181" s="91">
        <f>INDEX(LINEST(1/(AV181:AX181),1/(SQRT(AV180:AX180)),TRUE,TRUE),3,1)</f>
        <v>0.49480127563555992</v>
      </c>
      <c r="AT181" s="91">
        <f>INDEX(LINEST(1/(AV181:AX181),1/SQRT(AV180:AX180)),1)</f>
        <v>-0.59778533331501382</v>
      </c>
      <c r="AU181" s="3"/>
      <c r="AV181" s="73">
        <v>0.97</v>
      </c>
      <c r="AW181" s="73">
        <v>0.96</v>
      </c>
      <c r="AX181" s="73">
        <v>0.88</v>
      </c>
      <c r="AY181" s="53"/>
      <c r="AZ181" s="53"/>
      <c r="BA181" s="53"/>
      <c r="BB181" s="53"/>
      <c r="BC181" s="53"/>
      <c r="BD181" s="53"/>
      <c r="BE181" s="53"/>
      <c r="BF181" s="53"/>
      <c r="BG181" s="53"/>
      <c r="BH181" s="53"/>
      <c r="BI181" s="53"/>
      <c r="BJ181" s="53"/>
      <c r="BK181" s="53"/>
      <c r="BL181" s="53"/>
      <c r="BM181" s="53"/>
      <c r="BN181" s="53"/>
      <c r="BO181" s="53"/>
      <c r="BP181" s="53"/>
      <c r="BQ181" s="53"/>
      <c r="BR181" s="53"/>
      <c r="BS181" s="53"/>
      <c r="BT181" s="53"/>
      <c r="BU181" s="53"/>
      <c r="BV181" s="53"/>
      <c r="BW181" s="53"/>
      <c r="BX181" s="53"/>
      <c r="BY181" s="53"/>
      <c r="BZ181" s="53"/>
      <c r="CA181" s="53"/>
      <c r="CB181" s="53"/>
      <c r="CC181" s="53"/>
      <c r="CD181" s="53"/>
      <c r="CE181" s="53"/>
      <c r="CF181" s="53"/>
      <c r="CG181" s="53"/>
      <c r="CH181" s="53"/>
      <c r="CI181" s="53"/>
      <c r="CJ181" s="53"/>
      <c r="CK181" s="53"/>
      <c r="CL181" s="53"/>
      <c r="CM181" s="53"/>
      <c r="CN181" s="53"/>
      <c r="CO181" s="53"/>
      <c r="CP181" s="53"/>
      <c r="CQ181" s="53"/>
      <c r="CR181" s="1"/>
      <c r="CS181" s="1"/>
      <c r="CT181" s="1"/>
      <c r="CU181" s="1"/>
    </row>
    <row r="182" spans="1:99" s="13" customFormat="1" ht="12" customHeight="1" x14ac:dyDescent="0.2">
      <c r="A182" s="68">
        <v>43509</v>
      </c>
      <c r="B182" s="70"/>
      <c r="C182" s="70"/>
      <c r="D182" s="69"/>
      <c r="E182" s="87"/>
      <c r="F182" s="69"/>
      <c r="G182" s="69"/>
      <c r="H182" s="69"/>
      <c r="I182" s="69"/>
      <c r="J182" s="69"/>
      <c r="K182" s="107"/>
      <c r="L182" s="107"/>
      <c r="M182" s="69"/>
      <c r="N182" s="69"/>
      <c r="O182" s="69"/>
      <c r="P182" s="69"/>
      <c r="Q182" s="69"/>
      <c r="R182" s="69"/>
      <c r="S182" s="69"/>
      <c r="T182" s="69"/>
      <c r="U182" s="69"/>
      <c r="V182" s="69"/>
      <c r="W182" s="69"/>
      <c r="X182" s="69"/>
      <c r="Y182" s="87"/>
      <c r="Z182" s="69"/>
      <c r="AA182" s="69"/>
      <c r="AB182" s="69"/>
      <c r="AC182" s="69"/>
      <c r="AD182" s="69"/>
      <c r="AE182" s="69"/>
      <c r="AF182" s="88"/>
      <c r="AG182" s="72"/>
      <c r="AH182" s="4"/>
      <c r="AI182" s="72"/>
      <c r="AJ182" s="110"/>
      <c r="AK182" s="72"/>
      <c r="AL182" s="72"/>
      <c r="AM182" s="72"/>
      <c r="AN182" s="72"/>
      <c r="AO182" s="72"/>
      <c r="AP182" s="72"/>
      <c r="AQ182" s="72"/>
      <c r="AR182" s="110"/>
      <c r="AS182" s="72"/>
      <c r="AT182" s="72"/>
      <c r="AU182" s="4"/>
      <c r="AV182" s="71">
        <v>60</v>
      </c>
      <c r="AW182" s="71">
        <f>7*24*3600*0.003</f>
        <v>1814.4</v>
      </c>
      <c r="AX182" s="71">
        <f>7*24*3600*1</f>
        <v>604800</v>
      </c>
      <c r="AY182" s="53"/>
      <c r="AZ182" s="53"/>
      <c r="BA182" s="53"/>
      <c r="BB182" s="53"/>
      <c r="BC182" s="53"/>
      <c r="BD182" s="53"/>
      <c r="BE182" s="53"/>
      <c r="BF182" s="53"/>
      <c r="BG182" s="53"/>
      <c r="BH182" s="53"/>
      <c r="BI182" s="53"/>
      <c r="BJ182" s="53"/>
      <c r="BK182" s="53"/>
      <c r="BL182" s="53"/>
      <c r="BM182" s="53"/>
      <c r="BN182" s="53"/>
      <c r="BO182" s="53"/>
      <c r="BP182" s="53"/>
      <c r="BQ182" s="53"/>
      <c r="BR182" s="53"/>
      <c r="BS182" s="53"/>
      <c r="BT182" s="53"/>
      <c r="BU182" s="53"/>
      <c r="BV182" s="53"/>
      <c r="BW182" s="53"/>
      <c r="BX182" s="53"/>
      <c r="BY182" s="53"/>
      <c r="BZ182" s="53"/>
      <c r="CA182" s="53"/>
      <c r="CB182" s="53"/>
      <c r="CC182" s="53"/>
      <c r="CD182" s="53"/>
      <c r="CE182" s="53"/>
      <c r="CF182" s="53"/>
      <c r="CG182" s="53"/>
      <c r="CH182" s="53"/>
      <c r="CI182" s="53"/>
      <c r="CJ182" s="53"/>
      <c r="CK182" s="53"/>
      <c r="CL182" s="53"/>
      <c r="CM182" s="53"/>
      <c r="CN182" s="53"/>
      <c r="CO182" s="53"/>
      <c r="CP182" s="53"/>
      <c r="CQ182" s="53"/>
      <c r="CR182" s="1"/>
      <c r="CS182" s="1"/>
      <c r="CT182" s="1"/>
      <c r="CU182" s="1"/>
    </row>
    <row r="183" spans="1:99" s="13" customFormat="1" ht="12" customHeight="1" x14ac:dyDescent="0.2">
      <c r="A183" s="68">
        <v>43509</v>
      </c>
      <c r="B183" s="70" t="s">
        <v>154</v>
      </c>
      <c r="C183" s="70" t="s">
        <v>155</v>
      </c>
      <c r="D183" s="69">
        <v>2007</v>
      </c>
      <c r="E183" s="87">
        <v>1</v>
      </c>
      <c r="F183" s="69">
        <v>18</v>
      </c>
      <c r="G183" s="69">
        <v>18</v>
      </c>
      <c r="H183" s="69" t="s">
        <v>32</v>
      </c>
      <c r="I183" s="69" t="s">
        <v>723</v>
      </c>
      <c r="J183" s="69" t="s">
        <v>475</v>
      </c>
      <c r="K183" s="69">
        <f>IF(J183="syllables",1,IF(J183="trigrams",2,IF(J183="strings",3,IF(J183="visual array",4,IF(J183="characters",5,IF(J183="letters",6,IF(J183="free forms",7,IF(J183="odors",8,IF(J183="words",9,IF(J183="pictures",10,IF(J183="object pictures",11,IF(J183="faces",12,IF(J183="names",13,IF(J183="idioms",14,IF(J183="grades",15,IF(J183="syllable-digit pairs",16,IF(J183="trigram-word pairs",17,IF(J183="word-digit pairs",18,IF(J183="English-Swahili pairs",19,IF(J183="spatial position",20,IF(J183="word pairs",21,IF(J183="word triads",22,IF(J183="generated words",23,IF(J183="word definition pairs",24,IF(J183="math problems",25,IF(J183="famous faces",26,IF(J183="famous names",27,IF(J183="famous voices",28,IF(J183="television programs",29,IF(J183="race horses",30,IF(J183="new vocabulary",31,IF(J183="sentences",32,IF(J183="concepts",33,IF(J183="ad slides",34,IF(J183="scenes",35,IF(J183="famous scenes",36,IF(J183="poems",37,IF(J183="walk",38,IF(J183="faces and events",39,IF(J183="events and names",40,IF(J183="flashbulb",41,IF(J183="stories",42,IF(J183="course material",43,IF(J183="autobiographical",44,IF(J183="novels",45,IF(J183="public events",46,"99"))))))))))))))))))))))))))))))))))))))))))))))</f>
        <v>32</v>
      </c>
      <c r="L183" s="69">
        <f>IF(J183="syllables",1,IF(J183="trigrams",1,IF(J183="strings",1,IF(J183="visual array",1,IF(J183="characters",1,IF(J183="letters",1,IF(J183="free forms",1,IF(J183="odors",2,IF(J183="words",2,IF(J183="pictures",2,IF(J183="object pictures",2,IF(J183="faces",2,IF(J183="names",2,IF(J183="idioms","2",IF(J183="grades",2,IF(J183="syllable-digit pairs",3,IF(J183="trigram-word pairs",3,IF(J183="word-digit pairs",3,IF(J183="English-Swahili pairs",3,IF(J183="spatial position",3,IF(J183="word pairs",4,IF(J183="word triads",4,IF(J183="generated words",4,IF(J183="word definition pairs",4,IF(J183="math problems",4,IF(J183="famous faces",4,IF(J183="famous names",4,IF(J183="famous voices",4,IF(J183="television programs",4,IF(J183="race horses",4,IF(J183="new vocabulary",4,IF(J183="sentences",5,IF(J183="concepts",5,IF(J183="ad slides",5,IF(J183="scenes",5,IF(J183="famous scenes",5,IF(J183="poems",6,IF(J183="walk",6,IF(J183="faces and events",6,IF(J183="events and names",6,IF(J183="flashbulb",7,IF(J183="stories",7,IF(J183="course material",7,IF(J183="autobiographical",7,IF(J183="novels",7,IF(J183="public events",7,"99"))))))))))))))))))))))))))))))))))))))))))))))</f>
        <v>5</v>
      </c>
      <c r="M183" s="69">
        <v>0</v>
      </c>
      <c r="N183" s="69">
        <v>2</v>
      </c>
      <c r="O183" s="69">
        <v>0</v>
      </c>
      <c r="P183" s="69"/>
      <c r="Q183" s="153" t="s">
        <v>182</v>
      </c>
      <c r="R183" s="69">
        <f>IF(Q183="Free Recall",1,IF(Q183="Cued Recall",2,IF(Q183="Recognition",3,IF(Q183="Multiple Choice",4,IF(Q183="Savings",5,IF(Q183="Stem Completion",6,IF(Q183="Fragment Completion",7,IF(Q183="anagram solution",8,IF(Q183="Matching",9,IF(Q183="Problem Solving",10,"99"))))))))))</f>
        <v>4</v>
      </c>
      <c r="S183" s="69" t="s">
        <v>15</v>
      </c>
      <c r="T183" s="92" t="s">
        <v>581</v>
      </c>
      <c r="U183" s="69">
        <f>IF(T183="within",1,0)</f>
        <v>1</v>
      </c>
      <c r="V183" s="92">
        <v>16</v>
      </c>
      <c r="W183" s="69">
        <f>F183*V183</f>
        <v>288</v>
      </c>
      <c r="X183" s="69">
        <v>3</v>
      </c>
      <c r="Y183" s="87">
        <f>AV182</f>
        <v>60</v>
      </c>
      <c r="Z183" s="69" t="s">
        <v>150</v>
      </c>
      <c r="AA183" s="69">
        <v>604800</v>
      </c>
      <c r="AB183" s="69" t="str">
        <f>IF(AA183&lt;60,"1",IF(AA183&lt;=43200,"2",IF(AA183&lt;=777600,"3","4")))</f>
        <v>3</v>
      </c>
      <c r="AC183" s="72">
        <f>AVERAGE(AV182:DA182)</f>
        <v>202224.80000000002</v>
      </c>
      <c r="AD183" s="69" t="str">
        <f>IF(AC183&lt;60,"1",IF(AC183&lt;=43200,"2",IF(AC183&lt;=777600,"3","4")))</f>
        <v>3</v>
      </c>
      <c r="AE183" s="87">
        <f>AA183-Y183</f>
        <v>604740</v>
      </c>
      <c r="AF183" s="88">
        <f>AV183</f>
        <v>0.94</v>
      </c>
      <c r="AG183" s="72">
        <f>((AW183-AV183)+(AX183-AW183))/2</f>
        <v>-5.4999999999999993E-2</v>
      </c>
      <c r="AH183" s="4"/>
      <c r="AI183" s="72">
        <f>RSQ(AV183:AX183,AV182:AX182)</f>
        <v>0.99364923356807955</v>
      </c>
      <c r="AJ183" s="110">
        <f>SLOPE(AV183:AX183,AV182:AX182)</f>
        <v>-1.7391553988015541E-7</v>
      </c>
      <c r="AK183" s="72">
        <f>INTERCEPT(AV183:AX183,AV182:AX182)</f>
        <v>0.93517003526915643</v>
      </c>
      <c r="AL183" s="72">
        <f>INDEX(LINEST(LN(AV183:AX183),LN(AV182:AX182),TRUE,TRUE),3,1)</f>
        <v>0.91446970231108293</v>
      </c>
      <c r="AM183" s="72">
        <f>INDEX(LINEST(LN(AV183:AX183),LN(AV182:AX182)),1)</f>
        <v>-1.4151289308539197E-2</v>
      </c>
      <c r="AN183" s="72">
        <f>EXP(INDEX(LINEST(LN(AV183:AX183),LN(AV182:AX182)),1,2))</f>
        <v>1.0106362091127838</v>
      </c>
      <c r="AO183" s="89">
        <f>INDEX(LINEST((AV183:AX183),LN(AV182:AX182),TRUE,TRUE),3,1)</f>
        <v>0.91707082725134126</v>
      </c>
      <c r="AP183" s="89">
        <f>INDEX(LINEST((AV183:AX183),LN(AV182:AX182)),1)</f>
        <v>-1.2497681850556179E-2</v>
      </c>
      <c r="AQ183" s="90">
        <f>INDEX(LINEST(LN(AV183:AX183),SQRT(AV182:AX182),TRUE,TRUE),3,1)</f>
        <v>0.99859257581949656</v>
      </c>
      <c r="AR183" s="117">
        <f>INDEX(LINEST(LN(AV183:AX183),SQRT((AV182:AX182))),1)</f>
        <v>-1.5851598828516507E-4</v>
      </c>
      <c r="AS183" s="91">
        <f>INDEX(LINEST(1/(AV183:AX183),1/(SQRT(AV182:AX182)),TRUE,TRUE),3,1)</f>
        <v>0.47450201069555764</v>
      </c>
      <c r="AT183" s="91">
        <f>INDEX(LINEST(1/(AV183:AX183),1/SQRT(AV182:AX182)),1)</f>
        <v>-0.78983205856189131</v>
      </c>
      <c r="AU183" s="3"/>
      <c r="AV183" s="73">
        <v>0.94</v>
      </c>
      <c r="AW183" s="73">
        <v>0.93</v>
      </c>
      <c r="AX183" s="73">
        <v>0.83</v>
      </c>
      <c r="AY183" s="53"/>
      <c r="AZ183" s="53"/>
      <c r="BA183" s="53"/>
      <c r="BB183" s="53"/>
      <c r="BC183" s="53"/>
      <c r="BD183" s="53"/>
      <c r="BE183" s="53"/>
      <c r="BF183" s="53"/>
      <c r="BG183" s="53"/>
      <c r="BH183" s="53"/>
      <c r="BI183" s="53"/>
      <c r="BJ183" s="53"/>
      <c r="BK183" s="53"/>
      <c r="BL183" s="53"/>
      <c r="BM183" s="53"/>
      <c r="BN183" s="53"/>
      <c r="BO183" s="53"/>
      <c r="BP183" s="53"/>
      <c r="BQ183" s="53"/>
      <c r="BR183" s="53"/>
      <c r="BS183" s="53"/>
      <c r="BT183" s="53"/>
      <c r="BU183" s="53"/>
      <c r="BV183" s="53"/>
      <c r="BW183" s="53"/>
      <c r="BX183" s="53"/>
      <c r="BY183" s="53"/>
      <c r="BZ183" s="53"/>
      <c r="CA183" s="53"/>
      <c r="CB183" s="53"/>
      <c r="CC183" s="53"/>
      <c r="CD183" s="53"/>
      <c r="CE183" s="53"/>
      <c r="CF183" s="53"/>
      <c r="CG183" s="53"/>
      <c r="CH183" s="53"/>
      <c r="CI183" s="53"/>
      <c r="CJ183" s="53"/>
      <c r="CK183" s="53"/>
      <c r="CL183" s="53"/>
      <c r="CM183" s="53"/>
      <c r="CN183" s="53"/>
      <c r="CO183" s="53"/>
      <c r="CP183" s="53"/>
      <c r="CQ183" s="53"/>
      <c r="CR183" s="1"/>
      <c r="CS183" s="1"/>
      <c r="CT183" s="1"/>
      <c r="CU183" s="1"/>
    </row>
    <row r="184" spans="1:99" s="13" customFormat="1" ht="12" customHeight="1" x14ac:dyDescent="0.2">
      <c r="A184" s="68">
        <v>43976</v>
      </c>
      <c r="B184" s="70"/>
      <c r="C184" s="70"/>
      <c r="D184" s="69"/>
      <c r="E184" s="87"/>
      <c r="F184" s="69"/>
      <c r="G184" s="69"/>
      <c r="H184" s="69"/>
      <c r="I184" s="69"/>
      <c r="J184" s="69"/>
      <c r="K184" s="69"/>
      <c r="L184" s="69"/>
      <c r="M184" s="69"/>
      <c r="N184" s="69"/>
      <c r="O184" s="69"/>
      <c r="P184" s="69"/>
      <c r="Q184" s="153"/>
      <c r="R184" s="69"/>
      <c r="S184" s="69"/>
      <c r="T184" s="92"/>
      <c r="U184" s="69"/>
      <c r="V184" s="92"/>
      <c r="W184" s="69"/>
      <c r="X184" s="69"/>
      <c r="Y184" s="87"/>
      <c r="Z184" s="69"/>
      <c r="AA184" s="69"/>
      <c r="AB184" s="69"/>
      <c r="AC184" s="72"/>
      <c r="AD184" s="69"/>
      <c r="AE184" s="87"/>
      <c r="AF184" s="88"/>
      <c r="AG184" s="72"/>
      <c r="AH184" s="4"/>
      <c r="AI184" s="72"/>
      <c r="AJ184" s="110"/>
      <c r="AK184" s="72"/>
      <c r="AL184" s="72"/>
      <c r="AM184" s="72"/>
      <c r="AN184" s="72"/>
      <c r="AO184" s="89"/>
      <c r="AP184" s="89"/>
      <c r="AQ184" s="90"/>
      <c r="AR184" s="117"/>
      <c r="AS184" s="91"/>
      <c r="AT184" s="91"/>
      <c r="AU184" s="3"/>
      <c r="AV184" s="71">
        <f>60*10</f>
        <v>600</v>
      </c>
      <c r="AW184" s="71">
        <f>60*60*2</f>
        <v>7200</v>
      </c>
      <c r="AX184" s="71">
        <f>60*60*32</f>
        <v>115200</v>
      </c>
      <c r="AY184" s="53"/>
      <c r="AZ184" s="53"/>
      <c r="BA184" s="53"/>
      <c r="BB184" s="53"/>
      <c r="BC184" s="53"/>
      <c r="BD184" s="53"/>
      <c r="BE184" s="53"/>
      <c r="BF184" s="53"/>
      <c r="BG184" s="53"/>
      <c r="BH184" s="53"/>
      <c r="BI184" s="53"/>
      <c r="BJ184" s="53"/>
      <c r="BK184" s="53"/>
      <c r="BL184" s="53"/>
      <c r="BM184" s="53"/>
      <c r="BN184" s="53"/>
      <c r="BO184" s="53"/>
      <c r="BP184" s="53"/>
      <c r="BQ184" s="53"/>
      <c r="BR184" s="53"/>
      <c r="BS184" s="53"/>
      <c r="BT184" s="53"/>
      <c r="BU184" s="53"/>
      <c r="BV184" s="53"/>
      <c r="BW184" s="53"/>
      <c r="BX184" s="53"/>
      <c r="BY184" s="53"/>
      <c r="BZ184" s="53"/>
      <c r="CA184" s="53"/>
      <c r="CB184" s="53"/>
      <c r="CC184" s="53"/>
      <c r="CD184" s="53"/>
      <c r="CE184" s="53"/>
      <c r="CF184" s="53"/>
      <c r="CG184" s="53"/>
      <c r="CH184" s="53"/>
      <c r="CI184" s="53"/>
      <c r="CJ184" s="53"/>
      <c r="CK184" s="53"/>
      <c r="CL184" s="53"/>
      <c r="CM184" s="53"/>
      <c r="CN184" s="53"/>
      <c r="CO184" s="53"/>
      <c r="CP184" s="53"/>
      <c r="CQ184" s="53"/>
      <c r="CR184" s="1"/>
      <c r="CS184" s="1"/>
      <c r="CT184" s="1"/>
      <c r="CU184" s="1"/>
    </row>
    <row r="185" spans="1:99" s="13" customFormat="1" ht="12" customHeight="1" x14ac:dyDescent="0.2">
      <c r="A185" s="68">
        <v>43976</v>
      </c>
      <c r="B185" s="70" t="s">
        <v>930</v>
      </c>
      <c r="C185" s="70" t="s">
        <v>360</v>
      </c>
      <c r="D185" s="69">
        <v>1988</v>
      </c>
      <c r="E185" s="87">
        <v>1</v>
      </c>
      <c r="F185" s="69">
        <v>18</v>
      </c>
      <c r="G185" s="69">
        <v>18</v>
      </c>
      <c r="H185" s="69" t="s">
        <v>22</v>
      </c>
      <c r="I185" s="69" t="s">
        <v>330</v>
      </c>
      <c r="J185" s="69" t="s">
        <v>313</v>
      </c>
      <c r="K185" s="69">
        <f>IF(J185="syllables",1,IF(J185="trigrams",2,IF(J185="strings",3,IF(J185="visual array",4,IF(J185="characters",5,IF(J185="letters",6,IF(J185="free forms",7,IF(J185="odors",8,IF(J185="words",9,IF(J185="pictures",10,IF(J185="object pictures",11,IF(J185="faces",12,IF(J185="names",13,IF(J185="idioms",14,IF(J185="grades",15,IF(J185="syllable-digit pairs",16,IF(J185="trigram-word pairs",17,IF(J185="word-digit pairs",18,IF(J185="English-Swahili pairs",19,IF(J185="spatial position",20,IF(J185="word pairs",21,IF(J185="word triads",22,IF(J185="generated words",23,IF(J185="word definition pairs",24,IF(J185="math problems",25,IF(J185="famous faces",26,IF(J185="famous names",27,IF(J185="famous voices",28,IF(J185="television programs",29,IF(J185="race horses",30,IF(J185="new vocabulary",31,IF(J185="sentences",32,IF(J185="concepts",33,IF(J185="ad slides",34,IF(J185="scenes",35,IF(J185="famous scenes",36,IF(J185="poems",37,IF(J185="walk",38,IF(J185="faces and events",39,IF(J185="events and names",40,IF(J185="flashbulb",41,IF(J185="stories",42,IF(J185="course material",43,IF(J185="autobiographical",44,IF(J185="novels",45,IF(J185="public events",46,"99"))))))))))))))))))))))))))))))))))))))))))))))</f>
        <v>10</v>
      </c>
      <c r="L185" s="69">
        <f>IF(J185="syllables",1,IF(J185="trigrams",1,IF(J185="strings",1,IF(J185="visual array",1,IF(J185="characters",1,IF(J185="letters",1,IF(J185="free forms",1,IF(J185="odors",2,IF(J185="words",2,IF(J185="pictures",2,IF(J185="object pictures",2,IF(J185="faces",2,IF(J185="names",2,IF(J185="idioms","2",IF(J185="grades",2,IF(J185="syllable-digit pairs",3,IF(J185="trigram-word pairs",3,IF(J185="word-digit pairs",3,IF(J185="English-Swahili pairs",3,IF(J185="spatial position",3,IF(J185="word pairs",4,IF(J185="word triads",4,IF(J185="generated words",4,IF(J185="word definition pairs",4,IF(J185="math problems",4,IF(J185="famous faces",4,IF(J185="famous names",4,IF(J185="famous voices",4,IF(J185="television programs",4,IF(J185="race horses",4,IF(J185="new vocabulary",4,IF(J185="sentences",5,IF(J185="concepts",5,IF(J185="ad slides",5,IF(J185="scenes",5,IF(J185="famous scenes",5,IF(J185="poems",6,IF(J185="walk",6,IF(J185="faces and events",6,IF(J185="events and names",6,IF(J185="flashbulb",7,IF(J185="stories",7,IF(J185="course material",7,IF(J185="autobiographical",7,IF(J185="novels",7,IF(J185="public events",7,"99"))))))))))))))))))))))))))))))))))))))))))))))</f>
        <v>2</v>
      </c>
      <c r="M185" s="69">
        <v>0</v>
      </c>
      <c r="N185" s="69">
        <v>1</v>
      </c>
      <c r="O185" s="69">
        <v>0</v>
      </c>
      <c r="P185" s="69"/>
      <c r="Q185" s="153" t="s">
        <v>34</v>
      </c>
      <c r="R185" s="69">
        <f>IF(Q185="Free Recall",1,IF(Q185="Cued Recall",2,IF(Q185="Recognition",3,IF(Q185="Multiple Choice",4,IF(Q185="Savings",5,IF(Q185="Stem Completion",6,IF(Q185="Fragment Completion",7,IF(Q185="anagram solution",8,IF(Q185="Matching",9,IF(Q185="Problem Solving",10,"99"))))))))))</f>
        <v>3</v>
      </c>
      <c r="S185" s="92" t="s">
        <v>15</v>
      </c>
      <c r="T185" s="92" t="s">
        <v>581</v>
      </c>
      <c r="U185" s="69">
        <f>IF(T185="within",1,0)</f>
        <v>1</v>
      </c>
      <c r="V185" s="92">
        <v>22</v>
      </c>
      <c r="W185" s="69" t="e">
        <f>#REF!*V185</f>
        <v>#REF!</v>
      </c>
      <c r="X185" s="69">
        <v>3</v>
      </c>
      <c r="Y185" s="87">
        <f>AV184</f>
        <v>600</v>
      </c>
      <c r="Z185" s="69" t="s">
        <v>931</v>
      </c>
      <c r="AA185" s="69">
        <f>60*60*32</f>
        <v>115200</v>
      </c>
      <c r="AB185" s="69" t="str">
        <f>IF(AA185&lt;60,"1",IF(AA185&lt;=43200,"2",IF(AA185&lt;=777600,"3","4")))</f>
        <v>3</v>
      </c>
      <c r="AC185" s="72">
        <f>AVERAGE(AV184:DA184)</f>
        <v>41000</v>
      </c>
      <c r="AD185" s="69" t="str">
        <f>IF(AC185&lt;60,"1",IF(AC185&lt;=43200,"2",IF(AC185&lt;=777600,"3","4")))</f>
        <v>2</v>
      </c>
      <c r="AE185" s="87">
        <f>AA185-Y185</f>
        <v>114600</v>
      </c>
      <c r="AF185" s="88">
        <f>AV185</f>
        <v>0.90500000000000003</v>
      </c>
      <c r="AG185" s="72">
        <f>((AW185-AV185)+(AX185-AW185))/2</f>
        <v>-6.6500000000000004E-2</v>
      </c>
      <c r="AH185" s="4"/>
      <c r="AI185" s="72">
        <f>RSQ(AV185:AX185,AV184:AX184)</f>
        <v>0.93255926007368251</v>
      </c>
      <c r="AJ185" s="110">
        <f>SLOPE(AV185:AX185,AV184:AX184)</f>
        <v>-1.0203810517569539E-6</v>
      </c>
      <c r="AK185" s="72">
        <f>INTERCEPT(AV185:AX185,AV184:AX184)</f>
        <v>0.88850228978870183</v>
      </c>
      <c r="AL185" s="72">
        <f>INDEX(LINEST(LN(AV185:AX185),LN(AV184:AX184),TRUE,TRUE),3,1)</f>
        <v>0.96187581239093423</v>
      </c>
      <c r="AM185" s="72">
        <f>INDEX(LINEST(LN(AV185:AX185),LN(AV184:AX184)),1)</f>
        <v>-3.0424455677092052E-2</v>
      </c>
      <c r="AN185" s="72">
        <f>EXP(INDEX(LINEST(LN(AV185:AX185),LN(AV184:AX184)),1,2))</f>
        <v>1.1101539222831247</v>
      </c>
      <c r="AO185" s="89">
        <f>INDEX(LINEST((AV185:AX185),LN(AV184:AX184),TRUE,TRUE),3,1)</f>
        <v>0.96864810805917334</v>
      </c>
      <c r="AP185" s="89">
        <f>INDEX(LINEST((AV185:AX185),LN(AV184:AX184)),1)</f>
        <v>-2.5441817408239427E-2</v>
      </c>
      <c r="AQ185" s="90">
        <f>INDEX(LINEST(LN(AV185:AX185),SQRT(AV184:AX184),TRUE,TRUE),3,1)</f>
        <v>0.98707271910119454</v>
      </c>
      <c r="AR185" s="117">
        <f>INDEX(LINEST(LN(AV185:AX185),SQRT((AV184:AX184))),1)</f>
        <v>-4.8497805183845346E-4</v>
      </c>
      <c r="AS185" s="91">
        <f>INDEX(LINEST(1/(AV185:AX185),1/(SQRT(AV184:AX184)),TRUE,TRUE),3,1)</f>
        <v>0.73145429358120617</v>
      </c>
      <c r="AT185" s="91">
        <f>INDEX(LINEST(1/(AV185:AX185),1/SQRT(AV184:AX184)),1)</f>
        <v>-4.2354602479122985</v>
      </c>
      <c r="AU185" s="3"/>
      <c r="AV185" s="73">
        <v>0.90500000000000003</v>
      </c>
      <c r="AW185" s="73">
        <v>0.86299999999999999</v>
      </c>
      <c r="AX185" s="73">
        <v>0.77200000000000002</v>
      </c>
      <c r="AY185" s="53"/>
      <c r="AZ185" s="53"/>
      <c r="BA185" s="53"/>
      <c r="BB185" s="53"/>
      <c r="BC185" s="53"/>
      <c r="BD185" s="53"/>
      <c r="BE185" s="53"/>
      <c r="BF185" s="53"/>
      <c r="BG185" s="53"/>
      <c r="BH185" s="53"/>
      <c r="BI185" s="53"/>
      <c r="BJ185" s="53"/>
      <c r="BK185" s="53"/>
      <c r="BL185" s="53"/>
      <c r="BM185" s="53"/>
      <c r="BN185" s="53"/>
      <c r="BO185" s="53"/>
      <c r="BP185" s="53"/>
      <c r="BQ185" s="53"/>
      <c r="BR185" s="53"/>
      <c r="BS185" s="53"/>
      <c r="BT185" s="53"/>
      <c r="BU185" s="53"/>
      <c r="BV185" s="53"/>
      <c r="BW185" s="53"/>
      <c r="BX185" s="53"/>
      <c r="BY185" s="53"/>
      <c r="BZ185" s="53"/>
      <c r="CA185" s="53"/>
      <c r="CB185" s="53"/>
      <c r="CC185" s="53"/>
      <c r="CD185" s="53"/>
      <c r="CE185" s="53"/>
      <c r="CF185" s="53"/>
      <c r="CG185" s="53"/>
      <c r="CH185" s="53"/>
      <c r="CI185" s="53"/>
      <c r="CJ185" s="53"/>
      <c r="CK185" s="53"/>
      <c r="CL185" s="53"/>
      <c r="CM185" s="53"/>
      <c r="CN185" s="53"/>
      <c r="CO185" s="53"/>
      <c r="CP185" s="53"/>
      <c r="CQ185" s="53"/>
      <c r="CR185" s="1"/>
      <c r="CS185" s="1"/>
      <c r="CT185" s="1"/>
      <c r="CU185" s="1"/>
    </row>
    <row r="186" spans="1:99" s="13" customFormat="1" ht="12" customHeight="1" x14ac:dyDescent="0.2">
      <c r="A186" s="65">
        <v>43509</v>
      </c>
      <c r="B186" s="1"/>
      <c r="C186" s="1"/>
      <c r="D186" s="60"/>
      <c r="E186" s="76"/>
      <c r="F186" s="60"/>
      <c r="G186" s="60"/>
      <c r="H186" s="60"/>
      <c r="I186" s="60"/>
      <c r="J186" s="60"/>
      <c r="K186" s="64"/>
      <c r="L186" s="64"/>
      <c r="M186" s="60"/>
      <c r="N186" s="60"/>
      <c r="O186" s="60"/>
      <c r="P186" s="60"/>
      <c r="Q186" s="60"/>
      <c r="R186" s="60"/>
      <c r="S186" s="60"/>
      <c r="T186" s="60"/>
      <c r="U186" s="60"/>
      <c r="V186" s="60"/>
      <c r="W186" s="60"/>
      <c r="X186" s="60"/>
      <c r="Y186" s="76"/>
      <c r="Z186" s="60"/>
      <c r="AA186" s="60"/>
      <c r="AB186" s="60"/>
      <c r="AC186" s="60"/>
      <c r="AD186" s="60"/>
      <c r="AE186" s="60"/>
      <c r="AF186" s="80"/>
      <c r="AG186" s="56"/>
      <c r="AH186" s="4"/>
      <c r="AI186" s="56"/>
      <c r="AJ186" s="109"/>
      <c r="AK186" s="56"/>
      <c r="AL186" s="56"/>
      <c r="AM186" s="56"/>
      <c r="AN186" s="56"/>
      <c r="AO186" s="56"/>
      <c r="AP186" s="56"/>
      <c r="AQ186" s="56"/>
      <c r="AR186" s="109"/>
      <c r="AS186" s="56"/>
      <c r="AT186" s="56"/>
      <c r="AU186" s="4"/>
      <c r="AV186" s="25">
        <f>20*60</f>
        <v>1200</v>
      </c>
      <c r="AW186" s="25">
        <f>60*60</f>
        <v>3600</v>
      </c>
      <c r="AX186" s="25">
        <f>4*60*60</f>
        <v>14400</v>
      </c>
      <c r="AY186" s="25">
        <f>24*3600</f>
        <v>86400</v>
      </c>
      <c r="AZ186" s="25">
        <f>24*3600*2</f>
        <v>172800</v>
      </c>
      <c r="BA186" s="53"/>
      <c r="BB186" s="53"/>
      <c r="BC186" s="53"/>
      <c r="BD186" s="53"/>
      <c r="BE186" s="53"/>
      <c r="BF186" s="53"/>
      <c r="BG186" s="53"/>
      <c r="BH186" s="53"/>
      <c r="BI186" s="53"/>
      <c r="BJ186" s="53"/>
      <c r="BK186" s="53"/>
      <c r="BL186" s="53"/>
      <c r="BM186" s="53"/>
      <c r="BN186" s="53"/>
      <c r="BO186" s="53"/>
      <c r="BP186" s="53"/>
      <c r="BQ186" s="53"/>
      <c r="BR186" s="53"/>
      <c r="BS186" s="53"/>
      <c r="BT186" s="53"/>
      <c r="BU186" s="53"/>
      <c r="BV186" s="53"/>
      <c r="BW186" s="53"/>
      <c r="BX186" s="53"/>
      <c r="BY186" s="53"/>
      <c r="BZ186" s="53"/>
      <c r="CA186" s="53"/>
      <c r="CB186" s="53"/>
      <c r="CC186" s="53"/>
      <c r="CD186" s="53"/>
      <c r="CE186" s="53"/>
      <c r="CF186" s="53"/>
      <c r="CG186" s="53"/>
      <c r="CH186" s="53"/>
      <c r="CI186" s="53"/>
      <c r="CJ186" s="53"/>
      <c r="CK186" s="53"/>
      <c r="CL186" s="53"/>
      <c r="CM186" s="53"/>
      <c r="CN186" s="53"/>
      <c r="CO186" s="53"/>
      <c r="CP186" s="53"/>
      <c r="CQ186" s="53"/>
      <c r="CR186" s="1"/>
      <c r="CS186" s="1"/>
      <c r="CT186" s="1"/>
      <c r="CU186" s="1"/>
    </row>
    <row r="187" spans="1:99" s="13" customFormat="1" ht="12" customHeight="1" x14ac:dyDescent="0.2">
      <c r="A187" s="65">
        <v>43509</v>
      </c>
      <c r="B187" s="1" t="s">
        <v>118</v>
      </c>
      <c r="C187" s="1" t="s">
        <v>119</v>
      </c>
      <c r="D187" s="60">
        <v>1922</v>
      </c>
      <c r="E187" s="76">
        <v>2</v>
      </c>
      <c r="F187" s="60">
        <v>20</v>
      </c>
      <c r="G187" s="60">
        <v>20</v>
      </c>
      <c r="H187" s="60" t="s">
        <v>725</v>
      </c>
      <c r="I187" s="60"/>
      <c r="J187" s="60" t="s">
        <v>281</v>
      </c>
      <c r="K187" s="60">
        <f>IF(J187="syllables",1,IF(J187="trigrams",2,IF(J187="strings",3,IF(J187="visual array",4,IF(J187="characters",5,IF(J187="letters",6,IF(J187="free forms",7,IF(J187="odors",8,IF(J187="words",9,IF(J187="pictures",10,IF(J187="object pictures",11,IF(J187="faces",12,IF(J187="names",13,IF(J187="idioms",14,IF(J187="grades",15,IF(J187="syllable-digit pairs",16,IF(J187="trigram-word pairs",17,IF(J187="word-digit pairs",18,IF(J187="English-Swahili pairs",19,IF(J187="spatial position",20,IF(J187="word pairs",21,IF(J187="word triads",22,IF(J187="generated words",23,IF(J187="word definition pairs",24,IF(J187="math problems",25,IF(J187="famous faces",26,IF(J187="famous names",27,IF(J187="famous voices",28,IF(J187="television programs",29,IF(J187="race horses",30,IF(J187="new vocabulary",31,IF(J187="sentences",32,IF(J187="concepts",33,IF(J187="ad slides",34,IF(J187="scenes",35,IF(J187="famous scenes",36,IF(J187="poems",37,IF(J187="walk",38,IF(J187="faces and events",39,IF(J187="events and names",40,IF(J187="flashbulb",41,IF(J187="stories",42,IF(J187="course material",43,IF(J187="autobiographical",44,IF(J187="novels",45,IF(J187="public events",46,"99"))))))))))))))))))))))))))))))))))))))))))))))</f>
        <v>1</v>
      </c>
      <c r="L187" s="60">
        <f>IF(J187="syllables",1,IF(J187="trigrams",1,IF(J187="strings",1,IF(J187="visual array",1,IF(J187="characters",1,IF(J187="letters",1,IF(J187="free forms",1,IF(J187="odors",2,IF(J187="words",2,IF(J187="pictures",2,IF(J187="object pictures",2,IF(J187="faces",2,IF(J187="names",2,IF(J187="idioms","2",IF(J187="grades",2,IF(J187="syllable-digit pairs",3,IF(J187="trigram-word pairs",3,IF(J187="word-digit pairs",3,IF(J187="English-Swahili pairs",3,IF(J187="spatial position",3,IF(J187="word pairs",4,IF(J187="word triads",4,IF(J187="generated words",4,IF(J187="word definition pairs",4,IF(J187="math problems",4,IF(J187="famous faces",4,IF(J187="famous names",4,IF(J187="famous voices",4,IF(J187="television programs",4,IF(J187="race horses",4,IF(J187="new vocabulary",4,IF(J187="sentences",5,IF(J187="concepts",5,IF(J187="ad slides",5,IF(J187="scenes",5,IF(J187="famous scenes",5,IF(J187="poems",6,IF(J187="walk",6,IF(J187="faces and events",6,IF(J187="events and names",6,IF(J187="flashbulb",7,IF(J187="stories",7,IF(J187="course material",7,IF(J187="autobiographical",7,IF(J187="novels",7,IF(J187="public events",7,"99"))))))))))))))))))))))))))))))))))))))))))))))</f>
        <v>1</v>
      </c>
      <c r="M187" s="60">
        <v>1</v>
      </c>
      <c r="N187" s="60">
        <v>2</v>
      </c>
      <c r="O187" s="60">
        <v>0</v>
      </c>
      <c r="P187" s="60"/>
      <c r="Q187" s="60" t="s">
        <v>34</v>
      </c>
      <c r="R187" s="60">
        <f>IF(Q187="Free Recall",1,IF(Q187="Cued Recall",2,IF(Q187="Recognition",3,IF(Q187="Multiple Choice",4,IF(Q187="Savings",5,IF(Q187="Stem Completion",6,IF(Q187="Fragment Completion",7,IF(Q187="anagram solution",8,IF(Q187="Matching",9,IF(Q187="Problem Solving",10,"99"))))))))))</f>
        <v>3</v>
      </c>
      <c r="S187" s="59" t="s">
        <v>15</v>
      </c>
      <c r="T187" s="59" t="s">
        <v>581</v>
      </c>
      <c r="U187" s="60">
        <f>IF(T187="within",1,0)</f>
        <v>1</v>
      </c>
      <c r="V187" s="59">
        <v>12</v>
      </c>
      <c r="W187" s="60">
        <f>F187*V187</f>
        <v>240</v>
      </c>
      <c r="X187" s="60">
        <v>5</v>
      </c>
      <c r="Y187" s="76">
        <f>AV186</f>
        <v>1200</v>
      </c>
      <c r="Z187" s="60" t="s">
        <v>88</v>
      </c>
      <c r="AA187" s="60">
        <v>172800</v>
      </c>
      <c r="AB187" s="60" t="str">
        <f>IF(AA187&lt;60,"1",IF(AA187&lt;=43200,"2",IF(AA187&lt;=777600,"3","4")))</f>
        <v>3</v>
      </c>
      <c r="AC187" s="56">
        <f>AVERAGE(AV186:DA186)</f>
        <v>55680</v>
      </c>
      <c r="AD187" s="60" t="str">
        <f>IF(AC187&lt;60,"1",IF(AC187&lt;=43200,"2",IF(AC187&lt;=777600,"3","4")))</f>
        <v>3</v>
      </c>
      <c r="AE187" s="76">
        <f>AA187-Y187</f>
        <v>171600</v>
      </c>
      <c r="AF187" s="80">
        <f>AV187</f>
        <v>0.91500000000000004</v>
      </c>
      <c r="AG187" s="56">
        <f>((AW187-AV187)+(AX187-AW187)+(AY187-AX187)+(AZ187-AY187))/4</f>
        <v>-0.13225000000000001</v>
      </c>
      <c r="AH187" s="4"/>
      <c r="AI187" s="56">
        <f>RSQ(AV187:AZ187,AV186:AZ186)</f>
        <v>0.91004281882293725</v>
      </c>
      <c r="AJ187" s="109">
        <f>SLOPE(AV187:AZ187,AV186:AZ186)</f>
        <v>-3.0321854396920371E-6</v>
      </c>
      <c r="AK187" s="56">
        <f>INTERCEPT(AV187:AZ187,AV186:AZ186)</f>
        <v>0.86103208528205255</v>
      </c>
      <c r="AL187" s="56">
        <f>INDEX(LINEST(LN(AV187:AZ187),LN(AV186:AZ186),TRUE,TRUE),3,1)</f>
        <v>0.91912988297147891</v>
      </c>
      <c r="AM187" s="56">
        <f>INDEX(LINEST(LN(AV187:AZ187),LN(AV186:AZ186)),1)</f>
        <v>-0.17382893632281318</v>
      </c>
      <c r="AN187" s="56">
        <f>EXP(INDEX(LINEST(LN(AV187:AZ187),LN(AV186:AZ186)),1,2))</f>
        <v>3.5151484778696522</v>
      </c>
      <c r="AO187" s="82">
        <f>INDEX(LINEST((AV187:AZ187),LN(AV186:AZ186),TRUE,TRUE),3,1)</f>
        <v>0.95518416415963436</v>
      </c>
      <c r="AP187" s="82">
        <f>INDEX(LINEST((AV187:AZ187),LN(AV186:AZ186)),1)</f>
        <v>-0.11041864648920337</v>
      </c>
      <c r="AQ187" s="83">
        <f>INDEX(LINEST(LN(AV187:AZ187),SQRT(AV186:AZ186),TRUE,TRUE),3,1)</f>
        <v>0.9983882793577552</v>
      </c>
      <c r="AR187" s="116">
        <f>INDEX(LINEST(LN(AV187:AZ187),SQRT((AV186:AZ186))),1)</f>
        <v>-2.3076674364709343E-3</v>
      </c>
      <c r="AS187" s="84">
        <f>INDEX(LINEST(1/(AV187:AZ187),1/(SQRT(AV186:AZ186)),TRUE,TRUE),3,1)</f>
        <v>0.61747943964498042</v>
      </c>
      <c r="AT187" s="84">
        <f>INDEX(LINEST(1/(AV187:AZ187),1/SQRT(AV186:AZ186)),1)</f>
        <v>-46.219178896754592</v>
      </c>
      <c r="AU187" s="3"/>
      <c r="AV187" s="53">
        <v>0.91500000000000004</v>
      </c>
      <c r="AW187" s="53">
        <v>0.89700000000000002</v>
      </c>
      <c r="AX187" s="53">
        <v>0.754</v>
      </c>
      <c r="AY187" s="53">
        <v>0.50900000000000001</v>
      </c>
      <c r="AZ187" s="53">
        <v>0.38600000000000001</v>
      </c>
      <c r="BA187" s="53"/>
      <c r="BB187" s="53"/>
      <c r="BC187" s="53"/>
      <c r="BD187" s="53"/>
      <c r="BE187" s="53"/>
      <c r="BF187" s="53"/>
      <c r="BG187" s="53"/>
      <c r="BH187" s="53"/>
      <c r="BI187" s="53"/>
      <c r="BJ187" s="53"/>
      <c r="BK187" s="53"/>
      <c r="BL187" s="53"/>
      <c r="BM187" s="53"/>
      <c r="BN187" s="53"/>
      <c r="BO187" s="53"/>
      <c r="BP187" s="53"/>
      <c r="BQ187" s="53"/>
      <c r="BR187" s="53"/>
      <c r="BS187" s="53"/>
      <c r="BT187" s="53"/>
      <c r="BU187" s="53"/>
      <c r="BV187" s="53"/>
      <c r="BW187" s="53"/>
      <c r="BX187" s="53"/>
      <c r="BY187" s="53"/>
      <c r="BZ187" s="53"/>
      <c r="CA187" s="53"/>
      <c r="CB187" s="53"/>
      <c r="CC187" s="53"/>
      <c r="CD187" s="53"/>
      <c r="CE187" s="53"/>
      <c r="CF187" s="53"/>
      <c r="CG187" s="53"/>
      <c r="CH187" s="53"/>
      <c r="CI187" s="53"/>
      <c r="CJ187" s="53"/>
      <c r="CK187" s="53"/>
      <c r="CL187" s="53"/>
      <c r="CM187" s="53"/>
      <c r="CN187" s="53"/>
      <c r="CO187" s="53"/>
      <c r="CP187" s="53"/>
      <c r="CQ187" s="53"/>
      <c r="CR187" s="1"/>
      <c r="CS187" s="1"/>
      <c r="CT187" s="1"/>
      <c r="CU187" s="1"/>
    </row>
    <row r="188" spans="1:99" s="13" customFormat="1" ht="12" customHeight="1" x14ac:dyDescent="0.2">
      <c r="A188" s="65">
        <v>43912</v>
      </c>
      <c r="B188" s="1"/>
      <c r="C188" s="1"/>
      <c r="D188" s="60"/>
      <c r="E188" s="76"/>
      <c r="F188" s="60"/>
      <c r="G188" s="60"/>
      <c r="H188" s="60"/>
      <c r="I188" s="60"/>
      <c r="J188" s="60"/>
      <c r="K188" s="64"/>
      <c r="L188" s="64"/>
      <c r="M188" s="60"/>
      <c r="N188" s="60"/>
      <c r="O188" s="60"/>
      <c r="P188" s="60"/>
      <c r="Q188" s="60"/>
      <c r="R188" s="60"/>
      <c r="S188" s="60"/>
      <c r="T188" s="59"/>
      <c r="U188" s="60"/>
      <c r="V188" s="59"/>
      <c r="W188" s="60"/>
      <c r="X188" s="60"/>
      <c r="Y188" s="76"/>
      <c r="Z188" s="60"/>
      <c r="AA188" s="60"/>
      <c r="AB188" s="60"/>
      <c r="AC188" s="56"/>
      <c r="AD188" s="60"/>
      <c r="AE188" s="60"/>
      <c r="AF188" s="80"/>
      <c r="AG188" s="56"/>
      <c r="AH188" s="4"/>
      <c r="AI188" s="56"/>
      <c r="AJ188" s="109"/>
      <c r="AK188" s="56"/>
      <c r="AL188" s="56"/>
      <c r="AM188" s="56"/>
      <c r="AN188" s="56"/>
      <c r="AO188" s="56"/>
      <c r="AP188" s="56"/>
      <c r="AQ188" s="56"/>
      <c r="AR188" s="109"/>
      <c r="AS188" s="56"/>
      <c r="AT188" s="56"/>
      <c r="AU188" s="4"/>
      <c r="AV188" s="25">
        <f>2*60*60</f>
        <v>7200</v>
      </c>
      <c r="AW188" s="25">
        <f>3*60*60</f>
        <v>10800</v>
      </c>
      <c r="AX188" s="25">
        <f>4*60*60</f>
        <v>14400</v>
      </c>
      <c r="AY188" s="25">
        <f>6*60*60</f>
        <v>21600</v>
      </c>
      <c r="AZ188" s="25">
        <f>12*60*60</f>
        <v>43200</v>
      </c>
      <c r="BA188" s="25">
        <f>24*3600</f>
        <v>86400</v>
      </c>
      <c r="BB188" s="25">
        <f>24*3600*2</f>
        <v>172800</v>
      </c>
      <c r="BC188" s="53"/>
      <c r="BD188" s="53"/>
      <c r="BE188" s="53"/>
      <c r="BF188" s="53"/>
      <c r="BG188" s="53"/>
      <c r="BH188" s="53"/>
      <c r="BI188" s="53"/>
      <c r="BJ188" s="53"/>
      <c r="BK188" s="53"/>
      <c r="BL188" s="53"/>
      <c r="BM188" s="53"/>
      <c r="BN188" s="53"/>
      <c r="BO188" s="53"/>
      <c r="BP188" s="53"/>
      <c r="BQ188" s="53"/>
      <c r="BR188" s="53"/>
      <c r="BS188" s="53"/>
      <c r="BT188" s="53"/>
      <c r="BU188" s="53"/>
      <c r="BV188" s="53"/>
      <c r="BW188" s="53"/>
      <c r="BX188" s="53"/>
      <c r="BY188" s="53"/>
      <c r="BZ188" s="53"/>
      <c r="CA188" s="53"/>
      <c r="CB188" s="53"/>
      <c r="CC188" s="53"/>
      <c r="CD188" s="53"/>
      <c r="CE188" s="53"/>
      <c r="CF188" s="53"/>
      <c r="CG188" s="53"/>
      <c r="CH188" s="53"/>
      <c r="CI188" s="53"/>
      <c r="CJ188" s="53"/>
      <c r="CK188" s="53"/>
      <c r="CL188" s="53"/>
      <c r="CM188" s="53"/>
      <c r="CN188" s="53"/>
      <c r="CO188" s="53"/>
      <c r="CP188" s="53"/>
      <c r="CQ188" s="53"/>
      <c r="CR188" s="1"/>
      <c r="CS188" s="1"/>
      <c r="CT188" s="1"/>
      <c r="CU188" s="1"/>
    </row>
    <row r="189" spans="1:99" s="13" customFormat="1" ht="12" customHeight="1" x14ac:dyDescent="0.2">
      <c r="A189" s="65">
        <v>43912</v>
      </c>
      <c r="B189" s="1" t="s">
        <v>118</v>
      </c>
      <c r="C189" s="1" t="s">
        <v>119</v>
      </c>
      <c r="D189" s="60">
        <v>1922</v>
      </c>
      <c r="E189" s="76">
        <v>3</v>
      </c>
      <c r="F189" s="60">
        <v>20</v>
      </c>
      <c r="G189" s="60">
        <v>20</v>
      </c>
      <c r="H189" s="60" t="s">
        <v>726</v>
      </c>
      <c r="I189" s="74">
        <v>1.5</v>
      </c>
      <c r="J189" s="60" t="s">
        <v>281</v>
      </c>
      <c r="K189" s="60">
        <f>IF(J189="syllables",1,IF(J189="trigrams",2,IF(J189="strings",3,IF(J189="visual array",4,IF(J189="characters",5,IF(J189="letters",6,IF(J189="free forms",7,IF(J189="odors",8,IF(J189="words",9,IF(J189="pictures",10,IF(J189="object pictures",11,IF(J189="faces",12,IF(J189="names",13,IF(J189="idioms",14,IF(J189="grades",15,IF(J189="syllable-digit pairs",16,IF(J189="trigram-word pairs",17,IF(J189="word-digit pairs",18,IF(J189="English-Swahili pairs",19,IF(J189="spatial position",20,IF(J189="word pairs",21,IF(J189="word triads",22,IF(J189="generated words",23,IF(J189="word definition pairs",24,IF(J189="math problems",25,IF(J189="famous faces",26,IF(J189="famous names",27,IF(J189="famous voices",28,IF(J189="television programs",29,IF(J189="race horses",30,IF(J189="new vocabulary",31,IF(J189="sentences",32,IF(J189="concepts",33,IF(J189="ad slides",34,IF(J189="scenes",35,IF(J189="famous scenes",36,IF(J189="poems",37,IF(J189="walk",38,IF(J189="faces and events",39,IF(J189="events and names",40,IF(J189="flashbulb",41,IF(J189="stories",42,IF(J189="course material",43,IF(J189="autobiographical",44,IF(J189="novels",45,IF(J189="public events",46,"99"))))))))))))))))))))))))))))))))))))))))))))))</f>
        <v>1</v>
      </c>
      <c r="L189" s="60">
        <f>IF(J189="syllables",1,IF(J189="trigrams",1,IF(J189="strings",1,IF(J189="visual array",1,IF(J189="characters",1,IF(J189="letters",1,IF(J189="free forms",1,IF(J189="odors",2,IF(J189="words",2,IF(J189="pictures",2,IF(J189="object pictures",2,IF(J189="faces",2,IF(J189="names",2,IF(J189="idioms","2",IF(J189="grades",2,IF(J189="syllable-digit pairs",3,IF(J189="trigram-word pairs",3,IF(J189="word-digit pairs",3,IF(J189="English-Swahili pairs",3,IF(J189="spatial position",3,IF(J189="word pairs",4,IF(J189="word triads",4,IF(J189="generated words",4,IF(J189="word definition pairs",4,IF(J189="math problems",4,IF(J189="famous faces",4,IF(J189="famous names",4,IF(J189="famous voices",4,IF(J189="television programs",4,IF(J189="race horses",4,IF(J189="new vocabulary",4,IF(J189="sentences",5,IF(J189="concepts",5,IF(J189="ad slides",5,IF(J189="scenes",5,IF(J189="famous scenes",5,IF(J189="poems",6,IF(J189="walk",6,IF(J189="faces and events",6,IF(J189="events and names",6,IF(J189="flashbulb",7,IF(J189="stories",7,IF(J189="course material",7,IF(J189="autobiographical",7,IF(J189="novels",7,IF(J189="public events",7,"99"))))))))))))))))))))))))))))))))))))))))))))))</f>
        <v>1</v>
      </c>
      <c r="M189" s="60">
        <v>1</v>
      </c>
      <c r="N189" s="60">
        <v>2</v>
      </c>
      <c r="O189" s="60">
        <v>0</v>
      </c>
      <c r="P189" s="60"/>
      <c r="Q189" s="60" t="s">
        <v>174</v>
      </c>
      <c r="R189" s="60">
        <f>IF(Q189="Free Recall",1,IF(Q189="Cued Recall",2,IF(Q189="Recognition",3,IF(Q189="Multiple Choice",4,IF(Q189="Savings",5,IF(Q189="Stem Completion",6,IF(Q189="Fragment Completion",7,IF(Q189="anagram solution",8,IF(Q189="Matching",9,IF(Q189="Problem Solving",10,"99"))))))))))</f>
        <v>1</v>
      </c>
      <c r="S189" s="60" t="s">
        <v>49</v>
      </c>
      <c r="T189" s="59" t="s">
        <v>581</v>
      </c>
      <c r="U189" s="60">
        <f>IF(T189="within",1,0)</f>
        <v>1</v>
      </c>
      <c r="V189" s="59">
        <v>12</v>
      </c>
      <c r="W189" s="60">
        <f>F189*V189</f>
        <v>240</v>
      </c>
      <c r="X189" s="60">
        <v>7</v>
      </c>
      <c r="Y189" s="76">
        <f>AV188</f>
        <v>7200</v>
      </c>
      <c r="Z189" s="60" t="s">
        <v>88</v>
      </c>
      <c r="AA189" s="60">
        <v>172800</v>
      </c>
      <c r="AB189" s="60" t="str">
        <f>IF(AA189&lt;60,"1",IF(AA189&lt;=43200,"2",IF(AA189&lt;=777600,"3","4")))</f>
        <v>3</v>
      </c>
      <c r="AC189" s="56">
        <f>AVERAGE(AV188:DA188)</f>
        <v>50914.285714285717</v>
      </c>
      <c r="AD189" s="60" t="str">
        <f>IF(AC189&lt;60,"1",IF(AC189&lt;=43200,"2",IF(AC189&lt;=777600,"3","4")))</f>
        <v>3</v>
      </c>
      <c r="AE189" s="76">
        <f>AA189-Y189</f>
        <v>165600</v>
      </c>
      <c r="AF189" s="80">
        <f>AV189</f>
        <v>0.88</v>
      </c>
      <c r="AG189" s="56">
        <f>((AW189-AV189)+(AX189-AW189)+(AY189-AX189)+(AZ189-AY189)+(BA189-AZ189)+(BB189-BA189))/6</f>
        <v>-9.5000000000000015E-2</v>
      </c>
      <c r="AH189" s="4"/>
      <c r="AI189" s="56">
        <f>RSQ(AV189:BB189,AV188:BB188)</f>
        <v>0.802886651772033</v>
      </c>
      <c r="AJ189" s="109">
        <f>SLOPE(AV189:BB189,AV188:BB188)</f>
        <v>-3.380702644786556E-6</v>
      </c>
      <c r="AK189" s="56">
        <f>INTERCEPT(AV189:BB189,AV188:BB188)</f>
        <v>0.80641177465741831</v>
      </c>
      <c r="AL189" s="56">
        <f>INDEX(LINEST(LN(AV189:BB189),LN(AV188:BB188),TRUE,TRUE),3,1)</f>
        <v>0.9811008851217965</v>
      </c>
      <c r="AM189" s="56">
        <f>INDEX(LINEST(LN(AV189:BB189),LN(AV188:BB188)),1)</f>
        <v>-0.34933459289627244</v>
      </c>
      <c r="AN189" s="56">
        <f>EXP(INDEX(LINEST(LN(AV189:BB189),LN(AV188:BB188)),1,2))</f>
        <v>21.406174925321391</v>
      </c>
      <c r="AO189" s="82">
        <f>INDEX(LINEST((AV189:BB189),LN(AV188:BB188),TRUE,TRUE),3,1)</f>
        <v>0.98060212916466805</v>
      </c>
      <c r="AP189" s="82">
        <f>INDEX(LINEST((AV189:BB189),LN(AV188:BB188)),1)</f>
        <v>-0.19507888680568869</v>
      </c>
      <c r="AQ189" s="83">
        <f>INDEX(LINEST(LN(AV189:BB189),SQRT(AV188:BB188),TRUE,TRUE),3,1)</f>
        <v>0.97101564722347755</v>
      </c>
      <c r="AR189" s="116">
        <f>INDEX(LINEST(LN(AV189:BB189),SQRT((AV188:BB188))),1)</f>
        <v>-3.3383482398798518E-3</v>
      </c>
      <c r="AS189" s="84">
        <f>INDEX(LINEST(1/(AV189:BB189),1/(SQRT(AV188:BB188)),TRUE,TRUE),3,1)</f>
        <v>0.82239080860818736</v>
      </c>
      <c r="AT189" s="84">
        <f>INDEX(LINEST(1/(AV189:BB189),1/SQRT(AV188:BB188)),1)</f>
        <v>-212.6919082366596</v>
      </c>
      <c r="AU189" s="3"/>
      <c r="AV189" s="53">
        <v>0.88</v>
      </c>
      <c r="AW189" s="53">
        <v>0.84</v>
      </c>
      <c r="AX189" s="53">
        <v>0.82</v>
      </c>
      <c r="AY189" s="53">
        <v>0.66</v>
      </c>
      <c r="AZ189" s="53">
        <v>0.54</v>
      </c>
      <c r="BA189" s="53">
        <v>0.39</v>
      </c>
      <c r="BB189" s="53">
        <v>0.31</v>
      </c>
      <c r="BC189" s="53"/>
      <c r="BD189" s="53"/>
      <c r="BE189" s="53"/>
      <c r="BF189" s="53"/>
      <c r="BG189" s="53"/>
      <c r="BH189" s="53"/>
      <c r="BI189" s="53"/>
      <c r="BJ189" s="53"/>
      <c r="BK189" s="53"/>
      <c r="BL189" s="53"/>
      <c r="BM189" s="53"/>
      <c r="BN189" s="53"/>
      <c r="BO189" s="53"/>
      <c r="BP189" s="53"/>
      <c r="BQ189" s="53"/>
      <c r="BR189" s="53"/>
      <c r="BS189" s="53"/>
      <c r="BT189" s="53"/>
      <c r="BU189" s="53"/>
      <c r="BV189" s="53"/>
      <c r="BW189" s="53"/>
      <c r="BX189" s="53"/>
      <c r="BY189" s="53"/>
      <c r="BZ189" s="53"/>
      <c r="CA189" s="53"/>
      <c r="CB189" s="53"/>
      <c r="CC189" s="53"/>
      <c r="CD189" s="53"/>
      <c r="CE189" s="53"/>
      <c r="CF189" s="53"/>
      <c r="CG189" s="53"/>
      <c r="CH189" s="53"/>
      <c r="CI189" s="53"/>
      <c r="CJ189" s="53"/>
      <c r="CK189" s="53"/>
      <c r="CL189" s="53"/>
      <c r="CM189" s="53"/>
      <c r="CN189" s="53"/>
      <c r="CO189" s="53"/>
      <c r="CP189" s="53"/>
      <c r="CQ189" s="53"/>
      <c r="CR189" s="1"/>
      <c r="CS189" s="1"/>
      <c r="CT189" s="1"/>
      <c r="CU189" s="1"/>
    </row>
    <row r="190" spans="1:99" s="13" customFormat="1" ht="12" customHeight="1" x14ac:dyDescent="0.2">
      <c r="A190" s="65">
        <v>43912</v>
      </c>
      <c r="B190" s="1"/>
      <c r="C190" s="1"/>
      <c r="D190" s="60"/>
      <c r="E190" s="76"/>
      <c r="F190" s="60"/>
      <c r="G190" s="60"/>
      <c r="H190" s="60"/>
      <c r="I190" s="60"/>
      <c r="J190" s="60"/>
      <c r="K190" s="64"/>
      <c r="L190" s="64"/>
      <c r="M190" s="60"/>
      <c r="N190" s="60"/>
      <c r="O190" s="60"/>
      <c r="P190" s="60"/>
      <c r="Q190" s="60"/>
      <c r="R190" s="60"/>
      <c r="S190" s="60"/>
      <c r="T190" s="59"/>
      <c r="U190" s="60"/>
      <c r="V190" s="59"/>
      <c r="W190" s="60"/>
      <c r="X190" s="60"/>
      <c r="Y190" s="76"/>
      <c r="Z190" s="60"/>
      <c r="AA190" s="60"/>
      <c r="AB190" s="60"/>
      <c r="AC190" s="56"/>
      <c r="AD190" s="60"/>
      <c r="AE190" s="60"/>
      <c r="AF190" s="80"/>
      <c r="AG190" s="56"/>
      <c r="AH190" s="4"/>
      <c r="AI190" s="56"/>
      <c r="AJ190" s="109"/>
      <c r="AK190" s="56"/>
      <c r="AL190" s="56"/>
      <c r="AM190" s="56"/>
      <c r="AN190" s="56"/>
      <c r="AO190" s="56"/>
      <c r="AP190" s="56"/>
      <c r="AQ190" s="56"/>
      <c r="AR190" s="109"/>
      <c r="AS190" s="56"/>
      <c r="AT190" s="56"/>
      <c r="AU190" s="4"/>
      <c r="AV190" s="25">
        <f>20*60</f>
        <v>1200</v>
      </c>
      <c r="AW190" s="25">
        <f>60*60</f>
        <v>3600</v>
      </c>
      <c r="AX190" s="25">
        <f>4*60*60</f>
        <v>14400</v>
      </c>
      <c r="AY190" s="25">
        <f>24*3600</f>
        <v>86400</v>
      </c>
      <c r="AZ190" s="25">
        <f>24*3600*2</f>
        <v>172800</v>
      </c>
      <c r="BA190" s="53"/>
      <c r="BB190" s="53"/>
      <c r="BC190" s="53"/>
      <c r="BD190" s="53"/>
      <c r="BE190" s="53"/>
      <c r="BF190" s="53"/>
      <c r="BG190" s="53"/>
      <c r="BH190" s="53"/>
      <c r="BI190" s="53"/>
      <c r="BJ190" s="53"/>
      <c r="BK190" s="53"/>
      <c r="BL190" s="53"/>
      <c r="BM190" s="53"/>
      <c r="BN190" s="53"/>
      <c r="BO190" s="53"/>
      <c r="BP190" s="53"/>
      <c r="BQ190" s="53"/>
      <c r="BR190" s="53"/>
      <c r="BS190" s="53"/>
      <c r="BT190" s="53"/>
      <c r="BU190" s="53"/>
      <c r="BV190" s="53"/>
      <c r="BW190" s="53"/>
      <c r="BX190" s="53"/>
      <c r="BY190" s="53"/>
      <c r="BZ190" s="53"/>
      <c r="CA190" s="53"/>
      <c r="CB190" s="53"/>
      <c r="CC190" s="53"/>
      <c r="CD190" s="53"/>
      <c r="CE190" s="53"/>
      <c r="CF190" s="53"/>
      <c r="CG190" s="53"/>
      <c r="CH190" s="53"/>
      <c r="CI190" s="53"/>
      <c r="CJ190" s="53"/>
      <c r="CK190" s="53"/>
      <c r="CL190" s="53"/>
      <c r="CM190" s="53"/>
      <c r="CN190" s="53"/>
      <c r="CO190" s="53"/>
      <c r="CP190" s="53"/>
      <c r="CQ190" s="53"/>
      <c r="CR190" s="1"/>
      <c r="CS190" s="1"/>
      <c r="CT190" s="1"/>
      <c r="CU190" s="1"/>
    </row>
    <row r="191" spans="1:99" s="13" customFormat="1" ht="12" customHeight="1" x14ac:dyDescent="0.2">
      <c r="A191" s="65">
        <v>43912</v>
      </c>
      <c r="B191" s="1" t="s">
        <v>118</v>
      </c>
      <c r="C191" s="1" t="s">
        <v>119</v>
      </c>
      <c r="D191" s="60">
        <v>1922</v>
      </c>
      <c r="E191" s="76">
        <v>3</v>
      </c>
      <c r="F191" s="60">
        <v>20</v>
      </c>
      <c r="G191" s="60">
        <v>20</v>
      </c>
      <c r="H191" s="60" t="s">
        <v>726</v>
      </c>
      <c r="I191" s="74">
        <v>1</v>
      </c>
      <c r="J191" s="60" t="s">
        <v>281</v>
      </c>
      <c r="K191" s="60">
        <f>IF(J191="syllables",1,IF(J191="trigrams",2,IF(J191="strings",3,IF(J191="visual array",4,IF(J191="characters",5,IF(J191="letters",6,IF(J191="free forms",7,IF(J191="odors",8,IF(J191="words",9,IF(J191="pictures",10,IF(J191="object pictures",11,IF(J191="faces",12,IF(J191="names",13,IF(J191="idioms",14,IF(J191="grades",15,IF(J191="syllable-digit pairs",16,IF(J191="trigram-word pairs",17,IF(J191="word-digit pairs",18,IF(J191="English-Swahili pairs",19,IF(J191="spatial position",20,IF(J191="word pairs",21,IF(J191="word triads",22,IF(J191="generated words",23,IF(J191="word definition pairs",24,IF(J191="math problems",25,IF(J191="famous faces",26,IF(J191="famous names",27,IF(J191="famous voices",28,IF(J191="television programs",29,IF(J191="race horses",30,IF(J191="new vocabulary",31,IF(J191="sentences",32,IF(J191="concepts",33,IF(J191="ad slides",34,IF(J191="scenes",35,IF(J191="famous scenes",36,IF(J191="poems",37,IF(J191="walk",38,IF(J191="faces and events",39,IF(J191="events and names",40,IF(J191="flashbulb",41,IF(J191="stories",42,IF(J191="course material",43,IF(J191="autobiographical",44,IF(J191="novels",45,IF(J191="public events",46,"99"))))))))))))))))))))))))))))))))))))))))))))))</f>
        <v>1</v>
      </c>
      <c r="L191" s="60">
        <f>IF(J191="syllables",1,IF(J191="trigrams",1,IF(J191="strings",1,IF(J191="visual array",1,IF(J191="characters",1,IF(J191="letters",1,IF(J191="free forms",1,IF(J191="odors",2,IF(J191="words",2,IF(J191="pictures",2,IF(J191="object pictures",2,IF(J191="faces",2,IF(J191="names",2,IF(J191="idioms","2",IF(J191="grades",2,IF(J191="syllable-digit pairs",3,IF(J191="trigram-word pairs",3,IF(J191="word-digit pairs",3,IF(J191="English-Swahili pairs",3,IF(J191="spatial position",3,IF(J191="word pairs",4,IF(J191="word triads",4,IF(J191="generated words",4,IF(J191="word definition pairs",4,IF(J191="math problems",4,IF(J191="famous faces",4,IF(J191="famous names",4,IF(J191="famous voices",4,IF(J191="television programs",4,IF(J191="race horses",4,IF(J191="new vocabulary",4,IF(J191="sentences",5,IF(J191="concepts",5,IF(J191="ad slides",5,IF(J191="scenes",5,IF(J191="famous scenes",5,IF(J191="poems",6,IF(J191="walk",6,IF(J191="faces and events",6,IF(J191="events and names",6,IF(J191="flashbulb",7,IF(J191="stories",7,IF(J191="course material",7,IF(J191="autobiographical",7,IF(J191="novels",7,IF(J191="public events",7,"99"))))))))))))))))))))))))))))))))))))))))))))))</f>
        <v>1</v>
      </c>
      <c r="M191" s="60">
        <v>1</v>
      </c>
      <c r="N191" s="60">
        <v>2</v>
      </c>
      <c r="O191" s="60">
        <v>0</v>
      </c>
      <c r="P191" s="60"/>
      <c r="Q191" s="60" t="s">
        <v>174</v>
      </c>
      <c r="R191" s="60">
        <f>IF(Q191="Free Recall",1,IF(Q191="Cued Recall",2,IF(Q191="Recognition",3,IF(Q191="Multiple Choice",4,IF(Q191="Savings",5,IF(Q191="Stem Completion",6,IF(Q191="Fragment Completion",7,IF(Q191="anagram solution",8,IF(Q191="Matching",9,IF(Q191="Problem Solving",10,"99"))))))))))</f>
        <v>1</v>
      </c>
      <c r="S191" s="60" t="s">
        <v>49</v>
      </c>
      <c r="T191" s="59" t="s">
        <v>581</v>
      </c>
      <c r="U191" s="60">
        <f>IF(T191="within",1,0)</f>
        <v>1</v>
      </c>
      <c r="V191" s="59">
        <v>12</v>
      </c>
      <c r="W191" s="60">
        <f>F191*V191</f>
        <v>240</v>
      </c>
      <c r="X191" s="60">
        <v>5</v>
      </c>
      <c r="Y191" s="76">
        <f>AV190</f>
        <v>1200</v>
      </c>
      <c r="Z191" s="60" t="s">
        <v>88</v>
      </c>
      <c r="AA191" s="60">
        <v>172800</v>
      </c>
      <c r="AB191" s="60" t="str">
        <f>IF(AA191&lt;60,"1",IF(AA191&lt;=43200,"2",IF(AA191&lt;=777600,"3","4")))</f>
        <v>3</v>
      </c>
      <c r="AC191" s="56">
        <f>AVERAGE(AV190:DA190)</f>
        <v>55680</v>
      </c>
      <c r="AD191" s="60" t="str">
        <f>IF(AC191&lt;60,"1",IF(AC191&lt;=43200,"2",IF(AC191&lt;=777600,"3","4")))</f>
        <v>3</v>
      </c>
      <c r="AE191" s="76">
        <f>AA191-Y191</f>
        <v>171600</v>
      </c>
      <c r="AF191" s="80">
        <f>AV191</f>
        <v>0.91</v>
      </c>
      <c r="AG191" s="56">
        <f>((AW191-AV191)+(AX191-AW191)+(AY191-AX191)+(AZ191-AY191))/4</f>
        <v>-0.1275</v>
      </c>
      <c r="AH191" s="4"/>
      <c r="AI191" s="56">
        <f>RSQ(AV191:AZ191,AV190:AZ190)</f>
        <v>0.78284547090079204</v>
      </c>
      <c r="AJ191" s="109">
        <f>SLOPE(AV191:AZ191,AV190:AZ190)</f>
        <v>-2.7315818810475614E-6</v>
      </c>
      <c r="AK191" s="56">
        <f>INTERCEPT(AV191:AZ191,AV190:AZ190)</f>
        <v>0.80809447913672816</v>
      </c>
      <c r="AL191" s="56">
        <f>INDEX(LINEST(LN(AV191:AZ191),LN(AV190:AZ190),TRUE,TRUE),3,1)</f>
        <v>0.98044590805907939</v>
      </c>
      <c r="AM191" s="56">
        <f>INDEX(LINEST(LN(AV191:AZ191),LN(AV190:AZ190)),1)</f>
        <v>-0.1738064470786348</v>
      </c>
      <c r="AN191" s="56">
        <f>EXP(INDEX(LINEST(LN(AV191:AZ191),LN(AV190:AZ190)),1,2))</f>
        <v>3.3352283543723154</v>
      </c>
      <c r="AO191" s="82">
        <f>INDEX(LINEST((AV191:AZ191),LN(AV190:AZ190),TRUE,TRUE),3,1)</f>
        <v>0.98596835286188</v>
      </c>
      <c r="AP191" s="82">
        <f>INDEX(LINEST((AV191:AZ191),LN(AV190:AZ190)),1)</f>
        <v>-0.10896366623413538</v>
      </c>
      <c r="AQ191" s="83">
        <f>INDEX(LINEST(LN(AV191:AZ191),SQRT(AV190:AZ190),TRUE,TRUE),3,1)</f>
        <v>0.95747948703363228</v>
      </c>
      <c r="AR191" s="116">
        <f>INDEX(LINEST(LN(AV191:AZ191),SQRT((AV190:AZ190))),1)</f>
        <v>-2.1878052349803873E-3</v>
      </c>
      <c r="AS191" s="84">
        <f>INDEX(LINEST(1/(AV191:AZ191),1/(SQRT(AV190:AZ190)),TRUE,TRUE),3,1)</f>
        <v>0.75743419944087531</v>
      </c>
      <c r="AT191" s="84">
        <f>INDEX(LINEST(1/(AV191:AZ191),1/SQRT(AV190:AZ190)),1)</f>
        <v>-49.013857984794541</v>
      </c>
      <c r="AU191" s="3"/>
      <c r="AV191" s="53">
        <v>0.91</v>
      </c>
      <c r="AW191" s="53">
        <v>0.86</v>
      </c>
      <c r="AX191" s="53">
        <v>0.65</v>
      </c>
      <c r="AY191" s="53">
        <v>0.46</v>
      </c>
      <c r="AZ191" s="53">
        <v>0.4</v>
      </c>
      <c r="BA191" s="53"/>
      <c r="BB191" s="53"/>
      <c r="BC191" s="53"/>
      <c r="BD191" s="53"/>
      <c r="BE191" s="53"/>
      <c r="BF191" s="53"/>
      <c r="BG191" s="53"/>
      <c r="BH191" s="53"/>
      <c r="BI191" s="53"/>
      <c r="BJ191" s="53"/>
      <c r="BK191" s="53"/>
      <c r="BL191" s="53"/>
      <c r="BM191" s="53"/>
      <c r="BN191" s="53"/>
      <c r="BO191" s="53"/>
      <c r="BP191" s="53"/>
      <c r="BQ191" s="53"/>
      <c r="BR191" s="53"/>
      <c r="BS191" s="53"/>
      <c r="BT191" s="53"/>
      <c r="BU191" s="53"/>
      <c r="BV191" s="53"/>
      <c r="BW191" s="53"/>
      <c r="BX191" s="53"/>
      <c r="BY191" s="53"/>
      <c r="BZ191" s="53"/>
      <c r="CA191" s="53"/>
      <c r="CB191" s="53"/>
      <c r="CC191" s="53"/>
      <c r="CD191" s="53"/>
      <c r="CE191" s="53"/>
      <c r="CF191" s="53"/>
      <c r="CG191" s="53"/>
      <c r="CH191" s="53"/>
      <c r="CI191" s="53"/>
      <c r="CJ191" s="53"/>
      <c r="CK191" s="53"/>
      <c r="CL191" s="53"/>
      <c r="CM191" s="53"/>
      <c r="CN191" s="53"/>
      <c r="CO191" s="53"/>
      <c r="CP191" s="53"/>
      <c r="CQ191" s="53"/>
      <c r="CR191" s="1"/>
      <c r="CS191" s="1"/>
      <c r="CT191" s="1"/>
      <c r="CU191" s="1"/>
    </row>
    <row r="192" spans="1:99" s="13" customFormat="1" ht="12" customHeight="1" x14ac:dyDescent="0.2">
      <c r="A192" s="65">
        <v>43912</v>
      </c>
      <c r="B192" s="1"/>
      <c r="C192" s="1"/>
      <c r="D192" s="60"/>
      <c r="E192" s="76"/>
      <c r="F192" s="60"/>
      <c r="G192" s="60"/>
      <c r="H192" s="60"/>
      <c r="I192" s="60"/>
      <c r="J192" s="60"/>
      <c r="K192" s="64"/>
      <c r="L192" s="64"/>
      <c r="M192" s="60"/>
      <c r="N192" s="60"/>
      <c r="O192" s="60"/>
      <c r="P192" s="60"/>
      <c r="Q192" s="60"/>
      <c r="R192" s="60"/>
      <c r="S192" s="60"/>
      <c r="T192" s="59"/>
      <c r="U192" s="60"/>
      <c r="V192" s="59"/>
      <c r="W192" s="60"/>
      <c r="X192" s="60"/>
      <c r="Y192" s="76"/>
      <c r="Z192" s="60"/>
      <c r="AA192" s="60"/>
      <c r="AB192" s="60"/>
      <c r="AC192" s="56"/>
      <c r="AD192" s="60"/>
      <c r="AE192" s="60"/>
      <c r="AF192" s="80"/>
      <c r="AG192" s="56"/>
      <c r="AH192" s="4"/>
      <c r="AI192" s="56"/>
      <c r="AJ192" s="109"/>
      <c r="AK192" s="56"/>
      <c r="AL192" s="56"/>
      <c r="AM192" s="56"/>
      <c r="AN192" s="56"/>
      <c r="AO192" s="56"/>
      <c r="AP192" s="56"/>
      <c r="AQ192" s="56"/>
      <c r="AR192" s="109"/>
      <c r="AS192" s="56"/>
      <c r="AT192" s="56"/>
      <c r="AU192" s="4"/>
      <c r="AV192" s="25">
        <f>20*60</f>
        <v>1200</v>
      </c>
      <c r="AW192" s="25">
        <f>60*60</f>
        <v>3600</v>
      </c>
      <c r="AX192" s="25">
        <f>4*60*60</f>
        <v>14400</v>
      </c>
      <c r="AY192" s="25">
        <f>24*3600</f>
        <v>86400</v>
      </c>
      <c r="AZ192" s="25">
        <f>24*3600*2</f>
        <v>172800</v>
      </c>
      <c r="BA192" s="53"/>
      <c r="BB192" s="53"/>
      <c r="BC192" s="53"/>
      <c r="BD192" s="53"/>
      <c r="BE192" s="53"/>
      <c r="BF192" s="53"/>
      <c r="BG192" s="53"/>
      <c r="BH192" s="53"/>
      <c r="BI192" s="53"/>
      <c r="BJ192" s="53"/>
      <c r="BK192" s="53"/>
      <c r="BL192" s="53"/>
      <c r="BM192" s="53"/>
      <c r="BN192" s="53"/>
      <c r="BO192" s="53"/>
      <c r="BP192" s="53"/>
      <c r="BQ192" s="53"/>
      <c r="BR192" s="53"/>
      <c r="BS192" s="53"/>
      <c r="BT192" s="53"/>
      <c r="BU192" s="53"/>
      <c r="BV192" s="53"/>
      <c r="BW192" s="53"/>
      <c r="BX192" s="53"/>
      <c r="BY192" s="53"/>
      <c r="BZ192" s="53"/>
      <c r="CA192" s="53"/>
      <c r="CB192" s="53"/>
      <c r="CC192" s="53"/>
      <c r="CD192" s="53"/>
      <c r="CE192" s="53"/>
      <c r="CF192" s="53"/>
      <c r="CG192" s="53"/>
      <c r="CH192" s="53"/>
      <c r="CI192" s="53"/>
      <c r="CJ192" s="53"/>
      <c r="CK192" s="53"/>
      <c r="CL192" s="53"/>
      <c r="CM192" s="53"/>
      <c r="CN192" s="53"/>
      <c r="CO192" s="53"/>
      <c r="CP192" s="53"/>
      <c r="CQ192" s="53"/>
      <c r="CR192" s="1"/>
      <c r="CS192" s="1"/>
      <c r="CT192" s="1"/>
      <c r="CU192" s="1"/>
    </row>
    <row r="193" spans="1:99" s="13" customFormat="1" ht="12" customHeight="1" x14ac:dyDescent="0.2">
      <c r="A193" s="65">
        <v>43912</v>
      </c>
      <c r="B193" s="1" t="s">
        <v>118</v>
      </c>
      <c r="C193" s="1" t="s">
        <v>119</v>
      </c>
      <c r="D193" s="60">
        <v>1922</v>
      </c>
      <c r="E193" s="76">
        <v>3</v>
      </c>
      <c r="F193" s="60">
        <v>20</v>
      </c>
      <c r="G193" s="60">
        <v>20</v>
      </c>
      <c r="H193" s="60" t="s">
        <v>726</v>
      </c>
      <c r="I193" s="74">
        <v>0.67</v>
      </c>
      <c r="J193" s="60" t="s">
        <v>281</v>
      </c>
      <c r="K193" s="60">
        <f>IF(J193="syllables",1,IF(J193="trigrams",2,IF(J193="strings",3,IF(J193="visual array",4,IF(J193="characters",5,IF(J193="letters",6,IF(J193="free forms",7,IF(J193="odors",8,IF(J193="words",9,IF(J193="pictures",10,IF(J193="object pictures",11,IF(J193="faces",12,IF(J193="names",13,IF(J193="idioms",14,IF(J193="grades",15,IF(J193="syllable-digit pairs",16,IF(J193="trigram-word pairs",17,IF(J193="word-digit pairs",18,IF(J193="English-Swahili pairs",19,IF(J193="spatial position",20,IF(J193="word pairs",21,IF(J193="word triads",22,IF(J193="generated words",23,IF(J193="word definition pairs",24,IF(J193="math problems",25,IF(J193="famous faces",26,IF(J193="famous names",27,IF(J193="famous voices",28,IF(J193="television programs",29,IF(J193="race horses",30,IF(J193="new vocabulary",31,IF(J193="sentences",32,IF(J193="concepts",33,IF(J193="ad slides",34,IF(J193="scenes",35,IF(J193="famous scenes",36,IF(J193="poems",37,IF(J193="walk",38,IF(J193="faces and events",39,IF(J193="events and names",40,IF(J193="flashbulb",41,IF(J193="stories",42,IF(J193="course material",43,IF(J193="autobiographical",44,IF(J193="novels",45,IF(J193="public events",46,"99"))))))))))))))))))))))))))))))))))))))))))))))</f>
        <v>1</v>
      </c>
      <c r="L193" s="60">
        <f>IF(J193="syllables",1,IF(J193="trigrams",1,IF(J193="strings",1,IF(J193="visual array",1,IF(J193="characters",1,IF(J193="letters",1,IF(J193="free forms",1,IF(J193="odors",2,IF(J193="words",2,IF(J193="pictures",2,IF(J193="object pictures",2,IF(J193="faces",2,IF(J193="names",2,IF(J193="idioms","2",IF(J193="grades",2,IF(J193="syllable-digit pairs",3,IF(J193="trigram-word pairs",3,IF(J193="word-digit pairs",3,IF(J193="English-Swahili pairs",3,IF(J193="spatial position",3,IF(J193="word pairs",4,IF(J193="word triads",4,IF(J193="generated words",4,IF(J193="word definition pairs",4,IF(J193="math problems",4,IF(J193="famous faces",4,IF(J193="famous names",4,IF(J193="famous voices",4,IF(J193="television programs",4,IF(J193="race horses",4,IF(J193="new vocabulary",4,IF(J193="sentences",5,IF(J193="concepts",5,IF(J193="ad slides",5,IF(J193="scenes",5,IF(J193="famous scenes",5,IF(J193="poems",6,IF(J193="walk",6,IF(J193="faces and events",6,IF(J193="events and names",6,IF(J193="flashbulb",7,IF(J193="stories",7,IF(J193="course material",7,IF(J193="autobiographical",7,IF(J193="novels",7,IF(J193="public events",7,"99"))))))))))))))))))))))))))))))))))))))))))))))</f>
        <v>1</v>
      </c>
      <c r="M193" s="60">
        <v>1</v>
      </c>
      <c r="N193" s="60">
        <v>2</v>
      </c>
      <c r="O193" s="60">
        <v>0</v>
      </c>
      <c r="P193" s="60"/>
      <c r="Q193" s="60" t="s">
        <v>174</v>
      </c>
      <c r="R193" s="60">
        <f>IF(Q193="Free Recall",1,IF(Q193="Cued Recall",2,IF(Q193="Recognition",3,IF(Q193="Multiple Choice",4,IF(Q193="Savings",5,IF(Q193="Stem Completion",6,IF(Q193="Fragment Completion",7,IF(Q193="anagram solution",8,IF(Q193="Matching",9,IF(Q193="Problem Solving",10,"99"))))))))))</f>
        <v>1</v>
      </c>
      <c r="S193" s="60" t="s">
        <v>49</v>
      </c>
      <c r="T193" s="59" t="s">
        <v>581</v>
      </c>
      <c r="U193" s="60">
        <f>IF(T193="within",1,0)</f>
        <v>1</v>
      </c>
      <c r="V193" s="59">
        <v>12</v>
      </c>
      <c r="W193" s="60">
        <f>F193*V193</f>
        <v>240</v>
      </c>
      <c r="X193" s="60">
        <v>5</v>
      </c>
      <c r="Y193" s="76">
        <f>AV192</f>
        <v>1200</v>
      </c>
      <c r="Z193" s="60" t="s">
        <v>88</v>
      </c>
      <c r="AA193" s="60">
        <v>172800</v>
      </c>
      <c r="AB193" s="60" t="str">
        <f>IF(AA193&lt;60,"1",IF(AA193&lt;=43200,"2",IF(AA193&lt;=777600,"3","4")))</f>
        <v>3</v>
      </c>
      <c r="AC193" s="56">
        <f>AVERAGE(AV192:DA192)</f>
        <v>55680</v>
      </c>
      <c r="AD193" s="60" t="str">
        <f>IF(AC193&lt;60,"1",IF(AC193&lt;=43200,"2",IF(AC193&lt;=777600,"3","4")))</f>
        <v>3</v>
      </c>
      <c r="AE193" s="76">
        <f>AA193-Y193</f>
        <v>171600</v>
      </c>
      <c r="AF193" s="80">
        <f>AV193</f>
        <v>0.85</v>
      </c>
      <c r="AG193" s="56">
        <f>((AW193-AV193)+(AX193-AW193)+(AY193-AX193)+(AZ193-AY193))/4</f>
        <v>-0.15</v>
      </c>
      <c r="AH193" s="4"/>
      <c r="AI193" s="56">
        <f>RSQ(AV193:AZ193,AV192:AZ192)</f>
        <v>0.9243507604529646</v>
      </c>
      <c r="AJ193" s="109">
        <f>SLOPE(AV193:AZ193,AV192:AZ192)</f>
        <v>-3.1475626856182339E-6</v>
      </c>
      <c r="AK193" s="56">
        <f>INTERCEPT(AV193:AZ193,AV192:AZ192)</f>
        <v>0.75725629033522335</v>
      </c>
      <c r="AL193" s="56">
        <f>INDEX(LINEST(LN(AV193:AZ193),LN(AV192:AZ192),TRUE,TRUE),3,1)</f>
        <v>0.88017056564130391</v>
      </c>
      <c r="AM193" s="56">
        <f>INDEX(LINEST(LN(AV193:AZ193),LN(AV192:AZ192)),1)</f>
        <v>-0.2237324867338856</v>
      </c>
      <c r="AN193" s="56">
        <f>EXP(INDEX(LINEST(LN(AV193:AZ193),LN(AV192:AZ192)),1,2))</f>
        <v>4.6231209143639473</v>
      </c>
      <c r="AO193" s="82">
        <f>INDEX(LINEST((AV193:AZ193),LN(AV192:AZ192),TRUE,TRUE),3,1)</f>
        <v>0.95704202841061514</v>
      </c>
      <c r="AP193" s="82">
        <f>INDEX(LINEST((AV193:AZ193),LN(AV192:AZ192)),1)</f>
        <v>-0.11384016320293178</v>
      </c>
      <c r="AQ193" s="83">
        <f>INDEX(LINEST(LN(AV193:AZ193),SQRT(AV192:AZ192),TRUE,TRUE),3,1)</f>
        <v>0.98357612845660591</v>
      </c>
      <c r="AR193" s="116">
        <f>INDEX(LINEST(LN(AV193:AZ193),SQRT((AV192:AZ192))),1)</f>
        <v>-3.0125861447676582E-3</v>
      </c>
      <c r="AS193" s="84">
        <f>INDEX(LINEST(1/(AV193:AZ193),1/(SQRT(AV192:AZ192)),TRUE,TRUE),3,1)</f>
        <v>0.53425313999422097</v>
      </c>
      <c r="AT193" s="84">
        <f>INDEX(LINEST(1/(AV193:AZ193),1/SQRT(AV192:AZ192)),1)</f>
        <v>-77.187345184790345</v>
      </c>
      <c r="AU193" s="3"/>
      <c r="AV193" s="53">
        <v>0.85</v>
      </c>
      <c r="AW193" s="53">
        <v>0.73</v>
      </c>
      <c r="AX193" s="53">
        <v>0.66</v>
      </c>
      <c r="AY193" s="53">
        <v>0.42</v>
      </c>
      <c r="AZ193" s="53">
        <v>0.25</v>
      </c>
      <c r="BA193" s="53"/>
      <c r="BB193" s="53"/>
      <c r="BC193" s="53"/>
      <c r="BD193" s="53"/>
      <c r="BE193" s="53"/>
      <c r="BF193" s="53"/>
      <c r="BG193" s="53"/>
      <c r="BH193" s="53"/>
      <c r="BI193" s="53"/>
      <c r="BJ193" s="53"/>
      <c r="BK193" s="53"/>
      <c r="BL193" s="53"/>
      <c r="BM193" s="53"/>
      <c r="BN193" s="53"/>
      <c r="BO193" s="53"/>
      <c r="BP193" s="53"/>
      <c r="BQ193" s="53"/>
      <c r="BR193" s="53"/>
      <c r="BS193" s="53"/>
      <c r="BT193" s="53"/>
      <c r="BU193" s="53"/>
      <c r="BV193" s="53"/>
      <c r="BW193" s="53"/>
      <c r="BX193" s="53"/>
      <c r="BY193" s="53"/>
      <c r="BZ193" s="53"/>
      <c r="CA193" s="53"/>
      <c r="CB193" s="53"/>
      <c r="CC193" s="53"/>
      <c r="CD193" s="53"/>
      <c r="CE193" s="53"/>
      <c r="CF193" s="53"/>
      <c r="CG193" s="53"/>
      <c r="CH193" s="53"/>
      <c r="CI193" s="53"/>
      <c r="CJ193" s="53"/>
      <c r="CK193" s="53"/>
      <c r="CL193" s="53"/>
      <c r="CM193" s="53"/>
      <c r="CN193" s="53"/>
      <c r="CO193" s="53"/>
      <c r="CP193" s="53"/>
      <c r="CQ193" s="53"/>
      <c r="CR193" s="1"/>
      <c r="CS193" s="1"/>
      <c r="CT193" s="1"/>
      <c r="CU193" s="1"/>
    </row>
    <row r="194" spans="1:99" s="13" customFormat="1" ht="12" customHeight="1" x14ac:dyDescent="0.2">
      <c r="A194" s="65">
        <v>43912</v>
      </c>
      <c r="B194" s="1"/>
      <c r="C194" s="1"/>
      <c r="D194" s="60"/>
      <c r="E194" s="76"/>
      <c r="F194" s="60"/>
      <c r="G194" s="60"/>
      <c r="H194" s="60"/>
      <c r="I194" s="60"/>
      <c r="J194" s="60"/>
      <c r="K194" s="64"/>
      <c r="L194" s="64"/>
      <c r="M194" s="60"/>
      <c r="N194" s="60"/>
      <c r="O194" s="60"/>
      <c r="P194" s="60"/>
      <c r="Q194" s="60"/>
      <c r="R194" s="60"/>
      <c r="S194" s="60"/>
      <c r="T194" s="59"/>
      <c r="U194" s="60"/>
      <c r="V194" s="59"/>
      <c r="W194" s="60"/>
      <c r="X194" s="60"/>
      <c r="Y194" s="76"/>
      <c r="Z194" s="60"/>
      <c r="AA194" s="60"/>
      <c r="AB194" s="60"/>
      <c r="AC194" s="56"/>
      <c r="AD194" s="60"/>
      <c r="AE194" s="60"/>
      <c r="AF194" s="80"/>
      <c r="AG194" s="56"/>
      <c r="AH194" s="4"/>
      <c r="AI194" s="56"/>
      <c r="AJ194" s="109"/>
      <c r="AK194" s="56"/>
      <c r="AL194" s="56"/>
      <c r="AM194" s="56"/>
      <c r="AN194" s="56"/>
      <c r="AO194" s="56"/>
      <c r="AP194" s="56"/>
      <c r="AQ194" s="56"/>
      <c r="AR194" s="109"/>
      <c r="AS194" s="56"/>
      <c r="AT194" s="56"/>
      <c r="AU194" s="4"/>
      <c r="AV194" s="25">
        <f>20*60</f>
        <v>1200</v>
      </c>
      <c r="AW194" s="25">
        <f>60*60</f>
        <v>3600</v>
      </c>
      <c r="AX194" s="25">
        <f>4*60*60</f>
        <v>14400</v>
      </c>
      <c r="AY194" s="25">
        <f>24*3600</f>
        <v>86400</v>
      </c>
      <c r="AZ194" s="25">
        <f>24*3600*2</f>
        <v>172800</v>
      </c>
      <c r="BA194" s="53"/>
      <c r="BB194" s="53"/>
      <c r="BC194" s="53"/>
      <c r="BD194" s="53"/>
      <c r="BE194" s="53"/>
      <c r="BF194" s="53"/>
      <c r="BG194" s="53"/>
      <c r="BH194" s="53"/>
      <c r="BI194" s="53"/>
      <c r="BJ194" s="53"/>
      <c r="BK194" s="53"/>
      <c r="BL194" s="53"/>
      <c r="BM194" s="53"/>
      <c r="BN194" s="53"/>
      <c r="BO194" s="53"/>
      <c r="BP194" s="53"/>
      <c r="BQ194" s="53"/>
      <c r="BR194" s="53"/>
      <c r="BS194" s="53"/>
      <c r="BT194" s="53"/>
      <c r="BU194" s="53"/>
      <c r="BV194" s="53"/>
      <c r="BW194" s="53"/>
      <c r="BX194" s="53"/>
      <c r="BY194" s="53"/>
      <c r="BZ194" s="53"/>
      <c r="CA194" s="53"/>
      <c r="CB194" s="53"/>
      <c r="CC194" s="53"/>
      <c r="CD194" s="53"/>
      <c r="CE194" s="53"/>
      <c r="CF194" s="53"/>
      <c r="CG194" s="53"/>
      <c r="CH194" s="53"/>
      <c r="CI194" s="53"/>
      <c r="CJ194" s="53"/>
      <c r="CK194" s="53"/>
      <c r="CL194" s="53"/>
      <c r="CM194" s="53"/>
      <c r="CN194" s="53"/>
      <c r="CO194" s="53"/>
      <c r="CP194" s="53"/>
      <c r="CQ194" s="53"/>
      <c r="CR194" s="1"/>
      <c r="CS194" s="1"/>
      <c r="CT194" s="1"/>
      <c r="CU194" s="1"/>
    </row>
    <row r="195" spans="1:99" s="13" customFormat="1" ht="12" customHeight="1" x14ac:dyDescent="0.2">
      <c r="A195" s="65">
        <v>43912</v>
      </c>
      <c r="B195" s="1" t="s">
        <v>118</v>
      </c>
      <c r="C195" s="1" t="s">
        <v>119</v>
      </c>
      <c r="D195" s="60">
        <v>1922</v>
      </c>
      <c r="E195" s="76">
        <v>3</v>
      </c>
      <c r="F195" s="60">
        <v>20</v>
      </c>
      <c r="G195" s="60">
        <v>20</v>
      </c>
      <c r="H195" s="60" t="s">
        <v>726</v>
      </c>
      <c r="I195" s="74">
        <v>0.33</v>
      </c>
      <c r="J195" s="60" t="s">
        <v>281</v>
      </c>
      <c r="K195" s="60">
        <f>IF(J195="syllables",1,IF(J195="trigrams",2,IF(J195="strings",3,IF(J195="visual array",4,IF(J195="characters",5,IF(J195="letters",6,IF(J195="free forms",7,IF(J195="odors",8,IF(J195="words",9,IF(J195="pictures",10,IF(J195="object pictures",11,IF(J195="faces",12,IF(J195="names",13,IF(J195="idioms",14,IF(J195="grades",15,IF(J195="syllable-digit pairs",16,IF(J195="trigram-word pairs",17,IF(J195="word-digit pairs",18,IF(J195="English-Swahili pairs",19,IF(J195="spatial position",20,IF(J195="word pairs",21,IF(J195="word triads",22,IF(J195="generated words",23,IF(J195="word definition pairs",24,IF(J195="math problems",25,IF(J195="famous faces",26,IF(J195="famous names",27,IF(J195="famous voices",28,IF(J195="television programs",29,IF(J195="race horses",30,IF(J195="new vocabulary",31,IF(J195="sentences",32,IF(J195="concepts",33,IF(J195="ad slides",34,IF(J195="scenes",35,IF(J195="famous scenes",36,IF(J195="poems",37,IF(J195="walk",38,IF(J195="faces and events",39,IF(J195="events and names",40,IF(J195="flashbulb",41,IF(J195="stories",42,IF(J195="course material",43,IF(J195="autobiographical",44,IF(J195="novels",45,IF(J195="public events",46,"99"))))))))))))))))))))))))))))))))))))))))))))))</f>
        <v>1</v>
      </c>
      <c r="L195" s="60">
        <f>IF(J195="syllables",1,IF(J195="trigrams",1,IF(J195="strings",1,IF(J195="visual array",1,IF(J195="characters",1,IF(J195="letters",1,IF(J195="free forms",1,IF(J195="odors",2,IF(J195="words",2,IF(J195="pictures",2,IF(J195="object pictures",2,IF(J195="faces",2,IF(J195="names",2,IF(J195="idioms","2",IF(J195="grades",2,IF(J195="syllable-digit pairs",3,IF(J195="trigram-word pairs",3,IF(J195="word-digit pairs",3,IF(J195="English-Swahili pairs",3,IF(J195="spatial position",3,IF(J195="word pairs",4,IF(J195="word triads",4,IF(J195="generated words",4,IF(J195="word definition pairs",4,IF(J195="math problems",4,IF(J195="famous faces",4,IF(J195="famous names",4,IF(J195="famous voices",4,IF(J195="television programs",4,IF(J195="race horses",4,IF(J195="new vocabulary",4,IF(J195="sentences",5,IF(J195="concepts",5,IF(J195="ad slides",5,IF(J195="scenes",5,IF(J195="famous scenes",5,IF(J195="poems",6,IF(J195="walk",6,IF(J195="faces and events",6,IF(J195="events and names",6,IF(J195="flashbulb",7,IF(J195="stories",7,IF(J195="course material",7,IF(J195="autobiographical",7,IF(J195="novels",7,IF(J195="public events",7,"99"))))))))))))))))))))))))))))))))))))))))))))))</f>
        <v>1</v>
      </c>
      <c r="M195" s="60">
        <v>1</v>
      </c>
      <c r="N195" s="60">
        <v>2</v>
      </c>
      <c r="O195" s="60">
        <v>0</v>
      </c>
      <c r="P195" s="60"/>
      <c r="Q195" s="60" t="s">
        <v>174</v>
      </c>
      <c r="R195" s="60">
        <f>IF(Q195="Free Recall",1,IF(Q195="Cued Recall",2,IF(Q195="Recognition",3,IF(Q195="Multiple Choice",4,IF(Q195="Savings",5,IF(Q195="Stem Completion",6,IF(Q195="Fragment Completion",7,IF(Q195="anagram solution",8,IF(Q195="Matching",9,IF(Q195="Problem Solving",10,"99"))))))))))</f>
        <v>1</v>
      </c>
      <c r="S195" s="60" t="s">
        <v>49</v>
      </c>
      <c r="T195" s="59" t="s">
        <v>581</v>
      </c>
      <c r="U195" s="60">
        <f>IF(T195="within",1,0)</f>
        <v>1</v>
      </c>
      <c r="V195" s="59">
        <v>12</v>
      </c>
      <c r="W195" s="60">
        <f>F195*V195</f>
        <v>240</v>
      </c>
      <c r="X195" s="60">
        <v>7</v>
      </c>
      <c r="Y195" s="76">
        <f>AV194</f>
        <v>1200</v>
      </c>
      <c r="Z195" s="60" t="s">
        <v>88</v>
      </c>
      <c r="AA195" s="60">
        <v>172800</v>
      </c>
      <c r="AB195" s="60" t="str">
        <f>IF(AA195&lt;60,"1",IF(AA195&lt;=43200,"2",IF(AA195&lt;=777600,"3","4")))</f>
        <v>3</v>
      </c>
      <c r="AC195" s="56">
        <f>AVERAGE(AV194:DA194)</f>
        <v>55680</v>
      </c>
      <c r="AD195" s="60" t="str">
        <f>IF(AC195&lt;60,"1",IF(AC195&lt;=43200,"2",IF(AC195&lt;=777600,"3","4")))</f>
        <v>3</v>
      </c>
      <c r="AE195" s="76">
        <f>AA195-Y195</f>
        <v>171600</v>
      </c>
      <c r="AF195" s="80">
        <f>AV195</f>
        <v>0.68</v>
      </c>
      <c r="AG195" s="56">
        <f>((AW195-AV195)+(AX195-AW195)+(AY195-AX195)+(AZ195-AY195))/4</f>
        <v>-0.13500000000000001</v>
      </c>
      <c r="AH195" s="4"/>
      <c r="AI195" s="56">
        <f>RSQ(AV195:AZ195,AV194:AZ194)</f>
        <v>0.83743888619599449</v>
      </c>
      <c r="AJ195" s="109">
        <f>SLOPE(AV195:AZ195,AV194:AZ194)</f>
        <v>-2.6552661144932458E-6</v>
      </c>
      <c r="AK195" s="56">
        <f>INTERCEPT(AV195:AZ195,AV194:AZ194)</f>
        <v>0.55784521725498393</v>
      </c>
      <c r="AL195" s="56">
        <f>INDEX(LINEST(LN(AV195:AZ195),LN(AV194:AZ194),TRUE,TRUE),3,1)</f>
        <v>0.92135614282643052</v>
      </c>
      <c r="AM195" s="56">
        <f>INDEX(LINEST(LN(AV195:AZ195),LN(AV194:AZ194)),1)</f>
        <v>-0.29046769524161198</v>
      </c>
      <c r="AN195" s="56">
        <f>EXP(INDEX(LINEST(LN(AV195:AZ195),LN(AV194:AZ194)),1,2))</f>
        <v>5.8883584000332219</v>
      </c>
      <c r="AO195" s="82">
        <f>INDEX(LINEST((AV195:AZ195),LN(AV194:AZ194),TRUE,TRUE),3,1)</f>
        <v>0.99029516744285617</v>
      </c>
      <c r="AP195" s="82">
        <f>INDEX(LINEST((AV195:AZ195),LN(AV194:AZ194)),1)</f>
        <v>-0.10263319275055648</v>
      </c>
      <c r="AQ195" s="83">
        <f>INDEX(LINEST(LN(AV195:AZ195),SQRT(AV194:AZ194),TRUE,TRUE),3,1)</f>
        <v>0.98396243909380021</v>
      </c>
      <c r="AR195" s="116">
        <f>INDEX(LINEST(LN(AV195:AZ195),SQRT((AV194:AZ194))),1)</f>
        <v>-3.823518416100517E-3</v>
      </c>
      <c r="AS195" s="84">
        <f>INDEX(LINEST(1/(AV195:AZ195),1/(SQRT(AV194:AZ194)),TRUE,TRUE),3,1)</f>
        <v>0.54845416499586597</v>
      </c>
      <c r="AT195" s="84">
        <f>INDEX(LINEST(1/(AV195:AZ195),1/SQRT(AV194:AZ194)),1)</f>
        <v>-155.65359919150461</v>
      </c>
      <c r="AU195" s="3"/>
      <c r="AV195" s="53">
        <v>0.68</v>
      </c>
      <c r="AW195" s="53">
        <v>0.54</v>
      </c>
      <c r="AX195" s="53">
        <v>0.43</v>
      </c>
      <c r="AY195" s="53">
        <v>0.26</v>
      </c>
      <c r="AZ195" s="53">
        <v>0.14000000000000001</v>
      </c>
      <c r="BA195" s="53"/>
      <c r="BB195" s="53"/>
      <c r="BC195" s="53"/>
      <c r="BD195" s="53"/>
      <c r="BE195" s="53"/>
      <c r="BF195" s="53"/>
      <c r="BG195" s="53"/>
      <c r="BH195" s="53"/>
      <c r="BI195" s="53"/>
      <c r="BJ195" s="53"/>
      <c r="BK195" s="53"/>
      <c r="BL195" s="53"/>
      <c r="BM195" s="53"/>
      <c r="BN195" s="53"/>
      <c r="BO195" s="53"/>
      <c r="BP195" s="53"/>
      <c r="BQ195" s="53"/>
      <c r="BR195" s="53"/>
      <c r="BS195" s="53"/>
      <c r="BT195" s="53"/>
      <c r="BU195" s="53"/>
      <c r="BV195" s="53"/>
      <c r="BW195" s="53"/>
      <c r="BX195" s="53"/>
      <c r="BY195" s="53"/>
      <c r="BZ195" s="53"/>
      <c r="CA195" s="53"/>
      <c r="CB195" s="53"/>
      <c r="CC195" s="53"/>
      <c r="CD195" s="53"/>
      <c r="CE195" s="53"/>
      <c r="CF195" s="53"/>
      <c r="CG195" s="53"/>
      <c r="CH195" s="53"/>
      <c r="CI195" s="53"/>
      <c r="CJ195" s="53"/>
      <c r="CK195" s="53"/>
      <c r="CL195" s="53"/>
      <c r="CM195" s="53"/>
      <c r="CN195" s="53"/>
      <c r="CO195" s="53"/>
      <c r="CP195" s="53"/>
      <c r="CQ195" s="53"/>
      <c r="CR195" s="1"/>
      <c r="CS195" s="1"/>
      <c r="CT195" s="1"/>
      <c r="CU195" s="1"/>
    </row>
    <row r="196" spans="1:99" s="13" customFormat="1" ht="12" customHeight="1" x14ac:dyDescent="0.2">
      <c r="A196" s="65">
        <v>43912</v>
      </c>
      <c r="B196" s="1"/>
      <c r="C196" s="1"/>
      <c r="D196" s="60"/>
      <c r="E196" s="76"/>
      <c r="F196" s="60"/>
      <c r="G196" s="60"/>
      <c r="H196" s="60"/>
      <c r="I196" s="60"/>
      <c r="J196" s="60"/>
      <c r="K196" s="64"/>
      <c r="L196" s="64"/>
      <c r="M196" s="60"/>
      <c r="N196" s="60"/>
      <c r="O196" s="60"/>
      <c r="P196" s="60"/>
      <c r="Q196" s="60"/>
      <c r="R196" s="60"/>
      <c r="S196" s="60"/>
      <c r="T196" s="59"/>
      <c r="U196" s="60"/>
      <c r="V196" s="59"/>
      <c r="W196" s="60"/>
      <c r="X196" s="60"/>
      <c r="Y196" s="76"/>
      <c r="Z196" s="60"/>
      <c r="AA196" s="60"/>
      <c r="AB196" s="60"/>
      <c r="AC196" s="56"/>
      <c r="AD196" s="60"/>
      <c r="AE196" s="60"/>
      <c r="AF196" s="80"/>
      <c r="AG196" s="56"/>
      <c r="AH196" s="4"/>
      <c r="AI196" s="56"/>
      <c r="AJ196" s="109"/>
      <c r="AK196" s="56"/>
      <c r="AL196" s="56"/>
      <c r="AM196" s="56"/>
      <c r="AN196" s="56"/>
      <c r="AO196" s="56"/>
      <c r="AP196" s="56"/>
      <c r="AQ196" s="56"/>
      <c r="AR196" s="109"/>
      <c r="AS196" s="56"/>
      <c r="AT196" s="56"/>
      <c r="AU196" s="4"/>
      <c r="AV196" s="25">
        <f>2*60*60</f>
        <v>7200</v>
      </c>
      <c r="AW196" s="25">
        <f>3*60*60</f>
        <v>10800</v>
      </c>
      <c r="AX196" s="25">
        <f>4*60*60</f>
        <v>14400</v>
      </c>
      <c r="AY196" s="25">
        <f>6*60*60</f>
        <v>21600</v>
      </c>
      <c r="AZ196" s="25">
        <f>12*60*60</f>
        <v>43200</v>
      </c>
      <c r="BA196" s="25">
        <f>24*3600</f>
        <v>86400</v>
      </c>
      <c r="BB196" s="25">
        <f>24*3600*2</f>
        <v>172800</v>
      </c>
      <c r="BC196" s="53"/>
      <c r="BD196" s="53"/>
      <c r="BE196" s="53"/>
      <c r="BF196" s="53"/>
      <c r="BG196" s="53"/>
      <c r="BH196" s="53"/>
      <c r="BI196" s="53"/>
      <c r="BJ196" s="53"/>
      <c r="BK196" s="53"/>
      <c r="BL196" s="53"/>
      <c r="BM196" s="53"/>
      <c r="BN196" s="53"/>
      <c r="BO196" s="53"/>
      <c r="BP196" s="53"/>
      <c r="BQ196" s="53"/>
      <c r="BR196" s="53"/>
      <c r="BS196" s="53"/>
      <c r="BT196" s="53"/>
      <c r="BU196" s="53"/>
      <c r="BV196" s="53"/>
      <c r="BW196" s="53"/>
      <c r="BX196" s="53"/>
      <c r="BY196" s="53"/>
      <c r="BZ196" s="53"/>
      <c r="CA196" s="53"/>
      <c r="CB196" s="53"/>
      <c r="CC196" s="53"/>
      <c r="CD196" s="53"/>
      <c r="CE196" s="53"/>
      <c r="CF196" s="53"/>
      <c r="CG196" s="53"/>
      <c r="CH196" s="53"/>
      <c r="CI196" s="53"/>
      <c r="CJ196" s="53"/>
      <c r="CK196" s="53"/>
      <c r="CL196" s="53"/>
      <c r="CM196" s="53"/>
      <c r="CN196" s="53"/>
      <c r="CO196" s="53"/>
      <c r="CP196" s="53"/>
      <c r="CQ196" s="53"/>
      <c r="CR196" s="1"/>
      <c r="CS196" s="1"/>
      <c r="CT196" s="1"/>
      <c r="CU196" s="1"/>
    </row>
    <row r="197" spans="1:99" s="13" customFormat="1" ht="12" customHeight="1" x14ac:dyDescent="0.2">
      <c r="A197" s="65">
        <v>43912</v>
      </c>
      <c r="B197" s="1" t="s">
        <v>118</v>
      </c>
      <c r="C197" s="1" t="s">
        <v>119</v>
      </c>
      <c r="D197" s="60">
        <v>1922</v>
      </c>
      <c r="E197" s="76">
        <v>3</v>
      </c>
      <c r="F197" s="60">
        <v>20</v>
      </c>
      <c r="G197" s="60">
        <v>20</v>
      </c>
      <c r="H197" s="60" t="s">
        <v>726</v>
      </c>
      <c r="I197" s="74">
        <v>1.5</v>
      </c>
      <c r="J197" s="60" t="s">
        <v>281</v>
      </c>
      <c r="K197" s="60">
        <f>IF(J197="syllables",1,IF(J197="trigrams",2,IF(J197="strings",3,IF(J197="visual array",4,IF(J197="characters",5,IF(J197="letters",6,IF(J197="free forms",7,IF(J197="odors",8,IF(J197="words",9,IF(J197="pictures",10,IF(J197="object pictures",11,IF(J197="faces",12,IF(J197="names",13,IF(J197="idioms",14,IF(J197="grades",15,IF(J197="syllable-digit pairs",16,IF(J197="trigram-word pairs",17,IF(J197="word-digit pairs",18,IF(J197="English-Swahili pairs",19,IF(J197="spatial position",20,IF(J197="word pairs",21,IF(J197="word triads",22,IF(J197="generated words",23,IF(J197="word definition pairs",24,IF(J197="math problems",25,IF(J197="famous faces",26,IF(J197="famous names",27,IF(J197="famous voices",28,IF(J197="television programs",29,IF(J197="race horses",30,IF(J197="new vocabulary",31,IF(J197="sentences",32,IF(J197="concepts",33,IF(J197="ad slides",34,IF(J197="scenes",35,IF(J197="famous scenes",36,IF(J197="poems",37,IF(J197="walk",38,IF(J197="faces and events",39,IF(J197="events and names",40,IF(J197="flashbulb",41,IF(J197="stories",42,IF(J197="course material",43,IF(J197="autobiographical",44,IF(J197="novels",45,IF(J197="public events",46,"99"))))))))))))))))))))))))))))))))))))))))))))))</f>
        <v>1</v>
      </c>
      <c r="L197" s="60">
        <f>IF(J197="syllables",1,IF(J197="trigrams",1,IF(J197="strings",1,IF(J197="visual array",1,IF(J197="characters",1,IF(J197="letters",1,IF(J197="free forms",1,IF(J197="odors",2,IF(J197="words",2,IF(J197="pictures",2,IF(J197="object pictures",2,IF(J197="faces",2,IF(J197="names",2,IF(J197="idioms","2",IF(J197="grades",2,IF(J197="syllable-digit pairs",3,IF(J197="trigram-word pairs",3,IF(J197="word-digit pairs",3,IF(J197="English-Swahili pairs",3,IF(J197="spatial position",3,IF(J197="word pairs",4,IF(J197="word triads",4,IF(J197="generated words",4,IF(J197="word definition pairs",4,IF(J197="math problems",4,IF(J197="famous faces",4,IF(J197="famous names",4,IF(J197="famous voices",4,IF(J197="television programs",4,IF(J197="race horses",4,IF(J197="new vocabulary",4,IF(J197="sentences",5,IF(J197="concepts",5,IF(J197="ad slides",5,IF(J197="scenes",5,IF(J197="famous scenes",5,IF(J197="poems",6,IF(J197="walk",6,IF(J197="faces and events",6,IF(J197="events and names",6,IF(J197="flashbulb",7,IF(J197="stories",7,IF(J197="course material",7,IF(J197="autobiographical",7,IF(J197="novels",7,IF(J197="public events",7,"99"))))))))))))))))))))))))))))))))))))))))))))))</f>
        <v>1</v>
      </c>
      <c r="M197" s="60">
        <v>1</v>
      </c>
      <c r="N197" s="60">
        <v>2</v>
      </c>
      <c r="O197" s="60">
        <v>0</v>
      </c>
      <c r="P197" s="60"/>
      <c r="Q197" s="60" t="s">
        <v>34</v>
      </c>
      <c r="R197" s="60">
        <f>IF(Q197="Free Recall",1,IF(Q197="Cued Recall",2,IF(Q197="Recognition",3,IF(Q197="Multiple Choice",4,IF(Q197="Savings",5,IF(Q197="Stem Completion",6,IF(Q197="Fragment Completion",7,IF(Q197="anagram solution",8,IF(Q197="Matching",9,IF(Q197="Problem Solving",10,"99"))))))))))</f>
        <v>3</v>
      </c>
      <c r="S197" s="59" t="s">
        <v>15</v>
      </c>
      <c r="T197" s="59" t="s">
        <v>581</v>
      </c>
      <c r="U197" s="60">
        <f>IF(T197="within",1,0)</f>
        <v>1</v>
      </c>
      <c r="V197" s="59">
        <v>12</v>
      </c>
      <c r="W197" s="60">
        <f>F197*V197</f>
        <v>240</v>
      </c>
      <c r="X197" s="60">
        <v>5</v>
      </c>
      <c r="Y197" s="76">
        <f>AV196</f>
        <v>7200</v>
      </c>
      <c r="Z197" s="60" t="s">
        <v>88</v>
      </c>
      <c r="AA197" s="60">
        <v>172800</v>
      </c>
      <c r="AB197" s="60" t="str">
        <f>IF(AA197&lt;60,"1",IF(AA197&lt;=43200,"2",IF(AA197&lt;=777600,"3","4")))</f>
        <v>3</v>
      </c>
      <c r="AC197" s="56">
        <f>AVERAGE(AV196:DA196)</f>
        <v>50914.285714285717</v>
      </c>
      <c r="AD197" s="60" t="str">
        <f>IF(AC197&lt;60,"1",IF(AC197&lt;=43200,"2",IF(AC197&lt;=777600,"3","4")))</f>
        <v>3</v>
      </c>
      <c r="AE197" s="76">
        <f>AA197-Y197</f>
        <v>165600</v>
      </c>
      <c r="AF197" s="80">
        <f>AV197</f>
        <v>0.98</v>
      </c>
      <c r="AG197" s="56">
        <f>((AW197-AV197)+(AX197-AW197)+(AY197-AX197)+(AZ197-AY197)+(BA197-AZ197)+(BB197-BA197))/6</f>
        <v>-4.1666666666666664E-2</v>
      </c>
      <c r="AH197" s="4"/>
      <c r="AI197" s="56">
        <f>RSQ(AV197:BB197,AV196:BB196)</f>
        <v>0.95700822566241706</v>
      </c>
      <c r="AJ197" s="109">
        <f>SLOPE(AV197:BB197,AV196:BB196)</f>
        <v>-1.4173198744337303E-6</v>
      </c>
      <c r="AK197" s="56">
        <f>INTERCEPT(AV197:BB197,AV196:BB196)</f>
        <v>0.96930468617831156</v>
      </c>
      <c r="AL197" s="56">
        <f>INDEX(LINEST(LN(AV197:BB197),LN(AV196:BB196),TRUE,TRUE),3,1)</f>
        <v>0.85137287904445702</v>
      </c>
      <c r="AM197" s="56">
        <f>INDEX(LINEST(LN(AV197:BB197),LN(AV196:BB196)),1)</f>
        <v>-8.2402916796141187E-2</v>
      </c>
      <c r="AN197" s="56">
        <f>EXP(INDEX(LINEST(LN(AV197:BB197),LN(AV196:BB196)),1,2))</f>
        <v>2.0804189044212098</v>
      </c>
      <c r="AO197" s="82">
        <f>INDEX(LINEST((AV197:BB197),LN(AV196:BB196),TRUE,TRUE),3,1)</f>
        <v>0.86788058834562221</v>
      </c>
      <c r="AP197" s="82">
        <f>INDEX(LINEST((AV197:BB197),LN(AV196:BB196)),1)</f>
        <v>-7.0473205719556842E-2</v>
      </c>
      <c r="AQ197" s="83">
        <f>INDEX(LINEST(LN(AV197:BB197),SQRT(AV196:BB196),TRUE,TRUE),3,1)</f>
        <v>0.9435048000257048</v>
      </c>
      <c r="AR197" s="116">
        <f>INDEX(LINEST(LN(AV197:BB197),SQRT((AV196:BB196))),1)</f>
        <v>-8.3327528306408798E-4</v>
      </c>
      <c r="AS197" s="84">
        <f>INDEX(LINEST(1/(AV197:BB197),1/(SQRT(AV196:BB196)),TRUE,TRUE),3,1)</f>
        <v>0.68351081859202767</v>
      </c>
      <c r="AT197" s="84">
        <f>INDEX(LINEST(1/(AV197:BB197),1/SQRT(AV196:BB196)),1)</f>
        <v>-29.754173790849642</v>
      </c>
      <c r="AU197" s="3"/>
      <c r="AV197" s="53">
        <v>0.98</v>
      </c>
      <c r="AW197" s="53">
        <v>0.96</v>
      </c>
      <c r="AX197" s="53">
        <v>0.93</v>
      </c>
      <c r="AY197" s="53">
        <v>0.92</v>
      </c>
      <c r="AZ197" s="53">
        <v>0.93</v>
      </c>
      <c r="BA197" s="53">
        <v>0.83</v>
      </c>
      <c r="BB197" s="53">
        <v>0.73</v>
      </c>
      <c r="BC197" s="53"/>
      <c r="BD197" s="53"/>
      <c r="BE197" s="53"/>
      <c r="BF197" s="53"/>
      <c r="BG197" s="53"/>
      <c r="BH197" s="53"/>
      <c r="BI197" s="53"/>
      <c r="BJ197" s="53"/>
      <c r="BK197" s="53"/>
      <c r="BL197" s="53"/>
      <c r="BM197" s="53"/>
      <c r="BN197" s="53"/>
      <c r="BO197" s="53"/>
      <c r="BP197" s="53"/>
      <c r="BQ197" s="53"/>
      <c r="BR197" s="53"/>
      <c r="BS197" s="53"/>
      <c r="BT197" s="53"/>
      <c r="BU197" s="53"/>
      <c r="BV197" s="53"/>
      <c r="BW197" s="53"/>
      <c r="BX197" s="53"/>
      <c r="BY197" s="53"/>
      <c r="BZ197" s="53"/>
      <c r="CA197" s="53"/>
      <c r="CB197" s="53"/>
      <c r="CC197" s="53"/>
      <c r="CD197" s="53"/>
      <c r="CE197" s="53"/>
      <c r="CF197" s="53"/>
      <c r="CG197" s="53"/>
      <c r="CH197" s="53"/>
      <c r="CI197" s="53"/>
      <c r="CJ197" s="53"/>
      <c r="CK197" s="53"/>
      <c r="CL197" s="53"/>
      <c r="CM197" s="53"/>
      <c r="CN197" s="53"/>
      <c r="CO197" s="53"/>
      <c r="CP197" s="53"/>
      <c r="CQ197" s="53"/>
      <c r="CR197" s="1"/>
      <c r="CS197" s="1"/>
      <c r="CT197" s="1"/>
      <c r="CU197" s="1"/>
    </row>
    <row r="198" spans="1:99" s="13" customFormat="1" ht="12" customHeight="1" x14ac:dyDescent="0.2">
      <c r="A198" s="65">
        <v>43912</v>
      </c>
      <c r="B198" s="1"/>
      <c r="C198" s="1"/>
      <c r="D198" s="60"/>
      <c r="E198" s="76"/>
      <c r="F198" s="60"/>
      <c r="G198" s="60"/>
      <c r="H198" s="60"/>
      <c r="I198" s="60"/>
      <c r="J198" s="60"/>
      <c r="K198" s="64"/>
      <c r="L198" s="64"/>
      <c r="M198" s="60"/>
      <c r="N198" s="60"/>
      <c r="O198" s="60"/>
      <c r="P198" s="60"/>
      <c r="Q198" s="60"/>
      <c r="R198" s="60"/>
      <c r="S198" s="60"/>
      <c r="T198" s="59"/>
      <c r="U198" s="60"/>
      <c r="V198" s="59"/>
      <c r="W198" s="60"/>
      <c r="X198" s="60"/>
      <c r="Y198" s="76"/>
      <c r="Z198" s="60"/>
      <c r="AA198" s="60"/>
      <c r="AB198" s="60"/>
      <c r="AC198" s="56"/>
      <c r="AD198" s="60"/>
      <c r="AE198" s="60"/>
      <c r="AF198" s="80"/>
      <c r="AG198" s="56"/>
      <c r="AH198" s="4"/>
      <c r="AI198" s="56"/>
      <c r="AJ198" s="109"/>
      <c r="AK198" s="56"/>
      <c r="AL198" s="56"/>
      <c r="AM198" s="56"/>
      <c r="AN198" s="56"/>
      <c r="AO198" s="56"/>
      <c r="AP198" s="56"/>
      <c r="AQ198" s="56"/>
      <c r="AR198" s="109"/>
      <c r="AS198" s="56"/>
      <c r="AT198" s="56"/>
      <c r="AU198" s="4"/>
      <c r="AV198" s="25">
        <f>20*60</f>
        <v>1200</v>
      </c>
      <c r="AW198" s="25">
        <f>60*60</f>
        <v>3600</v>
      </c>
      <c r="AX198" s="25">
        <f>4*60*60</f>
        <v>14400</v>
      </c>
      <c r="AY198" s="25">
        <f>24*3600</f>
        <v>86400</v>
      </c>
      <c r="AZ198" s="25">
        <f>24*3600*2</f>
        <v>172800</v>
      </c>
      <c r="BA198" s="53"/>
      <c r="BB198" s="53"/>
      <c r="BC198" s="53"/>
      <c r="BD198" s="53"/>
      <c r="BE198" s="53"/>
      <c r="BF198" s="53"/>
      <c r="BG198" s="53"/>
      <c r="BH198" s="53"/>
      <c r="BI198" s="53"/>
      <c r="BJ198" s="53"/>
      <c r="BK198" s="53"/>
      <c r="BL198" s="53"/>
      <c r="BM198" s="53"/>
      <c r="BN198" s="53"/>
      <c r="BO198" s="53"/>
      <c r="BP198" s="53"/>
      <c r="BQ198" s="53"/>
      <c r="BR198" s="53"/>
      <c r="BS198" s="53"/>
      <c r="BT198" s="53"/>
      <c r="BU198" s="53"/>
      <c r="BV198" s="53"/>
      <c r="BW198" s="53"/>
      <c r="BX198" s="53"/>
      <c r="BY198" s="53"/>
      <c r="BZ198" s="53"/>
      <c r="CA198" s="53"/>
      <c r="CB198" s="53"/>
      <c r="CC198" s="53"/>
      <c r="CD198" s="53"/>
      <c r="CE198" s="53"/>
      <c r="CF198" s="53"/>
      <c r="CG198" s="53"/>
      <c r="CH198" s="53"/>
      <c r="CI198" s="53"/>
      <c r="CJ198" s="53"/>
      <c r="CK198" s="53"/>
      <c r="CL198" s="53"/>
      <c r="CM198" s="53"/>
      <c r="CN198" s="53"/>
      <c r="CO198" s="53"/>
      <c r="CP198" s="53"/>
      <c r="CQ198" s="53"/>
      <c r="CR198" s="1"/>
      <c r="CS198" s="1"/>
      <c r="CT198" s="1"/>
      <c r="CU198" s="1"/>
    </row>
    <row r="199" spans="1:99" s="13" customFormat="1" ht="12" customHeight="1" x14ac:dyDescent="0.2">
      <c r="A199" s="65">
        <v>43912</v>
      </c>
      <c r="B199" s="1" t="s">
        <v>118</v>
      </c>
      <c r="C199" s="1" t="s">
        <v>119</v>
      </c>
      <c r="D199" s="60">
        <v>1922</v>
      </c>
      <c r="E199" s="76">
        <v>3</v>
      </c>
      <c r="F199" s="60">
        <v>20</v>
      </c>
      <c r="G199" s="60">
        <v>20</v>
      </c>
      <c r="H199" s="60" t="s">
        <v>726</v>
      </c>
      <c r="I199" s="74">
        <v>1</v>
      </c>
      <c r="J199" s="60" t="s">
        <v>281</v>
      </c>
      <c r="K199" s="60">
        <f>IF(J199="syllables",1,IF(J199="trigrams",2,IF(J199="strings",3,IF(J199="visual array",4,IF(J199="characters",5,IF(J199="letters",6,IF(J199="free forms",7,IF(J199="odors",8,IF(J199="words",9,IF(J199="pictures",10,IF(J199="object pictures",11,IF(J199="faces",12,IF(J199="names",13,IF(J199="idioms",14,IF(J199="grades",15,IF(J199="syllable-digit pairs",16,IF(J199="trigram-word pairs",17,IF(J199="word-digit pairs",18,IF(J199="English-Swahili pairs",19,IF(J199="spatial position",20,IF(J199="word pairs",21,IF(J199="word triads",22,IF(J199="generated words",23,IF(J199="word definition pairs",24,IF(J199="math problems",25,IF(J199="famous faces",26,IF(J199="famous names",27,IF(J199="famous voices",28,IF(J199="television programs",29,IF(J199="race horses",30,IF(J199="new vocabulary",31,IF(J199="sentences",32,IF(J199="concepts",33,IF(J199="ad slides",34,IF(J199="scenes",35,IF(J199="famous scenes",36,IF(J199="poems",37,IF(J199="walk",38,IF(J199="faces and events",39,IF(J199="events and names",40,IF(J199="flashbulb",41,IF(J199="stories",42,IF(J199="course material",43,IF(J199="autobiographical",44,IF(J199="novels",45,IF(J199="public events",46,"99"))))))))))))))))))))))))))))))))))))))))))))))</f>
        <v>1</v>
      </c>
      <c r="L199" s="60">
        <f>IF(J199="syllables",1,IF(J199="trigrams",1,IF(J199="strings",1,IF(J199="visual array",1,IF(J199="characters",1,IF(J199="letters",1,IF(J199="free forms",1,IF(J199="odors",2,IF(J199="words",2,IF(J199="pictures",2,IF(J199="object pictures",2,IF(J199="faces",2,IF(J199="names",2,IF(J199="idioms","2",IF(J199="grades",2,IF(J199="syllable-digit pairs",3,IF(J199="trigram-word pairs",3,IF(J199="word-digit pairs",3,IF(J199="English-Swahili pairs",3,IF(J199="spatial position",3,IF(J199="word pairs",4,IF(J199="word triads",4,IF(J199="generated words",4,IF(J199="word definition pairs",4,IF(J199="math problems",4,IF(J199="famous faces",4,IF(J199="famous names",4,IF(J199="famous voices",4,IF(J199="television programs",4,IF(J199="race horses",4,IF(J199="new vocabulary",4,IF(J199="sentences",5,IF(J199="concepts",5,IF(J199="ad slides",5,IF(J199="scenes",5,IF(J199="famous scenes",5,IF(J199="poems",6,IF(J199="walk",6,IF(J199="faces and events",6,IF(J199="events and names",6,IF(J199="flashbulb",7,IF(J199="stories",7,IF(J199="course material",7,IF(J199="autobiographical",7,IF(J199="novels",7,IF(J199="public events",7,"99"))))))))))))))))))))))))))))))))))))))))))))))</f>
        <v>1</v>
      </c>
      <c r="M199" s="60">
        <v>1</v>
      </c>
      <c r="N199" s="60">
        <v>2</v>
      </c>
      <c r="O199" s="60">
        <v>0</v>
      </c>
      <c r="P199" s="60"/>
      <c r="Q199" s="60" t="s">
        <v>34</v>
      </c>
      <c r="R199" s="60">
        <f>IF(Q199="Free Recall",1,IF(Q199="Cued Recall",2,IF(Q199="Recognition",3,IF(Q199="Multiple Choice",4,IF(Q199="Savings",5,IF(Q199="Stem Completion",6,IF(Q199="Fragment Completion",7,IF(Q199="anagram solution",8,IF(Q199="Matching",9,IF(Q199="Problem Solving",10,"99"))))))))))</f>
        <v>3</v>
      </c>
      <c r="S199" s="59" t="s">
        <v>15</v>
      </c>
      <c r="T199" s="59" t="s">
        <v>581</v>
      </c>
      <c r="U199" s="60">
        <f>IF(T199="within",1,0)</f>
        <v>1</v>
      </c>
      <c r="V199" s="59">
        <v>12</v>
      </c>
      <c r="W199" s="60">
        <f>F199*V199</f>
        <v>240</v>
      </c>
      <c r="X199" s="60">
        <v>5</v>
      </c>
      <c r="Y199" s="76">
        <f>AV198</f>
        <v>1200</v>
      </c>
      <c r="Z199" s="60" t="s">
        <v>88</v>
      </c>
      <c r="AA199" s="60">
        <v>172800</v>
      </c>
      <c r="AB199" s="60" t="str">
        <f>IF(AA199&lt;60,"1",IF(AA199&lt;=43200,"2",IF(AA199&lt;=777600,"3","4")))</f>
        <v>3</v>
      </c>
      <c r="AC199" s="56">
        <f>AVERAGE(AV198:DA198)</f>
        <v>55680</v>
      </c>
      <c r="AD199" s="60" t="str">
        <f>IF(AC199&lt;60,"1",IF(AC199&lt;=43200,"2",IF(AC199&lt;=777600,"3","4")))</f>
        <v>3</v>
      </c>
      <c r="AE199" s="76">
        <f>AA199-Y199</f>
        <v>171600</v>
      </c>
      <c r="AF199" s="80">
        <f>AV199</f>
        <v>0.96</v>
      </c>
      <c r="AG199" s="56">
        <f>((AW199-AV199)+(AX199-AW199)+(AY199-AX199)+(AZ199-AY199))/4</f>
        <v>-4.2499999999999982E-2</v>
      </c>
      <c r="AH199" s="4"/>
      <c r="AI199" s="56">
        <f>RSQ(AV199:AZ199,AV198:AZ198)</f>
        <v>0.78573073551570849</v>
      </c>
      <c r="AJ199" s="109">
        <f>SLOPE(AV199:AZ199,AV198:AZ198)</f>
        <v>-1.008217281112011E-6</v>
      </c>
      <c r="AK199" s="56">
        <f>INTERCEPT(AV199:AZ199,AV198:AZ198)</f>
        <v>0.93213753821231682</v>
      </c>
      <c r="AL199" s="56">
        <f>INDEX(LINEST(LN(AV199:AZ199),LN(AV198:AZ198),TRUE,TRUE),3,1)</f>
        <v>0.89233242076995911</v>
      </c>
      <c r="AM199" s="56">
        <f>INDEX(LINEST(LN(AV199:AZ199),LN(AV198:AZ198)),1)</f>
        <v>-4.4339117039679361E-2</v>
      </c>
      <c r="AN199" s="56">
        <f>EXP(INDEX(LINEST(LN(AV199:AZ199),LN(AV198:AZ198)),1,2))</f>
        <v>1.339036477353323</v>
      </c>
      <c r="AO199" s="82">
        <f>INDEX(LINEST((AV199:AZ199),LN(AV198:AZ198),TRUE,TRUE),3,1)</f>
        <v>0.90017922291214092</v>
      </c>
      <c r="AP199" s="82">
        <f>INDEX(LINEST((AV199:AZ199),LN(AV198:AZ198)),1)</f>
        <v>-3.8357984246786735E-2</v>
      </c>
      <c r="AQ199" s="83">
        <f>INDEX(LINEST(LN(AV199:AZ199),SQRT(AV198:AZ198),TRUE,TRUE),3,1)</f>
        <v>0.89756791160056548</v>
      </c>
      <c r="AR199" s="116">
        <f>INDEX(LINEST(LN(AV199:AZ199),SQRT((AV198:AZ198))),1)</f>
        <v>-5.6643126709409462E-4</v>
      </c>
      <c r="AS199" s="84">
        <f>INDEX(LINEST(1/(AV199:AZ199),1/(SQRT(AV198:AZ198)),TRUE,TRUE),3,1)</f>
        <v>0.69362991010146768</v>
      </c>
      <c r="AT199" s="84">
        <f>INDEX(LINEST(1/(AV199:AZ199),1/SQRT(AV198:AZ198)),1)</f>
        <v>-8.6297749563442299</v>
      </c>
      <c r="AU199" s="3"/>
      <c r="AV199" s="53">
        <v>0.96</v>
      </c>
      <c r="AW199" s="53">
        <v>0.93</v>
      </c>
      <c r="AX199" s="53">
        <v>0.92</v>
      </c>
      <c r="AY199" s="53">
        <v>0.78</v>
      </c>
      <c r="AZ199" s="53">
        <v>0.79</v>
      </c>
      <c r="BA199" s="53"/>
      <c r="BB199" s="53"/>
      <c r="BC199" s="53"/>
      <c r="BD199" s="53"/>
      <c r="BE199" s="53"/>
      <c r="BF199" s="53"/>
      <c r="BG199" s="53"/>
      <c r="BH199" s="53"/>
      <c r="BI199" s="53"/>
      <c r="BJ199" s="53"/>
      <c r="BK199" s="53"/>
      <c r="BL199" s="53"/>
      <c r="BM199" s="53"/>
      <c r="BN199" s="53"/>
      <c r="BO199" s="53"/>
      <c r="BP199" s="53"/>
      <c r="BQ199" s="53"/>
      <c r="BR199" s="53"/>
      <c r="BS199" s="53"/>
      <c r="BT199" s="53"/>
      <c r="BU199" s="53"/>
      <c r="BV199" s="53"/>
      <c r="BW199" s="53"/>
      <c r="BX199" s="53"/>
      <c r="BY199" s="53"/>
      <c r="BZ199" s="53"/>
      <c r="CA199" s="53"/>
      <c r="CB199" s="53"/>
      <c r="CC199" s="53"/>
      <c r="CD199" s="53"/>
      <c r="CE199" s="53"/>
      <c r="CF199" s="53"/>
      <c r="CG199" s="53"/>
      <c r="CH199" s="53"/>
      <c r="CI199" s="53"/>
      <c r="CJ199" s="53"/>
      <c r="CK199" s="53"/>
      <c r="CL199" s="53"/>
      <c r="CM199" s="53"/>
      <c r="CN199" s="53"/>
      <c r="CO199" s="53"/>
      <c r="CP199" s="53"/>
      <c r="CQ199" s="53"/>
      <c r="CR199" s="1"/>
      <c r="CS199" s="1"/>
      <c r="CT199" s="1"/>
      <c r="CU199" s="1"/>
    </row>
    <row r="200" spans="1:99" s="13" customFormat="1" ht="12" customHeight="1" x14ac:dyDescent="0.2">
      <c r="A200" s="65">
        <v>43912</v>
      </c>
      <c r="B200" s="1"/>
      <c r="C200" s="1"/>
      <c r="D200" s="60"/>
      <c r="E200" s="76"/>
      <c r="F200" s="60"/>
      <c r="G200" s="60"/>
      <c r="H200" s="60"/>
      <c r="I200" s="60"/>
      <c r="J200" s="60"/>
      <c r="K200" s="64"/>
      <c r="L200" s="64"/>
      <c r="M200" s="60"/>
      <c r="N200" s="60"/>
      <c r="O200" s="60"/>
      <c r="P200" s="60"/>
      <c r="Q200" s="60"/>
      <c r="R200" s="60"/>
      <c r="S200" s="60"/>
      <c r="T200" s="59"/>
      <c r="U200" s="60"/>
      <c r="V200" s="59"/>
      <c r="W200" s="60"/>
      <c r="X200" s="60"/>
      <c r="Y200" s="76"/>
      <c r="Z200" s="60"/>
      <c r="AA200" s="60"/>
      <c r="AB200" s="60"/>
      <c r="AC200" s="56"/>
      <c r="AD200" s="60"/>
      <c r="AE200" s="60"/>
      <c r="AF200" s="80"/>
      <c r="AG200" s="56"/>
      <c r="AH200" s="4"/>
      <c r="AI200" s="56"/>
      <c r="AJ200" s="109"/>
      <c r="AK200" s="56"/>
      <c r="AL200" s="56"/>
      <c r="AM200" s="56"/>
      <c r="AN200" s="56"/>
      <c r="AO200" s="56"/>
      <c r="AP200" s="56"/>
      <c r="AQ200" s="56"/>
      <c r="AR200" s="109"/>
      <c r="AS200" s="56"/>
      <c r="AT200" s="56"/>
      <c r="AU200" s="4"/>
      <c r="AV200" s="25">
        <f>20*60</f>
        <v>1200</v>
      </c>
      <c r="AW200" s="25">
        <f>60*60</f>
        <v>3600</v>
      </c>
      <c r="AX200" s="25">
        <f>4*60*60</f>
        <v>14400</v>
      </c>
      <c r="AY200" s="25">
        <f>24*3600</f>
        <v>86400</v>
      </c>
      <c r="AZ200" s="25">
        <f>24*3600*2</f>
        <v>172800</v>
      </c>
      <c r="BA200" s="53"/>
      <c r="BB200" s="53"/>
      <c r="BC200" s="53"/>
      <c r="BD200" s="53"/>
      <c r="BE200" s="53"/>
      <c r="BF200" s="53"/>
      <c r="BG200" s="53"/>
      <c r="BH200" s="53"/>
      <c r="BI200" s="53"/>
      <c r="BJ200" s="53"/>
      <c r="BK200" s="53"/>
      <c r="BL200" s="53"/>
      <c r="BM200" s="53"/>
      <c r="BN200" s="53"/>
      <c r="BO200" s="53"/>
      <c r="BP200" s="53"/>
      <c r="BQ200" s="53"/>
      <c r="BR200" s="53"/>
      <c r="BS200" s="53"/>
      <c r="BT200" s="53"/>
      <c r="BU200" s="53"/>
      <c r="BV200" s="53"/>
      <c r="BW200" s="53"/>
      <c r="BX200" s="53"/>
      <c r="BY200" s="53"/>
      <c r="BZ200" s="53"/>
      <c r="CA200" s="53"/>
      <c r="CB200" s="53"/>
      <c r="CC200" s="53"/>
      <c r="CD200" s="53"/>
      <c r="CE200" s="53"/>
      <c r="CF200" s="53"/>
      <c r="CG200" s="53"/>
      <c r="CH200" s="53"/>
      <c r="CI200" s="53"/>
      <c r="CJ200" s="53"/>
      <c r="CK200" s="53"/>
      <c r="CL200" s="53"/>
      <c r="CM200" s="53"/>
      <c r="CN200" s="53"/>
      <c r="CO200" s="53"/>
      <c r="CP200" s="53"/>
      <c r="CQ200" s="53"/>
      <c r="CR200" s="1"/>
      <c r="CS200" s="1"/>
      <c r="CT200" s="1"/>
      <c r="CU200" s="1"/>
    </row>
    <row r="201" spans="1:99" s="13" customFormat="1" ht="12" customHeight="1" x14ac:dyDescent="0.2">
      <c r="A201" s="65">
        <v>43912</v>
      </c>
      <c r="B201" s="1" t="s">
        <v>118</v>
      </c>
      <c r="C201" s="1" t="s">
        <v>119</v>
      </c>
      <c r="D201" s="60">
        <v>1922</v>
      </c>
      <c r="E201" s="76">
        <v>3</v>
      </c>
      <c r="F201" s="60">
        <v>20</v>
      </c>
      <c r="G201" s="60">
        <v>20</v>
      </c>
      <c r="H201" s="60" t="s">
        <v>726</v>
      </c>
      <c r="I201" s="74">
        <v>0.67</v>
      </c>
      <c r="J201" s="60" t="s">
        <v>281</v>
      </c>
      <c r="K201" s="60">
        <f>IF(J201="syllables",1,IF(J201="trigrams",2,IF(J201="strings",3,IF(J201="visual array",4,IF(J201="characters",5,IF(J201="letters",6,IF(J201="free forms",7,IF(J201="odors",8,IF(J201="words",9,IF(J201="pictures",10,IF(J201="object pictures",11,IF(J201="faces",12,IF(J201="names",13,IF(J201="idioms",14,IF(J201="grades",15,IF(J201="syllable-digit pairs",16,IF(J201="trigram-word pairs",17,IF(J201="word-digit pairs",18,IF(J201="English-Swahili pairs",19,IF(J201="spatial position",20,IF(J201="word pairs",21,IF(J201="word triads",22,IF(J201="generated words",23,IF(J201="word definition pairs",24,IF(J201="math problems",25,IF(J201="famous faces",26,IF(J201="famous names",27,IF(J201="famous voices",28,IF(J201="television programs",29,IF(J201="race horses",30,IF(J201="new vocabulary",31,IF(J201="sentences",32,IF(J201="concepts",33,IF(J201="ad slides",34,IF(J201="scenes",35,IF(J201="famous scenes",36,IF(J201="poems",37,IF(J201="walk",38,IF(J201="faces and events",39,IF(J201="events and names",40,IF(J201="flashbulb",41,IF(J201="stories",42,IF(J201="course material",43,IF(J201="autobiographical",44,IF(J201="novels",45,IF(J201="public events",46,"99"))))))))))))))))))))))))))))))))))))))))))))))</f>
        <v>1</v>
      </c>
      <c r="L201" s="60">
        <f>IF(J201="syllables",1,IF(J201="trigrams",1,IF(J201="strings",1,IF(J201="visual array",1,IF(J201="characters",1,IF(J201="letters",1,IF(J201="free forms",1,IF(J201="odors",2,IF(J201="words",2,IF(J201="pictures",2,IF(J201="object pictures",2,IF(J201="faces",2,IF(J201="names",2,IF(J201="idioms","2",IF(J201="grades",2,IF(J201="syllable-digit pairs",3,IF(J201="trigram-word pairs",3,IF(J201="word-digit pairs",3,IF(J201="English-Swahili pairs",3,IF(J201="spatial position",3,IF(J201="word pairs",4,IF(J201="word triads",4,IF(J201="generated words",4,IF(J201="word definition pairs",4,IF(J201="math problems",4,IF(J201="famous faces",4,IF(J201="famous names",4,IF(J201="famous voices",4,IF(J201="television programs",4,IF(J201="race horses",4,IF(J201="new vocabulary",4,IF(J201="sentences",5,IF(J201="concepts",5,IF(J201="ad slides",5,IF(J201="scenes",5,IF(J201="famous scenes",5,IF(J201="poems",6,IF(J201="walk",6,IF(J201="faces and events",6,IF(J201="events and names",6,IF(J201="flashbulb",7,IF(J201="stories",7,IF(J201="course material",7,IF(J201="autobiographical",7,IF(J201="novels",7,IF(J201="public events",7,"99"))))))))))))))))))))))))))))))))))))))))))))))</f>
        <v>1</v>
      </c>
      <c r="M201" s="60">
        <v>1</v>
      </c>
      <c r="N201" s="60">
        <v>2</v>
      </c>
      <c r="O201" s="60">
        <v>0</v>
      </c>
      <c r="P201" s="60"/>
      <c r="Q201" s="60" t="s">
        <v>34</v>
      </c>
      <c r="R201" s="60">
        <f>IF(Q201="Free Recall",1,IF(Q201="Cued Recall",2,IF(Q201="Recognition",3,IF(Q201="Multiple Choice",4,IF(Q201="Savings",5,IF(Q201="Stem Completion",6,IF(Q201="Fragment Completion",7,IF(Q201="anagram solution",8,IF(Q201="Matching",9,IF(Q201="Problem Solving",10,"99"))))))))))</f>
        <v>3</v>
      </c>
      <c r="S201" s="59" t="s">
        <v>15</v>
      </c>
      <c r="T201" s="59" t="s">
        <v>581</v>
      </c>
      <c r="U201" s="60">
        <f>IF(T201="within",1,0)</f>
        <v>1</v>
      </c>
      <c r="V201" s="59">
        <v>12</v>
      </c>
      <c r="W201" s="60">
        <f>F201*V201</f>
        <v>240</v>
      </c>
      <c r="X201" s="60">
        <v>7</v>
      </c>
      <c r="Y201" s="76">
        <f>AV200</f>
        <v>1200</v>
      </c>
      <c r="Z201" s="60" t="s">
        <v>88</v>
      </c>
      <c r="AA201" s="60">
        <v>172800</v>
      </c>
      <c r="AB201" s="60" t="str">
        <f>IF(AA201&lt;60,"1",IF(AA201&lt;=43200,"2",IF(AA201&lt;=777600,"3","4")))</f>
        <v>3</v>
      </c>
      <c r="AC201" s="56">
        <f>AVERAGE(AV200:DA200)</f>
        <v>55680</v>
      </c>
      <c r="AD201" s="60" t="str">
        <f>IF(AC201&lt;60,"1",IF(AC201&lt;=43200,"2",IF(AC201&lt;=777600,"3","4")))</f>
        <v>3</v>
      </c>
      <c r="AE201" s="76">
        <f>AA201-Y201</f>
        <v>171600</v>
      </c>
      <c r="AF201" s="80">
        <f>AV201</f>
        <v>0.93</v>
      </c>
      <c r="AG201" s="56">
        <f>((AW201-AV201)+(AX201-AW201)+(AY201-AX201)+(AZ201-AY201))/4</f>
        <v>-7.7500000000000013E-2</v>
      </c>
      <c r="AH201" s="4"/>
      <c r="AI201" s="56">
        <f>RSQ(AV201:AZ201,AV200:AZ200)</f>
        <v>0.95955064040246107</v>
      </c>
      <c r="AJ201" s="109">
        <f>SLOPE(AV201:AZ201,AV200:AZ200)</f>
        <v>-1.7619035177104838E-6</v>
      </c>
      <c r="AK201" s="56">
        <f>INTERCEPT(AV201:AZ201,AV200:AZ200)</f>
        <v>0.91210278786611976</v>
      </c>
      <c r="AL201" s="56">
        <f>INDEX(LINEST(LN(AV201:AZ201),LN(AV200:AZ200),TRUE,TRUE),3,1)</f>
        <v>0.88188625442108215</v>
      </c>
      <c r="AM201" s="56">
        <f>INDEX(LINEST(LN(AV201:AZ201),LN(AV200:AZ200)),1)</f>
        <v>-7.7845477423216666E-2</v>
      </c>
      <c r="AN201" s="56">
        <f>EXP(INDEX(LINEST(LN(AV201:AZ201),LN(AV200:AZ200)),1,2))</f>
        <v>1.7062903771896387</v>
      </c>
      <c r="AO201" s="82">
        <f>INDEX(LINEST((AV201:AZ201),LN(AV200:AZ200),TRUE,TRUE),3,1)</f>
        <v>0.90923786188435374</v>
      </c>
      <c r="AP201" s="82">
        <f>INDEX(LINEST((AV201:AZ201),LN(AV200:AZ200)),1)</f>
        <v>-6.0962244267178528E-2</v>
      </c>
      <c r="AQ201" s="83">
        <f>INDEX(LINEST(LN(AV201:AZ201),SQRT(AV200:AZ200),TRUE,TRUE),3,1)</f>
        <v>0.98487907678353792</v>
      </c>
      <c r="AR201" s="116">
        <f>INDEX(LINEST(LN(AV201:AZ201),SQRT((AV200:AZ200))),1)</f>
        <v>-1.0478724216700854E-3</v>
      </c>
      <c r="AS201" s="84">
        <f>INDEX(LINEST(1/(AV201:AZ201),1/(SQRT(AV200:AZ200)),TRUE,TRUE),3,1)</f>
        <v>0.60870455321883543</v>
      </c>
      <c r="AT201" s="84">
        <f>INDEX(LINEST(1/(AV201:AZ201),1/SQRT(AV200:AZ200)),1)</f>
        <v>-16.149471168956818</v>
      </c>
      <c r="AU201" s="3"/>
      <c r="AV201" s="53">
        <v>0.93</v>
      </c>
      <c r="AW201" s="53">
        <v>0.93</v>
      </c>
      <c r="AX201" s="53">
        <v>0.85</v>
      </c>
      <c r="AY201" s="53">
        <v>0.74</v>
      </c>
      <c r="AZ201" s="53">
        <v>0.62</v>
      </c>
      <c r="BA201" s="53"/>
      <c r="BB201" s="53"/>
      <c r="BC201" s="53"/>
      <c r="BD201" s="53"/>
      <c r="BE201" s="53"/>
      <c r="BF201" s="53"/>
      <c r="BG201" s="53"/>
      <c r="BH201" s="53"/>
      <c r="BI201" s="53"/>
      <c r="BJ201" s="53"/>
      <c r="BK201" s="53"/>
      <c r="BL201" s="53"/>
      <c r="BM201" s="53"/>
      <c r="BN201" s="53"/>
      <c r="BO201" s="53"/>
      <c r="BP201" s="53"/>
      <c r="BQ201" s="53"/>
      <c r="BR201" s="53"/>
      <c r="BS201" s="53"/>
      <c r="BT201" s="53"/>
      <c r="BU201" s="53"/>
      <c r="BV201" s="53"/>
      <c r="BW201" s="53"/>
      <c r="BX201" s="53"/>
      <c r="BY201" s="53"/>
      <c r="BZ201" s="53"/>
      <c r="CA201" s="53"/>
      <c r="CB201" s="53"/>
      <c r="CC201" s="53"/>
      <c r="CD201" s="53"/>
      <c r="CE201" s="53"/>
      <c r="CF201" s="53"/>
      <c r="CG201" s="53"/>
      <c r="CH201" s="53"/>
      <c r="CI201" s="53"/>
      <c r="CJ201" s="53"/>
      <c r="CK201" s="53"/>
      <c r="CL201" s="53"/>
      <c r="CM201" s="53"/>
      <c r="CN201" s="53"/>
      <c r="CO201" s="53"/>
      <c r="CP201" s="53"/>
      <c r="CQ201" s="53"/>
      <c r="CR201" s="1"/>
      <c r="CS201" s="1"/>
      <c r="CT201" s="1"/>
      <c r="CU201" s="1"/>
    </row>
    <row r="202" spans="1:99" s="13" customFormat="1" ht="12" customHeight="1" x14ac:dyDescent="0.2">
      <c r="A202" s="65">
        <v>43912</v>
      </c>
      <c r="B202" s="1"/>
      <c r="C202" s="1"/>
      <c r="D202" s="60"/>
      <c r="E202" s="76"/>
      <c r="F202" s="60"/>
      <c r="G202" s="60"/>
      <c r="H202" s="60"/>
      <c r="I202" s="60"/>
      <c r="J202" s="60"/>
      <c r="K202" s="64"/>
      <c r="L202" s="64"/>
      <c r="M202" s="60"/>
      <c r="N202" s="60"/>
      <c r="O202" s="60"/>
      <c r="P202" s="60"/>
      <c r="Q202" s="60"/>
      <c r="R202" s="60"/>
      <c r="S202" s="60"/>
      <c r="T202" s="59"/>
      <c r="U202" s="60"/>
      <c r="V202" s="59"/>
      <c r="W202" s="60"/>
      <c r="X202" s="60"/>
      <c r="Y202" s="76"/>
      <c r="Z202" s="60"/>
      <c r="AA202" s="60"/>
      <c r="AB202" s="60"/>
      <c r="AC202" s="56"/>
      <c r="AD202" s="60"/>
      <c r="AE202" s="60"/>
      <c r="AF202" s="80"/>
      <c r="AG202" s="56"/>
      <c r="AH202" s="4"/>
      <c r="AI202" s="56"/>
      <c r="AJ202" s="109"/>
      <c r="AK202" s="56"/>
      <c r="AL202" s="56"/>
      <c r="AM202" s="56"/>
      <c r="AN202" s="56"/>
      <c r="AO202" s="56"/>
      <c r="AP202" s="56"/>
      <c r="AQ202" s="56"/>
      <c r="AR202" s="109"/>
      <c r="AS202" s="56"/>
      <c r="AT202" s="56"/>
      <c r="AU202" s="4"/>
      <c r="AV202" s="25">
        <f>20*60</f>
        <v>1200</v>
      </c>
      <c r="AW202" s="25">
        <f>60*60</f>
        <v>3600</v>
      </c>
      <c r="AX202" s="25">
        <f>4*60*60</f>
        <v>14400</v>
      </c>
      <c r="AY202" s="25">
        <f>24*3600</f>
        <v>86400</v>
      </c>
      <c r="AZ202" s="25">
        <f>24*3600*2</f>
        <v>172800</v>
      </c>
      <c r="BA202" s="53"/>
      <c r="BB202" s="53"/>
      <c r="BC202" s="53"/>
      <c r="BD202" s="53"/>
      <c r="BE202" s="53"/>
      <c r="BF202" s="53"/>
      <c r="BG202" s="53"/>
      <c r="BH202" s="53"/>
      <c r="BI202" s="53"/>
      <c r="BJ202" s="53"/>
      <c r="BK202" s="53"/>
      <c r="BL202" s="53"/>
      <c r="BM202" s="53"/>
      <c r="BN202" s="53"/>
      <c r="BO202" s="53"/>
      <c r="BP202" s="53"/>
      <c r="BQ202" s="53"/>
      <c r="BR202" s="53"/>
      <c r="BS202" s="53"/>
      <c r="BT202" s="53"/>
      <c r="BU202" s="53"/>
      <c r="BV202" s="53"/>
      <c r="BW202" s="53"/>
      <c r="BX202" s="53"/>
      <c r="BY202" s="53"/>
      <c r="BZ202" s="53"/>
      <c r="CA202" s="53"/>
      <c r="CB202" s="53"/>
      <c r="CC202" s="53"/>
      <c r="CD202" s="53"/>
      <c r="CE202" s="53"/>
      <c r="CF202" s="53"/>
      <c r="CG202" s="53"/>
      <c r="CH202" s="53"/>
      <c r="CI202" s="53"/>
      <c r="CJ202" s="53"/>
      <c r="CK202" s="53"/>
      <c r="CL202" s="53"/>
      <c r="CM202" s="53"/>
      <c r="CN202" s="53"/>
      <c r="CO202" s="53"/>
      <c r="CP202" s="53"/>
      <c r="CQ202" s="53"/>
      <c r="CR202" s="1"/>
      <c r="CS202" s="1"/>
      <c r="CT202" s="1"/>
      <c r="CU202" s="1"/>
    </row>
    <row r="203" spans="1:99" s="13" customFormat="1" ht="12" customHeight="1" x14ac:dyDescent="0.2">
      <c r="A203" s="65">
        <v>43912</v>
      </c>
      <c r="B203" s="1" t="s">
        <v>118</v>
      </c>
      <c r="C203" s="1" t="s">
        <v>119</v>
      </c>
      <c r="D203" s="60">
        <v>1922</v>
      </c>
      <c r="E203" s="76">
        <v>3</v>
      </c>
      <c r="F203" s="60">
        <v>20</v>
      </c>
      <c r="G203" s="60">
        <v>20</v>
      </c>
      <c r="H203" s="60" t="s">
        <v>726</v>
      </c>
      <c r="I203" s="74">
        <v>0.33</v>
      </c>
      <c r="J203" s="60" t="s">
        <v>281</v>
      </c>
      <c r="K203" s="60">
        <f>IF(J203="syllables",1,IF(J203="trigrams",2,IF(J203="strings",3,IF(J203="visual array",4,IF(J203="characters",5,IF(J203="letters",6,IF(J203="free forms",7,IF(J203="odors",8,IF(J203="words",9,IF(J203="pictures",10,IF(J203="object pictures",11,IF(J203="faces",12,IF(J203="names",13,IF(J203="idioms",14,IF(J203="grades",15,IF(J203="syllable-digit pairs",16,IF(J203="trigram-word pairs",17,IF(J203="word-digit pairs",18,IF(J203="English-Swahili pairs",19,IF(J203="spatial position",20,IF(J203="word pairs",21,IF(J203="word triads",22,IF(J203="generated words",23,IF(J203="word definition pairs",24,IF(J203="math problems",25,IF(J203="famous faces",26,IF(J203="famous names",27,IF(J203="famous voices",28,IF(J203="television programs",29,IF(J203="race horses",30,IF(J203="new vocabulary",31,IF(J203="sentences",32,IF(J203="concepts",33,IF(J203="ad slides",34,IF(J203="scenes",35,IF(J203="famous scenes",36,IF(J203="poems",37,IF(J203="walk",38,IF(J203="faces and events",39,IF(J203="events and names",40,IF(J203="flashbulb",41,IF(J203="stories",42,IF(J203="course material",43,IF(J203="autobiographical",44,IF(J203="novels",45,IF(J203="public events",46,"99"))))))))))))))))))))))))))))))))))))))))))))))</f>
        <v>1</v>
      </c>
      <c r="L203" s="60">
        <f>IF(J203="syllables",1,IF(J203="trigrams",1,IF(J203="strings",1,IF(J203="visual array",1,IF(J203="characters",1,IF(J203="letters",1,IF(J203="free forms",1,IF(J203="odors",2,IF(J203="words",2,IF(J203="pictures",2,IF(J203="object pictures",2,IF(J203="faces",2,IF(J203="names",2,IF(J203="idioms","2",IF(J203="grades",2,IF(J203="syllable-digit pairs",3,IF(J203="trigram-word pairs",3,IF(J203="word-digit pairs",3,IF(J203="English-Swahili pairs",3,IF(J203="spatial position",3,IF(J203="word pairs",4,IF(J203="word triads",4,IF(J203="generated words",4,IF(J203="word definition pairs",4,IF(J203="math problems",4,IF(J203="famous faces",4,IF(J203="famous names",4,IF(J203="famous voices",4,IF(J203="television programs",4,IF(J203="race horses",4,IF(J203="new vocabulary",4,IF(J203="sentences",5,IF(J203="concepts",5,IF(J203="ad slides",5,IF(J203="scenes",5,IF(J203="famous scenes",5,IF(J203="poems",6,IF(J203="walk",6,IF(J203="faces and events",6,IF(J203="events and names",6,IF(J203="flashbulb",7,IF(J203="stories",7,IF(J203="course material",7,IF(J203="autobiographical",7,IF(J203="novels",7,IF(J203="public events",7,"99"))))))))))))))))))))))))))))))))))))))))))))))</f>
        <v>1</v>
      </c>
      <c r="M203" s="60">
        <v>1</v>
      </c>
      <c r="N203" s="60">
        <v>2</v>
      </c>
      <c r="O203" s="60">
        <v>0</v>
      </c>
      <c r="P203" s="60"/>
      <c r="Q203" s="60" t="s">
        <v>34</v>
      </c>
      <c r="R203" s="60">
        <f>IF(Q203="Free Recall",1,IF(Q203="Cued Recall",2,IF(Q203="Recognition",3,IF(Q203="Multiple Choice",4,IF(Q203="Savings",5,IF(Q203="Stem Completion",6,IF(Q203="Fragment Completion",7,IF(Q203="anagram solution",8,IF(Q203="Matching",9,IF(Q203="Problem Solving",10,"99"))))))))))</f>
        <v>3</v>
      </c>
      <c r="S203" s="59" t="s">
        <v>15</v>
      </c>
      <c r="T203" s="59" t="s">
        <v>581</v>
      </c>
      <c r="U203" s="60">
        <f>IF(T203="within",1,0)</f>
        <v>1</v>
      </c>
      <c r="V203" s="59">
        <v>12</v>
      </c>
      <c r="W203" s="60">
        <f>F203*V203</f>
        <v>240</v>
      </c>
      <c r="X203" s="60">
        <v>5</v>
      </c>
      <c r="Y203" s="76">
        <f>AV202</f>
        <v>1200</v>
      </c>
      <c r="Z203" s="60" t="s">
        <v>88</v>
      </c>
      <c r="AA203" s="60">
        <v>172800</v>
      </c>
      <c r="AB203" s="60" t="str">
        <f>IF(AA203&lt;60,"1",IF(AA203&lt;=43200,"2",IF(AA203&lt;=777600,"3","4")))</f>
        <v>3</v>
      </c>
      <c r="AC203" s="56">
        <f>AVERAGE(AV202:DA202)</f>
        <v>55680</v>
      </c>
      <c r="AD203" s="60" t="str">
        <f>IF(AC203&lt;60,"1",IF(AC203&lt;=43200,"2",IF(AC203&lt;=777600,"3","4")))</f>
        <v>3</v>
      </c>
      <c r="AE203" s="76">
        <f>AA203-Y203</f>
        <v>171600</v>
      </c>
      <c r="AF203" s="80">
        <f>AV203</f>
        <v>0.73</v>
      </c>
      <c r="AG203" s="56">
        <f>((AW203-AV203)+(AX203-AW203)+(AY203-AX203)+(AZ203-AY203))/4</f>
        <v>-0.11749999999999999</v>
      </c>
      <c r="AH203" s="4"/>
      <c r="AI203" s="56">
        <f>RSQ(AV203:AZ203,AV202:AZ202)</f>
        <v>0.91356756781213388</v>
      </c>
      <c r="AJ203" s="109">
        <f>SLOPE(AV203:AZ203,AV202:AZ202)</f>
        <v>-2.3235483674304775E-6</v>
      </c>
      <c r="AK203" s="56">
        <f>INTERCEPT(AV203:AZ203,AV202:AZ202)</f>
        <v>0.65737517309852911</v>
      </c>
      <c r="AL203" s="56">
        <f>INDEX(LINEST(LN(AV203:AZ203),LN(AV202:AZ202),TRUE,TRUE),3,1)</f>
        <v>0.82606297943249773</v>
      </c>
      <c r="AM203" s="56">
        <f>INDEX(LINEST(LN(AV203:AZ203),LN(AV202:AZ202)),1)</f>
        <v>-0.17511701843707009</v>
      </c>
      <c r="AN203" s="56">
        <f>EXP(INDEX(LINEST(LN(AV203:AZ203),LN(AV202:AZ202)),1,2))</f>
        <v>2.7032530215789028</v>
      </c>
      <c r="AO203" s="82">
        <f>INDEX(LINEST((AV203:AZ203),LN(AV202:AZ202),TRUE,TRUE),3,1)</f>
        <v>0.91853867237312348</v>
      </c>
      <c r="AP203" s="82">
        <f>INDEX(LINEST((AV203:AZ203),LN(AV202:AZ202)),1)</f>
        <v>-8.2814068511926256E-2</v>
      </c>
      <c r="AQ203" s="83">
        <f>INDEX(LINEST(LN(AV203:AZ203),SQRT(AV202:AZ202),TRUE,TRUE),3,1)</f>
        <v>0.92536431869365765</v>
      </c>
      <c r="AR203" s="116">
        <f>INDEX(LINEST(LN(AV203:AZ203),SQRT((AV202:AZ202))),1)</f>
        <v>-2.3608478803996478E-3</v>
      </c>
      <c r="AS203" s="84">
        <f>INDEX(LINEST(1/(AV203:AZ203),1/(SQRT(AV202:AZ202)),TRUE,TRUE),3,1)</f>
        <v>0.50727711767289629</v>
      </c>
      <c r="AT203" s="84">
        <f>INDEX(LINEST(1/(AV203:AZ203),1/SQRT(AV202:AZ202)),1)</f>
        <v>-64.159717286114684</v>
      </c>
      <c r="AU203" s="3"/>
      <c r="AV203" s="53">
        <v>0.73</v>
      </c>
      <c r="AW203" s="53">
        <v>0.64</v>
      </c>
      <c r="AX203" s="53">
        <v>0.55000000000000004</v>
      </c>
      <c r="AY203" s="53">
        <v>0.46</v>
      </c>
      <c r="AZ203" s="53">
        <v>0.26</v>
      </c>
      <c r="BA203" s="53"/>
      <c r="BB203" s="53"/>
      <c r="BC203" s="53"/>
      <c r="BD203" s="53"/>
      <c r="BE203" s="53"/>
      <c r="BF203" s="53"/>
      <c r="BG203" s="53"/>
      <c r="BH203" s="53"/>
      <c r="BI203" s="53"/>
      <c r="BJ203" s="53"/>
      <c r="BK203" s="53"/>
      <c r="BL203" s="53"/>
      <c r="BM203" s="53"/>
      <c r="BN203" s="53"/>
      <c r="BO203" s="53"/>
      <c r="BP203" s="53"/>
      <c r="BQ203" s="53"/>
      <c r="BR203" s="53"/>
      <c r="BS203" s="53"/>
      <c r="BT203" s="53"/>
      <c r="BU203" s="53"/>
      <c r="BV203" s="53"/>
      <c r="BW203" s="53"/>
      <c r="BX203" s="53"/>
      <c r="BY203" s="53"/>
      <c r="BZ203" s="53"/>
      <c r="CA203" s="53"/>
      <c r="CB203" s="53"/>
      <c r="CC203" s="53"/>
      <c r="CD203" s="53"/>
      <c r="CE203" s="53"/>
      <c r="CF203" s="53"/>
      <c r="CG203" s="53"/>
      <c r="CH203" s="53"/>
      <c r="CI203" s="53"/>
      <c r="CJ203" s="53"/>
      <c r="CK203" s="53"/>
      <c r="CL203" s="53"/>
      <c r="CM203" s="53"/>
      <c r="CN203" s="53"/>
      <c r="CO203" s="53"/>
      <c r="CP203" s="53"/>
      <c r="CQ203" s="53"/>
      <c r="CR203" s="1"/>
      <c r="CS203" s="1"/>
      <c r="CT203" s="1"/>
      <c r="CU203" s="1"/>
    </row>
    <row r="204" spans="1:99" s="13" customFormat="1" ht="12" customHeight="1" x14ac:dyDescent="0.2">
      <c r="A204" s="65">
        <v>43509</v>
      </c>
      <c r="B204" s="1"/>
      <c r="C204" s="1"/>
      <c r="D204" s="60"/>
      <c r="E204" s="76"/>
      <c r="F204" s="60"/>
      <c r="G204" s="60"/>
      <c r="H204" s="60"/>
      <c r="I204" s="60"/>
      <c r="J204" s="60"/>
      <c r="K204" s="64"/>
      <c r="L204" s="64"/>
      <c r="M204" s="60"/>
      <c r="N204" s="60"/>
      <c r="O204" s="60"/>
      <c r="P204" s="60"/>
      <c r="Q204" s="60"/>
      <c r="R204" s="60"/>
      <c r="S204" s="60"/>
      <c r="T204" s="60"/>
      <c r="U204" s="60"/>
      <c r="V204" s="60"/>
      <c r="W204" s="60"/>
      <c r="X204" s="60"/>
      <c r="Y204" s="76"/>
      <c r="Z204" s="60"/>
      <c r="AA204" s="60"/>
      <c r="AB204" s="60"/>
      <c r="AC204" s="60"/>
      <c r="AD204" s="60"/>
      <c r="AE204" s="60"/>
      <c r="AF204" s="80"/>
      <c r="AG204" s="56"/>
      <c r="AH204" s="4"/>
      <c r="AI204" s="56"/>
      <c r="AJ204" s="109"/>
      <c r="AK204" s="56"/>
      <c r="AL204" s="56"/>
      <c r="AM204" s="56"/>
      <c r="AN204" s="56"/>
      <c r="AO204" s="56"/>
      <c r="AP204" s="56"/>
      <c r="AQ204" s="56"/>
      <c r="AR204" s="109"/>
      <c r="AS204" s="56"/>
      <c r="AT204" s="56"/>
      <c r="AU204" s="4"/>
      <c r="AV204" s="25">
        <f>60*60</f>
        <v>3600</v>
      </c>
      <c r="AW204" s="25">
        <f>24*3600</f>
        <v>86400</v>
      </c>
      <c r="AX204" s="25">
        <f>24*3600*2</f>
        <v>172800</v>
      </c>
      <c r="AY204" s="53"/>
      <c r="AZ204" s="53"/>
      <c r="BA204" s="53"/>
      <c r="BB204" s="53"/>
      <c r="BC204" s="53"/>
      <c r="BD204" s="53"/>
      <c r="BE204" s="53"/>
      <c r="BF204" s="53"/>
      <c r="BG204" s="53"/>
      <c r="BH204" s="53"/>
      <c r="BI204" s="53"/>
      <c r="BJ204" s="53"/>
      <c r="BK204" s="53"/>
      <c r="BL204" s="53"/>
      <c r="BM204" s="53"/>
      <c r="BN204" s="53"/>
      <c r="BO204" s="53"/>
      <c r="BP204" s="53"/>
      <c r="BQ204" s="53"/>
      <c r="BR204" s="53"/>
      <c r="BS204" s="53"/>
      <c r="BT204" s="53"/>
      <c r="BU204" s="53"/>
      <c r="BV204" s="53"/>
      <c r="BW204" s="53"/>
      <c r="BX204" s="53"/>
      <c r="BY204" s="53"/>
      <c r="BZ204" s="53"/>
      <c r="CA204" s="53"/>
      <c r="CB204" s="53"/>
      <c r="CC204" s="53"/>
      <c r="CD204" s="53"/>
      <c r="CE204" s="53"/>
      <c r="CF204" s="53"/>
      <c r="CG204" s="53"/>
      <c r="CH204" s="53"/>
      <c r="CI204" s="53"/>
      <c r="CJ204" s="53"/>
      <c r="CK204" s="53"/>
      <c r="CL204" s="53"/>
      <c r="CM204" s="53"/>
      <c r="CN204" s="53"/>
      <c r="CO204" s="53"/>
      <c r="CP204" s="53"/>
      <c r="CQ204" s="53"/>
      <c r="CR204" s="1"/>
      <c r="CS204" s="1"/>
      <c r="CT204" s="1"/>
      <c r="CU204" s="1"/>
    </row>
    <row r="205" spans="1:99" s="13" customFormat="1" ht="12" customHeight="1" x14ac:dyDescent="0.2">
      <c r="A205" s="65">
        <v>43509</v>
      </c>
      <c r="B205" s="1" t="s">
        <v>120</v>
      </c>
      <c r="C205" s="1" t="s">
        <v>48</v>
      </c>
      <c r="D205" s="60">
        <v>2007</v>
      </c>
      <c r="E205" s="76">
        <v>1</v>
      </c>
      <c r="F205" s="60">
        <v>72</v>
      </c>
      <c r="G205" s="60">
        <v>24</v>
      </c>
      <c r="H205" s="60" t="s">
        <v>22</v>
      </c>
      <c r="I205" s="60" t="s">
        <v>727</v>
      </c>
      <c r="J205" s="60" t="s">
        <v>475</v>
      </c>
      <c r="K205" s="60">
        <f>IF(J205="syllables",1,IF(J205="trigrams",2,IF(J205="strings",3,IF(J205="visual array",4,IF(J205="characters",5,IF(J205="letters",6,IF(J205="free forms",7,IF(J205="odors",8,IF(J205="words",9,IF(J205="pictures",10,IF(J205="object pictures",11,IF(J205="faces",12,IF(J205="names",13,IF(J205="idioms",14,IF(J205="grades",15,IF(J205="syllable-digit pairs",16,IF(J205="trigram-word pairs",17,IF(J205="word-digit pairs",18,IF(J205="English-Swahili pairs",19,IF(J205="spatial position",20,IF(J205="word pairs",21,IF(J205="word triads",22,IF(J205="generated words",23,IF(J205="word definition pairs",24,IF(J205="math problems",25,IF(J205="famous faces",26,IF(J205="famous names",27,IF(J205="famous voices",28,IF(J205="television programs",29,IF(J205="race horses",30,IF(J205="new vocabulary",31,IF(J205="sentences",32,IF(J205="concepts",33,IF(J205="ad slides",34,IF(J205="scenes",35,IF(J205="famous scenes",36,IF(J205="poems",37,IF(J205="walk",38,IF(J205="faces and events",39,IF(J205="events and names",40,IF(J205="flashbulb",41,IF(J205="stories",42,IF(J205="course material",43,IF(J205="autobiographical",44,IF(J205="novels",45,IF(J205="public events",46,"99"))))))))))))))))))))))))))))))))))))))))))))))</f>
        <v>32</v>
      </c>
      <c r="L205" s="60">
        <f>IF(J205="syllables",1,IF(J205="trigrams",1,IF(J205="strings",1,IF(J205="visual array",1,IF(J205="characters",1,IF(J205="letters",1,IF(J205="free forms",1,IF(J205="odors",2,IF(J205="words",2,IF(J205="pictures",2,IF(J205="object pictures",2,IF(J205="faces",2,IF(J205="names",2,IF(J205="idioms","2",IF(J205="grades",2,IF(J205="syllable-digit pairs",3,IF(J205="trigram-word pairs",3,IF(J205="word-digit pairs",3,IF(J205="English-Swahili pairs",3,IF(J205="spatial position",3,IF(J205="word pairs",4,IF(J205="word triads",4,IF(J205="generated words",4,IF(J205="word definition pairs",4,IF(J205="math problems",4,IF(J205="famous faces",4,IF(J205="famous names",4,IF(J205="famous voices",4,IF(J205="television programs",4,IF(J205="race horses",4,IF(J205="new vocabulary",4,IF(J205="sentences",5,IF(J205="concepts",5,IF(J205="ad slides",5,IF(J205="scenes",5,IF(J205="famous scenes",5,IF(J205="poems",6,IF(J205="walk",6,IF(J205="faces and events",6,IF(J205="events and names",6,IF(J205="flashbulb",7,IF(J205="stories",7,IF(J205="course material",7,IF(J205="autobiographical",7,IF(J205="novels",7,IF(J205="public events",7,"99"))))))))))))))))))))))))))))))))))))))))))))))</f>
        <v>5</v>
      </c>
      <c r="M205" s="60">
        <v>0</v>
      </c>
      <c r="N205" s="60">
        <v>3</v>
      </c>
      <c r="O205" s="60">
        <v>0</v>
      </c>
      <c r="P205" s="60"/>
      <c r="Q205" s="60" t="s">
        <v>34</v>
      </c>
      <c r="R205" s="60">
        <f>IF(Q205="Free Recall",1,IF(Q205="Cued Recall",2,IF(Q205="Recognition",3,IF(Q205="Multiple Choice",4,IF(Q205="Savings",5,IF(Q205="Stem Completion",6,IF(Q205="Fragment Completion",7,IF(Q205="anagram solution",8,IF(Q205="Matching",9,IF(Q205="Problem Solving",10,"99"))))))))))</f>
        <v>3</v>
      </c>
      <c r="S205" s="60" t="s">
        <v>229</v>
      </c>
      <c r="T205" s="60" t="s">
        <v>261</v>
      </c>
      <c r="U205" s="60">
        <f>IF(T205="within",1,0)</f>
        <v>0</v>
      </c>
      <c r="V205" s="60">
        <v>40</v>
      </c>
      <c r="W205" s="60">
        <f>F205*V205</f>
        <v>2880</v>
      </c>
      <c r="X205" s="60">
        <v>3</v>
      </c>
      <c r="Y205" s="76">
        <f>AV204</f>
        <v>3600</v>
      </c>
      <c r="Z205" s="60" t="s">
        <v>88</v>
      </c>
      <c r="AA205" s="60">
        <v>172800</v>
      </c>
      <c r="AB205" s="60" t="str">
        <f>IF(AA205&lt;60,"1",IF(AA205&lt;=43200,"2",IF(AA205&lt;=777600,"3","4")))</f>
        <v>3</v>
      </c>
      <c r="AC205" s="56">
        <f>AVERAGE(AV204:DA204)</f>
        <v>87600</v>
      </c>
      <c r="AD205" s="60" t="str">
        <f>IF(AC205&lt;60,"1",IF(AC205&lt;=43200,"2",IF(AC205&lt;=777600,"3","4")))</f>
        <v>3</v>
      </c>
      <c r="AE205" s="76">
        <f>AA205-Y205</f>
        <v>169200</v>
      </c>
      <c r="AF205" s="80">
        <f>AV205</f>
        <v>0.99</v>
      </c>
      <c r="AG205" s="56">
        <f>((AW205-AV205)+(AX205-AW205))/2</f>
        <v>-8.0000000000000016E-2</v>
      </c>
      <c r="AH205" s="4"/>
      <c r="AI205" s="56">
        <f>RSQ(AV205:AX205,AV204:AX204)</f>
        <v>0.99984912492456268</v>
      </c>
      <c r="AJ205" s="109">
        <f>SLOPE(AV205:AX205,AV204:AX204)</f>
        <v>-9.4548380607523665E-7</v>
      </c>
      <c r="AK205" s="56">
        <f>INTERCEPT(AV205:AX205,AV204:AX204)</f>
        <v>0.99282438141219076</v>
      </c>
      <c r="AL205" s="56">
        <f>INDEX(LINEST(LN(AV205:AX205),LN(AV204:AX204),TRUE,TRUE),3,1)</f>
        <v>0.86220321487196527</v>
      </c>
      <c r="AM205" s="56">
        <f>INDEX(LINEST(LN(AV205:AX205),LN(AV204:AX204)),1)</f>
        <v>-3.966017765075585E-2</v>
      </c>
      <c r="AN205" s="56">
        <f>EXP(INDEX(LINEST(LN(AV205:AX205),LN(AV204:AX204)),1,2))</f>
        <v>1.3785876972409998</v>
      </c>
      <c r="AO205" s="82">
        <f>INDEX(LINEST((AV205:AX205),LN(AV204:AX204),TRUE,TRUE),3,1)</f>
        <v>0.87924200716466017</v>
      </c>
      <c r="AP205" s="82">
        <f>INDEX(LINEST((AV205:AX205),LN(AV204:AX204)),1)</f>
        <v>-3.6339813083834958E-2</v>
      </c>
      <c r="AQ205" s="83">
        <f>INDEX(LINEST(LN(AV205:AX205),SQRT(AV204:AX204),TRUE,TRUE),3,1)</f>
        <v>0.95834965144669881</v>
      </c>
      <c r="AR205" s="116">
        <f>INDEX(LINEST(LN(AV205:AX205),SQRT((AV204:AX204))),1)</f>
        <v>-4.7746925148478331E-4</v>
      </c>
      <c r="AS205" s="84">
        <f>INDEX(LINEST(1/(AV205:AX205),1/(SQRT(AV204:AX204)),TRUE,TRUE),3,1)</f>
        <v>0.76023960606948116</v>
      </c>
      <c r="AT205" s="84">
        <f>INDEX(LINEST(1/(AV205:AX205),1/SQRT(AV204:AX204)),1)</f>
        <v>-10.676080415434951</v>
      </c>
      <c r="AU205" s="3"/>
      <c r="AV205" s="53">
        <v>0.99</v>
      </c>
      <c r="AW205" s="53">
        <v>0.91</v>
      </c>
      <c r="AX205" s="53">
        <v>0.83</v>
      </c>
      <c r="AY205" s="53"/>
      <c r="AZ205" s="53"/>
      <c r="BA205" s="53"/>
      <c r="BB205" s="53"/>
      <c r="BC205" s="53"/>
      <c r="BD205" s="53"/>
      <c r="BE205" s="53"/>
      <c r="BF205" s="53"/>
      <c r="BG205" s="53"/>
      <c r="BH205" s="53"/>
      <c r="BI205" s="53"/>
      <c r="BJ205" s="53"/>
      <c r="BK205" s="53"/>
      <c r="BL205" s="53"/>
      <c r="BM205" s="53"/>
      <c r="BN205" s="53"/>
      <c r="BO205" s="53"/>
      <c r="BP205" s="53"/>
      <c r="BQ205" s="53"/>
      <c r="BR205" s="53"/>
      <c r="BS205" s="53"/>
      <c r="BT205" s="53"/>
      <c r="BU205" s="53"/>
      <c r="BV205" s="53"/>
      <c r="BW205" s="53"/>
      <c r="BX205" s="53"/>
      <c r="BY205" s="53"/>
      <c r="BZ205" s="53"/>
      <c r="CA205" s="53"/>
      <c r="CB205" s="53"/>
      <c r="CC205" s="53"/>
      <c r="CD205" s="53"/>
      <c r="CE205" s="53"/>
      <c r="CF205" s="53"/>
      <c r="CG205" s="53"/>
      <c r="CH205" s="53"/>
      <c r="CI205" s="53"/>
      <c r="CJ205" s="53"/>
      <c r="CK205" s="53"/>
      <c r="CL205" s="53"/>
      <c r="CM205" s="53"/>
      <c r="CN205" s="53"/>
      <c r="CO205" s="53"/>
      <c r="CP205" s="53"/>
      <c r="CQ205" s="53"/>
      <c r="CR205" s="1"/>
      <c r="CS205" s="1"/>
      <c r="CT205" s="1"/>
      <c r="CU205" s="1"/>
    </row>
    <row r="206" spans="1:99" s="13" customFormat="1" ht="12" customHeight="1" x14ac:dyDescent="0.2">
      <c r="A206" s="65">
        <v>43509</v>
      </c>
      <c r="B206" s="1"/>
      <c r="C206" s="1"/>
      <c r="D206" s="60"/>
      <c r="E206" s="76"/>
      <c r="F206" s="60"/>
      <c r="G206" s="60"/>
      <c r="H206" s="60"/>
      <c r="I206" s="60"/>
      <c r="J206" s="60"/>
      <c r="K206" s="64"/>
      <c r="L206" s="64"/>
      <c r="M206" s="60"/>
      <c r="N206" s="60"/>
      <c r="O206" s="60"/>
      <c r="P206" s="60"/>
      <c r="Q206" s="60"/>
      <c r="R206" s="60"/>
      <c r="S206" s="60"/>
      <c r="T206" s="60"/>
      <c r="U206" s="60"/>
      <c r="V206" s="60"/>
      <c r="W206" s="60"/>
      <c r="X206" s="60"/>
      <c r="Y206" s="76"/>
      <c r="Z206" s="60"/>
      <c r="AA206" s="60"/>
      <c r="AB206" s="60"/>
      <c r="AC206" s="60"/>
      <c r="AD206" s="60"/>
      <c r="AE206" s="60"/>
      <c r="AF206" s="80"/>
      <c r="AG206" s="56"/>
      <c r="AH206" s="4"/>
      <c r="AI206" s="56"/>
      <c r="AJ206" s="109"/>
      <c r="AK206" s="56"/>
      <c r="AL206" s="56"/>
      <c r="AM206" s="56"/>
      <c r="AN206" s="56"/>
      <c r="AO206" s="56"/>
      <c r="AP206" s="56"/>
      <c r="AQ206" s="56"/>
      <c r="AR206" s="109"/>
      <c r="AS206" s="56"/>
      <c r="AT206" s="56"/>
      <c r="AU206" s="4"/>
      <c r="AV206" s="25">
        <f>60*60</f>
        <v>3600</v>
      </c>
      <c r="AW206" s="25">
        <f>24*3600</f>
        <v>86400</v>
      </c>
      <c r="AX206" s="25">
        <f>24*3600*2</f>
        <v>172800</v>
      </c>
      <c r="AY206" s="53"/>
      <c r="AZ206" s="53"/>
      <c r="BA206" s="53"/>
      <c r="BB206" s="53"/>
      <c r="BC206" s="53"/>
      <c r="BD206" s="53"/>
      <c r="BE206" s="53"/>
      <c r="BF206" s="53"/>
      <c r="BG206" s="53"/>
      <c r="BH206" s="53"/>
      <c r="BI206" s="53"/>
      <c r="BJ206" s="53"/>
      <c r="BK206" s="53"/>
      <c r="BL206" s="53"/>
      <c r="BM206" s="53"/>
      <c r="BN206" s="53"/>
      <c r="BO206" s="53"/>
      <c r="BP206" s="53"/>
      <c r="BQ206" s="53"/>
      <c r="BR206" s="53"/>
      <c r="BS206" s="53"/>
      <c r="BT206" s="53"/>
      <c r="BU206" s="53"/>
      <c r="BV206" s="53"/>
      <c r="BW206" s="53"/>
      <c r="BX206" s="53"/>
      <c r="BY206" s="53"/>
      <c r="BZ206" s="53"/>
      <c r="CA206" s="53"/>
      <c r="CB206" s="53"/>
      <c r="CC206" s="53"/>
      <c r="CD206" s="53"/>
      <c r="CE206" s="53"/>
      <c r="CF206" s="53"/>
      <c r="CG206" s="53"/>
      <c r="CH206" s="53"/>
      <c r="CI206" s="53"/>
      <c r="CJ206" s="53"/>
      <c r="CK206" s="53"/>
      <c r="CL206" s="53"/>
      <c r="CM206" s="53"/>
      <c r="CN206" s="53"/>
      <c r="CO206" s="53"/>
      <c r="CP206" s="53"/>
      <c r="CQ206" s="53"/>
      <c r="CR206" s="1"/>
      <c r="CS206" s="1"/>
      <c r="CT206" s="1"/>
      <c r="CU206" s="1"/>
    </row>
    <row r="207" spans="1:99" s="13" customFormat="1" ht="12" customHeight="1" x14ac:dyDescent="0.2">
      <c r="A207" s="65">
        <v>43509</v>
      </c>
      <c r="B207" s="1" t="s">
        <v>120</v>
      </c>
      <c r="C207" s="1" t="s">
        <v>48</v>
      </c>
      <c r="D207" s="60">
        <v>2007</v>
      </c>
      <c r="E207" s="76">
        <v>1</v>
      </c>
      <c r="F207" s="60">
        <v>72</v>
      </c>
      <c r="G207" s="60">
        <v>24</v>
      </c>
      <c r="H207" s="60" t="s">
        <v>22</v>
      </c>
      <c r="I207" s="60" t="s">
        <v>728</v>
      </c>
      <c r="J207" s="60" t="s">
        <v>475</v>
      </c>
      <c r="K207" s="60">
        <f>IF(J207="syllables",1,IF(J207="trigrams",2,IF(J207="strings",3,IF(J207="visual array",4,IF(J207="characters",5,IF(J207="letters",6,IF(J207="free forms",7,IF(J207="odors",8,IF(J207="words",9,IF(J207="pictures",10,IF(J207="object pictures",11,IF(J207="faces",12,IF(J207="names",13,IF(J207="idioms",14,IF(J207="grades",15,IF(J207="syllable-digit pairs",16,IF(J207="trigram-word pairs",17,IF(J207="word-digit pairs",18,IF(J207="English-Swahili pairs",19,IF(J207="spatial position",20,IF(J207="word pairs",21,IF(J207="word triads",22,IF(J207="generated words",23,IF(J207="word definition pairs",24,IF(J207="math problems",25,IF(J207="famous faces",26,IF(J207="famous names",27,IF(J207="famous voices",28,IF(J207="television programs",29,IF(J207="race horses",30,IF(J207="new vocabulary",31,IF(J207="sentences",32,IF(J207="concepts",33,IF(J207="ad slides",34,IF(J207="scenes",35,IF(J207="famous scenes",36,IF(J207="poems",37,IF(J207="walk",38,IF(J207="faces and events",39,IF(J207="events and names",40,IF(J207="flashbulb",41,IF(J207="stories",42,IF(J207="course material",43,IF(J207="autobiographical",44,IF(J207="novels",45,IF(J207="public events",46,"99"))))))))))))))))))))))))))))))))))))))))))))))</f>
        <v>32</v>
      </c>
      <c r="L207" s="60">
        <f>IF(J207="syllables",1,IF(J207="trigrams",1,IF(J207="strings",1,IF(J207="visual array",1,IF(J207="characters",1,IF(J207="letters",1,IF(J207="free forms",1,IF(J207="odors",2,IF(J207="words",2,IF(J207="pictures",2,IF(J207="object pictures",2,IF(J207="faces",2,IF(J207="names",2,IF(J207="idioms","2",IF(J207="grades",2,IF(J207="syllable-digit pairs",3,IF(J207="trigram-word pairs",3,IF(J207="word-digit pairs",3,IF(J207="English-Swahili pairs",3,IF(J207="spatial position",3,IF(J207="word pairs",4,IF(J207="word triads",4,IF(J207="generated words",4,IF(J207="word definition pairs",4,IF(J207="math problems",4,IF(J207="famous faces",4,IF(J207="famous names",4,IF(J207="famous voices",4,IF(J207="television programs",4,IF(J207="race horses",4,IF(J207="new vocabulary",4,IF(J207="sentences",5,IF(J207="concepts",5,IF(J207="ad slides",5,IF(J207="scenes",5,IF(J207="famous scenes",5,IF(J207="poems",6,IF(J207="walk",6,IF(J207="faces and events",6,IF(J207="events and names",6,IF(J207="flashbulb",7,IF(J207="stories",7,IF(J207="course material",7,IF(J207="autobiographical",7,IF(J207="novels",7,IF(J207="public events",7,"99"))))))))))))))))))))))))))))))))))))))))))))))</f>
        <v>5</v>
      </c>
      <c r="M207" s="60">
        <v>0</v>
      </c>
      <c r="N207" s="60">
        <v>3</v>
      </c>
      <c r="O207" s="60">
        <v>0</v>
      </c>
      <c r="P207" s="60"/>
      <c r="Q207" s="60" t="s">
        <v>34</v>
      </c>
      <c r="R207" s="60">
        <f>IF(Q207="Free Recall",1,IF(Q207="Cued Recall",2,IF(Q207="Recognition",3,IF(Q207="Multiple Choice",4,IF(Q207="Savings",5,IF(Q207="Stem Completion",6,IF(Q207="Fragment Completion",7,IF(Q207="anagram solution",8,IF(Q207="Matching",9,IF(Q207="Problem Solving",10,"99"))))))))))</f>
        <v>3</v>
      </c>
      <c r="S207" s="60" t="s">
        <v>229</v>
      </c>
      <c r="T207" s="60" t="s">
        <v>261</v>
      </c>
      <c r="U207" s="60">
        <f>IF(T207="within",1,0)</f>
        <v>0</v>
      </c>
      <c r="V207" s="60">
        <v>40</v>
      </c>
      <c r="W207" s="60">
        <f>F207*V207</f>
        <v>2880</v>
      </c>
      <c r="X207" s="60">
        <v>3</v>
      </c>
      <c r="Y207" s="76">
        <f>AV206</f>
        <v>3600</v>
      </c>
      <c r="Z207" s="60" t="s">
        <v>88</v>
      </c>
      <c r="AA207" s="60">
        <v>172800</v>
      </c>
      <c r="AB207" s="60" t="str">
        <f>IF(AA207&lt;60,"1",IF(AA207&lt;=43200,"2",IF(AA207&lt;=777600,"3","4")))</f>
        <v>3</v>
      </c>
      <c r="AC207" s="56">
        <f>AVERAGE(AV206:DA206)</f>
        <v>87600</v>
      </c>
      <c r="AD207" s="60" t="str">
        <f>IF(AC207&lt;60,"1",IF(AC207&lt;=43200,"2",IF(AC207&lt;=777600,"3","4")))</f>
        <v>3</v>
      </c>
      <c r="AE207" s="76">
        <f>AA207-Y207</f>
        <v>169200</v>
      </c>
      <c r="AF207" s="80">
        <f>AV207</f>
        <v>0.95</v>
      </c>
      <c r="AG207" s="56">
        <f>((AW207-AV207)+(AX207-AW207))/2</f>
        <v>-0.16999999999999998</v>
      </c>
      <c r="AH207" s="4"/>
      <c r="AI207" s="56">
        <f>RSQ(AV207:AX207,AV206:AX206)</f>
        <v>0.96777633142179775</v>
      </c>
      <c r="AJ207" s="109">
        <f>SLOPE(AV207:AX207,AV206:AX206)</f>
        <v>-2.0049621135921675E-6</v>
      </c>
      <c r="AK207" s="56">
        <f>INTERCEPT(AV207:AX207,AV206:AX206)</f>
        <v>0.93896801448400713</v>
      </c>
      <c r="AL207" s="56">
        <f>INDEX(LINEST(LN(AV207:AX207),LN(AV206:AX206),TRUE,TRUE),3,1)</f>
        <v>0.94065580339313215</v>
      </c>
      <c r="AM207" s="56">
        <f>INDEX(LINEST(LN(AV207:AX207),LN(AV206:AX206)),1)</f>
        <v>-0.10469048836856661</v>
      </c>
      <c r="AN207" s="56">
        <f>EXP(INDEX(LINEST(LN(AV207:AX207),LN(AV206:AX206)),1,2))</f>
        <v>2.2625844469426681</v>
      </c>
      <c r="AO207" s="82">
        <f>INDEX(LINEST((AV207:AX207),LN(AV206:AX206),TRUE,TRUE),3,1)</f>
        <v>0.9655455475512591</v>
      </c>
      <c r="AP207" s="82">
        <f>INDEX(LINEST((AV207:AX207),LN(AV206:AX206)),1)</f>
        <v>-8.2081761931416405E-2</v>
      </c>
      <c r="AQ207" s="83">
        <f>INDEX(LINEST(LN(AV207:AX207),SQRT(AV206:AX206),TRUE,TRUE),3,1)</f>
        <v>0.99492503009747013</v>
      </c>
      <c r="AR207" s="116">
        <f>INDEX(LINEST(LN(AV207:AX207),SQRT((AV206:AX206))),1)</f>
        <v>-1.2294775764911312E-3</v>
      </c>
      <c r="AS207" s="84">
        <f>INDEX(LINEST(1/(AV207:AX207),1/(SQRT(AV206:AX206)),TRUE,TRUE),3,1)</f>
        <v>0.83815606166273271</v>
      </c>
      <c r="AT207" s="84">
        <f>INDEX(LINEST(1/(AV207:AX207),1/SQRT(AV206:AX206)),1)</f>
        <v>-33.770542358911122</v>
      </c>
      <c r="AU207" s="3"/>
      <c r="AV207" s="53">
        <v>0.95</v>
      </c>
      <c r="AW207" s="53">
        <v>0.73</v>
      </c>
      <c r="AX207" s="53">
        <v>0.61</v>
      </c>
      <c r="AY207" s="53"/>
      <c r="AZ207" s="53"/>
      <c r="BA207" s="53"/>
      <c r="BB207" s="53"/>
      <c r="BC207" s="53"/>
      <c r="BD207" s="53"/>
      <c r="BE207" s="53"/>
      <c r="BF207" s="53"/>
      <c r="BG207" s="53"/>
      <c r="BH207" s="53"/>
      <c r="BI207" s="53"/>
      <c r="BJ207" s="53"/>
      <c r="BK207" s="53"/>
      <c r="BL207" s="53"/>
      <c r="BM207" s="53"/>
      <c r="BN207" s="53"/>
      <c r="BO207" s="53"/>
      <c r="BP207" s="53"/>
      <c r="BQ207" s="53"/>
      <c r="BR207" s="53"/>
      <c r="BS207" s="53"/>
      <c r="BT207" s="53"/>
      <c r="BU207" s="53"/>
      <c r="BV207" s="53"/>
      <c r="BW207" s="53"/>
      <c r="BX207" s="53"/>
      <c r="BY207" s="53"/>
      <c r="BZ207" s="53"/>
      <c r="CA207" s="53"/>
      <c r="CB207" s="53"/>
      <c r="CC207" s="53"/>
      <c r="CD207" s="53"/>
      <c r="CE207" s="53"/>
      <c r="CF207" s="53"/>
      <c r="CG207" s="53"/>
      <c r="CH207" s="53"/>
      <c r="CI207" s="53"/>
      <c r="CJ207" s="53"/>
      <c r="CK207" s="53"/>
      <c r="CL207" s="53"/>
      <c r="CM207" s="53"/>
      <c r="CN207" s="53"/>
      <c r="CO207" s="53"/>
      <c r="CP207" s="53"/>
      <c r="CQ207" s="53"/>
      <c r="CR207" s="1"/>
      <c r="CS207" s="1"/>
      <c r="CT207" s="1"/>
      <c r="CU207" s="1"/>
    </row>
    <row r="208" spans="1:99" s="13" customFormat="1" ht="12" customHeight="1" x14ac:dyDescent="0.2">
      <c r="A208" s="65">
        <v>43509</v>
      </c>
      <c r="B208" s="1"/>
      <c r="C208" s="1"/>
      <c r="D208" s="60"/>
      <c r="E208" s="76"/>
      <c r="F208" s="60"/>
      <c r="G208" s="60"/>
      <c r="H208" s="60"/>
      <c r="I208" s="60"/>
      <c r="J208" s="60"/>
      <c r="K208" s="64"/>
      <c r="L208" s="64"/>
      <c r="M208" s="60"/>
      <c r="N208" s="60"/>
      <c r="O208" s="60"/>
      <c r="P208" s="60"/>
      <c r="Q208" s="60"/>
      <c r="R208" s="60"/>
      <c r="S208" s="60"/>
      <c r="T208" s="60"/>
      <c r="U208" s="60"/>
      <c r="V208" s="60"/>
      <c r="W208" s="60"/>
      <c r="X208" s="60"/>
      <c r="Y208" s="76"/>
      <c r="Z208" s="60"/>
      <c r="AA208" s="60"/>
      <c r="AB208" s="60"/>
      <c r="AC208" s="60"/>
      <c r="AD208" s="60"/>
      <c r="AE208" s="60"/>
      <c r="AF208" s="80"/>
      <c r="AG208" s="56"/>
      <c r="AH208" s="4"/>
      <c r="AI208" s="56"/>
      <c r="AJ208" s="109"/>
      <c r="AK208" s="56"/>
      <c r="AL208" s="56"/>
      <c r="AM208" s="56"/>
      <c r="AN208" s="56"/>
      <c r="AO208" s="56"/>
      <c r="AP208" s="56"/>
      <c r="AQ208" s="56"/>
      <c r="AR208" s="109"/>
      <c r="AS208" s="56"/>
      <c r="AT208" s="56"/>
      <c r="AU208" s="4"/>
      <c r="AV208" s="25">
        <f>60*60</f>
        <v>3600</v>
      </c>
      <c r="AW208" s="25">
        <f>24*3600</f>
        <v>86400</v>
      </c>
      <c r="AX208" s="25">
        <f>24*3600*2</f>
        <v>172800</v>
      </c>
      <c r="AY208" s="53"/>
      <c r="AZ208" s="53"/>
      <c r="BA208" s="53"/>
      <c r="BB208" s="53"/>
      <c r="BC208" s="53"/>
      <c r="BD208" s="53"/>
      <c r="BE208" s="53"/>
      <c r="BF208" s="53"/>
      <c r="BG208" s="53"/>
      <c r="BH208" s="53"/>
      <c r="BI208" s="53"/>
      <c r="BJ208" s="53"/>
      <c r="BK208" s="53"/>
      <c r="BL208" s="53"/>
      <c r="BM208" s="53"/>
      <c r="BN208" s="53"/>
      <c r="BO208" s="53"/>
      <c r="BP208" s="53"/>
      <c r="BQ208" s="53"/>
      <c r="BR208" s="53"/>
      <c r="BS208" s="53"/>
      <c r="BT208" s="53"/>
      <c r="BU208" s="53"/>
      <c r="BV208" s="53"/>
      <c r="BW208" s="53"/>
      <c r="BX208" s="53"/>
      <c r="BY208" s="53"/>
      <c r="BZ208" s="53"/>
      <c r="CA208" s="53"/>
      <c r="CB208" s="53"/>
      <c r="CC208" s="53"/>
      <c r="CD208" s="53"/>
      <c r="CE208" s="53"/>
      <c r="CF208" s="53"/>
      <c r="CG208" s="53"/>
      <c r="CH208" s="53"/>
      <c r="CI208" s="53"/>
      <c r="CJ208" s="53"/>
      <c r="CK208" s="53"/>
      <c r="CL208" s="53"/>
      <c r="CM208" s="53"/>
      <c r="CN208" s="53"/>
      <c r="CO208" s="53"/>
      <c r="CP208" s="53"/>
      <c r="CQ208" s="53"/>
      <c r="CR208" s="1"/>
      <c r="CS208" s="1"/>
      <c r="CT208" s="1"/>
      <c r="CU208" s="1"/>
    </row>
    <row r="209" spans="1:99" s="13" customFormat="1" ht="12" customHeight="1" x14ac:dyDescent="0.2">
      <c r="A209" s="65">
        <v>43509</v>
      </c>
      <c r="B209" s="1" t="s">
        <v>120</v>
      </c>
      <c r="C209" s="1" t="s">
        <v>48</v>
      </c>
      <c r="D209" s="60">
        <v>2007</v>
      </c>
      <c r="E209" s="76">
        <v>1</v>
      </c>
      <c r="F209" s="60">
        <v>72</v>
      </c>
      <c r="G209" s="60">
        <v>24</v>
      </c>
      <c r="H209" s="60" t="s">
        <v>22</v>
      </c>
      <c r="I209" s="60" t="s">
        <v>727</v>
      </c>
      <c r="J209" s="60" t="s">
        <v>475</v>
      </c>
      <c r="K209" s="60">
        <f>IF(J209="syllables",1,IF(J209="trigrams",2,IF(J209="strings",3,IF(J209="visual array",4,IF(J209="characters",5,IF(J209="letters",6,IF(J209="free forms",7,IF(J209="odors",8,IF(J209="words",9,IF(J209="pictures",10,IF(J209="object pictures",11,IF(J209="faces",12,IF(J209="names",13,IF(J209="idioms",14,IF(J209="grades",15,IF(J209="syllable-digit pairs",16,IF(J209="trigram-word pairs",17,IF(J209="word-digit pairs",18,IF(J209="English-Swahili pairs",19,IF(J209="spatial position",20,IF(J209="word pairs",21,IF(J209="word triads",22,IF(J209="generated words",23,IF(J209="word definition pairs",24,IF(J209="math problems",25,IF(J209="famous faces",26,IF(J209="famous names",27,IF(J209="famous voices",28,IF(J209="television programs",29,IF(J209="race horses",30,IF(J209="new vocabulary",31,IF(J209="sentences",32,IF(J209="concepts",33,IF(J209="ad slides",34,IF(J209="scenes",35,IF(J209="famous scenes",36,IF(J209="poems",37,IF(J209="walk",38,IF(J209="faces and events",39,IF(J209="events and names",40,IF(J209="flashbulb",41,IF(J209="stories",42,IF(J209="course material",43,IF(J209="autobiographical",44,IF(J209="novels",45,IF(J209="public events",46,"99"))))))))))))))))))))))))))))))))))))))))))))))</f>
        <v>32</v>
      </c>
      <c r="L209" s="60">
        <f>IF(J209="syllables",1,IF(J209="trigrams",1,IF(J209="strings",1,IF(J209="visual array",1,IF(J209="characters",1,IF(J209="letters",1,IF(J209="free forms",1,IF(J209="odors",2,IF(J209="words",2,IF(J209="pictures",2,IF(J209="object pictures",2,IF(J209="faces",2,IF(J209="names",2,IF(J209="idioms","2",IF(J209="grades",2,IF(J209="syllable-digit pairs",3,IF(J209="trigram-word pairs",3,IF(J209="word-digit pairs",3,IF(J209="English-Swahili pairs",3,IF(J209="spatial position",3,IF(J209="word pairs",4,IF(J209="word triads",4,IF(J209="generated words",4,IF(J209="word definition pairs",4,IF(J209="math problems",4,IF(J209="famous faces",4,IF(J209="famous names",4,IF(J209="famous voices",4,IF(J209="television programs",4,IF(J209="race horses",4,IF(J209="new vocabulary",4,IF(J209="sentences",5,IF(J209="concepts",5,IF(J209="ad slides",5,IF(J209="scenes",5,IF(J209="famous scenes",5,IF(J209="poems",6,IF(J209="walk",6,IF(J209="faces and events",6,IF(J209="events and names",6,IF(J209="flashbulb",7,IF(J209="stories",7,IF(J209="course material",7,IF(J209="autobiographical",7,IF(J209="novels",7,IF(J209="public events",7,"99"))))))))))))))))))))))))))))))))))))))))))))))</f>
        <v>5</v>
      </c>
      <c r="M209" s="60">
        <v>0</v>
      </c>
      <c r="N209" s="60">
        <v>3</v>
      </c>
      <c r="O209" s="60">
        <v>0</v>
      </c>
      <c r="P209" s="60"/>
      <c r="Q209" s="60" t="s">
        <v>121</v>
      </c>
      <c r="R209" s="60" t="str">
        <f>IF(Q209="Free Recall",1,IF(Q209="Cued Recall",2,IF(Q209="Recognition",3,IF(Q209="Multiple Choice",4,IF(Q209="Savings",5,IF(Q209="Stem Completion",6,IF(Q209="Fragment Completion",7,IF(Q209="anagram solution",8,IF(Q209="Matching",9,IF(Q209="Problem Solving",10,"99"))))))))))</f>
        <v>99</v>
      </c>
      <c r="S209" s="60" t="s">
        <v>229</v>
      </c>
      <c r="T209" s="60" t="s">
        <v>261</v>
      </c>
      <c r="U209" s="60">
        <f>IF(T209="within",1,0)</f>
        <v>0</v>
      </c>
      <c r="V209" s="60">
        <v>40</v>
      </c>
      <c r="W209" s="60">
        <f>F209*V209</f>
        <v>2880</v>
      </c>
      <c r="X209" s="60">
        <v>3</v>
      </c>
      <c r="Y209" s="76">
        <f>AV208</f>
        <v>3600</v>
      </c>
      <c r="Z209" s="60" t="s">
        <v>88</v>
      </c>
      <c r="AA209" s="60">
        <v>172800</v>
      </c>
      <c r="AB209" s="60" t="str">
        <f>IF(AA209&lt;60,"1",IF(AA209&lt;=43200,"2",IF(AA209&lt;=777600,"3","4")))</f>
        <v>3</v>
      </c>
      <c r="AC209" s="56">
        <f>AVERAGE(AV208:DA208)</f>
        <v>87600</v>
      </c>
      <c r="AD209" s="60" t="str">
        <f>IF(AC209&lt;60,"1",IF(AC209&lt;=43200,"2",IF(AC209&lt;=777600,"3","4")))</f>
        <v>3</v>
      </c>
      <c r="AE209" s="76">
        <f>AA209-Y209</f>
        <v>169200</v>
      </c>
      <c r="AF209" s="80">
        <f>AV209</f>
        <v>0.98</v>
      </c>
      <c r="AG209" s="56">
        <f>((AW209-AV209)+(AX209-AW209))/2</f>
        <v>-1.5000000000000013E-2</v>
      </c>
      <c r="AH209" s="4"/>
      <c r="AI209" s="56">
        <f>RSQ(AV209:AX209,AV208:AX208)</f>
        <v>0.5069518592451604</v>
      </c>
      <c r="AJ209" s="109">
        <f>SLOPE(AV209:AX209,AV208:AX208)</f>
        <v>-1.7518272648025228E-7</v>
      </c>
      <c r="AK209" s="56">
        <f>INTERCEPT(AV209:AX209,AV208:AX208)</f>
        <v>0.9720126735063368</v>
      </c>
      <c r="AL209" s="56">
        <f>INDEX(LINEST(LN(AV209:AX209),LN(AV208:AX208),TRUE,TRUE),3,1)</f>
        <v>0.83710239897568528</v>
      </c>
      <c r="AM209" s="56">
        <f>INDEX(LINEST(LN(AV209:AX209),LN(AV208:AX208)),1)</f>
        <v>-9.6008187041175721E-3</v>
      </c>
      <c r="AN209" s="56">
        <f>EXP(INDEX(LINEST(LN(AV209:AX209),LN(AV208:AX208)),1,2))</f>
        <v>1.0583599826439036</v>
      </c>
      <c r="AO209" s="82">
        <f>INDEX(LINEST((AV209:AX209),LN(AV208:AX208),TRUE,TRUE),3,1)</f>
        <v>0.84019095406429378</v>
      </c>
      <c r="AP209" s="82">
        <f>INDEX(LINEST((AV209:AX209),LN(AV208:AX208)),1)</f>
        <v>-9.2435445173526323E-3</v>
      </c>
      <c r="AQ209" s="83">
        <f>INDEX(LINEST(LN(AV209:AX209),SQRT(AV208:AX208),TRUE,TRUE),3,1)</f>
        <v>0.69024232143547826</v>
      </c>
      <c r="AR209" s="116">
        <f>INDEX(LINEST(LN(AV209:AX209),SQRT((AV208:AX208))),1)</f>
        <v>-9.955276927989819E-5</v>
      </c>
      <c r="AS209" s="84">
        <f>INDEX(LINEST(1/(AV209:AX209),1/(SQRT(AV208:AX208)),TRUE,TRUE),3,1)</f>
        <v>0.9048262988834872</v>
      </c>
      <c r="AT209" s="84">
        <f>INDEX(LINEST(1/(AV209:AX209),1/SQRT(AV208:AX208)),1)</f>
        <v>-2.6933954844900696</v>
      </c>
      <c r="AU209" s="3"/>
      <c r="AV209" s="53">
        <v>0.98</v>
      </c>
      <c r="AW209" s="53">
        <v>0.94</v>
      </c>
      <c r="AX209" s="53">
        <v>0.95</v>
      </c>
      <c r="AY209" s="53"/>
      <c r="AZ209" s="53"/>
      <c r="BA209" s="53"/>
      <c r="BB209" s="53"/>
      <c r="BC209" s="53"/>
      <c r="BD209" s="53"/>
      <c r="BE209" s="53"/>
      <c r="BF209" s="53"/>
      <c r="BG209" s="53"/>
      <c r="BH209" s="53"/>
      <c r="BI209" s="53"/>
      <c r="BJ209" s="53"/>
      <c r="BK209" s="53"/>
      <c r="BL209" s="53"/>
      <c r="BM209" s="53"/>
      <c r="BN209" s="53"/>
      <c r="BO209" s="53"/>
      <c r="BP209" s="53"/>
      <c r="BQ209" s="53"/>
      <c r="BR209" s="53"/>
      <c r="BS209" s="53"/>
      <c r="BT209" s="53"/>
      <c r="BU209" s="53"/>
      <c r="BV209" s="53"/>
      <c r="BW209" s="53"/>
      <c r="BX209" s="53"/>
      <c r="BY209" s="53"/>
      <c r="BZ209" s="53"/>
      <c r="CA209" s="53"/>
      <c r="CB209" s="53"/>
      <c r="CC209" s="53"/>
      <c r="CD209" s="53"/>
      <c r="CE209" s="53"/>
      <c r="CF209" s="53"/>
      <c r="CG209" s="53"/>
      <c r="CH209" s="53"/>
      <c r="CI209" s="53"/>
      <c r="CJ209" s="53"/>
      <c r="CK209" s="53"/>
      <c r="CL209" s="53"/>
      <c r="CM209" s="53"/>
      <c r="CN209" s="53"/>
      <c r="CO209" s="53"/>
      <c r="CP209" s="53"/>
      <c r="CQ209" s="53"/>
      <c r="CR209" s="1"/>
      <c r="CS209" s="1"/>
      <c r="CT209" s="1"/>
      <c r="CU209" s="1"/>
    </row>
    <row r="210" spans="1:99" s="13" customFormat="1" ht="12" customHeight="1" x14ac:dyDescent="0.2">
      <c r="A210" s="65">
        <v>43509</v>
      </c>
      <c r="B210" s="1"/>
      <c r="C210" s="1"/>
      <c r="D210" s="60"/>
      <c r="E210" s="76"/>
      <c r="F210" s="60"/>
      <c r="G210" s="60"/>
      <c r="H210" s="60"/>
      <c r="I210" s="60"/>
      <c r="J210" s="60"/>
      <c r="K210" s="64"/>
      <c r="L210" s="64"/>
      <c r="M210" s="60"/>
      <c r="N210" s="60"/>
      <c r="O210" s="60"/>
      <c r="P210" s="60"/>
      <c r="Q210" s="60"/>
      <c r="R210" s="60"/>
      <c r="S210" s="60"/>
      <c r="T210" s="60"/>
      <c r="U210" s="60"/>
      <c r="V210" s="60"/>
      <c r="W210" s="60"/>
      <c r="X210" s="60"/>
      <c r="Y210" s="76"/>
      <c r="Z210" s="60"/>
      <c r="AA210" s="60"/>
      <c r="AB210" s="60"/>
      <c r="AC210" s="60"/>
      <c r="AD210" s="60"/>
      <c r="AE210" s="60"/>
      <c r="AF210" s="80"/>
      <c r="AG210" s="56"/>
      <c r="AH210" s="4"/>
      <c r="AI210" s="56"/>
      <c r="AJ210" s="109"/>
      <c r="AK210" s="56"/>
      <c r="AL210" s="56"/>
      <c r="AM210" s="56"/>
      <c r="AN210" s="56"/>
      <c r="AO210" s="56"/>
      <c r="AP210" s="56"/>
      <c r="AQ210" s="56"/>
      <c r="AR210" s="109"/>
      <c r="AS210" s="56"/>
      <c r="AT210" s="56"/>
      <c r="AU210" s="4"/>
      <c r="AV210" s="25">
        <f>60*60</f>
        <v>3600</v>
      </c>
      <c r="AW210" s="25">
        <f>24*3600</f>
        <v>86400</v>
      </c>
      <c r="AX210" s="25">
        <f>24*3600*2</f>
        <v>172800</v>
      </c>
      <c r="AY210" s="53"/>
      <c r="AZ210" s="53"/>
      <c r="BA210" s="53"/>
      <c r="BB210" s="53"/>
      <c r="BC210" s="53"/>
      <c r="BD210" s="53"/>
      <c r="BE210" s="53"/>
      <c r="BF210" s="53"/>
      <c r="BG210" s="53"/>
      <c r="BH210" s="53"/>
      <c r="BI210" s="53"/>
      <c r="BJ210" s="53"/>
      <c r="BK210" s="53"/>
      <c r="BL210" s="53"/>
      <c r="BM210" s="53"/>
      <c r="BN210" s="53"/>
      <c r="BO210" s="53"/>
      <c r="BP210" s="53"/>
      <c r="BQ210" s="53"/>
      <c r="BR210" s="53"/>
      <c r="BS210" s="53"/>
      <c r="BT210" s="53"/>
      <c r="BU210" s="53"/>
      <c r="BV210" s="53"/>
      <c r="BW210" s="53"/>
      <c r="BX210" s="53"/>
      <c r="BY210" s="53"/>
      <c r="BZ210" s="53"/>
      <c r="CA210" s="53"/>
      <c r="CB210" s="53"/>
      <c r="CC210" s="53"/>
      <c r="CD210" s="53"/>
      <c r="CE210" s="53"/>
      <c r="CF210" s="53"/>
      <c r="CG210" s="53"/>
      <c r="CH210" s="53"/>
      <c r="CI210" s="53"/>
      <c r="CJ210" s="53"/>
      <c r="CK210" s="53"/>
      <c r="CL210" s="53"/>
      <c r="CM210" s="53"/>
      <c r="CN210" s="53"/>
      <c r="CO210" s="53"/>
      <c r="CP210" s="53"/>
      <c r="CQ210" s="53"/>
      <c r="CR210" s="1"/>
      <c r="CS210" s="1"/>
      <c r="CT210" s="1"/>
      <c r="CU210" s="1"/>
    </row>
    <row r="211" spans="1:99" s="13" customFormat="1" ht="12" customHeight="1" x14ac:dyDescent="0.2">
      <c r="A211" s="65">
        <v>43509</v>
      </c>
      <c r="B211" s="1" t="s">
        <v>120</v>
      </c>
      <c r="C211" s="1" t="s">
        <v>48</v>
      </c>
      <c r="D211" s="60">
        <v>2007</v>
      </c>
      <c r="E211" s="76">
        <v>1</v>
      </c>
      <c r="F211" s="60">
        <v>72</v>
      </c>
      <c r="G211" s="60">
        <v>24</v>
      </c>
      <c r="H211" s="60" t="s">
        <v>22</v>
      </c>
      <c r="I211" s="60" t="s">
        <v>728</v>
      </c>
      <c r="J211" s="60" t="s">
        <v>475</v>
      </c>
      <c r="K211" s="60">
        <f>IF(J211="syllables",1,IF(J211="trigrams",2,IF(J211="strings",3,IF(J211="visual array",4,IF(J211="characters",5,IF(J211="letters",6,IF(J211="free forms",7,IF(J211="odors",8,IF(J211="words",9,IF(J211="pictures",10,IF(J211="object pictures",11,IF(J211="faces",12,IF(J211="names",13,IF(J211="idioms",14,IF(J211="grades",15,IF(J211="syllable-digit pairs",16,IF(J211="trigram-word pairs",17,IF(J211="word-digit pairs",18,IF(J211="English-Swahili pairs",19,IF(J211="spatial position",20,IF(J211="word pairs",21,IF(J211="word triads",22,IF(J211="generated words",23,IF(J211="word definition pairs",24,IF(J211="math problems",25,IF(J211="famous faces",26,IF(J211="famous names",27,IF(J211="famous voices",28,IF(J211="television programs",29,IF(J211="race horses",30,IF(J211="new vocabulary",31,IF(J211="sentences",32,IF(J211="concepts",33,IF(J211="ad slides",34,IF(J211="scenes",35,IF(J211="famous scenes",36,IF(J211="poems",37,IF(J211="walk",38,IF(J211="faces and events",39,IF(J211="events and names",40,IF(J211="flashbulb",41,IF(J211="stories",42,IF(J211="course material",43,IF(J211="autobiographical",44,IF(J211="novels",45,IF(J211="public events",46,"99"))))))))))))))))))))))))))))))))))))))))))))))</f>
        <v>32</v>
      </c>
      <c r="L211" s="60">
        <f>IF(J211="syllables",1,IF(J211="trigrams",1,IF(J211="strings",1,IF(J211="visual array",1,IF(J211="characters",1,IF(J211="letters",1,IF(J211="free forms",1,IF(J211="odors",2,IF(J211="words",2,IF(J211="pictures",2,IF(J211="object pictures",2,IF(J211="faces",2,IF(J211="names",2,IF(J211="idioms","2",IF(J211="grades",2,IF(J211="syllable-digit pairs",3,IF(J211="trigram-word pairs",3,IF(J211="word-digit pairs",3,IF(J211="English-Swahili pairs",3,IF(J211="spatial position",3,IF(J211="word pairs",4,IF(J211="word triads",4,IF(J211="generated words",4,IF(J211="word definition pairs",4,IF(J211="math problems",4,IF(J211="famous faces",4,IF(J211="famous names",4,IF(J211="famous voices",4,IF(J211="television programs",4,IF(J211="race horses",4,IF(J211="new vocabulary",4,IF(J211="sentences",5,IF(J211="concepts",5,IF(J211="ad slides",5,IF(J211="scenes",5,IF(J211="famous scenes",5,IF(J211="poems",6,IF(J211="walk",6,IF(J211="faces and events",6,IF(J211="events and names",6,IF(J211="flashbulb",7,IF(J211="stories",7,IF(J211="course material",7,IF(J211="autobiographical",7,IF(J211="novels",7,IF(J211="public events",7,"99"))))))))))))))))))))))))))))))))))))))))))))))</f>
        <v>5</v>
      </c>
      <c r="M211" s="60">
        <v>0</v>
      </c>
      <c r="N211" s="60">
        <v>3</v>
      </c>
      <c r="O211" s="60">
        <v>0</v>
      </c>
      <c r="P211" s="60"/>
      <c r="Q211" s="60" t="s">
        <v>121</v>
      </c>
      <c r="R211" s="60" t="str">
        <f>IF(Q211="Free Recall",1,IF(Q211="Cued Recall",2,IF(Q211="Recognition",3,IF(Q211="Multiple Choice",4,IF(Q211="Savings",5,IF(Q211="Stem Completion",6,IF(Q211="Fragment Completion",7,IF(Q211="anagram solution",8,IF(Q211="Matching",9,IF(Q211="Problem Solving",10,"99"))))))))))</f>
        <v>99</v>
      </c>
      <c r="S211" s="60" t="s">
        <v>229</v>
      </c>
      <c r="T211" s="60" t="s">
        <v>261</v>
      </c>
      <c r="U211" s="60">
        <f>IF(T211="within",1,0)</f>
        <v>0</v>
      </c>
      <c r="V211" s="60">
        <v>40</v>
      </c>
      <c r="W211" s="60">
        <f>F211*V211</f>
        <v>2880</v>
      </c>
      <c r="X211" s="60">
        <v>3</v>
      </c>
      <c r="Y211" s="76">
        <f>AV210</f>
        <v>3600</v>
      </c>
      <c r="Z211" s="60" t="s">
        <v>88</v>
      </c>
      <c r="AA211" s="60">
        <v>172800</v>
      </c>
      <c r="AB211" s="60" t="str">
        <f>IF(AA211&lt;60,"1",IF(AA211&lt;=43200,"2",IF(AA211&lt;=777600,"3","4")))</f>
        <v>3</v>
      </c>
      <c r="AC211" s="56">
        <f>AVERAGE(AV210:DA210)</f>
        <v>87600</v>
      </c>
      <c r="AD211" s="60" t="str">
        <f>IF(AC211&lt;60,"1",IF(AC211&lt;=43200,"2",IF(AC211&lt;=777600,"3","4")))</f>
        <v>3</v>
      </c>
      <c r="AE211" s="76">
        <f>AA211-Y211</f>
        <v>169200</v>
      </c>
      <c r="AF211" s="80">
        <f>AV211</f>
        <v>0.97</v>
      </c>
      <c r="AG211" s="56">
        <f>((AW211-AV211)+(AX211-AW211))/2</f>
        <v>-2.9999999999999971E-2</v>
      </c>
      <c r="AH211" s="4"/>
      <c r="AI211" s="56">
        <f>RSQ(AV211:AX211,AV210:AX210)</f>
        <v>0.73928786964393478</v>
      </c>
      <c r="AJ211" s="109">
        <f>SLOPE(AV211:AX211,AV210:AX210)</f>
        <v>-3.5204184268758771E-7</v>
      </c>
      <c r="AK211" s="56">
        <f>INTERCEPT(AV211:AX211,AV210:AX210)</f>
        <v>0.96083886541943275</v>
      </c>
      <c r="AL211" s="56">
        <f>INDEX(LINEST(LN(AV211:AX211),LN(AV210:AX210),TRUE,TRUE),3,1)</f>
        <v>0.97181176353256282</v>
      </c>
      <c r="AM211" s="56">
        <f>INDEX(LINEST(LN(AV211:AX211),LN(AV210:AX210)),1)</f>
        <v>-1.7605154868915986E-2</v>
      </c>
      <c r="AN211" s="56">
        <f>EXP(INDEX(LINEST(LN(AV211:AX211),LN(AV210:AX210)),1,2))</f>
        <v>1.1190767620797024</v>
      </c>
      <c r="AO211" s="82">
        <f>INDEX(LINEST((AV211:AX211),LN(AV210:AX210),TRUE,TRUE),3,1)</f>
        <v>0.97181176353256282</v>
      </c>
      <c r="AP211" s="82">
        <f>INDEX(LINEST((AV211:AX211),LN(AV210:AX210)),1)</f>
        <v>-1.6543225383398377E-2</v>
      </c>
      <c r="AQ211" s="83">
        <f>INDEX(LINEST(LN(AV211:AX211),SQRT(AV210:AX210),TRUE,TRUE),3,1)</f>
        <v>0.88659126363864871</v>
      </c>
      <c r="AR211" s="116">
        <f>INDEX(LINEST(LN(AV211:AX211),SQRT((AV210:AX210))),1)</f>
        <v>-1.9201894334195315E-4</v>
      </c>
      <c r="AS211" s="84">
        <f>INDEX(LINEST(1/(AV211:AX211),1/(SQRT(AV210:AX210)),TRUE,TRUE),3,1)</f>
        <v>0.99608395837045138</v>
      </c>
      <c r="AT211" s="84">
        <f>INDEX(LINEST(1/(AV211:AX211),1/SQRT(AV210:AX210)),1)</f>
        <v>-4.919564619163495</v>
      </c>
      <c r="AU211" s="3"/>
      <c r="AV211" s="53">
        <v>0.97</v>
      </c>
      <c r="AW211" s="53">
        <v>0.91</v>
      </c>
      <c r="AX211" s="53">
        <v>0.91</v>
      </c>
      <c r="AY211" s="53"/>
      <c r="AZ211" s="53"/>
      <c r="BA211" s="53"/>
      <c r="BB211" s="53"/>
      <c r="BC211" s="53"/>
      <c r="BD211" s="53"/>
      <c r="BE211" s="53"/>
      <c r="BF211" s="53"/>
      <c r="BG211" s="53"/>
      <c r="BH211" s="53"/>
      <c r="BI211" s="53"/>
      <c r="BJ211" s="53"/>
      <c r="BK211" s="53"/>
      <c r="BL211" s="53"/>
      <c r="BM211" s="53"/>
      <c r="BN211" s="53"/>
      <c r="BO211" s="53"/>
      <c r="BP211" s="53"/>
      <c r="BQ211" s="53"/>
      <c r="BR211" s="53"/>
      <c r="BS211" s="53"/>
      <c r="BT211" s="53"/>
      <c r="BU211" s="53"/>
      <c r="BV211" s="53"/>
      <c r="BW211" s="53"/>
      <c r="BX211" s="53"/>
      <c r="BY211" s="53"/>
      <c r="BZ211" s="53"/>
      <c r="CA211" s="53"/>
      <c r="CB211" s="53"/>
      <c r="CC211" s="53"/>
      <c r="CD211" s="53"/>
      <c r="CE211" s="53"/>
      <c r="CF211" s="53"/>
      <c r="CG211" s="53"/>
      <c r="CH211" s="53"/>
      <c r="CI211" s="53"/>
      <c r="CJ211" s="53"/>
      <c r="CK211" s="53"/>
      <c r="CL211" s="53"/>
      <c r="CM211" s="53"/>
      <c r="CN211" s="53"/>
      <c r="CO211" s="53"/>
      <c r="CP211" s="53"/>
      <c r="CQ211" s="53"/>
      <c r="CR211" s="1"/>
      <c r="CS211" s="1"/>
      <c r="CT211" s="1"/>
      <c r="CU211" s="1"/>
    </row>
    <row r="212" spans="1:99" s="13" customFormat="1" ht="12" customHeight="1" x14ac:dyDescent="0.2">
      <c r="A212" s="68">
        <v>43978</v>
      </c>
      <c r="B212" s="70"/>
      <c r="C212" s="70"/>
      <c r="D212" s="69"/>
      <c r="E212" s="87"/>
      <c r="F212" s="69"/>
      <c r="G212" s="69"/>
      <c r="H212" s="69"/>
      <c r="I212" s="69"/>
      <c r="J212" s="69"/>
      <c r="K212" s="69"/>
      <c r="L212" s="69"/>
      <c r="M212" s="69"/>
      <c r="N212" s="86"/>
      <c r="O212" s="69"/>
      <c r="P212" s="69"/>
      <c r="Q212" s="69"/>
      <c r="R212" s="69"/>
      <c r="S212" s="69"/>
      <c r="T212" s="92"/>
      <c r="U212" s="69"/>
      <c r="V212" s="92"/>
      <c r="W212" s="69"/>
      <c r="X212" s="69"/>
      <c r="Y212" s="87"/>
      <c r="Z212" s="92"/>
      <c r="AA212" s="69"/>
      <c r="AB212" s="69"/>
      <c r="AC212" s="72"/>
      <c r="AD212" s="69"/>
      <c r="AE212" s="87"/>
      <c r="AF212" s="88"/>
      <c r="AG212" s="72"/>
      <c r="AH212" s="4"/>
      <c r="AI212" s="72"/>
      <c r="AJ212" s="110"/>
      <c r="AK212" s="72"/>
      <c r="AL212" s="72"/>
      <c r="AM212" s="72"/>
      <c r="AN212" s="72"/>
      <c r="AO212" s="89"/>
      <c r="AP212" s="89"/>
      <c r="AQ212" s="90"/>
      <c r="AR212" s="117"/>
      <c r="AS212" s="91"/>
      <c r="AT212" s="91"/>
      <c r="AU212" s="3"/>
      <c r="AV212" s="71">
        <v>30</v>
      </c>
      <c r="AW212" s="71">
        <f>60*30</f>
        <v>1800</v>
      </c>
      <c r="AX212" s="71">
        <f>60*60*24</f>
        <v>86400</v>
      </c>
      <c r="AY212" s="53"/>
      <c r="AZ212" s="11" t="s">
        <v>947</v>
      </c>
      <c r="BA212" s="53"/>
      <c r="BB212" s="53"/>
      <c r="BC212" s="53"/>
      <c r="BD212" s="53"/>
      <c r="BE212" s="53"/>
      <c r="BF212" s="53"/>
      <c r="BG212" s="53"/>
      <c r="BH212" s="53"/>
      <c r="BI212" s="53"/>
      <c r="BJ212" s="53"/>
      <c r="BK212" s="53"/>
      <c r="BL212" s="53"/>
      <c r="BM212" s="53"/>
      <c r="BN212" s="53"/>
      <c r="BO212" s="53"/>
      <c r="BP212" s="53"/>
      <c r="BQ212" s="53"/>
      <c r="BR212" s="53"/>
      <c r="BS212" s="53"/>
      <c r="BT212" s="53"/>
      <c r="BU212" s="53"/>
      <c r="BV212" s="53"/>
      <c r="BW212" s="53"/>
      <c r="BX212" s="53"/>
      <c r="BY212" s="53"/>
      <c r="BZ212" s="53"/>
      <c r="CA212" s="53"/>
      <c r="CB212" s="53"/>
      <c r="CC212" s="53"/>
      <c r="CD212" s="53"/>
      <c r="CE212" s="53"/>
      <c r="CF212" s="53"/>
      <c r="CG212" s="53"/>
      <c r="CH212" s="53"/>
      <c r="CI212" s="53"/>
      <c r="CJ212" s="53"/>
      <c r="CK212" s="53"/>
      <c r="CL212" s="53"/>
      <c r="CM212" s="53"/>
      <c r="CN212" s="53"/>
      <c r="CO212" s="53"/>
      <c r="CP212" s="53"/>
      <c r="CQ212" s="53"/>
      <c r="CR212" s="1"/>
      <c r="CS212" s="1"/>
      <c r="CT212" s="1"/>
      <c r="CU212" s="1"/>
    </row>
    <row r="213" spans="1:99" s="13" customFormat="1" ht="12" customHeight="1" x14ac:dyDescent="0.2">
      <c r="A213" s="68">
        <v>43978</v>
      </c>
      <c r="B213" s="70" t="s">
        <v>978</v>
      </c>
      <c r="C213" s="70" t="s">
        <v>393</v>
      </c>
      <c r="D213" s="69">
        <v>1991</v>
      </c>
      <c r="E213" s="87">
        <v>1</v>
      </c>
      <c r="F213" s="69">
        <v>21</v>
      </c>
      <c r="G213" s="69">
        <v>21</v>
      </c>
      <c r="H213" s="69" t="s">
        <v>50</v>
      </c>
      <c r="I213" s="69" t="s">
        <v>330</v>
      </c>
      <c r="J213" s="69" t="s">
        <v>16</v>
      </c>
      <c r="K213" s="69">
        <f>IF(J213="syllables",1,IF(J213="trigrams",2,IF(J213="strings",3,IF(J213="visual array",4,IF(J213="characters",5,IF(J213="letters",6,IF(J213="free forms",7,IF(J213="odors",8,IF(J213="words",9,IF(J213="pictures",10,IF(J213="object pictures",11,IF(J213="faces",12,IF(J213="names",13,IF(J213="idioms",14,IF(J213="grades",15,IF(J213="syllable-digit pairs",16,IF(J213="trigram-word pairs",17,IF(J213="word-digit pairs",18,IF(J213="English-Swahili pairs",19,IF(J213="spatial position",20,IF(J213="word pairs",21,IF(J213="word triads",22,IF(J213="generated words",23,IF(J213="word definition pairs",24,IF(J213="math problems",25,IF(J213="famous faces",26,IF(J213="famous names",27,IF(J213="famous voices",28,IF(J213="television programs",29,IF(J213="race horses",30,IF(J213="new vocabulary",31,IF(J213="sentences",32,IF(J213="concepts",33,IF(J213="ad slides",34,IF(J213="scenes",35,IF(J213="famous scenes",36,IF(J213="poems",37,IF(J213="walk",38,IF(J213="faces and events",39,IF(J213="events and names",40,IF(J213="flashbulb",41,IF(J213="stories",42,IF(J213="course material",43,IF(J213="autobiographical",44,IF(J213="novels",45,IF(J213="public events",46,"99"))))))))))))))))))))))))))))))))))))))))))))))</f>
        <v>9</v>
      </c>
      <c r="L213" s="69">
        <f>IF(J213="syllables",1,IF(J213="trigrams",1,IF(J213="strings",1,IF(J213="visual array",1,IF(J213="characters",1,IF(J213="letters",1,IF(J213="free forms",1,IF(J213="odors",2,IF(J213="words",2,IF(J213="pictures",2,IF(J213="object pictures",2,IF(J213="faces",2,IF(J213="names",2,IF(J213="idioms","2",IF(J213="grades",2,IF(J213="syllable-digit pairs",3,IF(J213="trigram-word pairs",3,IF(J213="word-digit pairs",3,IF(J213="English-Swahili pairs",3,IF(J213="spatial position",3,IF(J213="word pairs",4,IF(J213="word triads",4,IF(J213="generated words",4,IF(J213="word definition pairs",4,IF(J213="math problems",4,IF(J213="famous faces",4,IF(J213="famous names",4,IF(J213="famous voices",4,IF(J213="television programs",4,IF(J213="race horses",4,IF(J213="new vocabulary",4,IF(J213="sentences",5,IF(J213="concepts",5,IF(J213="ad slides",5,IF(J213="scenes",5,IF(J213="famous scenes",5,IF(J213="poems",6,IF(J213="walk",6,IF(J213="faces and events",6,IF(J213="events and names",6,IF(J213="flashbulb",7,IF(J213="stories",7,IF(J213="course material",7,IF(J213="autobiographical",7,IF(J213="novels",7,IF(J213="public events",7,"99"))))))))))))))))))))))))))))))))))))))))))))))</f>
        <v>2</v>
      </c>
      <c r="M213" s="69">
        <v>1</v>
      </c>
      <c r="N213" s="86">
        <v>2</v>
      </c>
      <c r="O213" s="69">
        <v>0</v>
      </c>
      <c r="P213" s="69"/>
      <c r="Q213" s="69" t="s">
        <v>174</v>
      </c>
      <c r="R213" s="69">
        <f>IF(Q213="Free Recall",1,IF(Q213="Cued Recall",2,IF(Q213="Recognition",3,IF(Q213="Multiple Choice",4,IF(Q213="Savings",5,IF(Q213="Stem Completion",6,IF(Q213="Fragment Completion",7,IF(Q213="anagram solution",8,IF(Q213="Matching",9,IF(Q213="Problem Solving",10,"99"))))))))))</f>
        <v>1</v>
      </c>
      <c r="S213" s="69" t="s">
        <v>49</v>
      </c>
      <c r="T213" s="92" t="s">
        <v>581</v>
      </c>
      <c r="U213" s="69">
        <f>IF(T213="within",1,0)</f>
        <v>1</v>
      </c>
      <c r="V213" s="92">
        <v>12</v>
      </c>
      <c r="W213" s="69">
        <f>F213*V213</f>
        <v>252</v>
      </c>
      <c r="X213" s="69">
        <v>3</v>
      </c>
      <c r="Y213" s="87">
        <f>AV212</f>
        <v>30</v>
      </c>
      <c r="Z213" s="92" t="s">
        <v>79</v>
      </c>
      <c r="AA213" s="69">
        <f>60*60*24</f>
        <v>86400</v>
      </c>
      <c r="AB213" s="69" t="str">
        <f>IF(AA213&lt;60,"1",IF(AA213&lt;=43200,"2",IF(AA213&lt;=777600,"3","4")))</f>
        <v>3</v>
      </c>
      <c r="AC213" s="72">
        <f>AVERAGE(AV212:DA212)</f>
        <v>29410</v>
      </c>
      <c r="AD213" s="69" t="str">
        <f>IF(AC213&lt;60,"1",IF(AC213&lt;=43200,"2",IF(AC213&lt;=777600,"3","4")))</f>
        <v>2</v>
      </c>
      <c r="AE213" s="87">
        <f>AA213-Y213</f>
        <v>86370</v>
      </c>
      <c r="AF213" s="88">
        <f>AV213</f>
        <v>1</v>
      </c>
      <c r="AG213" s="72">
        <f>((AW213-AV213)+(AX213-AW213))/2</f>
        <v>-9.5521220301730825E-2</v>
      </c>
      <c r="AH213" s="4"/>
      <c r="AI213" s="72">
        <f>RSQ(AV213:AX213,AV212:AX212)</f>
        <v>0.71467056201420331</v>
      </c>
      <c r="AJ213" s="110">
        <f>SLOPE(AV213:AX213,AV212:AX212)</f>
        <v>-1.6386294600939364E-6</v>
      </c>
      <c r="AK213" s="72">
        <f>INTERCEPT(AV213:AX213,AV212:AX212)</f>
        <v>0.94947707635532819</v>
      </c>
      <c r="AL213" s="72">
        <f>INDEX(LINEST(LN(AV213:AX213),LN(AV212:AX212),TRUE,TRUE),3,1)</f>
        <v>0.9998727468771702</v>
      </c>
      <c r="AM213" s="72">
        <f>INDEX(LINEST(LN(AV213:AX213),LN(AV212:AX212)),1)</f>
        <v>-2.6620588926005297E-2</v>
      </c>
      <c r="AN213" s="72">
        <f>EXP(INDEX(LINEST(LN(AV213:AX213),LN(AV212:AX212)),1,2))</f>
        <v>1.0940327699252308</v>
      </c>
      <c r="AO213" s="89">
        <f>INDEX(LINEST((AV213:AX213),LN(AV212:AX212),TRUE,TRUE),3,1)</f>
        <v>0.99826419502537078</v>
      </c>
      <c r="AP213" s="89">
        <f>INDEX(LINEST((AV213:AX213),LN(AV212:AX212)),1)</f>
        <v>-2.3999783852446638E-2</v>
      </c>
      <c r="AQ213" s="90">
        <f>INDEX(LINEST(LN(AV213:AX213),SQRT(AV212:AX212),TRUE,TRUE),3,1)</f>
        <v>0.82387691566252996</v>
      </c>
      <c r="AR213" s="117">
        <f>INDEX(LINEST(LN(AV213:AX213),SQRT((AV212:AX212))),1)</f>
        <v>-6.1320767613276528E-4</v>
      </c>
      <c r="AS213" s="91">
        <f>INDEX(LINEST(1/(AV213:AX213),1/(SQRT(AV212:AX212)),TRUE,TRUE),3,1)</f>
        <v>0.8309206121318613</v>
      </c>
      <c r="AT213" s="91">
        <f>INDEX(LINEST(1/(AV213:AX213),1/SQRT(AV212:AX212)),1)</f>
        <v>-1.0967281877377142</v>
      </c>
      <c r="AU213" s="3"/>
      <c r="AV213" s="73">
        <v>1</v>
      </c>
      <c r="AW213" s="73">
        <v>0.89489739240535826</v>
      </c>
      <c r="AX213" s="73">
        <v>0.80895755939653835</v>
      </c>
      <c r="AY213" s="53"/>
      <c r="AZ213" s="53"/>
      <c r="BA213" s="53"/>
      <c r="BB213" s="53"/>
      <c r="BC213" s="53"/>
      <c r="BD213" s="53"/>
      <c r="BE213" s="53"/>
      <c r="BF213" s="53"/>
      <c r="BG213" s="53"/>
      <c r="BH213" s="53"/>
      <c r="BI213" s="53"/>
      <c r="BJ213" s="53"/>
      <c r="BK213" s="53"/>
      <c r="BL213" s="53"/>
      <c r="BM213" s="53"/>
      <c r="BN213" s="53"/>
      <c r="BO213" s="53"/>
      <c r="BP213" s="53"/>
      <c r="BQ213" s="53"/>
      <c r="BR213" s="53"/>
      <c r="BS213" s="53"/>
      <c r="BT213" s="53"/>
      <c r="BU213" s="53"/>
      <c r="BV213" s="53"/>
      <c r="BW213" s="53"/>
      <c r="BX213" s="53"/>
      <c r="BY213" s="53"/>
      <c r="BZ213" s="53"/>
      <c r="CA213" s="53"/>
      <c r="CB213" s="53"/>
      <c r="CC213" s="53"/>
      <c r="CD213" s="53"/>
      <c r="CE213" s="53"/>
      <c r="CF213" s="53"/>
      <c r="CG213" s="53"/>
      <c r="CH213" s="53"/>
      <c r="CI213" s="53"/>
      <c r="CJ213" s="53"/>
      <c r="CK213" s="53"/>
      <c r="CL213" s="53"/>
      <c r="CM213" s="53"/>
      <c r="CN213" s="53"/>
      <c r="CO213" s="53"/>
      <c r="CP213" s="53"/>
      <c r="CQ213" s="53"/>
      <c r="CR213" s="1"/>
      <c r="CS213" s="1"/>
      <c r="CT213" s="1"/>
      <c r="CU213" s="1"/>
    </row>
    <row r="214" spans="1:99" s="13" customFormat="1" ht="12" customHeight="1" x14ac:dyDescent="0.2">
      <c r="A214" s="65">
        <v>43900</v>
      </c>
      <c r="B214" s="1"/>
      <c r="C214" s="1"/>
      <c r="D214" s="60"/>
      <c r="E214" s="76"/>
      <c r="F214" s="60"/>
      <c r="G214" s="60"/>
      <c r="H214" s="60"/>
      <c r="I214" s="60"/>
      <c r="J214" s="60"/>
      <c r="K214" s="64"/>
      <c r="L214" s="64"/>
      <c r="M214" s="60"/>
      <c r="N214" s="61"/>
      <c r="O214" s="60"/>
      <c r="P214" s="60"/>
      <c r="Q214" s="60"/>
      <c r="R214" s="60"/>
      <c r="S214" s="60"/>
      <c r="T214" s="59"/>
      <c r="U214" s="60"/>
      <c r="V214" s="59"/>
      <c r="W214" s="60"/>
      <c r="X214" s="60"/>
      <c r="Y214" s="76"/>
      <c r="Z214" s="60"/>
      <c r="AA214" s="76"/>
      <c r="AB214" s="60"/>
      <c r="AC214" s="56"/>
      <c r="AD214" s="60"/>
      <c r="AE214" s="60"/>
      <c r="AF214" s="80"/>
      <c r="AG214" s="56"/>
      <c r="AH214" s="4"/>
      <c r="AI214" s="56"/>
      <c r="AJ214" s="109"/>
      <c r="AK214" s="56"/>
      <c r="AL214" s="56"/>
      <c r="AM214" s="56"/>
      <c r="AN214" s="56"/>
      <c r="AO214" s="82"/>
      <c r="AP214" s="82"/>
      <c r="AQ214" s="83"/>
      <c r="AR214" s="116"/>
      <c r="AS214" s="84"/>
      <c r="AT214" s="84"/>
      <c r="AU214" s="3"/>
      <c r="AV214" s="25">
        <v>30</v>
      </c>
      <c r="AW214" s="25">
        <f>20*60*60</f>
        <v>72000</v>
      </c>
      <c r="AX214" s="25">
        <f>7*24*60*60</f>
        <v>604800</v>
      </c>
      <c r="AY214" s="53"/>
      <c r="AZ214" s="53"/>
      <c r="BA214" s="53"/>
      <c r="BB214" s="53"/>
      <c r="BC214" s="53"/>
      <c r="BD214" s="53"/>
      <c r="BE214" s="53"/>
      <c r="BF214" s="53"/>
      <c r="BG214" s="53"/>
      <c r="BH214" s="53"/>
      <c r="BI214" s="53"/>
      <c r="BJ214" s="53"/>
      <c r="BK214" s="53"/>
      <c r="BL214" s="53"/>
      <c r="BM214" s="53"/>
      <c r="BN214" s="53"/>
      <c r="BO214" s="53"/>
      <c r="BP214" s="53"/>
      <c r="BQ214" s="53"/>
      <c r="BR214" s="53"/>
      <c r="BS214" s="53"/>
      <c r="BT214" s="53"/>
      <c r="BU214" s="53"/>
      <c r="BV214" s="53"/>
      <c r="BW214" s="53"/>
      <c r="BX214" s="53"/>
      <c r="BY214" s="53"/>
      <c r="BZ214" s="53"/>
      <c r="CA214" s="53"/>
      <c r="CB214" s="53"/>
      <c r="CC214" s="53"/>
      <c r="CD214" s="53"/>
      <c r="CE214" s="53"/>
      <c r="CF214" s="53"/>
      <c r="CG214" s="53"/>
      <c r="CH214" s="53"/>
      <c r="CI214" s="53"/>
      <c r="CJ214" s="53"/>
      <c r="CK214" s="53"/>
      <c r="CL214" s="53"/>
      <c r="CM214" s="53"/>
      <c r="CN214" s="53"/>
      <c r="CO214" s="53"/>
      <c r="CP214" s="53"/>
      <c r="CQ214" s="53"/>
      <c r="CR214" s="1"/>
      <c r="CS214" s="1"/>
      <c r="CT214" s="1"/>
      <c r="CU214" s="1"/>
    </row>
    <row r="215" spans="1:99" s="13" customFormat="1" ht="12" customHeight="1" x14ac:dyDescent="0.2">
      <c r="A215" s="65">
        <v>43900</v>
      </c>
      <c r="B215" s="1" t="s">
        <v>417</v>
      </c>
      <c r="C215" s="1" t="s">
        <v>418</v>
      </c>
      <c r="D215" s="60">
        <v>2018</v>
      </c>
      <c r="E215" s="76">
        <v>1</v>
      </c>
      <c r="F215" s="60">
        <v>28</v>
      </c>
      <c r="G215" s="60">
        <v>28</v>
      </c>
      <c r="H215" s="60" t="s">
        <v>22</v>
      </c>
      <c r="I215" s="60" t="s">
        <v>729</v>
      </c>
      <c r="J215" s="60" t="s">
        <v>16</v>
      </c>
      <c r="K215" s="60">
        <f>IF(J215="syllables",1,IF(J215="trigrams",2,IF(J215="strings",3,IF(J215="visual array",4,IF(J215="characters",5,IF(J215="letters",6,IF(J215="free forms",7,IF(J215="odors",8,IF(J215="words",9,IF(J215="pictures",10,IF(J215="object pictures",11,IF(J215="faces",12,IF(J215="names",13,IF(J215="idioms",14,IF(J215="grades",15,IF(J215="syllable-digit pairs",16,IF(J215="trigram-word pairs",17,IF(J215="word-digit pairs",18,IF(J215="English-Swahili pairs",19,IF(J215="spatial position",20,IF(J215="word pairs",21,IF(J215="word triads",22,IF(J215="generated words",23,IF(J215="word definition pairs",24,IF(J215="math problems",25,IF(J215="famous faces",26,IF(J215="famous names",27,IF(J215="famous voices",28,IF(J215="television programs",29,IF(J215="race horses",30,IF(J215="new vocabulary",31,IF(J215="sentences",32,IF(J215="concepts",33,IF(J215="ad slides",34,IF(J215="scenes",35,IF(J215="famous scenes",36,IF(J215="poems",37,IF(J215="walk",38,IF(J215="faces and events",39,IF(J215="events and names",40,IF(J215="flashbulb",41,IF(J215="stories",42,IF(J215="course material",43,IF(J215="autobiographical",44,IF(J215="novels",45,IF(J215="public events",46,"99"))))))))))))))))))))))))))))))))))))))))))))))</f>
        <v>9</v>
      </c>
      <c r="L215" s="60">
        <f>IF(J215="syllables",1,IF(J215="trigrams",1,IF(J215="strings",1,IF(J215="visual array",1,IF(J215="characters",1,IF(J215="letters",1,IF(J215="free forms",1,IF(J215="odors",2,IF(J215="words",2,IF(J215="pictures",2,IF(J215="object pictures",2,IF(J215="faces",2,IF(J215="names",2,IF(J215="idioms","2",IF(J215="grades",2,IF(J215="syllable-digit pairs",3,IF(J215="trigram-word pairs",3,IF(J215="word-digit pairs",3,IF(J215="English-Swahili pairs",3,IF(J215="spatial position",3,IF(J215="word pairs",4,IF(J215="word triads",4,IF(J215="generated words",4,IF(J215="word definition pairs",4,IF(J215="math problems",4,IF(J215="famous faces",4,IF(J215="famous names",4,IF(J215="famous voices",4,IF(J215="television programs",4,IF(J215="race horses",4,IF(J215="new vocabulary",4,IF(J215="sentences",5,IF(J215="concepts",5,IF(J215="ad slides",5,IF(J215="scenes",5,IF(J215="famous scenes",5,IF(J215="poems",6,IF(J215="walk",6,IF(J215="faces and events",6,IF(J215="events and names",6,IF(J215="flashbulb",7,IF(J215="stories",7,IF(J215="course material",7,IF(J215="autobiographical",7,IF(J215="novels",7,IF(J215="public events",7,"99"))))))))))))))))))))))))))))))))))))))))))))))</f>
        <v>2</v>
      </c>
      <c r="M215" s="60">
        <v>0</v>
      </c>
      <c r="N215" s="60">
        <v>1</v>
      </c>
      <c r="O215" s="60">
        <v>0</v>
      </c>
      <c r="P215" s="60"/>
      <c r="Q215" s="60" t="s">
        <v>174</v>
      </c>
      <c r="R215" s="60">
        <f>IF(Q215="Free Recall",1,IF(Q215="Cued Recall",2,IF(Q215="Recognition",3,IF(Q215="Multiple Choice",4,IF(Q215="Savings",5,IF(Q215="Stem Completion",6,IF(Q215="Fragment Completion",7,IF(Q215="anagram solution",8,IF(Q215="Matching",9,IF(Q215="Problem Solving",10,"99"))))))))))</f>
        <v>1</v>
      </c>
      <c r="S215" s="60" t="s">
        <v>49</v>
      </c>
      <c r="T215" s="59" t="s">
        <v>581</v>
      </c>
      <c r="U215" s="60">
        <f>IF(T215="within",1,0)</f>
        <v>1</v>
      </c>
      <c r="V215" s="59">
        <v>15</v>
      </c>
      <c r="W215" s="60">
        <f>F215*V215</f>
        <v>420</v>
      </c>
      <c r="X215" s="60">
        <v>3</v>
      </c>
      <c r="Y215" s="76">
        <f>AV214</f>
        <v>30</v>
      </c>
      <c r="Z215" s="60" t="s">
        <v>97</v>
      </c>
      <c r="AA215" s="60">
        <v>604800</v>
      </c>
      <c r="AB215" s="60" t="str">
        <f>IF(AA215&lt;60,"1",IF(AA215&lt;=43200,"2",IF(AA215&lt;=777600,"3","4")))</f>
        <v>3</v>
      </c>
      <c r="AC215" s="56">
        <f>AVERAGE(AV214:DA214)</f>
        <v>225610</v>
      </c>
      <c r="AD215" s="60" t="str">
        <f>IF(AC215&lt;60,"1",IF(AC215&lt;=43200,"2",IF(AC215&lt;=777600,"3","4")))</f>
        <v>3</v>
      </c>
      <c r="AE215" s="76">
        <f>AA215-Y215</f>
        <v>604770</v>
      </c>
      <c r="AF215" s="80">
        <f>AV215</f>
        <v>0.59</v>
      </c>
      <c r="AG215" s="56">
        <f>((AW215-AV215)+(AX215-AW215))/2</f>
        <v>-0.12</v>
      </c>
      <c r="AH215" s="4"/>
      <c r="AI215" s="56">
        <f>RSQ(AV215:AX215,AV214:AX214)</f>
        <v>0.76135631515335134</v>
      </c>
      <c r="AJ215" s="109">
        <f>SLOPE(AV215:AX215,AV214:AX214)</f>
        <v>-3.1841764810927266E-7</v>
      </c>
      <c r="AK215" s="56">
        <f>INTERCEPT(AV215:AX215,AV214:AX214)</f>
        <v>0.53517153892326641</v>
      </c>
      <c r="AL215" s="56">
        <f>INDEX(LINEST(LN(AV215:AX215),LN(AV214:AX214),TRUE,TRUE),3,1)</f>
        <v>0.91458359237472275</v>
      </c>
      <c r="AM215" s="56">
        <f>INDEX(LINEST(LN(AV215:AX215),LN(AV214:AX214)),1)</f>
        <v>-4.7866769554813511E-2</v>
      </c>
      <c r="AN215" s="56">
        <f>EXP(INDEX(LINEST(LN(AV215:AX215),LN(AV214:AX214)),1,2))</f>
        <v>0.70690843238759249</v>
      </c>
      <c r="AO215" s="82">
        <f>INDEX(LINEST((AV215:AX215),LN(AV214:AX214),TRUE,TRUE),3,1)</f>
        <v>0.95139836548777335</v>
      </c>
      <c r="AP215" s="82">
        <f>INDEX(LINEST((AV215:AX215),LN(AV214:AX214)),1)</f>
        <v>-2.253650948286183E-2</v>
      </c>
      <c r="AQ215" s="83">
        <f>INDEX(LINEST(LN(AV215:AX215),SQRT(AV214:AX214),TRUE,TRUE),3,1)</f>
        <v>0.9590044639595211</v>
      </c>
      <c r="AR215" s="116">
        <f>INDEX(LINEST(LN(AV215:AX215),SQRT((AV214:AX214))),1)</f>
        <v>-6.514032420287312E-4</v>
      </c>
      <c r="AS215" s="84">
        <f>INDEX(LINEST(1/(AV215:AX215),1/(SQRT(AV214:AX214)),TRUE,TRUE),3,1)</f>
        <v>0.71308804598786257</v>
      </c>
      <c r="AT215" s="84">
        <f>INDEX(LINEST(1/(AV215:AX215),1/SQRT(AV214:AX214)),1)</f>
        <v>-4.7265791305022944</v>
      </c>
      <c r="AU215" s="3"/>
      <c r="AV215" s="53">
        <v>0.59</v>
      </c>
      <c r="AW215" s="53">
        <v>0.45</v>
      </c>
      <c r="AX215" s="53">
        <v>0.35</v>
      </c>
      <c r="AY215" s="53"/>
      <c r="AZ215" s="53"/>
      <c r="BA215" s="53"/>
      <c r="BB215" s="53"/>
      <c r="BC215" s="53"/>
      <c r="BD215" s="53"/>
      <c r="BE215" s="53"/>
      <c r="BF215" s="53"/>
      <c r="BG215" s="53"/>
      <c r="BH215" s="53"/>
      <c r="BI215" s="53"/>
      <c r="BJ215" s="53"/>
      <c r="BK215" s="53"/>
      <c r="BL215" s="53"/>
      <c r="BM215" s="53"/>
      <c r="BN215" s="53"/>
      <c r="BO215" s="53"/>
      <c r="BP215" s="53"/>
      <c r="BQ215" s="53"/>
      <c r="BR215" s="53"/>
      <c r="BS215" s="53"/>
      <c r="BT215" s="53"/>
      <c r="BU215" s="53"/>
      <c r="BV215" s="53"/>
      <c r="BW215" s="53"/>
      <c r="BX215" s="53"/>
      <c r="BY215" s="53"/>
      <c r="BZ215" s="53"/>
      <c r="CA215" s="53"/>
      <c r="CB215" s="53"/>
      <c r="CC215" s="53"/>
      <c r="CD215" s="53"/>
      <c r="CE215" s="53"/>
      <c r="CF215" s="53"/>
      <c r="CG215" s="53"/>
      <c r="CH215" s="53"/>
      <c r="CI215" s="53"/>
      <c r="CJ215" s="53"/>
      <c r="CK215" s="53"/>
      <c r="CL215" s="53"/>
      <c r="CM215" s="53"/>
      <c r="CN215" s="53"/>
      <c r="CO215" s="53"/>
      <c r="CP215" s="53"/>
      <c r="CQ215" s="53"/>
      <c r="CR215" s="1"/>
      <c r="CS215" s="1"/>
      <c r="CT215" s="1"/>
      <c r="CU215" s="1"/>
    </row>
    <row r="216" spans="1:99" s="13" customFormat="1" ht="12" customHeight="1" x14ac:dyDescent="0.2">
      <c r="A216" s="65">
        <v>43900</v>
      </c>
      <c r="B216" s="1"/>
      <c r="C216" s="1"/>
      <c r="D216" s="60"/>
      <c r="E216" s="76"/>
      <c r="F216" s="60"/>
      <c r="G216" s="60"/>
      <c r="H216" s="60"/>
      <c r="I216" s="60"/>
      <c r="J216" s="60"/>
      <c r="K216" s="64"/>
      <c r="L216" s="64"/>
      <c r="M216" s="60"/>
      <c r="N216" s="61"/>
      <c r="O216" s="60"/>
      <c r="P216" s="60"/>
      <c r="Q216" s="60"/>
      <c r="R216" s="60"/>
      <c r="S216" s="60"/>
      <c r="T216" s="59"/>
      <c r="U216" s="60"/>
      <c r="V216" s="59"/>
      <c r="W216" s="60"/>
      <c r="X216" s="60"/>
      <c r="Y216" s="76"/>
      <c r="Z216" s="60"/>
      <c r="AA216" s="76"/>
      <c r="AB216" s="60"/>
      <c r="AC216" s="56"/>
      <c r="AD216" s="60"/>
      <c r="AE216" s="60"/>
      <c r="AF216" s="80"/>
      <c r="AG216" s="56"/>
      <c r="AH216" s="4"/>
      <c r="AI216" s="56"/>
      <c r="AJ216" s="109"/>
      <c r="AK216" s="56"/>
      <c r="AL216" s="56"/>
      <c r="AM216" s="56"/>
      <c r="AN216" s="56"/>
      <c r="AO216" s="82"/>
      <c r="AP216" s="82"/>
      <c r="AQ216" s="83"/>
      <c r="AR216" s="116"/>
      <c r="AS216" s="84"/>
      <c r="AT216" s="84"/>
      <c r="AU216" s="3"/>
      <c r="AV216" s="25">
        <v>30</v>
      </c>
      <c r="AW216" s="25">
        <f>20*60*60</f>
        <v>72000</v>
      </c>
      <c r="AX216" s="25">
        <f>7*24*60*60</f>
        <v>604800</v>
      </c>
      <c r="AY216" s="53"/>
      <c r="AZ216" s="53"/>
      <c r="BA216" s="53"/>
      <c r="BB216" s="53"/>
      <c r="BC216" s="53"/>
      <c r="BD216" s="53"/>
      <c r="BE216" s="53"/>
      <c r="BF216" s="53"/>
      <c r="BG216" s="53"/>
      <c r="BH216" s="53"/>
      <c r="BI216" s="53"/>
      <c r="BJ216" s="53"/>
      <c r="BK216" s="53"/>
      <c r="BL216" s="53"/>
      <c r="BM216" s="53"/>
      <c r="BN216" s="53"/>
      <c r="BO216" s="53"/>
      <c r="BP216" s="53"/>
      <c r="BQ216" s="53"/>
      <c r="BR216" s="53"/>
      <c r="BS216" s="53"/>
      <c r="BT216" s="53"/>
      <c r="BU216" s="53"/>
      <c r="BV216" s="53"/>
      <c r="BW216" s="53"/>
      <c r="BX216" s="53"/>
      <c r="BY216" s="53"/>
      <c r="BZ216" s="53"/>
      <c r="CA216" s="53"/>
      <c r="CB216" s="53"/>
      <c r="CC216" s="53"/>
      <c r="CD216" s="53"/>
      <c r="CE216" s="53"/>
      <c r="CF216" s="53"/>
      <c r="CG216" s="53"/>
      <c r="CH216" s="53"/>
      <c r="CI216" s="53"/>
      <c r="CJ216" s="53"/>
      <c r="CK216" s="53"/>
      <c r="CL216" s="53"/>
      <c r="CM216" s="53"/>
      <c r="CN216" s="53"/>
      <c r="CO216" s="53"/>
      <c r="CP216" s="53"/>
      <c r="CQ216" s="53"/>
      <c r="CR216" s="1"/>
      <c r="CS216" s="1"/>
      <c r="CT216" s="1"/>
      <c r="CU216" s="1"/>
    </row>
    <row r="217" spans="1:99" s="13" customFormat="1" ht="12" customHeight="1" x14ac:dyDescent="0.2">
      <c r="A217" s="65">
        <v>43900</v>
      </c>
      <c r="B217" s="1" t="s">
        <v>417</v>
      </c>
      <c r="C217" s="1" t="s">
        <v>418</v>
      </c>
      <c r="D217" s="60">
        <v>2018</v>
      </c>
      <c r="E217" s="76">
        <v>1</v>
      </c>
      <c r="F217" s="60">
        <v>28</v>
      </c>
      <c r="G217" s="60">
        <v>28</v>
      </c>
      <c r="H217" s="60" t="s">
        <v>22</v>
      </c>
      <c r="I217" s="60" t="s">
        <v>731</v>
      </c>
      <c r="J217" s="60" t="s">
        <v>16</v>
      </c>
      <c r="K217" s="60">
        <f>IF(J217="syllables",1,IF(J217="trigrams",2,IF(J217="strings",3,IF(J217="visual array",4,IF(J217="characters",5,IF(J217="letters",6,IF(J217="free forms",7,IF(J217="odors",8,IF(J217="words",9,IF(J217="pictures",10,IF(J217="object pictures",11,IF(J217="faces",12,IF(J217="names",13,IF(J217="idioms",14,IF(J217="grades",15,IF(J217="syllable-digit pairs",16,IF(J217="trigram-word pairs",17,IF(J217="word-digit pairs",18,IF(J217="English-Swahili pairs",19,IF(J217="spatial position",20,IF(J217="word pairs",21,IF(J217="word triads",22,IF(J217="generated words",23,IF(J217="word definition pairs",24,IF(J217="math problems",25,IF(J217="famous faces",26,IF(J217="famous names",27,IF(J217="famous voices",28,IF(J217="television programs",29,IF(J217="race horses",30,IF(J217="new vocabulary",31,IF(J217="sentences",32,IF(J217="concepts",33,IF(J217="ad slides",34,IF(J217="scenes",35,IF(J217="famous scenes",36,IF(J217="poems",37,IF(J217="walk",38,IF(J217="faces and events",39,IF(J217="events and names",40,IF(J217="flashbulb",41,IF(J217="stories",42,IF(J217="course material",43,IF(J217="autobiographical",44,IF(J217="novels",45,IF(J217="public events",46,"99"))))))))))))))))))))))))))))))))))))))))))))))</f>
        <v>9</v>
      </c>
      <c r="L217" s="60">
        <f>IF(J217="syllables",1,IF(J217="trigrams",1,IF(J217="strings",1,IF(J217="visual array",1,IF(J217="characters",1,IF(J217="letters",1,IF(J217="free forms",1,IF(J217="odors",2,IF(J217="words",2,IF(J217="pictures",2,IF(J217="object pictures",2,IF(J217="faces",2,IF(J217="names",2,IF(J217="idioms","2",IF(J217="grades",2,IF(J217="syllable-digit pairs",3,IF(J217="trigram-word pairs",3,IF(J217="word-digit pairs",3,IF(J217="English-Swahili pairs",3,IF(J217="spatial position",3,IF(J217="word pairs",4,IF(J217="word triads",4,IF(J217="generated words",4,IF(J217="word definition pairs",4,IF(J217="math problems",4,IF(J217="famous faces",4,IF(J217="famous names",4,IF(J217="famous voices",4,IF(J217="television programs",4,IF(J217="race horses",4,IF(J217="new vocabulary",4,IF(J217="sentences",5,IF(J217="concepts",5,IF(J217="ad slides",5,IF(J217="scenes",5,IF(J217="famous scenes",5,IF(J217="poems",6,IF(J217="walk",6,IF(J217="faces and events",6,IF(J217="events and names",6,IF(J217="flashbulb",7,IF(J217="stories",7,IF(J217="course material",7,IF(J217="autobiographical",7,IF(J217="novels",7,IF(J217="public events",7,"99"))))))))))))))))))))))))))))))))))))))))))))))</f>
        <v>2</v>
      </c>
      <c r="M217" s="60">
        <v>0</v>
      </c>
      <c r="N217" s="60">
        <v>1</v>
      </c>
      <c r="O217" s="60">
        <v>0</v>
      </c>
      <c r="P217" s="60"/>
      <c r="Q217" s="60" t="s">
        <v>174</v>
      </c>
      <c r="R217" s="60">
        <f>IF(Q217="Free Recall",1,IF(Q217="Cued Recall",2,IF(Q217="Recognition",3,IF(Q217="Multiple Choice",4,IF(Q217="Savings",5,IF(Q217="Stem Completion",6,IF(Q217="Fragment Completion",7,IF(Q217="anagram solution",8,IF(Q217="Matching",9,IF(Q217="Problem Solving",10,"99"))))))))))</f>
        <v>1</v>
      </c>
      <c r="S217" s="60" t="s">
        <v>49</v>
      </c>
      <c r="T217" s="59" t="s">
        <v>581</v>
      </c>
      <c r="U217" s="60">
        <f>IF(T217="within",1,0)</f>
        <v>1</v>
      </c>
      <c r="V217" s="59">
        <v>15</v>
      </c>
      <c r="W217" s="60">
        <f>F217*V217</f>
        <v>420</v>
      </c>
      <c r="X217" s="60">
        <v>3</v>
      </c>
      <c r="Y217" s="76">
        <f>AV216</f>
        <v>30</v>
      </c>
      <c r="Z217" s="60" t="s">
        <v>97</v>
      </c>
      <c r="AA217" s="60">
        <v>604800</v>
      </c>
      <c r="AB217" s="60" t="str">
        <f>IF(AA217&lt;60,"1",IF(AA217&lt;=43200,"2",IF(AA217&lt;=777600,"3","4")))</f>
        <v>3</v>
      </c>
      <c r="AC217" s="56">
        <f>AVERAGE(AV216:DA216)</f>
        <v>225610</v>
      </c>
      <c r="AD217" s="60" t="str">
        <f>IF(AC217&lt;60,"1",IF(AC217&lt;=43200,"2",IF(AC217&lt;=777600,"3","4")))</f>
        <v>3</v>
      </c>
      <c r="AE217" s="76">
        <f>AA217-Y217</f>
        <v>604770</v>
      </c>
      <c r="AF217" s="80">
        <f>AV217</f>
        <v>0.81</v>
      </c>
      <c r="AG217" s="56">
        <f>((AW217-AV217)+(AX217-AW217))/2</f>
        <v>-0.11000000000000004</v>
      </c>
      <c r="AH217" s="4"/>
      <c r="AI217" s="56">
        <f>RSQ(AV217:AX217,AV216:AX216)</f>
        <v>0.99971380347654959</v>
      </c>
      <c r="AJ217" s="109">
        <f>SLOPE(AV217:AX217,AV216:AX216)</f>
        <v>-3.6108686463147113E-7</v>
      </c>
      <c r="AK217" s="56">
        <f>INTERCEPT(AV217:AX217,AV216:AX216)</f>
        <v>0.80813147419617293</v>
      </c>
      <c r="AL217" s="56">
        <f>INDEX(LINEST(LN(AV217:AX217),LN(AV216:AX216),TRUE,TRUE),3,1)</f>
        <v>0.55271415861195661</v>
      </c>
      <c r="AM217" s="56">
        <f>INDEX(LINEST(LN(AV217:AX217),LN(AV216:AX216)),1)</f>
        <v>-2.4665227897221281E-2</v>
      </c>
      <c r="AN217" s="56">
        <f>EXP(INDEX(LINEST(LN(AV217:AX217),LN(AV216:AX216)),1,2))</f>
        <v>0.90523023325466356</v>
      </c>
      <c r="AO217" s="82">
        <f>INDEX(LINEST((AV217:AX217),LN(AV216:AX216),TRUE,TRUE),3,1)</f>
        <v>0.56942424372799938</v>
      </c>
      <c r="AP217" s="82">
        <f>INDEX(LINEST((AV217:AX217),LN(AV216:AX216)),1)</f>
        <v>-1.7254171935692349E-2</v>
      </c>
      <c r="AQ217" s="83">
        <f>INDEX(LINEST(LN(AV217:AX217),SQRT(AV216:AX216),TRUE,TRUE),3,1)</f>
        <v>0.94708433466905861</v>
      </c>
      <c r="AR217" s="116">
        <f>INDEX(LINEST(LN(AV217:AX217),SQRT((AV216:AX216))),1)</f>
        <v>-4.2908798093960204E-4</v>
      </c>
      <c r="AS217" s="84">
        <f>INDEX(LINEST(1/(AV217:AX217),1/(SQRT(AV216:AX216)),TRUE,TRUE),3,1)</f>
        <v>0.34637375696104095</v>
      </c>
      <c r="AT217" s="84">
        <f>INDEX(LINEST(1/(AV217:AX217),1/SQRT(AV216:AX216)),1)</f>
        <v>-1.4332221243604191</v>
      </c>
      <c r="AU217" s="3"/>
      <c r="AV217" s="53">
        <v>0.81</v>
      </c>
      <c r="AW217" s="53">
        <v>0.78</v>
      </c>
      <c r="AX217" s="53">
        <v>0.59</v>
      </c>
      <c r="AY217" s="53"/>
      <c r="AZ217" s="53"/>
      <c r="BA217" s="53"/>
      <c r="BB217" s="53"/>
      <c r="BC217" s="53"/>
      <c r="BD217" s="53"/>
      <c r="BE217" s="53"/>
      <c r="BF217" s="53"/>
      <c r="BG217" s="53"/>
      <c r="BH217" s="53"/>
      <c r="BI217" s="53"/>
      <c r="BJ217" s="53"/>
      <c r="BK217" s="53"/>
      <c r="BL217" s="53"/>
      <c r="BM217" s="53"/>
      <c r="BN217" s="53"/>
      <c r="BO217" s="53"/>
      <c r="BP217" s="53"/>
      <c r="BQ217" s="53"/>
      <c r="BR217" s="53"/>
      <c r="BS217" s="53"/>
      <c r="BT217" s="53"/>
      <c r="BU217" s="53"/>
      <c r="BV217" s="53"/>
      <c r="BW217" s="53"/>
      <c r="BX217" s="53"/>
      <c r="BY217" s="53"/>
      <c r="BZ217" s="53"/>
      <c r="CA217" s="53"/>
      <c r="CB217" s="53"/>
      <c r="CC217" s="53"/>
      <c r="CD217" s="53"/>
      <c r="CE217" s="53"/>
      <c r="CF217" s="53"/>
      <c r="CG217" s="53"/>
      <c r="CH217" s="53"/>
      <c r="CI217" s="53"/>
      <c r="CJ217" s="53"/>
      <c r="CK217" s="53"/>
      <c r="CL217" s="53"/>
      <c r="CM217" s="53"/>
      <c r="CN217" s="53"/>
      <c r="CO217" s="53"/>
      <c r="CP217" s="53"/>
      <c r="CQ217" s="53"/>
      <c r="CR217" s="1"/>
      <c r="CS217" s="1"/>
      <c r="CT217" s="1"/>
      <c r="CU217" s="1"/>
    </row>
    <row r="218" spans="1:99" s="13" customFormat="1" ht="12" customHeight="1" x14ac:dyDescent="0.2">
      <c r="A218" s="65">
        <v>43900</v>
      </c>
      <c r="B218" s="1"/>
      <c r="C218" s="1"/>
      <c r="D218" s="60"/>
      <c r="E218" s="76"/>
      <c r="F218" s="60"/>
      <c r="G218" s="60"/>
      <c r="H218" s="60"/>
      <c r="I218" s="60"/>
      <c r="J218" s="60"/>
      <c r="K218" s="64"/>
      <c r="L218" s="64"/>
      <c r="M218" s="60"/>
      <c r="N218" s="61"/>
      <c r="O218" s="60"/>
      <c r="P218" s="60"/>
      <c r="Q218" s="60"/>
      <c r="R218" s="60"/>
      <c r="S218" s="60"/>
      <c r="T218" s="59"/>
      <c r="U218" s="60"/>
      <c r="V218" s="59"/>
      <c r="W218" s="60"/>
      <c r="X218" s="60"/>
      <c r="Y218" s="76"/>
      <c r="Z218" s="60"/>
      <c r="AA218" s="76"/>
      <c r="AB218" s="60"/>
      <c r="AC218" s="56"/>
      <c r="AD218" s="60"/>
      <c r="AE218" s="60"/>
      <c r="AF218" s="80"/>
      <c r="AG218" s="56"/>
      <c r="AH218" s="4"/>
      <c r="AI218" s="56"/>
      <c r="AJ218" s="109"/>
      <c r="AK218" s="56"/>
      <c r="AL218" s="56"/>
      <c r="AM218" s="56"/>
      <c r="AN218" s="56"/>
      <c r="AO218" s="82"/>
      <c r="AP218" s="82"/>
      <c r="AQ218" s="83"/>
      <c r="AR218" s="116"/>
      <c r="AS218" s="84"/>
      <c r="AT218" s="84"/>
      <c r="AU218" s="3"/>
      <c r="AV218" s="25">
        <v>30</v>
      </c>
      <c r="AW218" s="25">
        <f>20*60*60</f>
        <v>72000</v>
      </c>
      <c r="AX218" s="25">
        <f>7*24*60*60</f>
        <v>604800</v>
      </c>
      <c r="AY218" s="53"/>
      <c r="AZ218" s="53"/>
      <c r="BA218" s="53"/>
      <c r="BB218" s="53"/>
      <c r="BC218" s="53"/>
      <c r="BD218" s="53"/>
      <c r="BE218" s="53"/>
      <c r="BF218" s="53"/>
      <c r="BG218" s="53"/>
      <c r="BH218" s="53"/>
      <c r="BI218" s="53"/>
      <c r="BJ218" s="53"/>
      <c r="BK218" s="53"/>
      <c r="BL218" s="53"/>
      <c r="BM218" s="53"/>
      <c r="BN218" s="53"/>
      <c r="BO218" s="53"/>
      <c r="BP218" s="53"/>
      <c r="BQ218" s="53"/>
      <c r="BR218" s="53"/>
      <c r="BS218" s="53"/>
      <c r="BT218" s="53"/>
      <c r="BU218" s="53"/>
      <c r="BV218" s="53"/>
      <c r="BW218" s="53"/>
      <c r="BX218" s="53"/>
      <c r="BY218" s="53"/>
      <c r="BZ218" s="53"/>
      <c r="CA218" s="53"/>
      <c r="CB218" s="53"/>
      <c r="CC218" s="53"/>
      <c r="CD218" s="53"/>
      <c r="CE218" s="53"/>
      <c r="CF218" s="53"/>
      <c r="CG218" s="53"/>
      <c r="CH218" s="53"/>
      <c r="CI218" s="53"/>
      <c r="CJ218" s="53"/>
      <c r="CK218" s="53"/>
      <c r="CL218" s="53"/>
      <c r="CM218" s="53"/>
      <c r="CN218" s="53"/>
      <c r="CO218" s="53"/>
      <c r="CP218" s="53"/>
      <c r="CQ218" s="53"/>
      <c r="CR218" s="1"/>
      <c r="CS218" s="1"/>
      <c r="CT218" s="1"/>
      <c r="CU218" s="1"/>
    </row>
    <row r="219" spans="1:99" s="13" customFormat="1" ht="12" customHeight="1" x14ac:dyDescent="0.2">
      <c r="A219" s="65">
        <v>43900</v>
      </c>
      <c r="B219" s="1" t="s">
        <v>417</v>
      </c>
      <c r="C219" s="1" t="s">
        <v>418</v>
      </c>
      <c r="D219" s="60">
        <v>2018</v>
      </c>
      <c r="E219" s="76">
        <v>1</v>
      </c>
      <c r="F219" s="60">
        <v>28</v>
      </c>
      <c r="G219" s="60">
        <v>28</v>
      </c>
      <c r="H219" s="60" t="s">
        <v>22</v>
      </c>
      <c r="I219" s="60" t="s">
        <v>730</v>
      </c>
      <c r="J219" s="60" t="s">
        <v>16</v>
      </c>
      <c r="K219" s="60">
        <f>IF(J219="syllables",1,IF(J219="trigrams",2,IF(J219="strings",3,IF(J219="visual array",4,IF(J219="characters",5,IF(J219="letters",6,IF(J219="free forms",7,IF(J219="odors",8,IF(J219="words",9,IF(J219="pictures",10,IF(J219="object pictures",11,IF(J219="faces",12,IF(J219="names",13,IF(J219="idioms",14,IF(J219="grades",15,IF(J219="syllable-digit pairs",16,IF(J219="trigram-word pairs",17,IF(J219="word-digit pairs",18,IF(J219="English-Swahili pairs",19,IF(J219="spatial position",20,IF(J219="word pairs",21,IF(J219="word triads",22,IF(J219="generated words",23,IF(J219="word definition pairs",24,IF(J219="math problems",25,IF(J219="famous faces",26,IF(J219="famous names",27,IF(J219="famous voices",28,IF(J219="television programs",29,IF(J219="race horses",30,IF(J219="new vocabulary",31,IF(J219="sentences",32,IF(J219="concepts",33,IF(J219="ad slides",34,IF(J219="scenes",35,IF(J219="famous scenes",36,IF(J219="poems",37,IF(J219="walk",38,IF(J219="faces and events",39,IF(J219="events and names",40,IF(J219="flashbulb",41,IF(J219="stories",42,IF(J219="course material",43,IF(J219="autobiographical",44,IF(J219="novels",45,IF(J219="public events",46,"99"))))))))))))))))))))))))))))))))))))))))))))))</f>
        <v>9</v>
      </c>
      <c r="L219" s="60">
        <f>IF(J219="syllables",1,IF(J219="trigrams",1,IF(J219="strings",1,IF(J219="visual array",1,IF(J219="characters",1,IF(J219="letters",1,IF(J219="free forms",1,IF(J219="odors",2,IF(J219="words",2,IF(J219="pictures",2,IF(J219="object pictures",2,IF(J219="faces",2,IF(J219="names",2,IF(J219="idioms","2",IF(J219="grades",2,IF(J219="syllable-digit pairs",3,IF(J219="trigram-word pairs",3,IF(J219="word-digit pairs",3,IF(J219="English-Swahili pairs",3,IF(J219="spatial position",3,IF(J219="word pairs",4,IF(J219="word triads",4,IF(J219="generated words",4,IF(J219="word definition pairs",4,IF(J219="math problems",4,IF(J219="famous faces",4,IF(J219="famous names",4,IF(J219="famous voices",4,IF(J219="television programs",4,IF(J219="race horses",4,IF(J219="new vocabulary",4,IF(J219="sentences",5,IF(J219="concepts",5,IF(J219="ad slides",5,IF(J219="scenes",5,IF(J219="famous scenes",5,IF(J219="poems",6,IF(J219="walk",6,IF(J219="faces and events",6,IF(J219="events and names",6,IF(J219="flashbulb",7,IF(J219="stories",7,IF(J219="course material",7,IF(J219="autobiographical",7,IF(J219="novels",7,IF(J219="public events",7,"99"))))))))))))))))))))))))))))))))))))))))))))))</f>
        <v>2</v>
      </c>
      <c r="M219" s="60">
        <v>0</v>
      </c>
      <c r="N219" s="60">
        <v>1</v>
      </c>
      <c r="O219" s="60">
        <v>1</v>
      </c>
      <c r="P219" s="60"/>
      <c r="Q219" s="60" t="s">
        <v>174</v>
      </c>
      <c r="R219" s="60">
        <f>IF(Q219="Free Recall",1,IF(Q219="Cued Recall",2,IF(Q219="Recognition",3,IF(Q219="Multiple Choice",4,IF(Q219="Savings",5,IF(Q219="Stem Completion",6,IF(Q219="Fragment Completion",7,IF(Q219="anagram solution",8,IF(Q219="Matching",9,IF(Q219="Problem Solving",10,"99"))))))))))</f>
        <v>1</v>
      </c>
      <c r="S219" s="60" t="s">
        <v>49</v>
      </c>
      <c r="T219" s="59" t="s">
        <v>581</v>
      </c>
      <c r="U219" s="60">
        <f>IF(T219="within",1,0)</f>
        <v>1</v>
      </c>
      <c r="V219" s="59">
        <v>15</v>
      </c>
      <c r="W219" s="60">
        <f>F219*V219</f>
        <v>420</v>
      </c>
      <c r="X219" s="60">
        <v>3</v>
      </c>
      <c r="Y219" s="76">
        <f>AV218</f>
        <v>30</v>
      </c>
      <c r="Z219" s="60" t="s">
        <v>97</v>
      </c>
      <c r="AA219" s="60">
        <v>604800</v>
      </c>
      <c r="AB219" s="60" t="str">
        <f>IF(AA219&lt;60,"1",IF(AA219&lt;=43200,"2",IF(AA219&lt;=777600,"3","4")))</f>
        <v>3</v>
      </c>
      <c r="AC219" s="56">
        <f>AVERAGE(AV218:DA218)</f>
        <v>225610</v>
      </c>
      <c r="AD219" s="60" t="str">
        <f>IF(AC219&lt;60,"1",IF(AC219&lt;=43200,"2",IF(AC219&lt;=777600,"3","4")))</f>
        <v>3</v>
      </c>
      <c r="AE219" s="76">
        <f>AA219-Y219</f>
        <v>604770</v>
      </c>
      <c r="AF219" s="80">
        <f>AV219</f>
        <v>0.61</v>
      </c>
      <c r="AG219" s="56">
        <f>((AW219-AV219)+(AX219-AW219))/2</f>
        <v>-0.18</v>
      </c>
      <c r="AH219" s="4"/>
      <c r="AI219" s="56">
        <f>RSQ(AV219:AX219,AV218:AX218)</f>
        <v>0.90192766249110368</v>
      </c>
      <c r="AJ219" s="109">
        <f>SLOPE(AV219:AX219,AV218:AX218)</f>
        <v>-5.1985265418301002E-7</v>
      </c>
      <c r="AK219" s="56">
        <f>INTERCEPT(AV219:AX219,AV218:AX218)</f>
        <v>0.55728395731022884</v>
      </c>
      <c r="AL219" s="56">
        <f>INDEX(LINEST(LN(AV219:AX219),LN(AV218:AX218),TRUE,TRUE),3,1)</f>
        <v>0.74694610047542642</v>
      </c>
      <c r="AM219" s="56">
        <f>INDEX(LINEST(LN(AV219:AX219),LN(AV218:AX218)),1)</f>
        <v>-7.551750898022197E-2</v>
      </c>
      <c r="AN219" s="56">
        <f>EXP(INDEX(LINEST(LN(AV219:AX219),LN(AV218:AX218)),1,2))</f>
        <v>0.83240418377771341</v>
      </c>
      <c r="AO219" s="82">
        <f>INDEX(LINEST((AV219:AX219),LN(AV218:AX218),TRUE,TRUE),3,1)</f>
        <v>0.83806967117397957</v>
      </c>
      <c r="AP219" s="82">
        <f>INDEX(LINEST((AV219:AX219),LN(AV218:AX218)),1)</f>
        <v>-3.1727567220063667E-2</v>
      </c>
      <c r="AQ219" s="83">
        <f>INDEX(LINEST(LN(AV219:AX219),SQRT(AV218:AX218),TRUE,TRUE),3,1)</f>
        <v>0.99929022217941488</v>
      </c>
      <c r="AR219" s="116">
        <f>INDEX(LINEST(LN(AV219:AX219),SQRT((AV218:AX218))),1)</f>
        <v>-1.1608230638644745E-3</v>
      </c>
      <c r="AS219" s="84">
        <f>INDEX(LINEST(1/(AV219:AX219),1/(SQRT(AV218:AX218)),TRUE,TRUE),3,1)</f>
        <v>0.46760965721404768</v>
      </c>
      <c r="AT219" s="84">
        <f>INDEX(LINEST(1/(AV219:AX219),1/SQRT(AV218:AX218)),1)</f>
        <v>-8.141238485982548</v>
      </c>
      <c r="AU219" s="3"/>
      <c r="AV219" s="53">
        <v>0.61</v>
      </c>
      <c r="AW219" s="53">
        <v>0.46</v>
      </c>
      <c r="AX219" s="53">
        <v>0.25</v>
      </c>
      <c r="AY219" s="53"/>
      <c r="AZ219" s="53"/>
      <c r="BA219" s="53"/>
      <c r="BB219" s="53"/>
      <c r="BC219" s="53"/>
      <c r="BD219" s="53"/>
      <c r="BE219" s="53"/>
      <c r="BF219" s="53"/>
      <c r="BG219" s="53"/>
      <c r="BH219" s="53"/>
      <c r="BI219" s="53"/>
      <c r="BJ219" s="53"/>
      <c r="BK219" s="53"/>
      <c r="BL219" s="53"/>
      <c r="BM219" s="53"/>
      <c r="BN219" s="53"/>
      <c r="BO219" s="53"/>
      <c r="BP219" s="53"/>
      <c r="BQ219" s="53"/>
      <c r="BR219" s="53"/>
      <c r="BS219" s="53"/>
      <c r="BT219" s="53"/>
      <c r="BU219" s="53"/>
      <c r="BV219" s="53"/>
      <c r="BW219" s="53"/>
      <c r="BX219" s="53"/>
      <c r="BY219" s="53"/>
      <c r="BZ219" s="53"/>
      <c r="CA219" s="53"/>
      <c r="CB219" s="53"/>
      <c r="CC219" s="53"/>
      <c r="CD219" s="53"/>
      <c r="CE219" s="53"/>
      <c r="CF219" s="53"/>
      <c r="CG219" s="53"/>
      <c r="CH219" s="53"/>
      <c r="CI219" s="53"/>
      <c r="CJ219" s="53"/>
      <c r="CK219" s="53"/>
      <c r="CL219" s="53"/>
      <c r="CM219" s="53"/>
      <c r="CN219" s="53"/>
      <c r="CO219" s="53"/>
      <c r="CP219" s="53"/>
      <c r="CQ219" s="53"/>
      <c r="CR219" s="1"/>
      <c r="CS219" s="1"/>
      <c r="CT219" s="1"/>
      <c r="CU219" s="1"/>
    </row>
    <row r="220" spans="1:99" s="13" customFormat="1" ht="12" customHeight="1" x14ac:dyDescent="0.2">
      <c r="A220" s="65">
        <v>43900</v>
      </c>
      <c r="B220" s="1"/>
      <c r="C220" s="1"/>
      <c r="D220" s="60"/>
      <c r="E220" s="76"/>
      <c r="F220" s="60"/>
      <c r="G220" s="60"/>
      <c r="H220" s="60"/>
      <c r="I220" s="60"/>
      <c r="J220" s="60"/>
      <c r="K220" s="64"/>
      <c r="L220" s="64"/>
      <c r="M220" s="60"/>
      <c r="N220" s="61"/>
      <c r="O220" s="60"/>
      <c r="P220" s="60"/>
      <c r="Q220" s="60"/>
      <c r="R220" s="60"/>
      <c r="S220" s="60"/>
      <c r="T220" s="59"/>
      <c r="U220" s="60"/>
      <c r="V220" s="59"/>
      <c r="W220" s="60"/>
      <c r="X220" s="60"/>
      <c r="Y220" s="76"/>
      <c r="Z220" s="60"/>
      <c r="AA220" s="76"/>
      <c r="AB220" s="60"/>
      <c r="AC220" s="56"/>
      <c r="AD220" s="60"/>
      <c r="AE220" s="60"/>
      <c r="AF220" s="80"/>
      <c r="AG220" s="56"/>
      <c r="AH220" s="4"/>
      <c r="AI220" s="56"/>
      <c r="AJ220" s="109"/>
      <c r="AK220" s="56"/>
      <c r="AL220" s="56"/>
      <c r="AM220" s="56"/>
      <c r="AN220" s="56"/>
      <c r="AO220" s="82"/>
      <c r="AP220" s="82"/>
      <c r="AQ220" s="83"/>
      <c r="AR220" s="116"/>
      <c r="AS220" s="84"/>
      <c r="AT220" s="84"/>
      <c r="AU220" s="3"/>
      <c r="AV220" s="25">
        <v>30</v>
      </c>
      <c r="AW220" s="25">
        <f>20*60*60</f>
        <v>72000</v>
      </c>
      <c r="AX220" s="25">
        <f>7*24*60*60</f>
        <v>604800</v>
      </c>
      <c r="AY220" s="53"/>
      <c r="AZ220" s="53"/>
      <c r="BA220" s="53"/>
      <c r="BB220" s="53"/>
      <c r="BC220" s="53"/>
      <c r="BD220" s="53"/>
      <c r="BE220" s="53"/>
      <c r="BF220" s="53"/>
      <c r="BG220" s="53"/>
      <c r="BH220" s="53"/>
      <c r="BI220" s="53"/>
      <c r="BJ220" s="53"/>
      <c r="BK220" s="53"/>
      <c r="BL220" s="53"/>
      <c r="BM220" s="53"/>
      <c r="BN220" s="53"/>
      <c r="BO220" s="53"/>
      <c r="BP220" s="53"/>
      <c r="BQ220" s="53"/>
      <c r="BR220" s="53"/>
      <c r="BS220" s="53"/>
      <c r="BT220" s="53"/>
      <c r="BU220" s="53"/>
      <c r="BV220" s="53"/>
      <c r="BW220" s="53"/>
      <c r="BX220" s="53"/>
      <c r="BY220" s="53"/>
      <c r="BZ220" s="53"/>
      <c r="CA220" s="53"/>
      <c r="CB220" s="53"/>
      <c r="CC220" s="53"/>
      <c r="CD220" s="53"/>
      <c r="CE220" s="53"/>
      <c r="CF220" s="53"/>
      <c r="CG220" s="53"/>
      <c r="CH220" s="53"/>
      <c r="CI220" s="53"/>
      <c r="CJ220" s="53"/>
      <c r="CK220" s="53"/>
      <c r="CL220" s="53"/>
      <c r="CM220" s="53"/>
      <c r="CN220" s="53"/>
      <c r="CO220" s="53"/>
      <c r="CP220" s="53"/>
      <c r="CQ220" s="53"/>
      <c r="CR220" s="1"/>
      <c r="CS220" s="1"/>
      <c r="CT220" s="1"/>
      <c r="CU220" s="1"/>
    </row>
    <row r="221" spans="1:99" s="13" customFormat="1" ht="12" customHeight="1" x14ac:dyDescent="0.2">
      <c r="A221" s="65">
        <v>43900</v>
      </c>
      <c r="B221" s="1" t="s">
        <v>417</v>
      </c>
      <c r="C221" s="1" t="s">
        <v>418</v>
      </c>
      <c r="D221" s="60">
        <v>2018</v>
      </c>
      <c r="E221" s="76">
        <v>1</v>
      </c>
      <c r="F221" s="60">
        <v>28</v>
      </c>
      <c r="G221" s="60">
        <v>28</v>
      </c>
      <c r="H221" s="60" t="s">
        <v>22</v>
      </c>
      <c r="I221" s="60" t="s">
        <v>732</v>
      </c>
      <c r="J221" s="60" t="s">
        <v>16</v>
      </c>
      <c r="K221" s="60">
        <f>IF(J221="syllables",1,IF(J221="trigrams",2,IF(J221="strings",3,IF(J221="visual array",4,IF(J221="characters",5,IF(J221="letters",6,IF(J221="free forms",7,IF(J221="odors",8,IF(J221="words",9,IF(J221="pictures",10,IF(J221="object pictures",11,IF(J221="faces",12,IF(J221="names",13,IF(J221="idioms",14,IF(J221="grades",15,IF(J221="syllable-digit pairs",16,IF(J221="trigram-word pairs",17,IF(J221="word-digit pairs",18,IF(J221="English-Swahili pairs",19,IF(J221="spatial position",20,IF(J221="word pairs",21,IF(J221="word triads",22,IF(J221="generated words",23,IF(J221="word definition pairs",24,IF(J221="math problems",25,IF(J221="famous faces",26,IF(J221="famous names",27,IF(J221="famous voices",28,IF(J221="television programs",29,IF(J221="race horses",30,IF(J221="new vocabulary",31,IF(J221="sentences",32,IF(J221="concepts",33,IF(J221="ad slides",34,IF(J221="scenes",35,IF(J221="famous scenes",36,IF(J221="poems",37,IF(J221="walk",38,IF(J221="faces and events",39,IF(J221="events and names",40,IF(J221="flashbulb",41,IF(J221="stories",42,IF(J221="course material",43,IF(J221="autobiographical",44,IF(J221="novels",45,IF(J221="public events",46,"99"))))))))))))))))))))))))))))))))))))))))))))))</f>
        <v>9</v>
      </c>
      <c r="L221" s="60">
        <f>IF(J221="syllables",1,IF(J221="trigrams",1,IF(J221="strings",1,IF(J221="visual array",1,IF(J221="characters",1,IF(J221="letters",1,IF(J221="free forms",1,IF(J221="odors",2,IF(J221="words",2,IF(J221="pictures",2,IF(J221="object pictures",2,IF(J221="faces",2,IF(J221="names",2,IF(J221="idioms","2",IF(J221="grades",2,IF(J221="syllable-digit pairs",3,IF(J221="trigram-word pairs",3,IF(J221="word-digit pairs",3,IF(J221="English-Swahili pairs",3,IF(J221="spatial position",3,IF(J221="word pairs",4,IF(J221="word triads",4,IF(J221="generated words",4,IF(J221="word definition pairs",4,IF(J221="math problems",4,IF(J221="famous faces",4,IF(J221="famous names",4,IF(J221="famous voices",4,IF(J221="television programs",4,IF(J221="race horses",4,IF(J221="new vocabulary",4,IF(J221="sentences",5,IF(J221="concepts",5,IF(J221="ad slides",5,IF(J221="scenes",5,IF(J221="famous scenes",5,IF(J221="poems",6,IF(J221="walk",6,IF(J221="faces and events",6,IF(J221="events and names",6,IF(J221="flashbulb",7,IF(J221="stories",7,IF(J221="course material",7,IF(J221="autobiographical",7,IF(J221="novels",7,IF(J221="public events",7,"99"))))))))))))))))))))))))))))))))))))))))))))))</f>
        <v>2</v>
      </c>
      <c r="M221" s="60">
        <v>0</v>
      </c>
      <c r="N221" s="60">
        <v>1</v>
      </c>
      <c r="O221" s="60">
        <v>1</v>
      </c>
      <c r="P221" s="60"/>
      <c r="Q221" s="60" t="s">
        <v>174</v>
      </c>
      <c r="R221" s="60">
        <f>IF(Q221="Free Recall",1,IF(Q221="Cued Recall",2,IF(Q221="Recognition",3,IF(Q221="Multiple Choice",4,IF(Q221="Savings",5,IF(Q221="Stem Completion",6,IF(Q221="Fragment Completion",7,IF(Q221="anagram solution",8,IF(Q221="Matching",9,IF(Q221="Problem Solving",10,"99"))))))))))</f>
        <v>1</v>
      </c>
      <c r="S221" s="60" t="s">
        <v>49</v>
      </c>
      <c r="T221" s="59" t="s">
        <v>581</v>
      </c>
      <c r="U221" s="60">
        <f>IF(T221="within",1,0)</f>
        <v>1</v>
      </c>
      <c r="V221" s="59">
        <v>15</v>
      </c>
      <c r="W221" s="60">
        <f>F221*V221</f>
        <v>420</v>
      </c>
      <c r="X221" s="60">
        <v>3</v>
      </c>
      <c r="Y221" s="76">
        <f>AV220</f>
        <v>30</v>
      </c>
      <c r="Z221" s="60" t="s">
        <v>97</v>
      </c>
      <c r="AA221" s="60">
        <v>604800</v>
      </c>
      <c r="AB221" s="60" t="str">
        <f>IF(AA221&lt;60,"1",IF(AA221&lt;=43200,"2",IF(AA221&lt;=777600,"3","4")))</f>
        <v>3</v>
      </c>
      <c r="AC221" s="56">
        <f>AVERAGE(AV220:DA220)</f>
        <v>225610</v>
      </c>
      <c r="AD221" s="60" t="str">
        <f>IF(AC221&lt;60,"1",IF(AC221&lt;=43200,"2",IF(AC221&lt;=777600,"3","4")))</f>
        <v>3</v>
      </c>
      <c r="AE221" s="76">
        <f>AA221-Y221</f>
        <v>604770</v>
      </c>
      <c r="AF221" s="80">
        <f>AV221</f>
        <v>0.89</v>
      </c>
      <c r="AG221" s="56">
        <f>((AW221-AV221)+(AX221-AW221))/2</f>
        <v>-0.185</v>
      </c>
      <c r="AH221" s="4"/>
      <c r="AI221" s="56">
        <f>RSQ(AV221:AX221,AV220:AX220)</f>
        <v>0.92629910801850202</v>
      </c>
      <c r="AJ221" s="109">
        <f>SLOPE(AV221:AX221,AV220:AX220)</f>
        <v>-5.4426307644260353E-7</v>
      </c>
      <c r="AK221" s="56">
        <f>INTERCEPT(AV221:AX221,AV220:AX220)</f>
        <v>0.84279119267621583</v>
      </c>
      <c r="AL221" s="56">
        <f>INDEX(LINEST(LN(AV221:AX221),LN(AV220:AX220),TRUE,TRUE),3,1)</f>
        <v>0.74893742853849088</v>
      </c>
      <c r="AM221" s="56">
        <f>INDEX(LINEST(LN(AV221:AX221),LN(AV220:AX220)),1)</f>
        <v>-4.5534825890511214E-2</v>
      </c>
      <c r="AN221" s="56">
        <f>EXP(INDEX(LINEST(LN(AV221:AX221),LN(AV220:AX220)),1,2))</f>
        <v>1.0732951892051488</v>
      </c>
      <c r="AO221" s="82">
        <f>INDEX(LINEST((AV221:AX221),LN(AV220:AX220),TRUE,TRUE),3,1)</f>
        <v>0.80470698348366854</v>
      </c>
      <c r="AP221" s="82">
        <f>INDEX(LINEST((AV221:AX221),LN(AV220:AX220)),1)</f>
        <v>-3.2118439239066897E-2</v>
      </c>
      <c r="AQ221" s="83">
        <f>INDEX(LINEST(LN(AV221:AX221),SQRT(AV220:AX220),TRUE,TRUE),3,1)</f>
        <v>0.99940711311319785</v>
      </c>
      <c r="AR221" s="116">
        <f>INDEX(LINEST(LN(AV221:AX221),SQRT((AV220:AX220))),1)</f>
        <v>-6.9905173248809536E-4</v>
      </c>
      <c r="AS221" s="84">
        <f>INDEX(LINEST(1/(AV221:AX221),1/(SQRT(AV220:AX220)),TRUE,TRUE),3,1)</f>
        <v>0.50570807910787829</v>
      </c>
      <c r="AT221" s="84">
        <f>INDEX(LINEST(1/(AV221:AX221),1/SQRT(AV220:AX220)),1)</f>
        <v>-2.8352365158508981</v>
      </c>
      <c r="AU221" s="3"/>
      <c r="AV221" s="53">
        <v>0.89</v>
      </c>
      <c r="AW221" s="53">
        <v>0.75</v>
      </c>
      <c r="AX221" s="53">
        <v>0.52</v>
      </c>
      <c r="AY221" s="53"/>
      <c r="AZ221" s="53"/>
      <c r="BA221" s="53"/>
      <c r="BB221" s="53"/>
      <c r="BC221" s="53"/>
      <c r="BD221" s="53"/>
      <c r="BE221" s="53"/>
      <c r="BF221" s="53"/>
      <c r="BG221" s="53"/>
      <c r="BH221" s="53"/>
      <c r="BI221" s="53"/>
      <c r="BJ221" s="53"/>
      <c r="BK221" s="53"/>
      <c r="BL221" s="53"/>
      <c r="BM221" s="53"/>
      <c r="BN221" s="53"/>
      <c r="BO221" s="53"/>
      <c r="BP221" s="53"/>
      <c r="BQ221" s="53"/>
      <c r="BR221" s="53"/>
      <c r="BS221" s="53"/>
      <c r="BT221" s="53"/>
      <c r="BU221" s="53"/>
      <c r="BV221" s="53"/>
      <c r="BW221" s="53"/>
      <c r="BX221" s="53"/>
      <c r="BY221" s="53"/>
      <c r="BZ221" s="53"/>
      <c r="CA221" s="53"/>
      <c r="CB221" s="53"/>
      <c r="CC221" s="53"/>
      <c r="CD221" s="53"/>
      <c r="CE221" s="53"/>
      <c r="CF221" s="53"/>
      <c r="CG221" s="53"/>
      <c r="CH221" s="53"/>
      <c r="CI221" s="53"/>
      <c r="CJ221" s="53"/>
      <c r="CK221" s="53"/>
      <c r="CL221" s="53"/>
      <c r="CM221" s="53"/>
      <c r="CN221" s="53"/>
      <c r="CO221" s="53"/>
      <c r="CP221" s="53"/>
      <c r="CQ221" s="53"/>
      <c r="CR221" s="1"/>
      <c r="CS221" s="1"/>
      <c r="CT221" s="1"/>
      <c r="CU221" s="1"/>
    </row>
    <row r="222" spans="1:99" s="13" customFormat="1" ht="12" customHeight="1" x14ac:dyDescent="0.2">
      <c r="A222" s="68">
        <v>43979</v>
      </c>
      <c r="B222" s="70"/>
      <c r="C222" s="70"/>
      <c r="D222" s="69"/>
      <c r="E222" s="87"/>
      <c r="F222" s="69"/>
      <c r="G222" s="69"/>
      <c r="H222" s="69"/>
      <c r="I222" s="69"/>
      <c r="J222" s="69"/>
      <c r="K222" s="69"/>
      <c r="L222" s="69"/>
      <c r="M222" s="69"/>
      <c r="N222" s="69"/>
      <c r="O222" s="69"/>
      <c r="P222" s="69"/>
      <c r="Q222" s="69"/>
      <c r="R222" s="69"/>
      <c r="S222" s="69"/>
      <c r="T222" s="92"/>
      <c r="U222" s="69"/>
      <c r="V222" s="92"/>
      <c r="W222" s="69"/>
      <c r="X222" s="69"/>
      <c r="Y222" s="87"/>
      <c r="Z222" s="69"/>
      <c r="AA222" s="69"/>
      <c r="AB222" s="69"/>
      <c r="AC222" s="72"/>
      <c r="AD222" s="69"/>
      <c r="AE222" s="87"/>
      <c r="AF222" s="88"/>
      <c r="AG222" s="72"/>
      <c r="AH222" s="4"/>
      <c r="AI222" s="72"/>
      <c r="AJ222" s="110"/>
      <c r="AK222" s="72"/>
      <c r="AL222" s="72"/>
      <c r="AM222" s="72"/>
      <c r="AN222" s="72"/>
      <c r="AO222" s="89"/>
      <c r="AP222" s="89"/>
      <c r="AQ222" s="90"/>
      <c r="AR222" s="117"/>
      <c r="AS222" s="91"/>
      <c r="AT222" s="91"/>
      <c r="AU222" s="3"/>
      <c r="AV222" s="71">
        <f>60*10</f>
        <v>600</v>
      </c>
      <c r="AW222" s="71">
        <f>60*60*2</f>
        <v>7200</v>
      </c>
      <c r="AX222" s="71">
        <f>60*60*31</f>
        <v>111600</v>
      </c>
      <c r="AY222" s="53"/>
      <c r="AZ222" s="53"/>
      <c r="BA222" s="53"/>
      <c r="BB222" s="53"/>
      <c r="BC222" s="53"/>
      <c r="BD222" s="53"/>
      <c r="BE222" s="53"/>
      <c r="BF222" s="53"/>
      <c r="BG222" s="53"/>
      <c r="BH222" s="53"/>
      <c r="BI222" s="53"/>
      <c r="BJ222" s="53"/>
      <c r="BK222" s="53"/>
      <c r="BL222" s="53"/>
      <c r="BM222" s="53"/>
      <c r="BN222" s="53"/>
      <c r="BO222" s="53"/>
      <c r="BP222" s="53"/>
      <c r="BQ222" s="53"/>
      <c r="BR222" s="53"/>
      <c r="BS222" s="53"/>
      <c r="BT222" s="53"/>
      <c r="BU222" s="53"/>
      <c r="BV222" s="53"/>
      <c r="BW222" s="53"/>
      <c r="BX222" s="53"/>
      <c r="BY222" s="53"/>
      <c r="BZ222" s="53"/>
      <c r="CA222" s="53"/>
      <c r="CB222" s="53"/>
      <c r="CC222" s="53"/>
      <c r="CD222" s="53"/>
      <c r="CE222" s="53"/>
      <c r="CF222" s="53"/>
      <c r="CG222" s="53"/>
      <c r="CH222" s="53"/>
      <c r="CI222" s="53"/>
      <c r="CJ222" s="53"/>
      <c r="CK222" s="53"/>
      <c r="CL222" s="53"/>
      <c r="CM222" s="53"/>
      <c r="CN222" s="53"/>
      <c r="CO222" s="53"/>
      <c r="CP222" s="53"/>
      <c r="CQ222" s="53"/>
      <c r="CR222" s="1"/>
      <c r="CS222" s="1"/>
      <c r="CT222" s="1"/>
      <c r="CU222" s="1"/>
    </row>
    <row r="223" spans="1:99" s="13" customFormat="1" ht="12" customHeight="1" x14ac:dyDescent="0.2">
      <c r="A223" s="68">
        <v>43979</v>
      </c>
      <c r="B223" s="70" t="s">
        <v>983</v>
      </c>
      <c r="C223" s="70" t="s">
        <v>984</v>
      </c>
      <c r="D223" s="69">
        <v>1992</v>
      </c>
      <c r="E223" s="87">
        <v>1</v>
      </c>
      <c r="F223" s="69">
        <v>10</v>
      </c>
      <c r="G223" s="69">
        <v>10</v>
      </c>
      <c r="H223" s="69" t="s">
        <v>50</v>
      </c>
      <c r="I223" s="69" t="s">
        <v>330</v>
      </c>
      <c r="J223" s="69" t="s">
        <v>313</v>
      </c>
      <c r="K223" s="69">
        <f>IF(J223="syllables",1,IF(J223="trigrams",2,IF(J223="strings",3,IF(J223="visual array",4,IF(J223="characters",5,IF(J223="letters",6,IF(J223="free forms",7,IF(J223="odors",8,IF(J223="words",9,IF(J223="pictures",10,IF(J223="object pictures",11,IF(J223="faces",12,IF(J223="names",13,IF(J223="idioms",14,IF(J223="grades",15,IF(J223="syllable-digit pairs",16,IF(J223="trigram-word pairs",17,IF(J223="word-digit pairs",18,IF(J223="English-Swahili pairs",19,IF(J223="spatial position",20,IF(J223="word pairs",21,IF(J223="word triads",22,IF(J223="generated words",23,IF(J223="word definition pairs",24,IF(J223="math problems",25,IF(J223="famous faces",26,IF(J223="famous names",27,IF(J223="famous voices",28,IF(J223="television programs",29,IF(J223="race horses",30,IF(J223="new vocabulary",31,IF(J223="sentences",32,IF(J223="concepts",33,IF(J223="ad slides",34,IF(J223="scenes",35,IF(J223="famous scenes",36,IF(J223="poems",37,IF(J223="walk",38,IF(J223="faces and events",39,IF(J223="events and names",40,IF(J223="flashbulb",41,IF(J223="stories",42,IF(J223="course material",43,IF(J223="autobiographical",44,IF(J223="novels",45,IF(J223="public events",46,"99"))))))))))))))))))))))))))))))))))))))))))))))</f>
        <v>10</v>
      </c>
      <c r="L223" s="69">
        <f>IF(J223="syllables",1,IF(J223="trigrams",1,IF(J223="strings",1,IF(J223="visual array",1,IF(J223="characters",1,IF(J223="letters",1,IF(J223="free forms",1,IF(J223="odors",2,IF(J223="words",2,IF(J223="pictures",2,IF(J223="object pictures",2,IF(J223="faces",2,IF(J223="names",2,IF(J223="idioms","2",IF(J223="grades",2,IF(J223="syllable-digit pairs",3,IF(J223="trigram-word pairs",3,IF(J223="word-digit pairs",3,IF(J223="English-Swahili pairs",3,IF(J223="spatial position",3,IF(J223="word pairs",4,IF(J223="word triads",4,IF(J223="generated words",4,IF(J223="word definition pairs",4,IF(J223="math problems",4,IF(J223="famous faces",4,IF(J223="famous names",4,IF(J223="famous voices",4,IF(J223="television programs",4,IF(J223="race horses",4,IF(J223="new vocabulary",4,IF(J223="sentences",5,IF(J223="concepts",5,IF(J223="ad slides",5,IF(J223="scenes",5,IF(J223="famous scenes",5,IF(J223="poems",6,IF(J223="walk",6,IF(J223="faces and events",6,IF(J223="events and names",6,IF(J223="flashbulb",7,IF(J223="stories",7,IF(J223="course material",7,IF(J223="autobiographical",7,IF(J223="novels",7,IF(J223="public events",7,"99"))))))))))))))))))))))))))))))))))))))))))))))</f>
        <v>2</v>
      </c>
      <c r="M223" s="69">
        <v>0</v>
      </c>
      <c r="N223" s="69">
        <v>1</v>
      </c>
      <c r="O223" s="69">
        <v>0</v>
      </c>
      <c r="P223" s="69"/>
      <c r="Q223" s="69" t="s">
        <v>34</v>
      </c>
      <c r="R223" s="69">
        <f>IF(Q223="Free Recall",1,IF(Q223="Cued Recall",2,IF(Q223="Recognition",3,IF(Q223="Multiple Choice",4,IF(Q223="Savings",5,IF(Q223="Stem Completion",6,IF(Q223="Fragment Completion",7,IF(Q223="anagram solution",8,IF(Q223="Matching",9,IF(Q223="Problem Solving",10,"99"))))))))))</f>
        <v>3</v>
      </c>
      <c r="S223" s="69" t="s">
        <v>15</v>
      </c>
      <c r="T223" s="92" t="s">
        <v>581</v>
      </c>
      <c r="U223" s="69">
        <f>IF(T223="within",1,0)</f>
        <v>1</v>
      </c>
      <c r="V223" s="92">
        <v>30</v>
      </c>
      <c r="W223" s="69">
        <f>F223*V223</f>
        <v>300</v>
      </c>
      <c r="X223" s="69">
        <v>3</v>
      </c>
      <c r="Y223" s="87">
        <f>AV222</f>
        <v>600</v>
      </c>
      <c r="Z223" s="69" t="s">
        <v>985</v>
      </c>
      <c r="AA223" s="69">
        <f>60*60*31</f>
        <v>111600</v>
      </c>
      <c r="AB223" s="69" t="str">
        <f>IF(AA223&lt;60,"1",IF(AA223&lt;=43200,"2",IF(AA223&lt;=777600,"3","4")))</f>
        <v>3</v>
      </c>
      <c r="AC223" s="72">
        <f>AVERAGE(AV222:DA222)</f>
        <v>39800</v>
      </c>
      <c r="AD223" s="69" t="str">
        <f>IF(AC223&lt;60,"1",IF(AC223&lt;=43200,"2",IF(AC223&lt;=777600,"3","4")))</f>
        <v>2</v>
      </c>
      <c r="AE223" s="87">
        <f>AA223-Y223</f>
        <v>111000</v>
      </c>
      <c r="AF223" s="88">
        <f>AV223</f>
        <v>0.82963620230700996</v>
      </c>
      <c r="AG223" s="72">
        <f>((AW223-AV223)+(AX223-AW223))/2</f>
        <v>-8.4472049689441497E-2</v>
      </c>
      <c r="AH223" s="4"/>
      <c r="AI223" s="72">
        <f>RSQ(AV223:AX223,AV222:AX222)</f>
        <v>0.86334320317806001</v>
      </c>
      <c r="AJ223" s="110">
        <f>SLOPE(AV223:AX223,AV222:AX222)</f>
        <v>-1.2658328540599352E-6</v>
      </c>
      <c r="AK223" s="72">
        <f>INTERCEPT(AV223:AX223,AV222:AX222)</f>
        <v>0.80004001153716331</v>
      </c>
      <c r="AL223" s="72">
        <f>INDEX(LINEST(LN(AV223:AX223),LN(AV222:AX222),TRUE,TRUE),3,1)</f>
        <v>0.99102755049658664</v>
      </c>
      <c r="AM223" s="72">
        <f>INDEX(LINEST(LN(AV223:AX223),LN(AV222:AX222)),1)</f>
        <v>-4.3690147371452458E-2</v>
      </c>
      <c r="AN223" s="72">
        <f>EXP(INDEX(LINEST(LN(AV223:AX223),LN(AV222:AX222)),1,2))</f>
        <v>1.1043900576619294</v>
      </c>
      <c r="AO223" s="89">
        <f>INDEX(LINEST((AV223:AX223),LN(AV222:AX222),TRUE,TRUE),3,1)</f>
        <v>0.99595367240211619</v>
      </c>
      <c r="AP223" s="89">
        <f>INDEX(LINEST((AV223:AX223),LN(AV222:AX222)),1)</f>
        <v>-3.2387551280389899E-2</v>
      </c>
      <c r="AQ223" s="90">
        <f>INDEX(LINEST(LN(AV223:AX223),SQRT(AV222:AX222),TRUE,TRUE),3,1)</f>
        <v>0.95426874222406155</v>
      </c>
      <c r="AR223" s="117">
        <f>INDEX(LINEST(LN(AV223:AX223),SQRT((AV222:AX222))),1)</f>
        <v>-6.8287907404222033E-4</v>
      </c>
      <c r="AS223" s="91">
        <f>INDEX(LINEST(1/(AV223:AX223),1/(SQRT(AV222:AX222)),TRUE,TRUE),3,1)</f>
        <v>0.80820627739166473</v>
      </c>
      <c r="AT223" s="91">
        <f>INDEX(LINEST(1/(AV223:AX223),1/SQRT(AV222:AX222)),1)</f>
        <v>-7.081176794358222</v>
      </c>
      <c r="AU223" s="3"/>
      <c r="AV223" s="73">
        <v>0.82963620230700996</v>
      </c>
      <c r="AW223" s="73">
        <v>0.75865128660159697</v>
      </c>
      <c r="AX223" s="73">
        <v>0.66069210292812697</v>
      </c>
      <c r="AY223" s="53"/>
      <c r="AZ223" s="53"/>
      <c r="BA223" s="53"/>
      <c r="BB223" s="53"/>
      <c r="BC223" s="53"/>
      <c r="BD223" s="53"/>
      <c r="BE223" s="53"/>
      <c r="BF223" s="53"/>
      <c r="BG223" s="53"/>
      <c r="BH223" s="53"/>
      <c r="BI223" s="53"/>
      <c r="BJ223" s="53"/>
      <c r="BK223" s="53"/>
      <c r="BL223" s="53"/>
      <c r="BM223" s="53"/>
      <c r="BN223" s="53"/>
      <c r="BO223" s="53"/>
      <c r="BP223" s="53"/>
      <c r="BQ223" s="53"/>
      <c r="BR223" s="53"/>
      <c r="BS223" s="53"/>
      <c r="BT223" s="53"/>
      <c r="BU223" s="53"/>
      <c r="BV223" s="53"/>
      <c r="BW223" s="53"/>
      <c r="BX223" s="53"/>
      <c r="BY223" s="53"/>
      <c r="BZ223" s="53"/>
      <c r="CA223" s="53"/>
      <c r="CB223" s="53"/>
      <c r="CC223" s="53"/>
      <c r="CD223" s="53"/>
      <c r="CE223" s="53"/>
      <c r="CF223" s="53"/>
      <c r="CG223" s="53"/>
      <c r="CH223" s="53"/>
      <c r="CI223" s="53"/>
      <c r="CJ223" s="53"/>
      <c r="CK223" s="53"/>
      <c r="CL223" s="53"/>
      <c r="CM223" s="53"/>
      <c r="CN223" s="53"/>
      <c r="CO223" s="53"/>
      <c r="CP223" s="53"/>
      <c r="CQ223" s="53"/>
      <c r="CR223" s="1"/>
      <c r="CS223" s="1"/>
      <c r="CT223" s="1"/>
      <c r="CU223" s="1"/>
    </row>
    <row r="224" spans="1:99" s="13" customFormat="1" ht="12" customHeight="1" x14ac:dyDescent="0.2">
      <c r="A224" s="68">
        <v>43979</v>
      </c>
      <c r="B224" s="70"/>
      <c r="C224" s="70"/>
      <c r="D224" s="69"/>
      <c r="E224" s="87"/>
      <c r="F224" s="69"/>
      <c r="G224" s="69"/>
      <c r="H224" s="69"/>
      <c r="I224" s="69"/>
      <c r="J224" s="69"/>
      <c r="K224" s="69"/>
      <c r="L224" s="69"/>
      <c r="M224" s="69"/>
      <c r="N224" s="69"/>
      <c r="O224" s="69"/>
      <c r="P224" s="69"/>
      <c r="Q224" s="69"/>
      <c r="R224" s="69"/>
      <c r="S224" s="99"/>
      <c r="T224" s="69"/>
      <c r="U224" s="69"/>
      <c r="V224" s="69"/>
      <c r="W224" s="69"/>
      <c r="X224" s="69"/>
      <c r="Y224" s="87"/>
      <c r="Z224" s="69"/>
      <c r="AA224" s="69"/>
      <c r="AB224" s="69"/>
      <c r="AC224" s="72"/>
      <c r="AD224" s="69"/>
      <c r="AE224" s="87"/>
      <c r="AF224" s="88"/>
      <c r="AG224" s="72"/>
      <c r="AH224" s="4"/>
      <c r="AI224" s="72"/>
      <c r="AJ224" s="110"/>
      <c r="AK224" s="72"/>
      <c r="AL224" s="72"/>
      <c r="AM224" s="72"/>
      <c r="AN224" s="72"/>
      <c r="AO224" s="89"/>
      <c r="AP224" s="89"/>
      <c r="AQ224" s="90"/>
      <c r="AR224" s="117"/>
      <c r="AS224" s="91"/>
      <c r="AT224" s="91"/>
      <c r="AU224" s="3"/>
      <c r="AV224" s="71">
        <f>60*60*2</f>
        <v>7200</v>
      </c>
      <c r="AW224" s="71">
        <f>60*60*18</f>
        <v>64800</v>
      </c>
      <c r="AX224" s="71">
        <f>60*60*20</f>
        <v>72000</v>
      </c>
      <c r="AY224" s="71">
        <f>60*60*24*3</f>
        <v>259200</v>
      </c>
      <c r="AZ224" s="71">
        <f>60*60*24*4</f>
        <v>345600</v>
      </c>
      <c r="BA224" s="71">
        <f>60*60*24*7</f>
        <v>604800</v>
      </c>
      <c r="BB224" s="53"/>
      <c r="BC224" s="53"/>
      <c r="BD224" s="53"/>
      <c r="BE224" s="53"/>
      <c r="BF224" s="53"/>
      <c r="BG224" s="53"/>
      <c r="BH224" s="53"/>
      <c r="BI224" s="53"/>
      <c r="BJ224" s="53"/>
      <c r="BK224" s="53"/>
      <c r="BL224" s="53"/>
      <c r="BM224" s="53"/>
      <c r="BN224" s="53"/>
      <c r="BO224" s="53"/>
      <c r="BP224" s="53"/>
      <c r="BQ224" s="53"/>
      <c r="BR224" s="53"/>
      <c r="BS224" s="53"/>
      <c r="BT224" s="53"/>
      <c r="BU224" s="53"/>
      <c r="BV224" s="53"/>
      <c r="BW224" s="53"/>
      <c r="BX224" s="53"/>
      <c r="BY224" s="53"/>
      <c r="BZ224" s="53"/>
      <c r="CA224" s="53"/>
      <c r="CB224" s="53"/>
      <c r="CC224" s="53"/>
      <c r="CD224" s="53"/>
      <c r="CE224" s="53"/>
      <c r="CF224" s="53"/>
      <c r="CG224" s="53"/>
      <c r="CH224" s="53"/>
      <c r="CI224" s="53"/>
      <c r="CJ224" s="53"/>
      <c r="CK224" s="53"/>
      <c r="CL224" s="53"/>
      <c r="CM224" s="53"/>
      <c r="CN224" s="53"/>
      <c r="CO224" s="53"/>
      <c r="CP224" s="53"/>
      <c r="CQ224" s="53"/>
      <c r="CR224" s="1"/>
      <c r="CS224" s="1"/>
      <c r="CT224" s="1"/>
      <c r="CU224" s="1"/>
    </row>
    <row r="225" spans="1:99" s="13" customFormat="1" ht="12" customHeight="1" x14ac:dyDescent="0.2">
      <c r="A225" s="68">
        <v>43979</v>
      </c>
      <c r="B225" s="70" t="s">
        <v>1001</v>
      </c>
      <c r="C225" s="70" t="s">
        <v>408</v>
      </c>
      <c r="D225" s="69">
        <v>1997</v>
      </c>
      <c r="E225" s="87">
        <v>1</v>
      </c>
      <c r="F225" s="69">
        <v>1</v>
      </c>
      <c r="G225" s="69">
        <v>1</v>
      </c>
      <c r="H225" s="69" t="s">
        <v>43</v>
      </c>
      <c r="I225" s="69" t="s">
        <v>330</v>
      </c>
      <c r="J225" s="69" t="s">
        <v>16</v>
      </c>
      <c r="K225" s="69">
        <f>IF(J225="syllables",1,IF(J225="trigrams",2,IF(J225="strings",3,IF(J225="visual array",4,IF(J225="characters",5,IF(J225="letters",6,IF(J225="free forms",7,IF(J225="odors",8,IF(J225="words",9,IF(J225="pictures",10,IF(J225="object pictures",11,IF(J225="faces",12,IF(J225="names",13,IF(J225="idioms",14,IF(J225="grades",15,IF(J225="syllable-digit pairs",16,IF(J225="trigram-word pairs",17,IF(J225="word-digit pairs",18,IF(J225="English-Swahili pairs",19,IF(J225="spatial position",20,IF(J225="word pairs",21,IF(J225="word triads",22,IF(J225="generated words",23,IF(J225="word definition pairs",24,IF(J225="math problems",25,IF(J225="famous faces",26,IF(J225="famous names",27,IF(J225="famous voices",28,IF(J225="television programs",29,IF(J225="race horses",30,IF(J225="new vocabulary",31,IF(J225="sentences",32,IF(J225="concepts",33,IF(J225="ad slides",34,IF(J225="scenes",35,IF(J225="famous scenes",36,IF(J225="poems",37,IF(J225="walk",38,IF(J225="faces and events",39,IF(J225="events and names",40,IF(J225="flashbulb",41,IF(J225="stories",42,IF(J225="course material",43,IF(J225="autobiographical",44,IF(J225="novels",45,IF(J225="public events",46,"99"))))))))))))))))))))))))))))))))))))))))))))))</f>
        <v>9</v>
      </c>
      <c r="L225" s="69">
        <f>IF(J225="syllables",1,IF(J225="trigrams",1,IF(J225="strings",1,IF(J225="visual array",1,IF(J225="characters",1,IF(J225="letters",1,IF(J225="free forms",1,IF(J225="odors",2,IF(J225="words",2,IF(J225="pictures",2,IF(J225="object pictures",2,IF(J225="faces",2,IF(J225="names",2,IF(J225="idioms","2",IF(J225="grades",2,IF(J225="syllable-digit pairs",3,IF(J225="trigram-word pairs",3,IF(J225="word-digit pairs",3,IF(J225="English-Swahili pairs",3,IF(J225="spatial position",3,IF(J225="word pairs",4,IF(J225="word triads",4,IF(J225="generated words",4,IF(J225="word definition pairs",4,IF(J225="math problems",4,IF(J225="famous faces",4,IF(J225="famous names",4,IF(J225="famous voices",4,IF(J225="television programs",4,IF(J225="race horses",4,IF(J225="new vocabulary",4,IF(J225="sentences",5,IF(J225="concepts",5,IF(J225="ad slides",5,IF(J225="scenes",5,IF(J225="famous scenes",5,IF(J225="poems",6,IF(J225="walk",6,IF(J225="faces and events",6,IF(J225="events and names",6,IF(J225="flashbulb",7,IF(J225="stories",7,IF(J225="course material",7,IF(J225="autobiographical",7,IF(J225="novels",7,IF(J225="public events",7,"99"))))))))))))))))))))))))))))))))))))))))))))))</f>
        <v>2</v>
      </c>
      <c r="M225" s="69">
        <v>1</v>
      </c>
      <c r="N225" s="69">
        <v>2</v>
      </c>
      <c r="O225" s="69">
        <v>0</v>
      </c>
      <c r="P225" s="69"/>
      <c r="Q225" s="69" t="s">
        <v>174</v>
      </c>
      <c r="R225" s="69">
        <f>IF(Q225="Free Recall",1,IF(Q225="Cued Recall",2,IF(Q225="Recognition",3,IF(Q225="Multiple Choice",4,IF(Q225="Savings",5,IF(Q225="Stem Completion",6,IF(Q225="Fragment Completion",7,IF(Q225="anagram solution",8,IF(Q225="Matching",9,IF(Q225="Problem Solving",10,"99"))))))))))</f>
        <v>1</v>
      </c>
      <c r="S225" s="99" t="s">
        <v>15</v>
      </c>
      <c r="T225" s="69" t="s">
        <v>581</v>
      </c>
      <c r="U225" s="69">
        <f>IF(T225="within",1,0)</f>
        <v>1</v>
      </c>
      <c r="V225" s="69">
        <v>60</v>
      </c>
      <c r="W225" s="69">
        <f>F225*V225</f>
        <v>60</v>
      </c>
      <c r="X225" s="69">
        <v>6</v>
      </c>
      <c r="Y225" s="87">
        <f>AV224</f>
        <v>7200</v>
      </c>
      <c r="Z225" s="69" t="s">
        <v>150</v>
      </c>
      <c r="AA225" s="69">
        <f>60*60*24*7</f>
        <v>604800</v>
      </c>
      <c r="AB225" s="69" t="str">
        <f>IF(AA225&lt;60,"1",IF(AA225&lt;=43200,"2",IF(AA225&lt;=777600,"3","4")))</f>
        <v>3</v>
      </c>
      <c r="AC225" s="72">
        <f>AVERAGE(AV224:DA224)</f>
        <v>225600</v>
      </c>
      <c r="AD225" s="69" t="str">
        <f>IF(AC225&lt;60,"1",IF(AC225&lt;=43200,"2",IF(AC225&lt;=777600,"3","4")))</f>
        <v>3</v>
      </c>
      <c r="AE225" s="87">
        <f>AA225-Y225</f>
        <v>597600</v>
      </c>
      <c r="AF225" s="88">
        <f>AV225</f>
        <v>1</v>
      </c>
      <c r="AG225" s="72">
        <f>((AW225-AV225)+(AX225-AW225)+(AY225-AX225)+(AZ225-AY225)+(BA225-AZ225))/5</f>
        <v>-3.9999999999999994E-2</v>
      </c>
      <c r="AH225" s="4"/>
      <c r="AI225" s="72">
        <f>RSQ(AV225:BA225,AV224:BA224)</f>
        <v>0.85956840626022635</v>
      </c>
      <c r="AJ225" s="110">
        <f>SLOPE(AV225:BA225,AV224:BA224)</f>
        <v>-3.4249651888784069E-7</v>
      </c>
      <c r="AK225" s="72">
        <f>INTERCEPT(AV225:BA225,AV224:BA224)</f>
        <v>1.0272672146610968</v>
      </c>
      <c r="AL225" s="72">
        <f>INDEX(LINEST(LN(AV225:BA225),LN(AV224:BA224),TRUE,TRUE),3,1)</f>
        <v>0.45270363990479262</v>
      </c>
      <c r="AM225" s="72">
        <f>INDEX(LINEST(LN(AV225:BA225),LN(AV224:BA224)),1)</f>
        <v>-3.8890409761290982E-2</v>
      </c>
      <c r="AN225" s="72">
        <f>EXP(INDEX(LINEST(LN(AV225:BA225),LN(AV224:BA224)),1,2))</f>
        <v>1.4871671195565173</v>
      </c>
      <c r="AO225" s="89">
        <f>INDEX(LINEST((AV225:BA225),LN(AV224:BA224),TRUE,TRUE),3,1)</f>
        <v>0.4585711067028328</v>
      </c>
      <c r="AP225" s="89">
        <f>INDEX(LINEST((AV225:BA225),LN(AV224:BA224)),1)</f>
        <v>-3.5351141342646497E-2</v>
      </c>
      <c r="AQ225" s="90">
        <f>INDEX(LINEST(LN(AV225:BA225),SQRT(AV224:BA224),TRUE,TRUE),3,1)</f>
        <v>0.70748492466487312</v>
      </c>
      <c r="AR225" s="117">
        <f>INDEX(LINEST(LN(AV225:BA225),SQRT((AV224:BA224))),1)</f>
        <v>-3.0490657167694409E-4</v>
      </c>
      <c r="AS225" s="91">
        <f>INDEX(LINEST(1/(AV225:BA225),1/(SQRT(AV224:BA224)),TRUE,TRUE),3,1)</f>
        <v>0.22286410191249745</v>
      </c>
      <c r="AT225" s="91">
        <f>INDEX(LINEST(1/(AV225:BA225),1/SQRT(AV224:BA224)),1)</f>
        <v>-12.361814381445866</v>
      </c>
      <c r="AU225" s="3"/>
      <c r="AV225" s="73">
        <v>1</v>
      </c>
      <c r="AW225" s="73">
        <v>1</v>
      </c>
      <c r="AX225" s="73">
        <v>1</v>
      </c>
      <c r="AY225" s="73">
        <v>1</v>
      </c>
      <c r="AZ225" s="73">
        <v>0.9</v>
      </c>
      <c r="BA225" s="73">
        <v>0.8</v>
      </c>
      <c r="BB225" s="53"/>
      <c r="BC225" s="53"/>
      <c r="BD225" s="53"/>
      <c r="BE225" s="53"/>
      <c r="BF225" s="53"/>
      <c r="BG225" s="53"/>
      <c r="BH225" s="53"/>
      <c r="BI225" s="53"/>
      <c r="BJ225" s="53"/>
      <c r="BK225" s="53"/>
      <c r="BL225" s="53"/>
      <c r="BM225" s="53"/>
      <c r="BN225" s="53"/>
      <c r="BO225" s="53"/>
      <c r="BP225" s="53"/>
      <c r="BQ225" s="53"/>
      <c r="BR225" s="53"/>
      <c r="BS225" s="53"/>
      <c r="BT225" s="53"/>
      <c r="BU225" s="53"/>
      <c r="BV225" s="53"/>
      <c r="BW225" s="53"/>
      <c r="BX225" s="53"/>
      <c r="BY225" s="53"/>
      <c r="BZ225" s="53"/>
      <c r="CA225" s="53"/>
      <c r="CB225" s="53"/>
      <c r="CC225" s="53"/>
      <c r="CD225" s="53"/>
      <c r="CE225" s="53"/>
      <c r="CF225" s="53"/>
      <c r="CG225" s="53"/>
      <c r="CH225" s="53"/>
      <c r="CI225" s="53"/>
      <c r="CJ225" s="53"/>
      <c r="CK225" s="53"/>
      <c r="CL225" s="53"/>
      <c r="CM225" s="53"/>
      <c r="CN225" s="53"/>
      <c r="CO225" s="53"/>
      <c r="CP225" s="53"/>
      <c r="CQ225" s="53"/>
      <c r="CR225" s="1"/>
      <c r="CS225" s="1"/>
      <c r="CT225" s="1"/>
      <c r="CU225" s="1"/>
    </row>
    <row r="226" spans="1:99" s="19" customFormat="1" ht="12" customHeight="1" x14ac:dyDescent="0.2">
      <c r="A226" s="65">
        <v>43509</v>
      </c>
      <c r="B226" s="17"/>
      <c r="C226" s="17"/>
      <c r="D226" s="62"/>
      <c r="E226" s="78"/>
      <c r="F226" s="62"/>
      <c r="G226" s="62"/>
      <c r="H226" s="62"/>
      <c r="I226" s="62"/>
      <c r="J226" s="62"/>
      <c r="K226" s="64"/>
      <c r="L226" s="64"/>
      <c r="M226" s="62"/>
      <c r="N226" s="62"/>
      <c r="O226" s="62"/>
      <c r="P226" s="62"/>
      <c r="Q226" s="62"/>
      <c r="R226" s="60"/>
      <c r="S226" s="62"/>
      <c r="T226" s="62"/>
      <c r="U226" s="60"/>
      <c r="V226" s="62"/>
      <c r="W226" s="60"/>
      <c r="X226" s="62"/>
      <c r="Y226" s="76"/>
      <c r="Z226" s="62"/>
      <c r="AA226" s="62"/>
      <c r="AB226" s="60"/>
      <c r="AC226" s="60"/>
      <c r="AD226" s="60"/>
      <c r="AE226" s="60"/>
      <c r="AF226" s="80"/>
      <c r="AG226" s="56"/>
      <c r="AH226" s="4"/>
      <c r="AI226" s="85"/>
      <c r="AJ226" s="112"/>
      <c r="AK226" s="85"/>
      <c r="AL226" s="85"/>
      <c r="AM226" s="85"/>
      <c r="AN226" s="85"/>
      <c r="AO226" s="85"/>
      <c r="AP226" s="85"/>
      <c r="AQ226" s="56"/>
      <c r="AR226" s="109"/>
      <c r="AS226" s="56"/>
      <c r="AT226" s="56"/>
      <c r="AU226" s="21"/>
      <c r="AV226" s="137">
        <v>80</v>
      </c>
      <c r="AW226" s="137">
        <f>24*3600*1</f>
        <v>86400</v>
      </c>
      <c r="AX226" s="137">
        <f>24*3600*2</f>
        <v>172800</v>
      </c>
      <c r="AY226" s="18" t="s">
        <v>519</v>
      </c>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7"/>
      <c r="CS226" s="17"/>
      <c r="CT226" s="17"/>
      <c r="CU226" s="17"/>
    </row>
    <row r="227" spans="1:99" s="13" customFormat="1" ht="12" customHeight="1" x14ac:dyDescent="0.2">
      <c r="A227" s="65">
        <v>43509</v>
      </c>
      <c r="B227" s="1" t="s">
        <v>122</v>
      </c>
      <c r="C227" s="1" t="s">
        <v>70</v>
      </c>
      <c r="D227" s="60">
        <v>2014</v>
      </c>
      <c r="E227" s="76">
        <v>1</v>
      </c>
      <c r="F227" s="60">
        <v>81</v>
      </c>
      <c r="G227" s="60">
        <v>27</v>
      </c>
      <c r="H227" s="60" t="s">
        <v>50</v>
      </c>
      <c r="I227" s="60" t="s">
        <v>756</v>
      </c>
      <c r="J227" s="60" t="s">
        <v>16</v>
      </c>
      <c r="K227" s="60">
        <f>IF(J227="syllables",1,IF(J227="trigrams",2,IF(J227="strings",3,IF(J227="visual array",4,IF(J227="characters",5,IF(J227="letters",6,IF(J227="free forms",7,IF(J227="odors",8,IF(J227="words",9,IF(J227="pictures",10,IF(J227="object pictures",11,IF(J227="faces",12,IF(J227="names",13,IF(J227="idioms",14,IF(J227="grades",15,IF(J227="syllable-digit pairs",16,IF(J227="trigram-word pairs",17,IF(J227="word-digit pairs",18,IF(J227="English-Swahili pairs",19,IF(J227="spatial position",20,IF(J227="word pairs",21,IF(J227="word triads",22,IF(J227="generated words",23,IF(J227="word definition pairs",24,IF(J227="math problems",25,IF(J227="famous faces",26,IF(J227="famous names",27,IF(J227="famous voices",28,IF(J227="television programs",29,IF(J227="race horses",30,IF(J227="new vocabulary",31,IF(J227="sentences",32,IF(J227="concepts",33,IF(J227="ad slides",34,IF(J227="scenes",35,IF(J227="famous scenes",36,IF(J227="poems",37,IF(J227="walk",38,IF(J227="faces and events",39,IF(J227="events and names",40,IF(J227="flashbulb",41,IF(J227="stories",42,IF(J227="course material",43,IF(J227="autobiographical",44,IF(J227="novels",45,IF(J227="public events",46,"99"))))))))))))))))))))))))))))))))))))))))))))))</f>
        <v>9</v>
      </c>
      <c r="L227" s="60">
        <f>IF(J227="syllables",1,IF(J227="trigrams",1,IF(J227="strings",1,IF(J227="visual array",1,IF(J227="characters",1,IF(J227="letters",1,IF(J227="free forms",1,IF(J227="odors",2,IF(J227="words",2,IF(J227="pictures",2,IF(J227="object pictures",2,IF(J227="faces",2,IF(J227="names",2,IF(J227="idioms","2",IF(J227="grades",2,IF(J227="syllable-digit pairs",3,IF(J227="trigram-word pairs",3,IF(J227="word-digit pairs",3,IF(J227="English-Swahili pairs",3,IF(J227="spatial position",3,IF(J227="word pairs",4,IF(J227="word triads",4,IF(J227="generated words",4,IF(J227="word definition pairs",4,IF(J227="math problems",4,IF(J227="famous faces",4,IF(J227="famous names",4,IF(J227="famous voices",4,IF(J227="television programs",4,IF(J227="race horses",4,IF(J227="new vocabulary",4,IF(J227="sentences",5,IF(J227="concepts",5,IF(J227="ad slides",5,IF(J227="scenes",5,IF(J227="famous scenes",5,IF(J227="poems",6,IF(J227="walk",6,IF(J227="faces and events",6,IF(J227="events and names",6,IF(J227="flashbulb",7,IF(J227="stories",7,IF(J227="course material",7,IF(J227="autobiographical",7,IF(J227="novels",7,IF(J227="public events",7,"99"))))))))))))))))))))))))))))))))))))))))))))))</f>
        <v>2</v>
      </c>
      <c r="M227" s="60">
        <v>0</v>
      </c>
      <c r="N227" s="60">
        <v>1</v>
      </c>
      <c r="O227" s="60">
        <v>1</v>
      </c>
      <c r="P227" s="60" t="s">
        <v>123</v>
      </c>
      <c r="Q227" s="60" t="s">
        <v>174</v>
      </c>
      <c r="R227" s="60">
        <f>IF(Q227="Free Recall",1,IF(Q227="Cued Recall",2,IF(Q227="Recognition",3,IF(Q227="Multiple Choice",4,IF(Q227="Savings",5,IF(Q227="Stem Completion",6,IF(Q227="Fragment Completion",7,IF(Q227="anagram solution",8,IF(Q227="Matching",9,IF(Q227="Problem Solving",10,"99"))))))))))</f>
        <v>1</v>
      </c>
      <c r="S227" s="60" t="s">
        <v>49</v>
      </c>
      <c r="T227" s="62" t="s">
        <v>261</v>
      </c>
      <c r="U227" s="60">
        <f>IF(T227="within",1,0)</f>
        <v>0</v>
      </c>
      <c r="V227" s="62">
        <v>16</v>
      </c>
      <c r="W227" s="60">
        <f>F227*V227</f>
        <v>1296</v>
      </c>
      <c r="X227" s="60">
        <v>3</v>
      </c>
      <c r="Y227" s="76">
        <f>AV226</f>
        <v>80</v>
      </c>
      <c r="Z227" s="60" t="s">
        <v>88</v>
      </c>
      <c r="AA227" s="60">
        <v>172800</v>
      </c>
      <c r="AB227" s="60" t="str">
        <f>IF(AA227&lt;60,"1",IF(AA227&lt;=43200,"2",IF(AA227&lt;=777600,"3","4")))</f>
        <v>3</v>
      </c>
      <c r="AC227" s="56">
        <f>AVERAGE(AV226:DA226)</f>
        <v>86426.666666666672</v>
      </c>
      <c r="AD227" s="60" t="str">
        <f>IF(AC227&lt;60,"1",IF(AC227&lt;=43200,"2",IF(AC227&lt;=777600,"3","4")))</f>
        <v>3</v>
      </c>
      <c r="AE227" s="76">
        <f>AA227-Y227</f>
        <v>172720</v>
      </c>
      <c r="AF227" s="80">
        <f>AV227</f>
        <v>0.57499999999999996</v>
      </c>
      <c r="AG227" s="56">
        <f>((AW227-AV227)+(AX227-AW227))/2</f>
        <v>-0.15099999999999997</v>
      </c>
      <c r="AH227" s="4"/>
      <c r="AI227" s="56">
        <f>RSQ(AV227:AX227,AV226:AX226)</f>
        <v>0.82828291329143666</v>
      </c>
      <c r="AJ227" s="109">
        <f>SLOPE(AV227:AX227,AV226:AX226)</f>
        <v>-1.7482818029148491E-6</v>
      </c>
      <c r="AK227" s="56">
        <f>INTERCEPT(AV227:AX227,AV226:AX226)</f>
        <v>0.53543150195325406</v>
      </c>
      <c r="AL227" s="56">
        <f>INDEX(LINEST(LN(AV227:AX227),LN(AV226:AX226),TRUE,TRUE),3,1)</f>
        <v>0.99679590051877642</v>
      </c>
      <c r="AM227" s="56">
        <f>INDEX(LINEST(LN(AV227:AX227),LN(AV226:AX226)),1)</f>
        <v>-9.4484585895395296E-2</v>
      </c>
      <c r="AN227" s="56">
        <f>EXP(INDEX(LINEST(LN(AV227:AX227),LN(AV226:AX226)),1,2))</f>
        <v>0.87178930353941975</v>
      </c>
      <c r="AO227" s="82">
        <f>INDEX(LINEST((AV227:AX227),LN(AV226:AX226),TRUE,TRUE),3,1)</f>
        <v>0.99977803532598697</v>
      </c>
      <c r="AP227" s="82">
        <f>INDEX(LINEST((AV227:AX227),LN(AV226:AX226)),1)</f>
        <v>-3.9058522379712503E-2</v>
      </c>
      <c r="AQ227" s="83">
        <f>INDEX(LINEST(LN(AV227:AX227),SQRT(AV226:AX226),TRUE,TRUE),3,1)</f>
        <v>0.97537489033719749</v>
      </c>
      <c r="AR227" s="116">
        <f>INDEX(LINEST(LN(AV227:AX227),SQRT((AV226:AX226))),1)</f>
        <v>-1.9013529273409961E-3</v>
      </c>
      <c r="AS227" s="84">
        <f>INDEX(LINEST(1/(AV227:AX227),1/(SQRT(AV226:AX226)),TRUE,TRUE),3,1)</f>
        <v>0.96725602766773633</v>
      </c>
      <c r="AT227" s="84">
        <f>INDEX(LINEST(1/(AV227:AX227),1/SQRT(AV226:AX226)),1)</f>
        <v>-15.925172641095715</v>
      </c>
      <c r="AU227" s="3"/>
      <c r="AV227" s="53">
        <v>0.57499999999999996</v>
      </c>
      <c r="AW227" s="53">
        <v>0.30499999999999999</v>
      </c>
      <c r="AX227" s="53">
        <v>0.27300000000000002</v>
      </c>
      <c r="AY227" s="53"/>
      <c r="AZ227" s="53"/>
      <c r="BA227" s="53"/>
      <c r="BB227" s="53"/>
      <c r="BC227" s="53"/>
      <c r="BD227" s="53"/>
      <c r="BE227" s="53"/>
      <c r="BF227" s="53"/>
      <c r="BG227" s="53"/>
      <c r="BH227" s="53"/>
      <c r="BI227" s="53"/>
      <c r="BJ227" s="53"/>
      <c r="BK227" s="53"/>
      <c r="BL227" s="53"/>
      <c r="BM227" s="53"/>
      <c r="BN227" s="53"/>
      <c r="BO227" s="53"/>
      <c r="BP227" s="53"/>
      <c r="BQ227" s="53"/>
      <c r="BR227" s="53"/>
      <c r="BS227" s="53"/>
      <c r="BT227" s="53"/>
      <c r="BU227" s="53"/>
      <c r="BV227" s="53"/>
      <c r="BW227" s="53"/>
      <c r="BX227" s="53"/>
      <c r="BY227" s="53"/>
      <c r="BZ227" s="53"/>
      <c r="CA227" s="53"/>
      <c r="CB227" s="53"/>
      <c r="CC227" s="53"/>
      <c r="CD227" s="53"/>
      <c r="CE227" s="53"/>
      <c r="CF227" s="53"/>
      <c r="CG227" s="53"/>
      <c r="CH227" s="53"/>
      <c r="CI227" s="53"/>
      <c r="CJ227" s="53"/>
      <c r="CK227" s="53"/>
      <c r="CL227" s="53"/>
      <c r="CM227" s="53"/>
      <c r="CN227" s="53"/>
      <c r="CO227" s="53"/>
      <c r="CP227" s="53"/>
      <c r="CQ227" s="53"/>
      <c r="CR227" s="1"/>
      <c r="CS227" s="1"/>
      <c r="CT227" s="1"/>
      <c r="CU227" s="1"/>
    </row>
    <row r="228" spans="1:99" s="13" customFormat="1" ht="12" customHeight="1" x14ac:dyDescent="0.2">
      <c r="A228" s="65">
        <v>43509</v>
      </c>
      <c r="B228" s="1"/>
      <c r="C228" s="1"/>
      <c r="D228" s="60"/>
      <c r="E228" s="76"/>
      <c r="F228" s="60"/>
      <c r="G228" s="60"/>
      <c r="H228" s="60"/>
      <c r="I228" s="60"/>
      <c r="J228" s="60"/>
      <c r="K228" s="64"/>
      <c r="L228" s="64"/>
      <c r="M228" s="60"/>
      <c r="N228" s="60"/>
      <c r="O228" s="60"/>
      <c r="P228" s="60"/>
      <c r="Q228" s="60"/>
      <c r="R228" s="60"/>
      <c r="S228" s="60"/>
      <c r="T228" s="60"/>
      <c r="U228" s="60"/>
      <c r="V228" s="60"/>
      <c r="W228" s="60"/>
      <c r="X228" s="60"/>
      <c r="Y228" s="76"/>
      <c r="Z228" s="60"/>
      <c r="AA228" s="60"/>
      <c r="AB228" s="60"/>
      <c r="AC228" s="60"/>
      <c r="AD228" s="60"/>
      <c r="AE228" s="60"/>
      <c r="AF228" s="80"/>
      <c r="AG228" s="56"/>
      <c r="AH228" s="4"/>
      <c r="AI228" s="56"/>
      <c r="AJ228" s="109"/>
      <c r="AK228" s="56"/>
      <c r="AL228" s="56"/>
      <c r="AM228" s="56"/>
      <c r="AN228" s="56"/>
      <c r="AO228" s="56"/>
      <c r="AP228" s="56"/>
      <c r="AQ228" s="56"/>
      <c r="AR228" s="109"/>
      <c r="AS228" s="56"/>
      <c r="AT228" s="56"/>
      <c r="AU228" s="4"/>
      <c r="AV228" s="137">
        <v>80</v>
      </c>
      <c r="AW228" s="137">
        <f>24*3600*1</f>
        <v>86400</v>
      </c>
      <c r="AX228" s="137">
        <f>24*3600*2</f>
        <v>172800</v>
      </c>
      <c r="AY228" s="53"/>
      <c r="AZ228" s="53"/>
      <c r="BA228" s="53"/>
      <c r="BB228" s="53"/>
      <c r="BC228" s="53"/>
      <c r="BD228" s="53"/>
      <c r="BE228" s="53"/>
      <c r="BF228" s="53"/>
      <c r="BG228" s="53"/>
      <c r="BH228" s="53"/>
      <c r="BI228" s="53"/>
      <c r="BJ228" s="53"/>
      <c r="BK228" s="53"/>
      <c r="BL228" s="53"/>
      <c r="BM228" s="53"/>
      <c r="BN228" s="53"/>
      <c r="BO228" s="53"/>
      <c r="BP228" s="53"/>
      <c r="BQ228" s="53"/>
      <c r="BR228" s="53"/>
      <c r="BS228" s="53"/>
      <c r="BT228" s="53"/>
      <c r="BU228" s="53"/>
      <c r="BV228" s="53"/>
      <c r="BW228" s="53"/>
      <c r="BX228" s="53"/>
      <c r="BY228" s="53"/>
      <c r="BZ228" s="53"/>
      <c r="CA228" s="53"/>
      <c r="CB228" s="53"/>
      <c r="CC228" s="53"/>
      <c r="CD228" s="53"/>
      <c r="CE228" s="53"/>
      <c r="CF228" s="53"/>
      <c r="CG228" s="53"/>
      <c r="CH228" s="53"/>
      <c r="CI228" s="53"/>
      <c r="CJ228" s="53"/>
      <c r="CK228" s="53"/>
      <c r="CL228" s="53"/>
      <c r="CM228" s="53"/>
      <c r="CN228" s="53"/>
      <c r="CO228" s="53"/>
      <c r="CP228" s="53"/>
      <c r="CQ228" s="53"/>
      <c r="CR228" s="1"/>
      <c r="CS228" s="1"/>
      <c r="CT228" s="1"/>
      <c r="CU228" s="1"/>
    </row>
    <row r="229" spans="1:99" s="13" customFormat="1" ht="12" customHeight="1" x14ac:dyDescent="0.2">
      <c r="A229" s="65">
        <v>43509</v>
      </c>
      <c r="B229" s="1" t="s">
        <v>122</v>
      </c>
      <c r="C229" s="1" t="s">
        <v>70</v>
      </c>
      <c r="D229" s="60">
        <v>2014</v>
      </c>
      <c r="E229" s="76">
        <v>1</v>
      </c>
      <c r="F229" s="60">
        <v>81</v>
      </c>
      <c r="G229" s="60">
        <v>27</v>
      </c>
      <c r="H229" s="60" t="s">
        <v>50</v>
      </c>
      <c r="I229" s="60" t="s">
        <v>757</v>
      </c>
      <c r="J229" s="60" t="s">
        <v>16</v>
      </c>
      <c r="K229" s="60">
        <f>IF(J229="syllables",1,IF(J229="trigrams",2,IF(J229="strings",3,IF(J229="visual array",4,IF(J229="characters",5,IF(J229="letters",6,IF(J229="free forms",7,IF(J229="odors",8,IF(J229="words",9,IF(J229="pictures",10,IF(J229="object pictures",11,IF(J229="faces",12,IF(J229="names",13,IF(J229="idioms",14,IF(J229="grades",15,IF(J229="syllable-digit pairs",16,IF(J229="trigram-word pairs",17,IF(J229="word-digit pairs",18,IF(J229="English-Swahili pairs",19,IF(J229="spatial position",20,IF(J229="word pairs",21,IF(J229="word triads",22,IF(J229="generated words",23,IF(J229="word definition pairs",24,IF(J229="math problems",25,IF(J229="famous faces",26,IF(J229="famous names",27,IF(J229="famous voices",28,IF(J229="television programs",29,IF(J229="race horses",30,IF(J229="new vocabulary",31,IF(J229="sentences",32,IF(J229="concepts",33,IF(J229="ad slides",34,IF(J229="scenes",35,IF(J229="famous scenes",36,IF(J229="poems",37,IF(J229="walk",38,IF(J229="faces and events",39,IF(J229="events and names",40,IF(J229="flashbulb",41,IF(J229="stories",42,IF(J229="course material",43,IF(J229="autobiographical",44,IF(J229="novels",45,IF(J229="public events",46,"99"))))))))))))))))))))))))))))))))))))))))))))))</f>
        <v>9</v>
      </c>
      <c r="L229" s="60">
        <f>IF(J229="syllables",1,IF(J229="trigrams",1,IF(J229="strings",1,IF(J229="visual array",1,IF(J229="characters",1,IF(J229="letters",1,IF(J229="free forms",1,IF(J229="odors",2,IF(J229="words",2,IF(J229="pictures",2,IF(J229="object pictures",2,IF(J229="faces",2,IF(J229="names",2,IF(J229="idioms","2",IF(J229="grades",2,IF(J229="syllable-digit pairs",3,IF(J229="trigram-word pairs",3,IF(J229="word-digit pairs",3,IF(J229="English-Swahili pairs",3,IF(J229="spatial position",3,IF(J229="word pairs",4,IF(J229="word triads",4,IF(J229="generated words",4,IF(J229="word definition pairs",4,IF(J229="math problems",4,IF(J229="famous faces",4,IF(J229="famous names",4,IF(J229="famous voices",4,IF(J229="television programs",4,IF(J229="race horses",4,IF(J229="new vocabulary",4,IF(J229="sentences",5,IF(J229="concepts",5,IF(J229="ad slides",5,IF(J229="scenes",5,IF(J229="famous scenes",5,IF(J229="poems",6,IF(J229="walk",6,IF(J229="faces and events",6,IF(J229="events and names",6,IF(J229="flashbulb",7,IF(J229="stories",7,IF(J229="course material",7,IF(J229="autobiographical",7,IF(J229="novels",7,IF(J229="public events",7,"99"))))))))))))))))))))))))))))))))))))))))))))))</f>
        <v>2</v>
      </c>
      <c r="M229" s="60">
        <v>0</v>
      </c>
      <c r="N229" s="60">
        <v>1</v>
      </c>
      <c r="O229" s="60">
        <v>1</v>
      </c>
      <c r="P229" s="60" t="s">
        <v>123</v>
      </c>
      <c r="Q229" s="60" t="s">
        <v>174</v>
      </c>
      <c r="R229" s="60">
        <f>IF(Q229="Free Recall",1,IF(Q229="Cued Recall",2,IF(Q229="Recognition",3,IF(Q229="Multiple Choice",4,IF(Q229="Savings",5,IF(Q229="Stem Completion",6,IF(Q229="Fragment Completion",7,IF(Q229="anagram solution",8,IF(Q229="Matching",9,IF(Q229="Problem Solving",10,"99"))))))))))</f>
        <v>1</v>
      </c>
      <c r="S229" s="60" t="s">
        <v>49</v>
      </c>
      <c r="T229" s="62" t="s">
        <v>261</v>
      </c>
      <c r="U229" s="60">
        <f>IF(T229="within",1,0)</f>
        <v>0</v>
      </c>
      <c r="V229" s="62">
        <v>16</v>
      </c>
      <c r="W229" s="60">
        <f>F229*V229</f>
        <v>1296</v>
      </c>
      <c r="X229" s="60">
        <v>3</v>
      </c>
      <c r="Y229" s="76">
        <f>AV228</f>
        <v>80</v>
      </c>
      <c r="Z229" s="60" t="s">
        <v>88</v>
      </c>
      <c r="AA229" s="60">
        <v>172800</v>
      </c>
      <c r="AB229" s="60" t="str">
        <f>IF(AA229&lt;60,"1",IF(AA229&lt;=43200,"2",IF(AA229&lt;=777600,"3","4")))</f>
        <v>3</v>
      </c>
      <c r="AC229" s="56">
        <f>AVERAGE(AV228:DA228)</f>
        <v>86426.666666666672</v>
      </c>
      <c r="AD229" s="60" t="str">
        <f>IF(AC229&lt;60,"1",IF(AC229&lt;=43200,"2",IF(AC229&lt;=777600,"3","4")))</f>
        <v>3</v>
      </c>
      <c r="AE229" s="76">
        <f>AA229-Y229</f>
        <v>172720</v>
      </c>
      <c r="AF229" s="80">
        <f>AV229</f>
        <v>0.49199999999999999</v>
      </c>
      <c r="AG229" s="56">
        <f>((AW229-AV229)+(AX229-AW229))/2</f>
        <v>-0.125</v>
      </c>
      <c r="AH229" s="4"/>
      <c r="AI229" s="56">
        <f>RSQ(AV229:AX229,AV228:AX228)</f>
        <v>0.76476707232578622</v>
      </c>
      <c r="AJ229" s="109">
        <f>SLOPE(AV229:AX229,AV228:AX228)</f>
        <v>-1.4472147286540093E-6</v>
      </c>
      <c r="AK229" s="56">
        <f>INTERCEPT(AV229:AX229,AV228:AX228)</f>
        <v>0.45207794494847053</v>
      </c>
      <c r="AL229" s="56">
        <f>INDEX(LINEST(LN(AV229:AX229),LN(AV228:AX228),TRUE,TRUE),3,1)</f>
        <v>0.99682500715479072</v>
      </c>
      <c r="AM229" s="56">
        <f>INDEX(LINEST(LN(AV229:AX229),LN(AV228:AX228)),1)</f>
        <v>-9.4949048251594365E-2</v>
      </c>
      <c r="AN229" s="56">
        <f>EXP(INDEX(LINEST(LN(AV229:AX229),LN(AV228:AX228)),1,2))</f>
        <v>0.7442697361872308</v>
      </c>
      <c r="AO229" s="82">
        <f>INDEX(LINEST((AV229:AX229),LN(AV228:AX228),TRUE,TRUE),3,1)</f>
        <v>0.9958835494346252</v>
      </c>
      <c r="AP229" s="82">
        <f>INDEX(LINEST((AV229:AX229),LN(AV228:AX228)),1)</f>
        <v>-3.3582621176585503E-2</v>
      </c>
      <c r="AQ229" s="83">
        <f>INDEX(LINEST(LN(AV229:AX229),SQRT(AV228:AX228),TRUE,TRUE),3,1)</f>
        <v>0.92855216641519289</v>
      </c>
      <c r="AR229" s="116">
        <f>INDEX(LINEST(LN(AV229:AX229),SQRT((AV228:AX228))),1)</f>
        <v>-1.8642468464226537E-3</v>
      </c>
      <c r="AS229" s="84">
        <f>INDEX(LINEST(1/(AV229:AX229),1/(SQRT(AV228:AX228)),TRUE,TRUE),3,1)</f>
        <v>0.99925689303630472</v>
      </c>
      <c r="AT229" s="84">
        <f>INDEX(LINEST(1/(AV229:AX229),1/SQRT(AV228:AX228)),1)</f>
        <v>-18.901195145075832</v>
      </c>
      <c r="AU229" s="3"/>
      <c r="AV229" s="53">
        <v>0.49199999999999999</v>
      </c>
      <c r="AW229" s="53">
        <v>0.247</v>
      </c>
      <c r="AX229" s="53">
        <v>0.24199999999999999</v>
      </c>
      <c r="AY229" s="53"/>
      <c r="AZ229" s="53"/>
      <c r="BA229" s="53"/>
      <c r="BB229" s="53"/>
      <c r="BC229" s="53"/>
      <c r="BD229" s="53"/>
      <c r="BE229" s="53"/>
      <c r="BF229" s="53"/>
      <c r="BG229" s="53"/>
      <c r="BH229" s="53"/>
      <c r="BI229" s="53"/>
      <c r="BJ229" s="53"/>
      <c r="BK229" s="53"/>
      <c r="BL229" s="53"/>
      <c r="BM229" s="53"/>
      <c r="BN229" s="53"/>
      <c r="BO229" s="53"/>
      <c r="BP229" s="53"/>
      <c r="BQ229" s="53"/>
      <c r="BR229" s="53"/>
      <c r="BS229" s="53"/>
      <c r="BT229" s="53"/>
      <c r="BU229" s="53"/>
      <c r="BV229" s="53"/>
      <c r="BW229" s="53"/>
      <c r="BX229" s="53"/>
      <c r="BY229" s="53"/>
      <c r="BZ229" s="53"/>
      <c r="CA229" s="53"/>
      <c r="CB229" s="53"/>
      <c r="CC229" s="53"/>
      <c r="CD229" s="53"/>
      <c r="CE229" s="53"/>
      <c r="CF229" s="53"/>
      <c r="CG229" s="53"/>
      <c r="CH229" s="53"/>
      <c r="CI229" s="53"/>
      <c r="CJ229" s="53"/>
      <c r="CK229" s="53"/>
      <c r="CL229" s="53"/>
      <c r="CM229" s="53"/>
      <c r="CN229" s="53"/>
      <c r="CO229" s="53"/>
      <c r="CP229" s="53"/>
      <c r="CQ229" s="53"/>
      <c r="CR229" s="1"/>
      <c r="CS229" s="1"/>
      <c r="CT229" s="1"/>
      <c r="CU229" s="1"/>
    </row>
    <row r="230" spans="1:99" s="13" customFormat="1" ht="12" customHeight="1" x14ac:dyDescent="0.2">
      <c r="A230" s="65">
        <v>43509</v>
      </c>
      <c r="B230" s="1"/>
      <c r="C230" s="1"/>
      <c r="D230" s="60"/>
      <c r="E230" s="76"/>
      <c r="F230" s="60"/>
      <c r="G230" s="60"/>
      <c r="H230" s="60"/>
      <c r="I230" s="60"/>
      <c r="J230" s="60"/>
      <c r="K230" s="64"/>
      <c r="L230" s="64"/>
      <c r="M230" s="60"/>
      <c r="N230" s="60"/>
      <c r="O230" s="60"/>
      <c r="P230" s="60"/>
      <c r="Q230" s="60"/>
      <c r="R230" s="60"/>
      <c r="S230" s="60"/>
      <c r="T230" s="60"/>
      <c r="U230" s="60"/>
      <c r="V230" s="60"/>
      <c r="W230" s="60"/>
      <c r="X230" s="60"/>
      <c r="Y230" s="76"/>
      <c r="Z230" s="60"/>
      <c r="AA230" s="60"/>
      <c r="AB230" s="60"/>
      <c r="AC230" s="60"/>
      <c r="AD230" s="60"/>
      <c r="AE230" s="60"/>
      <c r="AF230" s="80"/>
      <c r="AG230" s="56"/>
      <c r="AH230" s="4"/>
      <c r="AI230" s="56"/>
      <c r="AJ230" s="109"/>
      <c r="AK230" s="56"/>
      <c r="AL230" s="56"/>
      <c r="AM230" s="56"/>
      <c r="AN230" s="56"/>
      <c r="AO230" s="56"/>
      <c r="AP230" s="56"/>
      <c r="AQ230" s="56"/>
      <c r="AR230" s="109"/>
      <c r="AS230" s="56"/>
      <c r="AT230" s="56"/>
      <c r="AU230" s="4"/>
      <c r="AV230" s="137">
        <v>80</v>
      </c>
      <c r="AW230" s="137">
        <f>24*3600*1</f>
        <v>86400</v>
      </c>
      <c r="AX230" s="137">
        <f>24*3600*2</f>
        <v>172800</v>
      </c>
      <c r="AY230" s="53"/>
      <c r="AZ230" s="53"/>
      <c r="BA230" s="53"/>
      <c r="BB230" s="53"/>
      <c r="BC230" s="53"/>
      <c r="BD230" s="53"/>
      <c r="BE230" s="53"/>
      <c r="BF230" s="53"/>
      <c r="BG230" s="53"/>
      <c r="BH230" s="53"/>
      <c r="BI230" s="53"/>
      <c r="BJ230" s="53"/>
      <c r="BK230" s="53"/>
      <c r="BL230" s="53"/>
      <c r="BM230" s="53"/>
      <c r="BN230" s="53"/>
      <c r="BO230" s="53"/>
      <c r="BP230" s="53"/>
      <c r="BQ230" s="53"/>
      <c r="BR230" s="53"/>
      <c r="BS230" s="53"/>
      <c r="BT230" s="53"/>
      <c r="BU230" s="53"/>
      <c r="BV230" s="53"/>
      <c r="BW230" s="53"/>
      <c r="BX230" s="53"/>
      <c r="BY230" s="53"/>
      <c r="BZ230" s="53"/>
      <c r="CA230" s="53"/>
      <c r="CB230" s="53"/>
      <c r="CC230" s="53"/>
      <c r="CD230" s="53"/>
      <c r="CE230" s="53"/>
      <c r="CF230" s="53"/>
      <c r="CG230" s="53"/>
      <c r="CH230" s="53"/>
      <c r="CI230" s="53"/>
      <c r="CJ230" s="53"/>
      <c r="CK230" s="53"/>
      <c r="CL230" s="53"/>
      <c r="CM230" s="53"/>
      <c r="CN230" s="53"/>
      <c r="CO230" s="53"/>
      <c r="CP230" s="53"/>
      <c r="CQ230" s="53"/>
      <c r="CR230" s="1"/>
      <c r="CS230" s="1"/>
      <c r="CT230" s="1"/>
      <c r="CU230" s="1"/>
    </row>
    <row r="231" spans="1:99" s="13" customFormat="1" ht="12" customHeight="1" x14ac:dyDescent="0.2">
      <c r="A231" s="65">
        <v>43509</v>
      </c>
      <c r="B231" s="1" t="s">
        <v>122</v>
      </c>
      <c r="C231" s="1" t="s">
        <v>70</v>
      </c>
      <c r="D231" s="60">
        <v>2014</v>
      </c>
      <c r="E231" s="76">
        <v>1</v>
      </c>
      <c r="F231" s="60">
        <v>81</v>
      </c>
      <c r="G231" s="60">
        <v>27</v>
      </c>
      <c r="H231" s="60" t="s">
        <v>50</v>
      </c>
      <c r="I231" s="60" t="s">
        <v>758</v>
      </c>
      <c r="J231" s="60" t="s">
        <v>16</v>
      </c>
      <c r="K231" s="60">
        <f>IF(J231="syllables",1,IF(J231="trigrams",2,IF(J231="strings",3,IF(J231="visual array",4,IF(J231="characters",5,IF(J231="letters",6,IF(J231="free forms",7,IF(J231="odors",8,IF(J231="words",9,IF(J231="pictures",10,IF(J231="object pictures",11,IF(J231="faces",12,IF(J231="names",13,IF(J231="idioms",14,IF(J231="grades",15,IF(J231="syllable-digit pairs",16,IF(J231="trigram-word pairs",17,IF(J231="word-digit pairs",18,IF(J231="English-Swahili pairs",19,IF(J231="spatial position",20,IF(J231="word pairs",21,IF(J231="word triads",22,IF(J231="generated words",23,IF(J231="word definition pairs",24,IF(J231="math problems",25,IF(J231="famous faces",26,IF(J231="famous names",27,IF(J231="famous voices",28,IF(J231="television programs",29,IF(J231="race horses",30,IF(J231="new vocabulary",31,IF(J231="sentences",32,IF(J231="concepts",33,IF(J231="ad slides",34,IF(J231="scenes",35,IF(J231="famous scenes",36,IF(J231="poems",37,IF(J231="walk",38,IF(J231="faces and events",39,IF(J231="events and names",40,IF(J231="flashbulb",41,IF(J231="stories",42,IF(J231="course material",43,IF(J231="autobiographical",44,IF(J231="novels",45,IF(J231="public events",46,"99"))))))))))))))))))))))))))))))))))))))))))))))</f>
        <v>9</v>
      </c>
      <c r="L231" s="60">
        <f>IF(J231="syllables",1,IF(J231="trigrams",1,IF(J231="strings",1,IF(J231="visual array",1,IF(J231="characters",1,IF(J231="letters",1,IF(J231="free forms",1,IF(J231="odors",2,IF(J231="words",2,IF(J231="pictures",2,IF(J231="object pictures",2,IF(J231="faces",2,IF(J231="names",2,IF(J231="idioms","2",IF(J231="grades",2,IF(J231="syllable-digit pairs",3,IF(J231="trigram-word pairs",3,IF(J231="word-digit pairs",3,IF(J231="English-Swahili pairs",3,IF(J231="spatial position",3,IF(J231="word pairs",4,IF(J231="word triads",4,IF(J231="generated words",4,IF(J231="word definition pairs",4,IF(J231="math problems",4,IF(J231="famous faces",4,IF(J231="famous names",4,IF(J231="famous voices",4,IF(J231="television programs",4,IF(J231="race horses",4,IF(J231="new vocabulary",4,IF(J231="sentences",5,IF(J231="concepts",5,IF(J231="ad slides",5,IF(J231="scenes",5,IF(J231="famous scenes",5,IF(J231="poems",6,IF(J231="walk",6,IF(J231="faces and events",6,IF(J231="events and names",6,IF(J231="flashbulb",7,IF(J231="stories",7,IF(J231="course material",7,IF(J231="autobiographical",7,IF(J231="novels",7,IF(J231="public events",7,"99"))))))))))))))))))))))))))))))))))))))))))))))</f>
        <v>2</v>
      </c>
      <c r="M231" s="60">
        <v>0</v>
      </c>
      <c r="N231" s="60">
        <v>1</v>
      </c>
      <c r="O231" s="60">
        <v>1</v>
      </c>
      <c r="P231" s="60" t="s">
        <v>123</v>
      </c>
      <c r="Q231" s="60" t="s">
        <v>34</v>
      </c>
      <c r="R231" s="60">
        <f>IF(Q231="Free Recall",1,IF(Q231="Cued Recall",2,IF(Q231="Recognition",3,IF(Q231="Multiple Choice",4,IF(Q231="Savings",5,IF(Q231="Stem Completion",6,IF(Q231="Fragment Completion",7,IF(Q231="anagram solution",8,IF(Q231="Matching",9,IF(Q231="Problem Solving",10,"99"))))))))))</f>
        <v>3</v>
      </c>
      <c r="S231" s="60" t="s">
        <v>15</v>
      </c>
      <c r="T231" s="62" t="s">
        <v>261</v>
      </c>
      <c r="U231" s="60">
        <f>IF(T231="within",1,0)</f>
        <v>0</v>
      </c>
      <c r="V231" s="62">
        <v>16</v>
      </c>
      <c r="W231" s="60">
        <f>F231*V231</f>
        <v>1296</v>
      </c>
      <c r="X231" s="60">
        <v>3</v>
      </c>
      <c r="Y231" s="76">
        <f>AV230</f>
        <v>80</v>
      </c>
      <c r="Z231" s="60" t="s">
        <v>88</v>
      </c>
      <c r="AA231" s="60">
        <v>172800</v>
      </c>
      <c r="AB231" s="60" t="str">
        <f>IF(AA231&lt;60,"1",IF(AA231&lt;=43200,"2",IF(AA231&lt;=777600,"3","4")))</f>
        <v>3</v>
      </c>
      <c r="AC231" s="56">
        <f>AVERAGE(AV230:DA230)</f>
        <v>86426.666666666672</v>
      </c>
      <c r="AD231" s="60" t="str">
        <f>IF(AC231&lt;60,"1",IF(AC231&lt;=43200,"2",IF(AC231&lt;=777600,"3","4")))</f>
        <v>3</v>
      </c>
      <c r="AE231" s="76">
        <f>AA231-Y231</f>
        <v>172720</v>
      </c>
      <c r="AF231" s="80">
        <f>AV231</f>
        <v>0.95299999999999996</v>
      </c>
      <c r="AG231" s="56">
        <f>((AW231-AV231)+(AX231-AW231))/2</f>
        <v>-6.8500000000000005E-2</v>
      </c>
      <c r="AH231" s="4"/>
      <c r="AI231" s="56">
        <f>RSQ(AV231:AX231,AV230:AX230)</f>
        <v>0.64745765436038405</v>
      </c>
      <c r="AJ231" s="109">
        <f>SLOPE(AV231:AX231,AV230:AX230)</f>
        <v>-7.9303480502213839E-7</v>
      </c>
      <c r="AK231" s="56">
        <f>INTERCEPT(AV231:AX231,AV230:AX230)</f>
        <v>0.92387268808204659</v>
      </c>
      <c r="AL231" s="56">
        <f>INDEX(LINEST(LN(AV231:AX231),LN(AV230:AX230),TRUE,TRUE),3,1)</f>
        <v>0.95924160544215797</v>
      </c>
      <c r="AM231" s="56">
        <f>INDEX(LINEST(LN(AV231:AX231),LN(AV230:AX230)),1)</f>
        <v>-2.2398360480603421E-2</v>
      </c>
      <c r="AN231" s="56">
        <f>EXP(INDEX(LINEST(LN(AV231:AX231),LN(AV230:AX230)),1,2))</f>
        <v>1.0493408045432684</v>
      </c>
      <c r="AO231" s="82">
        <f>INDEX(LINEST((AV231:AX231),LN(AV230:AX230),TRUE,TRUE),3,1)</f>
        <v>0.96300541331461853</v>
      </c>
      <c r="AP231" s="82">
        <f>INDEX(LINEST((AV231:AX231),LN(AV230:AX230)),1)</f>
        <v>-1.9667214547867625E-2</v>
      </c>
      <c r="AQ231" s="83">
        <f>INDEX(LINEST(LN(AV231:AX231),SQRT(AV230:AX230),TRUE,TRUE),3,1)</f>
        <v>0.83559290349933057</v>
      </c>
      <c r="AR231" s="116">
        <f>INDEX(LINEST(LN(AV231:AX231),SQRT((AV230:AX230))),1)</f>
        <v>-4.2527387806516641E-4</v>
      </c>
      <c r="AS231" s="84">
        <f>INDEX(LINEST(1/(AV231:AX231),1/(SQRT(AV230:AX230)),TRUE,TRUE),3,1)</f>
        <v>0.98059040028623112</v>
      </c>
      <c r="AT231" s="84">
        <f>INDEX(LINEST(1/(AV231:AX231),1/SQRT(AV230:AX230)),1)</f>
        <v>-1.7499362324948682</v>
      </c>
      <c r="AU231" s="3"/>
      <c r="AV231" s="53">
        <v>0.95299999999999996</v>
      </c>
      <c r="AW231" s="53">
        <v>0.79700000000000004</v>
      </c>
      <c r="AX231" s="53">
        <v>0.81599999999999995</v>
      </c>
      <c r="AY231" s="53"/>
      <c r="AZ231" s="53"/>
      <c r="BA231" s="53"/>
      <c r="BB231" s="53"/>
      <c r="BC231" s="53"/>
      <c r="BD231" s="53"/>
      <c r="BE231" s="53"/>
      <c r="BF231" s="53"/>
      <c r="BG231" s="53"/>
      <c r="BH231" s="53"/>
      <c r="BI231" s="53"/>
      <c r="BJ231" s="53"/>
      <c r="BK231" s="53"/>
      <c r="BL231" s="53"/>
      <c r="BM231" s="53"/>
      <c r="BN231" s="53"/>
      <c r="BO231" s="53"/>
      <c r="BP231" s="53"/>
      <c r="BQ231" s="53"/>
      <c r="BR231" s="53"/>
      <c r="BS231" s="53"/>
      <c r="BT231" s="53"/>
      <c r="BU231" s="53"/>
      <c r="BV231" s="53"/>
      <c r="BW231" s="53"/>
      <c r="BX231" s="53"/>
      <c r="BY231" s="53"/>
      <c r="BZ231" s="53"/>
      <c r="CA231" s="53"/>
      <c r="CB231" s="53"/>
      <c r="CC231" s="53"/>
      <c r="CD231" s="53"/>
      <c r="CE231" s="53"/>
      <c r="CF231" s="53"/>
      <c r="CG231" s="53"/>
      <c r="CH231" s="53"/>
      <c r="CI231" s="53"/>
      <c r="CJ231" s="53"/>
      <c r="CK231" s="53"/>
      <c r="CL231" s="53"/>
      <c r="CM231" s="53"/>
      <c r="CN231" s="53"/>
      <c r="CO231" s="53"/>
      <c r="CP231" s="53"/>
      <c r="CQ231" s="53"/>
      <c r="CR231" s="1"/>
      <c r="CS231" s="1"/>
      <c r="CT231" s="1"/>
      <c r="CU231" s="1"/>
    </row>
    <row r="232" spans="1:99" s="13" customFormat="1" ht="12" customHeight="1" x14ac:dyDescent="0.2">
      <c r="A232" s="65">
        <v>43509</v>
      </c>
      <c r="B232" s="1"/>
      <c r="C232" s="1"/>
      <c r="D232" s="60"/>
      <c r="E232" s="76"/>
      <c r="F232" s="60"/>
      <c r="G232" s="60"/>
      <c r="H232" s="60"/>
      <c r="I232" s="60"/>
      <c r="J232" s="60"/>
      <c r="K232" s="64"/>
      <c r="L232" s="64"/>
      <c r="M232" s="60"/>
      <c r="N232" s="60"/>
      <c r="O232" s="60"/>
      <c r="P232" s="60"/>
      <c r="Q232" s="60"/>
      <c r="R232" s="60"/>
      <c r="S232" s="60"/>
      <c r="T232" s="60"/>
      <c r="U232" s="60"/>
      <c r="V232" s="60"/>
      <c r="W232" s="60"/>
      <c r="X232" s="60"/>
      <c r="Y232" s="76"/>
      <c r="Z232" s="60"/>
      <c r="AA232" s="60"/>
      <c r="AB232" s="60"/>
      <c r="AC232" s="60"/>
      <c r="AD232" s="60"/>
      <c r="AE232" s="60"/>
      <c r="AF232" s="80"/>
      <c r="AG232" s="56"/>
      <c r="AH232" s="4"/>
      <c r="AI232" s="56"/>
      <c r="AJ232" s="109"/>
      <c r="AK232" s="56"/>
      <c r="AL232" s="56"/>
      <c r="AM232" s="56"/>
      <c r="AN232" s="56"/>
      <c r="AO232" s="56"/>
      <c r="AP232" s="56"/>
      <c r="AQ232" s="56"/>
      <c r="AR232" s="109"/>
      <c r="AS232" s="56"/>
      <c r="AT232" s="56"/>
      <c r="AU232" s="4"/>
      <c r="AV232" s="137">
        <v>80</v>
      </c>
      <c r="AW232" s="137">
        <f>24*3600*1</f>
        <v>86400</v>
      </c>
      <c r="AX232" s="137">
        <f>24*3600*2</f>
        <v>172800</v>
      </c>
      <c r="AY232" s="53"/>
      <c r="AZ232" s="53"/>
      <c r="BA232" s="53"/>
      <c r="BB232" s="53"/>
      <c r="BC232" s="53"/>
      <c r="BD232" s="53"/>
      <c r="BE232" s="53"/>
      <c r="BF232" s="53"/>
      <c r="BG232" s="53"/>
      <c r="BH232" s="53"/>
      <c r="BI232" s="53"/>
      <c r="BJ232" s="53"/>
      <c r="BK232" s="53"/>
      <c r="BL232" s="53"/>
      <c r="BM232" s="53"/>
      <c r="BN232" s="53"/>
      <c r="BO232" s="53"/>
      <c r="BP232" s="53"/>
      <c r="BQ232" s="53"/>
      <c r="BR232" s="53"/>
      <c r="BS232" s="53"/>
      <c r="BT232" s="53"/>
      <c r="BU232" s="53"/>
      <c r="BV232" s="53"/>
      <c r="BW232" s="53"/>
      <c r="BX232" s="53"/>
      <c r="BY232" s="53"/>
      <c r="BZ232" s="53"/>
      <c r="CA232" s="53"/>
      <c r="CB232" s="53"/>
      <c r="CC232" s="53"/>
      <c r="CD232" s="53"/>
      <c r="CE232" s="53"/>
      <c r="CF232" s="53"/>
      <c r="CG232" s="53"/>
      <c r="CH232" s="53"/>
      <c r="CI232" s="53"/>
      <c r="CJ232" s="53"/>
      <c r="CK232" s="53"/>
      <c r="CL232" s="53"/>
      <c r="CM232" s="53"/>
      <c r="CN232" s="53"/>
      <c r="CO232" s="53"/>
      <c r="CP232" s="53"/>
      <c r="CQ232" s="53"/>
      <c r="CR232" s="1"/>
      <c r="CS232" s="1"/>
      <c r="CT232" s="1"/>
      <c r="CU232" s="1"/>
    </row>
    <row r="233" spans="1:99" s="13" customFormat="1" ht="12" customHeight="1" x14ac:dyDescent="0.2">
      <c r="A233" s="65">
        <v>43509</v>
      </c>
      <c r="B233" s="1" t="s">
        <v>122</v>
      </c>
      <c r="C233" s="1" t="s">
        <v>70</v>
      </c>
      <c r="D233" s="60">
        <v>2014</v>
      </c>
      <c r="E233" s="76">
        <v>1</v>
      </c>
      <c r="F233" s="60">
        <v>81</v>
      </c>
      <c r="G233" s="60">
        <v>27</v>
      </c>
      <c r="H233" s="60" t="s">
        <v>50</v>
      </c>
      <c r="I233" s="60" t="s">
        <v>759</v>
      </c>
      <c r="J233" s="60" t="s">
        <v>16</v>
      </c>
      <c r="K233" s="60">
        <f>IF(J233="syllables",1,IF(J233="trigrams",2,IF(J233="strings",3,IF(J233="visual array",4,IF(J233="characters",5,IF(J233="letters",6,IF(J233="free forms",7,IF(J233="odors",8,IF(J233="words",9,IF(J233="pictures",10,IF(J233="object pictures",11,IF(J233="faces",12,IF(J233="names",13,IF(J233="idioms",14,IF(J233="grades",15,IF(J233="syllable-digit pairs",16,IF(J233="trigram-word pairs",17,IF(J233="word-digit pairs",18,IF(J233="English-Swahili pairs",19,IF(J233="spatial position",20,IF(J233="word pairs",21,IF(J233="word triads",22,IF(J233="generated words",23,IF(J233="word definition pairs",24,IF(J233="math problems",25,IF(J233="famous faces",26,IF(J233="famous names",27,IF(J233="famous voices",28,IF(J233="television programs",29,IF(J233="race horses",30,IF(J233="new vocabulary",31,IF(J233="sentences",32,IF(J233="concepts",33,IF(J233="ad slides",34,IF(J233="scenes",35,IF(J233="famous scenes",36,IF(J233="poems",37,IF(J233="walk",38,IF(J233="faces and events",39,IF(J233="events and names",40,IF(J233="flashbulb",41,IF(J233="stories",42,IF(J233="course material",43,IF(J233="autobiographical",44,IF(J233="novels",45,IF(J233="public events",46,"99"))))))))))))))))))))))))))))))))))))))))))))))</f>
        <v>9</v>
      </c>
      <c r="L233" s="60">
        <f>IF(J233="syllables",1,IF(J233="trigrams",1,IF(J233="strings",1,IF(J233="visual array",1,IF(J233="characters",1,IF(J233="letters",1,IF(J233="free forms",1,IF(J233="odors",2,IF(J233="words",2,IF(J233="pictures",2,IF(J233="object pictures",2,IF(J233="faces",2,IF(J233="names",2,IF(J233="idioms","2",IF(J233="grades",2,IF(J233="syllable-digit pairs",3,IF(J233="trigram-word pairs",3,IF(J233="word-digit pairs",3,IF(J233="English-Swahili pairs",3,IF(J233="spatial position",3,IF(J233="word pairs",4,IF(J233="word triads",4,IF(J233="generated words",4,IF(J233="word definition pairs",4,IF(J233="math problems",4,IF(J233="famous faces",4,IF(J233="famous names",4,IF(J233="famous voices",4,IF(J233="television programs",4,IF(J233="race horses",4,IF(J233="new vocabulary",4,IF(J233="sentences",5,IF(J233="concepts",5,IF(J233="ad slides",5,IF(J233="scenes",5,IF(J233="famous scenes",5,IF(J233="poems",6,IF(J233="walk",6,IF(J233="faces and events",6,IF(J233="events and names",6,IF(J233="flashbulb",7,IF(J233="stories",7,IF(J233="course material",7,IF(J233="autobiographical",7,IF(J233="novels",7,IF(J233="public events",7,"99"))))))))))))))))))))))))))))))))))))))))))))))</f>
        <v>2</v>
      </c>
      <c r="M233" s="60">
        <v>0</v>
      </c>
      <c r="N233" s="60">
        <v>1</v>
      </c>
      <c r="O233" s="60">
        <v>1</v>
      </c>
      <c r="P233" s="60" t="s">
        <v>123</v>
      </c>
      <c r="Q233" s="60" t="s">
        <v>34</v>
      </c>
      <c r="R233" s="60">
        <f>IF(Q233="Free Recall",1,IF(Q233="Cued Recall",2,IF(Q233="Recognition",3,IF(Q233="Multiple Choice",4,IF(Q233="Savings",5,IF(Q233="Stem Completion",6,IF(Q233="Fragment Completion",7,IF(Q233="anagram solution",8,IF(Q233="Matching",9,IF(Q233="Problem Solving",10,"99"))))))))))</f>
        <v>3</v>
      </c>
      <c r="S233" s="60" t="s">
        <v>15</v>
      </c>
      <c r="T233" s="62" t="s">
        <v>261</v>
      </c>
      <c r="U233" s="60">
        <f>IF(T233="within",1,0)</f>
        <v>0</v>
      </c>
      <c r="V233" s="62">
        <v>16</v>
      </c>
      <c r="W233" s="60">
        <f>F233*V233</f>
        <v>1296</v>
      </c>
      <c r="X233" s="60">
        <v>3</v>
      </c>
      <c r="Y233" s="76">
        <f>AV232</f>
        <v>80</v>
      </c>
      <c r="Z233" s="60" t="s">
        <v>88</v>
      </c>
      <c r="AA233" s="60">
        <v>172800</v>
      </c>
      <c r="AB233" s="60" t="str">
        <f>IF(AA233&lt;60,"1",IF(AA233&lt;=43200,"2",IF(AA233&lt;=777600,"3","4")))</f>
        <v>3</v>
      </c>
      <c r="AC233" s="56">
        <f>AVERAGE(AV232:DA232)</f>
        <v>86426.666666666672</v>
      </c>
      <c r="AD233" s="60" t="str">
        <f>IF(AC233&lt;60,"1",IF(AC233&lt;=43200,"2",IF(AC233&lt;=777600,"3","4")))</f>
        <v>3</v>
      </c>
      <c r="AE233" s="76">
        <f>AA233-Y233</f>
        <v>172720</v>
      </c>
      <c r="AF233" s="80">
        <f>AV233</f>
        <v>0.94299999999999995</v>
      </c>
      <c r="AG233" s="56">
        <f>((AW233-AV233)+(AX233-AW233))/2</f>
        <v>-9.0499999999999969E-2</v>
      </c>
      <c r="AH233" s="4"/>
      <c r="AI233" s="56">
        <f>RSQ(AV233:AX233,AV232:AX232)</f>
        <v>0.79108563268651544</v>
      </c>
      <c r="AJ233" s="109">
        <f>SLOPE(AV233:AX233,AV232:AX232)</f>
        <v>-1.0477948695651921E-6</v>
      </c>
      <c r="AK233" s="56">
        <f>INTERCEPT(AV233:AX233,AV232:AX232)</f>
        <v>0.91622408459362104</v>
      </c>
      <c r="AL233" s="56">
        <f>INDEX(LINEST(LN(AV233:AX233),LN(AV232:AX232),TRUE,TRUE),3,1)</f>
        <v>0.99926581181595209</v>
      </c>
      <c r="AM233" s="56">
        <f>INDEX(LINEST(LN(AV233:AX233),LN(AV232:AX232)),1)</f>
        <v>-2.8118273124892797E-2</v>
      </c>
      <c r="AN233" s="56">
        <f>EXP(INDEX(LINEST(LN(AV233:AX233),LN(AV232:AX232)),1,2))</f>
        <v>1.0663280457123399</v>
      </c>
      <c r="AO233" s="82">
        <f>INDEX(LINEST((AV233:AX233),LN(AV232:AX232),TRUE,TRUE),3,1)</f>
        <v>0.99894210627789815</v>
      </c>
      <c r="AP233" s="82">
        <f>INDEX(LINEST((AV233:AX233),LN(AV232:AX232)),1)</f>
        <v>-2.3942892002640433E-2</v>
      </c>
      <c r="AQ233" s="83">
        <f>INDEX(LINEST(LN(AV233:AX233),SQRT(AV232:AX232),TRUE,TRUE),3,1)</f>
        <v>0.94289126605447193</v>
      </c>
      <c r="AR233" s="116">
        <f>INDEX(LINEST(LN(AV233:AX233),SQRT((AV232:AX232))),1)</f>
        <v>-5.5564581386198747E-4</v>
      </c>
      <c r="AS233" s="84">
        <f>INDEX(LINEST(1/(AV233:AX233),1/(SQRT(AV232:AX232)),TRUE,TRUE),3,1)</f>
        <v>0.99724751826683622</v>
      </c>
      <c r="AT233" s="84">
        <f>INDEX(LINEST(1/(AV233:AX233),1/SQRT(AV232:AX232)),1)</f>
        <v>-2.2359353311376924</v>
      </c>
      <c r="AU233" s="3"/>
      <c r="AV233" s="53">
        <v>0.94299999999999995</v>
      </c>
      <c r="AW233" s="53">
        <v>0.77200000000000002</v>
      </c>
      <c r="AX233" s="53">
        <v>0.76200000000000001</v>
      </c>
      <c r="AY233" s="53"/>
      <c r="AZ233" s="53"/>
      <c r="BA233" s="53"/>
      <c r="BB233" s="53"/>
      <c r="BC233" s="53"/>
      <c r="BD233" s="53"/>
      <c r="BE233" s="53"/>
      <c r="BF233" s="53"/>
      <c r="BG233" s="53"/>
      <c r="BH233" s="53"/>
      <c r="BI233" s="53"/>
      <c r="BJ233" s="53"/>
      <c r="BK233" s="53"/>
      <c r="BL233" s="53"/>
      <c r="BM233" s="53"/>
      <c r="BN233" s="53"/>
      <c r="BO233" s="53"/>
      <c r="BP233" s="53"/>
      <c r="BQ233" s="53"/>
      <c r="BR233" s="53"/>
      <c r="BS233" s="53"/>
      <c r="BT233" s="53"/>
      <c r="BU233" s="53"/>
      <c r="BV233" s="53"/>
      <c r="BW233" s="53"/>
      <c r="BX233" s="53"/>
      <c r="BY233" s="53"/>
      <c r="BZ233" s="53"/>
      <c r="CA233" s="53"/>
      <c r="CB233" s="53"/>
      <c r="CC233" s="53"/>
      <c r="CD233" s="53"/>
      <c r="CE233" s="53"/>
      <c r="CF233" s="53"/>
      <c r="CG233" s="53"/>
      <c r="CH233" s="53"/>
      <c r="CI233" s="53"/>
      <c r="CJ233" s="53"/>
      <c r="CK233" s="53"/>
      <c r="CL233" s="53"/>
      <c r="CM233" s="53"/>
      <c r="CN233" s="53"/>
      <c r="CO233" s="53"/>
      <c r="CP233" s="53"/>
      <c r="CQ233" s="53"/>
      <c r="CR233" s="1"/>
      <c r="CS233" s="1"/>
      <c r="CT233" s="1"/>
      <c r="CU233" s="1"/>
    </row>
    <row r="234" spans="1:99" s="13" customFormat="1" ht="12" customHeight="1" x14ac:dyDescent="0.2">
      <c r="A234" s="68">
        <v>43509</v>
      </c>
      <c r="B234" s="70"/>
      <c r="C234" s="70"/>
      <c r="D234" s="69"/>
      <c r="E234" s="87"/>
      <c r="F234" s="69"/>
      <c r="G234" s="69"/>
      <c r="H234" s="69"/>
      <c r="I234" s="69"/>
      <c r="J234" s="69"/>
      <c r="K234" s="107"/>
      <c r="L234" s="107"/>
      <c r="M234" s="69"/>
      <c r="N234" s="69"/>
      <c r="O234" s="69"/>
      <c r="P234" s="69"/>
      <c r="Q234" s="69"/>
      <c r="R234" s="69"/>
      <c r="S234" s="69"/>
      <c r="T234" s="69"/>
      <c r="U234" s="60"/>
      <c r="V234" s="69"/>
      <c r="W234" s="69"/>
      <c r="X234" s="69"/>
      <c r="Y234" s="87"/>
      <c r="Z234" s="69"/>
      <c r="AA234" s="69"/>
      <c r="AB234" s="69"/>
      <c r="AC234" s="69"/>
      <c r="AD234" s="69"/>
      <c r="AE234" s="69"/>
      <c r="AF234" s="88"/>
      <c r="AG234" s="72"/>
      <c r="AH234" s="4"/>
      <c r="AI234" s="72"/>
      <c r="AJ234" s="110"/>
      <c r="AK234" s="72"/>
      <c r="AL234" s="72"/>
      <c r="AM234" s="72"/>
      <c r="AN234" s="72"/>
      <c r="AO234" s="72"/>
      <c r="AP234" s="72"/>
      <c r="AQ234" s="72"/>
      <c r="AR234" s="110"/>
      <c r="AS234" s="72"/>
      <c r="AT234" s="72"/>
      <c r="AU234" s="4"/>
      <c r="AV234" s="71">
        <f>5*60</f>
        <v>300</v>
      </c>
      <c r="AW234" s="71">
        <f>24*3600*2</f>
        <v>172800</v>
      </c>
      <c r="AX234" s="71">
        <f>24*3600*7</f>
        <v>604800</v>
      </c>
      <c r="AY234" s="53"/>
      <c r="AZ234" s="53"/>
      <c r="BA234" s="53"/>
      <c r="BB234" s="53"/>
      <c r="BC234" s="53"/>
      <c r="BD234" s="53"/>
      <c r="BE234" s="53"/>
      <c r="BF234" s="53"/>
      <c r="BG234" s="53"/>
      <c r="BH234" s="53"/>
      <c r="BI234" s="53"/>
      <c r="BJ234" s="53"/>
      <c r="BK234" s="53"/>
      <c r="BL234" s="53"/>
      <c r="BM234" s="53"/>
      <c r="BN234" s="53"/>
      <c r="BO234" s="53"/>
      <c r="BP234" s="53"/>
      <c r="BQ234" s="53"/>
      <c r="BR234" s="53"/>
      <c r="BS234" s="53"/>
      <c r="BT234" s="53"/>
      <c r="BU234" s="53"/>
      <c r="BV234" s="53"/>
      <c r="BW234" s="53"/>
      <c r="BX234" s="53"/>
      <c r="BY234" s="53"/>
      <c r="BZ234" s="53"/>
      <c r="CA234" s="53"/>
      <c r="CB234" s="53"/>
      <c r="CC234" s="53"/>
      <c r="CD234" s="53"/>
      <c r="CE234" s="53"/>
      <c r="CF234" s="53"/>
      <c r="CG234" s="53"/>
      <c r="CH234" s="53"/>
      <c r="CI234" s="53"/>
      <c r="CJ234" s="53"/>
      <c r="CK234" s="53"/>
      <c r="CL234" s="53"/>
      <c r="CM234" s="53"/>
      <c r="CN234" s="53"/>
      <c r="CO234" s="53"/>
      <c r="CP234" s="53"/>
      <c r="CQ234" s="53"/>
      <c r="CR234" s="1"/>
      <c r="CS234" s="1"/>
      <c r="CT234" s="1"/>
      <c r="CU234" s="1"/>
    </row>
    <row r="235" spans="1:99" s="13" customFormat="1" ht="12" customHeight="1" x14ac:dyDescent="0.2">
      <c r="A235" s="68">
        <v>43509</v>
      </c>
      <c r="B235" s="70" t="s">
        <v>111</v>
      </c>
      <c r="C235" s="70" t="s">
        <v>95</v>
      </c>
      <c r="D235" s="69">
        <v>2006</v>
      </c>
      <c r="E235" s="87">
        <v>1</v>
      </c>
      <c r="F235" s="69">
        <v>120</v>
      </c>
      <c r="G235" s="69">
        <v>40</v>
      </c>
      <c r="H235" s="69" t="s">
        <v>50</v>
      </c>
      <c r="I235" s="69" t="s">
        <v>784</v>
      </c>
      <c r="J235" s="69" t="s">
        <v>677</v>
      </c>
      <c r="K235" s="69">
        <f>IF(J235="syllables",1,IF(J235="trigrams",2,IF(J235="strings",3,IF(J235="visual array",4,IF(J235="characters",5,IF(J235="letters",6,IF(J235="free forms",7,IF(J235="odors",8,IF(J235="words",9,IF(J235="pictures",10,IF(J235="object pictures",11,IF(J235="faces",12,IF(J235="names",13,IF(J235="idioms",14,IF(J235="grades",15,IF(J235="syllable-digit pairs",16,IF(J235="trigram-word pairs",17,IF(J235="word-digit pairs",18,IF(J235="English-Swahili pairs",19,IF(J235="spatial position",20,IF(J235="word pairs",21,IF(J235="word triads",22,IF(J235="generated words",23,IF(J235="word definition pairs",24,IF(J235="math problems",25,IF(J235="famous faces",26,IF(J235="famous names",27,IF(J235="famous voices",28,IF(J235="television programs",29,IF(J235="race horses",30,IF(J235="new vocabulary",31,IF(J235="sentences",32,IF(J235="concepts",33,IF(J235="ad slides",34,IF(J235="scenes",35,IF(J235="famous scenes",36,IF(J235="poems",37,IF(J235="walk",38,IF(J235="faces and events",39,IF(J235="events and names",40,IF(J235="flashbulb",41,IF(J235="stories",42,IF(J235="course material",43,IF(J235="autobiographical",44,IF(J235="novels",45,IF(J235="public events",46,"99"))))))))))))))))))))))))))))))))))))))))))))))</f>
        <v>42</v>
      </c>
      <c r="L235" s="69">
        <f>IF(J235="syllables",1,IF(J235="trigrams",1,IF(J235="strings",1,IF(J235="visual array",1,IF(J235="characters",1,IF(J235="letters",1,IF(J235="free forms",1,IF(J235="odors",2,IF(J235="words",2,IF(J235="pictures",2,IF(J235="object pictures",2,IF(J235="faces",2,IF(J235="names",2,IF(J235="idioms","2",IF(J235="grades",2,IF(J235="syllable-digit pairs",3,IF(J235="trigram-word pairs",3,IF(J235="word-digit pairs",3,IF(J235="English-Swahili pairs",3,IF(J235="spatial position",3,IF(J235="word pairs",4,IF(J235="word triads",4,IF(J235="generated words",4,IF(J235="word definition pairs",4,IF(J235="math problems",4,IF(J235="famous faces",4,IF(J235="famous names",4,IF(J235="famous voices",4,IF(J235="television programs",4,IF(J235="race horses",4,IF(J235="new vocabulary",4,IF(J235="sentences",5,IF(J235="concepts",5,IF(J235="ad slides",5,IF(J235="scenes",5,IF(J235="famous scenes",5,IF(J235="poems",6,IF(J235="walk",6,IF(J235="faces and events",6,IF(J235="events and names",6,IF(J235="flashbulb",7,IF(J235="stories",7,IF(J235="course material",7,IF(J235="autobiographical",7,IF(J235="novels",7,IF(J235="public events",7,"99"))))))))))))))))))))))))))))))))))))))))))))))</f>
        <v>7</v>
      </c>
      <c r="M235" s="69">
        <v>1</v>
      </c>
      <c r="N235" s="69">
        <v>4</v>
      </c>
      <c r="O235" s="69">
        <v>1</v>
      </c>
      <c r="P235" s="69" t="s">
        <v>112</v>
      </c>
      <c r="Q235" s="69" t="s">
        <v>174</v>
      </c>
      <c r="R235" s="69">
        <f>IF(Q235="Free Recall",1,IF(Q235="Cued Recall",2,IF(Q235="Recognition",3,IF(Q235="Multiple Choice",4,IF(Q235="Savings",5,IF(Q235="Stem Completion",6,IF(Q235="Fragment Completion",7,IF(Q235="anagram solution",8,IF(Q235="Matching",9,IF(Q235="Problem Solving",10,"99"))))))))))</f>
        <v>1</v>
      </c>
      <c r="S235" s="69" t="s">
        <v>49</v>
      </c>
      <c r="T235" s="69" t="s">
        <v>261</v>
      </c>
      <c r="U235" s="60">
        <f>IF(T235="within",1,0)</f>
        <v>0</v>
      </c>
      <c r="V235" s="69">
        <v>30</v>
      </c>
      <c r="W235" s="69">
        <f>F235*V235</f>
        <v>3600</v>
      </c>
      <c r="X235" s="69">
        <v>3</v>
      </c>
      <c r="Y235" s="87">
        <f>AV234</f>
        <v>300</v>
      </c>
      <c r="Z235" s="69" t="s">
        <v>97</v>
      </c>
      <c r="AA235" s="69">
        <v>604800</v>
      </c>
      <c r="AB235" s="69" t="str">
        <f>IF(AA235&lt;60,"1",IF(AA235&lt;=43200,"2",IF(AA235&lt;=777600,"3","4")))</f>
        <v>3</v>
      </c>
      <c r="AC235" s="72">
        <f>AVERAGE(AV234:DA234)</f>
        <v>259300</v>
      </c>
      <c r="AD235" s="69" t="str">
        <f>IF(AC235&lt;60,"1",IF(AC235&lt;=43200,"2",IF(AC235&lt;=777600,"3","4")))</f>
        <v>3</v>
      </c>
      <c r="AE235" s="87">
        <f>AA235-Y235</f>
        <v>604500</v>
      </c>
      <c r="AF235" s="88">
        <f>AV235</f>
        <v>0.81</v>
      </c>
      <c r="AG235" s="72">
        <f>((AW235-AV235)+(AX235-AW235))/2</f>
        <v>-0.19800000000000004</v>
      </c>
      <c r="AH235" s="4"/>
      <c r="AI235" s="72">
        <f>RSQ(AV235:AX235,AV234:AX234)</f>
        <v>0.7954131090520179</v>
      </c>
      <c r="AJ235" s="110">
        <f>SLOPE(AV235:AX235,AV234:AX234)</f>
        <v>-5.8193916987008451E-7</v>
      </c>
      <c r="AK235" s="72">
        <f>INTERCEPT(AV235:AX235,AV234:AX234)</f>
        <v>0.73656349341397953</v>
      </c>
      <c r="AL235" s="72">
        <f>INDEX(LINEST(LN(AV235:AX235),LN(AV234:AX234),TRUE,TRUE),3,1)</f>
        <v>0.94902650403308175</v>
      </c>
      <c r="AM235" s="72">
        <f>INDEX(LINEST(LN(AV235:AX235),LN(AV234:AX234)),1)</f>
        <v>-8.0944359945756023E-2</v>
      </c>
      <c r="AN235" s="72">
        <f>EXP(INDEX(LINEST(LN(AV235:AX235),LN(AV234:AX234)),1,2))</f>
        <v>1.3028268031385142</v>
      </c>
      <c r="AO235" s="89">
        <f>INDEX(LINEST((AV235:AX235),LN(AV234:AX234),TRUE,TRUE),3,1)</f>
        <v>0.97967699994881496</v>
      </c>
      <c r="AP235" s="89">
        <f>INDEX(LINEST((AV235:AX235),LN(AV234:AX234)),1)</f>
        <v>-4.9295162358565667E-2</v>
      </c>
      <c r="AQ235" s="90">
        <f>INDEX(LINEST(LN(AV235:AX235),SQRT(AV234:AX234),TRUE,TRUE),3,1)</f>
        <v>0.98703662550654314</v>
      </c>
      <c r="AR235" s="117">
        <f>INDEX(LINEST(LN(AV235:AX235),SQRT((AV234:AX234))),1)</f>
        <v>-8.8549112438178425E-4</v>
      </c>
      <c r="AS235" s="91">
        <f>INDEX(LINEST(1/(AV235:AX235),1/(SQRT(AV234:AX234)),TRUE,TRUE),3,1)</f>
        <v>0.80587202012328629</v>
      </c>
      <c r="AT235" s="91">
        <f>INDEX(LINEST(1/(AV235:AX235),1/SQRT(AV234:AX234)),1)</f>
        <v>-16.444562117587768</v>
      </c>
      <c r="AU235" s="3"/>
      <c r="AV235" s="73">
        <v>0.81</v>
      </c>
      <c r="AW235" s="73">
        <v>0.53300000000000003</v>
      </c>
      <c r="AX235" s="73">
        <v>0.41399999999999998</v>
      </c>
      <c r="AY235" s="53"/>
      <c r="AZ235" s="53"/>
      <c r="BA235" s="53"/>
      <c r="BB235" s="53"/>
      <c r="BC235" s="53"/>
      <c r="BD235" s="53"/>
      <c r="BE235" s="53"/>
      <c r="BF235" s="53"/>
      <c r="BG235" s="53"/>
      <c r="BH235" s="53"/>
      <c r="BI235" s="53"/>
      <c r="BJ235" s="53"/>
      <c r="BK235" s="53"/>
      <c r="BL235" s="53"/>
      <c r="BM235" s="53"/>
      <c r="BN235" s="53"/>
      <c r="BO235" s="53"/>
      <c r="BP235" s="53"/>
      <c r="BQ235" s="53"/>
      <c r="BR235" s="53"/>
      <c r="BS235" s="53"/>
      <c r="BT235" s="53"/>
      <c r="BU235" s="53"/>
      <c r="BV235" s="53"/>
      <c r="BW235" s="53"/>
      <c r="BX235" s="53"/>
      <c r="BY235" s="53"/>
      <c r="BZ235" s="53"/>
      <c r="CA235" s="53"/>
      <c r="CB235" s="53"/>
      <c r="CC235" s="53"/>
      <c r="CD235" s="53"/>
      <c r="CE235" s="53"/>
      <c r="CF235" s="53"/>
      <c r="CG235" s="53"/>
      <c r="CH235" s="53"/>
      <c r="CI235" s="53"/>
      <c r="CJ235" s="53"/>
      <c r="CK235" s="53"/>
      <c r="CL235" s="53"/>
      <c r="CM235" s="53"/>
      <c r="CN235" s="53"/>
      <c r="CO235" s="53"/>
      <c r="CP235" s="53"/>
      <c r="CQ235" s="53"/>
      <c r="CR235" s="1"/>
      <c r="CS235" s="1"/>
      <c r="CT235" s="1"/>
      <c r="CU235" s="1"/>
    </row>
    <row r="236" spans="1:99" s="13" customFormat="1" ht="12" customHeight="1" x14ac:dyDescent="0.2">
      <c r="A236" s="68">
        <v>43509</v>
      </c>
      <c r="B236" s="70"/>
      <c r="C236" s="70"/>
      <c r="D236" s="69"/>
      <c r="E236" s="87"/>
      <c r="F236" s="69"/>
      <c r="G236" s="69"/>
      <c r="H236" s="69"/>
      <c r="I236" s="69"/>
      <c r="J236" s="69"/>
      <c r="K236" s="107"/>
      <c r="L236" s="107"/>
      <c r="M236" s="69"/>
      <c r="N236" s="69"/>
      <c r="O236" s="69"/>
      <c r="P236" s="69"/>
      <c r="Q236" s="69"/>
      <c r="R236" s="69"/>
      <c r="S236" s="69"/>
      <c r="T236" s="69"/>
      <c r="U236" s="60"/>
      <c r="V236" s="69"/>
      <c r="W236" s="69"/>
      <c r="X236" s="69"/>
      <c r="Y236" s="87"/>
      <c r="Z236" s="69"/>
      <c r="AA236" s="69"/>
      <c r="AB236" s="69"/>
      <c r="AC236" s="69"/>
      <c r="AD236" s="69"/>
      <c r="AE236" s="69"/>
      <c r="AF236" s="88"/>
      <c r="AG236" s="72"/>
      <c r="AH236" s="4"/>
      <c r="AI236" s="72"/>
      <c r="AJ236" s="110"/>
      <c r="AK236" s="72"/>
      <c r="AL236" s="72"/>
      <c r="AM236" s="72"/>
      <c r="AN236" s="72"/>
      <c r="AO236" s="72"/>
      <c r="AP236" s="72"/>
      <c r="AQ236" s="72"/>
      <c r="AR236" s="110"/>
      <c r="AS236" s="72"/>
      <c r="AT236" s="72"/>
      <c r="AU236" s="4"/>
      <c r="AV236" s="71">
        <f>5*60</f>
        <v>300</v>
      </c>
      <c r="AW236" s="71">
        <f>24*3600*2</f>
        <v>172800</v>
      </c>
      <c r="AX236" s="71">
        <f>24*3600*7</f>
        <v>604800</v>
      </c>
      <c r="AY236" s="53"/>
      <c r="AZ236" s="53"/>
      <c r="BA236" s="53"/>
      <c r="BB236" s="53"/>
      <c r="BC236" s="53"/>
      <c r="BD236" s="53"/>
      <c r="BE236" s="53"/>
      <c r="BF236" s="53"/>
      <c r="BG236" s="53"/>
      <c r="BH236" s="53"/>
      <c r="BI236" s="53"/>
      <c r="BJ236" s="53"/>
      <c r="BK236" s="53"/>
      <c r="BL236" s="53"/>
      <c r="BM236" s="53"/>
      <c r="BN236" s="53"/>
      <c r="BO236" s="53"/>
      <c r="BP236" s="53"/>
      <c r="BQ236" s="53"/>
      <c r="BR236" s="53"/>
      <c r="BS236" s="53"/>
      <c r="BT236" s="53"/>
      <c r="BU236" s="53"/>
      <c r="BV236" s="53"/>
      <c r="BW236" s="53"/>
      <c r="BX236" s="53"/>
      <c r="BY236" s="53"/>
      <c r="BZ236" s="53"/>
      <c r="CA236" s="53"/>
      <c r="CB236" s="53"/>
      <c r="CC236" s="53"/>
      <c r="CD236" s="53"/>
      <c r="CE236" s="53"/>
      <c r="CF236" s="53"/>
      <c r="CG236" s="53"/>
      <c r="CH236" s="53"/>
      <c r="CI236" s="53"/>
      <c r="CJ236" s="53"/>
      <c r="CK236" s="53"/>
      <c r="CL236" s="53"/>
      <c r="CM236" s="53"/>
      <c r="CN236" s="53"/>
      <c r="CO236" s="53"/>
      <c r="CP236" s="53"/>
      <c r="CQ236" s="53"/>
      <c r="CR236" s="1"/>
      <c r="CS236" s="1"/>
      <c r="CT236" s="1"/>
      <c r="CU236" s="1"/>
    </row>
    <row r="237" spans="1:99" s="13" customFormat="1" ht="12" customHeight="1" x14ac:dyDescent="0.2">
      <c r="A237" s="68">
        <v>43509</v>
      </c>
      <c r="B237" s="70" t="s">
        <v>111</v>
      </c>
      <c r="C237" s="70" t="s">
        <v>95</v>
      </c>
      <c r="D237" s="69">
        <v>2006</v>
      </c>
      <c r="E237" s="87">
        <v>1</v>
      </c>
      <c r="F237" s="69">
        <v>120</v>
      </c>
      <c r="G237" s="69">
        <v>40</v>
      </c>
      <c r="H237" s="69" t="s">
        <v>50</v>
      </c>
      <c r="I237" s="69" t="s">
        <v>785</v>
      </c>
      <c r="J237" s="69" t="s">
        <v>677</v>
      </c>
      <c r="K237" s="69">
        <f>IF(J237="syllables",1,IF(J237="trigrams",2,IF(J237="strings",3,IF(J237="visual array",4,IF(J237="characters",5,IF(J237="letters",6,IF(J237="free forms",7,IF(J237="odors",8,IF(J237="words",9,IF(J237="pictures",10,IF(J237="object pictures",11,IF(J237="faces",12,IF(J237="names",13,IF(J237="idioms",14,IF(J237="grades",15,IF(J237="syllable-digit pairs",16,IF(J237="trigram-word pairs",17,IF(J237="word-digit pairs",18,IF(J237="English-Swahili pairs",19,IF(J237="spatial position",20,IF(J237="word pairs",21,IF(J237="word triads",22,IF(J237="generated words",23,IF(J237="word definition pairs",24,IF(J237="math problems",25,IF(J237="famous faces",26,IF(J237="famous names",27,IF(J237="famous voices",28,IF(J237="television programs",29,IF(J237="race horses",30,IF(J237="new vocabulary",31,IF(J237="sentences",32,IF(J237="concepts",33,IF(J237="ad slides",34,IF(J237="scenes",35,IF(J237="famous scenes",36,IF(J237="poems",37,IF(J237="walk",38,IF(J237="faces and events",39,IF(J237="events and names",40,IF(J237="flashbulb",41,IF(J237="stories",42,IF(J237="course material",43,IF(J237="autobiographical",44,IF(J237="novels",45,IF(J237="public events",46,"99"))))))))))))))))))))))))))))))))))))))))))))))</f>
        <v>42</v>
      </c>
      <c r="L237" s="69">
        <f>IF(J237="syllables",1,IF(J237="trigrams",1,IF(J237="strings",1,IF(J237="visual array",1,IF(J237="characters",1,IF(J237="letters",1,IF(J237="free forms",1,IF(J237="odors",2,IF(J237="words",2,IF(J237="pictures",2,IF(J237="object pictures",2,IF(J237="faces",2,IF(J237="names",2,IF(J237="idioms","2",IF(J237="grades",2,IF(J237="syllable-digit pairs",3,IF(J237="trigram-word pairs",3,IF(J237="word-digit pairs",3,IF(J237="English-Swahili pairs",3,IF(J237="spatial position",3,IF(J237="word pairs",4,IF(J237="word triads",4,IF(J237="generated words",4,IF(J237="word definition pairs",4,IF(J237="math problems",4,IF(J237="famous faces",4,IF(J237="famous names",4,IF(J237="famous voices",4,IF(J237="television programs",4,IF(J237="race horses",4,IF(J237="new vocabulary",4,IF(J237="sentences",5,IF(J237="concepts",5,IF(J237="ad slides",5,IF(J237="scenes",5,IF(J237="famous scenes",5,IF(J237="poems",6,IF(J237="walk",6,IF(J237="faces and events",6,IF(J237="events and names",6,IF(J237="flashbulb",7,IF(J237="stories",7,IF(J237="course material",7,IF(J237="autobiographical",7,IF(J237="novels",7,IF(J237="public events",7,"99"))))))))))))))))))))))))))))))))))))))))))))))</f>
        <v>7</v>
      </c>
      <c r="M237" s="69">
        <v>1</v>
      </c>
      <c r="N237" s="69">
        <v>4</v>
      </c>
      <c r="O237" s="69">
        <v>1</v>
      </c>
      <c r="P237" s="69" t="s">
        <v>112</v>
      </c>
      <c r="Q237" s="69" t="s">
        <v>174</v>
      </c>
      <c r="R237" s="69">
        <f>IF(Q237="Free Recall",1,IF(Q237="Cued Recall",2,IF(Q237="Recognition",3,IF(Q237="Multiple Choice",4,IF(Q237="Savings",5,IF(Q237="Stem Completion",6,IF(Q237="Fragment Completion",7,IF(Q237="anagram solution",8,IF(Q237="Matching",9,IF(Q237="Problem Solving",10,"99"))))))))))</f>
        <v>1</v>
      </c>
      <c r="S237" s="69" t="s">
        <v>49</v>
      </c>
      <c r="T237" s="69" t="s">
        <v>261</v>
      </c>
      <c r="U237" s="60">
        <f>IF(T237="within",1,0)</f>
        <v>0</v>
      </c>
      <c r="V237" s="69">
        <v>30</v>
      </c>
      <c r="W237" s="69">
        <f>F237*V237</f>
        <v>3600</v>
      </c>
      <c r="X237" s="69">
        <v>3</v>
      </c>
      <c r="Y237" s="87">
        <f>AV236</f>
        <v>300</v>
      </c>
      <c r="Z237" s="69" t="s">
        <v>97</v>
      </c>
      <c r="AA237" s="69">
        <v>604800</v>
      </c>
      <c r="AB237" s="69" t="str">
        <f>IF(AA237&lt;60,"1",IF(AA237&lt;=43200,"2",IF(AA237&lt;=777600,"3","4")))</f>
        <v>3</v>
      </c>
      <c r="AC237" s="72">
        <f>AVERAGE(AV236:DA236)</f>
        <v>259300</v>
      </c>
      <c r="AD237" s="69" t="str">
        <f>IF(AC237&lt;60,"1",IF(AC237&lt;=43200,"2",IF(AC237&lt;=777600,"3","4")))</f>
        <v>3</v>
      </c>
      <c r="AE237" s="87">
        <f>AA237-Y237</f>
        <v>604500</v>
      </c>
      <c r="AF237" s="88">
        <f>AV237</f>
        <v>0.75</v>
      </c>
      <c r="AG237" s="72">
        <f>((AW237-AV237)+(AX237-AW237))/2</f>
        <v>-9.3500000000000028E-2</v>
      </c>
      <c r="AH237" s="4"/>
      <c r="AI237" s="72">
        <f>RSQ(AV237:AX237,AV236:AX236)</f>
        <v>0.98903656043586685</v>
      </c>
      <c r="AJ237" s="110">
        <f>SLOPE(AV237:AX237,AV236:AX236)</f>
        <v>-3.0147963090440805E-7</v>
      </c>
      <c r="AK237" s="72">
        <f>INTERCEPT(AV237:AX237,AV236:AX236)</f>
        <v>0.74217366829351306</v>
      </c>
      <c r="AL237" s="72">
        <f>INDEX(LINEST(LN(AV237:AX237),LN(AV236:AX236),TRUE,TRUE),3,1)</f>
        <v>0.73162104717927712</v>
      </c>
      <c r="AM237" s="72">
        <f>INDEX(LINEST(LN(AV237:AX237),LN(AV236:AX236)),1)</f>
        <v>-3.0531369288992204E-2</v>
      </c>
      <c r="AN237" s="72">
        <f>EXP(INDEX(LINEST(LN(AV237:AX237),LN(AV236:AX236)),1,2))</f>
        <v>0.90468991194207748</v>
      </c>
      <c r="AO237" s="89">
        <f>INDEX(LINEST((AV237:AX237),LN(AV236:AX236),TRUE,TRUE),3,1)</f>
        <v>0.76380632840826712</v>
      </c>
      <c r="AP237" s="89">
        <f>INDEX(LINEST((AV237:AX237),LN(AV236:AX236)),1)</f>
        <v>-2.0222044199964467E-2</v>
      </c>
      <c r="AQ237" s="90">
        <f>INDEX(LINEST(LN(AV237:AX237),SQRT(AV236:AX236),TRUE,TRUE),3,1)</f>
        <v>0.95945960197314695</v>
      </c>
      <c r="AR237" s="117">
        <f>INDEX(LINEST(LN(AV237:AX237),SQRT((AV236:AX236))),1)</f>
        <v>-3.7504785797581002E-4</v>
      </c>
      <c r="AS237" s="91">
        <f>INDEX(LINEST(1/(AV237:AX237),1/(SQRT(AV236:AX236)),TRUE,TRUE),3,1)</f>
        <v>0.56827414926395015</v>
      </c>
      <c r="AT237" s="91">
        <f>INDEX(LINEST(1/(AV237:AX237),1/SQRT(AV236:AX236)),1)</f>
        <v>-5.2892768688816725</v>
      </c>
      <c r="AU237" s="3"/>
      <c r="AV237" s="73">
        <v>0.75</v>
      </c>
      <c r="AW237" s="73">
        <v>0.67900000000000005</v>
      </c>
      <c r="AX237" s="73">
        <v>0.56299999999999994</v>
      </c>
      <c r="AY237" s="53"/>
      <c r="AZ237" s="53"/>
      <c r="BA237" s="53"/>
      <c r="BB237" s="53"/>
      <c r="BC237" s="53"/>
      <c r="BD237" s="53"/>
      <c r="BE237" s="53"/>
      <c r="BF237" s="53"/>
      <c r="BG237" s="53"/>
      <c r="BH237" s="53"/>
      <c r="BI237" s="53"/>
      <c r="BJ237" s="53"/>
      <c r="BK237" s="53"/>
      <c r="BL237" s="53"/>
      <c r="BM237" s="53"/>
      <c r="BN237" s="53"/>
      <c r="BO237" s="53"/>
      <c r="BP237" s="53"/>
      <c r="BQ237" s="53"/>
      <c r="BR237" s="53"/>
      <c r="BS237" s="53"/>
      <c r="BT237" s="53"/>
      <c r="BU237" s="53"/>
      <c r="BV237" s="53"/>
      <c r="BW237" s="53"/>
      <c r="BX237" s="53"/>
      <c r="BY237" s="53"/>
      <c r="BZ237" s="53"/>
      <c r="CA237" s="53"/>
      <c r="CB237" s="53"/>
      <c r="CC237" s="53"/>
      <c r="CD237" s="53"/>
      <c r="CE237" s="53"/>
      <c r="CF237" s="53"/>
      <c r="CG237" s="53"/>
      <c r="CH237" s="53"/>
      <c r="CI237" s="53"/>
      <c r="CJ237" s="53"/>
      <c r="CK237" s="53"/>
      <c r="CL237" s="53"/>
      <c r="CM237" s="53"/>
      <c r="CN237" s="53"/>
      <c r="CO237" s="53"/>
      <c r="CP237" s="53"/>
      <c r="CQ237" s="53"/>
      <c r="CR237" s="1"/>
      <c r="CS237" s="1"/>
      <c r="CT237" s="1"/>
      <c r="CU237" s="1"/>
    </row>
    <row r="238" spans="1:99" s="13" customFormat="1" ht="12" customHeight="1" x14ac:dyDescent="0.2">
      <c r="A238" s="65">
        <v>43509</v>
      </c>
      <c r="B238" s="1"/>
      <c r="C238" s="1"/>
      <c r="D238" s="60"/>
      <c r="E238" s="76"/>
      <c r="F238" s="60"/>
      <c r="G238" s="60"/>
      <c r="H238" s="60"/>
      <c r="I238" s="60"/>
      <c r="J238" s="60"/>
      <c r="K238" s="64"/>
      <c r="L238" s="64"/>
      <c r="M238" s="60"/>
      <c r="N238" s="60"/>
      <c r="O238" s="60"/>
      <c r="P238" s="60"/>
      <c r="Q238" s="60"/>
      <c r="R238" s="60"/>
      <c r="S238" s="60"/>
      <c r="T238" s="60"/>
      <c r="U238" s="60"/>
      <c r="V238" s="60"/>
      <c r="W238" s="60"/>
      <c r="X238" s="60"/>
      <c r="Y238" s="76"/>
      <c r="Z238" s="60"/>
      <c r="AA238" s="60"/>
      <c r="AB238" s="60"/>
      <c r="AC238" s="60"/>
      <c r="AD238" s="60"/>
      <c r="AE238" s="60"/>
      <c r="AF238" s="80"/>
      <c r="AG238" s="56"/>
      <c r="AH238" s="4"/>
      <c r="AI238" s="56"/>
      <c r="AJ238" s="109"/>
      <c r="AK238" s="56"/>
      <c r="AL238" s="56"/>
      <c r="AM238" s="56"/>
      <c r="AN238" s="56"/>
      <c r="AO238" s="56"/>
      <c r="AP238" s="56"/>
      <c r="AQ238" s="82"/>
      <c r="AR238" s="115"/>
      <c r="AS238" s="82"/>
      <c r="AT238" s="82"/>
      <c r="AU238" s="4"/>
      <c r="AV238" s="25">
        <f>238+(6*60)</f>
        <v>598</v>
      </c>
      <c r="AW238" s="25">
        <f>2*3600</f>
        <v>7200</v>
      </c>
      <c r="AX238" s="25">
        <f>24*3600*2</f>
        <v>172800</v>
      </c>
      <c r="AY238" s="53"/>
      <c r="AZ238" s="53" t="s">
        <v>520</v>
      </c>
      <c r="BA238" s="53"/>
      <c r="BB238" s="53"/>
      <c r="BC238" s="53"/>
      <c r="BD238" s="53"/>
      <c r="BE238" s="53"/>
      <c r="BF238" s="53"/>
      <c r="BG238" s="53"/>
      <c r="BH238" s="53"/>
      <c r="BI238" s="53"/>
      <c r="BJ238" s="53"/>
      <c r="BK238" s="53"/>
      <c r="BL238" s="53"/>
      <c r="BM238" s="53"/>
      <c r="BN238" s="53"/>
      <c r="BO238" s="53"/>
      <c r="BP238" s="53"/>
      <c r="BQ238" s="53"/>
      <c r="BR238" s="53"/>
      <c r="BS238" s="53"/>
      <c r="BT238" s="53"/>
      <c r="BU238" s="53"/>
      <c r="BV238" s="53"/>
      <c r="BW238" s="53"/>
      <c r="BX238" s="53"/>
      <c r="BY238" s="53"/>
      <c r="BZ238" s="53"/>
      <c r="CA238" s="53"/>
      <c r="CB238" s="53"/>
      <c r="CC238" s="53"/>
      <c r="CD238" s="53"/>
      <c r="CE238" s="53"/>
      <c r="CF238" s="53"/>
      <c r="CG238" s="53"/>
      <c r="CH238" s="53"/>
      <c r="CI238" s="53"/>
      <c r="CJ238" s="53"/>
      <c r="CK238" s="53"/>
      <c r="CL238" s="53"/>
      <c r="CM238" s="53"/>
      <c r="CN238" s="53"/>
      <c r="CO238" s="53"/>
      <c r="CP238" s="53"/>
      <c r="CQ238" s="53"/>
      <c r="CR238" s="1"/>
      <c r="CS238" s="1"/>
      <c r="CT238" s="1"/>
      <c r="CU238" s="1"/>
    </row>
    <row r="239" spans="1:99" s="13" customFormat="1" ht="12" customHeight="1" x14ac:dyDescent="0.2">
      <c r="A239" s="65">
        <v>43509</v>
      </c>
      <c r="B239" s="1" t="s">
        <v>124</v>
      </c>
      <c r="C239" s="1" t="s">
        <v>45</v>
      </c>
      <c r="D239" s="60">
        <v>1992</v>
      </c>
      <c r="E239" s="76">
        <v>2</v>
      </c>
      <c r="F239" s="60">
        <v>120</v>
      </c>
      <c r="G239" s="60">
        <v>60</v>
      </c>
      <c r="H239" s="60" t="s">
        <v>30</v>
      </c>
      <c r="I239" s="60" t="s">
        <v>786</v>
      </c>
      <c r="J239" s="60" t="s">
        <v>16</v>
      </c>
      <c r="K239" s="60">
        <f>IF(J239="syllables",1,IF(J239="trigrams",2,IF(J239="strings",3,IF(J239="visual array",4,IF(J239="characters",5,IF(J239="letters",6,IF(J239="free forms",7,IF(J239="odors",8,IF(J239="words",9,IF(J239="pictures",10,IF(J239="object pictures",11,IF(J239="faces",12,IF(J239="names",13,IF(J239="idioms",14,IF(J239="grades",15,IF(J239="syllable-digit pairs",16,IF(J239="trigram-word pairs",17,IF(J239="word-digit pairs",18,IF(J239="English-Swahili pairs",19,IF(J239="spatial position",20,IF(J239="word pairs",21,IF(J239="word triads",22,IF(J239="generated words",23,IF(J239="word definition pairs",24,IF(J239="math problems",25,IF(J239="famous faces",26,IF(J239="famous names",27,IF(J239="famous voices",28,IF(J239="television programs",29,IF(J239="race horses",30,IF(J239="new vocabulary",31,IF(J239="sentences",32,IF(J239="concepts",33,IF(J239="ad slides",34,IF(J239="scenes",35,IF(J239="famous scenes",36,IF(J239="poems",37,IF(J239="walk",38,IF(J239="faces and events",39,IF(J239="events and names",40,IF(J239="flashbulb",41,IF(J239="stories",42,IF(J239="course material",43,IF(J239="autobiographical",44,IF(J239="novels",45,IF(J239="public events",46,"99"))))))))))))))))))))))))))))))))))))))))))))))</f>
        <v>9</v>
      </c>
      <c r="L239" s="60">
        <f>IF(J239="syllables",1,IF(J239="trigrams",1,IF(J239="strings",1,IF(J239="visual array",1,IF(J239="characters",1,IF(J239="letters",1,IF(J239="free forms",1,IF(J239="odors",2,IF(J239="words",2,IF(J239="pictures",2,IF(J239="object pictures",2,IF(J239="faces",2,IF(J239="names",2,IF(J239="idioms","2",IF(J239="grades",2,IF(J239="syllable-digit pairs",3,IF(J239="trigram-word pairs",3,IF(J239="word-digit pairs",3,IF(J239="English-Swahili pairs",3,IF(J239="spatial position",3,IF(J239="word pairs",4,IF(J239="word triads",4,IF(J239="generated words",4,IF(J239="word definition pairs",4,IF(J239="math problems",4,IF(J239="famous faces",4,IF(J239="famous names",4,IF(J239="famous voices",4,IF(J239="television programs",4,IF(J239="race horses",4,IF(J239="new vocabulary",4,IF(J239="sentences",5,IF(J239="concepts",5,IF(J239="ad slides",5,IF(J239="scenes",5,IF(J239="famous scenes",5,IF(J239="poems",6,IF(J239="walk",6,IF(J239="faces and events",6,IF(J239="events and names",6,IF(J239="flashbulb",7,IF(J239="stories",7,IF(J239="course material",7,IF(J239="autobiographical",7,IF(J239="novels",7,IF(J239="public events",7,"99"))))))))))))))))))))))))))))))))))))))))))))))</f>
        <v>2</v>
      </c>
      <c r="M239" s="60">
        <v>1</v>
      </c>
      <c r="N239" s="60">
        <v>2</v>
      </c>
      <c r="O239" s="60">
        <v>1</v>
      </c>
      <c r="P239" s="60" t="s">
        <v>899</v>
      </c>
      <c r="Q239" s="60" t="s">
        <v>125</v>
      </c>
      <c r="R239" s="60">
        <f>IF(Q239="Free Recall",1,IF(Q239="Cued Recall",2,IF(Q239="Recognition",3,IF(Q239="Multiple Choice",4,IF(Q239="Savings",5,IF(Q239="Stem Completion",6,IF(Q239="Fragment Completion",7,IF(Q239="anagram solution",8,IF(Q239="Matching",9,IF(Q239="Problem Solving",10,"99"))))))))))</f>
        <v>7</v>
      </c>
      <c r="S239" s="60" t="s">
        <v>49</v>
      </c>
      <c r="T239" s="60" t="s">
        <v>261</v>
      </c>
      <c r="U239" s="60">
        <f>IF(T239="within",1,0)</f>
        <v>0</v>
      </c>
      <c r="V239" s="60">
        <v>40</v>
      </c>
      <c r="W239" s="60">
        <f>F239*V239</f>
        <v>4800</v>
      </c>
      <c r="X239" s="60">
        <v>3</v>
      </c>
      <c r="Y239" s="76">
        <f>AV238</f>
        <v>598</v>
      </c>
      <c r="Z239" s="60" t="s">
        <v>88</v>
      </c>
      <c r="AA239" s="60">
        <v>172800</v>
      </c>
      <c r="AB239" s="60" t="str">
        <f>IF(AA239&lt;60,"1",IF(AA239&lt;=43200,"2",IF(AA239&lt;=777600,"3","4")))</f>
        <v>3</v>
      </c>
      <c r="AC239" s="56">
        <f>AVERAGE(AV238:DA238)</f>
        <v>60199.333333333336</v>
      </c>
      <c r="AD239" s="60" t="str">
        <f>IF(AC239&lt;60,"1",IF(AC239&lt;=43200,"2",IF(AC239&lt;=777600,"3","4")))</f>
        <v>3</v>
      </c>
      <c r="AE239" s="76">
        <f>AA239-Y239</f>
        <v>172202</v>
      </c>
      <c r="AF239" s="80">
        <f>AV239</f>
        <v>0.52</v>
      </c>
      <c r="AG239" s="56">
        <f>((AW239-AV239)+(AX239-AW239))/2</f>
        <v>-1.0000000000000009E-2</v>
      </c>
      <c r="AH239" s="4"/>
      <c r="AI239" s="56">
        <f>RSQ(AV239:AX239,AV238:AX238)</f>
        <v>0.27985473072116823</v>
      </c>
      <c r="AJ239" s="109">
        <f>SLOPE(AV239:AX239,AV238:AX238)</f>
        <v>-6.2605921729081773E-8</v>
      </c>
      <c r="AK239" s="56">
        <f>INTERCEPT(AV239:AX239,AV238:AX238)</f>
        <v>0.51043550141747629</v>
      </c>
      <c r="AL239" s="56">
        <f>INDEX(LINEST(LN(AV239:AX239),LN(AV238:AX238),TRUE,TRUE),3,1)</f>
        <v>0.68697192945200547</v>
      </c>
      <c r="AM239" s="56">
        <f>INDEX(LINEST(LN(AV239:AX239),LN(AV238:AX238)),1)</f>
        <v>-6.608223809561338E-3</v>
      </c>
      <c r="AN239" s="56">
        <f>EXP(INDEX(LINEST(LN(AV239:AX239),LN(AV238:AX238)),1,2))</f>
        <v>0.53801922879715258</v>
      </c>
      <c r="AO239" s="82">
        <f>INDEX(LINEST((AV239:AX239),LN(AV238:AX238),TRUE,TRUE),3,1)</f>
        <v>0.68697192945200569</v>
      </c>
      <c r="AP239" s="82">
        <f>INDEX(LINEST((AV239:AX239),LN(AV238:AX238)),1)</f>
        <v>-3.3697621885330131E-3</v>
      </c>
      <c r="AQ239" s="83">
        <f>INDEX(LINEST(LN(AV239:AX239),SQRT(AV238:AX238),TRUE,TRUE),3,1)</f>
        <v>0.38316849338523434</v>
      </c>
      <c r="AR239" s="116">
        <f>INDEX(LINEST(LN(AV239:AX239),SQRT((AV238:AX238))),1)</f>
        <v>-6.6549657714019386E-5</v>
      </c>
      <c r="AS239" s="84">
        <f>INDEX(LINEST(1/(AV239:AX239),1/(SQRT(AV238:AX238)),TRUE,TRUE),3,1)</f>
        <v>0.94539181951336415</v>
      </c>
      <c r="AT239" s="84">
        <f>INDEX(LINEST(1/(AV239:AX239),1/SQRT(AV238:AX238)),1)</f>
        <v>-2.1516999416724572</v>
      </c>
      <c r="AU239" s="3"/>
      <c r="AV239" s="53">
        <v>0.52</v>
      </c>
      <c r="AW239" s="53">
        <v>0.5</v>
      </c>
      <c r="AX239" s="53">
        <v>0.5</v>
      </c>
      <c r="AY239" s="53"/>
      <c r="AZ239" s="53"/>
      <c r="BA239" s="53"/>
      <c r="BB239" s="53"/>
      <c r="BC239" s="53"/>
      <c r="BD239" s="53"/>
      <c r="BE239" s="53"/>
      <c r="BF239" s="53"/>
      <c r="BG239" s="53"/>
      <c r="BH239" s="53"/>
      <c r="BI239" s="53"/>
      <c r="BJ239" s="53"/>
      <c r="BK239" s="53"/>
      <c r="BL239" s="53"/>
      <c r="BM239" s="53"/>
      <c r="BN239" s="53"/>
      <c r="BO239" s="53"/>
      <c r="BP239" s="53"/>
      <c r="BQ239" s="53"/>
      <c r="BR239" s="53"/>
      <c r="BS239" s="53"/>
      <c r="BT239" s="53"/>
      <c r="BU239" s="53"/>
      <c r="BV239" s="53"/>
      <c r="BW239" s="53"/>
      <c r="BX239" s="53"/>
      <c r="BY239" s="53"/>
      <c r="BZ239" s="53"/>
      <c r="CA239" s="53"/>
      <c r="CB239" s="53"/>
      <c r="CC239" s="53"/>
      <c r="CD239" s="53"/>
      <c r="CE239" s="53"/>
      <c r="CF239" s="53"/>
      <c r="CG239" s="53"/>
      <c r="CH239" s="53"/>
      <c r="CI239" s="53"/>
      <c r="CJ239" s="53"/>
      <c r="CK239" s="53"/>
      <c r="CL239" s="53"/>
      <c r="CM239" s="53"/>
      <c r="CN239" s="53"/>
      <c r="CO239" s="53"/>
      <c r="CP239" s="53"/>
      <c r="CQ239" s="53"/>
      <c r="CR239" s="1"/>
      <c r="CS239" s="1"/>
      <c r="CT239" s="1"/>
      <c r="CU239" s="1"/>
    </row>
    <row r="240" spans="1:99" s="13" customFormat="1" ht="12" customHeight="1" x14ac:dyDescent="0.2">
      <c r="A240" s="65">
        <v>43509</v>
      </c>
      <c r="B240" s="1"/>
      <c r="C240" s="1"/>
      <c r="D240" s="60"/>
      <c r="E240" s="76"/>
      <c r="F240" s="60"/>
      <c r="G240" s="60"/>
      <c r="H240" s="60"/>
      <c r="I240" s="60"/>
      <c r="J240" s="60"/>
      <c r="K240" s="64"/>
      <c r="L240" s="64"/>
      <c r="M240" s="60"/>
      <c r="N240" s="60"/>
      <c r="O240" s="60"/>
      <c r="P240" s="60"/>
      <c r="Q240" s="60"/>
      <c r="R240" s="60"/>
      <c r="S240" s="60"/>
      <c r="T240" s="60"/>
      <c r="U240" s="60"/>
      <c r="V240" s="60"/>
      <c r="W240" s="60"/>
      <c r="X240" s="60"/>
      <c r="Y240" s="76"/>
      <c r="Z240" s="60"/>
      <c r="AA240" s="60"/>
      <c r="AB240" s="60"/>
      <c r="AC240" s="60"/>
      <c r="AD240" s="60"/>
      <c r="AE240" s="60"/>
      <c r="AF240" s="80"/>
      <c r="AG240" s="56"/>
      <c r="AH240" s="4"/>
      <c r="AI240" s="56"/>
      <c r="AJ240" s="109"/>
      <c r="AK240" s="56"/>
      <c r="AL240" s="56"/>
      <c r="AM240" s="56"/>
      <c r="AN240" s="56"/>
      <c r="AO240" s="56"/>
      <c r="AP240" s="56"/>
      <c r="AQ240" s="82"/>
      <c r="AR240" s="115"/>
      <c r="AS240" s="82"/>
      <c r="AT240" s="82"/>
      <c r="AU240" s="4"/>
      <c r="AV240" s="25">
        <f>238+(6*60)</f>
        <v>598</v>
      </c>
      <c r="AW240" s="25">
        <f>2*3600</f>
        <v>7200</v>
      </c>
      <c r="AX240" s="25">
        <f>24*3600*2</f>
        <v>172800</v>
      </c>
      <c r="AY240" s="53"/>
      <c r="AZ240" s="53"/>
      <c r="BA240" s="53"/>
      <c r="BB240" s="53"/>
      <c r="BC240" s="53"/>
      <c r="BD240" s="53"/>
      <c r="BE240" s="53"/>
      <c r="BF240" s="53"/>
      <c r="BG240" s="53"/>
      <c r="BH240" s="53"/>
      <c r="BI240" s="53"/>
      <c r="BJ240" s="53"/>
      <c r="BK240" s="53"/>
      <c r="BL240" s="53"/>
      <c r="BM240" s="53"/>
      <c r="BN240" s="53"/>
      <c r="BO240" s="53"/>
      <c r="BP240" s="53"/>
      <c r="BQ240" s="53"/>
      <c r="BR240" s="53"/>
      <c r="BS240" s="53"/>
      <c r="BT240" s="53"/>
      <c r="BU240" s="53"/>
      <c r="BV240" s="53"/>
      <c r="BW240" s="53"/>
      <c r="BX240" s="53"/>
      <c r="BY240" s="53"/>
      <c r="BZ240" s="53"/>
      <c r="CA240" s="53"/>
      <c r="CB240" s="53"/>
      <c r="CC240" s="53"/>
      <c r="CD240" s="53"/>
      <c r="CE240" s="53"/>
      <c r="CF240" s="53"/>
      <c r="CG240" s="53"/>
      <c r="CH240" s="53"/>
      <c r="CI240" s="53"/>
      <c r="CJ240" s="53"/>
      <c r="CK240" s="53"/>
      <c r="CL240" s="53"/>
      <c r="CM240" s="53"/>
      <c r="CN240" s="53"/>
      <c r="CO240" s="53"/>
      <c r="CP240" s="53"/>
      <c r="CQ240" s="53"/>
      <c r="CR240" s="1"/>
      <c r="CS240" s="1"/>
      <c r="CT240" s="1"/>
      <c r="CU240" s="1"/>
    </row>
    <row r="241" spans="1:99" s="13" customFormat="1" ht="12" customHeight="1" x14ac:dyDescent="0.2">
      <c r="A241" s="65">
        <v>43509</v>
      </c>
      <c r="B241" s="1" t="s">
        <v>124</v>
      </c>
      <c r="C241" s="1" t="s">
        <v>45</v>
      </c>
      <c r="D241" s="60">
        <v>1992</v>
      </c>
      <c r="E241" s="76">
        <v>2</v>
      </c>
      <c r="F241" s="60">
        <v>120</v>
      </c>
      <c r="G241" s="60">
        <v>60</v>
      </c>
      <c r="H241" s="60" t="s">
        <v>30</v>
      </c>
      <c r="I241" s="60" t="s">
        <v>64</v>
      </c>
      <c r="J241" s="60" t="s">
        <v>16</v>
      </c>
      <c r="K241" s="60">
        <f>IF(J241="syllables",1,IF(J241="trigrams",2,IF(J241="strings",3,IF(J241="visual array",4,IF(J241="characters",5,IF(J241="letters",6,IF(J241="free forms",7,IF(J241="odors",8,IF(J241="words",9,IF(J241="pictures",10,IF(J241="object pictures",11,IF(J241="faces",12,IF(J241="names",13,IF(J241="idioms",14,IF(J241="grades",15,IF(J241="syllable-digit pairs",16,IF(J241="trigram-word pairs",17,IF(J241="word-digit pairs",18,IF(J241="English-Swahili pairs",19,IF(J241="spatial position",20,IF(J241="word pairs",21,IF(J241="word triads",22,IF(J241="generated words",23,IF(J241="word definition pairs",24,IF(J241="math problems",25,IF(J241="famous faces",26,IF(J241="famous names",27,IF(J241="famous voices",28,IF(J241="television programs",29,IF(J241="race horses",30,IF(J241="new vocabulary",31,IF(J241="sentences",32,IF(J241="concepts",33,IF(J241="ad slides",34,IF(J241="scenes",35,IF(J241="famous scenes",36,IF(J241="poems",37,IF(J241="walk",38,IF(J241="faces and events",39,IF(J241="events and names",40,IF(J241="flashbulb",41,IF(J241="stories",42,IF(J241="course material",43,IF(J241="autobiographical",44,IF(J241="novels",45,IF(J241="public events",46,"99"))))))))))))))))))))))))))))))))))))))))))))))</f>
        <v>9</v>
      </c>
      <c r="L241" s="60">
        <f>IF(J241="syllables",1,IF(J241="trigrams",1,IF(J241="strings",1,IF(J241="visual array",1,IF(J241="characters",1,IF(J241="letters",1,IF(J241="free forms",1,IF(J241="odors",2,IF(J241="words",2,IF(J241="pictures",2,IF(J241="object pictures",2,IF(J241="faces",2,IF(J241="names",2,IF(J241="idioms","2",IF(J241="grades",2,IF(J241="syllable-digit pairs",3,IF(J241="trigram-word pairs",3,IF(J241="word-digit pairs",3,IF(J241="English-Swahili pairs",3,IF(J241="spatial position",3,IF(J241="word pairs",4,IF(J241="word triads",4,IF(J241="generated words",4,IF(J241="word definition pairs",4,IF(J241="math problems",4,IF(J241="famous faces",4,IF(J241="famous names",4,IF(J241="famous voices",4,IF(J241="television programs",4,IF(J241="race horses",4,IF(J241="new vocabulary",4,IF(J241="sentences",5,IF(J241="concepts",5,IF(J241="ad slides",5,IF(J241="scenes",5,IF(J241="famous scenes",5,IF(J241="poems",6,IF(J241="walk",6,IF(J241="faces and events",6,IF(J241="events and names",6,IF(J241="flashbulb",7,IF(J241="stories",7,IF(J241="course material",7,IF(J241="autobiographical",7,IF(J241="novels",7,IF(J241="public events",7,"99"))))))))))))))))))))))))))))))))))))))))))))))</f>
        <v>2</v>
      </c>
      <c r="M241" s="60">
        <v>1</v>
      </c>
      <c r="N241" s="60">
        <v>2</v>
      </c>
      <c r="O241" s="60">
        <v>1</v>
      </c>
      <c r="P241" s="60" t="s">
        <v>899</v>
      </c>
      <c r="Q241" s="60" t="s">
        <v>126</v>
      </c>
      <c r="R241" s="60">
        <f>IF(Q241="Free Recall",1,IF(Q241="Cued Recall",2,IF(Q241="Recognition",3,IF(Q241="Multiple Choice",4,IF(Q241="Savings",5,IF(Q241="Stem Completion",6,IF(Q241="Fragment Completion",7,IF(Q241="anagram solution",8,IF(Q241="Matching",9,IF(Q241="Problem Solving",10,"99"))))))))))</f>
        <v>6</v>
      </c>
      <c r="S241" s="60" t="s">
        <v>49</v>
      </c>
      <c r="T241" s="60" t="s">
        <v>261</v>
      </c>
      <c r="U241" s="60">
        <f>IF(T241="within",1,0)</f>
        <v>0</v>
      </c>
      <c r="V241" s="60">
        <v>40</v>
      </c>
      <c r="W241" s="60">
        <f>F241*V241</f>
        <v>4800</v>
      </c>
      <c r="X241" s="60">
        <v>3</v>
      </c>
      <c r="Y241" s="76">
        <f>AV240</f>
        <v>598</v>
      </c>
      <c r="Z241" s="60" t="s">
        <v>88</v>
      </c>
      <c r="AA241" s="60">
        <v>172800</v>
      </c>
      <c r="AB241" s="60" t="str">
        <f>IF(AA241&lt;60,"1",IF(AA241&lt;=43200,"2",IF(AA241&lt;=777600,"3","4")))</f>
        <v>3</v>
      </c>
      <c r="AC241" s="56">
        <f>AVERAGE(AV240:DA240)</f>
        <v>60199.333333333336</v>
      </c>
      <c r="AD241" s="60" t="str">
        <f>IF(AC241&lt;60,"1",IF(AC241&lt;=43200,"2",IF(AC241&lt;=777600,"3","4")))</f>
        <v>3</v>
      </c>
      <c r="AE241" s="76">
        <f>AA241-Y241</f>
        <v>172202</v>
      </c>
      <c r="AF241" s="80">
        <f>AV241</f>
        <v>0.31</v>
      </c>
      <c r="AG241" s="56">
        <f>((AW241-AV241)+(AX241-AW241))/2</f>
        <v>-2.4999999999999994E-2</v>
      </c>
      <c r="AH241" s="4"/>
      <c r="AI241" s="56">
        <f>RSQ(AV241:AX241,AV240:AX240)</f>
        <v>0.97577249439708713</v>
      </c>
      <c r="AJ241" s="109">
        <f>SLOPE(AV241:AX241,AV240:AX240)</f>
        <v>-2.6785701526966886E-7</v>
      </c>
      <c r="AK241" s="56">
        <f>INTERCEPT(AV241:AX241,AV240:AX240)</f>
        <v>0.30612481374789052</v>
      </c>
      <c r="AL241" s="56">
        <f>INDEX(LINEST(LN(AV241:AX241),LN(AV240:AX240),TRUE,TRUE),3,1)</f>
        <v>0.92509070786650838</v>
      </c>
      <c r="AM241" s="56">
        <f>INDEX(LINEST(LN(AV241:AX241),LN(AV240:AX240)),1)</f>
        <v>-3.1675062942645014E-2</v>
      </c>
      <c r="AN241" s="56">
        <f>EXP(INDEX(LINEST(LN(AV241:AX241),LN(AV240:AX240)),1,2))</f>
        <v>0.38591922990274169</v>
      </c>
      <c r="AO241" s="82">
        <f>INDEX(LINEST((AV241:AX241),LN(AV240:AX240),TRUE,TRUE),3,1)</f>
        <v>0.93225910853381377</v>
      </c>
      <c r="AP241" s="82">
        <f>INDEX(LINEST((AV241:AX241),LN(AV240:AX240)),1)</f>
        <v>-8.994514502837626E-3</v>
      </c>
      <c r="AQ241" s="83">
        <f>INDEX(LINEST(LN(AV241:AX241),SQRT(AV240:AX240),TRUE,TRUE),3,1)</f>
        <v>0.99895595913856206</v>
      </c>
      <c r="AR241" s="116">
        <f>INDEX(LINEST(LN(AV241:AX241),SQRT((AV240:AX240))),1)</f>
        <v>-4.438479118628137E-4</v>
      </c>
      <c r="AS241" s="84">
        <f>INDEX(LINEST(1/(AV241:AX241),1/(SQRT(AV240:AX240)),TRUE,TRUE),3,1)</f>
        <v>0.63525776772279408</v>
      </c>
      <c r="AT241" s="84">
        <f>INDEX(LINEST(1/(AV241:AX241),1/SQRT(AV240:AX240)),1)</f>
        <v>-13.165770935519268</v>
      </c>
      <c r="AU241" s="3"/>
      <c r="AV241" s="53">
        <v>0.31</v>
      </c>
      <c r="AW241" s="53">
        <v>0.3</v>
      </c>
      <c r="AX241" s="53">
        <v>0.26</v>
      </c>
      <c r="AY241" s="53"/>
      <c r="AZ241" s="53"/>
      <c r="BA241" s="53"/>
      <c r="BB241" s="53"/>
      <c r="BC241" s="53"/>
      <c r="BD241" s="53"/>
      <c r="BE241" s="53"/>
      <c r="BF241" s="53"/>
      <c r="BG241" s="53"/>
      <c r="BH241" s="53"/>
      <c r="BI241" s="53"/>
      <c r="BJ241" s="53"/>
      <c r="BK241" s="53"/>
      <c r="BL241" s="53"/>
      <c r="BM241" s="53"/>
      <c r="BN241" s="53"/>
      <c r="BO241" s="53"/>
      <c r="BP241" s="53"/>
      <c r="BQ241" s="53"/>
      <c r="BR241" s="53"/>
      <c r="BS241" s="53"/>
      <c r="BT241" s="53"/>
      <c r="BU241" s="53"/>
      <c r="BV241" s="53"/>
      <c r="BW241" s="53"/>
      <c r="BX241" s="53"/>
      <c r="BY241" s="53"/>
      <c r="BZ241" s="53"/>
      <c r="CA241" s="53"/>
      <c r="CB241" s="53"/>
      <c r="CC241" s="53"/>
      <c r="CD241" s="53"/>
      <c r="CE241" s="53"/>
      <c r="CF241" s="53"/>
      <c r="CG241" s="53"/>
      <c r="CH241" s="53"/>
      <c r="CI241" s="53"/>
      <c r="CJ241" s="53"/>
      <c r="CK241" s="53"/>
      <c r="CL241" s="53"/>
      <c r="CM241" s="53"/>
      <c r="CN241" s="53"/>
      <c r="CO241" s="53"/>
      <c r="CP241" s="53"/>
      <c r="CQ241" s="53"/>
      <c r="CR241" s="1"/>
      <c r="CS241" s="1"/>
      <c r="CT241" s="1"/>
      <c r="CU241" s="1"/>
    </row>
    <row r="242" spans="1:99" s="13" customFormat="1" ht="12" customHeight="1" x14ac:dyDescent="0.2">
      <c r="A242" s="65">
        <v>43509</v>
      </c>
      <c r="B242" s="1"/>
      <c r="C242" s="1"/>
      <c r="D242" s="60"/>
      <c r="E242" s="76"/>
      <c r="F242" s="60"/>
      <c r="G242" s="60"/>
      <c r="H242" s="60"/>
      <c r="I242" s="60"/>
      <c r="J242" s="60"/>
      <c r="K242" s="64"/>
      <c r="L242" s="64"/>
      <c r="M242" s="60"/>
      <c r="N242" s="60"/>
      <c r="O242" s="60"/>
      <c r="P242" s="60"/>
      <c r="Q242" s="60"/>
      <c r="R242" s="60"/>
      <c r="S242" s="60"/>
      <c r="T242" s="60"/>
      <c r="U242" s="60"/>
      <c r="V242" s="60"/>
      <c r="W242" s="60"/>
      <c r="X242" s="60"/>
      <c r="Y242" s="76"/>
      <c r="Z242" s="60"/>
      <c r="AA242" s="60"/>
      <c r="AB242" s="60"/>
      <c r="AC242" s="60"/>
      <c r="AD242" s="60"/>
      <c r="AE242" s="60"/>
      <c r="AF242" s="80"/>
      <c r="AG242" s="56"/>
      <c r="AH242" s="4"/>
      <c r="AI242" s="56"/>
      <c r="AJ242" s="109"/>
      <c r="AK242" s="56"/>
      <c r="AL242" s="56"/>
      <c r="AM242" s="56"/>
      <c r="AN242" s="56"/>
      <c r="AO242" s="56"/>
      <c r="AP242" s="56"/>
      <c r="AQ242" s="82"/>
      <c r="AR242" s="115"/>
      <c r="AS242" s="82"/>
      <c r="AT242" s="82"/>
      <c r="AU242" s="4"/>
      <c r="AV242" s="25">
        <f>238+(6*60)</f>
        <v>598</v>
      </c>
      <c r="AW242" s="25">
        <f>2*3600</f>
        <v>7200</v>
      </c>
      <c r="AX242" s="25">
        <f>24*3600*2</f>
        <v>172800</v>
      </c>
      <c r="AY242" s="53"/>
      <c r="AZ242" s="53"/>
      <c r="BA242" s="53"/>
      <c r="BB242" s="53"/>
      <c r="BC242" s="53"/>
      <c r="BD242" s="53"/>
      <c r="BE242" s="53"/>
      <c r="BF242" s="53"/>
      <c r="BG242" s="53"/>
      <c r="BH242" s="53"/>
      <c r="BI242" s="53"/>
      <c r="BJ242" s="53"/>
      <c r="BK242" s="53"/>
      <c r="BL242" s="53"/>
      <c r="BM242" s="53"/>
      <c r="BN242" s="53"/>
      <c r="BO242" s="53"/>
      <c r="BP242" s="53"/>
      <c r="BQ242" s="53"/>
      <c r="BR242" s="53"/>
      <c r="BS242" s="53"/>
      <c r="BT242" s="53"/>
      <c r="BU242" s="53"/>
      <c r="BV242" s="53"/>
      <c r="BW242" s="53"/>
      <c r="BX242" s="53"/>
      <c r="BY242" s="53"/>
      <c r="BZ242" s="53"/>
      <c r="CA242" s="53"/>
      <c r="CB242" s="53"/>
      <c r="CC242" s="53"/>
      <c r="CD242" s="53"/>
      <c r="CE242" s="53"/>
      <c r="CF242" s="53"/>
      <c r="CG242" s="53"/>
      <c r="CH242" s="53"/>
      <c r="CI242" s="53"/>
      <c r="CJ242" s="53"/>
      <c r="CK242" s="53"/>
      <c r="CL242" s="53"/>
      <c r="CM242" s="53"/>
      <c r="CN242" s="53"/>
      <c r="CO242" s="53"/>
      <c r="CP242" s="53"/>
      <c r="CQ242" s="53"/>
      <c r="CR242" s="1"/>
      <c r="CS242" s="1"/>
      <c r="CT242" s="1"/>
      <c r="CU242" s="1"/>
    </row>
    <row r="243" spans="1:99" s="13" customFormat="1" ht="12" customHeight="1" x14ac:dyDescent="0.2">
      <c r="A243" s="65">
        <v>43509</v>
      </c>
      <c r="B243" s="1" t="s">
        <v>124</v>
      </c>
      <c r="C243" s="1" t="s">
        <v>45</v>
      </c>
      <c r="D243" s="60">
        <v>1992</v>
      </c>
      <c r="E243" s="76">
        <v>2</v>
      </c>
      <c r="F243" s="60">
        <v>120</v>
      </c>
      <c r="G243" s="60">
        <v>60</v>
      </c>
      <c r="H243" s="60" t="s">
        <v>30</v>
      </c>
      <c r="I243" s="60" t="s">
        <v>787</v>
      </c>
      <c r="J243" s="60" t="s">
        <v>16</v>
      </c>
      <c r="K243" s="60">
        <f>IF(J243="syllables",1,IF(J243="trigrams",2,IF(J243="strings",3,IF(J243="visual array",4,IF(J243="characters",5,IF(J243="letters",6,IF(J243="free forms",7,IF(J243="odors",8,IF(J243="words",9,IF(J243="pictures",10,IF(J243="object pictures",11,IF(J243="faces",12,IF(J243="names",13,IF(J243="idioms",14,IF(J243="grades",15,IF(J243="syllable-digit pairs",16,IF(J243="trigram-word pairs",17,IF(J243="word-digit pairs",18,IF(J243="English-Swahili pairs",19,IF(J243="spatial position",20,IF(J243="word pairs",21,IF(J243="word triads",22,IF(J243="generated words",23,IF(J243="word definition pairs",24,IF(J243="math problems",25,IF(J243="famous faces",26,IF(J243="famous names",27,IF(J243="famous voices",28,IF(J243="television programs",29,IF(J243="race horses",30,IF(J243="new vocabulary",31,IF(J243="sentences",32,IF(J243="concepts",33,IF(J243="ad slides",34,IF(J243="scenes",35,IF(J243="famous scenes",36,IF(J243="poems",37,IF(J243="walk",38,IF(J243="faces and events",39,IF(J243="events and names",40,IF(J243="flashbulb",41,IF(J243="stories",42,IF(J243="course material",43,IF(J243="autobiographical",44,IF(J243="novels",45,IF(J243="public events",46,"99"))))))))))))))))))))))))))))))))))))))))))))))</f>
        <v>9</v>
      </c>
      <c r="L243" s="60">
        <f>IF(J243="syllables",1,IF(J243="trigrams",1,IF(J243="strings",1,IF(J243="visual array",1,IF(J243="characters",1,IF(J243="letters",1,IF(J243="free forms",1,IF(J243="odors",2,IF(J243="words",2,IF(J243="pictures",2,IF(J243="object pictures",2,IF(J243="faces",2,IF(J243="names",2,IF(J243="idioms","2",IF(J243="grades",2,IF(J243="syllable-digit pairs",3,IF(J243="trigram-word pairs",3,IF(J243="word-digit pairs",3,IF(J243="English-Swahili pairs",3,IF(J243="spatial position",3,IF(J243="word pairs",4,IF(J243="word triads",4,IF(J243="generated words",4,IF(J243="word definition pairs",4,IF(J243="math problems",4,IF(J243="famous faces",4,IF(J243="famous names",4,IF(J243="famous voices",4,IF(J243="television programs",4,IF(J243="race horses",4,IF(J243="new vocabulary",4,IF(J243="sentences",5,IF(J243="concepts",5,IF(J243="ad slides",5,IF(J243="scenes",5,IF(J243="famous scenes",5,IF(J243="poems",6,IF(J243="walk",6,IF(J243="faces and events",6,IF(J243="events and names",6,IF(J243="flashbulb",7,IF(J243="stories",7,IF(J243="course material",7,IF(J243="autobiographical",7,IF(J243="novels",7,IF(J243="public events",7,"99"))))))))))))))))))))))))))))))))))))))))))))))</f>
        <v>2</v>
      </c>
      <c r="M243" s="60">
        <v>1</v>
      </c>
      <c r="N243" s="60">
        <v>2</v>
      </c>
      <c r="O243" s="60">
        <v>1</v>
      </c>
      <c r="P243" s="60" t="s">
        <v>899</v>
      </c>
      <c r="Q243" s="60" t="s">
        <v>127</v>
      </c>
      <c r="R243" s="60">
        <f>IF(Q243="Free Recall",1,IF(Q243="Cued Recall",2,IF(Q243="Recognition",3,IF(Q243="Multiple Choice",4,IF(Q243="Savings",5,IF(Q243="Stem Completion",6,IF(Q243="Fragment Completion",7,IF(Q243="anagram solution",8,IF(Q243="Matching",9,IF(Q243="Problem Solving",10,"99"))))))))))</f>
        <v>8</v>
      </c>
      <c r="S243" s="60" t="s">
        <v>49</v>
      </c>
      <c r="T243" s="60" t="s">
        <v>261</v>
      </c>
      <c r="U243" s="60">
        <f>IF(T243="within",1,0)</f>
        <v>0</v>
      </c>
      <c r="V243" s="60">
        <v>40</v>
      </c>
      <c r="W243" s="60">
        <f>F243*V243</f>
        <v>4800</v>
      </c>
      <c r="X243" s="60">
        <v>3</v>
      </c>
      <c r="Y243" s="76">
        <f>AV242</f>
        <v>598</v>
      </c>
      <c r="Z243" s="60" t="s">
        <v>88</v>
      </c>
      <c r="AA243" s="60">
        <v>172800</v>
      </c>
      <c r="AB243" s="60" t="str">
        <f>IF(AA243&lt;60,"1",IF(AA243&lt;=43200,"2",IF(AA243&lt;=777600,"3","4")))</f>
        <v>3</v>
      </c>
      <c r="AC243" s="56">
        <f>AVERAGE(AV242:DA242)</f>
        <v>60199.333333333336</v>
      </c>
      <c r="AD243" s="60" t="str">
        <f>IF(AC243&lt;60,"1",IF(AC243&lt;=43200,"2",IF(AC243&lt;=777600,"3","4")))</f>
        <v>3</v>
      </c>
      <c r="AE243" s="76">
        <f>AA243-Y243</f>
        <v>172202</v>
      </c>
      <c r="AF243" s="80">
        <f>AV243</f>
        <v>0.41</v>
      </c>
      <c r="AG243" s="56">
        <f>((AW243-AV243)+(AX243-AW243))/2</f>
        <v>-1.4999999999999986E-2</v>
      </c>
      <c r="AH243" s="4"/>
      <c r="AI243" s="56">
        <f>RSQ(AV243:AX243,AV242:AX242)</f>
        <v>0.91287384603170751</v>
      </c>
      <c r="AJ243" s="109">
        <f>SLOPE(AV243:AX243,AV242:AX242)</f>
        <v>-1.4957998806710484E-7</v>
      </c>
      <c r="AK243" s="56">
        <f>INTERCEPT(AV243:AX243,AV242:AX242)</f>
        <v>0.40567128222831433</v>
      </c>
      <c r="AL243" s="56">
        <f>INDEX(LINEST(LN(AV243:AX243),LN(AV242:AX242),TRUE,TRUE),3,1)</f>
        <v>0.98338518071491832</v>
      </c>
      <c r="AM243" s="56">
        <f>INDEX(LINEST(LN(AV243:AX243),LN(AV242:AX242)),1)</f>
        <v>-1.3533791069429216E-2</v>
      </c>
      <c r="AN243" s="56">
        <f>EXP(INDEX(LINEST(LN(AV243:AX243),LN(AV242:AX242)),1,2))</f>
        <v>0.44850259932733599</v>
      </c>
      <c r="AO243" s="82">
        <f>INDEX(LINEST((AV243:AX243),LN(AV242:AX242),TRUE,TRUE),3,1)</f>
        <v>0.98567965980581507</v>
      </c>
      <c r="AP243" s="82">
        <f>INDEX(LINEST((AV243:AX243),LN(AV242:AX242)),1)</f>
        <v>-5.3396977985520622E-3</v>
      </c>
      <c r="AQ243" s="83">
        <f>INDEX(LINEST(LN(AV243:AX243),SQRT(AV242:AX242),TRUE,TRUE),3,1)</f>
        <v>0.96784532495759212</v>
      </c>
      <c r="AR243" s="116">
        <f>INDEX(LINEST(LN(AV243:AX243),SQRT((AV242:AX242))),1)</f>
        <v>-1.8104907035620298E-4</v>
      </c>
      <c r="AS243" s="84">
        <f>INDEX(LINEST(1/(AV243:AX243),1/(SQRT(AV242:AX242)),TRUE,TRUE),3,1)</f>
        <v>0.77321603941340145</v>
      </c>
      <c r="AT243" s="84">
        <f>INDEX(LINEST(1/(AV243:AX243),1/SQRT(AV242:AX242)),1)</f>
        <v>-4.3119494575965422</v>
      </c>
      <c r="AU243" s="3"/>
      <c r="AV243" s="53">
        <v>0.41</v>
      </c>
      <c r="AW243" s="53">
        <v>0.4</v>
      </c>
      <c r="AX243" s="53">
        <v>0.38</v>
      </c>
      <c r="AY243" s="53"/>
      <c r="AZ243" s="53"/>
      <c r="BA243" s="53"/>
      <c r="BB243" s="53"/>
      <c r="BC243" s="53"/>
      <c r="BD243" s="53"/>
      <c r="BE243" s="53"/>
      <c r="BF243" s="53"/>
      <c r="BG243" s="53"/>
      <c r="BH243" s="53"/>
      <c r="BI243" s="53"/>
      <c r="BJ243" s="53"/>
      <c r="BK243" s="53"/>
      <c r="BL243" s="53"/>
      <c r="BM243" s="53"/>
      <c r="BN243" s="53"/>
      <c r="BO243" s="53"/>
      <c r="BP243" s="53"/>
      <c r="BQ243" s="53"/>
      <c r="BR243" s="53"/>
      <c r="BS243" s="53"/>
      <c r="BT243" s="53"/>
      <c r="BU243" s="53"/>
      <c r="BV243" s="53"/>
      <c r="BW243" s="53"/>
      <c r="BX243" s="53"/>
      <c r="BY243" s="53"/>
      <c r="BZ243" s="53"/>
      <c r="CA243" s="53"/>
      <c r="CB243" s="53"/>
      <c r="CC243" s="53"/>
      <c r="CD243" s="53"/>
      <c r="CE243" s="53"/>
      <c r="CF243" s="53"/>
      <c r="CG243" s="53"/>
      <c r="CH243" s="53"/>
      <c r="CI243" s="53"/>
      <c r="CJ243" s="53"/>
      <c r="CK243" s="53"/>
      <c r="CL243" s="53"/>
      <c r="CM243" s="53"/>
      <c r="CN243" s="53"/>
      <c r="CO243" s="53"/>
      <c r="CP243" s="53"/>
      <c r="CQ243" s="53"/>
      <c r="CR243" s="1"/>
      <c r="CS243" s="1"/>
      <c r="CT243" s="1"/>
      <c r="CU243" s="1"/>
    </row>
    <row r="244" spans="1:99" s="13" customFormat="1" ht="12" customHeight="1" x14ac:dyDescent="0.2">
      <c r="A244" s="65">
        <v>43509</v>
      </c>
      <c r="B244" s="1"/>
      <c r="C244" s="1"/>
      <c r="D244" s="60"/>
      <c r="E244" s="76"/>
      <c r="F244" s="60"/>
      <c r="G244" s="60"/>
      <c r="H244" s="60"/>
      <c r="I244" s="60"/>
      <c r="J244" s="60"/>
      <c r="K244" s="64"/>
      <c r="L244" s="64"/>
      <c r="M244" s="60"/>
      <c r="N244" s="60"/>
      <c r="O244" s="60"/>
      <c r="P244" s="60"/>
      <c r="Q244" s="60"/>
      <c r="R244" s="60"/>
      <c r="S244" s="60"/>
      <c r="T244" s="60"/>
      <c r="U244" s="60"/>
      <c r="V244" s="60"/>
      <c r="W244" s="60"/>
      <c r="X244" s="60"/>
      <c r="Y244" s="76"/>
      <c r="Z244" s="60"/>
      <c r="AA244" s="60"/>
      <c r="AB244" s="60"/>
      <c r="AC244" s="60"/>
      <c r="AD244" s="60"/>
      <c r="AE244" s="60"/>
      <c r="AF244" s="80"/>
      <c r="AG244" s="56"/>
      <c r="AH244" s="4"/>
      <c r="AI244" s="56"/>
      <c r="AJ244" s="109"/>
      <c r="AK244" s="56"/>
      <c r="AL244" s="56"/>
      <c r="AM244" s="56"/>
      <c r="AN244" s="56"/>
      <c r="AO244" s="56"/>
      <c r="AP244" s="56"/>
      <c r="AQ244" s="82"/>
      <c r="AR244" s="115"/>
      <c r="AS244" s="82"/>
      <c r="AT244" s="82"/>
      <c r="AU244" s="4"/>
      <c r="AV244" s="25">
        <f>280+(6*60)</f>
        <v>640</v>
      </c>
      <c r="AW244" s="25">
        <f>1.5*3600</f>
        <v>5400</v>
      </c>
      <c r="AX244" s="25">
        <f>24*3600*2</f>
        <v>172800</v>
      </c>
      <c r="AY244" s="25">
        <f>24*3600*7</f>
        <v>604800</v>
      </c>
      <c r="AZ244" s="53" t="s">
        <v>521</v>
      </c>
      <c r="BA244" s="53"/>
      <c r="BB244" s="53"/>
      <c r="BC244" s="53"/>
      <c r="BD244" s="53"/>
      <c r="BE244" s="53"/>
      <c r="BF244" s="53"/>
      <c r="BG244" s="53"/>
      <c r="BH244" s="53"/>
      <c r="BI244" s="53"/>
      <c r="BJ244" s="53"/>
      <c r="BK244" s="53"/>
      <c r="BL244" s="53"/>
      <c r="BM244" s="53"/>
      <c r="BN244" s="53"/>
      <c r="BO244" s="53"/>
      <c r="BP244" s="53"/>
      <c r="BQ244" s="53"/>
      <c r="BR244" s="53"/>
      <c r="BS244" s="53"/>
      <c r="BT244" s="53"/>
      <c r="BU244" s="53"/>
      <c r="BV244" s="53"/>
      <c r="BW244" s="53"/>
      <c r="BX244" s="53"/>
      <c r="BY244" s="53"/>
      <c r="BZ244" s="53"/>
      <c r="CA244" s="53"/>
      <c r="CB244" s="53"/>
      <c r="CC244" s="53"/>
      <c r="CD244" s="53"/>
      <c r="CE244" s="53"/>
      <c r="CF244" s="53"/>
      <c r="CG244" s="53"/>
      <c r="CH244" s="53"/>
      <c r="CI244" s="53"/>
      <c r="CJ244" s="53"/>
      <c r="CK244" s="53"/>
      <c r="CL244" s="53"/>
      <c r="CM244" s="53"/>
      <c r="CN244" s="53"/>
      <c r="CO244" s="53"/>
      <c r="CP244" s="53"/>
      <c r="CQ244" s="53"/>
      <c r="CR244" s="1"/>
      <c r="CS244" s="1"/>
      <c r="CT244" s="1"/>
      <c r="CU244" s="1"/>
    </row>
    <row r="245" spans="1:99" s="13" customFormat="1" ht="12" customHeight="1" x14ac:dyDescent="0.2">
      <c r="A245" s="65">
        <v>43509</v>
      </c>
      <c r="B245" s="1" t="s">
        <v>124</v>
      </c>
      <c r="C245" s="1" t="s">
        <v>45</v>
      </c>
      <c r="D245" s="60">
        <v>1992</v>
      </c>
      <c r="E245" s="76">
        <v>3</v>
      </c>
      <c r="F245" s="60">
        <v>144</v>
      </c>
      <c r="G245" s="60">
        <v>48</v>
      </c>
      <c r="H245" s="60" t="s">
        <v>227</v>
      </c>
      <c r="I245" s="60" t="s">
        <v>522</v>
      </c>
      <c r="J245" s="60" t="s">
        <v>16</v>
      </c>
      <c r="K245" s="60">
        <f>IF(J245="syllables",1,IF(J245="trigrams",2,IF(J245="strings",3,IF(J245="visual array",4,IF(J245="characters",5,IF(J245="letters",6,IF(J245="free forms",7,IF(J245="odors",8,IF(J245="words",9,IF(J245="pictures",10,IF(J245="object pictures",11,IF(J245="faces",12,IF(J245="names",13,IF(J245="idioms",14,IF(J245="grades",15,IF(J245="syllable-digit pairs",16,IF(J245="trigram-word pairs",17,IF(J245="word-digit pairs",18,IF(J245="English-Swahili pairs",19,IF(J245="spatial position",20,IF(J245="word pairs",21,IF(J245="word triads",22,IF(J245="generated words",23,IF(J245="word definition pairs",24,IF(J245="math problems",25,IF(J245="famous faces",26,IF(J245="famous names",27,IF(J245="famous voices",28,IF(J245="television programs",29,IF(J245="race horses",30,IF(J245="new vocabulary",31,IF(J245="sentences",32,IF(J245="concepts",33,IF(J245="ad slides",34,IF(J245="scenes",35,IF(J245="famous scenes",36,IF(J245="poems",37,IF(J245="walk",38,IF(J245="faces and events",39,IF(J245="events and names",40,IF(J245="flashbulb",41,IF(J245="stories",42,IF(J245="course material",43,IF(J245="autobiographical",44,IF(J245="novels",45,IF(J245="public events",46,"99"))))))))))))))))))))))))))))))))))))))))))))))</f>
        <v>9</v>
      </c>
      <c r="L245" s="60">
        <f>IF(J245="syllables",1,IF(J245="trigrams",1,IF(J245="strings",1,IF(J245="visual array",1,IF(J245="characters",1,IF(J245="letters",1,IF(J245="free forms",1,IF(J245="odors",2,IF(J245="words",2,IF(J245="pictures",2,IF(J245="object pictures",2,IF(J245="faces",2,IF(J245="names",2,IF(J245="idioms","2",IF(J245="grades",2,IF(J245="syllable-digit pairs",3,IF(J245="trigram-word pairs",3,IF(J245="word-digit pairs",3,IF(J245="English-Swahili pairs",3,IF(J245="spatial position",3,IF(J245="word pairs",4,IF(J245="word triads",4,IF(J245="generated words",4,IF(J245="word definition pairs",4,IF(J245="math problems",4,IF(J245="famous faces",4,IF(J245="famous names",4,IF(J245="famous voices",4,IF(J245="television programs",4,IF(J245="race horses",4,IF(J245="new vocabulary",4,IF(J245="sentences",5,IF(J245="concepts",5,IF(J245="ad slides",5,IF(J245="scenes",5,IF(J245="famous scenes",5,IF(J245="poems",6,IF(J245="walk",6,IF(J245="faces and events",6,IF(J245="events and names",6,IF(J245="flashbulb",7,IF(J245="stories",7,IF(J245="course material",7,IF(J245="autobiographical",7,IF(J245="novels",7,IF(J245="public events",7,"99"))))))))))))))))))))))))))))))))))))))))))))))</f>
        <v>2</v>
      </c>
      <c r="M245" s="60">
        <v>1</v>
      </c>
      <c r="N245" s="60">
        <v>2</v>
      </c>
      <c r="O245" s="60">
        <v>1</v>
      </c>
      <c r="P245" s="60" t="s">
        <v>899</v>
      </c>
      <c r="Q245" s="60" t="s">
        <v>125</v>
      </c>
      <c r="R245" s="60">
        <f>IF(Q245="Free Recall",1,IF(Q245="Cued Recall",2,IF(Q245="Recognition",3,IF(Q245="Multiple Choice",4,IF(Q245="Savings",5,IF(Q245="Stem Completion",6,IF(Q245="Fragment Completion",7,IF(Q245="anagram solution",8,IF(Q245="Matching",9,IF(Q245="Problem Solving",10,"99"))))))))))</f>
        <v>7</v>
      </c>
      <c r="S245" s="60" t="s">
        <v>49</v>
      </c>
      <c r="T245" s="60" t="s">
        <v>261</v>
      </c>
      <c r="U245" s="60">
        <f>IF(T245="within",1,0)</f>
        <v>0</v>
      </c>
      <c r="V245" s="60">
        <v>17</v>
      </c>
      <c r="W245" s="60">
        <f>F245*V245</f>
        <v>2448</v>
      </c>
      <c r="X245" s="60">
        <v>4</v>
      </c>
      <c r="Y245" s="76">
        <f>AV244</f>
        <v>640</v>
      </c>
      <c r="Z245" s="60" t="s">
        <v>97</v>
      </c>
      <c r="AA245" s="60">
        <v>604800</v>
      </c>
      <c r="AB245" s="60" t="str">
        <f>IF(AA245&lt;60,"1",IF(AA245&lt;=43200,"2",IF(AA245&lt;=777600,"3","4")))</f>
        <v>3</v>
      </c>
      <c r="AC245" s="56">
        <f>AVERAGE(AV244:DA244)</f>
        <v>195910</v>
      </c>
      <c r="AD245" s="60" t="str">
        <f>IF(AC245&lt;60,"1",IF(AC245&lt;=43200,"2",IF(AC245&lt;=777600,"3","4")))</f>
        <v>3</v>
      </c>
      <c r="AE245" s="76">
        <f>AA245-Y245</f>
        <v>604160</v>
      </c>
      <c r="AF245" s="80">
        <f>AV245</f>
        <v>0.38</v>
      </c>
      <c r="AG245" s="56">
        <f>((AW245-AV245)+(AX245-AW245)+(AY245-AX245))/3</f>
        <v>-1.0000000000000009E-2</v>
      </c>
      <c r="AH245" s="4"/>
      <c r="AI245" s="56">
        <f>RSQ(AV245:AY245,AV244:AY244)</f>
        <v>0.11285630801344165</v>
      </c>
      <c r="AJ245" s="109">
        <f>SLOPE(AV245:AY245,AV244:AY244)</f>
        <v>-2.8963920728897455E-8</v>
      </c>
      <c r="AK245" s="56">
        <f>INTERCEPT(AV245:AY245,AV244:AY244)</f>
        <v>0.37567432170999832</v>
      </c>
      <c r="AL245" s="56">
        <f>INDEX(LINEST(LN(AV245:AY245),LN(AV244:AY244),TRUE,TRUE),3,1)</f>
        <v>3.9651751057397742E-3</v>
      </c>
      <c r="AM245" s="56">
        <f>INDEX(LINEST(LN(AV245:AY245),LN(AV244:AY244)),1)</f>
        <v>-1.3158155476526311E-3</v>
      </c>
      <c r="AN245" s="56">
        <f>EXP(INDEX(LINEST(LN(AV245:AY245),LN(AV244:AY244)),1,2))</f>
        <v>0.37434376366277666</v>
      </c>
      <c r="AO245" s="82">
        <f>INDEX(LINEST((AV245:AY245),LN(AV244:AY244),TRUE,TRUE),3,1)</f>
        <v>2.5741774776971544E-3</v>
      </c>
      <c r="AP245" s="82">
        <f>INDEX(LINEST((AV245:AY245),LN(AV244:AY244)),1)</f>
        <v>-3.9519095509361353E-4</v>
      </c>
      <c r="AQ245" s="83">
        <f>INDEX(LINEST(LN(AV245:AY245),SQRT(AV244:AY244),TRUE,TRUE),3,1)</f>
        <v>3.0931972143391356E-2</v>
      </c>
      <c r="AR245" s="116">
        <f>INDEX(LINEST(LN(AV245:AY245),SQRT((AV244:AY244))),1)</f>
        <v>-3.3078534243262196E-5</v>
      </c>
      <c r="AS245" s="84">
        <f>INDEX(LINEST(1/(AV245:AY245),1/(SQRT(AV244:AY244)),TRUE,TRUE),3,1)</f>
        <v>2.5270537022449382E-2</v>
      </c>
      <c r="AT245" s="84">
        <f>INDEX(LINEST(1/(AV245:AY245),1/SQRT(AV244:AY244)),1)</f>
        <v>-1.5792961419572631</v>
      </c>
      <c r="AU245" s="3"/>
      <c r="AV245" s="53">
        <v>0.38</v>
      </c>
      <c r="AW245" s="53">
        <v>0.35</v>
      </c>
      <c r="AX245" s="53">
        <v>0.4</v>
      </c>
      <c r="AY245" s="53">
        <v>0.35</v>
      </c>
      <c r="AZ245" s="53"/>
      <c r="BA245" s="53"/>
      <c r="BB245" s="53"/>
      <c r="BC245" s="53"/>
      <c r="BD245" s="53"/>
      <c r="BE245" s="53"/>
      <c r="BF245" s="53"/>
      <c r="BG245" s="53"/>
      <c r="BH245" s="53"/>
      <c r="BI245" s="53"/>
      <c r="BJ245" s="53"/>
      <c r="BK245" s="53"/>
      <c r="BL245" s="53"/>
      <c r="BM245" s="53"/>
      <c r="BN245" s="53"/>
      <c r="BO245" s="53"/>
      <c r="BP245" s="53"/>
      <c r="BQ245" s="53"/>
      <c r="BR245" s="53"/>
      <c r="BS245" s="53"/>
      <c r="BT245" s="53"/>
      <c r="BU245" s="53"/>
      <c r="BV245" s="53"/>
      <c r="BW245" s="53"/>
      <c r="BX245" s="53"/>
      <c r="BY245" s="53"/>
      <c r="BZ245" s="53"/>
      <c r="CA245" s="53"/>
      <c r="CB245" s="53"/>
      <c r="CC245" s="53"/>
      <c r="CD245" s="53"/>
      <c r="CE245" s="53"/>
      <c r="CF245" s="53"/>
      <c r="CG245" s="53"/>
      <c r="CH245" s="53"/>
      <c r="CI245" s="53"/>
      <c r="CJ245" s="53"/>
      <c r="CK245" s="53"/>
      <c r="CL245" s="53"/>
      <c r="CM245" s="53"/>
      <c r="CN245" s="53"/>
      <c r="CO245" s="53"/>
      <c r="CP245" s="53"/>
      <c r="CQ245" s="53"/>
      <c r="CR245" s="1"/>
      <c r="CS245" s="1"/>
      <c r="CT245" s="1"/>
      <c r="CU245" s="1"/>
    </row>
    <row r="246" spans="1:99" s="13" customFormat="1" ht="12" customHeight="1" x14ac:dyDescent="0.2">
      <c r="A246" s="65">
        <v>43509</v>
      </c>
      <c r="B246" s="1"/>
      <c r="C246" s="1"/>
      <c r="D246" s="60"/>
      <c r="E246" s="76"/>
      <c r="F246" s="60"/>
      <c r="G246" s="60"/>
      <c r="H246" s="60"/>
      <c r="I246" s="60"/>
      <c r="J246" s="60"/>
      <c r="K246" s="64"/>
      <c r="L246" s="64"/>
      <c r="M246" s="60"/>
      <c r="N246" s="60"/>
      <c r="O246" s="60"/>
      <c r="P246" s="60"/>
      <c r="Q246" s="60"/>
      <c r="R246" s="60"/>
      <c r="S246" s="60"/>
      <c r="T246" s="60"/>
      <c r="U246" s="60"/>
      <c r="V246" s="60"/>
      <c r="W246" s="60"/>
      <c r="X246" s="60"/>
      <c r="Y246" s="76"/>
      <c r="Z246" s="60"/>
      <c r="AA246" s="60"/>
      <c r="AB246" s="60"/>
      <c r="AC246" s="60"/>
      <c r="AD246" s="60"/>
      <c r="AE246" s="60"/>
      <c r="AF246" s="80"/>
      <c r="AG246" s="56"/>
      <c r="AH246" s="4"/>
      <c r="AI246" s="56"/>
      <c r="AJ246" s="109"/>
      <c r="AK246" s="56"/>
      <c r="AL246" s="56"/>
      <c r="AM246" s="56"/>
      <c r="AN246" s="56"/>
      <c r="AO246" s="56"/>
      <c r="AP246" s="56"/>
      <c r="AQ246" s="56"/>
      <c r="AR246" s="109"/>
      <c r="AS246" s="56"/>
      <c r="AT246" s="56"/>
      <c r="AU246" s="4"/>
      <c r="AV246" s="25">
        <f>280+(6*60)</f>
        <v>640</v>
      </c>
      <c r="AW246" s="25">
        <f>1.5*3600</f>
        <v>5400</v>
      </c>
      <c r="AX246" s="25">
        <f>24*3600*2</f>
        <v>172800</v>
      </c>
      <c r="AY246" s="25">
        <f>24*3600*7</f>
        <v>604800</v>
      </c>
      <c r="AZ246" s="53"/>
      <c r="BA246" s="53"/>
      <c r="BB246" s="53"/>
      <c r="BC246" s="53"/>
      <c r="BD246" s="53"/>
      <c r="BE246" s="53"/>
      <c r="BF246" s="53"/>
      <c r="BG246" s="53"/>
      <c r="BH246" s="53"/>
      <c r="BI246" s="53"/>
      <c r="BJ246" s="53"/>
      <c r="BK246" s="53"/>
      <c r="BL246" s="53"/>
      <c r="BM246" s="53"/>
      <c r="BN246" s="53"/>
      <c r="BO246" s="53"/>
      <c r="BP246" s="53"/>
      <c r="BQ246" s="53"/>
      <c r="BR246" s="53"/>
      <c r="BS246" s="53"/>
      <c r="BT246" s="53"/>
      <c r="BU246" s="53"/>
      <c r="BV246" s="53"/>
      <c r="BW246" s="53"/>
      <c r="BX246" s="53"/>
      <c r="BY246" s="53"/>
      <c r="BZ246" s="53"/>
      <c r="CA246" s="53"/>
      <c r="CB246" s="53"/>
      <c r="CC246" s="53"/>
      <c r="CD246" s="53"/>
      <c r="CE246" s="53"/>
      <c r="CF246" s="53"/>
      <c r="CG246" s="53"/>
      <c r="CH246" s="53"/>
      <c r="CI246" s="53"/>
      <c r="CJ246" s="53"/>
      <c r="CK246" s="53"/>
      <c r="CL246" s="53"/>
      <c r="CM246" s="53"/>
      <c r="CN246" s="53"/>
      <c r="CO246" s="53"/>
      <c r="CP246" s="53"/>
      <c r="CQ246" s="53"/>
      <c r="CR246" s="1"/>
      <c r="CS246" s="1"/>
      <c r="CT246" s="1"/>
      <c r="CU246" s="1"/>
    </row>
    <row r="247" spans="1:99" s="13" customFormat="1" ht="12" customHeight="1" x14ac:dyDescent="0.2">
      <c r="A247" s="65">
        <v>43509</v>
      </c>
      <c r="B247" s="1" t="s">
        <v>124</v>
      </c>
      <c r="C247" s="1" t="s">
        <v>45</v>
      </c>
      <c r="D247" s="60">
        <v>1992</v>
      </c>
      <c r="E247" s="76">
        <v>3</v>
      </c>
      <c r="F247" s="60">
        <v>144</v>
      </c>
      <c r="G247" s="60">
        <v>48</v>
      </c>
      <c r="H247" s="60" t="s">
        <v>227</v>
      </c>
      <c r="I247" s="60" t="s">
        <v>523</v>
      </c>
      <c r="J247" s="60" t="s">
        <v>16</v>
      </c>
      <c r="K247" s="60">
        <f>IF(J247="syllables",1,IF(J247="trigrams",2,IF(J247="strings",3,IF(J247="visual array",4,IF(J247="characters",5,IF(J247="letters",6,IF(J247="free forms",7,IF(J247="odors",8,IF(J247="words",9,IF(J247="pictures",10,IF(J247="object pictures",11,IF(J247="faces",12,IF(J247="names",13,IF(J247="idioms",14,IF(J247="grades",15,IF(J247="syllable-digit pairs",16,IF(J247="trigram-word pairs",17,IF(J247="word-digit pairs",18,IF(J247="English-Swahili pairs",19,IF(J247="spatial position",20,IF(J247="word pairs",21,IF(J247="word triads",22,IF(J247="generated words",23,IF(J247="word definition pairs",24,IF(J247="math problems",25,IF(J247="famous faces",26,IF(J247="famous names",27,IF(J247="famous voices",28,IF(J247="television programs",29,IF(J247="race horses",30,IF(J247="new vocabulary",31,IF(J247="sentences",32,IF(J247="concepts",33,IF(J247="ad slides",34,IF(J247="scenes",35,IF(J247="famous scenes",36,IF(J247="poems",37,IF(J247="walk",38,IF(J247="faces and events",39,IF(J247="events and names",40,IF(J247="flashbulb",41,IF(J247="stories",42,IF(J247="course material",43,IF(J247="autobiographical",44,IF(J247="novels",45,IF(J247="public events",46,"99"))))))))))))))))))))))))))))))))))))))))))))))</f>
        <v>9</v>
      </c>
      <c r="L247" s="60">
        <f>IF(J247="syllables",1,IF(J247="trigrams",1,IF(J247="strings",1,IF(J247="visual array",1,IF(J247="characters",1,IF(J247="letters",1,IF(J247="free forms",1,IF(J247="odors",2,IF(J247="words",2,IF(J247="pictures",2,IF(J247="object pictures",2,IF(J247="faces",2,IF(J247="names",2,IF(J247="idioms","2",IF(J247="grades",2,IF(J247="syllable-digit pairs",3,IF(J247="trigram-word pairs",3,IF(J247="word-digit pairs",3,IF(J247="English-Swahili pairs",3,IF(J247="spatial position",3,IF(J247="word pairs",4,IF(J247="word triads",4,IF(J247="generated words",4,IF(J247="word definition pairs",4,IF(J247="math problems",4,IF(J247="famous faces",4,IF(J247="famous names",4,IF(J247="famous voices",4,IF(J247="television programs",4,IF(J247="race horses",4,IF(J247="new vocabulary",4,IF(J247="sentences",5,IF(J247="concepts",5,IF(J247="ad slides",5,IF(J247="scenes",5,IF(J247="famous scenes",5,IF(J247="poems",6,IF(J247="walk",6,IF(J247="faces and events",6,IF(J247="events and names",6,IF(J247="flashbulb",7,IF(J247="stories",7,IF(J247="course material",7,IF(J247="autobiographical",7,IF(J247="novels",7,IF(J247="public events",7,"99"))))))))))))))))))))))))))))))))))))))))))))))</f>
        <v>2</v>
      </c>
      <c r="M247" s="60">
        <v>1</v>
      </c>
      <c r="N247" s="60">
        <v>2</v>
      </c>
      <c r="O247" s="60">
        <v>1</v>
      </c>
      <c r="P247" s="60" t="s">
        <v>899</v>
      </c>
      <c r="Q247" s="60" t="s">
        <v>125</v>
      </c>
      <c r="R247" s="60">
        <f>IF(Q247="Free Recall",1,IF(Q247="Cued Recall",2,IF(Q247="Recognition",3,IF(Q247="Multiple Choice",4,IF(Q247="Savings",5,IF(Q247="Stem Completion",6,IF(Q247="Fragment Completion",7,IF(Q247="anagram solution",8,IF(Q247="Matching",9,IF(Q247="Problem Solving",10,"99"))))))))))</f>
        <v>7</v>
      </c>
      <c r="S247" s="60" t="s">
        <v>49</v>
      </c>
      <c r="T247" s="60" t="s">
        <v>261</v>
      </c>
      <c r="U247" s="60">
        <f>IF(T247="within",1,0)</f>
        <v>0</v>
      </c>
      <c r="V247" s="60">
        <v>17</v>
      </c>
      <c r="W247" s="60">
        <f>F247*V247</f>
        <v>2448</v>
      </c>
      <c r="X247" s="60">
        <v>4</v>
      </c>
      <c r="Y247" s="76">
        <f>AV246</f>
        <v>640</v>
      </c>
      <c r="Z247" s="60" t="s">
        <v>97</v>
      </c>
      <c r="AA247" s="60">
        <v>604800</v>
      </c>
      <c r="AB247" s="60" t="str">
        <f>IF(AA247&lt;60,"1",IF(AA247&lt;=43200,"2",IF(AA247&lt;=777600,"3","4")))</f>
        <v>3</v>
      </c>
      <c r="AC247" s="56">
        <f>AVERAGE(AV246:DA246)</f>
        <v>195910</v>
      </c>
      <c r="AD247" s="60" t="str">
        <f>IF(AC247&lt;60,"1",IF(AC247&lt;=43200,"2",IF(AC247&lt;=777600,"3","4")))</f>
        <v>3</v>
      </c>
      <c r="AE247" s="76">
        <f>AA247-Y247</f>
        <v>604160</v>
      </c>
      <c r="AF247" s="80">
        <f>AV247</f>
        <v>0.41</v>
      </c>
      <c r="AG247" s="56">
        <f>((AW247-AV247)+(AX247-AW247)+(AY247-AX247))/3</f>
        <v>-3.666666666666666E-2</v>
      </c>
      <c r="AH247" s="4"/>
      <c r="AI247" s="56">
        <f>RSQ(AV247:AY247,AV246:AY246)</f>
        <v>0.96644947716570373</v>
      </c>
      <c r="AJ247" s="109">
        <f>SLOPE(AV247:AY247,AV246:AY246)</f>
        <v>-1.6714630334631092E-7</v>
      </c>
      <c r="AK247" s="56">
        <f>INTERCEPT(AV247:AY247,AV246:AY246)</f>
        <v>0.40274563228857585</v>
      </c>
      <c r="AL247" s="56">
        <f>INDEX(LINEST(LN(AV247:AY247),LN(AV246:AY246),TRUE,TRUE),3,1)</f>
        <v>0.67261995387499218</v>
      </c>
      <c r="AM247" s="56">
        <f>INDEX(LINEST(LN(AV247:AY247),LN(AV246:AY246)),1)</f>
        <v>-3.6202616039798775E-2</v>
      </c>
      <c r="AN247" s="56">
        <f>EXP(INDEX(LINEST(LN(AV247:AY247),LN(AV246:AY246)),1,2))</f>
        <v>0.52978207677163791</v>
      </c>
      <c r="AO247" s="82">
        <f>INDEX(LINEST((AV247:AY247),LN(AV246:AY246),TRUE,TRUE),3,1)</f>
        <v>0.6987623971028053</v>
      </c>
      <c r="AP247" s="82">
        <f>INDEX(LINEST((AV247:AY247),LN(AV246:AY246)),1)</f>
        <v>-1.2840007679994315E-2</v>
      </c>
      <c r="AQ247" s="83">
        <f>INDEX(LINEST(LN(AV247:AY247),SQRT(AV246:AY246),TRUE,TRUE),3,1)</f>
        <v>0.8811076159891934</v>
      </c>
      <c r="AR247" s="116">
        <f>INDEX(LINEST(LN(AV247:AY247),SQRT((AV246:AY246))),1)</f>
        <v>-3.7294791371268867E-4</v>
      </c>
      <c r="AS247" s="84">
        <f>INDEX(LINEST(1/(AV247:AY247),1/(SQRT(AV246:AY246)),TRUE,TRUE),3,1)</f>
        <v>0.42023202114515074</v>
      </c>
      <c r="AT247" s="84">
        <f>INDEX(LINEST(1/(AV247:AY247),1/SQRT(AV246:AY246)),1)</f>
        <v>-14.669118456863561</v>
      </c>
      <c r="AU247" s="3"/>
      <c r="AV247" s="53">
        <v>0.41</v>
      </c>
      <c r="AW247" s="53">
        <v>0.39</v>
      </c>
      <c r="AX247" s="53">
        <v>0.38</v>
      </c>
      <c r="AY247" s="53">
        <v>0.3</v>
      </c>
      <c r="AZ247" s="53"/>
      <c r="BA247" s="53"/>
      <c r="BB247" s="53"/>
      <c r="BC247" s="53"/>
      <c r="BD247" s="53"/>
      <c r="BE247" s="53"/>
      <c r="BF247" s="53"/>
      <c r="BG247" s="53"/>
      <c r="BH247" s="53"/>
      <c r="BI247" s="53"/>
      <c r="BJ247" s="53"/>
      <c r="BK247" s="53"/>
      <c r="BL247" s="53"/>
      <c r="BM247" s="53"/>
      <c r="BN247" s="53"/>
      <c r="BO247" s="53"/>
      <c r="BP247" s="53"/>
      <c r="BQ247" s="53"/>
      <c r="BR247" s="53"/>
      <c r="BS247" s="53"/>
      <c r="BT247" s="53"/>
      <c r="BU247" s="53"/>
      <c r="BV247" s="53"/>
      <c r="BW247" s="53"/>
      <c r="BX247" s="53"/>
      <c r="BY247" s="53"/>
      <c r="BZ247" s="53"/>
      <c r="CA247" s="53"/>
      <c r="CB247" s="53"/>
      <c r="CC247" s="53"/>
      <c r="CD247" s="53"/>
      <c r="CE247" s="53"/>
      <c r="CF247" s="53"/>
      <c r="CG247" s="53"/>
      <c r="CH247" s="53"/>
      <c r="CI247" s="53"/>
      <c r="CJ247" s="53"/>
      <c r="CK247" s="53"/>
      <c r="CL247" s="53"/>
      <c r="CM247" s="53"/>
      <c r="CN247" s="53"/>
      <c r="CO247" s="53"/>
      <c r="CP247" s="53"/>
      <c r="CQ247" s="53"/>
      <c r="CR247" s="1"/>
      <c r="CS247" s="1"/>
      <c r="CT247" s="1"/>
      <c r="CU247" s="1"/>
    </row>
    <row r="248" spans="1:99" s="13" customFormat="1" ht="12" customHeight="1" x14ac:dyDescent="0.2">
      <c r="A248" s="65">
        <v>43509</v>
      </c>
      <c r="B248" s="1"/>
      <c r="C248" s="1"/>
      <c r="D248" s="60"/>
      <c r="E248" s="76"/>
      <c r="F248" s="60"/>
      <c r="G248" s="60"/>
      <c r="H248" s="60"/>
      <c r="I248" s="60"/>
      <c r="J248" s="60"/>
      <c r="K248" s="64"/>
      <c r="L248" s="64"/>
      <c r="M248" s="60"/>
      <c r="N248" s="60"/>
      <c r="O248" s="60"/>
      <c r="P248" s="60"/>
      <c r="Q248" s="60"/>
      <c r="R248" s="60"/>
      <c r="S248" s="60"/>
      <c r="T248" s="60"/>
      <c r="U248" s="60"/>
      <c r="V248" s="60"/>
      <c r="W248" s="60"/>
      <c r="X248" s="60"/>
      <c r="Y248" s="76"/>
      <c r="Z248" s="60"/>
      <c r="AA248" s="60"/>
      <c r="AB248" s="60"/>
      <c r="AC248" s="60"/>
      <c r="AD248" s="60"/>
      <c r="AE248" s="60"/>
      <c r="AF248" s="80"/>
      <c r="AG248" s="56"/>
      <c r="AH248" s="4"/>
      <c r="AI248" s="56"/>
      <c r="AJ248" s="109"/>
      <c r="AK248" s="56"/>
      <c r="AL248" s="56"/>
      <c r="AM248" s="56"/>
      <c r="AN248" s="56"/>
      <c r="AO248" s="56"/>
      <c r="AP248" s="56"/>
      <c r="AQ248" s="82"/>
      <c r="AR248" s="115"/>
      <c r="AS248" s="82"/>
      <c r="AT248" s="82"/>
      <c r="AU248" s="4"/>
      <c r="AV248" s="25">
        <f>280+(6*60)</f>
        <v>640</v>
      </c>
      <c r="AW248" s="25">
        <f>1.5*3600</f>
        <v>5400</v>
      </c>
      <c r="AX248" s="25">
        <f>24*3600*2</f>
        <v>172800</v>
      </c>
      <c r="AY248" s="25">
        <f>24*3600*7</f>
        <v>604800</v>
      </c>
      <c r="AZ248" s="53"/>
      <c r="BA248" s="53"/>
      <c r="BB248" s="53"/>
      <c r="BC248" s="53"/>
      <c r="BD248" s="53"/>
      <c r="BE248" s="53"/>
      <c r="BF248" s="53"/>
      <c r="BG248" s="53"/>
      <c r="BH248" s="53"/>
      <c r="BI248" s="53"/>
      <c r="BJ248" s="53"/>
      <c r="BK248" s="53"/>
      <c r="BL248" s="53"/>
      <c r="BM248" s="53"/>
      <c r="BN248" s="53"/>
      <c r="BO248" s="53"/>
      <c r="BP248" s="53"/>
      <c r="BQ248" s="53"/>
      <c r="BR248" s="53"/>
      <c r="BS248" s="53"/>
      <c r="BT248" s="53"/>
      <c r="BU248" s="53"/>
      <c r="BV248" s="53"/>
      <c r="BW248" s="53"/>
      <c r="BX248" s="53"/>
      <c r="BY248" s="53"/>
      <c r="BZ248" s="53"/>
      <c r="CA248" s="53"/>
      <c r="CB248" s="53"/>
      <c r="CC248" s="53"/>
      <c r="CD248" s="53"/>
      <c r="CE248" s="53"/>
      <c r="CF248" s="53"/>
      <c r="CG248" s="53"/>
      <c r="CH248" s="53"/>
      <c r="CI248" s="53"/>
      <c r="CJ248" s="53"/>
      <c r="CK248" s="53"/>
      <c r="CL248" s="53"/>
      <c r="CM248" s="53"/>
      <c r="CN248" s="53"/>
      <c r="CO248" s="53"/>
      <c r="CP248" s="53"/>
      <c r="CQ248" s="53"/>
      <c r="CR248" s="1"/>
      <c r="CS248" s="1"/>
      <c r="CT248" s="1"/>
      <c r="CU248" s="1"/>
    </row>
    <row r="249" spans="1:99" s="13" customFormat="1" ht="12" customHeight="1" x14ac:dyDescent="0.2">
      <c r="A249" s="65">
        <v>43509</v>
      </c>
      <c r="B249" s="1" t="s">
        <v>124</v>
      </c>
      <c r="C249" s="1" t="s">
        <v>45</v>
      </c>
      <c r="D249" s="60">
        <v>1992</v>
      </c>
      <c r="E249" s="76">
        <v>3</v>
      </c>
      <c r="F249" s="60">
        <v>144</v>
      </c>
      <c r="G249" s="60">
        <v>48</v>
      </c>
      <c r="H249" s="60" t="s">
        <v>227</v>
      </c>
      <c r="I249" s="60" t="s">
        <v>522</v>
      </c>
      <c r="J249" s="60" t="s">
        <v>16</v>
      </c>
      <c r="K249" s="60">
        <f>IF(J249="syllables",1,IF(J249="trigrams",2,IF(J249="strings",3,IF(J249="visual array",4,IF(J249="characters",5,IF(J249="letters",6,IF(J249="free forms",7,IF(J249="odors",8,IF(J249="words",9,IF(J249="pictures",10,IF(J249="object pictures",11,IF(J249="faces",12,IF(J249="names",13,IF(J249="idioms",14,IF(J249="grades",15,IF(J249="syllable-digit pairs",16,IF(J249="trigram-word pairs",17,IF(J249="word-digit pairs",18,IF(J249="English-Swahili pairs",19,IF(J249="spatial position",20,IF(J249="word pairs",21,IF(J249="word triads",22,IF(J249="generated words",23,IF(J249="word definition pairs",24,IF(J249="math problems",25,IF(J249="famous faces",26,IF(J249="famous names",27,IF(J249="famous voices",28,IF(J249="television programs",29,IF(J249="race horses",30,IF(J249="new vocabulary",31,IF(J249="sentences",32,IF(J249="concepts",33,IF(J249="ad slides",34,IF(J249="scenes",35,IF(J249="famous scenes",36,IF(J249="poems",37,IF(J249="walk",38,IF(J249="faces and events",39,IF(J249="events and names",40,IF(J249="flashbulb",41,IF(J249="stories",42,IF(J249="course material",43,IF(J249="autobiographical",44,IF(J249="novels",45,IF(J249="public events",46,"99"))))))))))))))))))))))))))))))))))))))))))))))</f>
        <v>9</v>
      </c>
      <c r="L249" s="60">
        <f>IF(J249="syllables",1,IF(J249="trigrams",1,IF(J249="strings",1,IF(J249="visual array",1,IF(J249="characters",1,IF(J249="letters",1,IF(J249="free forms",1,IF(J249="odors",2,IF(J249="words",2,IF(J249="pictures",2,IF(J249="object pictures",2,IF(J249="faces",2,IF(J249="names",2,IF(J249="idioms","2",IF(J249="grades",2,IF(J249="syllable-digit pairs",3,IF(J249="trigram-word pairs",3,IF(J249="word-digit pairs",3,IF(J249="English-Swahili pairs",3,IF(J249="spatial position",3,IF(J249="word pairs",4,IF(J249="word triads",4,IF(J249="generated words",4,IF(J249="word definition pairs",4,IF(J249="math problems",4,IF(J249="famous faces",4,IF(J249="famous names",4,IF(J249="famous voices",4,IF(J249="television programs",4,IF(J249="race horses",4,IF(J249="new vocabulary",4,IF(J249="sentences",5,IF(J249="concepts",5,IF(J249="ad slides",5,IF(J249="scenes",5,IF(J249="famous scenes",5,IF(J249="poems",6,IF(J249="walk",6,IF(J249="faces and events",6,IF(J249="events and names",6,IF(J249="flashbulb",7,IF(J249="stories",7,IF(J249="course material",7,IF(J249="autobiographical",7,IF(J249="novels",7,IF(J249="public events",7,"99"))))))))))))))))))))))))))))))))))))))))))))))</f>
        <v>2</v>
      </c>
      <c r="M249" s="60">
        <v>1</v>
      </c>
      <c r="N249" s="60">
        <v>2</v>
      </c>
      <c r="O249" s="60">
        <v>1</v>
      </c>
      <c r="P249" s="60" t="s">
        <v>899</v>
      </c>
      <c r="Q249" s="60" t="s">
        <v>126</v>
      </c>
      <c r="R249" s="60">
        <f>IF(Q249="Free Recall",1,IF(Q249="Cued Recall",2,IF(Q249="Recognition",3,IF(Q249="Multiple Choice",4,IF(Q249="Savings",5,IF(Q249="Stem Completion",6,IF(Q249="Fragment Completion",7,IF(Q249="anagram solution",8,IF(Q249="Matching",9,IF(Q249="Problem Solving",10,"99"))))))))))</f>
        <v>6</v>
      </c>
      <c r="S249" s="60" t="s">
        <v>49</v>
      </c>
      <c r="T249" s="60" t="s">
        <v>261</v>
      </c>
      <c r="U249" s="60">
        <f>IF(T249="within",1,0)</f>
        <v>0</v>
      </c>
      <c r="V249" s="60">
        <v>17</v>
      </c>
      <c r="W249" s="60">
        <f>F249*V249</f>
        <v>2448</v>
      </c>
      <c r="X249" s="60">
        <v>4</v>
      </c>
      <c r="Y249" s="76">
        <f>AV248</f>
        <v>640</v>
      </c>
      <c r="Z249" s="60" t="s">
        <v>97</v>
      </c>
      <c r="AA249" s="60">
        <v>604800</v>
      </c>
      <c r="AB249" s="60" t="str">
        <f>IF(AA249&lt;60,"1",IF(AA249&lt;=43200,"2",IF(AA249&lt;=777600,"3","4")))</f>
        <v>3</v>
      </c>
      <c r="AC249" s="56">
        <f>AVERAGE(AV248:DA248)</f>
        <v>195910</v>
      </c>
      <c r="AD249" s="60" t="str">
        <f>IF(AC249&lt;60,"1",IF(AC249&lt;=43200,"2",IF(AC249&lt;=777600,"3","4")))</f>
        <v>3</v>
      </c>
      <c r="AE249" s="76">
        <f>AA249-Y249</f>
        <v>604160</v>
      </c>
      <c r="AF249" s="80">
        <f>AV249</f>
        <v>0.38</v>
      </c>
      <c r="AG249" s="56">
        <f>((AW249-AV249)+(AX249-AW249)+(AY249-AX249))/3</f>
        <v>-3.3333333333333326E-2</v>
      </c>
      <c r="AH249" s="4"/>
      <c r="AI249" s="56">
        <f>RSQ(AV249:AY249,AV248:AY248)</f>
        <v>0.63809699977536716</v>
      </c>
      <c r="AJ249" s="109">
        <f>SLOPE(AV249:AY249,AV248:AY248)</f>
        <v>-1.159275393403477E-7</v>
      </c>
      <c r="AK249" s="56">
        <f>INTERCEPT(AV249:AY249,AV248:AY248)</f>
        <v>0.34771136423216753</v>
      </c>
      <c r="AL249" s="56">
        <f>INDEX(LINEST(LN(AV249:AY249),LN(AV248:AY248),TRUE,TRUE),3,1)</f>
        <v>0.79757167176064125</v>
      </c>
      <c r="AM249" s="56">
        <f>INDEX(LINEST(LN(AV249:AY249),LN(AV248:AY248)),1)</f>
        <v>-3.5544064179208461E-2</v>
      </c>
      <c r="AN249" s="56">
        <f>EXP(INDEX(LINEST(LN(AV249:AY249),LN(AV248:AY248)),1,2))</f>
        <v>0.46273106883434684</v>
      </c>
      <c r="AO249" s="82">
        <f>INDEX(LINEST((AV249:AY249),LN(AV248:AY248),TRUE,TRUE),3,1)</f>
        <v>0.79558904387638718</v>
      </c>
      <c r="AP249" s="82">
        <f>INDEX(LINEST((AV249:AY249),LN(AV248:AY248)),1)</f>
        <v>-1.1694481883428767E-2</v>
      </c>
      <c r="AQ249" s="83">
        <f>INDEX(LINEST(LN(AV249:AY249),SQRT(AV248:AY248),TRUE,TRUE),3,1)</f>
        <v>0.72724366002260654</v>
      </c>
      <c r="AR249" s="116">
        <f>INDEX(LINEST(LN(AV249:AY249),SQRT((AV248:AY248))),1)</f>
        <v>-3.0549268802464565E-4</v>
      </c>
      <c r="AS249" s="84">
        <f>INDEX(LINEST(1/(AV249:AY249),1/(SQRT(AV248:AY248)),TRUE,TRUE),3,1)</f>
        <v>0.79577740953921716</v>
      </c>
      <c r="AT249" s="84">
        <f>INDEX(LINEST(1/(AV249:AY249),1/SQRT(AV248:AY248)),1)</f>
        <v>-19.269055545581491</v>
      </c>
      <c r="AU249" s="3"/>
      <c r="AV249" s="53">
        <v>0.38</v>
      </c>
      <c r="AW249" s="53">
        <v>0.32</v>
      </c>
      <c r="AX249" s="53">
        <v>0.32</v>
      </c>
      <c r="AY249" s="53">
        <v>0.28000000000000003</v>
      </c>
      <c r="AZ249" s="53"/>
      <c r="BA249" s="53"/>
      <c r="BB249" s="53"/>
      <c r="BC249" s="53"/>
      <c r="BD249" s="53"/>
      <c r="BE249" s="53"/>
      <c r="BF249" s="53"/>
      <c r="BG249" s="53"/>
      <c r="BH249" s="53"/>
      <c r="BI249" s="53"/>
      <c r="BJ249" s="53"/>
      <c r="BK249" s="53"/>
      <c r="BL249" s="53"/>
      <c r="BM249" s="53"/>
      <c r="BN249" s="53"/>
      <c r="BO249" s="53"/>
      <c r="BP249" s="53"/>
      <c r="BQ249" s="53"/>
      <c r="BR249" s="53"/>
      <c r="BS249" s="53"/>
      <c r="BT249" s="53"/>
      <c r="BU249" s="53"/>
      <c r="BV249" s="53"/>
      <c r="BW249" s="53"/>
      <c r="BX249" s="53"/>
      <c r="BY249" s="53"/>
      <c r="BZ249" s="53"/>
      <c r="CA249" s="53"/>
      <c r="CB249" s="53"/>
      <c r="CC249" s="53"/>
      <c r="CD249" s="53"/>
      <c r="CE249" s="53"/>
      <c r="CF249" s="53"/>
      <c r="CG249" s="53"/>
      <c r="CH249" s="53"/>
      <c r="CI249" s="53"/>
      <c r="CJ249" s="53"/>
      <c r="CK249" s="53"/>
      <c r="CL249" s="53"/>
      <c r="CM249" s="53"/>
      <c r="CN249" s="53"/>
      <c r="CO249" s="53"/>
      <c r="CP249" s="53"/>
      <c r="CQ249" s="53"/>
      <c r="CR249" s="1"/>
      <c r="CS249" s="1"/>
      <c r="CT249" s="1"/>
      <c r="CU249" s="1"/>
    </row>
    <row r="250" spans="1:99" s="13" customFormat="1" ht="12" customHeight="1" x14ac:dyDescent="0.2">
      <c r="A250" s="65">
        <v>43509</v>
      </c>
      <c r="B250" s="1"/>
      <c r="C250" s="1"/>
      <c r="D250" s="60"/>
      <c r="E250" s="76"/>
      <c r="F250" s="60"/>
      <c r="G250" s="60"/>
      <c r="H250" s="60"/>
      <c r="I250" s="60"/>
      <c r="J250" s="60"/>
      <c r="K250" s="64"/>
      <c r="L250" s="64"/>
      <c r="M250" s="60"/>
      <c r="N250" s="60"/>
      <c r="O250" s="60"/>
      <c r="P250" s="60"/>
      <c r="Q250" s="60"/>
      <c r="R250" s="60"/>
      <c r="S250" s="60"/>
      <c r="T250" s="60"/>
      <c r="U250" s="60"/>
      <c r="V250" s="60"/>
      <c r="W250" s="60"/>
      <c r="X250" s="60"/>
      <c r="Y250" s="76"/>
      <c r="Z250" s="60"/>
      <c r="AA250" s="60"/>
      <c r="AB250" s="60"/>
      <c r="AC250" s="60"/>
      <c r="AD250" s="60"/>
      <c r="AE250" s="60"/>
      <c r="AF250" s="80"/>
      <c r="AG250" s="56"/>
      <c r="AH250" s="4"/>
      <c r="AI250" s="56"/>
      <c r="AJ250" s="109"/>
      <c r="AK250" s="56"/>
      <c r="AL250" s="56"/>
      <c r="AM250" s="56"/>
      <c r="AN250" s="56"/>
      <c r="AO250" s="56"/>
      <c r="AP250" s="56"/>
      <c r="AQ250" s="56"/>
      <c r="AR250" s="109"/>
      <c r="AS250" s="56"/>
      <c r="AT250" s="56"/>
      <c r="AU250" s="4"/>
      <c r="AV250" s="25">
        <f>280+(6*60)</f>
        <v>640</v>
      </c>
      <c r="AW250" s="25">
        <f>1.5*3600</f>
        <v>5400</v>
      </c>
      <c r="AX250" s="25">
        <f>24*3600*2</f>
        <v>172800</v>
      </c>
      <c r="AY250" s="25">
        <f>24*3600*7</f>
        <v>604800</v>
      </c>
      <c r="AZ250" s="53"/>
      <c r="BA250" s="53"/>
      <c r="BB250" s="53"/>
      <c r="BC250" s="53"/>
      <c r="BD250" s="53"/>
      <c r="BE250" s="53"/>
      <c r="BF250" s="53"/>
      <c r="BG250" s="53"/>
      <c r="BH250" s="53"/>
      <c r="BI250" s="53"/>
      <c r="BJ250" s="53"/>
      <c r="BK250" s="53"/>
      <c r="BL250" s="53"/>
      <c r="BM250" s="53"/>
      <c r="BN250" s="53"/>
      <c r="BO250" s="53"/>
      <c r="BP250" s="53"/>
      <c r="BQ250" s="53"/>
      <c r="BR250" s="53"/>
      <c r="BS250" s="53"/>
      <c r="BT250" s="53"/>
      <c r="BU250" s="53"/>
      <c r="BV250" s="53"/>
      <c r="BW250" s="53"/>
      <c r="BX250" s="53"/>
      <c r="BY250" s="53"/>
      <c r="BZ250" s="53"/>
      <c r="CA250" s="53"/>
      <c r="CB250" s="53"/>
      <c r="CC250" s="53"/>
      <c r="CD250" s="53"/>
      <c r="CE250" s="53"/>
      <c r="CF250" s="53"/>
      <c r="CG250" s="53"/>
      <c r="CH250" s="53"/>
      <c r="CI250" s="53"/>
      <c r="CJ250" s="53"/>
      <c r="CK250" s="53"/>
      <c r="CL250" s="53"/>
      <c r="CM250" s="53"/>
      <c r="CN250" s="53"/>
      <c r="CO250" s="53"/>
      <c r="CP250" s="53"/>
      <c r="CQ250" s="53"/>
      <c r="CR250" s="1"/>
      <c r="CS250" s="1"/>
      <c r="CT250" s="1"/>
      <c r="CU250" s="1"/>
    </row>
    <row r="251" spans="1:99" s="13" customFormat="1" ht="12" customHeight="1" x14ac:dyDescent="0.2">
      <c r="A251" s="65">
        <v>43509</v>
      </c>
      <c r="B251" s="1" t="s">
        <v>124</v>
      </c>
      <c r="C251" s="1" t="s">
        <v>45</v>
      </c>
      <c r="D251" s="60">
        <v>1992</v>
      </c>
      <c r="E251" s="76">
        <v>3</v>
      </c>
      <c r="F251" s="60">
        <v>144</v>
      </c>
      <c r="G251" s="60">
        <v>48</v>
      </c>
      <c r="H251" s="60" t="s">
        <v>227</v>
      </c>
      <c r="I251" s="60" t="s">
        <v>523</v>
      </c>
      <c r="J251" s="60" t="s">
        <v>16</v>
      </c>
      <c r="K251" s="60">
        <f>IF(J251="syllables",1,IF(J251="trigrams",2,IF(J251="strings",3,IF(J251="visual array",4,IF(J251="characters",5,IF(J251="letters",6,IF(J251="free forms",7,IF(J251="odors",8,IF(J251="words",9,IF(J251="pictures",10,IF(J251="object pictures",11,IF(J251="faces",12,IF(J251="names",13,IF(J251="idioms",14,IF(J251="grades",15,IF(J251="syllable-digit pairs",16,IF(J251="trigram-word pairs",17,IF(J251="word-digit pairs",18,IF(J251="English-Swahili pairs",19,IF(J251="spatial position",20,IF(J251="word pairs",21,IF(J251="word triads",22,IF(J251="generated words",23,IF(J251="word definition pairs",24,IF(J251="math problems",25,IF(J251="famous faces",26,IF(J251="famous names",27,IF(J251="famous voices",28,IF(J251="television programs",29,IF(J251="race horses",30,IF(J251="new vocabulary",31,IF(J251="sentences",32,IF(J251="concepts",33,IF(J251="ad slides",34,IF(J251="scenes",35,IF(J251="famous scenes",36,IF(J251="poems",37,IF(J251="walk",38,IF(J251="faces and events",39,IF(J251="events and names",40,IF(J251="flashbulb",41,IF(J251="stories",42,IF(J251="course material",43,IF(J251="autobiographical",44,IF(J251="novels",45,IF(J251="public events",46,"99"))))))))))))))))))))))))))))))))))))))))))))))</f>
        <v>9</v>
      </c>
      <c r="L251" s="60">
        <f>IF(J251="syllables",1,IF(J251="trigrams",1,IF(J251="strings",1,IF(J251="visual array",1,IF(J251="characters",1,IF(J251="letters",1,IF(J251="free forms",1,IF(J251="odors",2,IF(J251="words",2,IF(J251="pictures",2,IF(J251="object pictures",2,IF(J251="faces",2,IF(J251="names",2,IF(J251="idioms","2",IF(J251="grades",2,IF(J251="syllable-digit pairs",3,IF(J251="trigram-word pairs",3,IF(J251="word-digit pairs",3,IF(J251="English-Swahili pairs",3,IF(J251="spatial position",3,IF(J251="word pairs",4,IF(J251="word triads",4,IF(J251="generated words",4,IF(J251="word definition pairs",4,IF(J251="math problems",4,IF(J251="famous faces",4,IF(J251="famous names",4,IF(J251="famous voices",4,IF(J251="television programs",4,IF(J251="race horses",4,IF(J251="new vocabulary",4,IF(J251="sentences",5,IF(J251="concepts",5,IF(J251="ad slides",5,IF(J251="scenes",5,IF(J251="famous scenes",5,IF(J251="poems",6,IF(J251="walk",6,IF(J251="faces and events",6,IF(J251="events and names",6,IF(J251="flashbulb",7,IF(J251="stories",7,IF(J251="course material",7,IF(J251="autobiographical",7,IF(J251="novels",7,IF(J251="public events",7,"99"))))))))))))))))))))))))))))))))))))))))))))))</f>
        <v>2</v>
      </c>
      <c r="M251" s="60">
        <v>1</v>
      </c>
      <c r="N251" s="60">
        <v>2</v>
      </c>
      <c r="O251" s="60">
        <v>1</v>
      </c>
      <c r="P251" s="60" t="s">
        <v>899</v>
      </c>
      <c r="Q251" s="60" t="s">
        <v>126</v>
      </c>
      <c r="R251" s="60">
        <f>IF(Q251="Free Recall",1,IF(Q251="Cued Recall",2,IF(Q251="Recognition",3,IF(Q251="Multiple Choice",4,IF(Q251="Savings",5,IF(Q251="Stem Completion",6,IF(Q251="Fragment Completion",7,IF(Q251="anagram solution",8,IF(Q251="Matching",9,IF(Q251="Problem Solving",10,"99"))))))))))</f>
        <v>6</v>
      </c>
      <c r="S251" s="60" t="s">
        <v>49</v>
      </c>
      <c r="T251" s="60" t="s">
        <v>261</v>
      </c>
      <c r="U251" s="60">
        <f>IF(T251="within",1,0)</f>
        <v>0</v>
      </c>
      <c r="V251" s="60">
        <v>17</v>
      </c>
      <c r="W251" s="60">
        <f>F251*V251</f>
        <v>2448</v>
      </c>
      <c r="X251" s="60">
        <v>4</v>
      </c>
      <c r="Y251" s="76">
        <f>AV250</f>
        <v>640</v>
      </c>
      <c r="Z251" s="60" t="s">
        <v>97</v>
      </c>
      <c r="AA251" s="60">
        <v>604800</v>
      </c>
      <c r="AB251" s="60" t="str">
        <f>IF(AA251&lt;60,"1",IF(AA251&lt;=43200,"2",IF(AA251&lt;=777600,"3","4")))</f>
        <v>3</v>
      </c>
      <c r="AC251" s="56">
        <f>AVERAGE(AV250:DA250)</f>
        <v>195910</v>
      </c>
      <c r="AD251" s="60" t="str">
        <f>IF(AC251&lt;60,"1",IF(AC251&lt;=43200,"2",IF(AC251&lt;=777600,"3","4")))</f>
        <v>3</v>
      </c>
      <c r="AE251" s="76">
        <f>AA251-Y251</f>
        <v>604160</v>
      </c>
      <c r="AF251" s="80">
        <f>AV251</f>
        <v>0.2</v>
      </c>
      <c r="AG251" s="56">
        <f>((AW251-AV251)+(AX251-AW251)+(AY251-AX251))/3</f>
        <v>-2.6666666666666672E-2</v>
      </c>
      <c r="AH251" s="4"/>
      <c r="AI251" s="56">
        <f>RSQ(AV251:AY251,AV250:AY250)</f>
        <v>0.95887170712414505</v>
      </c>
      <c r="AJ251" s="109">
        <f>SLOPE(AV251:AY251,AV250:AY250)</f>
        <v>-1.4891294204794376E-7</v>
      </c>
      <c r="AK251" s="56">
        <f>INTERCEPT(AV251:AY251,AV250:AY250)</f>
        <v>0.20917353447661269</v>
      </c>
      <c r="AL251" s="56">
        <f>INDEX(LINEST(LN(AV251:AY251),LN(AV250:AY250),TRUE,TRUE),3,1)</f>
        <v>0.62417647921066444</v>
      </c>
      <c r="AM251" s="56">
        <f>INDEX(LINEST(LN(AV251:AY251),LN(AV250:AY250)),1)</f>
        <v>-6.6988517765718E-2</v>
      </c>
      <c r="AN251" s="56">
        <f>EXP(INDEX(LINEST(LN(AV251:AY251),LN(AV250:AY250)),1,2))</f>
        <v>0.34555578776706009</v>
      </c>
      <c r="AO251" s="82">
        <f>INDEX(LINEST((AV251:AY251),LN(AV250:AY250),TRUE,TRUE),3,1)</f>
        <v>0.63873428443155833</v>
      </c>
      <c r="AP251" s="82">
        <f>INDEX(LINEST((AV251:AY251),LN(AV250:AY250)),1)</f>
        <v>-1.0980083123043395E-2</v>
      </c>
      <c r="AQ251" s="83">
        <f>INDEX(LINEST(LN(AV251:AY251),SQRT(AV250:AY250),TRUE,TRUE),3,1)</f>
        <v>0.90439138127600349</v>
      </c>
      <c r="AR251" s="116">
        <f>INDEX(LINEST(LN(AV251:AY251),SQRT((AV250:AY250))),1)</f>
        <v>-7.2577749922174493E-4</v>
      </c>
      <c r="AS251" s="84">
        <f>INDEX(LINEST(1/(AV251:AY251),1/(SQRT(AV250:AY250)),TRUE,TRUE),3,1)</f>
        <v>0.29617981849164382</v>
      </c>
      <c r="AT251" s="84">
        <f>INDEX(LINEST(1/(AV251:AY251),1/SQRT(AV250:AY250)),1)</f>
        <v>-52.075048422321075</v>
      </c>
      <c r="AU251" s="3"/>
      <c r="AV251" s="53">
        <v>0.2</v>
      </c>
      <c r="AW251" s="53">
        <v>0.22</v>
      </c>
      <c r="AX251" s="53">
        <v>0.18</v>
      </c>
      <c r="AY251" s="53">
        <v>0.12</v>
      </c>
      <c r="AZ251" s="53"/>
      <c r="BA251" s="53"/>
      <c r="BB251" s="53"/>
      <c r="BC251" s="53"/>
      <c r="BD251" s="53"/>
      <c r="BE251" s="53"/>
      <c r="BF251" s="53"/>
      <c r="BG251" s="53"/>
      <c r="BH251" s="53"/>
      <c r="BI251" s="53"/>
      <c r="BJ251" s="53"/>
      <c r="BK251" s="53"/>
      <c r="BL251" s="53"/>
      <c r="BM251" s="53"/>
      <c r="BN251" s="53"/>
      <c r="BO251" s="53"/>
      <c r="BP251" s="53"/>
      <c r="BQ251" s="53"/>
      <c r="BR251" s="53"/>
      <c r="BS251" s="53"/>
      <c r="BT251" s="53"/>
      <c r="BU251" s="53"/>
      <c r="BV251" s="53"/>
      <c r="BW251" s="53"/>
      <c r="BX251" s="53"/>
      <c r="BY251" s="53"/>
      <c r="BZ251" s="53"/>
      <c r="CA251" s="53"/>
      <c r="CB251" s="53"/>
      <c r="CC251" s="53"/>
      <c r="CD251" s="53"/>
      <c r="CE251" s="53"/>
      <c r="CF251" s="53"/>
      <c r="CG251" s="53"/>
      <c r="CH251" s="53"/>
      <c r="CI251" s="53"/>
      <c r="CJ251" s="53"/>
      <c r="CK251" s="53"/>
      <c r="CL251" s="53"/>
      <c r="CM251" s="53"/>
      <c r="CN251" s="53"/>
      <c r="CO251" s="53"/>
      <c r="CP251" s="53"/>
      <c r="CQ251" s="53"/>
      <c r="CR251" s="1"/>
      <c r="CS251" s="1"/>
      <c r="CT251" s="1"/>
      <c r="CU251" s="1"/>
    </row>
    <row r="252" spans="1:99" s="13" customFormat="1" ht="12" customHeight="1" x14ac:dyDescent="0.2">
      <c r="A252" s="65">
        <v>43509</v>
      </c>
      <c r="B252" s="1"/>
      <c r="C252" s="1"/>
      <c r="D252" s="60"/>
      <c r="E252" s="76"/>
      <c r="F252" s="60"/>
      <c r="G252" s="60"/>
      <c r="H252" s="60"/>
      <c r="I252" s="60"/>
      <c r="J252" s="60"/>
      <c r="K252" s="64"/>
      <c r="L252" s="64"/>
      <c r="M252" s="60"/>
      <c r="N252" s="60"/>
      <c r="O252" s="60"/>
      <c r="P252" s="60"/>
      <c r="Q252" s="60"/>
      <c r="R252" s="60"/>
      <c r="S252" s="60"/>
      <c r="T252" s="60"/>
      <c r="U252" s="60"/>
      <c r="V252" s="60"/>
      <c r="W252" s="60"/>
      <c r="X252" s="60"/>
      <c r="Y252" s="76"/>
      <c r="Z252" s="60"/>
      <c r="AA252" s="60"/>
      <c r="AB252" s="60"/>
      <c r="AC252" s="60"/>
      <c r="AD252" s="60"/>
      <c r="AE252" s="60"/>
      <c r="AF252" s="80"/>
      <c r="AG252" s="56"/>
      <c r="AH252" s="4"/>
      <c r="AI252" s="56"/>
      <c r="AJ252" s="109"/>
      <c r="AK252" s="56"/>
      <c r="AL252" s="56"/>
      <c r="AM252" s="56"/>
      <c r="AN252" s="56"/>
      <c r="AO252" s="56"/>
      <c r="AP252" s="56"/>
      <c r="AQ252" s="82"/>
      <c r="AR252" s="115"/>
      <c r="AS252" s="82"/>
      <c r="AT252" s="82"/>
      <c r="AU252" s="4"/>
      <c r="AV252" s="25">
        <v>58</v>
      </c>
      <c r="AW252" s="25">
        <f>24*3600*1</f>
        <v>86400</v>
      </c>
      <c r="AX252" s="25">
        <f>24*3600*5</f>
        <v>432000</v>
      </c>
      <c r="AY252" s="53" t="s">
        <v>531</v>
      </c>
      <c r="AZ252" s="53"/>
      <c r="BA252" s="53"/>
      <c r="BB252" s="53"/>
      <c r="BC252" s="53"/>
      <c r="BD252" s="53"/>
      <c r="BE252" s="53"/>
      <c r="BF252" s="53"/>
      <c r="BG252" s="53"/>
      <c r="BH252" s="53"/>
      <c r="BI252" s="53"/>
      <c r="BJ252" s="53"/>
      <c r="BK252" s="53"/>
      <c r="BL252" s="53"/>
      <c r="BM252" s="53"/>
      <c r="BN252" s="53"/>
      <c r="BO252" s="53"/>
      <c r="BP252" s="53"/>
      <c r="BQ252" s="53"/>
      <c r="BR252" s="53"/>
      <c r="BS252" s="53"/>
      <c r="BT252" s="53"/>
      <c r="BU252" s="53"/>
      <c r="BV252" s="53"/>
      <c r="BW252" s="53"/>
      <c r="BX252" s="53"/>
      <c r="BY252" s="53"/>
      <c r="BZ252" s="53"/>
      <c r="CA252" s="53"/>
      <c r="CB252" s="53"/>
      <c r="CC252" s="53"/>
      <c r="CD252" s="53"/>
      <c r="CE252" s="53"/>
      <c r="CF252" s="53"/>
      <c r="CG252" s="53"/>
      <c r="CH252" s="53"/>
      <c r="CI252" s="53"/>
      <c r="CJ252" s="53"/>
      <c r="CK252" s="53"/>
      <c r="CL252" s="53"/>
      <c r="CM252" s="53"/>
      <c r="CN252" s="53"/>
      <c r="CO252" s="53"/>
      <c r="CP252" s="53"/>
      <c r="CQ252" s="53"/>
      <c r="CR252" s="1"/>
      <c r="CS252" s="1"/>
      <c r="CT252" s="1"/>
      <c r="CU252" s="1"/>
    </row>
    <row r="253" spans="1:99" s="13" customFormat="1" ht="12" customHeight="1" x14ac:dyDescent="0.2">
      <c r="A253" s="65">
        <v>43509</v>
      </c>
      <c r="B253" s="1" t="s">
        <v>128</v>
      </c>
      <c r="C253" s="1" t="s">
        <v>45</v>
      </c>
      <c r="D253" s="60">
        <v>1983</v>
      </c>
      <c r="E253" s="76">
        <v>1</v>
      </c>
      <c r="F253" s="60">
        <v>120</v>
      </c>
      <c r="G253" s="60">
        <v>20</v>
      </c>
      <c r="H253" s="60" t="s">
        <v>41</v>
      </c>
      <c r="I253" s="60" t="s">
        <v>130</v>
      </c>
      <c r="J253" s="60" t="s">
        <v>16</v>
      </c>
      <c r="K253" s="60">
        <f>IF(J253="syllables",1,IF(J253="trigrams",2,IF(J253="strings",3,IF(J253="visual array",4,IF(J253="characters",5,IF(J253="letters",6,IF(J253="free forms",7,IF(J253="odors",8,IF(J253="words",9,IF(J253="pictures",10,IF(J253="object pictures",11,IF(J253="faces",12,IF(J253="names",13,IF(J253="idioms",14,IF(J253="grades",15,IF(J253="syllable-digit pairs",16,IF(J253="trigram-word pairs",17,IF(J253="word-digit pairs",18,IF(J253="English-Swahili pairs",19,IF(J253="spatial position",20,IF(J253="word pairs",21,IF(J253="word triads",22,IF(J253="generated words",23,IF(J253="word definition pairs",24,IF(J253="math problems",25,IF(J253="famous faces",26,IF(J253="famous names",27,IF(J253="famous voices",28,IF(J253="television programs",29,IF(J253="race horses",30,IF(J253="new vocabulary",31,IF(J253="sentences",32,IF(J253="concepts",33,IF(J253="ad slides",34,IF(J253="scenes",35,IF(J253="famous scenes",36,IF(J253="poems",37,IF(J253="walk",38,IF(J253="faces and events",39,IF(J253="events and names",40,IF(J253="flashbulb",41,IF(J253="stories",42,IF(J253="course material",43,IF(J253="autobiographical",44,IF(J253="novels",45,IF(J253="public events",46,"99"))))))))))))))))))))))))))))))))))))))))))))))</f>
        <v>9</v>
      </c>
      <c r="L253" s="60">
        <f>IF(J253="syllables",1,IF(J253="trigrams",1,IF(J253="strings",1,IF(J253="visual array",1,IF(J253="characters",1,IF(J253="letters",1,IF(J253="free forms",1,IF(J253="odors",2,IF(J253="words",2,IF(J253="pictures",2,IF(J253="object pictures",2,IF(J253="faces",2,IF(J253="names",2,IF(J253="idioms","2",IF(J253="grades",2,IF(J253="syllable-digit pairs",3,IF(J253="trigram-word pairs",3,IF(J253="word-digit pairs",3,IF(J253="English-Swahili pairs",3,IF(J253="spatial position",3,IF(J253="word pairs",4,IF(J253="word triads",4,IF(J253="generated words",4,IF(J253="word definition pairs",4,IF(J253="math problems",4,IF(J253="famous faces",4,IF(J253="famous names",4,IF(J253="famous voices",4,IF(J253="television programs",4,IF(J253="race horses",4,IF(J253="new vocabulary",4,IF(J253="sentences",5,IF(J253="concepts",5,IF(J253="ad slides",5,IF(J253="scenes",5,IF(J253="famous scenes",5,IF(J253="poems",6,IF(J253="walk",6,IF(J253="faces and events",6,IF(J253="events and names",6,IF(J253="flashbulb",7,IF(J253="stories",7,IF(J253="course material",7,IF(J253="autobiographical",7,IF(J253="novels",7,IF(J253="public events",7,"99"))))))))))))))))))))))))))))))))))))))))))))))</f>
        <v>2</v>
      </c>
      <c r="M253" s="60">
        <v>1</v>
      </c>
      <c r="N253" s="60">
        <v>2</v>
      </c>
      <c r="O253" s="60">
        <v>1</v>
      </c>
      <c r="P253" s="60" t="s">
        <v>129</v>
      </c>
      <c r="Q253" s="60" t="s">
        <v>174</v>
      </c>
      <c r="R253" s="60">
        <f>IF(Q253="Free Recall",1,IF(Q253="Cued Recall",2,IF(Q253="Recognition",3,IF(Q253="Multiple Choice",4,IF(Q253="Savings",5,IF(Q253="Stem Completion",6,IF(Q253="Fragment Completion",7,IF(Q253="anagram solution",8,IF(Q253="Matching",9,IF(Q253="Problem Solving",10,"99"))))))))))</f>
        <v>1</v>
      </c>
      <c r="S253" s="60"/>
      <c r="T253" s="60" t="s">
        <v>261</v>
      </c>
      <c r="U253" s="60">
        <f>IF(T253="within",1,0)</f>
        <v>0</v>
      </c>
      <c r="V253" s="60">
        <v>56</v>
      </c>
      <c r="W253" s="60">
        <f>F253*V253</f>
        <v>6720</v>
      </c>
      <c r="X253" s="60">
        <v>3</v>
      </c>
      <c r="Y253" s="76">
        <f>AV252</f>
        <v>58</v>
      </c>
      <c r="Z253" s="60" t="s">
        <v>131</v>
      </c>
      <c r="AA253" s="60">
        <v>432000</v>
      </c>
      <c r="AB253" s="60" t="str">
        <f>IF(AA253&lt;60,"1",IF(AA253&lt;=43200,"2",IF(AA253&lt;=777600,"3","4")))</f>
        <v>3</v>
      </c>
      <c r="AC253" s="56">
        <f>AVERAGE(AV252:DA252)</f>
        <v>172819.33333333334</v>
      </c>
      <c r="AD253" s="60" t="str">
        <f>IF(AC253&lt;60,"1",IF(AC253&lt;=43200,"2",IF(AC253&lt;=777600,"3","4")))</f>
        <v>3</v>
      </c>
      <c r="AE253" s="76">
        <f>AA253-Y253</f>
        <v>431942</v>
      </c>
      <c r="AF253" s="80">
        <f>AV253</f>
        <v>0.66100000000000003</v>
      </c>
      <c r="AG253" s="56">
        <f>((AW253-AV253)+(AX253-AW253))/2</f>
        <v>-0.12700000000000003</v>
      </c>
      <c r="AH253" s="4"/>
      <c r="AI253" s="56">
        <f>RSQ(AV253:AX253,AV252:AX252)</f>
        <v>0.87832551945684667</v>
      </c>
      <c r="AJ253" s="109">
        <f>SLOPE(AV253:AX253,AV252:AX252)</f>
        <v>-5.2086181627371429E-7</v>
      </c>
      <c r="AK253" s="56">
        <f>INTERCEPT(AV253:AX253,AV252:AX252)</f>
        <v>0.62234832518054573</v>
      </c>
      <c r="AL253" s="56">
        <f>INDEX(LINEST(LN(AV253:AX253),LN(AV252:AX252),TRUE,TRUE),3,1)</f>
        <v>0.8481350763939125</v>
      </c>
      <c r="AM253" s="56">
        <f>INDEX(LINEST(LN(AV253:AX253),LN(AV252:AX252)),1)</f>
        <v>-4.7047267276957058E-2</v>
      </c>
      <c r="AN253" s="56">
        <f>EXP(INDEX(LINEST(LN(AV253:AX253),LN(AV252:AX252)),1,2))</f>
        <v>0.81507930563133635</v>
      </c>
      <c r="AO253" s="82">
        <f>INDEX(LINEST((AV253:AX253),LN(AV252:AX252),TRUE,TRUE),3,1)</f>
        <v>0.89457118884911579</v>
      </c>
      <c r="AP253" s="82">
        <f>INDEX(LINEST((AV253:AX253),LN(AV252:AX252)),1)</f>
        <v>-2.528652290433523E-2</v>
      </c>
      <c r="AQ253" s="83">
        <f>INDEX(LINEST(LN(AV253:AX253),SQRT(AV252:AX252),TRUE,TRUE),3,1)</f>
        <v>0.99954025314640382</v>
      </c>
      <c r="AR253" s="116">
        <f>INDEX(LINEST(LN(AV253:AX253),SQRT((AV252:AX252))),1)</f>
        <v>-7.4536901638812931E-4</v>
      </c>
      <c r="AS253" s="84">
        <f>INDEX(LINEST(1/(AV253:AX253),1/(SQRT(AV252:AX252)),TRUE,TRUE),3,1)</f>
        <v>0.65660759201420271</v>
      </c>
      <c r="AT253" s="84">
        <f>INDEX(LINEST(1/(AV253:AX253),1/SQRT(AV252:AX252)),1)</f>
        <v>-5.1761394547475126</v>
      </c>
      <c r="AU253" s="3"/>
      <c r="AV253" s="53">
        <v>0.66100000000000003</v>
      </c>
      <c r="AW253" s="53">
        <v>0.52900000000000003</v>
      </c>
      <c r="AX253" s="53">
        <v>0.40699999999999997</v>
      </c>
      <c r="AY253" s="53"/>
      <c r="AZ253" s="53"/>
      <c r="BA253" s="53"/>
      <c r="BB253" s="53"/>
      <c r="BC253" s="53"/>
      <c r="BD253" s="53"/>
      <c r="BE253" s="53"/>
      <c r="BF253" s="53"/>
      <c r="BG253" s="53"/>
      <c r="BH253" s="53"/>
      <c r="BI253" s="53"/>
      <c r="BJ253" s="53"/>
      <c r="BK253" s="53"/>
      <c r="BL253" s="53"/>
      <c r="BM253" s="53"/>
      <c r="BN253" s="53"/>
      <c r="BO253" s="53"/>
      <c r="BP253" s="53"/>
      <c r="BQ253" s="53"/>
      <c r="BR253" s="53"/>
      <c r="BS253" s="53"/>
      <c r="BT253" s="53"/>
      <c r="BU253" s="53"/>
      <c r="BV253" s="53"/>
      <c r="BW253" s="53"/>
      <c r="BX253" s="53"/>
      <c r="BY253" s="53"/>
      <c r="BZ253" s="53"/>
      <c r="CA253" s="53"/>
      <c r="CB253" s="53"/>
      <c r="CC253" s="53"/>
      <c r="CD253" s="53"/>
      <c r="CE253" s="53"/>
      <c r="CF253" s="53"/>
      <c r="CG253" s="53"/>
      <c r="CH253" s="53"/>
      <c r="CI253" s="53"/>
      <c r="CJ253" s="53"/>
      <c r="CK253" s="53"/>
      <c r="CL253" s="53"/>
      <c r="CM253" s="53"/>
      <c r="CN253" s="53"/>
      <c r="CO253" s="53"/>
      <c r="CP253" s="53"/>
      <c r="CQ253" s="53"/>
      <c r="CR253" s="1"/>
      <c r="CS253" s="1"/>
      <c r="CT253" s="1"/>
      <c r="CU253" s="1"/>
    </row>
    <row r="254" spans="1:99" s="13" customFormat="1" ht="12" customHeight="1" x14ac:dyDescent="0.2">
      <c r="A254" s="65">
        <v>43509</v>
      </c>
      <c r="B254" s="1"/>
      <c r="C254" s="1"/>
      <c r="D254" s="60"/>
      <c r="E254" s="76"/>
      <c r="F254" s="60"/>
      <c r="G254" s="60"/>
      <c r="H254" s="60"/>
      <c r="I254" s="60"/>
      <c r="J254" s="60"/>
      <c r="K254" s="64"/>
      <c r="L254" s="64"/>
      <c r="M254" s="60"/>
      <c r="N254" s="60"/>
      <c r="O254" s="60"/>
      <c r="P254" s="60"/>
      <c r="Q254" s="60"/>
      <c r="R254" s="60"/>
      <c r="S254" s="60"/>
      <c r="T254" s="60"/>
      <c r="U254" s="60"/>
      <c r="V254" s="60"/>
      <c r="W254" s="60"/>
      <c r="X254" s="60"/>
      <c r="Y254" s="76"/>
      <c r="Z254" s="60"/>
      <c r="AA254" s="60"/>
      <c r="AB254" s="60"/>
      <c r="AC254" s="60"/>
      <c r="AD254" s="60"/>
      <c r="AE254" s="60"/>
      <c r="AF254" s="80"/>
      <c r="AG254" s="56"/>
      <c r="AH254" s="4"/>
      <c r="AI254" s="56"/>
      <c r="AJ254" s="109"/>
      <c r="AK254" s="56"/>
      <c r="AL254" s="56"/>
      <c r="AM254" s="56"/>
      <c r="AN254" s="56"/>
      <c r="AO254" s="56"/>
      <c r="AP254" s="56"/>
      <c r="AQ254" s="82"/>
      <c r="AR254" s="115"/>
      <c r="AS254" s="82"/>
      <c r="AT254" s="82"/>
      <c r="AU254" s="4"/>
      <c r="AV254" s="25">
        <v>58</v>
      </c>
      <c r="AW254" s="25">
        <f>24*3600*1</f>
        <v>86400</v>
      </c>
      <c r="AX254" s="25">
        <f>24*3600*5</f>
        <v>432000</v>
      </c>
      <c r="AY254" s="53"/>
      <c r="AZ254" s="53"/>
      <c r="BA254" s="53"/>
      <c r="BB254" s="53"/>
      <c r="BC254" s="53"/>
      <c r="BD254" s="53"/>
      <c r="BE254" s="53"/>
      <c r="BF254" s="53"/>
      <c r="BG254" s="53"/>
      <c r="BH254" s="53"/>
      <c r="BI254" s="53"/>
      <c r="BJ254" s="53"/>
      <c r="BK254" s="53"/>
      <c r="BL254" s="53"/>
      <c r="BM254" s="53"/>
      <c r="BN254" s="53"/>
      <c r="BO254" s="53"/>
      <c r="BP254" s="53"/>
      <c r="BQ254" s="53"/>
      <c r="BR254" s="53"/>
      <c r="BS254" s="53"/>
      <c r="BT254" s="53"/>
      <c r="BU254" s="53"/>
      <c r="BV254" s="53"/>
      <c r="BW254" s="53"/>
      <c r="BX254" s="53"/>
      <c r="BY254" s="53"/>
      <c r="BZ254" s="53"/>
      <c r="CA254" s="53"/>
      <c r="CB254" s="53"/>
      <c r="CC254" s="53"/>
      <c r="CD254" s="53"/>
      <c r="CE254" s="53"/>
      <c r="CF254" s="53"/>
      <c r="CG254" s="53"/>
      <c r="CH254" s="53"/>
      <c r="CI254" s="53"/>
      <c r="CJ254" s="53"/>
      <c r="CK254" s="53"/>
      <c r="CL254" s="53"/>
      <c r="CM254" s="53"/>
      <c r="CN254" s="53"/>
      <c r="CO254" s="53"/>
      <c r="CP254" s="53"/>
      <c r="CQ254" s="53"/>
      <c r="CR254" s="1"/>
      <c r="CS254" s="1"/>
      <c r="CT254" s="1"/>
      <c r="CU254" s="1"/>
    </row>
    <row r="255" spans="1:99" s="13" customFormat="1" ht="12" customHeight="1" x14ac:dyDescent="0.2">
      <c r="A255" s="65">
        <v>43509</v>
      </c>
      <c r="B255" s="1" t="s">
        <v>128</v>
      </c>
      <c r="C255" s="1" t="s">
        <v>45</v>
      </c>
      <c r="D255" s="60">
        <v>1983</v>
      </c>
      <c r="E255" s="76">
        <v>1</v>
      </c>
      <c r="F255" s="60">
        <v>120</v>
      </c>
      <c r="G255" s="60">
        <v>20</v>
      </c>
      <c r="H255" s="60" t="s">
        <v>41</v>
      </c>
      <c r="I255" s="60" t="s">
        <v>132</v>
      </c>
      <c r="J255" s="60" t="s">
        <v>16</v>
      </c>
      <c r="K255" s="60">
        <f>IF(J255="syllables",1,IF(J255="trigrams",2,IF(J255="strings",3,IF(J255="visual array",4,IF(J255="characters",5,IF(J255="letters",6,IF(J255="free forms",7,IF(J255="odors",8,IF(J255="words",9,IF(J255="pictures",10,IF(J255="object pictures",11,IF(J255="faces",12,IF(J255="names",13,IF(J255="idioms",14,IF(J255="grades",15,IF(J255="syllable-digit pairs",16,IF(J255="trigram-word pairs",17,IF(J255="word-digit pairs",18,IF(J255="English-Swahili pairs",19,IF(J255="spatial position",20,IF(J255="word pairs",21,IF(J255="word triads",22,IF(J255="generated words",23,IF(J255="word definition pairs",24,IF(J255="math problems",25,IF(J255="famous faces",26,IF(J255="famous names",27,IF(J255="famous voices",28,IF(J255="television programs",29,IF(J255="race horses",30,IF(J255="new vocabulary",31,IF(J255="sentences",32,IF(J255="concepts",33,IF(J255="ad slides",34,IF(J255="scenes",35,IF(J255="famous scenes",36,IF(J255="poems",37,IF(J255="walk",38,IF(J255="faces and events",39,IF(J255="events and names",40,IF(J255="flashbulb",41,IF(J255="stories",42,IF(J255="course material",43,IF(J255="autobiographical",44,IF(J255="novels",45,IF(J255="public events",46,"99"))))))))))))))))))))))))))))))))))))))))))))))</f>
        <v>9</v>
      </c>
      <c r="L255" s="60">
        <f>IF(J255="syllables",1,IF(J255="trigrams",1,IF(J255="strings",1,IF(J255="visual array",1,IF(J255="characters",1,IF(J255="letters",1,IF(J255="free forms",1,IF(J255="odors",2,IF(J255="words",2,IF(J255="pictures",2,IF(J255="object pictures",2,IF(J255="faces",2,IF(J255="names",2,IF(J255="idioms","2",IF(J255="grades",2,IF(J255="syllable-digit pairs",3,IF(J255="trigram-word pairs",3,IF(J255="word-digit pairs",3,IF(J255="English-Swahili pairs",3,IF(J255="spatial position",3,IF(J255="word pairs",4,IF(J255="word triads",4,IF(J255="generated words",4,IF(J255="word definition pairs",4,IF(J255="math problems",4,IF(J255="famous faces",4,IF(J255="famous names",4,IF(J255="famous voices",4,IF(J255="television programs",4,IF(J255="race horses",4,IF(J255="new vocabulary",4,IF(J255="sentences",5,IF(J255="concepts",5,IF(J255="ad slides",5,IF(J255="scenes",5,IF(J255="famous scenes",5,IF(J255="poems",6,IF(J255="walk",6,IF(J255="faces and events",6,IF(J255="events and names",6,IF(J255="flashbulb",7,IF(J255="stories",7,IF(J255="course material",7,IF(J255="autobiographical",7,IF(J255="novels",7,IF(J255="public events",7,"99"))))))))))))))))))))))))))))))))))))))))))))))</f>
        <v>2</v>
      </c>
      <c r="M255" s="60">
        <v>0</v>
      </c>
      <c r="N255" s="60">
        <v>1</v>
      </c>
      <c r="O255" s="60">
        <v>1</v>
      </c>
      <c r="P255" s="60" t="s">
        <v>129</v>
      </c>
      <c r="Q255" s="60" t="s">
        <v>174</v>
      </c>
      <c r="R255" s="60">
        <f>IF(Q255="Free Recall",1,IF(Q255="Cued Recall",2,IF(Q255="Recognition",3,IF(Q255="Multiple Choice",4,IF(Q255="Savings",5,IF(Q255="Stem Completion",6,IF(Q255="Fragment Completion",7,IF(Q255="anagram solution",8,IF(Q255="Matching",9,IF(Q255="Problem Solving",10,"99"))))))))))</f>
        <v>1</v>
      </c>
      <c r="S255" s="60"/>
      <c r="T255" s="60" t="s">
        <v>261</v>
      </c>
      <c r="U255" s="60">
        <f>IF(T255="within",1,0)</f>
        <v>0</v>
      </c>
      <c r="V255" s="60">
        <v>56</v>
      </c>
      <c r="W255" s="60">
        <f>F255*V255</f>
        <v>6720</v>
      </c>
      <c r="X255" s="60">
        <v>3</v>
      </c>
      <c r="Y255" s="76">
        <f>AV254</f>
        <v>58</v>
      </c>
      <c r="Z255" s="60" t="s">
        <v>131</v>
      </c>
      <c r="AA255" s="60">
        <v>432000</v>
      </c>
      <c r="AB255" s="60" t="str">
        <f>IF(AA255&lt;60,"1",IF(AA255&lt;=43200,"2",IF(AA255&lt;=777600,"3","4")))</f>
        <v>3</v>
      </c>
      <c r="AC255" s="56">
        <f>AVERAGE(AV254:DA254)</f>
        <v>172819.33333333334</v>
      </c>
      <c r="AD255" s="60" t="str">
        <f>IF(AC255&lt;60,"1",IF(AC255&lt;=43200,"2",IF(AC255&lt;=777600,"3","4")))</f>
        <v>3</v>
      </c>
      <c r="AE255" s="76">
        <f>AA255-Y255</f>
        <v>431942</v>
      </c>
      <c r="AF255" s="80">
        <f>AV255</f>
        <v>0.40200000000000002</v>
      </c>
      <c r="AG255" s="56">
        <f>((AW255-AV255)+(AX255-AW255))/2</f>
        <v>-6.7500000000000004E-2</v>
      </c>
      <c r="AH255" s="4"/>
      <c r="AI255" s="56">
        <f>RSQ(AV255:AX255,AV254:AX254)</f>
        <v>0.42214234794979449</v>
      </c>
      <c r="AJ255" s="109">
        <f>SLOPE(AV255:AX255,AV254:AX254)</f>
        <v>-2.2238008099737066E-7</v>
      </c>
      <c r="AK255" s="56">
        <f>INTERCEPT(AV255:AX255,AV254:AX254)</f>
        <v>0.35009824401124495</v>
      </c>
      <c r="AL255" s="56">
        <f>INDEX(LINEST(LN(AV255:AX255),LN(AV254:AX254),TRUE,TRUE),3,1)</f>
        <v>0.96861962935394874</v>
      </c>
      <c r="AM255" s="56">
        <f>INDEX(LINEST(LN(AV255:AX255),LN(AV254:AX254)),1)</f>
        <v>-4.916106488143767E-2</v>
      </c>
      <c r="AN255" s="56">
        <f>EXP(INDEX(LINEST(LN(AV255:AX255),LN(AV254:AX254)),1,2))</f>
        <v>0.48679622442107762</v>
      </c>
      <c r="AO255" s="82">
        <f>INDEX(LINEST((AV255:AX255),LN(AV254:AX254),TRUE,TRUE),3,1)</f>
        <v>0.96914528930199995</v>
      </c>
      <c r="AP255" s="82">
        <f>INDEX(LINEST((AV255:AX255),LN(AV254:AX254)),1)</f>
        <v>-1.6208684119718739E-2</v>
      </c>
      <c r="AQ255" s="83">
        <f>INDEX(LINEST(LN(AV255:AX255),SQRT(AV254:AX254),TRUE,TRUE),3,1)</f>
        <v>0.6813350665540242</v>
      </c>
      <c r="AR255" s="116">
        <f>INDEX(LINEST(LN(AV255:AX255),SQRT((AV254:AX254))),1)</f>
        <v>-6.0171982539336858E-4</v>
      </c>
      <c r="AS255" s="84">
        <f>INDEX(LINEST(1/(AV255:AX255),1/(SQRT(AV254:AX254)),TRUE,TRUE),3,1)</f>
        <v>0.99950366455231476</v>
      </c>
      <c r="AT255" s="84">
        <f>INDEX(LINEST(1/(AV255:AX255),1/SQRT(AV254:AX254)),1)</f>
        <v>-9.8136775027027472</v>
      </c>
      <c r="AU255" s="3"/>
      <c r="AV255" s="53">
        <v>0.40200000000000002</v>
      </c>
      <c r="AW255" s="53">
        <v>0.26600000000000001</v>
      </c>
      <c r="AX255" s="53">
        <v>0.26700000000000002</v>
      </c>
      <c r="AY255" s="53"/>
      <c r="AZ255" s="53"/>
      <c r="BA255" s="53"/>
      <c r="BB255" s="53"/>
      <c r="BC255" s="53"/>
      <c r="BD255" s="53"/>
      <c r="BE255" s="53"/>
      <c r="BF255" s="53"/>
      <c r="BG255" s="53"/>
      <c r="BH255" s="53"/>
      <c r="BI255" s="53"/>
      <c r="BJ255" s="53"/>
      <c r="BK255" s="53"/>
      <c r="BL255" s="53"/>
      <c r="BM255" s="53"/>
      <c r="BN255" s="53"/>
      <c r="BO255" s="53"/>
      <c r="BP255" s="53"/>
      <c r="BQ255" s="53"/>
      <c r="BR255" s="53"/>
      <c r="BS255" s="53"/>
      <c r="BT255" s="53"/>
      <c r="BU255" s="53"/>
      <c r="BV255" s="53"/>
      <c r="BW255" s="53"/>
      <c r="BX255" s="53"/>
      <c r="BY255" s="53"/>
      <c r="BZ255" s="53"/>
      <c r="CA255" s="53"/>
      <c r="CB255" s="53"/>
      <c r="CC255" s="53"/>
      <c r="CD255" s="53"/>
      <c r="CE255" s="53"/>
      <c r="CF255" s="53"/>
      <c r="CG255" s="53"/>
      <c r="CH255" s="53"/>
      <c r="CI255" s="53"/>
      <c r="CJ255" s="53"/>
      <c r="CK255" s="53"/>
      <c r="CL255" s="53"/>
      <c r="CM255" s="53"/>
      <c r="CN255" s="53"/>
      <c r="CO255" s="53"/>
      <c r="CP255" s="53"/>
      <c r="CQ255" s="53"/>
      <c r="CR255" s="1"/>
      <c r="CS255" s="1"/>
      <c r="CT255" s="1"/>
      <c r="CU255" s="1"/>
    </row>
    <row r="256" spans="1:99" s="13" customFormat="1" ht="12" customHeight="1" x14ac:dyDescent="0.2">
      <c r="A256" s="65">
        <v>43509</v>
      </c>
      <c r="B256" s="1"/>
      <c r="C256" s="1"/>
      <c r="D256" s="60"/>
      <c r="E256" s="76"/>
      <c r="F256" s="60"/>
      <c r="G256" s="60"/>
      <c r="H256" s="60"/>
      <c r="I256" s="60"/>
      <c r="J256" s="60"/>
      <c r="K256" s="64"/>
      <c r="L256" s="64"/>
      <c r="M256" s="60"/>
      <c r="N256" s="60"/>
      <c r="O256" s="60"/>
      <c r="P256" s="60"/>
      <c r="Q256" s="60"/>
      <c r="R256" s="60"/>
      <c r="S256" s="60"/>
      <c r="T256" s="60"/>
      <c r="U256" s="60"/>
      <c r="V256" s="60"/>
      <c r="W256" s="60"/>
      <c r="X256" s="60"/>
      <c r="Y256" s="76"/>
      <c r="Z256" s="60"/>
      <c r="AA256" s="60"/>
      <c r="AB256" s="60"/>
      <c r="AC256" s="60"/>
      <c r="AD256" s="60"/>
      <c r="AE256" s="60"/>
      <c r="AF256" s="80"/>
      <c r="AG256" s="56"/>
      <c r="AH256" s="4"/>
      <c r="AI256" s="56"/>
      <c r="AJ256" s="109"/>
      <c r="AK256" s="56"/>
      <c r="AL256" s="56"/>
      <c r="AM256" s="56"/>
      <c r="AN256" s="56"/>
      <c r="AO256" s="56"/>
      <c r="AP256" s="56"/>
      <c r="AQ256" s="82"/>
      <c r="AR256" s="115"/>
      <c r="AS256" s="82"/>
      <c r="AT256" s="82"/>
      <c r="AU256" s="4"/>
      <c r="AV256" s="25">
        <v>58</v>
      </c>
      <c r="AW256" s="25">
        <f>24*3600*1</f>
        <v>86400</v>
      </c>
      <c r="AX256" s="25">
        <f>24*3600*5</f>
        <v>432000</v>
      </c>
      <c r="AY256" s="53"/>
      <c r="AZ256" s="53"/>
      <c r="BA256" s="53"/>
      <c r="BB256" s="53"/>
      <c r="BC256" s="53"/>
      <c r="BD256" s="53"/>
      <c r="BE256" s="53"/>
      <c r="BF256" s="53"/>
      <c r="BG256" s="53"/>
      <c r="BH256" s="53"/>
      <c r="BI256" s="53"/>
      <c r="BJ256" s="53"/>
      <c r="BK256" s="53"/>
      <c r="BL256" s="53"/>
      <c r="BM256" s="53"/>
      <c r="BN256" s="53"/>
      <c r="BO256" s="53"/>
      <c r="BP256" s="53"/>
      <c r="BQ256" s="53"/>
      <c r="BR256" s="53"/>
      <c r="BS256" s="53"/>
      <c r="BT256" s="53"/>
      <c r="BU256" s="53"/>
      <c r="BV256" s="53"/>
      <c r="BW256" s="53"/>
      <c r="BX256" s="53"/>
      <c r="BY256" s="53"/>
      <c r="BZ256" s="53"/>
      <c r="CA256" s="53"/>
      <c r="CB256" s="53"/>
      <c r="CC256" s="53"/>
      <c r="CD256" s="53"/>
      <c r="CE256" s="53"/>
      <c r="CF256" s="53"/>
      <c r="CG256" s="53"/>
      <c r="CH256" s="53"/>
      <c r="CI256" s="53"/>
      <c r="CJ256" s="53"/>
      <c r="CK256" s="53"/>
      <c r="CL256" s="53"/>
      <c r="CM256" s="53"/>
      <c r="CN256" s="53"/>
      <c r="CO256" s="53"/>
      <c r="CP256" s="53"/>
      <c r="CQ256" s="53"/>
      <c r="CR256" s="1"/>
      <c r="CS256" s="1"/>
      <c r="CT256" s="1"/>
      <c r="CU256" s="1"/>
    </row>
    <row r="257" spans="1:99" s="13" customFormat="1" ht="12" customHeight="1" x14ac:dyDescent="0.2">
      <c r="A257" s="65">
        <v>43509</v>
      </c>
      <c r="B257" s="1" t="s">
        <v>128</v>
      </c>
      <c r="C257" s="1" t="s">
        <v>45</v>
      </c>
      <c r="D257" s="60">
        <v>1983</v>
      </c>
      <c r="E257" s="76">
        <v>1</v>
      </c>
      <c r="F257" s="60">
        <v>120</v>
      </c>
      <c r="G257" s="60">
        <v>20</v>
      </c>
      <c r="H257" s="60" t="s">
        <v>41</v>
      </c>
      <c r="I257" s="60" t="s">
        <v>130</v>
      </c>
      <c r="J257" s="60" t="s">
        <v>16</v>
      </c>
      <c r="K257" s="60">
        <f>IF(J257="syllables",1,IF(J257="trigrams",2,IF(J257="strings",3,IF(J257="visual array",4,IF(J257="characters",5,IF(J257="letters",6,IF(J257="free forms",7,IF(J257="odors",8,IF(J257="words",9,IF(J257="pictures",10,IF(J257="object pictures",11,IF(J257="faces",12,IF(J257="names",13,IF(J257="idioms",14,IF(J257="grades",15,IF(J257="syllable-digit pairs",16,IF(J257="trigram-word pairs",17,IF(J257="word-digit pairs",18,IF(J257="English-Swahili pairs",19,IF(J257="spatial position",20,IF(J257="word pairs",21,IF(J257="word triads",22,IF(J257="generated words",23,IF(J257="word definition pairs",24,IF(J257="math problems",25,IF(J257="famous faces",26,IF(J257="famous names",27,IF(J257="famous voices",28,IF(J257="television programs",29,IF(J257="race horses",30,IF(J257="new vocabulary",31,IF(J257="sentences",32,IF(J257="concepts",33,IF(J257="ad slides",34,IF(J257="scenes",35,IF(J257="famous scenes",36,IF(J257="poems",37,IF(J257="walk",38,IF(J257="faces and events",39,IF(J257="events and names",40,IF(J257="flashbulb",41,IF(J257="stories",42,IF(J257="course material",43,IF(J257="autobiographical",44,IF(J257="novels",45,IF(J257="public events",46,"99"))))))))))))))))))))))))))))))))))))))))))))))</f>
        <v>9</v>
      </c>
      <c r="L257" s="60">
        <f>IF(J257="syllables",1,IF(J257="trigrams",1,IF(J257="strings",1,IF(J257="visual array",1,IF(J257="characters",1,IF(J257="letters",1,IF(J257="free forms",1,IF(J257="odors",2,IF(J257="words",2,IF(J257="pictures",2,IF(J257="object pictures",2,IF(J257="faces",2,IF(J257="names",2,IF(J257="idioms","2",IF(J257="grades",2,IF(J257="syllable-digit pairs",3,IF(J257="trigram-word pairs",3,IF(J257="word-digit pairs",3,IF(J257="English-Swahili pairs",3,IF(J257="spatial position",3,IF(J257="word pairs",4,IF(J257="word triads",4,IF(J257="generated words",4,IF(J257="word definition pairs",4,IF(J257="math problems",4,IF(J257="famous faces",4,IF(J257="famous names",4,IF(J257="famous voices",4,IF(J257="television programs",4,IF(J257="race horses",4,IF(J257="new vocabulary",4,IF(J257="sentences",5,IF(J257="concepts",5,IF(J257="ad slides",5,IF(J257="scenes",5,IF(J257="famous scenes",5,IF(J257="poems",6,IF(J257="walk",6,IF(J257="faces and events",6,IF(J257="events and names",6,IF(J257="flashbulb",7,IF(J257="stories",7,IF(J257="course material",7,IF(J257="autobiographical",7,IF(J257="novels",7,IF(J257="public events",7,"99"))))))))))))))))))))))))))))))))))))))))))))))</f>
        <v>2</v>
      </c>
      <c r="M257" s="60">
        <v>1</v>
      </c>
      <c r="N257" s="60">
        <v>2</v>
      </c>
      <c r="O257" s="60">
        <v>1</v>
      </c>
      <c r="P257" s="60" t="s">
        <v>129</v>
      </c>
      <c r="Q257" s="60" t="s">
        <v>65</v>
      </c>
      <c r="R257" s="60">
        <f>IF(Q257="Free Recall",1,IF(Q257="Cued Recall",2,IF(Q257="Recognition",3,IF(Q257="Multiple Choice",4,IF(Q257="Savings",5,IF(Q257="Stem Completion",6,IF(Q257="Fragment Completion",7,IF(Q257="anagram solution",8,IF(Q257="Matching",9,IF(Q257="Problem Solving",10,"99"))))))))))</f>
        <v>2</v>
      </c>
      <c r="S257" s="60"/>
      <c r="T257" s="60" t="s">
        <v>261</v>
      </c>
      <c r="U257" s="60">
        <f>IF(T257="within",1,0)</f>
        <v>0</v>
      </c>
      <c r="V257" s="60">
        <v>56</v>
      </c>
      <c r="W257" s="60">
        <f>F257*V257</f>
        <v>6720</v>
      </c>
      <c r="X257" s="60">
        <v>3</v>
      </c>
      <c r="Y257" s="76">
        <f>AV256</f>
        <v>58</v>
      </c>
      <c r="Z257" s="60" t="s">
        <v>131</v>
      </c>
      <c r="AA257" s="60">
        <v>432000</v>
      </c>
      <c r="AB257" s="60" t="str">
        <f>IF(AA257&lt;60,"1",IF(AA257&lt;=43200,"2",IF(AA257&lt;=777600,"3","4")))</f>
        <v>3</v>
      </c>
      <c r="AC257" s="56">
        <f>AVERAGE(AV256:DA256)</f>
        <v>172819.33333333334</v>
      </c>
      <c r="AD257" s="60" t="str">
        <f>IF(AC257&lt;60,"1",IF(AC257&lt;=43200,"2",IF(AC257&lt;=777600,"3","4")))</f>
        <v>3</v>
      </c>
      <c r="AE257" s="76">
        <f>AA257-Y257</f>
        <v>431942</v>
      </c>
      <c r="AF257" s="80">
        <f>AV257</f>
        <v>0.76500000000000001</v>
      </c>
      <c r="AG257" s="56">
        <f>((AW257-AV257)+(AX257-AW257))/2</f>
        <v>-8.550000000000002E-2</v>
      </c>
      <c r="AH257" s="4"/>
      <c r="AI257" s="56">
        <f>RSQ(AV257:AX257,AV256:AX256)</f>
        <v>0.99997557593336728</v>
      </c>
      <c r="AJ257" s="109">
        <f>SLOPE(AV257:AX257,AV256:AX256)</f>
        <v>-3.9520964178200022E-7</v>
      </c>
      <c r="AK257" s="56">
        <f>INTERCEPT(AV257:AX257,AV256:AX256)</f>
        <v>0.76463320015300407</v>
      </c>
      <c r="AL257" s="56">
        <f>INDEX(LINEST(LN(AV257:AX257),LN(AV256:AX256),TRUE,TRUE),3,1)</f>
        <v>0.58284974116752986</v>
      </c>
      <c r="AM257" s="56">
        <f>INDEX(LINEST(LN(AV257:AX257),LN(AV256:AX256)),1)</f>
        <v>-2.1626797899197983E-2</v>
      </c>
      <c r="AN257" s="56">
        <f>EXP(INDEX(LINEST(LN(AV257:AX257),LN(AV256:AX256)),1,2))</f>
        <v>0.84953673831112153</v>
      </c>
      <c r="AO257" s="82">
        <f>INDEX(LINEST((AV257:AX257),LN(AV256:AX256),TRUE,TRUE),3,1)</f>
        <v>0.60260338256922574</v>
      </c>
      <c r="AP257" s="82">
        <f>INDEX(LINEST((AV257:AX257),LN(AV256:AX256)),1)</f>
        <v>-1.4758271933403752E-2</v>
      </c>
      <c r="AQ257" s="83">
        <f>INDEX(LINEST(LN(AV257:AX257),SQRT(AV256:AX256),TRUE,TRUE),3,1)</f>
        <v>0.92340590790184007</v>
      </c>
      <c r="AR257" s="116">
        <f>INDEX(LINEST(LN(AV257:AX257),SQRT((AV256:AX256))),1)</f>
        <v>-3.9726430415178268E-4</v>
      </c>
      <c r="AS257" s="84">
        <f>INDEX(LINEST(1/(AV257:AX257),1/(SQRT(AV256:AX256)),TRUE,TRUE),3,1)</f>
        <v>0.4074335766520682</v>
      </c>
      <c r="AT257" s="84">
        <f>INDEX(LINEST(1/(AV257:AX257),1/SQRT(AV256:AX256)),1)</f>
        <v>-1.7299170504208508</v>
      </c>
      <c r="AU257" s="3"/>
      <c r="AV257" s="53">
        <v>0.76500000000000001</v>
      </c>
      <c r="AW257" s="53">
        <v>0.73</v>
      </c>
      <c r="AX257" s="53">
        <v>0.59399999999999997</v>
      </c>
      <c r="AY257" s="53"/>
      <c r="AZ257" s="53"/>
      <c r="BA257" s="53"/>
      <c r="BB257" s="53"/>
      <c r="BC257" s="53"/>
      <c r="BD257" s="53"/>
      <c r="BE257" s="53"/>
      <c r="BF257" s="53"/>
      <c r="BG257" s="53"/>
      <c r="BH257" s="53"/>
      <c r="BI257" s="53"/>
      <c r="BJ257" s="53"/>
      <c r="BK257" s="53"/>
      <c r="BL257" s="53"/>
      <c r="BM257" s="53"/>
      <c r="BN257" s="53"/>
      <c r="BO257" s="53"/>
      <c r="BP257" s="53"/>
      <c r="BQ257" s="53"/>
      <c r="BR257" s="53"/>
      <c r="BS257" s="53"/>
      <c r="BT257" s="53"/>
      <c r="BU257" s="53"/>
      <c r="BV257" s="53"/>
      <c r="BW257" s="53"/>
      <c r="BX257" s="53"/>
      <c r="BY257" s="53"/>
      <c r="BZ257" s="53"/>
      <c r="CA257" s="53"/>
      <c r="CB257" s="53"/>
      <c r="CC257" s="53"/>
      <c r="CD257" s="53"/>
      <c r="CE257" s="53"/>
      <c r="CF257" s="53"/>
      <c r="CG257" s="53"/>
      <c r="CH257" s="53"/>
      <c r="CI257" s="53"/>
      <c r="CJ257" s="53"/>
      <c r="CK257" s="53"/>
      <c r="CL257" s="53"/>
      <c r="CM257" s="53"/>
      <c r="CN257" s="53"/>
      <c r="CO257" s="53"/>
      <c r="CP257" s="53"/>
      <c r="CQ257" s="53"/>
      <c r="CR257" s="1"/>
      <c r="CS257" s="1"/>
      <c r="CT257" s="1"/>
      <c r="CU257" s="1"/>
    </row>
    <row r="258" spans="1:99" s="13" customFormat="1" ht="12" customHeight="1" x14ac:dyDescent="0.2">
      <c r="A258" s="65">
        <v>43509</v>
      </c>
      <c r="B258" s="1"/>
      <c r="C258" s="1"/>
      <c r="D258" s="60"/>
      <c r="E258" s="76"/>
      <c r="F258" s="60"/>
      <c r="G258" s="60"/>
      <c r="H258" s="60"/>
      <c r="I258" s="60"/>
      <c r="J258" s="60"/>
      <c r="K258" s="64"/>
      <c r="L258" s="64"/>
      <c r="M258" s="60"/>
      <c r="N258" s="60"/>
      <c r="O258" s="60"/>
      <c r="P258" s="60"/>
      <c r="Q258" s="60"/>
      <c r="R258" s="60"/>
      <c r="S258" s="60"/>
      <c r="T258" s="60"/>
      <c r="U258" s="60"/>
      <c r="V258" s="60"/>
      <c r="W258" s="60"/>
      <c r="X258" s="60"/>
      <c r="Y258" s="76"/>
      <c r="Z258" s="60"/>
      <c r="AA258" s="60"/>
      <c r="AB258" s="60"/>
      <c r="AC258" s="60"/>
      <c r="AD258" s="60"/>
      <c r="AE258" s="60"/>
      <c r="AF258" s="80"/>
      <c r="AG258" s="56"/>
      <c r="AH258" s="4"/>
      <c r="AI258" s="56"/>
      <c r="AJ258" s="109"/>
      <c r="AK258" s="56"/>
      <c r="AL258" s="56"/>
      <c r="AM258" s="56"/>
      <c r="AN258" s="56"/>
      <c r="AO258" s="56"/>
      <c r="AP258" s="56"/>
      <c r="AQ258" s="82"/>
      <c r="AR258" s="115"/>
      <c r="AS258" s="82"/>
      <c r="AT258" s="82"/>
      <c r="AU258" s="4"/>
      <c r="AV258" s="25">
        <v>58</v>
      </c>
      <c r="AW258" s="25">
        <f>24*3600*1</f>
        <v>86400</v>
      </c>
      <c r="AX258" s="25">
        <f>24*3600*5</f>
        <v>432000</v>
      </c>
      <c r="AY258" s="53"/>
      <c r="AZ258" s="53"/>
      <c r="BA258" s="53"/>
      <c r="BB258" s="53"/>
      <c r="BC258" s="53"/>
      <c r="BD258" s="53"/>
      <c r="BE258" s="53"/>
      <c r="BF258" s="53"/>
      <c r="BG258" s="53"/>
      <c r="BH258" s="53"/>
      <c r="BI258" s="53"/>
      <c r="BJ258" s="53"/>
      <c r="BK258" s="53"/>
      <c r="BL258" s="53"/>
      <c r="BM258" s="53"/>
      <c r="BN258" s="53"/>
      <c r="BO258" s="53"/>
      <c r="BP258" s="53"/>
      <c r="BQ258" s="53"/>
      <c r="BR258" s="53"/>
      <c r="BS258" s="53"/>
      <c r="BT258" s="53"/>
      <c r="BU258" s="53"/>
      <c r="BV258" s="53"/>
      <c r="BW258" s="53"/>
      <c r="BX258" s="53"/>
      <c r="BY258" s="53"/>
      <c r="BZ258" s="53"/>
      <c r="CA258" s="53"/>
      <c r="CB258" s="53"/>
      <c r="CC258" s="53"/>
      <c r="CD258" s="53"/>
      <c r="CE258" s="53"/>
      <c r="CF258" s="53"/>
      <c r="CG258" s="53"/>
      <c r="CH258" s="53"/>
      <c r="CI258" s="53"/>
      <c r="CJ258" s="53"/>
      <c r="CK258" s="53"/>
      <c r="CL258" s="53"/>
      <c r="CM258" s="53"/>
      <c r="CN258" s="53"/>
      <c r="CO258" s="53"/>
      <c r="CP258" s="53"/>
      <c r="CQ258" s="53"/>
      <c r="CR258" s="1"/>
      <c r="CS258" s="1"/>
      <c r="CT258" s="1"/>
      <c r="CU258" s="1"/>
    </row>
    <row r="259" spans="1:99" s="13" customFormat="1" ht="12" customHeight="1" x14ac:dyDescent="0.2">
      <c r="A259" s="65">
        <v>43509</v>
      </c>
      <c r="B259" s="1" t="s">
        <v>128</v>
      </c>
      <c r="C259" s="1" t="s">
        <v>45</v>
      </c>
      <c r="D259" s="60">
        <v>1983</v>
      </c>
      <c r="E259" s="76">
        <v>1</v>
      </c>
      <c r="F259" s="60">
        <v>120</v>
      </c>
      <c r="G259" s="60">
        <v>20</v>
      </c>
      <c r="H259" s="60" t="s">
        <v>41</v>
      </c>
      <c r="I259" s="60" t="s">
        <v>132</v>
      </c>
      <c r="J259" s="60" t="s">
        <v>16</v>
      </c>
      <c r="K259" s="60">
        <f>IF(J259="syllables",1,IF(J259="trigrams",2,IF(J259="strings",3,IF(J259="visual array",4,IF(J259="characters",5,IF(J259="letters",6,IF(J259="free forms",7,IF(J259="odors",8,IF(J259="words",9,IF(J259="pictures",10,IF(J259="object pictures",11,IF(J259="faces",12,IF(J259="names",13,IF(J259="idioms",14,IF(J259="grades",15,IF(J259="syllable-digit pairs",16,IF(J259="trigram-word pairs",17,IF(J259="word-digit pairs",18,IF(J259="English-Swahili pairs",19,IF(J259="spatial position",20,IF(J259="word pairs",21,IF(J259="word triads",22,IF(J259="generated words",23,IF(J259="word definition pairs",24,IF(J259="math problems",25,IF(J259="famous faces",26,IF(J259="famous names",27,IF(J259="famous voices",28,IF(J259="television programs",29,IF(J259="race horses",30,IF(J259="new vocabulary",31,IF(J259="sentences",32,IF(J259="concepts",33,IF(J259="ad slides",34,IF(J259="scenes",35,IF(J259="famous scenes",36,IF(J259="poems",37,IF(J259="walk",38,IF(J259="faces and events",39,IF(J259="events and names",40,IF(J259="flashbulb",41,IF(J259="stories",42,IF(J259="course material",43,IF(J259="autobiographical",44,IF(J259="novels",45,IF(J259="public events",46,"99"))))))))))))))))))))))))))))))))))))))))))))))</f>
        <v>9</v>
      </c>
      <c r="L259" s="60">
        <f>IF(J259="syllables",1,IF(J259="trigrams",1,IF(J259="strings",1,IF(J259="visual array",1,IF(J259="characters",1,IF(J259="letters",1,IF(J259="free forms",1,IF(J259="odors",2,IF(J259="words",2,IF(J259="pictures",2,IF(J259="object pictures",2,IF(J259="faces",2,IF(J259="names",2,IF(J259="idioms","2",IF(J259="grades",2,IF(J259="syllable-digit pairs",3,IF(J259="trigram-word pairs",3,IF(J259="word-digit pairs",3,IF(J259="English-Swahili pairs",3,IF(J259="spatial position",3,IF(J259="word pairs",4,IF(J259="word triads",4,IF(J259="generated words",4,IF(J259="word definition pairs",4,IF(J259="math problems",4,IF(J259="famous faces",4,IF(J259="famous names",4,IF(J259="famous voices",4,IF(J259="television programs",4,IF(J259="race horses",4,IF(J259="new vocabulary",4,IF(J259="sentences",5,IF(J259="concepts",5,IF(J259="ad slides",5,IF(J259="scenes",5,IF(J259="famous scenes",5,IF(J259="poems",6,IF(J259="walk",6,IF(J259="faces and events",6,IF(J259="events and names",6,IF(J259="flashbulb",7,IF(J259="stories",7,IF(J259="course material",7,IF(J259="autobiographical",7,IF(J259="novels",7,IF(J259="public events",7,"99"))))))))))))))))))))))))))))))))))))))))))))))</f>
        <v>2</v>
      </c>
      <c r="M259" s="60">
        <v>0</v>
      </c>
      <c r="N259" s="60">
        <v>1</v>
      </c>
      <c r="O259" s="60">
        <v>1</v>
      </c>
      <c r="P259" s="60" t="s">
        <v>129</v>
      </c>
      <c r="Q259" s="60" t="s">
        <v>65</v>
      </c>
      <c r="R259" s="60">
        <f>IF(Q259="Free Recall",1,IF(Q259="Cued Recall",2,IF(Q259="Recognition",3,IF(Q259="Multiple Choice",4,IF(Q259="Savings",5,IF(Q259="Stem Completion",6,IF(Q259="Fragment Completion",7,IF(Q259="anagram solution",8,IF(Q259="Matching",9,IF(Q259="Problem Solving",10,"99"))))))))))</f>
        <v>2</v>
      </c>
      <c r="S259" s="60"/>
      <c r="T259" s="60" t="s">
        <v>261</v>
      </c>
      <c r="U259" s="60">
        <f>IF(T259="within",1,0)</f>
        <v>0</v>
      </c>
      <c r="V259" s="60">
        <v>56</v>
      </c>
      <c r="W259" s="60">
        <f>F259*V259</f>
        <v>6720</v>
      </c>
      <c r="X259" s="60">
        <v>3</v>
      </c>
      <c r="Y259" s="76">
        <f>AV258</f>
        <v>58</v>
      </c>
      <c r="Z259" s="60" t="s">
        <v>131</v>
      </c>
      <c r="AA259" s="60">
        <v>432000</v>
      </c>
      <c r="AB259" s="60" t="str">
        <f>IF(AA259&lt;60,"1",IF(AA259&lt;=43200,"2",IF(AA259&lt;=777600,"3","4")))</f>
        <v>3</v>
      </c>
      <c r="AC259" s="56">
        <f>AVERAGE(AV258:DA258)</f>
        <v>172819.33333333334</v>
      </c>
      <c r="AD259" s="60" t="str">
        <f>IF(AC259&lt;60,"1",IF(AC259&lt;=43200,"2",IF(AC259&lt;=777600,"3","4")))</f>
        <v>3</v>
      </c>
      <c r="AE259" s="76">
        <f>AA259-Y259</f>
        <v>431942</v>
      </c>
      <c r="AF259" s="80">
        <f>AV259</f>
        <v>0.55500000000000005</v>
      </c>
      <c r="AG259" s="56">
        <f>((AW259-AV259)+(AX259-AW259))/2</f>
        <v>-0.10300000000000004</v>
      </c>
      <c r="AH259" s="4"/>
      <c r="AI259" s="56">
        <f>RSQ(AV259:AX259,AV258:AX258)</f>
        <v>0.85965820701021933</v>
      </c>
      <c r="AJ259" s="109">
        <f>SLOPE(AV259:AX259,AV258:AX258)</f>
        <v>-4.1834150707955734E-7</v>
      </c>
      <c r="AK259" s="56">
        <f>INTERCEPT(AV259:AX259,AV258:AX258)</f>
        <v>0.52129750035915112</v>
      </c>
      <c r="AL259" s="56">
        <f>INDEX(LINEST(LN(AV259:AX259),LN(AV258:AX258),TRUE,TRUE),3,1)</f>
        <v>0.86942259634166352</v>
      </c>
      <c r="AM259" s="56">
        <f>INDEX(LINEST(LN(AV259:AX259),LN(AV258:AX258)),1)</f>
        <v>-4.5522882976467553E-2</v>
      </c>
      <c r="AN259" s="56">
        <f>EXP(INDEX(LINEST(LN(AV259:AX259),LN(AV258:AX258)),1,2))</f>
        <v>0.6787170444798275</v>
      </c>
      <c r="AO259" s="82">
        <f>INDEX(LINEST((AV259:AX259),LN(AV258:AX258),TRUE,TRUE),3,1)</f>
        <v>0.91095877000126646</v>
      </c>
      <c r="AP259" s="82">
        <f>INDEX(LINEST((AV259:AX259),LN(AV258:AX258)),1)</f>
        <v>-2.0715923620466033E-2</v>
      </c>
      <c r="AQ259" s="83">
        <f>INDEX(LINEST(LN(AV259:AX259),SQRT(AV258:AX258),TRUE,TRUE),3,1)</f>
        <v>0.99729564184461894</v>
      </c>
      <c r="AR259" s="116">
        <f>INDEX(LINEST(LN(AV259:AX259),SQRT((AV258:AX258))),1)</f>
        <v>-7.115338382698281E-4</v>
      </c>
      <c r="AS259" s="84">
        <f>INDEX(LINEST(1/(AV259:AX259),1/(SQRT(AV258:AX258)),TRUE,TRUE),3,1)</f>
        <v>0.68718924928133673</v>
      </c>
      <c r="AT259" s="84">
        <f>INDEX(LINEST(1/(AV259:AX259),1/SQRT(AV258:AX258)),1)</f>
        <v>-5.9456430062478818</v>
      </c>
      <c r="AU259" s="3"/>
      <c r="AV259" s="53">
        <v>0.55500000000000005</v>
      </c>
      <c r="AW259" s="53">
        <v>0.443</v>
      </c>
      <c r="AX259" s="53">
        <v>0.34899999999999998</v>
      </c>
      <c r="AY259" s="53"/>
      <c r="AZ259" s="53"/>
      <c r="BA259" s="53"/>
      <c r="BB259" s="53"/>
      <c r="BC259" s="53"/>
      <c r="BD259" s="53"/>
      <c r="BE259" s="53"/>
      <c r="BF259" s="53"/>
      <c r="BG259" s="53"/>
      <c r="BH259" s="53"/>
      <c r="BI259" s="53"/>
      <c r="BJ259" s="53"/>
      <c r="BK259" s="53"/>
      <c r="BL259" s="53"/>
      <c r="BM259" s="53"/>
      <c r="BN259" s="53"/>
      <c r="BO259" s="53"/>
      <c r="BP259" s="53"/>
      <c r="BQ259" s="53"/>
      <c r="BR259" s="53"/>
      <c r="BS259" s="53"/>
      <c r="BT259" s="53"/>
      <c r="BU259" s="53"/>
      <c r="BV259" s="53"/>
      <c r="BW259" s="53"/>
      <c r="BX259" s="53"/>
      <c r="BY259" s="53"/>
      <c r="BZ259" s="53"/>
      <c r="CA259" s="53"/>
      <c r="CB259" s="53"/>
      <c r="CC259" s="53"/>
      <c r="CD259" s="53"/>
      <c r="CE259" s="53"/>
      <c r="CF259" s="53"/>
      <c r="CG259" s="53"/>
      <c r="CH259" s="53"/>
      <c r="CI259" s="53"/>
      <c r="CJ259" s="53"/>
      <c r="CK259" s="53"/>
      <c r="CL259" s="53"/>
      <c r="CM259" s="53"/>
      <c r="CN259" s="53"/>
      <c r="CO259" s="53"/>
      <c r="CP259" s="53"/>
      <c r="CQ259" s="53"/>
      <c r="CR259" s="1"/>
      <c r="CS259" s="1"/>
      <c r="CT259" s="1"/>
      <c r="CU259" s="1"/>
    </row>
    <row r="260" spans="1:99" s="13" customFormat="1" ht="12" customHeight="1" x14ac:dyDescent="0.2">
      <c r="A260" s="65">
        <v>43509</v>
      </c>
      <c r="B260" s="1"/>
      <c r="C260" s="1"/>
      <c r="D260" s="60"/>
      <c r="E260" s="76"/>
      <c r="F260" s="60"/>
      <c r="G260" s="60"/>
      <c r="H260" s="60"/>
      <c r="I260" s="60"/>
      <c r="J260" s="60"/>
      <c r="K260" s="64"/>
      <c r="L260" s="64"/>
      <c r="M260" s="60"/>
      <c r="N260" s="60"/>
      <c r="O260" s="60"/>
      <c r="P260" s="60"/>
      <c r="Q260" s="60"/>
      <c r="R260" s="60"/>
      <c r="S260" s="60"/>
      <c r="T260" s="60"/>
      <c r="U260" s="60"/>
      <c r="V260" s="60"/>
      <c r="W260" s="60"/>
      <c r="X260" s="60"/>
      <c r="Y260" s="76"/>
      <c r="Z260" s="60"/>
      <c r="AA260" s="60"/>
      <c r="AB260" s="60"/>
      <c r="AC260" s="60"/>
      <c r="AD260" s="60"/>
      <c r="AE260" s="60"/>
      <c r="AF260" s="80"/>
      <c r="AG260" s="56"/>
      <c r="AH260" s="4"/>
      <c r="AI260" s="56"/>
      <c r="AJ260" s="109"/>
      <c r="AK260" s="56"/>
      <c r="AL260" s="56"/>
      <c r="AM260" s="56"/>
      <c r="AN260" s="56"/>
      <c r="AO260" s="56"/>
      <c r="AP260" s="56"/>
      <c r="AQ260" s="82"/>
      <c r="AR260" s="115"/>
      <c r="AS260" s="82"/>
      <c r="AT260" s="82"/>
      <c r="AU260" s="4"/>
      <c r="AV260" s="25">
        <v>70</v>
      </c>
      <c r="AW260" s="25">
        <f>24*3600*1</f>
        <v>86400</v>
      </c>
      <c r="AX260" s="25">
        <f>24*3600*5</f>
        <v>432000</v>
      </c>
      <c r="AY260" s="53" t="s">
        <v>532</v>
      </c>
      <c r="AZ260" s="53"/>
      <c r="BA260" s="53"/>
      <c r="BB260" s="53"/>
      <c r="BC260" s="53"/>
      <c r="BD260" s="53"/>
      <c r="BE260" s="53"/>
      <c r="BF260" s="53"/>
      <c r="BG260" s="53"/>
      <c r="BH260" s="53"/>
      <c r="BI260" s="53"/>
      <c r="BJ260" s="53"/>
      <c r="BK260" s="53"/>
      <c r="BL260" s="53"/>
      <c r="BM260" s="53"/>
      <c r="BN260" s="53"/>
      <c r="BO260" s="53"/>
      <c r="BP260" s="53"/>
      <c r="BQ260" s="53"/>
      <c r="BR260" s="53"/>
      <c r="BS260" s="53"/>
      <c r="BT260" s="53"/>
      <c r="BU260" s="53"/>
      <c r="BV260" s="53"/>
      <c r="BW260" s="53"/>
      <c r="BX260" s="53"/>
      <c r="BY260" s="53"/>
      <c r="BZ260" s="53"/>
      <c r="CA260" s="53"/>
      <c r="CB260" s="53"/>
      <c r="CC260" s="53"/>
      <c r="CD260" s="53"/>
      <c r="CE260" s="53"/>
      <c r="CF260" s="53"/>
      <c r="CG260" s="53"/>
      <c r="CH260" s="53"/>
      <c r="CI260" s="53"/>
      <c r="CJ260" s="53"/>
      <c r="CK260" s="53"/>
      <c r="CL260" s="53"/>
      <c r="CM260" s="53"/>
      <c r="CN260" s="53"/>
      <c r="CO260" s="53"/>
      <c r="CP260" s="53"/>
      <c r="CQ260" s="53"/>
      <c r="CR260" s="1"/>
      <c r="CS260" s="1"/>
      <c r="CT260" s="1"/>
      <c r="CU260" s="1"/>
    </row>
    <row r="261" spans="1:99" s="13" customFormat="1" ht="12" customHeight="1" x14ac:dyDescent="0.2">
      <c r="A261" s="65">
        <v>43509</v>
      </c>
      <c r="B261" s="1" t="s">
        <v>128</v>
      </c>
      <c r="C261" s="1" t="s">
        <v>45</v>
      </c>
      <c r="D261" s="60">
        <v>1983</v>
      </c>
      <c r="E261" s="76">
        <v>2</v>
      </c>
      <c r="F261" s="60">
        <v>120</v>
      </c>
      <c r="G261" s="60">
        <v>20</v>
      </c>
      <c r="H261" s="60" t="s">
        <v>32</v>
      </c>
      <c r="I261" s="60" t="s">
        <v>130</v>
      </c>
      <c r="J261" s="60" t="s">
        <v>320</v>
      </c>
      <c r="K261" s="60">
        <f>IF(J261="syllables",1,IF(J261="trigrams",2,IF(J261="strings",3,IF(J261="visual array",4,IF(J261="characters",5,IF(J261="letters",6,IF(J261="free forms",7,IF(J261="odors",8,IF(J261="words",9,IF(J261="pictures",10,IF(J261="object pictures",11,IF(J261="faces",12,IF(J261="names",13,IF(J261="idioms",14,IF(J261="grades",15,IF(J261="syllable-digit pairs",16,IF(J261="trigram-word pairs",17,IF(J261="word-digit pairs",18,IF(J261="English-Swahili pairs",19,IF(J261="spatial position",20,IF(J261="word pairs",21,IF(J261="word triads",22,IF(J261="generated words",23,IF(J261="word definition pairs",24,IF(J261="math problems",25,IF(J261="famous faces",26,IF(J261="famous names",27,IF(J261="famous voices",28,IF(J261="television programs",29,IF(J261="race horses",30,IF(J261="new vocabulary",31,IF(J261="sentences",32,IF(J261="concepts",33,IF(J261="ad slides",34,IF(J261="scenes",35,IF(J261="famous scenes",36,IF(J261="poems",37,IF(J261="walk",38,IF(J261="faces and events",39,IF(J261="events and names",40,IF(J261="flashbulb",41,IF(J261="stories",42,IF(J261="course material",43,IF(J261="autobiographical",44,IF(J261="novels",45,IF(J261="public events",46,"99"))))))))))))))))))))))))))))))))))))))))))))))</f>
        <v>21</v>
      </c>
      <c r="L261" s="60">
        <f>IF(J261="syllables",1,IF(J261="trigrams",1,IF(J261="strings",1,IF(J261="visual array",1,IF(J261="characters",1,IF(J261="letters",1,IF(J261="free forms",1,IF(J261="odors",2,IF(J261="words",2,IF(J261="pictures",2,IF(J261="object pictures",2,IF(J261="faces",2,IF(J261="names",2,IF(J261="idioms","2",IF(J261="grades",2,IF(J261="syllable-digit pairs",3,IF(J261="trigram-word pairs",3,IF(J261="word-digit pairs",3,IF(J261="English-Swahili pairs",3,IF(J261="spatial position",3,IF(J261="word pairs",4,IF(J261="word triads",4,IF(J261="generated words",4,IF(J261="word definition pairs",4,IF(J261="math problems",4,IF(J261="famous faces",4,IF(J261="famous names",4,IF(J261="famous voices",4,IF(J261="television programs",4,IF(J261="race horses",4,IF(J261="new vocabulary",4,IF(J261="sentences",5,IF(J261="concepts",5,IF(J261="ad slides",5,IF(J261="scenes",5,IF(J261="famous scenes",5,IF(J261="poems",6,IF(J261="walk",6,IF(J261="faces and events",6,IF(J261="events and names",6,IF(J261="flashbulb",7,IF(J261="stories",7,IF(J261="course material",7,IF(J261="autobiographical",7,IF(J261="novels",7,IF(J261="public events",7,"99"))))))))))))))))))))))))))))))))))))))))))))))</f>
        <v>4</v>
      </c>
      <c r="M261" s="60">
        <v>1</v>
      </c>
      <c r="N261" s="60">
        <v>2</v>
      </c>
      <c r="O261" s="60">
        <v>1</v>
      </c>
      <c r="P261" s="60" t="s">
        <v>129</v>
      </c>
      <c r="Q261" s="60" t="s">
        <v>174</v>
      </c>
      <c r="R261" s="60">
        <f>IF(Q261="Free Recall",1,IF(Q261="Cued Recall",2,IF(Q261="Recognition",3,IF(Q261="Multiple Choice",4,IF(Q261="Savings",5,IF(Q261="Stem Completion",6,IF(Q261="Fragment Completion",7,IF(Q261="anagram solution",8,IF(Q261="Matching",9,IF(Q261="Problem Solving",10,"99"))))))))))</f>
        <v>1</v>
      </c>
      <c r="S261" s="60"/>
      <c r="T261" s="60" t="s">
        <v>261</v>
      </c>
      <c r="U261" s="60">
        <f>IF(T261="within",1,0)</f>
        <v>0</v>
      </c>
      <c r="V261" s="60">
        <v>20</v>
      </c>
      <c r="W261" s="60">
        <f>F261*V261</f>
        <v>2400</v>
      </c>
      <c r="X261" s="60">
        <v>3</v>
      </c>
      <c r="Y261" s="76">
        <f>AV260</f>
        <v>70</v>
      </c>
      <c r="Z261" s="60" t="s">
        <v>131</v>
      </c>
      <c r="AA261" s="60">
        <v>432000</v>
      </c>
      <c r="AB261" s="60" t="str">
        <f>IF(AA261&lt;60,"1",IF(AA261&lt;=43200,"2",IF(AA261&lt;=777600,"3","4")))</f>
        <v>3</v>
      </c>
      <c r="AC261" s="56">
        <f>AVERAGE(AV260:DA260)</f>
        <v>172823.33333333334</v>
      </c>
      <c r="AD261" s="60" t="str">
        <f>IF(AC261&lt;60,"1",IF(AC261&lt;=43200,"2",IF(AC261&lt;=777600,"3","4")))</f>
        <v>3</v>
      </c>
      <c r="AE261" s="76">
        <f>AA261-Y261</f>
        <v>431930</v>
      </c>
      <c r="AF261" s="80">
        <f>AV261</f>
        <v>0.79700000000000004</v>
      </c>
      <c r="AG261" s="56">
        <f>((AW261-AV261)+(AX261-AW261))/2</f>
        <v>-0.19800000000000001</v>
      </c>
      <c r="AH261" s="4"/>
      <c r="AI261" s="56">
        <f>RSQ(AV261:AX261,AV260:AX260)</f>
        <v>0.68265258553051256</v>
      </c>
      <c r="AJ261" s="109">
        <f>SLOPE(AV261:AX261,AV260:AX260)</f>
        <v>-7.4158571722475753E-7</v>
      </c>
      <c r="AK261" s="56">
        <f>INTERCEPT(AV261:AX261,AV260:AX260)</f>
        <v>0.69616331560317324</v>
      </c>
      <c r="AL261" s="56">
        <f>INDEX(LINEST(LN(AV261:AX261),LN(AV260:AX260),TRUE,TRUE),3,1)</f>
        <v>0.97295827523348288</v>
      </c>
      <c r="AM261" s="56">
        <f>INDEX(LINEST(LN(AV261:AX261),LN(AV260:AX260)),1)</f>
        <v>-7.4195209043765004E-2</v>
      </c>
      <c r="AN261" s="56">
        <f>EXP(INDEX(LINEST(LN(AV261:AX261),LN(AV260:AX260)),1,2))</f>
        <v>1.1049621536044099</v>
      </c>
      <c r="AO261" s="82">
        <f>INDEX(LINEST((AV261:AX261),LN(AV260:AX260),TRUE,TRUE),3,1)</f>
        <v>0.9928516704587701</v>
      </c>
      <c r="AP261" s="82">
        <f>INDEX(LINEST((AV261:AX261),LN(AV260:AX260)),1)</f>
        <v>-4.4011945502281921E-2</v>
      </c>
      <c r="AQ261" s="83">
        <f>INDEX(LINEST(LN(AV261:AX261),SQRT(AV260:AX260),TRUE,TRUE),3,1)</f>
        <v>0.93718105886695957</v>
      </c>
      <c r="AR261" s="116">
        <f>INDEX(LINEST(LN(AV261:AX261),SQRT((AV260:AX260))),1)</f>
        <v>-1.0399230018117492E-3</v>
      </c>
      <c r="AS261" s="84">
        <f>INDEX(LINEST(1/(AV261:AX261),1/(SQRT(AV260:AX260)),TRUE,TRUE),3,1)</f>
        <v>0.83753336968797298</v>
      </c>
      <c r="AT261" s="84">
        <f>INDEX(LINEST(1/(AV261:AX261),1/SQRT(AV260:AX260)),1)</f>
        <v>-8.4260621831636175</v>
      </c>
      <c r="AU261" s="3"/>
      <c r="AV261" s="53">
        <v>0.79700000000000004</v>
      </c>
      <c r="AW261" s="53">
        <v>0.50600000000000001</v>
      </c>
      <c r="AX261" s="53">
        <v>0.40100000000000002</v>
      </c>
      <c r="AY261" s="53"/>
      <c r="AZ261" s="53"/>
      <c r="BA261" s="53"/>
      <c r="BB261" s="53"/>
      <c r="BC261" s="53"/>
      <c r="BD261" s="53"/>
      <c r="BE261" s="53"/>
      <c r="BF261" s="53"/>
      <c r="BG261" s="53"/>
      <c r="BH261" s="53"/>
      <c r="BI261" s="53"/>
      <c r="BJ261" s="53"/>
      <c r="BK261" s="53"/>
      <c r="BL261" s="53"/>
      <c r="BM261" s="53"/>
      <c r="BN261" s="53"/>
      <c r="BO261" s="53"/>
      <c r="BP261" s="53"/>
      <c r="BQ261" s="53"/>
      <c r="BR261" s="53"/>
      <c r="BS261" s="53"/>
      <c r="BT261" s="53"/>
      <c r="BU261" s="53"/>
      <c r="BV261" s="53"/>
      <c r="BW261" s="53"/>
      <c r="BX261" s="53"/>
      <c r="BY261" s="53"/>
      <c r="BZ261" s="53"/>
      <c r="CA261" s="53"/>
      <c r="CB261" s="53"/>
      <c r="CC261" s="53"/>
      <c r="CD261" s="53"/>
      <c r="CE261" s="53"/>
      <c r="CF261" s="53"/>
      <c r="CG261" s="53"/>
      <c r="CH261" s="53"/>
      <c r="CI261" s="53"/>
      <c r="CJ261" s="53"/>
      <c r="CK261" s="53"/>
      <c r="CL261" s="53"/>
      <c r="CM261" s="53"/>
      <c r="CN261" s="53"/>
      <c r="CO261" s="53"/>
      <c r="CP261" s="53"/>
      <c r="CQ261" s="53"/>
      <c r="CR261" s="1"/>
      <c r="CS261" s="1"/>
      <c r="CT261" s="1"/>
      <c r="CU261" s="1"/>
    </row>
    <row r="262" spans="1:99" s="13" customFormat="1" ht="12" customHeight="1" x14ac:dyDescent="0.2">
      <c r="A262" s="65">
        <v>43509</v>
      </c>
      <c r="B262" s="1"/>
      <c r="C262" s="1"/>
      <c r="D262" s="60"/>
      <c r="E262" s="76"/>
      <c r="F262" s="60"/>
      <c r="G262" s="60"/>
      <c r="H262" s="60"/>
      <c r="I262" s="60"/>
      <c r="J262" s="60"/>
      <c r="K262" s="64"/>
      <c r="L262" s="64"/>
      <c r="M262" s="60"/>
      <c r="N262" s="60"/>
      <c r="O262" s="60"/>
      <c r="P262" s="60"/>
      <c r="Q262" s="60"/>
      <c r="R262" s="60"/>
      <c r="S262" s="60"/>
      <c r="T262" s="60"/>
      <c r="U262" s="60"/>
      <c r="V262" s="60"/>
      <c r="W262" s="60"/>
      <c r="X262" s="60"/>
      <c r="Y262" s="76"/>
      <c r="Z262" s="60"/>
      <c r="AA262" s="60"/>
      <c r="AB262" s="60"/>
      <c r="AC262" s="60"/>
      <c r="AD262" s="60"/>
      <c r="AE262" s="60"/>
      <c r="AF262" s="80"/>
      <c r="AG262" s="56"/>
      <c r="AH262" s="4"/>
      <c r="AI262" s="56"/>
      <c r="AJ262" s="109"/>
      <c r="AK262" s="56"/>
      <c r="AL262" s="56"/>
      <c r="AM262" s="56"/>
      <c r="AN262" s="56"/>
      <c r="AO262" s="56"/>
      <c r="AP262" s="56"/>
      <c r="AQ262" s="82"/>
      <c r="AR262" s="115"/>
      <c r="AS262" s="82"/>
      <c r="AT262" s="82"/>
      <c r="AU262" s="4"/>
      <c r="AV262" s="25">
        <v>70</v>
      </c>
      <c r="AW262" s="25">
        <f>24*3600*1</f>
        <v>86400</v>
      </c>
      <c r="AX262" s="25">
        <f>24*3600*5</f>
        <v>432000</v>
      </c>
      <c r="AY262" s="53"/>
      <c r="AZ262" s="53"/>
      <c r="BA262" s="53"/>
      <c r="BB262" s="53"/>
      <c r="BC262" s="53"/>
      <c r="BD262" s="53"/>
      <c r="BE262" s="53"/>
      <c r="BF262" s="53"/>
      <c r="BG262" s="53"/>
      <c r="BH262" s="53"/>
      <c r="BI262" s="53"/>
      <c r="BJ262" s="53"/>
      <c r="BK262" s="53"/>
      <c r="BL262" s="53"/>
      <c r="BM262" s="53"/>
      <c r="BN262" s="53"/>
      <c r="BO262" s="53"/>
      <c r="BP262" s="53"/>
      <c r="BQ262" s="53"/>
      <c r="BR262" s="53"/>
      <c r="BS262" s="53"/>
      <c r="BT262" s="53"/>
      <c r="BU262" s="53"/>
      <c r="BV262" s="53"/>
      <c r="BW262" s="53"/>
      <c r="BX262" s="53"/>
      <c r="BY262" s="53"/>
      <c r="BZ262" s="53"/>
      <c r="CA262" s="53"/>
      <c r="CB262" s="53"/>
      <c r="CC262" s="53"/>
      <c r="CD262" s="53"/>
      <c r="CE262" s="53"/>
      <c r="CF262" s="53"/>
      <c r="CG262" s="53"/>
      <c r="CH262" s="53"/>
      <c r="CI262" s="53"/>
      <c r="CJ262" s="53"/>
      <c r="CK262" s="53"/>
      <c r="CL262" s="53"/>
      <c r="CM262" s="53"/>
      <c r="CN262" s="53"/>
      <c r="CO262" s="53"/>
      <c r="CP262" s="53"/>
      <c r="CQ262" s="53"/>
      <c r="CR262" s="1"/>
      <c r="CS262" s="1"/>
      <c r="CT262" s="1"/>
      <c r="CU262" s="1"/>
    </row>
    <row r="263" spans="1:99" s="13" customFormat="1" ht="12" customHeight="1" x14ac:dyDescent="0.2">
      <c r="A263" s="65">
        <v>43509</v>
      </c>
      <c r="B263" s="1" t="s">
        <v>128</v>
      </c>
      <c r="C263" s="1" t="s">
        <v>45</v>
      </c>
      <c r="D263" s="60">
        <v>1983</v>
      </c>
      <c r="E263" s="76">
        <v>2</v>
      </c>
      <c r="F263" s="60">
        <v>120</v>
      </c>
      <c r="G263" s="60">
        <v>20</v>
      </c>
      <c r="H263" s="60" t="s">
        <v>32</v>
      </c>
      <c r="I263" s="60" t="s">
        <v>132</v>
      </c>
      <c r="J263" s="60" t="s">
        <v>320</v>
      </c>
      <c r="K263" s="60">
        <f>IF(J263="syllables",1,IF(J263="trigrams",2,IF(J263="strings",3,IF(J263="visual array",4,IF(J263="characters",5,IF(J263="letters",6,IF(J263="free forms",7,IF(J263="odors",8,IF(J263="words",9,IF(J263="pictures",10,IF(J263="object pictures",11,IF(J263="faces",12,IF(J263="names",13,IF(J263="idioms",14,IF(J263="grades",15,IF(J263="syllable-digit pairs",16,IF(J263="trigram-word pairs",17,IF(J263="word-digit pairs",18,IF(J263="English-Swahili pairs",19,IF(J263="spatial position",20,IF(J263="word pairs",21,IF(J263="word triads",22,IF(J263="generated words",23,IF(J263="word definition pairs",24,IF(J263="math problems",25,IF(J263="famous faces",26,IF(J263="famous names",27,IF(J263="famous voices",28,IF(J263="television programs",29,IF(J263="race horses",30,IF(J263="new vocabulary",31,IF(J263="sentences",32,IF(J263="concepts",33,IF(J263="ad slides",34,IF(J263="scenes",35,IF(J263="famous scenes",36,IF(J263="poems",37,IF(J263="walk",38,IF(J263="faces and events",39,IF(J263="events and names",40,IF(J263="flashbulb",41,IF(J263="stories",42,IF(J263="course material",43,IF(J263="autobiographical",44,IF(J263="novels",45,IF(J263="public events",46,"99"))))))))))))))))))))))))))))))))))))))))))))))</f>
        <v>21</v>
      </c>
      <c r="L263" s="60">
        <f>IF(J263="syllables",1,IF(J263="trigrams",1,IF(J263="strings",1,IF(J263="visual array",1,IF(J263="characters",1,IF(J263="letters",1,IF(J263="free forms",1,IF(J263="odors",2,IF(J263="words",2,IF(J263="pictures",2,IF(J263="object pictures",2,IF(J263="faces",2,IF(J263="names",2,IF(J263="idioms","2",IF(J263="grades",2,IF(J263="syllable-digit pairs",3,IF(J263="trigram-word pairs",3,IF(J263="word-digit pairs",3,IF(J263="English-Swahili pairs",3,IF(J263="spatial position",3,IF(J263="word pairs",4,IF(J263="word triads",4,IF(J263="generated words",4,IF(J263="word definition pairs",4,IF(J263="math problems",4,IF(J263="famous faces",4,IF(J263="famous names",4,IF(J263="famous voices",4,IF(J263="television programs",4,IF(J263="race horses",4,IF(J263="new vocabulary",4,IF(J263="sentences",5,IF(J263="concepts",5,IF(J263="ad slides",5,IF(J263="scenes",5,IF(J263="famous scenes",5,IF(J263="poems",6,IF(J263="walk",6,IF(J263="faces and events",6,IF(J263="events and names",6,IF(J263="flashbulb",7,IF(J263="stories",7,IF(J263="course material",7,IF(J263="autobiographical",7,IF(J263="novels",7,IF(J263="public events",7,"99"))))))))))))))))))))))))))))))))))))))))))))))</f>
        <v>4</v>
      </c>
      <c r="M263" s="60">
        <v>1</v>
      </c>
      <c r="N263" s="60">
        <v>1</v>
      </c>
      <c r="O263" s="60">
        <v>1</v>
      </c>
      <c r="P263" s="60" t="s">
        <v>129</v>
      </c>
      <c r="Q263" s="60" t="s">
        <v>174</v>
      </c>
      <c r="R263" s="60">
        <f>IF(Q263="Free Recall",1,IF(Q263="Cued Recall",2,IF(Q263="Recognition",3,IF(Q263="Multiple Choice",4,IF(Q263="Savings",5,IF(Q263="Stem Completion",6,IF(Q263="Fragment Completion",7,IF(Q263="anagram solution",8,IF(Q263="Matching",9,IF(Q263="Problem Solving",10,"99"))))))))))</f>
        <v>1</v>
      </c>
      <c r="S263" s="60"/>
      <c r="T263" s="60" t="s">
        <v>261</v>
      </c>
      <c r="U263" s="60">
        <f>IF(T263="within",1,0)</f>
        <v>0</v>
      </c>
      <c r="V263" s="60">
        <v>20</v>
      </c>
      <c r="W263" s="60">
        <f>F263*V263</f>
        <v>2400</v>
      </c>
      <c r="X263" s="60">
        <v>3</v>
      </c>
      <c r="Y263" s="76">
        <f>AV262</f>
        <v>70</v>
      </c>
      <c r="Z263" s="60" t="s">
        <v>131</v>
      </c>
      <c r="AA263" s="60">
        <v>432000</v>
      </c>
      <c r="AB263" s="60" t="str">
        <f>IF(AA263&lt;60,"1",IF(AA263&lt;=43200,"2",IF(AA263&lt;=777600,"3","4")))</f>
        <v>3</v>
      </c>
      <c r="AC263" s="56">
        <f>AVERAGE(AV262:DA262)</f>
        <v>172823.33333333334</v>
      </c>
      <c r="AD263" s="60" t="str">
        <f>IF(AC263&lt;60,"1",IF(AC263&lt;=43200,"2",IF(AC263&lt;=777600,"3","4")))</f>
        <v>3</v>
      </c>
      <c r="AE263" s="76">
        <f>AA263-Y263</f>
        <v>431930</v>
      </c>
      <c r="AF263" s="80">
        <f>AV263</f>
        <v>0.57399999999999995</v>
      </c>
      <c r="AG263" s="56">
        <f>((AW263-AV263)+(AX263-AW263))/2</f>
        <v>-0.19949999999999998</v>
      </c>
      <c r="AH263" s="4"/>
      <c r="AI263" s="56">
        <f>RSQ(AV263:AX263,AV262:AX262)</f>
        <v>0.86939209291640096</v>
      </c>
      <c r="AJ263" s="109">
        <f>SLOPE(AV263:AX263,AV262:AX262)</f>
        <v>-8.1437085427653099E-7</v>
      </c>
      <c r="AK263" s="56">
        <f>INTERCEPT(AV263:AX263,AV262:AX262)</f>
        <v>0.51107561893891773</v>
      </c>
      <c r="AL263" s="56">
        <f>INDEX(LINEST(LN(AV263:AX263),LN(AV262:AX262),TRUE,TRUE),3,1)</f>
        <v>0.78841649033223182</v>
      </c>
      <c r="AM263" s="56">
        <f>INDEX(LINEST(LN(AV263:AX263),LN(AV262:AX262)),1)</f>
        <v>-0.11448742767495147</v>
      </c>
      <c r="AN263" s="56">
        <f>EXP(INDEX(LINEST(LN(AV263:AX263),LN(AV262:AX262)),1,2))</f>
        <v>0.98647620192900165</v>
      </c>
      <c r="AO263" s="82">
        <f>INDEX(LINEST((AV263:AX263),LN(AV262:AX262),TRUE,TRUE),3,1)</f>
        <v>0.90501248680108948</v>
      </c>
      <c r="AP263" s="82">
        <f>INDEX(LINEST((AV263:AX263),LN(AV262:AX262)),1)</f>
        <v>-4.0889194847966055E-2</v>
      </c>
      <c r="AQ263" s="83">
        <f>INDEX(LINEST(LN(AV263:AX263),SQRT(AV262:AX262),TRUE,TRUE),3,1)</f>
        <v>0.99647071957632716</v>
      </c>
      <c r="AR263" s="116">
        <f>INDEX(LINEST(LN(AV263:AX263),SQRT((AV262:AX262))),1)</f>
        <v>-1.8381159234734782E-3</v>
      </c>
      <c r="AS263" s="84">
        <f>INDEX(LINEST(1/(AV263:AX263),1/(SQRT(AV262:AX262)),TRUE,TRUE),3,1)</f>
        <v>0.50200121068240511</v>
      </c>
      <c r="AT263" s="84">
        <f>INDEX(LINEST(1/(AV263:AX263),1/SQRT(AV262:AX262)),1)</f>
        <v>-21.623535082847894</v>
      </c>
      <c r="AU263" s="3"/>
      <c r="AV263" s="53">
        <v>0.57399999999999995</v>
      </c>
      <c r="AW263" s="53">
        <v>0.36199999999999999</v>
      </c>
      <c r="AX263" s="53">
        <v>0.17499999999999999</v>
      </c>
      <c r="AY263" s="53"/>
      <c r="AZ263" s="53"/>
      <c r="BA263" s="53"/>
      <c r="BB263" s="53"/>
      <c r="BC263" s="53"/>
      <c r="BD263" s="53"/>
      <c r="BE263" s="53"/>
      <c r="BF263" s="53"/>
      <c r="BG263" s="53"/>
      <c r="BH263" s="53"/>
      <c r="BI263" s="53"/>
      <c r="BJ263" s="53"/>
      <c r="BK263" s="53"/>
      <c r="BL263" s="53"/>
      <c r="BM263" s="53"/>
      <c r="BN263" s="53"/>
      <c r="BO263" s="53"/>
      <c r="BP263" s="53"/>
      <c r="BQ263" s="53"/>
      <c r="BR263" s="53"/>
      <c r="BS263" s="53"/>
      <c r="BT263" s="53"/>
      <c r="BU263" s="53"/>
      <c r="BV263" s="53"/>
      <c r="BW263" s="53"/>
      <c r="BX263" s="53"/>
      <c r="BY263" s="53"/>
      <c r="BZ263" s="53"/>
      <c r="CA263" s="53"/>
      <c r="CB263" s="53"/>
      <c r="CC263" s="53"/>
      <c r="CD263" s="53"/>
      <c r="CE263" s="53"/>
      <c r="CF263" s="53"/>
      <c r="CG263" s="53"/>
      <c r="CH263" s="53"/>
      <c r="CI263" s="53"/>
      <c r="CJ263" s="53"/>
      <c r="CK263" s="53"/>
      <c r="CL263" s="53"/>
      <c r="CM263" s="53"/>
      <c r="CN263" s="53"/>
      <c r="CO263" s="53"/>
      <c r="CP263" s="53"/>
      <c r="CQ263" s="53"/>
      <c r="CR263" s="1"/>
      <c r="CS263" s="1"/>
      <c r="CT263" s="1"/>
      <c r="CU263" s="1"/>
    </row>
    <row r="264" spans="1:99" s="13" customFormat="1" ht="12" customHeight="1" x14ac:dyDescent="0.2">
      <c r="A264" s="65">
        <v>43509</v>
      </c>
      <c r="B264" s="1"/>
      <c r="C264" s="1"/>
      <c r="D264" s="60"/>
      <c r="E264" s="76"/>
      <c r="F264" s="60"/>
      <c r="G264" s="60"/>
      <c r="H264" s="60"/>
      <c r="I264" s="60"/>
      <c r="J264" s="60"/>
      <c r="K264" s="64"/>
      <c r="L264" s="64"/>
      <c r="M264" s="60"/>
      <c r="N264" s="60"/>
      <c r="O264" s="60"/>
      <c r="P264" s="60"/>
      <c r="Q264" s="60"/>
      <c r="R264" s="60"/>
      <c r="S264" s="60"/>
      <c r="T264" s="60"/>
      <c r="U264" s="60"/>
      <c r="V264" s="60"/>
      <c r="W264" s="60"/>
      <c r="X264" s="60"/>
      <c r="Y264" s="76"/>
      <c r="Z264" s="60"/>
      <c r="AA264" s="60"/>
      <c r="AB264" s="60"/>
      <c r="AC264" s="60"/>
      <c r="AD264" s="60"/>
      <c r="AE264" s="60"/>
      <c r="AF264" s="80"/>
      <c r="AG264" s="56"/>
      <c r="AH264" s="4"/>
      <c r="AI264" s="56"/>
      <c r="AJ264" s="109"/>
      <c r="AK264" s="56"/>
      <c r="AL264" s="56"/>
      <c r="AM264" s="56"/>
      <c r="AN264" s="56"/>
      <c r="AO264" s="56"/>
      <c r="AP264" s="56"/>
      <c r="AQ264" s="82"/>
      <c r="AR264" s="115"/>
      <c r="AS264" s="82"/>
      <c r="AT264" s="82"/>
      <c r="AU264" s="4"/>
      <c r="AV264" s="25">
        <v>70</v>
      </c>
      <c r="AW264" s="25">
        <f>24*3600*1</f>
        <v>86400</v>
      </c>
      <c r="AX264" s="25">
        <f>24*3600*5</f>
        <v>432000</v>
      </c>
      <c r="AY264" s="53"/>
      <c r="AZ264" s="53"/>
      <c r="BA264" s="53"/>
      <c r="BB264" s="53"/>
      <c r="BC264" s="53"/>
      <c r="BD264" s="53"/>
      <c r="BE264" s="53"/>
      <c r="BF264" s="53"/>
      <c r="BG264" s="53"/>
      <c r="BH264" s="53"/>
      <c r="BI264" s="53"/>
      <c r="BJ264" s="53"/>
      <c r="BK264" s="53"/>
      <c r="BL264" s="53"/>
      <c r="BM264" s="53"/>
      <c r="BN264" s="53"/>
      <c r="BO264" s="53"/>
      <c r="BP264" s="53"/>
      <c r="BQ264" s="53"/>
      <c r="BR264" s="53"/>
      <c r="BS264" s="53"/>
      <c r="BT264" s="53"/>
      <c r="BU264" s="53"/>
      <c r="BV264" s="53"/>
      <c r="BW264" s="53"/>
      <c r="BX264" s="53"/>
      <c r="BY264" s="53"/>
      <c r="BZ264" s="53"/>
      <c r="CA264" s="53"/>
      <c r="CB264" s="53"/>
      <c r="CC264" s="53"/>
      <c r="CD264" s="53"/>
      <c r="CE264" s="53"/>
      <c r="CF264" s="53"/>
      <c r="CG264" s="53"/>
      <c r="CH264" s="53"/>
      <c r="CI264" s="53"/>
      <c r="CJ264" s="53"/>
      <c r="CK264" s="53"/>
      <c r="CL264" s="53"/>
      <c r="CM264" s="53"/>
      <c r="CN264" s="53"/>
      <c r="CO264" s="53"/>
      <c r="CP264" s="53"/>
      <c r="CQ264" s="53"/>
      <c r="CR264" s="1"/>
      <c r="CS264" s="1"/>
      <c r="CT264" s="1"/>
      <c r="CU264" s="1"/>
    </row>
    <row r="265" spans="1:99" s="13" customFormat="1" ht="12" customHeight="1" x14ac:dyDescent="0.2">
      <c r="A265" s="65">
        <v>43509</v>
      </c>
      <c r="B265" s="1" t="s">
        <v>128</v>
      </c>
      <c r="C265" s="1" t="s">
        <v>45</v>
      </c>
      <c r="D265" s="60">
        <v>1983</v>
      </c>
      <c r="E265" s="76">
        <v>2</v>
      </c>
      <c r="F265" s="60">
        <v>120</v>
      </c>
      <c r="G265" s="60">
        <v>20</v>
      </c>
      <c r="H265" s="60" t="s">
        <v>32</v>
      </c>
      <c r="I265" s="60" t="s">
        <v>130</v>
      </c>
      <c r="J265" s="60" t="s">
        <v>320</v>
      </c>
      <c r="K265" s="60">
        <f>IF(J265="syllables",1,IF(J265="trigrams",2,IF(J265="strings",3,IF(J265="visual array",4,IF(J265="characters",5,IF(J265="letters",6,IF(J265="free forms",7,IF(J265="odors",8,IF(J265="words",9,IF(J265="pictures",10,IF(J265="object pictures",11,IF(J265="faces",12,IF(J265="names",13,IF(J265="idioms",14,IF(J265="grades",15,IF(J265="syllable-digit pairs",16,IF(J265="trigram-word pairs",17,IF(J265="word-digit pairs",18,IF(J265="English-Swahili pairs",19,IF(J265="spatial position",20,IF(J265="word pairs",21,IF(J265="word triads",22,IF(J265="generated words",23,IF(J265="word definition pairs",24,IF(J265="math problems",25,IF(J265="famous faces",26,IF(J265="famous names",27,IF(J265="famous voices",28,IF(J265="television programs",29,IF(J265="race horses",30,IF(J265="new vocabulary",31,IF(J265="sentences",32,IF(J265="concepts",33,IF(J265="ad slides",34,IF(J265="scenes",35,IF(J265="famous scenes",36,IF(J265="poems",37,IF(J265="walk",38,IF(J265="faces and events",39,IF(J265="events and names",40,IF(J265="flashbulb",41,IF(J265="stories",42,IF(J265="course material",43,IF(J265="autobiographical",44,IF(J265="novels",45,IF(J265="public events",46,"99"))))))))))))))))))))))))))))))))))))))))))))))</f>
        <v>21</v>
      </c>
      <c r="L265" s="60">
        <f>IF(J265="syllables",1,IF(J265="trigrams",1,IF(J265="strings",1,IF(J265="visual array",1,IF(J265="characters",1,IF(J265="letters",1,IF(J265="free forms",1,IF(J265="odors",2,IF(J265="words",2,IF(J265="pictures",2,IF(J265="object pictures",2,IF(J265="faces",2,IF(J265="names",2,IF(J265="idioms","2",IF(J265="grades",2,IF(J265="syllable-digit pairs",3,IF(J265="trigram-word pairs",3,IF(J265="word-digit pairs",3,IF(J265="English-Swahili pairs",3,IF(J265="spatial position",3,IF(J265="word pairs",4,IF(J265="word triads",4,IF(J265="generated words",4,IF(J265="word definition pairs",4,IF(J265="math problems",4,IF(J265="famous faces",4,IF(J265="famous names",4,IF(J265="famous voices",4,IF(J265="television programs",4,IF(J265="race horses",4,IF(J265="new vocabulary",4,IF(J265="sentences",5,IF(J265="concepts",5,IF(J265="ad slides",5,IF(J265="scenes",5,IF(J265="famous scenes",5,IF(J265="poems",6,IF(J265="walk",6,IF(J265="faces and events",6,IF(J265="events and names",6,IF(J265="flashbulb",7,IF(J265="stories",7,IF(J265="course material",7,IF(J265="autobiographical",7,IF(J265="novels",7,IF(J265="public events",7,"99"))))))))))))))))))))))))))))))))))))))))))))))</f>
        <v>4</v>
      </c>
      <c r="M265" s="60">
        <v>1</v>
      </c>
      <c r="N265" s="60">
        <v>2</v>
      </c>
      <c r="O265" s="60">
        <v>1</v>
      </c>
      <c r="P265" s="60" t="s">
        <v>129</v>
      </c>
      <c r="Q265" s="60" t="s">
        <v>133</v>
      </c>
      <c r="R265" s="60">
        <f>IF(Q265="Free Recall",1,IF(Q265="Cued Recall",2,IF(Q265="Recognition",3,IF(Q265="Multiple Choice",4,IF(Q265="Savings",5,IF(Q265="Stem Completion",6,IF(Q265="Fragment Completion",7,IF(Q265="anagram solution",8,IF(Q265="Matching",9,IF(Q265="Problem Solving",10,"99"))))))))))</f>
        <v>9</v>
      </c>
      <c r="S265" s="60"/>
      <c r="T265" s="60" t="s">
        <v>261</v>
      </c>
      <c r="U265" s="60">
        <f>IF(T265="within",1,0)</f>
        <v>0</v>
      </c>
      <c r="V265" s="60">
        <v>20</v>
      </c>
      <c r="W265" s="60">
        <f>F265*V265</f>
        <v>2400</v>
      </c>
      <c r="X265" s="60">
        <v>3</v>
      </c>
      <c r="Y265" s="76">
        <f>AV264</f>
        <v>70</v>
      </c>
      <c r="Z265" s="60" t="s">
        <v>131</v>
      </c>
      <c r="AA265" s="60">
        <v>432000</v>
      </c>
      <c r="AB265" s="60" t="str">
        <f>IF(AA265&lt;60,"1",IF(AA265&lt;=43200,"2",IF(AA265&lt;=777600,"3","4")))</f>
        <v>3</v>
      </c>
      <c r="AC265" s="56">
        <f>AVERAGE(AV264:DA264)</f>
        <v>172823.33333333334</v>
      </c>
      <c r="AD265" s="60" t="str">
        <f>IF(AC265&lt;60,"1",IF(AC265&lt;=43200,"2",IF(AC265&lt;=777600,"3","4")))</f>
        <v>3</v>
      </c>
      <c r="AE265" s="76">
        <f>AA265-Y265</f>
        <v>431930</v>
      </c>
      <c r="AF265" s="80">
        <f>AV265</f>
        <v>0.876</v>
      </c>
      <c r="AG265" s="56">
        <f>((AW265-AV265)+(AX265-AW265))/2</f>
        <v>-0.10149999999999998</v>
      </c>
      <c r="AH265" s="4"/>
      <c r="AI265" s="56">
        <f>RSQ(AV265:AX265,AV264:AX264)</f>
        <v>0.57503404924449764</v>
      </c>
      <c r="AJ265" s="109">
        <f>SLOPE(AV265:AX265,AV264:AX264)</f>
        <v>-3.6210348230653521E-7</v>
      </c>
      <c r="AK265" s="56">
        <f>INTERCEPT(AV265:AX265,AV264:AX264)</f>
        <v>0.81391326415715637</v>
      </c>
      <c r="AL265" s="56">
        <f>INDEX(LINEST(LN(AV265:AX265),LN(AV264:AX264),TRUE,TRUE),3,1)</f>
        <v>0.99993062124562571</v>
      </c>
      <c r="AM265" s="56">
        <f>INDEX(LINEST(LN(AV265:AX265),LN(AV264:AX264)),1)</f>
        <v>-3.0297082499087184E-2</v>
      </c>
      <c r="AN265" s="56">
        <f>EXP(INDEX(LINEST(LN(AV265:AX265),LN(AV264:AX264)),1,2))</f>
        <v>0.99610094400111782</v>
      </c>
      <c r="AO265" s="82">
        <f>INDEX(LINEST((AV265:AX265),LN(AV264:AX264),TRUE,TRUE),3,1)</f>
        <v>0.99927048175769473</v>
      </c>
      <c r="AP265" s="82">
        <f>INDEX(LINEST((AV265:AX265),LN(AV264:AX264)),1)</f>
        <v>-2.3490612680536673E-2</v>
      </c>
      <c r="AQ265" s="83">
        <f>INDEX(LINEST(LN(AV265:AX265),SQRT(AV264:AX264),TRUE,TRUE),3,1)</f>
        <v>0.828590591182786</v>
      </c>
      <c r="AR265" s="116">
        <f>INDEX(LINEST(LN(AV265:AX265),SQRT((AV264:AX264))),1)</f>
        <v>-3.9386424066537544E-4</v>
      </c>
      <c r="AS265" s="84">
        <f>INDEX(LINEST(1/(AV265:AX265),1/(SQRT(AV264:AX264)),TRUE,TRUE),3,1)</f>
        <v>0.97071927591880891</v>
      </c>
      <c r="AT265" s="84">
        <f>INDEX(LINEST(1/(AV265:AX265),1/SQRT(AV264:AX264)),1)</f>
        <v>-2.6598226001418586</v>
      </c>
      <c r="AU265" s="3"/>
      <c r="AV265" s="53">
        <v>0.876</v>
      </c>
      <c r="AW265" s="53">
        <v>0.70499999999999996</v>
      </c>
      <c r="AX265" s="53">
        <v>0.67300000000000004</v>
      </c>
      <c r="AY265" s="53"/>
      <c r="AZ265" s="53"/>
      <c r="BA265" s="53"/>
      <c r="BB265" s="53"/>
      <c r="BC265" s="53"/>
      <c r="BD265" s="53"/>
      <c r="BE265" s="53"/>
      <c r="BF265" s="53"/>
      <c r="BG265" s="53"/>
      <c r="BH265" s="53"/>
      <c r="BI265" s="53"/>
      <c r="BJ265" s="53"/>
      <c r="BK265" s="53"/>
      <c r="BL265" s="53"/>
      <c r="BM265" s="53"/>
      <c r="BN265" s="53"/>
      <c r="BO265" s="53"/>
      <c r="BP265" s="53"/>
      <c r="BQ265" s="53"/>
      <c r="BR265" s="53"/>
      <c r="BS265" s="53"/>
      <c r="BT265" s="53"/>
      <c r="BU265" s="53"/>
      <c r="BV265" s="53"/>
      <c r="BW265" s="53"/>
      <c r="BX265" s="53"/>
      <c r="BY265" s="53"/>
      <c r="BZ265" s="53"/>
      <c r="CA265" s="53"/>
      <c r="CB265" s="53"/>
      <c r="CC265" s="53"/>
      <c r="CD265" s="53"/>
      <c r="CE265" s="53"/>
      <c r="CF265" s="53"/>
      <c r="CG265" s="53"/>
      <c r="CH265" s="53"/>
      <c r="CI265" s="53"/>
      <c r="CJ265" s="53"/>
      <c r="CK265" s="53"/>
      <c r="CL265" s="53"/>
      <c r="CM265" s="53"/>
      <c r="CN265" s="53"/>
      <c r="CO265" s="53"/>
      <c r="CP265" s="53"/>
      <c r="CQ265" s="53"/>
      <c r="CR265" s="1"/>
      <c r="CS265" s="1"/>
      <c r="CT265" s="1"/>
      <c r="CU265" s="1"/>
    </row>
    <row r="266" spans="1:99" s="13" customFormat="1" ht="12" customHeight="1" x14ac:dyDescent="0.2">
      <c r="A266" s="65">
        <v>43509</v>
      </c>
      <c r="B266" s="1"/>
      <c r="C266" s="1"/>
      <c r="D266" s="60"/>
      <c r="E266" s="76"/>
      <c r="F266" s="60"/>
      <c r="G266" s="60"/>
      <c r="H266" s="60"/>
      <c r="I266" s="60"/>
      <c r="J266" s="60"/>
      <c r="K266" s="64"/>
      <c r="L266" s="64"/>
      <c r="M266" s="60"/>
      <c r="N266" s="60"/>
      <c r="O266" s="60"/>
      <c r="P266" s="60"/>
      <c r="Q266" s="60"/>
      <c r="R266" s="60"/>
      <c r="S266" s="60"/>
      <c r="T266" s="60"/>
      <c r="U266" s="60"/>
      <c r="V266" s="60"/>
      <c r="W266" s="60"/>
      <c r="X266" s="60"/>
      <c r="Y266" s="76"/>
      <c r="Z266" s="60"/>
      <c r="AA266" s="60"/>
      <c r="AB266" s="60"/>
      <c r="AC266" s="60"/>
      <c r="AD266" s="60"/>
      <c r="AE266" s="60"/>
      <c r="AF266" s="80"/>
      <c r="AG266" s="56"/>
      <c r="AH266" s="4"/>
      <c r="AI266" s="56"/>
      <c r="AJ266" s="109"/>
      <c r="AK266" s="56"/>
      <c r="AL266" s="56"/>
      <c r="AM266" s="56"/>
      <c r="AN266" s="56"/>
      <c r="AO266" s="56"/>
      <c r="AP266" s="56"/>
      <c r="AQ266" s="82"/>
      <c r="AR266" s="115"/>
      <c r="AS266" s="82"/>
      <c r="AT266" s="82"/>
      <c r="AU266" s="4"/>
      <c r="AV266" s="25">
        <v>70</v>
      </c>
      <c r="AW266" s="25">
        <f>24*3600*1</f>
        <v>86400</v>
      </c>
      <c r="AX266" s="25">
        <f>24*3600*5</f>
        <v>432000</v>
      </c>
      <c r="AY266" s="53"/>
      <c r="AZ266" s="53"/>
      <c r="BA266" s="53"/>
      <c r="BB266" s="53"/>
      <c r="BC266" s="53"/>
      <c r="BD266" s="53"/>
      <c r="BE266" s="53"/>
      <c r="BF266" s="53"/>
      <c r="BG266" s="53"/>
      <c r="BH266" s="53"/>
      <c r="BI266" s="53"/>
      <c r="BJ266" s="53"/>
      <c r="BK266" s="53"/>
      <c r="BL266" s="53"/>
      <c r="BM266" s="53"/>
      <c r="BN266" s="53"/>
      <c r="BO266" s="53"/>
      <c r="BP266" s="53"/>
      <c r="BQ266" s="53"/>
      <c r="BR266" s="53"/>
      <c r="BS266" s="53"/>
      <c r="BT266" s="53"/>
      <c r="BU266" s="53"/>
      <c r="BV266" s="53"/>
      <c r="BW266" s="53"/>
      <c r="BX266" s="53"/>
      <c r="BY266" s="53"/>
      <c r="BZ266" s="53"/>
      <c r="CA266" s="53"/>
      <c r="CB266" s="53"/>
      <c r="CC266" s="53"/>
      <c r="CD266" s="53"/>
      <c r="CE266" s="53"/>
      <c r="CF266" s="53"/>
      <c r="CG266" s="53"/>
      <c r="CH266" s="53"/>
      <c r="CI266" s="53"/>
      <c r="CJ266" s="53"/>
      <c r="CK266" s="53"/>
      <c r="CL266" s="53"/>
      <c r="CM266" s="53"/>
      <c r="CN266" s="53"/>
      <c r="CO266" s="53"/>
      <c r="CP266" s="53"/>
      <c r="CQ266" s="53"/>
      <c r="CR266" s="1"/>
      <c r="CS266" s="1"/>
      <c r="CT266" s="1"/>
      <c r="CU266" s="1"/>
    </row>
    <row r="267" spans="1:99" s="13" customFormat="1" ht="12" customHeight="1" x14ac:dyDescent="0.2">
      <c r="A267" s="65">
        <v>43509</v>
      </c>
      <c r="B267" s="1" t="s">
        <v>128</v>
      </c>
      <c r="C267" s="1" t="s">
        <v>45</v>
      </c>
      <c r="D267" s="60">
        <v>1983</v>
      </c>
      <c r="E267" s="76">
        <v>2</v>
      </c>
      <c r="F267" s="60">
        <v>120</v>
      </c>
      <c r="G267" s="60">
        <v>20</v>
      </c>
      <c r="H267" s="60" t="s">
        <v>32</v>
      </c>
      <c r="I267" s="60" t="s">
        <v>132</v>
      </c>
      <c r="J267" s="60" t="s">
        <v>320</v>
      </c>
      <c r="K267" s="60">
        <f>IF(J267="syllables",1,IF(J267="trigrams",2,IF(J267="strings",3,IF(J267="visual array",4,IF(J267="characters",5,IF(J267="letters",6,IF(J267="free forms",7,IF(J267="odors",8,IF(J267="words",9,IF(J267="pictures",10,IF(J267="object pictures",11,IF(J267="faces",12,IF(J267="names",13,IF(J267="idioms",14,IF(J267="grades",15,IF(J267="syllable-digit pairs",16,IF(J267="trigram-word pairs",17,IF(J267="word-digit pairs",18,IF(J267="English-Swahili pairs",19,IF(J267="spatial position",20,IF(J267="word pairs",21,IF(J267="word triads",22,IF(J267="generated words",23,IF(J267="word definition pairs",24,IF(J267="math problems",25,IF(J267="famous faces",26,IF(J267="famous names",27,IF(J267="famous voices",28,IF(J267="television programs",29,IF(J267="race horses",30,IF(J267="new vocabulary",31,IF(J267="sentences",32,IF(J267="concepts",33,IF(J267="ad slides",34,IF(J267="scenes",35,IF(J267="famous scenes",36,IF(J267="poems",37,IF(J267="walk",38,IF(J267="faces and events",39,IF(J267="events and names",40,IF(J267="flashbulb",41,IF(J267="stories",42,IF(J267="course material",43,IF(J267="autobiographical",44,IF(J267="novels",45,IF(J267="public events",46,"99"))))))))))))))))))))))))))))))))))))))))))))))</f>
        <v>21</v>
      </c>
      <c r="L267" s="60">
        <f>IF(J267="syllables",1,IF(J267="trigrams",1,IF(J267="strings",1,IF(J267="visual array",1,IF(J267="characters",1,IF(J267="letters",1,IF(J267="free forms",1,IF(J267="odors",2,IF(J267="words",2,IF(J267="pictures",2,IF(J267="object pictures",2,IF(J267="faces",2,IF(J267="names",2,IF(J267="idioms","2",IF(J267="grades",2,IF(J267="syllable-digit pairs",3,IF(J267="trigram-word pairs",3,IF(J267="word-digit pairs",3,IF(J267="English-Swahili pairs",3,IF(J267="spatial position",3,IF(J267="word pairs",4,IF(J267="word triads",4,IF(J267="generated words",4,IF(J267="word definition pairs",4,IF(J267="math problems",4,IF(J267="famous faces",4,IF(J267="famous names",4,IF(J267="famous voices",4,IF(J267="television programs",4,IF(J267="race horses",4,IF(J267="new vocabulary",4,IF(J267="sentences",5,IF(J267="concepts",5,IF(J267="ad slides",5,IF(J267="scenes",5,IF(J267="famous scenes",5,IF(J267="poems",6,IF(J267="walk",6,IF(J267="faces and events",6,IF(J267="events and names",6,IF(J267="flashbulb",7,IF(J267="stories",7,IF(J267="course material",7,IF(J267="autobiographical",7,IF(J267="novels",7,IF(J267="public events",7,"99"))))))))))))))))))))))))))))))))))))))))))))))</f>
        <v>4</v>
      </c>
      <c r="M267" s="60">
        <v>1</v>
      </c>
      <c r="N267" s="60">
        <v>1</v>
      </c>
      <c r="O267" s="60">
        <v>1</v>
      </c>
      <c r="P267" s="60" t="s">
        <v>129</v>
      </c>
      <c r="Q267" s="60" t="s">
        <v>133</v>
      </c>
      <c r="R267" s="60">
        <f>IF(Q267="Free Recall",1,IF(Q267="Cued Recall",2,IF(Q267="Recognition",3,IF(Q267="Multiple Choice",4,IF(Q267="Savings",5,IF(Q267="Stem Completion",6,IF(Q267="Fragment Completion",7,IF(Q267="anagram solution",8,IF(Q267="Matching",9,IF(Q267="Problem Solving",10,"99"))))))))))</f>
        <v>9</v>
      </c>
      <c r="S267" s="60"/>
      <c r="T267" s="60" t="s">
        <v>261</v>
      </c>
      <c r="U267" s="60">
        <f>IF(T267="within",1,0)</f>
        <v>0</v>
      </c>
      <c r="V267" s="60">
        <v>20</v>
      </c>
      <c r="W267" s="60">
        <f>F267*V267</f>
        <v>2400</v>
      </c>
      <c r="X267" s="60">
        <v>3</v>
      </c>
      <c r="Y267" s="76">
        <f>AV266</f>
        <v>70</v>
      </c>
      <c r="Z267" s="60" t="s">
        <v>131</v>
      </c>
      <c r="AA267" s="60">
        <v>432000</v>
      </c>
      <c r="AB267" s="60" t="str">
        <f>IF(AA267&lt;60,"1",IF(AA267&lt;=43200,"2",IF(AA267&lt;=777600,"3","4")))</f>
        <v>3</v>
      </c>
      <c r="AC267" s="56">
        <f>AVERAGE(AV266:DA266)</f>
        <v>172823.33333333334</v>
      </c>
      <c r="AD267" s="60" t="str">
        <f>IF(AC267&lt;60,"1",IF(AC267&lt;=43200,"2",IF(AC267&lt;=777600,"3","4")))</f>
        <v>3</v>
      </c>
      <c r="AE267" s="76">
        <f>AA267-Y267</f>
        <v>431930</v>
      </c>
      <c r="AF267" s="80">
        <f>AV267</f>
        <v>0.69199999999999995</v>
      </c>
      <c r="AG267" s="56">
        <f>((AW267-AV267)+(AX267-AW267))/2</f>
        <v>-0.16649999999999998</v>
      </c>
      <c r="AH267" s="4"/>
      <c r="AI267" s="56">
        <f>RSQ(AV267:AX267,AV266:AX266)</f>
        <v>0.92182817892413171</v>
      </c>
      <c r="AJ267" s="109">
        <f>SLOPE(AV267:AX267,AV266:AX266)</f>
        <v>-7.0028527898727635E-7</v>
      </c>
      <c r="AK267" s="56">
        <f>INTERCEPT(AV267:AX267,AV266:AX266)</f>
        <v>0.65135896953217776</v>
      </c>
      <c r="AL267" s="56">
        <f>INDEX(LINEST(LN(AV267:AX267),LN(AV266:AX266),TRUE,TRUE),3,1)</f>
        <v>0.7789263403438873</v>
      </c>
      <c r="AM267" s="56">
        <f>INDEX(LINEST(LN(AV267:AX267),LN(AV266:AX266)),1)</f>
        <v>-6.296850928148294E-2</v>
      </c>
      <c r="AN267" s="56">
        <f>EXP(INDEX(LINEST(LN(AV267:AX267),LN(AV266:AX266)),1,2))</f>
        <v>0.9328821128930499</v>
      </c>
      <c r="AO267" s="82">
        <f>INDEX(LINEST((AV267:AX267),LN(AV266:AX266),TRUE,TRUE),3,1)</f>
        <v>0.84857041929175192</v>
      </c>
      <c r="AP267" s="82">
        <f>INDEX(LINEST((AV267:AX267),LN(AV266:AX266)),1)</f>
        <v>-3.3064415157103622E-2</v>
      </c>
      <c r="AQ267" s="83">
        <f>INDEX(LINEST(LN(AV267:AX267),SQRT(AV266:AX266),TRUE,TRUE),3,1)</f>
        <v>0.99497202274352248</v>
      </c>
      <c r="AR267" s="116">
        <f>INDEX(LINEST(LN(AV267:AX267),SQRT((AV266:AX266))),1)</f>
        <v>-1.0163454090204591E-3</v>
      </c>
      <c r="AS267" s="84">
        <f>INDEX(LINEST(1/(AV267:AX267),1/(SQRT(AV266:AX266)),TRUE,TRUE),3,1)</f>
        <v>0.55244886871197563</v>
      </c>
      <c r="AT267" s="84">
        <f>INDEX(LINEST(1/(AV267:AX267),1/SQRT(AV266:AX266)),1)</f>
        <v>-7.5573806580143277</v>
      </c>
      <c r="AU267" s="3"/>
      <c r="AV267" s="53">
        <v>0.69199999999999995</v>
      </c>
      <c r="AW267" s="53">
        <v>0.54</v>
      </c>
      <c r="AX267" s="53">
        <v>0.35899999999999999</v>
      </c>
      <c r="AY267" s="53"/>
      <c r="AZ267" s="53"/>
      <c r="BA267" s="53"/>
      <c r="BB267" s="53"/>
      <c r="BC267" s="53"/>
      <c r="BD267" s="53"/>
      <c r="BE267" s="53"/>
      <c r="BF267" s="53"/>
      <c r="BG267" s="53"/>
      <c r="BH267" s="53"/>
      <c r="BI267" s="53"/>
      <c r="BJ267" s="53"/>
      <c r="BK267" s="53"/>
      <c r="BL267" s="53"/>
      <c r="BM267" s="53"/>
      <c r="BN267" s="53"/>
      <c r="BO267" s="53"/>
      <c r="BP267" s="53"/>
      <c r="BQ267" s="53"/>
      <c r="BR267" s="53"/>
      <c r="BS267" s="53"/>
      <c r="BT267" s="53"/>
      <c r="BU267" s="53"/>
      <c r="BV267" s="53"/>
      <c r="BW267" s="53"/>
      <c r="BX267" s="53"/>
      <c r="BY267" s="53"/>
      <c r="BZ267" s="53"/>
      <c r="CA267" s="53"/>
      <c r="CB267" s="53"/>
      <c r="CC267" s="53"/>
      <c r="CD267" s="53"/>
      <c r="CE267" s="53"/>
      <c r="CF267" s="53"/>
      <c r="CG267" s="53"/>
      <c r="CH267" s="53"/>
      <c r="CI267" s="53"/>
      <c r="CJ267" s="53"/>
      <c r="CK267" s="53"/>
      <c r="CL267" s="53"/>
      <c r="CM267" s="53"/>
      <c r="CN267" s="53"/>
      <c r="CO267" s="53"/>
      <c r="CP267" s="53"/>
      <c r="CQ267" s="53"/>
      <c r="CR267" s="1"/>
      <c r="CS267" s="1"/>
      <c r="CT267" s="1"/>
      <c r="CU267" s="1"/>
    </row>
    <row r="268" spans="1:99" s="13" customFormat="1" ht="12" customHeight="1" x14ac:dyDescent="0.2">
      <c r="A268" s="65">
        <v>43509</v>
      </c>
      <c r="B268" s="1"/>
      <c r="C268" s="1"/>
      <c r="D268" s="60"/>
      <c r="E268" s="76"/>
      <c r="F268" s="60"/>
      <c r="G268" s="60"/>
      <c r="H268" s="60"/>
      <c r="I268" s="60"/>
      <c r="J268" s="60"/>
      <c r="K268" s="64"/>
      <c r="L268" s="64"/>
      <c r="M268" s="60"/>
      <c r="N268" s="60"/>
      <c r="O268" s="60"/>
      <c r="P268" s="60"/>
      <c r="Q268" s="60"/>
      <c r="R268" s="60"/>
      <c r="S268" s="60"/>
      <c r="T268" s="60"/>
      <c r="U268" s="60"/>
      <c r="V268" s="60"/>
      <c r="W268" s="60"/>
      <c r="X268" s="60"/>
      <c r="Y268" s="76"/>
      <c r="Z268" s="60"/>
      <c r="AA268" s="60"/>
      <c r="AB268" s="60"/>
      <c r="AC268" s="60"/>
      <c r="AD268" s="60"/>
      <c r="AE268" s="60"/>
      <c r="AF268" s="80"/>
      <c r="AG268" s="56"/>
      <c r="AH268" s="4"/>
      <c r="AI268" s="56"/>
      <c r="AJ268" s="109"/>
      <c r="AK268" s="56"/>
      <c r="AL268" s="56"/>
      <c r="AM268" s="56"/>
      <c r="AN268" s="56"/>
      <c r="AO268" s="56"/>
      <c r="AP268" s="56"/>
      <c r="AQ268" s="82"/>
      <c r="AR268" s="115"/>
      <c r="AS268" s="82"/>
      <c r="AT268" s="82"/>
      <c r="AU268" s="4"/>
      <c r="AV268" s="25">
        <v>150</v>
      </c>
      <c r="AW268" s="25">
        <f>24*3600*1</f>
        <v>86400</v>
      </c>
      <c r="AX268" s="25">
        <f>24*3600*5</f>
        <v>432000</v>
      </c>
      <c r="AY268" s="53" t="s">
        <v>533</v>
      </c>
      <c r="AZ268" s="53"/>
      <c r="BA268" s="53"/>
      <c r="BB268" s="53"/>
      <c r="BC268" s="53"/>
      <c r="BD268" s="53"/>
      <c r="BE268" s="53"/>
      <c r="BF268" s="53"/>
      <c r="BG268" s="53"/>
      <c r="BH268" s="53"/>
      <c r="BI268" s="53"/>
      <c r="BJ268" s="53"/>
      <c r="BK268" s="53"/>
      <c r="BL268" s="53"/>
      <c r="BM268" s="53"/>
      <c r="BN268" s="53"/>
      <c r="BO268" s="53"/>
      <c r="BP268" s="53"/>
      <c r="BQ268" s="53"/>
      <c r="BR268" s="53"/>
      <c r="BS268" s="53"/>
      <c r="BT268" s="53"/>
      <c r="BU268" s="53"/>
      <c r="BV268" s="53"/>
      <c r="BW268" s="53"/>
      <c r="BX268" s="53"/>
      <c r="BY268" s="53"/>
      <c r="BZ268" s="53"/>
      <c r="CA268" s="53"/>
      <c r="CB268" s="53"/>
      <c r="CC268" s="53"/>
      <c r="CD268" s="53"/>
      <c r="CE268" s="53"/>
      <c r="CF268" s="53"/>
      <c r="CG268" s="53"/>
      <c r="CH268" s="53"/>
      <c r="CI268" s="53"/>
      <c r="CJ268" s="53"/>
      <c r="CK268" s="53"/>
      <c r="CL268" s="53"/>
      <c r="CM268" s="53"/>
      <c r="CN268" s="53"/>
      <c r="CO268" s="53"/>
      <c r="CP268" s="53"/>
      <c r="CQ268" s="53"/>
      <c r="CR268" s="1"/>
      <c r="CS268" s="1"/>
      <c r="CT268" s="1"/>
      <c r="CU268" s="1"/>
    </row>
    <row r="269" spans="1:99" s="13" customFormat="1" ht="12" customHeight="1" x14ac:dyDescent="0.2">
      <c r="A269" s="65">
        <v>43509</v>
      </c>
      <c r="B269" s="1" t="s">
        <v>128</v>
      </c>
      <c r="C269" s="1" t="s">
        <v>45</v>
      </c>
      <c r="D269" s="60">
        <v>1983</v>
      </c>
      <c r="E269" s="76">
        <v>3</v>
      </c>
      <c r="F269" s="60">
        <v>18</v>
      </c>
      <c r="G269" s="60">
        <v>18</v>
      </c>
      <c r="H269" s="60" t="s">
        <v>43</v>
      </c>
      <c r="I269" s="60" t="s">
        <v>130</v>
      </c>
      <c r="J269" s="60" t="s">
        <v>475</v>
      </c>
      <c r="K269" s="60">
        <f>IF(J269="syllables",1,IF(J269="trigrams",2,IF(J269="strings",3,IF(J269="visual array",4,IF(J269="characters",5,IF(J269="letters",6,IF(J269="free forms",7,IF(J269="odors",8,IF(J269="words",9,IF(J269="pictures",10,IF(J269="object pictures",11,IF(J269="faces",12,IF(J269="names",13,IF(J269="idioms",14,IF(J269="grades",15,IF(J269="syllable-digit pairs",16,IF(J269="trigram-word pairs",17,IF(J269="word-digit pairs",18,IF(J269="English-Swahili pairs",19,IF(J269="spatial position",20,IF(J269="word pairs",21,IF(J269="word triads",22,IF(J269="generated words",23,IF(J269="word definition pairs",24,IF(J269="math problems",25,IF(J269="famous faces",26,IF(J269="famous names",27,IF(J269="famous voices",28,IF(J269="television programs",29,IF(J269="race horses",30,IF(J269="new vocabulary",31,IF(J269="sentences",32,IF(J269="concepts",33,IF(J269="ad slides",34,IF(J269="scenes",35,IF(J269="famous scenes",36,IF(J269="poems",37,IF(J269="walk",38,IF(J269="faces and events",39,IF(J269="events and names",40,IF(J269="flashbulb",41,IF(J269="stories",42,IF(J269="course material",43,IF(J269="autobiographical",44,IF(J269="novels",45,IF(J269="public events",46,"99"))))))))))))))))))))))))))))))))))))))))))))))</f>
        <v>32</v>
      </c>
      <c r="L269" s="60">
        <f>IF(J269="syllables",1,IF(J269="trigrams",1,IF(J269="strings",1,IF(J269="visual array",1,IF(J269="characters",1,IF(J269="letters",1,IF(J269="free forms",1,IF(J269="odors",2,IF(J269="words",2,IF(J269="pictures",2,IF(J269="object pictures",2,IF(J269="faces",2,IF(J269="names",2,IF(J269="idioms","2",IF(J269="grades",2,IF(J269="syllable-digit pairs",3,IF(J269="trigram-word pairs",3,IF(J269="word-digit pairs",3,IF(J269="English-Swahili pairs",3,IF(J269="spatial position",3,IF(J269="word pairs",4,IF(J269="word triads",4,IF(J269="generated words",4,IF(J269="word definition pairs",4,IF(J269="math problems",4,IF(J269="famous faces",4,IF(J269="famous names",4,IF(J269="famous voices",4,IF(J269="television programs",4,IF(J269="race horses",4,IF(J269="new vocabulary",4,IF(J269="sentences",5,IF(J269="concepts",5,IF(J269="ad slides",5,IF(J269="scenes",5,IF(J269="famous scenes",5,IF(J269="poems",6,IF(J269="walk",6,IF(J269="faces and events",6,IF(J269="events and names",6,IF(J269="flashbulb",7,IF(J269="stories",7,IF(J269="course material",7,IF(J269="autobiographical",7,IF(J269="novels",7,IF(J269="public events",7,"99"))))))))))))))))))))))))))))))))))))))))))))))</f>
        <v>5</v>
      </c>
      <c r="M269" s="60">
        <v>1</v>
      </c>
      <c r="N269" s="60">
        <v>4</v>
      </c>
      <c r="O269" s="60">
        <v>1</v>
      </c>
      <c r="P269" s="60" t="s">
        <v>129</v>
      </c>
      <c r="Q269" s="60" t="s">
        <v>65</v>
      </c>
      <c r="R269" s="60">
        <f>IF(Q269="Free Recall",1,IF(Q269="Cued Recall",2,IF(Q269="Recognition",3,IF(Q269="Multiple Choice",4,IF(Q269="Savings",5,IF(Q269="Stem Completion",6,IF(Q269="Fragment Completion",7,IF(Q269="anagram solution",8,IF(Q269="Matching",9,IF(Q269="Problem Solving",10,"99"))))))))))</f>
        <v>2</v>
      </c>
      <c r="S269" s="60"/>
      <c r="T269" s="59" t="s">
        <v>581</v>
      </c>
      <c r="U269" s="60">
        <f>IF(T269="within",1,0)</f>
        <v>1</v>
      </c>
      <c r="V269" s="59">
        <v>16</v>
      </c>
      <c r="W269" s="60">
        <f>F269*V269</f>
        <v>288</v>
      </c>
      <c r="X269" s="60">
        <v>3</v>
      </c>
      <c r="Y269" s="76">
        <f>AV268</f>
        <v>150</v>
      </c>
      <c r="Z269" s="60" t="s">
        <v>131</v>
      </c>
      <c r="AA269" s="60">
        <v>432000</v>
      </c>
      <c r="AB269" s="60" t="str">
        <f>IF(AA269&lt;60,"1",IF(AA269&lt;=43200,"2",IF(AA269&lt;=777600,"3","4")))</f>
        <v>3</v>
      </c>
      <c r="AC269" s="56">
        <f>AVERAGE(AV268:DA268)</f>
        <v>172850</v>
      </c>
      <c r="AD269" s="60" t="str">
        <f>IF(AC269&lt;60,"1",IF(AC269&lt;=43200,"2",IF(AC269&lt;=777600,"3","4")))</f>
        <v>3</v>
      </c>
      <c r="AE269" s="76">
        <f>AA269-Y269</f>
        <v>431850</v>
      </c>
      <c r="AF269" s="80">
        <f>AV269</f>
        <v>0.246</v>
      </c>
      <c r="AG269" s="56">
        <f>((AW269-AV269)+(AX269-AW269))/2</f>
        <v>-8.199999999999999E-2</v>
      </c>
      <c r="AH269" s="4"/>
      <c r="AI269" s="56">
        <f>RSQ(AV269:AX269,AV268:AX268)</f>
        <v>0.86517595505192457</v>
      </c>
      <c r="AJ269" s="109">
        <f>SLOPE(AV269:AX269,AV268:AX268)</f>
        <v>-3.3403979212046913E-7</v>
      </c>
      <c r="AK269" s="56">
        <f>INTERCEPT(AV269:AX269,AV268:AX268)</f>
        <v>0.21973877806802311</v>
      </c>
      <c r="AL269" s="56">
        <f>INDEX(LINEST(LN(AV269:AX269),LN(AV268:AX268),TRUE,TRUE),3,1)</f>
        <v>0.81633224902495571</v>
      </c>
      <c r="AM269" s="56">
        <f>INDEX(LINEST(LN(AV269:AX269),LN(AV268:AX268)),1)</f>
        <v>-0.11857085286319295</v>
      </c>
      <c r="AN269" s="56">
        <f>EXP(INDEX(LINEST(LN(AV269:AX269),LN(AV268:AX268)),1,2))</f>
        <v>0.46951838273194452</v>
      </c>
      <c r="AO269" s="82">
        <f>INDEX(LINEST((AV269:AX269),LN(AV268:AX268),TRUE,TRUE),3,1)</f>
        <v>0.91870301844427804</v>
      </c>
      <c r="AP269" s="82">
        <f>INDEX(LINEST((AV269:AX269),LN(AV268:AX268)),1)</f>
        <v>-1.867717414422428E-2</v>
      </c>
      <c r="AQ269" s="83">
        <f>INDEX(LINEST(LN(AV269:AX269),SQRT(AV268:AX268),TRUE,TRUE),3,1)</f>
        <v>0.99851057033542578</v>
      </c>
      <c r="AR269" s="116">
        <f>INDEX(LINEST(LN(AV269:AX269),SQRT((AV268:AX268))),1)</f>
        <v>-1.7080434877592282E-3</v>
      </c>
      <c r="AS269" s="84">
        <f>INDEX(LINEST(1/(AV269:AX269),1/(SQRT(AV268:AX268)),TRUE,TRUE),3,1)</f>
        <v>0.53192300641749013</v>
      </c>
      <c r="AT269" s="84">
        <f>INDEX(LINEST(1/(AV269:AX269),1/SQRT(AV268:AX268)),1)</f>
        <v>-66.920814804177851</v>
      </c>
      <c r="AU269" s="3"/>
      <c r="AV269" s="53">
        <v>0.246</v>
      </c>
      <c r="AW269" s="53">
        <v>0.158</v>
      </c>
      <c r="AX269" s="53">
        <v>8.2000000000000003E-2</v>
      </c>
      <c r="AY269" s="53"/>
      <c r="AZ269" s="53"/>
      <c r="BA269" s="53"/>
      <c r="BB269" s="53"/>
      <c r="BC269" s="53"/>
      <c r="BD269" s="53"/>
      <c r="BE269" s="53"/>
      <c r="BF269" s="53"/>
      <c r="BG269" s="53"/>
      <c r="BH269" s="53"/>
      <c r="BI269" s="53"/>
      <c r="BJ269" s="53"/>
      <c r="BK269" s="53"/>
      <c r="BL269" s="53"/>
      <c r="BM269" s="53"/>
      <c r="BN269" s="53"/>
      <c r="BO269" s="53"/>
      <c r="BP269" s="53"/>
      <c r="BQ269" s="53"/>
      <c r="BR269" s="53"/>
      <c r="BS269" s="53"/>
      <c r="BT269" s="53"/>
      <c r="BU269" s="53"/>
      <c r="BV269" s="53"/>
      <c r="BW269" s="53"/>
      <c r="BX269" s="53"/>
      <c r="BY269" s="53"/>
      <c r="BZ269" s="53"/>
      <c r="CA269" s="53"/>
      <c r="CB269" s="53"/>
      <c r="CC269" s="53"/>
      <c r="CD269" s="53"/>
      <c r="CE269" s="53"/>
      <c r="CF269" s="53"/>
      <c r="CG269" s="53"/>
      <c r="CH269" s="53"/>
      <c r="CI269" s="53"/>
      <c r="CJ269" s="53"/>
      <c r="CK269" s="53"/>
      <c r="CL269" s="53"/>
      <c r="CM269" s="53"/>
      <c r="CN269" s="53"/>
      <c r="CO269" s="53"/>
      <c r="CP269" s="53"/>
      <c r="CQ269" s="53"/>
      <c r="CR269" s="1"/>
      <c r="CS269" s="1"/>
      <c r="CT269" s="1"/>
      <c r="CU269" s="1"/>
    </row>
    <row r="270" spans="1:99" s="13" customFormat="1" ht="12" customHeight="1" x14ac:dyDescent="0.2">
      <c r="A270" s="65">
        <v>43509</v>
      </c>
      <c r="B270" s="1"/>
      <c r="C270" s="1"/>
      <c r="D270" s="60"/>
      <c r="E270" s="76"/>
      <c r="F270" s="60"/>
      <c r="G270" s="60"/>
      <c r="H270" s="60"/>
      <c r="I270" s="60"/>
      <c r="J270" s="60"/>
      <c r="K270" s="64"/>
      <c r="L270" s="64"/>
      <c r="M270" s="60"/>
      <c r="N270" s="60"/>
      <c r="O270" s="60"/>
      <c r="P270" s="60"/>
      <c r="Q270" s="60"/>
      <c r="R270" s="60"/>
      <c r="S270" s="60"/>
      <c r="T270" s="60"/>
      <c r="U270" s="60"/>
      <c r="V270" s="60"/>
      <c r="W270" s="60"/>
      <c r="X270" s="60"/>
      <c r="Y270" s="76"/>
      <c r="Z270" s="60"/>
      <c r="AA270" s="60"/>
      <c r="AB270" s="60"/>
      <c r="AC270" s="60"/>
      <c r="AD270" s="60"/>
      <c r="AE270" s="60"/>
      <c r="AF270" s="80"/>
      <c r="AG270" s="56"/>
      <c r="AH270" s="4"/>
      <c r="AI270" s="56"/>
      <c r="AJ270" s="109"/>
      <c r="AK270" s="56"/>
      <c r="AL270" s="56"/>
      <c r="AM270" s="56"/>
      <c r="AN270" s="56"/>
      <c r="AO270" s="56"/>
      <c r="AP270" s="56"/>
      <c r="AQ270" s="82"/>
      <c r="AR270" s="115"/>
      <c r="AS270" s="82"/>
      <c r="AT270" s="82"/>
      <c r="AU270" s="4"/>
      <c r="AV270" s="25">
        <v>150</v>
      </c>
      <c r="AW270" s="25">
        <f>24*3600*1</f>
        <v>86400</v>
      </c>
      <c r="AX270" s="25">
        <f>24*3600*5</f>
        <v>432000</v>
      </c>
      <c r="AY270" s="53"/>
      <c r="AZ270" s="53"/>
      <c r="BA270" s="53"/>
      <c r="BB270" s="53"/>
      <c r="BC270" s="53"/>
      <c r="BD270" s="53"/>
      <c r="BE270" s="53"/>
      <c r="BF270" s="53"/>
      <c r="BG270" s="53"/>
      <c r="BH270" s="53"/>
      <c r="BI270" s="53"/>
      <c r="BJ270" s="53"/>
      <c r="BK270" s="53"/>
      <c r="BL270" s="53"/>
      <c r="BM270" s="53"/>
      <c r="BN270" s="53"/>
      <c r="BO270" s="53"/>
      <c r="BP270" s="53"/>
      <c r="BQ270" s="53"/>
      <c r="BR270" s="53"/>
      <c r="BS270" s="53"/>
      <c r="BT270" s="53"/>
      <c r="BU270" s="53"/>
      <c r="BV270" s="53"/>
      <c r="BW270" s="53"/>
      <c r="BX270" s="53"/>
      <c r="BY270" s="53"/>
      <c r="BZ270" s="53"/>
      <c r="CA270" s="53"/>
      <c r="CB270" s="53"/>
      <c r="CC270" s="53"/>
      <c r="CD270" s="53"/>
      <c r="CE270" s="53"/>
      <c r="CF270" s="53"/>
      <c r="CG270" s="53"/>
      <c r="CH270" s="53"/>
      <c r="CI270" s="53"/>
      <c r="CJ270" s="53"/>
      <c r="CK270" s="53"/>
      <c r="CL270" s="53"/>
      <c r="CM270" s="53"/>
      <c r="CN270" s="53"/>
      <c r="CO270" s="53"/>
      <c r="CP270" s="53"/>
      <c r="CQ270" s="53"/>
      <c r="CR270" s="1"/>
      <c r="CS270" s="1"/>
      <c r="CT270" s="1"/>
      <c r="CU270" s="1"/>
    </row>
    <row r="271" spans="1:99" s="13" customFormat="1" ht="12" customHeight="1" x14ac:dyDescent="0.2">
      <c r="A271" s="65">
        <v>43509</v>
      </c>
      <c r="B271" s="1" t="s">
        <v>128</v>
      </c>
      <c r="C271" s="1" t="s">
        <v>45</v>
      </c>
      <c r="D271" s="60">
        <v>1983</v>
      </c>
      <c r="E271" s="76">
        <v>3</v>
      </c>
      <c r="F271" s="60">
        <v>18</v>
      </c>
      <c r="G271" s="60">
        <v>18</v>
      </c>
      <c r="H271" s="60" t="s">
        <v>43</v>
      </c>
      <c r="I271" s="60" t="s">
        <v>132</v>
      </c>
      <c r="J271" s="60" t="s">
        <v>475</v>
      </c>
      <c r="K271" s="60">
        <f>IF(J271="syllables",1,IF(J271="trigrams",2,IF(J271="strings",3,IF(J271="visual array",4,IF(J271="characters",5,IF(J271="letters",6,IF(J271="free forms",7,IF(J271="odors",8,IF(J271="words",9,IF(J271="pictures",10,IF(J271="object pictures",11,IF(J271="faces",12,IF(J271="names",13,IF(J271="idioms",14,IF(J271="grades",15,IF(J271="syllable-digit pairs",16,IF(J271="trigram-word pairs",17,IF(J271="word-digit pairs",18,IF(J271="English-Swahili pairs",19,IF(J271="spatial position",20,IF(J271="word pairs",21,IF(J271="word triads",22,IF(J271="generated words",23,IF(J271="word definition pairs",24,IF(J271="math problems",25,IF(J271="famous faces",26,IF(J271="famous names",27,IF(J271="famous voices",28,IF(J271="television programs",29,IF(J271="race horses",30,IF(J271="new vocabulary",31,IF(J271="sentences",32,IF(J271="concepts",33,IF(J271="ad slides",34,IF(J271="scenes",35,IF(J271="famous scenes",36,IF(J271="poems",37,IF(J271="walk",38,IF(J271="faces and events",39,IF(J271="events and names",40,IF(J271="flashbulb",41,IF(J271="stories",42,IF(J271="course material",43,IF(J271="autobiographical",44,IF(J271="novels",45,IF(J271="public events",46,"99"))))))))))))))))))))))))))))))))))))))))))))))</f>
        <v>32</v>
      </c>
      <c r="L271" s="60">
        <f>IF(J271="syllables",1,IF(J271="trigrams",1,IF(J271="strings",1,IF(J271="visual array",1,IF(J271="characters",1,IF(J271="letters",1,IF(J271="free forms",1,IF(J271="odors",2,IF(J271="words",2,IF(J271="pictures",2,IF(J271="object pictures",2,IF(J271="faces",2,IF(J271="names",2,IF(J271="idioms","2",IF(J271="grades",2,IF(J271="syllable-digit pairs",3,IF(J271="trigram-word pairs",3,IF(J271="word-digit pairs",3,IF(J271="English-Swahili pairs",3,IF(J271="spatial position",3,IF(J271="word pairs",4,IF(J271="word triads",4,IF(J271="generated words",4,IF(J271="word definition pairs",4,IF(J271="math problems",4,IF(J271="famous faces",4,IF(J271="famous names",4,IF(J271="famous voices",4,IF(J271="television programs",4,IF(J271="race horses",4,IF(J271="new vocabulary",4,IF(J271="sentences",5,IF(J271="concepts",5,IF(J271="ad slides",5,IF(J271="scenes",5,IF(J271="famous scenes",5,IF(J271="poems",6,IF(J271="walk",6,IF(J271="faces and events",6,IF(J271="events and names",6,IF(J271="flashbulb",7,IF(J271="stories",7,IF(J271="course material",7,IF(J271="autobiographical",7,IF(J271="novels",7,IF(J271="public events",7,"99"))))))))))))))))))))))))))))))))))))))))))))))</f>
        <v>5</v>
      </c>
      <c r="M271" s="60">
        <v>1</v>
      </c>
      <c r="N271" s="60">
        <v>3</v>
      </c>
      <c r="O271" s="60">
        <v>1</v>
      </c>
      <c r="P271" s="60" t="s">
        <v>129</v>
      </c>
      <c r="Q271" s="60" t="s">
        <v>65</v>
      </c>
      <c r="R271" s="60">
        <f>IF(Q271="Free Recall",1,IF(Q271="Cued Recall",2,IF(Q271="Recognition",3,IF(Q271="Multiple Choice",4,IF(Q271="Savings",5,IF(Q271="Stem Completion",6,IF(Q271="Fragment Completion",7,IF(Q271="anagram solution",8,IF(Q271="Matching",9,IF(Q271="Problem Solving",10,"99"))))))))))</f>
        <v>2</v>
      </c>
      <c r="S271" s="60"/>
      <c r="T271" s="59" t="s">
        <v>581</v>
      </c>
      <c r="U271" s="60">
        <f>IF(T271="within",1,0)</f>
        <v>1</v>
      </c>
      <c r="V271" s="59">
        <v>16</v>
      </c>
      <c r="W271" s="60">
        <f>F271*V271</f>
        <v>288</v>
      </c>
      <c r="X271" s="60">
        <v>3</v>
      </c>
      <c r="Y271" s="76">
        <f>AV270</f>
        <v>150</v>
      </c>
      <c r="Z271" s="60" t="s">
        <v>131</v>
      </c>
      <c r="AA271" s="60">
        <v>432000</v>
      </c>
      <c r="AB271" s="60" t="str">
        <f>IF(AA271&lt;60,"1",IF(AA271&lt;=43200,"2",IF(AA271&lt;=777600,"3","4")))</f>
        <v>3</v>
      </c>
      <c r="AC271" s="56">
        <f>AVERAGE(AV270:DA270)</f>
        <v>172850</v>
      </c>
      <c r="AD271" s="60" t="str">
        <f>IF(AC271&lt;60,"1",IF(AC271&lt;=43200,"2",IF(AC271&lt;=777600,"3","4")))</f>
        <v>3</v>
      </c>
      <c r="AE271" s="76">
        <f>AA271-Y271</f>
        <v>431850</v>
      </c>
      <c r="AF271" s="80">
        <f>AV271</f>
        <v>0.193</v>
      </c>
      <c r="AG271" s="56">
        <f>((AW271-AV271)+(AX271-AW271))/2</f>
        <v>-7.6999999999999999E-2</v>
      </c>
      <c r="AH271" s="4"/>
      <c r="AI271" s="56">
        <f>RSQ(AV271:AX271,AV270:AX270)</f>
        <v>0.76014120299534416</v>
      </c>
      <c r="AJ271" s="109">
        <f>SLOPE(AV271:AX271,AV270:AX270)</f>
        <v>-2.9847177728497824E-7</v>
      </c>
      <c r="AK271" s="56">
        <f>INTERCEPT(AV271:AX271,AV270:AX270)</f>
        <v>0.15959084670370849</v>
      </c>
      <c r="AL271" s="56">
        <f>INDEX(LINEST(LN(AV271:AX271),LN(AV270:AX270),TRUE,TRUE),3,1)</f>
        <v>0.86673471216554188</v>
      </c>
      <c r="AM271" s="56">
        <f>INDEX(LINEST(LN(AV271:AX271),LN(AV270:AX270)),1)</f>
        <v>-0.17689204805834827</v>
      </c>
      <c r="AN271" s="56">
        <f>EXP(INDEX(LINEST(LN(AV271:AX271),LN(AV270:AX270)),1,2))</f>
        <v>0.499438200300241</v>
      </c>
      <c r="AO271" s="82">
        <f>INDEX(LINEST((AV271:AX271),LN(AV270:AX270),TRUE,TRUE),3,1)</f>
        <v>0.97667947627318707</v>
      </c>
      <c r="AP271" s="82">
        <f>INDEX(LINEST((AV271:AX271),LN(AV270:AX270)),1)</f>
        <v>-1.8357341106126725E-2</v>
      </c>
      <c r="AQ271" s="83">
        <f>INDEX(LINEST(LN(AV271:AX271),SQRT(AV270:AX270),TRUE,TRUE),3,1)</f>
        <v>0.99906338989954502</v>
      </c>
      <c r="AR271" s="116">
        <f>INDEX(LINEST(LN(AV271:AX271),SQRT((AV270:AX270))),1)</f>
        <v>-2.4736591726272979E-3</v>
      </c>
      <c r="AS271" s="84">
        <f>INDEX(LINEST(1/(AV271:AX271),1/(SQRT(AV270:AX270)),TRUE,TRUE),3,1)</f>
        <v>0.53142539719697979</v>
      </c>
      <c r="AT271" s="84">
        <f>INDEX(LINEST(1/(AV271:AX271),1/SQRT(AV270:AX270)),1)</f>
        <v>-168.35163900682801</v>
      </c>
      <c r="AU271" s="3"/>
      <c r="AV271" s="53">
        <v>0.193</v>
      </c>
      <c r="AW271" s="53">
        <v>9.1999999999999998E-2</v>
      </c>
      <c r="AX271" s="53">
        <v>3.9E-2</v>
      </c>
      <c r="AY271" s="53"/>
      <c r="AZ271" s="53"/>
      <c r="BA271" s="53"/>
      <c r="BB271" s="53"/>
      <c r="BC271" s="53"/>
      <c r="BD271" s="53"/>
      <c r="BE271" s="53"/>
      <c r="BF271" s="53"/>
      <c r="BG271" s="53"/>
      <c r="BH271" s="53"/>
      <c r="BI271" s="53"/>
      <c r="BJ271" s="53"/>
      <c r="BK271" s="53"/>
      <c r="BL271" s="53"/>
      <c r="BM271" s="53"/>
      <c r="BN271" s="53"/>
      <c r="BO271" s="53"/>
      <c r="BP271" s="53"/>
      <c r="BQ271" s="53"/>
      <c r="BR271" s="53"/>
      <c r="BS271" s="53"/>
      <c r="BT271" s="53"/>
      <c r="BU271" s="53"/>
      <c r="BV271" s="53"/>
      <c r="BW271" s="53"/>
      <c r="BX271" s="53"/>
      <c r="BY271" s="53"/>
      <c r="BZ271" s="53"/>
      <c r="CA271" s="53"/>
      <c r="CB271" s="53"/>
      <c r="CC271" s="53"/>
      <c r="CD271" s="53"/>
      <c r="CE271" s="53"/>
      <c r="CF271" s="53"/>
      <c r="CG271" s="53"/>
      <c r="CH271" s="53"/>
      <c r="CI271" s="53"/>
      <c r="CJ271" s="53"/>
      <c r="CK271" s="53"/>
      <c r="CL271" s="53"/>
      <c r="CM271" s="53"/>
      <c r="CN271" s="53"/>
      <c r="CO271" s="53"/>
      <c r="CP271" s="53"/>
      <c r="CQ271" s="53"/>
      <c r="CR271" s="1"/>
      <c r="CS271" s="1"/>
      <c r="CT271" s="1"/>
      <c r="CU271" s="1"/>
    </row>
    <row r="272" spans="1:99" s="13" customFormat="1" ht="12" customHeight="1" x14ac:dyDescent="0.2">
      <c r="A272" s="65">
        <v>43509</v>
      </c>
      <c r="B272" s="1"/>
      <c r="C272" s="1"/>
      <c r="D272" s="60"/>
      <c r="E272" s="76"/>
      <c r="F272" s="60"/>
      <c r="G272" s="60"/>
      <c r="H272" s="60"/>
      <c r="I272" s="60"/>
      <c r="J272" s="60"/>
      <c r="K272" s="64"/>
      <c r="L272" s="64"/>
      <c r="M272" s="60"/>
      <c r="N272" s="60"/>
      <c r="O272" s="60"/>
      <c r="P272" s="60"/>
      <c r="Q272" s="60"/>
      <c r="R272" s="60"/>
      <c r="S272" s="60"/>
      <c r="T272" s="60"/>
      <c r="U272" s="60"/>
      <c r="V272" s="60"/>
      <c r="W272" s="60"/>
      <c r="X272" s="60"/>
      <c r="Y272" s="76"/>
      <c r="Z272" s="60"/>
      <c r="AA272" s="60"/>
      <c r="AB272" s="60"/>
      <c r="AC272" s="60"/>
      <c r="AD272" s="60"/>
      <c r="AE272" s="60"/>
      <c r="AF272" s="80"/>
      <c r="AG272" s="56"/>
      <c r="AH272" s="4"/>
      <c r="AI272" s="56"/>
      <c r="AJ272" s="109"/>
      <c r="AK272" s="56"/>
      <c r="AL272" s="56"/>
      <c r="AM272" s="56"/>
      <c r="AN272" s="56"/>
      <c r="AO272" s="56"/>
      <c r="AP272" s="56"/>
      <c r="AQ272" s="82"/>
      <c r="AR272" s="115"/>
      <c r="AS272" s="82"/>
      <c r="AT272" s="82"/>
      <c r="AU272" s="4"/>
      <c r="AV272" s="25">
        <v>45</v>
      </c>
      <c r="AW272" s="25">
        <f>2*60*60</f>
        <v>7200</v>
      </c>
      <c r="AX272" s="25">
        <f>24*3600*4</f>
        <v>345600</v>
      </c>
      <c r="AY272" s="53" t="s">
        <v>535</v>
      </c>
      <c r="AZ272" s="53"/>
      <c r="BA272" s="53"/>
      <c r="BB272" s="53"/>
      <c r="BC272" s="53"/>
      <c r="BD272" s="53"/>
      <c r="BE272" s="53"/>
      <c r="BF272" s="53"/>
      <c r="BG272" s="53"/>
      <c r="BH272" s="53"/>
      <c r="BI272" s="53"/>
      <c r="BJ272" s="53"/>
      <c r="BK272" s="53"/>
      <c r="BL272" s="53"/>
      <c r="BM272" s="53"/>
      <c r="BN272" s="53"/>
      <c r="BO272" s="53"/>
      <c r="BP272" s="53"/>
      <c r="BQ272" s="53"/>
      <c r="BR272" s="53"/>
      <c r="BS272" s="53"/>
      <c r="BT272" s="53"/>
      <c r="BU272" s="53"/>
      <c r="BV272" s="53"/>
      <c r="BW272" s="53"/>
      <c r="BX272" s="53"/>
      <c r="BY272" s="53"/>
      <c r="BZ272" s="53"/>
      <c r="CA272" s="53"/>
      <c r="CB272" s="53"/>
      <c r="CC272" s="53"/>
      <c r="CD272" s="53"/>
      <c r="CE272" s="53"/>
      <c r="CF272" s="53"/>
      <c r="CG272" s="53"/>
      <c r="CH272" s="53"/>
      <c r="CI272" s="53"/>
      <c r="CJ272" s="53"/>
      <c r="CK272" s="53"/>
      <c r="CL272" s="53"/>
      <c r="CM272" s="53"/>
      <c r="CN272" s="53"/>
      <c r="CO272" s="53"/>
      <c r="CP272" s="53"/>
      <c r="CQ272" s="53"/>
      <c r="CR272" s="1"/>
      <c r="CS272" s="1"/>
      <c r="CT272" s="1"/>
      <c r="CU272" s="1"/>
    </row>
    <row r="273" spans="1:99" s="13" customFormat="1" ht="12" customHeight="1" x14ac:dyDescent="0.2">
      <c r="A273" s="65">
        <v>43509</v>
      </c>
      <c r="B273" s="1" t="s">
        <v>906</v>
      </c>
      <c r="C273" s="1" t="s">
        <v>54</v>
      </c>
      <c r="D273" s="60">
        <v>1987</v>
      </c>
      <c r="E273" s="76">
        <v>1</v>
      </c>
      <c r="F273" s="60">
        <v>12</v>
      </c>
      <c r="G273" s="60">
        <v>12</v>
      </c>
      <c r="H273" s="60" t="s">
        <v>22</v>
      </c>
      <c r="I273" s="60" t="s">
        <v>824</v>
      </c>
      <c r="J273" s="60" t="s">
        <v>16</v>
      </c>
      <c r="K273" s="60">
        <f>IF(J273="syllables",1,IF(J273="trigrams",2,IF(J273="strings",3,IF(J273="visual array",4,IF(J273="characters",5,IF(J273="letters",6,IF(J273="free forms",7,IF(J273="odors",8,IF(J273="words",9,IF(J273="pictures",10,IF(J273="object pictures",11,IF(J273="faces",12,IF(J273="names",13,IF(J273="idioms",14,IF(J273="grades",15,IF(J273="syllable-digit pairs",16,IF(J273="trigram-word pairs",17,IF(J273="word-digit pairs",18,IF(J273="English-Swahili pairs",19,IF(J273="spatial position",20,IF(J273="word pairs",21,IF(J273="word triads",22,IF(J273="generated words",23,IF(J273="word definition pairs",24,IF(J273="math problems",25,IF(J273="famous faces",26,IF(J273="famous names",27,IF(J273="famous voices",28,IF(J273="television programs",29,IF(J273="race horses",30,IF(J273="new vocabulary",31,IF(J273="sentences",32,IF(J273="concepts",33,IF(J273="ad slides",34,IF(J273="scenes",35,IF(J273="famous scenes",36,IF(J273="poems",37,IF(J273="walk",38,IF(J273="faces and events",39,IF(J273="events and names",40,IF(J273="flashbulb",41,IF(J273="stories",42,IF(J273="course material",43,IF(J273="autobiographical",44,IF(J273="novels",45,IF(J273="public events",46,"99"))))))))))))))))))))))))))))))))))))))))))))))</f>
        <v>9</v>
      </c>
      <c r="L273" s="60">
        <f>IF(J273="syllables",1,IF(J273="trigrams",1,IF(J273="strings",1,IF(J273="visual array",1,IF(J273="characters",1,IF(J273="letters",1,IF(J273="free forms",1,IF(J273="odors",2,IF(J273="words",2,IF(J273="pictures",2,IF(J273="object pictures",2,IF(J273="faces",2,IF(J273="names",2,IF(J273="idioms","2",IF(J273="grades",2,IF(J273="syllable-digit pairs",3,IF(J273="trigram-word pairs",3,IF(J273="word-digit pairs",3,IF(J273="English-Swahili pairs",3,IF(J273="spatial position",3,IF(J273="word pairs",4,IF(J273="word triads",4,IF(J273="generated words",4,IF(J273="word definition pairs",4,IF(J273="math problems",4,IF(J273="famous faces",4,IF(J273="famous names",4,IF(J273="famous voices",4,IF(J273="television programs",4,IF(J273="race horses",4,IF(J273="new vocabulary",4,IF(J273="sentences",5,IF(J273="concepts",5,IF(J273="ad slides",5,IF(J273="scenes",5,IF(J273="famous scenes",5,IF(J273="poems",6,IF(J273="walk",6,IF(J273="faces and events",6,IF(J273="events and names",6,IF(J273="flashbulb",7,IF(J273="stories",7,IF(J273="course material",7,IF(J273="autobiographical",7,IF(J273="novels",7,IF(J273="public events",7,"99"))))))))))))))))))))))))))))))))))))))))))))))</f>
        <v>2</v>
      </c>
      <c r="M273" s="60">
        <v>1</v>
      </c>
      <c r="N273" s="60">
        <v>2</v>
      </c>
      <c r="O273" s="60">
        <v>0</v>
      </c>
      <c r="P273" s="60"/>
      <c r="Q273" s="60" t="s">
        <v>125</v>
      </c>
      <c r="R273" s="60">
        <f>IF(Q273="Free Recall",1,IF(Q273="Cued Recall",2,IF(Q273="Recognition",3,IF(Q273="Multiple Choice",4,IF(Q273="Savings",5,IF(Q273="Stem Completion",6,IF(Q273="Fragment Completion",7,IF(Q273="anagram solution",8,IF(Q273="Matching",9,IF(Q273="Problem Solving",10,"99"))))))))))</f>
        <v>7</v>
      </c>
      <c r="S273" s="60" t="s">
        <v>49</v>
      </c>
      <c r="T273" s="59" t="s">
        <v>581</v>
      </c>
      <c r="U273" s="60">
        <f>IF(T273="within",1,0)</f>
        <v>1</v>
      </c>
      <c r="V273" s="59">
        <v>72</v>
      </c>
      <c r="W273" s="60">
        <f>F273*V273</f>
        <v>864</v>
      </c>
      <c r="X273" s="60">
        <v>3</v>
      </c>
      <c r="Y273" s="76">
        <f>AV272</f>
        <v>45</v>
      </c>
      <c r="Z273" s="60" t="s">
        <v>115</v>
      </c>
      <c r="AA273" s="60">
        <v>345600</v>
      </c>
      <c r="AB273" s="60" t="str">
        <f>IF(AA273&lt;60,"1",IF(AA273&lt;=43200,"2",IF(AA273&lt;=777600,"3","4")))</f>
        <v>3</v>
      </c>
      <c r="AC273" s="56">
        <f>AVERAGE(AV272:DA272)</f>
        <v>117615</v>
      </c>
      <c r="AD273" s="60" t="str">
        <f>IF(AC273&lt;60,"1",IF(AC273&lt;=43200,"2",IF(AC273&lt;=777600,"3","4")))</f>
        <v>3</v>
      </c>
      <c r="AE273" s="76">
        <f>AA273-Y273</f>
        <v>345555</v>
      </c>
      <c r="AF273" s="80">
        <f>AV273</f>
        <v>0.5</v>
      </c>
      <c r="AG273" s="56">
        <f>((AW273-AV273)+(AX273-AW273))/2</f>
        <v>-0.16499999999999998</v>
      </c>
      <c r="AH273" s="4"/>
      <c r="AI273" s="56">
        <f>RSQ(AV273:AX273,AV272:AX272)</f>
        <v>0.24333716031784722</v>
      </c>
      <c r="AJ273" s="109">
        <f>SLOPE(AV273:AX273,AV272:AX272)</f>
        <v>-4.833094453918862E-7</v>
      </c>
      <c r="AK273" s="56">
        <f>INTERCEPT(AV273:AX273,AV272:AX272)</f>
        <v>0.33351110708643339</v>
      </c>
      <c r="AL273" s="56">
        <f>INDEX(LINEST(LN(AV273:AX273),LN(AV272:AX272),TRUE,TRUE),3,1)</f>
        <v>0.77571589266024654</v>
      </c>
      <c r="AM273" s="56">
        <f>INDEX(LINEST(LN(AV273:AX273),LN(AV272:AX272)),1)</f>
        <v>-0.12584385151476263</v>
      </c>
      <c r="AN273" s="56">
        <f>EXP(INDEX(LINEST(LN(AV273:AX273),LN(AV272:AX272)),1,2))</f>
        <v>0.69395960154045044</v>
      </c>
      <c r="AO273" s="82">
        <f>INDEX(LINEST((AV273:AX273),LN(AV272:AX272),TRUE,TRUE),3,1)</f>
        <v>0.79335552651885377</v>
      </c>
      <c r="AP273" s="82">
        <f>INDEX(LINEST((AV273:AX273),LN(AV272:AX272)),1)</f>
        <v>-3.8409540822849787E-2</v>
      </c>
      <c r="AQ273" s="83">
        <f>INDEX(LINEST(LN(AV273:AX273),SQRT(AV272:AX272),TRUE,TRUE),3,1)</f>
        <v>0.31928187978681588</v>
      </c>
      <c r="AR273" s="116">
        <f>INDEX(LINEST(LN(AV273:AX273),SQRT((AV272:AX272))),1)</f>
        <v>-1.1484638429484957E-3</v>
      </c>
      <c r="AS273" s="84">
        <f>INDEX(LINEST(1/(AV273:AX273),1/(SQRT(AV272:AX272)),TRUE,TRUE),3,1)</f>
        <v>0.980686333662947</v>
      </c>
      <c r="AT273" s="84">
        <f>INDEX(LINEST(1/(AV273:AX273),1/SQRT(AV272:AX272)),1)</f>
        <v>-28.325128072163483</v>
      </c>
      <c r="AU273" s="3"/>
      <c r="AV273" s="53">
        <v>0.5</v>
      </c>
      <c r="AW273" s="53">
        <v>0.16</v>
      </c>
      <c r="AX273" s="53">
        <v>0.17</v>
      </c>
      <c r="AY273" s="53"/>
      <c r="AZ273" s="53"/>
      <c r="BA273" s="53"/>
      <c r="BB273" s="53"/>
      <c r="BC273" s="53"/>
      <c r="BD273" s="53"/>
      <c r="BE273" s="53"/>
      <c r="BF273" s="53"/>
      <c r="BG273" s="53"/>
      <c r="BH273" s="53"/>
      <c r="BI273" s="53"/>
      <c r="BJ273" s="53"/>
      <c r="BK273" s="53"/>
      <c r="BL273" s="53"/>
      <c r="BM273" s="53"/>
      <c r="BN273" s="53"/>
      <c r="BO273" s="53"/>
      <c r="BP273" s="53"/>
      <c r="BQ273" s="53"/>
      <c r="BR273" s="53"/>
      <c r="BS273" s="53"/>
      <c r="BT273" s="53"/>
      <c r="BU273" s="53"/>
      <c r="BV273" s="53"/>
      <c r="BW273" s="53"/>
      <c r="BX273" s="53"/>
      <c r="BY273" s="53"/>
      <c r="BZ273" s="53"/>
      <c r="CA273" s="53"/>
      <c r="CB273" s="53"/>
      <c r="CC273" s="53"/>
      <c r="CD273" s="53"/>
      <c r="CE273" s="53"/>
      <c r="CF273" s="53"/>
      <c r="CG273" s="53"/>
      <c r="CH273" s="53"/>
      <c r="CI273" s="53"/>
      <c r="CJ273" s="53"/>
      <c r="CK273" s="53"/>
      <c r="CL273" s="53"/>
      <c r="CM273" s="53"/>
      <c r="CN273" s="53"/>
      <c r="CO273" s="53"/>
      <c r="CP273" s="53"/>
      <c r="CQ273" s="53"/>
      <c r="CR273" s="1"/>
      <c r="CS273" s="1"/>
      <c r="CT273" s="1"/>
      <c r="CU273" s="1"/>
    </row>
    <row r="274" spans="1:99" s="13" customFormat="1" ht="12" customHeight="1" x14ac:dyDescent="0.2">
      <c r="A274" s="65">
        <v>43509</v>
      </c>
      <c r="B274" s="1"/>
      <c r="C274" s="1"/>
      <c r="D274" s="60"/>
      <c r="E274" s="76"/>
      <c r="F274" s="60"/>
      <c r="G274" s="60"/>
      <c r="H274" s="60"/>
      <c r="I274" s="60"/>
      <c r="J274" s="60"/>
      <c r="K274" s="64"/>
      <c r="L274" s="64"/>
      <c r="M274" s="60"/>
      <c r="N274" s="60"/>
      <c r="O274" s="60"/>
      <c r="P274" s="60"/>
      <c r="Q274" s="60"/>
      <c r="R274" s="60"/>
      <c r="S274" s="60"/>
      <c r="T274" s="60"/>
      <c r="U274" s="60"/>
      <c r="V274" s="60"/>
      <c r="W274" s="60"/>
      <c r="X274" s="60"/>
      <c r="Y274" s="76"/>
      <c r="Z274" s="60"/>
      <c r="AA274" s="60"/>
      <c r="AB274" s="60"/>
      <c r="AC274" s="60"/>
      <c r="AD274" s="60"/>
      <c r="AE274" s="60"/>
      <c r="AF274" s="80"/>
      <c r="AG274" s="56"/>
      <c r="AH274" s="4"/>
      <c r="AI274" s="56"/>
      <c r="AJ274" s="109"/>
      <c r="AK274" s="56"/>
      <c r="AL274" s="56"/>
      <c r="AM274" s="56"/>
      <c r="AN274" s="56"/>
      <c r="AO274" s="56"/>
      <c r="AP274" s="56"/>
      <c r="AQ274" s="82"/>
      <c r="AR274" s="115"/>
      <c r="AS274" s="82"/>
      <c r="AT274" s="82"/>
      <c r="AU274" s="4"/>
      <c r="AV274" s="25">
        <v>45</v>
      </c>
      <c r="AW274" s="25">
        <f>2*60*60</f>
        <v>7200</v>
      </c>
      <c r="AX274" s="25">
        <f>24*3600*4</f>
        <v>345600</v>
      </c>
      <c r="AY274" s="53"/>
      <c r="AZ274" s="53"/>
      <c r="BA274" s="53"/>
      <c r="BB274" s="53"/>
      <c r="BC274" s="53"/>
      <c r="BD274" s="53"/>
      <c r="BE274" s="53"/>
      <c r="BF274" s="53"/>
      <c r="BG274" s="53"/>
      <c r="BH274" s="53"/>
      <c r="BI274" s="53"/>
      <c r="BJ274" s="53"/>
      <c r="BK274" s="53"/>
      <c r="BL274" s="53"/>
      <c r="BM274" s="53"/>
      <c r="BN274" s="53"/>
      <c r="BO274" s="53"/>
      <c r="BP274" s="53"/>
      <c r="BQ274" s="53"/>
      <c r="BR274" s="53"/>
      <c r="BS274" s="53"/>
      <c r="BT274" s="53"/>
      <c r="BU274" s="53"/>
      <c r="BV274" s="53"/>
      <c r="BW274" s="53"/>
      <c r="BX274" s="53"/>
      <c r="BY274" s="53"/>
      <c r="BZ274" s="53"/>
      <c r="CA274" s="53"/>
      <c r="CB274" s="53"/>
      <c r="CC274" s="53"/>
      <c r="CD274" s="53"/>
      <c r="CE274" s="53"/>
      <c r="CF274" s="53"/>
      <c r="CG274" s="53"/>
      <c r="CH274" s="53"/>
      <c r="CI274" s="53"/>
      <c r="CJ274" s="53"/>
      <c r="CK274" s="53"/>
      <c r="CL274" s="53"/>
      <c r="CM274" s="53"/>
      <c r="CN274" s="53"/>
      <c r="CO274" s="53"/>
      <c r="CP274" s="53"/>
      <c r="CQ274" s="53"/>
      <c r="CR274" s="1"/>
      <c r="CS274" s="1"/>
      <c r="CT274" s="1"/>
      <c r="CU274" s="1"/>
    </row>
    <row r="275" spans="1:99" s="13" customFormat="1" ht="12" customHeight="1" x14ac:dyDescent="0.2">
      <c r="A275" s="65">
        <v>43509</v>
      </c>
      <c r="B275" s="1" t="s">
        <v>906</v>
      </c>
      <c r="C275" s="1" t="s">
        <v>54</v>
      </c>
      <c r="D275" s="60">
        <v>1987</v>
      </c>
      <c r="E275" s="76">
        <v>1</v>
      </c>
      <c r="F275" s="60">
        <v>12</v>
      </c>
      <c r="G275" s="60">
        <v>12</v>
      </c>
      <c r="H275" s="60" t="s">
        <v>38</v>
      </c>
      <c r="I275" s="60" t="s">
        <v>824</v>
      </c>
      <c r="J275" s="60" t="s">
        <v>16</v>
      </c>
      <c r="K275" s="60">
        <f>IF(J275="syllables",1,IF(J275="trigrams",2,IF(J275="strings",3,IF(J275="visual array",4,IF(J275="characters",5,IF(J275="letters",6,IF(J275="free forms",7,IF(J275="odors",8,IF(J275="words",9,IF(J275="pictures",10,IF(J275="object pictures",11,IF(J275="faces",12,IF(J275="names",13,IF(J275="idioms",14,IF(J275="grades",15,IF(J275="syllable-digit pairs",16,IF(J275="trigram-word pairs",17,IF(J275="word-digit pairs",18,IF(J275="English-Swahili pairs",19,IF(J275="spatial position",20,IF(J275="word pairs",21,IF(J275="word triads",22,IF(J275="generated words",23,IF(J275="word definition pairs",24,IF(J275="math problems",25,IF(J275="famous faces",26,IF(J275="famous names",27,IF(J275="famous voices",28,IF(J275="television programs",29,IF(J275="race horses",30,IF(J275="new vocabulary",31,IF(J275="sentences",32,IF(J275="concepts",33,IF(J275="ad slides",34,IF(J275="scenes",35,IF(J275="famous scenes",36,IF(J275="poems",37,IF(J275="walk",38,IF(J275="faces and events",39,IF(J275="events and names",40,IF(J275="flashbulb",41,IF(J275="stories",42,IF(J275="course material",43,IF(J275="autobiographical",44,IF(J275="novels",45,IF(J275="public events",46,"99"))))))))))))))))))))))))))))))))))))))))))))))</f>
        <v>9</v>
      </c>
      <c r="L275" s="60">
        <f>IF(J275="syllables",1,IF(J275="trigrams",1,IF(J275="strings",1,IF(J275="visual array",1,IF(J275="characters",1,IF(J275="letters",1,IF(J275="free forms",1,IF(J275="odors",2,IF(J275="words",2,IF(J275="pictures",2,IF(J275="object pictures",2,IF(J275="faces",2,IF(J275="names",2,IF(J275="idioms","2",IF(J275="grades",2,IF(J275="syllable-digit pairs",3,IF(J275="trigram-word pairs",3,IF(J275="word-digit pairs",3,IF(J275="English-Swahili pairs",3,IF(J275="spatial position",3,IF(J275="word pairs",4,IF(J275="word triads",4,IF(J275="generated words",4,IF(J275="word definition pairs",4,IF(J275="math problems",4,IF(J275="famous faces",4,IF(J275="famous names",4,IF(J275="famous voices",4,IF(J275="television programs",4,IF(J275="race horses",4,IF(J275="new vocabulary",4,IF(J275="sentences",5,IF(J275="concepts",5,IF(J275="ad slides",5,IF(J275="scenes",5,IF(J275="famous scenes",5,IF(J275="poems",6,IF(J275="walk",6,IF(J275="faces and events",6,IF(J275="events and names",6,IF(J275="flashbulb",7,IF(J275="stories",7,IF(J275="course material",7,IF(J275="autobiographical",7,IF(J275="novels",7,IF(J275="public events",7,"99"))))))))))))))))))))))))))))))))))))))))))))))</f>
        <v>2</v>
      </c>
      <c r="M275" s="60">
        <v>1</v>
      </c>
      <c r="N275" s="60">
        <v>2</v>
      </c>
      <c r="O275" s="60">
        <v>0</v>
      </c>
      <c r="P275" s="60"/>
      <c r="Q275" s="60" t="s">
        <v>34</v>
      </c>
      <c r="R275" s="60">
        <f>IF(Q275="Free Recall",1,IF(Q275="Cued Recall",2,IF(Q275="Recognition",3,IF(Q275="Multiple Choice",4,IF(Q275="Savings",5,IF(Q275="Stem Completion",6,IF(Q275="Fragment Completion",7,IF(Q275="anagram solution",8,IF(Q275="Matching",9,IF(Q275="Problem Solving",10,"99"))))))))))</f>
        <v>3</v>
      </c>
      <c r="S275" s="60" t="s">
        <v>15</v>
      </c>
      <c r="T275" s="59" t="s">
        <v>581</v>
      </c>
      <c r="U275" s="60">
        <f>IF(T275="within",1,0)</f>
        <v>1</v>
      </c>
      <c r="V275" s="59">
        <v>72</v>
      </c>
      <c r="W275" s="60">
        <f>F275*V275</f>
        <v>864</v>
      </c>
      <c r="X275" s="60">
        <v>3</v>
      </c>
      <c r="Y275" s="76">
        <f>AV274</f>
        <v>45</v>
      </c>
      <c r="Z275" s="60" t="s">
        <v>115</v>
      </c>
      <c r="AA275" s="60">
        <v>345600</v>
      </c>
      <c r="AB275" s="60" t="str">
        <f>IF(AA275&lt;60,"1",IF(AA275&lt;=43200,"2",IF(AA275&lt;=777600,"3","4")))</f>
        <v>3</v>
      </c>
      <c r="AC275" s="56">
        <f>AVERAGE(AV274:DA274)</f>
        <v>117615</v>
      </c>
      <c r="AD275" s="60" t="str">
        <f>IF(AC275&lt;60,"1",IF(AC275&lt;=43200,"2",IF(AC275&lt;=777600,"3","4")))</f>
        <v>3</v>
      </c>
      <c r="AE275" s="76">
        <f>AA275-Y275</f>
        <v>345555</v>
      </c>
      <c r="AF275" s="80">
        <f>AV275</f>
        <v>0.94</v>
      </c>
      <c r="AG275" s="56">
        <f>((AW275-AV275)+(AX275-AW275))/2</f>
        <v>-5.4999999999999993E-2</v>
      </c>
      <c r="AH275" s="4"/>
      <c r="AI275" s="56">
        <f>RSQ(AV275:AX275,AV274:AX274)</f>
        <v>0.97665661311696428</v>
      </c>
      <c r="AJ275" s="109">
        <f>SLOPE(AV275:AX275,AV274:AX274)</f>
        <v>-2.9323833616760013E-7</v>
      </c>
      <c r="AK275" s="56">
        <f>INTERCEPT(AV275:AX275,AV274:AX274)</f>
        <v>0.93115589357501893</v>
      </c>
      <c r="AL275" s="56">
        <f>INDEX(LINEST(LN(AV275:AX275),LN(AV274:AX274),TRUE,TRUE),3,1)</f>
        <v>0.81951741007352319</v>
      </c>
      <c r="AM275" s="56">
        <f>INDEX(LINEST(LN(AV275:AX275),LN(AV274:AX274)),1)</f>
        <v>-1.3421737689918316E-2</v>
      </c>
      <c r="AN275" s="56">
        <f>EXP(INDEX(LINEST(LN(AV275:AX275),LN(AV274:AX274)),1,2))</f>
        <v>1.0032997767354406</v>
      </c>
      <c r="AO275" s="82">
        <f>INDEX(LINEST((AV275:AX275),LN(AV274:AX274),TRUE,TRUE),3,1)</f>
        <v>0.8264935364560736</v>
      </c>
      <c r="AP275" s="82">
        <f>INDEX(LINEST((AV275:AX275),LN(AV274:AX274)),1)</f>
        <v>-1.1872813738355506E-2</v>
      </c>
      <c r="AQ275" s="83">
        <f>INDEX(LINEST(LN(AV275:AX275),SQRT(AV274:AX274),TRUE,TRUE),3,1)</f>
        <v>0.99854399284379847</v>
      </c>
      <c r="AR275" s="116">
        <f>INDEX(LINEST(LN(AV275:AX275),SQRT((AV274:AX274))),1)</f>
        <v>-2.1074767415965899E-4</v>
      </c>
      <c r="AS275" s="84">
        <f>INDEX(LINEST(1/(AV275:AX275),1/(SQRT(AV274:AX274)),TRUE,TRUE),3,1)</f>
        <v>0.45308110410457453</v>
      </c>
      <c r="AT275" s="84">
        <f>INDEX(LINEST(1/(AV275:AX275),1/SQRT(AV274:AX274)),1)</f>
        <v>-0.61821831565079499</v>
      </c>
      <c r="AU275" s="3"/>
      <c r="AV275" s="53">
        <v>0.94</v>
      </c>
      <c r="AW275" s="53">
        <v>0.92</v>
      </c>
      <c r="AX275" s="53">
        <v>0.83</v>
      </c>
      <c r="AY275" s="53"/>
      <c r="AZ275" s="53"/>
      <c r="BA275" s="53"/>
      <c r="BB275" s="53"/>
      <c r="BC275" s="53"/>
      <c r="BD275" s="53"/>
      <c r="BE275" s="53"/>
      <c r="BF275" s="53"/>
      <c r="BG275" s="53"/>
      <c r="BH275" s="53"/>
      <c r="BI275" s="53"/>
      <c r="BJ275" s="53"/>
      <c r="BK275" s="53"/>
      <c r="BL275" s="53"/>
      <c r="BM275" s="53"/>
      <c r="BN275" s="53"/>
      <c r="BO275" s="53"/>
      <c r="BP275" s="53"/>
      <c r="BQ275" s="53"/>
      <c r="BR275" s="53"/>
      <c r="BS275" s="53"/>
      <c r="BT275" s="53"/>
      <c r="BU275" s="53"/>
      <c r="BV275" s="53"/>
      <c r="BW275" s="53"/>
      <c r="BX275" s="53"/>
      <c r="BY275" s="53"/>
      <c r="BZ275" s="53"/>
      <c r="CA275" s="53"/>
      <c r="CB275" s="53"/>
      <c r="CC275" s="53"/>
      <c r="CD275" s="53"/>
      <c r="CE275" s="53"/>
      <c r="CF275" s="53"/>
      <c r="CG275" s="53"/>
      <c r="CH275" s="53"/>
      <c r="CI275" s="53"/>
      <c r="CJ275" s="53"/>
      <c r="CK275" s="53"/>
      <c r="CL275" s="53"/>
      <c r="CM275" s="53"/>
      <c r="CN275" s="53"/>
      <c r="CO275" s="53"/>
      <c r="CP275" s="53"/>
      <c r="CQ275" s="53"/>
      <c r="CR275" s="1"/>
      <c r="CS275" s="1"/>
      <c r="CT275" s="1"/>
      <c r="CU275" s="1"/>
    </row>
    <row r="276" spans="1:99" s="13" customFormat="1" ht="12" customHeight="1" x14ac:dyDescent="0.2">
      <c r="A276" s="65">
        <v>43509</v>
      </c>
      <c r="B276" s="1"/>
      <c r="C276" s="1"/>
      <c r="D276" s="60"/>
      <c r="E276" s="76"/>
      <c r="F276" s="60"/>
      <c r="G276" s="60"/>
      <c r="H276" s="60"/>
      <c r="I276" s="60"/>
      <c r="J276" s="60"/>
      <c r="K276" s="64"/>
      <c r="L276" s="64"/>
      <c r="M276" s="60"/>
      <c r="N276" s="60"/>
      <c r="O276" s="60"/>
      <c r="P276" s="60"/>
      <c r="Q276" s="60"/>
      <c r="R276" s="60"/>
      <c r="S276" s="60"/>
      <c r="T276" s="60"/>
      <c r="U276" s="60"/>
      <c r="V276" s="60"/>
      <c r="W276" s="60"/>
      <c r="X276" s="60"/>
      <c r="Y276" s="76"/>
      <c r="Z276" s="60"/>
      <c r="AA276" s="60"/>
      <c r="AB276" s="60"/>
      <c r="AC276" s="60"/>
      <c r="AD276" s="60"/>
      <c r="AE276" s="60"/>
      <c r="AF276" s="80"/>
      <c r="AG276" s="56"/>
      <c r="AH276" s="4"/>
      <c r="AI276" s="56"/>
      <c r="AJ276" s="109"/>
      <c r="AK276" s="56"/>
      <c r="AL276" s="56"/>
      <c r="AM276" s="56"/>
      <c r="AN276" s="56"/>
      <c r="AO276" s="56"/>
      <c r="AP276" s="56"/>
      <c r="AQ276" s="82"/>
      <c r="AR276" s="115"/>
      <c r="AS276" s="82"/>
      <c r="AT276" s="82"/>
      <c r="AU276" s="4"/>
      <c r="AV276" s="25">
        <v>45</v>
      </c>
      <c r="AW276" s="25">
        <f>2*60*60</f>
        <v>7200</v>
      </c>
      <c r="AX276" s="25">
        <f>24*3600*4</f>
        <v>345600</v>
      </c>
      <c r="AY276" s="53"/>
      <c r="AZ276" s="53"/>
      <c r="BA276" s="53"/>
      <c r="BB276" s="53"/>
      <c r="BC276" s="53"/>
      <c r="BD276" s="53"/>
      <c r="BE276" s="53"/>
      <c r="BF276" s="53"/>
      <c r="BG276" s="53"/>
      <c r="BH276" s="53"/>
      <c r="BI276" s="53"/>
      <c r="BJ276" s="53"/>
      <c r="BK276" s="53"/>
      <c r="BL276" s="53"/>
      <c r="BM276" s="53"/>
      <c r="BN276" s="53"/>
      <c r="BO276" s="53"/>
      <c r="BP276" s="53"/>
      <c r="BQ276" s="53"/>
      <c r="BR276" s="53"/>
      <c r="BS276" s="53"/>
      <c r="BT276" s="53"/>
      <c r="BU276" s="53"/>
      <c r="BV276" s="53"/>
      <c r="BW276" s="53"/>
      <c r="BX276" s="53"/>
      <c r="BY276" s="53"/>
      <c r="BZ276" s="53"/>
      <c r="CA276" s="53"/>
      <c r="CB276" s="53"/>
      <c r="CC276" s="53"/>
      <c r="CD276" s="53"/>
      <c r="CE276" s="53"/>
      <c r="CF276" s="53"/>
      <c r="CG276" s="53"/>
      <c r="CH276" s="53"/>
      <c r="CI276" s="53"/>
      <c r="CJ276" s="53"/>
      <c r="CK276" s="53"/>
      <c r="CL276" s="53"/>
      <c r="CM276" s="53"/>
      <c r="CN276" s="53"/>
      <c r="CO276" s="53"/>
      <c r="CP276" s="53"/>
      <c r="CQ276" s="53"/>
      <c r="CR276" s="1"/>
      <c r="CS276" s="1"/>
      <c r="CT276" s="1"/>
      <c r="CU276" s="1"/>
    </row>
    <row r="277" spans="1:99" s="13" customFormat="1" ht="12" customHeight="1" x14ac:dyDescent="0.2">
      <c r="A277" s="65">
        <v>43509</v>
      </c>
      <c r="B277" s="1" t="s">
        <v>906</v>
      </c>
      <c r="C277" s="1" t="s">
        <v>54</v>
      </c>
      <c r="D277" s="60">
        <v>1987</v>
      </c>
      <c r="E277" s="76">
        <v>2</v>
      </c>
      <c r="F277" s="60">
        <v>12</v>
      </c>
      <c r="G277" s="60">
        <v>12</v>
      </c>
      <c r="H277" s="60" t="s">
        <v>22</v>
      </c>
      <c r="I277" s="60" t="s">
        <v>824</v>
      </c>
      <c r="J277" s="60" t="s">
        <v>16</v>
      </c>
      <c r="K277" s="60">
        <f>IF(J277="syllables",1,IF(J277="trigrams",2,IF(J277="strings",3,IF(J277="visual array",4,IF(J277="characters",5,IF(J277="letters",6,IF(J277="free forms",7,IF(J277="odors",8,IF(J277="words",9,IF(J277="pictures",10,IF(J277="object pictures",11,IF(J277="faces",12,IF(J277="names",13,IF(J277="idioms",14,IF(J277="grades",15,IF(J277="syllable-digit pairs",16,IF(J277="trigram-word pairs",17,IF(J277="word-digit pairs",18,IF(J277="English-Swahili pairs",19,IF(J277="spatial position",20,IF(J277="word pairs",21,IF(J277="word triads",22,IF(J277="generated words",23,IF(J277="word definition pairs",24,IF(J277="math problems",25,IF(J277="famous faces",26,IF(J277="famous names",27,IF(J277="famous voices",28,IF(J277="television programs",29,IF(J277="race horses",30,IF(J277="new vocabulary",31,IF(J277="sentences",32,IF(J277="concepts",33,IF(J277="ad slides",34,IF(J277="scenes",35,IF(J277="famous scenes",36,IF(J277="poems",37,IF(J277="walk",38,IF(J277="faces and events",39,IF(J277="events and names",40,IF(J277="flashbulb",41,IF(J277="stories",42,IF(J277="course material",43,IF(J277="autobiographical",44,IF(J277="novels",45,IF(J277="public events",46,"99"))))))))))))))))))))))))))))))))))))))))))))))</f>
        <v>9</v>
      </c>
      <c r="L277" s="60">
        <f>IF(J277="syllables",1,IF(J277="trigrams",1,IF(J277="strings",1,IF(J277="visual array",1,IF(J277="characters",1,IF(J277="letters",1,IF(J277="free forms",1,IF(J277="odors",2,IF(J277="words",2,IF(J277="pictures",2,IF(J277="object pictures",2,IF(J277="faces",2,IF(J277="names",2,IF(J277="idioms","2",IF(J277="grades",2,IF(J277="syllable-digit pairs",3,IF(J277="trigram-word pairs",3,IF(J277="word-digit pairs",3,IF(J277="English-Swahili pairs",3,IF(J277="spatial position",3,IF(J277="word pairs",4,IF(J277="word triads",4,IF(J277="generated words",4,IF(J277="word definition pairs",4,IF(J277="math problems",4,IF(J277="famous faces",4,IF(J277="famous names",4,IF(J277="famous voices",4,IF(J277="television programs",4,IF(J277="race horses",4,IF(J277="new vocabulary",4,IF(J277="sentences",5,IF(J277="concepts",5,IF(J277="ad slides",5,IF(J277="scenes",5,IF(J277="famous scenes",5,IF(J277="poems",6,IF(J277="walk",6,IF(J277="faces and events",6,IF(J277="events and names",6,IF(J277="flashbulb",7,IF(J277="stories",7,IF(J277="course material",7,IF(J277="autobiographical",7,IF(J277="novels",7,IF(J277="public events",7,"99"))))))))))))))))))))))))))))))))))))))))))))))</f>
        <v>2</v>
      </c>
      <c r="M277" s="60">
        <v>1</v>
      </c>
      <c r="N277" s="60">
        <v>2</v>
      </c>
      <c r="O277" s="60">
        <v>0</v>
      </c>
      <c r="P277" s="60"/>
      <c r="Q277" s="60" t="s">
        <v>125</v>
      </c>
      <c r="R277" s="60">
        <f>IF(Q277="Free Recall",1,IF(Q277="Cued Recall",2,IF(Q277="Recognition",3,IF(Q277="Multiple Choice",4,IF(Q277="Savings",5,IF(Q277="Stem Completion",6,IF(Q277="Fragment Completion",7,IF(Q277="anagram solution",8,IF(Q277="Matching",9,IF(Q277="Problem Solving",10,"99"))))))))))</f>
        <v>7</v>
      </c>
      <c r="S277" s="60" t="s">
        <v>49</v>
      </c>
      <c r="T277" s="59" t="s">
        <v>581</v>
      </c>
      <c r="U277" s="60">
        <f>IF(T277="within",1,0)</f>
        <v>1</v>
      </c>
      <c r="V277" s="59">
        <v>72</v>
      </c>
      <c r="W277" s="60">
        <f>F277*V277</f>
        <v>864</v>
      </c>
      <c r="X277" s="60">
        <v>3</v>
      </c>
      <c r="Y277" s="76">
        <f>AV276</f>
        <v>45</v>
      </c>
      <c r="Z277" s="60" t="s">
        <v>115</v>
      </c>
      <c r="AA277" s="60">
        <v>345600</v>
      </c>
      <c r="AB277" s="60" t="str">
        <f>IF(AA277&lt;60,"1",IF(AA277&lt;=43200,"2",IF(AA277&lt;=777600,"3","4")))</f>
        <v>3</v>
      </c>
      <c r="AC277" s="56">
        <f>AVERAGE(AV276:DA276)</f>
        <v>117615</v>
      </c>
      <c r="AD277" s="60" t="str">
        <f>IF(AC277&lt;60,"1",IF(AC277&lt;=43200,"2",IF(AC277&lt;=777600,"3","4")))</f>
        <v>3</v>
      </c>
      <c r="AE277" s="76">
        <f>AA277-Y277</f>
        <v>345555</v>
      </c>
      <c r="AF277" s="80">
        <f>AV277</f>
        <v>0.87</v>
      </c>
      <c r="AG277" s="56">
        <f>((AW277-AV277)+(AX277-AW277))/2</f>
        <v>-0.125</v>
      </c>
      <c r="AH277" s="4"/>
      <c r="AI277" s="56">
        <f>RSQ(AV277:AX277,AV276:AX276)</f>
        <v>0.18450812512238887</v>
      </c>
      <c r="AJ277" s="109">
        <f>SLOPE(AV277:AX277,AV276:AX276)</f>
        <v>-3.3439675335942928E-7</v>
      </c>
      <c r="AK277" s="56">
        <f>INTERCEPT(AV277:AX277,AV276:AX276)</f>
        <v>0.7326634074797026</v>
      </c>
      <c r="AL277" s="56">
        <f>INDEX(LINEST(LN(AV277:AX277),LN(AV276:AX276),TRUE,TRUE),3,1)</f>
        <v>0.71454910339605238</v>
      </c>
      <c r="AM277" s="56">
        <f>INDEX(LINEST(LN(AV277:AX277),LN(AV276:AX276)),1)</f>
        <v>-3.9822798515654179E-2</v>
      </c>
      <c r="AN277" s="56">
        <f>EXP(INDEX(LINEST(LN(AV277:AX277),LN(AV276:AX276)),1,2))</f>
        <v>0.95702495208844074</v>
      </c>
      <c r="AO277" s="82">
        <f>INDEX(LINEST((AV277:AX277),LN(AV276:AX276),TRUE,TRUE),3,1)</f>
        <v>0.73231924067201515</v>
      </c>
      <c r="AP277" s="82">
        <f>INDEX(LINEST((AV277:AX277),LN(AV276:AX276)),1)</f>
        <v>-2.9321666609275772E-2</v>
      </c>
      <c r="AQ277" s="83">
        <f>INDEX(LINEST(LN(AV277:AX277),SQRT(AV276:AX276),TRUE,TRUE),3,1)</f>
        <v>0.25573980071125535</v>
      </c>
      <c r="AR277" s="116">
        <f>INDEX(LINEST(LN(AV277:AX277),SQRT((AV276:AX276))),1)</f>
        <v>-3.3889443113498179E-4</v>
      </c>
      <c r="AS277" s="84">
        <f>INDEX(LINEST(1/(AV277:AX277),1/(SQRT(AV276:AX276)),TRUE,TRUE),3,1)</f>
        <v>0.96008182122346009</v>
      </c>
      <c r="AT277" s="84">
        <f>INDEX(LINEST(1/(AV277:AX277),1/SQRT(AV276:AX276)),1)</f>
        <v>-3.5007144669801726</v>
      </c>
      <c r="AU277" s="3"/>
      <c r="AV277" s="53">
        <v>0.87</v>
      </c>
      <c r="AW277" s="53">
        <v>0.59</v>
      </c>
      <c r="AX277" s="53">
        <v>0.62</v>
      </c>
      <c r="AY277" s="53"/>
      <c r="AZ277" s="53"/>
      <c r="BA277" s="53"/>
      <c r="BB277" s="53"/>
      <c r="BC277" s="53"/>
      <c r="BD277" s="53"/>
      <c r="BE277" s="53"/>
      <c r="BF277" s="53"/>
      <c r="BG277" s="53"/>
      <c r="BH277" s="53"/>
      <c r="BI277" s="53"/>
      <c r="BJ277" s="53"/>
      <c r="BK277" s="53"/>
      <c r="BL277" s="53"/>
      <c r="BM277" s="53"/>
      <c r="BN277" s="53"/>
      <c r="BO277" s="53"/>
      <c r="BP277" s="53"/>
      <c r="BQ277" s="53"/>
      <c r="BR277" s="53"/>
      <c r="BS277" s="53"/>
      <c r="BT277" s="53"/>
      <c r="BU277" s="53"/>
      <c r="BV277" s="53"/>
      <c r="BW277" s="53"/>
      <c r="BX277" s="53"/>
      <c r="BY277" s="53"/>
      <c r="BZ277" s="53"/>
      <c r="CA277" s="53"/>
      <c r="CB277" s="53"/>
      <c r="CC277" s="53"/>
      <c r="CD277" s="53"/>
      <c r="CE277" s="53"/>
      <c r="CF277" s="53"/>
      <c r="CG277" s="53"/>
      <c r="CH277" s="53"/>
      <c r="CI277" s="53"/>
      <c r="CJ277" s="53"/>
      <c r="CK277" s="53"/>
      <c r="CL277" s="53"/>
      <c r="CM277" s="53"/>
      <c r="CN277" s="53"/>
      <c r="CO277" s="53"/>
      <c r="CP277" s="53"/>
      <c r="CQ277" s="53"/>
      <c r="CR277" s="1"/>
      <c r="CS277" s="1"/>
      <c r="CT277" s="1"/>
      <c r="CU277" s="1"/>
    </row>
    <row r="278" spans="1:99" s="13" customFormat="1" ht="12" customHeight="1" x14ac:dyDescent="0.2">
      <c r="A278" s="65">
        <v>43509</v>
      </c>
      <c r="B278" s="1"/>
      <c r="C278" s="1"/>
      <c r="D278" s="60"/>
      <c r="E278" s="76"/>
      <c r="F278" s="60"/>
      <c r="G278" s="60"/>
      <c r="H278" s="60"/>
      <c r="I278" s="60"/>
      <c r="J278" s="60"/>
      <c r="K278" s="64"/>
      <c r="L278" s="64"/>
      <c r="M278" s="60"/>
      <c r="N278" s="60"/>
      <c r="O278" s="60"/>
      <c r="P278" s="60"/>
      <c r="Q278" s="60"/>
      <c r="R278" s="60"/>
      <c r="S278" s="60"/>
      <c r="T278" s="60"/>
      <c r="U278" s="60"/>
      <c r="V278" s="60"/>
      <c r="W278" s="60"/>
      <c r="X278" s="60"/>
      <c r="Y278" s="76"/>
      <c r="Z278" s="60"/>
      <c r="AA278" s="60"/>
      <c r="AB278" s="60"/>
      <c r="AC278" s="60"/>
      <c r="AD278" s="60"/>
      <c r="AE278" s="60"/>
      <c r="AF278" s="80"/>
      <c r="AG278" s="56"/>
      <c r="AH278" s="4"/>
      <c r="AI278" s="56"/>
      <c r="AJ278" s="109"/>
      <c r="AK278" s="56"/>
      <c r="AL278" s="56"/>
      <c r="AM278" s="56"/>
      <c r="AN278" s="56"/>
      <c r="AO278" s="56"/>
      <c r="AP278" s="56"/>
      <c r="AQ278" s="82"/>
      <c r="AR278" s="115"/>
      <c r="AS278" s="82"/>
      <c r="AT278" s="82"/>
      <c r="AU278" s="4"/>
      <c r="AV278" s="25">
        <v>45</v>
      </c>
      <c r="AW278" s="25">
        <f>2*60*60</f>
        <v>7200</v>
      </c>
      <c r="AX278" s="25">
        <f>24*3600*4</f>
        <v>345600</v>
      </c>
      <c r="AY278" s="53"/>
      <c r="AZ278" s="53"/>
      <c r="BA278" s="53"/>
      <c r="BB278" s="53"/>
      <c r="BC278" s="53"/>
      <c r="BD278" s="53"/>
      <c r="BE278" s="53"/>
      <c r="BF278" s="53"/>
      <c r="BG278" s="53"/>
      <c r="BH278" s="53"/>
      <c r="BI278" s="53"/>
      <c r="BJ278" s="53"/>
      <c r="BK278" s="53"/>
      <c r="BL278" s="53"/>
      <c r="BM278" s="53"/>
      <c r="BN278" s="53"/>
      <c r="BO278" s="53"/>
      <c r="BP278" s="53"/>
      <c r="BQ278" s="53"/>
      <c r="BR278" s="53"/>
      <c r="BS278" s="53"/>
      <c r="BT278" s="53"/>
      <c r="BU278" s="53"/>
      <c r="BV278" s="53"/>
      <c r="BW278" s="53"/>
      <c r="BX278" s="53"/>
      <c r="BY278" s="53"/>
      <c r="BZ278" s="53"/>
      <c r="CA278" s="53"/>
      <c r="CB278" s="53"/>
      <c r="CC278" s="53"/>
      <c r="CD278" s="53"/>
      <c r="CE278" s="53"/>
      <c r="CF278" s="53"/>
      <c r="CG278" s="53"/>
      <c r="CH278" s="53"/>
      <c r="CI278" s="53"/>
      <c r="CJ278" s="53"/>
      <c r="CK278" s="53"/>
      <c r="CL278" s="53"/>
      <c r="CM278" s="53"/>
      <c r="CN278" s="53"/>
      <c r="CO278" s="53"/>
      <c r="CP278" s="53"/>
      <c r="CQ278" s="53"/>
      <c r="CR278" s="1"/>
      <c r="CS278" s="1"/>
      <c r="CT278" s="1"/>
      <c r="CU278" s="1"/>
    </row>
    <row r="279" spans="1:99" s="13" customFormat="1" ht="12" customHeight="1" x14ac:dyDescent="0.2">
      <c r="A279" s="65">
        <v>43509</v>
      </c>
      <c r="B279" s="1" t="s">
        <v>906</v>
      </c>
      <c r="C279" s="1" t="s">
        <v>54</v>
      </c>
      <c r="D279" s="60">
        <v>1987</v>
      </c>
      <c r="E279" s="76">
        <v>2</v>
      </c>
      <c r="F279" s="60">
        <v>12</v>
      </c>
      <c r="G279" s="60">
        <v>12</v>
      </c>
      <c r="H279" s="60" t="s">
        <v>22</v>
      </c>
      <c r="I279" s="60" t="s">
        <v>825</v>
      </c>
      <c r="J279" s="60" t="s">
        <v>16</v>
      </c>
      <c r="K279" s="60">
        <f>IF(J279="syllables",1,IF(J279="trigrams",2,IF(J279="strings",3,IF(J279="visual array",4,IF(J279="characters",5,IF(J279="letters",6,IF(J279="free forms",7,IF(J279="odors",8,IF(J279="words",9,IF(J279="pictures",10,IF(J279="object pictures",11,IF(J279="faces",12,IF(J279="names",13,IF(J279="idioms",14,IF(J279="grades",15,IF(J279="syllable-digit pairs",16,IF(J279="trigram-word pairs",17,IF(J279="word-digit pairs",18,IF(J279="English-Swahili pairs",19,IF(J279="spatial position",20,IF(J279="word pairs",21,IF(J279="word triads",22,IF(J279="generated words",23,IF(J279="word definition pairs",24,IF(J279="math problems",25,IF(J279="famous faces",26,IF(J279="famous names",27,IF(J279="famous voices",28,IF(J279="television programs",29,IF(J279="race horses",30,IF(J279="new vocabulary",31,IF(J279="sentences",32,IF(J279="concepts",33,IF(J279="ad slides",34,IF(J279="scenes",35,IF(J279="famous scenes",36,IF(J279="poems",37,IF(J279="walk",38,IF(J279="faces and events",39,IF(J279="events and names",40,IF(J279="flashbulb",41,IF(J279="stories",42,IF(J279="course material",43,IF(J279="autobiographical",44,IF(J279="novels",45,IF(J279="public events",46,"99"))))))))))))))))))))))))))))))))))))))))))))))</f>
        <v>9</v>
      </c>
      <c r="L279" s="60">
        <f>IF(J279="syllables",1,IF(J279="trigrams",1,IF(J279="strings",1,IF(J279="visual array",1,IF(J279="characters",1,IF(J279="letters",1,IF(J279="free forms",1,IF(J279="odors",2,IF(J279="words",2,IF(J279="pictures",2,IF(J279="object pictures",2,IF(J279="faces",2,IF(J279="names",2,IF(J279="idioms","2",IF(J279="grades",2,IF(J279="syllable-digit pairs",3,IF(J279="trigram-word pairs",3,IF(J279="word-digit pairs",3,IF(J279="English-Swahili pairs",3,IF(J279="spatial position",3,IF(J279="word pairs",4,IF(J279="word triads",4,IF(J279="generated words",4,IF(J279="word definition pairs",4,IF(J279="math problems",4,IF(J279="famous faces",4,IF(J279="famous names",4,IF(J279="famous voices",4,IF(J279="television programs",4,IF(J279="race horses",4,IF(J279="new vocabulary",4,IF(J279="sentences",5,IF(J279="concepts",5,IF(J279="ad slides",5,IF(J279="scenes",5,IF(J279="famous scenes",5,IF(J279="poems",6,IF(J279="walk",6,IF(J279="faces and events",6,IF(J279="events and names",6,IF(J279="flashbulb",7,IF(J279="stories",7,IF(J279="course material",7,IF(J279="autobiographical",7,IF(J279="novels",7,IF(J279="public events",7,"99"))))))))))))))))))))))))))))))))))))))))))))))</f>
        <v>2</v>
      </c>
      <c r="M279" s="60">
        <v>1</v>
      </c>
      <c r="N279" s="60">
        <v>2</v>
      </c>
      <c r="O279" s="60">
        <v>0</v>
      </c>
      <c r="P279" s="60"/>
      <c r="Q279" s="60" t="s">
        <v>125</v>
      </c>
      <c r="R279" s="60">
        <f>IF(Q279="Free Recall",1,IF(Q279="Cued Recall",2,IF(Q279="Recognition",3,IF(Q279="Multiple Choice",4,IF(Q279="Savings",5,IF(Q279="Stem Completion",6,IF(Q279="Fragment Completion",7,IF(Q279="anagram solution",8,IF(Q279="Matching",9,IF(Q279="Problem Solving",10,"99"))))))))))</f>
        <v>7</v>
      </c>
      <c r="S279" s="60" t="s">
        <v>49</v>
      </c>
      <c r="T279" s="59" t="s">
        <v>581</v>
      </c>
      <c r="U279" s="60">
        <f>IF(T279="within",1,0)</f>
        <v>1</v>
      </c>
      <c r="V279" s="59">
        <v>72</v>
      </c>
      <c r="W279" s="60">
        <f>F279*V279</f>
        <v>864</v>
      </c>
      <c r="X279" s="60">
        <v>3</v>
      </c>
      <c r="Y279" s="76">
        <f>AV278</f>
        <v>45</v>
      </c>
      <c r="Z279" s="60" t="s">
        <v>115</v>
      </c>
      <c r="AA279" s="60">
        <v>345600</v>
      </c>
      <c r="AB279" s="60" t="str">
        <f>IF(AA279&lt;60,"1",IF(AA279&lt;=43200,"2",IF(AA279&lt;=777600,"3","4")))</f>
        <v>3</v>
      </c>
      <c r="AC279" s="56">
        <f>AVERAGE(AV278:DA278)</f>
        <v>117615</v>
      </c>
      <c r="AD279" s="60" t="str">
        <f>IF(AC279&lt;60,"1",IF(AC279&lt;=43200,"2",IF(AC279&lt;=777600,"3","4")))</f>
        <v>3</v>
      </c>
      <c r="AE279" s="76">
        <f>AA279-Y279</f>
        <v>345555</v>
      </c>
      <c r="AF279" s="80">
        <f>AV279</f>
        <v>0.62</v>
      </c>
      <c r="AG279" s="56">
        <f>((AW279-AV279)+(AX279-AW279))/2</f>
        <v>-7.5000000000000011E-2</v>
      </c>
      <c r="AH279" s="4"/>
      <c r="AI279" s="56">
        <f>RSQ(AV279:AX279,AV278:AX278)</f>
        <v>0.38057608808738869</v>
      </c>
      <c r="AJ279" s="109">
        <f>SLOPE(AV279:AX279,AV278:AX278)</f>
        <v>-2.5443594986642451E-7</v>
      </c>
      <c r="AK279" s="56">
        <f>INTERCEPT(AV279:AX279,AV278:AX278)</f>
        <v>0.55659215091020608</v>
      </c>
      <c r="AL279" s="56">
        <f>INDEX(LINEST(LN(AV279:AX279),LN(AV278:AX278),TRUE,TRUE),3,1)</f>
        <v>0.90920103514047867</v>
      </c>
      <c r="AM279" s="56">
        <f>INDEX(LINEST(LN(AV279:AX279),LN(AV278:AX278)),1)</f>
        <v>-3.1740126568580003E-2</v>
      </c>
      <c r="AN279" s="56">
        <f>EXP(INDEX(LINEST(LN(AV279:AX279),LN(AV278:AX278)),1,2))</f>
        <v>0.68411432584234166</v>
      </c>
      <c r="AO279" s="82">
        <f>INDEX(LINEST((AV279:AX279),LN(AV278:AX278),TRUE,TRUE),3,1)</f>
        <v>0.89927058280574856</v>
      </c>
      <c r="AP279" s="82">
        <f>INDEX(LINEST((AV279:AX279),LN(AV278:AX278)),1)</f>
        <v>-1.7214207875937734E-2</v>
      </c>
      <c r="AQ279" s="83">
        <f>INDEX(LINEST(LN(AV279:AX279),SQRT(AV278:AX278),TRUE,TRUE),3,1)</f>
        <v>0.50236867886581427</v>
      </c>
      <c r="AR279" s="116">
        <f>INDEX(LINEST(LN(AV279:AX279),SQRT((AV278:AX278))),1)</f>
        <v>-3.3561356405519444E-4</v>
      </c>
      <c r="AS279" s="84">
        <f>INDEX(LINEST(1/(AV279:AX279),1/(SQRT(AV278:AX278)),TRUE,TRUE),3,1)</f>
        <v>0.99063028543529397</v>
      </c>
      <c r="AT279" s="84">
        <f>INDEX(LINEST(1/(AV279:AX279),1/SQRT(AV278:AX278)),1)</f>
        <v>-3.3314866094442772</v>
      </c>
      <c r="AU279" s="3"/>
      <c r="AV279" s="53">
        <v>0.62</v>
      </c>
      <c r="AW279" s="53">
        <v>0.49</v>
      </c>
      <c r="AX279" s="53">
        <v>0.47</v>
      </c>
      <c r="AY279" s="53"/>
      <c r="AZ279" s="53"/>
      <c r="BA279" s="53"/>
      <c r="BB279" s="53"/>
      <c r="BC279" s="53"/>
      <c r="BD279" s="53"/>
      <c r="BE279" s="53"/>
      <c r="BF279" s="53"/>
      <c r="BG279" s="53"/>
      <c r="BH279" s="53"/>
      <c r="BI279" s="53"/>
      <c r="BJ279" s="53"/>
      <c r="BK279" s="53"/>
      <c r="BL279" s="53"/>
      <c r="BM279" s="53"/>
      <c r="BN279" s="53"/>
      <c r="BO279" s="53"/>
      <c r="BP279" s="53"/>
      <c r="BQ279" s="53"/>
      <c r="BR279" s="53"/>
      <c r="BS279" s="53"/>
      <c r="BT279" s="53"/>
      <c r="BU279" s="53"/>
      <c r="BV279" s="53"/>
      <c r="BW279" s="53"/>
      <c r="BX279" s="53"/>
      <c r="BY279" s="53"/>
      <c r="BZ279" s="53"/>
      <c r="CA279" s="53"/>
      <c r="CB279" s="53"/>
      <c r="CC279" s="53"/>
      <c r="CD279" s="53"/>
      <c r="CE279" s="53"/>
      <c r="CF279" s="53"/>
      <c r="CG279" s="53"/>
      <c r="CH279" s="53"/>
      <c r="CI279" s="53"/>
      <c r="CJ279" s="53"/>
      <c r="CK279" s="53"/>
      <c r="CL279" s="53"/>
      <c r="CM279" s="53"/>
      <c r="CN279" s="53"/>
      <c r="CO279" s="53"/>
      <c r="CP279" s="53"/>
      <c r="CQ279" s="53"/>
      <c r="CR279" s="1"/>
      <c r="CS279" s="1"/>
      <c r="CT279" s="1"/>
      <c r="CU279" s="1"/>
    </row>
    <row r="280" spans="1:99" s="13" customFormat="1" ht="12" customHeight="1" x14ac:dyDescent="0.2">
      <c r="A280" s="65">
        <v>43509</v>
      </c>
      <c r="B280" s="1"/>
      <c r="C280" s="1"/>
      <c r="D280" s="60"/>
      <c r="E280" s="76"/>
      <c r="F280" s="60"/>
      <c r="G280" s="60"/>
      <c r="H280" s="60"/>
      <c r="I280" s="60"/>
      <c r="J280" s="60"/>
      <c r="K280" s="64"/>
      <c r="L280" s="64"/>
      <c r="M280" s="60"/>
      <c r="N280" s="60"/>
      <c r="O280" s="60"/>
      <c r="P280" s="60"/>
      <c r="Q280" s="60"/>
      <c r="R280" s="60"/>
      <c r="S280" s="60"/>
      <c r="T280" s="60"/>
      <c r="U280" s="60"/>
      <c r="V280" s="60"/>
      <c r="W280" s="60"/>
      <c r="X280" s="60"/>
      <c r="Y280" s="76"/>
      <c r="Z280" s="60"/>
      <c r="AA280" s="60"/>
      <c r="AB280" s="60"/>
      <c r="AC280" s="60"/>
      <c r="AD280" s="60"/>
      <c r="AE280" s="60"/>
      <c r="AF280" s="80"/>
      <c r="AG280" s="56"/>
      <c r="AH280" s="4"/>
      <c r="AI280" s="56"/>
      <c r="AJ280" s="109"/>
      <c r="AK280" s="56"/>
      <c r="AL280" s="56"/>
      <c r="AM280" s="56"/>
      <c r="AN280" s="56"/>
      <c r="AO280" s="56"/>
      <c r="AP280" s="56"/>
      <c r="AQ280" s="82"/>
      <c r="AR280" s="115"/>
      <c r="AS280" s="82"/>
      <c r="AT280" s="82"/>
      <c r="AU280" s="4"/>
      <c r="AV280" s="25">
        <v>45</v>
      </c>
      <c r="AW280" s="25">
        <f>2*60*60</f>
        <v>7200</v>
      </c>
      <c r="AX280" s="25">
        <f>24*3600*4</f>
        <v>345600</v>
      </c>
      <c r="AY280" s="53"/>
      <c r="AZ280" s="53"/>
      <c r="BA280" s="53"/>
      <c r="BB280" s="53"/>
      <c r="BC280" s="53"/>
      <c r="BD280" s="53"/>
      <c r="BE280" s="53"/>
      <c r="BF280" s="53"/>
      <c r="BG280" s="53"/>
      <c r="BH280" s="53"/>
      <c r="BI280" s="53"/>
      <c r="BJ280" s="53"/>
      <c r="BK280" s="53"/>
      <c r="BL280" s="53"/>
      <c r="BM280" s="53"/>
      <c r="BN280" s="53"/>
      <c r="BO280" s="53"/>
      <c r="BP280" s="53"/>
      <c r="BQ280" s="53"/>
      <c r="BR280" s="53"/>
      <c r="BS280" s="53"/>
      <c r="BT280" s="53"/>
      <c r="BU280" s="53"/>
      <c r="BV280" s="53"/>
      <c r="BW280" s="53"/>
      <c r="BX280" s="53"/>
      <c r="BY280" s="53"/>
      <c r="BZ280" s="53"/>
      <c r="CA280" s="53"/>
      <c r="CB280" s="53"/>
      <c r="CC280" s="53"/>
      <c r="CD280" s="53"/>
      <c r="CE280" s="53"/>
      <c r="CF280" s="53"/>
      <c r="CG280" s="53"/>
      <c r="CH280" s="53"/>
      <c r="CI280" s="53"/>
      <c r="CJ280" s="53"/>
      <c r="CK280" s="53"/>
      <c r="CL280" s="53"/>
      <c r="CM280" s="53"/>
      <c r="CN280" s="53"/>
      <c r="CO280" s="53"/>
      <c r="CP280" s="53"/>
      <c r="CQ280" s="53"/>
      <c r="CR280" s="1"/>
      <c r="CS280" s="1"/>
      <c r="CT280" s="1"/>
      <c r="CU280" s="1"/>
    </row>
    <row r="281" spans="1:99" s="13" customFormat="1" ht="12" customHeight="1" x14ac:dyDescent="0.2">
      <c r="A281" s="65">
        <v>43509</v>
      </c>
      <c r="B281" s="1" t="s">
        <v>906</v>
      </c>
      <c r="C281" s="1" t="s">
        <v>54</v>
      </c>
      <c r="D281" s="60">
        <v>1987</v>
      </c>
      <c r="E281" s="76">
        <v>2</v>
      </c>
      <c r="F281" s="60">
        <v>12</v>
      </c>
      <c r="G281" s="60">
        <v>12</v>
      </c>
      <c r="H281" s="60" t="s">
        <v>38</v>
      </c>
      <c r="I281" s="60" t="s">
        <v>824</v>
      </c>
      <c r="J281" s="60" t="s">
        <v>16</v>
      </c>
      <c r="K281" s="60">
        <f>IF(J281="syllables",1,IF(J281="trigrams",2,IF(J281="strings",3,IF(J281="visual array",4,IF(J281="characters",5,IF(J281="letters",6,IF(J281="free forms",7,IF(J281="odors",8,IF(J281="words",9,IF(J281="pictures",10,IF(J281="object pictures",11,IF(J281="faces",12,IF(J281="names",13,IF(J281="idioms",14,IF(J281="grades",15,IF(J281="syllable-digit pairs",16,IF(J281="trigram-word pairs",17,IF(J281="word-digit pairs",18,IF(J281="English-Swahili pairs",19,IF(J281="spatial position",20,IF(J281="word pairs",21,IF(J281="word triads",22,IF(J281="generated words",23,IF(J281="word definition pairs",24,IF(J281="math problems",25,IF(J281="famous faces",26,IF(J281="famous names",27,IF(J281="famous voices",28,IF(J281="television programs",29,IF(J281="race horses",30,IF(J281="new vocabulary",31,IF(J281="sentences",32,IF(J281="concepts",33,IF(J281="ad slides",34,IF(J281="scenes",35,IF(J281="famous scenes",36,IF(J281="poems",37,IF(J281="walk",38,IF(J281="faces and events",39,IF(J281="events and names",40,IF(J281="flashbulb",41,IF(J281="stories",42,IF(J281="course material",43,IF(J281="autobiographical",44,IF(J281="novels",45,IF(J281="public events",46,"99"))))))))))))))))))))))))))))))))))))))))))))))</f>
        <v>9</v>
      </c>
      <c r="L281" s="60">
        <f>IF(J281="syllables",1,IF(J281="trigrams",1,IF(J281="strings",1,IF(J281="visual array",1,IF(J281="characters",1,IF(J281="letters",1,IF(J281="free forms",1,IF(J281="odors",2,IF(J281="words",2,IF(J281="pictures",2,IF(J281="object pictures",2,IF(J281="faces",2,IF(J281="names",2,IF(J281="idioms","2",IF(J281="grades",2,IF(J281="syllable-digit pairs",3,IF(J281="trigram-word pairs",3,IF(J281="word-digit pairs",3,IF(J281="English-Swahili pairs",3,IF(J281="spatial position",3,IF(J281="word pairs",4,IF(J281="word triads",4,IF(J281="generated words",4,IF(J281="word definition pairs",4,IF(J281="math problems",4,IF(J281="famous faces",4,IF(J281="famous names",4,IF(J281="famous voices",4,IF(J281="television programs",4,IF(J281="race horses",4,IF(J281="new vocabulary",4,IF(J281="sentences",5,IF(J281="concepts",5,IF(J281="ad slides",5,IF(J281="scenes",5,IF(J281="famous scenes",5,IF(J281="poems",6,IF(J281="walk",6,IF(J281="faces and events",6,IF(J281="events and names",6,IF(J281="flashbulb",7,IF(J281="stories",7,IF(J281="course material",7,IF(J281="autobiographical",7,IF(J281="novels",7,IF(J281="public events",7,"99"))))))))))))))))))))))))))))))))))))))))))))))</f>
        <v>2</v>
      </c>
      <c r="M281" s="60">
        <v>1</v>
      </c>
      <c r="N281" s="60">
        <v>2</v>
      </c>
      <c r="O281" s="60">
        <v>0</v>
      </c>
      <c r="P281" s="60"/>
      <c r="Q281" s="60" t="s">
        <v>34</v>
      </c>
      <c r="R281" s="60">
        <f>IF(Q281="Free Recall",1,IF(Q281="Cued Recall",2,IF(Q281="Recognition",3,IF(Q281="Multiple Choice",4,IF(Q281="Savings",5,IF(Q281="Stem Completion",6,IF(Q281="Fragment Completion",7,IF(Q281="anagram solution",8,IF(Q281="Matching",9,IF(Q281="Problem Solving",10,"99"))))))))))</f>
        <v>3</v>
      </c>
      <c r="S281" s="60" t="s">
        <v>15</v>
      </c>
      <c r="T281" s="59" t="s">
        <v>581</v>
      </c>
      <c r="U281" s="60">
        <f>IF(T281="within",1,0)</f>
        <v>1</v>
      </c>
      <c r="V281" s="59">
        <v>72</v>
      </c>
      <c r="W281" s="60">
        <f>F281*V281</f>
        <v>864</v>
      </c>
      <c r="X281" s="60">
        <v>3</v>
      </c>
      <c r="Y281" s="76">
        <f>AV280</f>
        <v>45</v>
      </c>
      <c r="Z281" s="60" t="s">
        <v>115</v>
      </c>
      <c r="AA281" s="60">
        <v>345600</v>
      </c>
      <c r="AB281" s="60" t="str">
        <f>IF(AA281&lt;60,"1",IF(AA281&lt;=43200,"2",IF(AA281&lt;=777600,"3","4")))</f>
        <v>3</v>
      </c>
      <c r="AC281" s="56">
        <f>AVERAGE(AV280:DA280)</f>
        <v>117615</v>
      </c>
      <c r="AD281" s="60" t="str">
        <f>IF(AC281&lt;60,"1",IF(AC281&lt;=43200,"2",IF(AC281&lt;=777600,"3","4")))</f>
        <v>3</v>
      </c>
      <c r="AE281" s="76">
        <f>AA281-Y281</f>
        <v>345555</v>
      </c>
      <c r="AF281" s="80">
        <f>AV281</f>
        <v>0.98</v>
      </c>
      <c r="AG281" s="56">
        <f>((AW281-AV281)+(AX281-AW281))/2</f>
        <v>-6.5000000000000002E-2</v>
      </c>
      <c r="AH281" s="4"/>
      <c r="AI281" s="56">
        <f>RSQ(AV281:AX281,AV280:AX280)</f>
        <v>0.72691943672316151</v>
      </c>
      <c r="AJ281" s="109">
        <f>SLOPE(AV281:AX281,AV280:AX280)</f>
        <v>-2.809158137868501E-7</v>
      </c>
      <c r="AK281" s="56">
        <f>INTERCEPT(AV281:AX281,AV280:AX280)</f>
        <v>0.94637324677187384</v>
      </c>
      <c r="AL281" s="56">
        <f>INDEX(LINEST(LN(AV281:AX281),LN(AV280:AX280),TRUE,TRUE),3,1)</f>
        <v>0.99712844686621704</v>
      </c>
      <c r="AM281" s="56">
        <f>INDEX(LINEST(LN(AV281:AX281),LN(AV280:AX280)),1)</f>
        <v>-1.5841644314709771E-2</v>
      </c>
      <c r="AN281" s="56">
        <f>EXP(INDEX(LINEST(LN(AV281:AX281),LN(AV280:AX280)),1,2))</f>
        <v>1.0428956779406351</v>
      </c>
      <c r="AO281" s="82">
        <f>INDEX(LINEST((AV281:AX281),LN(AV280:AX280),TRUE,TRUE),3,1)</f>
        <v>0.99890083997409274</v>
      </c>
      <c r="AP281" s="82">
        <f>INDEX(LINEST((AV281:AX281),LN(AV280:AX280)),1)</f>
        <v>-1.4493669742721923E-2</v>
      </c>
      <c r="AQ281" s="83">
        <f>INDEX(LINEST(LN(AV281:AX281),SQRT(AV280:AX280),TRUE,TRUE),3,1)</f>
        <v>0.83124351306434408</v>
      </c>
      <c r="AR281" s="116">
        <f>INDEX(LINEST(LN(AV281:AX281),SQRT((AV280:AX280))),1)</f>
        <v>-2.0574930337823003E-4</v>
      </c>
      <c r="AS281" s="84">
        <f>INDEX(LINEST(1/(AV281:AX281),1/(SQRT(AV280:AX280)),TRUE,TRUE),3,1)</f>
        <v>0.80378399123183941</v>
      </c>
      <c r="AT281" s="84">
        <f>INDEX(LINEST(1/(AV281:AX281),1/SQRT(AV280:AX280)),1)</f>
        <v>-0.84975644168667497</v>
      </c>
      <c r="AU281" s="3"/>
      <c r="AV281" s="53">
        <v>0.98</v>
      </c>
      <c r="AW281" s="53">
        <v>0.91</v>
      </c>
      <c r="AX281" s="53">
        <v>0.85</v>
      </c>
      <c r="AY281" s="53"/>
      <c r="AZ281" s="53"/>
      <c r="BA281" s="53"/>
      <c r="BB281" s="53"/>
      <c r="BC281" s="53"/>
      <c r="BD281" s="53"/>
      <c r="BE281" s="53"/>
      <c r="BF281" s="53"/>
      <c r="BG281" s="53"/>
      <c r="BH281" s="53"/>
      <c r="BI281" s="53"/>
      <c r="BJ281" s="53"/>
      <c r="BK281" s="53"/>
      <c r="BL281" s="53"/>
      <c r="BM281" s="53"/>
      <c r="BN281" s="53"/>
      <c r="BO281" s="53"/>
      <c r="BP281" s="53"/>
      <c r="BQ281" s="53"/>
      <c r="BR281" s="53"/>
      <c r="BS281" s="53"/>
      <c r="BT281" s="53"/>
      <c r="BU281" s="53"/>
      <c r="BV281" s="53"/>
      <c r="BW281" s="53"/>
      <c r="BX281" s="53"/>
      <c r="BY281" s="53"/>
      <c r="BZ281" s="53"/>
      <c r="CA281" s="53"/>
      <c r="CB281" s="53"/>
      <c r="CC281" s="53"/>
      <c r="CD281" s="53"/>
      <c r="CE281" s="53"/>
      <c r="CF281" s="53"/>
      <c r="CG281" s="53"/>
      <c r="CH281" s="53"/>
      <c r="CI281" s="53"/>
      <c r="CJ281" s="53"/>
      <c r="CK281" s="53"/>
      <c r="CL281" s="53"/>
      <c r="CM281" s="53"/>
      <c r="CN281" s="53"/>
      <c r="CO281" s="53"/>
      <c r="CP281" s="53"/>
      <c r="CQ281" s="53"/>
      <c r="CR281" s="1"/>
      <c r="CS281" s="1"/>
      <c r="CT281" s="1"/>
      <c r="CU281" s="1"/>
    </row>
    <row r="282" spans="1:99" s="13" customFormat="1" ht="12" customHeight="1" x14ac:dyDescent="0.2">
      <c r="A282" s="65">
        <v>43509</v>
      </c>
      <c r="B282" s="1"/>
      <c r="C282" s="1"/>
      <c r="D282" s="60"/>
      <c r="E282" s="76"/>
      <c r="F282" s="60"/>
      <c r="G282" s="60"/>
      <c r="H282" s="60"/>
      <c r="I282" s="60"/>
      <c r="J282" s="60"/>
      <c r="K282" s="64"/>
      <c r="L282" s="64"/>
      <c r="M282" s="60"/>
      <c r="N282" s="60"/>
      <c r="O282" s="60"/>
      <c r="P282" s="60"/>
      <c r="Q282" s="60"/>
      <c r="R282" s="60"/>
      <c r="S282" s="60"/>
      <c r="T282" s="60"/>
      <c r="U282" s="60"/>
      <c r="V282" s="60"/>
      <c r="W282" s="60"/>
      <c r="X282" s="60"/>
      <c r="Y282" s="76"/>
      <c r="Z282" s="60"/>
      <c r="AA282" s="60"/>
      <c r="AB282" s="60"/>
      <c r="AC282" s="60"/>
      <c r="AD282" s="60"/>
      <c r="AE282" s="60"/>
      <c r="AF282" s="80"/>
      <c r="AG282" s="56"/>
      <c r="AH282" s="4"/>
      <c r="AI282" s="56"/>
      <c r="AJ282" s="109"/>
      <c r="AK282" s="56"/>
      <c r="AL282" s="56"/>
      <c r="AM282" s="56"/>
      <c r="AN282" s="56"/>
      <c r="AO282" s="56"/>
      <c r="AP282" s="56"/>
      <c r="AQ282" s="82"/>
      <c r="AR282" s="115"/>
      <c r="AS282" s="82"/>
      <c r="AT282" s="82"/>
      <c r="AU282" s="4"/>
      <c r="AV282" s="25">
        <v>45</v>
      </c>
      <c r="AW282" s="25">
        <f>2*60*60</f>
        <v>7200</v>
      </c>
      <c r="AX282" s="25">
        <f>24*3600*4</f>
        <v>345600</v>
      </c>
      <c r="AY282" s="53"/>
      <c r="AZ282" s="53"/>
      <c r="BA282" s="53"/>
      <c r="BB282" s="53"/>
      <c r="BC282" s="53"/>
      <c r="BD282" s="53"/>
      <c r="BE282" s="53"/>
      <c r="BF282" s="53"/>
      <c r="BG282" s="53"/>
      <c r="BH282" s="53"/>
      <c r="BI282" s="53"/>
      <c r="BJ282" s="53"/>
      <c r="BK282" s="53"/>
      <c r="BL282" s="53"/>
      <c r="BM282" s="53"/>
      <c r="BN282" s="53"/>
      <c r="BO282" s="53"/>
      <c r="BP282" s="53"/>
      <c r="BQ282" s="53"/>
      <c r="BR282" s="53"/>
      <c r="BS282" s="53"/>
      <c r="BT282" s="53"/>
      <c r="BU282" s="53"/>
      <c r="BV282" s="53"/>
      <c r="BW282" s="53"/>
      <c r="BX282" s="53"/>
      <c r="BY282" s="53"/>
      <c r="BZ282" s="53"/>
      <c r="CA282" s="53"/>
      <c r="CB282" s="53"/>
      <c r="CC282" s="53"/>
      <c r="CD282" s="53"/>
      <c r="CE282" s="53"/>
      <c r="CF282" s="53"/>
      <c r="CG282" s="53"/>
      <c r="CH282" s="53"/>
      <c r="CI282" s="53"/>
      <c r="CJ282" s="53"/>
      <c r="CK282" s="53"/>
      <c r="CL282" s="53"/>
      <c r="CM282" s="53"/>
      <c r="CN282" s="53"/>
      <c r="CO282" s="53"/>
      <c r="CP282" s="53"/>
      <c r="CQ282" s="53"/>
      <c r="CR282" s="1"/>
      <c r="CS282" s="1"/>
      <c r="CT282" s="1"/>
      <c r="CU282" s="1"/>
    </row>
    <row r="283" spans="1:99" s="13" customFormat="1" ht="12" customHeight="1" x14ac:dyDescent="0.2">
      <c r="A283" s="65">
        <v>43509</v>
      </c>
      <c r="B283" s="1" t="s">
        <v>906</v>
      </c>
      <c r="C283" s="1" t="s">
        <v>54</v>
      </c>
      <c r="D283" s="60">
        <v>1987</v>
      </c>
      <c r="E283" s="76">
        <v>2</v>
      </c>
      <c r="F283" s="60">
        <v>12</v>
      </c>
      <c r="G283" s="60">
        <v>12</v>
      </c>
      <c r="H283" s="60" t="s">
        <v>38</v>
      </c>
      <c r="I283" s="60" t="s">
        <v>825</v>
      </c>
      <c r="J283" s="60" t="s">
        <v>16</v>
      </c>
      <c r="K283" s="60">
        <f>IF(J283="syllables",1,IF(J283="trigrams",2,IF(J283="strings",3,IF(J283="visual array",4,IF(J283="characters",5,IF(J283="letters",6,IF(J283="free forms",7,IF(J283="odors",8,IF(J283="words",9,IF(J283="pictures",10,IF(J283="object pictures",11,IF(J283="faces",12,IF(J283="names",13,IF(J283="idioms",14,IF(J283="grades",15,IF(J283="syllable-digit pairs",16,IF(J283="trigram-word pairs",17,IF(J283="word-digit pairs",18,IF(J283="English-Swahili pairs",19,IF(J283="spatial position",20,IF(J283="word pairs",21,IF(J283="word triads",22,IF(J283="generated words",23,IF(J283="word definition pairs",24,IF(J283="math problems",25,IF(J283="famous faces",26,IF(J283="famous names",27,IF(J283="famous voices",28,IF(J283="television programs",29,IF(J283="race horses",30,IF(J283="new vocabulary",31,IF(J283="sentences",32,IF(J283="concepts",33,IF(J283="ad slides",34,IF(J283="scenes",35,IF(J283="famous scenes",36,IF(J283="poems",37,IF(J283="walk",38,IF(J283="faces and events",39,IF(J283="events and names",40,IF(J283="flashbulb",41,IF(J283="stories",42,IF(J283="course material",43,IF(J283="autobiographical",44,IF(J283="novels",45,IF(J283="public events",46,"99"))))))))))))))))))))))))))))))))))))))))))))))</f>
        <v>9</v>
      </c>
      <c r="L283" s="60">
        <f>IF(J283="syllables",1,IF(J283="trigrams",1,IF(J283="strings",1,IF(J283="visual array",1,IF(J283="characters",1,IF(J283="letters",1,IF(J283="free forms",1,IF(J283="odors",2,IF(J283="words",2,IF(J283="pictures",2,IF(J283="object pictures",2,IF(J283="faces",2,IF(J283="names",2,IF(J283="idioms","2",IF(J283="grades",2,IF(J283="syllable-digit pairs",3,IF(J283="trigram-word pairs",3,IF(J283="word-digit pairs",3,IF(J283="English-Swahili pairs",3,IF(J283="spatial position",3,IF(J283="word pairs",4,IF(J283="word triads",4,IF(J283="generated words",4,IF(J283="word definition pairs",4,IF(J283="math problems",4,IF(J283="famous faces",4,IF(J283="famous names",4,IF(J283="famous voices",4,IF(J283="television programs",4,IF(J283="race horses",4,IF(J283="new vocabulary",4,IF(J283="sentences",5,IF(J283="concepts",5,IF(J283="ad slides",5,IF(J283="scenes",5,IF(J283="famous scenes",5,IF(J283="poems",6,IF(J283="walk",6,IF(J283="faces and events",6,IF(J283="events and names",6,IF(J283="flashbulb",7,IF(J283="stories",7,IF(J283="course material",7,IF(J283="autobiographical",7,IF(J283="novels",7,IF(J283="public events",7,"99"))))))))))))))))))))))))))))))))))))))))))))))</f>
        <v>2</v>
      </c>
      <c r="M283" s="60">
        <v>1</v>
      </c>
      <c r="N283" s="60">
        <v>2</v>
      </c>
      <c r="O283" s="60">
        <v>0</v>
      </c>
      <c r="P283" s="60"/>
      <c r="Q283" s="60" t="s">
        <v>34</v>
      </c>
      <c r="R283" s="60">
        <f>IF(Q283="Free Recall",1,IF(Q283="Cued Recall",2,IF(Q283="Recognition",3,IF(Q283="Multiple Choice",4,IF(Q283="Savings",5,IF(Q283="Stem Completion",6,IF(Q283="Fragment Completion",7,IF(Q283="anagram solution",8,IF(Q283="Matching",9,IF(Q283="Problem Solving",10,"99"))))))))))</f>
        <v>3</v>
      </c>
      <c r="S283" s="60" t="s">
        <v>15</v>
      </c>
      <c r="T283" s="59" t="s">
        <v>581</v>
      </c>
      <c r="U283" s="60">
        <f>IF(T283="within",1,0)</f>
        <v>1</v>
      </c>
      <c r="V283" s="59">
        <v>72</v>
      </c>
      <c r="W283" s="60">
        <f>F283*V283</f>
        <v>864</v>
      </c>
      <c r="X283" s="60">
        <v>3</v>
      </c>
      <c r="Y283" s="76">
        <f>AV282</f>
        <v>45</v>
      </c>
      <c r="Z283" s="60" t="s">
        <v>115</v>
      </c>
      <c r="AA283" s="60">
        <v>345600</v>
      </c>
      <c r="AB283" s="60" t="str">
        <f>IF(AA283&lt;60,"1",IF(AA283&lt;=43200,"2",IF(AA283&lt;=777600,"3","4")))</f>
        <v>3</v>
      </c>
      <c r="AC283" s="56">
        <f>AVERAGE(AV282:DA282)</f>
        <v>117615</v>
      </c>
      <c r="AD283" s="60" t="str">
        <f>IF(AC283&lt;60,"1",IF(AC283&lt;=43200,"2",IF(AC283&lt;=777600,"3","4")))</f>
        <v>3</v>
      </c>
      <c r="AE283" s="76">
        <f>AA283-Y283</f>
        <v>345555</v>
      </c>
      <c r="AF283" s="80">
        <f>AV283</f>
        <v>0.79</v>
      </c>
      <c r="AG283" s="56">
        <f>((AW283-AV283)+(AX283-AW283))/2</f>
        <v>-2.5000000000000022E-2</v>
      </c>
      <c r="AH283" s="4"/>
      <c r="AI283" s="56">
        <f>RSQ(AV283:AX283,AV282:AX282)</f>
        <v>0.44654593958019129</v>
      </c>
      <c r="AJ283" s="109">
        <f>SLOPE(AV283:AX283,AV282:AX282)</f>
        <v>-8.9531097135366722E-8</v>
      </c>
      <c r="AK283" s="56">
        <f>INTERCEPT(AV283:AX283,AV282:AX282)</f>
        <v>0.77053019998957628</v>
      </c>
      <c r="AL283" s="56">
        <f>INDEX(LINEST(LN(AV283:AX283),LN(AV282:AX282),TRUE,TRUE),3,1)</f>
        <v>0.93857173382062575</v>
      </c>
      <c r="AM283" s="56">
        <f>INDEX(LINEST(LN(AV283:AX283),LN(AV282:AX282)),1)</f>
        <v>-7.4565124405694197E-3</v>
      </c>
      <c r="AN283" s="56">
        <f>EXP(INDEX(LINEST(LN(AV283:AX283),LN(AV282:AX282)),1,2))</f>
        <v>0.80928716978354664</v>
      </c>
      <c r="AO283" s="82">
        <f>INDEX(LINEST((AV283:AX283),LN(AV282:AX282),TRUE,TRUE),3,1)</f>
        <v>0.9359169465285202</v>
      </c>
      <c r="AP283" s="82">
        <f>INDEX(LINEST((AV283:AX283),LN(AV282:AX282)),1)</f>
        <v>-5.7048419156961157E-3</v>
      </c>
      <c r="AQ283" s="83">
        <f>INDEX(LINEST(LN(AV283:AX283),SQRT(AV282:AX282),TRUE,TRUE),3,1)</f>
        <v>0.55786694645121671</v>
      </c>
      <c r="AR283" s="116">
        <f>INDEX(LINEST(LN(AV283:AX283),SQRT((AV282:AX282))),1)</f>
        <v>-8.1774304772536195E-5</v>
      </c>
      <c r="AS283" s="84">
        <f>INDEX(LINEST(1/(AV283:AX283),1/(SQRT(AV282:AX282)),TRUE,TRUE),3,1)</f>
        <v>0.98056018030235226</v>
      </c>
      <c r="AT283" s="84">
        <f>INDEX(LINEST(1/(AV283:AX283),1/SQRT(AV282:AX282)),1)</f>
        <v>-0.54231308290077185</v>
      </c>
      <c r="AU283" s="3"/>
      <c r="AV283" s="53">
        <v>0.79</v>
      </c>
      <c r="AW283" s="53">
        <v>0.75</v>
      </c>
      <c r="AX283" s="53">
        <v>0.74</v>
      </c>
      <c r="AY283" s="53"/>
      <c r="AZ283" s="53"/>
      <c r="BA283" s="53"/>
      <c r="BB283" s="53"/>
      <c r="BC283" s="53"/>
      <c r="BD283" s="53"/>
      <c r="BE283" s="53"/>
      <c r="BF283" s="53"/>
      <c r="BG283" s="53"/>
      <c r="BH283" s="53"/>
      <c r="BI283" s="53"/>
      <c r="BJ283" s="53"/>
      <c r="BK283" s="53"/>
      <c r="BL283" s="53"/>
      <c r="BM283" s="53"/>
      <c r="BN283" s="53"/>
      <c r="BO283" s="53"/>
      <c r="BP283" s="53"/>
      <c r="BQ283" s="53"/>
      <c r="BR283" s="53"/>
      <c r="BS283" s="53"/>
      <c r="BT283" s="53"/>
      <c r="BU283" s="53"/>
      <c r="BV283" s="53"/>
      <c r="BW283" s="53"/>
      <c r="BX283" s="53"/>
      <c r="BY283" s="53"/>
      <c r="BZ283" s="53"/>
      <c r="CA283" s="53"/>
      <c r="CB283" s="53"/>
      <c r="CC283" s="53"/>
      <c r="CD283" s="53"/>
      <c r="CE283" s="53"/>
      <c r="CF283" s="53"/>
      <c r="CG283" s="53"/>
      <c r="CH283" s="53"/>
      <c r="CI283" s="53"/>
      <c r="CJ283" s="53"/>
      <c r="CK283" s="53"/>
      <c r="CL283" s="53"/>
      <c r="CM283" s="53"/>
      <c r="CN283" s="53"/>
      <c r="CO283" s="53"/>
      <c r="CP283" s="53"/>
      <c r="CQ283" s="53"/>
      <c r="CR283" s="1"/>
      <c r="CS283" s="1"/>
      <c r="CT283" s="1"/>
      <c r="CU283" s="1"/>
    </row>
    <row r="284" spans="1:99" s="13" customFormat="1" ht="12" customHeight="1" x14ac:dyDescent="0.2">
      <c r="A284" s="65">
        <v>43509</v>
      </c>
      <c r="B284" s="1"/>
      <c r="C284" s="1"/>
      <c r="D284" s="60"/>
      <c r="E284" s="76"/>
      <c r="F284" s="60"/>
      <c r="G284" s="60"/>
      <c r="H284" s="60"/>
      <c r="I284" s="60"/>
      <c r="J284" s="60"/>
      <c r="K284" s="64"/>
      <c r="L284" s="64"/>
      <c r="M284" s="60"/>
      <c r="N284" s="60"/>
      <c r="O284" s="60"/>
      <c r="P284" s="60"/>
      <c r="Q284" s="60"/>
      <c r="R284" s="60"/>
      <c r="S284" s="60"/>
      <c r="T284" s="60"/>
      <c r="U284" s="60"/>
      <c r="V284" s="60"/>
      <c r="W284" s="60"/>
      <c r="X284" s="60"/>
      <c r="Y284" s="76"/>
      <c r="Z284" s="60"/>
      <c r="AA284" s="60"/>
      <c r="AB284" s="60"/>
      <c r="AC284" s="60"/>
      <c r="AD284" s="60"/>
      <c r="AE284" s="60"/>
      <c r="AF284" s="80"/>
      <c r="AG284" s="56"/>
      <c r="AH284" s="4"/>
      <c r="AI284" s="56"/>
      <c r="AJ284" s="109"/>
      <c r="AK284" s="56"/>
      <c r="AL284" s="56"/>
      <c r="AM284" s="56"/>
      <c r="AN284" s="56"/>
      <c r="AO284" s="56"/>
      <c r="AP284" s="56"/>
      <c r="AQ284" s="82"/>
      <c r="AR284" s="115"/>
      <c r="AS284" s="82"/>
      <c r="AT284" s="82"/>
      <c r="AU284" s="4"/>
      <c r="AV284" s="25">
        <v>45</v>
      </c>
      <c r="AW284" s="25">
        <f>2*60*60</f>
        <v>7200</v>
      </c>
      <c r="AX284" s="25">
        <f>24*3600*4</f>
        <v>345600</v>
      </c>
      <c r="AY284" s="53"/>
      <c r="AZ284" s="53"/>
      <c r="BA284" s="53"/>
      <c r="BB284" s="53"/>
      <c r="BC284" s="53"/>
      <c r="BD284" s="53"/>
      <c r="BE284" s="53"/>
      <c r="BF284" s="53"/>
      <c r="BG284" s="53"/>
      <c r="BH284" s="53"/>
      <c r="BI284" s="53"/>
      <c r="BJ284" s="53"/>
      <c r="BK284" s="53"/>
      <c r="BL284" s="53"/>
      <c r="BM284" s="53"/>
      <c r="BN284" s="53"/>
      <c r="BO284" s="53"/>
      <c r="BP284" s="53"/>
      <c r="BQ284" s="53"/>
      <c r="BR284" s="53"/>
      <c r="BS284" s="53"/>
      <c r="BT284" s="53"/>
      <c r="BU284" s="53"/>
      <c r="BV284" s="53"/>
      <c r="BW284" s="53"/>
      <c r="BX284" s="53"/>
      <c r="BY284" s="53"/>
      <c r="BZ284" s="53"/>
      <c r="CA284" s="53"/>
      <c r="CB284" s="53"/>
      <c r="CC284" s="53"/>
      <c r="CD284" s="53"/>
      <c r="CE284" s="53"/>
      <c r="CF284" s="53"/>
      <c r="CG284" s="53"/>
      <c r="CH284" s="53"/>
      <c r="CI284" s="53"/>
      <c r="CJ284" s="53"/>
      <c r="CK284" s="53"/>
      <c r="CL284" s="53"/>
      <c r="CM284" s="53"/>
      <c r="CN284" s="53"/>
      <c r="CO284" s="53"/>
      <c r="CP284" s="53"/>
      <c r="CQ284" s="53"/>
      <c r="CR284" s="1"/>
      <c r="CS284" s="1"/>
      <c r="CT284" s="1"/>
      <c r="CU284" s="1"/>
    </row>
    <row r="285" spans="1:99" s="13" customFormat="1" ht="12" customHeight="1" x14ac:dyDescent="0.2">
      <c r="A285" s="65">
        <v>43509</v>
      </c>
      <c r="B285" s="1" t="s">
        <v>906</v>
      </c>
      <c r="C285" s="1" t="s">
        <v>54</v>
      </c>
      <c r="D285" s="60">
        <v>1987</v>
      </c>
      <c r="E285" s="76">
        <v>3</v>
      </c>
      <c r="F285" s="60">
        <v>12</v>
      </c>
      <c r="G285" s="60">
        <v>12</v>
      </c>
      <c r="H285" s="60" t="s">
        <v>22</v>
      </c>
      <c r="I285" s="60" t="s">
        <v>824</v>
      </c>
      <c r="J285" s="60" t="s">
        <v>16</v>
      </c>
      <c r="K285" s="60">
        <f>IF(J285="syllables",1,IF(J285="trigrams",2,IF(J285="strings",3,IF(J285="visual array",4,IF(J285="characters",5,IF(J285="letters",6,IF(J285="free forms",7,IF(J285="odors",8,IF(J285="words",9,IF(J285="pictures",10,IF(J285="object pictures",11,IF(J285="faces",12,IF(J285="names",13,IF(J285="idioms",14,IF(J285="grades",15,IF(J285="syllable-digit pairs",16,IF(J285="trigram-word pairs",17,IF(J285="word-digit pairs",18,IF(J285="English-Swahili pairs",19,IF(J285="spatial position",20,IF(J285="word pairs",21,IF(J285="word triads",22,IF(J285="generated words",23,IF(J285="word definition pairs",24,IF(J285="math problems",25,IF(J285="famous faces",26,IF(J285="famous names",27,IF(J285="famous voices",28,IF(J285="television programs",29,IF(J285="race horses",30,IF(J285="new vocabulary",31,IF(J285="sentences",32,IF(J285="concepts",33,IF(J285="ad slides",34,IF(J285="scenes",35,IF(J285="famous scenes",36,IF(J285="poems",37,IF(J285="walk",38,IF(J285="faces and events",39,IF(J285="events and names",40,IF(J285="flashbulb",41,IF(J285="stories",42,IF(J285="course material",43,IF(J285="autobiographical",44,IF(J285="novels",45,IF(J285="public events",46,"99"))))))))))))))))))))))))))))))))))))))))))))))</f>
        <v>9</v>
      </c>
      <c r="L285" s="60">
        <f>IF(J285="syllables",1,IF(J285="trigrams",1,IF(J285="strings",1,IF(J285="visual array",1,IF(J285="characters",1,IF(J285="letters",1,IF(J285="free forms",1,IF(J285="odors",2,IF(J285="words",2,IF(J285="pictures",2,IF(J285="object pictures",2,IF(J285="faces",2,IF(J285="names",2,IF(J285="idioms","2",IF(J285="grades",2,IF(J285="syllable-digit pairs",3,IF(J285="trigram-word pairs",3,IF(J285="word-digit pairs",3,IF(J285="English-Swahili pairs",3,IF(J285="spatial position",3,IF(J285="word pairs",4,IF(J285="word triads",4,IF(J285="generated words",4,IF(J285="word definition pairs",4,IF(J285="math problems",4,IF(J285="famous faces",4,IF(J285="famous names",4,IF(J285="famous voices",4,IF(J285="television programs",4,IF(J285="race horses",4,IF(J285="new vocabulary",4,IF(J285="sentences",5,IF(J285="concepts",5,IF(J285="ad slides",5,IF(J285="scenes",5,IF(J285="famous scenes",5,IF(J285="poems",6,IF(J285="walk",6,IF(J285="faces and events",6,IF(J285="events and names",6,IF(J285="flashbulb",7,IF(J285="stories",7,IF(J285="course material",7,IF(J285="autobiographical",7,IF(J285="novels",7,IF(J285="public events",7,"99"))))))))))))))))))))))))))))))))))))))))))))))</f>
        <v>2</v>
      </c>
      <c r="M285" s="60">
        <v>1</v>
      </c>
      <c r="N285" s="60">
        <v>2</v>
      </c>
      <c r="O285" s="60">
        <v>0</v>
      </c>
      <c r="P285" s="60"/>
      <c r="Q285" s="60" t="s">
        <v>125</v>
      </c>
      <c r="R285" s="60">
        <f>IF(Q285="Free Recall",1,IF(Q285="Cued Recall",2,IF(Q285="Recognition",3,IF(Q285="Multiple Choice",4,IF(Q285="Savings",5,IF(Q285="Stem Completion",6,IF(Q285="Fragment Completion",7,IF(Q285="anagram solution",8,IF(Q285="Matching",9,IF(Q285="Problem Solving",10,"99"))))))))))</f>
        <v>7</v>
      </c>
      <c r="S285" s="60" t="s">
        <v>49</v>
      </c>
      <c r="T285" s="59" t="s">
        <v>581</v>
      </c>
      <c r="U285" s="60">
        <f>IF(T285="within",1,0)</f>
        <v>1</v>
      </c>
      <c r="V285" s="59">
        <v>72</v>
      </c>
      <c r="W285" s="60">
        <f>F285*V285</f>
        <v>864</v>
      </c>
      <c r="X285" s="60">
        <v>3</v>
      </c>
      <c r="Y285" s="76">
        <f>AV284</f>
        <v>45</v>
      </c>
      <c r="Z285" s="60" t="s">
        <v>115</v>
      </c>
      <c r="AA285" s="60">
        <v>345600</v>
      </c>
      <c r="AB285" s="60" t="str">
        <f>IF(AA285&lt;60,"1",IF(AA285&lt;=43200,"2",IF(AA285&lt;=777600,"3","4")))</f>
        <v>3</v>
      </c>
      <c r="AC285" s="56">
        <f>AVERAGE(AV284:DA284)</f>
        <v>117615</v>
      </c>
      <c r="AD285" s="60" t="str">
        <f>IF(AC285&lt;60,"1",IF(AC285&lt;=43200,"2",IF(AC285&lt;=777600,"3","4")))</f>
        <v>3</v>
      </c>
      <c r="AE285" s="76">
        <f>AA285-Y285</f>
        <v>345555</v>
      </c>
      <c r="AF285" s="80">
        <f>AV285</f>
        <v>0.72</v>
      </c>
      <c r="AG285" s="56">
        <f>((AW285-AV285)+(AX285-AW285))/2</f>
        <v>-9.4999999999999973E-2</v>
      </c>
      <c r="AH285" s="4"/>
      <c r="AI285" s="56">
        <f>RSQ(AV285:AX285,AV284:AX284)</f>
        <v>0.73930832282629799</v>
      </c>
      <c r="AJ285" s="109">
        <f>SLOPE(AV285:AX285,AV284:AX284)</f>
        <v>-4.1383634512070578E-7</v>
      </c>
      <c r="AK285" s="56">
        <f>INTERCEPT(AV285:AX285,AV284:AX284)</f>
        <v>0.67200669506470512</v>
      </c>
      <c r="AL285" s="56">
        <f>INDEX(LINEST(LN(AV285:AX285),LN(AV284:AX284),TRUE,TRUE),3,1)</f>
        <v>0.99168417979953727</v>
      </c>
      <c r="AM285" s="56">
        <f>INDEX(LINEST(LN(AV285:AX285),LN(AV284:AX284)),1)</f>
        <v>-3.4003689699636484E-2</v>
      </c>
      <c r="AN285" s="56">
        <f>EXP(INDEX(LINEST(LN(AV285:AX285),LN(AV284:AX284)),1,2))</f>
        <v>0.82522102977313661</v>
      </c>
      <c r="AO285" s="82">
        <f>INDEX(LINEST((AV285:AX285),LN(AV284:AX284),TRUE,TRUE),3,1)</f>
        <v>0.997777154673258</v>
      </c>
      <c r="AP285" s="82">
        <f>INDEX(LINEST((AV285:AX285),LN(AV284:AX284)),1)</f>
        <v>-2.116005220962832E-2</v>
      </c>
      <c r="AQ285" s="83">
        <f>INDEX(LINEST(LN(AV285:AX285),SQRT(AV284:AX284),TRUE,TRUE),3,1)</f>
        <v>0.85851947282924512</v>
      </c>
      <c r="AR285" s="116">
        <f>INDEX(LINEST(LN(AV285:AX285),SQRT((AV284:AX284))),1)</f>
        <v>-4.5005331085303814E-4</v>
      </c>
      <c r="AS285" s="84">
        <f>INDEX(LINEST(1/(AV285:AX285),1/(SQRT(AV284:AX284)),TRUE,TRUE),3,1)</f>
        <v>0.75303629461923416</v>
      </c>
      <c r="AT285" s="84">
        <f>INDEX(LINEST(1/(AV285:AX285),1/SQRT(AV284:AX284)),1)</f>
        <v>-2.6284648013448941</v>
      </c>
      <c r="AU285" s="3"/>
      <c r="AV285" s="53">
        <v>0.72</v>
      </c>
      <c r="AW285" s="53">
        <v>0.62</v>
      </c>
      <c r="AX285" s="53">
        <v>0.53</v>
      </c>
      <c r="AY285" s="53"/>
      <c r="AZ285" s="53"/>
      <c r="BA285" s="53"/>
      <c r="BB285" s="53"/>
      <c r="BC285" s="53"/>
      <c r="BD285" s="53"/>
      <c r="BE285" s="53"/>
      <c r="BF285" s="53"/>
      <c r="BG285" s="53"/>
      <c r="BH285" s="53"/>
      <c r="BI285" s="53"/>
      <c r="BJ285" s="53"/>
      <c r="BK285" s="53"/>
      <c r="BL285" s="53"/>
      <c r="BM285" s="53"/>
      <c r="BN285" s="53"/>
      <c r="BO285" s="53"/>
      <c r="BP285" s="53"/>
      <c r="BQ285" s="53"/>
      <c r="BR285" s="53"/>
      <c r="BS285" s="53"/>
      <c r="BT285" s="53"/>
      <c r="BU285" s="53"/>
      <c r="BV285" s="53"/>
      <c r="BW285" s="53"/>
      <c r="BX285" s="53"/>
      <c r="BY285" s="53"/>
      <c r="BZ285" s="53"/>
      <c r="CA285" s="53"/>
      <c r="CB285" s="53"/>
      <c r="CC285" s="53"/>
      <c r="CD285" s="53"/>
      <c r="CE285" s="53"/>
      <c r="CF285" s="53"/>
      <c r="CG285" s="53"/>
      <c r="CH285" s="53"/>
      <c r="CI285" s="53"/>
      <c r="CJ285" s="53"/>
      <c r="CK285" s="53"/>
      <c r="CL285" s="53"/>
      <c r="CM285" s="53"/>
      <c r="CN285" s="53"/>
      <c r="CO285" s="53"/>
      <c r="CP285" s="53"/>
      <c r="CQ285" s="53"/>
      <c r="CR285" s="1"/>
      <c r="CS285" s="1"/>
      <c r="CT285" s="1"/>
      <c r="CU285" s="1"/>
    </row>
    <row r="286" spans="1:99" s="13" customFormat="1" ht="12" customHeight="1" x14ac:dyDescent="0.2">
      <c r="A286" s="65">
        <v>43509</v>
      </c>
      <c r="B286" s="1"/>
      <c r="C286" s="1"/>
      <c r="D286" s="60"/>
      <c r="E286" s="76"/>
      <c r="F286" s="60"/>
      <c r="G286" s="60"/>
      <c r="H286" s="60"/>
      <c r="I286" s="60"/>
      <c r="J286" s="60"/>
      <c r="K286" s="64"/>
      <c r="L286" s="64"/>
      <c r="M286" s="60"/>
      <c r="N286" s="60"/>
      <c r="O286" s="60"/>
      <c r="P286" s="60"/>
      <c r="Q286" s="60"/>
      <c r="R286" s="60"/>
      <c r="S286" s="60"/>
      <c r="T286" s="60"/>
      <c r="U286" s="60"/>
      <c r="V286" s="60"/>
      <c r="W286" s="60"/>
      <c r="X286" s="60"/>
      <c r="Y286" s="76"/>
      <c r="Z286" s="60"/>
      <c r="AA286" s="60"/>
      <c r="AB286" s="60"/>
      <c r="AC286" s="60"/>
      <c r="AD286" s="60"/>
      <c r="AE286" s="60"/>
      <c r="AF286" s="80"/>
      <c r="AG286" s="56"/>
      <c r="AH286" s="4"/>
      <c r="AI286" s="56"/>
      <c r="AJ286" s="109"/>
      <c r="AK286" s="56"/>
      <c r="AL286" s="56"/>
      <c r="AM286" s="56"/>
      <c r="AN286" s="56"/>
      <c r="AO286" s="56"/>
      <c r="AP286" s="56"/>
      <c r="AQ286" s="82"/>
      <c r="AR286" s="115"/>
      <c r="AS286" s="82"/>
      <c r="AT286" s="82"/>
      <c r="AU286" s="4"/>
      <c r="AV286" s="25">
        <v>45</v>
      </c>
      <c r="AW286" s="25">
        <f>2*60*60</f>
        <v>7200</v>
      </c>
      <c r="AX286" s="25">
        <f>24*3600*4</f>
        <v>345600</v>
      </c>
      <c r="AY286" s="53"/>
      <c r="AZ286" s="53"/>
      <c r="BA286" s="53"/>
      <c r="BB286" s="53"/>
      <c r="BC286" s="53"/>
      <c r="BD286" s="53"/>
      <c r="BE286" s="53"/>
      <c r="BF286" s="53"/>
      <c r="BG286" s="53"/>
      <c r="BH286" s="53"/>
      <c r="BI286" s="53"/>
      <c r="BJ286" s="53"/>
      <c r="BK286" s="53"/>
      <c r="BL286" s="53"/>
      <c r="BM286" s="53"/>
      <c r="BN286" s="53"/>
      <c r="BO286" s="53"/>
      <c r="BP286" s="53"/>
      <c r="BQ286" s="53"/>
      <c r="BR286" s="53"/>
      <c r="BS286" s="53"/>
      <c r="BT286" s="53"/>
      <c r="BU286" s="53"/>
      <c r="BV286" s="53"/>
      <c r="BW286" s="53"/>
      <c r="BX286" s="53"/>
      <c r="BY286" s="53"/>
      <c r="BZ286" s="53"/>
      <c r="CA286" s="53"/>
      <c r="CB286" s="53"/>
      <c r="CC286" s="53"/>
      <c r="CD286" s="53"/>
      <c r="CE286" s="53"/>
      <c r="CF286" s="53"/>
      <c r="CG286" s="53"/>
      <c r="CH286" s="53"/>
      <c r="CI286" s="53"/>
      <c r="CJ286" s="53"/>
      <c r="CK286" s="53"/>
      <c r="CL286" s="53"/>
      <c r="CM286" s="53"/>
      <c r="CN286" s="53"/>
      <c r="CO286" s="53"/>
      <c r="CP286" s="53"/>
      <c r="CQ286" s="53"/>
      <c r="CR286" s="1"/>
      <c r="CS286" s="1"/>
      <c r="CT286" s="1"/>
      <c r="CU286" s="1"/>
    </row>
    <row r="287" spans="1:99" s="13" customFormat="1" ht="12" customHeight="1" x14ac:dyDescent="0.2">
      <c r="A287" s="65">
        <v>43509</v>
      </c>
      <c r="B287" s="1" t="s">
        <v>906</v>
      </c>
      <c r="C287" s="1" t="s">
        <v>54</v>
      </c>
      <c r="D287" s="60">
        <v>1987</v>
      </c>
      <c r="E287" s="76">
        <v>3</v>
      </c>
      <c r="F287" s="60">
        <v>12</v>
      </c>
      <c r="G287" s="60">
        <v>12</v>
      </c>
      <c r="H287" s="60" t="s">
        <v>22</v>
      </c>
      <c r="I287" s="60" t="s">
        <v>825</v>
      </c>
      <c r="J287" s="60" t="s">
        <v>16</v>
      </c>
      <c r="K287" s="60">
        <f>IF(J287="syllables",1,IF(J287="trigrams",2,IF(J287="strings",3,IF(J287="visual array",4,IF(J287="characters",5,IF(J287="letters",6,IF(J287="free forms",7,IF(J287="odors",8,IF(J287="words",9,IF(J287="pictures",10,IF(J287="object pictures",11,IF(J287="faces",12,IF(J287="names",13,IF(J287="idioms",14,IF(J287="grades",15,IF(J287="syllable-digit pairs",16,IF(J287="trigram-word pairs",17,IF(J287="word-digit pairs",18,IF(J287="English-Swahili pairs",19,IF(J287="spatial position",20,IF(J287="word pairs",21,IF(J287="word triads",22,IF(J287="generated words",23,IF(J287="word definition pairs",24,IF(J287="math problems",25,IF(J287="famous faces",26,IF(J287="famous names",27,IF(J287="famous voices",28,IF(J287="television programs",29,IF(J287="race horses",30,IF(J287="new vocabulary",31,IF(J287="sentences",32,IF(J287="concepts",33,IF(J287="ad slides",34,IF(J287="scenes",35,IF(J287="famous scenes",36,IF(J287="poems",37,IF(J287="walk",38,IF(J287="faces and events",39,IF(J287="events and names",40,IF(J287="flashbulb",41,IF(J287="stories",42,IF(J287="course material",43,IF(J287="autobiographical",44,IF(J287="novels",45,IF(J287="public events",46,"99"))))))))))))))))))))))))))))))))))))))))))))))</f>
        <v>9</v>
      </c>
      <c r="L287" s="60">
        <f>IF(J287="syllables",1,IF(J287="trigrams",1,IF(J287="strings",1,IF(J287="visual array",1,IF(J287="characters",1,IF(J287="letters",1,IF(J287="free forms",1,IF(J287="odors",2,IF(J287="words",2,IF(J287="pictures",2,IF(J287="object pictures",2,IF(J287="faces",2,IF(J287="names",2,IF(J287="idioms","2",IF(J287="grades",2,IF(J287="syllable-digit pairs",3,IF(J287="trigram-word pairs",3,IF(J287="word-digit pairs",3,IF(J287="English-Swahili pairs",3,IF(J287="spatial position",3,IF(J287="word pairs",4,IF(J287="word triads",4,IF(J287="generated words",4,IF(J287="word definition pairs",4,IF(J287="math problems",4,IF(J287="famous faces",4,IF(J287="famous names",4,IF(J287="famous voices",4,IF(J287="television programs",4,IF(J287="race horses",4,IF(J287="new vocabulary",4,IF(J287="sentences",5,IF(J287="concepts",5,IF(J287="ad slides",5,IF(J287="scenes",5,IF(J287="famous scenes",5,IF(J287="poems",6,IF(J287="walk",6,IF(J287="faces and events",6,IF(J287="events and names",6,IF(J287="flashbulb",7,IF(J287="stories",7,IF(J287="course material",7,IF(J287="autobiographical",7,IF(J287="novels",7,IF(J287="public events",7,"99"))))))))))))))))))))))))))))))))))))))))))))))</f>
        <v>2</v>
      </c>
      <c r="M287" s="60">
        <v>1</v>
      </c>
      <c r="N287" s="60">
        <v>2</v>
      </c>
      <c r="O287" s="60">
        <v>0</v>
      </c>
      <c r="P287" s="60"/>
      <c r="Q287" s="60" t="s">
        <v>125</v>
      </c>
      <c r="R287" s="60">
        <f>IF(Q287="Free Recall",1,IF(Q287="Cued Recall",2,IF(Q287="Recognition",3,IF(Q287="Multiple Choice",4,IF(Q287="Savings",5,IF(Q287="Stem Completion",6,IF(Q287="Fragment Completion",7,IF(Q287="anagram solution",8,IF(Q287="Matching",9,IF(Q287="Problem Solving",10,"99"))))))))))</f>
        <v>7</v>
      </c>
      <c r="S287" s="60" t="s">
        <v>49</v>
      </c>
      <c r="T287" s="59" t="s">
        <v>581</v>
      </c>
      <c r="U287" s="60">
        <f>IF(T287="within",1,0)</f>
        <v>1</v>
      </c>
      <c r="V287" s="59">
        <v>72</v>
      </c>
      <c r="W287" s="60">
        <f>F287*V287</f>
        <v>864</v>
      </c>
      <c r="X287" s="60">
        <v>3</v>
      </c>
      <c r="Y287" s="76">
        <f>AV286</f>
        <v>45</v>
      </c>
      <c r="Z287" s="60" t="s">
        <v>115</v>
      </c>
      <c r="AA287" s="60">
        <v>345600</v>
      </c>
      <c r="AB287" s="60" t="str">
        <f>IF(AA287&lt;60,"1",IF(AA287&lt;=43200,"2",IF(AA287&lt;=777600,"3","4")))</f>
        <v>3</v>
      </c>
      <c r="AC287" s="56">
        <f>AVERAGE(AV286:DA286)</f>
        <v>117615</v>
      </c>
      <c r="AD287" s="60" t="str">
        <f>IF(AC287&lt;60,"1",IF(AC287&lt;=43200,"2",IF(AC287&lt;=777600,"3","4")))</f>
        <v>3</v>
      </c>
      <c r="AE287" s="76">
        <f>AA287-Y287</f>
        <v>345555</v>
      </c>
      <c r="AF287" s="80">
        <f>AV287</f>
        <v>0.62</v>
      </c>
      <c r="AG287" s="56">
        <f>((AW287-AV287)+(AX287-AW287))/2</f>
        <v>-0.10500000000000001</v>
      </c>
      <c r="AH287" s="4"/>
      <c r="AI287" s="56">
        <f>RSQ(AV287:AX287,AV286:AX286)</f>
        <v>0.30394509250529289</v>
      </c>
      <c r="AJ287" s="109">
        <f>SLOPE(AV287:AX287,AV286:AX286)</f>
        <v>-3.3072711504157843E-7</v>
      </c>
      <c r="AK287" s="56">
        <f>INTERCEPT(AV287:AX287,AV286:AX286)</f>
        <v>0.52223180296894856</v>
      </c>
      <c r="AL287" s="56">
        <f>INDEX(LINEST(LN(AV287:AX287),LN(AV286:AX286),TRUE,TRUE),3,1)</f>
        <v>0.8525419820977328</v>
      </c>
      <c r="AM287" s="56">
        <f>INDEX(LINEST(LN(AV287:AX287),LN(AV286:AX286)),1)</f>
        <v>-4.7770438890395409E-2</v>
      </c>
      <c r="AN287" s="56">
        <f>EXP(INDEX(LINEST(LN(AV287:AX287),LN(AV286:AX286)),1,2))</f>
        <v>0.7113478602094736</v>
      </c>
      <c r="AO287" s="82">
        <f>INDEX(LINEST((AV287:AX287),LN(AV286:AX286),TRUE,TRUE),3,1)</f>
        <v>0.84559085721419092</v>
      </c>
      <c r="AP287" s="82">
        <f>INDEX(LINEST((AV287:AX287),LN(AV286:AX286)),1)</f>
        <v>-2.427931885824175E-2</v>
      </c>
      <c r="AQ287" s="83">
        <f>INDEX(LINEST(LN(AV287:AX287),SQRT(AV286:AX286),TRUE,TRUE),3,1)</f>
        <v>0.41474567906675386</v>
      </c>
      <c r="AR287" s="116">
        <f>INDEX(LINEST(LN(AV287:AX287),SQRT((AV286:AX286))),1)</f>
        <v>-4.7396013365995024E-4</v>
      </c>
      <c r="AS287" s="84">
        <f>INDEX(LINEST(1/(AV287:AX287),1/(SQRT(AV286:AX286)),TRUE,TRUE),3,1)</f>
        <v>0.99999700955814896</v>
      </c>
      <c r="AT287" s="84">
        <f>INDEX(LINEST(1/(AV287:AX287),1/SQRT(AV286:AX286)),1)</f>
        <v>-5.6009291680096691</v>
      </c>
      <c r="AU287" s="3"/>
      <c r="AV287" s="53">
        <v>0.62</v>
      </c>
      <c r="AW287" s="53">
        <v>0.42</v>
      </c>
      <c r="AX287" s="53">
        <v>0.41</v>
      </c>
      <c r="AY287" s="53"/>
      <c r="AZ287" s="53"/>
      <c r="BA287" s="53"/>
      <c r="BB287" s="53"/>
      <c r="BC287" s="53"/>
      <c r="BD287" s="53"/>
      <c r="BE287" s="53"/>
      <c r="BF287" s="53"/>
      <c r="BG287" s="53"/>
      <c r="BH287" s="53"/>
      <c r="BI287" s="53"/>
      <c r="BJ287" s="53"/>
      <c r="BK287" s="53"/>
      <c r="BL287" s="53"/>
      <c r="BM287" s="53"/>
      <c r="BN287" s="53"/>
      <c r="BO287" s="53"/>
      <c r="BP287" s="53"/>
      <c r="BQ287" s="53"/>
      <c r="BR287" s="53"/>
      <c r="BS287" s="53"/>
      <c r="BT287" s="53"/>
      <c r="BU287" s="53"/>
      <c r="BV287" s="53"/>
      <c r="BW287" s="53"/>
      <c r="BX287" s="53"/>
      <c r="BY287" s="53"/>
      <c r="BZ287" s="53"/>
      <c r="CA287" s="53"/>
      <c r="CB287" s="53"/>
      <c r="CC287" s="53"/>
      <c r="CD287" s="53"/>
      <c r="CE287" s="53"/>
      <c r="CF287" s="53"/>
      <c r="CG287" s="53"/>
      <c r="CH287" s="53"/>
      <c r="CI287" s="53"/>
      <c r="CJ287" s="53"/>
      <c r="CK287" s="53"/>
      <c r="CL287" s="53"/>
      <c r="CM287" s="53"/>
      <c r="CN287" s="53"/>
      <c r="CO287" s="53"/>
      <c r="CP287" s="53"/>
      <c r="CQ287" s="53"/>
      <c r="CR287" s="1"/>
      <c r="CS287" s="1"/>
      <c r="CT287" s="1"/>
      <c r="CU287" s="1"/>
    </row>
    <row r="288" spans="1:99" s="13" customFormat="1" ht="12" customHeight="1" x14ac:dyDescent="0.2">
      <c r="A288" s="65">
        <v>43509</v>
      </c>
      <c r="B288" s="1"/>
      <c r="C288" s="1"/>
      <c r="D288" s="60"/>
      <c r="E288" s="76"/>
      <c r="F288" s="60"/>
      <c r="G288" s="60"/>
      <c r="H288" s="60"/>
      <c r="I288" s="60"/>
      <c r="J288" s="60"/>
      <c r="K288" s="64"/>
      <c r="L288" s="64"/>
      <c r="M288" s="60"/>
      <c r="N288" s="60"/>
      <c r="O288" s="60"/>
      <c r="P288" s="60"/>
      <c r="Q288" s="60"/>
      <c r="R288" s="60"/>
      <c r="S288" s="60"/>
      <c r="T288" s="59"/>
      <c r="U288" s="60"/>
      <c r="V288" s="60"/>
      <c r="W288" s="60"/>
      <c r="X288" s="60"/>
      <c r="Y288" s="76"/>
      <c r="Z288" s="60"/>
      <c r="AA288" s="60"/>
      <c r="AB288" s="60"/>
      <c r="AC288" s="60"/>
      <c r="AD288" s="60"/>
      <c r="AE288" s="60"/>
      <c r="AF288" s="80"/>
      <c r="AG288" s="56"/>
      <c r="AH288" s="4"/>
      <c r="AI288" s="56"/>
      <c r="AJ288" s="109"/>
      <c r="AK288" s="56"/>
      <c r="AL288" s="56"/>
      <c r="AM288" s="56"/>
      <c r="AN288" s="56"/>
      <c r="AO288" s="56"/>
      <c r="AP288" s="56"/>
      <c r="AQ288" s="82"/>
      <c r="AR288" s="115"/>
      <c r="AS288" s="82"/>
      <c r="AT288" s="82"/>
      <c r="AU288" s="4"/>
      <c r="AV288" s="25">
        <v>45</v>
      </c>
      <c r="AW288" s="25">
        <f>2*60*60</f>
        <v>7200</v>
      </c>
      <c r="AX288" s="25">
        <f>24*3600*4</f>
        <v>345600</v>
      </c>
      <c r="AY288" s="53"/>
      <c r="AZ288" s="53"/>
      <c r="BA288" s="53"/>
      <c r="BB288" s="53"/>
      <c r="BC288" s="53"/>
      <c r="BD288" s="53"/>
      <c r="BE288" s="53"/>
      <c r="BF288" s="53"/>
      <c r="BG288" s="53"/>
      <c r="BH288" s="53"/>
      <c r="BI288" s="53"/>
      <c r="BJ288" s="53"/>
      <c r="BK288" s="53"/>
      <c r="BL288" s="53"/>
      <c r="BM288" s="53"/>
      <c r="BN288" s="53"/>
      <c r="BO288" s="53"/>
      <c r="BP288" s="53"/>
      <c r="BQ288" s="53"/>
      <c r="BR288" s="53"/>
      <c r="BS288" s="53"/>
      <c r="BT288" s="53"/>
      <c r="BU288" s="53"/>
      <c r="BV288" s="53"/>
      <c r="BW288" s="53"/>
      <c r="BX288" s="53"/>
      <c r="BY288" s="53"/>
      <c r="BZ288" s="53"/>
      <c r="CA288" s="53"/>
      <c r="CB288" s="53"/>
      <c r="CC288" s="53"/>
      <c r="CD288" s="53"/>
      <c r="CE288" s="53"/>
      <c r="CF288" s="53"/>
      <c r="CG288" s="53"/>
      <c r="CH288" s="53"/>
      <c r="CI288" s="53"/>
      <c r="CJ288" s="53"/>
      <c r="CK288" s="53"/>
      <c r="CL288" s="53"/>
      <c r="CM288" s="53"/>
      <c r="CN288" s="53"/>
      <c r="CO288" s="53"/>
      <c r="CP288" s="53"/>
      <c r="CQ288" s="53"/>
      <c r="CR288" s="1"/>
      <c r="CS288" s="1"/>
      <c r="CT288" s="1"/>
      <c r="CU288" s="1"/>
    </row>
    <row r="289" spans="1:99" s="13" customFormat="1" ht="12" customHeight="1" x14ac:dyDescent="0.2">
      <c r="A289" s="65">
        <v>43509</v>
      </c>
      <c r="B289" s="1" t="s">
        <v>906</v>
      </c>
      <c r="C289" s="1" t="s">
        <v>54</v>
      </c>
      <c r="D289" s="60">
        <v>1987</v>
      </c>
      <c r="E289" s="76">
        <v>3</v>
      </c>
      <c r="F289" s="60">
        <v>12</v>
      </c>
      <c r="G289" s="60">
        <v>12</v>
      </c>
      <c r="H289" s="60" t="s">
        <v>38</v>
      </c>
      <c r="I289" s="60" t="s">
        <v>824</v>
      </c>
      <c r="J289" s="60" t="s">
        <v>16</v>
      </c>
      <c r="K289" s="60">
        <f>IF(J289="syllables",1,IF(J289="trigrams",2,IF(J289="strings",3,IF(J289="visual array",4,IF(J289="characters",5,IF(J289="letters",6,IF(J289="free forms",7,IF(J289="odors",8,IF(J289="words",9,IF(J289="pictures",10,IF(J289="object pictures",11,IF(J289="faces",12,IF(J289="names",13,IF(J289="idioms",14,IF(J289="grades",15,IF(J289="syllable-digit pairs",16,IF(J289="trigram-word pairs",17,IF(J289="word-digit pairs",18,IF(J289="English-Swahili pairs",19,IF(J289="spatial position",20,IF(J289="word pairs",21,IF(J289="word triads",22,IF(J289="generated words",23,IF(J289="word definition pairs",24,IF(J289="math problems",25,IF(J289="famous faces",26,IF(J289="famous names",27,IF(J289="famous voices",28,IF(J289="television programs",29,IF(J289="race horses",30,IF(J289="new vocabulary",31,IF(J289="sentences",32,IF(J289="concepts",33,IF(J289="ad slides",34,IF(J289="scenes",35,IF(J289="famous scenes",36,IF(J289="poems",37,IF(J289="walk",38,IF(J289="faces and events",39,IF(J289="events and names",40,IF(J289="flashbulb",41,IF(J289="stories",42,IF(J289="course material",43,IF(J289="autobiographical",44,IF(J289="novels",45,IF(J289="public events",46,"99"))))))))))))))))))))))))))))))))))))))))))))))</f>
        <v>9</v>
      </c>
      <c r="L289" s="60">
        <f>IF(J289="syllables",1,IF(J289="trigrams",1,IF(J289="strings",1,IF(J289="visual array",1,IF(J289="characters",1,IF(J289="letters",1,IF(J289="free forms",1,IF(J289="odors",2,IF(J289="words",2,IF(J289="pictures",2,IF(J289="object pictures",2,IF(J289="faces",2,IF(J289="names",2,IF(J289="idioms","2",IF(J289="grades",2,IF(J289="syllable-digit pairs",3,IF(J289="trigram-word pairs",3,IF(J289="word-digit pairs",3,IF(J289="English-Swahili pairs",3,IF(J289="spatial position",3,IF(J289="word pairs",4,IF(J289="word triads",4,IF(J289="generated words",4,IF(J289="word definition pairs",4,IF(J289="math problems",4,IF(J289="famous faces",4,IF(J289="famous names",4,IF(J289="famous voices",4,IF(J289="television programs",4,IF(J289="race horses",4,IF(J289="new vocabulary",4,IF(J289="sentences",5,IF(J289="concepts",5,IF(J289="ad slides",5,IF(J289="scenes",5,IF(J289="famous scenes",5,IF(J289="poems",6,IF(J289="walk",6,IF(J289="faces and events",6,IF(J289="events and names",6,IF(J289="flashbulb",7,IF(J289="stories",7,IF(J289="course material",7,IF(J289="autobiographical",7,IF(J289="novels",7,IF(J289="public events",7,"99"))))))))))))))))))))))))))))))))))))))))))))))</f>
        <v>2</v>
      </c>
      <c r="M289" s="60">
        <v>1</v>
      </c>
      <c r="N289" s="60">
        <v>2</v>
      </c>
      <c r="O289" s="60">
        <v>0</v>
      </c>
      <c r="P289" s="60"/>
      <c r="Q289" s="60" t="s">
        <v>34</v>
      </c>
      <c r="R289" s="60">
        <f>IF(Q289="Free Recall",1,IF(Q289="Cued Recall",2,IF(Q289="Recognition",3,IF(Q289="Multiple Choice",4,IF(Q289="Savings",5,IF(Q289="Stem Completion",6,IF(Q289="Fragment Completion",7,IF(Q289="anagram solution",8,IF(Q289="Matching",9,IF(Q289="Problem Solving",10,"99"))))))))))</f>
        <v>3</v>
      </c>
      <c r="S289" s="60" t="s">
        <v>15</v>
      </c>
      <c r="T289" s="59" t="s">
        <v>581</v>
      </c>
      <c r="U289" s="60">
        <f>IF(T289="within",1,0)</f>
        <v>1</v>
      </c>
      <c r="V289" s="59">
        <v>72</v>
      </c>
      <c r="W289" s="60">
        <f>F289*V289</f>
        <v>864</v>
      </c>
      <c r="X289" s="60">
        <v>3</v>
      </c>
      <c r="Y289" s="76">
        <f>AV288</f>
        <v>45</v>
      </c>
      <c r="Z289" s="60" t="s">
        <v>115</v>
      </c>
      <c r="AA289" s="60">
        <v>345600</v>
      </c>
      <c r="AB289" s="60" t="str">
        <f>IF(AA289&lt;60,"1",IF(AA289&lt;=43200,"2",IF(AA289&lt;=777600,"3","4")))</f>
        <v>3</v>
      </c>
      <c r="AC289" s="56">
        <f>AVERAGE(AV288:DA288)</f>
        <v>117615</v>
      </c>
      <c r="AD289" s="60" t="str">
        <f>IF(AC289&lt;60,"1",IF(AC289&lt;=43200,"2",IF(AC289&lt;=777600,"3","4")))</f>
        <v>3</v>
      </c>
      <c r="AE289" s="76">
        <f>AA289-Y289</f>
        <v>345555</v>
      </c>
      <c r="AF289" s="80">
        <f>AV289</f>
        <v>0.99</v>
      </c>
      <c r="AG289" s="56">
        <f>((AW289-AV289)+(AX289-AW289))/2</f>
        <v>-4.4999999999999984E-2</v>
      </c>
      <c r="AH289" s="4"/>
      <c r="AI289" s="56">
        <f>RSQ(AV289:AX289,AV288:AX288)</f>
        <v>0.9624172103766705</v>
      </c>
      <c r="AJ289" s="109">
        <f>SLOPE(AV289:AX289,AV288:AX288)</f>
        <v>-2.3477415084997247E-7</v>
      </c>
      <c r="AK289" s="56">
        <f>INTERCEPT(AV289:AX289,AV288:AX288)</f>
        <v>0.98094629508555276</v>
      </c>
      <c r="AL289" s="56">
        <f>INDEX(LINEST(LN(AV289:AX289),LN(AV288:AX288),TRUE,TRUE),3,1)</f>
        <v>0.85094567808157551</v>
      </c>
      <c r="AM289" s="56">
        <f>INDEX(LINEST(LN(AV289:AX289),LN(AV288:AX288)),1)</f>
        <v>-1.0317972422053043E-2</v>
      </c>
      <c r="AN289" s="56">
        <f>EXP(INDEX(LINEST(LN(AV289:AX289),LN(AV288:AX288)),1,2))</f>
        <v>1.0396439890448301</v>
      </c>
      <c r="AO289" s="82">
        <f>INDEX(LINEST((AV289:AX289),LN(AV288:AX288),TRUE,TRUE),3,1)</f>
        <v>0.85691278497314727</v>
      </c>
      <c r="AP289" s="82">
        <f>INDEX(LINEST((AV289:AX289),LN(AV288:AX288)),1)</f>
        <v>-9.7503683782361079E-3</v>
      </c>
      <c r="AQ289" s="83">
        <f>INDEX(LINEST(LN(AV289:AX289),SQRT(AV288:AX288),TRUE,TRUE),3,1)</f>
        <v>0.9935224743280785</v>
      </c>
      <c r="AR289" s="116">
        <f>INDEX(LINEST(LN(AV289:AX289),SQRT((AV288:AX288))),1)</f>
        <v>-1.5859220089752519E-4</v>
      </c>
      <c r="AS289" s="84">
        <f>INDEX(LINEST(1/(AV289:AX289),1/(SQRT(AV288:AX288)),TRUE,TRUE),3,1)</f>
        <v>0.49599936915811282</v>
      </c>
      <c r="AT289" s="84">
        <f>INDEX(LINEST(1/(AV289:AX289),1/SQRT(AV288:AX288)),1)</f>
        <v>-0.45623298226990283</v>
      </c>
      <c r="AU289" s="3"/>
      <c r="AV289" s="53">
        <v>0.99</v>
      </c>
      <c r="AW289" s="53">
        <v>0.97</v>
      </c>
      <c r="AX289" s="53">
        <v>0.9</v>
      </c>
      <c r="AY289" s="53"/>
      <c r="AZ289" s="53"/>
      <c r="BA289" s="53"/>
      <c r="BB289" s="53"/>
      <c r="BC289" s="53"/>
      <c r="BD289" s="53"/>
      <c r="BE289" s="53"/>
      <c r="BF289" s="53"/>
      <c r="BG289" s="53"/>
      <c r="BH289" s="53"/>
      <c r="BI289" s="53"/>
      <c r="BJ289" s="53"/>
      <c r="BK289" s="53"/>
      <c r="BL289" s="53"/>
      <c r="BM289" s="53"/>
      <c r="BN289" s="53"/>
      <c r="BO289" s="53"/>
      <c r="BP289" s="53"/>
      <c r="BQ289" s="53"/>
      <c r="BR289" s="53"/>
      <c r="BS289" s="53"/>
      <c r="BT289" s="53"/>
      <c r="BU289" s="53"/>
      <c r="BV289" s="53"/>
      <c r="BW289" s="53"/>
      <c r="BX289" s="53"/>
      <c r="BY289" s="53"/>
      <c r="BZ289" s="53"/>
      <c r="CA289" s="53"/>
      <c r="CB289" s="53"/>
      <c r="CC289" s="53"/>
      <c r="CD289" s="53"/>
      <c r="CE289" s="53"/>
      <c r="CF289" s="53"/>
      <c r="CG289" s="53"/>
      <c r="CH289" s="53"/>
      <c r="CI289" s="53"/>
      <c r="CJ289" s="53"/>
      <c r="CK289" s="53"/>
      <c r="CL289" s="53"/>
      <c r="CM289" s="53"/>
      <c r="CN289" s="53"/>
      <c r="CO289" s="53"/>
      <c r="CP289" s="53"/>
      <c r="CQ289" s="53"/>
      <c r="CR289" s="1"/>
      <c r="CS289" s="1"/>
      <c r="CT289" s="1"/>
      <c r="CU289" s="1"/>
    </row>
    <row r="290" spans="1:99" s="13" customFormat="1" ht="12" customHeight="1" x14ac:dyDescent="0.2">
      <c r="A290" s="65">
        <v>43509</v>
      </c>
      <c r="B290" s="1"/>
      <c r="C290" s="1"/>
      <c r="D290" s="60"/>
      <c r="E290" s="76"/>
      <c r="F290" s="60"/>
      <c r="G290" s="60"/>
      <c r="H290" s="60"/>
      <c r="I290" s="60"/>
      <c r="J290" s="60"/>
      <c r="K290" s="64"/>
      <c r="L290" s="64"/>
      <c r="M290" s="60"/>
      <c r="N290" s="60"/>
      <c r="O290" s="60"/>
      <c r="P290" s="60"/>
      <c r="Q290" s="60"/>
      <c r="R290" s="60"/>
      <c r="S290" s="60"/>
      <c r="T290" s="60"/>
      <c r="U290" s="60"/>
      <c r="V290" s="60"/>
      <c r="W290" s="60"/>
      <c r="X290" s="60"/>
      <c r="Y290" s="76"/>
      <c r="Z290" s="60"/>
      <c r="AA290" s="60"/>
      <c r="AB290" s="60"/>
      <c r="AC290" s="60"/>
      <c r="AD290" s="60"/>
      <c r="AE290" s="60"/>
      <c r="AF290" s="80"/>
      <c r="AG290" s="56"/>
      <c r="AH290" s="4"/>
      <c r="AI290" s="56"/>
      <c r="AJ290" s="109"/>
      <c r="AK290" s="56"/>
      <c r="AL290" s="56"/>
      <c r="AM290" s="56"/>
      <c r="AN290" s="56"/>
      <c r="AO290" s="56"/>
      <c r="AP290" s="56"/>
      <c r="AQ290" s="82"/>
      <c r="AR290" s="115"/>
      <c r="AS290" s="82"/>
      <c r="AT290" s="82"/>
      <c r="AU290" s="4"/>
      <c r="AV290" s="25">
        <v>45</v>
      </c>
      <c r="AW290" s="25">
        <f>2*60*60</f>
        <v>7200</v>
      </c>
      <c r="AX290" s="25">
        <f>24*3600*4</f>
        <v>345600</v>
      </c>
      <c r="AY290" s="53"/>
      <c r="AZ290" s="53"/>
      <c r="BA290" s="53"/>
      <c r="BB290" s="53"/>
      <c r="BC290" s="53"/>
      <c r="BD290" s="53"/>
      <c r="BE290" s="53"/>
      <c r="BF290" s="53"/>
      <c r="BG290" s="53"/>
      <c r="BH290" s="53"/>
      <c r="BI290" s="53"/>
      <c r="BJ290" s="53"/>
      <c r="BK290" s="53"/>
      <c r="BL290" s="53"/>
      <c r="BM290" s="53"/>
      <c r="BN290" s="53"/>
      <c r="BO290" s="53"/>
      <c r="BP290" s="53"/>
      <c r="BQ290" s="53"/>
      <c r="BR290" s="53"/>
      <c r="BS290" s="53"/>
      <c r="BT290" s="53"/>
      <c r="BU290" s="53"/>
      <c r="BV290" s="53"/>
      <c r="BW290" s="53"/>
      <c r="BX290" s="53"/>
      <c r="BY290" s="53"/>
      <c r="BZ290" s="53"/>
      <c r="CA290" s="53"/>
      <c r="CB290" s="53"/>
      <c r="CC290" s="53"/>
      <c r="CD290" s="53"/>
      <c r="CE290" s="53"/>
      <c r="CF290" s="53"/>
      <c r="CG290" s="53"/>
      <c r="CH290" s="53"/>
      <c r="CI290" s="53"/>
      <c r="CJ290" s="53"/>
      <c r="CK290" s="53"/>
      <c r="CL290" s="53"/>
      <c r="CM290" s="53"/>
      <c r="CN290" s="53"/>
      <c r="CO290" s="53"/>
      <c r="CP290" s="53"/>
      <c r="CQ290" s="53"/>
      <c r="CR290" s="1"/>
      <c r="CS290" s="1"/>
      <c r="CT290" s="1"/>
      <c r="CU290" s="1"/>
    </row>
    <row r="291" spans="1:99" s="13" customFormat="1" ht="12" customHeight="1" x14ac:dyDescent="0.2">
      <c r="A291" s="65">
        <v>43509</v>
      </c>
      <c r="B291" s="1" t="s">
        <v>906</v>
      </c>
      <c r="C291" s="1" t="s">
        <v>54</v>
      </c>
      <c r="D291" s="60">
        <v>1987</v>
      </c>
      <c r="E291" s="76">
        <v>3</v>
      </c>
      <c r="F291" s="60">
        <v>12</v>
      </c>
      <c r="G291" s="60">
        <v>12</v>
      </c>
      <c r="H291" s="60" t="s">
        <v>38</v>
      </c>
      <c r="I291" s="60" t="s">
        <v>825</v>
      </c>
      <c r="J291" s="60" t="s">
        <v>16</v>
      </c>
      <c r="K291" s="60">
        <f>IF(J291="syllables",1,IF(J291="trigrams",2,IF(J291="strings",3,IF(J291="visual array",4,IF(J291="characters",5,IF(J291="letters",6,IF(J291="free forms",7,IF(J291="odors",8,IF(J291="words",9,IF(J291="pictures",10,IF(J291="object pictures",11,IF(J291="faces",12,IF(J291="names",13,IF(J291="idioms",14,IF(J291="grades",15,IF(J291="syllable-digit pairs",16,IF(J291="trigram-word pairs",17,IF(J291="word-digit pairs",18,IF(J291="English-Swahili pairs",19,IF(J291="spatial position",20,IF(J291="word pairs",21,IF(J291="word triads",22,IF(J291="generated words",23,IF(J291="word definition pairs",24,IF(J291="math problems",25,IF(J291="famous faces",26,IF(J291="famous names",27,IF(J291="famous voices",28,IF(J291="television programs",29,IF(J291="race horses",30,IF(J291="new vocabulary",31,IF(J291="sentences",32,IF(J291="concepts",33,IF(J291="ad slides",34,IF(J291="scenes",35,IF(J291="famous scenes",36,IF(J291="poems",37,IF(J291="walk",38,IF(J291="faces and events",39,IF(J291="events and names",40,IF(J291="flashbulb",41,IF(J291="stories",42,IF(J291="course material",43,IF(J291="autobiographical",44,IF(J291="novels",45,IF(J291="public events",46,"99"))))))))))))))))))))))))))))))))))))))))))))))</f>
        <v>9</v>
      </c>
      <c r="L291" s="60">
        <f>IF(J291="syllables",1,IF(J291="trigrams",1,IF(J291="strings",1,IF(J291="visual array",1,IF(J291="characters",1,IF(J291="letters",1,IF(J291="free forms",1,IF(J291="odors",2,IF(J291="words",2,IF(J291="pictures",2,IF(J291="object pictures",2,IF(J291="faces",2,IF(J291="names",2,IF(J291="idioms","2",IF(J291="grades",2,IF(J291="syllable-digit pairs",3,IF(J291="trigram-word pairs",3,IF(J291="word-digit pairs",3,IF(J291="English-Swahili pairs",3,IF(J291="spatial position",3,IF(J291="word pairs",4,IF(J291="word triads",4,IF(J291="generated words",4,IF(J291="word definition pairs",4,IF(J291="math problems",4,IF(J291="famous faces",4,IF(J291="famous names",4,IF(J291="famous voices",4,IF(J291="television programs",4,IF(J291="race horses",4,IF(J291="new vocabulary",4,IF(J291="sentences",5,IF(J291="concepts",5,IF(J291="ad slides",5,IF(J291="scenes",5,IF(J291="famous scenes",5,IF(J291="poems",6,IF(J291="walk",6,IF(J291="faces and events",6,IF(J291="events and names",6,IF(J291="flashbulb",7,IF(J291="stories",7,IF(J291="course material",7,IF(J291="autobiographical",7,IF(J291="novels",7,IF(J291="public events",7,"99"))))))))))))))))))))))))))))))))))))))))))))))</f>
        <v>2</v>
      </c>
      <c r="M291" s="60">
        <v>1</v>
      </c>
      <c r="N291" s="60">
        <v>2</v>
      </c>
      <c r="O291" s="60">
        <v>0</v>
      </c>
      <c r="P291" s="60"/>
      <c r="Q291" s="60" t="s">
        <v>34</v>
      </c>
      <c r="R291" s="60">
        <f>IF(Q291="Free Recall",1,IF(Q291="Cued Recall",2,IF(Q291="Recognition",3,IF(Q291="Multiple Choice",4,IF(Q291="Savings",5,IF(Q291="Stem Completion",6,IF(Q291="Fragment Completion",7,IF(Q291="anagram solution",8,IF(Q291="Matching",9,IF(Q291="Problem Solving",10,"99"))))))))))</f>
        <v>3</v>
      </c>
      <c r="S291" s="60" t="s">
        <v>15</v>
      </c>
      <c r="T291" s="59" t="s">
        <v>581</v>
      </c>
      <c r="U291" s="60">
        <f>IF(T291="within",1,0)</f>
        <v>1</v>
      </c>
      <c r="V291" s="59">
        <v>72</v>
      </c>
      <c r="W291" s="60">
        <f>F291*V291</f>
        <v>864</v>
      </c>
      <c r="X291" s="60">
        <v>3</v>
      </c>
      <c r="Y291" s="76">
        <f>AV290</f>
        <v>45</v>
      </c>
      <c r="Z291" s="60" t="s">
        <v>115</v>
      </c>
      <c r="AA291" s="60">
        <v>345600</v>
      </c>
      <c r="AB291" s="60" t="str">
        <f>IF(AA291&lt;60,"1",IF(AA291&lt;=43200,"2",IF(AA291&lt;=777600,"3","4")))</f>
        <v>3</v>
      </c>
      <c r="AC291" s="56">
        <f>AVERAGE(AV290:DA290)</f>
        <v>117615</v>
      </c>
      <c r="AD291" s="60" t="str">
        <f>IF(AC291&lt;60,"1",IF(AC291&lt;=43200,"2",IF(AC291&lt;=777600,"3","4")))</f>
        <v>3</v>
      </c>
      <c r="AE291" s="76">
        <f>AA291-Y291</f>
        <v>345555</v>
      </c>
      <c r="AF291" s="80">
        <f>AV291</f>
        <v>0.8</v>
      </c>
      <c r="AG291" s="56">
        <f>((AW291-AV291)+(AX291-AW291))/2</f>
        <v>-5.0000000000000044E-2</v>
      </c>
      <c r="AH291" s="4"/>
      <c r="AI291" s="56">
        <f>RSQ(AV291:AX291,AV290:AX290)</f>
        <v>0.85509053184036254</v>
      </c>
      <c r="AJ291" s="109">
        <f>SLOPE(AV291:AX291,AV290:AX290)</f>
        <v>-2.3569156042943552E-7</v>
      </c>
      <c r="AK291" s="56">
        <f>INTERCEPT(AV291:AX291,AV290:AX290)</f>
        <v>0.78105419621324135</v>
      </c>
      <c r="AL291" s="56">
        <f>INDEX(LINEST(LN(AV291:AX291),LN(AV290:AX290),TRUE,TRUE),3,1)</f>
        <v>0.95632061053920714</v>
      </c>
      <c r="AM291" s="56">
        <f>INDEX(LINEST(LN(AV291:AX291),LN(AV290:AX290)),1)</f>
        <v>-1.4681956713335026E-2</v>
      </c>
      <c r="AN291" s="56">
        <f>EXP(INDEX(LINEST(LN(AV291:AX291),LN(AV290:AX290)),1,2))</f>
        <v>0.85193821730224895</v>
      </c>
      <c r="AO291" s="82">
        <f>INDEX(LINEST((AV291:AX291),LN(AV290:AX290),TRUE,TRUE),3,1)</f>
        <v>0.96339809934978771</v>
      </c>
      <c r="AP291" s="82">
        <f>INDEX(LINEST((AV291:AX291),LN(AV290:AX290)),1)</f>
        <v>-1.1010955315994624E-2</v>
      </c>
      <c r="AQ291" s="83">
        <f>INDEX(LINEST(LN(AV291:AX291),SQRT(AV290:AX290),TRUE,TRUE),3,1)</f>
        <v>0.9306964496421386</v>
      </c>
      <c r="AR291" s="116">
        <f>INDEX(LINEST(LN(AV291:AX291),SQRT((AV290:AX290))),1)</f>
        <v>-2.0603250557295696E-4</v>
      </c>
      <c r="AS291" s="84">
        <f>INDEX(LINEST(1/(AV291:AX291),1/(SQRT(AV290:AX290)),TRUE,TRUE),3,1)</f>
        <v>0.66891023040870945</v>
      </c>
      <c r="AT291" s="84">
        <f>INDEX(LINEST(1/(AV291:AX291),1/SQRT(AV290:AX290)),1)</f>
        <v>-0.89717145670224652</v>
      </c>
      <c r="AU291" s="3"/>
      <c r="AV291" s="53">
        <v>0.8</v>
      </c>
      <c r="AW291" s="53">
        <v>0.76</v>
      </c>
      <c r="AX291" s="53">
        <v>0.7</v>
      </c>
      <c r="AY291" s="53"/>
      <c r="AZ291" s="53"/>
      <c r="BA291" s="53"/>
      <c r="BB291" s="53"/>
      <c r="BC291" s="53"/>
      <c r="BD291" s="53"/>
      <c r="BE291" s="53"/>
      <c r="BF291" s="53"/>
      <c r="BG291" s="53"/>
      <c r="BH291" s="53"/>
      <c r="BI291" s="53"/>
      <c r="BJ291" s="53"/>
      <c r="BK291" s="53"/>
      <c r="BL291" s="53"/>
      <c r="BM291" s="53"/>
      <c r="BN291" s="53"/>
      <c r="BO291" s="53"/>
      <c r="BP291" s="53"/>
      <c r="BQ291" s="53"/>
      <c r="BR291" s="53"/>
      <c r="BS291" s="53"/>
      <c r="BT291" s="53"/>
      <c r="BU291" s="53"/>
      <c r="BV291" s="53"/>
      <c r="BW291" s="53"/>
      <c r="BX291" s="53"/>
      <c r="BY291" s="53"/>
      <c r="BZ291" s="53"/>
      <c r="CA291" s="53"/>
      <c r="CB291" s="53"/>
      <c r="CC291" s="53"/>
      <c r="CD291" s="53"/>
      <c r="CE291" s="53"/>
      <c r="CF291" s="53"/>
      <c r="CG291" s="53"/>
      <c r="CH291" s="53"/>
      <c r="CI291" s="53"/>
      <c r="CJ291" s="53"/>
      <c r="CK291" s="53"/>
      <c r="CL291" s="53"/>
      <c r="CM291" s="53"/>
      <c r="CN291" s="53"/>
      <c r="CO291" s="53"/>
      <c r="CP291" s="53"/>
      <c r="CQ291" s="53"/>
      <c r="CR291" s="1"/>
      <c r="CS291" s="1"/>
      <c r="CT291" s="1"/>
      <c r="CU291" s="1"/>
    </row>
    <row r="292" spans="1:99" ht="12" customHeight="1" x14ac:dyDescent="0.2">
      <c r="A292" s="65">
        <v>43900</v>
      </c>
      <c r="B292" s="15"/>
      <c r="C292" s="15"/>
      <c r="D292" s="59"/>
      <c r="E292" s="75"/>
      <c r="F292" s="59"/>
      <c r="G292" s="59"/>
      <c r="H292" s="59"/>
      <c r="I292" s="59"/>
      <c r="J292" s="59"/>
      <c r="M292" s="59"/>
      <c r="N292" s="60"/>
      <c r="O292" s="59"/>
      <c r="P292" s="59"/>
      <c r="Q292" s="59"/>
      <c r="R292" s="60"/>
      <c r="S292" s="59"/>
      <c r="T292" s="59"/>
      <c r="U292" s="60"/>
      <c r="V292" s="59"/>
      <c r="W292" s="60"/>
      <c r="X292" s="60"/>
      <c r="Y292" s="76"/>
      <c r="Z292" s="59"/>
      <c r="AA292" s="59"/>
      <c r="AB292" s="60"/>
      <c r="AC292" s="56"/>
      <c r="AD292" s="60"/>
      <c r="AE292" s="60"/>
      <c r="AF292" s="80"/>
      <c r="AG292" s="56"/>
      <c r="AH292" s="4"/>
      <c r="AI292" s="56"/>
      <c r="AJ292" s="109"/>
      <c r="AK292" s="56"/>
      <c r="AL292" s="56"/>
      <c r="AM292" s="56"/>
      <c r="AN292" s="56"/>
      <c r="AO292" s="82"/>
      <c r="AP292" s="82"/>
      <c r="AQ292" s="83"/>
      <c r="AR292" s="116"/>
      <c r="AS292" s="84"/>
      <c r="AT292" s="84"/>
      <c r="AU292" s="3"/>
      <c r="AV292" s="47">
        <v>600</v>
      </c>
      <c r="AW292" s="47">
        <f>60*60*24</f>
        <v>86400</v>
      </c>
      <c r="AX292" s="47">
        <f>60*60*24*7</f>
        <v>604800</v>
      </c>
      <c r="AY292" s="11"/>
      <c r="AZ292" s="11"/>
      <c r="BA292" s="11"/>
      <c r="BB292" s="11"/>
      <c r="BC292" s="11"/>
      <c r="BD292" s="11"/>
      <c r="BE292" s="11"/>
      <c r="BF292" s="11"/>
      <c r="BG292" s="11"/>
      <c r="BH292" s="11"/>
      <c r="BI292" s="11"/>
      <c r="BJ292" s="11"/>
      <c r="BK292" s="11"/>
      <c r="BL292" s="11"/>
      <c r="BM292" s="11"/>
      <c r="BN292" s="11"/>
      <c r="BO292" s="11"/>
      <c r="BP292" s="11"/>
      <c r="BQ292" s="11"/>
      <c r="BR292" s="11"/>
      <c r="BS292" s="11"/>
      <c r="BT292" s="11"/>
      <c r="BU292" s="11"/>
      <c r="BV292" s="11"/>
      <c r="BW292" s="11"/>
      <c r="BX292" s="11"/>
      <c r="BY292" s="11"/>
      <c r="BZ292" s="11"/>
      <c r="CA292" s="11"/>
      <c r="CB292" s="11"/>
      <c r="CC292" s="11"/>
      <c r="CD292" s="11"/>
      <c r="CE292" s="11"/>
      <c r="CF292" s="11"/>
      <c r="CG292" s="11"/>
      <c r="CH292" s="11"/>
      <c r="CI292" s="11"/>
      <c r="CJ292" s="11"/>
      <c r="CK292" s="11"/>
      <c r="CL292" s="11"/>
      <c r="CM292" s="11"/>
      <c r="CN292" s="11"/>
      <c r="CO292" s="11"/>
      <c r="CP292" s="11"/>
      <c r="CQ292" s="11"/>
      <c r="CR292" s="15"/>
      <c r="CS292" s="15"/>
      <c r="CT292" s="15"/>
      <c r="CU292" s="15"/>
    </row>
    <row r="293" spans="1:99" ht="12" customHeight="1" x14ac:dyDescent="0.2">
      <c r="A293" s="65">
        <v>43900</v>
      </c>
      <c r="B293" s="15" t="s">
        <v>429</v>
      </c>
      <c r="C293" s="15" t="s">
        <v>383</v>
      </c>
      <c r="D293" s="59">
        <v>2019</v>
      </c>
      <c r="E293" s="75">
        <v>1</v>
      </c>
      <c r="F293" s="59">
        <v>128</v>
      </c>
      <c r="G293" s="59">
        <v>21.3</v>
      </c>
      <c r="H293" s="59" t="s">
        <v>50</v>
      </c>
      <c r="I293" s="59" t="s">
        <v>431</v>
      </c>
      <c r="J293" s="59" t="s">
        <v>313</v>
      </c>
      <c r="K293" s="60">
        <f>IF(J293="syllables",1,IF(J293="trigrams",2,IF(J293="strings",3,IF(J293="visual array",4,IF(J293="characters",5,IF(J293="letters",6,IF(J293="free forms",7,IF(J293="odors",8,IF(J293="words",9,IF(J293="pictures",10,IF(J293="object pictures",11,IF(J293="faces",12,IF(J293="names",13,IF(J293="idioms",14,IF(J293="grades",15,IF(J293="syllable-digit pairs",16,IF(J293="trigram-word pairs",17,IF(J293="word-digit pairs",18,IF(J293="English-Swahili pairs",19,IF(J293="spatial position",20,IF(J293="word pairs",21,IF(J293="word triads",22,IF(J293="generated words",23,IF(J293="word definition pairs",24,IF(J293="math problems",25,IF(J293="famous faces",26,IF(J293="famous names",27,IF(J293="famous voices",28,IF(J293="television programs",29,IF(J293="race horses",30,IF(J293="new vocabulary",31,IF(J293="sentences",32,IF(J293="concepts",33,IF(J293="ad slides",34,IF(J293="scenes",35,IF(J293="famous scenes",36,IF(J293="poems",37,IF(J293="walk",38,IF(J293="faces and events",39,IF(J293="events and names",40,IF(J293="flashbulb",41,IF(J293="stories",42,IF(J293="course material",43,IF(J293="autobiographical",44,IF(J293="novels",45,IF(J293="public events",46,"99"))))))))))))))))))))))))))))))))))))))))))))))</f>
        <v>10</v>
      </c>
      <c r="L293" s="60">
        <f>IF(J293="syllables",1,IF(J293="trigrams",1,IF(J293="strings",1,IF(J293="visual array",1,IF(J293="characters",1,IF(J293="letters",1,IF(J293="free forms",1,IF(J293="odors",2,IF(J293="words",2,IF(J293="pictures",2,IF(J293="object pictures",2,IF(J293="faces",2,IF(J293="names",2,IF(J293="idioms","2",IF(J293="grades",2,IF(J293="syllable-digit pairs",3,IF(J293="trigram-word pairs",3,IF(J293="word-digit pairs",3,IF(J293="English-Swahili pairs",3,IF(J293="spatial position",3,IF(J293="word pairs",4,IF(J293="word triads",4,IF(J293="generated words",4,IF(J293="word definition pairs",4,IF(J293="math problems",4,IF(J293="famous faces",4,IF(J293="famous names",4,IF(J293="famous voices",4,IF(J293="television programs",4,IF(J293="race horses",4,IF(J293="new vocabulary",4,IF(J293="sentences",5,IF(J293="concepts",5,IF(J293="ad slides",5,IF(J293="scenes",5,IF(J293="famous scenes",5,IF(J293="poems",6,IF(J293="walk",6,IF(J293="faces and events",6,IF(J293="events and names",6,IF(J293="flashbulb",7,IF(J293="stories",7,IF(J293="course material",7,IF(J293="autobiographical",7,IF(J293="novels",7,IF(J293="public events",7,"99"))))))))))))))))))))))))))))))))))))))))))))))</f>
        <v>2</v>
      </c>
      <c r="M293" s="59">
        <v>0</v>
      </c>
      <c r="N293" s="60">
        <v>1</v>
      </c>
      <c r="O293" s="59">
        <v>0</v>
      </c>
      <c r="P293" s="59"/>
      <c r="Q293" s="59" t="s">
        <v>174</v>
      </c>
      <c r="R293" s="60">
        <f>IF(Q293="Free Recall",1,IF(Q293="Cued Recall",2,IF(Q293="Recognition",3,IF(Q293="Multiple Choice",4,IF(Q293="Savings",5,IF(Q293="Stem Completion",6,IF(Q293="Fragment Completion",7,IF(Q293="anagram solution",8,IF(Q293="Matching",9,IF(Q293="Problem Solving",10,"99"))))))))))</f>
        <v>1</v>
      </c>
      <c r="S293" s="59" t="s">
        <v>49</v>
      </c>
      <c r="T293" s="59" t="s">
        <v>261</v>
      </c>
      <c r="U293" s="60">
        <f>IF(T293="within",1,0)</f>
        <v>0</v>
      </c>
      <c r="V293" s="59">
        <v>32</v>
      </c>
      <c r="W293" s="60">
        <f>F293*V293</f>
        <v>4096</v>
      </c>
      <c r="X293" s="60">
        <v>3</v>
      </c>
      <c r="Y293" s="76">
        <f>AV292</f>
        <v>600</v>
      </c>
      <c r="Z293" s="59" t="s">
        <v>97</v>
      </c>
      <c r="AA293" s="59">
        <f>60*60*24*7</f>
        <v>604800</v>
      </c>
      <c r="AB293" s="60" t="str">
        <f>IF(AA293&lt;60,"1",IF(AA293&lt;=43200,"2",IF(AA293&lt;=777600,"3","4")))</f>
        <v>3</v>
      </c>
      <c r="AC293" s="56">
        <f>AVERAGE(AV292:DA292)</f>
        <v>230600</v>
      </c>
      <c r="AD293" s="60" t="str">
        <f>IF(AC293&lt;60,"1",IF(AC293&lt;=43200,"2",IF(AC293&lt;=777600,"3","4")))</f>
        <v>3</v>
      </c>
      <c r="AE293" s="76">
        <f>AA293-Y293</f>
        <v>604200</v>
      </c>
      <c r="AF293" s="80">
        <f>AV293</f>
        <v>0.6</v>
      </c>
      <c r="AG293" s="56">
        <f>((AW293-AV293)+(AX293-AW293))/2</f>
        <v>-0.15999999999999998</v>
      </c>
      <c r="AH293" s="4"/>
      <c r="AI293" s="56">
        <f>RSQ(AV293:AX293,AV292:AX292)</f>
        <v>0.92140822662289856</v>
      </c>
      <c r="AJ293" s="109">
        <f>SLOPE(AV293:AX293,AV292:AX292)</f>
        <v>-4.7257318104384391E-7</v>
      </c>
      <c r="AK293" s="56">
        <f>INTERCEPT(AV293:AX293,AV292:AX292)</f>
        <v>0.55897537554871035</v>
      </c>
      <c r="AL293" s="56">
        <f>INDEX(LINEST(LN(AV293:AX293),LN(AV292:AX292),TRUE,TRUE),3,1)</f>
        <v>0.80942827917078786</v>
      </c>
      <c r="AM293" s="56">
        <f>INDEX(LINEST(LN(AV293:AX293),LN(AV292:AX292)),1)</f>
        <v>-9.8177891377105322E-2</v>
      </c>
      <c r="AN293" s="56">
        <f>EXP(INDEX(LINEST(LN(AV293:AX293),LN(AV292:AX292)),1,2))</f>
        <v>1.1861721187797465</v>
      </c>
      <c r="AO293" s="82">
        <f>INDEX(LINEST((AV293:AX293),LN(AV292:AX292),TRUE,TRUE),3,1)</f>
        <v>0.87910705285897428</v>
      </c>
      <c r="AP293" s="82">
        <f>INDEX(LINEST((AV293:AX293),LN(AV292:AX292)),1)</f>
        <v>-4.2310443476307386E-2</v>
      </c>
      <c r="AQ293" s="83">
        <f>INDEX(LINEST(LN(AV293:AX293),SQRT(AV292:AX292),TRUE,TRUE),3,1)</f>
        <v>0.99826580089324979</v>
      </c>
      <c r="AR293" s="116">
        <f>INDEX(LINEST(LN(AV293:AX293),SQRT((AV292:AX292))),1)</f>
        <v>-1.01885348935843E-3</v>
      </c>
      <c r="AS293" s="84">
        <f>INDEX(LINEST(1/(AV293:AX293),1/(SQRT(AV292:AX292)),TRUE,TRUE),3,1)</f>
        <v>0.51986598822974084</v>
      </c>
      <c r="AT293" s="84">
        <f>INDEX(LINEST(1/(AV293:AX293),1/SQRT(AV292:AX292)),1)</f>
        <v>-32.213788099795657</v>
      </c>
      <c r="AU293" s="3"/>
      <c r="AV293" s="11">
        <v>0.6</v>
      </c>
      <c r="AW293" s="11">
        <v>0.47</v>
      </c>
      <c r="AX293" s="11">
        <v>0.28000000000000003</v>
      </c>
      <c r="AY293" s="11"/>
      <c r="AZ293" s="11"/>
      <c r="BA293" s="11"/>
      <c r="BB293" s="11"/>
      <c r="BC293" s="11"/>
      <c r="BD293" s="11"/>
      <c r="BE293" s="11"/>
      <c r="BF293" s="11"/>
      <c r="BG293" s="11"/>
      <c r="BH293" s="11"/>
      <c r="BI293" s="11"/>
      <c r="BJ293" s="11"/>
      <c r="BK293" s="11"/>
      <c r="BL293" s="11"/>
      <c r="BM293" s="11"/>
      <c r="BN293" s="11"/>
      <c r="BO293" s="11"/>
      <c r="BP293" s="11"/>
      <c r="BQ293" s="11"/>
      <c r="BR293" s="11"/>
      <c r="BS293" s="11"/>
      <c r="BT293" s="11"/>
      <c r="BU293" s="11"/>
      <c r="BV293" s="11"/>
      <c r="BW293" s="11"/>
      <c r="BX293" s="11"/>
      <c r="BY293" s="11"/>
      <c r="BZ293" s="11"/>
      <c r="CA293" s="11"/>
      <c r="CB293" s="11"/>
      <c r="CC293" s="11"/>
      <c r="CD293" s="11"/>
      <c r="CE293" s="11"/>
      <c r="CF293" s="11"/>
      <c r="CG293" s="11"/>
      <c r="CH293" s="11"/>
      <c r="CI293" s="11"/>
      <c r="CJ293" s="11"/>
      <c r="CK293" s="11"/>
      <c r="CL293" s="11"/>
      <c r="CM293" s="11"/>
      <c r="CN293" s="11"/>
      <c r="CO293" s="11"/>
      <c r="CP293" s="11"/>
      <c r="CQ293" s="11"/>
      <c r="CR293" s="15"/>
      <c r="CS293" s="15"/>
      <c r="CT293" s="15"/>
      <c r="CU293" s="15"/>
    </row>
    <row r="294" spans="1:99" ht="12" customHeight="1" x14ac:dyDescent="0.2">
      <c r="A294" s="65">
        <v>43900</v>
      </c>
      <c r="B294" s="15"/>
      <c r="C294" s="15"/>
      <c r="D294" s="59"/>
      <c r="E294" s="75"/>
      <c r="F294" s="59"/>
      <c r="G294" s="59"/>
      <c r="H294" s="59"/>
      <c r="I294" s="59"/>
      <c r="J294" s="59"/>
      <c r="M294" s="59"/>
      <c r="N294" s="60"/>
      <c r="O294" s="59"/>
      <c r="P294" s="59"/>
      <c r="Q294" s="59"/>
      <c r="R294" s="60"/>
      <c r="S294" s="59"/>
      <c r="T294" s="59"/>
      <c r="U294" s="60"/>
      <c r="V294" s="59"/>
      <c r="W294" s="60"/>
      <c r="X294" s="60"/>
      <c r="Y294" s="76"/>
      <c r="Z294" s="59"/>
      <c r="AA294" s="59"/>
      <c r="AB294" s="60"/>
      <c r="AC294" s="56"/>
      <c r="AD294" s="60"/>
      <c r="AE294" s="60"/>
      <c r="AF294" s="80"/>
      <c r="AG294" s="56"/>
      <c r="AH294" s="4"/>
      <c r="AI294" s="56"/>
      <c r="AJ294" s="109"/>
      <c r="AK294" s="56"/>
      <c r="AL294" s="56"/>
      <c r="AM294" s="56"/>
      <c r="AN294" s="56"/>
      <c r="AO294" s="82"/>
      <c r="AP294" s="82"/>
      <c r="AQ294" s="83"/>
      <c r="AR294" s="116"/>
      <c r="AS294" s="84"/>
      <c r="AT294" s="84"/>
      <c r="AU294" s="3"/>
      <c r="AV294" s="47">
        <v>600</v>
      </c>
      <c r="AW294" s="47">
        <f>60*60*24</f>
        <v>86400</v>
      </c>
      <c r="AX294" s="47">
        <f>60*60*24*7</f>
        <v>604800</v>
      </c>
      <c r="AY294" s="11"/>
      <c r="AZ294" s="11"/>
      <c r="BA294" s="11"/>
      <c r="BB294" s="11"/>
      <c r="BC294" s="11"/>
      <c r="BD294" s="11"/>
      <c r="BE294" s="11"/>
      <c r="BF294" s="11"/>
      <c r="BG294" s="11"/>
      <c r="BH294" s="11"/>
      <c r="BI294" s="11"/>
      <c r="BJ294" s="11"/>
      <c r="BK294" s="11"/>
      <c r="BL294" s="11"/>
      <c r="BM294" s="11"/>
      <c r="BN294" s="11"/>
      <c r="BO294" s="11"/>
      <c r="BP294" s="11"/>
      <c r="BQ294" s="11"/>
      <c r="BR294" s="11"/>
      <c r="BS294" s="11"/>
      <c r="BT294" s="11"/>
      <c r="BU294" s="11"/>
      <c r="BV294" s="11"/>
      <c r="BW294" s="11"/>
      <c r="BX294" s="11"/>
      <c r="BY294" s="11"/>
      <c r="BZ294" s="11"/>
      <c r="CA294" s="11"/>
      <c r="CB294" s="11"/>
      <c r="CC294" s="11"/>
      <c r="CD294" s="11"/>
      <c r="CE294" s="11"/>
      <c r="CF294" s="11"/>
      <c r="CG294" s="11"/>
      <c r="CH294" s="11"/>
      <c r="CI294" s="11"/>
      <c r="CJ294" s="11"/>
      <c r="CK294" s="11"/>
      <c r="CL294" s="11"/>
      <c r="CM294" s="11"/>
      <c r="CN294" s="11"/>
      <c r="CO294" s="11"/>
      <c r="CP294" s="11"/>
      <c r="CQ294" s="11"/>
      <c r="CR294" s="15"/>
      <c r="CS294" s="15"/>
      <c r="CT294" s="15"/>
      <c r="CU294" s="15"/>
    </row>
    <row r="295" spans="1:99" ht="12" customHeight="1" x14ac:dyDescent="0.2">
      <c r="A295" s="65">
        <v>43900</v>
      </c>
      <c r="B295" s="15" t="s">
        <v>429</v>
      </c>
      <c r="C295" s="15" t="s">
        <v>383</v>
      </c>
      <c r="D295" s="59">
        <v>2019</v>
      </c>
      <c r="E295" s="75">
        <v>1</v>
      </c>
      <c r="F295" s="59">
        <v>128</v>
      </c>
      <c r="G295" s="59">
        <v>21.3</v>
      </c>
      <c r="H295" s="59" t="s">
        <v>50</v>
      </c>
      <c r="I295" s="59" t="s">
        <v>430</v>
      </c>
      <c r="J295" s="59" t="s">
        <v>313</v>
      </c>
      <c r="K295" s="60">
        <f>IF(J295="syllables",1,IF(J295="trigrams",2,IF(J295="strings",3,IF(J295="visual array",4,IF(J295="characters",5,IF(J295="letters",6,IF(J295="free forms",7,IF(J295="odors",8,IF(J295="words",9,IF(J295="pictures",10,IF(J295="object pictures",11,IF(J295="faces",12,IF(J295="names",13,IF(J295="idioms",14,IF(J295="grades",15,IF(J295="syllable-digit pairs",16,IF(J295="trigram-word pairs",17,IF(J295="word-digit pairs",18,IF(J295="English-Swahili pairs",19,IF(J295="spatial position",20,IF(J295="word pairs",21,IF(J295="word triads",22,IF(J295="generated words",23,IF(J295="word definition pairs",24,IF(J295="math problems",25,IF(J295="famous faces",26,IF(J295="famous names",27,IF(J295="famous voices",28,IF(J295="television programs",29,IF(J295="race horses",30,IF(J295="new vocabulary",31,IF(J295="sentences",32,IF(J295="concepts",33,IF(J295="ad slides",34,IF(J295="scenes",35,IF(J295="famous scenes",36,IF(J295="poems",37,IF(J295="walk",38,IF(J295="faces and events",39,IF(J295="events and names",40,IF(J295="flashbulb",41,IF(J295="stories",42,IF(J295="course material",43,IF(J295="autobiographical",44,IF(J295="novels",45,IF(J295="public events",46,"99"))))))))))))))))))))))))))))))))))))))))))))))</f>
        <v>10</v>
      </c>
      <c r="L295" s="60">
        <f>IF(J295="syllables",1,IF(J295="trigrams",1,IF(J295="strings",1,IF(J295="visual array",1,IF(J295="characters",1,IF(J295="letters",1,IF(J295="free forms",1,IF(J295="odors",2,IF(J295="words",2,IF(J295="pictures",2,IF(J295="object pictures",2,IF(J295="faces",2,IF(J295="names",2,IF(J295="idioms","2",IF(J295="grades",2,IF(J295="syllable-digit pairs",3,IF(J295="trigram-word pairs",3,IF(J295="word-digit pairs",3,IF(J295="English-Swahili pairs",3,IF(J295="spatial position",3,IF(J295="word pairs",4,IF(J295="word triads",4,IF(J295="generated words",4,IF(J295="word definition pairs",4,IF(J295="math problems",4,IF(J295="famous faces",4,IF(J295="famous names",4,IF(J295="famous voices",4,IF(J295="television programs",4,IF(J295="race horses",4,IF(J295="new vocabulary",4,IF(J295="sentences",5,IF(J295="concepts",5,IF(J295="ad slides",5,IF(J295="scenes",5,IF(J295="famous scenes",5,IF(J295="poems",6,IF(J295="walk",6,IF(J295="faces and events",6,IF(J295="events and names",6,IF(J295="flashbulb",7,IF(J295="stories",7,IF(J295="course material",7,IF(J295="autobiographical",7,IF(J295="novels",7,IF(J295="public events",7,"99"))))))))))))))))))))))))))))))))))))))))))))))</f>
        <v>2</v>
      </c>
      <c r="M295" s="59">
        <v>0</v>
      </c>
      <c r="N295" s="60">
        <v>1</v>
      </c>
      <c r="O295" s="59">
        <v>0</v>
      </c>
      <c r="P295" s="59"/>
      <c r="Q295" s="59" t="s">
        <v>174</v>
      </c>
      <c r="R295" s="60">
        <f>IF(Q295="Free Recall",1,IF(Q295="Cued Recall",2,IF(Q295="Recognition",3,IF(Q295="Multiple Choice",4,IF(Q295="Savings",5,IF(Q295="Stem Completion",6,IF(Q295="Fragment Completion",7,IF(Q295="anagram solution",8,IF(Q295="Matching",9,IF(Q295="Problem Solving",10,"99"))))))))))</f>
        <v>1</v>
      </c>
      <c r="S295" s="59" t="s">
        <v>49</v>
      </c>
      <c r="T295" s="59" t="s">
        <v>261</v>
      </c>
      <c r="U295" s="60">
        <f>IF(T295="within",1,0)</f>
        <v>0</v>
      </c>
      <c r="V295" s="59">
        <v>32</v>
      </c>
      <c r="W295" s="60">
        <f>F295*V295</f>
        <v>4096</v>
      </c>
      <c r="X295" s="60">
        <v>3</v>
      </c>
      <c r="Y295" s="76">
        <f>AV294</f>
        <v>600</v>
      </c>
      <c r="Z295" s="59" t="s">
        <v>97</v>
      </c>
      <c r="AA295" s="59">
        <f>60*60*24*7</f>
        <v>604800</v>
      </c>
      <c r="AB295" s="60" t="str">
        <f>IF(AA295&lt;60,"1",IF(AA295&lt;=43200,"2",IF(AA295&lt;=777600,"3","4")))</f>
        <v>3</v>
      </c>
      <c r="AC295" s="56">
        <f>AVERAGE(AV294:DA294)</f>
        <v>230600</v>
      </c>
      <c r="AD295" s="60" t="str">
        <f>IF(AC295&lt;60,"1",IF(AC295&lt;=43200,"2",IF(AC295&lt;=777600,"3","4")))</f>
        <v>3</v>
      </c>
      <c r="AE295" s="76">
        <f>AA295-Y295</f>
        <v>604200</v>
      </c>
      <c r="AF295" s="80">
        <f>AV295</f>
        <v>0.23</v>
      </c>
      <c r="AG295" s="56">
        <f>((AW295-AV295)+(AX295-AW295))/2</f>
        <v>-0.05</v>
      </c>
      <c r="AH295" s="4"/>
      <c r="AI295" s="56">
        <f>RSQ(AV295:AX295,AV294:AX294)</f>
        <v>0.92520139404116308</v>
      </c>
      <c r="AJ295" s="109">
        <f>SLOPE(AV295:AX295,AV294:AX294)</f>
        <v>-1.4810081710924722E-7</v>
      </c>
      <c r="AK295" s="56">
        <f>INTERCEPT(AV295:AX295,AV294:AX294)</f>
        <v>0.21748538175872575</v>
      </c>
      <c r="AL295" s="56">
        <f>INDEX(LINEST(LN(AV295:AX295),LN(AV294:AX294),TRUE,TRUE),3,1)</f>
        <v>0.82187778206176965</v>
      </c>
      <c r="AM295" s="56">
        <f>INDEX(LINEST(LN(AV295:AX295),LN(AV294:AX294)),1)</f>
        <v>-7.3823643817259518E-2</v>
      </c>
      <c r="AN295" s="56">
        <f>EXP(INDEX(LINEST(LN(AV295:AX295),LN(AV294:AX294)),1,2))</f>
        <v>0.38334491453478736</v>
      </c>
      <c r="AO295" s="82">
        <f>INDEX(LINEST((AV295:AX295),LN(AV294:AX294),TRUE,TRUE),3,1)</f>
        <v>0.87442141608438206</v>
      </c>
      <c r="AP295" s="82">
        <f>INDEX(LINEST((AV295:AX295),LN(AV294:AX294)),1)</f>
        <v>-1.3197247905558606E-2</v>
      </c>
      <c r="AQ295" s="83">
        <f>INDEX(LINEST(LN(AV295:AX295),SQRT(AV294:AX294),TRUE,TRUE),3,1)</f>
        <v>0.99934473796760082</v>
      </c>
      <c r="AR295" s="116">
        <f>INDEX(LINEST(LN(AV295:AX295),SQRT((AV294:AX294))),1)</f>
        <v>-7.6070040834485208E-4</v>
      </c>
      <c r="AS295" s="84">
        <f>INDEX(LINEST(1/(AV295:AX295),1/(SQRT(AV294:AX294)),TRUE,TRUE),3,1)</f>
        <v>0.55367520197076625</v>
      </c>
      <c r="AT295" s="84">
        <f>INDEX(LINEST(1/(AV295:AX295),1/SQRT(AV294:AX294)),1)</f>
        <v>-57.822268610470111</v>
      </c>
      <c r="AU295" s="3"/>
      <c r="AV295" s="11">
        <v>0.23</v>
      </c>
      <c r="AW295" s="11">
        <v>0.19</v>
      </c>
      <c r="AX295" s="11">
        <v>0.13</v>
      </c>
      <c r="AY295" s="11"/>
      <c r="AZ295" s="11"/>
      <c r="BA295" s="11"/>
      <c r="BB295" s="11"/>
      <c r="BC295" s="11"/>
      <c r="BD295" s="11"/>
      <c r="BE295" s="11"/>
      <c r="BF295" s="11"/>
      <c r="BG295" s="11"/>
      <c r="BH295" s="11"/>
      <c r="BI295" s="11"/>
      <c r="BJ295" s="11"/>
      <c r="BK295" s="11"/>
      <c r="BL295" s="11"/>
      <c r="BM295" s="11"/>
      <c r="BN295" s="11"/>
      <c r="BO295" s="11"/>
      <c r="BP295" s="11"/>
      <c r="BQ295" s="11"/>
      <c r="BR295" s="11"/>
      <c r="BS295" s="11"/>
      <c r="BT295" s="11"/>
      <c r="BU295" s="11"/>
      <c r="BV295" s="11"/>
      <c r="BW295" s="11"/>
      <c r="BX295" s="11"/>
      <c r="BY295" s="11"/>
      <c r="BZ295" s="11"/>
      <c r="CA295" s="11"/>
      <c r="CB295" s="11"/>
      <c r="CC295" s="11"/>
      <c r="CD295" s="11"/>
      <c r="CE295" s="11"/>
      <c r="CF295" s="11"/>
      <c r="CG295" s="11"/>
      <c r="CH295" s="11"/>
      <c r="CI295" s="11"/>
      <c r="CJ295" s="11"/>
      <c r="CK295" s="11"/>
      <c r="CL295" s="11"/>
      <c r="CM295" s="11"/>
      <c r="CN295" s="11"/>
      <c r="CO295" s="11"/>
      <c r="CP295" s="11"/>
      <c r="CQ295" s="11"/>
      <c r="CR295" s="15"/>
      <c r="CS295" s="15"/>
      <c r="CT295" s="15"/>
      <c r="CU295" s="15"/>
    </row>
    <row r="296" spans="1:99" ht="12" customHeight="1" x14ac:dyDescent="0.2">
      <c r="A296" s="65">
        <v>43900</v>
      </c>
      <c r="B296" s="15"/>
      <c r="C296" s="15"/>
      <c r="D296" s="59"/>
      <c r="E296" s="75"/>
      <c r="F296" s="59"/>
      <c r="G296" s="59"/>
      <c r="H296" s="59"/>
      <c r="I296" s="59"/>
      <c r="J296" s="59"/>
      <c r="M296" s="59"/>
      <c r="N296" s="60"/>
      <c r="O296" s="59"/>
      <c r="P296" s="59"/>
      <c r="Q296" s="59"/>
      <c r="R296" s="60"/>
      <c r="S296" s="59"/>
      <c r="T296" s="59"/>
      <c r="U296" s="60"/>
      <c r="V296" s="59"/>
      <c r="W296" s="60"/>
      <c r="X296" s="60"/>
      <c r="Y296" s="76"/>
      <c r="Z296" s="59"/>
      <c r="AA296" s="59"/>
      <c r="AB296" s="60"/>
      <c r="AC296" s="56"/>
      <c r="AD296" s="60"/>
      <c r="AE296" s="60"/>
      <c r="AF296" s="80"/>
      <c r="AG296" s="56"/>
      <c r="AH296" s="4"/>
      <c r="AI296" s="56"/>
      <c r="AJ296" s="109"/>
      <c r="AK296" s="56"/>
      <c r="AL296" s="56"/>
      <c r="AM296" s="56"/>
      <c r="AN296" s="56"/>
      <c r="AO296" s="82"/>
      <c r="AP296" s="82"/>
      <c r="AQ296" s="83"/>
      <c r="AR296" s="116"/>
      <c r="AS296" s="84"/>
      <c r="AT296" s="84"/>
      <c r="AU296" s="3"/>
      <c r="AV296" s="47">
        <v>600</v>
      </c>
      <c r="AW296" s="47">
        <f>60*60*24</f>
        <v>86400</v>
      </c>
      <c r="AX296" s="47">
        <f>60*60*24*3</f>
        <v>259200</v>
      </c>
      <c r="AY296" s="47">
        <f>60*60*24*7</f>
        <v>604800</v>
      </c>
      <c r="AZ296" s="11" t="s">
        <v>900</v>
      </c>
      <c r="BA296" s="11"/>
      <c r="BB296" s="11"/>
      <c r="BC296" s="11"/>
      <c r="BD296" s="11"/>
      <c r="BE296" s="11"/>
      <c r="BF296" s="11"/>
      <c r="BG296" s="11"/>
      <c r="BH296" s="11"/>
      <c r="BI296" s="11"/>
      <c r="BJ296" s="11"/>
      <c r="BK296" s="11"/>
      <c r="BL296" s="11"/>
      <c r="BM296" s="11"/>
      <c r="BN296" s="11"/>
      <c r="BO296" s="11"/>
      <c r="BP296" s="11"/>
      <c r="BQ296" s="11"/>
      <c r="BR296" s="11"/>
      <c r="BS296" s="11"/>
      <c r="BT296" s="11"/>
      <c r="BU296" s="11"/>
      <c r="BV296" s="11"/>
      <c r="BW296" s="11"/>
      <c r="BX296" s="11"/>
      <c r="BY296" s="11"/>
      <c r="BZ296" s="11"/>
      <c r="CA296" s="11"/>
      <c r="CB296" s="11"/>
      <c r="CC296" s="11"/>
      <c r="CD296" s="11"/>
      <c r="CE296" s="11"/>
      <c r="CF296" s="11"/>
      <c r="CG296" s="11"/>
      <c r="CH296" s="11"/>
      <c r="CI296" s="11"/>
      <c r="CJ296" s="11"/>
      <c r="CK296" s="11"/>
      <c r="CL296" s="11"/>
      <c r="CM296" s="11"/>
      <c r="CN296" s="11"/>
      <c r="CO296" s="11"/>
      <c r="CP296" s="11"/>
      <c r="CQ296" s="11"/>
      <c r="CR296" s="15"/>
      <c r="CS296" s="15"/>
      <c r="CT296" s="15"/>
      <c r="CU296" s="15"/>
    </row>
    <row r="297" spans="1:99" ht="12" customHeight="1" x14ac:dyDescent="0.2">
      <c r="A297" s="65">
        <v>43900</v>
      </c>
      <c r="B297" s="15" t="s">
        <v>429</v>
      </c>
      <c r="C297" s="15" t="s">
        <v>383</v>
      </c>
      <c r="D297" s="59">
        <v>2019</v>
      </c>
      <c r="E297" s="75">
        <v>2</v>
      </c>
      <c r="F297" s="59">
        <v>134</v>
      </c>
      <c r="G297" s="59">
        <v>16.8</v>
      </c>
      <c r="H297" s="59" t="s">
        <v>32</v>
      </c>
      <c r="I297" s="59" t="s">
        <v>431</v>
      </c>
      <c r="J297" s="59" t="s">
        <v>313</v>
      </c>
      <c r="K297" s="60">
        <f>IF(J297="syllables",1,IF(J297="trigrams",2,IF(J297="strings",3,IF(J297="visual array",4,IF(J297="characters",5,IF(J297="letters",6,IF(J297="free forms",7,IF(J297="odors",8,IF(J297="words",9,IF(J297="pictures",10,IF(J297="object pictures",11,IF(J297="faces",12,IF(J297="names",13,IF(J297="idioms",14,IF(J297="grades",15,IF(J297="syllable-digit pairs",16,IF(J297="trigram-word pairs",17,IF(J297="word-digit pairs",18,IF(J297="English-Swahili pairs",19,IF(J297="spatial position",20,IF(J297="word pairs",21,IF(J297="word triads",22,IF(J297="generated words",23,IF(J297="word definition pairs",24,IF(J297="math problems",25,IF(J297="famous faces",26,IF(J297="famous names",27,IF(J297="famous voices",28,IF(J297="television programs",29,IF(J297="race horses",30,IF(J297="new vocabulary",31,IF(J297="sentences",32,IF(J297="concepts",33,IF(J297="ad slides",34,IF(J297="scenes",35,IF(J297="famous scenes",36,IF(J297="poems",37,IF(J297="walk",38,IF(J297="faces and events",39,IF(J297="events and names",40,IF(J297="flashbulb",41,IF(J297="stories",42,IF(J297="course material",43,IF(J297="autobiographical",44,IF(J297="novels",45,IF(J297="public events",46,"99"))))))))))))))))))))))))))))))))))))))))))))))</f>
        <v>10</v>
      </c>
      <c r="L297" s="60">
        <f>IF(J297="syllables",1,IF(J297="trigrams",1,IF(J297="strings",1,IF(J297="visual array",1,IF(J297="characters",1,IF(J297="letters",1,IF(J297="free forms",1,IF(J297="odors",2,IF(J297="words",2,IF(J297="pictures",2,IF(J297="object pictures",2,IF(J297="faces",2,IF(J297="names",2,IF(J297="idioms","2",IF(J297="grades",2,IF(J297="syllable-digit pairs",3,IF(J297="trigram-word pairs",3,IF(J297="word-digit pairs",3,IF(J297="English-Swahili pairs",3,IF(J297="spatial position",3,IF(J297="word pairs",4,IF(J297="word triads",4,IF(J297="generated words",4,IF(J297="word definition pairs",4,IF(J297="math problems",4,IF(J297="famous faces",4,IF(J297="famous names",4,IF(J297="famous voices",4,IF(J297="television programs",4,IF(J297="race horses",4,IF(J297="new vocabulary",4,IF(J297="sentences",5,IF(J297="concepts",5,IF(J297="ad slides",5,IF(J297="scenes",5,IF(J297="famous scenes",5,IF(J297="poems",6,IF(J297="walk",6,IF(J297="faces and events",6,IF(J297="events and names",6,IF(J297="flashbulb",7,IF(J297="stories",7,IF(J297="course material",7,IF(J297="autobiographical",7,IF(J297="novels",7,IF(J297="public events",7,"99"))))))))))))))))))))))))))))))))))))))))))))))</f>
        <v>2</v>
      </c>
      <c r="M297" s="59">
        <v>0</v>
      </c>
      <c r="N297" s="60">
        <v>1</v>
      </c>
      <c r="O297" s="59">
        <v>0</v>
      </c>
      <c r="P297" s="59"/>
      <c r="Q297" s="59" t="s">
        <v>174</v>
      </c>
      <c r="R297" s="60">
        <f>IF(Q297="Free Recall",1,IF(Q297="Cued Recall",2,IF(Q297="Recognition",3,IF(Q297="Multiple Choice",4,IF(Q297="Savings",5,IF(Q297="Stem Completion",6,IF(Q297="Fragment Completion",7,IF(Q297="anagram solution",8,IF(Q297="Matching",9,IF(Q297="Problem Solving",10,"99"))))))))))</f>
        <v>1</v>
      </c>
      <c r="S297" s="59" t="s">
        <v>49</v>
      </c>
      <c r="T297" s="59" t="s">
        <v>261</v>
      </c>
      <c r="U297" s="60">
        <f>IF(T297="within",1,0)</f>
        <v>0</v>
      </c>
      <c r="V297" s="59">
        <v>16</v>
      </c>
      <c r="W297" s="60">
        <f>F297*V297</f>
        <v>2144</v>
      </c>
      <c r="X297" s="60">
        <v>4</v>
      </c>
      <c r="Y297" s="76">
        <f>AV296</f>
        <v>600</v>
      </c>
      <c r="Z297" s="59" t="s">
        <v>97</v>
      </c>
      <c r="AA297" s="59">
        <f>60*60*24*7</f>
        <v>604800</v>
      </c>
      <c r="AB297" s="60" t="str">
        <f>IF(AA297&lt;60,"1",IF(AA297&lt;=43200,"2",IF(AA297&lt;=777600,"3","4")))</f>
        <v>3</v>
      </c>
      <c r="AC297" s="56">
        <f>AVERAGE(AV296:DA296)</f>
        <v>237750</v>
      </c>
      <c r="AD297" s="60" t="str">
        <f>IF(AC297&lt;60,"1",IF(AC297&lt;=43200,"2",IF(AC297&lt;=777600,"3","4")))</f>
        <v>3</v>
      </c>
      <c r="AE297" s="76">
        <f>AA297-Y297</f>
        <v>604200</v>
      </c>
      <c r="AF297" s="80">
        <f>AV297</f>
        <v>0.69</v>
      </c>
      <c r="AG297" s="56">
        <f>((AW297-AV297)+(AX297-AW297)+(AY297-AX297))/3</f>
        <v>-0.14333333333333331</v>
      </c>
      <c r="AH297" s="4"/>
      <c r="AI297" s="56">
        <f>RSQ(AV297:AY297,AV296:AY296)</f>
        <v>0.86192161102328224</v>
      </c>
      <c r="AJ297" s="109">
        <f>SLOPE(AV297:AY297,AV296:AY296)</f>
        <v>-6.3224122305154015E-7</v>
      </c>
      <c r="AK297" s="56">
        <f>INTERCEPT(AV297:AY297,AV296:AY296)</f>
        <v>0.6103153507805037</v>
      </c>
      <c r="AL297" s="56">
        <f>INDEX(LINEST(LN(AV297:AY297),LN(AV296:AY296),TRUE,TRUE),3,1)</f>
        <v>0.80153793003759521</v>
      </c>
      <c r="AM297" s="56">
        <f>INDEX(LINEST(LN(AV297:AY297),LN(AV296:AY296)),1)</f>
        <v>-0.11908045800848456</v>
      </c>
      <c r="AN297" s="56">
        <f>EXP(INDEX(LINEST(LN(AV297:AY297),LN(AV296:AY296)),1,2))</f>
        <v>1.5809367723990559</v>
      </c>
      <c r="AO297" s="82">
        <f>INDEX(LINEST((AV297:AY297),LN(AV296:AY296),TRUE,TRUE),3,1)</f>
        <v>0.90557571205605913</v>
      </c>
      <c r="AP297" s="82">
        <f>INDEX(LINEST((AV297:AY297),LN(AV296:AY296)),1)</f>
        <v>-5.5939269893976289E-2</v>
      </c>
      <c r="AQ297" s="83">
        <f>INDEX(LINEST(LN(AV297:AY297),SQRT(AV296:AY296),TRUE,TRUE),3,1)</f>
        <v>0.99565419548097256</v>
      </c>
      <c r="AR297" s="116">
        <f>INDEX(LINEST(LN(AV297:AY297),SQRT((AV296:AY296))),1)</f>
        <v>-1.2851170896812432E-3</v>
      </c>
      <c r="AS297" s="84">
        <f>INDEX(LINEST(1/(AV297:AY297),1/(SQRT(AV296:AY296)),TRUE,TRUE),3,1)</f>
        <v>0.47574560712497033</v>
      </c>
      <c r="AT297" s="84">
        <f>INDEX(LINEST(1/(AV297:AY297),1/SQRT(AV296:AY296)),1)</f>
        <v>-36.66416704216217</v>
      </c>
      <c r="AU297" s="3"/>
      <c r="AV297" s="11">
        <v>0.69</v>
      </c>
      <c r="AW297" s="11">
        <v>0.5</v>
      </c>
      <c r="AX297" s="11">
        <v>0.39</v>
      </c>
      <c r="AY297" s="11">
        <v>0.26</v>
      </c>
      <c r="AZ297" s="11"/>
      <c r="BA297" s="11"/>
      <c r="BB297" s="11"/>
      <c r="BC297" s="11"/>
      <c r="BD297" s="11"/>
      <c r="BE297" s="11"/>
      <c r="BF297" s="11"/>
      <c r="BG297" s="11"/>
      <c r="BH297" s="11"/>
      <c r="BI297" s="11"/>
      <c r="BJ297" s="11"/>
      <c r="BK297" s="11"/>
      <c r="BL297" s="11"/>
      <c r="BM297" s="11"/>
      <c r="BN297" s="11"/>
      <c r="BO297" s="11"/>
      <c r="BP297" s="11"/>
      <c r="BQ297" s="11"/>
      <c r="BR297" s="11"/>
      <c r="BS297" s="11"/>
      <c r="BT297" s="11"/>
      <c r="BU297" s="11"/>
      <c r="BV297" s="11"/>
      <c r="BW297" s="11"/>
      <c r="BX297" s="11"/>
      <c r="BY297" s="11"/>
      <c r="BZ297" s="11"/>
      <c r="CA297" s="11"/>
      <c r="CB297" s="11"/>
      <c r="CC297" s="11"/>
      <c r="CD297" s="11"/>
      <c r="CE297" s="11"/>
      <c r="CF297" s="11"/>
      <c r="CG297" s="11"/>
      <c r="CH297" s="11"/>
      <c r="CI297" s="11"/>
      <c r="CJ297" s="11"/>
      <c r="CK297" s="11"/>
      <c r="CL297" s="11"/>
      <c r="CM297" s="11"/>
      <c r="CN297" s="11"/>
      <c r="CO297" s="11"/>
      <c r="CP297" s="11"/>
      <c r="CQ297" s="11"/>
      <c r="CR297" s="15"/>
      <c r="CS297" s="15"/>
      <c r="CT297" s="15"/>
      <c r="CU297" s="15"/>
    </row>
    <row r="298" spans="1:99" ht="12" customHeight="1" x14ac:dyDescent="0.2">
      <c r="A298" s="65">
        <v>43900</v>
      </c>
      <c r="B298" s="15"/>
      <c r="C298" s="15"/>
      <c r="D298" s="59"/>
      <c r="E298" s="75"/>
      <c r="F298" s="59"/>
      <c r="G298" s="59"/>
      <c r="H298" s="59"/>
      <c r="I298" s="59"/>
      <c r="J298" s="59"/>
      <c r="M298" s="59"/>
      <c r="N298" s="60"/>
      <c r="O298" s="59"/>
      <c r="P298" s="59"/>
      <c r="Q298" s="59"/>
      <c r="R298" s="60"/>
      <c r="S298" s="59"/>
      <c r="T298" s="59"/>
      <c r="U298" s="60"/>
      <c r="V298" s="59"/>
      <c r="W298" s="60"/>
      <c r="X298" s="60"/>
      <c r="Y298" s="76"/>
      <c r="Z298" s="59"/>
      <c r="AA298" s="59"/>
      <c r="AB298" s="60"/>
      <c r="AC298" s="56"/>
      <c r="AD298" s="60"/>
      <c r="AE298" s="60"/>
      <c r="AF298" s="80"/>
      <c r="AG298" s="56"/>
      <c r="AH298" s="4"/>
      <c r="AI298" s="56"/>
      <c r="AJ298" s="109"/>
      <c r="AK298" s="56"/>
      <c r="AL298" s="56"/>
      <c r="AM298" s="56"/>
      <c r="AN298" s="56"/>
      <c r="AO298" s="82"/>
      <c r="AP298" s="82"/>
      <c r="AQ298" s="83"/>
      <c r="AR298" s="116"/>
      <c r="AS298" s="84"/>
      <c r="AT298" s="84"/>
      <c r="AU298" s="3"/>
      <c r="AV298" s="47">
        <v>600</v>
      </c>
      <c r="AW298" s="47">
        <f>60*60*24</f>
        <v>86400</v>
      </c>
      <c r="AX298" s="47">
        <f>60*60*24*3</f>
        <v>259200</v>
      </c>
      <c r="AY298" s="47">
        <f>60*60*24*7</f>
        <v>604800</v>
      </c>
      <c r="AZ298" s="11"/>
      <c r="BA298" s="11"/>
      <c r="BB298" s="11"/>
      <c r="BC298" s="11"/>
      <c r="BD298" s="11"/>
      <c r="BE298" s="11"/>
      <c r="BF298" s="11"/>
      <c r="BG298" s="11"/>
      <c r="BH298" s="11"/>
      <c r="BI298" s="11"/>
      <c r="BJ298" s="11"/>
      <c r="BK298" s="11"/>
      <c r="BL298" s="11"/>
      <c r="BM298" s="11"/>
      <c r="BN298" s="11"/>
      <c r="BO298" s="11"/>
      <c r="BP298" s="11"/>
      <c r="BQ298" s="11"/>
      <c r="BR298" s="11"/>
      <c r="BS298" s="11"/>
      <c r="BT298" s="11"/>
      <c r="BU298" s="11"/>
      <c r="BV298" s="11"/>
      <c r="BW298" s="11"/>
      <c r="BX298" s="11"/>
      <c r="BY298" s="11"/>
      <c r="BZ298" s="11"/>
      <c r="CA298" s="11"/>
      <c r="CB298" s="11"/>
      <c r="CC298" s="11"/>
      <c r="CD298" s="11"/>
      <c r="CE298" s="11"/>
      <c r="CF298" s="11"/>
      <c r="CG298" s="11"/>
      <c r="CH298" s="11"/>
      <c r="CI298" s="11"/>
      <c r="CJ298" s="11"/>
      <c r="CK298" s="11"/>
      <c r="CL298" s="11"/>
      <c r="CM298" s="11"/>
      <c r="CN298" s="11"/>
      <c r="CO298" s="11"/>
      <c r="CP298" s="11"/>
      <c r="CQ298" s="11"/>
      <c r="CR298" s="15"/>
      <c r="CS298" s="15"/>
      <c r="CT298" s="15"/>
      <c r="CU298" s="15"/>
    </row>
    <row r="299" spans="1:99" ht="12" customHeight="1" x14ac:dyDescent="0.2">
      <c r="A299" s="65">
        <v>43900</v>
      </c>
      <c r="B299" s="15" t="s">
        <v>429</v>
      </c>
      <c r="C299" s="15" t="s">
        <v>383</v>
      </c>
      <c r="D299" s="59">
        <v>2019</v>
      </c>
      <c r="E299" s="75">
        <v>2</v>
      </c>
      <c r="F299" s="59">
        <v>134</v>
      </c>
      <c r="G299" s="59">
        <v>16.8</v>
      </c>
      <c r="H299" s="59" t="s">
        <v>32</v>
      </c>
      <c r="I299" s="59" t="s">
        <v>430</v>
      </c>
      <c r="J299" s="59" t="s">
        <v>313</v>
      </c>
      <c r="K299" s="60">
        <f>IF(J299="syllables",1,IF(J299="trigrams",2,IF(J299="strings",3,IF(J299="visual array",4,IF(J299="characters",5,IF(J299="letters",6,IF(J299="free forms",7,IF(J299="odors",8,IF(J299="words",9,IF(J299="pictures",10,IF(J299="object pictures",11,IF(J299="faces",12,IF(J299="names",13,IF(J299="idioms",14,IF(J299="grades",15,IF(J299="syllable-digit pairs",16,IF(J299="trigram-word pairs",17,IF(J299="word-digit pairs",18,IF(J299="English-Swahili pairs",19,IF(J299="spatial position",20,IF(J299="word pairs",21,IF(J299="word triads",22,IF(J299="generated words",23,IF(J299="word definition pairs",24,IF(J299="math problems",25,IF(J299="famous faces",26,IF(J299="famous names",27,IF(J299="famous voices",28,IF(J299="television programs",29,IF(J299="race horses",30,IF(J299="new vocabulary",31,IF(J299="sentences",32,IF(J299="concepts",33,IF(J299="ad slides",34,IF(J299="scenes",35,IF(J299="famous scenes",36,IF(J299="poems",37,IF(J299="walk",38,IF(J299="faces and events",39,IF(J299="events and names",40,IF(J299="flashbulb",41,IF(J299="stories",42,IF(J299="course material",43,IF(J299="autobiographical",44,IF(J299="novels",45,IF(J299="public events",46,"99"))))))))))))))))))))))))))))))))))))))))))))))</f>
        <v>10</v>
      </c>
      <c r="L299" s="60">
        <f>IF(J299="syllables",1,IF(J299="trigrams",1,IF(J299="strings",1,IF(J299="visual array",1,IF(J299="characters",1,IF(J299="letters",1,IF(J299="free forms",1,IF(J299="odors",2,IF(J299="words",2,IF(J299="pictures",2,IF(J299="object pictures",2,IF(J299="faces",2,IF(J299="names",2,IF(J299="idioms","2",IF(J299="grades",2,IF(J299="syllable-digit pairs",3,IF(J299="trigram-word pairs",3,IF(J299="word-digit pairs",3,IF(J299="English-Swahili pairs",3,IF(J299="spatial position",3,IF(J299="word pairs",4,IF(J299="word triads",4,IF(J299="generated words",4,IF(J299="word definition pairs",4,IF(J299="math problems",4,IF(J299="famous faces",4,IF(J299="famous names",4,IF(J299="famous voices",4,IF(J299="television programs",4,IF(J299="race horses",4,IF(J299="new vocabulary",4,IF(J299="sentences",5,IF(J299="concepts",5,IF(J299="ad slides",5,IF(J299="scenes",5,IF(J299="famous scenes",5,IF(J299="poems",6,IF(J299="walk",6,IF(J299="faces and events",6,IF(J299="events and names",6,IF(J299="flashbulb",7,IF(J299="stories",7,IF(J299="course material",7,IF(J299="autobiographical",7,IF(J299="novels",7,IF(J299="public events",7,"99"))))))))))))))))))))))))))))))))))))))))))))))</f>
        <v>2</v>
      </c>
      <c r="M299" s="59">
        <v>0</v>
      </c>
      <c r="N299" s="60">
        <v>1</v>
      </c>
      <c r="O299" s="59">
        <v>0</v>
      </c>
      <c r="P299" s="59"/>
      <c r="Q299" s="59" t="s">
        <v>174</v>
      </c>
      <c r="R299" s="60">
        <f>IF(Q299="Free Recall",1,IF(Q299="Cued Recall",2,IF(Q299="Recognition",3,IF(Q299="Multiple Choice",4,IF(Q299="Savings",5,IF(Q299="Stem Completion",6,IF(Q299="Fragment Completion",7,IF(Q299="anagram solution",8,IF(Q299="Matching",9,IF(Q299="Problem Solving",10,"99"))))))))))</f>
        <v>1</v>
      </c>
      <c r="S299" s="59" t="s">
        <v>49</v>
      </c>
      <c r="T299" s="59" t="s">
        <v>261</v>
      </c>
      <c r="U299" s="60">
        <f>IF(T299="within",1,0)</f>
        <v>0</v>
      </c>
      <c r="V299" s="59">
        <v>16</v>
      </c>
      <c r="W299" s="60">
        <f>F299*V299</f>
        <v>2144</v>
      </c>
      <c r="X299" s="60">
        <v>4</v>
      </c>
      <c r="Y299" s="76">
        <f>AV298</f>
        <v>600</v>
      </c>
      <c r="Z299" s="59" t="s">
        <v>97</v>
      </c>
      <c r="AA299" s="59">
        <f>60*60*24*7</f>
        <v>604800</v>
      </c>
      <c r="AB299" s="60" t="str">
        <f>IF(AA299&lt;60,"1",IF(AA299&lt;=43200,"2",IF(AA299&lt;=777600,"3","4")))</f>
        <v>3</v>
      </c>
      <c r="AC299" s="56">
        <f>AVERAGE(AV298:DA298)</f>
        <v>237750</v>
      </c>
      <c r="AD299" s="60" t="str">
        <f>IF(AC299&lt;60,"1",IF(AC299&lt;=43200,"2",IF(AC299&lt;=777600,"3","4")))</f>
        <v>3</v>
      </c>
      <c r="AE299" s="76">
        <f>AA299-Y299</f>
        <v>604200</v>
      </c>
      <c r="AF299" s="80">
        <f>AV299</f>
        <v>0.42</v>
      </c>
      <c r="AG299" s="56">
        <f>((AW299-AV299)+(AX299-AW299)+(AY299-AX299))/3</f>
        <v>-4.9999999999999989E-2</v>
      </c>
      <c r="AH299" s="4"/>
      <c r="AI299" s="56">
        <f>RSQ(AV299:AY299,AV298:AY298)</f>
        <v>0.33758938624836254</v>
      </c>
      <c r="AJ299" s="109">
        <f>SLOPE(AV299:AY299,AV298:AY298)</f>
        <v>-1.6696935022762501E-7</v>
      </c>
      <c r="AK299" s="56">
        <f>INTERCEPT(AV299:AY299,AV298:AY298)</f>
        <v>0.34469696301661784</v>
      </c>
      <c r="AL299" s="56">
        <f>INDEX(LINEST(LN(AV299:AY299),LN(AV298:AY298),TRUE,TRUE),3,1)</f>
        <v>0.93100593657617403</v>
      </c>
      <c r="AM299" s="56">
        <f>INDEX(LINEST(LN(AV299:AY299),LN(AV298:AY298)),1)</f>
        <v>-7.1014336815257609E-2</v>
      </c>
      <c r="AN299" s="56">
        <f>EXP(INDEX(LINEST(LN(AV299:AY299),LN(AV298:AY298)),1,2))</f>
        <v>0.64707743100837178</v>
      </c>
      <c r="AO299" s="82">
        <f>INDEX(LINEST((AV299:AY299),LN(AV298:AY298),TRUE,TRUE),3,1)</f>
        <v>0.93256595921018259</v>
      </c>
      <c r="AP299" s="82">
        <f>INDEX(LINEST((AV299:AY299),LN(AV298:AY298)),1)</f>
        <v>-2.3954528723934446E-2</v>
      </c>
      <c r="AQ299" s="83">
        <f>INDEX(LINEST(LN(AV299:AY299),SQRT(AV298:AY298),TRUE,TRUE),3,1)</f>
        <v>0.60851137945304046</v>
      </c>
      <c r="AR299" s="116">
        <f>INDEX(LINEST(LN(AV299:AY299),SQRT((AV298:AY298))),1)</f>
        <v>-5.559223575585633E-4</v>
      </c>
      <c r="AS299" s="84">
        <f>INDEX(LINEST(1/(AV299:AY299),1/(SQRT(AV298:AY298)),TRUE,TRUE),3,1)</f>
        <v>0.99021749487552757</v>
      </c>
      <c r="AT299" s="84">
        <f>INDEX(LINEST(1/(AV299:AY299),1/SQRT(AV298:AY298)),1)</f>
        <v>-35.449659281439388</v>
      </c>
      <c r="AU299" s="3"/>
      <c r="AV299" s="11">
        <v>0.42</v>
      </c>
      <c r="AW299" s="11">
        <v>0.27</v>
      </c>
      <c r="AX299" s="11">
        <v>0.26</v>
      </c>
      <c r="AY299" s="11">
        <v>0.27</v>
      </c>
      <c r="AZ299" s="11"/>
      <c r="BA299" s="11"/>
      <c r="BB299" s="11"/>
      <c r="BC299" s="11"/>
      <c r="BD299" s="11"/>
      <c r="BE299" s="11"/>
      <c r="BF299" s="11"/>
      <c r="BG299" s="11"/>
      <c r="BH299" s="11"/>
      <c r="BI299" s="11"/>
      <c r="BJ299" s="11"/>
      <c r="BK299" s="11"/>
      <c r="BL299" s="11"/>
      <c r="BM299" s="11"/>
      <c r="BN299" s="11"/>
      <c r="BO299" s="11"/>
      <c r="BP299" s="11"/>
      <c r="BQ299" s="11"/>
      <c r="BR299" s="11"/>
      <c r="BS299" s="11"/>
      <c r="BT299" s="11"/>
      <c r="BU299" s="11"/>
      <c r="BV299" s="11"/>
      <c r="BW299" s="11"/>
      <c r="BX299" s="11"/>
      <c r="BY299" s="11"/>
      <c r="BZ299" s="11"/>
      <c r="CA299" s="11"/>
      <c r="CB299" s="11"/>
      <c r="CC299" s="11"/>
      <c r="CD299" s="11"/>
      <c r="CE299" s="11"/>
      <c r="CF299" s="11"/>
      <c r="CG299" s="11"/>
      <c r="CH299" s="11"/>
      <c r="CI299" s="11"/>
      <c r="CJ299" s="11"/>
      <c r="CK299" s="11"/>
      <c r="CL299" s="11"/>
      <c r="CM299" s="11"/>
      <c r="CN299" s="11"/>
      <c r="CO299" s="11"/>
      <c r="CP299" s="11"/>
      <c r="CQ299" s="11"/>
      <c r="CR299" s="15"/>
      <c r="CS299" s="15"/>
      <c r="CT299" s="15"/>
      <c r="CU299" s="15"/>
    </row>
    <row r="300" spans="1:99" s="13" customFormat="1" ht="12" customHeight="1" x14ac:dyDescent="0.2">
      <c r="A300" s="65">
        <v>43509</v>
      </c>
      <c r="B300" s="1"/>
      <c r="C300" s="1"/>
      <c r="D300" s="60"/>
      <c r="E300" s="76"/>
      <c r="F300" s="60"/>
      <c r="G300" s="60"/>
      <c r="H300" s="60"/>
      <c r="I300" s="60"/>
      <c r="J300" s="60"/>
      <c r="K300" s="64"/>
      <c r="L300" s="64"/>
      <c r="M300" s="60"/>
      <c r="N300" s="60"/>
      <c r="O300" s="60"/>
      <c r="P300" s="60"/>
      <c r="Q300" s="60"/>
      <c r="R300" s="60"/>
      <c r="S300" s="60"/>
      <c r="T300" s="60"/>
      <c r="U300" s="60"/>
      <c r="V300" s="60"/>
      <c r="W300" s="60"/>
      <c r="X300" s="60"/>
      <c r="Y300" s="76"/>
      <c r="Z300" s="60"/>
      <c r="AA300" s="60"/>
      <c r="AB300" s="60"/>
      <c r="AC300" s="60"/>
      <c r="AD300" s="60"/>
      <c r="AE300" s="60"/>
      <c r="AF300" s="80"/>
      <c r="AG300" s="56"/>
      <c r="AH300" s="4"/>
      <c r="AI300" s="56"/>
      <c r="AJ300" s="109"/>
      <c r="AK300" s="56"/>
      <c r="AL300" s="56"/>
      <c r="AM300" s="56"/>
      <c r="AN300" s="56"/>
      <c r="AO300" s="56"/>
      <c r="AP300" s="56"/>
      <c r="AQ300" s="56"/>
      <c r="AR300" s="109"/>
      <c r="AS300" s="56"/>
      <c r="AT300" s="56"/>
      <c r="AU300" s="4"/>
      <c r="AV300" s="25">
        <v>576</v>
      </c>
      <c r="AW300" s="25">
        <f>24*3600*2</f>
        <v>172800</v>
      </c>
      <c r="AX300" s="25">
        <f>24*3600*7</f>
        <v>604800</v>
      </c>
      <c r="AY300" s="53" t="s">
        <v>537</v>
      </c>
      <c r="AZ300" s="53"/>
      <c r="BA300" s="53"/>
      <c r="BB300" s="53"/>
      <c r="BC300" s="53"/>
      <c r="BD300" s="53"/>
      <c r="BE300" s="53"/>
      <c r="BF300" s="53"/>
      <c r="BG300" s="53"/>
      <c r="BH300" s="53"/>
      <c r="BI300" s="53"/>
      <c r="BJ300" s="53"/>
      <c r="BK300" s="53"/>
      <c r="BL300" s="53"/>
      <c r="BM300" s="53"/>
      <c r="BN300" s="53"/>
      <c r="BO300" s="53"/>
      <c r="BP300" s="53"/>
      <c r="BQ300" s="53"/>
      <c r="BR300" s="53"/>
      <c r="BS300" s="53"/>
      <c r="BT300" s="53"/>
      <c r="BU300" s="53"/>
      <c r="BV300" s="53"/>
      <c r="BW300" s="53"/>
      <c r="BX300" s="53"/>
      <c r="BY300" s="53"/>
      <c r="BZ300" s="53"/>
      <c r="CA300" s="53"/>
      <c r="CB300" s="53"/>
      <c r="CC300" s="53"/>
      <c r="CD300" s="53"/>
      <c r="CE300" s="53"/>
      <c r="CF300" s="53"/>
      <c r="CG300" s="53"/>
      <c r="CH300" s="53"/>
      <c r="CI300" s="53"/>
      <c r="CJ300" s="53"/>
      <c r="CK300" s="53"/>
      <c r="CL300" s="53"/>
      <c r="CM300" s="53"/>
      <c r="CN300" s="53"/>
      <c r="CO300" s="53"/>
      <c r="CP300" s="53"/>
      <c r="CQ300" s="53"/>
      <c r="CR300" s="1"/>
      <c r="CS300" s="1"/>
      <c r="CT300" s="1"/>
      <c r="CU300" s="1"/>
    </row>
    <row r="301" spans="1:99" s="13" customFormat="1" ht="12" customHeight="1" x14ac:dyDescent="0.2">
      <c r="A301" s="65">
        <v>43509</v>
      </c>
      <c r="B301" s="1" t="s">
        <v>137</v>
      </c>
      <c r="C301" s="1" t="s">
        <v>74</v>
      </c>
      <c r="D301" s="60">
        <v>2001</v>
      </c>
      <c r="E301" s="76">
        <v>1</v>
      </c>
      <c r="F301" s="60">
        <v>99</v>
      </c>
      <c r="G301" s="60">
        <v>33</v>
      </c>
      <c r="H301" s="60" t="s">
        <v>50</v>
      </c>
      <c r="I301" s="60" t="s">
        <v>833</v>
      </c>
      <c r="J301" s="60" t="s">
        <v>16</v>
      </c>
      <c r="K301" s="60">
        <f>IF(J301="syllables",1,IF(J301="trigrams",2,IF(J301="strings",3,IF(J301="visual array",4,IF(J301="characters",5,IF(J301="letters",6,IF(J301="free forms",7,IF(J301="odors",8,IF(J301="words",9,IF(J301="pictures",10,IF(J301="object pictures",11,IF(J301="faces",12,IF(J301="names",13,IF(J301="idioms",14,IF(J301="grades",15,IF(J301="syllable-digit pairs",16,IF(J301="trigram-word pairs",17,IF(J301="word-digit pairs",18,IF(J301="English-Swahili pairs",19,IF(J301="spatial position",20,IF(J301="word pairs",21,IF(J301="word triads",22,IF(J301="generated words",23,IF(J301="word definition pairs",24,IF(J301="math problems",25,IF(J301="famous faces",26,IF(J301="famous names",27,IF(J301="famous voices",28,IF(J301="television programs",29,IF(J301="race horses",30,IF(J301="new vocabulary",31,IF(J301="sentences",32,IF(J301="concepts",33,IF(J301="ad slides",34,IF(J301="scenes",35,IF(J301="famous scenes",36,IF(J301="poems",37,IF(J301="walk",38,IF(J301="faces and events",39,IF(J301="events and names",40,IF(J301="flashbulb",41,IF(J301="stories",42,IF(J301="course material",43,IF(J301="autobiographical",44,IF(J301="novels",45,IF(J301="public events",46,"99"))))))))))))))))))))))))))))))))))))))))))))))</f>
        <v>9</v>
      </c>
      <c r="L301" s="60">
        <f>IF(J301="syllables",1,IF(J301="trigrams",1,IF(J301="strings",1,IF(J301="visual array",1,IF(J301="characters",1,IF(J301="letters",1,IF(J301="free forms",1,IF(J301="odors",2,IF(J301="words",2,IF(J301="pictures",2,IF(J301="object pictures",2,IF(J301="faces",2,IF(J301="names",2,IF(J301="idioms","2",IF(J301="grades",2,IF(J301="syllable-digit pairs",3,IF(J301="trigram-word pairs",3,IF(J301="word-digit pairs",3,IF(J301="English-Swahili pairs",3,IF(J301="spatial position",3,IF(J301="word pairs",4,IF(J301="word triads",4,IF(J301="generated words",4,IF(J301="word definition pairs",4,IF(J301="math problems",4,IF(J301="famous faces",4,IF(J301="famous names",4,IF(J301="famous voices",4,IF(J301="television programs",4,IF(J301="race horses",4,IF(J301="new vocabulary",4,IF(J301="sentences",5,IF(J301="concepts",5,IF(J301="ad slides",5,IF(J301="scenes",5,IF(J301="famous scenes",5,IF(J301="poems",6,IF(J301="walk",6,IF(J301="faces and events",6,IF(J301="events and names",6,IF(J301="flashbulb",7,IF(J301="stories",7,IF(J301="course material",7,IF(J301="autobiographical",7,IF(J301="novels",7,IF(J301="public events",7,"99"))))))))))))))))))))))))))))))))))))))))))))))</f>
        <v>2</v>
      </c>
      <c r="M301" s="60">
        <v>0</v>
      </c>
      <c r="N301" s="60">
        <v>1</v>
      </c>
      <c r="O301" s="60">
        <v>0</v>
      </c>
      <c r="P301" s="60"/>
      <c r="Q301" s="60" t="s">
        <v>174</v>
      </c>
      <c r="R301" s="60">
        <f>IF(Q301="Free Recall",1,IF(Q301="Cued Recall",2,IF(Q301="Recognition",3,IF(Q301="Multiple Choice",4,IF(Q301="Savings",5,IF(Q301="Stem Completion",6,IF(Q301="Fragment Completion",7,IF(Q301="anagram solution",8,IF(Q301="Matching",9,IF(Q301="Problem Solving",10,"99"))))))))))</f>
        <v>1</v>
      </c>
      <c r="S301" s="60" t="s">
        <v>49</v>
      </c>
      <c r="T301" s="60" t="s">
        <v>261</v>
      </c>
      <c r="U301" s="60">
        <f>IF(T301="within",1,0)</f>
        <v>0</v>
      </c>
      <c r="V301" s="60">
        <v>288</v>
      </c>
      <c r="W301" s="60">
        <f>F301*V301</f>
        <v>28512</v>
      </c>
      <c r="X301" s="60">
        <v>3</v>
      </c>
      <c r="Y301" s="76">
        <f>AV300</f>
        <v>576</v>
      </c>
      <c r="Z301" s="60" t="s">
        <v>97</v>
      </c>
      <c r="AA301" s="60">
        <v>604800</v>
      </c>
      <c r="AB301" s="60" t="str">
        <f>IF(AA301&lt;60,"1",IF(AA301&lt;=43200,"2",IF(AA301&lt;=777600,"3","4")))</f>
        <v>3</v>
      </c>
      <c r="AC301" s="56">
        <f>AVERAGE(AV300:DA300)</f>
        <v>259392</v>
      </c>
      <c r="AD301" s="60" t="str">
        <f>IF(AC301&lt;60,"1",IF(AC301&lt;=43200,"2",IF(AC301&lt;=777600,"3","4")))</f>
        <v>3</v>
      </c>
      <c r="AE301" s="76">
        <f>AA301-Y301</f>
        <v>604224</v>
      </c>
      <c r="AF301" s="80">
        <f>AV301</f>
        <v>0.36</v>
      </c>
      <c r="AG301" s="56">
        <f>((AW301-AV301)+(AX301-AW301))/2</f>
        <v>-0.13500000000000001</v>
      </c>
      <c r="AH301" s="4"/>
      <c r="AI301" s="56">
        <f>RSQ(AV301:AX301,AV300:AX300)</f>
        <v>0.61888018911733522</v>
      </c>
      <c r="AJ301" s="109">
        <f>SLOPE(AV301:AX301,AV300:AX300)</f>
        <v>-3.7400207460433953E-7</v>
      </c>
      <c r="AK301" s="56">
        <f>INTERCEPT(AV301:AX301,AV300:AX300)</f>
        <v>0.28701314613576878</v>
      </c>
      <c r="AL301" s="56">
        <f>INDEX(LINEST(LN(AV301:AX301),LN(AV300:AX300),TRUE,TRUE),3,1)</f>
        <v>0.99920736135109056</v>
      </c>
      <c r="AM301" s="56">
        <f>INDEX(LINEST(LN(AV301:AX301),LN(AV300:AX300)),1)</f>
        <v>-0.19722711496947865</v>
      </c>
      <c r="AN301" s="56">
        <f>EXP(INDEX(LINEST(LN(AV301:AX301),LN(AV300:AX300)),1,2))</f>
        <v>1.266127836714759</v>
      </c>
      <c r="AO301" s="82">
        <f>INDEX(LINEST((AV301:AX301),LN(AV300:AX300),TRUE,TRUE),3,1)</f>
        <v>0.99535522140511312</v>
      </c>
      <c r="AP301" s="82">
        <f>INDEX(LINEST((AV301:AX301),LN(AV300:AX300)),1)</f>
        <v>-3.9817142687235338E-2</v>
      </c>
      <c r="AQ301" s="83">
        <f>INDEX(LINEST(LN(AV301:AX301),SQRT(AV300:AX300),TRUE,TRUE),3,1)</f>
        <v>0.91099097843048915</v>
      </c>
      <c r="AR301" s="116">
        <f>INDEX(LINEST(LN(AV301:AX301),SQRT((AV300:AX300))),1)</f>
        <v>-1.8525179000327874E-3</v>
      </c>
      <c r="AS301" s="84">
        <f>INDEX(LINEST(1/(AV301:AX301),1/(SQRT(AV300:AX300)),TRUE,TRUE),3,1)</f>
        <v>0.90744681419542239</v>
      </c>
      <c r="AT301" s="84">
        <f>INDEX(LINEST(1/(AV301:AX301),1/SQRT(AV300:AX300)),1)</f>
        <v>-175.75878677378617</v>
      </c>
      <c r="AU301" s="3"/>
      <c r="AV301" s="53">
        <v>0.36</v>
      </c>
      <c r="AW301" s="53">
        <v>0.12</v>
      </c>
      <c r="AX301" s="53">
        <v>0.09</v>
      </c>
      <c r="AY301" s="53"/>
      <c r="AZ301" s="53"/>
      <c r="BA301" s="53"/>
      <c r="BB301" s="53"/>
      <c r="BC301" s="53"/>
      <c r="BD301" s="53"/>
      <c r="BE301" s="53"/>
      <c r="BF301" s="53"/>
      <c r="BG301" s="53"/>
      <c r="BH301" s="53"/>
      <c r="BI301" s="53"/>
      <c r="BJ301" s="53"/>
      <c r="BK301" s="53"/>
      <c r="BL301" s="53"/>
      <c r="BM301" s="53"/>
      <c r="BN301" s="53"/>
      <c r="BO301" s="53"/>
      <c r="BP301" s="53"/>
      <c r="BQ301" s="53"/>
      <c r="BR301" s="53"/>
      <c r="BS301" s="53"/>
      <c r="BT301" s="53"/>
      <c r="BU301" s="53"/>
      <c r="BV301" s="53"/>
      <c r="BW301" s="53"/>
      <c r="BX301" s="53"/>
      <c r="BY301" s="53"/>
      <c r="BZ301" s="53"/>
      <c r="CA301" s="53"/>
      <c r="CB301" s="53"/>
      <c r="CC301" s="53"/>
      <c r="CD301" s="53"/>
      <c r="CE301" s="53"/>
      <c r="CF301" s="53"/>
      <c r="CG301" s="53"/>
      <c r="CH301" s="53"/>
      <c r="CI301" s="53"/>
      <c r="CJ301" s="53"/>
      <c r="CK301" s="53"/>
      <c r="CL301" s="53"/>
      <c r="CM301" s="53"/>
      <c r="CN301" s="53"/>
      <c r="CO301" s="53"/>
      <c r="CP301" s="53"/>
      <c r="CQ301" s="53"/>
      <c r="CR301" s="1"/>
      <c r="CS301" s="1"/>
      <c r="CT301" s="1"/>
      <c r="CU301" s="1"/>
    </row>
    <row r="302" spans="1:99" s="13" customFormat="1" ht="12" customHeight="1" x14ac:dyDescent="0.2">
      <c r="A302" s="65">
        <v>43509</v>
      </c>
      <c r="B302" s="1"/>
      <c r="C302" s="1"/>
      <c r="D302" s="60"/>
      <c r="E302" s="76"/>
      <c r="F302" s="60"/>
      <c r="G302" s="60"/>
      <c r="H302" s="60"/>
      <c r="I302" s="60"/>
      <c r="J302" s="60"/>
      <c r="K302" s="64"/>
      <c r="L302" s="64"/>
      <c r="M302" s="60"/>
      <c r="N302" s="60"/>
      <c r="O302" s="60"/>
      <c r="P302" s="60"/>
      <c r="Q302" s="60"/>
      <c r="R302" s="60"/>
      <c r="S302" s="60"/>
      <c r="T302" s="60"/>
      <c r="U302" s="60"/>
      <c r="V302" s="60"/>
      <c r="W302" s="60"/>
      <c r="X302" s="60"/>
      <c r="Y302" s="76"/>
      <c r="Z302" s="60"/>
      <c r="AA302" s="60"/>
      <c r="AB302" s="60"/>
      <c r="AC302" s="60"/>
      <c r="AD302" s="60"/>
      <c r="AE302" s="60"/>
      <c r="AF302" s="80"/>
      <c r="AG302" s="56"/>
      <c r="AH302" s="4"/>
      <c r="AI302" s="56"/>
      <c r="AJ302" s="109"/>
      <c r="AK302" s="56"/>
      <c r="AL302" s="56"/>
      <c r="AM302" s="56"/>
      <c r="AN302" s="56"/>
      <c r="AO302" s="56"/>
      <c r="AP302" s="56"/>
      <c r="AQ302" s="82"/>
      <c r="AR302" s="115"/>
      <c r="AS302" s="82"/>
      <c r="AT302" s="82"/>
      <c r="AU302" s="4"/>
      <c r="AV302" s="25">
        <v>576</v>
      </c>
      <c r="AW302" s="25">
        <f>24*3600*2</f>
        <v>172800</v>
      </c>
      <c r="AX302" s="25">
        <f>24*3600*7</f>
        <v>604800</v>
      </c>
      <c r="AY302" s="53"/>
      <c r="AZ302" s="53"/>
      <c r="BA302" s="53"/>
      <c r="BB302" s="53"/>
      <c r="BC302" s="53"/>
      <c r="BD302" s="53"/>
      <c r="BE302" s="53"/>
      <c r="BF302" s="53"/>
      <c r="BG302" s="53"/>
      <c r="BH302" s="53"/>
      <c r="BI302" s="53"/>
      <c r="BJ302" s="53"/>
      <c r="BK302" s="53"/>
      <c r="BL302" s="53"/>
      <c r="BM302" s="53"/>
      <c r="BN302" s="53"/>
      <c r="BO302" s="53"/>
      <c r="BP302" s="53"/>
      <c r="BQ302" s="53"/>
      <c r="BR302" s="53"/>
      <c r="BS302" s="53"/>
      <c r="BT302" s="53"/>
      <c r="BU302" s="53"/>
      <c r="BV302" s="53"/>
      <c r="BW302" s="53"/>
      <c r="BX302" s="53"/>
      <c r="BY302" s="53"/>
      <c r="BZ302" s="53"/>
      <c r="CA302" s="53"/>
      <c r="CB302" s="53"/>
      <c r="CC302" s="53"/>
      <c r="CD302" s="53"/>
      <c r="CE302" s="53"/>
      <c r="CF302" s="53"/>
      <c r="CG302" s="53"/>
      <c r="CH302" s="53"/>
      <c r="CI302" s="53"/>
      <c r="CJ302" s="53"/>
      <c r="CK302" s="53"/>
      <c r="CL302" s="53"/>
      <c r="CM302" s="53"/>
      <c r="CN302" s="53"/>
      <c r="CO302" s="53"/>
      <c r="CP302" s="53"/>
      <c r="CQ302" s="53"/>
      <c r="CR302" s="1"/>
      <c r="CS302" s="1"/>
      <c r="CT302" s="1"/>
      <c r="CU302" s="1"/>
    </row>
    <row r="303" spans="1:99" s="13" customFormat="1" ht="12" customHeight="1" x14ac:dyDescent="0.2">
      <c r="A303" s="65">
        <v>43509</v>
      </c>
      <c r="B303" s="1" t="s">
        <v>137</v>
      </c>
      <c r="C303" s="1" t="s">
        <v>74</v>
      </c>
      <c r="D303" s="60">
        <v>2001</v>
      </c>
      <c r="E303" s="76">
        <v>1</v>
      </c>
      <c r="F303" s="60">
        <v>99</v>
      </c>
      <c r="G303" s="60">
        <v>33</v>
      </c>
      <c r="H303" s="60" t="s">
        <v>50</v>
      </c>
      <c r="I303" s="60" t="s">
        <v>834</v>
      </c>
      <c r="J303" s="60" t="s">
        <v>16</v>
      </c>
      <c r="K303" s="60">
        <f>IF(J303="syllables",1,IF(J303="trigrams",2,IF(J303="strings",3,IF(J303="visual array",4,IF(J303="characters",5,IF(J303="letters",6,IF(J303="free forms",7,IF(J303="odors",8,IF(J303="words",9,IF(J303="pictures",10,IF(J303="object pictures",11,IF(J303="faces",12,IF(J303="names",13,IF(J303="idioms",14,IF(J303="grades",15,IF(J303="syllable-digit pairs",16,IF(J303="trigram-word pairs",17,IF(J303="word-digit pairs",18,IF(J303="English-Swahili pairs",19,IF(J303="spatial position",20,IF(J303="word pairs",21,IF(J303="word triads",22,IF(J303="generated words",23,IF(J303="word definition pairs",24,IF(J303="math problems",25,IF(J303="famous faces",26,IF(J303="famous names",27,IF(J303="famous voices",28,IF(J303="television programs",29,IF(J303="race horses",30,IF(J303="new vocabulary",31,IF(J303="sentences",32,IF(J303="concepts",33,IF(J303="ad slides",34,IF(J303="scenes",35,IF(J303="famous scenes",36,IF(J303="poems",37,IF(J303="walk",38,IF(J303="faces and events",39,IF(J303="events and names",40,IF(J303="flashbulb",41,IF(J303="stories",42,IF(J303="course material",43,IF(J303="autobiographical",44,IF(J303="novels",45,IF(J303="public events",46,"99"))))))))))))))))))))))))))))))))))))))))))))))</f>
        <v>9</v>
      </c>
      <c r="L303" s="60">
        <f>IF(J303="syllables",1,IF(J303="trigrams",1,IF(J303="strings",1,IF(J303="visual array",1,IF(J303="characters",1,IF(J303="letters",1,IF(J303="free forms",1,IF(J303="odors",2,IF(J303="words",2,IF(J303="pictures",2,IF(J303="object pictures",2,IF(J303="faces",2,IF(J303="names",2,IF(J303="idioms","2",IF(J303="grades",2,IF(J303="syllable-digit pairs",3,IF(J303="trigram-word pairs",3,IF(J303="word-digit pairs",3,IF(J303="English-Swahili pairs",3,IF(J303="spatial position",3,IF(J303="word pairs",4,IF(J303="word triads",4,IF(J303="generated words",4,IF(J303="word definition pairs",4,IF(J303="math problems",4,IF(J303="famous faces",4,IF(J303="famous names",4,IF(J303="famous voices",4,IF(J303="television programs",4,IF(J303="race horses",4,IF(J303="new vocabulary",4,IF(J303="sentences",5,IF(J303="concepts",5,IF(J303="ad slides",5,IF(J303="scenes",5,IF(J303="famous scenes",5,IF(J303="poems",6,IF(J303="walk",6,IF(J303="faces and events",6,IF(J303="events and names",6,IF(J303="flashbulb",7,IF(J303="stories",7,IF(J303="course material",7,IF(J303="autobiographical",7,IF(J303="novels",7,IF(J303="public events",7,"99"))))))))))))))))))))))))))))))))))))))))))))))</f>
        <v>2</v>
      </c>
      <c r="M303" s="60">
        <v>0</v>
      </c>
      <c r="N303" s="60">
        <v>1</v>
      </c>
      <c r="O303" s="60">
        <v>0</v>
      </c>
      <c r="P303" s="60"/>
      <c r="Q303" s="60" t="s">
        <v>174</v>
      </c>
      <c r="R303" s="60">
        <f>IF(Q303="Free Recall",1,IF(Q303="Cued Recall",2,IF(Q303="Recognition",3,IF(Q303="Multiple Choice",4,IF(Q303="Savings",5,IF(Q303="Stem Completion",6,IF(Q303="Fragment Completion",7,IF(Q303="anagram solution",8,IF(Q303="Matching",9,IF(Q303="Problem Solving",10,"99"))))))))))</f>
        <v>1</v>
      </c>
      <c r="S303" s="60" t="s">
        <v>49</v>
      </c>
      <c r="T303" s="60" t="s">
        <v>261</v>
      </c>
      <c r="U303" s="60">
        <f>IF(T303="within",1,0)</f>
        <v>0</v>
      </c>
      <c r="V303" s="60">
        <v>288</v>
      </c>
      <c r="W303" s="60">
        <f>F303*V303</f>
        <v>28512</v>
      </c>
      <c r="X303" s="60">
        <v>3</v>
      </c>
      <c r="Y303" s="76">
        <f>AV302</f>
        <v>576</v>
      </c>
      <c r="Z303" s="60" t="s">
        <v>97</v>
      </c>
      <c r="AA303" s="60">
        <v>604800</v>
      </c>
      <c r="AB303" s="60" t="str">
        <f>IF(AA303&lt;60,"1",IF(AA303&lt;=43200,"2",IF(AA303&lt;=777600,"3","4")))</f>
        <v>3</v>
      </c>
      <c r="AC303" s="56">
        <f>AVERAGE(AV302:DA302)</f>
        <v>259392</v>
      </c>
      <c r="AD303" s="60" t="str">
        <f>IF(AC303&lt;60,"1",IF(AC303&lt;=43200,"2",IF(AC303&lt;=777600,"3","4")))</f>
        <v>3</v>
      </c>
      <c r="AE303" s="76">
        <f>AA303-Y303</f>
        <v>604224</v>
      </c>
      <c r="AF303" s="80">
        <f>AV303</f>
        <v>0.09</v>
      </c>
      <c r="AG303" s="56">
        <f>((AW303-AV303)+(AX303-AW303))/2</f>
        <v>-0.03</v>
      </c>
      <c r="AH303" s="4"/>
      <c r="AI303" s="56">
        <f>RSQ(AV303:AX303,AV302:AX302)</f>
        <v>0.51849053416591417</v>
      </c>
      <c r="AJ303" s="109">
        <f>SLOPE(AV303:AX303,AV302:AX302)</f>
        <v>-8.0132686412882405E-8</v>
      </c>
      <c r="AK303" s="56">
        <f>INTERCEPT(AV303:AX303,AV302:AX302)</f>
        <v>7.0785777794010393E-2</v>
      </c>
      <c r="AL303" s="56">
        <f>INDEX(LINEST(LN(AV303:AX303),LN(AV302:AX302),TRUE,TRUE),3,1)</f>
        <v>0.97146382286411015</v>
      </c>
      <c r="AM303" s="56">
        <f>INDEX(LINEST(LN(AV303:AX303),LN(AV302:AX302)),1)</f>
        <v>-0.16859943924419532</v>
      </c>
      <c r="AN303" s="56">
        <f>EXP(INDEX(LINEST(LN(AV303:AX303),LN(AV302:AX302)),1,2))</f>
        <v>0.25737797589916278</v>
      </c>
      <c r="AO303" s="82">
        <f>INDEX(LINEST((AV303:AX303),LN(AV302:AX302),TRUE,TRUE),3,1)</f>
        <v>0.97146382286411004</v>
      </c>
      <c r="AP303" s="82">
        <f>INDEX(LINEST((AV303:AX303),LN(AV302:AX302)),1)</f>
        <v>-9.2079493912412928E-3</v>
      </c>
      <c r="AQ303" s="83">
        <f>INDEX(LINEST(LN(AV303:AX303),SQRT(AV302:AX302),TRUE,TRUE),3,1)</f>
        <v>0.76943132294153704</v>
      </c>
      <c r="AR303" s="116">
        <f>INDEX(LINEST(LN(AV303:AX303),SQRT((AV302:AX302))),1)</f>
        <v>-1.4760270152570807E-3</v>
      </c>
      <c r="AS303" s="84">
        <f>INDEX(LINEST(1/(AV303:AX303),1/(SQRT(AV302:AX302)),TRUE,TRUE),3,1)</f>
        <v>0.99940730015305956</v>
      </c>
      <c r="AT303" s="84">
        <f>INDEX(LINEST(1/(AV303:AX303),1/SQRT(AV302:AX302)),1)</f>
        <v>-557.72316289860964</v>
      </c>
      <c r="AU303" s="3"/>
      <c r="AV303" s="53">
        <v>0.09</v>
      </c>
      <c r="AW303" s="53">
        <v>0.03</v>
      </c>
      <c r="AX303" s="53">
        <v>0.03</v>
      </c>
      <c r="AY303" s="53"/>
      <c r="AZ303" s="53"/>
      <c r="BA303" s="53"/>
      <c r="BB303" s="53"/>
      <c r="BC303" s="53"/>
      <c r="BD303" s="53"/>
      <c r="BE303" s="53"/>
      <c r="BF303" s="53"/>
      <c r="BG303" s="53"/>
      <c r="BH303" s="53"/>
      <c r="BI303" s="53"/>
      <c r="BJ303" s="53"/>
      <c r="BK303" s="53"/>
      <c r="BL303" s="53"/>
      <c r="BM303" s="53"/>
      <c r="BN303" s="53"/>
      <c r="BO303" s="53"/>
      <c r="BP303" s="53"/>
      <c r="BQ303" s="53"/>
      <c r="BR303" s="53"/>
      <c r="BS303" s="53"/>
      <c r="BT303" s="53"/>
      <c r="BU303" s="53"/>
      <c r="BV303" s="53"/>
      <c r="BW303" s="53"/>
      <c r="BX303" s="53"/>
      <c r="BY303" s="53"/>
      <c r="BZ303" s="53"/>
      <c r="CA303" s="53"/>
      <c r="CB303" s="53"/>
      <c r="CC303" s="53"/>
      <c r="CD303" s="53"/>
      <c r="CE303" s="53"/>
      <c r="CF303" s="53"/>
      <c r="CG303" s="53"/>
      <c r="CH303" s="53"/>
      <c r="CI303" s="53"/>
      <c r="CJ303" s="53"/>
      <c r="CK303" s="53"/>
      <c r="CL303" s="53"/>
      <c r="CM303" s="53"/>
      <c r="CN303" s="53"/>
      <c r="CO303" s="53"/>
      <c r="CP303" s="53"/>
      <c r="CQ303" s="53"/>
      <c r="CR303" s="1"/>
      <c r="CS303" s="1"/>
      <c r="CT303" s="1"/>
      <c r="CU303" s="1"/>
    </row>
    <row r="304" spans="1:99" s="13" customFormat="1" ht="12" customHeight="1" x14ac:dyDescent="0.2">
      <c r="A304" s="65">
        <v>43509</v>
      </c>
      <c r="B304" s="1"/>
      <c r="C304" s="1"/>
      <c r="D304" s="60"/>
      <c r="E304" s="76"/>
      <c r="F304" s="60"/>
      <c r="G304" s="60"/>
      <c r="H304" s="60"/>
      <c r="I304" s="60"/>
      <c r="J304" s="60"/>
      <c r="K304" s="64"/>
      <c r="L304" s="64"/>
      <c r="M304" s="60"/>
      <c r="N304" s="60"/>
      <c r="O304" s="60"/>
      <c r="P304" s="60"/>
      <c r="Q304" s="60"/>
      <c r="R304" s="60"/>
      <c r="S304" s="60"/>
      <c r="T304" s="60"/>
      <c r="U304" s="60"/>
      <c r="V304" s="60"/>
      <c r="W304" s="60"/>
      <c r="X304" s="60"/>
      <c r="Y304" s="76"/>
      <c r="Z304" s="60"/>
      <c r="AA304" s="60"/>
      <c r="AB304" s="60"/>
      <c r="AC304" s="60"/>
      <c r="AD304" s="60"/>
      <c r="AE304" s="60"/>
      <c r="AF304" s="80"/>
      <c r="AG304" s="56"/>
      <c r="AH304" s="4"/>
      <c r="AI304" s="56"/>
      <c r="AJ304" s="109"/>
      <c r="AK304" s="56"/>
      <c r="AL304" s="56"/>
      <c r="AM304" s="56"/>
      <c r="AN304" s="56"/>
      <c r="AO304" s="56"/>
      <c r="AP304" s="56"/>
      <c r="AQ304" s="82"/>
      <c r="AR304" s="115"/>
      <c r="AS304" s="82"/>
      <c r="AT304" s="82"/>
      <c r="AU304" s="4"/>
      <c r="AV304" s="25">
        <v>576</v>
      </c>
      <c r="AW304" s="25">
        <f>24*3600*2</f>
        <v>172800</v>
      </c>
      <c r="AX304" s="25">
        <f>24*3600*7</f>
        <v>604800</v>
      </c>
      <c r="AY304" s="53"/>
      <c r="AZ304" s="53"/>
      <c r="BA304" s="53"/>
      <c r="BB304" s="53"/>
      <c r="BC304" s="53"/>
      <c r="BD304" s="53"/>
      <c r="BE304" s="53"/>
      <c r="BF304" s="53"/>
      <c r="BG304" s="53"/>
      <c r="BH304" s="53"/>
      <c r="BI304" s="53"/>
      <c r="BJ304" s="53"/>
      <c r="BK304" s="53"/>
      <c r="BL304" s="53"/>
      <c r="BM304" s="53"/>
      <c r="BN304" s="53"/>
      <c r="BO304" s="53"/>
      <c r="BP304" s="53"/>
      <c r="BQ304" s="53"/>
      <c r="BR304" s="53"/>
      <c r="BS304" s="53"/>
      <c r="BT304" s="53"/>
      <c r="BU304" s="53"/>
      <c r="BV304" s="53"/>
      <c r="BW304" s="53"/>
      <c r="BX304" s="53"/>
      <c r="BY304" s="53"/>
      <c r="BZ304" s="53"/>
      <c r="CA304" s="53"/>
      <c r="CB304" s="53"/>
      <c r="CC304" s="53"/>
      <c r="CD304" s="53"/>
      <c r="CE304" s="53"/>
      <c r="CF304" s="53"/>
      <c r="CG304" s="53"/>
      <c r="CH304" s="53"/>
      <c r="CI304" s="53"/>
      <c r="CJ304" s="53"/>
      <c r="CK304" s="53"/>
      <c r="CL304" s="53"/>
      <c r="CM304" s="53"/>
      <c r="CN304" s="53"/>
      <c r="CO304" s="53"/>
      <c r="CP304" s="53"/>
      <c r="CQ304" s="53"/>
      <c r="CR304" s="1"/>
      <c r="CS304" s="1"/>
      <c r="CT304" s="1"/>
      <c r="CU304" s="1"/>
    </row>
    <row r="305" spans="1:99" s="13" customFormat="1" ht="12" customHeight="1" x14ac:dyDescent="0.2">
      <c r="A305" s="65">
        <v>43509</v>
      </c>
      <c r="B305" s="1" t="s">
        <v>137</v>
      </c>
      <c r="C305" s="1" t="s">
        <v>74</v>
      </c>
      <c r="D305" s="60">
        <v>2001</v>
      </c>
      <c r="E305" s="76">
        <v>2</v>
      </c>
      <c r="F305" s="60">
        <v>72</v>
      </c>
      <c r="G305" s="60">
        <v>24</v>
      </c>
      <c r="H305" s="60" t="s">
        <v>22</v>
      </c>
      <c r="I305" s="60" t="s">
        <v>835</v>
      </c>
      <c r="J305" s="60" t="s">
        <v>16</v>
      </c>
      <c r="K305" s="60">
        <f>IF(J305="syllables",1,IF(J305="trigrams",2,IF(J305="strings",3,IF(J305="visual array",4,IF(J305="characters",5,IF(J305="letters",6,IF(J305="free forms",7,IF(J305="odors",8,IF(J305="words",9,IF(J305="pictures",10,IF(J305="object pictures",11,IF(J305="faces",12,IF(J305="names",13,IF(J305="idioms",14,IF(J305="grades",15,IF(J305="syllable-digit pairs",16,IF(J305="trigram-word pairs",17,IF(J305="word-digit pairs",18,IF(J305="English-Swahili pairs",19,IF(J305="spatial position",20,IF(J305="word pairs",21,IF(J305="word triads",22,IF(J305="generated words",23,IF(J305="word definition pairs",24,IF(J305="math problems",25,IF(J305="famous faces",26,IF(J305="famous names",27,IF(J305="famous voices",28,IF(J305="television programs",29,IF(J305="race horses",30,IF(J305="new vocabulary",31,IF(J305="sentences",32,IF(J305="concepts",33,IF(J305="ad slides",34,IF(J305="scenes",35,IF(J305="famous scenes",36,IF(J305="poems",37,IF(J305="walk",38,IF(J305="faces and events",39,IF(J305="events and names",40,IF(J305="flashbulb",41,IF(J305="stories",42,IF(J305="course material",43,IF(J305="autobiographical",44,IF(J305="novels",45,IF(J305="public events",46,"99"))))))))))))))))))))))))))))))))))))))))))))))</f>
        <v>9</v>
      </c>
      <c r="L305" s="60">
        <f>IF(J305="syllables",1,IF(J305="trigrams",1,IF(J305="strings",1,IF(J305="visual array",1,IF(J305="characters",1,IF(J305="letters",1,IF(J305="free forms",1,IF(J305="odors",2,IF(J305="words",2,IF(J305="pictures",2,IF(J305="object pictures",2,IF(J305="faces",2,IF(J305="names",2,IF(J305="idioms","2",IF(J305="grades",2,IF(J305="syllable-digit pairs",3,IF(J305="trigram-word pairs",3,IF(J305="word-digit pairs",3,IF(J305="English-Swahili pairs",3,IF(J305="spatial position",3,IF(J305="word pairs",4,IF(J305="word triads",4,IF(J305="generated words",4,IF(J305="word definition pairs",4,IF(J305="math problems",4,IF(J305="famous faces",4,IF(J305="famous names",4,IF(J305="famous voices",4,IF(J305="television programs",4,IF(J305="race horses",4,IF(J305="new vocabulary",4,IF(J305="sentences",5,IF(J305="concepts",5,IF(J305="ad slides",5,IF(J305="scenes",5,IF(J305="famous scenes",5,IF(J305="poems",6,IF(J305="walk",6,IF(J305="faces and events",6,IF(J305="events and names",6,IF(J305="flashbulb",7,IF(J305="stories",7,IF(J305="course material",7,IF(J305="autobiographical",7,IF(J305="novels",7,IF(J305="public events",7,"99"))))))))))))))))))))))))))))))))))))))))))))))</f>
        <v>2</v>
      </c>
      <c r="M305" s="60">
        <v>0</v>
      </c>
      <c r="N305" s="60">
        <v>1</v>
      </c>
      <c r="O305" s="60">
        <v>0</v>
      </c>
      <c r="P305" s="60"/>
      <c r="Q305" s="60" t="s">
        <v>34</v>
      </c>
      <c r="R305" s="60">
        <f>IF(Q305="Free Recall",1,IF(Q305="Cued Recall",2,IF(Q305="Recognition",3,IF(Q305="Multiple Choice",4,IF(Q305="Savings",5,IF(Q305="Stem Completion",6,IF(Q305="Fragment Completion",7,IF(Q305="anagram solution",8,IF(Q305="Matching",9,IF(Q305="Problem Solving",10,"99"))))))))))</f>
        <v>3</v>
      </c>
      <c r="S305" s="60" t="s">
        <v>15</v>
      </c>
      <c r="T305" s="60" t="s">
        <v>261</v>
      </c>
      <c r="U305" s="60">
        <f>IF(T305="within",1,0)</f>
        <v>0</v>
      </c>
      <c r="V305" s="60">
        <v>288</v>
      </c>
      <c r="W305" s="60">
        <f>F305*V305</f>
        <v>20736</v>
      </c>
      <c r="X305" s="60">
        <v>3</v>
      </c>
      <c r="Y305" s="76">
        <f>AV304</f>
        <v>576</v>
      </c>
      <c r="Z305" s="60" t="s">
        <v>97</v>
      </c>
      <c r="AA305" s="60">
        <v>604800</v>
      </c>
      <c r="AB305" s="60" t="str">
        <f>IF(AA305&lt;60,"1",IF(AA305&lt;=43200,"2",IF(AA305&lt;=777600,"3","4")))</f>
        <v>3</v>
      </c>
      <c r="AC305" s="56">
        <f>AVERAGE(AV304:DA304)</f>
        <v>259392</v>
      </c>
      <c r="AD305" s="60" t="str">
        <f>IF(AC305&lt;60,"1",IF(AC305&lt;=43200,"2",IF(AC305&lt;=777600,"3","4")))</f>
        <v>3</v>
      </c>
      <c r="AE305" s="76">
        <f>AA305-Y305</f>
        <v>604224</v>
      </c>
      <c r="AF305" s="80">
        <f>AV305</f>
        <v>0.9</v>
      </c>
      <c r="AG305" s="56">
        <f>((AW305-AV305)+(AX305-AW305))/2</f>
        <v>-7.5000000000000011E-2</v>
      </c>
      <c r="AH305" s="4"/>
      <c r="AI305" s="56">
        <f>RSQ(AV305:AX305,AV304:AX304)</f>
        <v>0.76467143952222827</v>
      </c>
      <c r="AJ305" s="109">
        <f>SLOPE(AV305:AX305,AV304:AX304)</f>
        <v>-2.1820503036069764E-7</v>
      </c>
      <c r="AK305" s="56">
        <f>INTERCEPT(AV305:AX305,AV304:AX304)</f>
        <v>0.86993397256865546</v>
      </c>
      <c r="AL305" s="56">
        <f>INDEX(LINEST(LN(AV305:AX305),LN(AV304:AX304),TRUE,TRUE),3,1)</f>
        <v>0.98783804474031167</v>
      </c>
      <c r="AM305" s="56">
        <f>INDEX(LINEST(LN(AV305:AX305),LN(AV304:AX304)),1)</f>
        <v>-2.5176675462957005E-2</v>
      </c>
      <c r="AN305" s="56">
        <f>EXP(INDEX(LINEST(LN(AV305:AX305),LN(AV304:AX304)),1,2))</f>
        <v>1.0583231006837024</v>
      </c>
      <c r="AO305" s="82">
        <f>INDEX(LINEST((AV305:AX305),LN(AV304:AX304),TRUE,TRUE),3,1)</f>
        <v>0.99180006412557897</v>
      </c>
      <c r="AP305" s="82">
        <f>INDEX(LINEST((AV305:AX305),LN(AV304:AX304)),1)</f>
        <v>-2.0861700713635925E-2</v>
      </c>
      <c r="AQ305" s="83">
        <f>INDEX(LINEST(LN(AV305:AX305),SQRT(AV304:AX304),TRUE,TRUE),3,1)</f>
        <v>0.95211631774021965</v>
      </c>
      <c r="AR305" s="116">
        <f>INDEX(LINEST(LN(AV305:AX305),SQRT((AV304:AX304))),1)</f>
        <v>-2.4314597083954721E-4</v>
      </c>
      <c r="AS305" s="84">
        <f>INDEX(LINEST(1/(AV305:AX305),1/(SQRT(AV304:AX304)),TRUE,TRUE),3,1)</f>
        <v>0.92549902213634783</v>
      </c>
      <c r="AT305" s="84">
        <f>INDEX(LINEST(1/(AV305:AX305),1/SQRT(AV304:AX304)),1)</f>
        <v>-4.7657910380831883</v>
      </c>
      <c r="AU305" s="3"/>
      <c r="AV305" s="53">
        <v>0.9</v>
      </c>
      <c r="AW305" s="53">
        <v>0.79</v>
      </c>
      <c r="AX305" s="53">
        <v>0.75</v>
      </c>
      <c r="AY305" s="53"/>
      <c r="AZ305" s="53"/>
      <c r="BA305" s="53"/>
      <c r="BB305" s="53"/>
      <c r="BC305" s="53"/>
      <c r="BD305" s="53"/>
      <c r="BE305" s="53"/>
      <c r="BF305" s="53"/>
      <c r="BG305" s="53"/>
      <c r="BH305" s="53"/>
      <c r="BI305" s="53"/>
      <c r="BJ305" s="53"/>
      <c r="BK305" s="53"/>
      <c r="BL305" s="53"/>
      <c r="BM305" s="53"/>
      <c r="BN305" s="53"/>
      <c r="BO305" s="53"/>
      <c r="BP305" s="53"/>
      <c r="BQ305" s="53"/>
      <c r="BR305" s="53"/>
      <c r="BS305" s="53"/>
      <c r="BT305" s="53"/>
      <c r="BU305" s="53"/>
      <c r="BV305" s="53"/>
      <c r="BW305" s="53"/>
      <c r="BX305" s="53"/>
      <c r="BY305" s="53"/>
      <c r="BZ305" s="53"/>
      <c r="CA305" s="53"/>
      <c r="CB305" s="53"/>
      <c r="CC305" s="53"/>
      <c r="CD305" s="53"/>
      <c r="CE305" s="53"/>
      <c r="CF305" s="53"/>
      <c r="CG305" s="53"/>
      <c r="CH305" s="53"/>
      <c r="CI305" s="53"/>
      <c r="CJ305" s="53"/>
      <c r="CK305" s="53"/>
      <c r="CL305" s="53"/>
      <c r="CM305" s="53"/>
      <c r="CN305" s="53"/>
      <c r="CO305" s="53"/>
      <c r="CP305" s="53"/>
      <c r="CQ305" s="53"/>
      <c r="CR305" s="1"/>
      <c r="CS305" s="1"/>
      <c r="CT305" s="1"/>
      <c r="CU305" s="1"/>
    </row>
    <row r="306" spans="1:99" s="13" customFormat="1" ht="12" customHeight="1" x14ac:dyDescent="0.2">
      <c r="A306" s="65">
        <v>43979</v>
      </c>
      <c r="B306" s="1"/>
      <c r="C306" s="1"/>
      <c r="D306" s="60"/>
      <c r="E306" s="76"/>
      <c r="F306" s="60"/>
      <c r="G306" s="60"/>
      <c r="H306" s="60"/>
      <c r="I306" s="60"/>
      <c r="J306" s="60"/>
      <c r="K306" s="60"/>
      <c r="L306" s="60"/>
      <c r="M306" s="60"/>
      <c r="N306" s="60"/>
      <c r="O306" s="60"/>
      <c r="P306" s="60"/>
      <c r="Q306" s="60"/>
      <c r="R306" s="60"/>
      <c r="S306" s="60"/>
      <c r="T306" s="59"/>
      <c r="U306" s="60"/>
      <c r="V306" s="59"/>
      <c r="W306" s="60"/>
      <c r="X306" s="60"/>
      <c r="Y306" s="76"/>
      <c r="Z306" s="60"/>
      <c r="AA306" s="60"/>
      <c r="AB306" s="60"/>
      <c r="AC306" s="56"/>
      <c r="AD306" s="60"/>
      <c r="AE306" s="76"/>
      <c r="AF306" s="80"/>
      <c r="AG306" s="56"/>
      <c r="AH306" s="4"/>
      <c r="AI306" s="56"/>
      <c r="AJ306" s="109"/>
      <c r="AK306" s="56"/>
      <c r="AL306" s="56"/>
      <c r="AM306" s="56"/>
      <c r="AN306" s="56"/>
      <c r="AO306" s="82"/>
      <c r="AP306" s="82"/>
      <c r="AQ306" s="83"/>
      <c r="AR306" s="116"/>
      <c r="AS306" s="84"/>
      <c r="AT306" s="84"/>
      <c r="AU306" s="3"/>
      <c r="AV306" s="53">
        <f>60*5</f>
        <v>300</v>
      </c>
      <c r="AW306" s="53">
        <f>60*30</f>
        <v>1800</v>
      </c>
      <c r="AX306" s="53">
        <f>60*60*24*7</f>
        <v>604800</v>
      </c>
      <c r="AY306" s="53"/>
      <c r="AZ306" s="53"/>
      <c r="BA306" s="53"/>
      <c r="BB306" s="53"/>
      <c r="BC306" s="53"/>
      <c r="BD306" s="53"/>
      <c r="BE306" s="53"/>
      <c r="BF306" s="53"/>
      <c r="BG306" s="53"/>
      <c r="BH306" s="53"/>
      <c r="BI306" s="53"/>
      <c r="BJ306" s="53"/>
      <c r="BK306" s="53"/>
      <c r="BL306" s="53"/>
      <c r="BM306" s="53"/>
      <c r="BN306" s="53"/>
      <c r="BO306" s="53"/>
      <c r="BP306" s="53"/>
      <c r="BQ306" s="53"/>
      <c r="BR306" s="53"/>
      <c r="BS306" s="53"/>
      <c r="BT306" s="53"/>
      <c r="BU306" s="53"/>
      <c r="BV306" s="53"/>
      <c r="BW306" s="53"/>
      <c r="BX306" s="53"/>
      <c r="BY306" s="53"/>
      <c r="BZ306" s="53"/>
      <c r="CA306" s="53"/>
      <c r="CB306" s="53"/>
      <c r="CC306" s="53"/>
      <c r="CD306" s="53"/>
      <c r="CE306" s="53"/>
      <c r="CF306" s="53"/>
      <c r="CG306" s="53"/>
      <c r="CH306" s="53"/>
      <c r="CI306" s="53"/>
      <c r="CJ306" s="53"/>
      <c r="CK306" s="53"/>
      <c r="CL306" s="53"/>
      <c r="CM306" s="53"/>
      <c r="CN306" s="53"/>
      <c r="CO306" s="53"/>
      <c r="CP306" s="53"/>
      <c r="CQ306" s="53"/>
      <c r="CR306" s="1"/>
      <c r="CS306" s="1"/>
      <c r="CT306" s="1"/>
      <c r="CU306" s="1"/>
    </row>
    <row r="307" spans="1:99" s="13" customFormat="1" ht="12" customHeight="1" x14ac:dyDescent="0.2">
      <c r="A307" s="65">
        <v>43979</v>
      </c>
      <c r="B307" s="1" t="s">
        <v>1015</v>
      </c>
      <c r="C307" s="1" t="s">
        <v>1016</v>
      </c>
      <c r="D307" s="60">
        <v>2016</v>
      </c>
      <c r="E307" s="76">
        <v>1</v>
      </c>
      <c r="F307" s="60">
        <v>41</v>
      </c>
      <c r="G307" s="60">
        <v>41</v>
      </c>
      <c r="H307" s="60" t="s">
        <v>50</v>
      </c>
      <c r="I307" s="60" t="s">
        <v>330</v>
      </c>
      <c r="J307" s="60" t="s">
        <v>16</v>
      </c>
      <c r="K307" s="60">
        <f>IF(J307="syllables",1,IF(J307="trigrams",2,IF(J307="strings",3,IF(J307="visual array",4,IF(J307="characters",5,IF(J307="letters",6,IF(J307="free forms",7,IF(J307="odors",8,IF(J307="words",9,IF(J307="pictures",10,IF(J307="object pictures",11,IF(J307="faces",12,IF(J307="names",13,IF(J307="idioms",14,IF(J307="grades",15,IF(J307="syllable-digit pairs",16,IF(J307="trigram-word pairs",17,IF(J307="word-digit pairs",18,IF(J307="English-Swahili pairs",19,IF(J307="spatial position",20,IF(J307="word pairs",21,IF(J307="word triads",22,IF(J307="generated words",23,IF(J307="word definition pairs",24,IF(J307="math problems",25,IF(J307="famous faces",26,IF(J307="famous names",27,IF(J307="famous voices",28,IF(J307="television programs",29,IF(J307="race horses",30,IF(J307="new vocabulary",31,IF(J307="sentences",32,IF(J307="concepts",33,IF(J307="ad slides",34,IF(J307="scenes",35,IF(J307="famous scenes",36,IF(J307="poems",37,IF(J307="walk",38,IF(J307="faces and events",39,IF(J307="events and names",40,IF(J307="flashbulb",41,IF(J307="stories",42,IF(J307="course material",43,IF(J307="autobiographical",44,IF(J307="novels",45,IF(J307="public events",46,"99"))))))))))))))))))))))))))))))))))))))))))))))</f>
        <v>9</v>
      </c>
      <c r="L307" s="60">
        <f>IF(J307="syllables",1,IF(J307="trigrams",1,IF(J307="strings",1,IF(J307="visual array",1,IF(J307="characters",1,IF(J307="letters",1,IF(J307="free forms",1,IF(J307="odors",2,IF(J307="words",2,IF(J307="pictures",2,IF(J307="object pictures",2,IF(J307="faces",2,IF(J307="names",2,IF(J307="idioms","2",IF(J307="grades",2,IF(J307="syllable-digit pairs",3,IF(J307="trigram-word pairs",3,IF(J307="word-digit pairs",3,IF(J307="English-Swahili pairs",3,IF(J307="spatial position",3,IF(J307="word pairs",4,IF(J307="word triads",4,IF(J307="generated words",4,IF(J307="word definition pairs",4,IF(J307="math problems",4,IF(J307="famous faces",4,IF(J307="famous names",4,IF(J307="famous voices",4,IF(J307="television programs",4,IF(J307="race horses",4,IF(J307="new vocabulary",4,IF(J307="sentences",5,IF(J307="concepts",5,IF(J307="ad slides",5,IF(J307="scenes",5,IF(J307="famous scenes",5,IF(J307="poems",6,IF(J307="walk",6,IF(J307="faces and events",6,IF(J307="events and names",6,IF(J307="flashbulb",7,IF(J307="stories",7,IF(J307="course material",7,IF(J307="autobiographical",7,IF(J307="novels",7,IF(J307="public events",7,"99"))))))))))))))))))))))))))))))))))))))))))))))</f>
        <v>2</v>
      </c>
      <c r="M307" s="60">
        <v>0</v>
      </c>
      <c r="N307" s="60">
        <v>1</v>
      </c>
      <c r="O307" s="60">
        <v>0</v>
      </c>
      <c r="P307" s="60"/>
      <c r="Q307" s="60" t="s">
        <v>174</v>
      </c>
      <c r="R307" s="60">
        <f>IF(Q307="Free Recall",1,IF(Q307="Cued Recall",2,IF(Q307="Recognition",3,IF(Q307="Multiple Choice",4,IF(Q307="Savings",5,IF(Q307="Stem Completion",6,IF(Q307="Fragment Completion",7,IF(Q307="anagram solution",8,IF(Q307="Matching",9,IF(Q307="Problem Solving",10,"99"))))))))))</f>
        <v>1</v>
      </c>
      <c r="S307" s="60" t="s">
        <v>49</v>
      </c>
      <c r="T307" s="59" t="s">
        <v>581</v>
      </c>
      <c r="U307" s="60">
        <f>IF(T307="within",1,0)</f>
        <v>1</v>
      </c>
      <c r="V307" s="59">
        <v>45</v>
      </c>
      <c r="W307" s="60">
        <f>F307*V307</f>
        <v>1845</v>
      </c>
      <c r="X307" s="60">
        <v>3</v>
      </c>
      <c r="Y307" s="76">
        <f>AV306</f>
        <v>300</v>
      </c>
      <c r="Z307" s="60" t="s">
        <v>150</v>
      </c>
      <c r="AA307" s="60">
        <f>60*60*24*7</f>
        <v>604800</v>
      </c>
      <c r="AB307" s="60" t="str">
        <f>IF(AA307&lt;60,"1",IF(AA307&lt;=43200,"2",IF(AA307&lt;=777600,"3","4")))</f>
        <v>3</v>
      </c>
      <c r="AC307" s="56">
        <f>AVERAGE(AV306:DA306)</f>
        <v>202300</v>
      </c>
      <c r="AD307" s="60" t="str">
        <f>IF(AC307&lt;60,"1",IF(AC307&lt;=43200,"2",IF(AC307&lt;=777600,"3","4")))</f>
        <v>3</v>
      </c>
      <c r="AE307" s="76">
        <f>AA307-Y307</f>
        <v>604500</v>
      </c>
      <c r="AF307" s="80">
        <f>AV307</f>
        <v>0.81372822899999997</v>
      </c>
      <c r="AG307" s="56">
        <f>((AW307-AV307)+(AX307-AW307))/2</f>
        <v>-0.20517835499999998</v>
      </c>
      <c r="AH307" s="4"/>
      <c r="AI307" s="56">
        <f>RSQ(AV307:AX307,AV306:AX306)</f>
        <v>0.94198967113648624</v>
      </c>
      <c r="AJ307" s="109">
        <f>SLOPE(AV307:AX307,AV306:AX306)</f>
        <v>-5.9413466883735468E-7</v>
      </c>
      <c r="AK307" s="56">
        <f>INTERCEPT(AV307:AX307,AV306:AX306)</f>
        <v>0.76257648017246349</v>
      </c>
      <c r="AL307" s="56">
        <f>INDEX(LINEST(LN(AV307:AX307),LN(AV306:AX306),TRUE,TRUE),3,1)</f>
        <v>0.99815302160672303</v>
      </c>
      <c r="AM307" s="56">
        <f>INDEX(LINEST(LN(AV307:AX307),LN(AV306:AX306)),1)</f>
        <v>-9.3458227671608676E-2</v>
      </c>
      <c r="AN307" s="56">
        <f>EXP(INDEX(LINEST(LN(AV307:AX307),LN(AV306:AX306)),1,2))</f>
        <v>1.4055638166443492</v>
      </c>
      <c r="AO307" s="82">
        <f>INDEX(LINEST((AV307:AX307),LN(AV306:AX306),TRUE,TRUE),3,1)</f>
        <v>0.99966748310186493</v>
      </c>
      <c r="AP307" s="82">
        <f>INDEX(LINEST((AV307:AX307),LN(AV306:AX306)),1)</f>
        <v>-5.3632590134019581E-2</v>
      </c>
      <c r="AQ307" s="83">
        <f>INDEX(LINEST(LN(AV307:AX307),SQRT(AV306:AX306),TRUE,TRUE),3,1)</f>
        <v>0.97613489341615611</v>
      </c>
      <c r="AR307" s="116">
        <f>INDEX(LINEST(LN(AV307:AX307),SQRT((AV306:AX306))),1)</f>
        <v>-8.5116739599426831E-4</v>
      </c>
      <c r="AS307" s="84">
        <f>INDEX(LINEST(1/(AV307:AX307),1/(SQRT(AV306:AX306)),TRUE,TRUE),3,1)</f>
        <v>0.76049162569055084</v>
      </c>
      <c r="AT307" s="84">
        <f>INDEX(LINEST(1/(AV307:AX307),1/SQRT(AV306:AX306)),1)</f>
        <v>-20.733397077506734</v>
      </c>
      <c r="AU307" s="3"/>
      <c r="AV307" s="53">
        <v>0.81372822899999997</v>
      </c>
      <c r="AW307" s="53">
        <v>0.71004936200000002</v>
      </c>
      <c r="AX307" s="53">
        <v>0.40337151900000001</v>
      </c>
      <c r="AY307" s="53"/>
      <c r="AZ307" s="53"/>
      <c r="BA307" s="53"/>
      <c r="BB307" s="53"/>
      <c r="BC307" s="53"/>
      <c r="BD307" s="53"/>
      <c r="BE307" s="53"/>
      <c r="BF307" s="53"/>
      <c r="BG307" s="53"/>
      <c r="BH307" s="53"/>
      <c r="BI307" s="53"/>
      <c r="BJ307" s="53"/>
      <c r="BK307" s="53"/>
      <c r="BL307" s="53"/>
      <c r="BM307" s="53"/>
      <c r="BN307" s="53"/>
      <c r="BO307" s="53"/>
      <c r="BP307" s="53"/>
      <c r="BQ307" s="53"/>
      <c r="BR307" s="53"/>
      <c r="BS307" s="53"/>
      <c r="BT307" s="53"/>
      <c r="BU307" s="53"/>
      <c r="BV307" s="53"/>
      <c r="BW307" s="53"/>
      <c r="BX307" s="53"/>
      <c r="BY307" s="53"/>
      <c r="BZ307" s="53"/>
      <c r="CA307" s="53"/>
      <c r="CB307" s="53"/>
      <c r="CC307" s="53"/>
      <c r="CD307" s="53"/>
      <c r="CE307" s="53"/>
      <c r="CF307" s="53"/>
      <c r="CG307" s="53"/>
      <c r="CH307" s="53"/>
      <c r="CI307" s="53"/>
      <c r="CJ307" s="53"/>
      <c r="CK307" s="53"/>
      <c r="CL307" s="53"/>
      <c r="CM307" s="53"/>
      <c r="CN307" s="53"/>
      <c r="CO307" s="53"/>
      <c r="CP307" s="53"/>
      <c r="CQ307" s="53"/>
      <c r="CR307" s="1"/>
      <c r="CS307" s="1"/>
      <c r="CT307" s="1"/>
      <c r="CU307" s="1"/>
    </row>
    <row r="308" spans="1:99" s="13" customFormat="1" ht="12" customHeight="1" x14ac:dyDescent="0.2">
      <c r="A308" s="65">
        <v>43509</v>
      </c>
      <c r="B308" s="1"/>
      <c r="C308" s="1"/>
      <c r="D308" s="60"/>
      <c r="E308" s="76"/>
      <c r="F308" s="60"/>
      <c r="G308" s="60"/>
      <c r="H308" s="60"/>
      <c r="I308" s="60"/>
      <c r="J308" s="60"/>
      <c r="K308" s="64"/>
      <c r="L308" s="64"/>
      <c r="M308" s="60"/>
      <c r="N308" s="60"/>
      <c r="O308" s="60"/>
      <c r="P308" s="60"/>
      <c r="Q308" s="60"/>
      <c r="R308" s="60"/>
      <c r="S308" s="60"/>
      <c r="T308" s="59"/>
      <c r="U308" s="60"/>
      <c r="V308" s="60"/>
      <c r="W308" s="60"/>
      <c r="X308" s="60"/>
      <c r="Y308" s="76"/>
      <c r="Z308" s="60"/>
      <c r="AA308" s="60"/>
      <c r="AB308" s="60"/>
      <c r="AC308" s="60"/>
      <c r="AD308" s="60"/>
      <c r="AE308" s="60"/>
      <c r="AF308" s="80"/>
      <c r="AG308" s="56"/>
      <c r="AH308" s="4"/>
      <c r="AI308" s="56"/>
      <c r="AJ308" s="109"/>
      <c r="AK308" s="56"/>
      <c r="AL308" s="56"/>
      <c r="AM308" s="56"/>
      <c r="AN308" s="56"/>
      <c r="AO308" s="56"/>
      <c r="AP308" s="56"/>
      <c r="AQ308" s="56"/>
      <c r="AR308" s="109"/>
      <c r="AS308" s="56"/>
      <c r="AT308" s="56"/>
      <c r="AU308" s="4"/>
      <c r="AV308" s="25">
        <f>2*60</f>
        <v>120</v>
      </c>
      <c r="AW308" s="25">
        <f>45*60</f>
        <v>2700</v>
      </c>
      <c r="AX308" s="25">
        <f>24*3600*7</f>
        <v>604800</v>
      </c>
      <c r="AY308" s="53"/>
      <c r="AZ308" s="53"/>
      <c r="BA308" s="53"/>
      <c r="BB308" s="53"/>
      <c r="BC308" s="53"/>
      <c r="BD308" s="53"/>
      <c r="BE308" s="53"/>
      <c r="BF308" s="53"/>
      <c r="BG308" s="53"/>
      <c r="BH308" s="53"/>
      <c r="BI308" s="53"/>
      <c r="BJ308" s="53"/>
      <c r="BK308" s="53"/>
      <c r="BL308" s="53"/>
      <c r="BM308" s="53"/>
      <c r="BN308" s="53"/>
      <c r="BO308" s="53"/>
      <c r="BP308" s="53"/>
      <c r="BQ308" s="53"/>
      <c r="BR308" s="53"/>
      <c r="BS308" s="53"/>
      <c r="BT308" s="53"/>
      <c r="BU308" s="53"/>
      <c r="BV308" s="53"/>
      <c r="BW308" s="53"/>
      <c r="BX308" s="53"/>
      <c r="BY308" s="53"/>
      <c r="BZ308" s="53"/>
      <c r="CA308" s="53"/>
      <c r="CB308" s="53"/>
      <c r="CC308" s="53"/>
      <c r="CD308" s="53"/>
      <c r="CE308" s="53"/>
      <c r="CF308" s="53"/>
      <c r="CG308" s="53"/>
      <c r="CH308" s="53"/>
      <c r="CI308" s="53"/>
      <c r="CJ308" s="53"/>
      <c r="CK308" s="53"/>
      <c r="CL308" s="53"/>
      <c r="CM308" s="53"/>
      <c r="CN308" s="53"/>
      <c r="CO308" s="53"/>
      <c r="CP308" s="53"/>
      <c r="CQ308" s="53"/>
      <c r="CR308" s="1"/>
      <c r="CS308" s="1"/>
      <c r="CT308" s="1"/>
      <c r="CU308" s="1"/>
    </row>
    <row r="309" spans="1:99" s="13" customFormat="1" ht="12" customHeight="1" x14ac:dyDescent="0.2">
      <c r="A309" s="65">
        <v>43509</v>
      </c>
      <c r="B309" s="1" t="s">
        <v>138</v>
      </c>
      <c r="C309" s="1" t="s">
        <v>58</v>
      </c>
      <c r="D309" s="60">
        <v>1963</v>
      </c>
      <c r="E309" s="76">
        <v>1</v>
      </c>
      <c r="F309" s="60">
        <v>24</v>
      </c>
      <c r="G309" s="60">
        <v>12</v>
      </c>
      <c r="H309" s="60" t="s">
        <v>50</v>
      </c>
      <c r="I309" s="60" t="s">
        <v>717</v>
      </c>
      <c r="J309" s="60" t="s">
        <v>90</v>
      </c>
      <c r="K309" s="60">
        <f>IF(J309="syllables",1,IF(J309="trigrams",2,IF(J309="strings",3,IF(J309="visual array",4,IF(J309="characters",5,IF(J309="letters",6,IF(J309="free forms",7,IF(J309="odors",8,IF(J309="words",9,IF(J309="pictures",10,IF(J309="object pictures",11,IF(J309="faces",12,IF(J309="names",13,IF(J309="idioms",14,IF(J309="grades",15,IF(J309="syllable-digit pairs",16,IF(J309="trigram-word pairs",17,IF(J309="word-digit pairs",18,IF(J309="English-Swahili pairs",19,IF(J309="spatial position",20,IF(J309="word pairs",21,IF(J309="word triads",22,IF(J309="generated words",23,IF(J309="word definition pairs",24,IF(J309="math problems",25,IF(J309="famous faces",26,IF(J309="famous names",27,IF(J309="famous voices",28,IF(J309="television programs",29,IF(J309="race horses",30,IF(J309="new vocabulary",31,IF(J309="sentences",32,IF(J309="concepts",33,IF(J309="ad slides",34,IF(J309="scenes",35,IF(J309="famous scenes",36,IF(J309="poems",37,IF(J309="walk",38,IF(J309="faces and events",39,IF(J309="events and names",40,IF(J309="flashbulb",41,IF(J309="stories",42,IF(J309="course material",43,IF(J309="autobiographical",44,IF(J309="novels",45,IF(J309="public events",46,"99"))))))))))))))))))))))))))))))))))))))))))))))</f>
        <v>18</v>
      </c>
      <c r="L309" s="60">
        <f>IF(J309="syllables",1,IF(J309="trigrams",1,IF(J309="strings",1,IF(J309="visual array",1,IF(J309="characters",1,IF(J309="letters",1,IF(J309="free forms",1,IF(J309="odors",2,IF(J309="words",2,IF(J309="pictures",2,IF(J309="object pictures",2,IF(J309="faces",2,IF(J309="names",2,IF(J309="idioms","2",IF(J309="grades",2,IF(J309="syllable-digit pairs",3,IF(J309="trigram-word pairs",3,IF(J309="word-digit pairs",3,IF(J309="English-Swahili pairs",3,IF(J309="spatial position",3,IF(J309="word pairs",4,IF(J309="word triads",4,IF(J309="generated words",4,IF(J309="word definition pairs",4,IF(J309="math problems",4,IF(J309="famous faces",4,IF(J309="famous names",4,IF(J309="famous voices",4,IF(J309="television programs",4,IF(J309="race horses",4,IF(J309="new vocabulary",4,IF(J309="sentences",5,IF(J309="concepts",5,IF(J309="ad slides",5,IF(J309="scenes",5,IF(J309="famous scenes",5,IF(J309="poems",6,IF(J309="walk",6,IF(J309="faces and events",6,IF(J309="events and names",6,IF(J309="flashbulb",7,IF(J309="stories",7,IF(J309="course material",7,IF(J309="autobiographical",7,IF(J309="novels",7,IF(J309="public events",7,"99"))))))))))))))))))))))))))))))))))))))))))))))</f>
        <v>3</v>
      </c>
      <c r="M309" s="60">
        <v>0</v>
      </c>
      <c r="N309" s="60">
        <v>1</v>
      </c>
      <c r="O309" s="60">
        <v>0</v>
      </c>
      <c r="P309" s="60"/>
      <c r="Q309" s="60" t="s">
        <v>174</v>
      </c>
      <c r="R309" s="60">
        <f>IF(Q309="Free Recall",1,IF(Q309="Cued Recall",2,IF(Q309="Recognition",3,IF(Q309="Multiple Choice",4,IF(Q309="Savings",5,IF(Q309="Stem Completion",6,IF(Q309="Fragment Completion",7,IF(Q309="anagram solution",8,IF(Q309="Matching",9,IF(Q309="Problem Solving",10,"99"))))))))))</f>
        <v>1</v>
      </c>
      <c r="S309" s="60" t="s">
        <v>49</v>
      </c>
      <c r="T309" s="60" t="s">
        <v>261</v>
      </c>
      <c r="U309" s="60">
        <f>IF(T309="within",1,0)</f>
        <v>0</v>
      </c>
      <c r="V309" s="60">
        <v>8</v>
      </c>
      <c r="W309" s="60">
        <f>F309*V309</f>
        <v>192</v>
      </c>
      <c r="X309" s="60">
        <v>3</v>
      </c>
      <c r="Y309" s="76">
        <f>AV308</f>
        <v>120</v>
      </c>
      <c r="Z309" s="60" t="s">
        <v>97</v>
      </c>
      <c r="AA309" s="60">
        <v>604800</v>
      </c>
      <c r="AB309" s="60" t="str">
        <f>IF(AA309&lt;60,"1",IF(AA309&lt;=43200,"2",IF(AA309&lt;=777600,"3","4")))</f>
        <v>3</v>
      </c>
      <c r="AC309" s="56">
        <f>AVERAGE(AV308:DA308)</f>
        <v>202540</v>
      </c>
      <c r="AD309" s="60" t="str">
        <f>IF(AC309&lt;60,"1",IF(AC309&lt;=43200,"2",IF(AC309&lt;=777600,"3","4")))</f>
        <v>3</v>
      </c>
      <c r="AE309" s="76">
        <f>AA309-Y309</f>
        <v>604680</v>
      </c>
      <c r="AF309" s="80">
        <f>AV309</f>
        <v>0.26</v>
      </c>
      <c r="AG309" s="56">
        <f>((AW309-AV309)+(AX309-AW309))/2</f>
        <v>-1.4999999999999999E-2</v>
      </c>
      <c r="AH309" s="4"/>
      <c r="AI309" s="56">
        <f>RSQ(AV309:AX309,AV308:AX308)</f>
        <v>1.4015150336932363E-2</v>
      </c>
      <c r="AJ309" s="109">
        <f>SLOPE(AV309:AX309,AV308:AX308)</f>
        <v>-8.5521359283718894E-9</v>
      </c>
      <c r="AK309" s="56">
        <f>INTERCEPT(AV309:AX309,AV308:AX308)</f>
        <v>0.23506548294426574</v>
      </c>
      <c r="AL309" s="56">
        <f>INDEX(LINEST(LN(AV309:AX309),LN(AV308:AX308),TRUE,TRUE),3,1)</f>
        <v>0.1927322467073547</v>
      </c>
      <c r="AM309" s="56">
        <f>INDEX(LINEST(LN(AV309:AX309),LN(AV308:AX308)),1)</f>
        <v>-1.090706295659986E-2</v>
      </c>
      <c r="AN309" s="56">
        <f>EXP(INDEX(LINEST(LN(AV309:AX309),LN(AV308:AX308)),1,2))</f>
        <v>0.25548274942910387</v>
      </c>
      <c r="AO309" s="82">
        <f>INDEX(LINEST((AV309:AX309),LN(AV308:AX308),TRUE,TRUE),3,1)</f>
        <v>0.21665927414525887</v>
      </c>
      <c r="AP309" s="82">
        <f>INDEX(LINEST((AV309:AX309),LN(AV308:AX308)),1)</f>
        <v>-2.7154074116974986E-3</v>
      </c>
      <c r="AQ309" s="83">
        <f>INDEX(LINEST(LN(AV309:AX309),SQRT(AV308:AX308),TRUE,TRUE),3,1)</f>
        <v>1.7546288022689652E-2</v>
      </c>
      <c r="AR309" s="116">
        <f>INDEX(LINEST(LN(AV309:AX309),SQRT((AV308:AX308))),1)</f>
        <v>-3.2914649160923486E-5</v>
      </c>
      <c r="AS309" s="84">
        <f>INDEX(LINEST(1/(AV309:AX309),1/(SQRT(AV308:AX308)),TRUE,TRUE),3,1)</f>
        <v>0.62594200413448442</v>
      </c>
      <c r="AT309" s="84">
        <f>INDEX(LINEST(1/(AV309:AX309),1/SQRT(AV308:AX308)),1)</f>
        <v>-7.6168835955610232</v>
      </c>
      <c r="AU309" s="3"/>
      <c r="AV309" s="53">
        <v>0.26</v>
      </c>
      <c r="AW309" s="53">
        <v>0.21</v>
      </c>
      <c r="AX309" s="53">
        <v>0.23</v>
      </c>
      <c r="AY309" s="53"/>
      <c r="AZ309" s="53"/>
      <c r="BA309" s="53"/>
      <c r="BB309" s="53"/>
      <c r="BC309" s="53"/>
      <c r="BD309" s="53"/>
      <c r="BE309" s="53"/>
      <c r="BF309" s="53"/>
      <c r="BG309" s="53"/>
      <c r="BH309" s="53"/>
      <c r="BI309" s="53"/>
      <c r="BJ309" s="53"/>
      <c r="BK309" s="53"/>
      <c r="BL309" s="53"/>
      <c r="BM309" s="53"/>
      <c r="BN309" s="53"/>
      <c r="BO309" s="53"/>
      <c r="BP309" s="53"/>
      <c r="BQ309" s="53"/>
      <c r="BR309" s="53"/>
      <c r="BS309" s="53"/>
      <c r="BT309" s="53"/>
      <c r="BU309" s="53"/>
      <c r="BV309" s="53"/>
      <c r="BW309" s="53"/>
      <c r="BX309" s="53"/>
      <c r="BY309" s="53"/>
      <c r="BZ309" s="53"/>
      <c r="CA309" s="53"/>
      <c r="CB309" s="53"/>
      <c r="CC309" s="53"/>
      <c r="CD309" s="53"/>
      <c r="CE309" s="53"/>
      <c r="CF309" s="53"/>
      <c r="CG309" s="53"/>
      <c r="CH309" s="53"/>
      <c r="CI309" s="53"/>
      <c r="CJ309" s="53"/>
      <c r="CK309" s="53"/>
      <c r="CL309" s="53"/>
      <c r="CM309" s="53"/>
      <c r="CN309" s="53"/>
      <c r="CO309" s="53"/>
      <c r="CP309" s="53"/>
      <c r="CQ309" s="53"/>
      <c r="CR309" s="1"/>
      <c r="CS309" s="1"/>
      <c r="CT309" s="1"/>
      <c r="CU309" s="1"/>
    </row>
    <row r="310" spans="1:99" s="13" customFormat="1" ht="12" customHeight="1" x14ac:dyDescent="0.2">
      <c r="A310" s="65">
        <v>43509</v>
      </c>
      <c r="B310" s="1"/>
      <c r="C310" s="1"/>
      <c r="D310" s="60"/>
      <c r="E310" s="76"/>
      <c r="F310" s="60"/>
      <c r="G310" s="60"/>
      <c r="H310" s="60"/>
      <c r="I310" s="60"/>
      <c r="J310" s="60"/>
      <c r="K310" s="64"/>
      <c r="L310" s="64"/>
      <c r="M310" s="60"/>
      <c r="N310" s="60"/>
      <c r="O310" s="60"/>
      <c r="P310" s="60"/>
      <c r="Q310" s="60"/>
      <c r="R310" s="60"/>
      <c r="S310" s="60"/>
      <c r="T310" s="60"/>
      <c r="U310" s="60"/>
      <c r="V310" s="60"/>
      <c r="W310" s="60"/>
      <c r="X310" s="60"/>
      <c r="Y310" s="76"/>
      <c r="Z310" s="60"/>
      <c r="AA310" s="60"/>
      <c r="AB310" s="60"/>
      <c r="AC310" s="60"/>
      <c r="AD310" s="60"/>
      <c r="AE310" s="60"/>
      <c r="AF310" s="80"/>
      <c r="AG310" s="56"/>
      <c r="AH310" s="4"/>
      <c r="AI310" s="56"/>
      <c r="AJ310" s="109"/>
      <c r="AK310" s="56"/>
      <c r="AL310" s="56"/>
      <c r="AM310" s="56"/>
      <c r="AN310" s="56"/>
      <c r="AO310" s="56"/>
      <c r="AP310" s="56"/>
      <c r="AQ310" s="82"/>
      <c r="AR310" s="115"/>
      <c r="AS310" s="82"/>
      <c r="AT310" s="82"/>
      <c r="AU310" s="4"/>
      <c r="AV310" s="25">
        <f>2*60</f>
        <v>120</v>
      </c>
      <c r="AW310" s="25">
        <f>45*60</f>
        <v>2700</v>
      </c>
      <c r="AX310" s="25">
        <f>24*3600*7</f>
        <v>604800</v>
      </c>
      <c r="AY310" s="53"/>
      <c r="AZ310" s="53"/>
      <c r="BA310" s="53"/>
      <c r="BB310" s="53"/>
      <c r="BC310" s="53"/>
      <c r="BD310" s="53"/>
      <c r="BE310" s="53"/>
      <c r="BF310" s="53"/>
      <c r="BG310" s="53"/>
      <c r="BH310" s="53"/>
      <c r="BI310" s="53"/>
      <c r="BJ310" s="53"/>
      <c r="BK310" s="53"/>
      <c r="BL310" s="53"/>
      <c r="BM310" s="53"/>
      <c r="BN310" s="53"/>
      <c r="BO310" s="53"/>
      <c r="BP310" s="53"/>
      <c r="BQ310" s="53"/>
      <c r="BR310" s="53"/>
      <c r="BS310" s="53"/>
      <c r="BT310" s="53"/>
      <c r="BU310" s="53"/>
      <c r="BV310" s="53"/>
      <c r="BW310" s="53"/>
      <c r="BX310" s="53"/>
      <c r="BY310" s="53"/>
      <c r="BZ310" s="53"/>
      <c r="CA310" s="53"/>
      <c r="CB310" s="53"/>
      <c r="CC310" s="53"/>
      <c r="CD310" s="53"/>
      <c r="CE310" s="53"/>
      <c r="CF310" s="53"/>
      <c r="CG310" s="53"/>
      <c r="CH310" s="53"/>
      <c r="CI310" s="53"/>
      <c r="CJ310" s="53"/>
      <c r="CK310" s="53"/>
      <c r="CL310" s="53"/>
      <c r="CM310" s="53"/>
      <c r="CN310" s="53"/>
      <c r="CO310" s="53"/>
      <c r="CP310" s="53"/>
      <c r="CQ310" s="53"/>
      <c r="CR310" s="1"/>
      <c r="CS310" s="1"/>
      <c r="CT310" s="1"/>
      <c r="CU310" s="1"/>
    </row>
    <row r="311" spans="1:99" s="13" customFormat="1" ht="12" customHeight="1" x14ac:dyDescent="0.2">
      <c r="A311" s="65">
        <v>43509</v>
      </c>
      <c r="B311" s="1" t="s">
        <v>138</v>
      </c>
      <c r="C311" s="1" t="s">
        <v>58</v>
      </c>
      <c r="D311" s="60">
        <v>1963</v>
      </c>
      <c r="E311" s="76">
        <v>1</v>
      </c>
      <c r="F311" s="60">
        <v>24</v>
      </c>
      <c r="G311" s="60">
        <v>12</v>
      </c>
      <c r="H311" s="60" t="s">
        <v>50</v>
      </c>
      <c r="I311" s="60" t="s">
        <v>850</v>
      </c>
      <c r="J311" s="60" t="s">
        <v>90</v>
      </c>
      <c r="K311" s="60">
        <f>IF(J311="syllables",1,IF(J311="trigrams",2,IF(J311="strings",3,IF(J311="visual array",4,IF(J311="characters",5,IF(J311="letters",6,IF(J311="free forms",7,IF(J311="odors",8,IF(J311="words",9,IF(J311="pictures",10,IF(J311="object pictures",11,IF(J311="faces",12,IF(J311="names",13,IF(J311="idioms",14,IF(J311="grades",15,IF(J311="syllable-digit pairs",16,IF(J311="trigram-word pairs",17,IF(J311="word-digit pairs",18,IF(J311="English-Swahili pairs",19,IF(J311="spatial position",20,IF(J311="word pairs",21,IF(J311="word triads",22,IF(J311="generated words",23,IF(J311="word definition pairs",24,IF(J311="math problems",25,IF(J311="famous faces",26,IF(J311="famous names",27,IF(J311="famous voices",28,IF(J311="television programs",29,IF(J311="race horses",30,IF(J311="new vocabulary",31,IF(J311="sentences",32,IF(J311="concepts",33,IF(J311="ad slides",34,IF(J311="scenes",35,IF(J311="famous scenes",36,IF(J311="poems",37,IF(J311="walk",38,IF(J311="faces and events",39,IF(J311="events and names",40,IF(J311="flashbulb",41,IF(J311="stories",42,IF(J311="course material",43,IF(J311="autobiographical",44,IF(J311="novels",45,IF(J311="public events",46,"99"))))))))))))))))))))))))))))))))))))))))))))))</f>
        <v>18</v>
      </c>
      <c r="L311" s="60">
        <f>IF(J311="syllables",1,IF(J311="trigrams",1,IF(J311="strings",1,IF(J311="visual array",1,IF(J311="characters",1,IF(J311="letters",1,IF(J311="free forms",1,IF(J311="odors",2,IF(J311="words",2,IF(J311="pictures",2,IF(J311="object pictures",2,IF(J311="faces",2,IF(J311="names",2,IF(J311="idioms","2",IF(J311="grades",2,IF(J311="syllable-digit pairs",3,IF(J311="trigram-word pairs",3,IF(J311="word-digit pairs",3,IF(J311="English-Swahili pairs",3,IF(J311="spatial position",3,IF(J311="word pairs",4,IF(J311="word triads",4,IF(J311="generated words",4,IF(J311="word definition pairs",4,IF(J311="math problems",4,IF(J311="famous faces",4,IF(J311="famous names",4,IF(J311="famous voices",4,IF(J311="television programs",4,IF(J311="race horses",4,IF(J311="new vocabulary",4,IF(J311="sentences",5,IF(J311="concepts",5,IF(J311="ad slides",5,IF(J311="scenes",5,IF(J311="famous scenes",5,IF(J311="poems",6,IF(J311="walk",6,IF(J311="faces and events",6,IF(J311="events and names",6,IF(J311="flashbulb",7,IF(J311="stories",7,IF(J311="course material",7,IF(J311="autobiographical",7,IF(J311="novels",7,IF(J311="public events",7,"99"))))))))))))))))))))))))))))))))))))))))))))))</f>
        <v>3</v>
      </c>
      <c r="M311" s="60">
        <v>0</v>
      </c>
      <c r="N311" s="60">
        <v>1</v>
      </c>
      <c r="O311" s="60">
        <v>0</v>
      </c>
      <c r="P311" s="60"/>
      <c r="Q311" s="60" t="s">
        <v>174</v>
      </c>
      <c r="R311" s="60">
        <f>IF(Q311="Free Recall",1,IF(Q311="Cued Recall",2,IF(Q311="Recognition",3,IF(Q311="Multiple Choice",4,IF(Q311="Savings",5,IF(Q311="Stem Completion",6,IF(Q311="Fragment Completion",7,IF(Q311="anagram solution",8,IF(Q311="Matching",9,IF(Q311="Problem Solving",10,"99"))))))))))</f>
        <v>1</v>
      </c>
      <c r="S311" s="60" t="s">
        <v>49</v>
      </c>
      <c r="T311" s="60" t="s">
        <v>261</v>
      </c>
      <c r="U311" s="60">
        <f>IF(T311="within",1,0)</f>
        <v>0</v>
      </c>
      <c r="V311" s="60">
        <v>8</v>
      </c>
      <c r="W311" s="60">
        <f>F311*V311</f>
        <v>192</v>
      </c>
      <c r="X311" s="60">
        <v>3</v>
      </c>
      <c r="Y311" s="76">
        <f>AV310</f>
        <v>120</v>
      </c>
      <c r="Z311" s="60" t="s">
        <v>97</v>
      </c>
      <c r="AA311" s="60">
        <v>604800</v>
      </c>
      <c r="AB311" s="60" t="str">
        <f>IF(AA311&lt;60,"1",IF(AA311&lt;=43200,"2",IF(AA311&lt;=777600,"3","4")))</f>
        <v>3</v>
      </c>
      <c r="AC311" s="56">
        <f>AVERAGE(AV310:DA310)</f>
        <v>202540</v>
      </c>
      <c r="AD311" s="60" t="str">
        <f>IF(AC311&lt;60,"1",IF(AC311&lt;=43200,"2",IF(AC311&lt;=777600,"3","4")))</f>
        <v>3</v>
      </c>
      <c r="AE311" s="76">
        <f>AA311-Y311</f>
        <v>604680</v>
      </c>
      <c r="AF311" s="80">
        <f>AV311</f>
        <v>0.26</v>
      </c>
      <c r="AG311" s="56">
        <f>((AW311-AV311)+(AX311-AW311))/2</f>
        <v>-2.5000000000000008E-2</v>
      </c>
      <c r="AH311" s="4"/>
      <c r="AI311" s="56">
        <f>RSQ(AV311:AX311,AV310:AX310)</f>
        <v>0.7467863068871825</v>
      </c>
      <c r="AJ311" s="109">
        <f>SLOPE(AV311:AX311,AV310:AX310)</f>
        <v>-1.2403027850642462E-7</v>
      </c>
      <c r="AK311" s="56">
        <f>INTERCEPT(AV311:AX311,AV310:AX310)</f>
        <v>0.28512109260869123</v>
      </c>
      <c r="AL311" s="56">
        <f>INDEX(LINEST(LN(AV311:AX311),LN(AV310:AX310),TRUE,TRUE),3,1)</f>
        <v>0.44849462729650236</v>
      </c>
      <c r="AM311" s="56">
        <f>INDEX(LINEST(LN(AV311:AX311),LN(AV310:AX310)),1)</f>
        <v>-3.0277747890690047E-2</v>
      </c>
      <c r="AN311" s="56">
        <f>EXP(INDEX(LINEST(LN(AV311:AX311),LN(AV310:AX310)),1,2))</f>
        <v>0.33379908178233092</v>
      </c>
      <c r="AO311" s="82">
        <f>INDEX(LINEST((AV311:AX311),LN(AV310:AX310),TRUE,TRUE),3,1)</f>
        <v>0.39342245534909859</v>
      </c>
      <c r="AP311" s="82">
        <f>INDEX(LINEST((AV311:AX311),LN(AV310:AX310)),1)</f>
        <v>-7.2699221563878643E-3</v>
      </c>
      <c r="AQ311" s="83">
        <f>INDEX(LINEST(LN(AV311:AX311),SQRT(AV310:AX310),TRUE,TRUE),3,1)</f>
        <v>0.75711077835272844</v>
      </c>
      <c r="AR311" s="116">
        <f>INDEX(LINEST(LN(AV311:AX311),SQRT((AV310:AX310))),1)</f>
        <v>-3.9345098409504671E-4</v>
      </c>
      <c r="AS311" s="84">
        <f>INDEX(LINEST(1/(AV311:AX311),1/(SQRT(AV310:AX310)),TRUE,TRUE),3,1)</f>
        <v>8.7462610775404695E-2</v>
      </c>
      <c r="AT311" s="84">
        <f>INDEX(LINEST(1/(AV311:AX311),1/SQRT(AV310:AX310)),1)</f>
        <v>-4.798023765709349</v>
      </c>
      <c r="AU311" s="3"/>
      <c r="AV311" s="53">
        <v>0.26</v>
      </c>
      <c r="AW311" s="53">
        <v>0.31</v>
      </c>
      <c r="AX311" s="53">
        <v>0.21</v>
      </c>
      <c r="AY311" s="53"/>
      <c r="AZ311" s="53"/>
      <c r="BA311" s="53"/>
      <c r="BB311" s="53"/>
      <c r="BC311" s="53"/>
      <c r="BD311" s="53"/>
      <c r="BE311" s="53"/>
      <c r="BF311" s="53"/>
      <c r="BG311" s="53"/>
      <c r="BH311" s="53"/>
      <c r="BI311" s="53"/>
      <c r="BJ311" s="53"/>
      <c r="BK311" s="53"/>
      <c r="BL311" s="53"/>
      <c r="BM311" s="53"/>
      <c r="BN311" s="53"/>
      <c r="BO311" s="53"/>
      <c r="BP311" s="53"/>
      <c r="BQ311" s="53"/>
      <c r="BR311" s="53"/>
      <c r="BS311" s="53"/>
      <c r="BT311" s="53"/>
      <c r="BU311" s="53"/>
      <c r="BV311" s="53"/>
      <c r="BW311" s="53"/>
      <c r="BX311" s="53"/>
      <c r="BY311" s="53"/>
      <c r="BZ311" s="53"/>
      <c r="CA311" s="53"/>
      <c r="CB311" s="53"/>
      <c r="CC311" s="53"/>
      <c r="CD311" s="53"/>
      <c r="CE311" s="53"/>
      <c r="CF311" s="53"/>
      <c r="CG311" s="53"/>
      <c r="CH311" s="53"/>
      <c r="CI311" s="53"/>
      <c r="CJ311" s="53"/>
      <c r="CK311" s="53"/>
      <c r="CL311" s="53"/>
      <c r="CM311" s="53"/>
      <c r="CN311" s="53"/>
      <c r="CO311" s="53"/>
      <c r="CP311" s="53"/>
      <c r="CQ311" s="53"/>
      <c r="CR311" s="1"/>
      <c r="CS311" s="1"/>
      <c r="CT311" s="1"/>
      <c r="CU311" s="1"/>
    </row>
    <row r="312" spans="1:99" s="13" customFormat="1" ht="12" customHeight="1" x14ac:dyDescent="0.2">
      <c r="A312" s="65">
        <v>43509</v>
      </c>
      <c r="B312" s="1"/>
      <c r="C312" s="1"/>
      <c r="D312" s="60"/>
      <c r="E312" s="76"/>
      <c r="F312" s="60"/>
      <c r="G312" s="60"/>
      <c r="H312" s="60"/>
      <c r="I312" s="60"/>
      <c r="J312" s="60"/>
      <c r="K312" s="64"/>
      <c r="L312" s="64"/>
      <c r="M312" s="60"/>
      <c r="N312" s="60"/>
      <c r="O312" s="60"/>
      <c r="P312" s="60"/>
      <c r="Q312" s="60"/>
      <c r="R312" s="60"/>
      <c r="S312" s="60"/>
      <c r="T312" s="60"/>
      <c r="U312" s="60"/>
      <c r="V312" s="60"/>
      <c r="W312" s="60"/>
      <c r="X312" s="60"/>
      <c r="Y312" s="76"/>
      <c r="Z312" s="60"/>
      <c r="AA312" s="60"/>
      <c r="AB312" s="60"/>
      <c r="AC312" s="60"/>
      <c r="AD312" s="60"/>
      <c r="AE312" s="60"/>
      <c r="AF312" s="80"/>
      <c r="AG312" s="56"/>
      <c r="AH312" s="4"/>
      <c r="AI312" s="56"/>
      <c r="AJ312" s="109"/>
      <c r="AK312" s="56"/>
      <c r="AL312" s="56"/>
      <c r="AM312" s="56"/>
      <c r="AN312" s="56"/>
      <c r="AO312" s="56"/>
      <c r="AP312" s="56"/>
      <c r="AQ312" s="82"/>
      <c r="AR312" s="115"/>
      <c r="AS312" s="82"/>
      <c r="AT312" s="82"/>
      <c r="AU312" s="4"/>
      <c r="AV312" s="25">
        <f>2*60</f>
        <v>120</v>
      </c>
      <c r="AW312" s="25">
        <f>45*60</f>
        <v>2700</v>
      </c>
      <c r="AX312" s="25">
        <f>24*3600*7</f>
        <v>604800</v>
      </c>
      <c r="AY312" s="53"/>
      <c r="AZ312" s="53"/>
      <c r="BA312" s="53"/>
      <c r="BB312" s="53"/>
      <c r="BC312" s="53"/>
      <c r="BD312" s="53"/>
      <c r="BE312" s="53"/>
      <c r="BF312" s="53"/>
      <c r="BG312" s="53"/>
      <c r="BH312" s="53"/>
      <c r="BI312" s="53"/>
      <c r="BJ312" s="53"/>
      <c r="BK312" s="53"/>
      <c r="BL312" s="53"/>
      <c r="BM312" s="53"/>
      <c r="BN312" s="53"/>
      <c r="BO312" s="53"/>
      <c r="BP312" s="53"/>
      <c r="BQ312" s="53"/>
      <c r="BR312" s="53"/>
      <c r="BS312" s="53"/>
      <c r="BT312" s="53"/>
      <c r="BU312" s="53"/>
      <c r="BV312" s="53"/>
      <c r="BW312" s="53"/>
      <c r="BX312" s="53"/>
      <c r="BY312" s="53"/>
      <c r="BZ312" s="53"/>
      <c r="CA312" s="53"/>
      <c r="CB312" s="53"/>
      <c r="CC312" s="53"/>
      <c r="CD312" s="53"/>
      <c r="CE312" s="53"/>
      <c r="CF312" s="53"/>
      <c r="CG312" s="53"/>
      <c r="CH312" s="53"/>
      <c r="CI312" s="53"/>
      <c r="CJ312" s="53"/>
      <c r="CK312" s="53"/>
      <c r="CL312" s="53"/>
      <c r="CM312" s="53"/>
      <c r="CN312" s="53"/>
      <c r="CO312" s="53"/>
      <c r="CP312" s="53"/>
      <c r="CQ312" s="53"/>
      <c r="CR312" s="1"/>
      <c r="CS312" s="1"/>
      <c r="CT312" s="1"/>
      <c r="CU312" s="1"/>
    </row>
    <row r="313" spans="1:99" s="13" customFormat="1" ht="12" customHeight="1" x14ac:dyDescent="0.2">
      <c r="A313" s="65">
        <v>43509</v>
      </c>
      <c r="B313" s="1" t="s">
        <v>138</v>
      </c>
      <c r="C313" s="1" t="s">
        <v>58</v>
      </c>
      <c r="D313" s="60">
        <v>1963</v>
      </c>
      <c r="E313" s="76">
        <v>1</v>
      </c>
      <c r="F313" s="60">
        <v>24</v>
      </c>
      <c r="G313" s="60">
        <v>12</v>
      </c>
      <c r="H313" s="60" t="s">
        <v>50</v>
      </c>
      <c r="I313" s="60" t="s">
        <v>718</v>
      </c>
      <c r="J313" s="60" t="s">
        <v>90</v>
      </c>
      <c r="K313" s="60">
        <f>IF(J313="syllables",1,IF(J313="trigrams",2,IF(J313="strings",3,IF(J313="visual array",4,IF(J313="characters",5,IF(J313="letters",6,IF(J313="free forms",7,IF(J313="odors",8,IF(J313="words",9,IF(J313="pictures",10,IF(J313="object pictures",11,IF(J313="faces",12,IF(J313="names",13,IF(J313="idioms",14,IF(J313="grades",15,IF(J313="syllable-digit pairs",16,IF(J313="trigram-word pairs",17,IF(J313="word-digit pairs",18,IF(J313="English-Swahili pairs",19,IF(J313="spatial position",20,IF(J313="word pairs",21,IF(J313="word triads",22,IF(J313="generated words",23,IF(J313="word definition pairs",24,IF(J313="math problems",25,IF(J313="famous faces",26,IF(J313="famous names",27,IF(J313="famous voices",28,IF(J313="television programs",29,IF(J313="race horses",30,IF(J313="new vocabulary",31,IF(J313="sentences",32,IF(J313="concepts",33,IF(J313="ad slides",34,IF(J313="scenes",35,IF(J313="famous scenes",36,IF(J313="poems",37,IF(J313="walk",38,IF(J313="faces and events",39,IF(J313="events and names",40,IF(J313="flashbulb",41,IF(J313="stories",42,IF(J313="course material",43,IF(J313="autobiographical",44,IF(J313="novels",45,IF(J313="public events",46,"99"))))))))))))))))))))))))))))))))))))))))))))))</f>
        <v>18</v>
      </c>
      <c r="L313" s="60">
        <f>IF(J313="syllables",1,IF(J313="trigrams",1,IF(J313="strings",1,IF(J313="visual array",1,IF(J313="characters",1,IF(J313="letters",1,IF(J313="free forms",1,IF(J313="odors",2,IF(J313="words",2,IF(J313="pictures",2,IF(J313="object pictures",2,IF(J313="faces",2,IF(J313="names",2,IF(J313="idioms","2",IF(J313="grades",2,IF(J313="syllable-digit pairs",3,IF(J313="trigram-word pairs",3,IF(J313="word-digit pairs",3,IF(J313="English-Swahili pairs",3,IF(J313="spatial position",3,IF(J313="word pairs",4,IF(J313="word triads",4,IF(J313="generated words",4,IF(J313="word definition pairs",4,IF(J313="math problems",4,IF(J313="famous faces",4,IF(J313="famous names",4,IF(J313="famous voices",4,IF(J313="television programs",4,IF(J313="race horses",4,IF(J313="new vocabulary",4,IF(J313="sentences",5,IF(J313="concepts",5,IF(J313="ad slides",5,IF(J313="scenes",5,IF(J313="famous scenes",5,IF(J313="poems",6,IF(J313="walk",6,IF(J313="faces and events",6,IF(J313="events and names",6,IF(J313="flashbulb",7,IF(J313="stories",7,IF(J313="course material",7,IF(J313="autobiographical",7,IF(J313="novels",7,IF(J313="public events",7,"99"))))))))))))))))))))))))))))))))))))))))))))))</f>
        <v>3</v>
      </c>
      <c r="M313" s="60">
        <v>0</v>
      </c>
      <c r="N313" s="60">
        <v>1</v>
      </c>
      <c r="O313" s="60">
        <v>0</v>
      </c>
      <c r="P313" s="60"/>
      <c r="Q313" s="60" t="s">
        <v>174</v>
      </c>
      <c r="R313" s="60">
        <f>IF(Q313="Free Recall",1,IF(Q313="Cued Recall",2,IF(Q313="Recognition",3,IF(Q313="Multiple Choice",4,IF(Q313="Savings",5,IF(Q313="Stem Completion",6,IF(Q313="Fragment Completion",7,IF(Q313="anagram solution",8,IF(Q313="Matching",9,IF(Q313="Problem Solving",10,"99"))))))))))</f>
        <v>1</v>
      </c>
      <c r="S313" s="60" t="s">
        <v>49</v>
      </c>
      <c r="T313" s="60" t="s">
        <v>261</v>
      </c>
      <c r="U313" s="60">
        <f>IF(T313="within",1,0)</f>
        <v>0</v>
      </c>
      <c r="V313" s="60">
        <v>8</v>
      </c>
      <c r="W313" s="60">
        <f>F313*V313</f>
        <v>192</v>
      </c>
      <c r="X313" s="60">
        <v>3</v>
      </c>
      <c r="Y313" s="76">
        <f>AV312</f>
        <v>120</v>
      </c>
      <c r="Z313" s="60" t="s">
        <v>97</v>
      </c>
      <c r="AA313" s="60">
        <v>604800</v>
      </c>
      <c r="AB313" s="60" t="str">
        <f>IF(AA313&lt;60,"1",IF(AA313&lt;=43200,"2",IF(AA313&lt;=777600,"3","4")))</f>
        <v>3</v>
      </c>
      <c r="AC313" s="56">
        <f>AVERAGE(AV312:DA312)</f>
        <v>202540</v>
      </c>
      <c r="AD313" s="60" t="str">
        <f>IF(AC313&lt;60,"1",IF(AC313&lt;=43200,"2",IF(AC313&lt;=777600,"3","4")))</f>
        <v>3</v>
      </c>
      <c r="AE313" s="76">
        <f>AA313-Y313</f>
        <v>604680</v>
      </c>
      <c r="AF313" s="80">
        <f>AV313</f>
        <v>0.27</v>
      </c>
      <c r="AG313" s="56">
        <f>((AW313-AV313)+(AX313-AW313))/2</f>
        <v>-8.5000000000000006E-2</v>
      </c>
      <c r="AH313" s="4"/>
      <c r="AI313" s="56">
        <f>RSQ(AV313:AX313,AV312:AX312)</f>
        <v>0.95097848024207177</v>
      </c>
      <c r="AJ313" s="109">
        <f>SLOPE(AV313:AX313,AV312:AX312)</f>
        <v>-2.4880461508620113E-7</v>
      </c>
      <c r="AK313" s="56">
        <f>INTERCEPT(AV313:AX313,AV312:AX312)</f>
        <v>0.25039288673955917</v>
      </c>
      <c r="AL313" s="56">
        <f>INDEX(LINEST(LN(AV313:AX313),LN(AV312:AX312),TRUE,TRUE),3,1)</f>
        <v>0.95310665775978187</v>
      </c>
      <c r="AM313" s="56">
        <f>INDEX(LINEST(LN(AV313:AX313),LN(AV312:AX312)),1)</f>
        <v>-0.12067418459226069</v>
      </c>
      <c r="AN313" s="56">
        <f>EXP(INDEX(LINEST(LN(AV313:AX313),LN(AV312:AX312)),1,2))</f>
        <v>0.52310371517500276</v>
      </c>
      <c r="AO313" s="82">
        <f>INDEX(LINEST((AV313:AX313),LN(AV312:AX312),TRUE,TRUE),3,1)</f>
        <v>0.97990389746486084</v>
      </c>
      <c r="AP313" s="82">
        <f>INDEX(LINEST((AV313:AX313),LN(AV312:AX312)),1)</f>
        <v>-2.0395552391113785E-2</v>
      </c>
      <c r="AQ313" s="83">
        <f>INDEX(LINEST(LN(AV313:AX313),SQRT(AV312:AX312),TRUE,TRUE),3,1)</f>
        <v>0.98935287736557376</v>
      </c>
      <c r="AR313" s="116">
        <f>INDEX(LINEST(LN(AV313:AX313),SQRT((AV312:AX312))),1)</f>
        <v>-1.2296604567087767E-3</v>
      </c>
      <c r="AS313" s="84">
        <f>INDEX(LINEST(1/(AV313:AX313),1/(SQRT(AV312:AX312)),TRUE,TRUE),3,1)</f>
        <v>0.52095143562605339</v>
      </c>
      <c r="AT313" s="84">
        <f>INDEX(LINEST(1/(AV313:AX313),1/SQRT(AV312:AX312)),1)</f>
        <v>-52.493667945953689</v>
      </c>
      <c r="AU313" s="3"/>
      <c r="AV313" s="53">
        <v>0.27</v>
      </c>
      <c r="AW313" s="53">
        <v>0.23</v>
      </c>
      <c r="AX313" s="53">
        <v>0.1</v>
      </c>
      <c r="AY313" s="53"/>
      <c r="AZ313" s="53"/>
      <c r="BA313" s="53"/>
      <c r="BB313" s="53"/>
      <c r="BC313" s="53"/>
      <c r="BN313" s="53"/>
      <c r="BO313" s="53"/>
      <c r="BP313" s="53"/>
      <c r="BQ313" s="53"/>
      <c r="BR313" s="53"/>
      <c r="BS313" s="53"/>
      <c r="BT313" s="53"/>
      <c r="BU313" s="53"/>
      <c r="BV313" s="53"/>
      <c r="BW313" s="53"/>
      <c r="BX313" s="53"/>
      <c r="BY313" s="53"/>
      <c r="BZ313" s="53"/>
      <c r="CA313" s="53"/>
      <c r="CB313" s="53"/>
      <c r="CC313" s="53"/>
      <c r="CD313" s="53"/>
      <c r="CE313" s="53"/>
      <c r="CF313" s="53"/>
      <c r="CG313" s="53"/>
      <c r="CH313" s="53"/>
      <c r="CI313" s="53"/>
      <c r="CJ313" s="53"/>
      <c r="CK313" s="53"/>
      <c r="CL313" s="53"/>
      <c r="CM313" s="53"/>
      <c r="CN313" s="53"/>
      <c r="CO313" s="53"/>
      <c r="CP313" s="53"/>
      <c r="CQ313" s="53"/>
      <c r="CR313" s="1"/>
      <c r="CS313" s="1"/>
      <c r="CT313" s="1"/>
      <c r="CU313" s="1"/>
    </row>
    <row r="314" spans="1:99" ht="12" customHeight="1" x14ac:dyDescent="0.2">
      <c r="A314" s="65">
        <v>43509</v>
      </c>
      <c r="B314" s="15"/>
      <c r="C314" s="15"/>
      <c r="D314" s="59"/>
      <c r="F314" s="59"/>
      <c r="G314" s="59"/>
      <c r="J314" s="59"/>
      <c r="M314" s="59"/>
      <c r="N314" s="59"/>
      <c r="O314" s="59"/>
      <c r="P314" s="59"/>
      <c r="Q314" s="59"/>
      <c r="R314" s="60"/>
      <c r="S314" s="59"/>
      <c r="T314" s="59"/>
      <c r="U314" s="60"/>
      <c r="V314" s="59"/>
      <c r="W314" s="60"/>
      <c r="Y314" s="76"/>
      <c r="AB314" s="60"/>
      <c r="AC314" s="60"/>
      <c r="AD314" s="60"/>
      <c r="AE314" s="60"/>
      <c r="AF314" s="80"/>
      <c r="AG314" s="56"/>
      <c r="AI314" s="55"/>
      <c r="AJ314" s="111"/>
      <c r="AK314" s="55"/>
      <c r="AL314" s="55"/>
      <c r="AM314" s="55"/>
      <c r="AN314" s="55"/>
      <c r="AO314" s="55"/>
      <c r="AP314" s="55"/>
      <c r="AQ314" s="56"/>
      <c r="AR314" s="109"/>
      <c r="AS314" s="56"/>
      <c r="AT314" s="56"/>
      <c r="AU314" s="4"/>
      <c r="AV314" s="47">
        <v>300</v>
      </c>
      <c r="AW314" s="47">
        <v>1200</v>
      </c>
      <c r="AX314" s="47">
        <v>3600</v>
      </c>
      <c r="AY314" s="47">
        <v>86400</v>
      </c>
      <c r="AZ314" s="47">
        <v>172800</v>
      </c>
      <c r="BA314" s="11"/>
      <c r="BB314" s="11"/>
      <c r="BC314" s="11"/>
      <c r="BD314" s="11"/>
      <c r="BE314" s="11"/>
      <c r="BF314" s="11"/>
      <c r="BG314" s="11"/>
      <c r="BH314" s="11"/>
      <c r="BI314" s="11"/>
      <c r="BJ314" s="11"/>
      <c r="BK314" s="11"/>
      <c r="BL314" s="11"/>
      <c r="BM314" s="11"/>
      <c r="BN314" s="11"/>
      <c r="BO314" s="11"/>
      <c r="BP314" s="11"/>
      <c r="BQ314" s="11"/>
      <c r="BR314" s="11"/>
      <c r="BS314" s="11"/>
      <c r="BT314" s="11"/>
      <c r="BU314" s="11"/>
      <c r="BV314" s="11"/>
      <c r="BW314" s="11"/>
      <c r="BX314" s="11"/>
      <c r="BY314" s="11"/>
      <c r="BZ314" s="11"/>
      <c r="CA314" s="11"/>
      <c r="CB314" s="11"/>
      <c r="CC314" s="11"/>
      <c r="CD314" s="11"/>
      <c r="CE314" s="11"/>
      <c r="CF314" s="11"/>
      <c r="CG314" s="11"/>
      <c r="CH314" s="11"/>
      <c r="CI314" s="11"/>
      <c r="CJ314" s="11"/>
      <c r="CK314" s="11"/>
      <c r="CL314" s="11"/>
      <c r="CM314" s="11"/>
      <c r="CN314" s="11"/>
      <c r="CO314" s="11"/>
      <c r="CP314" s="11"/>
      <c r="CQ314" s="11"/>
      <c r="CR314" s="15"/>
      <c r="CS314" s="15"/>
      <c r="CT314" s="15"/>
      <c r="CU314" s="15"/>
    </row>
    <row r="315" spans="1:99" ht="12" customHeight="1" x14ac:dyDescent="0.2">
      <c r="A315" s="65">
        <v>43509</v>
      </c>
      <c r="B315" s="15" t="s">
        <v>905</v>
      </c>
      <c r="C315" s="15" t="s">
        <v>84</v>
      </c>
      <c r="D315" s="59">
        <v>1926</v>
      </c>
      <c r="E315" s="77">
        <v>1</v>
      </c>
      <c r="F315" s="59">
        <v>5</v>
      </c>
      <c r="G315" s="59">
        <v>5</v>
      </c>
      <c r="H315" s="59" t="s">
        <v>38</v>
      </c>
      <c r="I315" s="64" t="s">
        <v>858</v>
      </c>
      <c r="J315" s="59" t="s">
        <v>765</v>
      </c>
      <c r="K315" s="60">
        <f>IF(J315="syllables",1,IF(J315="trigrams",2,IF(J315="strings",3,IF(J315="visual array",4,IF(J315="characters",5,IF(J315="letters",6,IF(J315="free forms",7,IF(J315="odors",8,IF(J315="words",9,IF(J315="pictures",10,IF(J315="object pictures",11,IF(J315="faces",12,IF(J315="names",13,IF(J315="idioms",14,IF(J315="grades",15,IF(J315="syllable-digit pairs",16,IF(J315="trigram-word pairs",17,IF(J315="word-digit pairs",18,IF(J315="English-Swahili pairs",19,IF(J315="spatial position",20,IF(J315="word pairs",21,IF(J315="word triads",22,IF(J315="generated words",23,IF(J315="word definition pairs",24,IF(J315="math problems",25,IF(J315="famous faces",26,IF(J315="famous names",27,IF(J315="famous voices",28,IF(J315="television programs",29,IF(J315="race horses",30,IF(J315="new vocabulary",31,IF(J315="sentences",32,IF(J315="concepts",33,IF(J315="ad slides",34,IF(J315="scenes",35,IF(J315="famous scenes",36,IF(J315="poems",37,IF(J315="walk",38,IF(J315="faces and events",39,IF(J315="events and names",40,IF(J315="flashbulb",41,IF(J315="stories",42,IF(J315="course material",43,IF(J315="autobiographical",44,IF(J315="novels",45,IF(J315="public events",46,"99"))))))))))))))))))))))))))))))))))))))))))))))</f>
        <v>5</v>
      </c>
      <c r="L315" s="60">
        <f>IF(J315="syllables",1,IF(J315="trigrams",1,IF(J315="strings",1,IF(J315="visual array",1,IF(J315="characters",1,IF(J315="letters",1,IF(J315="free forms",1,IF(J315="odors",2,IF(J315="words",2,IF(J315="pictures",2,IF(J315="object pictures",2,IF(J315="faces",2,IF(J315="names",2,IF(J315="idioms","2",IF(J315="grades",2,IF(J315="syllable-digit pairs",3,IF(J315="trigram-word pairs",3,IF(J315="word-digit pairs",3,IF(J315="English-Swahili pairs",3,IF(J315="spatial position",3,IF(J315="word pairs",4,IF(J315="word triads",4,IF(J315="generated words",4,IF(J315="word definition pairs",4,IF(J315="math problems",4,IF(J315="famous faces",4,IF(J315="famous names",4,IF(J315="famous voices",4,IF(J315="television programs",4,IF(J315="race horses",4,IF(J315="new vocabulary",4,IF(J315="sentences",5,IF(J315="concepts",5,IF(J315="ad slides",5,IF(J315="scenes",5,IF(J315="famous scenes",5,IF(J315="poems",6,IF(J315="walk",6,IF(J315="faces and events",6,IF(J315="events and names",6,IF(J315="flashbulb",7,IF(J315="stories",7,IF(J315="course material",7,IF(J315="autobiographical",7,IF(J315="novels",7,IF(J315="public events",7,"99"))))))))))))))))))))))))))))))))))))))))))))))</f>
        <v>1</v>
      </c>
      <c r="M315" s="64">
        <v>0</v>
      </c>
      <c r="N315" s="59">
        <v>1</v>
      </c>
      <c r="O315" s="59">
        <v>0</v>
      </c>
      <c r="P315" s="59"/>
      <c r="Q315" s="59" t="s">
        <v>34</v>
      </c>
      <c r="R315" s="60">
        <f>IF(Q315="Free Recall",1,IF(Q315="Cued Recall",2,IF(Q315="Recognition",3,IF(Q315="Multiple Choice",4,IF(Q315="Savings",5,IF(Q315="Stem Completion",6,IF(Q315="Fragment Completion",7,IF(Q315="anagram solution",8,IF(Q315="Matching",9,IF(Q315="Problem Solving",10,"99"))))))))))</f>
        <v>3</v>
      </c>
      <c r="S315" s="59" t="s">
        <v>15</v>
      </c>
      <c r="T315" s="59" t="s">
        <v>581</v>
      </c>
      <c r="U315" s="60">
        <f>IF(T315="within",1,0)</f>
        <v>1</v>
      </c>
      <c r="V315" s="59">
        <v>65</v>
      </c>
      <c r="W315" s="60">
        <f>F315*V315</f>
        <v>325</v>
      </c>
      <c r="X315" s="60">
        <v>5</v>
      </c>
      <c r="Y315" s="76">
        <f>AV314</f>
        <v>300</v>
      </c>
      <c r="Z315" s="64" t="s">
        <v>88</v>
      </c>
      <c r="AA315" s="59">
        <f>2*24*3600</f>
        <v>172800</v>
      </c>
      <c r="AB315" s="60" t="str">
        <f t="shared" ref="AB315:AB325" si="0">IF(AA315&lt;60,"1",IF(AA315&lt;=43200,"2",IF(AA315&lt;=777600,"3","4")))</f>
        <v>3</v>
      </c>
      <c r="AC315" s="56">
        <f t="shared" ref="AC315" si="1">AVERAGE(AV314:DA314)</f>
        <v>52860</v>
      </c>
      <c r="AD315" s="60" t="str">
        <f>IF(AC315&lt;60,"1",IF(AC315&lt;=43200,"2",IF(AC315&lt;=777600,"3","4")))</f>
        <v>3</v>
      </c>
      <c r="AE315" s="76">
        <f>AA315-Y315</f>
        <v>172500</v>
      </c>
      <c r="AF315" s="80">
        <f>AV315</f>
        <v>0.71</v>
      </c>
      <c r="AG315" s="56">
        <f>((AW315-AV315)+(AX315-AW315)+(AY315-AX315)+(AZ315-AY315))/4</f>
        <v>-1.7499999999999988E-2</v>
      </c>
      <c r="AI315" s="56">
        <f>RSQ(AV315:AZ315,AV314:AZ314)</f>
        <v>0.45042457126907454</v>
      </c>
      <c r="AJ315" s="109">
        <f>SLOPE(AV315:AZ315,AV314:AZ314)</f>
        <v>-4.8253641072094275E-7</v>
      </c>
      <c r="AK315" s="56">
        <f>INTERCEPT(AV315:AZ315,AV314:AZ314)</f>
        <v>0.70250687467070905</v>
      </c>
      <c r="AL315" s="56">
        <f>INDEX(LINEST(LN(AV315:AZ315),LN(AV314:AZ314),TRUE,TRUE),3,1)</f>
        <v>0.68343536697858587</v>
      </c>
      <c r="AM315" s="56">
        <f>INDEX(LINEST(LN(AV315:AZ315),LN(AV314:AZ314)),1)</f>
        <v>-2.4153167525071149E-2</v>
      </c>
      <c r="AN315" s="56">
        <f>EXP(INDEX(LINEST(LN(AV315:AZ315),LN(AV314:AZ314)),1,2))</f>
        <v>0.83681793167297913</v>
      </c>
      <c r="AO315" s="82">
        <f>INDEX(LINEST((AV315:AZ315),LN(AV314:AZ314),TRUE,TRUE),3,1)</f>
        <v>0.66669724399335784</v>
      </c>
      <c r="AP315" s="82">
        <f>INDEX(LINEST((AV315:AZ315),LN(AV314:AZ314)),1)</f>
        <v>-1.6366746872929317E-2</v>
      </c>
      <c r="AQ315" s="83">
        <f>INDEX(LINEST(LN(AV315:AZ315),SQRT(AV314:AZ314),TRUE,TRUE),3,1)</f>
        <v>0.58376688657834841</v>
      </c>
      <c r="AR315" s="116">
        <f>INDEX(LINEST(LN(AV315:AZ315),SQRT((AV314:AZ314))),1)</f>
        <v>-3.4039724837843564E-4</v>
      </c>
      <c r="AS315" s="84">
        <f>INDEX(LINEST(1/(AV315:AZ315),1/(SQRT(AV314:AZ314)),TRUE,TRUE),3,1)</f>
        <v>0.54547222475322132</v>
      </c>
      <c r="AT315" s="84">
        <f>INDEX(LINEST(1/(AV315:AZ315),1/SQRT(AV314:AZ314)),1)</f>
        <v>-3.7920910561709977</v>
      </c>
      <c r="AU315" s="3"/>
      <c r="AV315" s="11">
        <v>0.71</v>
      </c>
      <c r="AW315" s="11">
        <v>0.755</v>
      </c>
      <c r="AX315" s="11">
        <v>0.65999999999999992</v>
      </c>
      <c r="AY315" s="11">
        <v>0.62</v>
      </c>
      <c r="AZ315" s="11">
        <v>0.64</v>
      </c>
      <c r="BA315" s="11"/>
      <c r="BB315" s="11"/>
      <c r="BC315" s="11"/>
      <c r="BD315" s="11"/>
      <c r="BE315" s="11"/>
      <c r="BF315" s="11"/>
      <c r="BG315" s="11"/>
      <c r="BH315" s="11"/>
      <c r="BI315" s="11"/>
      <c r="BJ315" s="11"/>
      <c r="BK315" s="11"/>
      <c r="BL315" s="11"/>
      <c r="BM315" s="11"/>
      <c r="BN315" s="11"/>
      <c r="BO315" s="11"/>
      <c r="BP315" s="11"/>
      <c r="BQ315" s="11"/>
      <c r="BR315" s="11"/>
      <c r="BS315" s="11"/>
      <c r="BT315" s="11"/>
      <c r="BU315" s="11"/>
      <c r="BV315" s="11"/>
      <c r="BW315" s="11"/>
      <c r="BX315" s="11"/>
      <c r="BY315" s="11"/>
      <c r="BZ315" s="11"/>
      <c r="CA315" s="11"/>
      <c r="CB315" s="11"/>
      <c r="CC315" s="11"/>
      <c r="CD315" s="11"/>
      <c r="CE315" s="11"/>
      <c r="CF315" s="11"/>
      <c r="CG315" s="11"/>
      <c r="CH315" s="11"/>
      <c r="CI315" s="11"/>
      <c r="CJ315" s="11"/>
      <c r="CK315" s="11"/>
      <c r="CL315" s="11"/>
      <c r="CM315" s="11"/>
      <c r="CN315" s="11"/>
      <c r="CO315" s="11"/>
      <c r="CP315" s="11"/>
      <c r="CQ315" s="11"/>
      <c r="CR315" s="15"/>
      <c r="CS315" s="15"/>
      <c r="CT315" s="15"/>
      <c r="CU315" s="15"/>
    </row>
    <row r="316" spans="1:99" ht="12" customHeight="1" x14ac:dyDescent="0.2">
      <c r="A316" s="65">
        <v>43509</v>
      </c>
      <c r="B316" s="15"/>
      <c r="C316" s="15"/>
      <c r="D316" s="59"/>
      <c r="F316" s="59"/>
      <c r="G316" s="59"/>
      <c r="H316" s="59"/>
      <c r="J316" s="59"/>
      <c r="N316" s="59"/>
      <c r="O316" s="59"/>
      <c r="P316" s="59"/>
      <c r="Q316" s="59"/>
      <c r="R316" s="60"/>
      <c r="S316" s="59"/>
      <c r="T316" s="59"/>
      <c r="U316" s="60"/>
      <c r="V316" s="59"/>
      <c r="W316" s="60"/>
      <c r="Y316" s="76"/>
      <c r="AB316" s="60"/>
      <c r="AC316" s="60"/>
      <c r="AD316" s="60"/>
      <c r="AE316" s="60"/>
      <c r="AF316" s="80"/>
      <c r="AG316" s="56"/>
      <c r="AI316" s="55"/>
      <c r="AJ316" s="111"/>
      <c r="AK316" s="55"/>
      <c r="AL316" s="55"/>
      <c r="AM316" s="55"/>
      <c r="AN316" s="55"/>
      <c r="AO316" s="55"/>
      <c r="AP316" s="55"/>
      <c r="AQ316" s="56"/>
      <c r="AR316" s="109"/>
      <c r="AS316" s="56"/>
      <c r="AT316" s="56"/>
      <c r="AU316" s="4"/>
      <c r="AV316" s="47">
        <v>300</v>
      </c>
      <c r="AW316" s="47">
        <v>1200</v>
      </c>
      <c r="AX316" s="47">
        <v>3600</v>
      </c>
      <c r="AY316" s="47">
        <v>28800</v>
      </c>
      <c r="AZ316" s="47">
        <v>86400</v>
      </c>
      <c r="BA316" s="47">
        <v>172800</v>
      </c>
      <c r="BB316" s="11"/>
      <c r="BC316" s="11"/>
      <c r="BD316" s="11"/>
      <c r="BE316" s="11"/>
      <c r="BF316" s="11"/>
      <c r="BG316" s="11"/>
      <c r="BH316" s="11"/>
      <c r="BI316" s="11"/>
      <c r="BJ316" s="11"/>
      <c r="BK316" s="11"/>
      <c r="BL316" s="11"/>
      <c r="BM316" s="11"/>
      <c r="BN316" s="11"/>
      <c r="BO316" s="11"/>
      <c r="BP316" s="11"/>
      <c r="BQ316" s="11"/>
      <c r="BR316" s="11"/>
      <c r="BS316" s="11"/>
      <c r="BT316" s="11"/>
      <c r="BU316" s="11"/>
      <c r="BV316" s="11"/>
      <c r="BW316" s="11"/>
      <c r="BX316" s="11"/>
      <c r="BY316" s="11"/>
      <c r="BZ316" s="11"/>
      <c r="CA316" s="11"/>
      <c r="CB316" s="11"/>
      <c r="CC316" s="11"/>
      <c r="CD316" s="11"/>
      <c r="CE316" s="11"/>
      <c r="CF316" s="11"/>
      <c r="CG316" s="11"/>
      <c r="CH316" s="11"/>
      <c r="CI316" s="11"/>
      <c r="CJ316" s="11"/>
      <c r="CK316" s="11"/>
      <c r="CL316" s="11"/>
      <c r="CM316" s="11"/>
      <c r="CN316" s="11"/>
      <c r="CO316" s="11"/>
      <c r="CP316" s="11"/>
      <c r="CQ316" s="11"/>
      <c r="CR316" s="15"/>
      <c r="CS316" s="15"/>
      <c r="CT316" s="15"/>
      <c r="CU316" s="15"/>
    </row>
    <row r="317" spans="1:99" ht="12" customHeight="1" x14ac:dyDescent="0.2">
      <c r="A317" s="65">
        <v>43509</v>
      </c>
      <c r="B317" s="15" t="s">
        <v>905</v>
      </c>
      <c r="C317" s="15" t="s">
        <v>84</v>
      </c>
      <c r="D317" s="59">
        <v>1926</v>
      </c>
      <c r="E317" s="77">
        <v>2</v>
      </c>
      <c r="F317" s="59">
        <v>6</v>
      </c>
      <c r="G317" s="59">
        <v>6</v>
      </c>
      <c r="H317" s="59" t="s">
        <v>38</v>
      </c>
      <c r="I317" s="64" t="s">
        <v>859</v>
      </c>
      <c r="J317" s="59" t="s">
        <v>765</v>
      </c>
      <c r="K317" s="60">
        <f>IF(J317="syllables",1,IF(J317="trigrams",2,IF(J317="strings",3,IF(J317="visual array",4,IF(J317="characters",5,IF(J317="letters",6,IF(J317="free forms",7,IF(J317="odors",8,IF(J317="words",9,IF(J317="pictures",10,IF(J317="object pictures",11,IF(J317="faces",12,IF(J317="names",13,IF(J317="idioms",14,IF(J317="grades",15,IF(J317="syllable-digit pairs",16,IF(J317="trigram-word pairs",17,IF(J317="word-digit pairs",18,IF(J317="English-Swahili pairs",19,IF(J317="spatial position",20,IF(J317="word pairs",21,IF(J317="word triads",22,IF(J317="generated words",23,IF(J317="word definition pairs",24,IF(J317="math problems",25,IF(J317="famous faces",26,IF(J317="famous names",27,IF(J317="famous voices",28,IF(J317="television programs",29,IF(J317="race horses",30,IF(J317="new vocabulary",31,IF(J317="sentences",32,IF(J317="concepts",33,IF(J317="ad slides",34,IF(J317="scenes",35,IF(J317="famous scenes",36,IF(J317="poems",37,IF(J317="walk",38,IF(J317="faces and events",39,IF(J317="events and names",40,IF(J317="flashbulb",41,IF(J317="stories",42,IF(J317="course material",43,IF(J317="autobiographical",44,IF(J317="novels",45,IF(J317="public events",46,"99"))))))))))))))))))))))))))))))))))))))))))))))</f>
        <v>5</v>
      </c>
      <c r="L317" s="60">
        <f>IF(J317="syllables",1,IF(J317="trigrams",1,IF(J317="strings",1,IF(J317="visual array",1,IF(J317="characters",1,IF(J317="letters",1,IF(J317="free forms",1,IF(J317="odors",2,IF(J317="words",2,IF(J317="pictures",2,IF(J317="object pictures",2,IF(J317="faces",2,IF(J317="names",2,IF(J317="idioms","2",IF(J317="grades",2,IF(J317="syllable-digit pairs",3,IF(J317="trigram-word pairs",3,IF(J317="word-digit pairs",3,IF(J317="English-Swahili pairs",3,IF(J317="spatial position",3,IF(J317="word pairs",4,IF(J317="word triads",4,IF(J317="generated words",4,IF(J317="word definition pairs",4,IF(J317="math problems",4,IF(J317="famous faces",4,IF(J317="famous names",4,IF(J317="famous voices",4,IF(J317="television programs",4,IF(J317="race horses",4,IF(J317="new vocabulary",4,IF(J317="sentences",5,IF(J317="concepts",5,IF(J317="ad slides",5,IF(J317="scenes",5,IF(J317="famous scenes",5,IF(J317="poems",6,IF(J317="walk",6,IF(J317="faces and events",6,IF(J317="events and names",6,IF(J317="flashbulb",7,IF(J317="stories",7,IF(J317="course material",7,IF(J317="autobiographical",7,IF(J317="novels",7,IF(J317="public events",7,"99"))))))))))))))))))))))))))))))))))))))))))))))</f>
        <v>1</v>
      </c>
      <c r="M317" s="64">
        <v>0</v>
      </c>
      <c r="N317" s="59">
        <v>1</v>
      </c>
      <c r="O317" s="59">
        <v>0</v>
      </c>
      <c r="P317" s="59"/>
      <c r="Q317" s="59" t="s">
        <v>34</v>
      </c>
      <c r="R317" s="60">
        <f>IF(Q317="Free Recall",1,IF(Q317="Cued Recall",2,IF(Q317="Recognition",3,IF(Q317="Multiple Choice",4,IF(Q317="Savings",5,IF(Q317="Stem Completion",6,IF(Q317="Fragment Completion",7,IF(Q317="anagram solution",8,IF(Q317="Matching",9,IF(Q317="Problem Solving",10,"99"))))))))))</f>
        <v>3</v>
      </c>
      <c r="S317" s="59" t="s">
        <v>15</v>
      </c>
      <c r="T317" s="59" t="s">
        <v>581</v>
      </c>
      <c r="U317" s="60">
        <f>IF(T317="within",1,0)</f>
        <v>1</v>
      </c>
      <c r="V317" s="59">
        <v>65</v>
      </c>
      <c r="W317" s="60">
        <f>F317*V317</f>
        <v>390</v>
      </c>
      <c r="X317" s="60">
        <v>6</v>
      </c>
      <c r="Y317" s="76">
        <f>AV316</f>
        <v>300</v>
      </c>
      <c r="Z317" s="64" t="s">
        <v>88</v>
      </c>
      <c r="AA317" s="59">
        <f>2*24*3600</f>
        <v>172800</v>
      </c>
      <c r="AB317" s="60" t="str">
        <f t="shared" si="0"/>
        <v>3</v>
      </c>
      <c r="AC317" s="56">
        <f t="shared" ref="AC317" si="2">AVERAGE(AV316:DA316)</f>
        <v>48850</v>
      </c>
      <c r="AD317" s="60" t="str">
        <f>IF(AC317&lt;60,"1",IF(AC317&lt;=43200,"2",IF(AC317&lt;=777600,"3","4")))</f>
        <v>3</v>
      </c>
      <c r="AE317" s="76">
        <f>AA317-Y317</f>
        <v>172500</v>
      </c>
      <c r="AF317" s="80">
        <f>AV317</f>
        <v>0.73199999999999998</v>
      </c>
      <c r="AG317" s="56">
        <f>((AW317-AV317)+(AX317-AW317)+(AY317-AX317)+(AZ317-AY317)+(BA317-AZ317))/5</f>
        <v>-1.2999999999999989E-2</v>
      </c>
      <c r="AI317" s="56">
        <f>RSQ(AV317:BA317,AV316:BA316)</f>
        <v>0.66179841418918539</v>
      </c>
      <c r="AJ317" s="109">
        <f>SLOPE(AV317:BA317,AV316:BA316)</f>
        <v>-3.1247176456801499E-7</v>
      </c>
      <c r="AK317" s="56">
        <f>INTERCEPT(AV317:BA317,AV316:BA316)</f>
        <v>0.7249309123658142</v>
      </c>
      <c r="AL317" s="56">
        <f>INDEX(LINEST(LN(AV317:BA317),LN(AV316:BA316),TRUE,TRUE),3,1)</f>
        <v>0.67635444432697245</v>
      </c>
      <c r="AM317" s="56">
        <f>INDEX(LINEST(LN(AV317:BA317),LN(AV316:BA316)),1)</f>
        <v>-1.2359592810696339E-2</v>
      </c>
      <c r="AN317" s="56">
        <f>EXP(INDEX(LINEST(LN(AV317:BA317),LN(AV316:BA316)),1,2))</f>
        <v>0.79380317948774815</v>
      </c>
      <c r="AO317" s="82">
        <f>INDEX(LINEST((AV317:BA317),LN(AV316:BA316),TRUE,TRUE),3,1)</f>
        <v>0.68203834478863179</v>
      </c>
      <c r="AP317" s="82">
        <f>INDEX(LINEST((AV317:BA317),LN(AV316:BA316)),1)</f>
        <v>-8.7056070468199079E-3</v>
      </c>
      <c r="AQ317" s="83">
        <f>INDEX(LINEST(LN(AV317:BA317),SQRT(AV316:BA316),TRUE,TRUE),3,1)</f>
        <v>0.69973219156244282</v>
      </c>
      <c r="AR317" s="116">
        <f>INDEX(LINEST(LN(AV317:BA317),SQRT((AV316:BA316))),1)</f>
        <v>-1.967218049164407E-4</v>
      </c>
      <c r="AS317" s="84">
        <f>INDEX(LINEST(1/(AV317:BA317),1/(SQRT(AV316:BA316)),TRUE,TRUE),3,1)</f>
        <v>0.48115290655962206</v>
      </c>
      <c r="AT317" s="84">
        <f>INDEX(LINEST(1/(AV317:BA317),1/SQRT(AV316:BA316)),1)</f>
        <v>-1.7479132058706346</v>
      </c>
      <c r="AU317" s="3"/>
      <c r="AV317" s="11">
        <v>0.73199999999999998</v>
      </c>
      <c r="AW317" s="11">
        <v>0.73649999999999993</v>
      </c>
      <c r="AX317" s="11">
        <v>0.71799999999999997</v>
      </c>
      <c r="AY317" s="11">
        <v>0.69</v>
      </c>
      <c r="AZ317" s="11">
        <v>0.71450000000000002</v>
      </c>
      <c r="BA317" s="11">
        <v>0.66700000000000004</v>
      </c>
      <c r="BB317" s="11"/>
      <c r="BC317" s="11"/>
      <c r="BD317" s="11"/>
      <c r="BE317" s="11"/>
      <c r="BF317" s="11"/>
      <c r="BG317" s="11"/>
      <c r="BH317" s="11"/>
      <c r="BI317" s="11"/>
      <c r="BJ317" s="11"/>
      <c r="BK317" s="11"/>
      <c r="BL317" s="11"/>
      <c r="BM317" s="11"/>
      <c r="BN317" s="11"/>
      <c r="BO317" s="11"/>
      <c r="BP317" s="11"/>
      <c r="BQ317" s="11"/>
      <c r="BR317" s="11"/>
      <c r="BS317" s="11"/>
      <c r="BT317" s="11"/>
      <c r="BU317" s="11"/>
      <c r="BV317" s="11"/>
      <c r="BW317" s="11"/>
      <c r="BX317" s="11"/>
      <c r="BY317" s="11"/>
      <c r="BZ317" s="11"/>
      <c r="CA317" s="11"/>
      <c r="CB317" s="11"/>
      <c r="CC317" s="11"/>
      <c r="CD317" s="11"/>
      <c r="CE317" s="11"/>
      <c r="CF317" s="11"/>
      <c r="CG317" s="11"/>
      <c r="CH317" s="11"/>
      <c r="CI317" s="11"/>
      <c r="CJ317" s="11"/>
      <c r="CK317" s="11"/>
      <c r="CL317" s="11"/>
      <c r="CM317" s="11"/>
      <c r="CN317" s="11"/>
      <c r="CO317" s="11"/>
      <c r="CP317" s="11"/>
      <c r="CQ317" s="11"/>
      <c r="CR317" s="15"/>
      <c r="CS317" s="15"/>
      <c r="CT317" s="15"/>
      <c r="CU317" s="15"/>
    </row>
    <row r="318" spans="1:99" ht="12" customHeight="1" x14ac:dyDescent="0.2">
      <c r="A318" s="65">
        <v>43509</v>
      </c>
      <c r="B318" s="15"/>
      <c r="C318" s="15"/>
      <c r="D318" s="59"/>
      <c r="F318" s="59"/>
      <c r="G318" s="59"/>
      <c r="H318" s="59"/>
      <c r="J318" s="59"/>
      <c r="N318" s="59"/>
      <c r="O318" s="59"/>
      <c r="P318" s="59"/>
      <c r="Q318" s="59"/>
      <c r="R318" s="60"/>
      <c r="S318" s="59"/>
      <c r="T318" s="59"/>
      <c r="U318" s="60"/>
      <c r="V318" s="59"/>
      <c r="W318" s="60"/>
      <c r="Y318" s="76"/>
      <c r="AB318" s="60"/>
      <c r="AC318" s="60"/>
      <c r="AD318" s="60"/>
      <c r="AE318" s="60"/>
      <c r="AF318" s="80"/>
      <c r="AG318" s="56"/>
      <c r="AI318" s="55"/>
      <c r="AJ318" s="111"/>
      <c r="AK318" s="55"/>
      <c r="AL318" s="55"/>
      <c r="AM318" s="55"/>
      <c r="AN318" s="55"/>
      <c r="AO318" s="55"/>
      <c r="AP318" s="55"/>
      <c r="AQ318" s="56"/>
      <c r="AR318" s="109"/>
      <c r="AS318" s="56"/>
      <c r="AT318" s="56"/>
      <c r="AU318" s="4"/>
      <c r="AV318" s="47">
        <v>300</v>
      </c>
      <c r="AW318" s="47">
        <v>1200</v>
      </c>
      <c r="AX318" s="47">
        <v>3600</v>
      </c>
      <c r="AY318" s="47">
        <v>28800</v>
      </c>
      <c r="AZ318" s="47">
        <v>86400</v>
      </c>
      <c r="BA318" s="47">
        <v>172800</v>
      </c>
      <c r="BB318" s="11"/>
      <c r="BC318" s="11"/>
      <c r="BD318" s="11"/>
      <c r="BE318" s="11"/>
      <c r="BF318" s="11"/>
      <c r="BG318" s="11"/>
      <c r="BH318" s="11"/>
      <c r="BI318" s="11"/>
      <c r="BJ318" s="11"/>
      <c r="BK318" s="11"/>
      <c r="BL318" s="11"/>
      <c r="BM318" s="11"/>
      <c r="BN318" s="11"/>
      <c r="BO318" s="11"/>
      <c r="BP318" s="11"/>
      <c r="BQ318" s="11"/>
      <c r="BR318" s="11"/>
      <c r="BS318" s="11"/>
      <c r="BT318" s="11"/>
      <c r="BU318" s="11"/>
      <c r="BV318" s="11"/>
      <c r="BW318" s="11"/>
      <c r="BX318" s="11"/>
      <c r="BY318" s="11"/>
      <c r="BZ318" s="11"/>
      <c r="CA318" s="11"/>
      <c r="CB318" s="11"/>
      <c r="CC318" s="11"/>
      <c r="CD318" s="11"/>
      <c r="CE318" s="11"/>
      <c r="CF318" s="11"/>
      <c r="CG318" s="11"/>
      <c r="CH318" s="11"/>
      <c r="CI318" s="11"/>
      <c r="CJ318" s="11"/>
      <c r="CK318" s="11"/>
      <c r="CL318" s="11"/>
      <c r="CM318" s="11"/>
      <c r="CN318" s="11"/>
      <c r="CO318" s="11"/>
      <c r="CP318" s="11"/>
      <c r="CQ318" s="11"/>
      <c r="CR318" s="15"/>
      <c r="CS318" s="15"/>
      <c r="CT318" s="15"/>
      <c r="CU318" s="15"/>
    </row>
    <row r="319" spans="1:99" ht="12" customHeight="1" x14ac:dyDescent="0.2">
      <c r="A319" s="65">
        <v>43509</v>
      </c>
      <c r="B319" s="15" t="s">
        <v>905</v>
      </c>
      <c r="C319" s="15" t="s">
        <v>84</v>
      </c>
      <c r="D319" s="59">
        <v>1926</v>
      </c>
      <c r="E319" s="77">
        <v>2</v>
      </c>
      <c r="F319" s="59">
        <v>13</v>
      </c>
      <c r="G319" s="59">
        <v>13</v>
      </c>
      <c r="H319" s="59" t="s">
        <v>38</v>
      </c>
      <c r="I319" s="64" t="s">
        <v>860</v>
      </c>
      <c r="J319" s="59" t="s">
        <v>765</v>
      </c>
      <c r="K319" s="60">
        <f>IF(J319="syllables",1,IF(J319="trigrams",2,IF(J319="strings",3,IF(J319="visual array",4,IF(J319="characters",5,IF(J319="letters",6,IF(J319="free forms",7,IF(J319="odors",8,IF(J319="words",9,IF(J319="pictures",10,IF(J319="object pictures",11,IF(J319="faces",12,IF(J319="names",13,IF(J319="idioms",14,IF(J319="grades",15,IF(J319="syllable-digit pairs",16,IF(J319="trigram-word pairs",17,IF(J319="word-digit pairs",18,IF(J319="English-Swahili pairs",19,IF(J319="spatial position",20,IF(J319="word pairs",21,IF(J319="word triads",22,IF(J319="generated words",23,IF(J319="word definition pairs",24,IF(J319="math problems",25,IF(J319="famous faces",26,IF(J319="famous names",27,IF(J319="famous voices",28,IF(J319="television programs",29,IF(J319="race horses",30,IF(J319="new vocabulary",31,IF(J319="sentences",32,IF(J319="concepts",33,IF(J319="ad slides",34,IF(J319="scenes",35,IF(J319="famous scenes",36,IF(J319="poems",37,IF(J319="walk",38,IF(J319="faces and events",39,IF(J319="events and names",40,IF(J319="flashbulb",41,IF(J319="stories",42,IF(J319="course material",43,IF(J319="autobiographical",44,IF(J319="novels",45,IF(J319="public events",46,"99"))))))))))))))))))))))))))))))))))))))))))))))</f>
        <v>5</v>
      </c>
      <c r="L319" s="60">
        <f>IF(J319="syllables",1,IF(J319="trigrams",1,IF(J319="strings",1,IF(J319="visual array",1,IF(J319="characters",1,IF(J319="letters",1,IF(J319="free forms",1,IF(J319="odors",2,IF(J319="words",2,IF(J319="pictures",2,IF(J319="object pictures",2,IF(J319="faces",2,IF(J319="names",2,IF(J319="idioms","2",IF(J319="grades",2,IF(J319="syllable-digit pairs",3,IF(J319="trigram-word pairs",3,IF(J319="word-digit pairs",3,IF(J319="English-Swahili pairs",3,IF(J319="spatial position",3,IF(J319="word pairs",4,IF(J319="word triads",4,IF(J319="generated words",4,IF(J319="word definition pairs",4,IF(J319="math problems",4,IF(J319="famous faces",4,IF(J319="famous names",4,IF(J319="famous voices",4,IF(J319="television programs",4,IF(J319="race horses",4,IF(J319="new vocabulary",4,IF(J319="sentences",5,IF(J319="concepts",5,IF(J319="ad slides",5,IF(J319="scenes",5,IF(J319="famous scenes",5,IF(J319="poems",6,IF(J319="walk",6,IF(J319="faces and events",6,IF(J319="events and names",6,IF(J319="flashbulb",7,IF(J319="stories",7,IF(J319="course material",7,IF(J319="autobiographical",7,IF(J319="novels",7,IF(J319="public events",7,"99"))))))))))))))))))))))))))))))))))))))))))))))</f>
        <v>1</v>
      </c>
      <c r="M319" s="64">
        <v>0</v>
      </c>
      <c r="N319" s="59">
        <v>1</v>
      </c>
      <c r="O319" s="59">
        <v>0</v>
      </c>
      <c r="P319" s="59"/>
      <c r="Q319" s="59" t="s">
        <v>34</v>
      </c>
      <c r="R319" s="60">
        <f>IF(Q319="Free Recall",1,IF(Q319="Cued Recall",2,IF(Q319="Recognition",3,IF(Q319="Multiple Choice",4,IF(Q319="Savings",5,IF(Q319="Stem Completion",6,IF(Q319="Fragment Completion",7,IF(Q319="anagram solution",8,IF(Q319="Matching",9,IF(Q319="Problem Solving",10,"99"))))))))))</f>
        <v>3</v>
      </c>
      <c r="S319" s="59" t="s">
        <v>15</v>
      </c>
      <c r="T319" s="59" t="s">
        <v>581</v>
      </c>
      <c r="U319" s="60">
        <f>IF(T319="within",1,0)</f>
        <v>1</v>
      </c>
      <c r="V319" s="59">
        <v>65</v>
      </c>
      <c r="W319" s="60">
        <f>F319*V319</f>
        <v>845</v>
      </c>
      <c r="X319" s="60">
        <v>6</v>
      </c>
      <c r="Y319" s="76">
        <f>AV318</f>
        <v>300</v>
      </c>
      <c r="Z319" s="64" t="s">
        <v>88</v>
      </c>
      <c r="AA319" s="59">
        <f>2*24*3600</f>
        <v>172800</v>
      </c>
      <c r="AB319" s="60" t="str">
        <f t="shared" si="0"/>
        <v>3</v>
      </c>
      <c r="AC319" s="56">
        <f t="shared" ref="AC319" si="3">AVERAGE(AV318:DA318)</f>
        <v>48850</v>
      </c>
      <c r="AD319" s="60" t="str">
        <f>IF(AC319&lt;60,"1",IF(AC319&lt;=43200,"2",IF(AC319&lt;=777600,"3","4")))</f>
        <v>3</v>
      </c>
      <c r="AE319" s="76">
        <f>AA319-Y319</f>
        <v>172500</v>
      </c>
      <c r="AF319" s="80">
        <f>AV319</f>
        <v>0.66600000000000004</v>
      </c>
      <c r="AG319" s="58">
        <f>((AW319-AV319)+(AX319-AW319)+(AY319-AX319)+(AZ319-AY319)+(BA319-AZ319))/5</f>
        <v>-2.300000000000013E-3</v>
      </c>
      <c r="AI319" s="56">
        <f>RSQ(AV319:BA319,AV318:BA318)</f>
        <v>1.7864656067130204E-3</v>
      </c>
      <c r="AJ319" s="109">
        <f>SLOPE(AV319:BA319,AV318:BA318)</f>
        <v>-2.1707871792114286E-8</v>
      </c>
      <c r="AK319" s="56">
        <f>INTERCEPT(AV319:BA319,AV318:BA318)</f>
        <v>0.65822709620371145</v>
      </c>
      <c r="AL319" s="56">
        <f>INDEX(LINEST(LN(AV319:BA319),LN(AV318:BA318),TRUE,TRUE),3,1)</f>
        <v>3.7822840840896967E-2</v>
      </c>
      <c r="AM319" s="56">
        <f>INDEX(LINEST(LN(AV319:BA319),LN(AV318:BA318)),1)</f>
        <v>-4.1988415964167311E-3</v>
      </c>
      <c r="AN319" s="56">
        <f>EXP(INDEX(LINEST(LN(AV319:BA319),LN(AV318:BA318)),1,2))</f>
        <v>0.68196408207944714</v>
      </c>
      <c r="AO319" s="82">
        <f>INDEX(LINEST((AV319:BA319),LN(AV318:BA318),TRUE,TRUE),3,1)</f>
        <v>4.4534456795517832E-2</v>
      </c>
      <c r="AP319" s="82">
        <f>INDEX(LINEST((AV319:BA319),LN(AV318:BA318)),1)</f>
        <v>-2.9745052738581997E-3</v>
      </c>
      <c r="AQ319" s="83">
        <f t="shared" ref="AQ319" si="4">INDEX(LINEST(LN(AV319:BA319),SQRT(AV318:BA318),TRUE,TRUE),3,1)</f>
        <v>5.309290566802201E-3</v>
      </c>
      <c r="AR319" s="116">
        <f t="shared" ref="AR319" si="5">INDEX(LINEST(LN(AV319:BA319),SQRT((AV318:BA318))),1)</f>
        <v>-2.4617290440300542E-5</v>
      </c>
      <c r="AS319" s="84">
        <f t="shared" ref="AS319" si="6">INDEX(LINEST(1/(AV319:BA319),1/(SQRT(AV318:BA318)),TRUE,TRUE),3,1)</f>
        <v>7.4133192705712059E-2</v>
      </c>
      <c r="AT319" s="84">
        <f t="shared" ref="AT319" si="7">INDEX(LINEST(1/(AV319:BA319),1/SQRT(AV318:BA318)),1)</f>
        <v>-1.0617017347349065</v>
      </c>
      <c r="AU319" s="3"/>
      <c r="AV319" s="11">
        <v>0.66600000000000004</v>
      </c>
      <c r="AW319" s="11">
        <v>0.71099999999999997</v>
      </c>
      <c r="AX319" s="11">
        <v>0.6</v>
      </c>
      <c r="AY319" s="11">
        <v>0.65149999999999997</v>
      </c>
      <c r="AZ319" s="11">
        <v>0.66</v>
      </c>
      <c r="BA319" s="11">
        <v>0.65449999999999997</v>
      </c>
      <c r="BB319" s="11"/>
      <c r="BC319" s="11"/>
      <c r="BD319" s="11"/>
      <c r="BE319" s="11"/>
      <c r="BF319" s="11"/>
      <c r="BG319" s="11"/>
      <c r="BH319" s="11"/>
      <c r="BI319" s="11"/>
      <c r="BJ319" s="11"/>
      <c r="BK319" s="11"/>
      <c r="BL319" s="11"/>
      <c r="BM319" s="11"/>
      <c r="BN319" s="11"/>
      <c r="BO319" s="11"/>
      <c r="BP319" s="11"/>
      <c r="BQ319" s="11"/>
      <c r="BR319" s="11"/>
      <c r="BS319" s="11"/>
      <c r="BT319" s="11"/>
      <c r="BU319" s="11"/>
      <c r="BV319" s="11"/>
      <c r="BW319" s="11"/>
      <c r="BX319" s="11"/>
      <c r="BY319" s="11"/>
      <c r="BZ319" s="11"/>
      <c r="CA319" s="11"/>
      <c r="CB319" s="11"/>
      <c r="CC319" s="11"/>
      <c r="CD319" s="11"/>
      <c r="CE319" s="11"/>
      <c r="CF319" s="11"/>
      <c r="CG319" s="11"/>
      <c r="CH319" s="11"/>
      <c r="CI319" s="11"/>
      <c r="CJ319" s="11"/>
      <c r="CK319" s="11"/>
      <c r="CL319" s="11"/>
      <c r="CM319" s="11"/>
      <c r="CN319" s="11"/>
      <c r="CO319" s="11"/>
      <c r="CP319" s="11"/>
      <c r="CQ319" s="11"/>
      <c r="CR319" s="15"/>
      <c r="CS319" s="15"/>
      <c r="CT319" s="15"/>
      <c r="CU319" s="15"/>
    </row>
    <row r="320" spans="1:99" ht="12" customHeight="1" x14ac:dyDescent="0.2">
      <c r="A320" s="65">
        <v>43509</v>
      </c>
      <c r="B320" s="15"/>
      <c r="C320" s="15"/>
      <c r="D320" s="59"/>
      <c r="F320" s="59"/>
      <c r="G320" s="59"/>
      <c r="H320" s="59"/>
      <c r="J320" s="59"/>
      <c r="N320" s="59"/>
      <c r="O320" s="59"/>
      <c r="P320" s="59"/>
      <c r="Q320" s="59"/>
      <c r="R320" s="60"/>
      <c r="S320" s="59"/>
      <c r="T320" s="59"/>
      <c r="U320" s="60"/>
      <c r="V320" s="59"/>
      <c r="W320" s="60"/>
      <c r="Y320" s="76"/>
      <c r="AB320" s="60"/>
      <c r="AC320" s="60"/>
      <c r="AD320" s="60"/>
      <c r="AE320" s="60"/>
      <c r="AF320" s="80"/>
      <c r="AG320" s="56"/>
      <c r="AI320" s="55"/>
      <c r="AJ320" s="111"/>
      <c r="AK320" s="55"/>
      <c r="AL320" s="55"/>
      <c r="AM320" s="55"/>
      <c r="AN320" s="55"/>
      <c r="AO320" s="55"/>
      <c r="AP320" s="55"/>
      <c r="AQ320" s="56"/>
      <c r="AR320" s="109"/>
      <c r="AS320" s="56"/>
      <c r="AT320" s="56"/>
      <c r="AU320" s="4"/>
      <c r="AV320" s="47">
        <v>300</v>
      </c>
      <c r="AW320" s="47">
        <v>1200</v>
      </c>
      <c r="AX320" s="47">
        <v>3600</v>
      </c>
      <c r="AY320" s="47">
        <v>28800</v>
      </c>
      <c r="AZ320" s="47">
        <v>86400</v>
      </c>
      <c r="BA320" s="47">
        <v>172800</v>
      </c>
      <c r="BB320" s="11"/>
      <c r="BC320" s="11"/>
      <c r="BD320" s="11"/>
      <c r="BE320" s="11"/>
      <c r="BF320" s="11"/>
      <c r="BG320" s="11"/>
      <c r="BH320" s="11"/>
      <c r="BI320" s="11"/>
      <c r="BJ320" s="11"/>
      <c r="BK320" s="11"/>
      <c r="BL320" s="11"/>
      <c r="BM320" s="11"/>
      <c r="BN320" s="11"/>
      <c r="BO320" s="11"/>
      <c r="BP320" s="11"/>
      <c r="BQ320" s="11"/>
      <c r="BR320" s="11"/>
      <c r="BS320" s="11"/>
      <c r="BT320" s="11"/>
      <c r="BU320" s="11"/>
      <c r="BV320" s="11"/>
      <c r="BW320" s="11"/>
      <c r="BX320" s="11"/>
      <c r="BY320" s="11"/>
      <c r="BZ320" s="11"/>
      <c r="CA320" s="11"/>
      <c r="CB320" s="11"/>
      <c r="CC320" s="11"/>
      <c r="CD320" s="11"/>
      <c r="CE320" s="11"/>
      <c r="CF320" s="11"/>
      <c r="CG320" s="11"/>
      <c r="CH320" s="11"/>
      <c r="CI320" s="11"/>
      <c r="CJ320" s="11"/>
      <c r="CK320" s="11"/>
      <c r="CL320" s="11"/>
      <c r="CM320" s="11"/>
      <c r="CN320" s="11"/>
      <c r="CO320" s="11"/>
      <c r="CP320" s="11"/>
      <c r="CQ320" s="11"/>
      <c r="CR320" s="15"/>
      <c r="CS320" s="15"/>
      <c r="CT320" s="15"/>
      <c r="CU320" s="15"/>
    </row>
    <row r="321" spans="1:99" ht="12" customHeight="1" x14ac:dyDescent="0.2">
      <c r="A321" s="65">
        <v>43509</v>
      </c>
      <c r="B321" s="15" t="s">
        <v>905</v>
      </c>
      <c r="C321" s="15" t="s">
        <v>84</v>
      </c>
      <c r="D321" s="59">
        <v>1926</v>
      </c>
      <c r="E321" s="77">
        <v>3</v>
      </c>
      <c r="F321" s="59">
        <v>13</v>
      </c>
      <c r="G321" s="59">
        <v>13</v>
      </c>
      <c r="H321" s="59" t="s">
        <v>30</v>
      </c>
      <c r="J321" s="59" t="s">
        <v>765</v>
      </c>
      <c r="K321" s="60">
        <f>IF(J321="syllables",1,IF(J321="trigrams",2,IF(J321="strings",3,IF(J321="visual array",4,IF(J321="characters",5,IF(J321="letters",6,IF(J321="free forms",7,IF(J321="odors",8,IF(J321="words",9,IF(J321="pictures",10,IF(J321="object pictures",11,IF(J321="faces",12,IF(J321="names",13,IF(J321="idioms",14,IF(J321="grades",15,IF(J321="syllable-digit pairs",16,IF(J321="trigram-word pairs",17,IF(J321="word-digit pairs",18,IF(J321="English-Swahili pairs",19,IF(J321="spatial position",20,IF(J321="word pairs",21,IF(J321="word triads",22,IF(J321="generated words",23,IF(J321="word definition pairs",24,IF(J321="math problems",25,IF(J321="famous faces",26,IF(J321="famous names",27,IF(J321="famous voices",28,IF(J321="television programs",29,IF(J321="race horses",30,IF(J321="new vocabulary",31,IF(J321="sentences",32,IF(J321="concepts",33,IF(J321="ad slides",34,IF(J321="scenes",35,IF(J321="famous scenes",36,IF(J321="poems",37,IF(J321="walk",38,IF(J321="faces and events",39,IF(J321="events and names",40,IF(J321="flashbulb",41,IF(J321="stories",42,IF(J321="course material",43,IF(J321="autobiographical",44,IF(J321="novels",45,IF(J321="public events",46,"99"))))))))))))))))))))))))))))))))))))))))))))))</f>
        <v>5</v>
      </c>
      <c r="L321" s="60">
        <f>IF(J321="syllables",1,IF(J321="trigrams",1,IF(J321="strings",1,IF(J321="visual array",1,IF(J321="characters",1,IF(J321="letters",1,IF(J321="free forms",1,IF(J321="odors",2,IF(J321="words",2,IF(J321="pictures",2,IF(J321="object pictures",2,IF(J321="faces",2,IF(J321="names",2,IF(J321="idioms","2",IF(J321="grades",2,IF(J321="syllable-digit pairs",3,IF(J321="trigram-word pairs",3,IF(J321="word-digit pairs",3,IF(J321="English-Swahili pairs",3,IF(J321="spatial position",3,IF(J321="word pairs",4,IF(J321="word triads",4,IF(J321="generated words",4,IF(J321="word definition pairs",4,IF(J321="math problems",4,IF(J321="famous faces",4,IF(J321="famous names",4,IF(J321="famous voices",4,IF(J321="television programs",4,IF(J321="race horses",4,IF(J321="new vocabulary",4,IF(J321="sentences",5,IF(J321="concepts",5,IF(J321="ad slides",5,IF(J321="scenes",5,IF(J321="famous scenes",5,IF(J321="poems",6,IF(J321="walk",6,IF(J321="faces and events",6,IF(J321="events and names",6,IF(J321="flashbulb",7,IF(J321="stories",7,IF(J321="course material",7,IF(J321="autobiographical",7,IF(J321="novels",7,IF(J321="public events",7,"99"))))))))))))))))))))))))))))))))))))))))))))))</f>
        <v>1</v>
      </c>
      <c r="M321" s="64">
        <v>0</v>
      </c>
      <c r="N321" s="59">
        <v>1</v>
      </c>
      <c r="O321" s="59">
        <v>0</v>
      </c>
      <c r="P321" s="59"/>
      <c r="Q321" s="59" t="s">
        <v>34</v>
      </c>
      <c r="R321" s="60">
        <f>IF(Q321="Free Recall",1,IF(Q321="Cued Recall",2,IF(Q321="Recognition",3,IF(Q321="Multiple Choice",4,IF(Q321="Savings",5,IF(Q321="Stem Completion",6,IF(Q321="Fragment Completion",7,IF(Q321="anagram solution",8,IF(Q321="Matching",9,IF(Q321="Problem Solving",10,"99"))))))))))</f>
        <v>3</v>
      </c>
      <c r="S321" s="59" t="s">
        <v>15</v>
      </c>
      <c r="T321" s="59" t="s">
        <v>581</v>
      </c>
      <c r="U321" s="60">
        <f>IF(T321="within",1,0)</f>
        <v>1</v>
      </c>
      <c r="V321" s="59">
        <v>65</v>
      </c>
      <c r="W321" s="60">
        <f>F321*V321</f>
        <v>845</v>
      </c>
      <c r="X321" s="60">
        <v>6</v>
      </c>
      <c r="Y321" s="76">
        <f>AV320</f>
        <v>300</v>
      </c>
      <c r="Z321" s="64" t="s">
        <v>88</v>
      </c>
      <c r="AA321" s="59">
        <f>2*24*3600</f>
        <v>172800</v>
      </c>
      <c r="AB321" s="60" t="str">
        <f t="shared" si="0"/>
        <v>3</v>
      </c>
      <c r="AC321" s="56">
        <f t="shared" ref="AC321" si="8">AVERAGE(AV320:DA320)</f>
        <v>48850</v>
      </c>
      <c r="AD321" s="60" t="str">
        <f>IF(AC321&lt;60,"1",IF(AC321&lt;=43200,"2",IF(AC321&lt;=777600,"3","4")))</f>
        <v>3</v>
      </c>
      <c r="AE321" s="76">
        <f>AA321-Y321</f>
        <v>172500</v>
      </c>
      <c r="AF321" s="80">
        <f>AV321</f>
        <v>0.76550000000000007</v>
      </c>
      <c r="AG321" s="56">
        <f>((AW321-AV321)+(AX321-AW321)+(AY321-AX321)+(AZ321-AY321)+(BA321-AZ321))/5</f>
        <v>-3.1899999999999998E-2</v>
      </c>
      <c r="AI321" s="56">
        <f>RSQ(AV321:BA321,AV320:BA320)</f>
        <v>0.20749326915588359</v>
      </c>
      <c r="AJ321" s="109">
        <f>SLOPE(AV321:BA321,AV320:BA320)</f>
        <v>-4.1978894204574698E-7</v>
      </c>
      <c r="AK321" s="56">
        <f>INTERCEPT(AV321:BA321,AV320:BA320)</f>
        <v>0.67567335648560145</v>
      </c>
      <c r="AL321" s="56">
        <f>INDEX(LINEST(LN(AV321:BA321),LN(AV320:BA320),TRUE,TRUE),3,1)</f>
        <v>0.57833692115574697</v>
      </c>
      <c r="AM321" s="56">
        <f>INDEX(LINEST(LN(AV321:BA321),LN(AV320:BA320)),1)</f>
        <v>-2.8441587524971786E-2</v>
      </c>
      <c r="AN321" s="56">
        <f>EXP(INDEX(LINEST(LN(AV321:BA321),LN(AV320:BA320)),1,2))</f>
        <v>0.84581900064290938</v>
      </c>
      <c r="AO321" s="82">
        <f>INDEX(LINEST((AV321:BA321),LN(AV320:BA320),TRUE,TRUE),3,1)</f>
        <v>0.58361702337677746</v>
      </c>
      <c r="AP321" s="82">
        <f>INDEX(LINEST((AV321:BA321),LN(AV320:BA320)),1)</f>
        <v>-1.9321449701135029E-2</v>
      </c>
      <c r="AQ321" s="83">
        <f t="shared" ref="AQ321" si="9">INDEX(LINEST(LN(AV321:BA321),SQRT(AV320:BA320),TRUE,TRUE),3,1)</f>
        <v>0.31581400200593457</v>
      </c>
      <c r="AR321" s="116">
        <f t="shared" ref="AR321" si="10">INDEX(LINEST(LN(AV321:BA321),SQRT((AV320:BA320))),1)</f>
        <v>-3.2888847054446938E-4</v>
      </c>
      <c r="AS321" s="84">
        <f t="shared" ref="AS321" si="11">INDEX(LINEST(1/(AV321:BA321),1/(SQRT(AV320:BA320)),TRUE,TRUE),3,1)</f>
        <v>0.79146649388831669</v>
      </c>
      <c r="AT321" s="84">
        <f t="shared" ref="AT321" si="12">INDEX(LINEST(1/(AV321:BA321),1/SQRT(AV320:BA320)),1)</f>
        <v>-5.8161018187844737</v>
      </c>
      <c r="AU321" s="3"/>
      <c r="AV321" s="11">
        <v>0.76550000000000007</v>
      </c>
      <c r="AW321" s="11">
        <v>0.6855</v>
      </c>
      <c r="AX321" s="11">
        <v>0.62</v>
      </c>
      <c r="AY321" s="11">
        <v>0.59600000000000009</v>
      </c>
      <c r="AZ321" s="11">
        <v>0.65800000000000003</v>
      </c>
      <c r="BA321" s="11">
        <v>0.60600000000000009</v>
      </c>
      <c r="BB321" s="11"/>
      <c r="BC321" s="11"/>
      <c r="BD321" s="11"/>
      <c r="BE321" s="11"/>
      <c r="BF321" s="11"/>
      <c r="BG321" s="11"/>
      <c r="BH321" s="11"/>
      <c r="BI321" s="11"/>
      <c r="BJ321" s="11"/>
      <c r="BK321" s="11"/>
      <c r="BL321" s="11"/>
      <c r="BM321" s="11"/>
      <c r="BN321" s="11"/>
      <c r="BO321" s="11"/>
      <c r="BP321" s="11"/>
      <c r="BQ321" s="11"/>
      <c r="BR321" s="11"/>
      <c r="BS321" s="11"/>
      <c r="BT321" s="11"/>
      <c r="BU321" s="11"/>
      <c r="BV321" s="11"/>
      <c r="BW321" s="11"/>
      <c r="BX321" s="11"/>
      <c r="BY321" s="11"/>
      <c r="BZ321" s="11"/>
      <c r="CA321" s="11"/>
      <c r="CB321" s="11"/>
      <c r="CC321" s="11"/>
      <c r="CD321" s="11"/>
      <c r="CE321" s="11"/>
      <c r="CF321" s="11"/>
      <c r="CG321" s="11"/>
      <c r="CH321" s="11"/>
      <c r="CI321" s="11"/>
      <c r="CJ321" s="11"/>
      <c r="CK321" s="11"/>
      <c r="CL321" s="11"/>
      <c r="CM321" s="11"/>
      <c r="CN321" s="11"/>
      <c r="CO321" s="11"/>
      <c r="CP321" s="11"/>
      <c r="CQ321" s="11"/>
      <c r="CR321" s="15"/>
      <c r="CS321" s="15"/>
      <c r="CT321" s="15"/>
      <c r="CU321" s="15"/>
    </row>
    <row r="322" spans="1:99" ht="12" customHeight="1" x14ac:dyDescent="0.2">
      <c r="A322" s="68">
        <v>43906</v>
      </c>
      <c r="B322" s="94"/>
      <c r="C322" s="94"/>
      <c r="D322" s="92"/>
      <c r="E322" s="105"/>
      <c r="F322" s="92"/>
      <c r="G322" s="92"/>
      <c r="H322" s="92"/>
      <c r="I322" s="92"/>
      <c r="J322" s="92"/>
      <c r="K322" s="107"/>
      <c r="L322" s="107"/>
      <c r="M322" s="92"/>
      <c r="N322" s="69"/>
      <c r="O322" s="92"/>
      <c r="P322" s="92"/>
      <c r="Q322" s="92"/>
      <c r="R322" s="69"/>
      <c r="S322" s="92"/>
      <c r="T322" s="92"/>
      <c r="U322" s="60"/>
      <c r="V322" s="92"/>
      <c r="W322" s="69"/>
      <c r="X322" s="92"/>
      <c r="Y322" s="87"/>
      <c r="Z322" s="92"/>
      <c r="AA322" s="92"/>
      <c r="AB322" s="69"/>
      <c r="AC322" s="69"/>
      <c r="AD322" s="69"/>
      <c r="AE322" s="69"/>
      <c r="AF322" s="88"/>
      <c r="AG322" s="72"/>
      <c r="AH322" s="4"/>
      <c r="AI322" s="108"/>
      <c r="AJ322" s="113"/>
      <c r="AK322" s="108"/>
      <c r="AL322" s="108"/>
      <c r="AM322" s="108"/>
      <c r="AN322" s="108"/>
      <c r="AO322" s="108"/>
      <c r="AP322" s="108"/>
      <c r="AQ322" s="72"/>
      <c r="AR322" s="110"/>
      <c r="AS322" s="72"/>
      <c r="AT322" s="72"/>
      <c r="AU322" s="4"/>
      <c r="AV322" s="98">
        <v>300</v>
      </c>
      <c r="AW322" s="98">
        <f>30*60</f>
        <v>1800</v>
      </c>
      <c r="AX322" s="98">
        <f>2*3600</f>
        <v>7200</v>
      </c>
      <c r="AY322" s="98">
        <f>24*3600</f>
        <v>86400</v>
      </c>
      <c r="BA322" s="11"/>
      <c r="BB322" s="11"/>
      <c r="BC322" s="11"/>
      <c r="BD322" s="11"/>
      <c r="BE322" s="11"/>
      <c r="BF322" s="11"/>
      <c r="BG322" s="11"/>
      <c r="BH322" s="11"/>
      <c r="BI322" s="11"/>
      <c r="BJ322" s="11"/>
      <c r="BK322" s="11"/>
      <c r="BL322" s="11"/>
      <c r="BM322" s="11"/>
      <c r="BN322" s="11"/>
      <c r="BO322" s="11"/>
      <c r="BP322" s="11"/>
      <c r="BQ322" s="11"/>
      <c r="BR322" s="11"/>
      <c r="BS322" s="11"/>
      <c r="BT322" s="11"/>
      <c r="BU322" s="11"/>
      <c r="BV322" s="11"/>
      <c r="BW322" s="11"/>
      <c r="BX322" s="11"/>
      <c r="BY322" s="11"/>
      <c r="BZ322" s="11"/>
      <c r="CA322" s="11"/>
      <c r="CB322" s="11"/>
      <c r="CC322" s="11"/>
      <c r="CD322" s="11"/>
      <c r="CE322" s="11"/>
      <c r="CF322" s="11"/>
      <c r="CG322" s="11"/>
      <c r="CH322" s="11"/>
      <c r="CI322" s="11"/>
      <c r="CJ322" s="11"/>
      <c r="CK322" s="11"/>
      <c r="CL322" s="11"/>
      <c r="CM322" s="11"/>
      <c r="CN322" s="11"/>
      <c r="CO322" s="11"/>
      <c r="CP322" s="11"/>
      <c r="CQ322" s="11"/>
      <c r="CR322" s="15"/>
      <c r="CS322" s="15"/>
      <c r="CT322" s="15"/>
      <c r="CU322" s="15"/>
    </row>
    <row r="323" spans="1:99" s="13" customFormat="1" ht="12" customHeight="1" x14ac:dyDescent="0.2">
      <c r="A323" s="68">
        <v>43906</v>
      </c>
      <c r="B323" s="70" t="s">
        <v>272</v>
      </c>
      <c r="C323" s="70" t="s">
        <v>495</v>
      </c>
      <c r="D323" s="69">
        <v>1996</v>
      </c>
      <c r="E323" s="87">
        <v>1</v>
      </c>
      <c r="F323" s="69">
        <v>279</v>
      </c>
      <c r="G323" s="69">
        <v>34.9</v>
      </c>
      <c r="H323" s="69" t="s">
        <v>22</v>
      </c>
      <c r="I323" s="69" t="s">
        <v>493</v>
      </c>
      <c r="J323" s="69" t="s">
        <v>328</v>
      </c>
      <c r="K323" s="69">
        <f>IF(J323="syllables",1,IF(J323="trigrams",2,IF(J323="strings",3,IF(J323="visual array",4,IF(J323="characters",5,IF(J323="letters",6,IF(J323="free forms",7,IF(J323="odors",8,IF(J323="words",9,IF(J323="pictures",10,IF(J323="object pictures",11,IF(J323="faces",12,IF(J323="names",13,IF(J323="idioms",14,IF(J323="grades",15,IF(J323="syllable-digit pairs",16,IF(J323="trigram-word pairs",17,IF(J323="word-digit pairs",18,IF(J323="English-Swahili pairs",19,IF(J323="spatial position",20,IF(J323="word pairs",21,IF(J323="word triads",22,IF(J323="generated words",23,IF(J323="word definition pairs",24,IF(J323="math problems",25,IF(J323="famous faces",26,IF(J323="famous names",27,IF(J323="famous voices",28,IF(J323="television programs",29,IF(J323="race horses",30,IF(J323="new vocabulary",31,IF(J323="sentences",32,IF(J323="concepts",33,IF(J323="ad slides",34,IF(J323="scenes",35,IF(J323="famous scenes",36,IF(J323="poems",37,IF(J323="walk",38,IF(J323="faces and events",39,IF(J323="events and names",40,IF(J323="flashbulb",41,IF(J323="stories",42,IF(J323="course material",43,IF(J323="autobiographical",44,IF(J323="novels",45,IF(J323="public events",46,"99"))))))))))))))))))))))))))))))))))))))))))))))</f>
        <v>12</v>
      </c>
      <c r="L323" s="69">
        <f>IF(J323="syllables",1,IF(J323="trigrams",1,IF(J323="strings",1,IF(J323="visual array",1,IF(J323="characters",1,IF(J323="letters",1,IF(J323="free forms",1,IF(J323="odors",2,IF(J323="words",2,IF(J323="pictures",2,IF(J323="object pictures",2,IF(J323="faces",2,IF(J323="names",2,IF(J323="idioms","2",IF(J323="grades",2,IF(J323="syllable-digit pairs",3,IF(J323="trigram-word pairs",3,IF(J323="word-digit pairs",3,IF(J323="English-Swahili pairs",3,IF(J323="spatial position",3,IF(J323="word pairs",4,IF(J323="word triads",4,IF(J323="generated words",4,IF(J323="word definition pairs",4,IF(J323="math problems",4,IF(J323="famous faces",4,IF(J323="famous names",4,IF(J323="famous voices",4,IF(J323="television programs",4,IF(J323="race horses",4,IF(J323="new vocabulary",4,IF(J323="sentences",5,IF(J323="concepts",5,IF(J323="ad slides",5,IF(J323="scenes",5,IF(J323="famous scenes",5,IF(J323="poems",6,IF(J323="walk",6,IF(J323="faces and events",6,IF(J323="events and names",6,IF(J323="flashbulb",7,IF(J323="stories",7,IF(J323="course material",7,IF(J323="autobiographical",7,IF(J323="novels",7,IF(J323="public events",7,"99"))))))))))))))))))))))))))))))))))))))))))))))</f>
        <v>2</v>
      </c>
      <c r="M323" s="69">
        <v>0</v>
      </c>
      <c r="N323" s="69">
        <v>1</v>
      </c>
      <c r="O323" s="69">
        <v>0</v>
      </c>
      <c r="P323" s="69"/>
      <c r="Q323" s="69" t="s">
        <v>34</v>
      </c>
      <c r="R323" s="69">
        <f>IF(Q323="Free Recall",1,IF(Q323="Cued Recall",2,IF(Q323="Recognition",3,IF(Q323="Multiple Choice",4,IF(Q323="Savings",5,IF(Q323="Stem Completion",6,IF(Q323="Fragment Completion",7,IF(Q323="anagram solution",8,IF(Q323="Matching",9,IF(Q323="Problem Solving",10,"99"))))))))))</f>
        <v>3</v>
      </c>
      <c r="S323" s="92" t="s">
        <v>15</v>
      </c>
      <c r="T323" s="69" t="s">
        <v>261</v>
      </c>
      <c r="U323" s="60">
        <f>IF(T323="within",1,0)</f>
        <v>0</v>
      </c>
      <c r="V323" s="69">
        <v>2</v>
      </c>
      <c r="W323" s="69">
        <f>F323*V323</f>
        <v>558</v>
      </c>
      <c r="X323" s="69">
        <v>4</v>
      </c>
      <c r="Y323" s="87">
        <f>AV322</f>
        <v>300</v>
      </c>
      <c r="Z323" s="69" t="s">
        <v>449</v>
      </c>
      <c r="AA323" s="69">
        <f>24*3600</f>
        <v>86400</v>
      </c>
      <c r="AB323" s="69" t="str">
        <f t="shared" si="0"/>
        <v>3</v>
      </c>
      <c r="AC323" s="72">
        <f t="shared" ref="AC323" si="13">AVERAGE(AV322:DA322)</f>
        <v>23925</v>
      </c>
      <c r="AD323" s="69" t="str">
        <f>IF(AC323&lt;60,"1",IF(AC323&lt;=43200,"2",IF(AC323&lt;=777600,"3","4")))</f>
        <v>2</v>
      </c>
      <c r="AE323" s="87">
        <f>AA323-Y323</f>
        <v>86100</v>
      </c>
      <c r="AF323" s="88">
        <f>AV323</f>
        <v>0.76</v>
      </c>
      <c r="AG323" s="72">
        <f>((AW323-AV323)+(AX323-AW323)+(AY323-AX323))/3</f>
        <v>-8.3333333333333329E-2</v>
      </c>
      <c r="AH323" s="4"/>
      <c r="AI323" s="72">
        <f>RSQ(AV323:AY323,AV322:AY322)</f>
        <v>0.22027014709339479</v>
      </c>
      <c r="AJ323" s="110">
        <f>SLOPE(AV323:AY323,AV322:AY322)</f>
        <v>-1.4139641325435441E-6</v>
      </c>
      <c r="AK323" s="72">
        <f>INTERCEPT(AV323:AY323,AV322:AY322)</f>
        <v>0.6213290918711043</v>
      </c>
      <c r="AL323" s="72">
        <f>INDEX(LINEST(LN(AV323:AY323),LN(AV322:AY322),TRUE,TRUE),3,1)</f>
        <v>0.70175345312773696</v>
      </c>
      <c r="AM323" s="72">
        <f>INDEX(LINEST(LN(AV323:AY323),LN(AV322:AY322)),1)</f>
        <v>-7.2022222805653915E-2</v>
      </c>
      <c r="AN323" s="72">
        <f>EXP(INDEX(LINEST(LN(AV323:AY323),LN(AV322:AY322)),1,2))</f>
        <v>1.0555944239933479</v>
      </c>
      <c r="AO323" s="89">
        <f>INDEX(LINEST((AV323:AY323),LN(AV322:AY322),TRUE,TRUE),3,1)</f>
        <v>0.70733152657227982</v>
      </c>
      <c r="AP323" s="89">
        <f>INDEX(LINEST((AV323:AY323),LN(AV322:AY322)),1)</f>
        <v>-4.4294334836707527E-2</v>
      </c>
      <c r="AQ323" s="90">
        <f>INDEX(LINEST(LN(AV323:AY323),SQRT(AV322:AY322),TRUE,TRUE),3,1)</f>
        <v>0.35496995068996962</v>
      </c>
      <c r="AR323" s="117">
        <f>INDEX(LINEST(LN(AV323:AY323),SQRT((AV322:AY322))),1)</f>
        <v>-9.7110593289296556E-4</v>
      </c>
      <c r="AS323" s="91">
        <f>INDEX(LINEST(1/(AV323:AY323),1/(SQRT(AV322:AY322)),TRUE,TRUE),3,1)</f>
        <v>0.88310416173285244</v>
      </c>
      <c r="AT323" s="91">
        <f>INDEX(LINEST(1/(AV323:AY323),1/SQRT(AV322:AY322)),1)</f>
        <v>-13.454182818509977</v>
      </c>
      <c r="AU323" s="3"/>
      <c r="AV323" s="73">
        <v>0.76</v>
      </c>
      <c r="AW323" s="73">
        <v>0.60000000000000009</v>
      </c>
      <c r="AX323" s="73">
        <v>0.48</v>
      </c>
      <c r="AY323" s="73">
        <v>0.51</v>
      </c>
      <c r="AZ323" s="43"/>
      <c r="BA323" s="53"/>
      <c r="BB323" s="53"/>
      <c r="BC323" s="53"/>
      <c r="BD323" s="53"/>
      <c r="BE323" s="53"/>
      <c r="BF323" s="53"/>
      <c r="BG323" s="53"/>
      <c r="BH323" s="53"/>
      <c r="BI323" s="53"/>
      <c r="BJ323" s="53"/>
      <c r="BK323" s="53"/>
      <c r="BL323" s="53"/>
      <c r="BM323" s="53"/>
      <c r="BN323" s="53"/>
      <c r="BO323" s="53"/>
      <c r="BP323" s="53"/>
      <c r="BQ323" s="53"/>
      <c r="BR323" s="53"/>
      <c r="BS323" s="53"/>
      <c r="BT323" s="53"/>
      <c r="BU323" s="53"/>
      <c r="BV323" s="53"/>
      <c r="BW323" s="53"/>
      <c r="BX323" s="53"/>
      <c r="BY323" s="53"/>
      <c r="BZ323" s="53"/>
      <c r="CA323" s="53"/>
      <c r="CB323" s="53"/>
      <c r="CC323" s="53"/>
      <c r="CD323" s="53"/>
      <c r="CE323" s="53"/>
      <c r="CF323" s="53"/>
      <c r="CG323" s="53"/>
      <c r="CH323" s="53"/>
      <c r="CI323" s="53"/>
      <c r="CJ323" s="53"/>
      <c r="CK323" s="53"/>
      <c r="CL323" s="53"/>
      <c r="CM323" s="53"/>
      <c r="CN323" s="53"/>
      <c r="CO323" s="53"/>
      <c r="CP323" s="53"/>
      <c r="CQ323" s="53"/>
      <c r="CR323" s="1"/>
      <c r="CS323" s="1"/>
      <c r="CT323" s="1"/>
      <c r="CU323" s="1"/>
    </row>
    <row r="324" spans="1:99" s="13" customFormat="1" ht="12" customHeight="1" x14ac:dyDescent="0.2">
      <c r="A324" s="68">
        <v>43906</v>
      </c>
      <c r="B324" s="94"/>
      <c r="C324" s="94"/>
      <c r="D324" s="92"/>
      <c r="E324" s="87"/>
      <c r="F324" s="92"/>
      <c r="G324" s="92"/>
      <c r="H324" s="92"/>
      <c r="I324" s="69"/>
      <c r="J324" s="92"/>
      <c r="K324" s="107"/>
      <c r="L324" s="107"/>
      <c r="M324" s="92"/>
      <c r="N324" s="86"/>
      <c r="O324" s="92"/>
      <c r="P324" s="92"/>
      <c r="Q324" s="92"/>
      <c r="R324" s="69"/>
      <c r="S324" s="92"/>
      <c r="T324" s="92"/>
      <c r="U324" s="60"/>
      <c r="V324" s="92"/>
      <c r="W324" s="69"/>
      <c r="X324" s="92"/>
      <c r="Y324" s="87"/>
      <c r="Z324" s="92"/>
      <c r="AA324" s="92"/>
      <c r="AB324" s="69"/>
      <c r="AC324" s="69"/>
      <c r="AD324" s="69"/>
      <c r="AE324" s="69"/>
      <c r="AF324" s="88"/>
      <c r="AG324" s="72"/>
      <c r="AH324" s="4"/>
      <c r="AI324" s="108"/>
      <c r="AJ324" s="113"/>
      <c r="AK324" s="108"/>
      <c r="AL324" s="108"/>
      <c r="AM324" s="108"/>
      <c r="AN324" s="108"/>
      <c r="AO324" s="108"/>
      <c r="AP324" s="108"/>
      <c r="AQ324" s="72"/>
      <c r="AR324" s="110"/>
      <c r="AS324" s="72"/>
      <c r="AT324" s="72"/>
      <c r="AU324" s="4"/>
      <c r="AV324" s="98">
        <v>300</v>
      </c>
      <c r="AW324" s="98">
        <f>30*60</f>
        <v>1800</v>
      </c>
      <c r="AX324" s="98">
        <f>2*3600</f>
        <v>7200</v>
      </c>
      <c r="AY324" s="98">
        <f>24*3600</f>
        <v>86400</v>
      </c>
      <c r="AZ324" s="43"/>
      <c r="BA324" s="53"/>
      <c r="BB324" s="53"/>
      <c r="BC324" s="53"/>
      <c r="BD324" s="53"/>
      <c r="BE324" s="53"/>
      <c r="BF324" s="53"/>
      <c r="BG324" s="53"/>
      <c r="BH324" s="53"/>
      <c r="BI324" s="53"/>
      <c r="BJ324" s="53"/>
      <c r="BK324" s="53"/>
      <c r="BL324" s="53"/>
      <c r="BM324" s="53"/>
      <c r="BN324" s="53"/>
      <c r="BO324" s="53"/>
      <c r="BP324" s="53"/>
      <c r="BQ324" s="53"/>
      <c r="BR324" s="53"/>
      <c r="BS324" s="53"/>
      <c r="BT324" s="53"/>
      <c r="BU324" s="53"/>
      <c r="BV324" s="53"/>
      <c r="BW324" s="53"/>
      <c r="BX324" s="53"/>
      <c r="BY324" s="53"/>
      <c r="BZ324" s="53"/>
      <c r="CA324" s="53"/>
      <c r="CB324" s="53"/>
      <c r="CC324" s="53"/>
      <c r="CD324" s="53"/>
      <c r="CE324" s="53"/>
      <c r="CF324" s="53"/>
      <c r="CG324" s="53"/>
      <c r="CH324" s="53"/>
      <c r="CI324" s="53"/>
      <c r="CJ324" s="53"/>
      <c r="CK324" s="53"/>
      <c r="CL324" s="53"/>
      <c r="CM324" s="53"/>
      <c r="CN324" s="53"/>
      <c r="CO324" s="53"/>
      <c r="CP324" s="53"/>
      <c r="CQ324" s="53"/>
      <c r="CR324" s="1"/>
      <c r="CS324" s="1"/>
      <c r="CT324" s="1"/>
      <c r="CU324" s="1"/>
    </row>
    <row r="325" spans="1:99" s="13" customFormat="1" ht="12" customHeight="1" x14ac:dyDescent="0.2">
      <c r="A325" s="68">
        <v>43906</v>
      </c>
      <c r="B325" s="70" t="s">
        <v>272</v>
      </c>
      <c r="C325" s="70" t="s">
        <v>495</v>
      </c>
      <c r="D325" s="69">
        <v>1996</v>
      </c>
      <c r="E325" s="87">
        <v>1</v>
      </c>
      <c r="F325" s="69">
        <v>286</v>
      </c>
      <c r="G325" s="69">
        <v>35.799999999999997</v>
      </c>
      <c r="H325" s="69" t="s">
        <v>22</v>
      </c>
      <c r="I325" s="69" t="s">
        <v>494</v>
      </c>
      <c r="J325" s="69" t="s">
        <v>328</v>
      </c>
      <c r="K325" s="69">
        <f>IF(J325="syllables",1,IF(J325="trigrams",2,IF(J325="strings",3,IF(J325="visual array",4,IF(J325="characters",5,IF(J325="letters",6,IF(J325="free forms",7,IF(J325="odors",8,IF(J325="words",9,IF(J325="pictures",10,IF(J325="object pictures",11,IF(J325="faces",12,IF(J325="names",13,IF(J325="idioms",14,IF(J325="grades",15,IF(J325="syllable-digit pairs",16,IF(J325="trigram-word pairs",17,IF(J325="word-digit pairs",18,IF(J325="English-Swahili pairs",19,IF(J325="spatial position",20,IF(J325="word pairs",21,IF(J325="word triads",22,IF(J325="generated words",23,IF(J325="word definition pairs",24,IF(J325="math problems",25,IF(J325="famous faces",26,IF(J325="famous names",27,IF(J325="famous voices",28,IF(J325="television programs",29,IF(J325="race horses",30,IF(J325="new vocabulary",31,IF(J325="sentences",32,IF(J325="concepts",33,IF(J325="ad slides",34,IF(J325="scenes",35,IF(J325="famous scenes",36,IF(J325="poems",37,IF(J325="walk",38,IF(J325="faces and events",39,IF(J325="events and names",40,IF(J325="flashbulb",41,IF(J325="stories",42,IF(J325="course material",43,IF(J325="autobiographical",44,IF(J325="novels",45,IF(J325="public events",46,"99"))))))))))))))))))))))))))))))))))))))))))))))</f>
        <v>12</v>
      </c>
      <c r="L325" s="69">
        <f>IF(J325="syllables",1,IF(J325="trigrams",1,IF(J325="strings",1,IF(J325="visual array",1,IF(J325="characters",1,IF(J325="letters",1,IF(J325="free forms",1,IF(J325="odors",2,IF(J325="words",2,IF(J325="pictures",2,IF(J325="object pictures",2,IF(J325="faces",2,IF(J325="names",2,IF(J325="idioms","2",IF(J325="grades",2,IF(J325="syllable-digit pairs",3,IF(J325="trigram-word pairs",3,IF(J325="word-digit pairs",3,IF(J325="English-Swahili pairs",3,IF(J325="spatial position",3,IF(J325="word pairs",4,IF(J325="word triads",4,IF(J325="generated words",4,IF(J325="word definition pairs",4,IF(J325="math problems",4,IF(J325="famous faces",4,IF(J325="famous names",4,IF(J325="famous voices",4,IF(J325="television programs",4,IF(J325="race horses",4,IF(J325="new vocabulary",4,IF(J325="sentences",5,IF(J325="concepts",5,IF(J325="ad slides",5,IF(J325="scenes",5,IF(J325="famous scenes",5,IF(J325="poems",6,IF(J325="walk",6,IF(J325="faces and events",6,IF(J325="events and names",6,IF(J325="flashbulb",7,IF(J325="stories",7,IF(J325="course material",7,IF(J325="autobiographical",7,IF(J325="novels",7,IF(J325="public events",7,"99"))))))))))))))))))))))))))))))))))))))))))))))</f>
        <v>2</v>
      </c>
      <c r="M325" s="69">
        <v>0</v>
      </c>
      <c r="N325" s="86">
        <v>1</v>
      </c>
      <c r="O325" s="69">
        <v>0</v>
      </c>
      <c r="P325" s="69"/>
      <c r="Q325" s="69" t="s">
        <v>34</v>
      </c>
      <c r="R325" s="69">
        <f>IF(Q325="Free Recall",1,IF(Q325="Cued Recall",2,IF(Q325="Recognition",3,IF(Q325="Multiple Choice",4,IF(Q325="Savings",5,IF(Q325="Stem Completion",6,IF(Q325="Fragment Completion",7,IF(Q325="anagram solution",8,IF(Q325="Matching",9,IF(Q325="Problem Solving",10,"99"))))))))))</f>
        <v>3</v>
      </c>
      <c r="S325" s="92" t="s">
        <v>15</v>
      </c>
      <c r="T325" s="69" t="s">
        <v>261</v>
      </c>
      <c r="U325" s="60">
        <f>IF(T325="within",1,0)</f>
        <v>0</v>
      </c>
      <c r="V325" s="69">
        <v>2</v>
      </c>
      <c r="W325" s="69">
        <f>F325*V325</f>
        <v>572</v>
      </c>
      <c r="X325" s="69">
        <v>4</v>
      </c>
      <c r="Y325" s="87">
        <f>AV324</f>
        <v>300</v>
      </c>
      <c r="Z325" s="69" t="s">
        <v>449</v>
      </c>
      <c r="AA325" s="69">
        <f>24*3600</f>
        <v>86400</v>
      </c>
      <c r="AB325" s="69" t="str">
        <f t="shared" si="0"/>
        <v>3</v>
      </c>
      <c r="AC325" s="72">
        <f t="shared" ref="AC325" si="14">AVERAGE(AV324:DA324)</f>
        <v>23925</v>
      </c>
      <c r="AD325" s="69" t="str">
        <f>IF(AC325&lt;60,"1",IF(AC325&lt;=43200,"2",IF(AC325&lt;=777600,"3","4")))</f>
        <v>2</v>
      </c>
      <c r="AE325" s="87">
        <f>AA325-Y325</f>
        <v>86100</v>
      </c>
      <c r="AF325" s="88">
        <f>AV325</f>
        <v>0.435</v>
      </c>
      <c r="AG325" s="72">
        <f>((AW325-AV325)+(AX325-AW325)+(AY325-AX325))/3</f>
        <v>-4.3333333333333335E-2</v>
      </c>
      <c r="AH325" s="4"/>
      <c r="AI325" s="72">
        <f>RSQ(AV325:AY325,AV324:AY324)</f>
        <v>0.35470791002994079</v>
      </c>
      <c r="AJ325" s="110">
        <f>SLOPE(AV325:AY325,AV324:AY324)</f>
        <v>-8.1000744191648707E-7</v>
      </c>
      <c r="AK325" s="72">
        <f>INTERCEPT(AV325:AY325,AV324:AY324)</f>
        <v>0.37187942804785196</v>
      </c>
      <c r="AL325" s="72">
        <f>INDEX(LINEST(LN(AV325:AY325),LN(AV324:AY324),TRUE,TRUE),3,1)</f>
        <v>0.79516829599425787</v>
      </c>
      <c r="AM325" s="72">
        <f>INDEX(LINEST(LN(AV325:AY325),LN(AV324:AY324)),1)</f>
        <v>-5.7039541277365886E-2</v>
      </c>
      <c r="AN325" s="72">
        <f>EXP(INDEX(LINEST(LN(AV325:AY325),LN(AV324:AY324)),1,2))</f>
        <v>0.56281050375923725</v>
      </c>
      <c r="AO325" s="89">
        <f>INDEX(LINEST((AV325:AY325),LN(AV324:AY324),TRUE,TRUE),3,1)</f>
        <v>0.76518341803102052</v>
      </c>
      <c r="AP325" s="89">
        <f>INDEX(LINEST((AV325:AY325),LN(AV324:AY324)),1)</f>
        <v>-2.0797563152517861E-2</v>
      </c>
      <c r="AQ325" s="90">
        <f>INDEX(LINEST(LN(AV325:AY325),SQRT(AV324:AY324),TRUE,TRUE),3,1)</f>
        <v>0.51407184308467502</v>
      </c>
      <c r="AR325" s="117">
        <f>INDEX(LINEST(LN(AV325:AY325),SQRT((AV324:AY324))),1)</f>
        <v>-8.6947074806293485E-4</v>
      </c>
      <c r="AS325" s="91">
        <f>INDEX(LINEST(1/(AV325:AY325),1/(SQRT(AV324:AY324)),TRUE,TRUE),3,1)</f>
        <v>0.95725312956752184</v>
      </c>
      <c r="AT325" s="91">
        <f>INDEX(LINEST(1/(AV325:AY325),1/SQRT(AV324:AY324)),1)</f>
        <v>-17.029893900452887</v>
      </c>
      <c r="AU325" s="3"/>
      <c r="AV325" s="73">
        <v>0.435</v>
      </c>
      <c r="AW325" s="73">
        <v>0.33500000000000002</v>
      </c>
      <c r="AX325" s="73">
        <v>0.33499999999999996</v>
      </c>
      <c r="AY325" s="73">
        <v>0.30499999999999999</v>
      </c>
      <c r="AZ325" s="43"/>
      <c r="BA325" s="53"/>
      <c r="BB325" s="53"/>
      <c r="BC325" s="53"/>
      <c r="BD325" s="53"/>
      <c r="BE325" s="53"/>
      <c r="BF325" s="53"/>
      <c r="BG325" s="53"/>
      <c r="BH325" s="53"/>
      <c r="BI325" s="53"/>
      <c r="BJ325" s="53"/>
      <c r="BK325" s="53"/>
      <c r="BL325" s="53"/>
      <c r="BM325" s="53"/>
      <c r="BN325" s="53"/>
      <c r="BO325" s="53"/>
      <c r="BP325" s="53"/>
      <c r="BQ325" s="53"/>
      <c r="BR325" s="53"/>
      <c r="BS325" s="53"/>
      <c r="BT325" s="53"/>
      <c r="BU325" s="53"/>
      <c r="BV325" s="53"/>
      <c r="BW325" s="53"/>
      <c r="BX325" s="53"/>
      <c r="BY325" s="53"/>
      <c r="BZ325" s="53"/>
      <c r="CA325" s="53"/>
      <c r="CB325" s="53"/>
      <c r="CC325" s="53"/>
      <c r="CD325" s="53"/>
      <c r="CE325" s="53"/>
      <c r="CF325" s="53"/>
      <c r="CG325" s="53"/>
      <c r="CH325" s="53"/>
      <c r="CI325" s="53"/>
      <c r="CJ325" s="53"/>
      <c r="CK325" s="53"/>
      <c r="CL325" s="53"/>
      <c r="CM325" s="53"/>
      <c r="CN325" s="53"/>
      <c r="CO325" s="53"/>
      <c r="CP325" s="53"/>
      <c r="CQ325" s="53"/>
      <c r="CR325" s="1"/>
      <c r="CS325" s="1"/>
      <c r="CT325" s="1"/>
      <c r="CU325" s="1"/>
    </row>
    <row r="326" spans="1:99" s="13" customFormat="1" ht="12" customHeight="1" x14ac:dyDescent="0.2">
      <c r="A326" s="68">
        <v>43906</v>
      </c>
      <c r="B326" s="94"/>
      <c r="C326" s="94"/>
      <c r="D326" s="92"/>
      <c r="E326" s="105"/>
      <c r="F326" s="92"/>
      <c r="G326" s="92"/>
      <c r="H326" s="92"/>
      <c r="I326" s="92"/>
      <c r="J326" s="92"/>
      <c r="K326" s="107"/>
      <c r="L326" s="107"/>
      <c r="M326" s="92"/>
      <c r="N326" s="69"/>
      <c r="O326" s="92"/>
      <c r="P326" s="92"/>
      <c r="Q326" s="92"/>
      <c r="R326" s="69"/>
      <c r="S326" s="92"/>
      <c r="T326" s="92"/>
      <c r="U326" s="60"/>
      <c r="V326" s="92"/>
      <c r="W326" s="69"/>
      <c r="X326" s="92"/>
      <c r="Y326" s="87"/>
      <c r="Z326" s="92"/>
      <c r="AA326" s="92"/>
      <c r="AB326" s="69"/>
      <c r="AC326" s="69"/>
      <c r="AD326" s="69"/>
      <c r="AE326" s="69"/>
      <c r="AF326" s="88"/>
      <c r="AG326" s="72"/>
      <c r="AH326" s="4"/>
      <c r="AI326" s="108"/>
      <c r="AJ326" s="113"/>
      <c r="AK326" s="108"/>
      <c r="AL326" s="108"/>
      <c r="AM326" s="108"/>
      <c r="AN326" s="108"/>
      <c r="AO326" s="108"/>
      <c r="AP326" s="108"/>
      <c r="AQ326" s="72"/>
      <c r="AR326" s="110"/>
      <c r="AS326" s="72"/>
      <c r="AT326" s="72"/>
      <c r="AU326" s="4"/>
      <c r="AV326" s="98">
        <v>300</v>
      </c>
      <c r="AW326" s="98">
        <f>30*60</f>
        <v>1800</v>
      </c>
      <c r="AX326" s="98">
        <f>2*3600</f>
        <v>7200</v>
      </c>
      <c r="AY326" s="98">
        <f>24*3600</f>
        <v>86400</v>
      </c>
      <c r="AZ326" s="43"/>
      <c r="BA326" s="53"/>
      <c r="BB326" s="53"/>
      <c r="BC326" s="53"/>
      <c r="BD326" s="53"/>
      <c r="BE326" s="53"/>
      <c r="BF326" s="53"/>
      <c r="BG326" s="53"/>
      <c r="BH326" s="53"/>
      <c r="BI326" s="53"/>
      <c r="BJ326" s="53"/>
      <c r="BK326" s="53"/>
      <c r="BL326" s="53"/>
      <c r="BM326" s="53"/>
      <c r="BN326" s="53"/>
      <c r="BO326" s="53"/>
      <c r="BP326" s="53"/>
      <c r="BQ326" s="53"/>
      <c r="BR326" s="53"/>
      <c r="BS326" s="53"/>
      <c r="BT326" s="53"/>
      <c r="BU326" s="53"/>
      <c r="BV326" s="53"/>
      <c r="BW326" s="53"/>
      <c r="BX326" s="53"/>
      <c r="BY326" s="53"/>
      <c r="BZ326" s="53"/>
      <c r="CA326" s="53"/>
      <c r="CB326" s="53"/>
      <c r="CC326" s="53"/>
      <c r="CD326" s="53"/>
      <c r="CE326" s="53"/>
      <c r="CF326" s="53"/>
      <c r="CG326" s="53"/>
      <c r="CH326" s="53"/>
      <c r="CI326" s="53"/>
      <c r="CJ326" s="53"/>
      <c r="CK326" s="53"/>
      <c r="CL326" s="53"/>
      <c r="CM326" s="53"/>
      <c r="CN326" s="53"/>
      <c r="CO326" s="53"/>
      <c r="CP326" s="53"/>
      <c r="CQ326" s="53"/>
      <c r="CR326" s="1"/>
      <c r="CS326" s="1"/>
      <c r="CT326" s="1"/>
      <c r="CU326" s="1"/>
    </row>
    <row r="327" spans="1:99" s="13" customFormat="1" ht="12" customHeight="1" x14ac:dyDescent="0.2">
      <c r="A327" s="68">
        <v>43906</v>
      </c>
      <c r="B327" s="70" t="s">
        <v>272</v>
      </c>
      <c r="C327" s="70" t="s">
        <v>495</v>
      </c>
      <c r="D327" s="69">
        <v>1996</v>
      </c>
      <c r="E327" s="87">
        <v>2</v>
      </c>
      <c r="F327" s="69">
        <v>543</v>
      </c>
      <c r="G327" s="69">
        <v>45.3</v>
      </c>
      <c r="H327" s="69" t="s">
        <v>38</v>
      </c>
      <c r="I327" s="69" t="s">
        <v>496</v>
      </c>
      <c r="J327" s="69" t="s">
        <v>328</v>
      </c>
      <c r="K327" s="69">
        <f>IF(J327="syllables",1,IF(J327="trigrams",2,IF(J327="strings",3,IF(J327="visual array",4,IF(J327="characters",5,IF(J327="letters",6,IF(J327="free forms",7,IF(J327="odors",8,IF(J327="words",9,IF(J327="pictures",10,IF(J327="object pictures",11,IF(J327="faces",12,IF(J327="names",13,IF(J327="idioms",14,IF(J327="grades",15,IF(J327="syllable-digit pairs",16,IF(J327="trigram-word pairs",17,IF(J327="word-digit pairs",18,IF(J327="English-Swahili pairs",19,IF(J327="spatial position",20,IF(J327="word pairs",21,IF(J327="word triads",22,IF(J327="generated words",23,IF(J327="word definition pairs",24,IF(J327="math problems",25,IF(J327="famous faces",26,IF(J327="famous names",27,IF(J327="famous voices",28,IF(J327="television programs",29,IF(J327="race horses",30,IF(J327="new vocabulary",31,IF(J327="sentences",32,IF(J327="concepts",33,IF(J327="ad slides",34,IF(J327="scenes",35,IF(J327="famous scenes",36,IF(J327="poems",37,IF(J327="walk",38,IF(J327="faces and events",39,IF(J327="events and names",40,IF(J327="flashbulb",41,IF(J327="stories",42,IF(J327="course material",43,IF(J327="autobiographical",44,IF(J327="novels",45,IF(J327="public events",46,"99"))))))))))))))))))))))))))))))))))))))))))))))</f>
        <v>12</v>
      </c>
      <c r="L327" s="69">
        <f>IF(J327="syllables",1,IF(J327="trigrams",1,IF(J327="strings",1,IF(J327="visual array",1,IF(J327="characters",1,IF(J327="letters",1,IF(J327="free forms",1,IF(J327="odors",2,IF(J327="words",2,IF(J327="pictures",2,IF(J327="object pictures",2,IF(J327="faces",2,IF(J327="names",2,IF(J327="idioms","2",IF(J327="grades",2,IF(J327="syllable-digit pairs",3,IF(J327="trigram-word pairs",3,IF(J327="word-digit pairs",3,IF(J327="English-Swahili pairs",3,IF(J327="spatial position",3,IF(J327="word pairs",4,IF(J327="word triads",4,IF(J327="generated words",4,IF(J327="word definition pairs",4,IF(J327="math problems",4,IF(J327="famous faces",4,IF(J327="famous names",4,IF(J327="famous voices",4,IF(J327="television programs",4,IF(J327="race horses",4,IF(J327="new vocabulary",4,IF(J327="sentences",5,IF(J327="concepts",5,IF(J327="ad slides",5,IF(J327="scenes",5,IF(J327="famous scenes",5,IF(J327="poems",6,IF(J327="walk",6,IF(J327="faces and events",6,IF(J327="events and names",6,IF(J327="flashbulb",7,IF(J327="stories",7,IF(J327="course material",7,IF(J327="autobiographical",7,IF(J327="novels",7,IF(J327="public events",7,"99"))))))))))))))))))))))))))))))))))))))))))))))</f>
        <v>2</v>
      </c>
      <c r="M327" s="69">
        <v>0</v>
      </c>
      <c r="N327" s="69">
        <v>1</v>
      </c>
      <c r="O327" s="69">
        <v>0</v>
      </c>
      <c r="P327" s="69"/>
      <c r="Q327" s="69" t="s">
        <v>34</v>
      </c>
      <c r="R327" s="69">
        <f>IF(Q327="Free Recall",1,IF(Q327="Cued Recall",2,IF(Q327="Recognition",3,IF(Q327="Multiple Choice",4,IF(Q327="Savings",5,IF(Q327="Stem Completion",6,IF(Q327="Fragment Completion",7,IF(Q327="anagram solution",8,IF(Q327="Matching",9,IF(Q327="Problem Solving",10,"99"))))))))))</f>
        <v>3</v>
      </c>
      <c r="S327" s="92" t="s">
        <v>15</v>
      </c>
      <c r="T327" s="69" t="s">
        <v>261</v>
      </c>
      <c r="U327" s="60">
        <f>IF(T327="within",1,0)</f>
        <v>0</v>
      </c>
      <c r="V327" s="69">
        <v>2</v>
      </c>
      <c r="W327" s="69">
        <f>F327*V327</f>
        <v>1086</v>
      </c>
      <c r="X327" s="69">
        <v>4</v>
      </c>
      <c r="Y327" s="87">
        <f>AV326</f>
        <v>300</v>
      </c>
      <c r="Z327" s="69" t="s">
        <v>449</v>
      </c>
      <c r="AA327" s="69">
        <f>24*3600</f>
        <v>86400</v>
      </c>
      <c r="AB327" s="69" t="str">
        <f>IF(AA327&lt;60,"1",IF(AA327&lt;=43200,"2",IF(AA327&lt;=777600,"3","4")))</f>
        <v>3</v>
      </c>
      <c r="AC327" s="72">
        <f t="shared" ref="AC327" si="15">AVERAGE(AV326:DA326)</f>
        <v>23925</v>
      </c>
      <c r="AD327" s="69" t="str">
        <f>IF(AC327&lt;60,"1",IF(AC327&lt;=43200,"2",IF(AC327&lt;=777600,"3","4")))</f>
        <v>2</v>
      </c>
      <c r="AE327" s="87">
        <f>AA327-Y327</f>
        <v>86100</v>
      </c>
      <c r="AF327" s="88">
        <f>AV327</f>
        <v>0.78875000000000006</v>
      </c>
      <c r="AG327" s="72">
        <f>((AW327-AV327)+(AX327-AW327)+(AY327-AX327))/3</f>
        <v>-1.4166666666666697E-2</v>
      </c>
      <c r="AH327" s="4"/>
      <c r="AI327" s="72">
        <f>RSQ(AV327:AY327,AV326:AY326)</f>
        <v>0.14941824229626929</v>
      </c>
      <c r="AJ327" s="110">
        <f>SLOPE(AV327:AY327,AV326:AY326)</f>
        <v>-4.1070345468389115E-7</v>
      </c>
      <c r="AK327" s="72">
        <f>INTERCEPT(AV327:AY327,AV326:AY326)</f>
        <v>0.77795108015331205</v>
      </c>
      <c r="AL327" s="72">
        <f>INDEX(LINEST(LN(AV327:AY327),LN(AV326:AY326),TRUE,TRUE),3,1)</f>
        <v>0.35604730297662363</v>
      </c>
      <c r="AM327" s="72">
        <f>INDEX(LINEST(LN(AV327:AY327),LN(AV326:AY326)),1)</f>
        <v>-1.4436401050226736E-2</v>
      </c>
      <c r="AN327" s="72">
        <f>EXP(INDEX(LINEST(LN(AV327:AY327),LN(AV326:AY326)),1,2))</f>
        <v>0.86559527752524978</v>
      </c>
      <c r="AO327" s="89">
        <f>INDEX(LINEST((AV327:AY327),LN(AV326:AY326),TRUE,TRUE),3,1)</f>
        <v>0.35752878941291955</v>
      </c>
      <c r="AP327" s="89">
        <f>INDEX(LINEST((AV327:AY327),LN(AV326:AY326)),1)</f>
        <v>-1.1106012501858688E-2</v>
      </c>
      <c r="AQ327" s="90">
        <f>INDEX(LINEST(LN(AV327:AY327),SQRT(AV326:AY326),TRUE,TRUE),3,1)</f>
        <v>0.22732285665715601</v>
      </c>
      <c r="AR327" s="117">
        <f>INDEX(LINEST(LN(AV327:AY327),SQRT((AV326:AY326))),1)</f>
        <v>-2.1868712316576216E-4</v>
      </c>
      <c r="AS327" s="91">
        <f>INDEX(LINEST(1/(AV327:AY327),1/(SQRT(AV326:AY326)),TRUE,TRUE),3,1)</f>
        <v>0.30712805959302242</v>
      </c>
      <c r="AT327" s="91">
        <f>INDEX(LINEST(1/(AV327:AY327),1/SQRT(AV326:AY326)),1)</f>
        <v>-1.749133393983797</v>
      </c>
      <c r="AU327" s="3"/>
      <c r="AV327" s="73">
        <v>0.78875000000000006</v>
      </c>
      <c r="AW327" s="73">
        <v>0.81874999999999998</v>
      </c>
      <c r="AX327" s="73">
        <v>0.71875</v>
      </c>
      <c r="AY327" s="73">
        <v>0.74624999999999997</v>
      </c>
      <c r="AZ327" s="43"/>
      <c r="BA327" s="53"/>
      <c r="BB327" s="53"/>
      <c r="BC327" s="53"/>
      <c r="BD327" s="53"/>
      <c r="BE327" s="53"/>
      <c r="BF327" s="53"/>
      <c r="BG327" s="53"/>
      <c r="BH327" s="53"/>
      <c r="BI327" s="53"/>
      <c r="BJ327" s="53"/>
      <c r="BK327" s="53"/>
      <c r="BL327" s="53"/>
      <c r="BM327" s="53"/>
      <c r="BN327" s="53"/>
      <c r="BO327" s="53"/>
      <c r="BP327" s="53"/>
      <c r="BQ327" s="53"/>
      <c r="BR327" s="53"/>
      <c r="BS327" s="53"/>
      <c r="BT327" s="53"/>
      <c r="BU327" s="53"/>
      <c r="BV327" s="53"/>
      <c r="BW327" s="53"/>
      <c r="BX327" s="53"/>
      <c r="BY327" s="53"/>
      <c r="BZ327" s="53"/>
      <c r="CA327" s="53"/>
      <c r="CB327" s="53"/>
      <c r="CC327" s="53"/>
      <c r="CD327" s="53"/>
      <c r="CE327" s="53"/>
      <c r="CF327" s="53"/>
      <c r="CG327" s="53"/>
      <c r="CH327" s="53"/>
      <c r="CI327" s="53"/>
      <c r="CJ327" s="53"/>
      <c r="CK327" s="53"/>
      <c r="CL327" s="53"/>
      <c r="CM327" s="53"/>
      <c r="CN327" s="53"/>
      <c r="CO327" s="53"/>
      <c r="CP327" s="53"/>
      <c r="CQ327" s="53"/>
      <c r="CR327" s="1"/>
      <c r="CS327" s="1"/>
      <c r="CT327" s="1"/>
      <c r="CU327" s="1"/>
    </row>
    <row r="328" spans="1:99" s="13" customFormat="1" ht="12" customHeight="1" x14ac:dyDescent="0.2">
      <c r="A328" s="68">
        <v>43906</v>
      </c>
      <c r="B328" s="94"/>
      <c r="C328" s="94"/>
      <c r="D328" s="92"/>
      <c r="E328" s="87"/>
      <c r="F328" s="92"/>
      <c r="G328" s="92"/>
      <c r="H328" s="92"/>
      <c r="I328" s="69"/>
      <c r="J328" s="92"/>
      <c r="K328" s="107"/>
      <c r="L328" s="107"/>
      <c r="M328" s="92"/>
      <c r="N328" s="86"/>
      <c r="O328" s="92"/>
      <c r="P328" s="92"/>
      <c r="Q328" s="92"/>
      <c r="R328" s="69"/>
      <c r="S328" s="92"/>
      <c r="T328" s="92"/>
      <c r="U328" s="60"/>
      <c r="V328" s="92"/>
      <c r="W328" s="69"/>
      <c r="X328" s="92"/>
      <c r="Y328" s="87"/>
      <c r="Z328" s="92"/>
      <c r="AA328" s="92"/>
      <c r="AB328" s="69"/>
      <c r="AC328" s="69"/>
      <c r="AD328" s="69"/>
      <c r="AE328" s="69"/>
      <c r="AF328" s="88"/>
      <c r="AG328" s="72"/>
      <c r="AH328" s="4"/>
      <c r="AI328" s="108"/>
      <c r="AJ328" s="113"/>
      <c r="AK328" s="108"/>
      <c r="AL328" s="108"/>
      <c r="AM328" s="108"/>
      <c r="AN328" s="108"/>
      <c r="AO328" s="108"/>
      <c r="AP328" s="108"/>
      <c r="AQ328" s="72"/>
      <c r="AR328" s="110"/>
      <c r="AS328" s="72"/>
      <c r="AT328" s="72"/>
      <c r="AU328" s="4"/>
      <c r="AV328" s="98">
        <v>300</v>
      </c>
      <c r="AW328" s="98">
        <f>30*60</f>
        <v>1800</v>
      </c>
      <c r="AX328" s="98">
        <f>2*3600</f>
        <v>7200</v>
      </c>
      <c r="AY328" s="98">
        <f>24*3600</f>
        <v>86400</v>
      </c>
      <c r="AZ328" s="43"/>
      <c r="BA328" s="53"/>
      <c r="BB328" s="53"/>
      <c r="BC328" s="53"/>
      <c r="BD328" s="53"/>
      <c r="BE328" s="53"/>
      <c r="BF328" s="53"/>
      <c r="BG328" s="53"/>
      <c r="BH328" s="53"/>
      <c r="BI328" s="53"/>
      <c r="BJ328" s="53"/>
      <c r="BK328" s="53"/>
      <c r="BL328" s="53"/>
      <c r="BM328" s="53"/>
      <c r="BN328" s="53"/>
      <c r="BO328" s="53"/>
      <c r="BP328" s="53"/>
      <c r="BQ328" s="53"/>
      <c r="BR328" s="53"/>
      <c r="BS328" s="53"/>
      <c r="BT328" s="53"/>
      <c r="BU328" s="53"/>
      <c r="BV328" s="53"/>
      <c r="BW328" s="53"/>
      <c r="BX328" s="53"/>
      <c r="BY328" s="53"/>
      <c r="BZ328" s="53"/>
      <c r="CA328" s="53"/>
      <c r="CB328" s="53"/>
      <c r="CC328" s="53"/>
      <c r="CD328" s="53"/>
      <c r="CE328" s="53"/>
      <c r="CF328" s="53"/>
      <c r="CG328" s="53"/>
      <c r="CH328" s="53"/>
      <c r="CI328" s="53"/>
      <c r="CJ328" s="53"/>
      <c r="CK328" s="53"/>
      <c r="CL328" s="53"/>
      <c r="CM328" s="53"/>
      <c r="CN328" s="53"/>
      <c r="CO328" s="53"/>
      <c r="CP328" s="53"/>
      <c r="CQ328" s="53"/>
      <c r="CR328" s="1"/>
      <c r="CS328" s="1"/>
      <c r="CT328" s="1"/>
      <c r="CU328" s="1"/>
    </row>
    <row r="329" spans="1:99" s="13" customFormat="1" ht="12" customHeight="1" x14ac:dyDescent="0.2">
      <c r="A329" s="68">
        <v>43906</v>
      </c>
      <c r="B329" s="70" t="s">
        <v>272</v>
      </c>
      <c r="C329" s="70" t="s">
        <v>495</v>
      </c>
      <c r="D329" s="69">
        <v>1996</v>
      </c>
      <c r="E329" s="87">
        <v>2</v>
      </c>
      <c r="F329" s="69">
        <v>511</v>
      </c>
      <c r="G329" s="69">
        <v>42.6</v>
      </c>
      <c r="H329" s="69" t="s">
        <v>38</v>
      </c>
      <c r="I329" s="69" t="s">
        <v>497</v>
      </c>
      <c r="J329" s="69" t="s">
        <v>328</v>
      </c>
      <c r="K329" s="69">
        <f>IF(J329="syllables",1,IF(J329="trigrams",2,IF(J329="strings",3,IF(J329="visual array",4,IF(J329="characters",5,IF(J329="letters",6,IF(J329="free forms",7,IF(J329="odors",8,IF(J329="words",9,IF(J329="pictures",10,IF(J329="object pictures",11,IF(J329="faces",12,IF(J329="names",13,IF(J329="idioms",14,IF(J329="grades",15,IF(J329="syllable-digit pairs",16,IF(J329="trigram-word pairs",17,IF(J329="word-digit pairs",18,IF(J329="English-Swahili pairs",19,IF(J329="spatial position",20,IF(J329="word pairs",21,IF(J329="word triads",22,IF(J329="generated words",23,IF(J329="word definition pairs",24,IF(J329="math problems",25,IF(J329="famous faces",26,IF(J329="famous names",27,IF(J329="famous voices",28,IF(J329="television programs",29,IF(J329="race horses",30,IF(J329="new vocabulary",31,IF(J329="sentences",32,IF(J329="concepts",33,IF(J329="ad slides",34,IF(J329="scenes",35,IF(J329="famous scenes",36,IF(J329="poems",37,IF(J329="walk",38,IF(J329="faces and events",39,IF(J329="events and names",40,IF(J329="flashbulb",41,IF(J329="stories",42,IF(J329="course material",43,IF(J329="autobiographical",44,IF(J329="novels",45,IF(J329="public events",46,"99"))))))))))))))))))))))))))))))))))))))))))))))</f>
        <v>12</v>
      </c>
      <c r="L329" s="69">
        <f>IF(J329="syllables",1,IF(J329="trigrams",1,IF(J329="strings",1,IF(J329="visual array",1,IF(J329="characters",1,IF(J329="letters",1,IF(J329="free forms",1,IF(J329="odors",2,IF(J329="words",2,IF(J329="pictures",2,IF(J329="object pictures",2,IF(J329="faces",2,IF(J329="names",2,IF(J329="idioms","2",IF(J329="grades",2,IF(J329="syllable-digit pairs",3,IF(J329="trigram-word pairs",3,IF(J329="word-digit pairs",3,IF(J329="English-Swahili pairs",3,IF(J329="spatial position",3,IF(J329="word pairs",4,IF(J329="word triads",4,IF(J329="generated words",4,IF(J329="word definition pairs",4,IF(J329="math problems",4,IF(J329="famous faces",4,IF(J329="famous names",4,IF(J329="famous voices",4,IF(J329="television programs",4,IF(J329="race horses",4,IF(J329="new vocabulary",4,IF(J329="sentences",5,IF(J329="concepts",5,IF(J329="ad slides",5,IF(J329="scenes",5,IF(J329="famous scenes",5,IF(J329="poems",6,IF(J329="walk",6,IF(J329="faces and events",6,IF(J329="events and names",6,IF(J329="flashbulb",7,IF(J329="stories",7,IF(J329="course material",7,IF(J329="autobiographical",7,IF(J329="novels",7,IF(J329="public events",7,"99"))))))))))))))))))))))))))))))))))))))))))))))</f>
        <v>2</v>
      </c>
      <c r="M329" s="69">
        <v>0</v>
      </c>
      <c r="N329" s="86">
        <v>1</v>
      </c>
      <c r="O329" s="69">
        <v>0</v>
      </c>
      <c r="P329" s="69"/>
      <c r="Q329" s="69" t="s">
        <v>34</v>
      </c>
      <c r="R329" s="69">
        <f>IF(Q329="Free Recall",1,IF(Q329="Cued Recall",2,IF(Q329="Recognition",3,IF(Q329="Multiple Choice",4,IF(Q329="Savings",5,IF(Q329="Stem Completion",6,IF(Q329="Fragment Completion",7,IF(Q329="anagram solution",8,IF(Q329="Matching",9,IF(Q329="Problem Solving",10,"99"))))))))))</f>
        <v>3</v>
      </c>
      <c r="S329" s="92" t="s">
        <v>15</v>
      </c>
      <c r="T329" s="69" t="s">
        <v>261</v>
      </c>
      <c r="U329" s="60">
        <f>IF(T329="within",1,0)</f>
        <v>0</v>
      </c>
      <c r="V329" s="69">
        <v>2</v>
      </c>
      <c r="W329" s="69">
        <f>F329*V329</f>
        <v>1022</v>
      </c>
      <c r="X329" s="69">
        <v>4</v>
      </c>
      <c r="Y329" s="87">
        <f>AV328</f>
        <v>300</v>
      </c>
      <c r="Z329" s="69" t="s">
        <v>449</v>
      </c>
      <c r="AA329" s="69">
        <f>24*3600</f>
        <v>86400</v>
      </c>
      <c r="AB329" s="69" t="str">
        <f>IF(AA329&lt;60,"1",IF(AA329&lt;=43200,"2",IF(AA329&lt;=777600,"3","4")))</f>
        <v>3</v>
      </c>
      <c r="AC329" s="72">
        <f t="shared" ref="AC329" si="16">AVERAGE(AV328:DA328)</f>
        <v>23925</v>
      </c>
      <c r="AD329" s="69" t="str">
        <f>IF(AC329&lt;60,"1",IF(AC329&lt;=43200,"2",IF(AC329&lt;=777600,"3","4")))</f>
        <v>2</v>
      </c>
      <c r="AE329" s="87">
        <f>AA329-Y329</f>
        <v>86100</v>
      </c>
      <c r="AF329" s="88">
        <f>AV329</f>
        <v>0.86499999999999999</v>
      </c>
      <c r="AG329" s="72">
        <f>((AW329-AV329)+(AX329-AW329)+(AY329-AX329))/3</f>
        <v>-2.5000000000000022E-2</v>
      </c>
      <c r="AH329" s="4"/>
      <c r="AI329" s="72">
        <f>RSQ(AV329:AY329,AV328:AY328)</f>
        <v>8.1870171432205652E-2</v>
      </c>
      <c r="AJ329" s="110">
        <f>SLOPE(AV329:AY329,AV328:AY328)</f>
        <v>-2.8213681941953135E-7</v>
      </c>
      <c r="AK329" s="72">
        <f>INTERCEPT(AV329:AY329,AV328:AY328)</f>
        <v>0.81268762340461231</v>
      </c>
      <c r="AL329" s="72">
        <f>INDEX(LINEST(LN(AV329:AY329),LN(AV328:AY328),TRUE,TRUE),3,1)</f>
        <v>0.35119386846453032</v>
      </c>
      <c r="AM329" s="72">
        <f>INDEX(LINEST(LN(AV329:AY329),LN(AV328:AY328)),1)</f>
        <v>-1.2453287522516739E-2</v>
      </c>
      <c r="AN329" s="72">
        <f>EXP(INDEX(LINEST(LN(AV329:AY329),LN(AV328:AY328)),1,2))</f>
        <v>0.89353395276638314</v>
      </c>
      <c r="AO329" s="89">
        <f>INDEX(LINEST((AV329:AY329),LN(AV328:AY328),TRUE,TRUE),3,1)</f>
        <v>0.36191289934471482</v>
      </c>
      <c r="AP329" s="89">
        <f>INDEX(LINEST((AV329:AY329),LN(AV328:AY328)),1)</f>
        <v>-1.0369911547204225E-2</v>
      </c>
      <c r="AQ329" s="90">
        <f>INDEX(LINEST(LN(AV329:AY329),SQRT(AV328:AY328),TRUE,TRUE),3,1)</f>
        <v>0.13312896805095162</v>
      </c>
      <c r="AR329" s="117">
        <f>INDEX(LINEST(LN(AV329:AY329),SQRT((AV328:AY328))),1)</f>
        <v>-1.453594952621987E-4</v>
      </c>
      <c r="AS329" s="91">
        <f>INDEX(LINEST(1/(AV329:AY329),1/(SQRT(AV328:AY328)),TRUE,TRUE),3,1)</f>
        <v>0.6487473821267643</v>
      </c>
      <c r="AT329" s="91">
        <f>INDEX(LINEST(1/(AV329:AY329),1/SQRT(AV328:AY328)),1)</f>
        <v>-2.0659047610771841</v>
      </c>
      <c r="AU329" s="3"/>
      <c r="AV329" s="73">
        <v>0.86499999999999999</v>
      </c>
      <c r="AW329" s="73">
        <v>0.77</v>
      </c>
      <c r="AX329" s="73">
        <v>0.79874999999999996</v>
      </c>
      <c r="AY329" s="73">
        <v>0.78999999999999992</v>
      </c>
      <c r="AZ329" s="43"/>
      <c r="BA329" s="53"/>
      <c r="BB329" s="53"/>
      <c r="BC329" s="53"/>
      <c r="BD329" s="53"/>
      <c r="BE329" s="53"/>
      <c r="BF329" s="53"/>
      <c r="BG329" s="53"/>
      <c r="BH329" s="53"/>
      <c r="BI329" s="53"/>
      <c r="BJ329" s="53"/>
      <c r="BK329" s="53"/>
      <c r="BL329" s="53"/>
      <c r="BM329" s="53"/>
      <c r="BN329" s="53"/>
      <c r="BO329" s="53"/>
      <c r="BP329" s="53"/>
      <c r="BQ329" s="53"/>
      <c r="BR329" s="53"/>
      <c r="BS329" s="53"/>
      <c r="BT329" s="53"/>
      <c r="BU329" s="53"/>
      <c r="BV329" s="53"/>
      <c r="BW329" s="53"/>
      <c r="BX329" s="53"/>
      <c r="BY329" s="53"/>
      <c r="BZ329" s="53"/>
      <c r="CA329" s="53"/>
      <c r="CB329" s="53"/>
      <c r="CC329" s="53"/>
      <c r="CD329" s="53"/>
      <c r="CE329" s="53"/>
      <c r="CF329" s="53"/>
      <c r="CG329" s="53"/>
      <c r="CH329" s="53"/>
      <c r="CI329" s="53"/>
      <c r="CJ329" s="53"/>
      <c r="CK329" s="53"/>
      <c r="CL329" s="53"/>
      <c r="CM329" s="53"/>
      <c r="CN329" s="53"/>
      <c r="CO329" s="53"/>
      <c r="CP329" s="53"/>
      <c r="CQ329" s="53"/>
      <c r="CR329" s="1"/>
      <c r="CS329" s="1"/>
      <c r="CT329" s="1"/>
      <c r="CU329" s="1"/>
    </row>
    <row r="330" spans="1:99" s="13" customFormat="1" ht="12" customHeight="1" x14ac:dyDescent="0.2">
      <c r="A330" s="68">
        <v>43509</v>
      </c>
      <c r="B330" s="70"/>
      <c r="C330" s="70"/>
      <c r="D330" s="69"/>
      <c r="E330" s="87"/>
      <c r="F330" s="69"/>
      <c r="G330" s="69"/>
      <c r="H330" s="69"/>
      <c r="I330" s="69"/>
      <c r="J330" s="69"/>
      <c r="K330" s="107"/>
      <c r="L330" s="107"/>
      <c r="M330" s="69"/>
      <c r="N330" s="69"/>
      <c r="O330" s="69"/>
      <c r="P330" s="69"/>
      <c r="Q330" s="69"/>
      <c r="R330" s="69"/>
      <c r="S330" s="69"/>
      <c r="T330" s="69"/>
      <c r="U330" s="69"/>
      <c r="V330" s="69"/>
      <c r="W330" s="69"/>
      <c r="X330" s="69"/>
      <c r="Y330" s="87"/>
      <c r="Z330" s="69"/>
      <c r="AA330" s="69"/>
      <c r="AB330" s="69"/>
      <c r="AC330" s="69"/>
      <c r="AD330" s="69"/>
      <c r="AE330" s="69"/>
      <c r="AF330" s="88"/>
      <c r="AG330" s="72"/>
      <c r="AH330" s="4"/>
      <c r="AI330" s="89"/>
      <c r="AJ330" s="118"/>
      <c r="AK330" s="89"/>
      <c r="AL330" s="89"/>
      <c r="AM330" s="89"/>
      <c r="AN330" s="89"/>
      <c r="AO330" s="89"/>
      <c r="AP330" s="72"/>
      <c r="AQ330" s="72"/>
      <c r="AR330" s="110"/>
      <c r="AS330" s="72"/>
      <c r="AT330" s="72"/>
      <c r="AU330" s="4"/>
      <c r="AV330" s="193">
        <v>6</v>
      </c>
      <c r="AW330" s="193">
        <f>10*60</f>
        <v>600</v>
      </c>
      <c r="AX330" s="193">
        <f>20*60</f>
        <v>1200</v>
      </c>
      <c r="AY330" s="193">
        <f>40*60</f>
        <v>2400</v>
      </c>
      <c r="AZ330" s="193">
        <f>60*60</f>
        <v>3600</v>
      </c>
      <c r="BA330" s="156">
        <f>120*60</f>
        <v>7200</v>
      </c>
      <c r="BB330" s="70">
        <f>24*3600</f>
        <v>86400</v>
      </c>
      <c r="BC330" s="53"/>
      <c r="BD330" s="53"/>
      <c r="BE330" s="53"/>
      <c r="BF330" s="53"/>
      <c r="BG330" s="53"/>
      <c r="BH330" s="53"/>
      <c r="BI330" s="53"/>
      <c r="BJ330" s="53"/>
      <c r="BK330" s="53"/>
      <c r="BL330" s="53"/>
      <c r="BM330" s="53"/>
      <c r="BN330" s="53"/>
      <c r="BO330" s="53"/>
      <c r="BP330" s="53"/>
      <c r="BQ330" s="53"/>
      <c r="BR330" s="53"/>
      <c r="BS330" s="53"/>
      <c r="BT330" s="53"/>
      <c r="BU330" s="53"/>
      <c r="BV330" s="53"/>
      <c r="BW330" s="53"/>
      <c r="BX330" s="53"/>
      <c r="BY330" s="53"/>
      <c r="BZ330" s="53"/>
      <c r="CA330" s="53"/>
      <c r="CB330" s="53"/>
      <c r="CC330" s="53"/>
      <c r="CD330" s="53"/>
      <c r="CE330" s="53"/>
      <c r="CF330" s="53"/>
      <c r="CG330" s="53"/>
      <c r="CH330" s="53"/>
      <c r="CI330" s="53"/>
      <c r="CJ330" s="53"/>
      <c r="CK330" s="53"/>
      <c r="CL330" s="53"/>
      <c r="CM330" s="53"/>
      <c r="CN330" s="53"/>
      <c r="CO330" s="53"/>
      <c r="CP330" s="53"/>
      <c r="CQ330" s="53"/>
      <c r="CR330" s="1"/>
      <c r="CS330" s="1"/>
      <c r="CT330" s="1"/>
      <c r="CU330" s="1"/>
    </row>
    <row r="331" spans="1:99" s="13" customFormat="1" ht="12" customHeight="1" x14ac:dyDescent="0.2">
      <c r="A331" s="68">
        <v>43509</v>
      </c>
      <c r="B331" s="70" t="s">
        <v>296</v>
      </c>
      <c r="C331" s="70" t="s">
        <v>288</v>
      </c>
      <c r="D331" s="69">
        <v>1941</v>
      </c>
      <c r="E331" s="87">
        <v>1</v>
      </c>
      <c r="F331" s="69">
        <v>15</v>
      </c>
      <c r="G331" s="69">
        <v>15</v>
      </c>
      <c r="H331" s="69" t="s">
        <v>22</v>
      </c>
      <c r="I331" s="69" t="s">
        <v>861</v>
      </c>
      <c r="J331" s="69" t="s">
        <v>281</v>
      </c>
      <c r="K331" s="69">
        <f>IF(J331="syllables",1,IF(J331="trigrams",2,IF(J331="strings",3,IF(J331="visual array",4,IF(J331="characters",5,IF(J331="letters",6,IF(J331="free forms",7,IF(J331="odors",8,IF(J331="words",9,IF(J331="pictures",10,IF(J331="object pictures",11,IF(J331="faces",12,IF(J331="names",13,IF(J331="idioms",14,IF(J331="grades",15,IF(J331="syllable-digit pairs",16,IF(J331="trigram-word pairs",17,IF(J331="word-digit pairs",18,IF(J331="English-Swahili pairs",19,IF(J331="spatial position",20,IF(J331="word pairs",21,IF(J331="word triads",22,IF(J331="generated words",23,IF(J331="word definition pairs",24,IF(J331="math problems",25,IF(J331="famous faces",26,IF(J331="famous names",27,IF(J331="famous voices",28,IF(J331="television programs",29,IF(J331="race horses",30,IF(J331="new vocabulary",31,IF(J331="sentences",32,IF(J331="concepts",33,IF(J331="ad slides",34,IF(J331="scenes",35,IF(J331="famous scenes",36,IF(J331="poems",37,IF(J331="walk",38,IF(J331="faces and events",39,IF(J331="events and names",40,IF(J331="flashbulb",41,IF(J331="stories",42,IF(J331="course material",43,IF(J331="autobiographical",44,IF(J331="novels",45,IF(J331="public events",46,"99"))))))))))))))))))))))))))))))))))))))))))))))</f>
        <v>1</v>
      </c>
      <c r="L331" s="69">
        <f>IF(J331="syllables",1,IF(J331="trigrams",1,IF(J331="strings",1,IF(J331="visual array",1,IF(J331="characters",1,IF(J331="letters",1,IF(J331="free forms",1,IF(J331="odors",2,IF(J331="words",2,IF(J331="pictures",2,IF(J331="object pictures",2,IF(J331="faces",2,IF(J331="names",2,IF(J331="idioms","2",IF(J331="grades",2,IF(J331="syllable-digit pairs",3,IF(J331="trigram-word pairs",3,IF(J331="word-digit pairs",3,IF(J331="English-Swahili pairs",3,IF(J331="spatial position",3,IF(J331="word pairs",4,IF(J331="word triads",4,IF(J331="generated words",4,IF(J331="word definition pairs",4,IF(J331="math problems",4,IF(J331="famous faces",4,IF(J331="famous names",4,IF(J331="famous voices",4,IF(J331="television programs",4,IF(J331="race horses",4,IF(J331="new vocabulary",4,IF(J331="sentences",5,IF(J331="concepts",5,IF(J331="ad slides",5,IF(J331="scenes",5,IF(J331="famous scenes",5,IF(J331="poems",6,IF(J331="walk",6,IF(J331="faces and events",6,IF(J331="events and names",6,IF(J331="flashbulb",7,IF(J331="stories",7,IF(J331="course material",7,IF(J331="autobiographical",7,IF(J331="novels",7,IF(J331="public events",7,"99"))))))))))))))))))))))))))))))))))))))))))))))</f>
        <v>1</v>
      </c>
      <c r="M331" s="69">
        <v>1</v>
      </c>
      <c r="N331" s="69">
        <v>2</v>
      </c>
      <c r="O331" s="69">
        <v>1</v>
      </c>
      <c r="P331" s="69" t="s">
        <v>293</v>
      </c>
      <c r="Q331" s="69" t="s">
        <v>174</v>
      </c>
      <c r="R331" s="69">
        <f>IF(Q331="Free Recall",1,IF(Q331="Cued Recall",2,IF(Q331="Recognition",3,IF(Q331="Multiple Choice",4,IF(Q331="Savings",5,IF(Q331="Stem Completion",6,IF(Q331="Fragment Completion",7,IF(Q331="anagram solution",8,IF(Q331="Matching",9,IF(Q331="Problem Solving",10,"99"))))))))))</f>
        <v>1</v>
      </c>
      <c r="S331" s="69" t="s">
        <v>295</v>
      </c>
      <c r="T331" s="92" t="s">
        <v>581</v>
      </c>
      <c r="U331" s="69">
        <f>IF(T331="within",1,0)</f>
        <v>1</v>
      </c>
      <c r="V331" s="92">
        <v>12</v>
      </c>
      <c r="W331" s="69">
        <f>F331*V331</f>
        <v>180</v>
      </c>
      <c r="X331" s="69">
        <v>7</v>
      </c>
      <c r="Y331" s="87">
        <f>AV330</f>
        <v>6</v>
      </c>
      <c r="Z331" s="69" t="s">
        <v>79</v>
      </c>
      <c r="AA331" s="69">
        <f>24*3600</f>
        <v>86400</v>
      </c>
      <c r="AB331" s="69" t="str">
        <f>IF(AA331&lt;60,"1",IF(AA331&lt;=43200,"2",IF(AA331&lt;=777600,"3","4")))</f>
        <v>3</v>
      </c>
      <c r="AC331" s="72">
        <f t="shared" ref="AC331" si="17">AVERAGE(AV330:DA330)</f>
        <v>14486.571428571429</v>
      </c>
      <c r="AD331" s="69" t="str">
        <f>IF(AC331&lt;60,"1",IF(AC331&lt;=43200,"2",IF(AC331&lt;=777600,"3","4")))</f>
        <v>2</v>
      </c>
      <c r="AE331" s="87">
        <f>AA331-Y331</f>
        <v>86394</v>
      </c>
      <c r="AF331" s="88">
        <f>AV331</f>
        <v>0.81666666666666676</v>
      </c>
      <c r="AG331" s="72">
        <f>((AW331-AV331)+(AX331-AW331)+(AY331-AX331)+(AZ331-AY331)+(BA331-AZ331)+(BB331-BA331))/6</f>
        <v>-0.1166666666666667</v>
      </c>
      <c r="AH331" s="4"/>
      <c r="AI331" s="72">
        <f>RSQ(AV331:AZ331,AV330:AZ330)</f>
        <v>0.98750576380228927</v>
      </c>
      <c r="AJ331" s="110">
        <f>SLOPE(AV331:AZ331,AV330:AZ330)</f>
        <v>-8.7826698561800577E-5</v>
      </c>
      <c r="AK331" s="72">
        <f>INTERCEPT(AV331:AZ331,AV330:AZ330)</f>
        <v>0.83494837512801634</v>
      </c>
      <c r="AL331" s="72">
        <f>INDEX(LINEST(LN(AV331:AZ331),LN(AV330:AZ330),TRUE,TRUE),3,1)</f>
        <v>0.47319990651657701</v>
      </c>
      <c r="AM331" s="72">
        <f>INDEX(LINEST(LN(AV331:AZ331),LN(AV330:AZ330)),1)</f>
        <v>-5.234539928858041E-2</v>
      </c>
      <c r="AN331" s="72">
        <f>EXP(INDEX(LINEST(LN(AV331:AZ331),LN(AV330:AZ330)),1,2))</f>
        <v>0.9537640256719232</v>
      </c>
      <c r="AO331" s="89">
        <f>INDEX(LINEST((AV331:AZ331),LN(AV330:AZ330),TRUE,TRUE),3,1)</f>
        <v>0.51558569212492056</v>
      </c>
      <c r="AP331" s="89">
        <f>INDEX(LINEST((AV331:AZ331),LN(AV330:AZ330)),1)</f>
        <v>-3.5445286873496233E-2</v>
      </c>
      <c r="AQ331" s="90">
        <f>INDEX(LINEST(LN(AV331:AZ331),SQRT(AV330:AZ330),TRUE,TRUE),3,1)</f>
        <v>0.81682468471778502</v>
      </c>
      <c r="AR331" s="117">
        <f>INDEX(LINEST(LN(AV331:AZ331),SQRT((AV330:AZ330))),1)</f>
        <v>-7.9744130545607236E-3</v>
      </c>
      <c r="AS331" s="91">
        <f>INDEX(LINEST(1/(AV331:AZ331),1/(SQRT(AV330:AZ330)),TRUE,TRUE),3,1)</f>
        <v>0.2487697791833742</v>
      </c>
      <c r="AT331" s="91">
        <f>INDEX(LINEST(1/(AV331:AZ331),1/SQRT(AV330:AZ330)),1)</f>
        <v>-0.90367110523016081</v>
      </c>
      <c r="AU331" s="4"/>
      <c r="AV331" s="73">
        <f>9.8/12</f>
        <v>0.81666666666666676</v>
      </c>
      <c r="AW331" s="102">
        <f>9.47/12</f>
        <v>0.78916666666666668</v>
      </c>
      <c r="AX331" s="102">
        <f>8.9/12</f>
        <v>0.7416666666666667</v>
      </c>
      <c r="AY331" s="102">
        <f>7.63/12</f>
        <v>0.63583333333333336</v>
      </c>
      <c r="AZ331" s="102">
        <f>6.07/12</f>
        <v>0.50583333333333336</v>
      </c>
      <c r="BA331" s="73">
        <f>3.87/12</f>
        <v>0.32250000000000001</v>
      </c>
      <c r="BB331" s="73">
        <f>1.4/12</f>
        <v>0.11666666666666665</v>
      </c>
      <c r="BC331" s="53"/>
      <c r="BD331" s="53"/>
      <c r="BE331" s="53"/>
      <c r="BF331" s="53"/>
      <c r="BG331" s="53"/>
      <c r="BH331" s="53"/>
      <c r="BI331" s="53"/>
      <c r="BJ331" s="53"/>
      <c r="BK331" s="53"/>
      <c r="BL331" s="53"/>
      <c r="BM331" s="53"/>
      <c r="BN331" s="53"/>
      <c r="BO331" s="53"/>
      <c r="BP331" s="53"/>
      <c r="BQ331" s="53"/>
      <c r="BR331" s="53"/>
      <c r="BS331" s="53"/>
      <c r="BT331" s="53"/>
      <c r="BU331" s="53"/>
      <c r="BV331" s="53"/>
      <c r="BW331" s="53"/>
      <c r="BX331" s="53"/>
      <c r="BY331" s="53"/>
      <c r="BZ331" s="53"/>
      <c r="CA331" s="53"/>
      <c r="CB331" s="53"/>
      <c r="CC331" s="53"/>
      <c r="CD331" s="53"/>
      <c r="CE331" s="53"/>
      <c r="CF331" s="53"/>
      <c r="CG331" s="53"/>
      <c r="CH331" s="53"/>
      <c r="CI331" s="53"/>
      <c r="CJ331" s="53"/>
      <c r="CK331" s="53"/>
      <c r="CL331" s="53"/>
      <c r="CM331" s="53"/>
      <c r="CN331" s="53"/>
      <c r="CO331" s="53"/>
      <c r="CP331" s="53"/>
      <c r="CQ331" s="53"/>
      <c r="CR331" s="1"/>
      <c r="CS331" s="1"/>
      <c r="CT331" s="1"/>
      <c r="CU331" s="1"/>
    </row>
    <row r="332" spans="1:99" ht="12" customHeight="1" x14ac:dyDescent="0.2">
      <c r="R332" s="60"/>
      <c r="U332" s="60"/>
      <c r="W332" s="60"/>
      <c r="Y332" s="76"/>
      <c r="AB332" s="60"/>
      <c r="AD332" s="60"/>
      <c r="AE332" s="60"/>
      <c r="AF332" s="80"/>
    </row>
    <row r="333" spans="1:99" ht="12" customHeight="1" x14ac:dyDescent="0.2">
      <c r="K333" s="60"/>
      <c r="R333" s="60"/>
      <c r="U333" s="60"/>
      <c r="X333" s="64">
        <f>SUM(X3:X331)</f>
        <v>602</v>
      </c>
      <c r="Y333" s="64"/>
      <c r="AB333" s="60"/>
      <c r="AD333" s="60"/>
      <c r="AE333" s="77"/>
      <c r="AF333" s="57"/>
      <c r="AL333" s="167" t="s">
        <v>695</v>
      </c>
      <c r="AM333" s="57">
        <f>AVERAGE(AM3:AM331)</f>
        <v>-6.899983852759721E-2</v>
      </c>
    </row>
    <row r="334" spans="1:99" ht="12" customHeight="1" x14ac:dyDescent="0.2">
      <c r="R334" s="60"/>
      <c r="Y334" s="64"/>
      <c r="AB334" s="60"/>
      <c r="AD334" s="60"/>
      <c r="AF334" s="64"/>
      <c r="AG334" s="64"/>
      <c r="AL334" s="45" t="s">
        <v>1026</v>
      </c>
      <c r="AM334" s="57">
        <f>MEDIAN(AM3:AM331)</f>
        <v>-4.4339117039679361E-2</v>
      </c>
    </row>
    <row r="335" spans="1:99" ht="12" customHeight="1" x14ac:dyDescent="0.2">
      <c r="K335" s="60"/>
      <c r="R335" s="60"/>
      <c r="Y335" s="64"/>
      <c r="AB335" s="60"/>
      <c r="AD335" s="60"/>
      <c r="AF335" s="64"/>
      <c r="AG335" s="64"/>
      <c r="AL335" s="167" t="s">
        <v>918</v>
      </c>
      <c r="AM335" s="57">
        <f>MIN(AM3:AM331)</f>
        <v>-0.58855774879787159</v>
      </c>
    </row>
    <row r="336" spans="1:99" ht="12" customHeight="1" x14ac:dyDescent="0.2">
      <c r="R336" s="60"/>
      <c r="Y336" s="64"/>
      <c r="AB336" s="60"/>
      <c r="AD336" s="60"/>
      <c r="AF336" s="57"/>
      <c r="AL336" s="167" t="s">
        <v>917</v>
      </c>
      <c r="AM336" s="57">
        <f>MAX(AM3:AM331)</f>
        <v>-1.3158155476526311E-3</v>
      </c>
    </row>
    <row r="337" spans="11:39" ht="12" customHeight="1" x14ac:dyDescent="0.2">
      <c r="K337" s="60"/>
      <c r="R337" s="60"/>
      <c r="Y337" s="64"/>
      <c r="AB337" s="60"/>
      <c r="AD337" s="60"/>
      <c r="AF337" s="64"/>
      <c r="AG337" s="64"/>
      <c r="AL337" s="167" t="s">
        <v>919</v>
      </c>
      <c r="AM337" s="64">
        <f xml:space="preserve"> STDEV(AM3:AM331)</f>
        <v>7.4263502696406372E-2</v>
      </c>
    </row>
    <row r="338" spans="11:39" ht="12" customHeight="1" x14ac:dyDescent="0.2">
      <c r="R338" s="60"/>
      <c r="W338" s="60"/>
      <c r="Y338" s="76"/>
      <c r="AB338" s="60"/>
      <c r="AD338" s="60"/>
      <c r="AE338" s="60"/>
      <c r="AF338" s="80"/>
      <c r="AL338" s="45" t="s">
        <v>1025</v>
      </c>
      <c r="AM338" s="64">
        <f xml:space="preserve"> STDEV(AM3:AM331)/SQRT(COUNT(AM3:AM331))</f>
        <v>5.7814058438888771E-3</v>
      </c>
    </row>
    <row r="339" spans="11:39" ht="12" customHeight="1" x14ac:dyDescent="0.2">
      <c r="K339" s="60"/>
      <c r="R339" s="60"/>
      <c r="W339" s="60"/>
      <c r="Y339" s="76"/>
      <c r="AB339" s="60"/>
      <c r="AD339" s="60"/>
      <c r="AE339" s="76"/>
      <c r="AF339" s="80"/>
      <c r="AL339" s="168"/>
      <c r="AM339" s="169"/>
    </row>
    <row r="340" spans="11:39" ht="12" customHeight="1" x14ac:dyDescent="0.2">
      <c r="R340" s="60"/>
      <c r="W340" s="60"/>
      <c r="Y340" s="76"/>
      <c r="AB340" s="60"/>
      <c r="AD340" s="60"/>
      <c r="AE340" s="60"/>
      <c r="AF340" s="80"/>
      <c r="AL340" s="168" t="s">
        <v>132</v>
      </c>
      <c r="AM340" s="169">
        <f>AM333-(3*AM337)</f>
        <v>-0.29179034661681635</v>
      </c>
    </row>
    <row r="341" spans="11:39" ht="12" customHeight="1" x14ac:dyDescent="0.2">
      <c r="K341" s="60"/>
      <c r="L341" s="60"/>
      <c r="R341" s="60"/>
      <c r="W341" s="60"/>
      <c r="Y341" s="76"/>
      <c r="AB341" s="60"/>
      <c r="AE341" s="76"/>
      <c r="AF341" s="80"/>
      <c r="AL341" s="168" t="s">
        <v>130</v>
      </c>
      <c r="AM341" s="169">
        <f>AM333+(3*AM337)</f>
        <v>0.15379066956162191</v>
      </c>
    </row>
    <row r="342" spans="11:39" ht="12" customHeight="1" x14ac:dyDescent="0.2">
      <c r="R342" s="60"/>
      <c r="W342" s="60"/>
      <c r="Y342" s="76"/>
      <c r="AB342" s="60"/>
      <c r="AE342" s="60"/>
      <c r="AF342" s="80"/>
    </row>
    <row r="343" spans="11:39" ht="12" customHeight="1" x14ac:dyDescent="0.2">
      <c r="K343" s="60"/>
      <c r="L343" s="60"/>
      <c r="R343" s="60"/>
      <c r="W343" s="60"/>
      <c r="Y343" s="76"/>
      <c r="AB343" s="60"/>
      <c r="AE343" s="76"/>
      <c r="AF343" s="80"/>
    </row>
    <row r="344" spans="11:39" ht="12" customHeight="1" x14ac:dyDescent="0.2">
      <c r="R344" s="60"/>
      <c r="W344" s="60"/>
      <c r="Y344" s="76"/>
      <c r="AB344" s="60"/>
      <c r="AE344" s="60"/>
      <c r="AF344" s="80"/>
    </row>
    <row r="345" spans="11:39" ht="12" customHeight="1" x14ac:dyDescent="0.2">
      <c r="K345" s="60"/>
      <c r="L345" s="60"/>
      <c r="R345" s="60"/>
      <c r="W345" s="60"/>
      <c r="Y345" s="76"/>
      <c r="AB345" s="60"/>
      <c r="AE345" s="76"/>
      <c r="AF345" s="80"/>
    </row>
    <row r="346" spans="11:39" ht="12" customHeight="1" x14ac:dyDescent="0.2">
      <c r="R346" s="60"/>
      <c r="W346" s="60"/>
      <c r="Y346" s="76"/>
      <c r="AB346" s="60"/>
      <c r="AE346" s="60"/>
      <c r="AF346" s="80"/>
    </row>
    <row r="347" spans="11:39" ht="12" customHeight="1" x14ac:dyDescent="0.2">
      <c r="K347" s="60"/>
      <c r="L347" s="60"/>
      <c r="R347" s="60"/>
      <c r="W347" s="60"/>
      <c r="Y347" s="76"/>
      <c r="AB347" s="60"/>
      <c r="AE347" s="76"/>
      <c r="AF347" s="80"/>
    </row>
    <row r="348" spans="11:39" ht="12" customHeight="1" x14ac:dyDescent="0.2">
      <c r="R348" s="60"/>
      <c r="W348" s="60"/>
      <c r="Y348" s="76"/>
      <c r="AB348" s="60"/>
      <c r="AE348" s="60"/>
      <c r="AF348" s="80"/>
    </row>
    <row r="349" spans="11:39" ht="12" customHeight="1" x14ac:dyDescent="0.2">
      <c r="K349" s="60"/>
      <c r="L349" s="60"/>
      <c r="R349" s="60"/>
      <c r="W349" s="60"/>
      <c r="Y349" s="76"/>
      <c r="AB349" s="60"/>
      <c r="AE349" s="76"/>
      <c r="AF349" s="80"/>
    </row>
    <row r="350" spans="11:39" ht="12" customHeight="1" x14ac:dyDescent="0.2">
      <c r="R350" s="60"/>
      <c r="W350" s="60"/>
      <c r="Y350" s="76"/>
      <c r="AB350" s="60"/>
      <c r="AE350" s="60"/>
      <c r="AF350" s="80"/>
    </row>
    <row r="351" spans="11:39" ht="12" customHeight="1" x14ac:dyDescent="0.2">
      <c r="K351" s="60"/>
      <c r="L351" s="60"/>
      <c r="R351" s="60"/>
      <c r="W351" s="60"/>
      <c r="Y351" s="76"/>
      <c r="AB351" s="60"/>
      <c r="AE351" s="76"/>
      <c r="AF351" s="80"/>
    </row>
    <row r="352" spans="11:39" ht="12" customHeight="1" x14ac:dyDescent="0.2">
      <c r="R352" s="60"/>
      <c r="W352" s="60"/>
      <c r="Y352" s="76"/>
      <c r="AB352" s="60"/>
      <c r="AE352" s="60"/>
      <c r="AF352" s="80"/>
    </row>
    <row r="353" spans="11:32" ht="12" customHeight="1" x14ac:dyDescent="0.2">
      <c r="K353" s="60"/>
      <c r="L353" s="60"/>
      <c r="R353" s="60"/>
      <c r="W353" s="60"/>
      <c r="Y353" s="76"/>
      <c r="AB353" s="60"/>
      <c r="AE353" s="76"/>
      <c r="AF353" s="80"/>
    </row>
    <row r="354" spans="11:32" ht="12" customHeight="1" x14ac:dyDescent="0.2">
      <c r="R354" s="60"/>
      <c r="W354" s="60"/>
      <c r="Y354" s="76"/>
      <c r="AB354" s="60"/>
      <c r="AE354" s="60"/>
      <c r="AF354" s="80"/>
    </row>
    <row r="355" spans="11:32" ht="12" customHeight="1" x14ac:dyDescent="0.2">
      <c r="K355" s="60"/>
      <c r="L355" s="60"/>
      <c r="R355" s="60"/>
      <c r="W355" s="60"/>
      <c r="Y355" s="76"/>
      <c r="AB355" s="60"/>
      <c r="AE355" s="76"/>
      <c r="AF355" s="80"/>
    </row>
    <row r="356" spans="11:32" ht="12" customHeight="1" x14ac:dyDescent="0.2">
      <c r="R356" s="60"/>
      <c r="W356" s="60"/>
      <c r="Y356" s="76"/>
      <c r="AB356" s="60"/>
      <c r="AE356" s="60"/>
      <c r="AF356" s="80"/>
    </row>
    <row r="357" spans="11:32" ht="12" customHeight="1" x14ac:dyDescent="0.2">
      <c r="K357" s="60"/>
      <c r="L357" s="60"/>
      <c r="R357" s="60"/>
      <c r="W357" s="60"/>
      <c r="Y357" s="76"/>
      <c r="AB357" s="60"/>
      <c r="AE357" s="76"/>
      <c r="AF357" s="80"/>
    </row>
    <row r="358" spans="11:32" ht="12" customHeight="1" x14ac:dyDescent="0.2">
      <c r="R358" s="60"/>
      <c r="W358" s="60"/>
      <c r="Y358" s="76"/>
      <c r="AB358" s="60"/>
      <c r="AE358" s="60"/>
      <c r="AF358" s="80"/>
    </row>
    <row r="359" spans="11:32" ht="12" customHeight="1" x14ac:dyDescent="0.2">
      <c r="K359" s="60"/>
      <c r="L359" s="60"/>
      <c r="R359" s="60"/>
      <c r="W359" s="60"/>
      <c r="Y359" s="76"/>
      <c r="AB359" s="60"/>
      <c r="AE359" s="76"/>
      <c r="AF359" s="80"/>
    </row>
    <row r="360" spans="11:32" ht="12" customHeight="1" x14ac:dyDescent="0.2">
      <c r="R360" s="60"/>
      <c r="W360" s="60"/>
      <c r="Y360" s="76"/>
      <c r="AB360" s="60"/>
      <c r="AE360" s="60"/>
      <c r="AF360" s="80"/>
    </row>
    <row r="361" spans="11:32" ht="12" customHeight="1" x14ac:dyDescent="0.2">
      <c r="K361" s="60"/>
      <c r="L361" s="60"/>
      <c r="R361" s="60"/>
      <c r="W361" s="60"/>
      <c r="Y361" s="76"/>
      <c r="AB361" s="60"/>
      <c r="AE361" s="76"/>
      <c r="AF361" s="80"/>
    </row>
    <row r="362" spans="11:32" ht="12" customHeight="1" x14ac:dyDescent="0.2">
      <c r="R362" s="60"/>
      <c r="W362" s="60"/>
      <c r="Y362" s="76"/>
      <c r="AB362" s="60"/>
      <c r="AE362" s="60"/>
      <c r="AF362" s="80"/>
    </row>
    <row r="363" spans="11:32" ht="12" customHeight="1" x14ac:dyDescent="0.2">
      <c r="K363" s="60"/>
      <c r="L363" s="60"/>
      <c r="R363" s="60"/>
      <c r="W363" s="60"/>
      <c r="Y363" s="76"/>
      <c r="AB363" s="60"/>
      <c r="AE363" s="76"/>
      <c r="AF363" s="80"/>
    </row>
    <row r="364" spans="11:32" ht="12" customHeight="1" x14ac:dyDescent="0.2">
      <c r="W364" s="60"/>
      <c r="Y364" s="76"/>
      <c r="AB364" s="60"/>
      <c r="AE364" s="60"/>
      <c r="AF364" s="80"/>
    </row>
    <row r="365" spans="11:32" ht="12" customHeight="1" x14ac:dyDescent="0.2">
      <c r="K365" s="60"/>
      <c r="L365" s="60"/>
      <c r="W365" s="60"/>
      <c r="Y365" s="76"/>
      <c r="AE365" s="76"/>
      <c r="AF365" s="80"/>
    </row>
    <row r="366" spans="11:32" ht="12" customHeight="1" x14ac:dyDescent="0.2">
      <c r="W366" s="60"/>
      <c r="Y366" s="76"/>
      <c r="AE366" s="60"/>
      <c r="AF366" s="80"/>
    </row>
    <row r="367" spans="11:32" ht="12" customHeight="1" x14ac:dyDescent="0.2">
      <c r="K367" s="60"/>
      <c r="L367" s="60"/>
      <c r="W367" s="60"/>
      <c r="Y367" s="76"/>
      <c r="AE367" s="76"/>
      <c r="AF367" s="80"/>
    </row>
    <row r="368" spans="11:32" ht="12" customHeight="1" x14ac:dyDescent="0.2">
      <c r="W368" s="60"/>
      <c r="Y368" s="76"/>
      <c r="AE368" s="60"/>
      <c r="AF368" s="80"/>
    </row>
    <row r="369" spans="11:32" ht="12" customHeight="1" x14ac:dyDescent="0.2">
      <c r="K369" s="60"/>
      <c r="L369" s="60"/>
      <c r="W369" s="60"/>
      <c r="Y369" s="76"/>
      <c r="AE369" s="76"/>
      <c r="AF369" s="80"/>
    </row>
    <row r="370" spans="11:32" ht="12" customHeight="1" x14ac:dyDescent="0.2">
      <c r="W370" s="60"/>
      <c r="Y370" s="76"/>
      <c r="AE370" s="60"/>
      <c r="AF370" s="80"/>
    </row>
    <row r="371" spans="11:32" ht="12" customHeight="1" x14ac:dyDescent="0.2">
      <c r="K371" s="60"/>
      <c r="L371" s="60"/>
      <c r="W371" s="60"/>
      <c r="Y371" s="76"/>
      <c r="AE371" s="76"/>
      <c r="AF371" s="80"/>
    </row>
    <row r="373" spans="11:32" ht="12" customHeight="1" x14ac:dyDescent="0.2">
      <c r="K373" s="60"/>
      <c r="L373" s="60"/>
    </row>
  </sheetData>
  <conditionalFormatting sqref="AC18 AC20 AC24 AC26 AC28 AC30 AC32 AC34 AC36 AC38 AC40 AC42 AC62 AC64 AC90 AC92 AC94 AC96 AC128 AC130 AC132 AC134 AC136 AC138 AC140 AC142 AC144 AC146 AC148 AC150 AC154 AC160 AC162 AC164 AC166 AC176 AC178 AC186 AC204 AC206 AC208 AC210 AC226 AC228 AC230 AC232 AC234 AC236 AC238 AC240 AC242 AC244 AC246 AC252 AC254 AC256 AC258 AC260 AC262 AC264 AC266 AC268 AC270 AC272 AC276 AC284 AC278 AC286 AC274 AC280 AC288 AC282 AC290 AC300 AC302 AC304 AC308 AC310 AC312 AC314 AC316 AC318 AC320 AC322 AG18 AG20 AG34 AG32 AG30 AG28 AG26 AG24 AG42 AG40 AG38 AG36 AG64 AG62 AG96 AG94 AG92 AG90 AG140 AG138 AG136 AG134 AG132 AG130 AG128 AG154 AG150 AG148 AG146 AG144 AG142 AG162 AG160 AG166 AG164 AG186 AG178 AG176 AG210 AG208 AG206 AG204 AG232 AG230 AG228 AG226 AG234 AG246 AG244 AG242 AG240 AG238 AG236 AG254 AG252 AG270 AG268 AG266 AG264 AG262 AG260 AG258 AG256 AG290 AG282 AG288 AG280 AG274 AG286 AG278 AG284 AG276 AG272 AG304 AG302 AG300 AG312 AG310 AG308 AG322 AG320 AG318 AG316 AG314 Z8:AD8 Z6:AD6 AG4 AG6 AG8 O151 O153 O5:P5 O9:P9 O7:P7 E282:I282 E284:I284 E280:I280 E214:I214 E220:I220 E218:I218 E216:I216 S6:V6 S8:V8 X6 X8 S4:AD4 B4:Q4 B6:Q6 B8:Q8">
    <cfRule type="expression" dxfId="1662" priority="1062">
      <formula>MOD(ROW(),2)=1</formula>
    </cfRule>
  </conditionalFormatting>
  <conditionalFormatting sqref="Z214:AA214">
    <cfRule type="expression" dxfId="1661" priority="1034">
      <formula>MOD(ROW(),2)=1</formula>
    </cfRule>
  </conditionalFormatting>
  <conditionalFormatting sqref="J214">
    <cfRule type="expression" dxfId="1660" priority="1035">
      <formula>MOD(ROW(),2)=1</formula>
    </cfRule>
  </conditionalFormatting>
  <conditionalFormatting sqref="J220">
    <cfRule type="expression" dxfId="1659" priority="1014">
      <formula>MOD(ROW(),2)=1</formula>
    </cfRule>
  </conditionalFormatting>
  <conditionalFormatting sqref="AX214">
    <cfRule type="expression" dxfId="1658" priority="1019">
      <formula>MOD(ROW(),2)=1</formula>
    </cfRule>
  </conditionalFormatting>
  <conditionalFormatting sqref="J218">
    <cfRule type="expression" dxfId="1657" priority="1016">
      <formula>MOD(ROW(),2)=1</formula>
    </cfRule>
  </conditionalFormatting>
  <conditionalFormatting sqref="Z218:AA218">
    <cfRule type="expression" dxfId="1656" priority="1015">
      <formula>MOD(ROW(),2)=1</formula>
    </cfRule>
  </conditionalFormatting>
  <conditionalFormatting sqref="J216">
    <cfRule type="expression" dxfId="1655" priority="1018">
      <formula>MOD(ROW(),2)=1</formula>
    </cfRule>
  </conditionalFormatting>
  <conditionalFormatting sqref="Z216:AA216">
    <cfRule type="expression" dxfId="1654" priority="1017">
      <formula>MOD(ROW(),2)=1</formula>
    </cfRule>
  </conditionalFormatting>
  <conditionalFormatting sqref="Z220:AA220">
    <cfRule type="expression" dxfId="1653" priority="1013">
      <formula>MOD(ROW(),2)=1</formula>
    </cfRule>
  </conditionalFormatting>
  <conditionalFormatting sqref="AC152 AG152">
    <cfRule type="expression" dxfId="1652" priority="985">
      <formula>MOD(ROW(),2)=1</formula>
    </cfRule>
  </conditionalFormatting>
  <conditionalFormatting sqref="E276:I276">
    <cfRule type="expression" dxfId="1651" priority="984">
      <formula>MOD(ROW(),2)=1</formula>
    </cfRule>
  </conditionalFormatting>
  <conditionalFormatting sqref="E290:I290">
    <cfRule type="expression" dxfId="1650" priority="980">
      <formula>MOD(ROW(),2)=1</formula>
    </cfRule>
  </conditionalFormatting>
  <conditionalFormatting sqref="E278:I278">
    <cfRule type="expression" dxfId="1649" priority="983">
      <formula>MOD(ROW(),2)=1</formula>
    </cfRule>
  </conditionalFormatting>
  <conditionalFormatting sqref="E274:I274">
    <cfRule type="expression" dxfId="1648" priority="982">
      <formula>MOD(ROW(),2)=1</formula>
    </cfRule>
  </conditionalFormatting>
  <conditionalFormatting sqref="E288:I288">
    <cfRule type="expression" dxfId="1647" priority="981">
      <formula>MOD(ROW(),2)=1</formula>
    </cfRule>
  </conditionalFormatting>
  <conditionalFormatting sqref="AC324 AG324">
    <cfRule type="expression" dxfId="1646" priority="978">
      <formula>MOD(ROW(),2)=1</formula>
    </cfRule>
  </conditionalFormatting>
  <conditionalFormatting sqref="AC326 AG326">
    <cfRule type="expression" dxfId="1645" priority="977">
      <formula>MOD(ROW(),2)=1</formula>
    </cfRule>
  </conditionalFormatting>
  <conditionalFormatting sqref="AC328 AG328">
    <cfRule type="expression" dxfId="1644" priority="976">
      <formula>MOD(ROW(),2)=1</formula>
    </cfRule>
  </conditionalFormatting>
  <conditionalFormatting sqref="AX216">
    <cfRule type="expression" dxfId="1643" priority="969">
      <formula>MOD(ROW(),2)=1</formula>
    </cfRule>
  </conditionalFormatting>
  <conditionalFormatting sqref="AX218">
    <cfRule type="expression" dxfId="1642" priority="968">
      <formula>MOD(ROW(),2)=1</formula>
    </cfRule>
  </conditionalFormatting>
  <conditionalFormatting sqref="AX220">
    <cfRule type="expression" dxfId="1641" priority="967">
      <formula>MOD(ROW(),2)=1</formula>
    </cfRule>
  </conditionalFormatting>
  <conditionalFormatting sqref="AC248 AC250 AG250 AG248">
    <cfRule type="expression" dxfId="1640" priority="965">
      <formula>MOD(ROW(),2)=1</formula>
    </cfRule>
  </conditionalFormatting>
  <conditionalFormatting sqref="AB112">
    <cfRule type="expression" dxfId="1639" priority="934">
      <formula>MOD(ROW(),2)=1</formula>
    </cfRule>
  </conditionalFormatting>
  <conditionalFormatting sqref="AB194">
    <cfRule type="expression" dxfId="1638" priority="931">
      <formula>MOD(ROW(),2)=1</formula>
    </cfRule>
  </conditionalFormatting>
  <conditionalFormatting sqref="AB240">
    <cfRule type="expression" dxfId="1637" priority="925">
      <formula>MOD(ROW(),2)=1</formula>
    </cfRule>
  </conditionalFormatting>
  <conditionalFormatting sqref="AB262">
    <cfRule type="expression" dxfId="1636" priority="922">
      <formula>MOD(ROW(),2)=1</formula>
    </cfRule>
  </conditionalFormatting>
  <conditionalFormatting sqref="AB278">
    <cfRule type="expression" dxfId="1635" priority="921">
      <formula>MOD(ROW(),2)=1</formula>
    </cfRule>
  </conditionalFormatting>
  <conditionalFormatting sqref="AB302">
    <cfRule type="expression" dxfId="1634" priority="919">
      <formula>MOD(ROW(),2)=1</formula>
    </cfRule>
  </conditionalFormatting>
  <conditionalFormatting sqref="AB310">
    <cfRule type="expression" dxfId="1633" priority="918">
      <formula>MOD(ROW(),2)=1</formula>
    </cfRule>
  </conditionalFormatting>
  <conditionalFormatting sqref="AB328">
    <cfRule type="expression" dxfId="1632" priority="917">
      <formula>MOD(ROW(),2)=1</formula>
    </cfRule>
  </conditionalFormatting>
  <conditionalFormatting sqref="AD20">
    <cfRule type="expression" dxfId="1631" priority="912">
      <formula>MOD(ROW(),2)=1</formula>
    </cfRule>
  </conditionalFormatting>
  <conditionalFormatting sqref="AD24 AD26 AD28 AD30 AD32">
    <cfRule type="expression" dxfId="1630" priority="911">
      <formula>MOD(ROW(),2)=1</formula>
    </cfRule>
  </conditionalFormatting>
  <conditionalFormatting sqref="AD36 AD38 AD44 AD46 AD48 AD40">
    <cfRule type="expression" dxfId="1629" priority="910">
      <formula>MOD(ROW(),2)=1</formula>
    </cfRule>
  </conditionalFormatting>
  <conditionalFormatting sqref="AD52 AD54 AD56">
    <cfRule type="expression" dxfId="1628" priority="909">
      <formula>MOD(ROW(),2)=1</formula>
    </cfRule>
  </conditionalFormatting>
  <conditionalFormatting sqref="AD90 AD92 AD94">
    <cfRule type="expression" dxfId="1627" priority="908">
      <formula>MOD(ROW(),2)=1</formula>
    </cfRule>
  </conditionalFormatting>
  <conditionalFormatting sqref="AD110 AD112">
    <cfRule type="expression" dxfId="1626" priority="907">
      <formula>MOD(ROW(),2)=1</formula>
    </cfRule>
  </conditionalFormatting>
  <conditionalFormatting sqref="AD134 AD136 AD138 AD140">
    <cfRule type="expression" dxfId="1625" priority="906">
      <formula>MOD(ROW(),2)=1</formula>
    </cfRule>
  </conditionalFormatting>
  <conditionalFormatting sqref="AD142 AD154 AD158 AD156 AD144">
    <cfRule type="expression" dxfId="1624" priority="905">
      <formula>MOD(ROW(),2)=1</formula>
    </cfRule>
  </conditionalFormatting>
  <conditionalFormatting sqref="AD160 AD162">
    <cfRule type="expression" dxfId="1623" priority="904">
      <formula>MOD(ROW(),2)=1</formula>
    </cfRule>
  </conditionalFormatting>
  <conditionalFormatting sqref="AD166">
    <cfRule type="expression" dxfId="1622" priority="903">
      <formula>MOD(ROW(),2)=1</formula>
    </cfRule>
  </conditionalFormatting>
  <conditionalFormatting sqref="AD186 AD188 AD190 AD192 AD194 AD196 AD198">
    <cfRule type="expression" dxfId="1621" priority="902">
      <formula>MOD(ROW(),2)=1</formula>
    </cfRule>
  </conditionalFormatting>
  <conditionalFormatting sqref="AD202 AD214 AD216 AD218 AD220">
    <cfRule type="expression" dxfId="1620" priority="901">
      <formula>MOD(ROW(),2)=1</formula>
    </cfRule>
  </conditionalFormatting>
  <conditionalFormatting sqref="AD228 AD230 AD232">
    <cfRule type="expression" dxfId="1619" priority="898">
      <formula>MOD(ROW(),2)=1</formula>
    </cfRule>
  </conditionalFormatting>
  <conditionalFormatting sqref="AD236 AD238 AD240">
    <cfRule type="expression" dxfId="1618" priority="895">
      <formula>MOD(ROW(),2)=1</formula>
    </cfRule>
  </conditionalFormatting>
  <conditionalFormatting sqref="AD252 AD254">
    <cfRule type="expression" dxfId="1617" priority="893">
      <formula>MOD(ROW(),2)=1</formula>
    </cfRule>
  </conditionalFormatting>
  <conditionalFormatting sqref="AD256 AD258">
    <cfRule type="expression" dxfId="1616" priority="892">
      <formula>MOD(ROW(),2)=1</formula>
    </cfRule>
  </conditionalFormatting>
  <conditionalFormatting sqref="AD290">
    <cfRule type="expression" dxfId="1615" priority="891">
      <formula>MOD(ROW(),2)=1</formula>
    </cfRule>
  </conditionalFormatting>
  <conditionalFormatting sqref="AD292 AD294 AD296 AD298">
    <cfRule type="expression" dxfId="1614" priority="890">
      <formula>MOD(ROW(),2)=1</formula>
    </cfRule>
  </conditionalFormatting>
  <conditionalFormatting sqref="AD332 AD334 AD336 AD338">
    <cfRule type="expression" dxfId="1613" priority="886">
      <formula>MOD(ROW(),2)=1</formula>
    </cfRule>
  </conditionalFormatting>
  <conditionalFormatting sqref="Y8">
    <cfRule type="expression" dxfId="1612" priority="885">
      <formula>MOD(ROW(),2)=1</formula>
    </cfRule>
  </conditionalFormatting>
  <conditionalFormatting sqref="Y24">
    <cfRule type="expression" dxfId="1611" priority="821">
      <formula>MOD(ROW(),2)=1</formula>
    </cfRule>
  </conditionalFormatting>
  <conditionalFormatting sqref="Y28">
    <cfRule type="expression" dxfId="1610" priority="820">
      <formula>MOD(ROW(),2)=1</formula>
    </cfRule>
  </conditionalFormatting>
  <conditionalFormatting sqref="Y32">
    <cfRule type="expression" dxfId="1609" priority="819">
      <formula>MOD(ROW(),2)=1</formula>
    </cfRule>
  </conditionalFormatting>
  <conditionalFormatting sqref="Y36">
    <cfRule type="expression" dxfId="1608" priority="818">
      <formula>MOD(ROW(),2)=1</formula>
    </cfRule>
  </conditionalFormatting>
  <conditionalFormatting sqref="Y40">
    <cfRule type="expression" dxfId="1607" priority="817">
      <formula>MOD(ROW(),2)=1</formula>
    </cfRule>
  </conditionalFormatting>
  <conditionalFormatting sqref="Y44">
    <cfRule type="expression" dxfId="1606" priority="809">
      <formula>MOD(ROW(),2)=1</formula>
    </cfRule>
  </conditionalFormatting>
  <conditionalFormatting sqref="Y48">
    <cfRule type="expression" dxfId="1605" priority="808">
      <formula>MOD(ROW(),2)=1</formula>
    </cfRule>
  </conditionalFormatting>
  <conditionalFormatting sqref="Y52">
    <cfRule type="expression" dxfId="1604" priority="807">
      <formula>MOD(ROW(),2)=1</formula>
    </cfRule>
  </conditionalFormatting>
  <conditionalFormatting sqref="Y56">
    <cfRule type="expression" dxfId="1603" priority="806">
      <formula>MOD(ROW(),2)=1</formula>
    </cfRule>
  </conditionalFormatting>
  <conditionalFormatting sqref="Y60">
    <cfRule type="expression" dxfId="1602" priority="805">
      <formula>MOD(ROW(),2)=1</formula>
    </cfRule>
  </conditionalFormatting>
  <conditionalFormatting sqref="Y62">
    <cfRule type="expression" dxfId="1601" priority="804">
      <formula>MOD(ROW(),2)=1</formula>
    </cfRule>
  </conditionalFormatting>
  <conditionalFormatting sqref="Y92">
    <cfRule type="expression" dxfId="1600" priority="798">
      <formula>MOD(ROW(),2)=1</formula>
    </cfRule>
  </conditionalFormatting>
  <conditionalFormatting sqref="Y98">
    <cfRule type="expression" dxfId="1599" priority="793">
      <formula>MOD(ROW(),2)=1</formula>
    </cfRule>
  </conditionalFormatting>
  <conditionalFormatting sqref="Y102">
    <cfRule type="expression" dxfId="1598" priority="792">
      <formula>MOD(ROW(),2)=1</formula>
    </cfRule>
  </conditionalFormatting>
  <conditionalFormatting sqref="Y106">
    <cfRule type="expression" dxfId="1597" priority="791">
      <formula>MOD(ROW(),2)=1</formula>
    </cfRule>
  </conditionalFormatting>
  <conditionalFormatting sqref="Y110">
    <cfRule type="expression" dxfId="1596" priority="790">
      <formula>MOD(ROW(),2)=1</formula>
    </cfRule>
  </conditionalFormatting>
  <conditionalFormatting sqref="Y130">
    <cfRule type="expression" dxfId="1595" priority="783">
      <formula>MOD(ROW(),2)=1</formula>
    </cfRule>
  </conditionalFormatting>
  <conditionalFormatting sqref="Y136">
    <cfRule type="expression" dxfId="1594" priority="777">
      <formula>MOD(ROW(),2)=1</formula>
    </cfRule>
  </conditionalFormatting>
  <conditionalFormatting sqref="Y140">
    <cfRule type="expression" dxfId="1593" priority="776">
      <formula>MOD(ROW(),2)=1</formula>
    </cfRule>
  </conditionalFormatting>
  <conditionalFormatting sqref="Y144">
    <cfRule type="expression" dxfId="1592" priority="774">
      <formula>MOD(ROW(),2)=1</formula>
    </cfRule>
  </conditionalFormatting>
  <conditionalFormatting sqref="Y148">
    <cfRule type="expression" dxfId="1591" priority="772">
      <formula>MOD(ROW(),2)=1</formula>
    </cfRule>
  </conditionalFormatting>
  <conditionalFormatting sqref="Y150">
    <cfRule type="expression" dxfId="1590" priority="771">
      <formula>MOD(ROW(),2)=1</formula>
    </cfRule>
  </conditionalFormatting>
  <conditionalFormatting sqref="Y154">
    <cfRule type="expression" dxfId="1589" priority="767">
      <formula>MOD(ROW(),2)=1</formula>
    </cfRule>
  </conditionalFormatting>
  <conditionalFormatting sqref="Y158">
    <cfRule type="expression" dxfId="1588" priority="766">
      <formula>MOD(ROW(),2)=1</formula>
    </cfRule>
  </conditionalFormatting>
  <conditionalFormatting sqref="Y160">
    <cfRule type="expression" dxfId="1587" priority="755">
      <formula>MOD(ROW(),2)=1</formula>
    </cfRule>
  </conditionalFormatting>
  <conditionalFormatting sqref="Y178">
    <cfRule type="expression" dxfId="1586" priority="741">
      <formula>MOD(ROW(),2)=1</formula>
    </cfRule>
  </conditionalFormatting>
  <conditionalFormatting sqref="Y190">
    <cfRule type="expression" dxfId="1585" priority="740">
      <formula>MOD(ROW(),2)=1</formula>
    </cfRule>
  </conditionalFormatting>
  <conditionalFormatting sqref="Y194">
    <cfRule type="expression" dxfId="1584" priority="739">
      <formula>MOD(ROW(),2)=1</formula>
    </cfRule>
  </conditionalFormatting>
  <conditionalFormatting sqref="Y198">
    <cfRule type="expression" dxfId="1583" priority="738">
      <formula>MOD(ROW(),2)=1</formula>
    </cfRule>
  </conditionalFormatting>
  <conditionalFormatting sqref="Y202">
    <cfRule type="expression" dxfId="1582" priority="737">
      <formula>MOD(ROW(),2)=1</formula>
    </cfRule>
  </conditionalFormatting>
  <conditionalFormatting sqref="Y204">
    <cfRule type="expression" dxfId="1581" priority="736">
      <formula>MOD(ROW(),2)=1</formula>
    </cfRule>
  </conditionalFormatting>
  <conditionalFormatting sqref="Y208">
    <cfRule type="expression" dxfId="1580" priority="735">
      <formula>MOD(ROW(),2)=1</formula>
    </cfRule>
  </conditionalFormatting>
  <conditionalFormatting sqref="Y216">
    <cfRule type="expression" dxfId="1579" priority="732">
      <formula>MOD(ROW(),2)=1</formula>
    </cfRule>
  </conditionalFormatting>
  <conditionalFormatting sqref="Y220">
    <cfRule type="expression" dxfId="1578" priority="731">
      <formula>MOD(ROW(),2)=1</formula>
    </cfRule>
  </conditionalFormatting>
  <conditionalFormatting sqref="Y228">
    <cfRule type="expression" dxfId="1577" priority="701">
      <formula>MOD(ROW(),2)=1</formula>
    </cfRule>
  </conditionalFormatting>
  <conditionalFormatting sqref="Y232">
    <cfRule type="expression" dxfId="1576" priority="700">
      <formula>MOD(ROW(),2)=1</formula>
    </cfRule>
  </conditionalFormatting>
  <conditionalFormatting sqref="Y236">
    <cfRule type="expression" dxfId="1575" priority="674">
      <formula>MOD(ROW(),2)=1</formula>
    </cfRule>
  </conditionalFormatting>
  <conditionalFormatting sqref="Y240">
    <cfRule type="expression" dxfId="1574" priority="673">
      <formula>MOD(ROW(),2)=1</formula>
    </cfRule>
  </conditionalFormatting>
  <conditionalFormatting sqref="Y244">
    <cfRule type="expression" dxfId="1573" priority="672">
      <formula>MOD(ROW(),2)=1</formula>
    </cfRule>
  </conditionalFormatting>
  <conditionalFormatting sqref="Y248">
    <cfRule type="expression" dxfId="1572" priority="671">
      <formula>MOD(ROW(),2)=1</formula>
    </cfRule>
  </conditionalFormatting>
  <conditionalFormatting sqref="Y252">
    <cfRule type="expression" dxfId="1571" priority="644">
      <formula>MOD(ROW(),2)=1</formula>
    </cfRule>
  </conditionalFormatting>
  <conditionalFormatting sqref="Y256">
    <cfRule type="expression" dxfId="1570" priority="643">
      <formula>MOD(ROW(),2)=1</formula>
    </cfRule>
  </conditionalFormatting>
  <conditionalFormatting sqref="Y260">
    <cfRule type="expression" dxfId="1569" priority="642">
      <formula>MOD(ROW(),2)=1</formula>
    </cfRule>
  </conditionalFormatting>
  <conditionalFormatting sqref="Y264">
    <cfRule type="expression" dxfId="1568" priority="641">
      <formula>MOD(ROW(),2)=1</formula>
    </cfRule>
  </conditionalFormatting>
  <conditionalFormatting sqref="Y268">
    <cfRule type="expression" dxfId="1567" priority="640">
      <formula>MOD(ROW(),2)=1</formula>
    </cfRule>
  </conditionalFormatting>
  <conditionalFormatting sqref="Y276">
    <cfRule type="expression" dxfId="1566" priority="632">
      <formula>MOD(ROW(),2)=1</formula>
    </cfRule>
  </conditionalFormatting>
  <conditionalFormatting sqref="Y278">
    <cfRule type="expression" dxfId="1565" priority="631">
      <formula>MOD(ROW(),2)=1</formula>
    </cfRule>
  </conditionalFormatting>
  <conditionalFormatting sqref="Y274">
    <cfRule type="expression" dxfId="1564" priority="630">
      <formula>MOD(ROW(),2)=1</formula>
    </cfRule>
  </conditionalFormatting>
  <conditionalFormatting sqref="Y288">
    <cfRule type="expression" dxfId="1563" priority="629">
      <formula>MOD(ROW(),2)=1</formula>
    </cfRule>
  </conditionalFormatting>
  <conditionalFormatting sqref="Y290">
    <cfRule type="expression" dxfId="1562" priority="628">
      <formula>MOD(ROW(),2)=1</formula>
    </cfRule>
  </conditionalFormatting>
  <conditionalFormatting sqref="Y292">
    <cfRule type="expression" dxfId="1561" priority="619">
      <formula>MOD(ROW(),2)=1</formula>
    </cfRule>
  </conditionalFormatting>
  <conditionalFormatting sqref="Y296">
    <cfRule type="expression" dxfId="1560" priority="618">
      <formula>MOD(ROW(),2)=1</formula>
    </cfRule>
  </conditionalFormatting>
  <conditionalFormatting sqref="Y302">
    <cfRule type="expression" dxfId="1559" priority="611">
      <formula>MOD(ROW(),2)=1</formula>
    </cfRule>
  </conditionalFormatting>
  <conditionalFormatting sqref="Y308">
    <cfRule type="expression" dxfId="1558" priority="600">
      <formula>MOD(ROW(),2)=1</formula>
    </cfRule>
  </conditionalFormatting>
  <conditionalFormatting sqref="Y312">
    <cfRule type="expression" dxfId="1557" priority="599">
      <formula>MOD(ROW(),2)=1</formula>
    </cfRule>
  </conditionalFormatting>
  <conditionalFormatting sqref="Y314">
    <cfRule type="expression" dxfId="1556" priority="591">
      <formula>MOD(ROW(),2)=1</formula>
    </cfRule>
  </conditionalFormatting>
  <conditionalFormatting sqref="Y318">
    <cfRule type="expression" dxfId="1555" priority="590">
      <formula>MOD(ROW(),2)=1</formula>
    </cfRule>
  </conditionalFormatting>
  <conditionalFormatting sqref="Y322">
    <cfRule type="expression" dxfId="1554" priority="589">
      <formula>MOD(ROW(),2)=1</formula>
    </cfRule>
  </conditionalFormatting>
  <conditionalFormatting sqref="Y326">
    <cfRule type="expression" dxfId="1553" priority="588">
      <formula>MOD(ROW(),2)=1</formula>
    </cfRule>
  </conditionalFormatting>
  <conditionalFormatting sqref="Y338">
    <cfRule type="expression" dxfId="1552" priority="584">
      <formula>MOD(ROW(),2)=1</formula>
    </cfRule>
  </conditionalFormatting>
  <conditionalFormatting sqref="Y342">
    <cfRule type="expression" dxfId="1551" priority="583">
      <formula>MOD(ROW(),2)=1</formula>
    </cfRule>
  </conditionalFormatting>
  <conditionalFormatting sqref="Y346">
    <cfRule type="expression" dxfId="1550" priority="582">
      <formula>MOD(ROW(),2)=1</formula>
    </cfRule>
  </conditionalFormatting>
  <conditionalFormatting sqref="Y350">
    <cfRule type="expression" dxfId="1549" priority="581">
      <formula>MOD(ROW(),2)=1</formula>
    </cfRule>
  </conditionalFormatting>
  <conditionalFormatting sqref="Y354">
    <cfRule type="expression" dxfId="1548" priority="580">
      <formula>MOD(ROW(),2)=1</formula>
    </cfRule>
  </conditionalFormatting>
  <conditionalFormatting sqref="Y358">
    <cfRule type="expression" dxfId="1547" priority="579">
      <formula>MOD(ROW(),2)=1</formula>
    </cfRule>
  </conditionalFormatting>
  <conditionalFormatting sqref="Y362">
    <cfRule type="expression" dxfId="1546" priority="578">
      <formula>MOD(ROW(),2)=1</formula>
    </cfRule>
  </conditionalFormatting>
  <conditionalFormatting sqref="Y366">
    <cfRule type="expression" dxfId="1545" priority="577">
      <formula>MOD(ROW(),2)=1</formula>
    </cfRule>
  </conditionalFormatting>
  <conditionalFormatting sqref="Y370">
    <cfRule type="expression" dxfId="1544" priority="576">
      <formula>MOD(ROW(),2)=1</formula>
    </cfRule>
  </conditionalFormatting>
  <conditionalFormatting sqref="W8">
    <cfRule type="expression" dxfId="1543" priority="575">
      <formula>MOD(ROW(),2)=1</formula>
    </cfRule>
  </conditionalFormatting>
  <conditionalFormatting sqref="W24">
    <cfRule type="expression" dxfId="1542" priority="511">
      <formula>MOD(ROW(),2)=1</formula>
    </cfRule>
  </conditionalFormatting>
  <conditionalFormatting sqref="W28">
    <cfRule type="expression" dxfId="1541" priority="510">
      <formula>MOD(ROW(),2)=1</formula>
    </cfRule>
  </conditionalFormatting>
  <conditionalFormatting sqref="W32">
    <cfRule type="expression" dxfId="1540" priority="509">
      <formula>MOD(ROW(),2)=1</formula>
    </cfRule>
  </conditionalFormatting>
  <conditionalFormatting sqref="W36">
    <cfRule type="expression" dxfId="1539" priority="508">
      <formula>MOD(ROW(),2)=1</formula>
    </cfRule>
  </conditionalFormatting>
  <conditionalFormatting sqref="W40">
    <cfRule type="expression" dxfId="1538" priority="507">
      <formula>MOD(ROW(),2)=1</formula>
    </cfRule>
  </conditionalFormatting>
  <conditionalFormatting sqref="W44">
    <cfRule type="expression" dxfId="1537" priority="499">
      <formula>MOD(ROW(),2)=1</formula>
    </cfRule>
  </conditionalFormatting>
  <conditionalFormatting sqref="W48">
    <cfRule type="expression" dxfId="1536" priority="498">
      <formula>MOD(ROW(),2)=1</formula>
    </cfRule>
  </conditionalFormatting>
  <conditionalFormatting sqref="W52">
    <cfRule type="expression" dxfId="1535" priority="497">
      <formula>MOD(ROW(),2)=1</formula>
    </cfRule>
  </conditionalFormatting>
  <conditionalFormatting sqref="W56">
    <cfRule type="expression" dxfId="1534" priority="496">
      <formula>MOD(ROW(),2)=1</formula>
    </cfRule>
  </conditionalFormatting>
  <conditionalFormatting sqref="W60">
    <cfRule type="expression" dxfId="1533" priority="495">
      <formula>MOD(ROW(),2)=1</formula>
    </cfRule>
  </conditionalFormatting>
  <conditionalFormatting sqref="W62">
    <cfRule type="expression" dxfId="1532" priority="494">
      <formula>MOD(ROW(),2)=1</formula>
    </cfRule>
  </conditionalFormatting>
  <conditionalFormatting sqref="W92">
    <cfRule type="expression" dxfId="1531" priority="488">
      <formula>MOD(ROW(),2)=1</formula>
    </cfRule>
  </conditionalFormatting>
  <conditionalFormatting sqref="W98">
    <cfRule type="expression" dxfId="1530" priority="483">
      <formula>MOD(ROW(),2)=1</formula>
    </cfRule>
  </conditionalFormatting>
  <conditionalFormatting sqref="W102">
    <cfRule type="expression" dxfId="1529" priority="482">
      <formula>MOD(ROW(),2)=1</formula>
    </cfRule>
  </conditionalFormatting>
  <conditionalFormatting sqref="W106">
    <cfRule type="expression" dxfId="1528" priority="481">
      <formula>MOD(ROW(),2)=1</formula>
    </cfRule>
  </conditionalFormatting>
  <conditionalFormatting sqref="W110">
    <cfRule type="expression" dxfId="1527" priority="480">
      <formula>MOD(ROW(),2)=1</formula>
    </cfRule>
  </conditionalFormatting>
  <conditionalFormatting sqref="W130">
    <cfRule type="expression" dxfId="1526" priority="473">
      <formula>MOD(ROW(),2)=1</formula>
    </cfRule>
  </conditionalFormatting>
  <conditionalFormatting sqref="W136">
    <cfRule type="expression" dxfId="1525" priority="467">
      <formula>MOD(ROW(),2)=1</formula>
    </cfRule>
  </conditionalFormatting>
  <conditionalFormatting sqref="W140">
    <cfRule type="expression" dxfId="1524" priority="466">
      <formula>MOD(ROW(),2)=1</formula>
    </cfRule>
  </conditionalFormatting>
  <conditionalFormatting sqref="W144">
    <cfRule type="expression" dxfId="1523" priority="464">
      <formula>MOD(ROW(),2)=1</formula>
    </cfRule>
  </conditionalFormatting>
  <conditionalFormatting sqref="W148">
    <cfRule type="expression" dxfId="1522" priority="462">
      <formula>MOD(ROW(),2)=1</formula>
    </cfRule>
  </conditionalFormatting>
  <conditionalFormatting sqref="W150">
    <cfRule type="expression" dxfId="1521" priority="461">
      <formula>MOD(ROW(),2)=1</formula>
    </cfRule>
  </conditionalFormatting>
  <conditionalFormatting sqref="W154">
    <cfRule type="expression" dxfId="1520" priority="457">
      <formula>MOD(ROW(),2)=1</formula>
    </cfRule>
  </conditionalFormatting>
  <conditionalFormatting sqref="W158">
    <cfRule type="expression" dxfId="1519" priority="456">
      <formula>MOD(ROW(),2)=1</formula>
    </cfRule>
  </conditionalFormatting>
  <conditionalFormatting sqref="W160">
    <cfRule type="expression" dxfId="1518" priority="445">
      <formula>MOD(ROW(),2)=1</formula>
    </cfRule>
  </conditionalFormatting>
  <conditionalFormatting sqref="W178">
    <cfRule type="expression" dxfId="1517" priority="431">
      <formula>MOD(ROW(),2)=1</formula>
    </cfRule>
  </conditionalFormatting>
  <conditionalFormatting sqref="W190">
    <cfRule type="expression" dxfId="1516" priority="430">
      <formula>MOD(ROW(),2)=1</formula>
    </cfRule>
  </conditionalFormatting>
  <conditionalFormatting sqref="W194">
    <cfRule type="expression" dxfId="1515" priority="429">
      <formula>MOD(ROW(),2)=1</formula>
    </cfRule>
  </conditionalFormatting>
  <conditionalFormatting sqref="W198">
    <cfRule type="expression" dxfId="1514" priority="428">
      <formula>MOD(ROW(),2)=1</formula>
    </cfRule>
  </conditionalFormatting>
  <conditionalFormatting sqref="W202">
    <cfRule type="expression" dxfId="1513" priority="427">
      <formula>MOD(ROW(),2)=1</formula>
    </cfRule>
  </conditionalFormatting>
  <conditionalFormatting sqref="W204">
    <cfRule type="expression" dxfId="1512" priority="426">
      <formula>MOD(ROW(),2)=1</formula>
    </cfRule>
  </conditionalFormatting>
  <conditionalFormatting sqref="W208">
    <cfRule type="expression" dxfId="1511" priority="425">
      <formula>MOD(ROW(),2)=1</formula>
    </cfRule>
  </conditionalFormatting>
  <conditionalFormatting sqref="W216">
    <cfRule type="expression" dxfId="1510" priority="422">
      <formula>MOD(ROW(),2)=1</formula>
    </cfRule>
  </conditionalFormatting>
  <conditionalFormatting sqref="W220">
    <cfRule type="expression" dxfId="1509" priority="421">
      <formula>MOD(ROW(),2)=1</formula>
    </cfRule>
  </conditionalFormatting>
  <conditionalFormatting sqref="W228">
    <cfRule type="expression" dxfId="1508" priority="391">
      <formula>MOD(ROW(),2)=1</formula>
    </cfRule>
  </conditionalFormatting>
  <conditionalFormatting sqref="W232">
    <cfRule type="expression" dxfId="1507" priority="390">
      <formula>MOD(ROW(),2)=1</formula>
    </cfRule>
  </conditionalFormatting>
  <conditionalFormatting sqref="W236">
    <cfRule type="expression" dxfId="1506" priority="364">
      <formula>MOD(ROW(),2)=1</formula>
    </cfRule>
  </conditionalFormatting>
  <conditionalFormatting sqref="W240">
    <cfRule type="expression" dxfId="1505" priority="363">
      <formula>MOD(ROW(),2)=1</formula>
    </cfRule>
  </conditionalFormatting>
  <conditionalFormatting sqref="W244">
    <cfRule type="expression" dxfId="1504" priority="362">
      <formula>MOD(ROW(),2)=1</formula>
    </cfRule>
  </conditionalFormatting>
  <conditionalFormatting sqref="W248">
    <cfRule type="expression" dxfId="1503" priority="361">
      <formula>MOD(ROW(),2)=1</formula>
    </cfRule>
  </conditionalFormatting>
  <conditionalFormatting sqref="W252">
    <cfRule type="expression" dxfId="1502" priority="334">
      <formula>MOD(ROW(),2)=1</formula>
    </cfRule>
  </conditionalFormatting>
  <conditionalFormatting sqref="W256">
    <cfRule type="expression" dxfId="1501" priority="333">
      <formula>MOD(ROW(),2)=1</formula>
    </cfRule>
  </conditionalFormatting>
  <conditionalFormatting sqref="W260">
    <cfRule type="expression" dxfId="1500" priority="332">
      <formula>MOD(ROW(),2)=1</formula>
    </cfRule>
  </conditionalFormatting>
  <conditionalFormatting sqref="W264">
    <cfRule type="expression" dxfId="1499" priority="331">
      <formula>MOD(ROW(),2)=1</formula>
    </cfRule>
  </conditionalFormatting>
  <conditionalFormatting sqref="W268">
    <cfRule type="expression" dxfId="1498" priority="330">
      <formula>MOD(ROW(),2)=1</formula>
    </cfRule>
  </conditionalFormatting>
  <conditionalFormatting sqref="W276">
    <cfRule type="expression" dxfId="1497" priority="322">
      <formula>MOD(ROW(),2)=1</formula>
    </cfRule>
  </conditionalFormatting>
  <conditionalFormatting sqref="W278">
    <cfRule type="expression" dxfId="1496" priority="321">
      <formula>MOD(ROW(),2)=1</formula>
    </cfRule>
  </conditionalFormatting>
  <conditionalFormatting sqref="W274">
    <cfRule type="expression" dxfId="1495" priority="320">
      <formula>MOD(ROW(),2)=1</formula>
    </cfRule>
  </conditionalFormatting>
  <conditionalFormatting sqref="W288">
    <cfRule type="expression" dxfId="1494" priority="319">
      <formula>MOD(ROW(),2)=1</formula>
    </cfRule>
  </conditionalFormatting>
  <conditionalFormatting sqref="W290">
    <cfRule type="expression" dxfId="1493" priority="318">
      <formula>MOD(ROW(),2)=1</formula>
    </cfRule>
  </conditionalFormatting>
  <conditionalFormatting sqref="W292">
    <cfRule type="expression" dxfId="1492" priority="309">
      <formula>MOD(ROW(),2)=1</formula>
    </cfRule>
  </conditionalFormatting>
  <conditionalFormatting sqref="W296">
    <cfRule type="expression" dxfId="1491" priority="308">
      <formula>MOD(ROW(),2)=1</formula>
    </cfRule>
  </conditionalFormatting>
  <conditionalFormatting sqref="W302">
    <cfRule type="expression" dxfId="1490" priority="301">
      <formula>MOD(ROW(),2)=1</formula>
    </cfRule>
  </conditionalFormatting>
  <conditionalFormatting sqref="W308">
    <cfRule type="expression" dxfId="1489" priority="290">
      <formula>MOD(ROW(),2)=1</formula>
    </cfRule>
  </conditionalFormatting>
  <conditionalFormatting sqref="W312">
    <cfRule type="expression" dxfId="1488" priority="289">
      <formula>MOD(ROW(),2)=1</formula>
    </cfRule>
  </conditionalFormatting>
  <conditionalFormatting sqref="W314">
    <cfRule type="expression" dxfId="1487" priority="281">
      <formula>MOD(ROW(),2)=1</formula>
    </cfRule>
  </conditionalFormatting>
  <conditionalFormatting sqref="W318">
    <cfRule type="expression" dxfId="1486" priority="280">
      <formula>MOD(ROW(),2)=1</formula>
    </cfRule>
  </conditionalFormatting>
  <conditionalFormatting sqref="W322">
    <cfRule type="expression" dxfId="1485" priority="279">
      <formula>MOD(ROW(),2)=1</formula>
    </cfRule>
  </conditionalFormatting>
  <conditionalFormatting sqref="W326">
    <cfRule type="expression" dxfId="1484" priority="278">
      <formula>MOD(ROW(),2)=1</formula>
    </cfRule>
  </conditionalFormatting>
  <conditionalFormatting sqref="W338">
    <cfRule type="expression" dxfId="1483" priority="274">
      <formula>MOD(ROW(),2)=1</formula>
    </cfRule>
  </conditionalFormatting>
  <conditionalFormatting sqref="W342">
    <cfRule type="expression" dxfId="1482" priority="273">
      <formula>MOD(ROW(),2)=1</formula>
    </cfRule>
  </conditionalFormatting>
  <conditionalFormatting sqref="W346">
    <cfRule type="expression" dxfId="1481" priority="272">
      <formula>MOD(ROW(),2)=1</formula>
    </cfRule>
  </conditionalFormatting>
  <conditionalFormatting sqref="W350">
    <cfRule type="expression" dxfId="1480" priority="271">
      <formula>MOD(ROW(),2)=1</formula>
    </cfRule>
  </conditionalFormatting>
  <conditionalFormatting sqref="W354">
    <cfRule type="expression" dxfId="1479" priority="270">
      <formula>MOD(ROW(),2)=1</formula>
    </cfRule>
  </conditionalFormatting>
  <conditionalFormatting sqref="W358">
    <cfRule type="expression" dxfId="1478" priority="269">
      <formula>MOD(ROW(),2)=1</formula>
    </cfRule>
  </conditionalFormatting>
  <conditionalFormatting sqref="W362">
    <cfRule type="expression" dxfId="1477" priority="268">
      <formula>MOD(ROW(),2)=1</formula>
    </cfRule>
  </conditionalFormatting>
  <conditionalFormatting sqref="W366">
    <cfRule type="expression" dxfId="1476" priority="267">
      <formula>MOD(ROW(),2)=1</formula>
    </cfRule>
  </conditionalFormatting>
  <conditionalFormatting sqref="W370">
    <cfRule type="expression" dxfId="1475" priority="266">
      <formula>MOD(ROW(),2)=1</formula>
    </cfRule>
  </conditionalFormatting>
  <conditionalFormatting sqref="AC180 AC182 AG182 AG180">
    <cfRule type="expression" dxfId="1474" priority="251">
      <formula>MOD(ROW(),2)=1</formula>
    </cfRule>
  </conditionalFormatting>
  <conditionalFormatting sqref="Y182">
    <cfRule type="expression" dxfId="1473" priority="250">
      <formula>MOD(ROW(),2)=1</formula>
    </cfRule>
  </conditionalFormatting>
  <conditionalFormatting sqref="W182">
    <cfRule type="expression" dxfId="1472" priority="249">
      <formula>MOD(ROW(),2)=1</formula>
    </cfRule>
  </conditionalFormatting>
  <conditionalFormatting sqref="I276">
    <cfRule type="expression" dxfId="1471" priority="230">
      <formula>MOD(ROW(),2)=1</formula>
    </cfRule>
  </conditionalFormatting>
  <conditionalFormatting sqref="I278">
    <cfRule type="expression" dxfId="1470" priority="229">
      <formula>MOD(ROW(),2)=1</formula>
    </cfRule>
  </conditionalFormatting>
  <conditionalFormatting sqref="I274">
    <cfRule type="expression" dxfId="1469" priority="228">
      <formula>MOD(ROW(),2)=1</formula>
    </cfRule>
  </conditionalFormatting>
  <conditionalFormatting sqref="I288">
    <cfRule type="expression" dxfId="1468" priority="227">
      <formula>MOD(ROW(),2)=1</formula>
    </cfRule>
  </conditionalFormatting>
  <conditionalFormatting sqref="I290">
    <cfRule type="expression" dxfId="1467" priority="226">
      <formula>MOD(ROW(),2)=1</formula>
    </cfRule>
  </conditionalFormatting>
  <conditionalFormatting sqref="U14">
    <cfRule type="expression" dxfId="1466" priority="147">
      <formula>MOD(ROW(),2)=1</formula>
    </cfRule>
  </conditionalFormatting>
  <conditionalFormatting sqref="U20">
    <cfRule type="expression" dxfId="1465" priority="143">
      <formula>MOD(ROW(),2)=1</formula>
    </cfRule>
  </conditionalFormatting>
  <conditionalFormatting sqref="U24 U26">
    <cfRule type="expression" dxfId="1464" priority="134">
      <formula>MOD(ROW(),2)=1</formula>
    </cfRule>
  </conditionalFormatting>
  <conditionalFormatting sqref="U32 U34 U30">
    <cfRule type="expression" dxfId="1463" priority="133">
      <formula>MOD(ROW(),2)=1</formula>
    </cfRule>
  </conditionalFormatting>
  <conditionalFormatting sqref="U40 U42 U38">
    <cfRule type="expression" dxfId="1462" priority="132">
      <formula>MOD(ROW(),2)=1</formula>
    </cfRule>
  </conditionalFormatting>
  <conditionalFormatting sqref="U44 U46">
    <cfRule type="expression" dxfId="1461" priority="128">
      <formula>MOD(ROW(),2)=1</formula>
    </cfRule>
  </conditionalFormatting>
  <conditionalFormatting sqref="U52 U54 U50">
    <cfRule type="expression" dxfId="1460" priority="127">
      <formula>MOD(ROW(),2)=1</formula>
    </cfRule>
  </conditionalFormatting>
  <conditionalFormatting sqref="U60 U58">
    <cfRule type="expression" dxfId="1459" priority="126">
      <formula>MOD(ROW(),2)=1</formula>
    </cfRule>
  </conditionalFormatting>
  <conditionalFormatting sqref="U64">
    <cfRule type="expression" dxfId="1458" priority="125">
      <formula>MOD(ROW(),2)=1</formula>
    </cfRule>
  </conditionalFormatting>
  <conditionalFormatting sqref="U90">
    <cfRule type="expression" dxfId="1457" priority="123">
      <formula>MOD(ROW(),2)=1</formula>
    </cfRule>
  </conditionalFormatting>
  <conditionalFormatting sqref="U96 U94">
    <cfRule type="expression" dxfId="1456" priority="122">
      <formula>MOD(ROW(),2)=1</formula>
    </cfRule>
  </conditionalFormatting>
  <conditionalFormatting sqref="U98 U100">
    <cfRule type="expression" dxfId="1455" priority="120">
      <formula>MOD(ROW(),2)=1</formula>
    </cfRule>
  </conditionalFormatting>
  <conditionalFormatting sqref="U106 U108 U104">
    <cfRule type="expression" dxfId="1454" priority="119">
      <formula>MOD(ROW(),2)=1</formula>
    </cfRule>
  </conditionalFormatting>
  <conditionalFormatting sqref="U112">
    <cfRule type="expression" dxfId="1453" priority="118">
      <formula>MOD(ROW(),2)=1</formula>
    </cfRule>
  </conditionalFormatting>
  <conditionalFormatting sqref="U132 U130">
    <cfRule type="expression" dxfId="1452" priority="115">
      <formula>MOD(ROW(),2)=1</formula>
    </cfRule>
  </conditionalFormatting>
  <conditionalFormatting sqref="U138 U140 U136">
    <cfRule type="expression" dxfId="1451" priority="112">
      <formula>MOD(ROW(),2)=1</formula>
    </cfRule>
  </conditionalFormatting>
  <conditionalFormatting sqref="U142 U144">
    <cfRule type="expression" dxfId="1450" priority="111">
      <formula>MOD(ROW(),2)=1</formula>
    </cfRule>
  </conditionalFormatting>
  <conditionalFormatting sqref="U146 U148">
    <cfRule type="expression" dxfId="1449" priority="110">
      <formula>MOD(ROW(),2)=1</formula>
    </cfRule>
  </conditionalFormatting>
  <conditionalFormatting sqref="U152">
    <cfRule type="expression" dxfId="1448" priority="109">
      <formula>MOD(ROW(),2)=1</formula>
    </cfRule>
  </conditionalFormatting>
  <conditionalFormatting sqref="U154">
    <cfRule type="expression" dxfId="1447" priority="108">
      <formula>MOD(ROW(),2)=1</formula>
    </cfRule>
  </conditionalFormatting>
  <conditionalFormatting sqref="U156 U158">
    <cfRule type="expression" dxfId="1446" priority="106">
      <formula>MOD(ROW(),2)=1</formula>
    </cfRule>
  </conditionalFormatting>
  <conditionalFormatting sqref="U160">
    <cfRule type="expression" dxfId="1445" priority="102">
      <formula>MOD(ROW(),2)=1</formula>
    </cfRule>
  </conditionalFormatting>
  <conditionalFormatting sqref="U164">
    <cfRule type="expression" dxfId="1444" priority="99">
      <formula>MOD(ROW(),2)=1</formula>
    </cfRule>
  </conditionalFormatting>
  <conditionalFormatting sqref="U166">
    <cfRule type="expression" dxfId="1443" priority="98">
      <formula>MOD(ROW(),2)=1</formula>
    </cfRule>
  </conditionalFormatting>
  <conditionalFormatting sqref="U170 U172">
    <cfRule type="expression" dxfId="1442" priority="96">
      <formula>MOD(ROW(),2)=1</formula>
    </cfRule>
  </conditionalFormatting>
  <conditionalFormatting sqref="U176 U178">
    <cfRule type="expression" dxfId="1441" priority="91">
      <formula>MOD(ROW(),2)=1</formula>
    </cfRule>
  </conditionalFormatting>
  <conditionalFormatting sqref="U186 U182">
    <cfRule type="expression" dxfId="1440" priority="90">
      <formula>MOD(ROW(),2)=1</formula>
    </cfRule>
  </conditionalFormatting>
  <conditionalFormatting sqref="U192 U194 U190">
    <cfRule type="expression" dxfId="1439" priority="89">
      <formula>MOD(ROW(),2)=1</formula>
    </cfRule>
  </conditionalFormatting>
  <conditionalFormatting sqref="U200 U202 U198">
    <cfRule type="expression" dxfId="1438" priority="88">
      <formula>MOD(ROW(),2)=1</formula>
    </cfRule>
  </conditionalFormatting>
  <conditionalFormatting sqref="U206 U208 U204">
    <cfRule type="expression" dxfId="1437" priority="87">
      <formula>MOD(ROW(),2)=1</formula>
    </cfRule>
  </conditionalFormatting>
  <conditionalFormatting sqref="U218 U220 U216">
    <cfRule type="expression" dxfId="1436" priority="85">
      <formula>MOD(ROW(),2)=1</formula>
    </cfRule>
  </conditionalFormatting>
  <conditionalFormatting sqref="U230 U232 U228">
    <cfRule type="expression" dxfId="1435" priority="66">
      <formula>MOD(ROW(),2)=1</formula>
    </cfRule>
  </conditionalFormatting>
  <conditionalFormatting sqref="U234">
    <cfRule type="expression" dxfId="1434" priority="53">
      <formula>MOD(ROW(),2)=1</formula>
    </cfRule>
  </conditionalFormatting>
  <conditionalFormatting sqref="U240 U242 U238">
    <cfRule type="expression" dxfId="1433" priority="52">
      <formula>MOD(ROW(),2)=1</formula>
    </cfRule>
  </conditionalFormatting>
  <conditionalFormatting sqref="U248 U250 U246">
    <cfRule type="expression" dxfId="1432" priority="51">
      <formula>MOD(ROW(),2)=1</formula>
    </cfRule>
  </conditionalFormatting>
  <conditionalFormatting sqref="U256 U258 U254">
    <cfRule type="expression" dxfId="1431" priority="37">
      <formula>MOD(ROW(),2)=1</formula>
    </cfRule>
  </conditionalFormatting>
  <conditionalFormatting sqref="U264 U266 U262">
    <cfRule type="expression" dxfId="1430" priority="36">
      <formula>MOD(ROW(),2)=1</formula>
    </cfRule>
  </conditionalFormatting>
  <conditionalFormatting sqref="U270">
    <cfRule type="expression" dxfId="1429" priority="35">
      <formula>MOD(ROW(),2)=1</formula>
    </cfRule>
  </conditionalFormatting>
  <conditionalFormatting sqref="U272">
    <cfRule type="expression" dxfId="1428" priority="32">
      <formula>MOD(ROW(),2)=1</formula>
    </cfRule>
  </conditionalFormatting>
  <conditionalFormatting sqref="U278 U280 U276">
    <cfRule type="expression" dxfId="1427" priority="31">
      <formula>MOD(ROW(),2)=1</formula>
    </cfRule>
  </conditionalFormatting>
  <conditionalFormatting sqref="U286 U288 U284">
    <cfRule type="expression" dxfId="1426" priority="30">
      <formula>MOD(ROW(),2)=1</formula>
    </cfRule>
  </conditionalFormatting>
  <conditionalFormatting sqref="U292">
    <cfRule type="expression" dxfId="1425" priority="25">
      <formula>MOD(ROW(),2)=1</formula>
    </cfRule>
  </conditionalFormatting>
  <conditionalFormatting sqref="U298 U296">
    <cfRule type="expression" dxfId="1424" priority="24">
      <formula>MOD(ROW(),2)=1</formula>
    </cfRule>
  </conditionalFormatting>
  <conditionalFormatting sqref="U300">
    <cfRule type="expression" dxfId="1423" priority="21">
      <formula>MOD(ROW(),2)=1</formula>
    </cfRule>
  </conditionalFormatting>
  <conditionalFormatting sqref="U304">
    <cfRule type="expression" dxfId="1422" priority="20">
      <formula>MOD(ROW(),2)=1</formula>
    </cfRule>
  </conditionalFormatting>
  <conditionalFormatting sqref="U312 U310">
    <cfRule type="expression" dxfId="1421" priority="13">
      <formula>MOD(ROW(),2)=1</formula>
    </cfRule>
  </conditionalFormatting>
  <conditionalFormatting sqref="U314 U316">
    <cfRule type="expression" dxfId="1420" priority="9">
      <formula>MOD(ROW(),2)=1</formula>
    </cfRule>
  </conditionalFormatting>
  <conditionalFormatting sqref="U322 U324 U320">
    <cfRule type="expression" dxfId="1419" priority="8">
      <formula>MOD(ROW(),2)=1</formula>
    </cfRule>
  </conditionalFormatting>
  <conditionalFormatting sqref="U328">
    <cfRule type="expression" dxfId="1418" priority="7">
      <formula>MOD(ROW(),2)=1</formula>
    </cfRule>
  </conditionalFormatting>
  <conditionalFormatting sqref="U332">
    <cfRule type="expression" dxfId="1417" priority="6">
      <formula>MOD(ROW(),2)=1</formula>
    </cfRule>
  </conditionalFormatting>
  <conditionalFormatting sqref="AC330 AG330">
    <cfRule type="expression" dxfId="1416" priority="5">
      <formula>MOD(ROW(),2)=1</formula>
    </cfRule>
  </conditionalFormatting>
  <conditionalFormatting sqref="AD330">
    <cfRule type="expression" dxfId="1415" priority="4">
      <formula>MOD(ROW(),2)=1</formula>
    </cfRule>
  </conditionalFormatting>
  <conditionalFormatting sqref="Y330">
    <cfRule type="expression" dxfId="1414" priority="3">
      <formula>MOD(ROW(),2)=1</formula>
    </cfRule>
  </conditionalFormatting>
  <conditionalFormatting sqref="W330">
    <cfRule type="expression" dxfId="1413" priority="2">
      <formula>MOD(ROW(),2)=1</formula>
    </cfRule>
  </conditionalFormatting>
  <conditionalFormatting sqref="U330">
    <cfRule type="expression" dxfId="1412" priority="1">
      <formula>MOD(ROW(),2)=1</formula>
    </cfRule>
  </conditionalFormatting>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3:H357"/>
  <sheetViews>
    <sheetView workbookViewId="0"/>
  </sheetViews>
  <sheetFormatPr defaultRowHeight="15" x14ac:dyDescent="0.25"/>
  <cols>
    <col min="3" max="3" width="9.140625" style="172"/>
  </cols>
  <sheetData>
    <row r="3" spans="1:4" x14ac:dyDescent="0.25">
      <c r="A3" t="str">
        <f>'t-LTM'!B3</f>
        <v>Abel, M., Haller, V., Kock, H., Potshke, S., Hieb, D., Schabus, M., &amp; Bauml, K. (2019). Sleep reduces the testing effect -- but not after corrective feedback and prolonged retention interval. Journal of Experimental Psychology: Learning, Memory, and Cognition, 45(2),272-287.</v>
      </c>
      <c r="B3">
        <f>'t-LTM'!AA3</f>
        <v>604800</v>
      </c>
      <c r="C3" s="173">
        <f>B3/(60*60*24)</f>
        <v>7</v>
      </c>
      <c r="D3" s="63">
        <f>'t-LTM'!AM3</f>
        <v>-0.11807393106200441</v>
      </c>
    </row>
    <row r="4" spans="1:4" x14ac:dyDescent="0.25">
      <c r="C4" s="173"/>
    </row>
    <row r="5" spans="1:4" x14ac:dyDescent="0.25">
      <c r="A5" t="str">
        <f>'t-LTM'!B5</f>
        <v>Abel, M., Haller, V., Kock, H., Potshke, S., Hieb, D., Schabus, M., &amp; Bauml, K. (2019). Sleep reduces the testing effect -- but not after corrective feedback and prolonged retention interval. Journal of Experimental Psychology: Learning, Memory, and Cognition, 45(2),272-287.</v>
      </c>
      <c r="B5">
        <f>'t-LTM'!AA5</f>
        <v>604800</v>
      </c>
      <c r="C5" s="173">
        <f>B5/(60*60*24)</f>
        <v>7</v>
      </c>
      <c r="D5" s="63">
        <f>'t-LTM'!AM5</f>
        <v>-0.11970481241427627</v>
      </c>
    </row>
    <row r="6" spans="1:4" x14ac:dyDescent="0.25">
      <c r="C6" s="173"/>
    </row>
    <row r="7" spans="1:4" x14ac:dyDescent="0.25">
      <c r="A7" t="str">
        <f>'t-LTM'!B7</f>
        <v>Abel, M., Haller, V., Kock, H., Potshke, S., Hieb, D., Schabus, M., &amp; Bauml, K. (2019). Sleep reduces the testing effect -- but not after corrective feedback and prolonged retention interval. Journal of Experimental Psychology: Learning, Memory, and Cognition, 45(2),272-287.</v>
      </c>
      <c r="B7">
        <f>'t-LTM'!AA7</f>
        <v>604800</v>
      </c>
      <c r="C7" s="173">
        <f>B7/(60*60*24)</f>
        <v>7</v>
      </c>
      <c r="D7" s="63">
        <f>'t-LTM'!AM7</f>
        <v>-6.8642470712818149E-2</v>
      </c>
    </row>
    <row r="8" spans="1:4" x14ac:dyDescent="0.25">
      <c r="C8" s="173"/>
    </row>
    <row r="9" spans="1:4" x14ac:dyDescent="0.25">
      <c r="A9" t="str">
        <f>'t-LTM'!B9</f>
        <v>Abel, M., Haller, V., Kock, H., Potshke, S., Hieb, D., Schabus, M., &amp; Bauml, K. (2019). Sleep reduces the testing effect -- but not after corrective feedback and prolonged retention interval. Journal of Experimental Psychology: Learning, Memory, and Cognition, 45(2),272-287.</v>
      </c>
      <c r="B9">
        <f>'t-LTM'!AA9</f>
        <v>604800</v>
      </c>
      <c r="C9" s="173">
        <f>B9/(60*60*24)</f>
        <v>7</v>
      </c>
      <c r="D9" s="63">
        <f>'t-LTM'!AM9</f>
        <v>-7.8393965082307462E-2</v>
      </c>
    </row>
    <row r="10" spans="1:4" x14ac:dyDescent="0.25">
      <c r="C10" s="173"/>
      <c r="D10" s="63"/>
    </row>
    <row r="11" spans="1:4" x14ac:dyDescent="0.25">
      <c r="A11" t="str">
        <f>'t-LTM'!B11</f>
        <v>Bell, B. D., Fine, J., Dow, C., Seidenberg, M., &amp; Hermann, B. P. (2005). Temporal lobe epilepsy and the selective reminding test: the conventional 30-minute delay suffices. Psychological Assessment, 17(1), 103-109.</v>
      </c>
      <c r="B11">
        <f>'t-LTM'!AA11</f>
        <v>86400</v>
      </c>
      <c r="C11" s="173">
        <f>B11/(60*60*24)</f>
        <v>1</v>
      </c>
      <c r="D11" s="63">
        <f>'t-LTM'!AM11</f>
        <v>-6.4126575711424896E-2</v>
      </c>
    </row>
    <row r="12" spans="1:4" x14ac:dyDescent="0.25">
      <c r="C12" s="173"/>
      <c r="D12" s="63"/>
    </row>
    <row r="13" spans="1:4" x14ac:dyDescent="0.25">
      <c r="A13" t="str">
        <f>'t-LTM'!B13</f>
        <v>Bell, B. D., Fine, J., Dow, C., Seidenberg, M., &amp; Hermann, B. P. (2005). Temporal lobe epilepsy and the selective reminding test: the conventional 30-minute delay suffices. Psychological Assessment, 17(1), 103-109.</v>
      </c>
      <c r="B13">
        <f>'t-LTM'!AA13</f>
        <v>86400</v>
      </c>
      <c r="C13" s="173">
        <f>B13/(60*60*24)</f>
        <v>1</v>
      </c>
      <c r="D13" s="63">
        <f>'t-LTM'!AM13</f>
        <v>-1.3891845440066442E-2</v>
      </c>
    </row>
    <row r="14" spans="1:4" x14ac:dyDescent="0.25">
      <c r="C14" s="173"/>
    </row>
    <row r="15" spans="1:4" x14ac:dyDescent="0.25">
      <c r="A15" t="str">
        <f>'t-LTM'!B15</f>
        <v>Briggs, G. E. (1954). Acquisition, extinction, and recovery functions in retroactive inhibition. Journal of Experimental Psychology, 47(5), 285-293.</v>
      </c>
      <c r="B15">
        <f>'t-LTM'!AA15</f>
        <v>259200</v>
      </c>
      <c r="C15" s="173">
        <f>B15/(60*60*24)</f>
        <v>3</v>
      </c>
      <c r="D15" s="63">
        <f>'t-LTM'!AM15</f>
        <v>-0.10518063464026346</v>
      </c>
    </row>
    <row r="16" spans="1:4" x14ac:dyDescent="0.25">
      <c r="C16" s="173"/>
      <c r="D16" s="63"/>
    </row>
    <row r="17" spans="1:8" x14ac:dyDescent="0.25">
      <c r="A17" t="str">
        <f>'t-LTM'!B17</f>
        <v>Butler, C., Kapur, N., Zeman, A., Weller, R., &amp; Connelly, A. (2012). Epilepsy-related long-term amnesia: anatomical perspectives. Neuropsychologia, 50(13), 2973-2980.</v>
      </c>
      <c r="B17">
        <f>'t-LTM'!AA17</f>
        <v>604800</v>
      </c>
      <c r="C17" s="173">
        <f>B17/(60*60*24)</f>
        <v>7</v>
      </c>
      <c r="D17" s="63">
        <f>'t-LTM'!AM17</f>
        <v>-3.3247186533008365E-2</v>
      </c>
    </row>
    <row r="18" spans="1:8" x14ac:dyDescent="0.25">
      <c r="C18" s="173"/>
      <c r="G18" s="166">
        <f>AVERAGE(D3:D266)</f>
        <v>-7.1210412074799251E-2</v>
      </c>
      <c r="H18" s="165">
        <f xml:space="preserve"> STDEV(D3:D266)/SQRT(COUNT(D3:D266))</f>
        <v>6.839799980543947E-3</v>
      </c>
    </row>
    <row r="19" spans="1:8" x14ac:dyDescent="0.25">
      <c r="A19" t="str">
        <f>'t-LTM'!B19</f>
        <v>Butter, M. J. (1970). Differential recall of paired associates as a function of arousal and concreteness-imagery levels. Journal of Experimental Psychology, 84(2), 252-256.</v>
      </c>
      <c r="B19">
        <f>'t-LTM'!AA19</f>
        <v>172800</v>
      </c>
      <c r="C19" s="173">
        <f>B19/(60*60*24)</f>
        <v>2</v>
      </c>
      <c r="D19" s="63">
        <f>'t-LTM'!AM19</f>
        <v>-0.23313064757059063</v>
      </c>
    </row>
    <row r="20" spans="1:8" x14ac:dyDescent="0.25">
      <c r="C20" s="173"/>
    </row>
    <row r="21" spans="1:8" x14ac:dyDescent="0.25">
      <c r="A21" t="str">
        <f>'t-LTM'!B21</f>
        <v>Butter, M. J. (1970). Differential recall of paired associates as a function of arousal and concreteness-imagery levels. Journal of Experimental Psychology, 84(2), 252-256.</v>
      </c>
      <c r="B21">
        <f>'t-LTM'!AA21</f>
        <v>172800</v>
      </c>
      <c r="C21" s="173">
        <f>B21/(60*60*24)</f>
        <v>2</v>
      </c>
      <c r="D21" s="63">
        <f>'t-LTM'!AM21</f>
        <v>-0.15146565654909644</v>
      </c>
    </row>
    <row r="22" spans="1:8" x14ac:dyDescent="0.25">
      <c r="C22" s="173"/>
      <c r="D22" s="63"/>
    </row>
    <row r="23" spans="1:8" x14ac:dyDescent="0.25">
      <c r="A23" t="s">
        <v>924</v>
      </c>
      <c r="B23">
        <f>'t-LTM'!AA23</f>
        <v>86400</v>
      </c>
      <c r="C23" s="173">
        <f>B23/(60*60*24)</f>
        <v>1</v>
      </c>
      <c r="D23" s="63">
        <v>-2.0682404901746009E-2</v>
      </c>
    </row>
    <row r="24" spans="1:8" x14ac:dyDescent="0.25">
      <c r="C24" s="173"/>
    </row>
    <row r="25" spans="1:8" x14ac:dyDescent="0.25">
      <c r="A25" t="str">
        <f>'t-LTM'!B25</f>
        <v>Chan, J. C. K. (2010). Long-term effects of testing on the recall of nontested materials. Memory, 18(1), 49-57.</v>
      </c>
      <c r="B25">
        <f>'t-LTM'!AA25</f>
        <v>604800</v>
      </c>
      <c r="C25" s="173">
        <f>B25/(60*60*24)</f>
        <v>7</v>
      </c>
      <c r="D25" s="63">
        <f>'t-LTM'!AM25</f>
        <v>-1.7505181395033102E-2</v>
      </c>
    </row>
    <row r="26" spans="1:8" x14ac:dyDescent="0.25">
      <c r="C26" s="173"/>
    </row>
    <row r="27" spans="1:8" x14ac:dyDescent="0.25">
      <c r="A27" t="str">
        <f>'t-LTM'!B27</f>
        <v>Chan, J. C. K. (2010). Long-term effects of testing on the recall of nontested materials. Memory, 18(1), 49-57.</v>
      </c>
      <c r="B27">
        <f>'t-LTM'!AA27</f>
        <v>604800</v>
      </c>
      <c r="C27" s="173">
        <f>B27/(60*60*24)</f>
        <v>7</v>
      </c>
      <c r="D27" s="63">
        <f>'t-LTM'!AM27</f>
        <v>-4.8656392858362589E-2</v>
      </c>
    </row>
    <row r="28" spans="1:8" x14ac:dyDescent="0.25">
      <c r="C28" s="173"/>
    </row>
    <row r="29" spans="1:8" x14ac:dyDescent="0.25">
      <c r="A29" t="str">
        <f>'t-LTM'!B29</f>
        <v>Chan, J. C. K. (2010). Long-term effects of testing on the recall of nontested materials. Memory, 18(1), 49-57.</v>
      </c>
      <c r="B29">
        <f>'t-LTM'!AA29</f>
        <v>604800</v>
      </c>
      <c r="C29" s="173">
        <f>B29/(60*60*24)</f>
        <v>7</v>
      </c>
      <c r="D29" s="63">
        <f>'t-LTM'!AM29</f>
        <v>-0.12044284994417628</v>
      </c>
    </row>
    <row r="30" spans="1:8" x14ac:dyDescent="0.25">
      <c r="C30" s="173"/>
    </row>
    <row r="31" spans="1:8" x14ac:dyDescent="0.25">
      <c r="A31" t="str">
        <f>'t-LTM'!B31</f>
        <v>Chance, J. E., &amp; Goldstein, A. G. (1987). Retention interval and face recognition: Response latency measures. Bulletin of the Psychonomic Society, 25(6), 415-418.</v>
      </c>
      <c r="B31">
        <f>'t-LTM'!AA31</f>
        <v>604800</v>
      </c>
      <c r="C31" s="173">
        <f>B31/(60*60*24)</f>
        <v>7</v>
      </c>
      <c r="D31" s="63">
        <f>'t-LTM'!AM31</f>
        <v>-4.623442866854223E-2</v>
      </c>
    </row>
    <row r="32" spans="1:8" x14ac:dyDescent="0.25">
      <c r="C32" s="173"/>
    </row>
    <row r="33" spans="1:4" x14ac:dyDescent="0.25">
      <c r="A33" t="str">
        <f>'t-LTM'!B33</f>
        <v>Chen, K., &amp; Squire, S. (1990). Strength and duration of word-completion priming as a function of word repetition and spacing. Bulletin of the Psychonomic Society, 28(2), 97-100.</v>
      </c>
      <c r="B33">
        <f>'t-LTM'!AA33</f>
        <v>86400</v>
      </c>
      <c r="C33" s="173">
        <f>B33/(60*60*24)</f>
        <v>1</v>
      </c>
      <c r="D33" s="63">
        <f>'t-LTM'!AM33</f>
        <v>-0.16399742349111279</v>
      </c>
    </row>
    <row r="34" spans="1:4" x14ac:dyDescent="0.25">
      <c r="C34" s="173"/>
    </row>
    <row r="35" spans="1:4" x14ac:dyDescent="0.25">
      <c r="A35" t="str">
        <f>'t-LTM'!B35</f>
        <v>Chen, K., &amp; Squire, S. (1990). Strength and duration of word-completion priming as a function of word repetition and spacing. Bulletin of the Psychonomic Society, 28(2), 97-100.</v>
      </c>
      <c r="B35">
        <f>'t-LTM'!AA35</f>
        <v>86400</v>
      </c>
      <c r="C35" s="173">
        <f>B35/(60*60*24)</f>
        <v>1</v>
      </c>
      <c r="D35" s="63">
        <f>'t-LTM'!AM35</f>
        <v>-0.24697512855560716</v>
      </c>
    </row>
    <row r="36" spans="1:4" x14ac:dyDescent="0.25">
      <c r="C36" s="173"/>
    </row>
    <row r="37" spans="1:4" x14ac:dyDescent="0.25">
      <c r="A37" t="str">
        <f>'t-LTM'!B37</f>
        <v>Chen, K., &amp; Squire, S. (1990). Strength and duration of word-completion priming as a function of word repetition and spacing. Bulletin of the Psychonomic Society, 28(2), 97-100.</v>
      </c>
      <c r="B37">
        <f>'t-LTM'!AA37</f>
        <v>86400</v>
      </c>
      <c r="C37" s="173">
        <f>B37/(60*60*24)</f>
        <v>1</v>
      </c>
      <c r="D37" s="63">
        <f>'t-LTM'!AM37</f>
        <v>-0.20334217547138236</v>
      </c>
    </row>
    <row r="38" spans="1:4" x14ac:dyDescent="0.25">
      <c r="C38" s="173"/>
    </row>
    <row r="39" spans="1:4" x14ac:dyDescent="0.25">
      <c r="A39" t="str">
        <f>'t-LTM'!B39</f>
        <v>Chen, K., &amp; Squire, S. (1990). Strength and duration of word-completion priming as a function of word repetition and spacing. Bulletin of the Psychonomic Society, 28(2), 97-100.</v>
      </c>
      <c r="B39">
        <f>'t-LTM'!AA39</f>
        <v>86400</v>
      </c>
      <c r="C39" s="173">
        <f>B39/(60*60*24)</f>
        <v>1</v>
      </c>
      <c r="D39" s="63">
        <f>'t-LTM'!AM39</f>
        <v>-7.6320243260043566E-3</v>
      </c>
    </row>
    <row r="40" spans="1:4" x14ac:dyDescent="0.25">
      <c r="C40" s="173"/>
    </row>
    <row r="41" spans="1:4" x14ac:dyDescent="0.25">
      <c r="A41" t="str">
        <f>'t-LTM'!B41</f>
        <v>Chen, K., &amp; Squire, S. (1990). Strength and duration of word-completion priming as a function of word repetition and spacing. Bulletin of the Psychonomic Society, 28(2), 97-100.</v>
      </c>
      <c r="B41">
        <f>'t-LTM'!AA41</f>
        <v>86400</v>
      </c>
      <c r="C41" s="173">
        <f>B41/(60*60*24)</f>
        <v>1</v>
      </c>
      <c r="D41" s="63">
        <f>'t-LTM'!AM41</f>
        <v>-4.9076066639987337E-3</v>
      </c>
    </row>
    <row r="42" spans="1:4" x14ac:dyDescent="0.25">
      <c r="C42" s="173"/>
    </row>
    <row r="43" spans="1:4" x14ac:dyDescent="0.25">
      <c r="A43" t="str">
        <f>'t-LTM'!B43</f>
        <v>Chen, K., &amp; Squire, S. (1990). Strength and duration of word-completion priming as a function of word repetition and spacing. Bulletin of the Psychonomic Society, 28(2), 97-100.</v>
      </c>
      <c r="B43">
        <f>'t-LTM'!AA43</f>
        <v>86400</v>
      </c>
      <c r="C43" s="173">
        <f>B43/(60*60*24)</f>
        <v>1</v>
      </c>
      <c r="D43" s="63">
        <f>'t-LTM'!AM43</f>
        <v>-8.7408600388486375E-3</v>
      </c>
    </row>
    <row r="44" spans="1:4" x14ac:dyDescent="0.25">
      <c r="C44" s="173"/>
    </row>
    <row r="45" spans="1:4" x14ac:dyDescent="0.25">
      <c r="A45" t="str">
        <f>'t-LTM'!B45</f>
        <v>Davidson, D. (1994). Recognition and recall of irrelevant and interruptive atypical actions in script-based stories. Journal of Memory and Language, 33(6), 757-775.</v>
      </c>
      <c r="B45">
        <f>'t-LTM'!AA45</f>
        <v>604800</v>
      </c>
      <c r="C45" s="173">
        <f>B45/(60*60*24)</f>
        <v>7</v>
      </c>
      <c r="D45" s="63">
        <f>'t-LTM'!AM45</f>
        <v>-4.2603286173484557E-2</v>
      </c>
    </row>
    <row r="46" spans="1:4" x14ac:dyDescent="0.25">
      <c r="C46" s="173"/>
    </row>
    <row r="47" spans="1:4" x14ac:dyDescent="0.25">
      <c r="A47" t="str">
        <f>'t-LTM'!B47</f>
        <v>Davidson, D. (1994). Recognition and recall of irrelevant and interruptive atypical actions in script-based stories. Journal of Memory and Language, 33(6), 757-775.</v>
      </c>
      <c r="B47">
        <f>'t-LTM'!AA47</f>
        <v>604800</v>
      </c>
      <c r="C47" s="173">
        <f>B47/(60*60*24)</f>
        <v>7</v>
      </c>
      <c r="D47" s="63">
        <f>'t-LTM'!AM47</f>
        <v>-3.5399228764858529E-2</v>
      </c>
    </row>
    <row r="48" spans="1:4" x14ac:dyDescent="0.25">
      <c r="C48" s="173"/>
    </row>
    <row r="49" spans="1:4" x14ac:dyDescent="0.25">
      <c r="A49" t="str">
        <f>'t-LTM'!B49</f>
        <v>Davidson, D. (1994). Recognition and recall of irrelevant and interruptive atypical actions in script-based stories. Journal of Memory and Language, 33(6), 757-775.</v>
      </c>
      <c r="B49">
        <f>'t-LTM'!AA49</f>
        <v>604800</v>
      </c>
      <c r="C49" s="173">
        <f>B49/(60*60*24)</f>
        <v>7</v>
      </c>
      <c r="D49" s="63">
        <f>'t-LTM'!AM49</f>
        <v>-3.2375909093925896E-2</v>
      </c>
    </row>
    <row r="50" spans="1:4" x14ac:dyDescent="0.25">
      <c r="C50" s="173"/>
    </row>
    <row r="51" spans="1:4" x14ac:dyDescent="0.25">
      <c r="A51" t="str">
        <f>'t-LTM'!B51</f>
        <v>Davidson, D. (1994). Recognition and recall of irrelevant and interruptive atypical actions in script-based stories. Journal of Memory and Language, 33(6), 757-775.</v>
      </c>
      <c r="B51">
        <f>'t-LTM'!AA51</f>
        <v>604800</v>
      </c>
      <c r="C51" s="173">
        <f>B51/(60*60*24)</f>
        <v>7</v>
      </c>
      <c r="D51" s="63">
        <f>'t-LTM'!AM51</f>
        <v>-0.12892801646218516</v>
      </c>
    </row>
    <row r="52" spans="1:4" x14ac:dyDescent="0.25">
      <c r="C52" s="173"/>
    </row>
    <row r="53" spans="1:4" x14ac:dyDescent="0.25">
      <c r="A53" t="str">
        <f>'t-LTM'!B53</f>
        <v>Davidson, D. (1994). Recognition and recall of irrelevant and interruptive atypical actions in script-based stories. Journal of Memory and Language, 33(6), 757-775.</v>
      </c>
      <c r="B53">
        <f>'t-LTM'!AA53</f>
        <v>604800</v>
      </c>
      <c r="C53" s="173">
        <f>B53/(60*60*24)</f>
        <v>7</v>
      </c>
      <c r="D53" s="63">
        <f>'t-LTM'!AM53</f>
        <v>-0.23039340924468046</v>
      </c>
    </row>
    <row r="54" spans="1:4" x14ac:dyDescent="0.25">
      <c r="C54" s="173"/>
    </row>
    <row r="55" spans="1:4" x14ac:dyDescent="0.25">
      <c r="A55" t="str">
        <f>'t-LTM'!B55</f>
        <v>Davidson, D. (1994). Recognition and recall of irrelevant and interruptive atypical actions in script-based stories. Journal of Memory and Language, 33(6), 757-775.</v>
      </c>
      <c r="B55">
        <f>'t-LTM'!AA55</f>
        <v>604800</v>
      </c>
      <c r="C55" s="173">
        <f>B55/(60*60*24)</f>
        <v>7</v>
      </c>
      <c r="D55" s="63">
        <f>'t-LTM'!AM55</f>
        <v>-7.5958959080907149E-2</v>
      </c>
    </row>
    <row r="56" spans="1:4" x14ac:dyDescent="0.25">
      <c r="C56" s="173"/>
    </row>
    <row r="57" spans="1:4" x14ac:dyDescent="0.25">
      <c r="A57" t="str">
        <f>'t-LTM'!B57</f>
        <v>Davidson, D. (1994). Recognition and recall of irrelevant and interruptive atypical actions in script-based stories. Journal of Memory and Language, 33(6), 757-775.</v>
      </c>
      <c r="B57">
        <f>'t-LTM'!AA57</f>
        <v>604800</v>
      </c>
      <c r="C57" s="173">
        <f>B57/(60*60*24)</f>
        <v>7</v>
      </c>
      <c r="D57" s="63">
        <f>'t-LTM'!AM57</f>
        <v>-0.15919993184058162</v>
      </c>
    </row>
    <row r="58" spans="1:4" x14ac:dyDescent="0.25">
      <c r="C58" s="173"/>
    </row>
    <row r="59" spans="1:4" x14ac:dyDescent="0.25">
      <c r="A59" t="str">
        <f>'t-LTM'!B59</f>
        <v>Davidson, D. (1994). Recognition and recall of irrelevant and interruptive atypical actions in script-based stories. Journal of Memory and Language, 33(6), 757-775.</v>
      </c>
      <c r="B59">
        <f>'t-LTM'!AA59</f>
        <v>604800</v>
      </c>
      <c r="C59" s="173">
        <f>B59/(60*60*24)</f>
        <v>7</v>
      </c>
      <c r="D59" s="63">
        <f>'t-LTM'!AM59</f>
        <v>-0.18575610221508479</v>
      </c>
    </row>
    <row r="60" spans="1:4" x14ac:dyDescent="0.25">
      <c r="C60" s="173"/>
    </row>
    <row r="61" spans="1:4" x14ac:dyDescent="0.25">
      <c r="A61" t="str">
        <f>'t-LTM'!B61</f>
        <v>Davidson, D. (1994). Recognition and recall of irrelevant and interruptive atypical actions in script-based stories. Journal of Memory and Language, 33(6), 757-775.</v>
      </c>
      <c r="B61">
        <f>'t-LTM'!AA61</f>
        <v>604800</v>
      </c>
      <c r="C61" s="173">
        <f>B61/(60*60*24)</f>
        <v>7</v>
      </c>
      <c r="D61" s="63">
        <f>'t-LTM'!AM61</f>
        <v>-7.3853853236332159E-2</v>
      </c>
    </row>
    <row r="62" spans="1:4" x14ac:dyDescent="0.25">
      <c r="C62" s="173"/>
    </row>
    <row r="63" spans="1:4" x14ac:dyDescent="0.25">
      <c r="A63" t="str">
        <f>'t-LTM'!B63</f>
        <v xml:space="preserve">Dewar, M., Alber, J., Butler, C., Cowan, N., &amp; Della Salla, S. (2012). Brief wakeful resting boosts new memories over the long term. Psychological Science, 23(9), 955-960.
</v>
      </c>
      <c r="B63">
        <f>'t-LTM'!AA63</f>
        <v>604800</v>
      </c>
      <c r="C63" s="173">
        <f>B63/(60*60*24)</f>
        <v>7</v>
      </c>
      <c r="D63" s="63">
        <f>'t-LTM'!AM63</f>
        <v>-3.9268388916605348E-2</v>
      </c>
    </row>
    <row r="64" spans="1:4" x14ac:dyDescent="0.25">
      <c r="C64" s="173"/>
    </row>
    <row r="65" spans="1:4" x14ac:dyDescent="0.25">
      <c r="A65" t="str">
        <f>'t-LTM'!B65</f>
        <v xml:space="preserve">Dewar, M., Alber, J., Butler, C., Cowan, N., &amp; Della Salla, S. (2012). Brief wakeful resting boosts new memories over the long term. Psychological Science, 23(9), 955-960.
</v>
      </c>
      <c r="B65">
        <f>'t-LTM'!AA65</f>
        <v>604800</v>
      </c>
      <c r="C65" s="173">
        <f>B65/(60*60*24)</f>
        <v>7</v>
      </c>
      <c r="D65" s="63">
        <f>'t-LTM'!AM65</f>
        <v>-1.9664862159056648E-2</v>
      </c>
    </row>
    <row r="66" spans="1:4" x14ac:dyDescent="0.25">
      <c r="C66" s="173"/>
      <c r="D66" s="63"/>
    </row>
    <row r="67" spans="1:4" x14ac:dyDescent="0.25">
      <c r="A67" t="str">
        <f>'t-LTM'!B67</f>
        <v>Evans, S. J., Elliott, G., Reynders, H., &amp; Isaac, C. L. (2014). Can temporal lobe epilepsy surgery ameliorate accelerated long-term forgetting?. Neuropsychologia, 53, 64-74.</v>
      </c>
      <c r="B67">
        <f>'t-LTM'!AA67</f>
        <v>604800</v>
      </c>
      <c r="C67" s="173">
        <f>B67/(60*60*24)</f>
        <v>7</v>
      </c>
      <c r="D67" s="63">
        <f>'t-LTM'!AM67</f>
        <v>-4.1470120856888885E-2</v>
      </c>
    </row>
    <row r="68" spans="1:4" x14ac:dyDescent="0.25">
      <c r="C68" s="173"/>
      <c r="D68" s="63"/>
    </row>
    <row r="69" spans="1:4" x14ac:dyDescent="0.25">
      <c r="A69" t="str">
        <f>'t-LTM'!B69</f>
        <v>Evans, S. J., Elliott, G., Reynders, H., &amp; Isaac, C. L. (2014). Can temporal lobe epilepsy surgery ameliorate accelerated long-term forgetting?. Neuropsychologia, 53, 64-74.</v>
      </c>
      <c r="B69">
        <f>'t-LTM'!AA69</f>
        <v>604800</v>
      </c>
      <c r="C69" s="173">
        <f>B69/(60*60*24)</f>
        <v>7</v>
      </c>
      <c r="D69" s="63">
        <f>'t-LTM'!AM69</f>
        <v>-2.040852310772337E-2</v>
      </c>
    </row>
    <row r="70" spans="1:4" x14ac:dyDescent="0.25">
      <c r="C70" s="173"/>
      <c r="D70" s="63"/>
    </row>
    <row r="71" spans="1:4" x14ac:dyDescent="0.25">
      <c r="A71" t="str">
        <f>'t-LTM'!B71</f>
        <v>Evans, S. J., Elliott, G., Reynders, H., &amp; Isaac, C. L. (2014). Can temporal lobe epilepsy surgery ameliorate accelerated long-term forgetting?. Neuropsychologia, 53, 64-74.</v>
      </c>
      <c r="B71">
        <f>'t-LTM'!AA71</f>
        <v>604800</v>
      </c>
      <c r="C71" s="173">
        <f>B71/(60*60*24)</f>
        <v>7</v>
      </c>
      <c r="D71" s="63">
        <f>'t-LTM'!AM71</f>
        <v>-1.9974461330275948E-2</v>
      </c>
    </row>
    <row r="72" spans="1:4" x14ac:dyDescent="0.25">
      <c r="C72" s="173"/>
      <c r="D72" s="63"/>
    </row>
    <row r="73" spans="1:4" x14ac:dyDescent="0.25">
      <c r="A73" t="str">
        <f>'t-LTM'!B73</f>
        <v>Evans, S. J., Elliott, G., Reynders, H., &amp; Isaac, C. L. (2014). Can temporal lobe epilepsy surgery ameliorate accelerated long-term forgetting?. Neuropsychologia, 53, 64-74.</v>
      </c>
      <c r="B73">
        <f>'t-LTM'!AA73</f>
        <v>604800</v>
      </c>
      <c r="C73" s="173">
        <f>B73/(60*60*24)</f>
        <v>7</v>
      </c>
      <c r="D73" s="63">
        <f>'t-LTM'!AM73</f>
        <v>-3.1732687254297863E-2</v>
      </c>
    </row>
    <row r="74" spans="1:4" x14ac:dyDescent="0.25">
      <c r="C74" s="173"/>
      <c r="D74" s="63"/>
    </row>
    <row r="75" spans="1:4" x14ac:dyDescent="0.25">
      <c r="A75" t="str">
        <f>'t-LTM'!B75</f>
        <v>Evans, S. J., Elliott, G., Reynders, H., &amp; Isaac, C. L. (2014). Can temporal lobe epilepsy surgery ameliorate accelerated long-term forgetting?. Neuropsychologia, 53, 64-74.</v>
      </c>
      <c r="B75">
        <f>'t-LTM'!AA75</f>
        <v>604800</v>
      </c>
      <c r="C75" s="173">
        <f>B75/(60*60*24)</f>
        <v>7</v>
      </c>
      <c r="D75" s="63">
        <f>'t-LTM'!AM75</f>
        <v>-1.6813191845441774E-2</v>
      </c>
    </row>
    <row r="76" spans="1:4" x14ac:dyDescent="0.25">
      <c r="C76" s="173"/>
      <c r="D76" s="63"/>
    </row>
    <row r="77" spans="1:4" x14ac:dyDescent="0.25">
      <c r="A77" t="str">
        <f>'t-LTM'!B77</f>
        <v>Evans, S. J., Elliott, G., Reynders, H., &amp; Isaac, C. L. (2014). Can temporal lobe epilepsy surgery ameliorate accelerated long-term forgetting?. Neuropsychologia, 53, 64-74.</v>
      </c>
      <c r="B77">
        <f>'t-LTM'!AA77</f>
        <v>604800</v>
      </c>
      <c r="C77" s="173">
        <f>B77/(60*60*24)</f>
        <v>7</v>
      </c>
      <c r="D77" s="63">
        <f>'t-LTM'!AM77</f>
        <v>-1.9148678371994979E-2</v>
      </c>
    </row>
    <row r="78" spans="1:4" x14ac:dyDescent="0.25">
      <c r="C78" s="173"/>
      <c r="D78" s="63"/>
    </row>
    <row r="79" spans="1:4" x14ac:dyDescent="0.25">
      <c r="A79" t="str">
        <f>'t-LTM'!B79</f>
        <v>Evans, S. J., Elliott, G., Reynders, H., &amp; Isaac, C. L. (2014). Can temporal lobe epilepsy surgery ameliorate accelerated long-term forgetting?. Neuropsychologia, 53, 64-74.</v>
      </c>
      <c r="B79">
        <f>'t-LTM'!AA79</f>
        <v>604800</v>
      </c>
      <c r="C79" s="173">
        <f>B79/(60*60*24)</f>
        <v>7</v>
      </c>
      <c r="D79" s="63">
        <f>'t-LTM'!AM79</f>
        <v>-5.0651137425773506E-2</v>
      </c>
    </row>
    <row r="80" spans="1:4" x14ac:dyDescent="0.25">
      <c r="C80" s="173"/>
      <c r="D80" s="63"/>
    </row>
    <row r="81" spans="1:4" x14ac:dyDescent="0.25">
      <c r="A81" t="str">
        <f>'t-LTM'!B81</f>
        <v>Evans, S. J., Elliott, G., Reynders, H., &amp; Isaac, C. L. (2014). Can temporal lobe epilepsy surgery ameliorate accelerated long-term forgetting?. Neuropsychologia, 53, 64-74.</v>
      </c>
      <c r="B81">
        <f>'t-LTM'!AA81</f>
        <v>604800</v>
      </c>
      <c r="C81" s="173">
        <f>B81/(60*60*24)</f>
        <v>7</v>
      </c>
      <c r="D81" s="63">
        <f>'t-LTM'!AM81</f>
        <v>-4.8660829493556233E-2</v>
      </c>
    </row>
    <row r="82" spans="1:4" x14ac:dyDescent="0.25">
      <c r="C82" s="173"/>
      <c r="D82" s="63"/>
    </row>
    <row r="83" spans="1:4" x14ac:dyDescent="0.25">
      <c r="A83" t="str">
        <f>'t-LTM'!B83</f>
        <v>Evans, S. J., Elliott, G., Reynders, H., &amp; Isaac, C. L. (2014). Can temporal lobe epilepsy surgery ameliorate accelerated long-term forgetting?. Neuropsychologia, 53, 64-74.</v>
      </c>
      <c r="B83">
        <f>'t-LTM'!AA83</f>
        <v>604800</v>
      </c>
      <c r="C83" s="173">
        <f>B83/(60*60*24)</f>
        <v>7</v>
      </c>
      <c r="D83" s="63">
        <f>'t-LTM'!AM83</f>
        <v>-3.0262402091758095E-2</v>
      </c>
    </row>
    <row r="84" spans="1:4" x14ac:dyDescent="0.25">
      <c r="C84" s="173"/>
      <c r="D84" s="63"/>
    </row>
    <row r="85" spans="1:4" x14ac:dyDescent="0.25">
      <c r="A85" t="str">
        <f>'t-LTM'!B85</f>
        <v>Evans, S. J., Elliott, G., Reynders, H., &amp; Isaac, C. L. (2014). Can temporal lobe epilepsy surgery ameliorate accelerated long-term forgetting?. Neuropsychologia, 53, 64-74.</v>
      </c>
      <c r="B85">
        <f>'t-LTM'!AA85</f>
        <v>604800</v>
      </c>
      <c r="C85" s="173">
        <f>B85/(60*60*24)</f>
        <v>7</v>
      </c>
      <c r="D85" s="63">
        <f>'t-LTM'!AM85</f>
        <v>-3.612848953466926E-2</v>
      </c>
    </row>
    <row r="86" spans="1:4" x14ac:dyDescent="0.25">
      <c r="C86" s="173"/>
      <c r="D86" s="63"/>
    </row>
    <row r="87" spans="1:4" x14ac:dyDescent="0.25">
      <c r="A87" t="str">
        <f>'t-LTM'!B87</f>
        <v>Evans, S. J., Elliott, G., Reynders, H., &amp; Isaac, C. L. (2014). Can temporal lobe epilepsy surgery ameliorate accelerated long-term forgetting?. Neuropsychologia, 53, 64-74.</v>
      </c>
      <c r="B87">
        <f>'t-LTM'!AA87</f>
        <v>604800</v>
      </c>
      <c r="C87" s="173">
        <f>B87/(60*60*24)</f>
        <v>7</v>
      </c>
      <c r="D87" s="63">
        <f>'t-LTM'!AM87</f>
        <v>-5.2686385463934469E-3</v>
      </c>
    </row>
    <row r="88" spans="1:4" x14ac:dyDescent="0.25">
      <c r="C88" s="173"/>
      <c r="D88" s="63"/>
    </row>
    <row r="89" spans="1:4" x14ac:dyDescent="0.25">
      <c r="A89" t="str">
        <f>'t-LTM'!B89</f>
        <v>Evans, S. J., Elliott, G., Reynders, H., &amp; Isaac, C. L. (2014). Can temporal lobe epilepsy surgery ameliorate accelerated long-term forgetting?. Neuropsychologia, 53, 64-74.</v>
      </c>
      <c r="B89">
        <f>'t-LTM'!AA89</f>
        <v>604800</v>
      </c>
      <c r="C89" s="173">
        <f>B89/(60*60*24)</f>
        <v>7</v>
      </c>
      <c r="D89" s="63">
        <f>'t-LTM'!AM89</f>
        <v>-6.9854909369670938E-3</v>
      </c>
    </row>
    <row r="90" spans="1:4" x14ac:dyDescent="0.25">
      <c r="C90" s="173"/>
    </row>
    <row r="91" spans="1:4" x14ac:dyDescent="0.25">
      <c r="A91" t="str">
        <f>'t-LTM'!B91</f>
        <v>Finkenbinder, E. O. (1913). The curve of forgetting. The American Journal of Psychology, 24(1), 8-32.</v>
      </c>
      <c r="B91">
        <f>'t-LTM'!AA91</f>
        <v>172800</v>
      </c>
      <c r="C91" s="173">
        <f>B91/(60*60*24)</f>
        <v>2</v>
      </c>
      <c r="D91" s="63">
        <f>'t-LTM'!AM91</f>
        <v>-9.8947942040260403E-2</v>
      </c>
    </row>
    <row r="92" spans="1:4" x14ac:dyDescent="0.25">
      <c r="C92" s="173"/>
    </row>
    <row r="93" spans="1:4" x14ac:dyDescent="0.25">
      <c r="A93" t="str">
        <f>'t-LTM'!B93</f>
        <v xml:space="preserve">Fioravanti, M., &amp; Di Cesare, F. (1992). Forgetting curves in long-term memory: Evidence for a multistage model of retention. Brain and Cognition, 18, 116-124.
</v>
      </c>
      <c r="B93">
        <f>'t-LTM'!AA93</f>
        <v>172800</v>
      </c>
      <c r="C93" s="173">
        <f>B93/(60*60*24)</f>
        <v>2</v>
      </c>
      <c r="D93" s="63">
        <f>'t-LTM'!AM93</f>
        <v>-2.9807273464141082E-2</v>
      </c>
    </row>
    <row r="94" spans="1:4" x14ac:dyDescent="0.25">
      <c r="C94" s="173"/>
    </row>
    <row r="95" spans="1:4" x14ac:dyDescent="0.25">
      <c r="A95" t="str">
        <f>'t-LTM'!B95</f>
        <v xml:space="preserve">Fioravanti, M., &amp; Di Cesare, F. (1992). Forgetting curves in long-term memory: Evidence for a multistage model of retention. Brain and Cognition, 18, 116-124.
</v>
      </c>
      <c r="B95">
        <f>'t-LTM'!AA95</f>
        <v>172800</v>
      </c>
      <c r="C95" s="173">
        <f>B95/(60*60*24)</f>
        <v>2</v>
      </c>
      <c r="D95" s="63">
        <f>'t-LTM'!AM95</f>
        <v>-7.5602697699415642E-3</v>
      </c>
    </row>
    <row r="96" spans="1:4" x14ac:dyDescent="0.25">
      <c r="C96" s="173"/>
    </row>
    <row r="97" spans="1:4" x14ac:dyDescent="0.25">
      <c r="A97" t="str">
        <f>'t-LTM'!B97</f>
        <v xml:space="preserve">Fioravanti, M., &amp; Di Cesare, F. (1992). Forgetting curves in long-term memory: Evidence for a multistage model of retention. Brain and Cognition, 18, 116-124.
</v>
      </c>
      <c r="B97">
        <f>'t-LTM'!AA97</f>
        <v>172800</v>
      </c>
      <c r="C97" s="173">
        <f>B97/(60*60*24)</f>
        <v>2</v>
      </c>
      <c r="D97" s="63">
        <f>'t-LTM'!AM97</f>
        <v>-1.6251198968042613E-2</v>
      </c>
    </row>
    <row r="98" spans="1:4" x14ac:dyDescent="0.25">
      <c r="C98" s="173"/>
    </row>
    <row r="99" spans="1:4" x14ac:dyDescent="0.25">
      <c r="A99" t="str">
        <f>'t-LTM'!B99</f>
        <v>Fisher, J. S. (2020). Dissertation</v>
      </c>
      <c r="B99">
        <f>'t-LTM'!AA99</f>
        <v>604800</v>
      </c>
      <c r="C99" s="173">
        <f>B99/(60*60*24)</f>
        <v>7</v>
      </c>
      <c r="D99" s="63">
        <f>'t-LTM'!AM99</f>
        <v>-0.10638132353925876</v>
      </c>
    </row>
    <row r="100" spans="1:4" x14ac:dyDescent="0.25">
      <c r="C100" s="173"/>
    </row>
    <row r="101" spans="1:4" x14ac:dyDescent="0.25">
      <c r="A101" t="str">
        <f>'t-LTM'!B101</f>
        <v>Fisher, J. S. (2020). Dissertation</v>
      </c>
      <c r="B101">
        <f>'t-LTM'!AA101</f>
        <v>604800</v>
      </c>
      <c r="C101" s="173">
        <f>B101/(60*60*24)</f>
        <v>7</v>
      </c>
      <c r="D101" s="63">
        <f>'t-LTM'!AM101</f>
        <v>-0.21977134839840412</v>
      </c>
    </row>
    <row r="102" spans="1:4" x14ac:dyDescent="0.25">
      <c r="C102" s="173"/>
    </row>
    <row r="103" spans="1:4" x14ac:dyDescent="0.25">
      <c r="A103" t="str">
        <f>'t-LTM'!B103</f>
        <v>Fisher, J. S. (2020). Dissertation</v>
      </c>
      <c r="B103">
        <f>'t-LTM'!AA103</f>
        <v>604800</v>
      </c>
      <c r="C103" s="173">
        <f>B103/(60*60*24)</f>
        <v>7</v>
      </c>
      <c r="D103" s="63">
        <f>'t-LTM'!AM103</f>
        <v>-2.5025125375607447E-2</v>
      </c>
    </row>
    <row r="104" spans="1:4" x14ac:dyDescent="0.25">
      <c r="C104" s="173"/>
    </row>
    <row r="105" spans="1:4" x14ac:dyDescent="0.25">
      <c r="A105" t="str">
        <f>'t-LTM'!B105</f>
        <v>Fisher, J. S. (2020). Dissertation</v>
      </c>
      <c r="B105">
        <f>'t-LTM'!AA105</f>
        <v>604800</v>
      </c>
      <c r="C105" s="173">
        <f>B105/(60*60*24)</f>
        <v>7</v>
      </c>
      <c r="D105" s="63">
        <f>'t-LTM'!AM105</f>
        <v>-4.8853910085287923E-2</v>
      </c>
    </row>
    <row r="106" spans="1:4" x14ac:dyDescent="0.25">
      <c r="C106" s="173"/>
    </row>
    <row r="107" spans="1:4" x14ac:dyDescent="0.25">
      <c r="A107" t="str">
        <f>'t-LTM'!B107</f>
        <v>Fisher, J. S. (2020). Dissertation</v>
      </c>
      <c r="B107">
        <f>'t-LTM'!AA107</f>
        <v>604800</v>
      </c>
      <c r="C107" s="173">
        <f>B107/(60*60*24)</f>
        <v>7</v>
      </c>
      <c r="D107" s="63">
        <f>'t-LTM'!AM107</f>
        <v>-0.12884593549700782</v>
      </c>
    </row>
    <row r="108" spans="1:4" x14ac:dyDescent="0.25">
      <c r="C108" s="173"/>
    </row>
    <row r="109" spans="1:4" x14ac:dyDescent="0.25">
      <c r="A109" t="str">
        <f>'t-LTM'!B109</f>
        <v>Fisher, J. S. (2020). Dissertation</v>
      </c>
      <c r="B109">
        <f>'t-LTM'!AA109</f>
        <v>604800</v>
      </c>
      <c r="C109" s="173">
        <f>B109/(60*60*24)</f>
        <v>7</v>
      </c>
      <c r="D109" s="63">
        <f>'t-LTM'!AM109</f>
        <v>-6.7982734725501884E-2</v>
      </c>
    </row>
    <row r="110" spans="1:4" x14ac:dyDescent="0.25">
      <c r="C110" s="173"/>
    </row>
    <row r="111" spans="1:4" x14ac:dyDescent="0.25">
      <c r="A111" t="str">
        <f>'t-LTM'!B111</f>
        <v>Fisher, J. S. (2020). Dissertation</v>
      </c>
      <c r="B111">
        <f>'t-LTM'!AA111</f>
        <v>604800</v>
      </c>
      <c r="C111" s="173">
        <f>B111/(60*60*24)</f>
        <v>7</v>
      </c>
      <c r="D111" s="63">
        <f>'t-LTM'!AM111</f>
        <v>-2.9406470587592642E-2</v>
      </c>
    </row>
    <row r="112" spans="1:4" x14ac:dyDescent="0.25">
      <c r="C112" s="173"/>
    </row>
    <row r="113" spans="1:4" x14ac:dyDescent="0.25">
      <c r="A113" t="str">
        <f>'t-LTM'!B113</f>
        <v>Fisher, J. S. (2020). Dissertation</v>
      </c>
      <c r="B113">
        <f>'t-LTM'!AA113</f>
        <v>604800</v>
      </c>
      <c r="C113" s="173">
        <f>B113/(60*60*24)</f>
        <v>7</v>
      </c>
      <c r="D113" s="63">
        <f>'t-LTM'!AM113</f>
        <v>-1.3867887696298507E-2</v>
      </c>
    </row>
    <row r="114" spans="1:4" x14ac:dyDescent="0.25">
      <c r="C114" s="173"/>
      <c r="D114" s="63"/>
    </row>
    <row r="115" spans="1:4" x14ac:dyDescent="0.25">
      <c r="A115" t="str">
        <f>'t-LTM'!B115</f>
        <v>Fitzgerald, Z., Thayer, Z., Mohamed, A., &amp; Miller, L. A. (2013). Examining factors related to accelerated long‐term forgetting in epilepsy using ambulatory EEG monitoring. Epilepsia, 54(5), 819-827.</v>
      </c>
      <c r="B115">
        <f>'t-LTM'!AA115</f>
        <v>604800</v>
      </c>
      <c r="C115" s="173">
        <f>B115/(60*60*24)</f>
        <v>7</v>
      </c>
      <c r="D115" s="63">
        <f>'t-LTM'!AM115</f>
        <v>-3.1927310533355263E-2</v>
      </c>
    </row>
    <row r="116" spans="1:4" x14ac:dyDescent="0.25">
      <c r="C116" s="173"/>
      <c r="D116" s="63"/>
    </row>
    <row r="117" spans="1:4" x14ac:dyDescent="0.25">
      <c r="A117" t="str">
        <f>'t-LTM'!B117</f>
        <v>Fitzgerald, Z., Thayer, Z., Mohamed, A., &amp; Miller, L. A. (2013). Examining factors related to accelerated long‐term forgetting in epilepsy using ambulatory EEG monitoring. Epilepsia, 54(5), 819-827.</v>
      </c>
      <c r="B117">
        <f>'t-LTM'!AA117</f>
        <v>604800</v>
      </c>
      <c r="C117" s="173">
        <f>B117/(60*60*24)</f>
        <v>7</v>
      </c>
      <c r="D117" s="63">
        <f>'t-LTM'!AM117</f>
        <v>-1.5360689594856362E-2</v>
      </c>
    </row>
    <row r="118" spans="1:4" x14ac:dyDescent="0.25">
      <c r="C118" s="173"/>
    </row>
    <row r="119" spans="1:4" x14ac:dyDescent="0.25">
      <c r="A119" t="str">
        <f>'t-LTM'!B119</f>
        <v>Flores, S., Bailey, H. R., Eisenberg, M. L., &amp; Zacks, J. M. (2017). Event segmentation improves event memory up to one month later. Journal of Experimental Psychology: Learning, Memory, and Cognition, 43(8), 1183-1202.</v>
      </c>
      <c r="B119">
        <f>'t-LTM'!AA119</f>
        <v>604800</v>
      </c>
      <c r="C119" s="173">
        <f>B119/(60*60*24)</f>
        <v>7</v>
      </c>
      <c r="D119" s="63">
        <f>'t-LTM'!AM119</f>
        <v>-1.2135508937400896E-2</v>
      </c>
    </row>
    <row r="120" spans="1:4" x14ac:dyDescent="0.25">
      <c r="C120" s="173"/>
    </row>
    <row r="121" spans="1:4" x14ac:dyDescent="0.25">
      <c r="A121" t="str">
        <f>'t-LTM'!B121</f>
        <v>Flores, S., Bailey, H. R., Eisenberg, M. L., &amp; Zacks, J. M. (2017). Event segmentation improves event memory up to one month later. Journal of Experimental Psychology: Learning, Memory, and Cognition, 43(8), 1183-1202.</v>
      </c>
      <c r="B121">
        <f>'t-LTM'!AA121</f>
        <v>604800</v>
      </c>
      <c r="C121" s="173">
        <f>B121/(60*60*24)</f>
        <v>7</v>
      </c>
      <c r="D121" s="63">
        <f>'t-LTM'!AM121</f>
        <v>-1.7808878466835282E-2</v>
      </c>
    </row>
    <row r="122" spans="1:4" x14ac:dyDescent="0.25">
      <c r="C122" s="173"/>
    </row>
    <row r="123" spans="1:4" x14ac:dyDescent="0.25">
      <c r="A123" t="str">
        <f>'t-LTM'!B123</f>
        <v>Flores, S., Bailey, H. R., Eisenberg, M. L., &amp; Zacks, J. M. (2017). Event segmentation improves event memory up to one month later. Journal of Experimental Psychology: Learning, Memory, and Cognition, 43(8), 1183-1202.</v>
      </c>
      <c r="B123">
        <f>'t-LTM'!AA123</f>
        <v>604800</v>
      </c>
      <c r="C123" s="173">
        <f>B123/(60*60*24)</f>
        <v>7</v>
      </c>
      <c r="D123" s="63">
        <f>'t-LTM'!AM123</f>
        <v>-2.3146964031138736E-2</v>
      </c>
    </row>
    <row r="124" spans="1:4" x14ac:dyDescent="0.25">
      <c r="C124" s="173"/>
      <c r="D124" s="63"/>
    </row>
    <row r="125" spans="1:4" x14ac:dyDescent="0.25">
      <c r="A125" t="str">
        <f>'t-LTM'!B125</f>
        <v>Gaudino, E. A., Chiaravalloti, N. D., DeLuca, J., &amp; Diamond, B. J. (2001). A comparison of memory performance in relapsing–remitting, primary progressive and secondary progressive, multiple sclerosis. Cognitive and Behavioral Neurology, 14(1), 32-44.</v>
      </c>
      <c r="B125">
        <f>'t-LTM'!AA125</f>
        <v>604800</v>
      </c>
      <c r="C125" s="173">
        <f>B125/(60*60*24)</f>
        <v>7</v>
      </c>
      <c r="D125" s="63">
        <f>'t-LTM'!AM125</f>
        <v>-2.2817715052872257E-2</v>
      </c>
    </row>
    <row r="126" spans="1:4" x14ac:dyDescent="0.25">
      <c r="C126" s="173"/>
      <c r="D126" s="63"/>
    </row>
    <row r="127" spans="1:4" x14ac:dyDescent="0.25">
      <c r="A127" t="str">
        <f>'t-LTM'!B127</f>
        <v>Gaudino, E. A., Chiaravalloti, N. D., DeLuca, J., &amp; Diamond, B. J. (2001). A comparison of memory performance in relapsing–remitting, primary progressive and secondary progressive, multiple sclerosis. Cognitive and Behavioral Neurology, 14(1), 32-44.</v>
      </c>
      <c r="B127">
        <f>'t-LTM'!AA127</f>
        <v>604800</v>
      </c>
      <c r="C127" s="173">
        <f>B127/(60*60*24)</f>
        <v>7</v>
      </c>
      <c r="D127" s="63">
        <f>'t-LTM'!AM127</f>
        <v>-4.0362451579561136E-2</v>
      </c>
    </row>
    <row r="128" spans="1:4" x14ac:dyDescent="0.25">
      <c r="C128" s="173"/>
    </row>
    <row r="129" spans="1:4" x14ac:dyDescent="0.25">
      <c r="A129" t="str">
        <f>'t-LTM'!B129</f>
        <v>Gilbert, T. (1957). Overlearning and the Retention of Meaningful Prose. The Journal of General Psychology, 56(2), 281-289.</v>
      </c>
      <c r="B129">
        <f>'t-LTM'!AA129</f>
        <v>172800</v>
      </c>
      <c r="C129" s="173">
        <f>B129/(60*60*24)</f>
        <v>2</v>
      </c>
      <c r="D129" s="63">
        <f>'t-LTM'!AM129</f>
        <v>-3.2993561655819785E-2</v>
      </c>
    </row>
    <row r="130" spans="1:4" x14ac:dyDescent="0.25">
      <c r="C130" s="173"/>
    </row>
    <row r="131" spans="1:4" x14ac:dyDescent="0.25">
      <c r="A131" t="str">
        <f>'t-LTM'!B131</f>
        <v>Gilbert, T. (1957). Overlearning and the Retention of Meaningful Prose. The Journal of General Psychology, 56(2), 281-289.</v>
      </c>
      <c r="B131">
        <f>'t-LTM'!AA131</f>
        <v>172800</v>
      </c>
      <c r="C131" s="173">
        <f>B131/(60*60*24)</f>
        <v>2</v>
      </c>
      <c r="D131" s="63">
        <f>'t-LTM'!AM131</f>
        <v>-6.0244254685207492E-2</v>
      </c>
    </row>
    <row r="132" spans="1:4" x14ac:dyDescent="0.25">
      <c r="C132" s="173"/>
    </row>
    <row r="133" spans="1:4" x14ac:dyDescent="0.25">
      <c r="A133" t="str">
        <f>'t-LTM'!B133</f>
        <v>Gilbert, T. (1957). Overlearning and the Retention of Meaningful Prose. The Journal of General Psychology, 56(2), 281-289.</v>
      </c>
      <c r="B133">
        <f>'t-LTM'!AA133</f>
        <v>172800</v>
      </c>
      <c r="C133" s="173">
        <f>B133/(60*60*24)</f>
        <v>2</v>
      </c>
      <c r="D133" s="63">
        <f>'t-LTM'!AM133</f>
        <v>-4.6712226118396982E-2</v>
      </c>
    </row>
    <row r="134" spans="1:4" x14ac:dyDescent="0.25">
      <c r="C134" s="173"/>
    </row>
    <row r="135" spans="1:4" x14ac:dyDescent="0.25">
      <c r="A135" t="str">
        <f>'t-LTM'!B135</f>
        <v>Goetschalckx, L., Moors, P., &amp; Wagemans, J. (2018). Image memorability across longer time intervals. Memory, 26(5), 581-588.</v>
      </c>
      <c r="B135">
        <f>'t-LTM'!AA135</f>
        <v>604800</v>
      </c>
      <c r="C135" s="173">
        <f>B135/(60*60*24)</f>
        <v>7</v>
      </c>
      <c r="D135" s="63">
        <f>'t-LTM'!AM135</f>
        <v>-3.6145297356931498E-2</v>
      </c>
    </row>
    <row r="136" spans="1:4" x14ac:dyDescent="0.25">
      <c r="C136" s="173"/>
    </row>
    <row r="137" spans="1:4" x14ac:dyDescent="0.25">
      <c r="A137" t="str">
        <f>'t-LTM'!B137</f>
        <v xml:space="preserve">Goldsmith, M., Koriat, A., &amp; Pansky, A. (2005). Strategic regulation of grain size in memory reporting over time. Journal of Memory and Language, 52, 505-525.
</v>
      </c>
      <c r="B137">
        <f>'t-LTM'!AA137</f>
        <v>604800</v>
      </c>
      <c r="C137" s="173">
        <f>B137/(60*60*24)</f>
        <v>7</v>
      </c>
      <c r="D137" s="63">
        <f>'t-LTM'!AM137</f>
        <v>-5.3563338424100639E-2</v>
      </c>
    </row>
    <row r="138" spans="1:4" x14ac:dyDescent="0.25">
      <c r="C138" s="173"/>
    </row>
    <row r="139" spans="1:4" x14ac:dyDescent="0.25">
      <c r="A139" t="str">
        <f>'t-LTM'!B139</f>
        <v xml:space="preserve">Goldsmith, M., Koriat, A., &amp; Pansky, A. (2005). Strategic regulation of grain size in memory reporting over time. Journal of Memory and Language, 52, 505-525.
</v>
      </c>
      <c r="B139">
        <f>'t-LTM'!AA139</f>
        <v>604800</v>
      </c>
      <c r="C139" s="173">
        <f>B139/(60*60*24)</f>
        <v>7</v>
      </c>
      <c r="D139" s="63">
        <f>'t-LTM'!AM139</f>
        <v>-6.0378123203897564E-2</v>
      </c>
    </row>
    <row r="140" spans="1:4" x14ac:dyDescent="0.25">
      <c r="C140" s="173"/>
    </row>
    <row r="141" spans="1:4" x14ac:dyDescent="0.25">
      <c r="A141" t="str">
        <f>'t-LTM'!B141</f>
        <v xml:space="preserve">Goldsmith, M., Koriat, A., &amp; Pansky, A. (2005). Strategic regulation of grain size in memory reporting over time. Journal of Memory and Language, 52, 505-525.
</v>
      </c>
      <c r="B141">
        <f>'t-LTM'!AA141</f>
        <v>604800</v>
      </c>
      <c r="C141" s="173">
        <f>B141/(60*60*24)</f>
        <v>7</v>
      </c>
      <c r="D141" s="63">
        <f>'t-LTM'!AM141</f>
        <v>-0.13191737937665859</v>
      </c>
    </row>
    <row r="142" spans="1:4" x14ac:dyDescent="0.25">
      <c r="C142" s="173"/>
    </row>
    <row r="143" spans="1:4" x14ac:dyDescent="0.25">
      <c r="A143" t="str">
        <f>'t-LTM'!B143</f>
        <v xml:space="preserve">Graves, E. A. (1936). The effect of sleep upon retention. Journal of Experimental Psychology, 19(3), 316-322.
</v>
      </c>
      <c r="B143">
        <f>'t-LTM'!AA143</f>
        <v>518400</v>
      </c>
      <c r="C143" s="173">
        <f>B143/(60*60*24)</f>
        <v>6</v>
      </c>
      <c r="D143" s="63">
        <f>'t-LTM'!AM143</f>
        <v>-9.8516611570544546E-2</v>
      </c>
    </row>
    <row r="144" spans="1:4" x14ac:dyDescent="0.25">
      <c r="C144" s="173"/>
    </row>
    <row r="145" spans="1:4" x14ac:dyDescent="0.25">
      <c r="A145" t="str">
        <f>'t-LTM'!B145</f>
        <v xml:space="preserve">Graves, E. A. (1936). The effect of sleep upon retention. Journal of Experimental Psychology, 19(3), 316-322.
</v>
      </c>
      <c r="B145">
        <f>'t-LTM'!AA145</f>
        <v>518400</v>
      </c>
      <c r="C145" s="173">
        <f>B145/(60*60*24)</f>
        <v>6</v>
      </c>
      <c r="D145" s="63">
        <f>'t-LTM'!AM145</f>
        <v>-7.1193197587546664E-2</v>
      </c>
    </row>
    <row r="146" spans="1:4" x14ac:dyDescent="0.25">
      <c r="C146" s="173"/>
    </row>
    <row r="147" spans="1:4" x14ac:dyDescent="0.25">
      <c r="A147" t="str">
        <f>'t-LTM'!B147</f>
        <v>Hasher, L. &amp; Griffin, M. (1978). Reconstructive and reproductive processes in memory. Journal of Experimental Psychology: Human Learning and Memory. 4(4), 318-330.</v>
      </c>
      <c r="B147">
        <f>'t-LTM'!AA147</f>
        <v>604800</v>
      </c>
      <c r="C147" s="173">
        <f>B147/(60*60*24)</f>
        <v>7</v>
      </c>
      <c r="D147" s="63">
        <f>'t-LTM'!AM147</f>
        <v>-0.10803581450967538</v>
      </c>
    </row>
    <row r="148" spans="1:4" x14ac:dyDescent="0.25">
      <c r="C148" s="173"/>
    </row>
    <row r="149" spans="1:4" x14ac:dyDescent="0.25">
      <c r="A149" t="str">
        <f>'t-LTM'!B149</f>
        <v>Hasher, L. &amp; Griffin, M. (1978). Reconstructive and reproductive processes in memory. Journal of Experimental Psychology: Human Learning and Memory. 4(4), 318-330.</v>
      </c>
      <c r="B149">
        <f>'t-LTM'!AA149</f>
        <v>604800</v>
      </c>
      <c r="C149" s="173">
        <f>B149/(60*60*24)</f>
        <v>7</v>
      </c>
      <c r="D149" s="63">
        <f>'t-LTM'!AM149</f>
        <v>-3.2578970418358659E-2</v>
      </c>
    </row>
    <row r="150" spans="1:4" x14ac:dyDescent="0.25">
      <c r="C150" s="173"/>
    </row>
    <row r="151" spans="1:4" x14ac:dyDescent="0.25">
      <c r="A151" t="str">
        <f>'t-LTM'!B151</f>
        <v>Hashtroudi, S., Ferguson, S., Rappold, V., Chrosniak, L., &amp; Roediger, Henry L. (1988). Data-Driven and Conceptually Driven Processes in Partial-Word Identification and Recognition. Journal of Experimental Psychology: Learning, Memory, and Cognition, 14(4), 749-757.</v>
      </c>
      <c r="B151">
        <f>'t-LTM'!AA151</f>
        <v>86400</v>
      </c>
      <c r="C151" s="173">
        <f>B151/(60*60*24)</f>
        <v>1</v>
      </c>
      <c r="D151" s="63">
        <f>'t-LTM'!AM151</f>
        <v>-3.3090854239568694E-2</v>
      </c>
    </row>
    <row r="152" spans="1:4" x14ac:dyDescent="0.25">
      <c r="C152" s="173"/>
    </row>
    <row r="153" spans="1:4" x14ac:dyDescent="0.25">
      <c r="A153" t="str">
        <f>'t-LTM'!B153</f>
        <v>Hashtroudi, S., Ferguson, S., Rappold, V., Chrosniak, L., &amp; Roediger, Henry L. (1988). Data-Driven and Conceptually Driven Processes in Partial-Word Identification and Recognition. Journal of Experimental Psychology: Learning, Memory, and Cognition, 14(4), 749-757.</v>
      </c>
      <c r="B153">
        <f>'t-LTM'!AA153</f>
        <v>86400</v>
      </c>
      <c r="C153" s="173">
        <f>B153/(60*60*24)</f>
        <v>1</v>
      </c>
      <c r="D153" s="63">
        <f>'t-LTM'!AM153</f>
        <v>-3.3182958324869442E-2</v>
      </c>
    </row>
    <row r="154" spans="1:4" x14ac:dyDescent="0.25">
      <c r="C154" s="173"/>
    </row>
    <row r="155" spans="1:4" x14ac:dyDescent="0.25">
      <c r="A155" t="str">
        <f>'t-LTM'!B155</f>
        <v>Howarth, E., &amp; Eysenck, H. J. (1969). Extraversion, Arousal, and Paired-Associate REcall. Journal of Experimental Research in Personality, 3, 114-116.</v>
      </c>
      <c r="B155">
        <f>'t-LTM'!AA155</f>
        <v>86400</v>
      </c>
      <c r="C155" s="173">
        <f>B155/(60*60*24)</f>
        <v>1</v>
      </c>
      <c r="D155" s="63">
        <f>'t-LTM'!AM155</f>
        <v>-5.9043720295593315E-2</v>
      </c>
    </row>
    <row r="156" spans="1:4" x14ac:dyDescent="0.25">
      <c r="C156" s="173"/>
    </row>
    <row r="157" spans="1:4" x14ac:dyDescent="0.25">
      <c r="A157" t="str">
        <f>'t-LTM'!B157</f>
        <v>Huppert, F. A., &amp; Piercy, M. (1979). Normal and abnormal forgetting in organic amnesia: effect of locus of lesion. Cortex, 15(3), 385-390.</v>
      </c>
      <c r="B157">
        <f>'t-LTM'!AA157</f>
        <v>604800</v>
      </c>
      <c r="C157" s="173">
        <f>B157/(60*60*24)</f>
        <v>7</v>
      </c>
      <c r="D157" s="63">
        <f>'t-LTM'!AM157</f>
        <v>-2.4619458230427545E-2</v>
      </c>
    </row>
    <row r="158" spans="1:4" x14ac:dyDescent="0.25">
      <c r="C158" s="173"/>
    </row>
    <row r="159" spans="1:4" x14ac:dyDescent="0.25">
      <c r="A159" t="str">
        <f>'t-LTM'!B159</f>
        <v>Huppert, F. A., &amp; Piercy, M. (1978). Dissociation between learning and remembering in organic amnesia. Nature, 275(5678), 317-318.</v>
      </c>
      <c r="B159">
        <f>'t-LTM'!AA159</f>
        <v>604800</v>
      </c>
      <c r="C159" s="173">
        <f>B159/(60*60*24)</f>
        <v>7</v>
      </c>
      <c r="D159" s="63">
        <f>'t-LTM'!AM159</f>
        <v>-3.0946718045348078E-2</v>
      </c>
    </row>
    <row r="160" spans="1:4" x14ac:dyDescent="0.25">
      <c r="C160" s="173"/>
    </row>
    <row r="161" spans="1:4" x14ac:dyDescent="0.25">
      <c r="A161" t="str">
        <f>'t-LTM'!B161</f>
        <v xml:space="preserve">Kaplan, R., &amp; Kaplan, S. (1969). The arousal-retention interval interaction revisited: The effects of some procedural changes. Psychonomic Science, 15, 84-85.
</v>
      </c>
      <c r="B161">
        <f>'t-LTM'!AA161</f>
        <v>172800</v>
      </c>
      <c r="C161" s="173">
        <f>B161/(60*60*24)</f>
        <v>2</v>
      </c>
      <c r="D161" s="63">
        <f>'t-LTM'!AM161</f>
        <v>-5.8187416724719776E-2</v>
      </c>
    </row>
    <row r="162" spans="1:4" x14ac:dyDescent="0.25">
      <c r="C162" s="173"/>
    </row>
    <row r="163" spans="1:4" x14ac:dyDescent="0.25">
      <c r="A163" t="str">
        <f>'t-LTM'!B163</f>
        <v xml:space="preserve">Kaplan, R., &amp; Kaplan, S. (1969). The arousal-retention interval interaction revisited: The effects of some procedural changes. Psychonomic Science, 15, 84-85.
</v>
      </c>
      <c r="B163">
        <f>'t-LTM'!AA163</f>
        <v>172800</v>
      </c>
      <c r="C163" s="173">
        <f>B163/(60*60*24)</f>
        <v>2</v>
      </c>
      <c r="D163" s="63">
        <f>'t-LTM'!AM163</f>
        <v>-9.794832078783669E-2</v>
      </c>
    </row>
    <row r="164" spans="1:4" x14ac:dyDescent="0.25">
      <c r="C164" s="173"/>
    </row>
    <row r="165" spans="1:4" x14ac:dyDescent="0.25">
      <c r="A165" t="str">
        <f>'t-LTM'!B165</f>
        <v xml:space="preserve">Kleinsmith, L. J., &amp; Kaplan, S. (1963). Paired-associate learning as a function of arousal and interpolated interval. Journal of Experimental Psychology, 65(2), 190-193.
</v>
      </c>
      <c r="B165">
        <f>'t-LTM'!AA165</f>
        <v>604800</v>
      </c>
      <c r="C165" s="173">
        <f>B165/(60*60*24)</f>
        <v>7</v>
      </c>
      <c r="D165" s="63">
        <f>'t-LTM'!AM165</f>
        <v>-0.58855774879787159</v>
      </c>
    </row>
    <row r="166" spans="1:4" x14ac:dyDescent="0.25">
      <c r="C166" s="173"/>
    </row>
    <row r="167" spans="1:4" x14ac:dyDescent="0.25">
      <c r="A167" t="str">
        <f>'t-LTM'!B167</f>
        <v xml:space="preserve">Kleinsmith, L. J., &amp; Kaplan, S. (1964). Interaction of arousal and recall interval in nonsense syllable paired-associate learning. Journal of Experimental Psychology, 67(2), 124-126.
</v>
      </c>
      <c r="B167">
        <f>'t-LTM'!AA167</f>
        <v>604800</v>
      </c>
      <c r="C167" s="173">
        <f>B167/(60*60*24)</f>
        <v>7</v>
      </c>
      <c r="D167" s="63">
        <f>'t-LTM'!AM167</f>
        <v>-0.20025067487493042</v>
      </c>
    </row>
    <row r="168" spans="1:4" x14ac:dyDescent="0.25">
      <c r="C168" s="173"/>
      <c r="D168" s="63"/>
    </row>
    <row r="169" spans="1:4" x14ac:dyDescent="0.25">
      <c r="A169" t="str">
        <f>'t-LTM'!B169</f>
        <v>Kopelman, M. D. (1985). Rates of forgetting in Alzheimer-type dementia and Korsakoff's syndrome. Neuropsychologia, 23(5), 623-638.</v>
      </c>
      <c r="B169">
        <f>'t-LTM'!AA169</f>
        <v>604800</v>
      </c>
      <c r="C169" s="173">
        <f>B169/(60*60*24)</f>
        <v>7</v>
      </c>
      <c r="D169" s="63">
        <f>'t-LTM'!AM169</f>
        <v>-4.1553017301313395E-2</v>
      </c>
    </row>
    <row r="170" spans="1:4" x14ac:dyDescent="0.25">
      <c r="C170" s="173"/>
    </row>
    <row r="171" spans="1:4" x14ac:dyDescent="0.25">
      <c r="A171" t="str">
        <f>'t-LTM'!B171</f>
        <v>Koppenaal, R. J. (1963). Time changes in the strengths of A–B, A–C lists; spontaneous recovery?. Journal of Verbal Learning and Verbal Behavior, 2(4), 310-319.</v>
      </c>
      <c r="B171">
        <f>'t-LTM'!AA171</f>
        <v>172800</v>
      </c>
      <c r="C171" s="173">
        <f>B171/(60*60*24)</f>
        <v>2</v>
      </c>
      <c r="D171" s="63">
        <f>'t-LTM'!AM171</f>
        <v>-2.0430453216611359E-2</v>
      </c>
    </row>
    <row r="172" spans="1:4" x14ac:dyDescent="0.25">
      <c r="C172" s="173"/>
    </row>
    <row r="173" spans="1:4" x14ac:dyDescent="0.25">
      <c r="A173" t="str">
        <f>'t-LTM'!B173</f>
        <v>Koppenaal, R. J. (1963). Time changes in the strengths of A–B, A–C lists; spontaneous recovery?. Journal of Verbal Learning and Verbal Behavior, 2(4), 310-319.</v>
      </c>
      <c r="B173">
        <f>'t-LTM'!AA173</f>
        <v>172800</v>
      </c>
      <c r="C173" s="173">
        <f>B173/(60*60*24)</f>
        <v>2</v>
      </c>
      <c r="D173" s="63">
        <f>'t-LTM'!AM173</f>
        <v>-7.2498428077765964E-2</v>
      </c>
    </row>
    <row r="174" spans="1:4" x14ac:dyDescent="0.25">
      <c r="C174" s="173"/>
    </row>
    <row r="175" spans="1:4" x14ac:dyDescent="0.25">
      <c r="A175" t="str">
        <f>'t-LTM'!B175</f>
        <v>Koppenaal, R. J. (1963). Time changes in the strengths of A–B, A–C lists; spontaneous recovery?. Journal of Verbal Learning and Verbal Behavior, 2(4), 310-319.</v>
      </c>
      <c r="B175">
        <f>'t-LTM'!AA175</f>
        <v>172800</v>
      </c>
      <c r="C175" s="173">
        <f>B175/(60*60*24)</f>
        <v>2</v>
      </c>
      <c r="D175" s="63">
        <f>'t-LTM'!AM175</f>
        <v>-4.6015031429518342E-2</v>
      </c>
    </row>
    <row r="176" spans="1:4" x14ac:dyDescent="0.25">
      <c r="C176" s="173"/>
    </row>
    <row r="177" spans="1:4" x14ac:dyDescent="0.25">
      <c r="A177" t="str">
        <f>'t-LTM'!B177</f>
        <v xml:space="preserve">Legenfelder, J., Chiaravalloti, N. D., DeLuca, J. (2007). The efficacy of the generation effect in improving new learning in persons with traumatic brain injury. Rehabilitation Psychology, 52(3), 290-296.
</v>
      </c>
      <c r="B177">
        <f>'t-LTM'!AA177</f>
        <v>604800</v>
      </c>
      <c r="C177" s="173">
        <f>B177/(60*60*24)</f>
        <v>7</v>
      </c>
      <c r="D177" s="63">
        <f>'t-LTM'!AM177</f>
        <v>-6.5888483525902999E-2</v>
      </c>
    </row>
    <row r="178" spans="1:4" x14ac:dyDescent="0.25">
      <c r="C178" s="173"/>
    </row>
    <row r="179" spans="1:4" x14ac:dyDescent="0.25">
      <c r="A179" t="str">
        <f>'t-LTM'!B179</f>
        <v xml:space="preserve">Legenfelder, J., Chiaravalloti, N. D., DeLuca, J. (2007). The efficacy of the generation effect in improving new learning in persons with traumatic brain injury. Rehabilitation Psychology, 52(3), 290-296.
</v>
      </c>
      <c r="B179">
        <f>'t-LTM'!AA179</f>
        <v>604800</v>
      </c>
      <c r="C179" s="173">
        <f>B179/(60*60*24)</f>
        <v>7</v>
      </c>
      <c r="D179" s="63">
        <f>'t-LTM'!AM179</f>
        <v>-6.6679408592660666E-2</v>
      </c>
    </row>
    <row r="180" spans="1:4" x14ac:dyDescent="0.25">
      <c r="C180" s="173"/>
    </row>
    <row r="181" spans="1:4" x14ac:dyDescent="0.25">
      <c r="A181" t="str">
        <f>'t-LTM'!B181</f>
        <v xml:space="preserve">Legenfelder, J., Chiaravalloti, N. D., DeLuca, J. (2007). The efficacy of the generation effect in improving new learning in persons with traumatic brain injury. Rehabilitation Psychology, 52(3), 290-296.
</v>
      </c>
      <c r="B181">
        <f>'t-LTM'!AA181</f>
        <v>604800</v>
      </c>
      <c r="C181" s="173">
        <f>B181/(60*60*24)</f>
        <v>7</v>
      </c>
      <c r="D181" s="63">
        <f>'t-LTM'!AM181</f>
        <v>-1.1036816622011864E-2</v>
      </c>
    </row>
    <row r="182" spans="1:4" x14ac:dyDescent="0.25">
      <c r="C182" s="173"/>
    </row>
    <row r="183" spans="1:4" x14ac:dyDescent="0.25">
      <c r="A183" t="str">
        <f>'t-LTM'!B183</f>
        <v xml:space="preserve">Legenfelder, J., Chiaravalloti, N. D., DeLuca, J. (2007). The efficacy of the generation effect in improving new learning in persons with traumatic brain injury. Rehabilitation Psychology, 52(3), 290-296.
</v>
      </c>
      <c r="B183">
        <f>'t-LTM'!AA183</f>
        <v>604800</v>
      </c>
      <c r="C183" s="173">
        <f>B183/(60*60*24)</f>
        <v>7</v>
      </c>
      <c r="D183" s="63">
        <f>'t-LTM'!AM183</f>
        <v>-1.4151289308539197E-2</v>
      </c>
    </row>
    <row r="184" spans="1:4" x14ac:dyDescent="0.25">
      <c r="C184" s="173"/>
    </row>
    <row r="185" spans="1:4" x14ac:dyDescent="0.25">
      <c r="A185" t="str">
        <f>'t-LTM'!B185</f>
        <v>Levin, H. S., High, W. M., &amp; Eisenberg, H. M. (1988). Learning and forgetting during posttraumatic amnesia in head injured patients. Journal of Neurology, Neurosurgery &amp; Psychiatry, 51(1), 14-20.</v>
      </c>
      <c r="B185">
        <f>'t-LTM'!AA185</f>
        <v>115200</v>
      </c>
      <c r="C185" s="173">
        <f>B185/(60*60*24)</f>
        <v>1.3333333333333333</v>
      </c>
      <c r="D185" s="63">
        <f>'t-LTM'!AM185</f>
        <v>-3.0424455677092052E-2</v>
      </c>
    </row>
    <row r="186" spans="1:4" x14ac:dyDescent="0.25">
      <c r="C186" s="173"/>
    </row>
    <row r="187" spans="1:4" x14ac:dyDescent="0.25">
      <c r="A187" t="str">
        <f>'t-LTM'!B187</f>
        <v>Luh, C. W. (1922). The conditions of retention. Psychological Monographs, 31(3).</v>
      </c>
      <c r="B187">
        <f>'t-LTM'!AA187</f>
        <v>172800</v>
      </c>
      <c r="C187" s="173">
        <f>B187/(60*60*24)</f>
        <v>2</v>
      </c>
      <c r="D187" s="63">
        <f>'t-LTM'!AM187</f>
        <v>-0.17382893632281318</v>
      </c>
    </row>
    <row r="188" spans="1:4" x14ac:dyDescent="0.25">
      <c r="C188" s="173"/>
    </row>
    <row r="189" spans="1:4" x14ac:dyDescent="0.25">
      <c r="A189" t="str">
        <f>'t-LTM'!B189</f>
        <v>Luh, C. W. (1922). The conditions of retention. Psychological Monographs, 31(3).</v>
      </c>
      <c r="B189">
        <f>'t-LTM'!AA189</f>
        <v>172800</v>
      </c>
      <c r="C189" s="173">
        <f>B189/(60*60*24)</f>
        <v>2</v>
      </c>
      <c r="D189" s="63">
        <f>'t-LTM'!AM189</f>
        <v>-0.34933459289627244</v>
      </c>
    </row>
    <row r="190" spans="1:4" x14ac:dyDescent="0.25">
      <c r="C190" s="173"/>
    </row>
    <row r="191" spans="1:4" x14ac:dyDescent="0.25">
      <c r="A191" t="str">
        <f>'t-LTM'!B191</f>
        <v>Luh, C. W. (1922). The conditions of retention. Psychological Monographs, 31(3).</v>
      </c>
      <c r="B191">
        <f>'t-LTM'!AA191</f>
        <v>172800</v>
      </c>
      <c r="C191" s="173">
        <f>B191/(60*60*24)</f>
        <v>2</v>
      </c>
      <c r="D191" s="63">
        <f>'t-LTM'!AM191</f>
        <v>-0.1738064470786348</v>
      </c>
    </row>
    <row r="192" spans="1:4" x14ac:dyDescent="0.25">
      <c r="C192" s="173"/>
    </row>
    <row r="193" spans="1:4" x14ac:dyDescent="0.25">
      <c r="A193" t="str">
        <f>'t-LTM'!B193</f>
        <v>Luh, C. W. (1922). The conditions of retention. Psychological Monographs, 31(3).</v>
      </c>
      <c r="B193">
        <f>'t-LTM'!AA193</f>
        <v>172800</v>
      </c>
      <c r="C193" s="173">
        <f>B193/(60*60*24)</f>
        <v>2</v>
      </c>
      <c r="D193" s="63">
        <f>'t-LTM'!AM193</f>
        <v>-0.2237324867338856</v>
      </c>
    </row>
    <row r="194" spans="1:4" x14ac:dyDescent="0.25">
      <c r="C194" s="173"/>
    </row>
    <row r="195" spans="1:4" x14ac:dyDescent="0.25">
      <c r="A195" t="str">
        <f>'t-LTM'!B195</f>
        <v>Luh, C. W. (1922). The conditions of retention. Psychological Monographs, 31(3).</v>
      </c>
      <c r="B195">
        <f>'t-LTM'!AA195</f>
        <v>172800</v>
      </c>
      <c r="C195" s="173">
        <f>B195/(60*60*24)</f>
        <v>2</v>
      </c>
      <c r="D195" s="63">
        <f>'t-LTM'!AM195</f>
        <v>-0.29046769524161198</v>
      </c>
    </row>
    <row r="196" spans="1:4" x14ac:dyDescent="0.25">
      <c r="C196" s="173"/>
    </row>
    <row r="197" spans="1:4" x14ac:dyDescent="0.25">
      <c r="A197" t="str">
        <f>'t-LTM'!B197</f>
        <v>Luh, C. W. (1922). The conditions of retention. Psychological Monographs, 31(3).</v>
      </c>
      <c r="B197">
        <f>'t-LTM'!AA197</f>
        <v>172800</v>
      </c>
      <c r="C197" s="173">
        <f>B197/(60*60*24)</f>
        <v>2</v>
      </c>
      <c r="D197" s="63">
        <f>'t-LTM'!AM197</f>
        <v>-8.2402916796141187E-2</v>
      </c>
    </row>
    <row r="198" spans="1:4" x14ac:dyDescent="0.25">
      <c r="C198" s="173"/>
    </row>
    <row r="199" spans="1:4" x14ac:dyDescent="0.25">
      <c r="A199" t="str">
        <f>'t-LTM'!B199</f>
        <v>Luh, C. W. (1922). The conditions of retention. Psychological Monographs, 31(3).</v>
      </c>
      <c r="B199">
        <f>'t-LTM'!AA199</f>
        <v>172800</v>
      </c>
      <c r="C199" s="173">
        <f>B199/(60*60*24)</f>
        <v>2</v>
      </c>
      <c r="D199" s="63">
        <f>'t-LTM'!AM199</f>
        <v>-4.4339117039679361E-2</v>
      </c>
    </row>
    <row r="200" spans="1:4" x14ac:dyDescent="0.25">
      <c r="C200" s="173"/>
    </row>
    <row r="201" spans="1:4" x14ac:dyDescent="0.25">
      <c r="A201" t="str">
        <f>'t-LTM'!B201</f>
        <v>Luh, C. W. (1922). The conditions of retention. Psychological Monographs, 31(3).</v>
      </c>
      <c r="B201">
        <f>'t-LTM'!AA201</f>
        <v>172800</v>
      </c>
      <c r="C201" s="173">
        <f>B201/(60*60*24)</f>
        <v>2</v>
      </c>
      <c r="D201" s="63">
        <f>'t-LTM'!AM201</f>
        <v>-7.7845477423216666E-2</v>
      </c>
    </row>
    <row r="202" spans="1:4" x14ac:dyDescent="0.25">
      <c r="C202" s="173"/>
    </row>
    <row r="203" spans="1:4" x14ac:dyDescent="0.25">
      <c r="A203" t="str">
        <f>'t-LTM'!B203</f>
        <v>Luh, C. W. (1922). The conditions of retention. Psychological Monographs, 31(3).</v>
      </c>
      <c r="B203">
        <f>'t-LTM'!AA203</f>
        <v>172800</v>
      </c>
      <c r="C203" s="173">
        <f>B203/(60*60*24)</f>
        <v>2</v>
      </c>
      <c r="D203" s="63">
        <f>'t-LTM'!AM203</f>
        <v>-0.17511701843707009</v>
      </c>
    </row>
    <row r="204" spans="1:4" x14ac:dyDescent="0.25">
      <c r="C204" s="173"/>
    </row>
    <row r="205" spans="1:4" x14ac:dyDescent="0.25">
      <c r="A205" t="str">
        <f>'t-LTM'!B205</f>
        <v xml:space="preserve">Mammarella, N., Farifield, B., &amp; Cornoldi, C. (2007). Reality monitoring and resistance to forgetting under short delay intervals. The Quarterly Journal of Experimental Psychology, 60(4), 551-570.
</v>
      </c>
      <c r="B205">
        <f>'t-LTM'!AA205</f>
        <v>172800</v>
      </c>
      <c r="C205" s="173">
        <f>B205/(60*60*24)</f>
        <v>2</v>
      </c>
      <c r="D205" s="63">
        <f>'t-LTM'!AM205</f>
        <v>-3.966017765075585E-2</v>
      </c>
    </row>
    <row r="206" spans="1:4" x14ac:dyDescent="0.25">
      <c r="C206" s="173"/>
    </row>
    <row r="207" spans="1:4" x14ac:dyDescent="0.25">
      <c r="A207" t="str">
        <f>'t-LTM'!B207</f>
        <v xml:space="preserve">Mammarella, N., Farifield, B., &amp; Cornoldi, C. (2007). Reality monitoring and resistance to forgetting under short delay intervals. The Quarterly Journal of Experimental Psychology, 60(4), 551-570.
</v>
      </c>
      <c r="B207">
        <f>'t-LTM'!AA207</f>
        <v>172800</v>
      </c>
      <c r="C207" s="173">
        <f>B207/(60*60*24)</f>
        <v>2</v>
      </c>
      <c r="D207" s="63">
        <f>'t-LTM'!AM207</f>
        <v>-0.10469048836856661</v>
      </c>
    </row>
    <row r="208" spans="1:4" x14ac:dyDescent="0.25">
      <c r="C208" s="173"/>
    </row>
    <row r="209" spans="1:4" x14ac:dyDescent="0.25">
      <c r="A209" t="str">
        <f>'t-LTM'!B209</f>
        <v xml:space="preserve">Mammarella, N., Farifield, B., &amp; Cornoldi, C. (2007). Reality monitoring and resistance to forgetting under short delay intervals. The Quarterly Journal of Experimental Psychology, 60(4), 551-570.
</v>
      </c>
      <c r="B209">
        <f>'t-LTM'!AA209</f>
        <v>172800</v>
      </c>
      <c r="C209" s="173">
        <f>B209/(60*60*24)</f>
        <v>2</v>
      </c>
      <c r="D209" s="63">
        <f>'t-LTM'!AM209</f>
        <v>-9.6008187041175721E-3</v>
      </c>
    </row>
    <row r="210" spans="1:4" x14ac:dyDescent="0.25">
      <c r="C210" s="173"/>
    </row>
    <row r="211" spans="1:4" x14ac:dyDescent="0.25">
      <c r="A211" t="str">
        <f>'t-LTM'!B211</f>
        <v xml:space="preserve">Mammarella, N., Farifield, B., &amp; Cornoldi, C. (2007). Reality monitoring and resistance to forgetting under short delay intervals. The Quarterly Journal of Experimental Psychology, 60(4), 551-570.
</v>
      </c>
      <c r="B211">
        <f>'t-LTM'!AA211</f>
        <v>172800</v>
      </c>
      <c r="C211" s="173">
        <f>B211/(60*60*24)</f>
        <v>2</v>
      </c>
      <c r="D211" s="63">
        <f>'t-LTM'!AM211</f>
        <v>-1.7605154868915986E-2</v>
      </c>
    </row>
    <row r="212" spans="1:4" x14ac:dyDescent="0.25">
      <c r="C212" s="173"/>
      <c r="D212" s="63"/>
    </row>
    <row r="213" spans="1:4" x14ac:dyDescent="0.25">
      <c r="A213" t="str">
        <f>'t-LTM'!B213</f>
        <v>Martin, R. C., Loring, D. W., Meador, K. J., Lee, G. P., Thrash, N., &amp; Arena, J. G. (1991). Impaired long-term retention despite normal verbal learning in patients with temporal lobe dysfunction. Neuropsychology, 5(1), 3.</v>
      </c>
      <c r="B213">
        <f>'t-LTM'!AA213</f>
        <v>86400</v>
      </c>
      <c r="C213" s="173">
        <f>B213/(60*60*24)</f>
        <v>1</v>
      </c>
      <c r="D213" s="63">
        <f>'t-LTM'!AM213</f>
        <v>-2.6620588926005297E-2</v>
      </c>
    </row>
    <row r="214" spans="1:4" x14ac:dyDescent="0.25">
      <c r="C214" s="173"/>
    </row>
    <row r="215" spans="1:4" x14ac:dyDescent="0.25">
      <c r="A215" t="str">
        <f>'t-LTM'!B215</f>
        <v>Martini, M., Martini, C., Maran, T., &amp; Sachse, P. (2018). Effects of post-encoding wakeful rest and study time on long-term memory performance. Journal of Cognitive Psychology, 30(5-6), 558-569.</v>
      </c>
      <c r="B215">
        <f>'t-LTM'!AA215</f>
        <v>604800</v>
      </c>
      <c r="C215" s="173">
        <f>B215/(60*60*24)</f>
        <v>7</v>
      </c>
      <c r="D215" s="63">
        <f>'t-LTM'!AM215</f>
        <v>-4.7866769554813511E-2</v>
      </c>
    </row>
    <row r="216" spans="1:4" x14ac:dyDescent="0.25">
      <c r="C216" s="173"/>
    </row>
    <row r="217" spans="1:4" x14ac:dyDescent="0.25">
      <c r="A217" t="str">
        <f>'t-LTM'!B217</f>
        <v>Martini, M., Martini, C., Maran, T., &amp; Sachse, P. (2018). Effects of post-encoding wakeful rest and study time on long-term memory performance. Journal of Cognitive Psychology, 30(5-6), 558-569.</v>
      </c>
      <c r="B217">
        <f>'t-LTM'!AA217</f>
        <v>604800</v>
      </c>
      <c r="C217" s="173">
        <f>B217/(60*60*24)</f>
        <v>7</v>
      </c>
      <c r="D217" s="63">
        <f>'t-LTM'!AM217</f>
        <v>-2.4665227897221281E-2</v>
      </c>
    </row>
    <row r="218" spans="1:4" x14ac:dyDescent="0.25">
      <c r="C218" s="173"/>
    </row>
    <row r="219" spans="1:4" x14ac:dyDescent="0.25">
      <c r="A219" t="str">
        <f>'t-LTM'!B219</f>
        <v>Martini, M., Martini, C., Maran, T., &amp; Sachse, P. (2018). Effects of post-encoding wakeful rest and study time on long-term memory performance. Journal of Cognitive Psychology, 30(5-6), 558-569.</v>
      </c>
      <c r="B219">
        <f>'t-LTM'!AA219</f>
        <v>604800</v>
      </c>
      <c r="C219" s="173">
        <f>B219/(60*60*24)</f>
        <v>7</v>
      </c>
      <c r="D219" s="63">
        <f>'t-LTM'!AM219</f>
        <v>-7.551750898022197E-2</v>
      </c>
    </row>
    <row r="220" spans="1:4" x14ac:dyDescent="0.25">
      <c r="C220" s="173"/>
    </row>
    <row r="221" spans="1:4" x14ac:dyDescent="0.25">
      <c r="A221" t="str">
        <f>'t-LTM'!B221</f>
        <v>Martini, M., Martini, C., Maran, T., &amp; Sachse, P. (2018). Effects of post-encoding wakeful rest and study time on long-term memory performance. Journal of Cognitive Psychology, 30(5-6), 558-569.</v>
      </c>
      <c r="B221">
        <f>'t-LTM'!AA221</f>
        <v>604800</v>
      </c>
      <c r="C221" s="173">
        <f>B221/(60*60*24)</f>
        <v>7</v>
      </c>
      <c r="D221" s="63">
        <f>'t-LTM'!AM221</f>
        <v>-4.5534825890511214E-2</v>
      </c>
    </row>
    <row r="222" spans="1:4" x14ac:dyDescent="0.25">
      <c r="C222" s="173"/>
      <c r="D222" s="63"/>
    </row>
    <row r="223" spans="1:4" x14ac:dyDescent="0.25">
      <c r="A223" t="str">
        <f>'t-LTM'!B223</f>
        <v>McKee, R. D., &amp; Squire, L. R. (1992). Equivalent forgetting rates in long-term memory for diencephalic and medial temporal lobe amnesia. Journal of Neuroscience, 12(10), 3765-3772.</v>
      </c>
      <c r="B223">
        <f>'t-LTM'!AA223</f>
        <v>111600</v>
      </c>
      <c r="C223" s="173">
        <f>B223/(60*60*24)</f>
        <v>1.2916666666666667</v>
      </c>
      <c r="D223" s="63">
        <f>'t-LTM'!AM223</f>
        <v>-4.3690147371452458E-2</v>
      </c>
    </row>
    <row r="224" spans="1:4" x14ac:dyDescent="0.25">
      <c r="C224" s="173"/>
      <c r="D224" s="63"/>
    </row>
    <row r="225" spans="1:4" x14ac:dyDescent="0.25">
      <c r="A225" t="str">
        <f>'t-LTM'!B225</f>
        <v>O'Connor, M., Sieggreen, M. A., Ahern, G., Schomer, D., &amp; Mesulam, M. (1997). Accelerated forgetting in association with temporal lobe epilepsy and paraneoplastic encephalitis. Brain and Cognition, 35(1), 71-84.</v>
      </c>
      <c r="B225">
        <f>'t-LTM'!AA225</f>
        <v>604800</v>
      </c>
      <c r="C225" s="173">
        <f>B225/(60*60*24)</f>
        <v>7</v>
      </c>
      <c r="D225" s="63">
        <f>'t-LTM'!AM225</f>
        <v>-3.8890409761290982E-2</v>
      </c>
    </row>
    <row r="226" spans="1:4" x14ac:dyDescent="0.25">
      <c r="C226" s="173"/>
    </row>
    <row r="227" spans="1:4" x14ac:dyDescent="0.25">
      <c r="A227" t="str">
        <f>'t-LTM'!B227</f>
        <v>Raymaekers, L., Otgaar, H., &amp; Smeets, T. (2014). The longevity of adaptive memory: Evidence for mnemonic advantages of survival processing 24 and 48 hours later. Memory, 22(1), 19-25.</v>
      </c>
      <c r="B227">
        <f>'t-LTM'!AA227</f>
        <v>172800</v>
      </c>
      <c r="C227" s="173">
        <f>B227/(60*60*24)</f>
        <v>2</v>
      </c>
      <c r="D227" s="63">
        <f>'t-LTM'!AM227</f>
        <v>-9.4484585895395296E-2</v>
      </c>
    </row>
    <row r="228" spans="1:4" x14ac:dyDescent="0.25">
      <c r="C228" s="173"/>
    </row>
    <row r="229" spans="1:4" x14ac:dyDescent="0.25">
      <c r="A229" t="str">
        <f>'t-LTM'!B229</f>
        <v>Raymaekers, L., Otgaar, H., &amp; Smeets, T. (2014). The longevity of adaptive memory: Evidence for mnemonic advantages of survival processing 24 and 48 hours later. Memory, 22(1), 19-25.</v>
      </c>
      <c r="B229">
        <f>'t-LTM'!AA229</f>
        <v>172800</v>
      </c>
      <c r="C229" s="173">
        <f>B229/(60*60*24)</f>
        <v>2</v>
      </c>
      <c r="D229" s="63">
        <f>'t-LTM'!AM229</f>
        <v>-9.4949048251594365E-2</v>
      </c>
    </row>
    <row r="230" spans="1:4" x14ac:dyDescent="0.25">
      <c r="C230" s="173"/>
    </row>
    <row r="231" spans="1:4" x14ac:dyDescent="0.25">
      <c r="A231" t="str">
        <f>'t-LTM'!B231</f>
        <v>Raymaekers, L., Otgaar, H., &amp; Smeets, T. (2014). The longevity of adaptive memory: Evidence for mnemonic advantages of survival processing 24 and 48 hours later. Memory, 22(1), 19-25.</v>
      </c>
      <c r="B231">
        <f>'t-LTM'!AA231</f>
        <v>172800</v>
      </c>
      <c r="C231" s="173">
        <f>B231/(60*60*24)</f>
        <v>2</v>
      </c>
      <c r="D231" s="63">
        <f>'t-LTM'!AM231</f>
        <v>-2.2398360480603421E-2</v>
      </c>
    </row>
    <row r="232" spans="1:4" x14ac:dyDescent="0.25">
      <c r="C232" s="173"/>
    </row>
    <row r="233" spans="1:4" x14ac:dyDescent="0.25">
      <c r="A233" t="str">
        <f>'t-LTM'!B233</f>
        <v>Raymaekers, L., Otgaar, H., &amp; Smeets, T. (2014). The longevity of adaptive memory: Evidence for mnemonic advantages of survival processing 24 and 48 hours later. Memory, 22(1), 19-25.</v>
      </c>
      <c r="B233">
        <f>'t-LTM'!AA233</f>
        <v>172800</v>
      </c>
      <c r="C233" s="173">
        <f>B233/(60*60*24)</f>
        <v>2</v>
      </c>
      <c r="D233" s="63">
        <f>'t-LTM'!AM233</f>
        <v>-2.8118273124892797E-2</v>
      </c>
    </row>
    <row r="234" spans="1:4" x14ac:dyDescent="0.25">
      <c r="C234" s="173"/>
    </row>
    <row r="235" spans="1:4" x14ac:dyDescent="0.25">
      <c r="A235" t="str">
        <f>'t-LTM'!B235</f>
        <v>Roediger, H., &amp; Karpicke, J. (2006). Test-Enhanced Learning: Taking Memory Tests Improves Long-Term Retention. Psychological Science, 17(3), 249-255.</v>
      </c>
      <c r="B235">
        <f>'t-LTM'!AA235</f>
        <v>604800</v>
      </c>
      <c r="C235" s="173">
        <f>B235/(60*60*24)</f>
        <v>7</v>
      </c>
      <c r="D235" s="63">
        <f>'t-LTM'!AM235</f>
        <v>-8.0944359945756023E-2</v>
      </c>
    </row>
    <row r="236" spans="1:4" x14ac:dyDescent="0.25">
      <c r="C236" s="173"/>
    </row>
    <row r="237" spans="1:4" x14ac:dyDescent="0.25">
      <c r="A237" t="str">
        <f>'t-LTM'!B237</f>
        <v>Roediger, H., &amp; Karpicke, J. (2006). Test-Enhanced Learning: Taking Memory Tests Improves Long-Term Retention. Psychological Science, 17(3), 249-255.</v>
      </c>
      <c r="B237">
        <f>'t-LTM'!AA237</f>
        <v>604800</v>
      </c>
      <c r="C237" s="173">
        <f>B237/(60*60*24)</f>
        <v>7</v>
      </c>
      <c r="D237" s="63">
        <f>'t-LTM'!AM237</f>
        <v>-3.0531369288992204E-2</v>
      </c>
    </row>
    <row r="238" spans="1:4" x14ac:dyDescent="0.25">
      <c r="C238" s="173"/>
    </row>
    <row r="239" spans="1:4" x14ac:dyDescent="0.25">
      <c r="A239" t="str">
        <f>'t-LTM'!B239</f>
        <v>Roediger, H., Weldon, M., Stadler, M., Riegler, G., &amp; Rayner, Keith. (1992). Direct Comparison of Two Implicit Memory Tests: Word Fragment and Word Stem Completion. Journal of Experimental Psychology: Learning, Memory, and Cognition, 18(6), 1251-1269.</v>
      </c>
      <c r="B239">
        <f>'t-LTM'!AA239</f>
        <v>172800</v>
      </c>
      <c r="C239" s="173">
        <f>B239/(60*60*24)</f>
        <v>2</v>
      </c>
      <c r="D239" s="63">
        <f>'t-LTM'!AM239</f>
        <v>-6.608223809561338E-3</v>
      </c>
    </row>
    <row r="240" spans="1:4" x14ac:dyDescent="0.25">
      <c r="C240" s="173"/>
    </row>
    <row r="241" spans="1:4" x14ac:dyDescent="0.25">
      <c r="A241" t="str">
        <f>'t-LTM'!B241</f>
        <v>Roediger, H., Weldon, M., Stadler, M., Riegler, G., &amp; Rayner, Keith. (1992). Direct Comparison of Two Implicit Memory Tests: Word Fragment and Word Stem Completion. Journal of Experimental Psychology: Learning, Memory, and Cognition, 18(6), 1251-1269.</v>
      </c>
      <c r="B241">
        <f>'t-LTM'!AA241</f>
        <v>172800</v>
      </c>
      <c r="C241" s="173">
        <f>B241/(60*60*24)</f>
        <v>2</v>
      </c>
      <c r="D241" s="63">
        <f>'t-LTM'!AM241</f>
        <v>-3.1675062942645014E-2</v>
      </c>
    </row>
    <row r="242" spans="1:4" x14ac:dyDescent="0.25">
      <c r="C242" s="173"/>
    </row>
    <row r="243" spans="1:4" x14ac:dyDescent="0.25">
      <c r="A243" t="str">
        <f>'t-LTM'!B243</f>
        <v>Roediger, H., Weldon, M., Stadler, M., Riegler, G., &amp; Rayner, Keith. (1992). Direct Comparison of Two Implicit Memory Tests: Word Fragment and Word Stem Completion. Journal of Experimental Psychology: Learning, Memory, and Cognition, 18(6), 1251-1269.</v>
      </c>
      <c r="B243">
        <f>'t-LTM'!AA243</f>
        <v>172800</v>
      </c>
      <c r="C243" s="173">
        <f>B243/(60*60*24)</f>
        <v>2</v>
      </c>
      <c r="D243" s="63">
        <f>'t-LTM'!AM243</f>
        <v>-1.3533791069429216E-2</v>
      </c>
    </row>
    <row r="244" spans="1:4" x14ac:dyDescent="0.25">
      <c r="C244" s="173"/>
    </row>
    <row r="245" spans="1:4" x14ac:dyDescent="0.25">
      <c r="A245" t="str">
        <f>'t-LTM'!B245</f>
        <v>Roediger, H., Weldon, M., Stadler, M., Riegler, G., &amp; Rayner, Keith. (1992). Direct Comparison of Two Implicit Memory Tests: Word Fragment and Word Stem Completion. Journal of Experimental Psychology: Learning, Memory, and Cognition, 18(6), 1251-1269.</v>
      </c>
      <c r="B245">
        <f>'t-LTM'!AA245</f>
        <v>604800</v>
      </c>
      <c r="C245" s="173">
        <f>B245/(60*60*24)</f>
        <v>7</v>
      </c>
      <c r="D245" s="63">
        <f>'t-LTM'!AM245</f>
        <v>-1.3158155476526311E-3</v>
      </c>
    </row>
    <row r="246" spans="1:4" x14ac:dyDescent="0.25">
      <c r="C246" s="173"/>
    </row>
    <row r="247" spans="1:4" x14ac:dyDescent="0.25">
      <c r="A247" t="str">
        <f>'t-LTM'!B247</f>
        <v>Roediger, H., Weldon, M., Stadler, M., Riegler, G., &amp; Rayner, Keith. (1992). Direct Comparison of Two Implicit Memory Tests: Word Fragment and Word Stem Completion. Journal of Experimental Psychology: Learning, Memory, and Cognition, 18(6), 1251-1269.</v>
      </c>
      <c r="B247">
        <f>'t-LTM'!AA247</f>
        <v>604800</v>
      </c>
      <c r="C247" s="173">
        <f>B247/(60*60*24)</f>
        <v>7</v>
      </c>
      <c r="D247" s="63">
        <f>'t-LTM'!AM247</f>
        <v>-3.6202616039798775E-2</v>
      </c>
    </row>
    <row r="248" spans="1:4" x14ac:dyDescent="0.25">
      <c r="C248" s="173"/>
    </row>
    <row r="249" spans="1:4" x14ac:dyDescent="0.25">
      <c r="A249" t="str">
        <f>'t-LTM'!B249</f>
        <v>Roediger, H., Weldon, M., Stadler, M., Riegler, G., &amp; Rayner, Keith. (1992). Direct Comparison of Two Implicit Memory Tests: Word Fragment and Word Stem Completion. Journal of Experimental Psychology: Learning, Memory, and Cognition, 18(6), 1251-1269.</v>
      </c>
      <c r="B249">
        <f>'t-LTM'!AA249</f>
        <v>604800</v>
      </c>
      <c r="C249" s="173">
        <f>B249/(60*60*24)</f>
        <v>7</v>
      </c>
      <c r="D249" s="63">
        <f>'t-LTM'!AM249</f>
        <v>-3.5544064179208461E-2</v>
      </c>
    </row>
    <row r="250" spans="1:4" x14ac:dyDescent="0.25">
      <c r="C250" s="173"/>
    </row>
    <row r="251" spans="1:4" x14ac:dyDescent="0.25">
      <c r="A251" t="str">
        <f>'t-LTM'!B251</f>
        <v>Roediger, H., Weldon, M., Stadler, M., Riegler, G., &amp; Rayner, Keith. (1992). Direct Comparison of Two Implicit Memory Tests: Word Fragment and Word Stem Completion. Journal of Experimental Psychology: Learning, Memory, and Cognition, 18(6), 1251-1269.</v>
      </c>
      <c r="B251">
        <f>'t-LTM'!AA251</f>
        <v>604800</v>
      </c>
      <c r="C251" s="173">
        <f>B251/(60*60*24)</f>
        <v>7</v>
      </c>
      <c r="D251" s="63">
        <f>'t-LTM'!AM251</f>
        <v>-6.6988517765718E-2</v>
      </c>
    </row>
    <row r="252" spans="1:4" x14ac:dyDescent="0.25">
      <c r="C252" s="173"/>
    </row>
    <row r="253" spans="1:4" x14ac:dyDescent="0.25">
      <c r="A253" t="str">
        <f>'t-LTM'!B253</f>
        <v>Slamecka, Norman J., &amp; McElree, Brian. (1983). Normal Forgetting of Verbal Lists as a Function of Their Degree of Learning. Journal of Experimental Psychology: Learning, Memory, and Cognition, 9(3), 384-97.</v>
      </c>
      <c r="B253">
        <f>'t-LTM'!AA253</f>
        <v>432000</v>
      </c>
      <c r="C253" s="173">
        <f>B253/(60*60*24)</f>
        <v>5</v>
      </c>
      <c r="D253" s="63">
        <f>'t-LTM'!AM253</f>
        <v>-4.7047267276957058E-2</v>
      </c>
    </row>
    <row r="254" spans="1:4" x14ac:dyDescent="0.25">
      <c r="C254" s="173"/>
    </row>
    <row r="255" spans="1:4" x14ac:dyDescent="0.25">
      <c r="A255" t="str">
        <f>'t-LTM'!B255</f>
        <v>Slamecka, Norman J., &amp; McElree, Brian. (1983). Normal Forgetting of Verbal Lists as a Function of Their Degree of Learning. Journal of Experimental Psychology: Learning, Memory, and Cognition, 9(3), 384-97.</v>
      </c>
      <c r="B255">
        <f>'t-LTM'!AA255</f>
        <v>432000</v>
      </c>
      <c r="C255" s="173">
        <f>B255/(60*60*24)</f>
        <v>5</v>
      </c>
      <c r="D255" s="63">
        <f>'t-LTM'!AM255</f>
        <v>-4.916106488143767E-2</v>
      </c>
    </row>
    <row r="256" spans="1:4" x14ac:dyDescent="0.25">
      <c r="C256" s="173"/>
    </row>
    <row r="257" spans="1:4" x14ac:dyDescent="0.25">
      <c r="A257" t="str">
        <f>'t-LTM'!B257</f>
        <v>Slamecka, Norman J., &amp; McElree, Brian. (1983). Normal Forgetting of Verbal Lists as a Function of Their Degree of Learning. Journal of Experimental Psychology: Learning, Memory, and Cognition, 9(3), 384-97.</v>
      </c>
      <c r="B257">
        <f>'t-LTM'!AA257</f>
        <v>432000</v>
      </c>
      <c r="C257" s="173">
        <f>B257/(60*60*24)</f>
        <v>5</v>
      </c>
      <c r="D257" s="63">
        <f>'t-LTM'!AM257</f>
        <v>-2.1626797899197983E-2</v>
      </c>
    </row>
    <row r="258" spans="1:4" x14ac:dyDescent="0.25">
      <c r="C258" s="173"/>
    </row>
    <row r="259" spans="1:4" x14ac:dyDescent="0.25">
      <c r="A259" t="str">
        <f>'t-LTM'!B259</f>
        <v>Slamecka, Norman J., &amp; McElree, Brian. (1983). Normal Forgetting of Verbal Lists as a Function of Their Degree of Learning. Journal of Experimental Psychology: Learning, Memory, and Cognition, 9(3), 384-97.</v>
      </c>
      <c r="B259">
        <f>'t-LTM'!AA259</f>
        <v>432000</v>
      </c>
      <c r="C259" s="173">
        <f>B259/(60*60*24)</f>
        <v>5</v>
      </c>
      <c r="D259" s="63">
        <f>'t-LTM'!AM259</f>
        <v>-4.5522882976467553E-2</v>
      </c>
    </row>
    <row r="260" spans="1:4" x14ac:dyDescent="0.25">
      <c r="C260" s="173"/>
    </row>
    <row r="261" spans="1:4" x14ac:dyDescent="0.25">
      <c r="A261" t="str">
        <f>'t-LTM'!B261</f>
        <v>Slamecka, Norman J., &amp; McElree, Brian. (1983). Normal Forgetting of Verbal Lists as a Function of Their Degree of Learning. Journal of Experimental Psychology: Learning, Memory, and Cognition, 9(3), 384-97.</v>
      </c>
      <c r="B261">
        <f>'t-LTM'!AA261</f>
        <v>432000</v>
      </c>
      <c r="C261" s="173">
        <f>B261/(60*60*24)</f>
        <v>5</v>
      </c>
      <c r="D261" s="63">
        <f>'t-LTM'!AM261</f>
        <v>-7.4195209043765004E-2</v>
      </c>
    </row>
    <row r="262" spans="1:4" x14ac:dyDescent="0.25">
      <c r="C262" s="173"/>
    </row>
    <row r="263" spans="1:4" x14ac:dyDescent="0.25">
      <c r="A263" t="str">
        <f>'t-LTM'!B263</f>
        <v>Slamecka, Norman J., &amp; McElree, Brian. (1983). Normal Forgetting of Verbal Lists as a Function of Their Degree of Learning. Journal of Experimental Psychology: Learning, Memory, and Cognition, 9(3), 384-97.</v>
      </c>
      <c r="B263">
        <f>'t-LTM'!AA263</f>
        <v>432000</v>
      </c>
      <c r="C263" s="173">
        <f>B263/(60*60*24)</f>
        <v>5</v>
      </c>
      <c r="D263" s="63">
        <f>'t-LTM'!AM263</f>
        <v>-0.11448742767495147</v>
      </c>
    </row>
    <row r="264" spans="1:4" x14ac:dyDescent="0.25">
      <c r="C264" s="173"/>
    </row>
    <row r="265" spans="1:4" x14ac:dyDescent="0.25">
      <c r="A265" t="str">
        <f>'t-LTM'!B265</f>
        <v>Slamecka, Norman J., &amp; McElree, Brian. (1983). Normal Forgetting of Verbal Lists as a Function of Their Degree of Learning. Journal of Experimental Psychology: Learning, Memory, and Cognition, 9(3), 384-97.</v>
      </c>
      <c r="B265">
        <f>'t-LTM'!AA265</f>
        <v>432000</v>
      </c>
      <c r="C265" s="173">
        <f>B265/(60*60*24)</f>
        <v>5</v>
      </c>
      <c r="D265" s="63">
        <f>'t-LTM'!AM265</f>
        <v>-3.0297082499087184E-2</v>
      </c>
    </row>
    <row r="266" spans="1:4" x14ac:dyDescent="0.25">
      <c r="C266" s="173"/>
    </row>
    <row r="267" spans="1:4" x14ac:dyDescent="0.25">
      <c r="A267" t="str">
        <f>'t-LTM'!B267</f>
        <v>Slamecka, Norman J., &amp; McElree, Brian. (1983). Normal Forgetting of Verbal Lists as a Function of Their Degree of Learning. Journal of Experimental Psychology: Learning, Memory, and Cognition, 9(3), 384-97.</v>
      </c>
      <c r="B267">
        <f>'t-LTM'!AA267</f>
        <v>432000</v>
      </c>
      <c r="C267" s="173">
        <f>B267/(60*60*24)</f>
        <v>5</v>
      </c>
      <c r="D267" s="63">
        <f>'t-LTM'!AM267</f>
        <v>-6.296850928148294E-2</v>
      </c>
    </row>
    <row r="268" spans="1:4" x14ac:dyDescent="0.25">
      <c r="C268" s="173"/>
    </row>
    <row r="269" spans="1:4" x14ac:dyDescent="0.25">
      <c r="A269" t="str">
        <f>'t-LTM'!B269</f>
        <v>Slamecka, Norman J., &amp; McElree, Brian. (1983). Normal Forgetting of Verbal Lists as a Function of Their Degree of Learning. Journal of Experimental Psychology: Learning, Memory, and Cognition, 9(3), 384-97.</v>
      </c>
      <c r="B269">
        <f>'t-LTM'!AA269</f>
        <v>432000</v>
      </c>
      <c r="C269" s="173">
        <f>B269/(60*60*24)</f>
        <v>5</v>
      </c>
      <c r="D269" s="63">
        <f>'t-LTM'!AM269</f>
        <v>-0.11857085286319295</v>
      </c>
    </row>
    <row r="270" spans="1:4" x14ac:dyDescent="0.25">
      <c r="C270" s="173"/>
    </row>
    <row r="271" spans="1:4" x14ac:dyDescent="0.25">
      <c r="A271" t="str">
        <f>'t-LTM'!B271</f>
        <v>Slamecka, Norman J., &amp; McElree, Brian. (1983). Normal Forgetting of Verbal Lists as a Function of Their Degree of Learning. Journal of Experimental Psychology: Learning, Memory, and Cognition, 9(3), 384-97.</v>
      </c>
      <c r="B271">
        <f>'t-LTM'!AA271</f>
        <v>432000</v>
      </c>
      <c r="C271" s="173">
        <f>B271/(60*60*24)</f>
        <v>5</v>
      </c>
      <c r="D271" s="63">
        <f>'t-LTM'!AM271</f>
        <v>-0.17689204805834827</v>
      </c>
    </row>
    <row r="272" spans="1:4" x14ac:dyDescent="0.25">
      <c r="C272" s="173"/>
    </row>
    <row r="273" spans="1:4" x14ac:dyDescent="0.25">
      <c r="A273" t="str">
        <f>'t-LTM'!B273</f>
        <v>Squire, Shimamura, &amp; Graf. (1987). Strength and duration of priming effects in normal subjects and amnesic patients. Neuropsychologia, 25(1), 195-210.</v>
      </c>
      <c r="B273">
        <f>'t-LTM'!AA273</f>
        <v>345600</v>
      </c>
      <c r="C273" s="173">
        <f>B273/(60*60*24)</f>
        <v>4</v>
      </c>
      <c r="D273" s="63">
        <f>'t-LTM'!AM273</f>
        <v>-0.12584385151476263</v>
      </c>
    </row>
    <row r="274" spans="1:4" x14ac:dyDescent="0.25">
      <c r="C274" s="173"/>
    </row>
    <row r="275" spans="1:4" x14ac:dyDescent="0.25">
      <c r="A275" t="str">
        <f>'t-LTM'!B275</f>
        <v>Squire, Shimamura, &amp; Graf. (1987). Strength and duration of priming effects in normal subjects and amnesic patients. Neuropsychologia, 25(1), 195-210.</v>
      </c>
      <c r="B275">
        <f>'t-LTM'!AA275</f>
        <v>345600</v>
      </c>
      <c r="C275" s="173">
        <f>B275/(60*60*24)</f>
        <v>4</v>
      </c>
      <c r="D275" s="63">
        <f>'t-LTM'!AM275</f>
        <v>-1.3421737689918316E-2</v>
      </c>
    </row>
    <row r="276" spans="1:4" x14ac:dyDescent="0.25">
      <c r="C276" s="173"/>
    </row>
    <row r="277" spans="1:4" x14ac:dyDescent="0.25">
      <c r="A277" t="str">
        <f>'t-LTM'!B277</f>
        <v>Squire, Shimamura, &amp; Graf. (1987). Strength and duration of priming effects in normal subjects and amnesic patients. Neuropsychologia, 25(1), 195-210.</v>
      </c>
      <c r="B277">
        <f>'t-LTM'!AA277</f>
        <v>345600</v>
      </c>
      <c r="C277" s="173">
        <f>B277/(60*60*24)</f>
        <v>4</v>
      </c>
      <c r="D277" s="63">
        <f>'t-LTM'!AM277</f>
        <v>-3.9822798515654179E-2</v>
      </c>
    </row>
    <row r="278" spans="1:4" x14ac:dyDescent="0.25">
      <c r="C278" s="173"/>
    </row>
    <row r="279" spans="1:4" x14ac:dyDescent="0.25">
      <c r="A279" t="str">
        <f>'t-LTM'!B279</f>
        <v>Squire, Shimamura, &amp; Graf. (1987). Strength and duration of priming effects in normal subjects and amnesic patients. Neuropsychologia, 25(1), 195-210.</v>
      </c>
      <c r="B279">
        <f>'t-LTM'!AA279</f>
        <v>345600</v>
      </c>
      <c r="C279" s="173">
        <f>B279/(60*60*24)</f>
        <v>4</v>
      </c>
      <c r="D279" s="63">
        <f>'t-LTM'!AM279</f>
        <v>-3.1740126568580003E-2</v>
      </c>
    </row>
    <row r="280" spans="1:4" x14ac:dyDescent="0.25">
      <c r="C280" s="173"/>
    </row>
    <row r="281" spans="1:4" x14ac:dyDescent="0.25">
      <c r="A281" t="str">
        <f>'t-LTM'!B281</f>
        <v>Squire, Shimamura, &amp; Graf. (1987). Strength and duration of priming effects in normal subjects and amnesic patients. Neuropsychologia, 25(1), 195-210.</v>
      </c>
      <c r="B281">
        <f>'t-LTM'!AA281</f>
        <v>345600</v>
      </c>
      <c r="C281" s="173">
        <f>B281/(60*60*24)</f>
        <v>4</v>
      </c>
      <c r="D281" s="63">
        <f>'t-LTM'!AM281</f>
        <v>-1.5841644314709771E-2</v>
      </c>
    </row>
    <row r="282" spans="1:4" x14ac:dyDescent="0.25">
      <c r="C282" s="173"/>
    </row>
    <row r="283" spans="1:4" x14ac:dyDescent="0.25">
      <c r="A283" t="str">
        <f>'t-LTM'!B283</f>
        <v>Squire, Shimamura, &amp; Graf. (1987). Strength and duration of priming effects in normal subjects and amnesic patients. Neuropsychologia, 25(1), 195-210.</v>
      </c>
      <c r="B283">
        <f>'t-LTM'!AA283</f>
        <v>345600</v>
      </c>
      <c r="C283" s="173">
        <f>B283/(60*60*24)</f>
        <v>4</v>
      </c>
      <c r="D283" s="63">
        <f>'t-LTM'!AM283</f>
        <v>-7.4565124405694197E-3</v>
      </c>
    </row>
    <row r="284" spans="1:4" x14ac:dyDescent="0.25">
      <c r="C284" s="173"/>
    </row>
    <row r="285" spans="1:4" x14ac:dyDescent="0.25">
      <c r="A285" t="str">
        <f>'t-LTM'!B285</f>
        <v>Squire, Shimamura, &amp; Graf. (1987). Strength and duration of priming effects in normal subjects and amnesic patients. Neuropsychologia, 25(1), 195-210.</v>
      </c>
      <c r="B285">
        <f>'t-LTM'!AA285</f>
        <v>345600</v>
      </c>
      <c r="C285" s="173">
        <f>B285/(60*60*24)</f>
        <v>4</v>
      </c>
      <c r="D285" s="63">
        <f>'t-LTM'!AM285</f>
        <v>-3.4003689699636484E-2</v>
      </c>
    </row>
    <row r="286" spans="1:4" x14ac:dyDescent="0.25">
      <c r="C286" s="173"/>
    </row>
    <row r="287" spans="1:4" x14ac:dyDescent="0.25">
      <c r="A287" t="str">
        <f>'t-LTM'!B287</f>
        <v>Squire, Shimamura, &amp; Graf. (1987). Strength and duration of priming effects in normal subjects and amnesic patients. Neuropsychologia, 25(1), 195-210.</v>
      </c>
      <c r="B287">
        <f>'t-LTM'!AA287</f>
        <v>345600</v>
      </c>
      <c r="C287" s="173">
        <f>B287/(60*60*24)</f>
        <v>4</v>
      </c>
      <c r="D287" s="63">
        <f>'t-LTM'!AM287</f>
        <v>-4.7770438890395409E-2</v>
      </c>
    </row>
    <row r="288" spans="1:4" x14ac:dyDescent="0.25">
      <c r="C288" s="173"/>
    </row>
    <row r="289" spans="1:4" x14ac:dyDescent="0.25">
      <c r="A289" t="str">
        <f>'t-LTM'!B289</f>
        <v>Squire, Shimamura, &amp; Graf. (1987). Strength and duration of priming effects in normal subjects and amnesic patients. Neuropsychologia, 25(1), 195-210.</v>
      </c>
      <c r="B289">
        <f>'t-LTM'!AA289</f>
        <v>345600</v>
      </c>
      <c r="C289" s="173">
        <f>B289/(60*60*24)</f>
        <v>4</v>
      </c>
      <c r="D289" s="63">
        <f>'t-LTM'!AM289</f>
        <v>-1.0317972422053043E-2</v>
      </c>
    </row>
    <row r="290" spans="1:4" x14ac:dyDescent="0.25">
      <c r="C290" s="173"/>
    </row>
    <row r="291" spans="1:4" x14ac:dyDescent="0.25">
      <c r="A291" t="str">
        <f>'t-LTM'!B291</f>
        <v>Squire, Shimamura, &amp; Graf. (1987). Strength and duration of priming effects in normal subjects and amnesic patients. Neuropsychologia, 25(1), 195-210.</v>
      </c>
      <c r="B291">
        <f>'t-LTM'!AA291</f>
        <v>345600</v>
      </c>
      <c r="C291" s="173">
        <f>B291/(60*60*24)</f>
        <v>4</v>
      </c>
      <c r="D291" s="63">
        <f>'t-LTM'!AM291</f>
        <v>-1.4681956713335026E-2</v>
      </c>
    </row>
    <row r="292" spans="1:4" x14ac:dyDescent="0.25">
      <c r="C292" s="173"/>
    </row>
    <row r="293" spans="1:4" x14ac:dyDescent="0.25">
      <c r="A293" t="str">
        <f>'t-LTM'!B293</f>
        <v>Staugaard, S. R., &amp; Berntsen, D. (2019). Retrieval intentionality and forgetting: How retention time and cue distinctiveness affect involuntary and voluntary retrieval of episodic memories. Memory &amp; Cognition, 47(5), 893-905.</v>
      </c>
      <c r="B293">
        <f>'t-LTM'!AA293</f>
        <v>604800</v>
      </c>
      <c r="C293" s="173">
        <f>B293/(60*60*24)</f>
        <v>7</v>
      </c>
      <c r="D293" s="63">
        <f>'t-LTM'!AM293</f>
        <v>-9.8177891377105322E-2</v>
      </c>
    </row>
    <row r="294" spans="1:4" x14ac:dyDescent="0.25">
      <c r="C294" s="173"/>
    </row>
    <row r="295" spans="1:4" x14ac:dyDescent="0.25">
      <c r="A295" t="str">
        <f>'t-LTM'!B295</f>
        <v>Staugaard, S. R., &amp; Berntsen, D. (2019). Retrieval intentionality and forgetting: How retention time and cue distinctiveness affect involuntary and voluntary retrieval of episodic memories. Memory &amp; Cognition, 47(5), 893-905.</v>
      </c>
      <c r="B295">
        <f>'t-LTM'!AA295</f>
        <v>604800</v>
      </c>
      <c r="C295" s="173">
        <f>B295/(60*60*24)</f>
        <v>7</v>
      </c>
      <c r="D295" s="63">
        <f>'t-LTM'!AM295</f>
        <v>-7.3823643817259518E-2</v>
      </c>
    </row>
    <row r="296" spans="1:4" x14ac:dyDescent="0.25">
      <c r="C296" s="173"/>
    </row>
    <row r="297" spans="1:4" x14ac:dyDescent="0.25">
      <c r="A297" t="str">
        <f>'t-LTM'!B297</f>
        <v>Staugaard, S. R., &amp; Berntsen, D. (2019). Retrieval intentionality and forgetting: How retention time and cue distinctiveness affect involuntary and voluntary retrieval of episodic memories. Memory &amp; Cognition, 47(5), 893-905.</v>
      </c>
      <c r="B297">
        <f>'t-LTM'!AA297</f>
        <v>604800</v>
      </c>
      <c r="C297" s="173">
        <f>B297/(60*60*24)</f>
        <v>7</v>
      </c>
      <c r="D297" s="63">
        <f>'t-LTM'!AM297</f>
        <v>-0.11908045800848456</v>
      </c>
    </row>
    <row r="298" spans="1:4" x14ac:dyDescent="0.25">
      <c r="C298" s="173"/>
    </row>
    <row r="299" spans="1:4" x14ac:dyDescent="0.25">
      <c r="A299" t="str">
        <f>'t-LTM'!B299</f>
        <v>Staugaard, S. R., &amp; Berntsen, D. (2019). Retrieval intentionality and forgetting: How retention time and cue distinctiveness affect involuntary and voluntary retrieval of episodic memories. Memory &amp; Cognition, 47(5), 893-905.</v>
      </c>
      <c r="B299">
        <f>'t-LTM'!AA299</f>
        <v>604800</v>
      </c>
      <c r="C299" s="173">
        <f>B299/(60*60*24)</f>
        <v>7</v>
      </c>
      <c r="D299" s="63">
        <f>'t-LTM'!AM299</f>
        <v>-7.1014336815257609E-2</v>
      </c>
    </row>
    <row r="300" spans="1:4" x14ac:dyDescent="0.25">
      <c r="C300" s="173"/>
    </row>
    <row r="301" spans="1:4" x14ac:dyDescent="0.25">
      <c r="A301" t="str">
        <f>'t-LTM'!B301</f>
        <v>Thapar, A., &amp; McDermott, K. (2001). False recall and false recognition induced by presentation of associated words: Effects of retention interval and level of processing. Memory &amp; Cognition, 29(3), 424-432.</v>
      </c>
      <c r="B301">
        <f>'t-LTM'!AA301</f>
        <v>604800</v>
      </c>
      <c r="C301" s="173">
        <f>B301/(60*60*24)</f>
        <v>7</v>
      </c>
      <c r="D301" s="63">
        <f>'t-LTM'!AM301</f>
        <v>-0.19722711496947865</v>
      </c>
    </row>
    <row r="302" spans="1:4" x14ac:dyDescent="0.25">
      <c r="C302" s="173"/>
    </row>
    <row r="303" spans="1:4" x14ac:dyDescent="0.25">
      <c r="A303" t="str">
        <f>'t-LTM'!B303</f>
        <v>Thapar, A., &amp; McDermott, K. (2001). False recall and false recognition induced by presentation of associated words: Effects of retention interval and level of processing. Memory &amp; Cognition, 29(3), 424-432.</v>
      </c>
      <c r="B303">
        <f>'t-LTM'!AA303</f>
        <v>604800</v>
      </c>
      <c r="C303" s="173">
        <f>B303/(60*60*24)</f>
        <v>7</v>
      </c>
      <c r="D303" s="63">
        <f>'t-LTM'!AM303</f>
        <v>-0.16859943924419532</v>
      </c>
    </row>
    <row r="304" spans="1:4" x14ac:dyDescent="0.25">
      <c r="C304" s="173"/>
    </row>
    <row r="305" spans="1:4" x14ac:dyDescent="0.25">
      <c r="A305" t="str">
        <f>'t-LTM'!B305</f>
        <v>Thapar, A., &amp; McDermott, K. (2001). False recall and false recognition induced by presentation of associated words: Effects of retention interval and level of processing. Memory &amp; Cognition, 29(3), 424-432.</v>
      </c>
      <c r="B305">
        <f>'t-LTM'!AA305</f>
        <v>604800</v>
      </c>
      <c r="C305" s="173">
        <f>B305/(60*60*24)</f>
        <v>7</v>
      </c>
      <c r="D305" s="63">
        <f>'t-LTM'!AM305</f>
        <v>-2.5176675462957005E-2</v>
      </c>
    </row>
    <row r="306" spans="1:4" x14ac:dyDescent="0.25">
      <c r="C306" s="173"/>
      <c r="D306" s="63"/>
    </row>
    <row r="307" spans="1:4" x14ac:dyDescent="0.25">
      <c r="A307" t="str">
        <f>'t-LTM'!B307</f>
        <v>van der Werf, S. P., Geurts, S., &amp; de Werd, M. M. (2016). Subjective memory ability and long-term forgetting in patients referred for neuropsychological assessment. Frontiers in psychology, 7, 605.</v>
      </c>
      <c r="B307">
        <f>'t-LTM'!AA307</f>
        <v>604800</v>
      </c>
      <c r="C307" s="173">
        <f>B307/(60*60*24)</f>
        <v>7</v>
      </c>
      <c r="D307" s="63">
        <f>'t-LTM'!AM307</f>
        <v>-9.3458227671608676E-2</v>
      </c>
    </row>
    <row r="308" spans="1:4" x14ac:dyDescent="0.25">
      <c r="C308" s="173"/>
    </row>
    <row r="309" spans="1:4" x14ac:dyDescent="0.25">
      <c r="A309" t="str">
        <f>'t-LTM'!B309</f>
        <v xml:space="preserve">Walker, E. L., &amp; Tarte, R. D. (1963). Memory storage as a function of arousal and time with homogeneous and heterogeneous lists. Journal of Verbal Learning and Verbal Behavior, 2, 113-119.
</v>
      </c>
      <c r="B309">
        <f>'t-LTM'!AA309</f>
        <v>604800</v>
      </c>
      <c r="C309" s="173">
        <f>B309/(60*60*24)</f>
        <v>7</v>
      </c>
      <c r="D309" s="63">
        <f>'t-LTM'!AM309</f>
        <v>-1.090706295659986E-2</v>
      </c>
    </row>
    <row r="310" spans="1:4" x14ac:dyDescent="0.25">
      <c r="C310" s="173"/>
    </row>
    <row r="311" spans="1:4" x14ac:dyDescent="0.25">
      <c r="A311" t="str">
        <f>'t-LTM'!B311</f>
        <v xml:space="preserve">Walker, E. L., &amp; Tarte, R. D. (1963). Memory storage as a function of arousal and time with homogeneous and heterogeneous lists. Journal of Verbal Learning and Verbal Behavior, 2, 113-119.
</v>
      </c>
      <c r="B311">
        <f>'t-LTM'!AA311</f>
        <v>604800</v>
      </c>
      <c r="C311" s="173">
        <f>B311/(60*60*24)</f>
        <v>7</v>
      </c>
      <c r="D311" s="63">
        <f>'t-LTM'!AM311</f>
        <v>-3.0277747890690047E-2</v>
      </c>
    </row>
    <row r="312" spans="1:4" x14ac:dyDescent="0.25">
      <c r="C312" s="173"/>
    </row>
    <row r="313" spans="1:4" x14ac:dyDescent="0.25">
      <c r="A313" t="str">
        <f>'t-LTM'!B313</f>
        <v xml:space="preserve">Walker, E. L., &amp; Tarte, R. D. (1963). Memory storage as a function of arousal and time with homogeneous and heterogeneous lists. Journal of Verbal Learning and Verbal Behavior, 2, 113-119.
</v>
      </c>
      <c r="B313">
        <f>'t-LTM'!AA313</f>
        <v>604800</v>
      </c>
      <c r="C313" s="173">
        <f>B313/(60*60*24)</f>
        <v>7</v>
      </c>
      <c r="D313" s="63">
        <f>'t-LTM'!AM313</f>
        <v>-0.12067418459226069</v>
      </c>
    </row>
    <row r="314" spans="1:4" x14ac:dyDescent="0.25">
      <c r="C314" s="173"/>
    </row>
    <row r="315" spans="1:4" x14ac:dyDescent="0.25">
      <c r="A315" t="str">
        <f>'t-LTM'!B315</f>
        <v>Wylie, M. (1926). Recognition of Chinese Symbols. The American Journal of Psychology, 37(2), 224-232.</v>
      </c>
      <c r="B315">
        <f>'t-LTM'!AA315</f>
        <v>172800</v>
      </c>
      <c r="C315" s="173">
        <f>B315/(60*60*24)</f>
        <v>2</v>
      </c>
      <c r="D315" s="63">
        <f>'t-LTM'!AM315</f>
        <v>-2.4153167525071149E-2</v>
      </c>
    </row>
    <row r="316" spans="1:4" x14ac:dyDescent="0.25">
      <c r="C316" s="173"/>
    </row>
    <row r="317" spans="1:4" x14ac:dyDescent="0.25">
      <c r="A317" t="str">
        <f>'t-LTM'!B317</f>
        <v>Wylie, M. (1926). Recognition of Chinese Symbols. The American Journal of Psychology, 37(2), 224-232.</v>
      </c>
      <c r="B317">
        <f>'t-LTM'!AA317</f>
        <v>172800</v>
      </c>
      <c r="C317" s="173">
        <f>B317/(60*60*24)</f>
        <v>2</v>
      </c>
      <c r="D317" s="63">
        <f>'t-LTM'!AM317</f>
        <v>-1.2359592810696339E-2</v>
      </c>
    </row>
    <row r="318" spans="1:4" x14ac:dyDescent="0.25">
      <c r="C318" s="173"/>
    </row>
    <row r="319" spans="1:4" x14ac:dyDescent="0.25">
      <c r="A319" t="str">
        <f>'t-LTM'!B319</f>
        <v>Wylie, M. (1926). Recognition of Chinese Symbols. The American Journal of Psychology, 37(2), 224-232.</v>
      </c>
      <c r="B319">
        <f>'t-LTM'!AA319</f>
        <v>172800</v>
      </c>
      <c r="C319" s="173">
        <f>B319/(60*60*24)</f>
        <v>2</v>
      </c>
      <c r="D319" s="63">
        <f>'t-LTM'!AM319</f>
        <v>-4.1988415964167311E-3</v>
      </c>
    </row>
    <row r="320" spans="1:4" x14ac:dyDescent="0.25">
      <c r="C320" s="173"/>
    </row>
    <row r="321" spans="1:4" x14ac:dyDescent="0.25">
      <c r="A321" t="str">
        <f>'t-LTM'!B321</f>
        <v>Wylie, M. (1926). Recognition of Chinese Symbols. The American Journal of Psychology, 37(2), 224-232.</v>
      </c>
      <c r="B321">
        <f>'t-LTM'!AA321</f>
        <v>172800</v>
      </c>
      <c r="C321" s="173">
        <f>B321/(60*60*24)</f>
        <v>2</v>
      </c>
      <c r="D321" s="63">
        <f>'t-LTM'!AM321</f>
        <v>-2.8441587524971786E-2</v>
      </c>
    </row>
    <row r="322" spans="1:4" x14ac:dyDescent="0.25">
      <c r="C322" s="173"/>
    </row>
    <row r="323" spans="1:4" x14ac:dyDescent="0.25">
      <c r="A323" t="str">
        <f>'t-LTM'!B323</f>
        <v>Yarmey, A. D., Yarmey, M. J., &amp; Yarmey, A. L. (1996). Accuracy of eyewitness identifications in showups and lineups. Law and Human Behavior, 20, 459–477</v>
      </c>
      <c r="B323">
        <f>'t-LTM'!AA323</f>
        <v>86400</v>
      </c>
      <c r="C323" s="173">
        <f>B323/(60*60*24)</f>
        <v>1</v>
      </c>
      <c r="D323" s="63">
        <f>'t-LTM'!AM323</f>
        <v>-7.2022222805653915E-2</v>
      </c>
    </row>
    <row r="324" spans="1:4" x14ac:dyDescent="0.25">
      <c r="C324" s="173"/>
    </row>
    <row r="325" spans="1:4" x14ac:dyDescent="0.25">
      <c r="A325" t="str">
        <f>'t-LTM'!B325</f>
        <v>Yarmey, A. D., Yarmey, M. J., &amp; Yarmey, A. L. (1996). Accuracy of eyewitness identifications in showups and lineups. Law and Human Behavior, 20, 459–477</v>
      </c>
      <c r="B325">
        <f>'t-LTM'!AA325</f>
        <v>86400</v>
      </c>
      <c r="C325" s="173">
        <f>B325/(60*60*24)</f>
        <v>1</v>
      </c>
      <c r="D325" s="63">
        <f>'t-LTM'!AM325</f>
        <v>-5.7039541277365886E-2</v>
      </c>
    </row>
    <row r="326" spans="1:4" x14ac:dyDescent="0.25">
      <c r="C326" s="173"/>
    </row>
    <row r="327" spans="1:4" x14ac:dyDescent="0.25">
      <c r="A327" t="str">
        <f>'t-LTM'!B327</f>
        <v>Yarmey, A. D., Yarmey, M. J., &amp; Yarmey, A. L. (1996). Accuracy of eyewitness identifications in showups and lineups. Law and Human Behavior, 20, 459–477</v>
      </c>
      <c r="B327">
        <f>'t-LTM'!AA327</f>
        <v>86400</v>
      </c>
      <c r="C327" s="173">
        <f>B327/(60*60*24)</f>
        <v>1</v>
      </c>
      <c r="D327" s="63">
        <f>'t-LTM'!AM327</f>
        <v>-1.4436401050226736E-2</v>
      </c>
    </row>
    <row r="328" spans="1:4" x14ac:dyDescent="0.25">
      <c r="C328" s="173"/>
    </row>
    <row r="329" spans="1:4" x14ac:dyDescent="0.25">
      <c r="A329" t="str">
        <f>'t-LTM'!B329</f>
        <v>Yarmey, A. D., Yarmey, M. J., &amp; Yarmey, A. L. (1996). Accuracy of eyewitness identifications in showups and lineups. Law and Human Behavior, 20, 459–477</v>
      </c>
      <c r="B329">
        <f>'t-LTM'!AA329</f>
        <v>86400</v>
      </c>
      <c r="C329" s="173">
        <f>B329/(60*60*24)</f>
        <v>1</v>
      </c>
      <c r="D329" s="63">
        <f>'t-LTM'!AM329</f>
        <v>-1.2453287522516739E-2</v>
      </c>
    </row>
    <row r="330" spans="1:4" x14ac:dyDescent="0.25">
      <c r="C330" s="173"/>
    </row>
    <row r="331" spans="1:4" x14ac:dyDescent="0.25">
      <c r="A331" t="str">
        <f>'t-LTM'!B331</f>
        <v>Youtz, A. C. (1941). An experimental evaluation of Jost's laws. The psychological monographs, 238, 1-54.</v>
      </c>
      <c r="B331">
        <f>'t-LTM'!AA331</f>
        <v>86400</v>
      </c>
      <c r="C331" s="173">
        <f>B331/(60*60*24)</f>
        <v>1</v>
      </c>
      <c r="D331" s="63">
        <f>'t-LTM'!AM331</f>
        <v>-5.234539928858041E-2</v>
      </c>
    </row>
    <row r="333" spans="1:4" x14ac:dyDescent="0.25">
      <c r="D333" s="63"/>
    </row>
    <row r="335" spans="1:4" x14ac:dyDescent="0.25">
      <c r="D335" s="63"/>
    </row>
    <row r="337" spans="4:4" x14ac:dyDescent="0.25">
      <c r="D337" s="63"/>
    </row>
    <row r="339" spans="4:4" x14ac:dyDescent="0.25">
      <c r="D339" s="63"/>
    </row>
    <row r="341" spans="4:4" x14ac:dyDescent="0.25">
      <c r="D341" s="63"/>
    </row>
    <row r="343" spans="4:4" x14ac:dyDescent="0.25">
      <c r="D343" s="63"/>
    </row>
    <row r="345" spans="4:4" x14ac:dyDescent="0.25">
      <c r="D345" s="63"/>
    </row>
    <row r="347" spans="4:4" x14ac:dyDescent="0.25">
      <c r="D347" s="63"/>
    </row>
    <row r="349" spans="4:4" x14ac:dyDescent="0.25">
      <c r="D349" s="63"/>
    </row>
    <row r="351" spans="4:4" x14ac:dyDescent="0.25">
      <c r="D351" s="63"/>
    </row>
    <row r="353" spans="4:4" x14ac:dyDescent="0.25">
      <c r="D353" s="63"/>
    </row>
    <row r="355" spans="4:4" x14ac:dyDescent="0.25">
      <c r="D355" s="63"/>
    </row>
    <row r="357" spans="4:4" x14ac:dyDescent="0.25">
      <c r="D357" s="63"/>
    </row>
  </sheetData>
  <pageMargins left="0.7" right="0.7" top="0.75" bottom="0.75" header="0.3" footer="0.3"/>
  <pageSetup orientation="portrait" horizontalDpi="4294967293" vertic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U233"/>
  <sheetViews>
    <sheetView workbookViewId="0">
      <pane ySplit="1" topLeftCell="A2" activePane="bottomLeft" state="frozen"/>
      <selection pane="bottomLeft" activeCell="A2" sqref="A2"/>
    </sheetView>
  </sheetViews>
  <sheetFormatPr defaultColWidth="5.28515625" defaultRowHeight="12" customHeight="1" outlineLevelCol="1" x14ac:dyDescent="0.2"/>
  <cols>
    <col min="1" max="1" width="11.28515625" style="61" bestFit="1" customWidth="1"/>
    <col min="2" max="2" width="9.7109375" style="14" customWidth="1"/>
    <col min="3" max="3" width="17.85546875" style="14" customWidth="1"/>
    <col min="4" max="4" width="6.85546875" style="64" customWidth="1"/>
    <col min="5" max="5" width="4.28515625" style="77" customWidth="1"/>
    <col min="6" max="6" width="10.28515625" style="64" bestFit="1" customWidth="1"/>
    <col min="7" max="7" width="9.28515625" style="64" customWidth="1"/>
    <col min="8" max="8" width="14.85546875" style="64" bestFit="1" customWidth="1"/>
    <col min="9" max="9" width="30.5703125" style="64" customWidth="1"/>
    <col min="10" max="10" width="17.5703125" style="64" customWidth="1"/>
    <col min="11" max="11" width="9.5703125" style="64" customWidth="1"/>
    <col min="12" max="13" width="9.7109375" style="64" customWidth="1"/>
    <col min="14" max="14" width="13.85546875" style="64" customWidth="1"/>
    <col min="15" max="15" width="8.7109375" style="64" customWidth="1"/>
    <col min="16" max="16" width="22.7109375" style="64" bestFit="1" customWidth="1"/>
    <col min="17" max="17" width="18.28515625" style="64" bestFit="1" customWidth="1"/>
    <col min="18" max="18" width="8.7109375" style="64" bestFit="1" customWidth="1"/>
    <col min="19" max="19" width="11.42578125" style="64" bestFit="1" customWidth="1"/>
    <col min="20" max="20" width="12.7109375" style="64" customWidth="1"/>
    <col min="21" max="21" width="10.42578125" style="64" bestFit="1" customWidth="1"/>
    <col min="22" max="22" width="10.42578125" style="64" customWidth="1"/>
    <col min="23" max="23" width="11.85546875" style="64" customWidth="1"/>
    <col min="24" max="24" width="8.140625" style="64" customWidth="1"/>
    <col min="25" max="25" width="10" style="77" customWidth="1"/>
    <col min="26" max="26" width="15.42578125" style="64" customWidth="1"/>
    <col min="27" max="27" width="11" style="64" customWidth="1"/>
    <col min="28" max="28" width="16.42578125" style="64" customWidth="1"/>
    <col min="29" max="29" width="13.5703125" style="64" customWidth="1"/>
    <col min="30" max="30" width="13.140625" style="64" customWidth="1"/>
    <col min="31" max="31" width="11" style="64" customWidth="1"/>
    <col min="32" max="32" width="12.5703125" style="81" customWidth="1"/>
    <col min="33" max="33" width="10.140625" style="57" customWidth="1"/>
    <col min="34" max="34" width="10.7109375" style="12" customWidth="1"/>
    <col min="35" max="35" width="10.7109375" style="57" customWidth="1"/>
    <col min="36" max="36" width="10.7109375" style="114" customWidth="1"/>
    <col min="37" max="40" width="10.7109375" style="57" customWidth="1"/>
    <col min="41" max="43" width="10.7109375" style="57" customWidth="1" outlineLevel="1"/>
    <col min="44" max="44" width="16.85546875" style="114" customWidth="1" outlineLevel="1"/>
    <col min="45" max="46" width="16.85546875" style="57" customWidth="1" outlineLevel="1"/>
    <col min="47" max="47" width="5.28515625" style="12" outlineLevel="1"/>
    <col min="48" max="50" width="13.42578125" style="45" bestFit="1" customWidth="1" outlineLevel="1"/>
    <col min="51" max="51" width="14.85546875" style="45" bestFit="1" customWidth="1" outlineLevel="1"/>
    <col min="52" max="53" width="14.5703125" style="45" bestFit="1" customWidth="1"/>
    <col min="54" max="54" width="13.5703125" style="45" bestFit="1" customWidth="1"/>
    <col min="55" max="57" width="13.5703125" style="20" bestFit="1" customWidth="1"/>
    <col min="58" max="62" width="12.42578125" style="20" bestFit="1" customWidth="1"/>
    <col min="63" max="74" width="10.42578125" style="20" bestFit="1" customWidth="1"/>
    <col min="75" max="95" width="11.42578125" style="20" bestFit="1" customWidth="1"/>
    <col min="96" max="99" width="12.42578125" style="14" bestFit="1" customWidth="1"/>
    <col min="100" max="133" width="10.42578125" style="14" bestFit="1" customWidth="1"/>
    <col min="134" max="16384" width="5.28515625" style="14"/>
  </cols>
  <sheetData>
    <row r="1" spans="1:99" ht="12" customHeight="1" x14ac:dyDescent="0.2">
      <c r="A1" s="61" t="s">
        <v>304</v>
      </c>
      <c r="B1" s="15" t="s">
        <v>0</v>
      </c>
      <c r="C1" s="15" t="s">
        <v>1</v>
      </c>
      <c r="D1" s="59" t="s">
        <v>2</v>
      </c>
      <c r="E1" s="75" t="s">
        <v>579</v>
      </c>
      <c r="F1" s="59" t="s">
        <v>6</v>
      </c>
      <c r="G1" s="59" t="s">
        <v>485</v>
      </c>
      <c r="H1" s="59" t="s">
        <v>1</v>
      </c>
      <c r="I1" s="59" t="s">
        <v>8</v>
      </c>
      <c r="J1" s="59" t="s">
        <v>7</v>
      </c>
      <c r="K1" s="59" t="s">
        <v>571</v>
      </c>
      <c r="L1" s="59" t="s">
        <v>565</v>
      </c>
      <c r="M1" s="59" t="s">
        <v>569</v>
      </c>
      <c r="N1" s="59" t="s">
        <v>566</v>
      </c>
      <c r="O1" s="59" t="s">
        <v>5</v>
      </c>
      <c r="P1" s="59" t="s">
        <v>570</v>
      </c>
      <c r="Q1" s="59" t="s">
        <v>3</v>
      </c>
      <c r="R1" s="59" t="s">
        <v>568</v>
      </c>
      <c r="S1" s="59" t="s">
        <v>4</v>
      </c>
      <c r="T1" s="59" t="s">
        <v>237</v>
      </c>
      <c r="U1" s="59" t="s">
        <v>910</v>
      </c>
      <c r="V1" s="59" t="s">
        <v>563</v>
      </c>
      <c r="W1" s="59" t="s">
        <v>564</v>
      </c>
      <c r="X1" s="59" t="s">
        <v>576</v>
      </c>
      <c r="Y1" s="75" t="s">
        <v>558</v>
      </c>
      <c r="Z1" s="59" t="s">
        <v>577</v>
      </c>
      <c r="AA1" s="59" t="s">
        <v>327</v>
      </c>
      <c r="AB1" s="59" t="s">
        <v>325</v>
      </c>
      <c r="AC1" s="59" t="s">
        <v>326</v>
      </c>
      <c r="AD1" s="59" t="s">
        <v>578</v>
      </c>
      <c r="AE1" s="59" t="s">
        <v>559</v>
      </c>
      <c r="AF1" s="79" t="s">
        <v>560</v>
      </c>
      <c r="AG1" s="55" t="s">
        <v>546</v>
      </c>
      <c r="AH1" s="4"/>
      <c r="AI1" s="139" t="s">
        <v>297</v>
      </c>
      <c r="AJ1" s="111" t="s">
        <v>289</v>
      </c>
      <c r="AK1" s="55" t="s">
        <v>9</v>
      </c>
      <c r="AL1" s="139" t="s">
        <v>298</v>
      </c>
      <c r="AM1" s="55" t="s">
        <v>10</v>
      </c>
      <c r="AN1" s="55" t="s">
        <v>11</v>
      </c>
      <c r="AO1" s="139" t="s">
        <v>907</v>
      </c>
      <c r="AP1" s="55" t="s">
        <v>303</v>
      </c>
      <c r="AQ1" s="139" t="s">
        <v>908</v>
      </c>
      <c r="AR1" s="111" t="s">
        <v>301</v>
      </c>
      <c r="AS1" s="139" t="s">
        <v>909</v>
      </c>
      <c r="AT1" s="55" t="s">
        <v>302</v>
      </c>
      <c r="AU1" s="4"/>
      <c r="AV1" s="11" t="s">
        <v>292</v>
      </c>
      <c r="AW1" s="11"/>
      <c r="AX1" s="11"/>
      <c r="AY1" s="11"/>
      <c r="AZ1" s="11"/>
      <c r="BA1" s="11"/>
      <c r="BB1" s="11"/>
      <c r="BC1" s="10"/>
      <c r="BD1" s="10"/>
      <c r="BE1" s="10"/>
      <c r="BF1" s="10"/>
      <c r="BG1" s="10"/>
      <c r="BH1" s="10"/>
      <c r="BI1" s="10"/>
      <c r="BJ1" s="10"/>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5"/>
      <c r="CS1" s="15"/>
      <c r="CT1" s="15"/>
      <c r="CU1" s="15"/>
    </row>
    <row r="2" spans="1:99" s="13" customFormat="1" ht="12" customHeight="1" x14ac:dyDescent="0.2">
      <c r="A2" s="68">
        <v>43509</v>
      </c>
      <c r="B2" s="70"/>
      <c r="C2" s="70"/>
      <c r="D2" s="69"/>
      <c r="E2" s="87"/>
      <c r="F2" s="69"/>
      <c r="G2" s="69"/>
      <c r="H2" s="69"/>
      <c r="I2" s="69"/>
      <c r="J2" s="69"/>
      <c r="K2" s="107"/>
      <c r="L2" s="107"/>
      <c r="M2" s="69"/>
      <c r="N2" s="69"/>
      <c r="O2" s="69"/>
      <c r="P2" s="69"/>
      <c r="Q2" s="69"/>
      <c r="R2" s="69"/>
      <c r="S2" s="69"/>
      <c r="T2" s="69"/>
      <c r="U2" s="69"/>
      <c r="V2" s="69"/>
      <c r="W2" s="69"/>
      <c r="X2" s="69"/>
      <c r="Y2" s="87"/>
      <c r="Z2" s="69"/>
      <c r="AA2" s="69"/>
      <c r="AB2" s="69"/>
      <c r="AC2" s="69"/>
      <c r="AD2" s="69"/>
      <c r="AE2" s="69"/>
      <c r="AF2" s="88"/>
      <c r="AG2" s="72"/>
      <c r="AH2" s="4"/>
      <c r="AI2" s="72"/>
      <c r="AJ2" s="110"/>
      <c r="AK2" s="72"/>
      <c r="AL2" s="72"/>
      <c r="AM2" s="72"/>
      <c r="AN2" s="72"/>
      <c r="AO2" s="72"/>
      <c r="AP2" s="72"/>
      <c r="AQ2" s="72"/>
      <c r="AR2" s="110"/>
      <c r="AS2" s="72"/>
      <c r="AT2" s="72"/>
      <c r="AU2" s="3"/>
      <c r="AV2" s="71">
        <f>2*60</f>
        <v>120</v>
      </c>
      <c r="AW2" s="71">
        <f>20*60</f>
        <v>1200</v>
      </c>
      <c r="AX2" s="71">
        <f>24*60*60*2</f>
        <v>172800</v>
      </c>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1"/>
      <c r="CS2" s="1"/>
      <c r="CT2" s="1"/>
      <c r="CU2" s="1"/>
    </row>
    <row r="3" spans="1:99" s="13" customFormat="1" ht="12" customHeight="1" x14ac:dyDescent="0.2">
      <c r="A3" s="68">
        <v>43509</v>
      </c>
      <c r="B3" s="70" t="s">
        <v>89</v>
      </c>
      <c r="C3" s="70" t="s">
        <v>19</v>
      </c>
      <c r="D3" s="69">
        <v>1970</v>
      </c>
      <c r="E3" s="87">
        <v>2</v>
      </c>
      <c r="F3" s="69">
        <v>48</v>
      </c>
      <c r="G3" s="69">
        <v>16</v>
      </c>
      <c r="H3" s="69" t="s">
        <v>22</v>
      </c>
      <c r="I3" s="69" t="s">
        <v>644</v>
      </c>
      <c r="J3" s="69" t="s">
        <v>90</v>
      </c>
      <c r="K3" s="69">
        <f>IF(J3="syllables",1,IF(J3="trigrams",2,IF(J3="strings",3,IF(J3="visual array",4,IF(J3="characters",5,IF(J3="letters",6,IF(J3="free forms",7,IF(J3="odors",8,IF(J3="words",9,IF(J3="pictures",10,IF(J3="object pictures",11,IF(J3="faces",12,IF(J3="names",13,IF(J3="idioms",14,IF(J3="grades",15,IF(J3="syllable-digit pairs",16,IF(J3="trigram-word pairs",17,IF(J3="word-digit pairs",18,IF(J3="English-Swahili pairs",19,IF(J3="spatial position",20,IF(J3="word pairs",21,IF(J3="word triads",22,IF(J3="generated words",23,IF(J3="word definition pairs",24,IF(J3="math problems",25,IF(J3="famous faces",26,IF(J3="famous names",27,IF(J3="famous voices",28,IF(J3="television programs",29,IF(J3="race horses",30,IF(J3="new vocabulary",31,IF(J3="sentences",32,IF(J3="concepts",33,IF(J3="ad slides",34,IF(J3="scenes",35,IF(J3="famous scenes",36,IF(J3="poems",37,IF(J3="walk",38,IF(J3="faces and events",39,IF(J3="events and names",40,IF(J3="flashbulb",41,IF(J3="stories",42,IF(J3="course material",43,IF(J3="autobiographical",44,IF(J3="novels",45,IF(J3="public events",46,"99"))))))))))))))))))))))))))))))))))))))))))))))</f>
        <v>18</v>
      </c>
      <c r="L3" s="69">
        <f>IF(J3="syllables",1,IF(J3="trigrams",1,IF(J3="strings",1,IF(J3="visual array",1,IF(J3="characters",1,IF(J3="letters",1,IF(J3="free forms",1,IF(J3="odors",2,IF(J3="words",2,IF(J3="pictures",2,IF(J3="object pictures",2,IF(J3="faces",2,IF(J3="names",2,IF(J3="idioms","2",IF(J3="grades",2,IF(J3="syllable-digit pairs",3,IF(J3="trigram-word pairs",3,IF(J3="word-digit pairs",3,IF(J3="English-Swahili pairs",3,IF(J3="spatial position",3,IF(J3="word pairs",4,IF(J3="word triads",4,IF(J3="generated words",4,IF(J3="word definition pairs",4,IF(J3="math problems",4,IF(J3="famous faces",4,IF(J3="famous names",4,IF(J3="famous voices",4,IF(J3="television programs",4,IF(J3="race horses",4,IF(J3="new vocabulary",4,IF(J3="sentences",5,IF(J3="concepts",5,IF(J3="ad slides",5,IF(J3="scenes",5,IF(J3="famous scenes",5,IF(J3="poems",6,IF(J3="walk",6,IF(J3="faces and events",6,IF(J3="events and names",6,IF(J3="flashbulb",7,IF(J3="stories",7,IF(J3="course material",7,IF(J3="autobiographical",7,IF(J3="novels",7,IF(J3="public events",7,"99"))))))))))))))))))))))))))))))))))))))))))))))</f>
        <v>3</v>
      </c>
      <c r="M3" s="69">
        <v>0</v>
      </c>
      <c r="N3" s="69">
        <v>1</v>
      </c>
      <c r="O3" s="69">
        <v>0</v>
      </c>
      <c r="P3" s="69"/>
      <c r="Q3" s="69" t="s">
        <v>174</v>
      </c>
      <c r="R3" s="69">
        <f>IF(Q3="Free Recall",1,IF(Q3="Cued Recall",2,IF(Q3="Recognition",3,IF(Q3="Multiple Choice",4,IF(Q3="Savings",5,IF(Q3="Stem Completion",6,IF(Q3="Fragment Completion",7,IF(Q3="anagram solution",8,IF(Q3="Matching",9,IF(Q3="Problem Solving",10,"99"))))))))))</f>
        <v>1</v>
      </c>
      <c r="S3" s="69" t="s">
        <v>49</v>
      </c>
      <c r="T3" s="69" t="s">
        <v>261</v>
      </c>
      <c r="U3" s="69">
        <f>IF(T3="within",1,0)</f>
        <v>0</v>
      </c>
      <c r="V3" s="92">
        <v>8</v>
      </c>
      <c r="W3" s="69">
        <f>F3*V3</f>
        <v>384</v>
      </c>
      <c r="X3" s="69">
        <v>3</v>
      </c>
      <c r="Y3" s="87">
        <f>AV2</f>
        <v>120</v>
      </c>
      <c r="Z3" s="69" t="s">
        <v>88</v>
      </c>
      <c r="AA3" s="69">
        <v>172800</v>
      </c>
      <c r="AB3" s="69" t="str">
        <f>IF(AA3&lt;60,"1",IF(AA3&lt;=43200,"2",IF(AA3&lt;=777600,"3","4")))</f>
        <v>3</v>
      </c>
      <c r="AC3" s="72">
        <f>AVERAGE(AV2:DA2)</f>
        <v>58040</v>
      </c>
      <c r="AD3" s="69" t="str">
        <f>IF(AC3&lt;60,"1",IF(AC3&lt;=43200,"2",IF(AC3&lt;=777600,"3","4")))</f>
        <v>3</v>
      </c>
      <c r="AE3" s="87">
        <f>AA3-Y3</f>
        <v>172680</v>
      </c>
      <c r="AF3" s="88">
        <f>AV3</f>
        <v>0.5</v>
      </c>
      <c r="AG3" s="72">
        <f>((AW3-AV3)+(AX3-AW3))/2</f>
        <v>-0.20835000000000001</v>
      </c>
      <c r="AH3" s="4"/>
      <c r="AI3" s="72">
        <f>RSQ(AV3:AX3,AV2:AX2)</f>
        <v>0.48626352147765439</v>
      </c>
      <c r="AJ3" s="110">
        <f>SLOPE(AV3:AX3,AV2:AX2)</f>
        <v>-1.521509979747481E-6</v>
      </c>
      <c r="AK3" s="72">
        <f>INTERCEPT(AV3:AX3,AV2:AX2)</f>
        <v>0.34524177255787714</v>
      </c>
      <c r="AL3" s="72">
        <f>INDEX(LINEST(LN(AV3:AX3),LN(AV2:AX2),TRUE,TRUE),3,1)</f>
        <v>0.93230192471481943</v>
      </c>
      <c r="AM3" s="72">
        <f>INDEX(LINEST(LN(AV3:AX3),LN(AV2:AX2)),1)</f>
        <v>-0.23313064757059063</v>
      </c>
      <c r="AN3" s="72">
        <f>EXP(INDEX(LINEST(LN(AV3:AX3),LN(AV2:AX2)),1,2))</f>
        <v>1.2746967439134511</v>
      </c>
      <c r="AO3" s="89">
        <f>INDEX(LINEST((AV3:AX3),LN(AV2:AX2),TRUE,TRUE),3,1)</f>
        <v>0.77881190275621404</v>
      </c>
      <c r="AP3" s="89">
        <f>INDEX(LINEST((AV3:AX3),LN(AV2:AX2)),1)</f>
        <v>-5.1488559122577778E-2</v>
      </c>
      <c r="AQ3" s="90">
        <f>INDEX(LINEST(LN(AV3:AX3),SQRT(AV2:AX2),TRUE,TRUE),3,1)</f>
        <v>0.74792954195117223</v>
      </c>
      <c r="AR3" s="117">
        <f>INDEX(LINEST(LN(AV3:AX3),SQRT((AV2:AX2))),1)</f>
        <v>-3.4167807946846158E-3</v>
      </c>
      <c r="AS3" s="91">
        <f>INDEX(LINEST(1/(AV3:AX3),1/(SQRT(AV2:AX2)),TRUE,TRUE),3,1)</f>
        <v>0.83390890657925554</v>
      </c>
      <c r="AT3" s="91">
        <f>INDEX(LINEST(1/(AV3:AX3),1/SQRT(AV2:AX2)),1)</f>
        <v>-101.93747227075491</v>
      </c>
      <c r="AU3" s="3"/>
      <c r="AV3" s="73">
        <v>0.5</v>
      </c>
      <c r="AW3" s="73">
        <v>0.1875</v>
      </c>
      <c r="AX3" s="73">
        <v>8.3299999999999999E-2</v>
      </c>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1"/>
      <c r="CS3" s="1"/>
      <c r="CT3" s="1"/>
      <c r="CU3" s="1"/>
    </row>
    <row r="4" spans="1:99" s="13" customFormat="1" ht="12" customHeight="1" x14ac:dyDescent="0.2">
      <c r="A4" s="68">
        <v>43509</v>
      </c>
      <c r="B4" s="70"/>
      <c r="C4" s="70"/>
      <c r="D4" s="69"/>
      <c r="E4" s="87"/>
      <c r="F4" s="69"/>
      <c r="G4" s="69"/>
      <c r="H4" s="69"/>
      <c r="I4" s="69"/>
      <c r="J4" s="69"/>
      <c r="K4" s="107"/>
      <c r="L4" s="107"/>
      <c r="M4" s="69"/>
      <c r="N4" s="69"/>
      <c r="O4" s="69"/>
      <c r="P4" s="69"/>
      <c r="Q4" s="69"/>
      <c r="R4" s="69"/>
      <c r="S4" s="69"/>
      <c r="T4" s="69"/>
      <c r="U4" s="69"/>
      <c r="V4" s="69"/>
      <c r="W4" s="69"/>
      <c r="X4" s="69"/>
      <c r="Y4" s="87"/>
      <c r="Z4" s="69"/>
      <c r="AA4" s="69"/>
      <c r="AB4" s="69"/>
      <c r="AC4" s="69"/>
      <c r="AD4" s="69"/>
      <c r="AE4" s="69"/>
      <c r="AF4" s="88"/>
      <c r="AG4" s="72"/>
      <c r="AH4" s="4"/>
      <c r="AI4" s="72"/>
      <c r="AJ4" s="110"/>
      <c r="AK4" s="72"/>
      <c r="AL4" s="72"/>
      <c r="AM4" s="72"/>
      <c r="AN4" s="72"/>
      <c r="AO4" s="72"/>
      <c r="AP4" s="72"/>
      <c r="AQ4" s="72"/>
      <c r="AR4" s="110"/>
      <c r="AS4" s="72"/>
      <c r="AT4" s="72"/>
      <c r="AU4" s="3"/>
      <c r="AV4" s="71">
        <f>2*60</f>
        <v>120</v>
      </c>
      <c r="AW4" s="71">
        <f>20*60</f>
        <v>1200</v>
      </c>
      <c r="AX4" s="71">
        <f>24*60*60*2</f>
        <v>172800</v>
      </c>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1"/>
      <c r="CS4" s="1"/>
      <c r="CT4" s="1"/>
      <c r="CU4" s="1"/>
    </row>
    <row r="5" spans="1:99" s="13" customFormat="1" ht="12" customHeight="1" x14ac:dyDescent="0.2">
      <c r="A5" s="68">
        <v>43509</v>
      </c>
      <c r="B5" s="70" t="s">
        <v>89</v>
      </c>
      <c r="C5" s="70" t="s">
        <v>19</v>
      </c>
      <c r="D5" s="69">
        <v>1970</v>
      </c>
      <c r="E5" s="87">
        <v>2</v>
      </c>
      <c r="F5" s="69">
        <v>48</v>
      </c>
      <c r="G5" s="69">
        <v>16</v>
      </c>
      <c r="H5" s="69" t="s">
        <v>22</v>
      </c>
      <c r="I5" s="69" t="s">
        <v>646</v>
      </c>
      <c r="J5" s="69" t="s">
        <v>90</v>
      </c>
      <c r="K5" s="69">
        <f>IF(J5="syllables",1,IF(J5="trigrams",2,IF(J5="strings",3,IF(J5="visual array",4,IF(J5="characters",5,IF(J5="letters",6,IF(J5="free forms",7,IF(J5="odors",8,IF(J5="words",9,IF(J5="pictures",10,IF(J5="object pictures",11,IF(J5="faces",12,IF(J5="names",13,IF(J5="idioms",14,IF(J5="grades",15,IF(J5="syllable-digit pairs",16,IF(J5="trigram-word pairs",17,IF(J5="word-digit pairs",18,IF(J5="English-Swahili pairs",19,IF(J5="spatial position",20,IF(J5="word pairs",21,IF(J5="word triads",22,IF(J5="generated words",23,IF(J5="word definition pairs",24,IF(J5="math problems",25,IF(J5="famous faces",26,IF(J5="famous names",27,IF(J5="famous voices",28,IF(J5="television programs",29,IF(J5="race horses",30,IF(J5="new vocabulary",31,IF(J5="sentences",32,IF(J5="concepts",33,IF(J5="ad slides",34,IF(J5="scenes",35,IF(J5="famous scenes",36,IF(J5="poems",37,IF(J5="walk",38,IF(J5="faces and events",39,IF(J5="events and names",40,IF(J5="flashbulb",41,IF(J5="stories",42,IF(J5="course material",43,IF(J5="autobiographical",44,IF(J5="novels",45,IF(J5="public events",46,"99"))))))))))))))))))))))))))))))))))))))))))))))</f>
        <v>18</v>
      </c>
      <c r="L5" s="69">
        <f>IF(J5="syllables",1,IF(J5="trigrams",1,IF(J5="strings",1,IF(J5="visual array",1,IF(J5="characters",1,IF(J5="letters",1,IF(J5="free forms",1,IF(J5="odors",2,IF(J5="words",2,IF(J5="pictures",2,IF(J5="object pictures",2,IF(J5="faces",2,IF(J5="names",2,IF(J5="idioms","2",IF(J5="grades",2,IF(J5="syllable-digit pairs",3,IF(J5="trigram-word pairs",3,IF(J5="word-digit pairs",3,IF(J5="English-Swahili pairs",3,IF(J5="spatial position",3,IF(J5="word pairs",4,IF(J5="word triads",4,IF(J5="generated words",4,IF(J5="word definition pairs",4,IF(J5="math problems",4,IF(J5="famous faces",4,IF(J5="famous names",4,IF(J5="famous voices",4,IF(J5="television programs",4,IF(J5="race horses",4,IF(J5="new vocabulary",4,IF(J5="sentences",5,IF(J5="concepts",5,IF(J5="ad slides",5,IF(J5="scenes",5,IF(J5="famous scenes",5,IF(J5="poems",6,IF(J5="walk",6,IF(J5="faces and events",6,IF(J5="events and names",6,IF(J5="flashbulb",7,IF(J5="stories",7,IF(J5="course material",7,IF(J5="autobiographical",7,IF(J5="novels",7,IF(J5="public events",7,"99"))))))))))))))))))))))))))))))))))))))))))))))</f>
        <v>3</v>
      </c>
      <c r="M5" s="69">
        <v>0</v>
      </c>
      <c r="N5" s="69">
        <v>1</v>
      </c>
      <c r="O5" s="69">
        <v>0</v>
      </c>
      <c r="P5" s="69"/>
      <c r="Q5" s="69" t="s">
        <v>174</v>
      </c>
      <c r="R5" s="69">
        <f>IF(Q5="Free Recall",1,IF(Q5="Cued Recall",2,IF(Q5="Recognition",3,IF(Q5="Multiple Choice",4,IF(Q5="Savings",5,IF(Q5="Stem Completion",6,IF(Q5="Fragment Completion",7,IF(Q5="anagram solution",8,IF(Q5="Matching",9,IF(Q5="Problem Solving",10,"99"))))))))))</f>
        <v>1</v>
      </c>
      <c r="S5" s="69" t="s">
        <v>49</v>
      </c>
      <c r="T5" s="69" t="s">
        <v>261</v>
      </c>
      <c r="U5" s="69">
        <f>IF(T5="within",1,0)</f>
        <v>0</v>
      </c>
      <c r="V5" s="69">
        <v>8</v>
      </c>
      <c r="W5" s="69">
        <f>F5*V5</f>
        <v>384</v>
      </c>
      <c r="X5" s="69">
        <v>3</v>
      </c>
      <c r="Y5" s="87">
        <f>AV4</f>
        <v>120</v>
      </c>
      <c r="Z5" s="69" t="s">
        <v>88</v>
      </c>
      <c r="AA5" s="69">
        <v>172800</v>
      </c>
      <c r="AB5" s="69" t="str">
        <f>IF(AA5&lt;60,"1",IF(AA5&lt;=43200,"2",IF(AA5&lt;=777600,"3","4")))</f>
        <v>3</v>
      </c>
      <c r="AC5" s="72">
        <f>AVERAGE(AV4:DA4)</f>
        <v>58040</v>
      </c>
      <c r="AD5" s="69" t="str">
        <f>IF(AC5&lt;60,"1",IF(AC5&lt;=43200,"2",IF(AC5&lt;=777600,"3","4")))</f>
        <v>3</v>
      </c>
      <c r="AE5" s="87">
        <f>AA5-Y5</f>
        <v>172680</v>
      </c>
      <c r="AF5" s="88">
        <f>AV5</f>
        <v>0.4375</v>
      </c>
      <c r="AG5" s="72">
        <f>((AW5-AV5)+(AX5-AW5))/2</f>
        <v>-0.14584999999999998</v>
      </c>
      <c r="AH5" s="4"/>
      <c r="AI5" s="72">
        <f>RSQ(AV5:AX5,AV4:AX4)</f>
        <v>0.821788458307389</v>
      </c>
      <c r="AJ5" s="110">
        <f>SLOPE(AV5:AX5,AV4:AX4)</f>
        <v>-1.3348518673120648E-6</v>
      </c>
      <c r="AK5" s="72">
        <f>INTERCEPT(AV5:AX5,AV4:AX4)</f>
        <v>0.37607480237879226</v>
      </c>
      <c r="AL5" s="72">
        <f>INDEX(LINEST(LN(AV5:AX5),LN(AV4:AX4),TRUE,TRUE),3,1)</f>
        <v>0.99986822205521708</v>
      </c>
      <c r="AM5" s="72">
        <f>INDEX(LINEST(LN(AV5:AX5),LN(AV4:AX4)),1)</f>
        <v>-0.15146565654909644</v>
      </c>
      <c r="AN5" s="72">
        <f>EXP(INDEX(LINEST(LN(AV5:AX5),LN(AV4:AX4)),1,2))</f>
        <v>0.90796572636000383</v>
      </c>
      <c r="AO5" s="89">
        <f>INDEX(LINEST((AV5:AX5),LN(AV4:AX4),TRUE,TRUE),3,1)</f>
        <v>0.98412833448466608</v>
      </c>
      <c r="AP5" s="89">
        <f>INDEX(LINEST((AV5:AX5),LN(AV4:AX4)),1)</f>
        <v>-3.9060195362180021E-2</v>
      </c>
      <c r="AQ5" s="90">
        <f>INDEX(LINEST(LN(AV5:AX5),SQRT(AV4:AX4),TRUE,TRUE),3,1)</f>
        <v>0.93817180444074755</v>
      </c>
      <c r="AR5" s="117">
        <f>INDEX(LINEST(LN(AV5:AX5),SQRT((AV4:AX4))),1)</f>
        <v>-2.4007651109035667E-3</v>
      </c>
      <c r="AS5" s="91">
        <f>INDEX(LINEST(1/(AV5:AX5),1/(SQRT(AV4:AX4)),TRUE,TRUE),3,1)</f>
        <v>0.7151354733153692</v>
      </c>
      <c r="AT5" s="91">
        <f>INDEX(LINEST(1/(AV5:AX5),1/SQRT(AV4:AX4)),1)</f>
        <v>-44.840318161582715</v>
      </c>
      <c r="AU5" s="3"/>
      <c r="AV5" s="73">
        <v>0.4375</v>
      </c>
      <c r="AW5" s="73">
        <v>0.3125</v>
      </c>
      <c r="AX5" s="73">
        <v>0.14580000000000001</v>
      </c>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1"/>
      <c r="CS5" s="1"/>
      <c r="CT5" s="1"/>
      <c r="CU5" s="1"/>
    </row>
    <row r="6" spans="1:99" s="13" customFormat="1" ht="12" customHeight="1" x14ac:dyDescent="0.2">
      <c r="A6" s="68">
        <v>43976</v>
      </c>
      <c r="B6" s="70"/>
      <c r="C6" s="70"/>
      <c r="D6" s="69"/>
      <c r="E6" s="87"/>
      <c r="F6" s="69"/>
      <c r="G6" s="69"/>
      <c r="H6" s="69"/>
      <c r="I6" s="69"/>
      <c r="J6" s="69"/>
      <c r="K6" s="69"/>
      <c r="L6" s="69"/>
      <c r="M6" s="69"/>
      <c r="N6" s="69"/>
      <c r="O6" s="69"/>
      <c r="P6" s="69"/>
      <c r="Q6" s="69"/>
      <c r="R6" s="92"/>
      <c r="S6" s="69"/>
      <c r="T6" s="92"/>
      <c r="U6" s="69"/>
      <c r="V6" s="69"/>
      <c r="W6" s="87"/>
      <c r="X6" s="69"/>
      <c r="Y6" s="69"/>
      <c r="Z6" s="69"/>
      <c r="AA6" s="72"/>
      <c r="AB6" s="69"/>
      <c r="AC6" s="87"/>
      <c r="AD6" s="87"/>
      <c r="AE6" s="87"/>
      <c r="AF6" s="88"/>
      <c r="AG6" s="72"/>
      <c r="AH6" s="4"/>
      <c r="AI6" s="72"/>
      <c r="AJ6" s="110"/>
      <c r="AK6" s="72"/>
      <c r="AL6" s="72"/>
      <c r="AM6" s="72"/>
      <c r="AN6" s="72"/>
      <c r="AO6" s="89"/>
      <c r="AP6" s="89"/>
      <c r="AQ6" s="90"/>
      <c r="AR6" s="117"/>
      <c r="AS6" s="91"/>
      <c r="AT6" s="91"/>
      <c r="AU6" s="3"/>
      <c r="AV6" s="71">
        <v>90</v>
      </c>
      <c r="AW6" s="71">
        <f>60*10</f>
        <v>600</v>
      </c>
      <c r="AX6" s="71">
        <f>60*60</f>
        <v>3600</v>
      </c>
      <c r="AY6" s="71">
        <f>60*60*24</f>
        <v>86400</v>
      </c>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1"/>
      <c r="CS6" s="1"/>
      <c r="CT6" s="1"/>
      <c r="CU6" s="1"/>
    </row>
    <row r="7" spans="1:99" s="13" customFormat="1" ht="12" customHeight="1" x14ac:dyDescent="0.2">
      <c r="A7" s="68">
        <v>43976</v>
      </c>
      <c r="B7" s="70" t="s">
        <v>924</v>
      </c>
      <c r="C7" s="70" t="s">
        <v>357</v>
      </c>
      <c r="D7" s="69">
        <v>1995</v>
      </c>
      <c r="E7" s="87">
        <v>2</v>
      </c>
      <c r="F7" s="69">
        <v>21</v>
      </c>
      <c r="G7" s="69">
        <v>21</v>
      </c>
      <c r="H7" s="69" t="s">
        <v>32</v>
      </c>
      <c r="I7" s="69" t="s">
        <v>330</v>
      </c>
      <c r="J7" s="69" t="s">
        <v>313</v>
      </c>
      <c r="K7" s="69">
        <f>IF(J7="syllables",1,IF(J7="trigrams",2,IF(J7="strings",3,IF(J7="visual array",4,IF(J7="characters",5,IF(J7="letters",6,IF(J7="free forms",7,IF(J7="odors",8,IF(J7="words",9,IF(J7="pictures",10,IF(J7="object pictures",11,IF(J7="faces",12,IF(J7="names",13,IF(J7="idioms",14,IF(J7="grades",15,IF(J7="syllable-digit pairs",16,IF(J7="trigram-word pairs",17,IF(J7="word-digit pairs",18,IF(J7="English-Swahili pairs",19,IF(J7="spatial position",20,IF(J7="word pairs",21,IF(J7="word triads",22,IF(J7="generated words",23,IF(J7="word definition pairs",24,IF(J7="math problems",25,IF(J7="famous faces",26,IF(J7="famous names",27,IF(J7="famous voices",28,IF(J7="television programs",29,IF(J7="race horses",30,IF(J7="new vocabulary",31,IF(J7="sentences",32,IF(J7="concepts",33,IF(J7="ad slides",34,IF(J7="scenes",35,IF(J7="famous scenes",36,IF(J7="poems",37,IF(J7="walk",38,IF(J7="faces and events",39,IF(J7="events and names",40,IF(J7="flashbulb",41,IF(J7="stories",42,IF(J7="course material",43,IF(J7="autobiographical",44,IF(J7="novels",45,IF(J7="public events",46,"99"))))))))))))))))))))))))))))))))))))))))))))))</f>
        <v>10</v>
      </c>
      <c r="L7" s="69">
        <f>IF(J7="syllables",1,IF(J7="trigrams",1,IF(J7="strings",1,IF(J7="visual array",1,IF(J7="characters",1,IF(J7="letters",1,IF(J7="free forms",1,IF(J7="odors",2,IF(J7="words",2,IF(J7="pictures",2,IF(J7="object pictures",2,IF(J7="faces",2,IF(J7="names",2,IF(J7="idioms","2",IF(J7="grades",2,IF(J7="syllable-digit pairs",3,IF(J7="trigram-word pairs",3,IF(J7="word-digit pairs",3,IF(J7="English-Swahili pairs",3,IF(J7="spatial position",3,IF(J7="word pairs",4,IF(J7="word triads",4,IF(J7="generated words",4,IF(J7="word definition pairs",4,IF(J7="math problems",4,IF(J7="famous faces",4,IF(J7="famous names",4,IF(J7="famous voices",4,IF(J7="television programs",4,IF(J7="race horses",4,IF(J7="new vocabulary",4,IF(J7="sentences",5,IF(J7="concepts",5,IF(J7="ad slides",5,IF(J7="scenes",5,IF(J7="famous scenes",5,IF(J7="poems",6,IF(J7="walk",6,IF(J7="faces and events",6,IF(J7="events and names",6,IF(J7="flashbulb",7,IF(J7="stories",7,IF(J7="course material",7,IF(J7="autobiographical",7,IF(J7="novels",7,IF(J7="public events",7,"99"))))))))))))))))))))))))))))))))))))))))))))))</f>
        <v>2</v>
      </c>
      <c r="M7" s="69">
        <v>0</v>
      </c>
      <c r="N7" s="69">
        <v>1</v>
      </c>
      <c r="O7" s="69">
        <v>0</v>
      </c>
      <c r="P7" s="69"/>
      <c r="Q7" s="69" t="s">
        <v>34</v>
      </c>
      <c r="R7" s="69">
        <f>IF(Q7="Free Recall",1,IF(Q7="Cued Recall",2,IF(Q7="Recognition",3,IF(Q7="Multiple Choice",4,IF(Q7="Savings",5,IF(Q7="Stem Completion",6,IF(Q7="Fragment Completion",7,IF(Q7="anagram solution",8,IF(Q7="Matching",9,IF(Q7="Problem Solving",10,"99"))))))))))</f>
        <v>3</v>
      </c>
      <c r="S7" s="69" t="s">
        <v>49</v>
      </c>
      <c r="T7" s="92" t="s">
        <v>581</v>
      </c>
      <c r="U7" s="69">
        <f>IF(T7="within",1,0)</f>
        <v>1</v>
      </c>
      <c r="V7" s="92">
        <v>100</v>
      </c>
      <c r="W7" s="69">
        <f>F7*V7</f>
        <v>2100</v>
      </c>
      <c r="X7" s="69">
        <v>4</v>
      </c>
      <c r="Y7" s="87">
        <f>AV6</f>
        <v>90</v>
      </c>
      <c r="Z7" s="69" t="s">
        <v>79</v>
      </c>
      <c r="AA7" s="69">
        <f>60*60*24</f>
        <v>86400</v>
      </c>
      <c r="AB7" s="69" t="str">
        <f>IF(AA7&lt;60,"1",IF(AA7&lt;=43200,"2",IF(AA7&lt;=777600,"3","4")))</f>
        <v>3</v>
      </c>
      <c r="AC7" s="72">
        <f>AVERAGE(AV6:AZ6)</f>
        <v>22672.5</v>
      </c>
      <c r="AD7" s="69" t="str">
        <f>IF(AC7&lt;60,"1",IF(AC7&lt;=43200,"2",IF(AC7&lt;=777600,"3","4")))</f>
        <v>2</v>
      </c>
      <c r="AE7" s="87">
        <f>AA7-Y7</f>
        <v>86310</v>
      </c>
      <c r="AF7" s="88">
        <f>AV7</f>
        <v>0.89045622199999996</v>
      </c>
      <c r="AG7" s="72">
        <f>((AW7-AV7)+(AX7-AW7)+(AY7-AX7))/3</f>
        <v>-4.4065930666666642E-2</v>
      </c>
      <c r="AH7" s="4"/>
      <c r="AI7" s="72">
        <f>RSQ(AV7:AY7,AV6:AY6)</f>
        <v>0.44266277301030366</v>
      </c>
      <c r="AJ7" s="110">
        <f>SLOPE(AV7:AY7,AV6:AY6)</f>
        <v>-8.7174491176772909E-7</v>
      </c>
      <c r="AK7" s="72">
        <f>INTERCEPT(AV7:AY7,AV6:AY6)</f>
        <v>0.83233046551205392</v>
      </c>
      <c r="AL7" s="72">
        <f>INDEX(LINEST(LN(AV7:AY7),LN(AV6:AY6),TRUE,TRUE),3,1)</f>
        <v>0.80486971769474402</v>
      </c>
      <c r="AM7" s="72">
        <f>INDEX(LINEST(LN(AV7:AY7),LN(AV6:AY6)),1)</f>
        <v>-2.0682404901746009E-2</v>
      </c>
      <c r="AN7" s="72">
        <f>EXP(INDEX(LINEST(LN(AV7:AY7),LN(AV6:AY6)),1,2))</f>
        <v>0.94949704911830035</v>
      </c>
      <c r="AO7" s="89">
        <f>INDEX(LINEST((AV7:AY7),LN(AV6:AY6),TRUE,TRUE),3,1)</f>
        <v>0.79077611560755812</v>
      </c>
      <c r="AP7" s="89">
        <f>INDEX(LINEST((AV7:AY7),LN(AV6:AY6)),1)</f>
        <v>-1.6959203130312586E-2</v>
      </c>
      <c r="AQ7" s="90">
        <f>INDEX(LINEST(LN(AV7:AY7),SQRT(AV6:AY6),TRUE,TRUE),3,1)</f>
        <v>0.54941571336571926</v>
      </c>
      <c r="AR7" s="117">
        <f>INDEX(LINEST(LN(AV7:AY7),SQRT((AV6:AY6))),1)</f>
        <v>-3.752540426727167E-4</v>
      </c>
      <c r="AS7" s="91">
        <f>INDEX(LINEST(1/(AV7:AY7),1/(SQRT(AV6:AY6)),TRUE,TRUE),3,1)</f>
        <v>0.91428302353590685</v>
      </c>
      <c r="AT7" s="91">
        <f>INDEX(LINEST(1/(AV7:AY7),1/SQRT(AV6:AY6)),1)</f>
        <v>-1.7230122535623253</v>
      </c>
      <c r="AU7" s="3"/>
      <c r="AV7" s="73">
        <v>0.89045622199999996</v>
      </c>
      <c r="AW7" s="73">
        <v>0.79811809499999997</v>
      </c>
      <c r="AX7" s="73">
        <v>0.80343056899999998</v>
      </c>
      <c r="AY7" s="73">
        <v>0.75825843000000004</v>
      </c>
      <c r="AZ7" s="53"/>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53"/>
      <c r="CI7" s="53"/>
      <c r="CJ7" s="53"/>
      <c r="CK7" s="53"/>
      <c r="CL7" s="53"/>
      <c r="CM7" s="53"/>
      <c r="CN7" s="53"/>
      <c r="CO7" s="53"/>
      <c r="CP7" s="53"/>
      <c r="CQ7" s="53"/>
      <c r="CR7" s="1"/>
      <c r="CS7" s="1"/>
      <c r="CT7" s="1"/>
      <c r="CU7" s="1"/>
    </row>
    <row r="8" spans="1:99" s="13" customFormat="1" ht="12" customHeight="1" x14ac:dyDescent="0.2">
      <c r="A8" s="65">
        <v>43509</v>
      </c>
      <c r="B8" s="1"/>
      <c r="C8" s="1"/>
      <c r="D8" s="60"/>
      <c r="E8" s="76"/>
      <c r="F8" s="60"/>
      <c r="G8" s="60"/>
      <c r="H8" s="60"/>
      <c r="I8" s="60"/>
      <c r="J8" s="60"/>
      <c r="K8" s="64"/>
      <c r="L8" s="64"/>
      <c r="M8" s="60"/>
      <c r="N8" s="60"/>
      <c r="O8" s="60"/>
      <c r="P8" s="60"/>
      <c r="Q8" s="60"/>
      <c r="R8" s="60"/>
      <c r="S8" s="60"/>
      <c r="T8" s="60"/>
      <c r="U8" s="60"/>
      <c r="V8" s="60"/>
      <c r="W8" s="60"/>
      <c r="X8" s="60"/>
      <c r="Y8" s="76"/>
      <c r="Z8" s="60"/>
      <c r="AA8" s="60"/>
      <c r="AB8" s="60"/>
      <c r="AC8" s="60"/>
      <c r="AD8" s="60"/>
      <c r="AE8" s="60"/>
      <c r="AF8" s="80"/>
      <c r="AG8" s="56"/>
      <c r="AH8" s="4"/>
      <c r="AI8" s="56"/>
      <c r="AJ8" s="109"/>
      <c r="AK8" s="56"/>
      <c r="AL8" s="56"/>
      <c r="AM8" s="56"/>
      <c r="AN8" s="56"/>
      <c r="AO8" s="56"/>
      <c r="AP8" s="56"/>
      <c r="AQ8" s="56"/>
      <c r="AR8" s="109"/>
      <c r="AS8" s="56"/>
      <c r="AT8" s="56"/>
      <c r="AU8" s="4"/>
      <c r="AV8" s="25">
        <f>20*60</f>
        <v>1200</v>
      </c>
      <c r="AW8" s="25">
        <f>24*60*60*1</f>
        <v>86400</v>
      </c>
      <c r="AX8" s="25">
        <f>24*60*60*7</f>
        <v>604800</v>
      </c>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c r="CP8" s="53"/>
      <c r="CQ8" s="53"/>
      <c r="CR8" s="1"/>
      <c r="CS8" s="1"/>
      <c r="CT8" s="1"/>
      <c r="CU8" s="1"/>
    </row>
    <row r="9" spans="1:99" s="13" customFormat="1" ht="12" customHeight="1" x14ac:dyDescent="0.2">
      <c r="A9" s="65">
        <v>43509</v>
      </c>
      <c r="B9" s="1" t="s">
        <v>91</v>
      </c>
      <c r="C9" s="1" t="s">
        <v>70</v>
      </c>
      <c r="D9" s="60">
        <v>2010</v>
      </c>
      <c r="E9" s="76">
        <v>1</v>
      </c>
      <c r="F9" s="60">
        <v>84</v>
      </c>
      <c r="G9" s="60">
        <v>28</v>
      </c>
      <c r="H9" s="60" t="s">
        <v>50</v>
      </c>
      <c r="I9" s="60" t="s">
        <v>662</v>
      </c>
      <c r="J9" s="60" t="s">
        <v>61</v>
      </c>
      <c r="K9" s="60">
        <f>IF(J9="syllables",1,IF(J9="trigrams",2,IF(J9="strings",3,IF(J9="visual array",4,IF(J9="characters",5,IF(J9="letters",6,IF(J9="free forms",7,IF(J9="odors",8,IF(J9="words",9,IF(J9="pictures",10,IF(J9="object pictures",11,IF(J9="faces",12,IF(J9="names",13,IF(J9="idioms",14,IF(J9="grades",15,IF(J9="syllable-digit pairs",16,IF(J9="trigram-word pairs",17,IF(J9="word-digit pairs",18,IF(J9="English-Swahili pairs",19,IF(J9="spatial position",20,IF(J9="word pairs",21,IF(J9="word triads",22,IF(J9="generated words",23,IF(J9="word definition pairs",24,IF(J9="math problems",25,IF(J9="famous faces",26,IF(J9="famous names",27,IF(J9="famous voices",28,IF(J9="television programs",29,IF(J9="race horses",30,IF(J9="new vocabulary",31,IF(J9="sentences",32,IF(J9="concepts",33,IF(J9="ad slides",34,IF(J9="scenes",35,IF(J9="famous scenes",36,IF(J9="poems",37,IF(J9="walk",38,IF(J9="faces and events",39,IF(J9="events and names",40,IF(J9="flashbulb",41,IF(J9="stories",42,IF(J9="course material",43,IF(J9="autobiographical",44,IF(J9="novels",45,IF(J9="public events",46,"99"))))))))))))))))))))))))))))))))))))))))))))))</f>
        <v>42</v>
      </c>
      <c r="L9" s="60">
        <f>IF(J9="syllables",1,IF(J9="trigrams",1,IF(J9="strings",1,IF(J9="visual array",1,IF(J9="characters",1,IF(J9="letters",1,IF(J9="free forms",1,IF(J9="odors",2,IF(J9="words",2,IF(J9="pictures",2,IF(J9="object pictures",2,IF(J9="faces",2,IF(J9="names",2,IF(J9="idioms","2",IF(J9="grades",2,IF(J9="syllable-digit pairs",3,IF(J9="trigram-word pairs",3,IF(J9="word-digit pairs",3,IF(J9="English-Swahili pairs",3,IF(J9="spatial position",3,IF(J9="word pairs",4,IF(J9="word triads",4,IF(J9="generated words",4,IF(J9="word definition pairs",4,IF(J9="math problems",4,IF(J9="famous faces",4,IF(J9="famous names",4,IF(J9="famous voices",4,IF(J9="television programs",4,IF(J9="race horses",4,IF(J9="new vocabulary",4,IF(J9="sentences",5,IF(J9="concepts",5,IF(J9="ad slides",5,IF(J9="scenes",5,IF(J9="famous scenes",5,IF(J9="poems",6,IF(J9="walk",6,IF(J9="faces and events",6,IF(J9="events and names",6,IF(J9="flashbulb",7,IF(J9="stories",7,IF(J9="course material",7,IF(J9="autobiographical",7,IF(J9="novels",7,IF(J9="public events",7,"99"))))))))))))))))))))))))))))))))))))))))))))))</f>
        <v>7</v>
      </c>
      <c r="M9" s="60">
        <v>0</v>
      </c>
      <c r="N9" s="60">
        <v>4</v>
      </c>
      <c r="O9" s="60">
        <v>1</v>
      </c>
      <c r="P9" s="60" t="s">
        <v>92</v>
      </c>
      <c r="Q9" s="60" t="s">
        <v>174</v>
      </c>
      <c r="R9" s="60">
        <f>IF(Q9="Free Recall",1,IF(Q9="Cued Recall",2,IF(Q9="Recognition",3,IF(Q9="Multiple Choice",4,IF(Q9="Savings",5,IF(Q9="Stem Completion",6,IF(Q9="Fragment Completion",7,IF(Q9="anagram solution",8,IF(Q9="Matching",9,IF(Q9="Problem Solving",10,"99"))))))))))</f>
        <v>1</v>
      </c>
      <c r="S9" s="60" t="s">
        <v>15</v>
      </c>
      <c r="T9" s="59" t="s">
        <v>261</v>
      </c>
      <c r="U9" s="60">
        <f>IF(T9="within",1,0)</f>
        <v>0</v>
      </c>
      <c r="V9" s="59">
        <v>48</v>
      </c>
      <c r="W9" s="60">
        <f>F9*V9</f>
        <v>4032</v>
      </c>
      <c r="X9" s="60">
        <v>3</v>
      </c>
      <c r="Y9" s="76">
        <f>AV8</f>
        <v>1200</v>
      </c>
      <c r="Z9" s="60" t="s">
        <v>97</v>
      </c>
      <c r="AA9" s="60">
        <v>604800</v>
      </c>
      <c r="AB9" s="60" t="str">
        <f>IF(AA9&lt;60,"1",IF(AA9&lt;=43200,"2",IF(AA9&lt;=777600,"3","4")))</f>
        <v>3</v>
      </c>
      <c r="AC9" s="56">
        <f>AVERAGE(AV8:DA8)</f>
        <v>230800</v>
      </c>
      <c r="AD9" s="60" t="str">
        <f>IF(AC9&lt;60,"1",IF(AC9&lt;=43200,"2",IF(AC9&lt;=777600,"3","4")))</f>
        <v>3</v>
      </c>
      <c r="AE9" s="76">
        <f>AA9-Y9</f>
        <v>603600</v>
      </c>
      <c r="AF9" s="80">
        <f>AV9</f>
        <v>0.60399999999999998</v>
      </c>
      <c r="AG9" s="56">
        <f>((AW9-AV9)+(AX9-AW9))/2</f>
        <v>-4.2499999999999982E-2</v>
      </c>
      <c r="AH9" s="4"/>
      <c r="AI9" s="56">
        <f>RSQ(AV9:AX9,AV8:AX8)</f>
        <v>0.77878398076363653</v>
      </c>
      <c r="AJ9" s="109">
        <f>SLOPE(AV9:AX9,AV8:AX8)</f>
        <v>-1.807354001658143E-7</v>
      </c>
      <c r="AK9" s="56">
        <f>INTERCEPT(AV9:AX9,AV8:AX8)</f>
        <v>0.63304706369160335</v>
      </c>
      <c r="AL9" s="56">
        <f>INDEX(LINEST(LN(AV9:AX9),LN(AV8:AX8),TRUE,TRUE),3,1)</f>
        <v>0.23296513274876129</v>
      </c>
      <c r="AM9" s="56">
        <f>INDEX(LINEST(LN(AV9:AX9),LN(AV8:AX8)),1)</f>
        <v>-1.7505181395033102E-2</v>
      </c>
      <c r="AN9" s="56">
        <f>EXP(INDEX(LINEST(LN(AV9:AX9),LN(AV8:AX8)),1,2))</f>
        <v>0.70865776077852982</v>
      </c>
      <c r="AO9" s="82">
        <f>INDEX(LINEST((AV9:AX9),LN(AV8:AX8),TRUE,TRUE),3,1)</f>
        <v>0.20942269192848584</v>
      </c>
      <c r="AP9" s="82">
        <f>INDEX(LINEST((AV9:AX9),LN(AV8:AX8)),1)</f>
        <v>-9.6185145089980224E-3</v>
      </c>
      <c r="AQ9" s="83">
        <f>INDEX(LINEST(LN(AV9:AX9),SQRT(AV8:AX8),TRUE,TRUE),3,1)</f>
        <v>0.60318843534265221</v>
      </c>
      <c r="AR9" s="116">
        <f>INDEX(LINEST(LN(AV9:AX9),SQRT((AV8:AX8))),1)</f>
        <v>-2.3774958238986972E-4</v>
      </c>
      <c r="AS9" s="84">
        <f>INDEX(LINEST(1/(AV9:AX9),1/(SQRT(AV8:AX8)),TRUE,TRUE),3,1)</f>
        <v>8.1447151231600873E-2</v>
      </c>
      <c r="AT9" s="84">
        <f>INDEX(LINEST(1/(AV9:AX9),1/SQRT(AV8:AX8)),1)</f>
        <v>-3.7219066405166217</v>
      </c>
      <c r="AU9" s="3"/>
      <c r="AV9" s="53">
        <v>0.60399999999999998</v>
      </c>
      <c r="AW9" s="53">
        <v>0.65100000000000002</v>
      </c>
      <c r="AX9" s="53">
        <v>0.51900000000000002</v>
      </c>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c r="CP9" s="53"/>
      <c r="CQ9" s="53"/>
      <c r="CR9" s="1"/>
      <c r="CS9" s="1"/>
      <c r="CT9" s="1"/>
      <c r="CU9" s="1"/>
    </row>
    <row r="10" spans="1:99" s="13" customFormat="1" ht="12" customHeight="1" x14ac:dyDescent="0.2">
      <c r="A10" s="65">
        <v>43509</v>
      </c>
      <c r="B10" s="1"/>
      <c r="C10" s="1"/>
      <c r="D10" s="60"/>
      <c r="E10" s="76"/>
      <c r="F10" s="60"/>
      <c r="G10" s="60"/>
      <c r="H10" s="60"/>
      <c r="I10" s="60"/>
      <c r="J10" s="60"/>
      <c r="K10" s="64"/>
      <c r="L10" s="64"/>
      <c r="M10" s="60"/>
      <c r="N10" s="60"/>
      <c r="O10" s="60"/>
      <c r="P10" s="60"/>
      <c r="Q10" s="60"/>
      <c r="R10" s="60"/>
      <c r="S10" s="60"/>
      <c r="T10" s="60"/>
      <c r="U10" s="60"/>
      <c r="V10" s="60"/>
      <c r="W10" s="60"/>
      <c r="X10" s="60"/>
      <c r="Y10" s="76"/>
      <c r="Z10" s="60"/>
      <c r="AA10" s="60"/>
      <c r="AB10" s="60"/>
      <c r="AC10" s="60"/>
      <c r="AD10" s="60"/>
      <c r="AE10" s="60"/>
      <c r="AF10" s="80"/>
      <c r="AG10" s="56"/>
      <c r="AH10" s="4"/>
      <c r="AI10" s="56"/>
      <c r="AJ10" s="109"/>
      <c r="AK10" s="56"/>
      <c r="AL10" s="56"/>
      <c r="AM10" s="56"/>
      <c r="AN10" s="56"/>
      <c r="AO10" s="56"/>
      <c r="AP10" s="56"/>
      <c r="AQ10" s="56"/>
      <c r="AR10" s="109"/>
      <c r="AS10" s="56"/>
      <c r="AT10" s="56"/>
      <c r="AU10" s="4"/>
      <c r="AV10" s="25">
        <f>20*60</f>
        <v>1200</v>
      </c>
      <c r="AW10" s="25">
        <f>24*60*60*1</f>
        <v>86400</v>
      </c>
      <c r="AX10" s="25">
        <f>24*60*60*7</f>
        <v>604800</v>
      </c>
      <c r="AY10" s="53"/>
      <c r="AZ10" s="53"/>
      <c r="BA10" s="53"/>
      <c r="BB10" s="53"/>
      <c r="BC10" s="53"/>
      <c r="BD10" s="53"/>
      <c r="BE10" s="53"/>
      <c r="BF10" s="53"/>
      <c r="BG10" s="53"/>
      <c r="BH10" s="53"/>
      <c r="BI10" s="53"/>
      <c r="BJ10" s="53"/>
      <c r="BK10" s="53"/>
      <c r="BL10" s="53"/>
      <c r="BM10" s="53"/>
      <c r="BN10" s="53"/>
      <c r="BO10" s="53"/>
      <c r="BP10" s="53"/>
      <c r="BQ10" s="53"/>
      <c r="BR10" s="53"/>
      <c r="BS10" s="53"/>
      <c r="BT10" s="53"/>
      <c r="BU10" s="53"/>
      <c r="BV10" s="53"/>
      <c r="BW10" s="53"/>
      <c r="BX10" s="53"/>
      <c r="BY10" s="53"/>
      <c r="BZ10" s="53"/>
      <c r="CA10" s="53"/>
      <c r="CB10" s="53"/>
      <c r="CC10" s="53"/>
      <c r="CD10" s="53"/>
      <c r="CE10" s="53"/>
      <c r="CF10" s="53"/>
      <c r="CG10" s="53"/>
      <c r="CH10" s="53"/>
      <c r="CI10" s="53"/>
      <c r="CJ10" s="53"/>
      <c r="CK10" s="53"/>
      <c r="CL10" s="53"/>
      <c r="CM10" s="53"/>
      <c r="CN10" s="53"/>
      <c r="CO10" s="53"/>
      <c r="CP10" s="53"/>
      <c r="CQ10" s="53"/>
      <c r="CR10" s="1"/>
      <c r="CS10" s="1"/>
      <c r="CT10" s="1"/>
      <c r="CU10" s="1"/>
    </row>
    <row r="11" spans="1:99" s="13" customFormat="1" ht="12" customHeight="1" x14ac:dyDescent="0.2">
      <c r="A11" s="65">
        <v>43509</v>
      </c>
      <c r="B11" s="1" t="s">
        <v>91</v>
      </c>
      <c r="C11" s="1" t="s">
        <v>70</v>
      </c>
      <c r="D11" s="60">
        <v>2010</v>
      </c>
      <c r="E11" s="76">
        <v>1</v>
      </c>
      <c r="F11" s="60">
        <v>84</v>
      </c>
      <c r="G11" s="60">
        <v>28</v>
      </c>
      <c r="H11" s="60" t="s">
        <v>50</v>
      </c>
      <c r="I11" s="60" t="s">
        <v>663</v>
      </c>
      <c r="J11" s="60" t="s">
        <v>61</v>
      </c>
      <c r="K11" s="60">
        <f>IF(J11="syllables",1,IF(J11="trigrams",2,IF(J11="strings",3,IF(J11="visual array",4,IF(J11="characters",5,IF(J11="letters",6,IF(J11="free forms",7,IF(J11="odors",8,IF(J11="words",9,IF(J11="pictures",10,IF(J11="object pictures",11,IF(J11="faces",12,IF(J11="names",13,IF(J11="idioms",14,IF(J11="grades",15,IF(J11="syllable-digit pairs",16,IF(J11="trigram-word pairs",17,IF(J11="word-digit pairs",18,IF(J11="English-Swahili pairs",19,IF(J11="spatial position",20,IF(J11="word pairs",21,IF(J11="word triads",22,IF(J11="generated words",23,IF(J11="word definition pairs",24,IF(J11="math problems",25,IF(J11="famous faces",26,IF(J11="famous names",27,IF(J11="famous voices",28,IF(J11="television programs",29,IF(J11="race horses",30,IF(J11="new vocabulary",31,IF(J11="sentences",32,IF(J11="concepts",33,IF(J11="ad slides",34,IF(J11="scenes",35,IF(J11="famous scenes",36,IF(J11="poems",37,IF(J11="walk",38,IF(J11="faces and events",39,IF(J11="events and names",40,IF(J11="flashbulb",41,IF(J11="stories",42,IF(J11="course material",43,IF(J11="autobiographical",44,IF(J11="novels",45,IF(J11="public events",46,"99"))))))))))))))))))))))))))))))))))))))))))))))</f>
        <v>42</v>
      </c>
      <c r="L11" s="60">
        <f>IF(J11="syllables",1,IF(J11="trigrams",1,IF(J11="strings",1,IF(J11="visual array",1,IF(J11="characters",1,IF(J11="letters",1,IF(J11="free forms",1,IF(J11="odors",2,IF(J11="words",2,IF(J11="pictures",2,IF(J11="object pictures",2,IF(J11="faces",2,IF(J11="names",2,IF(J11="idioms","2",IF(J11="grades",2,IF(J11="syllable-digit pairs",3,IF(J11="trigram-word pairs",3,IF(J11="word-digit pairs",3,IF(J11="English-Swahili pairs",3,IF(J11="spatial position",3,IF(J11="word pairs",4,IF(J11="word triads",4,IF(J11="generated words",4,IF(J11="word definition pairs",4,IF(J11="math problems",4,IF(J11="famous faces",4,IF(J11="famous names",4,IF(J11="famous voices",4,IF(J11="television programs",4,IF(J11="race horses",4,IF(J11="new vocabulary",4,IF(J11="sentences",5,IF(J11="concepts",5,IF(J11="ad slides",5,IF(J11="scenes",5,IF(J11="famous scenes",5,IF(J11="poems",6,IF(J11="walk",6,IF(J11="faces and events",6,IF(J11="events and names",6,IF(J11="flashbulb",7,IF(J11="stories",7,IF(J11="course material",7,IF(J11="autobiographical",7,IF(J11="novels",7,IF(J11="public events",7,"99"))))))))))))))))))))))))))))))))))))))))))))))</f>
        <v>7</v>
      </c>
      <c r="M11" s="60">
        <v>0</v>
      </c>
      <c r="N11" s="60">
        <v>4</v>
      </c>
      <c r="O11" s="60">
        <v>1</v>
      </c>
      <c r="P11" s="60" t="s">
        <v>92</v>
      </c>
      <c r="Q11" s="60" t="s">
        <v>174</v>
      </c>
      <c r="R11" s="60">
        <f>IF(Q11="Free Recall",1,IF(Q11="Cued Recall",2,IF(Q11="Recognition",3,IF(Q11="Multiple Choice",4,IF(Q11="Savings",5,IF(Q11="Stem Completion",6,IF(Q11="Fragment Completion",7,IF(Q11="anagram solution",8,IF(Q11="Matching",9,IF(Q11="Problem Solving",10,"99"))))))))))</f>
        <v>1</v>
      </c>
      <c r="S11" s="60" t="s">
        <v>15</v>
      </c>
      <c r="T11" s="59" t="s">
        <v>261</v>
      </c>
      <c r="U11" s="60">
        <f>IF(T11="within",1,0)</f>
        <v>0</v>
      </c>
      <c r="V11" s="59">
        <v>48</v>
      </c>
      <c r="W11" s="60">
        <f>F11*V11</f>
        <v>4032</v>
      </c>
      <c r="X11" s="60">
        <v>3</v>
      </c>
      <c r="Y11" s="76">
        <f>AV10</f>
        <v>1200</v>
      </c>
      <c r="Z11" s="60" t="s">
        <v>97</v>
      </c>
      <c r="AA11" s="60">
        <v>604800</v>
      </c>
      <c r="AB11" s="60" t="str">
        <f>IF(AA11&lt;60,"1",IF(AA11&lt;=43200,"2",IF(AA11&lt;=777600,"3","4")))</f>
        <v>3</v>
      </c>
      <c r="AC11" s="56">
        <f>AVERAGE(AV10:DA10)</f>
        <v>230800</v>
      </c>
      <c r="AD11" s="60" t="str">
        <f>IF(AC11&lt;60,"1",IF(AC11&lt;=43200,"2",IF(AC11&lt;=777600,"3","4")))</f>
        <v>3</v>
      </c>
      <c r="AE11" s="76">
        <f>AA11-Y11</f>
        <v>603600</v>
      </c>
      <c r="AF11" s="80">
        <f>AV11</f>
        <v>0.52600000000000002</v>
      </c>
      <c r="AG11" s="56">
        <f>((AW11-AV11)+(AX11-AW11))/2</f>
        <v>-7.9000000000000015E-2</v>
      </c>
      <c r="AH11" s="4"/>
      <c r="AI11" s="56">
        <f>RSQ(AV11:AX11,AV10:AX10)</f>
        <v>0.9936071203038136</v>
      </c>
      <c r="AJ11" s="109">
        <f>SLOPE(AV11:AX11,AV10:AX10)</f>
        <v>-2.7076202641335755E-7</v>
      </c>
      <c r="AK11" s="56">
        <f>INTERCEPT(AV11:AX11,AV10:AX10)</f>
        <v>0.53282520902953623</v>
      </c>
      <c r="AL11" s="56">
        <f>INDEX(LINEST(LN(AV11:AX11),LN(AV10:AX10),TRUE,TRUE),3,1)</f>
        <v>0.59116122874336929</v>
      </c>
      <c r="AM11" s="56">
        <f>INDEX(LINEST(LN(AV11:AX11),LN(AV10:AX10)),1)</f>
        <v>-4.8656392858362589E-2</v>
      </c>
      <c r="AN11" s="56">
        <f>EXP(INDEX(LINEST(LN(AV11:AX11),LN(AV10:AX10)),1,2))</f>
        <v>0.77723156194502485</v>
      </c>
      <c r="AO11" s="82">
        <f>INDEX(LINEST((AV11:AX11),LN(AV10:AX10),TRUE,TRUE),3,1)</f>
        <v>0.5989007001772092</v>
      </c>
      <c r="AP11" s="82">
        <f>INDEX(LINEST((AV11:AX11),LN(AV10:AX10)),1)</f>
        <v>-2.1573431696713535E-2</v>
      </c>
      <c r="AQ11" s="83">
        <f>INDEX(LINEST(LN(AV11:AX11),SQRT(AV10:AX10),TRUE,TRUE),3,1)</f>
        <v>0.90804873600990355</v>
      </c>
      <c r="AR11" s="116">
        <f>INDEX(LINEST(LN(AV11:AX11),SQRT((AV10:AX10))),1)</f>
        <v>-5.0899512654635037E-4</v>
      </c>
      <c r="AS11" s="84">
        <f>INDEX(LINEST(1/(AV11:AX11),1/(SQRT(AV10:AX10)),TRUE,TRUE),3,1)</f>
        <v>0.34557897982582991</v>
      </c>
      <c r="AT11" s="84">
        <f>INDEX(LINEST(1/(AV11:AX11),1/SQRT(AV10:AX10)),1)</f>
        <v>-17.693560044573399</v>
      </c>
      <c r="AU11" s="3"/>
      <c r="AV11" s="53">
        <v>0.52600000000000002</v>
      </c>
      <c r="AW11" s="53">
        <v>0.51700000000000002</v>
      </c>
      <c r="AX11" s="53">
        <v>0.36799999999999999</v>
      </c>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1"/>
      <c r="CS11" s="1"/>
      <c r="CT11" s="1"/>
      <c r="CU11" s="1"/>
    </row>
    <row r="12" spans="1:99" s="13" customFormat="1" ht="12" customHeight="1" x14ac:dyDescent="0.2">
      <c r="A12" s="65">
        <v>43509</v>
      </c>
      <c r="B12" s="1"/>
      <c r="C12" s="1"/>
      <c r="D12" s="60"/>
      <c r="E12" s="76"/>
      <c r="F12" s="60"/>
      <c r="G12" s="60"/>
      <c r="H12" s="60"/>
      <c r="I12" s="60"/>
      <c r="J12" s="60"/>
      <c r="K12" s="64"/>
      <c r="L12" s="64"/>
      <c r="M12" s="60"/>
      <c r="N12" s="60"/>
      <c r="O12" s="60"/>
      <c r="P12" s="60"/>
      <c r="Q12" s="60"/>
      <c r="R12" s="60"/>
      <c r="S12" s="60"/>
      <c r="T12" s="60"/>
      <c r="U12" s="60"/>
      <c r="V12" s="60"/>
      <c r="W12" s="60"/>
      <c r="X12" s="60"/>
      <c r="Y12" s="76"/>
      <c r="Z12" s="60"/>
      <c r="AA12" s="60"/>
      <c r="AB12" s="60"/>
      <c r="AC12" s="60"/>
      <c r="AD12" s="60"/>
      <c r="AE12" s="60"/>
      <c r="AF12" s="80"/>
      <c r="AG12" s="56"/>
      <c r="AH12" s="4"/>
      <c r="AI12" s="56"/>
      <c r="AJ12" s="109"/>
      <c r="AK12" s="56"/>
      <c r="AL12" s="56"/>
      <c r="AM12" s="56"/>
      <c r="AN12" s="56"/>
      <c r="AO12" s="56"/>
      <c r="AP12" s="56"/>
      <c r="AQ12" s="56"/>
      <c r="AR12" s="109"/>
      <c r="AS12" s="56"/>
      <c r="AT12" s="56"/>
      <c r="AU12" s="4"/>
      <c r="AV12" s="25">
        <f>20*60</f>
        <v>1200</v>
      </c>
      <c r="AW12" s="25">
        <f>24*60*60*1</f>
        <v>86400</v>
      </c>
      <c r="AX12" s="25">
        <f>24*60*60*7</f>
        <v>604800</v>
      </c>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1"/>
      <c r="CS12" s="1"/>
      <c r="CT12" s="1"/>
      <c r="CU12" s="1"/>
    </row>
    <row r="13" spans="1:99" s="13" customFormat="1" ht="12" customHeight="1" x14ac:dyDescent="0.2">
      <c r="A13" s="65">
        <v>43509</v>
      </c>
      <c r="B13" s="1" t="s">
        <v>91</v>
      </c>
      <c r="C13" s="1" t="s">
        <v>70</v>
      </c>
      <c r="D13" s="60">
        <v>2010</v>
      </c>
      <c r="E13" s="76">
        <v>1</v>
      </c>
      <c r="F13" s="60">
        <v>84</v>
      </c>
      <c r="G13" s="60">
        <v>28</v>
      </c>
      <c r="H13" s="60" t="s">
        <v>50</v>
      </c>
      <c r="I13" s="60" t="s">
        <v>664</v>
      </c>
      <c r="J13" s="60" t="s">
        <v>61</v>
      </c>
      <c r="K13" s="60">
        <f>IF(J13="syllables",1,IF(J13="trigrams",2,IF(J13="strings",3,IF(J13="visual array",4,IF(J13="characters",5,IF(J13="letters",6,IF(J13="free forms",7,IF(J13="odors",8,IF(J13="words",9,IF(J13="pictures",10,IF(J13="object pictures",11,IF(J13="faces",12,IF(J13="names",13,IF(J13="idioms",14,IF(J13="grades",15,IF(J13="syllable-digit pairs",16,IF(J13="trigram-word pairs",17,IF(J13="word-digit pairs",18,IF(J13="English-Swahili pairs",19,IF(J13="spatial position",20,IF(J13="word pairs",21,IF(J13="word triads",22,IF(J13="generated words",23,IF(J13="word definition pairs",24,IF(J13="math problems",25,IF(J13="famous faces",26,IF(J13="famous names",27,IF(J13="famous voices",28,IF(J13="television programs",29,IF(J13="race horses",30,IF(J13="new vocabulary",31,IF(J13="sentences",32,IF(J13="concepts",33,IF(J13="ad slides",34,IF(J13="scenes",35,IF(J13="famous scenes",36,IF(J13="poems",37,IF(J13="walk",38,IF(J13="faces and events",39,IF(J13="events and names",40,IF(J13="flashbulb",41,IF(J13="stories",42,IF(J13="course material",43,IF(J13="autobiographical",44,IF(J13="novels",45,IF(J13="public events",46,"99"))))))))))))))))))))))))))))))))))))))))))))))</f>
        <v>42</v>
      </c>
      <c r="L13" s="60">
        <f>IF(J13="syllables",1,IF(J13="trigrams",1,IF(J13="strings",1,IF(J13="visual array",1,IF(J13="characters",1,IF(J13="letters",1,IF(J13="free forms",1,IF(J13="odors",2,IF(J13="words",2,IF(J13="pictures",2,IF(J13="object pictures",2,IF(J13="faces",2,IF(J13="names",2,IF(J13="idioms","2",IF(J13="grades",2,IF(J13="syllable-digit pairs",3,IF(J13="trigram-word pairs",3,IF(J13="word-digit pairs",3,IF(J13="English-Swahili pairs",3,IF(J13="spatial position",3,IF(J13="word pairs",4,IF(J13="word triads",4,IF(J13="generated words",4,IF(J13="word definition pairs",4,IF(J13="math problems",4,IF(J13="famous faces",4,IF(J13="famous names",4,IF(J13="famous voices",4,IF(J13="television programs",4,IF(J13="race horses",4,IF(J13="new vocabulary",4,IF(J13="sentences",5,IF(J13="concepts",5,IF(J13="ad slides",5,IF(J13="scenes",5,IF(J13="famous scenes",5,IF(J13="poems",6,IF(J13="walk",6,IF(J13="faces and events",6,IF(J13="events and names",6,IF(J13="flashbulb",7,IF(J13="stories",7,IF(J13="course material",7,IF(J13="autobiographical",7,IF(J13="novels",7,IF(J13="public events",7,"99"))))))))))))))))))))))))))))))))))))))))))))))</f>
        <v>7</v>
      </c>
      <c r="M13" s="60">
        <v>0</v>
      </c>
      <c r="N13" s="60">
        <v>3</v>
      </c>
      <c r="O13" s="60">
        <v>1</v>
      </c>
      <c r="P13" s="60" t="s">
        <v>92</v>
      </c>
      <c r="Q13" s="60" t="s">
        <v>174</v>
      </c>
      <c r="R13" s="60">
        <f>IF(Q13="Free Recall",1,IF(Q13="Cued Recall",2,IF(Q13="Recognition",3,IF(Q13="Multiple Choice",4,IF(Q13="Savings",5,IF(Q13="Stem Completion",6,IF(Q13="Fragment Completion",7,IF(Q13="anagram solution",8,IF(Q13="Matching",9,IF(Q13="Problem Solving",10,"99"))))))))))</f>
        <v>1</v>
      </c>
      <c r="S13" s="60" t="s">
        <v>15</v>
      </c>
      <c r="T13" s="59" t="s">
        <v>261</v>
      </c>
      <c r="U13" s="60">
        <f>IF(T13="within",1,0)</f>
        <v>0</v>
      </c>
      <c r="V13" s="59">
        <v>48</v>
      </c>
      <c r="W13" s="60">
        <f>F13*V13</f>
        <v>4032</v>
      </c>
      <c r="X13" s="60">
        <v>3</v>
      </c>
      <c r="Y13" s="76">
        <f>AV12</f>
        <v>1200</v>
      </c>
      <c r="Z13" s="60" t="s">
        <v>97</v>
      </c>
      <c r="AA13" s="60">
        <v>604800</v>
      </c>
      <c r="AB13" s="60" t="str">
        <f>IF(AA13&lt;60,"1",IF(AA13&lt;=43200,"2",IF(AA13&lt;=777600,"3","4")))</f>
        <v>3</v>
      </c>
      <c r="AC13" s="56">
        <f>AVERAGE(AV12:DA12)</f>
        <v>230800</v>
      </c>
      <c r="AD13" s="60" t="str">
        <f>IF(AC13&lt;60,"1",IF(AC13&lt;=43200,"2",IF(AC13&lt;=777600,"3","4")))</f>
        <v>3</v>
      </c>
      <c r="AE13" s="76">
        <f>AA13-Y13</f>
        <v>603600</v>
      </c>
      <c r="AF13" s="80">
        <f>AV13</f>
        <v>0.54200000000000004</v>
      </c>
      <c r="AG13" s="56">
        <f>((AW13-AV13)+(AX13-AW13))/2</f>
        <v>-0.15200000000000002</v>
      </c>
      <c r="AH13" s="4"/>
      <c r="AI13" s="56">
        <f>RSQ(AV13:AX13,AV12:AX12)</f>
        <v>0.9219648966041839</v>
      </c>
      <c r="AJ13" s="109">
        <f>SLOPE(AV13:AX13,AV12:AX12)</f>
        <v>-4.4946222775936237E-7</v>
      </c>
      <c r="AK13" s="56">
        <f>INTERCEPT(AV13:AX13,AV12:AX12)</f>
        <v>0.50340254883352753</v>
      </c>
      <c r="AL13" s="56">
        <f>INDEX(LINEST(LN(AV13:AX13),LN(AV12:AX12),TRUE,TRUE),3,1)</f>
        <v>0.82930688571354905</v>
      </c>
      <c r="AM13" s="56">
        <f>INDEX(LINEST(LN(AV13:AX13),LN(AV12:AX12)),1)</f>
        <v>-0.12044284994417628</v>
      </c>
      <c r="AN13" s="56">
        <f>EXP(INDEX(LINEST(LN(AV13:AX13),LN(AV12:AX12)),1,2))</f>
        <v>1.3537103161744559</v>
      </c>
      <c r="AO13" s="82">
        <f>INDEX(LINEST((AV13:AX13),LN(AV12:AX12),TRUE,TRUE),3,1)</f>
        <v>0.89943841856676909</v>
      </c>
      <c r="AP13" s="82">
        <f>INDEX(LINEST((AV13:AX13),LN(AV12:AX12)),1)</f>
        <v>-4.5559939592300557E-2</v>
      </c>
      <c r="AQ13" s="83">
        <f>INDEX(LINEST(LN(AV13:AX13),SQRT(AV12:AX12),TRUE,TRUE),3,1)</f>
        <v>0.99837905987354936</v>
      </c>
      <c r="AR13" s="116">
        <f>INDEX(LINEST(LN(AV13:AX13),SQRT((AV12:AX12))),1)</f>
        <v>-1.115432326382016E-3</v>
      </c>
      <c r="AS13" s="84">
        <f>INDEX(LINEST(1/(AV13:AX13),1/(SQRT(AV12:AX12)),TRUE,TRUE),3,1)</f>
        <v>0.52836658035672579</v>
      </c>
      <c r="AT13" s="84">
        <f>INDEX(LINEST(1/(AV13:AX13),1/SQRT(AV12:AX12)),1)</f>
        <v>-58.451788278513547</v>
      </c>
      <c r="AU13" s="3"/>
      <c r="AV13" s="53">
        <v>0.54200000000000004</v>
      </c>
      <c r="AW13" s="53">
        <v>0.41899999999999998</v>
      </c>
      <c r="AX13" s="53">
        <v>0.23799999999999999</v>
      </c>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c r="BZ13" s="53"/>
      <c r="CA13" s="53"/>
      <c r="CB13" s="53"/>
      <c r="CC13" s="53"/>
      <c r="CD13" s="53"/>
      <c r="CE13" s="53"/>
      <c r="CF13" s="53"/>
      <c r="CG13" s="53"/>
      <c r="CH13" s="53"/>
      <c r="CI13" s="53"/>
      <c r="CJ13" s="53"/>
      <c r="CK13" s="53"/>
      <c r="CL13" s="53"/>
      <c r="CM13" s="53"/>
      <c r="CN13" s="53"/>
      <c r="CO13" s="53"/>
      <c r="CP13" s="53"/>
      <c r="CQ13" s="53"/>
      <c r="CR13" s="1"/>
      <c r="CS13" s="1"/>
      <c r="CT13" s="1"/>
      <c r="CU13" s="1"/>
    </row>
    <row r="14" spans="1:99" ht="12" customHeight="1" x14ac:dyDescent="0.2">
      <c r="A14" s="68">
        <v>43509</v>
      </c>
      <c r="B14" s="94"/>
      <c r="C14" s="94"/>
      <c r="D14" s="92"/>
      <c r="E14" s="105"/>
      <c r="F14" s="92"/>
      <c r="G14" s="92"/>
      <c r="H14" s="92"/>
      <c r="I14" s="92"/>
      <c r="J14" s="92"/>
      <c r="K14" s="107"/>
      <c r="L14" s="107"/>
      <c r="M14" s="92"/>
      <c r="N14" s="92"/>
      <c r="O14" s="92"/>
      <c r="P14" s="92"/>
      <c r="Q14" s="92"/>
      <c r="R14" s="69"/>
      <c r="S14" s="92"/>
      <c r="T14" s="92"/>
      <c r="U14" s="69"/>
      <c r="V14" s="92"/>
      <c r="W14" s="69"/>
      <c r="X14" s="92"/>
      <c r="Y14" s="87"/>
      <c r="Z14" s="92"/>
      <c r="AA14" s="92"/>
      <c r="AB14" s="69"/>
      <c r="AC14" s="69"/>
      <c r="AD14" s="69"/>
      <c r="AE14" s="69"/>
      <c r="AF14" s="88"/>
      <c r="AG14" s="72"/>
      <c r="AH14" s="4"/>
      <c r="AI14" s="108"/>
      <c r="AJ14" s="113"/>
      <c r="AK14" s="108"/>
      <c r="AL14" s="108"/>
      <c r="AM14" s="108"/>
      <c r="AN14" s="108"/>
      <c r="AO14" s="108"/>
      <c r="AP14" s="108"/>
      <c r="AQ14" s="108"/>
      <c r="AR14" s="113"/>
      <c r="AS14" s="108"/>
      <c r="AT14" s="108"/>
      <c r="AU14" s="3"/>
      <c r="AV14" s="98">
        <v>300</v>
      </c>
      <c r="AW14" s="98">
        <f>2*24*3600</f>
        <v>172800</v>
      </c>
      <c r="AX14" s="98">
        <f>7*24*3600</f>
        <v>604800</v>
      </c>
      <c r="AY14" s="11" t="s">
        <v>508</v>
      </c>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5"/>
      <c r="CS14" s="15"/>
      <c r="CT14" s="15"/>
      <c r="CU14" s="15"/>
    </row>
    <row r="15" spans="1:99" ht="12" customHeight="1" x14ac:dyDescent="0.2">
      <c r="A15" s="68">
        <v>43509</v>
      </c>
      <c r="B15" s="127" t="s">
        <v>266</v>
      </c>
      <c r="C15" s="94" t="s">
        <v>78</v>
      </c>
      <c r="D15" s="92">
        <v>1987</v>
      </c>
      <c r="E15" s="105">
        <v>1</v>
      </c>
      <c r="F15" s="92">
        <v>59</v>
      </c>
      <c r="G15" s="92">
        <v>19.7</v>
      </c>
      <c r="H15" s="92" t="s">
        <v>22</v>
      </c>
      <c r="I15" s="92"/>
      <c r="J15" s="92" t="s">
        <v>172</v>
      </c>
      <c r="K15" s="69">
        <f>IF(J15="syllables",1,IF(J15="trigrams",2,IF(J15="strings",3,IF(J15="visual array",4,IF(J15="characters",5,IF(J15="letters",6,IF(J15="free forms",7,IF(J15="odors",8,IF(J15="words",9,IF(J15="pictures",10,IF(J15="object pictures",11,IF(J15="faces",12,IF(J15="names",13,IF(J15="idioms",14,IF(J15="grades",15,IF(J15="syllable-digit pairs",16,IF(J15="trigram-word pairs",17,IF(J15="word-digit pairs",18,IF(J15="English-Swahili pairs",19,IF(J15="spatial position",20,IF(J15="word pairs",21,IF(J15="word triads",22,IF(J15="generated words",23,IF(J15="word definition pairs",24,IF(J15="math problems",25,IF(J15="famous faces",26,IF(J15="famous names",27,IF(J15="famous voices",28,IF(J15="television programs",29,IF(J15="race horses",30,IF(J15="new vocabulary",31,IF(J15="sentences",32,IF(J15="concepts",33,IF(J15="ad slides",34,IF(J15="scenes",35,IF(J15="famous scenes",36,IF(J15="poems",37,IF(J15="walk",38,IF(J15="faces and events",39,IF(J15="events and names",40,IF(J15="flashbulb",41,IF(J15="stories",42,IF(J15="course material",43,IF(J15="autobiographical",44,IF(J15="novels",45,IF(J15="public events",46,"99"))))))))))))))))))))))))))))))))))))))))))))))</f>
        <v>12</v>
      </c>
      <c r="L15" s="69">
        <f>IF(J15="syllables",1,IF(J15="trigrams",1,IF(J15="strings",1,IF(J15="visual array",1,IF(J15="characters",1,IF(J15="letters",1,IF(J15="free forms",1,IF(J15="odors",2,IF(J15="words",2,IF(J15="pictures",2,IF(J15="object pictures",2,IF(J15="faces",2,IF(J15="names",2,IF(J15="idioms","2",IF(J15="grades",2,IF(J15="syllable-digit pairs",3,IF(J15="trigram-word pairs",3,IF(J15="word-digit pairs",3,IF(J15="English-Swahili pairs",3,IF(J15="spatial position",3,IF(J15="word pairs",4,IF(J15="word triads",4,IF(J15="generated words",4,IF(J15="word definition pairs",4,IF(J15="math problems",4,IF(J15="famous faces",4,IF(J15="famous names",4,IF(J15="famous voices",4,IF(J15="television programs",4,IF(J15="race horses",4,IF(J15="new vocabulary",4,IF(J15="sentences",5,IF(J15="concepts",5,IF(J15="ad slides",5,IF(J15="scenes",5,IF(J15="famous scenes",5,IF(J15="poems",6,IF(J15="walk",6,IF(J15="faces and events",6,IF(J15="events and names",6,IF(J15="flashbulb",7,IF(J15="stories",7,IF(J15="course material",7,IF(J15="autobiographical",7,IF(J15="novels",7,IF(J15="public events",7,"99"))))))))))))))))))))))))))))))))))))))))))))))</f>
        <v>2</v>
      </c>
      <c r="M15" s="92">
        <v>0</v>
      </c>
      <c r="N15" s="92">
        <v>1</v>
      </c>
      <c r="O15" s="92">
        <v>0</v>
      </c>
      <c r="P15" s="92"/>
      <c r="Q15" s="92" t="s">
        <v>34</v>
      </c>
      <c r="R15" s="69">
        <f>IF(Q15="Free Recall",1,IF(Q15="Cued Recall",2,IF(Q15="Recognition",3,IF(Q15="Multiple Choice",4,IF(Q15="Savings",5,IF(Q15="Stem Completion",6,IF(Q15="Fragment Completion",7,IF(Q15="anagram solution",8,IF(Q15="Matching",9,IF(Q15="Problem Solving",10,"99"))))))))))</f>
        <v>3</v>
      </c>
      <c r="S15" s="92" t="s">
        <v>15</v>
      </c>
      <c r="T15" s="92" t="s">
        <v>261</v>
      </c>
      <c r="U15" s="69">
        <f>IF(T15="within",1,0)</f>
        <v>0</v>
      </c>
      <c r="V15" s="92">
        <v>32</v>
      </c>
      <c r="W15" s="69">
        <f>F15*V15</f>
        <v>1888</v>
      </c>
      <c r="X15" s="92">
        <v>3</v>
      </c>
      <c r="Y15" s="87">
        <f>AV14</f>
        <v>300</v>
      </c>
      <c r="Z15" s="92" t="s">
        <v>97</v>
      </c>
      <c r="AA15" s="92">
        <f>7*24*3600</f>
        <v>604800</v>
      </c>
      <c r="AB15" s="69" t="str">
        <f>IF(AA15&lt;60,"1",IF(AA15&lt;=43200,"2",IF(AA15&lt;=777600,"3","4")))</f>
        <v>3</v>
      </c>
      <c r="AC15" s="72">
        <f>AVERAGE(AV14:DA14)</f>
        <v>259300</v>
      </c>
      <c r="AD15" s="69" t="str">
        <f>IF(AC15&lt;60,"1",IF(AC15&lt;=43200,"2",IF(AC15&lt;=777600,"3","4")))</f>
        <v>3</v>
      </c>
      <c r="AE15" s="87">
        <f>AA15-Y15</f>
        <v>604500</v>
      </c>
      <c r="AF15" s="88">
        <f>AV15</f>
        <v>0.66</v>
      </c>
      <c r="AG15" s="72">
        <f>((AW15-AV15)+(AX15-AW15))/2</f>
        <v>-0.11000000000000001</v>
      </c>
      <c r="AH15" s="4"/>
      <c r="AI15" s="72">
        <f>RSQ(AV15:AX15,AV14:AX14)</f>
        <v>0.91525444869696848</v>
      </c>
      <c r="AJ15" s="110">
        <f>SLOPE(AV15:AX15,AV14:AX14)</f>
        <v>-3.3841497214251277E-7</v>
      </c>
      <c r="AK15" s="72">
        <f>INTERCEPT(AV15:AX15,AV14:AX14)</f>
        <v>0.63441766894322027</v>
      </c>
      <c r="AL15" s="72">
        <f>INDEX(LINEST(LN(AV15:AX15),LN(AV14:AX14),TRUE,TRUE),3,1)</f>
        <v>0.86562266443730396</v>
      </c>
      <c r="AM15" s="72">
        <f>INDEX(LINEST(LN(AV15:AX15),LN(AV14:AX14)),1)</f>
        <v>-4.623442866854223E-2</v>
      </c>
      <c r="AN15" s="72">
        <f>EXP(INDEX(LINEST(LN(AV15:AX15),LN(AV14:AX14)),1,2))</f>
        <v>0.87055124156505437</v>
      </c>
      <c r="AO15" s="89">
        <f>INDEX(LINEST((AV15:AX15),LN(AV14:AX14),TRUE,TRUE),3,1)</f>
        <v>0.90282324083473775</v>
      </c>
      <c r="AP15" s="89">
        <f>INDEX(LINEST((AV15:AX15),LN(AV14:AX14)),1)</f>
        <v>-2.5654386709831563E-2</v>
      </c>
      <c r="AQ15" s="90">
        <f>INDEX(LINEST(LN(AV15:AX15),SQRT(AV14:AX14),TRUE,TRUE),3,1)</f>
        <v>0.99887921280820136</v>
      </c>
      <c r="AR15" s="117">
        <f>INDEX(LINEST(LN(AV15:AX15),SQRT((AV14:AX14))),1)</f>
        <v>-5.3275536179431455E-4</v>
      </c>
      <c r="AS15" s="91">
        <f>INDEX(LINEST(1/(AV15:AX15),1/(SQRT(AV14:AX14)),TRUE,TRUE),3,1)</f>
        <v>0.70851409109736041</v>
      </c>
      <c r="AT15" s="91">
        <f>INDEX(LINEST(1/(AV15:AX15),1/SQRT(AV14:AX14)),1)</f>
        <v>-9.899854636132039</v>
      </c>
      <c r="AU15" s="3"/>
      <c r="AV15" s="97">
        <v>0.66</v>
      </c>
      <c r="AW15" s="97">
        <v>0.54</v>
      </c>
      <c r="AX15" s="97">
        <v>0.44</v>
      </c>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5"/>
      <c r="CS15" s="15"/>
      <c r="CT15" s="15"/>
      <c r="CU15" s="15"/>
    </row>
    <row r="16" spans="1:99" s="13" customFormat="1" ht="12" customHeight="1" x14ac:dyDescent="0.2">
      <c r="A16" s="68">
        <v>43899</v>
      </c>
      <c r="B16" s="70"/>
      <c r="C16" s="70"/>
      <c r="D16" s="69"/>
      <c r="E16" s="87"/>
      <c r="F16" s="69"/>
      <c r="G16" s="69"/>
      <c r="H16" s="69"/>
      <c r="I16" s="104"/>
      <c r="J16" s="69"/>
      <c r="K16" s="107"/>
      <c r="L16" s="107"/>
      <c r="M16" s="69"/>
      <c r="N16" s="86"/>
      <c r="O16" s="69"/>
      <c r="P16" s="69"/>
      <c r="Q16" s="69"/>
      <c r="R16" s="69"/>
      <c r="S16" s="69"/>
      <c r="T16" s="69"/>
      <c r="U16" s="69"/>
      <c r="V16" s="69"/>
      <c r="W16" s="69"/>
      <c r="X16" s="69"/>
      <c r="Y16" s="87"/>
      <c r="Z16" s="69"/>
      <c r="AA16" s="69"/>
      <c r="AB16" s="69"/>
      <c r="AC16" s="72"/>
      <c r="AD16" s="69"/>
      <c r="AE16" s="69"/>
      <c r="AF16" s="88"/>
      <c r="AG16" s="72"/>
      <c r="AH16" s="4"/>
      <c r="AI16" s="72"/>
      <c r="AJ16" s="110"/>
      <c r="AK16" s="72"/>
      <c r="AL16" s="72"/>
      <c r="AM16" s="72"/>
      <c r="AN16" s="72"/>
      <c r="AO16" s="89"/>
      <c r="AP16" s="89"/>
      <c r="AQ16" s="90"/>
      <c r="AR16" s="117"/>
      <c r="AS16" s="91"/>
      <c r="AT16" s="91"/>
      <c r="AU16" s="3"/>
      <c r="AV16" s="71">
        <v>3600</v>
      </c>
      <c r="AW16" s="71">
        <v>172800</v>
      </c>
      <c r="AX16" s="71">
        <v>604800</v>
      </c>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1"/>
      <c r="CS16" s="1"/>
      <c r="CT16" s="1"/>
      <c r="CU16" s="1"/>
    </row>
    <row r="17" spans="1:99" s="13" customFormat="1" ht="12" customHeight="1" x14ac:dyDescent="0.25">
      <c r="A17" s="68">
        <v>43899</v>
      </c>
      <c r="B17" s="70" t="s">
        <v>378</v>
      </c>
      <c r="C17" s="70" t="s">
        <v>107</v>
      </c>
      <c r="D17" s="69">
        <v>1994</v>
      </c>
      <c r="E17" s="105">
        <v>1</v>
      </c>
      <c r="F17" s="69">
        <v>36</v>
      </c>
      <c r="G17" s="69">
        <v>12</v>
      </c>
      <c r="H17" s="69" t="s">
        <v>38</v>
      </c>
      <c r="I17" s="104" t="s">
        <v>379</v>
      </c>
      <c r="J17" s="69" t="s">
        <v>61</v>
      </c>
      <c r="K17" s="69">
        <f>IF(J17="syllables",1,IF(J17="trigrams",2,IF(J17="strings",3,IF(J17="visual array",4,IF(J17="characters",5,IF(J17="letters",6,IF(J17="free forms",7,IF(J17="odors",8,IF(J17="words",9,IF(J17="pictures",10,IF(J17="object pictures",11,IF(J17="faces",12,IF(J17="names",13,IF(J17="idioms",14,IF(J17="grades",15,IF(J17="syllable-digit pairs",16,IF(J17="trigram-word pairs",17,IF(J17="word-digit pairs",18,IF(J17="English-Swahili pairs",19,IF(J17="spatial position",20,IF(J17="word pairs",21,IF(J17="word triads",22,IF(J17="generated words",23,IF(J17="word definition pairs",24,IF(J17="math problems",25,IF(J17="famous faces",26,IF(J17="famous names",27,IF(J17="famous voices",28,IF(J17="television programs",29,IF(J17="race horses",30,IF(J17="new vocabulary",31,IF(J17="sentences",32,IF(J17="concepts",33,IF(J17="ad slides",34,IF(J17="scenes",35,IF(J17="famous scenes",36,IF(J17="poems",37,IF(J17="walk",38,IF(J17="faces and events",39,IF(J17="events and names",40,IF(J17="flashbulb",41,IF(J17="stories",42,IF(J17="course material",43,IF(J17="autobiographical",44,IF(J17="novels",45,IF(J17="public events",46,"99"))))))))))))))))))))))))))))))))))))))))))))))</f>
        <v>42</v>
      </c>
      <c r="L17" s="69">
        <f>IF(J17="syllables",1,IF(J17="trigrams",1,IF(J17="strings",1,IF(J17="visual array",1,IF(J17="characters",1,IF(J17="letters",1,IF(J17="free forms",1,IF(J17="odors",2,IF(J17="words",2,IF(J17="pictures",2,IF(J17="object pictures",2,IF(J17="faces",2,IF(J17="names",2,IF(J17="idioms","2",IF(J17="grades",2,IF(J17="syllable-digit pairs",3,IF(J17="trigram-word pairs",3,IF(J17="word-digit pairs",3,IF(J17="English-Swahili pairs",3,IF(J17="spatial position",3,IF(J17="word pairs",4,IF(J17="word triads",4,IF(J17="generated words",4,IF(J17="word definition pairs",4,IF(J17="math problems",4,IF(J17="famous faces",4,IF(J17="famous names",4,IF(J17="famous voices",4,IF(J17="television programs",4,IF(J17="race horses",4,IF(J17="new vocabulary",4,IF(J17="sentences",5,IF(J17="concepts",5,IF(J17="ad slides",5,IF(J17="scenes",5,IF(J17="famous scenes",5,IF(J17="poems",6,IF(J17="walk",6,IF(J17="faces and events",6,IF(J17="events and names",6,IF(J17="flashbulb",7,IF(J17="stories",7,IF(J17="course material",7,IF(J17="autobiographical",7,IF(J17="novels",7,IF(J17="public events",7,"99"))))))))))))))))))))))))))))))))))))))))))))))</f>
        <v>7</v>
      </c>
      <c r="M17" s="69">
        <v>0</v>
      </c>
      <c r="N17" s="86">
        <v>3</v>
      </c>
      <c r="O17" s="69">
        <v>0</v>
      </c>
      <c r="P17" s="69"/>
      <c r="Q17" s="69" t="s">
        <v>34</v>
      </c>
      <c r="R17" s="69">
        <f>IF(Q17="Free Recall",1,IF(Q17="Cued Recall",2,IF(Q17="Recognition",3,IF(Q17="Multiple Choice",4,IF(Q17="Savings",5,IF(Q17="Stem Completion",6,IF(Q17="Fragment Completion",7,IF(Q17="anagram solution",8,IF(Q17="Matching",9,IF(Q17="Problem Solving",10,"99"))))))))))</f>
        <v>3</v>
      </c>
      <c r="S17" s="69" t="s">
        <v>15</v>
      </c>
      <c r="T17" s="92" t="s">
        <v>261</v>
      </c>
      <c r="U17" s="69">
        <f>IF(T17="within",1,0)</f>
        <v>0</v>
      </c>
      <c r="V17" s="92">
        <v>18</v>
      </c>
      <c r="W17" s="69">
        <f>F17*V17</f>
        <v>648</v>
      </c>
      <c r="X17" s="69">
        <v>3</v>
      </c>
      <c r="Y17" s="87">
        <f>AV16</f>
        <v>3600</v>
      </c>
      <c r="Z17" s="69" t="s">
        <v>97</v>
      </c>
      <c r="AA17" s="69">
        <v>604800</v>
      </c>
      <c r="AB17" s="69" t="str">
        <f>IF(AA17&lt;60,"1",IF(AA17&lt;=43200,"2",IF(AA17&lt;=777600,"3","4")))</f>
        <v>3</v>
      </c>
      <c r="AC17" s="72">
        <f>AVERAGE(AV16:DA16)</f>
        <v>260400</v>
      </c>
      <c r="AD17" s="69" t="str">
        <f>IF(AC17&lt;60,"1",IF(AC17&lt;=43200,"2",IF(AC17&lt;=777600,"3","4")))</f>
        <v>3</v>
      </c>
      <c r="AE17" s="87">
        <f>AA17-Y17</f>
        <v>601200</v>
      </c>
      <c r="AF17" s="88">
        <f>AV17</f>
        <v>0.76</v>
      </c>
      <c r="AG17" s="72">
        <f>((AW17-AV17)+(AX17-AW17))/2</f>
        <v>-7.7500000000000013E-2</v>
      </c>
      <c r="AH17" s="4"/>
      <c r="AI17" s="72">
        <f>RSQ(AV17:AX17,AV16:AX16)</f>
        <v>0.83870043379104664</v>
      </c>
      <c r="AJ17" s="110">
        <f>SLOPE(AV17:AX17,AV16:AX16)</f>
        <v>-2.3212653752228564E-7</v>
      </c>
      <c r="AK17" s="72">
        <f>INTERCEPT(AV17:AX17,AV16:AX16)</f>
        <v>0.73544575037080306</v>
      </c>
      <c r="AL17" s="72">
        <f>INDEX(LINEST(LN(AV17:AX17),LN(AV16:AX16),TRUE,TRUE),3,1)</f>
        <v>0.97740603967154405</v>
      </c>
      <c r="AM17" s="72">
        <f>INDEX(LINEST(LN(AV17:AX17),LN(AV16:AX16)),1)</f>
        <v>-4.2603286173484557E-2</v>
      </c>
      <c r="AN17" s="72">
        <f>EXP(INDEX(LINEST(LN(AV17:AX17),LN(AV16:AX16)),1,2))</f>
        <v>1.0823268619917041</v>
      </c>
      <c r="AO17" s="89">
        <f>INDEX(LINEST((AV17:AX17),LN(AV16:AX16),TRUE,TRUE),3,1)</f>
        <v>0.9854727342926638</v>
      </c>
      <c r="AP17" s="89">
        <f>INDEX(LINEST((AV17:AX17),LN(AV16:AX16)),1)</f>
        <v>-2.9203886909062927E-2</v>
      </c>
      <c r="AQ17" s="90">
        <f>INDEX(LINEST(LN(AV17:AX17),SQRT(AV16:AX16),TRUE,TRUE),3,1)</f>
        <v>0.98022708743421327</v>
      </c>
      <c r="AR17" s="117">
        <f>INDEX(LINEST(LN(AV17:AX17),SQRT((AV16:AX16))),1)</f>
        <v>-3.1758300966863782E-4</v>
      </c>
      <c r="AS17" s="91">
        <f>INDEX(LINEST(1/(AV17:AX17),1/(SQRT(AV16:AX16)),TRUE,TRUE),3,1)</f>
        <v>0.88040811826201304</v>
      </c>
      <c r="AT17" s="91">
        <f>INDEX(LINEST(1/(AV17:AX17),1/SQRT(AV16:AX16)),1)</f>
        <v>-18.545463965624503</v>
      </c>
      <c r="AU17" s="3"/>
      <c r="AV17" s="160">
        <v>0.76</v>
      </c>
      <c r="AW17" s="160">
        <v>0.65999999999999992</v>
      </c>
      <c r="AX17" s="160">
        <v>0.60499999999999998</v>
      </c>
      <c r="AY17" s="53"/>
      <c r="AZ17" s="134"/>
      <c r="BA17" s="134"/>
      <c r="BB17" s="134"/>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1"/>
      <c r="CS17" s="1"/>
      <c r="CT17" s="1"/>
      <c r="CU17" s="1"/>
    </row>
    <row r="18" spans="1:99" s="13" customFormat="1" ht="12" customHeight="1" x14ac:dyDescent="0.2">
      <c r="A18" s="68">
        <v>43899</v>
      </c>
      <c r="B18" s="70"/>
      <c r="C18" s="70"/>
      <c r="D18" s="69"/>
      <c r="E18" s="87"/>
      <c r="F18" s="69"/>
      <c r="G18" s="69"/>
      <c r="H18" s="69"/>
      <c r="I18" s="104"/>
      <c r="J18" s="69"/>
      <c r="K18" s="107"/>
      <c r="L18" s="107"/>
      <c r="M18" s="69"/>
      <c r="N18" s="86"/>
      <c r="O18" s="69"/>
      <c r="P18" s="69"/>
      <c r="Q18" s="69"/>
      <c r="R18" s="69"/>
      <c r="S18" s="69"/>
      <c r="T18" s="69"/>
      <c r="U18" s="69"/>
      <c r="V18" s="69"/>
      <c r="W18" s="69"/>
      <c r="X18" s="69"/>
      <c r="Y18" s="87"/>
      <c r="Z18" s="69"/>
      <c r="AA18" s="69"/>
      <c r="AB18" s="69"/>
      <c r="AC18" s="72"/>
      <c r="AD18" s="69"/>
      <c r="AE18" s="69"/>
      <c r="AF18" s="88"/>
      <c r="AG18" s="72"/>
      <c r="AH18" s="4"/>
      <c r="AI18" s="72"/>
      <c r="AJ18" s="110"/>
      <c r="AK18" s="72"/>
      <c r="AL18" s="72"/>
      <c r="AM18" s="72"/>
      <c r="AN18" s="72"/>
      <c r="AO18" s="89"/>
      <c r="AP18" s="89"/>
      <c r="AQ18" s="90"/>
      <c r="AR18" s="117"/>
      <c r="AS18" s="91"/>
      <c r="AT18" s="91"/>
      <c r="AU18" s="3"/>
      <c r="AV18" s="71">
        <v>3600</v>
      </c>
      <c r="AW18" s="71">
        <v>172800</v>
      </c>
      <c r="AX18" s="71">
        <v>604800</v>
      </c>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1"/>
      <c r="CS18" s="1"/>
      <c r="CT18" s="1"/>
      <c r="CU18" s="1"/>
    </row>
    <row r="19" spans="1:99" s="13" customFormat="1" ht="12" customHeight="1" x14ac:dyDescent="0.2">
      <c r="A19" s="68">
        <v>43899</v>
      </c>
      <c r="B19" s="70" t="s">
        <v>378</v>
      </c>
      <c r="C19" s="70" t="s">
        <v>107</v>
      </c>
      <c r="D19" s="69">
        <v>1994</v>
      </c>
      <c r="E19" s="105">
        <v>1</v>
      </c>
      <c r="F19" s="69">
        <v>36</v>
      </c>
      <c r="G19" s="69">
        <v>12</v>
      </c>
      <c r="H19" s="69" t="s">
        <v>38</v>
      </c>
      <c r="I19" s="104" t="s">
        <v>380</v>
      </c>
      <c r="J19" s="69" t="s">
        <v>61</v>
      </c>
      <c r="K19" s="69">
        <f>IF(J19="syllables",1,IF(J19="trigrams",2,IF(J19="strings",3,IF(J19="visual array",4,IF(J19="characters",5,IF(J19="letters",6,IF(J19="free forms",7,IF(J19="odors",8,IF(J19="words",9,IF(J19="pictures",10,IF(J19="object pictures",11,IF(J19="faces",12,IF(J19="names",13,IF(J19="idioms",14,IF(J19="grades",15,IF(J19="syllable-digit pairs",16,IF(J19="trigram-word pairs",17,IF(J19="word-digit pairs",18,IF(J19="English-Swahili pairs",19,IF(J19="spatial position",20,IF(J19="word pairs",21,IF(J19="word triads",22,IF(J19="generated words",23,IF(J19="word definition pairs",24,IF(J19="math problems",25,IF(J19="famous faces",26,IF(J19="famous names",27,IF(J19="famous voices",28,IF(J19="television programs",29,IF(J19="race horses",30,IF(J19="new vocabulary",31,IF(J19="sentences",32,IF(J19="concepts",33,IF(J19="ad slides",34,IF(J19="scenes",35,IF(J19="famous scenes",36,IF(J19="poems",37,IF(J19="walk",38,IF(J19="faces and events",39,IF(J19="events and names",40,IF(J19="flashbulb",41,IF(J19="stories",42,IF(J19="course material",43,IF(J19="autobiographical",44,IF(J19="novels",45,IF(J19="public events",46,"99"))))))))))))))))))))))))))))))))))))))))))))))</f>
        <v>42</v>
      </c>
      <c r="L19" s="69">
        <f>IF(J19="syllables",1,IF(J19="trigrams",1,IF(J19="strings",1,IF(J19="visual array",1,IF(J19="characters",1,IF(J19="letters",1,IF(J19="free forms",1,IF(J19="odors",2,IF(J19="words",2,IF(J19="pictures",2,IF(J19="object pictures",2,IF(J19="faces",2,IF(J19="names",2,IF(J19="idioms","2",IF(J19="grades",2,IF(J19="syllable-digit pairs",3,IF(J19="trigram-word pairs",3,IF(J19="word-digit pairs",3,IF(J19="English-Swahili pairs",3,IF(J19="spatial position",3,IF(J19="word pairs",4,IF(J19="word triads",4,IF(J19="generated words",4,IF(J19="word definition pairs",4,IF(J19="math problems",4,IF(J19="famous faces",4,IF(J19="famous names",4,IF(J19="famous voices",4,IF(J19="television programs",4,IF(J19="race horses",4,IF(J19="new vocabulary",4,IF(J19="sentences",5,IF(J19="concepts",5,IF(J19="ad slides",5,IF(J19="scenes",5,IF(J19="famous scenes",5,IF(J19="poems",6,IF(J19="walk",6,IF(J19="faces and events",6,IF(J19="events and names",6,IF(J19="flashbulb",7,IF(J19="stories",7,IF(J19="course material",7,IF(J19="autobiographical",7,IF(J19="novels",7,IF(J19="public events",7,"99"))))))))))))))))))))))))))))))))))))))))))))))</f>
        <v>7</v>
      </c>
      <c r="M19" s="69">
        <v>0</v>
      </c>
      <c r="N19" s="86">
        <v>3</v>
      </c>
      <c r="O19" s="69">
        <v>0</v>
      </c>
      <c r="P19" s="69"/>
      <c r="Q19" s="69" t="s">
        <v>34</v>
      </c>
      <c r="R19" s="69">
        <f>IF(Q19="Free Recall",1,IF(Q19="Cued Recall",2,IF(Q19="Recognition",3,IF(Q19="Multiple Choice",4,IF(Q19="Savings",5,IF(Q19="Stem Completion",6,IF(Q19="Fragment Completion",7,IF(Q19="anagram solution",8,IF(Q19="Matching",9,IF(Q19="Problem Solving",10,"99"))))))))))</f>
        <v>3</v>
      </c>
      <c r="S19" s="69" t="s">
        <v>15</v>
      </c>
      <c r="T19" s="92" t="s">
        <v>261</v>
      </c>
      <c r="U19" s="69">
        <f>IF(T19="within",1,0)</f>
        <v>0</v>
      </c>
      <c r="V19" s="92">
        <v>18</v>
      </c>
      <c r="W19" s="69">
        <f>F19*V19</f>
        <v>648</v>
      </c>
      <c r="X19" s="69">
        <v>3</v>
      </c>
      <c r="Y19" s="87">
        <f>AV18</f>
        <v>3600</v>
      </c>
      <c r="Z19" s="69" t="s">
        <v>97</v>
      </c>
      <c r="AA19" s="69">
        <v>604800</v>
      </c>
      <c r="AB19" s="69" t="str">
        <f>IF(AA19&lt;60,"1",IF(AA19&lt;=43200,"2",IF(AA19&lt;=777600,"3","4")))</f>
        <v>3</v>
      </c>
      <c r="AC19" s="72">
        <f>AVERAGE(AV18:DA18)</f>
        <v>260400</v>
      </c>
      <c r="AD19" s="69" t="str">
        <f>IF(AC19&lt;60,"1",IF(AC19&lt;=43200,"2",IF(AC19&lt;=777600,"3","4")))</f>
        <v>3</v>
      </c>
      <c r="AE19" s="87">
        <f>AA19-Y19</f>
        <v>601200</v>
      </c>
      <c r="AF19" s="88">
        <f>AV19</f>
        <v>0.93500000000000005</v>
      </c>
      <c r="AG19" s="72">
        <f>((AW19-AV19)+(AX19-AW19))/2</f>
        <v>-7.7500000000000013E-2</v>
      </c>
      <c r="AH19" s="4"/>
      <c r="AI19" s="72">
        <f>RSQ(AV19:AX19,AV18:AX18)</f>
        <v>0.72337049649623597</v>
      </c>
      <c r="AJ19" s="110">
        <f>SLOPE(AV19:AX19,AV18:AX18)</f>
        <v>-2.2301251991350422E-7</v>
      </c>
      <c r="AK19" s="72">
        <f>INTERCEPT(AV19:AX19,AV18:AX18)</f>
        <v>0.90140579351880989</v>
      </c>
      <c r="AL19" s="72">
        <f>INDEX(LINEST(LN(AV19:AX19),LN(AV18:AX18),TRUE,TRUE),3,1)</f>
        <v>0.99999393771204281</v>
      </c>
      <c r="AM19" s="72">
        <f>INDEX(LINEST(LN(AV19:AX19),LN(AV18:AX18)),1)</f>
        <v>-3.5399228764858529E-2</v>
      </c>
      <c r="AN19" s="72">
        <f>EXP(INDEX(LINEST(LN(AV19:AX19),LN(AV18:AX18)),1,2))</f>
        <v>1.2493226058595268</v>
      </c>
      <c r="AO19" s="89">
        <f>INDEX(LINEST((AV19:AX19),LN(AV18:AX18),TRUE,TRUE),3,1)</f>
        <v>0.99961080584458661</v>
      </c>
      <c r="AP19" s="89">
        <f>INDEX(LINEST((AV19:AX19),LN(AV18:AX18)),1)</f>
        <v>-3.0427152581133477E-2</v>
      </c>
      <c r="AQ19" s="90">
        <f>INDEX(LINEST(LN(AV19:AX19),SQRT(AV18:AX18),TRUE,TRUE),3,1)</f>
        <v>0.91578682355466834</v>
      </c>
      <c r="AR19" s="117">
        <f>INDEX(LINEST(LN(AV19:AX19),SQRT((AV18:AX18))),1)</f>
        <v>-2.5216257578609318E-4</v>
      </c>
      <c r="AS19" s="91">
        <f>INDEX(LINEST(1/(AV19:AX19),1/(SQRT(AV18:AX18)),TRUE,TRUE),3,1)</f>
        <v>0.96547201561879159</v>
      </c>
      <c r="AT19" s="91">
        <f>INDEX(LINEST(1/(AV19:AX19),1/SQRT(AV18:AX18)),1)</f>
        <v>-12.639004423297221</v>
      </c>
      <c r="AU19" s="3"/>
      <c r="AV19" s="160">
        <v>0.93500000000000005</v>
      </c>
      <c r="AW19" s="160">
        <v>0.81499999999999995</v>
      </c>
      <c r="AX19" s="160">
        <v>0.78</v>
      </c>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1"/>
      <c r="CS19" s="1"/>
      <c r="CT19" s="1"/>
      <c r="CU19" s="1"/>
    </row>
    <row r="20" spans="1:99" s="13" customFormat="1" ht="12" customHeight="1" x14ac:dyDescent="0.2">
      <c r="A20" s="68">
        <v>43899</v>
      </c>
      <c r="B20" s="70"/>
      <c r="C20" s="70"/>
      <c r="D20" s="69"/>
      <c r="E20" s="87"/>
      <c r="F20" s="69"/>
      <c r="G20" s="69"/>
      <c r="H20" s="69"/>
      <c r="I20" s="104"/>
      <c r="J20" s="69"/>
      <c r="K20" s="107"/>
      <c r="L20" s="107"/>
      <c r="M20" s="69"/>
      <c r="N20" s="86"/>
      <c r="O20" s="69"/>
      <c r="P20" s="69"/>
      <c r="Q20" s="69"/>
      <c r="R20" s="69"/>
      <c r="S20" s="69"/>
      <c r="T20" s="69"/>
      <c r="U20" s="69"/>
      <c r="V20" s="69"/>
      <c r="W20" s="69"/>
      <c r="X20" s="69"/>
      <c r="Y20" s="87"/>
      <c r="Z20" s="69"/>
      <c r="AA20" s="69"/>
      <c r="AB20" s="69"/>
      <c r="AC20" s="72"/>
      <c r="AD20" s="69"/>
      <c r="AE20" s="69"/>
      <c r="AF20" s="88"/>
      <c r="AG20" s="72"/>
      <c r="AH20" s="4"/>
      <c r="AI20" s="72"/>
      <c r="AJ20" s="110"/>
      <c r="AK20" s="72"/>
      <c r="AL20" s="72"/>
      <c r="AM20" s="72"/>
      <c r="AN20" s="72"/>
      <c r="AO20" s="89"/>
      <c r="AP20" s="89"/>
      <c r="AQ20" s="90"/>
      <c r="AR20" s="117"/>
      <c r="AS20" s="91"/>
      <c r="AT20" s="91"/>
      <c r="AU20" s="3"/>
      <c r="AV20" s="71">
        <v>3600</v>
      </c>
      <c r="AW20" s="71">
        <v>172800</v>
      </c>
      <c r="AX20" s="71">
        <v>604800</v>
      </c>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1"/>
      <c r="CS20" s="1"/>
      <c r="CT20" s="1"/>
      <c r="CU20" s="1"/>
    </row>
    <row r="21" spans="1:99" s="13" customFormat="1" ht="12" customHeight="1" x14ac:dyDescent="0.2">
      <c r="A21" s="68">
        <v>43899</v>
      </c>
      <c r="B21" s="70" t="s">
        <v>378</v>
      </c>
      <c r="C21" s="70" t="s">
        <v>107</v>
      </c>
      <c r="D21" s="69">
        <v>1994</v>
      </c>
      <c r="E21" s="105">
        <v>1</v>
      </c>
      <c r="F21" s="69">
        <v>36</v>
      </c>
      <c r="G21" s="69">
        <v>12</v>
      </c>
      <c r="H21" s="69" t="s">
        <v>38</v>
      </c>
      <c r="I21" s="104" t="s">
        <v>381</v>
      </c>
      <c r="J21" s="69" t="s">
        <v>61</v>
      </c>
      <c r="K21" s="69">
        <f>IF(J21="syllables",1,IF(J21="trigrams",2,IF(J21="strings",3,IF(J21="visual array",4,IF(J21="characters",5,IF(J21="letters",6,IF(J21="free forms",7,IF(J21="odors",8,IF(J21="words",9,IF(J21="pictures",10,IF(J21="object pictures",11,IF(J21="faces",12,IF(J21="names",13,IF(J21="idioms",14,IF(J21="grades",15,IF(J21="syllable-digit pairs",16,IF(J21="trigram-word pairs",17,IF(J21="word-digit pairs",18,IF(J21="English-Swahili pairs",19,IF(J21="spatial position",20,IF(J21="word pairs",21,IF(J21="word triads",22,IF(J21="generated words",23,IF(J21="word definition pairs",24,IF(J21="math problems",25,IF(J21="famous faces",26,IF(J21="famous names",27,IF(J21="famous voices",28,IF(J21="television programs",29,IF(J21="race horses",30,IF(J21="new vocabulary",31,IF(J21="sentences",32,IF(J21="concepts",33,IF(J21="ad slides",34,IF(J21="scenes",35,IF(J21="famous scenes",36,IF(J21="poems",37,IF(J21="walk",38,IF(J21="faces and events",39,IF(J21="events and names",40,IF(J21="flashbulb",41,IF(J21="stories",42,IF(J21="course material",43,IF(J21="autobiographical",44,IF(J21="novels",45,IF(J21="public events",46,"99"))))))))))))))))))))))))))))))))))))))))))))))</f>
        <v>42</v>
      </c>
      <c r="L21" s="69">
        <f>IF(J21="syllables",1,IF(J21="trigrams",1,IF(J21="strings",1,IF(J21="visual array",1,IF(J21="characters",1,IF(J21="letters",1,IF(J21="free forms",1,IF(J21="odors",2,IF(J21="words",2,IF(J21="pictures",2,IF(J21="object pictures",2,IF(J21="faces",2,IF(J21="names",2,IF(J21="idioms","2",IF(J21="grades",2,IF(J21="syllable-digit pairs",3,IF(J21="trigram-word pairs",3,IF(J21="word-digit pairs",3,IF(J21="English-Swahili pairs",3,IF(J21="spatial position",3,IF(J21="word pairs",4,IF(J21="word triads",4,IF(J21="generated words",4,IF(J21="word definition pairs",4,IF(J21="math problems",4,IF(J21="famous faces",4,IF(J21="famous names",4,IF(J21="famous voices",4,IF(J21="television programs",4,IF(J21="race horses",4,IF(J21="new vocabulary",4,IF(J21="sentences",5,IF(J21="concepts",5,IF(J21="ad slides",5,IF(J21="scenes",5,IF(J21="famous scenes",5,IF(J21="poems",6,IF(J21="walk",6,IF(J21="faces and events",6,IF(J21="events and names",6,IF(J21="flashbulb",7,IF(J21="stories",7,IF(J21="course material",7,IF(J21="autobiographical",7,IF(J21="novels",7,IF(J21="public events",7,"99"))))))))))))))))))))))))))))))))))))))))))))))</f>
        <v>7</v>
      </c>
      <c r="M21" s="69">
        <v>0</v>
      </c>
      <c r="N21" s="86">
        <v>3</v>
      </c>
      <c r="O21" s="69">
        <v>0</v>
      </c>
      <c r="P21" s="69"/>
      <c r="Q21" s="69" t="s">
        <v>34</v>
      </c>
      <c r="R21" s="69">
        <f>IF(Q21="Free Recall",1,IF(Q21="Cued Recall",2,IF(Q21="Recognition",3,IF(Q21="Multiple Choice",4,IF(Q21="Savings",5,IF(Q21="Stem Completion",6,IF(Q21="Fragment Completion",7,IF(Q21="anagram solution",8,IF(Q21="Matching",9,IF(Q21="Problem Solving",10,"99"))))))))))</f>
        <v>3</v>
      </c>
      <c r="S21" s="69" t="s">
        <v>15</v>
      </c>
      <c r="T21" s="92" t="s">
        <v>261</v>
      </c>
      <c r="U21" s="69">
        <f>IF(T21="within",1,0)</f>
        <v>0</v>
      </c>
      <c r="V21" s="92">
        <v>18</v>
      </c>
      <c r="W21" s="69">
        <f>F21*V21</f>
        <v>648</v>
      </c>
      <c r="X21" s="69">
        <v>3</v>
      </c>
      <c r="Y21" s="87">
        <f>AV20</f>
        <v>3600</v>
      </c>
      <c r="Z21" s="69" t="s">
        <v>97</v>
      </c>
      <c r="AA21" s="69">
        <v>604800</v>
      </c>
      <c r="AB21" s="69" t="str">
        <f>IF(AA21&lt;60,"1",IF(AA21&lt;=43200,"2",IF(AA21&lt;=777600,"3","4")))</f>
        <v>3</v>
      </c>
      <c r="AC21" s="72">
        <f>AVERAGE(AV20:DA20)</f>
        <v>260400</v>
      </c>
      <c r="AD21" s="69" t="str">
        <f>IF(AC21&lt;60,"1",IF(AC21&lt;=43200,"2",IF(AC21&lt;=777600,"3","4")))</f>
        <v>3</v>
      </c>
      <c r="AE21" s="87">
        <f>AA21-Y21</f>
        <v>601200</v>
      </c>
      <c r="AF21" s="88">
        <f>AV21</f>
        <v>0.95</v>
      </c>
      <c r="AG21" s="72">
        <f>((AW21-AV21)+(AX21-AW21))/2</f>
        <v>-6.9999999999999951E-2</v>
      </c>
      <c r="AH21" s="4"/>
      <c r="AI21" s="72">
        <f>RSQ(AV21:AX21,AV20:AX20)</f>
        <v>0.61137311380407144</v>
      </c>
      <c r="AJ21" s="110">
        <f>SLOPE(AV21:AX21,AV20:AX20)</f>
        <v>-1.9386014852103196E-7</v>
      </c>
      <c r="AK21" s="72">
        <f>INTERCEPT(AV21:AX21,AV20:AX20)</f>
        <v>0.91214784934154336</v>
      </c>
      <c r="AL21" s="72">
        <f>INDEX(LINEST(LN(AV21:AX21),LN(AV20:AX20),TRUE,TRUE),3,1)</f>
        <v>0.98285049867823959</v>
      </c>
      <c r="AM21" s="72">
        <f>INDEX(LINEST(LN(AV21:AX21),LN(AV20:AX20)),1)</f>
        <v>-3.2375909093925896E-2</v>
      </c>
      <c r="AN21" s="72">
        <f>EXP(INDEX(LINEST(LN(AV21:AX21),LN(AV20:AX20)),1,2))</f>
        <v>1.2345786402886154</v>
      </c>
      <c r="AO21" s="89">
        <f>INDEX(LINEST((AV21:AX21),LN(AV20:AX20),TRUE,TRUE),3,1)</f>
        <v>0.98081034520531929</v>
      </c>
      <c r="AP21" s="89">
        <f>INDEX(LINEST((AV21:AX21),LN(AV20:AX20)),1)</f>
        <v>-2.8498689139598469E-2</v>
      </c>
      <c r="AQ21" s="90">
        <f>INDEX(LINEST(LN(AV21:AX21),SQRT(AV20:AX20),TRUE,TRUE),3,1)</f>
        <v>0.83126547377333448</v>
      </c>
      <c r="AR21" s="117">
        <f>INDEX(LINEST(LN(AV21:AX21),SQRT((AV20:AX20))),1)</f>
        <v>-2.2163402431705161E-4</v>
      </c>
      <c r="AS21" s="91">
        <f>INDEX(LINEST(1/(AV21:AX21),1/(SQRT(AV20:AX20)),TRUE,TRUE),3,1)</f>
        <v>0.99769337695366855</v>
      </c>
      <c r="AT21" s="91">
        <f>INDEX(LINEST(1/(AV21:AX21),1/SQRT(AV20:AX20)),1)</f>
        <v>-11.554729244983886</v>
      </c>
      <c r="AU21" s="3"/>
      <c r="AV21" s="161">
        <v>0.95</v>
      </c>
      <c r="AW21" s="161">
        <v>0.82499999999999996</v>
      </c>
      <c r="AX21" s="161">
        <v>0.81</v>
      </c>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1"/>
      <c r="CS21" s="1"/>
      <c r="CT21" s="1"/>
      <c r="CU21" s="1"/>
    </row>
    <row r="22" spans="1:99" s="13" customFormat="1" ht="12" customHeight="1" x14ac:dyDescent="0.2">
      <c r="A22" s="68">
        <v>43899</v>
      </c>
      <c r="B22" s="70"/>
      <c r="C22" s="70"/>
      <c r="D22" s="69"/>
      <c r="E22" s="87"/>
      <c r="F22" s="69"/>
      <c r="G22" s="69"/>
      <c r="H22" s="69"/>
      <c r="I22" s="104"/>
      <c r="J22" s="69"/>
      <c r="K22" s="107"/>
      <c r="L22" s="107"/>
      <c r="M22" s="69"/>
      <c r="N22" s="86"/>
      <c r="O22" s="69"/>
      <c r="P22" s="69"/>
      <c r="Q22" s="69"/>
      <c r="R22" s="69"/>
      <c r="S22" s="69"/>
      <c r="T22" s="92"/>
      <c r="U22" s="69"/>
      <c r="V22" s="92"/>
      <c r="W22" s="69"/>
      <c r="X22" s="69"/>
      <c r="Y22" s="87"/>
      <c r="Z22" s="69"/>
      <c r="AA22" s="69"/>
      <c r="AB22" s="69"/>
      <c r="AC22" s="72"/>
      <c r="AD22" s="69"/>
      <c r="AE22" s="69"/>
      <c r="AF22" s="88"/>
      <c r="AG22" s="72"/>
      <c r="AH22" s="4"/>
      <c r="AI22" s="72"/>
      <c r="AJ22" s="110"/>
      <c r="AK22" s="72"/>
      <c r="AL22" s="72"/>
      <c r="AM22" s="72"/>
      <c r="AN22" s="72"/>
      <c r="AO22" s="89"/>
      <c r="AP22" s="89"/>
      <c r="AQ22" s="90"/>
      <c r="AR22" s="117"/>
      <c r="AS22" s="91"/>
      <c r="AT22" s="91"/>
      <c r="AU22" s="3"/>
      <c r="AV22" s="71">
        <v>3600</v>
      </c>
      <c r="AW22" s="71">
        <v>172800</v>
      </c>
      <c r="AX22" s="71">
        <v>604800</v>
      </c>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1"/>
      <c r="CS22" s="1"/>
      <c r="CT22" s="1"/>
      <c r="CU22" s="1"/>
    </row>
    <row r="23" spans="1:99" s="13" customFormat="1" ht="12" customHeight="1" x14ac:dyDescent="0.25">
      <c r="A23" s="68">
        <v>43899</v>
      </c>
      <c r="B23" s="70" t="s">
        <v>378</v>
      </c>
      <c r="C23" s="70" t="s">
        <v>107</v>
      </c>
      <c r="D23" s="69">
        <v>1994</v>
      </c>
      <c r="E23" s="87">
        <v>2</v>
      </c>
      <c r="F23" s="69">
        <v>72</v>
      </c>
      <c r="G23" s="69">
        <v>24</v>
      </c>
      <c r="H23" s="69" t="s">
        <v>50</v>
      </c>
      <c r="I23" s="104" t="s">
        <v>379</v>
      </c>
      <c r="J23" s="69" t="s">
        <v>61</v>
      </c>
      <c r="K23" s="69">
        <f>IF(J23="syllables",1,IF(J23="trigrams",2,IF(J23="strings",3,IF(J23="visual array",4,IF(J23="characters",5,IF(J23="letters",6,IF(J23="free forms",7,IF(J23="odors",8,IF(J23="words",9,IF(J23="pictures",10,IF(J23="object pictures",11,IF(J23="faces",12,IF(J23="names",13,IF(J23="idioms",14,IF(J23="grades",15,IF(J23="syllable-digit pairs",16,IF(J23="trigram-word pairs",17,IF(J23="word-digit pairs",18,IF(J23="English-Swahili pairs",19,IF(J23="spatial position",20,IF(J23="word pairs",21,IF(J23="word triads",22,IF(J23="generated words",23,IF(J23="word definition pairs",24,IF(J23="math problems",25,IF(J23="famous faces",26,IF(J23="famous names",27,IF(J23="famous voices",28,IF(J23="television programs",29,IF(J23="race horses",30,IF(J23="new vocabulary",31,IF(J23="sentences",32,IF(J23="concepts",33,IF(J23="ad slides",34,IF(J23="scenes",35,IF(J23="famous scenes",36,IF(J23="poems",37,IF(J23="walk",38,IF(J23="faces and events",39,IF(J23="events and names",40,IF(J23="flashbulb",41,IF(J23="stories",42,IF(J23="course material",43,IF(J23="autobiographical",44,IF(J23="novels",45,IF(J23="public events",46,"99"))))))))))))))))))))))))))))))))))))))))))))))</f>
        <v>42</v>
      </c>
      <c r="L23" s="69">
        <f>IF(J23="syllables",1,IF(J23="trigrams",1,IF(J23="strings",1,IF(J23="visual array",1,IF(J23="characters",1,IF(J23="letters",1,IF(J23="free forms",1,IF(J23="odors",2,IF(J23="words",2,IF(J23="pictures",2,IF(J23="object pictures",2,IF(J23="faces",2,IF(J23="names",2,IF(J23="idioms","2",IF(J23="grades",2,IF(J23="syllable-digit pairs",3,IF(J23="trigram-word pairs",3,IF(J23="word-digit pairs",3,IF(J23="English-Swahili pairs",3,IF(J23="spatial position",3,IF(J23="word pairs",4,IF(J23="word triads",4,IF(J23="generated words",4,IF(J23="word definition pairs",4,IF(J23="math problems",4,IF(J23="famous faces",4,IF(J23="famous names",4,IF(J23="famous voices",4,IF(J23="television programs",4,IF(J23="race horses",4,IF(J23="new vocabulary",4,IF(J23="sentences",5,IF(J23="concepts",5,IF(J23="ad slides",5,IF(J23="scenes",5,IF(J23="famous scenes",5,IF(J23="poems",6,IF(J23="walk",6,IF(J23="faces and events",6,IF(J23="events and names",6,IF(J23="flashbulb",7,IF(J23="stories",7,IF(J23="course material",7,IF(J23="autobiographical",7,IF(J23="novels",7,IF(J23="public events",7,"99"))))))))))))))))))))))))))))))))))))))))))))))</f>
        <v>7</v>
      </c>
      <c r="M23" s="69">
        <v>0</v>
      </c>
      <c r="N23" s="86">
        <v>3</v>
      </c>
      <c r="O23" s="69">
        <v>0</v>
      </c>
      <c r="P23" s="69"/>
      <c r="Q23" s="69" t="s">
        <v>174</v>
      </c>
      <c r="R23" s="69">
        <f>IF(Q23="Free Recall",1,IF(Q23="Cued Recall",2,IF(Q23="Recognition",3,IF(Q23="Multiple Choice",4,IF(Q23="Savings",5,IF(Q23="Stem Completion",6,IF(Q23="Fragment Completion",7,IF(Q23="anagram solution",8,IF(Q23="Matching",9,IF(Q23="Problem Solving",10,"99"))))))))))</f>
        <v>1</v>
      </c>
      <c r="S23" s="69" t="s">
        <v>49</v>
      </c>
      <c r="T23" s="92" t="s">
        <v>261</v>
      </c>
      <c r="U23" s="69">
        <f>IF(T23="within",1,0)</f>
        <v>0</v>
      </c>
      <c r="V23" s="92">
        <v>12</v>
      </c>
      <c r="W23" s="69">
        <f>F23*V23</f>
        <v>864</v>
      </c>
      <c r="X23" s="69">
        <v>3</v>
      </c>
      <c r="Y23" s="87">
        <f>AV22</f>
        <v>3600</v>
      </c>
      <c r="Z23" s="69" t="s">
        <v>97</v>
      </c>
      <c r="AA23" s="69">
        <v>604800</v>
      </c>
      <c r="AB23" s="69" t="str">
        <f>IF(AA23&lt;60,"1",IF(AA23&lt;=43200,"2",IF(AA23&lt;=777600,"3","4")))</f>
        <v>3</v>
      </c>
      <c r="AC23" s="72">
        <f>AVERAGE(AV22:DA22)</f>
        <v>260400</v>
      </c>
      <c r="AD23" s="69" t="str">
        <f>IF(AC23&lt;60,"1",IF(AC23&lt;=43200,"2",IF(AC23&lt;=777600,"3","4")))</f>
        <v>3</v>
      </c>
      <c r="AE23" s="87">
        <f>AA23-Y23</f>
        <v>601200</v>
      </c>
      <c r="AF23" s="88">
        <f>AV23</f>
        <v>0.40014157960263602</v>
      </c>
      <c r="AG23" s="72">
        <f>((AW23-AV23)+(AX23-AW23))/2</f>
        <v>-0.10803612755035101</v>
      </c>
      <c r="AH23" s="4"/>
      <c r="AI23" s="72">
        <f>RSQ(AV23:AX23,AV22:AX22)</f>
        <v>0.99224683774747191</v>
      </c>
      <c r="AJ23" s="110">
        <f>SLOPE(AV23:AX23,AV22:AX22)</f>
        <v>-3.5155878312339289E-7</v>
      </c>
      <c r="AK23" s="72">
        <f>INTERCEPT(AV23:AX23,AV22:AX22)</f>
        <v>0.39365631776393251</v>
      </c>
      <c r="AL23" s="72">
        <f>INDEX(LINEST(LN(AV23:AX23),LN(AV22:AX22),TRUE,TRUE),3,1)</f>
        <v>0.73882721406701823</v>
      </c>
      <c r="AM23" s="72">
        <f>INDEX(LINEST(LN(AV23:AX23),LN(AV22:AX22)),1)</f>
        <v>-0.12892801646218516</v>
      </c>
      <c r="AN23" s="72">
        <f>EXP(INDEX(LINEST(LN(AV23:AX23),LN(AV22:AX22)),1,2))</f>
        <v>1.2156243057096749</v>
      </c>
      <c r="AO23" s="89">
        <f>INDEX(LINEST((AV23:AX23),LN(AV22:AX22),TRUE,TRUE),3,1)</f>
        <v>0.81397266707778126</v>
      </c>
      <c r="AP23" s="89">
        <f>INDEX(LINEST((AV23:AX23),LN(AV22:AX22)),1)</f>
        <v>-3.6956428469060477E-2</v>
      </c>
      <c r="AQ23" s="90">
        <f>INDEX(LINEST(LN(AV23:AX23),SQRT(AV22:AX22),TRUE,TRUE),3,1)</f>
        <v>0.94143054941923132</v>
      </c>
      <c r="AR23" s="117">
        <f>INDEX(LINEST(LN(AV23:AX23),SQRT((AV22:AX22))),1)</f>
        <v>-1.0833238957522761E-3</v>
      </c>
      <c r="AS23" s="91">
        <f>INDEX(LINEST(1/(AV23:AX23),1/(SQRT(AV22:AX22)),TRUE,TRUE),3,1)</f>
        <v>0.50021198361239994</v>
      </c>
      <c r="AT23" s="91">
        <f>INDEX(LINEST(1/(AV23:AX23),1/SQRT(AV22:AX22)),1)</f>
        <v>-127.744722588618</v>
      </c>
      <c r="AU23" s="3"/>
      <c r="AV23" s="160">
        <v>0.40014157960263602</v>
      </c>
      <c r="AW23" s="160">
        <v>0.32212032781123301</v>
      </c>
      <c r="AX23" s="160">
        <v>0.184069324501934</v>
      </c>
      <c r="AY23" s="53"/>
      <c r="AZ23" s="135"/>
      <c r="BA23" s="135"/>
      <c r="BB23" s="135"/>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1"/>
      <c r="CS23" s="1"/>
      <c r="CT23" s="1"/>
      <c r="CU23" s="1"/>
    </row>
    <row r="24" spans="1:99" s="13" customFormat="1" ht="12" customHeight="1" x14ac:dyDescent="0.2">
      <c r="A24" s="68">
        <v>43899</v>
      </c>
      <c r="B24" s="70"/>
      <c r="C24" s="70"/>
      <c r="D24" s="69"/>
      <c r="E24" s="87"/>
      <c r="F24" s="69"/>
      <c r="G24" s="69"/>
      <c r="H24" s="69"/>
      <c r="I24" s="104"/>
      <c r="J24" s="69"/>
      <c r="K24" s="107"/>
      <c r="L24" s="107"/>
      <c r="M24" s="69"/>
      <c r="N24" s="86"/>
      <c r="O24" s="69"/>
      <c r="P24" s="69"/>
      <c r="Q24" s="69"/>
      <c r="R24" s="69"/>
      <c r="S24" s="69"/>
      <c r="T24" s="92"/>
      <c r="U24" s="69"/>
      <c r="V24" s="92"/>
      <c r="W24" s="69"/>
      <c r="X24" s="69"/>
      <c r="Y24" s="87"/>
      <c r="Z24" s="69"/>
      <c r="AA24" s="69"/>
      <c r="AB24" s="69"/>
      <c r="AC24" s="72"/>
      <c r="AD24" s="69"/>
      <c r="AE24" s="69"/>
      <c r="AF24" s="88"/>
      <c r="AG24" s="72"/>
      <c r="AH24" s="4"/>
      <c r="AI24" s="72"/>
      <c r="AJ24" s="110"/>
      <c r="AK24" s="72"/>
      <c r="AL24" s="72"/>
      <c r="AM24" s="72"/>
      <c r="AN24" s="72"/>
      <c r="AO24" s="89"/>
      <c r="AP24" s="89"/>
      <c r="AQ24" s="90"/>
      <c r="AR24" s="117"/>
      <c r="AS24" s="91"/>
      <c r="AT24" s="91"/>
      <c r="AU24" s="3"/>
      <c r="AV24" s="71">
        <v>3600</v>
      </c>
      <c r="AW24" s="71">
        <v>172800</v>
      </c>
      <c r="AX24" s="71">
        <v>604800</v>
      </c>
      <c r="AY24" s="53"/>
      <c r="AZ24" s="53"/>
      <c r="BA24" s="53"/>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1"/>
      <c r="CS24" s="1"/>
      <c r="CT24" s="1"/>
      <c r="CU24" s="1"/>
    </row>
    <row r="25" spans="1:99" s="13" customFormat="1" ht="12" customHeight="1" x14ac:dyDescent="0.25">
      <c r="A25" s="68">
        <v>43899</v>
      </c>
      <c r="B25" s="70" t="s">
        <v>378</v>
      </c>
      <c r="C25" s="70" t="s">
        <v>107</v>
      </c>
      <c r="D25" s="69">
        <v>1994</v>
      </c>
      <c r="E25" s="87">
        <v>2</v>
      </c>
      <c r="F25" s="69">
        <v>72</v>
      </c>
      <c r="G25" s="69">
        <v>24</v>
      </c>
      <c r="H25" s="69" t="s">
        <v>50</v>
      </c>
      <c r="I25" s="104" t="s">
        <v>380</v>
      </c>
      <c r="J25" s="69" t="s">
        <v>61</v>
      </c>
      <c r="K25" s="69">
        <f>IF(J25="syllables",1,IF(J25="trigrams",2,IF(J25="strings",3,IF(J25="visual array",4,IF(J25="characters",5,IF(J25="letters",6,IF(J25="free forms",7,IF(J25="odors",8,IF(J25="words",9,IF(J25="pictures",10,IF(J25="object pictures",11,IF(J25="faces",12,IF(J25="names",13,IF(J25="idioms",14,IF(J25="grades",15,IF(J25="syllable-digit pairs",16,IF(J25="trigram-word pairs",17,IF(J25="word-digit pairs",18,IF(J25="English-Swahili pairs",19,IF(J25="spatial position",20,IF(J25="word pairs",21,IF(J25="word triads",22,IF(J25="generated words",23,IF(J25="word definition pairs",24,IF(J25="math problems",25,IF(J25="famous faces",26,IF(J25="famous names",27,IF(J25="famous voices",28,IF(J25="television programs",29,IF(J25="race horses",30,IF(J25="new vocabulary",31,IF(J25="sentences",32,IF(J25="concepts",33,IF(J25="ad slides",34,IF(J25="scenes",35,IF(J25="famous scenes",36,IF(J25="poems",37,IF(J25="walk",38,IF(J25="faces and events",39,IF(J25="events and names",40,IF(J25="flashbulb",41,IF(J25="stories",42,IF(J25="course material",43,IF(J25="autobiographical",44,IF(J25="novels",45,IF(J25="public events",46,"99"))))))))))))))))))))))))))))))))))))))))))))))</f>
        <v>42</v>
      </c>
      <c r="L25" s="69">
        <f>IF(J25="syllables",1,IF(J25="trigrams",1,IF(J25="strings",1,IF(J25="visual array",1,IF(J25="characters",1,IF(J25="letters",1,IF(J25="free forms",1,IF(J25="odors",2,IF(J25="words",2,IF(J25="pictures",2,IF(J25="object pictures",2,IF(J25="faces",2,IF(J25="names",2,IF(J25="idioms","2",IF(J25="grades",2,IF(J25="syllable-digit pairs",3,IF(J25="trigram-word pairs",3,IF(J25="word-digit pairs",3,IF(J25="English-Swahili pairs",3,IF(J25="spatial position",3,IF(J25="word pairs",4,IF(J25="word triads",4,IF(J25="generated words",4,IF(J25="word definition pairs",4,IF(J25="math problems",4,IF(J25="famous faces",4,IF(J25="famous names",4,IF(J25="famous voices",4,IF(J25="television programs",4,IF(J25="race horses",4,IF(J25="new vocabulary",4,IF(J25="sentences",5,IF(J25="concepts",5,IF(J25="ad slides",5,IF(J25="scenes",5,IF(J25="famous scenes",5,IF(J25="poems",6,IF(J25="walk",6,IF(J25="faces and events",6,IF(J25="events and names",6,IF(J25="flashbulb",7,IF(J25="stories",7,IF(J25="course material",7,IF(J25="autobiographical",7,IF(J25="novels",7,IF(J25="public events",7,"99"))))))))))))))))))))))))))))))))))))))))))))))</f>
        <v>7</v>
      </c>
      <c r="M25" s="69">
        <v>0</v>
      </c>
      <c r="N25" s="86">
        <v>3</v>
      </c>
      <c r="O25" s="69">
        <v>0</v>
      </c>
      <c r="P25" s="69"/>
      <c r="Q25" s="69" t="s">
        <v>174</v>
      </c>
      <c r="R25" s="69">
        <f>IF(Q25="Free Recall",1,IF(Q25="Cued Recall",2,IF(Q25="Recognition",3,IF(Q25="Multiple Choice",4,IF(Q25="Savings",5,IF(Q25="Stem Completion",6,IF(Q25="Fragment Completion",7,IF(Q25="anagram solution",8,IF(Q25="Matching",9,IF(Q25="Problem Solving",10,"99"))))))))))</f>
        <v>1</v>
      </c>
      <c r="S25" s="69" t="s">
        <v>49</v>
      </c>
      <c r="T25" s="92" t="s">
        <v>261</v>
      </c>
      <c r="U25" s="69">
        <f>IF(T25="within",1,0)</f>
        <v>0</v>
      </c>
      <c r="V25" s="92">
        <v>12</v>
      </c>
      <c r="W25" s="69">
        <f>F25*V25</f>
        <v>864</v>
      </c>
      <c r="X25" s="69">
        <v>3</v>
      </c>
      <c r="Y25" s="87">
        <f>AV24</f>
        <v>3600</v>
      </c>
      <c r="Z25" s="69" t="s">
        <v>97</v>
      </c>
      <c r="AA25" s="69">
        <v>604800</v>
      </c>
      <c r="AB25" s="69" t="str">
        <f>IF(AA25&lt;60,"1",IF(AA25&lt;=43200,"2",IF(AA25&lt;=777600,"3","4")))</f>
        <v>3</v>
      </c>
      <c r="AC25" s="72">
        <f>AVERAGE(AV24:DA24)</f>
        <v>260400</v>
      </c>
      <c r="AD25" s="69" t="str">
        <f>IF(AC25&lt;60,"1",IF(AC25&lt;=43200,"2",IF(AC25&lt;=777600,"3","4")))</f>
        <v>3</v>
      </c>
      <c r="AE25" s="87">
        <f>AA25-Y25</f>
        <v>601200</v>
      </c>
      <c r="AF25" s="88">
        <f>AV25</f>
        <v>0.51244984691086604</v>
      </c>
      <c r="AG25" s="72">
        <f>((AW25-AV25)+(AX25-AW25))/2</f>
        <v>-0.18982606995319451</v>
      </c>
      <c r="AH25" s="4"/>
      <c r="AI25" s="72">
        <f>RSQ(AV25:AX25,AV24:AX24)</f>
        <v>0.93273696112589299</v>
      </c>
      <c r="AJ25" s="110">
        <f>SLOPE(AV25:AX25,AV24:AX24)</f>
        <v>-5.9140922049254431E-7</v>
      </c>
      <c r="AK25" s="72">
        <f>INTERCEPT(AV25:AX25,AV24:AX24)</f>
        <v>0.47496755043953559</v>
      </c>
      <c r="AL25" s="72">
        <f>INDEX(LINEST(LN(AV25:AX25),LN(AV24:AX24),TRUE,TRUE),3,1)</f>
        <v>0.80788233316330937</v>
      </c>
      <c r="AM25" s="72">
        <f>INDEX(LINEST(LN(AV25:AX25),LN(AV24:AX24)),1)</f>
        <v>-0.23039340924468046</v>
      </c>
      <c r="AN25" s="72">
        <f>EXP(INDEX(LINEST(LN(AV25:AX25),LN(AV24:AX24)),1,2))</f>
        <v>3.6668377820798548</v>
      </c>
      <c r="AO25" s="89">
        <f>INDEX(LINEST((AV25:AX25),LN(AV24:AX24),TRUE,TRUE),3,1)</f>
        <v>0.92794738095615503</v>
      </c>
      <c r="AP25" s="89">
        <f>INDEX(LINEST((AV25:AX25),LN(AV24:AX24)),1)</f>
        <v>-6.8464771813635777E-2</v>
      </c>
      <c r="AQ25" s="90">
        <f>INDEX(LINEST(LN(AV25:AX25),SQRT(AV24:AX24),TRUE,TRUE),3,1)</f>
        <v>0.97406379313941127</v>
      </c>
      <c r="AR25" s="117">
        <f>INDEX(LINEST(LN(AV25:AX25),SQRT((AV24:AX24))),1)</f>
        <v>-1.8831200876910743E-3</v>
      </c>
      <c r="AS25" s="91">
        <f>INDEX(LINEST(1/(AV25:AX25),1/(SQRT(AV24:AX24)),TRUE,TRUE),3,1)</f>
        <v>0.50870521691813331</v>
      </c>
      <c r="AT25" s="91">
        <f>INDEX(LINEST(1/(AV25:AX25),1/SQRT(AV24:AX24)),1)</f>
        <v>-244.28996366523648</v>
      </c>
      <c r="AU25" s="3"/>
      <c r="AV25" s="160">
        <v>0.51244984691086604</v>
      </c>
      <c r="AW25" s="160">
        <v>0.31764621435448803</v>
      </c>
      <c r="AX25" s="160">
        <v>0.13279770700447699</v>
      </c>
      <c r="AY25" s="53"/>
      <c r="AZ25" s="135"/>
      <c r="BA25" s="135"/>
      <c r="BB25" s="135"/>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1"/>
      <c r="CS25" s="1"/>
      <c r="CT25" s="1"/>
      <c r="CU25" s="1"/>
    </row>
    <row r="26" spans="1:99" s="13" customFormat="1" ht="12" customHeight="1" x14ac:dyDescent="0.2">
      <c r="A26" s="68">
        <v>43899</v>
      </c>
      <c r="B26" s="70"/>
      <c r="C26" s="70"/>
      <c r="D26" s="69"/>
      <c r="E26" s="87"/>
      <c r="F26" s="69"/>
      <c r="G26" s="69"/>
      <c r="H26" s="69"/>
      <c r="I26" s="104"/>
      <c r="J26" s="69"/>
      <c r="K26" s="107"/>
      <c r="L26" s="107"/>
      <c r="M26" s="69"/>
      <c r="N26" s="86"/>
      <c r="O26" s="69"/>
      <c r="P26" s="69"/>
      <c r="Q26" s="69"/>
      <c r="R26" s="69"/>
      <c r="S26" s="69"/>
      <c r="T26" s="92"/>
      <c r="U26" s="69"/>
      <c r="V26" s="92"/>
      <c r="W26" s="69"/>
      <c r="X26" s="69"/>
      <c r="Y26" s="87"/>
      <c r="Z26" s="69"/>
      <c r="AA26" s="69"/>
      <c r="AB26" s="69"/>
      <c r="AC26" s="72"/>
      <c r="AD26" s="69"/>
      <c r="AE26" s="69"/>
      <c r="AF26" s="88"/>
      <c r="AG26" s="72"/>
      <c r="AH26" s="4"/>
      <c r="AI26" s="72"/>
      <c r="AJ26" s="110"/>
      <c r="AK26" s="72"/>
      <c r="AL26" s="72"/>
      <c r="AM26" s="72"/>
      <c r="AN26" s="72"/>
      <c r="AO26" s="89"/>
      <c r="AP26" s="89"/>
      <c r="AQ26" s="90"/>
      <c r="AR26" s="117"/>
      <c r="AS26" s="91"/>
      <c r="AT26" s="91"/>
      <c r="AU26" s="3"/>
      <c r="AV26" s="71">
        <v>3600</v>
      </c>
      <c r="AW26" s="71">
        <v>172800</v>
      </c>
      <c r="AX26" s="71">
        <v>604800</v>
      </c>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1"/>
      <c r="CS26" s="1"/>
      <c r="CT26" s="1"/>
      <c r="CU26" s="1"/>
    </row>
    <row r="27" spans="1:99" s="13" customFormat="1" ht="12" customHeight="1" x14ac:dyDescent="0.25">
      <c r="A27" s="68">
        <v>43899</v>
      </c>
      <c r="B27" s="70" t="s">
        <v>378</v>
      </c>
      <c r="C27" s="70" t="s">
        <v>107</v>
      </c>
      <c r="D27" s="69">
        <v>1994</v>
      </c>
      <c r="E27" s="87">
        <v>2</v>
      </c>
      <c r="F27" s="69">
        <v>72</v>
      </c>
      <c r="G27" s="69">
        <v>24</v>
      </c>
      <c r="H27" s="69" t="s">
        <v>50</v>
      </c>
      <c r="I27" s="104" t="s">
        <v>381</v>
      </c>
      <c r="J27" s="69" t="s">
        <v>61</v>
      </c>
      <c r="K27" s="69">
        <f>IF(J27="syllables",1,IF(J27="trigrams",2,IF(J27="strings",3,IF(J27="visual array",4,IF(J27="characters",5,IF(J27="letters",6,IF(J27="free forms",7,IF(J27="odors",8,IF(J27="words",9,IF(J27="pictures",10,IF(J27="object pictures",11,IF(J27="faces",12,IF(J27="names",13,IF(J27="idioms",14,IF(J27="grades",15,IF(J27="syllable-digit pairs",16,IF(J27="trigram-word pairs",17,IF(J27="word-digit pairs",18,IF(J27="English-Swahili pairs",19,IF(J27="spatial position",20,IF(J27="word pairs",21,IF(J27="word triads",22,IF(J27="generated words",23,IF(J27="word definition pairs",24,IF(J27="math problems",25,IF(J27="famous faces",26,IF(J27="famous names",27,IF(J27="famous voices",28,IF(J27="television programs",29,IF(J27="race horses",30,IF(J27="new vocabulary",31,IF(J27="sentences",32,IF(J27="concepts",33,IF(J27="ad slides",34,IF(J27="scenes",35,IF(J27="famous scenes",36,IF(J27="poems",37,IF(J27="walk",38,IF(J27="faces and events",39,IF(J27="events and names",40,IF(J27="flashbulb",41,IF(J27="stories",42,IF(J27="course material",43,IF(J27="autobiographical",44,IF(J27="novels",45,IF(J27="public events",46,"99"))))))))))))))))))))))))))))))))))))))))))))))</f>
        <v>42</v>
      </c>
      <c r="L27" s="69">
        <f>IF(J27="syllables",1,IF(J27="trigrams",1,IF(J27="strings",1,IF(J27="visual array",1,IF(J27="characters",1,IF(J27="letters",1,IF(J27="free forms",1,IF(J27="odors",2,IF(J27="words",2,IF(J27="pictures",2,IF(J27="object pictures",2,IF(J27="faces",2,IF(J27="names",2,IF(J27="idioms","2",IF(J27="grades",2,IF(J27="syllable-digit pairs",3,IF(J27="trigram-word pairs",3,IF(J27="word-digit pairs",3,IF(J27="English-Swahili pairs",3,IF(J27="spatial position",3,IF(J27="word pairs",4,IF(J27="word triads",4,IF(J27="generated words",4,IF(J27="word definition pairs",4,IF(J27="math problems",4,IF(J27="famous faces",4,IF(J27="famous names",4,IF(J27="famous voices",4,IF(J27="television programs",4,IF(J27="race horses",4,IF(J27="new vocabulary",4,IF(J27="sentences",5,IF(J27="concepts",5,IF(J27="ad slides",5,IF(J27="scenes",5,IF(J27="famous scenes",5,IF(J27="poems",6,IF(J27="walk",6,IF(J27="faces and events",6,IF(J27="events and names",6,IF(J27="flashbulb",7,IF(J27="stories",7,IF(J27="course material",7,IF(J27="autobiographical",7,IF(J27="novels",7,IF(J27="public events",7,"99"))))))))))))))))))))))))))))))))))))))))))))))</f>
        <v>7</v>
      </c>
      <c r="M27" s="69">
        <v>0</v>
      </c>
      <c r="N27" s="86">
        <v>3</v>
      </c>
      <c r="O27" s="69">
        <v>0</v>
      </c>
      <c r="P27" s="69"/>
      <c r="Q27" s="69" t="s">
        <v>174</v>
      </c>
      <c r="R27" s="69">
        <f>IF(Q27="Free Recall",1,IF(Q27="Cued Recall",2,IF(Q27="Recognition",3,IF(Q27="Multiple Choice",4,IF(Q27="Savings",5,IF(Q27="Stem Completion",6,IF(Q27="Fragment Completion",7,IF(Q27="anagram solution",8,IF(Q27="Matching",9,IF(Q27="Problem Solving",10,"99"))))))))))</f>
        <v>1</v>
      </c>
      <c r="S27" s="69" t="s">
        <v>49</v>
      </c>
      <c r="T27" s="92" t="s">
        <v>261</v>
      </c>
      <c r="U27" s="69">
        <f>IF(T27="within",1,0)</f>
        <v>0</v>
      </c>
      <c r="V27" s="92">
        <v>12</v>
      </c>
      <c r="W27" s="69">
        <f>F27*V27</f>
        <v>864</v>
      </c>
      <c r="X27" s="69">
        <v>3</v>
      </c>
      <c r="Y27" s="87">
        <f>AV26</f>
        <v>3600</v>
      </c>
      <c r="Z27" s="69" t="s">
        <v>97</v>
      </c>
      <c r="AA27" s="69">
        <v>604800</v>
      </c>
      <c r="AB27" s="69" t="str">
        <f>IF(AA27&lt;60,"1",IF(AA27&lt;=43200,"2",IF(AA27&lt;=777600,"3","4")))</f>
        <v>3</v>
      </c>
      <c r="AC27" s="72">
        <f>AVERAGE(AV26:DA26)</f>
        <v>260400</v>
      </c>
      <c r="AD27" s="69" t="str">
        <f>IF(AC27&lt;60,"1",IF(AC27&lt;=43200,"2",IF(AC27&lt;=777600,"3","4")))</f>
        <v>3</v>
      </c>
      <c r="AE27" s="87">
        <f>AA27-Y27</f>
        <v>601200</v>
      </c>
      <c r="AF27" s="88">
        <f>AV27</f>
        <v>0.73625749666471052</v>
      </c>
      <c r="AG27" s="72">
        <f>((AW27-AV27)+(AX27-AW27))/2</f>
        <v>-0.12390492385146024</v>
      </c>
      <c r="AH27" s="4"/>
      <c r="AI27" s="72">
        <f>RSQ(AV27:AX27,AV26:AX26)</f>
        <v>0.84298004992707154</v>
      </c>
      <c r="AJ27" s="110">
        <f>SLOPE(AV27:AX27,AV26:AX26)</f>
        <v>-3.7170524989909107E-7</v>
      </c>
      <c r="AK27" s="72">
        <f>INTERCEPT(AV27:AX27,AV26:AX26)</f>
        <v>0.69758360576119072</v>
      </c>
      <c r="AL27" s="72">
        <f>INDEX(LINEST(LN(AV27:AX27),LN(AV26:AX26),TRUE,TRUE),3,1)</f>
        <v>0.96722969412361615</v>
      </c>
      <c r="AM27" s="72">
        <f>INDEX(LINEST(LN(AV27:AX27),LN(AV26:AX26)),1)</f>
        <v>-7.5958959080907149E-2</v>
      </c>
      <c r="AN27" s="72">
        <f>EXP(INDEX(LINEST(LN(AV27:AX27),LN(AV26:AX26)),1,2))</f>
        <v>1.3853343767851249</v>
      </c>
      <c r="AO27" s="89">
        <f>INDEX(LINEST((AV27:AX27),LN(AV26:AX26),TRUE,TRUE),3,1)</f>
        <v>0.98403978205800746</v>
      </c>
      <c r="AP27" s="89">
        <f>INDEX(LINEST((AV27:AX27),LN(AV26:AX26)),1)</f>
        <v>-4.6611530869321384E-2</v>
      </c>
      <c r="AQ27" s="90">
        <f>INDEX(LINEST(LN(AV27:AX27),SQRT(AV26:AX26),TRUE,TRUE),3,1)</f>
        <v>0.98796198766379462</v>
      </c>
      <c r="AR27" s="117">
        <f>INDEX(LINEST(LN(AV27:AX27),SQRT((AV26:AX26))),1)</f>
        <v>-5.7144262471100257E-4</v>
      </c>
      <c r="AS27" s="91">
        <f>INDEX(LINEST(1/(AV27:AX27),1/(SQRT(AV26:AX26)),TRUE,TRUE),3,1)</f>
        <v>0.84051040452912673</v>
      </c>
      <c r="AT27" s="91">
        <f>INDEX(LINEST(1/(AV27:AX27),1/SQRT(AV26:AX26)),1)</f>
        <v>-36.877287883652848</v>
      </c>
      <c r="AU27" s="3"/>
      <c r="AV27" s="160">
        <v>0.73625749666471052</v>
      </c>
      <c r="AW27" s="160">
        <v>0.57766953043590152</v>
      </c>
      <c r="AX27" s="160">
        <v>0.48844764896179005</v>
      </c>
      <c r="AY27" s="53"/>
      <c r="AZ27" s="135"/>
      <c r="BA27" s="135"/>
      <c r="BB27" s="135"/>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1"/>
      <c r="CS27" s="1"/>
      <c r="CT27" s="1"/>
      <c r="CU27" s="1"/>
    </row>
    <row r="28" spans="1:99" s="13" customFormat="1" ht="12" customHeight="1" x14ac:dyDescent="0.25">
      <c r="A28" s="68">
        <v>43899</v>
      </c>
      <c r="B28" s="70"/>
      <c r="C28" s="70"/>
      <c r="D28" s="69"/>
      <c r="E28" s="87"/>
      <c r="F28" s="69"/>
      <c r="G28" s="69"/>
      <c r="H28" s="69"/>
      <c r="I28" s="104"/>
      <c r="J28" s="69"/>
      <c r="K28" s="107"/>
      <c r="L28" s="107"/>
      <c r="M28" s="69"/>
      <c r="N28" s="86"/>
      <c r="O28" s="69"/>
      <c r="P28" s="69"/>
      <c r="Q28" s="69"/>
      <c r="R28" s="69"/>
      <c r="S28" s="69"/>
      <c r="T28" s="92"/>
      <c r="U28" s="69"/>
      <c r="V28" s="92"/>
      <c r="W28" s="69"/>
      <c r="X28" s="69"/>
      <c r="Y28" s="87"/>
      <c r="Z28" s="69"/>
      <c r="AA28" s="69"/>
      <c r="AB28" s="69"/>
      <c r="AC28" s="72"/>
      <c r="AD28" s="69"/>
      <c r="AE28" s="69"/>
      <c r="AF28" s="88"/>
      <c r="AG28" s="72"/>
      <c r="AH28" s="4"/>
      <c r="AI28" s="72"/>
      <c r="AJ28" s="110"/>
      <c r="AK28" s="72"/>
      <c r="AL28" s="72"/>
      <c r="AM28" s="72"/>
      <c r="AN28" s="72"/>
      <c r="AO28" s="89"/>
      <c r="AP28" s="89"/>
      <c r="AQ28" s="90"/>
      <c r="AR28" s="117"/>
      <c r="AS28" s="91"/>
      <c r="AT28" s="91"/>
      <c r="AU28" s="3"/>
      <c r="AV28" s="71">
        <v>3600</v>
      </c>
      <c r="AW28" s="71">
        <v>172800</v>
      </c>
      <c r="AX28" s="71">
        <v>604800</v>
      </c>
      <c r="AY28" s="53"/>
      <c r="AZ28" s="135"/>
      <c r="BA28" s="135"/>
      <c r="BB28" s="135"/>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1"/>
      <c r="CS28" s="1"/>
      <c r="CT28" s="1"/>
      <c r="CU28" s="1"/>
    </row>
    <row r="29" spans="1:99" s="13" customFormat="1" ht="12" customHeight="1" x14ac:dyDescent="0.25">
      <c r="A29" s="68">
        <v>43899</v>
      </c>
      <c r="B29" s="70" t="s">
        <v>378</v>
      </c>
      <c r="C29" s="70" t="s">
        <v>107</v>
      </c>
      <c r="D29" s="69">
        <v>1994</v>
      </c>
      <c r="E29" s="87">
        <v>3</v>
      </c>
      <c r="F29" s="69">
        <v>36</v>
      </c>
      <c r="G29" s="69">
        <v>12</v>
      </c>
      <c r="H29" s="69" t="s">
        <v>41</v>
      </c>
      <c r="I29" s="104" t="s">
        <v>379</v>
      </c>
      <c r="J29" s="69" t="s">
        <v>61</v>
      </c>
      <c r="K29" s="69">
        <f>IF(J29="syllables",1,IF(J29="trigrams",2,IF(J29="strings",3,IF(J29="visual array",4,IF(J29="characters",5,IF(J29="letters",6,IF(J29="free forms",7,IF(J29="odors",8,IF(J29="words",9,IF(J29="pictures",10,IF(J29="object pictures",11,IF(J29="faces",12,IF(J29="names",13,IF(J29="idioms",14,IF(J29="grades",15,IF(J29="syllable-digit pairs",16,IF(J29="trigram-word pairs",17,IF(J29="word-digit pairs",18,IF(J29="English-Swahili pairs",19,IF(J29="spatial position",20,IF(J29="word pairs",21,IF(J29="word triads",22,IF(J29="generated words",23,IF(J29="word definition pairs",24,IF(J29="math problems",25,IF(J29="famous faces",26,IF(J29="famous names",27,IF(J29="famous voices",28,IF(J29="television programs",29,IF(J29="race horses",30,IF(J29="new vocabulary",31,IF(J29="sentences",32,IF(J29="concepts",33,IF(J29="ad slides",34,IF(J29="scenes",35,IF(J29="famous scenes",36,IF(J29="poems",37,IF(J29="walk",38,IF(J29="faces and events",39,IF(J29="events and names",40,IF(J29="flashbulb",41,IF(J29="stories",42,IF(J29="course material",43,IF(J29="autobiographical",44,IF(J29="novels",45,IF(J29="public events",46,"99"))))))))))))))))))))))))))))))))))))))))))))))</f>
        <v>42</v>
      </c>
      <c r="L29" s="69">
        <f>IF(J29="syllables",1,IF(J29="trigrams",1,IF(J29="strings",1,IF(J29="visual array",1,IF(J29="characters",1,IF(J29="letters",1,IF(J29="free forms",1,IF(J29="odors",2,IF(J29="words",2,IF(J29="pictures",2,IF(J29="object pictures",2,IF(J29="faces",2,IF(J29="names",2,IF(J29="idioms","2",IF(J29="grades",2,IF(J29="syllable-digit pairs",3,IF(J29="trigram-word pairs",3,IF(J29="word-digit pairs",3,IF(J29="English-Swahili pairs",3,IF(J29="spatial position",3,IF(J29="word pairs",4,IF(J29="word triads",4,IF(J29="generated words",4,IF(J29="word definition pairs",4,IF(J29="math problems",4,IF(J29="famous faces",4,IF(J29="famous names",4,IF(J29="famous voices",4,IF(J29="television programs",4,IF(J29="race horses",4,IF(J29="new vocabulary",4,IF(J29="sentences",5,IF(J29="concepts",5,IF(J29="ad slides",5,IF(J29="scenes",5,IF(J29="famous scenes",5,IF(J29="poems",6,IF(J29="walk",6,IF(J29="faces and events",6,IF(J29="events and names",6,IF(J29="flashbulb",7,IF(J29="stories",7,IF(J29="course material",7,IF(J29="autobiographical",7,IF(J29="novels",7,IF(J29="public events",7,"99"))))))))))))))))))))))))))))))))))))))))))))))</f>
        <v>7</v>
      </c>
      <c r="M29" s="69">
        <v>0</v>
      </c>
      <c r="N29" s="86">
        <v>3</v>
      </c>
      <c r="O29" s="69">
        <v>0</v>
      </c>
      <c r="P29" s="69"/>
      <c r="Q29" s="69" t="s">
        <v>174</v>
      </c>
      <c r="R29" s="69">
        <f>IF(Q29="Free Recall",1,IF(Q29="Cued Recall",2,IF(Q29="Recognition",3,IF(Q29="Multiple Choice",4,IF(Q29="Savings",5,IF(Q29="Stem Completion",6,IF(Q29="Fragment Completion",7,IF(Q29="anagram solution",8,IF(Q29="Matching",9,IF(Q29="Problem Solving",10,"99"))))))))))</f>
        <v>1</v>
      </c>
      <c r="S29" s="69" t="s">
        <v>49</v>
      </c>
      <c r="T29" s="92" t="s">
        <v>261</v>
      </c>
      <c r="U29" s="69">
        <f>IF(T29="within",1,0)</f>
        <v>0</v>
      </c>
      <c r="V29" s="92">
        <v>12</v>
      </c>
      <c r="W29" s="69">
        <f>F29*V29</f>
        <v>432</v>
      </c>
      <c r="X29" s="69">
        <v>3</v>
      </c>
      <c r="Y29" s="87">
        <f>AV28</f>
        <v>3600</v>
      </c>
      <c r="Z29" s="69" t="s">
        <v>97</v>
      </c>
      <c r="AA29" s="69">
        <v>604800</v>
      </c>
      <c r="AB29" s="69" t="str">
        <f>IF(AA29&lt;60,"1",IF(AA29&lt;=43200,"2",IF(AA29&lt;=777600,"3","4")))</f>
        <v>3</v>
      </c>
      <c r="AC29" s="72">
        <f>AVERAGE(AV28:DA28)</f>
        <v>260400</v>
      </c>
      <c r="AD29" s="69" t="str">
        <f>IF(AC29&lt;60,"1",IF(AC29&lt;=43200,"2",IF(AC29&lt;=777600,"3","4")))</f>
        <v>3</v>
      </c>
      <c r="AE29" s="87">
        <f>AA29-Y29</f>
        <v>601200</v>
      </c>
      <c r="AF29" s="88">
        <f>AV29</f>
        <v>0.49530761209593299</v>
      </c>
      <c r="AG29" s="72">
        <f>((AW29-AV29)+(AX29-AW29))/2</f>
        <v>-0.15224191866527648</v>
      </c>
      <c r="AH29" s="4"/>
      <c r="AI29" s="72">
        <f>RSQ(AV29:AX29,AV28:AX28)</f>
        <v>0.98341774623458833</v>
      </c>
      <c r="AJ29" s="110">
        <f>SLOPE(AV29:AX29,AV28:AX28)</f>
        <v>-4.9038926862682135E-7</v>
      </c>
      <c r="AK29" s="72">
        <f>INTERCEPT(AV29:AX29,AV28:AX28)</f>
        <v>0.48119058765678457</v>
      </c>
      <c r="AL29" s="72">
        <f>INDEX(LINEST(LN(AV29:AX29),LN(AV28:AX28),TRUE,TRUE),3,1)</f>
        <v>0.75231494844518099</v>
      </c>
      <c r="AM29" s="72">
        <f>INDEX(LINEST(LN(AV29:AX29),LN(AV28:AX28)),1)</f>
        <v>-0.15919993184058162</v>
      </c>
      <c r="AN29" s="72">
        <f>EXP(INDEX(LINEST(LN(AV29:AX29),LN(AV28:AX28)),1,2))</f>
        <v>1.948640614095831</v>
      </c>
      <c r="AO29" s="89">
        <f>INDEX(LINEST((AV29:AX29),LN(AV28:AX28),TRUE,TRUE),3,1)</f>
        <v>0.84476474361265153</v>
      </c>
      <c r="AP29" s="89">
        <f>INDEX(LINEST((AV29:AX29),LN(AV28:AX28)),1)</f>
        <v>-5.2751743653771124E-2</v>
      </c>
      <c r="AQ29" s="90">
        <f>INDEX(LINEST(LN(AV29:AX29),SQRT(AV28:AX28),TRUE,TRUE),3,1)</f>
        <v>0.94849005462877867</v>
      </c>
      <c r="AR29" s="117">
        <f>INDEX(LINEST(LN(AV29:AX29),SQRT((AV28:AX28))),1)</f>
        <v>-1.3306006849035459E-3</v>
      </c>
      <c r="AS29" s="91">
        <f>INDEX(LINEST(1/(AV29:AX29),1/(SQRT(AV28:AX28)),TRUE,TRUE),3,1)</f>
        <v>0.49624692007092358</v>
      </c>
      <c r="AT29" s="91">
        <f>INDEX(LINEST(1/(AV29:AX29),1/SQRT(AV28:AX28)),1)</f>
        <v>-139.91214791333843</v>
      </c>
      <c r="AU29" s="3"/>
      <c r="AV29" s="160">
        <v>0.49530761209593299</v>
      </c>
      <c r="AW29" s="160">
        <v>0.374348279457768</v>
      </c>
      <c r="AX29" s="160">
        <v>0.19082377476538001</v>
      </c>
      <c r="AY29" s="135"/>
      <c r="AZ29" s="135"/>
      <c r="BA29" s="135"/>
      <c r="BB29" s="135"/>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1"/>
      <c r="CS29" s="1"/>
      <c r="CT29" s="1"/>
      <c r="CU29" s="1"/>
    </row>
    <row r="30" spans="1:99" s="13" customFormat="1" ht="12" customHeight="1" x14ac:dyDescent="0.25">
      <c r="A30" s="68">
        <v>43899</v>
      </c>
      <c r="B30" s="70"/>
      <c r="C30" s="70"/>
      <c r="D30" s="69"/>
      <c r="E30" s="87"/>
      <c r="F30" s="69"/>
      <c r="G30" s="69"/>
      <c r="H30" s="69"/>
      <c r="I30" s="104"/>
      <c r="J30" s="69"/>
      <c r="K30" s="107"/>
      <c r="L30" s="107"/>
      <c r="M30" s="69"/>
      <c r="N30" s="86"/>
      <c r="O30" s="69"/>
      <c r="P30" s="69"/>
      <c r="Q30" s="69"/>
      <c r="R30" s="69"/>
      <c r="S30" s="69"/>
      <c r="T30" s="92"/>
      <c r="U30" s="69"/>
      <c r="V30" s="92"/>
      <c r="W30" s="69"/>
      <c r="X30" s="69"/>
      <c r="Y30" s="87"/>
      <c r="Z30" s="69"/>
      <c r="AA30" s="69"/>
      <c r="AB30" s="69"/>
      <c r="AC30" s="72"/>
      <c r="AD30" s="69"/>
      <c r="AE30" s="69"/>
      <c r="AF30" s="88"/>
      <c r="AG30" s="72"/>
      <c r="AH30" s="4"/>
      <c r="AI30" s="72"/>
      <c r="AJ30" s="110"/>
      <c r="AK30" s="72"/>
      <c r="AL30" s="72"/>
      <c r="AM30" s="72"/>
      <c r="AN30" s="72"/>
      <c r="AO30" s="89"/>
      <c r="AP30" s="89"/>
      <c r="AQ30" s="90"/>
      <c r="AR30" s="117"/>
      <c r="AS30" s="91"/>
      <c r="AT30" s="91"/>
      <c r="AU30" s="3"/>
      <c r="AV30" s="71">
        <v>3600</v>
      </c>
      <c r="AW30" s="71">
        <v>172800</v>
      </c>
      <c r="AX30" s="71">
        <v>604800</v>
      </c>
      <c r="AY30" s="135"/>
      <c r="AZ30" s="135"/>
      <c r="BA30" s="135"/>
      <c r="BB30" s="135"/>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1"/>
      <c r="CS30" s="1"/>
      <c r="CT30" s="1"/>
      <c r="CU30" s="1"/>
    </row>
    <row r="31" spans="1:99" s="13" customFormat="1" ht="12" customHeight="1" x14ac:dyDescent="0.25">
      <c r="A31" s="68">
        <v>43899</v>
      </c>
      <c r="B31" s="70" t="s">
        <v>378</v>
      </c>
      <c r="C31" s="70" t="s">
        <v>107</v>
      </c>
      <c r="D31" s="69">
        <v>1994</v>
      </c>
      <c r="E31" s="87">
        <v>3</v>
      </c>
      <c r="F31" s="69">
        <v>36</v>
      </c>
      <c r="G31" s="69">
        <v>12</v>
      </c>
      <c r="H31" s="69" t="s">
        <v>41</v>
      </c>
      <c r="I31" s="104" t="s">
        <v>380</v>
      </c>
      <c r="J31" s="69" t="s">
        <v>61</v>
      </c>
      <c r="K31" s="69">
        <f>IF(J31="syllables",1,IF(J31="trigrams",2,IF(J31="strings",3,IF(J31="visual array",4,IF(J31="characters",5,IF(J31="letters",6,IF(J31="free forms",7,IF(J31="odors",8,IF(J31="words",9,IF(J31="pictures",10,IF(J31="object pictures",11,IF(J31="faces",12,IF(J31="names",13,IF(J31="idioms",14,IF(J31="grades",15,IF(J31="syllable-digit pairs",16,IF(J31="trigram-word pairs",17,IF(J31="word-digit pairs",18,IF(J31="English-Swahili pairs",19,IF(J31="spatial position",20,IF(J31="word pairs",21,IF(J31="word triads",22,IF(J31="generated words",23,IF(J31="word definition pairs",24,IF(J31="math problems",25,IF(J31="famous faces",26,IF(J31="famous names",27,IF(J31="famous voices",28,IF(J31="television programs",29,IF(J31="race horses",30,IF(J31="new vocabulary",31,IF(J31="sentences",32,IF(J31="concepts",33,IF(J31="ad slides",34,IF(J31="scenes",35,IF(J31="famous scenes",36,IF(J31="poems",37,IF(J31="walk",38,IF(J31="faces and events",39,IF(J31="events and names",40,IF(J31="flashbulb",41,IF(J31="stories",42,IF(J31="course material",43,IF(J31="autobiographical",44,IF(J31="novels",45,IF(J31="public events",46,"99"))))))))))))))))))))))))))))))))))))))))))))))</f>
        <v>42</v>
      </c>
      <c r="L31" s="69">
        <f>IF(J31="syllables",1,IF(J31="trigrams",1,IF(J31="strings",1,IF(J31="visual array",1,IF(J31="characters",1,IF(J31="letters",1,IF(J31="free forms",1,IF(J31="odors",2,IF(J31="words",2,IF(J31="pictures",2,IF(J31="object pictures",2,IF(J31="faces",2,IF(J31="names",2,IF(J31="idioms","2",IF(J31="grades",2,IF(J31="syllable-digit pairs",3,IF(J31="trigram-word pairs",3,IF(J31="word-digit pairs",3,IF(J31="English-Swahili pairs",3,IF(J31="spatial position",3,IF(J31="word pairs",4,IF(J31="word triads",4,IF(J31="generated words",4,IF(J31="word definition pairs",4,IF(J31="math problems",4,IF(J31="famous faces",4,IF(J31="famous names",4,IF(J31="famous voices",4,IF(J31="television programs",4,IF(J31="race horses",4,IF(J31="new vocabulary",4,IF(J31="sentences",5,IF(J31="concepts",5,IF(J31="ad slides",5,IF(J31="scenes",5,IF(J31="famous scenes",5,IF(J31="poems",6,IF(J31="walk",6,IF(J31="faces and events",6,IF(J31="events and names",6,IF(J31="flashbulb",7,IF(J31="stories",7,IF(J31="course material",7,IF(J31="autobiographical",7,IF(J31="novels",7,IF(J31="public events",7,"99"))))))))))))))))))))))))))))))))))))))))))))))</f>
        <v>7</v>
      </c>
      <c r="M31" s="69">
        <v>0</v>
      </c>
      <c r="N31" s="86">
        <v>3</v>
      </c>
      <c r="O31" s="69">
        <v>0</v>
      </c>
      <c r="P31" s="69"/>
      <c r="Q31" s="69" t="s">
        <v>174</v>
      </c>
      <c r="R31" s="69">
        <f>IF(Q31="Free Recall",1,IF(Q31="Cued Recall",2,IF(Q31="Recognition",3,IF(Q31="Multiple Choice",4,IF(Q31="Savings",5,IF(Q31="Stem Completion",6,IF(Q31="Fragment Completion",7,IF(Q31="anagram solution",8,IF(Q31="Matching",9,IF(Q31="Problem Solving",10,"99"))))))))))</f>
        <v>1</v>
      </c>
      <c r="S31" s="69" t="s">
        <v>49</v>
      </c>
      <c r="T31" s="92" t="s">
        <v>261</v>
      </c>
      <c r="U31" s="69">
        <f>IF(T31="within",1,0)</f>
        <v>0</v>
      </c>
      <c r="V31" s="92">
        <v>12</v>
      </c>
      <c r="W31" s="69">
        <f>F31*V31</f>
        <v>432</v>
      </c>
      <c r="X31" s="69">
        <v>3</v>
      </c>
      <c r="Y31" s="87">
        <f>AV30</f>
        <v>3600</v>
      </c>
      <c r="Z31" s="69" t="s">
        <v>97</v>
      </c>
      <c r="AA31" s="69">
        <v>604800</v>
      </c>
      <c r="AB31" s="69" t="str">
        <f>IF(AA31&lt;60,"1",IF(AA31&lt;=43200,"2",IF(AA31&lt;=777600,"3","4")))</f>
        <v>3</v>
      </c>
      <c r="AC31" s="72">
        <f>AVERAGE(AV30:DA30)</f>
        <v>260400</v>
      </c>
      <c r="AD31" s="69" t="str">
        <f>IF(AC31&lt;60,"1",IF(AC31&lt;=43200,"2",IF(AC31&lt;=777600,"3","4")))</f>
        <v>3</v>
      </c>
      <c r="AE31" s="87">
        <f>AA31-Y31</f>
        <v>601200</v>
      </c>
      <c r="AF31" s="88">
        <f>AV31</f>
        <v>0.62460896767466101</v>
      </c>
      <c r="AG31" s="72">
        <f>((AW31-AV31)+(AX31-AW31))/2</f>
        <v>-0.20281543274244052</v>
      </c>
      <c r="AH31" s="4"/>
      <c r="AI31" s="72">
        <f>RSQ(AV31:AX31,AV30:AX30)</f>
        <v>0.88099851479518032</v>
      </c>
      <c r="AJ31" s="110">
        <f>SLOPE(AV31:AX31,AV30:AX30)</f>
        <v>-6.1743247978469734E-7</v>
      </c>
      <c r="AK31" s="72">
        <f>INTERCEPT(AV31:AX31,AV30:AX30)</f>
        <v>0.57023371040190618</v>
      </c>
      <c r="AL31" s="72">
        <f>INDEX(LINEST(LN(AV31:AX31),LN(AV30:AX30),TRUE,TRUE),3,1)</f>
        <v>0.89468452338007076</v>
      </c>
      <c r="AM31" s="72">
        <f>INDEX(LINEST(LN(AV31:AX31),LN(AV30:AX30)),1)</f>
        <v>-0.18575610221508479</v>
      </c>
      <c r="AN31" s="72">
        <f>EXP(INDEX(LINEST(LN(AV31:AX31),LN(AV30:AX30)),1,2))</f>
        <v>2.9938656718502226</v>
      </c>
      <c r="AO31" s="89">
        <f>INDEX(LINEST((AV31:AX31),LN(AV30:AX30),TRUE,TRUE),3,1)</f>
        <v>0.96727330918821597</v>
      </c>
      <c r="AP31" s="89">
        <f>INDEX(LINEST((AV31:AX31),LN(AV30:AX30)),1)</f>
        <v>-7.5088508432265041E-2</v>
      </c>
      <c r="AQ31" s="90">
        <f>INDEX(LINEST(LN(AV31:AX31),SQRT(AV30:AX30),TRUE,TRUE),3,1)</f>
        <v>0.9985154511894534</v>
      </c>
      <c r="AR31" s="117">
        <f>INDEX(LINEST(LN(AV31:AX31),SQRT((AV30:AX30))),1)</f>
        <v>-1.4607430949740308E-3</v>
      </c>
      <c r="AS31" s="91">
        <f>INDEX(LINEST(1/(AV31:AX31),1/(SQRT(AV30:AX30)),TRUE,TRUE),3,1)</f>
        <v>0.63868496911761574</v>
      </c>
      <c r="AT31" s="91">
        <f>INDEX(LINEST(1/(AV31:AX31),1/SQRT(AV30:AX30)),1)</f>
        <v>-140.6368654937811</v>
      </c>
      <c r="AU31" s="3"/>
      <c r="AV31" s="160">
        <v>0.62460896767466101</v>
      </c>
      <c r="AW31" s="160">
        <v>0.38477580813347201</v>
      </c>
      <c r="AX31" s="160">
        <v>0.21897810218978001</v>
      </c>
      <c r="AY31" s="135"/>
      <c r="AZ31" s="135"/>
      <c r="BA31" s="135"/>
      <c r="BB31" s="135"/>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1"/>
      <c r="CS31" s="1"/>
      <c r="CT31" s="1"/>
      <c r="CU31" s="1"/>
    </row>
    <row r="32" spans="1:99" s="13" customFormat="1" ht="12" customHeight="1" x14ac:dyDescent="0.25">
      <c r="A32" s="68">
        <v>43899</v>
      </c>
      <c r="B32" s="70"/>
      <c r="C32" s="70"/>
      <c r="D32" s="69"/>
      <c r="E32" s="87"/>
      <c r="F32" s="69"/>
      <c r="G32" s="69"/>
      <c r="H32" s="69"/>
      <c r="I32" s="104"/>
      <c r="J32" s="69"/>
      <c r="K32" s="107"/>
      <c r="L32" s="107"/>
      <c r="M32" s="69"/>
      <c r="N32" s="86"/>
      <c r="O32" s="69"/>
      <c r="P32" s="69"/>
      <c r="Q32" s="69"/>
      <c r="R32" s="69"/>
      <c r="S32" s="69"/>
      <c r="T32" s="92"/>
      <c r="U32" s="69"/>
      <c r="V32" s="92"/>
      <c r="W32" s="69"/>
      <c r="X32" s="69"/>
      <c r="Y32" s="87"/>
      <c r="Z32" s="69"/>
      <c r="AA32" s="69"/>
      <c r="AB32" s="69"/>
      <c r="AC32" s="72"/>
      <c r="AD32" s="69"/>
      <c r="AE32" s="69"/>
      <c r="AF32" s="88"/>
      <c r="AG32" s="72"/>
      <c r="AH32" s="4"/>
      <c r="AI32" s="72"/>
      <c r="AJ32" s="110"/>
      <c r="AK32" s="72"/>
      <c r="AL32" s="72"/>
      <c r="AM32" s="72"/>
      <c r="AN32" s="72"/>
      <c r="AO32" s="89"/>
      <c r="AP32" s="89"/>
      <c r="AQ32" s="90"/>
      <c r="AR32" s="117"/>
      <c r="AS32" s="91"/>
      <c r="AT32" s="91"/>
      <c r="AU32" s="3"/>
      <c r="AV32" s="71">
        <v>3600</v>
      </c>
      <c r="AW32" s="71">
        <v>172800</v>
      </c>
      <c r="AX32" s="71">
        <v>604800</v>
      </c>
      <c r="AY32" s="53"/>
      <c r="AZ32" s="135"/>
      <c r="BA32" s="135"/>
      <c r="BB32" s="135"/>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1"/>
      <c r="CS32" s="1"/>
      <c r="CT32" s="1"/>
      <c r="CU32" s="1"/>
    </row>
    <row r="33" spans="1:99" s="13" customFormat="1" ht="12" customHeight="1" x14ac:dyDescent="0.25">
      <c r="A33" s="68">
        <v>43899</v>
      </c>
      <c r="B33" s="70" t="s">
        <v>378</v>
      </c>
      <c r="C33" s="70" t="s">
        <v>107</v>
      </c>
      <c r="D33" s="69">
        <v>1994</v>
      </c>
      <c r="E33" s="87">
        <v>3</v>
      </c>
      <c r="F33" s="69">
        <v>36</v>
      </c>
      <c r="G33" s="69">
        <v>12</v>
      </c>
      <c r="H33" s="69" t="s">
        <v>41</v>
      </c>
      <c r="I33" s="104" t="s">
        <v>381</v>
      </c>
      <c r="J33" s="69" t="s">
        <v>61</v>
      </c>
      <c r="K33" s="69">
        <f>IF(J33="syllables",1,IF(J33="trigrams",2,IF(J33="strings",3,IF(J33="visual array",4,IF(J33="characters",5,IF(J33="letters",6,IF(J33="free forms",7,IF(J33="odors",8,IF(J33="words",9,IF(J33="pictures",10,IF(J33="object pictures",11,IF(J33="faces",12,IF(J33="names",13,IF(J33="idioms",14,IF(J33="grades",15,IF(J33="syllable-digit pairs",16,IF(J33="trigram-word pairs",17,IF(J33="word-digit pairs",18,IF(J33="English-Swahili pairs",19,IF(J33="spatial position",20,IF(J33="word pairs",21,IF(J33="word triads",22,IF(J33="generated words",23,IF(J33="word definition pairs",24,IF(J33="math problems",25,IF(J33="famous faces",26,IF(J33="famous names",27,IF(J33="famous voices",28,IF(J33="television programs",29,IF(J33="race horses",30,IF(J33="new vocabulary",31,IF(J33="sentences",32,IF(J33="concepts",33,IF(J33="ad slides",34,IF(J33="scenes",35,IF(J33="famous scenes",36,IF(J33="poems",37,IF(J33="walk",38,IF(J33="faces and events",39,IF(J33="events and names",40,IF(J33="flashbulb",41,IF(J33="stories",42,IF(J33="course material",43,IF(J33="autobiographical",44,IF(J33="novels",45,IF(J33="public events",46,"99"))))))))))))))))))))))))))))))))))))))))))))))</f>
        <v>42</v>
      </c>
      <c r="L33" s="69">
        <f>IF(J33="syllables",1,IF(J33="trigrams",1,IF(J33="strings",1,IF(J33="visual array",1,IF(J33="characters",1,IF(J33="letters",1,IF(J33="free forms",1,IF(J33="odors",2,IF(J33="words",2,IF(J33="pictures",2,IF(J33="object pictures",2,IF(J33="faces",2,IF(J33="names",2,IF(J33="idioms","2",IF(J33="grades",2,IF(J33="syllable-digit pairs",3,IF(J33="trigram-word pairs",3,IF(J33="word-digit pairs",3,IF(J33="English-Swahili pairs",3,IF(J33="spatial position",3,IF(J33="word pairs",4,IF(J33="word triads",4,IF(J33="generated words",4,IF(J33="word definition pairs",4,IF(J33="math problems",4,IF(J33="famous faces",4,IF(J33="famous names",4,IF(J33="famous voices",4,IF(J33="television programs",4,IF(J33="race horses",4,IF(J33="new vocabulary",4,IF(J33="sentences",5,IF(J33="concepts",5,IF(J33="ad slides",5,IF(J33="scenes",5,IF(J33="famous scenes",5,IF(J33="poems",6,IF(J33="walk",6,IF(J33="faces and events",6,IF(J33="events and names",6,IF(J33="flashbulb",7,IF(J33="stories",7,IF(J33="course material",7,IF(J33="autobiographical",7,IF(J33="novels",7,IF(J33="public events",7,"99"))))))))))))))))))))))))))))))))))))))))))))))</f>
        <v>7</v>
      </c>
      <c r="M33" s="69">
        <v>0</v>
      </c>
      <c r="N33" s="86">
        <v>3</v>
      </c>
      <c r="O33" s="69">
        <v>0</v>
      </c>
      <c r="P33" s="69"/>
      <c r="Q33" s="69" t="s">
        <v>174</v>
      </c>
      <c r="R33" s="69">
        <f>IF(Q33="Free Recall",1,IF(Q33="Cued Recall",2,IF(Q33="Recognition",3,IF(Q33="Multiple Choice",4,IF(Q33="Savings",5,IF(Q33="Stem Completion",6,IF(Q33="Fragment Completion",7,IF(Q33="anagram solution",8,IF(Q33="Matching",9,IF(Q33="Problem Solving",10,"99"))))))))))</f>
        <v>1</v>
      </c>
      <c r="S33" s="69" t="s">
        <v>49</v>
      </c>
      <c r="T33" s="92" t="s">
        <v>261</v>
      </c>
      <c r="U33" s="69">
        <f>IF(T33="within",1,0)</f>
        <v>0</v>
      </c>
      <c r="V33" s="92">
        <v>12</v>
      </c>
      <c r="W33" s="69">
        <f>F33*V33</f>
        <v>432</v>
      </c>
      <c r="X33" s="69">
        <v>3</v>
      </c>
      <c r="Y33" s="87">
        <f>AV32</f>
        <v>3600</v>
      </c>
      <c r="Z33" s="69" t="s">
        <v>97</v>
      </c>
      <c r="AA33" s="69">
        <v>604800</v>
      </c>
      <c r="AB33" s="69" t="str">
        <f>IF(AA33&lt;60,"1",IF(AA33&lt;=43200,"2",IF(AA33&lt;=777600,"3","4")))</f>
        <v>3</v>
      </c>
      <c r="AC33" s="72">
        <f>AVERAGE(AV32:DA32)</f>
        <v>260400</v>
      </c>
      <c r="AD33" s="69" t="str">
        <f>IF(AC33&lt;60,"1",IF(AC33&lt;=43200,"2",IF(AC33&lt;=777600,"3","4")))</f>
        <v>3</v>
      </c>
      <c r="AE33" s="87">
        <f>AA33-Y33</f>
        <v>601200</v>
      </c>
      <c r="AF33" s="88">
        <f>AV33</f>
        <v>0.75860271115745548</v>
      </c>
      <c r="AG33" s="72">
        <f>((AW33-AV33)+(AX33-AW33))/2</f>
        <v>-0.12226277372262778</v>
      </c>
      <c r="AH33" s="4"/>
      <c r="AI33" s="72">
        <f>RSQ(AV33:AX33,AV32:AX32)</f>
        <v>0.78254173378667391</v>
      </c>
      <c r="AJ33" s="110">
        <f>SLOPE(AV33:AX33,AV32:AX32)</f>
        <v>-3.5897176644583319E-7</v>
      </c>
      <c r="AK33" s="72">
        <f>INTERCEPT(AV33:AX33,AV32:AX32)</f>
        <v>0.71269765917470873</v>
      </c>
      <c r="AL33" s="72">
        <f>INDEX(LINEST(LN(AV33:AX33),LN(AV32:AX32),TRUE,TRUE),3,1)</f>
        <v>0.99093214617635728</v>
      </c>
      <c r="AM33" s="72">
        <f>INDEX(LINEST(LN(AV33:AX33),LN(AV32:AX32)),1)</f>
        <v>-7.3853853236332159E-2</v>
      </c>
      <c r="AN33" s="72">
        <f>EXP(INDEX(LINEST(LN(AV33:AX33),LN(AV32:AX32)),1,2))</f>
        <v>1.3959833273714981</v>
      </c>
      <c r="AO33" s="89">
        <f>INDEX(LINEST((AV33:AX33),LN(AV32:AX32),TRUE,TRUE),3,1)</f>
        <v>0.99760304580786618</v>
      </c>
      <c r="AP33" s="89">
        <f>INDEX(LINEST((AV33:AX33),LN(AV32:AX32)),1)</f>
        <v>-4.704163558323908E-2</v>
      </c>
      <c r="AQ33" s="90">
        <f>INDEX(LINEST(LN(AV33:AX33),SQRT(AV32:AX32),TRUE,TRUE),3,1)</f>
        <v>0.96184435567624216</v>
      </c>
      <c r="AR33" s="117">
        <f>INDEX(LINEST(LN(AV33:AX33),SQRT((AV32:AX32))),1)</f>
        <v>-5.4161654303708511E-4</v>
      </c>
      <c r="AS33" s="91">
        <f>INDEX(LINEST(1/(AV33:AX33),1/(SQRT(AV32:AX32)),TRUE,TRUE),3,1)</f>
        <v>0.9033693049226752</v>
      </c>
      <c r="AT33" s="91">
        <f>INDEX(LINEST(1/(AV33:AX33),1/SQRT(AV32:AX32)),1)</f>
        <v>-35.103123513115001</v>
      </c>
      <c r="AU33" s="3"/>
      <c r="AV33" s="160">
        <v>0.75860271115745548</v>
      </c>
      <c r="AW33" s="160">
        <v>0.58498435870698595</v>
      </c>
      <c r="AX33" s="160">
        <v>0.51407716371219991</v>
      </c>
      <c r="AY33" s="135"/>
      <c r="AZ33" s="135"/>
      <c r="BA33" s="135"/>
      <c r="BB33" s="135"/>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1"/>
      <c r="CS33" s="1"/>
      <c r="CT33" s="1"/>
      <c r="CU33" s="1"/>
    </row>
    <row r="34" spans="1:99" s="13" customFormat="1" ht="12" customHeight="1" x14ac:dyDescent="0.2">
      <c r="A34" s="68">
        <v>43509</v>
      </c>
      <c r="B34" s="70"/>
      <c r="C34" s="70"/>
      <c r="D34" s="69"/>
      <c r="E34" s="87"/>
      <c r="F34" s="69"/>
      <c r="G34" s="69"/>
      <c r="H34" s="69"/>
      <c r="I34" s="69"/>
      <c r="J34" s="69"/>
      <c r="K34" s="107"/>
      <c r="L34" s="107"/>
      <c r="M34" s="69"/>
      <c r="N34" s="69"/>
      <c r="O34" s="69"/>
      <c r="P34" s="69"/>
      <c r="Q34" s="69"/>
      <c r="R34" s="69"/>
      <c r="S34" s="69"/>
      <c r="T34" s="69"/>
      <c r="U34" s="69"/>
      <c r="V34" s="69"/>
      <c r="W34" s="69"/>
      <c r="X34" s="69"/>
      <c r="Y34" s="87"/>
      <c r="Z34" s="69"/>
      <c r="AA34" s="69"/>
      <c r="AB34" s="69"/>
      <c r="AC34" s="69"/>
      <c r="AD34" s="69"/>
      <c r="AE34" s="69"/>
      <c r="AF34" s="88"/>
      <c r="AG34" s="72"/>
      <c r="AH34" s="4"/>
      <c r="AI34" s="72"/>
      <c r="AJ34" s="110"/>
      <c r="AK34" s="72"/>
      <c r="AL34" s="72"/>
      <c r="AM34" s="72"/>
      <c r="AN34" s="72"/>
      <c r="AO34" s="72"/>
      <c r="AP34" s="72"/>
      <c r="AQ34" s="72"/>
      <c r="AR34" s="110"/>
      <c r="AS34" s="72"/>
      <c r="AT34" s="72"/>
      <c r="AU34" s="3"/>
      <c r="AV34" s="71">
        <v>30</v>
      </c>
      <c r="AW34" s="71">
        <f>23*60</f>
        <v>1380</v>
      </c>
      <c r="AX34" s="71">
        <f>24*60*60*7</f>
        <v>604800</v>
      </c>
      <c r="AY34" s="53"/>
      <c r="AZ34" s="53"/>
      <c r="BA34" s="53"/>
      <c r="BB34" s="53"/>
      <c r="BC34" s="53"/>
      <c r="BD34" s="53"/>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1"/>
      <c r="CS34" s="1"/>
      <c r="CT34" s="1"/>
      <c r="CU34" s="1"/>
    </row>
    <row r="35" spans="1:99" s="13" customFormat="1" ht="12" customHeight="1" x14ac:dyDescent="0.2">
      <c r="A35" s="68">
        <v>43509</v>
      </c>
      <c r="B35" s="103" t="s">
        <v>94</v>
      </c>
      <c r="C35" s="70" t="s">
        <v>95</v>
      </c>
      <c r="D35" s="69">
        <v>2012</v>
      </c>
      <c r="E35" s="87">
        <v>1</v>
      </c>
      <c r="F35" s="69">
        <v>14</v>
      </c>
      <c r="G35" s="69">
        <v>14</v>
      </c>
      <c r="H35" s="69" t="s">
        <v>41</v>
      </c>
      <c r="I35" s="69" t="s">
        <v>672</v>
      </c>
      <c r="J35" s="69" t="s">
        <v>61</v>
      </c>
      <c r="K35" s="69">
        <f>IF(J35="syllables",1,IF(J35="trigrams",2,IF(J35="strings",3,IF(J35="visual array",4,IF(J35="characters",5,IF(J35="letters",6,IF(J35="free forms",7,IF(J35="odors",8,IF(J35="words",9,IF(J35="pictures",10,IF(J35="object pictures",11,IF(J35="faces",12,IF(J35="names",13,IF(J35="idioms",14,IF(J35="grades",15,IF(J35="syllable-digit pairs",16,IF(J35="trigram-word pairs",17,IF(J35="word-digit pairs",18,IF(J35="English-Swahili pairs",19,IF(J35="spatial position",20,IF(J35="word pairs",21,IF(J35="word triads",22,IF(J35="generated words",23,IF(J35="word definition pairs",24,IF(J35="math problems",25,IF(J35="famous faces",26,IF(J35="famous names",27,IF(J35="famous voices",28,IF(J35="television programs",29,IF(J35="race horses",30,IF(J35="new vocabulary",31,IF(J35="sentences",32,IF(J35="concepts",33,IF(J35="ad slides",34,IF(J35="scenes",35,IF(J35="famous scenes",36,IF(J35="poems",37,IF(J35="walk",38,IF(J35="faces and events",39,IF(J35="events and names",40,IF(J35="flashbulb",41,IF(J35="stories",42,IF(J35="course material",43,IF(J35="autobiographical",44,IF(J35="novels",45,IF(J35="public events",46,"99"))))))))))))))))))))))))))))))))))))))))))))))</f>
        <v>42</v>
      </c>
      <c r="L35" s="69">
        <f>IF(J35="syllables",1,IF(J35="trigrams",1,IF(J35="strings",1,IF(J35="visual array",1,IF(J35="characters",1,IF(J35="letters",1,IF(J35="free forms",1,IF(J35="odors",2,IF(J35="words",2,IF(J35="pictures",2,IF(J35="object pictures",2,IF(J35="faces",2,IF(J35="names",2,IF(J35="idioms","2",IF(J35="grades",2,IF(J35="syllable-digit pairs",3,IF(J35="trigram-word pairs",3,IF(J35="word-digit pairs",3,IF(J35="English-Swahili pairs",3,IF(J35="spatial position",3,IF(J35="word pairs",4,IF(J35="word triads",4,IF(J35="generated words",4,IF(J35="word definition pairs",4,IF(J35="math problems",4,IF(J35="famous faces",4,IF(J35="famous names",4,IF(J35="famous voices",4,IF(J35="television programs",4,IF(J35="race horses",4,IF(J35="new vocabulary",4,IF(J35="sentences",5,IF(J35="concepts",5,IF(J35="ad slides",5,IF(J35="scenes",5,IF(J35="famous scenes",5,IF(J35="poems",6,IF(J35="walk",6,IF(J35="faces and events",6,IF(J35="events and names",6,IF(J35="flashbulb",7,IF(J35="stories",7,IF(J35="course material",7,IF(J35="autobiographical",7,IF(J35="novels",7,IF(J35="public events",7,"99"))))))))))))))))))))))))))))))))))))))))))))))</f>
        <v>7</v>
      </c>
      <c r="M35" s="69">
        <v>0</v>
      </c>
      <c r="N35" s="69">
        <v>3</v>
      </c>
      <c r="O35" s="69">
        <v>1</v>
      </c>
      <c r="P35" s="69" t="s">
        <v>96</v>
      </c>
      <c r="Q35" s="69" t="s">
        <v>174</v>
      </c>
      <c r="R35" s="69">
        <f>IF(Q35="Free Recall",1,IF(Q35="Cued Recall",2,IF(Q35="Recognition",3,IF(Q35="Multiple Choice",4,IF(Q35="Savings",5,IF(Q35="Stem Completion",6,IF(Q35="Fragment Completion",7,IF(Q35="anagram solution",8,IF(Q35="Matching",9,IF(Q35="Problem Solving",10,"99"))))))))))</f>
        <v>1</v>
      </c>
      <c r="S35" s="69" t="s">
        <v>49</v>
      </c>
      <c r="T35" s="92" t="s">
        <v>581</v>
      </c>
      <c r="U35" s="69">
        <f>IF(T35="within",1,0)</f>
        <v>1</v>
      </c>
      <c r="V35" s="92">
        <v>25</v>
      </c>
      <c r="W35" s="69">
        <f>F35*V35</f>
        <v>350</v>
      </c>
      <c r="X35" s="69">
        <v>3</v>
      </c>
      <c r="Y35" s="87">
        <f>AV34</f>
        <v>30</v>
      </c>
      <c r="Z35" s="69" t="s">
        <v>97</v>
      </c>
      <c r="AA35" s="69">
        <v>604800</v>
      </c>
      <c r="AB35" s="69" t="str">
        <f>IF(AA35&lt;60,"1",IF(AA35&lt;=43200,"2",IF(AA35&lt;=777600,"3","4")))</f>
        <v>3</v>
      </c>
      <c r="AC35" s="72">
        <f>AVERAGE(AV34:DA34)</f>
        <v>202070</v>
      </c>
      <c r="AD35" s="69" t="str">
        <f>IF(AC35&lt;60,"1",IF(AC35&lt;=43200,"2",IF(AC35&lt;=777600,"3","4")))</f>
        <v>3</v>
      </c>
      <c r="AE35" s="87">
        <f>AA35-Y35</f>
        <v>604770</v>
      </c>
      <c r="AF35" s="88">
        <f>AV35</f>
        <v>0.6</v>
      </c>
      <c r="AG35" s="72">
        <f>((AW35-AV35)+(AX35-AW35))/2</f>
        <v>-9.9999999999999978E-2</v>
      </c>
      <c r="AH35" s="4"/>
      <c r="AI35" s="72">
        <f>RSQ(AV35:AX35,AV34:AX34)</f>
        <v>0.53674051099532749</v>
      </c>
      <c r="AJ35" s="110">
        <f>SLOPE(AV35:AX35,AV34:AX34)</f>
        <v>-2.1558556306907031E-7</v>
      </c>
      <c r="AK35" s="72">
        <f>INTERCEPT(AV35:AX35,AV34:AX34)</f>
        <v>0.53023004139603369</v>
      </c>
      <c r="AL35" s="72">
        <f>INDEX(LINEST(LN(AV35:AX35),LN(AV34:AX34),TRUE,TRUE),3,1)</f>
        <v>0.90809533926466635</v>
      </c>
      <c r="AM35" s="72">
        <f>INDEX(LINEST(LN(AV35:AX35),LN(AV34:AX34)),1)</f>
        <v>-3.9268388916605348E-2</v>
      </c>
      <c r="AN35" s="72">
        <f>EXP(INDEX(LINEST(LN(AV35:AX35),LN(AV34:AX34)),1,2))</f>
        <v>0.65629929764387163</v>
      </c>
      <c r="AO35" s="89">
        <f>INDEX(LINEST((AV35:AX35),LN(AV34:AX34),TRUE,TRUE),3,1)</f>
        <v>0.87753250715868891</v>
      </c>
      <c r="AP35" s="89">
        <f>INDEX(LINEST((AV35:AX35),LN(AV34:AX34)),1)</f>
        <v>-1.9235124809440604E-2</v>
      </c>
      <c r="AQ35" s="90">
        <f>INDEX(LINEST(LN(AV35:AX35),SQRT(AV34:AX34),TRUE,TRUE),3,1)</f>
        <v>0.61943564359307268</v>
      </c>
      <c r="AR35" s="117">
        <f>INDEX(LINEST(LN(AV35:AX35),SQRT((AV34:AX34))),1)</f>
        <v>-3.7096458295499395E-4</v>
      </c>
      <c r="AS35" s="91">
        <f>INDEX(LINEST(1/(AV35:AX35),1/(SQRT(AV34:AX34)),TRUE,TRUE),3,1)</f>
        <v>0.93001783054486098</v>
      </c>
      <c r="AT35" s="91">
        <f>INDEX(LINEST(1/(AV35:AX35),1/SQRT(AV34:AX34)),1)</f>
        <v>-4.1278529917009541</v>
      </c>
      <c r="AU35" s="3"/>
      <c r="AV35" s="73">
        <v>0.6</v>
      </c>
      <c r="AW35" s="73">
        <v>0.46</v>
      </c>
      <c r="AX35" s="73">
        <v>0.4</v>
      </c>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1"/>
      <c r="CS35" s="1"/>
      <c r="CT35" s="1"/>
      <c r="CU35" s="1"/>
    </row>
    <row r="36" spans="1:99" s="13" customFormat="1" ht="12" customHeight="1" x14ac:dyDescent="0.2">
      <c r="A36" s="68">
        <v>43509</v>
      </c>
      <c r="B36" s="70"/>
      <c r="C36" s="70"/>
      <c r="D36" s="69"/>
      <c r="E36" s="87"/>
      <c r="F36" s="69"/>
      <c r="G36" s="69"/>
      <c r="H36" s="69"/>
      <c r="I36" s="69"/>
      <c r="J36" s="69"/>
      <c r="K36" s="107"/>
      <c r="L36" s="107"/>
      <c r="M36" s="69"/>
      <c r="N36" s="69"/>
      <c r="O36" s="69"/>
      <c r="P36" s="69"/>
      <c r="Q36" s="69"/>
      <c r="R36" s="69"/>
      <c r="S36" s="69"/>
      <c r="T36" s="69"/>
      <c r="U36" s="69"/>
      <c r="V36" s="69"/>
      <c r="W36" s="69"/>
      <c r="X36" s="69"/>
      <c r="Y36" s="87"/>
      <c r="Z36" s="69"/>
      <c r="AA36" s="69"/>
      <c r="AB36" s="69"/>
      <c r="AC36" s="69"/>
      <c r="AD36" s="69"/>
      <c r="AE36" s="69"/>
      <c r="AF36" s="88"/>
      <c r="AG36" s="72"/>
      <c r="AH36" s="4"/>
      <c r="AI36" s="72"/>
      <c r="AJ36" s="110"/>
      <c r="AK36" s="72"/>
      <c r="AL36" s="72"/>
      <c r="AM36" s="72"/>
      <c r="AN36" s="72"/>
      <c r="AO36" s="72"/>
      <c r="AP36" s="72"/>
      <c r="AQ36" s="72"/>
      <c r="AR36" s="110"/>
      <c r="AS36" s="72"/>
      <c r="AT36" s="72"/>
      <c r="AU36" s="3"/>
      <c r="AV36" s="71">
        <v>30</v>
      </c>
      <c r="AW36" s="71">
        <f>23*60</f>
        <v>1380</v>
      </c>
      <c r="AX36" s="71">
        <f>24*60*60*7</f>
        <v>604800</v>
      </c>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1"/>
      <c r="CS36" s="1"/>
      <c r="CT36" s="1"/>
      <c r="CU36" s="1"/>
    </row>
    <row r="37" spans="1:99" s="13" customFormat="1" ht="12" customHeight="1" x14ac:dyDescent="0.2">
      <c r="A37" s="68">
        <v>43509</v>
      </c>
      <c r="B37" s="70" t="s">
        <v>94</v>
      </c>
      <c r="C37" s="70" t="s">
        <v>95</v>
      </c>
      <c r="D37" s="69">
        <v>2012</v>
      </c>
      <c r="E37" s="87">
        <v>1</v>
      </c>
      <c r="F37" s="69">
        <v>14</v>
      </c>
      <c r="G37" s="69">
        <v>14</v>
      </c>
      <c r="H37" s="69" t="s">
        <v>41</v>
      </c>
      <c r="I37" s="69" t="s">
        <v>673</v>
      </c>
      <c r="J37" s="69" t="s">
        <v>61</v>
      </c>
      <c r="K37" s="69">
        <f>IF(J37="syllables",1,IF(J37="trigrams",2,IF(J37="strings",3,IF(J37="visual array",4,IF(J37="characters",5,IF(J37="letters",6,IF(J37="free forms",7,IF(J37="odors",8,IF(J37="words",9,IF(J37="pictures",10,IF(J37="object pictures",11,IF(J37="faces",12,IF(J37="names",13,IF(J37="idioms",14,IF(J37="grades",15,IF(J37="syllable-digit pairs",16,IF(J37="trigram-word pairs",17,IF(J37="word-digit pairs",18,IF(J37="English-Swahili pairs",19,IF(J37="spatial position",20,IF(J37="word pairs",21,IF(J37="word triads",22,IF(J37="generated words",23,IF(J37="word definition pairs",24,IF(J37="math problems",25,IF(J37="famous faces",26,IF(J37="famous names",27,IF(J37="famous voices",28,IF(J37="television programs",29,IF(J37="race horses",30,IF(J37="new vocabulary",31,IF(J37="sentences",32,IF(J37="concepts",33,IF(J37="ad slides",34,IF(J37="scenes",35,IF(J37="famous scenes",36,IF(J37="poems",37,IF(J37="walk",38,IF(J37="faces and events",39,IF(J37="events and names",40,IF(J37="flashbulb",41,IF(J37="stories",42,IF(J37="course material",43,IF(J37="autobiographical",44,IF(J37="novels",45,IF(J37="public events",46,"99"))))))))))))))))))))))))))))))))))))))))))))))</f>
        <v>42</v>
      </c>
      <c r="L37" s="69">
        <f>IF(J37="syllables",1,IF(J37="trigrams",1,IF(J37="strings",1,IF(J37="visual array",1,IF(J37="characters",1,IF(J37="letters",1,IF(J37="free forms",1,IF(J37="odors",2,IF(J37="words",2,IF(J37="pictures",2,IF(J37="object pictures",2,IF(J37="faces",2,IF(J37="names",2,IF(J37="idioms","2",IF(J37="grades",2,IF(J37="syllable-digit pairs",3,IF(J37="trigram-word pairs",3,IF(J37="word-digit pairs",3,IF(J37="English-Swahili pairs",3,IF(J37="spatial position",3,IF(J37="word pairs",4,IF(J37="word triads",4,IF(J37="generated words",4,IF(J37="word definition pairs",4,IF(J37="math problems",4,IF(J37="famous faces",4,IF(J37="famous names",4,IF(J37="famous voices",4,IF(J37="television programs",4,IF(J37="race horses",4,IF(J37="new vocabulary",4,IF(J37="sentences",5,IF(J37="concepts",5,IF(J37="ad slides",5,IF(J37="scenes",5,IF(J37="famous scenes",5,IF(J37="poems",6,IF(J37="walk",6,IF(J37="faces and events",6,IF(J37="events and names",6,IF(J37="flashbulb",7,IF(J37="stories",7,IF(J37="course material",7,IF(J37="autobiographical",7,IF(J37="novels",7,IF(J37="public events",7,"99"))))))))))))))))))))))))))))))))))))))))))))))</f>
        <v>7</v>
      </c>
      <c r="M37" s="69">
        <v>0</v>
      </c>
      <c r="N37" s="69">
        <v>3</v>
      </c>
      <c r="O37" s="69">
        <v>1</v>
      </c>
      <c r="P37" s="69" t="s">
        <v>96</v>
      </c>
      <c r="Q37" s="69" t="s">
        <v>174</v>
      </c>
      <c r="R37" s="69">
        <f>IF(Q37="Free Recall",1,IF(Q37="Cued Recall",2,IF(Q37="Recognition",3,IF(Q37="Multiple Choice",4,IF(Q37="Savings",5,IF(Q37="Stem Completion",6,IF(Q37="Fragment Completion",7,IF(Q37="anagram solution",8,IF(Q37="Matching",9,IF(Q37="Problem Solving",10,"99"))))))))))</f>
        <v>1</v>
      </c>
      <c r="S37" s="69" t="s">
        <v>49</v>
      </c>
      <c r="T37" s="92" t="s">
        <v>581</v>
      </c>
      <c r="U37" s="69">
        <f>IF(T37="within",1,0)</f>
        <v>1</v>
      </c>
      <c r="V37" s="92">
        <v>25</v>
      </c>
      <c r="W37" s="69">
        <f>F37*V37</f>
        <v>350</v>
      </c>
      <c r="X37" s="69">
        <v>3</v>
      </c>
      <c r="Y37" s="87">
        <f>AV36</f>
        <v>30</v>
      </c>
      <c r="Z37" s="69" t="s">
        <v>97</v>
      </c>
      <c r="AA37" s="69">
        <v>604800</v>
      </c>
      <c r="AB37" s="69" t="str">
        <f>IF(AA37&lt;60,"1",IF(AA37&lt;=43200,"2",IF(AA37&lt;=777600,"3","4")))</f>
        <v>3</v>
      </c>
      <c r="AC37" s="72">
        <f>AVERAGE(AV36:DA36)</f>
        <v>202070</v>
      </c>
      <c r="AD37" s="69" t="str">
        <f>IF(AC37&lt;60,"1",IF(AC37&lt;=43200,"2",IF(AC37&lt;=777600,"3","4")))</f>
        <v>3</v>
      </c>
      <c r="AE37" s="87">
        <f>AA37-Y37</f>
        <v>604770</v>
      </c>
      <c r="AF37" s="88">
        <f>AV37</f>
        <v>0.57999999999999996</v>
      </c>
      <c r="AG37" s="72">
        <f>((AW37-AV37)+(AX37-AW37))/2</f>
        <v>-4.9999999999999989E-2</v>
      </c>
      <c r="AH37" s="4"/>
      <c r="AI37" s="72">
        <f>RSQ(AV37:AX37,AV36:AX36)</f>
        <v>0.96500054538339919</v>
      </c>
      <c r="AJ37" s="110">
        <f>SLOPE(AV37:AX37,AV36:AX36)</f>
        <v>-1.4903812147391653E-7</v>
      </c>
      <c r="AK37" s="72">
        <f>INTERCEPT(AV37:AX37,AV36:AX36)</f>
        <v>0.57011613320623433</v>
      </c>
      <c r="AL37" s="72">
        <f>INDEX(LINEST(LN(AV37:AX37),LN(AV36:AX36),TRUE,TRUE),3,1)</f>
        <v>0.95328559261088863</v>
      </c>
      <c r="AM37" s="72">
        <f>INDEX(LINEST(LN(AV37:AX37),LN(AV36:AX36)),1)</f>
        <v>-1.9664862159056648E-2</v>
      </c>
      <c r="AN37" s="72">
        <f>EXP(INDEX(LINEST(LN(AV37:AX37),LN(AV36:AX36)),1,2))</f>
        <v>0.62967267027742757</v>
      </c>
      <c r="AO37" s="89">
        <f>INDEX(LINEST((AV37:AX37),LN(AV36:AX36),TRUE,TRUE),3,1)</f>
        <v>0.95938842069755048</v>
      </c>
      <c r="AP37" s="89">
        <f>INDEX(LINEST((AV37:AX37),LN(AV36:AX36)),1)</f>
        <v>-1.0369474307710983E-2</v>
      </c>
      <c r="AQ37" s="90">
        <f>INDEX(LINEST(LN(AV37:AX37),SQRT(AV36:AX36),TRUE,TRUE),3,1)</f>
        <v>0.98082026015973189</v>
      </c>
      <c r="AR37" s="117">
        <f>INDEX(LINEST(LN(AV37:AX37),SQRT((AV36:AX36))),1)</f>
        <v>-2.2815558168708588E-4</v>
      </c>
      <c r="AS37" s="91">
        <f>INDEX(LINEST(1/(AV37:AX37),1/(SQRT(AV36:AX36)),TRUE,TRUE),3,1)</f>
        <v>0.53016939602502966</v>
      </c>
      <c r="AT37" s="91">
        <f>INDEX(LINEST(1/(AV37:AX37),1/SQRT(AV36:AX36)),1)</f>
        <v>-1.4256291061685442</v>
      </c>
      <c r="AU37" s="3"/>
      <c r="AV37" s="73">
        <v>0.57999999999999996</v>
      </c>
      <c r="AW37" s="73">
        <v>0.56000000000000005</v>
      </c>
      <c r="AX37" s="73">
        <v>0.48</v>
      </c>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1"/>
      <c r="CS37" s="1"/>
      <c r="CT37" s="1"/>
      <c r="CU37" s="1"/>
    </row>
    <row r="38" spans="1:99" ht="12" customHeight="1" x14ac:dyDescent="0.2">
      <c r="A38" s="68">
        <v>43978</v>
      </c>
      <c r="B38" s="94"/>
      <c r="C38" s="94"/>
      <c r="D38" s="92"/>
      <c r="E38" s="105"/>
      <c r="F38" s="92"/>
      <c r="G38" s="92"/>
      <c r="H38" s="92"/>
      <c r="I38" s="92"/>
      <c r="J38" s="92"/>
      <c r="K38" s="69"/>
      <c r="L38" s="69"/>
      <c r="M38" s="92"/>
      <c r="N38" s="92"/>
      <c r="O38" s="92"/>
      <c r="P38" s="92"/>
      <c r="Q38" s="92"/>
      <c r="R38" s="69"/>
      <c r="S38" s="69"/>
      <c r="T38" s="92"/>
      <c r="U38" s="69"/>
      <c r="V38" s="92"/>
      <c r="W38" s="69"/>
      <c r="X38" s="92"/>
      <c r="Y38" s="87"/>
      <c r="Z38" s="92"/>
      <c r="AA38" s="92"/>
      <c r="AB38" s="69"/>
      <c r="AC38" s="72"/>
      <c r="AD38" s="69"/>
      <c r="AE38" s="87"/>
      <c r="AF38" s="88"/>
      <c r="AG38" s="72"/>
      <c r="AH38" s="4"/>
      <c r="AI38" s="72"/>
      <c r="AJ38" s="110"/>
      <c r="AK38" s="72"/>
      <c r="AL38" s="72"/>
      <c r="AM38" s="72"/>
      <c r="AN38" s="72"/>
      <c r="AO38" s="89"/>
      <c r="AP38" s="89"/>
      <c r="AQ38" s="90"/>
      <c r="AR38" s="117"/>
      <c r="AS38" s="91"/>
      <c r="AT38" s="91"/>
      <c r="AU38" s="3"/>
      <c r="AV38" s="98">
        <v>30</v>
      </c>
      <c r="AW38" s="98">
        <f>60*60*30</f>
        <v>108000</v>
      </c>
      <c r="AX38" s="98">
        <f>60*60*24*7</f>
        <v>604800</v>
      </c>
      <c r="AY38" s="11"/>
      <c r="AZ38" s="43" t="s">
        <v>950</v>
      </c>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5"/>
      <c r="CS38" s="15"/>
      <c r="CT38" s="15"/>
      <c r="CU38" s="15"/>
    </row>
    <row r="39" spans="1:99" ht="12" customHeight="1" x14ac:dyDescent="0.2">
      <c r="A39" s="68">
        <v>43978</v>
      </c>
      <c r="B39" s="94" t="s">
        <v>948</v>
      </c>
      <c r="C39" s="94" t="s">
        <v>54</v>
      </c>
      <c r="D39" s="92">
        <v>2014</v>
      </c>
      <c r="E39" s="105">
        <v>1</v>
      </c>
      <c r="F39" s="92">
        <v>25</v>
      </c>
      <c r="G39" s="92">
        <v>25</v>
      </c>
      <c r="H39" s="92" t="s">
        <v>41</v>
      </c>
      <c r="I39" s="92" t="s">
        <v>949</v>
      </c>
      <c r="J39" s="92" t="s">
        <v>686</v>
      </c>
      <c r="K39" s="69">
        <f>IF(J39="syllables",1,IF(J39="trigrams",2,IF(J39="strings",3,IF(J39="visual array",4,IF(J39="characters",5,IF(J39="letters",6,IF(J39="free forms",7,IF(J39="odors",8,IF(J39="words",9,IF(J39="pictures",10,IF(J39="object pictures",11,IF(J39="faces",12,IF(J39="names",13,IF(J39="idioms",14,IF(J39="grades",15,IF(J39="syllable-digit pairs",16,IF(J39="trigram-word pairs",17,IF(J39="word-digit pairs",18,IF(J39="English-Swahili pairs",19,IF(J39="spatial position",20,IF(J39="word pairs",21,IF(J39="word triads",22,IF(J39="generated words",23,IF(J39="word definition pairs",24,IF(J39="math problems",25,IF(J39="famous faces",26,IF(J39="famous names",27,IF(J39="famous voices",28,IF(J39="television programs",29,IF(J39="race horses",30,IF(J39="new vocabulary",31,IF(J39="sentences",32,IF(J39="concepts",33,IF(J39="ad slides",34,IF(J39="scenes",35,IF(J39="famous scenes",36,IF(J39="poems",37,IF(J39="walk",38,IF(J39="faces and events",39,IF(J39="events and names",40,IF(J39="flashbulb",41,IF(J39="stories",42,IF(J39="course material",43,IF(J39="autobiographical",44,IF(J39="novels",45,IF(J39="public events",46,"99"))))))))))))))))))))))))))))))))))))))))))))))</f>
        <v>35</v>
      </c>
      <c r="L39" s="69">
        <f>IF(J39="syllables",1,IF(J39="trigrams",1,IF(J39="strings",1,IF(J39="visual array",1,IF(J39="characters",1,IF(J39="letters",1,IF(J39="free forms",1,IF(J39="odors",2,IF(J39="words",2,IF(J39="pictures",2,IF(J39="object pictures",2,IF(J39="faces",2,IF(J39="names",2,IF(J39="idioms","2",IF(J39="grades",2,IF(J39="syllable-digit pairs",3,IF(J39="trigram-word pairs",3,IF(J39="word-digit pairs",3,IF(J39="English-Swahili pairs",3,IF(J39="spatial position",3,IF(J39="word pairs",4,IF(J39="word triads",4,IF(J39="generated words",4,IF(J39="word definition pairs",4,IF(J39="math problems",4,IF(J39="famous faces",4,IF(J39="famous names",4,IF(J39="famous voices",4,IF(J39="television programs",4,IF(J39="race horses",4,IF(J39="new vocabulary",4,IF(J39="sentences",5,IF(J39="concepts",5,IF(J39="ad slides",5,IF(J39="scenes",5,IF(J39="famous scenes",5,IF(J39="poems",6,IF(J39="walk",6,IF(J39="faces and events",6,IF(J39="events and names",6,IF(J39="flashbulb",7,IF(J39="stories",7,IF(J39="course material",7,IF(J39="autobiographical",7,IF(J39="novels",7,IF(J39="public events",7,"99"))))))))))))))))))))))))))))))))))))))))))))))</f>
        <v>5</v>
      </c>
      <c r="M39" s="92">
        <v>0</v>
      </c>
      <c r="N39" s="92">
        <v>3</v>
      </c>
      <c r="O39" s="92">
        <v>0</v>
      </c>
      <c r="P39" s="92"/>
      <c r="Q39" s="92" t="s">
        <v>174</v>
      </c>
      <c r="R39" s="69">
        <f>IF(Q39="Free Recall",1,IF(Q39="Cued Recall",2,IF(Q39="Recognition",3,IF(Q39="Multiple Choice",4,IF(Q39="Savings",5,IF(Q39="Stem Completion",6,IF(Q39="Fragment Completion",7,IF(Q39="anagram solution",8,IF(Q39="Matching",9,IF(Q39="Problem Solving",10,"99"))))))))))</f>
        <v>1</v>
      </c>
      <c r="S39" s="69" t="s">
        <v>49</v>
      </c>
      <c r="T39" s="92" t="s">
        <v>581</v>
      </c>
      <c r="U39" s="69">
        <f>IF(T39="within",1,0)</f>
        <v>1</v>
      </c>
      <c r="V39" s="92">
        <f>3*18</f>
        <v>54</v>
      </c>
      <c r="W39" s="69">
        <f>F39*V39</f>
        <v>1350</v>
      </c>
      <c r="X39" s="92">
        <v>3</v>
      </c>
      <c r="Y39" s="87">
        <f>AV38</f>
        <v>30</v>
      </c>
      <c r="Z39" s="92" t="s">
        <v>150</v>
      </c>
      <c r="AA39" s="92">
        <f>60*60*24*7</f>
        <v>604800</v>
      </c>
      <c r="AB39" s="69" t="str">
        <f>IF(AA39&lt;60,"1",IF(AA39&lt;=43200,"2",IF(AA39&lt;=777600,"3","4")))</f>
        <v>3</v>
      </c>
      <c r="AC39" s="72">
        <f>AVERAGE(AV38:DA38)</f>
        <v>237610</v>
      </c>
      <c r="AD39" s="69" t="str">
        <f>IF(AC39&lt;60,"1",IF(AC39&lt;=43200,"2",IF(AC39&lt;=777600,"3","4")))</f>
        <v>3</v>
      </c>
      <c r="AE39" s="87">
        <f>AA39-Y39</f>
        <v>604770</v>
      </c>
      <c r="AF39" s="88">
        <f>AV39</f>
        <v>0.84667267998767226</v>
      </c>
      <c r="AG39" s="72">
        <f>((AW39-AV39)+(AX39-AW39))/2</f>
        <v>-0.18195311777078033</v>
      </c>
      <c r="AH39" s="4"/>
      <c r="AI39" s="72">
        <f>RSQ(AV39:AX39,AV38:AX38)</f>
        <v>0.99937614404368114</v>
      </c>
      <c r="AJ39" s="110">
        <f>SLOPE(AV39:AX39,AV38:AX38)</f>
        <v>-6.0735957090184951E-7</v>
      </c>
      <c r="AK39" s="72">
        <f>INTERCEPT(AV39:AX39,AV38:AX38)</f>
        <v>0.85104345823560912</v>
      </c>
      <c r="AL39" s="72">
        <f>INDEX(LINEST(LN(AV39:AX39),LN(AV38:AX38),TRUE,TRUE),3,1)</f>
        <v>0.51328544991195779</v>
      </c>
      <c r="AM39" s="72">
        <f>INDEX(LINEST(LN(AV39:AX39),LN(AV38:AX38)),1)</f>
        <v>-4.1470120856888885E-2</v>
      </c>
      <c r="AN39" s="72">
        <f>EXP(INDEX(LINEST(LN(AV39:AX39),LN(AV38:AX38)),1,2))</f>
        <v>1.0148826413791181</v>
      </c>
      <c r="AO39" s="89">
        <f>INDEX(LINEST((AV39:AX39),LN(AV38:AX38),TRUE,TRUE),3,1)</f>
        <v>0.5447107011445167</v>
      </c>
      <c r="AP39" s="89">
        <f>INDEX(LINEST((AV39:AX39),LN(AV38:AX38)),1)</f>
        <v>-2.7311243029722841E-2</v>
      </c>
      <c r="AQ39" s="90">
        <f>INDEX(LINEST(LN(AV39:AX39),SQRT(AV38:AX38),TRUE,TRUE),3,1)</f>
        <v>0.90221172820000073</v>
      </c>
      <c r="AR39" s="117">
        <f>INDEX(LINEST(LN(AV39:AX39),SQRT((AV38:AX38))),1)</f>
        <v>-7.5076212778992218E-4</v>
      </c>
      <c r="AS39" s="91">
        <f>INDEX(LINEST(1/(AV39:AX39),1/(SQRT(AV38:AX38)),TRUE,TRUE),3,1)</f>
        <v>0.33484480118207172</v>
      </c>
      <c r="AT39" s="91">
        <f>INDEX(LINEST(1/(AV39:AX39),1/SQRT(AV38:AX38)),1)</f>
        <v>-2.7314192240676989</v>
      </c>
      <c r="AU39" s="3"/>
      <c r="AV39" s="97">
        <v>0.84667267998767226</v>
      </c>
      <c r="AW39" s="97">
        <v>0.79074712734707786</v>
      </c>
      <c r="AX39" s="97">
        <v>0.48276644444611161</v>
      </c>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5"/>
      <c r="CS39" s="15"/>
      <c r="CT39" s="15"/>
      <c r="CU39" s="15"/>
    </row>
    <row r="40" spans="1:99" ht="12" customHeight="1" x14ac:dyDescent="0.2">
      <c r="A40" s="68">
        <v>43978</v>
      </c>
      <c r="B40" s="94"/>
      <c r="C40" s="94"/>
      <c r="D40" s="92"/>
      <c r="E40" s="105"/>
      <c r="F40" s="92"/>
      <c r="G40" s="92"/>
      <c r="H40" s="92"/>
      <c r="I40" s="92"/>
      <c r="J40" s="92"/>
      <c r="K40" s="69"/>
      <c r="L40" s="69"/>
      <c r="M40" s="92"/>
      <c r="N40" s="92"/>
      <c r="O40" s="92"/>
      <c r="P40" s="92"/>
      <c r="Q40" s="92"/>
      <c r="R40" s="69"/>
      <c r="S40" s="69"/>
      <c r="T40" s="92"/>
      <c r="U40" s="69"/>
      <c r="V40" s="92"/>
      <c r="W40" s="69"/>
      <c r="X40" s="92"/>
      <c r="Y40" s="87"/>
      <c r="Z40" s="92"/>
      <c r="AA40" s="92"/>
      <c r="AB40" s="69"/>
      <c r="AC40" s="72"/>
      <c r="AD40" s="69"/>
      <c r="AE40" s="87"/>
      <c r="AF40" s="88"/>
      <c r="AG40" s="72"/>
      <c r="AH40" s="4"/>
      <c r="AI40" s="72"/>
      <c r="AJ40" s="110"/>
      <c r="AK40" s="72"/>
      <c r="AL40" s="72"/>
      <c r="AM40" s="72"/>
      <c r="AN40" s="72"/>
      <c r="AO40" s="89"/>
      <c r="AP40" s="89"/>
      <c r="AQ40" s="90"/>
      <c r="AR40" s="117"/>
      <c r="AS40" s="91"/>
      <c r="AT40" s="91"/>
      <c r="AU40" s="3"/>
      <c r="AV40" s="98">
        <v>30</v>
      </c>
      <c r="AW40" s="98">
        <f>60*60*30</f>
        <v>108000</v>
      </c>
      <c r="AX40" s="98">
        <f>60*60*24*7</f>
        <v>604800</v>
      </c>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5"/>
      <c r="CS40" s="15"/>
      <c r="CT40" s="15"/>
      <c r="CU40" s="15"/>
    </row>
    <row r="41" spans="1:99" ht="12" customHeight="1" x14ac:dyDescent="0.2">
      <c r="A41" s="68">
        <v>43978</v>
      </c>
      <c r="B41" s="94" t="s">
        <v>948</v>
      </c>
      <c r="C41" s="94" t="s">
        <v>54</v>
      </c>
      <c r="D41" s="92">
        <v>2014</v>
      </c>
      <c r="E41" s="105">
        <v>1</v>
      </c>
      <c r="F41" s="92">
        <v>25</v>
      </c>
      <c r="G41" s="92">
        <v>25</v>
      </c>
      <c r="H41" s="92" t="s">
        <v>41</v>
      </c>
      <c r="I41" s="92" t="s">
        <v>951</v>
      </c>
      <c r="J41" s="92" t="s">
        <v>686</v>
      </c>
      <c r="K41" s="69">
        <f>IF(J41="syllables",1,IF(J41="trigrams",2,IF(J41="strings",3,IF(J41="visual array",4,IF(J41="characters",5,IF(J41="letters",6,IF(J41="free forms",7,IF(J41="odors",8,IF(J41="words",9,IF(J41="pictures",10,IF(J41="object pictures",11,IF(J41="faces",12,IF(J41="names",13,IF(J41="idioms",14,IF(J41="grades",15,IF(J41="syllable-digit pairs",16,IF(J41="trigram-word pairs",17,IF(J41="word-digit pairs",18,IF(J41="English-Swahili pairs",19,IF(J41="spatial position",20,IF(J41="word pairs",21,IF(J41="word triads",22,IF(J41="generated words",23,IF(J41="word definition pairs",24,IF(J41="math problems",25,IF(J41="famous faces",26,IF(J41="famous names",27,IF(J41="famous voices",28,IF(J41="television programs",29,IF(J41="race horses",30,IF(J41="new vocabulary",31,IF(J41="sentences",32,IF(J41="concepts",33,IF(J41="ad slides",34,IF(J41="scenes",35,IF(J41="famous scenes",36,IF(J41="poems",37,IF(J41="walk",38,IF(J41="faces and events",39,IF(J41="events and names",40,IF(J41="flashbulb",41,IF(J41="stories",42,IF(J41="course material",43,IF(J41="autobiographical",44,IF(J41="novels",45,IF(J41="public events",46,"99"))))))))))))))))))))))))))))))))))))))))))))))</f>
        <v>35</v>
      </c>
      <c r="L41" s="69">
        <f>IF(J41="syllables",1,IF(J41="trigrams",1,IF(J41="strings",1,IF(J41="visual array",1,IF(J41="characters",1,IF(J41="letters",1,IF(J41="free forms",1,IF(J41="odors",2,IF(J41="words",2,IF(J41="pictures",2,IF(J41="object pictures",2,IF(J41="faces",2,IF(J41="names",2,IF(J41="idioms","2",IF(J41="grades",2,IF(J41="syllable-digit pairs",3,IF(J41="trigram-word pairs",3,IF(J41="word-digit pairs",3,IF(J41="English-Swahili pairs",3,IF(J41="spatial position",3,IF(J41="word pairs",4,IF(J41="word triads",4,IF(J41="generated words",4,IF(J41="word definition pairs",4,IF(J41="math problems",4,IF(J41="famous faces",4,IF(J41="famous names",4,IF(J41="famous voices",4,IF(J41="television programs",4,IF(J41="race horses",4,IF(J41="new vocabulary",4,IF(J41="sentences",5,IF(J41="concepts",5,IF(J41="ad slides",5,IF(J41="scenes",5,IF(J41="famous scenes",5,IF(J41="poems",6,IF(J41="walk",6,IF(J41="faces and events",6,IF(J41="events and names",6,IF(J41="flashbulb",7,IF(J41="stories",7,IF(J41="course material",7,IF(J41="autobiographical",7,IF(J41="novels",7,IF(J41="public events",7,"99"))))))))))))))))))))))))))))))))))))))))))))))</f>
        <v>5</v>
      </c>
      <c r="M41" s="92">
        <v>0</v>
      </c>
      <c r="N41" s="92">
        <v>3</v>
      </c>
      <c r="O41" s="92">
        <v>0</v>
      </c>
      <c r="P41" s="92"/>
      <c r="Q41" s="92" t="s">
        <v>174</v>
      </c>
      <c r="R41" s="69">
        <f>IF(Q41="Free Recall",1,IF(Q41="Cued Recall",2,IF(Q41="Recognition",3,IF(Q41="Multiple Choice",4,IF(Q41="Savings",5,IF(Q41="Stem Completion",6,IF(Q41="Fragment Completion",7,IF(Q41="anagram solution",8,IF(Q41="Matching",9,IF(Q41="Problem Solving",10,"99"))))))))))</f>
        <v>1</v>
      </c>
      <c r="S41" s="69" t="s">
        <v>49</v>
      </c>
      <c r="T41" s="92" t="s">
        <v>581</v>
      </c>
      <c r="U41" s="69">
        <f>IF(T41="within",1,0)</f>
        <v>1</v>
      </c>
      <c r="V41" s="92">
        <f>3*18</f>
        <v>54</v>
      </c>
      <c r="W41" s="69">
        <f>F41*V41</f>
        <v>1350</v>
      </c>
      <c r="X41" s="92">
        <v>3</v>
      </c>
      <c r="Y41" s="87">
        <f>AV40</f>
        <v>30</v>
      </c>
      <c r="Z41" s="92" t="s">
        <v>150</v>
      </c>
      <c r="AA41" s="92">
        <f>60*60*24*7</f>
        <v>604800</v>
      </c>
      <c r="AB41" s="69" t="str">
        <f>IF(AA41&lt;60,"1",IF(AA41&lt;=43200,"2",IF(AA41&lt;=777600,"3","4")))</f>
        <v>3</v>
      </c>
      <c r="AC41" s="72">
        <f>AVERAGE(AV40:DA40)</f>
        <v>237610</v>
      </c>
      <c r="AD41" s="69" t="str">
        <f>IF(AC41&lt;60,"1",IF(AC41&lt;=43200,"2",IF(AC41&lt;=777600,"3","4")))</f>
        <v>3</v>
      </c>
      <c r="AE41" s="87">
        <f>AA41-Y41</f>
        <v>604770</v>
      </c>
      <c r="AF41" s="88">
        <f>AV41</f>
        <v>0.84575734360155008</v>
      </c>
      <c r="AG41" s="72">
        <f>((AW41-AV41)+(AX41-AW41))/2</f>
        <v>-0.10083643238890283</v>
      </c>
      <c r="AH41" s="4"/>
      <c r="AI41" s="72">
        <f>RSQ(AV41:AX41,AV40:AX40)</f>
        <v>0.99989170790991388</v>
      </c>
      <c r="AJ41" s="110">
        <f>SLOPE(AV41:AX41,AV40:AX40)</f>
        <v>-3.3476356172586225E-7</v>
      </c>
      <c r="AK41" s="72">
        <f>INTERCEPT(AV41:AX41,AV40:AX40)</f>
        <v>0.8467666523092432</v>
      </c>
      <c r="AL41" s="72">
        <f>INDEX(LINEST(LN(AV41:AX41),LN(AV40:AX40),TRUE,TRUE),3,1)</f>
        <v>0.54136575953321953</v>
      </c>
      <c r="AM41" s="72">
        <f>INDEX(LINEST(LN(AV41:AX41),LN(AV40:AX40)),1)</f>
        <v>-2.040852310772337E-2</v>
      </c>
      <c r="AN41" s="72">
        <f>EXP(INDEX(LINEST(LN(AV41:AX41),LN(AV40:AX40)),1,2))</f>
        <v>0.92364676275530222</v>
      </c>
      <c r="AO41" s="89">
        <f>INDEX(LINEST((AV41:AX41),LN(AV40:AX40),TRUE,TRUE),3,1)</f>
        <v>0.55920444460531149</v>
      </c>
      <c r="AP41" s="89">
        <f>INDEX(LINEST((AV41:AX41),LN(AV40:AX40)),1)</f>
        <v>-1.524839475239047E-2</v>
      </c>
      <c r="AQ41" s="90">
        <f>INDEX(LINEST(LN(AV41:AX41),SQRT(AV40:AX40),TRUE,TRUE),3,1)</f>
        <v>0.91827520046714584</v>
      </c>
      <c r="AR41" s="117">
        <f>INDEX(LINEST(LN(AV41:AX41),SQRT((AV40:AX40))),1)</f>
        <v>-3.6294842104780462E-4</v>
      </c>
      <c r="AS41" s="91">
        <f>INDEX(LINEST(1/(AV41:AX41),1/(SQRT(AV40:AX40)),TRUE,TRUE),3,1)</f>
        <v>0.37132974985528178</v>
      </c>
      <c r="AT41" s="91">
        <f>INDEX(LINEST(1/(AV41:AX41),1/SQRT(AV40:AX40)),1)</f>
        <v>-1.1759070795543805</v>
      </c>
      <c r="AU41" s="3"/>
      <c r="AV41" s="97">
        <v>0.84575734360155008</v>
      </c>
      <c r="AW41" s="97">
        <v>0.81182862479738882</v>
      </c>
      <c r="AX41" s="97">
        <v>0.64408447882374442</v>
      </c>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5"/>
      <c r="CS41" s="15"/>
      <c r="CT41" s="15"/>
      <c r="CU41" s="15"/>
    </row>
    <row r="42" spans="1:99" ht="12" customHeight="1" x14ac:dyDescent="0.2">
      <c r="A42" s="68">
        <v>43978</v>
      </c>
      <c r="B42" s="94"/>
      <c r="C42" s="94"/>
      <c r="D42" s="92"/>
      <c r="E42" s="105"/>
      <c r="F42" s="92"/>
      <c r="G42" s="92"/>
      <c r="H42" s="92"/>
      <c r="I42" s="92"/>
      <c r="J42" s="92"/>
      <c r="K42" s="69"/>
      <c r="L42" s="69"/>
      <c r="M42" s="92"/>
      <c r="N42" s="92"/>
      <c r="O42" s="92"/>
      <c r="P42" s="92"/>
      <c r="Q42" s="92"/>
      <c r="R42" s="69"/>
      <c r="S42" s="69"/>
      <c r="T42" s="92"/>
      <c r="U42" s="69"/>
      <c r="V42" s="92"/>
      <c r="W42" s="69"/>
      <c r="X42" s="92"/>
      <c r="Y42" s="87"/>
      <c r="Z42" s="92"/>
      <c r="AA42" s="92"/>
      <c r="AB42" s="69"/>
      <c r="AC42" s="72"/>
      <c r="AD42" s="69"/>
      <c r="AE42" s="87"/>
      <c r="AF42" s="88"/>
      <c r="AG42" s="72"/>
      <c r="AH42" s="4"/>
      <c r="AI42" s="72"/>
      <c r="AJ42" s="110"/>
      <c r="AK42" s="72"/>
      <c r="AL42" s="72"/>
      <c r="AM42" s="72"/>
      <c r="AN42" s="72"/>
      <c r="AO42" s="89"/>
      <c r="AP42" s="89"/>
      <c r="AQ42" s="90"/>
      <c r="AR42" s="117"/>
      <c r="AS42" s="91"/>
      <c r="AT42" s="91"/>
      <c r="AU42" s="3"/>
      <c r="AV42" s="98">
        <v>30</v>
      </c>
      <c r="AW42" s="98">
        <f>60*60*30</f>
        <v>108000</v>
      </c>
      <c r="AX42" s="98">
        <f>60*60*24*7</f>
        <v>604800</v>
      </c>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5"/>
      <c r="CS42" s="15"/>
      <c r="CT42" s="15"/>
      <c r="CU42" s="15"/>
    </row>
    <row r="43" spans="1:99" ht="12" customHeight="1" x14ac:dyDescent="0.2">
      <c r="A43" s="68">
        <v>43978</v>
      </c>
      <c r="B43" s="94" t="s">
        <v>948</v>
      </c>
      <c r="C43" s="94" t="s">
        <v>54</v>
      </c>
      <c r="D43" s="92">
        <v>2014</v>
      </c>
      <c r="E43" s="105">
        <v>1</v>
      </c>
      <c r="F43" s="92">
        <v>25</v>
      </c>
      <c r="G43" s="92">
        <v>25</v>
      </c>
      <c r="H43" s="92" t="s">
        <v>41</v>
      </c>
      <c r="I43" s="92" t="s">
        <v>952</v>
      </c>
      <c r="J43" s="92" t="s">
        <v>686</v>
      </c>
      <c r="K43" s="69">
        <f>IF(J43="syllables",1,IF(J43="trigrams",2,IF(J43="strings",3,IF(J43="visual array",4,IF(J43="characters",5,IF(J43="letters",6,IF(J43="free forms",7,IF(J43="odors",8,IF(J43="words",9,IF(J43="pictures",10,IF(J43="object pictures",11,IF(J43="faces",12,IF(J43="names",13,IF(J43="idioms",14,IF(J43="grades",15,IF(J43="syllable-digit pairs",16,IF(J43="trigram-word pairs",17,IF(J43="word-digit pairs",18,IF(J43="English-Swahili pairs",19,IF(J43="spatial position",20,IF(J43="word pairs",21,IF(J43="word triads",22,IF(J43="generated words",23,IF(J43="word definition pairs",24,IF(J43="math problems",25,IF(J43="famous faces",26,IF(J43="famous names",27,IF(J43="famous voices",28,IF(J43="television programs",29,IF(J43="race horses",30,IF(J43="new vocabulary",31,IF(J43="sentences",32,IF(J43="concepts",33,IF(J43="ad slides",34,IF(J43="scenes",35,IF(J43="famous scenes",36,IF(J43="poems",37,IF(J43="walk",38,IF(J43="faces and events",39,IF(J43="events and names",40,IF(J43="flashbulb",41,IF(J43="stories",42,IF(J43="course material",43,IF(J43="autobiographical",44,IF(J43="novels",45,IF(J43="public events",46,"99"))))))))))))))))))))))))))))))))))))))))))))))</f>
        <v>35</v>
      </c>
      <c r="L43" s="69">
        <f>IF(J43="syllables",1,IF(J43="trigrams",1,IF(J43="strings",1,IF(J43="visual array",1,IF(J43="characters",1,IF(J43="letters",1,IF(J43="free forms",1,IF(J43="odors",2,IF(J43="words",2,IF(J43="pictures",2,IF(J43="object pictures",2,IF(J43="faces",2,IF(J43="names",2,IF(J43="idioms","2",IF(J43="grades",2,IF(J43="syllable-digit pairs",3,IF(J43="trigram-word pairs",3,IF(J43="word-digit pairs",3,IF(J43="English-Swahili pairs",3,IF(J43="spatial position",3,IF(J43="word pairs",4,IF(J43="word triads",4,IF(J43="generated words",4,IF(J43="word definition pairs",4,IF(J43="math problems",4,IF(J43="famous faces",4,IF(J43="famous names",4,IF(J43="famous voices",4,IF(J43="television programs",4,IF(J43="race horses",4,IF(J43="new vocabulary",4,IF(J43="sentences",5,IF(J43="concepts",5,IF(J43="ad slides",5,IF(J43="scenes",5,IF(J43="famous scenes",5,IF(J43="poems",6,IF(J43="walk",6,IF(J43="faces and events",6,IF(J43="events and names",6,IF(J43="flashbulb",7,IF(J43="stories",7,IF(J43="course material",7,IF(J43="autobiographical",7,IF(J43="novels",7,IF(J43="public events",7,"99"))))))))))))))))))))))))))))))))))))))))))))))</f>
        <v>5</v>
      </c>
      <c r="M43" s="92">
        <v>0</v>
      </c>
      <c r="N43" s="92">
        <v>3</v>
      </c>
      <c r="O43" s="92">
        <v>0</v>
      </c>
      <c r="P43" s="92"/>
      <c r="Q43" s="92" t="s">
        <v>65</v>
      </c>
      <c r="R43" s="69">
        <f>IF(Q43="Free Recall",1,IF(Q43="Cued Recall",2,IF(Q43="Recognition",3,IF(Q43="Multiple Choice",4,IF(Q43="Savings",5,IF(Q43="Stem Completion",6,IF(Q43="Fragment Completion",7,IF(Q43="anagram solution",8,IF(Q43="Matching",9,IF(Q43="Problem Solving",10,"99"))))))))))</f>
        <v>2</v>
      </c>
      <c r="S43" s="69" t="s">
        <v>49</v>
      </c>
      <c r="T43" s="92" t="s">
        <v>581</v>
      </c>
      <c r="U43" s="69">
        <f>IF(T43="within",1,0)</f>
        <v>1</v>
      </c>
      <c r="V43" s="92">
        <f>3*18</f>
        <v>54</v>
      </c>
      <c r="W43" s="69">
        <f>F43*V43</f>
        <v>1350</v>
      </c>
      <c r="X43" s="92">
        <v>3</v>
      </c>
      <c r="Y43" s="87">
        <f>AV42</f>
        <v>30</v>
      </c>
      <c r="Z43" s="92" t="s">
        <v>150</v>
      </c>
      <c r="AA43" s="92">
        <f>60*60*24*7</f>
        <v>604800</v>
      </c>
      <c r="AB43" s="69" t="str">
        <f>IF(AA43&lt;60,"1",IF(AA43&lt;=43200,"2",IF(AA43&lt;=777600,"3","4")))</f>
        <v>3</v>
      </c>
      <c r="AC43" s="72">
        <f>AVERAGE(AV42:DA42)</f>
        <v>237610</v>
      </c>
      <c r="AD43" s="69" t="str">
        <f>IF(AC43&lt;60,"1",IF(AC43&lt;=43200,"2",IF(AC43&lt;=777600,"3","4")))</f>
        <v>3</v>
      </c>
      <c r="AE43" s="87">
        <f>AA43-Y43</f>
        <v>604770</v>
      </c>
      <c r="AF43" s="88">
        <f>AV43</f>
        <v>0.34388252756573334</v>
      </c>
      <c r="AG43" s="72">
        <f>((AW43-AV43)+(AX43-AW43))/2</f>
        <v>-4.2673876166242491E-2</v>
      </c>
      <c r="AH43" s="4"/>
      <c r="AI43" s="72">
        <f>RSQ(AV43:AX43,AV42:AX42)</f>
        <v>0.97904279145760598</v>
      </c>
      <c r="AJ43" s="110">
        <f>SLOPE(AV43:AX43,AV42:AX42)</f>
        <v>-1.4922884013217025E-7</v>
      </c>
      <c r="AK43" s="72">
        <f>INTERCEPT(AV43:AX43,AV42:AX42)</f>
        <v>0.35014938712393479</v>
      </c>
      <c r="AL43" s="72">
        <f>INDEX(LINEST(LN(AV43:AX43),LN(AV42:AX42),TRUE,TRUE),3,1)</f>
        <v>0.4218525214049218</v>
      </c>
      <c r="AM43" s="72">
        <f>INDEX(LINEST(LN(AV43:AX43),LN(AV42:AX42)),1)</f>
        <v>-1.9974461330275948E-2</v>
      </c>
      <c r="AN43" s="72">
        <f>EXP(INDEX(LINEST(LN(AV43:AX43),LN(AV42:AX42)),1,2))</f>
        <v>0.37671751053532443</v>
      </c>
      <c r="AO43" s="89">
        <f>INDEX(LINEST((AV43:AX43),LN(AV42:AX42),TRUE,TRUE),3,1)</f>
        <v>0.42476056873415224</v>
      </c>
      <c r="AP43" s="89">
        <f>INDEX(LINEST((AV43:AX43),LN(AV42:AX42)),1)</f>
        <v>-5.9868881699987912E-3</v>
      </c>
      <c r="AQ43" s="90">
        <f>INDEX(LINEST(LN(AV43:AX43),SQRT(AV42:AX42),TRUE,TRUE),3,1)</f>
        <v>0.8412551858164693</v>
      </c>
      <c r="AR43" s="117">
        <f>INDEX(LINEST(LN(AV43:AX43),SQRT((AV42:AX42))),1)</f>
        <v>-3.851686458836613E-4</v>
      </c>
      <c r="AS43" s="91">
        <f>INDEX(LINEST(1/(AV43:AX43),1/(SQRT(AV42:AX42)),TRUE,TRUE),3,1)</f>
        <v>0.27257584853507955</v>
      </c>
      <c r="AT43" s="91">
        <f>INDEX(LINEST(1/(AV43:AX43),1/SQRT(AV42:AX42)),1)</f>
        <v>-2.7509835883787872</v>
      </c>
      <c r="AU43" s="3"/>
      <c r="AV43" s="97">
        <v>0.34388252756573334</v>
      </c>
      <c r="AW43" s="97">
        <v>0.34165606446140778</v>
      </c>
      <c r="AX43" s="97">
        <v>0.25853477523324836</v>
      </c>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5"/>
      <c r="CS43" s="15"/>
      <c r="CT43" s="15"/>
      <c r="CU43" s="15"/>
    </row>
    <row r="44" spans="1:99" ht="12" customHeight="1" x14ac:dyDescent="0.2">
      <c r="A44" s="68">
        <v>43978</v>
      </c>
      <c r="B44" s="94"/>
      <c r="C44" s="94"/>
      <c r="D44" s="92"/>
      <c r="E44" s="105"/>
      <c r="F44" s="92"/>
      <c r="G44" s="92"/>
      <c r="H44" s="92"/>
      <c r="I44" s="92"/>
      <c r="J44" s="92"/>
      <c r="K44" s="69"/>
      <c r="L44" s="69"/>
      <c r="M44" s="92"/>
      <c r="N44" s="92"/>
      <c r="O44" s="92"/>
      <c r="P44" s="92"/>
      <c r="Q44" s="92"/>
      <c r="R44" s="69"/>
      <c r="S44" s="69"/>
      <c r="T44" s="92"/>
      <c r="U44" s="69"/>
      <c r="V44" s="92"/>
      <c r="W44" s="69"/>
      <c r="X44" s="92"/>
      <c r="Y44" s="87"/>
      <c r="Z44" s="92"/>
      <c r="AA44" s="92"/>
      <c r="AB44" s="69"/>
      <c r="AC44" s="72"/>
      <c r="AD44" s="69"/>
      <c r="AE44" s="87"/>
      <c r="AF44" s="88"/>
      <c r="AG44" s="72"/>
      <c r="AH44" s="4"/>
      <c r="AI44" s="72"/>
      <c r="AJ44" s="110"/>
      <c r="AK44" s="72"/>
      <c r="AL44" s="72"/>
      <c r="AM44" s="72"/>
      <c r="AN44" s="72"/>
      <c r="AO44" s="89"/>
      <c r="AP44" s="89"/>
      <c r="AQ44" s="90"/>
      <c r="AR44" s="117"/>
      <c r="AS44" s="91"/>
      <c r="AT44" s="91"/>
      <c r="AU44" s="3"/>
      <c r="AV44" s="98">
        <v>30</v>
      </c>
      <c r="AW44" s="98">
        <f>60*60*30</f>
        <v>108000</v>
      </c>
      <c r="AX44" s="98">
        <f>60*60*24*7</f>
        <v>604800</v>
      </c>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5"/>
      <c r="CS44" s="15"/>
      <c r="CT44" s="15"/>
      <c r="CU44" s="15"/>
    </row>
    <row r="45" spans="1:99" ht="12" customHeight="1" x14ac:dyDescent="0.2">
      <c r="A45" s="68">
        <v>43978</v>
      </c>
      <c r="B45" s="94" t="s">
        <v>948</v>
      </c>
      <c r="C45" s="94" t="s">
        <v>54</v>
      </c>
      <c r="D45" s="92">
        <v>2014</v>
      </c>
      <c r="E45" s="105">
        <v>1</v>
      </c>
      <c r="F45" s="92">
        <v>25</v>
      </c>
      <c r="G45" s="92">
        <v>25</v>
      </c>
      <c r="H45" s="92" t="s">
        <v>41</v>
      </c>
      <c r="I45" s="92" t="s">
        <v>953</v>
      </c>
      <c r="J45" s="92" t="s">
        <v>686</v>
      </c>
      <c r="K45" s="69">
        <f>IF(J45="syllables",1,IF(J45="trigrams",2,IF(J45="strings",3,IF(J45="visual array",4,IF(J45="characters",5,IF(J45="letters",6,IF(J45="free forms",7,IF(J45="odors",8,IF(J45="words",9,IF(J45="pictures",10,IF(J45="object pictures",11,IF(J45="faces",12,IF(J45="names",13,IF(J45="idioms",14,IF(J45="grades",15,IF(J45="syllable-digit pairs",16,IF(J45="trigram-word pairs",17,IF(J45="word-digit pairs",18,IF(J45="English-Swahili pairs",19,IF(J45="spatial position",20,IF(J45="word pairs",21,IF(J45="word triads",22,IF(J45="generated words",23,IF(J45="word definition pairs",24,IF(J45="math problems",25,IF(J45="famous faces",26,IF(J45="famous names",27,IF(J45="famous voices",28,IF(J45="television programs",29,IF(J45="race horses",30,IF(J45="new vocabulary",31,IF(J45="sentences",32,IF(J45="concepts",33,IF(J45="ad slides",34,IF(J45="scenes",35,IF(J45="famous scenes",36,IF(J45="poems",37,IF(J45="walk",38,IF(J45="faces and events",39,IF(J45="events and names",40,IF(J45="flashbulb",41,IF(J45="stories",42,IF(J45="course material",43,IF(J45="autobiographical",44,IF(J45="novels",45,IF(J45="public events",46,"99"))))))))))))))))))))))))))))))))))))))))))))))</f>
        <v>35</v>
      </c>
      <c r="L45" s="69">
        <f>IF(J45="syllables",1,IF(J45="trigrams",1,IF(J45="strings",1,IF(J45="visual array",1,IF(J45="characters",1,IF(J45="letters",1,IF(J45="free forms",1,IF(J45="odors",2,IF(J45="words",2,IF(J45="pictures",2,IF(J45="object pictures",2,IF(J45="faces",2,IF(J45="names",2,IF(J45="idioms","2",IF(J45="grades",2,IF(J45="syllable-digit pairs",3,IF(J45="trigram-word pairs",3,IF(J45="word-digit pairs",3,IF(J45="English-Swahili pairs",3,IF(J45="spatial position",3,IF(J45="word pairs",4,IF(J45="word triads",4,IF(J45="generated words",4,IF(J45="word definition pairs",4,IF(J45="math problems",4,IF(J45="famous faces",4,IF(J45="famous names",4,IF(J45="famous voices",4,IF(J45="television programs",4,IF(J45="race horses",4,IF(J45="new vocabulary",4,IF(J45="sentences",5,IF(J45="concepts",5,IF(J45="ad slides",5,IF(J45="scenes",5,IF(J45="famous scenes",5,IF(J45="poems",6,IF(J45="walk",6,IF(J45="faces and events",6,IF(J45="events and names",6,IF(J45="flashbulb",7,IF(J45="stories",7,IF(J45="course material",7,IF(J45="autobiographical",7,IF(J45="novels",7,IF(J45="public events",7,"99"))))))))))))))))))))))))))))))))))))))))))))))</f>
        <v>5</v>
      </c>
      <c r="M45" s="92">
        <v>0</v>
      </c>
      <c r="N45" s="92">
        <v>3</v>
      </c>
      <c r="O45" s="92">
        <v>0</v>
      </c>
      <c r="P45" s="92"/>
      <c r="Q45" s="92" t="s">
        <v>65</v>
      </c>
      <c r="R45" s="69">
        <f>IF(Q45="Free Recall",1,IF(Q45="Cued Recall",2,IF(Q45="Recognition",3,IF(Q45="Multiple Choice",4,IF(Q45="Savings",5,IF(Q45="Stem Completion",6,IF(Q45="Fragment Completion",7,IF(Q45="anagram solution",8,IF(Q45="Matching",9,IF(Q45="Problem Solving",10,"99"))))))))))</f>
        <v>2</v>
      </c>
      <c r="S45" s="69" t="s">
        <v>49</v>
      </c>
      <c r="T45" s="92" t="s">
        <v>581</v>
      </c>
      <c r="U45" s="69">
        <f>IF(T45="within",1,0)</f>
        <v>1</v>
      </c>
      <c r="V45" s="92">
        <f>3*18</f>
        <v>54</v>
      </c>
      <c r="W45" s="69">
        <f>F45*V45</f>
        <v>1350</v>
      </c>
      <c r="X45" s="92">
        <v>3</v>
      </c>
      <c r="Y45" s="87">
        <f>AV44</f>
        <v>30</v>
      </c>
      <c r="Z45" s="92" t="s">
        <v>150</v>
      </c>
      <c r="AA45" s="92">
        <f>60*60*24*7</f>
        <v>604800</v>
      </c>
      <c r="AB45" s="69" t="str">
        <f>IF(AA45&lt;60,"1",IF(AA45&lt;=43200,"2",IF(AA45&lt;=777600,"3","4")))</f>
        <v>3</v>
      </c>
      <c r="AC45" s="72">
        <f>AVERAGE(AV44:DA44)</f>
        <v>237610</v>
      </c>
      <c r="AD45" s="69" t="str">
        <f>IF(AC45&lt;60,"1",IF(AC45&lt;=43200,"2",IF(AC45&lt;=777600,"3","4")))</f>
        <v>3</v>
      </c>
      <c r="AE45" s="87">
        <f>AA45-Y45</f>
        <v>604770</v>
      </c>
      <c r="AF45" s="88">
        <f>AV45</f>
        <v>0.36095207803223056</v>
      </c>
      <c r="AG45" s="72">
        <f>((AW45-AV45)+(AX45-AW45))/2</f>
        <v>-6.6422815945716668E-2</v>
      </c>
      <c r="AH45" s="4"/>
      <c r="AI45" s="72">
        <f>RSQ(AV45:AX45,AV44:AX44)</f>
        <v>0.97198674339763447</v>
      </c>
      <c r="AJ45" s="110">
        <f>SLOPE(AV45:AX45,AV44:AX44)</f>
        <v>-2.3443665516808783E-7</v>
      </c>
      <c r="AK45" s="72">
        <f>INTERCEPT(AV45:AX45,AV44:AX44)</f>
        <v>0.37237469436957549</v>
      </c>
      <c r="AL45" s="72">
        <f>INDEX(LINEST(LN(AV45:AX45),LN(AV44:AX44),TRUE,TRUE),3,1)</f>
        <v>0.40222133627573375</v>
      </c>
      <c r="AM45" s="72">
        <f>INDEX(LINEST(LN(AV45:AX45),LN(AV44:AX44)),1)</f>
        <v>-3.1732687254297863E-2</v>
      </c>
      <c r="AN45" s="72">
        <f>EXP(INDEX(LINEST(LN(AV45:AX45),LN(AV44:AX44)),1,2))</f>
        <v>0.41786237929047404</v>
      </c>
      <c r="AO45" s="89">
        <f>INDEX(LINEST((AV45:AX45),LN(AV44:AX44),TRUE,TRUE),3,1)</f>
        <v>0.40222133627573381</v>
      </c>
      <c r="AP45" s="89">
        <f>INDEX(LINEST((AV45:AX45),LN(AV44:AX44)),1)</f>
        <v>-9.1855469335924717E-3</v>
      </c>
      <c r="AQ45" s="90">
        <f>INDEX(LINEST(LN(AV45:AX45),SQRT(AV44:AX44),TRUE,TRUE),3,1)</f>
        <v>0.8264112738218552</v>
      </c>
      <c r="AR45" s="117">
        <f>INDEX(LINEST(LN(AV45:AX45),SQRT((AV44:AX44))),1)</f>
        <v>-6.2110455445794595E-4</v>
      </c>
      <c r="AS45" s="91">
        <f>INDEX(LINEST(1/(AV45:AX45),1/(SQRT(AV44:AX44)),TRUE,TRUE),3,1)</f>
        <v>0.25733942509074897</v>
      </c>
      <c r="AT45" s="91">
        <f>INDEX(LINEST(1/(AV45:AX45),1/SQRT(AV44:AX44)),1)</f>
        <v>-4.5366759217563457</v>
      </c>
      <c r="AU45" s="3"/>
      <c r="AV45" s="97">
        <v>0.36095207803223056</v>
      </c>
      <c r="AW45" s="97">
        <v>0.36095207803223056</v>
      </c>
      <c r="AX45" s="97">
        <v>0.22810644614079723</v>
      </c>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5"/>
      <c r="CS45" s="15"/>
      <c r="CT45" s="15"/>
      <c r="CU45" s="15"/>
    </row>
    <row r="46" spans="1:99" ht="12" customHeight="1" x14ac:dyDescent="0.2">
      <c r="A46" s="68">
        <v>43978</v>
      </c>
      <c r="B46" s="94"/>
      <c r="C46" s="94"/>
      <c r="D46" s="92"/>
      <c r="E46" s="105"/>
      <c r="F46" s="92"/>
      <c r="G46" s="92"/>
      <c r="H46" s="92"/>
      <c r="I46" s="92"/>
      <c r="J46" s="92"/>
      <c r="K46" s="69"/>
      <c r="L46" s="69"/>
      <c r="M46" s="92"/>
      <c r="N46" s="92"/>
      <c r="O46" s="92"/>
      <c r="P46" s="92"/>
      <c r="Q46" s="92"/>
      <c r="R46" s="69"/>
      <c r="S46" s="69"/>
      <c r="T46" s="92"/>
      <c r="U46" s="69"/>
      <c r="V46" s="92"/>
      <c r="W46" s="69"/>
      <c r="X46" s="92"/>
      <c r="Y46" s="87"/>
      <c r="Z46" s="92"/>
      <c r="AA46" s="92"/>
      <c r="AB46" s="69"/>
      <c r="AC46" s="72"/>
      <c r="AD46" s="69"/>
      <c r="AE46" s="87"/>
      <c r="AF46" s="88"/>
      <c r="AG46" s="72"/>
      <c r="AH46" s="4"/>
      <c r="AI46" s="72"/>
      <c r="AJ46" s="110"/>
      <c r="AK46" s="72"/>
      <c r="AL46" s="72"/>
      <c r="AM46" s="72"/>
      <c r="AN46" s="72"/>
      <c r="AO46" s="89"/>
      <c r="AP46" s="89"/>
      <c r="AQ46" s="90"/>
      <c r="AR46" s="117"/>
      <c r="AS46" s="91"/>
      <c r="AT46" s="91"/>
      <c r="AU46" s="3"/>
      <c r="AV46" s="98">
        <v>30</v>
      </c>
      <c r="AW46" s="98">
        <f>60*60*30</f>
        <v>108000</v>
      </c>
      <c r="AX46" s="98">
        <f>60*60*24*7</f>
        <v>604800</v>
      </c>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5"/>
      <c r="CS46" s="15"/>
      <c r="CT46" s="15"/>
      <c r="CU46" s="15"/>
    </row>
    <row r="47" spans="1:99" ht="12" customHeight="1" x14ac:dyDescent="0.2">
      <c r="A47" s="68">
        <v>43978</v>
      </c>
      <c r="B47" s="94" t="s">
        <v>948</v>
      </c>
      <c r="C47" s="94" t="s">
        <v>54</v>
      </c>
      <c r="D47" s="92">
        <v>2014</v>
      </c>
      <c r="E47" s="105">
        <v>1</v>
      </c>
      <c r="F47" s="92">
        <v>25</v>
      </c>
      <c r="G47" s="92">
        <v>25</v>
      </c>
      <c r="H47" s="92" t="s">
        <v>41</v>
      </c>
      <c r="I47" s="92" t="s">
        <v>954</v>
      </c>
      <c r="J47" s="92" t="s">
        <v>686</v>
      </c>
      <c r="K47" s="69">
        <f>IF(J47="syllables",1,IF(J47="trigrams",2,IF(J47="strings",3,IF(J47="visual array",4,IF(J47="characters",5,IF(J47="letters",6,IF(J47="free forms",7,IF(J47="odors",8,IF(J47="words",9,IF(J47="pictures",10,IF(J47="object pictures",11,IF(J47="faces",12,IF(J47="names",13,IF(J47="idioms",14,IF(J47="grades",15,IF(J47="syllable-digit pairs",16,IF(J47="trigram-word pairs",17,IF(J47="word-digit pairs",18,IF(J47="English-Swahili pairs",19,IF(J47="spatial position",20,IF(J47="word pairs",21,IF(J47="word triads",22,IF(J47="generated words",23,IF(J47="word definition pairs",24,IF(J47="math problems",25,IF(J47="famous faces",26,IF(J47="famous names",27,IF(J47="famous voices",28,IF(J47="television programs",29,IF(J47="race horses",30,IF(J47="new vocabulary",31,IF(J47="sentences",32,IF(J47="concepts",33,IF(J47="ad slides",34,IF(J47="scenes",35,IF(J47="famous scenes",36,IF(J47="poems",37,IF(J47="walk",38,IF(J47="faces and events",39,IF(J47="events and names",40,IF(J47="flashbulb",41,IF(J47="stories",42,IF(J47="course material",43,IF(J47="autobiographical",44,IF(J47="novels",45,IF(J47="public events",46,"99"))))))))))))))))))))))))))))))))))))))))))))))</f>
        <v>35</v>
      </c>
      <c r="L47" s="69">
        <f>IF(J47="syllables",1,IF(J47="trigrams",1,IF(J47="strings",1,IF(J47="visual array",1,IF(J47="characters",1,IF(J47="letters",1,IF(J47="free forms",1,IF(J47="odors",2,IF(J47="words",2,IF(J47="pictures",2,IF(J47="object pictures",2,IF(J47="faces",2,IF(J47="names",2,IF(J47="idioms","2",IF(J47="grades",2,IF(J47="syllable-digit pairs",3,IF(J47="trigram-word pairs",3,IF(J47="word-digit pairs",3,IF(J47="English-Swahili pairs",3,IF(J47="spatial position",3,IF(J47="word pairs",4,IF(J47="word triads",4,IF(J47="generated words",4,IF(J47="word definition pairs",4,IF(J47="math problems",4,IF(J47="famous faces",4,IF(J47="famous names",4,IF(J47="famous voices",4,IF(J47="television programs",4,IF(J47="race horses",4,IF(J47="new vocabulary",4,IF(J47="sentences",5,IF(J47="concepts",5,IF(J47="ad slides",5,IF(J47="scenes",5,IF(J47="famous scenes",5,IF(J47="poems",6,IF(J47="walk",6,IF(J47="faces and events",6,IF(J47="events and names",6,IF(J47="flashbulb",7,IF(J47="stories",7,IF(J47="course material",7,IF(J47="autobiographical",7,IF(J47="novels",7,IF(J47="public events",7,"99"))))))))))))))))))))))))))))))))))))))))))))))</f>
        <v>5</v>
      </c>
      <c r="M47" s="92">
        <v>0</v>
      </c>
      <c r="N47" s="92">
        <v>3</v>
      </c>
      <c r="O47" s="92">
        <v>0</v>
      </c>
      <c r="P47" s="92"/>
      <c r="Q47" s="92" t="s">
        <v>174</v>
      </c>
      <c r="R47" s="69">
        <f>IF(Q47="Free Recall",1,IF(Q47="Cued Recall",2,IF(Q47="Recognition",3,IF(Q47="Multiple Choice",4,IF(Q47="Savings",5,IF(Q47="Stem Completion",6,IF(Q47="Fragment Completion",7,IF(Q47="anagram solution",8,IF(Q47="Matching",9,IF(Q47="Problem Solving",10,"99"))))))))))</f>
        <v>1</v>
      </c>
      <c r="S47" s="69" t="s">
        <v>49</v>
      </c>
      <c r="T47" s="92" t="s">
        <v>581</v>
      </c>
      <c r="U47" s="69">
        <f>IF(T47="within",1,0)</f>
        <v>1</v>
      </c>
      <c r="V47" s="92">
        <f>3*36</f>
        <v>108</v>
      </c>
      <c r="W47" s="69">
        <f>F47*V47</f>
        <v>2700</v>
      </c>
      <c r="X47" s="92">
        <v>3</v>
      </c>
      <c r="Y47" s="87">
        <f>AV46</f>
        <v>30</v>
      </c>
      <c r="Z47" s="92" t="s">
        <v>150</v>
      </c>
      <c r="AA47" s="92">
        <f>60*60*24*7</f>
        <v>604800</v>
      </c>
      <c r="AB47" s="69" t="str">
        <f>IF(AA47&lt;60,"1",IF(AA47&lt;=43200,"2",IF(AA47&lt;=777600,"3","4")))</f>
        <v>3</v>
      </c>
      <c r="AC47" s="72">
        <f>AVERAGE(AV46:DA46)</f>
        <v>237610</v>
      </c>
      <c r="AD47" s="69" t="str">
        <f>IF(AC47&lt;60,"1",IF(AC47&lt;=43200,"2",IF(AC47&lt;=777600,"3","4")))</f>
        <v>3</v>
      </c>
      <c r="AE47" s="87">
        <f>AA47-Y47</f>
        <v>604770</v>
      </c>
      <c r="AF47" s="88">
        <f>AV47</f>
        <v>0.78253111885201998</v>
      </c>
      <c r="AG47" s="72">
        <f>((AW47-AV47)+(AX47-AW47))/2</f>
        <v>-7.8040730921498491E-2</v>
      </c>
      <c r="AH47" s="4"/>
      <c r="AI47" s="72">
        <f>RSQ(AV47:AX47,AV46:AX46)</f>
        <v>0.99997691572559988</v>
      </c>
      <c r="AJ47" s="110">
        <f>SLOPE(AV47:AX47,AV46:AX46)</f>
        <v>-2.5762452972586866E-7</v>
      </c>
      <c r="AK47" s="72">
        <f>INTERCEPT(AV47:AX47,AV46:AX46)</f>
        <v>0.78218381248172264</v>
      </c>
      <c r="AL47" s="72">
        <f>INDEX(LINEST(LN(AV47:AX47),LN(AV46:AX46),TRUE,TRUE),3,1)</f>
        <v>0.55834996617324872</v>
      </c>
      <c r="AM47" s="72">
        <f>INDEX(LINEST(LN(AV47:AX47),LN(AV46:AX46)),1)</f>
        <v>-1.6813191845441774E-2</v>
      </c>
      <c r="AN47" s="72">
        <f>EXP(INDEX(LINEST(LN(AV47:AX47),LN(AV46:AX46)),1,2))</f>
        <v>0.84100010680953607</v>
      </c>
      <c r="AO47" s="89">
        <f>INDEX(LINEST((AV47:AX47),LN(AV46:AX46),TRUE,TRUE),3,1)</f>
        <v>0.57427887239825304</v>
      </c>
      <c r="AP47" s="89">
        <f>INDEX(LINEST((AV47:AX47),LN(AV46:AX46)),1)</f>
        <v>-1.1891339185025846E-2</v>
      </c>
      <c r="AQ47" s="90">
        <f>INDEX(LINEST(LN(AV47:AX47),SQRT(AV46:AX46),TRUE,TRUE),3,1)</f>
        <v>0.92738220101355784</v>
      </c>
      <c r="AR47" s="117">
        <f>INDEX(LINEST(LN(AV47:AX47),SQRT((AV46:AX46))),1)</f>
        <v>-2.9588203541763966E-4</v>
      </c>
      <c r="AS47" s="91">
        <f>INDEX(LINEST(1/(AV47:AX47),1/(SQRT(AV46:AX46)),TRUE,TRUE),3,1)</f>
        <v>0.389338493902469</v>
      </c>
      <c r="AT47" s="91">
        <f>INDEX(LINEST(1/(AV47:AX47),1/SQRT(AV46:AX46)),1)</f>
        <v>-1.0276369505105651</v>
      </c>
      <c r="AU47" s="3"/>
      <c r="AV47" s="97">
        <v>0.78253111885201998</v>
      </c>
      <c r="AW47" s="97">
        <v>0.75392816805963403</v>
      </c>
      <c r="AX47" s="97">
        <v>0.626449657009023</v>
      </c>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5"/>
      <c r="CS47" s="15"/>
      <c r="CT47" s="15"/>
      <c r="CU47" s="15"/>
    </row>
    <row r="48" spans="1:99" ht="12" customHeight="1" x14ac:dyDescent="0.2">
      <c r="A48" s="68">
        <v>43978</v>
      </c>
      <c r="B48" s="94"/>
      <c r="C48" s="94"/>
      <c r="D48" s="92"/>
      <c r="E48" s="105"/>
      <c r="F48" s="92"/>
      <c r="G48" s="92"/>
      <c r="H48" s="92"/>
      <c r="I48" s="92"/>
      <c r="J48" s="92"/>
      <c r="K48" s="69"/>
      <c r="L48" s="69"/>
      <c r="M48" s="92"/>
      <c r="N48" s="92"/>
      <c r="O48" s="92"/>
      <c r="P48" s="92"/>
      <c r="Q48" s="92"/>
      <c r="R48" s="69"/>
      <c r="S48" s="69"/>
      <c r="T48" s="92"/>
      <c r="U48" s="69"/>
      <c r="V48" s="92"/>
      <c r="W48" s="69"/>
      <c r="X48" s="92"/>
      <c r="Y48" s="87"/>
      <c r="Z48" s="92"/>
      <c r="AA48" s="92"/>
      <c r="AB48" s="69"/>
      <c r="AC48" s="72"/>
      <c r="AD48" s="69"/>
      <c r="AE48" s="87"/>
      <c r="AF48" s="88"/>
      <c r="AG48" s="72"/>
      <c r="AH48" s="4"/>
      <c r="AI48" s="72"/>
      <c r="AJ48" s="110"/>
      <c r="AK48" s="72"/>
      <c r="AL48" s="72"/>
      <c r="AM48" s="72"/>
      <c r="AN48" s="72"/>
      <c r="AO48" s="89"/>
      <c r="AP48" s="89"/>
      <c r="AQ48" s="90"/>
      <c r="AR48" s="117"/>
      <c r="AS48" s="91"/>
      <c r="AT48" s="91"/>
      <c r="AU48" s="3"/>
      <c r="AV48" s="98">
        <v>30</v>
      </c>
      <c r="AW48" s="98">
        <f>60*60*30</f>
        <v>108000</v>
      </c>
      <c r="AX48" s="98">
        <f>60*60*24*7</f>
        <v>604800</v>
      </c>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5"/>
      <c r="CS48" s="15"/>
      <c r="CT48" s="15"/>
      <c r="CU48" s="15"/>
    </row>
    <row r="49" spans="1:99" ht="12" customHeight="1" x14ac:dyDescent="0.2">
      <c r="A49" s="68">
        <v>43978</v>
      </c>
      <c r="B49" s="94" t="s">
        <v>948</v>
      </c>
      <c r="C49" s="94" t="s">
        <v>54</v>
      </c>
      <c r="D49" s="92">
        <v>2014</v>
      </c>
      <c r="E49" s="105">
        <v>1</v>
      </c>
      <c r="F49" s="92">
        <v>25</v>
      </c>
      <c r="G49" s="92">
        <v>25</v>
      </c>
      <c r="H49" s="92" t="s">
        <v>41</v>
      </c>
      <c r="I49" s="92" t="s">
        <v>955</v>
      </c>
      <c r="J49" s="92" t="s">
        <v>686</v>
      </c>
      <c r="K49" s="69">
        <f>IF(J49="syllables",1,IF(J49="trigrams",2,IF(J49="strings",3,IF(J49="visual array",4,IF(J49="characters",5,IF(J49="letters",6,IF(J49="free forms",7,IF(J49="odors",8,IF(J49="words",9,IF(J49="pictures",10,IF(J49="object pictures",11,IF(J49="faces",12,IF(J49="names",13,IF(J49="idioms",14,IF(J49="grades",15,IF(J49="syllable-digit pairs",16,IF(J49="trigram-word pairs",17,IF(J49="word-digit pairs",18,IF(J49="English-Swahili pairs",19,IF(J49="spatial position",20,IF(J49="word pairs",21,IF(J49="word triads",22,IF(J49="generated words",23,IF(J49="word definition pairs",24,IF(J49="math problems",25,IF(J49="famous faces",26,IF(J49="famous names",27,IF(J49="famous voices",28,IF(J49="television programs",29,IF(J49="race horses",30,IF(J49="new vocabulary",31,IF(J49="sentences",32,IF(J49="concepts",33,IF(J49="ad slides",34,IF(J49="scenes",35,IF(J49="famous scenes",36,IF(J49="poems",37,IF(J49="walk",38,IF(J49="faces and events",39,IF(J49="events and names",40,IF(J49="flashbulb",41,IF(J49="stories",42,IF(J49="course material",43,IF(J49="autobiographical",44,IF(J49="novels",45,IF(J49="public events",46,"99"))))))))))))))))))))))))))))))))))))))))))))))</f>
        <v>35</v>
      </c>
      <c r="L49" s="69">
        <f>IF(J49="syllables",1,IF(J49="trigrams",1,IF(J49="strings",1,IF(J49="visual array",1,IF(J49="characters",1,IF(J49="letters",1,IF(J49="free forms",1,IF(J49="odors",2,IF(J49="words",2,IF(J49="pictures",2,IF(J49="object pictures",2,IF(J49="faces",2,IF(J49="names",2,IF(J49="idioms","2",IF(J49="grades",2,IF(J49="syllable-digit pairs",3,IF(J49="trigram-word pairs",3,IF(J49="word-digit pairs",3,IF(J49="English-Swahili pairs",3,IF(J49="spatial position",3,IF(J49="word pairs",4,IF(J49="word triads",4,IF(J49="generated words",4,IF(J49="word definition pairs",4,IF(J49="math problems",4,IF(J49="famous faces",4,IF(J49="famous names",4,IF(J49="famous voices",4,IF(J49="television programs",4,IF(J49="race horses",4,IF(J49="new vocabulary",4,IF(J49="sentences",5,IF(J49="concepts",5,IF(J49="ad slides",5,IF(J49="scenes",5,IF(J49="famous scenes",5,IF(J49="poems",6,IF(J49="walk",6,IF(J49="faces and events",6,IF(J49="events and names",6,IF(J49="flashbulb",7,IF(J49="stories",7,IF(J49="course material",7,IF(J49="autobiographical",7,IF(J49="novels",7,IF(J49="public events",7,"99"))))))))))))))))))))))))))))))))))))))))))))))</f>
        <v>5</v>
      </c>
      <c r="M49" s="92">
        <v>0</v>
      </c>
      <c r="N49" s="92">
        <v>3</v>
      </c>
      <c r="O49" s="92">
        <v>0</v>
      </c>
      <c r="P49" s="92"/>
      <c r="Q49" s="92" t="s">
        <v>174</v>
      </c>
      <c r="R49" s="69">
        <f>IF(Q49="Free Recall",1,IF(Q49="Cued Recall",2,IF(Q49="Recognition",3,IF(Q49="Multiple Choice",4,IF(Q49="Savings",5,IF(Q49="Stem Completion",6,IF(Q49="Fragment Completion",7,IF(Q49="anagram solution",8,IF(Q49="Matching",9,IF(Q49="Problem Solving",10,"99"))))))))))</f>
        <v>1</v>
      </c>
      <c r="S49" s="69" t="s">
        <v>49</v>
      </c>
      <c r="T49" s="92" t="s">
        <v>581</v>
      </c>
      <c r="U49" s="69">
        <f>IF(T49="within",1,0)</f>
        <v>1</v>
      </c>
      <c r="V49" s="92">
        <f>3*36</f>
        <v>108</v>
      </c>
      <c r="W49" s="69">
        <f>F49*V49</f>
        <v>2700</v>
      </c>
      <c r="X49" s="92">
        <v>3</v>
      </c>
      <c r="Y49" s="87">
        <f>AV48</f>
        <v>30</v>
      </c>
      <c r="Z49" s="92" t="s">
        <v>150</v>
      </c>
      <c r="AA49" s="92">
        <f>60*60*24*7</f>
        <v>604800</v>
      </c>
      <c r="AB49" s="69" t="str">
        <f>IF(AA49&lt;60,"1",IF(AA49&lt;=43200,"2",IF(AA49&lt;=777600,"3","4")))</f>
        <v>3</v>
      </c>
      <c r="AC49" s="72">
        <f>AVERAGE(AV48:DA48)</f>
        <v>237610</v>
      </c>
      <c r="AD49" s="69" t="str">
        <f>IF(AC49&lt;60,"1",IF(AC49&lt;=43200,"2",IF(AC49&lt;=777600,"3","4")))</f>
        <v>3</v>
      </c>
      <c r="AE49" s="87">
        <f>AA49-Y49</f>
        <v>604770</v>
      </c>
      <c r="AF49" s="88">
        <f>AV49</f>
        <v>0.80725214899999997</v>
      </c>
      <c r="AG49" s="72">
        <f>((AW49-AV49)+(AX49-AW49))/2</f>
        <v>-9.0401245999999991E-2</v>
      </c>
      <c r="AH49" s="4"/>
      <c r="AI49" s="72">
        <f>RSQ(AV49:AX49,AV48:AX48)</f>
        <v>0.99997075671786539</v>
      </c>
      <c r="AJ49" s="110">
        <f>SLOPE(AV49:AX49,AV48:AX48)</f>
        <v>-2.9836182492929401E-7</v>
      </c>
      <c r="AK49" s="72">
        <f>INTERCEPT(AV49:AX49,AV48:AX48)</f>
        <v>0.80679831022144943</v>
      </c>
      <c r="AL49" s="72">
        <f>INDEX(LINEST(LN(AV49:AX49),LN(AV48:AX48),TRUE,TRUE),3,1)</f>
        <v>0.55679895467915808</v>
      </c>
      <c r="AM49" s="72">
        <f>INDEX(LINEST(LN(AV49:AX49),LN(AV48:AX48)),1)</f>
        <v>-1.9148678371994979E-2</v>
      </c>
      <c r="AN49" s="72">
        <f>EXP(INDEX(LINEST(LN(AV49:AX49),LN(AV48:AX48)),1,2))</f>
        <v>0.87634245836037605</v>
      </c>
      <c r="AO49" s="89">
        <f>INDEX(LINEST((AV49:AX49),LN(AV48:AX48),TRUE,TRUE),3,1)</f>
        <v>0.57487522999530638</v>
      </c>
      <c r="AP49" s="89">
        <f>INDEX(LINEST((AV49:AX49),LN(AV48:AX48)),1)</f>
        <v>-1.3778867564414602E-2</v>
      </c>
      <c r="AQ49" s="90">
        <f>INDEX(LINEST(LN(AV49:AX49),SQRT(AV48:AX48),TRUE,TRUE),3,1)</f>
        <v>0.92656972748730404</v>
      </c>
      <c r="AR49" s="117">
        <f>INDEX(LINEST(LN(AV49:AX49),SQRT((AV48:AX48))),1)</f>
        <v>-3.3730357993975313E-4</v>
      </c>
      <c r="AS49" s="91">
        <f>INDEX(LINEST(1/(AV49:AX49),1/(SQRT(AV48:AX48)),TRUE,TRUE),3,1)</f>
        <v>0.38597906494364359</v>
      </c>
      <c r="AT49" s="91">
        <f>INDEX(LINEST(1/(AV49:AX49),1/SQRT(AV48:AX48)),1)</f>
        <v>-1.1505555648415937</v>
      </c>
      <c r="AU49" s="3"/>
      <c r="AV49" s="97">
        <v>0.80725214899999997</v>
      </c>
      <c r="AW49" s="97">
        <v>0.77401186499999997</v>
      </c>
      <c r="AX49" s="97">
        <v>0.62644965699999999</v>
      </c>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5"/>
      <c r="CS49" s="15"/>
      <c r="CT49" s="15"/>
      <c r="CU49" s="15"/>
    </row>
    <row r="50" spans="1:99" ht="12" customHeight="1" x14ac:dyDescent="0.2">
      <c r="A50" s="68">
        <v>43978</v>
      </c>
      <c r="B50" s="94"/>
      <c r="C50" s="94"/>
      <c r="D50" s="92"/>
      <c r="E50" s="105"/>
      <c r="F50" s="92"/>
      <c r="G50" s="92"/>
      <c r="H50" s="92"/>
      <c r="I50" s="92"/>
      <c r="J50" s="92"/>
      <c r="K50" s="69"/>
      <c r="L50" s="69"/>
      <c r="M50" s="92"/>
      <c r="N50" s="92"/>
      <c r="O50" s="92"/>
      <c r="P50" s="92"/>
      <c r="Q50" s="92"/>
      <c r="R50" s="69"/>
      <c r="S50" s="69"/>
      <c r="T50" s="92"/>
      <c r="U50" s="69"/>
      <c r="V50" s="92"/>
      <c r="W50" s="69"/>
      <c r="X50" s="92"/>
      <c r="Y50" s="87"/>
      <c r="Z50" s="92"/>
      <c r="AA50" s="92"/>
      <c r="AB50" s="69"/>
      <c r="AC50" s="72"/>
      <c r="AD50" s="69"/>
      <c r="AE50" s="87"/>
      <c r="AF50" s="88"/>
      <c r="AG50" s="72"/>
      <c r="AH50" s="4"/>
      <c r="AI50" s="72"/>
      <c r="AJ50" s="110"/>
      <c r="AK50" s="72"/>
      <c r="AL50" s="72"/>
      <c r="AM50" s="72"/>
      <c r="AN50" s="72"/>
      <c r="AO50" s="89"/>
      <c r="AP50" s="89"/>
      <c r="AQ50" s="90"/>
      <c r="AR50" s="117"/>
      <c r="AS50" s="91"/>
      <c r="AT50" s="91"/>
      <c r="AU50" s="3"/>
      <c r="AV50" s="98">
        <v>30</v>
      </c>
      <c r="AW50" s="98">
        <f>60*60*30</f>
        <v>108000</v>
      </c>
      <c r="AX50" s="98">
        <f>60*60*24*7</f>
        <v>604800</v>
      </c>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5"/>
      <c r="CS50" s="15"/>
      <c r="CT50" s="15"/>
      <c r="CU50" s="15"/>
    </row>
    <row r="51" spans="1:99" ht="12" customHeight="1" x14ac:dyDescent="0.2">
      <c r="A51" s="68">
        <v>43978</v>
      </c>
      <c r="B51" s="94" t="s">
        <v>948</v>
      </c>
      <c r="C51" s="94" t="s">
        <v>54</v>
      </c>
      <c r="D51" s="92">
        <v>2014</v>
      </c>
      <c r="E51" s="105">
        <v>1</v>
      </c>
      <c r="F51" s="92">
        <v>25</v>
      </c>
      <c r="G51" s="92">
        <v>25</v>
      </c>
      <c r="H51" s="92" t="s">
        <v>41</v>
      </c>
      <c r="I51" s="92" t="s">
        <v>956</v>
      </c>
      <c r="J51" s="92" t="s">
        <v>686</v>
      </c>
      <c r="K51" s="69">
        <f>IF(J51="syllables",1,IF(J51="trigrams",2,IF(J51="strings",3,IF(J51="visual array",4,IF(J51="characters",5,IF(J51="letters",6,IF(J51="free forms",7,IF(J51="odors",8,IF(J51="words",9,IF(J51="pictures",10,IF(J51="object pictures",11,IF(J51="faces",12,IF(J51="names",13,IF(J51="idioms",14,IF(J51="grades",15,IF(J51="syllable-digit pairs",16,IF(J51="trigram-word pairs",17,IF(J51="word-digit pairs",18,IF(J51="English-Swahili pairs",19,IF(J51="spatial position",20,IF(J51="word pairs",21,IF(J51="word triads",22,IF(J51="generated words",23,IF(J51="word definition pairs",24,IF(J51="math problems",25,IF(J51="famous faces",26,IF(J51="famous names",27,IF(J51="famous voices",28,IF(J51="television programs",29,IF(J51="race horses",30,IF(J51="new vocabulary",31,IF(J51="sentences",32,IF(J51="concepts",33,IF(J51="ad slides",34,IF(J51="scenes",35,IF(J51="famous scenes",36,IF(J51="poems",37,IF(J51="walk",38,IF(J51="faces and events",39,IF(J51="events and names",40,IF(J51="flashbulb",41,IF(J51="stories",42,IF(J51="course material",43,IF(J51="autobiographical",44,IF(J51="novels",45,IF(J51="public events",46,"99"))))))))))))))))))))))))))))))))))))))))))))))</f>
        <v>35</v>
      </c>
      <c r="L51" s="69">
        <f>IF(J51="syllables",1,IF(J51="trigrams",1,IF(J51="strings",1,IF(J51="visual array",1,IF(J51="characters",1,IF(J51="letters",1,IF(J51="free forms",1,IF(J51="odors",2,IF(J51="words",2,IF(J51="pictures",2,IF(J51="object pictures",2,IF(J51="faces",2,IF(J51="names",2,IF(J51="idioms","2",IF(J51="grades",2,IF(J51="syllable-digit pairs",3,IF(J51="trigram-word pairs",3,IF(J51="word-digit pairs",3,IF(J51="English-Swahili pairs",3,IF(J51="spatial position",3,IF(J51="word pairs",4,IF(J51="word triads",4,IF(J51="generated words",4,IF(J51="word definition pairs",4,IF(J51="math problems",4,IF(J51="famous faces",4,IF(J51="famous names",4,IF(J51="famous voices",4,IF(J51="television programs",4,IF(J51="race horses",4,IF(J51="new vocabulary",4,IF(J51="sentences",5,IF(J51="concepts",5,IF(J51="ad slides",5,IF(J51="scenes",5,IF(J51="famous scenes",5,IF(J51="poems",6,IF(J51="walk",6,IF(J51="faces and events",6,IF(J51="events and names",6,IF(J51="flashbulb",7,IF(J51="stories",7,IF(J51="course material",7,IF(J51="autobiographical",7,IF(J51="novels",7,IF(J51="public events",7,"99"))))))))))))))))))))))))))))))))))))))))))))))</f>
        <v>5</v>
      </c>
      <c r="M51" s="92">
        <v>0</v>
      </c>
      <c r="N51" s="92">
        <v>3</v>
      </c>
      <c r="O51" s="92">
        <v>0</v>
      </c>
      <c r="P51" s="92"/>
      <c r="Q51" s="92" t="s">
        <v>182</v>
      </c>
      <c r="R51" s="69">
        <f>IF(Q51="Free Recall",1,IF(Q51="Cued Recall",2,IF(Q51="Recognition",3,IF(Q51="Multiple Choice",4,IF(Q51="Savings",5,IF(Q51="Stem Completion",6,IF(Q51="Fragment Completion",7,IF(Q51="anagram solution",8,IF(Q51="Matching",9,IF(Q51="Problem Solving",10,"99"))))))))))</f>
        <v>4</v>
      </c>
      <c r="S51" s="69" t="s">
        <v>15</v>
      </c>
      <c r="T51" s="92" t="s">
        <v>581</v>
      </c>
      <c r="U51" s="69">
        <f>IF(T51="within",1,0)</f>
        <v>1</v>
      </c>
      <c r="V51" s="92">
        <v>150</v>
      </c>
      <c r="W51" s="69">
        <f>F51*V51</f>
        <v>3750</v>
      </c>
      <c r="X51" s="92">
        <v>3</v>
      </c>
      <c r="Y51" s="87">
        <f>AV50</f>
        <v>30</v>
      </c>
      <c r="Z51" s="92" t="s">
        <v>150</v>
      </c>
      <c r="AA51" s="92">
        <f>60*60*24*7</f>
        <v>604800</v>
      </c>
      <c r="AB51" s="69" t="str">
        <f>IF(AA51&lt;60,"1",IF(AA51&lt;=43200,"2",IF(AA51&lt;=777600,"3","4")))</f>
        <v>3</v>
      </c>
      <c r="AC51" s="72">
        <f>AVERAGE(AV50:DA50)</f>
        <v>237610</v>
      </c>
      <c r="AD51" s="69" t="str">
        <f>IF(AC51&lt;60,"1",IF(AC51&lt;=43200,"2",IF(AC51&lt;=777600,"3","4")))</f>
        <v>3</v>
      </c>
      <c r="AE51" s="87">
        <f>AA51-Y51</f>
        <v>604770</v>
      </c>
      <c r="AF51" s="88">
        <f>AV51</f>
        <v>0.801521443727234</v>
      </c>
      <c r="AG51" s="72">
        <f>((AW51-AV51)+(AX51-AW51))/2</f>
        <v>-0.197243748018611</v>
      </c>
      <c r="AH51" s="4"/>
      <c r="AI51" s="72">
        <f>RSQ(AV51:AX51,AV50:AX50)</f>
        <v>0.99983325922577215</v>
      </c>
      <c r="AJ51" s="110">
        <f>SLOPE(AV51:AX51,AV50:AX50)</f>
        <v>-6.4918148070266954E-7</v>
      </c>
      <c r="AK51" s="72">
        <f>INTERCEPT(AV51:AX51,AV50:AX50)</f>
        <v>0.79913631166172605</v>
      </c>
      <c r="AL51" s="72">
        <f>INDEX(LINEST(LN(AV51:AX51),LN(AV50:AX50),TRUE,TRUE),3,1)</f>
        <v>0.53696111253522971</v>
      </c>
      <c r="AM51" s="72">
        <f>INDEX(LINEST(LN(AV51:AX51),LN(AV50:AX50)),1)</f>
        <v>-5.0651137425773506E-2</v>
      </c>
      <c r="AN51" s="72">
        <f>EXP(INDEX(LINEST(LN(AV51:AX51),LN(AV50:AX50)),1,2))</f>
        <v>0.99781680932429717</v>
      </c>
      <c r="AO51" s="89">
        <f>INDEX(LINEST((AV51:AX51),LN(AV50:AX50),TRUE,TRUE),3,1)</f>
        <v>0.58228732415705686</v>
      </c>
      <c r="AP51" s="89">
        <f>INDEX(LINEST((AV51:AX51),LN(AV50:AX50)),1)</f>
        <v>-3.0175058672245403E-2</v>
      </c>
      <c r="AQ51" s="90">
        <f>INDEX(LINEST(LN(AV51:AX51),SQRT(AV50:AX50),TRUE,TRUE),3,1)</f>
        <v>0.91583819493685492</v>
      </c>
      <c r="AR51" s="117">
        <f>INDEX(LINEST(LN(AV51:AX51),SQRT((AV50:AX50))),1)</f>
        <v>-9.0327389469185533E-4</v>
      </c>
      <c r="AS51" s="91">
        <f>INDEX(LINEST(1/(AV51:AX51),1/(SQRT(AV50:AX50)),TRUE,TRUE),3,1)</f>
        <v>0.34689762066613944</v>
      </c>
      <c r="AT51" s="91">
        <f>INDEX(LINEST(1/(AV51:AX51),1/SQRT(AV50:AX50)),1)</f>
        <v>-3.7537964701928717</v>
      </c>
      <c r="AU51" s="3"/>
      <c r="AV51" s="97">
        <v>0.801521443727234</v>
      </c>
      <c r="AW51" s="97">
        <v>0.72609750867864808</v>
      </c>
      <c r="AX51" s="97">
        <v>0.407033947690012</v>
      </c>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5"/>
      <c r="CS51" s="15"/>
      <c r="CT51" s="15"/>
      <c r="CU51" s="15"/>
    </row>
    <row r="52" spans="1:99" ht="12" customHeight="1" x14ac:dyDescent="0.2">
      <c r="A52" s="68">
        <v>43978</v>
      </c>
      <c r="B52" s="94"/>
      <c r="C52" s="94"/>
      <c r="D52" s="92"/>
      <c r="E52" s="105"/>
      <c r="F52" s="92"/>
      <c r="G52" s="92"/>
      <c r="H52" s="92"/>
      <c r="I52" s="92"/>
      <c r="J52" s="92"/>
      <c r="K52" s="69"/>
      <c r="L52" s="69"/>
      <c r="M52" s="92"/>
      <c r="N52" s="92"/>
      <c r="O52" s="92"/>
      <c r="P52" s="92"/>
      <c r="Q52" s="92"/>
      <c r="R52" s="69"/>
      <c r="S52" s="69"/>
      <c r="T52" s="92"/>
      <c r="U52" s="69"/>
      <c r="V52" s="92"/>
      <c r="W52" s="69"/>
      <c r="X52" s="92"/>
      <c r="Y52" s="87"/>
      <c r="Z52" s="92"/>
      <c r="AA52" s="92"/>
      <c r="AB52" s="69"/>
      <c r="AC52" s="72"/>
      <c r="AD52" s="69"/>
      <c r="AE52" s="87"/>
      <c r="AF52" s="88"/>
      <c r="AG52" s="72"/>
      <c r="AH52" s="4"/>
      <c r="AI52" s="72"/>
      <c r="AJ52" s="110"/>
      <c r="AK52" s="72"/>
      <c r="AL52" s="72"/>
      <c r="AM52" s="72"/>
      <c r="AN52" s="72"/>
      <c r="AO52" s="89"/>
      <c r="AP52" s="89"/>
      <c r="AQ52" s="90"/>
      <c r="AR52" s="117"/>
      <c r="AS52" s="91"/>
      <c r="AT52" s="91"/>
      <c r="AU52" s="3"/>
      <c r="AV52" s="98">
        <v>30</v>
      </c>
      <c r="AW52" s="98">
        <f>60*60*30</f>
        <v>108000</v>
      </c>
      <c r="AX52" s="98">
        <f>60*60*24*7</f>
        <v>604800</v>
      </c>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5"/>
      <c r="CS52" s="15"/>
      <c r="CT52" s="15"/>
      <c r="CU52" s="15"/>
    </row>
    <row r="53" spans="1:99" ht="12" customHeight="1" x14ac:dyDescent="0.2">
      <c r="A53" s="68">
        <v>43978</v>
      </c>
      <c r="B53" s="94" t="s">
        <v>948</v>
      </c>
      <c r="C53" s="94" t="s">
        <v>54</v>
      </c>
      <c r="D53" s="92">
        <v>2014</v>
      </c>
      <c r="E53" s="105">
        <v>1</v>
      </c>
      <c r="F53" s="92">
        <v>25</v>
      </c>
      <c r="G53" s="92">
        <v>25</v>
      </c>
      <c r="H53" s="92" t="s">
        <v>41</v>
      </c>
      <c r="I53" s="92" t="s">
        <v>957</v>
      </c>
      <c r="J53" s="92" t="s">
        <v>686</v>
      </c>
      <c r="K53" s="69">
        <f>IF(J53="syllables",1,IF(J53="trigrams",2,IF(J53="strings",3,IF(J53="visual array",4,IF(J53="characters",5,IF(J53="letters",6,IF(J53="free forms",7,IF(J53="odors",8,IF(J53="words",9,IF(J53="pictures",10,IF(J53="object pictures",11,IF(J53="faces",12,IF(J53="names",13,IF(J53="idioms",14,IF(J53="grades",15,IF(J53="syllable-digit pairs",16,IF(J53="trigram-word pairs",17,IF(J53="word-digit pairs",18,IF(J53="English-Swahili pairs",19,IF(J53="spatial position",20,IF(J53="word pairs",21,IF(J53="word triads",22,IF(J53="generated words",23,IF(J53="word definition pairs",24,IF(J53="math problems",25,IF(J53="famous faces",26,IF(J53="famous names",27,IF(J53="famous voices",28,IF(J53="television programs",29,IF(J53="race horses",30,IF(J53="new vocabulary",31,IF(J53="sentences",32,IF(J53="concepts",33,IF(J53="ad slides",34,IF(J53="scenes",35,IF(J53="famous scenes",36,IF(J53="poems",37,IF(J53="walk",38,IF(J53="faces and events",39,IF(J53="events and names",40,IF(J53="flashbulb",41,IF(J53="stories",42,IF(J53="course material",43,IF(J53="autobiographical",44,IF(J53="novels",45,IF(J53="public events",46,"99"))))))))))))))))))))))))))))))))))))))))))))))</f>
        <v>35</v>
      </c>
      <c r="L53" s="69">
        <f>IF(J53="syllables",1,IF(J53="trigrams",1,IF(J53="strings",1,IF(J53="visual array",1,IF(J53="characters",1,IF(J53="letters",1,IF(J53="free forms",1,IF(J53="odors",2,IF(J53="words",2,IF(J53="pictures",2,IF(J53="object pictures",2,IF(J53="faces",2,IF(J53="names",2,IF(J53="idioms","2",IF(J53="grades",2,IF(J53="syllable-digit pairs",3,IF(J53="trigram-word pairs",3,IF(J53="word-digit pairs",3,IF(J53="English-Swahili pairs",3,IF(J53="spatial position",3,IF(J53="word pairs",4,IF(J53="word triads",4,IF(J53="generated words",4,IF(J53="word definition pairs",4,IF(J53="math problems",4,IF(J53="famous faces",4,IF(J53="famous names",4,IF(J53="famous voices",4,IF(J53="television programs",4,IF(J53="race horses",4,IF(J53="new vocabulary",4,IF(J53="sentences",5,IF(J53="concepts",5,IF(J53="ad slides",5,IF(J53="scenes",5,IF(J53="famous scenes",5,IF(J53="poems",6,IF(J53="walk",6,IF(J53="faces and events",6,IF(J53="events and names",6,IF(J53="flashbulb",7,IF(J53="stories",7,IF(J53="course material",7,IF(J53="autobiographical",7,IF(J53="novels",7,IF(J53="public events",7,"99"))))))))))))))))))))))))))))))))))))))))))))))</f>
        <v>5</v>
      </c>
      <c r="M53" s="92">
        <v>0</v>
      </c>
      <c r="N53" s="92">
        <v>3</v>
      </c>
      <c r="O53" s="92">
        <v>0</v>
      </c>
      <c r="P53" s="92"/>
      <c r="Q53" s="92" t="s">
        <v>182</v>
      </c>
      <c r="R53" s="69">
        <f>IF(Q53="Free Recall",1,IF(Q53="Cued Recall",2,IF(Q53="Recognition",3,IF(Q53="Multiple Choice",4,IF(Q53="Savings",5,IF(Q53="Stem Completion",6,IF(Q53="Fragment Completion",7,IF(Q53="anagram solution",8,IF(Q53="Matching",9,IF(Q53="Problem Solving",10,"99"))))))))))</f>
        <v>4</v>
      </c>
      <c r="S53" s="69" t="s">
        <v>15</v>
      </c>
      <c r="T53" s="92" t="s">
        <v>581</v>
      </c>
      <c r="U53" s="69">
        <f>IF(T53="within",1,0)</f>
        <v>1</v>
      </c>
      <c r="V53" s="92">
        <v>150</v>
      </c>
      <c r="W53" s="69">
        <f>F53*V53</f>
        <v>3750</v>
      </c>
      <c r="X53" s="92">
        <v>3</v>
      </c>
      <c r="Y53" s="87">
        <f>AV52</f>
        <v>30</v>
      </c>
      <c r="Z53" s="92" t="s">
        <v>150</v>
      </c>
      <c r="AA53" s="92">
        <f>60*60*24*7</f>
        <v>604800</v>
      </c>
      <c r="AB53" s="69" t="str">
        <f>IF(AA53&lt;60,"1",IF(AA53&lt;=43200,"2",IF(AA53&lt;=777600,"3","4")))</f>
        <v>3</v>
      </c>
      <c r="AC53" s="72">
        <f>AVERAGE(AV52:DA52)</f>
        <v>237610</v>
      </c>
      <c r="AD53" s="69" t="str">
        <f>IF(AC53&lt;60,"1",IF(AC53&lt;=43200,"2",IF(AC53&lt;=777600,"3","4")))</f>
        <v>3</v>
      </c>
      <c r="AE53" s="87">
        <f>AA53-Y53</f>
        <v>604770</v>
      </c>
      <c r="AF53" s="88">
        <f>AV53</f>
        <v>0.68549682385796196</v>
      </c>
      <c r="AG53" s="72">
        <f>((AW53-AV53)+(AX53-AW53))/2</f>
        <v>-0.17486684407635297</v>
      </c>
      <c r="AH53" s="4"/>
      <c r="AI53" s="72">
        <f>RSQ(AV53:AX53,AV52:AX52)</f>
        <v>0.9611583805849041</v>
      </c>
      <c r="AJ53" s="110">
        <f>SLOPE(AV53:AX53,AV52:AX52)</f>
        <v>-6.2492443971717747E-7</v>
      </c>
      <c r="AK53" s="72">
        <f>INTERCEPT(AV53:AX53,AV52:AX52)</f>
        <v>0.72154850798677517</v>
      </c>
      <c r="AL53" s="72">
        <f>INDEX(LINEST(LN(AV53:AX53),LN(AV52:AX52),TRUE,TRUE),3,1)</f>
        <v>0.38121406301338168</v>
      </c>
      <c r="AM53" s="72">
        <f>INDEX(LINEST(LN(AV53:AX53),LN(AV52:AX52)),1)</f>
        <v>-4.8660829493556233E-2</v>
      </c>
      <c r="AN53" s="72">
        <f>EXP(INDEX(LINEST(LN(AV53:AX53),LN(AV52:AX52)),1,2))</f>
        <v>0.86032727146315469</v>
      </c>
      <c r="AO53" s="89">
        <f>INDEX(LINEST((AV53:AX53),LN(AV52:AX52),TRUE,TRUE),3,1)</f>
        <v>0.37278297019686407</v>
      </c>
      <c r="AP53" s="89">
        <f>INDEX(LINEST((AV53:AX53),LN(AV52:AX52)),1)</f>
        <v>-2.3704739435597449E-2</v>
      </c>
      <c r="AQ53" s="90">
        <f>INDEX(LINEST(LN(AV53:AX53),SQRT(AV52:AX52),TRUE,TRUE),3,1)</f>
        <v>0.80981251824301359</v>
      </c>
      <c r="AR53" s="117">
        <f>INDEX(LINEST(LN(AV53:AX53),SQRT((AV52:AX52))),1)</f>
        <v>-9.6845532649312454E-4</v>
      </c>
      <c r="AS53" s="91">
        <f>INDEX(LINEST(1/(AV53:AX53),1/(SQRT(AV52:AX52)),TRUE,TRUE),3,1)</f>
        <v>0.24461571541947319</v>
      </c>
      <c r="AT53" s="91">
        <f>INDEX(LINEST(1/(AV53:AX53),1/SQRT(AV52:AX52)),1)</f>
        <v>-4.201532012050655</v>
      </c>
      <c r="AU53" s="3"/>
      <c r="AV53" s="97">
        <v>0.68549682385796196</v>
      </c>
      <c r="AW53" s="97">
        <v>0.69792067603351193</v>
      </c>
      <c r="AX53" s="97">
        <v>0.33576313570525601</v>
      </c>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5"/>
      <c r="CS53" s="15"/>
      <c r="CT53" s="15"/>
      <c r="CU53" s="15"/>
    </row>
    <row r="54" spans="1:99" s="13" customFormat="1" ht="12" customHeight="1" x14ac:dyDescent="0.2">
      <c r="A54" s="68">
        <v>43509</v>
      </c>
      <c r="B54" s="70"/>
      <c r="C54" s="70"/>
      <c r="D54" s="69"/>
      <c r="E54" s="87"/>
      <c r="F54" s="69"/>
      <c r="G54" s="69"/>
      <c r="H54" s="69"/>
      <c r="I54" s="69"/>
      <c r="J54" s="69"/>
      <c r="K54" s="107"/>
      <c r="L54" s="107"/>
      <c r="M54" s="69"/>
      <c r="N54" s="69"/>
      <c r="O54" s="69"/>
      <c r="P54" s="69"/>
      <c r="Q54" s="92"/>
      <c r="R54" s="69"/>
      <c r="S54" s="69"/>
      <c r="T54" s="69"/>
      <c r="U54" s="69"/>
      <c r="V54" s="69"/>
      <c r="W54" s="69"/>
      <c r="X54" s="69"/>
      <c r="Y54" s="87"/>
      <c r="Z54" s="69"/>
      <c r="AA54" s="69"/>
      <c r="AB54" s="69"/>
      <c r="AC54" s="69"/>
      <c r="AD54" s="69"/>
      <c r="AE54" s="69"/>
      <c r="AF54" s="88"/>
      <c r="AG54" s="72"/>
      <c r="AH54" s="4"/>
      <c r="AI54" s="72"/>
      <c r="AJ54" s="110"/>
      <c r="AK54" s="72"/>
      <c r="AL54" s="72"/>
      <c r="AM54" s="72"/>
      <c r="AN54" s="72"/>
      <c r="AO54" s="72"/>
      <c r="AP54" s="72"/>
      <c r="AQ54" s="72"/>
      <c r="AR54" s="110"/>
      <c r="AS54" s="72"/>
      <c r="AT54" s="72"/>
      <c r="AU54" s="4"/>
      <c r="AV54" s="71">
        <f>3*60</f>
        <v>180</v>
      </c>
      <c r="AW54" s="71">
        <f>2*60*60</f>
        <v>7200</v>
      </c>
      <c r="AX54" s="71">
        <f>8*60*60</f>
        <v>28800</v>
      </c>
      <c r="AY54" s="71">
        <f>12*60*60</f>
        <v>43200</v>
      </c>
      <c r="AZ54" s="71">
        <f>24*60*60*1</f>
        <v>86400</v>
      </c>
      <c r="BA54" s="71">
        <f>24*60*60*2</f>
        <v>172800</v>
      </c>
      <c r="BB54" s="102"/>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1"/>
      <c r="CS54" s="1"/>
      <c r="CT54" s="1"/>
      <c r="CU54" s="1"/>
    </row>
    <row r="55" spans="1:99" s="13" customFormat="1" ht="12" customHeight="1" x14ac:dyDescent="0.2">
      <c r="A55" s="68">
        <v>43509</v>
      </c>
      <c r="B55" s="70" t="s">
        <v>101</v>
      </c>
      <c r="C55" s="70" t="s">
        <v>102</v>
      </c>
      <c r="D55" s="69">
        <v>1992</v>
      </c>
      <c r="E55" s="87">
        <v>1</v>
      </c>
      <c r="F55" s="69">
        <v>20</v>
      </c>
      <c r="G55" s="69">
        <v>20</v>
      </c>
      <c r="H55" s="69" t="s">
        <v>38</v>
      </c>
      <c r="I55" s="69" t="s">
        <v>681</v>
      </c>
      <c r="J55" s="69" t="s">
        <v>313</v>
      </c>
      <c r="K55" s="69">
        <f>IF(J55="syllables",1,IF(J55="trigrams",2,IF(J55="strings",3,IF(J55="visual array",4,IF(J55="characters",5,IF(J55="letters",6,IF(J55="free forms",7,IF(J55="odors",8,IF(J55="words",9,IF(J55="pictures",10,IF(J55="object pictures",11,IF(J55="faces",12,IF(J55="names",13,IF(J55="idioms",14,IF(J55="grades",15,IF(J55="syllable-digit pairs",16,IF(J55="trigram-word pairs",17,IF(J55="word-digit pairs",18,IF(J55="English-Swahili pairs",19,IF(J55="spatial position",20,IF(J55="word pairs",21,IF(J55="word triads",22,IF(J55="generated words",23,IF(J55="word definition pairs",24,IF(J55="math problems",25,IF(J55="famous faces",26,IF(J55="famous names",27,IF(J55="famous voices",28,IF(J55="television programs",29,IF(J55="race horses",30,IF(J55="new vocabulary",31,IF(J55="sentences",32,IF(J55="concepts",33,IF(J55="ad slides",34,IF(J55="scenes",35,IF(J55="famous scenes",36,IF(J55="poems",37,IF(J55="walk",38,IF(J55="faces and events",39,IF(J55="events and names",40,IF(J55="flashbulb",41,IF(J55="stories",42,IF(J55="course material",43,IF(J55="autobiographical",44,IF(J55="novels",45,IF(J55="public events",46,"99"))))))))))))))))))))))))))))))))))))))))))))))</f>
        <v>10</v>
      </c>
      <c r="L55" s="69">
        <f>IF(J55="syllables",1,IF(J55="trigrams",1,IF(J55="strings",1,IF(J55="visual array",1,IF(J55="characters",1,IF(J55="letters",1,IF(J55="free forms",1,IF(J55="odors",2,IF(J55="words",2,IF(J55="pictures",2,IF(J55="object pictures",2,IF(J55="faces",2,IF(J55="names",2,IF(J55="idioms","2",IF(J55="grades",2,IF(J55="syllable-digit pairs",3,IF(J55="trigram-word pairs",3,IF(J55="word-digit pairs",3,IF(J55="English-Swahili pairs",3,IF(J55="spatial position",3,IF(J55="word pairs",4,IF(J55="word triads",4,IF(J55="generated words",4,IF(J55="word definition pairs",4,IF(J55="math problems",4,IF(J55="famous faces",4,IF(J55="famous names",4,IF(J55="famous voices",4,IF(J55="television programs",4,IF(J55="race horses",4,IF(J55="new vocabulary",4,IF(J55="sentences",5,IF(J55="concepts",5,IF(J55="ad slides",5,IF(J55="scenes",5,IF(J55="famous scenes",5,IF(J55="poems",6,IF(J55="walk",6,IF(J55="faces and events",6,IF(J55="events and names",6,IF(J55="flashbulb",7,IF(J55="stories",7,IF(J55="course material",7,IF(J55="autobiographical",7,IF(J55="novels",7,IF(J55="public events",7,"99"))))))))))))))))))))))))))))))))))))))))))))))</f>
        <v>2</v>
      </c>
      <c r="M55" s="69">
        <v>0</v>
      </c>
      <c r="N55" s="69">
        <v>3</v>
      </c>
      <c r="O55" s="69">
        <v>1</v>
      </c>
      <c r="P55" s="69" t="s">
        <v>103</v>
      </c>
      <c r="Q55" s="92" t="s">
        <v>174</v>
      </c>
      <c r="R55" s="69">
        <f>IF(Q55="Free Recall",1,IF(Q55="Cued Recall",2,IF(Q55="Recognition",3,IF(Q55="Multiple Choice",4,IF(Q55="Savings",5,IF(Q55="Stem Completion",6,IF(Q55="Fragment Completion",7,IF(Q55="anagram solution",8,IF(Q55="Matching",9,IF(Q55="Problem Solving",10,"99"))))))))))</f>
        <v>1</v>
      </c>
      <c r="S55" s="69" t="s">
        <v>49</v>
      </c>
      <c r="T55" s="92" t="s">
        <v>581</v>
      </c>
      <c r="U55" s="69">
        <f>IF(T55="within",1,0)</f>
        <v>1</v>
      </c>
      <c r="V55" s="92">
        <v>7</v>
      </c>
      <c r="W55" s="69">
        <f>F55*V55</f>
        <v>140</v>
      </c>
      <c r="X55" s="69">
        <v>6</v>
      </c>
      <c r="Y55" s="87">
        <f>AV54</f>
        <v>180</v>
      </c>
      <c r="Z55" s="69" t="s">
        <v>88</v>
      </c>
      <c r="AA55" s="69">
        <v>172800</v>
      </c>
      <c r="AB55" s="69" t="str">
        <f>IF(AA55&lt;60,"1",IF(AA55&lt;=43200,"2",IF(AA55&lt;=777600,"3","4")))</f>
        <v>3</v>
      </c>
      <c r="AC55" s="72">
        <f>AVERAGE(AV54:DA54)</f>
        <v>56430</v>
      </c>
      <c r="AD55" s="69" t="str">
        <f>IF(AC55&lt;60,"1",IF(AC55&lt;=43200,"2",IF(AC55&lt;=777600,"3","4")))</f>
        <v>3</v>
      </c>
      <c r="AE55" s="87">
        <f>AA55-Y55</f>
        <v>172620</v>
      </c>
      <c r="AF55" s="88">
        <f>AV55</f>
        <v>0.89300000000000002</v>
      </c>
      <c r="AG55" s="72">
        <f>((AW55-AV55)+(AX55-AW55)+(AY55-AX55)+(AZ55-AY55)+(BA55-AZ55))/5</f>
        <v>-2.1399999999999995E-2</v>
      </c>
      <c r="AH55" s="4"/>
      <c r="AI55" s="72">
        <f>RSQ(AV55:BA55,AV54:BA54)</f>
        <v>0.57906394484917578</v>
      </c>
      <c r="AJ55" s="110">
        <f>SLOPE(AV55:BA55,AV54:BA54)</f>
        <v>-4.230320653403367E-7</v>
      </c>
      <c r="AK55" s="72">
        <f>INTERCEPT(AV55:BA55,AV54:BA54)</f>
        <v>0.85137169944715518</v>
      </c>
      <c r="AL55" s="72">
        <f>INDEX(LINEST(LN(AV55:BA55),LN(AV54:BA54),TRUE,TRUE),3,1)</f>
        <v>0.88345849422315792</v>
      </c>
      <c r="AM55" s="72">
        <f>INDEX(LINEST(LN(AV55:BA55),LN(AV54:BA54)),1)</f>
        <v>-1.6251198968042613E-2</v>
      </c>
      <c r="AN55" s="72">
        <f>EXP(INDEX(LINEST(LN(AV55:BA55),LN(AV54:BA54)),1,2))</f>
        <v>0.96867932902323017</v>
      </c>
      <c r="AO55" s="89">
        <f>INDEX(LINEST((AV55:BA55),LN(AV54:BA54),TRUE,TRUE),3,1)</f>
        <v>0.88861554988895397</v>
      </c>
      <c r="AP55" s="89">
        <f>INDEX(LINEST((AV55:BA55),LN(AV54:BA54)),1)</f>
        <v>-1.3719321534989093E-2</v>
      </c>
      <c r="AQ55" s="90">
        <f>INDEX(LINEST(LN(AV55:BA55),SQRT(AV54:BA54),TRUE,TRUE),3,1)</f>
        <v>0.75321930489288258</v>
      </c>
      <c r="AR55" s="117">
        <f>INDEX(LINEST(LN(AV55:BA55),SQRT((AV54:BA54))),1)</f>
        <v>-2.5690516832534431E-4</v>
      </c>
      <c r="AS55" s="91">
        <f>INDEX(LINEST(1/(AV55:BA55),1/(SQRT(AV54:BA54)),TRUE,TRUE),3,1)</f>
        <v>0.8013670402302453</v>
      </c>
      <c r="AT55" s="91">
        <f>INDEX(LINEST(1/(AV55:BA55),1/SQRT(AV54:BA54)),1)</f>
        <v>-1.609322675363356</v>
      </c>
      <c r="AU55" s="3"/>
      <c r="AV55" s="73">
        <v>0.89300000000000002</v>
      </c>
      <c r="AW55" s="73">
        <v>0.82099999999999995</v>
      </c>
      <c r="AX55" s="73">
        <v>0.82899999999999996</v>
      </c>
      <c r="AY55" s="73">
        <v>0.82899999999999996</v>
      </c>
      <c r="AZ55" s="73">
        <v>0.80700000000000005</v>
      </c>
      <c r="BA55" s="73">
        <v>0.78600000000000003</v>
      </c>
      <c r="BB55" s="102"/>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1"/>
      <c r="CS55" s="1"/>
      <c r="CT55" s="1"/>
      <c r="CU55" s="1"/>
    </row>
    <row r="56" spans="1:99" s="13" customFormat="1" ht="12" customHeight="1" x14ac:dyDescent="0.2">
      <c r="A56" s="65">
        <v>43903</v>
      </c>
      <c r="D56" s="61"/>
      <c r="E56" s="76"/>
      <c r="F56" s="60"/>
      <c r="G56" s="60"/>
      <c r="H56" s="60"/>
      <c r="I56" s="60"/>
      <c r="J56" s="60"/>
      <c r="K56" s="64"/>
      <c r="L56" s="64"/>
      <c r="M56" s="60"/>
      <c r="N56" s="61"/>
      <c r="O56" s="60"/>
      <c r="P56" s="60"/>
      <c r="Q56" s="60"/>
      <c r="R56" s="60"/>
      <c r="S56" s="60"/>
      <c r="T56" s="60"/>
      <c r="U56" s="60"/>
      <c r="V56" s="60"/>
      <c r="W56" s="60"/>
      <c r="X56" s="60"/>
      <c r="Y56" s="76"/>
      <c r="Z56" s="60"/>
      <c r="AA56" s="60"/>
      <c r="AB56" s="60"/>
      <c r="AC56" s="56"/>
      <c r="AD56" s="60"/>
      <c r="AE56" s="60"/>
      <c r="AF56" s="80"/>
      <c r="AG56" s="56"/>
      <c r="AH56" s="4"/>
      <c r="AI56" s="56"/>
      <c r="AJ56" s="109"/>
      <c r="AK56" s="56"/>
      <c r="AL56" s="56"/>
      <c r="AM56" s="56"/>
      <c r="AN56" s="56"/>
      <c r="AO56" s="82"/>
      <c r="AP56" s="82"/>
      <c r="AQ56" s="83"/>
      <c r="AR56" s="116"/>
      <c r="AS56" s="84"/>
      <c r="AT56" s="84"/>
      <c r="AU56" s="3"/>
      <c r="AV56" s="162">
        <v>60</v>
      </c>
      <c r="AW56" s="162">
        <v>86400</v>
      </c>
      <c r="AX56" s="162">
        <v>259200</v>
      </c>
      <c r="AY56" s="162">
        <v>604800</v>
      </c>
      <c r="AZ56" s="53"/>
      <c r="BA56" s="53"/>
      <c r="BB56" s="4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1"/>
      <c r="CS56" s="1"/>
      <c r="CT56" s="1"/>
      <c r="CU56" s="1"/>
    </row>
    <row r="57" spans="1:99" s="13" customFormat="1" ht="12" customHeight="1" x14ac:dyDescent="0.2">
      <c r="A57" s="65">
        <v>43903</v>
      </c>
      <c r="B57" s="1" t="s">
        <v>473</v>
      </c>
      <c r="C57" s="1" t="s">
        <v>474</v>
      </c>
      <c r="D57" s="60">
        <v>2020</v>
      </c>
      <c r="E57" s="76">
        <v>3</v>
      </c>
      <c r="F57" s="60">
        <v>96</v>
      </c>
      <c r="G57" s="60">
        <v>24</v>
      </c>
      <c r="H57" s="60"/>
      <c r="I57" s="60" t="s">
        <v>477</v>
      </c>
      <c r="J57" s="60" t="s">
        <v>475</v>
      </c>
      <c r="K57" s="60">
        <f>IF(J57="syllables",1,IF(J57="trigrams",2,IF(J57="strings",3,IF(J57="visual array",4,IF(J57="characters",5,IF(J57="letters",6,IF(J57="free forms",7,IF(J57="odors",8,IF(J57="words",9,IF(J57="pictures",10,IF(J57="object pictures",11,IF(J57="faces",12,IF(J57="names",13,IF(J57="idioms",14,IF(J57="grades",15,IF(J57="syllable-digit pairs",16,IF(J57="trigram-word pairs",17,IF(J57="word-digit pairs",18,IF(J57="English-Swahili pairs",19,IF(J57="spatial position",20,IF(J57="word pairs",21,IF(J57="word triads",22,IF(J57="generated words",23,IF(J57="word definition pairs",24,IF(J57="math problems",25,IF(J57="famous faces",26,IF(J57="famous names",27,IF(J57="famous voices",28,IF(J57="television programs",29,IF(J57="race horses",30,IF(J57="new vocabulary",31,IF(J57="sentences",32,IF(J57="concepts",33,IF(J57="ad slides",34,IF(J57="scenes",35,IF(J57="famous scenes",36,IF(J57="poems",37,IF(J57="walk",38,IF(J57="faces and events",39,IF(J57="events and names",40,IF(J57="flashbulb",41,IF(J57="stories",42,IF(J57="course material",43,IF(J57="autobiographical",44,IF(J57="novels",45,IF(J57="public events",46,"99"))))))))))))))))))))))))))))))))))))))))))))))</f>
        <v>32</v>
      </c>
      <c r="L57" s="60">
        <f>IF(J57="syllables",1,IF(J57="trigrams",1,IF(J57="strings",1,IF(J57="visual array",1,IF(J57="characters",1,IF(J57="letters",1,IF(J57="free forms",1,IF(J57="odors",2,IF(J57="words",2,IF(J57="pictures",2,IF(J57="object pictures",2,IF(J57="faces",2,IF(J57="names",2,IF(J57="idioms","2",IF(J57="grades",2,IF(J57="syllable-digit pairs",3,IF(J57="trigram-word pairs",3,IF(J57="word-digit pairs",3,IF(J57="English-Swahili pairs",3,IF(J57="spatial position",3,IF(J57="word pairs",4,IF(J57="word triads",4,IF(J57="generated words",4,IF(J57="word definition pairs",4,IF(J57="math problems",4,IF(J57="famous faces",4,IF(J57="famous names",4,IF(J57="famous voices",4,IF(J57="television programs",4,IF(J57="race horses",4,IF(J57="new vocabulary",4,IF(J57="sentences",5,IF(J57="concepts",5,IF(J57="ad slides",5,IF(J57="scenes",5,IF(J57="famous scenes",5,IF(J57="poems",6,IF(J57="walk",6,IF(J57="faces and events",6,IF(J57="events and names",6,IF(J57="flashbulb",7,IF(J57="stories",7,IF(J57="course material",7,IF(J57="autobiographical",7,IF(J57="novels",7,IF(J57="public events",7,"99"))))))))))))))))))))))))))))))))))))))))))))))</f>
        <v>5</v>
      </c>
      <c r="M57" s="60">
        <v>0</v>
      </c>
      <c r="N57" s="61">
        <v>2</v>
      </c>
      <c r="O57" s="60">
        <v>0</v>
      </c>
      <c r="P57" s="60"/>
      <c r="Q57" s="60" t="s">
        <v>174</v>
      </c>
      <c r="R57" s="60">
        <f>IF(Q57="Free Recall",1,IF(Q57="Cued Recall",2,IF(Q57="Recognition",3,IF(Q57="Multiple Choice",4,IF(Q57="Savings",5,IF(Q57="Stem Completion",6,IF(Q57="Fragment Completion",7,IF(Q57="anagram solution",8,IF(Q57="Matching",9,IF(Q57="Problem Solving",10,"99"))))))))))</f>
        <v>1</v>
      </c>
      <c r="S57" s="62" t="s">
        <v>49</v>
      </c>
      <c r="T57" s="60" t="s">
        <v>261</v>
      </c>
      <c r="U57" s="60">
        <f>IF(T57="within",1,0)</f>
        <v>0</v>
      </c>
      <c r="V57" s="60">
        <v>18</v>
      </c>
      <c r="W57" s="60">
        <f>F57*V57</f>
        <v>1728</v>
      </c>
      <c r="X57" s="60">
        <v>4</v>
      </c>
      <c r="Y57" s="76">
        <f>AV56</f>
        <v>60</v>
      </c>
      <c r="Z57" s="60" t="s">
        <v>97</v>
      </c>
      <c r="AA57" s="60">
        <v>604800</v>
      </c>
      <c r="AB57" s="60" t="str">
        <f>IF(AA57&lt;60,"1",IF(AA57&lt;=43200,"2",IF(AA57&lt;=777600,"3","4")))</f>
        <v>3</v>
      </c>
      <c r="AC57" s="56">
        <f>AVERAGE(AV56:DA56)</f>
        <v>237615</v>
      </c>
      <c r="AD57" s="60" t="str">
        <f>IF(AC57&lt;60,"1",IF(AC57&lt;=43200,"2",IF(AC57&lt;=777600,"3","4")))</f>
        <v>3</v>
      </c>
      <c r="AE57" s="76">
        <f>AA57-Y57</f>
        <v>604740</v>
      </c>
      <c r="AF57" s="80">
        <f>AV57</f>
        <v>0.62500000000000011</v>
      </c>
      <c r="AG57" s="56">
        <f>((AW57-AV57)+(AX57-AW57)+(AY57-AX57))/3</f>
        <v>-0.12345679012345684</v>
      </c>
      <c r="AH57" s="4"/>
      <c r="AI57" s="56">
        <f>RSQ(AV57:AY57,AV56:AY56)</f>
        <v>0.4838196111441081</v>
      </c>
      <c r="AJ57" s="109">
        <f>SLOPE(AV57:AY57,AV56:AY56)</f>
        <v>-4.8667027575248712E-7</v>
      </c>
      <c r="AK57" s="56">
        <f>INTERCEPT(AV57:AY57,AV56:AY56)</f>
        <v>0.47617256498033461</v>
      </c>
      <c r="AL57" s="56">
        <f>INDEX(LINEST(LN(AV57:AY57),LN(AV56:AY56),TRUE,TRUE),3,1)</f>
        <v>0.85986894138247327</v>
      </c>
      <c r="AM57" s="56">
        <f>INDEX(LINEST(LN(AV57:AY57),LN(AV56:AY56)),1)</f>
        <v>-0.10638132353925876</v>
      </c>
      <c r="AN57" s="56">
        <f>EXP(INDEX(LINEST(LN(AV57:AY57),LN(AV56:AY56)),1,2))</f>
        <v>0.98458468717710379</v>
      </c>
      <c r="AO57" s="82">
        <f>INDEX(LINEST((AV57:AY57),LN(AV56:AY56),TRUE,TRUE),3,1)</f>
        <v>0.94209418470833506</v>
      </c>
      <c r="AP57" s="82">
        <f>INDEX(LINEST((AV57:AY57),LN(AV56:AY56)),1)</f>
        <v>-4.3044966347829915E-2</v>
      </c>
      <c r="AQ57" s="83">
        <f>INDEX(LINEST(LN(AV57:AY57),SQRT(AV56:AY56),TRUE,TRUE),3,1)</f>
        <v>0.74113594957583218</v>
      </c>
      <c r="AR57" s="116">
        <f>INDEX(LINEST(LN(AV57:AY57),SQRT((AV56:AY56))),1)</f>
        <v>-1.2767124176675463E-3</v>
      </c>
      <c r="AS57" s="84">
        <f>INDEX(LINEST(1/(AV57:AY57),1/(SQRT(AV56:AY56)),TRUE,TRUE),3,1)</f>
        <v>0.65508579278441403</v>
      </c>
      <c r="AT57" s="84">
        <f>INDEX(LINEST(1/(AV57:AY57),1/SQRT(AV56:AY56)),1)</f>
        <v>-17.954682494993403</v>
      </c>
      <c r="AU57" s="3"/>
      <c r="AV57" s="163">
        <v>0.62500000000000011</v>
      </c>
      <c r="AW57" s="163">
        <v>0.35648148148148145</v>
      </c>
      <c r="AX57" s="163">
        <v>0.20601851851851849</v>
      </c>
      <c r="AY57" s="163">
        <v>0.25462962962962959</v>
      </c>
      <c r="AZ57" s="53"/>
      <c r="BA57" s="53"/>
      <c r="BB57" s="4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1"/>
      <c r="CS57" s="1"/>
      <c r="CT57" s="1"/>
      <c r="CU57" s="1"/>
    </row>
    <row r="58" spans="1:99" s="13" customFormat="1" ht="12" customHeight="1" x14ac:dyDescent="0.2">
      <c r="A58" s="65">
        <v>43903</v>
      </c>
      <c r="D58" s="61"/>
      <c r="E58" s="76"/>
      <c r="F58" s="60"/>
      <c r="G58" s="60"/>
      <c r="H58" s="60"/>
      <c r="I58" s="60"/>
      <c r="J58" s="60"/>
      <c r="K58" s="64"/>
      <c r="L58" s="64"/>
      <c r="M58" s="60"/>
      <c r="N58" s="61"/>
      <c r="O58" s="60"/>
      <c r="P58" s="60"/>
      <c r="Q58" s="60"/>
      <c r="R58" s="60"/>
      <c r="S58" s="60"/>
      <c r="T58" s="60"/>
      <c r="U58" s="60"/>
      <c r="V58" s="60"/>
      <c r="W58" s="60"/>
      <c r="X58" s="60"/>
      <c r="Y58" s="76"/>
      <c r="Z58" s="60"/>
      <c r="AA58" s="60"/>
      <c r="AB58" s="60"/>
      <c r="AC58" s="56"/>
      <c r="AD58" s="60"/>
      <c r="AE58" s="60"/>
      <c r="AF58" s="80"/>
      <c r="AG58" s="56"/>
      <c r="AH58" s="4"/>
      <c r="AI58" s="56"/>
      <c r="AJ58" s="109"/>
      <c r="AK58" s="56"/>
      <c r="AL58" s="56"/>
      <c r="AM58" s="56"/>
      <c r="AN58" s="56"/>
      <c r="AO58" s="82"/>
      <c r="AP58" s="82"/>
      <c r="AQ58" s="83"/>
      <c r="AR58" s="116"/>
      <c r="AS58" s="84"/>
      <c r="AT58" s="84"/>
      <c r="AU58" s="3"/>
      <c r="AV58" s="162">
        <v>60</v>
      </c>
      <c r="AW58" s="162">
        <v>86400</v>
      </c>
      <c r="AX58" s="162">
        <v>259200</v>
      </c>
      <c r="AY58" s="162">
        <v>604800</v>
      </c>
      <c r="AZ58" s="53"/>
      <c r="BA58" s="53"/>
      <c r="BB58" s="4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1"/>
      <c r="CS58" s="1"/>
      <c r="CT58" s="1"/>
      <c r="CU58" s="1"/>
    </row>
    <row r="59" spans="1:99" s="13" customFormat="1" ht="12" customHeight="1" x14ac:dyDescent="0.2">
      <c r="A59" s="65">
        <v>43903</v>
      </c>
      <c r="B59" s="1" t="s">
        <v>473</v>
      </c>
      <c r="C59" s="1" t="s">
        <v>474</v>
      </c>
      <c r="D59" s="60">
        <v>2020</v>
      </c>
      <c r="E59" s="76">
        <v>3</v>
      </c>
      <c r="F59" s="60">
        <v>96</v>
      </c>
      <c r="G59" s="60">
        <v>24</v>
      </c>
      <c r="H59" s="60"/>
      <c r="I59" s="60" t="s">
        <v>478</v>
      </c>
      <c r="J59" s="60" t="s">
        <v>475</v>
      </c>
      <c r="K59" s="60">
        <f>IF(J59="syllables",1,IF(J59="trigrams",2,IF(J59="strings",3,IF(J59="visual array",4,IF(J59="characters",5,IF(J59="letters",6,IF(J59="free forms",7,IF(J59="odors",8,IF(J59="words",9,IF(J59="pictures",10,IF(J59="object pictures",11,IF(J59="faces",12,IF(J59="names",13,IF(J59="idioms",14,IF(J59="grades",15,IF(J59="syllable-digit pairs",16,IF(J59="trigram-word pairs",17,IF(J59="word-digit pairs",18,IF(J59="English-Swahili pairs",19,IF(J59="spatial position",20,IF(J59="word pairs",21,IF(J59="word triads",22,IF(J59="generated words",23,IF(J59="word definition pairs",24,IF(J59="math problems",25,IF(J59="famous faces",26,IF(J59="famous names",27,IF(J59="famous voices",28,IF(J59="television programs",29,IF(J59="race horses",30,IF(J59="new vocabulary",31,IF(J59="sentences",32,IF(J59="concepts",33,IF(J59="ad slides",34,IF(J59="scenes",35,IF(J59="famous scenes",36,IF(J59="poems",37,IF(J59="walk",38,IF(J59="faces and events",39,IF(J59="events and names",40,IF(J59="flashbulb",41,IF(J59="stories",42,IF(J59="course material",43,IF(J59="autobiographical",44,IF(J59="novels",45,IF(J59="public events",46,"99"))))))))))))))))))))))))))))))))))))))))))))))</f>
        <v>32</v>
      </c>
      <c r="L59" s="60">
        <f>IF(J59="syllables",1,IF(J59="trigrams",1,IF(J59="strings",1,IF(J59="visual array",1,IF(J59="characters",1,IF(J59="letters",1,IF(J59="free forms",1,IF(J59="odors",2,IF(J59="words",2,IF(J59="pictures",2,IF(J59="object pictures",2,IF(J59="faces",2,IF(J59="names",2,IF(J59="idioms","2",IF(J59="grades",2,IF(J59="syllable-digit pairs",3,IF(J59="trigram-word pairs",3,IF(J59="word-digit pairs",3,IF(J59="English-Swahili pairs",3,IF(J59="spatial position",3,IF(J59="word pairs",4,IF(J59="word triads",4,IF(J59="generated words",4,IF(J59="word definition pairs",4,IF(J59="math problems",4,IF(J59="famous faces",4,IF(J59="famous names",4,IF(J59="famous voices",4,IF(J59="television programs",4,IF(J59="race horses",4,IF(J59="new vocabulary",4,IF(J59="sentences",5,IF(J59="concepts",5,IF(J59="ad slides",5,IF(J59="scenes",5,IF(J59="famous scenes",5,IF(J59="poems",6,IF(J59="walk",6,IF(J59="faces and events",6,IF(J59="events and names",6,IF(J59="flashbulb",7,IF(J59="stories",7,IF(J59="course material",7,IF(J59="autobiographical",7,IF(J59="novels",7,IF(J59="public events",7,"99"))))))))))))))))))))))))))))))))))))))))))))))</f>
        <v>5</v>
      </c>
      <c r="M59" s="60">
        <v>0</v>
      </c>
      <c r="N59" s="61">
        <v>1</v>
      </c>
      <c r="O59" s="60">
        <v>0</v>
      </c>
      <c r="P59" s="60"/>
      <c r="Q59" s="60" t="s">
        <v>174</v>
      </c>
      <c r="R59" s="60">
        <f>IF(Q59="Free Recall",1,IF(Q59="Cued Recall",2,IF(Q59="Recognition",3,IF(Q59="Multiple Choice",4,IF(Q59="Savings",5,IF(Q59="Stem Completion",6,IF(Q59="Fragment Completion",7,IF(Q59="anagram solution",8,IF(Q59="Matching",9,IF(Q59="Problem Solving",10,"99"))))))))))</f>
        <v>1</v>
      </c>
      <c r="S59" s="62" t="s">
        <v>49</v>
      </c>
      <c r="T59" s="60" t="s">
        <v>261</v>
      </c>
      <c r="U59" s="60">
        <f>IF(T59="within",1,0)</f>
        <v>0</v>
      </c>
      <c r="V59" s="60">
        <v>18</v>
      </c>
      <c r="W59" s="60">
        <f>F59*V59</f>
        <v>1728</v>
      </c>
      <c r="X59" s="60">
        <v>4</v>
      </c>
      <c r="Y59" s="76">
        <f>AV58</f>
        <v>60</v>
      </c>
      <c r="Z59" s="60" t="s">
        <v>97</v>
      </c>
      <c r="AA59" s="60">
        <v>604800</v>
      </c>
      <c r="AB59" s="60" t="str">
        <f>IF(AA59&lt;60,"1",IF(AA59&lt;=43200,"2",IF(AA59&lt;=777600,"3","4")))</f>
        <v>3</v>
      </c>
      <c r="AC59" s="56">
        <f>AVERAGE(AV58:DA58)</f>
        <v>237615</v>
      </c>
      <c r="AD59" s="60" t="str">
        <f>IF(AC59&lt;60,"1",IF(AC59&lt;=43200,"2",IF(AC59&lt;=777600,"3","4")))</f>
        <v>3</v>
      </c>
      <c r="AE59" s="76">
        <f>AA59-Y59</f>
        <v>604740</v>
      </c>
      <c r="AF59" s="80">
        <f>AV59</f>
        <v>0.49305555555555564</v>
      </c>
      <c r="AG59" s="56">
        <f>((AW59-AV59)+(AX59-AW59)+(AY59-AX59))/3</f>
        <v>-0.14660493827160498</v>
      </c>
      <c r="AH59" s="4"/>
      <c r="AI59" s="56">
        <f>RSQ(AV59:AY59,AV58:AY58)</f>
        <v>0.58236952085760307</v>
      </c>
      <c r="AJ59" s="109">
        <f>SLOPE(AV59:AY59,AV58:AY58)</f>
        <v>-5.7753418087540377E-7</v>
      </c>
      <c r="AK59" s="56">
        <f>INTERCEPT(AV59:AY59,AV58:AY58)</f>
        <v>0.33919837698130162</v>
      </c>
      <c r="AL59" s="56">
        <f>INDEX(LINEST(LN(AV59:AY59),LN(AV58:AY58),TRUE,TRUE),3,1)</f>
        <v>0.87016572029762285</v>
      </c>
      <c r="AM59" s="56">
        <f>INDEX(LINEST(LN(AV59:AY59),LN(AV58:AY58)),1)</f>
        <v>-0.21977134839840412</v>
      </c>
      <c r="AN59" s="56">
        <f>EXP(INDEX(LINEST(LN(AV59:AY59),LN(AV58:AY58)),1,2))</f>
        <v>1.3380287950102689</v>
      </c>
      <c r="AO59" s="82">
        <f>INDEX(LINEST((AV59:AY59),LN(AV58:AY58),TRUE,TRUE),3,1)</f>
        <v>0.98610167708558449</v>
      </c>
      <c r="AP59" s="82">
        <f>INDEX(LINEST((AV59:AY59),LN(AV58:AY58)),1)</f>
        <v>-4.7634470943780809E-2</v>
      </c>
      <c r="AQ59" s="83">
        <f>INDEX(LINEST(LN(AV59:AY59),SQRT(AV58:AY58),TRUE,TRUE),3,1)</f>
        <v>0.9621575341843891</v>
      </c>
      <c r="AR59" s="116">
        <f>INDEX(LINEST(LN(AV59:AY59),SQRT((AV58:AY58))),1)</f>
        <v>-2.9873634598378907E-3</v>
      </c>
      <c r="AS59" s="84">
        <f>INDEX(LINEST(1/(AV59:AY59),1/(SQRT(AV58:AY58)),TRUE,TRUE),3,1)</f>
        <v>0.48708424928868316</v>
      </c>
      <c r="AT59" s="84">
        <f>INDEX(LINEST(1/(AV59:AY59),1/SQRT(AV58:AY58)),1)</f>
        <v>-83.114644347364973</v>
      </c>
      <c r="AU59" s="3"/>
      <c r="AV59" s="163">
        <v>0.49305555555555564</v>
      </c>
      <c r="AW59" s="163">
        <v>0.1851851851851852</v>
      </c>
      <c r="AX59" s="163">
        <v>7.6388888888888881E-2</v>
      </c>
      <c r="AY59" s="163">
        <v>5.3240740740740748E-2</v>
      </c>
      <c r="AZ59" s="53"/>
      <c r="BA59" s="53"/>
      <c r="BB59" s="4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1"/>
      <c r="CS59" s="1"/>
      <c r="CT59" s="1"/>
      <c r="CU59" s="1"/>
    </row>
    <row r="60" spans="1:99" s="13" customFormat="1" ht="12" customHeight="1" x14ac:dyDescent="0.2">
      <c r="A60" s="65">
        <v>43903</v>
      </c>
      <c r="D60" s="61"/>
      <c r="E60" s="76"/>
      <c r="F60" s="60"/>
      <c r="G60" s="60"/>
      <c r="H60" s="60"/>
      <c r="I60" s="60"/>
      <c r="J60" s="60"/>
      <c r="K60" s="64"/>
      <c r="L60" s="64"/>
      <c r="M60" s="60"/>
      <c r="N60" s="61"/>
      <c r="O60" s="60"/>
      <c r="P60" s="60"/>
      <c r="Q60" s="60"/>
      <c r="R60" s="60"/>
      <c r="S60" s="60"/>
      <c r="T60" s="60"/>
      <c r="U60" s="60"/>
      <c r="V60" s="60"/>
      <c r="W60" s="60"/>
      <c r="X60" s="60"/>
      <c r="Y60" s="76"/>
      <c r="Z60" s="60"/>
      <c r="AA60" s="60"/>
      <c r="AB60" s="60"/>
      <c r="AC60" s="56"/>
      <c r="AD60" s="60"/>
      <c r="AE60" s="60"/>
      <c r="AF60" s="80"/>
      <c r="AG60" s="56"/>
      <c r="AH60" s="4"/>
      <c r="AI60" s="56"/>
      <c r="AJ60" s="109"/>
      <c r="AK60" s="56"/>
      <c r="AL60" s="56"/>
      <c r="AM60" s="56"/>
      <c r="AN60" s="56"/>
      <c r="AO60" s="82"/>
      <c r="AP60" s="82"/>
      <c r="AQ60" s="83"/>
      <c r="AR60" s="116"/>
      <c r="AS60" s="84"/>
      <c r="AT60" s="84"/>
      <c r="AU60" s="3"/>
      <c r="AV60" s="162">
        <v>60</v>
      </c>
      <c r="AW60" s="162">
        <v>86400</v>
      </c>
      <c r="AX60" s="162">
        <v>259200</v>
      </c>
      <c r="AY60" s="162">
        <v>604800</v>
      </c>
      <c r="AZ60" s="53"/>
      <c r="BA60" s="53"/>
      <c r="BB60" s="4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1"/>
      <c r="CS60" s="1"/>
      <c r="CT60" s="1"/>
      <c r="CU60" s="1"/>
    </row>
    <row r="61" spans="1:99" s="13" customFormat="1" ht="12" customHeight="1" x14ac:dyDescent="0.2">
      <c r="A61" s="65">
        <v>43903</v>
      </c>
      <c r="B61" s="1" t="s">
        <v>473</v>
      </c>
      <c r="C61" s="1" t="s">
        <v>474</v>
      </c>
      <c r="D61" s="60">
        <v>2020</v>
      </c>
      <c r="E61" s="76">
        <v>3</v>
      </c>
      <c r="F61" s="60">
        <v>96</v>
      </c>
      <c r="G61" s="60">
        <v>24</v>
      </c>
      <c r="H61" s="60"/>
      <c r="I61" s="60" t="s">
        <v>477</v>
      </c>
      <c r="J61" s="60" t="s">
        <v>475</v>
      </c>
      <c r="K61" s="60">
        <f>IF(J61="syllables",1,IF(J61="trigrams",2,IF(J61="strings",3,IF(J61="visual array",4,IF(J61="characters",5,IF(J61="letters",6,IF(J61="free forms",7,IF(J61="odors",8,IF(J61="words",9,IF(J61="pictures",10,IF(J61="object pictures",11,IF(J61="faces",12,IF(J61="names",13,IF(J61="idioms",14,IF(J61="grades",15,IF(J61="syllable-digit pairs",16,IF(J61="trigram-word pairs",17,IF(J61="word-digit pairs",18,IF(J61="English-Swahili pairs",19,IF(J61="spatial position",20,IF(J61="word pairs",21,IF(J61="word triads",22,IF(J61="generated words",23,IF(J61="word definition pairs",24,IF(J61="math problems",25,IF(J61="famous faces",26,IF(J61="famous names",27,IF(J61="famous voices",28,IF(J61="television programs",29,IF(J61="race horses",30,IF(J61="new vocabulary",31,IF(J61="sentences",32,IF(J61="concepts",33,IF(J61="ad slides",34,IF(J61="scenes",35,IF(J61="famous scenes",36,IF(J61="poems",37,IF(J61="walk",38,IF(J61="faces and events",39,IF(J61="events and names",40,IF(J61="flashbulb",41,IF(J61="stories",42,IF(J61="course material",43,IF(J61="autobiographical",44,IF(J61="novels",45,IF(J61="public events",46,"99"))))))))))))))))))))))))))))))))))))))))))))))</f>
        <v>32</v>
      </c>
      <c r="L61" s="60">
        <f>IF(J61="syllables",1,IF(J61="trigrams",1,IF(J61="strings",1,IF(J61="visual array",1,IF(J61="characters",1,IF(J61="letters",1,IF(J61="free forms",1,IF(J61="odors",2,IF(J61="words",2,IF(J61="pictures",2,IF(J61="object pictures",2,IF(J61="faces",2,IF(J61="names",2,IF(J61="idioms","2",IF(J61="grades",2,IF(J61="syllable-digit pairs",3,IF(J61="trigram-word pairs",3,IF(J61="word-digit pairs",3,IF(J61="English-Swahili pairs",3,IF(J61="spatial position",3,IF(J61="word pairs",4,IF(J61="word triads",4,IF(J61="generated words",4,IF(J61="word definition pairs",4,IF(J61="math problems",4,IF(J61="famous faces",4,IF(J61="famous names",4,IF(J61="famous voices",4,IF(J61="television programs",4,IF(J61="race horses",4,IF(J61="new vocabulary",4,IF(J61="sentences",5,IF(J61="concepts",5,IF(J61="ad slides",5,IF(J61="scenes",5,IF(J61="famous scenes",5,IF(J61="poems",6,IF(J61="walk",6,IF(J61="faces and events",6,IF(J61="events and names",6,IF(J61="flashbulb",7,IF(J61="stories",7,IF(J61="course material",7,IF(J61="autobiographical",7,IF(J61="novels",7,IF(J61="public events",7,"99"))))))))))))))))))))))))))))))))))))))))))))))</f>
        <v>5</v>
      </c>
      <c r="M61" s="60">
        <v>0</v>
      </c>
      <c r="N61" s="61">
        <v>2</v>
      </c>
      <c r="O61" s="60">
        <v>0</v>
      </c>
      <c r="P61" s="60"/>
      <c r="Q61" s="60" t="s">
        <v>34</v>
      </c>
      <c r="R61" s="60">
        <f>IF(Q61="Free Recall",1,IF(Q61="Cued Recall",2,IF(Q61="Recognition",3,IF(Q61="Multiple Choice",4,IF(Q61="Savings",5,IF(Q61="Stem Completion",6,IF(Q61="Fragment Completion",7,IF(Q61="anagram solution",8,IF(Q61="Matching",9,IF(Q61="Problem Solving",10,"99"))))))))))</f>
        <v>3</v>
      </c>
      <c r="S61" s="60" t="s">
        <v>15</v>
      </c>
      <c r="T61" s="60" t="s">
        <v>261</v>
      </c>
      <c r="U61" s="60">
        <f>IF(T61="within",1,0)</f>
        <v>0</v>
      </c>
      <c r="V61" s="60">
        <v>18</v>
      </c>
      <c r="W61" s="60">
        <f>F61*V61</f>
        <v>1728</v>
      </c>
      <c r="X61" s="60">
        <v>4</v>
      </c>
      <c r="Y61" s="76">
        <f>AV60</f>
        <v>60</v>
      </c>
      <c r="Z61" s="60" t="s">
        <v>97</v>
      </c>
      <c r="AA61" s="60">
        <v>604800</v>
      </c>
      <c r="AB61" s="60" t="str">
        <f>IF(AA61&lt;60,"1",IF(AA61&lt;=43200,"2",IF(AA61&lt;=777600,"3","4")))</f>
        <v>3</v>
      </c>
      <c r="AC61" s="56">
        <f>AVERAGE(AV60:DA60)</f>
        <v>237615</v>
      </c>
      <c r="AD61" s="60" t="str">
        <f>IF(AC61&lt;60,"1",IF(AC61&lt;=43200,"2",IF(AC61&lt;=777600,"3","4")))</f>
        <v>3</v>
      </c>
      <c r="AE61" s="76">
        <f>AA61-Y61</f>
        <v>604740</v>
      </c>
      <c r="AF61" s="80">
        <f>AV61</f>
        <v>0.81018518518518512</v>
      </c>
      <c r="AG61" s="56">
        <f>((AW61-AV61)+(AX61-AW61)+(AY61-AX61))/3</f>
        <v>-6.4043209876543175E-2</v>
      </c>
      <c r="AH61" s="4"/>
      <c r="AI61" s="56">
        <f>RSQ(AV61:AY61,AV60:AY60)</f>
        <v>0.71502775591513534</v>
      </c>
      <c r="AJ61" s="109">
        <f>SLOPE(AV61:AY61,AV60:AY60)</f>
        <v>-2.5277816930513689E-7</v>
      </c>
      <c r="AK61" s="56">
        <f>INTERCEPT(AV61:AY61,AV60:AY60)</f>
        <v>0.76087406988462525</v>
      </c>
      <c r="AL61" s="56">
        <f>INDEX(LINEST(LN(AV61:AY61),LN(AV60:AY60),TRUE,TRUE),3,1)</f>
        <v>0.89221662518285438</v>
      </c>
      <c r="AM61" s="56">
        <f>INDEX(LINEST(LN(AV61:AY61),LN(AV60:AY60)),1)</f>
        <v>-2.5025125375607447E-2</v>
      </c>
      <c r="AN61" s="56">
        <f>EXP(INDEX(LINEST(LN(AV61:AY61),LN(AV60:AY60)),1,2))</f>
        <v>0.90279162234221189</v>
      </c>
      <c r="AO61" s="82">
        <f>INDEX(LINEST((AV61:AY61),LN(AV60:AY60),TRUE,TRUE),3,1)</f>
        <v>0.91584094917251568</v>
      </c>
      <c r="AP61" s="82">
        <f>INDEX(LINEST((AV61:AY61),LN(AV60:AY60)),1)</f>
        <v>-1.8133025249210854E-2</v>
      </c>
      <c r="AQ61" s="83">
        <f>INDEX(LINEST(LN(AV61:AY61),SQRT(AV60:AY60),TRUE,TRUE),3,1)</f>
        <v>0.89800024273816903</v>
      </c>
      <c r="AR61" s="116">
        <f>INDEX(LINEST(LN(AV61:AY61),SQRT((AV60:AY60))),1)</f>
        <v>-3.2454447327495792E-4</v>
      </c>
      <c r="AS61" s="84">
        <f>INDEX(LINEST(1/(AV61:AY61),1/(SQRT(AV60:AY60)),TRUE,TRUE),3,1)</f>
        <v>0.7685969271977896</v>
      </c>
      <c r="AT61" s="84">
        <f>INDEX(LINEST(1/(AV61:AY61),1/SQRT(AV60:AY60)),1)</f>
        <v>-2.1769844261487576</v>
      </c>
      <c r="AU61" s="3"/>
      <c r="AV61" s="163">
        <v>0.81018518518518512</v>
      </c>
      <c r="AW61" s="163">
        <v>0.68518518518518512</v>
      </c>
      <c r="AX61" s="163">
        <v>0.68981481481481477</v>
      </c>
      <c r="AY61" s="163">
        <v>0.61805555555555558</v>
      </c>
      <c r="AZ61" s="53"/>
      <c r="BA61" s="53"/>
      <c r="BB61" s="4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1"/>
      <c r="CS61" s="1"/>
      <c r="CT61" s="1"/>
      <c r="CU61" s="1"/>
    </row>
    <row r="62" spans="1:99" s="13" customFormat="1" ht="12" customHeight="1" x14ac:dyDescent="0.2">
      <c r="A62" s="65">
        <v>43903</v>
      </c>
      <c r="D62" s="61"/>
      <c r="E62" s="76"/>
      <c r="F62" s="60"/>
      <c r="G62" s="60"/>
      <c r="H62" s="60"/>
      <c r="I62" s="60"/>
      <c r="J62" s="60"/>
      <c r="K62" s="64"/>
      <c r="L62" s="64"/>
      <c r="M62" s="60"/>
      <c r="N62" s="61"/>
      <c r="O62" s="60"/>
      <c r="P62" s="60"/>
      <c r="Q62" s="60"/>
      <c r="R62" s="60"/>
      <c r="S62" s="60"/>
      <c r="T62" s="60"/>
      <c r="U62" s="60"/>
      <c r="V62" s="60"/>
      <c r="W62" s="60"/>
      <c r="X62" s="60"/>
      <c r="Y62" s="76"/>
      <c r="Z62" s="60"/>
      <c r="AA62" s="60"/>
      <c r="AB62" s="60"/>
      <c r="AC62" s="56"/>
      <c r="AD62" s="60"/>
      <c r="AE62" s="60"/>
      <c r="AF62" s="80"/>
      <c r="AG62" s="56"/>
      <c r="AH62" s="4"/>
      <c r="AI62" s="56"/>
      <c r="AJ62" s="109"/>
      <c r="AK62" s="56"/>
      <c r="AL62" s="56"/>
      <c r="AM62" s="56"/>
      <c r="AN62" s="56"/>
      <c r="AO62" s="82"/>
      <c r="AP62" s="82"/>
      <c r="AQ62" s="83"/>
      <c r="AR62" s="116"/>
      <c r="AS62" s="84"/>
      <c r="AT62" s="84"/>
      <c r="AU62" s="3"/>
      <c r="AV62" s="162">
        <v>60</v>
      </c>
      <c r="AW62" s="162">
        <v>86400</v>
      </c>
      <c r="AX62" s="162">
        <v>259200</v>
      </c>
      <c r="AY62" s="162">
        <v>604800</v>
      </c>
      <c r="AZ62" s="53"/>
      <c r="BA62" s="53"/>
      <c r="BB62" s="43"/>
      <c r="BC62" s="53"/>
      <c r="BD62" s="53"/>
      <c r="BE62" s="53"/>
      <c r="BF62" s="53"/>
      <c r="BG62" s="53"/>
      <c r="BH62" s="53"/>
      <c r="BI62" s="53"/>
      <c r="BJ62" s="53"/>
      <c r="BK62" s="53"/>
      <c r="BL62" s="53"/>
      <c r="BM62" s="53"/>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53"/>
      <c r="CO62" s="53"/>
      <c r="CP62" s="53"/>
      <c r="CQ62" s="53"/>
      <c r="CR62" s="1"/>
      <c r="CS62" s="1"/>
      <c r="CT62" s="1"/>
      <c r="CU62" s="1"/>
    </row>
    <row r="63" spans="1:99" s="13" customFormat="1" ht="12" customHeight="1" x14ac:dyDescent="0.2">
      <c r="A63" s="65">
        <v>43903</v>
      </c>
      <c r="B63" s="1" t="s">
        <v>473</v>
      </c>
      <c r="C63" s="1" t="s">
        <v>474</v>
      </c>
      <c r="D63" s="60">
        <v>2020</v>
      </c>
      <c r="E63" s="76">
        <v>3</v>
      </c>
      <c r="F63" s="60">
        <v>96</v>
      </c>
      <c r="G63" s="60">
        <v>24</v>
      </c>
      <c r="H63" s="60"/>
      <c r="I63" s="60" t="s">
        <v>478</v>
      </c>
      <c r="J63" s="60" t="s">
        <v>475</v>
      </c>
      <c r="K63" s="60">
        <f>IF(J63="syllables",1,IF(J63="trigrams",2,IF(J63="strings",3,IF(J63="visual array",4,IF(J63="characters",5,IF(J63="letters",6,IF(J63="free forms",7,IF(J63="odors",8,IF(J63="words",9,IF(J63="pictures",10,IF(J63="object pictures",11,IF(J63="faces",12,IF(J63="names",13,IF(J63="idioms",14,IF(J63="grades",15,IF(J63="syllable-digit pairs",16,IF(J63="trigram-word pairs",17,IF(J63="word-digit pairs",18,IF(J63="English-Swahili pairs",19,IF(J63="spatial position",20,IF(J63="word pairs",21,IF(J63="word triads",22,IF(J63="generated words",23,IF(J63="word definition pairs",24,IF(J63="math problems",25,IF(J63="famous faces",26,IF(J63="famous names",27,IF(J63="famous voices",28,IF(J63="television programs",29,IF(J63="race horses",30,IF(J63="new vocabulary",31,IF(J63="sentences",32,IF(J63="concepts",33,IF(J63="ad slides",34,IF(J63="scenes",35,IF(J63="famous scenes",36,IF(J63="poems",37,IF(J63="walk",38,IF(J63="faces and events",39,IF(J63="events and names",40,IF(J63="flashbulb",41,IF(J63="stories",42,IF(J63="course material",43,IF(J63="autobiographical",44,IF(J63="novels",45,IF(J63="public events",46,"99"))))))))))))))))))))))))))))))))))))))))))))))</f>
        <v>32</v>
      </c>
      <c r="L63" s="60">
        <f>IF(J63="syllables",1,IF(J63="trigrams",1,IF(J63="strings",1,IF(J63="visual array",1,IF(J63="characters",1,IF(J63="letters",1,IF(J63="free forms",1,IF(J63="odors",2,IF(J63="words",2,IF(J63="pictures",2,IF(J63="object pictures",2,IF(J63="faces",2,IF(J63="names",2,IF(J63="idioms","2",IF(J63="grades",2,IF(J63="syllable-digit pairs",3,IF(J63="trigram-word pairs",3,IF(J63="word-digit pairs",3,IF(J63="English-Swahili pairs",3,IF(J63="spatial position",3,IF(J63="word pairs",4,IF(J63="word triads",4,IF(J63="generated words",4,IF(J63="word definition pairs",4,IF(J63="math problems",4,IF(J63="famous faces",4,IF(J63="famous names",4,IF(J63="famous voices",4,IF(J63="television programs",4,IF(J63="race horses",4,IF(J63="new vocabulary",4,IF(J63="sentences",5,IF(J63="concepts",5,IF(J63="ad slides",5,IF(J63="scenes",5,IF(J63="famous scenes",5,IF(J63="poems",6,IF(J63="walk",6,IF(J63="faces and events",6,IF(J63="events and names",6,IF(J63="flashbulb",7,IF(J63="stories",7,IF(J63="course material",7,IF(J63="autobiographical",7,IF(J63="novels",7,IF(J63="public events",7,"99"))))))))))))))))))))))))))))))))))))))))))))))</f>
        <v>5</v>
      </c>
      <c r="M63" s="60">
        <v>0</v>
      </c>
      <c r="N63" s="61">
        <v>1</v>
      </c>
      <c r="O63" s="60">
        <v>0</v>
      </c>
      <c r="P63" s="60"/>
      <c r="Q63" s="60" t="s">
        <v>34</v>
      </c>
      <c r="R63" s="60">
        <f>IF(Q63="Free Recall",1,IF(Q63="Cued Recall",2,IF(Q63="Recognition",3,IF(Q63="Multiple Choice",4,IF(Q63="Savings",5,IF(Q63="Stem Completion",6,IF(Q63="Fragment Completion",7,IF(Q63="anagram solution",8,IF(Q63="Matching",9,IF(Q63="Problem Solving",10,"99"))))))))))</f>
        <v>3</v>
      </c>
      <c r="S63" s="60" t="s">
        <v>15</v>
      </c>
      <c r="T63" s="60" t="s">
        <v>261</v>
      </c>
      <c r="U63" s="60">
        <f>IF(T63="within",1,0)</f>
        <v>0</v>
      </c>
      <c r="V63" s="60">
        <v>18</v>
      </c>
      <c r="W63" s="60">
        <f>F63*V63</f>
        <v>1728</v>
      </c>
      <c r="X63" s="60">
        <v>4</v>
      </c>
      <c r="Y63" s="76">
        <f>AV62</f>
        <v>60</v>
      </c>
      <c r="Z63" s="60" t="s">
        <v>97</v>
      </c>
      <c r="AA63" s="60">
        <v>604800</v>
      </c>
      <c r="AB63" s="60" t="str">
        <f>IF(AA63&lt;60,"1",IF(AA63&lt;=43200,"2",IF(AA63&lt;=777600,"3","4")))</f>
        <v>3</v>
      </c>
      <c r="AC63" s="56">
        <f>AVERAGE(AV62:DA62)</f>
        <v>237615</v>
      </c>
      <c r="AD63" s="60" t="str">
        <f>IF(AC63&lt;60,"1",IF(AC63&lt;=43200,"2",IF(AC63&lt;=777600,"3","4")))</f>
        <v>3</v>
      </c>
      <c r="AE63" s="76">
        <f>AA63-Y63</f>
        <v>604740</v>
      </c>
      <c r="AF63" s="80">
        <f>AV63</f>
        <v>0.72685185185185197</v>
      </c>
      <c r="AG63" s="56">
        <f>((AW63-AV63)+(AX63-AW63)+(AY63-AX63))/3</f>
        <v>-8.2561728395061804E-2</v>
      </c>
      <c r="AH63" s="4"/>
      <c r="AI63" s="56">
        <f>RSQ(AV63:AY63,AV62:AY62)</f>
        <v>0.49696070812875476</v>
      </c>
      <c r="AJ63" s="109">
        <f>SLOPE(AV63:AY63,AV62:AY62)</f>
        <v>-3.3524294702958424E-7</v>
      </c>
      <c r="AK63" s="56">
        <f>INTERCEPT(AV63:AY63,AV62:AY62)</f>
        <v>0.63116338248806425</v>
      </c>
      <c r="AL63" s="56">
        <f>INDEX(LINEST(LN(AV63:AY63),LN(AV62:AY62),TRUE,TRUE),3,1)</f>
        <v>0.87300267354646544</v>
      </c>
      <c r="AM63" s="56">
        <f>INDEX(LINEST(LN(AV63:AY63),LN(AV62:AY62)),1)</f>
        <v>-4.8853910085287923E-2</v>
      </c>
      <c r="AN63" s="56">
        <f>EXP(INDEX(LINEST(LN(AV63:AY63),LN(AV62:AY62)),1,2))</f>
        <v>0.89562415530675088</v>
      </c>
      <c r="AO63" s="82">
        <f>INDEX(LINEST((AV63:AY63),LN(AV62:AY62),TRUE,TRUE),3,1)</f>
        <v>0.9133517922389166</v>
      </c>
      <c r="AP63" s="82">
        <f>INDEX(LINEST((AV63:AY63),LN(AV62:AY62)),1)</f>
        <v>-2.8807116527343322E-2</v>
      </c>
      <c r="AQ63" s="83">
        <f>INDEX(LINEST(LN(AV63:AY63),SQRT(AV62:AY62),TRUE,TRUE),3,1)</f>
        <v>0.75691971719156459</v>
      </c>
      <c r="AR63" s="116">
        <f>INDEX(LINEST(LN(AV63:AY63),SQRT((AV62:AY62))),1)</f>
        <v>-5.8804604809946403E-4</v>
      </c>
      <c r="AS63" s="84">
        <f>INDEX(LINEST(1/(AV63:AY63),1/(SQRT(AV62:AY62)),TRUE,TRUE),3,1)</f>
        <v>0.74554705073282379</v>
      </c>
      <c r="AT63" s="84">
        <f>INDEX(LINEST(1/(AV63:AY63),1/SQRT(AV62:AY62)),1)</f>
        <v>-5.3349975576195208</v>
      </c>
      <c r="AU63" s="3"/>
      <c r="AV63" s="163">
        <v>0.72685185185185197</v>
      </c>
      <c r="AW63" s="163">
        <v>0.56018518518518523</v>
      </c>
      <c r="AX63" s="163">
        <v>0.43981481481481483</v>
      </c>
      <c r="AY63" s="163">
        <v>0.47916666666666657</v>
      </c>
      <c r="AZ63" s="53"/>
      <c r="BA63" s="53"/>
      <c r="BB63" s="43"/>
      <c r="BC63" s="53"/>
      <c r="BD63" s="53"/>
      <c r="BE63" s="53"/>
      <c r="BF63" s="53"/>
      <c r="BG63" s="53"/>
      <c r="BH63" s="53"/>
      <c r="BI63" s="53"/>
      <c r="BJ63" s="53"/>
      <c r="BK63" s="53"/>
      <c r="BL63" s="53"/>
      <c r="BM63" s="53"/>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53"/>
      <c r="CO63" s="53"/>
      <c r="CP63" s="53"/>
      <c r="CQ63" s="53"/>
      <c r="CR63" s="1"/>
      <c r="CS63" s="1"/>
      <c r="CT63" s="1"/>
      <c r="CU63" s="1"/>
    </row>
    <row r="64" spans="1:99" s="13" customFormat="1" ht="12" customHeight="1" x14ac:dyDescent="0.2">
      <c r="A64" s="65">
        <v>43903</v>
      </c>
      <c r="D64" s="61"/>
      <c r="E64" s="76"/>
      <c r="F64" s="60"/>
      <c r="G64" s="60"/>
      <c r="H64" s="60"/>
      <c r="I64" s="60"/>
      <c r="J64" s="60"/>
      <c r="K64" s="64"/>
      <c r="L64" s="64"/>
      <c r="M64" s="60"/>
      <c r="N64" s="61"/>
      <c r="O64" s="60"/>
      <c r="P64" s="60"/>
      <c r="Q64" s="60"/>
      <c r="R64" s="60"/>
      <c r="S64" s="60"/>
      <c r="T64" s="60"/>
      <c r="U64" s="60"/>
      <c r="V64" s="60"/>
      <c r="W64" s="60"/>
      <c r="X64" s="60"/>
      <c r="Y64" s="76"/>
      <c r="Z64" s="60"/>
      <c r="AA64" s="60"/>
      <c r="AB64" s="60"/>
      <c r="AC64" s="56"/>
      <c r="AD64" s="60"/>
      <c r="AE64" s="60"/>
      <c r="AF64" s="80"/>
      <c r="AG64" s="56"/>
      <c r="AH64" s="4"/>
      <c r="AI64" s="56"/>
      <c r="AJ64" s="109"/>
      <c r="AK64" s="56"/>
      <c r="AL64" s="56"/>
      <c r="AM64" s="56"/>
      <c r="AN64" s="56"/>
      <c r="AO64" s="82"/>
      <c r="AP64" s="82"/>
      <c r="AQ64" s="83"/>
      <c r="AR64" s="116"/>
      <c r="AS64" s="84"/>
      <c r="AT64" s="84"/>
      <c r="AU64" s="3"/>
      <c r="AV64" s="25">
        <v>60</v>
      </c>
      <c r="AW64" s="25">
        <v>86400</v>
      </c>
      <c r="AX64" s="25">
        <v>259200</v>
      </c>
      <c r="AY64" s="25">
        <v>604800</v>
      </c>
      <c r="AZ64" s="53"/>
      <c r="BA64" s="53"/>
      <c r="BB64" s="43"/>
      <c r="BC64" s="53"/>
      <c r="BD64" s="53"/>
      <c r="BE64" s="53"/>
      <c r="BF64" s="53"/>
      <c r="BG64" s="53"/>
      <c r="BH64" s="53"/>
      <c r="BI64" s="53"/>
      <c r="BJ64" s="53"/>
      <c r="BK64" s="53"/>
      <c r="BL64" s="53"/>
      <c r="BM64" s="53"/>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53"/>
      <c r="CO64" s="53"/>
      <c r="CP64" s="53"/>
      <c r="CQ64" s="53"/>
      <c r="CR64" s="1"/>
      <c r="CS64" s="1"/>
      <c r="CT64" s="1"/>
      <c r="CU64" s="1"/>
    </row>
    <row r="65" spans="1:99" s="13" customFormat="1" ht="12" customHeight="1" x14ac:dyDescent="0.2">
      <c r="A65" s="65">
        <v>43903</v>
      </c>
      <c r="B65" s="1" t="s">
        <v>473</v>
      </c>
      <c r="C65" s="1" t="s">
        <v>474</v>
      </c>
      <c r="D65" s="60">
        <v>2020</v>
      </c>
      <c r="E65" s="76">
        <v>4</v>
      </c>
      <c r="F65" s="60">
        <v>96</v>
      </c>
      <c r="G65" s="60">
        <v>24</v>
      </c>
      <c r="H65" s="60"/>
      <c r="I65" s="60" t="s">
        <v>479</v>
      </c>
      <c r="J65" s="60" t="s">
        <v>16</v>
      </c>
      <c r="K65" s="60">
        <f>IF(J65="syllables",1,IF(J65="trigrams",2,IF(J65="strings",3,IF(J65="visual array",4,IF(J65="characters",5,IF(J65="letters",6,IF(J65="free forms",7,IF(J65="odors",8,IF(J65="words",9,IF(J65="pictures",10,IF(J65="object pictures",11,IF(J65="faces",12,IF(J65="names",13,IF(J65="idioms",14,IF(J65="grades",15,IF(J65="syllable-digit pairs",16,IF(J65="trigram-word pairs",17,IF(J65="word-digit pairs",18,IF(J65="English-Swahili pairs",19,IF(J65="spatial position",20,IF(J65="word pairs",21,IF(J65="word triads",22,IF(J65="generated words",23,IF(J65="word definition pairs",24,IF(J65="math problems",25,IF(J65="famous faces",26,IF(J65="famous names",27,IF(J65="famous voices",28,IF(J65="television programs",29,IF(J65="race horses",30,IF(J65="new vocabulary",31,IF(J65="sentences",32,IF(J65="concepts",33,IF(J65="ad slides",34,IF(J65="scenes",35,IF(J65="famous scenes",36,IF(J65="poems",37,IF(J65="walk",38,IF(J65="faces and events",39,IF(J65="events and names",40,IF(J65="flashbulb",41,IF(J65="stories",42,IF(J65="course material",43,IF(J65="autobiographical",44,IF(J65="novels",45,IF(J65="public events",46,"99"))))))))))))))))))))))))))))))))))))))))))))))</f>
        <v>9</v>
      </c>
      <c r="L65" s="60">
        <f>IF(J65="syllables",1,IF(J65="trigrams",1,IF(J65="strings",1,IF(J65="visual array",1,IF(J65="characters",1,IF(J65="letters",1,IF(J65="free forms",1,IF(J65="odors",2,IF(J65="words",2,IF(J65="pictures",2,IF(J65="object pictures",2,IF(J65="faces",2,IF(J65="names",2,IF(J65="idioms","2",IF(J65="grades",2,IF(J65="syllable-digit pairs",3,IF(J65="trigram-word pairs",3,IF(J65="word-digit pairs",3,IF(J65="English-Swahili pairs",3,IF(J65="spatial position",3,IF(J65="word pairs",4,IF(J65="word triads",4,IF(J65="generated words",4,IF(J65="word definition pairs",4,IF(J65="math problems",4,IF(J65="famous faces",4,IF(J65="famous names",4,IF(J65="famous voices",4,IF(J65="television programs",4,IF(J65="race horses",4,IF(J65="new vocabulary",4,IF(J65="sentences",5,IF(J65="concepts",5,IF(J65="ad slides",5,IF(J65="scenes",5,IF(J65="famous scenes",5,IF(J65="poems",6,IF(J65="walk",6,IF(J65="faces and events",6,IF(J65="events and names",6,IF(J65="flashbulb",7,IF(J65="stories",7,IF(J65="course material",7,IF(J65="autobiographical",7,IF(J65="novels",7,IF(J65="public events",7,"99"))))))))))))))))))))))))))))))))))))))))))))))</f>
        <v>2</v>
      </c>
      <c r="M65" s="60">
        <v>0</v>
      </c>
      <c r="N65" s="61">
        <v>1</v>
      </c>
      <c r="O65" s="60">
        <v>0</v>
      </c>
      <c r="P65" s="60"/>
      <c r="Q65" s="60" t="s">
        <v>174</v>
      </c>
      <c r="R65" s="60">
        <f>IF(Q65="Free Recall",1,IF(Q65="Cued Recall",2,IF(Q65="Recognition",3,IF(Q65="Multiple Choice",4,IF(Q65="Savings",5,IF(Q65="Stem Completion",6,IF(Q65="Fragment Completion",7,IF(Q65="anagram solution",8,IF(Q65="Matching",9,IF(Q65="Problem Solving",10,"99"))))))))))</f>
        <v>1</v>
      </c>
      <c r="S65" s="60" t="s">
        <v>49</v>
      </c>
      <c r="T65" s="60" t="s">
        <v>261</v>
      </c>
      <c r="U65" s="60">
        <f>IF(T65="within",1,0)</f>
        <v>0</v>
      </c>
      <c r="V65" s="60">
        <v>12</v>
      </c>
      <c r="W65" s="60">
        <f>F65*V65</f>
        <v>1152</v>
      </c>
      <c r="X65" s="60">
        <v>4</v>
      </c>
      <c r="Y65" s="76">
        <f>AV64</f>
        <v>60</v>
      </c>
      <c r="Z65" s="60" t="s">
        <v>97</v>
      </c>
      <c r="AA65" s="60">
        <v>604800</v>
      </c>
      <c r="AB65" s="60" t="str">
        <f>IF(AA65&lt;60,"1",IF(AA65&lt;=43200,"2",IF(AA65&lt;=777600,"3","4")))</f>
        <v>3</v>
      </c>
      <c r="AC65" s="56">
        <f>AVERAGE(AV64:DA64)</f>
        <v>237615</v>
      </c>
      <c r="AD65" s="60" t="str">
        <f>IF(AC65&lt;60,"1",IF(AC65&lt;=43200,"2",IF(AC65&lt;=777600,"3","4")))</f>
        <v>3</v>
      </c>
      <c r="AE65" s="76">
        <f>AA65-Y65</f>
        <v>604740</v>
      </c>
      <c r="AF65" s="80">
        <f>AV65</f>
        <v>0.76388888888888873</v>
      </c>
      <c r="AG65" s="56">
        <f>((AW65-AV65)+(AX65-AW65)+(AY65-AX65))/3</f>
        <v>-0.19212962962962962</v>
      </c>
      <c r="AH65" s="4"/>
      <c r="AI65" s="56">
        <f>RSQ(AV65:AY65,AV64:AY64)</f>
        <v>0.59663977629434162</v>
      </c>
      <c r="AJ65" s="109">
        <f>SLOPE(AV65:AY65,AV64:AY64)</f>
        <v>-7.2092847270108981E-7</v>
      </c>
      <c r="AK65" s="56">
        <f>INTERCEPT(AV65:AY65,AV64:AY64)</f>
        <v>0.57494925237420269</v>
      </c>
      <c r="AL65" s="56">
        <f>INDEX(LINEST(LN(AV65:AY65),LN(AV64:AY64),TRUE,TRUE),3,1)</f>
        <v>0.88273613879667445</v>
      </c>
      <c r="AM65" s="56">
        <f>INDEX(LINEST(LN(AV65:AY65),LN(AV64:AY64)),1)</f>
        <v>-0.12884593549700782</v>
      </c>
      <c r="AN65" s="56">
        <f>EXP(INDEX(LINEST(LN(AV65:AY65),LN(AV64:AY64)),1,2))</f>
        <v>1.3371845609719428</v>
      </c>
      <c r="AO65" s="82">
        <f>INDEX(LINEST((AV65:AY65),LN(AV64:AY64),TRUE,TRUE),3,1)</f>
        <v>0.97112648843817007</v>
      </c>
      <c r="AP65" s="82">
        <f>INDEX(LINEST((AV65:AY65),LN(AV64:AY64)),1)</f>
        <v>-5.8298328083112194E-2</v>
      </c>
      <c r="AQ65" s="83">
        <f>INDEX(LINEST(LN(AV65:AY65),SQRT(AV64:AY64),TRUE,TRUE),3,1)</f>
        <v>0.90326983083100076</v>
      </c>
      <c r="AR65" s="116">
        <f>INDEX(LINEST(LN(AV65:AY65),SQRT((AV64:AY64))),1)</f>
        <v>-1.6848409396423309E-3</v>
      </c>
      <c r="AS65" s="84">
        <f>INDEX(LINEST(1/(AV65:AY65),1/(SQRT(AV64:AY64)),TRUE,TRUE),3,1)</f>
        <v>0.57265051366190245</v>
      </c>
      <c r="AT65" s="84">
        <f>INDEX(LINEST(1/(AV65:AY65),1/SQRT(AV64:AY64)),1)</f>
        <v>-19.712271570273465</v>
      </c>
      <c r="AU65" s="3"/>
      <c r="AV65" s="53">
        <v>0.76388888888888873</v>
      </c>
      <c r="AW65" s="53">
        <v>0.32638888888888867</v>
      </c>
      <c r="AX65" s="53">
        <v>0.33680555555555541</v>
      </c>
      <c r="AY65" s="53">
        <v>0.18749999999999992</v>
      </c>
      <c r="AZ65" s="53"/>
      <c r="BA65" s="53"/>
      <c r="BB65" s="4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1"/>
      <c r="CS65" s="1"/>
      <c r="CT65" s="1"/>
      <c r="CU65" s="1"/>
    </row>
    <row r="66" spans="1:99" s="13" customFormat="1" ht="12" customHeight="1" x14ac:dyDescent="0.2">
      <c r="A66" s="65">
        <v>43903</v>
      </c>
      <c r="D66" s="61"/>
      <c r="E66" s="76"/>
      <c r="F66" s="60"/>
      <c r="G66" s="60"/>
      <c r="H66" s="60"/>
      <c r="I66" s="60"/>
      <c r="J66" s="60"/>
      <c r="K66" s="64"/>
      <c r="L66" s="64"/>
      <c r="M66" s="60"/>
      <c r="N66" s="61"/>
      <c r="O66" s="60"/>
      <c r="P66" s="60"/>
      <c r="Q66" s="60"/>
      <c r="R66" s="60"/>
      <c r="S66" s="60"/>
      <c r="T66" s="60"/>
      <c r="U66" s="60"/>
      <c r="V66" s="60"/>
      <c r="W66" s="60"/>
      <c r="X66" s="60"/>
      <c r="Y66" s="76"/>
      <c r="Z66" s="60"/>
      <c r="AA66" s="60"/>
      <c r="AB66" s="60"/>
      <c r="AC66" s="56"/>
      <c r="AD66" s="60"/>
      <c r="AE66" s="60"/>
      <c r="AF66" s="80"/>
      <c r="AG66" s="56"/>
      <c r="AH66" s="4"/>
      <c r="AI66" s="56"/>
      <c r="AJ66" s="109"/>
      <c r="AK66" s="56"/>
      <c r="AL66" s="56"/>
      <c r="AM66" s="56"/>
      <c r="AN66" s="56"/>
      <c r="AO66" s="82"/>
      <c r="AP66" s="82"/>
      <c r="AQ66" s="83"/>
      <c r="AR66" s="116"/>
      <c r="AS66" s="84"/>
      <c r="AT66" s="84"/>
      <c r="AU66" s="3"/>
      <c r="AV66" s="25">
        <v>60</v>
      </c>
      <c r="AW66" s="25">
        <v>86400</v>
      </c>
      <c r="AX66" s="25">
        <v>259200</v>
      </c>
      <c r="AY66" s="25">
        <v>604800</v>
      </c>
      <c r="AZ66" s="53"/>
      <c r="BA66" s="53"/>
      <c r="BB66" s="4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53"/>
      <c r="CD66" s="53"/>
      <c r="CE66" s="53"/>
      <c r="CF66" s="53"/>
      <c r="CG66" s="53"/>
      <c r="CH66" s="53"/>
      <c r="CI66" s="53"/>
      <c r="CJ66" s="53"/>
      <c r="CK66" s="53"/>
      <c r="CL66" s="53"/>
      <c r="CM66" s="53"/>
      <c r="CN66" s="53"/>
      <c r="CO66" s="53"/>
      <c r="CP66" s="53"/>
      <c r="CQ66" s="53"/>
      <c r="CR66" s="1"/>
      <c r="CS66" s="1"/>
      <c r="CT66" s="1"/>
      <c r="CU66" s="1"/>
    </row>
    <row r="67" spans="1:99" s="13" customFormat="1" ht="12" customHeight="1" x14ac:dyDescent="0.2">
      <c r="A67" s="65">
        <v>43903</v>
      </c>
      <c r="B67" s="1" t="s">
        <v>473</v>
      </c>
      <c r="C67" s="1" t="s">
        <v>474</v>
      </c>
      <c r="D67" s="60">
        <v>2020</v>
      </c>
      <c r="E67" s="76">
        <v>4</v>
      </c>
      <c r="F67" s="60">
        <v>96</v>
      </c>
      <c r="G67" s="60">
        <v>24</v>
      </c>
      <c r="H67" s="60"/>
      <c r="I67" s="60" t="s">
        <v>480</v>
      </c>
      <c r="J67" s="60" t="s">
        <v>16</v>
      </c>
      <c r="K67" s="60">
        <f>IF(J67="syllables",1,IF(J67="trigrams",2,IF(J67="strings",3,IF(J67="visual array",4,IF(J67="characters",5,IF(J67="letters",6,IF(J67="free forms",7,IF(J67="odors",8,IF(J67="words",9,IF(J67="pictures",10,IF(J67="object pictures",11,IF(J67="faces",12,IF(J67="names",13,IF(J67="idioms",14,IF(J67="grades",15,IF(J67="syllable-digit pairs",16,IF(J67="trigram-word pairs",17,IF(J67="word-digit pairs",18,IF(J67="English-Swahili pairs",19,IF(J67="spatial position",20,IF(J67="word pairs",21,IF(J67="word triads",22,IF(J67="generated words",23,IF(J67="word definition pairs",24,IF(J67="math problems",25,IF(J67="famous faces",26,IF(J67="famous names",27,IF(J67="famous voices",28,IF(J67="television programs",29,IF(J67="race horses",30,IF(J67="new vocabulary",31,IF(J67="sentences",32,IF(J67="concepts",33,IF(J67="ad slides",34,IF(J67="scenes",35,IF(J67="famous scenes",36,IF(J67="poems",37,IF(J67="walk",38,IF(J67="faces and events",39,IF(J67="events and names",40,IF(J67="flashbulb",41,IF(J67="stories",42,IF(J67="course material",43,IF(J67="autobiographical",44,IF(J67="novels",45,IF(J67="public events",46,"99"))))))))))))))))))))))))))))))))))))))))))))))</f>
        <v>9</v>
      </c>
      <c r="L67" s="60">
        <f>IF(J67="syllables",1,IF(J67="trigrams",1,IF(J67="strings",1,IF(J67="visual array",1,IF(J67="characters",1,IF(J67="letters",1,IF(J67="free forms",1,IF(J67="odors",2,IF(J67="words",2,IF(J67="pictures",2,IF(J67="object pictures",2,IF(J67="faces",2,IF(J67="names",2,IF(J67="idioms","2",IF(J67="grades",2,IF(J67="syllable-digit pairs",3,IF(J67="trigram-word pairs",3,IF(J67="word-digit pairs",3,IF(J67="English-Swahili pairs",3,IF(J67="spatial position",3,IF(J67="word pairs",4,IF(J67="word triads",4,IF(J67="generated words",4,IF(J67="word definition pairs",4,IF(J67="math problems",4,IF(J67="famous faces",4,IF(J67="famous names",4,IF(J67="famous voices",4,IF(J67="television programs",4,IF(J67="race horses",4,IF(J67="new vocabulary",4,IF(J67="sentences",5,IF(J67="concepts",5,IF(J67="ad slides",5,IF(J67="scenes",5,IF(J67="famous scenes",5,IF(J67="poems",6,IF(J67="walk",6,IF(J67="faces and events",6,IF(J67="events and names",6,IF(J67="flashbulb",7,IF(J67="stories",7,IF(J67="course material",7,IF(J67="autobiographical",7,IF(J67="novels",7,IF(J67="public events",7,"99"))))))))))))))))))))))))))))))))))))))))))))))</f>
        <v>2</v>
      </c>
      <c r="M67" s="60">
        <v>0</v>
      </c>
      <c r="N67" s="61">
        <v>2</v>
      </c>
      <c r="O67" s="60">
        <v>0</v>
      </c>
      <c r="P67" s="60"/>
      <c r="Q67" s="60" t="s">
        <v>174</v>
      </c>
      <c r="R67" s="60">
        <f>IF(Q67="Free Recall",1,IF(Q67="Cued Recall",2,IF(Q67="Recognition",3,IF(Q67="Multiple Choice",4,IF(Q67="Savings",5,IF(Q67="Stem Completion",6,IF(Q67="Fragment Completion",7,IF(Q67="anagram solution",8,IF(Q67="Matching",9,IF(Q67="Problem Solving",10,"99"))))))))))</f>
        <v>1</v>
      </c>
      <c r="S67" s="60" t="s">
        <v>49</v>
      </c>
      <c r="T67" s="60" t="s">
        <v>261</v>
      </c>
      <c r="U67" s="60">
        <f>IF(T67="within",1,0)</f>
        <v>0</v>
      </c>
      <c r="V67" s="60">
        <v>12</v>
      </c>
      <c r="W67" s="60">
        <f>F67*V67</f>
        <v>1152</v>
      </c>
      <c r="X67" s="60">
        <v>4</v>
      </c>
      <c r="Y67" s="76">
        <f>AV66</f>
        <v>60</v>
      </c>
      <c r="Z67" s="60" t="s">
        <v>97</v>
      </c>
      <c r="AA67" s="60">
        <v>604800</v>
      </c>
      <c r="AB67" s="60" t="str">
        <f>IF(AA67&lt;60,"1",IF(AA67&lt;=43200,"2",IF(AA67&lt;=777600,"3","4")))</f>
        <v>3</v>
      </c>
      <c r="AC67" s="56">
        <f>AVERAGE(AV66:DA66)</f>
        <v>237615</v>
      </c>
      <c r="AD67" s="60" t="str">
        <f>IF(AC67&lt;60,"1",IF(AC67&lt;=43200,"2",IF(AC67&lt;=777600,"3","4")))</f>
        <v>3</v>
      </c>
      <c r="AE67" s="76">
        <f>AA67-Y67</f>
        <v>604740</v>
      </c>
      <c r="AF67" s="80">
        <f>AV67</f>
        <v>0.89236111111111061</v>
      </c>
      <c r="AG67" s="56">
        <f>((AW67-AV67)+(AX67-AW67)+(AY67-AX67))/3</f>
        <v>-0.15856481481481469</v>
      </c>
      <c r="AH67" s="4"/>
      <c r="AI67" s="56">
        <f>RSQ(AV67:AY67,AV66:AY66)</f>
        <v>0.81940354618843814</v>
      </c>
      <c r="AJ67" s="109">
        <f>SLOPE(AV67:AY67,AV66:AY66)</f>
        <v>-6.7621899266475564E-7</v>
      </c>
      <c r="AK67" s="56">
        <f>INTERCEPT(AV67:AY67,AV66:AY66)</f>
        <v>0.79002005371981343</v>
      </c>
      <c r="AL67" s="56">
        <f>INDEX(LINEST(LN(AV67:AY67),LN(AV66:AY66),TRUE,TRUE),3,1)</f>
        <v>0.81914587865429922</v>
      </c>
      <c r="AM67" s="56">
        <f>INDEX(LINEST(LN(AV67:AY67),LN(AV66:AY66)),1)</f>
        <v>-6.7982734725501884E-2</v>
      </c>
      <c r="AN67" s="56">
        <f>EXP(INDEX(LINEST(LN(AV67:AY67),LN(AV66:AY66)),1,2))</f>
        <v>1.2216426051873168</v>
      </c>
      <c r="AO67" s="82">
        <f>INDEX(LINEST((AV67:AY67),LN(AV66:AY66),TRUE,TRUE),3,1)</f>
        <v>0.90343818274530041</v>
      </c>
      <c r="AP67" s="82">
        <f>INDEX(LINEST((AV67:AY67),LN(AV66:AY66)),1)</f>
        <v>-4.5005935044708449E-2</v>
      </c>
      <c r="AQ67" s="83">
        <f>INDEX(LINEST(LN(AV67:AY67),SQRT(AV66:AY66),TRUE,TRUE),3,1)</f>
        <v>0.99382443525416786</v>
      </c>
      <c r="AR67" s="116">
        <f>INDEX(LINEST(LN(AV67:AY67),SQRT((AV66:AY66))),1)</f>
        <v>-9.6798298948861251E-4</v>
      </c>
      <c r="AS67" s="84">
        <f>INDEX(LINEST(1/(AV67:AY67),1/(SQRT(AV66:AY66)),TRUE,TRUE),3,1)</f>
        <v>0.55634023554992096</v>
      </c>
      <c r="AT67" s="84">
        <f>INDEX(LINEST(1/(AV67:AY67),1/SQRT(AV66:AY66)),1)</f>
        <v>-6.2888660439183059</v>
      </c>
      <c r="AU67" s="3"/>
      <c r="AV67" s="53">
        <v>0.89236111111111061</v>
      </c>
      <c r="AW67" s="53">
        <v>0.64930555555555525</v>
      </c>
      <c r="AX67" s="53">
        <v>0.55902777777777735</v>
      </c>
      <c r="AY67" s="53">
        <v>0.41666666666666657</v>
      </c>
      <c r="AZ67" s="53"/>
      <c r="BA67" s="53"/>
      <c r="BB67" s="4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1"/>
      <c r="CS67" s="1"/>
      <c r="CT67" s="1"/>
      <c r="CU67" s="1"/>
    </row>
    <row r="68" spans="1:99" s="13" customFormat="1" ht="12" customHeight="1" x14ac:dyDescent="0.2">
      <c r="A68" s="65">
        <v>43903</v>
      </c>
      <c r="D68" s="61"/>
      <c r="E68" s="76"/>
      <c r="F68" s="60"/>
      <c r="G68" s="60"/>
      <c r="H68" s="60"/>
      <c r="I68" s="60"/>
      <c r="J68" s="60"/>
      <c r="K68" s="64"/>
      <c r="L68" s="64"/>
      <c r="M68" s="60"/>
      <c r="N68" s="61"/>
      <c r="O68" s="60"/>
      <c r="P68" s="60"/>
      <c r="Q68" s="60"/>
      <c r="R68" s="60"/>
      <c r="S68" s="60"/>
      <c r="T68" s="60"/>
      <c r="U68" s="60"/>
      <c r="V68" s="60"/>
      <c r="W68" s="60"/>
      <c r="X68" s="60"/>
      <c r="Y68" s="76"/>
      <c r="Z68" s="60"/>
      <c r="AA68" s="60"/>
      <c r="AB68" s="60"/>
      <c r="AC68" s="56"/>
      <c r="AD68" s="60"/>
      <c r="AE68" s="60"/>
      <c r="AF68" s="80"/>
      <c r="AG68" s="56"/>
      <c r="AH68" s="4"/>
      <c r="AI68" s="56"/>
      <c r="AJ68" s="109"/>
      <c r="AK68" s="56"/>
      <c r="AL68" s="56"/>
      <c r="AM68" s="56"/>
      <c r="AN68" s="56"/>
      <c r="AO68" s="82"/>
      <c r="AP68" s="82"/>
      <c r="AQ68" s="83"/>
      <c r="AR68" s="116"/>
      <c r="AS68" s="84"/>
      <c r="AT68" s="84"/>
      <c r="AU68" s="3"/>
      <c r="AV68" s="25">
        <v>60</v>
      </c>
      <c r="AW68" s="25">
        <v>86400</v>
      </c>
      <c r="AX68" s="25">
        <v>259200</v>
      </c>
      <c r="AY68" s="25">
        <v>604800</v>
      </c>
      <c r="AZ68" s="53"/>
      <c r="BA68" s="53"/>
      <c r="BB68" s="4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1"/>
      <c r="CS68" s="1"/>
      <c r="CT68" s="1"/>
      <c r="CU68" s="1"/>
    </row>
    <row r="69" spans="1:99" s="13" customFormat="1" ht="12" customHeight="1" x14ac:dyDescent="0.2">
      <c r="A69" s="65">
        <v>43903</v>
      </c>
      <c r="B69" s="1" t="s">
        <v>473</v>
      </c>
      <c r="C69" s="1" t="s">
        <v>474</v>
      </c>
      <c r="D69" s="60">
        <v>2020</v>
      </c>
      <c r="E69" s="76">
        <v>4</v>
      </c>
      <c r="F69" s="60">
        <v>96</v>
      </c>
      <c r="G69" s="60">
        <v>24</v>
      </c>
      <c r="H69" s="60"/>
      <c r="I69" s="60" t="s">
        <v>479</v>
      </c>
      <c r="J69" s="60" t="s">
        <v>16</v>
      </c>
      <c r="K69" s="60">
        <f>IF(J69="syllables",1,IF(J69="trigrams",2,IF(J69="strings",3,IF(J69="visual array",4,IF(J69="characters",5,IF(J69="letters",6,IF(J69="free forms",7,IF(J69="odors",8,IF(J69="words",9,IF(J69="pictures",10,IF(J69="object pictures",11,IF(J69="faces",12,IF(J69="names",13,IF(J69="idioms",14,IF(J69="grades",15,IF(J69="syllable-digit pairs",16,IF(J69="trigram-word pairs",17,IF(J69="word-digit pairs",18,IF(J69="English-Swahili pairs",19,IF(J69="spatial position",20,IF(J69="word pairs",21,IF(J69="word triads",22,IF(J69="generated words",23,IF(J69="word definition pairs",24,IF(J69="math problems",25,IF(J69="famous faces",26,IF(J69="famous names",27,IF(J69="famous voices",28,IF(J69="television programs",29,IF(J69="race horses",30,IF(J69="new vocabulary",31,IF(J69="sentences",32,IF(J69="concepts",33,IF(J69="ad slides",34,IF(J69="scenes",35,IF(J69="famous scenes",36,IF(J69="poems",37,IF(J69="walk",38,IF(J69="faces and events",39,IF(J69="events and names",40,IF(J69="flashbulb",41,IF(J69="stories",42,IF(J69="course material",43,IF(J69="autobiographical",44,IF(J69="novels",45,IF(J69="public events",46,"99"))))))))))))))))))))))))))))))))))))))))))))))</f>
        <v>9</v>
      </c>
      <c r="L69" s="60">
        <f>IF(J69="syllables",1,IF(J69="trigrams",1,IF(J69="strings",1,IF(J69="visual array",1,IF(J69="characters",1,IF(J69="letters",1,IF(J69="free forms",1,IF(J69="odors",2,IF(J69="words",2,IF(J69="pictures",2,IF(J69="object pictures",2,IF(J69="faces",2,IF(J69="names",2,IF(J69="idioms","2",IF(J69="grades",2,IF(J69="syllable-digit pairs",3,IF(J69="trigram-word pairs",3,IF(J69="word-digit pairs",3,IF(J69="English-Swahili pairs",3,IF(J69="spatial position",3,IF(J69="word pairs",4,IF(J69="word triads",4,IF(J69="generated words",4,IF(J69="word definition pairs",4,IF(J69="math problems",4,IF(J69="famous faces",4,IF(J69="famous names",4,IF(J69="famous voices",4,IF(J69="television programs",4,IF(J69="race horses",4,IF(J69="new vocabulary",4,IF(J69="sentences",5,IF(J69="concepts",5,IF(J69="ad slides",5,IF(J69="scenes",5,IF(J69="famous scenes",5,IF(J69="poems",6,IF(J69="walk",6,IF(J69="faces and events",6,IF(J69="events and names",6,IF(J69="flashbulb",7,IF(J69="stories",7,IF(J69="course material",7,IF(J69="autobiographical",7,IF(J69="novels",7,IF(J69="public events",7,"99"))))))))))))))))))))))))))))))))))))))))))))))</f>
        <v>2</v>
      </c>
      <c r="M69" s="60">
        <v>0</v>
      </c>
      <c r="N69" s="61">
        <v>1</v>
      </c>
      <c r="O69" s="60">
        <v>0</v>
      </c>
      <c r="P69" s="60"/>
      <c r="Q69" s="60" t="s">
        <v>34</v>
      </c>
      <c r="R69" s="60">
        <f>IF(Q69="Free Recall",1,IF(Q69="Cued Recall",2,IF(Q69="Recognition",3,IF(Q69="Multiple Choice",4,IF(Q69="Savings",5,IF(Q69="Stem Completion",6,IF(Q69="Fragment Completion",7,IF(Q69="anagram solution",8,IF(Q69="Matching",9,IF(Q69="Problem Solving",10,"99"))))))))))</f>
        <v>3</v>
      </c>
      <c r="S69" s="60" t="s">
        <v>15</v>
      </c>
      <c r="T69" s="60" t="s">
        <v>261</v>
      </c>
      <c r="U69" s="60">
        <f>IF(T69="within",1,0)</f>
        <v>0</v>
      </c>
      <c r="V69" s="60">
        <v>12</v>
      </c>
      <c r="W69" s="60">
        <f>F69*V69</f>
        <v>1152</v>
      </c>
      <c r="X69" s="60">
        <v>4</v>
      </c>
      <c r="Y69" s="76">
        <f>AV68</f>
        <v>60</v>
      </c>
      <c r="Z69" s="60" t="s">
        <v>97</v>
      </c>
      <c r="AA69" s="60">
        <v>604800</v>
      </c>
      <c r="AB69" s="60" t="str">
        <f>IF(AA69&lt;60,"1",IF(AA69&lt;=43200,"2",IF(AA69&lt;=777600,"3","4")))</f>
        <v>3</v>
      </c>
      <c r="AC69" s="56">
        <f>AVERAGE(AV68:DA68)</f>
        <v>237615</v>
      </c>
      <c r="AD69" s="60" t="str">
        <f>IF(AC69&lt;60,"1",IF(AC69&lt;=43200,"2",IF(AC69&lt;=777600,"3","4")))</f>
        <v>3</v>
      </c>
      <c r="AE69" s="76">
        <f>AA69-Y69</f>
        <v>604740</v>
      </c>
      <c r="AF69" s="80">
        <f>AV69</f>
        <v>0.96701388888888884</v>
      </c>
      <c r="AG69" s="56">
        <f>((AW69-AV69)+(AX69-AW69)+(AY69-AX69))/3</f>
        <v>-8.969907407407407E-2</v>
      </c>
      <c r="AH69" s="4"/>
      <c r="AI69" s="56">
        <f>RSQ(AV69:AY69,AV68:AY68)</f>
        <v>0.70031267963328336</v>
      </c>
      <c r="AJ69" s="109">
        <f>SLOPE(AV69:AY69,AV68:AY68)</f>
        <v>-3.4998733298452194E-7</v>
      </c>
      <c r="AK69" s="56">
        <f>INTERCEPT(AV69:AY69,AV68:AY68)</f>
        <v>0.89956849012711715</v>
      </c>
      <c r="AL69" s="56">
        <f>INDEX(LINEST(LN(AV69:AY69),LN(AV68:AY68),TRUE,TRUE),3,1)</f>
        <v>0.85023367760117496</v>
      </c>
      <c r="AM69" s="56">
        <f>INDEX(LINEST(LN(AV69:AY69),LN(AV68:AY68)),1)</f>
        <v>-2.9406470587592642E-2</v>
      </c>
      <c r="AN69" s="56">
        <f>EXP(INDEX(LINEST(LN(AV69:AY69),LN(AV68:AY68)),1,2))</f>
        <v>1.0979690003196363</v>
      </c>
      <c r="AO69" s="82">
        <f>INDEX(LINEST((AV69:AY69),LN(AV68:AY68),TRUE,TRUE),3,1)</f>
        <v>0.88253350143749498</v>
      </c>
      <c r="AP69" s="82">
        <f>INDEX(LINEST((AV69:AY69),LN(AV68:AY68)),1)</f>
        <v>-2.4903136847379721E-2</v>
      </c>
      <c r="AQ69" s="83">
        <f>INDEX(LINEST(LN(AV69:AY69),SQRT(AV68:AY68),TRUE,TRUE),3,1)</f>
        <v>0.86433556964974934</v>
      </c>
      <c r="AR69" s="116">
        <f>INDEX(LINEST(LN(AV69:AY69),SQRT((AV68:AY68))),1)</f>
        <v>-3.8327441433339606E-4</v>
      </c>
      <c r="AS69" s="84">
        <f>INDEX(LINEST(1/(AV69:AY69),1/(SQRT(AV68:AY68)),TRUE,TRUE),3,1)</f>
        <v>0.72099709148054791</v>
      </c>
      <c r="AT69" s="84">
        <f>INDEX(LINEST(1/(AV69:AY69),1/SQRT(AV68:AY68)),1)</f>
        <v>-2.1919268362683919</v>
      </c>
      <c r="AU69" s="3"/>
      <c r="AV69" s="53">
        <v>0.96701388888888884</v>
      </c>
      <c r="AW69" s="53">
        <v>0.78819444444444453</v>
      </c>
      <c r="AX69" s="53">
        <v>0.81249999999999989</v>
      </c>
      <c r="AY69" s="53">
        <v>0.69791666666666663</v>
      </c>
      <c r="AZ69" s="53"/>
      <c r="BA69" s="53"/>
      <c r="BB69" s="4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1"/>
      <c r="CS69" s="1"/>
      <c r="CT69" s="1"/>
      <c r="CU69" s="1"/>
    </row>
    <row r="70" spans="1:99" s="13" customFormat="1" ht="12" customHeight="1" x14ac:dyDescent="0.2">
      <c r="A70" s="65">
        <v>43903</v>
      </c>
      <c r="D70" s="61"/>
      <c r="E70" s="76"/>
      <c r="F70" s="60"/>
      <c r="G70" s="60"/>
      <c r="H70" s="60"/>
      <c r="I70" s="60"/>
      <c r="J70" s="60"/>
      <c r="K70" s="64"/>
      <c r="L70" s="64"/>
      <c r="M70" s="60"/>
      <c r="N70" s="61"/>
      <c r="O70" s="60"/>
      <c r="P70" s="60"/>
      <c r="Q70" s="60"/>
      <c r="R70" s="60"/>
      <c r="S70" s="60"/>
      <c r="T70" s="60"/>
      <c r="U70" s="60"/>
      <c r="V70" s="60"/>
      <c r="W70" s="60"/>
      <c r="X70" s="60"/>
      <c r="Y70" s="76"/>
      <c r="Z70" s="60"/>
      <c r="AA70" s="60"/>
      <c r="AB70" s="60"/>
      <c r="AC70" s="56"/>
      <c r="AD70" s="60"/>
      <c r="AE70" s="60"/>
      <c r="AF70" s="80"/>
      <c r="AG70" s="56"/>
      <c r="AH70" s="4"/>
      <c r="AI70" s="56"/>
      <c r="AJ70" s="109"/>
      <c r="AK70" s="56"/>
      <c r="AL70" s="56"/>
      <c r="AM70" s="56"/>
      <c r="AN70" s="56"/>
      <c r="AO70" s="82"/>
      <c r="AP70" s="82"/>
      <c r="AQ70" s="83"/>
      <c r="AR70" s="116"/>
      <c r="AS70" s="84"/>
      <c r="AT70" s="84"/>
      <c r="AU70" s="3"/>
      <c r="AV70" s="25">
        <v>60</v>
      </c>
      <c r="AW70" s="25">
        <v>86400</v>
      </c>
      <c r="AX70" s="25">
        <v>259200</v>
      </c>
      <c r="AY70" s="25">
        <v>604800</v>
      </c>
      <c r="AZ70" s="53"/>
      <c r="BA70" s="53"/>
      <c r="BB70" s="43"/>
      <c r="BC70" s="53"/>
      <c r="BD70" s="53"/>
      <c r="BE70" s="53"/>
      <c r="BF70" s="53"/>
      <c r="BG70" s="53"/>
      <c r="BH70" s="53"/>
      <c r="BI70" s="53"/>
      <c r="BJ70" s="53"/>
      <c r="BK70" s="53"/>
      <c r="BL70" s="53"/>
      <c r="BM70" s="53"/>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3"/>
      <c r="CQ70" s="53"/>
      <c r="CR70" s="1"/>
      <c r="CS70" s="1"/>
      <c r="CT70" s="1"/>
      <c r="CU70" s="1"/>
    </row>
    <row r="71" spans="1:99" s="13" customFormat="1" ht="12" customHeight="1" x14ac:dyDescent="0.2">
      <c r="A71" s="65">
        <v>43903</v>
      </c>
      <c r="B71" s="1" t="s">
        <v>473</v>
      </c>
      <c r="C71" s="1" t="s">
        <v>474</v>
      </c>
      <c r="D71" s="60">
        <v>2020</v>
      </c>
      <c r="E71" s="76">
        <v>4</v>
      </c>
      <c r="F71" s="60">
        <v>96</v>
      </c>
      <c r="G71" s="60">
        <v>24</v>
      </c>
      <c r="H71" s="60"/>
      <c r="I71" s="60" t="s">
        <v>480</v>
      </c>
      <c r="J71" s="60" t="s">
        <v>16</v>
      </c>
      <c r="K71" s="60">
        <f>IF(J71="syllables",1,IF(J71="trigrams",2,IF(J71="strings",3,IF(J71="visual array",4,IF(J71="characters",5,IF(J71="letters",6,IF(J71="free forms",7,IF(J71="odors",8,IF(J71="words",9,IF(J71="pictures",10,IF(J71="object pictures",11,IF(J71="faces",12,IF(J71="names",13,IF(J71="idioms",14,IF(J71="grades",15,IF(J71="syllable-digit pairs",16,IF(J71="trigram-word pairs",17,IF(J71="word-digit pairs",18,IF(J71="English-Swahili pairs",19,IF(J71="spatial position",20,IF(J71="word pairs",21,IF(J71="word triads",22,IF(J71="generated words",23,IF(J71="word definition pairs",24,IF(J71="math problems",25,IF(J71="famous faces",26,IF(J71="famous names",27,IF(J71="famous voices",28,IF(J71="television programs",29,IF(J71="race horses",30,IF(J71="new vocabulary",31,IF(J71="sentences",32,IF(J71="concepts",33,IF(J71="ad slides",34,IF(J71="scenes",35,IF(J71="famous scenes",36,IF(J71="poems",37,IF(J71="walk",38,IF(J71="faces and events",39,IF(J71="events and names",40,IF(J71="flashbulb",41,IF(J71="stories",42,IF(J71="course material",43,IF(J71="autobiographical",44,IF(J71="novels",45,IF(J71="public events",46,"99"))))))))))))))))))))))))))))))))))))))))))))))</f>
        <v>9</v>
      </c>
      <c r="L71" s="60">
        <f>IF(J71="syllables",1,IF(J71="trigrams",1,IF(J71="strings",1,IF(J71="visual array",1,IF(J71="characters",1,IF(J71="letters",1,IF(J71="free forms",1,IF(J71="odors",2,IF(J71="words",2,IF(J71="pictures",2,IF(J71="object pictures",2,IF(J71="faces",2,IF(J71="names",2,IF(J71="idioms","2",IF(J71="grades",2,IF(J71="syllable-digit pairs",3,IF(J71="trigram-word pairs",3,IF(J71="word-digit pairs",3,IF(J71="English-Swahili pairs",3,IF(J71="spatial position",3,IF(J71="word pairs",4,IF(J71="word triads",4,IF(J71="generated words",4,IF(J71="word definition pairs",4,IF(J71="math problems",4,IF(J71="famous faces",4,IF(J71="famous names",4,IF(J71="famous voices",4,IF(J71="television programs",4,IF(J71="race horses",4,IF(J71="new vocabulary",4,IF(J71="sentences",5,IF(J71="concepts",5,IF(J71="ad slides",5,IF(J71="scenes",5,IF(J71="famous scenes",5,IF(J71="poems",6,IF(J71="walk",6,IF(J71="faces and events",6,IF(J71="events and names",6,IF(J71="flashbulb",7,IF(J71="stories",7,IF(J71="course material",7,IF(J71="autobiographical",7,IF(J71="novels",7,IF(J71="public events",7,"99"))))))))))))))))))))))))))))))))))))))))))))))</f>
        <v>2</v>
      </c>
      <c r="M71" s="60">
        <v>0</v>
      </c>
      <c r="N71" s="61">
        <v>2</v>
      </c>
      <c r="O71" s="60">
        <v>0</v>
      </c>
      <c r="P71" s="60"/>
      <c r="Q71" s="60" t="s">
        <v>34</v>
      </c>
      <c r="R71" s="60">
        <f>IF(Q71="Free Recall",1,IF(Q71="Cued Recall",2,IF(Q71="Recognition",3,IF(Q71="Multiple Choice",4,IF(Q71="Savings",5,IF(Q71="Stem Completion",6,IF(Q71="Fragment Completion",7,IF(Q71="anagram solution",8,IF(Q71="Matching",9,IF(Q71="Problem Solving",10,"99"))))))))))</f>
        <v>3</v>
      </c>
      <c r="S71" s="60" t="s">
        <v>15</v>
      </c>
      <c r="T71" s="60" t="s">
        <v>261</v>
      </c>
      <c r="U71" s="60">
        <f>IF(T71="within",1,0)</f>
        <v>0</v>
      </c>
      <c r="V71" s="60">
        <v>12</v>
      </c>
      <c r="W71" s="60">
        <f>F71*V71</f>
        <v>1152</v>
      </c>
      <c r="X71" s="60">
        <v>4</v>
      </c>
      <c r="Y71" s="76">
        <f>AV70</f>
        <v>60</v>
      </c>
      <c r="Z71" s="60" t="s">
        <v>97</v>
      </c>
      <c r="AA71" s="60">
        <v>604800</v>
      </c>
      <c r="AB71" s="60" t="str">
        <f>IF(AA71&lt;60,"1",IF(AA71&lt;=43200,"2",IF(AA71&lt;=777600,"3","4")))</f>
        <v>3</v>
      </c>
      <c r="AC71" s="56">
        <f>AVERAGE(AV70:DA70)</f>
        <v>237615</v>
      </c>
      <c r="AD71" s="60" t="str">
        <f>IF(AC71&lt;60,"1",IF(AC71&lt;=43200,"2",IF(AC71&lt;=777600,"3","4")))</f>
        <v>3</v>
      </c>
      <c r="AE71" s="76">
        <f>AA71-Y71</f>
        <v>604740</v>
      </c>
      <c r="AF71" s="80">
        <f>AV71</f>
        <v>0.97048611111111083</v>
      </c>
      <c r="AG71" s="56">
        <f>((AW71-AV71)+(AX71-AW71)+(AY71-AX71))/3</f>
        <v>-4.918981481481477E-2</v>
      </c>
      <c r="AH71" s="4"/>
      <c r="AI71" s="56">
        <f>RSQ(AV71:AY71,AV70:AY70)</f>
        <v>0.95757591326843061</v>
      </c>
      <c r="AJ71" s="109">
        <f>SLOPE(AV71:AY71,AV70:AY70)</f>
        <v>-2.4218840488955639E-7</v>
      </c>
      <c r="AK71" s="56">
        <f>INTERCEPT(AV71:AY71,AV70:AY70)</f>
        <v>0.96119343116116518</v>
      </c>
      <c r="AL71" s="56">
        <f>INDEX(LINEST(LN(AV71:AY71),LN(AV70:AY70),TRUE,TRUE),3,1)</f>
        <v>0.62549888104207185</v>
      </c>
      <c r="AM71" s="56">
        <f>INDEX(LINEST(LN(AV71:AY71),LN(AV70:AY70)),1)</f>
        <v>-1.3867887696298507E-2</v>
      </c>
      <c r="AN71" s="56">
        <f>EXP(INDEX(LINEST(LN(AV71:AY71),LN(AV70:AY70)),1,2))</f>
        <v>1.0404130761055665</v>
      </c>
      <c r="AO71" s="82">
        <f>INDEX(LINEST((AV71:AY71),LN(AV70:AY70),TRUE,TRUE),3,1)</f>
        <v>0.64098717161533592</v>
      </c>
      <c r="AP71" s="82">
        <f>INDEX(LINEST((AV71:AY71),LN(AV70:AY70)),1)</f>
        <v>-1.2559534189612705E-2</v>
      </c>
      <c r="AQ71" s="83">
        <f>INDEX(LINEST(LN(AV71:AY71),SQRT(AV70:AY70),TRUE,TRUE),3,1)</f>
        <v>0.95847570184226971</v>
      </c>
      <c r="AR71" s="116">
        <f>INDEX(LINEST(LN(AV71:AY71),SQRT((AV70:AY70))),1)</f>
        <v>-2.2191286778815194E-4</v>
      </c>
      <c r="AS71" s="84">
        <f>INDEX(LINEST(1/(AV71:AY71),1/(SQRT(AV70:AY70)),TRUE,TRUE),3,1)</f>
        <v>0.43529264228392384</v>
      </c>
      <c r="AT71" s="84">
        <f>INDEX(LINEST(1/(AV71:AY71),1/SQRT(AV70:AY70)),1)</f>
        <v>-0.8621107507971012</v>
      </c>
      <c r="AU71" s="3"/>
      <c r="AV71" s="53">
        <v>0.97048611111111083</v>
      </c>
      <c r="AW71" s="53">
        <v>0.94270833333333348</v>
      </c>
      <c r="AX71" s="53">
        <v>0.87847222222222232</v>
      </c>
      <c r="AY71" s="53">
        <v>0.82291666666666652</v>
      </c>
      <c r="AZ71" s="53"/>
      <c r="BA71" s="53"/>
      <c r="BB71" s="43"/>
      <c r="BC71" s="53"/>
      <c r="BD71" s="53"/>
      <c r="BE71" s="53"/>
      <c r="BF71" s="53"/>
      <c r="BG71" s="53"/>
      <c r="BH71" s="53"/>
      <c r="BI71" s="53"/>
      <c r="BJ71" s="53"/>
      <c r="BK71" s="53"/>
      <c r="BL71" s="53"/>
      <c r="BM71" s="53"/>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3"/>
      <c r="CQ71" s="53"/>
      <c r="CR71" s="1"/>
      <c r="CS71" s="1"/>
      <c r="CT71" s="1"/>
      <c r="CU71" s="1"/>
    </row>
    <row r="72" spans="1:99" s="13" customFormat="1" ht="12" customHeight="1" x14ac:dyDescent="0.2">
      <c r="A72" s="68">
        <v>43978</v>
      </c>
      <c r="B72" s="70"/>
      <c r="C72" s="70"/>
      <c r="D72" s="69"/>
      <c r="E72" s="87"/>
      <c r="F72" s="69"/>
      <c r="G72" s="69"/>
      <c r="H72" s="69"/>
      <c r="I72" s="69"/>
      <c r="J72" s="69"/>
      <c r="K72" s="69"/>
      <c r="L72" s="69"/>
      <c r="M72" s="69"/>
      <c r="N72" s="69"/>
      <c r="O72" s="69"/>
      <c r="P72" s="69"/>
      <c r="Q72" s="69"/>
      <c r="R72" s="69"/>
      <c r="S72" s="69"/>
      <c r="T72" s="69"/>
      <c r="U72" s="69"/>
      <c r="V72" s="69"/>
      <c r="W72" s="69"/>
      <c r="X72" s="69"/>
      <c r="Y72" s="87"/>
      <c r="Z72" s="69"/>
      <c r="AA72" s="69"/>
      <c r="AB72" s="69"/>
      <c r="AC72" s="72"/>
      <c r="AD72" s="69"/>
      <c r="AE72" s="87"/>
      <c r="AF72" s="88"/>
      <c r="AG72" s="72"/>
      <c r="AH72" s="4"/>
      <c r="AI72" s="72"/>
      <c r="AJ72" s="110"/>
      <c r="AK72" s="72"/>
      <c r="AL72" s="72"/>
      <c r="AM72" s="72"/>
      <c r="AN72" s="72"/>
      <c r="AO72" s="89"/>
      <c r="AP72" s="89"/>
      <c r="AQ72" s="90"/>
      <c r="AR72" s="117"/>
      <c r="AS72" s="91"/>
      <c r="AT72" s="91"/>
      <c r="AU72" s="3"/>
      <c r="AV72" s="71">
        <f>60*30</f>
        <v>1800</v>
      </c>
      <c r="AW72" s="71">
        <f>60*60*24</f>
        <v>86400</v>
      </c>
      <c r="AX72" s="71">
        <f>60*60*24*4</f>
        <v>345600</v>
      </c>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1"/>
      <c r="CS72" s="1"/>
      <c r="CT72" s="1"/>
      <c r="CU72" s="1"/>
    </row>
    <row r="73" spans="1:99" s="13" customFormat="1" ht="12" customHeight="1" x14ac:dyDescent="0.2">
      <c r="A73" s="68">
        <v>43978</v>
      </c>
      <c r="B73" s="70" t="s">
        <v>963</v>
      </c>
      <c r="C73" s="70" t="s">
        <v>964</v>
      </c>
      <c r="D73" s="69">
        <v>2013</v>
      </c>
      <c r="E73" s="87">
        <v>1</v>
      </c>
      <c r="F73" s="69">
        <v>15</v>
      </c>
      <c r="G73" s="69">
        <v>15</v>
      </c>
      <c r="H73" s="69" t="s">
        <v>50</v>
      </c>
      <c r="I73" s="69" t="s">
        <v>330</v>
      </c>
      <c r="J73" s="69" t="s">
        <v>16</v>
      </c>
      <c r="K73" s="69">
        <f>IF(J73="syllables",1,IF(J73="trigrams",2,IF(J73="strings",3,IF(J73="visual array",4,IF(J73="characters",5,IF(J73="letters",6,IF(J73="free forms",7,IF(J73="odors",8,IF(J73="words",9,IF(J73="pictures",10,IF(J73="object pictures",11,IF(J73="faces",12,IF(J73="names",13,IF(J73="idioms",14,IF(J73="grades",15,IF(J73="syllable-digit pairs",16,IF(J73="trigram-word pairs",17,IF(J73="word-digit pairs",18,IF(J73="English-Swahili pairs",19,IF(J73="spatial position",20,IF(J73="word pairs",21,IF(J73="word triads",22,IF(J73="generated words",23,IF(J73="word definition pairs",24,IF(J73="math problems",25,IF(J73="famous faces",26,IF(J73="famous names",27,IF(J73="famous voices",28,IF(J73="television programs",29,IF(J73="race horses",30,IF(J73="new vocabulary",31,IF(J73="sentences",32,IF(J73="concepts",33,IF(J73="ad slides",34,IF(J73="scenes",35,IF(J73="famous scenes",36,IF(J73="poems",37,IF(J73="walk",38,IF(J73="faces and events",39,IF(J73="events and names",40,IF(J73="flashbulb",41,IF(J73="stories",42,IF(J73="course material",43,IF(J73="autobiographical",44,IF(J73="novels",45,IF(J73="public events",46,"99"))))))))))))))))))))))))))))))))))))))))))))))</f>
        <v>9</v>
      </c>
      <c r="L73" s="69">
        <f>IF(J73="syllables",1,IF(J73="trigrams",1,IF(J73="strings",1,IF(J73="visual array",1,IF(J73="characters",1,IF(J73="letters",1,IF(J73="free forms",1,IF(J73="odors",2,IF(J73="words",2,IF(J73="pictures",2,IF(J73="object pictures",2,IF(J73="faces",2,IF(J73="names",2,IF(J73="idioms","2",IF(J73="grades",2,IF(J73="syllable-digit pairs",3,IF(J73="trigram-word pairs",3,IF(J73="word-digit pairs",3,IF(J73="English-Swahili pairs",3,IF(J73="spatial position",3,IF(J73="word pairs",4,IF(J73="word triads",4,IF(J73="generated words",4,IF(J73="word definition pairs",4,IF(J73="math problems",4,IF(J73="famous faces",4,IF(J73="famous names",4,IF(J73="famous voices",4,IF(J73="television programs",4,IF(J73="race horses",4,IF(J73="new vocabulary",4,IF(J73="sentences",5,IF(J73="concepts",5,IF(J73="ad slides",5,IF(J73="scenes",5,IF(J73="famous scenes",5,IF(J73="poems",6,IF(J73="walk",6,IF(J73="faces and events",6,IF(J73="events and names",6,IF(J73="flashbulb",7,IF(J73="stories",7,IF(J73="course material",7,IF(J73="autobiographical",7,IF(J73="novels",7,IF(J73="public events",7,"99"))))))))))))))))))))))))))))))))))))))))))))))</f>
        <v>2</v>
      </c>
      <c r="M73" s="69">
        <v>0</v>
      </c>
      <c r="N73" s="69">
        <v>1</v>
      </c>
      <c r="O73" s="69">
        <v>0</v>
      </c>
      <c r="P73" s="69"/>
      <c r="Q73" s="69" t="s">
        <v>174</v>
      </c>
      <c r="R73" s="69">
        <f>IF(Q73="Free Recall",1,IF(Q73="Cued Recall",2,IF(Q73="Recognition",3,IF(Q73="Multiple Choice",4,IF(Q73="Savings",5,IF(Q73="Stem Completion",6,IF(Q73="Fragment Completion",7,IF(Q73="anagram solution",8,IF(Q73="Matching",9,IF(Q73="Problem Solving",10,"99"))))))))))</f>
        <v>1</v>
      </c>
      <c r="S73" s="99" t="s">
        <v>49</v>
      </c>
      <c r="T73" s="69" t="s">
        <v>581</v>
      </c>
      <c r="U73" s="69">
        <f>IF(T73="within",1,0)</f>
        <v>1</v>
      </c>
      <c r="V73" s="69">
        <v>13</v>
      </c>
      <c r="W73" s="69">
        <f>F73*V73</f>
        <v>195</v>
      </c>
      <c r="X73" s="69">
        <v>3</v>
      </c>
      <c r="Y73" s="87">
        <f>AV72</f>
        <v>1800</v>
      </c>
      <c r="Z73" s="69" t="s">
        <v>150</v>
      </c>
      <c r="AA73" s="69">
        <f>60*60*24*7</f>
        <v>604800</v>
      </c>
      <c r="AB73" s="69" t="str">
        <f>IF(AA73&lt;60,"1",IF(AA73&lt;=43200,"2",IF(AA73&lt;=777600,"3","4")))</f>
        <v>3</v>
      </c>
      <c r="AC73" s="72">
        <f>AVERAGE(AV72:DA72)</f>
        <v>144600</v>
      </c>
      <c r="AD73" s="69" t="str">
        <f>IF(AC73&lt;60,"1",IF(AC73&lt;=43200,"2",IF(AC73&lt;=777600,"3","4")))</f>
        <v>3</v>
      </c>
      <c r="AE73" s="87">
        <f>AA73-Y73</f>
        <v>603000</v>
      </c>
      <c r="AF73" s="88">
        <f>AV73</f>
        <v>0.87260000000000004</v>
      </c>
      <c r="AG73" s="72">
        <f>((AW73-AV73)+(AX73-AW73))/2</f>
        <v>-6.8850000000000022E-2</v>
      </c>
      <c r="AH73" s="4"/>
      <c r="AI73" s="72">
        <f>RSQ(AV73:AX73,AV72:AX72)</f>
        <v>0.7799664286077469</v>
      </c>
      <c r="AJ73" s="110">
        <f>SLOPE(AV73:AX73,AV72:AX72)</f>
        <v>-3.4655332308716358E-7</v>
      </c>
      <c r="AK73" s="72">
        <f>INTERCEPT(AV73:AX73,AV72:AX72)</f>
        <v>0.8456782771850706</v>
      </c>
      <c r="AL73" s="72">
        <f>INDEX(LINEST(LN(AV73:AX73),LN(AV72:AX72),TRUE,TRUE),3,1)</f>
        <v>0.99285707628804176</v>
      </c>
      <c r="AM73" s="72">
        <f>INDEX(LINEST(LN(AV73:AX73),LN(AV72:AX72)),1)</f>
        <v>-3.1927310533355263E-2</v>
      </c>
      <c r="AN73" s="72">
        <f>EXP(INDEX(LINEST(LN(AV73:AX73),LN(AV72:AX72)),1,2))</f>
        <v>1.1109349304841249</v>
      </c>
      <c r="AO73" s="89">
        <f>INDEX(LINEST((AV73:AX73),LN(AV72:AX72),TRUE,TRUE),3,1)</f>
        <v>0.9959905069953553</v>
      </c>
      <c r="AP73" s="89">
        <f>INDEX(LINEST((AV73:AX73),LN(AV72:AX72)),1)</f>
        <v>-2.5745432122971618E-2</v>
      </c>
      <c r="AQ73" s="90">
        <f>INDEX(LINEST(LN(AV73:AX73),SQRT(AV72:AX72),TRUE,TRUE),3,1)</f>
        <v>0.94950156658030926</v>
      </c>
      <c r="AR73" s="117">
        <f>INDEX(LINEST(LN(AV73:AX73),SQRT((AV72:AX72))),1)</f>
        <v>-3.1163637057547548E-4</v>
      </c>
      <c r="AS73" s="91">
        <f>INDEX(LINEST(1/(AV73:AX73),1/(SQRT(AV72:AX72)),TRUE,TRUE),3,1)</f>
        <v>0.91621116834357286</v>
      </c>
      <c r="AT73" s="91">
        <f>INDEX(LINEST(1/(AV73:AX73),1/SQRT(AV72:AX72)),1)</f>
        <v>-8.557158817826334</v>
      </c>
      <c r="AU73" s="3"/>
      <c r="AV73" s="73">
        <v>0.87260000000000004</v>
      </c>
      <c r="AW73" s="73">
        <v>0.7792</v>
      </c>
      <c r="AX73" s="73">
        <v>0.7349</v>
      </c>
      <c r="AY73" s="53"/>
      <c r="AZ73" s="53"/>
      <c r="BA73" s="53"/>
      <c r="BB73" s="53"/>
      <c r="BC73" s="53"/>
      <c r="BD73" s="53"/>
      <c r="BE73" s="53"/>
      <c r="BF73" s="53"/>
      <c r="BG73" s="53"/>
      <c r="BH73" s="53"/>
      <c r="BI73" s="53"/>
      <c r="BJ73" s="53"/>
      <c r="BK73" s="53"/>
      <c r="BL73" s="53"/>
      <c r="BM73" s="53"/>
      <c r="BN73" s="53"/>
      <c r="BO73" s="53"/>
      <c r="BP73" s="53"/>
      <c r="BQ73" s="53"/>
      <c r="BR73" s="53"/>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3"/>
      <c r="CQ73" s="53"/>
      <c r="CR73" s="1"/>
      <c r="CS73" s="1"/>
      <c r="CT73" s="1"/>
      <c r="CU73" s="1"/>
    </row>
    <row r="74" spans="1:99" s="13" customFormat="1" ht="12" customHeight="1" x14ac:dyDescent="0.2">
      <c r="A74" s="68">
        <v>43978</v>
      </c>
      <c r="B74" s="70"/>
      <c r="C74" s="70"/>
      <c r="D74" s="69"/>
      <c r="E74" s="87"/>
      <c r="F74" s="69"/>
      <c r="G74" s="69"/>
      <c r="H74" s="69"/>
      <c r="I74" s="69"/>
      <c r="J74" s="69"/>
      <c r="K74" s="69"/>
      <c r="L74" s="69"/>
      <c r="M74" s="69"/>
      <c r="N74" s="69"/>
      <c r="O74" s="69"/>
      <c r="P74" s="69"/>
      <c r="Q74" s="69"/>
      <c r="R74" s="69"/>
      <c r="S74" s="69"/>
      <c r="T74" s="69"/>
      <c r="U74" s="69"/>
      <c r="V74" s="69"/>
      <c r="W74" s="69"/>
      <c r="X74" s="69"/>
      <c r="Y74" s="87"/>
      <c r="Z74" s="69"/>
      <c r="AA74" s="69"/>
      <c r="AB74" s="69"/>
      <c r="AC74" s="72"/>
      <c r="AD74" s="69"/>
      <c r="AE74" s="87"/>
      <c r="AF74" s="88"/>
      <c r="AG74" s="72"/>
      <c r="AH74" s="4"/>
      <c r="AI74" s="72"/>
      <c r="AJ74" s="110"/>
      <c r="AK74" s="72"/>
      <c r="AL74" s="72"/>
      <c r="AM74" s="72"/>
      <c r="AN74" s="72"/>
      <c r="AO74" s="89"/>
      <c r="AP74" s="89"/>
      <c r="AQ74" s="90"/>
      <c r="AR74" s="117"/>
      <c r="AS74" s="91"/>
      <c r="AT74" s="91"/>
      <c r="AU74" s="3"/>
      <c r="AV74" s="71">
        <f>60*30</f>
        <v>1800</v>
      </c>
      <c r="AW74" s="71">
        <f>60*60*24</f>
        <v>86400</v>
      </c>
      <c r="AX74" s="71">
        <f>60*60*24*4</f>
        <v>345600</v>
      </c>
      <c r="AY74" s="53"/>
      <c r="AZ74" s="53"/>
      <c r="BA74" s="53"/>
      <c r="BB74" s="53"/>
      <c r="BC74" s="53"/>
      <c r="BD74" s="53"/>
      <c r="BE74" s="53"/>
      <c r="BF74" s="53"/>
      <c r="BG74" s="53"/>
      <c r="BH74" s="53"/>
      <c r="BI74" s="53"/>
      <c r="BJ74" s="53"/>
      <c r="BK74" s="53"/>
      <c r="BL74" s="53"/>
      <c r="BM74" s="53"/>
      <c r="BN74" s="53"/>
      <c r="BO74" s="53"/>
      <c r="BP74" s="53"/>
      <c r="BQ74" s="53"/>
      <c r="BR74" s="53"/>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3"/>
      <c r="CQ74" s="53"/>
      <c r="CR74" s="1"/>
      <c r="CS74" s="1"/>
      <c r="CT74" s="1"/>
      <c r="CU74" s="1"/>
    </row>
    <row r="75" spans="1:99" s="13" customFormat="1" ht="12" customHeight="1" x14ac:dyDescent="0.2">
      <c r="A75" s="68">
        <v>43978</v>
      </c>
      <c r="B75" s="70" t="s">
        <v>963</v>
      </c>
      <c r="C75" s="70" t="s">
        <v>964</v>
      </c>
      <c r="D75" s="69">
        <v>2013</v>
      </c>
      <c r="E75" s="87">
        <v>1</v>
      </c>
      <c r="F75" s="69">
        <v>15</v>
      </c>
      <c r="G75" s="69">
        <v>15</v>
      </c>
      <c r="H75" s="69" t="s">
        <v>50</v>
      </c>
      <c r="I75" s="69" t="s">
        <v>330</v>
      </c>
      <c r="J75" s="69" t="s">
        <v>317</v>
      </c>
      <c r="K75" s="69">
        <f>IF(J75="syllables",1,IF(J75="trigrams",2,IF(J75="strings",3,IF(J75="visual array",4,IF(J75="characters",5,IF(J75="letters",6,IF(J75="free forms",7,IF(J75="odors",8,IF(J75="words",9,IF(J75="pictures",10,IF(J75="object pictures",11,IF(J75="faces",12,IF(J75="names",13,IF(J75="idioms",14,IF(J75="grades",15,IF(J75="syllable-digit pairs",16,IF(J75="trigram-word pairs",17,IF(J75="word-digit pairs",18,IF(J75="English-Swahili pairs",19,IF(J75="spatial position",20,IF(J75="word pairs",21,IF(J75="word triads",22,IF(J75="generated words",23,IF(J75="word definition pairs",24,IF(J75="math problems",25,IF(J75="famous faces",26,IF(J75="famous names",27,IF(J75="famous voices",28,IF(J75="television programs",29,IF(J75="race horses",30,IF(J75="new vocabulary",31,IF(J75="sentences",32,IF(J75="concepts",33,IF(J75="ad slides",34,IF(J75="scenes",35,IF(J75="famous scenes",36,IF(J75="poems",37,IF(J75="walk",38,IF(J75="faces and events",39,IF(J75="events and names",40,IF(J75="flashbulb",41,IF(J75="stories",42,IF(J75="course material",43,IF(J75="autobiographical",44,IF(J75="novels",45,IF(J75="public events",46,"99"))))))))))))))))))))))))))))))))))))))))))))))</f>
        <v>7</v>
      </c>
      <c r="L75" s="69">
        <f>IF(J75="syllables",1,IF(J75="trigrams",1,IF(J75="strings",1,IF(J75="visual array",1,IF(J75="characters",1,IF(J75="letters",1,IF(J75="free forms",1,IF(J75="odors",2,IF(J75="words",2,IF(J75="pictures",2,IF(J75="object pictures",2,IF(J75="faces",2,IF(J75="names",2,IF(J75="idioms","2",IF(J75="grades",2,IF(J75="syllable-digit pairs",3,IF(J75="trigram-word pairs",3,IF(J75="word-digit pairs",3,IF(J75="English-Swahili pairs",3,IF(J75="spatial position",3,IF(J75="word pairs",4,IF(J75="word triads",4,IF(J75="generated words",4,IF(J75="word definition pairs",4,IF(J75="math problems",4,IF(J75="famous faces",4,IF(J75="famous names",4,IF(J75="famous voices",4,IF(J75="television programs",4,IF(J75="race horses",4,IF(J75="new vocabulary",4,IF(J75="sentences",5,IF(J75="concepts",5,IF(J75="ad slides",5,IF(J75="scenes",5,IF(J75="famous scenes",5,IF(J75="poems",6,IF(J75="walk",6,IF(J75="faces and events",6,IF(J75="events and names",6,IF(J75="flashbulb",7,IF(J75="stories",7,IF(J75="course material",7,IF(J75="autobiographical",7,IF(J75="novels",7,IF(J75="public events",7,"99"))))))))))))))))))))))))))))))))))))))))))))))</f>
        <v>1</v>
      </c>
      <c r="M75" s="69">
        <v>0</v>
      </c>
      <c r="N75" s="69">
        <v>1</v>
      </c>
      <c r="O75" s="69">
        <v>0</v>
      </c>
      <c r="P75" s="69"/>
      <c r="Q75" s="69" t="s">
        <v>174</v>
      </c>
      <c r="R75" s="69">
        <f>IF(Q75="Free Recall",1,IF(Q75="Cued Recall",2,IF(Q75="Recognition",3,IF(Q75="Multiple Choice",4,IF(Q75="Savings",5,IF(Q75="Stem Completion",6,IF(Q75="Fragment Completion",7,IF(Q75="anagram solution",8,IF(Q75="Matching",9,IF(Q75="Problem Solving",10,"99"))))))))))</f>
        <v>1</v>
      </c>
      <c r="S75" s="99" t="s">
        <v>49</v>
      </c>
      <c r="T75" s="69" t="s">
        <v>581</v>
      </c>
      <c r="U75" s="69">
        <f>IF(T75="within",1,0)</f>
        <v>1</v>
      </c>
      <c r="V75" s="69">
        <v>13</v>
      </c>
      <c r="W75" s="69">
        <f>F75*V75</f>
        <v>195</v>
      </c>
      <c r="X75" s="69">
        <v>3</v>
      </c>
      <c r="Y75" s="87">
        <f>AV74</f>
        <v>1800</v>
      </c>
      <c r="Z75" s="69" t="s">
        <v>150</v>
      </c>
      <c r="AA75" s="69">
        <f>60*60*24*7</f>
        <v>604800</v>
      </c>
      <c r="AB75" s="69" t="str">
        <f>IF(AA75&lt;60,"1",IF(AA75&lt;=43200,"2",IF(AA75&lt;=777600,"3","4")))</f>
        <v>3</v>
      </c>
      <c r="AC75" s="72">
        <f>AVERAGE(AV74:DA74)</f>
        <v>144600</v>
      </c>
      <c r="AD75" s="69" t="str">
        <f>IF(AC75&lt;60,"1",IF(AC75&lt;=43200,"2",IF(AC75&lt;=777600,"3","4")))</f>
        <v>3</v>
      </c>
      <c r="AE75" s="87">
        <f>AA75-Y75</f>
        <v>603000</v>
      </c>
      <c r="AF75" s="88">
        <f>AV75</f>
        <v>0.99580000000000002</v>
      </c>
      <c r="AG75" s="72">
        <f>((AW75-AV75)+(AX75-AW75))/2</f>
        <v>-4.2200000000000015E-2</v>
      </c>
      <c r="AH75" s="4"/>
      <c r="AI75" s="72">
        <f>RSQ(AV75:AX75,AV74:AX74)</f>
        <v>0.95077578920216022</v>
      </c>
      <c r="AJ75" s="110">
        <f>SLOPE(AV75:AX75,AV74:AX74)</f>
        <v>-2.3013776237112828E-7</v>
      </c>
      <c r="AK75" s="72">
        <f>INTERCEPT(AV75:AX75,AV74:AX74)</f>
        <v>0.98837792043886508</v>
      </c>
      <c r="AL75" s="72">
        <f>INDEX(LINEST(LN(AV75:AX75),LN(AV74:AX74),TRUE,TRUE),3,1)</f>
        <v>0.88852345265554733</v>
      </c>
      <c r="AM75" s="72">
        <f>INDEX(LINEST(LN(AV75:AX75),LN(AV74:AX74)),1)</f>
        <v>-1.5360689594856362E-2</v>
      </c>
      <c r="AN75" s="72">
        <f>EXP(INDEX(LINEST(LN(AV75:AX75),LN(AV74:AX74)),1,2))</f>
        <v>1.1221905177207874</v>
      </c>
      <c r="AO75" s="89">
        <f>INDEX(LINEST((AV75:AX75),LN(AV74:AX74),TRUE,TRUE),3,1)</f>
        <v>0.89629133212097467</v>
      </c>
      <c r="AP75" s="89">
        <f>INDEX(LINEST((AV75:AX75),LN(AV74:AX74)),1)</f>
        <v>-1.4689732953524434E-2</v>
      </c>
      <c r="AQ75" s="90">
        <f>INDEX(LINEST(LN(AV75:AX75),SQRT(AV74:AX74),TRUE,TRUE),3,1)</f>
        <v>0.99915069679751944</v>
      </c>
      <c r="AR75" s="117">
        <f>INDEX(LINEST(LN(AV75:AX75),SQRT((AV74:AX74))),1)</f>
        <v>-1.625822350155339E-4</v>
      </c>
      <c r="AS75" s="91">
        <f>INDEX(LINEST(1/(AV75:AX75),1/(SQRT(AV74:AX74)),TRUE,TRUE),3,1)</f>
        <v>0.73556183184283697</v>
      </c>
      <c r="AT75" s="91">
        <f>INDEX(LINEST(1/(AV75:AX75),1/SQRT(AV74:AX74)),1)</f>
        <v>-3.2904746407557282</v>
      </c>
      <c r="AU75" s="3"/>
      <c r="AV75" s="73">
        <v>0.99580000000000002</v>
      </c>
      <c r="AW75" s="73">
        <v>0.95809999999999995</v>
      </c>
      <c r="AX75" s="73">
        <v>0.91139999999999999</v>
      </c>
      <c r="AY75" s="53"/>
      <c r="AZ75" s="53"/>
      <c r="BA75" s="53"/>
      <c r="BB75" s="53"/>
      <c r="BC75" s="53"/>
      <c r="BD75" s="53"/>
      <c r="BE75" s="53"/>
      <c r="BF75" s="53"/>
      <c r="BG75" s="53"/>
      <c r="BH75" s="53"/>
      <c r="BI75" s="53"/>
      <c r="BJ75" s="53"/>
      <c r="BK75" s="53"/>
      <c r="BL75" s="53"/>
      <c r="BM75" s="53"/>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1"/>
      <c r="CS75" s="1"/>
      <c r="CT75" s="1"/>
      <c r="CU75" s="1"/>
    </row>
    <row r="76" spans="1:99" s="13" customFormat="1" ht="12" customHeight="1" x14ac:dyDescent="0.2">
      <c r="A76" s="68">
        <v>43964</v>
      </c>
      <c r="B76" s="70"/>
      <c r="C76" s="70"/>
      <c r="D76" s="69"/>
      <c r="E76" s="87"/>
      <c r="F76" s="67"/>
      <c r="G76" s="67"/>
      <c r="H76" s="69"/>
      <c r="I76" s="69"/>
      <c r="J76" s="69"/>
      <c r="K76" s="69"/>
      <c r="L76" s="69"/>
      <c r="M76" s="67"/>
      <c r="N76" s="67"/>
      <c r="O76" s="67"/>
      <c r="P76" s="69"/>
      <c r="Q76" s="69"/>
      <c r="R76" s="69"/>
      <c r="S76" s="69"/>
      <c r="T76" s="69"/>
      <c r="U76" s="69"/>
      <c r="V76" s="69"/>
      <c r="W76" s="69"/>
      <c r="X76" s="69"/>
      <c r="Y76" s="87"/>
      <c r="Z76" s="69"/>
      <c r="AA76" s="69"/>
      <c r="AB76" s="69"/>
      <c r="AC76" s="72"/>
      <c r="AD76" s="69"/>
      <c r="AE76" s="87"/>
      <c r="AF76" s="88"/>
      <c r="AG76" s="72"/>
      <c r="AH76" s="4"/>
      <c r="AI76" s="72"/>
      <c r="AJ76" s="110"/>
      <c r="AK76" s="72"/>
      <c r="AL76" s="72"/>
      <c r="AM76" s="72"/>
      <c r="AN76" s="72"/>
      <c r="AO76" s="89"/>
      <c r="AP76" s="89"/>
      <c r="AQ76" s="90"/>
      <c r="AR76" s="117"/>
      <c r="AS76" s="91"/>
      <c r="AT76" s="91"/>
      <c r="AU76" s="3"/>
      <c r="AV76" s="73">
        <v>600</v>
      </c>
      <c r="AW76" s="73">
        <v>86400</v>
      </c>
      <c r="AX76" s="73">
        <v>604800</v>
      </c>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1"/>
      <c r="CS76" s="1"/>
      <c r="CT76" s="1"/>
      <c r="CU76" s="1"/>
    </row>
    <row r="77" spans="1:99" s="13" customFormat="1" ht="12" customHeight="1" x14ac:dyDescent="0.2">
      <c r="A77" s="68">
        <v>43964</v>
      </c>
      <c r="B77" s="70" t="s">
        <v>911</v>
      </c>
      <c r="C77" s="70" t="s">
        <v>45</v>
      </c>
      <c r="D77" s="69">
        <v>2017</v>
      </c>
      <c r="E77" s="87">
        <v>1</v>
      </c>
      <c r="F77" s="69">
        <v>243</v>
      </c>
      <c r="G77" s="69">
        <v>243</v>
      </c>
      <c r="H77" s="69" t="s">
        <v>32</v>
      </c>
      <c r="I77" s="69" t="s">
        <v>913</v>
      </c>
      <c r="J77" s="69" t="s">
        <v>912</v>
      </c>
      <c r="K77" s="69">
        <f>IF(J77="syllables",1,IF(J77="trigrams",2,IF(J77="strings",3,IF(J77="visual array",4,IF(J77="characters",5,IF(J77="letters",6,IF(J77="free forms",7,IF(J77="odors",8,IF(J77="words",9,IF(J77="pictures",10,IF(J77="object pictures",11,IF(J77="faces",12,IF(J77="names",13,IF(J77="idioms",14,IF(J77="grades",15,IF(J77="syllable-digit pairs",16,IF(J77="trigram-word pairs",17,IF(J77="word-digit pairs",18,IF(J77="English-Swahili pairs",19,IF(J77="spatial position",20,IF(J77="word pairs",21,IF(J77="word triads",22,IF(J77="generated words",23,IF(J77="word definition pairs",24,IF(J77="math problems",25,IF(J77="famous faces",26,IF(J77="famous names",27,IF(J77="famous voices",28,IF(J77="television programs",29,IF(J77="race horses",30,IF(J77="new vocabulary",31,IF(J77="sentences",32,IF(J77="concepts",33,IF(J77="ad slides",34,IF(J77="scenes",35,IF(J77="famous scenes",36,IF(J77="poems",37,IF(J77="walk",38,IF(J77="faces and events",39,IF(J77="events and names",40,IF(J77="flashbulb",41,IF(J77="stories",42,IF(J77="course material",43,IF(J77="autobiographical",44,IF(J77="novels",45,IF(J77="public events",46,IF(J77="video activities",47,"99")))))))))))))))))))))))))))))))))))))))))))))))</f>
        <v>47</v>
      </c>
      <c r="L77" s="69">
        <v>7</v>
      </c>
      <c r="M77" s="69">
        <v>0</v>
      </c>
      <c r="N77" s="69">
        <v>3</v>
      </c>
      <c r="O77" s="69">
        <v>0</v>
      </c>
      <c r="P77" s="69"/>
      <c r="Q77" s="69" t="s">
        <v>34</v>
      </c>
      <c r="R77" s="69">
        <f>IF(Q77="Free Recall",1,IF(Q77="Cued Recall",2,IF(Q77="Recognition",3,IF(Q77="Multiple Choice",4,IF(Q77="Savings",5,IF(Q77="Stem Completion",6,IF(Q77="Fragment Completion",7,IF(Q77="anagram solution",8,IF(Q77="Matching",9,IF(Q77="Problem Solving",10,"99"))))))))))</f>
        <v>3</v>
      </c>
      <c r="S77" s="69" t="s">
        <v>15</v>
      </c>
      <c r="T77" s="69" t="s">
        <v>581</v>
      </c>
      <c r="U77" s="69">
        <f>IF(T77="within",1,0)</f>
        <v>1</v>
      </c>
      <c r="V77" s="69">
        <v>20</v>
      </c>
      <c r="W77" s="69">
        <f>F77*V77</f>
        <v>4860</v>
      </c>
      <c r="X77" s="69">
        <v>3</v>
      </c>
      <c r="Y77" s="87">
        <f>AV76</f>
        <v>600</v>
      </c>
      <c r="Z77" s="69" t="s">
        <v>150</v>
      </c>
      <c r="AA77" s="69">
        <f>60*60*24*7</f>
        <v>604800</v>
      </c>
      <c r="AB77" s="69" t="str">
        <f>IF(AA77&lt;60,"1",IF(AA77&lt;=43200,"2",IF(AA77&lt;=777600,"3","4")))</f>
        <v>3</v>
      </c>
      <c r="AC77" s="72">
        <f>AVERAGE(AV76:DA76)</f>
        <v>230600</v>
      </c>
      <c r="AD77" s="69" t="str">
        <f>IF(AC77&lt;60,"1",IF(AC77&lt;=43200,"2",IF(AC77&lt;=777600,"3","4")))</f>
        <v>3</v>
      </c>
      <c r="AE77" s="87">
        <f>AA77-Y77</f>
        <v>604200</v>
      </c>
      <c r="AF77" s="88">
        <f>AV77</f>
        <v>0.73284132841328398</v>
      </c>
      <c r="AG77" s="72">
        <f>((AW77-AV77)+(AX77-AW77))/2</f>
        <v>-2.6213883361130508E-2</v>
      </c>
      <c r="AH77" s="4"/>
      <c r="AI77" s="72">
        <f>RSQ(AV77:AX77,AV76:AX76)</f>
        <v>0.23686578663494268</v>
      </c>
      <c r="AJ77" s="110">
        <f>SLOPE(AV77:AX77,AV76:AX76)</f>
        <v>-4.9812290158771035E-8</v>
      </c>
      <c r="AK77" s="72">
        <f>INTERCEPT(AV77:AX77,AV76:AX76)</f>
        <v>0.70611096559154218</v>
      </c>
      <c r="AL77" s="72">
        <f>INDEX(LINEST(LN(AV77:AX77),LN(AV76:AX76),TRUE,TRUE),3,1)</f>
        <v>0.82678902873860494</v>
      </c>
      <c r="AM77" s="72">
        <f>INDEX(LINEST(LN(AV77:AX77),LN(AV76:AX76)),1)</f>
        <v>-1.2135508937400896E-2</v>
      </c>
      <c r="AN77" s="72">
        <f>EXP(INDEX(LINEST(LN(AV77:AX77),LN(AV76:AX76)),1,2))</f>
        <v>0.7870712944577869</v>
      </c>
      <c r="AO77" s="89">
        <f>INDEX(LINEST((AV77:AX77),LN(AV76:AX76),TRUE,TRUE),3,1)</f>
        <v>0.83131382831506095</v>
      </c>
      <c r="AP77" s="89">
        <f>INDEX(LINEST((AV77:AX77),LN(AV76:AX76)),1)</f>
        <v>-8.5536506892833781E-3</v>
      </c>
      <c r="AQ77" s="90">
        <f>INDEX(LINEST(LN(AV77:AX77),SQRT(AV76:AX76),TRUE,TRUE),3,1)</f>
        <v>0.44615648139100023</v>
      </c>
      <c r="AR77" s="117">
        <f>INDEX(LINEST(LN(AV77:AX77),SQRT((AV76:AX76))),1)</f>
        <v>-8.330448275714516E-5</v>
      </c>
      <c r="AS77" s="91">
        <f>INDEX(LINEST(1/(AV77:AX77),1/(SQRT(AV76:AX76)),TRUE,TRUE),3,1)</f>
        <v>0.95788898361741037</v>
      </c>
      <c r="AT77" s="91">
        <f>INDEX(LINEST(1/(AV77:AX77),1/SQRT(AV76:AX76)),1)</f>
        <v>-2.9815013141790798</v>
      </c>
      <c r="AU77" s="3"/>
      <c r="AV77" s="73">
        <v>0.73284132841328398</v>
      </c>
      <c r="AW77" s="73">
        <v>0.67061786433848203</v>
      </c>
      <c r="AX77" s="73">
        <v>0.68041356169102296</v>
      </c>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1"/>
      <c r="CS77" s="1"/>
      <c r="CT77" s="1"/>
      <c r="CU77" s="1"/>
    </row>
    <row r="78" spans="1:99" s="13" customFormat="1" ht="12" customHeight="1" x14ac:dyDescent="0.2">
      <c r="A78" s="68">
        <v>43964</v>
      </c>
      <c r="B78" s="70"/>
      <c r="C78" s="70"/>
      <c r="D78" s="69"/>
      <c r="E78" s="87"/>
      <c r="F78" s="69"/>
      <c r="G78" s="69"/>
      <c r="H78" s="69"/>
      <c r="I78" s="69"/>
      <c r="J78" s="69"/>
      <c r="K78" s="69"/>
      <c r="L78" s="69"/>
      <c r="M78" s="69"/>
      <c r="N78" s="69"/>
      <c r="O78" s="69"/>
      <c r="P78" s="69"/>
      <c r="Q78" s="69"/>
      <c r="R78" s="69"/>
      <c r="S78" s="69"/>
      <c r="T78" s="69"/>
      <c r="U78" s="69"/>
      <c r="V78" s="69"/>
      <c r="W78" s="69"/>
      <c r="X78" s="69"/>
      <c r="Y78" s="87"/>
      <c r="Z78" s="69"/>
      <c r="AA78" s="69"/>
      <c r="AB78" s="69"/>
      <c r="AC78" s="72"/>
      <c r="AD78" s="69"/>
      <c r="AE78" s="87"/>
      <c r="AF78" s="88"/>
      <c r="AG78" s="72"/>
      <c r="AH78" s="4"/>
      <c r="AI78" s="72"/>
      <c r="AJ78" s="110"/>
      <c r="AK78" s="72"/>
      <c r="AL78" s="72"/>
      <c r="AM78" s="72"/>
      <c r="AN78" s="72"/>
      <c r="AO78" s="89"/>
      <c r="AP78" s="89"/>
      <c r="AQ78" s="90"/>
      <c r="AR78" s="117"/>
      <c r="AS78" s="91"/>
      <c r="AT78" s="91"/>
      <c r="AU78" s="3"/>
      <c r="AV78" s="73">
        <v>600</v>
      </c>
      <c r="AW78" s="73">
        <v>86400</v>
      </c>
      <c r="AX78" s="73">
        <v>604800</v>
      </c>
      <c r="AY78" s="53"/>
      <c r="AZ78" s="53"/>
      <c r="BA78" s="53"/>
      <c r="BB78" s="53"/>
      <c r="BC78" s="53"/>
      <c r="BD78" s="53"/>
      <c r="BE78" s="53"/>
      <c r="BF78" s="53"/>
      <c r="BG78" s="53"/>
      <c r="BH78" s="53"/>
      <c r="BI78" s="53"/>
      <c r="BJ78" s="53"/>
      <c r="BK78" s="53"/>
      <c r="BL78" s="53"/>
      <c r="BM78" s="53"/>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1"/>
      <c r="CS78" s="1"/>
      <c r="CT78" s="1"/>
      <c r="CU78" s="1"/>
    </row>
    <row r="79" spans="1:99" s="13" customFormat="1" ht="12" customHeight="1" x14ac:dyDescent="0.2">
      <c r="A79" s="68">
        <v>43964</v>
      </c>
      <c r="B79" s="70" t="s">
        <v>911</v>
      </c>
      <c r="C79" s="70" t="s">
        <v>45</v>
      </c>
      <c r="D79" s="69">
        <v>2017</v>
      </c>
      <c r="E79" s="87">
        <v>1</v>
      </c>
      <c r="F79" s="69">
        <v>84</v>
      </c>
      <c r="G79" s="69">
        <v>84</v>
      </c>
      <c r="H79" s="69" t="s">
        <v>32</v>
      </c>
      <c r="I79" s="69" t="s">
        <v>914</v>
      </c>
      <c r="J79" s="69" t="s">
        <v>912</v>
      </c>
      <c r="K79" s="69">
        <f>IF(J79="syllables",1,IF(J79="trigrams",2,IF(J79="strings",3,IF(J79="visual array",4,IF(J79="characters",5,IF(J79="letters",6,IF(J79="free forms",7,IF(J79="odors",8,IF(J79="words",9,IF(J79="pictures",10,IF(J79="object pictures",11,IF(J79="faces",12,IF(J79="names",13,IF(J79="idioms",14,IF(J79="grades",15,IF(J79="syllable-digit pairs",16,IF(J79="trigram-word pairs",17,IF(J79="word-digit pairs",18,IF(J79="English-Swahili pairs",19,IF(J79="spatial position",20,IF(J79="word pairs",21,IF(J79="word triads",22,IF(J79="generated words",23,IF(J79="word definition pairs",24,IF(J79="math problems",25,IF(J79="famous faces",26,IF(J79="famous names",27,IF(J79="famous voices",28,IF(J79="television programs",29,IF(J79="race horses",30,IF(J79="new vocabulary",31,IF(J79="sentences",32,IF(J79="concepts",33,IF(J79="ad slides",34,IF(J79="scenes",35,IF(J79="famous scenes",36,IF(J79="poems",37,IF(J79="walk",38,IF(J79="faces and events",39,IF(J79="events and names",40,IF(J79="flashbulb",41,IF(J79="stories",42,IF(J79="course material",43,IF(J79="autobiographical",44,IF(J79="novels",45,IF(J79="public events",46,IF(J79="video activities",47,"99")))))))))))))))))))))))))))))))))))))))))))))))</f>
        <v>47</v>
      </c>
      <c r="L79" s="69">
        <v>7</v>
      </c>
      <c r="M79" s="69">
        <v>0</v>
      </c>
      <c r="N79" s="69">
        <v>3</v>
      </c>
      <c r="O79" s="69">
        <v>0</v>
      </c>
      <c r="P79" s="69"/>
      <c r="Q79" s="69" t="s">
        <v>34</v>
      </c>
      <c r="R79" s="69">
        <f>IF(Q79="Free Recall",1,IF(Q79="Cued Recall",2,IF(Q79="Recognition",3,IF(Q79="Multiple Choice",4,IF(Q79="Savings",5,IF(Q79="Stem Completion",6,IF(Q79="Fragment Completion",7,IF(Q79="anagram solution",8,IF(Q79="Matching",9,IF(Q79="Problem Solving",10,"99"))))))))))</f>
        <v>3</v>
      </c>
      <c r="S79" s="69" t="s">
        <v>15</v>
      </c>
      <c r="T79" s="69" t="s">
        <v>581</v>
      </c>
      <c r="U79" s="69">
        <f>IF(T79="within",1,0)</f>
        <v>1</v>
      </c>
      <c r="V79" s="69">
        <v>20</v>
      </c>
      <c r="W79" s="69">
        <f>F79*V79</f>
        <v>1680</v>
      </c>
      <c r="X79" s="69">
        <v>3</v>
      </c>
      <c r="Y79" s="87">
        <f>AV78</f>
        <v>600</v>
      </c>
      <c r="Z79" s="69" t="s">
        <v>150</v>
      </c>
      <c r="AA79" s="69">
        <f>60*60*24*7</f>
        <v>604800</v>
      </c>
      <c r="AB79" s="69" t="str">
        <f>IF(AA79&lt;60,"1",IF(AA79&lt;=43200,"2",IF(AA79&lt;=777600,"3","4")))</f>
        <v>3</v>
      </c>
      <c r="AC79" s="72">
        <f>AVERAGE(AV78:DA78)</f>
        <v>230600</v>
      </c>
      <c r="AD79" s="69" t="str">
        <f>IF(AC79&lt;60,"1",IF(AC79&lt;=43200,"2",IF(AC79&lt;=777600,"3","4")))</f>
        <v>3</v>
      </c>
      <c r="AE79" s="87">
        <f>AA79-Y79</f>
        <v>604200</v>
      </c>
      <c r="AF79" s="88">
        <f>AV79</f>
        <v>0.68856088560885598</v>
      </c>
      <c r="AG79" s="72">
        <f>((AW79-AV79)+(AX79-AW79))/2</f>
        <v>-3.6152696651211014E-2</v>
      </c>
      <c r="AH79" s="4"/>
      <c r="AI79" s="72">
        <f>RSQ(AV79:AX79,AV78:AX78)</f>
        <v>0.28457372757606325</v>
      </c>
      <c r="AJ79" s="110">
        <f>SLOPE(AV79:AX79,AV78:AX78)</f>
        <v>-7.2289897607986834E-8</v>
      </c>
      <c r="AK79" s="72">
        <f>INTERCEPT(AV79:AX79,AV78:AX78)</f>
        <v>0.65429850183192506</v>
      </c>
      <c r="AL79" s="72">
        <f>INDEX(LINEST(LN(AV79:AX79),LN(AV78:AX78),TRUE,TRUE),3,1)</f>
        <v>0.8662112569485334</v>
      </c>
      <c r="AM79" s="72">
        <f>INDEX(LINEST(LN(AV79:AX79),LN(AV78:AX78)),1)</f>
        <v>-1.7808878466835282E-2</v>
      </c>
      <c r="AN79" s="72">
        <f>EXP(INDEX(LINEST(LN(AV79:AX79),LN(AV78:AX78)),1,2))</f>
        <v>0.76560221904330328</v>
      </c>
      <c r="AO79" s="89">
        <f>INDEX(LINEST((AV79:AX79),LN(AV78:AX78),TRUE,TRUE),3,1)</f>
        <v>0.87000682016890829</v>
      </c>
      <c r="AP79" s="89">
        <f>INDEX(LINEST((AV79:AX79),LN(AV78:AX78)),1)</f>
        <v>-1.1585778024274192E-2</v>
      </c>
      <c r="AQ79" s="90">
        <f>INDEX(LINEST(LN(AV79:AX79),SQRT(AV78:AX78),TRUE,TRUE),3,1)</f>
        <v>0.50083731504731455</v>
      </c>
      <c r="AR79" s="117">
        <f>INDEX(LINEST(LN(AV79:AX79),SQRT((AV78:AX78))),1)</f>
        <v>-1.2654270822330579E-4</v>
      </c>
      <c r="AS79" s="91">
        <f>INDEX(LINEST(1/(AV79:AX79),1/(SQRT(AV78:AX78)),TRUE,TRUE),3,1)</f>
        <v>0.97720578778152745</v>
      </c>
      <c r="AT79" s="91">
        <f>INDEX(LINEST(1/(AV79:AX79),1/SQRT(AV78:AX78)),1)</f>
        <v>-4.677991404915395</v>
      </c>
      <c r="AU79" s="3"/>
      <c r="AV79" s="73">
        <v>0.68856088560885598</v>
      </c>
      <c r="AW79" s="73">
        <v>0.60806897641528002</v>
      </c>
      <c r="AX79" s="73">
        <v>0.61625549230643395</v>
      </c>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1"/>
      <c r="CS79" s="1"/>
      <c r="CT79" s="1"/>
      <c r="CU79" s="1"/>
    </row>
    <row r="80" spans="1:99" s="13" customFormat="1" ht="12" customHeight="1" x14ac:dyDescent="0.2">
      <c r="A80" s="68">
        <v>43964</v>
      </c>
      <c r="B80" s="70"/>
      <c r="C80" s="70"/>
      <c r="D80" s="69"/>
      <c r="E80" s="87"/>
      <c r="F80" s="69"/>
      <c r="G80" s="69"/>
      <c r="H80" s="69"/>
      <c r="I80" s="69"/>
      <c r="J80" s="69"/>
      <c r="K80" s="69"/>
      <c r="L80" s="69"/>
      <c r="M80" s="69"/>
      <c r="N80" s="69"/>
      <c r="O80" s="69"/>
      <c r="P80" s="69"/>
      <c r="Q80" s="69"/>
      <c r="R80" s="69"/>
      <c r="S80" s="69"/>
      <c r="T80" s="69"/>
      <c r="U80" s="69"/>
      <c r="V80" s="69"/>
      <c r="W80" s="69"/>
      <c r="X80" s="69"/>
      <c r="Y80" s="87"/>
      <c r="Z80" s="69"/>
      <c r="AA80" s="69"/>
      <c r="AB80" s="69"/>
      <c r="AC80" s="72"/>
      <c r="AD80" s="69"/>
      <c r="AE80" s="87"/>
      <c r="AF80" s="88"/>
      <c r="AG80" s="72"/>
      <c r="AH80" s="4"/>
      <c r="AI80" s="72"/>
      <c r="AJ80" s="110"/>
      <c r="AK80" s="72"/>
      <c r="AL80" s="72"/>
      <c r="AM80" s="72"/>
      <c r="AN80" s="72"/>
      <c r="AO80" s="89"/>
      <c r="AP80" s="89"/>
      <c r="AQ80" s="90"/>
      <c r="AR80" s="117"/>
      <c r="AS80" s="91"/>
      <c r="AT80" s="91"/>
      <c r="AU80" s="3"/>
      <c r="AV80" s="73">
        <v>600</v>
      </c>
      <c r="AW80" s="73">
        <v>86400</v>
      </c>
      <c r="AX80" s="73">
        <v>604800</v>
      </c>
      <c r="AY80" s="53"/>
      <c r="AZ80" s="53"/>
      <c r="BA80" s="53"/>
      <c r="BB80" s="53"/>
      <c r="BC80" s="53"/>
      <c r="BD80" s="53"/>
      <c r="BE80" s="53"/>
      <c r="BF80" s="53"/>
      <c r="BG80" s="53"/>
      <c r="BH80" s="53"/>
      <c r="BI80" s="53"/>
      <c r="BJ80" s="53"/>
      <c r="BK80" s="53"/>
      <c r="BL80" s="53"/>
      <c r="BM80" s="53"/>
      <c r="BN80" s="53"/>
      <c r="BO80" s="53"/>
      <c r="BP80" s="53"/>
      <c r="BQ80" s="53"/>
      <c r="BR80" s="53"/>
      <c r="BS80" s="53"/>
      <c r="BT80" s="53"/>
      <c r="BU80" s="53"/>
      <c r="BV80" s="53"/>
      <c r="BW80" s="53"/>
      <c r="BX80" s="53"/>
      <c r="BY80" s="53"/>
      <c r="BZ80" s="53"/>
      <c r="CA80" s="53"/>
      <c r="CB80" s="53"/>
      <c r="CC80" s="53"/>
      <c r="CD80" s="53"/>
      <c r="CE80" s="53"/>
      <c r="CF80" s="53"/>
      <c r="CG80" s="53"/>
      <c r="CH80" s="53"/>
      <c r="CI80" s="53"/>
      <c r="CJ80" s="53"/>
      <c r="CK80" s="53"/>
      <c r="CL80" s="53"/>
      <c r="CM80" s="53"/>
      <c r="CN80" s="53"/>
      <c r="CO80" s="53"/>
      <c r="CP80" s="53"/>
      <c r="CQ80" s="53"/>
      <c r="CR80" s="1"/>
      <c r="CS80" s="1"/>
      <c r="CT80" s="1"/>
      <c r="CU80" s="1"/>
    </row>
    <row r="81" spans="1:99" s="13" customFormat="1" ht="12" customHeight="1" x14ac:dyDescent="0.2">
      <c r="A81" s="68">
        <v>43964</v>
      </c>
      <c r="B81" s="70" t="s">
        <v>911</v>
      </c>
      <c r="C81" s="70" t="s">
        <v>45</v>
      </c>
      <c r="D81" s="69">
        <v>2017</v>
      </c>
      <c r="E81" s="87">
        <v>1</v>
      </c>
      <c r="F81" s="69">
        <v>155</v>
      </c>
      <c r="G81" s="69">
        <v>155</v>
      </c>
      <c r="H81" s="69" t="s">
        <v>32</v>
      </c>
      <c r="I81" s="69" t="s">
        <v>915</v>
      </c>
      <c r="J81" s="69" t="s">
        <v>912</v>
      </c>
      <c r="K81" s="69">
        <f>IF(J81="syllables",1,IF(J81="trigrams",2,IF(J81="strings",3,IF(J81="visual array",4,IF(J81="characters",5,IF(J81="letters",6,IF(J81="free forms",7,IF(J81="odors",8,IF(J81="words",9,IF(J81="pictures",10,IF(J81="object pictures",11,IF(J81="faces",12,IF(J81="names",13,IF(J81="idioms",14,IF(J81="grades",15,IF(J81="syllable-digit pairs",16,IF(J81="trigram-word pairs",17,IF(J81="word-digit pairs",18,IF(J81="English-Swahili pairs",19,IF(J81="spatial position",20,IF(J81="word pairs",21,IF(J81="word triads",22,IF(J81="generated words",23,IF(J81="word definition pairs",24,IF(J81="math problems",25,IF(J81="famous faces",26,IF(J81="famous names",27,IF(J81="famous voices",28,IF(J81="television programs",29,IF(J81="race horses",30,IF(J81="new vocabulary",31,IF(J81="sentences",32,IF(J81="concepts",33,IF(J81="ad slides",34,IF(J81="scenes",35,IF(J81="famous scenes",36,IF(J81="poems",37,IF(J81="walk",38,IF(J81="faces and events",39,IF(J81="events and names",40,IF(J81="flashbulb",41,IF(J81="stories",42,IF(J81="course material",43,IF(J81="autobiographical",44,IF(J81="novels",45,IF(J81="public events",46,IF(J81="video activities",47,"99")))))))))))))))))))))))))))))))))))))))))))))))</f>
        <v>47</v>
      </c>
      <c r="L81" s="69">
        <v>7</v>
      </c>
      <c r="M81" s="69">
        <v>0</v>
      </c>
      <c r="N81" s="69">
        <v>3</v>
      </c>
      <c r="O81" s="69">
        <v>0</v>
      </c>
      <c r="P81" s="69"/>
      <c r="Q81" s="69" t="s">
        <v>34</v>
      </c>
      <c r="R81" s="69">
        <f>IF(Q81="Free Recall",1,IF(Q81="Cued Recall",2,IF(Q81="Recognition",3,IF(Q81="Multiple Choice",4,IF(Q81="Savings",5,IF(Q81="Stem Completion",6,IF(Q81="Fragment Completion",7,IF(Q81="anagram solution",8,IF(Q81="Matching",9,IF(Q81="Problem Solving",10,"99"))))))))))</f>
        <v>3</v>
      </c>
      <c r="S81" s="69" t="s">
        <v>15</v>
      </c>
      <c r="T81" s="69" t="s">
        <v>581</v>
      </c>
      <c r="U81" s="69">
        <f>IF(T81="within",1,0)</f>
        <v>1</v>
      </c>
      <c r="V81" s="69">
        <v>20</v>
      </c>
      <c r="W81" s="69">
        <f>F81*V81</f>
        <v>3100</v>
      </c>
      <c r="X81" s="69">
        <v>3</v>
      </c>
      <c r="Y81" s="87">
        <f>AV80</f>
        <v>600</v>
      </c>
      <c r="Z81" s="69" t="s">
        <v>150</v>
      </c>
      <c r="AA81" s="69">
        <f>60*60*24*7</f>
        <v>604800</v>
      </c>
      <c r="AB81" s="69" t="str">
        <f>IF(AA81&lt;60,"1",IF(AA81&lt;=43200,"2",IF(AA81&lt;=777600,"3","4")))</f>
        <v>3</v>
      </c>
      <c r="AC81" s="72">
        <f>AVERAGE(AV80:DA80)</f>
        <v>230600</v>
      </c>
      <c r="AD81" s="69" t="str">
        <f>IF(AC81&lt;60,"1",IF(AC81&lt;=43200,"2",IF(AC81&lt;=777600,"3","4")))</f>
        <v>3</v>
      </c>
      <c r="AE81" s="87">
        <f>AA81-Y81</f>
        <v>604200</v>
      </c>
      <c r="AF81" s="88">
        <f>AV81</f>
        <v>0.69</v>
      </c>
      <c r="AG81" s="72">
        <f>((AW81-AV81)+(AX81-AW81))/2</f>
        <v>-5.4999999999999993E-2</v>
      </c>
      <c r="AH81" s="4"/>
      <c r="AI81" s="72">
        <f>RSQ(AV81:AX81,AV80:AX80)</f>
        <v>0.88907190943020442</v>
      </c>
      <c r="AJ81" s="110">
        <f>SLOPE(AV81:AX81,AV80:AX80)</f>
        <v>-1.5886259770293073E-7</v>
      </c>
      <c r="AK81" s="72">
        <f>INTERCEPT(AV81:AX81,AV80:AX80)</f>
        <v>0.67330038169696249</v>
      </c>
      <c r="AL81" s="72">
        <f>INDEX(LINEST(LN(AV81:AX81),LN(AV80:AX80),TRUE,TRUE),3,1)</f>
        <v>0.89845794875751039</v>
      </c>
      <c r="AM81" s="72">
        <f>INDEX(LINEST(LN(AV81:AX81),LN(AV80:AX80)),1)</f>
        <v>-2.3146964031138736E-2</v>
      </c>
      <c r="AN81" s="72">
        <f>EXP(INDEX(LINEST(LN(AV81:AX81),LN(AV80:AX80)),1,2))</f>
        <v>0.80714512945459105</v>
      </c>
      <c r="AO81" s="89">
        <f>INDEX(LINEST((AV81:AX81),LN(AV80:AX80),TRUE,TRUE),3,1)</f>
        <v>0.91282677614542207</v>
      </c>
      <c r="AP81" s="89">
        <f>INDEX(LINEST((AV81:AX81),LN(AV80:AX80)),1)</f>
        <v>-1.4754723231674025E-2</v>
      </c>
      <c r="AQ81" s="90">
        <f>INDEX(LINEST(LN(AV81:AX81),SQRT(AV80:AX80),TRUE,TRUE),3,1)</f>
        <v>0.99265855765578481</v>
      </c>
      <c r="AR81" s="117">
        <f>INDEX(LINEST(LN(AV81:AX81),SQRT((AV80:AX80))),1)</f>
        <v>-2.2735747198805389E-4</v>
      </c>
      <c r="AS81" s="91">
        <f>INDEX(LINEST(1/(AV81:AX81),1/(SQRT(AV80:AX80)),TRUE,TRUE),3,1)</f>
        <v>0.70209398617616847</v>
      </c>
      <c r="AT81" s="91">
        <f>INDEX(LINEST(1/(AV81:AX81),1/SQRT(AV80:AX80)),1)</f>
        <v>-5.2040459668771399</v>
      </c>
      <c r="AU81" s="3"/>
      <c r="AV81" s="73">
        <v>0.69</v>
      </c>
      <c r="AW81" s="73">
        <v>0.64</v>
      </c>
      <c r="AX81" s="73">
        <v>0.57999999999999996</v>
      </c>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c r="BZ81" s="53"/>
      <c r="CA81" s="53"/>
      <c r="CB81" s="53"/>
      <c r="CC81" s="53"/>
      <c r="CD81" s="53"/>
      <c r="CE81" s="53"/>
      <c r="CF81" s="53"/>
      <c r="CG81" s="53"/>
      <c r="CH81" s="53"/>
      <c r="CI81" s="53"/>
      <c r="CJ81" s="53"/>
      <c r="CK81" s="53"/>
      <c r="CL81" s="53"/>
      <c r="CM81" s="53"/>
      <c r="CN81" s="53"/>
      <c r="CO81" s="53"/>
      <c r="CP81" s="53"/>
      <c r="CQ81" s="53"/>
      <c r="CR81" s="1"/>
      <c r="CS81" s="1"/>
      <c r="CT81" s="1"/>
      <c r="CU81" s="1"/>
    </row>
    <row r="82" spans="1:99" s="13" customFormat="1" ht="12" customHeight="1" x14ac:dyDescent="0.2">
      <c r="A82" s="65">
        <v>43509</v>
      </c>
      <c r="B82" s="1"/>
      <c r="C82" s="1"/>
      <c r="D82" s="60"/>
      <c r="E82" s="76"/>
      <c r="F82" s="60"/>
      <c r="G82" s="60"/>
      <c r="H82" s="60"/>
      <c r="I82" s="60"/>
      <c r="J82" s="60"/>
      <c r="K82" s="64"/>
      <c r="L82" s="64"/>
      <c r="M82" s="60"/>
      <c r="N82" s="60"/>
      <c r="O82" s="60"/>
      <c r="P82" s="60"/>
      <c r="Q82" s="60"/>
      <c r="R82" s="60"/>
      <c r="S82" s="60"/>
      <c r="T82" s="60"/>
      <c r="U82" s="60"/>
      <c r="V82" s="60"/>
      <c r="W82" s="60"/>
      <c r="X82" s="60"/>
      <c r="Y82" s="76"/>
      <c r="Z82" s="60"/>
      <c r="AA82" s="60"/>
      <c r="AB82" s="60"/>
      <c r="AC82" s="60"/>
      <c r="AD82" s="60"/>
      <c r="AE82" s="60"/>
      <c r="AF82" s="80"/>
      <c r="AG82" s="56"/>
      <c r="AH82" s="4"/>
      <c r="AI82" s="56"/>
      <c r="AJ82" s="109"/>
      <c r="AK82" s="56"/>
      <c r="AL82" s="56"/>
      <c r="AM82" s="56"/>
      <c r="AN82" s="56"/>
      <c r="AO82" s="56"/>
      <c r="AP82" s="56"/>
      <c r="AQ82" s="82"/>
      <c r="AR82" s="115"/>
      <c r="AS82" s="82"/>
      <c r="AT82" s="82"/>
      <c r="AU82" s="4"/>
      <c r="AV82" s="25">
        <f>20*60</f>
        <v>1200</v>
      </c>
      <c r="AW82" s="25">
        <f>24*60*60</f>
        <v>86400</v>
      </c>
      <c r="AX82" s="25">
        <f>7*24*60*60*1</f>
        <v>604800</v>
      </c>
      <c r="AY82" s="53"/>
      <c r="AZ82" s="53"/>
      <c r="BA82" s="53"/>
      <c r="BB82" s="53"/>
      <c r="BC82" s="53"/>
      <c r="BD82" s="53"/>
      <c r="BE82" s="53"/>
      <c r="BF82" s="53"/>
      <c r="BG82" s="53"/>
      <c r="BH82" s="53"/>
      <c r="BI82" s="53"/>
      <c r="BJ82" s="53"/>
      <c r="BK82" s="53"/>
      <c r="BL82" s="53"/>
      <c r="BM82" s="53"/>
      <c r="BN82" s="53"/>
      <c r="BO82" s="53"/>
      <c r="BP82" s="53"/>
      <c r="BQ82" s="53"/>
      <c r="BR82" s="53"/>
      <c r="BS82" s="53"/>
      <c r="BT82" s="53"/>
      <c r="BU82" s="53"/>
      <c r="BV82" s="53"/>
      <c r="BW82" s="53"/>
      <c r="BX82" s="53"/>
      <c r="BY82" s="53"/>
      <c r="BZ82" s="53"/>
      <c r="CA82" s="53"/>
      <c r="CB82" s="53"/>
      <c r="CC82" s="53"/>
      <c r="CD82" s="53"/>
      <c r="CE82" s="53"/>
      <c r="CF82" s="53"/>
      <c r="CG82" s="53"/>
      <c r="CH82" s="53"/>
      <c r="CI82" s="53"/>
      <c r="CJ82" s="53"/>
      <c r="CK82" s="53"/>
      <c r="CL82" s="53"/>
      <c r="CM82" s="53"/>
      <c r="CN82" s="53"/>
      <c r="CO82" s="53"/>
      <c r="CP82" s="53"/>
      <c r="CQ82" s="53"/>
      <c r="CR82" s="1"/>
      <c r="CS82" s="1"/>
      <c r="CT82" s="1"/>
      <c r="CU82" s="1"/>
    </row>
    <row r="83" spans="1:99" s="13" customFormat="1" ht="12" customHeight="1" x14ac:dyDescent="0.2">
      <c r="A83" s="65">
        <v>43509</v>
      </c>
      <c r="B83" s="1" t="s">
        <v>149</v>
      </c>
      <c r="C83" s="1" t="s">
        <v>70</v>
      </c>
      <c r="D83" s="60">
        <v>2018</v>
      </c>
      <c r="E83" s="76">
        <v>1</v>
      </c>
      <c r="F83" s="60">
        <v>77</v>
      </c>
      <c r="G83" s="60">
        <v>77</v>
      </c>
      <c r="H83" s="60" t="s">
        <v>22</v>
      </c>
      <c r="I83" s="60" t="s">
        <v>695</v>
      </c>
      <c r="J83" s="60" t="s">
        <v>313</v>
      </c>
      <c r="K83" s="60">
        <f>IF(J83="syllables",1,IF(J83="trigrams",2,IF(J83="strings",3,IF(J83="visual array",4,IF(J83="characters",5,IF(J83="letters",6,IF(J83="free forms",7,IF(J83="odors",8,IF(J83="words",9,IF(J83="pictures",10,IF(J83="object pictures",11,IF(J83="faces",12,IF(J83="names",13,IF(J83="idioms",14,IF(J83="grades",15,IF(J83="syllable-digit pairs",16,IF(J83="trigram-word pairs",17,IF(J83="word-digit pairs",18,IF(J83="English-Swahili pairs",19,IF(J83="spatial position",20,IF(J83="word pairs",21,IF(J83="word triads",22,IF(J83="generated words",23,IF(J83="word definition pairs",24,IF(J83="math problems",25,IF(J83="famous faces",26,IF(J83="famous names",27,IF(J83="famous voices",28,IF(J83="television programs",29,IF(J83="race horses",30,IF(J83="new vocabulary",31,IF(J83="sentences",32,IF(J83="concepts",33,IF(J83="ad slides",34,IF(J83="scenes",35,IF(J83="famous scenes",36,IF(J83="poems",37,IF(J83="walk",38,IF(J83="faces and events",39,IF(J83="events and names",40,IF(J83="flashbulb",41,IF(J83="stories",42,IF(J83="course material",43,IF(J83="autobiographical",44,IF(J83="novels",45,IF(J83="public events",46,"99"))))))))))))))))))))))))))))))))))))))))))))))</f>
        <v>10</v>
      </c>
      <c r="L83" s="60">
        <f>IF(J83="syllables",1,IF(J83="trigrams",1,IF(J83="strings",1,IF(J83="visual array",1,IF(J83="characters",1,IF(J83="letters",1,IF(J83="free forms",1,IF(J83="odors",2,IF(J83="words",2,IF(J83="pictures",2,IF(J83="object pictures",2,IF(J83="faces",2,IF(J83="names",2,IF(J83="idioms","2",IF(J83="grades",2,IF(J83="syllable-digit pairs",3,IF(J83="trigram-word pairs",3,IF(J83="word-digit pairs",3,IF(J83="English-Swahili pairs",3,IF(J83="spatial position",3,IF(J83="word pairs",4,IF(J83="word triads",4,IF(J83="generated words",4,IF(J83="word definition pairs",4,IF(J83="math problems",4,IF(J83="famous faces",4,IF(J83="famous names",4,IF(J83="famous voices",4,IF(J83="television programs",4,IF(J83="race horses",4,IF(J83="new vocabulary",4,IF(J83="sentences",5,IF(J83="concepts",5,IF(J83="ad slides",5,IF(J83="scenes",5,IF(J83="famous scenes",5,IF(J83="poems",6,IF(J83="walk",6,IF(J83="faces and events",6,IF(J83="events and names",6,IF(J83="flashbulb",7,IF(J83="stories",7,IF(J83="course material",7,IF(J83="autobiographical",7,IF(J83="novels",7,IF(J83="public events",7,"99"))))))))))))))))))))))))))))))))))))))))))))))</f>
        <v>2</v>
      </c>
      <c r="M83" s="60">
        <v>0</v>
      </c>
      <c r="N83" s="60">
        <v>1</v>
      </c>
      <c r="O83" s="60">
        <v>0</v>
      </c>
      <c r="P83" s="60"/>
      <c r="Q83" s="60" t="s">
        <v>34</v>
      </c>
      <c r="R83" s="60">
        <f>IF(Q83="Free Recall",1,IF(Q83="Cued Recall",2,IF(Q83="Recognition",3,IF(Q83="Multiple Choice",4,IF(Q83="Savings",5,IF(Q83="Stem Completion",6,IF(Q83="Fragment Completion",7,IF(Q83="anagram solution",8,IF(Q83="Matching",9,IF(Q83="Problem Solving",10,"99"))))))))))</f>
        <v>3</v>
      </c>
      <c r="S83" s="60" t="s">
        <v>15</v>
      </c>
      <c r="T83" s="59" t="s">
        <v>581</v>
      </c>
      <c r="U83" s="60">
        <f>IF(T83="within",1,0)</f>
        <v>1</v>
      </c>
      <c r="V83" s="59">
        <v>342</v>
      </c>
      <c r="W83" s="60">
        <f>F83*V83</f>
        <v>26334</v>
      </c>
      <c r="X83" s="60">
        <v>3</v>
      </c>
      <c r="Y83" s="76">
        <f>AV82</f>
        <v>1200</v>
      </c>
      <c r="Z83" s="60" t="s">
        <v>150</v>
      </c>
      <c r="AA83" s="60">
        <v>604800</v>
      </c>
      <c r="AB83" s="60" t="str">
        <f>IF(AA83&lt;60,"1",IF(AA83&lt;=43200,"2",IF(AA83&lt;=777600,"3","4")))</f>
        <v>3</v>
      </c>
      <c r="AC83" s="56">
        <f>AVERAGE(AV82:DA82)</f>
        <v>230800</v>
      </c>
      <c r="AD83" s="60" t="str">
        <f>IF(AC83&lt;60,"1",IF(AC83&lt;=43200,"2",IF(AC83&lt;=777600,"3","4")))</f>
        <v>3</v>
      </c>
      <c r="AE83" s="76">
        <f>AA83-Y83</f>
        <v>603600</v>
      </c>
      <c r="AF83" s="80">
        <f>AV83</f>
        <v>0.6</v>
      </c>
      <c r="AG83" s="56">
        <f>((AW83-AV83)+(AX83-AW83))/2</f>
        <v>-6.5000000000000002E-2</v>
      </c>
      <c r="AH83" s="4"/>
      <c r="AI83" s="56">
        <f>RSQ(AV83:AX83,AV82:AX82)</f>
        <v>0.93372557957535929</v>
      </c>
      <c r="AJ83" s="109">
        <f>SLOPE(AV83:AX83,AV82:AX82)</f>
        <v>-1.9396231846251418E-7</v>
      </c>
      <c r="AK83" s="56">
        <f>INTERCEPT(AV83:AX83,AV82:AX82)</f>
        <v>0.58476650310114819</v>
      </c>
      <c r="AL83" s="56">
        <f>INDEX(LINEST(LN(AV83:AX83),LN(AV82:AX82),TRUE,TRUE),3,1)</f>
        <v>0.86421170311240691</v>
      </c>
      <c r="AM83" s="56">
        <f>INDEX(LINEST(LN(AV83:AX83),LN(AV82:AX82)),1)</f>
        <v>-3.6145297356931498E-2</v>
      </c>
      <c r="AN83" s="56">
        <f>EXP(INDEX(LINEST(LN(AV83:AX83),LN(AV82:AX82)),1,2))</f>
        <v>0.78784330949176906</v>
      </c>
      <c r="AO83" s="82">
        <f>INDEX(LINEST((AV83:AX83),LN(AV82:AX82),TRUE,TRUE),3,1)</f>
        <v>0.88534921735049998</v>
      </c>
      <c r="AP83" s="82">
        <f>INDEX(LINEST((AV83:AX83),LN(AV82:AX82)),1)</f>
        <v>-1.9383243771504754E-2</v>
      </c>
      <c r="AQ83" s="83">
        <f>INDEX(LINEST(LN(AV83:AX83),SQRT(AV82:AX82),TRUE,TRUE),3,1)</f>
        <v>0.99993194461528112</v>
      </c>
      <c r="AR83" s="116">
        <f>INDEX(LINEST(LN(AV83:AX83),SQRT((AV82:AX82))),1)</f>
        <v>-3.2817013748688751E-4</v>
      </c>
      <c r="AS83" s="84">
        <f>INDEX(LINEST(1/(AV83:AX83),1/(SQRT(AV82:AX82)),TRUE,TRUE),3,1)</f>
        <v>0.63382354877270641</v>
      </c>
      <c r="AT83" s="84">
        <f>INDEX(LINEST(1/(AV83:AX83),1/SQRT(AV82:AX82)),1)</f>
        <v>-12.186522208787297</v>
      </c>
      <c r="AU83" s="3"/>
      <c r="AV83" s="53">
        <v>0.6</v>
      </c>
      <c r="AW83" s="53">
        <v>0.55000000000000004</v>
      </c>
      <c r="AX83" s="53">
        <v>0.47</v>
      </c>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53"/>
      <c r="CD83" s="53"/>
      <c r="CE83" s="53"/>
      <c r="CF83" s="53"/>
      <c r="CG83" s="53"/>
      <c r="CH83" s="53"/>
      <c r="CI83" s="53"/>
      <c r="CJ83" s="53"/>
      <c r="CK83" s="53"/>
      <c r="CL83" s="53"/>
      <c r="CM83" s="53"/>
      <c r="CN83" s="53"/>
      <c r="CO83" s="53"/>
      <c r="CP83" s="53"/>
      <c r="CQ83" s="53"/>
      <c r="CR83" s="1"/>
      <c r="CS83" s="1"/>
      <c r="CT83" s="1"/>
      <c r="CU83" s="1"/>
    </row>
    <row r="84" spans="1:99" s="13" customFormat="1" ht="12" customHeight="1" x14ac:dyDescent="0.2">
      <c r="A84" s="68">
        <v>43509</v>
      </c>
      <c r="B84" s="70"/>
      <c r="C84" s="70"/>
      <c r="D84" s="69"/>
      <c r="E84" s="87"/>
      <c r="F84" s="69"/>
      <c r="G84" s="69"/>
      <c r="H84" s="69"/>
      <c r="I84" s="69"/>
      <c r="J84" s="69"/>
      <c r="K84" s="107"/>
      <c r="L84" s="107"/>
      <c r="M84" s="69"/>
      <c r="N84" s="69"/>
      <c r="O84" s="69"/>
      <c r="P84" s="69"/>
      <c r="Q84" s="69"/>
      <c r="R84" s="69"/>
      <c r="S84" s="69"/>
      <c r="T84" s="69"/>
      <c r="U84" s="69"/>
      <c r="V84" s="69"/>
      <c r="W84" s="69"/>
      <c r="X84" s="69"/>
      <c r="Y84" s="87"/>
      <c r="Z84" s="69"/>
      <c r="AA84" s="69"/>
      <c r="AB84" s="69"/>
      <c r="AC84" s="69"/>
      <c r="AD84" s="69"/>
      <c r="AE84" s="69"/>
      <c r="AF84" s="88"/>
      <c r="AG84" s="72"/>
      <c r="AH84" s="4"/>
      <c r="AI84" s="72"/>
      <c r="AJ84" s="110"/>
      <c r="AK84" s="72"/>
      <c r="AL84" s="72"/>
      <c r="AM84" s="72"/>
      <c r="AN84" s="72"/>
      <c r="AO84" s="72"/>
      <c r="AP84" s="72"/>
      <c r="AQ84" s="72"/>
      <c r="AR84" s="110"/>
      <c r="AS84" s="72"/>
      <c r="AT84" s="72"/>
      <c r="AU84" s="4"/>
      <c r="AV84" s="71">
        <f>5*60</f>
        <v>300</v>
      </c>
      <c r="AW84" s="71">
        <f>24*60*60*1</f>
        <v>86400</v>
      </c>
      <c r="AX84" s="71">
        <f>24*60*60*7</f>
        <v>604800</v>
      </c>
      <c r="AY84" s="53"/>
      <c r="AZ84" s="53"/>
      <c r="BA84" s="53"/>
      <c r="BB84" s="53"/>
      <c r="BC84" s="53"/>
      <c r="BD84" s="53"/>
      <c r="BE84" s="53"/>
      <c r="BF84" s="53"/>
      <c r="BG84" s="53"/>
      <c r="BH84" s="53"/>
      <c r="BI84" s="53"/>
      <c r="BJ84" s="53"/>
      <c r="BK84" s="53"/>
      <c r="BL84" s="53"/>
      <c r="BM84" s="53"/>
      <c r="BN84" s="53"/>
      <c r="BO84" s="53"/>
      <c r="BP84" s="53"/>
      <c r="BQ84" s="53"/>
      <c r="BR84" s="53"/>
      <c r="BS84" s="53"/>
      <c r="BT84" s="53"/>
      <c r="BU84" s="53"/>
      <c r="BV84" s="53"/>
      <c r="BW84" s="53"/>
      <c r="BX84" s="53"/>
      <c r="BY84" s="53"/>
      <c r="BZ84" s="53"/>
      <c r="CA84" s="53"/>
      <c r="CB84" s="53"/>
      <c r="CC84" s="53"/>
      <c r="CD84" s="53"/>
      <c r="CE84" s="53"/>
      <c r="CF84" s="53"/>
      <c r="CG84" s="53"/>
      <c r="CH84" s="53"/>
      <c r="CI84" s="53"/>
      <c r="CJ84" s="53"/>
      <c r="CK84" s="53"/>
      <c r="CL84" s="53"/>
      <c r="CM84" s="53"/>
      <c r="CN84" s="53"/>
      <c r="CO84" s="53"/>
      <c r="CP84" s="53"/>
      <c r="CQ84" s="53"/>
      <c r="CR84" s="1"/>
      <c r="CS84" s="1"/>
      <c r="CT84" s="1"/>
      <c r="CU84" s="1"/>
    </row>
    <row r="85" spans="1:99" s="13" customFormat="1" ht="12" customHeight="1" x14ac:dyDescent="0.2">
      <c r="A85" s="68">
        <v>43509</v>
      </c>
      <c r="B85" s="70" t="s">
        <v>106</v>
      </c>
      <c r="C85" s="70" t="s">
        <v>107</v>
      </c>
      <c r="D85" s="69">
        <v>2005</v>
      </c>
      <c r="E85" s="87">
        <v>1</v>
      </c>
      <c r="F85" s="69">
        <v>72</v>
      </c>
      <c r="G85" s="69">
        <v>24</v>
      </c>
      <c r="H85" s="69" t="s">
        <v>41</v>
      </c>
      <c r="I85" s="69" t="s">
        <v>696</v>
      </c>
      <c r="J85" s="69" t="s">
        <v>677</v>
      </c>
      <c r="K85" s="69">
        <f>IF(J85="syllables",1,IF(J85="trigrams",2,IF(J85="strings",3,IF(J85="visual array",4,IF(J85="characters",5,IF(J85="letters",6,IF(J85="free forms",7,IF(J85="odors",8,IF(J85="words",9,IF(J85="pictures",10,IF(J85="object pictures",11,IF(J85="faces",12,IF(J85="names",13,IF(J85="idioms",14,IF(J85="grades",15,IF(J85="syllable-digit pairs",16,IF(J85="trigram-word pairs",17,IF(J85="word-digit pairs",18,IF(J85="English-Swahili pairs",19,IF(J85="spatial position",20,IF(J85="word pairs",21,IF(J85="word triads",22,IF(J85="generated words",23,IF(J85="word definition pairs",24,IF(J85="math problems",25,IF(J85="famous faces",26,IF(J85="famous names",27,IF(J85="famous voices",28,IF(J85="television programs",29,IF(J85="race horses",30,IF(J85="new vocabulary",31,IF(J85="sentences",32,IF(J85="concepts",33,IF(J85="ad slides",34,IF(J85="scenes",35,IF(J85="famous scenes",36,IF(J85="poems",37,IF(J85="walk",38,IF(J85="faces and events",39,IF(J85="events and names",40,IF(J85="flashbulb",41,IF(J85="stories",42,IF(J85="course material",43,IF(J85="autobiographical",44,IF(J85="novels",45,IF(J85="public events",46,"99"))))))))))))))))))))))))))))))))))))))))))))))</f>
        <v>42</v>
      </c>
      <c r="L85" s="69">
        <f>IF(J85="syllables",1,IF(J85="trigrams",1,IF(J85="strings",1,IF(J85="visual array",1,IF(J85="characters",1,IF(J85="letters",1,IF(J85="free forms",1,IF(J85="odors",2,IF(J85="words",2,IF(J85="pictures",2,IF(J85="object pictures",2,IF(J85="faces",2,IF(J85="names",2,IF(J85="idioms","2",IF(J85="grades",2,IF(J85="syllable-digit pairs",3,IF(J85="trigram-word pairs",3,IF(J85="word-digit pairs",3,IF(J85="English-Swahili pairs",3,IF(J85="spatial position",3,IF(J85="word pairs",4,IF(J85="word triads",4,IF(J85="generated words",4,IF(J85="word definition pairs",4,IF(J85="math problems",4,IF(J85="famous faces",4,IF(J85="famous names",4,IF(J85="famous voices",4,IF(J85="television programs",4,IF(J85="race horses",4,IF(J85="new vocabulary",4,IF(J85="sentences",5,IF(J85="concepts",5,IF(J85="ad slides",5,IF(J85="scenes",5,IF(J85="famous scenes",5,IF(J85="poems",6,IF(J85="walk",6,IF(J85="faces and events",6,IF(J85="events and names",6,IF(J85="flashbulb",7,IF(J85="stories",7,IF(J85="course material",7,IF(J85="autobiographical",7,IF(J85="novels",7,IF(J85="public events",7,"99"))))))))))))))))))))))))))))))))))))))))))))))</f>
        <v>7</v>
      </c>
      <c r="M85" s="69">
        <v>0</v>
      </c>
      <c r="N85" s="69">
        <v>3</v>
      </c>
      <c r="O85" s="69">
        <v>1</v>
      </c>
      <c r="P85" s="69" t="s">
        <v>108</v>
      </c>
      <c r="Q85" s="69" t="s">
        <v>174</v>
      </c>
      <c r="R85" s="69">
        <f>IF(Q85="Free Recall",1,IF(Q85="Cued Recall",2,IF(Q85="Recognition",3,IF(Q85="Multiple Choice",4,IF(Q85="Savings",5,IF(Q85="Stem Completion",6,IF(Q85="Fragment Completion",7,IF(Q85="anagram solution",8,IF(Q85="Matching",9,IF(Q85="Problem Solving",10,"99"))))))))))</f>
        <v>1</v>
      </c>
      <c r="S85" s="69" t="s">
        <v>49</v>
      </c>
      <c r="T85" s="69" t="s">
        <v>261</v>
      </c>
      <c r="U85" s="69">
        <f>IF(T85="within",1,0)</f>
        <v>0</v>
      </c>
      <c r="V85" s="69">
        <v>22</v>
      </c>
      <c r="W85" s="69">
        <f>F85*V85</f>
        <v>1584</v>
      </c>
      <c r="X85" s="69">
        <v>3</v>
      </c>
      <c r="Y85" s="87">
        <f>AV84</f>
        <v>300</v>
      </c>
      <c r="Z85" s="69" t="s">
        <v>97</v>
      </c>
      <c r="AA85" s="69">
        <v>604800</v>
      </c>
      <c r="AB85" s="69" t="str">
        <f>IF(AA85&lt;60,"1",IF(AA85&lt;=43200,"2",IF(AA85&lt;=777600,"3","4")))</f>
        <v>3</v>
      </c>
      <c r="AC85" s="72">
        <f>AVERAGE(AV84:DA84)</f>
        <v>230500</v>
      </c>
      <c r="AD85" s="69" t="str">
        <f>IF(AC85&lt;60,"1",IF(AC85&lt;=43200,"2",IF(AC85&lt;=777600,"3","4")))</f>
        <v>3</v>
      </c>
      <c r="AE85" s="87">
        <f>AA85-Y85</f>
        <v>604500</v>
      </c>
      <c r="AF85" s="88">
        <f>AV85</f>
        <v>0.75800000000000001</v>
      </c>
      <c r="AG85" s="72">
        <f>((AW85-AV85)+(AX85-AW85))/2</f>
        <v>-0.13100000000000001</v>
      </c>
      <c r="AH85" s="4"/>
      <c r="AI85" s="72">
        <f>RSQ(AV85:AX85,AV84:AX84)</f>
        <v>0.70071922782380869</v>
      </c>
      <c r="AJ85" s="110">
        <f>SLOPE(AV85:AX85,AV84:AX84)</f>
        <v>-3.4131725382911802E-7</v>
      </c>
      <c r="AK85" s="72">
        <f>INTERCEPT(AV85:AX85,AV84:AX84)</f>
        <v>0.69134029367427841</v>
      </c>
      <c r="AL85" s="72">
        <f>INDEX(LINEST(LN(AV85:AX85),LN(AV84:AX84),TRUE,TRUE),3,1)</f>
        <v>0.97968938094060842</v>
      </c>
      <c r="AM85" s="72">
        <f>INDEX(LINEST(LN(AV85:AX85),LN(AV84:AX84)),1)</f>
        <v>-5.3563338424100639E-2</v>
      </c>
      <c r="AN85" s="72">
        <f>EXP(INDEX(LINEST(LN(AV85:AX85),LN(AV84:AX84)),1,2))</f>
        <v>1.037803344687215</v>
      </c>
      <c r="AO85" s="89">
        <f>INDEX(LINEST((AV85:AX85),LN(AV84:AX84),TRUE,TRUE),3,1)</f>
        <v>0.99234363215271348</v>
      </c>
      <c r="AP85" s="89">
        <f>INDEX(LINEST((AV85:AX85),LN(AV84:AX84)),1)</f>
        <v>-3.3601057730487938E-2</v>
      </c>
      <c r="AQ85" s="90">
        <f>INDEX(LINEST(LN(AV85:AX85),SQRT(AV84:AX84),TRUE,TRUE),3,1)</f>
        <v>0.91937882372867608</v>
      </c>
      <c r="AR85" s="117">
        <f>INDEX(LINEST(LN(AV85:AX85),SQRT((AV84:AX84))),1)</f>
        <v>-5.3294464333535551E-4</v>
      </c>
      <c r="AS85" s="91">
        <f>INDEX(LINEST(1/(AV85:AX85),1/(SQRT(AV84:AX84)),TRUE,TRUE),3,1)</f>
        <v>0.83618032583667368</v>
      </c>
      <c r="AT85" s="91">
        <f>INDEX(LINEST(1/(AV85:AX85),1/SQRT(AV84:AX84)),1)</f>
        <v>-9.9847738304303668</v>
      </c>
      <c r="AU85" s="3"/>
      <c r="AV85" s="73">
        <v>0.75800000000000001</v>
      </c>
      <c r="AW85" s="73">
        <v>0.58399999999999996</v>
      </c>
      <c r="AX85" s="73">
        <v>0.496</v>
      </c>
      <c r="AY85" s="53"/>
      <c r="AZ85" s="53"/>
      <c r="BA85" s="53"/>
      <c r="BB85" s="53"/>
      <c r="BC85" s="53"/>
      <c r="BD85" s="53"/>
      <c r="BE85" s="53"/>
      <c r="BF85" s="53"/>
      <c r="BG85" s="53"/>
      <c r="BH85" s="53"/>
      <c r="BI85" s="53"/>
      <c r="BJ85" s="53"/>
      <c r="BK85" s="53"/>
      <c r="BL85" s="53"/>
      <c r="BM85" s="53"/>
      <c r="BN85" s="53"/>
      <c r="BO85" s="53"/>
      <c r="BP85" s="53"/>
      <c r="BQ85" s="53"/>
      <c r="BR85" s="53"/>
      <c r="BS85" s="53"/>
      <c r="BT85" s="53"/>
      <c r="BU85" s="53"/>
      <c r="BV85" s="53"/>
      <c r="BW85" s="53"/>
      <c r="BX85" s="53"/>
      <c r="BY85" s="53"/>
      <c r="BZ85" s="53"/>
      <c r="CA85" s="53"/>
      <c r="CB85" s="53"/>
      <c r="CC85" s="53"/>
      <c r="CD85" s="53"/>
      <c r="CE85" s="53"/>
      <c r="CF85" s="53"/>
      <c r="CG85" s="53"/>
      <c r="CH85" s="53"/>
      <c r="CI85" s="53"/>
      <c r="CJ85" s="53"/>
      <c r="CK85" s="53"/>
      <c r="CL85" s="53"/>
      <c r="CM85" s="53"/>
      <c r="CN85" s="53"/>
      <c r="CO85" s="53"/>
      <c r="CP85" s="53"/>
      <c r="CQ85" s="53"/>
      <c r="CR85" s="1"/>
      <c r="CS85" s="1"/>
      <c r="CT85" s="1"/>
      <c r="CU85" s="1"/>
    </row>
    <row r="86" spans="1:99" s="13" customFormat="1" ht="12" customHeight="1" x14ac:dyDescent="0.2">
      <c r="A86" s="68">
        <v>43509</v>
      </c>
      <c r="B86" s="70"/>
      <c r="C86" s="70"/>
      <c r="D86" s="69"/>
      <c r="E86" s="87"/>
      <c r="F86" s="69"/>
      <c r="G86" s="69"/>
      <c r="H86" s="69"/>
      <c r="I86" s="69"/>
      <c r="J86" s="69"/>
      <c r="K86" s="107"/>
      <c r="L86" s="107"/>
      <c r="M86" s="69"/>
      <c r="N86" s="69"/>
      <c r="O86" s="69"/>
      <c r="P86" s="69"/>
      <c r="Q86" s="69"/>
      <c r="R86" s="69"/>
      <c r="S86" s="69"/>
      <c r="T86" s="69"/>
      <c r="U86" s="69"/>
      <c r="V86" s="69"/>
      <c r="W86" s="69"/>
      <c r="X86" s="69"/>
      <c r="Y86" s="87"/>
      <c r="Z86" s="69"/>
      <c r="AA86" s="69"/>
      <c r="AB86" s="69"/>
      <c r="AC86" s="69"/>
      <c r="AD86" s="69"/>
      <c r="AE86" s="69"/>
      <c r="AF86" s="88"/>
      <c r="AG86" s="72"/>
      <c r="AH86" s="4"/>
      <c r="AI86" s="72"/>
      <c r="AJ86" s="110"/>
      <c r="AK86" s="72"/>
      <c r="AL86" s="72"/>
      <c r="AM86" s="72"/>
      <c r="AN86" s="72"/>
      <c r="AO86" s="72"/>
      <c r="AP86" s="72"/>
      <c r="AQ86" s="72"/>
      <c r="AR86" s="110"/>
      <c r="AS86" s="72"/>
      <c r="AT86" s="72"/>
      <c r="AU86" s="4"/>
      <c r="AV86" s="71">
        <f>5*60</f>
        <v>300</v>
      </c>
      <c r="AW86" s="71">
        <f>24*60*60*1</f>
        <v>86400</v>
      </c>
      <c r="AX86" s="71">
        <f>24*60*60*7</f>
        <v>604800</v>
      </c>
      <c r="AY86" s="53"/>
      <c r="AZ86" s="53"/>
      <c r="BA86" s="53"/>
      <c r="BB86" s="53"/>
      <c r="BC86" s="53"/>
      <c r="BD86" s="53"/>
      <c r="BE86" s="53"/>
      <c r="BF86" s="53"/>
      <c r="BG86" s="53"/>
      <c r="BH86" s="53"/>
      <c r="BI86" s="53"/>
      <c r="BJ86" s="53"/>
      <c r="BK86" s="53"/>
      <c r="BL86" s="53"/>
      <c r="BM86" s="53"/>
      <c r="BN86" s="53"/>
      <c r="BO86" s="53"/>
      <c r="BP86" s="53"/>
      <c r="BQ86" s="53"/>
      <c r="BR86" s="53"/>
      <c r="BS86" s="53"/>
      <c r="BT86" s="53"/>
      <c r="BU86" s="53"/>
      <c r="BV86" s="53"/>
      <c r="BW86" s="53"/>
      <c r="BX86" s="53"/>
      <c r="BY86" s="53"/>
      <c r="BZ86" s="53"/>
      <c r="CA86" s="53"/>
      <c r="CB86" s="53"/>
      <c r="CC86" s="53"/>
      <c r="CD86" s="53"/>
      <c r="CE86" s="53"/>
      <c r="CF86" s="53"/>
      <c r="CG86" s="53"/>
      <c r="CH86" s="53"/>
      <c r="CI86" s="53"/>
      <c r="CJ86" s="53"/>
      <c r="CK86" s="53"/>
      <c r="CL86" s="53"/>
      <c r="CM86" s="53"/>
      <c r="CN86" s="53"/>
      <c r="CO86" s="53"/>
      <c r="CP86" s="53"/>
      <c r="CQ86" s="53"/>
      <c r="CR86" s="1"/>
      <c r="CS86" s="1"/>
      <c r="CT86" s="1"/>
      <c r="CU86" s="1"/>
    </row>
    <row r="87" spans="1:99" s="13" customFormat="1" ht="12" customHeight="1" x14ac:dyDescent="0.2">
      <c r="A87" s="68">
        <v>43509</v>
      </c>
      <c r="B87" s="70" t="s">
        <v>106</v>
      </c>
      <c r="C87" s="70" t="s">
        <v>107</v>
      </c>
      <c r="D87" s="69">
        <v>2005</v>
      </c>
      <c r="E87" s="87">
        <v>1</v>
      </c>
      <c r="F87" s="69">
        <v>72</v>
      </c>
      <c r="G87" s="69">
        <v>24</v>
      </c>
      <c r="H87" s="69" t="s">
        <v>41</v>
      </c>
      <c r="I87" s="69" t="s">
        <v>697</v>
      </c>
      <c r="J87" s="69" t="s">
        <v>677</v>
      </c>
      <c r="K87" s="69">
        <f>IF(J87="syllables",1,IF(J87="trigrams",2,IF(J87="strings",3,IF(J87="visual array",4,IF(J87="characters",5,IF(J87="letters",6,IF(J87="free forms",7,IF(J87="odors",8,IF(J87="words",9,IF(J87="pictures",10,IF(J87="object pictures",11,IF(J87="faces",12,IF(J87="names",13,IF(J87="idioms",14,IF(J87="grades",15,IF(J87="syllable-digit pairs",16,IF(J87="trigram-word pairs",17,IF(J87="word-digit pairs",18,IF(J87="English-Swahili pairs",19,IF(J87="spatial position",20,IF(J87="word pairs",21,IF(J87="word triads",22,IF(J87="generated words",23,IF(J87="word definition pairs",24,IF(J87="math problems",25,IF(J87="famous faces",26,IF(J87="famous names",27,IF(J87="famous voices",28,IF(J87="television programs",29,IF(J87="race horses",30,IF(J87="new vocabulary",31,IF(J87="sentences",32,IF(J87="concepts",33,IF(J87="ad slides",34,IF(J87="scenes",35,IF(J87="famous scenes",36,IF(J87="poems",37,IF(J87="walk",38,IF(J87="faces and events",39,IF(J87="events and names",40,IF(J87="flashbulb",41,IF(J87="stories",42,IF(J87="course material",43,IF(J87="autobiographical",44,IF(J87="novels",45,IF(J87="public events",46,"99"))))))))))))))))))))))))))))))))))))))))))))))</f>
        <v>42</v>
      </c>
      <c r="L87" s="69">
        <f>IF(J87="syllables",1,IF(J87="trigrams",1,IF(J87="strings",1,IF(J87="visual array",1,IF(J87="characters",1,IF(J87="letters",1,IF(J87="free forms",1,IF(J87="odors",2,IF(J87="words",2,IF(J87="pictures",2,IF(J87="object pictures",2,IF(J87="faces",2,IF(J87="names",2,IF(J87="idioms","2",IF(J87="grades",2,IF(J87="syllable-digit pairs",3,IF(J87="trigram-word pairs",3,IF(J87="word-digit pairs",3,IF(J87="English-Swahili pairs",3,IF(J87="spatial position",3,IF(J87="word pairs",4,IF(J87="word triads",4,IF(J87="generated words",4,IF(J87="word definition pairs",4,IF(J87="math problems",4,IF(J87="famous faces",4,IF(J87="famous names",4,IF(J87="famous voices",4,IF(J87="television programs",4,IF(J87="race horses",4,IF(J87="new vocabulary",4,IF(J87="sentences",5,IF(J87="concepts",5,IF(J87="ad slides",5,IF(J87="scenes",5,IF(J87="famous scenes",5,IF(J87="poems",6,IF(J87="walk",6,IF(J87="faces and events",6,IF(J87="events and names",6,IF(J87="flashbulb",7,IF(J87="stories",7,IF(J87="course material",7,IF(J87="autobiographical",7,IF(J87="novels",7,IF(J87="public events",7,"99"))))))))))))))))))))))))))))))))))))))))))))))</f>
        <v>7</v>
      </c>
      <c r="M87" s="69">
        <v>0</v>
      </c>
      <c r="N87" s="69">
        <v>3</v>
      </c>
      <c r="O87" s="69">
        <v>1</v>
      </c>
      <c r="P87" s="69" t="s">
        <v>108</v>
      </c>
      <c r="Q87" s="69" t="s">
        <v>174</v>
      </c>
      <c r="R87" s="69">
        <f>IF(Q87="Free Recall",1,IF(Q87="Cued Recall",2,IF(Q87="Recognition",3,IF(Q87="Multiple Choice",4,IF(Q87="Savings",5,IF(Q87="Stem Completion",6,IF(Q87="Fragment Completion",7,IF(Q87="anagram solution",8,IF(Q87="Matching",9,IF(Q87="Problem Solving",10,"99"))))))))))</f>
        <v>1</v>
      </c>
      <c r="S87" s="69" t="s">
        <v>49</v>
      </c>
      <c r="T87" s="69" t="s">
        <v>261</v>
      </c>
      <c r="U87" s="69">
        <f>IF(T87="within",1,0)</f>
        <v>0</v>
      </c>
      <c r="V87" s="69">
        <v>22</v>
      </c>
      <c r="W87" s="69">
        <f>F87*V87</f>
        <v>1584</v>
      </c>
      <c r="X87" s="69">
        <v>3</v>
      </c>
      <c r="Y87" s="87">
        <f>AV86</f>
        <v>300</v>
      </c>
      <c r="Z87" s="69" t="s">
        <v>97</v>
      </c>
      <c r="AA87" s="69">
        <v>604800</v>
      </c>
      <c r="AB87" s="69" t="str">
        <f>IF(AA87&lt;60,"1",IF(AA87&lt;=43200,"2",IF(AA87&lt;=777600,"3","4")))</f>
        <v>3</v>
      </c>
      <c r="AC87" s="72">
        <f>AVERAGE(AV86:DA86)</f>
        <v>230500</v>
      </c>
      <c r="AD87" s="69" t="str">
        <f>IF(AC87&lt;60,"1",IF(AC87&lt;=43200,"2",IF(AC87&lt;=777600,"3","4")))</f>
        <v>3</v>
      </c>
      <c r="AE87" s="87">
        <f>AA87-Y87</f>
        <v>604500</v>
      </c>
      <c r="AF87" s="88">
        <f>AV87</f>
        <v>0.70299999999999996</v>
      </c>
      <c r="AG87" s="72">
        <f>((AW87-AV87)+(AX87-AW87))/2</f>
        <v>-0.12799999999999997</v>
      </c>
      <c r="AH87" s="4"/>
      <c r="AI87" s="72">
        <f>RSQ(AV87:AX87,AV86:AX86)</f>
        <v>0.53163979671025596</v>
      </c>
      <c r="AJ87" s="110">
        <f>SLOPE(AV87:AX87,AV86:AX86)</f>
        <v>-3.0521094108811037E-7</v>
      </c>
      <c r="AK87" s="72">
        <f>INTERCEPT(AV87:AX87,AV86:AX86)</f>
        <v>0.61735112192080943</v>
      </c>
      <c r="AL87" s="72">
        <f>INDEX(LINEST(LN(AV87:AX87),LN(AV86:AX86),TRUE,TRUE),3,1)</f>
        <v>0.99740358280672914</v>
      </c>
      <c r="AM87" s="72">
        <f>INDEX(LINEST(LN(AV87:AX87),LN(AV86:AX86)),1)</f>
        <v>-6.0378123203897564E-2</v>
      </c>
      <c r="AN87" s="72">
        <f>EXP(INDEX(LINEST(LN(AV87:AX87),LN(AV86:AX86)),1,2))</f>
        <v>0.98858995205561606</v>
      </c>
      <c r="AO87" s="89">
        <f>INDEX(LINEST((AV87:AX87),LN(AV86:AX86),TRUE,TRUE),3,1)</f>
        <v>0.99240330263243104</v>
      </c>
      <c r="AP87" s="89">
        <f>INDEX(LINEST((AV87:AX87),LN(AV86:AX86)),1)</f>
        <v>-3.4496190433081775E-2</v>
      </c>
      <c r="AQ87" s="90">
        <f>INDEX(LINEST(LN(AV87:AX87),SQRT(AV86:AX86),TRUE,TRUE),3,1)</f>
        <v>0.7852189386587507</v>
      </c>
      <c r="AR87" s="117">
        <f>INDEX(LINEST(LN(AV87:AX87),SQRT((AV86:AX86))),1)</f>
        <v>-5.5023846445825992E-4</v>
      </c>
      <c r="AS87" s="91">
        <f>INDEX(LINEST(1/(AV87:AX87),1/(SQRT(AV86:AX86)),TRUE,TRUE),3,1)</f>
        <v>0.95843174924579755</v>
      </c>
      <c r="AT87" s="91">
        <f>INDEX(LINEST(1/(AV87:AX87),1/SQRT(AV86:AX86)),1)</f>
        <v>-12.98729282189745</v>
      </c>
      <c r="AU87" s="3"/>
      <c r="AV87" s="73">
        <v>0.70299999999999996</v>
      </c>
      <c r="AW87" s="73">
        <v>0.49099999999999999</v>
      </c>
      <c r="AX87" s="73">
        <v>0.44700000000000001</v>
      </c>
      <c r="AY87" s="53"/>
      <c r="AZ87" s="53"/>
      <c r="BA87" s="53"/>
      <c r="BB87" s="53"/>
      <c r="BC87" s="53"/>
      <c r="BD87" s="53"/>
      <c r="BE87" s="53"/>
      <c r="BF87" s="53"/>
      <c r="BG87" s="53"/>
      <c r="BH87" s="53"/>
      <c r="BI87" s="53"/>
      <c r="BJ87" s="53"/>
      <c r="BK87" s="53"/>
      <c r="BL87" s="53"/>
      <c r="BM87" s="53"/>
      <c r="BN87" s="53"/>
      <c r="BO87" s="53"/>
      <c r="BP87" s="53"/>
      <c r="BQ87" s="53"/>
      <c r="BR87" s="53"/>
      <c r="BS87" s="53"/>
      <c r="BT87" s="53"/>
      <c r="BU87" s="53"/>
      <c r="BV87" s="53"/>
      <c r="BW87" s="53"/>
      <c r="BX87" s="53"/>
      <c r="BY87" s="53"/>
      <c r="BZ87" s="53"/>
      <c r="CA87" s="53"/>
      <c r="CB87" s="53"/>
      <c r="CC87" s="53"/>
      <c r="CD87" s="53"/>
      <c r="CE87" s="53"/>
      <c r="CF87" s="53"/>
      <c r="CG87" s="53"/>
      <c r="CH87" s="53"/>
      <c r="CI87" s="53"/>
      <c r="CJ87" s="53"/>
      <c r="CK87" s="53"/>
      <c r="CL87" s="53"/>
      <c r="CM87" s="53"/>
      <c r="CN87" s="53"/>
      <c r="CO87" s="53"/>
      <c r="CP87" s="53"/>
      <c r="CQ87" s="53"/>
      <c r="CR87" s="1"/>
      <c r="CS87" s="1"/>
      <c r="CT87" s="1"/>
      <c r="CU87" s="1"/>
    </row>
    <row r="88" spans="1:99" s="13" customFormat="1" ht="12" customHeight="1" x14ac:dyDescent="0.2">
      <c r="A88" s="68">
        <v>43509</v>
      </c>
      <c r="B88" s="70"/>
      <c r="C88" s="70"/>
      <c r="D88" s="69"/>
      <c r="E88" s="87"/>
      <c r="F88" s="69"/>
      <c r="G88" s="69"/>
      <c r="H88" s="69"/>
      <c r="I88" s="69"/>
      <c r="J88" s="69"/>
      <c r="K88" s="107"/>
      <c r="L88" s="107"/>
      <c r="M88" s="69"/>
      <c r="N88" s="69"/>
      <c r="O88" s="69"/>
      <c r="P88" s="69"/>
      <c r="Q88" s="69"/>
      <c r="R88" s="69"/>
      <c r="S88" s="69"/>
      <c r="T88" s="69"/>
      <c r="U88" s="69"/>
      <c r="V88" s="69"/>
      <c r="W88" s="69"/>
      <c r="X88" s="69"/>
      <c r="Y88" s="87"/>
      <c r="Z88" s="69"/>
      <c r="AA88" s="69"/>
      <c r="AB88" s="69"/>
      <c r="AC88" s="69"/>
      <c r="AD88" s="69"/>
      <c r="AE88" s="69"/>
      <c r="AF88" s="88"/>
      <c r="AG88" s="72"/>
      <c r="AH88" s="4"/>
      <c r="AI88" s="72"/>
      <c r="AJ88" s="110"/>
      <c r="AK88" s="72"/>
      <c r="AL88" s="72"/>
      <c r="AM88" s="72"/>
      <c r="AN88" s="72"/>
      <c r="AO88" s="72"/>
      <c r="AP88" s="72"/>
      <c r="AQ88" s="72"/>
      <c r="AR88" s="110"/>
      <c r="AS88" s="72"/>
      <c r="AT88" s="72"/>
      <c r="AU88" s="4"/>
      <c r="AV88" s="71">
        <f>5*60</f>
        <v>300</v>
      </c>
      <c r="AW88" s="71">
        <f>24*60*60*1</f>
        <v>86400</v>
      </c>
      <c r="AX88" s="71">
        <f>24*60*60*7</f>
        <v>604800</v>
      </c>
      <c r="AY88" s="53"/>
      <c r="AZ88" s="53"/>
      <c r="BA88" s="53"/>
      <c r="BB88" s="53"/>
      <c r="BC88" s="53"/>
      <c r="BD88" s="53"/>
      <c r="BE88" s="53"/>
      <c r="BF88" s="53"/>
      <c r="BG88" s="53"/>
      <c r="BH88" s="53"/>
      <c r="BI88" s="53"/>
      <c r="BJ88" s="53"/>
      <c r="BK88" s="53"/>
      <c r="BL88" s="53"/>
      <c r="BM88" s="53"/>
      <c r="BN88" s="53"/>
      <c r="BO88" s="53"/>
      <c r="BP88" s="53"/>
      <c r="BQ88" s="53"/>
      <c r="BR88" s="53"/>
      <c r="BS88" s="53"/>
      <c r="BT88" s="53"/>
      <c r="BU88" s="53"/>
      <c r="BV88" s="53"/>
      <c r="BW88" s="53"/>
      <c r="BX88" s="53"/>
      <c r="BY88" s="53"/>
      <c r="BZ88" s="53"/>
      <c r="CA88" s="53"/>
      <c r="CB88" s="53"/>
      <c r="CC88" s="53"/>
      <c r="CD88" s="53"/>
      <c r="CE88" s="53"/>
      <c r="CF88" s="53"/>
      <c r="CG88" s="53"/>
      <c r="CH88" s="53"/>
      <c r="CI88" s="53"/>
      <c r="CJ88" s="53"/>
      <c r="CK88" s="53"/>
      <c r="CL88" s="53"/>
      <c r="CM88" s="53"/>
      <c r="CN88" s="53"/>
      <c r="CO88" s="53"/>
      <c r="CP88" s="53"/>
      <c r="CQ88" s="53"/>
      <c r="CR88" s="1"/>
      <c r="CS88" s="1"/>
      <c r="CT88" s="1"/>
      <c r="CU88" s="1"/>
    </row>
    <row r="89" spans="1:99" s="13" customFormat="1" ht="12" customHeight="1" x14ac:dyDescent="0.2">
      <c r="A89" s="68">
        <v>43509</v>
      </c>
      <c r="B89" s="70" t="s">
        <v>106</v>
      </c>
      <c r="C89" s="70" t="s">
        <v>107</v>
      </c>
      <c r="D89" s="69">
        <v>2005</v>
      </c>
      <c r="E89" s="87">
        <v>1</v>
      </c>
      <c r="F89" s="69">
        <v>72</v>
      </c>
      <c r="G89" s="69">
        <v>24</v>
      </c>
      <c r="H89" s="69" t="s">
        <v>41</v>
      </c>
      <c r="I89" s="69" t="s">
        <v>698</v>
      </c>
      <c r="J89" s="69" t="s">
        <v>677</v>
      </c>
      <c r="K89" s="69">
        <f>IF(J89="syllables",1,IF(J89="trigrams",2,IF(J89="strings",3,IF(J89="visual array",4,IF(J89="characters",5,IF(J89="letters",6,IF(J89="free forms",7,IF(J89="odors",8,IF(J89="words",9,IF(J89="pictures",10,IF(J89="object pictures",11,IF(J89="faces",12,IF(J89="names",13,IF(J89="idioms",14,IF(J89="grades",15,IF(J89="syllable-digit pairs",16,IF(J89="trigram-word pairs",17,IF(J89="word-digit pairs",18,IF(J89="English-Swahili pairs",19,IF(J89="spatial position",20,IF(J89="word pairs",21,IF(J89="word triads",22,IF(J89="generated words",23,IF(J89="word definition pairs",24,IF(J89="math problems",25,IF(J89="famous faces",26,IF(J89="famous names",27,IF(J89="famous voices",28,IF(J89="television programs",29,IF(J89="race horses",30,IF(J89="new vocabulary",31,IF(J89="sentences",32,IF(J89="concepts",33,IF(J89="ad slides",34,IF(J89="scenes",35,IF(J89="famous scenes",36,IF(J89="poems",37,IF(J89="walk",38,IF(J89="faces and events",39,IF(J89="events and names",40,IF(J89="flashbulb",41,IF(J89="stories",42,IF(J89="course material",43,IF(J89="autobiographical",44,IF(J89="novels",45,IF(J89="public events",46,"99"))))))))))))))))))))))))))))))))))))))))))))))</f>
        <v>42</v>
      </c>
      <c r="L89" s="69">
        <f>IF(J89="syllables",1,IF(J89="trigrams",1,IF(J89="strings",1,IF(J89="visual array",1,IF(J89="characters",1,IF(J89="letters",1,IF(J89="free forms",1,IF(J89="odors",2,IF(J89="words",2,IF(J89="pictures",2,IF(J89="object pictures",2,IF(J89="faces",2,IF(J89="names",2,IF(J89="idioms","2",IF(J89="grades",2,IF(J89="syllable-digit pairs",3,IF(J89="trigram-word pairs",3,IF(J89="word-digit pairs",3,IF(J89="English-Swahili pairs",3,IF(J89="spatial position",3,IF(J89="word pairs",4,IF(J89="word triads",4,IF(J89="generated words",4,IF(J89="word definition pairs",4,IF(J89="math problems",4,IF(J89="famous faces",4,IF(J89="famous names",4,IF(J89="famous voices",4,IF(J89="television programs",4,IF(J89="race horses",4,IF(J89="new vocabulary",4,IF(J89="sentences",5,IF(J89="concepts",5,IF(J89="ad slides",5,IF(J89="scenes",5,IF(J89="famous scenes",5,IF(J89="poems",6,IF(J89="walk",6,IF(J89="faces and events",6,IF(J89="events and names",6,IF(J89="flashbulb",7,IF(J89="stories",7,IF(J89="course material",7,IF(J89="autobiographical",7,IF(J89="novels",7,IF(J89="public events",7,"99"))))))))))))))))))))))))))))))))))))))))))))))</f>
        <v>7</v>
      </c>
      <c r="M89" s="69">
        <v>0</v>
      </c>
      <c r="N89" s="69">
        <v>3</v>
      </c>
      <c r="O89" s="69">
        <v>1</v>
      </c>
      <c r="P89" s="69" t="s">
        <v>108</v>
      </c>
      <c r="Q89" s="69" t="s">
        <v>174</v>
      </c>
      <c r="R89" s="69">
        <f>IF(Q89="Free Recall",1,IF(Q89="Cued Recall",2,IF(Q89="Recognition",3,IF(Q89="Multiple Choice",4,IF(Q89="Savings",5,IF(Q89="Stem Completion",6,IF(Q89="Fragment Completion",7,IF(Q89="anagram solution",8,IF(Q89="Matching",9,IF(Q89="Problem Solving",10,"99"))))))))))</f>
        <v>1</v>
      </c>
      <c r="S89" s="69" t="s">
        <v>49</v>
      </c>
      <c r="T89" s="69" t="s">
        <v>261</v>
      </c>
      <c r="U89" s="69">
        <f>IF(T89="within",1,0)</f>
        <v>0</v>
      </c>
      <c r="V89" s="69">
        <v>22</v>
      </c>
      <c r="W89" s="69">
        <f>F89*V89</f>
        <v>1584</v>
      </c>
      <c r="X89" s="69">
        <v>3</v>
      </c>
      <c r="Y89" s="87">
        <f>AV88</f>
        <v>300</v>
      </c>
      <c r="Z89" s="69" t="s">
        <v>97</v>
      </c>
      <c r="AA89" s="69">
        <v>604800</v>
      </c>
      <c r="AB89" s="69" t="str">
        <f>IF(AA89&lt;60,"1",IF(AA89&lt;=43200,"2",IF(AA89&lt;=777600,"3","4")))</f>
        <v>3</v>
      </c>
      <c r="AC89" s="72">
        <f>AVERAGE(AV88:DA88)</f>
        <v>230500</v>
      </c>
      <c r="AD89" s="69" t="str">
        <f>IF(AC89&lt;60,"1",IF(AC89&lt;=43200,"2",IF(AC89&lt;=777600,"3","4")))</f>
        <v>3</v>
      </c>
      <c r="AE89" s="87">
        <f>AA89-Y89</f>
        <v>604500</v>
      </c>
      <c r="AF89" s="88">
        <f>AV89</f>
        <v>0.57599999999999996</v>
      </c>
      <c r="AG89" s="72">
        <f>((AW89-AV89)+(AX89-AW89))/2</f>
        <v>-0.186</v>
      </c>
      <c r="AH89" s="4"/>
      <c r="AI89" s="72">
        <f>RSQ(AV89:AX89,AV88:AX88)</f>
        <v>0.61463808511326556</v>
      </c>
      <c r="AJ89" s="110">
        <f>SLOPE(AV89:AX89,AV88:AX88)</f>
        <v>-4.6376617234648101E-7</v>
      </c>
      <c r="AK89" s="72">
        <f>INTERCEPT(AV89:AX89,AV88:AX88)</f>
        <v>0.46623143605919715</v>
      </c>
      <c r="AL89" s="72">
        <f>INDEX(LINEST(LN(AV89:AX89),LN(AV88:AX88),TRUE,TRUE),3,1)</f>
        <v>0.9855783217113091</v>
      </c>
      <c r="AM89" s="72">
        <f>INDEX(LINEST(LN(AV89:AX89),LN(AV88:AX88)),1)</f>
        <v>-0.13191737937665859</v>
      </c>
      <c r="AN89" s="72">
        <f>EXP(INDEX(LINEST(LN(AV89:AX89),LN(AV88:AX88)),1,2))</f>
        <v>1.2444680851520158</v>
      </c>
      <c r="AO89" s="89">
        <f>INDEX(LINEST((AV89:AX89),LN(AV88:AX88),TRUE,TRUE),3,1)</f>
        <v>0.99998934811138795</v>
      </c>
      <c r="AP89" s="89">
        <f>INDEX(LINEST((AV89:AX89),LN(AV88:AX88)),1)</f>
        <v>-4.8935350211387459E-2</v>
      </c>
      <c r="AQ89" s="90">
        <f>INDEX(LINEST(LN(AV89:AX89),SQRT(AV88:AX88),TRUE,TRUE),3,1)</f>
        <v>0.90663642568087222</v>
      </c>
      <c r="AR89" s="117">
        <f>INDEX(LINEST(LN(AV89:AX89),SQRT((AV88:AX88))),1)</f>
        <v>-1.2995244114286707E-3</v>
      </c>
      <c r="AS89" s="91">
        <f>INDEX(LINEST(1/(AV89:AX89),1/(SQRT(AV88:AX88)),TRUE,TRUE),3,1)</f>
        <v>0.78908934016734733</v>
      </c>
      <c r="AT89" s="91">
        <f>INDEX(LINEST(1/(AV89:AX89),1/SQRT(AV88:AX88)),1)</f>
        <v>-43.948653629577869</v>
      </c>
      <c r="AU89" s="3"/>
      <c r="AV89" s="73">
        <v>0.57599999999999996</v>
      </c>
      <c r="AW89" s="73">
        <v>0.29799999999999999</v>
      </c>
      <c r="AX89" s="73">
        <v>0.20399999999999999</v>
      </c>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53"/>
      <c r="CD89" s="53"/>
      <c r="CE89" s="53"/>
      <c r="CF89" s="53"/>
      <c r="CG89" s="53"/>
      <c r="CH89" s="53"/>
      <c r="CI89" s="53"/>
      <c r="CJ89" s="53"/>
      <c r="CK89" s="53"/>
      <c r="CL89" s="53"/>
      <c r="CM89" s="53"/>
      <c r="CN89" s="53"/>
      <c r="CO89" s="53"/>
      <c r="CP89" s="53"/>
      <c r="CQ89" s="53"/>
      <c r="CR89" s="1"/>
      <c r="CS89" s="1"/>
      <c r="CT89" s="1"/>
      <c r="CU89" s="1"/>
    </row>
    <row r="90" spans="1:99" ht="12" customHeight="1" x14ac:dyDescent="0.2">
      <c r="A90" s="68">
        <v>43648</v>
      </c>
      <c r="B90" s="94"/>
      <c r="C90" s="94"/>
      <c r="D90" s="92"/>
      <c r="E90" s="105"/>
      <c r="F90" s="92"/>
      <c r="G90" s="92"/>
      <c r="H90" s="92"/>
      <c r="I90" s="92"/>
      <c r="J90" s="92"/>
      <c r="K90" s="107"/>
      <c r="L90" s="107"/>
      <c r="M90" s="92"/>
      <c r="N90" s="92"/>
      <c r="O90" s="92"/>
      <c r="P90" s="92"/>
      <c r="Q90" s="92"/>
      <c r="R90" s="69"/>
      <c r="S90" s="92"/>
      <c r="T90" s="92"/>
      <c r="U90" s="69"/>
      <c r="V90" s="92"/>
      <c r="W90" s="69"/>
      <c r="X90" s="92"/>
      <c r="Y90" s="87"/>
      <c r="Z90" s="92"/>
      <c r="AA90" s="92"/>
      <c r="AB90" s="69"/>
      <c r="AC90" s="69"/>
      <c r="AD90" s="69"/>
      <c r="AE90" s="69"/>
      <c r="AF90" s="88"/>
      <c r="AG90" s="72"/>
      <c r="AH90" s="4"/>
      <c r="AI90" s="108"/>
      <c r="AJ90" s="113"/>
      <c r="AK90" s="108"/>
      <c r="AL90" s="108"/>
      <c r="AM90" s="108"/>
      <c r="AN90" s="108"/>
      <c r="AO90" s="108"/>
      <c r="AP90" s="108"/>
      <c r="AQ90" s="72"/>
      <c r="AR90" s="110"/>
      <c r="AS90" s="72"/>
      <c r="AT90" s="72"/>
      <c r="AU90" s="4"/>
      <c r="AV90" s="98">
        <f>5*60</f>
        <v>300</v>
      </c>
      <c r="AW90" s="98">
        <f>2*24*3600</f>
        <v>172800</v>
      </c>
      <c r="AX90" s="98">
        <f>1*7*24*3600</f>
        <v>604800</v>
      </c>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5"/>
      <c r="CS90" s="15"/>
      <c r="CT90" s="15"/>
      <c r="CU90" s="15"/>
    </row>
    <row r="91" spans="1:99" ht="12" customHeight="1" x14ac:dyDescent="0.2">
      <c r="A91" s="68">
        <v>43648</v>
      </c>
      <c r="B91" s="94" t="s">
        <v>305</v>
      </c>
      <c r="C91" s="94" t="s">
        <v>877</v>
      </c>
      <c r="D91" s="92">
        <v>1978</v>
      </c>
      <c r="E91" s="105">
        <v>1</v>
      </c>
      <c r="F91" s="92">
        <v>108</v>
      </c>
      <c r="G91" s="92">
        <v>36</v>
      </c>
      <c r="H91" s="92" t="s">
        <v>227</v>
      </c>
      <c r="I91" s="92" t="s">
        <v>632</v>
      </c>
      <c r="J91" s="92" t="s">
        <v>677</v>
      </c>
      <c r="K91" s="69">
        <f>IF(J91="syllables",1,IF(J91="trigrams",2,IF(J91="strings",3,IF(J91="visual array",4,IF(J91="characters",5,IF(J91="letters",6,IF(J91="free forms",7,IF(J91="odors",8,IF(J91="words",9,IF(J91="pictures",10,IF(J91="object pictures",11,IF(J91="faces",12,IF(J91="names",13,IF(J91="idioms",14,IF(J91="grades",15,IF(J91="syllable-digit pairs",16,IF(J91="trigram-word pairs",17,IF(J91="word-digit pairs",18,IF(J91="English-Swahili pairs",19,IF(J91="spatial position",20,IF(J91="word pairs",21,IF(J91="word triads",22,IF(J91="generated words",23,IF(J91="word definition pairs",24,IF(J91="math problems",25,IF(J91="famous faces",26,IF(J91="famous names",27,IF(J91="famous voices",28,IF(J91="television programs",29,IF(J91="race horses",30,IF(J91="new vocabulary",31,IF(J91="sentences",32,IF(J91="concepts",33,IF(J91="ad slides",34,IF(J91="scenes",35,IF(J91="famous scenes",36,IF(J91="poems",37,IF(J91="walk",38,IF(J91="faces and events",39,IF(J91="events and names",40,IF(J91="flashbulb",41,IF(J91="stories",42,IF(J91="course material",43,IF(J91="autobiographical",44,IF(J91="novels",45,IF(J91="public events",46,"99"))))))))))))))))))))))))))))))))))))))))))))))</f>
        <v>42</v>
      </c>
      <c r="L91" s="69">
        <f>IF(J91="syllables",1,IF(J91="trigrams",1,IF(J91="strings",1,IF(J91="visual array",1,IF(J91="characters",1,IF(J91="letters",1,IF(J91="free forms",1,IF(J91="odors",2,IF(J91="words",2,IF(J91="pictures",2,IF(J91="object pictures",2,IF(J91="faces",2,IF(J91="names",2,IF(J91="idioms","2",IF(J91="grades",2,IF(J91="syllable-digit pairs",3,IF(J91="trigram-word pairs",3,IF(J91="word-digit pairs",3,IF(J91="English-Swahili pairs",3,IF(J91="spatial position",3,IF(J91="word pairs",4,IF(J91="word triads",4,IF(J91="generated words",4,IF(J91="word definition pairs",4,IF(J91="math problems",4,IF(J91="famous faces",4,IF(J91="famous names",4,IF(J91="famous voices",4,IF(J91="television programs",4,IF(J91="race horses",4,IF(J91="new vocabulary",4,IF(J91="sentences",5,IF(J91="concepts",5,IF(J91="ad slides",5,IF(J91="scenes",5,IF(J91="famous scenes",5,IF(J91="poems",6,IF(J91="walk",6,IF(J91="faces and events",6,IF(J91="events and names",6,IF(J91="flashbulb",7,IF(J91="stories",7,IF(J91="course material",7,IF(J91="autobiographical",7,IF(J91="novels",7,IF(J91="public events",7,"99"))))))))))))))))))))))))))))))))))))))))))))))</f>
        <v>7</v>
      </c>
      <c r="M91" s="92">
        <v>0</v>
      </c>
      <c r="N91" s="92">
        <v>3</v>
      </c>
      <c r="O91" s="92">
        <v>0</v>
      </c>
      <c r="P91" s="92"/>
      <c r="Q91" s="92" t="s">
        <v>174</v>
      </c>
      <c r="R91" s="69">
        <f>IF(Q91="Free Recall",1,IF(Q91="Cued Recall",2,IF(Q91="Recognition",3,IF(Q91="Multiple Choice",4,IF(Q91="Savings",5,IF(Q91="Stem Completion",6,IF(Q91="Fragment Completion",7,IF(Q91="anagram solution",8,IF(Q91="Matching",9,IF(Q91="Problem Solving",10,"99"))))))))))</f>
        <v>1</v>
      </c>
      <c r="S91" s="92" t="s">
        <v>314</v>
      </c>
      <c r="T91" s="92" t="s">
        <v>261</v>
      </c>
      <c r="U91" s="69">
        <f>IF(T91="within",1,0)</f>
        <v>0</v>
      </c>
      <c r="V91" s="92">
        <v>39.5</v>
      </c>
      <c r="W91" s="69">
        <f>F91*V91</f>
        <v>4266</v>
      </c>
      <c r="X91" s="92">
        <v>3</v>
      </c>
      <c r="Y91" s="87">
        <f>AV90</f>
        <v>300</v>
      </c>
      <c r="Z91" s="92" t="s">
        <v>150</v>
      </c>
      <c r="AA91" s="92">
        <f>1*7*24*3600</f>
        <v>604800</v>
      </c>
      <c r="AB91" s="69" t="str">
        <f>IF(AA91&lt;60,"1",IF(AA91&lt;=43200,"2",IF(AA91&lt;=777600,"3","4")))</f>
        <v>3</v>
      </c>
      <c r="AC91" s="72">
        <f>AVERAGE(AV90:DA90)</f>
        <v>259300</v>
      </c>
      <c r="AD91" s="69" t="str">
        <f>IF(AC91&lt;60,"1",IF(AC91&lt;=43200,"2",IF(AC91&lt;=777600,"3","4")))</f>
        <v>3</v>
      </c>
      <c r="AE91" s="87">
        <f>AA91-Y91</f>
        <v>604500</v>
      </c>
      <c r="AF91" s="88">
        <f>AV91</f>
        <v>0.34</v>
      </c>
      <c r="AG91" s="72">
        <f>((AW91-AV91)+(AX91-AW91))/2</f>
        <v>-9.5000000000000015E-2</v>
      </c>
      <c r="AH91" s="4"/>
      <c r="AI91" s="72">
        <f>RSQ(AV91:AX91,AV90:AX90)</f>
        <v>0.61377409162504237</v>
      </c>
      <c r="AJ91" s="110">
        <f>SLOPE(AV91:AX91,AV90:AX90)</f>
        <v>-2.6266735762516543E-7</v>
      </c>
      <c r="AK91" s="72">
        <f>INTERCEPT(AV91:AX91,AV90:AX90)</f>
        <v>0.28810964583220539</v>
      </c>
      <c r="AL91" s="72">
        <f>INDEX(LINEST(LN(AV91:AX91),LN(AV90:AX90),TRUE,TRUE),3,1)</f>
        <v>0.99986343100691832</v>
      </c>
      <c r="AM91" s="72">
        <f>INDEX(LINEST(LN(AV91:AX91),LN(AV90:AX90)),1)</f>
        <v>-0.10803581450967538</v>
      </c>
      <c r="AN91" s="72">
        <f>EXP(INDEX(LINEST(LN(AV91:AX91),LN(AV90:AX90)),1,2))</f>
        <v>0.62907165538327747</v>
      </c>
      <c r="AO91" s="89">
        <f>INDEX(LINEST((AV91:AX91),LN(AV90:AX90),TRUE,TRUE),3,1)</f>
        <v>0.99661476754574685</v>
      </c>
      <c r="AP91" s="89">
        <f>INDEX(LINEST((AV91:AX91),LN(AV90:AX90)),1)</f>
        <v>-2.5547423969272211E-2</v>
      </c>
      <c r="AQ91" s="90">
        <f>INDEX(LINEST(LN(AV91:AX91),SQRT(AV90:AX90),TRUE,TRUE),3,1)</f>
        <v>0.88013920991894701</v>
      </c>
      <c r="AR91" s="117">
        <f>INDEX(LINEST(LN(AV91:AX91),SQRT((AV90:AX90))),1)</f>
        <v>-1.0872846291063278E-3</v>
      </c>
      <c r="AS91" s="91">
        <f>INDEX(LINEST(1/(AV91:AX91),1/(SQRT(AV90:AX90)),TRUE,TRUE),3,1)</f>
        <v>0.96664328110153963</v>
      </c>
      <c r="AT91" s="91">
        <f>INDEX(LINEST(1/(AV91:AX91),1/SQRT(AV90:AX90)),1)</f>
        <v>-59.83458522651182</v>
      </c>
      <c r="AU91" s="4"/>
      <c r="AV91" s="97">
        <v>0.34</v>
      </c>
      <c r="AW91" s="97">
        <v>0.17</v>
      </c>
      <c r="AX91" s="97">
        <v>0.15</v>
      </c>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5"/>
      <c r="CS91" s="15"/>
      <c r="CT91" s="15"/>
      <c r="CU91" s="15"/>
    </row>
    <row r="92" spans="1:99" ht="12" customHeight="1" x14ac:dyDescent="0.2">
      <c r="A92" s="68">
        <v>43648</v>
      </c>
      <c r="B92" s="94"/>
      <c r="C92" s="94"/>
      <c r="D92" s="92"/>
      <c r="E92" s="105"/>
      <c r="F92" s="92"/>
      <c r="G92" s="92"/>
      <c r="H92" s="92"/>
      <c r="I92" s="92"/>
      <c r="J92" s="92"/>
      <c r="K92" s="107"/>
      <c r="L92" s="107"/>
      <c r="M92" s="92"/>
      <c r="N92" s="92"/>
      <c r="O92" s="92"/>
      <c r="P92" s="92"/>
      <c r="Q92" s="92"/>
      <c r="R92" s="69"/>
      <c r="S92" s="92"/>
      <c r="T92" s="92"/>
      <c r="U92" s="69"/>
      <c r="V92" s="92"/>
      <c r="W92" s="69"/>
      <c r="X92" s="92"/>
      <c r="Y92" s="87"/>
      <c r="Z92" s="92"/>
      <c r="AA92" s="92"/>
      <c r="AB92" s="69"/>
      <c r="AC92" s="69"/>
      <c r="AD92" s="69"/>
      <c r="AE92" s="69"/>
      <c r="AF92" s="88"/>
      <c r="AG92" s="72"/>
      <c r="AH92" s="4"/>
      <c r="AI92" s="108"/>
      <c r="AJ92" s="113"/>
      <c r="AK92" s="108"/>
      <c r="AL92" s="108"/>
      <c r="AM92" s="108"/>
      <c r="AN92" s="108"/>
      <c r="AO92" s="108"/>
      <c r="AP92" s="108"/>
      <c r="AQ92" s="108"/>
      <c r="AR92" s="113"/>
      <c r="AS92" s="108"/>
      <c r="AT92" s="108"/>
      <c r="AU92" s="4"/>
      <c r="AV92" s="98">
        <f>5*60</f>
        <v>300</v>
      </c>
      <c r="AW92" s="98">
        <f>2*24*3600</f>
        <v>172800</v>
      </c>
      <c r="AX92" s="98">
        <f>1*7*24*3600</f>
        <v>604800</v>
      </c>
      <c r="AY92" s="15"/>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c r="CR92" s="15"/>
      <c r="CS92" s="15"/>
      <c r="CT92" s="15"/>
      <c r="CU92" s="15"/>
    </row>
    <row r="93" spans="1:99" ht="12" customHeight="1" x14ac:dyDescent="0.2">
      <c r="A93" s="68">
        <v>43648</v>
      </c>
      <c r="B93" s="94" t="s">
        <v>305</v>
      </c>
      <c r="C93" s="94" t="s">
        <v>877</v>
      </c>
      <c r="D93" s="92">
        <v>1978</v>
      </c>
      <c r="E93" s="105">
        <v>1</v>
      </c>
      <c r="F93" s="92">
        <v>108</v>
      </c>
      <c r="G93" s="92">
        <v>36</v>
      </c>
      <c r="H93" s="92" t="s">
        <v>227</v>
      </c>
      <c r="I93" s="92" t="s">
        <v>701</v>
      </c>
      <c r="J93" s="92" t="s">
        <v>677</v>
      </c>
      <c r="K93" s="69">
        <f>IF(J93="syllables",1,IF(J93="trigrams",2,IF(J93="strings",3,IF(J93="visual array",4,IF(J93="characters",5,IF(J93="letters",6,IF(J93="free forms",7,IF(J93="odors",8,IF(J93="words",9,IF(J93="pictures",10,IF(J93="object pictures",11,IF(J93="faces",12,IF(J93="names",13,IF(J93="idioms",14,IF(J93="grades",15,IF(J93="syllable-digit pairs",16,IF(J93="trigram-word pairs",17,IF(J93="word-digit pairs",18,IF(J93="English-Swahili pairs",19,IF(J93="spatial position",20,IF(J93="word pairs",21,IF(J93="word triads",22,IF(J93="generated words",23,IF(J93="word definition pairs",24,IF(J93="math problems",25,IF(J93="famous faces",26,IF(J93="famous names",27,IF(J93="famous voices",28,IF(J93="television programs",29,IF(J93="race horses",30,IF(J93="new vocabulary",31,IF(J93="sentences",32,IF(J93="concepts",33,IF(J93="ad slides",34,IF(J93="scenes",35,IF(J93="famous scenes",36,IF(J93="poems",37,IF(J93="walk",38,IF(J93="faces and events",39,IF(J93="events and names",40,IF(J93="flashbulb",41,IF(J93="stories",42,IF(J93="course material",43,IF(J93="autobiographical",44,IF(J93="novels",45,IF(J93="public events",46,"99"))))))))))))))))))))))))))))))))))))))))))))))</f>
        <v>42</v>
      </c>
      <c r="L93" s="69">
        <f>IF(J93="syllables",1,IF(J93="trigrams",1,IF(J93="strings",1,IF(J93="visual array",1,IF(J93="characters",1,IF(J93="letters",1,IF(J93="free forms",1,IF(J93="odors",2,IF(J93="words",2,IF(J93="pictures",2,IF(J93="object pictures",2,IF(J93="faces",2,IF(J93="names",2,IF(J93="idioms","2",IF(J93="grades",2,IF(J93="syllable-digit pairs",3,IF(J93="trigram-word pairs",3,IF(J93="word-digit pairs",3,IF(J93="English-Swahili pairs",3,IF(J93="spatial position",3,IF(J93="word pairs",4,IF(J93="word triads",4,IF(J93="generated words",4,IF(J93="word definition pairs",4,IF(J93="math problems",4,IF(J93="famous faces",4,IF(J93="famous names",4,IF(J93="famous voices",4,IF(J93="television programs",4,IF(J93="race horses",4,IF(J93="new vocabulary",4,IF(J93="sentences",5,IF(J93="concepts",5,IF(J93="ad slides",5,IF(J93="scenes",5,IF(J93="famous scenes",5,IF(J93="poems",6,IF(J93="walk",6,IF(J93="faces and events",6,IF(J93="events and names",6,IF(J93="flashbulb",7,IF(J93="stories",7,IF(J93="course material",7,IF(J93="autobiographical",7,IF(J93="novels",7,IF(J93="public events",7,"99"))))))))))))))))))))))))))))))))))))))))))))))</f>
        <v>7</v>
      </c>
      <c r="M93" s="92">
        <v>0</v>
      </c>
      <c r="N93" s="92">
        <v>3</v>
      </c>
      <c r="O93" s="92">
        <v>0</v>
      </c>
      <c r="P93" s="92"/>
      <c r="Q93" s="92" t="s">
        <v>174</v>
      </c>
      <c r="R93" s="69">
        <f>IF(Q93="Free Recall",1,IF(Q93="Cued Recall",2,IF(Q93="Recognition",3,IF(Q93="Multiple Choice",4,IF(Q93="Savings",5,IF(Q93="Stem Completion",6,IF(Q93="Fragment Completion",7,IF(Q93="anagram solution",8,IF(Q93="Matching",9,IF(Q93="Problem Solving",10,"99"))))))))))</f>
        <v>1</v>
      </c>
      <c r="S93" s="92" t="s">
        <v>314</v>
      </c>
      <c r="T93" s="92" t="s">
        <v>261</v>
      </c>
      <c r="U93" s="69">
        <f>IF(T93="within",1,0)</f>
        <v>0</v>
      </c>
      <c r="V93" s="92">
        <v>39.5</v>
      </c>
      <c r="W93" s="69">
        <f>F93*V93</f>
        <v>4266</v>
      </c>
      <c r="X93" s="92">
        <v>3</v>
      </c>
      <c r="Y93" s="87">
        <f>AV92</f>
        <v>300</v>
      </c>
      <c r="Z93" s="92" t="s">
        <v>150</v>
      </c>
      <c r="AA93" s="92">
        <f>1*7*24*3600</f>
        <v>604800</v>
      </c>
      <c r="AB93" s="69" t="str">
        <f>IF(AA93&lt;60,"1",IF(AA93&lt;=43200,"2",IF(AA93&lt;=777600,"3","4")))</f>
        <v>3</v>
      </c>
      <c r="AC93" s="72">
        <f>AVERAGE(AV92:DA92)</f>
        <v>259300</v>
      </c>
      <c r="AD93" s="69" t="str">
        <f>IF(AC93&lt;60,"1",IF(AC93&lt;=43200,"2",IF(AC93&lt;=777600,"3","4")))</f>
        <v>3</v>
      </c>
      <c r="AE93" s="87">
        <f>AA93-Y93</f>
        <v>604500</v>
      </c>
      <c r="AF93" s="88">
        <f>AV93</f>
        <v>0.35</v>
      </c>
      <c r="AG93" s="72">
        <f>((AW93-AV93)+(AX93-AW93))/2</f>
        <v>-4.4999999999999984E-2</v>
      </c>
      <c r="AH93" s="4"/>
      <c r="AI93" s="72">
        <f>RSQ(AV93:AX93,AV92:AX92)</f>
        <v>0.96833922959987084</v>
      </c>
      <c r="AJ93" s="110">
        <f>SLOPE(AV93:AX93,AV92:AX92)</f>
        <v>-1.4249729933198748E-7</v>
      </c>
      <c r="AK93" s="72">
        <f>INTERCEPT(AV93:AX93,AV92:AX92)</f>
        <v>0.34361621638345097</v>
      </c>
      <c r="AL93" s="72">
        <f>INDEX(LINEST(LN(AV93:AX93),LN(AV92:AX92),TRUE,TRUE),3,1)</f>
        <v>0.79086345028697957</v>
      </c>
      <c r="AM93" s="72">
        <f>INDEX(LINEST(LN(AV93:AX93),LN(AV92:AX92)),1)</f>
        <v>-3.2578970418358659E-2</v>
      </c>
      <c r="AN93" s="72">
        <f>EXP(INDEX(LINEST(LN(AV93:AX93),LN(AV92:AX92)),1,2))</f>
        <v>0.42661156969242486</v>
      </c>
      <c r="AO93" s="89">
        <f>INDEX(LINEST((AV93:AX93),LN(AV92:AX92),TRUE,TRUE),3,1)</f>
        <v>0.82354634159776308</v>
      </c>
      <c r="AP93" s="89">
        <f>INDEX(LINEST((AV93:AX93),LN(AV92:AX92)),1)</f>
        <v>-1.0030406145695794E-2</v>
      </c>
      <c r="AQ93" s="90">
        <f>INDEX(LINEST(LN(AV93:AX93),SQRT(AV92:AX92),TRUE,TRUE),3,1)</f>
        <v>0.98238027227195956</v>
      </c>
      <c r="AR93" s="117">
        <f>INDEX(LINEST(LN(AV93:AX93),SQRT((AV92:AX92))),1)</f>
        <v>-3.8949023589667723E-4</v>
      </c>
      <c r="AS93" s="91">
        <f>INDEX(LINEST(1/(AV93:AX93),1/(SQRT(AV92:AX92)),TRUE,TRUE),3,1)</f>
        <v>0.63169594174210242</v>
      </c>
      <c r="AT93" s="91">
        <f>INDEX(LINEST(1/(AV93:AX93),1/SQRT(AV92:AX92)),1)</f>
        <v>-12.309190994280446</v>
      </c>
      <c r="AU93" s="4"/>
      <c r="AV93" s="97">
        <v>0.35</v>
      </c>
      <c r="AW93" s="97">
        <v>0.31</v>
      </c>
      <c r="AX93" s="97">
        <v>0.26</v>
      </c>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5"/>
      <c r="CS93" s="15"/>
      <c r="CT93" s="15"/>
      <c r="CU93" s="15"/>
    </row>
    <row r="94" spans="1:99" s="13" customFormat="1" ht="12" customHeight="1" x14ac:dyDescent="0.2">
      <c r="A94" s="65">
        <v>43509</v>
      </c>
      <c r="B94" s="1"/>
      <c r="C94" s="1"/>
      <c r="D94" s="60"/>
      <c r="E94" s="76"/>
      <c r="F94" s="60"/>
      <c r="G94" s="60"/>
      <c r="H94" s="60"/>
      <c r="I94" s="60"/>
      <c r="J94" s="60"/>
      <c r="K94" s="64"/>
      <c r="L94" s="64"/>
      <c r="M94" s="60"/>
      <c r="N94" s="60"/>
      <c r="O94" s="60"/>
      <c r="P94" s="60"/>
      <c r="Q94" s="60"/>
      <c r="R94" s="60"/>
      <c r="S94" s="60"/>
      <c r="T94" s="60"/>
      <c r="U94" s="60"/>
      <c r="V94" s="60"/>
      <c r="W94" s="60"/>
      <c r="X94" s="60"/>
      <c r="Y94" s="76"/>
      <c r="Z94" s="60"/>
      <c r="AA94" s="60"/>
      <c r="AB94" s="60"/>
      <c r="AC94" s="60"/>
      <c r="AD94" s="60"/>
      <c r="AE94" s="60"/>
      <c r="AF94" s="80"/>
      <c r="AG94" s="56"/>
      <c r="AH94" s="4"/>
      <c r="AI94" s="56"/>
      <c r="AJ94" s="109"/>
      <c r="AK94" s="56"/>
      <c r="AL94" s="56"/>
      <c r="AM94" s="56"/>
      <c r="AN94" s="56"/>
      <c r="AO94" s="56"/>
      <c r="AP94" s="56"/>
      <c r="AQ94" s="56"/>
      <c r="AR94" s="109"/>
      <c r="AS94" s="56"/>
      <c r="AT94" s="56"/>
      <c r="AU94" s="5"/>
      <c r="AV94" s="25">
        <v>62</v>
      </c>
      <c r="AW94" s="25">
        <f>3600*1</f>
        <v>3600</v>
      </c>
      <c r="AX94" s="25">
        <f>3600*24</f>
        <v>86400</v>
      </c>
      <c r="AY94" s="53" t="s">
        <v>514</v>
      </c>
      <c r="AZ94" s="53"/>
      <c r="BA94" s="53"/>
      <c r="BB94" s="53"/>
      <c r="BC94" s="53"/>
      <c r="BD94" s="53"/>
      <c r="BE94" s="53"/>
      <c r="BF94" s="53"/>
      <c r="BG94" s="53"/>
      <c r="BH94" s="53"/>
      <c r="BI94" s="53"/>
      <c r="BJ94" s="53"/>
      <c r="BK94" s="53"/>
      <c r="BL94" s="53"/>
      <c r="BM94" s="53"/>
      <c r="BN94" s="53"/>
      <c r="BO94" s="53"/>
      <c r="BP94" s="53"/>
      <c r="BQ94" s="53"/>
      <c r="BR94" s="53"/>
      <c r="BS94" s="53"/>
      <c r="BT94" s="53"/>
      <c r="BU94" s="53"/>
      <c r="BV94" s="53"/>
      <c r="BW94" s="53"/>
      <c r="BX94" s="53"/>
      <c r="BY94" s="53"/>
      <c r="BZ94" s="53"/>
      <c r="CA94" s="53"/>
      <c r="CB94" s="53"/>
      <c r="CC94" s="53"/>
      <c r="CD94" s="53"/>
      <c r="CE94" s="53"/>
      <c r="CF94" s="53"/>
      <c r="CG94" s="53"/>
      <c r="CH94" s="53"/>
      <c r="CI94" s="53"/>
      <c r="CJ94" s="53"/>
      <c r="CK94" s="53"/>
      <c r="CL94" s="53"/>
      <c r="CM94" s="53"/>
      <c r="CN94" s="53"/>
      <c r="CO94" s="53"/>
      <c r="CP94" s="53"/>
      <c r="CQ94" s="53"/>
      <c r="CR94" s="1"/>
      <c r="CS94" s="1"/>
      <c r="CT94" s="1"/>
      <c r="CU94" s="1"/>
    </row>
    <row r="95" spans="1:99" s="13" customFormat="1" ht="12" customHeight="1" x14ac:dyDescent="0.2">
      <c r="A95" s="65">
        <v>43509</v>
      </c>
      <c r="B95" s="1" t="s">
        <v>80</v>
      </c>
      <c r="C95" s="1" t="s">
        <v>45</v>
      </c>
      <c r="D95" s="60">
        <v>1988</v>
      </c>
      <c r="E95" s="76">
        <v>3</v>
      </c>
      <c r="F95" s="60">
        <v>48</v>
      </c>
      <c r="G95" s="60">
        <v>16</v>
      </c>
      <c r="H95" s="60" t="s">
        <v>30</v>
      </c>
      <c r="I95" s="60" t="s">
        <v>702</v>
      </c>
      <c r="J95" s="60" t="s">
        <v>16</v>
      </c>
      <c r="K95" s="60">
        <f>IF(J95="syllables",1,IF(J95="trigrams",2,IF(J95="strings",3,IF(J95="visual array",4,IF(J95="characters",5,IF(J95="letters",6,IF(J95="free forms",7,IF(J95="odors",8,IF(J95="words",9,IF(J95="pictures",10,IF(J95="object pictures",11,IF(J95="faces",12,IF(J95="names",13,IF(J95="idioms",14,IF(J95="grades",15,IF(J95="syllable-digit pairs",16,IF(J95="trigram-word pairs",17,IF(J95="word-digit pairs",18,IF(J95="English-Swahili pairs",19,IF(J95="spatial position",20,IF(J95="word pairs",21,IF(J95="word triads",22,IF(J95="generated words",23,IF(J95="word definition pairs",24,IF(J95="math problems",25,IF(J95="famous faces",26,IF(J95="famous names",27,IF(J95="famous voices",28,IF(J95="television programs",29,IF(J95="race horses",30,IF(J95="new vocabulary",31,IF(J95="sentences",32,IF(J95="concepts",33,IF(J95="ad slides",34,IF(J95="scenes",35,IF(J95="famous scenes",36,IF(J95="poems",37,IF(J95="walk",38,IF(J95="faces and events",39,IF(J95="events and names",40,IF(J95="flashbulb",41,IF(J95="stories",42,IF(J95="course material",43,IF(J95="autobiographical",44,IF(J95="novels",45,IF(J95="public events",46,"99"))))))))))))))))))))))))))))))))))))))))))))))</f>
        <v>9</v>
      </c>
      <c r="L95" s="60">
        <f>IF(J95="syllables",1,IF(J95="trigrams",1,IF(J95="strings",1,IF(J95="visual array",1,IF(J95="characters",1,IF(J95="letters",1,IF(J95="free forms",1,IF(J95="odors",2,IF(J95="words",2,IF(J95="pictures",2,IF(J95="object pictures",2,IF(J95="faces",2,IF(J95="names",2,IF(J95="idioms","2",IF(J95="grades",2,IF(J95="syllable-digit pairs",3,IF(J95="trigram-word pairs",3,IF(J95="word-digit pairs",3,IF(J95="English-Swahili pairs",3,IF(J95="spatial position",3,IF(J95="word pairs",4,IF(J95="word triads",4,IF(J95="generated words",4,IF(J95="word definition pairs",4,IF(J95="math problems",4,IF(J95="famous faces",4,IF(J95="famous names",4,IF(J95="famous voices",4,IF(J95="television programs",4,IF(J95="race horses",4,IF(J95="new vocabulary",4,IF(J95="sentences",5,IF(J95="concepts",5,IF(J95="ad slides",5,IF(J95="scenes",5,IF(J95="famous scenes",5,IF(J95="poems",6,IF(J95="walk",6,IF(J95="faces and events",6,IF(J95="events and names",6,IF(J95="flashbulb",7,IF(J95="stories",7,IF(J95="course material",7,IF(J95="autobiographical",7,IF(J95="novels",7,IF(J95="public events",7,"99"))))))))))))))))))))))))))))))))))))))))))))))</f>
        <v>2</v>
      </c>
      <c r="M95" s="60">
        <v>0</v>
      </c>
      <c r="N95" s="60">
        <v>1</v>
      </c>
      <c r="O95" s="59">
        <v>0</v>
      </c>
      <c r="P95" s="60"/>
      <c r="Q95" s="60" t="s">
        <v>34</v>
      </c>
      <c r="R95" s="60">
        <f>IF(Q95="Free Recall",1,IF(Q95="Cued Recall",2,IF(Q95="Recognition",3,IF(Q95="Multiple Choice",4,IF(Q95="Savings",5,IF(Q95="Stem Completion",6,IF(Q95="Fragment Completion",7,IF(Q95="anagram solution",8,IF(Q95="Matching",9,IF(Q95="Problem Solving",10,"99"))))))))))</f>
        <v>3</v>
      </c>
      <c r="S95" s="60" t="s">
        <v>15</v>
      </c>
      <c r="T95" s="59" t="s">
        <v>261</v>
      </c>
      <c r="U95" s="60">
        <f>IF(T95="within",1,0)</f>
        <v>0</v>
      </c>
      <c r="V95" s="59">
        <v>27</v>
      </c>
      <c r="W95" s="60">
        <f>F95*V95</f>
        <v>1296</v>
      </c>
      <c r="X95" s="60">
        <v>3</v>
      </c>
      <c r="Y95" s="76">
        <f>AV94</f>
        <v>62</v>
      </c>
      <c r="Z95" s="60" t="s">
        <v>79</v>
      </c>
      <c r="AA95" s="60">
        <v>86400</v>
      </c>
      <c r="AB95" s="60" t="str">
        <f>IF(AA95&lt;60,"1",IF(AA95&lt;=43200,"2",IF(AA95&lt;=777600,"3","4")))</f>
        <v>3</v>
      </c>
      <c r="AC95" s="56">
        <f>AVERAGE(AV94:DA94)</f>
        <v>30020.666666666668</v>
      </c>
      <c r="AD95" s="60" t="str">
        <f>IF(AC95&lt;60,"1",IF(AC95&lt;=43200,"2",IF(AC95&lt;=777600,"3","4")))</f>
        <v>2</v>
      </c>
      <c r="AE95" s="76">
        <f>AA95-Y95</f>
        <v>86338</v>
      </c>
      <c r="AF95" s="80">
        <f>AV95</f>
        <v>0.19</v>
      </c>
      <c r="AG95" s="56">
        <f>((AW95-AV95)+(AX95-AW95))/2</f>
        <v>-2.0000000000000004E-2</v>
      </c>
      <c r="AH95" s="4"/>
      <c r="AI95" s="56">
        <f>RSQ(AV95:AX95,AV94:AX94)</f>
        <v>0.51697612761186429</v>
      </c>
      <c r="AJ95" s="109">
        <f>SLOPE(AV95:AX95,AV94:AX94)</f>
        <v>-3.0634505221253405E-7</v>
      </c>
      <c r="AK95" s="56">
        <f>INTERCEPT(AV95:AX95,AV94:AX94)</f>
        <v>0.17586334936412173</v>
      </c>
      <c r="AL95" s="56">
        <f>INDEX(LINEST(LN(AV95:AX95),LN(AV94:AX94),TRUE,TRUE),3,1)</f>
        <v>0.96580546712491144</v>
      </c>
      <c r="AM95" s="56">
        <f>INDEX(LINEST(LN(AV95:AX95),LN(AV94:AX94)),1)</f>
        <v>-3.3090854239568694E-2</v>
      </c>
      <c r="AN95" s="56">
        <f>EXP(INDEX(LINEST(LN(AV95:AX95),LN(AV94:AX94)),1,2))</f>
        <v>0.21532959310014457</v>
      </c>
      <c r="AO95" s="82">
        <f>INDEX(LINEST((AV95:AX95),LN(AV94:AX94),TRUE,TRUE),3,1)</f>
        <v>0.95626145781781069</v>
      </c>
      <c r="AP95" s="82">
        <f>INDEX(LINEST((AV95:AX95),LN(AV94:AX94)),1)</f>
        <v>-5.6096912191106619E-3</v>
      </c>
      <c r="AQ95" s="83">
        <f>INDEX(LINEST(LN(AV95:AX95),SQRT(AV94:AX94),TRUE,TRUE),3,1)</f>
        <v>0.67368194987615038</v>
      </c>
      <c r="AR95" s="116">
        <f>INDEX(LINEST(LN(AV95:AX95),SQRT((AV94:AX94))),1)</f>
        <v>-6.5824284053739236E-4</v>
      </c>
      <c r="AS95" s="84">
        <f>INDEX(LINEST(1/(AV95:AX95),1/(SQRT(AV94:AX94)),TRUE,TRUE),3,1)</f>
        <v>0.9623341744536309</v>
      </c>
      <c r="AT95" s="84">
        <f>INDEX(LINEST(1/(AV95:AX95),1/SQRT(AV94:AX94)),1)</f>
        <v>-10.420639986897124</v>
      </c>
      <c r="AU95" s="3"/>
      <c r="AV95" s="53">
        <v>0.19</v>
      </c>
      <c r="AW95" s="53">
        <v>0.16</v>
      </c>
      <c r="AX95" s="53">
        <v>0.15</v>
      </c>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53"/>
      <c r="CD95" s="53"/>
      <c r="CE95" s="53"/>
      <c r="CF95" s="53"/>
      <c r="CG95" s="53"/>
      <c r="CH95" s="53"/>
      <c r="CI95" s="53"/>
      <c r="CJ95" s="53"/>
      <c r="CK95" s="53"/>
      <c r="CL95" s="53"/>
      <c r="CM95" s="53"/>
      <c r="CN95" s="53"/>
      <c r="CO95" s="53"/>
      <c r="CP95" s="53"/>
      <c r="CQ95" s="53"/>
      <c r="CR95" s="1"/>
      <c r="CS95" s="1"/>
      <c r="CT95" s="1"/>
      <c r="CU95" s="1"/>
    </row>
    <row r="96" spans="1:99" s="13" customFormat="1" ht="12" customHeight="1" x14ac:dyDescent="0.2">
      <c r="A96" s="65">
        <v>43509</v>
      </c>
      <c r="B96" s="1"/>
      <c r="C96" s="1"/>
      <c r="D96" s="60"/>
      <c r="E96" s="76"/>
      <c r="F96" s="60"/>
      <c r="G96" s="60"/>
      <c r="H96" s="60"/>
      <c r="I96" s="60"/>
      <c r="J96" s="60"/>
      <c r="K96" s="64"/>
      <c r="L96" s="64"/>
      <c r="M96" s="60"/>
      <c r="N96" s="60"/>
      <c r="O96" s="60"/>
      <c r="P96" s="60"/>
      <c r="Q96" s="60"/>
      <c r="R96" s="60"/>
      <c r="S96" s="60"/>
      <c r="T96" s="60"/>
      <c r="U96" s="60"/>
      <c r="V96" s="60"/>
      <c r="W96" s="60"/>
      <c r="X96" s="60"/>
      <c r="Y96" s="76"/>
      <c r="Z96" s="60"/>
      <c r="AA96" s="60"/>
      <c r="AB96" s="60"/>
      <c r="AC96" s="60"/>
      <c r="AD96" s="60"/>
      <c r="AE96" s="60"/>
      <c r="AF96" s="80"/>
      <c r="AG96" s="56"/>
      <c r="AH96" s="4"/>
      <c r="AI96" s="56"/>
      <c r="AJ96" s="109"/>
      <c r="AK96" s="56"/>
      <c r="AL96" s="56"/>
      <c r="AM96" s="56"/>
      <c r="AN96" s="56"/>
      <c r="AO96" s="56"/>
      <c r="AP96" s="56"/>
      <c r="AQ96" s="56"/>
      <c r="AR96" s="109"/>
      <c r="AS96" s="56"/>
      <c r="AT96" s="56"/>
      <c r="AU96" s="5"/>
      <c r="AV96" s="25">
        <v>62</v>
      </c>
      <c r="AW96" s="25">
        <f>3600*1</f>
        <v>3600</v>
      </c>
      <c r="AX96" s="25">
        <f>3600*24</f>
        <v>86400</v>
      </c>
      <c r="AY96" s="53"/>
      <c r="AZ96" s="53"/>
      <c r="BA96" s="53"/>
      <c r="BB96" s="53"/>
      <c r="BC96" s="53"/>
      <c r="BD96" s="53"/>
      <c r="BE96" s="53"/>
      <c r="BF96" s="53"/>
      <c r="BG96" s="53"/>
      <c r="BH96" s="53"/>
      <c r="BI96" s="53"/>
      <c r="BJ96" s="53"/>
      <c r="BK96" s="53"/>
      <c r="BL96" s="53"/>
      <c r="BM96" s="53"/>
      <c r="BN96" s="53"/>
      <c r="BO96" s="53"/>
      <c r="BP96" s="53"/>
      <c r="BQ96" s="53"/>
      <c r="BR96" s="53"/>
      <c r="BS96" s="53"/>
      <c r="BT96" s="53"/>
      <c r="BU96" s="53"/>
      <c r="BV96" s="53"/>
      <c r="BW96" s="53"/>
      <c r="BX96" s="53"/>
      <c r="BY96" s="53"/>
      <c r="BZ96" s="53"/>
      <c r="CA96" s="53"/>
      <c r="CB96" s="53"/>
      <c r="CC96" s="53"/>
      <c r="CD96" s="53"/>
      <c r="CE96" s="53"/>
      <c r="CF96" s="53"/>
      <c r="CG96" s="53"/>
      <c r="CH96" s="53"/>
      <c r="CI96" s="53"/>
      <c r="CJ96" s="53"/>
      <c r="CK96" s="53"/>
      <c r="CL96" s="53"/>
      <c r="CM96" s="53"/>
      <c r="CN96" s="53"/>
      <c r="CO96" s="53"/>
      <c r="CP96" s="53"/>
      <c r="CQ96" s="53"/>
      <c r="CR96" s="1"/>
      <c r="CS96" s="1"/>
      <c r="CT96" s="1"/>
      <c r="CU96" s="1"/>
    </row>
    <row r="97" spans="1:99" s="13" customFormat="1" ht="12" customHeight="1" x14ac:dyDescent="0.2">
      <c r="A97" s="65">
        <v>43509</v>
      </c>
      <c r="B97" s="1" t="s">
        <v>80</v>
      </c>
      <c r="C97" s="1" t="s">
        <v>45</v>
      </c>
      <c r="D97" s="60">
        <v>1988</v>
      </c>
      <c r="E97" s="76">
        <v>3</v>
      </c>
      <c r="F97" s="60">
        <v>48</v>
      </c>
      <c r="G97" s="60">
        <v>16</v>
      </c>
      <c r="H97" s="60" t="s">
        <v>30</v>
      </c>
      <c r="I97" s="60" t="s">
        <v>703</v>
      </c>
      <c r="J97" s="60" t="s">
        <v>16</v>
      </c>
      <c r="K97" s="60">
        <f>IF(J97="syllables",1,IF(J97="trigrams",2,IF(J97="strings",3,IF(J97="visual array",4,IF(J97="characters",5,IF(J97="letters",6,IF(J97="free forms",7,IF(J97="odors",8,IF(J97="words",9,IF(J97="pictures",10,IF(J97="object pictures",11,IF(J97="faces",12,IF(J97="names",13,IF(J97="idioms",14,IF(J97="grades",15,IF(J97="syllable-digit pairs",16,IF(J97="trigram-word pairs",17,IF(J97="word-digit pairs",18,IF(J97="English-Swahili pairs",19,IF(J97="spatial position",20,IF(J97="word pairs",21,IF(J97="word triads",22,IF(J97="generated words",23,IF(J97="word definition pairs",24,IF(J97="math problems",25,IF(J97="famous faces",26,IF(J97="famous names",27,IF(J97="famous voices",28,IF(J97="television programs",29,IF(J97="race horses",30,IF(J97="new vocabulary",31,IF(J97="sentences",32,IF(J97="concepts",33,IF(J97="ad slides",34,IF(J97="scenes",35,IF(J97="famous scenes",36,IF(J97="poems",37,IF(J97="walk",38,IF(J97="faces and events",39,IF(J97="events and names",40,IF(J97="flashbulb",41,IF(J97="stories",42,IF(J97="course material",43,IF(J97="autobiographical",44,IF(J97="novels",45,IF(J97="public events",46,"99"))))))))))))))))))))))))))))))))))))))))))))))</f>
        <v>9</v>
      </c>
      <c r="L97" s="60">
        <f>IF(J97="syllables",1,IF(J97="trigrams",1,IF(J97="strings",1,IF(J97="visual array",1,IF(J97="characters",1,IF(J97="letters",1,IF(J97="free forms",1,IF(J97="odors",2,IF(J97="words",2,IF(J97="pictures",2,IF(J97="object pictures",2,IF(J97="faces",2,IF(J97="names",2,IF(J97="idioms","2",IF(J97="grades",2,IF(J97="syllable-digit pairs",3,IF(J97="trigram-word pairs",3,IF(J97="word-digit pairs",3,IF(J97="English-Swahili pairs",3,IF(J97="spatial position",3,IF(J97="word pairs",4,IF(J97="word triads",4,IF(J97="generated words",4,IF(J97="word definition pairs",4,IF(J97="math problems",4,IF(J97="famous faces",4,IF(J97="famous names",4,IF(J97="famous voices",4,IF(J97="television programs",4,IF(J97="race horses",4,IF(J97="new vocabulary",4,IF(J97="sentences",5,IF(J97="concepts",5,IF(J97="ad slides",5,IF(J97="scenes",5,IF(J97="famous scenes",5,IF(J97="poems",6,IF(J97="walk",6,IF(J97="faces and events",6,IF(J97="events and names",6,IF(J97="flashbulb",7,IF(J97="stories",7,IF(J97="course material",7,IF(J97="autobiographical",7,IF(J97="novels",7,IF(J97="public events",7,"99"))))))))))))))))))))))))))))))))))))))))))))))</f>
        <v>2</v>
      </c>
      <c r="M97" s="60">
        <v>0</v>
      </c>
      <c r="N97" s="60">
        <v>1</v>
      </c>
      <c r="O97" s="59">
        <v>0</v>
      </c>
      <c r="P97" s="60"/>
      <c r="Q97" s="60" t="s">
        <v>34</v>
      </c>
      <c r="R97" s="60">
        <f>IF(Q97="Free Recall",1,IF(Q97="Cued Recall",2,IF(Q97="Recognition",3,IF(Q97="Multiple Choice",4,IF(Q97="Savings",5,IF(Q97="Stem Completion",6,IF(Q97="Fragment Completion",7,IF(Q97="anagram solution",8,IF(Q97="Matching",9,IF(Q97="Problem Solving",10,"99"))))))))))</f>
        <v>3</v>
      </c>
      <c r="S97" s="60" t="s">
        <v>15</v>
      </c>
      <c r="T97" s="59" t="s">
        <v>261</v>
      </c>
      <c r="U97" s="60">
        <f>IF(T97="within",1,0)</f>
        <v>0</v>
      </c>
      <c r="V97" s="59">
        <v>27</v>
      </c>
      <c r="W97" s="60">
        <f>F97*V97</f>
        <v>1296</v>
      </c>
      <c r="X97" s="60">
        <v>3</v>
      </c>
      <c r="Y97" s="76">
        <f>AV96</f>
        <v>62</v>
      </c>
      <c r="Z97" s="60" t="s">
        <v>79</v>
      </c>
      <c r="AA97" s="60">
        <v>86400</v>
      </c>
      <c r="AB97" s="60" t="str">
        <f>IF(AA97&lt;60,"1",IF(AA97&lt;=43200,"2",IF(AA97&lt;=777600,"3","4")))</f>
        <v>3</v>
      </c>
      <c r="AC97" s="56">
        <f>AVERAGE(AV96:DA96)</f>
        <v>30020.666666666668</v>
      </c>
      <c r="AD97" s="60" t="str">
        <f>IF(AC97&lt;60,"1",IF(AC97&lt;=43200,"2",IF(AC97&lt;=777600,"3","4")))</f>
        <v>2</v>
      </c>
      <c r="AE97" s="76">
        <f>AA97-Y97</f>
        <v>86338</v>
      </c>
      <c r="AF97" s="80">
        <f>AV97</f>
        <v>0.87</v>
      </c>
      <c r="AG97" s="56">
        <f>((AW97-AV97)+(AX97-AW97))/2</f>
        <v>-9.2499999999999971E-2</v>
      </c>
      <c r="AH97" s="4"/>
      <c r="AI97" s="56">
        <f>RSQ(AV97:AX97,AV96:AX96)</f>
        <v>0.62663171455654709</v>
      </c>
      <c r="AJ97" s="109">
        <f>SLOPE(AV97:AX97,AV96:AX96)</f>
        <v>-1.5206092685375515E-6</v>
      </c>
      <c r="AK97" s="56">
        <f>INTERCEPT(AV97:AX97,AV96:AX96)</f>
        <v>0.81398303731434307</v>
      </c>
      <c r="AL97" s="56">
        <f>INDEX(LINEST(LN(AV97:AX97),LN(AV96:AX96),TRUE,TRUE),3,1)</f>
        <v>0.99534724051545453</v>
      </c>
      <c r="AM97" s="56">
        <f>INDEX(LINEST(LN(AV97:AX97),LN(AV96:AX96)),1)</f>
        <v>-3.3182958324869442E-2</v>
      </c>
      <c r="AN97" s="56">
        <f>EXP(INDEX(LINEST(LN(AV97:AX97),LN(AV96:AX96)),1,2))</f>
        <v>0.99354659176369842</v>
      </c>
      <c r="AO97" s="82">
        <f>INDEX(LINEST((AV97:AX97),LN(AV96:AX96),TRUE,TRUE),3,1)</f>
        <v>0.99010343789232269</v>
      </c>
      <c r="AP97" s="82">
        <f>INDEX(LINEST((AV97:AX97),LN(AV96:AX96)),1)</f>
        <v>-2.5735151941111076E-2</v>
      </c>
      <c r="AQ97" s="83">
        <f>INDEX(LINEST(LN(AV97:AX97),SQRT(AV96:AX96),TRUE,TRUE),3,1)</f>
        <v>0.77826621875707014</v>
      </c>
      <c r="AR97" s="116">
        <f>INDEX(LINEST(LN(AV97:AX97),SQRT((AV96:AX96))),1)</f>
        <v>-6.9885555695927749E-4</v>
      </c>
      <c r="AS97" s="84">
        <f>INDEX(LINEST(1/(AV97:AX97),1/(SQRT(AV96:AX96)),TRUE,TRUE),3,1)</f>
        <v>0.90142309442504909</v>
      </c>
      <c r="AT97" s="84">
        <f>INDEX(LINEST(1/(AV97:AX97),1/SQRT(AV96:AX96)),1)</f>
        <v>-2.1841040687571627</v>
      </c>
      <c r="AU97" s="3"/>
      <c r="AV97" s="53">
        <v>0.87</v>
      </c>
      <c r="AW97" s="53">
        <v>0.75</v>
      </c>
      <c r="AX97" s="53">
        <v>0.68500000000000005</v>
      </c>
      <c r="AY97" s="53"/>
      <c r="AZ97" s="53"/>
      <c r="BA97" s="53"/>
      <c r="BB97" s="53"/>
      <c r="BC97" s="53"/>
      <c r="BD97" s="53"/>
      <c r="BE97" s="53"/>
      <c r="BF97" s="53"/>
      <c r="BG97" s="53"/>
      <c r="BH97" s="53"/>
      <c r="BI97" s="53"/>
      <c r="BJ97" s="53"/>
      <c r="BK97" s="53"/>
      <c r="BL97" s="53"/>
      <c r="BM97" s="53"/>
      <c r="BN97" s="53"/>
      <c r="BO97" s="53"/>
      <c r="BP97" s="53"/>
      <c r="BQ97" s="53"/>
      <c r="BR97" s="53"/>
      <c r="BS97" s="53"/>
      <c r="BT97" s="53"/>
      <c r="BU97" s="53"/>
      <c r="BV97" s="53"/>
      <c r="BW97" s="53"/>
      <c r="BX97" s="53"/>
      <c r="BY97" s="53"/>
      <c r="BZ97" s="53"/>
      <c r="CA97" s="53"/>
      <c r="CB97" s="53"/>
      <c r="CC97" s="53"/>
      <c r="CD97" s="53"/>
      <c r="CE97" s="53"/>
      <c r="CF97" s="53"/>
      <c r="CG97" s="53"/>
      <c r="CH97" s="53"/>
      <c r="CI97" s="53"/>
      <c r="CJ97" s="53"/>
      <c r="CK97" s="53"/>
      <c r="CL97" s="53"/>
      <c r="CM97" s="53"/>
      <c r="CN97" s="53"/>
      <c r="CO97" s="53"/>
      <c r="CP97" s="53"/>
      <c r="CQ97" s="53"/>
      <c r="CR97" s="1"/>
      <c r="CS97" s="1"/>
      <c r="CT97" s="1"/>
      <c r="CU97" s="1"/>
    </row>
    <row r="98" spans="1:99" s="13" customFormat="1" ht="12" customHeight="1" x14ac:dyDescent="0.2">
      <c r="A98" s="68">
        <v>43509</v>
      </c>
      <c r="B98" s="70"/>
      <c r="C98" s="70"/>
      <c r="D98" s="69"/>
      <c r="E98" s="87"/>
      <c r="F98" s="69"/>
      <c r="G98" s="69"/>
      <c r="H98" s="69"/>
      <c r="I98" s="69"/>
      <c r="J98" s="69"/>
      <c r="K98" s="107"/>
      <c r="L98" s="107"/>
      <c r="M98" s="69"/>
      <c r="N98" s="69"/>
      <c r="O98" s="69"/>
      <c r="P98" s="69"/>
      <c r="Q98" s="69"/>
      <c r="R98" s="69"/>
      <c r="S98" s="69"/>
      <c r="T98" s="69"/>
      <c r="U98" s="69"/>
      <c r="V98" s="69"/>
      <c r="W98" s="69"/>
      <c r="X98" s="69"/>
      <c r="Y98" s="87"/>
      <c r="Z98" s="69"/>
      <c r="AA98" s="69"/>
      <c r="AB98" s="69"/>
      <c r="AC98" s="69"/>
      <c r="AD98" s="69"/>
      <c r="AE98" s="69"/>
      <c r="AF98" s="88"/>
      <c r="AG98" s="72"/>
      <c r="AH98" s="4"/>
      <c r="AI98" s="72"/>
      <c r="AJ98" s="110"/>
      <c r="AK98" s="72"/>
      <c r="AL98" s="72"/>
      <c r="AM98" s="72"/>
      <c r="AN98" s="72"/>
      <c r="AO98" s="72"/>
      <c r="AP98" s="72"/>
      <c r="AQ98" s="72"/>
      <c r="AR98" s="110"/>
      <c r="AS98" s="72"/>
      <c r="AT98" s="72"/>
      <c r="AU98" s="7"/>
      <c r="AV98" s="73">
        <v>74</v>
      </c>
      <c r="AW98" s="71">
        <f>60</f>
        <v>60</v>
      </c>
      <c r="AX98" s="71">
        <f>5*60</f>
        <v>300</v>
      </c>
      <c r="AY98" s="71">
        <f>30*60</f>
        <v>1800</v>
      </c>
      <c r="AZ98" s="71">
        <f>3600*24</f>
        <v>86400</v>
      </c>
      <c r="BA98" s="53" t="s">
        <v>515</v>
      </c>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53"/>
      <c r="CD98" s="53"/>
      <c r="CE98" s="53"/>
      <c r="CF98" s="53"/>
      <c r="CG98" s="53"/>
      <c r="CH98" s="53"/>
      <c r="CI98" s="53"/>
      <c r="CJ98" s="53"/>
      <c r="CK98" s="53"/>
      <c r="CL98" s="53"/>
      <c r="CM98" s="53"/>
      <c r="CN98" s="53"/>
      <c r="CO98" s="53"/>
      <c r="CP98" s="53"/>
      <c r="CQ98" s="53"/>
      <c r="CR98" s="1"/>
      <c r="CS98" s="1"/>
      <c r="CT98" s="1"/>
      <c r="CU98" s="1"/>
    </row>
    <row r="99" spans="1:99" s="13" customFormat="1" ht="12" customHeight="1" x14ac:dyDescent="0.2">
      <c r="A99" s="68">
        <v>43509</v>
      </c>
      <c r="B99" s="70" t="s">
        <v>81</v>
      </c>
      <c r="C99" s="70" t="s">
        <v>82</v>
      </c>
      <c r="D99" s="69">
        <v>1968</v>
      </c>
      <c r="E99" s="87">
        <v>1</v>
      </c>
      <c r="F99" s="69">
        <v>95</v>
      </c>
      <c r="G99" s="69">
        <v>19</v>
      </c>
      <c r="H99" s="69" t="s">
        <v>50</v>
      </c>
      <c r="I99" s="69" t="s">
        <v>706</v>
      </c>
      <c r="J99" s="69" t="s">
        <v>281</v>
      </c>
      <c r="K99" s="69">
        <f>IF(J99="syllables",1,IF(J99="trigrams",2,IF(J99="strings",3,IF(J99="visual array",4,IF(J99="characters",5,IF(J99="letters",6,IF(J99="free forms",7,IF(J99="odors",8,IF(J99="words",9,IF(J99="pictures",10,IF(J99="object pictures",11,IF(J99="faces",12,IF(J99="names",13,IF(J99="idioms",14,IF(J99="grades",15,IF(J99="syllable-digit pairs",16,IF(J99="trigram-word pairs",17,IF(J99="word-digit pairs",18,IF(J99="English-Swahili pairs",19,IF(J99="spatial position",20,IF(J99="word pairs",21,IF(J99="word triads",22,IF(J99="generated words",23,IF(J99="word definition pairs",24,IF(J99="math problems",25,IF(J99="famous faces",26,IF(J99="famous names",27,IF(J99="famous voices",28,IF(J99="television programs",29,IF(J99="race horses",30,IF(J99="new vocabulary",31,IF(J99="sentences",32,IF(J99="concepts",33,IF(J99="ad slides",34,IF(J99="scenes",35,IF(J99="famous scenes",36,IF(J99="poems",37,IF(J99="walk",38,IF(J99="faces and events",39,IF(J99="events and names",40,IF(J99="flashbulb",41,IF(J99="stories",42,IF(J99="course material",43,IF(J99="autobiographical",44,IF(J99="novels",45,IF(J99="public events",46,"99"))))))))))))))))))))))))))))))))))))))))))))))</f>
        <v>1</v>
      </c>
      <c r="L99" s="69">
        <f>IF(J99="syllables",1,IF(J99="trigrams",1,IF(J99="strings",1,IF(J99="visual array",1,IF(J99="characters",1,IF(J99="letters",1,IF(J99="free forms",1,IF(J99="odors",2,IF(J99="words",2,IF(J99="pictures",2,IF(J99="object pictures",2,IF(J99="faces",2,IF(J99="names",2,IF(J99="idioms","2",IF(J99="grades",2,IF(J99="syllable-digit pairs",3,IF(J99="trigram-word pairs",3,IF(J99="word-digit pairs",3,IF(J99="English-Swahili pairs",3,IF(J99="spatial position",3,IF(J99="word pairs",4,IF(J99="word triads",4,IF(J99="generated words",4,IF(J99="word definition pairs",4,IF(J99="math problems",4,IF(J99="famous faces",4,IF(J99="famous names",4,IF(J99="famous voices",4,IF(J99="television programs",4,IF(J99="race horses",4,IF(J99="new vocabulary",4,IF(J99="sentences",5,IF(J99="concepts",5,IF(J99="ad slides",5,IF(J99="scenes",5,IF(J99="famous scenes",5,IF(J99="poems",6,IF(J99="walk",6,IF(J99="faces and events",6,IF(J99="events and names",6,IF(J99="flashbulb",7,IF(J99="stories",7,IF(J99="course material",7,IF(J99="autobiographical",7,IF(J99="novels",7,IF(J99="public events",7,"99"))))))))))))))))))))))))))))))))))))))))))))))</f>
        <v>1</v>
      </c>
      <c r="M99" s="69">
        <v>0</v>
      </c>
      <c r="N99" s="69">
        <v>1</v>
      </c>
      <c r="O99" s="69">
        <v>1</v>
      </c>
      <c r="P99" s="69" t="s">
        <v>83</v>
      </c>
      <c r="Q99" s="69" t="s">
        <v>174</v>
      </c>
      <c r="R99" s="69">
        <f>IF(Q99="Free Recall",1,IF(Q99="Cued Recall",2,IF(Q99="Recognition",3,IF(Q99="Multiple Choice",4,IF(Q99="Savings",5,IF(Q99="Stem Completion",6,IF(Q99="Fragment Completion",7,IF(Q99="anagram solution",8,IF(Q99="Matching",9,IF(Q99="Problem Solving",10,"99"))))))))))</f>
        <v>1</v>
      </c>
      <c r="S99" s="69" t="s">
        <v>49</v>
      </c>
      <c r="T99" s="69" t="s">
        <v>261</v>
      </c>
      <c r="U99" s="69">
        <f>IF(T99="within",1,0)</f>
        <v>0</v>
      </c>
      <c r="V99" s="69">
        <v>7</v>
      </c>
      <c r="W99" s="69">
        <f>F99*V99</f>
        <v>665</v>
      </c>
      <c r="X99" s="69">
        <v>5</v>
      </c>
      <c r="Y99" s="87">
        <f>AV98</f>
        <v>74</v>
      </c>
      <c r="Z99" s="69" t="s">
        <v>79</v>
      </c>
      <c r="AA99" s="69">
        <v>86400</v>
      </c>
      <c r="AB99" s="69" t="str">
        <f>IF(AA99&lt;60,"1",IF(AA99&lt;=43200,"2",IF(AA99&lt;=777600,"3","4")))</f>
        <v>3</v>
      </c>
      <c r="AC99" s="72">
        <f>AVERAGE(AV98:DA98)</f>
        <v>17726.8</v>
      </c>
      <c r="AD99" s="69" t="str">
        <f>IF(AC99&lt;60,"1",IF(AC99&lt;=43200,"2",IF(AC99&lt;=777600,"3","4")))</f>
        <v>2</v>
      </c>
      <c r="AE99" s="87">
        <f>AA99-Y99</f>
        <v>86326</v>
      </c>
      <c r="AF99" s="88">
        <f>AV99</f>
        <v>0.84299999999999997</v>
      </c>
      <c r="AG99" s="72">
        <f>((AW99-AV99)+(AX99-AW99)+(AY99-AX99)+(AZ99-AY99))/4</f>
        <v>-8.5749999999999993E-2</v>
      </c>
      <c r="AH99" s="4"/>
      <c r="AI99" s="72">
        <f>RSQ(AV99:AZ99,AV98:AZ98)</f>
        <v>0.27054475291634944</v>
      </c>
      <c r="AJ99" s="110">
        <f>SLOPE(AV99:AZ99,AV98:AZ98)</f>
        <v>-1.9199787660416178E-6</v>
      </c>
      <c r="AK99" s="72">
        <f>INTERCEPT(AV99:AZ99,AV98:AZ98)</f>
        <v>0.66263507958986656</v>
      </c>
      <c r="AL99" s="72">
        <f>INDEX(LINEST(LN(AV99:AZ99),LN(AV98:AZ98),TRUE,TRUE),3,1)</f>
        <v>0.65097240595077277</v>
      </c>
      <c r="AM99" s="72">
        <f>INDEX(LINEST(LN(AV99:AZ99),LN(AV98:AZ98)),1)</f>
        <v>-5.9043720295593315E-2</v>
      </c>
      <c r="AN99" s="72">
        <f>EXP(INDEX(LINEST(LN(AV99:AZ99),LN(AV98:AZ98)),1,2))</f>
        <v>0.90977912094093505</v>
      </c>
      <c r="AO99" s="89">
        <f>INDEX(LINEST((AV99:AZ99),LN(AV98:AZ98),TRUE,TRUE),3,1)</f>
        <v>0.60054519349039648</v>
      </c>
      <c r="AP99" s="89">
        <f>INDEX(LINEST((AV99:AZ99),LN(AV98:AZ98)),1)</f>
        <v>-3.6674526944839435E-2</v>
      </c>
      <c r="AQ99" s="90">
        <f>INDEX(LINEST(LN(AV99:AZ99),SQRT(AV98:AZ98),TRUE,TRUE),3,1)</f>
        <v>0.3769173825015556</v>
      </c>
      <c r="AR99" s="117">
        <f>INDEX(LINEST(LN(AV99:AZ99),SQRT((AV98:AZ98))),1)</f>
        <v>-1.0873531542923412E-3</v>
      </c>
      <c r="AS99" s="91">
        <f>INDEX(LINEST(1/(AV99:AZ99),1/(SQRT(AV98:AZ98)),TRUE,TRUE),3,1)</f>
        <v>0.78421084347388648</v>
      </c>
      <c r="AT99" s="91">
        <f>INDEX(LINEST(1/(AV99:AZ99),1/SQRT(AV98:AZ98)),1)</f>
        <v>-5.5725197460782718</v>
      </c>
      <c r="AU99" s="3"/>
      <c r="AV99" s="73">
        <v>0.84299999999999997</v>
      </c>
      <c r="AW99" s="73">
        <v>0.66400000000000003</v>
      </c>
      <c r="AX99" s="73">
        <v>0.63600000000000001</v>
      </c>
      <c r="AY99" s="73">
        <v>0.5</v>
      </c>
      <c r="AZ99" s="73">
        <v>0.5</v>
      </c>
      <c r="BA99" s="53"/>
      <c r="BB99" s="53"/>
      <c r="BC99" s="53"/>
      <c r="BD99" s="53"/>
      <c r="BE99" s="53"/>
      <c r="BF99" s="53"/>
      <c r="BG99" s="53"/>
      <c r="BH99" s="53"/>
      <c r="BI99" s="53"/>
      <c r="BJ99" s="53"/>
      <c r="BK99" s="53"/>
      <c r="BL99" s="53"/>
      <c r="BM99" s="53"/>
      <c r="BN99" s="53"/>
      <c r="BO99" s="53"/>
      <c r="BP99" s="53"/>
      <c r="BQ99" s="53"/>
      <c r="BR99" s="53"/>
      <c r="BS99" s="53"/>
      <c r="BT99" s="53"/>
      <c r="BU99" s="53"/>
      <c r="BV99" s="53"/>
      <c r="BW99" s="53"/>
      <c r="BX99" s="53"/>
      <c r="BY99" s="53"/>
      <c r="BZ99" s="53"/>
      <c r="CA99" s="53"/>
      <c r="CB99" s="53"/>
      <c r="CC99" s="53"/>
      <c r="CD99" s="53"/>
      <c r="CE99" s="53"/>
      <c r="CF99" s="53"/>
      <c r="CG99" s="53"/>
      <c r="CH99" s="53"/>
      <c r="CI99" s="53"/>
      <c r="CJ99" s="53"/>
      <c r="CK99" s="53"/>
      <c r="CL99" s="53"/>
      <c r="CM99" s="53"/>
      <c r="CN99" s="53"/>
      <c r="CO99" s="53"/>
      <c r="CP99" s="53"/>
      <c r="CQ99" s="53"/>
      <c r="CR99" s="1"/>
      <c r="CS99" s="1"/>
      <c r="CT99" s="1"/>
      <c r="CU99" s="1"/>
    </row>
    <row r="100" spans="1:99" s="13" customFormat="1" ht="12" customHeight="1" x14ac:dyDescent="0.2">
      <c r="A100" s="65">
        <v>43903</v>
      </c>
      <c r="B100" s="1"/>
      <c r="C100" s="1"/>
      <c r="D100" s="60"/>
      <c r="E100" s="76"/>
      <c r="F100" s="60"/>
      <c r="G100" s="60"/>
      <c r="H100" s="60"/>
      <c r="I100" s="60"/>
      <c r="J100" s="60"/>
      <c r="K100" s="64"/>
      <c r="L100" s="64"/>
      <c r="M100" s="60"/>
      <c r="N100" s="61"/>
      <c r="O100" s="60"/>
      <c r="P100" s="60"/>
      <c r="Q100" s="60"/>
      <c r="R100" s="60"/>
      <c r="S100" s="60"/>
      <c r="T100" s="59"/>
      <c r="U100" s="60"/>
      <c r="V100" s="59"/>
      <c r="W100" s="60"/>
      <c r="X100" s="60"/>
      <c r="Y100" s="76"/>
      <c r="Z100" s="60"/>
      <c r="AA100" s="60"/>
      <c r="AB100" s="60"/>
      <c r="AC100" s="56"/>
      <c r="AD100" s="60"/>
      <c r="AE100" s="60"/>
      <c r="AF100" s="80"/>
      <c r="AG100" s="56"/>
      <c r="AH100" s="4"/>
      <c r="AI100" s="56"/>
      <c r="AJ100" s="109"/>
      <c r="AK100" s="56"/>
      <c r="AL100" s="56"/>
      <c r="AM100" s="56"/>
      <c r="AN100" s="56"/>
      <c r="AO100" s="82"/>
      <c r="AP100" s="82"/>
      <c r="AQ100" s="83"/>
      <c r="AR100" s="116"/>
      <c r="AS100" s="84"/>
      <c r="AT100" s="84"/>
      <c r="AU100" s="3"/>
      <c r="AV100" s="25">
        <v>600</v>
      </c>
      <c r="AW100" s="25">
        <v>86400</v>
      </c>
      <c r="AX100" s="25">
        <v>604800</v>
      </c>
      <c r="AY100" s="53"/>
      <c r="AZ100" s="53"/>
      <c r="BA100" s="53"/>
      <c r="BB100" s="53"/>
      <c r="BC100" s="53"/>
      <c r="BD100" s="53"/>
      <c r="BE100" s="53"/>
      <c r="BF100" s="53"/>
      <c r="BG100" s="53"/>
      <c r="BH100" s="53"/>
      <c r="BI100" s="53"/>
      <c r="BJ100" s="53"/>
      <c r="BK100" s="53"/>
      <c r="BL100" s="53"/>
      <c r="BM100" s="53"/>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1"/>
      <c r="CS100" s="1"/>
      <c r="CT100" s="1"/>
      <c r="CU100" s="1"/>
    </row>
    <row r="101" spans="1:99" s="13" customFormat="1" ht="12" customHeight="1" x14ac:dyDescent="0.2">
      <c r="A101" s="65">
        <v>43903</v>
      </c>
      <c r="B101" s="1" t="s">
        <v>486</v>
      </c>
      <c r="C101" s="1" t="s">
        <v>357</v>
      </c>
      <c r="D101" s="60">
        <v>1979</v>
      </c>
      <c r="E101" s="76">
        <v>1</v>
      </c>
      <c r="F101" s="60">
        <v>2</v>
      </c>
      <c r="G101" s="60">
        <v>2</v>
      </c>
      <c r="H101" s="60" t="s">
        <v>50</v>
      </c>
      <c r="I101" s="60" t="s">
        <v>330</v>
      </c>
      <c r="J101" s="60" t="s">
        <v>313</v>
      </c>
      <c r="K101" s="60">
        <f>IF(J101="syllables",1,IF(J101="trigrams",2,IF(J101="strings",3,IF(J101="visual array",4,IF(J101="characters",5,IF(J101="letters",6,IF(J101="free forms",7,IF(J101="odors",8,IF(J101="words",9,IF(J101="pictures",10,IF(J101="object pictures",11,IF(J101="faces",12,IF(J101="names",13,IF(J101="idioms",14,IF(J101="grades",15,IF(J101="syllable-digit pairs",16,IF(J101="trigram-word pairs",17,IF(J101="word-digit pairs",18,IF(J101="English-Swahili pairs",19,IF(J101="spatial position",20,IF(J101="word pairs",21,IF(J101="word triads",22,IF(J101="generated words",23,IF(J101="word definition pairs",24,IF(J101="math problems",25,IF(J101="famous faces",26,IF(J101="famous names",27,IF(J101="famous voices",28,IF(J101="television programs",29,IF(J101="race horses",30,IF(J101="new vocabulary",31,IF(J101="sentences",32,IF(J101="concepts",33,IF(J101="ad slides",34,IF(J101="scenes",35,IF(J101="famous scenes",36,IF(J101="poems",37,IF(J101="walk",38,IF(J101="faces and events",39,IF(J101="events and names",40,IF(J101="flashbulb",41,IF(J101="stories",42,IF(J101="course material",43,IF(J101="autobiographical",44,IF(J101="novels",45,IF(J101="public events",46,"99"))))))))))))))))))))))))))))))))))))))))))))))</f>
        <v>10</v>
      </c>
      <c r="L101" s="60">
        <f>IF(J101="syllables",1,IF(J101="trigrams",1,IF(J101="strings",1,IF(J101="visual array",1,IF(J101="characters",1,IF(J101="letters",1,IF(J101="free forms",1,IF(J101="odors",2,IF(J101="words",2,IF(J101="pictures",2,IF(J101="object pictures",2,IF(J101="faces",2,IF(J101="names",2,IF(J101="idioms","2",IF(J101="grades",2,IF(J101="syllable-digit pairs",3,IF(J101="trigram-word pairs",3,IF(J101="word-digit pairs",3,IF(J101="English-Swahili pairs",3,IF(J101="spatial position",3,IF(J101="word pairs",4,IF(J101="word triads",4,IF(J101="generated words",4,IF(J101="word definition pairs",4,IF(J101="math problems",4,IF(J101="famous faces",4,IF(J101="famous names",4,IF(J101="famous voices",4,IF(J101="television programs",4,IF(J101="race horses",4,IF(J101="new vocabulary",4,IF(J101="sentences",5,IF(J101="concepts",5,IF(J101="ad slides",5,IF(J101="scenes",5,IF(J101="famous scenes",5,IF(J101="poems",6,IF(J101="walk",6,IF(J101="faces and events",6,IF(J101="events and names",6,IF(J101="flashbulb",7,IF(J101="stories",7,IF(J101="course material",7,IF(J101="autobiographical",7,IF(J101="novels",7,IF(J101="public events",7,"99"))))))))))))))))))))))))))))))))))))))))))))))</f>
        <v>2</v>
      </c>
      <c r="M101" s="60">
        <v>0</v>
      </c>
      <c r="N101" s="61">
        <v>1</v>
      </c>
      <c r="O101" s="60">
        <v>0</v>
      </c>
      <c r="P101" s="60"/>
      <c r="Q101" s="60" t="s">
        <v>34</v>
      </c>
      <c r="R101" s="60">
        <f>IF(Q101="Free Recall",1,IF(Q101="Cued Recall",2,IF(Q101="Recognition",3,IF(Q101="Multiple Choice",4,IF(Q101="Savings",5,IF(Q101="Stem Completion",6,IF(Q101="Fragment Completion",7,IF(Q101="anagram solution",8,IF(Q101="Matching",9,IF(Q101="Problem Solving",10,"99"))))))))))</f>
        <v>3</v>
      </c>
      <c r="S101" s="60" t="s">
        <v>15</v>
      </c>
      <c r="T101" s="59" t="s">
        <v>581</v>
      </c>
      <c r="U101" s="60">
        <f>IF(T101="within",1,0)</f>
        <v>1</v>
      </c>
      <c r="V101" s="59">
        <v>120</v>
      </c>
      <c r="W101" s="60">
        <f>F101*V101</f>
        <v>240</v>
      </c>
      <c r="X101" s="60">
        <v>3</v>
      </c>
      <c r="Y101" s="76">
        <f>AV100</f>
        <v>600</v>
      </c>
      <c r="Z101" s="60" t="s">
        <v>97</v>
      </c>
      <c r="AA101" s="60">
        <v>604800</v>
      </c>
      <c r="AB101" s="60" t="str">
        <f>IF(AA101&lt;60,"1",IF(AA101&lt;=43200,"2",IF(AA101&lt;=777600,"3","4")))</f>
        <v>3</v>
      </c>
      <c r="AC101" s="56">
        <f>AVERAGE(AV100:DA100)</f>
        <v>230600</v>
      </c>
      <c r="AD101" s="60" t="str">
        <f>IF(AC101&lt;60,"1",IF(AC101&lt;=43200,"2",IF(AC101&lt;=777600,"3","4")))</f>
        <v>3</v>
      </c>
      <c r="AE101" s="76">
        <f>AA101-Y101</f>
        <v>604200</v>
      </c>
      <c r="AF101" s="80">
        <f>AV101</f>
        <v>0.84</v>
      </c>
      <c r="AG101" s="56">
        <f>((AW101-AV101)+(AX101-AW101))/2</f>
        <v>-7.0000000000000007E-2</v>
      </c>
      <c r="AH101" s="4"/>
      <c r="AI101" s="56">
        <f>RSQ(AV101:AX101,AV100:AX100)</f>
        <v>0.85405874472345267</v>
      </c>
      <c r="AJ101" s="109">
        <f>SLOPE(AV101:AX101,AV100:AX100)</f>
        <v>-1.9789510801271657E-7</v>
      </c>
      <c r="AK101" s="56">
        <f>INTERCEPT(AV101:AX101,AV100:AX100)</f>
        <v>0.81563461190773234</v>
      </c>
      <c r="AL101" s="56">
        <f>INDEX(LINEST(LN(AV101:AX101),LN(AV100:AX100),TRUE,TRUE),3,1)</f>
        <v>0.92701653841827814</v>
      </c>
      <c r="AM101" s="56">
        <f>INDEX(LINEST(LN(AV101:AX101),LN(AV100:AX100)),1)</f>
        <v>-2.4619458230427545E-2</v>
      </c>
      <c r="AN101" s="56">
        <f>EXP(INDEX(LINEST(LN(AV101:AX101),LN(AV100:AX100)),1,2))</f>
        <v>0.99093771483458859</v>
      </c>
      <c r="AO101" s="82">
        <f>INDEX(LINEST((AV101:AX101),LN(AV100:AX100),TRUE,TRUE),3,1)</f>
        <v>0.94008878387362016</v>
      </c>
      <c r="AP101" s="82">
        <f>INDEX(LINEST((AV101:AX101),LN(AV100:AX100)),1)</f>
        <v>-1.9030898317421031E-2</v>
      </c>
      <c r="AQ101" s="83">
        <f>INDEX(LINEST(LN(AV101:AX101),SQRT(AV100:AX100),TRUE,TRUE),3,1)</f>
        <v>0.98147083301333538</v>
      </c>
      <c r="AR101" s="116">
        <f>INDEX(LINEST(LN(AV101:AX101),SQRT((AV100:AX100))),1)</f>
        <v>-2.3672143050461382E-4</v>
      </c>
      <c r="AS101" s="84">
        <f>INDEX(LINEST(1/(AV101:AX101),1/(SQRT(AV100:AX100)),TRUE,TRUE),3,1)</f>
        <v>0.74578962495735912</v>
      </c>
      <c r="AT101" s="84">
        <f>INDEX(LINEST(1/(AV101:AX101),1/SQRT(AV100:AX100)),1)</f>
        <v>-4.6286047066886802</v>
      </c>
      <c r="AU101" s="3"/>
      <c r="AV101" s="53">
        <v>0.84</v>
      </c>
      <c r="AW101" s="53">
        <v>0.77</v>
      </c>
      <c r="AX101" s="53">
        <v>0.7</v>
      </c>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1"/>
      <c r="CS101" s="1"/>
      <c r="CT101" s="1"/>
      <c r="CU101" s="1"/>
    </row>
    <row r="102" spans="1:99" s="13" customFormat="1" ht="12" customHeight="1" x14ac:dyDescent="0.2">
      <c r="A102" s="68">
        <v>43902</v>
      </c>
      <c r="B102" s="70"/>
      <c r="C102" s="70"/>
      <c r="D102" s="69"/>
      <c r="E102" s="87"/>
      <c r="F102" s="69"/>
      <c r="G102" s="69"/>
      <c r="H102" s="69"/>
      <c r="I102" s="69"/>
      <c r="J102" s="69"/>
      <c r="K102" s="107"/>
      <c r="L102" s="107"/>
      <c r="M102" s="69"/>
      <c r="N102" s="86"/>
      <c r="O102" s="69"/>
      <c r="P102" s="69"/>
      <c r="Q102" s="69"/>
      <c r="R102" s="69"/>
      <c r="S102" s="69"/>
      <c r="T102" s="69"/>
      <c r="U102" s="69"/>
      <c r="V102" s="69"/>
      <c r="W102" s="69"/>
      <c r="X102" s="69"/>
      <c r="Y102" s="87"/>
      <c r="Z102" s="69"/>
      <c r="AA102" s="69"/>
      <c r="AB102" s="69"/>
      <c r="AC102" s="72"/>
      <c r="AD102" s="69"/>
      <c r="AE102" s="69"/>
      <c r="AF102" s="88"/>
      <c r="AG102" s="72"/>
      <c r="AH102" s="4"/>
      <c r="AI102" s="72"/>
      <c r="AJ102" s="110"/>
      <c r="AK102" s="72"/>
      <c r="AL102" s="72"/>
      <c r="AM102" s="72"/>
      <c r="AN102" s="72"/>
      <c r="AO102" s="89"/>
      <c r="AP102" s="89"/>
      <c r="AQ102" s="90"/>
      <c r="AR102" s="117"/>
      <c r="AS102" s="91"/>
      <c r="AT102" s="91"/>
      <c r="AU102" s="3"/>
      <c r="AV102" s="71">
        <v>600</v>
      </c>
      <c r="AW102" s="71">
        <v>86400</v>
      </c>
      <c r="AX102" s="71">
        <v>604800</v>
      </c>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1"/>
      <c r="CS102" s="1"/>
      <c r="CT102" s="1"/>
      <c r="CU102" s="1"/>
    </row>
    <row r="103" spans="1:99" s="13" customFormat="1" ht="12" customHeight="1" x14ac:dyDescent="0.2">
      <c r="A103" s="68">
        <v>43902</v>
      </c>
      <c r="B103" s="70" t="s">
        <v>462</v>
      </c>
      <c r="C103" s="70" t="s">
        <v>463</v>
      </c>
      <c r="D103" s="69">
        <v>1978</v>
      </c>
      <c r="E103" s="87">
        <v>1</v>
      </c>
      <c r="F103" s="69">
        <v>6</v>
      </c>
      <c r="G103" s="69">
        <v>6</v>
      </c>
      <c r="H103" s="69" t="s">
        <v>50</v>
      </c>
      <c r="I103" s="69" t="s">
        <v>330</v>
      </c>
      <c r="J103" s="69" t="s">
        <v>313</v>
      </c>
      <c r="K103" s="69">
        <f>IF(J103="syllables",1,IF(J103="trigrams",2,IF(J103="strings",3,IF(J103="visual array",4,IF(J103="characters",5,IF(J103="letters",6,IF(J103="free forms",7,IF(J103="odors",8,IF(J103="words",9,IF(J103="pictures",10,IF(J103="object pictures",11,IF(J103="faces",12,IF(J103="names",13,IF(J103="idioms",14,IF(J103="grades",15,IF(J103="syllable-digit pairs",16,IF(J103="trigram-word pairs",17,IF(J103="word-digit pairs",18,IF(J103="English-Swahili pairs",19,IF(J103="spatial position",20,IF(J103="word pairs",21,IF(J103="word triads",22,IF(J103="generated words",23,IF(J103="word definition pairs",24,IF(J103="math problems",25,IF(J103="famous faces",26,IF(J103="famous names",27,IF(J103="famous voices",28,IF(J103="television programs",29,IF(J103="race horses",30,IF(J103="new vocabulary",31,IF(J103="sentences",32,IF(J103="concepts",33,IF(J103="ad slides",34,IF(J103="scenes",35,IF(J103="famous scenes",36,IF(J103="poems",37,IF(J103="walk",38,IF(J103="faces and events",39,IF(J103="events and names",40,IF(J103="flashbulb",41,IF(J103="stories",42,IF(J103="course material",43,IF(J103="autobiographical",44,IF(J103="novels",45,IF(J103="public events",46,"99"))))))))))))))))))))))))))))))))))))))))))))))</f>
        <v>10</v>
      </c>
      <c r="L103" s="69">
        <f>IF(J103="syllables",1,IF(J103="trigrams",1,IF(J103="strings",1,IF(J103="visual array",1,IF(J103="characters",1,IF(J103="letters",1,IF(J103="free forms",1,IF(J103="odors",2,IF(J103="words",2,IF(J103="pictures",2,IF(J103="object pictures",2,IF(J103="faces",2,IF(J103="names",2,IF(J103="idioms","2",IF(J103="grades",2,IF(J103="syllable-digit pairs",3,IF(J103="trigram-word pairs",3,IF(J103="word-digit pairs",3,IF(J103="English-Swahili pairs",3,IF(J103="spatial position",3,IF(J103="word pairs",4,IF(J103="word triads",4,IF(J103="generated words",4,IF(J103="word definition pairs",4,IF(J103="math problems",4,IF(J103="famous faces",4,IF(J103="famous names",4,IF(J103="famous voices",4,IF(J103="television programs",4,IF(J103="race horses",4,IF(J103="new vocabulary",4,IF(J103="sentences",5,IF(J103="concepts",5,IF(J103="ad slides",5,IF(J103="scenes",5,IF(J103="famous scenes",5,IF(J103="poems",6,IF(J103="walk",6,IF(J103="faces and events",6,IF(J103="events and names",6,IF(J103="flashbulb",7,IF(J103="stories",7,IF(J103="course material",7,IF(J103="autobiographical",7,IF(J103="novels",7,IF(J103="public events",7,"99"))))))))))))))))))))))))))))))))))))))))))))))</f>
        <v>2</v>
      </c>
      <c r="M103" s="69">
        <v>0</v>
      </c>
      <c r="N103" s="86">
        <v>1</v>
      </c>
      <c r="O103" s="69">
        <v>0</v>
      </c>
      <c r="P103" s="69"/>
      <c r="Q103" s="69" t="s">
        <v>34</v>
      </c>
      <c r="R103" s="69">
        <f>IF(Q103="Free Recall",1,IF(Q103="Cued Recall",2,IF(Q103="Recognition",3,IF(Q103="Multiple Choice",4,IF(Q103="Savings",5,IF(Q103="Stem Completion",6,IF(Q103="Fragment Completion",7,IF(Q103="anagram solution",8,IF(Q103="Matching",9,IF(Q103="Problem Solving",10,"99"))))))))))</f>
        <v>3</v>
      </c>
      <c r="S103" s="69" t="s">
        <v>15</v>
      </c>
      <c r="T103" s="92" t="s">
        <v>581</v>
      </c>
      <c r="U103" s="69">
        <f>IF(T103="within",1,0)</f>
        <v>1</v>
      </c>
      <c r="V103" s="92">
        <v>120</v>
      </c>
      <c r="W103" s="69">
        <f>F103*V103</f>
        <v>720</v>
      </c>
      <c r="X103" s="69">
        <v>3</v>
      </c>
      <c r="Y103" s="87">
        <f>AV102</f>
        <v>600</v>
      </c>
      <c r="Z103" s="69" t="s">
        <v>97</v>
      </c>
      <c r="AA103" s="69">
        <v>604800</v>
      </c>
      <c r="AB103" s="69" t="str">
        <f>IF(AA103&lt;60,"1",IF(AA103&lt;=43200,"2",IF(AA103&lt;=777600,"3","4")))</f>
        <v>3</v>
      </c>
      <c r="AC103" s="72">
        <f>AVERAGE(AV102:DA102)</f>
        <v>230600</v>
      </c>
      <c r="AD103" s="69" t="str">
        <f>IF(AC103&lt;60,"1",IF(AC103&lt;=43200,"2",IF(AC103&lt;=777600,"3","4")))</f>
        <v>3</v>
      </c>
      <c r="AE103" s="87">
        <f>AA103-Y103</f>
        <v>604200</v>
      </c>
      <c r="AF103" s="88">
        <f>AV103</f>
        <v>0.78</v>
      </c>
      <c r="AG103" s="72">
        <f>((AW103-AV103)+(AX103-AW103))/2</f>
        <v>-8.0000000000000016E-2</v>
      </c>
      <c r="AH103" s="4"/>
      <c r="AI103" s="72">
        <f>RSQ(AV103:AX103,AV102:AX102)</f>
        <v>0.85405874472345178</v>
      </c>
      <c r="AJ103" s="110">
        <f>SLOPE(AV103:AX103,AV102:AX102)</f>
        <v>-2.2616583772881884E-7</v>
      </c>
      <c r="AK103" s="72">
        <f>INTERCEPT(AV103:AX103,AV102:AX102)</f>
        <v>0.75215384218026571</v>
      </c>
      <c r="AL103" s="72">
        <f>INDEX(LINEST(LN(AV103:AX103),LN(AV102:AX102),TRUE,TRUE),3,1)</f>
        <v>0.92345124796976052</v>
      </c>
      <c r="AM103" s="72">
        <f>INDEX(LINEST(LN(AV103:AX103),LN(AV102:AX102)),1)</f>
        <v>-3.0946718045348078E-2</v>
      </c>
      <c r="AN103" s="72">
        <f>EXP(INDEX(LINEST(LN(AV103:AX103),LN(AV102:AX102)),1,2))</f>
        <v>0.96032138790740962</v>
      </c>
      <c r="AO103" s="89">
        <f>INDEX(LINEST((AV103:AX103),LN(AV102:AX102),TRUE,TRUE),3,1)</f>
        <v>0.94008878387362038</v>
      </c>
      <c r="AP103" s="89">
        <f>INDEX(LINEST((AV103:AX103),LN(AV102:AX102)),1)</f>
        <v>-2.1749598077052613E-2</v>
      </c>
      <c r="AQ103" s="90">
        <f>INDEX(LINEST(LN(AV103:AX103),SQRT(AV102:AX102),TRUE,TRUE),3,1)</f>
        <v>0.98325469011799782</v>
      </c>
      <c r="AR103" s="117">
        <f>INDEX(LINEST(LN(AV103:AX103),SQRT((AV102:AX102))),1)</f>
        <v>-2.9840407680177387E-4</v>
      </c>
      <c r="AS103" s="91">
        <f>INDEX(LINEST(1/(AV103:AX103),1/(SQRT(AV102:AX102)),TRUE,TRUE),3,1)</f>
        <v>0.73399020055261577</v>
      </c>
      <c r="AT103" s="91">
        <f>INDEX(LINEST(1/(AV103:AX103),1/SQRT(AV102:AX102)),1)</f>
        <v>-6.3858102149991973</v>
      </c>
      <c r="AU103" s="3"/>
      <c r="AV103" s="73">
        <v>0.78</v>
      </c>
      <c r="AW103" s="73">
        <v>0.7</v>
      </c>
      <c r="AX103" s="73">
        <v>0.62</v>
      </c>
      <c r="AY103" s="53"/>
      <c r="AZ103" s="53"/>
      <c r="BA103" s="53"/>
      <c r="BB103" s="53"/>
      <c r="BC103" s="53"/>
      <c r="BD103" s="53"/>
      <c r="BE103" s="53"/>
      <c r="BF103" s="53"/>
      <c r="BG103" s="53"/>
      <c r="BH103" s="53"/>
      <c r="BI103" s="53"/>
      <c r="BJ103" s="53"/>
      <c r="BK103" s="53"/>
      <c r="BL103" s="53"/>
      <c r="BM103" s="53"/>
      <c r="BN103" s="53"/>
      <c r="BO103" s="53"/>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53"/>
      <c r="CR103" s="1"/>
      <c r="CS103" s="1"/>
      <c r="CT103" s="1"/>
      <c r="CU103" s="1"/>
    </row>
    <row r="104" spans="1:99" s="13" customFormat="1" ht="12" customHeight="1" x14ac:dyDescent="0.2">
      <c r="A104" s="68">
        <v>43509</v>
      </c>
      <c r="B104" s="70"/>
      <c r="C104" s="70"/>
      <c r="D104" s="69"/>
      <c r="E104" s="87"/>
      <c r="F104" s="69"/>
      <c r="G104" s="69"/>
      <c r="H104" s="69"/>
      <c r="I104" s="69"/>
      <c r="J104" s="69"/>
      <c r="K104" s="107"/>
      <c r="L104" s="107"/>
      <c r="M104" s="69"/>
      <c r="N104" s="69"/>
      <c r="O104" s="69"/>
      <c r="P104" s="69"/>
      <c r="Q104" s="69"/>
      <c r="R104" s="69"/>
      <c r="S104" s="69"/>
      <c r="T104" s="69"/>
      <c r="U104" s="69"/>
      <c r="V104" s="69"/>
      <c r="W104" s="69"/>
      <c r="X104" s="69"/>
      <c r="Y104" s="87"/>
      <c r="Z104" s="69"/>
      <c r="AA104" s="69"/>
      <c r="AB104" s="69"/>
      <c r="AC104" s="69"/>
      <c r="AD104" s="69"/>
      <c r="AE104" s="69"/>
      <c r="AF104" s="88"/>
      <c r="AG104" s="72"/>
      <c r="AH104" s="4"/>
      <c r="AI104" s="72"/>
      <c r="AJ104" s="110"/>
      <c r="AK104" s="72"/>
      <c r="AL104" s="72"/>
      <c r="AM104" s="72"/>
      <c r="AN104" s="72"/>
      <c r="AO104" s="72"/>
      <c r="AP104" s="72"/>
      <c r="AQ104" s="72"/>
      <c r="AR104" s="110"/>
      <c r="AS104" s="72"/>
      <c r="AT104" s="72"/>
      <c r="AU104" s="4"/>
      <c r="AV104" s="71">
        <f>60</f>
        <v>60</v>
      </c>
      <c r="AW104" s="71">
        <f>6*60</f>
        <v>360</v>
      </c>
      <c r="AX104" s="71">
        <f>18*60</f>
        <v>1080</v>
      </c>
      <c r="AY104" s="71">
        <f>24*3600*2</f>
        <v>172800</v>
      </c>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53"/>
      <c r="CR104" s="1"/>
      <c r="CS104" s="1"/>
      <c r="CT104" s="1"/>
      <c r="CU104" s="1"/>
    </row>
    <row r="105" spans="1:99" s="13" customFormat="1" ht="12" customHeight="1" x14ac:dyDescent="0.2">
      <c r="A105" s="68">
        <v>43509</v>
      </c>
      <c r="B105" s="70" t="s">
        <v>113</v>
      </c>
      <c r="C105" s="70" t="s">
        <v>114</v>
      </c>
      <c r="D105" s="69">
        <v>1969</v>
      </c>
      <c r="E105" s="87">
        <v>1</v>
      </c>
      <c r="F105" s="69">
        <v>189</v>
      </c>
      <c r="G105" s="69">
        <v>47.3</v>
      </c>
      <c r="H105" s="69" t="s">
        <v>50</v>
      </c>
      <c r="I105" s="69" t="s">
        <v>717</v>
      </c>
      <c r="J105" s="69" t="s">
        <v>90</v>
      </c>
      <c r="K105" s="69">
        <f>IF(J105="syllables",1,IF(J105="trigrams",2,IF(J105="strings",3,IF(J105="visual array",4,IF(J105="characters",5,IF(J105="letters",6,IF(J105="free forms",7,IF(J105="odors",8,IF(J105="words",9,IF(J105="pictures",10,IF(J105="object pictures",11,IF(J105="faces",12,IF(J105="names",13,IF(J105="idioms",14,IF(J105="grades",15,IF(J105="syllable-digit pairs",16,IF(J105="trigram-word pairs",17,IF(J105="word-digit pairs",18,IF(J105="English-Swahili pairs",19,IF(J105="spatial position",20,IF(J105="word pairs",21,IF(J105="word triads",22,IF(J105="generated words",23,IF(J105="word definition pairs",24,IF(J105="math problems",25,IF(J105="famous faces",26,IF(J105="famous names",27,IF(J105="famous voices",28,IF(J105="television programs",29,IF(J105="race horses",30,IF(J105="new vocabulary",31,IF(J105="sentences",32,IF(J105="concepts",33,IF(J105="ad slides",34,IF(J105="scenes",35,IF(J105="famous scenes",36,IF(J105="poems",37,IF(J105="walk",38,IF(J105="faces and events",39,IF(J105="events and names",40,IF(J105="flashbulb",41,IF(J105="stories",42,IF(J105="course material",43,IF(J105="autobiographical",44,IF(J105="novels",45,IF(J105="public events",46,"99"))))))))))))))))))))))))))))))))))))))))))))))</f>
        <v>18</v>
      </c>
      <c r="L105" s="69">
        <f>IF(J105="syllables",1,IF(J105="trigrams",1,IF(J105="strings",1,IF(J105="visual array",1,IF(J105="characters",1,IF(J105="letters",1,IF(J105="free forms",1,IF(J105="odors",2,IF(J105="words",2,IF(J105="pictures",2,IF(J105="object pictures",2,IF(J105="faces",2,IF(J105="names",2,IF(J105="idioms","2",IF(J105="grades",2,IF(J105="syllable-digit pairs",3,IF(J105="trigram-word pairs",3,IF(J105="word-digit pairs",3,IF(J105="English-Swahili pairs",3,IF(J105="spatial position",3,IF(J105="word pairs",4,IF(J105="word triads",4,IF(J105="generated words",4,IF(J105="word definition pairs",4,IF(J105="math problems",4,IF(J105="famous faces",4,IF(J105="famous names",4,IF(J105="famous voices",4,IF(J105="television programs",4,IF(J105="race horses",4,IF(J105="new vocabulary",4,IF(J105="sentences",5,IF(J105="concepts",5,IF(J105="ad slides",5,IF(J105="scenes",5,IF(J105="famous scenes",5,IF(J105="poems",6,IF(J105="walk",6,IF(J105="faces and events",6,IF(J105="events and names",6,IF(J105="flashbulb",7,IF(J105="stories",7,IF(J105="course material",7,IF(J105="autobiographical",7,IF(J105="novels",7,IF(J105="public events",7,"99"))))))))))))))))))))))))))))))))))))))))))))))</f>
        <v>3</v>
      </c>
      <c r="M105" s="69">
        <v>0</v>
      </c>
      <c r="N105" s="69">
        <v>1</v>
      </c>
      <c r="O105" s="69">
        <v>0</v>
      </c>
      <c r="P105" s="69"/>
      <c r="Q105" s="69" t="s">
        <v>174</v>
      </c>
      <c r="R105" s="69">
        <f>IF(Q105="Free Recall",1,IF(Q105="Cued Recall",2,IF(Q105="Recognition",3,IF(Q105="Multiple Choice",4,IF(Q105="Savings",5,IF(Q105="Stem Completion",6,IF(Q105="Fragment Completion",7,IF(Q105="anagram solution",8,IF(Q105="Matching",9,IF(Q105="Problem Solving",10,"99"))))))))))</f>
        <v>1</v>
      </c>
      <c r="S105" s="69" t="s">
        <v>49</v>
      </c>
      <c r="T105" s="92" t="s">
        <v>261</v>
      </c>
      <c r="U105" s="69">
        <f>IF(T105="within",1,0)</f>
        <v>0</v>
      </c>
      <c r="V105" s="92">
        <v>6</v>
      </c>
      <c r="W105" s="69">
        <f>F105*V105</f>
        <v>1134</v>
      </c>
      <c r="X105" s="69">
        <v>4</v>
      </c>
      <c r="Y105" s="87">
        <f>AV104</f>
        <v>60</v>
      </c>
      <c r="Z105" s="69" t="s">
        <v>88</v>
      </c>
      <c r="AA105" s="69">
        <v>172800</v>
      </c>
      <c r="AB105" s="69" t="str">
        <f>IF(AA105&lt;60,"1",IF(AA105&lt;=43200,"2",IF(AA105&lt;=777600,"3","4")))</f>
        <v>3</v>
      </c>
      <c r="AC105" s="72">
        <f>AVERAGE(AV104:DA104)</f>
        <v>43575</v>
      </c>
      <c r="AD105" s="69" t="str">
        <f>IF(AC105&lt;60,"1",IF(AC105&lt;=43200,"2",IF(AC105&lt;=777600,"3","4")))</f>
        <v>3</v>
      </c>
      <c r="AE105" s="87">
        <f>AA105-Y105</f>
        <v>172740</v>
      </c>
      <c r="AF105" s="88">
        <f>AV105</f>
        <v>0.47499999999999998</v>
      </c>
      <c r="AG105" s="72">
        <f>((AW105-AV105)+(AX105-AW105)+(AY105-AX105))/3</f>
        <v>-4.8333333333333318E-2</v>
      </c>
      <c r="AH105" s="4"/>
      <c r="AI105" s="72">
        <f>RSQ(AV105:AY105,AV104:AY104)</f>
        <v>0.70367198541975418</v>
      </c>
      <c r="AJ105" s="110">
        <f>SLOPE(AV105:AY105,AV104:AY104)</f>
        <v>-1.0361047014555645E-6</v>
      </c>
      <c r="AK105" s="72">
        <f>INTERCEPT(AV105:AY105,AV104:AY104)</f>
        <v>0.50889826236592617</v>
      </c>
      <c r="AL105" s="72">
        <f>INDEX(LINEST(LN(AV105:AY105),LN(AV104:AY104),TRUE,TRUE),3,1)</f>
        <v>0.6868844455578188</v>
      </c>
      <c r="AM105" s="72">
        <f>INDEX(LINEST(LN(AV105:AY105),LN(AV104:AY104)),1)</f>
        <v>-5.8187416724719776E-2</v>
      </c>
      <c r="AN105" s="72">
        <f>EXP(INDEX(LINEST(LN(AV105:AY105),LN(AV104:AY104)),1,2))</f>
        <v>0.6927452760686682</v>
      </c>
      <c r="AO105" s="89">
        <f>INDEX(LINEST((AV105:AY105),LN(AV104:AY104),TRUE,TRUE),3,1)</f>
        <v>0.60732129130526102</v>
      </c>
      <c r="AP105" s="89">
        <f>INDEX(LINEST((AV105:AY105),LN(AV104:AY104)),1)</f>
        <v>-2.4269924581651583E-2</v>
      </c>
      <c r="AQ105" s="90">
        <f>INDEX(LINEST(LN(AV105:AY105),SQRT(AV104:AY104),TRUE,TRUE),3,1)</f>
        <v>0.79311730244373879</v>
      </c>
      <c r="AR105" s="117">
        <f>INDEX(LINEST(LN(AV105:AY105),SQRT((AV104:AY104))),1)</f>
        <v>-1.0779822550156856E-3</v>
      </c>
      <c r="AS105" s="91">
        <f>INDEX(LINEST(1/(AV105:AY105),1/(SQRT(AV104:AY104)),TRUE,TRUE),3,1)</f>
        <v>0.28269827932974867</v>
      </c>
      <c r="AT105" s="91">
        <f>INDEX(LINEST(1/(AV105:AY105),1/SQRT(AV104:AY104)),1)</f>
        <v>-5.4878097572948406</v>
      </c>
      <c r="AU105" s="3"/>
      <c r="AV105" s="73">
        <v>0.47499999999999998</v>
      </c>
      <c r="AW105" s="73">
        <v>0.59</v>
      </c>
      <c r="AX105" s="73">
        <v>0.46</v>
      </c>
      <c r="AY105" s="73">
        <v>0.33</v>
      </c>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1"/>
      <c r="CS105" s="1"/>
      <c r="CT105" s="1"/>
      <c r="CU105" s="1"/>
    </row>
    <row r="106" spans="1:99" s="13" customFormat="1" ht="12" customHeight="1" x14ac:dyDescent="0.2">
      <c r="A106" s="68">
        <v>43509</v>
      </c>
      <c r="B106" s="70"/>
      <c r="C106" s="70"/>
      <c r="D106" s="69"/>
      <c r="E106" s="87"/>
      <c r="F106" s="69"/>
      <c r="G106" s="69"/>
      <c r="H106" s="69"/>
      <c r="I106" s="69"/>
      <c r="J106" s="69"/>
      <c r="K106" s="107"/>
      <c r="L106" s="107"/>
      <c r="M106" s="69"/>
      <c r="N106" s="69"/>
      <c r="O106" s="69"/>
      <c r="P106" s="69"/>
      <c r="Q106" s="69"/>
      <c r="R106" s="69"/>
      <c r="S106" s="69"/>
      <c r="T106" s="69"/>
      <c r="U106" s="69"/>
      <c r="V106" s="69"/>
      <c r="W106" s="69"/>
      <c r="X106" s="69"/>
      <c r="Y106" s="87"/>
      <c r="Z106" s="69"/>
      <c r="AA106" s="69"/>
      <c r="AB106" s="69"/>
      <c r="AC106" s="69"/>
      <c r="AD106" s="69"/>
      <c r="AE106" s="69"/>
      <c r="AF106" s="88"/>
      <c r="AG106" s="72"/>
      <c r="AH106" s="4"/>
      <c r="AI106" s="72"/>
      <c r="AJ106" s="110"/>
      <c r="AK106" s="72"/>
      <c r="AL106" s="72"/>
      <c r="AM106" s="72"/>
      <c r="AN106" s="72"/>
      <c r="AO106" s="72"/>
      <c r="AP106" s="72"/>
      <c r="AQ106" s="72"/>
      <c r="AR106" s="110"/>
      <c r="AS106" s="72"/>
      <c r="AT106" s="72"/>
      <c r="AU106" s="4"/>
      <c r="AV106" s="71">
        <f>60</f>
        <v>60</v>
      </c>
      <c r="AW106" s="71">
        <f>6*60</f>
        <v>360</v>
      </c>
      <c r="AX106" s="71">
        <f>18*60</f>
        <v>1080</v>
      </c>
      <c r="AY106" s="71">
        <f>24*3600*2</f>
        <v>172800</v>
      </c>
      <c r="AZ106" s="53"/>
      <c r="BA106" s="53"/>
      <c r="BB106" s="53"/>
      <c r="BC106" s="53"/>
      <c r="BD106" s="53"/>
      <c r="BE106" s="53"/>
      <c r="BF106" s="53"/>
      <c r="BG106" s="53"/>
      <c r="BH106" s="53"/>
      <c r="BI106" s="53"/>
      <c r="BJ106" s="53"/>
      <c r="BK106" s="53"/>
      <c r="BL106" s="53"/>
      <c r="BM106" s="53"/>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1"/>
      <c r="CS106" s="1"/>
      <c r="CT106" s="1"/>
      <c r="CU106" s="1"/>
    </row>
    <row r="107" spans="1:99" s="13" customFormat="1" ht="12" customHeight="1" x14ac:dyDescent="0.2">
      <c r="A107" s="68">
        <v>43509</v>
      </c>
      <c r="B107" s="70" t="s">
        <v>113</v>
      </c>
      <c r="C107" s="70" t="s">
        <v>114</v>
      </c>
      <c r="D107" s="69">
        <v>1969</v>
      </c>
      <c r="E107" s="87">
        <v>1</v>
      </c>
      <c r="F107" s="69">
        <v>189</v>
      </c>
      <c r="G107" s="69">
        <v>47.3</v>
      </c>
      <c r="H107" s="69" t="s">
        <v>50</v>
      </c>
      <c r="I107" s="69" t="s">
        <v>718</v>
      </c>
      <c r="J107" s="69" t="s">
        <v>90</v>
      </c>
      <c r="K107" s="69">
        <f>IF(J107="syllables",1,IF(J107="trigrams",2,IF(J107="strings",3,IF(J107="visual array",4,IF(J107="characters",5,IF(J107="letters",6,IF(J107="free forms",7,IF(J107="odors",8,IF(J107="words",9,IF(J107="pictures",10,IF(J107="object pictures",11,IF(J107="faces",12,IF(J107="names",13,IF(J107="idioms",14,IF(J107="grades",15,IF(J107="syllable-digit pairs",16,IF(J107="trigram-word pairs",17,IF(J107="word-digit pairs",18,IF(J107="English-Swahili pairs",19,IF(J107="spatial position",20,IF(J107="word pairs",21,IF(J107="word triads",22,IF(J107="generated words",23,IF(J107="word definition pairs",24,IF(J107="math problems",25,IF(J107="famous faces",26,IF(J107="famous names",27,IF(J107="famous voices",28,IF(J107="television programs",29,IF(J107="race horses",30,IF(J107="new vocabulary",31,IF(J107="sentences",32,IF(J107="concepts",33,IF(J107="ad slides",34,IF(J107="scenes",35,IF(J107="famous scenes",36,IF(J107="poems",37,IF(J107="walk",38,IF(J107="faces and events",39,IF(J107="events and names",40,IF(J107="flashbulb",41,IF(J107="stories",42,IF(J107="course material",43,IF(J107="autobiographical",44,IF(J107="novels",45,IF(J107="public events",46,"99"))))))))))))))))))))))))))))))))))))))))))))))</f>
        <v>18</v>
      </c>
      <c r="L107" s="69">
        <f>IF(J107="syllables",1,IF(J107="trigrams",1,IF(J107="strings",1,IF(J107="visual array",1,IF(J107="characters",1,IF(J107="letters",1,IF(J107="free forms",1,IF(J107="odors",2,IF(J107="words",2,IF(J107="pictures",2,IF(J107="object pictures",2,IF(J107="faces",2,IF(J107="names",2,IF(J107="idioms","2",IF(J107="grades",2,IF(J107="syllable-digit pairs",3,IF(J107="trigram-word pairs",3,IF(J107="word-digit pairs",3,IF(J107="English-Swahili pairs",3,IF(J107="spatial position",3,IF(J107="word pairs",4,IF(J107="word triads",4,IF(J107="generated words",4,IF(J107="word definition pairs",4,IF(J107="math problems",4,IF(J107="famous faces",4,IF(J107="famous names",4,IF(J107="famous voices",4,IF(J107="television programs",4,IF(J107="race horses",4,IF(J107="new vocabulary",4,IF(J107="sentences",5,IF(J107="concepts",5,IF(J107="ad slides",5,IF(J107="scenes",5,IF(J107="famous scenes",5,IF(J107="poems",6,IF(J107="walk",6,IF(J107="faces and events",6,IF(J107="events and names",6,IF(J107="flashbulb",7,IF(J107="stories",7,IF(J107="course material",7,IF(J107="autobiographical",7,IF(J107="novels",7,IF(J107="public events",7,"99"))))))))))))))))))))))))))))))))))))))))))))))</f>
        <v>3</v>
      </c>
      <c r="M107" s="69">
        <v>0</v>
      </c>
      <c r="N107" s="69">
        <v>1</v>
      </c>
      <c r="O107" s="69">
        <v>0</v>
      </c>
      <c r="P107" s="69"/>
      <c r="Q107" s="69" t="s">
        <v>174</v>
      </c>
      <c r="R107" s="69">
        <f>IF(Q107="Free Recall",1,IF(Q107="Cued Recall",2,IF(Q107="Recognition",3,IF(Q107="Multiple Choice",4,IF(Q107="Savings",5,IF(Q107="Stem Completion",6,IF(Q107="Fragment Completion",7,IF(Q107="anagram solution",8,IF(Q107="Matching",9,IF(Q107="Problem Solving",10,"99"))))))))))</f>
        <v>1</v>
      </c>
      <c r="S107" s="69" t="s">
        <v>49</v>
      </c>
      <c r="T107" s="92" t="s">
        <v>261</v>
      </c>
      <c r="U107" s="69">
        <f>IF(T107="within",1,0)</f>
        <v>0</v>
      </c>
      <c r="V107" s="92">
        <v>6</v>
      </c>
      <c r="W107" s="69">
        <f>F107*V107</f>
        <v>1134</v>
      </c>
      <c r="X107" s="69">
        <v>4</v>
      </c>
      <c r="Y107" s="87">
        <f>AV106</f>
        <v>60</v>
      </c>
      <c r="Z107" s="69" t="s">
        <v>88</v>
      </c>
      <c r="AA107" s="69">
        <v>172800</v>
      </c>
      <c r="AB107" s="69" t="str">
        <f>IF(AA107&lt;60,"1",IF(AA107&lt;=43200,"2",IF(AA107&lt;=777600,"3","4")))</f>
        <v>3</v>
      </c>
      <c r="AC107" s="72">
        <f>AVERAGE(AV106:DA106)</f>
        <v>43575</v>
      </c>
      <c r="AD107" s="69" t="str">
        <f>IF(AC107&lt;60,"1",IF(AC107&lt;=43200,"2",IF(AC107&lt;=777600,"3","4")))</f>
        <v>3</v>
      </c>
      <c r="AE107" s="87">
        <f>AA107-Y107</f>
        <v>172740</v>
      </c>
      <c r="AF107" s="88">
        <f>AV107</f>
        <v>0.56999999999999995</v>
      </c>
      <c r="AG107" s="72">
        <f>((AW107-AV107)+(AX107-AW107)+(AY107-AX107))/3</f>
        <v>-0.10666666666666665</v>
      </c>
      <c r="AH107" s="4"/>
      <c r="AI107" s="72">
        <f>RSQ(AV107:AY107,AV106:AY106)</f>
        <v>0.61894199747183909</v>
      </c>
      <c r="AJ107" s="110">
        <f>SLOPE(AV107:AY107,AV106:AY106)</f>
        <v>-1.2034348073863645E-6</v>
      </c>
      <c r="AK107" s="72">
        <f>INTERCEPT(AV107:AY107,AV106:AY106)</f>
        <v>0.45743967173186084</v>
      </c>
      <c r="AL107" s="72">
        <f>INDEX(LINEST(LN(AV107:AY107),LN(AV106:AY106),TRUE,TRUE),3,1)</f>
        <v>0.96596409056871069</v>
      </c>
      <c r="AM107" s="72">
        <f>INDEX(LINEST(LN(AV107:AY107),LN(AV106:AY106)),1)</f>
        <v>-9.794832078783669E-2</v>
      </c>
      <c r="AN107" s="72">
        <f>EXP(INDEX(LINEST(LN(AV107:AY107),LN(AV106:AY106)),1,2))</f>
        <v>0.79046364157693272</v>
      </c>
      <c r="AO107" s="89">
        <f>INDEX(LINEST((AV107:AY107),LN(AV106:AY106),TRUE,TRUE),3,1)</f>
        <v>0.89794515843040579</v>
      </c>
      <c r="AP107" s="89">
        <f>INDEX(LINEST((AV107:AY107),LN(AV106:AY106)),1)</f>
        <v>-3.6547961498314546E-2</v>
      </c>
      <c r="AQ107" s="90">
        <f>INDEX(LINEST(LN(AV107:AY107),SQRT(AV106:AY106),TRUE,TRUE),3,1)</f>
        <v>0.78465026738920318</v>
      </c>
      <c r="AR107" s="117">
        <f>INDEX(LINEST(LN(AV107:AY107),SQRT((AV106:AY106))),1)</f>
        <v>-1.5219845060563679E-3</v>
      </c>
      <c r="AS107" s="91">
        <f>INDEX(LINEST(1/(AV107:AY107),1/(SQRT(AV106:AY106)),TRUE,TRUE),3,1)</f>
        <v>0.77688887800249518</v>
      </c>
      <c r="AT107" s="91">
        <f>INDEX(LINEST(1/(AV107:AY107),1/SQRT(AV106:AY106)),1)</f>
        <v>-15.36036027588885</v>
      </c>
      <c r="AU107" s="3"/>
      <c r="AV107" s="73">
        <v>0.56999999999999995</v>
      </c>
      <c r="AW107" s="73">
        <v>0.42</v>
      </c>
      <c r="AX107" s="73">
        <v>0.38</v>
      </c>
      <c r="AY107" s="73">
        <v>0.25</v>
      </c>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c r="CA107" s="53"/>
      <c r="CB107" s="53"/>
      <c r="CC107" s="53"/>
      <c r="CD107" s="53"/>
      <c r="CE107" s="53"/>
      <c r="CF107" s="53"/>
      <c r="CG107" s="53"/>
      <c r="CH107" s="53"/>
      <c r="CI107" s="53"/>
      <c r="CJ107" s="53"/>
      <c r="CK107" s="53"/>
      <c r="CL107" s="53"/>
      <c r="CM107" s="53"/>
      <c r="CN107" s="53"/>
      <c r="CO107" s="53"/>
      <c r="CP107" s="53"/>
      <c r="CQ107" s="53"/>
      <c r="CR107" s="1"/>
      <c r="CS107" s="1"/>
      <c r="CT107" s="1"/>
      <c r="CU107" s="1"/>
    </row>
    <row r="108" spans="1:99" s="13" customFormat="1" ht="12" customHeight="1" x14ac:dyDescent="0.2">
      <c r="A108" s="68">
        <v>43509</v>
      </c>
      <c r="B108" s="70"/>
      <c r="C108" s="70"/>
      <c r="D108" s="69"/>
      <c r="E108" s="87"/>
      <c r="F108" s="69"/>
      <c r="G108" s="69"/>
      <c r="H108" s="69"/>
      <c r="I108" s="69"/>
      <c r="J108" s="69"/>
      <c r="K108" s="107"/>
      <c r="L108" s="107"/>
      <c r="M108" s="69"/>
      <c r="N108" s="69"/>
      <c r="O108" s="69"/>
      <c r="P108" s="69"/>
      <c r="Q108" s="69"/>
      <c r="R108" s="69"/>
      <c r="S108" s="69"/>
      <c r="T108" s="69"/>
      <c r="U108" s="69"/>
      <c r="V108" s="69"/>
      <c r="W108" s="69"/>
      <c r="X108" s="69"/>
      <c r="Y108" s="87"/>
      <c r="Z108" s="69"/>
      <c r="AA108" s="69"/>
      <c r="AB108" s="69"/>
      <c r="AC108" s="69"/>
      <c r="AD108" s="69"/>
      <c r="AE108" s="69"/>
      <c r="AF108" s="88"/>
      <c r="AG108" s="72"/>
      <c r="AH108" s="4"/>
      <c r="AI108" s="72"/>
      <c r="AJ108" s="110"/>
      <c r="AK108" s="72"/>
      <c r="AL108" s="72"/>
      <c r="AM108" s="72"/>
      <c r="AN108" s="72"/>
      <c r="AO108" s="72"/>
      <c r="AP108" s="72"/>
      <c r="AQ108" s="72"/>
      <c r="AR108" s="110"/>
      <c r="AS108" s="72"/>
      <c r="AT108" s="72"/>
      <c r="AU108" s="4"/>
      <c r="AV108" s="71">
        <f>2*60</f>
        <v>120</v>
      </c>
      <c r="AW108" s="71">
        <f>20*60</f>
        <v>1200</v>
      </c>
      <c r="AX108" s="71">
        <f>45*60</f>
        <v>2700</v>
      </c>
      <c r="AY108" s="71">
        <f>24*3600*1</f>
        <v>86400</v>
      </c>
      <c r="AZ108" s="71">
        <f>24*3600*7</f>
        <v>604800</v>
      </c>
      <c r="BA108" s="53"/>
      <c r="BB108" s="53"/>
      <c r="BC108" s="53"/>
      <c r="BD108" s="53"/>
      <c r="BE108" s="53"/>
      <c r="BF108" s="53"/>
      <c r="BG108" s="53"/>
      <c r="BH108" s="53"/>
      <c r="BI108" s="53"/>
      <c r="BJ108" s="53"/>
      <c r="BK108" s="53"/>
      <c r="BL108" s="53"/>
      <c r="BM108" s="53"/>
      <c r="BN108" s="53"/>
      <c r="BO108" s="53"/>
      <c r="BP108" s="53"/>
      <c r="BQ108" s="53"/>
      <c r="BR108" s="53"/>
      <c r="BS108" s="53"/>
      <c r="BT108" s="53"/>
      <c r="BU108" s="53"/>
      <c r="BV108" s="53"/>
      <c r="BW108" s="53"/>
      <c r="BX108" s="53"/>
      <c r="BY108" s="53"/>
      <c r="BZ108" s="53"/>
      <c r="CA108" s="53"/>
      <c r="CB108" s="53"/>
      <c r="CC108" s="53"/>
      <c r="CD108" s="53"/>
      <c r="CE108" s="53"/>
      <c r="CF108" s="53"/>
      <c r="CG108" s="53"/>
      <c r="CH108" s="53"/>
      <c r="CI108" s="53"/>
      <c r="CJ108" s="53"/>
      <c r="CK108" s="53"/>
      <c r="CL108" s="53"/>
      <c r="CM108" s="53"/>
      <c r="CN108" s="53"/>
      <c r="CO108" s="53"/>
      <c r="CP108" s="53"/>
      <c r="CQ108" s="53"/>
      <c r="CR108" s="1"/>
      <c r="CS108" s="1"/>
      <c r="CT108" s="1"/>
      <c r="CU108" s="1"/>
    </row>
    <row r="109" spans="1:99" s="13" customFormat="1" ht="12" customHeight="1" x14ac:dyDescent="0.2">
      <c r="A109" s="68">
        <v>43509</v>
      </c>
      <c r="B109" s="70" t="s">
        <v>116</v>
      </c>
      <c r="C109" s="70" t="s">
        <v>19</v>
      </c>
      <c r="D109" s="69">
        <v>1963</v>
      </c>
      <c r="E109" s="87">
        <v>1</v>
      </c>
      <c r="F109" s="69">
        <v>48</v>
      </c>
      <c r="G109" s="69">
        <v>8</v>
      </c>
      <c r="H109" s="69" t="s">
        <v>50</v>
      </c>
      <c r="I109" s="69" t="s">
        <v>718</v>
      </c>
      <c r="J109" s="69" t="s">
        <v>90</v>
      </c>
      <c r="K109" s="69">
        <f>IF(J109="syllables",1,IF(J109="trigrams",2,IF(J109="strings",3,IF(J109="visual array",4,IF(J109="characters",5,IF(J109="letters",6,IF(J109="free forms",7,IF(J109="odors",8,IF(J109="words",9,IF(J109="pictures",10,IF(J109="object pictures",11,IF(J109="faces",12,IF(J109="names",13,IF(J109="idioms",14,IF(J109="grades",15,IF(J109="syllable-digit pairs",16,IF(J109="trigram-word pairs",17,IF(J109="word-digit pairs",18,IF(J109="English-Swahili pairs",19,IF(J109="spatial position",20,IF(J109="word pairs",21,IF(J109="word triads",22,IF(J109="generated words",23,IF(J109="word definition pairs",24,IF(J109="math problems",25,IF(J109="famous faces",26,IF(J109="famous names",27,IF(J109="famous voices",28,IF(J109="television programs",29,IF(J109="race horses",30,IF(J109="new vocabulary",31,IF(J109="sentences",32,IF(J109="concepts",33,IF(J109="ad slides",34,IF(J109="scenes",35,IF(J109="famous scenes",36,IF(J109="poems",37,IF(J109="walk",38,IF(J109="faces and events",39,IF(J109="events and names",40,IF(J109="flashbulb",41,IF(J109="stories",42,IF(J109="course material",43,IF(J109="autobiographical",44,IF(J109="novels",45,IF(J109="public events",46,"99"))))))))))))))))))))))))))))))))))))))))))))))</f>
        <v>18</v>
      </c>
      <c r="L109" s="69">
        <f>IF(J109="syllables",1,IF(J109="trigrams",1,IF(J109="strings",1,IF(J109="visual array",1,IF(J109="characters",1,IF(J109="letters",1,IF(J109="free forms",1,IF(J109="odors",2,IF(J109="words",2,IF(J109="pictures",2,IF(J109="object pictures",2,IF(J109="faces",2,IF(J109="names",2,IF(J109="idioms","2",IF(J109="grades",2,IF(J109="syllable-digit pairs",3,IF(J109="trigram-word pairs",3,IF(J109="word-digit pairs",3,IF(J109="English-Swahili pairs",3,IF(J109="spatial position",3,IF(J109="word pairs",4,IF(J109="word triads",4,IF(J109="generated words",4,IF(J109="word definition pairs",4,IF(J109="math problems",4,IF(J109="famous faces",4,IF(J109="famous names",4,IF(J109="famous voices",4,IF(J109="television programs",4,IF(J109="race horses",4,IF(J109="new vocabulary",4,IF(J109="sentences",5,IF(J109="concepts",5,IF(J109="ad slides",5,IF(J109="scenes",5,IF(J109="famous scenes",5,IF(J109="poems",6,IF(J109="walk",6,IF(J109="faces and events",6,IF(J109="events and names",6,IF(J109="flashbulb",7,IF(J109="stories",7,IF(J109="course material",7,IF(J109="autobiographical",7,IF(J109="novels",7,IF(J109="public events",7,"99"))))))))))))))))))))))))))))))))))))))))))))))</f>
        <v>3</v>
      </c>
      <c r="M109" s="69">
        <v>0</v>
      </c>
      <c r="N109" s="69">
        <v>1</v>
      </c>
      <c r="O109" s="69">
        <v>0</v>
      </c>
      <c r="P109" s="69"/>
      <c r="Q109" s="69" t="s">
        <v>65</v>
      </c>
      <c r="R109" s="69">
        <f>IF(Q109="Free Recall",1,IF(Q109="Cued Recall",2,IF(Q109="Recognition",3,IF(Q109="Multiple Choice",4,IF(Q109="Savings",5,IF(Q109="Stem Completion",6,IF(Q109="Fragment Completion",7,IF(Q109="anagram solution",8,IF(Q109="Matching",9,IF(Q109="Problem Solving",10,"99"))))))))))</f>
        <v>2</v>
      </c>
      <c r="S109" s="69" t="s">
        <v>49</v>
      </c>
      <c r="T109" s="69" t="s">
        <v>261</v>
      </c>
      <c r="U109" s="69">
        <f>IF(T109="within",1,0)</f>
        <v>0</v>
      </c>
      <c r="V109" s="69">
        <v>8</v>
      </c>
      <c r="W109" s="69">
        <f>F109*V109</f>
        <v>384</v>
      </c>
      <c r="X109" s="69">
        <v>5</v>
      </c>
      <c r="Y109" s="87">
        <f>AV108</f>
        <v>120</v>
      </c>
      <c r="Z109" s="69" t="s">
        <v>97</v>
      </c>
      <c r="AA109" s="69">
        <v>604800</v>
      </c>
      <c r="AB109" s="69" t="str">
        <f>IF(AA109&lt;60,"1",IF(AA109&lt;=43200,"2",IF(AA109&lt;=777600,"3","4")))</f>
        <v>3</v>
      </c>
      <c r="AC109" s="72">
        <f>AVERAGE(AV108:DA108)</f>
        <v>139044</v>
      </c>
      <c r="AD109" s="69" t="str">
        <f>IF(AC109&lt;60,"1",IF(AC109&lt;=43200,"2",IF(AC109&lt;=777600,"3","4")))</f>
        <v>3</v>
      </c>
      <c r="AE109" s="87">
        <f>AA109-Y109</f>
        <v>604680</v>
      </c>
      <c r="AF109" s="88">
        <f>AV109</f>
        <v>0.45</v>
      </c>
      <c r="AG109" s="72">
        <f>((AW109-AV109)+(AX109-AW109)+(AY109-AX109)+(AZ109-AY109))/4</f>
        <v>-0.11225</v>
      </c>
      <c r="AH109" s="4"/>
      <c r="AI109" s="72">
        <f>RSQ(AV109:AZ109,AV108:AZ108)</f>
        <v>0.40518541764186922</v>
      </c>
      <c r="AJ109" s="110">
        <f>SLOPE(AV109:AZ109,AV108:AZ108)</f>
        <v>-4.0600589558657832E-7</v>
      </c>
      <c r="AK109" s="72">
        <f>INTERCEPT(AV109:AZ109,AV108:AZ108)</f>
        <v>0.2346526837459402</v>
      </c>
      <c r="AL109" s="72">
        <f>INDEX(LINEST(LN(AV109:AZ109),LN(AV108:AZ108),TRUE,TRUE),3,1)</f>
        <v>0.69846359793365875</v>
      </c>
      <c r="AM109" s="170"/>
      <c r="AN109" s="72">
        <f>EXP(INDEX(LINEST(LN(AV109:AZ109),LN(AV108:AZ108)),1,2))</f>
        <v>12.453119511466605</v>
      </c>
      <c r="AO109" s="89">
        <f>INDEX(LINEST((AV109:AZ109),LN(AV108:AZ108),TRUE,TRUE),3,1)</f>
        <v>0.77930984220496657</v>
      </c>
      <c r="AP109" s="89">
        <f>INDEX(LINEST((AV109:AZ109),LN(AV108:AZ108)),1)</f>
        <v>-4.3313492182956492E-2</v>
      </c>
      <c r="AQ109" s="90">
        <f>INDEX(LINEST(LN(AV109:AZ109),SQRT(AV108:AZ108),TRUE,TRUE),3,1)</f>
        <v>0.92040349407198008</v>
      </c>
      <c r="AR109" s="117">
        <f>INDEX(LINEST(LN(AV109:AZ109),SQRT((AV108:AZ108))),1)</f>
        <v>-7.112102317336705E-3</v>
      </c>
      <c r="AS109" s="91">
        <f>INDEX(LINEST(1/(AV109:AZ109),1/(SQRT(AV108:AZ108)),TRUE,TRUE),3,1)</f>
        <v>0.17960823276110982</v>
      </c>
      <c r="AT109" s="91">
        <f>INDEX(LINEST(1/(AV109:AZ109),1/SQRT(AV108:AZ108)),1)</f>
        <v>-5128.573209877417</v>
      </c>
      <c r="AU109" s="3"/>
      <c r="AV109" s="73">
        <v>0.45</v>
      </c>
      <c r="AW109" s="73">
        <v>0.2</v>
      </c>
      <c r="AX109" s="73">
        <v>0.12</v>
      </c>
      <c r="AY109" s="73">
        <v>0.12</v>
      </c>
      <c r="AZ109" s="73">
        <v>1E-3</v>
      </c>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c r="BY109" s="53"/>
      <c r="BZ109" s="53"/>
      <c r="CA109" s="53"/>
      <c r="CB109" s="53"/>
      <c r="CC109" s="53"/>
      <c r="CD109" s="53"/>
      <c r="CE109" s="53"/>
      <c r="CF109" s="53"/>
      <c r="CG109" s="53"/>
      <c r="CH109" s="53"/>
      <c r="CI109" s="53"/>
      <c r="CJ109" s="53"/>
      <c r="CK109" s="53"/>
      <c r="CL109" s="53"/>
      <c r="CM109" s="53"/>
      <c r="CN109" s="53"/>
      <c r="CO109" s="53"/>
      <c r="CP109" s="53"/>
      <c r="CQ109" s="53"/>
      <c r="CR109" s="1"/>
      <c r="CS109" s="1"/>
      <c r="CT109" s="1"/>
      <c r="CU109" s="1"/>
    </row>
    <row r="110" spans="1:99" s="13" customFormat="1" ht="12" customHeight="1" x14ac:dyDescent="0.2">
      <c r="A110" s="65">
        <v>43509</v>
      </c>
      <c r="B110" s="1"/>
      <c r="C110" s="1"/>
      <c r="D110" s="60"/>
      <c r="E110" s="76"/>
      <c r="F110" s="60"/>
      <c r="G110" s="60"/>
      <c r="H110" s="60"/>
      <c r="I110" s="60"/>
      <c r="J110" s="60"/>
      <c r="K110" s="64"/>
      <c r="L110" s="64"/>
      <c r="M110" s="60"/>
      <c r="N110" s="60"/>
      <c r="O110" s="60"/>
      <c r="P110" s="60"/>
      <c r="Q110" s="60"/>
      <c r="R110" s="60"/>
      <c r="S110" s="60"/>
      <c r="T110" s="60"/>
      <c r="U110" s="60"/>
      <c r="V110" s="60"/>
      <c r="W110" s="60"/>
      <c r="X110" s="60"/>
      <c r="Y110" s="76"/>
      <c r="Z110" s="60"/>
      <c r="AA110" s="60"/>
      <c r="AB110" s="60"/>
      <c r="AC110" s="60"/>
      <c r="AD110" s="60"/>
      <c r="AE110" s="60"/>
      <c r="AF110" s="80"/>
      <c r="AG110" s="56"/>
      <c r="AH110" s="4"/>
      <c r="AI110" s="56"/>
      <c r="AJ110" s="109"/>
      <c r="AK110" s="56"/>
      <c r="AL110" s="56"/>
      <c r="AM110" s="56"/>
      <c r="AN110" s="56"/>
      <c r="AO110" s="56"/>
      <c r="AP110" s="56"/>
      <c r="AQ110" s="56"/>
      <c r="AR110" s="109"/>
      <c r="AS110" s="56"/>
      <c r="AT110" s="56"/>
      <c r="AU110" s="4"/>
      <c r="AV110" s="25">
        <f>2*60</f>
        <v>120</v>
      </c>
      <c r="AW110" s="25">
        <f>20*60</f>
        <v>1200</v>
      </c>
      <c r="AX110" s="25">
        <f>24*3600*7</f>
        <v>604800</v>
      </c>
      <c r="AY110" s="53"/>
      <c r="AZ110" s="53"/>
      <c r="BA110" s="53"/>
      <c r="BB110" s="53"/>
      <c r="BC110" s="53"/>
      <c r="BD110" s="53"/>
      <c r="BE110" s="53"/>
      <c r="BF110" s="53"/>
      <c r="BG110" s="53"/>
      <c r="BH110" s="53"/>
      <c r="BI110" s="53"/>
      <c r="BJ110" s="53"/>
      <c r="BK110" s="53"/>
      <c r="BL110" s="53"/>
      <c r="BM110" s="53"/>
      <c r="BN110" s="53"/>
      <c r="BO110" s="53"/>
      <c r="BP110" s="53"/>
      <c r="BQ110" s="53"/>
      <c r="BR110" s="53"/>
      <c r="BS110" s="53"/>
      <c r="BT110" s="53"/>
      <c r="BU110" s="53"/>
      <c r="BV110" s="53"/>
      <c r="BW110" s="53"/>
      <c r="BX110" s="53"/>
      <c r="BY110" s="53"/>
      <c r="BZ110" s="53"/>
      <c r="CA110" s="53"/>
      <c r="CB110" s="53"/>
      <c r="CC110" s="53"/>
      <c r="CD110" s="53"/>
      <c r="CE110" s="53"/>
      <c r="CF110" s="53"/>
      <c r="CG110" s="53"/>
      <c r="CH110" s="53"/>
      <c r="CI110" s="53"/>
      <c r="CJ110" s="53"/>
      <c r="CK110" s="53"/>
      <c r="CL110" s="53"/>
      <c r="CM110" s="53"/>
      <c r="CN110" s="53"/>
      <c r="CO110" s="53"/>
      <c r="CP110" s="53"/>
      <c r="CQ110" s="53"/>
      <c r="CR110" s="1"/>
      <c r="CS110" s="1"/>
      <c r="CT110" s="1"/>
      <c r="CU110" s="1"/>
    </row>
    <row r="111" spans="1:99" s="13" customFormat="1" ht="12" customHeight="1" x14ac:dyDescent="0.2">
      <c r="A111" s="65">
        <v>43509</v>
      </c>
      <c r="B111" s="1" t="s">
        <v>117</v>
      </c>
      <c r="C111" s="1" t="s">
        <v>19</v>
      </c>
      <c r="D111" s="60">
        <v>1964</v>
      </c>
      <c r="E111" s="76">
        <v>1</v>
      </c>
      <c r="F111" s="60">
        <v>36</v>
      </c>
      <c r="G111" s="60">
        <v>12</v>
      </c>
      <c r="H111" s="60" t="s">
        <v>50</v>
      </c>
      <c r="I111" s="60" t="s">
        <v>718</v>
      </c>
      <c r="J111" s="60" t="s">
        <v>721</v>
      </c>
      <c r="K111" s="60">
        <f>IF(J111="syllables",1,IF(J111="trigrams",2,IF(J111="strings",3,IF(J111="visual array",4,IF(J111="characters",5,IF(J111="letters",6,IF(J111="free forms",7,IF(J111="odors",8,IF(J111="words",9,IF(J111="pictures",10,IF(J111="object pictures",11,IF(J111="faces",12,IF(J111="names",13,IF(J111="idioms",14,IF(J111="grades",15,IF(J111="syllable-digit pairs",16,IF(J111="trigram-word pairs",17,IF(J111="word-digit pairs",18,IF(J111="English-Swahili pairs",19,IF(J111="spatial position",20,IF(J111="word pairs",21,IF(J111="word triads",22,IF(J111="generated words",23,IF(J111="word definition pairs",24,IF(J111="math problems",25,IF(J111="famous faces",26,IF(J111="famous names",27,IF(J111="famous voices",28,IF(J111="television programs",29,IF(J111="race horses",30,IF(J111="new vocabulary",31,IF(J111="sentences",32,IF(J111="concepts",33,IF(J111="ad slides",34,IF(J111="scenes",35,IF(J111="famous scenes",36,IF(J111="poems",37,IF(J111="walk",38,IF(J111="faces and events",39,IF(J111="events and names",40,IF(J111="flashbulb",41,IF(J111="stories",42,IF(J111="course material",43,IF(J111="autobiographical",44,IF(J111="novels",45,IF(J111="public events",46,"99"))))))))))))))))))))))))))))))))))))))))))))))</f>
        <v>16</v>
      </c>
      <c r="L111" s="60">
        <f>IF(J111="syllables",1,IF(J111="trigrams",1,IF(J111="strings",1,IF(J111="visual array",1,IF(J111="characters",1,IF(J111="letters",1,IF(J111="free forms",1,IF(J111="odors",2,IF(J111="words",2,IF(J111="pictures",2,IF(J111="object pictures",2,IF(J111="faces",2,IF(J111="names",2,IF(J111="idioms","2",IF(J111="grades",2,IF(J111="syllable-digit pairs",3,IF(J111="trigram-word pairs",3,IF(J111="word-digit pairs",3,IF(J111="English-Swahili pairs",3,IF(J111="spatial position",3,IF(J111="word pairs",4,IF(J111="word triads",4,IF(J111="generated words",4,IF(J111="word definition pairs",4,IF(J111="math problems",4,IF(J111="famous faces",4,IF(J111="famous names",4,IF(J111="famous voices",4,IF(J111="television programs",4,IF(J111="race horses",4,IF(J111="new vocabulary",4,IF(J111="sentences",5,IF(J111="concepts",5,IF(J111="ad slides",5,IF(J111="scenes",5,IF(J111="famous scenes",5,IF(J111="poems",6,IF(J111="walk",6,IF(J111="faces and events",6,IF(J111="events and names",6,IF(J111="flashbulb",7,IF(J111="stories",7,IF(J111="course material",7,IF(J111="autobiographical",7,IF(J111="novels",7,IF(J111="public events",7,"99"))))))))))))))))))))))))))))))))))))))))))))))</f>
        <v>3</v>
      </c>
      <c r="M111" s="60">
        <v>0</v>
      </c>
      <c r="N111" s="60">
        <v>1</v>
      </c>
      <c r="O111" s="60">
        <v>0</v>
      </c>
      <c r="P111" s="60"/>
      <c r="Q111" s="60" t="s">
        <v>65</v>
      </c>
      <c r="R111" s="60">
        <f>IF(Q111="Free Recall",1,IF(Q111="Cued Recall",2,IF(Q111="Recognition",3,IF(Q111="Multiple Choice",4,IF(Q111="Savings",5,IF(Q111="Stem Completion",6,IF(Q111="Fragment Completion",7,IF(Q111="anagram solution",8,IF(Q111="Matching",9,IF(Q111="Problem Solving",10,"99"))))))))))</f>
        <v>2</v>
      </c>
      <c r="S111" s="60" t="s">
        <v>49</v>
      </c>
      <c r="T111" s="60" t="s">
        <v>261</v>
      </c>
      <c r="U111" s="60">
        <f>IF(T111="within",1,0)</f>
        <v>0</v>
      </c>
      <c r="V111" s="60">
        <v>6</v>
      </c>
      <c r="W111" s="60">
        <f>F111*V111</f>
        <v>216</v>
      </c>
      <c r="X111" s="60">
        <v>3</v>
      </c>
      <c r="Y111" s="76">
        <f>AV110</f>
        <v>120</v>
      </c>
      <c r="Z111" s="60" t="s">
        <v>97</v>
      </c>
      <c r="AA111" s="60">
        <v>604800</v>
      </c>
      <c r="AB111" s="60" t="str">
        <f>IF(AA111&lt;60,"1",IF(AA111&lt;=43200,"2",IF(AA111&lt;=777600,"3","4")))</f>
        <v>3</v>
      </c>
      <c r="AC111" s="56">
        <f>AVERAGE(AV110:DA110)</f>
        <v>202040</v>
      </c>
      <c r="AD111" s="60" t="str">
        <f>IF(AC111&lt;60,"1",IF(AC111&lt;=43200,"2",IF(AC111&lt;=777600,"3","4")))</f>
        <v>3</v>
      </c>
      <c r="AE111" s="76">
        <f>AA111-Y111</f>
        <v>604680</v>
      </c>
      <c r="AF111" s="80">
        <f>AV111</f>
        <v>0.44</v>
      </c>
      <c r="AG111" s="56">
        <f>((AW111-AV111)+(AX111-AW111))/2</f>
        <v>-0.18</v>
      </c>
      <c r="AH111" s="4"/>
      <c r="AI111" s="56">
        <f>RSQ(AV111:AX111,AV110:AX110)</f>
        <v>0.80450808316295164</v>
      </c>
      <c r="AJ111" s="109">
        <f>SLOPE(AV111:AX111,AV110:AX110)</f>
        <v>-4.6382270366795731E-7</v>
      </c>
      <c r="AK111" s="56">
        <f>INTERCEPT(AV111:AX111,AV110:AX110)</f>
        <v>0.36037740571574073</v>
      </c>
      <c r="AL111" s="56">
        <f>INDEX(LINEST(LN(AV111:AX111),LN(AV110:AX110),TRUE,TRUE),3,1)</f>
        <v>0.99997145956760369</v>
      </c>
      <c r="AM111" s="56">
        <f>INDEX(LINEST(LN(AV111:AX111),LN(AV110:AX110)),1)</f>
        <v>-0.20025067487493042</v>
      </c>
      <c r="AN111" s="56">
        <f>EXP(INDEX(LINEST(LN(AV111:AX111),LN(AV110:AX110)),1,2))</f>
        <v>1.1520711701236224</v>
      </c>
      <c r="AO111" s="82">
        <f>INDEX(LINEST((AV111:AX111),LN(AV110:AX110),TRUE,TRUE),3,1)</f>
        <v>0.96229230769970098</v>
      </c>
      <c r="AP111" s="82">
        <f>INDEX(LINEST((AV111:AX111),LN(AV110:AX110)),1)</f>
        <v>-4.0119603093488547E-2</v>
      </c>
      <c r="AQ111" s="83">
        <f>INDEX(LINEST(LN(AV111:AX111),SQRT(AV110:AX110),TRUE,TRUE),3,1)</f>
        <v>0.94731321939258817</v>
      </c>
      <c r="AR111" s="116">
        <f>INDEX(LINEST(LN(AV111:AX111),SQRT((AV110:AX110))),1)</f>
        <v>-1.97153347148213E-3</v>
      </c>
      <c r="AS111" s="84">
        <f>INDEX(LINEST(1/(AV111:AX111),1/(SQRT(AV110:AX110)),TRUE,TRUE),3,1)</f>
        <v>0.6561644474570163</v>
      </c>
      <c r="AT111" s="84">
        <f>INDEX(LINEST(1/(AV111:AX111),1/SQRT(AV110:AX110)),1)</f>
        <v>-97.81134653710167</v>
      </c>
      <c r="AU111" s="3"/>
      <c r="AV111" s="53">
        <v>0.44</v>
      </c>
      <c r="AW111" s="53">
        <v>0.28000000000000003</v>
      </c>
      <c r="AX111" s="53">
        <v>0.08</v>
      </c>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c r="BY111" s="53"/>
      <c r="BZ111" s="53"/>
      <c r="CA111" s="53"/>
      <c r="CB111" s="53"/>
      <c r="CC111" s="53"/>
      <c r="CD111" s="53"/>
      <c r="CE111" s="53"/>
      <c r="CF111" s="53"/>
      <c r="CG111" s="53"/>
      <c r="CH111" s="53"/>
      <c r="CI111" s="53"/>
      <c r="CJ111" s="53"/>
      <c r="CK111" s="53"/>
      <c r="CL111" s="53"/>
      <c r="CM111" s="53"/>
      <c r="CN111" s="53"/>
      <c r="CO111" s="53"/>
      <c r="CP111" s="53"/>
      <c r="CQ111" s="53"/>
      <c r="CR111" s="1"/>
      <c r="CS111" s="1"/>
      <c r="CT111" s="1"/>
      <c r="CU111" s="1"/>
    </row>
    <row r="112" spans="1:99" s="13" customFormat="1" ht="12" customHeight="1" x14ac:dyDescent="0.2">
      <c r="A112" s="65">
        <v>43976</v>
      </c>
      <c r="B112" s="1"/>
      <c r="C112" s="1"/>
      <c r="D112" s="60"/>
      <c r="E112" s="76"/>
      <c r="F112" s="60"/>
      <c r="G112" s="60"/>
      <c r="H112" s="60"/>
      <c r="I112" s="60"/>
      <c r="J112" s="60"/>
      <c r="K112" s="60"/>
      <c r="L112" s="60"/>
      <c r="M112" s="60"/>
      <c r="N112" s="60"/>
      <c r="O112" s="60"/>
      <c r="P112" s="60"/>
      <c r="Q112" s="60"/>
      <c r="R112" s="60"/>
      <c r="S112" s="60"/>
      <c r="T112" s="59"/>
      <c r="U112" s="60"/>
      <c r="V112" s="59"/>
      <c r="W112" s="60"/>
      <c r="X112" s="60"/>
      <c r="Y112" s="76"/>
      <c r="Z112" s="59"/>
      <c r="AA112" s="60"/>
      <c r="AB112" s="60"/>
      <c r="AC112" s="56"/>
      <c r="AD112" s="60"/>
      <c r="AE112" s="76"/>
      <c r="AF112" s="80"/>
      <c r="AG112" s="56"/>
      <c r="AH112" s="4"/>
      <c r="AI112" s="56"/>
      <c r="AJ112" s="109"/>
      <c r="AK112" s="56"/>
      <c r="AL112" s="56"/>
      <c r="AM112" s="56"/>
      <c r="AN112" s="56"/>
      <c r="AO112" s="82"/>
      <c r="AP112" s="82"/>
      <c r="AQ112" s="83"/>
      <c r="AR112" s="116"/>
      <c r="AS112" s="84"/>
      <c r="AT112" s="84"/>
      <c r="AU112" s="3"/>
      <c r="AV112" s="25">
        <f>60*10</f>
        <v>600</v>
      </c>
      <c r="AW112" s="25">
        <f>60*60*24</f>
        <v>86400</v>
      </c>
      <c r="AX112" s="25">
        <f>60*60*24*7</f>
        <v>604800</v>
      </c>
      <c r="AY112" s="53"/>
      <c r="AZ112" s="53"/>
      <c r="BA112" s="53"/>
      <c r="BB112" s="5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1"/>
      <c r="CS112" s="1"/>
      <c r="CT112" s="1"/>
      <c r="CU112" s="1"/>
    </row>
    <row r="113" spans="1:99" s="13" customFormat="1" ht="12" customHeight="1" x14ac:dyDescent="0.2">
      <c r="A113" s="65">
        <v>43976</v>
      </c>
      <c r="B113" s="1" t="s">
        <v>928</v>
      </c>
      <c r="C113" s="1" t="s">
        <v>54</v>
      </c>
      <c r="D113" s="60">
        <v>1985</v>
      </c>
      <c r="E113" s="76">
        <v>1</v>
      </c>
      <c r="F113" s="60">
        <v>16</v>
      </c>
      <c r="G113" s="60">
        <v>16</v>
      </c>
      <c r="H113" s="60" t="s">
        <v>41</v>
      </c>
      <c r="I113" s="60" t="s">
        <v>330</v>
      </c>
      <c r="J113" s="60" t="s">
        <v>313</v>
      </c>
      <c r="K113" s="60">
        <f>IF(J113="syllables",1,IF(J113="trigrams",2,IF(J113="strings",3,IF(J113="visual array",4,IF(J113="characters",5,IF(J113="letters",6,IF(J113="free forms",7,IF(J113="odors",8,IF(J113="words",9,IF(J113="pictures",10,IF(J113="object pictures",11,IF(J113="faces",12,IF(J113="names",13,IF(J113="idioms",14,IF(J113="grades",15,IF(J113="syllable-digit pairs",16,IF(J113="trigram-word pairs",17,IF(J113="word-digit pairs",18,IF(J113="English-Swahili pairs",19,IF(J113="spatial position",20,IF(J113="word pairs",21,IF(J113="word triads",22,IF(J113="generated words",23,IF(J113="word definition pairs",24,IF(J113="math problems",25,IF(J113="famous faces",26,IF(J113="famous names",27,IF(J113="famous voices",28,IF(J113="television programs",29,IF(J113="race horses",30,IF(J113="new vocabulary",31,IF(J113="sentences",32,IF(J113="concepts",33,IF(J113="ad slides",34,IF(J113="scenes",35,IF(J113="famous scenes",36,IF(J113="poems",37,IF(J113="walk",38,IF(J113="faces and events",39,IF(J113="events and names",40,IF(J113="flashbulb",41,IF(J113="stories",42,IF(J113="course material",43,IF(J113="autobiographical",44,IF(J113="novels",45,IF(J113="public events",46,"99"))))))))))))))))))))))))))))))))))))))))))))))</f>
        <v>10</v>
      </c>
      <c r="L113" s="60">
        <f>IF(J113="syllables",1,IF(J113="trigrams",1,IF(J113="strings",1,IF(J113="visual array",1,IF(J113="characters",1,IF(J113="letters",1,IF(J113="free forms",1,IF(J113="odors",2,IF(J113="words",2,IF(J113="pictures",2,IF(J113="object pictures",2,IF(J113="faces",2,IF(J113="names",2,IF(J113="idioms","2",IF(J113="grades",2,IF(J113="syllable-digit pairs",3,IF(J113="trigram-word pairs",3,IF(J113="word-digit pairs",3,IF(J113="English-Swahili pairs",3,IF(J113="spatial position",3,IF(J113="word pairs",4,IF(J113="word triads",4,IF(J113="generated words",4,IF(J113="word definition pairs",4,IF(J113="math problems",4,IF(J113="famous faces",4,IF(J113="famous names",4,IF(J113="famous voices",4,IF(J113="television programs",4,IF(J113="race horses",4,IF(J113="new vocabulary",4,IF(J113="sentences",5,IF(J113="concepts",5,IF(J113="ad slides",5,IF(J113="scenes",5,IF(J113="famous scenes",5,IF(J113="poems",6,IF(J113="walk",6,IF(J113="faces and events",6,IF(J113="events and names",6,IF(J113="flashbulb",7,IF(J113="stories",7,IF(J113="course material",7,IF(J113="autobiographical",7,IF(J113="novels",7,IF(J113="public events",7,"99"))))))))))))))))))))))))))))))))))))))))))))))</f>
        <v>2</v>
      </c>
      <c r="M113" s="60">
        <v>0</v>
      </c>
      <c r="N113" s="60">
        <v>1</v>
      </c>
      <c r="O113" s="60">
        <v>0</v>
      </c>
      <c r="P113" s="60"/>
      <c r="Q113" s="60" t="s">
        <v>34</v>
      </c>
      <c r="R113" s="60">
        <f>IF(Q113="Free Recall",1,IF(Q113="Cued Recall",2,IF(Q113="Recognition",3,IF(Q113="Multiple Choice",4,IF(Q113="Savings",5,IF(Q113="Stem Completion",6,IF(Q113="Fragment Completion",7,IF(Q113="anagram solution",8,IF(Q113="Matching",9,IF(Q113="Problem Solving",10,"99"))))))))))</f>
        <v>3</v>
      </c>
      <c r="S113" s="60" t="s">
        <v>15</v>
      </c>
      <c r="T113" s="59" t="s">
        <v>581</v>
      </c>
      <c r="U113" s="60">
        <f>IF(T113="within",1,0)</f>
        <v>1</v>
      </c>
      <c r="V113" s="59">
        <v>120</v>
      </c>
      <c r="W113" s="60" t="e">
        <f>#REF!*V113</f>
        <v>#REF!</v>
      </c>
      <c r="X113" s="60">
        <v>3</v>
      </c>
      <c r="Y113" s="76">
        <f>AV112</f>
        <v>600</v>
      </c>
      <c r="Z113" s="60" t="s">
        <v>97</v>
      </c>
      <c r="AA113" s="60">
        <v>604800</v>
      </c>
      <c r="AB113" s="60" t="str">
        <f>IF(AA113&lt;60,"1",IF(AA113&lt;=43200,"2",IF(AA113&lt;=777600,"3","4")))</f>
        <v>3</v>
      </c>
      <c r="AC113" s="56">
        <f>AVERAGE(AV112:DA112)</f>
        <v>230600</v>
      </c>
      <c r="AD113" s="60" t="str">
        <f>IF(AC113&lt;60,"1",IF(AC113&lt;=43200,"2",IF(AC113&lt;=777600,"3","4")))</f>
        <v>3</v>
      </c>
      <c r="AE113" s="76">
        <f>AA113-Y113</f>
        <v>604200</v>
      </c>
      <c r="AF113" s="80">
        <f>AV113</f>
        <v>0.81442509826868004</v>
      </c>
      <c r="AG113" s="56">
        <f>((AW113-AV113)+(AX113-AW113))/2</f>
        <v>-0.10779416920246299</v>
      </c>
      <c r="AH113" s="4"/>
      <c r="AI113" s="56">
        <f>RSQ(AV113:AX113,AV112:AX112)</f>
        <v>0.83893050318398321</v>
      </c>
      <c r="AJ113" s="109">
        <f>SLOPE(AV113:AX113,AV112:AX112)</f>
        <v>-3.0209746671927545E-7</v>
      </c>
      <c r="AK113" s="56">
        <f>INTERCEPT(AV113:AX113,AV112:AX112)</f>
        <v>0.77498812325723765</v>
      </c>
      <c r="AL113" s="56">
        <f>INDEX(LINEST(LN(AV113:AX113),LN(AV112:AX112),TRUE,TRUE),3,1)</f>
        <v>0.92854652780261737</v>
      </c>
      <c r="AM113" s="56">
        <f>INDEX(LINEST(LN(AV113:AX113),LN(AV112:AX112)),1)</f>
        <v>-4.1553017301313395E-2</v>
      </c>
      <c r="AN113" s="56">
        <f>EXP(INDEX(LINEST(LN(AV113:AX113),LN(AV112:AX112)),1,2))</f>
        <v>1.0762567578338706</v>
      </c>
      <c r="AO113" s="82">
        <f>INDEX(LINEST((AV113:AX113),LN(AV112:AX112),TRUE,TRUE),3,1)</f>
        <v>0.94966075549527063</v>
      </c>
      <c r="AP113" s="82">
        <f>INDEX(LINEST((AV113:AX113),LN(AV112:AX112)),1)</f>
        <v>-2.9461306544186099E-2</v>
      </c>
      <c r="AQ113" s="83">
        <f>INDEX(LINEST(LN(AV113:AX113),SQRT(AV112:AX112),TRUE,TRUE),3,1)</f>
        <v>0.98066532496485592</v>
      </c>
      <c r="AR113" s="116">
        <f>INDEX(LINEST(LN(AV113:AX113),SQRT((AV112:AX112))),1)</f>
        <v>-3.9904811753857381E-4</v>
      </c>
      <c r="AS113" s="84">
        <f>INDEX(LINEST(1/(AV113:AX113),1/(SQRT(AV112:AX112)),TRUE,TRUE),3,1)</f>
        <v>0.73269464500909887</v>
      </c>
      <c r="AT113" s="84">
        <f>INDEX(LINEST(1/(AV113:AX113),1/SQRT(AV112:AX112)),1)</f>
        <v>-8.5252437347902585</v>
      </c>
      <c r="AU113" s="3"/>
      <c r="AV113" s="53">
        <v>0.81442509826868004</v>
      </c>
      <c r="AW113" s="53">
        <v>0.70271148416288398</v>
      </c>
      <c r="AX113" s="53">
        <v>0.59883675986375406</v>
      </c>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53"/>
      <c r="CD113" s="53"/>
      <c r="CE113" s="53"/>
      <c r="CF113" s="53"/>
      <c r="CG113" s="53"/>
      <c r="CH113" s="53"/>
      <c r="CI113" s="53"/>
      <c r="CJ113" s="53"/>
      <c r="CK113" s="53"/>
      <c r="CL113" s="53"/>
      <c r="CM113" s="53"/>
      <c r="CN113" s="53"/>
      <c r="CO113" s="53"/>
      <c r="CP113" s="53"/>
      <c r="CQ113" s="53"/>
      <c r="CR113" s="1"/>
      <c r="CS113" s="1"/>
      <c r="CT113" s="1"/>
      <c r="CU113" s="1"/>
    </row>
    <row r="114" spans="1:99" s="13" customFormat="1" ht="12" customHeight="1" x14ac:dyDescent="0.2">
      <c r="A114" s="68">
        <v>43509</v>
      </c>
      <c r="B114" s="70"/>
      <c r="C114" s="70"/>
      <c r="D114" s="69"/>
      <c r="E114" s="87"/>
      <c r="F114" s="69"/>
      <c r="G114" s="69"/>
      <c r="H114" s="69"/>
      <c r="I114" s="69"/>
      <c r="J114" s="69"/>
      <c r="K114" s="107"/>
      <c r="L114" s="107"/>
      <c r="M114" s="69"/>
      <c r="N114" s="69"/>
      <c r="O114" s="69"/>
      <c r="P114" s="69"/>
      <c r="Q114" s="69"/>
      <c r="R114" s="69"/>
      <c r="S114" s="92"/>
      <c r="T114" s="69"/>
      <c r="U114" s="69"/>
      <c r="V114" s="69"/>
      <c r="W114" s="69"/>
      <c r="X114" s="69"/>
      <c r="Y114" s="87"/>
      <c r="Z114" s="69"/>
      <c r="AA114" s="69"/>
      <c r="AB114" s="69"/>
      <c r="AC114" s="69"/>
      <c r="AD114" s="69"/>
      <c r="AE114" s="69"/>
      <c r="AF114" s="88"/>
      <c r="AG114" s="72"/>
      <c r="AH114" s="4"/>
      <c r="AI114" s="72"/>
      <c r="AJ114" s="110"/>
      <c r="AK114" s="72"/>
      <c r="AL114" s="72"/>
      <c r="AM114" s="72"/>
      <c r="AN114" s="72"/>
      <c r="AO114" s="72"/>
      <c r="AP114" s="72"/>
      <c r="AQ114" s="72"/>
      <c r="AR114" s="110"/>
      <c r="AS114" s="72"/>
      <c r="AT114" s="72"/>
      <c r="AU114" s="4"/>
      <c r="AV114" s="71">
        <v>60</v>
      </c>
      <c r="AW114" s="71">
        <f>30*60</f>
        <v>1800</v>
      </c>
      <c r="AX114" s="71">
        <f>7*24*3600</f>
        <v>604800</v>
      </c>
      <c r="AY114" s="53" t="s">
        <v>513</v>
      </c>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53"/>
      <c r="BZ114" s="53"/>
      <c r="CA114" s="53"/>
      <c r="CB114" s="53"/>
      <c r="CC114" s="53"/>
      <c r="CD114" s="53"/>
      <c r="CE114" s="53"/>
      <c r="CF114" s="53"/>
      <c r="CG114" s="53"/>
      <c r="CH114" s="53"/>
      <c r="CI114" s="53"/>
      <c r="CJ114" s="53"/>
      <c r="CK114" s="53"/>
      <c r="CL114" s="53"/>
      <c r="CM114" s="53"/>
      <c r="CN114" s="53"/>
      <c r="CO114" s="53"/>
      <c r="CP114" s="53"/>
      <c r="CQ114" s="53"/>
      <c r="CR114" s="1"/>
      <c r="CS114" s="1"/>
      <c r="CT114" s="1"/>
      <c r="CU114" s="1"/>
    </row>
    <row r="115" spans="1:99" s="13" customFormat="1" ht="12" customHeight="1" x14ac:dyDescent="0.2">
      <c r="A115" s="68">
        <v>43509</v>
      </c>
      <c r="B115" s="70" t="s">
        <v>154</v>
      </c>
      <c r="C115" s="70" t="s">
        <v>155</v>
      </c>
      <c r="D115" s="69">
        <v>2007</v>
      </c>
      <c r="E115" s="87">
        <v>1</v>
      </c>
      <c r="F115" s="69">
        <v>18</v>
      </c>
      <c r="G115" s="69">
        <v>18</v>
      </c>
      <c r="H115" s="69" t="s">
        <v>41</v>
      </c>
      <c r="I115" s="69" t="s">
        <v>724</v>
      </c>
      <c r="J115" s="69" t="s">
        <v>300</v>
      </c>
      <c r="K115" s="69">
        <f>IF(J115="syllables",1,IF(J115="trigrams",2,IF(J115="strings",3,IF(J115="visual array",4,IF(J115="characters",5,IF(J115="letters",6,IF(J115="free forms",7,IF(J115="odors",8,IF(J115="words",9,IF(J115="pictures",10,IF(J115="object pictures",11,IF(J115="faces",12,IF(J115="names",13,IF(J115="idioms",14,IF(J115="grades",15,IF(J115="syllable-digit pairs",16,IF(J115="trigram-word pairs",17,IF(J115="word-digit pairs",18,IF(J115="English-Swahili pairs",19,IF(J115="spatial position",20,IF(J115="word pairs",21,IF(J115="word triads",22,IF(J115="generated words",23,IF(J115="word definition pairs",24,IF(J115="math problems",25,IF(J115="famous faces",26,IF(J115="famous names",27,IF(J115="famous voices",28,IF(J115="television programs",29,IF(J115="race horses",30,IF(J115="new vocabulary",31,IF(J115="sentences",32,IF(J115="concepts",33,IF(J115="ad slides",34,IF(J115="scenes",35,IF(J115="famous scenes",36,IF(J115="poems",37,IF(J115="walk",38,IF(J115="faces and events",39,IF(J115="events and names",40,IF(J115="flashbulb",41,IF(J115="stories",42,IF(J115="course material",43,IF(J115="autobiographical",44,IF(J115="novels",45,IF(J115="public events",46,"99"))))))))))))))))))))))))))))))))))))))))))))))</f>
        <v>23</v>
      </c>
      <c r="L115" s="69">
        <f>IF(J115="syllables",1,IF(J115="trigrams",1,IF(J115="strings",1,IF(J115="visual array",1,IF(J115="characters",1,IF(J115="letters",1,IF(J115="free forms",1,IF(J115="odors",2,IF(J115="words",2,IF(J115="pictures",2,IF(J115="object pictures",2,IF(J115="faces",2,IF(J115="names",2,IF(J115="idioms","2",IF(J115="grades",2,IF(J115="syllable-digit pairs",3,IF(J115="trigram-word pairs",3,IF(J115="word-digit pairs",3,IF(J115="English-Swahili pairs",3,IF(J115="spatial position",3,IF(J115="word pairs",4,IF(J115="word triads",4,IF(J115="generated words",4,IF(J115="word definition pairs",4,IF(J115="math problems",4,IF(J115="famous faces",4,IF(J115="famous names",4,IF(J115="famous voices",4,IF(J115="television programs",4,IF(J115="race horses",4,IF(J115="new vocabulary",4,IF(J115="sentences",5,IF(J115="concepts",5,IF(J115="ad slides",5,IF(J115="scenes",5,IF(J115="famous scenes",5,IF(J115="poems",6,IF(J115="walk",6,IF(J115="faces and events",6,IF(J115="events and names",6,IF(J115="flashbulb",7,IF(J115="stories",7,IF(J115="course material",7,IF(J115="autobiographical",7,IF(J115="novels",7,IF(J115="public events",7,"99"))))))))))))))))))))))))))))))))))))))))))))))</f>
        <v>4</v>
      </c>
      <c r="M115" s="69">
        <v>0</v>
      </c>
      <c r="N115" s="69">
        <v>2</v>
      </c>
      <c r="O115" s="69">
        <v>0</v>
      </c>
      <c r="P115" s="69"/>
      <c r="Q115" s="69" t="s">
        <v>174</v>
      </c>
      <c r="R115" s="69">
        <f>IF(Q115="Free Recall",1,IF(Q115="Cued Recall",2,IF(Q115="Recognition",3,IF(Q115="Multiple Choice",4,IF(Q115="Savings",5,IF(Q115="Stem Completion",6,IF(Q115="Fragment Completion",7,IF(Q115="anagram solution",8,IF(Q115="Matching",9,IF(Q115="Problem Solving",10,"99"))))))))))</f>
        <v>1</v>
      </c>
      <c r="S115" s="69" t="s">
        <v>49</v>
      </c>
      <c r="T115" s="92" t="s">
        <v>581</v>
      </c>
      <c r="U115" s="69">
        <f>IF(T115="within",1,0)</f>
        <v>1</v>
      </c>
      <c r="V115" s="92">
        <v>16</v>
      </c>
      <c r="W115" s="69">
        <f>F115*V115</f>
        <v>288</v>
      </c>
      <c r="X115" s="69">
        <v>3</v>
      </c>
      <c r="Y115" s="87">
        <f>AV114</f>
        <v>60</v>
      </c>
      <c r="Z115" s="69" t="s">
        <v>150</v>
      </c>
      <c r="AA115" s="69">
        <v>604800</v>
      </c>
      <c r="AB115" s="69" t="str">
        <f>IF(AA115&lt;60,"1",IF(AA115&lt;=43200,"2",IF(AA115&lt;=777600,"3","4")))</f>
        <v>3</v>
      </c>
      <c r="AC115" s="72">
        <f>AVERAGE(AV114:DA114)</f>
        <v>202220</v>
      </c>
      <c r="AD115" s="69" t="str">
        <f>IF(AC115&lt;60,"1",IF(AC115&lt;=43200,"2",IF(AC115&lt;=777600,"3","4")))</f>
        <v>3</v>
      </c>
      <c r="AE115" s="87">
        <f>AA115-Y115</f>
        <v>604740</v>
      </c>
      <c r="AF115" s="88">
        <f>AV115</f>
        <v>0.236875</v>
      </c>
      <c r="AG115" s="72">
        <f>((AW115-AV115)+(AX115-AW115))/2</f>
        <v>-4.8437499999999994E-2</v>
      </c>
      <c r="AH115" s="4"/>
      <c r="AI115" s="72">
        <f>RSQ(AV115:AX115,AV114:AX114)</f>
        <v>0.80129099892603006</v>
      </c>
      <c r="AJ115" s="110">
        <f>SLOPE(AV115:AX115,AV114:AX114)</f>
        <v>-2.2431429659267144E-7</v>
      </c>
      <c r="AK115" s="72">
        <f>INTERCEPT(AV115:AX115,AV114:AX114)</f>
        <v>0.27577750372363669</v>
      </c>
      <c r="AL115" s="72">
        <f>INDEX(LINEST(LN(AV115:AX115),LN(AV114:AX114),TRUE,TRUE),3,1)</f>
        <v>0.55983791611156986</v>
      </c>
      <c r="AM115" s="72">
        <f>INDEX(LINEST(LN(AV115:AX115),LN(AV114:AX114)),1)</f>
        <v>-6.5888483525902999E-2</v>
      </c>
      <c r="AN115" s="72">
        <f>EXP(INDEX(LINEST(LN(AV115:AX115),LN(AV114:AX114)),1,2))</f>
        <v>0.37747991804711173</v>
      </c>
      <c r="AO115" s="89">
        <f>INDEX(LINEST((AV115:AX115),LN(AV114:AX114),TRUE,TRUE),3,1)</f>
        <v>0.45250610574050409</v>
      </c>
      <c r="AP115" s="89">
        <f>INDEX(LINEST((AV115:AX115),LN(AV114:AX114)),1)</f>
        <v>-1.2607282017088431E-2</v>
      </c>
      <c r="AQ115" s="90">
        <f>INDEX(LINEST(LN(AV115:AX115),SQRT(AV114:AX114),TRUE,TRUE),3,1)</f>
        <v>0.85413554641482559</v>
      </c>
      <c r="AR115" s="117">
        <f>INDEX(LINEST(LN(AV115:AX115),SQRT((AV114:AX114))),1)</f>
        <v>-8.7242443478747632E-4</v>
      </c>
      <c r="AS115" s="91">
        <f>INDEX(LINEST(1/(AV115:AX115),1/(SQRT(AV114:AX114)),TRUE,TRUE),3,1)</f>
        <v>0.17484003719024363</v>
      </c>
      <c r="AT115" s="91">
        <f>INDEX(LINEST(1/(AV115:AX115),1/SQRT(AV114:AX114)),1)</f>
        <v>-12.579304944082843</v>
      </c>
      <c r="AU115" s="3"/>
      <c r="AV115" s="73">
        <v>0.236875</v>
      </c>
      <c r="AW115" s="73">
        <v>0.31437500000000002</v>
      </c>
      <c r="AX115" s="73">
        <v>0.14000000000000001</v>
      </c>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BY115" s="53"/>
      <c r="BZ115" s="53"/>
      <c r="CA115" s="53"/>
      <c r="CB115" s="53"/>
      <c r="CC115" s="53"/>
      <c r="CD115" s="53"/>
      <c r="CE115" s="53"/>
      <c r="CF115" s="53"/>
      <c r="CG115" s="53"/>
      <c r="CH115" s="53"/>
      <c r="CI115" s="53"/>
      <c r="CJ115" s="53"/>
      <c r="CK115" s="53"/>
      <c r="CL115" s="53"/>
      <c r="CM115" s="53"/>
      <c r="CN115" s="53"/>
      <c r="CO115" s="53"/>
      <c r="CP115" s="53"/>
      <c r="CQ115" s="53"/>
      <c r="CR115" s="1"/>
      <c r="CS115" s="1"/>
      <c r="CT115" s="1"/>
      <c r="CU115" s="1"/>
    </row>
    <row r="116" spans="1:99" s="13" customFormat="1" ht="12" customHeight="1" x14ac:dyDescent="0.2">
      <c r="A116" s="68">
        <v>43509</v>
      </c>
      <c r="B116" s="70"/>
      <c r="C116" s="70"/>
      <c r="D116" s="69"/>
      <c r="E116" s="87"/>
      <c r="F116" s="69"/>
      <c r="G116" s="69"/>
      <c r="H116" s="69"/>
      <c r="I116" s="69"/>
      <c r="J116" s="69"/>
      <c r="K116" s="107"/>
      <c r="L116" s="107"/>
      <c r="M116" s="69"/>
      <c r="N116" s="69"/>
      <c r="O116" s="69"/>
      <c r="P116" s="69"/>
      <c r="Q116" s="69"/>
      <c r="R116" s="69"/>
      <c r="S116" s="69"/>
      <c r="T116" s="69"/>
      <c r="U116" s="69"/>
      <c r="V116" s="69"/>
      <c r="W116" s="69"/>
      <c r="X116" s="69"/>
      <c r="Y116" s="87"/>
      <c r="Z116" s="69"/>
      <c r="AA116" s="69"/>
      <c r="AB116" s="69"/>
      <c r="AC116" s="69"/>
      <c r="AD116" s="69"/>
      <c r="AE116" s="69"/>
      <c r="AF116" s="88"/>
      <c r="AG116" s="72"/>
      <c r="AH116" s="4"/>
      <c r="AI116" s="72"/>
      <c r="AJ116" s="110"/>
      <c r="AK116" s="72"/>
      <c r="AL116" s="72"/>
      <c r="AM116" s="72"/>
      <c r="AN116" s="72"/>
      <c r="AO116" s="72"/>
      <c r="AP116" s="72"/>
      <c r="AQ116" s="72"/>
      <c r="AR116" s="110"/>
      <c r="AS116" s="72"/>
      <c r="AT116" s="72"/>
      <c r="AU116" s="4"/>
      <c r="AV116" s="71">
        <v>60</v>
      </c>
      <c r="AW116" s="71">
        <f>7*24*3600*0.003</f>
        <v>1814.4</v>
      </c>
      <c r="AX116" s="71">
        <f>7*24*3600*1</f>
        <v>604800</v>
      </c>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53"/>
      <c r="CA116" s="53"/>
      <c r="CB116" s="53"/>
      <c r="CC116" s="53"/>
      <c r="CD116" s="53"/>
      <c r="CE116" s="53"/>
      <c r="CF116" s="53"/>
      <c r="CG116" s="53"/>
      <c r="CH116" s="53"/>
      <c r="CI116" s="53"/>
      <c r="CJ116" s="53"/>
      <c r="CK116" s="53"/>
      <c r="CL116" s="53"/>
      <c r="CM116" s="53"/>
      <c r="CN116" s="53"/>
      <c r="CO116" s="53"/>
      <c r="CP116" s="53"/>
      <c r="CQ116" s="53"/>
      <c r="CR116" s="1"/>
      <c r="CS116" s="1"/>
      <c r="CT116" s="1"/>
      <c r="CU116" s="1"/>
    </row>
    <row r="117" spans="1:99" s="13" customFormat="1" ht="12" customHeight="1" x14ac:dyDescent="0.2">
      <c r="A117" s="68">
        <v>43509</v>
      </c>
      <c r="B117" s="70" t="s">
        <v>154</v>
      </c>
      <c r="C117" s="70" t="s">
        <v>155</v>
      </c>
      <c r="D117" s="69">
        <v>2007</v>
      </c>
      <c r="E117" s="87">
        <v>1</v>
      </c>
      <c r="F117" s="69">
        <v>18</v>
      </c>
      <c r="G117" s="69">
        <v>18</v>
      </c>
      <c r="H117" s="69" t="s">
        <v>41</v>
      </c>
      <c r="I117" s="69" t="s">
        <v>723</v>
      </c>
      <c r="J117" s="69" t="s">
        <v>475</v>
      </c>
      <c r="K117" s="69">
        <f>IF(J117="syllables",1,IF(J117="trigrams",2,IF(J117="strings",3,IF(J117="visual array",4,IF(J117="characters",5,IF(J117="letters",6,IF(J117="free forms",7,IF(J117="odors",8,IF(J117="words",9,IF(J117="pictures",10,IF(J117="object pictures",11,IF(J117="faces",12,IF(J117="names",13,IF(J117="idioms",14,IF(J117="grades",15,IF(J117="syllable-digit pairs",16,IF(J117="trigram-word pairs",17,IF(J117="word-digit pairs",18,IF(J117="English-Swahili pairs",19,IF(J117="spatial position",20,IF(J117="word pairs",21,IF(J117="word triads",22,IF(J117="generated words",23,IF(J117="word definition pairs",24,IF(J117="math problems",25,IF(J117="famous faces",26,IF(J117="famous names",27,IF(J117="famous voices",28,IF(J117="television programs",29,IF(J117="race horses",30,IF(J117="new vocabulary",31,IF(J117="sentences",32,IF(J117="concepts",33,IF(J117="ad slides",34,IF(J117="scenes",35,IF(J117="famous scenes",36,IF(J117="poems",37,IF(J117="walk",38,IF(J117="faces and events",39,IF(J117="events and names",40,IF(J117="flashbulb",41,IF(J117="stories",42,IF(J117="course material",43,IF(J117="autobiographical",44,IF(J117="novels",45,IF(J117="public events",46,"99"))))))))))))))))))))))))))))))))))))))))))))))</f>
        <v>32</v>
      </c>
      <c r="L117" s="69">
        <f>IF(J117="syllables",1,IF(J117="trigrams",1,IF(J117="strings",1,IF(J117="visual array",1,IF(J117="characters",1,IF(J117="letters",1,IF(J117="free forms",1,IF(J117="odors",2,IF(J117="words",2,IF(J117="pictures",2,IF(J117="object pictures",2,IF(J117="faces",2,IF(J117="names",2,IF(J117="idioms","2",IF(J117="grades",2,IF(J117="syllable-digit pairs",3,IF(J117="trigram-word pairs",3,IF(J117="word-digit pairs",3,IF(J117="English-Swahili pairs",3,IF(J117="spatial position",3,IF(J117="word pairs",4,IF(J117="word triads",4,IF(J117="generated words",4,IF(J117="word definition pairs",4,IF(J117="math problems",4,IF(J117="famous faces",4,IF(J117="famous names",4,IF(J117="famous voices",4,IF(J117="television programs",4,IF(J117="race horses",4,IF(J117="new vocabulary",4,IF(J117="sentences",5,IF(J117="concepts",5,IF(J117="ad slides",5,IF(J117="scenes",5,IF(J117="famous scenes",5,IF(J117="poems",6,IF(J117="walk",6,IF(J117="faces and events",6,IF(J117="events and names",6,IF(J117="flashbulb",7,IF(J117="stories",7,IF(J117="course material",7,IF(J117="autobiographical",7,IF(J117="novels",7,IF(J117="public events",7,"99"))))))))))))))))))))))))))))))))))))))))))))))</f>
        <v>5</v>
      </c>
      <c r="M117" s="69">
        <v>0</v>
      </c>
      <c r="N117" s="69">
        <v>2</v>
      </c>
      <c r="O117" s="69">
        <v>0</v>
      </c>
      <c r="P117" s="69"/>
      <c r="Q117" s="69" t="s">
        <v>174</v>
      </c>
      <c r="R117" s="69">
        <f>IF(Q117="Free Recall",1,IF(Q117="Cued Recall",2,IF(Q117="Recognition",3,IF(Q117="Multiple Choice",4,IF(Q117="Savings",5,IF(Q117="Stem Completion",6,IF(Q117="Fragment Completion",7,IF(Q117="anagram solution",8,IF(Q117="Matching",9,IF(Q117="Problem Solving",10,"99"))))))))))</f>
        <v>1</v>
      </c>
      <c r="S117" s="69" t="s">
        <v>49</v>
      </c>
      <c r="T117" s="92" t="s">
        <v>581</v>
      </c>
      <c r="U117" s="69">
        <f>IF(T117="within",1,0)</f>
        <v>1</v>
      </c>
      <c r="V117" s="92">
        <v>16</v>
      </c>
      <c r="W117" s="69">
        <f>F117*V117</f>
        <v>288</v>
      </c>
      <c r="X117" s="69">
        <v>3</v>
      </c>
      <c r="Y117" s="87">
        <f>AV116</f>
        <v>60</v>
      </c>
      <c r="Z117" s="69" t="s">
        <v>150</v>
      </c>
      <c r="AA117" s="69">
        <v>604800</v>
      </c>
      <c r="AB117" s="69" t="str">
        <f>IF(AA117&lt;60,"1",IF(AA117&lt;=43200,"2",IF(AA117&lt;=777600,"3","4")))</f>
        <v>3</v>
      </c>
      <c r="AC117" s="72">
        <f>AVERAGE(AV116:DA116)</f>
        <v>202224.80000000002</v>
      </c>
      <c r="AD117" s="69" t="str">
        <f>IF(AC117&lt;60,"1",IF(AC117&lt;=43200,"2",IF(AC117&lt;=777600,"3","4")))</f>
        <v>3</v>
      </c>
      <c r="AE117" s="87">
        <f>AA117-Y117</f>
        <v>604740</v>
      </c>
      <c r="AF117" s="88">
        <f>AV117</f>
        <v>0.13875000000000001</v>
      </c>
      <c r="AG117" s="72">
        <f>((AW117-AV117)+(AX117-AW117))/2</f>
        <v>-2.8750000000000005E-2</v>
      </c>
      <c r="AH117" s="4"/>
      <c r="AI117" s="72">
        <f>RSQ(AV117:AX117,AV116:AX116)</f>
        <v>0.81562015187343317</v>
      </c>
      <c r="AJ117" s="110">
        <f>SLOPE(AV117:AX117,AV116:AX116)</f>
        <v>-1.3077147976385666E-7</v>
      </c>
      <c r="AK117" s="72">
        <f>INTERCEPT(AV117:AX117,AV116:AX116)</f>
        <v>0.16040356967428332</v>
      </c>
      <c r="AL117" s="72">
        <f>INDEX(LINEST(LN(AV117:AX117),LN(AV116:AX116),TRUE,TRUE),3,1)</f>
        <v>0.57441064339199488</v>
      </c>
      <c r="AM117" s="72">
        <f>INDEX(LINEST(LN(AV117:AX117),LN(AV116:AX116)),1)</f>
        <v>-6.6679408592660666E-2</v>
      </c>
      <c r="AN117" s="72">
        <f>EXP(INDEX(LINEST(LN(AV117:AX117),LN(AV116:AX116)),1,2))</f>
        <v>0.22100398051809603</v>
      </c>
      <c r="AO117" s="89">
        <f>INDEX(LINEST((AV117:AX117),LN(AV116:AX116),TRUE,TRUE),3,1)</f>
        <v>0.46970714102815964</v>
      </c>
      <c r="AP117" s="89">
        <f>INDEX(LINEST((AV117:AX117),LN(AV116:AX116)),1)</f>
        <v>-7.4231601966291763E-3</v>
      </c>
      <c r="AQ117" s="90">
        <f>INDEX(LINEST(LN(AV117:AX117),SQRT(AV116:AX116),TRUE,TRUE),3,1)</f>
        <v>0.86489426004533421</v>
      </c>
      <c r="AR117" s="117">
        <f>INDEX(LINEST(LN(AV117:AX117),SQRT((AV116:AX116))),1)</f>
        <v>-8.7706052493128793E-4</v>
      </c>
      <c r="AS117" s="91">
        <f>INDEX(LINEST(1/(AV117:AX117),1/(SQRT(AV116:AX116)),TRUE,TRUE),3,1)</f>
        <v>0.18389082603374099</v>
      </c>
      <c r="AT117" s="91">
        <f>INDEX(LINEST(1/(AV117:AX117),1/SQRT(AV116:AX116)),1)</f>
        <v>-22.244633371051062</v>
      </c>
      <c r="AU117" s="3"/>
      <c r="AV117" s="73">
        <v>0.13875000000000001</v>
      </c>
      <c r="AW117" s="73">
        <v>0.18187500000000001</v>
      </c>
      <c r="AX117" s="73">
        <v>8.1250000000000003E-2</v>
      </c>
      <c r="AY117" s="53"/>
      <c r="AZ117" s="53"/>
      <c r="BA117" s="53"/>
      <c r="BB117" s="53"/>
      <c r="BC117" s="53"/>
      <c r="BD117" s="53"/>
      <c r="BE117" s="53"/>
      <c r="BF117" s="53"/>
      <c r="BG117" s="53"/>
      <c r="BH117" s="53"/>
      <c r="BI117" s="53"/>
      <c r="BJ117" s="53"/>
      <c r="BK117" s="53"/>
      <c r="BL117" s="53"/>
      <c r="BM117" s="53"/>
      <c r="BN117" s="53"/>
      <c r="BO117" s="53"/>
      <c r="BP117" s="53"/>
      <c r="BQ117" s="53"/>
      <c r="BR117" s="53"/>
      <c r="BS117" s="53"/>
      <c r="BT117" s="53"/>
      <c r="BU117" s="53"/>
      <c r="BV117" s="53"/>
      <c r="BW117" s="53"/>
      <c r="BX117" s="53"/>
      <c r="BY117" s="53"/>
      <c r="BZ117" s="53"/>
      <c r="CA117" s="53"/>
      <c r="CB117" s="53"/>
      <c r="CC117" s="53"/>
      <c r="CD117" s="53"/>
      <c r="CE117" s="53"/>
      <c r="CF117" s="53"/>
      <c r="CG117" s="53"/>
      <c r="CH117" s="53"/>
      <c r="CI117" s="53"/>
      <c r="CJ117" s="53"/>
      <c r="CK117" s="53"/>
      <c r="CL117" s="53"/>
      <c r="CM117" s="53"/>
      <c r="CN117" s="53"/>
      <c r="CO117" s="53"/>
      <c r="CP117" s="53"/>
      <c r="CQ117" s="53"/>
      <c r="CR117" s="1"/>
      <c r="CS117" s="1"/>
      <c r="CT117" s="1"/>
      <c r="CU117" s="1"/>
    </row>
    <row r="118" spans="1:99" s="13" customFormat="1" ht="12" customHeight="1" x14ac:dyDescent="0.2">
      <c r="A118" s="68">
        <v>43509</v>
      </c>
      <c r="B118" s="70"/>
      <c r="C118" s="70"/>
      <c r="D118" s="69"/>
      <c r="E118" s="87"/>
      <c r="F118" s="69"/>
      <c r="G118" s="69"/>
      <c r="H118" s="69"/>
      <c r="I118" s="69"/>
      <c r="J118" s="69"/>
      <c r="K118" s="107"/>
      <c r="L118" s="107"/>
      <c r="M118" s="69"/>
      <c r="N118" s="69"/>
      <c r="O118" s="69"/>
      <c r="P118" s="69"/>
      <c r="Q118" s="69"/>
      <c r="R118" s="69"/>
      <c r="S118" s="69"/>
      <c r="T118" s="69"/>
      <c r="U118" s="69"/>
      <c r="V118" s="69"/>
      <c r="W118" s="69"/>
      <c r="X118" s="69"/>
      <c r="Y118" s="87"/>
      <c r="Z118" s="69"/>
      <c r="AA118" s="69"/>
      <c r="AB118" s="69"/>
      <c r="AC118" s="69"/>
      <c r="AD118" s="69"/>
      <c r="AE118" s="69"/>
      <c r="AF118" s="88"/>
      <c r="AG118" s="72"/>
      <c r="AH118" s="4"/>
      <c r="AI118" s="72"/>
      <c r="AJ118" s="110"/>
      <c r="AK118" s="72"/>
      <c r="AL118" s="72"/>
      <c r="AM118" s="72"/>
      <c r="AN118" s="72"/>
      <c r="AO118" s="72"/>
      <c r="AP118" s="72"/>
      <c r="AQ118" s="72"/>
      <c r="AR118" s="110"/>
      <c r="AS118" s="72"/>
      <c r="AT118" s="72"/>
      <c r="AU118" s="4"/>
      <c r="AV118" s="71">
        <v>60</v>
      </c>
      <c r="AW118" s="71">
        <f>30*60</f>
        <v>1800</v>
      </c>
      <c r="AX118" s="71">
        <f>7*24*3600</f>
        <v>604800</v>
      </c>
      <c r="AY118" s="53"/>
      <c r="AZ118" s="53"/>
      <c r="BA118" s="53"/>
      <c r="BB118" s="53"/>
      <c r="BC118" s="53"/>
      <c r="BD118" s="53"/>
      <c r="BE118" s="53"/>
      <c r="BF118" s="53"/>
      <c r="BG118" s="53"/>
      <c r="BH118" s="53"/>
      <c r="BI118" s="53"/>
      <c r="BJ118" s="53"/>
      <c r="BK118" s="53"/>
      <c r="BL118" s="53"/>
      <c r="BM118" s="53"/>
      <c r="BN118" s="53"/>
      <c r="BO118" s="53"/>
      <c r="BP118" s="53"/>
      <c r="BQ118" s="53"/>
      <c r="BR118" s="53"/>
      <c r="BS118" s="53"/>
      <c r="BT118" s="53"/>
      <c r="BU118" s="53"/>
      <c r="BV118" s="53"/>
      <c r="BW118" s="53"/>
      <c r="BX118" s="53"/>
      <c r="BY118" s="53"/>
      <c r="BZ118" s="53"/>
      <c r="CA118" s="53"/>
      <c r="CB118" s="53"/>
      <c r="CC118" s="53"/>
      <c r="CD118" s="53"/>
      <c r="CE118" s="53"/>
      <c r="CF118" s="53"/>
      <c r="CG118" s="53"/>
      <c r="CH118" s="53"/>
      <c r="CI118" s="53"/>
      <c r="CJ118" s="53"/>
      <c r="CK118" s="53"/>
      <c r="CL118" s="53"/>
      <c r="CM118" s="53"/>
      <c r="CN118" s="53"/>
      <c r="CO118" s="53"/>
      <c r="CP118" s="53"/>
      <c r="CQ118" s="53"/>
      <c r="CR118" s="1"/>
      <c r="CS118" s="1"/>
      <c r="CT118" s="1"/>
      <c r="CU118" s="1"/>
    </row>
    <row r="119" spans="1:99" s="13" customFormat="1" ht="12" customHeight="1" x14ac:dyDescent="0.2">
      <c r="A119" s="68">
        <v>43509</v>
      </c>
      <c r="B119" s="70" t="s">
        <v>154</v>
      </c>
      <c r="C119" s="70" t="s">
        <v>155</v>
      </c>
      <c r="D119" s="69">
        <v>2007</v>
      </c>
      <c r="E119" s="87">
        <v>1</v>
      </c>
      <c r="F119" s="69">
        <v>18</v>
      </c>
      <c r="G119" s="69">
        <v>18</v>
      </c>
      <c r="H119" s="69" t="s">
        <v>32</v>
      </c>
      <c r="I119" s="69" t="s">
        <v>724</v>
      </c>
      <c r="J119" s="69" t="s">
        <v>300</v>
      </c>
      <c r="K119" s="69">
        <f>IF(J119="syllables",1,IF(J119="trigrams",2,IF(J119="strings",3,IF(J119="visual array",4,IF(J119="characters",5,IF(J119="letters",6,IF(J119="free forms",7,IF(J119="odors",8,IF(J119="words",9,IF(J119="pictures",10,IF(J119="object pictures",11,IF(J119="faces",12,IF(J119="names",13,IF(J119="idioms",14,IF(J119="grades",15,IF(J119="syllable-digit pairs",16,IF(J119="trigram-word pairs",17,IF(J119="word-digit pairs",18,IF(J119="English-Swahili pairs",19,IF(J119="spatial position",20,IF(J119="word pairs",21,IF(J119="word triads",22,IF(J119="generated words",23,IF(J119="word definition pairs",24,IF(J119="math problems",25,IF(J119="famous faces",26,IF(J119="famous names",27,IF(J119="famous voices",28,IF(J119="television programs",29,IF(J119="race horses",30,IF(J119="new vocabulary",31,IF(J119="sentences",32,IF(J119="concepts",33,IF(J119="ad slides",34,IF(J119="scenes",35,IF(J119="famous scenes",36,IF(J119="poems",37,IF(J119="walk",38,IF(J119="faces and events",39,IF(J119="events and names",40,IF(J119="flashbulb",41,IF(J119="stories",42,IF(J119="course material",43,IF(J119="autobiographical",44,IF(J119="novels",45,IF(J119="public events",46,"99"))))))))))))))))))))))))))))))))))))))))))))))</f>
        <v>23</v>
      </c>
      <c r="L119" s="69">
        <f>IF(J119="syllables",1,IF(J119="trigrams",1,IF(J119="strings",1,IF(J119="visual array",1,IF(J119="characters",1,IF(J119="letters",1,IF(J119="free forms",1,IF(J119="odors",2,IF(J119="words",2,IF(J119="pictures",2,IF(J119="object pictures",2,IF(J119="faces",2,IF(J119="names",2,IF(J119="idioms","2",IF(J119="grades",2,IF(J119="syllable-digit pairs",3,IF(J119="trigram-word pairs",3,IF(J119="word-digit pairs",3,IF(J119="English-Swahili pairs",3,IF(J119="spatial position",3,IF(J119="word pairs",4,IF(J119="word triads",4,IF(J119="generated words",4,IF(J119="word definition pairs",4,IF(J119="math problems",4,IF(J119="famous faces",4,IF(J119="famous names",4,IF(J119="famous voices",4,IF(J119="television programs",4,IF(J119="race horses",4,IF(J119="new vocabulary",4,IF(J119="sentences",5,IF(J119="concepts",5,IF(J119="ad slides",5,IF(J119="scenes",5,IF(J119="famous scenes",5,IF(J119="poems",6,IF(J119="walk",6,IF(J119="faces and events",6,IF(J119="events and names",6,IF(J119="flashbulb",7,IF(J119="stories",7,IF(J119="course material",7,IF(J119="autobiographical",7,IF(J119="novels",7,IF(J119="public events",7,"99"))))))))))))))))))))))))))))))))))))))))))))))</f>
        <v>4</v>
      </c>
      <c r="M119" s="69">
        <v>0</v>
      </c>
      <c r="N119" s="69">
        <v>2</v>
      </c>
      <c r="O119" s="69">
        <v>0</v>
      </c>
      <c r="P119" s="69"/>
      <c r="Q119" s="153" t="s">
        <v>182</v>
      </c>
      <c r="R119" s="69">
        <f>IF(Q119="Free Recall",1,IF(Q119="Cued Recall",2,IF(Q119="Recognition",3,IF(Q119="Multiple Choice",4,IF(Q119="Savings",5,IF(Q119="Stem Completion",6,IF(Q119="Fragment Completion",7,IF(Q119="anagram solution",8,IF(Q119="Matching",9,IF(Q119="Problem Solving",10,"99"))))))))))</f>
        <v>4</v>
      </c>
      <c r="S119" s="69" t="s">
        <v>15</v>
      </c>
      <c r="T119" s="92" t="s">
        <v>581</v>
      </c>
      <c r="U119" s="69">
        <f>IF(T119="within",1,0)</f>
        <v>1</v>
      </c>
      <c r="V119" s="92">
        <v>16</v>
      </c>
      <c r="W119" s="69">
        <f>F119*V119</f>
        <v>288</v>
      </c>
      <c r="X119" s="69">
        <v>3</v>
      </c>
      <c r="Y119" s="87">
        <f>AV118</f>
        <v>60</v>
      </c>
      <c r="Z119" s="69" t="s">
        <v>150</v>
      </c>
      <c r="AA119" s="69">
        <v>604800</v>
      </c>
      <c r="AB119" s="69" t="str">
        <f>IF(AA119&lt;60,"1",IF(AA119&lt;=43200,"2",IF(AA119&lt;=777600,"3","4")))</f>
        <v>3</v>
      </c>
      <c r="AC119" s="72">
        <f>AVERAGE(AV118:DA118)</f>
        <v>202220</v>
      </c>
      <c r="AD119" s="69" t="str">
        <f>IF(AC119&lt;60,"1",IF(AC119&lt;=43200,"2",IF(AC119&lt;=777600,"3","4")))</f>
        <v>3</v>
      </c>
      <c r="AE119" s="87">
        <f>AA119-Y119</f>
        <v>604740</v>
      </c>
      <c r="AF119" s="88">
        <f>AV119</f>
        <v>0.97</v>
      </c>
      <c r="AG119" s="72">
        <f>((AW119-AV119)+(AX119-AW119))/2</f>
        <v>-4.4999999999999984E-2</v>
      </c>
      <c r="AH119" s="4"/>
      <c r="AI119" s="72">
        <f>RSQ(AV119:AX119,AV118:AX118)</f>
        <v>0.99022318615506588</v>
      </c>
      <c r="AJ119" s="110">
        <f>SLOPE(AV119:AX119,AV118:AX118)</f>
        <v>-1.4079368273405749E-7</v>
      </c>
      <c r="AK119" s="72">
        <f>INTERCEPT(AV119:AX119,AV118:AX118)</f>
        <v>0.96513796518914774</v>
      </c>
      <c r="AL119" s="72">
        <f>INDEX(LINEST(LN(AV119:AX119),LN(AV118:AX118),TRUE,TRUE),3,1)</f>
        <v>0.92553474957801074</v>
      </c>
      <c r="AM119" s="72">
        <f>INDEX(LINEST(LN(AV119:AX119),LN(AV118:AX118)),1)</f>
        <v>-1.1036816622011864E-2</v>
      </c>
      <c r="AN119" s="72">
        <f>EXP(INDEX(LINEST(LN(AV119:AX119),LN(AV118:AX118)),1,2))</f>
        <v>1.0255647090376478</v>
      </c>
      <c r="AO119" s="89">
        <f>INDEX(LINEST((AV119:AX119),LN(AV118:AX118),TRUE,TRUE),3,1)</f>
        <v>0.92787838956540514</v>
      </c>
      <c r="AP119" s="89">
        <f>INDEX(LINEST((AV119:AX119),LN(AV118:AX118)),1)</f>
        <v>-1.0193177277919052E-2</v>
      </c>
      <c r="AQ119" s="90">
        <f>INDEX(LINEST(LN(AV119:AX119),SQRT(AV118:AX118),TRUE,TRUE),3,1)</f>
        <v>0.99673712967579964</v>
      </c>
      <c r="AR119" s="117">
        <f>INDEX(LINEST(LN(AV119:AX119),SQRT((AV118:AX118))),1)</f>
        <v>-1.227789303135561E-4</v>
      </c>
      <c r="AS119" s="91">
        <f>INDEX(LINEST(1/(AV119:AX119),1/(SQRT(AV118:AX118)),TRUE,TRUE),3,1)</f>
        <v>0.49480127563555992</v>
      </c>
      <c r="AT119" s="91">
        <f>INDEX(LINEST(1/(AV119:AX119),1/SQRT(AV118:AX118)),1)</f>
        <v>-0.59778533331501382</v>
      </c>
      <c r="AU119" s="3"/>
      <c r="AV119" s="73">
        <v>0.97</v>
      </c>
      <c r="AW119" s="73">
        <v>0.96</v>
      </c>
      <c r="AX119" s="73">
        <v>0.88</v>
      </c>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53"/>
      <c r="CD119" s="53"/>
      <c r="CE119" s="53"/>
      <c r="CF119" s="53"/>
      <c r="CG119" s="53"/>
      <c r="CH119" s="53"/>
      <c r="CI119" s="53"/>
      <c r="CJ119" s="53"/>
      <c r="CK119" s="53"/>
      <c r="CL119" s="53"/>
      <c r="CM119" s="53"/>
      <c r="CN119" s="53"/>
      <c r="CO119" s="53"/>
      <c r="CP119" s="53"/>
      <c r="CQ119" s="53"/>
      <c r="CR119" s="1"/>
      <c r="CS119" s="1"/>
      <c r="CT119" s="1"/>
      <c r="CU119" s="1"/>
    </row>
    <row r="120" spans="1:99" s="13" customFormat="1" ht="12" customHeight="1" x14ac:dyDescent="0.2">
      <c r="A120" s="68">
        <v>43509</v>
      </c>
      <c r="B120" s="70"/>
      <c r="C120" s="70"/>
      <c r="D120" s="69"/>
      <c r="E120" s="87"/>
      <c r="F120" s="69"/>
      <c r="G120" s="69"/>
      <c r="H120" s="69"/>
      <c r="I120" s="69"/>
      <c r="J120" s="69"/>
      <c r="K120" s="107"/>
      <c r="L120" s="107"/>
      <c r="M120" s="69"/>
      <c r="N120" s="69"/>
      <c r="O120" s="69"/>
      <c r="P120" s="69"/>
      <c r="Q120" s="69"/>
      <c r="R120" s="69"/>
      <c r="S120" s="69"/>
      <c r="T120" s="69"/>
      <c r="U120" s="69"/>
      <c r="V120" s="69"/>
      <c r="W120" s="69"/>
      <c r="X120" s="69"/>
      <c r="Y120" s="87"/>
      <c r="Z120" s="69"/>
      <c r="AA120" s="69"/>
      <c r="AB120" s="69"/>
      <c r="AC120" s="69"/>
      <c r="AD120" s="69"/>
      <c r="AE120" s="69"/>
      <c r="AF120" s="88"/>
      <c r="AG120" s="72"/>
      <c r="AH120" s="4"/>
      <c r="AI120" s="72"/>
      <c r="AJ120" s="110"/>
      <c r="AK120" s="72"/>
      <c r="AL120" s="72"/>
      <c r="AM120" s="72"/>
      <c r="AN120" s="72"/>
      <c r="AO120" s="72"/>
      <c r="AP120" s="72"/>
      <c r="AQ120" s="72"/>
      <c r="AR120" s="110"/>
      <c r="AS120" s="72"/>
      <c r="AT120" s="72"/>
      <c r="AU120" s="4"/>
      <c r="AV120" s="71">
        <v>60</v>
      </c>
      <c r="AW120" s="71">
        <f>7*24*3600*0.003</f>
        <v>1814.4</v>
      </c>
      <c r="AX120" s="71">
        <f>7*24*3600*1</f>
        <v>604800</v>
      </c>
      <c r="AY120" s="53"/>
      <c r="AZ120" s="53"/>
      <c r="BA120" s="53"/>
      <c r="BB120" s="53"/>
      <c r="BC120" s="53"/>
      <c r="BD120" s="53"/>
      <c r="BE120" s="53"/>
      <c r="BF120" s="53"/>
      <c r="BG120" s="53"/>
      <c r="BH120" s="53"/>
      <c r="BI120" s="53"/>
      <c r="BJ120" s="53"/>
      <c r="BK120" s="53"/>
      <c r="BL120" s="53"/>
      <c r="BM120" s="53"/>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53"/>
      <c r="CR120" s="1"/>
      <c r="CS120" s="1"/>
      <c r="CT120" s="1"/>
      <c r="CU120" s="1"/>
    </row>
    <row r="121" spans="1:99" s="13" customFormat="1" ht="12" customHeight="1" x14ac:dyDescent="0.2">
      <c r="A121" s="68">
        <v>43509</v>
      </c>
      <c r="B121" s="70" t="s">
        <v>154</v>
      </c>
      <c r="C121" s="70" t="s">
        <v>155</v>
      </c>
      <c r="D121" s="69">
        <v>2007</v>
      </c>
      <c r="E121" s="87">
        <v>1</v>
      </c>
      <c r="F121" s="69">
        <v>18</v>
      </c>
      <c r="G121" s="69">
        <v>18</v>
      </c>
      <c r="H121" s="69" t="s">
        <v>32</v>
      </c>
      <c r="I121" s="69" t="s">
        <v>723</v>
      </c>
      <c r="J121" s="69" t="s">
        <v>475</v>
      </c>
      <c r="K121" s="69">
        <f>IF(J121="syllables",1,IF(J121="trigrams",2,IF(J121="strings",3,IF(J121="visual array",4,IF(J121="characters",5,IF(J121="letters",6,IF(J121="free forms",7,IF(J121="odors",8,IF(J121="words",9,IF(J121="pictures",10,IF(J121="object pictures",11,IF(J121="faces",12,IF(J121="names",13,IF(J121="idioms",14,IF(J121="grades",15,IF(J121="syllable-digit pairs",16,IF(J121="trigram-word pairs",17,IF(J121="word-digit pairs",18,IF(J121="English-Swahili pairs",19,IF(J121="spatial position",20,IF(J121="word pairs",21,IF(J121="word triads",22,IF(J121="generated words",23,IF(J121="word definition pairs",24,IF(J121="math problems",25,IF(J121="famous faces",26,IF(J121="famous names",27,IF(J121="famous voices",28,IF(J121="television programs",29,IF(J121="race horses",30,IF(J121="new vocabulary",31,IF(J121="sentences",32,IF(J121="concepts",33,IF(J121="ad slides",34,IF(J121="scenes",35,IF(J121="famous scenes",36,IF(J121="poems",37,IF(J121="walk",38,IF(J121="faces and events",39,IF(J121="events and names",40,IF(J121="flashbulb",41,IF(J121="stories",42,IF(J121="course material",43,IF(J121="autobiographical",44,IF(J121="novels",45,IF(J121="public events",46,"99"))))))))))))))))))))))))))))))))))))))))))))))</f>
        <v>32</v>
      </c>
      <c r="L121" s="69">
        <f>IF(J121="syllables",1,IF(J121="trigrams",1,IF(J121="strings",1,IF(J121="visual array",1,IF(J121="characters",1,IF(J121="letters",1,IF(J121="free forms",1,IF(J121="odors",2,IF(J121="words",2,IF(J121="pictures",2,IF(J121="object pictures",2,IF(J121="faces",2,IF(J121="names",2,IF(J121="idioms","2",IF(J121="grades",2,IF(J121="syllable-digit pairs",3,IF(J121="trigram-word pairs",3,IF(J121="word-digit pairs",3,IF(J121="English-Swahili pairs",3,IF(J121="spatial position",3,IF(J121="word pairs",4,IF(J121="word triads",4,IF(J121="generated words",4,IF(J121="word definition pairs",4,IF(J121="math problems",4,IF(J121="famous faces",4,IF(J121="famous names",4,IF(J121="famous voices",4,IF(J121="television programs",4,IF(J121="race horses",4,IF(J121="new vocabulary",4,IF(J121="sentences",5,IF(J121="concepts",5,IF(J121="ad slides",5,IF(J121="scenes",5,IF(J121="famous scenes",5,IF(J121="poems",6,IF(J121="walk",6,IF(J121="faces and events",6,IF(J121="events and names",6,IF(J121="flashbulb",7,IF(J121="stories",7,IF(J121="course material",7,IF(J121="autobiographical",7,IF(J121="novels",7,IF(J121="public events",7,"99"))))))))))))))))))))))))))))))))))))))))))))))</f>
        <v>5</v>
      </c>
      <c r="M121" s="69">
        <v>0</v>
      </c>
      <c r="N121" s="69">
        <v>2</v>
      </c>
      <c r="O121" s="69">
        <v>0</v>
      </c>
      <c r="P121" s="69"/>
      <c r="Q121" s="153" t="s">
        <v>182</v>
      </c>
      <c r="R121" s="69">
        <f>IF(Q121="Free Recall",1,IF(Q121="Cued Recall",2,IF(Q121="Recognition",3,IF(Q121="Multiple Choice",4,IF(Q121="Savings",5,IF(Q121="Stem Completion",6,IF(Q121="Fragment Completion",7,IF(Q121="anagram solution",8,IF(Q121="Matching",9,IF(Q121="Problem Solving",10,"99"))))))))))</f>
        <v>4</v>
      </c>
      <c r="S121" s="69" t="s">
        <v>15</v>
      </c>
      <c r="T121" s="92" t="s">
        <v>581</v>
      </c>
      <c r="U121" s="69">
        <f>IF(T121="within",1,0)</f>
        <v>1</v>
      </c>
      <c r="V121" s="92">
        <v>16</v>
      </c>
      <c r="W121" s="69">
        <f>F121*V121</f>
        <v>288</v>
      </c>
      <c r="X121" s="69">
        <v>3</v>
      </c>
      <c r="Y121" s="87">
        <f>AV120</f>
        <v>60</v>
      </c>
      <c r="Z121" s="69" t="s">
        <v>150</v>
      </c>
      <c r="AA121" s="69">
        <v>604800</v>
      </c>
      <c r="AB121" s="69" t="str">
        <f>IF(AA121&lt;60,"1",IF(AA121&lt;=43200,"2",IF(AA121&lt;=777600,"3","4")))</f>
        <v>3</v>
      </c>
      <c r="AC121" s="72">
        <f>AVERAGE(AV120:DA120)</f>
        <v>202224.80000000002</v>
      </c>
      <c r="AD121" s="69" t="str">
        <f>IF(AC121&lt;60,"1",IF(AC121&lt;=43200,"2",IF(AC121&lt;=777600,"3","4")))</f>
        <v>3</v>
      </c>
      <c r="AE121" s="87">
        <f>AA121-Y121</f>
        <v>604740</v>
      </c>
      <c r="AF121" s="88">
        <f>AV121</f>
        <v>0.94</v>
      </c>
      <c r="AG121" s="72">
        <f>((AW121-AV121)+(AX121-AW121))/2</f>
        <v>-5.4999999999999993E-2</v>
      </c>
      <c r="AH121" s="4"/>
      <c r="AI121" s="72">
        <f>RSQ(AV121:AX121,AV120:AX120)</f>
        <v>0.99364923356807955</v>
      </c>
      <c r="AJ121" s="110">
        <f>SLOPE(AV121:AX121,AV120:AX120)</f>
        <v>-1.7391553988015541E-7</v>
      </c>
      <c r="AK121" s="72">
        <f>INTERCEPT(AV121:AX121,AV120:AX120)</f>
        <v>0.93517003526915643</v>
      </c>
      <c r="AL121" s="72">
        <f>INDEX(LINEST(LN(AV121:AX121),LN(AV120:AX120),TRUE,TRUE),3,1)</f>
        <v>0.91446970231108293</v>
      </c>
      <c r="AM121" s="72">
        <f>INDEX(LINEST(LN(AV121:AX121),LN(AV120:AX120)),1)</f>
        <v>-1.4151289308539197E-2</v>
      </c>
      <c r="AN121" s="72">
        <f>EXP(INDEX(LINEST(LN(AV121:AX121),LN(AV120:AX120)),1,2))</f>
        <v>1.0106362091127838</v>
      </c>
      <c r="AO121" s="89">
        <f>INDEX(LINEST((AV121:AX121),LN(AV120:AX120),TRUE,TRUE),3,1)</f>
        <v>0.91707082725134126</v>
      </c>
      <c r="AP121" s="89">
        <f>INDEX(LINEST((AV121:AX121),LN(AV120:AX120)),1)</f>
        <v>-1.2497681850556179E-2</v>
      </c>
      <c r="AQ121" s="90">
        <f>INDEX(LINEST(LN(AV121:AX121),SQRT(AV120:AX120),TRUE,TRUE),3,1)</f>
        <v>0.99859257581949656</v>
      </c>
      <c r="AR121" s="117">
        <f>INDEX(LINEST(LN(AV121:AX121),SQRT((AV120:AX120))),1)</f>
        <v>-1.5851598828516507E-4</v>
      </c>
      <c r="AS121" s="91">
        <f>INDEX(LINEST(1/(AV121:AX121),1/(SQRT(AV120:AX120)),TRUE,TRUE),3,1)</f>
        <v>0.47450201069555764</v>
      </c>
      <c r="AT121" s="91">
        <f>INDEX(LINEST(1/(AV121:AX121),1/SQRT(AV120:AX120)),1)</f>
        <v>-0.78983205856189131</v>
      </c>
      <c r="AU121" s="3"/>
      <c r="AV121" s="73">
        <v>0.94</v>
      </c>
      <c r="AW121" s="73">
        <v>0.93</v>
      </c>
      <c r="AX121" s="73">
        <v>0.83</v>
      </c>
      <c r="AY121" s="53"/>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c r="CO121" s="53"/>
      <c r="CP121" s="53"/>
      <c r="CQ121" s="53"/>
      <c r="CR121" s="1"/>
      <c r="CS121" s="1"/>
      <c r="CT121" s="1"/>
      <c r="CU121" s="1"/>
    </row>
    <row r="122" spans="1:99" s="13" customFormat="1" ht="12" customHeight="1" x14ac:dyDescent="0.2">
      <c r="A122" s="68">
        <v>43976</v>
      </c>
      <c r="B122" s="70"/>
      <c r="C122" s="70"/>
      <c r="D122" s="69"/>
      <c r="E122" s="87"/>
      <c r="F122" s="69"/>
      <c r="G122" s="69"/>
      <c r="H122" s="69"/>
      <c r="I122" s="69"/>
      <c r="J122" s="69"/>
      <c r="K122" s="69"/>
      <c r="L122" s="69"/>
      <c r="M122" s="69"/>
      <c r="N122" s="69"/>
      <c r="O122" s="69"/>
      <c r="P122" s="69"/>
      <c r="Q122" s="153"/>
      <c r="R122" s="69"/>
      <c r="S122" s="69"/>
      <c r="T122" s="92"/>
      <c r="U122" s="69"/>
      <c r="V122" s="92"/>
      <c r="W122" s="69"/>
      <c r="X122" s="69"/>
      <c r="Y122" s="87"/>
      <c r="Z122" s="69"/>
      <c r="AA122" s="69"/>
      <c r="AB122" s="69"/>
      <c r="AC122" s="72"/>
      <c r="AD122" s="69"/>
      <c r="AE122" s="87"/>
      <c r="AF122" s="88"/>
      <c r="AG122" s="72"/>
      <c r="AH122" s="4"/>
      <c r="AI122" s="72"/>
      <c r="AJ122" s="110"/>
      <c r="AK122" s="72"/>
      <c r="AL122" s="72"/>
      <c r="AM122" s="72"/>
      <c r="AN122" s="72"/>
      <c r="AO122" s="89"/>
      <c r="AP122" s="89"/>
      <c r="AQ122" s="90"/>
      <c r="AR122" s="117"/>
      <c r="AS122" s="91"/>
      <c r="AT122" s="91"/>
      <c r="AU122" s="3"/>
      <c r="AV122" s="71">
        <f>60*10</f>
        <v>600</v>
      </c>
      <c r="AW122" s="71">
        <f>60*60*2</f>
        <v>7200</v>
      </c>
      <c r="AX122" s="71">
        <f>60*60*32</f>
        <v>115200</v>
      </c>
      <c r="AY122" s="53"/>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c r="CA122" s="53"/>
      <c r="CB122" s="53"/>
      <c r="CC122" s="53"/>
      <c r="CD122" s="53"/>
      <c r="CE122" s="53"/>
      <c r="CF122" s="53"/>
      <c r="CG122" s="53"/>
      <c r="CH122" s="53"/>
      <c r="CI122" s="53"/>
      <c r="CJ122" s="53"/>
      <c r="CK122" s="53"/>
      <c r="CL122" s="53"/>
      <c r="CM122" s="53"/>
      <c r="CN122" s="53"/>
      <c r="CO122" s="53"/>
      <c r="CP122" s="53"/>
      <c r="CQ122" s="53"/>
      <c r="CR122" s="1"/>
      <c r="CS122" s="1"/>
      <c r="CT122" s="1"/>
      <c r="CU122" s="1"/>
    </row>
    <row r="123" spans="1:99" s="13" customFormat="1" ht="12" customHeight="1" x14ac:dyDescent="0.2">
      <c r="A123" s="68">
        <v>43976</v>
      </c>
      <c r="B123" s="70" t="s">
        <v>930</v>
      </c>
      <c r="C123" s="70" t="s">
        <v>360</v>
      </c>
      <c r="D123" s="69">
        <v>1988</v>
      </c>
      <c r="E123" s="87">
        <v>1</v>
      </c>
      <c r="F123" s="69">
        <v>18</v>
      </c>
      <c r="G123" s="69">
        <v>18</v>
      </c>
      <c r="H123" s="69" t="s">
        <v>22</v>
      </c>
      <c r="I123" s="69" t="s">
        <v>330</v>
      </c>
      <c r="J123" s="69" t="s">
        <v>313</v>
      </c>
      <c r="K123" s="69">
        <f>IF(J123="syllables",1,IF(J123="trigrams",2,IF(J123="strings",3,IF(J123="visual array",4,IF(J123="characters",5,IF(J123="letters",6,IF(J123="free forms",7,IF(J123="odors",8,IF(J123="words",9,IF(J123="pictures",10,IF(J123="object pictures",11,IF(J123="faces",12,IF(J123="names",13,IF(J123="idioms",14,IF(J123="grades",15,IF(J123="syllable-digit pairs",16,IF(J123="trigram-word pairs",17,IF(J123="word-digit pairs",18,IF(J123="English-Swahili pairs",19,IF(J123="spatial position",20,IF(J123="word pairs",21,IF(J123="word triads",22,IF(J123="generated words",23,IF(J123="word definition pairs",24,IF(J123="math problems",25,IF(J123="famous faces",26,IF(J123="famous names",27,IF(J123="famous voices",28,IF(J123="television programs",29,IF(J123="race horses",30,IF(J123="new vocabulary",31,IF(J123="sentences",32,IF(J123="concepts",33,IF(J123="ad slides",34,IF(J123="scenes",35,IF(J123="famous scenes",36,IF(J123="poems",37,IF(J123="walk",38,IF(J123="faces and events",39,IF(J123="events and names",40,IF(J123="flashbulb",41,IF(J123="stories",42,IF(J123="course material",43,IF(J123="autobiographical",44,IF(J123="novels",45,IF(J123="public events",46,"99"))))))))))))))))))))))))))))))))))))))))))))))</f>
        <v>10</v>
      </c>
      <c r="L123" s="69">
        <f>IF(J123="syllables",1,IF(J123="trigrams",1,IF(J123="strings",1,IF(J123="visual array",1,IF(J123="characters",1,IF(J123="letters",1,IF(J123="free forms",1,IF(J123="odors",2,IF(J123="words",2,IF(J123="pictures",2,IF(J123="object pictures",2,IF(J123="faces",2,IF(J123="names",2,IF(J123="idioms","2",IF(J123="grades",2,IF(J123="syllable-digit pairs",3,IF(J123="trigram-word pairs",3,IF(J123="word-digit pairs",3,IF(J123="English-Swahili pairs",3,IF(J123="spatial position",3,IF(J123="word pairs",4,IF(J123="word triads",4,IF(J123="generated words",4,IF(J123="word definition pairs",4,IF(J123="math problems",4,IF(J123="famous faces",4,IF(J123="famous names",4,IF(J123="famous voices",4,IF(J123="television programs",4,IF(J123="race horses",4,IF(J123="new vocabulary",4,IF(J123="sentences",5,IF(J123="concepts",5,IF(J123="ad slides",5,IF(J123="scenes",5,IF(J123="famous scenes",5,IF(J123="poems",6,IF(J123="walk",6,IF(J123="faces and events",6,IF(J123="events and names",6,IF(J123="flashbulb",7,IF(J123="stories",7,IF(J123="course material",7,IF(J123="autobiographical",7,IF(J123="novels",7,IF(J123="public events",7,"99"))))))))))))))))))))))))))))))))))))))))))))))</f>
        <v>2</v>
      </c>
      <c r="M123" s="69">
        <v>0</v>
      </c>
      <c r="N123" s="69">
        <v>1</v>
      </c>
      <c r="O123" s="69">
        <v>0</v>
      </c>
      <c r="P123" s="69"/>
      <c r="Q123" s="153" t="s">
        <v>34</v>
      </c>
      <c r="R123" s="69">
        <f>IF(Q123="Free Recall",1,IF(Q123="Cued Recall",2,IF(Q123="Recognition",3,IF(Q123="Multiple Choice",4,IF(Q123="Savings",5,IF(Q123="Stem Completion",6,IF(Q123="Fragment Completion",7,IF(Q123="anagram solution",8,IF(Q123="Matching",9,IF(Q123="Problem Solving",10,"99"))))))))))</f>
        <v>3</v>
      </c>
      <c r="S123" s="92" t="s">
        <v>15</v>
      </c>
      <c r="T123" s="92" t="s">
        <v>581</v>
      </c>
      <c r="U123" s="69">
        <f>IF(T123="within",1,0)</f>
        <v>1</v>
      </c>
      <c r="V123" s="92">
        <v>22</v>
      </c>
      <c r="W123" s="69" t="e">
        <f>#REF!*V123</f>
        <v>#REF!</v>
      </c>
      <c r="X123" s="69">
        <v>3</v>
      </c>
      <c r="Y123" s="87">
        <f>AV122</f>
        <v>600</v>
      </c>
      <c r="Z123" s="69" t="s">
        <v>931</v>
      </c>
      <c r="AA123" s="69">
        <f>60*60*32</f>
        <v>115200</v>
      </c>
      <c r="AB123" s="69" t="str">
        <f>IF(AA123&lt;60,"1",IF(AA123&lt;=43200,"2",IF(AA123&lt;=777600,"3","4")))</f>
        <v>3</v>
      </c>
      <c r="AC123" s="72">
        <f>AVERAGE(AV122:DA122)</f>
        <v>41000</v>
      </c>
      <c r="AD123" s="69" t="str">
        <f>IF(AC123&lt;60,"1",IF(AC123&lt;=43200,"2",IF(AC123&lt;=777600,"3","4")))</f>
        <v>2</v>
      </c>
      <c r="AE123" s="87">
        <f>AA123-Y123</f>
        <v>114600</v>
      </c>
      <c r="AF123" s="88">
        <f>AV123</f>
        <v>0.90500000000000003</v>
      </c>
      <c r="AG123" s="72">
        <f>((AW123-AV123)+(AX123-AW123))/2</f>
        <v>-6.6500000000000004E-2</v>
      </c>
      <c r="AH123" s="4"/>
      <c r="AI123" s="72">
        <f>RSQ(AV123:AX123,AV122:AX122)</f>
        <v>0.93255926007368251</v>
      </c>
      <c r="AJ123" s="110">
        <f>SLOPE(AV123:AX123,AV122:AX122)</f>
        <v>-1.0203810517569539E-6</v>
      </c>
      <c r="AK123" s="72">
        <f>INTERCEPT(AV123:AX123,AV122:AX122)</f>
        <v>0.88850228978870183</v>
      </c>
      <c r="AL123" s="72">
        <f>INDEX(LINEST(LN(AV123:AX123),LN(AV122:AX122),TRUE,TRUE),3,1)</f>
        <v>0.96187581239093423</v>
      </c>
      <c r="AM123" s="72">
        <f>INDEX(LINEST(LN(AV123:AX123),LN(AV122:AX122)),1)</f>
        <v>-3.0424455677092052E-2</v>
      </c>
      <c r="AN123" s="72">
        <f>EXP(INDEX(LINEST(LN(AV123:AX123),LN(AV122:AX122)),1,2))</f>
        <v>1.1101539222831247</v>
      </c>
      <c r="AO123" s="89">
        <f>INDEX(LINEST((AV123:AX123),LN(AV122:AX122),TRUE,TRUE),3,1)</f>
        <v>0.96864810805917334</v>
      </c>
      <c r="AP123" s="89">
        <f>INDEX(LINEST((AV123:AX123),LN(AV122:AX122)),1)</f>
        <v>-2.5441817408239427E-2</v>
      </c>
      <c r="AQ123" s="90">
        <f>INDEX(LINEST(LN(AV123:AX123),SQRT(AV122:AX122),TRUE,TRUE),3,1)</f>
        <v>0.98707271910119454</v>
      </c>
      <c r="AR123" s="117">
        <f>INDEX(LINEST(LN(AV123:AX123),SQRT((AV122:AX122))),1)</f>
        <v>-4.8497805183845346E-4</v>
      </c>
      <c r="AS123" s="91">
        <f>INDEX(LINEST(1/(AV123:AX123),1/(SQRT(AV122:AX122)),TRUE,TRUE),3,1)</f>
        <v>0.73145429358120617</v>
      </c>
      <c r="AT123" s="91">
        <f>INDEX(LINEST(1/(AV123:AX123),1/SQRT(AV122:AX122)),1)</f>
        <v>-4.2354602479122985</v>
      </c>
      <c r="AU123" s="3"/>
      <c r="AV123" s="73">
        <v>0.90500000000000003</v>
      </c>
      <c r="AW123" s="73">
        <v>0.86299999999999999</v>
      </c>
      <c r="AX123" s="73">
        <v>0.77200000000000002</v>
      </c>
      <c r="AY123" s="53"/>
      <c r="AZ123" s="53"/>
      <c r="BA123" s="53"/>
      <c r="BB123" s="53"/>
      <c r="BC123" s="53"/>
      <c r="BD123" s="53"/>
      <c r="BE123" s="53"/>
      <c r="BF123" s="53"/>
      <c r="BG123" s="53"/>
      <c r="BH123" s="53"/>
      <c r="BI123" s="53"/>
      <c r="BJ123" s="53"/>
      <c r="BK123" s="53"/>
      <c r="BL123" s="53"/>
      <c r="BM123" s="53"/>
      <c r="BN123" s="53"/>
      <c r="BO123" s="53"/>
      <c r="BP123" s="53"/>
      <c r="BQ123" s="53"/>
      <c r="BR123" s="53"/>
      <c r="BS123" s="53"/>
      <c r="BT123" s="53"/>
      <c r="BU123" s="53"/>
      <c r="BV123" s="53"/>
      <c r="BW123" s="53"/>
      <c r="BX123" s="53"/>
      <c r="BY123" s="53"/>
      <c r="BZ123" s="53"/>
      <c r="CA123" s="53"/>
      <c r="CB123" s="53"/>
      <c r="CC123" s="53"/>
      <c r="CD123" s="53"/>
      <c r="CE123" s="53"/>
      <c r="CF123" s="53"/>
      <c r="CG123" s="53"/>
      <c r="CH123" s="53"/>
      <c r="CI123" s="53"/>
      <c r="CJ123" s="53"/>
      <c r="CK123" s="53"/>
      <c r="CL123" s="53"/>
      <c r="CM123" s="53"/>
      <c r="CN123" s="53"/>
      <c r="CO123" s="53"/>
      <c r="CP123" s="53"/>
      <c r="CQ123" s="53"/>
      <c r="CR123" s="1"/>
      <c r="CS123" s="1"/>
      <c r="CT123" s="1"/>
      <c r="CU123" s="1"/>
    </row>
    <row r="124" spans="1:99" s="13" customFormat="1" ht="12" customHeight="1" x14ac:dyDescent="0.2">
      <c r="A124" s="65">
        <v>43509</v>
      </c>
      <c r="B124" s="1"/>
      <c r="C124" s="1"/>
      <c r="D124" s="60"/>
      <c r="E124" s="76"/>
      <c r="F124" s="60"/>
      <c r="G124" s="60"/>
      <c r="H124" s="60"/>
      <c r="I124" s="60"/>
      <c r="J124" s="60"/>
      <c r="K124" s="64"/>
      <c r="L124" s="64"/>
      <c r="M124" s="60"/>
      <c r="N124" s="60"/>
      <c r="O124" s="60"/>
      <c r="P124" s="60"/>
      <c r="Q124" s="60"/>
      <c r="R124" s="60"/>
      <c r="S124" s="60"/>
      <c r="T124" s="60"/>
      <c r="U124" s="60"/>
      <c r="V124" s="60"/>
      <c r="W124" s="60"/>
      <c r="X124" s="60"/>
      <c r="Y124" s="76"/>
      <c r="Z124" s="60"/>
      <c r="AA124" s="60"/>
      <c r="AB124" s="60"/>
      <c r="AC124" s="60"/>
      <c r="AD124" s="60"/>
      <c r="AE124" s="60"/>
      <c r="AF124" s="80"/>
      <c r="AG124" s="56"/>
      <c r="AH124" s="4"/>
      <c r="AI124" s="56"/>
      <c r="AJ124" s="109"/>
      <c r="AK124" s="56"/>
      <c r="AL124" s="56"/>
      <c r="AM124" s="56"/>
      <c r="AN124" s="56"/>
      <c r="AO124" s="56"/>
      <c r="AP124" s="56"/>
      <c r="AQ124" s="56"/>
      <c r="AR124" s="109"/>
      <c r="AS124" s="56"/>
      <c r="AT124" s="56"/>
      <c r="AU124" s="4"/>
      <c r="AV124" s="25">
        <f>60*60</f>
        <v>3600</v>
      </c>
      <c r="AW124" s="25">
        <f>24*3600</f>
        <v>86400</v>
      </c>
      <c r="AX124" s="25">
        <f>24*3600*2</f>
        <v>172800</v>
      </c>
      <c r="AY124" s="53"/>
      <c r="AZ124" s="53"/>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c r="BY124" s="53"/>
      <c r="BZ124" s="53"/>
      <c r="CA124" s="53"/>
      <c r="CB124" s="53"/>
      <c r="CC124" s="53"/>
      <c r="CD124" s="53"/>
      <c r="CE124" s="53"/>
      <c r="CF124" s="53"/>
      <c r="CG124" s="53"/>
      <c r="CH124" s="53"/>
      <c r="CI124" s="53"/>
      <c r="CJ124" s="53"/>
      <c r="CK124" s="53"/>
      <c r="CL124" s="53"/>
      <c r="CM124" s="53"/>
      <c r="CN124" s="53"/>
      <c r="CO124" s="53"/>
      <c r="CP124" s="53"/>
      <c r="CQ124" s="53"/>
      <c r="CR124" s="1"/>
      <c r="CS124" s="1"/>
      <c r="CT124" s="1"/>
      <c r="CU124" s="1"/>
    </row>
    <row r="125" spans="1:99" s="13" customFormat="1" ht="12" customHeight="1" x14ac:dyDescent="0.2">
      <c r="A125" s="65">
        <v>43509</v>
      </c>
      <c r="B125" s="1" t="s">
        <v>120</v>
      </c>
      <c r="C125" s="1" t="s">
        <v>48</v>
      </c>
      <c r="D125" s="60">
        <v>2007</v>
      </c>
      <c r="E125" s="76">
        <v>1</v>
      </c>
      <c r="F125" s="60">
        <v>72</v>
      </c>
      <c r="G125" s="60">
        <v>24</v>
      </c>
      <c r="H125" s="60" t="s">
        <v>22</v>
      </c>
      <c r="I125" s="60" t="s">
        <v>727</v>
      </c>
      <c r="J125" s="60" t="s">
        <v>475</v>
      </c>
      <c r="K125" s="60">
        <f>IF(J125="syllables",1,IF(J125="trigrams",2,IF(J125="strings",3,IF(J125="visual array",4,IF(J125="characters",5,IF(J125="letters",6,IF(J125="free forms",7,IF(J125="odors",8,IF(J125="words",9,IF(J125="pictures",10,IF(J125="object pictures",11,IF(J125="faces",12,IF(J125="names",13,IF(J125="idioms",14,IF(J125="grades",15,IF(J125="syllable-digit pairs",16,IF(J125="trigram-word pairs",17,IF(J125="word-digit pairs",18,IF(J125="English-Swahili pairs",19,IF(J125="spatial position",20,IF(J125="word pairs",21,IF(J125="word triads",22,IF(J125="generated words",23,IF(J125="word definition pairs",24,IF(J125="math problems",25,IF(J125="famous faces",26,IF(J125="famous names",27,IF(J125="famous voices",28,IF(J125="television programs",29,IF(J125="race horses",30,IF(J125="new vocabulary",31,IF(J125="sentences",32,IF(J125="concepts",33,IF(J125="ad slides",34,IF(J125="scenes",35,IF(J125="famous scenes",36,IF(J125="poems",37,IF(J125="walk",38,IF(J125="faces and events",39,IF(J125="events and names",40,IF(J125="flashbulb",41,IF(J125="stories",42,IF(J125="course material",43,IF(J125="autobiographical",44,IF(J125="novels",45,IF(J125="public events",46,"99"))))))))))))))))))))))))))))))))))))))))))))))</f>
        <v>32</v>
      </c>
      <c r="L125" s="60">
        <f>IF(J125="syllables",1,IF(J125="trigrams",1,IF(J125="strings",1,IF(J125="visual array",1,IF(J125="characters",1,IF(J125="letters",1,IF(J125="free forms",1,IF(J125="odors",2,IF(J125="words",2,IF(J125="pictures",2,IF(J125="object pictures",2,IF(J125="faces",2,IF(J125="names",2,IF(J125="idioms","2",IF(J125="grades",2,IF(J125="syllable-digit pairs",3,IF(J125="trigram-word pairs",3,IF(J125="word-digit pairs",3,IF(J125="English-Swahili pairs",3,IF(J125="spatial position",3,IF(J125="word pairs",4,IF(J125="word triads",4,IF(J125="generated words",4,IF(J125="word definition pairs",4,IF(J125="math problems",4,IF(J125="famous faces",4,IF(J125="famous names",4,IF(J125="famous voices",4,IF(J125="television programs",4,IF(J125="race horses",4,IF(J125="new vocabulary",4,IF(J125="sentences",5,IF(J125="concepts",5,IF(J125="ad slides",5,IF(J125="scenes",5,IF(J125="famous scenes",5,IF(J125="poems",6,IF(J125="walk",6,IF(J125="faces and events",6,IF(J125="events and names",6,IF(J125="flashbulb",7,IF(J125="stories",7,IF(J125="course material",7,IF(J125="autobiographical",7,IF(J125="novels",7,IF(J125="public events",7,"99"))))))))))))))))))))))))))))))))))))))))))))))</f>
        <v>5</v>
      </c>
      <c r="M125" s="60">
        <v>0</v>
      </c>
      <c r="N125" s="60">
        <v>3</v>
      </c>
      <c r="O125" s="60">
        <v>0</v>
      </c>
      <c r="P125" s="60"/>
      <c r="Q125" s="60" t="s">
        <v>34</v>
      </c>
      <c r="R125" s="60">
        <f>IF(Q125="Free Recall",1,IF(Q125="Cued Recall",2,IF(Q125="Recognition",3,IF(Q125="Multiple Choice",4,IF(Q125="Savings",5,IF(Q125="Stem Completion",6,IF(Q125="Fragment Completion",7,IF(Q125="anagram solution",8,IF(Q125="Matching",9,IF(Q125="Problem Solving",10,"99"))))))))))</f>
        <v>3</v>
      </c>
      <c r="S125" s="60" t="s">
        <v>229</v>
      </c>
      <c r="T125" s="60" t="s">
        <v>261</v>
      </c>
      <c r="U125" s="60">
        <f>IF(T125="within",1,0)</f>
        <v>0</v>
      </c>
      <c r="V125" s="60">
        <v>40</v>
      </c>
      <c r="W125" s="60">
        <f>F125*V125</f>
        <v>2880</v>
      </c>
      <c r="X125" s="60">
        <v>3</v>
      </c>
      <c r="Y125" s="76">
        <f>AV124</f>
        <v>3600</v>
      </c>
      <c r="Z125" s="60" t="s">
        <v>88</v>
      </c>
      <c r="AA125" s="60">
        <v>172800</v>
      </c>
      <c r="AB125" s="60" t="str">
        <f>IF(AA125&lt;60,"1",IF(AA125&lt;=43200,"2",IF(AA125&lt;=777600,"3","4")))</f>
        <v>3</v>
      </c>
      <c r="AC125" s="56">
        <f>AVERAGE(AV124:DA124)</f>
        <v>87600</v>
      </c>
      <c r="AD125" s="60" t="str">
        <f>IF(AC125&lt;60,"1",IF(AC125&lt;=43200,"2",IF(AC125&lt;=777600,"3","4")))</f>
        <v>3</v>
      </c>
      <c r="AE125" s="76">
        <f>AA125-Y125</f>
        <v>169200</v>
      </c>
      <c r="AF125" s="80">
        <f>AV125</f>
        <v>0.99</v>
      </c>
      <c r="AG125" s="56">
        <f>((AW125-AV125)+(AX125-AW125))/2</f>
        <v>-8.0000000000000016E-2</v>
      </c>
      <c r="AH125" s="4"/>
      <c r="AI125" s="56">
        <f>RSQ(AV125:AX125,AV124:AX124)</f>
        <v>0.99984912492456268</v>
      </c>
      <c r="AJ125" s="109">
        <f>SLOPE(AV125:AX125,AV124:AX124)</f>
        <v>-9.4548380607523665E-7</v>
      </c>
      <c r="AK125" s="56">
        <f>INTERCEPT(AV125:AX125,AV124:AX124)</f>
        <v>0.99282438141219076</v>
      </c>
      <c r="AL125" s="56">
        <f>INDEX(LINEST(LN(AV125:AX125),LN(AV124:AX124),TRUE,TRUE),3,1)</f>
        <v>0.86220321487196527</v>
      </c>
      <c r="AM125" s="56">
        <f>INDEX(LINEST(LN(AV125:AX125),LN(AV124:AX124)),1)</f>
        <v>-3.966017765075585E-2</v>
      </c>
      <c r="AN125" s="56">
        <f>EXP(INDEX(LINEST(LN(AV125:AX125),LN(AV124:AX124)),1,2))</f>
        <v>1.3785876972409998</v>
      </c>
      <c r="AO125" s="82">
        <f>INDEX(LINEST((AV125:AX125),LN(AV124:AX124),TRUE,TRUE),3,1)</f>
        <v>0.87924200716466017</v>
      </c>
      <c r="AP125" s="82">
        <f>INDEX(LINEST((AV125:AX125),LN(AV124:AX124)),1)</f>
        <v>-3.6339813083834958E-2</v>
      </c>
      <c r="AQ125" s="83">
        <f>INDEX(LINEST(LN(AV125:AX125),SQRT(AV124:AX124),TRUE,TRUE),3,1)</f>
        <v>0.95834965144669881</v>
      </c>
      <c r="AR125" s="116">
        <f>INDEX(LINEST(LN(AV125:AX125),SQRT((AV124:AX124))),1)</f>
        <v>-4.7746925148478331E-4</v>
      </c>
      <c r="AS125" s="84">
        <f>INDEX(LINEST(1/(AV125:AX125),1/(SQRT(AV124:AX124)),TRUE,TRUE),3,1)</f>
        <v>0.76023960606948116</v>
      </c>
      <c r="AT125" s="84">
        <f>INDEX(LINEST(1/(AV125:AX125),1/SQRT(AV124:AX124)),1)</f>
        <v>-10.676080415434951</v>
      </c>
      <c r="AU125" s="3"/>
      <c r="AV125" s="53">
        <v>0.99</v>
      </c>
      <c r="AW125" s="53">
        <v>0.91</v>
      </c>
      <c r="AX125" s="53">
        <v>0.83</v>
      </c>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53"/>
      <c r="CD125" s="53"/>
      <c r="CE125" s="53"/>
      <c r="CF125" s="53"/>
      <c r="CG125" s="53"/>
      <c r="CH125" s="53"/>
      <c r="CI125" s="53"/>
      <c r="CJ125" s="53"/>
      <c r="CK125" s="53"/>
      <c r="CL125" s="53"/>
      <c r="CM125" s="53"/>
      <c r="CN125" s="53"/>
      <c r="CO125" s="53"/>
      <c r="CP125" s="53"/>
      <c r="CQ125" s="53"/>
      <c r="CR125" s="1"/>
      <c r="CS125" s="1"/>
      <c r="CT125" s="1"/>
      <c r="CU125" s="1"/>
    </row>
    <row r="126" spans="1:99" s="13" customFormat="1" ht="12" customHeight="1" x14ac:dyDescent="0.2">
      <c r="A126" s="65">
        <v>43509</v>
      </c>
      <c r="B126" s="1"/>
      <c r="C126" s="1"/>
      <c r="D126" s="60"/>
      <c r="E126" s="76"/>
      <c r="F126" s="60"/>
      <c r="G126" s="60"/>
      <c r="H126" s="60"/>
      <c r="I126" s="60"/>
      <c r="J126" s="60"/>
      <c r="K126" s="64"/>
      <c r="L126" s="64"/>
      <c r="M126" s="60"/>
      <c r="N126" s="60"/>
      <c r="O126" s="60"/>
      <c r="P126" s="60"/>
      <c r="Q126" s="60"/>
      <c r="R126" s="60"/>
      <c r="S126" s="60"/>
      <c r="T126" s="60"/>
      <c r="U126" s="60"/>
      <c r="V126" s="60"/>
      <c r="W126" s="60"/>
      <c r="X126" s="60"/>
      <c r="Y126" s="76"/>
      <c r="Z126" s="60"/>
      <c r="AA126" s="60"/>
      <c r="AB126" s="60"/>
      <c r="AC126" s="60"/>
      <c r="AD126" s="60"/>
      <c r="AE126" s="60"/>
      <c r="AF126" s="80"/>
      <c r="AG126" s="56"/>
      <c r="AH126" s="4"/>
      <c r="AI126" s="56"/>
      <c r="AJ126" s="109"/>
      <c r="AK126" s="56"/>
      <c r="AL126" s="56"/>
      <c r="AM126" s="56"/>
      <c r="AN126" s="56"/>
      <c r="AO126" s="56"/>
      <c r="AP126" s="56"/>
      <c r="AQ126" s="56"/>
      <c r="AR126" s="109"/>
      <c r="AS126" s="56"/>
      <c r="AT126" s="56"/>
      <c r="AU126" s="4"/>
      <c r="AV126" s="25">
        <f>60*60</f>
        <v>3600</v>
      </c>
      <c r="AW126" s="25">
        <f>24*3600</f>
        <v>86400</v>
      </c>
      <c r="AX126" s="25">
        <f>24*3600*2</f>
        <v>172800</v>
      </c>
      <c r="AY126" s="53"/>
      <c r="AZ126" s="53"/>
      <c r="BA126" s="53"/>
      <c r="BB126" s="53"/>
      <c r="BC126" s="53"/>
      <c r="BD126" s="53"/>
      <c r="BE126" s="53"/>
      <c r="BF126" s="53"/>
      <c r="BG126" s="53"/>
      <c r="BH126" s="53"/>
      <c r="BI126" s="53"/>
      <c r="BJ126" s="53"/>
      <c r="BK126" s="53"/>
      <c r="BL126" s="53"/>
      <c r="BM126" s="53"/>
      <c r="BN126" s="53"/>
      <c r="BO126" s="53"/>
      <c r="BP126" s="53"/>
      <c r="BQ126" s="53"/>
      <c r="BR126" s="53"/>
      <c r="BS126" s="53"/>
      <c r="BT126" s="53"/>
      <c r="BU126" s="53"/>
      <c r="BV126" s="53"/>
      <c r="BW126" s="53"/>
      <c r="BX126" s="53"/>
      <c r="BY126" s="53"/>
      <c r="BZ126" s="53"/>
      <c r="CA126" s="53"/>
      <c r="CB126" s="53"/>
      <c r="CC126" s="53"/>
      <c r="CD126" s="53"/>
      <c r="CE126" s="53"/>
      <c r="CF126" s="53"/>
      <c r="CG126" s="53"/>
      <c r="CH126" s="53"/>
      <c r="CI126" s="53"/>
      <c r="CJ126" s="53"/>
      <c r="CK126" s="53"/>
      <c r="CL126" s="53"/>
      <c r="CM126" s="53"/>
      <c r="CN126" s="53"/>
      <c r="CO126" s="53"/>
      <c r="CP126" s="53"/>
      <c r="CQ126" s="53"/>
      <c r="CR126" s="1"/>
      <c r="CS126" s="1"/>
      <c r="CT126" s="1"/>
      <c r="CU126" s="1"/>
    </row>
    <row r="127" spans="1:99" s="13" customFormat="1" ht="12" customHeight="1" x14ac:dyDescent="0.2">
      <c r="A127" s="65">
        <v>43509</v>
      </c>
      <c r="B127" s="1" t="s">
        <v>120</v>
      </c>
      <c r="C127" s="1" t="s">
        <v>48</v>
      </c>
      <c r="D127" s="60">
        <v>2007</v>
      </c>
      <c r="E127" s="76">
        <v>1</v>
      </c>
      <c r="F127" s="60">
        <v>72</v>
      </c>
      <c r="G127" s="60">
        <v>24</v>
      </c>
      <c r="H127" s="60" t="s">
        <v>22</v>
      </c>
      <c r="I127" s="60" t="s">
        <v>728</v>
      </c>
      <c r="J127" s="60" t="s">
        <v>475</v>
      </c>
      <c r="K127" s="60">
        <f>IF(J127="syllables",1,IF(J127="trigrams",2,IF(J127="strings",3,IF(J127="visual array",4,IF(J127="characters",5,IF(J127="letters",6,IF(J127="free forms",7,IF(J127="odors",8,IF(J127="words",9,IF(J127="pictures",10,IF(J127="object pictures",11,IF(J127="faces",12,IF(J127="names",13,IF(J127="idioms",14,IF(J127="grades",15,IF(J127="syllable-digit pairs",16,IF(J127="trigram-word pairs",17,IF(J127="word-digit pairs",18,IF(J127="English-Swahili pairs",19,IF(J127="spatial position",20,IF(J127="word pairs",21,IF(J127="word triads",22,IF(J127="generated words",23,IF(J127="word definition pairs",24,IF(J127="math problems",25,IF(J127="famous faces",26,IF(J127="famous names",27,IF(J127="famous voices",28,IF(J127="television programs",29,IF(J127="race horses",30,IF(J127="new vocabulary",31,IF(J127="sentences",32,IF(J127="concepts",33,IF(J127="ad slides",34,IF(J127="scenes",35,IF(J127="famous scenes",36,IF(J127="poems",37,IF(J127="walk",38,IF(J127="faces and events",39,IF(J127="events and names",40,IF(J127="flashbulb",41,IF(J127="stories",42,IF(J127="course material",43,IF(J127="autobiographical",44,IF(J127="novels",45,IF(J127="public events",46,"99"))))))))))))))))))))))))))))))))))))))))))))))</f>
        <v>32</v>
      </c>
      <c r="L127" s="60">
        <f>IF(J127="syllables",1,IF(J127="trigrams",1,IF(J127="strings",1,IF(J127="visual array",1,IF(J127="characters",1,IF(J127="letters",1,IF(J127="free forms",1,IF(J127="odors",2,IF(J127="words",2,IF(J127="pictures",2,IF(J127="object pictures",2,IF(J127="faces",2,IF(J127="names",2,IF(J127="idioms","2",IF(J127="grades",2,IF(J127="syllable-digit pairs",3,IF(J127="trigram-word pairs",3,IF(J127="word-digit pairs",3,IF(J127="English-Swahili pairs",3,IF(J127="spatial position",3,IF(J127="word pairs",4,IF(J127="word triads",4,IF(J127="generated words",4,IF(J127="word definition pairs",4,IF(J127="math problems",4,IF(J127="famous faces",4,IF(J127="famous names",4,IF(J127="famous voices",4,IF(J127="television programs",4,IF(J127="race horses",4,IF(J127="new vocabulary",4,IF(J127="sentences",5,IF(J127="concepts",5,IF(J127="ad slides",5,IF(J127="scenes",5,IF(J127="famous scenes",5,IF(J127="poems",6,IF(J127="walk",6,IF(J127="faces and events",6,IF(J127="events and names",6,IF(J127="flashbulb",7,IF(J127="stories",7,IF(J127="course material",7,IF(J127="autobiographical",7,IF(J127="novels",7,IF(J127="public events",7,"99"))))))))))))))))))))))))))))))))))))))))))))))</f>
        <v>5</v>
      </c>
      <c r="M127" s="60">
        <v>0</v>
      </c>
      <c r="N127" s="60">
        <v>3</v>
      </c>
      <c r="O127" s="60">
        <v>0</v>
      </c>
      <c r="P127" s="60"/>
      <c r="Q127" s="60" t="s">
        <v>34</v>
      </c>
      <c r="R127" s="60">
        <f>IF(Q127="Free Recall",1,IF(Q127="Cued Recall",2,IF(Q127="Recognition",3,IF(Q127="Multiple Choice",4,IF(Q127="Savings",5,IF(Q127="Stem Completion",6,IF(Q127="Fragment Completion",7,IF(Q127="anagram solution",8,IF(Q127="Matching",9,IF(Q127="Problem Solving",10,"99"))))))))))</f>
        <v>3</v>
      </c>
      <c r="S127" s="60" t="s">
        <v>229</v>
      </c>
      <c r="T127" s="60" t="s">
        <v>261</v>
      </c>
      <c r="U127" s="60">
        <f>IF(T127="within",1,0)</f>
        <v>0</v>
      </c>
      <c r="V127" s="60">
        <v>40</v>
      </c>
      <c r="W127" s="60">
        <f>F127*V127</f>
        <v>2880</v>
      </c>
      <c r="X127" s="60">
        <v>3</v>
      </c>
      <c r="Y127" s="76">
        <f>AV126</f>
        <v>3600</v>
      </c>
      <c r="Z127" s="60" t="s">
        <v>88</v>
      </c>
      <c r="AA127" s="60">
        <v>172800</v>
      </c>
      <c r="AB127" s="60" t="str">
        <f>IF(AA127&lt;60,"1",IF(AA127&lt;=43200,"2",IF(AA127&lt;=777600,"3","4")))</f>
        <v>3</v>
      </c>
      <c r="AC127" s="56">
        <f>AVERAGE(AV126:DA126)</f>
        <v>87600</v>
      </c>
      <c r="AD127" s="60" t="str">
        <f>IF(AC127&lt;60,"1",IF(AC127&lt;=43200,"2",IF(AC127&lt;=777600,"3","4")))</f>
        <v>3</v>
      </c>
      <c r="AE127" s="76">
        <f>AA127-Y127</f>
        <v>169200</v>
      </c>
      <c r="AF127" s="80">
        <f>AV127</f>
        <v>0.95</v>
      </c>
      <c r="AG127" s="56">
        <f>((AW127-AV127)+(AX127-AW127))/2</f>
        <v>-0.16999999999999998</v>
      </c>
      <c r="AH127" s="4"/>
      <c r="AI127" s="56">
        <f>RSQ(AV127:AX127,AV126:AX126)</f>
        <v>0.96777633142179775</v>
      </c>
      <c r="AJ127" s="109">
        <f>SLOPE(AV127:AX127,AV126:AX126)</f>
        <v>-2.0049621135921675E-6</v>
      </c>
      <c r="AK127" s="56">
        <f>INTERCEPT(AV127:AX127,AV126:AX126)</f>
        <v>0.93896801448400713</v>
      </c>
      <c r="AL127" s="56">
        <f>INDEX(LINEST(LN(AV127:AX127),LN(AV126:AX126),TRUE,TRUE),3,1)</f>
        <v>0.94065580339313215</v>
      </c>
      <c r="AM127" s="56">
        <f>INDEX(LINEST(LN(AV127:AX127),LN(AV126:AX126)),1)</f>
        <v>-0.10469048836856661</v>
      </c>
      <c r="AN127" s="56">
        <f>EXP(INDEX(LINEST(LN(AV127:AX127),LN(AV126:AX126)),1,2))</f>
        <v>2.2625844469426681</v>
      </c>
      <c r="AO127" s="82">
        <f>INDEX(LINEST((AV127:AX127),LN(AV126:AX126),TRUE,TRUE),3,1)</f>
        <v>0.9655455475512591</v>
      </c>
      <c r="AP127" s="82">
        <f>INDEX(LINEST((AV127:AX127),LN(AV126:AX126)),1)</f>
        <v>-8.2081761931416405E-2</v>
      </c>
      <c r="AQ127" s="83">
        <f>INDEX(LINEST(LN(AV127:AX127),SQRT(AV126:AX126),TRUE,TRUE),3,1)</f>
        <v>0.99492503009747013</v>
      </c>
      <c r="AR127" s="116">
        <f>INDEX(LINEST(LN(AV127:AX127),SQRT((AV126:AX126))),1)</f>
        <v>-1.2294775764911312E-3</v>
      </c>
      <c r="AS127" s="84">
        <f>INDEX(LINEST(1/(AV127:AX127),1/(SQRT(AV126:AX126)),TRUE,TRUE),3,1)</f>
        <v>0.83815606166273271</v>
      </c>
      <c r="AT127" s="84">
        <f>INDEX(LINEST(1/(AV127:AX127),1/SQRT(AV126:AX126)),1)</f>
        <v>-33.770542358911122</v>
      </c>
      <c r="AU127" s="3"/>
      <c r="AV127" s="53">
        <v>0.95</v>
      </c>
      <c r="AW127" s="53">
        <v>0.73</v>
      </c>
      <c r="AX127" s="53">
        <v>0.61</v>
      </c>
      <c r="AY127" s="53"/>
      <c r="AZ127" s="53"/>
      <c r="BA127" s="53"/>
      <c r="BB127" s="53"/>
      <c r="BC127" s="53"/>
      <c r="BD127" s="53"/>
      <c r="BE127" s="53"/>
      <c r="BF127" s="53"/>
      <c r="BG127" s="53"/>
      <c r="BH127" s="53"/>
      <c r="BI127" s="53"/>
      <c r="BJ127" s="53"/>
      <c r="BK127" s="53"/>
      <c r="BL127" s="53"/>
      <c r="BM127" s="53"/>
      <c r="BN127" s="53"/>
      <c r="BO127" s="53"/>
      <c r="BP127" s="53"/>
      <c r="BQ127" s="53"/>
      <c r="BR127" s="53"/>
      <c r="BS127" s="53"/>
      <c r="BT127" s="53"/>
      <c r="BU127" s="53"/>
      <c r="BV127" s="53"/>
      <c r="BW127" s="53"/>
      <c r="BX127" s="53"/>
      <c r="BY127" s="53"/>
      <c r="BZ127" s="53"/>
      <c r="CA127" s="53"/>
      <c r="CB127" s="53"/>
      <c r="CC127" s="53"/>
      <c r="CD127" s="53"/>
      <c r="CE127" s="53"/>
      <c r="CF127" s="53"/>
      <c r="CG127" s="53"/>
      <c r="CH127" s="53"/>
      <c r="CI127" s="53"/>
      <c r="CJ127" s="53"/>
      <c r="CK127" s="53"/>
      <c r="CL127" s="53"/>
      <c r="CM127" s="53"/>
      <c r="CN127" s="53"/>
      <c r="CO127" s="53"/>
      <c r="CP127" s="53"/>
      <c r="CQ127" s="53"/>
      <c r="CR127" s="1"/>
      <c r="CS127" s="1"/>
      <c r="CT127" s="1"/>
      <c r="CU127" s="1"/>
    </row>
    <row r="128" spans="1:99" s="13" customFormat="1" ht="12" customHeight="1" x14ac:dyDescent="0.2">
      <c r="A128" s="65">
        <v>43509</v>
      </c>
      <c r="B128" s="1"/>
      <c r="C128" s="1"/>
      <c r="D128" s="60"/>
      <c r="E128" s="76"/>
      <c r="F128" s="60"/>
      <c r="G128" s="60"/>
      <c r="H128" s="60"/>
      <c r="I128" s="60"/>
      <c r="J128" s="60"/>
      <c r="K128" s="64"/>
      <c r="L128" s="64"/>
      <c r="M128" s="60"/>
      <c r="N128" s="60"/>
      <c r="O128" s="60"/>
      <c r="P128" s="60"/>
      <c r="Q128" s="60"/>
      <c r="R128" s="60"/>
      <c r="S128" s="60"/>
      <c r="T128" s="60"/>
      <c r="U128" s="60"/>
      <c r="V128" s="60"/>
      <c r="W128" s="60"/>
      <c r="X128" s="60"/>
      <c r="Y128" s="76"/>
      <c r="Z128" s="60"/>
      <c r="AA128" s="60"/>
      <c r="AB128" s="60"/>
      <c r="AC128" s="60"/>
      <c r="AD128" s="60"/>
      <c r="AE128" s="60"/>
      <c r="AF128" s="80"/>
      <c r="AG128" s="56"/>
      <c r="AH128" s="4"/>
      <c r="AI128" s="56"/>
      <c r="AJ128" s="109"/>
      <c r="AK128" s="56"/>
      <c r="AL128" s="56"/>
      <c r="AM128" s="56"/>
      <c r="AN128" s="56"/>
      <c r="AO128" s="56"/>
      <c r="AP128" s="56"/>
      <c r="AQ128" s="56"/>
      <c r="AR128" s="109"/>
      <c r="AS128" s="56"/>
      <c r="AT128" s="56"/>
      <c r="AU128" s="4"/>
      <c r="AV128" s="25">
        <f>60*60</f>
        <v>3600</v>
      </c>
      <c r="AW128" s="25">
        <f>24*3600</f>
        <v>86400</v>
      </c>
      <c r="AX128" s="25">
        <f>24*3600*2</f>
        <v>172800</v>
      </c>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53"/>
      <c r="CD128" s="53"/>
      <c r="CE128" s="53"/>
      <c r="CF128" s="53"/>
      <c r="CG128" s="53"/>
      <c r="CH128" s="53"/>
      <c r="CI128" s="53"/>
      <c r="CJ128" s="53"/>
      <c r="CK128" s="53"/>
      <c r="CL128" s="53"/>
      <c r="CM128" s="53"/>
      <c r="CN128" s="53"/>
      <c r="CO128" s="53"/>
      <c r="CP128" s="53"/>
      <c r="CQ128" s="53"/>
      <c r="CR128" s="1"/>
      <c r="CS128" s="1"/>
      <c r="CT128" s="1"/>
      <c r="CU128" s="1"/>
    </row>
    <row r="129" spans="1:99" s="13" customFormat="1" ht="12" customHeight="1" x14ac:dyDescent="0.2">
      <c r="A129" s="65">
        <v>43509</v>
      </c>
      <c r="B129" s="1" t="s">
        <v>120</v>
      </c>
      <c r="C129" s="1" t="s">
        <v>48</v>
      </c>
      <c r="D129" s="60">
        <v>2007</v>
      </c>
      <c r="E129" s="76">
        <v>1</v>
      </c>
      <c r="F129" s="60">
        <v>72</v>
      </c>
      <c r="G129" s="60">
        <v>24</v>
      </c>
      <c r="H129" s="60" t="s">
        <v>22</v>
      </c>
      <c r="I129" s="60" t="s">
        <v>727</v>
      </c>
      <c r="J129" s="60" t="s">
        <v>475</v>
      </c>
      <c r="K129" s="60">
        <f>IF(J129="syllables",1,IF(J129="trigrams",2,IF(J129="strings",3,IF(J129="visual array",4,IF(J129="characters",5,IF(J129="letters",6,IF(J129="free forms",7,IF(J129="odors",8,IF(J129="words",9,IF(J129="pictures",10,IF(J129="object pictures",11,IF(J129="faces",12,IF(J129="names",13,IF(J129="idioms",14,IF(J129="grades",15,IF(J129="syllable-digit pairs",16,IF(J129="trigram-word pairs",17,IF(J129="word-digit pairs",18,IF(J129="English-Swahili pairs",19,IF(J129="spatial position",20,IF(J129="word pairs",21,IF(J129="word triads",22,IF(J129="generated words",23,IF(J129="word definition pairs",24,IF(J129="math problems",25,IF(J129="famous faces",26,IF(J129="famous names",27,IF(J129="famous voices",28,IF(J129="television programs",29,IF(J129="race horses",30,IF(J129="new vocabulary",31,IF(J129="sentences",32,IF(J129="concepts",33,IF(J129="ad slides",34,IF(J129="scenes",35,IF(J129="famous scenes",36,IF(J129="poems",37,IF(J129="walk",38,IF(J129="faces and events",39,IF(J129="events and names",40,IF(J129="flashbulb",41,IF(J129="stories",42,IF(J129="course material",43,IF(J129="autobiographical",44,IF(J129="novels",45,IF(J129="public events",46,"99"))))))))))))))))))))))))))))))))))))))))))))))</f>
        <v>32</v>
      </c>
      <c r="L129" s="60">
        <f>IF(J129="syllables",1,IF(J129="trigrams",1,IF(J129="strings",1,IF(J129="visual array",1,IF(J129="characters",1,IF(J129="letters",1,IF(J129="free forms",1,IF(J129="odors",2,IF(J129="words",2,IF(J129="pictures",2,IF(J129="object pictures",2,IF(J129="faces",2,IF(J129="names",2,IF(J129="idioms","2",IF(J129="grades",2,IF(J129="syllable-digit pairs",3,IF(J129="trigram-word pairs",3,IF(J129="word-digit pairs",3,IF(J129="English-Swahili pairs",3,IF(J129="spatial position",3,IF(J129="word pairs",4,IF(J129="word triads",4,IF(J129="generated words",4,IF(J129="word definition pairs",4,IF(J129="math problems",4,IF(J129="famous faces",4,IF(J129="famous names",4,IF(J129="famous voices",4,IF(J129="television programs",4,IF(J129="race horses",4,IF(J129="new vocabulary",4,IF(J129="sentences",5,IF(J129="concepts",5,IF(J129="ad slides",5,IF(J129="scenes",5,IF(J129="famous scenes",5,IF(J129="poems",6,IF(J129="walk",6,IF(J129="faces and events",6,IF(J129="events and names",6,IF(J129="flashbulb",7,IF(J129="stories",7,IF(J129="course material",7,IF(J129="autobiographical",7,IF(J129="novels",7,IF(J129="public events",7,"99"))))))))))))))))))))))))))))))))))))))))))))))</f>
        <v>5</v>
      </c>
      <c r="M129" s="60">
        <v>0</v>
      </c>
      <c r="N129" s="60">
        <v>3</v>
      </c>
      <c r="O129" s="60">
        <v>0</v>
      </c>
      <c r="P129" s="60"/>
      <c r="Q129" s="60" t="s">
        <v>121</v>
      </c>
      <c r="R129" s="60" t="str">
        <f>IF(Q129="Free Recall",1,IF(Q129="Cued Recall",2,IF(Q129="Recognition",3,IF(Q129="Multiple Choice",4,IF(Q129="Savings",5,IF(Q129="Stem Completion",6,IF(Q129="Fragment Completion",7,IF(Q129="anagram solution",8,IF(Q129="Matching",9,IF(Q129="Problem Solving",10,"99"))))))))))</f>
        <v>99</v>
      </c>
      <c r="S129" s="60" t="s">
        <v>229</v>
      </c>
      <c r="T129" s="60" t="s">
        <v>261</v>
      </c>
      <c r="U129" s="60">
        <f>IF(T129="within",1,0)</f>
        <v>0</v>
      </c>
      <c r="V129" s="60">
        <v>40</v>
      </c>
      <c r="W129" s="60">
        <f>F129*V129</f>
        <v>2880</v>
      </c>
      <c r="X129" s="60">
        <v>3</v>
      </c>
      <c r="Y129" s="76">
        <f>AV128</f>
        <v>3600</v>
      </c>
      <c r="Z129" s="60" t="s">
        <v>88</v>
      </c>
      <c r="AA129" s="60">
        <v>172800</v>
      </c>
      <c r="AB129" s="60" t="str">
        <f>IF(AA129&lt;60,"1",IF(AA129&lt;=43200,"2",IF(AA129&lt;=777600,"3","4")))</f>
        <v>3</v>
      </c>
      <c r="AC129" s="56">
        <f>AVERAGE(AV128:DA128)</f>
        <v>87600</v>
      </c>
      <c r="AD129" s="60" t="str">
        <f>IF(AC129&lt;60,"1",IF(AC129&lt;=43200,"2",IF(AC129&lt;=777600,"3","4")))</f>
        <v>3</v>
      </c>
      <c r="AE129" s="76">
        <f>AA129-Y129</f>
        <v>169200</v>
      </c>
      <c r="AF129" s="80">
        <f>AV129</f>
        <v>0.98</v>
      </c>
      <c r="AG129" s="56">
        <f>((AW129-AV129)+(AX129-AW129))/2</f>
        <v>-1.5000000000000013E-2</v>
      </c>
      <c r="AH129" s="4"/>
      <c r="AI129" s="56">
        <f>RSQ(AV129:AX129,AV128:AX128)</f>
        <v>0.5069518592451604</v>
      </c>
      <c r="AJ129" s="109">
        <f>SLOPE(AV129:AX129,AV128:AX128)</f>
        <v>-1.7518272648025228E-7</v>
      </c>
      <c r="AK129" s="56">
        <f>INTERCEPT(AV129:AX129,AV128:AX128)</f>
        <v>0.9720126735063368</v>
      </c>
      <c r="AL129" s="56">
        <f>INDEX(LINEST(LN(AV129:AX129),LN(AV128:AX128),TRUE,TRUE),3,1)</f>
        <v>0.83710239897568528</v>
      </c>
      <c r="AM129" s="56">
        <f>INDEX(LINEST(LN(AV129:AX129),LN(AV128:AX128)),1)</f>
        <v>-9.6008187041175721E-3</v>
      </c>
      <c r="AN129" s="56">
        <f>EXP(INDEX(LINEST(LN(AV129:AX129),LN(AV128:AX128)),1,2))</f>
        <v>1.0583599826439036</v>
      </c>
      <c r="AO129" s="82">
        <f>INDEX(LINEST((AV129:AX129),LN(AV128:AX128),TRUE,TRUE),3,1)</f>
        <v>0.84019095406429378</v>
      </c>
      <c r="AP129" s="82">
        <f>INDEX(LINEST((AV129:AX129),LN(AV128:AX128)),1)</f>
        <v>-9.2435445173526323E-3</v>
      </c>
      <c r="AQ129" s="83">
        <f>INDEX(LINEST(LN(AV129:AX129),SQRT(AV128:AX128),TRUE,TRUE),3,1)</f>
        <v>0.69024232143547826</v>
      </c>
      <c r="AR129" s="116">
        <f>INDEX(LINEST(LN(AV129:AX129),SQRT((AV128:AX128))),1)</f>
        <v>-9.955276927989819E-5</v>
      </c>
      <c r="AS129" s="84">
        <f>INDEX(LINEST(1/(AV129:AX129),1/(SQRT(AV128:AX128)),TRUE,TRUE),3,1)</f>
        <v>0.9048262988834872</v>
      </c>
      <c r="AT129" s="84">
        <f>INDEX(LINEST(1/(AV129:AX129),1/SQRT(AV128:AX128)),1)</f>
        <v>-2.6933954844900696</v>
      </c>
      <c r="AU129" s="3"/>
      <c r="AV129" s="53">
        <v>0.98</v>
      </c>
      <c r="AW129" s="53">
        <v>0.94</v>
      </c>
      <c r="AX129" s="53">
        <v>0.95</v>
      </c>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53"/>
      <c r="CI129" s="53"/>
      <c r="CJ129" s="53"/>
      <c r="CK129" s="53"/>
      <c r="CL129" s="53"/>
      <c r="CM129" s="53"/>
      <c r="CN129" s="53"/>
      <c r="CO129" s="53"/>
      <c r="CP129" s="53"/>
      <c r="CQ129" s="53"/>
      <c r="CR129" s="1"/>
      <c r="CS129" s="1"/>
      <c r="CT129" s="1"/>
      <c r="CU129" s="1"/>
    </row>
    <row r="130" spans="1:99" s="13" customFormat="1" ht="12" customHeight="1" x14ac:dyDescent="0.2">
      <c r="A130" s="65">
        <v>43509</v>
      </c>
      <c r="B130" s="1"/>
      <c r="C130" s="1"/>
      <c r="D130" s="60"/>
      <c r="E130" s="76"/>
      <c r="F130" s="60"/>
      <c r="G130" s="60"/>
      <c r="H130" s="60"/>
      <c r="I130" s="60"/>
      <c r="J130" s="60"/>
      <c r="K130" s="64"/>
      <c r="L130" s="64"/>
      <c r="M130" s="60"/>
      <c r="N130" s="60"/>
      <c r="O130" s="60"/>
      <c r="P130" s="60"/>
      <c r="Q130" s="60"/>
      <c r="R130" s="60"/>
      <c r="S130" s="60"/>
      <c r="T130" s="60"/>
      <c r="U130" s="60"/>
      <c r="V130" s="60"/>
      <c r="W130" s="60"/>
      <c r="X130" s="60"/>
      <c r="Y130" s="76"/>
      <c r="Z130" s="60"/>
      <c r="AA130" s="60"/>
      <c r="AB130" s="60"/>
      <c r="AC130" s="60"/>
      <c r="AD130" s="60"/>
      <c r="AE130" s="60"/>
      <c r="AF130" s="80"/>
      <c r="AG130" s="56"/>
      <c r="AH130" s="4"/>
      <c r="AI130" s="56"/>
      <c r="AJ130" s="109"/>
      <c r="AK130" s="56"/>
      <c r="AL130" s="56"/>
      <c r="AM130" s="56"/>
      <c r="AN130" s="56"/>
      <c r="AO130" s="56"/>
      <c r="AP130" s="56"/>
      <c r="AQ130" s="56"/>
      <c r="AR130" s="109"/>
      <c r="AS130" s="56"/>
      <c r="AT130" s="56"/>
      <c r="AU130" s="4"/>
      <c r="AV130" s="25">
        <f>60*60</f>
        <v>3600</v>
      </c>
      <c r="AW130" s="25">
        <f>24*3600</f>
        <v>86400</v>
      </c>
      <c r="AX130" s="25">
        <f>24*3600*2</f>
        <v>172800</v>
      </c>
      <c r="AY130" s="53"/>
      <c r="AZ130" s="53"/>
      <c r="BA130" s="53"/>
      <c r="BB130" s="53"/>
      <c r="BC130" s="53"/>
      <c r="BD130" s="53"/>
      <c r="BE130" s="53"/>
      <c r="BF130" s="53"/>
      <c r="BG130" s="53"/>
      <c r="BH130" s="53"/>
      <c r="BI130" s="53"/>
      <c r="BJ130" s="53"/>
      <c r="BK130" s="53"/>
      <c r="BL130" s="53"/>
      <c r="BM130" s="53"/>
      <c r="BN130" s="53"/>
      <c r="BO130" s="53"/>
      <c r="BP130" s="53"/>
      <c r="BQ130" s="53"/>
      <c r="BR130" s="53"/>
      <c r="BS130" s="53"/>
      <c r="BT130" s="53"/>
      <c r="BU130" s="53"/>
      <c r="BV130" s="53"/>
      <c r="BW130" s="53"/>
      <c r="BX130" s="53"/>
      <c r="BY130" s="53"/>
      <c r="BZ130" s="53"/>
      <c r="CA130" s="53"/>
      <c r="CB130" s="53"/>
      <c r="CC130" s="53"/>
      <c r="CD130" s="53"/>
      <c r="CE130" s="53"/>
      <c r="CF130" s="53"/>
      <c r="CG130" s="53"/>
      <c r="CH130" s="53"/>
      <c r="CI130" s="53"/>
      <c r="CJ130" s="53"/>
      <c r="CK130" s="53"/>
      <c r="CL130" s="53"/>
      <c r="CM130" s="53"/>
      <c r="CN130" s="53"/>
      <c r="CO130" s="53"/>
      <c r="CP130" s="53"/>
      <c r="CQ130" s="53"/>
      <c r="CR130" s="1"/>
      <c r="CS130" s="1"/>
      <c r="CT130" s="1"/>
      <c r="CU130" s="1"/>
    </row>
    <row r="131" spans="1:99" s="13" customFormat="1" ht="12" customHeight="1" x14ac:dyDescent="0.2">
      <c r="A131" s="65">
        <v>43509</v>
      </c>
      <c r="B131" s="1" t="s">
        <v>120</v>
      </c>
      <c r="C131" s="1" t="s">
        <v>48</v>
      </c>
      <c r="D131" s="60">
        <v>2007</v>
      </c>
      <c r="E131" s="76">
        <v>1</v>
      </c>
      <c r="F131" s="60">
        <v>72</v>
      </c>
      <c r="G131" s="60">
        <v>24</v>
      </c>
      <c r="H131" s="60" t="s">
        <v>22</v>
      </c>
      <c r="I131" s="60" t="s">
        <v>728</v>
      </c>
      <c r="J131" s="60" t="s">
        <v>475</v>
      </c>
      <c r="K131" s="60">
        <f>IF(J131="syllables",1,IF(J131="trigrams",2,IF(J131="strings",3,IF(J131="visual array",4,IF(J131="characters",5,IF(J131="letters",6,IF(J131="free forms",7,IF(J131="odors",8,IF(J131="words",9,IF(J131="pictures",10,IF(J131="object pictures",11,IF(J131="faces",12,IF(J131="names",13,IF(J131="idioms",14,IF(J131="grades",15,IF(J131="syllable-digit pairs",16,IF(J131="trigram-word pairs",17,IF(J131="word-digit pairs",18,IF(J131="English-Swahili pairs",19,IF(J131="spatial position",20,IF(J131="word pairs",21,IF(J131="word triads",22,IF(J131="generated words",23,IF(J131="word definition pairs",24,IF(J131="math problems",25,IF(J131="famous faces",26,IF(J131="famous names",27,IF(J131="famous voices",28,IF(J131="television programs",29,IF(J131="race horses",30,IF(J131="new vocabulary",31,IF(J131="sentences",32,IF(J131="concepts",33,IF(J131="ad slides",34,IF(J131="scenes",35,IF(J131="famous scenes",36,IF(J131="poems",37,IF(J131="walk",38,IF(J131="faces and events",39,IF(J131="events and names",40,IF(J131="flashbulb",41,IF(J131="stories",42,IF(J131="course material",43,IF(J131="autobiographical",44,IF(J131="novels",45,IF(J131="public events",46,"99"))))))))))))))))))))))))))))))))))))))))))))))</f>
        <v>32</v>
      </c>
      <c r="L131" s="60">
        <f>IF(J131="syllables",1,IF(J131="trigrams",1,IF(J131="strings",1,IF(J131="visual array",1,IF(J131="characters",1,IF(J131="letters",1,IF(J131="free forms",1,IF(J131="odors",2,IF(J131="words",2,IF(J131="pictures",2,IF(J131="object pictures",2,IF(J131="faces",2,IF(J131="names",2,IF(J131="idioms","2",IF(J131="grades",2,IF(J131="syllable-digit pairs",3,IF(J131="trigram-word pairs",3,IF(J131="word-digit pairs",3,IF(J131="English-Swahili pairs",3,IF(J131="spatial position",3,IF(J131="word pairs",4,IF(J131="word triads",4,IF(J131="generated words",4,IF(J131="word definition pairs",4,IF(J131="math problems",4,IF(J131="famous faces",4,IF(J131="famous names",4,IF(J131="famous voices",4,IF(J131="television programs",4,IF(J131="race horses",4,IF(J131="new vocabulary",4,IF(J131="sentences",5,IF(J131="concepts",5,IF(J131="ad slides",5,IF(J131="scenes",5,IF(J131="famous scenes",5,IF(J131="poems",6,IF(J131="walk",6,IF(J131="faces and events",6,IF(J131="events and names",6,IF(J131="flashbulb",7,IF(J131="stories",7,IF(J131="course material",7,IF(J131="autobiographical",7,IF(J131="novels",7,IF(J131="public events",7,"99"))))))))))))))))))))))))))))))))))))))))))))))</f>
        <v>5</v>
      </c>
      <c r="M131" s="60">
        <v>0</v>
      </c>
      <c r="N131" s="60">
        <v>3</v>
      </c>
      <c r="O131" s="60">
        <v>0</v>
      </c>
      <c r="P131" s="60"/>
      <c r="Q131" s="60" t="s">
        <v>121</v>
      </c>
      <c r="R131" s="60" t="str">
        <f>IF(Q131="Free Recall",1,IF(Q131="Cued Recall",2,IF(Q131="Recognition",3,IF(Q131="Multiple Choice",4,IF(Q131="Savings",5,IF(Q131="Stem Completion",6,IF(Q131="Fragment Completion",7,IF(Q131="anagram solution",8,IF(Q131="Matching",9,IF(Q131="Problem Solving",10,"99"))))))))))</f>
        <v>99</v>
      </c>
      <c r="S131" s="60" t="s">
        <v>229</v>
      </c>
      <c r="T131" s="60" t="s">
        <v>261</v>
      </c>
      <c r="U131" s="60">
        <f>IF(T131="within",1,0)</f>
        <v>0</v>
      </c>
      <c r="V131" s="60">
        <v>40</v>
      </c>
      <c r="W131" s="60">
        <f>F131*V131</f>
        <v>2880</v>
      </c>
      <c r="X131" s="60">
        <v>3</v>
      </c>
      <c r="Y131" s="76">
        <f>AV130</f>
        <v>3600</v>
      </c>
      <c r="Z131" s="60" t="s">
        <v>88</v>
      </c>
      <c r="AA131" s="60">
        <v>172800</v>
      </c>
      <c r="AB131" s="60" t="str">
        <f>IF(AA131&lt;60,"1",IF(AA131&lt;=43200,"2",IF(AA131&lt;=777600,"3","4")))</f>
        <v>3</v>
      </c>
      <c r="AC131" s="56">
        <f>AVERAGE(AV130:DA130)</f>
        <v>87600</v>
      </c>
      <c r="AD131" s="60" t="str">
        <f>IF(AC131&lt;60,"1",IF(AC131&lt;=43200,"2",IF(AC131&lt;=777600,"3","4")))</f>
        <v>3</v>
      </c>
      <c r="AE131" s="76">
        <f>AA131-Y131</f>
        <v>169200</v>
      </c>
      <c r="AF131" s="80">
        <f>AV131</f>
        <v>0.97</v>
      </c>
      <c r="AG131" s="56">
        <f>((AW131-AV131)+(AX131-AW131))/2</f>
        <v>-2.9999999999999971E-2</v>
      </c>
      <c r="AH131" s="4"/>
      <c r="AI131" s="56">
        <f>RSQ(AV131:AX131,AV130:AX130)</f>
        <v>0.73928786964393478</v>
      </c>
      <c r="AJ131" s="109">
        <f>SLOPE(AV131:AX131,AV130:AX130)</f>
        <v>-3.5204184268758771E-7</v>
      </c>
      <c r="AK131" s="56">
        <f>INTERCEPT(AV131:AX131,AV130:AX130)</f>
        <v>0.96083886541943275</v>
      </c>
      <c r="AL131" s="56">
        <f>INDEX(LINEST(LN(AV131:AX131),LN(AV130:AX130),TRUE,TRUE),3,1)</f>
        <v>0.97181176353256282</v>
      </c>
      <c r="AM131" s="56">
        <f>INDEX(LINEST(LN(AV131:AX131),LN(AV130:AX130)),1)</f>
        <v>-1.7605154868915986E-2</v>
      </c>
      <c r="AN131" s="56">
        <f>EXP(INDEX(LINEST(LN(AV131:AX131),LN(AV130:AX130)),1,2))</f>
        <v>1.1190767620797024</v>
      </c>
      <c r="AO131" s="82">
        <f>INDEX(LINEST((AV131:AX131),LN(AV130:AX130),TRUE,TRUE),3,1)</f>
        <v>0.97181176353256282</v>
      </c>
      <c r="AP131" s="82">
        <f>INDEX(LINEST((AV131:AX131),LN(AV130:AX130)),1)</f>
        <v>-1.6543225383398377E-2</v>
      </c>
      <c r="AQ131" s="83">
        <f>INDEX(LINEST(LN(AV131:AX131),SQRT(AV130:AX130),TRUE,TRUE),3,1)</f>
        <v>0.88659126363864871</v>
      </c>
      <c r="AR131" s="116">
        <f>INDEX(LINEST(LN(AV131:AX131),SQRT((AV130:AX130))),1)</f>
        <v>-1.9201894334195315E-4</v>
      </c>
      <c r="AS131" s="84">
        <f>INDEX(LINEST(1/(AV131:AX131),1/(SQRT(AV130:AX130)),TRUE,TRUE),3,1)</f>
        <v>0.99608395837045138</v>
      </c>
      <c r="AT131" s="84">
        <f>INDEX(LINEST(1/(AV131:AX131),1/SQRT(AV130:AX130)),1)</f>
        <v>-4.919564619163495</v>
      </c>
      <c r="AU131" s="3"/>
      <c r="AV131" s="53">
        <v>0.97</v>
      </c>
      <c r="AW131" s="53">
        <v>0.91</v>
      </c>
      <c r="AX131" s="53">
        <v>0.91</v>
      </c>
      <c r="AY131" s="53"/>
      <c r="AZ131" s="53"/>
      <c r="BA131" s="53"/>
      <c r="BB131" s="53"/>
      <c r="BC131" s="53"/>
      <c r="BD131" s="53"/>
      <c r="BE131" s="53"/>
      <c r="BF131" s="53"/>
      <c r="BG131" s="53"/>
      <c r="BH131" s="53"/>
      <c r="BI131" s="53"/>
      <c r="BJ131" s="53"/>
      <c r="BK131" s="53"/>
      <c r="BL131" s="53"/>
      <c r="BM131" s="53"/>
      <c r="BN131" s="53"/>
      <c r="BO131" s="53"/>
      <c r="BP131" s="53"/>
      <c r="BQ131" s="53"/>
      <c r="BR131" s="53"/>
      <c r="BS131" s="53"/>
      <c r="BT131" s="53"/>
      <c r="BU131" s="53"/>
      <c r="BV131" s="53"/>
      <c r="BW131" s="53"/>
      <c r="BX131" s="53"/>
      <c r="BY131" s="53"/>
      <c r="BZ131" s="53"/>
      <c r="CA131" s="53"/>
      <c r="CB131" s="53"/>
      <c r="CC131" s="53"/>
      <c r="CD131" s="53"/>
      <c r="CE131" s="53"/>
      <c r="CF131" s="53"/>
      <c r="CG131" s="53"/>
      <c r="CH131" s="53"/>
      <c r="CI131" s="53"/>
      <c r="CJ131" s="53"/>
      <c r="CK131" s="53"/>
      <c r="CL131" s="53"/>
      <c r="CM131" s="53"/>
      <c r="CN131" s="53"/>
      <c r="CO131" s="53"/>
      <c r="CP131" s="53"/>
      <c r="CQ131" s="53"/>
      <c r="CR131" s="1"/>
      <c r="CS131" s="1"/>
      <c r="CT131" s="1"/>
      <c r="CU131" s="1"/>
    </row>
    <row r="132" spans="1:99" s="13" customFormat="1" ht="12" customHeight="1" x14ac:dyDescent="0.2">
      <c r="A132" s="65">
        <v>43900</v>
      </c>
      <c r="B132" s="1"/>
      <c r="C132" s="1"/>
      <c r="D132" s="60"/>
      <c r="E132" s="76"/>
      <c r="F132" s="60"/>
      <c r="G132" s="60"/>
      <c r="H132" s="60"/>
      <c r="I132" s="60"/>
      <c r="J132" s="60"/>
      <c r="K132" s="64"/>
      <c r="L132" s="64"/>
      <c r="M132" s="60"/>
      <c r="N132" s="61"/>
      <c r="O132" s="60"/>
      <c r="P132" s="60"/>
      <c r="Q132" s="60"/>
      <c r="R132" s="60"/>
      <c r="S132" s="60"/>
      <c r="T132" s="59"/>
      <c r="U132" s="60"/>
      <c r="V132" s="59"/>
      <c r="W132" s="60"/>
      <c r="X132" s="60"/>
      <c r="Y132" s="76"/>
      <c r="Z132" s="60"/>
      <c r="AA132" s="76"/>
      <c r="AB132" s="60"/>
      <c r="AC132" s="56"/>
      <c r="AD132" s="60"/>
      <c r="AE132" s="60"/>
      <c r="AF132" s="80"/>
      <c r="AG132" s="56"/>
      <c r="AH132" s="4"/>
      <c r="AI132" s="56"/>
      <c r="AJ132" s="109"/>
      <c r="AK132" s="56"/>
      <c r="AL132" s="56"/>
      <c r="AM132" s="56"/>
      <c r="AN132" s="56"/>
      <c r="AO132" s="82"/>
      <c r="AP132" s="82"/>
      <c r="AQ132" s="83"/>
      <c r="AR132" s="116"/>
      <c r="AS132" s="84"/>
      <c r="AT132" s="84"/>
      <c r="AU132" s="3"/>
      <c r="AV132" s="25">
        <v>30</v>
      </c>
      <c r="AW132" s="25">
        <f>20*60*60</f>
        <v>72000</v>
      </c>
      <c r="AX132" s="25">
        <f>7*24*60*60</f>
        <v>604800</v>
      </c>
      <c r="AY132" s="53"/>
      <c r="AZ132" s="53"/>
      <c r="BA132" s="53"/>
      <c r="BB132" s="53"/>
      <c r="BC132" s="53"/>
      <c r="BD132" s="53"/>
      <c r="BE132" s="53"/>
      <c r="BF132" s="53"/>
      <c r="BG132" s="53"/>
      <c r="BH132" s="53"/>
      <c r="BI132" s="53"/>
      <c r="BJ132" s="53"/>
      <c r="BK132" s="53"/>
      <c r="BL132" s="53"/>
      <c r="BM132" s="53"/>
      <c r="BN132" s="53"/>
      <c r="BO132" s="53"/>
      <c r="BP132" s="53"/>
      <c r="BQ132" s="53"/>
      <c r="BR132" s="53"/>
      <c r="BS132" s="53"/>
      <c r="BT132" s="53"/>
      <c r="BU132" s="53"/>
      <c r="BV132" s="53"/>
      <c r="BW132" s="53"/>
      <c r="BX132" s="53"/>
      <c r="BY132" s="53"/>
      <c r="BZ132" s="53"/>
      <c r="CA132" s="53"/>
      <c r="CB132" s="53"/>
      <c r="CC132" s="53"/>
      <c r="CD132" s="53"/>
      <c r="CE132" s="53"/>
      <c r="CF132" s="53"/>
      <c r="CG132" s="53"/>
      <c r="CH132" s="53"/>
      <c r="CI132" s="53"/>
      <c r="CJ132" s="53"/>
      <c r="CK132" s="53"/>
      <c r="CL132" s="53"/>
      <c r="CM132" s="53"/>
      <c r="CN132" s="53"/>
      <c r="CO132" s="53"/>
      <c r="CP132" s="53"/>
      <c r="CQ132" s="53"/>
      <c r="CR132" s="1"/>
      <c r="CS132" s="1"/>
      <c r="CT132" s="1"/>
      <c r="CU132" s="1"/>
    </row>
    <row r="133" spans="1:99" s="13" customFormat="1" ht="12" customHeight="1" x14ac:dyDescent="0.2">
      <c r="A133" s="65">
        <v>43900</v>
      </c>
      <c r="B133" s="1" t="s">
        <v>417</v>
      </c>
      <c r="C133" s="1" t="s">
        <v>418</v>
      </c>
      <c r="D133" s="60">
        <v>2018</v>
      </c>
      <c r="E133" s="76">
        <v>1</v>
      </c>
      <c r="F133" s="60">
        <v>28</v>
      </c>
      <c r="G133" s="60">
        <v>28</v>
      </c>
      <c r="H133" s="60" t="s">
        <v>22</v>
      </c>
      <c r="I133" s="60" t="s">
        <v>729</v>
      </c>
      <c r="J133" s="60" t="s">
        <v>16</v>
      </c>
      <c r="K133" s="60">
        <f>IF(J133="syllables",1,IF(J133="trigrams",2,IF(J133="strings",3,IF(J133="visual array",4,IF(J133="characters",5,IF(J133="letters",6,IF(J133="free forms",7,IF(J133="odors",8,IF(J133="words",9,IF(J133="pictures",10,IF(J133="object pictures",11,IF(J133="faces",12,IF(J133="names",13,IF(J133="idioms",14,IF(J133="grades",15,IF(J133="syllable-digit pairs",16,IF(J133="trigram-word pairs",17,IF(J133="word-digit pairs",18,IF(J133="English-Swahili pairs",19,IF(J133="spatial position",20,IF(J133="word pairs",21,IF(J133="word triads",22,IF(J133="generated words",23,IF(J133="word definition pairs",24,IF(J133="math problems",25,IF(J133="famous faces",26,IF(J133="famous names",27,IF(J133="famous voices",28,IF(J133="television programs",29,IF(J133="race horses",30,IF(J133="new vocabulary",31,IF(J133="sentences",32,IF(J133="concepts",33,IF(J133="ad slides",34,IF(J133="scenes",35,IF(J133="famous scenes",36,IF(J133="poems",37,IF(J133="walk",38,IF(J133="faces and events",39,IF(J133="events and names",40,IF(J133="flashbulb",41,IF(J133="stories",42,IF(J133="course material",43,IF(J133="autobiographical",44,IF(J133="novels",45,IF(J133="public events",46,"99"))))))))))))))))))))))))))))))))))))))))))))))</f>
        <v>9</v>
      </c>
      <c r="L133" s="60">
        <f>IF(J133="syllables",1,IF(J133="trigrams",1,IF(J133="strings",1,IF(J133="visual array",1,IF(J133="characters",1,IF(J133="letters",1,IF(J133="free forms",1,IF(J133="odors",2,IF(J133="words",2,IF(J133="pictures",2,IF(J133="object pictures",2,IF(J133="faces",2,IF(J133="names",2,IF(J133="idioms","2",IF(J133="grades",2,IF(J133="syllable-digit pairs",3,IF(J133="trigram-word pairs",3,IF(J133="word-digit pairs",3,IF(J133="English-Swahili pairs",3,IF(J133="spatial position",3,IF(J133="word pairs",4,IF(J133="word triads",4,IF(J133="generated words",4,IF(J133="word definition pairs",4,IF(J133="math problems",4,IF(J133="famous faces",4,IF(J133="famous names",4,IF(J133="famous voices",4,IF(J133="television programs",4,IF(J133="race horses",4,IF(J133="new vocabulary",4,IF(J133="sentences",5,IF(J133="concepts",5,IF(J133="ad slides",5,IF(J133="scenes",5,IF(J133="famous scenes",5,IF(J133="poems",6,IF(J133="walk",6,IF(J133="faces and events",6,IF(J133="events and names",6,IF(J133="flashbulb",7,IF(J133="stories",7,IF(J133="course material",7,IF(J133="autobiographical",7,IF(J133="novels",7,IF(J133="public events",7,"99"))))))))))))))))))))))))))))))))))))))))))))))</f>
        <v>2</v>
      </c>
      <c r="M133" s="60">
        <v>0</v>
      </c>
      <c r="N133" s="60">
        <v>1</v>
      </c>
      <c r="O133" s="60">
        <v>0</v>
      </c>
      <c r="P133" s="60"/>
      <c r="Q133" s="60" t="s">
        <v>174</v>
      </c>
      <c r="R133" s="60">
        <f>IF(Q133="Free Recall",1,IF(Q133="Cued Recall",2,IF(Q133="Recognition",3,IF(Q133="Multiple Choice",4,IF(Q133="Savings",5,IF(Q133="Stem Completion",6,IF(Q133="Fragment Completion",7,IF(Q133="anagram solution",8,IF(Q133="Matching",9,IF(Q133="Problem Solving",10,"99"))))))))))</f>
        <v>1</v>
      </c>
      <c r="S133" s="60" t="s">
        <v>49</v>
      </c>
      <c r="T133" s="59" t="s">
        <v>581</v>
      </c>
      <c r="U133" s="60">
        <f>IF(T133="within",1,0)</f>
        <v>1</v>
      </c>
      <c r="V133" s="59">
        <v>15</v>
      </c>
      <c r="W133" s="60">
        <f>F133*V133</f>
        <v>420</v>
      </c>
      <c r="X133" s="60">
        <v>3</v>
      </c>
      <c r="Y133" s="76">
        <f>AV132</f>
        <v>30</v>
      </c>
      <c r="Z133" s="60" t="s">
        <v>97</v>
      </c>
      <c r="AA133" s="60">
        <v>604800</v>
      </c>
      <c r="AB133" s="60" t="str">
        <f>IF(AA133&lt;60,"1",IF(AA133&lt;=43200,"2",IF(AA133&lt;=777600,"3","4")))</f>
        <v>3</v>
      </c>
      <c r="AC133" s="56">
        <f>AVERAGE(AV132:DA132)</f>
        <v>225610</v>
      </c>
      <c r="AD133" s="60" t="str">
        <f>IF(AC133&lt;60,"1",IF(AC133&lt;=43200,"2",IF(AC133&lt;=777600,"3","4")))</f>
        <v>3</v>
      </c>
      <c r="AE133" s="76">
        <f>AA133-Y133</f>
        <v>604770</v>
      </c>
      <c r="AF133" s="80">
        <f>AV133</f>
        <v>0.59</v>
      </c>
      <c r="AG133" s="56">
        <f>((AW133-AV133)+(AX133-AW133))/2</f>
        <v>-0.12</v>
      </c>
      <c r="AH133" s="4"/>
      <c r="AI133" s="56">
        <f>RSQ(AV133:AX133,AV132:AX132)</f>
        <v>0.76135631515335134</v>
      </c>
      <c r="AJ133" s="109">
        <f>SLOPE(AV133:AX133,AV132:AX132)</f>
        <v>-3.1841764810927266E-7</v>
      </c>
      <c r="AK133" s="56">
        <f>INTERCEPT(AV133:AX133,AV132:AX132)</f>
        <v>0.53517153892326641</v>
      </c>
      <c r="AL133" s="56">
        <f>INDEX(LINEST(LN(AV133:AX133),LN(AV132:AX132),TRUE,TRUE),3,1)</f>
        <v>0.91458359237472275</v>
      </c>
      <c r="AM133" s="56">
        <f>INDEX(LINEST(LN(AV133:AX133),LN(AV132:AX132)),1)</f>
        <v>-4.7866769554813511E-2</v>
      </c>
      <c r="AN133" s="56">
        <f>EXP(INDEX(LINEST(LN(AV133:AX133),LN(AV132:AX132)),1,2))</f>
        <v>0.70690843238759249</v>
      </c>
      <c r="AO133" s="82">
        <f>INDEX(LINEST((AV133:AX133),LN(AV132:AX132),TRUE,TRUE),3,1)</f>
        <v>0.95139836548777335</v>
      </c>
      <c r="AP133" s="82">
        <f>INDEX(LINEST((AV133:AX133),LN(AV132:AX132)),1)</f>
        <v>-2.253650948286183E-2</v>
      </c>
      <c r="AQ133" s="83">
        <f>INDEX(LINEST(LN(AV133:AX133),SQRT(AV132:AX132),TRUE,TRUE),3,1)</f>
        <v>0.9590044639595211</v>
      </c>
      <c r="AR133" s="116">
        <f>INDEX(LINEST(LN(AV133:AX133),SQRT((AV132:AX132))),1)</f>
        <v>-6.514032420287312E-4</v>
      </c>
      <c r="AS133" s="84">
        <f>INDEX(LINEST(1/(AV133:AX133),1/(SQRT(AV132:AX132)),TRUE,TRUE),3,1)</f>
        <v>0.71308804598786257</v>
      </c>
      <c r="AT133" s="84">
        <f>INDEX(LINEST(1/(AV133:AX133),1/SQRT(AV132:AX132)),1)</f>
        <v>-4.7265791305022944</v>
      </c>
      <c r="AU133" s="3"/>
      <c r="AV133" s="53">
        <v>0.59</v>
      </c>
      <c r="AW133" s="53">
        <v>0.45</v>
      </c>
      <c r="AX133" s="53">
        <v>0.35</v>
      </c>
      <c r="AY133" s="53"/>
      <c r="AZ133" s="53"/>
      <c r="BA133" s="53"/>
      <c r="BB133" s="53"/>
      <c r="BC133" s="53"/>
      <c r="BD133" s="53"/>
      <c r="BE133" s="53"/>
      <c r="BF133" s="53"/>
      <c r="BG133" s="53"/>
      <c r="BH133" s="53"/>
      <c r="BI133" s="53"/>
      <c r="BJ133" s="53"/>
      <c r="BK133" s="53"/>
      <c r="BL133" s="53"/>
      <c r="BM133" s="53"/>
      <c r="BN133" s="53"/>
      <c r="BO133" s="53"/>
      <c r="BP133" s="53"/>
      <c r="BQ133" s="53"/>
      <c r="BR133" s="53"/>
      <c r="BS133" s="53"/>
      <c r="BT133" s="53"/>
      <c r="BU133" s="53"/>
      <c r="BV133" s="53"/>
      <c r="BW133" s="53"/>
      <c r="BX133" s="53"/>
      <c r="BY133" s="53"/>
      <c r="BZ133" s="53"/>
      <c r="CA133" s="53"/>
      <c r="CB133" s="53"/>
      <c r="CC133" s="53"/>
      <c r="CD133" s="53"/>
      <c r="CE133" s="53"/>
      <c r="CF133" s="53"/>
      <c r="CG133" s="53"/>
      <c r="CH133" s="53"/>
      <c r="CI133" s="53"/>
      <c r="CJ133" s="53"/>
      <c r="CK133" s="53"/>
      <c r="CL133" s="53"/>
      <c r="CM133" s="53"/>
      <c r="CN133" s="53"/>
      <c r="CO133" s="53"/>
      <c r="CP133" s="53"/>
      <c r="CQ133" s="53"/>
      <c r="CR133" s="1"/>
      <c r="CS133" s="1"/>
      <c r="CT133" s="1"/>
      <c r="CU133" s="1"/>
    </row>
    <row r="134" spans="1:99" s="13" customFormat="1" ht="12" customHeight="1" x14ac:dyDescent="0.2">
      <c r="A134" s="65">
        <v>43900</v>
      </c>
      <c r="B134" s="1"/>
      <c r="C134" s="1"/>
      <c r="D134" s="60"/>
      <c r="E134" s="76"/>
      <c r="F134" s="60"/>
      <c r="G134" s="60"/>
      <c r="H134" s="60"/>
      <c r="I134" s="60"/>
      <c r="J134" s="60"/>
      <c r="K134" s="64"/>
      <c r="L134" s="64"/>
      <c r="M134" s="60"/>
      <c r="N134" s="61"/>
      <c r="O134" s="60"/>
      <c r="P134" s="60"/>
      <c r="Q134" s="60"/>
      <c r="R134" s="60"/>
      <c r="S134" s="60"/>
      <c r="T134" s="59"/>
      <c r="U134" s="60"/>
      <c r="V134" s="59"/>
      <c r="W134" s="60"/>
      <c r="X134" s="60"/>
      <c r="Y134" s="76"/>
      <c r="Z134" s="60"/>
      <c r="AA134" s="76"/>
      <c r="AB134" s="60"/>
      <c r="AC134" s="56"/>
      <c r="AD134" s="60"/>
      <c r="AE134" s="60"/>
      <c r="AF134" s="80"/>
      <c r="AG134" s="56"/>
      <c r="AH134" s="4"/>
      <c r="AI134" s="56"/>
      <c r="AJ134" s="109"/>
      <c r="AK134" s="56"/>
      <c r="AL134" s="56"/>
      <c r="AM134" s="56"/>
      <c r="AN134" s="56"/>
      <c r="AO134" s="82"/>
      <c r="AP134" s="82"/>
      <c r="AQ134" s="83"/>
      <c r="AR134" s="116"/>
      <c r="AS134" s="84"/>
      <c r="AT134" s="84"/>
      <c r="AU134" s="3"/>
      <c r="AV134" s="25">
        <v>30</v>
      </c>
      <c r="AW134" s="25">
        <f>20*60*60</f>
        <v>72000</v>
      </c>
      <c r="AX134" s="25">
        <f>7*24*60*60</f>
        <v>604800</v>
      </c>
      <c r="AY134" s="53"/>
      <c r="AZ134" s="53"/>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3"/>
      <c r="CA134" s="53"/>
      <c r="CB134" s="53"/>
      <c r="CC134" s="53"/>
      <c r="CD134" s="53"/>
      <c r="CE134" s="53"/>
      <c r="CF134" s="53"/>
      <c r="CG134" s="53"/>
      <c r="CH134" s="53"/>
      <c r="CI134" s="53"/>
      <c r="CJ134" s="53"/>
      <c r="CK134" s="53"/>
      <c r="CL134" s="53"/>
      <c r="CM134" s="53"/>
      <c r="CN134" s="53"/>
      <c r="CO134" s="53"/>
      <c r="CP134" s="53"/>
      <c r="CQ134" s="53"/>
      <c r="CR134" s="1"/>
      <c r="CS134" s="1"/>
      <c r="CT134" s="1"/>
      <c r="CU134" s="1"/>
    </row>
    <row r="135" spans="1:99" s="13" customFormat="1" ht="12" customHeight="1" x14ac:dyDescent="0.2">
      <c r="A135" s="65">
        <v>43900</v>
      </c>
      <c r="B135" s="1" t="s">
        <v>417</v>
      </c>
      <c r="C135" s="1" t="s">
        <v>418</v>
      </c>
      <c r="D135" s="60">
        <v>2018</v>
      </c>
      <c r="E135" s="76">
        <v>1</v>
      </c>
      <c r="F135" s="60">
        <v>28</v>
      </c>
      <c r="G135" s="60">
        <v>28</v>
      </c>
      <c r="H135" s="60" t="s">
        <v>22</v>
      </c>
      <c r="I135" s="60" t="s">
        <v>731</v>
      </c>
      <c r="J135" s="60" t="s">
        <v>16</v>
      </c>
      <c r="K135" s="60">
        <f>IF(J135="syllables",1,IF(J135="trigrams",2,IF(J135="strings",3,IF(J135="visual array",4,IF(J135="characters",5,IF(J135="letters",6,IF(J135="free forms",7,IF(J135="odors",8,IF(J135="words",9,IF(J135="pictures",10,IF(J135="object pictures",11,IF(J135="faces",12,IF(J135="names",13,IF(J135="idioms",14,IF(J135="grades",15,IF(J135="syllable-digit pairs",16,IF(J135="trigram-word pairs",17,IF(J135="word-digit pairs",18,IF(J135="English-Swahili pairs",19,IF(J135="spatial position",20,IF(J135="word pairs",21,IF(J135="word triads",22,IF(J135="generated words",23,IF(J135="word definition pairs",24,IF(J135="math problems",25,IF(J135="famous faces",26,IF(J135="famous names",27,IF(J135="famous voices",28,IF(J135="television programs",29,IF(J135="race horses",30,IF(J135="new vocabulary",31,IF(J135="sentences",32,IF(J135="concepts",33,IF(J135="ad slides",34,IF(J135="scenes",35,IF(J135="famous scenes",36,IF(J135="poems",37,IF(J135="walk",38,IF(J135="faces and events",39,IF(J135="events and names",40,IF(J135="flashbulb",41,IF(J135="stories",42,IF(J135="course material",43,IF(J135="autobiographical",44,IF(J135="novels",45,IF(J135="public events",46,"99"))))))))))))))))))))))))))))))))))))))))))))))</f>
        <v>9</v>
      </c>
      <c r="L135" s="60">
        <f>IF(J135="syllables",1,IF(J135="trigrams",1,IF(J135="strings",1,IF(J135="visual array",1,IF(J135="characters",1,IF(J135="letters",1,IF(J135="free forms",1,IF(J135="odors",2,IF(J135="words",2,IF(J135="pictures",2,IF(J135="object pictures",2,IF(J135="faces",2,IF(J135="names",2,IF(J135="idioms","2",IF(J135="grades",2,IF(J135="syllable-digit pairs",3,IF(J135="trigram-word pairs",3,IF(J135="word-digit pairs",3,IF(J135="English-Swahili pairs",3,IF(J135="spatial position",3,IF(J135="word pairs",4,IF(J135="word triads",4,IF(J135="generated words",4,IF(J135="word definition pairs",4,IF(J135="math problems",4,IF(J135="famous faces",4,IF(J135="famous names",4,IF(J135="famous voices",4,IF(J135="television programs",4,IF(J135="race horses",4,IF(J135="new vocabulary",4,IF(J135="sentences",5,IF(J135="concepts",5,IF(J135="ad slides",5,IF(J135="scenes",5,IF(J135="famous scenes",5,IF(J135="poems",6,IF(J135="walk",6,IF(J135="faces and events",6,IF(J135="events and names",6,IF(J135="flashbulb",7,IF(J135="stories",7,IF(J135="course material",7,IF(J135="autobiographical",7,IF(J135="novels",7,IF(J135="public events",7,"99"))))))))))))))))))))))))))))))))))))))))))))))</f>
        <v>2</v>
      </c>
      <c r="M135" s="60">
        <v>0</v>
      </c>
      <c r="N135" s="60">
        <v>1</v>
      </c>
      <c r="O135" s="60">
        <v>0</v>
      </c>
      <c r="P135" s="60"/>
      <c r="Q135" s="60" t="s">
        <v>174</v>
      </c>
      <c r="R135" s="60">
        <f>IF(Q135="Free Recall",1,IF(Q135="Cued Recall",2,IF(Q135="Recognition",3,IF(Q135="Multiple Choice",4,IF(Q135="Savings",5,IF(Q135="Stem Completion",6,IF(Q135="Fragment Completion",7,IF(Q135="anagram solution",8,IF(Q135="Matching",9,IF(Q135="Problem Solving",10,"99"))))))))))</f>
        <v>1</v>
      </c>
      <c r="S135" s="60" t="s">
        <v>49</v>
      </c>
      <c r="T135" s="59" t="s">
        <v>581</v>
      </c>
      <c r="U135" s="60">
        <f>IF(T135="within",1,0)</f>
        <v>1</v>
      </c>
      <c r="V135" s="59">
        <v>15</v>
      </c>
      <c r="W135" s="60">
        <f>F135*V135</f>
        <v>420</v>
      </c>
      <c r="X135" s="60">
        <v>3</v>
      </c>
      <c r="Y135" s="76">
        <f>AV134</f>
        <v>30</v>
      </c>
      <c r="Z135" s="60" t="s">
        <v>97</v>
      </c>
      <c r="AA135" s="60">
        <v>604800</v>
      </c>
      <c r="AB135" s="60" t="str">
        <f>IF(AA135&lt;60,"1",IF(AA135&lt;=43200,"2",IF(AA135&lt;=777600,"3","4")))</f>
        <v>3</v>
      </c>
      <c r="AC135" s="56">
        <f>AVERAGE(AV134:DA134)</f>
        <v>225610</v>
      </c>
      <c r="AD135" s="60" t="str">
        <f>IF(AC135&lt;60,"1",IF(AC135&lt;=43200,"2",IF(AC135&lt;=777600,"3","4")))</f>
        <v>3</v>
      </c>
      <c r="AE135" s="76">
        <f>AA135-Y135</f>
        <v>604770</v>
      </c>
      <c r="AF135" s="80">
        <f>AV135</f>
        <v>0.81</v>
      </c>
      <c r="AG135" s="56">
        <f>((AW135-AV135)+(AX135-AW135))/2</f>
        <v>-0.11000000000000004</v>
      </c>
      <c r="AH135" s="4"/>
      <c r="AI135" s="56">
        <f>RSQ(AV135:AX135,AV134:AX134)</f>
        <v>0.99971380347654959</v>
      </c>
      <c r="AJ135" s="109">
        <f>SLOPE(AV135:AX135,AV134:AX134)</f>
        <v>-3.6108686463147113E-7</v>
      </c>
      <c r="AK135" s="56">
        <f>INTERCEPT(AV135:AX135,AV134:AX134)</f>
        <v>0.80813147419617293</v>
      </c>
      <c r="AL135" s="56">
        <f>INDEX(LINEST(LN(AV135:AX135),LN(AV134:AX134),TRUE,TRUE),3,1)</f>
        <v>0.55271415861195661</v>
      </c>
      <c r="AM135" s="56">
        <f>INDEX(LINEST(LN(AV135:AX135),LN(AV134:AX134)),1)</f>
        <v>-2.4665227897221281E-2</v>
      </c>
      <c r="AN135" s="56">
        <f>EXP(INDEX(LINEST(LN(AV135:AX135),LN(AV134:AX134)),1,2))</f>
        <v>0.90523023325466356</v>
      </c>
      <c r="AO135" s="82">
        <f>INDEX(LINEST((AV135:AX135),LN(AV134:AX134),TRUE,TRUE),3,1)</f>
        <v>0.56942424372799938</v>
      </c>
      <c r="AP135" s="82">
        <f>INDEX(LINEST((AV135:AX135),LN(AV134:AX134)),1)</f>
        <v>-1.7254171935692349E-2</v>
      </c>
      <c r="AQ135" s="83">
        <f>INDEX(LINEST(LN(AV135:AX135),SQRT(AV134:AX134),TRUE,TRUE),3,1)</f>
        <v>0.94708433466905861</v>
      </c>
      <c r="AR135" s="116">
        <f>INDEX(LINEST(LN(AV135:AX135),SQRT((AV134:AX134))),1)</f>
        <v>-4.2908798093960204E-4</v>
      </c>
      <c r="AS135" s="84">
        <f>INDEX(LINEST(1/(AV135:AX135),1/(SQRT(AV134:AX134)),TRUE,TRUE),3,1)</f>
        <v>0.34637375696104095</v>
      </c>
      <c r="AT135" s="84">
        <f>INDEX(LINEST(1/(AV135:AX135),1/SQRT(AV134:AX134)),1)</f>
        <v>-1.4332221243604191</v>
      </c>
      <c r="AU135" s="3"/>
      <c r="AV135" s="53">
        <v>0.81</v>
      </c>
      <c r="AW135" s="53">
        <v>0.78</v>
      </c>
      <c r="AX135" s="53">
        <v>0.59</v>
      </c>
      <c r="AY135" s="53"/>
      <c r="AZ135" s="53"/>
      <c r="BA135" s="53"/>
      <c r="BB135" s="53"/>
      <c r="BC135" s="53"/>
      <c r="BD135" s="53"/>
      <c r="BE135" s="53"/>
      <c r="BF135" s="53"/>
      <c r="BG135" s="53"/>
      <c r="BH135" s="53"/>
      <c r="BI135" s="53"/>
      <c r="BJ135" s="53"/>
      <c r="BK135" s="53"/>
      <c r="BL135" s="53"/>
      <c r="BM135" s="53"/>
      <c r="BN135" s="53"/>
      <c r="BO135" s="53"/>
      <c r="BP135" s="53"/>
      <c r="BQ135" s="53"/>
      <c r="BR135" s="53"/>
      <c r="BS135" s="53"/>
      <c r="BT135" s="53"/>
      <c r="BU135" s="53"/>
      <c r="BV135" s="53"/>
      <c r="BW135" s="53"/>
      <c r="BX135" s="53"/>
      <c r="BY135" s="53"/>
      <c r="BZ135" s="53"/>
      <c r="CA135" s="53"/>
      <c r="CB135" s="53"/>
      <c r="CC135" s="53"/>
      <c r="CD135" s="53"/>
      <c r="CE135" s="53"/>
      <c r="CF135" s="53"/>
      <c r="CG135" s="53"/>
      <c r="CH135" s="53"/>
      <c r="CI135" s="53"/>
      <c r="CJ135" s="53"/>
      <c r="CK135" s="53"/>
      <c r="CL135" s="53"/>
      <c r="CM135" s="53"/>
      <c r="CN135" s="53"/>
      <c r="CO135" s="53"/>
      <c r="CP135" s="53"/>
      <c r="CQ135" s="53"/>
      <c r="CR135" s="1"/>
      <c r="CS135" s="1"/>
      <c r="CT135" s="1"/>
      <c r="CU135" s="1"/>
    </row>
    <row r="136" spans="1:99" s="13" customFormat="1" ht="12" customHeight="1" x14ac:dyDescent="0.2">
      <c r="A136" s="65">
        <v>43900</v>
      </c>
      <c r="B136" s="1"/>
      <c r="C136" s="1"/>
      <c r="D136" s="60"/>
      <c r="E136" s="76"/>
      <c r="F136" s="60"/>
      <c r="G136" s="60"/>
      <c r="H136" s="60"/>
      <c r="I136" s="60"/>
      <c r="J136" s="60"/>
      <c r="K136" s="64"/>
      <c r="L136" s="64"/>
      <c r="M136" s="60"/>
      <c r="N136" s="61"/>
      <c r="O136" s="60"/>
      <c r="P136" s="60"/>
      <c r="Q136" s="60"/>
      <c r="R136" s="60"/>
      <c r="S136" s="60"/>
      <c r="T136" s="59"/>
      <c r="U136" s="60"/>
      <c r="V136" s="59"/>
      <c r="W136" s="60"/>
      <c r="X136" s="60"/>
      <c r="Y136" s="76"/>
      <c r="Z136" s="60"/>
      <c r="AA136" s="76"/>
      <c r="AB136" s="60"/>
      <c r="AC136" s="56"/>
      <c r="AD136" s="60"/>
      <c r="AE136" s="60"/>
      <c r="AF136" s="80"/>
      <c r="AG136" s="56"/>
      <c r="AH136" s="4"/>
      <c r="AI136" s="56"/>
      <c r="AJ136" s="109"/>
      <c r="AK136" s="56"/>
      <c r="AL136" s="56"/>
      <c r="AM136" s="56"/>
      <c r="AN136" s="56"/>
      <c r="AO136" s="82"/>
      <c r="AP136" s="82"/>
      <c r="AQ136" s="83"/>
      <c r="AR136" s="116"/>
      <c r="AS136" s="84"/>
      <c r="AT136" s="84"/>
      <c r="AU136" s="3"/>
      <c r="AV136" s="25">
        <v>30</v>
      </c>
      <c r="AW136" s="25">
        <f>20*60*60</f>
        <v>72000</v>
      </c>
      <c r="AX136" s="25">
        <f>7*24*60*60</f>
        <v>604800</v>
      </c>
      <c r="AY136" s="53"/>
      <c r="AZ136" s="53"/>
      <c r="BA136" s="53"/>
      <c r="BB136" s="53"/>
      <c r="BC136" s="53"/>
      <c r="BD136" s="53"/>
      <c r="BE136" s="53"/>
      <c r="BF136" s="53"/>
      <c r="BG136" s="53"/>
      <c r="BH136" s="53"/>
      <c r="BI136" s="53"/>
      <c r="BJ136" s="53"/>
      <c r="BK136" s="53"/>
      <c r="BL136" s="53"/>
      <c r="BM136" s="53"/>
      <c r="BN136" s="53"/>
      <c r="BO136" s="53"/>
      <c r="BP136" s="53"/>
      <c r="BQ136" s="53"/>
      <c r="BR136" s="53"/>
      <c r="BS136" s="53"/>
      <c r="BT136" s="53"/>
      <c r="BU136" s="53"/>
      <c r="BV136" s="53"/>
      <c r="BW136" s="53"/>
      <c r="BX136" s="53"/>
      <c r="BY136" s="53"/>
      <c r="BZ136" s="53"/>
      <c r="CA136" s="53"/>
      <c r="CB136" s="53"/>
      <c r="CC136" s="53"/>
      <c r="CD136" s="53"/>
      <c r="CE136" s="53"/>
      <c r="CF136" s="53"/>
      <c r="CG136" s="53"/>
      <c r="CH136" s="53"/>
      <c r="CI136" s="53"/>
      <c r="CJ136" s="53"/>
      <c r="CK136" s="53"/>
      <c r="CL136" s="53"/>
      <c r="CM136" s="53"/>
      <c r="CN136" s="53"/>
      <c r="CO136" s="53"/>
      <c r="CP136" s="53"/>
      <c r="CQ136" s="53"/>
      <c r="CR136" s="1"/>
      <c r="CS136" s="1"/>
      <c r="CT136" s="1"/>
      <c r="CU136" s="1"/>
    </row>
    <row r="137" spans="1:99" s="13" customFormat="1" ht="12" customHeight="1" x14ac:dyDescent="0.2">
      <c r="A137" s="65">
        <v>43900</v>
      </c>
      <c r="B137" s="1" t="s">
        <v>417</v>
      </c>
      <c r="C137" s="1" t="s">
        <v>418</v>
      </c>
      <c r="D137" s="60">
        <v>2018</v>
      </c>
      <c r="E137" s="76">
        <v>1</v>
      </c>
      <c r="F137" s="60">
        <v>28</v>
      </c>
      <c r="G137" s="60">
        <v>28</v>
      </c>
      <c r="H137" s="60" t="s">
        <v>22</v>
      </c>
      <c r="I137" s="60" t="s">
        <v>730</v>
      </c>
      <c r="J137" s="60" t="s">
        <v>16</v>
      </c>
      <c r="K137" s="60">
        <f>IF(J137="syllables",1,IF(J137="trigrams",2,IF(J137="strings",3,IF(J137="visual array",4,IF(J137="characters",5,IF(J137="letters",6,IF(J137="free forms",7,IF(J137="odors",8,IF(J137="words",9,IF(J137="pictures",10,IF(J137="object pictures",11,IF(J137="faces",12,IF(J137="names",13,IF(J137="idioms",14,IF(J137="grades",15,IF(J137="syllable-digit pairs",16,IF(J137="trigram-word pairs",17,IF(J137="word-digit pairs",18,IF(J137="English-Swahili pairs",19,IF(J137="spatial position",20,IF(J137="word pairs",21,IF(J137="word triads",22,IF(J137="generated words",23,IF(J137="word definition pairs",24,IF(J137="math problems",25,IF(J137="famous faces",26,IF(J137="famous names",27,IF(J137="famous voices",28,IF(J137="television programs",29,IF(J137="race horses",30,IF(J137="new vocabulary",31,IF(J137="sentences",32,IF(J137="concepts",33,IF(J137="ad slides",34,IF(J137="scenes",35,IF(J137="famous scenes",36,IF(J137="poems",37,IF(J137="walk",38,IF(J137="faces and events",39,IF(J137="events and names",40,IF(J137="flashbulb",41,IF(J137="stories",42,IF(J137="course material",43,IF(J137="autobiographical",44,IF(J137="novels",45,IF(J137="public events",46,"99"))))))))))))))))))))))))))))))))))))))))))))))</f>
        <v>9</v>
      </c>
      <c r="L137" s="60">
        <f>IF(J137="syllables",1,IF(J137="trigrams",1,IF(J137="strings",1,IF(J137="visual array",1,IF(J137="characters",1,IF(J137="letters",1,IF(J137="free forms",1,IF(J137="odors",2,IF(J137="words",2,IF(J137="pictures",2,IF(J137="object pictures",2,IF(J137="faces",2,IF(J137="names",2,IF(J137="idioms","2",IF(J137="grades",2,IF(J137="syllable-digit pairs",3,IF(J137="trigram-word pairs",3,IF(J137="word-digit pairs",3,IF(J137="English-Swahili pairs",3,IF(J137="spatial position",3,IF(J137="word pairs",4,IF(J137="word triads",4,IF(J137="generated words",4,IF(J137="word definition pairs",4,IF(J137="math problems",4,IF(J137="famous faces",4,IF(J137="famous names",4,IF(J137="famous voices",4,IF(J137="television programs",4,IF(J137="race horses",4,IF(J137="new vocabulary",4,IF(J137="sentences",5,IF(J137="concepts",5,IF(J137="ad slides",5,IF(J137="scenes",5,IF(J137="famous scenes",5,IF(J137="poems",6,IF(J137="walk",6,IF(J137="faces and events",6,IF(J137="events and names",6,IF(J137="flashbulb",7,IF(J137="stories",7,IF(J137="course material",7,IF(J137="autobiographical",7,IF(J137="novels",7,IF(J137="public events",7,"99"))))))))))))))))))))))))))))))))))))))))))))))</f>
        <v>2</v>
      </c>
      <c r="M137" s="60">
        <v>0</v>
      </c>
      <c r="N137" s="60">
        <v>1</v>
      </c>
      <c r="O137" s="60">
        <v>1</v>
      </c>
      <c r="P137" s="60"/>
      <c r="Q137" s="60" t="s">
        <v>174</v>
      </c>
      <c r="R137" s="60">
        <f>IF(Q137="Free Recall",1,IF(Q137="Cued Recall",2,IF(Q137="Recognition",3,IF(Q137="Multiple Choice",4,IF(Q137="Savings",5,IF(Q137="Stem Completion",6,IF(Q137="Fragment Completion",7,IF(Q137="anagram solution",8,IF(Q137="Matching",9,IF(Q137="Problem Solving",10,"99"))))))))))</f>
        <v>1</v>
      </c>
      <c r="S137" s="60" t="s">
        <v>49</v>
      </c>
      <c r="T137" s="59" t="s">
        <v>581</v>
      </c>
      <c r="U137" s="60">
        <f>IF(T137="within",1,0)</f>
        <v>1</v>
      </c>
      <c r="V137" s="59">
        <v>15</v>
      </c>
      <c r="W137" s="60">
        <f>F137*V137</f>
        <v>420</v>
      </c>
      <c r="X137" s="60">
        <v>3</v>
      </c>
      <c r="Y137" s="76">
        <f>AV136</f>
        <v>30</v>
      </c>
      <c r="Z137" s="60" t="s">
        <v>97</v>
      </c>
      <c r="AA137" s="60">
        <v>604800</v>
      </c>
      <c r="AB137" s="60" t="str">
        <f>IF(AA137&lt;60,"1",IF(AA137&lt;=43200,"2",IF(AA137&lt;=777600,"3","4")))</f>
        <v>3</v>
      </c>
      <c r="AC137" s="56">
        <f>AVERAGE(AV136:DA136)</f>
        <v>225610</v>
      </c>
      <c r="AD137" s="60" t="str">
        <f>IF(AC137&lt;60,"1",IF(AC137&lt;=43200,"2",IF(AC137&lt;=777600,"3","4")))</f>
        <v>3</v>
      </c>
      <c r="AE137" s="76">
        <f>AA137-Y137</f>
        <v>604770</v>
      </c>
      <c r="AF137" s="80">
        <f>AV137</f>
        <v>0.61</v>
      </c>
      <c r="AG137" s="56">
        <f>((AW137-AV137)+(AX137-AW137))/2</f>
        <v>-0.18</v>
      </c>
      <c r="AH137" s="4"/>
      <c r="AI137" s="56">
        <f>RSQ(AV137:AX137,AV136:AX136)</f>
        <v>0.90192766249110368</v>
      </c>
      <c r="AJ137" s="109">
        <f>SLOPE(AV137:AX137,AV136:AX136)</f>
        <v>-5.1985265418301002E-7</v>
      </c>
      <c r="AK137" s="56">
        <f>INTERCEPT(AV137:AX137,AV136:AX136)</f>
        <v>0.55728395731022884</v>
      </c>
      <c r="AL137" s="56">
        <f>INDEX(LINEST(LN(AV137:AX137),LN(AV136:AX136),TRUE,TRUE),3,1)</f>
        <v>0.74694610047542642</v>
      </c>
      <c r="AM137" s="56">
        <f>INDEX(LINEST(LN(AV137:AX137),LN(AV136:AX136)),1)</f>
        <v>-7.551750898022197E-2</v>
      </c>
      <c r="AN137" s="56">
        <f>EXP(INDEX(LINEST(LN(AV137:AX137),LN(AV136:AX136)),1,2))</f>
        <v>0.83240418377771341</v>
      </c>
      <c r="AO137" s="82">
        <f>INDEX(LINEST((AV137:AX137),LN(AV136:AX136),TRUE,TRUE),3,1)</f>
        <v>0.83806967117397957</v>
      </c>
      <c r="AP137" s="82">
        <f>INDEX(LINEST((AV137:AX137),LN(AV136:AX136)),1)</f>
        <v>-3.1727567220063667E-2</v>
      </c>
      <c r="AQ137" s="83">
        <f>INDEX(LINEST(LN(AV137:AX137),SQRT(AV136:AX136),TRUE,TRUE),3,1)</f>
        <v>0.99929022217941488</v>
      </c>
      <c r="AR137" s="116">
        <f>INDEX(LINEST(LN(AV137:AX137),SQRT((AV136:AX136))),1)</f>
        <v>-1.1608230638644745E-3</v>
      </c>
      <c r="AS137" s="84">
        <f>INDEX(LINEST(1/(AV137:AX137),1/(SQRT(AV136:AX136)),TRUE,TRUE),3,1)</f>
        <v>0.46760965721404768</v>
      </c>
      <c r="AT137" s="84">
        <f>INDEX(LINEST(1/(AV137:AX137),1/SQRT(AV136:AX136)),1)</f>
        <v>-8.141238485982548</v>
      </c>
      <c r="AU137" s="3"/>
      <c r="AV137" s="53">
        <v>0.61</v>
      </c>
      <c r="AW137" s="53">
        <v>0.46</v>
      </c>
      <c r="AX137" s="53">
        <v>0.25</v>
      </c>
      <c r="AY137" s="53"/>
      <c r="AZ137" s="53"/>
      <c r="BA137" s="53"/>
      <c r="BB137" s="53"/>
      <c r="BC137" s="53"/>
      <c r="BD137" s="53"/>
      <c r="BE137" s="53"/>
      <c r="BF137" s="53"/>
      <c r="BG137" s="53"/>
      <c r="BH137" s="53"/>
      <c r="BI137" s="53"/>
      <c r="BJ137" s="53"/>
      <c r="BK137" s="53"/>
      <c r="BL137" s="53"/>
      <c r="BM137" s="53"/>
      <c r="BN137" s="53"/>
      <c r="BO137" s="53"/>
      <c r="BP137" s="53"/>
      <c r="BQ137" s="53"/>
      <c r="BR137" s="53"/>
      <c r="BS137" s="53"/>
      <c r="BT137" s="53"/>
      <c r="BU137" s="53"/>
      <c r="BV137" s="53"/>
      <c r="BW137" s="53"/>
      <c r="BX137" s="53"/>
      <c r="BY137" s="53"/>
      <c r="BZ137" s="53"/>
      <c r="CA137" s="53"/>
      <c r="CB137" s="53"/>
      <c r="CC137" s="53"/>
      <c r="CD137" s="53"/>
      <c r="CE137" s="53"/>
      <c r="CF137" s="53"/>
      <c r="CG137" s="53"/>
      <c r="CH137" s="53"/>
      <c r="CI137" s="53"/>
      <c r="CJ137" s="53"/>
      <c r="CK137" s="53"/>
      <c r="CL137" s="53"/>
      <c r="CM137" s="53"/>
      <c r="CN137" s="53"/>
      <c r="CO137" s="53"/>
      <c r="CP137" s="53"/>
      <c r="CQ137" s="53"/>
      <c r="CR137" s="1"/>
      <c r="CS137" s="1"/>
      <c r="CT137" s="1"/>
      <c r="CU137" s="1"/>
    </row>
    <row r="138" spans="1:99" s="13" customFormat="1" ht="12" customHeight="1" x14ac:dyDescent="0.2">
      <c r="A138" s="65">
        <v>43900</v>
      </c>
      <c r="B138" s="1"/>
      <c r="C138" s="1"/>
      <c r="D138" s="60"/>
      <c r="E138" s="76"/>
      <c r="F138" s="60"/>
      <c r="G138" s="60"/>
      <c r="H138" s="60"/>
      <c r="I138" s="60"/>
      <c r="J138" s="60"/>
      <c r="K138" s="64"/>
      <c r="L138" s="64"/>
      <c r="M138" s="60"/>
      <c r="N138" s="61"/>
      <c r="O138" s="60"/>
      <c r="P138" s="60"/>
      <c r="Q138" s="60"/>
      <c r="R138" s="60"/>
      <c r="S138" s="60"/>
      <c r="T138" s="59"/>
      <c r="U138" s="60"/>
      <c r="V138" s="59"/>
      <c r="W138" s="60"/>
      <c r="X138" s="60"/>
      <c r="Y138" s="76"/>
      <c r="Z138" s="60"/>
      <c r="AA138" s="76"/>
      <c r="AB138" s="60"/>
      <c r="AC138" s="56"/>
      <c r="AD138" s="60"/>
      <c r="AE138" s="60"/>
      <c r="AF138" s="80"/>
      <c r="AG138" s="56"/>
      <c r="AH138" s="4"/>
      <c r="AI138" s="56"/>
      <c r="AJ138" s="109"/>
      <c r="AK138" s="56"/>
      <c r="AL138" s="56"/>
      <c r="AM138" s="56"/>
      <c r="AN138" s="56"/>
      <c r="AO138" s="82"/>
      <c r="AP138" s="82"/>
      <c r="AQ138" s="83"/>
      <c r="AR138" s="116"/>
      <c r="AS138" s="84"/>
      <c r="AT138" s="84"/>
      <c r="AU138" s="3"/>
      <c r="AV138" s="25">
        <v>30</v>
      </c>
      <c r="AW138" s="25">
        <f>20*60*60</f>
        <v>72000</v>
      </c>
      <c r="AX138" s="25">
        <f>7*24*60*60</f>
        <v>604800</v>
      </c>
      <c r="AY138" s="53"/>
      <c r="AZ138" s="53"/>
      <c r="BA138" s="53"/>
      <c r="BB138" s="53"/>
      <c r="BC138" s="53"/>
      <c r="BD138" s="53"/>
      <c r="BE138" s="53"/>
      <c r="BF138" s="53"/>
      <c r="BG138" s="53"/>
      <c r="BH138" s="53"/>
      <c r="BI138" s="53"/>
      <c r="BJ138" s="53"/>
      <c r="BK138" s="53"/>
      <c r="BL138" s="53"/>
      <c r="BM138" s="53"/>
      <c r="BN138" s="53"/>
      <c r="BO138" s="53"/>
      <c r="BP138" s="53"/>
      <c r="BQ138" s="53"/>
      <c r="BR138" s="53"/>
      <c r="BS138" s="53"/>
      <c r="BT138" s="53"/>
      <c r="BU138" s="53"/>
      <c r="BV138" s="53"/>
      <c r="BW138" s="53"/>
      <c r="BX138" s="53"/>
      <c r="BY138" s="53"/>
      <c r="BZ138" s="53"/>
      <c r="CA138" s="53"/>
      <c r="CB138" s="53"/>
      <c r="CC138" s="53"/>
      <c r="CD138" s="53"/>
      <c r="CE138" s="53"/>
      <c r="CF138" s="53"/>
      <c r="CG138" s="53"/>
      <c r="CH138" s="53"/>
      <c r="CI138" s="53"/>
      <c r="CJ138" s="53"/>
      <c r="CK138" s="53"/>
      <c r="CL138" s="53"/>
      <c r="CM138" s="53"/>
      <c r="CN138" s="53"/>
      <c r="CO138" s="53"/>
      <c r="CP138" s="53"/>
      <c r="CQ138" s="53"/>
      <c r="CR138" s="1"/>
      <c r="CS138" s="1"/>
      <c r="CT138" s="1"/>
      <c r="CU138" s="1"/>
    </row>
    <row r="139" spans="1:99" s="13" customFormat="1" ht="12" customHeight="1" x14ac:dyDescent="0.2">
      <c r="A139" s="65">
        <v>43900</v>
      </c>
      <c r="B139" s="1" t="s">
        <v>417</v>
      </c>
      <c r="C139" s="1" t="s">
        <v>418</v>
      </c>
      <c r="D139" s="60">
        <v>2018</v>
      </c>
      <c r="E139" s="76">
        <v>1</v>
      </c>
      <c r="F139" s="60">
        <v>28</v>
      </c>
      <c r="G139" s="60">
        <v>28</v>
      </c>
      <c r="H139" s="60" t="s">
        <v>22</v>
      </c>
      <c r="I139" s="60" t="s">
        <v>732</v>
      </c>
      <c r="J139" s="60" t="s">
        <v>16</v>
      </c>
      <c r="K139" s="60">
        <f>IF(J139="syllables",1,IF(J139="trigrams",2,IF(J139="strings",3,IF(J139="visual array",4,IF(J139="characters",5,IF(J139="letters",6,IF(J139="free forms",7,IF(J139="odors",8,IF(J139="words",9,IF(J139="pictures",10,IF(J139="object pictures",11,IF(J139="faces",12,IF(J139="names",13,IF(J139="idioms",14,IF(J139="grades",15,IF(J139="syllable-digit pairs",16,IF(J139="trigram-word pairs",17,IF(J139="word-digit pairs",18,IF(J139="English-Swahili pairs",19,IF(J139="spatial position",20,IF(J139="word pairs",21,IF(J139="word triads",22,IF(J139="generated words",23,IF(J139="word definition pairs",24,IF(J139="math problems",25,IF(J139="famous faces",26,IF(J139="famous names",27,IF(J139="famous voices",28,IF(J139="television programs",29,IF(J139="race horses",30,IF(J139="new vocabulary",31,IF(J139="sentences",32,IF(J139="concepts",33,IF(J139="ad slides",34,IF(J139="scenes",35,IF(J139="famous scenes",36,IF(J139="poems",37,IF(J139="walk",38,IF(J139="faces and events",39,IF(J139="events and names",40,IF(J139="flashbulb",41,IF(J139="stories",42,IF(J139="course material",43,IF(J139="autobiographical",44,IF(J139="novels",45,IF(J139="public events",46,"99"))))))))))))))))))))))))))))))))))))))))))))))</f>
        <v>9</v>
      </c>
      <c r="L139" s="60">
        <f>IF(J139="syllables",1,IF(J139="trigrams",1,IF(J139="strings",1,IF(J139="visual array",1,IF(J139="characters",1,IF(J139="letters",1,IF(J139="free forms",1,IF(J139="odors",2,IF(J139="words",2,IF(J139="pictures",2,IF(J139="object pictures",2,IF(J139="faces",2,IF(J139="names",2,IF(J139="idioms","2",IF(J139="grades",2,IF(J139="syllable-digit pairs",3,IF(J139="trigram-word pairs",3,IF(J139="word-digit pairs",3,IF(J139="English-Swahili pairs",3,IF(J139="spatial position",3,IF(J139="word pairs",4,IF(J139="word triads",4,IF(J139="generated words",4,IF(J139="word definition pairs",4,IF(J139="math problems",4,IF(J139="famous faces",4,IF(J139="famous names",4,IF(J139="famous voices",4,IF(J139="television programs",4,IF(J139="race horses",4,IF(J139="new vocabulary",4,IF(J139="sentences",5,IF(J139="concepts",5,IF(J139="ad slides",5,IF(J139="scenes",5,IF(J139="famous scenes",5,IF(J139="poems",6,IF(J139="walk",6,IF(J139="faces and events",6,IF(J139="events and names",6,IF(J139="flashbulb",7,IF(J139="stories",7,IF(J139="course material",7,IF(J139="autobiographical",7,IF(J139="novels",7,IF(J139="public events",7,"99"))))))))))))))))))))))))))))))))))))))))))))))</f>
        <v>2</v>
      </c>
      <c r="M139" s="60">
        <v>0</v>
      </c>
      <c r="N139" s="60">
        <v>1</v>
      </c>
      <c r="O139" s="60">
        <v>1</v>
      </c>
      <c r="P139" s="60"/>
      <c r="Q139" s="60" t="s">
        <v>174</v>
      </c>
      <c r="R139" s="60">
        <f>IF(Q139="Free Recall",1,IF(Q139="Cued Recall",2,IF(Q139="Recognition",3,IF(Q139="Multiple Choice",4,IF(Q139="Savings",5,IF(Q139="Stem Completion",6,IF(Q139="Fragment Completion",7,IF(Q139="anagram solution",8,IF(Q139="Matching",9,IF(Q139="Problem Solving",10,"99"))))))))))</f>
        <v>1</v>
      </c>
      <c r="S139" s="60" t="s">
        <v>49</v>
      </c>
      <c r="T139" s="59" t="s">
        <v>581</v>
      </c>
      <c r="U139" s="60">
        <f>IF(T139="within",1,0)</f>
        <v>1</v>
      </c>
      <c r="V139" s="59">
        <v>15</v>
      </c>
      <c r="W139" s="60">
        <f>F139*V139</f>
        <v>420</v>
      </c>
      <c r="X139" s="60">
        <v>3</v>
      </c>
      <c r="Y139" s="76">
        <f>AV138</f>
        <v>30</v>
      </c>
      <c r="Z139" s="60" t="s">
        <v>97</v>
      </c>
      <c r="AA139" s="60">
        <v>604800</v>
      </c>
      <c r="AB139" s="60" t="str">
        <f>IF(AA139&lt;60,"1",IF(AA139&lt;=43200,"2",IF(AA139&lt;=777600,"3","4")))</f>
        <v>3</v>
      </c>
      <c r="AC139" s="56">
        <f>AVERAGE(AV138:DA138)</f>
        <v>225610</v>
      </c>
      <c r="AD139" s="60" t="str">
        <f>IF(AC139&lt;60,"1",IF(AC139&lt;=43200,"2",IF(AC139&lt;=777600,"3","4")))</f>
        <v>3</v>
      </c>
      <c r="AE139" s="76">
        <f>AA139-Y139</f>
        <v>604770</v>
      </c>
      <c r="AF139" s="80">
        <f>AV139</f>
        <v>0.89</v>
      </c>
      <c r="AG139" s="56">
        <f>((AW139-AV139)+(AX139-AW139))/2</f>
        <v>-0.185</v>
      </c>
      <c r="AH139" s="4"/>
      <c r="AI139" s="56">
        <f>RSQ(AV139:AX139,AV138:AX138)</f>
        <v>0.92629910801850202</v>
      </c>
      <c r="AJ139" s="109">
        <f>SLOPE(AV139:AX139,AV138:AX138)</f>
        <v>-5.4426307644260353E-7</v>
      </c>
      <c r="AK139" s="56">
        <f>INTERCEPT(AV139:AX139,AV138:AX138)</f>
        <v>0.84279119267621583</v>
      </c>
      <c r="AL139" s="56">
        <f>INDEX(LINEST(LN(AV139:AX139),LN(AV138:AX138),TRUE,TRUE),3,1)</f>
        <v>0.74893742853849088</v>
      </c>
      <c r="AM139" s="56">
        <f>INDEX(LINEST(LN(AV139:AX139),LN(AV138:AX138)),1)</f>
        <v>-4.5534825890511214E-2</v>
      </c>
      <c r="AN139" s="56">
        <f>EXP(INDEX(LINEST(LN(AV139:AX139),LN(AV138:AX138)),1,2))</f>
        <v>1.0732951892051488</v>
      </c>
      <c r="AO139" s="82">
        <f>INDEX(LINEST((AV139:AX139),LN(AV138:AX138),TRUE,TRUE),3,1)</f>
        <v>0.80470698348366854</v>
      </c>
      <c r="AP139" s="82">
        <f>INDEX(LINEST((AV139:AX139),LN(AV138:AX138)),1)</f>
        <v>-3.2118439239066897E-2</v>
      </c>
      <c r="AQ139" s="83">
        <f>INDEX(LINEST(LN(AV139:AX139),SQRT(AV138:AX138),TRUE,TRUE),3,1)</f>
        <v>0.99940711311319785</v>
      </c>
      <c r="AR139" s="116">
        <f>INDEX(LINEST(LN(AV139:AX139),SQRT((AV138:AX138))),1)</f>
        <v>-6.9905173248809536E-4</v>
      </c>
      <c r="AS139" s="84">
        <f>INDEX(LINEST(1/(AV139:AX139),1/(SQRT(AV138:AX138)),TRUE,TRUE),3,1)</f>
        <v>0.50570807910787829</v>
      </c>
      <c r="AT139" s="84">
        <f>INDEX(LINEST(1/(AV139:AX139),1/SQRT(AV138:AX138)),1)</f>
        <v>-2.8352365158508981</v>
      </c>
      <c r="AU139" s="3"/>
      <c r="AV139" s="53">
        <v>0.89</v>
      </c>
      <c r="AW139" s="53">
        <v>0.75</v>
      </c>
      <c r="AX139" s="53">
        <v>0.52</v>
      </c>
      <c r="AY139" s="53"/>
      <c r="AZ139" s="53"/>
      <c r="BA139" s="53"/>
      <c r="BB139" s="53"/>
      <c r="BC139" s="53"/>
      <c r="BD139" s="53"/>
      <c r="BE139" s="53"/>
      <c r="BF139" s="53"/>
      <c r="BG139" s="53"/>
      <c r="BH139" s="53"/>
      <c r="BI139" s="53"/>
      <c r="BJ139" s="53"/>
      <c r="BK139" s="53"/>
      <c r="BL139" s="53"/>
      <c r="BM139" s="53"/>
      <c r="BN139" s="53"/>
      <c r="BO139" s="53"/>
      <c r="BP139" s="53"/>
      <c r="BQ139" s="53"/>
      <c r="BR139" s="53"/>
      <c r="BS139" s="53"/>
      <c r="BT139" s="53"/>
      <c r="BU139" s="53"/>
      <c r="BV139" s="53"/>
      <c r="BW139" s="53"/>
      <c r="BX139" s="53"/>
      <c r="BY139" s="53"/>
      <c r="BZ139" s="53"/>
      <c r="CA139" s="53"/>
      <c r="CB139" s="53"/>
      <c r="CC139" s="53"/>
      <c r="CD139" s="53"/>
      <c r="CE139" s="53"/>
      <c r="CF139" s="53"/>
      <c r="CG139" s="53"/>
      <c r="CH139" s="53"/>
      <c r="CI139" s="53"/>
      <c r="CJ139" s="53"/>
      <c r="CK139" s="53"/>
      <c r="CL139" s="53"/>
      <c r="CM139" s="53"/>
      <c r="CN139" s="53"/>
      <c r="CO139" s="53"/>
      <c r="CP139" s="53"/>
      <c r="CQ139" s="53"/>
      <c r="CR139" s="1"/>
      <c r="CS139" s="1"/>
      <c r="CT139" s="1"/>
      <c r="CU139" s="1"/>
    </row>
    <row r="140" spans="1:99" s="13" customFormat="1" ht="12" customHeight="1" x14ac:dyDescent="0.2">
      <c r="A140" s="68">
        <v>43979</v>
      </c>
      <c r="B140" s="70"/>
      <c r="C140" s="70"/>
      <c r="D140" s="69"/>
      <c r="E140" s="87"/>
      <c r="F140" s="69"/>
      <c r="G140" s="69"/>
      <c r="H140" s="69"/>
      <c r="I140" s="69"/>
      <c r="J140" s="69"/>
      <c r="K140" s="69"/>
      <c r="L140" s="69"/>
      <c r="M140" s="69"/>
      <c r="N140" s="69"/>
      <c r="O140" s="69"/>
      <c r="P140" s="69"/>
      <c r="Q140" s="69"/>
      <c r="R140" s="69"/>
      <c r="S140" s="69"/>
      <c r="T140" s="92"/>
      <c r="U140" s="69"/>
      <c r="V140" s="92"/>
      <c r="W140" s="69"/>
      <c r="X140" s="69"/>
      <c r="Y140" s="87"/>
      <c r="Z140" s="69"/>
      <c r="AA140" s="69"/>
      <c r="AB140" s="69"/>
      <c r="AC140" s="72"/>
      <c r="AD140" s="69"/>
      <c r="AE140" s="87"/>
      <c r="AF140" s="88"/>
      <c r="AG140" s="72"/>
      <c r="AH140" s="4"/>
      <c r="AI140" s="72"/>
      <c r="AJ140" s="110"/>
      <c r="AK140" s="72"/>
      <c r="AL140" s="72"/>
      <c r="AM140" s="72"/>
      <c r="AN140" s="72"/>
      <c r="AO140" s="89"/>
      <c r="AP140" s="89"/>
      <c r="AQ140" s="90"/>
      <c r="AR140" s="117"/>
      <c r="AS140" s="91"/>
      <c r="AT140" s="91"/>
      <c r="AU140" s="3"/>
      <c r="AV140" s="71">
        <f>60*10</f>
        <v>600</v>
      </c>
      <c r="AW140" s="71">
        <f>60*60*2</f>
        <v>7200</v>
      </c>
      <c r="AX140" s="71">
        <f>60*60*31</f>
        <v>111600</v>
      </c>
      <c r="AY140" s="53"/>
      <c r="AZ140" s="53"/>
      <c r="BA140" s="53"/>
      <c r="BB140" s="53"/>
      <c r="BC140" s="53"/>
      <c r="BD140" s="53"/>
      <c r="BE140" s="53"/>
      <c r="BF140" s="53"/>
      <c r="BG140" s="53"/>
      <c r="BH140" s="53"/>
      <c r="BI140" s="53"/>
      <c r="BJ140" s="53"/>
      <c r="BK140" s="53"/>
      <c r="BL140" s="53"/>
      <c r="BM140" s="53"/>
      <c r="BN140" s="53"/>
      <c r="BO140" s="53"/>
      <c r="BP140" s="53"/>
      <c r="BQ140" s="53"/>
      <c r="BR140" s="53"/>
      <c r="BS140" s="53"/>
      <c r="BT140" s="53"/>
      <c r="BU140" s="53"/>
      <c r="BV140" s="53"/>
      <c r="BW140" s="53"/>
      <c r="BX140" s="53"/>
      <c r="BY140" s="53"/>
      <c r="BZ140" s="53"/>
      <c r="CA140" s="53"/>
      <c r="CB140" s="53"/>
      <c r="CC140" s="53"/>
      <c r="CD140" s="53"/>
      <c r="CE140" s="53"/>
      <c r="CF140" s="53"/>
      <c r="CG140" s="53"/>
      <c r="CH140" s="53"/>
      <c r="CI140" s="53"/>
      <c r="CJ140" s="53"/>
      <c r="CK140" s="53"/>
      <c r="CL140" s="53"/>
      <c r="CM140" s="53"/>
      <c r="CN140" s="53"/>
      <c r="CO140" s="53"/>
      <c r="CP140" s="53"/>
      <c r="CQ140" s="53"/>
      <c r="CR140" s="1"/>
      <c r="CS140" s="1"/>
      <c r="CT140" s="1"/>
      <c r="CU140" s="1"/>
    </row>
    <row r="141" spans="1:99" s="13" customFormat="1" ht="12" customHeight="1" x14ac:dyDescent="0.2">
      <c r="A141" s="68">
        <v>43979</v>
      </c>
      <c r="B141" s="70" t="s">
        <v>983</v>
      </c>
      <c r="C141" s="70" t="s">
        <v>984</v>
      </c>
      <c r="D141" s="69">
        <v>1992</v>
      </c>
      <c r="E141" s="87">
        <v>1</v>
      </c>
      <c r="F141" s="69">
        <v>10</v>
      </c>
      <c r="G141" s="69">
        <v>10</v>
      </c>
      <c r="H141" s="69" t="s">
        <v>50</v>
      </c>
      <c r="I141" s="69" t="s">
        <v>330</v>
      </c>
      <c r="J141" s="69" t="s">
        <v>313</v>
      </c>
      <c r="K141" s="69">
        <f>IF(J141="syllables",1,IF(J141="trigrams",2,IF(J141="strings",3,IF(J141="visual array",4,IF(J141="characters",5,IF(J141="letters",6,IF(J141="free forms",7,IF(J141="odors",8,IF(J141="words",9,IF(J141="pictures",10,IF(J141="object pictures",11,IF(J141="faces",12,IF(J141="names",13,IF(J141="idioms",14,IF(J141="grades",15,IF(J141="syllable-digit pairs",16,IF(J141="trigram-word pairs",17,IF(J141="word-digit pairs",18,IF(J141="English-Swahili pairs",19,IF(J141="spatial position",20,IF(J141="word pairs",21,IF(J141="word triads",22,IF(J141="generated words",23,IF(J141="word definition pairs",24,IF(J141="math problems",25,IF(J141="famous faces",26,IF(J141="famous names",27,IF(J141="famous voices",28,IF(J141="television programs",29,IF(J141="race horses",30,IF(J141="new vocabulary",31,IF(J141="sentences",32,IF(J141="concepts",33,IF(J141="ad slides",34,IF(J141="scenes",35,IF(J141="famous scenes",36,IF(J141="poems",37,IF(J141="walk",38,IF(J141="faces and events",39,IF(J141="events and names",40,IF(J141="flashbulb",41,IF(J141="stories",42,IF(J141="course material",43,IF(J141="autobiographical",44,IF(J141="novels",45,IF(J141="public events",46,"99"))))))))))))))))))))))))))))))))))))))))))))))</f>
        <v>10</v>
      </c>
      <c r="L141" s="69">
        <f>IF(J141="syllables",1,IF(J141="trigrams",1,IF(J141="strings",1,IF(J141="visual array",1,IF(J141="characters",1,IF(J141="letters",1,IF(J141="free forms",1,IF(J141="odors",2,IF(J141="words",2,IF(J141="pictures",2,IF(J141="object pictures",2,IF(J141="faces",2,IF(J141="names",2,IF(J141="idioms","2",IF(J141="grades",2,IF(J141="syllable-digit pairs",3,IF(J141="trigram-word pairs",3,IF(J141="word-digit pairs",3,IF(J141="English-Swahili pairs",3,IF(J141="spatial position",3,IF(J141="word pairs",4,IF(J141="word triads",4,IF(J141="generated words",4,IF(J141="word definition pairs",4,IF(J141="math problems",4,IF(J141="famous faces",4,IF(J141="famous names",4,IF(J141="famous voices",4,IF(J141="television programs",4,IF(J141="race horses",4,IF(J141="new vocabulary",4,IF(J141="sentences",5,IF(J141="concepts",5,IF(J141="ad slides",5,IF(J141="scenes",5,IF(J141="famous scenes",5,IF(J141="poems",6,IF(J141="walk",6,IF(J141="faces and events",6,IF(J141="events and names",6,IF(J141="flashbulb",7,IF(J141="stories",7,IF(J141="course material",7,IF(J141="autobiographical",7,IF(J141="novels",7,IF(J141="public events",7,"99"))))))))))))))))))))))))))))))))))))))))))))))</f>
        <v>2</v>
      </c>
      <c r="M141" s="69">
        <v>0</v>
      </c>
      <c r="N141" s="69">
        <v>1</v>
      </c>
      <c r="O141" s="69">
        <v>0</v>
      </c>
      <c r="P141" s="69"/>
      <c r="Q141" s="69" t="s">
        <v>34</v>
      </c>
      <c r="R141" s="69">
        <f>IF(Q141="Free Recall",1,IF(Q141="Cued Recall",2,IF(Q141="Recognition",3,IF(Q141="Multiple Choice",4,IF(Q141="Savings",5,IF(Q141="Stem Completion",6,IF(Q141="Fragment Completion",7,IF(Q141="anagram solution",8,IF(Q141="Matching",9,IF(Q141="Problem Solving",10,"99"))))))))))</f>
        <v>3</v>
      </c>
      <c r="S141" s="69" t="s">
        <v>15</v>
      </c>
      <c r="T141" s="92" t="s">
        <v>581</v>
      </c>
      <c r="U141" s="69">
        <f>IF(T141="within",1,0)</f>
        <v>1</v>
      </c>
      <c r="V141" s="92">
        <v>30</v>
      </c>
      <c r="W141" s="69">
        <f>F141*V141</f>
        <v>300</v>
      </c>
      <c r="X141" s="69">
        <v>3</v>
      </c>
      <c r="Y141" s="87">
        <f>AV140</f>
        <v>600</v>
      </c>
      <c r="Z141" s="69" t="s">
        <v>985</v>
      </c>
      <c r="AA141" s="69">
        <f>60*60*31</f>
        <v>111600</v>
      </c>
      <c r="AB141" s="69" t="str">
        <f>IF(AA141&lt;60,"1",IF(AA141&lt;=43200,"2",IF(AA141&lt;=777600,"3","4")))</f>
        <v>3</v>
      </c>
      <c r="AC141" s="72">
        <f>AVERAGE(AV140:DA140)</f>
        <v>39800</v>
      </c>
      <c r="AD141" s="69" t="str">
        <f>IF(AC141&lt;60,"1",IF(AC141&lt;=43200,"2",IF(AC141&lt;=777600,"3","4")))</f>
        <v>2</v>
      </c>
      <c r="AE141" s="87">
        <f>AA141-Y141</f>
        <v>111000</v>
      </c>
      <c r="AF141" s="88">
        <f>AV141</f>
        <v>0.82963620230700996</v>
      </c>
      <c r="AG141" s="72">
        <f>((AW141-AV141)+(AX141-AW141))/2</f>
        <v>-8.4472049689441497E-2</v>
      </c>
      <c r="AH141" s="4"/>
      <c r="AI141" s="72">
        <f>RSQ(AV141:AX141,AV140:AX140)</f>
        <v>0.86334320317806001</v>
      </c>
      <c r="AJ141" s="110">
        <f>SLOPE(AV141:AX141,AV140:AX140)</f>
        <v>-1.2658328540599352E-6</v>
      </c>
      <c r="AK141" s="72">
        <f>INTERCEPT(AV141:AX141,AV140:AX140)</f>
        <v>0.80004001153716331</v>
      </c>
      <c r="AL141" s="72">
        <f>INDEX(LINEST(LN(AV141:AX141),LN(AV140:AX140),TRUE,TRUE),3,1)</f>
        <v>0.99102755049658664</v>
      </c>
      <c r="AM141" s="72">
        <f>INDEX(LINEST(LN(AV141:AX141),LN(AV140:AX140)),1)</f>
        <v>-4.3690147371452458E-2</v>
      </c>
      <c r="AN141" s="72">
        <f>EXP(INDEX(LINEST(LN(AV141:AX141),LN(AV140:AX140)),1,2))</f>
        <v>1.1043900576619294</v>
      </c>
      <c r="AO141" s="89">
        <f>INDEX(LINEST((AV141:AX141),LN(AV140:AX140),TRUE,TRUE),3,1)</f>
        <v>0.99595367240211619</v>
      </c>
      <c r="AP141" s="89">
        <f>INDEX(LINEST((AV141:AX141),LN(AV140:AX140)),1)</f>
        <v>-3.2387551280389899E-2</v>
      </c>
      <c r="AQ141" s="90">
        <f>INDEX(LINEST(LN(AV141:AX141),SQRT(AV140:AX140),TRUE,TRUE),3,1)</f>
        <v>0.95426874222406155</v>
      </c>
      <c r="AR141" s="117">
        <f>INDEX(LINEST(LN(AV141:AX141),SQRT((AV140:AX140))),1)</f>
        <v>-6.8287907404222033E-4</v>
      </c>
      <c r="AS141" s="91">
        <f>INDEX(LINEST(1/(AV141:AX141),1/(SQRT(AV140:AX140)),TRUE,TRUE),3,1)</f>
        <v>0.80820627739166473</v>
      </c>
      <c r="AT141" s="91">
        <f>INDEX(LINEST(1/(AV141:AX141),1/SQRT(AV140:AX140)),1)</f>
        <v>-7.081176794358222</v>
      </c>
      <c r="AU141" s="3"/>
      <c r="AV141" s="73">
        <v>0.82963620230700996</v>
      </c>
      <c r="AW141" s="73">
        <v>0.75865128660159697</v>
      </c>
      <c r="AX141" s="73">
        <v>0.66069210292812697</v>
      </c>
      <c r="AY141" s="53"/>
      <c r="AZ141" s="53"/>
      <c r="BA141" s="53"/>
      <c r="BB141" s="53"/>
      <c r="BC141" s="53"/>
      <c r="BD141" s="53"/>
      <c r="BE141" s="53"/>
      <c r="BF141" s="53"/>
      <c r="BG141" s="53"/>
      <c r="BH141" s="53"/>
      <c r="BI141" s="53"/>
      <c r="BJ141" s="53"/>
      <c r="BK141" s="53"/>
      <c r="BL141" s="53"/>
      <c r="BM141" s="53"/>
      <c r="BN141" s="53"/>
      <c r="BO141" s="53"/>
      <c r="BP141" s="53"/>
      <c r="BQ141" s="53"/>
      <c r="BR141" s="53"/>
      <c r="BS141" s="53"/>
      <c r="BT141" s="53"/>
      <c r="BU141" s="53"/>
      <c r="BV141" s="53"/>
      <c r="BW141" s="53"/>
      <c r="BX141" s="53"/>
      <c r="BY141" s="53"/>
      <c r="BZ141" s="53"/>
      <c r="CA141" s="53"/>
      <c r="CB141" s="53"/>
      <c r="CC141" s="53"/>
      <c r="CD141" s="53"/>
      <c r="CE141" s="53"/>
      <c r="CF141" s="53"/>
      <c r="CG141" s="53"/>
      <c r="CH141" s="53"/>
      <c r="CI141" s="53"/>
      <c r="CJ141" s="53"/>
      <c r="CK141" s="53"/>
      <c r="CL141" s="53"/>
      <c r="CM141" s="53"/>
      <c r="CN141" s="53"/>
      <c r="CO141" s="53"/>
      <c r="CP141" s="53"/>
      <c r="CQ141" s="53"/>
      <c r="CR141" s="1"/>
      <c r="CS141" s="1"/>
      <c r="CT141" s="1"/>
      <c r="CU141" s="1"/>
    </row>
    <row r="142" spans="1:99" s="19" customFormat="1" ht="12" customHeight="1" x14ac:dyDescent="0.2">
      <c r="A142" s="65">
        <v>43509</v>
      </c>
      <c r="B142" s="17"/>
      <c r="C142" s="17"/>
      <c r="D142" s="62"/>
      <c r="E142" s="78"/>
      <c r="F142" s="62"/>
      <c r="G142" s="62"/>
      <c r="H142" s="62"/>
      <c r="I142" s="62"/>
      <c r="J142" s="62"/>
      <c r="K142" s="64"/>
      <c r="L142" s="64"/>
      <c r="M142" s="62"/>
      <c r="N142" s="62"/>
      <c r="O142" s="62"/>
      <c r="P142" s="62"/>
      <c r="Q142" s="62"/>
      <c r="R142" s="60"/>
      <c r="S142" s="62"/>
      <c r="T142" s="62"/>
      <c r="U142" s="60"/>
      <c r="V142" s="62"/>
      <c r="W142" s="60"/>
      <c r="X142" s="62"/>
      <c r="Y142" s="76"/>
      <c r="Z142" s="62"/>
      <c r="AA142" s="62"/>
      <c r="AB142" s="60"/>
      <c r="AC142" s="60"/>
      <c r="AD142" s="60"/>
      <c r="AE142" s="60"/>
      <c r="AF142" s="80"/>
      <c r="AG142" s="56"/>
      <c r="AH142" s="4"/>
      <c r="AI142" s="85"/>
      <c r="AJ142" s="112"/>
      <c r="AK142" s="85"/>
      <c r="AL142" s="85"/>
      <c r="AM142" s="85"/>
      <c r="AN142" s="85"/>
      <c r="AO142" s="85"/>
      <c r="AP142" s="85"/>
      <c r="AQ142" s="56"/>
      <c r="AR142" s="109"/>
      <c r="AS142" s="56"/>
      <c r="AT142" s="56"/>
      <c r="AU142" s="21"/>
      <c r="AV142" s="137">
        <v>80</v>
      </c>
      <c r="AW142" s="137">
        <f>24*3600*1</f>
        <v>86400</v>
      </c>
      <c r="AX142" s="137">
        <f>24*3600*2</f>
        <v>172800</v>
      </c>
      <c r="AY142" s="18" t="s">
        <v>519</v>
      </c>
      <c r="AZ142" s="18"/>
      <c r="BA142" s="18"/>
      <c r="BB142" s="18"/>
      <c r="BC142" s="18"/>
      <c r="BD142" s="18"/>
      <c r="BE142" s="18"/>
      <c r="BF142" s="18"/>
      <c r="BG142" s="18"/>
      <c r="BH142" s="18"/>
      <c r="BI142" s="18"/>
      <c r="BJ142" s="18"/>
      <c r="BK142" s="18"/>
      <c r="BL142" s="18"/>
      <c r="BM142" s="18"/>
      <c r="BN142" s="18"/>
      <c r="BO142" s="18"/>
      <c r="BP142" s="18"/>
      <c r="BQ142" s="18"/>
      <c r="BR142" s="18"/>
      <c r="BS142" s="18"/>
      <c r="BT142" s="18"/>
      <c r="BU142" s="18"/>
      <c r="BV142" s="18"/>
      <c r="BW142" s="18"/>
      <c r="BX142" s="18"/>
      <c r="BY142" s="18"/>
      <c r="BZ142" s="18"/>
      <c r="CA142" s="18"/>
      <c r="CB142" s="18"/>
      <c r="CC142" s="18"/>
      <c r="CD142" s="18"/>
      <c r="CE142" s="18"/>
      <c r="CF142" s="18"/>
      <c r="CG142" s="18"/>
      <c r="CH142" s="18"/>
      <c r="CI142" s="18"/>
      <c r="CJ142" s="18"/>
      <c r="CK142" s="18"/>
      <c r="CL142" s="18"/>
      <c r="CM142" s="18"/>
      <c r="CN142" s="18"/>
      <c r="CO142" s="18"/>
      <c r="CP142" s="18"/>
      <c r="CQ142" s="18"/>
      <c r="CR142" s="17"/>
      <c r="CS142" s="17"/>
      <c r="CT142" s="17"/>
      <c r="CU142" s="17"/>
    </row>
    <row r="143" spans="1:99" s="13" customFormat="1" ht="12" customHeight="1" x14ac:dyDescent="0.2">
      <c r="A143" s="65">
        <v>43509</v>
      </c>
      <c r="B143" s="1" t="s">
        <v>122</v>
      </c>
      <c r="C143" s="1" t="s">
        <v>70</v>
      </c>
      <c r="D143" s="60">
        <v>2014</v>
      </c>
      <c r="E143" s="76">
        <v>1</v>
      </c>
      <c r="F143" s="60">
        <v>81</v>
      </c>
      <c r="G143" s="60">
        <v>27</v>
      </c>
      <c r="H143" s="60" t="s">
        <v>50</v>
      </c>
      <c r="I143" s="60" t="s">
        <v>756</v>
      </c>
      <c r="J143" s="60" t="s">
        <v>16</v>
      </c>
      <c r="K143" s="60">
        <f>IF(J143="syllables",1,IF(J143="trigrams",2,IF(J143="strings",3,IF(J143="visual array",4,IF(J143="characters",5,IF(J143="letters",6,IF(J143="free forms",7,IF(J143="odors",8,IF(J143="words",9,IF(J143="pictures",10,IF(J143="object pictures",11,IF(J143="faces",12,IF(J143="names",13,IF(J143="idioms",14,IF(J143="grades",15,IF(J143="syllable-digit pairs",16,IF(J143="trigram-word pairs",17,IF(J143="word-digit pairs",18,IF(J143="English-Swahili pairs",19,IF(J143="spatial position",20,IF(J143="word pairs",21,IF(J143="word triads",22,IF(J143="generated words",23,IF(J143="word definition pairs",24,IF(J143="math problems",25,IF(J143="famous faces",26,IF(J143="famous names",27,IF(J143="famous voices",28,IF(J143="television programs",29,IF(J143="race horses",30,IF(J143="new vocabulary",31,IF(J143="sentences",32,IF(J143="concepts",33,IF(J143="ad slides",34,IF(J143="scenes",35,IF(J143="famous scenes",36,IF(J143="poems",37,IF(J143="walk",38,IF(J143="faces and events",39,IF(J143="events and names",40,IF(J143="flashbulb",41,IF(J143="stories",42,IF(J143="course material",43,IF(J143="autobiographical",44,IF(J143="novels",45,IF(J143="public events",46,"99"))))))))))))))))))))))))))))))))))))))))))))))</f>
        <v>9</v>
      </c>
      <c r="L143" s="60">
        <f>IF(J143="syllables",1,IF(J143="trigrams",1,IF(J143="strings",1,IF(J143="visual array",1,IF(J143="characters",1,IF(J143="letters",1,IF(J143="free forms",1,IF(J143="odors",2,IF(J143="words",2,IF(J143="pictures",2,IF(J143="object pictures",2,IF(J143="faces",2,IF(J143="names",2,IF(J143="idioms","2",IF(J143="grades",2,IF(J143="syllable-digit pairs",3,IF(J143="trigram-word pairs",3,IF(J143="word-digit pairs",3,IF(J143="English-Swahili pairs",3,IF(J143="spatial position",3,IF(J143="word pairs",4,IF(J143="word triads",4,IF(J143="generated words",4,IF(J143="word definition pairs",4,IF(J143="math problems",4,IF(J143="famous faces",4,IF(J143="famous names",4,IF(J143="famous voices",4,IF(J143="television programs",4,IF(J143="race horses",4,IF(J143="new vocabulary",4,IF(J143="sentences",5,IF(J143="concepts",5,IF(J143="ad slides",5,IF(J143="scenes",5,IF(J143="famous scenes",5,IF(J143="poems",6,IF(J143="walk",6,IF(J143="faces and events",6,IF(J143="events and names",6,IF(J143="flashbulb",7,IF(J143="stories",7,IF(J143="course material",7,IF(J143="autobiographical",7,IF(J143="novels",7,IF(J143="public events",7,"99"))))))))))))))))))))))))))))))))))))))))))))))</f>
        <v>2</v>
      </c>
      <c r="M143" s="60">
        <v>0</v>
      </c>
      <c r="N143" s="60">
        <v>1</v>
      </c>
      <c r="O143" s="60">
        <v>1</v>
      </c>
      <c r="P143" s="60" t="s">
        <v>123</v>
      </c>
      <c r="Q143" s="60" t="s">
        <v>174</v>
      </c>
      <c r="R143" s="60">
        <f>IF(Q143="Free Recall",1,IF(Q143="Cued Recall",2,IF(Q143="Recognition",3,IF(Q143="Multiple Choice",4,IF(Q143="Savings",5,IF(Q143="Stem Completion",6,IF(Q143="Fragment Completion",7,IF(Q143="anagram solution",8,IF(Q143="Matching",9,IF(Q143="Problem Solving",10,"99"))))))))))</f>
        <v>1</v>
      </c>
      <c r="S143" s="60" t="s">
        <v>49</v>
      </c>
      <c r="T143" s="62" t="s">
        <v>261</v>
      </c>
      <c r="U143" s="60">
        <f>IF(T143="within",1,0)</f>
        <v>0</v>
      </c>
      <c r="V143" s="62">
        <v>16</v>
      </c>
      <c r="W143" s="60">
        <f>F143*V143</f>
        <v>1296</v>
      </c>
      <c r="X143" s="60">
        <v>3</v>
      </c>
      <c r="Y143" s="76">
        <f>AV142</f>
        <v>80</v>
      </c>
      <c r="Z143" s="60" t="s">
        <v>88</v>
      </c>
      <c r="AA143" s="60">
        <v>172800</v>
      </c>
      <c r="AB143" s="60" t="str">
        <f>IF(AA143&lt;60,"1",IF(AA143&lt;=43200,"2",IF(AA143&lt;=777600,"3","4")))</f>
        <v>3</v>
      </c>
      <c r="AC143" s="56">
        <f>AVERAGE(AV142:DA142)</f>
        <v>86426.666666666672</v>
      </c>
      <c r="AD143" s="60" t="str">
        <f>IF(AC143&lt;60,"1",IF(AC143&lt;=43200,"2",IF(AC143&lt;=777600,"3","4")))</f>
        <v>3</v>
      </c>
      <c r="AE143" s="76">
        <f>AA143-Y143</f>
        <v>172720</v>
      </c>
      <c r="AF143" s="80">
        <f>AV143</f>
        <v>0.57499999999999996</v>
      </c>
      <c r="AG143" s="56">
        <f>((AW143-AV143)+(AX143-AW143))/2</f>
        <v>-0.15099999999999997</v>
      </c>
      <c r="AH143" s="4"/>
      <c r="AI143" s="56">
        <f>RSQ(AV143:AX143,AV142:AX142)</f>
        <v>0.82828291329143666</v>
      </c>
      <c r="AJ143" s="109">
        <f>SLOPE(AV143:AX143,AV142:AX142)</f>
        <v>-1.7482818029148491E-6</v>
      </c>
      <c r="AK143" s="56">
        <f>INTERCEPT(AV143:AX143,AV142:AX142)</f>
        <v>0.53543150195325406</v>
      </c>
      <c r="AL143" s="56">
        <f>INDEX(LINEST(LN(AV143:AX143),LN(AV142:AX142),TRUE,TRUE),3,1)</f>
        <v>0.99679590051877642</v>
      </c>
      <c r="AM143" s="56">
        <f>INDEX(LINEST(LN(AV143:AX143),LN(AV142:AX142)),1)</f>
        <v>-9.4484585895395296E-2</v>
      </c>
      <c r="AN143" s="56">
        <f>EXP(INDEX(LINEST(LN(AV143:AX143),LN(AV142:AX142)),1,2))</f>
        <v>0.87178930353941975</v>
      </c>
      <c r="AO143" s="82">
        <f>INDEX(LINEST((AV143:AX143),LN(AV142:AX142),TRUE,TRUE),3,1)</f>
        <v>0.99977803532598697</v>
      </c>
      <c r="AP143" s="82">
        <f>INDEX(LINEST((AV143:AX143),LN(AV142:AX142)),1)</f>
        <v>-3.9058522379712503E-2</v>
      </c>
      <c r="AQ143" s="83">
        <f>INDEX(LINEST(LN(AV143:AX143),SQRT(AV142:AX142),TRUE,TRUE),3,1)</f>
        <v>0.97537489033719749</v>
      </c>
      <c r="AR143" s="116">
        <f>INDEX(LINEST(LN(AV143:AX143),SQRT((AV142:AX142))),1)</f>
        <v>-1.9013529273409961E-3</v>
      </c>
      <c r="AS143" s="84">
        <f>INDEX(LINEST(1/(AV143:AX143),1/(SQRT(AV142:AX142)),TRUE,TRUE),3,1)</f>
        <v>0.96725602766773633</v>
      </c>
      <c r="AT143" s="84">
        <f>INDEX(LINEST(1/(AV143:AX143),1/SQRT(AV142:AX142)),1)</f>
        <v>-15.925172641095715</v>
      </c>
      <c r="AU143" s="3"/>
      <c r="AV143" s="53">
        <v>0.57499999999999996</v>
      </c>
      <c r="AW143" s="53">
        <v>0.30499999999999999</v>
      </c>
      <c r="AX143" s="53">
        <v>0.27300000000000002</v>
      </c>
      <c r="AY143" s="53"/>
      <c r="AZ143" s="53"/>
      <c r="BA143" s="53"/>
      <c r="BB143" s="53"/>
      <c r="BC143" s="53"/>
      <c r="BD143" s="53"/>
      <c r="BE143" s="53"/>
      <c r="BF143" s="53"/>
      <c r="BG143" s="53"/>
      <c r="BH143" s="53"/>
      <c r="BI143" s="53"/>
      <c r="BJ143" s="53"/>
      <c r="BK143" s="53"/>
      <c r="BL143" s="53"/>
      <c r="BM143" s="53"/>
      <c r="BN143" s="53"/>
      <c r="BO143" s="53"/>
      <c r="BP143" s="53"/>
      <c r="BQ143" s="53"/>
      <c r="BR143" s="53"/>
      <c r="BS143" s="53"/>
      <c r="BT143" s="53"/>
      <c r="BU143" s="53"/>
      <c r="BV143" s="53"/>
      <c r="BW143" s="53"/>
      <c r="BX143" s="53"/>
      <c r="BY143" s="53"/>
      <c r="BZ143" s="53"/>
      <c r="CA143" s="53"/>
      <c r="CB143" s="53"/>
      <c r="CC143" s="53"/>
      <c r="CD143" s="53"/>
      <c r="CE143" s="53"/>
      <c r="CF143" s="53"/>
      <c r="CG143" s="53"/>
      <c r="CH143" s="53"/>
      <c r="CI143" s="53"/>
      <c r="CJ143" s="53"/>
      <c r="CK143" s="53"/>
      <c r="CL143" s="53"/>
      <c r="CM143" s="53"/>
      <c r="CN143" s="53"/>
      <c r="CO143" s="53"/>
      <c r="CP143" s="53"/>
      <c r="CQ143" s="53"/>
      <c r="CR143" s="1"/>
      <c r="CS143" s="1"/>
      <c r="CT143" s="1"/>
      <c r="CU143" s="1"/>
    </row>
    <row r="144" spans="1:99" s="13" customFormat="1" ht="12" customHeight="1" x14ac:dyDescent="0.2">
      <c r="A144" s="65">
        <v>43509</v>
      </c>
      <c r="B144" s="1"/>
      <c r="C144" s="1"/>
      <c r="D144" s="60"/>
      <c r="E144" s="76"/>
      <c r="F144" s="60"/>
      <c r="G144" s="60"/>
      <c r="H144" s="60"/>
      <c r="I144" s="60"/>
      <c r="J144" s="60"/>
      <c r="K144" s="64"/>
      <c r="L144" s="64"/>
      <c r="M144" s="60"/>
      <c r="N144" s="60"/>
      <c r="O144" s="60"/>
      <c r="P144" s="60"/>
      <c r="Q144" s="60"/>
      <c r="R144" s="60"/>
      <c r="S144" s="60"/>
      <c r="T144" s="60"/>
      <c r="U144" s="60"/>
      <c r="V144" s="60"/>
      <c r="W144" s="60"/>
      <c r="X144" s="60"/>
      <c r="Y144" s="76"/>
      <c r="Z144" s="60"/>
      <c r="AA144" s="60"/>
      <c r="AB144" s="60"/>
      <c r="AC144" s="60"/>
      <c r="AD144" s="60"/>
      <c r="AE144" s="60"/>
      <c r="AF144" s="80"/>
      <c r="AG144" s="56"/>
      <c r="AH144" s="4"/>
      <c r="AI144" s="56"/>
      <c r="AJ144" s="109"/>
      <c r="AK144" s="56"/>
      <c r="AL144" s="56"/>
      <c r="AM144" s="56"/>
      <c r="AN144" s="56"/>
      <c r="AO144" s="56"/>
      <c r="AP144" s="56"/>
      <c r="AQ144" s="56"/>
      <c r="AR144" s="109"/>
      <c r="AS144" s="56"/>
      <c r="AT144" s="56"/>
      <c r="AU144" s="4"/>
      <c r="AV144" s="137">
        <v>80</v>
      </c>
      <c r="AW144" s="137">
        <f>24*3600*1</f>
        <v>86400</v>
      </c>
      <c r="AX144" s="137">
        <f>24*3600*2</f>
        <v>172800</v>
      </c>
      <c r="AY144" s="53"/>
      <c r="AZ144" s="53"/>
      <c r="BA144" s="53"/>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53"/>
      <c r="CD144" s="53"/>
      <c r="CE144" s="53"/>
      <c r="CF144" s="53"/>
      <c r="CG144" s="53"/>
      <c r="CH144" s="53"/>
      <c r="CI144" s="53"/>
      <c r="CJ144" s="53"/>
      <c r="CK144" s="53"/>
      <c r="CL144" s="53"/>
      <c r="CM144" s="53"/>
      <c r="CN144" s="53"/>
      <c r="CO144" s="53"/>
      <c r="CP144" s="53"/>
      <c r="CQ144" s="53"/>
      <c r="CR144" s="1"/>
      <c r="CS144" s="1"/>
      <c r="CT144" s="1"/>
      <c r="CU144" s="1"/>
    </row>
    <row r="145" spans="1:99" s="13" customFormat="1" ht="12" customHeight="1" x14ac:dyDescent="0.2">
      <c r="A145" s="65">
        <v>43509</v>
      </c>
      <c r="B145" s="1" t="s">
        <v>122</v>
      </c>
      <c r="C145" s="1" t="s">
        <v>70</v>
      </c>
      <c r="D145" s="60">
        <v>2014</v>
      </c>
      <c r="E145" s="76">
        <v>1</v>
      </c>
      <c r="F145" s="60">
        <v>81</v>
      </c>
      <c r="G145" s="60">
        <v>27</v>
      </c>
      <c r="H145" s="60" t="s">
        <v>50</v>
      </c>
      <c r="I145" s="60" t="s">
        <v>757</v>
      </c>
      <c r="J145" s="60" t="s">
        <v>16</v>
      </c>
      <c r="K145" s="60">
        <f>IF(J145="syllables",1,IF(J145="trigrams",2,IF(J145="strings",3,IF(J145="visual array",4,IF(J145="characters",5,IF(J145="letters",6,IF(J145="free forms",7,IF(J145="odors",8,IF(J145="words",9,IF(J145="pictures",10,IF(J145="object pictures",11,IF(J145="faces",12,IF(J145="names",13,IF(J145="idioms",14,IF(J145="grades",15,IF(J145="syllable-digit pairs",16,IF(J145="trigram-word pairs",17,IF(J145="word-digit pairs",18,IF(J145="English-Swahili pairs",19,IF(J145="spatial position",20,IF(J145="word pairs",21,IF(J145="word triads",22,IF(J145="generated words",23,IF(J145="word definition pairs",24,IF(J145="math problems",25,IF(J145="famous faces",26,IF(J145="famous names",27,IF(J145="famous voices",28,IF(J145="television programs",29,IF(J145="race horses",30,IF(J145="new vocabulary",31,IF(J145="sentences",32,IF(J145="concepts",33,IF(J145="ad slides",34,IF(J145="scenes",35,IF(J145="famous scenes",36,IF(J145="poems",37,IF(J145="walk",38,IF(J145="faces and events",39,IF(J145="events and names",40,IF(J145="flashbulb",41,IF(J145="stories",42,IF(J145="course material",43,IF(J145="autobiographical",44,IF(J145="novels",45,IF(J145="public events",46,"99"))))))))))))))))))))))))))))))))))))))))))))))</f>
        <v>9</v>
      </c>
      <c r="L145" s="60">
        <f>IF(J145="syllables",1,IF(J145="trigrams",1,IF(J145="strings",1,IF(J145="visual array",1,IF(J145="characters",1,IF(J145="letters",1,IF(J145="free forms",1,IF(J145="odors",2,IF(J145="words",2,IF(J145="pictures",2,IF(J145="object pictures",2,IF(J145="faces",2,IF(J145="names",2,IF(J145="idioms","2",IF(J145="grades",2,IF(J145="syllable-digit pairs",3,IF(J145="trigram-word pairs",3,IF(J145="word-digit pairs",3,IF(J145="English-Swahili pairs",3,IF(J145="spatial position",3,IF(J145="word pairs",4,IF(J145="word triads",4,IF(J145="generated words",4,IF(J145="word definition pairs",4,IF(J145="math problems",4,IF(J145="famous faces",4,IF(J145="famous names",4,IF(J145="famous voices",4,IF(J145="television programs",4,IF(J145="race horses",4,IF(J145="new vocabulary",4,IF(J145="sentences",5,IF(J145="concepts",5,IF(J145="ad slides",5,IF(J145="scenes",5,IF(J145="famous scenes",5,IF(J145="poems",6,IF(J145="walk",6,IF(J145="faces and events",6,IF(J145="events and names",6,IF(J145="flashbulb",7,IF(J145="stories",7,IF(J145="course material",7,IF(J145="autobiographical",7,IF(J145="novels",7,IF(J145="public events",7,"99"))))))))))))))))))))))))))))))))))))))))))))))</f>
        <v>2</v>
      </c>
      <c r="M145" s="60">
        <v>0</v>
      </c>
      <c r="N145" s="60">
        <v>1</v>
      </c>
      <c r="O145" s="60">
        <v>1</v>
      </c>
      <c r="P145" s="60" t="s">
        <v>123</v>
      </c>
      <c r="Q145" s="60" t="s">
        <v>174</v>
      </c>
      <c r="R145" s="60">
        <f>IF(Q145="Free Recall",1,IF(Q145="Cued Recall",2,IF(Q145="Recognition",3,IF(Q145="Multiple Choice",4,IF(Q145="Savings",5,IF(Q145="Stem Completion",6,IF(Q145="Fragment Completion",7,IF(Q145="anagram solution",8,IF(Q145="Matching",9,IF(Q145="Problem Solving",10,"99"))))))))))</f>
        <v>1</v>
      </c>
      <c r="S145" s="60" t="s">
        <v>49</v>
      </c>
      <c r="T145" s="62" t="s">
        <v>261</v>
      </c>
      <c r="U145" s="60">
        <f>IF(T145="within",1,0)</f>
        <v>0</v>
      </c>
      <c r="V145" s="62">
        <v>16</v>
      </c>
      <c r="W145" s="60">
        <f>F145*V145</f>
        <v>1296</v>
      </c>
      <c r="X145" s="60">
        <v>3</v>
      </c>
      <c r="Y145" s="76">
        <f>AV144</f>
        <v>80</v>
      </c>
      <c r="Z145" s="60" t="s">
        <v>88</v>
      </c>
      <c r="AA145" s="60">
        <v>172800</v>
      </c>
      <c r="AB145" s="60" t="str">
        <f>IF(AA145&lt;60,"1",IF(AA145&lt;=43200,"2",IF(AA145&lt;=777600,"3","4")))</f>
        <v>3</v>
      </c>
      <c r="AC145" s="56">
        <f>AVERAGE(AV144:DA144)</f>
        <v>86426.666666666672</v>
      </c>
      <c r="AD145" s="60" t="str">
        <f>IF(AC145&lt;60,"1",IF(AC145&lt;=43200,"2",IF(AC145&lt;=777600,"3","4")))</f>
        <v>3</v>
      </c>
      <c r="AE145" s="76">
        <f>AA145-Y145</f>
        <v>172720</v>
      </c>
      <c r="AF145" s="80">
        <f>AV145</f>
        <v>0.49199999999999999</v>
      </c>
      <c r="AG145" s="56">
        <f>((AW145-AV145)+(AX145-AW145))/2</f>
        <v>-0.125</v>
      </c>
      <c r="AH145" s="4"/>
      <c r="AI145" s="56">
        <f>RSQ(AV145:AX145,AV144:AX144)</f>
        <v>0.76476707232578622</v>
      </c>
      <c r="AJ145" s="109">
        <f>SLOPE(AV145:AX145,AV144:AX144)</f>
        <v>-1.4472147286540093E-6</v>
      </c>
      <c r="AK145" s="56">
        <f>INTERCEPT(AV145:AX145,AV144:AX144)</f>
        <v>0.45207794494847053</v>
      </c>
      <c r="AL145" s="56">
        <f>INDEX(LINEST(LN(AV145:AX145),LN(AV144:AX144),TRUE,TRUE),3,1)</f>
        <v>0.99682500715479072</v>
      </c>
      <c r="AM145" s="56">
        <f>INDEX(LINEST(LN(AV145:AX145),LN(AV144:AX144)),1)</f>
        <v>-9.4949048251594365E-2</v>
      </c>
      <c r="AN145" s="56">
        <f>EXP(INDEX(LINEST(LN(AV145:AX145),LN(AV144:AX144)),1,2))</f>
        <v>0.7442697361872308</v>
      </c>
      <c r="AO145" s="82">
        <f>INDEX(LINEST((AV145:AX145),LN(AV144:AX144),TRUE,TRUE),3,1)</f>
        <v>0.9958835494346252</v>
      </c>
      <c r="AP145" s="82">
        <f>INDEX(LINEST((AV145:AX145),LN(AV144:AX144)),1)</f>
        <v>-3.3582621176585503E-2</v>
      </c>
      <c r="AQ145" s="83">
        <f>INDEX(LINEST(LN(AV145:AX145),SQRT(AV144:AX144),TRUE,TRUE),3,1)</f>
        <v>0.92855216641519289</v>
      </c>
      <c r="AR145" s="116">
        <f>INDEX(LINEST(LN(AV145:AX145),SQRT((AV144:AX144))),1)</f>
        <v>-1.8642468464226537E-3</v>
      </c>
      <c r="AS145" s="84">
        <f>INDEX(LINEST(1/(AV145:AX145),1/(SQRT(AV144:AX144)),TRUE,TRUE),3,1)</f>
        <v>0.99925689303630472</v>
      </c>
      <c r="AT145" s="84">
        <f>INDEX(LINEST(1/(AV145:AX145),1/SQRT(AV144:AX144)),1)</f>
        <v>-18.901195145075832</v>
      </c>
      <c r="AU145" s="3"/>
      <c r="AV145" s="53">
        <v>0.49199999999999999</v>
      </c>
      <c r="AW145" s="53">
        <v>0.247</v>
      </c>
      <c r="AX145" s="53">
        <v>0.24199999999999999</v>
      </c>
      <c r="AY145" s="53"/>
      <c r="AZ145" s="53"/>
      <c r="BA145" s="53"/>
      <c r="BB145" s="53"/>
      <c r="BC145" s="53"/>
      <c r="BD145" s="53"/>
      <c r="BE145" s="53"/>
      <c r="BF145" s="53"/>
      <c r="BG145" s="53"/>
      <c r="BH145" s="53"/>
      <c r="BI145" s="53"/>
      <c r="BJ145" s="53"/>
      <c r="BK145" s="53"/>
      <c r="BL145" s="53"/>
      <c r="BM145" s="53"/>
      <c r="BN145" s="53"/>
      <c r="BO145" s="53"/>
      <c r="BP145" s="53"/>
      <c r="BQ145" s="53"/>
      <c r="BR145" s="53"/>
      <c r="BS145" s="53"/>
      <c r="BT145" s="53"/>
      <c r="BU145" s="53"/>
      <c r="BV145" s="53"/>
      <c r="BW145" s="53"/>
      <c r="BX145" s="53"/>
      <c r="BY145" s="53"/>
      <c r="BZ145" s="53"/>
      <c r="CA145" s="53"/>
      <c r="CB145" s="53"/>
      <c r="CC145" s="53"/>
      <c r="CD145" s="53"/>
      <c r="CE145" s="53"/>
      <c r="CF145" s="53"/>
      <c r="CG145" s="53"/>
      <c r="CH145" s="53"/>
      <c r="CI145" s="53"/>
      <c r="CJ145" s="53"/>
      <c r="CK145" s="53"/>
      <c r="CL145" s="53"/>
      <c r="CM145" s="53"/>
      <c r="CN145" s="53"/>
      <c r="CO145" s="53"/>
      <c r="CP145" s="53"/>
      <c r="CQ145" s="53"/>
      <c r="CR145" s="1"/>
      <c r="CS145" s="1"/>
      <c r="CT145" s="1"/>
      <c r="CU145" s="1"/>
    </row>
    <row r="146" spans="1:99" s="13" customFormat="1" ht="12" customHeight="1" x14ac:dyDescent="0.2">
      <c r="A146" s="65">
        <v>43509</v>
      </c>
      <c r="B146" s="1"/>
      <c r="C146" s="1"/>
      <c r="D146" s="60"/>
      <c r="E146" s="76"/>
      <c r="F146" s="60"/>
      <c r="G146" s="60"/>
      <c r="H146" s="60"/>
      <c r="I146" s="60"/>
      <c r="J146" s="60"/>
      <c r="K146" s="64"/>
      <c r="L146" s="64"/>
      <c r="M146" s="60"/>
      <c r="N146" s="60"/>
      <c r="O146" s="60"/>
      <c r="P146" s="60"/>
      <c r="Q146" s="60"/>
      <c r="R146" s="60"/>
      <c r="S146" s="60"/>
      <c r="T146" s="60"/>
      <c r="U146" s="60"/>
      <c r="V146" s="60"/>
      <c r="W146" s="60"/>
      <c r="X146" s="60"/>
      <c r="Y146" s="76"/>
      <c r="Z146" s="60"/>
      <c r="AA146" s="60"/>
      <c r="AB146" s="60"/>
      <c r="AC146" s="60"/>
      <c r="AD146" s="60"/>
      <c r="AE146" s="60"/>
      <c r="AF146" s="80"/>
      <c r="AG146" s="56"/>
      <c r="AH146" s="4"/>
      <c r="AI146" s="56"/>
      <c r="AJ146" s="109"/>
      <c r="AK146" s="56"/>
      <c r="AL146" s="56"/>
      <c r="AM146" s="56"/>
      <c r="AN146" s="56"/>
      <c r="AO146" s="56"/>
      <c r="AP146" s="56"/>
      <c r="AQ146" s="56"/>
      <c r="AR146" s="109"/>
      <c r="AS146" s="56"/>
      <c r="AT146" s="56"/>
      <c r="AU146" s="4"/>
      <c r="AV146" s="137">
        <v>80</v>
      </c>
      <c r="AW146" s="137">
        <f>24*3600*1</f>
        <v>86400</v>
      </c>
      <c r="AX146" s="137">
        <f>24*3600*2</f>
        <v>172800</v>
      </c>
      <c r="AY146" s="53"/>
      <c r="AZ146" s="53"/>
      <c r="BA146" s="53"/>
      <c r="BB146" s="53"/>
      <c r="BC146" s="53"/>
      <c r="BD146" s="53"/>
      <c r="BE146" s="53"/>
      <c r="BF146" s="53"/>
      <c r="BG146" s="53"/>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c r="CE146" s="53"/>
      <c r="CF146" s="53"/>
      <c r="CG146" s="53"/>
      <c r="CH146" s="53"/>
      <c r="CI146" s="53"/>
      <c r="CJ146" s="53"/>
      <c r="CK146" s="53"/>
      <c r="CL146" s="53"/>
      <c r="CM146" s="53"/>
      <c r="CN146" s="53"/>
      <c r="CO146" s="53"/>
      <c r="CP146" s="53"/>
      <c r="CQ146" s="53"/>
      <c r="CR146" s="1"/>
      <c r="CS146" s="1"/>
      <c r="CT146" s="1"/>
      <c r="CU146" s="1"/>
    </row>
    <row r="147" spans="1:99" s="13" customFormat="1" ht="12" customHeight="1" x14ac:dyDescent="0.2">
      <c r="A147" s="65">
        <v>43509</v>
      </c>
      <c r="B147" s="1" t="s">
        <v>122</v>
      </c>
      <c r="C147" s="1" t="s">
        <v>70</v>
      </c>
      <c r="D147" s="60">
        <v>2014</v>
      </c>
      <c r="E147" s="76">
        <v>1</v>
      </c>
      <c r="F147" s="60">
        <v>81</v>
      </c>
      <c r="G147" s="60">
        <v>27</v>
      </c>
      <c r="H147" s="60" t="s">
        <v>50</v>
      </c>
      <c r="I147" s="60" t="s">
        <v>758</v>
      </c>
      <c r="J147" s="60" t="s">
        <v>16</v>
      </c>
      <c r="K147" s="60">
        <f>IF(J147="syllables",1,IF(J147="trigrams",2,IF(J147="strings",3,IF(J147="visual array",4,IF(J147="characters",5,IF(J147="letters",6,IF(J147="free forms",7,IF(J147="odors",8,IF(J147="words",9,IF(J147="pictures",10,IF(J147="object pictures",11,IF(J147="faces",12,IF(J147="names",13,IF(J147="idioms",14,IF(J147="grades",15,IF(J147="syllable-digit pairs",16,IF(J147="trigram-word pairs",17,IF(J147="word-digit pairs",18,IF(J147="English-Swahili pairs",19,IF(J147="spatial position",20,IF(J147="word pairs",21,IF(J147="word triads",22,IF(J147="generated words",23,IF(J147="word definition pairs",24,IF(J147="math problems",25,IF(J147="famous faces",26,IF(J147="famous names",27,IF(J147="famous voices",28,IF(J147="television programs",29,IF(J147="race horses",30,IF(J147="new vocabulary",31,IF(J147="sentences",32,IF(J147="concepts",33,IF(J147="ad slides",34,IF(J147="scenes",35,IF(J147="famous scenes",36,IF(J147="poems",37,IF(J147="walk",38,IF(J147="faces and events",39,IF(J147="events and names",40,IF(J147="flashbulb",41,IF(J147="stories",42,IF(J147="course material",43,IF(J147="autobiographical",44,IF(J147="novels",45,IF(J147="public events",46,"99"))))))))))))))))))))))))))))))))))))))))))))))</f>
        <v>9</v>
      </c>
      <c r="L147" s="60">
        <f>IF(J147="syllables",1,IF(J147="trigrams",1,IF(J147="strings",1,IF(J147="visual array",1,IF(J147="characters",1,IF(J147="letters",1,IF(J147="free forms",1,IF(J147="odors",2,IF(J147="words",2,IF(J147="pictures",2,IF(J147="object pictures",2,IF(J147="faces",2,IF(J147="names",2,IF(J147="idioms","2",IF(J147="grades",2,IF(J147="syllable-digit pairs",3,IF(J147="trigram-word pairs",3,IF(J147="word-digit pairs",3,IF(J147="English-Swahili pairs",3,IF(J147="spatial position",3,IF(J147="word pairs",4,IF(J147="word triads",4,IF(J147="generated words",4,IF(J147="word definition pairs",4,IF(J147="math problems",4,IF(J147="famous faces",4,IF(J147="famous names",4,IF(J147="famous voices",4,IF(J147="television programs",4,IF(J147="race horses",4,IF(J147="new vocabulary",4,IF(J147="sentences",5,IF(J147="concepts",5,IF(J147="ad slides",5,IF(J147="scenes",5,IF(J147="famous scenes",5,IF(J147="poems",6,IF(J147="walk",6,IF(J147="faces and events",6,IF(J147="events and names",6,IF(J147="flashbulb",7,IF(J147="stories",7,IF(J147="course material",7,IF(J147="autobiographical",7,IF(J147="novels",7,IF(J147="public events",7,"99"))))))))))))))))))))))))))))))))))))))))))))))</f>
        <v>2</v>
      </c>
      <c r="M147" s="60">
        <v>0</v>
      </c>
      <c r="N147" s="60">
        <v>1</v>
      </c>
      <c r="O147" s="60">
        <v>1</v>
      </c>
      <c r="P147" s="60" t="s">
        <v>123</v>
      </c>
      <c r="Q147" s="60" t="s">
        <v>34</v>
      </c>
      <c r="R147" s="60">
        <f>IF(Q147="Free Recall",1,IF(Q147="Cued Recall",2,IF(Q147="Recognition",3,IF(Q147="Multiple Choice",4,IF(Q147="Savings",5,IF(Q147="Stem Completion",6,IF(Q147="Fragment Completion",7,IF(Q147="anagram solution",8,IF(Q147="Matching",9,IF(Q147="Problem Solving",10,"99"))))))))))</f>
        <v>3</v>
      </c>
      <c r="S147" s="60" t="s">
        <v>15</v>
      </c>
      <c r="T147" s="62" t="s">
        <v>261</v>
      </c>
      <c r="U147" s="60">
        <f>IF(T147="within",1,0)</f>
        <v>0</v>
      </c>
      <c r="V147" s="62">
        <v>16</v>
      </c>
      <c r="W147" s="60">
        <f>F147*V147</f>
        <v>1296</v>
      </c>
      <c r="X147" s="60">
        <v>3</v>
      </c>
      <c r="Y147" s="76">
        <f>AV146</f>
        <v>80</v>
      </c>
      <c r="Z147" s="60" t="s">
        <v>88</v>
      </c>
      <c r="AA147" s="60">
        <v>172800</v>
      </c>
      <c r="AB147" s="60" t="str">
        <f>IF(AA147&lt;60,"1",IF(AA147&lt;=43200,"2",IF(AA147&lt;=777600,"3","4")))</f>
        <v>3</v>
      </c>
      <c r="AC147" s="56">
        <f>AVERAGE(AV146:DA146)</f>
        <v>86426.666666666672</v>
      </c>
      <c r="AD147" s="60" t="str">
        <f>IF(AC147&lt;60,"1",IF(AC147&lt;=43200,"2",IF(AC147&lt;=777600,"3","4")))</f>
        <v>3</v>
      </c>
      <c r="AE147" s="76">
        <f>AA147-Y147</f>
        <v>172720</v>
      </c>
      <c r="AF147" s="80">
        <f>AV147</f>
        <v>0.95299999999999996</v>
      </c>
      <c r="AG147" s="56">
        <f>((AW147-AV147)+(AX147-AW147))/2</f>
        <v>-6.8500000000000005E-2</v>
      </c>
      <c r="AH147" s="4"/>
      <c r="AI147" s="56">
        <f>RSQ(AV147:AX147,AV146:AX146)</f>
        <v>0.64745765436038405</v>
      </c>
      <c r="AJ147" s="109">
        <f>SLOPE(AV147:AX147,AV146:AX146)</f>
        <v>-7.9303480502213839E-7</v>
      </c>
      <c r="AK147" s="56">
        <f>INTERCEPT(AV147:AX147,AV146:AX146)</f>
        <v>0.92387268808204659</v>
      </c>
      <c r="AL147" s="56">
        <f>INDEX(LINEST(LN(AV147:AX147),LN(AV146:AX146),TRUE,TRUE),3,1)</f>
        <v>0.95924160544215797</v>
      </c>
      <c r="AM147" s="56">
        <f>INDEX(LINEST(LN(AV147:AX147),LN(AV146:AX146)),1)</f>
        <v>-2.2398360480603421E-2</v>
      </c>
      <c r="AN147" s="56">
        <f>EXP(INDEX(LINEST(LN(AV147:AX147),LN(AV146:AX146)),1,2))</f>
        <v>1.0493408045432684</v>
      </c>
      <c r="AO147" s="82">
        <f>INDEX(LINEST((AV147:AX147),LN(AV146:AX146),TRUE,TRUE),3,1)</f>
        <v>0.96300541331461853</v>
      </c>
      <c r="AP147" s="82">
        <f>INDEX(LINEST((AV147:AX147),LN(AV146:AX146)),1)</f>
        <v>-1.9667214547867625E-2</v>
      </c>
      <c r="AQ147" s="83">
        <f>INDEX(LINEST(LN(AV147:AX147),SQRT(AV146:AX146),TRUE,TRUE),3,1)</f>
        <v>0.83559290349933057</v>
      </c>
      <c r="AR147" s="116">
        <f>INDEX(LINEST(LN(AV147:AX147),SQRT((AV146:AX146))),1)</f>
        <v>-4.2527387806516641E-4</v>
      </c>
      <c r="AS147" s="84">
        <f>INDEX(LINEST(1/(AV147:AX147),1/(SQRT(AV146:AX146)),TRUE,TRUE),3,1)</f>
        <v>0.98059040028623112</v>
      </c>
      <c r="AT147" s="84">
        <f>INDEX(LINEST(1/(AV147:AX147),1/SQRT(AV146:AX146)),1)</f>
        <v>-1.7499362324948682</v>
      </c>
      <c r="AU147" s="3"/>
      <c r="AV147" s="53">
        <v>0.95299999999999996</v>
      </c>
      <c r="AW147" s="53">
        <v>0.79700000000000004</v>
      </c>
      <c r="AX147" s="53">
        <v>0.81599999999999995</v>
      </c>
      <c r="AY147" s="53"/>
      <c r="AZ147" s="53"/>
      <c r="BA147" s="53"/>
      <c r="BB147" s="53"/>
      <c r="BC147" s="53"/>
      <c r="BD147" s="53"/>
      <c r="BE147" s="53"/>
      <c r="BF147" s="53"/>
      <c r="BG147" s="53"/>
      <c r="BH147" s="53"/>
      <c r="BI147" s="53"/>
      <c r="BJ147" s="53"/>
      <c r="BK147" s="53"/>
      <c r="BL147" s="53"/>
      <c r="BM147" s="53"/>
      <c r="BN147" s="53"/>
      <c r="BO147" s="53"/>
      <c r="BP147" s="53"/>
      <c r="BQ147" s="53"/>
      <c r="BR147" s="53"/>
      <c r="BS147" s="53"/>
      <c r="BT147" s="53"/>
      <c r="BU147" s="53"/>
      <c r="BV147" s="53"/>
      <c r="BW147" s="53"/>
      <c r="BX147" s="53"/>
      <c r="BY147" s="53"/>
      <c r="BZ147" s="53"/>
      <c r="CA147" s="53"/>
      <c r="CB147" s="53"/>
      <c r="CC147" s="53"/>
      <c r="CD147" s="53"/>
      <c r="CE147" s="53"/>
      <c r="CF147" s="53"/>
      <c r="CG147" s="53"/>
      <c r="CH147" s="53"/>
      <c r="CI147" s="53"/>
      <c r="CJ147" s="53"/>
      <c r="CK147" s="53"/>
      <c r="CL147" s="53"/>
      <c r="CM147" s="53"/>
      <c r="CN147" s="53"/>
      <c r="CO147" s="53"/>
      <c r="CP147" s="53"/>
      <c r="CQ147" s="53"/>
      <c r="CR147" s="1"/>
      <c r="CS147" s="1"/>
      <c r="CT147" s="1"/>
      <c r="CU147" s="1"/>
    </row>
    <row r="148" spans="1:99" s="13" customFormat="1" ht="12" customHeight="1" x14ac:dyDescent="0.2">
      <c r="A148" s="65">
        <v>43509</v>
      </c>
      <c r="B148" s="1"/>
      <c r="C148" s="1"/>
      <c r="D148" s="60"/>
      <c r="E148" s="76"/>
      <c r="F148" s="60"/>
      <c r="G148" s="60"/>
      <c r="H148" s="60"/>
      <c r="I148" s="60"/>
      <c r="J148" s="60"/>
      <c r="K148" s="64"/>
      <c r="L148" s="64"/>
      <c r="M148" s="60"/>
      <c r="N148" s="60"/>
      <c r="O148" s="60"/>
      <c r="P148" s="60"/>
      <c r="Q148" s="60"/>
      <c r="R148" s="60"/>
      <c r="S148" s="60"/>
      <c r="T148" s="60"/>
      <c r="U148" s="60"/>
      <c r="V148" s="60"/>
      <c r="W148" s="60"/>
      <c r="X148" s="60"/>
      <c r="Y148" s="76"/>
      <c r="Z148" s="60"/>
      <c r="AA148" s="60"/>
      <c r="AB148" s="60"/>
      <c r="AC148" s="60"/>
      <c r="AD148" s="60"/>
      <c r="AE148" s="60"/>
      <c r="AF148" s="80"/>
      <c r="AG148" s="56"/>
      <c r="AH148" s="4"/>
      <c r="AI148" s="56"/>
      <c r="AJ148" s="109"/>
      <c r="AK148" s="56"/>
      <c r="AL148" s="56"/>
      <c r="AM148" s="56"/>
      <c r="AN148" s="56"/>
      <c r="AO148" s="56"/>
      <c r="AP148" s="56"/>
      <c r="AQ148" s="56"/>
      <c r="AR148" s="109"/>
      <c r="AS148" s="56"/>
      <c r="AT148" s="56"/>
      <c r="AU148" s="4"/>
      <c r="AV148" s="137">
        <v>80</v>
      </c>
      <c r="AW148" s="137">
        <f>24*3600*1</f>
        <v>86400</v>
      </c>
      <c r="AX148" s="137">
        <f>24*3600*2</f>
        <v>172800</v>
      </c>
      <c r="AY148" s="53"/>
      <c r="AZ148" s="53"/>
      <c r="BA148" s="53"/>
      <c r="BB148" s="53"/>
      <c r="BC148" s="53"/>
      <c r="BD148" s="53"/>
      <c r="BE148" s="53"/>
      <c r="BF148" s="53"/>
      <c r="BG148" s="53"/>
      <c r="BH148" s="53"/>
      <c r="BI148" s="53"/>
      <c r="BJ148" s="53"/>
      <c r="BK148" s="53"/>
      <c r="BL148" s="53"/>
      <c r="BM148" s="53"/>
      <c r="BN148" s="53"/>
      <c r="BO148" s="53"/>
      <c r="BP148" s="53"/>
      <c r="BQ148" s="53"/>
      <c r="BR148" s="53"/>
      <c r="BS148" s="53"/>
      <c r="BT148" s="53"/>
      <c r="BU148" s="53"/>
      <c r="BV148" s="53"/>
      <c r="BW148" s="53"/>
      <c r="BX148" s="53"/>
      <c r="BY148" s="53"/>
      <c r="BZ148" s="53"/>
      <c r="CA148" s="53"/>
      <c r="CB148" s="53"/>
      <c r="CC148" s="53"/>
      <c r="CD148" s="53"/>
      <c r="CE148" s="53"/>
      <c r="CF148" s="53"/>
      <c r="CG148" s="53"/>
      <c r="CH148" s="53"/>
      <c r="CI148" s="53"/>
      <c r="CJ148" s="53"/>
      <c r="CK148" s="53"/>
      <c r="CL148" s="53"/>
      <c r="CM148" s="53"/>
      <c r="CN148" s="53"/>
      <c r="CO148" s="53"/>
      <c r="CP148" s="53"/>
      <c r="CQ148" s="53"/>
      <c r="CR148" s="1"/>
      <c r="CS148" s="1"/>
      <c r="CT148" s="1"/>
      <c r="CU148" s="1"/>
    </row>
    <row r="149" spans="1:99" s="13" customFormat="1" ht="12" customHeight="1" x14ac:dyDescent="0.2">
      <c r="A149" s="65">
        <v>43509</v>
      </c>
      <c r="B149" s="1" t="s">
        <v>122</v>
      </c>
      <c r="C149" s="1" t="s">
        <v>70</v>
      </c>
      <c r="D149" s="60">
        <v>2014</v>
      </c>
      <c r="E149" s="76">
        <v>1</v>
      </c>
      <c r="F149" s="60">
        <v>81</v>
      </c>
      <c r="G149" s="60">
        <v>27</v>
      </c>
      <c r="H149" s="60" t="s">
        <v>50</v>
      </c>
      <c r="I149" s="60" t="s">
        <v>759</v>
      </c>
      <c r="J149" s="60" t="s">
        <v>16</v>
      </c>
      <c r="K149" s="60">
        <f>IF(J149="syllables",1,IF(J149="trigrams",2,IF(J149="strings",3,IF(J149="visual array",4,IF(J149="characters",5,IF(J149="letters",6,IF(J149="free forms",7,IF(J149="odors",8,IF(J149="words",9,IF(J149="pictures",10,IF(J149="object pictures",11,IF(J149="faces",12,IF(J149="names",13,IF(J149="idioms",14,IF(J149="grades",15,IF(J149="syllable-digit pairs",16,IF(J149="trigram-word pairs",17,IF(J149="word-digit pairs",18,IF(J149="English-Swahili pairs",19,IF(J149="spatial position",20,IF(J149="word pairs",21,IF(J149="word triads",22,IF(J149="generated words",23,IF(J149="word definition pairs",24,IF(J149="math problems",25,IF(J149="famous faces",26,IF(J149="famous names",27,IF(J149="famous voices",28,IF(J149="television programs",29,IF(J149="race horses",30,IF(J149="new vocabulary",31,IF(J149="sentences",32,IF(J149="concepts",33,IF(J149="ad slides",34,IF(J149="scenes",35,IF(J149="famous scenes",36,IF(J149="poems",37,IF(J149="walk",38,IF(J149="faces and events",39,IF(J149="events and names",40,IF(J149="flashbulb",41,IF(J149="stories",42,IF(J149="course material",43,IF(J149="autobiographical",44,IF(J149="novels",45,IF(J149="public events",46,"99"))))))))))))))))))))))))))))))))))))))))))))))</f>
        <v>9</v>
      </c>
      <c r="L149" s="60">
        <f>IF(J149="syllables",1,IF(J149="trigrams",1,IF(J149="strings",1,IF(J149="visual array",1,IF(J149="characters",1,IF(J149="letters",1,IF(J149="free forms",1,IF(J149="odors",2,IF(J149="words",2,IF(J149="pictures",2,IF(J149="object pictures",2,IF(J149="faces",2,IF(J149="names",2,IF(J149="idioms","2",IF(J149="grades",2,IF(J149="syllable-digit pairs",3,IF(J149="trigram-word pairs",3,IF(J149="word-digit pairs",3,IF(J149="English-Swahili pairs",3,IF(J149="spatial position",3,IF(J149="word pairs",4,IF(J149="word triads",4,IF(J149="generated words",4,IF(J149="word definition pairs",4,IF(J149="math problems",4,IF(J149="famous faces",4,IF(J149="famous names",4,IF(J149="famous voices",4,IF(J149="television programs",4,IF(J149="race horses",4,IF(J149="new vocabulary",4,IF(J149="sentences",5,IF(J149="concepts",5,IF(J149="ad slides",5,IF(J149="scenes",5,IF(J149="famous scenes",5,IF(J149="poems",6,IF(J149="walk",6,IF(J149="faces and events",6,IF(J149="events and names",6,IF(J149="flashbulb",7,IF(J149="stories",7,IF(J149="course material",7,IF(J149="autobiographical",7,IF(J149="novels",7,IF(J149="public events",7,"99"))))))))))))))))))))))))))))))))))))))))))))))</f>
        <v>2</v>
      </c>
      <c r="M149" s="60">
        <v>0</v>
      </c>
      <c r="N149" s="60">
        <v>1</v>
      </c>
      <c r="O149" s="60">
        <v>1</v>
      </c>
      <c r="P149" s="60" t="s">
        <v>123</v>
      </c>
      <c r="Q149" s="60" t="s">
        <v>34</v>
      </c>
      <c r="R149" s="60">
        <f>IF(Q149="Free Recall",1,IF(Q149="Cued Recall",2,IF(Q149="Recognition",3,IF(Q149="Multiple Choice",4,IF(Q149="Savings",5,IF(Q149="Stem Completion",6,IF(Q149="Fragment Completion",7,IF(Q149="anagram solution",8,IF(Q149="Matching",9,IF(Q149="Problem Solving",10,"99"))))))))))</f>
        <v>3</v>
      </c>
      <c r="S149" s="60" t="s">
        <v>15</v>
      </c>
      <c r="T149" s="62" t="s">
        <v>261</v>
      </c>
      <c r="U149" s="60">
        <f>IF(T149="within",1,0)</f>
        <v>0</v>
      </c>
      <c r="V149" s="62">
        <v>16</v>
      </c>
      <c r="W149" s="60">
        <f>F149*V149</f>
        <v>1296</v>
      </c>
      <c r="X149" s="60">
        <v>3</v>
      </c>
      <c r="Y149" s="76">
        <f>AV148</f>
        <v>80</v>
      </c>
      <c r="Z149" s="60" t="s">
        <v>88</v>
      </c>
      <c r="AA149" s="60">
        <v>172800</v>
      </c>
      <c r="AB149" s="60" t="str">
        <f>IF(AA149&lt;60,"1",IF(AA149&lt;=43200,"2",IF(AA149&lt;=777600,"3","4")))</f>
        <v>3</v>
      </c>
      <c r="AC149" s="56">
        <f>AVERAGE(AV148:DA148)</f>
        <v>86426.666666666672</v>
      </c>
      <c r="AD149" s="60" t="str">
        <f>IF(AC149&lt;60,"1",IF(AC149&lt;=43200,"2",IF(AC149&lt;=777600,"3","4")))</f>
        <v>3</v>
      </c>
      <c r="AE149" s="76">
        <f>AA149-Y149</f>
        <v>172720</v>
      </c>
      <c r="AF149" s="80">
        <f>AV149</f>
        <v>0.94299999999999995</v>
      </c>
      <c r="AG149" s="56">
        <f>((AW149-AV149)+(AX149-AW149))/2</f>
        <v>-9.0499999999999969E-2</v>
      </c>
      <c r="AH149" s="4"/>
      <c r="AI149" s="56">
        <f>RSQ(AV149:AX149,AV148:AX148)</f>
        <v>0.79108563268651544</v>
      </c>
      <c r="AJ149" s="109">
        <f>SLOPE(AV149:AX149,AV148:AX148)</f>
        <v>-1.0477948695651921E-6</v>
      </c>
      <c r="AK149" s="56">
        <f>INTERCEPT(AV149:AX149,AV148:AX148)</f>
        <v>0.91622408459362104</v>
      </c>
      <c r="AL149" s="56">
        <f>INDEX(LINEST(LN(AV149:AX149),LN(AV148:AX148),TRUE,TRUE),3,1)</f>
        <v>0.99926581181595209</v>
      </c>
      <c r="AM149" s="56">
        <f>INDEX(LINEST(LN(AV149:AX149),LN(AV148:AX148)),1)</f>
        <v>-2.8118273124892797E-2</v>
      </c>
      <c r="AN149" s="56">
        <f>EXP(INDEX(LINEST(LN(AV149:AX149),LN(AV148:AX148)),1,2))</f>
        <v>1.0663280457123399</v>
      </c>
      <c r="AO149" s="82">
        <f>INDEX(LINEST((AV149:AX149),LN(AV148:AX148),TRUE,TRUE),3,1)</f>
        <v>0.99894210627789815</v>
      </c>
      <c r="AP149" s="82">
        <f>INDEX(LINEST((AV149:AX149),LN(AV148:AX148)),1)</f>
        <v>-2.3942892002640433E-2</v>
      </c>
      <c r="AQ149" s="83">
        <f>INDEX(LINEST(LN(AV149:AX149),SQRT(AV148:AX148),TRUE,TRUE),3,1)</f>
        <v>0.94289126605447193</v>
      </c>
      <c r="AR149" s="116">
        <f>INDEX(LINEST(LN(AV149:AX149),SQRT((AV148:AX148))),1)</f>
        <v>-5.5564581386198747E-4</v>
      </c>
      <c r="AS149" s="84">
        <f>INDEX(LINEST(1/(AV149:AX149),1/(SQRT(AV148:AX148)),TRUE,TRUE),3,1)</f>
        <v>0.99724751826683622</v>
      </c>
      <c r="AT149" s="84">
        <f>INDEX(LINEST(1/(AV149:AX149),1/SQRT(AV148:AX148)),1)</f>
        <v>-2.2359353311376924</v>
      </c>
      <c r="AU149" s="3"/>
      <c r="AV149" s="53">
        <v>0.94299999999999995</v>
      </c>
      <c r="AW149" s="53">
        <v>0.77200000000000002</v>
      </c>
      <c r="AX149" s="53">
        <v>0.76200000000000001</v>
      </c>
      <c r="AY149" s="53"/>
      <c r="AZ149" s="53"/>
      <c r="BA149" s="53"/>
      <c r="BB149" s="53"/>
      <c r="BC149" s="53"/>
      <c r="BD149" s="53"/>
      <c r="BE149" s="53"/>
      <c r="BF149" s="53"/>
      <c r="BG149" s="53"/>
      <c r="BH149" s="53"/>
      <c r="BI149" s="53"/>
      <c r="BJ149" s="53"/>
      <c r="BK149" s="53"/>
      <c r="BL149" s="53"/>
      <c r="BM149" s="53"/>
      <c r="BN149" s="53"/>
      <c r="BO149" s="53"/>
      <c r="BP149" s="53"/>
      <c r="BQ149" s="53"/>
      <c r="BR149" s="53"/>
      <c r="BS149" s="53"/>
      <c r="BT149" s="53"/>
      <c r="BU149" s="53"/>
      <c r="BV149" s="53"/>
      <c r="BW149" s="53"/>
      <c r="BX149" s="53"/>
      <c r="BY149" s="53"/>
      <c r="BZ149" s="53"/>
      <c r="CA149" s="53"/>
      <c r="CB149" s="53"/>
      <c r="CC149" s="53"/>
      <c r="CD149" s="53"/>
      <c r="CE149" s="53"/>
      <c r="CF149" s="53"/>
      <c r="CG149" s="53"/>
      <c r="CH149" s="53"/>
      <c r="CI149" s="53"/>
      <c r="CJ149" s="53"/>
      <c r="CK149" s="53"/>
      <c r="CL149" s="53"/>
      <c r="CM149" s="53"/>
      <c r="CN149" s="53"/>
      <c r="CO149" s="53"/>
      <c r="CP149" s="53"/>
      <c r="CQ149" s="53"/>
      <c r="CR149" s="1"/>
      <c r="CS149" s="1"/>
      <c r="CT149" s="1"/>
      <c r="CU149" s="1"/>
    </row>
    <row r="150" spans="1:99" s="13" customFormat="1" ht="12" customHeight="1" x14ac:dyDescent="0.2">
      <c r="A150" s="65">
        <v>43509</v>
      </c>
      <c r="B150" s="1"/>
      <c r="C150" s="1"/>
      <c r="D150" s="60"/>
      <c r="E150" s="76"/>
      <c r="F150" s="60"/>
      <c r="G150" s="60"/>
      <c r="H150" s="60"/>
      <c r="I150" s="60"/>
      <c r="J150" s="60"/>
      <c r="K150" s="64"/>
      <c r="L150" s="64"/>
      <c r="M150" s="60"/>
      <c r="N150" s="60"/>
      <c r="O150" s="60"/>
      <c r="P150" s="60"/>
      <c r="Q150" s="60"/>
      <c r="R150" s="60"/>
      <c r="S150" s="60"/>
      <c r="T150" s="60"/>
      <c r="U150" s="60"/>
      <c r="V150" s="60"/>
      <c r="W150" s="60"/>
      <c r="X150" s="60"/>
      <c r="Y150" s="76"/>
      <c r="Z150" s="60"/>
      <c r="AA150" s="60"/>
      <c r="AB150" s="60"/>
      <c r="AC150" s="60"/>
      <c r="AD150" s="60"/>
      <c r="AE150" s="60"/>
      <c r="AF150" s="80"/>
      <c r="AG150" s="56"/>
      <c r="AH150" s="4"/>
      <c r="AI150" s="56"/>
      <c r="AJ150" s="109"/>
      <c r="AK150" s="56"/>
      <c r="AL150" s="56"/>
      <c r="AM150" s="56"/>
      <c r="AN150" s="56"/>
      <c r="AO150" s="56"/>
      <c r="AP150" s="56"/>
      <c r="AQ150" s="82"/>
      <c r="AR150" s="115"/>
      <c r="AS150" s="82"/>
      <c r="AT150" s="82"/>
      <c r="AU150" s="4"/>
      <c r="AV150" s="25">
        <v>58</v>
      </c>
      <c r="AW150" s="25">
        <f>24*3600*1</f>
        <v>86400</v>
      </c>
      <c r="AX150" s="25">
        <f>24*3600*5</f>
        <v>432000</v>
      </c>
      <c r="AY150" s="53"/>
      <c r="AZ150" s="53"/>
      <c r="BA150" s="53"/>
      <c r="BB150" s="53"/>
      <c r="BC150" s="53"/>
      <c r="BD150" s="53"/>
      <c r="BE150" s="53"/>
      <c r="BF150" s="53"/>
      <c r="BG150" s="53"/>
      <c r="BH150" s="53"/>
      <c r="BI150" s="53"/>
      <c r="BJ150" s="53"/>
      <c r="BK150" s="53"/>
      <c r="BL150" s="53"/>
      <c r="BM150" s="53"/>
      <c r="BN150" s="53"/>
      <c r="BO150" s="53"/>
      <c r="BP150" s="53"/>
      <c r="BQ150" s="53"/>
      <c r="BR150" s="53"/>
      <c r="BS150" s="53"/>
      <c r="BT150" s="53"/>
      <c r="BU150" s="53"/>
      <c r="BV150" s="53"/>
      <c r="BW150" s="53"/>
      <c r="BX150" s="53"/>
      <c r="BY150" s="53"/>
      <c r="BZ150" s="53"/>
      <c r="CA150" s="53"/>
      <c r="CB150" s="53"/>
      <c r="CC150" s="53"/>
      <c r="CD150" s="53"/>
      <c r="CE150" s="53"/>
      <c r="CF150" s="53"/>
      <c r="CG150" s="53"/>
      <c r="CH150" s="53"/>
      <c r="CI150" s="53"/>
      <c r="CJ150" s="53"/>
      <c r="CK150" s="53"/>
      <c r="CL150" s="53"/>
      <c r="CM150" s="53"/>
      <c r="CN150" s="53"/>
      <c r="CO150" s="53"/>
      <c r="CP150" s="53"/>
      <c r="CQ150" s="53"/>
      <c r="CR150" s="1"/>
      <c r="CS150" s="1"/>
      <c r="CT150" s="1"/>
      <c r="CU150" s="1"/>
    </row>
    <row r="151" spans="1:99" s="13" customFormat="1" ht="12" customHeight="1" x14ac:dyDescent="0.2">
      <c r="A151" s="65">
        <v>43509</v>
      </c>
      <c r="B151" s="1" t="s">
        <v>128</v>
      </c>
      <c r="C151" s="1" t="s">
        <v>45</v>
      </c>
      <c r="D151" s="60">
        <v>1983</v>
      </c>
      <c r="E151" s="76">
        <v>1</v>
      </c>
      <c r="F151" s="60">
        <v>120</v>
      </c>
      <c r="G151" s="60">
        <v>20</v>
      </c>
      <c r="H151" s="60" t="s">
        <v>41</v>
      </c>
      <c r="I151" s="60" t="s">
        <v>132</v>
      </c>
      <c r="J151" s="60" t="s">
        <v>16</v>
      </c>
      <c r="K151" s="60">
        <f>IF(J151="syllables",1,IF(J151="trigrams",2,IF(J151="strings",3,IF(J151="visual array",4,IF(J151="characters",5,IF(J151="letters",6,IF(J151="free forms",7,IF(J151="odors",8,IF(J151="words",9,IF(J151="pictures",10,IF(J151="object pictures",11,IF(J151="faces",12,IF(J151="names",13,IF(J151="idioms",14,IF(J151="grades",15,IF(J151="syllable-digit pairs",16,IF(J151="trigram-word pairs",17,IF(J151="word-digit pairs",18,IF(J151="English-Swahili pairs",19,IF(J151="spatial position",20,IF(J151="word pairs",21,IF(J151="word triads",22,IF(J151="generated words",23,IF(J151="word definition pairs",24,IF(J151="math problems",25,IF(J151="famous faces",26,IF(J151="famous names",27,IF(J151="famous voices",28,IF(J151="television programs",29,IF(J151="race horses",30,IF(J151="new vocabulary",31,IF(J151="sentences",32,IF(J151="concepts",33,IF(J151="ad slides",34,IF(J151="scenes",35,IF(J151="famous scenes",36,IF(J151="poems",37,IF(J151="walk",38,IF(J151="faces and events",39,IF(J151="events and names",40,IF(J151="flashbulb",41,IF(J151="stories",42,IF(J151="course material",43,IF(J151="autobiographical",44,IF(J151="novels",45,IF(J151="public events",46,"99"))))))))))))))))))))))))))))))))))))))))))))))</f>
        <v>9</v>
      </c>
      <c r="L151" s="60">
        <f>IF(J151="syllables",1,IF(J151="trigrams",1,IF(J151="strings",1,IF(J151="visual array",1,IF(J151="characters",1,IF(J151="letters",1,IF(J151="free forms",1,IF(J151="odors",2,IF(J151="words",2,IF(J151="pictures",2,IF(J151="object pictures",2,IF(J151="faces",2,IF(J151="names",2,IF(J151="idioms","2",IF(J151="grades",2,IF(J151="syllable-digit pairs",3,IF(J151="trigram-word pairs",3,IF(J151="word-digit pairs",3,IF(J151="English-Swahili pairs",3,IF(J151="spatial position",3,IF(J151="word pairs",4,IF(J151="word triads",4,IF(J151="generated words",4,IF(J151="word definition pairs",4,IF(J151="math problems",4,IF(J151="famous faces",4,IF(J151="famous names",4,IF(J151="famous voices",4,IF(J151="television programs",4,IF(J151="race horses",4,IF(J151="new vocabulary",4,IF(J151="sentences",5,IF(J151="concepts",5,IF(J151="ad slides",5,IF(J151="scenes",5,IF(J151="famous scenes",5,IF(J151="poems",6,IF(J151="walk",6,IF(J151="faces and events",6,IF(J151="events and names",6,IF(J151="flashbulb",7,IF(J151="stories",7,IF(J151="course material",7,IF(J151="autobiographical",7,IF(J151="novels",7,IF(J151="public events",7,"99"))))))))))))))))))))))))))))))))))))))))))))))</f>
        <v>2</v>
      </c>
      <c r="M151" s="60">
        <v>0</v>
      </c>
      <c r="N151" s="60">
        <v>1</v>
      </c>
      <c r="O151" s="60">
        <v>1</v>
      </c>
      <c r="P151" s="60" t="s">
        <v>129</v>
      </c>
      <c r="Q151" s="60" t="s">
        <v>174</v>
      </c>
      <c r="R151" s="60">
        <f>IF(Q151="Free Recall",1,IF(Q151="Cued Recall",2,IF(Q151="Recognition",3,IF(Q151="Multiple Choice",4,IF(Q151="Savings",5,IF(Q151="Stem Completion",6,IF(Q151="Fragment Completion",7,IF(Q151="anagram solution",8,IF(Q151="Matching",9,IF(Q151="Problem Solving",10,"99"))))))))))</f>
        <v>1</v>
      </c>
      <c r="S151" s="60"/>
      <c r="T151" s="60" t="s">
        <v>261</v>
      </c>
      <c r="U151" s="60">
        <f>IF(T151="within",1,0)</f>
        <v>0</v>
      </c>
      <c r="V151" s="60">
        <v>56</v>
      </c>
      <c r="W151" s="60">
        <f>F151*V151</f>
        <v>6720</v>
      </c>
      <c r="X151" s="60">
        <v>3</v>
      </c>
      <c r="Y151" s="76">
        <f>AV150</f>
        <v>58</v>
      </c>
      <c r="Z151" s="60" t="s">
        <v>131</v>
      </c>
      <c r="AA151" s="60">
        <v>432000</v>
      </c>
      <c r="AB151" s="60" t="str">
        <f>IF(AA151&lt;60,"1",IF(AA151&lt;=43200,"2",IF(AA151&lt;=777600,"3","4")))</f>
        <v>3</v>
      </c>
      <c r="AC151" s="56">
        <f>AVERAGE(AV150:DA150)</f>
        <v>172819.33333333334</v>
      </c>
      <c r="AD151" s="60" t="str">
        <f>IF(AC151&lt;60,"1",IF(AC151&lt;=43200,"2",IF(AC151&lt;=777600,"3","4")))</f>
        <v>3</v>
      </c>
      <c r="AE151" s="76">
        <f>AA151-Y151</f>
        <v>431942</v>
      </c>
      <c r="AF151" s="80">
        <f>AV151</f>
        <v>0.40200000000000002</v>
      </c>
      <c r="AG151" s="56">
        <f>((AW151-AV151)+(AX151-AW151))/2</f>
        <v>-6.7500000000000004E-2</v>
      </c>
      <c r="AH151" s="4"/>
      <c r="AI151" s="56">
        <f>RSQ(AV151:AX151,AV150:AX150)</f>
        <v>0.42214234794979449</v>
      </c>
      <c r="AJ151" s="109">
        <f>SLOPE(AV151:AX151,AV150:AX150)</f>
        <v>-2.2238008099737066E-7</v>
      </c>
      <c r="AK151" s="56">
        <f>INTERCEPT(AV151:AX151,AV150:AX150)</f>
        <v>0.35009824401124495</v>
      </c>
      <c r="AL151" s="56">
        <f>INDEX(LINEST(LN(AV151:AX151),LN(AV150:AX150),TRUE,TRUE),3,1)</f>
        <v>0.96861962935394874</v>
      </c>
      <c r="AM151" s="56">
        <f>INDEX(LINEST(LN(AV151:AX151),LN(AV150:AX150)),1)</f>
        <v>-4.916106488143767E-2</v>
      </c>
      <c r="AN151" s="56">
        <f>EXP(INDEX(LINEST(LN(AV151:AX151),LN(AV150:AX150)),1,2))</f>
        <v>0.48679622442107762</v>
      </c>
      <c r="AO151" s="82">
        <f>INDEX(LINEST((AV151:AX151),LN(AV150:AX150),TRUE,TRUE),3,1)</f>
        <v>0.96914528930199995</v>
      </c>
      <c r="AP151" s="82">
        <f>INDEX(LINEST((AV151:AX151),LN(AV150:AX150)),1)</f>
        <v>-1.6208684119718739E-2</v>
      </c>
      <c r="AQ151" s="83">
        <f>INDEX(LINEST(LN(AV151:AX151),SQRT(AV150:AX150),TRUE,TRUE),3,1)</f>
        <v>0.6813350665540242</v>
      </c>
      <c r="AR151" s="116">
        <f>INDEX(LINEST(LN(AV151:AX151),SQRT((AV150:AX150))),1)</f>
        <v>-6.0171982539336858E-4</v>
      </c>
      <c r="AS151" s="84">
        <f>INDEX(LINEST(1/(AV151:AX151),1/(SQRT(AV150:AX150)),TRUE,TRUE),3,1)</f>
        <v>0.99950366455231476</v>
      </c>
      <c r="AT151" s="84">
        <f>INDEX(LINEST(1/(AV151:AX151),1/SQRT(AV150:AX150)),1)</f>
        <v>-9.8136775027027472</v>
      </c>
      <c r="AU151" s="3"/>
      <c r="AV151" s="53">
        <v>0.40200000000000002</v>
      </c>
      <c r="AW151" s="53">
        <v>0.26600000000000001</v>
      </c>
      <c r="AX151" s="53">
        <v>0.26700000000000002</v>
      </c>
      <c r="AY151" s="53"/>
      <c r="AZ151" s="53"/>
      <c r="BA151" s="53"/>
      <c r="BB151" s="53"/>
      <c r="BC151" s="53"/>
      <c r="BD151" s="53"/>
      <c r="BE151" s="53"/>
      <c r="BF151" s="53"/>
      <c r="BG151" s="53"/>
      <c r="BH151" s="53"/>
      <c r="BI151" s="53"/>
      <c r="BJ151" s="53"/>
      <c r="BK151" s="53"/>
      <c r="BL151" s="53"/>
      <c r="BM151" s="53"/>
      <c r="BN151" s="53"/>
      <c r="BO151" s="53"/>
      <c r="BP151" s="53"/>
      <c r="BQ151" s="53"/>
      <c r="BR151" s="53"/>
      <c r="BS151" s="53"/>
      <c r="BT151" s="53"/>
      <c r="BU151" s="53"/>
      <c r="BV151" s="53"/>
      <c r="BW151" s="53"/>
      <c r="BX151" s="53"/>
      <c r="BY151" s="53"/>
      <c r="BZ151" s="53"/>
      <c r="CA151" s="53"/>
      <c r="CB151" s="53"/>
      <c r="CC151" s="53"/>
      <c r="CD151" s="53"/>
      <c r="CE151" s="53"/>
      <c r="CF151" s="53"/>
      <c r="CG151" s="53"/>
      <c r="CH151" s="53"/>
      <c r="CI151" s="53"/>
      <c r="CJ151" s="53"/>
      <c r="CK151" s="53"/>
      <c r="CL151" s="53"/>
      <c r="CM151" s="53"/>
      <c r="CN151" s="53"/>
      <c r="CO151" s="53"/>
      <c r="CP151" s="53"/>
      <c r="CQ151" s="53"/>
      <c r="CR151" s="1"/>
      <c r="CS151" s="1"/>
      <c r="CT151" s="1"/>
      <c r="CU151" s="1"/>
    </row>
    <row r="152" spans="1:99" s="13" customFormat="1" ht="12" customHeight="1" x14ac:dyDescent="0.2">
      <c r="A152" s="65">
        <v>43509</v>
      </c>
      <c r="B152" s="1"/>
      <c r="C152" s="1"/>
      <c r="D152" s="60"/>
      <c r="E152" s="76"/>
      <c r="F152" s="60"/>
      <c r="G152" s="60"/>
      <c r="H152" s="60"/>
      <c r="I152" s="60"/>
      <c r="J152" s="60"/>
      <c r="K152" s="64"/>
      <c r="L152" s="64"/>
      <c r="M152" s="60"/>
      <c r="N152" s="60"/>
      <c r="O152" s="60"/>
      <c r="P152" s="60"/>
      <c r="Q152" s="60"/>
      <c r="R152" s="60"/>
      <c r="S152" s="60"/>
      <c r="T152" s="60"/>
      <c r="U152" s="60"/>
      <c r="V152" s="60"/>
      <c r="W152" s="60"/>
      <c r="X152" s="60"/>
      <c r="Y152" s="76"/>
      <c r="Z152" s="60"/>
      <c r="AA152" s="60"/>
      <c r="AB152" s="60"/>
      <c r="AC152" s="60"/>
      <c r="AD152" s="60"/>
      <c r="AE152" s="60"/>
      <c r="AF152" s="80"/>
      <c r="AG152" s="56"/>
      <c r="AH152" s="4"/>
      <c r="AI152" s="56"/>
      <c r="AJ152" s="109"/>
      <c r="AK152" s="56"/>
      <c r="AL152" s="56"/>
      <c r="AM152" s="56"/>
      <c r="AN152" s="56"/>
      <c r="AO152" s="56"/>
      <c r="AP152" s="56"/>
      <c r="AQ152" s="82"/>
      <c r="AR152" s="115"/>
      <c r="AS152" s="82"/>
      <c r="AT152" s="82"/>
      <c r="AU152" s="4"/>
      <c r="AV152" s="25">
        <v>58</v>
      </c>
      <c r="AW152" s="25">
        <f>24*3600*1</f>
        <v>86400</v>
      </c>
      <c r="AX152" s="25">
        <f>24*3600*5</f>
        <v>432000</v>
      </c>
      <c r="AY152" s="53"/>
      <c r="AZ152" s="53"/>
      <c r="BA152" s="53"/>
      <c r="BB152" s="53"/>
      <c r="BC152" s="53"/>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53"/>
      <c r="BZ152" s="53"/>
      <c r="CA152" s="53"/>
      <c r="CB152" s="53"/>
      <c r="CC152" s="53"/>
      <c r="CD152" s="53"/>
      <c r="CE152" s="53"/>
      <c r="CF152" s="53"/>
      <c r="CG152" s="53"/>
      <c r="CH152" s="53"/>
      <c r="CI152" s="53"/>
      <c r="CJ152" s="53"/>
      <c r="CK152" s="53"/>
      <c r="CL152" s="53"/>
      <c r="CM152" s="53"/>
      <c r="CN152" s="53"/>
      <c r="CO152" s="53"/>
      <c r="CP152" s="53"/>
      <c r="CQ152" s="53"/>
      <c r="CR152" s="1"/>
      <c r="CS152" s="1"/>
      <c r="CT152" s="1"/>
      <c r="CU152" s="1"/>
    </row>
    <row r="153" spans="1:99" s="13" customFormat="1" ht="12" customHeight="1" x14ac:dyDescent="0.2">
      <c r="A153" s="65">
        <v>43509</v>
      </c>
      <c r="B153" s="1" t="s">
        <v>128</v>
      </c>
      <c r="C153" s="1" t="s">
        <v>45</v>
      </c>
      <c r="D153" s="60">
        <v>1983</v>
      </c>
      <c r="E153" s="76">
        <v>1</v>
      </c>
      <c r="F153" s="60">
        <v>120</v>
      </c>
      <c r="G153" s="60">
        <v>20</v>
      </c>
      <c r="H153" s="60" t="s">
        <v>41</v>
      </c>
      <c r="I153" s="60" t="s">
        <v>132</v>
      </c>
      <c r="J153" s="60" t="s">
        <v>16</v>
      </c>
      <c r="K153" s="60">
        <f>IF(J153="syllables",1,IF(J153="trigrams",2,IF(J153="strings",3,IF(J153="visual array",4,IF(J153="characters",5,IF(J153="letters",6,IF(J153="free forms",7,IF(J153="odors",8,IF(J153="words",9,IF(J153="pictures",10,IF(J153="object pictures",11,IF(J153="faces",12,IF(J153="names",13,IF(J153="idioms",14,IF(J153="grades",15,IF(J153="syllable-digit pairs",16,IF(J153="trigram-word pairs",17,IF(J153="word-digit pairs",18,IF(J153="English-Swahili pairs",19,IF(J153="spatial position",20,IF(J153="word pairs",21,IF(J153="word triads",22,IF(J153="generated words",23,IF(J153="word definition pairs",24,IF(J153="math problems",25,IF(J153="famous faces",26,IF(J153="famous names",27,IF(J153="famous voices",28,IF(J153="television programs",29,IF(J153="race horses",30,IF(J153="new vocabulary",31,IF(J153="sentences",32,IF(J153="concepts",33,IF(J153="ad slides",34,IF(J153="scenes",35,IF(J153="famous scenes",36,IF(J153="poems",37,IF(J153="walk",38,IF(J153="faces and events",39,IF(J153="events and names",40,IF(J153="flashbulb",41,IF(J153="stories",42,IF(J153="course material",43,IF(J153="autobiographical",44,IF(J153="novels",45,IF(J153="public events",46,"99"))))))))))))))))))))))))))))))))))))))))))))))</f>
        <v>9</v>
      </c>
      <c r="L153" s="60">
        <f>IF(J153="syllables",1,IF(J153="trigrams",1,IF(J153="strings",1,IF(J153="visual array",1,IF(J153="characters",1,IF(J153="letters",1,IF(J153="free forms",1,IF(J153="odors",2,IF(J153="words",2,IF(J153="pictures",2,IF(J153="object pictures",2,IF(J153="faces",2,IF(J153="names",2,IF(J153="idioms","2",IF(J153="grades",2,IF(J153="syllable-digit pairs",3,IF(J153="trigram-word pairs",3,IF(J153="word-digit pairs",3,IF(J153="English-Swahili pairs",3,IF(J153="spatial position",3,IF(J153="word pairs",4,IF(J153="word triads",4,IF(J153="generated words",4,IF(J153="word definition pairs",4,IF(J153="math problems",4,IF(J153="famous faces",4,IF(J153="famous names",4,IF(J153="famous voices",4,IF(J153="television programs",4,IF(J153="race horses",4,IF(J153="new vocabulary",4,IF(J153="sentences",5,IF(J153="concepts",5,IF(J153="ad slides",5,IF(J153="scenes",5,IF(J153="famous scenes",5,IF(J153="poems",6,IF(J153="walk",6,IF(J153="faces and events",6,IF(J153="events and names",6,IF(J153="flashbulb",7,IF(J153="stories",7,IF(J153="course material",7,IF(J153="autobiographical",7,IF(J153="novels",7,IF(J153="public events",7,"99"))))))))))))))))))))))))))))))))))))))))))))))</f>
        <v>2</v>
      </c>
      <c r="M153" s="60">
        <v>0</v>
      </c>
      <c r="N153" s="60">
        <v>1</v>
      </c>
      <c r="O153" s="60">
        <v>1</v>
      </c>
      <c r="P153" s="60" t="s">
        <v>129</v>
      </c>
      <c r="Q153" s="60" t="s">
        <v>65</v>
      </c>
      <c r="R153" s="60">
        <f>IF(Q153="Free Recall",1,IF(Q153="Cued Recall",2,IF(Q153="Recognition",3,IF(Q153="Multiple Choice",4,IF(Q153="Savings",5,IF(Q153="Stem Completion",6,IF(Q153="Fragment Completion",7,IF(Q153="anagram solution",8,IF(Q153="Matching",9,IF(Q153="Problem Solving",10,"99"))))))))))</f>
        <v>2</v>
      </c>
      <c r="S153" s="60"/>
      <c r="T153" s="60" t="s">
        <v>261</v>
      </c>
      <c r="U153" s="60">
        <f>IF(T153="within",1,0)</f>
        <v>0</v>
      </c>
      <c r="V153" s="60">
        <v>56</v>
      </c>
      <c r="W153" s="60">
        <f>F153*V153</f>
        <v>6720</v>
      </c>
      <c r="X153" s="60">
        <v>3</v>
      </c>
      <c r="Y153" s="76">
        <f>AV152</f>
        <v>58</v>
      </c>
      <c r="Z153" s="60" t="s">
        <v>131</v>
      </c>
      <c r="AA153" s="60">
        <v>432000</v>
      </c>
      <c r="AB153" s="60" t="str">
        <f>IF(AA153&lt;60,"1",IF(AA153&lt;=43200,"2",IF(AA153&lt;=777600,"3","4")))</f>
        <v>3</v>
      </c>
      <c r="AC153" s="56">
        <f>AVERAGE(AV152:DA152)</f>
        <v>172819.33333333334</v>
      </c>
      <c r="AD153" s="60" t="str">
        <f>IF(AC153&lt;60,"1",IF(AC153&lt;=43200,"2",IF(AC153&lt;=777600,"3","4")))</f>
        <v>3</v>
      </c>
      <c r="AE153" s="76">
        <f>AA153-Y153</f>
        <v>431942</v>
      </c>
      <c r="AF153" s="80">
        <f>AV153</f>
        <v>0.55500000000000005</v>
      </c>
      <c r="AG153" s="56">
        <f>((AW153-AV153)+(AX153-AW153))/2</f>
        <v>-0.10300000000000004</v>
      </c>
      <c r="AH153" s="4"/>
      <c r="AI153" s="56">
        <f>RSQ(AV153:AX153,AV152:AX152)</f>
        <v>0.85965820701021933</v>
      </c>
      <c r="AJ153" s="109">
        <f>SLOPE(AV153:AX153,AV152:AX152)</f>
        <v>-4.1834150707955734E-7</v>
      </c>
      <c r="AK153" s="56">
        <f>INTERCEPT(AV153:AX153,AV152:AX152)</f>
        <v>0.52129750035915112</v>
      </c>
      <c r="AL153" s="56">
        <f>INDEX(LINEST(LN(AV153:AX153),LN(AV152:AX152),TRUE,TRUE),3,1)</f>
        <v>0.86942259634166352</v>
      </c>
      <c r="AM153" s="56">
        <f>INDEX(LINEST(LN(AV153:AX153),LN(AV152:AX152)),1)</f>
        <v>-4.5522882976467553E-2</v>
      </c>
      <c r="AN153" s="56">
        <f>EXP(INDEX(LINEST(LN(AV153:AX153),LN(AV152:AX152)),1,2))</f>
        <v>0.6787170444798275</v>
      </c>
      <c r="AO153" s="82">
        <f>INDEX(LINEST((AV153:AX153),LN(AV152:AX152),TRUE,TRUE),3,1)</f>
        <v>0.91095877000126646</v>
      </c>
      <c r="AP153" s="82">
        <f>INDEX(LINEST((AV153:AX153),LN(AV152:AX152)),1)</f>
        <v>-2.0715923620466033E-2</v>
      </c>
      <c r="AQ153" s="83">
        <f>INDEX(LINEST(LN(AV153:AX153),SQRT(AV152:AX152),TRUE,TRUE),3,1)</f>
        <v>0.99729564184461894</v>
      </c>
      <c r="AR153" s="116">
        <f>INDEX(LINEST(LN(AV153:AX153),SQRT((AV152:AX152))),1)</f>
        <v>-7.115338382698281E-4</v>
      </c>
      <c r="AS153" s="84">
        <f>INDEX(LINEST(1/(AV153:AX153),1/(SQRT(AV152:AX152)),TRUE,TRUE),3,1)</f>
        <v>0.68718924928133673</v>
      </c>
      <c r="AT153" s="84">
        <f>INDEX(LINEST(1/(AV153:AX153),1/SQRT(AV152:AX152)),1)</f>
        <v>-5.9456430062478818</v>
      </c>
      <c r="AU153" s="3"/>
      <c r="AV153" s="53">
        <v>0.55500000000000005</v>
      </c>
      <c r="AW153" s="53">
        <v>0.443</v>
      </c>
      <c r="AX153" s="53">
        <v>0.34899999999999998</v>
      </c>
      <c r="AY153" s="53"/>
      <c r="AZ153" s="53"/>
      <c r="BA153" s="53"/>
      <c r="BB153" s="53"/>
      <c r="BC153" s="53"/>
      <c r="BD153" s="53"/>
      <c r="BE153" s="53"/>
      <c r="BF153" s="53"/>
      <c r="BG153" s="53"/>
      <c r="BH153" s="53"/>
      <c r="BI153" s="53"/>
      <c r="BJ153" s="53"/>
      <c r="BK153" s="53"/>
      <c r="BL153" s="53"/>
      <c r="BM153" s="53"/>
      <c r="BN153" s="53"/>
      <c r="BO153" s="53"/>
      <c r="BP153" s="53"/>
      <c r="BQ153" s="53"/>
      <c r="BR153" s="53"/>
      <c r="BS153" s="53"/>
      <c r="BT153" s="53"/>
      <c r="BU153" s="53"/>
      <c r="BV153" s="53"/>
      <c r="BW153" s="53"/>
      <c r="BX153" s="53"/>
      <c r="BY153" s="53"/>
      <c r="BZ153" s="53"/>
      <c r="CA153" s="53"/>
      <c r="CB153" s="53"/>
      <c r="CC153" s="53"/>
      <c r="CD153" s="53"/>
      <c r="CE153" s="53"/>
      <c r="CF153" s="53"/>
      <c r="CG153" s="53"/>
      <c r="CH153" s="53"/>
      <c r="CI153" s="53"/>
      <c r="CJ153" s="53"/>
      <c r="CK153" s="53"/>
      <c r="CL153" s="53"/>
      <c r="CM153" s="53"/>
      <c r="CN153" s="53"/>
      <c r="CO153" s="53"/>
      <c r="CP153" s="53"/>
      <c r="CQ153" s="53"/>
      <c r="CR153" s="1"/>
      <c r="CS153" s="1"/>
      <c r="CT153" s="1"/>
      <c r="CU153" s="1"/>
    </row>
    <row r="154" spans="1:99" ht="12" customHeight="1" x14ac:dyDescent="0.2">
      <c r="A154" s="65">
        <v>43900</v>
      </c>
      <c r="B154" s="15"/>
      <c r="C154" s="15"/>
      <c r="D154" s="59"/>
      <c r="E154" s="75"/>
      <c r="F154" s="59"/>
      <c r="G154" s="59"/>
      <c r="H154" s="59"/>
      <c r="I154" s="59"/>
      <c r="J154" s="59"/>
      <c r="M154" s="59"/>
      <c r="N154" s="60"/>
      <c r="O154" s="59"/>
      <c r="P154" s="59"/>
      <c r="Q154" s="59"/>
      <c r="R154" s="60"/>
      <c r="S154" s="59"/>
      <c r="T154" s="59"/>
      <c r="U154" s="60"/>
      <c r="V154" s="59"/>
      <c r="W154" s="60"/>
      <c r="X154" s="60"/>
      <c r="Y154" s="76"/>
      <c r="Z154" s="59"/>
      <c r="AA154" s="59"/>
      <c r="AB154" s="60"/>
      <c r="AC154" s="56"/>
      <c r="AD154" s="60"/>
      <c r="AE154" s="60"/>
      <c r="AF154" s="80"/>
      <c r="AG154" s="56"/>
      <c r="AH154" s="4"/>
      <c r="AI154" s="56"/>
      <c r="AJ154" s="109"/>
      <c r="AK154" s="56"/>
      <c r="AL154" s="56"/>
      <c r="AM154" s="56"/>
      <c r="AN154" s="56"/>
      <c r="AO154" s="82"/>
      <c r="AP154" s="82"/>
      <c r="AQ154" s="83"/>
      <c r="AR154" s="116"/>
      <c r="AS154" s="84"/>
      <c r="AT154" s="84"/>
      <c r="AU154" s="3"/>
      <c r="AV154" s="47">
        <v>600</v>
      </c>
      <c r="AW154" s="47">
        <f>60*60*24</f>
        <v>86400</v>
      </c>
      <c r="AX154" s="47">
        <f>60*60*24*7</f>
        <v>604800</v>
      </c>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D154" s="11"/>
      <c r="CE154" s="11"/>
      <c r="CF154" s="11"/>
      <c r="CG154" s="11"/>
      <c r="CH154" s="11"/>
      <c r="CI154" s="11"/>
      <c r="CJ154" s="11"/>
      <c r="CK154" s="11"/>
      <c r="CL154" s="11"/>
      <c r="CM154" s="11"/>
      <c r="CN154" s="11"/>
      <c r="CO154" s="11"/>
      <c r="CP154" s="11"/>
      <c r="CQ154" s="11"/>
      <c r="CR154" s="15"/>
      <c r="CS154" s="15"/>
      <c r="CT154" s="15"/>
      <c r="CU154" s="15"/>
    </row>
    <row r="155" spans="1:99" ht="12" customHeight="1" x14ac:dyDescent="0.2">
      <c r="A155" s="65">
        <v>43900</v>
      </c>
      <c r="B155" s="15" t="s">
        <v>429</v>
      </c>
      <c r="C155" s="15" t="s">
        <v>383</v>
      </c>
      <c r="D155" s="59">
        <v>2019</v>
      </c>
      <c r="E155" s="75">
        <v>1</v>
      </c>
      <c r="F155" s="59">
        <v>128</v>
      </c>
      <c r="G155" s="59">
        <v>21.3</v>
      </c>
      <c r="H155" s="59" t="s">
        <v>50</v>
      </c>
      <c r="I155" s="59" t="s">
        <v>431</v>
      </c>
      <c r="J155" s="59" t="s">
        <v>313</v>
      </c>
      <c r="K155" s="60">
        <f>IF(J155="syllables",1,IF(J155="trigrams",2,IF(J155="strings",3,IF(J155="visual array",4,IF(J155="characters",5,IF(J155="letters",6,IF(J155="free forms",7,IF(J155="odors",8,IF(J155="words",9,IF(J155="pictures",10,IF(J155="object pictures",11,IF(J155="faces",12,IF(J155="names",13,IF(J155="idioms",14,IF(J155="grades",15,IF(J155="syllable-digit pairs",16,IF(J155="trigram-word pairs",17,IF(J155="word-digit pairs",18,IF(J155="English-Swahili pairs",19,IF(J155="spatial position",20,IF(J155="word pairs",21,IF(J155="word triads",22,IF(J155="generated words",23,IF(J155="word definition pairs",24,IF(J155="math problems",25,IF(J155="famous faces",26,IF(J155="famous names",27,IF(J155="famous voices",28,IF(J155="television programs",29,IF(J155="race horses",30,IF(J155="new vocabulary",31,IF(J155="sentences",32,IF(J155="concepts",33,IF(J155="ad slides",34,IF(J155="scenes",35,IF(J155="famous scenes",36,IF(J155="poems",37,IF(J155="walk",38,IF(J155="faces and events",39,IF(J155="events and names",40,IF(J155="flashbulb",41,IF(J155="stories",42,IF(J155="course material",43,IF(J155="autobiographical",44,IF(J155="novels",45,IF(J155="public events",46,"99"))))))))))))))))))))))))))))))))))))))))))))))</f>
        <v>10</v>
      </c>
      <c r="L155" s="60">
        <f>IF(J155="syllables",1,IF(J155="trigrams",1,IF(J155="strings",1,IF(J155="visual array",1,IF(J155="characters",1,IF(J155="letters",1,IF(J155="free forms",1,IF(J155="odors",2,IF(J155="words",2,IF(J155="pictures",2,IF(J155="object pictures",2,IF(J155="faces",2,IF(J155="names",2,IF(J155="idioms","2",IF(J155="grades",2,IF(J155="syllable-digit pairs",3,IF(J155="trigram-word pairs",3,IF(J155="word-digit pairs",3,IF(J155="English-Swahili pairs",3,IF(J155="spatial position",3,IF(J155="word pairs",4,IF(J155="word triads",4,IF(J155="generated words",4,IF(J155="word definition pairs",4,IF(J155="math problems",4,IF(J155="famous faces",4,IF(J155="famous names",4,IF(J155="famous voices",4,IF(J155="television programs",4,IF(J155="race horses",4,IF(J155="new vocabulary",4,IF(J155="sentences",5,IF(J155="concepts",5,IF(J155="ad slides",5,IF(J155="scenes",5,IF(J155="famous scenes",5,IF(J155="poems",6,IF(J155="walk",6,IF(J155="faces and events",6,IF(J155="events and names",6,IF(J155="flashbulb",7,IF(J155="stories",7,IF(J155="course material",7,IF(J155="autobiographical",7,IF(J155="novels",7,IF(J155="public events",7,"99"))))))))))))))))))))))))))))))))))))))))))))))</f>
        <v>2</v>
      </c>
      <c r="M155" s="59">
        <v>0</v>
      </c>
      <c r="N155" s="60">
        <v>1</v>
      </c>
      <c r="O155" s="59">
        <v>0</v>
      </c>
      <c r="P155" s="59"/>
      <c r="Q155" s="59" t="s">
        <v>174</v>
      </c>
      <c r="R155" s="60">
        <f>IF(Q155="Free Recall",1,IF(Q155="Cued Recall",2,IF(Q155="Recognition",3,IF(Q155="Multiple Choice",4,IF(Q155="Savings",5,IF(Q155="Stem Completion",6,IF(Q155="Fragment Completion",7,IF(Q155="anagram solution",8,IF(Q155="Matching",9,IF(Q155="Problem Solving",10,"99"))))))))))</f>
        <v>1</v>
      </c>
      <c r="S155" s="59" t="s">
        <v>49</v>
      </c>
      <c r="T155" s="59" t="s">
        <v>261</v>
      </c>
      <c r="U155" s="60">
        <f>IF(T155="within",1,0)</f>
        <v>0</v>
      </c>
      <c r="V155" s="59">
        <v>32</v>
      </c>
      <c r="W155" s="60">
        <f>F155*V155</f>
        <v>4096</v>
      </c>
      <c r="X155" s="60">
        <v>3</v>
      </c>
      <c r="Y155" s="76">
        <f>AV154</f>
        <v>600</v>
      </c>
      <c r="Z155" s="59" t="s">
        <v>97</v>
      </c>
      <c r="AA155" s="59">
        <f>60*60*24*7</f>
        <v>604800</v>
      </c>
      <c r="AB155" s="60" t="str">
        <f>IF(AA155&lt;60,"1",IF(AA155&lt;=43200,"2",IF(AA155&lt;=777600,"3","4")))</f>
        <v>3</v>
      </c>
      <c r="AC155" s="56">
        <f>AVERAGE(AV154:DA154)</f>
        <v>230600</v>
      </c>
      <c r="AD155" s="60" t="str">
        <f>IF(AC155&lt;60,"1",IF(AC155&lt;=43200,"2",IF(AC155&lt;=777600,"3","4")))</f>
        <v>3</v>
      </c>
      <c r="AE155" s="76">
        <f>AA155-Y155</f>
        <v>604200</v>
      </c>
      <c r="AF155" s="80">
        <f>AV155</f>
        <v>0.6</v>
      </c>
      <c r="AG155" s="56">
        <f>((AW155-AV155)+(AX155-AW155))/2</f>
        <v>-0.15999999999999998</v>
      </c>
      <c r="AH155" s="4"/>
      <c r="AI155" s="56">
        <f>RSQ(AV155:AX155,AV154:AX154)</f>
        <v>0.92140822662289856</v>
      </c>
      <c r="AJ155" s="109">
        <f>SLOPE(AV155:AX155,AV154:AX154)</f>
        <v>-4.7257318104384391E-7</v>
      </c>
      <c r="AK155" s="56">
        <f>INTERCEPT(AV155:AX155,AV154:AX154)</f>
        <v>0.55897537554871035</v>
      </c>
      <c r="AL155" s="56">
        <f>INDEX(LINEST(LN(AV155:AX155),LN(AV154:AX154),TRUE,TRUE),3,1)</f>
        <v>0.80942827917078786</v>
      </c>
      <c r="AM155" s="56">
        <f>INDEX(LINEST(LN(AV155:AX155),LN(AV154:AX154)),1)</f>
        <v>-9.8177891377105322E-2</v>
      </c>
      <c r="AN155" s="56">
        <f>EXP(INDEX(LINEST(LN(AV155:AX155),LN(AV154:AX154)),1,2))</f>
        <v>1.1861721187797465</v>
      </c>
      <c r="AO155" s="82">
        <f>INDEX(LINEST((AV155:AX155),LN(AV154:AX154),TRUE,TRUE),3,1)</f>
        <v>0.87910705285897428</v>
      </c>
      <c r="AP155" s="82">
        <f>INDEX(LINEST((AV155:AX155),LN(AV154:AX154)),1)</f>
        <v>-4.2310443476307386E-2</v>
      </c>
      <c r="AQ155" s="83">
        <f>INDEX(LINEST(LN(AV155:AX155),SQRT(AV154:AX154),TRUE,TRUE),3,1)</f>
        <v>0.99826580089324979</v>
      </c>
      <c r="AR155" s="116">
        <f>INDEX(LINEST(LN(AV155:AX155),SQRT((AV154:AX154))),1)</f>
        <v>-1.01885348935843E-3</v>
      </c>
      <c r="AS155" s="84">
        <f>INDEX(LINEST(1/(AV155:AX155),1/(SQRT(AV154:AX154)),TRUE,TRUE),3,1)</f>
        <v>0.51986598822974084</v>
      </c>
      <c r="AT155" s="84">
        <f>INDEX(LINEST(1/(AV155:AX155),1/SQRT(AV154:AX154)),1)</f>
        <v>-32.213788099795657</v>
      </c>
      <c r="AU155" s="3"/>
      <c r="AV155" s="11">
        <v>0.6</v>
      </c>
      <c r="AW155" s="11">
        <v>0.47</v>
      </c>
      <c r="AX155" s="11">
        <v>0.28000000000000003</v>
      </c>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c r="BW155" s="11"/>
      <c r="BX155" s="11"/>
      <c r="BY155" s="11"/>
      <c r="BZ155" s="11"/>
      <c r="CA155" s="11"/>
      <c r="CB155" s="11"/>
      <c r="CC155" s="11"/>
      <c r="CD155" s="11"/>
      <c r="CE155" s="11"/>
      <c r="CF155" s="11"/>
      <c r="CG155" s="11"/>
      <c r="CH155" s="11"/>
      <c r="CI155" s="11"/>
      <c r="CJ155" s="11"/>
      <c r="CK155" s="11"/>
      <c r="CL155" s="11"/>
      <c r="CM155" s="11"/>
      <c r="CN155" s="11"/>
      <c r="CO155" s="11"/>
      <c r="CP155" s="11"/>
      <c r="CQ155" s="11"/>
      <c r="CR155" s="15"/>
      <c r="CS155" s="15"/>
      <c r="CT155" s="15"/>
      <c r="CU155" s="15"/>
    </row>
    <row r="156" spans="1:99" ht="12" customHeight="1" x14ac:dyDescent="0.2">
      <c r="A156" s="65">
        <v>43900</v>
      </c>
      <c r="B156" s="15"/>
      <c r="C156" s="15"/>
      <c r="D156" s="59"/>
      <c r="E156" s="75"/>
      <c r="F156" s="59"/>
      <c r="G156" s="59"/>
      <c r="H156" s="59"/>
      <c r="I156" s="59"/>
      <c r="J156" s="59"/>
      <c r="M156" s="59"/>
      <c r="N156" s="60"/>
      <c r="O156" s="59"/>
      <c r="P156" s="59"/>
      <c r="Q156" s="59"/>
      <c r="R156" s="60"/>
      <c r="S156" s="59"/>
      <c r="T156" s="59"/>
      <c r="U156" s="60"/>
      <c r="V156" s="59"/>
      <c r="W156" s="60"/>
      <c r="X156" s="60"/>
      <c r="Y156" s="76"/>
      <c r="Z156" s="59"/>
      <c r="AA156" s="59"/>
      <c r="AB156" s="60"/>
      <c r="AC156" s="56"/>
      <c r="AD156" s="60"/>
      <c r="AE156" s="60"/>
      <c r="AF156" s="80"/>
      <c r="AG156" s="56"/>
      <c r="AH156" s="4"/>
      <c r="AI156" s="56"/>
      <c r="AJ156" s="109"/>
      <c r="AK156" s="56"/>
      <c r="AL156" s="56"/>
      <c r="AM156" s="56"/>
      <c r="AN156" s="56"/>
      <c r="AO156" s="82"/>
      <c r="AP156" s="82"/>
      <c r="AQ156" s="83"/>
      <c r="AR156" s="116"/>
      <c r="AS156" s="84"/>
      <c r="AT156" s="84"/>
      <c r="AU156" s="3"/>
      <c r="AV156" s="47">
        <v>600</v>
      </c>
      <c r="AW156" s="47">
        <f>60*60*24</f>
        <v>86400</v>
      </c>
      <c r="AX156" s="47">
        <f>60*60*24*7</f>
        <v>604800</v>
      </c>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c r="BW156" s="11"/>
      <c r="BX156" s="11"/>
      <c r="BY156" s="11"/>
      <c r="BZ156" s="11"/>
      <c r="CA156" s="11"/>
      <c r="CB156" s="11"/>
      <c r="CC156" s="11"/>
      <c r="CD156" s="11"/>
      <c r="CE156" s="11"/>
      <c r="CF156" s="11"/>
      <c r="CG156" s="11"/>
      <c r="CH156" s="11"/>
      <c r="CI156" s="11"/>
      <c r="CJ156" s="11"/>
      <c r="CK156" s="11"/>
      <c r="CL156" s="11"/>
      <c r="CM156" s="11"/>
      <c r="CN156" s="11"/>
      <c r="CO156" s="11"/>
      <c r="CP156" s="11"/>
      <c r="CQ156" s="11"/>
      <c r="CR156" s="15"/>
      <c r="CS156" s="15"/>
      <c r="CT156" s="15"/>
      <c r="CU156" s="15"/>
    </row>
    <row r="157" spans="1:99" ht="12" customHeight="1" x14ac:dyDescent="0.2">
      <c r="A157" s="65">
        <v>43900</v>
      </c>
      <c r="B157" s="15" t="s">
        <v>429</v>
      </c>
      <c r="C157" s="15" t="s">
        <v>383</v>
      </c>
      <c r="D157" s="59">
        <v>2019</v>
      </c>
      <c r="E157" s="75">
        <v>1</v>
      </c>
      <c r="F157" s="59">
        <v>128</v>
      </c>
      <c r="G157" s="59">
        <v>21.3</v>
      </c>
      <c r="H157" s="59" t="s">
        <v>50</v>
      </c>
      <c r="I157" s="59" t="s">
        <v>430</v>
      </c>
      <c r="J157" s="59" t="s">
        <v>313</v>
      </c>
      <c r="K157" s="60">
        <f>IF(J157="syllables",1,IF(J157="trigrams",2,IF(J157="strings",3,IF(J157="visual array",4,IF(J157="characters",5,IF(J157="letters",6,IF(J157="free forms",7,IF(J157="odors",8,IF(J157="words",9,IF(J157="pictures",10,IF(J157="object pictures",11,IF(J157="faces",12,IF(J157="names",13,IF(J157="idioms",14,IF(J157="grades",15,IF(J157="syllable-digit pairs",16,IF(J157="trigram-word pairs",17,IF(J157="word-digit pairs",18,IF(J157="English-Swahili pairs",19,IF(J157="spatial position",20,IF(J157="word pairs",21,IF(J157="word triads",22,IF(J157="generated words",23,IF(J157="word definition pairs",24,IF(J157="math problems",25,IF(J157="famous faces",26,IF(J157="famous names",27,IF(J157="famous voices",28,IF(J157="television programs",29,IF(J157="race horses",30,IF(J157="new vocabulary",31,IF(J157="sentences",32,IF(J157="concepts",33,IF(J157="ad slides",34,IF(J157="scenes",35,IF(J157="famous scenes",36,IF(J157="poems",37,IF(J157="walk",38,IF(J157="faces and events",39,IF(J157="events and names",40,IF(J157="flashbulb",41,IF(J157="stories",42,IF(J157="course material",43,IF(J157="autobiographical",44,IF(J157="novels",45,IF(J157="public events",46,"99"))))))))))))))))))))))))))))))))))))))))))))))</f>
        <v>10</v>
      </c>
      <c r="L157" s="60">
        <f>IF(J157="syllables",1,IF(J157="trigrams",1,IF(J157="strings",1,IF(J157="visual array",1,IF(J157="characters",1,IF(J157="letters",1,IF(J157="free forms",1,IF(J157="odors",2,IF(J157="words",2,IF(J157="pictures",2,IF(J157="object pictures",2,IF(J157="faces",2,IF(J157="names",2,IF(J157="idioms","2",IF(J157="grades",2,IF(J157="syllable-digit pairs",3,IF(J157="trigram-word pairs",3,IF(J157="word-digit pairs",3,IF(J157="English-Swahili pairs",3,IF(J157="spatial position",3,IF(J157="word pairs",4,IF(J157="word triads",4,IF(J157="generated words",4,IF(J157="word definition pairs",4,IF(J157="math problems",4,IF(J157="famous faces",4,IF(J157="famous names",4,IF(J157="famous voices",4,IF(J157="television programs",4,IF(J157="race horses",4,IF(J157="new vocabulary",4,IF(J157="sentences",5,IF(J157="concepts",5,IF(J157="ad slides",5,IF(J157="scenes",5,IF(J157="famous scenes",5,IF(J157="poems",6,IF(J157="walk",6,IF(J157="faces and events",6,IF(J157="events and names",6,IF(J157="flashbulb",7,IF(J157="stories",7,IF(J157="course material",7,IF(J157="autobiographical",7,IF(J157="novels",7,IF(J157="public events",7,"99"))))))))))))))))))))))))))))))))))))))))))))))</f>
        <v>2</v>
      </c>
      <c r="M157" s="59">
        <v>0</v>
      </c>
      <c r="N157" s="60">
        <v>1</v>
      </c>
      <c r="O157" s="59">
        <v>0</v>
      </c>
      <c r="P157" s="59"/>
      <c r="Q157" s="59" t="s">
        <v>174</v>
      </c>
      <c r="R157" s="60">
        <f>IF(Q157="Free Recall",1,IF(Q157="Cued Recall",2,IF(Q157="Recognition",3,IF(Q157="Multiple Choice",4,IF(Q157="Savings",5,IF(Q157="Stem Completion",6,IF(Q157="Fragment Completion",7,IF(Q157="anagram solution",8,IF(Q157="Matching",9,IF(Q157="Problem Solving",10,"99"))))))))))</f>
        <v>1</v>
      </c>
      <c r="S157" s="59" t="s">
        <v>49</v>
      </c>
      <c r="T157" s="59" t="s">
        <v>261</v>
      </c>
      <c r="U157" s="60">
        <f>IF(T157="within",1,0)</f>
        <v>0</v>
      </c>
      <c r="V157" s="59">
        <v>32</v>
      </c>
      <c r="W157" s="60">
        <f>F157*V157</f>
        <v>4096</v>
      </c>
      <c r="X157" s="60">
        <v>3</v>
      </c>
      <c r="Y157" s="76">
        <f>AV156</f>
        <v>600</v>
      </c>
      <c r="Z157" s="59" t="s">
        <v>97</v>
      </c>
      <c r="AA157" s="59">
        <f>60*60*24*7</f>
        <v>604800</v>
      </c>
      <c r="AB157" s="60" t="str">
        <f>IF(AA157&lt;60,"1",IF(AA157&lt;=43200,"2",IF(AA157&lt;=777600,"3","4")))</f>
        <v>3</v>
      </c>
      <c r="AC157" s="56">
        <f>AVERAGE(AV156:DA156)</f>
        <v>230600</v>
      </c>
      <c r="AD157" s="60" t="str">
        <f>IF(AC157&lt;60,"1",IF(AC157&lt;=43200,"2",IF(AC157&lt;=777600,"3","4")))</f>
        <v>3</v>
      </c>
      <c r="AE157" s="76">
        <f>AA157-Y157</f>
        <v>604200</v>
      </c>
      <c r="AF157" s="80">
        <f>AV157</f>
        <v>0.23</v>
      </c>
      <c r="AG157" s="56">
        <f>((AW157-AV157)+(AX157-AW157))/2</f>
        <v>-0.05</v>
      </c>
      <c r="AH157" s="4"/>
      <c r="AI157" s="56">
        <f>RSQ(AV157:AX157,AV156:AX156)</f>
        <v>0.92520139404116308</v>
      </c>
      <c r="AJ157" s="109">
        <f>SLOPE(AV157:AX157,AV156:AX156)</f>
        <v>-1.4810081710924722E-7</v>
      </c>
      <c r="AK157" s="56">
        <f>INTERCEPT(AV157:AX157,AV156:AX156)</f>
        <v>0.21748538175872575</v>
      </c>
      <c r="AL157" s="56">
        <f>INDEX(LINEST(LN(AV157:AX157),LN(AV156:AX156),TRUE,TRUE),3,1)</f>
        <v>0.82187778206176965</v>
      </c>
      <c r="AM157" s="56">
        <f>INDEX(LINEST(LN(AV157:AX157),LN(AV156:AX156)),1)</f>
        <v>-7.3823643817259518E-2</v>
      </c>
      <c r="AN157" s="56">
        <f>EXP(INDEX(LINEST(LN(AV157:AX157),LN(AV156:AX156)),1,2))</f>
        <v>0.38334491453478736</v>
      </c>
      <c r="AO157" s="82">
        <f>INDEX(LINEST((AV157:AX157),LN(AV156:AX156),TRUE,TRUE),3,1)</f>
        <v>0.87442141608438206</v>
      </c>
      <c r="AP157" s="82">
        <f>INDEX(LINEST((AV157:AX157),LN(AV156:AX156)),1)</f>
        <v>-1.3197247905558606E-2</v>
      </c>
      <c r="AQ157" s="83">
        <f>INDEX(LINEST(LN(AV157:AX157),SQRT(AV156:AX156),TRUE,TRUE),3,1)</f>
        <v>0.99934473796760082</v>
      </c>
      <c r="AR157" s="116">
        <f>INDEX(LINEST(LN(AV157:AX157),SQRT((AV156:AX156))),1)</f>
        <v>-7.6070040834485208E-4</v>
      </c>
      <c r="AS157" s="84">
        <f>INDEX(LINEST(1/(AV157:AX157),1/(SQRT(AV156:AX156)),TRUE,TRUE),3,1)</f>
        <v>0.55367520197076625</v>
      </c>
      <c r="AT157" s="84">
        <f>INDEX(LINEST(1/(AV157:AX157),1/SQRT(AV156:AX156)),1)</f>
        <v>-57.822268610470111</v>
      </c>
      <c r="AU157" s="3"/>
      <c r="AV157" s="11">
        <v>0.23</v>
      </c>
      <c r="AW157" s="11">
        <v>0.19</v>
      </c>
      <c r="AX157" s="11">
        <v>0.13</v>
      </c>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c r="BY157" s="11"/>
      <c r="BZ157" s="11"/>
      <c r="CA157" s="11"/>
      <c r="CB157" s="11"/>
      <c r="CC157" s="11"/>
      <c r="CD157" s="11"/>
      <c r="CE157" s="11"/>
      <c r="CF157" s="11"/>
      <c r="CG157" s="11"/>
      <c r="CH157" s="11"/>
      <c r="CI157" s="11"/>
      <c r="CJ157" s="11"/>
      <c r="CK157" s="11"/>
      <c r="CL157" s="11"/>
      <c r="CM157" s="11"/>
      <c r="CN157" s="11"/>
      <c r="CO157" s="11"/>
      <c r="CP157" s="11"/>
      <c r="CQ157" s="11"/>
      <c r="CR157" s="15"/>
      <c r="CS157" s="15"/>
      <c r="CT157" s="15"/>
      <c r="CU157" s="15"/>
    </row>
    <row r="158" spans="1:99" ht="12" customHeight="1" x14ac:dyDescent="0.2">
      <c r="A158" s="65">
        <v>43900</v>
      </c>
      <c r="B158" s="15"/>
      <c r="C158" s="15"/>
      <c r="D158" s="59"/>
      <c r="E158" s="75"/>
      <c r="F158" s="59"/>
      <c r="G158" s="59"/>
      <c r="H158" s="59"/>
      <c r="I158" s="59"/>
      <c r="J158" s="59"/>
      <c r="M158" s="59"/>
      <c r="N158" s="60"/>
      <c r="O158" s="59"/>
      <c r="P158" s="59"/>
      <c r="Q158" s="59"/>
      <c r="R158" s="60"/>
      <c r="S158" s="59"/>
      <c r="T158" s="59"/>
      <c r="U158" s="60"/>
      <c r="V158" s="59"/>
      <c r="W158" s="60"/>
      <c r="X158" s="60"/>
      <c r="Y158" s="76"/>
      <c r="Z158" s="59"/>
      <c r="AA158" s="59"/>
      <c r="AB158" s="60"/>
      <c r="AC158" s="56"/>
      <c r="AD158" s="60"/>
      <c r="AE158" s="60"/>
      <c r="AF158" s="80"/>
      <c r="AG158" s="56"/>
      <c r="AH158" s="4"/>
      <c r="AI158" s="56"/>
      <c r="AJ158" s="109"/>
      <c r="AK158" s="56"/>
      <c r="AL158" s="56"/>
      <c r="AM158" s="56"/>
      <c r="AN158" s="56"/>
      <c r="AO158" s="82"/>
      <c r="AP158" s="82"/>
      <c r="AQ158" s="83"/>
      <c r="AR158" s="116"/>
      <c r="AS158" s="84"/>
      <c r="AT158" s="84"/>
      <c r="AU158" s="3"/>
      <c r="AV158" s="47">
        <v>600</v>
      </c>
      <c r="AW158" s="47">
        <f>60*60*24</f>
        <v>86400</v>
      </c>
      <c r="AX158" s="47">
        <f>60*60*24*3</f>
        <v>259200</v>
      </c>
      <c r="AY158" s="47">
        <f>60*60*24*7</f>
        <v>604800</v>
      </c>
      <c r="AZ158" s="11" t="s">
        <v>900</v>
      </c>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c r="BZ158" s="11"/>
      <c r="CA158" s="11"/>
      <c r="CB158" s="11"/>
      <c r="CC158" s="11"/>
      <c r="CD158" s="11"/>
      <c r="CE158" s="11"/>
      <c r="CF158" s="11"/>
      <c r="CG158" s="11"/>
      <c r="CH158" s="11"/>
      <c r="CI158" s="11"/>
      <c r="CJ158" s="11"/>
      <c r="CK158" s="11"/>
      <c r="CL158" s="11"/>
      <c r="CM158" s="11"/>
      <c r="CN158" s="11"/>
      <c r="CO158" s="11"/>
      <c r="CP158" s="11"/>
      <c r="CQ158" s="11"/>
      <c r="CR158" s="15"/>
      <c r="CS158" s="15"/>
      <c r="CT158" s="15"/>
      <c r="CU158" s="15"/>
    </row>
    <row r="159" spans="1:99" ht="12" customHeight="1" x14ac:dyDescent="0.2">
      <c r="A159" s="65">
        <v>43900</v>
      </c>
      <c r="B159" s="15" t="s">
        <v>429</v>
      </c>
      <c r="C159" s="15" t="s">
        <v>383</v>
      </c>
      <c r="D159" s="59">
        <v>2019</v>
      </c>
      <c r="E159" s="75">
        <v>2</v>
      </c>
      <c r="F159" s="59">
        <v>134</v>
      </c>
      <c r="G159" s="59">
        <v>16.8</v>
      </c>
      <c r="H159" s="59" t="s">
        <v>32</v>
      </c>
      <c r="I159" s="59" t="s">
        <v>431</v>
      </c>
      <c r="J159" s="59" t="s">
        <v>313</v>
      </c>
      <c r="K159" s="60">
        <f>IF(J159="syllables",1,IF(J159="trigrams",2,IF(J159="strings",3,IF(J159="visual array",4,IF(J159="characters",5,IF(J159="letters",6,IF(J159="free forms",7,IF(J159="odors",8,IF(J159="words",9,IF(J159="pictures",10,IF(J159="object pictures",11,IF(J159="faces",12,IF(J159="names",13,IF(J159="idioms",14,IF(J159="grades",15,IF(J159="syllable-digit pairs",16,IF(J159="trigram-word pairs",17,IF(J159="word-digit pairs",18,IF(J159="English-Swahili pairs",19,IF(J159="spatial position",20,IF(J159="word pairs",21,IF(J159="word triads",22,IF(J159="generated words",23,IF(J159="word definition pairs",24,IF(J159="math problems",25,IF(J159="famous faces",26,IF(J159="famous names",27,IF(J159="famous voices",28,IF(J159="television programs",29,IF(J159="race horses",30,IF(J159="new vocabulary",31,IF(J159="sentences",32,IF(J159="concepts",33,IF(J159="ad slides",34,IF(J159="scenes",35,IF(J159="famous scenes",36,IF(J159="poems",37,IF(J159="walk",38,IF(J159="faces and events",39,IF(J159="events and names",40,IF(J159="flashbulb",41,IF(J159="stories",42,IF(J159="course material",43,IF(J159="autobiographical",44,IF(J159="novels",45,IF(J159="public events",46,"99"))))))))))))))))))))))))))))))))))))))))))))))</f>
        <v>10</v>
      </c>
      <c r="L159" s="60">
        <f>IF(J159="syllables",1,IF(J159="trigrams",1,IF(J159="strings",1,IF(J159="visual array",1,IF(J159="characters",1,IF(J159="letters",1,IF(J159="free forms",1,IF(J159="odors",2,IF(J159="words",2,IF(J159="pictures",2,IF(J159="object pictures",2,IF(J159="faces",2,IF(J159="names",2,IF(J159="idioms","2",IF(J159="grades",2,IF(J159="syllable-digit pairs",3,IF(J159="trigram-word pairs",3,IF(J159="word-digit pairs",3,IF(J159="English-Swahili pairs",3,IF(J159="spatial position",3,IF(J159="word pairs",4,IF(J159="word triads",4,IF(J159="generated words",4,IF(J159="word definition pairs",4,IF(J159="math problems",4,IF(J159="famous faces",4,IF(J159="famous names",4,IF(J159="famous voices",4,IF(J159="television programs",4,IF(J159="race horses",4,IF(J159="new vocabulary",4,IF(J159="sentences",5,IF(J159="concepts",5,IF(J159="ad slides",5,IF(J159="scenes",5,IF(J159="famous scenes",5,IF(J159="poems",6,IF(J159="walk",6,IF(J159="faces and events",6,IF(J159="events and names",6,IF(J159="flashbulb",7,IF(J159="stories",7,IF(J159="course material",7,IF(J159="autobiographical",7,IF(J159="novels",7,IF(J159="public events",7,"99"))))))))))))))))))))))))))))))))))))))))))))))</f>
        <v>2</v>
      </c>
      <c r="M159" s="59">
        <v>0</v>
      </c>
      <c r="N159" s="60">
        <v>1</v>
      </c>
      <c r="O159" s="59">
        <v>0</v>
      </c>
      <c r="P159" s="59"/>
      <c r="Q159" s="59" t="s">
        <v>174</v>
      </c>
      <c r="R159" s="60">
        <f>IF(Q159="Free Recall",1,IF(Q159="Cued Recall",2,IF(Q159="Recognition",3,IF(Q159="Multiple Choice",4,IF(Q159="Savings",5,IF(Q159="Stem Completion",6,IF(Q159="Fragment Completion",7,IF(Q159="anagram solution",8,IF(Q159="Matching",9,IF(Q159="Problem Solving",10,"99"))))))))))</f>
        <v>1</v>
      </c>
      <c r="S159" s="59" t="s">
        <v>49</v>
      </c>
      <c r="T159" s="59" t="s">
        <v>261</v>
      </c>
      <c r="U159" s="60">
        <f>IF(T159="within",1,0)</f>
        <v>0</v>
      </c>
      <c r="V159" s="59">
        <v>16</v>
      </c>
      <c r="W159" s="60">
        <f>F159*V159</f>
        <v>2144</v>
      </c>
      <c r="X159" s="60">
        <v>4</v>
      </c>
      <c r="Y159" s="76">
        <f>AV158</f>
        <v>600</v>
      </c>
      <c r="Z159" s="59" t="s">
        <v>97</v>
      </c>
      <c r="AA159" s="59">
        <f>60*60*24*7</f>
        <v>604800</v>
      </c>
      <c r="AB159" s="60" t="str">
        <f>IF(AA159&lt;60,"1",IF(AA159&lt;=43200,"2",IF(AA159&lt;=777600,"3","4")))</f>
        <v>3</v>
      </c>
      <c r="AC159" s="56">
        <f>AVERAGE(AV158:DA158)</f>
        <v>237750</v>
      </c>
      <c r="AD159" s="60" t="str">
        <f>IF(AC159&lt;60,"1",IF(AC159&lt;=43200,"2",IF(AC159&lt;=777600,"3","4")))</f>
        <v>3</v>
      </c>
      <c r="AE159" s="76">
        <f>AA159-Y159</f>
        <v>604200</v>
      </c>
      <c r="AF159" s="80">
        <f>AV159</f>
        <v>0.69</v>
      </c>
      <c r="AG159" s="56">
        <f>((AW159-AV159)+(AX159-AW159)+(AY159-AX159))/3</f>
        <v>-0.14333333333333331</v>
      </c>
      <c r="AH159" s="4"/>
      <c r="AI159" s="56">
        <f>RSQ(AV159:AY159,AV158:AY158)</f>
        <v>0.86192161102328224</v>
      </c>
      <c r="AJ159" s="109">
        <f>SLOPE(AV159:AY159,AV158:AY158)</f>
        <v>-6.3224122305154015E-7</v>
      </c>
      <c r="AK159" s="56">
        <f>INTERCEPT(AV159:AY159,AV158:AY158)</f>
        <v>0.6103153507805037</v>
      </c>
      <c r="AL159" s="56">
        <f>INDEX(LINEST(LN(AV159:AY159),LN(AV158:AY158),TRUE,TRUE),3,1)</f>
        <v>0.80153793003759521</v>
      </c>
      <c r="AM159" s="56">
        <f>INDEX(LINEST(LN(AV159:AY159),LN(AV158:AY158)),1)</f>
        <v>-0.11908045800848456</v>
      </c>
      <c r="AN159" s="56">
        <f>EXP(INDEX(LINEST(LN(AV159:AY159),LN(AV158:AY158)),1,2))</f>
        <v>1.5809367723990559</v>
      </c>
      <c r="AO159" s="82">
        <f>INDEX(LINEST((AV159:AY159),LN(AV158:AY158),TRUE,TRUE),3,1)</f>
        <v>0.90557571205605913</v>
      </c>
      <c r="AP159" s="82">
        <f>INDEX(LINEST((AV159:AY159),LN(AV158:AY158)),1)</f>
        <v>-5.5939269893976289E-2</v>
      </c>
      <c r="AQ159" s="83">
        <f>INDEX(LINEST(LN(AV159:AY159),SQRT(AV158:AY158),TRUE,TRUE),3,1)</f>
        <v>0.99565419548097256</v>
      </c>
      <c r="AR159" s="116">
        <f>INDEX(LINEST(LN(AV159:AY159),SQRT((AV158:AY158))),1)</f>
        <v>-1.2851170896812432E-3</v>
      </c>
      <c r="AS159" s="84">
        <f>INDEX(LINEST(1/(AV159:AY159),1/(SQRT(AV158:AY158)),TRUE,TRUE),3,1)</f>
        <v>0.47574560712497033</v>
      </c>
      <c r="AT159" s="84">
        <f>INDEX(LINEST(1/(AV159:AY159),1/SQRT(AV158:AY158)),1)</f>
        <v>-36.66416704216217</v>
      </c>
      <c r="AU159" s="3"/>
      <c r="AV159" s="11">
        <v>0.69</v>
      </c>
      <c r="AW159" s="11">
        <v>0.5</v>
      </c>
      <c r="AX159" s="11">
        <v>0.39</v>
      </c>
      <c r="AY159" s="11">
        <v>0.26</v>
      </c>
      <c r="AZ159" s="11"/>
      <c r="BA159" s="11"/>
      <c r="BB159" s="11"/>
      <c r="BC159" s="11"/>
      <c r="BD159" s="11"/>
      <c r="BE159" s="11"/>
      <c r="BF159" s="11"/>
      <c r="BG159" s="11"/>
      <c r="BH159" s="11"/>
      <c r="BI159" s="11"/>
      <c r="BJ159" s="11"/>
      <c r="BK159" s="11"/>
      <c r="BL159" s="11"/>
      <c r="BM159" s="11"/>
      <c r="BN159" s="11"/>
      <c r="BO159" s="11"/>
      <c r="BP159" s="11"/>
      <c r="BQ159" s="11"/>
      <c r="BR159" s="11"/>
      <c r="BS159" s="11"/>
      <c r="BT159" s="11"/>
      <c r="BU159" s="11"/>
      <c r="BV159" s="11"/>
      <c r="BW159" s="11"/>
      <c r="BX159" s="11"/>
      <c r="BY159" s="11"/>
      <c r="BZ159" s="11"/>
      <c r="CA159" s="11"/>
      <c r="CB159" s="11"/>
      <c r="CC159" s="11"/>
      <c r="CD159" s="11"/>
      <c r="CE159" s="11"/>
      <c r="CF159" s="11"/>
      <c r="CG159" s="11"/>
      <c r="CH159" s="11"/>
      <c r="CI159" s="11"/>
      <c r="CJ159" s="11"/>
      <c r="CK159" s="11"/>
      <c r="CL159" s="11"/>
      <c r="CM159" s="11"/>
      <c r="CN159" s="11"/>
      <c r="CO159" s="11"/>
      <c r="CP159" s="11"/>
      <c r="CQ159" s="11"/>
      <c r="CR159" s="15"/>
      <c r="CS159" s="15"/>
      <c r="CT159" s="15"/>
      <c r="CU159" s="15"/>
    </row>
    <row r="160" spans="1:99" ht="12" customHeight="1" x14ac:dyDescent="0.2">
      <c r="A160" s="65">
        <v>43900</v>
      </c>
      <c r="B160" s="15"/>
      <c r="C160" s="15"/>
      <c r="D160" s="59"/>
      <c r="E160" s="75"/>
      <c r="F160" s="59"/>
      <c r="G160" s="59"/>
      <c r="H160" s="59"/>
      <c r="I160" s="59"/>
      <c r="J160" s="59"/>
      <c r="M160" s="59"/>
      <c r="N160" s="60"/>
      <c r="O160" s="59"/>
      <c r="P160" s="59"/>
      <c r="Q160" s="59"/>
      <c r="R160" s="60"/>
      <c r="S160" s="59"/>
      <c r="T160" s="59"/>
      <c r="U160" s="60"/>
      <c r="V160" s="59"/>
      <c r="W160" s="60"/>
      <c r="X160" s="60"/>
      <c r="Y160" s="76"/>
      <c r="Z160" s="59"/>
      <c r="AA160" s="59"/>
      <c r="AB160" s="60"/>
      <c r="AC160" s="56"/>
      <c r="AD160" s="60"/>
      <c r="AE160" s="60"/>
      <c r="AF160" s="80"/>
      <c r="AG160" s="56"/>
      <c r="AH160" s="4"/>
      <c r="AI160" s="56"/>
      <c r="AJ160" s="109"/>
      <c r="AK160" s="56"/>
      <c r="AL160" s="56"/>
      <c r="AM160" s="56"/>
      <c r="AN160" s="56"/>
      <c r="AO160" s="82"/>
      <c r="AP160" s="82"/>
      <c r="AQ160" s="83"/>
      <c r="AR160" s="116"/>
      <c r="AS160" s="84"/>
      <c r="AT160" s="84"/>
      <c r="AU160" s="3"/>
      <c r="AV160" s="47">
        <v>600</v>
      </c>
      <c r="AW160" s="47">
        <f>60*60*24</f>
        <v>86400</v>
      </c>
      <c r="AX160" s="47">
        <f>60*60*24*3</f>
        <v>259200</v>
      </c>
      <c r="AY160" s="47">
        <f>60*60*24*7</f>
        <v>604800</v>
      </c>
      <c r="AZ160" s="11"/>
      <c r="BA160" s="11"/>
      <c r="BB160" s="11"/>
      <c r="BC160" s="11"/>
      <c r="BD160" s="11"/>
      <c r="BE160" s="11"/>
      <c r="BF160" s="11"/>
      <c r="BG160" s="11"/>
      <c r="BH160" s="11"/>
      <c r="BI160" s="11"/>
      <c r="BJ160" s="11"/>
      <c r="BK160" s="11"/>
      <c r="BL160" s="11"/>
      <c r="BM160" s="11"/>
      <c r="BN160" s="11"/>
      <c r="BO160" s="11"/>
      <c r="BP160" s="11"/>
      <c r="BQ160" s="11"/>
      <c r="BR160" s="11"/>
      <c r="BS160" s="11"/>
      <c r="BT160" s="11"/>
      <c r="BU160" s="11"/>
      <c r="BV160" s="11"/>
      <c r="BW160" s="11"/>
      <c r="BX160" s="11"/>
      <c r="BY160" s="11"/>
      <c r="BZ160" s="11"/>
      <c r="CA160" s="11"/>
      <c r="CB160" s="11"/>
      <c r="CC160" s="11"/>
      <c r="CD160" s="11"/>
      <c r="CE160" s="11"/>
      <c r="CF160" s="11"/>
      <c r="CG160" s="11"/>
      <c r="CH160" s="11"/>
      <c r="CI160" s="11"/>
      <c r="CJ160" s="11"/>
      <c r="CK160" s="11"/>
      <c r="CL160" s="11"/>
      <c r="CM160" s="11"/>
      <c r="CN160" s="11"/>
      <c r="CO160" s="11"/>
      <c r="CP160" s="11"/>
      <c r="CQ160" s="11"/>
      <c r="CR160" s="15"/>
      <c r="CS160" s="15"/>
      <c r="CT160" s="15"/>
      <c r="CU160" s="15"/>
    </row>
    <row r="161" spans="1:99" ht="12" customHeight="1" x14ac:dyDescent="0.2">
      <c r="A161" s="65">
        <v>43900</v>
      </c>
      <c r="B161" s="15" t="s">
        <v>429</v>
      </c>
      <c r="C161" s="15" t="s">
        <v>383</v>
      </c>
      <c r="D161" s="59">
        <v>2019</v>
      </c>
      <c r="E161" s="75">
        <v>2</v>
      </c>
      <c r="F161" s="59">
        <v>134</v>
      </c>
      <c r="G161" s="59">
        <v>16.8</v>
      </c>
      <c r="H161" s="59" t="s">
        <v>32</v>
      </c>
      <c r="I161" s="59" t="s">
        <v>430</v>
      </c>
      <c r="J161" s="59" t="s">
        <v>313</v>
      </c>
      <c r="K161" s="60">
        <f>IF(J161="syllables",1,IF(J161="trigrams",2,IF(J161="strings",3,IF(J161="visual array",4,IF(J161="characters",5,IF(J161="letters",6,IF(J161="free forms",7,IF(J161="odors",8,IF(J161="words",9,IF(J161="pictures",10,IF(J161="object pictures",11,IF(J161="faces",12,IF(J161="names",13,IF(J161="idioms",14,IF(J161="grades",15,IF(J161="syllable-digit pairs",16,IF(J161="trigram-word pairs",17,IF(J161="word-digit pairs",18,IF(J161="English-Swahili pairs",19,IF(J161="spatial position",20,IF(J161="word pairs",21,IF(J161="word triads",22,IF(J161="generated words",23,IF(J161="word definition pairs",24,IF(J161="math problems",25,IF(J161="famous faces",26,IF(J161="famous names",27,IF(J161="famous voices",28,IF(J161="television programs",29,IF(J161="race horses",30,IF(J161="new vocabulary",31,IF(J161="sentences",32,IF(J161="concepts",33,IF(J161="ad slides",34,IF(J161="scenes",35,IF(J161="famous scenes",36,IF(J161="poems",37,IF(J161="walk",38,IF(J161="faces and events",39,IF(J161="events and names",40,IF(J161="flashbulb",41,IF(J161="stories",42,IF(J161="course material",43,IF(J161="autobiographical",44,IF(J161="novels",45,IF(J161="public events",46,"99"))))))))))))))))))))))))))))))))))))))))))))))</f>
        <v>10</v>
      </c>
      <c r="L161" s="60">
        <f>IF(J161="syllables",1,IF(J161="trigrams",1,IF(J161="strings",1,IF(J161="visual array",1,IF(J161="characters",1,IF(J161="letters",1,IF(J161="free forms",1,IF(J161="odors",2,IF(J161="words",2,IF(J161="pictures",2,IF(J161="object pictures",2,IF(J161="faces",2,IF(J161="names",2,IF(J161="idioms","2",IF(J161="grades",2,IF(J161="syllable-digit pairs",3,IF(J161="trigram-word pairs",3,IF(J161="word-digit pairs",3,IF(J161="English-Swahili pairs",3,IF(J161="spatial position",3,IF(J161="word pairs",4,IF(J161="word triads",4,IF(J161="generated words",4,IF(J161="word definition pairs",4,IF(J161="math problems",4,IF(J161="famous faces",4,IF(J161="famous names",4,IF(J161="famous voices",4,IF(J161="television programs",4,IF(J161="race horses",4,IF(J161="new vocabulary",4,IF(J161="sentences",5,IF(J161="concepts",5,IF(J161="ad slides",5,IF(J161="scenes",5,IF(J161="famous scenes",5,IF(J161="poems",6,IF(J161="walk",6,IF(J161="faces and events",6,IF(J161="events and names",6,IF(J161="flashbulb",7,IF(J161="stories",7,IF(J161="course material",7,IF(J161="autobiographical",7,IF(J161="novels",7,IF(J161="public events",7,"99"))))))))))))))))))))))))))))))))))))))))))))))</f>
        <v>2</v>
      </c>
      <c r="M161" s="59">
        <v>0</v>
      </c>
      <c r="N161" s="60">
        <v>1</v>
      </c>
      <c r="O161" s="59">
        <v>0</v>
      </c>
      <c r="P161" s="59"/>
      <c r="Q161" s="59" t="s">
        <v>174</v>
      </c>
      <c r="R161" s="60">
        <f>IF(Q161="Free Recall",1,IF(Q161="Cued Recall",2,IF(Q161="Recognition",3,IF(Q161="Multiple Choice",4,IF(Q161="Savings",5,IF(Q161="Stem Completion",6,IF(Q161="Fragment Completion",7,IF(Q161="anagram solution",8,IF(Q161="Matching",9,IF(Q161="Problem Solving",10,"99"))))))))))</f>
        <v>1</v>
      </c>
      <c r="S161" s="59" t="s">
        <v>49</v>
      </c>
      <c r="T161" s="59" t="s">
        <v>261</v>
      </c>
      <c r="U161" s="60">
        <f>IF(T161="within",1,0)</f>
        <v>0</v>
      </c>
      <c r="V161" s="59">
        <v>16</v>
      </c>
      <c r="W161" s="60">
        <f>F161*V161</f>
        <v>2144</v>
      </c>
      <c r="X161" s="60">
        <v>4</v>
      </c>
      <c r="Y161" s="76">
        <f>AV160</f>
        <v>600</v>
      </c>
      <c r="Z161" s="59" t="s">
        <v>97</v>
      </c>
      <c r="AA161" s="59">
        <f>60*60*24*7</f>
        <v>604800</v>
      </c>
      <c r="AB161" s="60" t="str">
        <f>IF(AA161&lt;60,"1",IF(AA161&lt;=43200,"2",IF(AA161&lt;=777600,"3","4")))</f>
        <v>3</v>
      </c>
      <c r="AC161" s="56">
        <f>AVERAGE(AV160:DA160)</f>
        <v>237750</v>
      </c>
      <c r="AD161" s="60" t="str">
        <f>IF(AC161&lt;60,"1",IF(AC161&lt;=43200,"2",IF(AC161&lt;=777600,"3","4")))</f>
        <v>3</v>
      </c>
      <c r="AE161" s="76">
        <f>AA161-Y161</f>
        <v>604200</v>
      </c>
      <c r="AF161" s="80">
        <f>AV161</f>
        <v>0.42</v>
      </c>
      <c r="AG161" s="56">
        <f>((AW161-AV161)+(AX161-AW161)+(AY161-AX161))/3</f>
        <v>-4.9999999999999989E-2</v>
      </c>
      <c r="AH161" s="4"/>
      <c r="AI161" s="56">
        <f>RSQ(AV161:AY161,AV160:AY160)</f>
        <v>0.33758938624836254</v>
      </c>
      <c r="AJ161" s="109">
        <f>SLOPE(AV161:AY161,AV160:AY160)</f>
        <v>-1.6696935022762501E-7</v>
      </c>
      <c r="AK161" s="56">
        <f>INTERCEPT(AV161:AY161,AV160:AY160)</f>
        <v>0.34469696301661784</v>
      </c>
      <c r="AL161" s="56">
        <f>INDEX(LINEST(LN(AV161:AY161),LN(AV160:AY160),TRUE,TRUE),3,1)</f>
        <v>0.93100593657617403</v>
      </c>
      <c r="AM161" s="56">
        <f>INDEX(LINEST(LN(AV161:AY161),LN(AV160:AY160)),1)</f>
        <v>-7.1014336815257609E-2</v>
      </c>
      <c r="AN161" s="56">
        <f>EXP(INDEX(LINEST(LN(AV161:AY161),LN(AV160:AY160)),1,2))</f>
        <v>0.64707743100837178</v>
      </c>
      <c r="AO161" s="82">
        <f>INDEX(LINEST((AV161:AY161),LN(AV160:AY160),TRUE,TRUE),3,1)</f>
        <v>0.93256595921018259</v>
      </c>
      <c r="AP161" s="82">
        <f>INDEX(LINEST((AV161:AY161),LN(AV160:AY160)),1)</f>
        <v>-2.3954528723934446E-2</v>
      </c>
      <c r="AQ161" s="83">
        <f>INDEX(LINEST(LN(AV161:AY161),SQRT(AV160:AY160),TRUE,TRUE),3,1)</f>
        <v>0.60851137945304046</v>
      </c>
      <c r="AR161" s="116">
        <f>INDEX(LINEST(LN(AV161:AY161),SQRT((AV160:AY160))),1)</f>
        <v>-5.559223575585633E-4</v>
      </c>
      <c r="AS161" s="84">
        <f>INDEX(LINEST(1/(AV161:AY161),1/(SQRT(AV160:AY160)),TRUE,TRUE),3,1)</f>
        <v>0.99021749487552757</v>
      </c>
      <c r="AT161" s="84">
        <f>INDEX(LINEST(1/(AV161:AY161),1/SQRT(AV160:AY160)),1)</f>
        <v>-35.449659281439388</v>
      </c>
      <c r="AU161" s="3"/>
      <c r="AV161" s="11">
        <v>0.42</v>
      </c>
      <c r="AW161" s="11">
        <v>0.27</v>
      </c>
      <c r="AX161" s="11">
        <v>0.26</v>
      </c>
      <c r="AY161" s="11">
        <v>0.27</v>
      </c>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c r="BW161" s="11"/>
      <c r="BX161" s="11"/>
      <c r="BY161" s="11"/>
      <c r="BZ161" s="11"/>
      <c r="CA161" s="11"/>
      <c r="CB161" s="11"/>
      <c r="CC161" s="11"/>
      <c r="CD161" s="11"/>
      <c r="CE161" s="11"/>
      <c r="CF161" s="11"/>
      <c r="CG161" s="11"/>
      <c r="CH161" s="11"/>
      <c r="CI161" s="11"/>
      <c r="CJ161" s="11"/>
      <c r="CK161" s="11"/>
      <c r="CL161" s="11"/>
      <c r="CM161" s="11"/>
      <c r="CN161" s="11"/>
      <c r="CO161" s="11"/>
      <c r="CP161" s="11"/>
      <c r="CQ161" s="11"/>
      <c r="CR161" s="15"/>
      <c r="CS161" s="15"/>
      <c r="CT161" s="15"/>
      <c r="CU161" s="15"/>
    </row>
    <row r="162" spans="1:99" s="13" customFormat="1" ht="12" customHeight="1" x14ac:dyDescent="0.2">
      <c r="A162" s="65">
        <v>43509</v>
      </c>
      <c r="B162" s="1"/>
      <c r="C162" s="1"/>
      <c r="D162" s="60"/>
      <c r="E162" s="76"/>
      <c r="F162" s="60"/>
      <c r="G162" s="60"/>
      <c r="H162" s="60"/>
      <c r="I162" s="60"/>
      <c r="J162" s="60"/>
      <c r="K162" s="64"/>
      <c r="L162" s="64"/>
      <c r="M162" s="60"/>
      <c r="N162" s="60"/>
      <c r="O162" s="60"/>
      <c r="P162" s="60"/>
      <c r="Q162" s="60"/>
      <c r="R162" s="60"/>
      <c r="S162" s="60"/>
      <c r="T162" s="60"/>
      <c r="U162" s="60"/>
      <c r="V162" s="60"/>
      <c r="W162" s="60"/>
      <c r="X162" s="60"/>
      <c r="Y162" s="76"/>
      <c r="Z162" s="60"/>
      <c r="AA162" s="60"/>
      <c r="AB162" s="60"/>
      <c r="AC162" s="60"/>
      <c r="AD162" s="60"/>
      <c r="AE162" s="60"/>
      <c r="AF162" s="80"/>
      <c r="AG162" s="56"/>
      <c r="AH162" s="4"/>
      <c r="AI162" s="56"/>
      <c r="AJ162" s="109"/>
      <c r="AK162" s="56"/>
      <c r="AL162" s="56"/>
      <c r="AM162" s="56"/>
      <c r="AN162" s="56"/>
      <c r="AO162" s="56"/>
      <c r="AP162" s="56"/>
      <c r="AQ162" s="56"/>
      <c r="AR162" s="109"/>
      <c r="AS162" s="56"/>
      <c r="AT162" s="56"/>
      <c r="AU162" s="4"/>
      <c r="AV162" s="25">
        <v>576</v>
      </c>
      <c r="AW162" s="25">
        <f>24*3600*2</f>
        <v>172800</v>
      </c>
      <c r="AX162" s="25">
        <f>24*3600*7</f>
        <v>604800</v>
      </c>
      <c r="AY162" s="53" t="s">
        <v>537</v>
      </c>
      <c r="AZ162" s="53"/>
      <c r="BA162" s="53"/>
      <c r="BB162" s="53"/>
      <c r="BC162" s="53"/>
      <c r="BD162" s="53"/>
      <c r="BE162" s="53"/>
      <c r="BF162" s="53"/>
      <c r="BG162" s="53"/>
      <c r="BH162" s="53"/>
      <c r="BI162" s="53"/>
      <c r="BJ162" s="53"/>
      <c r="BK162" s="53"/>
      <c r="BL162" s="53"/>
      <c r="BM162" s="53"/>
      <c r="BN162" s="53"/>
      <c r="BO162" s="53"/>
      <c r="BP162" s="53"/>
      <c r="BQ162" s="53"/>
      <c r="BR162" s="53"/>
      <c r="BS162" s="53"/>
      <c r="BT162" s="53"/>
      <c r="BU162" s="53"/>
      <c r="BV162" s="53"/>
      <c r="BW162" s="53"/>
      <c r="BX162" s="53"/>
      <c r="BY162" s="53"/>
      <c r="BZ162" s="53"/>
      <c r="CA162" s="53"/>
      <c r="CB162" s="53"/>
      <c r="CC162" s="53"/>
      <c r="CD162" s="53"/>
      <c r="CE162" s="53"/>
      <c r="CF162" s="53"/>
      <c r="CG162" s="53"/>
      <c r="CH162" s="53"/>
      <c r="CI162" s="53"/>
      <c r="CJ162" s="53"/>
      <c r="CK162" s="53"/>
      <c r="CL162" s="53"/>
      <c r="CM162" s="53"/>
      <c r="CN162" s="53"/>
      <c r="CO162" s="53"/>
      <c r="CP162" s="53"/>
      <c r="CQ162" s="53"/>
      <c r="CR162" s="1"/>
      <c r="CS162" s="1"/>
      <c r="CT162" s="1"/>
      <c r="CU162" s="1"/>
    </row>
    <row r="163" spans="1:99" s="13" customFormat="1" ht="12" customHeight="1" x14ac:dyDescent="0.2">
      <c r="A163" s="65">
        <v>43509</v>
      </c>
      <c r="B163" s="1" t="s">
        <v>137</v>
      </c>
      <c r="C163" s="1" t="s">
        <v>74</v>
      </c>
      <c r="D163" s="60">
        <v>2001</v>
      </c>
      <c r="E163" s="76">
        <v>1</v>
      </c>
      <c r="F163" s="60">
        <v>99</v>
      </c>
      <c r="G163" s="60">
        <v>33</v>
      </c>
      <c r="H163" s="60" t="s">
        <v>50</v>
      </c>
      <c r="I163" s="60" t="s">
        <v>833</v>
      </c>
      <c r="J163" s="60" t="s">
        <v>16</v>
      </c>
      <c r="K163" s="60">
        <f>IF(J163="syllables",1,IF(J163="trigrams",2,IF(J163="strings",3,IF(J163="visual array",4,IF(J163="characters",5,IF(J163="letters",6,IF(J163="free forms",7,IF(J163="odors",8,IF(J163="words",9,IF(J163="pictures",10,IF(J163="object pictures",11,IF(J163="faces",12,IF(J163="names",13,IF(J163="idioms",14,IF(J163="grades",15,IF(J163="syllable-digit pairs",16,IF(J163="trigram-word pairs",17,IF(J163="word-digit pairs",18,IF(J163="English-Swahili pairs",19,IF(J163="spatial position",20,IF(J163="word pairs",21,IF(J163="word triads",22,IF(J163="generated words",23,IF(J163="word definition pairs",24,IF(J163="math problems",25,IF(J163="famous faces",26,IF(J163="famous names",27,IF(J163="famous voices",28,IF(J163="television programs",29,IF(J163="race horses",30,IF(J163="new vocabulary",31,IF(J163="sentences",32,IF(J163="concepts",33,IF(J163="ad slides",34,IF(J163="scenes",35,IF(J163="famous scenes",36,IF(J163="poems",37,IF(J163="walk",38,IF(J163="faces and events",39,IF(J163="events and names",40,IF(J163="flashbulb",41,IF(J163="stories",42,IF(J163="course material",43,IF(J163="autobiographical",44,IF(J163="novels",45,IF(J163="public events",46,"99"))))))))))))))))))))))))))))))))))))))))))))))</f>
        <v>9</v>
      </c>
      <c r="L163" s="60">
        <f>IF(J163="syllables",1,IF(J163="trigrams",1,IF(J163="strings",1,IF(J163="visual array",1,IF(J163="characters",1,IF(J163="letters",1,IF(J163="free forms",1,IF(J163="odors",2,IF(J163="words",2,IF(J163="pictures",2,IF(J163="object pictures",2,IF(J163="faces",2,IF(J163="names",2,IF(J163="idioms","2",IF(J163="grades",2,IF(J163="syllable-digit pairs",3,IF(J163="trigram-word pairs",3,IF(J163="word-digit pairs",3,IF(J163="English-Swahili pairs",3,IF(J163="spatial position",3,IF(J163="word pairs",4,IF(J163="word triads",4,IF(J163="generated words",4,IF(J163="word definition pairs",4,IF(J163="math problems",4,IF(J163="famous faces",4,IF(J163="famous names",4,IF(J163="famous voices",4,IF(J163="television programs",4,IF(J163="race horses",4,IF(J163="new vocabulary",4,IF(J163="sentences",5,IF(J163="concepts",5,IF(J163="ad slides",5,IF(J163="scenes",5,IF(J163="famous scenes",5,IF(J163="poems",6,IF(J163="walk",6,IF(J163="faces and events",6,IF(J163="events and names",6,IF(J163="flashbulb",7,IF(J163="stories",7,IF(J163="course material",7,IF(J163="autobiographical",7,IF(J163="novels",7,IF(J163="public events",7,"99"))))))))))))))))))))))))))))))))))))))))))))))</f>
        <v>2</v>
      </c>
      <c r="M163" s="60">
        <v>0</v>
      </c>
      <c r="N163" s="60">
        <v>1</v>
      </c>
      <c r="O163" s="60">
        <v>0</v>
      </c>
      <c r="P163" s="60"/>
      <c r="Q163" s="60" t="s">
        <v>174</v>
      </c>
      <c r="R163" s="60">
        <f>IF(Q163="Free Recall",1,IF(Q163="Cued Recall",2,IF(Q163="Recognition",3,IF(Q163="Multiple Choice",4,IF(Q163="Savings",5,IF(Q163="Stem Completion",6,IF(Q163="Fragment Completion",7,IF(Q163="anagram solution",8,IF(Q163="Matching",9,IF(Q163="Problem Solving",10,"99"))))))))))</f>
        <v>1</v>
      </c>
      <c r="S163" s="60" t="s">
        <v>49</v>
      </c>
      <c r="T163" s="60" t="s">
        <v>261</v>
      </c>
      <c r="U163" s="60">
        <f>IF(T163="within",1,0)</f>
        <v>0</v>
      </c>
      <c r="V163" s="60">
        <v>288</v>
      </c>
      <c r="W163" s="60">
        <f>F163*V163</f>
        <v>28512</v>
      </c>
      <c r="X163" s="60">
        <v>3</v>
      </c>
      <c r="Y163" s="76">
        <f>AV162</f>
        <v>576</v>
      </c>
      <c r="Z163" s="60" t="s">
        <v>97</v>
      </c>
      <c r="AA163" s="60">
        <v>604800</v>
      </c>
      <c r="AB163" s="60" t="str">
        <f>IF(AA163&lt;60,"1",IF(AA163&lt;=43200,"2",IF(AA163&lt;=777600,"3","4")))</f>
        <v>3</v>
      </c>
      <c r="AC163" s="56">
        <f>AVERAGE(AV162:DA162)</f>
        <v>259392</v>
      </c>
      <c r="AD163" s="60" t="str">
        <f>IF(AC163&lt;60,"1",IF(AC163&lt;=43200,"2",IF(AC163&lt;=777600,"3","4")))</f>
        <v>3</v>
      </c>
      <c r="AE163" s="76">
        <f>AA163-Y163</f>
        <v>604224</v>
      </c>
      <c r="AF163" s="80">
        <f>AV163</f>
        <v>0.36</v>
      </c>
      <c r="AG163" s="56">
        <f>((AW163-AV163)+(AX163-AW163))/2</f>
        <v>-0.13500000000000001</v>
      </c>
      <c r="AH163" s="4"/>
      <c r="AI163" s="56">
        <f>RSQ(AV163:AX163,AV162:AX162)</f>
        <v>0.61888018911733522</v>
      </c>
      <c r="AJ163" s="109">
        <f>SLOPE(AV163:AX163,AV162:AX162)</f>
        <v>-3.7400207460433953E-7</v>
      </c>
      <c r="AK163" s="56">
        <f>INTERCEPT(AV163:AX163,AV162:AX162)</f>
        <v>0.28701314613576878</v>
      </c>
      <c r="AL163" s="56">
        <f>INDEX(LINEST(LN(AV163:AX163),LN(AV162:AX162),TRUE,TRUE),3,1)</f>
        <v>0.99920736135109056</v>
      </c>
      <c r="AM163" s="56">
        <f>INDEX(LINEST(LN(AV163:AX163),LN(AV162:AX162)),1)</f>
        <v>-0.19722711496947865</v>
      </c>
      <c r="AN163" s="56">
        <f>EXP(INDEX(LINEST(LN(AV163:AX163),LN(AV162:AX162)),1,2))</f>
        <v>1.266127836714759</v>
      </c>
      <c r="AO163" s="82">
        <f>INDEX(LINEST((AV163:AX163),LN(AV162:AX162),TRUE,TRUE),3,1)</f>
        <v>0.99535522140511312</v>
      </c>
      <c r="AP163" s="82">
        <f>INDEX(LINEST((AV163:AX163),LN(AV162:AX162)),1)</f>
        <v>-3.9817142687235338E-2</v>
      </c>
      <c r="AQ163" s="83">
        <f>INDEX(LINEST(LN(AV163:AX163),SQRT(AV162:AX162),TRUE,TRUE),3,1)</f>
        <v>0.91099097843048915</v>
      </c>
      <c r="AR163" s="116">
        <f>INDEX(LINEST(LN(AV163:AX163),SQRT((AV162:AX162))),1)</f>
        <v>-1.8525179000327874E-3</v>
      </c>
      <c r="AS163" s="84">
        <f>INDEX(LINEST(1/(AV163:AX163),1/(SQRT(AV162:AX162)),TRUE,TRUE),3,1)</f>
        <v>0.90744681419542239</v>
      </c>
      <c r="AT163" s="84">
        <f>INDEX(LINEST(1/(AV163:AX163),1/SQRT(AV162:AX162)),1)</f>
        <v>-175.75878677378617</v>
      </c>
      <c r="AU163" s="3"/>
      <c r="AV163" s="53">
        <v>0.36</v>
      </c>
      <c r="AW163" s="53">
        <v>0.12</v>
      </c>
      <c r="AX163" s="53">
        <v>0.09</v>
      </c>
      <c r="AY163" s="53"/>
      <c r="AZ163" s="53"/>
      <c r="BA163" s="53"/>
      <c r="BB163" s="53"/>
      <c r="BC163" s="53"/>
      <c r="BD163" s="53"/>
      <c r="BE163" s="53"/>
      <c r="BF163" s="53"/>
      <c r="BG163" s="53"/>
      <c r="BH163" s="53"/>
      <c r="BI163" s="53"/>
      <c r="BJ163" s="53"/>
      <c r="BK163" s="53"/>
      <c r="BL163" s="53"/>
      <c r="BM163" s="53"/>
      <c r="BN163" s="53"/>
      <c r="BO163" s="53"/>
      <c r="BP163" s="53"/>
      <c r="BQ163" s="53"/>
      <c r="BR163" s="53"/>
      <c r="BS163" s="53"/>
      <c r="BT163" s="53"/>
      <c r="BU163" s="53"/>
      <c r="BV163" s="53"/>
      <c r="BW163" s="53"/>
      <c r="BX163" s="53"/>
      <c r="BY163" s="53"/>
      <c r="BZ163" s="53"/>
      <c r="CA163" s="53"/>
      <c r="CB163" s="53"/>
      <c r="CC163" s="53"/>
      <c r="CD163" s="53"/>
      <c r="CE163" s="53"/>
      <c r="CF163" s="53"/>
      <c r="CG163" s="53"/>
      <c r="CH163" s="53"/>
      <c r="CI163" s="53"/>
      <c r="CJ163" s="53"/>
      <c r="CK163" s="53"/>
      <c r="CL163" s="53"/>
      <c r="CM163" s="53"/>
      <c r="CN163" s="53"/>
      <c r="CO163" s="53"/>
      <c r="CP163" s="53"/>
      <c r="CQ163" s="53"/>
      <c r="CR163" s="1"/>
      <c r="CS163" s="1"/>
      <c r="CT163" s="1"/>
      <c r="CU163" s="1"/>
    </row>
    <row r="164" spans="1:99" s="13" customFormat="1" ht="12" customHeight="1" x14ac:dyDescent="0.2">
      <c r="A164" s="65">
        <v>43509</v>
      </c>
      <c r="B164" s="1"/>
      <c r="C164" s="1"/>
      <c r="D164" s="60"/>
      <c r="E164" s="76"/>
      <c r="F164" s="60"/>
      <c r="G164" s="60"/>
      <c r="H164" s="60"/>
      <c r="I164" s="60"/>
      <c r="J164" s="60"/>
      <c r="K164" s="64"/>
      <c r="L164" s="64"/>
      <c r="M164" s="60"/>
      <c r="N164" s="60"/>
      <c r="O164" s="60"/>
      <c r="P164" s="60"/>
      <c r="Q164" s="60"/>
      <c r="R164" s="60"/>
      <c r="S164" s="60"/>
      <c r="T164" s="60"/>
      <c r="U164" s="60"/>
      <c r="V164" s="60"/>
      <c r="W164" s="60"/>
      <c r="X164" s="60"/>
      <c r="Y164" s="76"/>
      <c r="Z164" s="60"/>
      <c r="AA164" s="60"/>
      <c r="AB164" s="60"/>
      <c r="AC164" s="60"/>
      <c r="AD164" s="60"/>
      <c r="AE164" s="60"/>
      <c r="AF164" s="80"/>
      <c r="AG164" s="56"/>
      <c r="AH164" s="4"/>
      <c r="AI164" s="56"/>
      <c r="AJ164" s="109"/>
      <c r="AK164" s="56"/>
      <c r="AL164" s="56"/>
      <c r="AM164" s="56"/>
      <c r="AN164" s="56"/>
      <c r="AO164" s="56"/>
      <c r="AP164" s="56"/>
      <c r="AQ164" s="82"/>
      <c r="AR164" s="115"/>
      <c r="AS164" s="82"/>
      <c r="AT164" s="82"/>
      <c r="AU164" s="4"/>
      <c r="AV164" s="25">
        <v>576</v>
      </c>
      <c r="AW164" s="25">
        <f>24*3600*2</f>
        <v>172800</v>
      </c>
      <c r="AX164" s="25">
        <f>24*3600*7</f>
        <v>604800</v>
      </c>
      <c r="AY164" s="53"/>
      <c r="AZ164" s="53"/>
      <c r="BA164" s="53"/>
      <c r="BB164" s="53"/>
      <c r="BC164" s="53"/>
      <c r="BD164" s="53"/>
      <c r="BE164" s="53"/>
      <c r="BF164" s="53"/>
      <c r="BG164" s="53"/>
      <c r="BH164" s="53"/>
      <c r="BI164" s="53"/>
      <c r="BJ164" s="53"/>
      <c r="BK164" s="53"/>
      <c r="BL164" s="53"/>
      <c r="BM164" s="53"/>
      <c r="BN164" s="53"/>
      <c r="BO164" s="53"/>
      <c r="BP164" s="53"/>
      <c r="BQ164" s="53"/>
      <c r="BR164" s="53"/>
      <c r="BS164" s="53"/>
      <c r="BT164" s="53"/>
      <c r="BU164" s="53"/>
      <c r="BV164" s="53"/>
      <c r="BW164" s="53"/>
      <c r="BX164" s="53"/>
      <c r="BY164" s="53"/>
      <c r="BZ164" s="53"/>
      <c r="CA164" s="53"/>
      <c r="CB164" s="53"/>
      <c r="CC164" s="53"/>
      <c r="CD164" s="53"/>
      <c r="CE164" s="53"/>
      <c r="CF164" s="53"/>
      <c r="CG164" s="53"/>
      <c r="CH164" s="53"/>
      <c r="CI164" s="53"/>
      <c r="CJ164" s="53"/>
      <c r="CK164" s="53"/>
      <c r="CL164" s="53"/>
      <c r="CM164" s="53"/>
      <c r="CN164" s="53"/>
      <c r="CO164" s="53"/>
      <c r="CP164" s="53"/>
      <c r="CQ164" s="53"/>
      <c r="CR164" s="1"/>
      <c r="CS164" s="1"/>
      <c r="CT164" s="1"/>
      <c r="CU164" s="1"/>
    </row>
    <row r="165" spans="1:99" s="13" customFormat="1" ht="12" customHeight="1" x14ac:dyDescent="0.2">
      <c r="A165" s="65">
        <v>43509</v>
      </c>
      <c r="B165" s="1" t="s">
        <v>137</v>
      </c>
      <c r="C165" s="1" t="s">
        <v>74</v>
      </c>
      <c r="D165" s="60">
        <v>2001</v>
      </c>
      <c r="E165" s="76">
        <v>1</v>
      </c>
      <c r="F165" s="60">
        <v>99</v>
      </c>
      <c r="G165" s="60">
        <v>33</v>
      </c>
      <c r="H165" s="60" t="s">
        <v>50</v>
      </c>
      <c r="I165" s="60" t="s">
        <v>834</v>
      </c>
      <c r="J165" s="60" t="s">
        <v>16</v>
      </c>
      <c r="K165" s="60">
        <f>IF(J165="syllables",1,IF(J165="trigrams",2,IF(J165="strings",3,IF(J165="visual array",4,IF(J165="characters",5,IF(J165="letters",6,IF(J165="free forms",7,IF(J165="odors",8,IF(J165="words",9,IF(J165="pictures",10,IF(J165="object pictures",11,IF(J165="faces",12,IF(J165="names",13,IF(J165="idioms",14,IF(J165="grades",15,IF(J165="syllable-digit pairs",16,IF(J165="trigram-word pairs",17,IF(J165="word-digit pairs",18,IF(J165="English-Swahili pairs",19,IF(J165="spatial position",20,IF(J165="word pairs",21,IF(J165="word triads",22,IF(J165="generated words",23,IF(J165="word definition pairs",24,IF(J165="math problems",25,IF(J165="famous faces",26,IF(J165="famous names",27,IF(J165="famous voices",28,IF(J165="television programs",29,IF(J165="race horses",30,IF(J165="new vocabulary",31,IF(J165="sentences",32,IF(J165="concepts",33,IF(J165="ad slides",34,IF(J165="scenes",35,IF(J165="famous scenes",36,IF(J165="poems",37,IF(J165="walk",38,IF(J165="faces and events",39,IF(J165="events and names",40,IF(J165="flashbulb",41,IF(J165="stories",42,IF(J165="course material",43,IF(J165="autobiographical",44,IF(J165="novels",45,IF(J165="public events",46,"99"))))))))))))))))))))))))))))))))))))))))))))))</f>
        <v>9</v>
      </c>
      <c r="L165" s="60">
        <f>IF(J165="syllables",1,IF(J165="trigrams",1,IF(J165="strings",1,IF(J165="visual array",1,IF(J165="characters",1,IF(J165="letters",1,IF(J165="free forms",1,IF(J165="odors",2,IF(J165="words",2,IF(J165="pictures",2,IF(J165="object pictures",2,IF(J165="faces",2,IF(J165="names",2,IF(J165="idioms","2",IF(J165="grades",2,IF(J165="syllable-digit pairs",3,IF(J165="trigram-word pairs",3,IF(J165="word-digit pairs",3,IF(J165="English-Swahili pairs",3,IF(J165="spatial position",3,IF(J165="word pairs",4,IF(J165="word triads",4,IF(J165="generated words",4,IF(J165="word definition pairs",4,IF(J165="math problems",4,IF(J165="famous faces",4,IF(J165="famous names",4,IF(J165="famous voices",4,IF(J165="television programs",4,IF(J165="race horses",4,IF(J165="new vocabulary",4,IF(J165="sentences",5,IF(J165="concepts",5,IF(J165="ad slides",5,IF(J165="scenes",5,IF(J165="famous scenes",5,IF(J165="poems",6,IF(J165="walk",6,IF(J165="faces and events",6,IF(J165="events and names",6,IF(J165="flashbulb",7,IF(J165="stories",7,IF(J165="course material",7,IF(J165="autobiographical",7,IF(J165="novels",7,IF(J165="public events",7,"99"))))))))))))))))))))))))))))))))))))))))))))))</f>
        <v>2</v>
      </c>
      <c r="M165" s="60">
        <v>0</v>
      </c>
      <c r="N165" s="60">
        <v>1</v>
      </c>
      <c r="O165" s="60">
        <v>0</v>
      </c>
      <c r="P165" s="60"/>
      <c r="Q165" s="60" t="s">
        <v>174</v>
      </c>
      <c r="R165" s="60">
        <f>IF(Q165="Free Recall",1,IF(Q165="Cued Recall",2,IF(Q165="Recognition",3,IF(Q165="Multiple Choice",4,IF(Q165="Savings",5,IF(Q165="Stem Completion",6,IF(Q165="Fragment Completion",7,IF(Q165="anagram solution",8,IF(Q165="Matching",9,IF(Q165="Problem Solving",10,"99"))))))))))</f>
        <v>1</v>
      </c>
      <c r="S165" s="60" t="s">
        <v>49</v>
      </c>
      <c r="T165" s="60" t="s">
        <v>261</v>
      </c>
      <c r="U165" s="60">
        <f>IF(T165="within",1,0)</f>
        <v>0</v>
      </c>
      <c r="V165" s="60">
        <v>288</v>
      </c>
      <c r="W165" s="60">
        <f>F165*V165</f>
        <v>28512</v>
      </c>
      <c r="X165" s="60">
        <v>3</v>
      </c>
      <c r="Y165" s="76">
        <f>AV164</f>
        <v>576</v>
      </c>
      <c r="Z165" s="60" t="s">
        <v>97</v>
      </c>
      <c r="AA165" s="60">
        <v>604800</v>
      </c>
      <c r="AB165" s="60" t="str">
        <f>IF(AA165&lt;60,"1",IF(AA165&lt;=43200,"2",IF(AA165&lt;=777600,"3","4")))</f>
        <v>3</v>
      </c>
      <c r="AC165" s="56">
        <f>AVERAGE(AV164:DA164)</f>
        <v>259392</v>
      </c>
      <c r="AD165" s="60" t="str">
        <f>IF(AC165&lt;60,"1",IF(AC165&lt;=43200,"2",IF(AC165&lt;=777600,"3","4")))</f>
        <v>3</v>
      </c>
      <c r="AE165" s="76">
        <f>AA165-Y165</f>
        <v>604224</v>
      </c>
      <c r="AF165" s="80">
        <f>AV165</f>
        <v>0.09</v>
      </c>
      <c r="AG165" s="56">
        <f>((AW165-AV165)+(AX165-AW165))/2</f>
        <v>-0.03</v>
      </c>
      <c r="AH165" s="4"/>
      <c r="AI165" s="56">
        <f>RSQ(AV165:AX165,AV164:AX164)</f>
        <v>0.51849053416591417</v>
      </c>
      <c r="AJ165" s="109">
        <f>SLOPE(AV165:AX165,AV164:AX164)</f>
        <v>-8.0132686412882405E-8</v>
      </c>
      <c r="AK165" s="56">
        <f>INTERCEPT(AV165:AX165,AV164:AX164)</f>
        <v>7.0785777794010393E-2</v>
      </c>
      <c r="AL165" s="56">
        <f>INDEX(LINEST(LN(AV165:AX165),LN(AV164:AX164),TRUE,TRUE),3,1)</f>
        <v>0.97146382286411015</v>
      </c>
      <c r="AM165" s="56">
        <f>INDEX(LINEST(LN(AV165:AX165),LN(AV164:AX164)),1)</f>
        <v>-0.16859943924419532</v>
      </c>
      <c r="AN165" s="56">
        <f>EXP(INDEX(LINEST(LN(AV165:AX165),LN(AV164:AX164)),1,2))</f>
        <v>0.25737797589916278</v>
      </c>
      <c r="AO165" s="82">
        <f>INDEX(LINEST((AV165:AX165),LN(AV164:AX164),TRUE,TRUE),3,1)</f>
        <v>0.97146382286411004</v>
      </c>
      <c r="AP165" s="82">
        <f>INDEX(LINEST((AV165:AX165),LN(AV164:AX164)),1)</f>
        <v>-9.2079493912412928E-3</v>
      </c>
      <c r="AQ165" s="83">
        <f>INDEX(LINEST(LN(AV165:AX165),SQRT(AV164:AX164),TRUE,TRUE),3,1)</f>
        <v>0.76943132294153704</v>
      </c>
      <c r="AR165" s="116">
        <f>INDEX(LINEST(LN(AV165:AX165),SQRT((AV164:AX164))),1)</f>
        <v>-1.4760270152570807E-3</v>
      </c>
      <c r="AS165" s="84">
        <f>INDEX(LINEST(1/(AV165:AX165),1/(SQRT(AV164:AX164)),TRUE,TRUE),3,1)</f>
        <v>0.99940730015305956</v>
      </c>
      <c r="AT165" s="84">
        <f>INDEX(LINEST(1/(AV165:AX165),1/SQRT(AV164:AX164)),1)</f>
        <v>-557.72316289860964</v>
      </c>
      <c r="AU165" s="3"/>
      <c r="AV165" s="53">
        <v>0.09</v>
      </c>
      <c r="AW165" s="53">
        <v>0.03</v>
      </c>
      <c r="AX165" s="53">
        <v>0.03</v>
      </c>
      <c r="AY165" s="53"/>
      <c r="AZ165" s="53"/>
      <c r="BA165" s="53"/>
      <c r="BB165" s="53"/>
      <c r="BC165" s="53"/>
      <c r="BD165" s="53"/>
      <c r="BE165" s="53"/>
      <c r="BF165" s="53"/>
      <c r="BG165" s="53"/>
      <c r="BH165" s="53"/>
      <c r="BI165" s="53"/>
      <c r="BJ165" s="53"/>
      <c r="BK165" s="53"/>
      <c r="BL165" s="53"/>
      <c r="BM165" s="53"/>
      <c r="BN165" s="53"/>
      <c r="BO165" s="53"/>
      <c r="BP165" s="53"/>
      <c r="BQ165" s="53"/>
      <c r="BR165" s="53"/>
      <c r="BS165" s="53"/>
      <c r="BT165" s="53"/>
      <c r="BU165" s="53"/>
      <c r="BV165" s="53"/>
      <c r="BW165" s="53"/>
      <c r="BX165" s="53"/>
      <c r="BY165" s="53"/>
      <c r="BZ165" s="53"/>
      <c r="CA165" s="53"/>
      <c r="CB165" s="53"/>
      <c r="CC165" s="53"/>
      <c r="CD165" s="53"/>
      <c r="CE165" s="53"/>
      <c r="CF165" s="53"/>
      <c r="CG165" s="53"/>
      <c r="CH165" s="53"/>
      <c r="CI165" s="53"/>
      <c r="CJ165" s="53"/>
      <c r="CK165" s="53"/>
      <c r="CL165" s="53"/>
      <c r="CM165" s="53"/>
      <c r="CN165" s="53"/>
      <c r="CO165" s="53"/>
      <c r="CP165" s="53"/>
      <c r="CQ165" s="53"/>
      <c r="CR165" s="1"/>
      <c r="CS165" s="1"/>
      <c r="CT165" s="1"/>
      <c r="CU165" s="1"/>
    </row>
    <row r="166" spans="1:99" s="13" customFormat="1" ht="12" customHeight="1" x14ac:dyDescent="0.2">
      <c r="A166" s="65">
        <v>43509</v>
      </c>
      <c r="B166" s="1"/>
      <c r="C166" s="1"/>
      <c r="D166" s="60"/>
      <c r="E166" s="76"/>
      <c r="F166" s="60"/>
      <c r="G166" s="60"/>
      <c r="H166" s="60"/>
      <c r="I166" s="60"/>
      <c r="J166" s="60"/>
      <c r="K166" s="64"/>
      <c r="L166" s="64"/>
      <c r="M166" s="60"/>
      <c r="N166" s="60"/>
      <c r="O166" s="60"/>
      <c r="P166" s="60"/>
      <c r="Q166" s="60"/>
      <c r="R166" s="60"/>
      <c r="S166" s="60"/>
      <c r="T166" s="60"/>
      <c r="U166" s="60"/>
      <c r="V166" s="60"/>
      <c r="W166" s="60"/>
      <c r="X166" s="60"/>
      <c r="Y166" s="76"/>
      <c r="Z166" s="60"/>
      <c r="AA166" s="60"/>
      <c r="AB166" s="60"/>
      <c r="AC166" s="60"/>
      <c r="AD166" s="60"/>
      <c r="AE166" s="60"/>
      <c r="AF166" s="80"/>
      <c r="AG166" s="56"/>
      <c r="AH166" s="4"/>
      <c r="AI166" s="56"/>
      <c r="AJ166" s="109"/>
      <c r="AK166" s="56"/>
      <c r="AL166" s="56"/>
      <c r="AM166" s="56"/>
      <c r="AN166" s="56"/>
      <c r="AO166" s="56"/>
      <c r="AP166" s="56"/>
      <c r="AQ166" s="82"/>
      <c r="AR166" s="115"/>
      <c r="AS166" s="82"/>
      <c r="AT166" s="82"/>
      <c r="AU166" s="4"/>
      <c r="AV166" s="25">
        <v>576</v>
      </c>
      <c r="AW166" s="25">
        <f>24*3600*2</f>
        <v>172800</v>
      </c>
      <c r="AX166" s="25">
        <f>24*3600*7</f>
        <v>604800</v>
      </c>
      <c r="AY166" s="53"/>
      <c r="AZ166" s="53"/>
      <c r="BA166" s="53"/>
      <c r="BB166" s="53"/>
      <c r="BC166" s="53"/>
      <c r="BD166" s="53"/>
      <c r="BE166" s="53"/>
      <c r="BF166" s="53"/>
      <c r="BG166" s="53"/>
      <c r="BH166" s="53"/>
      <c r="BI166" s="53"/>
      <c r="BJ166" s="53"/>
      <c r="BK166" s="53"/>
      <c r="BL166" s="53"/>
      <c r="BM166" s="53"/>
      <c r="BN166" s="53"/>
      <c r="BO166" s="53"/>
      <c r="BP166" s="53"/>
      <c r="BQ166" s="53"/>
      <c r="BR166" s="53"/>
      <c r="BS166" s="53"/>
      <c r="BT166" s="53"/>
      <c r="BU166" s="53"/>
      <c r="BV166" s="53"/>
      <c r="BW166" s="53"/>
      <c r="BX166" s="53"/>
      <c r="BY166" s="53"/>
      <c r="BZ166" s="53"/>
      <c r="CA166" s="53"/>
      <c r="CB166" s="53"/>
      <c r="CC166" s="53"/>
      <c r="CD166" s="53"/>
      <c r="CE166" s="53"/>
      <c r="CF166" s="53"/>
      <c r="CG166" s="53"/>
      <c r="CH166" s="53"/>
      <c r="CI166" s="53"/>
      <c r="CJ166" s="53"/>
      <c r="CK166" s="53"/>
      <c r="CL166" s="53"/>
      <c r="CM166" s="53"/>
      <c r="CN166" s="53"/>
      <c r="CO166" s="53"/>
      <c r="CP166" s="53"/>
      <c r="CQ166" s="53"/>
      <c r="CR166" s="1"/>
      <c r="CS166" s="1"/>
      <c r="CT166" s="1"/>
      <c r="CU166" s="1"/>
    </row>
    <row r="167" spans="1:99" s="13" customFormat="1" ht="12" customHeight="1" x14ac:dyDescent="0.2">
      <c r="A167" s="65">
        <v>43509</v>
      </c>
      <c r="B167" s="1" t="s">
        <v>137</v>
      </c>
      <c r="C167" s="1" t="s">
        <v>74</v>
      </c>
      <c r="D167" s="60">
        <v>2001</v>
      </c>
      <c r="E167" s="76">
        <v>2</v>
      </c>
      <c r="F167" s="60">
        <v>72</v>
      </c>
      <c r="G167" s="60">
        <v>24</v>
      </c>
      <c r="H167" s="60" t="s">
        <v>22</v>
      </c>
      <c r="I167" s="60" t="s">
        <v>835</v>
      </c>
      <c r="J167" s="60" t="s">
        <v>16</v>
      </c>
      <c r="K167" s="60">
        <f>IF(J167="syllables",1,IF(J167="trigrams",2,IF(J167="strings",3,IF(J167="visual array",4,IF(J167="characters",5,IF(J167="letters",6,IF(J167="free forms",7,IF(J167="odors",8,IF(J167="words",9,IF(J167="pictures",10,IF(J167="object pictures",11,IF(J167="faces",12,IF(J167="names",13,IF(J167="idioms",14,IF(J167="grades",15,IF(J167="syllable-digit pairs",16,IF(J167="trigram-word pairs",17,IF(J167="word-digit pairs",18,IF(J167="English-Swahili pairs",19,IF(J167="spatial position",20,IF(J167="word pairs",21,IF(J167="word triads",22,IF(J167="generated words",23,IF(J167="word definition pairs",24,IF(J167="math problems",25,IF(J167="famous faces",26,IF(J167="famous names",27,IF(J167="famous voices",28,IF(J167="television programs",29,IF(J167="race horses",30,IF(J167="new vocabulary",31,IF(J167="sentences",32,IF(J167="concepts",33,IF(J167="ad slides",34,IF(J167="scenes",35,IF(J167="famous scenes",36,IF(J167="poems",37,IF(J167="walk",38,IF(J167="faces and events",39,IF(J167="events and names",40,IF(J167="flashbulb",41,IF(J167="stories",42,IF(J167="course material",43,IF(J167="autobiographical",44,IF(J167="novels",45,IF(J167="public events",46,"99"))))))))))))))))))))))))))))))))))))))))))))))</f>
        <v>9</v>
      </c>
      <c r="L167" s="60">
        <f>IF(J167="syllables",1,IF(J167="trigrams",1,IF(J167="strings",1,IF(J167="visual array",1,IF(J167="characters",1,IF(J167="letters",1,IF(J167="free forms",1,IF(J167="odors",2,IF(J167="words",2,IF(J167="pictures",2,IF(J167="object pictures",2,IF(J167="faces",2,IF(J167="names",2,IF(J167="idioms","2",IF(J167="grades",2,IF(J167="syllable-digit pairs",3,IF(J167="trigram-word pairs",3,IF(J167="word-digit pairs",3,IF(J167="English-Swahili pairs",3,IF(J167="spatial position",3,IF(J167="word pairs",4,IF(J167="word triads",4,IF(J167="generated words",4,IF(J167="word definition pairs",4,IF(J167="math problems",4,IF(J167="famous faces",4,IF(J167="famous names",4,IF(J167="famous voices",4,IF(J167="television programs",4,IF(J167="race horses",4,IF(J167="new vocabulary",4,IF(J167="sentences",5,IF(J167="concepts",5,IF(J167="ad slides",5,IF(J167="scenes",5,IF(J167="famous scenes",5,IF(J167="poems",6,IF(J167="walk",6,IF(J167="faces and events",6,IF(J167="events and names",6,IF(J167="flashbulb",7,IF(J167="stories",7,IF(J167="course material",7,IF(J167="autobiographical",7,IF(J167="novels",7,IF(J167="public events",7,"99"))))))))))))))))))))))))))))))))))))))))))))))</f>
        <v>2</v>
      </c>
      <c r="M167" s="60">
        <v>0</v>
      </c>
      <c r="N167" s="60">
        <v>1</v>
      </c>
      <c r="O167" s="60">
        <v>0</v>
      </c>
      <c r="P167" s="60"/>
      <c r="Q167" s="60" t="s">
        <v>34</v>
      </c>
      <c r="R167" s="60">
        <f>IF(Q167="Free Recall",1,IF(Q167="Cued Recall",2,IF(Q167="Recognition",3,IF(Q167="Multiple Choice",4,IF(Q167="Savings",5,IF(Q167="Stem Completion",6,IF(Q167="Fragment Completion",7,IF(Q167="anagram solution",8,IF(Q167="Matching",9,IF(Q167="Problem Solving",10,"99"))))))))))</f>
        <v>3</v>
      </c>
      <c r="S167" s="60" t="s">
        <v>15</v>
      </c>
      <c r="T167" s="60" t="s">
        <v>261</v>
      </c>
      <c r="U167" s="60">
        <f>IF(T167="within",1,0)</f>
        <v>0</v>
      </c>
      <c r="V167" s="60">
        <v>288</v>
      </c>
      <c r="W167" s="60">
        <f>F167*V167</f>
        <v>20736</v>
      </c>
      <c r="X167" s="60">
        <v>3</v>
      </c>
      <c r="Y167" s="76">
        <f>AV166</f>
        <v>576</v>
      </c>
      <c r="Z167" s="60" t="s">
        <v>97</v>
      </c>
      <c r="AA167" s="60">
        <v>604800</v>
      </c>
      <c r="AB167" s="60" t="str">
        <f>IF(AA167&lt;60,"1",IF(AA167&lt;=43200,"2",IF(AA167&lt;=777600,"3","4")))</f>
        <v>3</v>
      </c>
      <c r="AC167" s="56">
        <f>AVERAGE(AV166:DA166)</f>
        <v>259392</v>
      </c>
      <c r="AD167" s="60" t="str">
        <f>IF(AC167&lt;60,"1",IF(AC167&lt;=43200,"2",IF(AC167&lt;=777600,"3","4")))</f>
        <v>3</v>
      </c>
      <c r="AE167" s="76">
        <f>AA167-Y167</f>
        <v>604224</v>
      </c>
      <c r="AF167" s="80">
        <f>AV167</f>
        <v>0.9</v>
      </c>
      <c r="AG167" s="56">
        <f>((AW167-AV167)+(AX167-AW167))/2</f>
        <v>-7.5000000000000011E-2</v>
      </c>
      <c r="AH167" s="4"/>
      <c r="AI167" s="56">
        <f>RSQ(AV167:AX167,AV166:AX166)</f>
        <v>0.76467143952222827</v>
      </c>
      <c r="AJ167" s="109">
        <f>SLOPE(AV167:AX167,AV166:AX166)</f>
        <v>-2.1820503036069764E-7</v>
      </c>
      <c r="AK167" s="56">
        <f>INTERCEPT(AV167:AX167,AV166:AX166)</f>
        <v>0.86993397256865546</v>
      </c>
      <c r="AL167" s="56">
        <f>INDEX(LINEST(LN(AV167:AX167),LN(AV166:AX166),TRUE,TRUE),3,1)</f>
        <v>0.98783804474031167</v>
      </c>
      <c r="AM167" s="56">
        <f>INDEX(LINEST(LN(AV167:AX167),LN(AV166:AX166)),1)</f>
        <v>-2.5176675462957005E-2</v>
      </c>
      <c r="AN167" s="56">
        <f>EXP(INDEX(LINEST(LN(AV167:AX167),LN(AV166:AX166)),1,2))</f>
        <v>1.0583231006837024</v>
      </c>
      <c r="AO167" s="82">
        <f>INDEX(LINEST((AV167:AX167),LN(AV166:AX166),TRUE,TRUE),3,1)</f>
        <v>0.99180006412557897</v>
      </c>
      <c r="AP167" s="82">
        <f>INDEX(LINEST((AV167:AX167),LN(AV166:AX166)),1)</f>
        <v>-2.0861700713635925E-2</v>
      </c>
      <c r="AQ167" s="83">
        <f>INDEX(LINEST(LN(AV167:AX167),SQRT(AV166:AX166),TRUE,TRUE),3,1)</f>
        <v>0.95211631774021965</v>
      </c>
      <c r="AR167" s="116">
        <f>INDEX(LINEST(LN(AV167:AX167),SQRT((AV166:AX166))),1)</f>
        <v>-2.4314597083954721E-4</v>
      </c>
      <c r="AS167" s="84">
        <f>INDEX(LINEST(1/(AV167:AX167),1/(SQRT(AV166:AX166)),TRUE,TRUE),3,1)</f>
        <v>0.92549902213634783</v>
      </c>
      <c r="AT167" s="84">
        <f>INDEX(LINEST(1/(AV167:AX167),1/SQRT(AV166:AX166)),1)</f>
        <v>-4.7657910380831883</v>
      </c>
      <c r="AU167" s="3"/>
      <c r="AV167" s="53">
        <v>0.9</v>
      </c>
      <c r="AW167" s="53">
        <v>0.79</v>
      </c>
      <c r="AX167" s="53">
        <v>0.75</v>
      </c>
      <c r="AY167" s="53"/>
      <c r="AZ167" s="53"/>
      <c r="BA167" s="53"/>
      <c r="BB167" s="53"/>
      <c r="BC167" s="53"/>
      <c r="BD167" s="53"/>
      <c r="BE167" s="53"/>
      <c r="BF167" s="53"/>
      <c r="BG167" s="53"/>
      <c r="BH167" s="53"/>
      <c r="BI167" s="53"/>
      <c r="BJ167" s="53"/>
      <c r="BK167" s="53"/>
      <c r="BL167" s="53"/>
      <c r="BM167" s="53"/>
      <c r="BN167" s="53"/>
      <c r="BO167" s="53"/>
      <c r="BP167" s="53"/>
      <c r="BQ167" s="53"/>
      <c r="BR167" s="53"/>
      <c r="BS167" s="53"/>
      <c r="BT167" s="53"/>
      <c r="BU167" s="53"/>
      <c r="BV167" s="53"/>
      <c r="BW167" s="53"/>
      <c r="BX167" s="53"/>
      <c r="BY167" s="53"/>
      <c r="BZ167" s="53"/>
      <c r="CA167" s="53"/>
      <c r="CB167" s="53"/>
      <c r="CC167" s="53"/>
      <c r="CD167" s="53"/>
      <c r="CE167" s="53"/>
      <c r="CF167" s="53"/>
      <c r="CG167" s="53"/>
      <c r="CH167" s="53"/>
      <c r="CI167" s="53"/>
      <c r="CJ167" s="53"/>
      <c r="CK167" s="53"/>
      <c r="CL167" s="53"/>
      <c r="CM167" s="53"/>
      <c r="CN167" s="53"/>
      <c r="CO167" s="53"/>
      <c r="CP167" s="53"/>
      <c r="CQ167" s="53"/>
      <c r="CR167" s="1"/>
      <c r="CS167" s="1"/>
      <c r="CT167" s="1"/>
      <c r="CU167" s="1"/>
    </row>
    <row r="168" spans="1:99" s="13" customFormat="1" ht="12" customHeight="1" x14ac:dyDescent="0.2">
      <c r="A168" s="65">
        <v>43979</v>
      </c>
      <c r="B168" s="1"/>
      <c r="C168" s="1"/>
      <c r="D168" s="60"/>
      <c r="E168" s="76"/>
      <c r="F168" s="60"/>
      <c r="G168" s="60"/>
      <c r="H168" s="60"/>
      <c r="I168" s="60"/>
      <c r="J168" s="60"/>
      <c r="K168" s="60"/>
      <c r="L168" s="60"/>
      <c r="M168" s="60"/>
      <c r="N168" s="60"/>
      <c r="O168" s="60"/>
      <c r="P168" s="60"/>
      <c r="Q168" s="60"/>
      <c r="R168" s="60"/>
      <c r="S168" s="60"/>
      <c r="T168" s="59"/>
      <c r="U168" s="60"/>
      <c r="V168" s="59"/>
      <c r="W168" s="60"/>
      <c r="X168" s="60"/>
      <c r="Y168" s="76"/>
      <c r="Z168" s="60"/>
      <c r="AA168" s="60"/>
      <c r="AB168" s="60"/>
      <c r="AC168" s="56"/>
      <c r="AD168" s="60"/>
      <c r="AE168" s="76"/>
      <c r="AF168" s="80"/>
      <c r="AG168" s="56"/>
      <c r="AH168" s="4"/>
      <c r="AI168" s="56"/>
      <c r="AJ168" s="109"/>
      <c r="AK168" s="56"/>
      <c r="AL168" s="56"/>
      <c r="AM168" s="56"/>
      <c r="AN168" s="56"/>
      <c r="AO168" s="82"/>
      <c r="AP168" s="82"/>
      <c r="AQ168" s="83"/>
      <c r="AR168" s="116"/>
      <c r="AS168" s="84"/>
      <c r="AT168" s="84"/>
      <c r="AU168" s="3"/>
      <c r="AV168" s="53">
        <f>60*5</f>
        <v>300</v>
      </c>
      <c r="AW168" s="53">
        <f>60*30</f>
        <v>1800</v>
      </c>
      <c r="AX168" s="53">
        <f>60*60*24*7</f>
        <v>604800</v>
      </c>
      <c r="AY168" s="53"/>
      <c r="AZ168" s="53"/>
      <c r="BA168" s="53"/>
      <c r="BB168" s="53"/>
      <c r="BC168" s="53"/>
      <c r="BD168" s="53"/>
      <c r="BE168" s="53"/>
      <c r="BF168" s="53"/>
      <c r="BG168" s="53"/>
      <c r="BH168" s="53"/>
      <c r="BI168" s="53"/>
      <c r="BJ168" s="53"/>
      <c r="BK168" s="53"/>
      <c r="BL168" s="53"/>
      <c r="BM168" s="53"/>
      <c r="BN168" s="53"/>
      <c r="BO168" s="53"/>
      <c r="BP168" s="53"/>
      <c r="BQ168" s="53"/>
      <c r="BR168" s="53"/>
      <c r="BS168" s="53"/>
      <c r="BT168" s="53"/>
      <c r="BU168" s="53"/>
      <c r="BV168" s="53"/>
      <c r="BW168" s="53"/>
      <c r="BX168" s="53"/>
      <c r="BY168" s="53"/>
      <c r="BZ168" s="53"/>
      <c r="CA168" s="53"/>
      <c r="CB168" s="53"/>
      <c r="CC168" s="53"/>
      <c r="CD168" s="53"/>
      <c r="CE168" s="53"/>
      <c r="CF168" s="53"/>
      <c r="CG168" s="53"/>
      <c r="CH168" s="53"/>
      <c r="CI168" s="53"/>
      <c r="CJ168" s="53"/>
      <c r="CK168" s="53"/>
      <c r="CL168" s="53"/>
      <c r="CM168" s="53"/>
      <c r="CN168" s="53"/>
      <c r="CO168" s="53"/>
      <c r="CP168" s="53"/>
      <c r="CQ168" s="53"/>
      <c r="CR168" s="1"/>
      <c r="CS168" s="1"/>
      <c r="CT168" s="1"/>
      <c r="CU168" s="1"/>
    </row>
    <row r="169" spans="1:99" s="13" customFormat="1" ht="12" customHeight="1" x14ac:dyDescent="0.2">
      <c r="A169" s="65">
        <v>43979</v>
      </c>
      <c r="B169" s="1" t="s">
        <v>1015</v>
      </c>
      <c r="C169" s="1" t="s">
        <v>1016</v>
      </c>
      <c r="D169" s="60">
        <v>2016</v>
      </c>
      <c r="E169" s="76">
        <v>1</v>
      </c>
      <c r="F169" s="60">
        <v>41</v>
      </c>
      <c r="G169" s="60">
        <v>41</v>
      </c>
      <c r="H169" s="60" t="s">
        <v>50</v>
      </c>
      <c r="I169" s="60" t="s">
        <v>330</v>
      </c>
      <c r="J169" s="60" t="s">
        <v>16</v>
      </c>
      <c r="K169" s="60">
        <f>IF(J169="syllables",1,IF(J169="trigrams",2,IF(J169="strings",3,IF(J169="visual array",4,IF(J169="characters",5,IF(J169="letters",6,IF(J169="free forms",7,IF(J169="odors",8,IF(J169="words",9,IF(J169="pictures",10,IF(J169="object pictures",11,IF(J169="faces",12,IF(J169="names",13,IF(J169="idioms",14,IF(J169="grades",15,IF(J169="syllable-digit pairs",16,IF(J169="trigram-word pairs",17,IF(J169="word-digit pairs",18,IF(J169="English-Swahili pairs",19,IF(J169="spatial position",20,IF(J169="word pairs",21,IF(J169="word triads",22,IF(J169="generated words",23,IF(J169="word definition pairs",24,IF(J169="math problems",25,IF(J169="famous faces",26,IF(J169="famous names",27,IF(J169="famous voices",28,IF(J169="television programs",29,IF(J169="race horses",30,IF(J169="new vocabulary",31,IF(J169="sentences",32,IF(J169="concepts",33,IF(J169="ad slides",34,IF(J169="scenes",35,IF(J169="famous scenes",36,IF(J169="poems",37,IF(J169="walk",38,IF(J169="faces and events",39,IF(J169="events and names",40,IF(J169="flashbulb",41,IF(J169="stories",42,IF(J169="course material",43,IF(J169="autobiographical",44,IF(J169="novels",45,IF(J169="public events",46,"99"))))))))))))))))))))))))))))))))))))))))))))))</f>
        <v>9</v>
      </c>
      <c r="L169" s="60">
        <f>IF(J169="syllables",1,IF(J169="trigrams",1,IF(J169="strings",1,IF(J169="visual array",1,IF(J169="characters",1,IF(J169="letters",1,IF(J169="free forms",1,IF(J169="odors",2,IF(J169="words",2,IF(J169="pictures",2,IF(J169="object pictures",2,IF(J169="faces",2,IF(J169="names",2,IF(J169="idioms","2",IF(J169="grades",2,IF(J169="syllable-digit pairs",3,IF(J169="trigram-word pairs",3,IF(J169="word-digit pairs",3,IF(J169="English-Swahili pairs",3,IF(J169="spatial position",3,IF(J169="word pairs",4,IF(J169="word triads",4,IF(J169="generated words",4,IF(J169="word definition pairs",4,IF(J169="math problems",4,IF(J169="famous faces",4,IF(J169="famous names",4,IF(J169="famous voices",4,IF(J169="television programs",4,IF(J169="race horses",4,IF(J169="new vocabulary",4,IF(J169="sentences",5,IF(J169="concepts",5,IF(J169="ad slides",5,IF(J169="scenes",5,IF(J169="famous scenes",5,IF(J169="poems",6,IF(J169="walk",6,IF(J169="faces and events",6,IF(J169="events and names",6,IF(J169="flashbulb",7,IF(J169="stories",7,IF(J169="course material",7,IF(J169="autobiographical",7,IF(J169="novels",7,IF(J169="public events",7,"99"))))))))))))))))))))))))))))))))))))))))))))))</f>
        <v>2</v>
      </c>
      <c r="M169" s="60">
        <v>0</v>
      </c>
      <c r="N169" s="60">
        <v>1</v>
      </c>
      <c r="O169" s="60">
        <v>0</v>
      </c>
      <c r="P169" s="60"/>
      <c r="Q169" s="60" t="s">
        <v>174</v>
      </c>
      <c r="R169" s="60">
        <f>IF(Q169="Free Recall",1,IF(Q169="Cued Recall",2,IF(Q169="Recognition",3,IF(Q169="Multiple Choice",4,IF(Q169="Savings",5,IF(Q169="Stem Completion",6,IF(Q169="Fragment Completion",7,IF(Q169="anagram solution",8,IF(Q169="Matching",9,IF(Q169="Problem Solving",10,"99"))))))))))</f>
        <v>1</v>
      </c>
      <c r="S169" s="60" t="s">
        <v>49</v>
      </c>
      <c r="T169" s="59" t="s">
        <v>581</v>
      </c>
      <c r="U169" s="60">
        <f>IF(T169="within",1,0)</f>
        <v>1</v>
      </c>
      <c r="V169" s="59">
        <v>45</v>
      </c>
      <c r="W169" s="60">
        <f>F169*V169</f>
        <v>1845</v>
      </c>
      <c r="X169" s="60">
        <v>3</v>
      </c>
      <c r="Y169" s="76">
        <f>AV168</f>
        <v>300</v>
      </c>
      <c r="Z169" s="60" t="s">
        <v>150</v>
      </c>
      <c r="AA169" s="60">
        <f>60*60*24*7</f>
        <v>604800</v>
      </c>
      <c r="AB169" s="60" t="str">
        <f>IF(AA169&lt;60,"1",IF(AA169&lt;=43200,"2",IF(AA169&lt;=777600,"3","4")))</f>
        <v>3</v>
      </c>
      <c r="AC169" s="56">
        <f>AVERAGE(AV168:DA168)</f>
        <v>202300</v>
      </c>
      <c r="AD169" s="60" t="str">
        <f>IF(AC169&lt;60,"1",IF(AC169&lt;=43200,"2",IF(AC169&lt;=777600,"3","4")))</f>
        <v>3</v>
      </c>
      <c r="AE169" s="76">
        <f>AA169-Y169</f>
        <v>604500</v>
      </c>
      <c r="AF169" s="80">
        <f>AV169</f>
        <v>0.81372822899999997</v>
      </c>
      <c r="AG169" s="56">
        <f>((AW169-AV169)+(AX169-AW169))/2</f>
        <v>-0.20517835499999998</v>
      </c>
      <c r="AH169" s="4"/>
      <c r="AI169" s="56">
        <f>RSQ(AV169:AX169,AV168:AX168)</f>
        <v>0.94198967113648624</v>
      </c>
      <c r="AJ169" s="109">
        <f>SLOPE(AV169:AX169,AV168:AX168)</f>
        <v>-5.9413466883735468E-7</v>
      </c>
      <c r="AK169" s="56">
        <f>INTERCEPT(AV169:AX169,AV168:AX168)</f>
        <v>0.76257648017246349</v>
      </c>
      <c r="AL169" s="56">
        <f>INDEX(LINEST(LN(AV169:AX169),LN(AV168:AX168),TRUE,TRUE),3,1)</f>
        <v>0.99815302160672303</v>
      </c>
      <c r="AM169" s="56">
        <f>INDEX(LINEST(LN(AV169:AX169),LN(AV168:AX168)),1)</f>
        <v>-9.3458227671608676E-2</v>
      </c>
      <c r="AN169" s="56">
        <f>EXP(INDEX(LINEST(LN(AV169:AX169),LN(AV168:AX168)),1,2))</f>
        <v>1.4055638166443492</v>
      </c>
      <c r="AO169" s="82">
        <f>INDEX(LINEST((AV169:AX169),LN(AV168:AX168),TRUE,TRUE),3,1)</f>
        <v>0.99966748310186493</v>
      </c>
      <c r="AP169" s="82">
        <f>INDEX(LINEST((AV169:AX169),LN(AV168:AX168)),1)</f>
        <v>-5.3632590134019581E-2</v>
      </c>
      <c r="AQ169" s="83">
        <f>INDEX(LINEST(LN(AV169:AX169),SQRT(AV168:AX168),TRUE,TRUE),3,1)</f>
        <v>0.97613489341615611</v>
      </c>
      <c r="AR169" s="116">
        <f>INDEX(LINEST(LN(AV169:AX169),SQRT((AV168:AX168))),1)</f>
        <v>-8.5116739599426831E-4</v>
      </c>
      <c r="AS169" s="84">
        <f>INDEX(LINEST(1/(AV169:AX169),1/(SQRT(AV168:AX168)),TRUE,TRUE),3,1)</f>
        <v>0.76049162569055084</v>
      </c>
      <c r="AT169" s="84">
        <f>INDEX(LINEST(1/(AV169:AX169),1/SQRT(AV168:AX168)),1)</f>
        <v>-20.733397077506734</v>
      </c>
      <c r="AU169" s="3"/>
      <c r="AV169" s="53">
        <v>0.81372822899999997</v>
      </c>
      <c r="AW169" s="53">
        <v>0.71004936200000002</v>
      </c>
      <c r="AX169" s="53">
        <v>0.40337151900000001</v>
      </c>
      <c r="AY169" s="53"/>
      <c r="AZ169" s="53"/>
      <c r="BA169" s="53"/>
      <c r="BB169" s="53"/>
      <c r="BC169" s="53"/>
      <c r="BD169" s="53"/>
      <c r="BE169" s="53"/>
      <c r="BF169" s="53"/>
      <c r="BG169" s="53"/>
      <c r="BH169" s="53"/>
      <c r="BI169" s="53"/>
      <c r="BJ169" s="53"/>
      <c r="BK169" s="53"/>
      <c r="BL169" s="53"/>
      <c r="BM169" s="53"/>
      <c r="BN169" s="53"/>
      <c r="BO169" s="53"/>
      <c r="BP169" s="53"/>
      <c r="BQ169" s="53"/>
      <c r="BR169" s="53"/>
      <c r="BS169" s="53"/>
      <c r="BT169" s="53"/>
      <c r="BU169" s="53"/>
      <c r="BV169" s="53"/>
      <c r="BW169" s="53"/>
      <c r="BX169" s="53"/>
      <c r="BY169" s="53"/>
      <c r="BZ169" s="53"/>
      <c r="CA169" s="53"/>
      <c r="CB169" s="53"/>
      <c r="CC169" s="53"/>
      <c r="CD169" s="53"/>
      <c r="CE169" s="53"/>
      <c r="CF169" s="53"/>
      <c r="CG169" s="53"/>
      <c r="CH169" s="53"/>
      <c r="CI169" s="53"/>
      <c r="CJ169" s="53"/>
      <c r="CK169" s="53"/>
      <c r="CL169" s="53"/>
      <c r="CM169" s="53"/>
      <c r="CN169" s="53"/>
      <c r="CO169" s="53"/>
      <c r="CP169" s="53"/>
      <c r="CQ169" s="53"/>
      <c r="CR169" s="1"/>
      <c r="CS169" s="1"/>
      <c r="CT169" s="1"/>
      <c r="CU169" s="1"/>
    </row>
    <row r="170" spans="1:99" s="13" customFormat="1" ht="12" customHeight="1" x14ac:dyDescent="0.2">
      <c r="A170" s="65">
        <v>43509</v>
      </c>
      <c r="B170" s="1"/>
      <c r="C170" s="1"/>
      <c r="D170" s="60"/>
      <c r="E170" s="76"/>
      <c r="F170" s="60"/>
      <c r="G170" s="60"/>
      <c r="H170" s="60"/>
      <c r="I170" s="60"/>
      <c r="J170" s="60"/>
      <c r="K170" s="64"/>
      <c r="L170" s="64"/>
      <c r="M170" s="60"/>
      <c r="N170" s="60"/>
      <c r="O170" s="60"/>
      <c r="P170" s="60"/>
      <c r="Q170" s="60"/>
      <c r="R170" s="60"/>
      <c r="S170" s="60"/>
      <c r="T170" s="59"/>
      <c r="U170" s="60"/>
      <c r="V170" s="60"/>
      <c r="W170" s="60"/>
      <c r="X170" s="60"/>
      <c r="Y170" s="76"/>
      <c r="Z170" s="60"/>
      <c r="AA170" s="60"/>
      <c r="AB170" s="60"/>
      <c r="AC170" s="60"/>
      <c r="AD170" s="60"/>
      <c r="AE170" s="60"/>
      <c r="AF170" s="80"/>
      <c r="AG170" s="56"/>
      <c r="AH170" s="4"/>
      <c r="AI170" s="56"/>
      <c r="AJ170" s="109"/>
      <c r="AK170" s="56"/>
      <c r="AL170" s="56"/>
      <c r="AM170" s="56"/>
      <c r="AN170" s="56"/>
      <c r="AO170" s="56"/>
      <c r="AP170" s="56"/>
      <c r="AQ170" s="56"/>
      <c r="AR170" s="109"/>
      <c r="AS170" s="56"/>
      <c r="AT170" s="56"/>
      <c r="AU170" s="4"/>
      <c r="AV170" s="25">
        <f>2*60</f>
        <v>120</v>
      </c>
      <c r="AW170" s="25">
        <f>45*60</f>
        <v>2700</v>
      </c>
      <c r="AX170" s="25">
        <f>24*3600*7</f>
        <v>604800</v>
      </c>
      <c r="AY170" s="53"/>
      <c r="AZ170" s="53"/>
      <c r="BA170" s="53"/>
      <c r="BB170" s="53"/>
      <c r="BC170" s="53"/>
      <c r="BD170" s="53"/>
      <c r="BE170" s="53"/>
      <c r="BF170" s="53"/>
      <c r="BG170" s="53"/>
      <c r="BH170" s="53"/>
      <c r="BI170" s="53"/>
      <c r="BJ170" s="53"/>
      <c r="BK170" s="53"/>
      <c r="BL170" s="53"/>
      <c r="BM170" s="53"/>
      <c r="BN170" s="53"/>
      <c r="BO170" s="53"/>
      <c r="BP170" s="53"/>
      <c r="BQ170" s="53"/>
      <c r="BR170" s="53"/>
      <c r="BS170" s="53"/>
      <c r="BT170" s="53"/>
      <c r="BU170" s="53"/>
      <c r="BV170" s="53"/>
      <c r="BW170" s="53"/>
      <c r="BX170" s="53"/>
      <c r="BY170" s="53"/>
      <c r="BZ170" s="53"/>
      <c r="CA170" s="53"/>
      <c r="CB170" s="53"/>
      <c r="CC170" s="53"/>
      <c r="CD170" s="53"/>
      <c r="CE170" s="53"/>
      <c r="CF170" s="53"/>
      <c r="CG170" s="53"/>
      <c r="CH170" s="53"/>
      <c r="CI170" s="53"/>
      <c r="CJ170" s="53"/>
      <c r="CK170" s="53"/>
      <c r="CL170" s="53"/>
      <c r="CM170" s="53"/>
      <c r="CN170" s="53"/>
      <c r="CO170" s="53"/>
      <c r="CP170" s="53"/>
      <c r="CQ170" s="53"/>
      <c r="CR170" s="1"/>
      <c r="CS170" s="1"/>
      <c r="CT170" s="1"/>
      <c r="CU170" s="1"/>
    </row>
    <row r="171" spans="1:99" s="13" customFormat="1" ht="12" customHeight="1" x14ac:dyDescent="0.2">
      <c r="A171" s="65">
        <v>43509</v>
      </c>
      <c r="B171" s="1" t="s">
        <v>138</v>
      </c>
      <c r="C171" s="1" t="s">
        <v>58</v>
      </c>
      <c r="D171" s="60">
        <v>1963</v>
      </c>
      <c r="E171" s="76">
        <v>1</v>
      </c>
      <c r="F171" s="60">
        <v>24</v>
      </c>
      <c r="G171" s="60">
        <v>12</v>
      </c>
      <c r="H171" s="60" t="s">
        <v>50</v>
      </c>
      <c r="I171" s="60" t="s">
        <v>717</v>
      </c>
      <c r="J171" s="60" t="s">
        <v>90</v>
      </c>
      <c r="K171" s="60">
        <f>IF(J171="syllables",1,IF(J171="trigrams",2,IF(J171="strings",3,IF(J171="visual array",4,IF(J171="characters",5,IF(J171="letters",6,IF(J171="free forms",7,IF(J171="odors",8,IF(J171="words",9,IF(J171="pictures",10,IF(J171="object pictures",11,IF(J171="faces",12,IF(J171="names",13,IF(J171="idioms",14,IF(J171="grades",15,IF(J171="syllable-digit pairs",16,IF(J171="trigram-word pairs",17,IF(J171="word-digit pairs",18,IF(J171="English-Swahili pairs",19,IF(J171="spatial position",20,IF(J171="word pairs",21,IF(J171="word triads",22,IF(J171="generated words",23,IF(J171="word definition pairs",24,IF(J171="math problems",25,IF(J171="famous faces",26,IF(J171="famous names",27,IF(J171="famous voices",28,IF(J171="television programs",29,IF(J171="race horses",30,IF(J171="new vocabulary",31,IF(J171="sentences",32,IF(J171="concepts",33,IF(J171="ad slides",34,IF(J171="scenes",35,IF(J171="famous scenes",36,IF(J171="poems",37,IF(J171="walk",38,IF(J171="faces and events",39,IF(J171="events and names",40,IF(J171="flashbulb",41,IF(J171="stories",42,IF(J171="course material",43,IF(J171="autobiographical",44,IF(J171="novels",45,IF(J171="public events",46,"99"))))))))))))))))))))))))))))))))))))))))))))))</f>
        <v>18</v>
      </c>
      <c r="L171" s="60">
        <f>IF(J171="syllables",1,IF(J171="trigrams",1,IF(J171="strings",1,IF(J171="visual array",1,IF(J171="characters",1,IF(J171="letters",1,IF(J171="free forms",1,IF(J171="odors",2,IF(J171="words",2,IF(J171="pictures",2,IF(J171="object pictures",2,IF(J171="faces",2,IF(J171="names",2,IF(J171="idioms","2",IF(J171="grades",2,IF(J171="syllable-digit pairs",3,IF(J171="trigram-word pairs",3,IF(J171="word-digit pairs",3,IF(J171="English-Swahili pairs",3,IF(J171="spatial position",3,IF(J171="word pairs",4,IF(J171="word triads",4,IF(J171="generated words",4,IF(J171="word definition pairs",4,IF(J171="math problems",4,IF(J171="famous faces",4,IF(J171="famous names",4,IF(J171="famous voices",4,IF(J171="television programs",4,IF(J171="race horses",4,IF(J171="new vocabulary",4,IF(J171="sentences",5,IF(J171="concepts",5,IF(J171="ad slides",5,IF(J171="scenes",5,IF(J171="famous scenes",5,IF(J171="poems",6,IF(J171="walk",6,IF(J171="faces and events",6,IF(J171="events and names",6,IF(J171="flashbulb",7,IF(J171="stories",7,IF(J171="course material",7,IF(J171="autobiographical",7,IF(J171="novels",7,IF(J171="public events",7,"99"))))))))))))))))))))))))))))))))))))))))))))))</f>
        <v>3</v>
      </c>
      <c r="M171" s="60">
        <v>0</v>
      </c>
      <c r="N171" s="60">
        <v>1</v>
      </c>
      <c r="O171" s="60">
        <v>0</v>
      </c>
      <c r="P171" s="60"/>
      <c r="Q171" s="60" t="s">
        <v>174</v>
      </c>
      <c r="R171" s="60">
        <f>IF(Q171="Free Recall",1,IF(Q171="Cued Recall",2,IF(Q171="Recognition",3,IF(Q171="Multiple Choice",4,IF(Q171="Savings",5,IF(Q171="Stem Completion",6,IF(Q171="Fragment Completion",7,IF(Q171="anagram solution",8,IF(Q171="Matching",9,IF(Q171="Problem Solving",10,"99"))))))))))</f>
        <v>1</v>
      </c>
      <c r="S171" s="60" t="s">
        <v>49</v>
      </c>
      <c r="T171" s="60" t="s">
        <v>261</v>
      </c>
      <c r="U171" s="60">
        <f>IF(T171="within",1,0)</f>
        <v>0</v>
      </c>
      <c r="V171" s="60">
        <v>8</v>
      </c>
      <c r="W171" s="60">
        <f>F171*V171</f>
        <v>192</v>
      </c>
      <c r="X171" s="60">
        <v>3</v>
      </c>
      <c r="Y171" s="76">
        <f>AV170</f>
        <v>120</v>
      </c>
      <c r="Z171" s="60" t="s">
        <v>97</v>
      </c>
      <c r="AA171" s="60">
        <v>604800</v>
      </c>
      <c r="AB171" s="60" t="str">
        <f>IF(AA171&lt;60,"1",IF(AA171&lt;=43200,"2",IF(AA171&lt;=777600,"3","4")))</f>
        <v>3</v>
      </c>
      <c r="AC171" s="56">
        <f>AVERAGE(AV170:DA170)</f>
        <v>202540</v>
      </c>
      <c r="AD171" s="60" t="str">
        <f>IF(AC171&lt;60,"1",IF(AC171&lt;=43200,"2",IF(AC171&lt;=777600,"3","4")))</f>
        <v>3</v>
      </c>
      <c r="AE171" s="76">
        <f>AA171-Y171</f>
        <v>604680</v>
      </c>
      <c r="AF171" s="80">
        <f>AV171</f>
        <v>0.26</v>
      </c>
      <c r="AG171" s="56">
        <f>((AW171-AV171)+(AX171-AW171))/2</f>
        <v>-1.4999999999999999E-2</v>
      </c>
      <c r="AH171" s="4"/>
      <c r="AI171" s="56">
        <f>RSQ(AV171:AX171,AV170:AX170)</f>
        <v>1.4015150336932363E-2</v>
      </c>
      <c r="AJ171" s="109">
        <f>SLOPE(AV171:AX171,AV170:AX170)</f>
        <v>-8.5521359283718894E-9</v>
      </c>
      <c r="AK171" s="56">
        <f>INTERCEPT(AV171:AX171,AV170:AX170)</f>
        <v>0.23506548294426574</v>
      </c>
      <c r="AL171" s="56">
        <f>INDEX(LINEST(LN(AV171:AX171),LN(AV170:AX170),TRUE,TRUE),3,1)</f>
        <v>0.1927322467073547</v>
      </c>
      <c r="AM171" s="56">
        <f>INDEX(LINEST(LN(AV171:AX171),LN(AV170:AX170)),1)</f>
        <v>-1.090706295659986E-2</v>
      </c>
      <c r="AN171" s="56">
        <f>EXP(INDEX(LINEST(LN(AV171:AX171),LN(AV170:AX170)),1,2))</f>
        <v>0.25548274942910387</v>
      </c>
      <c r="AO171" s="82">
        <f>INDEX(LINEST((AV171:AX171),LN(AV170:AX170),TRUE,TRUE),3,1)</f>
        <v>0.21665927414525887</v>
      </c>
      <c r="AP171" s="82">
        <f>INDEX(LINEST((AV171:AX171),LN(AV170:AX170)),1)</f>
        <v>-2.7154074116974986E-3</v>
      </c>
      <c r="AQ171" s="83">
        <f>INDEX(LINEST(LN(AV171:AX171),SQRT(AV170:AX170),TRUE,TRUE),3,1)</f>
        <v>1.7546288022689652E-2</v>
      </c>
      <c r="AR171" s="116">
        <f>INDEX(LINEST(LN(AV171:AX171),SQRT((AV170:AX170))),1)</f>
        <v>-3.2914649160923486E-5</v>
      </c>
      <c r="AS171" s="84">
        <f>INDEX(LINEST(1/(AV171:AX171),1/(SQRT(AV170:AX170)),TRUE,TRUE),3,1)</f>
        <v>0.62594200413448442</v>
      </c>
      <c r="AT171" s="84">
        <f>INDEX(LINEST(1/(AV171:AX171),1/SQRT(AV170:AX170)),1)</f>
        <v>-7.6168835955610232</v>
      </c>
      <c r="AU171" s="3"/>
      <c r="AV171" s="53">
        <v>0.26</v>
      </c>
      <c r="AW171" s="53">
        <v>0.21</v>
      </c>
      <c r="AX171" s="53">
        <v>0.23</v>
      </c>
      <c r="AY171" s="53"/>
      <c r="AZ171" s="53"/>
      <c r="BA171" s="53"/>
      <c r="BB171" s="53"/>
      <c r="BC171" s="53"/>
      <c r="BD171" s="53"/>
      <c r="BE171" s="53"/>
      <c r="BF171" s="53"/>
      <c r="BG171" s="53"/>
      <c r="BH171" s="53"/>
      <c r="BI171" s="53"/>
      <c r="BJ171" s="53"/>
      <c r="BK171" s="53"/>
      <c r="BL171" s="53"/>
      <c r="BM171" s="53"/>
      <c r="BN171" s="53"/>
      <c r="BO171" s="53"/>
      <c r="BP171" s="53"/>
      <c r="BQ171" s="53"/>
      <c r="BR171" s="53"/>
      <c r="BS171" s="53"/>
      <c r="BT171" s="53"/>
      <c r="BU171" s="53"/>
      <c r="BV171" s="53"/>
      <c r="BW171" s="53"/>
      <c r="BX171" s="53"/>
      <c r="BY171" s="53"/>
      <c r="BZ171" s="53"/>
      <c r="CA171" s="53"/>
      <c r="CB171" s="53"/>
      <c r="CC171" s="53"/>
      <c r="CD171" s="53"/>
      <c r="CE171" s="53"/>
      <c r="CF171" s="53"/>
      <c r="CG171" s="53"/>
      <c r="CH171" s="53"/>
      <c r="CI171" s="53"/>
      <c r="CJ171" s="53"/>
      <c r="CK171" s="53"/>
      <c r="CL171" s="53"/>
      <c r="CM171" s="53"/>
      <c r="CN171" s="53"/>
      <c r="CO171" s="53"/>
      <c r="CP171" s="53"/>
      <c r="CQ171" s="53"/>
      <c r="CR171" s="1"/>
      <c r="CS171" s="1"/>
      <c r="CT171" s="1"/>
      <c r="CU171" s="1"/>
    </row>
    <row r="172" spans="1:99" s="13" customFormat="1" ht="12" customHeight="1" x14ac:dyDescent="0.2">
      <c r="A172" s="65">
        <v>43509</v>
      </c>
      <c r="B172" s="1"/>
      <c r="C172" s="1"/>
      <c r="D172" s="60"/>
      <c r="E172" s="76"/>
      <c r="F172" s="60"/>
      <c r="G172" s="60"/>
      <c r="H172" s="60"/>
      <c r="I172" s="60"/>
      <c r="J172" s="60"/>
      <c r="K172" s="64"/>
      <c r="L172" s="64"/>
      <c r="M172" s="60"/>
      <c r="N172" s="60"/>
      <c r="O172" s="60"/>
      <c r="P172" s="60"/>
      <c r="Q172" s="60"/>
      <c r="R172" s="60"/>
      <c r="S172" s="60"/>
      <c r="T172" s="60"/>
      <c r="U172" s="60"/>
      <c r="V172" s="60"/>
      <c r="W172" s="60"/>
      <c r="X172" s="60"/>
      <c r="Y172" s="76"/>
      <c r="Z172" s="60"/>
      <c r="AA172" s="60"/>
      <c r="AB172" s="60"/>
      <c r="AC172" s="60"/>
      <c r="AD172" s="60"/>
      <c r="AE172" s="60"/>
      <c r="AF172" s="80"/>
      <c r="AG172" s="56"/>
      <c r="AH172" s="4"/>
      <c r="AI172" s="56"/>
      <c r="AJ172" s="109"/>
      <c r="AK172" s="56"/>
      <c r="AL172" s="56"/>
      <c r="AM172" s="56"/>
      <c r="AN172" s="56"/>
      <c r="AO172" s="56"/>
      <c r="AP172" s="56"/>
      <c r="AQ172" s="82"/>
      <c r="AR172" s="115"/>
      <c r="AS172" s="82"/>
      <c r="AT172" s="82"/>
      <c r="AU172" s="4"/>
      <c r="AV172" s="25">
        <f>2*60</f>
        <v>120</v>
      </c>
      <c r="AW172" s="25">
        <f>45*60</f>
        <v>2700</v>
      </c>
      <c r="AX172" s="25">
        <f>24*3600*7</f>
        <v>604800</v>
      </c>
      <c r="AY172" s="53"/>
      <c r="AZ172" s="53"/>
      <c r="BA172" s="53"/>
      <c r="BB172" s="53"/>
      <c r="BC172" s="53"/>
      <c r="BD172" s="53"/>
      <c r="BE172" s="53"/>
      <c r="BF172" s="53"/>
      <c r="BG172" s="53"/>
      <c r="BH172" s="53"/>
      <c r="BI172" s="53"/>
      <c r="BJ172" s="53"/>
      <c r="BK172" s="53"/>
      <c r="BL172" s="53"/>
      <c r="BM172" s="53"/>
      <c r="BN172" s="53"/>
      <c r="BO172" s="53"/>
      <c r="BP172" s="53"/>
      <c r="BQ172" s="53"/>
      <c r="BR172" s="53"/>
      <c r="BS172" s="53"/>
      <c r="BT172" s="53"/>
      <c r="BU172" s="53"/>
      <c r="BV172" s="53"/>
      <c r="BW172" s="53"/>
      <c r="BX172" s="53"/>
      <c r="BY172" s="53"/>
      <c r="BZ172" s="53"/>
      <c r="CA172" s="53"/>
      <c r="CB172" s="53"/>
      <c r="CC172" s="53"/>
      <c r="CD172" s="53"/>
      <c r="CE172" s="53"/>
      <c r="CF172" s="53"/>
      <c r="CG172" s="53"/>
      <c r="CH172" s="53"/>
      <c r="CI172" s="53"/>
      <c r="CJ172" s="53"/>
      <c r="CK172" s="53"/>
      <c r="CL172" s="53"/>
      <c r="CM172" s="53"/>
      <c r="CN172" s="53"/>
      <c r="CO172" s="53"/>
      <c r="CP172" s="53"/>
      <c r="CQ172" s="53"/>
      <c r="CR172" s="1"/>
      <c r="CS172" s="1"/>
      <c r="CT172" s="1"/>
      <c r="CU172" s="1"/>
    </row>
    <row r="173" spans="1:99" s="13" customFormat="1" ht="12" customHeight="1" x14ac:dyDescent="0.2">
      <c r="A173" s="65">
        <v>43509</v>
      </c>
      <c r="B173" s="1" t="s">
        <v>138</v>
      </c>
      <c r="C173" s="1" t="s">
        <v>58</v>
      </c>
      <c r="D173" s="60">
        <v>1963</v>
      </c>
      <c r="E173" s="76">
        <v>1</v>
      </c>
      <c r="F173" s="60">
        <v>24</v>
      </c>
      <c r="G173" s="60">
        <v>12</v>
      </c>
      <c r="H173" s="60" t="s">
        <v>50</v>
      </c>
      <c r="I173" s="60" t="s">
        <v>850</v>
      </c>
      <c r="J173" s="60" t="s">
        <v>90</v>
      </c>
      <c r="K173" s="60">
        <f>IF(J173="syllables",1,IF(J173="trigrams",2,IF(J173="strings",3,IF(J173="visual array",4,IF(J173="characters",5,IF(J173="letters",6,IF(J173="free forms",7,IF(J173="odors",8,IF(J173="words",9,IF(J173="pictures",10,IF(J173="object pictures",11,IF(J173="faces",12,IF(J173="names",13,IF(J173="idioms",14,IF(J173="grades",15,IF(J173="syllable-digit pairs",16,IF(J173="trigram-word pairs",17,IF(J173="word-digit pairs",18,IF(J173="English-Swahili pairs",19,IF(J173="spatial position",20,IF(J173="word pairs",21,IF(J173="word triads",22,IF(J173="generated words",23,IF(J173="word definition pairs",24,IF(J173="math problems",25,IF(J173="famous faces",26,IF(J173="famous names",27,IF(J173="famous voices",28,IF(J173="television programs",29,IF(J173="race horses",30,IF(J173="new vocabulary",31,IF(J173="sentences",32,IF(J173="concepts",33,IF(J173="ad slides",34,IF(J173="scenes",35,IF(J173="famous scenes",36,IF(J173="poems",37,IF(J173="walk",38,IF(J173="faces and events",39,IF(J173="events and names",40,IF(J173="flashbulb",41,IF(J173="stories",42,IF(J173="course material",43,IF(J173="autobiographical",44,IF(J173="novels",45,IF(J173="public events",46,"99"))))))))))))))))))))))))))))))))))))))))))))))</f>
        <v>18</v>
      </c>
      <c r="L173" s="60">
        <f>IF(J173="syllables",1,IF(J173="trigrams",1,IF(J173="strings",1,IF(J173="visual array",1,IF(J173="characters",1,IF(J173="letters",1,IF(J173="free forms",1,IF(J173="odors",2,IF(J173="words",2,IF(J173="pictures",2,IF(J173="object pictures",2,IF(J173="faces",2,IF(J173="names",2,IF(J173="idioms","2",IF(J173="grades",2,IF(J173="syllable-digit pairs",3,IF(J173="trigram-word pairs",3,IF(J173="word-digit pairs",3,IF(J173="English-Swahili pairs",3,IF(J173="spatial position",3,IF(J173="word pairs",4,IF(J173="word triads",4,IF(J173="generated words",4,IF(J173="word definition pairs",4,IF(J173="math problems",4,IF(J173="famous faces",4,IF(J173="famous names",4,IF(J173="famous voices",4,IF(J173="television programs",4,IF(J173="race horses",4,IF(J173="new vocabulary",4,IF(J173="sentences",5,IF(J173="concepts",5,IF(J173="ad slides",5,IF(J173="scenes",5,IF(J173="famous scenes",5,IF(J173="poems",6,IF(J173="walk",6,IF(J173="faces and events",6,IF(J173="events and names",6,IF(J173="flashbulb",7,IF(J173="stories",7,IF(J173="course material",7,IF(J173="autobiographical",7,IF(J173="novels",7,IF(J173="public events",7,"99"))))))))))))))))))))))))))))))))))))))))))))))</f>
        <v>3</v>
      </c>
      <c r="M173" s="60">
        <v>0</v>
      </c>
      <c r="N173" s="60">
        <v>1</v>
      </c>
      <c r="O173" s="60">
        <v>0</v>
      </c>
      <c r="P173" s="60"/>
      <c r="Q173" s="60" t="s">
        <v>174</v>
      </c>
      <c r="R173" s="60">
        <f>IF(Q173="Free Recall",1,IF(Q173="Cued Recall",2,IF(Q173="Recognition",3,IF(Q173="Multiple Choice",4,IF(Q173="Savings",5,IF(Q173="Stem Completion",6,IF(Q173="Fragment Completion",7,IF(Q173="anagram solution",8,IF(Q173="Matching",9,IF(Q173="Problem Solving",10,"99"))))))))))</f>
        <v>1</v>
      </c>
      <c r="S173" s="60" t="s">
        <v>49</v>
      </c>
      <c r="T173" s="60" t="s">
        <v>261</v>
      </c>
      <c r="U173" s="60">
        <f>IF(T173="within",1,0)</f>
        <v>0</v>
      </c>
      <c r="V173" s="60">
        <v>8</v>
      </c>
      <c r="W173" s="60">
        <f>F173*V173</f>
        <v>192</v>
      </c>
      <c r="X173" s="60">
        <v>3</v>
      </c>
      <c r="Y173" s="76">
        <f>AV172</f>
        <v>120</v>
      </c>
      <c r="Z173" s="60" t="s">
        <v>97</v>
      </c>
      <c r="AA173" s="60">
        <v>604800</v>
      </c>
      <c r="AB173" s="60" t="str">
        <f>IF(AA173&lt;60,"1",IF(AA173&lt;=43200,"2",IF(AA173&lt;=777600,"3","4")))</f>
        <v>3</v>
      </c>
      <c r="AC173" s="56">
        <f>AVERAGE(AV172:DA172)</f>
        <v>202540</v>
      </c>
      <c r="AD173" s="60" t="str">
        <f>IF(AC173&lt;60,"1",IF(AC173&lt;=43200,"2",IF(AC173&lt;=777600,"3","4")))</f>
        <v>3</v>
      </c>
      <c r="AE173" s="76">
        <f>AA173-Y173</f>
        <v>604680</v>
      </c>
      <c r="AF173" s="80">
        <f>AV173</f>
        <v>0.26</v>
      </c>
      <c r="AG173" s="56">
        <f>((AW173-AV173)+(AX173-AW173))/2</f>
        <v>-2.5000000000000008E-2</v>
      </c>
      <c r="AH173" s="4"/>
      <c r="AI173" s="56">
        <f>RSQ(AV173:AX173,AV172:AX172)</f>
        <v>0.7467863068871825</v>
      </c>
      <c r="AJ173" s="109">
        <f>SLOPE(AV173:AX173,AV172:AX172)</f>
        <v>-1.2403027850642462E-7</v>
      </c>
      <c r="AK173" s="56">
        <f>INTERCEPT(AV173:AX173,AV172:AX172)</f>
        <v>0.28512109260869123</v>
      </c>
      <c r="AL173" s="56">
        <f>INDEX(LINEST(LN(AV173:AX173),LN(AV172:AX172),TRUE,TRUE),3,1)</f>
        <v>0.44849462729650236</v>
      </c>
      <c r="AM173" s="56">
        <f>INDEX(LINEST(LN(AV173:AX173),LN(AV172:AX172)),1)</f>
        <v>-3.0277747890690047E-2</v>
      </c>
      <c r="AN173" s="56">
        <f>EXP(INDEX(LINEST(LN(AV173:AX173),LN(AV172:AX172)),1,2))</f>
        <v>0.33379908178233092</v>
      </c>
      <c r="AO173" s="82">
        <f>INDEX(LINEST((AV173:AX173),LN(AV172:AX172),TRUE,TRUE),3,1)</f>
        <v>0.39342245534909859</v>
      </c>
      <c r="AP173" s="82">
        <f>INDEX(LINEST((AV173:AX173),LN(AV172:AX172)),1)</f>
        <v>-7.2699221563878643E-3</v>
      </c>
      <c r="AQ173" s="83">
        <f>INDEX(LINEST(LN(AV173:AX173),SQRT(AV172:AX172),TRUE,TRUE),3,1)</f>
        <v>0.75711077835272844</v>
      </c>
      <c r="AR173" s="116">
        <f>INDEX(LINEST(LN(AV173:AX173),SQRT((AV172:AX172))),1)</f>
        <v>-3.9345098409504671E-4</v>
      </c>
      <c r="AS173" s="84">
        <f>INDEX(LINEST(1/(AV173:AX173),1/(SQRT(AV172:AX172)),TRUE,TRUE),3,1)</f>
        <v>8.7462610775404695E-2</v>
      </c>
      <c r="AT173" s="84">
        <f>INDEX(LINEST(1/(AV173:AX173),1/SQRT(AV172:AX172)),1)</f>
        <v>-4.798023765709349</v>
      </c>
      <c r="AU173" s="3"/>
      <c r="AV173" s="53">
        <v>0.26</v>
      </c>
      <c r="AW173" s="53">
        <v>0.31</v>
      </c>
      <c r="AX173" s="53">
        <v>0.21</v>
      </c>
      <c r="AY173" s="53"/>
      <c r="AZ173" s="53"/>
      <c r="BA173" s="53"/>
      <c r="BB173" s="53"/>
      <c r="BC173" s="53"/>
      <c r="BD173" s="53"/>
      <c r="BE173" s="53"/>
      <c r="BF173" s="53"/>
      <c r="BG173" s="53"/>
      <c r="BH173" s="53"/>
      <c r="BI173" s="53"/>
      <c r="BJ173" s="53"/>
      <c r="BK173" s="53"/>
      <c r="BL173" s="53"/>
      <c r="BM173" s="53"/>
      <c r="BN173" s="53"/>
      <c r="BO173" s="53"/>
      <c r="BP173" s="53"/>
      <c r="BQ173" s="53"/>
      <c r="BR173" s="53"/>
      <c r="BS173" s="53"/>
      <c r="BT173" s="53"/>
      <c r="BU173" s="53"/>
      <c r="BV173" s="53"/>
      <c r="BW173" s="53"/>
      <c r="BX173" s="53"/>
      <c r="BY173" s="53"/>
      <c r="BZ173" s="53"/>
      <c r="CA173" s="53"/>
      <c r="CB173" s="53"/>
      <c r="CC173" s="53"/>
      <c r="CD173" s="53"/>
      <c r="CE173" s="53"/>
      <c r="CF173" s="53"/>
      <c r="CG173" s="53"/>
      <c r="CH173" s="53"/>
      <c r="CI173" s="53"/>
      <c r="CJ173" s="53"/>
      <c r="CK173" s="53"/>
      <c r="CL173" s="53"/>
      <c r="CM173" s="53"/>
      <c r="CN173" s="53"/>
      <c r="CO173" s="53"/>
      <c r="CP173" s="53"/>
      <c r="CQ173" s="53"/>
      <c r="CR173" s="1"/>
      <c r="CS173" s="1"/>
      <c r="CT173" s="1"/>
      <c r="CU173" s="1"/>
    </row>
    <row r="174" spans="1:99" s="13" customFormat="1" ht="12" customHeight="1" x14ac:dyDescent="0.2">
      <c r="A174" s="65">
        <v>43509</v>
      </c>
      <c r="B174" s="1"/>
      <c r="C174" s="1"/>
      <c r="D174" s="60"/>
      <c r="E174" s="76"/>
      <c r="F174" s="60"/>
      <c r="G174" s="60"/>
      <c r="H174" s="60"/>
      <c r="I174" s="60"/>
      <c r="J174" s="60"/>
      <c r="K174" s="64"/>
      <c r="L174" s="64"/>
      <c r="M174" s="60"/>
      <c r="N174" s="60"/>
      <c r="O174" s="60"/>
      <c r="P174" s="60"/>
      <c r="Q174" s="60"/>
      <c r="R174" s="60"/>
      <c r="S174" s="60"/>
      <c r="T174" s="60"/>
      <c r="U174" s="60"/>
      <c r="V174" s="60"/>
      <c r="W174" s="60"/>
      <c r="X174" s="60"/>
      <c r="Y174" s="76"/>
      <c r="Z174" s="60"/>
      <c r="AA174" s="60"/>
      <c r="AB174" s="60"/>
      <c r="AC174" s="60"/>
      <c r="AD174" s="60"/>
      <c r="AE174" s="60"/>
      <c r="AF174" s="80"/>
      <c r="AG174" s="56"/>
      <c r="AH174" s="4"/>
      <c r="AI174" s="56"/>
      <c r="AJ174" s="109"/>
      <c r="AK174" s="56"/>
      <c r="AL174" s="56"/>
      <c r="AM174" s="56"/>
      <c r="AN174" s="56"/>
      <c r="AO174" s="56"/>
      <c r="AP174" s="56"/>
      <c r="AQ174" s="82"/>
      <c r="AR174" s="115"/>
      <c r="AS174" s="82"/>
      <c r="AT174" s="82"/>
      <c r="AU174" s="4"/>
      <c r="AV174" s="25">
        <f>2*60</f>
        <v>120</v>
      </c>
      <c r="AW174" s="25">
        <f>45*60</f>
        <v>2700</v>
      </c>
      <c r="AX174" s="25">
        <f>24*3600*7</f>
        <v>604800</v>
      </c>
      <c r="AY174" s="53"/>
      <c r="AZ174" s="53"/>
      <c r="BA174" s="53"/>
      <c r="BB174" s="53"/>
      <c r="BC174" s="53"/>
      <c r="BD174" s="53"/>
      <c r="BE174" s="53"/>
      <c r="BF174" s="53"/>
      <c r="BG174" s="53"/>
      <c r="BH174" s="53"/>
      <c r="BI174" s="53"/>
      <c r="BJ174" s="53"/>
      <c r="BK174" s="53"/>
      <c r="BL174" s="53"/>
      <c r="BM174" s="53"/>
      <c r="BN174" s="53"/>
      <c r="BO174" s="53"/>
      <c r="BP174" s="53"/>
      <c r="BQ174" s="53"/>
      <c r="BR174" s="53"/>
      <c r="BS174" s="53"/>
      <c r="BT174" s="53"/>
      <c r="BU174" s="53"/>
      <c r="BV174" s="53"/>
      <c r="BW174" s="53"/>
      <c r="BX174" s="53"/>
      <c r="BY174" s="53"/>
      <c r="BZ174" s="53"/>
      <c r="CA174" s="53"/>
      <c r="CB174" s="53"/>
      <c r="CC174" s="53"/>
      <c r="CD174" s="53"/>
      <c r="CE174" s="53"/>
      <c r="CF174" s="53"/>
      <c r="CG174" s="53"/>
      <c r="CH174" s="53"/>
      <c r="CI174" s="53"/>
      <c r="CJ174" s="53"/>
      <c r="CK174" s="53"/>
      <c r="CL174" s="53"/>
      <c r="CM174" s="53"/>
      <c r="CN174" s="53"/>
      <c r="CO174" s="53"/>
      <c r="CP174" s="53"/>
      <c r="CQ174" s="53"/>
      <c r="CR174" s="1"/>
      <c r="CS174" s="1"/>
      <c r="CT174" s="1"/>
      <c r="CU174" s="1"/>
    </row>
    <row r="175" spans="1:99" s="13" customFormat="1" ht="12" customHeight="1" x14ac:dyDescent="0.2">
      <c r="A175" s="65">
        <v>43509</v>
      </c>
      <c r="B175" s="1" t="s">
        <v>138</v>
      </c>
      <c r="C175" s="1" t="s">
        <v>58</v>
      </c>
      <c r="D175" s="60">
        <v>1963</v>
      </c>
      <c r="E175" s="76">
        <v>1</v>
      </c>
      <c r="F175" s="60">
        <v>24</v>
      </c>
      <c r="G175" s="60">
        <v>12</v>
      </c>
      <c r="H175" s="60" t="s">
        <v>50</v>
      </c>
      <c r="I175" s="60" t="s">
        <v>718</v>
      </c>
      <c r="J175" s="60" t="s">
        <v>90</v>
      </c>
      <c r="K175" s="60">
        <f>IF(J175="syllables",1,IF(J175="trigrams",2,IF(J175="strings",3,IF(J175="visual array",4,IF(J175="characters",5,IF(J175="letters",6,IF(J175="free forms",7,IF(J175="odors",8,IF(J175="words",9,IF(J175="pictures",10,IF(J175="object pictures",11,IF(J175="faces",12,IF(J175="names",13,IF(J175="idioms",14,IF(J175="grades",15,IF(J175="syllable-digit pairs",16,IF(J175="trigram-word pairs",17,IF(J175="word-digit pairs",18,IF(J175="English-Swahili pairs",19,IF(J175="spatial position",20,IF(J175="word pairs",21,IF(J175="word triads",22,IF(J175="generated words",23,IF(J175="word definition pairs",24,IF(J175="math problems",25,IF(J175="famous faces",26,IF(J175="famous names",27,IF(J175="famous voices",28,IF(J175="television programs",29,IF(J175="race horses",30,IF(J175="new vocabulary",31,IF(J175="sentences",32,IF(J175="concepts",33,IF(J175="ad slides",34,IF(J175="scenes",35,IF(J175="famous scenes",36,IF(J175="poems",37,IF(J175="walk",38,IF(J175="faces and events",39,IF(J175="events and names",40,IF(J175="flashbulb",41,IF(J175="stories",42,IF(J175="course material",43,IF(J175="autobiographical",44,IF(J175="novels",45,IF(J175="public events",46,"99"))))))))))))))))))))))))))))))))))))))))))))))</f>
        <v>18</v>
      </c>
      <c r="L175" s="60">
        <f>IF(J175="syllables",1,IF(J175="trigrams",1,IF(J175="strings",1,IF(J175="visual array",1,IF(J175="characters",1,IF(J175="letters",1,IF(J175="free forms",1,IF(J175="odors",2,IF(J175="words",2,IF(J175="pictures",2,IF(J175="object pictures",2,IF(J175="faces",2,IF(J175="names",2,IF(J175="idioms","2",IF(J175="grades",2,IF(J175="syllable-digit pairs",3,IF(J175="trigram-word pairs",3,IF(J175="word-digit pairs",3,IF(J175="English-Swahili pairs",3,IF(J175="spatial position",3,IF(J175="word pairs",4,IF(J175="word triads",4,IF(J175="generated words",4,IF(J175="word definition pairs",4,IF(J175="math problems",4,IF(J175="famous faces",4,IF(J175="famous names",4,IF(J175="famous voices",4,IF(J175="television programs",4,IF(J175="race horses",4,IF(J175="new vocabulary",4,IF(J175="sentences",5,IF(J175="concepts",5,IF(J175="ad slides",5,IF(J175="scenes",5,IF(J175="famous scenes",5,IF(J175="poems",6,IF(J175="walk",6,IF(J175="faces and events",6,IF(J175="events and names",6,IF(J175="flashbulb",7,IF(J175="stories",7,IF(J175="course material",7,IF(J175="autobiographical",7,IF(J175="novels",7,IF(J175="public events",7,"99"))))))))))))))))))))))))))))))))))))))))))))))</f>
        <v>3</v>
      </c>
      <c r="M175" s="60">
        <v>0</v>
      </c>
      <c r="N175" s="60">
        <v>1</v>
      </c>
      <c r="O175" s="60">
        <v>0</v>
      </c>
      <c r="P175" s="60"/>
      <c r="Q175" s="60" t="s">
        <v>174</v>
      </c>
      <c r="R175" s="60">
        <f>IF(Q175="Free Recall",1,IF(Q175="Cued Recall",2,IF(Q175="Recognition",3,IF(Q175="Multiple Choice",4,IF(Q175="Savings",5,IF(Q175="Stem Completion",6,IF(Q175="Fragment Completion",7,IF(Q175="anagram solution",8,IF(Q175="Matching",9,IF(Q175="Problem Solving",10,"99"))))))))))</f>
        <v>1</v>
      </c>
      <c r="S175" s="60" t="s">
        <v>49</v>
      </c>
      <c r="T175" s="60" t="s">
        <v>261</v>
      </c>
      <c r="U175" s="60">
        <f>IF(T175="within",1,0)</f>
        <v>0</v>
      </c>
      <c r="V175" s="60">
        <v>8</v>
      </c>
      <c r="W175" s="60">
        <f>F175*V175</f>
        <v>192</v>
      </c>
      <c r="X175" s="60">
        <v>3</v>
      </c>
      <c r="Y175" s="76">
        <f>AV174</f>
        <v>120</v>
      </c>
      <c r="Z175" s="60" t="s">
        <v>97</v>
      </c>
      <c r="AA175" s="60">
        <v>604800</v>
      </c>
      <c r="AB175" s="60" t="str">
        <f>IF(AA175&lt;60,"1",IF(AA175&lt;=43200,"2",IF(AA175&lt;=777600,"3","4")))</f>
        <v>3</v>
      </c>
      <c r="AC175" s="56">
        <f>AVERAGE(AV174:DA174)</f>
        <v>202540</v>
      </c>
      <c r="AD175" s="60" t="str">
        <f>IF(AC175&lt;60,"1",IF(AC175&lt;=43200,"2",IF(AC175&lt;=777600,"3","4")))</f>
        <v>3</v>
      </c>
      <c r="AE175" s="76">
        <f>AA175-Y175</f>
        <v>604680</v>
      </c>
      <c r="AF175" s="80">
        <f>AV175</f>
        <v>0.27</v>
      </c>
      <c r="AG175" s="56">
        <f>((AW175-AV175)+(AX175-AW175))/2</f>
        <v>-8.5000000000000006E-2</v>
      </c>
      <c r="AH175" s="4"/>
      <c r="AI175" s="56">
        <f>RSQ(AV175:AX175,AV174:AX174)</f>
        <v>0.95097848024207177</v>
      </c>
      <c r="AJ175" s="109">
        <f>SLOPE(AV175:AX175,AV174:AX174)</f>
        <v>-2.4880461508620113E-7</v>
      </c>
      <c r="AK175" s="56">
        <f>INTERCEPT(AV175:AX175,AV174:AX174)</f>
        <v>0.25039288673955917</v>
      </c>
      <c r="AL175" s="56">
        <f>INDEX(LINEST(LN(AV175:AX175),LN(AV174:AX174),TRUE,TRUE),3,1)</f>
        <v>0.95310665775978187</v>
      </c>
      <c r="AM175" s="56">
        <f>INDEX(LINEST(LN(AV175:AX175),LN(AV174:AX174)),1)</f>
        <v>-0.12067418459226069</v>
      </c>
      <c r="AN175" s="56">
        <f>EXP(INDEX(LINEST(LN(AV175:AX175),LN(AV174:AX174)),1,2))</f>
        <v>0.52310371517500276</v>
      </c>
      <c r="AO175" s="82">
        <f>INDEX(LINEST((AV175:AX175),LN(AV174:AX174),TRUE,TRUE),3,1)</f>
        <v>0.97990389746486084</v>
      </c>
      <c r="AP175" s="82">
        <f>INDEX(LINEST((AV175:AX175),LN(AV174:AX174)),1)</f>
        <v>-2.0395552391113785E-2</v>
      </c>
      <c r="AQ175" s="83">
        <f>INDEX(LINEST(LN(AV175:AX175),SQRT(AV174:AX174),TRUE,TRUE),3,1)</f>
        <v>0.98935287736557376</v>
      </c>
      <c r="AR175" s="116">
        <f>INDEX(LINEST(LN(AV175:AX175),SQRT((AV174:AX174))),1)</f>
        <v>-1.2296604567087767E-3</v>
      </c>
      <c r="AS175" s="84">
        <f>INDEX(LINEST(1/(AV175:AX175),1/(SQRT(AV174:AX174)),TRUE,TRUE),3,1)</f>
        <v>0.52095143562605339</v>
      </c>
      <c r="AT175" s="84">
        <f>INDEX(LINEST(1/(AV175:AX175),1/SQRT(AV174:AX174)),1)</f>
        <v>-52.493667945953689</v>
      </c>
      <c r="AU175" s="3"/>
      <c r="AV175" s="53">
        <v>0.27</v>
      </c>
      <c r="AW175" s="53">
        <v>0.23</v>
      </c>
      <c r="AX175" s="53">
        <v>0.1</v>
      </c>
      <c r="AY175" s="53"/>
      <c r="AZ175" s="53"/>
      <c r="BA175" s="53"/>
      <c r="BB175" s="53"/>
      <c r="BC175" s="53"/>
      <c r="BN175" s="53"/>
      <c r="BO175" s="53"/>
      <c r="BP175" s="53"/>
      <c r="BQ175" s="53"/>
      <c r="BR175" s="53"/>
      <c r="BS175" s="53"/>
      <c r="BT175" s="53"/>
      <c r="BU175" s="53"/>
      <c r="BV175" s="53"/>
      <c r="BW175" s="53"/>
      <c r="BX175" s="53"/>
      <c r="BY175" s="53"/>
      <c r="BZ175" s="53"/>
      <c r="CA175" s="53"/>
      <c r="CB175" s="53"/>
      <c r="CC175" s="53"/>
      <c r="CD175" s="53"/>
      <c r="CE175" s="53"/>
      <c r="CF175" s="53"/>
      <c r="CG175" s="53"/>
      <c r="CH175" s="53"/>
      <c r="CI175" s="53"/>
      <c r="CJ175" s="53"/>
      <c r="CK175" s="53"/>
      <c r="CL175" s="53"/>
      <c r="CM175" s="53"/>
      <c r="CN175" s="53"/>
      <c r="CO175" s="53"/>
      <c r="CP175" s="53"/>
      <c r="CQ175" s="53"/>
      <c r="CR175" s="1"/>
      <c r="CS175" s="1"/>
      <c r="CT175" s="1"/>
      <c r="CU175" s="1"/>
    </row>
    <row r="176" spans="1:99" ht="12" customHeight="1" x14ac:dyDescent="0.2">
      <c r="A176" s="65">
        <v>43509</v>
      </c>
      <c r="B176" s="15"/>
      <c r="C176" s="15"/>
      <c r="D176" s="59"/>
      <c r="F176" s="59"/>
      <c r="G176" s="59"/>
      <c r="J176" s="59"/>
      <c r="M176" s="59"/>
      <c r="N176" s="59"/>
      <c r="O176" s="59"/>
      <c r="P176" s="59"/>
      <c r="Q176" s="59"/>
      <c r="R176" s="60"/>
      <c r="S176" s="59"/>
      <c r="T176" s="59"/>
      <c r="U176" s="60"/>
      <c r="V176" s="59"/>
      <c r="W176" s="60"/>
      <c r="Y176" s="76"/>
      <c r="AB176" s="60"/>
      <c r="AC176" s="60"/>
      <c r="AD176" s="60"/>
      <c r="AE176" s="60"/>
      <c r="AF176" s="80"/>
      <c r="AG176" s="56"/>
      <c r="AI176" s="55"/>
      <c r="AJ176" s="111"/>
      <c r="AK176" s="55"/>
      <c r="AL176" s="55"/>
      <c r="AM176" s="55"/>
      <c r="AN176" s="55"/>
      <c r="AO176" s="55"/>
      <c r="AP176" s="55"/>
      <c r="AQ176" s="56"/>
      <c r="AR176" s="109"/>
      <c r="AS176" s="56"/>
      <c r="AT176" s="56"/>
      <c r="AU176" s="4"/>
      <c r="AV176" s="47">
        <v>300</v>
      </c>
      <c r="AW176" s="47">
        <v>1200</v>
      </c>
      <c r="AX176" s="47">
        <v>3600</v>
      </c>
      <c r="AY176" s="47">
        <v>86400</v>
      </c>
      <c r="AZ176" s="47">
        <v>172800</v>
      </c>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c r="BW176" s="11"/>
      <c r="BX176" s="11"/>
      <c r="BY176" s="11"/>
      <c r="BZ176" s="11"/>
      <c r="CA176" s="11"/>
      <c r="CB176" s="11"/>
      <c r="CC176" s="11"/>
      <c r="CD176" s="11"/>
      <c r="CE176" s="11"/>
      <c r="CF176" s="11"/>
      <c r="CG176" s="11"/>
      <c r="CH176" s="11"/>
      <c r="CI176" s="11"/>
      <c r="CJ176" s="11"/>
      <c r="CK176" s="11"/>
      <c r="CL176" s="11"/>
      <c r="CM176" s="11"/>
      <c r="CN176" s="11"/>
      <c r="CO176" s="11"/>
      <c r="CP176" s="11"/>
      <c r="CQ176" s="11"/>
      <c r="CR176" s="15"/>
      <c r="CS176" s="15"/>
      <c r="CT176" s="15"/>
      <c r="CU176" s="15"/>
    </row>
    <row r="177" spans="1:99" ht="12" customHeight="1" x14ac:dyDescent="0.2">
      <c r="A177" s="65">
        <v>43509</v>
      </c>
      <c r="B177" s="15" t="s">
        <v>905</v>
      </c>
      <c r="C177" s="15" t="s">
        <v>84</v>
      </c>
      <c r="D177" s="59">
        <v>1926</v>
      </c>
      <c r="E177" s="77">
        <v>1</v>
      </c>
      <c r="F177" s="59">
        <v>5</v>
      </c>
      <c r="G177" s="59">
        <v>5</v>
      </c>
      <c r="H177" s="59" t="s">
        <v>38</v>
      </c>
      <c r="I177" s="64" t="s">
        <v>858</v>
      </c>
      <c r="J177" s="59" t="s">
        <v>765</v>
      </c>
      <c r="K177" s="60">
        <f>IF(J177="syllables",1,IF(J177="trigrams",2,IF(J177="strings",3,IF(J177="visual array",4,IF(J177="characters",5,IF(J177="letters",6,IF(J177="free forms",7,IF(J177="odors",8,IF(J177="words",9,IF(J177="pictures",10,IF(J177="object pictures",11,IF(J177="faces",12,IF(J177="names",13,IF(J177="idioms",14,IF(J177="grades",15,IF(J177="syllable-digit pairs",16,IF(J177="trigram-word pairs",17,IF(J177="word-digit pairs",18,IF(J177="English-Swahili pairs",19,IF(J177="spatial position",20,IF(J177="word pairs",21,IF(J177="word triads",22,IF(J177="generated words",23,IF(J177="word definition pairs",24,IF(J177="math problems",25,IF(J177="famous faces",26,IF(J177="famous names",27,IF(J177="famous voices",28,IF(J177="television programs",29,IF(J177="race horses",30,IF(J177="new vocabulary",31,IF(J177="sentences",32,IF(J177="concepts",33,IF(J177="ad slides",34,IF(J177="scenes",35,IF(J177="famous scenes",36,IF(J177="poems",37,IF(J177="walk",38,IF(J177="faces and events",39,IF(J177="events and names",40,IF(J177="flashbulb",41,IF(J177="stories",42,IF(J177="course material",43,IF(J177="autobiographical",44,IF(J177="novels",45,IF(J177="public events",46,"99"))))))))))))))))))))))))))))))))))))))))))))))</f>
        <v>5</v>
      </c>
      <c r="L177" s="60">
        <f>IF(J177="syllables",1,IF(J177="trigrams",1,IF(J177="strings",1,IF(J177="visual array",1,IF(J177="characters",1,IF(J177="letters",1,IF(J177="free forms",1,IF(J177="odors",2,IF(J177="words",2,IF(J177="pictures",2,IF(J177="object pictures",2,IF(J177="faces",2,IF(J177="names",2,IF(J177="idioms","2",IF(J177="grades",2,IF(J177="syllable-digit pairs",3,IF(J177="trigram-word pairs",3,IF(J177="word-digit pairs",3,IF(J177="English-Swahili pairs",3,IF(J177="spatial position",3,IF(J177="word pairs",4,IF(J177="word triads",4,IF(J177="generated words",4,IF(J177="word definition pairs",4,IF(J177="math problems",4,IF(J177="famous faces",4,IF(J177="famous names",4,IF(J177="famous voices",4,IF(J177="television programs",4,IF(J177="race horses",4,IF(J177="new vocabulary",4,IF(J177="sentences",5,IF(J177="concepts",5,IF(J177="ad slides",5,IF(J177="scenes",5,IF(J177="famous scenes",5,IF(J177="poems",6,IF(J177="walk",6,IF(J177="faces and events",6,IF(J177="events and names",6,IF(J177="flashbulb",7,IF(J177="stories",7,IF(J177="course material",7,IF(J177="autobiographical",7,IF(J177="novels",7,IF(J177="public events",7,"99"))))))))))))))))))))))))))))))))))))))))))))))</f>
        <v>1</v>
      </c>
      <c r="M177" s="64">
        <v>0</v>
      </c>
      <c r="N177" s="59">
        <v>1</v>
      </c>
      <c r="O177" s="59">
        <v>0</v>
      </c>
      <c r="P177" s="59"/>
      <c r="Q177" s="59" t="s">
        <v>34</v>
      </c>
      <c r="R177" s="60">
        <f>IF(Q177="Free Recall",1,IF(Q177="Cued Recall",2,IF(Q177="Recognition",3,IF(Q177="Multiple Choice",4,IF(Q177="Savings",5,IF(Q177="Stem Completion",6,IF(Q177="Fragment Completion",7,IF(Q177="anagram solution",8,IF(Q177="Matching",9,IF(Q177="Problem Solving",10,"99"))))))))))</f>
        <v>3</v>
      </c>
      <c r="S177" s="59" t="s">
        <v>15</v>
      </c>
      <c r="T177" s="59" t="s">
        <v>581</v>
      </c>
      <c r="U177" s="60">
        <f>IF(T177="within",1,0)</f>
        <v>1</v>
      </c>
      <c r="V177" s="59">
        <v>65</v>
      </c>
      <c r="W177" s="60">
        <f>F177*V177</f>
        <v>325</v>
      </c>
      <c r="X177" s="60">
        <v>5</v>
      </c>
      <c r="Y177" s="76">
        <f>AV176</f>
        <v>300</v>
      </c>
      <c r="Z177" s="64" t="s">
        <v>88</v>
      </c>
      <c r="AA177" s="59">
        <f>2*24*3600</f>
        <v>172800</v>
      </c>
      <c r="AB177" s="60" t="str">
        <f t="shared" ref="AB177:AB187" si="0">IF(AA177&lt;60,"1",IF(AA177&lt;=43200,"2",IF(AA177&lt;=777600,"3","4")))</f>
        <v>3</v>
      </c>
      <c r="AC177" s="56">
        <f t="shared" ref="AC177" si="1">AVERAGE(AV176:DA176)</f>
        <v>52860</v>
      </c>
      <c r="AD177" s="60" t="str">
        <f>IF(AC177&lt;60,"1",IF(AC177&lt;=43200,"2",IF(AC177&lt;=777600,"3","4")))</f>
        <v>3</v>
      </c>
      <c r="AE177" s="76">
        <f>AA177-Y177</f>
        <v>172500</v>
      </c>
      <c r="AF177" s="80">
        <f>AV177</f>
        <v>0.71</v>
      </c>
      <c r="AG177" s="56">
        <f>((AW177-AV177)+(AX177-AW177)+(AY177-AX177)+(AZ177-AY177))/4</f>
        <v>-1.7499999999999988E-2</v>
      </c>
      <c r="AI177" s="56">
        <f>RSQ(AV177:AZ177,AV176:AZ176)</f>
        <v>0.45042457126907454</v>
      </c>
      <c r="AJ177" s="109">
        <f>SLOPE(AV177:AZ177,AV176:AZ176)</f>
        <v>-4.8253641072094275E-7</v>
      </c>
      <c r="AK177" s="56">
        <f>INTERCEPT(AV177:AZ177,AV176:AZ176)</f>
        <v>0.70250687467070905</v>
      </c>
      <c r="AL177" s="56">
        <f>INDEX(LINEST(LN(AV177:AZ177),LN(AV176:AZ176),TRUE,TRUE),3,1)</f>
        <v>0.68343536697858587</v>
      </c>
      <c r="AM177" s="56">
        <f>INDEX(LINEST(LN(AV177:AZ177),LN(AV176:AZ176)),1)</f>
        <v>-2.4153167525071149E-2</v>
      </c>
      <c r="AN177" s="56">
        <f>EXP(INDEX(LINEST(LN(AV177:AZ177),LN(AV176:AZ176)),1,2))</f>
        <v>0.83681793167297913</v>
      </c>
      <c r="AO177" s="82">
        <f>INDEX(LINEST((AV177:AZ177),LN(AV176:AZ176),TRUE,TRUE),3,1)</f>
        <v>0.66669724399335784</v>
      </c>
      <c r="AP177" s="82">
        <f>INDEX(LINEST((AV177:AZ177),LN(AV176:AZ176)),1)</f>
        <v>-1.6366746872929317E-2</v>
      </c>
      <c r="AQ177" s="83">
        <f>INDEX(LINEST(LN(AV177:AZ177),SQRT(AV176:AZ176),TRUE,TRUE),3,1)</f>
        <v>0.58376688657834841</v>
      </c>
      <c r="AR177" s="116">
        <f>INDEX(LINEST(LN(AV177:AZ177),SQRT((AV176:AZ176))),1)</f>
        <v>-3.4039724837843564E-4</v>
      </c>
      <c r="AS177" s="84">
        <f>INDEX(LINEST(1/(AV177:AZ177),1/(SQRT(AV176:AZ176)),TRUE,TRUE),3,1)</f>
        <v>0.54547222475322132</v>
      </c>
      <c r="AT177" s="84">
        <f>INDEX(LINEST(1/(AV177:AZ177),1/SQRT(AV176:AZ176)),1)</f>
        <v>-3.7920910561709977</v>
      </c>
      <c r="AU177" s="3"/>
      <c r="AV177" s="11">
        <v>0.71</v>
      </c>
      <c r="AW177" s="11">
        <v>0.755</v>
      </c>
      <c r="AX177" s="11">
        <v>0.65999999999999992</v>
      </c>
      <c r="AY177" s="11">
        <v>0.62</v>
      </c>
      <c r="AZ177" s="11">
        <v>0.64</v>
      </c>
      <c r="BA177" s="11"/>
      <c r="BB177" s="11"/>
      <c r="BC177" s="11"/>
      <c r="BD177" s="11"/>
      <c r="BE177" s="11"/>
      <c r="BF177" s="11"/>
      <c r="BG177" s="11"/>
      <c r="BH177" s="11"/>
      <c r="BI177" s="11"/>
      <c r="BJ177" s="11"/>
      <c r="BK177" s="11"/>
      <c r="BL177" s="11"/>
      <c r="BM177" s="11"/>
      <c r="BN177" s="11"/>
      <c r="BO177" s="11"/>
      <c r="BP177" s="11"/>
      <c r="BQ177" s="11"/>
      <c r="BR177" s="11"/>
      <c r="BS177" s="11"/>
      <c r="BT177" s="11"/>
      <c r="BU177" s="11"/>
      <c r="BV177" s="11"/>
      <c r="BW177" s="11"/>
      <c r="BX177" s="11"/>
      <c r="BY177" s="11"/>
      <c r="BZ177" s="11"/>
      <c r="CA177" s="11"/>
      <c r="CB177" s="11"/>
      <c r="CC177" s="11"/>
      <c r="CD177" s="11"/>
      <c r="CE177" s="11"/>
      <c r="CF177" s="11"/>
      <c r="CG177" s="11"/>
      <c r="CH177" s="11"/>
      <c r="CI177" s="11"/>
      <c r="CJ177" s="11"/>
      <c r="CK177" s="11"/>
      <c r="CL177" s="11"/>
      <c r="CM177" s="11"/>
      <c r="CN177" s="11"/>
      <c r="CO177" s="11"/>
      <c r="CP177" s="11"/>
      <c r="CQ177" s="11"/>
      <c r="CR177" s="15"/>
      <c r="CS177" s="15"/>
      <c r="CT177" s="15"/>
      <c r="CU177" s="15"/>
    </row>
    <row r="178" spans="1:99" ht="12" customHeight="1" x14ac:dyDescent="0.2">
      <c r="A178" s="65">
        <v>43509</v>
      </c>
      <c r="B178" s="15"/>
      <c r="C178" s="15"/>
      <c r="D178" s="59"/>
      <c r="F178" s="59"/>
      <c r="G178" s="59"/>
      <c r="H178" s="59"/>
      <c r="J178" s="59"/>
      <c r="N178" s="59"/>
      <c r="O178" s="59"/>
      <c r="P178" s="59"/>
      <c r="Q178" s="59"/>
      <c r="R178" s="60"/>
      <c r="S178" s="59"/>
      <c r="T178" s="59"/>
      <c r="U178" s="60"/>
      <c r="V178" s="59"/>
      <c r="W178" s="60"/>
      <c r="Y178" s="76"/>
      <c r="AB178" s="60"/>
      <c r="AC178" s="60"/>
      <c r="AD178" s="60"/>
      <c r="AE178" s="60"/>
      <c r="AF178" s="80"/>
      <c r="AG178" s="56"/>
      <c r="AI178" s="55"/>
      <c r="AJ178" s="111"/>
      <c r="AK178" s="55"/>
      <c r="AL178" s="55"/>
      <c r="AM178" s="55"/>
      <c r="AN178" s="55"/>
      <c r="AO178" s="55"/>
      <c r="AP178" s="55"/>
      <c r="AQ178" s="56"/>
      <c r="AR178" s="109"/>
      <c r="AS178" s="56"/>
      <c r="AT178" s="56"/>
      <c r="AU178" s="4"/>
      <c r="AV178" s="47">
        <v>300</v>
      </c>
      <c r="AW178" s="47">
        <v>1200</v>
      </c>
      <c r="AX178" s="47">
        <v>3600</v>
      </c>
      <c r="AY178" s="47">
        <v>28800</v>
      </c>
      <c r="AZ178" s="47">
        <v>86400</v>
      </c>
      <c r="BA178" s="47">
        <v>172800</v>
      </c>
      <c r="BB178" s="11"/>
      <c r="BC178" s="11"/>
      <c r="BD178" s="11"/>
      <c r="BE178" s="11"/>
      <c r="BF178" s="11"/>
      <c r="BG178" s="11"/>
      <c r="BH178" s="11"/>
      <c r="BI178" s="11"/>
      <c r="BJ178" s="11"/>
      <c r="BK178" s="11"/>
      <c r="BL178" s="11"/>
      <c r="BM178" s="11"/>
      <c r="BN178" s="11"/>
      <c r="BO178" s="11"/>
      <c r="BP178" s="11"/>
      <c r="BQ178" s="11"/>
      <c r="BR178" s="11"/>
      <c r="BS178" s="11"/>
      <c r="BT178" s="11"/>
      <c r="BU178" s="11"/>
      <c r="BV178" s="11"/>
      <c r="BW178" s="11"/>
      <c r="BX178" s="11"/>
      <c r="BY178" s="11"/>
      <c r="BZ178" s="11"/>
      <c r="CA178" s="11"/>
      <c r="CB178" s="11"/>
      <c r="CC178" s="11"/>
      <c r="CD178" s="11"/>
      <c r="CE178" s="11"/>
      <c r="CF178" s="11"/>
      <c r="CG178" s="11"/>
      <c r="CH178" s="11"/>
      <c r="CI178" s="11"/>
      <c r="CJ178" s="11"/>
      <c r="CK178" s="11"/>
      <c r="CL178" s="11"/>
      <c r="CM178" s="11"/>
      <c r="CN178" s="11"/>
      <c r="CO178" s="11"/>
      <c r="CP178" s="11"/>
      <c r="CQ178" s="11"/>
      <c r="CR178" s="15"/>
      <c r="CS178" s="15"/>
      <c r="CT178" s="15"/>
      <c r="CU178" s="15"/>
    </row>
    <row r="179" spans="1:99" ht="12" customHeight="1" x14ac:dyDescent="0.2">
      <c r="A179" s="65">
        <v>43509</v>
      </c>
      <c r="B179" s="15" t="s">
        <v>905</v>
      </c>
      <c r="C179" s="15" t="s">
        <v>84</v>
      </c>
      <c r="D179" s="59">
        <v>1926</v>
      </c>
      <c r="E179" s="77">
        <v>2</v>
      </c>
      <c r="F179" s="59">
        <v>6</v>
      </c>
      <c r="G179" s="59">
        <v>6</v>
      </c>
      <c r="H179" s="59" t="s">
        <v>38</v>
      </c>
      <c r="I179" s="64" t="s">
        <v>859</v>
      </c>
      <c r="J179" s="59" t="s">
        <v>765</v>
      </c>
      <c r="K179" s="60">
        <f>IF(J179="syllables",1,IF(J179="trigrams",2,IF(J179="strings",3,IF(J179="visual array",4,IF(J179="characters",5,IF(J179="letters",6,IF(J179="free forms",7,IF(J179="odors",8,IF(J179="words",9,IF(J179="pictures",10,IF(J179="object pictures",11,IF(J179="faces",12,IF(J179="names",13,IF(J179="idioms",14,IF(J179="grades",15,IF(J179="syllable-digit pairs",16,IF(J179="trigram-word pairs",17,IF(J179="word-digit pairs",18,IF(J179="English-Swahili pairs",19,IF(J179="spatial position",20,IF(J179="word pairs",21,IF(J179="word triads",22,IF(J179="generated words",23,IF(J179="word definition pairs",24,IF(J179="math problems",25,IF(J179="famous faces",26,IF(J179="famous names",27,IF(J179="famous voices",28,IF(J179="television programs",29,IF(J179="race horses",30,IF(J179="new vocabulary",31,IF(J179="sentences",32,IF(J179="concepts",33,IF(J179="ad slides",34,IF(J179="scenes",35,IF(J179="famous scenes",36,IF(J179="poems",37,IF(J179="walk",38,IF(J179="faces and events",39,IF(J179="events and names",40,IF(J179="flashbulb",41,IF(J179="stories",42,IF(J179="course material",43,IF(J179="autobiographical",44,IF(J179="novels",45,IF(J179="public events",46,"99"))))))))))))))))))))))))))))))))))))))))))))))</f>
        <v>5</v>
      </c>
      <c r="L179" s="60">
        <f>IF(J179="syllables",1,IF(J179="trigrams",1,IF(J179="strings",1,IF(J179="visual array",1,IF(J179="characters",1,IF(J179="letters",1,IF(J179="free forms",1,IF(J179="odors",2,IF(J179="words",2,IF(J179="pictures",2,IF(J179="object pictures",2,IF(J179="faces",2,IF(J179="names",2,IF(J179="idioms","2",IF(J179="grades",2,IF(J179="syllable-digit pairs",3,IF(J179="trigram-word pairs",3,IF(J179="word-digit pairs",3,IF(J179="English-Swahili pairs",3,IF(J179="spatial position",3,IF(J179="word pairs",4,IF(J179="word triads",4,IF(J179="generated words",4,IF(J179="word definition pairs",4,IF(J179="math problems",4,IF(J179="famous faces",4,IF(J179="famous names",4,IF(J179="famous voices",4,IF(J179="television programs",4,IF(J179="race horses",4,IF(J179="new vocabulary",4,IF(J179="sentences",5,IF(J179="concepts",5,IF(J179="ad slides",5,IF(J179="scenes",5,IF(J179="famous scenes",5,IF(J179="poems",6,IF(J179="walk",6,IF(J179="faces and events",6,IF(J179="events and names",6,IF(J179="flashbulb",7,IF(J179="stories",7,IF(J179="course material",7,IF(J179="autobiographical",7,IF(J179="novels",7,IF(J179="public events",7,"99"))))))))))))))))))))))))))))))))))))))))))))))</f>
        <v>1</v>
      </c>
      <c r="M179" s="64">
        <v>0</v>
      </c>
      <c r="N179" s="59">
        <v>1</v>
      </c>
      <c r="O179" s="59">
        <v>0</v>
      </c>
      <c r="P179" s="59"/>
      <c r="Q179" s="59" t="s">
        <v>34</v>
      </c>
      <c r="R179" s="60">
        <f>IF(Q179="Free Recall",1,IF(Q179="Cued Recall",2,IF(Q179="Recognition",3,IF(Q179="Multiple Choice",4,IF(Q179="Savings",5,IF(Q179="Stem Completion",6,IF(Q179="Fragment Completion",7,IF(Q179="anagram solution",8,IF(Q179="Matching",9,IF(Q179="Problem Solving",10,"99"))))))))))</f>
        <v>3</v>
      </c>
      <c r="S179" s="59" t="s">
        <v>15</v>
      </c>
      <c r="T179" s="59" t="s">
        <v>581</v>
      </c>
      <c r="U179" s="60">
        <f>IF(T179="within",1,0)</f>
        <v>1</v>
      </c>
      <c r="V179" s="59">
        <v>65</v>
      </c>
      <c r="W179" s="60">
        <f>F179*V179</f>
        <v>390</v>
      </c>
      <c r="X179" s="60">
        <v>6</v>
      </c>
      <c r="Y179" s="76">
        <f>AV178</f>
        <v>300</v>
      </c>
      <c r="Z179" s="64" t="s">
        <v>88</v>
      </c>
      <c r="AA179" s="59">
        <f>2*24*3600</f>
        <v>172800</v>
      </c>
      <c r="AB179" s="60" t="str">
        <f t="shared" si="0"/>
        <v>3</v>
      </c>
      <c r="AC179" s="56">
        <f t="shared" ref="AC179" si="2">AVERAGE(AV178:DA178)</f>
        <v>48850</v>
      </c>
      <c r="AD179" s="60" t="str">
        <f>IF(AC179&lt;60,"1",IF(AC179&lt;=43200,"2",IF(AC179&lt;=777600,"3","4")))</f>
        <v>3</v>
      </c>
      <c r="AE179" s="76">
        <f>AA179-Y179</f>
        <v>172500</v>
      </c>
      <c r="AF179" s="80">
        <f>AV179</f>
        <v>0.73199999999999998</v>
      </c>
      <c r="AG179" s="56">
        <f>((AW179-AV179)+(AX179-AW179)+(AY179-AX179)+(AZ179-AY179)+(BA179-AZ179))/5</f>
        <v>-1.2999999999999989E-2</v>
      </c>
      <c r="AI179" s="56">
        <f>RSQ(AV179:BA179,AV178:BA178)</f>
        <v>0.66179841418918539</v>
      </c>
      <c r="AJ179" s="109">
        <f>SLOPE(AV179:BA179,AV178:BA178)</f>
        <v>-3.1247176456801499E-7</v>
      </c>
      <c r="AK179" s="56">
        <f>INTERCEPT(AV179:BA179,AV178:BA178)</f>
        <v>0.7249309123658142</v>
      </c>
      <c r="AL179" s="56">
        <f>INDEX(LINEST(LN(AV179:BA179),LN(AV178:BA178),TRUE,TRUE),3,1)</f>
        <v>0.67635444432697245</v>
      </c>
      <c r="AM179" s="56">
        <f>INDEX(LINEST(LN(AV179:BA179),LN(AV178:BA178)),1)</f>
        <v>-1.2359592810696339E-2</v>
      </c>
      <c r="AN179" s="56">
        <f>EXP(INDEX(LINEST(LN(AV179:BA179),LN(AV178:BA178)),1,2))</f>
        <v>0.79380317948774815</v>
      </c>
      <c r="AO179" s="82">
        <f>INDEX(LINEST((AV179:BA179),LN(AV178:BA178),TRUE,TRUE),3,1)</f>
        <v>0.68203834478863179</v>
      </c>
      <c r="AP179" s="82">
        <f>INDEX(LINEST((AV179:BA179),LN(AV178:BA178)),1)</f>
        <v>-8.7056070468199079E-3</v>
      </c>
      <c r="AQ179" s="83">
        <f>INDEX(LINEST(LN(AV179:BA179),SQRT(AV178:BA178),TRUE,TRUE),3,1)</f>
        <v>0.69973219156244282</v>
      </c>
      <c r="AR179" s="116">
        <f>INDEX(LINEST(LN(AV179:BA179),SQRT((AV178:BA178))),1)</f>
        <v>-1.967218049164407E-4</v>
      </c>
      <c r="AS179" s="84">
        <f>INDEX(LINEST(1/(AV179:BA179),1/(SQRT(AV178:BA178)),TRUE,TRUE),3,1)</f>
        <v>0.48115290655962206</v>
      </c>
      <c r="AT179" s="84">
        <f>INDEX(LINEST(1/(AV179:BA179),1/SQRT(AV178:BA178)),1)</f>
        <v>-1.7479132058706346</v>
      </c>
      <c r="AU179" s="3"/>
      <c r="AV179" s="11">
        <v>0.73199999999999998</v>
      </c>
      <c r="AW179" s="11">
        <v>0.73649999999999993</v>
      </c>
      <c r="AX179" s="11">
        <v>0.71799999999999997</v>
      </c>
      <c r="AY179" s="11">
        <v>0.69</v>
      </c>
      <c r="AZ179" s="11">
        <v>0.71450000000000002</v>
      </c>
      <c r="BA179" s="11">
        <v>0.66700000000000004</v>
      </c>
      <c r="BB179" s="11"/>
      <c r="BC179" s="11"/>
      <c r="BD179" s="11"/>
      <c r="BE179" s="11"/>
      <c r="BF179" s="11"/>
      <c r="BG179" s="11"/>
      <c r="BH179" s="11"/>
      <c r="BI179" s="11"/>
      <c r="BJ179" s="11"/>
      <c r="BK179" s="11"/>
      <c r="BL179" s="11"/>
      <c r="BM179" s="11"/>
      <c r="BN179" s="11"/>
      <c r="BO179" s="11"/>
      <c r="BP179" s="11"/>
      <c r="BQ179" s="11"/>
      <c r="BR179" s="11"/>
      <c r="BS179" s="11"/>
      <c r="BT179" s="11"/>
      <c r="BU179" s="11"/>
      <c r="BV179" s="11"/>
      <c r="BW179" s="11"/>
      <c r="BX179" s="11"/>
      <c r="BY179" s="11"/>
      <c r="BZ179" s="11"/>
      <c r="CA179" s="11"/>
      <c r="CB179" s="11"/>
      <c r="CC179" s="11"/>
      <c r="CD179" s="11"/>
      <c r="CE179" s="11"/>
      <c r="CF179" s="11"/>
      <c r="CG179" s="11"/>
      <c r="CH179" s="11"/>
      <c r="CI179" s="11"/>
      <c r="CJ179" s="11"/>
      <c r="CK179" s="11"/>
      <c r="CL179" s="11"/>
      <c r="CM179" s="11"/>
      <c r="CN179" s="11"/>
      <c r="CO179" s="11"/>
      <c r="CP179" s="11"/>
      <c r="CQ179" s="11"/>
      <c r="CR179" s="15"/>
      <c r="CS179" s="15"/>
      <c r="CT179" s="15"/>
      <c r="CU179" s="15"/>
    </row>
    <row r="180" spans="1:99" ht="12" customHeight="1" x14ac:dyDescent="0.2">
      <c r="A180" s="65">
        <v>43509</v>
      </c>
      <c r="B180" s="15"/>
      <c r="C180" s="15"/>
      <c r="D180" s="59"/>
      <c r="F180" s="59"/>
      <c r="G180" s="59"/>
      <c r="H180" s="59"/>
      <c r="J180" s="59"/>
      <c r="N180" s="59"/>
      <c r="O180" s="59"/>
      <c r="P180" s="59"/>
      <c r="Q180" s="59"/>
      <c r="R180" s="60"/>
      <c r="S180" s="59"/>
      <c r="T180" s="59"/>
      <c r="U180" s="60"/>
      <c r="V180" s="59"/>
      <c r="W180" s="60"/>
      <c r="Y180" s="76"/>
      <c r="AB180" s="60"/>
      <c r="AC180" s="60"/>
      <c r="AD180" s="60"/>
      <c r="AE180" s="60"/>
      <c r="AF180" s="80"/>
      <c r="AG180" s="56"/>
      <c r="AI180" s="55"/>
      <c r="AJ180" s="111"/>
      <c r="AK180" s="55"/>
      <c r="AL180" s="55"/>
      <c r="AM180" s="55"/>
      <c r="AN180" s="55"/>
      <c r="AO180" s="55"/>
      <c r="AP180" s="55"/>
      <c r="AQ180" s="56"/>
      <c r="AR180" s="109"/>
      <c r="AS180" s="56"/>
      <c r="AT180" s="56"/>
      <c r="AU180" s="4"/>
      <c r="AV180" s="47">
        <v>300</v>
      </c>
      <c r="AW180" s="47">
        <v>1200</v>
      </c>
      <c r="AX180" s="47">
        <v>3600</v>
      </c>
      <c r="AY180" s="47">
        <v>28800</v>
      </c>
      <c r="AZ180" s="47">
        <v>86400</v>
      </c>
      <c r="BA180" s="47">
        <v>172800</v>
      </c>
      <c r="BB180" s="11"/>
      <c r="BC180" s="11"/>
      <c r="BD180" s="11"/>
      <c r="BE180" s="11"/>
      <c r="BF180" s="11"/>
      <c r="BG180" s="11"/>
      <c r="BH180" s="11"/>
      <c r="BI180" s="11"/>
      <c r="BJ180" s="11"/>
      <c r="BK180" s="11"/>
      <c r="BL180" s="11"/>
      <c r="BM180" s="11"/>
      <c r="BN180" s="11"/>
      <c r="BO180" s="11"/>
      <c r="BP180" s="11"/>
      <c r="BQ180" s="11"/>
      <c r="BR180" s="11"/>
      <c r="BS180" s="11"/>
      <c r="BT180" s="11"/>
      <c r="BU180" s="11"/>
      <c r="BV180" s="11"/>
      <c r="BW180" s="11"/>
      <c r="BX180" s="11"/>
      <c r="BY180" s="11"/>
      <c r="BZ180" s="11"/>
      <c r="CA180" s="11"/>
      <c r="CB180" s="11"/>
      <c r="CC180" s="11"/>
      <c r="CD180" s="11"/>
      <c r="CE180" s="11"/>
      <c r="CF180" s="11"/>
      <c r="CG180" s="11"/>
      <c r="CH180" s="11"/>
      <c r="CI180" s="11"/>
      <c r="CJ180" s="11"/>
      <c r="CK180" s="11"/>
      <c r="CL180" s="11"/>
      <c r="CM180" s="11"/>
      <c r="CN180" s="11"/>
      <c r="CO180" s="11"/>
      <c r="CP180" s="11"/>
      <c r="CQ180" s="11"/>
      <c r="CR180" s="15"/>
      <c r="CS180" s="15"/>
      <c r="CT180" s="15"/>
      <c r="CU180" s="15"/>
    </row>
    <row r="181" spans="1:99" ht="12" customHeight="1" x14ac:dyDescent="0.2">
      <c r="A181" s="65">
        <v>43509</v>
      </c>
      <c r="B181" s="15" t="s">
        <v>905</v>
      </c>
      <c r="C181" s="15" t="s">
        <v>84</v>
      </c>
      <c r="D181" s="59">
        <v>1926</v>
      </c>
      <c r="E181" s="77">
        <v>2</v>
      </c>
      <c r="F181" s="59">
        <v>13</v>
      </c>
      <c r="G181" s="59">
        <v>13</v>
      </c>
      <c r="H181" s="59" t="s">
        <v>38</v>
      </c>
      <c r="I181" s="64" t="s">
        <v>860</v>
      </c>
      <c r="J181" s="59" t="s">
        <v>765</v>
      </c>
      <c r="K181" s="60">
        <f>IF(J181="syllables",1,IF(J181="trigrams",2,IF(J181="strings",3,IF(J181="visual array",4,IF(J181="characters",5,IF(J181="letters",6,IF(J181="free forms",7,IF(J181="odors",8,IF(J181="words",9,IF(J181="pictures",10,IF(J181="object pictures",11,IF(J181="faces",12,IF(J181="names",13,IF(J181="idioms",14,IF(J181="grades",15,IF(J181="syllable-digit pairs",16,IF(J181="trigram-word pairs",17,IF(J181="word-digit pairs",18,IF(J181="English-Swahili pairs",19,IF(J181="spatial position",20,IF(J181="word pairs",21,IF(J181="word triads",22,IF(J181="generated words",23,IF(J181="word definition pairs",24,IF(J181="math problems",25,IF(J181="famous faces",26,IF(J181="famous names",27,IF(J181="famous voices",28,IF(J181="television programs",29,IF(J181="race horses",30,IF(J181="new vocabulary",31,IF(J181="sentences",32,IF(J181="concepts",33,IF(J181="ad slides",34,IF(J181="scenes",35,IF(J181="famous scenes",36,IF(J181="poems",37,IF(J181="walk",38,IF(J181="faces and events",39,IF(J181="events and names",40,IF(J181="flashbulb",41,IF(J181="stories",42,IF(J181="course material",43,IF(J181="autobiographical",44,IF(J181="novels",45,IF(J181="public events",46,"99"))))))))))))))))))))))))))))))))))))))))))))))</f>
        <v>5</v>
      </c>
      <c r="L181" s="60">
        <f>IF(J181="syllables",1,IF(J181="trigrams",1,IF(J181="strings",1,IF(J181="visual array",1,IF(J181="characters",1,IF(J181="letters",1,IF(J181="free forms",1,IF(J181="odors",2,IF(J181="words",2,IF(J181="pictures",2,IF(J181="object pictures",2,IF(J181="faces",2,IF(J181="names",2,IF(J181="idioms","2",IF(J181="grades",2,IF(J181="syllable-digit pairs",3,IF(J181="trigram-word pairs",3,IF(J181="word-digit pairs",3,IF(J181="English-Swahili pairs",3,IF(J181="spatial position",3,IF(J181="word pairs",4,IF(J181="word triads",4,IF(J181="generated words",4,IF(J181="word definition pairs",4,IF(J181="math problems",4,IF(J181="famous faces",4,IF(J181="famous names",4,IF(J181="famous voices",4,IF(J181="television programs",4,IF(J181="race horses",4,IF(J181="new vocabulary",4,IF(J181="sentences",5,IF(J181="concepts",5,IF(J181="ad slides",5,IF(J181="scenes",5,IF(J181="famous scenes",5,IF(J181="poems",6,IF(J181="walk",6,IF(J181="faces and events",6,IF(J181="events and names",6,IF(J181="flashbulb",7,IF(J181="stories",7,IF(J181="course material",7,IF(J181="autobiographical",7,IF(J181="novels",7,IF(J181="public events",7,"99"))))))))))))))))))))))))))))))))))))))))))))))</f>
        <v>1</v>
      </c>
      <c r="M181" s="64">
        <v>0</v>
      </c>
      <c r="N181" s="59">
        <v>1</v>
      </c>
      <c r="O181" s="59">
        <v>0</v>
      </c>
      <c r="P181" s="59"/>
      <c r="Q181" s="59" t="s">
        <v>34</v>
      </c>
      <c r="R181" s="60">
        <f>IF(Q181="Free Recall",1,IF(Q181="Cued Recall",2,IF(Q181="Recognition",3,IF(Q181="Multiple Choice",4,IF(Q181="Savings",5,IF(Q181="Stem Completion",6,IF(Q181="Fragment Completion",7,IF(Q181="anagram solution",8,IF(Q181="Matching",9,IF(Q181="Problem Solving",10,"99"))))))))))</f>
        <v>3</v>
      </c>
      <c r="S181" s="59" t="s">
        <v>15</v>
      </c>
      <c r="T181" s="59" t="s">
        <v>581</v>
      </c>
      <c r="U181" s="60">
        <f>IF(T181="within",1,0)</f>
        <v>1</v>
      </c>
      <c r="V181" s="59">
        <v>65</v>
      </c>
      <c r="W181" s="60">
        <f>F181*V181</f>
        <v>845</v>
      </c>
      <c r="X181" s="60">
        <v>6</v>
      </c>
      <c r="Y181" s="76">
        <f>AV180</f>
        <v>300</v>
      </c>
      <c r="Z181" s="64" t="s">
        <v>88</v>
      </c>
      <c r="AA181" s="59">
        <f>2*24*3600</f>
        <v>172800</v>
      </c>
      <c r="AB181" s="60" t="str">
        <f t="shared" si="0"/>
        <v>3</v>
      </c>
      <c r="AC181" s="56">
        <f t="shared" ref="AC181" si="3">AVERAGE(AV180:DA180)</f>
        <v>48850</v>
      </c>
      <c r="AD181" s="60" t="str">
        <f>IF(AC181&lt;60,"1",IF(AC181&lt;=43200,"2",IF(AC181&lt;=777600,"3","4")))</f>
        <v>3</v>
      </c>
      <c r="AE181" s="76">
        <f>AA181-Y181</f>
        <v>172500</v>
      </c>
      <c r="AF181" s="80">
        <f>AV181</f>
        <v>0.66600000000000004</v>
      </c>
      <c r="AG181" s="58">
        <f>((AW181-AV181)+(AX181-AW181)+(AY181-AX181)+(AZ181-AY181)+(BA181-AZ181))/5</f>
        <v>-2.300000000000013E-3</v>
      </c>
      <c r="AI181" s="56">
        <f>RSQ(AV181:BA181,AV180:BA180)</f>
        <v>1.7864656067130204E-3</v>
      </c>
      <c r="AJ181" s="109">
        <f>SLOPE(AV181:BA181,AV180:BA180)</f>
        <v>-2.1707871792114286E-8</v>
      </c>
      <c r="AK181" s="56">
        <f>INTERCEPT(AV181:BA181,AV180:BA180)</f>
        <v>0.65822709620371145</v>
      </c>
      <c r="AL181" s="56">
        <f>INDEX(LINEST(LN(AV181:BA181),LN(AV180:BA180),TRUE,TRUE),3,1)</f>
        <v>3.7822840840896967E-2</v>
      </c>
      <c r="AM181" s="56">
        <f>INDEX(LINEST(LN(AV181:BA181),LN(AV180:BA180)),1)</f>
        <v>-4.1988415964167311E-3</v>
      </c>
      <c r="AN181" s="56">
        <f>EXP(INDEX(LINEST(LN(AV181:BA181),LN(AV180:BA180)),1,2))</f>
        <v>0.68196408207944714</v>
      </c>
      <c r="AO181" s="82">
        <f>INDEX(LINEST((AV181:BA181),LN(AV180:BA180),TRUE,TRUE),3,1)</f>
        <v>4.4534456795517832E-2</v>
      </c>
      <c r="AP181" s="82">
        <f>INDEX(LINEST((AV181:BA181),LN(AV180:BA180)),1)</f>
        <v>-2.9745052738581997E-3</v>
      </c>
      <c r="AQ181" s="83">
        <f t="shared" ref="AQ181" si="4">INDEX(LINEST(LN(AV181:BA181),SQRT(AV180:BA180),TRUE,TRUE),3,1)</f>
        <v>5.309290566802201E-3</v>
      </c>
      <c r="AR181" s="116">
        <f t="shared" ref="AR181" si="5">INDEX(LINEST(LN(AV181:BA181),SQRT((AV180:BA180))),1)</f>
        <v>-2.4617290440300542E-5</v>
      </c>
      <c r="AS181" s="84">
        <f t="shared" ref="AS181" si="6">INDEX(LINEST(1/(AV181:BA181),1/(SQRT(AV180:BA180)),TRUE,TRUE),3,1)</f>
        <v>7.4133192705712059E-2</v>
      </c>
      <c r="AT181" s="84">
        <f t="shared" ref="AT181" si="7">INDEX(LINEST(1/(AV181:BA181),1/SQRT(AV180:BA180)),1)</f>
        <v>-1.0617017347349065</v>
      </c>
      <c r="AU181" s="3"/>
      <c r="AV181" s="11">
        <v>0.66600000000000004</v>
      </c>
      <c r="AW181" s="11">
        <v>0.71099999999999997</v>
      </c>
      <c r="AX181" s="11">
        <v>0.6</v>
      </c>
      <c r="AY181" s="11">
        <v>0.65149999999999997</v>
      </c>
      <c r="AZ181" s="11">
        <v>0.66</v>
      </c>
      <c r="BA181" s="11">
        <v>0.65449999999999997</v>
      </c>
      <c r="BB181" s="11"/>
      <c r="BC181" s="11"/>
      <c r="BD181" s="11"/>
      <c r="BE181" s="11"/>
      <c r="BF181" s="11"/>
      <c r="BG181" s="11"/>
      <c r="BH181" s="11"/>
      <c r="BI181" s="11"/>
      <c r="BJ181" s="11"/>
      <c r="BK181" s="11"/>
      <c r="BL181" s="11"/>
      <c r="BM181" s="11"/>
      <c r="BN181" s="11"/>
      <c r="BO181" s="11"/>
      <c r="BP181" s="11"/>
      <c r="BQ181" s="11"/>
      <c r="BR181" s="11"/>
      <c r="BS181" s="11"/>
      <c r="BT181" s="11"/>
      <c r="BU181" s="11"/>
      <c r="BV181" s="11"/>
      <c r="BW181" s="11"/>
      <c r="BX181" s="11"/>
      <c r="BY181" s="11"/>
      <c r="BZ181" s="11"/>
      <c r="CA181" s="11"/>
      <c r="CB181" s="11"/>
      <c r="CC181" s="11"/>
      <c r="CD181" s="11"/>
      <c r="CE181" s="11"/>
      <c r="CF181" s="11"/>
      <c r="CG181" s="11"/>
      <c r="CH181" s="11"/>
      <c r="CI181" s="11"/>
      <c r="CJ181" s="11"/>
      <c r="CK181" s="11"/>
      <c r="CL181" s="11"/>
      <c r="CM181" s="11"/>
      <c r="CN181" s="11"/>
      <c r="CO181" s="11"/>
      <c r="CP181" s="11"/>
      <c r="CQ181" s="11"/>
      <c r="CR181" s="15"/>
      <c r="CS181" s="15"/>
      <c r="CT181" s="15"/>
      <c r="CU181" s="15"/>
    </row>
    <row r="182" spans="1:99" ht="12" customHeight="1" x14ac:dyDescent="0.2">
      <c r="A182" s="65">
        <v>43509</v>
      </c>
      <c r="B182" s="15"/>
      <c r="C182" s="15"/>
      <c r="D182" s="59"/>
      <c r="F182" s="59"/>
      <c r="G182" s="59"/>
      <c r="H182" s="59"/>
      <c r="J182" s="59"/>
      <c r="N182" s="59"/>
      <c r="O182" s="59"/>
      <c r="P182" s="59"/>
      <c r="Q182" s="59"/>
      <c r="R182" s="60"/>
      <c r="S182" s="59"/>
      <c r="T182" s="59"/>
      <c r="U182" s="60"/>
      <c r="V182" s="59"/>
      <c r="W182" s="60"/>
      <c r="Y182" s="76"/>
      <c r="AB182" s="60"/>
      <c r="AC182" s="60"/>
      <c r="AD182" s="60"/>
      <c r="AE182" s="60"/>
      <c r="AF182" s="80"/>
      <c r="AG182" s="56"/>
      <c r="AI182" s="55"/>
      <c r="AJ182" s="111"/>
      <c r="AK182" s="55"/>
      <c r="AL182" s="55"/>
      <c r="AM182" s="55"/>
      <c r="AN182" s="55"/>
      <c r="AO182" s="55"/>
      <c r="AP182" s="55"/>
      <c r="AQ182" s="56"/>
      <c r="AR182" s="109"/>
      <c r="AS182" s="56"/>
      <c r="AT182" s="56"/>
      <c r="AU182" s="4"/>
      <c r="AV182" s="47">
        <v>300</v>
      </c>
      <c r="AW182" s="47">
        <v>1200</v>
      </c>
      <c r="AX182" s="47">
        <v>3600</v>
      </c>
      <c r="AY182" s="47">
        <v>28800</v>
      </c>
      <c r="AZ182" s="47">
        <v>86400</v>
      </c>
      <c r="BA182" s="47">
        <v>172800</v>
      </c>
      <c r="BB182" s="11"/>
      <c r="BC182" s="11"/>
      <c r="BD182" s="11"/>
      <c r="BE182" s="11"/>
      <c r="BF182" s="11"/>
      <c r="BG182" s="11"/>
      <c r="BH182" s="11"/>
      <c r="BI182" s="11"/>
      <c r="BJ182" s="11"/>
      <c r="BK182" s="11"/>
      <c r="BL182" s="11"/>
      <c r="BM182" s="11"/>
      <c r="BN182" s="11"/>
      <c r="BO182" s="11"/>
      <c r="BP182" s="11"/>
      <c r="BQ182" s="11"/>
      <c r="BR182" s="11"/>
      <c r="BS182" s="11"/>
      <c r="BT182" s="11"/>
      <c r="BU182" s="11"/>
      <c r="BV182" s="11"/>
      <c r="BW182" s="11"/>
      <c r="BX182" s="11"/>
      <c r="BY182" s="11"/>
      <c r="BZ182" s="11"/>
      <c r="CA182" s="11"/>
      <c r="CB182" s="11"/>
      <c r="CC182" s="11"/>
      <c r="CD182" s="11"/>
      <c r="CE182" s="11"/>
      <c r="CF182" s="11"/>
      <c r="CG182" s="11"/>
      <c r="CH182" s="11"/>
      <c r="CI182" s="11"/>
      <c r="CJ182" s="11"/>
      <c r="CK182" s="11"/>
      <c r="CL182" s="11"/>
      <c r="CM182" s="11"/>
      <c r="CN182" s="11"/>
      <c r="CO182" s="11"/>
      <c r="CP182" s="11"/>
      <c r="CQ182" s="11"/>
      <c r="CR182" s="15"/>
      <c r="CS182" s="15"/>
      <c r="CT182" s="15"/>
      <c r="CU182" s="15"/>
    </row>
    <row r="183" spans="1:99" ht="12" customHeight="1" x14ac:dyDescent="0.2">
      <c r="A183" s="65">
        <v>43509</v>
      </c>
      <c r="B183" s="15" t="s">
        <v>905</v>
      </c>
      <c r="C183" s="15" t="s">
        <v>84</v>
      </c>
      <c r="D183" s="59">
        <v>1926</v>
      </c>
      <c r="E183" s="77">
        <v>3</v>
      </c>
      <c r="F183" s="59">
        <v>13</v>
      </c>
      <c r="G183" s="59">
        <v>13</v>
      </c>
      <c r="H183" s="59" t="s">
        <v>30</v>
      </c>
      <c r="J183" s="59" t="s">
        <v>765</v>
      </c>
      <c r="K183" s="60">
        <f>IF(J183="syllables",1,IF(J183="trigrams",2,IF(J183="strings",3,IF(J183="visual array",4,IF(J183="characters",5,IF(J183="letters",6,IF(J183="free forms",7,IF(J183="odors",8,IF(J183="words",9,IF(J183="pictures",10,IF(J183="object pictures",11,IF(J183="faces",12,IF(J183="names",13,IF(J183="idioms",14,IF(J183="grades",15,IF(J183="syllable-digit pairs",16,IF(J183="trigram-word pairs",17,IF(J183="word-digit pairs",18,IF(J183="English-Swahili pairs",19,IF(J183="spatial position",20,IF(J183="word pairs",21,IF(J183="word triads",22,IF(J183="generated words",23,IF(J183="word definition pairs",24,IF(J183="math problems",25,IF(J183="famous faces",26,IF(J183="famous names",27,IF(J183="famous voices",28,IF(J183="television programs",29,IF(J183="race horses",30,IF(J183="new vocabulary",31,IF(J183="sentences",32,IF(J183="concepts",33,IF(J183="ad slides",34,IF(J183="scenes",35,IF(J183="famous scenes",36,IF(J183="poems",37,IF(J183="walk",38,IF(J183="faces and events",39,IF(J183="events and names",40,IF(J183="flashbulb",41,IF(J183="stories",42,IF(J183="course material",43,IF(J183="autobiographical",44,IF(J183="novels",45,IF(J183="public events",46,"99"))))))))))))))))))))))))))))))))))))))))))))))</f>
        <v>5</v>
      </c>
      <c r="L183" s="60">
        <f>IF(J183="syllables",1,IF(J183="trigrams",1,IF(J183="strings",1,IF(J183="visual array",1,IF(J183="characters",1,IF(J183="letters",1,IF(J183="free forms",1,IF(J183="odors",2,IF(J183="words",2,IF(J183="pictures",2,IF(J183="object pictures",2,IF(J183="faces",2,IF(J183="names",2,IF(J183="idioms","2",IF(J183="grades",2,IF(J183="syllable-digit pairs",3,IF(J183="trigram-word pairs",3,IF(J183="word-digit pairs",3,IF(J183="English-Swahili pairs",3,IF(J183="spatial position",3,IF(J183="word pairs",4,IF(J183="word triads",4,IF(J183="generated words",4,IF(J183="word definition pairs",4,IF(J183="math problems",4,IF(J183="famous faces",4,IF(J183="famous names",4,IF(J183="famous voices",4,IF(J183="television programs",4,IF(J183="race horses",4,IF(J183="new vocabulary",4,IF(J183="sentences",5,IF(J183="concepts",5,IF(J183="ad slides",5,IF(J183="scenes",5,IF(J183="famous scenes",5,IF(J183="poems",6,IF(J183="walk",6,IF(J183="faces and events",6,IF(J183="events and names",6,IF(J183="flashbulb",7,IF(J183="stories",7,IF(J183="course material",7,IF(J183="autobiographical",7,IF(J183="novels",7,IF(J183="public events",7,"99"))))))))))))))))))))))))))))))))))))))))))))))</f>
        <v>1</v>
      </c>
      <c r="M183" s="64">
        <v>0</v>
      </c>
      <c r="N183" s="59">
        <v>1</v>
      </c>
      <c r="O183" s="59">
        <v>0</v>
      </c>
      <c r="P183" s="59"/>
      <c r="Q183" s="59" t="s">
        <v>34</v>
      </c>
      <c r="R183" s="60">
        <f>IF(Q183="Free Recall",1,IF(Q183="Cued Recall",2,IF(Q183="Recognition",3,IF(Q183="Multiple Choice",4,IF(Q183="Savings",5,IF(Q183="Stem Completion",6,IF(Q183="Fragment Completion",7,IF(Q183="anagram solution",8,IF(Q183="Matching",9,IF(Q183="Problem Solving",10,"99"))))))))))</f>
        <v>3</v>
      </c>
      <c r="S183" s="59" t="s">
        <v>15</v>
      </c>
      <c r="T183" s="59" t="s">
        <v>581</v>
      </c>
      <c r="U183" s="60">
        <f>IF(T183="within",1,0)</f>
        <v>1</v>
      </c>
      <c r="V183" s="59">
        <v>65</v>
      </c>
      <c r="W183" s="60">
        <f>F183*V183</f>
        <v>845</v>
      </c>
      <c r="X183" s="60">
        <v>6</v>
      </c>
      <c r="Y183" s="76">
        <f>AV182</f>
        <v>300</v>
      </c>
      <c r="Z183" s="64" t="s">
        <v>88</v>
      </c>
      <c r="AA183" s="59">
        <f>2*24*3600</f>
        <v>172800</v>
      </c>
      <c r="AB183" s="60" t="str">
        <f t="shared" si="0"/>
        <v>3</v>
      </c>
      <c r="AC183" s="56">
        <f t="shared" ref="AC183" si="8">AVERAGE(AV182:DA182)</f>
        <v>48850</v>
      </c>
      <c r="AD183" s="60" t="str">
        <f>IF(AC183&lt;60,"1",IF(AC183&lt;=43200,"2",IF(AC183&lt;=777600,"3","4")))</f>
        <v>3</v>
      </c>
      <c r="AE183" s="76">
        <f>AA183-Y183</f>
        <v>172500</v>
      </c>
      <c r="AF183" s="80">
        <f>AV183</f>
        <v>0.76550000000000007</v>
      </c>
      <c r="AG183" s="56">
        <f>((AW183-AV183)+(AX183-AW183)+(AY183-AX183)+(AZ183-AY183)+(BA183-AZ183))/5</f>
        <v>-3.1899999999999998E-2</v>
      </c>
      <c r="AI183" s="56">
        <f>RSQ(AV183:BA183,AV182:BA182)</f>
        <v>0.20749326915588359</v>
      </c>
      <c r="AJ183" s="109">
        <f>SLOPE(AV183:BA183,AV182:BA182)</f>
        <v>-4.1978894204574698E-7</v>
      </c>
      <c r="AK183" s="56">
        <f>INTERCEPT(AV183:BA183,AV182:BA182)</f>
        <v>0.67567335648560145</v>
      </c>
      <c r="AL183" s="56">
        <f>INDEX(LINEST(LN(AV183:BA183),LN(AV182:BA182),TRUE,TRUE),3,1)</f>
        <v>0.57833692115574697</v>
      </c>
      <c r="AM183" s="56">
        <f>INDEX(LINEST(LN(AV183:BA183),LN(AV182:BA182)),1)</f>
        <v>-2.8441587524971786E-2</v>
      </c>
      <c r="AN183" s="56">
        <f>EXP(INDEX(LINEST(LN(AV183:BA183),LN(AV182:BA182)),1,2))</f>
        <v>0.84581900064290938</v>
      </c>
      <c r="AO183" s="82">
        <f>INDEX(LINEST((AV183:BA183),LN(AV182:BA182),TRUE,TRUE),3,1)</f>
        <v>0.58361702337677746</v>
      </c>
      <c r="AP183" s="82">
        <f>INDEX(LINEST((AV183:BA183),LN(AV182:BA182)),1)</f>
        <v>-1.9321449701135029E-2</v>
      </c>
      <c r="AQ183" s="83">
        <f t="shared" ref="AQ183" si="9">INDEX(LINEST(LN(AV183:BA183),SQRT(AV182:BA182),TRUE,TRUE),3,1)</f>
        <v>0.31581400200593457</v>
      </c>
      <c r="AR183" s="116">
        <f t="shared" ref="AR183" si="10">INDEX(LINEST(LN(AV183:BA183),SQRT((AV182:BA182))),1)</f>
        <v>-3.2888847054446938E-4</v>
      </c>
      <c r="AS183" s="84">
        <f t="shared" ref="AS183" si="11">INDEX(LINEST(1/(AV183:BA183),1/(SQRT(AV182:BA182)),TRUE,TRUE),3,1)</f>
        <v>0.79146649388831669</v>
      </c>
      <c r="AT183" s="84">
        <f t="shared" ref="AT183" si="12">INDEX(LINEST(1/(AV183:BA183),1/SQRT(AV182:BA182)),1)</f>
        <v>-5.8161018187844737</v>
      </c>
      <c r="AU183" s="3"/>
      <c r="AV183" s="11">
        <v>0.76550000000000007</v>
      </c>
      <c r="AW183" s="11">
        <v>0.6855</v>
      </c>
      <c r="AX183" s="11">
        <v>0.62</v>
      </c>
      <c r="AY183" s="11">
        <v>0.59600000000000009</v>
      </c>
      <c r="AZ183" s="11">
        <v>0.65800000000000003</v>
      </c>
      <c r="BA183" s="11">
        <v>0.60600000000000009</v>
      </c>
      <c r="BB183" s="11"/>
      <c r="BC183" s="11"/>
      <c r="BD183" s="11"/>
      <c r="BE183" s="11"/>
      <c r="BF183" s="11"/>
      <c r="BG183" s="11"/>
      <c r="BH183" s="11"/>
      <c r="BI183" s="11"/>
      <c r="BJ183" s="11"/>
      <c r="BK183" s="11"/>
      <c r="BL183" s="11"/>
      <c r="BM183" s="11"/>
      <c r="BN183" s="11"/>
      <c r="BO183" s="11"/>
      <c r="BP183" s="11"/>
      <c r="BQ183" s="11"/>
      <c r="BR183" s="11"/>
      <c r="BS183" s="11"/>
      <c r="BT183" s="11"/>
      <c r="BU183" s="11"/>
      <c r="BV183" s="11"/>
      <c r="BW183" s="11"/>
      <c r="BX183" s="11"/>
      <c r="BY183" s="11"/>
      <c r="BZ183" s="11"/>
      <c r="CA183" s="11"/>
      <c r="CB183" s="11"/>
      <c r="CC183" s="11"/>
      <c r="CD183" s="11"/>
      <c r="CE183" s="11"/>
      <c r="CF183" s="11"/>
      <c r="CG183" s="11"/>
      <c r="CH183" s="11"/>
      <c r="CI183" s="11"/>
      <c r="CJ183" s="11"/>
      <c r="CK183" s="11"/>
      <c r="CL183" s="11"/>
      <c r="CM183" s="11"/>
      <c r="CN183" s="11"/>
      <c r="CO183" s="11"/>
      <c r="CP183" s="11"/>
      <c r="CQ183" s="11"/>
      <c r="CR183" s="15"/>
      <c r="CS183" s="15"/>
      <c r="CT183" s="15"/>
      <c r="CU183" s="15"/>
    </row>
    <row r="184" spans="1:99" ht="12" customHeight="1" x14ac:dyDescent="0.2">
      <c r="A184" s="68">
        <v>43906</v>
      </c>
      <c r="B184" s="94"/>
      <c r="C184" s="94"/>
      <c r="D184" s="92"/>
      <c r="E184" s="105"/>
      <c r="F184" s="92"/>
      <c r="G184" s="92"/>
      <c r="H184" s="92"/>
      <c r="I184" s="92"/>
      <c r="J184" s="92"/>
      <c r="K184" s="107"/>
      <c r="L184" s="107"/>
      <c r="M184" s="92"/>
      <c r="N184" s="69"/>
      <c r="O184" s="92"/>
      <c r="P184" s="92"/>
      <c r="Q184" s="92"/>
      <c r="R184" s="69"/>
      <c r="S184" s="92"/>
      <c r="T184" s="92"/>
      <c r="U184" s="60"/>
      <c r="V184" s="92"/>
      <c r="W184" s="69"/>
      <c r="X184" s="92"/>
      <c r="Y184" s="87"/>
      <c r="Z184" s="92"/>
      <c r="AA184" s="92"/>
      <c r="AB184" s="69"/>
      <c r="AC184" s="69"/>
      <c r="AD184" s="69"/>
      <c r="AE184" s="69"/>
      <c r="AF184" s="88"/>
      <c r="AG184" s="72"/>
      <c r="AH184" s="4"/>
      <c r="AI184" s="108"/>
      <c r="AJ184" s="113"/>
      <c r="AK184" s="108"/>
      <c r="AL184" s="108"/>
      <c r="AM184" s="108"/>
      <c r="AN184" s="108"/>
      <c r="AO184" s="108"/>
      <c r="AP184" s="108"/>
      <c r="AQ184" s="72"/>
      <c r="AR184" s="110"/>
      <c r="AS184" s="72"/>
      <c r="AT184" s="72"/>
      <c r="AU184" s="4"/>
      <c r="AV184" s="98">
        <v>300</v>
      </c>
      <c r="AW184" s="98">
        <f>30*60</f>
        <v>1800</v>
      </c>
      <c r="AX184" s="98">
        <f>2*3600</f>
        <v>7200</v>
      </c>
      <c r="AY184" s="98">
        <f>24*3600</f>
        <v>86400</v>
      </c>
      <c r="BA184" s="11"/>
      <c r="BB184" s="11"/>
      <c r="BC184" s="11"/>
      <c r="BD184" s="11"/>
      <c r="BE184" s="11"/>
      <c r="BF184" s="11"/>
      <c r="BG184" s="11"/>
      <c r="BH184" s="11"/>
      <c r="BI184" s="11"/>
      <c r="BJ184" s="11"/>
      <c r="BK184" s="11"/>
      <c r="BL184" s="11"/>
      <c r="BM184" s="11"/>
      <c r="BN184" s="11"/>
      <c r="BO184" s="11"/>
      <c r="BP184" s="11"/>
      <c r="BQ184" s="11"/>
      <c r="BR184" s="11"/>
      <c r="BS184" s="11"/>
      <c r="BT184" s="11"/>
      <c r="BU184" s="11"/>
      <c r="BV184" s="11"/>
      <c r="BW184" s="11"/>
      <c r="BX184" s="11"/>
      <c r="BY184" s="11"/>
      <c r="BZ184" s="11"/>
      <c r="CA184" s="11"/>
      <c r="CB184" s="11"/>
      <c r="CC184" s="11"/>
      <c r="CD184" s="11"/>
      <c r="CE184" s="11"/>
      <c r="CF184" s="11"/>
      <c r="CG184" s="11"/>
      <c r="CH184" s="11"/>
      <c r="CI184" s="11"/>
      <c r="CJ184" s="11"/>
      <c r="CK184" s="11"/>
      <c r="CL184" s="11"/>
      <c r="CM184" s="11"/>
      <c r="CN184" s="11"/>
      <c r="CO184" s="11"/>
      <c r="CP184" s="11"/>
      <c r="CQ184" s="11"/>
      <c r="CR184" s="15"/>
      <c r="CS184" s="15"/>
      <c r="CT184" s="15"/>
      <c r="CU184" s="15"/>
    </row>
    <row r="185" spans="1:99" s="13" customFormat="1" ht="12" customHeight="1" x14ac:dyDescent="0.2">
      <c r="A185" s="68">
        <v>43906</v>
      </c>
      <c r="B185" s="70" t="s">
        <v>272</v>
      </c>
      <c r="C185" s="70" t="s">
        <v>495</v>
      </c>
      <c r="D185" s="69">
        <v>1996</v>
      </c>
      <c r="E185" s="87">
        <v>1</v>
      </c>
      <c r="F185" s="69">
        <v>279</v>
      </c>
      <c r="G185" s="69">
        <v>34.9</v>
      </c>
      <c r="H185" s="69" t="s">
        <v>22</v>
      </c>
      <c r="I185" s="69" t="s">
        <v>493</v>
      </c>
      <c r="J185" s="69" t="s">
        <v>328</v>
      </c>
      <c r="K185" s="69">
        <f>IF(J185="syllables",1,IF(J185="trigrams",2,IF(J185="strings",3,IF(J185="visual array",4,IF(J185="characters",5,IF(J185="letters",6,IF(J185="free forms",7,IF(J185="odors",8,IF(J185="words",9,IF(J185="pictures",10,IF(J185="object pictures",11,IF(J185="faces",12,IF(J185="names",13,IF(J185="idioms",14,IF(J185="grades",15,IF(J185="syllable-digit pairs",16,IF(J185="trigram-word pairs",17,IF(J185="word-digit pairs",18,IF(J185="English-Swahili pairs",19,IF(J185="spatial position",20,IF(J185="word pairs",21,IF(J185="word triads",22,IF(J185="generated words",23,IF(J185="word definition pairs",24,IF(J185="math problems",25,IF(J185="famous faces",26,IF(J185="famous names",27,IF(J185="famous voices",28,IF(J185="television programs",29,IF(J185="race horses",30,IF(J185="new vocabulary",31,IF(J185="sentences",32,IF(J185="concepts",33,IF(J185="ad slides",34,IF(J185="scenes",35,IF(J185="famous scenes",36,IF(J185="poems",37,IF(J185="walk",38,IF(J185="faces and events",39,IF(J185="events and names",40,IF(J185="flashbulb",41,IF(J185="stories",42,IF(J185="course material",43,IF(J185="autobiographical",44,IF(J185="novels",45,IF(J185="public events",46,"99"))))))))))))))))))))))))))))))))))))))))))))))</f>
        <v>12</v>
      </c>
      <c r="L185" s="69">
        <f>IF(J185="syllables",1,IF(J185="trigrams",1,IF(J185="strings",1,IF(J185="visual array",1,IF(J185="characters",1,IF(J185="letters",1,IF(J185="free forms",1,IF(J185="odors",2,IF(J185="words",2,IF(J185="pictures",2,IF(J185="object pictures",2,IF(J185="faces",2,IF(J185="names",2,IF(J185="idioms","2",IF(J185="grades",2,IF(J185="syllable-digit pairs",3,IF(J185="trigram-word pairs",3,IF(J185="word-digit pairs",3,IF(J185="English-Swahili pairs",3,IF(J185="spatial position",3,IF(J185="word pairs",4,IF(J185="word triads",4,IF(J185="generated words",4,IF(J185="word definition pairs",4,IF(J185="math problems",4,IF(J185="famous faces",4,IF(J185="famous names",4,IF(J185="famous voices",4,IF(J185="television programs",4,IF(J185="race horses",4,IF(J185="new vocabulary",4,IF(J185="sentences",5,IF(J185="concepts",5,IF(J185="ad slides",5,IF(J185="scenes",5,IF(J185="famous scenes",5,IF(J185="poems",6,IF(J185="walk",6,IF(J185="faces and events",6,IF(J185="events and names",6,IF(J185="flashbulb",7,IF(J185="stories",7,IF(J185="course material",7,IF(J185="autobiographical",7,IF(J185="novels",7,IF(J185="public events",7,"99"))))))))))))))))))))))))))))))))))))))))))))))</f>
        <v>2</v>
      </c>
      <c r="M185" s="69">
        <v>0</v>
      </c>
      <c r="N185" s="69">
        <v>1</v>
      </c>
      <c r="O185" s="69">
        <v>0</v>
      </c>
      <c r="P185" s="69"/>
      <c r="Q185" s="69" t="s">
        <v>34</v>
      </c>
      <c r="R185" s="69">
        <f>IF(Q185="Free Recall",1,IF(Q185="Cued Recall",2,IF(Q185="Recognition",3,IF(Q185="Multiple Choice",4,IF(Q185="Savings",5,IF(Q185="Stem Completion",6,IF(Q185="Fragment Completion",7,IF(Q185="anagram solution",8,IF(Q185="Matching",9,IF(Q185="Problem Solving",10,"99"))))))))))</f>
        <v>3</v>
      </c>
      <c r="S185" s="92" t="s">
        <v>15</v>
      </c>
      <c r="T185" s="69" t="s">
        <v>261</v>
      </c>
      <c r="U185" s="60">
        <f>IF(T185="within",1,0)</f>
        <v>0</v>
      </c>
      <c r="V185" s="69">
        <v>2</v>
      </c>
      <c r="W185" s="69">
        <f>F185*V185</f>
        <v>558</v>
      </c>
      <c r="X185" s="69">
        <v>4</v>
      </c>
      <c r="Y185" s="87">
        <f>AV184</f>
        <v>300</v>
      </c>
      <c r="Z185" s="69" t="s">
        <v>449</v>
      </c>
      <c r="AA185" s="69">
        <f>24*3600</f>
        <v>86400</v>
      </c>
      <c r="AB185" s="69" t="str">
        <f t="shared" si="0"/>
        <v>3</v>
      </c>
      <c r="AC185" s="72">
        <f t="shared" ref="AC185" si="13">AVERAGE(AV184:DA184)</f>
        <v>23925</v>
      </c>
      <c r="AD185" s="69" t="str">
        <f>IF(AC185&lt;60,"1",IF(AC185&lt;=43200,"2",IF(AC185&lt;=777600,"3","4")))</f>
        <v>2</v>
      </c>
      <c r="AE185" s="87">
        <f>AA185-Y185</f>
        <v>86100</v>
      </c>
      <c r="AF185" s="88">
        <f>AV185</f>
        <v>0.76</v>
      </c>
      <c r="AG185" s="72">
        <f>((AW185-AV185)+(AX185-AW185)+(AY185-AX185))/3</f>
        <v>-8.3333333333333329E-2</v>
      </c>
      <c r="AH185" s="4"/>
      <c r="AI185" s="72">
        <f>RSQ(AV185:AY185,AV184:AY184)</f>
        <v>0.22027014709339479</v>
      </c>
      <c r="AJ185" s="110">
        <f>SLOPE(AV185:AY185,AV184:AY184)</f>
        <v>-1.4139641325435441E-6</v>
      </c>
      <c r="AK185" s="72">
        <f>INTERCEPT(AV185:AY185,AV184:AY184)</f>
        <v>0.6213290918711043</v>
      </c>
      <c r="AL185" s="72">
        <f>INDEX(LINEST(LN(AV185:AY185),LN(AV184:AY184),TRUE,TRUE),3,1)</f>
        <v>0.70175345312773696</v>
      </c>
      <c r="AM185" s="72">
        <f>INDEX(LINEST(LN(AV185:AY185),LN(AV184:AY184)),1)</f>
        <v>-7.2022222805653915E-2</v>
      </c>
      <c r="AN185" s="72">
        <f>EXP(INDEX(LINEST(LN(AV185:AY185),LN(AV184:AY184)),1,2))</f>
        <v>1.0555944239933479</v>
      </c>
      <c r="AO185" s="89">
        <f>INDEX(LINEST((AV185:AY185),LN(AV184:AY184),TRUE,TRUE),3,1)</f>
        <v>0.70733152657227982</v>
      </c>
      <c r="AP185" s="89">
        <f>INDEX(LINEST((AV185:AY185),LN(AV184:AY184)),1)</f>
        <v>-4.4294334836707527E-2</v>
      </c>
      <c r="AQ185" s="90">
        <f>INDEX(LINEST(LN(AV185:AY185),SQRT(AV184:AY184),TRUE,TRUE),3,1)</f>
        <v>0.35496995068996962</v>
      </c>
      <c r="AR185" s="117">
        <f>INDEX(LINEST(LN(AV185:AY185),SQRT((AV184:AY184))),1)</f>
        <v>-9.7110593289296556E-4</v>
      </c>
      <c r="AS185" s="91">
        <f>INDEX(LINEST(1/(AV185:AY185),1/(SQRT(AV184:AY184)),TRUE,TRUE),3,1)</f>
        <v>0.88310416173285244</v>
      </c>
      <c r="AT185" s="91">
        <f>INDEX(LINEST(1/(AV185:AY185),1/SQRT(AV184:AY184)),1)</f>
        <v>-13.454182818509977</v>
      </c>
      <c r="AU185" s="3"/>
      <c r="AV185" s="73">
        <v>0.76</v>
      </c>
      <c r="AW185" s="73">
        <v>0.60000000000000009</v>
      </c>
      <c r="AX185" s="73">
        <v>0.48</v>
      </c>
      <c r="AY185" s="73">
        <v>0.51</v>
      </c>
      <c r="AZ185" s="43"/>
      <c r="BA185" s="53"/>
      <c r="BB185" s="53"/>
      <c r="BC185" s="53"/>
      <c r="BD185" s="53"/>
      <c r="BE185" s="53"/>
      <c r="BF185" s="53"/>
      <c r="BG185" s="53"/>
      <c r="BH185" s="53"/>
      <c r="BI185" s="53"/>
      <c r="BJ185" s="53"/>
      <c r="BK185" s="53"/>
      <c r="BL185" s="53"/>
      <c r="BM185" s="53"/>
      <c r="BN185" s="53"/>
      <c r="BO185" s="53"/>
      <c r="BP185" s="53"/>
      <c r="BQ185" s="53"/>
      <c r="BR185" s="53"/>
      <c r="BS185" s="53"/>
      <c r="BT185" s="53"/>
      <c r="BU185" s="53"/>
      <c r="BV185" s="53"/>
      <c r="BW185" s="53"/>
      <c r="BX185" s="53"/>
      <c r="BY185" s="53"/>
      <c r="BZ185" s="53"/>
      <c r="CA185" s="53"/>
      <c r="CB185" s="53"/>
      <c r="CC185" s="53"/>
      <c r="CD185" s="53"/>
      <c r="CE185" s="53"/>
      <c r="CF185" s="53"/>
      <c r="CG185" s="53"/>
      <c r="CH185" s="53"/>
      <c r="CI185" s="53"/>
      <c r="CJ185" s="53"/>
      <c r="CK185" s="53"/>
      <c r="CL185" s="53"/>
      <c r="CM185" s="53"/>
      <c r="CN185" s="53"/>
      <c r="CO185" s="53"/>
      <c r="CP185" s="53"/>
      <c r="CQ185" s="53"/>
      <c r="CR185" s="1"/>
      <c r="CS185" s="1"/>
      <c r="CT185" s="1"/>
      <c r="CU185" s="1"/>
    </row>
    <row r="186" spans="1:99" s="13" customFormat="1" ht="12" customHeight="1" x14ac:dyDescent="0.2">
      <c r="A186" s="68">
        <v>43906</v>
      </c>
      <c r="B186" s="94"/>
      <c r="C186" s="94"/>
      <c r="D186" s="92"/>
      <c r="E186" s="87"/>
      <c r="F186" s="92"/>
      <c r="G186" s="92"/>
      <c r="H186" s="92"/>
      <c r="I186" s="69"/>
      <c r="J186" s="92"/>
      <c r="K186" s="107"/>
      <c r="L186" s="107"/>
      <c r="M186" s="92"/>
      <c r="N186" s="86"/>
      <c r="O186" s="92"/>
      <c r="P186" s="92"/>
      <c r="Q186" s="92"/>
      <c r="R186" s="69"/>
      <c r="S186" s="92"/>
      <c r="T186" s="92"/>
      <c r="U186" s="60"/>
      <c r="V186" s="92"/>
      <c r="W186" s="69"/>
      <c r="X186" s="92"/>
      <c r="Y186" s="87"/>
      <c r="Z186" s="92"/>
      <c r="AA186" s="92"/>
      <c r="AB186" s="69"/>
      <c r="AC186" s="69"/>
      <c r="AD186" s="69"/>
      <c r="AE186" s="69"/>
      <c r="AF186" s="88"/>
      <c r="AG186" s="72"/>
      <c r="AH186" s="4"/>
      <c r="AI186" s="108"/>
      <c r="AJ186" s="113"/>
      <c r="AK186" s="108"/>
      <c r="AL186" s="108"/>
      <c r="AM186" s="108"/>
      <c r="AN186" s="108"/>
      <c r="AO186" s="108"/>
      <c r="AP186" s="108"/>
      <c r="AQ186" s="72"/>
      <c r="AR186" s="110"/>
      <c r="AS186" s="72"/>
      <c r="AT186" s="72"/>
      <c r="AU186" s="4"/>
      <c r="AV186" s="98">
        <v>300</v>
      </c>
      <c r="AW186" s="98">
        <f>30*60</f>
        <v>1800</v>
      </c>
      <c r="AX186" s="98">
        <f>2*3600</f>
        <v>7200</v>
      </c>
      <c r="AY186" s="98">
        <f>24*3600</f>
        <v>86400</v>
      </c>
      <c r="AZ186" s="43"/>
      <c r="BA186" s="53"/>
      <c r="BB186" s="53"/>
      <c r="BC186" s="53"/>
      <c r="BD186" s="53"/>
      <c r="BE186" s="53"/>
      <c r="BF186" s="53"/>
      <c r="BG186" s="53"/>
      <c r="BH186" s="53"/>
      <c r="BI186" s="53"/>
      <c r="BJ186" s="53"/>
      <c r="BK186" s="53"/>
      <c r="BL186" s="53"/>
      <c r="BM186" s="53"/>
      <c r="BN186" s="53"/>
      <c r="BO186" s="53"/>
      <c r="BP186" s="53"/>
      <c r="BQ186" s="53"/>
      <c r="BR186" s="53"/>
      <c r="BS186" s="53"/>
      <c r="BT186" s="53"/>
      <c r="BU186" s="53"/>
      <c r="BV186" s="53"/>
      <c r="BW186" s="53"/>
      <c r="BX186" s="53"/>
      <c r="BY186" s="53"/>
      <c r="BZ186" s="53"/>
      <c r="CA186" s="53"/>
      <c r="CB186" s="53"/>
      <c r="CC186" s="53"/>
      <c r="CD186" s="53"/>
      <c r="CE186" s="53"/>
      <c r="CF186" s="53"/>
      <c r="CG186" s="53"/>
      <c r="CH186" s="53"/>
      <c r="CI186" s="53"/>
      <c r="CJ186" s="53"/>
      <c r="CK186" s="53"/>
      <c r="CL186" s="53"/>
      <c r="CM186" s="53"/>
      <c r="CN186" s="53"/>
      <c r="CO186" s="53"/>
      <c r="CP186" s="53"/>
      <c r="CQ186" s="53"/>
      <c r="CR186" s="1"/>
      <c r="CS186" s="1"/>
      <c r="CT186" s="1"/>
      <c r="CU186" s="1"/>
    </row>
    <row r="187" spans="1:99" s="13" customFormat="1" ht="12" customHeight="1" x14ac:dyDescent="0.2">
      <c r="A187" s="68">
        <v>43906</v>
      </c>
      <c r="B187" s="70" t="s">
        <v>272</v>
      </c>
      <c r="C187" s="70" t="s">
        <v>495</v>
      </c>
      <c r="D187" s="69">
        <v>1996</v>
      </c>
      <c r="E187" s="87">
        <v>1</v>
      </c>
      <c r="F187" s="69">
        <v>286</v>
      </c>
      <c r="G187" s="69">
        <v>35.799999999999997</v>
      </c>
      <c r="H187" s="69" t="s">
        <v>22</v>
      </c>
      <c r="I187" s="69" t="s">
        <v>494</v>
      </c>
      <c r="J187" s="69" t="s">
        <v>328</v>
      </c>
      <c r="K187" s="69">
        <f>IF(J187="syllables",1,IF(J187="trigrams",2,IF(J187="strings",3,IF(J187="visual array",4,IF(J187="characters",5,IF(J187="letters",6,IF(J187="free forms",7,IF(J187="odors",8,IF(J187="words",9,IF(J187="pictures",10,IF(J187="object pictures",11,IF(J187="faces",12,IF(J187="names",13,IF(J187="idioms",14,IF(J187="grades",15,IF(J187="syllable-digit pairs",16,IF(J187="trigram-word pairs",17,IF(J187="word-digit pairs",18,IF(J187="English-Swahili pairs",19,IF(J187="spatial position",20,IF(J187="word pairs",21,IF(J187="word triads",22,IF(J187="generated words",23,IF(J187="word definition pairs",24,IF(J187="math problems",25,IF(J187="famous faces",26,IF(J187="famous names",27,IF(J187="famous voices",28,IF(J187="television programs",29,IF(J187="race horses",30,IF(J187="new vocabulary",31,IF(J187="sentences",32,IF(J187="concepts",33,IF(J187="ad slides",34,IF(J187="scenes",35,IF(J187="famous scenes",36,IF(J187="poems",37,IF(J187="walk",38,IF(J187="faces and events",39,IF(J187="events and names",40,IF(J187="flashbulb",41,IF(J187="stories",42,IF(J187="course material",43,IF(J187="autobiographical",44,IF(J187="novels",45,IF(J187="public events",46,"99"))))))))))))))))))))))))))))))))))))))))))))))</f>
        <v>12</v>
      </c>
      <c r="L187" s="69">
        <f>IF(J187="syllables",1,IF(J187="trigrams",1,IF(J187="strings",1,IF(J187="visual array",1,IF(J187="characters",1,IF(J187="letters",1,IF(J187="free forms",1,IF(J187="odors",2,IF(J187="words",2,IF(J187="pictures",2,IF(J187="object pictures",2,IF(J187="faces",2,IF(J187="names",2,IF(J187="idioms","2",IF(J187="grades",2,IF(J187="syllable-digit pairs",3,IF(J187="trigram-word pairs",3,IF(J187="word-digit pairs",3,IF(J187="English-Swahili pairs",3,IF(J187="spatial position",3,IF(J187="word pairs",4,IF(J187="word triads",4,IF(J187="generated words",4,IF(J187="word definition pairs",4,IF(J187="math problems",4,IF(J187="famous faces",4,IF(J187="famous names",4,IF(J187="famous voices",4,IF(J187="television programs",4,IF(J187="race horses",4,IF(J187="new vocabulary",4,IF(J187="sentences",5,IF(J187="concepts",5,IF(J187="ad slides",5,IF(J187="scenes",5,IF(J187="famous scenes",5,IF(J187="poems",6,IF(J187="walk",6,IF(J187="faces and events",6,IF(J187="events and names",6,IF(J187="flashbulb",7,IF(J187="stories",7,IF(J187="course material",7,IF(J187="autobiographical",7,IF(J187="novels",7,IF(J187="public events",7,"99"))))))))))))))))))))))))))))))))))))))))))))))</f>
        <v>2</v>
      </c>
      <c r="M187" s="69">
        <v>0</v>
      </c>
      <c r="N187" s="86">
        <v>1</v>
      </c>
      <c r="O187" s="69">
        <v>0</v>
      </c>
      <c r="P187" s="69"/>
      <c r="Q187" s="69" t="s">
        <v>34</v>
      </c>
      <c r="R187" s="69">
        <f>IF(Q187="Free Recall",1,IF(Q187="Cued Recall",2,IF(Q187="Recognition",3,IF(Q187="Multiple Choice",4,IF(Q187="Savings",5,IF(Q187="Stem Completion",6,IF(Q187="Fragment Completion",7,IF(Q187="anagram solution",8,IF(Q187="Matching",9,IF(Q187="Problem Solving",10,"99"))))))))))</f>
        <v>3</v>
      </c>
      <c r="S187" s="92" t="s">
        <v>15</v>
      </c>
      <c r="T187" s="69" t="s">
        <v>261</v>
      </c>
      <c r="U187" s="60">
        <f>IF(T187="within",1,0)</f>
        <v>0</v>
      </c>
      <c r="V187" s="69">
        <v>2</v>
      </c>
      <c r="W187" s="69">
        <f>F187*V187</f>
        <v>572</v>
      </c>
      <c r="X187" s="69">
        <v>4</v>
      </c>
      <c r="Y187" s="87">
        <f>AV186</f>
        <v>300</v>
      </c>
      <c r="Z187" s="69" t="s">
        <v>449</v>
      </c>
      <c r="AA187" s="69">
        <f>24*3600</f>
        <v>86400</v>
      </c>
      <c r="AB187" s="69" t="str">
        <f t="shared" si="0"/>
        <v>3</v>
      </c>
      <c r="AC187" s="72">
        <f t="shared" ref="AC187" si="14">AVERAGE(AV186:DA186)</f>
        <v>23925</v>
      </c>
      <c r="AD187" s="69" t="str">
        <f>IF(AC187&lt;60,"1",IF(AC187&lt;=43200,"2",IF(AC187&lt;=777600,"3","4")))</f>
        <v>2</v>
      </c>
      <c r="AE187" s="87">
        <f>AA187-Y187</f>
        <v>86100</v>
      </c>
      <c r="AF187" s="88">
        <f>AV187</f>
        <v>0.435</v>
      </c>
      <c r="AG187" s="72">
        <f>((AW187-AV187)+(AX187-AW187)+(AY187-AX187))/3</f>
        <v>-4.3333333333333335E-2</v>
      </c>
      <c r="AH187" s="4"/>
      <c r="AI187" s="72">
        <f>RSQ(AV187:AY187,AV186:AY186)</f>
        <v>0.35470791002994079</v>
      </c>
      <c r="AJ187" s="110">
        <f>SLOPE(AV187:AY187,AV186:AY186)</f>
        <v>-8.1000744191648707E-7</v>
      </c>
      <c r="AK187" s="72">
        <f>INTERCEPT(AV187:AY187,AV186:AY186)</f>
        <v>0.37187942804785196</v>
      </c>
      <c r="AL187" s="72">
        <f>INDEX(LINEST(LN(AV187:AY187),LN(AV186:AY186),TRUE,TRUE),3,1)</f>
        <v>0.79516829599425787</v>
      </c>
      <c r="AM187" s="72">
        <f>INDEX(LINEST(LN(AV187:AY187),LN(AV186:AY186)),1)</f>
        <v>-5.7039541277365886E-2</v>
      </c>
      <c r="AN187" s="72">
        <f>EXP(INDEX(LINEST(LN(AV187:AY187),LN(AV186:AY186)),1,2))</f>
        <v>0.56281050375923725</v>
      </c>
      <c r="AO187" s="89">
        <f>INDEX(LINEST((AV187:AY187),LN(AV186:AY186),TRUE,TRUE),3,1)</f>
        <v>0.76518341803102052</v>
      </c>
      <c r="AP187" s="89">
        <f>INDEX(LINEST((AV187:AY187),LN(AV186:AY186)),1)</f>
        <v>-2.0797563152517861E-2</v>
      </c>
      <c r="AQ187" s="90">
        <f>INDEX(LINEST(LN(AV187:AY187),SQRT(AV186:AY186),TRUE,TRUE),3,1)</f>
        <v>0.51407184308467502</v>
      </c>
      <c r="AR187" s="117">
        <f>INDEX(LINEST(LN(AV187:AY187),SQRT((AV186:AY186))),1)</f>
        <v>-8.6947074806293485E-4</v>
      </c>
      <c r="AS187" s="91">
        <f>INDEX(LINEST(1/(AV187:AY187),1/(SQRT(AV186:AY186)),TRUE,TRUE),3,1)</f>
        <v>0.95725312956752184</v>
      </c>
      <c r="AT187" s="91">
        <f>INDEX(LINEST(1/(AV187:AY187),1/SQRT(AV186:AY186)),1)</f>
        <v>-17.029893900452887</v>
      </c>
      <c r="AU187" s="3"/>
      <c r="AV187" s="73">
        <v>0.435</v>
      </c>
      <c r="AW187" s="73">
        <v>0.33500000000000002</v>
      </c>
      <c r="AX187" s="73">
        <v>0.33499999999999996</v>
      </c>
      <c r="AY187" s="73">
        <v>0.30499999999999999</v>
      </c>
      <c r="AZ187" s="43"/>
      <c r="BA187" s="53"/>
      <c r="BB187" s="53"/>
      <c r="BC187" s="53"/>
      <c r="BD187" s="53"/>
      <c r="BE187" s="53"/>
      <c r="BF187" s="53"/>
      <c r="BG187" s="53"/>
      <c r="BH187" s="53"/>
      <c r="BI187" s="53"/>
      <c r="BJ187" s="53"/>
      <c r="BK187" s="53"/>
      <c r="BL187" s="53"/>
      <c r="BM187" s="53"/>
      <c r="BN187" s="53"/>
      <c r="BO187" s="53"/>
      <c r="BP187" s="53"/>
      <c r="BQ187" s="53"/>
      <c r="BR187" s="53"/>
      <c r="BS187" s="53"/>
      <c r="BT187" s="53"/>
      <c r="BU187" s="53"/>
      <c r="BV187" s="53"/>
      <c r="BW187" s="53"/>
      <c r="BX187" s="53"/>
      <c r="BY187" s="53"/>
      <c r="BZ187" s="53"/>
      <c r="CA187" s="53"/>
      <c r="CB187" s="53"/>
      <c r="CC187" s="53"/>
      <c r="CD187" s="53"/>
      <c r="CE187" s="53"/>
      <c r="CF187" s="53"/>
      <c r="CG187" s="53"/>
      <c r="CH187" s="53"/>
      <c r="CI187" s="53"/>
      <c r="CJ187" s="53"/>
      <c r="CK187" s="53"/>
      <c r="CL187" s="53"/>
      <c r="CM187" s="53"/>
      <c r="CN187" s="53"/>
      <c r="CO187" s="53"/>
      <c r="CP187" s="53"/>
      <c r="CQ187" s="53"/>
      <c r="CR187" s="1"/>
      <c r="CS187" s="1"/>
      <c r="CT187" s="1"/>
      <c r="CU187" s="1"/>
    </row>
    <row r="188" spans="1:99" s="13" customFormat="1" ht="12" customHeight="1" x14ac:dyDescent="0.2">
      <c r="A188" s="68">
        <v>43906</v>
      </c>
      <c r="B188" s="94"/>
      <c r="C188" s="94"/>
      <c r="D188" s="92"/>
      <c r="E188" s="105"/>
      <c r="F188" s="92"/>
      <c r="G188" s="92"/>
      <c r="H188" s="92"/>
      <c r="I188" s="92"/>
      <c r="J188" s="92"/>
      <c r="K188" s="107"/>
      <c r="L188" s="107"/>
      <c r="M188" s="92"/>
      <c r="N188" s="69"/>
      <c r="O188" s="92"/>
      <c r="P188" s="92"/>
      <c r="Q188" s="92"/>
      <c r="R188" s="69"/>
      <c r="S188" s="92"/>
      <c r="T188" s="92"/>
      <c r="U188" s="60"/>
      <c r="V188" s="92"/>
      <c r="W188" s="69"/>
      <c r="X188" s="92"/>
      <c r="Y188" s="87"/>
      <c r="Z188" s="92"/>
      <c r="AA188" s="92"/>
      <c r="AB188" s="69"/>
      <c r="AC188" s="69"/>
      <c r="AD188" s="69"/>
      <c r="AE188" s="69"/>
      <c r="AF188" s="88"/>
      <c r="AG188" s="72"/>
      <c r="AH188" s="4"/>
      <c r="AI188" s="108"/>
      <c r="AJ188" s="113"/>
      <c r="AK188" s="108"/>
      <c r="AL188" s="108"/>
      <c r="AM188" s="108"/>
      <c r="AN188" s="108"/>
      <c r="AO188" s="108"/>
      <c r="AP188" s="108"/>
      <c r="AQ188" s="72"/>
      <c r="AR188" s="110"/>
      <c r="AS188" s="72"/>
      <c r="AT188" s="72"/>
      <c r="AU188" s="4"/>
      <c r="AV188" s="98">
        <v>300</v>
      </c>
      <c r="AW188" s="98">
        <f>30*60</f>
        <v>1800</v>
      </c>
      <c r="AX188" s="98">
        <f>2*3600</f>
        <v>7200</v>
      </c>
      <c r="AY188" s="98">
        <f>24*3600</f>
        <v>86400</v>
      </c>
      <c r="AZ188" s="43"/>
      <c r="BA188" s="53"/>
      <c r="BB188" s="53"/>
      <c r="BC188" s="53"/>
      <c r="BD188" s="53"/>
      <c r="BE188" s="53"/>
      <c r="BF188" s="53"/>
      <c r="BG188" s="53"/>
      <c r="BH188" s="53"/>
      <c r="BI188" s="53"/>
      <c r="BJ188" s="53"/>
      <c r="BK188" s="53"/>
      <c r="BL188" s="53"/>
      <c r="BM188" s="53"/>
      <c r="BN188" s="53"/>
      <c r="BO188" s="53"/>
      <c r="BP188" s="53"/>
      <c r="BQ188" s="53"/>
      <c r="BR188" s="53"/>
      <c r="BS188" s="53"/>
      <c r="BT188" s="53"/>
      <c r="BU188" s="53"/>
      <c r="BV188" s="53"/>
      <c r="BW188" s="53"/>
      <c r="BX188" s="53"/>
      <c r="BY188" s="53"/>
      <c r="BZ188" s="53"/>
      <c r="CA188" s="53"/>
      <c r="CB188" s="53"/>
      <c r="CC188" s="53"/>
      <c r="CD188" s="53"/>
      <c r="CE188" s="53"/>
      <c r="CF188" s="53"/>
      <c r="CG188" s="53"/>
      <c r="CH188" s="53"/>
      <c r="CI188" s="53"/>
      <c r="CJ188" s="53"/>
      <c r="CK188" s="53"/>
      <c r="CL188" s="53"/>
      <c r="CM188" s="53"/>
      <c r="CN188" s="53"/>
      <c r="CO188" s="53"/>
      <c r="CP188" s="53"/>
      <c r="CQ188" s="53"/>
      <c r="CR188" s="1"/>
      <c r="CS188" s="1"/>
      <c r="CT188" s="1"/>
      <c r="CU188" s="1"/>
    </row>
    <row r="189" spans="1:99" s="13" customFormat="1" ht="12" customHeight="1" x14ac:dyDescent="0.2">
      <c r="A189" s="68">
        <v>43906</v>
      </c>
      <c r="B189" s="70" t="s">
        <v>272</v>
      </c>
      <c r="C189" s="70" t="s">
        <v>495</v>
      </c>
      <c r="D189" s="69">
        <v>1996</v>
      </c>
      <c r="E189" s="87">
        <v>2</v>
      </c>
      <c r="F189" s="69">
        <v>543</v>
      </c>
      <c r="G189" s="69">
        <v>45.3</v>
      </c>
      <c r="H189" s="69" t="s">
        <v>38</v>
      </c>
      <c r="I189" s="69" t="s">
        <v>496</v>
      </c>
      <c r="J189" s="69" t="s">
        <v>328</v>
      </c>
      <c r="K189" s="69">
        <f>IF(J189="syllables",1,IF(J189="trigrams",2,IF(J189="strings",3,IF(J189="visual array",4,IF(J189="characters",5,IF(J189="letters",6,IF(J189="free forms",7,IF(J189="odors",8,IF(J189="words",9,IF(J189="pictures",10,IF(J189="object pictures",11,IF(J189="faces",12,IF(J189="names",13,IF(J189="idioms",14,IF(J189="grades",15,IF(J189="syllable-digit pairs",16,IF(J189="trigram-word pairs",17,IF(J189="word-digit pairs",18,IF(J189="English-Swahili pairs",19,IF(J189="spatial position",20,IF(J189="word pairs",21,IF(J189="word triads",22,IF(J189="generated words",23,IF(J189="word definition pairs",24,IF(J189="math problems",25,IF(J189="famous faces",26,IF(J189="famous names",27,IF(J189="famous voices",28,IF(J189="television programs",29,IF(J189="race horses",30,IF(J189="new vocabulary",31,IF(J189="sentences",32,IF(J189="concepts",33,IF(J189="ad slides",34,IF(J189="scenes",35,IF(J189="famous scenes",36,IF(J189="poems",37,IF(J189="walk",38,IF(J189="faces and events",39,IF(J189="events and names",40,IF(J189="flashbulb",41,IF(J189="stories",42,IF(J189="course material",43,IF(J189="autobiographical",44,IF(J189="novels",45,IF(J189="public events",46,"99"))))))))))))))))))))))))))))))))))))))))))))))</f>
        <v>12</v>
      </c>
      <c r="L189" s="69">
        <f>IF(J189="syllables",1,IF(J189="trigrams",1,IF(J189="strings",1,IF(J189="visual array",1,IF(J189="characters",1,IF(J189="letters",1,IF(J189="free forms",1,IF(J189="odors",2,IF(J189="words",2,IF(J189="pictures",2,IF(J189="object pictures",2,IF(J189="faces",2,IF(J189="names",2,IF(J189="idioms","2",IF(J189="grades",2,IF(J189="syllable-digit pairs",3,IF(J189="trigram-word pairs",3,IF(J189="word-digit pairs",3,IF(J189="English-Swahili pairs",3,IF(J189="spatial position",3,IF(J189="word pairs",4,IF(J189="word triads",4,IF(J189="generated words",4,IF(J189="word definition pairs",4,IF(J189="math problems",4,IF(J189="famous faces",4,IF(J189="famous names",4,IF(J189="famous voices",4,IF(J189="television programs",4,IF(J189="race horses",4,IF(J189="new vocabulary",4,IF(J189="sentences",5,IF(J189="concepts",5,IF(J189="ad slides",5,IF(J189="scenes",5,IF(J189="famous scenes",5,IF(J189="poems",6,IF(J189="walk",6,IF(J189="faces and events",6,IF(J189="events and names",6,IF(J189="flashbulb",7,IF(J189="stories",7,IF(J189="course material",7,IF(J189="autobiographical",7,IF(J189="novels",7,IF(J189="public events",7,"99"))))))))))))))))))))))))))))))))))))))))))))))</f>
        <v>2</v>
      </c>
      <c r="M189" s="69">
        <v>0</v>
      </c>
      <c r="N189" s="69">
        <v>1</v>
      </c>
      <c r="O189" s="69">
        <v>0</v>
      </c>
      <c r="P189" s="69"/>
      <c r="Q189" s="69" t="s">
        <v>34</v>
      </c>
      <c r="R189" s="69">
        <f>IF(Q189="Free Recall",1,IF(Q189="Cued Recall",2,IF(Q189="Recognition",3,IF(Q189="Multiple Choice",4,IF(Q189="Savings",5,IF(Q189="Stem Completion",6,IF(Q189="Fragment Completion",7,IF(Q189="anagram solution",8,IF(Q189="Matching",9,IF(Q189="Problem Solving",10,"99"))))))))))</f>
        <v>3</v>
      </c>
      <c r="S189" s="92" t="s">
        <v>15</v>
      </c>
      <c r="T189" s="69" t="s">
        <v>261</v>
      </c>
      <c r="U189" s="60">
        <f>IF(T189="within",1,0)</f>
        <v>0</v>
      </c>
      <c r="V189" s="69">
        <v>2</v>
      </c>
      <c r="W189" s="69">
        <f>F189*V189</f>
        <v>1086</v>
      </c>
      <c r="X189" s="69">
        <v>4</v>
      </c>
      <c r="Y189" s="87">
        <f>AV188</f>
        <v>300</v>
      </c>
      <c r="Z189" s="69" t="s">
        <v>449</v>
      </c>
      <c r="AA189" s="69">
        <f>24*3600</f>
        <v>86400</v>
      </c>
      <c r="AB189" s="69" t="str">
        <f>IF(AA189&lt;60,"1",IF(AA189&lt;=43200,"2",IF(AA189&lt;=777600,"3","4")))</f>
        <v>3</v>
      </c>
      <c r="AC189" s="72">
        <f t="shared" ref="AC189" si="15">AVERAGE(AV188:DA188)</f>
        <v>23925</v>
      </c>
      <c r="AD189" s="69" t="str">
        <f>IF(AC189&lt;60,"1",IF(AC189&lt;=43200,"2",IF(AC189&lt;=777600,"3","4")))</f>
        <v>2</v>
      </c>
      <c r="AE189" s="87">
        <f>AA189-Y189</f>
        <v>86100</v>
      </c>
      <c r="AF189" s="88">
        <f>AV189</f>
        <v>0.78875000000000006</v>
      </c>
      <c r="AG189" s="72">
        <f>((AW189-AV189)+(AX189-AW189)+(AY189-AX189))/3</f>
        <v>-1.4166666666666697E-2</v>
      </c>
      <c r="AH189" s="4"/>
      <c r="AI189" s="72">
        <f>RSQ(AV189:AY189,AV188:AY188)</f>
        <v>0.14941824229626929</v>
      </c>
      <c r="AJ189" s="110">
        <f>SLOPE(AV189:AY189,AV188:AY188)</f>
        <v>-4.1070345468389115E-7</v>
      </c>
      <c r="AK189" s="72">
        <f>INTERCEPT(AV189:AY189,AV188:AY188)</f>
        <v>0.77795108015331205</v>
      </c>
      <c r="AL189" s="72">
        <f>INDEX(LINEST(LN(AV189:AY189),LN(AV188:AY188),TRUE,TRUE),3,1)</f>
        <v>0.35604730297662363</v>
      </c>
      <c r="AM189" s="72">
        <f>INDEX(LINEST(LN(AV189:AY189),LN(AV188:AY188)),1)</f>
        <v>-1.4436401050226736E-2</v>
      </c>
      <c r="AN189" s="72">
        <f>EXP(INDEX(LINEST(LN(AV189:AY189),LN(AV188:AY188)),1,2))</f>
        <v>0.86559527752524978</v>
      </c>
      <c r="AO189" s="89">
        <f>INDEX(LINEST((AV189:AY189),LN(AV188:AY188),TRUE,TRUE),3,1)</f>
        <v>0.35752878941291955</v>
      </c>
      <c r="AP189" s="89">
        <f>INDEX(LINEST((AV189:AY189),LN(AV188:AY188)),1)</f>
        <v>-1.1106012501858688E-2</v>
      </c>
      <c r="AQ189" s="90">
        <f>INDEX(LINEST(LN(AV189:AY189),SQRT(AV188:AY188),TRUE,TRUE),3,1)</f>
        <v>0.22732285665715601</v>
      </c>
      <c r="AR189" s="117">
        <f>INDEX(LINEST(LN(AV189:AY189),SQRT((AV188:AY188))),1)</f>
        <v>-2.1868712316576216E-4</v>
      </c>
      <c r="AS189" s="91">
        <f>INDEX(LINEST(1/(AV189:AY189),1/(SQRT(AV188:AY188)),TRUE,TRUE),3,1)</f>
        <v>0.30712805959302242</v>
      </c>
      <c r="AT189" s="91">
        <f>INDEX(LINEST(1/(AV189:AY189),1/SQRT(AV188:AY188)),1)</f>
        <v>-1.749133393983797</v>
      </c>
      <c r="AU189" s="3"/>
      <c r="AV189" s="73">
        <v>0.78875000000000006</v>
      </c>
      <c r="AW189" s="73">
        <v>0.81874999999999998</v>
      </c>
      <c r="AX189" s="73">
        <v>0.71875</v>
      </c>
      <c r="AY189" s="73">
        <v>0.74624999999999997</v>
      </c>
      <c r="AZ189" s="43"/>
      <c r="BA189" s="53"/>
      <c r="BB189" s="53"/>
      <c r="BC189" s="53"/>
      <c r="BD189" s="53"/>
      <c r="BE189" s="53"/>
      <c r="BF189" s="53"/>
      <c r="BG189" s="53"/>
      <c r="BH189" s="53"/>
      <c r="BI189" s="53"/>
      <c r="BJ189" s="53"/>
      <c r="BK189" s="53"/>
      <c r="BL189" s="53"/>
      <c r="BM189" s="53"/>
      <c r="BN189" s="53"/>
      <c r="BO189" s="53"/>
      <c r="BP189" s="53"/>
      <c r="BQ189" s="53"/>
      <c r="BR189" s="53"/>
      <c r="BS189" s="53"/>
      <c r="BT189" s="53"/>
      <c r="BU189" s="53"/>
      <c r="BV189" s="53"/>
      <c r="BW189" s="53"/>
      <c r="BX189" s="53"/>
      <c r="BY189" s="53"/>
      <c r="BZ189" s="53"/>
      <c r="CA189" s="53"/>
      <c r="CB189" s="53"/>
      <c r="CC189" s="53"/>
      <c r="CD189" s="53"/>
      <c r="CE189" s="53"/>
      <c r="CF189" s="53"/>
      <c r="CG189" s="53"/>
      <c r="CH189" s="53"/>
      <c r="CI189" s="53"/>
      <c r="CJ189" s="53"/>
      <c r="CK189" s="53"/>
      <c r="CL189" s="53"/>
      <c r="CM189" s="53"/>
      <c r="CN189" s="53"/>
      <c r="CO189" s="53"/>
      <c r="CP189" s="53"/>
      <c r="CQ189" s="53"/>
      <c r="CR189" s="1"/>
      <c r="CS189" s="1"/>
      <c r="CT189" s="1"/>
      <c r="CU189" s="1"/>
    </row>
    <row r="190" spans="1:99" s="13" customFormat="1" ht="12" customHeight="1" x14ac:dyDescent="0.2">
      <c r="A190" s="68">
        <v>43906</v>
      </c>
      <c r="B190" s="94"/>
      <c r="C190" s="94"/>
      <c r="D190" s="92"/>
      <c r="E190" s="87"/>
      <c r="F190" s="92"/>
      <c r="G190" s="92"/>
      <c r="H190" s="92"/>
      <c r="I190" s="69"/>
      <c r="J190" s="92"/>
      <c r="K190" s="107"/>
      <c r="L190" s="107"/>
      <c r="M190" s="92"/>
      <c r="N190" s="86"/>
      <c r="O190" s="92"/>
      <c r="P190" s="92"/>
      <c r="Q190" s="92"/>
      <c r="R190" s="69"/>
      <c r="S190" s="92"/>
      <c r="T190" s="92"/>
      <c r="U190" s="60"/>
      <c r="V190" s="92"/>
      <c r="W190" s="69"/>
      <c r="X190" s="92"/>
      <c r="Y190" s="87"/>
      <c r="Z190" s="92"/>
      <c r="AA190" s="92"/>
      <c r="AB190" s="69"/>
      <c r="AC190" s="69"/>
      <c r="AD190" s="69"/>
      <c r="AE190" s="69"/>
      <c r="AF190" s="88"/>
      <c r="AG190" s="72"/>
      <c r="AH190" s="4"/>
      <c r="AI190" s="108"/>
      <c r="AJ190" s="113"/>
      <c r="AK190" s="108"/>
      <c r="AL190" s="108"/>
      <c r="AM190" s="108"/>
      <c r="AN190" s="108"/>
      <c r="AO190" s="108"/>
      <c r="AP190" s="108"/>
      <c r="AQ190" s="72"/>
      <c r="AR190" s="110"/>
      <c r="AS190" s="72"/>
      <c r="AT190" s="72"/>
      <c r="AU190" s="4"/>
      <c r="AV190" s="98">
        <v>300</v>
      </c>
      <c r="AW190" s="98">
        <f>30*60</f>
        <v>1800</v>
      </c>
      <c r="AX190" s="98">
        <f>2*3600</f>
        <v>7200</v>
      </c>
      <c r="AY190" s="98">
        <f>24*3600</f>
        <v>86400</v>
      </c>
      <c r="AZ190" s="43"/>
      <c r="BA190" s="53"/>
      <c r="BB190" s="53"/>
      <c r="BC190" s="53"/>
      <c r="BD190" s="53"/>
      <c r="BE190" s="53"/>
      <c r="BF190" s="53"/>
      <c r="BG190" s="53"/>
      <c r="BH190" s="53"/>
      <c r="BI190" s="53"/>
      <c r="BJ190" s="53"/>
      <c r="BK190" s="53"/>
      <c r="BL190" s="53"/>
      <c r="BM190" s="53"/>
      <c r="BN190" s="53"/>
      <c r="BO190" s="53"/>
      <c r="BP190" s="53"/>
      <c r="BQ190" s="53"/>
      <c r="BR190" s="53"/>
      <c r="BS190" s="53"/>
      <c r="BT190" s="53"/>
      <c r="BU190" s="53"/>
      <c r="BV190" s="53"/>
      <c r="BW190" s="53"/>
      <c r="BX190" s="53"/>
      <c r="BY190" s="53"/>
      <c r="BZ190" s="53"/>
      <c r="CA190" s="53"/>
      <c r="CB190" s="53"/>
      <c r="CC190" s="53"/>
      <c r="CD190" s="53"/>
      <c r="CE190" s="53"/>
      <c r="CF190" s="53"/>
      <c r="CG190" s="53"/>
      <c r="CH190" s="53"/>
      <c r="CI190" s="53"/>
      <c r="CJ190" s="53"/>
      <c r="CK190" s="53"/>
      <c r="CL190" s="53"/>
      <c r="CM190" s="53"/>
      <c r="CN190" s="53"/>
      <c r="CO190" s="53"/>
      <c r="CP190" s="53"/>
      <c r="CQ190" s="53"/>
      <c r="CR190" s="1"/>
      <c r="CS190" s="1"/>
      <c r="CT190" s="1"/>
      <c r="CU190" s="1"/>
    </row>
    <row r="191" spans="1:99" s="13" customFormat="1" ht="12" customHeight="1" x14ac:dyDescent="0.2">
      <c r="A191" s="68">
        <v>43906</v>
      </c>
      <c r="B191" s="70" t="s">
        <v>272</v>
      </c>
      <c r="C191" s="70" t="s">
        <v>495</v>
      </c>
      <c r="D191" s="69">
        <v>1996</v>
      </c>
      <c r="E191" s="87">
        <v>2</v>
      </c>
      <c r="F191" s="69">
        <v>511</v>
      </c>
      <c r="G191" s="69">
        <v>42.6</v>
      </c>
      <c r="H191" s="69" t="s">
        <v>38</v>
      </c>
      <c r="I191" s="69" t="s">
        <v>497</v>
      </c>
      <c r="J191" s="69" t="s">
        <v>328</v>
      </c>
      <c r="K191" s="69">
        <f>IF(J191="syllables",1,IF(J191="trigrams",2,IF(J191="strings",3,IF(J191="visual array",4,IF(J191="characters",5,IF(J191="letters",6,IF(J191="free forms",7,IF(J191="odors",8,IF(J191="words",9,IF(J191="pictures",10,IF(J191="object pictures",11,IF(J191="faces",12,IF(J191="names",13,IF(J191="idioms",14,IF(J191="grades",15,IF(J191="syllable-digit pairs",16,IF(J191="trigram-word pairs",17,IF(J191="word-digit pairs",18,IF(J191="English-Swahili pairs",19,IF(J191="spatial position",20,IF(J191="word pairs",21,IF(J191="word triads",22,IF(J191="generated words",23,IF(J191="word definition pairs",24,IF(J191="math problems",25,IF(J191="famous faces",26,IF(J191="famous names",27,IF(J191="famous voices",28,IF(J191="television programs",29,IF(J191="race horses",30,IF(J191="new vocabulary",31,IF(J191="sentences",32,IF(J191="concepts",33,IF(J191="ad slides",34,IF(J191="scenes",35,IF(J191="famous scenes",36,IF(J191="poems",37,IF(J191="walk",38,IF(J191="faces and events",39,IF(J191="events and names",40,IF(J191="flashbulb",41,IF(J191="stories",42,IF(J191="course material",43,IF(J191="autobiographical",44,IF(J191="novels",45,IF(J191="public events",46,"99"))))))))))))))))))))))))))))))))))))))))))))))</f>
        <v>12</v>
      </c>
      <c r="L191" s="69">
        <f>IF(J191="syllables",1,IF(J191="trigrams",1,IF(J191="strings",1,IF(J191="visual array",1,IF(J191="characters",1,IF(J191="letters",1,IF(J191="free forms",1,IF(J191="odors",2,IF(J191="words",2,IF(J191="pictures",2,IF(J191="object pictures",2,IF(J191="faces",2,IF(J191="names",2,IF(J191="idioms","2",IF(J191="grades",2,IF(J191="syllable-digit pairs",3,IF(J191="trigram-word pairs",3,IF(J191="word-digit pairs",3,IF(J191="English-Swahili pairs",3,IF(J191="spatial position",3,IF(J191="word pairs",4,IF(J191="word triads",4,IF(J191="generated words",4,IF(J191="word definition pairs",4,IF(J191="math problems",4,IF(J191="famous faces",4,IF(J191="famous names",4,IF(J191="famous voices",4,IF(J191="television programs",4,IF(J191="race horses",4,IF(J191="new vocabulary",4,IF(J191="sentences",5,IF(J191="concepts",5,IF(J191="ad slides",5,IF(J191="scenes",5,IF(J191="famous scenes",5,IF(J191="poems",6,IF(J191="walk",6,IF(J191="faces and events",6,IF(J191="events and names",6,IF(J191="flashbulb",7,IF(J191="stories",7,IF(J191="course material",7,IF(J191="autobiographical",7,IF(J191="novels",7,IF(J191="public events",7,"99"))))))))))))))))))))))))))))))))))))))))))))))</f>
        <v>2</v>
      </c>
      <c r="M191" s="69">
        <v>0</v>
      </c>
      <c r="N191" s="86">
        <v>1</v>
      </c>
      <c r="O191" s="69">
        <v>0</v>
      </c>
      <c r="P191" s="69"/>
      <c r="Q191" s="69" t="s">
        <v>34</v>
      </c>
      <c r="R191" s="69">
        <f>IF(Q191="Free Recall",1,IF(Q191="Cued Recall",2,IF(Q191="Recognition",3,IF(Q191="Multiple Choice",4,IF(Q191="Savings",5,IF(Q191="Stem Completion",6,IF(Q191="Fragment Completion",7,IF(Q191="anagram solution",8,IF(Q191="Matching",9,IF(Q191="Problem Solving",10,"99"))))))))))</f>
        <v>3</v>
      </c>
      <c r="S191" s="92" t="s">
        <v>15</v>
      </c>
      <c r="T191" s="69" t="s">
        <v>261</v>
      </c>
      <c r="U191" s="60">
        <f>IF(T191="within",1,0)</f>
        <v>0</v>
      </c>
      <c r="V191" s="69">
        <v>2</v>
      </c>
      <c r="W191" s="69">
        <f>F191*V191</f>
        <v>1022</v>
      </c>
      <c r="X191" s="69">
        <v>4</v>
      </c>
      <c r="Y191" s="87">
        <f>AV190</f>
        <v>300</v>
      </c>
      <c r="Z191" s="69" t="s">
        <v>449</v>
      </c>
      <c r="AA191" s="69">
        <f>24*3600</f>
        <v>86400</v>
      </c>
      <c r="AB191" s="69" t="str">
        <f>IF(AA191&lt;60,"1",IF(AA191&lt;=43200,"2",IF(AA191&lt;=777600,"3","4")))</f>
        <v>3</v>
      </c>
      <c r="AC191" s="72">
        <f t="shared" ref="AC191" si="16">AVERAGE(AV190:DA190)</f>
        <v>23925</v>
      </c>
      <c r="AD191" s="69" t="str">
        <f>IF(AC191&lt;60,"1",IF(AC191&lt;=43200,"2",IF(AC191&lt;=777600,"3","4")))</f>
        <v>2</v>
      </c>
      <c r="AE191" s="87">
        <f>AA191-Y191</f>
        <v>86100</v>
      </c>
      <c r="AF191" s="88">
        <f>AV191</f>
        <v>0.86499999999999999</v>
      </c>
      <c r="AG191" s="72">
        <f>((AW191-AV191)+(AX191-AW191)+(AY191-AX191))/3</f>
        <v>-2.5000000000000022E-2</v>
      </c>
      <c r="AH191" s="4"/>
      <c r="AI191" s="72">
        <f>RSQ(AV191:AY191,AV190:AY190)</f>
        <v>8.1870171432205652E-2</v>
      </c>
      <c r="AJ191" s="110">
        <f>SLOPE(AV191:AY191,AV190:AY190)</f>
        <v>-2.8213681941953135E-7</v>
      </c>
      <c r="AK191" s="72">
        <f>INTERCEPT(AV191:AY191,AV190:AY190)</f>
        <v>0.81268762340461231</v>
      </c>
      <c r="AL191" s="72">
        <f>INDEX(LINEST(LN(AV191:AY191),LN(AV190:AY190),TRUE,TRUE),3,1)</f>
        <v>0.35119386846453032</v>
      </c>
      <c r="AM191" s="72">
        <f>INDEX(LINEST(LN(AV191:AY191),LN(AV190:AY190)),1)</f>
        <v>-1.2453287522516739E-2</v>
      </c>
      <c r="AN191" s="72">
        <f>EXP(INDEX(LINEST(LN(AV191:AY191),LN(AV190:AY190)),1,2))</f>
        <v>0.89353395276638314</v>
      </c>
      <c r="AO191" s="89">
        <f>INDEX(LINEST((AV191:AY191),LN(AV190:AY190),TRUE,TRUE),3,1)</f>
        <v>0.36191289934471482</v>
      </c>
      <c r="AP191" s="89">
        <f>INDEX(LINEST((AV191:AY191),LN(AV190:AY190)),1)</f>
        <v>-1.0369911547204225E-2</v>
      </c>
      <c r="AQ191" s="90">
        <f>INDEX(LINEST(LN(AV191:AY191),SQRT(AV190:AY190),TRUE,TRUE),3,1)</f>
        <v>0.13312896805095162</v>
      </c>
      <c r="AR191" s="117">
        <f>INDEX(LINEST(LN(AV191:AY191),SQRT((AV190:AY190))),1)</f>
        <v>-1.453594952621987E-4</v>
      </c>
      <c r="AS191" s="91">
        <f>INDEX(LINEST(1/(AV191:AY191),1/(SQRT(AV190:AY190)),TRUE,TRUE),3,1)</f>
        <v>0.6487473821267643</v>
      </c>
      <c r="AT191" s="91">
        <f>INDEX(LINEST(1/(AV191:AY191),1/SQRT(AV190:AY190)),1)</f>
        <v>-2.0659047610771841</v>
      </c>
      <c r="AU191" s="3"/>
      <c r="AV191" s="73">
        <v>0.86499999999999999</v>
      </c>
      <c r="AW191" s="73">
        <v>0.77</v>
      </c>
      <c r="AX191" s="73">
        <v>0.79874999999999996</v>
      </c>
      <c r="AY191" s="73">
        <v>0.78999999999999992</v>
      </c>
      <c r="AZ191" s="43"/>
      <c r="BA191" s="53"/>
      <c r="BB191" s="53"/>
      <c r="BC191" s="53"/>
      <c r="BD191" s="53"/>
      <c r="BE191" s="53"/>
      <c r="BF191" s="53"/>
      <c r="BG191" s="53"/>
      <c r="BH191" s="53"/>
      <c r="BI191" s="53"/>
      <c r="BJ191" s="53"/>
      <c r="BK191" s="53"/>
      <c r="BL191" s="53"/>
      <c r="BM191" s="53"/>
      <c r="BN191" s="53"/>
      <c r="BO191" s="53"/>
      <c r="BP191" s="53"/>
      <c r="BQ191" s="53"/>
      <c r="BR191" s="53"/>
      <c r="BS191" s="53"/>
      <c r="BT191" s="53"/>
      <c r="BU191" s="53"/>
      <c r="BV191" s="53"/>
      <c r="BW191" s="53"/>
      <c r="BX191" s="53"/>
      <c r="BY191" s="53"/>
      <c r="BZ191" s="53"/>
      <c r="CA191" s="53"/>
      <c r="CB191" s="53"/>
      <c r="CC191" s="53"/>
      <c r="CD191" s="53"/>
      <c r="CE191" s="53"/>
      <c r="CF191" s="53"/>
      <c r="CG191" s="53"/>
      <c r="CH191" s="53"/>
      <c r="CI191" s="53"/>
      <c r="CJ191" s="53"/>
      <c r="CK191" s="53"/>
      <c r="CL191" s="53"/>
      <c r="CM191" s="53"/>
      <c r="CN191" s="53"/>
      <c r="CO191" s="53"/>
      <c r="CP191" s="53"/>
      <c r="CQ191" s="53"/>
      <c r="CR191" s="1"/>
      <c r="CS191" s="1"/>
      <c r="CT191" s="1"/>
      <c r="CU191" s="1"/>
    </row>
    <row r="192" spans="1:99" ht="12" customHeight="1" x14ac:dyDescent="0.2">
      <c r="R192" s="60"/>
      <c r="U192" s="60"/>
      <c r="W192" s="60"/>
      <c r="Y192" s="76"/>
      <c r="AB192" s="60"/>
      <c r="AD192" s="60"/>
      <c r="AE192" s="60"/>
      <c r="AF192" s="80"/>
    </row>
    <row r="193" spans="11:39" ht="12" customHeight="1" x14ac:dyDescent="0.2">
      <c r="K193" s="60"/>
      <c r="R193" s="60"/>
      <c r="U193" s="60"/>
      <c r="Y193" s="64"/>
      <c r="AB193" s="60"/>
      <c r="AD193" s="60"/>
      <c r="AE193" s="77"/>
      <c r="AF193" s="57"/>
      <c r="AL193" s="167" t="s">
        <v>695</v>
      </c>
      <c r="AM193" s="57">
        <f>AVERAGE(AM3:AM191)</f>
        <v>-6.2061209583553302E-2</v>
      </c>
    </row>
    <row r="194" spans="11:39" ht="12" customHeight="1" x14ac:dyDescent="0.2">
      <c r="R194" s="60"/>
      <c r="Y194" s="64"/>
      <c r="AB194" s="60"/>
      <c r="AD194" s="60"/>
      <c r="AF194" s="64"/>
      <c r="AG194" s="64"/>
      <c r="AL194" s="45" t="s">
        <v>1026</v>
      </c>
      <c r="AM194" s="57">
        <f>MEDIAN(AM3:AM191)</f>
        <v>-4.3146716772468507E-2</v>
      </c>
    </row>
    <row r="195" spans="11:39" ht="12" customHeight="1" x14ac:dyDescent="0.2">
      <c r="K195" s="60"/>
      <c r="R195" s="60"/>
      <c r="Y195" s="64"/>
      <c r="AB195" s="60"/>
      <c r="AD195" s="60"/>
      <c r="AF195" s="64"/>
      <c r="AG195" s="64"/>
      <c r="AL195" s="167" t="s">
        <v>918</v>
      </c>
      <c r="AM195" s="57">
        <f>MIN(AM3:AM191)</f>
        <v>-0.23313064757059063</v>
      </c>
    </row>
    <row r="196" spans="11:39" ht="12" customHeight="1" x14ac:dyDescent="0.2">
      <c r="R196" s="60"/>
      <c r="Y196" s="64"/>
      <c r="AB196" s="60"/>
      <c r="AD196" s="60"/>
      <c r="AF196" s="57"/>
      <c r="AL196" s="167" t="s">
        <v>917</v>
      </c>
      <c r="AM196" s="57">
        <f>MAX(AM3:AM191)</f>
        <v>-4.1988415964167311E-3</v>
      </c>
    </row>
    <row r="197" spans="11:39" ht="12" customHeight="1" x14ac:dyDescent="0.2">
      <c r="K197" s="60"/>
      <c r="R197" s="60"/>
      <c r="Y197" s="64"/>
      <c r="AB197" s="60"/>
      <c r="AD197" s="60"/>
      <c r="AF197" s="64"/>
      <c r="AG197" s="64"/>
      <c r="AL197" s="167" t="s">
        <v>919</v>
      </c>
      <c r="AM197" s="64">
        <f xml:space="preserve"> STDEV(AM3:AM191)</f>
        <v>5.4340831237373405E-2</v>
      </c>
    </row>
    <row r="198" spans="11:39" ht="12" customHeight="1" x14ac:dyDescent="0.2">
      <c r="R198" s="60"/>
      <c r="W198" s="60"/>
      <c r="Y198" s="76"/>
      <c r="AB198" s="60"/>
      <c r="AD198" s="60"/>
      <c r="AE198" s="60"/>
      <c r="AF198" s="80"/>
      <c r="AL198" s="45" t="s">
        <v>1025</v>
      </c>
      <c r="AM198" s="64">
        <f xml:space="preserve"> STDEV(AM3:AM191)/SQRT(COUNT(AM3:AM191))</f>
        <v>5.6048287877590447E-3</v>
      </c>
    </row>
    <row r="199" spans="11:39" ht="12" customHeight="1" x14ac:dyDescent="0.2">
      <c r="K199" s="60"/>
      <c r="R199" s="60"/>
      <c r="W199" s="60"/>
      <c r="Y199" s="76"/>
      <c r="AB199" s="60"/>
      <c r="AD199" s="60"/>
      <c r="AE199" s="76"/>
      <c r="AF199" s="80"/>
      <c r="AL199" s="168"/>
      <c r="AM199" s="169"/>
    </row>
    <row r="200" spans="11:39" ht="12" customHeight="1" x14ac:dyDescent="0.2">
      <c r="R200" s="60"/>
      <c r="W200" s="60"/>
      <c r="Y200" s="76"/>
      <c r="AB200" s="60"/>
      <c r="AD200" s="60"/>
      <c r="AE200" s="60"/>
      <c r="AF200" s="80"/>
      <c r="AL200" s="168" t="s">
        <v>132</v>
      </c>
      <c r="AM200" s="169">
        <f>AM193-(3*AM197)</f>
        <v>-0.22508370329567351</v>
      </c>
    </row>
    <row r="201" spans="11:39" ht="12" customHeight="1" x14ac:dyDescent="0.2">
      <c r="K201" s="60"/>
      <c r="L201" s="60"/>
      <c r="R201" s="60"/>
      <c r="W201" s="60"/>
      <c r="Y201" s="76"/>
      <c r="AB201" s="60"/>
      <c r="AE201" s="76"/>
      <c r="AF201" s="80"/>
      <c r="AL201" s="168" t="s">
        <v>130</v>
      </c>
      <c r="AM201" s="169">
        <f>AM193+(3*AM197)</f>
        <v>0.10096128412856692</v>
      </c>
    </row>
    <row r="202" spans="11:39" ht="12" customHeight="1" x14ac:dyDescent="0.2">
      <c r="R202" s="60"/>
      <c r="W202" s="60"/>
      <c r="Y202" s="76"/>
      <c r="AB202" s="60"/>
      <c r="AE202" s="60"/>
      <c r="AF202" s="80"/>
    </row>
    <row r="203" spans="11:39" ht="12" customHeight="1" x14ac:dyDescent="0.2">
      <c r="K203" s="60"/>
      <c r="L203" s="60"/>
      <c r="R203" s="60"/>
      <c r="W203" s="60"/>
      <c r="Y203" s="76"/>
      <c r="AB203" s="60"/>
      <c r="AE203" s="76"/>
      <c r="AF203" s="80"/>
    </row>
    <row r="204" spans="11:39" ht="12" customHeight="1" x14ac:dyDescent="0.2">
      <c r="R204" s="60"/>
      <c r="W204" s="60"/>
      <c r="Y204" s="76"/>
      <c r="AB204" s="60"/>
      <c r="AE204" s="60"/>
      <c r="AF204" s="80"/>
      <c r="AM204" s="72">
        <f>INDEX(LINEST(LN(AV109:AZ109),LN(AV108:AZ108)),1)</f>
        <v>-0.58855774879787159</v>
      </c>
    </row>
    <row r="205" spans="11:39" ht="12" customHeight="1" x14ac:dyDescent="0.2">
      <c r="K205" s="60"/>
      <c r="L205" s="60"/>
      <c r="R205" s="60"/>
      <c r="W205" s="60"/>
      <c r="Y205" s="76"/>
      <c r="AB205" s="60"/>
      <c r="AE205" s="76"/>
      <c r="AF205" s="80"/>
    </row>
    <row r="206" spans="11:39" ht="12" customHeight="1" x14ac:dyDescent="0.2">
      <c r="R206" s="60"/>
      <c r="W206" s="60"/>
      <c r="Y206" s="76"/>
      <c r="AB206" s="60"/>
      <c r="AE206" s="60"/>
      <c r="AF206" s="80"/>
    </row>
    <row r="207" spans="11:39" ht="12" customHeight="1" x14ac:dyDescent="0.2">
      <c r="K207" s="60"/>
      <c r="L207" s="60"/>
      <c r="R207" s="60"/>
      <c r="W207" s="60"/>
      <c r="Y207" s="76"/>
      <c r="AB207" s="60"/>
      <c r="AE207" s="76"/>
      <c r="AF207" s="80"/>
    </row>
    <row r="208" spans="11:39" ht="12" customHeight="1" x14ac:dyDescent="0.2">
      <c r="R208" s="60"/>
      <c r="W208" s="60"/>
      <c r="Y208" s="76"/>
      <c r="AB208" s="60"/>
      <c r="AE208" s="60"/>
      <c r="AF208" s="80"/>
    </row>
    <row r="209" spans="11:32" ht="12" customHeight="1" x14ac:dyDescent="0.2">
      <c r="K209" s="60"/>
      <c r="L209" s="60"/>
      <c r="R209" s="60"/>
      <c r="W209" s="60"/>
      <c r="Y209" s="76"/>
      <c r="AB209" s="60"/>
      <c r="AE209" s="76"/>
      <c r="AF209" s="80"/>
    </row>
    <row r="210" spans="11:32" ht="12" customHeight="1" x14ac:dyDescent="0.2">
      <c r="R210" s="60"/>
      <c r="W210" s="60"/>
      <c r="Y210" s="76"/>
      <c r="AB210" s="60"/>
      <c r="AE210" s="60"/>
      <c r="AF210" s="80"/>
    </row>
    <row r="211" spans="11:32" ht="12" customHeight="1" x14ac:dyDescent="0.2">
      <c r="K211" s="60"/>
      <c r="L211" s="60"/>
      <c r="R211" s="60"/>
      <c r="W211" s="60"/>
      <c r="Y211" s="76"/>
      <c r="AB211" s="60"/>
      <c r="AE211" s="76"/>
      <c r="AF211" s="80"/>
    </row>
    <row r="212" spans="11:32" ht="12" customHeight="1" x14ac:dyDescent="0.2">
      <c r="R212" s="60"/>
      <c r="W212" s="60"/>
      <c r="Y212" s="76"/>
      <c r="AB212" s="60"/>
      <c r="AE212" s="60"/>
      <c r="AF212" s="80"/>
    </row>
    <row r="213" spans="11:32" ht="12" customHeight="1" x14ac:dyDescent="0.2">
      <c r="K213" s="60"/>
      <c r="L213" s="60"/>
      <c r="R213" s="60"/>
      <c r="W213" s="60"/>
      <c r="Y213" s="76"/>
      <c r="AB213" s="60"/>
      <c r="AE213" s="76"/>
      <c r="AF213" s="80"/>
    </row>
    <row r="214" spans="11:32" ht="12" customHeight="1" x14ac:dyDescent="0.2">
      <c r="R214" s="60"/>
      <c r="W214" s="60"/>
      <c r="Y214" s="76"/>
      <c r="AB214" s="60"/>
      <c r="AE214" s="60"/>
      <c r="AF214" s="80"/>
    </row>
    <row r="215" spans="11:32" ht="12" customHeight="1" x14ac:dyDescent="0.2">
      <c r="K215" s="60"/>
      <c r="L215" s="60"/>
      <c r="R215" s="60"/>
      <c r="W215" s="60"/>
      <c r="Y215" s="76"/>
      <c r="AB215" s="60"/>
      <c r="AE215" s="76"/>
      <c r="AF215" s="80"/>
    </row>
    <row r="216" spans="11:32" ht="12" customHeight="1" x14ac:dyDescent="0.2">
      <c r="R216" s="60"/>
      <c r="W216" s="60"/>
      <c r="Y216" s="76"/>
      <c r="AB216" s="60"/>
      <c r="AE216" s="60"/>
      <c r="AF216" s="80"/>
    </row>
    <row r="217" spans="11:32" ht="12" customHeight="1" x14ac:dyDescent="0.2">
      <c r="K217" s="60"/>
      <c r="L217" s="60"/>
      <c r="R217" s="60"/>
      <c r="W217" s="60"/>
      <c r="Y217" s="76"/>
      <c r="AB217" s="60"/>
      <c r="AE217" s="76"/>
      <c r="AF217" s="80"/>
    </row>
    <row r="218" spans="11:32" ht="12" customHeight="1" x14ac:dyDescent="0.2">
      <c r="R218" s="60"/>
      <c r="W218" s="60"/>
      <c r="Y218" s="76"/>
      <c r="AB218" s="60"/>
      <c r="AE218" s="60"/>
      <c r="AF218" s="80"/>
    </row>
    <row r="219" spans="11:32" ht="12" customHeight="1" x14ac:dyDescent="0.2">
      <c r="K219" s="60"/>
      <c r="L219" s="60"/>
      <c r="R219" s="60"/>
      <c r="W219" s="60"/>
      <c r="Y219" s="76"/>
      <c r="AB219" s="60"/>
      <c r="AE219" s="76"/>
      <c r="AF219" s="80"/>
    </row>
    <row r="220" spans="11:32" ht="12" customHeight="1" x14ac:dyDescent="0.2">
      <c r="R220" s="60"/>
      <c r="W220" s="60"/>
      <c r="Y220" s="76"/>
      <c r="AB220" s="60"/>
      <c r="AE220" s="60"/>
      <c r="AF220" s="80"/>
    </row>
    <row r="221" spans="11:32" ht="12" customHeight="1" x14ac:dyDescent="0.2">
      <c r="K221" s="60"/>
      <c r="L221" s="60"/>
      <c r="R221" s="60"/>
      <c r="W221" s="60"/>
      <c r="Y221" s="76"/>
      <c r="AB221" s="60"/>
      <c r="AE221" s="76"/>
      <c r="AF221" s="80"/>
    </row>
    <row r="222" spans="11:32" ht="12" customHeight="1" x14ac:dyDescent="0.2">
      <c r="R222" s="60"/>
      <c r="W222" s="60"/>
      <c r="Y222" s="76"/>
      <c r="AB222" s="60"/>
      <c r="AE222" s="60"/>
      <c r="AF222" s="80"/>
    </row>
    <row r="223" spans="11:32" ht="12" customHeight="1" x14ac:dyDescent="0.2">
      <c r="K223" s="60"/>
      <c r="L223" s="60"/>
      <c r="R223" s="60"/>
      <c r="W223" s="60"/>
      <c r="Y223" s="76"/>
      <c r="AB223" s="60"/>
      <c r="AE223" s="76"/>
      <c r="AF223" s="80"/>
    </row>
    <row r="224" spans="11:32" ht="12" customHeight="1" x14ac:dyDescent="0.2">
      <c r="W224" s="60"/>
      <c r="Y224" s="76"/>
      <c r="AB224" s="60"/>
      <c r="AE224" s="60"/>
      <c r="AF224" s="80"/>
    </row>
    <row r="225" spans="11:32" ht="12" customHeight="1" x14ac:dyDescent="0.2">
      <c r="K225" s="60"/>
      <c r="L225" s="60"/>
      <c r="W225" s="60"/>
      <c r="Y225" s="76"/>
      <c r="AE225" s="76"/>
      <c r="AF225" s="80"/>
    </row>
    <row r="226" spans="11:32" ht="12" customHeight="1" x14ac:dyDescent="0.2">
      <c r="W226" s="60"/>
      <c r="Y226" s="76"/>
      <c r="AE226" s="60"/>
      <c r="AF226" s="80"/>
    </row>
    <row r="227" spans="11:32" ht="12" customHeight="1" x14ac:dyDescent="0.2">
      <c r="K227" s="60"/>
      <c r="L227" s="60"/>
      <c r="W227" s="60"/>
      <c r="Y227" s="76"/>
      <c r="AE227" s="76"/>
      <c r="AF227" s="80"/>
    </row>
    <row r="228" spans="11:32" ht="12" customHeight="1" x14ac:dyDescent="0.2">
      <c r="W228" s="60"/>
      <c r="Y228" s="76"/>
      <c r="AE228" s="60"/>
      <c r="AF228" s="80"/>
    </row>
    <row r="229" spans="11:32" ht="12" customHeight="1" x14ac:dyDescent="0.2">
      <c r="K229" s="60"/>
      <c r="L229" s="60"/>
      <c r="W229" s="60"/>
      <c r="Y229" s="76"/>
      <c r="AE229" s="76"/>
      <c r="AF229" s="80"/>
    </row>
    <row r="230" spans="11:32" ht="12" customHeight="1" x14ac:dyDescent="0.2">
      <c r="W230" s="60"/>
      <c r="Y230" s="76"/>
      <c r="AE230" s="60"/>
      <c r="AF230" s="80"/>
    </row>
    <row r="231" spans="11:32" ht="12" customHeight="1" x14ac:dyDescent="0.2">
      <c r="K231" s="60"/>
      <c r="L231" s="60"/>
      <c r="W231" s="60"/>
      <c r="Y231" s="76"/>
      <c r="AE231" s="76"/>
      <c r="AF231" s="80"/>
    </row>
    <row r="233" spans="11:32" ht="12" customHeight="1" x14ac:dyDescent="0.2">
      <c r="K233" s="60"/>
      <c r="L233" s="60"/>
    </row>
  </sheetData>
  <conditionalFormatting sqref="AC2 AC4 AC8 AC10 AC12 AC14 AC34 AC36 AC54 AC82 AC84 AC86 AC88 AC90 AC92 AC94 AC98 AC104 AC106 AC108 AC110 AC114 AC116 AC124 AC126 AC128 AC130 AC142 AC144 AC146 AC148 AC150 AC152 AC162 AC164 AC166 AC170 AC172 AC174 AC176 AC178 AC180 AC182 AC184 AG2 AG4 AG14 AG12 AG10 AG8 AG36 AG34 AG54 AG88 AG86 AG84 AG82 AG98 AG94 AG92 AG90 AG106 AG104 AG110 AG108 AG116 AG114 AG130 AG128 AG126 AG124 AG148 AG146 AG144 AG142 AG150 AG152 AG166 AG164 AG162 AG174 AG172 AG170 AG184 AG182 AG180 AG178 AG176 O95 O97 E132:I132 E138:I138 E136:I136 E134:I134">
    <cfRule type="expression" dxfId="1411" priority="249">
      <formula>MOD(ROW(),2)=1</formula>
    </cfRule>
  </conditionalFormatting>
  <conditionalFormatting sqref="Z132:AA132">
    <cfRule type="expression" dxfId="1410" priority="246">
      <formula>MOD(ROW(),2)=1</formula>
    </cfRule>
  </conditionalFormatting>
  <conditionalFormatting sqref="J132">
    <cfRule type="expression" dxfId="1409" priority="247">
      <formula>MOD(ROW(),2)=1</formula>
    </cfRule>
  </conditionalFormatting>
  <conditionalFormatting sqref="J138">
    <cfRule type="expression" dxfId="1408" priority="240">
      <formula>MOD(ROW(),2)=1</formula>
    </cfRule>
  </conditionalFormatting>
  <conditionalFormatting sqref="AX132">
    <cfRule type="expression" dxfId="1407" priority="245">
      <formula>MOD(ROW(),2)=1</formula>
    </cfRule>
  </conditionalFormatting>
  <conditionalFormatting sqref="J136">
    <cfRule type="expression" dxfId="1406" priority="242">
      <formula>MOD(ROW(),2)=1</formula>
    </cfRule>
  </conditionalFormatting>
  <conditionalFormatting sqref="Z136:AA136">
    <cfRule type="expression" dxfId="1405" priority="241">
      <formula>MOD(ROW(),2)=1</formula>
    </cfRule>
  </conditionalFormatting>
  <conditionalFormatting sqref="J134">
    <cfRule type="expression" dxfId="1404" priority="244">
      <formula>MOD(ROW(),2)=1</formula>
    </cfRule>
  </conditionalFormatting>
  <conditionalFormatting sqref="Z134:AA134">
    <cfRule type="expression" dxfId="1403" priority="243">
      <formula>MOD(ROW(),2)=1</formula>
    </cfRule>
  </conditionalFormatting>
  <conditionalFormatting sqref="Z138:AA138">
    <cfRule type="expression" dxfId="1402" priority="239">
      <formula>MOD(ROW(),2)=1</formula>
    </cfRule>
  </conditionalFormatting>
  <conditionalFormatting sqref="AC96 AG96">
    <cfRule type="expression" dxfId="1401" priority="238">
      <formula>MOD(ROW(),2)=1</formula>
    </cfRule>
  </conditionalFormatting>
  <conditionalFormatting sqref="AC186 AG186">
    <cfRule type="expression" dxfId="1400" priority="232">
      <formula>MOD(ROW(),2)=1</formula>
    </cfRule>
  </conditionalFormatting>
  <conditionalFormatting sqref="AC188 AG188">
    <cfRule type="expression" dxfId="1399" priority="231">
      <formula>MOD(ROW(),2)=1</formula>
    </cfRule>
  </conditionalFormatting>
  <conditionalFormatting sqref="AC190 AG190">
    <cfRule type="expression" dxfId="1398" priority="230">
      <formula>MOD(ROW(),2)=1</formula>
    </cfRule>
  </conditionalFormatting>
  <conditionalFormatting sqref="AX134">
    <cfRule type="expression" dxfId="1397" priority="229">
      <formula>MOD(ROW(),2)=1</formula>
    </cfRule>
  </conditionalFormatting>
  <conditionalFormatting sqref="AX136">
    <cfRule type="expression" dxfId="1396" priority="228">
      <formula>MOD(ROW(),2)=1</formula>
    </cfRule>
  </conditionalFormatting>
  <conditionalFormatting sqref="AX138">
    <cfRule type="expression" dxfId="1395" priority="227">
      <formula>MOD(ROW(),2)=1</formula>
    </cfRule>
  </conditionalFormatting>
  <conditionalFormatting sqref="AB70">
    <cfRule type="expression" dxfId="1394" priority="225">
      <formula>MOD(ROW(),2)=1</formula>
    </cfRule>
  </conditionalFormatting>
  <conditionalFormatting sqref="AB164">
    <cfRule type="expression" dxfId="1393" priority="220">
      <formula>MOD(ROW(),2)=1</formula>
    </cfRule>
  </conditionalFormatting>
  <conditionalFormatting sqref="AB172">
    <cfRule type="expression" dxfId="1392" priority="219">
      <formula>MOD(ROW(),2)=1</formula>
    </cfRule>
  </conditionalFormatting>
  <conditionalFormatting sqref="AB190">
    <cfRule type="expression" dxfId="1391" priority="218">
      <formula>MOD(ROW(),2)=1</formula>
    </cfRule>
  </conditionalFormatting>
  <conditionalFormatting sqref="AD4">
    <cfRule type="expression" dxfId="1390" priority="217">
      <formula>MOD(ROW(),2)=1</formula>
    </cfRule>
  </conditionalFormatting>
  <conditionalFormatting sqref="AD8 AD10 AD12 AD14">
    <cfRule type="expression" dxfId="1389" priority="216">
      <formula>MOD(ROW(),2)=1</formula>
    </cfRule>
  </conditionalFormatting>
  <conditionalFormatting sqref="AD16 AD18 AD20">
    <cfRule type="expression" dxfId="1388" priority="215">
      <formula>MOD(ROW(),2)=1</formula>
    </cfRule>
  </conditionalFormatting>
  <conditionalFormatting sqref="AD24 AD26 AD28">
    <cfRule type="expression" dxfId="1387" priority="214">
      <formula>MOD(ROW(),2)=1</formula>
    </cfRule>
  </conditionalFormatting>
  <conditionalFormatting sqref="AD68 AD70">
    <cfRule type="expression" dxfId="1386" priority="212">
      <formula>MOD(ROW(),2)=1</formula>
    </cfRule>
  </conditionalFormatting>
  <conditionalFormatting sqref="AD82 AD84 AD86 AD88">
    <cfRule type="expression" dxfId="1385" priority="211">
      <formula>MOD(ROW(),2)=1</formula>
    </cfRule>
  </conditionalFormatting>
  <conditionalFormatting sqref="AD98 AD102 AD100">
    <cfRule type="expression" dxfId="1384" priority="210">
      <formula>MOD(ROW(),2)=1</formula>
    </cfRule>
  </conditionalFormatting>
  <conditionalFormatting sqref="AD104 AD106">
    <cfRule type="expression" dxfId="1383" priority="209">
      <formula>MOD(ROW(),2)=1</formula>
    </cfRule>
  </conditionalFormatting>
  <conditionalFormatting sqref="AD110">
    <cfRule type="expression" dxfId="1382" priority="208">
      <formula>MOD(ROW(),2)=1</formula>
    </cfRule>
  </conditionalFormatting>
  <conditionalFormatting sqref="AD132 AD134 AD136 AD138">
    <cfRule type="expression" dxfId="1381" priority="206">
      <formula>MOD(ROW(),2)=1</formula>
    </cfRule>
  </conditionalFormatting>
  <conditionalFormatting sqref="AD144 AD146 AD148">
    <cfRule type="expression" dxfId="1380" priority="205">
      <formula>MOD(ROW(),2)=1</formula>
    </cfRule>
  </conditionalFormatting>
  <conditionalFormatting sqref="AD150">
    <cfRule type="expression" dxfId="1379" priority="203">
      <formula>MOD(ROW(),2)=1</formula>
    </cfRule>
  </conditionalFormatting>
  <conditionalFormatting sqref="AD152">
    <cfRule type="expression" dxfId="1378" priority="202">
      <formula>MOD(ROW(),2)=1</formula>
    </cfRule>
  </conditionalFormatting>
  <conditionalFormatting sqref="AD154 AD156 AD158 AD160">
    <cfRule type="expression" dxfId="1377" priority="200">
      <formula>MOD(ROW(),2)=1</formula>
    </cfRule>
  </conditionalFormatting>
  <conditionalFormatting sqref="AD192 AD194 AD196 AD198">
    <cfRule type="expression" dxfId="1376" priority="199">
      <formula>MOD(ROW(),2)=1</formula>
    </cfRule>
  </conditionalFormatting>
  <conditionalFormatting sqref="Y8">
    <cfRule type="expression" dxfId="1375" priority="197">
      <formula>MOD(ROW(),2)=1</formula>
    </cfRule>
  </conditionalFormatting>
  <conditionalFormatting sqref="Y12">
    <cfRule type="expression" dxfId="1374" priority="196">
      <formula>MOD(ROW(),2)=1</formula>
    </cfRule>
  </conditionalFormatting>
  <conditionalFormatting sqref="Y16">
    <cfRule type="expression" dxfId="1373" priority="192">
      <formula>MOD(ROW(),2)=1</formula>
    </cfRule>
  </conditionalFormatting>
  <conditionalFormatting sqref="Y20">
    <cfRule type="expression" dxfId="1372" priority="191">
      <formula>MOD(ROW(),2)=1</formula>
    </cfRule>
  </conditionalFormatting>
  <conditionalFormatting sqref="Y24">
    <cfRule type="expression" dxfId="1371" priority="190">
      <formula>MOD(ROW(),2)=1</formula>
    </cfRule>
  </conditionalFormatting>
  <conditionalFormatting sqref="Y28">
    <cfRule type="expression" dxfId="1370" priority="189">
      <formula>MOD(ROW(),2)=1</formula>
    </cfRule>
  </conditionalFormatting>
  <conditionalFormatting sqref="Y32">
    <cfRule type="expression" dxfId="1369" priority="188">
      <formula>MOD(ROW(),2)=1</formula>
    </cfRule>
  </conditionalFormatting>
  <conditionalFormatting sqref="Y34">
    <cfRule type="expression" dxfId="1368" priority="187">
      <formula>MOD(ROW(),2)=1</formula>
    </cfRule>
  </conditionalFormatting>
  <conditionalFormatting sqref="Y56">
    <cfRule type="expression" dxfId="1367" priority="185">
      <formula>MOD(ROW(),2)=1</formula>
    </cfRule>
  </conditionalFormatting>
  <conditionalFormatting sqref="Y60">
    <cfRule type="expression" dxfId="1366" priority="184">
      <formula>MOD(ROW(),2)=1</formula>
    </cfRule>
  </conditionalFormatting>
  <conditionalFormatting sqref="Y64">
    <cfRule type="expression" dxfId="1365" priority="183">
      <formula>MOD(ROW(),2)=1</formula>
    </cfRule>
  </conditionalFormatting>
  <conditionalFormatting sqref="Y68">
    <cfRule type="expression" dxfId="1364" priority="182">
      <formula>MOD(ROW(),2)=1</formula>
    </cfRule>
  </conditionalFormatting>
  <conditionalFormatting sqref="Y84">
    <cfRule type="expression" dxfId="1363" priority="180">
      <formula>MOD(ROW(),2)=1</formula>
    </cfRule>
  </conditionalFormatting>
  <conditionalFormatting sqref="Y88">
    <cfRule type="expression" dxfId="1362" priority="179">
      <formula>MOD(ROW(),2)=1</formula>
    </cfRule>
  </conditionalFormatting>
  <conditionalFormatting sqref="Y92">
    <cfRule type="expression" dxfId="1361" priority="177">
      <formula>MOD(ROW(),2)=1</formula>
    </cfRule>
  </conditionalFormatting>
  <conditionalFormatting sqref="Y94">
    <cfRule type="expression" dxfId="1360" priority="176">
      <formula>MOD(ROW(),2)=1</formula>
    </cfRule>
  </conditionalFormatting>
  <conditionalFormatting sqref="Y98">
    <cfRule type="expression" dxfId="1359" priority="175">
      <formula>MOD(ROW(),2)=1</formula>
    </cfRule>
  </conditionalFormatting>
  <conditionalFormatting sqref="Y102">
    <cfRule type="expression" dxfId="1358" priority="174">
      <formula>MOD(ROW(),2)=1</formula>
    </cfRule>
  </conditionalFormatting>
  <conditionalFormatting sqref="Y104">
    <cfRule type="expression" dxfId="1357" priority="173">
      <formula>MOD(ROW(),2)=1</formula>
    </cfRule>
  </conditionalFormatting>
  <conditionalFormatting sqref="Y116">
    <cfRule type="expression" dxfId="1356" priority="172">
      <formula>MOD(ROW(),2)=1</formula>
    </cfRule>
  </conditionalFormatting>
  <conditionalFormatting sqref="Y124">
    <cfRule type="expression" dxfId="1355" priority="167">
      <formula>MOD(ROW(),2)=1</formula>
    </cfRule>
  </conditionalFormatting>
  <conditionalFormatting sqref="Y128">
    <cfRule type="expression" dxfId="1354" priority="166">
      <formula>MOD(ROW(),2)=1</formula>
    </cfRule>
  </conditionalFormatting>
  <conditionalFormatting sqref="Y134">
    <cfRule type="expression" dxfId="1353" priority="165">
      <formula>MOD(ROW(),2)=1</formula>
    </cfRule>
  </conditionalFormatting>
  <conditionalFormatting sqref="Y138">
    <cfRule type="expression" dxfId="1352" priority="164">
      <formula>MOD(ROW(),2)=1</formula>
    </cfRule>
  </conditionalFormatting>
  <conditionalFormatting sqref="Y144">
    <cfRule type="expression" dxfId="1351" priority="163">
      <formula>MOD(ROW(),2)=1</formula>
    </cfRule>
  </conditionalFormatting>
  <conditionalFormatting sqref="Y148">
    <cfRule type="expression" dxfId="1350" priority="162">
      <formula>MOD(ROW(),2)=1</formula>
    </cfRule>
  </conditionalFormatting>
  <conditionalFormatting sqref="Y154">
    <cfRule type="expression" dxfId="1349" priority="147">
      <formula>MOD(ROW(),2)=1</formula>
    </cfRule>
  </conditionalFormatting>
  <conditionalFormatting sqref="Y158">
    <cfRule type="expression" dxfId="1348" priority="146">
      <formula>MOD(ROW(),2)=1</formula>
    </cfRule>
  </conditionalFormatting>
  <conditionalFormatting sqref="Y164">
    <cfRule type="expression" dxfId="1347" priority="145">
      <formula>MOD(ROW(),2)=1</formula>
    </cfRule>
  </conditionalFormatting>
  <conditionalFormatting sqref="Y170">
    <cfRule type="expression" dxfId="1346" priority="144">
      <formula>MOD(ROW(),2)=1</formula>
    </cfRule>
  </conditionalFormatting>
  <conditionalFormatting sqref="Y174">
    <cfRule type="expression" dxfId="1345" priority="143">
      <formula>MOD(ROW(),2)=1</formula>
    </cfRule>
  </conditionalFormatting>
  <conditionalFormatting sqref="Y176">
    <cfRule type="expression" dxfId="1344" priority="142">
      <formula>MOD(ROW(),2)=1</formula>
    </cfRule>
  </conditionalFormatting>
  <conditionalFormatting sqref="Y180">
    <cfRule type="expression" dxfId="1343" priority="141">
      <formula>MOD(ROW(),2)=1</formula>
    </cfRule>
  </conditionalFormatting>
  <conditionalFormatting sqref="Y184">
    <cfRule type="expression" dxfId="1342" priority="140">
      <formula>MOD(ROW(),2)=1</formula>
    </cfRule>
  </conditionalFormatting>
  <conditionalFormatting sqref="Y188">
    <cfRule type="expression" dxfId="1341" priority="139">
      <formula>MOD(ROW(),2)=1</formula>
    </cfRule>
  </conditionalFormatting>
  <conditionalFormatting sqref="Y198">
    <cfRule type="expression" dxfId="1340" priority="137">
      <formula>MOD(ROW(),2)=1</formula>
    </cfRule>
  </conditionalFormatting>
  <conditionalFormatting sqref="Y202">
    <cfRule type="expression" dxfId="1339" priority="136">
      <formula>MOD(ROW(),2)=1</formula>
    </cfRule>
  </conditionalFormatting>
  <conditionalFormatting sqref="Y206">
    <cfRule type="expression" dxfId="1338" priority="135">
      <formula>MOD(ROW(),2)=1</formula>
    </cfRule>
  </conditionalFormatting>
  <conditionalFormatting sqref="Y210">
    <cfRule type="expression" dxfId="1337" priority="134">
      <formula>MOD(ROW(),2)=1</formula>
    </cfRule>
  </conditionalFormatting>
  <conditionalFormatting sqref="Y214">
    <cfRule type="expression" dxfId="1336" priority="133">
      <formula>MOD(ROW(),2)=1</formula>
    </cfRule>
  </conditionalFormatting>
  <conditionalFormatting sqref="Y218">
    <cfRule type="expression" dxfId="1335" priority="132">
      <formula>MOD(ROW(),2)=1</formula>
    </cfRule>
  </conditionalFormatting>
  <conditionalFormatting sqref="Y222">
    <cfRule type="expression" dxfId="1334" priority="131">
      <formula>MOD(ROW(),2)=1</formula>
    </cfRule>
  </conditionalFormatting>
  <conditionalFormatting sqref="Y226">
    <cfRule type="expression" dxfId="1333" priority="130">
      <formula>MOD(ROW(),2)=1</formula>
    </cfRule>
  </conditionalFormatting>
  <conditionalFormatting sqref="Y230">
    <cfRule type="expression" dxfId="1332" priority="129">
      <formula>MOD(ROW(),2)=1</formula>
    </cfRule>
  </conditionalFormatting>
  <conditionalFormatting sqref="W8">
    <cfRule type="expression" dxfId="1331" priority="127">
      <formula>MOD(ROW(),2)=1</formula>
    </cfRule>
  </conditionalFormatting>
  <conditionalFormatting sqref="W12">
    <cfRule type="expression" dxfId="1330" priority="126">
      <formula>MOD(ROW(),2)=1</formula>
    </cfRule>
  </conditionalFormatting>
  <conditionalFormatting sqref="W16">
    <cfRule type="expression" dxfId="1329" priority="122">
      <formula>MOD(ROW(),2)=1</formula>
    </cfRule>
  </conditionalFormatting>
  <conditionalFormatting sqref="W20">
    <cfRule type="expression" dxfId="1328" priority="121">
      <formula>MOD(ROW(),2)=1</formula>
    </cfRule>
  </conditionalFormatting>
  <conditionalFormatting sqref="W24">
    <cfRule type="expression" dxfId="1327" priority="120">
      <formula>MOD(ROW(),2)=1</formula>
    </cfRule>
  </conditionalFormatting>
  <conditionalFormatting sqref="W28">
    <cfRule type="expression" dxfId="1326" priority="119">
      <formula>MOD(ROW(),2)=1</formula>
    </cfRule>
  </conditionalFormatting>
  <conditionalFormatting sqref="W32">
    <cfRule type="expression" dxfId="1325" priority="118">
      <formula>MOD(ROW(),2)=1</formula>
    </cfRule>
  </conditionalFormatting>
  <conditionalFormatting sqref="W34">
    <cfRule type="expression" dxfId="1324" priority="117">
      <formula>MOD(ROW(),2)=1</formula>
    </cfRule>
  </conditionalFormatting>
  <conditionalFormatting sqref="W56">
    <cfRule type="expression" dxfId="1323" priority="115">
      <formula>MOD(ROW(),2)=1</formula>
    </cfRule>
  </conditionalFormatting>
  <conditionalFormatting sqref="W60">
    <cfRule type="expression" dxfId="1322" priority="114">
      <formula>MOD(ROW(),2)=1</formula>
    </cfRule>
  </conditionalFormatting>
  <conditionalFormatting sqref="W64">
    <cfRule type="expression" dxfId="1321" priority="113">
      <formula>MOD(ROW(),2)=1</formula>
    </cfRule>
  </conditionalFormatting>
  <conditionalFormatting sqref="W68">
    <cfRule type="expression" dxfId="1320" priority="112">
      <formula>MOD(ROW(),2)=1</formula>
    </cfRule>
  </conditionalFormatting>
  <conditionalFormatting sqref="W84">
    <cfRule type="expression" dxfId="1319" priority="110">
      <formula>MOD(ROW(),2)=1</formula>
    </cfRule>
  </conditionalFormatting>
  <conditionalFormatting sqref="W88">
    <cfRule type="expression" dxfId="1318" priority="109">
      <formula>MOD(ROW(),2)=1</formula>
    </cfRule>
  </conditionalFormatting>
  <conditionalFormatting sqref="W92">
    <cfRule type="expression" dxfId="1317" priority="107">
      <formula>MOD(ROW(),2)=1</formula>
    </cfRule>
  </conditionalFormatting>
  <conditionalFormatting sqref="W94">
    <cfRule type="expression" dxfId="1316" priority="106">
      <formula>MOD(ROW(),2)=1</formula>
    </cfRule>
  </conditionalFormatting>
  <conditionalFormatting sqref="W98">
    <cfRule type="expression" dxfId="1315" priority="105">
      <formula>MOD(ROW(),2)=1</formula>
    </cfRule>
  </conditionalFormatting>
  <conditionalFormatting sqref="W102">
    <cfRule type="expression" dxfId="1314" priority="104">
      <formula>MOD(ROW(),2)=1</formula>
    </cfRule>
  </conditionalFormatting>
  <conditionalFormatting sqref="W104">
    <cfRule type="expression" dxfId="1313" priority="103">
      <formula>MOD(ROW(),2)=1</formula>
    </cfRule>
  </conditionalFormatting>
  <conditionalFormatting sqref="W116">
    <cfRule type="expression" dxfId="1312" priority="102">
      <formula>MOD(ROW(),2)=1</formula>
    </cfRule>
  </conditionalFormatting>
  <conditionalFormatting sqref="W124">
    <cfRule type="expression" dxfId="1311" priority="97">
      <formula>MOD(ROW(),2)=1</formula>
    </cfRule>
  </conditionalFormatting>
  <conditionalFormatting sqref="W128">
    <cfRule type="expression" dxfId="1310" priority="96">
      <formula>MOD(ROW(),2)=1</formula>
    </cfRule>
  </conditionalFormatting>
  <conditionalFormatting sqref="W134">
    <cfRule type="expression" dxfId="1309" priority="95">
      <formula>MOD(ROW(),2)=1</formula>
    </cfRule>
  </conditionalFormatting>
  <conditionalFormatting sqref="W138">
    <cfRule type="expression" dxfId="1308" priority="94">
      <formula>MOD(ROW(),2)=1</formula>
    </cfRule>
  </conditionalFormatting>
  <conditionalFormatting sqref="W144">
    <cfRule type="expression" dxfId="1307" priority="93">
      <formula>MOD(ROW(),2)=1</formula>
    </cfRule>
  </conditionalFormatting>
  <conditionalFormatting sqref="W148">
    <cfRule type="expression" dxfId="1306" priority="92">
      <formula>MOD(ROW(),2)=1</formula>
    </cfRule>
  </conditionalFormatting>
  <conditionalFormatting sqref="W154">
    <cfRule type="expression" dxfId="1305" priority="77">
      <formula>MOD(ROW(),2)=1</formula>
    </cfRule>
  </conditionalFormatting>
  <conditionalFormatting sqref="W158">
    <cfRule type="expression" dxfId="1304" priority="76">
      <formula>MOD(ROW(),2)=1</formula>
    </cfRule>
  </conditionalFormatting>
  <conditionalFormatting sqref="W164">
    <cfRule type="expression" dxfId="1303" priority="75">
      <formula>MOD(ROW(),2)=1</formula>
    </cfRule>
  </conditionalFormatting>
  <conditionalFormatting sqref="W170">
    <cfRule type="expression" dxfId="1302" priority="74">
      <formula>MOD(ROW(),2)=1</formula>
    </cfRule>
  </conditionalFormatting>
  <conditionalFormatting sqref="W174">
    <cfRule type="expression" dxfId="1301" priority="73">
      <formula>MOD(ROW(),2)=1</formula>
    </cfRule>
  </conditionalFormatting>
  <conditionalFormatting sqref="W176">
    <cfRule type="expression" dxfId="1300" priority="72">
      <formula>MOD(ROW(),2)=1</formula>
    </cfRule>
  </conditionalFormatting>
  <conditionalFormatting sqref="W180">
    <cfRule type="expression" dxfId="1299" priority="71">
      <formula>MOD(ROW(),2)=1</formula>
    </cfRule>
  </conditionalFormatting>
  <conditionalFormatting sqref="W184">
    <cfRule type="expression" dxfId="1298" priority="70">
      <formula>MOD(ROW(),2)=1</formula>
    </cfRule>
  </conditionalFormatting>
  <conditionalFormatting sqref="W188">
    <cfRule type="expression" dxfId="1297" priority="69">
      <formula>MOD(ROW(),2)=1</formula>
    </cfRule>
  </conditionalFormatting>
  <conditionalFormatting sqref="W198">
    <cfRule type="expression" dxfId="1296" priority="67">
      <formula>MOD(ROW(),2)=1</formula>
    </cfRule>
  </conditionalFormatting>
  <conditionalFormatting sqref="W202">
    <cfRule type="expression" dxfId="1295" priority="66">
      <formula>MOD(ROW(),2)=1</formula>
    </cfRule>
  </conditionalFormatting>
  <conditionalFormatting sqref="W206">
    <cfRule type="expression" dxfId="1294" priority="65">
      <formula>MOD(ROW(),2)=1</formula>
    </cfRule>
  </conditionalFormatting>
  <conditionalFormatting sqref="W210">
    <cfRule type="expression" dxfId="1293" priority="64">
      <formula>MOD(ROW(),2)=1</formula>
    </cfRule>
  </conditionalFormatting>
  <conditionalFormatting sqref="W214">
    <cfRule type="expression" dxfId="1292" priority="63">
      <formula>MOD(ROW(),2)=1</formula>
    </cfRule>
  </conditionalFormatting>
  <conditionalFormatting sqref="W218">
    <cfRule type="expression" dxfId="1291" priority="62">
      <formula>MOD(ROW(),2)=1</formula>
    </cfRule>
  </conditionalFormatting>
  <conditionalFormatting sqref="W222">
    <cfRule type="expression" dxfId="1290" priority="61">
      <formula>MOD(ROW(),2)=1</formula>
    </cfRule>
  </conditionalFormatting>
  <conditionalFormatting sqref="W226">
    <cfRule type="expression" dxfId="1289" priority="60">
      <formula>MOD(ROW(),2)=1</formula>
    </cfRule>
  </conditionalFormatting>
  <conditionalFormatting sqref="W230">
    <cfRule type="expression" dxfId="1288" priority="59">
      <formula>MOD(ROW(),2)=1</formula>
    </cfRule>
  </conditionalFormatting>
  <conditionalFormatting sqref="AC118 AC120 AG120 AG118">
    <cfRule type="expression" dxfId="1287" priority="58">
      <formula>MOD(ROW(),2)=1</formula>
    </cfRule>
  </conditionalFormatting>
  <conditionalFormatting sqref="Y120">
    <cfRule type="expression" dxfId="1286" priority="57">
      <formula>MOD(ROW(),2)=1</formula>
    </cfRule>
  </conditionalFormatting>
  <conditionalFormatting sqref="W120">
    <cfRule type="expression" dxfId="1285" priority="56">
      <formula>MOD(ROW(),2)=1</formula>
    </cfRule>
  </conditionalFormatting>
  <conditionalFormatting sqref="U4">
    <cfRule type="expression" dxfId="1284" priority="49">
      <formula>MOD(ROW(),2)=1</formula>
    </cfRule>
  </conditionalFormatting>
  <conditionalFormatting sqref="U8 U10">
    <cfRule type="expression" dxfId="1283" priority="48">
      <formula>MOD(ROW(),2)=1</formula>
    </cfRule>
  </conditionalFormatting>
  <conditionalFormatting sqref="U14">
    <cfRule type="expression" dxfId="1282" priority="47">
      <formula>MOD(ROW(),2)=1</formula>
    </cfRule>
  </conditionalFormatting>
  <conditionalFormatting sqref="U16 U18">
    <cfRule type="expression" dxfId="1281" priority="45">
      <formula>MOD(ROW(),2)=1</formula>
    </cfRule>
  </conditionalFormatting>
  <conditionalFormatting sqref="U24 U26 U22">
    <cfRule type="expression" dxfId="1280" priority="44">
      <formula>MOD(ROW(),2)=1</formula>
    </cfRule>
  </conditionalFormatting>
  <conditionalFormatting sqref="U32 U30">
    <cfRule type="expression" dxfId="1279" priority="43">
      <formula>MOD(ROW(),2)=1</formula>
    </cfRule>
  </conditionalFormatting>
  <conditionalFormatting sqref="U36">
    <cfRule type="expression" dxfId="1278" priority="42">
      <formula>MOD(ROW(),2)=1</formula>
    </cfRule>
  </conditionalFormatting>
  <conditionalFormatting sqref="U54">
    <cfRule type="expression" dxfId="1277" priority="40">
      <formula>MOD(ROW(),2)=1</formula>
    </cfRule>
  </conditionalFormatting>
  <conditionalFormatting sqref="U56 U58">
    <cfRule type="expression" dxfId="1276" priority="39">
      <formula>MOD(ROW(),2)=1</formula>
    </cfRule>
  </conditionalFormatting>
  <conditionalFormatting sqref="U64 U66 U62">
    <cfRule type="expression" dxfId="1275" priority="38">
      <formula>MOD(ROW(),2)=1</formula>
    </cfRule>
  </conditionalFormatting>
  <conditionalFormatting sqref="U70">
    <cfRule type="expression" dxfId="1274" priority="37">
      <formula>MOD(ROW(),2)=1</formula>
    </cfRule>
  </conditionalFormatting>
  <conditionalFormatting sqref="U86 U88 U84">
    <cfRule type="expression" dxfId="1273" priority="35">
      <formula>MOD(ROW(),2)=1</formula>
    </cfRule>
  </conditionalFormatting>
  <conditionalFormatting sqref="U90 U92">
    <cfRule type="expression" dxfId="1272" priority="33">
      <formula>MOD(ROW(),2)=1</formula>
    </cfRule>
  </conditionalFormatting>
  <conditionalFormatting sqref="U96">
    <cfRule type="expression" dxfId="1271" priority="32">
      <formula>MOD(ROW(),2)=1</formula>
    </cfRule>
  </conditionalFormatting>
  <conditionalFormatting sqref="U98">
    <cfRule type="expression" dxfId="1270" priority="31">
      <formula>MOD(ROW(),2)=1</formula>
    </cfRule>
  </conditionalFormatting>
  <conditionalFormatting sqref="U100 U102">
    <cfRule type="expression" dxfId="1269" priority="30">
      <formula>MOD(ROW(),2)=1</formula>
    </cfRule>
  </conditionalFormatting>
  <conditionalFormatting sqref="U104">
    <cfRule type="expression" dxfId="1268" priority="29">
      <formula>MOD(ROW(),2)=1</formula>
    </cfRule>
  </conditionalFormatting>
  <conditionalFormatting sqref="U108">
    <cfRule type="expression" dxfId="1267" priority="28">
      <formula>MOD(ROW(),2)=1</formula>
    </cfRule>
  </conditionalFormatting>
  <conditionalFormatting sqref="U110">
    <cfRule type="expression" dxfId="1266" priority="27">
      <formula>MOD(ROW(),2)=1</formula>
    </cfRule>
  </conditionalFormatting>
  <conditionalFormatting sqref="U114 U116">
    <cfRule type="expression" dxfId="1265" priority="25">
      <formula>MOD(ROW(),2)=1</formula>
    </cfRule>
  </conditionalFormatting>
  <conditionalFormatting sqref="U120">
    <cfRule type="expression" dxfId="1264" priority="24">
      <formula>MOD(ROW(),2)=1</formula>
    </cfRule>
  </conditionalFormatting>
  <conditionalFormatting sqref="U126 U128 U124">
    <cfRule type="expression" dxfId="1263" priority="21">
      <formula>MOD(ROW(),2)=1</formula>
    </cfRule>
  </conditionalFormatting>
  <conditionalFormatting sqref="U136 U138 U134">
    <cfRule type="expression" dxfId="1262" priority="20">
      <formula>MOD(ROW(),2)=1</formula>
    </cfRule>
  </conditionalFormatting>
  <conditionalFormatting sqref="U146 U148 U144">
    <cfRule type="expression" dxfId="1261" priority="19">
      <formula>MOD(ROW(),2)=1</formula>
    </cfRule>
  </conditionalFormatting>
  <conditionalFormatting sqref="U152 U150">
    <cfRule type="expression" dxfId="1260" priority="15">
      <formula>MOD(ROW(),2)=1</formula>
    </cfRule>
  </conditionalFormatting>
  <conditionalFormatting sqref="U154">
    <cfRule type="expression" dxfId="1259" priority="9">
      <formula>MOD(ROW(),2)=1</formula>
    </cfRule>
  </conditionalFormatting>
  <conditionalFormatting sqref="U160 U158">
    <cfRule type="expression" dxfId="1258" priority="8">
      <formula>MOD(ROW(),2)=1</formula>
    </cfRule>
  </conditionalFormatting>
  <conditionalFormatting sqref="U162">
    <cfRule type="expression" dxfId="1257" priority="7">
      <formula>MOD(ROW(),2)=1</formula>
    </cfRule>
  </conditionalFormatting>
  <conditionalFormatting sqref="U166">
    <cfRule type="expression" dxfId="1256" priority="6">
      <formula>MOD(ROW(),2)=1</formula>
    </cfRule>
  </conditionalFormatting>
  <conditionalFormatting sqref="U174 U172">
    <cfRule type="expression" dxfId="1255" priority="5">
      <formula>MOD(ROW(),2)=1</formula>
    </cfRule>
  </conditionalFormatting>
  <conditionalFormatting sqref="U176 U178">
    <cfRule type="expression" dxfId="1254" priority="4">
      <formula>MOD(ROW(),2)=1</formula>
    </cfRule>
  </conditionalFormatting>
  <conditionalFormatting sqref="U184 U186 U182">
    <cfRule type="expression" dxfId="1253" priority="3">
      <formula>MOD(ROW(),2)=1</formula>
    </cfRule>
  </conditionalFormatting>
  <conditionalFormatting sqref="U190">
    <cfRule type="expression" dxfId="1252" priority="2">
      <formula>MOD(ROW(),2)=1</formula>
    </cfRule>
  </conditionalFormatting>
  <conditionalFormatting sqref="U192">
    <cfRule type="expression" dxfId="1251" priority="1">
      <formula>MOD(ROW(),2)=1</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3:H337"/>
  <sheetViews>
    <sheetView workbookViewId="0"/>
  </sheetViews>
  <sheetFormatPr defaultRowHeight="15" x14ac:dyDescent="0.25"/>
  <cols>
    <col min="3" max="3" width="9.140625" style="172"/>
  </cols>
  <sheetData>
    <row r="3" spans="1:4" x14ac:dyDescent="0.25">
      <c r="A3" t="str">
        <f>'t-LTM Single'!B3</f>
        <v>Butter, M. J. (1970). Differential recall of paired associates as a function of arousal and concreteness-imagery levels. Journal of Experimental Psychology, 84(2), 252-256.</v>
      </c>
      <c r="B3">
        <f>'t-LTM Single'!AA3</f>
        <v>172800</v>
      </c>
      <c r="C3" s="173">
        <f>B3/(60*60*24)</f>
        <v>2</v>
      </c>
      <c r="D3" s="63">
        <f>'t-LTM Single'!AM3</f>
        <v>-0.23313064757059063</v>
      </c>
    </row>
    <row r="5" spans="1:4" x14ac:dyDescent="0.25">
      <c r="A5" t="str">
        <f>'t-LTM Single'!B5</f>
        <v>Butter, M. J. (1970). Differential recall of paired associates as a function of arousal and concreteness-imagery levels. Journal of Experimental Psychology, 84(2), 252-256.</v>
      </c>
      <c r="B5">
        <f>'t-LTM Single'!AA5</f>
        <v>172800</v>
      </c>
      <c r="C5" s="173">
        <f>B5/(60*60*24)</f>
        <v>2</v>
      </c>
      <c r="D5" s="63">
        <f>'t-LTM Single'!AM5</f>
        <v>-0.15146565654909644</v>
      </c>
    </row>
    <row r="6" spans="1:4" x14ac:dyDescent="0.25">
      <c r="C6" s="173"/>
      <c r="D6" s="63"/>
    </row>
    <row r="7" spans="1:4" x14ac:dyDescent="0.25">
      <c r="A7" t="s">
        <v>924</v>
      </c>
      <c r="B7">
        <f>'t-LTM'!AA7</f>
        <v>604800</v>
      </c>
      <c r="C7" s="173">
        <f>B7/(60*60*24)</f>
        <v>7</v>
      </c>
      <c r="D7" s="63">
        <v>-2.0682404901746009E-2</v>
      </c>
    </row>
    <row r="9" spans="1:4" x14ac:dyDescent="0.25">
      <c r="A9" t="str">
        <f>'t-LTM Single'!B9</f>
        <v>Chan, J. C. K. (2010). Long-term effects of testing on the recall of nontested materials. Memory, 18(1), 49-57.</v>
      </c>
      <c r="B9">
        <f>'t-LTM Single'!AA9</f>
        <v>604800</v>
      </c>
      <c r="C9" s="173">
        <f>B9/(60*60*24)</f>
        <v>7</v>
      </c>
      <c r="D9" s="63">
        <f>'t-LTM Single'!AM9</f>
        <v>-1.7505181395033102E-2</v>
      </c>
    </row>
    <row r="11" spans="1:4" x14ac:dyDescent="0.25">
      <c r="A11" t="str">
        <f>'t-LTM Single'!B11</f>
        <v>Chan, J. C. K. (2010). Long-term effects of testing on the recall of nontested materials. Memory, 18(1), 49-57.</v>
      </c>
      <c r="B11">
        <f>'t-LTM Single'!AA11</f>
        <v>604800</v>
      </c>
      <c r="C11" s="173">
        <f>B11/(60*60*24)</f>
        <v>7</v>
      </c>
      <c r="D11" s="63">
        <f>'t-LTM Single'!AM11</f>
        <v>-4.8656392858362589E-2</v>
      </c>
    </row>
    <row r="13" spans="1:4" x14ac:dyDescent="0.25">
      <c r="A13" t="str">
        <f>'t-LTM Single'!B13</f>
        <v>Chan, J. C. K. (2010). Long-term effects of testing on the recall of nontested materials. Memory, 18(1), 49-57.</v>
      </c>
      <c r="B13">
        <f>'t-LTM Single'!AA13</f>
        <v>604800</v>
      </c>
      <c r="C13" s="173">
        <f>B13/(60*60*24)</f>
        <v>7</v>
      </c>
      <c r="D13" s="63">
        <f>'t-LTM Single'!AM13</f>
        <v>-0.12044284994417628</v>
      </c>
    </row>
    <row r="15" spans="1:4" x14ac:dyDescent="0.25">
      <c r="A15" t="str">
        <f>'t-LTM Single'!B15</f>
        <v>Chance, J. E., &amp; Goldstein, A. G. (1987). Retention interval and face recognition: Response latency measures. Bulletin of the Psychonomic Society, 25(6), 415-418.</v>
      </c>
      <c r="B15">
        <f>'t-LTM Single'!AA15</f>
        <v>604800</v>
      </c>
      <c r="C15" s="173">
        <f>B15/(60*60*24)</f>
        <v>7</v>
      </c>
      <c r="D15" s="63">
        <f>'t-LTM Single'!AM15</f>
        <v>-4.623442866854223E-2</v>
      </c>
    </row>
    <row r="17" spans="1:8" x14ac:dyDescent="0.25">
      <c r="A17" t="str">
        <f>'t-LTM Single'!B17</f>
        <v>Davidson, D. (1994). Recognition and recall of irrelevant and interruptive atypical actions in script-based stories. Journal of Memory and Language, 33(6), 757-775.</v>
      </c>
      <c r="B17">
        <f>'t-LTM Single'!AA17</f>
        <v>604800</v>
      </c>
      <c r="C17" s="173">
        <f>B17/(60*60*24)</f>
        <v>7</v>
      </c>
      <c r="D17" s="63">
        <f>'t-LTM Single'!AM17</f>
        <v>-4.2603286173484557E-2</v>
      </c>
    </row>
    <row r="18" spans="1:8" x14ac:dyDescent="0.25">
      <c r="G18" s="166">
        <f>AVERAGE(D3:D191)</f>
        <v>-6.2061209583553302E-2</v>
      </c>
      <c r="H18" s="165">
        <f xml:space="preserve"> STDEV(D3:D191)/SQRT(COUNT(D3:D191))</f>
        <v>5.6048287877590447E-3</v>
      </c>
    </row>
    <row r="19" spans="1:8" x14ac:dyDescent="0.25">
      <c r="A19" t="str">
        <f>'t-LTM Single'!B19</f>
        <v>Davidson, D. (1994). Recognition and recall of irrelevant and interruptive atypical actions in script-based stories. Journal of Memory and Language, 33(6), 757-775.</v>
      </c>
      <c r="B19">
        <f>'t-LTM Single'!AA19</f>
        <v>604800</v>
      </c>
      <c r="C19" s="173">
        <f>B19/(60*60*24)</f>
        <v>7</v>
      </c>
      <c r="D19" s="63">
        <f>'t-LTM Single'!AM19</f>
        <v>-3.5399228764858529E-2</v>
      </c>
    </row>
    <row r="21" spans="1:8" x14ac:dyDescent="0.25">
      <c r="A21" t="str">
        <f>'t-LTM Single'!B21</f>
        <v>Davidson, D. (1994). Recognition and recall of irrelevant and interruptive atypical actions in script-based stories. Journal of Memory and Language, 33(6), 757-775.</v>
      </c>
      <c r="B21">
        <f>'t-LTM Single'!AA21</f>
        <v>604800</v>
      </c>
      <c r="C21" s="173">
        <f>B21/(60*60*24)</f>
        <v>7</v>
      </c>
      <c r="D21" s="63">
        <f>'t-LTM Single'!AM21</f>
        <v>-3.2375909093925896E-2</v>
      </c>
    </row>
    <row r="23" spans="1:8" x14ac:dyDescent="0.25">
      <c r="A23" t="str">
        <f>'t-LTM Single'!B23</f>
        <v>Davidson, D. (1994). Recognition and recall of irrelevant and interruptive atypical actions in script-based stories. Journal of Memory and Language, 33(6), 757-775.</v>
      </c>
      <c r="B23">
        <f>'t-LTM Single'!AA23</f>
        <v>604800</v>
      </c>
      <c r="C23" s="173">
        <f>B23/(60*60*24)</f>
        <v>7</v>
      </c>
      <c r="D23" s="63">
        <f>'t-LTM Single'!AM23</f>
        <v>-0.12892801646218516</v>
      </c>
    </row>
    <row r="25" spans="1:8" x14ac:dyDescent="0.25">
      <c r="A25" t="str">
        <f>'t-LTM Single'!B25</f>
        <v>Davidson, D. (1994). Recognition and recall of irrelevant and interruptive atypical actions in script-based stories. Journal of Memory and Language, 33(6), 757-775.</v>
      </c>
      <c r="B25">
        <f>'t-LTM Single'!AA25</f>
        <v>604800</v>
      </c>
      <c r="C25" s="173">
        <f>B25/(60*60*24)</f>
        <v>7</v>
      </c>
      <c r="D25" s="63">
        <f>'t-LTM Single'!AM25</f>
        <v>-0.23039340924468046</v>
      </c>
    </row>
    <row r="27" spans="1:8" x14ac:dyDescent="0.25">
      <c r="A27" t="str">
        <f>'t-LTM Single'!B27</f>
        <v>Davidson, D. (1994). Recognition and recall of irrelevant and interruptive atypical actions in script-based stories. Journal of Memory and Language, 33(6), 757-775.</v>
      </c>
      <c r="B27">
        <f>'t-LTM Single'!AA27</f>
        <v>604800</v>
      </c>
      <c r="C27" s="173">
        <f>B27/(60*60*24)</f>
        <v>7</v>
      </c>
      <c r="D27" s="63">
        <f>'t-LTM Single'!AM27</f>
        <v>-7.5958959080907149E-2</v>
      </c>
    </row>
    <row r="29" spans="1:8" x14ac:dyDescent="0.25">
      <c r="A29" t="str">
        <f>'t-LTM Single'!B29</f>
        <v>Davidson, D. (1994). Recognition and recall of irrelevant and interruptive atypical actions in script-based stories. Journal of Memory and Language, 33(6), 757-775.</v>
      </c>
      <c r="B29">
        <f>'t-LTM Single'!AA29</f>
        <v>604800</v>
      </c>
      <c r="C29" s="173">
        <f>B29/(60*60*24)</f>
        <v>7</v>
      </c>
      <c r="D29" s="63">
        <f>'t-LTM Single'!AM29</f>
        <v>-0.15919993184058162</v>
      </c>
    </row>
    <row r="31" spans="1:8" x14ac:dyDescent="0.25">
      <c r="A31" t="str">
        <f>'t-LTM Single'!B31</f>
        <v>Davidson, D. (1994). Recognition and recall of irrelevant and interruptive atypical actions in script-based stories. Journal of Memory and Language, 33(6), 757-775.</v>
      </c>
      <c r="B31">
        <f>'t-LTM Single'!AA31</f>
        <v>604800</v>
      </c>
      <c r="C31" s="173">
        <f>B31/(60*60*24)</f>
        <v>7</v>
      </c>
      <c r="D31" s="63">
        <f>'t-LTM Single'!AM31</f>
        <v>-0.18575610221508479</v>
      </c>
    </row>
    <row r="33" spans="1:4" x14ac:dyDescent="0.25">
      <c r="A33" t="str">
        <f>'t-LTM Single'!B33</f>
        <v>Davidson, D. (1994). Recognition and recall of irrelevant and interruptive atypical actions in script-based stories. Journal of Memory and Language, 33(6), 757-775.</v>
      </c>
      <c r="B33">
        <f>'t-LTM Single'!AA33</f>
        <v>604800</v>
      </c>
      <c r="C33" s="173">
        <f>B33/(60*60*24)</f>
        <v>7</v>
      </c>
      <c r="D33" s="63">
        <f>'t-LTM Single'!AM33</f>
        <v>-7.3853853236332159E-2</v>
      </c>
    </row>
    <row r="35" spans="1:4" x14ac:dyDescent="0.25">
      <c r="A35" t="str">
        <f>'t-LTM Single'!B35</f>
        <v xml:space="preserve">Dewar, M., Alber, J., Butler, C., Cowan, N., &amp; Della Salla, S. (2012). Brief wakeful resting boosts new memories over the long term. Psychological Science, 23(9), 955-960.
</v>
      </c>
      <c r="B35">
        <f>'t-LTM Single'!AA35</f>
        <v>604800</v>
      </c>
      <c r="C35" s="173">
        <f>B35/(60*60*24)</f>
        <v>7</v>
      </c>
      <c r="D35" s="63">
        <f>'t-LTM Single'!AM35</f>
        <v>-3.9268388916605348E-2</v>
      </c>
    </row>
    <row r="37" spans="1:4" x14ac:dyDescent="0.25">
      <c r="A37" t="str">
        <f>'t-LTM Single'!B37</f>
        <v xml:space="preserve">Dewar, M., Alber, J., Butler, C., Cowan, N., &amp; Della Salla, S. (2012). Brief wakeful resting boosts new memories over the long term. Psychological Science, 23(9), 955-960.
</v>
      </c>
      <c r="B37">
        <f>'t-LTM Single'!AA37</f>
        <v>604800</v>
      </c>
      <c r="C37" s="173">
        <f>B37/(60*60*24)</f>
        <v>7</v>
      </c>
      <c r="D37" s="63">
        <f>'t-LTM Single'!AM37</f>
        <v>-1.9664862159056648E-2</v>
      </c>
    </row>
    <row r="38" spans="1:4" x14ac:dyDescent="0.25">
      <c r="C38" s="173"/>
      <c r="D38" s="63"/>
    </row>
    <row r="39" spans="1:4" x14ac:dyDescent="0.25">
      <c r="A39" t="str">
        <f>'t-LTM Single'!B39</f>
        <v>Evans, S. J., Elliott, G., Reynders, H., &amp; Isaac, C. L. (2014). Can temporal lobe epilepsy surgery ameliorate accelerated long-term forgetting?. Neuropsychologia, 53, 64-74.</v>
      </c>
      <c r="B39">
        <f>'t-LTM Single'!AA39</f>
        <v>604800</v>
      </c>
      <c r="C39" s="173">
        <f>B39/(60*60*24)</f>
        <v>7</v>
      </c>
      <c r="D39" s="63">
        <f>'t-LTM Single'!AM39</f>
        <v>-4.1470120856888885E-2</v>
      </c>
    </row>
    <row r="40" spans="1:4" x14ac:dyDescent="0.25">
      <c r="C40" s="173"/>
      <c r="D40" s="63"/>
    </row>
    <row r="41" spans="1:4" x14ac:dyDescent="0.25">
      <c r="A41" t="str">
        <f>'t-LTM Single'!B41</f>
        <v>Evans, S. J., Elliott, G., Reynders, H., &amp; Isaac, C. L. (2014). Can temporal lobe epilepsy surgery ameliorate accelerated long-term forgetting?. Neuropsychologia, 53, 64-74.</v>
      </c>
      <c r="B41">
        <f>'t-LTM Single'!AA41</f>
        <v>604800</v>
      </c>
      <c r="C41" s="173">
        <f>B41/(60*60*24)</f>
        <v>7</v>
      </c>
      <c r="D41" s="63">
        <f>'t-LTM Single'!AM41</f>
        <v>-2.040852310772337E-2</v>
      </c>
    </row>
    <row r="42" spans="1:4" x14ac:dyDescent="0.25">
      <c r="C42" s="173"/>
      <c r="D42" s="63"/>
    </row>
    <row r="43" spans="1:4" x14ac:dyDescent="0.25">
      <c r="A43" t="str">
        <f>'t-LTM Single'!B43</f>
        <v>Evans, S. J., Elliott, G., Reynders, H., &amp; Isaac, C. L. (2014). Can temporal lobe epilepsy surgery ameliorate accelerated long-term forgetting?. Neuropsychologia, 53, 64-74.</v>
      </c>
      <c r="B43">
        <f>'t-LTM Single'!AA43</f>
        <v>604800</v>
      </c>
      <c r="C43" s="173">
        <f>B43/(60*60*24)</f>
        <v>7</v>
      </c>
      <c r="D43" s="63">
        <f>'t-LTM Single'!AM43</f>
        <v>-1.9974461330275948E-2</v>
      </c>
    </row>
    <row r="44" spans="1:4" x14ac:dyDescent="0.25">
      <c r="C44" s="173"/>
      <c r="D44" s="63"/>
    </row>
    <row r="45" spans="1:4" x14ac:dyDescent="0.25">
      <c r="A45" t="str">
        <f>'t-LTM Single'!B45</f>
        <v>Evans, S. J., Elliott, G., Reynders, H., &amp; Isaac, C. L. (2014). Can temporal lobe epilepsy surgery ameliorate accelerated long-term forgetting?. Neuropsychologia, 53, 64-74.</v>
      </c>
      <c r="B45">
        <f>'t-LTM Single'!AA45</f>
        <v>604800</v>
      </c>
      <c r="C45" s="173">
        <f>B45/(60*60*24)</f>
        <v>7</v>
      </c>
      <c r="D45" s="63">
        <f>'t-LTM Single'!AM45</f>
        <v>-3.1732687254297863E-2</v>
      </c>
    </row>
    <row r="46" spans="1:4" x14ac:dyDescent="0.25">
      <c r="C46" s="173"/>
      <c r="D46" s="63"/>
    </row>
    <row r="47" spans="1:4" x14ac:dyDescent="0.25">
      <c r="A47" t="str">
        <f>'t-LTM Single'!B47</f>
        <v>Evans, S. J., Elliott, G., Reynders, H., &amp; Isaac, C. L. (2014). Can temporal lobe epilepsy surgery ameliorate accelerated long-term forgetting?. Neuropsychologia, 53, 64-74.</v>
      </c>
      <c r="B47">
        <f>'t-LTM Single'!AA47</f>
        <v>604800</v>
      </c>
      <c r="C47" s="173">
        <f>B47/(60*60*24)</f>
        <v>7</v>
      </c>
      <c r="D47" s="63">
        <f>'t-LTM Single'!AM47</f>
        <v>-1.6813191845441774E-2</v>
      </c>
    </row>
    <row r="48" spans="1:4" x14ac:dyDescent="0.25">
      <c r="C48" s="173"/>
      <c r="D48" s="63"/>
    </row>
    <row r="49" spans="1:4" x14ac:dyDescent="0.25">
      <c r="A49" t="str">
        <f>'t-LTM Single'!B49</f>
        <v>Evans, S. J., Elliott, G., Reynders, H., &amp; Isaac, C. L. (2014). Can temporal lobe epilepsy surgery ameliorate accelerated long-term forgetting?. Neuropsychologia, 53, 64-74.</v>
      </c>
      <c r="B49">
        <f>'t-LTM Single'!AA49</f>
        <v>604800</v>
      </c>
      <c r="C49" s="173">
        <f>B49/(60*60*24)</f>
        <v>7</v>
      </c>
      <c r="D49" s="63">
        <f>'t-LTM Single'!AM49</f>
        <v>-1.9148678371994979E-2</v>
      </c>
    </row>
    <row r="50" spans="1:4" x14ac:dyDescent="0.25">
      <c r="C50" s="173"/>
      <c r="D50" s="63"/>
    </row>
    <row r="51" spans="1:4" x14ac:dyDescent="0.25">
      <c r="A51" t="str">
        <f>'t-LTM Single'!B51</f>
        <v>Evans, S. J., Elliott, G., Reynders, H., &amp; Isaac, C. L. (2014). Can temporal lobe epilepsy surgery ameliorate accelerated long-term forgetting?. Neuropsychologia, 53, 64-74.</v>
      </c>
      <c r="B51">
        <f>'t-LTM Single'!AA51</f>
        <v>604800</v>
      </c>
      <c r="C51" s="173">
        <f>B51/(60*60*24)</f>
        <v>7</v>
      </c>
      <c r="D51" s="63">
        <f>'t-LTM Single'!AM51</f>
        <v>-5.0651137425773506E-2</v>
      </c>
    </row>
    <row r="52" spans="1:4" x14ac:dyDescent="0.25">
      <c r="C52" s="173"/>
      <c r="D52" s="63"/>
    </row>
    <row r="53" spans="1:4" x14ac:dyDescent="0.25">
      <c r="A53" t="str">
        <f>'t-LTM Single'!B53</f>
        <v>Evans, S. J., Elliott, G., Reynders, H., &amp; Isaac, C. L. (2014). Can temporal lobe epilepsy surgery ameliorate accelerated long-term forgetting?. Neuropsychologia, 53, 64-74.</v>
      </c>
      <c r="B53">
        <f>'t-LTM Single'!AA53</f>
        <v>604800</v>
      </c>
      <c r="C53" s="173">
        <f>B53/(60*60*24)</f>
        <v>7</v>
      </c>
      <c r="D53" s="63">
        <f>'t-LTM Single'!AM53</f>
        <v>-4.8660829493556233E-2</v>
      </c>
    </row>
    <row r="55" spans="1:4" x14ac:dyDescent="0.25">
      <c r="A55" t="str">
        <f>'t-LTM Single'!B55</f>
        <v xml:space="preserve">Fioravanti, M., &amp; Di Cesare, F. (1992). Forgetting curves in long-term memory: Evidence for a multistage model of retention. Brain and Cognition, 18, 116-124.
</v>
      </c>
      <c r="B55">
        <f>'t-LTM Single'!AA55</f>
        <v>172800</v>
      </c>
      <c r="C55" s="173">
        <f>B55/(60*60*24)</f>
        <v>2</v>
      </c>
      <c r="D55" s="63">
        <f>'t-LTM Single'!AM55</f>
        <v>-1.6251198968042613E-2</v>
      </c>
    </row>
    <row r="57" spans="1:4" x14ac:dyDescent="0.25">
      <c r="A57" t="str">
        <f>'t-LTM Single'!B57</f>
        <v>Fisher, J. S. (2020). Dissertation</v>
      </c>
      <c r="B57">
        <f>'t-LTM Single'!AA57</f>
        <v>604800</v>
      </c>
      <c r="C57" s="173">
        <f>B57/(60*60*24)</f>
        <v>7</v>
      </c>
      <c r="D57" s="63">
        <f>'t-LTM Single'!AM57</f>
        <v>-0.10638132353925876</v>
      </c>
    </row>
    <row r="59" spans="1:4" x14ac:dyDescent="0.25">
      <c r="A59" t="str">
        <f>'t-LTM Single'!B59</f>
        <v>Fisher, J. S. (2020). Dissertation</v>
      </c>
      <c r="B59">
        <f>'t-LTM Single'!AA59</f>
        <v>604800</v>
      </c>
      <c r="C59" s="173">
        <f>B59/(60*60*24)</f>
        <v>7</v>
      </c>
      <c r="D59" s="63">
        <f>'t-LTM Single'!AM59</f>
        <v>-0.21977134839840412</v>
      </c>
    </row>
    <row r="61" spans="1:4" x14ac:dyDescent="0.25">
      <c r="A61" t="str">
        <f>'t-LTM Single'!B61</f>
        <v>Fisher, J. S. (2020). Dissertation</v>
      </c>
      <c r="B61">
        <f>'t-LTM Single'!AA61</f>
        <v>604800</v>
      </c>
      <c r="C61" s="173">
        <f>B61/(60*60*24)</f>
        <v>7</v>
      </c>
      <c r="D61" s="63">
        <f>'t-LTM Single'!AM61</f>
        <v>-2.5025125375607447E-2</v>
      </c>
    </row>
    <row r="63" spans="1:4" x14ac:dyDescent="0.25">
      <c r="A63" t="str">
        <f>'t-LTM Single'!B63</f>
        <v>Fisher, J. S. (2020). Dissertation</v>
      </c>
      <c r="B63">
        <f>'t-LTM Single'!AA63</f>
        <v>604800</v>
      </c>
      <c r="C63" s="173">
        <f>B63/(60*60*24)</f>
        <v>7</v>
      </c>
      <c r="D63" s="63">
        <f>'t-LTM Single'!AM63</f>
        <v>-4.8853910085287923E-2</v>
      </c>
    </row>
    <row r="65" spans="1:4" x14ac:dyDescent="0.25">
      <c r="A65" t="str">
        <f>'t-LTM Single'!B65</f>
        <v>Fisher, J. S. (2020). Dissertation</v>
      </c>
      <c r="B65">
        <f>'t-LTM Single'!AA65</f>
        <v>604800</v>
      </c>
      <c r="C65" s="173">
        <f>B65/(60*60*24)</f>
        <v>7</v>
      </c>
      <c r="D65" s="63">
        <f>'t-LTM Single'!AM65</f>
        <v>-0.12884593549700782</v>
      </c>
    </row>
    <row r="67" spans="1:4" x14ac:dyDescent="0.25">
      <c r="A67" t="str">
        <f>'t-LTM Single'!B67</f>
        <v>Fisher, J. S. (2020). Dissertation</v>
      </c>
      <c r="B67">
        <f>'t-LTM Single'!AA67</f>
        <v>604800</v>
      </c>
      <c r="C67" s="173">
        <f>B67/(60*60*24)</f>
        <v>7</v>
      </c>
      <c r="D67" s="63">
        <f>'t-LTM Single'!AM67</f>
        <v>-6.7982734725501884E-2</v>
      </c>
    </row>
    <row r="69" spans="1:4" x14ac:dyDescent="0.25">
      <c r="A69" t="str">
        <f>'t-LTM Single'!B69</f>
        <v>Fisher, J. S. (2020). Dissertation</v>
      </c>
      <c r="B69">
        <f>'t-LTM Single'!AA69</f>
        <v>604800</v>
      </c>
      <c r="C69" s="173">
        <f>B69/(60*60*24)</f>
        <v>7</v>
      </c>
      <c r="D69" s="63">
        <f>'t-LTM Single'!AM69</f>
        <v>-2.9406470587592642E-2</v>
      </c>
    </row>
    <row r="71" spans="1:4" x14ac:dyDescent="0.25">
      <c r="A71" t="str">
        <f>'t-LTM Single'!B71</f>
        <v>Fisher, J. S. (2020). Dissertation</v>
      </c>
      <c r="B71">
        <f>'t-LTM Single'!AA71</f>
        <v>604800</v>
      </c>
      <c r="C71" s="173">
        <f>B71/(60*60*24)</f>
        <v>7</v>
      </c>
      <c r="D71" s="63">
        <f>'t-LTM Single'!AM71</f>
        <v>-1.3867887696298507E-2</v>
      </c>
    </row>
    <row r="72" spans="1:4" x14ac:dyDescent="0.25">
      <c r="C72" s="173"/>
      <c r="D72" s="63"/>
    </row>
    <row r="73" spans="1:4" x14ac:dyDescent="0.25">
      <c r="A73" t="str">
        <f>'t-LTM Single'!B73</f>
        <v>Fitzgerald, Z., Thayer, Z., Mohamed, A., &amp; Miller, L. A. (2013). Examining factors related to accelerated long‐term forgetting in epilepsy using ambulatory EEG monitoring. Epilepsia, 54(5), 819-827.</v>
      </c>
      <c r="B73">
        <f>'t-LTM Single'!AA73</f>
        <v>604800</v>
      </c>
      <c r="C73" s="173">
        <f>B73/(60*60*24)</f>
        <v>7</v>
      </c>
      <c r="D73" s="63">
        <f>'t-LTM Single'!AM73</f>
        <v>-3.1927310533355263E-2</v>
      </c>
    </row>
    <row r="74" spans="1:4" x14ac:dyDescent="0.25">
      <c r="C74" s="173"/>
      <c r="D74" s="63"/>
    </row>
    <row r="75" spans="1:4" x14ac:dyDescent="0.25">
      <c r="A75" t="str">
        <f>'t-LTM Single'!B75</f>
        <v>Fitzgerald, Z., Thayer, Z., Mohamed, A., &amp; Miller, L. A. (2013). Examining factors related to accelerated long‐term forgetting in epilepsy using ambulatory EEG monitoring. Epilepsia, 54(5), 819-827.</v>
      </c>
      <c r="B75">
        <f>'t-LTM Single'!AA75</f>
        <v>604800</v>
      </c>
      <c r="C75" s="173">
        <f>B75/(60*60*24)</f>
        <v>7</v>
      </c>
      <c r="D75" s="63">
        <f>'t-LTM Single'!AM75</f>
        <v>-1.5360689594856362E-2</v>
      </c>
    </row>
    <row r="77" spans="1:4" x14ac:dyDescent="0.25">
      <c r="A77" t="str">
        <f>'t-LTM Single'!B77</f>
        <v>Flores, S., Bailey, H. R., Eisenberg, M. L., &amp; Zacks, J. M. (2017). Event segmentation improves event memory up to one month later. Journal of Experimental Psychology: Learning, Memory, and Cognition, 43(8), 1183-1202.</v>
      </c>
      <c r="B77">
        <f>'t-LTM Single'!AA77</f>
        <v>604800</v>
      </c>
      <c r="C77" s="173">
        <f>B77/(60*60*24)</f>
        <v>7</v>
      </c>
      <c r="D77" s="63">
        <f>'t-LTM Single'!AM77</f>
        <v>-1.2135508937400896E-2</v>
      </c>
    </row>
    <row r="79" spans="1:4" x14ac:dyDescent="0.25">
      <c r="A79" t="str">
        <f>'t-LTM Single'!B79</f>
        <v>Flores, S., Bailey, H. R., Eisenberg, M. L., &amp; Zacks, J. M. (2017). Event segmentation improves event memory up to one month later. Journal of Experimental Psychology: Learning, Memory, and Cognition, 43(8), 1183-1202.</v>
      </c>
      <c r="B79">
        <f>'t-LTM Single'!AA79</f>
        <v>604800</v>
      </c>
      <c r="C79" s="173">
        <f>B79/(60*60*24)</f>
        <v>7</v>
      </c>
      <c r="D79" s="63">
        <f>'t-LTM Single'!AM79</f>
        <v>-1.7808878466835282E-2</v>
      </c>
    </row>
    <row r="81" spans="1:4" x14ac:dyDescent="0.25">
      <c r="A81" t="str">
        <f>'t-LTM Single'!B81</f>
        <v>Flores, S., Bailey, H. R., Eisenberg, M. L., &amp; Zacks, J. M. (2017). Event segmentation improves event memory up to one month later. Journal of Experimental Psychology: Learning, Memory, and Cognition, 43(8), 1183-1202.</v>
      </c>
      <c r="B81">
        <f>'t-LTM Single'!AA81</f>
        <v>604800</v>
      </c>
      <c r="C81" s="173">
        <f>B81/(60*60*24)</f>
        <v>7</v>
      </c>
      <c r="D81" s="63">
        <f>'t-LTM Single'!AM81</f>
        <v>-2.3146964031138736E-2</v>
      </c>
    </row>
    <row r="83" spans="1:4" x14ac:dyDescent="0.25">
      <c r="A83" t="str">
        <f>'t-LTM Single'!B83</f>
        <v>Goetschalckx, L., Moors, P., &amp; Wagemans, J. (2018). Image memorability across longer time intervals. Memory, 26(5), 581-588.</v>
      </c>
      <c r="B83">
        <f>'t-LTM Single'!AA83</f>
        <v>604800</v>
      </c>
      <c r="C83" s="173">
        <f>B83/(60*60*24)</f>
        <v>7</v>
      </c>
      <c r="D83" s="63">
        <f>'t-LTM Single'!AM83</f>
        <v>-3.6145297356931498E-2</v>
      </c>
    </row>
    <row r="85" spans="1:4" x14ac:dyDescent="0.25">
      <c r="A85" t="str">
        <f>'t-LTM Single'!B85</f>
        <v xml:space="preserve">Goldsmith, M., Koriat, A., &amp; Pansky, A. (2005). Strategic regulation of grain size in memory reporting over time. Journal of Memory and Language, 52, 505-525.
</v>
      </c>
      <c r="B85">
        <f>'t-LTM Single'!AA85</f>
        <v>604800</v>
      </c>
      <c r="C85" s="173">
        <f>B85/(60*60*24)</f>
        <v>7</v>
      </c>
      <c r="D85" s="63">
        <f>'t-LTM Single'!AM85</f>
        <v>-5.3563338424100639E-2</v>
      </c>
    </row>
    <row r="87" spans="1:4" x14ac:dyDescent="0.25">
      <c r="A87" t="str">
        <f>'t-LTM Single'!B87</f>
        <v xml:space="preserve">Goldsmith, M., Koriat, A., &amp; Pansky, A. (2005). Strategic regulation of grain size in memory reporting over time. Journal of Memory and Language, 52, 505-525.
</v>
      </c>
      <c r="B87">
        <f>'t-LTM Single'!AA87</f>
        <v>604800</v>
      </c>
      <c r="C87" s="173">
        <f>B87/(60*60*24)</f>
        <v>7</v>
      </c>
      <c r="D87" s="63">
        <f>'t-LTM Single'!AM87</f>
        <v>-6.0378123203897564E-2</v>
      </c>
    </row>
    <row r="89" spans="1:4" x14ac:dyDescent="0.25">
      <c r="A89" t="str">
        <f>'t-LTM Single'!B89</f>
        <v xml:space="preserve">Goldsmith, M., Koriat, A., &amp; Pansky, A. (2005). Strategic regulation of grain size in memory reporting over time. Journal of Memory and Language, 52, 505-525.
</v>
      </c>
      <c r="B89">
        <f>'t-LTM Single'!AA89</f>
        <v>604800</v>
      </c>
      <c r="C89" s="173">
        <f>B89/(60*60*24)</f>
        <v>7</v>
      </c>
      <c r="D89" s="63">
        <f>'t-LTM Single'!AM89</f>
        <v>-0.13191737937665859</v>
      </c>
    </row>
    <row r="91" spans="1:4" x14ac:dyDescent="0.25">
      <c r="A91" t="str">
        <f>'t-LTM Single'!B91</f>
        <v>Hasher, L. &amp; Griffin, M. (1978). Reconstructive and reproductive processes in memory. Journal of Experimental Psychology: Human Learning and Memory. 4(4), 318-330.</v>
      </c>
      <c r="B91">
        <f>'t-LTM Single'!AA91</f>
        <v>604800</v>
      </c>
      <c r="C91" s="173">
        <f>B91/(60*60*24)</f>
        <v>7</v>
      </c>
      <c r="D91" s="63">
        <f>'t-LTM Single'!AM91</f>
        <v>-0.10803581450967538</v>
      </c>
    </row>
    <row r="93" spans="1:4" x14ac:dyDescent="0.25">
      <c r="A93" t="str">
        <f>'t-LTM Single'!B93</f>
        <v>Hasher, L. &amp; Griffin, M. (1978). Reconstructive and reproductive processes in memory. Journal of Experimental Psychology: Human Learning and Memory. 4(4), 318-330.</v>
      </c>
      <c r="B93">
        <f>'t-LTM Single'!AA93</f>
        <v>604800</v>
      </c>
      <c r="C93" s="173">
        <f>B93/(60*60*24)</f>
        <v>7</v>
      </c>
      <c r="D93" s="63">
        <f>'t-LTM Single'!AM93</f>
        <v>-3.2578970418358659E-2</v>
      </c>
    </row>
    <row r="95" spans="1:4" x14ac:dyDescent="0.25">
      <c r="A95" t="str">
        <f>'t-LTM Single'!B95</f>
        <v>Hashtroudi, S., Ferguson, S., Rappold, V., Chrosniak, L., &amp; Roediger, Henry L. (1988). Data-Driven and Conceptually Driven Processes in Partial-Word Identification and Recognition. Journal of Experimental Psychology: Learning, Memory, and Cognition, 14(4), 749-757.</v>
      </c>
      <c r="B95">
        <f>'t-LTM Single'!AA95</f>
        <v>86400</v>
      </c>
      <c r="C95" s="173">
        <f>B95/(60*60*24)</f>
        <v>1</v>
      </c>
      <c r="D95" s="63">
        <f>'t-LTM Single'!AM95</f>
        <v>-3.3090854239568694E-2</v>
      </c>
    </row>
    <row r="97" spans="1:5" x14ac:dyDescent="0.25">
      <c r="A97" t="str">
        <f>'t-LTM Single'!B97</f>
        <v>Hashtroudi, S., Ferguson, S., Rappold, V., Chrosniak, L., &amp; Roediger, Henry L. (1988). Data-Driven and Conceptually Driven Processes in Partial-Word Identification and Recognition. Journal of Experimental Psychology: Learning, Memory, and Cognition, 14(4), 749-757.</v>
      </c>
      <c r="B97">
        <f>'t-LTM Single'!AA97</f>
        <v>86400</v>
      </c>
      <c r="C97" s="173">
        <f>B97/(60*60*24)</f>
        <v>1</v>
      </c>
      <c r="D97" s="63">
        <f>'t-LTM Single'!AM97</f>
        <v>-3.3182958324869442E-2</v>
      </c>
    </row>
    <row r="99" spans="1:5" x14ac:dyDescent="0.25">
      <c r="A99" t="str">
        <f>'t-LTM Single'!B99</f>
        <v>Howarth, E., &amp; Eysenck, H. J. (1969). Extraversion, Arousal, and Paired-Associate REcall. Journal of Experimental Research in Personality, 3, 114-116.</v>
      </c>
      <c r="B99">
        <f>'t-LTM Single'!AA99</f>
        <v>86400</v>
      </c>
      <c r="C99" s="173">
        <f>B99/(60*60*24)</f>
        <v>1</v>
      </c>
      <c r="D99" s="63">
        <f>'t-LTM Single'!AM99</f>
        <v>-5.9043720295593315E-2</v>
      </c>
    </row>
    <row r="101" spans="1:5" x14ac:dyDescent="0.25">
      <c r="A101" t="str">
        <f>'t-LTM Single'!B101</f>
        <v>Huppert, F. A., &amp; Piercy, M. (1979). Normal and abnormal forgetting in organic amnesia: effect of locus of lesion. Cortex, 15(3), 385-390.</v>
      </c>
      <c r="B101">
        <f>'t-LTM Single'!AA101</f>
        <v>604800</v>
      </c>
      <c r="C101" s="173">
        <f>B101/(60*60*24)</f>
        <v>7</v>
      </c>
      <c r="D101" s="63">
        <f>'t-LTM Single'!AM101</f>
        <v>-2.4619458230427545E-2</v>
      </c>
    </row>
    <row r="103" spans="1:5" x14ac:dyDescent="0.25">
      <c r="A103" t="str">
        <f>'t-LTM Single'!B103</f>
        <v>Huppert, F. A., &amp; Piercy, M. (1978). Dissociation between learning and remembering in organic amnesia. Nature, 275(5678), 317-318.</v>
      </c>
      <c r="B103">
        <f>'t-LTM Single'!AA103</f>
        <v>604800</v>
      </c>
      <c r="C103" s="173">
        <f>B103/(60*60*24)</f>
        <v>7</v>
      </c>
      <c r="D103" s="63">
        <f>'t-LTM Single'!AM103</f>
        <v>-3.0946718045348078E-2</v>
      </c>
    </row>
    <row r="105" spans="1:5" x14ac:dyDescent="0.25">
      <c r="A105" t="str">
        <f>'t-LTM Single'!B105</f>
        <v xml:space="preserve">Kaplan, R., &amp; Kaplan, S. (1969). The arousal-retention interval interaction revisited: The effects of some procedural changes. Psychonomic Science, 15, 84-85.
</v>
      </c>
      <c r="B105">
        <f>'t-LTM Single'!AA105</f>
        <v>172800</v>
      </c>
      <c r="C105" s="173">
        <f>B105/(60*60*24)</f>
        <v>2</v>
      </c>
      <c r="D105" s="63">
        <f>'t-LTM Single'!AM105</f>
        <v>-5.8187416724719776E-2</v>
      </c>
    </row>
    <row r="107" spans="1:5" x14ac:dyDescent="0.25">
      <c r="A107" t="str">
        <f>'t-LTM Single'!B107</f>
        <v xml:space="preserve">Kaplan, R., &amp; Kaplan, S. (1969). The arousal-retention interval interaction revisited: The effects of some procedural changes. Psychonomic Science, 15, 84-85.
</v>
      </c>
      <c r="B107">
        <f>'t-LTM Single'!AA107</f>
        <v>172800</v>
      </c>
      <c r="C107" s="173">
        <f>B107/(60*60*24)</f>
        <v>2</v>
      </c>
      <c r="D107" s="63">
        <f>'t-LTM Single'!AM107</f>
        <v>-9.794832078783669E-2</v>
      </c>
    </row>
    <row r="109" spans="1:5" x14ac:dyDescent="0.25">
      <c r="A109" t="str">
        <f>'t-LTM Single'!B109</f>
        <v xml:space="preserve">Kleinsmith, L. J., &amp; Kaplan, S. (1963). Paired-associate learning as a function of arousal and interpolated interval. Journal of Experimental Psychology, 65(2), 190-193.
</v>
      </c>
      <c r="B109">
        <f>'t-LTM Single'!AA109</f>
        <v>604800</v>
      </c>
      <c r="C109" s="173">
        <f>B109/(60*60*24)</f>
        <v>7</v>
      </c>
      <c r="D109" s="171"/>
      <c r="E109" s="63">
        <f>'t-LTM Single'!AM204</f>
        <v>-0.58855774879787159</v>
      </c>
    </row>
    <row r="111" spans="1:5" x14ac:dyDescent="0.25">
      <c r="A111" t="str">
        <f>'t-LTM Single'!B111</f>
        <v xml:space="preserve">Kleinsmith, L. J., &amp; Kaplan, S. (1964). Interaction of arousal and recall interval in nonsense syllable paired-associate learning. Journal of Experimental Psychology, 67(2), 124-126.
</v>
      </c>
      <c r="B111">
        <f>'t-LTM Single'!AA111</f>
        <v>604800</v>
      </c>
      <c r="C111" s="173">
        <f>B111/(60*60*24)</f>
        <v>7</v>
      </c>
      <c r="D111" s="63">
        <f>'t-LTM Single'!AM111</f>
        <v>-0.20025067487493042</v>
      </c>
    </row>
    <row r="112" spans="1:5" x14ac:dyDescent="0.25">
      <c r="C112" s="173"/>
      <c r="D112" s="63"/>
    </row>
    <row r="113" spans="1:4" x14ac:dyDescent="0.25">
      <c r="A113" t="str">
        <f>'t-LTM Single'!B113</f>
        <v>Kopelman, M. D. (1985). Rates of forgetting in Alzheimer-type dementia and Korsakoff's syndrome. Neuropsychologia, 23(5), 623-638.</v>
      </c>
      <c r="B113">
        <f>'t-LTM Single'!AA113</f>
        <v>604800</v>
      </c>
      <c r="C113" s="173">
        <f>B113/(60*60*24)</f>
        <v>7</v>
      </c>
      <c r="D113" s="63">
        <f>'t-LTM Single'!AM113</f>
        <v>-4.1553017301313395E-2</v>
      </c>
    </row>
    <row r="115" spans="1:4" x14ac:dyDescent="0.25">
      <c r="A115" t="str">
        <f>'t-LTM Single'!B115</f>
        <v xml:space="preserve">Legenfelder, J., Chiaravalloti, N. D., DeLuca, J. (2007). The efficacy of the generation effect in improving new learning in persons with traumatic brain injury. Rehabilitation Psychology, 52(3), 290-296.
</v>
      </c>
      <c r="B115">
        <f>'t-LTM Single'!AA115</f>
        <v>604800</v>
      </c>
      <c r="C115" s="173">
        <f>B115/(60*60*24)</f>
        <v>7</v>
      </c>
      <c r="D115" s="63">
        <f>'t-LTM Single'!AM115</f>
        <v>-6.5888483525902999E-2</v>
      </c>
    </row>
    <row r="117" spans="1:4" x14ac:dyDescent="0.25">
      <c r="A117" t="str">
        <f>'t-LTM Single'!B117</f>
        <v xml:space="preserve">Legenfelder, J., Chiaravalloti, N. D., DeLuca, J. (2007). The efficacy of the generation effect in improving new learning in persons with traumatic brain injury. Rehabilitation Psychology, 52(3), 290-296.
</v>
      </c>
      <c r="B117">
        <f>'t-LTM Single'!AA117</f>
        <v>604800</v>
      </c>
      <c r="C117" s="173">
        <f>B117/(60*60*24)</f>
        <v>7</v>
      </c>
      <c r="D117" s="63">
        <f>'t-LTM Single'!AM117</f>
        <v>-6.6679408592660666E-2</v>
      </c>
    </row>
    <row r="119" spans="1:4" x14ac:dyDescent="0.25">
      <c r="A119" t="str">
        <f>'t-LTM Single'!B119</f>
        <v xml:space="preserve">Legenfelder, J., Chiaravalloti, N. D., DeLuca, J. (2007). The efficacy of the generation effect in improving new learning in persons with traumatic brain injury. Rehabilitation Psychology, 52(3), 290-296.
</v>
      </c>
      <c r="B119">
        <f>'t-LTM Single'!AA119</f>
        <v>604800</v>
      </c>
      <c r="C119" s="173">
        <f>B119/(60*60*24)</f>
        <v>7</v>
      </c>
      <c r="D119" s="63">
        <f>'t-LTM Single'!AM119</f>
        <v>-1.1036816622011864E-2</v>
      </c>
    </row>
    <row r="121" spans="1:4" x14ac:dyDescent="0.25">
      <c r="A121" t="str">
        <f>'t-LTM Single'!B121</f>
        <v xml:space="preserve">Legenfelder, J., Chiaravalloti, N. D., DeLuca, J. (2007). The efficacy of the generation effect in improving new learning in persons with traumatic brain injury. Rehabilitation Psychology, 52(3), 290-296.
</v>
      </c>
      <c r="B121">
        <f>'t-LTM Single'!AA121</f>
        <v>604800</v>
      </c>
      <c r="C121" s="173">
        <f>B121/(60*60*24)</f>
        <v>7</v>
      </c>
      <c r="D121" s="63">
        <f>'t-LTM Single'!AM121</f>
        <v>-1.4151289308539197E-2</v>
      </c>
    </row>
    <row r="122" spans="1:4" x14ac:dyDescent="0.25">
      <c r="C122" s="173"/>
      <c r="D122" s="63"/>
    </row>
    <row r="123" spans="1:4" x14ac:dyDescent="0.25">
      <c r="A123" t="str">
        <f>'t-LTM Single'!B123</f>
        <v>Levin, H. S., High, W. M., &amp; Eisenberg, H. M. (1988). Learning and forgetting during posttraumatic amnesia in head injured patients. Journal of Neurology, Neurosurgery &amp; Psychiatry, 51(1), 14-20.</v>
      </c>
      <c r="B123">
        <f>'t-LTM Single'!AA123</f>
        <v>115200</v>
      </c>
      <c r="C123" s="173">
        <f>B123/(60*60*24)</f>
        <v>1.3333333333333333</v>
      </c>
      <c r="D123" s="63">
        <f>'t-LTM Single'!AM123</f>
        <v>-3.0424455677092052E-2</v>
      </c>
    </row>
    <row r="125" spans="1:4" x14ac:dyDescent="0.25">
      <c r="A125" t="str">
        <f>'t-LTM Single'!B125</f>
        <v xml:space="preserve">Mammarella, N., Farifield, B., &amp; Cornoldi, C. (2007). Reality monitoring and resistance to forgetting under short delay intervals. The Quarterly Journal of Experimental Psychology, 60(4), 551-570.
</v>
      </c>
      <c r="B125">
        <f>'t-LTM Single'!AA125</f>
        <v>172800</v>
      </c>
      <c r="C125" s="173">
        <f>B125/(60*60*24)</f>
        <v>2</v>
      </c>
      <c r="D125" s="63">
        <f>'t-LTM Single'!AM125</f>
        <v>-3.966017765075585E-2</v>
      </c>
    </row>
    <row r="127" spans="1:4" x14ac:dyDescent="0.25">
      <c r="A127" t="str">
        <f>'t-LTM Single'!B127</f>
        <v xml:space="preserve">Mammarella, N., Farifield, B., &amp; Cornoldi, C. (2007). Reality monitoring and resistance to forgetting under short delay intervals. The Quarterly Journal of Experimental Psychology, 60(4), 551-570.
</v>
      </c>
      <c r="B127">
        <f>'t-LTM Single'!AA127</f>
        <v>172800</v>
      </c>
      <c r="C127" s="173">
        <f>B127/(60*60*24)</f>
        <v>2</v>
      </c>
      <c r="D127" s="63">
        <f>'t-LTM Single'!AM127</f>
        <v>-0.10469048836856661</v>
      </c>
    </row>
    <row r="129" spans="1:4" x14ac:dyDescent="0.25">
      <c r="A129" t="str">
        <f>'t-LTM Single'!B129</f>
        <v xml:space="preserve">Mammarella, N., Farifield, B., &amp; Cornoldi, C. (2007). Reality monitoring and resistance to forgetting under short delay intervals. The Quarterly Journal of Experimental Psychology, 60(4), 551-570.
</v>
      </c>
      <c r="B129">
        <f>'t-LTM Single'!AA129</f>
        <v>172800</v>
      </c>
      <c r="C129" s="173">
        <f>B129/(60*60*24)</f>
        <v>2</v>
      </c>
      <c r="D129" s="63">
        <f>'t-LTM Single'!AM129</f>
        <v>-9.6008187041175721E-3</v>
      </c>
    </row>
    <row r="131" spans="1:4" x14ac:dyDescent="0.25">
      <c r="A131" t="str">
        <f>'t-LTM Single'!B131</f>
        <v xml:space="preserve">Mammarella, N., Farifield, B., &amp; Cornoldi, C. (2007). Reality monitoring and resistance to forgetting under short delay intervals. The Quarterly Journal of Experimental Psychology, 60(4), 551-570.
</v>
      </c>
      <c r="B131">
        <f>'t-LTM Single'!AA131</f>
        <v>172800</v>
      </c>
      <c r="C131" s="173">
        <f>B131/(60*60*24)</f>
        <v>2</v>
      </c>
      <c r="D131" s="63">
        <f>'t-LTM Single'!AM131</f>
        <v>-1.7605154868915986E-2</v>
      </c>
    </row>
    <row r="133" spans="1:4" x14ac:dyDescent="0.25">
      <c r="A133" t="str">
        <f>'t-LTM Single'!B133</f>
        <v>Martini, M., Martini, C., Maran, T., &amp; Sachse, P. (2018). Effects of post-encoding wakeful rest and study time on long-term memory performance. Journal of Cognitive Psychology, 30(5-6), 558-569.</v>
      </c>
      <c r="B133">
        <f>'t-LTM Single'!AA133</f>
        <v>604800</v>
      </c>
      <c r="C133" s="173">
        <f>B133/(60*60*24)</f>
        <v>7</v>
      </c>
      <c r="D133" s="63">
        <f>'t-LTM Single'!AM133</f>
        <v>-4.7866769554813511E-2</v>
      </c>
    </row>
    <row r="135" spans="1:4" x14ac:dyDescent="0.25">
      <c r="A135" t="str">
        <f>'t-LTM Single'!B135</f>
        <v>Martini, M., Martini, C., Maran, T., &amp; Sachse, P. (2018). Effects of post-encoding wakeful rest and study time on long-term memory performance. Journal of Cognitive Psychology, 30(5-6), 558-569.</v>
      </c>
      <c r="B135">
        <f>'t-LTM Single'!AA135</f>
        <v>604800</v>
      </c>
      <c r="C135" s="173">
        <f>B135/(60*60*24)</f>
        <v>7</v>
      </c>
      <c r="D135" s="63">
        <f>'t-LTM Single'!AM135</f>
        <v>-2.4665227897221281E-2</v>
      </c>
    </row>
    <row r="137" spans="1:4" x14ac:dyDescent="0.25">
      <c r="A137" t="str">
        <f>'t-LTM Single'!B137</f>
        <v>Martini, M., Martini, C., Maran, T., &amp; Sachse, P. (2018). Effects of post-encoding wakeful rest and study time on long-term memory performance. Journal of Cognitive Psychology, 30(5-6), 558-569.</v>
      </c>
      <c r="B137">
        <f>'t-LTM Single'!AA137</f>
        <v>604800</v>
      </c>
      <c r="C137" s="173">
        <f>B137/(60*60*24)</f>
        <v>7</v>
      </c>
      <c r="D137" s="63">
        <f>'t-LTM Single'!AM137</f>
        <v>-7.551750898022197E-2</v>
      </c>
    </row>
    <row r="139" spans="1:4" x14ac:dyDescent="0.25">
      <c r="A139" t="str">
        <f>'t-LTM Single'!B139</f>
        <v>Martini, M., Martini, C., Maran, T., &amp; Sachse, P. (2018). Effects of post-encoding wakeful rest and study time on long-term memory performance. Journal of Cognitive Psychology, 30(5-6), 558-569.</v>
      </c>
      <c r="B139">
        <f>'t-LTM Single'!AA139</f>
        <v>604800</v>
      </c>
      <c r="C139" s="173">
        <f>B139/(60*60*24)</f>
        <v>7</v>
      </c>
      <c r="D139" s="63">
        <f>'t-LTM Single'!AM139</f>
        <v>-4.5534825890511214E-2</v>
      </c>
    </row>
    <row r="140" spans="1:4" x14ac:dyDescent="0.25">
      <c r="C140" s="173"/>
      <c r="D140" s="63"/>
    </row>
    <row r="141" spans="1:4" x14ac:dyDescent="0.25">
      <c r="A141" t="str">
        <f>'t-LTM Single'!B141</f>
        <v>McKee, R. D., &amp; Squire, L. R. (1992). Equivalent forgetting rates in long-term memory for diencephalic and medial temporal lobe amnesia. Journal of Neuroscience, 12(10), 3765-3772.</v>
      </c>
      <c r="B141">
        <f>'t-LTM Single'!AA141</f>
        <v>111600</v>
      </c>
      <c r="C141" s="173">
        <f>B141/(60*60*24)</f>
        <v>1.2916666666666667</v>
      </c>
      <c r="D141" s="63">
        <f>'t-LTM Single'!AM141</f>
        <v>-4.3690147371452458E-2</v>
      </c>
    </row>
    <row r="143" spans="1:4" x14ac:dyDescent="0.25">
      <c r="A143" t="str">
        <f>'t-LTM Single'!B143</f>
        <v>Raymaekers, L., Otgaar, H., &amp; Smeets, T. (2014). The longevity of adaptive memory: Evidence for mnemonic advantages of survival processing 24 and 48 hours later. Memory, 22(1), 19-25.</v>
      </c>
      <c r="B143">
        <f>'t-LTM Single'!AA143</f>
        <v>172800</v>
      </c>
      <c r="C143" s="173">
        <f>B143/(60*60*24)</f>
        <v>2</v>
      </c>
      <c r="D143" s="63">
        <f>'t-LTM Single'!AM143</f>
        <v>-9.4484585895395296E-2</v>
      </c>
    </row>
    <row r="145" spans="1:4" x14ac:dyDescent="0.25">
      <c r="A145" t="str">
        <f>'t-LTM Single'!B145</f>
        <v>Raymaekers, L., Otgaar, H., &amp; Smeets, T. (2014). The longevity of adaptive memory: Evidence for mnemonic advantages of survival processing 24 and 48 hours later. Memory, 22(1), 19-25.</v>
      </c>
      <c r="B145">
        <f>'t-LTM Single'!AA145</f>
        <v>172800</v>
      </c>
      <c r="C145" s="173">
        <f>B145/(60*60*24)</f>
        <v>2</v>
      </c>
      <c r="D145" s="63">
        <f>'t-LTM Single'!AM145</f>
        <v>-9.4949048251594365E-2</v>
      </c>
    </row>
    <row r="147" spans="1:4" x14ac:dyDescent="0.25">
      <c r="A147" t="str">
        <f>'t-LTM Single'!B147</f>
        <v>Raymaekers, L., Otgaar, H., &amp; Smeets, T. (2014). The longevity of adaptive memory: Evidence for mnemonic advantages of survival processing 24 and 48 hours later. Memory, 22(1), 19-25.</v>
      </c>
      <c r="B147">
        <f>'t-LTM Single'!AA147</f>
        <v>172800</v>
      </c>
      <c r="C147" s="173">
        <f>B147/(60*60*24)</f>
        <v>2</v>
      </c>
      <c r="D147" s="63">
        <f>'t-LTM Single'!AM147</f>
        <v>-2.2398360480603421E-2</v>
      </c>
    </row>
    <row r="149" spans="1:4" x14ac:dyDescent="0.25">
      <c r="A149" t="str">
        <f>'t-LTM Single'!B149</f>
        <v>Raymaekers, L., Otgaar, H., &amp; Smeets, T. (2014). The longevity of adaptive memory: Evidence for mnemonic advantages of survival processing 24 and 48 hours later. Memory, 22(1), 19-25.</v>
      </c>
      <c r="B149">
        <f>'t-LTM Single'!AA149</f>
        <v>172800</v>
      </c>
      <c r="C149" s="173">
        <f>B149/(60*60*24)</f>
        <v>2</v>
      </c>
      <c r="D149" s="63">
        <f>'t-LTM Single'!AM149</f>
        <v>-2.8118273124892797E-2</v>
      </c>
    </row>
    <row r="151" spans="1:4" x14ac:dyDescent="0.25">
      <c r="A151" t="str">
        <f>'t-LTM Single'!B151</f>
        <v>Slamecka, Norman J., &amp; McElree, Brian. (1983). Normal Forgetting of Verbal Lists as a Function of Their Degree of Learning. Journal of Experimental Psychology: Learning, Memory, and Cognition, 9(3), 384-97.</v>
      </c>
      <c r="B151">
        <f>'t-LTM Single'!AA151</f>
        <v>432000</v>
      </c>
      <c r="C151" s="173">
        <f>B151/(60*60*24)</f>
        <v>5</v>
      </c>
      <c r="D151" s="63">
        <f>'t-LTM Single'!AM151</f>
        <v>-4.916106488143767E-2</v>
      </c>
    </row>
    <row r="153" spans="1:4" x14ac:dyDescent="0.25">
      <c r="A153" t="str">
        <f>'t-LTM Single'!B153</f>
        <v>Slamecka, Norman J., &amp; McElree, Brian. (1983). Normal Forgetting of Verbal Lists as a Function of Their Degree of Learning. Journal of Experimental Psychology: Learning, Memory, and Cognition, 9(3), 384-97.</v>
      </c>
      <c r="B153">
        <f>'t-LTM Single'!AA153</f>
        <v>432000</v>
      </c>
      <c r="C153" s="173">
        <f>B153/(60*60*24)</f>
        <v>5</v>
      </c>
      <c r="D153" s="63">
        <f>'t-LTM Single'!AM153</f>
        <v>-4.5522882976467553E-2</v>
      </c>
    </row>
    <row r="155" spans="1:4" x14ac:dyDescent="0.25">
      <c r="A155" t="str">
        <f>'t-LTM Single'!B155</f>
        <v>Staugaard, S. R., &amp; Berntsen, D. (2019). Retrieval intentionality and forgetting: How retention time and cue distinctiveness affect involuntary and voluntary retrieval of episodic memories. Memory &amp; Cognition, 47(5), 893-905.</v>
      </c>
      <c r="B155">
        <f>'t-LTM Single'!AA155</f>
        <v>604800</v>
      </c>
      <c r="C155" s="173">
        <f>B155/(60*60*24)</f>
        <v>7</v>
      </c>
      <c r="D155" s="63">
        <f>'t-LTM Single'!AM155</f>
        <v>-9.8177891377105322E-2</v>
      </c>
    </row>
    <row r="157" spans="1:4" x14ac:dyDescent="0.25">
      <c r="A157" t="str">
        <f>'t-LTM Single'!B157</f>
        <v>Staugaard, S. R., &amp; Berntsen, D. (2019). Retrieval intentionality and forgetting: How retention time and cue distinctiveness affect involuntary and voluntary retrieval of episodic memories. Memory &amp; Cognition, 47(5), 893-905.</v>
      </c>
      <c r="B157">
        <f>'t-LTM Single'!AA157</f>
        <v>604800</v>
      </c>
      <c r="C157" s="173">
        <f>B157/(60*60*24)</f>
        <v>7</v>
      </c>
      <c r="D157" s="63">
        <f>'t-LTM Single'!AM157</f>
        <v>-7.3823643817259518E-2</v>
      </c>
    </row>
    <row r="159" spans="1:4" x14ac:dyDescent="0.25">
      <c r="A159" t="str">
        <f>'t-LTM Single'!B159</f>
        <v>Staugaard, S. R., &amp; Berntsen, D. (2019). Retrieval intentionality and forgetting: How retention time and cue distinctiveness affect involuntary and voluntary retrieval of episodic memories. Memory &amp; Cognition, 47(5), 893-905.</v>
      </c>
      <c r="B159">
        <f>'t-LTM Single'!AA159</f>
        <v>604800</v>
      </c>
      <c r="C159" s="173">
        <f>B159/(60*60*24)</f>
        <v>7</v>
      </c>
      <c r="D159" s="63">
        <f>'t-LTM Single'!AM159</f>
        <v>-0.11908045800848456</v>
      </c>
    </row>
    <row r="161" spans="1:4" x14ac:dyDescent="0.25">
      <c r="A161" t="str">
        <f>'t-LTM Single'!B161</f>
        <v>Staugaard, S. R., &amp; Berntsen, D. (2019). Retrieval intentionality and forgetting: How retention time and cue distinctiveness affect involuntary and voluntary retrieval of episodic memories. Memory &amp; Cognition, 47(5), 893-905.</v>
      </c>
      <c r="B161">
        <f>'t-LTM Single'!AA161</f>
        <v>604800</v>
      </c>
      <c r="C161" s="173">
        <f>B161/(60*60*24)</f>
        <v>7</v>
      </c>
      <c r="D161" s="63">
        <f>'t-LTM Single'!AM161</f>
        <v>-7.1014336815257609E-2</v>
      </c>
    </row>
    <row r="163" spans="1:4" x14ac:dyDescent="0.25">
      <c r="A163" t="str">
        <f>'t-LTM Single'!B163</f>
        <v>Thapar, A., &amp; McDermott, K. (2001). False recall and false recognition induced by presentation of associated words: Effects of retention interval and level of processing. Memory &amp; Cognition, 29(3), 424-432.</v>
      </c>
      <c r="B163">
        <f>'t-LTM Single'!AA163</f>
        <v>604800</v>
      </c>
      <c r="C163" s="173">
        <f>B163/(60*60*24)</f>
        <v>7</v>
      </c>
      <c r="D163" s="63">
        <f>'t-LTM Single'!AM163</f>
        <v>-0.19722711496947865</v>
      </c>
    </row>
    <row r="165" spans="1:4" x14ac:dyDescent="0.25">
      <c r="A165" t="str">
        <f>'t-LTM Single'!B165</f>
        <v>Thapar, A., &amp; McDermott, K. (2001). False recall and false recognition induced by presentation of associated words: Effects of retention interval and level of processing. Memory &amp; Cognition, 29(3), 424-432.</v>
      </c>
      <c r="B165">
        <f>'t-LTM Single'!AA165</f>
        <v>604800</v>
      </c>
      <c r="C165" s="173">
        <f>B165/(60*60*24)</f>
        <v>7</v>
      </c>
      <c r="D165" s="63">
        <f>'t-LTM Single'!AM165</f>
        <v>-0.16859943924419532</v>
      </c>
    </row>
    <row r="167" spans="1:4" x14ac:dyDescent="0.25">
      <c r="A167" t="str">
        <f>'t-LTM Single'!B167</f>
        <v>Thapar, A., &amp; McDermott, K. (2001). False recall and false recognition induced by presentation of associated words: Effects of retention interval and level of processing. Memory &amp; Cognition, 29(3), 424-432.</v>
      </c>
      <c r="B167">
        <f>'t-LTM Single'!AA167</f>
        <v>604800</v>
      </c>
      <c r="C167" s="173">
        <f>B167/(60*60*24)</f>
        <v>7</v>
      </c>
      <c r="D167" s="63">
        <f>'t-LTM Single'!AM167</f>
        <v>-2.5176675462957005E-2</v>
      </c>
    </row>
    <row r="168" spans="1:4" x14ac:dyDescent="0.25">
      <c r="C168" s="173"/>
      <c r="D168" s="63"/>
    </row>
    <row r="169" spans="1:4" x14ac:dyDescent="0.25">
      <c r="A169" t="str">
        <f>'t-LTM Single'!B169</f>
        <v>van der Werf, S. P., Geurts, S., &amp; de Werd, M. M. (2016). Subjective memory ability and long-term forgetting in patients referred for neuropsychological assessment. Frontiers in psychology, 7, 605.</v>
      </c>
      <c r="B169">
        <f>'t-LTM Single'!AA169</f>
        <v>604800</v>
      </c>
      <c r="C169" s="173">
        <f>B169/(60*60*24)</f>
        <v>7</v>
      </c>
      <c r="D169" s="63">
        <f>'t-LTM Single'!AM169</f>
        <v>-9.3458227671608676E-2</v>
      </c>
    </row>
    <row r="171" spans="1:4" x14ac:dyDescent="0.25">
      <c r="A171" t="str">
        <f>'t-LTM Single'!B171</f>
        <v xml:space="preserve">Walker, E. L., &amp; Tarte, R. D. (1963). Memory storage as a function of arousal and time with homogeneous and heterogeneous lists. Journal of Verbal Learning and Verbal Behavior, 2, 113-119.
</v>
      </c>
      <c r="B171">
        <f>'t-LTM Single'!AA171</f>
        <v>604800</v>
      </c>
      <c r="C171" s="173">
        <f>B171/(60*60*24)</f>
        <v>7</v>
      </c>
      <c r="D171" s="63">
        <f>'t-LTM Single'!AM171</f>
        <v>-1.090706295659986E-2</v>
      </c>
    </row>
    <row r="173" spans="1:4" x14ac:dyDescent="0.25">
      <c r="A173" t="str">
        <f>'t-LTM Single'!B173</f>
        <v xml:space="preserve">Walker, E. L., &amp; Tarte, R. D. (1963). Memory storage as a function of arousal and time with homogeneous and heterogeneous lists. Journal of Verbal Learning and Verbal Behavior, 2, 113-119.
</v>
      </c>
      <c r="B173">
        <f>'t-LTM Single'!AA173</f>
        <v>604800</v>
      </c>
      <c r="C173" s="173">
        <f>B173/(60*60*24)</f>
        <v>7</v>
      </c>
      <c r="D173" s="63">
        <f>'t-LTM Single'!AM173</f>
        <v>-3.0277747890690047E-2</v>
      </c>
    </row>
    <row r="175" spans="1:4" x14ac:dyDescent="0.25">
      <c r="A175" t="str">
        <f>'t-LTM Single'!B175</f>
        <v xml:space="preserve">Walker, E. L., &amp; Tarte, R. D. (1963). Memory storage as a function of arousal and time with homogeneous and heterogeneous lists. Journal of Verbal Learning and Verbal Behavior, 2, 113-119.
</v>
      </c>
      <c r="B175">
        <f>'t-LTM Single'!AA175</f>
        <v>604800</v>
      </c>
      <c r="C175" s="173">
        <f>B175/(60*60*24)</f>
        <v>7</v>
      </c>
      <c r="D175" s="63">
        <f>'t-LTM Single'!AM175</f>
        <v>-0.12067418459226069</v>
      </c>
    </row>
    <row r="177" spans="1:4" x14ac:dyDescent="0.25">
      <c r="A177" t="str">
        <f>'t-LTM Single'!B177</f>
        <v>Wylie, M. (1926). Recognition of Chinese Symbols. The American Journal of Psychology, 37(2), 224-232.</v>
      </c>
      <c r="B177">
        <f>'t-LTM Single'!AA177</f>
        <v>172800</v>
      </c>
      <c r="C177" s="173">
        <f>B177/(60*60*24)</f>
        <v>2</v>
      </c>
      <c r="D177" s="63">
        <f>'t-LTM Single'!AM177</f>
        <v>-2.4153167525071149E-2</v>
      </c>
    </row>
    <row r="179" spans="1:4" x14ac:dyDescent="0.25">
      <c r="A179" t="str">
        <f>'t-LTM Single'!B179</f>
        <v>Wylie, M. (1926). Recognition of Chinese Symbols. The American Journal of Psychology, 37(2), 224-232.</v>
      </c>
      <c r="B179">
        <f>'t-LTM Single'!AA179</f>
        <v>172800</v>
      </c>
      <c r="C179" s="173">
        <f>B179/(60*60*24)</f>
        <v>2</v>
      </c>
      <c r="D179" s="63">
        <f>'t-LTM Single'!AM179</f>
        <v>-1.2359592810696339E-2</v>
      </c>
    </row>
    <row r="181" spans="1:4" x14ac:dyDescent="0.25">
      <c r="A181" t="str">
        <f>'t-LTM Single'!B181</f>
        <v>Wylie, M. (1926). Recognition of Chinese Symbols. The American Journal of Psychology, 37(2), 224-232.</v>
      </c>
      <c r="B181">
        <f>'t-LTM Single'!AA181</f>
        <v>172800</v>
      </c>
      <c r="C181" s="173">
        <f>B181/(60*60*24)</f>
        <v>2</v>
      </c>
      <c r="D181" s="63">
        <f>'t-LTM Single'!AM181</f>
        <v>-4.1988415964167311E-3</v>
      </c>
    </row>
    <row r="183" spans="1:4" x14ac:dyDescent="0.25">
      <c r="A183" t="str">
        <f>'t-LTM Single'!B183</f>
        <v>Wylie, M. (1926). Recognition of Chinese Symbols. The American Journal of Psychology, 37(2), 224-232.</v>
      </c>
      <c r="B183">
        <f>'t-LTM Single'!AA183</f>
        <v>172800</v>
      </c>
      <c r="C183" s="173">
        <f>B183/(60*60*24)</f>
        <v>2</v>
      </c>
      <c r="D183" s="63">
        <f>'t-LTM Single'!AM183</f>
        <v>-2.8441587524971786E-2</v>
      </c>
    </row>
    <row r="185" spans="1:4" x14ac:dyDescent="0.25">
      <c r="A185" t="str">
        <f>'t-LTM Single'!B185</f>
        <v>Yarmey, A. D., Yarmey, M. J., &amp; Yarmey, A. L. (1996). Accuracy of eyewitness identifications in showups and lineups. Law and Human Behavior, 20, 459–477</v>
      </c>
      <c r="B185">
        <f>'t-LTM Single'!AA185</f>
        <v>86400</v>
      </c>
      <c r="C185" s="173">
        <f>B185/(60*60*24)</f>
        <v>1</v>
      </c>
      <c r="D185" s="63">
        <f>'t-LTM Single'!AM185</f>
        <v>-7.2022222805653915E-2</v>
      </c>
    </row>
    <row r="187" spans="1:4" x14ac:dyDescent="0.25">
      <c r="A187" t="str">
        <f>'t-LTM Single'!B187</f>
        <v>Yarmey, A. D., Yarmey, M. J., &amp; Yarmey, A. L. (1996). Accuracy of eyewitness identifications in showups and lineups. Law and Human Behavior, 20, 459–477</v>
      </c>
      <c r="B187">
        <f>'t-LTM Single'!AA187</f>
        <v>86400</v>
      </c>
      <c r="C187" s="173">
        <f>B187/(60*60*24)</f>
        <v>1</v>
      </c>
      <c r="D187" s="63">
        <f>'t-LTM Single'!AM187</f>
        <v>-5.7039541277365886E-2</v>
      </c>
    </row>
    <row r="189" spans="1:4" x14ac:dyDescent="0.25">
      <c r="A189" t="str">
        <f>'t-LTM Single'!B189</f>
        <v>Yarmey, A. D., Yarmey, M. J., &amp; Yarmey, A. L. (1996). Accuracy of eyewitness identifications in showups and lineups. Law and Human Behavior, 20, 459–477</v>
      </c>
      <c r="B189">
        <f>'t-LTM Single'!AA189</f>
        <v>86400</v>
      </c>
      <c r="C189" s="173">
        <f>B189/(60*60*24)</f>
        <v>1</v>
      </c>
      <c r="D189" s="63">
        <f>'t-LTM Single'!AM189</f>
        <v>-1.4436401050226736E-2</v>
      </c>
    </row>
    <row r="191" spans="1:4" x14ac:dyDescent="0.25">
      <c r="A191" t="str">
        <f>'t-LTM Single'!B191</f>
        <v>Yarmey, A. D., Yarmey, M. J., &amp; Yarmey, A. L. (1996). Accuracy of eyewitness identifications in showups and lineups. Law and Human Behavior, 20, 459–477</v>
      </c>
      <c r="B191">
        <f>'t-LTM Single'!AA191</f>
        <v>86400</v>
      </c>
      <c r="C191" s="173">
        <f>B191/(60*60*24)</f>
        <v>1</v>
      </c>
      <c r="D191" s="63">
        <f>'t-LTM Single'!AM191</f>
        <v>-1.2453287522516739E-2</v>
      </c>
    </row>
    <row r="193" spans="3:4" x14ac:dyDescent="0.25">
      <c r="C193" s="173"/>
      <c r="D193" s="63"/>
    </row>
    <row r="195" spans="3:4" x14ac:dyDescent="0.25">
      <c r="C195" s="173"/>
      <c r="D195" s="63"/>
    </row>
    <row r="197" spans="3:4" x14ac:dyDescent="0.25">
      <c r="C197" s="173"/>
      <c r="D197" s="63"/>
    </row>
    <row r="199" spans="3:4" x14ac:dyDescent="0.25">
      <c r="C199" s="173"/>
      <c r="D199" s="63"/>
    </row>
    <row r="201" spans="3:4" x14ac:dyDescent="0.25">
      <c r="C201" s="173"/>
      <c r="D201" s="63"/>
    </row>
    <row r="202" spans="3:4" x14ac:dyDescent="0.25">
      <c r="C202" s="173"/>
    </row>
    <row r="203" spans="3:4" x14ac:dyDescent="0.25">
      <c r="C203" s="173"/>
      <c r="D203" s="63"/>
    </row>
    <row r="204" spans="3:4" x14ac:dyDescent="0.25">
      <c r="C204" s="173"/>
    </row>
    <row r="205" spans="3:4" x14ac:dyDescent="0.25">
      <c r="C205" s="173"/>
      <c r="D205" s="63"/>
    </row>
    <row r="206" spans="3:4" x14ac:dyDescent="0.25">
      <c r="C206" s="173"/>
    </row>
    <row r="207" spans="3:4" x14ac:dyDescent="0.25">
      <c r="C207" s="173"/>
      <c r="D207" s="63"/>
    </row>
    <row r="208" spans="3:4" x14ac:dyDescent="0.25">
      <c r="C208" s="173"/>
    </row>
    <row r="209" spans="3:4" x14ac:dyDescent="0.25">
      <c r="C209" s="173"/>
      <c r="D209" s="63"/>
    </row>
    <row r="210" spans="3:4" x14ac:dyDescent="0.25">
      <c r="C210" s="173"/>
    </row>
    <row r="211" spans="3:4" x14ac:dyDescent="0.25">
      <c r="C211" s="173"/>
      <c r="D211" s="63"/>
    </row>
    <row r="212" spans="3:4" x14ac:dyDescent="0.25">
      <c r="C212" s="173"/>
    </row>
    <row r="213" spans="3:4" x14ac:dyDescent="0.25">
      <c r="C213" s="173"/>
      <c r="D213" s="63"/>
    </row>
    <row r="214" spans="3:4" x14ac:dyDescent="0.25">
      <c r="C214" s="173"/>
    </row>
    <row r="215" spans="3:4" x14ac:dyDescent="0.25">
      <c r="C215" s="173"/>
      <c r="D215" s="63"/>
    </row>
    <row r="216" spans="3:4" x14ac:dyDescent="0.25">
      <c r="C216" s="173"/>
    </row>
    <row r="217" spans="3:4" x14ac:dyDescent="0.25">
      <c r="C217" s="173"/>
      <c r="D217" s="63"/>
    </row>
    <row r="218" spans="3:4" x14ac:dyDescent="0.25">
      <c r="C218" s="173"/>
    </row>
    <row r="219" spans="3:4" x14ac:dyDescent="0.25">
      <c r="C219" s="173"/>
      <c r="D219" s="63"/>
    </row>
    <row r="220" spans="3:4" x14ac:dyDescent="0.25">
      <c r="C220" s="173"/>
    </row>
    <row r="221" spans="3:4" x14ac:dyDescent="0.25">
      <c r="C221" s="173"/>
      <c r="D221" s="63"/>
    </row>
    <row r="222" spans="3:4" x14ac:dyDescent="0.25">
      <c r="C222" s="173"/>
    </row>
    <row r="223" spans="3:4" x14ac:dyDescent="0.25">
      <c r="C223" s="173"/>
      <c r="D223" s="63"/>
    </row>
    <row r="224" spans="3:4" x14ac:dyDescent="0.25">
      <c r="C224" s="173"/>
    </row>
    <row r="225" spans="3:4" x14ac:dyDescent="0.25">
      <c r="C225" s="173"/>
      <c r="D225" s="63"/>
    </row>
    <row r="226" spans="3:4" x14ac:dyDescent="0.25">
      <c r="C226" s="173"/>
    </row>
    <row r="227" spans="3:4" x14ac:dyDescent="0.25">
      <c r="C227" s="173"/>
      <c r="D227" s="63"/>
    </row>
    <row r="228" spans="3:4" x14ac:dyDescent="0.25">
      <c r="C228" s="173"/>
    </row>
    <row r="229" spans="3:4" x14ac:dyDescent="0.25">
      <c r="C229" s="173"/>
      <c r="D229" s="63"/>
    </row>
    <row r="230" spans="3:4" x14ac:dyDescent="0.25">
      <c r="C230" s="173"/>
    </row>
    <row r="231" spans="3:4" x14ac:dyDescent="0.25">
      <c r="C231" s="173"/>
      <c r="D231" s="63"/>
    </row>
    <row r="232" spans="3:4" x14ac:dyDescent="0.25">
      <c r="C232" s="173"/>
    </row>
    <row r="233" spans="3:4" x14ac:dyDescent="0.25">
      <c r="C233" s="173"/>
      <c r="D233" s="63"/>
    </row>
    <row r="234" spans="3:4" x14ac:dyDescent="0.25">
      <c r="C234" s="173"/>
    </row>
    <row r="235" spans="3:4" x14ac:dyDescent="0.25">
      <c r="C235" s="173"/>
      <c r="D235" s="63"/>
    </row>
    <row r="236" spans="3:4" x14ac:dyDescent="0.25">
      <c r="C236" s="173"/>
    </row>
    <row r="237" spans="3:4" x14ac:dyDescent="0.25">
      <c r="C237" s="173"/>
      <c r="D237" s="63"/>
    </row>
    <row r="238" spans="3:4" x14ac:dyDescent="0.25">
      <c r="C238" s="173"/>
    </row>
    <row r="239" spans="3:4" x14ac:dyDescent="0.25">
      <c r="C239" s="173"/>
      <c r="D239" s="63"/>
    </row>
    <row r="240" spans="3:4" x14ac:dyDescent="0.25">
      <c r="C240" s="173"/>
    </row>
    <row r="241" spans="3:4" x14ac:dyDescent="0.25">
      <c r="C241" s="173"/>
      <c r="D241" s="63"/>
    </row>
    <row r="242" spans="3:4" x14ac:dyDescent="0.25">
      <c r="C242" s="173"/>
    </row>
    <row r="243" spans="3:4" x14ac:dyDescent="0.25">
      <c r="C243" s="173"/>
      <c r="D243" s="63"/>
    </row>
    <row r="244" spans="3:4" x14ac:dyDescent="0.25">
      <c r="C244" s="173"/>
    </row>
    <row r="245" spans="3:4" x14ac:dyDescent="0.25">
      <c r="C245" s="173"/>
      <c r="D245" s="63"/>
    </row>
    <row r="246" spans="3:4" x14ac:dyDescent="0.25">
      <c r="C246" s="173"/>
    </row>
    <row r="247" spans="3:4" x14ac:dyDescent="0.25">
      <c r="C247" s="173"/>
      <c r="D247" s="63"/>
    </row>
    <row r="248" spans="3:4" x14ac:dyDescent="0.25">
      <c r="C248" s="173"/>
    </row>
    <row r="249" spans="3:4" x14ac:dyDescent="0.25">
      <c r="C249" s="173"/>
      <c r="D249" s="63"/>
    </row>
    <row r="250" spans="3:4" x14ac:dyDescent="0.25">
      <c r="C250" s="173"/>
    </row>
    <row r="251" spans="3:4" x14ac:dyDescent="0.25">
      <c r="C251" s="173"/>
      <c r="D251" s="63"/>
    </row>
    <row r="252" spans="3:4" x14ac:dyDescent="0.25">
      <c r="C252" s="173"/>
    </row>
    <row r="253" spans="3:4" x14ac:dyDescent="0.25">
      <c r="C253" s="173"/>
      <c r="D253" s="63"/>
    </row>
    <row r="254" spans="3:4" x14ac:dyDescent="0.25">
      <c r="C254" s="173"/>
    </row>
    <row r="255" spans="3:4" x14ac:dyDescent="0.25">
      <c r="C255" s="173"/>
      <c r="D255" s="63"/>
    </row>
    <row r="256" spans="3:4" x14ac:dyDescent="0.25">
      <c r="C256" s="173"/>
    </row>
    <row r="257" spans="3:4" x14ac:dyDescent="0.25">
      <c r="C257" s="173"/>
      <c r="D257" s="63"/>
    </row>
    <row r="258" spans="3:4" x14ac:dyDescent="0.25">
      <c r="C258" s="173"/>
    </row>
    <row r="259" spans="3:4" x14ac:dyDescent="0.25">
      <c r="C259" s="173"/>
      <c r="D259" s="63"/>
    </row>
    <row r="260" spans="3:4" x14ac:dyDescent="0.25">
      <c r="C260" s="173"/>
    </row>
    <row r="261" spans="3:4" x14ac:dyDescent="0.25">
      <c r="C261" s="173"/>
      <c r="D261" s="63"/>
    </row>
    <row r="262" spans="3:4" x14ac:dyDescent="0.25">
      <c r="C262" s="173"/>
    </row>
    <row r="263" spans="3:4" x14ac:dyDescent="0.25">
      <c r="C263" s="173"/>
      <c r="D263" s="63"/>
    </row>
    <row r="264" spans="3:4" x14ac:dyDescent="0.25">
      <c r="C264" s="173"/>
    </row>
    <row r="265" spans="3:4" x14ac:dyDescent="0.25">
      <c r="C265" s="173"/>
      <c r="D265" s="63"/>
    </row>
    <row r="266" spans="3:4" x14ac:dyDescent="0.25">
      <c r="C266" s="173"/>
    </row>
    <row r="267" spans="3:4" x14ac:dyDescent="0.25">
      <c r="C267" s="173"/>
      <c r="D267" s="63"/>
    </row>
    <row r="268" spans="3:4" x14ac:dyDescent="0.25">
      <c r="C268" s="173"/>
    </row>
    <row r="269" spans="3:4" x14ac:dyDescent="0.25">
      <c r="C269" s="173"/>
      <c r="D269" s="63"/>
    </row>
    <row r="270" spans="3:4" x14ac:dyDescent="0.25">
      <c r="C270" s="173"/>
    </row>
    <row r="271" spans="3:4" x14ac:dyDescent="0.25">
      <c r="C271" s="173"/>
      <c r="D271" s="63"/>
    </row>
    <row r="272" spans="3:4" x14ac:dyDescent="0.25">
      <c r="C272" s="173"/>
    </row>
    <row r="273" spans="3:4" x14ac:dyDescent="0.25">
      <c r="C273" s="173"/>
      <c r="D273" s="63"/>
    </row>
    <row r="274" spans="3:4" x14ac:dyDescent="0.25">
      <c r="C274" s="173"/>
    </row>
    <row r="275" spans="3:4" x14ac:dyDescent="0.25">
      <c r="C275" s="173"/>
      <c r="D275" s="63"/>
    </row>
    <row r="276" spans="3:4" x14ac:dyDescent="0.25">
      <c r="C276" s="173"/>
    </row>
    <row r="277" spans="3:4" x14ac:dyDescent="0.25">
      <c r="C277" s="173"/>
      <c r="D277" s="63"/>
    </row>
    <row r="278" spans="3:4" x14ac:dyDescent="0.25">
      <c r="C278" s="173"/>
    </row>
    <row r="279" spans="3:4" x14ac:dyDescent="0.25">
      <c r="C279" s="173"/>
      <c r="D279" s="63"/>
    </row>
    <row r="280" spans="3:4" x14ac:dyDescent="0.25">
      <c r="C280" s="173"/>
    </row>
    <row r="281" spans="3:4" x14ac:dyDescent="0.25">
      <c r="C281" s="173"/>
      <c r="D281" s="63"/>
    </row>
    <row r="282" spans="3:4" x14ac:dyDescent="0.25">
      <c r="C282" s="173"/>
    </row>
    <row r="283" spans="3:4" x14ac:dyDescent="0.25">
      <c r="C283" s="173"/>
      <c r="D283" s="63"/>
    </row>
    <row r="284" spans="3:4" x14ac:dyDescent="0.25">
      <c r="C284" s="173"/>
    </row>
    <row r="285" spans="3:4" x14ac:dyDescent="0.25">
      <c r="C285" s="173"/>
      <c r="D285" s="63"/>
    </row>
    <row r="286" spans="3:4" x14ac:dyDescent="0.25">
      <c r="C286" s="173"/>
    </row>
    <row r="287" spans="3:4" x14ac:dyDescent="0.25">
      <c r="C287" s="173"/>
      <c r="D287" s="63"/>
    </row>
    <row r="288" spans="3:4" x14ac:dyDescent="0.25">
      <c r="C288" s="173"/>
    </row>
    <row r="289" spans="3:4" x14ac:dyDescent="0.25">
      <c r="C289" s="173"/>
      <c r="D289" s="63"/>
    </row>
    <row r="290" spans="3:4" x14ac:dyDescent="0.25">
      <c r="C290" s="173"/>
    </row>
    <row r="291" spans="3:4" x14ac:dyDescent="0.25">
      <c r="C291" s="173"/>
      <c r="D291" s="63"/>
    </row>
    <row r="292" spans="3:4" x14ac:dyDescent="0.25">
      <c r="C292" s="173"/>
    </row>
    <row r="293" spans="3:4" x14ac:dyDescent="0.25">
      <c r="C293" s="173"/>
      <c r="D293" s="63"/>
    </row>
    <row r="294" spans="3:4" x14ac:dyDescent="0.25">
      <c r="C294" s="173"/>
    </row>
    <row r="295" spans="3:4" x14ac:dyDescent="0.25">
      <c r="C295" s="173"/>
      <c r="D295" s="63"/>
    </row>
    <row r="296" spans="3:4" x14ac:dyDescent="0.25">
      <c r="C296" s="173"/>
    </row>
    <row r="297" spans="3:4" x14ac:dyDescent="0.25">
      <c r="C297" s="173"/>
      <c r="D297" s="63"/>
    </row>
    <row r="298" spans="3:4" x14ac:dyDescent="0.25">
      <c r="C298" s="173"/>
    </row>
    <row r="299" spans="3:4" x14ac:dyDescent="0.25">
      <c r="C299" s="173"/>
      <c r="D299" s="63"/>
    </row>
    <row r="300" spans="3:4" x14ac:dyDescent="0.25">
      <c r="C300" s="173"/>
    </row>
    <row r="301" spans="3:4" x14ac:dyDescent="0.25">
      <c r="C301" s="173"/>
      <c r="D301" s="63"/>
    </row>
    <row r="302" spans="3:4" x14ac:dyDescent="0.25">
      <c r="C302" s="173"/>
    </row>
    <row r="303" spans="3:4" x14ac:dyDescent="0.25">
      <c r="C303" s="173"/>
      <c r="D303" s="63"/>
    </row>
    <row r="304" spans="3:4" x14ac:dyDescent="0.25">
      <c r="C304" s="173"/>
    </row>
    <row r="305" spans="3:4" x14ac:dyDescent="0.25">
      <c r="C305" s="173"/>
      <c r="D305" s="63"/>
    </row>
    <row r="306" spans="3:4" x14ac:dyDescent="0.25">
      <c r="C306" s="173"/>
    </row>
    <row r="307" spans="3:4" x14ac:dyDescent="0.25">
      <c r="C307" s="173"/>
      <c r="D307" s="63"/>
    </row>
    <row r="308" spans="3:4" x14ac:dyDescent="0.25">
      <c r="C308" s="173"/>
    </row>
    <row r="309" spans="3:4" x14ac:dyDescent="0.25">
      <c r="C309" s="173"/>
      <c r="D309" s="63"/>
    </row>
    <row r="310" spans="3:4" x14ac:dyDescent="0.25">
      <c r="C310" s="173"/>
    </row>
    <row r="311" spans="3:4" x14ac:dyDescent="0.25">
      <c r="C311" s="173"/>
      <c r="D311" s="63"/>
    </row>
    <row r="313" spans="3:4" x14ac:dyDescent="0.25">
      <c r="D313" s="63"/>
    </row>
    <row r="315" spans="3:4" x14ac:dyDescent="0.25">
      <c r="D315" s="63"/>
    </row>
    <row r="317" spans="3:4" x14ac:dyDescent="0.25">
      <c r="D317" s="63"/>
    </row>
    <row r="319" spans="3:4" x14ac:dyDescent="0.25">
      <c r="D319" s="63"/>
    </row>
    <row r="321" spans="4:4" x14ac:dyDescent="0.25">
      <c r="D321" s="63"/>
    </row>
    <row r="323" spans="4:4" x14ac:dyDescent="0.25">
      <c r="D323" s="63"/>
    </row>
    <row r="325" spans="4:4" x14ac:dyDescent="0.25">
      <c r="D325" s="63"/>
    </row>
    <row r="327" spans="4:4" x14ac:dyDescent="0.25">
      <c r="D327" s="63"/>
    </row>
    <row r="329" spans="4:4" x14ac:dyDescent="0.25">
      <c r="D329" s="63"/>
    </row>
    <row r="331" spans="4:4" x14ac:dyDescent="0.25">
      <c r="D331" s="63"/>
    </row>
    <row r="333" spans="4:4" x14ac:dyDescent="0.25">
      <c r="D333" s="63"/>
    </row>
    <row r="335" spans="4:4" x14ac:dyDescent="0.25">
      <c r="D335" s="63"/>
    </row>
    <row r="337" spans="4:4" x14ac:dyDescent="0.25">
      <c r="D337" s="63"/>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U185"/>
  <sheetViews>
    <sheetView workbookViewId="0">
      <pane ySplit="1" topLeftCell="A2" activePane="bottomLeft" state="frozen"/>
      <selection pane="bottomLeft" activeCell="A2" sqref="A2"/>
    </sheetView>
  </sheetViews>
  <sheetFormatPr defaultColWidth="5.28515625" defaultRowHeight="12" customHeight="1" outlineLevelCol="1" x14ac:dyDescent="0.2"/>
  <cols>
    <col min="1" max="1" width="11.28515625" style="61" bestFit="1" customWidth="1"/>
    <col min="2" max="2" width="9.7109375" style="14" customWidth="1"/>
    <col min="3" max="3" width="17.85546875" style="14" customWidth="1"/>
    <col min="4" max="4" width="6.85546875" style="64" customWidth="1"/>
    <col min="5" max="5" width="4.28515625" style="77" customWidth="1"/>
    <col min="6" max="6" width="10.28515625" style="64" bestFit="1" customWidth="1"/>
    <col min="7" max="7" width="9.28515625" style="64" customWidth="1"/>
    <col min="8" max="8" width="14.85546875" style="64" bestFit="1" customWidth="1"/>
    <col min="9" max="9" width="30.5703125" style="64" customWidth="1"/>
    <col min="10" max="10" width="17.5703125" style="64" customWidth="1"/>
    <col min="11" max="11" width="9.5703125" style="64" customWidth="1"/>
    <col min="12" max="13" width="9.7109375" style="64" customWidth="1"/>
    <col min="14" max="14" width="13.85546875" style="64" customWidth="1"/>
    <col min="15" max="15" width="8.7109375" style="64" customWidth="1"/>
    <col min="16" max="16" width="22.7109375" style="64" bestFit="1" customWidth="1"/>
    <col min="17" max="17" width="18.28515625" style="64" bestFit="1" customWidth="1"/>
    <col min="18" max="18" width="8.7109375" style="64" bestFit="1" customWidth="1"/>
    <col min="19" max="19" width="11.42578125" style="64" bestFit="1" customWidth="1"/>
    <col min="20" max="20" width="12.7109375" style="64" customWidth="1"/>
    <col min="21" max="21" width="10.42578125" style="64" bestFit="1" customWidth="1"/>
    <col min="22" max="22" width="10.42578125" style="64" customWidth="1"/>
    <col min="23" max="23" width="11.85546875" style="64" customWidth="1"/>
    <col min="24" max="24" width="8.140625" style="64" customWidth="1"/>
    <col min="25" max="25" width="10" style="77" customWidth="1"/>
    <col min="26" max="26" width="15.42578125" style="64" customWidth="1"/>
    <col min="27" max="27" width="11" style="64" customWidth="1"/>
    <col min="28" max="28" width="16.42578125" style="64" customWidth="1"/>
    <col min="29" max="29" width="13.5703125" style="64" customWidth="1"/>
    <col min="30" max="30" width="13.140625" style="64" customWidth="1"/>
    <col min="31" max="31" width="11" style="64" customWidth="1"/>
    <col min="32" max="32" width="12.5703125" style="81" customWidth="1"/>
    <col min="33" max="33" width="10.140625" style="57" customWidth="1"/>
    <col min="34" max="34" width="10.7109375" style="12" customWidth="1"/>
    <col min="35" max="35" width="10.7109375" style="57" customWidth="1"/>
    <col min="36" max="36" width="10.7109375" style="114" customWidth="1"/>
    <col min="37" max="40" width="10.7109375" style="57" customWidth="1"/>
    <col min="41" max="43" width="10.7109375" style="57" customWidth="1" outlineLevel="1"/>
    <col min="44" max="44" width="16.85546875" style="114" customWidth="1" outlineLevel="1"/>
    <col min="45" max="46" width="16.85546875" style="57" customWidth="1" outlineLevel="1"/>
    <col min="47" max="47" width="5.28515625" style="12" outlineLevel="1"/>
    <col min="48" max="50" width="13.42578125" style="45" bestFit="1" customWidth="1" outlineLevel="1"/>
    <col min="51" max="51" width="14.85546875" style="45" bestFit="1" customWidth="1" outlineLevel="1"/>
    <col min="52" max="53" width="14.5703125" style="45" bestFit="1" customWidth="1"/>
    <col min="54" max="54" width="13.5703125" style="45" bestFit="1" customWidth="1"/>
    <col min="55" max="57" width="13.5703125" style="20" bestFit="1" customWidth="1"/>
    <col min="58" max="62" width="12.42578125" style="20" bestFit="1" customWidth="1"/>
    <col min="63" max="74" width="10.42578125" style="20" bestFit="1" customWidth="1"/>
    <col min="75" max="95" width="11.42578125" style="20" bestFit="1" customWidth="1"/>
    <col min="96" max="99" width="12.42578125" style="14" bestFit="1" customWidth="1"/>
    <col min="100" max="133" width="10.42578125" style="14" bestFit="1" customWidth="1"/>
    <col min="134" max="16384" width="5.28515625" style="14"/>
  </cols>
  <sheetData>
    <row r="1" spans="1:99" ht="12" customHeight="1" x14ac:dyDescent="0.2">
      <c r="A1" s="61" t="s">
        <v>304</v>
      </c>
      <c r="B1" s="15" t="s">
        <v>0</v>
      </c>
      <c r="C1" s="15" t="s">
        <v>1</v>
      </c>
      <c r="D1" s="59" t="s">
        <v>2</v>
      </c>
      <c r="E1" s="75" t="s">
        <v>579</v>
      </c>
      <c r="F1" s="59" t="s">
        <v>6</v>
      </c>
      <c r="G1" s="59" t="s">
        <v>485</v>
      </c>
      <c r="H1" s="59" t="s">
        <v>1</v>
      </c>
      <c r="I1" s="59" t="s">
        <v>8</v>
      </c>
      <c r="J1" s="59" t="s">
        <v>7</v>
      </c>
      <c r="K1" s="59" t="s">
        <v>571</v>
      </c>
      <c r="L1" s="59" t="s">
        <v>565</v>
      </c>
      <c r="M1" s="59" t="s">
        <v>569</v>
      </c>
      <c r="N1" s="59" t="s">
        <v>566</v>
      </c>
      <c r="O1" s="59" t="s">
        <v>5</v>
      </c>
      <c r="P1" s="59" t="s">
        <v>570</v>
      </c>
      <c r="Q1" s="59" t="s">
        <v>3</v>
      </c>
      <c r="R1" s="59" t="s">
        <v>568</v>
      </c>
      <c r="S1" s="59" t="s">
        <v>4</v>
      </c>
      <c r="T1" s="59" t="s">
        <v>237</v>
      </c>
      <c r="U1" s="59" t="s">
        <v>910</v>
      </c>
      <c r="V1" s="59" t="s">
        <v>563</v>
      </c>
      <c r="W1" s="59" t="s">
        <v>564</v>
      </c>
      <c r="X1" s="59" t="s">
        <v>576</v>
      </c>
      <c r="Y1" s="75" t="s">
        <v>558</v>
      </c>
      <c r="Z1" s="59" t="s">
        <v>577</v>
      </c>
      <c r="AA1" s="59" t="s">
        <v>327</v>
      </c>
      <c r="AB1" s="59" t="s">
        <v>325</v>
      </c>
      <c r="AC1" s="59" t="s">
        <v>326</v>
      </c>
      <c r="AD1" s="59" t="s">
        <v>578</v>
      </c>
      <c r="AE1" s="59" t="s">
        <v>559</v>
      </c>
      <c r="AF1" s="79" t="s">
        <v>560</v>
      </c>
      <c r="AG1" s="55" t="s">
        <v>546</v>
      </c>
      <c r="AH1" s="4"/>
      <c r="AI1" s="139" t="s">
        <v>297</v>
      </c>
      <c r="AJ1" s="111" t="s">
        <v>289</v>
      </c>
      <c r="AK1" s="55" t="s">
        <v>9</v>
      </c>
      <c r="AL1" s="139" t="s">
        <v>298</v>
      </c>
      <c r="AM1" s="55" t="s">
        <v>10</v>
      </c>
      <c r="AN1" s="55" t="s">
        <v>11</v>
      </c>
      <c r="AO1" s="139" t="s">
        <v>907</v>
      </c>
      <c r="AP1" s="55" t="s">
        <v>303</v>
      </c>
      <c r="AQ1" s="139" t="s">
        <v>908</v>
      </c>
      <c r="AR1" s="111" t="s">
        <v>301</v>
      </c>
      <c r="AS1" s="139" t="s">
        <v>909</v>
      </c>
      <c r="AT1" s="55" t="s">
        <v>302</v>
      </c>
      <c r="AU1" s="4"/>
      <c r="AV1" s="11" t="s">
        <v>292</v>
      </c>
      <c r="AW1" s="11"/>
      <c r="AX1" s="11"/>
      <c r="AY1" s="11"/>
      <c r="AZ1" s="11"/>
      <c r="BA1" s="11"/>
      <c r="BB1" s="11"/>
      <c r="BC1" s="10"/>
      <c r="BD1" s="10"/>
      <c r="BE1" s="10"/>
      <c r="BF1" s="10"/>
      <c r="BG1" s="10"/>
      <c r="BH1" s="10"/>
      <c r="BI1" s="10"/>
      <c r="BJ1" s="10"/>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5"/>
      <c r="CS1" s="15"/>
      <c r="CT1" s="15"/>
      <c r="CU1" s="15"/>
    </row>
    <row r="2" spans="1:99" s="13" customFormat="1" ht="12" customHeight="1" x14ac:dyDescent="0.2">
      <c r="A2" s="65">
        <v>43648</v>
      </c>
      <c r="B2" s="1"/>
      <c r="C2" s="1"/>
      <c r="D2" s="60"/>
      <c r="E2" s="76"/>
      <c r="F2" s="60"/>
      <c r="G2" s="60"/>
      <c r="H2" s="60"/>
      <c r="I2" s="60"/>
      <c r="J2" s="60"/>
      <c r="K2" s="64"/>
      <c r="L2" s="64"/>
      <c r="M2" s="60"/>
      <c r="N2" s="60"/>
      <c r="O2" s="60"/>
      <c r="P2" s="60"/>
      <c r="Q2" s="60"/>
      <c r="R2" s="60"/>
      <c r="S2" s="60"/>
      <c r="T2" s="60"/>
      <c r="U2" s="60"/>
      <c r="V2" s="60"/>
      <c r="W2" s="60"/>
      <c r="X2" s="60"/>
      <c r="Y2" s="76"/>
      <c r="Z2" s="60"/>
      <c r="AA2" s="60"/>
      <c r="AB2" s="60"/>
      <c r="AC2" s="60"/>
      <c r="AD2" s="60"/>
      <c r="AE2" s="60"/>
      <c r="AF2" s="80"/>
      <c r="AG2" s="56"/>
      <c r="AH2" s="4"/>
      <c r="AI2" s="56"/>
      <c r="AJ2" s="109"/>
      <c r="AK2" s="56"/>
      <c r="AL2" s="56"/>
      <c r="AM2" s="56"/>
      <c r="AN2" s="56"/>
      <c r="AO2" s="56"/>
      <c r="AP2" s="56"/>
      <c r="AQ2" s="56"/>
      <c r="AR2" s="109"/>
      <c r="AS2" s="56"/>
      <c r="AT2" s="56"/>
      <c r="AU2" s="4"/>
      <c r="AV2" s="53">
        <v>450</v>
      </c>
      <c r="AW2" s="25">
        <f>12*3600</f>
        <v>43200</v>
      </c>
      <c r="AX2" s="1">
        <f>7*24*3600</f>
        <v>604800</v>
      </c>
      <c r="AY2" s="53" t="s">
        <v>504</v>
      </c>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1"/>
      <c r="CS2" s="1"/>
      <c r="CT2" s="1"/>
      <c r="CU2" s="1"/>
    </row>
    <row r="3" spans="1:99" s="13" customFormat="1" ht="12" customHeight="1" x14ac:dyDescent="0.2">
      <c r="A3" s="65">
        <v>43648</v>
      </c>
      <c r="B3" s="1" t="s">
        <v>321</v>
      </c>
      <c r="C3" s="1" t="s">
        <v>45</v>
      </c>
      <c r="D3" s="60">
        <v>2019</v>
      </c>
      <c r="E3" s="76" t="s">
        <v>580</v>
      </c>
      <c r="F3" s="60">
        <v>160</v>
      </c>
      <c r="G3" s="60">
        <v>32</v>
      </c>
      <c r="H3" s="60" t="s">
        <v>43</v>
      </c>
      <c r="I3" s="60" t="s">
        <v>572</v>
      </c>
      <c r="J3" s="60" t="s">
        <v>320</v>
      </c>
      <c r="K3" s="60">
        <f>IF(J3="syllables",1,IF(J3="trigrams",2,IF(J3="strings",3,IF(J3="visual array",4,IF(J3="characters",5,IF(J3="letters",6,IF(J3="free forms",7,IF(J3="odors",8,IF(J3="words",9,IF(J3="pictures",10,IF(J3="object pictures",11,IF(J3="faces",12,IF(J3="names",13,IF(J3="idioms",14,IF(J3="grades",15,IF(J3="syllable-digit pairs",16,IF(J3="trigram-word pairs",17,IF(J3="word-digit pairs",18,IF(J3="English-Swahili pairs",19,IF(J3="spatial position",20,IF(J3="word pairs",21,IF(J3="word triads",22,IF(J3="generated words",23,IF(J3="word definition pairs",24,IF(J3="math problems",25,IF(J3="famous faces",26,IF(J3="famous names",27,IF(J3="famous voices",28,IF(J3="television programs",29,IF(J3="race horses",30,IF(J3="new vocabulary",31,IF(J3="sentences",32,IF(J3="concepts",33,IF(J3="ad slides",34,IF(J3="scenes",35,IF(J3="famous scenes",36,IF(J3="poems",37,IF(J3="walk",38,IF(J3="faces and events",39,IF(J3="events and names",40,IF(J3="flashbulb",41,IF(J3="stories",42,IF(J3="course material",43,IF(J3="autobiographical",44,IF(J3="novels",45,IF(J3="public events",46,"99"))))))))))))))))))))))))))))))))))))))))))))))</f>
        <v>21</v>
      </c>
      <c r="L3" s="60">
        <f>IF(J3="syllables",1,IF(J3="trigrams",1,IF(J3="strings",1,IF(J3="visual array",1,IF(J3="characters",1,IF(J3="letters",1,IF(J3="free forms",1,IF(J3="odors",2,IF(J3="words",2,IF(J3="pictures",2,IF(J3="object pictures",2,IF(J3="faces",2,IF(J3="names",2,IF(J3="idioms","2",IF(J3="grades",2,IF(J3="syllable-digit pairs",3,IF(J3="trigram-word pairs",3,IF(J3="word-digit pairs",3,IF(J3="English-Swahili pairs",3,IF(J3="spatial position",3,IF(J3="word pairs",4,IF(J3="word triads",4,IF(J3="generated words",4,IF(J3="word definition pairs",4,IF(J3="math problems",4,IF(J3="famous faces",4,IF(J3="famous names",4,IF(J3="famous voices",4,IF(J3="television programs",4,IF(J3="race horses",4,IF(J3="new vocabulary",4,IF(J3="sentences",5,IF(J3="concepts",5,IF(J3="ad slides",5,IF(J3="scenes",5,IF(J3="famous scenes",5,IF(J3="poems",6,IF(J3="walk",6,IF(J3="faces and events",6,IF(J3="events and names",6,IF(J3="flashbulb",7,IF(J3="stories",7,IF(J3="course material",7,IF(J3="autobiographical",7,IF(J3="novels",7,IF(J3="public events",7,"99"))))))))))))))))))))))))))))))))))))))))))))))</f>
        <v>4</v>
      </c>
      <c r="M3" s="60">
        <v>1</v>
      </c>
      <c r="N3" s="60">
        <v>2</v>
      </c>
      <c r="O3" s="60">
        <v>0</v>
      </c>
      <c r="P3" s="60"/>
      <c r="Q3" s="60" t="s">
        <v>65</v>
      </c>
      <c r="R3" s="60">
        <f>IF(Q3="Free Recall",1,IF(Q3="Cued Recall",2,IF(Q3="Recognition",3,IF(Q3="Multiple Choice",4,IF(Q3="Savings",5,IF(Q3="Stem Completion",6,IF(Q3="Fragment Completion",7,IF(Q3="anagram solution",8,IF(Q3="Matching",9,IF(Q3="Problem Solving",10,"99"))))))))))</f>
        <v>2</v>
      </c>
      <c r="S3" s="60" t="s">
        <v>20</v>
      </c>
      <c r="T3" s="60" t="s">
        <v>261</v>
      </c>
      <c r="U3" s="60">
        <f>IF(T3="within",1,0)</f>
        <v>0</v>
      </c>
      <c r="V3" s="60">
        <v>36</v>
      </c>
      <c r="W3" s="60">
        <f>F3*V3</f>
        <v>5760</v>
      </c>
      <c r="X3" s="60">
        <v>3</v>
      </c>
      <c r="Y3" s="76">
        <f>AV2</f>
        <v>450</v>
      </c>
      <c r="Z3" s="60" t="s">
        <v>97</v>
      </c>
      <c r="AA3" s="60">
        <f>7*24*3600</f>
        <v>604800</v>
      </c>
      <c r="AB3" s="60" t="str">
        <f>IF(AA3&lt;60,"1",IF(AA3&lt;=43200,"2",IF(AA3&lt;=777600,"3","4")))</f>
        <v>3</v>
      </c>
      <c r="AC3" s="76">
        <f>AVERAGE(AV2:DA2)</f>
        <v>216150</v>
      </c>
      <c r="AD3" s="60" t="str">
        <f>IF(AC3&lt;60,"1",IF(AC3&lt;=43200,"2",IF(AC3&lt;=777600,"3","4")))</f>
        <v>3</v>
      </c>
      <c r="AE3" s="76">
        <f>AA3-Y3</f>
        <v>604350</v>
      </c>
      <c r="AF3" s="80">
        <f>AV3</f>
        <v>0.83</v>
      </c>
      <c r="AG3" s="56">
        <f>((AW3-AV3)+(AX3-AW3))/2</f>
        <v>-0.24499999999999997</v>
      </c>
      <c r="AH3" s="4"/>
      <c r="AI3" s="56">
        <f>RSQ(AV3:AX3,AV2:AX2)</f>
        <v>0.83010847235608554</v>
      </c>
      <c r="AJ3" s="109">
        <f>SLOPE(AV3:AX3,AV2:AX2)</f>
        <v>-6.6227955912120963E-7</v>
      </c>
      <c r="AK3" s="56">
        <f>INTERCEPT(AV3:AX3,AV2:AX2)</f>
        <v>0.73315172670404949</v>
      </c>
      <c r="AL3" s="56">
        <f>INDEX(LINEST(LN(AV3:AX3),LN(AV2:AX2),TRUE,TRUE),3,1)</f>
        <v>0.90732593036589027</v>
      </c>
      <c r="AM3" s="56">
        <f>INDEX(LINEST(LN(AV3:AX3),LN(AV2:AX2)),1)</f>
        <v>-0.11807393106200441</v>
      </c>
      <c r="AN3" s="56">
        <f>EXP(INDEX(LINEST(LN(AV3:AX3),LN(AV2:AX2)),1,2))</f>
        <v>1.8085213367094177</v>
      </c>
      <c r="AO3" s="82">
        <f>INDEX(LINEST((AV3:AX3),LN(AV2:AX2),TRUE,TRUE),3,1)</f>
        <v>0.96490979802952626</v>
      </c>
      <c r="AP3" s="82">
        <f>INDEX(LINEST((AV3:AX3),LN(AV2:AX2)),1)</f>
        <v>-6.6078871814430867E-2</v>
      </c>
      <c r="AQ3" s="83">
        <f>INDEX(LINEST(LN(AV3:AX3),SQRT(AV2:AX2),TRUE,TRUE),3,1)</f>
        <v>0.98362820069145551</v>
      </c>
      <c r="AR3" s="116">
        <f>INDEX(LINEST(LN(AV3:AX3),SQRT((AV2:AX2))),1)</f>
        <v>-1.1368893746585176E-3</v>
      </c>
      <c r="AS3" s="84">
        <f>INDEX(LINEST(1/(AV3:AX3),1/(SQRT(AV2:AX2)),TRUE,TRUE),3,1)</f>
        <v>0.56681924750490187</v>
      </c>
      <c r="AT3" s="84">
        <f>INDEX(LINEST(1/(AV3:AX3),1/SQRT(AV2:AX2)),1)</f>
        <v>-26.533697088006676</v>
      </c>
      <c r="AU3" s="4"/>
      <c r="AV3" s="1">
        <v>0.83</v>
      </c>
      <c r="AW3" s="1">
        <v>0.6</v>
      </c>
      <c r="AX3" s="1">
        <v>0.34</v>
      </c>
      <c r="AY3" s="1"/>
      <c r="AZ3" s="1"/>
      <c r="BA3" s="1"/>
      <c r="BB3" s="1"/>
      <c r="BC3" s="1"/>
      <c r="BD3" s="1"/>
      <c r="BE3" s="1"/>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1"/>
      <c r="CS3" s="1"/>
      <c r="CT3" s="1"/>
      <c r="CU3" s="1"/>
    </row>
    <row r="4" spans="1:99" s="13" customFormat="1" ht="12.75" x14ac:dyDescent="0.2">
      <c r="A4" s="65">
        <v>43648</v>
      </c>
      <c r="B4" s="1"/>
      <c r="C4" s="1"/>
      <c r="D4" s="60"/>
      <c r="E4" s="76"/>
      <c r="F4" s="60"/>
      <c r="G4" s="60"/>
      <c r="H4" s="60"/>
      <c r="I4" s="60"/>
      <c r="J4" s="60"/>
      <c r="K4" s="64"/>
      <c r="L4" s="64"/>
      <c r="M4" s="60"/>
      <c r="N4" s="60"/>
      <c r="O4" s="60"/>
      <c r="P4" s="60"/>
      <c r="Q4" s="60"/>
      <c r="R4" s="60"/>
      <c r="S4" s="60"/>
      <c r="T4" s="60"/>
      <c r="U4" s="60"/>
      <c r="V4" s="60"/>
      <c r="W4" s="60"/>
      <c r="X4" s="60"/>
      <c r="Y4" s="76"/>
      <c r="Z4" s="60"/>
      <c r="AA4" s="60"/>
      <c r="AB4" s="60"/>
      <c r="AC4" s="76"/>
      <c r="AD4" s="60"/>
      <c r="AE4" s="60"/>
      <c r="AF4" s="80"/>
      <c r="AG4" s="56"/>
      <c r="AH4" s="4"/>
      <c r="AI4" s="56"/>
      <c r="AJ4" s="109"/>
      <c r="AK4" s="56"/>
      <c r="AL4" s="56"/>
      <c r="AM4" s="56"/>
      <c r="AN4" s="56"/>
      <c r="AO4" s="56"/>
      <c r="AP4" s="56"/>
      <c r="AQ4" s="56"/>
      <c r="AR4" s="109"/>
      <c r="AS4" s="56"/>
      <c r="AT4" s="56"/>
      <c r="AU4" s="4"/>
      <c r="AV4" s="53">
        <v>450</v>
      </c>
      <c r="AW4" s="25">
        <f>12*3600</f>
        <v>43200</v>
      </c>
      <c r="AX4" s="1">
        <f>7*24*3600</f>
        <v>604800</v>
      </c>
      <c r="AY4" s="26"/>
      <c r="AZ4" s="26"/>
      <c r="BA4" s="26"/>
      <c r="BB4" s="26"/>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1"/>
      <c r="CS4" s="1"/>
      <c r="CT4" s="1"/>
      <c r="CU4" s="1"/>
    </row>
    <row r="5" spans="1:99" s="13" customFormat="1" ht="12" customHeight="1" x14ac:dyDescent="0.2">
      <c r="A5" s="65">
        <v>43648</v>
      </c>
      <c r="B5" s="1" t="s">
        <v>321</v>
      </c>
      <c r="C5" s="1" t="s">
        <v>45</v>
      </c>
      <c r="D5" s="60">
        <v>2019</v>
      </c>
      <c r="E5" s="76" t="s">
        <v>580</v>
      </c>
      <c r="F5" s="60">
        <v>160</v>
      </c>
      <c r="G5" s="60">
        <v>32</v>
      </c>
      <c r="H5" s="60" t="s">
        <v>43</v>
      </c>
      <c r="I5" s="60" t="s">
        <v>573</v>
      </c>
      <c r="J5" s="60" t="s">
        <v>320</v>
      </c>
      <c r="K5" s="60">
        <f>IF(J5="syllables",1,IF(J5="trigrams",2,IF(J5="strings",3,IF(J5="visual array",4,IF(J5="characters",5,IF(J5="letters",6,IF(J5="free forms",7,IF(J5="odors",8,IF(J5="words",9,IF(J5="pictures",10,IF(J5="object pictures",11,IF(J5="faces",12,IF(J5="names",13,IF(J5="idioms",14,IF(J5="grades",15,IF(J5="syllable-digit pairs",16,IF(J5="trigram-word pairs",17,IF(J5="word-digit pairs",18,IF(J5="English-Swahili pairs",19,IF(J5="spatial position",20,IF(J5="word pairs",21,IF(J5="word triads",22,IF(J5="generated words",23,IF(J5="word definition pairs",24,IF(J5="math problems",25,IF(J5="famous faces",26,IF(J5="famous names",27,IF(J5="famous voices",28,IF(J5="television programs",29,IF(J5="race horses",30,IF(J5="new vocabulary",31,IF(J5="sentences",32,IF(J5="concepts",33,IF(J5="ad slides",34,IF(J5="scenes",35,IF(J5="famous scenes",36,IF(J5="poems",37,IF(J5="walk",38,IF(J5="faces and events",39,IF(J5="events and names",40,IF(J5="flashbulb",41,IF(J5="stories",42,IF(J5="course material",43,IF(J5="autobiographical",44,IF(J5="novels",45,IF(J5="public events",46,"99"))))))))))))))))))))))))))))))))))))))))))))))</f>
        <v>21</v>
      </c>
      <c r="L5" s="60">
        <f>IF(J5="syllables",1,IF(J5="trigrams",1,IF(J5="strings",1,IF(J5="visual array",1,IF(J5="characters",1,IF(J5="letters",1,IF(J5="free forms",1,IF(J5="odors",2,IF(J5="words",2,IF(J5="pictures",2,IF(J5="object pictures",2,IF(J5="faces",2,IF(J5="names",2,IF(J5="idioms","2",IF(J5="grades",2,IF(J5="syllable-digit pairs",3,IF(J5="trigram-word pairs",3,IF(J5="word-digit pairs",3,IF(J5="English-Swahili pairs",3,IF(J5="spatial position",3,IF(J5="word pairs",4,IF(J5="word triads",4,IF(J5="generated words",4,IF(J5="word definition pairs",4,IF(J5="math problems",4,IF(J5="famous faces",4,IF(J5="famous names",4,IF(J5="famous voices",4,IF(J5="television programs",4,IF(J5="race horses",4,IF(J5="new vocabulary",4,IF(J5="sentences",5,IF(J5="concepts",5,IF(J5="ad slides",5,IF(J5="scenes",5,IF(J5="famous scenes",5,IF(J5="poems",6,IF(J5="walk",6,IF(J5="faces and events",6,IF(J5="events and names",6,IF(J5="flashbulb",7,IF(J5="stories",7,IF(J5="course material",7,IF(J5="autobiographical",7,IF(J5="novels",7,IF(J5="public events",7,"99"))))))))))))))))))))))))))))))))))))))))))))))</f>
        <v>4</v>
      </c>
      <c r="M5" s="60">
        <v>1</v>
      </c>
      <c r="N5" s="60">
        <v>2</v>
      </c>
      <c r="O5" s="60">
        <v>0</v>
      </c>
      <c r="P5" s="60"/>
      <c r="Q5" s="60" t="s">
        <v>65</v>
      </c>
      <c r="R5" s="60">
        <f>IF(Q5="Free Recall",1,IF(Q5="Cued Recall",2,IF(Q5="Recognition",3,IF(Q5="Multiple Choice",4,IF(Q5="Savings",5,IF(Q5="Stem Completion",6,IF(Q5="Fragment Completion",7,IF(Q5="anagram solution",8,IF(Q5="Matching",9,IF(Q5="Problem Solving",10,"99"))))))))))</f>
        <v>2</v>
      </c>
      <c r="S5" s="60" t="s">
        <v>20</v>
      </c>
      <c r="T5" s="60" t="s">
        <v>261</v>
      </c>
      <c r="U5" s="60">
        <f>IF(T5="within",1,0)</f>
        <v>0</v>
      </c>
      <c r="V5" s="60">
        <v>36</v>
      </c>
      <c r="W5" s="60">
        <f>F5*V5</f>
        <v>5760</v>
      </c>
      <c r="X5" s="60">
        <v>3</v>
      </c>
      <c r="Y5" s="76">
        <f>AV4</f>
        <v>450</v>
      </c>
      <c r="Z5" s="60" t="s">
        <v>97</v>
      </c>
      <c r="AA5" s="60">
        <f>7*24*3600</f>
        <v>604800</v>
      </c>
      <c r="AB5" s="60" t="str">
        <f>IF(AA5&lt;60,"1",IF(AA5&lt;=43200,"2",IF(AA5&lt;=777600,"3","4")))</f>
        <v>3</v>
      </c>
      <c r="AC5" s="76">
        <f>AVERAGE(AV4:DA4)</f>
        <v>216150</v>
      </c>
      <c r="AD5" s="60" t="str">
        <f>IF(AC5&lt;60,"1",IF(AC5&lt;=43200,"2",IF(AC5&lt;=777600,"3","4")))</f>
        <v>3</v>
      </c>
      <c r="AE5" s="76">
        <f>AA5-Y5</f>
        <v>604350</v>
      </c>
      <c r="AF5" s="80">
        <f>AV5</f>
        <v>0.82</v>
      </c>
      <c r="AG5" s="56">
        <f>((AW5-AV5)+(AX5-AW5))/2</f>
        <v>-0.24999999999999997</v>
      </c>
      <c r="AH5" s="4"/>
      <c r="AI5" s="56">
        <f>RSQ(AV5:AX5,AV4:AX4)</f>
        <v>0.978409943363031</v>
      </c>
      <c r="AJ5" s="109">
        <f>SLOPE(AV5:AX5,AV4:AX4)</f>
        <v>-7.7059563157923545E-7</v>
      </c>
      <c r="AK5" s="56">
        <f>INTERCEPT(AV5:AX5,AV4:AX4)</f>
        <v>0.7832309124325183</v>
      </c>
      <c r="AL5" s="56">
        <f>INDEX(LINEST(LN(AV5:AX5),LN(AV4:AX4),TRUE,TRUE),3,1)</f>
        <v>0.74082996209601903</v>
      </c>
      <c r="AM5" s="56">
        <f>INDEX(LINEST(LN(AV5:AX5),LN(AV4:AX4)),1)</f>
        <v>-0.11970481241427627</v>
      </c>
      <c r="AN5" s="56">
        <f>EXP(INDEX(LINEST(LN(AV5:AX5),LN(AV4:AX4)),1,2))</f>
        <v>1.897872285939614</v>
      </c>
      <c r="AO5" s="82">
        <f>INDEX(LINEST((AV5:AX5),LN(AV4:AX4),TRUE,TRUE),3,1)</f>
        <v>0.79826576672259952</v>
      </c>
      <c r="AP5" s="82">
        <f>INDEX(LINEST((AV5:AX5),LN(AV4:AX4)),1)</f>
        <v>-6.4414731369755077E-2</v>
      </c>
      <c r="AQ5" s="83">
        <f>INDEX(LINEST(LN(AV5:AX5),SQRT(AV4:AX4),TRUE,TRUE),3,1)</f>
        <v>0.99071924038404136</v>
      </c>
      <c r="AR5" s="116">
        <f>INDEX(LINEST(LN(AV5:AX5),SQRT((AV4:AX4))),1)</f>
        <v>-1.2801415693923029E-3</v>
      </c>
      <c r="AS5" s="84">
        <f>INDEX(LINEST(1/(AV5:AX5),1/(SQRT(AV4:AX4)),TRUE,TRUE),3,1)</f>
        <v>0.39815684419663339</v>
      </c>
      <c r="AT5" s="84">
        <f>INDEX(LINEST(1/(AV5:AX5),1/SQRT(AV4:AX4)),1)</f>
        <v>-25.960793795555773</v>
      </c>
      <c r="AU5" s="4"/>
      <c r="AV5" s="53">
        <v>0.82</v>
      </c>
      <c r="AW5" s="53">
        <v>0.71</v>
      </c>
      <c r="AX5" s="53">
        <v>0.32</v>
      </c>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1"/>
      <c r="CS5" s="1"/>
      <c r="CT5" s="1"/>
      <c r="CU5" s="1"/>
    </row>
    <row r="6" spans="1:99" s="13" customFormat="1" ht="12" customHeight="1" x14ac:dyDescent="0.2">
      <c r="A6" s="65">
        <v>43648</v>
      </c>
      <c r="B6" s="1"/>
      <c r="C6" s="1"/>
      <c r="D6" s="60"/>
      <c r="E6" s="76"/>
      <c r="F6" s="60"/>
      <c r="G6" s="60"/>
      <c r="H6" s="60"/>
      <c r="I6" s="60"/>
      <c r="J6" s="60"/>
      <c r="K6" s="64"/>
      <c r="L6" s="64"/>
      <c r="M6" s="60"/>
      <c r="N6" s="60"/>
      <c r="O6" s="60"/>
      <c r="P6" s="60"/>
      <c r="Q6" s="60"/>
      <c r="R6" s="60"/>
      <c r="S6" s="60"/>
      <c r="T6" s="60"/>
      <c r="U6" s="60"/>
      <c r="V6" s="60"/>
      <c r="W6" s="60"/>
      <c r="X6" s="60"/>
      <c r="Y6" s="76"/>
      <c r="Z6" s="60"/>
      <c r="AA6" s="60"/>
      <c r="AB6" s="60"/>
      <c r="AC6" s="76"/>
      <c r="AD6" s="60"/>
      <c r="AE6" s="60"/>
      <c r="AF6" s="80"/>
      <c r="AG6" s="56"/>
      <c r="AH6" s="4"/>
      <c r="AI6" s="56"/>
      <c r="AJ6" s="109"/>
      <c r="AK6" s="56"/>
      <c r="AL6" s="56"/>
      <c r="AM6" s="56"/>
      <c r="AN6" s="56"/>
      <c r="AO6" s="56"/>
      <c r="AP6" s="56"/>
      <c r="AQ6" s="56"/>
      <c r="AR6" s="109"/>
      <c r="AS6" s="56"/>
      <c r="AT6" s="56"/>
      <c r="AU6" s="4"/>
      <c r="AV6" s="53">
        <v>450</v>
      </c>
      <c r="AW6" s="25">
        <f>12*3600</f>
        <v>43200</v>
      </c>
      <c r="AX6" s="1">
        <f>7*24*3600</f>
        <v>604800</v>
      </c>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1"/>
      <c r="CS6" s="1"/>
      <c r="CT6" s="1"/>
      <c r="CU6" s="1"/>
    </row>
    <row r="7" spans="1:99" s="13" customFormat="1" ht="12" customHeight="1" x14ac:dyDescent="0.2">
      <c r="A7" s="65">
        <v>43648</v>
      </c>
      <c r="B7" s="1" t="s">
        <v>321</v>
      </c>
      <c r="C7" s="1" t="s">
        <v>45</v>
      </c>
      <c r="D7" s="60">
        <v>2019</v>
      </c>
      <c r="E7" s="76" t="s">
        <v>580</v>
      </c>
      <c r="F7" s="60">
        <v>160</v>
      </c>
      <c r="G7" s="60">
        <v>32</v>
      </c>
      <c r="H7" s="60" t="s">
        <v>43</v>
      </c>
      <c r="I7" s="60" t="s">
        <v>590</v>
      </c>
      <c r="J7" s="60" t="s">
        <v>320</v>
      </c>
      <c r="K7" s="60">
        <f>IF(J7="syllables",1,IF(J7="trigrams",2,IF(J7="strings",3,IF(J7="visual array",4,IF(J7="characters",5,IF(J7="letters",6,IF(J7="free forms",7,IF(J7="odors",8,IF(J7="words",9,IF(J7="pictures",10,IF(J7="object pictures",11,IF(J7="faces",12,IF(J7="names",13,IF(J7="idioms",14,IF(J7="grades",15,IF(J7="syllable-digit pairs",16,IF(J7="trigram-word pairs",17,IF(J7="word-digit pairs",18,IF(J7="English-Swahili pairs",19,IF(J7="spatial position",20,IF(J7="word pairs",21,IF(J7="word triads",22,IF(J7="generated words",23,IF(J7="word definition pairs",24,IF(J7="math problems",25,IF(J7="famous faces",26,IF(J7="famous names",27,IF(J7="famous voices",28,IF(J7="television programs",29,IF(J7="race horses",30,IF(J7="new vocabulary",31,IF(J7="sentences",32,IF(J7="concepts",33,IF(J7="ad slides",34,IF(J7="scenes",35,IF(J7="famous scenes",36,IF(J7="poems",37,IF(J7="walk",38,IF(J7="faces and events",39,IF(J7="events and names",40,IF(J7="flashbulb",41,IF(J7="stories",42,IF(J7="course material",43,IF(J7="autobiographical",44,IF(J7="novels",45,IF(J7="public events",46,"99"))))))))))))))))))))))))))))))))))))))))))))))</f>
        <v>21</v>
      </c>
      <c r="L7" s="60">
        <f>IF(J7="syllables",1,IF(J7="trigrams",1,IF(J7="strings",1,IF(J7="visual array",1,IF(J7="characters",1,IF(J7="letters",1,IF(J7="free forms",1,IF(J7="odors",2,IF(J7="words",2,IF(J7="pictures",2,IF(J7="object pictures",2,IF(J7="faces",2,IF(J7="names",2,IF(J7="idioms","2",IF(J7="grades",2,IF(J7="syllable-digit pairs",3,IF(J7="trigram-word pairs",3,IF(J7="word-digit pairs",3,IF(J7="English-Swahili pairs",3,IF(J7="spatial position",3,IF(J7="word pairs",4,IF(J7="word triads",4,IF(J7="generated words",4,IF(J7="word definition pairs",4,IF(J7="math problems",4,IF(J7="famous faces",4,IF(J7="famous names",4,IF(J7="famous voices",4,IF(J7="television programs",4,IF(J7="race horses",4,IF(J7="new vocabulary",4,IF(J7="sentences",5,IF(J7="concepts",5,IF(J7="ad slides",5,IF(J7="scenes",5,IF(J7="famous scenes",5,IF(J7="poems",6,IF(J7="walk",6,IF(J7="faces and events",6,IF(J7="events and names",6,IF(J7="flashbulb",7,IF(J7="stories",7,IF(J7="course material",7,IF(J7="autobiographical",7,IF(J7="novels",7,IF(J7="public events",7,"99"))))))))))))))))))))))))))))))))))))))))))))))</f>
        <v>4</v>
      </c>
      <c r="M7" s="60">
        <v>1</v>
      </c>
      <c r="N7" s="60">
        <v>2</v>
      </c>
      <c r="O7" s="60">
        <v>0</v>
      </c>
      <c r="P7" s="60"/>
      <c r="Q7" s="60" t="s">
        <v>65</v>
      </c>
      <c r="R7" s="60">
        <f>IF(Q7="Free Recall",1,IF(Q7="Cued Recall",2,IF(Q7="Recognition",3,IF(Q7="Multiple Choice",4,IF(Q7="Savings",5,IF(Q7="Stem Completion",6,IF(Q7="Fragment Completion",7,IF(Q7="anagram solution",8,IF(Q7="Matching",9,IF(Q7="Problem Solving",10,"99"))))))))))</f>
        <v>2</v>
      </c>
      <c r="S7" s="60" t="s">
        <v>20</v>
      </c>
      <c r="T7" s="60" t="s">
        <v>261</v>
      </c>
      <c r="U7" s="60">
        <f>IF(T7="within",1,0)</f>
        <v>0</v>
      </c>
      <c r="V7" s="60">
        <v>36</v>
      </c>
      <c r="W7" s="60">
        <f>F7*V7</f>
        <v>5760</v>
      </c>
      <c r="X7" s="60">
        <v>3</v>
      </c>
      <c r="Y7" s="76">
        <f>AV6</f>
        <v>450</v>
      </c>
      <c r="Z7" s="60" t="s">
        <v>97</v>
      </c>
      <c r="AA7" s="60">
        <f>7*24*3600</f>
        <v>604800</v>
      </c>
      <c r="AB7" s="60" t="str">
        <f>IF(AA7&lt;60,"1",IF(AA7&lt;=43200,"2",IF(AA7&lt;=777600,"3","4")))</f>
        <v>3</v>
      </c>
      <c r="AC7" s="76">
        <f>AVERAGE(AV6:DA6)</f>
        <v>216150</v>
      </c>
      <c r="AD7" s="60" t="str">
        <f>IF(AC7&lt;60,"1",IF(AC7&lt;=43200,"2",IF(AC7&lt;=777600,"3","4")))</f>
        <v>3</v>
      </c>
      <c r="AE7" s="76">
        <f>AA7-Y7</f>
        <v>604350</v>
      </c>
      <c r="AF7" s="80">
        <f>AV7</f>
        <v>0.65</v>
      </c>
      <c r="AG7" s="56">
        <f>((AW7-AV7)+(AX7-AW7))/2</f>
        <v>-0.13500000000000001</v>
      </c>
      <c r="AH7" s="4"/>
      <c r="AI7" s="56">
        <f>RSQ(AV7:AX7,AV6:AX6)</f>
        <v>0.97772896985829982</v>
      </c>
      <c r="AJ7" s="109">
        <f>SLOPE(AV7:AX7,AV6:AX6)</f>
        <v>-4.1566548314856565E-7</v>
      </c>
      <c r="AK7" s="56">
        <f>INTERCEPT(AV7:AX7,AV6:AX6)</f>
        <v>0.62984609418256254</v>
      </c>
      <c r="AL7" s="56">
        <f>INDEX(LINEST(LN(AV7:AX7),LN(AV6:AX6),TRUE,TRUE),3,1)</f>
        <v>0.76455679730142989</v>
      </c>
      <c r="AM7" s="56">
        <f>INDEX(LINEST(LN(AV7:AX7),LN(AV6:AX6)),1)</f>
        <v>-6.8642470712818149E-2</v>
      </c>
      <c r="AN7" s="56">
        <f>EXP(INDEX(LINEST(LN(AV7:AX7),LN(AV6:AX6)),1,2))</f>
        <v>1.0477131640261095</v>
      </c>
      <c r="AO7" s="82">
        <f>INDEX(LINEST((AV7:AX7),LN(AV6:AX6),TRUE,TRUE),3,1)</f>
        <v>0.80012847328930303</v>
      </c>
      <c r="AP7" s="82">
        <f>INDEX(LINEST((AV7:AX7),LN(AV6:AX6)),1)</f>
        <v>-3.4798451347550267E-2</v>
      </c>
      <c r="AQ7" s="83">
        <f>INDEX(LINEST(LN(AV7:AX7),SQRT(AV6:AX6),TRUE,TRUE),3,1)</f>
        <v>0.99524896437583044</v>
      </c>
      <c r="AR7" s="116">
        <f>INDEX(LINEST(LN(AV7:AX7),SQRT((AV6:AX6))),1)</f>
        <v>-7.2424291947413447E-4</v>
      </c>
      <c r="AS7" s="84">
        <f>INDEX(LINEST(1/(AV7:AX7),1/(SQRT(AV6:AX6)),TRUE,TRUE),3,1)</f>
        <v>0.44019742297926256</v>
      </c>
      <c r="AT7" s="84">
        <f>INDEX(LINEST(1/(AV7:AX7),1/SQRT(AV6:AX6)),1)</f>
        <v>-15.370280029580099</v>
      </c>
      <c r="AU7" s="4"/>
      <c r="AV7" s="53">
        <v>0.65</v>
      </c>
      <c r="AW7" s="53">
        <v>0.59</v>
      </c>
      <c r="AX7" s="53">
        <v>0.38</v>
      </c>
      <c r="AY7" s="53"/>
      <c r="AZ7" s="53"/>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53"/>
      <c r="CI7" s="53"/>
      <c r="CJ7" s="53"/>
      <c r="CK7" s="53"/>
      <c r="CL7" s="53"/>
      <c r="CM7" s="53"/>
      <c r="CN7" s="53"/>
      <c r="CO7" s="53"/>
      <c r="CP7" s="53"/>
      <c r="CQ7" s="53"/>
      <c r="CR7" s="1"/>
      <c r="CS7" s="1"/>
      <c r="CT7" s="1"/>
      <c r="CU7" s="1"/>
    </row>
    <row r="8" spans="1:99" s="13" customFormat="1" ht="12" customHeight="1" x14ac:dyDescent="0.2">
      <c r="A8" s="65">
        <v>43648</v>
      </c>
      <c r="B8" s="1"/>
      <c r="C8" s="1"/>
      <c r="D8" s="60"/>
      <c r="E8" s="76"/>
      <c r="F8" s="60"/>
      <c r="G8" s="60"/>
      <c r="H8" s="60"/>
      <c r="I8" s="60"/>
      <c r="J8" s="60"/>
      <c r="K8" s="64"/>
      <c r="L8" s="64"/>
      <c r="M8" s="60"/>
      <c r="N8" s="60"/>
      <c r="O8" s="60"/>
      <c r="P8" s="60"/>
      <c r="Q8" s="60"/>
      <c r="R8" s="60"/>
      <c r="S8" s="60"/>
      <c r="T8" s="60"/>
      <c r="U8" s="60"/>
      <c r="V8" s="60"/>
      <c r="W8" s="60"/>
      <c r="X8" s="60"/>
      <c r="Y8" s="76"/>
      <c r="Z8" s="60"/>
      <c r="AA8" s="60"/>
      <c r="AB8" s="60"/>
      <c r="AC8" s="76"/>
      <c r="AD8" s="60"/>
      <c r="AE8" s="60"/>
      <c r="AF8" s="80"/>
      <c r="AG8" s="56"/>
      <c r="AH8" s="4"/>
      <c r="AI8" s="56"/>
      <c r="AJ8" s="109"/>
      <c r="AK8" s="56"/>
      <c r="AL8" s="56"/>
      <c r="AM8" s="56"/>
      <c r="AN8" s="56"/>
      <c r="AO8" s="56"/>
      <c r="AP8" s="56"/>
      <c r="AQ8" s="56"/>
      <c r="AR8" s="109"/>
      <c r="AS8" s="56"/>
      <c r="AT8" s="56"/>
      <c r="AU8" s="4"/>
      <c r="AV8" s="53">
        <v>450</v>
      </c>
      <c r="AW8" s="25">
        <f>12*3600</f>
        <v>43200</v>
      </c>
      <c r="AX8" s="1">
        <f>7*24*3600</f>
        <v>604800</v>
      </c>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c r="CP8" s="53"/>
      <c r="CQ8" s="53"/>
      <c r="CR8" s="1"/>
      <c r="CS8" s="1"/>
      <c r="CT8" s="1"/>
      <c r="CU8" s="1"/>
    </row>
    <row r="9" spans="1:99" s="13" customFormat="1" ht="12" customHeight="1" x14ac:dyDescent="0.2">
      <c r="A9" s="65">
        <v>43648</v>
      </c>
      <c r="B9" s="1" t="s">
        <v>321</v>
      </c>
      <c r="C9" s="1" t="s">
        <v>45</v>
      </c>
      <c r="D9" s="60">
        <v>2019</v>
      </c>
      <c r="E9" s="76" t="s">
        <v>580</v>
      </c>
      <c r="F9" s="60">
        <v>160</v>
      </c>
      <c r="G9" s="60">
        <v>32</v>
      </c>
      <c r="H9" s="60" t="s">
        <v>43</v>
      </c>
      <c r="I9" s="60" t="s">
        <v>574</v>
      </c>
      <c r="J9" s="60" t="s">
        <v>320</v>
      </c>
      <c r="K9" s="60">
        <f>IF(J9="syllables",1,IF(J9="trigrams",2,IF(J9="strings",3,IF(J9="visual array",4,IF(J9="characters",5,IF(J9="letters",6,IF(J9="free forms",7,IF(J9="odors",8,IF(J9="words",9,IF(J9="pictures",10,IF(J9="object pictures",11,IF(J9="faces",12,IF(J9="names",13,IF(J9="idioms",14,IF(J9="grades",15,IF(J9="syllable-digit pairs",16,IF(J9="trigram-word pairs",17,IF(J9="word-digit pairs",18,IF(J9="English-Swahili pairs",19,IF(J9="spatial position",20,IF(J9="word pairs",21,IF(J9="word triads",22,IF(J9="generated words",23,IF(J9="word definition pairs",24,IF(J9="math problems",25,IF(J9="famous faces",26,IF(J9="famous names",27,IF(J9="famous voices",28,IF(J9="television programs",29,IF(J9="race horses",30,IF(J9="new vocabulary",31,IF(J9="sentences",32,IF(J9="concepts",33,IF(J9="ad slides",34,IF(J9="scenes",35,IF(J9="famous scenes",36,IF(J9="poems",37,IF(J9="walk",38,IF(J9="faces and events",39,IF(J9="events and names",40,IF(J9="flashbulb",41,IF(J9="stories",42,IF(J9="course material",43,IF(J9="autobiographical",44,IF(J9="novels",45,IF(J9="public events",46,"99"))))))))))))))))))))))))))))))))))))))))))))))</f>
        <v>21</v>
      </c>
      <c r="L9" s="60">
        <f>IF(J9="syllables",1,IF(J9="trigrams",1,IF(J9="strings",1,IF(J9="visual array",1,IF(J9="characters",1,IF(J9="letters",1,IF(J9="free forms",1,IF(J9="odors",2,IF(J9="words",2,IF(J9="pictures",2,IF(J9="object pictures",2,IF(J9="faces",2,IF(J9="names",2,IF(J9="idioms","2",IF(J9="grades",2,IF(J9="syllable-digit pairs",3,IF(J9="trigram-word pairs",3,IF(J9="word-digit pairs",3,IF(J9="English-Swahili pairs",3,IF(J9="spatial position",3,IF(J9="word pairs",4,IF(J9="word triads",4,IF(J9="generated words",4,IF(J9="word definition pairs",4,IF(J9="math problems",4,IF(J9="famous faces",4,IF(J9="famous names",4,IF(J9="famous voices",4,IF(J9="television programs",4,IF(J9="race horses",4,IF(J9="new vocabulary",4,IF(J9="sentences",5,IF(J9="concepts",5,IF(J9="ad slides",5,IF(J9="scenes",5,IF(J9="famous scenes",5,IF(J9="poems",6,IF(J9="walk",6,IF(J9="faces and events",6,IF(J9="events and names",6,IF(J9="flashbulb",7,IF(J9="stories",7,IF(J9="course material",7,IF(J9="autobiographical",7,IF(J9="novels",7,IF(J9="public events",7,"99"))))))))))))))))))))))))))))))))))))))))))))))</f>
        <v>4</v>
      </c>
      <c r="M9" s="60">
        <v>1</v>
      </c>
      <c r="N9" s="60">
        <v>2</v>
      </c>
      <c r="O9" s="60">
        <v>0</v>
      </c>
      <c r="P9" s="60"/>
      <c r="Q9" s="60" t="s">
        <v>65</v>
      </c>
      <c r="R9" s="60">
        <f>IF(Q9="Free Recall",1,IF(Q9="Cued Recall",2,IF(Q9="Recognition",3,IF(Q9="Multiple Choice",4,IF(Q9="Savings",5,IF(Q9="Stem Completion",6,IF(Q9="Fragment Completion",7,IF(Q9="anagram solution",8,IF(Q9="Matching",9,IF(Q9="Problem Solving",10,"99"))))))))))</f>
        <v>2</v>
      </c>
      <c r="S9" s="60" t="s">
        <v>20</v>
      </c>
      <c r="T9" s="60" t="s">
        <v>261</v>
      </c>
      <c r="U9" s="60">
        <f>IF(T9="within",1,0)</f>
        <v>0</v>
      </c>
      <c r="V9" s="60">
        <v>36</v>
      </c>
      <c r="W9" s="60">
        <f>F9*V9</f>
        <v>5760</v>
      </c>
      <c r="X9" s="60">
        <v>3</v>
      </c>
      <c r="Y9" s="76">
        <f>AV8</f>
        <v>450</v>
      </c>
      <c r="Z9" s="60" t="s">
        <v>97</v>
      </c>
      <c r="AA9" s="60">
        <f>7*24*3600</f>
        <v>604800</v>
      </c>
      <c r="AB9" s="60" t="str">
        <f>IF(AA9&lt;60,"1",IF(AA9&lt;=43200,"2",IF(AA9&lt;=777600,"3","4")))</f>
        <v>3</v>
      </c>
      <c r="AC9" s="76">
        <f>AVERAGE(AV8:DA8)</f>
        <v>216150</v>
      </c>
      <c r="AD9" s="60" t="str">
        <f>IF(AC9&lt;60,"1",IF(AC9&lt;=43200,"2",IF(AC9&lt;=777600,"3","4")))</f>
        <v>3</v>
      </c>
      <c r="AE9" s="76">
        <f>AA9-Y9</f>
        <v>604350</v>
      </c>
      <c r="AF9" s="80">
        <f>AV9</f>
        <v>0.65</v>
      </c>
      <c r="AG9" s="56">
        <f>((AW9-AV9)+(AX9-AW9))/2</f>
        <v>-0.15000000000000002</v>
      </c>
      <c r="AH9" s="4"/>
      <c r="AI9" s="56">
        <f>RSQ(AV9:AX9,AV8:AX8)</f>
        <v>0.99142101884577383</v>
      </c>
      <c r="AJ9" s="109">
        <f>SLOPE(AV9:AX9,AV8:AX8)</f>
        <v>-4.7452158972678067E-7</v>
      </c>
      <c r="AK9" s="56">
        <f>INTERCEPT(AV9:AX9,AV8:AX8)</f>
        <v>0.63590117495277698</v>
      </c>
      <c r="AL9" s="56">
        <f>INDEX(LINEST(LN(AV9:AX9),LN(AV8:AX8),TRUE,TRUE),3,1)</f>
        <v>0.72004266197036881</v>
      </c>
      <c r="AM9" s="56">
        <f>INDEX(LINEST(LN(AV9:AX9),LN(AV8:AX8)),1)</f>
        <v>-7.8393965082307462E-2</v>
      </c>
      <c r="AN9" s="56">
        <f>EXP(INDEX(LINEST(LN(AV9:AX9),LN(AV8:AX8)),1,2))</f>
        <v>1.1304602810028144</v>
      </c>
      <c r="AO9" s="82">
        <f>INDEX(LINEST((AV9:AX9),LN(AV8:AX8),TRUE,TRUE),3,1)</f>
        <v>0.75265667736135289</v>
      </c>
      <c r="AP9" s="82">
        <f>INDEX(LINEST((AV9:AX9),LN(AV8:AX8)),1)</f>
        <v>-3.8262267944986175E-2</v>
      </c>
      <c r="AQ9" s="83">
        <f>INDEX(LINEST(LN(AV9:AX9),SQRT(AV8:AX8),TRUE,TRUE),3,1)</f>
        <v>0.98568956171028121</v>
      </c>
      <c r="AR9" s="116">
        <f>INDEX(LINEST(LN(AV9:AX9),SQRT((AV8:AX8))),1)</f>
        <v>-8.4821110906641223E-4</v>
      </c>
      <c r="AS9" s="84">
        <f>INDEX(LINEST(1/(AV9:AX9),1/(SQRT(AV8:AX8)),TRUE,TRUE),3,1)</f>
        <v>0.39635965208317386</v>
      </c>
      <c r="AT9" s="84">
        <f>INDEX(LINEST(1/(AV9:AX9),1/SQRT(AV8:AX8)),1)</f>
        <v>-17.940696750293739</v>
      </c>
      <c r="AU9" s="4"/>
      <c r="AV9" s="53">
        <v>0.65</v>
      </c>
      <c r="AW9" s="53">
        <v>0.6</v>
      </c>
      <c r="AX9" s="53">
        <v>0.35</v>
      </c>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c r="CP9" s="53"/>
      <c r="CQ9" s="53"/>
      <c r="CR9" s="1"/>
      <c r="CS9" s="1"/>
      <c r="CT9" s="1"/>
      <c r="CU9" s="1"/>
    </row>
    <row r="10" spans="1:99" s="13" customFormat="1" ht="12" customHeight="1" x14ac:dyDescent="0.2">
      <c r="A10" s="65" t="s">
        <v>932</v>
      </c>
      <c r="B10" s="1"/>
      <c r="C10" s="1"/>
      <c r="D10" s="60"/>
      <c r="E10" s="76"/>
      <c r="F10" s="60"/>
      <c r="G10" s="60"/>
      <c r="H10" s="62"/>
      <c r="I10" s="60"/>
      <c r="J10" s="60"/>
      <c r="K10" s="60"/>
      <c r="L10" s="60"/>
      <c r="M10" s="60"/>
      <c r="N10" s="60"/>
      <c r="O10" s="60"/>
      <c r="P10" s="60"/>
      <c r="Q10" s="62"/>
      <c r="R10" s="60"/>
      <c r="S10" s="60"/>
      <c r="T10" s="59"/>
      <c r="U10" s="60"/>
      <c r="V10" s="59"/>
      <c r="W10" s="60"/>
      <c r="X10" s="60"/>
      <c r="Y10" s="76"/>
      <c r="Z10" s="60"/>
      <c r="AA10" s="60"/>
      <c r="AB10" s="60"/>
      <c r="AC10" s="56"/>
      <c r="AD10" s="60"/>
      <c r="AE10" s="76"/>
      <c r="AF10" s="80"/>
      <c r="AG10" s="56"/>
      <c r="AH10" s="4"/>
      <c r="AI10" s="56"/>
      <c r="AJ10" s="109"/>
      <c r="AK10" s="56"/>
      <c r="AL10" s="56"/>
      <c r="AM10" s="56"/>
      <c r="AN10" s="56"/>
      <c r="AO10" s="82"/>
      <c r="AP10" s="82"/>
      <c r="AQ10" s="83"/>
      <c r="AR10" s="116"/>
      <c r="AS10" s="84"/>
      <c r="AT10" s="84"/>
      <c r="AU10" s="3"/>
      <c r="AV10" s="25">
        <v>30</v>
      </c>
      <c r="AW10" s="25">
        <f>60*30</f>
        <v>1800</v>
      </c>
      <c r="AX10" s="25">
        <f>60*60*24</f>
        <v>86400</v>
      </c>
      <c r="AY10" s="53"/>
      <c r="AZ10" s="53" t="s">
        <v>935</v>
      </c>
      <c r="BA10" s="53"/>
      <c r="BB10" s="53"/>
      <c r="BC10" s="53"/>
      <c r="BD10" s="53"/>
      <c r="BE10" s="53"/>
      <c r="BF10" s="53"/>
      <c r="BG10" s="53"/>
      <c r="BH10" s="53"/>
      <c r="BI10" s="53"/>
      <c r="BJ10" s="53"/>
      <c r="BK10" s="53"/>
      <c r="BL10" s="53"/>
      <c r="BM10" s="53"/>
      <c r="BN10" s="53"/>
      <c r="BO10" s="53"/>
      <c r="BP10" s="53"/>
      <c r="BQ10" s="53"/>
      <c r="BR10" s="53"/>
      <c r="BS10" s="53"/>
      <c r="BT10" s="53"/>
      <c r="BU10" s="53"/>
      <c r="BV10" s="53"/>
      <c r="BW10" s="53"/>
      <c r="BX10" s="53"/>
      <c r="BY10" s="53"/>
      <c r="BZ10" s="53"/>
      <c r="CA10" s="53"/>
      <c r="CB10" s="53"/>
      <c r="CC10" s="53"/>
      <c r="CD10" s="53"/>
      <c r="CE10" s="53"/>
      <c r="CF10" s="53"/>
      <c r="CG10" s="53"/>
      <c r="CH10" s="53"/>
      <c r="CI10" s="53"/>
      <c r="CJ10" s="53"/>
      <c r="CK10" s="53"/>
      <c r="CL10" s="53"/>
      <c r="CM10" s="53"/>
      <c r="CN10" s="53"/>
      <c r="CO10" s="53"/>
      <c r="CP10" s="53"/>
      <c r="CQ10" s="53"/>
      <c r="CR10" s="1"/>
      <c r="CS10" s="1"/>
      <c r="CT10" s="1"/>
      <c r="CU10" s="1"/>
    </row>
    <row r="11" spans="1:99" s="13" customFormat="1" ht="12" customHeight="1" x14ac:dyDescent="0.2">
      <c r="A11" s="65" t="s">
        <v>932</v>
      </c>
      <c r="B11" s="1" t="s">
        <v>936</v>
      </c>
      <c r="C11" s="1" t="s">
        <v>937</v>
      </c>
      <c r="D11" s="60">
        <v>2005</v>
      </c>
      <c r="E11" s="76">
        <v>1</v>
      </c>
      <c r="F11" s="60">
        <v>49</v>
      </c>
      <c r="G11" s="60">
        <v>49</v>
      </c>
      <c r="H11" s="62" t="s">
        <v>38</v>
      </c>
      <c r="I11" s="60" t="s">
        <v>938</v>
      </c>
      <c r="J11" s="60" t="s">
        <v>16</v>
      </c>
      <c r="K11" s="60">
        <f>IF(J11="syllables",1,IF(J11="trigrams",2,IF(J11="strings",3,IF(J11="visual array",4,IF(J11="characters",5,IF(J11="letters",6,IF(J11="free forms",7,IF(J11="odors",8,IF(J11="words",9,IF(J11="pictures",10,IF(J11="object pictures",11,IF(J11="faces",12,IF(J11="names",13,IF(J11="idioms",14,IF(J11="grades",15,IF(J11="syllable-digit pairs",16,IF(J11="trigram-word pairs",17,IF(J11="word-digit pairs",18,IF(J11="English-Swahili pairs",19,IF(J11="spatial position",20,IF(J11="word pairs",21,IF(J11="word triads",22,IF(J11="generated words",23,IF(J11="word definition pairs",24,IF(J11="math problems",25,IF(J11="famous faces",26,IF(J11="famous names",27,IF(J11="famous voices",28,IF(J11="television programs",29,IF(J11="race horses",30,IF(J11="new vocabulary",31,IF(J11="sentences",32,IF(J11="concepts",33,IF(J11="ad slides",34,IF(J11="scenes",35,IF(J11="famous scenes",36,IF(J11="poems",37,IF(J11="walk",38,IF(J11="faces and events",39,IF(J11="events and names",40,IF(J11="flashbulb",41,IF(J11="stories",42,IF(J11="course material",43,IF(J11="autobiographical",44,IF(J11="novels",45,IF(J11="public events",46,"99"))))))))))))))))))))))))))))))))))))))))))))))</f>
        <v>9</v>
      </c>
      <c r="L11" s="60">
        <f>IF(J11="syllables",1,IF(J11="trigrams",1,IF(J11="strings",1,IF(J11="visual array",1,IF(J11="characters",1,IF(J11="letters",1,IF(J11="free forms",1,IF(J11="odors",2,IF(J11="words",2,IF(J11="pictures",2,IF(J11="object pictures",2,IF(J11="faces",2,IF(J11="names",2,IF(J11="idioms","2",IF(J11="grades",2,IF(J11="syllable-digit pairs",3,IF(J11="trigram-word pairs",3,IF(J11="word-digit pairs",3,IF(J11="English-Swahili pairs",3,IF(J11="spatial position",3,IF(J11="word pairs",4,IF(J11="word triads",4,IF(J11="generated words",4,IF(J11="word definition pairs",4,IF(J11="math problems",4,IF(J11="famous faces",4,IF(J11="famous names",4,IF(J11="famous voices",4,IF(J11="television programs",4,IF(J11="race horses",4,IF(J11="new vocabulary",4,IF(J11="sentences",5,IF(J11="concepts",5,IF(J11="ad slides",5,IF(J11="scenes",5,IF(J11="famous scenes",5,IF(J11="poems",6,IF(J11="walk",6,IF(J11="faces and events",6,IF(J11="events and names",6,IF(J11="flashbulb",7,IF(J11="stories",7,IF(J11="course material",7,IF(J11="autobiographical",7,IF(J11="novels",7,IF(J11="public events",7,"99"))))))))))))))))))))))))))))))))))))))))))))))</f>
        <v>2</v>
      </c>
      <c r="M11" s="60">
        <v>1</v>
      </c>
      <c r="N11" s="60">
        <v>2</v>
      </c>
      <c r="O11" s="60">
        <v>0</v>
      </c>
      <c r="P11" s="60"/>
      <c r="Q11" s="62" t="s">
        <v>174</v>
      </c>
      <c r="R11" s="60">
        <f>IF(Q11="Free Recall",1,IF(Q11="Cued Recall",2,IF(Q11="Recognition",3,IF(Q11="Multiple Choice",4,IF(Q11="Savings",5,IF(Q11="Stem Completion",6,IF(Q11="Fragment Completion",7,IF(Q11="anagram solution",8,IF(Q11="Matching",9,IF(Q11="Problem Solving",10,"99"))))))))))</f>
        <v>1</v>
      </c>
      <c r="S11" s="60" t="s">
        <v>49</v>
      </c>
      <c r="T11" s="59" t="s">
        <v>581</v>
      </c>
      <c r="U11" s="60">
        <f>IF(T11="within",1,0)</f>
        <v>1</v>
      </c>
      <c r="V11" s="59">
        <v>12</v>
      </c>
      <c r="W11" s="60">
        <f>F11*V11</f>
        <v>588</v>
      </c>
      <c r="X11" s="60">
        <v>3</v>
      </c>
      <c r="Y11" s="76">
        <f>AV10</f>
        <v>30</v>
      </c>
      <c r="Z11" s="60" t="s">
        <v>79</v>
      </c>
      <c r="AA11" s="60">
        <f>60*60*24</f>
        <v>86400</v>
      </c>
      <c r="AB11" s="60" t="str">
        <f>IF(AA11&lt;60,"1",IF(AA11&lt;=43200,"2",IF(AA11&lt;=777600,"3","4")))</f>
        <v>3</v>
      </c>
      <c r="AC11" s="56">
        <f>AVERAGE(AV10:DA10)</f>
        <v>29410</v>
      </c>
      <c r="AD11" s="60" t="str">
        <f>IF(AC11&lt;60,"1",IF(AC11&lt;=43200,"2",IF(AC11&lt;=777600,"3","4")))</f>
        <v>2</v>
      </c>
      <c r="AE11" s="76">
        <f>AA11-Y11</f>
        <v>86370</v>
      </c>
      <c r="AF11" s="80">
        <f>AV11</f>
        <v>0.83333333333333337</v>
      </c>
      <c r="AG11" s="56">
        <f>((AW11-AV11)+(AX11-AW11))/2</f>
        <v>-0.16666666666666669</v>
      </c>
      <c r="AH11" s="4"/>
      <c r="AI11" s="56">
        <f>RSQ(AV11:AX11,AV10:AX10)</f>
        <v>0.68855953104512446</v>
      </c>
      <c r="AJ11" s="109">
        <f>SLOPE(AV11:AX11,AV10:AX10)</f>
        <v>-2.8121787763284142E-6</v>
      </c>
      <c r="AK11" s="56">
        <f>INTERCEPT(AV11:AX11,AV10:AX10)</f>
        <v>0.74103951114515199</v>
      </c>
      <c r="AL11" s="56">
        <f>INDEX(LINEST(LN(AV11:AX11),LN(AV10:AX10),TRUE,TRUE),3,1)</f>
        <v>0.99999260754014596</v>
      </c>
      <c r="AM11" s="56">
        <f>INDEX(LINEST(LN(AV11:AX11),LN(AV10:AX10)),1)</f>
        <v>-6.4126575711424896E-2</v>
      </c>
      <c r="AN11" s="56">
        <f>EXP(INDEX(LINEST(LN(AV11:AX11),LN(AV10:AX10)),1,2))</f>
        <v>1.0368375618432171</v>
      </c>
      <c r="AO11" s="82">
        <f>INDEX(LINEST((AV11:AX11),LN(AV10:AX10),TRUE,TRUE),3,1)</f>
        <v>0.99507798447393037</v>
      </c>
      <c r="AP11" s="82">
        <f>INDEX(LINEST((AV11:AX11),LN(AV10:AX10)),1)</f>
        <v>-4.1894548022784077E-2</v>
      </c>
      <c r="AQ11" s="83">
        <f>INDEX(LINEST(LN(AV11:AX11),SQRT(AV10:AX10),TRUE,TRUE),3,1)</f>
        <v>0.83441432004265736</v>
      </c>
      <c r="AR11" s="116">
        <f>INDEX(LINEST(LN(AV11:AX11),SQRT((AV10:AX10))),1)</f>
        <v>-1.4864888339396274E-3</v>
      </c>
      <c r="AS11" s="84">
        <f>INDEX(LINEST(1/(AV11:AX11),1/(SQRT(AV10:AX10)),TRUE,TRUE),3,1)</f>
        <v>0.78628435712775191</v>
      </c>
      <c r="AT11" s="84">
        <f>INDEX(LINEST(1/(AV11:AX11),1/SQRT(AV10:AX10)),1)</f>
        <v>-3.6205351452876302</v>
      </c>
      <c r="AU11" s="3"/>
      <c r="AV11" s="53">
        <f>10/12</f>
        <v>0.83333333333333337</v>
      </c>
      <c r="AW11" s="53">
        <f>7.7/12</f>
        <v>0.64166666666666672</v>
      </c>
      <c r="AX11" s="53">
        <f>6/12</f>
        <v>0.5</v>
      </c>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1"/>
      <c r="CS11" s="1"/>
      <c r="CT11" s="1"/>
      <c r="CU11" s="1"/>
    </row>
    <row r="12" spans="1:99" s="13" customFormat="1" ht="12" customHeight="1" x14ac:dyDescent="0.2">
      <c r="A12" s="65" t="s">
        <v>932</v>
      </c>
      <c r="B12" s="1"/>
      <c r="C12" s="1"/>
      <c r="D12" s="60"/>
      <c r="E12" s="76"/>
      <c r="F12" s="60"/>
      <c r="G12" s="60"/>
      <c r="H12" s="62"/>
      <c r="I12" s="60"/>
      <c r="J12" s="60"/>
      <c r="K12" s="60"/>
      <c r="L12" s="60"/>
      <c r="M12" s="60"/>
      <c r="N12" s="60"/>
      <c r="O12" s="60"/>
      <c r="P12" s="60"/>
      <c r="Q12" s="62"/>
      <c r="R12" s="60"/>
      <c r="S12" s="60"/>
      <c r="T12" s="59"/>
      <c r="U12" s="60"/>
      <c r="V12" s="59"/>
      <c r="W12" s="60"/>
      <c r="X12" s="60"/>
      <c r="Y12" s="76"/>
      <c r="Z12" s="60"/>
      <c r="AA12" s="60"/>
      <c r="AB12" s="60"/>
      <c r="AC12" s="56"/>
      <c r="AD12" s="60"/>
      <c r="AE12" s="76"/>
      <c r="AF12" s="80"/>
      <c r="AG12" s="56"/>
      <c r="AH12" s="4"/>
      <c r="AI12" s="56"/>
      <c r="AJ12" s="109"/>
      <c r="AK12" s="56"/>
      <c r="AL12" s="56"/>
      <c r="AM12" s="56"/>
      <c r="AN12" s="56"/>
      <c r="AO12" s="82"/>
      <c r="AP12" s="82"/>
      <c r="AQ12" s="83"/>
      <c r="AR12" s="116"/>
      <c r="AS12" s="84"/>
      <c r="AT12" s="84"/>
      <c r="AU12" s="3"/>
      <c r="AV12" s="25">
        <v>30</v>
      </c>
      <c r="AW12" s="25">
        <f>60*30</f>
        <v>1800</v>
      </c>
      <c r="AX12" s="25">
        <f>60*60*24</f>
        <v>86400</v>
      </c>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1"/>
      <c r="CS12" s="1"/>
      <c r="CT12" s="1"/>
      <c r="CU12" s="1"/>
    </row>
    <row r="13" spans="1:99" s="13" customFormat="1" ht="12" customHeight="1" x14ac:dyDescent="0.2">
      <c r="A13" s="65" t="s">
        <v>932</v>
      </c>
      <c r="B13" s="1" t="s">
        <v>936</v>
      </c>
      <c r="C13" s="1" t="s">
        <v>937</v>
      </c>
      <c r="D13" s="60">
        <v>2005</v>
      </c>
      <c r="E13" s="76">
        <v>1</v>
      </c>
      <c r="F13" s="60">
        <v>49</v>
      </c>
      <c r="G13" s="60">
        <v>49</v>
      </c>
      <c r="H13" s="62" t="s">
        <v>38</v>
      </c>
      <c r="I13" s="60" t="s">
        <v>939</v>
      </c>
      <c r="J13" s="60" t="s">
        <v>317</v>
      </c>
      <c r="K13" s="60">
        <f>IF(J13="syllables",1,IF(J13="trigrams",2,IF(J13="strings",3,IF(J13="visual array",4,IF(J13="characters",5,IF(J13="letters",6,IF(J13="free forms",7,IF(J13="odors",8,IF(J13="words",9,IF(J13="pictures",10,IF(J13="object pictures",11,IF(J13="faces",12,IF(J13="names",13,IF(J13="idioms",14,IF(J13="grades",15,IF(J13="syllable-digit pairs",16,IF(J13="trigram-word pairs",17,IF(J13="word-digit pairs",18,IF(J13="English-Swahili pairs",19,IF(J13="spatial position",20,IF(J13="word pairs",21,IF(J13="word triads",22,IF(J13="generated words",23,IF(J13="word definition pairs",24,IF(J13="math problems",25,IF(J13="famous faces",26,IF(J13="famous names",27,IF(J13="famous voices",28,IF(J13="television programs",29,IF(J13="race horses",30,IF(J13="new vocabulary",31,IF(J13="sentences",32,IF(J13="concepts",33,IF(J13="ad slides",34,IF(J13="scenes",35,IF(J13="famous scenes",36,IF(J13="poems",37,IF(J13="walk",38,IF(J13="faces and events",39,IF(J13="events and names",40,IF(J13="flashbulb",41,IF(J13="stories",42,IF(J13="course material",43,IF(J13="autobiographical",44,IF(J13="novels",45,IF(J13="public events",46,"99"))))))))))))))))))))))))))))))))))))))))))))))</f>
        <v>7</v>
      </c>
      <c r="L13" s="60">
        <f>IF(J13="syllables",1,IF(J13="trigrams",1,IF(J13="strings",1,IF(J13="visual array",1,IF(J13="characters",1,IF(J13="letters",1,IF(J13="free forms",1,IF(J13="odors",2,IF(J13="words",2,IF(J13="pictures",2,IF(J13="object pictures",2,IF(J13="faces",2,IF(J13="names",2,IF(J13="idioms","2",IF(J13="grades",2,IF(J13="syllable-digit pairs",3,IF(J13="trigram-word pairs",3,IF(J13="word-digit pairs",3,IF(J13="English-Swahili pairs",3,IF(J13="spatial position",3,IF(J13="word pairs",4,IF(J13="word triads",4,IF(J13="generated words",4,IF(J13="word definition pairs",4,IF(J13="math problems",4,IF(J13="famous faces",4,IF(J13="famous names",4,IF(J13="famous voices",4,IF(J13="television programs",4,IF(J13="race horses",4,IF(J13="new vocabulary",4,IF(J13="sentences",5,IF(J13="concepts",5,IF(J13="ad slides",5,IF(J13="scenes",5,IF(J13="famous scenes",5,IF(J13="poems",6,IF(J13="walk",6,IF(J13="faces and events",6,IF(J13="events and names",6,IF(J13="flashbulb",7,IF(J13="stories",7,IF(J13="course material",7,IF(J13="autobiographical",7,IF(J13="novels",7,IF(J13="public events",7,"99"))))))))))))))))))))))))))))))))))))))))))))))</f>
        <v>1</v>
      </c>
      <c r="M13" s="60">
        <v>1</v>
      </c>
      <c r="N13" s="60">
        <v>2</v>
      </c>
      <c r="O13" s="60">
        <v>0</v>
      </c>
      <c r="P13" s="60"/>
      <c r="Q13" s="62" t="s">
        <v>174</v>
      </c>
      <c r="R13" s="60">
        <f>IF(Q13="Free Recall",1,IF(Q13="Cued Recall",2,IF(Q13="Recognition",3,IF(Q13="Multiple Choice",4,IF(Q13="Savings",5,IF(Q13="Stem Completion",6,IF(Q13="Fragment Completion",7,IF(Q13="anagram solution",8,IF(Q13="Matching",9,IF(Q13="Problem Solving",10,"99"))))))))))</f>
        <v>1</v>
      </c>
      <c r="S13" s="60" t="s">
        <v>49</v>
      </c>
      <c r="T13" s="59" t="s">
        <v>581</v>
      </c>
      <c r="U13" s="60">
        <f>IF(T13="within",1,0)</f>
        <v>1</v>
      </c>
      <c r="V13" s="59">
        <v>12</v>
      </c>
      <c r="W13" s="60">
        <f>F13*V13</f>
        <v>588</v>
      </c>
      <c r="X13" s="60">
        <v>3</v>
      </c>
      <c r="Y13" s="76">
        <f>AV12</f>
        <v>30</v>
      </c>
      <c r="Z13" s="60" t="s">
        <v>79</v>
      </c>
      <c r="AA13" s="60">
        <f>60*60*24</f>
        <v>86400</v>
      </c>
      <c r="AB13" s="60" t="str">
        <f>IF(AA13&lt;60,"1",IF(AA13&lt;=43200,"2",IF(AA13&lt;=777600,"3","4")))</f>
        <v>3</v>
      </c>
      <c r="AC13" s="56">
        <f>AVERAGE(AV12:DA12)</f>
        <v>29410</v>
      </c>
      <c r="AD13" s="60" t="str">
        <f>IF(AC13&lt;60,"1",IF(AC13&lt;=43200,"2",IF(AC13&lt;=777600,"3","4")))</f>
        <v>2</v>
      </c>
      <c r="AE13" s="76">
        <f>AA13-Y13</f>
        <v>86370</v>
      </c>
      <c r="AF13" s="80">
        <f>AV13</f>
        <v>0.95000000000000007</v>
      </c>
      <c r="AG13" s="56">
        <f>((AW13-AV13)+(AX13-AW13))/2</f>
        <v>-5.0000000000000044E-2</v>
      </c>
      <c r="AH13" s="4"/>
      <c r="AI13" s="56">
        <f>RSQ(AV13:AX13,AV12:AX12)</f>
        <v>0.95038245224120166</v>
      </c>
      <c r="AJ13" s="109">
        <f>SLOPE(AV13:AX13,AV12:AX12)</f>
        <v>-1.0277823707791057E-6</v>
      </c>
      <c r="AK13" s="56">
        <f>INTERCEPT(AV13:AX13,AV12:AX12)</f>
        <v>0.93856041285794678</v>
      </c>
      <c r="AL13" s="56">
        <f>INDEX(LINEST(LN(AV13:AX13),LN(AV12:AX12),TRUE,TRUE),3,1)</f>
        <v>0.90805209590894242</v>
      </c>
      <c r="AM13" s="56">
        <f>INDEX(LINEST(LN(AV13:AX13),LN(AV12:AX12)),1)</f>
        <v>-1.3891845440066442E-2</v>
      </c>
      <c r="AN13" s="56">
        <f>EXP(INDEX(LINEST(LN(AV13:AX13),LN(AV12:AX12)),1,2))</f>
        <v>1.0058527573282312</v>
      </c>
      <c r="AO13" s="82">
        <f>INDEX(LINEST((AV13:AX13),LN(AV12:AX12),TRUE,TRUE),3,1)</f>
        <v>0.91423832512255532</v>
      </c>
      <c r="AP13" s="82">
        <f>INDEX(LINEST((AV13:AX13),LN(AV12:AX12)),1)</f>
        <v>-1.2492186015372671E-2</v>
      </c>
      <c r="AQ13" s="83">
        <f>INDEX(LINEST(LN(AV13:AX13),SQRT(AV12:AX12),TRUE,TRUE),3,1)</f>
        <v>0.98712306315474119</v>
      </c>
      <c r="AR13" s="116">
        <f>INDEX(LINEST(LN(AV13:AX13),SQRT((AV12:AX12))),1)</f>
        <v>-3.6755415072616232E-4</v>
      </c>
      <c r="AS13" s="84">
        <f>INDEX(LINEST(1/(AV13:AX13),1/(SQRT(AV12:AX12)),TRUE,TRUE),3,1)</f>
        <v>0.56206661686696957</v>
      </c>
      <c r="AT13" s="84">
        <f>INDEX(LINEST(1/(AV13:AX13),1/SQRT(AV12:AX12)),1)</f>
        <v>-0.49550248042978839</v>
      </c>
      <c r="AU13" s="3"/>
      <c r="AV13" s="53">
        <f>11.4/12</f>
        <v>0.95000000000000007</v>
      </c>
      <c r="AW13" s="53">
        <f>11.1/12</f>
        <v>0.92499999999999993</v>
      </c>
      <c r="AX13" s="53">
        <f>10.2/12</f>
        <v>0.85</v>
      </c>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c r="BZ13" s="53"/>
      <c r="CA13" s="53"/>
      <c r="CB13" s="53"/>
      <c r="CC13" s="53"/>
      <c r="CD13" s="53"/>
      <c r="CE13" s="53"/>
      <c r="CF13" s="53"/>
      <c r="CG13" s="53"/>
      <c r="CH13" s="53"/>
      <c r="CI13" s="53"/>
      <c r="CJ13" s="53"/>
      <c r="CK13" s="53"/>
      <c r="CL13" s="53"/>
      <c r="CM13" s="53"/>
      <c r="CN13" s="53"/>
      <c r="CO13" s="53"/>
      <c r="CP13" s="53"/>
      <c r="CQ13" s="53"/>
      <c r="CR13" s="1"/>
      <c r="CS13" s="1"/>
      <c r="CT13" s="1"/>
      <c r="CU13" s="1"/>
    </row>
    <row r="14" spans="1:99" s="13" customFormat="1" ht="12" customHeight="1" x14ac:dyDescent="0.2">
      <c r="A14" s="65">
        <v>43951</v>
      </c>
      <c r="B14" s="1"/>
      <c r="C14" s="1"/>
      <c r="D14" s="60"/>
      <c r="E14" s="76"/>
      <c r="F14" s="60"/>
      <c r="G14" s="60"/>
      <c r="H14" s="60"/>
      <c r="I14" s="60"/>
      <c r="J14" s="60"/>
      <c r="K14" s="60"/>
      <c r="L14" s="60"/>
      <c r="M14" s="60"/>
      <c r="N14" s="60"/>
      <c r="O14" s="60"/>
      <c r="P14" s="60"/>
      <c r="Q14" s="60"/>
      <c r="R14" s="60"/>
      <c r="S14" s="60"/>
      <c r="T14" s="59"/>
      <c r="U14" s="60"/>
      <c r="V14" s="59"/>
      <c r="W14" s="60"/>
      <c r="X14" s="60"/>
      <c r="Y14" s="76"/>
      <c r="Z14" s="60"/>
      <c r="AA14" s="60"/>
      <c r="AB14" s="60"/>
      <c r="AC14" s="56"/>
      <c r="AD14" s="60"/>
      <c r="AE14" s="76"/>
      <c r="AF14" s="80"/>
      <c r="AG14" s="56"/>
      <c r="AH14" s="4"/>
      <c r="AI14" s="56"/>
      <c r="AJ14" s="109"/>
      <c r="AK14" s="56"/>
      <c r="AL14" s="56"/>
      <c r="AM14" s="56"/>
      <c r="AN14" s="56"/>
      <c r="AO14" s="82"/>
      <c r="AP14" s="82"/>
      <c r="AQ14" s="83"/>
      <c r="AR14" s="116"/>
      <c r="AS14" s="84"/>
      <c r="AT14" s="84"/>
      <c r="AU14" s="3"/>
      <c r="AV14" s="25">
        <f>60*4</f>
        <v>240</v>
      </c>
      <c r="AW14" s="25">
        <f>60*60*6</f>
        <v>21600</v>
      </c>
      <c r="AX14" s="25">
        <f>60*60*24</f>
        <v>86400</v>
      </c>
      <c r="AY14" s="25">
        <f>60*60*48</f>
        <v>172800</v>
      </c>
      <c r="AZ14" s="25">
        <f>60*60*72</f>
        <v>259200</v>
      </c>
      <c r="BA14" s="25"/>
      <c r="BB14" s="25"/>
      <c r="BC14" s="25"/>
      <c r="BD14" s="53"/>
      <c r="BE14" s="53"/>
      <c r="BF14" s="53"/>
      <c r="BG14" s="53"/>
      <c r="BH14" s="53"/>
      <c r="BI14" s="53"/>
      <c r="BJ14" s="53"/>
      <c r="BK14" s="53"/>
      <c r="BL14" s="53"/>
      <c r="BM14" s="53"/>
      <c r="BN14" s="53"/>
      <c r="BO14" s="53"/>
      <c r="BP14" s="53"/>
      <c r="BQ14" s="53"/>
      <c r="BR14" s="53"/>
      <c r="BS14" s="53"/>
      <c r="BT14" s="53"/>
      <c r="BU14" s="53"/>
      <c r="BV14" s="53"/>
      <c r="BW14" s="53"/>
      <c r="BX14" s="53"/>
      <c r="BY14" s="53"/>
      <c r="BZ14" s="53"/>
      <c r="CA14" s="53"/>
      <c r="CB14" s="53"/>
      <c r="CC14" s="53"/>
      <c r="CD14" s="53"/>
      <c r="CE14" s="53"/>
      <c r="CF14" s="53"/>
      <c r="CG14" s="53"/>
      <c r="CH14" s="53"/>
      <c r="CI14" s="53"/>
      <c r="CJ14" s="53"/>
      <c r="CK14" s="53"/>
      <c r="CL14" s="53"/>
      <c r="CM14" s="53"/>
      <c r="CN14" s="53"/>
      <c r="CO14" s="53"/>
      <c r="CP14" s="53"/>
      <c r="CQ14" s="53"/>
      <c r="CR14" s="1"/>
      <c r="CS14" s="1"/>
      <c r="CT14" s="1"/>
      <c r="CU14" s="1"/>
    </row>
    <row r="15" spans="1:99" s="13" customFormat="1" ht="12" customHeight="1" x14ac:dyDescent="0.2">
      <c r="A15" s="65">
        <v>43951</v>
      </c>
      <c r="B15" s="1" t="s">
        <v>879</v>
      </c>
      <c r="C15" s="1" t="s">
        <v>19</v>
      </c>
      <c r="D15" s="60">
        <v>1954</v>
      </c>
      <c r="E15" s="76">
        <v>1</v>
      </c>
      <c r="F15" s="60">
        <v>125</v>
      </c>
      <c r="G15" s="60">
        <v>25</v>
      </c>
      <c r="H15" s="60" t="s">
        <v>22</v>
      </c>
      <c r="I15" s="60" t="s">
        <v>882</v>
      </c>
      <c r="J15" s="60" t="s">
        <v>320</v>
      </c>
      <c r="K15" s="60">
        <f>IF(J15="syllables",1,IF(J15="trigrams",2,IF(J15="strings",3,IF(J15="visual array",4,IF(J15="characters",5,IF(J15="letters",6,IF(J15="free forms",7,IF(J15="odors",8,IF(J15="words",9,IF(J15="pictures",10,IF(J15="object pictures",11,IF(J15="faces",12,IF(J15="names",13,IF(J15="idioms",14,IF(J15="grades",15,IF(J15="syllable-digit pairs",16,IF(J15="trigram-word pairs",17,IF(J15="word-digit pairs",18,IF(J15="English-Swahili pairs",19,IF(J15="spatial position",20,IF(J15="word pairs",21,IF(J15="word triads",22,IF(J15="generated words",23,IF(J15="word definition pairs",24,IF(J15="math problems",25,IF(J15="famous faces",26,IF(J15="famous names",27,IF(J15="famous voices",28,IF(J15="television programs",29,IF(J15="race horses",30,IF(J15="new vocabulary",31,IF(J15="sentences",32,IF(J15="concepts",33,IF(J15="ad slides",34,IF(J15="scenes",35,IF(J15="famous scenes",36,IF(J15="poems",37,IF(J15="walk",38,IF(J15="faces and events",39,IF(J15="events and names",40,IF(J15="flashbulb",41,IF(J15="stories",42,IF(J15="course material",43,IF(J15="autobiographical",44,IF(J15="novels",45,IF(J15="public events",46,"99"))))))))))))))))))))))))))))))))))))))))))))))</f>
        <v>21</v>
      </c>
      <c r="L15" s="60">
        <f>IF(J15="syllables",1,IF(J15="trigrams",1,IF(J15="strings",1,IF(J15="visual array",1,IF(J15="characters",1,IF(J15="letters",1,IF(J15="free forms",1,IF(J15="odors",2,IF(J15="words",2,IF(J15="pictures",2,IF(J15="object pictures",2,IF(J15="faces",2,IF(J15="names",2,IF(J15="idioms","2",IF(J15="grades",2,IF(J15="syllable-digit pairs",3,IF(J15="trigram-word pairs",3,IF(J15="word-digit pairs",3,IF(J15="English-Swahili pairs",3,IF(J15="spatial position",3,IF(J15="word pairs",4,IF(J15="word triads",4,IF(J15="generated words",4,IF(J15="word definition pairs",4,IF(J15="math problems",4,IF(J15="famous faces",4,IF(J15="famous names",4,IF(J15="famous voices",4,IF(J15="television programs",4,IF(J15="race horses",4,IF(J15="new vocabulary",4,IF(J15="sentences",5,IF(J15="concepts",5,IF(J15="ad slides",5,IF(J15="scenes",5,IF(J15="famous scenes",5,IF(J15="poems",6,IF(J15="walk",6,IF(J15="faces and events",6,IF(J15="events and names",6,IF(J15="flashbulb",7,IF(J15="stories",7,IF(J15="course material",7,IF(J15="autobiographical",7,IF(J15="novels",7,IF(J15="public events",7,"99"))))))))))))))))))))))))))))))))))))))))))))))</f>
        <v>4</v>
      </c>
      <c r="M15" s="60">
        <v>1</v>
      </c>
      <c r="N15" s="60">
        <v>2</v>
      </c>
      <c r="O15" s="60">
        <v>0</v>
      </c>
      <c r="P15" s="60"/>
      <c r="Q15" s="60" t="s">
        <v>65</v>
      </c>
      <c r="R15" s="60">
        <f>IF(Q15="Free Recall",1,IF(Q15="Cued Recall",2,IF(Q15="Recognition",3,IF(Q15="Multiple Choice",4,IF(Q15="Savings",5,IF(Q15="Stem Completion",6,IF(Q15="Fragment Completion",7,IF(Q15="anagram solution",8,IF(Q15="Matching",9,IF(Q15="Problem Solving",10,"99"))))))))))</f>
        <v>2</v>
      </c>
      <c r="S15" s="60" t="s">
        <v>15</v>
      </c>
      <c r="T15" s="59" t="s">
        <v>261</v>
      </c>
      <c r="U15" s="60">
        <f>IF(T15="within",1,0)</f>
        <v>0</v>
      </c>
      <c r="V15" s="59">
        <v>12</v>
      </c>
      <c r="W15" s="60">
        <f>F15*V15</f>
        <v>1500</v>
      </c>
      <c r="X15" s="60">
        <v>5</v>
      </c>
      <c r="Y15" s="76">
        <f>4*60</f>
        <v>240</v>
      </c>
      <c r="Z15" s="60" t="s">
        <v>881</v>
      </c>
      <c r="AA15" s="60">
        <f>60*60*72</f>
        <v>259200</v>
      </c>
      <c r="AB15" s="60" t="str">
        <f>IF(AA15&lt;60,"1",IF(AA15&lt;=43200,"2",IF(AA15&lt;=777600,"3","4")))</f>
        <v>3</v>
      </c>
      <c r="AC15" s="56">
        <f>AVERAGE(AV14:DA14)</f>
        <v>108048</v>
      </c>
      <c r="AD15" s="60" t="str">
        <f>IF(AC15&lt;60,"1",IF(AC15&lt;=43200,"2",IF(AC15&lt;=777600,"3","4")))</f>
        <v>3</v>
      </c>
      <c r="AE15" s="76">
        <f>AA15-Y15</f>
        <v>258960</v>
      </c>
      <c r="AF15" s="80">
        <f>AV15</f>
        <v>0.68333333333333324</v>
      </c>
      <c r="AG15" s="56">
        <f>((AW15-AV15)+(AX15-AW15)+(AY15-AX15)+(AZ15-AY15))/4</f>
        <v>-9.1666666666666646E-2</v>
      </c>
      <c r="AH15" s="4"/>
      <c r="AI15" s="56">
        <f>RSQ(AV15:AZ15,AV14:AZ14)</f>
        <v>0.622019579301198</v>
      </c>
      <c r="AJ15" s="109">
        <f>SLOPE(AV15:AZ15,AV14:AZ14)</f>
        <v>-1.0708973330503304E-6</v>
      </c>
      <c r="AK15" s="56">
        <f>INTERCEPT(AV15:AZ15,AV14:AZ14)</f>
        <v>0.55037498170808874</v>
      </c>
      <c r="AL15" s="56">
        <f>INDEX(LINEST(LN(AV15:AZ15),LN(AV14:AZ14),TRUE,TRUE),3,1)</f>
        <v>0.97863846869272531</v>
      </c>
      <c r="AM15" s="56">
        <f>INDEX(LINEST(LN(AV15:AZ15),LN(AV14:AZ14)),1)</f>
        <v>-0.10518063464026346</v>
      </c>
      <c r="AN15" s="56">
        <f>EXP(INDEX(LINEST(LN(AV15:AZ15),LN(AV14:AZ14)),1,2))</f>
        <v>1.2310463792088222</v>
      </c>
      <c r="AO15" s="82">
        <f>INDEX(LINEST((AV15:AZ15),LN(AV14:AZ14),TRUE,TRUE),3,1)</f>
        <v>0.99099159229876699</v>
      </c>
      <c r="AP15" s="82">
        <f>INDEX(LINEST((AV15:AZ15),LN(AV14:AZ14)),1)</f>
        <v>-5.1385698912878246E-2</v>
      </c>
      <c r="AQ15" s="83">
        <f>INDEX(LINEST(LN(AV15:AZ15),SQRT(AV14:AZ14),TRUE,TRUE),3,1)</f>
        <v>0.89111956347439059</v>
      </c>
      <c r="AR15" s="116">
        <f>INDEX(LINEST(LN(AV15:AZ15),SQRT((AV14:AZ14))),1)</f>
        <v>-1.4307569356511569E-3</v>
      </c>
      <c r="AS15" s="84">
        <f>INDEX(LINEST(1/(AV15:AZ15),1/(SQRT(AV14:AZ14)),TRUE,TRUE),3,1)</f>
        <v>0.78677078837752612</v>
      </c>
      <c r="AT15" s="84">
        <f>INDEX(LINEST(1/(AV15:AZ15),1/SQRT(AV14:AZ14)),1)</f>
        <v>-21.398955349117063</v>
      </c>
      <c r="AU15" s="3"/>
      <c r="AV15" s="53">
        <v>0.68333333333333324</v>
      </c>
      <c r="AW15" s="53">
        <v>0.43333333333333335</v>
      </c>
      <c r="AX15" s="53">
        <v>0.39999999999999997</v>
      </c>
      <c r="AY15" s="53">
        <v>0.34</v>
      </c>
      <c r="AZ15" s="53">
        <v>0.31666666666666665</v>
      </c>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1"/>
      <c r="CS15" s="1"/>
      <c r="CT15" s="1"/>
      <c r="CU15" s="1"/>
    </row>
    <row r="16" spans="1:99" s="13" customFormat="1" ht="12" customHeight="1" x14ac:dyDescent="0.2">
      <c r="A16" s="68">
        <v>43977</v>
      </c>
      <c r="B16" s="70"/>
      <c r="C16" s="70"/>
      <c r="D16" s="69"/>
      <c r="E16" s="87"/>
      <c r="F16" s="69"/>
      <c r="G16" s="69"/>
      <c r="H16" s="69"/>
      <c r="I16" s="69"/>
      <c r="J16" s="69"/>
      <c r="K16" s="69"/>
      <c r="L16" s="69"/>
      <c r="M16" s="69"/>
      <c r="N16" s="69"/>
      <c r="O16" s="69"/>
      <c r="P16" s="69"/>
      <c r="Q16" s="69"/>
      <c r="R16" s="69"/>
      <c r="S16" s="69"/>
      <c r="T16" s="92"/>
      <c r="U16" s="69"/>
      <c r="V16" s="92"/>
      <c r="W16" s="69"/>
      <c r="X16" s="69"/>
      <c r="Y16" s="87"/>
      <c r="Z16" s="69"/>
      <c r="AA16" s="69"/>
      <c r="AB16" s="69"/>
      <c r="AC16" s="72"/>
      <c r="AD16" s="69"/>
      <c r="AE16" s="87"/>
      <c r="AF16" s="88"/>
      <c r="AG16" s="72"/>
      <c r="AH16" s="4"/>
      <c r="AI16" s="72"/>
      <c r="AJ16" s="110"/>
      <c r="AK16" s="72"/>
      <c r="AL16" s="72"/>
      <c r="AM16" s="72"/>
      <c r="AN16" s="72"/>
      <c r="AO16" s="89"/>
      <c r="AP16" s="89"/>
      <c r="AQ16" s="90"/>
      <c r="AR16" s="117"/>
      <c r="AS16" s="91"/>
      <c r="AT16" s="91"/>
      <c r="AU16" s="3"/>
      <c r="AV16" s="71">
        <v>30</v>
      </c>
      <c r="AW16" s="71">
        <f>60*30</f>
        <v>1800</v>
      </c>
      <c r="AX16" s="71">
        <f>60*60*24*7</f>
        <v>604800</v>
      </c>
      <c r="AY16" s="43"/>
      <c r="AZ16" s="53" t="s">
        <v>935</v>
      </c>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1"/>
      <c r="CH16" s="1"/>
      <c r="CI16" s="1"/>
      <c r="CJ16" s="1"/>
    </row>
    <row r="17" spans="1:99" s="13" customFormat="1" ht="12" customHeight="1" x14ac:dyDescent="0.2">
      <c r="A17" s="68">
        <v>43977</v>
      </c>
      <c r="B17" s="70" t="s">
        <v>943</v>
      </c>
      <c r="C17" s="70" t="s">
        <v>54</v>
      </c>
      <c r="D17" s="69">
        <v>2012</v>
      </c>
      <c r="E17" s="87">
        <v>1</v>
      </c>
      <c r="F17" s="69">
        <v>20</v>
      </c>
      <c r="G17" s="69">
        <v>20</v>
      </c>
      <c r="H17" s="69" t="s">
        <v>50</v>
      </c>
      <c r="I17" s="69" t="s">
        <v>330</v>
      </c>
      <c r="J17" s="69" t="s">
        <v>16</v>
      </c>
      <c r="K17" s="69">
        <f>IF(J17="syllables",1,IF(J17="trigrams",2,IF(J17="strings",3,IF(J17="visual array",4,IF(J17="characters",5,IF(J17="letters",6,IF(J17="free forms",7,IF(J17="odors",8,IF(J17="words",9,IF(J17="pictures",10,IF(J17="object pictures",11,IF(J17="faces",12,IF(J17="names",13,IF(J17="idioms",14,IF(J17="grades",15,IF(J17="syllable-digit pairs",16,IF(J17="trigram-word pairs",17,IF(J17="word-digit pairs",18,IF(J17="English-Swahili pairs",19,IF(J17="spatial position",20,IF(J17="word pairs",21,IF(J17="word triads",22,IF(J17="generated words",23,IF(J17="word definition pairs",24,IF(J17="math problems",25,IF(J17="famous faces",26,IF(J17="famous names",27,IF(J17="famous voices",28,IF(J17="television programs",29,IF(J17="race horses",30,IF(J17="new vocabulary",31,IF(J17="sentences",32,IF(J17="concepts",33,IF(J17="ad slides",34,IF(J17="scenes",35,IF(J17="famous scenes",36,IF(J17="poems",37,IF(J17="walk",38,IF(J17="faces and events",39,IF(J17="events and names",40,IF(J17="flashbulb",41,IF(J17="stories",42,IF(J17="course material",43,IF(J17="autobiographical",44,IF(J17="novels",45,IF(J17="public events",46,"99"))))))))))))))))))))))))))))))))))))))))))))))</f>
        <v>9</v>
      </c>
      <c r="L17" s="69">
        <f>IF(J17="syllables",1,IF(J17="trigrams",1,IF(J17="strings",1,IF(J17="visual array",1,IF(J17="characters",1,IF(J17="letters",1,IF(J17="free forms",1,IF(J17="odors",2,IF(J17="words",2,IF(J17="pictures",2,IF(J17="object pictures",2,IF(J17="faces",2,IF(J17="names",2,IF(J17="idioms","2",IF(J17="grades",2,IF(J17="syllable-digit pairs",3,IF(J17="trigram-word pairs",3,IF(J17="word-digit pairs",3,IF(J17="English-Swahili pairs",3,IF(J17="spatial position",3,IF(J17="word pairs",4,IF(J17="word triads",4,IF(J17="generated words",4,IF(J17="word definition pairs",4,IF(J17="math problems",4,IF(J17="famous faces",4,IF(J17="famous names",4,IF(J17="famous voices",4,IF(J17="television programs",4,IF(J17="race horses",4,IF(J17="new vocabulary",4,IF(J17="sentences",5,IF(J17="concepts",5,IF(J17="ad slides",5,IF(J17="scenes",5,IF(J17="famous scenes",5,IF(J17="poems",6,IF(J17="walk",6,IF(J17="faces and events",6,IF(J17="events and names",6,IF(J17="flashbulb",7,IF(J17="stories",7,IF(J17="course material",7,IF(J17="autobiographical",7,IF(J17="novels",7,IF(J17="public events",7,"99"))))))))))))))))))))))))))))))))))))))))))))))</f>
        <v>2</v>
      </c>
      <c r="M17" s="69">
        <v>1</v>
      </c>
      <c r="N17" s="69">
        <v>2</v>
      </c>
      <c r="O17" s="69">
        <v>0</v>
      </c>
      <c r="P17" s="69"/>
      <c r="Q17" s="69" t="s">
        <v>174</v>
      </c>
      <c r="R17" s="69">
        <f>IF(Q17="Free Recall",1,IF(Q17="Cued Recall",2,IF(Q17="Recognition",3,IF(Q17="Multiple Choice",4,IF(Q17="Savings",5,IF(Q17="Stem Completion",6,IF(Q17="Fragment Completion",7,IF(Q17="anagram solution",8,IF(Q17="Matching",9,IF(Q17="Problem Solving",10,"99"))))))))))</f>
        <v>1</v>
      </c>
      <c r="S17" s="99" t="s">
        <v>49</v>
      </c>
      <c r="T17" s="92" t="s">
        <v>581</v>
      </c>
      <c r="U17" s="69">
        <f>IF(T17="within",1,0)</f>
        <v>1</v>
      </c>
      <c r="V17" s="92">
        <v>15</v>
      </c>
      <c r="W17" s="69">
        <f>F17*V17</f>
        <v>300</v>
      </c>
      <c r="X17" s="69">
        <v>3</v>
      </c>
      <c r="Y17" s="87">
        <f>AV16</f>
        <v>30</v>
      </c>
      <c r="Z17" s="69" t="s">
        <v>150</v>
      </c>
      <c r="AA17" s="69">
        <f>60*60*24*7</f>
        <v>604800</v>
      </c>
      <c r="AB17" s="69" t="str">
        <f>IF(AA17&lt;60,"1",IF(AA17&lt;=43200,"2",IF(AA17&lt;=777600,"3","4")))</f>
        <v>3</v>
      </c>
      <c r="AC17" s="72">
        <f>AVERAGE(AV16:DA16)</f>
        <v>202210</v>
      </c>
      <c r="AD17" s="69" t="str">
        <f>IF(AC17&lt;60,"1",IF(AC17&lt;=43200,"2",IF(AC17&lt;=777600,"3","4")))</f>
        <v>3</v>
      </c>
      <c r="AE17" s="87">
        <f>AA17-Y17</f>
        <v>604770</v>
      </c>
      <c r="AF17" s="88">
        <f>AV17</f>
        <v>0.93799999999999994</v>
      </c>
      <c r="AG17" s="72">
        <f>((AW17-AV17)+(AX17-AW17))/2</f>
        <v>-0.12699999999999995</v>
      </c>
      <c r="AH17" s="4"/>
      <c r="AI17" s="72">
        <f>RSQ(AV17:AX17,AV16:AX16)</f>
        <v>0.99896172914415271</v>
      </c>
      <c r="AJ17" s="110">
        <f>SLOPE(AV17:AX17,AV16:AX16)</f>
        <v>-4.1236390733775572E-7</v>
      </c>
      <c r="AK17" s="72">
        <f>INTERCEPT(AV17:AX17,AV16:AX16)</f>
        <v>0.93338410570276764</v>
      </c>
      <c r="AL17" s="72">
        <f>INDEX(LINEST(LN(AV17:AX17),LN(AV16:AX16),TRUE,TRUE),3,1)</f>
        <v>0.85285270918597467</v>
      </c>
      <c r="AM17" s="72">
        <f>INDEX(LINEST(LN(AV17:AX17),LN(AV16:AX16)),1)</f>
        <v>-3.3247186533008365E-2</v>
      </c>
      <c r="AN17" s="72">
        <f>EXP(INDEX(LINEST(LN(AV17:AX17),LN(AV16:AX16)),1,2))</f>
        <v>1.1001603949951162</v>
      </c>
      <c r="AO17" s="89">
        <f>INDEX(LINEST((AV17:AX17),LN(AV16:AX16),TRUE,TRUE),3,1)</f>
        <v>0.85628918219662886</v>
      </c>
      <c r="AP17" s="89">
        <f>INDEX(LINEST((AV17:AX17),LN(AV16:AX16)),1)</f>
        <v>-2.6725641717052388E-2</v>
      </c>
      <c r="AQ17" s="90">
        <f>INDEX(LINEST(LN(AV17:AX17),SQRT(AV16:AX16),TRUE,TRUE),3,1)</f>
        <v>0.99984285303681442</v>
      </c>
      <c r="AR17" s="117">
        <f>INDEX(LINEST(LN(AV17:AX17),SQRT((AV16:AX16))),1)</f>
        <v>-4.1163928579043677E-4</v>
      </c>
      <c r="AS17" s="91">
        <f>INDEX(LINEST(1/(AV17:AX17),1/(SQRT(AV16:AX16)),TRUE,TRUE),3,1)</f>
        <v>0.37788587199384693</v>
      </c>
      <c r="AT17" s="91">
        <f>INDEX(LINEST(1/(AV17:AX17),1/SQRT(AV16:AX16)),1)</f>
        <v>-1.4010411417539366</v>
      </c>
      <c r="AU17" s="3"/>
      <c r="AV17" s="73">
        <v>0.93799999999999994</v>
      </c>
      <c r="AW17" s="73">
        <v>0.92800000000000005</v>
      </c>
      <c r="AX17" s="73">
        <v>0.68400000000000005</v>
      </c>
      <c r="AY17" s="4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1"/>
      <c r="CH17" s="1"/>
      <c r="CI17" s="1"/>
      <c r="CJ17" s="1"/>
    </row>
    <row r="18" spans="1:99" s="13" customFormat="1" ht="12" customHeight="1" x14ac:dyDescent="0.2">
      <c r="A18" s="65">
        <v>43509</v>
      </c>
      <c r="B18" s="1"/>
      <c r="C18" s="1"/>
      <c r="D18" s="60"/>
      <c r="E18" s="76"/>
      <c r="F18" s="60"/>
      <c r="G18" s="60"/>
      <c r="H18" s="60"/>
      <c r="I18" s="60"/>
      <c r="J18" s="60"/>
      <c r="K18" s="64"/>
      <c r="L18" s="64"/>
      <c r="M18" s="60"/>
      <c r="N18" s="60"/>
      <c r="O18" s="60"/>
      <c r="P18" s="60"/>
      <c r="Q18" s="60"/>
      <c r="R18" s="60"/>
      <c r="S18" s="60"/>
      <c r="T18" s="60"/>
      <c r="U18" s="60"/>
      <c r="V18" s="60"/>
      <c r="W18" s="60"/>
      <c r="X18" s="60"/>
      <c r="Y18" s="76"/>
      <c r="Z18" s="60"/>
      <c r="AA18" s="60"/>
      <c r="AB18" s="60"/>
      <c r="AC18" s="60"/>
      <c r="AD18" s="60"/>
      <c r="AE18" s="60"/>
      <c r="AF18" s="80"/>
      <c r="AG18" s="56"/>
      <c r="AH18" s="4"/>
      <c r="AI18" s="56"/>
      <c r="AJ18" s="109"/>
      <c r="AK18" s="56"/>
      <c r="AL18" s="56"/>
      <c r="AM18" s="56"/>
      <c r="AN18" s="56"/>
      <c r="AO18" s="56"/>
      <c r="AP18" s="56"/>
      <c r="AQ18" s="56"/>
      <c r="AR18" s="109"/>
      <c r="AS18" s="56"/>
      <c r="AT18" s="56"/>
      <c r="AU18" s="4"/>
      <c r="AV18" s="25">
        <v>800</v>
      </c>
      <c r="AW18" s="25">
        <f>60*60*2</f>
        <v>7200</v>
      </c>
      <c r="AX18" s="25">
        <f>60*60*24</f>
        <v>86400</v>
      </c>
      <c r="AY18" s="11" t="s">
        <v>509</v>
      </c>
      <c r="AZ18" s="11"/>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1"/>
      <c r="CS18" s="1"/>
      <c r="CT18" s="1"/>
      <c r="CU18" s="1"/>
    </row>
    <row r="19" spans="1:99" s="13" customFormat="1" ht="12" customHeight="1" x14ac:dyDescent="0.2">
      <c r="A19" s="65">
        <v>43509</v>
      </c>
      <c r="B19" s="1" t="s">
        <v>77</v>
      </c>
      <c r="C19" s="1" t="s">
        <v>78</v>
      </c>
      <c r="D19" s="60">
        <v>1990</v>
      </c>
      <c r="E19" s="76">
        <v>1</v>
      </c>
      <c r="F19" s="60">
        <v>48</v>
      </c>
      <c r="G19" s="60">
        <v>9.3000000000000007</v>
      </c>
      <c r="H19" s="60" t="s">
        <v>50</v>
      </c>
      <c r="I19" s="60" t="s">
        <v>665</v>
      </c>
      <c r="J19" s="60" t="s">
        <v>29</v>
      </c>
      <c r="K19" s="60">
        <f>IF(J19="syllables",1,IF(J19="trigrams",2,IF(J19="strings",3,IF(J19="visual array",4,IF(J19="characters",5,IF(J19="letters",6,IF(J19="free forms",7,IF(J19="odors",8,IF(J19="words",9,IF(J19="pictures",10,IF(J19="object pictures",11,IF(J19="faces",12,IF(J19="names",13,IF(J19="idioms",14,IF(J19="grades",15,IF(J19="syllable-digit pairs",16,IF(J19="trigram-word pairs",17,IF(J19="word-digit pairs",18,IF(J19="English-Swahili pairs",19,IF(J19="spatial position",20,IF(J19="word pairs",21,IF(J19="word triads",22,IF(J19="generated words",23,IF(J19="word definition pairs",24,IF(J19="math problems",25,IF(J19="famous faces",26,IF(J19="famous names",27,IF(J19="famous voices",28,IF(J19="television programs",29,IF(J19="race horses",30,IF(J19="new vocabulary",31,IF(J19="sentences",32,IF(J19="concepts",33,IF(J19="ad slides",34,IF(J19="scenes",35,IF(J19="famous scenes",36,IF(J19="poems",37,IF(J19="walk",38,IF(J19="faces and events",39,IF(J19="events and names",40,IF(J19="flashbulb",41,IF(J19="stories",42,IF(J19="course material",43,IF(J19="autobiographical",44,IF(J19="novels",45,IF(J19="public events",46,"99"))))))))))))))))))))))))))))))))))))))))))))))</f>
        <v>9</v>
      </c>
      <c r="L19" s="60">
        <f>IF(J19="syllables",1,IF(J19="trigrams",1,IF(J19="strings",1,IF(J19="visual array",1,IF(J19="characters",1,IF(J19="letters",1,IF(J19="free forms",1,IF(J19="odors",2,IF(J19="words",2,IF(J19="pictures",2,IF(J19="object pictures",2,IF(J19="faces",2,IF(J19="names",2,IF(J19="idioms","2",IF(J19="grades",2,IF(J19="syllable-digit pairs",3,IF(J19="trigram-word pairs",3,IF(J19="word-digit pairs",3,IF(J19="English-Swahili pairs",3,IF(J19="spatial position",3,IF(J19="word pairs",4,IF(J19="word triads",4,IF(J19="generated words",4,IF(J19="word definition pairs",4,IF(J19="math problems",4,IF(J19="famous faces",4,IF(J19="famous names",4,IF(J19="famous voices",4,IF(J19="television programs",4,IF(J19="race horses",4,IF(J19="new vocabulary",4,IF(J19="sentences",5,IF(J19="concepts",5,IF(J19="ad slides",5,IF(J19="scenes",5,IF(J19="famous scenes",5,IF(J19="poems",6,IF(J19="walk",6,IF(J19="faces and events",6,IF(J19="events and names",6,IF(J19="flashbulb",7,IF(J19="stories",7,IF(J19="course material",7,IF(J19="autobiographical",7,IF(J19="novels",7,IF(J19="public events",7,"99"))))))))))))))))))))))))))))))))))))))))))))))</f>
        <v>2</v>
      </c>
      <c r="M19" s="60">
        <v>1</v>
      </c>
      <c r="N19" s="60">
        <v>2</v>
      </c>
      <c r="O19" s="60">
        <v>0</v>
      </c>
      <c r="P19" s="60"/>
      <c r="Q19" s="60" t="s">
        <v>14</v>
      </c>
      <c r="R19" s="60">
        <f>IF(Q19="Free Recall",1,IF(Q19="Cued Recall",2,IF(Q19="Recognition",3,IF(Q19="Multiple Choice",4,IF(Q19="Savings",5,IF(Q19="Stem Completion",6,IF(Q19="Fragment Completion",7,IF(Q19="anagram solution",8,IF(Q19="Matching",9,IF(Q19="Problem Solving",10,"99"))))))))))</f>
        <v>6</v>
      </c>
      <c r="S19" s="59" t="s">
        <v>15</v>
      </c>
      <c r="T19" s="59" t="s">
        <v>261</v>
      </c>
      <c r="U19" s="60">
        <f>IF(T19="within",1,0)</f>
        <v>0</v>
      </c>
      <c r="V19" s="59">
        <v>40</v>
      </c>
      <c r="W19" s="60">
        <f>F19*V19</f>
        <v>1920</v>
      </c>
      <c r="X19" s="60">
        <v>3</v>
      </c>
      <c r="Y19" s="76">
        <f>AV18</f>
        <v>800</v>
      </c>
      <c r="Z19" s="60" t="s">
        <v>79</v>
      </c>
      <c r="AA19" s="60">
        <v>86400</v>
      </c>
      <c r="AB19" s="60" t="str">
        <f>IF(AA19&lt;60,"1",IF(AA19&lt;=43200,"2",IF(AA19&lt;=777600,"3","4")))</f>
        <v>3</v>
      </c>
      <c r="AC19" s="56">
        <f>AVERAGE(AV18:DA18)</f>
        <v>31466.666666666668</v>
      </c>
      <c r="AD19" s="60" t="str">
        <f>IF(AC19&lt;60,"1",IF(AC19&lt;=43200,"2",IF(AC19&lt;=777600,"3","4")))</f>
        <v>2</v>
      </c>
      <c r="AE19" s="76">
        <f>AA19-Y19</f>
        <v>85600</v>
      </c>
      <c r="AF19" s="80">
        <f>AV19</f>
        <v>0.4</v>
      </c>
      <c r="AG19" s="56">
        <f>((AW19-AV19)+(AX19-AW19))/2</f>
        <v>-0.11000000000000001</v>
      </c>
      <c r="AH19" s="4"/>
      <c r="AI19" s="56">
        <f>RSQ(AV19:AX19,AV18:AX18)</f>
        <v>0.16317386328856487</v>
      </c>
      <c r="AJ19" s="109">
        <f>SLOPE(AV19:AX19,AV18:AX18)</f>
        <v>-1.2169231491038756E-6</v>
      </c>
      <c r="AK19" s="56">
        <f>INTERCEPT(AV19:AX19,AV18:AX18)</f>
        <v>0.27495918175846862</v>
      </c>
      <c r="AL19" s="56">
        <f>INDEX(LINEST(LN(AV19:AX19),LN(AV18:AX18),TRUE,TRUE),3,1)</f>
        <v>0.44127469128245894</v>
      </c>
      <c r="AM19" s="56">
        <f>INDEX(LINEST(LN(AV19:AX19),LN(AV18:AX18)),1)</f>
        <v>-0.16399742349111279</v>
      </c>
      <c r="AN19" s="56">
        <f>EXP(INDEX(LINEST(LN(AV19:AX19),LN(AV18:AX18)),1,2))</f>
        <v>0.91871558586536695</v>
      </c>
      <c r="AO19" s="82">
        <f>INDEX(LINEST((AV19:AX19),LN(AV18:AX18),TRUE,TRUE),3,1)</f>
        <v>0.55131652037969248</v>
      </c>
      <c r="AP19" s="82">
        <f>INDEX(LINEST((AV19:AX19),LN(AV18:AX18)),1)</f>
        <v>-4.5530092130187064E-2</v>
      </c>
      <c r="AQ19" s="83">
        <f>INDEX(LINEST(LN(AV19:AX19),SQRT(AV18:AX18),TRUE,TRUE),3,1)</f>
        <v>0.18291058598709237</v>
      </c>
      <c r="AR19" s="116">
        <f>INDEX(LINEST(LN(AV19:AX19),SQRT((AV18:AX18))),1)</f>
        <v>-1.7675233846219669E-3</v>
      </c>
      <c r="AS19" s="84">
        <f>INDEX(LINEST(1/(AV19:AX19),1/(SQRT(AV18:AX18)),TRUE,TRUE),3,1)</f>
        <v>0.60699670072087841</v>
      </c>
      <c r="AT19" s="84">
        <f>INDEX(LINEST(1/(AV19:AX19),1/SQRT(AV18:AX18)),1)</f>
        <v>-122.72356191358193</v>
      </c>
      <c r="AU19" s="3"/>
      <c r="AV19" s="53">
        <v>0.4</v>
      </c>
      <c r="AW19" s="53">
        <v>0.13</v>
      </c>
      <c r="AX19" s="53">
        <v>0.18</v>
      </c>
      <c r="AY19" s="53"/>
      <c r="AZ19" s="4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1"/>
      <c r="CS19" s="1"/>
      <c r="CT19" s="1"/>
      <c r="CU19" s="1"/>
    </row>
    <row r="20" spans="1:99" s="13" customFormat="1" ht="12" customHeight="1" x14ac:dyDescent="0.2">
      <c r="A20" s="65">
        <v>43509</v>
      </c>
      <c r="B20" s="1"/>
      <c r="C20" s="1"/>
      <c r="D20" s="60"/>
      <c r="E20" s="76"/>
      <c r="F20" s="60"/>
      <c r="G20" s="60"/>
      <c r="H20" s="60"/>
      <c r="I20" s="60"/>
      <c r="J20" s="60"/>
      <c r="K20" s="64"/>
      <c r="L20" s="64"/>
      <c r="M20" s="60"/>
      <c r="N20" s="60"/>
      <c r="O20" s="60"/>
      <c r="P20" s="60"/>
      <c r="Q20" s="60"/>
      <c r="R20" s="60"/>
      <c r="S20" s="60"/>
      <c r="T20" s="59"/>
      <c r="U20" s="60"/>
      <c r="V20" s="59"/>
      <c r="W20" s="60"/>
      <c r="X20" s="60"/>
      <c r="Y20" s="76"/>
      <c r="Z20" s="60"/>
      <c r="AA20" s="60"/>
      <c r="AB20" s="60"/>
      <c r="AC20" s="60"/>
      <c r="AD20" s="60"/>
      <c r="AE20" s="60"/>
      <c r="AF20" s="80"/>
      <c r="AG20" s="56"/>
      <c r="AH20" s="4"/>
      <c r="AI20" s="56"/>
      <c r="AJ20" s="109"/>
      <c r="AK20" s="56"/>
      <c r="AL20" s="56"/>
      <c r="AM20" s="56"/>
      <c r="AN20" s="56"/>
      <c r="AO20" s="56"/>
      <c r="AP20" s="56"/>
      <c r="AQ20" s="56"/>
      <c r="AR20" s="109"/>
      <c r="AS20" s="56"/>
      <c r="AT20" s="56"/>
      <c r="AU20" s="5"/>
      <c r="AV20" s="25">
        <v>800</v>
      </c>
      <c r="AW20" s="25">
        <f>60*60*2</f>
        <v>7200</v>
      </c>
      <c r="AX20" s="25">
        <f>60*60*24</f>
        <v>86400</v>
      </c>
      <c r="AY20" s="53"/>
      <c r="AZ20" s="4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1"/>
      <c r="CS20" s="1"/>
      <c r="CT20" s="1"/>
      <c r="CU20" s="1"/>
    </row>
    <row r="21" spans="1:99" s="13" customFormat="1" ht="12" customHeight="1" x14ac:dyDescent="0.2">
      <c r="A21" s="65">
        <v>43509</v>
      </c>
      <c r="B21" s="1" t="s">
        <v>77</v>
      </c>
      <c r="C21" s="1" t="s">
        <v>78</v>
      </c>
      <c r="D21" s="60">
        <v>1990</v>
      </c>
      <c r="E21" s="76">
        <v>1</v>
      </c>
      <c r="F21" s="60">
        <v>48</v>
      </c>
      <c r="G21" s="60">
        <v>9.3000000000000007</v>
      </c>
      <c r="H21" s="60" t="s">
        <v>50</v>
      </c>
      <c r="I21" s="60" t="s">
        <v>666</v>
      </c>
      <c r="J21" s="60" t="s">
        <v>29</v>
      </c>
      <c r="K21" s="60">
        <f>IF(J21="syllables",1,IF(J21="trigrams",2,IF(J21="strings",3,IF(J21="visual array",4,IF(J21="characters",5,IF(J21="letters",6,IF(J21="free forms",7,IF(J21="odors",8,IF(J21="words",9,IF(J21="pictures",10,IF(J21="object pictures",11,IF(J21="faces",12,IF(J21="names",13,IF(J21="idioms",14,IF(J21="grades",15,IF(J21="syllable-digit pairs",16,IF(J21="trigram-word pairs",17,IF(J21="word-digit pairs",18,IF(J21="English-Swahili pairs",19,IF(J21="spatial position",20,IF(J21="word pairs",21,IF(J21="word triads",22,IF(J21="generated words",23,IF(J21="word definition pairs",24,IF(J21="math problems",25,IF(J21="famous faces",26,IF(J21="famous names",27,IF(J21="famous voices",28,IF(J21="television programs",29,IF(J21="race horses",30,IF(J21="new vocabulary",31,IF(J21="sentences",32,IF(J21="concepts",33,IF(J21="ad slides",34,IF(J21="scenes",35,IF(J21="famous scenes",36,IF(J21="poems",37,IF(J21="walk",38,IF(J21="faces and events",39,IF(J21="events and names",40,IF(J21="flashbulb",41,IF(J21="stories",42,IF(J21="course material",43,IF(J21="autobiographical",44,IF(J21="novels",45,IF(J21="public events",46,"99"))))))))))))))))))))))))))))))))))))))))))))))</f>
        <v>9</v>
      </c>
      <c r="L21" s="60">
        <f>IF(J21="syllables",1,IF(J21="trigrams",1,IF(J21="strings",1,IF(J21="visual array",1,IF(J21="characters",1,IF(J21="letters",1,IF(J21="free forms",1,IF(J21="odors",2,IF(J21="words",2,IF(J21="pictures",2,IF(J21="object pictures",2,IF(J21="faces",2,IF(J21="names",2,IF(J21="idioms","2",IF(J21="grades",2,IF(J21="syllable-digit pairs",3,IF(J21="trigram-word pairs",3,IF(J21="word-digit pairs",3,IF(J21="English-Swahili pairs",3,IF(J21="spatial position",3,IF(J21="word pairs",4,IF(J21="word triads",4,IF(J21="generated words",4,IF(J21="word definition pairs",4,IF(J21="math problems",4,IF(J21="famous faces",4,IF(J21="famous names",4,IF(J21="famous voices",4,IF(J21="television programs",4,IF(J21="race horses",4,IF(J21="new vocabulary",4,IF(J21="sentences",5,IF(J21="concepts",5,IF(J21="ad slides",5,IF(J21="scenes",5,IF(J21="famous scenes",5,IF(J21="poems",6,IF(J21="walk",6,IF(J21="faces and events",6,IF(J21="events and names",6,IF(J21="flashbulb",7,IF(J21="stories",7,IF(J21="course material",7,IF(J21="autobiographical",7,IF(J21="novels",7,IF(J21="public events",7,"99"))))))))))))))))))))))))))))))))))))))))))))))</f>
        <v>2</v>
      </c>
      <c r="M21" s="60">
        <v>1</v>
      </c>
      <c r="N21" s="60">
        <v>2</v>
      </c>
      <c r="O21" s="60">
        <v>0</v>
      </c>
      <c r="P21" s="60"/>
      <c r="Q21" s="60" t="s">
        <v>14</v>
      </c>
      <c r="R21" s="60">
        <f>IF(Q21="Free Recall",1,IF(Q21="Cued Recall",2,IF(Q21="Recognition",3,IF(Q21="Multiple Choice",4,IF(Q21="Savings",5,IF(Q21="Stem Completion",6,IF(Q21="Fragment Completion",7,IF(Q21="anagram solution",8,IF(Q21="Matching",9,IF(Q21="Problem Solving",10,"99"))))))))))</f>
        <v>6</v>
      </c>
      <c r="S21" s="59" t="s">
        <v>15</v>
      </c>
      <c r="T21" s="59" t="s">
        <v>261</v>
      </c>
      <c r="U21" s="60">
        <f>IF(T21="within",1,0)</f>
        <v>0</v>
      </c>
      <c r="V21" s="59">
        <v>40</v>
      </c>
      <c r="W21" s="60">
        <f>F21*V21</f>
        <v>1920</v>
      </c>
      <c r="X21" s="60">
        <v>3</v>
      </c>
      <c r="Y21" s="76">
        <f>AV20</f>
        <v>800</v>
      </c>
      <c r="Z21" s="60" t="s">
        <v>79</v>
      </c>
      <c r="AA21" s="60">
        <v>86400</v>
      </c>
      <c r="AB21" s="60" t="str">
        <f>IF(AA21&lt;60,"1",IF(AA21&lt;=43200,"2",IF(AA21&lt;=777600,"3","4")))</f>
        <v>3</v>
      </c>
      <c r="AC21" s="56">
        <f>AVERAGE(AV20:DA20)</f>
        <v>31466.666666666668</v>
      </c>
      <c r="AD21" s="60" t="str">
        <f>IF(AC21&lt;60,"1",IF(AC21&lt;=43200,"2",IF(AC21&lt;=777600,"3","4")))</f>
        <v>2</v>
      </c>
      <c r="AE21" s="76">
        <f>AA21-Y21</f>
        <v>85600</v>
      </c>
      <c r="AF21" s="80">
        <f>AV21</f>
        <v>0.53</v>
      </c>
      <c r="AG21" s="56">
        <f>((AW21-AV21)+(AX21-AW21))/2</f>
        <v>-0.18500000000000003</v>
      </c>
      <c r="AH21" s="4"/>
      <c r="AI21" s="56">
        <f>RSQ(AV21:AX21,AV20:AX20)</f>
        <v>0.21453102418715461</v>
      </c>
      <c r="AJ21" s="109">
        <f>SLOPE(AV21:AX21,AV20:AX20)</f>
        <v>-2.2285821525757717E-6</v>
      </c>
      <c r="AK21" s="56">
        <f>INTERCEPT(AV21:AX21,AV20:AX20)</f>
        <v>0.33679271840105096</v>
      </c>
      <c r="AL21" s="56">
        <f>INDEX(LINEST(LN(AV21:AX21),LN(AV20:AX20),TRUE,TRUE),3,1)</f>
        <v>0.49620777404645827</v>
      </c>
      <c r="AM21" s="56">
        <f>INDEX(LINEST(LN(AV21:AX21),LN(AV20:AX20)),1)</f>
        <v>-0.24697512855560716</v>
      </c>
      <c r="AN21" s="56">
        <f>EXP(INDEX(LINEST(LN(AV21:AX21),LN(AV20:AX20)),1,2))</f>
        <v>1.9329188521011729</v>
      </c>
      <c r="AO21" s="82">
        <f>INDEX(LINEST((AV21:AX21),LN(AV20:AX20),TRUE,TRUE),3,1)</f>
        <v>0.61608390798872847</v>
      </c>
      <c r="AP21" s="82">
        <f>INDEX(LINEST((AV21:AX21),LN(AV20:AX20)),1)</f>
        <v>-7.6871206780136286E-2</v>
      </c>
      <c r="AQ21" s="83">
        <f>INDEX(LINEST(LN(AV21:AX21),SQRT(AV20:AX20),TRUE,TRUE),3,1)</f>
        <v>0.22732434416119027</v>
      </c>
      <c r="AR21" s="116">
        <f>INDEX(LINEST(LN(AV21:AX21),SQRT((AV20:AX20))),1)</f>
        <v>-2.7983861593231765E-3</v>
      </c>
      <c r="AS21" s="84">
        <f>INDEX(LINEST(1/(AV21:AX21),1/(SQRT(AV20:AX20)),TRUE,TRUE),3,1)</f>
        <v>0.62604401815820643</v>
      </c>
      <c r="AT21" s="84">
        <f>INDEX(LINEST(1/(AV21:AX21),1/SQRT(AV20:AX20)),1)</f>
        <v>-173.30494593585968</v>
      </c>
      <c r="AU21" s="3"/>
      <c r="AV21" s="53">
        <v>0.53</v>
      </c>
      <c r="AW21" s="53">
        <v>0.11</v>
      </c>
      <c r="AX21" s="53">
        <v>0.16</v>
      </c>
      <c r="AY21" s="53"/>
      <c r="AZ21" s="4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1"/>
      <c r="CS21" s="1"/>
      <c r="CT21" s="1"/>
      <c r="CU21" s="1"/>
    </row>
    <row r="22" spans="1:99" s="13" customFormat="1" ht="12" customHeight="1" x14ac:dyDescent="0.2">
      <c r="A22" s="65">
        <v>43509</v>
      </c>
      <c r="B22" s="1"/>
      <c r="C22" s="1"/>
      <c r="D22" s="60"/>
      <c r="E22" s="76"/>
      <c r="F22" s="60"/>
      <c r="G22" s="60"/>
      <c r="H22" s="60"/>
      <c r="I22" s="60"/>
      <c r="J22" s="60"/>
      <c r="K22" s="64"/>
      <c r="L22" s="64"/>
      <c r="M22" s="60"/>
      <c r="N22" s="60"/>
      <c r="O22" s="60"/>
      <c r="P22" s="60"/>
      <c r="Q22" s="60"/>
      <c r="R22" s="60"/>
      <c r="S22" s="60"/>
      <c r="T22" s="60"/>
      <c r="U22" s="60"/>
      <c r="V22" s="60"/>
      <c r="W22" s="60"/>
      <c r="X22" s="60"/>
      <c r="Y22" s="76"/>
      <c r="Z22" s="60"/>
      <c r="AA22" s="60"/>
      <c r="AB22" s="60"/>
      <c r="AC22" s="60"/>
      <c r="AD22" s="60"/>
      <c r="AE22" s="60"/>
      <c r="AF22" s="80"/>
      <c r="AG22" s="56"/>
      <c r="AH22" s="4"/>
      <c r="AI22" s="56"/>
      <c r="AJ22" s="109"/>
      <c r="AK22" s="56"/>
      <c r="AL22" s="56"/>
      <c r="AM22" s="56"/>
      <c r="AN22" s="56"/>
      <c r="AO22" s="56"/>
      <c r="AP22" s="56"/>
      <c r="AQ22" s="56"/>
      <c r="AR22" s="109"/>
      <c r="AS22" s="56"/>
      <c r="AT22" s="56"/>
      <c r="AU22" s="5"/>
      <c r="AV22" s="25">
        <v>800</v>
      </c>
      <c r="AW22" s="25">
        <f>60*60*2</f>
        <v>7200</v>
      </c>
      <c r="AX22" s="25">
        <f>60*60*24</f>
        <v>86400</v>
      </c>
      <c r="AY22" s="53"/>
      <c r="AZ22" s="4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1"/>
      <c r="CS22" s="1"/>
      <c r="CT22" s="1"/>
      <c r="CU22" s="1"/>
    </row>
    <row r="23" spans="1:99" s="13" customFormat="1" ht="12" customHeight="1" x14ac:dyDescent="0.2">
      <c r="A23" s="65">
        <v>43509</v>
      </c>
      <c r="B23" s="1" t="s">
        <v>77</v>
      </c>
      <c r="C23" s="1" t="s">
        <v>78</v>
      </c>
      <c r="D23" s="60">
        <v>1990</v>
      </c>
      <c r="E23" s="76">
        <v>1</v>
      </c>
      <c r="F23" s="60">
        <v>48</v>
      </c>
      <c r="G23" s="60">
        <v>9.3000000000000007</v>
      </c>
      <c r="H23" s="60" t="s">
        <v>50</v>
      </c>
      <c r="I23" s="60" t="s">
        <v>667</v>
      </c>
      <c r="J23" s="60" t="s">
        <v>29</v>
      </c>
      <c r="K23" s="60">
        <f>IF(J23="syllables",1,IF(J23="trigrams",2,IF(J23="strings",3,IF(J23="visual array",4,IF(J23="characters",5,IF(J23="letters",6,IF(J23="free forms",7,IF(J23="odors",8,IF(J23="words",9,IF(J23="pictures",10,IF(J23="object pictures",11,IF(J23="faces",12,IF(J23="names",13,IF(J23="idioms",14,IF(J23="grades",15,IF(J23="syllable-digit pairs",16,IF(J23="trigram-word pairs",17,IF(J23="word-digit pairs",18,IF(J23="English-Swahili pairs",19,IF(J23="spatial position",20,IF(J23="word pairs",21,IF(J23="word triads",22,IF(J23="generated words",23,IF(J23="word definition pairs",24,IF(J23="math problems",25,IF(J23="famous faces",26,IF(J23="famous names",27,IF(J23="famous voices",28,IF(J23="television programs",29,IF(J23="race horses",30,IF(J23="new vocabulary",31,IF(J23="sentences",32,IF(J23="concepts",33,IF(J23="ad slides",34,IF(J23="scenes",35,IF(J23="famous scenes",36,IF(J23="poems",37,IF(J23="walk",38,IF(J23="faces and events",39,IF(J23="events and names",40,IF(J23="flashbulb",41,IF(J23="stories",42,IF(J23="course material",43,IF(J23="autobiographical",44,IF(J23="novels",45,IF(J23="public events",46,"99"))))))))))))))))))))))))))))))))))))))))))))))</f>
        <v>9</v>
      </c>
      <c r="L23" s="60">
        <f>IF(J23="syllables",1,IF(J23="trigrams",1,IF(J23="strings",1,IF(J23="visual array",1,IF(J23="characters",1,IF(J23="letters",1,IF(J23="free forms",1,IF(J23="odors",2,IF(J23="words",2,IF(J23="pictures",2,IF(J23="object pictures",2,IF(J23="faces",2,IF(J23="names",2,IF(J23="idioms","2",IF(J23="grades",2,IF(J23="syllable-digit pairs",3,IF(J23="trigram-word pairs",3,IF(J23="word-digit pairs",3,IF(J23="English-Swahili pairs",3,IF(J23="spatial position",3,IF(J23="word pairs",4,IF(J23="word triads",4,IF(J23="generated words",4,IF(J23="word definition pairs",4,IF(J23="math problems",4,IF(J23="famous faces",4,IF(J23="famous names",4,IF(J23="famous voices",4,IF(J23="television programs",4,IF(J23="race horses",4,IF(J23="new vocabulary",4,IF(J23="sentences",5,IF(J23="concepts",5,IF(J23="ad slides",5,IF(J23="scenes",5,IF(J23="famous scenes",5,IF(J23="poems",6,IF(J23="walk",6,IF(J23="faces and events",6,IF(J23="events and names",6,IF(J23="flashbulb",7,IF(J23="stories",7,IF(J23="course material",7,IF(J23="autobiographical",7,IF(J23="novels",7,IF(J23="public events",7,"99"))))))))))))))))))))))))))))))))))))))))))))))</f>
        <v>2</v>
      </c>
      <c r="M23" s="60">
        <v>1</v>
      </c>
      <c r="N23" s="60">
        <v>2</v>
      </c>
      <c r="O23" s="60">
        <v>0</v>
      </c>
      <c r="P23" s="60"/>
      <c r="Q23" s="60" t="s">
        <v>14</v>
      </c>
      <c r="R23" s="60">
        <f>IF(Q23="Free Recall",1,IF(Q23="Cued Recall",2,IF(Q23="Recognition",3,IF(Q23="Multiple Choice",4,IF(Q23="Savings",5,IF(Q23="Stem Completion",6,IF(Q23="Fragment Completion",7,IF(Q23="anagram solution",8,IF(Q23="Matching",9,IF(Q23="Problem Solving",10,"99"))))))))))</f>
        <v>6</v>
      </c>
      <c r="S23" s="59" t="s">
        <v>15</v>
      </c>
      <c r="T23" s="59" t="s">
        <v>261</v>
      </c>
      <c r="U23" s="60">
        <f>IF(T23="within",1,0)</f>
        <v>0</v>
      </c>
      <c r="V23" s="59">
        <v>40</v>
      </c>
      <c r="W23" s="60">
        <f>F23*V23</f>
        <v>1920</v>
      </c>
      <c r="X23" s="60">
        <v>3</v>
      </c>
      <c r="Y23" s="76">
        <f>AV22</f>
        <v>800</v>
      </c>
      <c r="Z23" s="60" t="s">
        <v>79</v>
      </c>
      <c r="AA23" s="60">
        <v>86400</v>
      </c>
      <c r="AB23" s="60" t="str">
        <f>IF(AA23&lt;60,"1",IF(AA23&lt;=43200,"2",IF(AA23&lt;=777600,"3","4")))</f>
        <v>3</v>
      </c>
      <c r="AC23" s="56">
        <f>AVERAGE(AV22:DA22)</f>
        <v>31466.666666666668</v>
      </c>
      <c r="AD23" s="60" t="str">
        <f>IF(AC23&lt;60,"1",IF(AC23&lt;=43200,"2",IF(AC23&lt;=777600,"3","4")))</f>
        <v>2</v>
      </c>
      <c r="AE23" s="76">
        <f>AA23-Y23</f>
        <v>85600</v>
      </c>
      <c r="AF23" s="80">
        <f>AV23</f>
        <v>0.48</v>
      </c>
      <c r="AG23" s="56">
        <f>((AW23-AV23)+(AX23-AW23))/2</f>
        <v>-0.14999999999999997</v>
      </c>
      <c r="AH23" s="4"/>
      <c r="AI23" s="56">
        <f>RSQ(AV23:AX23,AV22:AX22)</f>
        <v>0.23701399156499101</v>
      </c>
      <c r="AJ23" s="109">
        <f>SLOPE(AV23:AX23,AV22:AX22)</f>
        <v>-1.8632119733508494E-6</v>
      </c>
      <c r="AK23" s="56">
        <f>INTERCEPT(AV23:AX23,AV22:AX22)</f>
        <v>0.32862907009477343</v>
      </c>
      <c r="AL23" s="56">
        <f>INDEX(LINEST(LN(AV23:AX23),LN(AV22:AX22),TRUE,TRUE),3,1)</f>
        <v>0.57975813119066055</v>
      </c>
      <c r="AM23" s="56">
        <f>INDEX(LINEST(LN(AV23:AX23),LN(AV22:AX22)),1)</f>
        <v>-0.20334217547138236</v>
      </c>
      <c r="AN23" s="56">
        <f>EXP(INDEX(LINEST(LN(AV23:AX23),LN(AV22:AX22)),1,2))</f>
        <v>1.4577906262892855</v>
      </c>
      <c r="AO23" s="82">
        <f>INDEX(LINEST((AV23:AX23),LN(AV22:AX22),TRUE,TRUE),3,1)</f>
        <v>0.64206364583871101</v>
      </c>
      <c r="AP23" s="82">
        <f>INDEX(LINEST((AV23:AX23),LN(AV22:AX22)),1)</f>
        <v>-6.2420103686055356E-2</v>
      </c>
      <c r="AQ23" s="83">
        <f>INDEX(LINEST(LN(AV23:AX23),SQRT(AV22:AX22),TRUE,TRUE),3,1)</f>
        <v>0.30114342895179769</v>
      </c>
      <c r="AR23" s="116">
        <f>INDEX(LINEST(LN(AV23:AX23),SQRT((AV22:AX22))),1)</f>
        <v>-2.453318702114658E-3</v>
      </c>
      <c r="AS23" s="84">
        <f>INDEX(LINEST(1/(AV23:AX23),1/(SQRT(AV22:AX22)),TRUE,TRUE),3,1)</f>
        <v>0.77827172664496636</v>
      </c>
      <c r="AT23" s="84">
        <f>INDEX(LINEST(1/(AV23:AX23),1/SQRT(AV22:AX22)),1)</f>
        <v>-127.31306773060919</v>
      </c>
      <c r="AU23" s="3"/>
      <c r="AV23" s="53">
        <v>0.48</v>
      </c>
      <c r="AW23" s="53">
        <v>0.15</v>
      </c>
      <c r="AX23" s="53">
        <v>0.18</v>
      </c>
      <c r="AY23" s="53"/>
      <c r="AZ23" s="4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1"/>
      <c r="CS23" s="1"/>
      <c r="CT23" s="1"/>
      <c r="CU23" s="1"/>
    </row>
    <row r="24" spans="1:99" s="13" customFormat="1" ht="12" customHeight="1" x14ac:dyDescent="0.2">
      <c r="A24" s="65">
        <v>43509</v>
      </c>
      <c r="B24" s="1"/>
      <c r="C24" s="1"/>
      <c r="D24" s="60"/>
      <c r="E24" s="76"/>
      <c r="F24" s="60"/>
      <c r="G24" s="60"/>
      <c r="H24" s="60"/>
      <c r="I24" s="60"/>
      <c r="J24" s="60"/>
      <c r="K24" s="64"/>
      <c r="L24" s="64"/>
      <c r="M24" s="60"/>
      <c r="N24" s="60"/>
      <c r="O24" s="60"/>
      <c r="P24" s="60"/>
      <c r="Q24" s="60"/>
      <c r="R24" s="60"/>
      <c r="S24" s="60"/>
      <c r="T24" s="59"/>
      <c r="U24" s="60"/>
      <c r="V24" s="59"/>
      <c r="W24" s="60"/>
      <c r="X24" s="60"/>
      <c r="Y24" s="76"/>
      <c r="Z24" s="60"/>
      <c r="AA24" s="60"/>
      <c r="AB24" s="60"/>
      <c r="AC24" s="60"/>
      <c r="AD24" s="60"/>
      <c r="AE24" s="60"/>
      <c r="AF24" s="80"/>
      <c r="AG24" s="56"/>
      <c r="AH24" s="4"/>
      <c r="AI24" s="56"/>
      <c r="AJ24" s="109"/>
      <c r="AK24" s="56"/>
      <c r="AL24" s="56"/>
      <c r="AM24" s="56"/>
      <c r="AN24" s="56"/>
      <c r="AO24" s="56"/>
      <c r="AP24" s="56"/>
      <c r="AQ24" s="56"/>
      <c r="AR24" s="109"/>
      <c r="AS24" s="56"/>
      <c r="AT24" s="56"/>
      <c r="AU24" s="5"/>
      <c r="AV24" s="25">
        <v>800</v>
      </c>
      <c r="AW24" s="25">
        <f>60*60*2</f>
        <v>7200</v>
      </c>
      <c r="AX24" s="25">
        <f>60*60*24</f>
        <v>86400</v>
      </c>
      <c r="AY24" s="53"/>
      <c r="AZ24" s="43"/>
      <c r="BA24" s="53"/>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1"/>
      <c r="CS24" s="1"/>
      <c r="CT24" s="1"/>
      <c r="CU24" s="1"/>
    </row>
    <row r="25" spans="1:99" s="13" customFormat="1" ht="12" customHeight="1" x14ac:dyDescent="0.2">
      <c r="A25" s="65">
        <v>43509</v>
      </c>
      <c r="B25" s="1" t="s">
        <v>77</v>
      </c>
      <c r="C25" s="1" t="s">
        <v>78</v>
      </c>
      <c r="D25" s="60">
        <v>1990</v>
      </c>
      <c r="E25" s="76">
        <v>1</v>
      </c>
      <c r="F25" s="60">
        <v>48</v>
      </c>
      <c r="G25" s="60">
        <v>9.3000000000000007</v>
      </c>
      <c r="H25" s="60" t="s">
        <v>22</v>
      </c>
      <c r="I25" s="60" t="s">
        <v>665</v>
      </c>
      <c r="J25" s="60" t="s">
        <v>29</v>
      </c>
      <c r="K25" s="60">
        <f>IF(J25="syllables",1,IF(J25="trigrams",2,IF(J25="strings",3,IF(J25="visual array",4,IF(J25="characters",5,IF(J25="letters",6,IF(J25="free forms",7,IF(J25="odors",8,IF(J25="words",9,IF(J25="pictures",10,IF(J25="object pictures",11,IF(J25="faces",12,IF(J25="names",13,IF(J25="idioms",14,IF(J25="grades",15,IF(J25="syllable-digit pairs",16,IF(J25="trigram-word pairs",17,IF(J25="word-digit pairs",18,IF(J25="English-Swahili pairs",19,IF(J25="spatial position",20,IF(J25="word pairs",21,IF(J25="word triads",22,IF(J25="generated words",23,IF(J25="word definition pairs",24,IF(J25="math problems",25,IF(J25="famous faces",26,IF(J25="famous names",27,IF(J25="famous voices",28,IF(J25="television programs",29,IF(J25="race horses",30,IF(J25="new vocabulary",31,IF(J25="sentences",32,IF(J25="concepts",33,IF(J25="ad slides",34,IF(J25="scenes",35,IF(J25="famous scenes",36,IF(J25="poems",37,IF(J25="walk",38,IF(J25="faces and events",39,IF(J25="events and names",40,IF(J25="flashbulb",41,IF(J25="stories",42,IF(J25="course material",43,IF(J25="autobiographical",44,IF(J25="novels",45,IF(J25="public events",46,"99"))))))))))))))))))))))))))))))))))))))))))))))</f>
        <v>9</v>
      </c>
      <c r="L25" s="60">
        <f>IF(J25="syllables",1,IF(J25="trigrams",1,IF(J25="strings",1,IF(J25="visual array",1,IF(J25="characters",1,IF(J25="letters",1,IF(J25="free forms",1,IF(J25="odors",2,IF(J25="words",2,IF(J25="pictures",2,IF(J25="object pictures",2,IF(J25="faces",2,IF(J25="names",2,IF(J25="idioms","2",IF(J25="grades",2,IF(J25="syllable-digit pairs",3,IF(J25="trigram-word pairs",3,IF(J25="word-digit pairs",3,IF(J25="English-Swahili pairs",3,IF(J25="spatial position",3,IF(J25="word pairs",4,IF(J25="word triads",4,IF(J25="generated words",4,IF(J25="word definition pairs",4,IF(J25="math problems",4,IF(J25="famous faces",4,IF(J25="famous names",4,IF(J25="famous voices",4,IF(J25="television programs",4,IF(J25="race horses",4,IF(J25="new vocabulary",4,IF(J25="sentences",5,IF(J25="concepts",5,IF(J25="ad slides",5,IF(J25="scenes",5,IF(J25="famous scenes",5,IF(J25="poems",6,IF(J25="walk",6,IF(J25="faces and events",6,IF(J25="events and names",6,IF(J25="flashbulb",7,IF(J25="stories",7,IF(J25="course material",7,IF(J25="autobiographical",7,IF(J25="novels",7,IF(J25="public events",7,"99"))))))))))))))))))))))))))))))))))))))))))))))</f>
        <v>2</v>
      </c>
      <c r="M25" s="60">
        <v>1</v>
      </c>
      <c r="N25" s="60">
        <v>2</v>
      </c>
      <c r="O25" s="60">
        <v>0</v>
      </c>
      <c r="P25" s="60"/>
      <c r="Q25" s="60" t="s">
        <v>34</v>
      </c>
      <c r="R25" s="60">
        <f>IF(Q25="Free Recall",1,IF(Q25="Cued Recall",2,IF(Q25="Recognition",3,IF(Q25="Multiple Choice",4,IF(Q25="Savings",5,IF(Q25="Stem Completion",6,IF(Q25="Fragment Completion",7,IF(Q25="anagram solution",8,IF(Q25="Matching",9,IF(Q25="Problem Solving",10,"99"))))))))))</f>
        <v>3</v>
      </c>
      <c r="S25" s="59" t="s">
        <v>15</v>
      </c>
      <c r="T25" s="59" t="s">
        <v>261</v>
      </c>
      <c r="U25" s="60">
        <f>IF(T25="within",1,0)</f>
        <v>0</v>
      </c>
      <c r="V25" s="59">
        <v>40</v>
      </c>
      <c r="W25" s="60">
        <f>F25*V25</f>
        <v>1920</v>
      </c>
      <c r="X25" s="60">
        <v>3</v>
      </c>
      <c r="Y25" s="76">
        <f>AV24</f>
        <v>800</v>
      </c>
      <c r="Z25" s="60" t="s">
        <v>79</v>
      </c>
      <c r="AA25" s="60">
        <v>86400</v>
      </c>
      <c r="AB25" s="60" t="str">
        <f>IF(AA25&lt;60,"1",IF(AA25&lt;=43200,"2",IF(AA25&lt;=777600,"3","4")))</f>
        <v>3</v>
      </c>
      <c r="AC25" s="56">
        <f>AVERAGE(AV24:DA24)</f>
        <v>31466.666666666668</v>
      </c>
      <c r="AD25" s="60" t="str">
        <f>IF(AC25&lt;60,"1",IF(AC25&lt;=43200,"2",IF(AC25&lt;=777600,"3","4")))</f>
        <v>2</v>
      </c>
      <c r="AE25" s="76">
        <f>AA25-Y25</f>
        <v>85600</v>
      </c>
      <c r="AF25" s="80">
        <f>AV25</f>
        <v>0.93300000000000005</v>
      </c>
      <c r="AG25" s="56">
        <f>((AW25-AV25)+(AX25-AW25))/2</f>
        <v>-1.5500000000000014E-2</v>
      </c>
      <c r="AH25" s="4"/>
      <c r="AI25" s="56">
        <f>RSQ(AV25:AX25,AV24:AX24)</f>
        <v>0.69847978160878388</v>
      </c>
      <c r="AJ25" s="109">
        <f>SLOPE(AV25:AX25,AV24:AX24)</f>
        <v>-5.3462512902317718E-7</v>
      </c>
      <c r="AK25" s="56">
        <f>INTERCEPT(AV25:AX25,AV24:AX24)</f>
        <v>0.94948953739326258</v>
      </c>
      <c r="AL25" s="56">
        <f>INDEX(LINEST(LN(AV25:AX25),LN(AV24:AX24),TRUE,TRUE),3,1)</f>
        <v>0.29845977534544799</v>
      </c>
      <c r="AM25" s="56">
        <f>INDEX(LINEST(LN(AV25:AX25),LN(AV24:AX24)),1)</f>
        <v>-7.6320243260043566E-3</v>
      </c>
      <c r="AN25" s="56">
        <f>EXP(INDEX(LINEST(LN(AV25:AX25),LN(AV24:AX24)),1,2))</f>
        <v>0.99845521592745345</v>
      </c>
      <c r="AO25" s="82">
        <f>INDEX(LINEST((AV25:AX25),LN(AV24:AX24),TRUE,TRUE),3,1)</f>
        <v>0.28986093262399526</v>
      </c>
      <c r="AP25" s="82">
        <f>INDEX(LINEST((AV25:AX25),LN(AV24:AX24)),1)</f>
        <v>-7.0101524424704747E-3</v>
      </c>
      <c r="AQ25" s="83">
        <f>INDEX(LINEST(LN(AV25:AX25),SQRT(AV24:AX24),TRUE,TRUE),3,1)</f>
        <v>0.57686561381083024</v>
      </c>
      <c r="AR25" s="116">
        <f>INDEX(LINEST(LN(AV25:AX25),SQRT((AV24:AX24))),1)</f>
        <v>-1.7762226372922225E-4</v>
      </c>
      <c r="AS25" s="84">
        <f>INDEX(LINEST(1/(AV25:AX25),1/(SQRT(AV24:AX24)),TRUE,TRUE),3,1)</f>
        <v>7.8567869951178829E-2</v>
      </c>
      <c r="AT25" s="84">
        <f>INDEX(LINEST(1/(AV25:AX25),1/SQRT(AV24:AX24)),1)</f>
        <v>-0.59431043508251524</v>
      </c>
      <c r="AU25" s="3"/>
      <c r="AV25" s="53">
        <v>0.93300000000000005</v>
      </c>
      <c r="AW25" s="53">
        <v>0.96299999999999997</v>
      </c>
      <c r="AX25" s="53">
        <v>0.90200000000000002</v>
      </c>
      <c r="AY25" s="53"/>
      <c r="AZ25" s="43"/>
      <c r="BA25" s="53"/>
      <c r="BB25" s="53"/>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1"/>
      <c r="CS25" s="1"/>
      <c r="CT25" s="1"/>
      <c r="CU25" s="1"/>
    </row>
    <row r="26" spans="1:99" s="13" customFormat="1" ht="12" customHeight="1" x14ac:dyDescent="0.2">
      <c r="A26" s="65">
        <v>43509</v>
      </c>
      <c r="B26" s="1"/>
      <c r="C26" s="1"/>
      <c r="D26" s="60"/>
      <c r="E26" s="76"/>
      <c r="F26" s="60"/>
      <c r="G26" s="60"/>
      <c r="H26" s="60"/>
      <c r="I26" s="60"/>
      <c r="J26" s="60"/>
      <c r="K26" s="64"/>
      <c r="L26" s="64"/>
      <c r="M26" s="60"/>
      <c r="N26" s="60"/>
      <c r="O26" s="60"/>
      <c r="P26" s="60"/>
      <c r="Q26" s="60"/>
      <c r="R26" s="60"/>
      <c r="S26" s="60"/>
      <c r="T26" s="60"/>
      <c r="U26" s="60"/>
      <c r="V26" s="59"/>
      <c r="W26" s="60"/>
      <c r="X26" s="60"/>
      <c r="Y26" s="76"/>
      <c r="Z26" s="60"/>
      <c r="AA26" s="60"/>
      <c r="AB26" s="60"/>
      <c r="AC26" s="60"/>
      <c r="AD26" s="60"/>
      <c r="AE26" s="60"/>
      <c r="AF26" s="80"/>
      <c r="AG26" s="56"/>
      <c r="AH26" s="4"/>
      <c r="AI26" s="56"/>
      <c r="AJ26" s="109"/>
      <c r="AK26" s="56"/>
      <c r="AL26" s="56"/>
      <c r="AM26" s="56"/>
      <c r="AN26" s="56"/>
      <c r="AO26" s="56"/>
      <c r="AP26" s="56"/>
      <c r="AQ26" s="56"/>
      <c r="AR26" s="109"/>
      <c r="AS26" s="56"/>
      <c r="AT26" s="56"/>
      <c r="AU26" s="5"/>
      <c r="AV26" s="25">
        <v>800</v>
      </c>
      <c r="AW26" s="25">
        <f>60*60*2</f>
        <v>7200</v>
      </c>
      <c r="AX26" s="25">
        <f>60*60*24</f>
        <v>86400</v>
      </c>
      <c r="AY26" s="53"/>
      <c r="AZ26" s="4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1"/>
      <c r="CS26" s="1"/>
      <c r="CT26" s="1"/>
      <c r="CU26" s="1"/>
    </row>
    <row r="27" spans="1:99" s="13" customFormat="1" ht="12" customHeight="1" x14ac:dyDescent="0.2">
      <c r="A27" s="65">
        <v>43509</v>
      </c>
      <c r="B27" s="1" t="s">
        <v>77</v>
      </c>
      <c r="C27" s="1" t="s">
        <v>78</v>
      </c>
      <c r="D27" s="60">
        <v>1990</v>
      </c>
      <c r="E27" s="76">
        <v>1</v>
      </c>
      <c r="F27" s="60">
        <v>48</v>
      </c>
      <c r="G27" s="60">
        <v>9.3000000000000007</v>
      </c>
      <c r="H27" s="60" t="s">
        <v>22</v>
      </c>
      <c r="I27" s="60" t="s">
        <v>666</v>
      </c>
      <c r="J27" s="60" t="s">
        <v>29</v>
      </c>
      <c r="K27" s="60">
        <f>IF(J27="syllables",1,IF(J27="trigrams",2,IF(J27="strings",3,IF(J27="visual array",4,IF(J27="characters",5,IF(J27="letters",6,IF(J27="free forms",7,IF(J27="odors",8,IF(J27="words",9,IF(J27="pictures",10,IF(J27="object pictures",11,IF(J27="faces",12,IF(J27="names",13,IF(J27="idioms",14,IF(J27="grades",15,IF(J27="syllable-digit pairs",16,IF(J27="trigram-word pairs",17,IF(J27="word-digit pairs",18,IF(J27="English-Swahili pairs",19,IF(J27="spatial position",20,IF(J27="word pairs",21,IF(J27="word triads",22,IF(J27="generated words",23,IF(J27="word definition pairs",24,IF(J27="math problems",25,IF(J27="famous faces",26,IF(J27="famous names",27,IF(J27="famous voices",28,IF(J27="television programs",29,IF(J27="race horses",30,IF(J27="new vocabulary",31,IF(J27="sentences",32,IF(J27="concepts",33,IF(J27="ad slides",34,IF(J27="scenes",35,IF(J27="famous scenes",36,IF(J27="poems",37,IF(J27="walk",38,IF(J27="faces and events",39,IF(J27="events and names",40,IF(J27="flashbulb",41,IF(J27="stories",42,IF(J27="course material",43,IF(J27="autobiographical",44,IF(J27="novels",45,IF(J27="public events",46,"99"))))))))))))))))))))))))))))))))))))))))))))))</f>
        <v>9</v>
      </c>
      <c r="L27" s="60">
        <f>IF(J27="syllables",1,IF(J27="trigrams",1,IF(J27="strings",1,IF(J27="visual array",1,IF(J27="characters",1,IF(J27="letters",1,IF(J27="free forms",1,IF(J27="odors",2,IF(J27="words",2,IF(J27="pictures",2,IF(J27="object pictures",2,IF(J27="faces",2,IF(J27="names",2,IF(J27="idioms","2",IF(J27="grades",2,IF(J27="syllable-digit pairs",3,IF(J27="trigram-word pairs",3,IF(J27="word-digit pairs",3,IF(J27="English-Swahili pairs",3,IF(J27="spatial position",3,IF(J27="word pairs",4,IF(J27="word triads",4,IF(J27="generated words",4,IF(J27="word definition pairs",4,IF(J27="math problems",4,IF(J27="famous faces",4,IF(J27="famous names",4,IF(J27="famous voices",4,IF(J27="television programs",4,IF(J27="race horses",4,IF(J27="new vocabulary",4,IF(J27="sentences",5,IF(J27="concepts",5,IF(J27="ad slides",5,IF(J27="scenes",5,IF(J27="famous scenes",5,IF(J27="poems",6,IF(J27="walk",6,IF(J27="faces and events",6,IF(J27="events and names",6,IF(J27="flashbulb",7,IF(J27="stories",7,IF(J27="course material",7,IF(J27="autobiographical",7,IF(J27="novels",7,IF(J27="public events",7,"99"))))))))))))))))))))))))))))))))))))))))))))))</f>
        <v>2</v>
      </c>
      <c r="M27" s="60">
        <v>1</v>
      </c>
      <c r="N27" s="60">
        <v>2</v>
      </c>
      <c r="O27" s="60">
        <v>0</v>
      </c>
      <c r="P27" s="60"/>
      <c r="Q27" s="60" t="s">
        <v>34</v>
      </c>
      <c r="R27" s="60">
        <f>IF(Q27="Free Recall",1,IF(Q27="Cued Recall",2,IF(Q27="Recognition",3,IF(Q27="Multiple Choice",4,IF(Q27="Savings",5,IF(Q27="Stem Completion",6,IF(Q27="Fragment Completion",7,IF(Q27="anagram solution",8,IF(Q27="Matching",9,IF(Q27="Problem Solving",10,"99"))))))))))</f>
        <v>3</v>
      </c>
      <c r="S27" s="59" t="s">
        <v>15</v>
      </c>
      <c r="T27" s="59" t="s">
        <v>261</v>
      </c>
      <c r="U27" s="60">
        <f>IF(T27="within",1,0)</f>
        <v>0</v>
      </c>
      <c r="V27" s="59">
        <v>40</v>
      </c>
      <c r="W27" s="60">
        <f>F27*V27</f>
        <v>1920</v>
      </c>
      <c r="X27" s="60">
        <v>3</v>
      </c>
      <c r="Y27" s="76">
        <f>AV26</f>
        <v>800</v>
      </c>
      <c r="Z27" s="60" t="s">
        <v>79</v>
      </c>
      <c r="AA27" s="60">
        <v>86400</v>
      </c>
      <c r="AB27" s="60" t="str">
        <f>IF(AA27&lt;60,"1",IF(AA27&lt;=43200,"2",IF(AA27&lt;=777600,"3","4")))</f>
        <v>3</v>
      </c>
      <c r="AC27" s="56">
        <f>AVERAGE(AV26:DA26)</f>
        <v>31466.666666666668</v>
      </c>
      <c r="AD27" s="60" t="str">
        <f>IF(AC27&lt;60,"1",IF(AC27&lt;=43200,"2",IF(AC27&lt;=777600,"3","4")))</f>
        <v>2</v>
      </c>
      <c r="AE27" s="76">
        <f>AA27-Y27</f>
        <v>85600</v>
      </c>
      <c r="AF27" s="80">
        <f>AV27</f>
        <v>0.96299999999999997</v>
      </c>
      <c r="AG27" s="56">
        <f>((AW27-AV27)+(AX27-AW27))/2</f>
        <v>-1.0500000000000009E-2</v>
      </c>
      <c r="AH27" s="4"/>
      <c r="AI27" s="56">
        <f>RSQ(AV27:AX27,AV26:AX26)</f>
        <v>0.8227304785284244</v>
      </c>
      <c r="AJ27" s="109">
        <f>SLOPE(AV27:AX27,AV26:AX26)</f>
        <v>-3.1774889743830373E-7</v>
      </c>
      <c r="AK27" s="56">
        <f>INTERCEPT(AV27:AX27,AV26:AX26)</f>
        <v>0.96999849863939192</v>
      </c>
      <c r="AL27" s="56">
        <f>INDEX(LINEST(LN(AV27:AX27),LN(AV26:AX26),TRUE,TRUE),3,1)</f>
        <v>0.4344968192259403</v>
      </c>
      <c r="AM27" s="56">
        <f>INDEX(LINEST(LN(AV27:AX27),LN(AV26:AX26)),1)</f>
        <v>-4.9076066639987337E-3</v>
      </c>
      <c r="AN27" s="56">
        <f>EXP(INDEX(LINEST(LN(AV27:AX27),LN(AV26:AX26)),1,2))</f>
        <v>1.003140864878368</v>
      </c>
      <c r="AO27" s="82">
        <f>INDEX(LINEST((AV27:AX27),LN(AV26:AX26),TRUE,TRUE),3,1)</f>
        <v>0.43006653218500951</v>
      </c>
      <c r="AP27" s="82">
        <f>INDEX(LINEST((AV27:AX27),LN(AV26:AX26)),1)</f>
        <v>-4.6760942262203016E-3</v>
      </c>
      <c r="AQ27" s="83">
        <f>INDEX(LINEST(LN(AV27:AX27),SQRT(AV26:AX26),TRUE,TRUE),3,1)</f>
        <v>0.71199193870391975</v>
      </c>
      <c r="AR27" s="116">
        <f>INDEX(LINEST(LN(AV27:AX27),SQRT((AV26:AX26))),1)</f>
        <v>-1.0516645084707174E-4</v>
      </c>
      <c r="AS27" s="84">
        <f>INDEX(LINEST(1/(AV27:AX27),1/(SQRT(AV26:AX26)),TRUE,TRUE),3,1)</f>
        <v>0.16692397240875007</v>
      </c>
      <c r="AT27" s="84">
        <f>INDEX(LINEST(1/(AV27:AX27),1/SQRT(AV26:AX26)),1)</f>
        <v>-0.44914172383553058</v>
      </c>
      <c r="AU27" s="3"/>
      <c r="AV27" s="53">
        <v>0.96299999999999997</v>
      </c>
      <c r="AW27" s="53">
        <v>0.97499999999999998</v>
      </c>
      <c r="AX27" s="53">
        <v>0.94199999999999995</v>
      </c>
      <c r="AY27" s="53"/>
      <c r="AZ27" s="4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1"/>
      <c r="CS27" s="1"/>
      <c r="CT27" s="1"/>
      <c r="CU27" s="1"/>
    </row>
    <row r="28" spans="1:99" s="13" customFormat="1" ht="12" customHeight="1" x14ac:dyDescent="0.2">
      <c r="A28" s="65">
        <v>43509</v>
      </c>
      <c r="B28" s="1"/>
      <c r="C28" s="1"/>
      <c r="D28" s="60"/>
      <c r="E28" s="76"/>
      <c r="F28" s="60"/>
      <c r="G28" s="60"/>
      <c r="H28" s="60"/>
      <c r="I28" s="60"/>
      <c r="J28" s="60"/>
      <c r="K28" s="64"/>
      <c r="L28" s="64"/>
      <c r="M28" s="60"/>
      <c r="N28" s="60"/>
      <c r="O28" s="60"/>
      <c r="P28" s="60"/>
      <c r="Q28" s="60"/>
      <c r="R28" s="60"/>
      <c r="S28" s="60"/>
      <c r="T28" s="59"/>
      <c r="U28" s="60"/>
      <c r="V28" s="60"/>
      <c r="W28" s="60"/>
      <c r="X28" s="60"/>
      <c r="Y28" s="76"/>
      <c r="Z28" s="60"/>
      <c r="AA28" s="60"/>
      <c r="AB28" s="60"/>
      <c r="AC28" s="60"/>
      <c r="AD28" s="60"/>
      <c r="AE28" s="60"/>
      <c r="AF28" s="80"/>
      <c r="AG28" s="56"/>
      <c r="AH28" s="4"/>
      <c r="AI28" s="56"/>
      <c r="AJ28" s="109"/>
      <c r="AK28" s="56"/>
      <c r="AL28" s="56"/>
      <c r="AM28" s="56"/>
      <c r="AN28" s="56"/>
      <c r="AO28" s="56"/>
      <c r="AP28" s="56"/>
      <c r="AQ28" s="56"/>
      <c r="AR28" s="109"/>
      <c r="AS28" s="56"/>
      <c r="AT28" s="56"/>
      <c r="AU28" s="5"/>
      <c r="AV28" s="25">
        <v>800</v>
      </c>
      <c r="AW28" s="25">
        <f>60*60*2</f>
        <v>7200</v>
      </c>
      <c r="AX28" s="25">
        <f>60*60*24</f>
        <v>86400</v>
      </c>
      <c r="AY28" s="53"/>
      <c r="AZ28" s="4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1"/>
      <c r="CS28" s="1"/>
      <c r="CT28" s="1"/>
      <c r="CU28" s="1"/>
    </row>
    <row r="29" spans="1:99" s="13" customFormat="1" ht="12" customHeight="1" x14ac:dyDescent="0.2">
      <c r="A29" s="65">
        <v>43509</v>
      </c>
      <c r="B29" s="1" t="s">
        <v>77</v>
      </c>
      <c r="C29" s="1" t="s">
        <v>78</v>
      </c>
      <c r="D29" s="60">
        <v>1990</v>
      </c>
      <c r="E29" s="76">
        <v>1</v>
      </c>
      <c r="F29" s="60">
        <v>48</v>
      </c>
      <c r="G29" s="60">
        <v>9.3000000000000007</v>
      </c>
      <c r="H29" s="60" t="s">
        <v>22</v>
      </c>
      <c r="I29" s="60" t="s">
        <v>667</v>
      </c>
      <c r="J29" s="60" t="s">
        <v>29</v>
      </c>
      <c r="K29" s="60">
        <f>IF(J29="syllables",1,IF(J29="trigrams",2,IF(J29="strings",3,IF(J29="visual array",4,IF(J29="characters",5,IF(J29="letters",6,IF(J29="free forms",7,IF(J29="odors",8,IF(J29="words",9,IF(J29="pictures",10,IF(J29="object pictures",11,IF(J29="faces",12,IF(J29="names",13,IF(J29="idioms",14,IF(J29="grades",15,IF(J29="syllable-digit pairs",16,IF(J29="trigram-word pairs",17,IF(J29="word-digit pairs",18,IF(J29="English-Swahili pairs",19,IF(J29="spatial position",20,IF(J29="word pairs",21,IF(J29="word triads",22,IF(J29="generated words",23,IF(J29="word definition pairs",24,IF(J29="math problems",25,IF(J29="famous faces",26,IF(J29="famous names",27,IF(J29="famous voices",28,IF(J29="television programs",29,IF(J29="race horses",30,IF(J29="new vocabulary",31,IF(J29="sentences",32,IF(J29="concepts",33,IF(J29="ad slides",34,IF(J29="scenes",35,IF(J29="famous scenes",36,IF(J29="poems",37,IF(J29="walk",38,IF(J29="faces and events",39,IF(J29="events and names",40,IF(J29="flashbulb",41,IF(J29="stories",42,IF(J29="course material",43,IF(J29="autobiographical",44,IF(J29="novels",45,IF(J29="public events",46,"99"))))))))))))))))))))))))))))))))))))))))))))))</f>
        <v>9</v>
      </c>
      <c r="L29" s="60">
        <f>IF(J29="syllables",1,IF(J29="trigrams",1,IF(J29="strings",1,IF(J29="visual array",1,IF(J29="characters",1,IF(J29="letters",1,IF(J29="free forms",1,IF(J29="odors",2,IF(J29="words",2,IF(J29="pictures",2,IF(J29="object pictures",2,IF(J29="faces",2,IF(J29="names",2,IF(J29="idioms","2",IF(J29="grades",2,IF(J29="syllable-digit pairs",3,IF(J29="trigram-word pairs",3,IF(J29="word-digit pairs",3,IF(J29="English-Swahili pairs",3,IF(J29="spatial position",3,IF(J29="word pairs",4,IF(J29="word triads",4,IF(J29="generated words",4,IF(J29="word definition pairs",4,IF(J29="math problems",4,IF(J29="famous faces",4,IF(J29="famous names",4,IF(J29="famous voices",4,IF(J29="television programs",4,IF(J29="race horses",4,IF(J29="new vocabulary",4,IF(J29="sentences",5,IF(J29="concepts",5,IF(J29="ad slides",5,IF(J29="scenes",5,IF(J29="famous scenes",5,IF(J29="poems",6,IF(J29="walk",6,IF(J29="faces and events",6,IF(J29="events and names",6,IF(J29="flashbulb",7,IF(J29="stories",7,IF(J29="course material",7,IF(J29="autobiographical",7,IF(J29="novels",7,IF(J29="public events",7,"99"))))))))))))))))))))))))))))))))))))))))))))))</f>
        <v>2</v>
      </c>
      <c r="M29" s="60">
        <v>1</v>
      </c>
      <c r="N29" s="60">
        <v>2</v>
      </c>
      <c r="O29" s="60">
        <v>0</v>
      </c>
      <c r="P29" s="60"/>
      <c r="Q29" s="60" t="s">
        <v>34</v>
      </c>
      <c r="R29" s="60">
        <f>IF(Q29="Free Recall",1,IF(Q29="Cued Recall",2,IF(Q29="Recognition",3,IF(Q29="Multiple Choice",4,IF(Q29="Savings",5,IF(Q29="Stem Completion",6,IF(Q29="Fragment Completion",7,IF(Q29="anagram solution",8,IF(Q29="Matching",9,IF(Q29="Problem Solving",10,"99"))))))))))</f>
        <v>3</v>
      </c>
      <c r="S29" s="59" t="s">
        <v>15</v>
      </c>
      <c r="T29" s="59" t="s">
        <v>261</v>
      </c>
      <c r="U29" s="60">
        <f>IF(T29="within",1,0)</f>
        <v>0</v>
      </c>
      <c r="V29" s="59">
        <v>40</v>
      </c>
      <c r="W29" s="60">
        <f>F29*V29</f>
        <v>1920</v>
      </c>
      <c r="X29" s="60">
        <v>3</v>
      </c>
      <c r="Y29" s="76">
        <f>AV28</f>
        <v>800</v>
      </c>
      <c r="Z29" s="60" t="s">
        <v>79</v>
      </c>
      <c r="AA29" s="60">
        <v>86400</v>
      </c>
      <c r="AB29" s="60" t="str">
        <f>IF(AA29&lt;60,"1",IF(AA29&lt;=43200,"2",IF(AA29&lt;=777600,"3","4")))</f>
        <v>3</v>
      </c>
      <c r="AC29" s="56">
        <f>AVERAGE(AV28:DA28)</f>
        <v>31466.666666666668</v>
      </c>
      <c r="AD29" s="60" t="str">
        <f>IF(AC29&lt;60,"1",IF(AC29&lt;=43200,"2",IF(AC29&lt;=777600,"3","4")))</f>
        <v>2</v>
      </c>
      <c r="AE29" s="76">
        <f>AA29-Y29</f>
        <v>85600</v>
      </c>
      <c r="AF29" s="80">
        <f>AV29</f>
        <v>0.98299999999999998</v>
      </c>
      <c r="AG29" s="56">
        <f>((AW29-AV29)+(AX29-AW29))/2</f>
        <v>-1.9500000000000017E-2</v>
      </c>
      <c r="AH29" s="4"/>
      <c r="AI29" s="56">
        <f>RSQ(AV29:AX29,AV28:AX28)</f>
        <v>0.98363953310692509</v>
      </c>
      <c r="AJ29" s="109">
        <f>SLOPE(AV29:AX29,AV28:AX28)</f>
        <v>-4.2847424228206854E-7</v>
      </c>
      <c r="AK29" s="56">
        <f>INTERCEPT(AV29:AX29,AV28:AX28)</f>
        <v>0.98081598949047577</v>
      </c>
      <c r="AL29" s="56">
        <f>INDEX(LINEST(LN(AV29:AX29),LN(AV28:AX28),TRUE,TRUE),3,1)</f>
        <v>0.91485656257094861</v>
      </c>
      <c r="AM29" s="56">
        <f>INDEX(LINEST(LN(AV29:AX29),LN(AV28:AX28)),1)</f>
        <v>-8.7408600388486375E-3</v>
      </c>
      <c r="AN29" s="56">
        <f>EXP(INDEX(LINEST(LN(AV29:AX29),LN(AV28:AX28)),1,2))</f>
        <v>1.0461415948307704</v>
      </c>
      <c r="AO29" s="82">
        <f>INDEX(LINEST((AV29:AX29),LN(AV28:AX28),TRUE,TRUE),3,1)</f>
        <v>0.9167359401726175</v>
      </c>
      <c r="AP29" s="82">
        <f>INDEX(LINEST((AV29:AX29),LN(AV28:AX28)),1)</f>
        <v>-8.4195529432913394E-3</v>
      </c>
      <c r="AQ29" s="83">
        <f>INDEX(LINEST(LN(AV29:AX29),SQRT(AV28:AX28),TRUE,TRUE),3,1)</f>
        <v>0.99986799580836971</v>
      </c>
      <c r="AR29" s="116">
        <f>INDEX(LINEST(LN(AV29:AX29),SQRT((AV28:AX28))),1)</f>
        <v>-1.5297210000093575E-4</v>
      </c>
      <c r="AS29" s="84">
        <f>INDEX(LINEST(1/(AV29:AX29),1/(SQRT(AV28:AX28)),TRUE,TRUE),3,1)</f>
        <v>0.67863372869436589</v>
      </c>
      <c r="AT29" s="84">
        <f>INDEX(LINEST(1/(AV29:AX29),1/SQRT(AV28:AX28)),1)</f>
        <v>-1.106374132659856</v>
      </c>
      <c r="AU29" s="3"/>
      <c r="AV29" s="53">
        <v>0.98299999999999998</v>
      </c>
      <c r="AW29" s="53">
        <v>0.97499999999999998</v>
      </c>
      <c r="AX29" s="53">
        <v>0.94399999999999995</v>
      </c>
      <c r="AY29" s="53"/>
      <c r="AZ29" s="4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1"/>
      <c r="CS29" s="1"/>
      <c r="CT29" s="1"/>
      <c r="CU29" s="1"/>
    </row>
    <row r="30" spans="1:99" ht="12" customHeight="1" x14ac:dyDescent="0.2">
      <c r="A30" s="68">
        <v>43978</v>
      </c>
      <c r="B30" s="94"/>
      <c r="C30" s="94"/>
      <c r="D30" s="92"/>
      <c r="E30" s="105"/>
      <c r="F30" s="92"/>
      <c r="G30" s="92"/>
      <c r="H30" s="92"/>
      <c r="I30" s="92"/>
      <c r="J30" s="92"/>
      <c r="K30" s="69"/>
      <c r="L30" s="69"/>
      <c r="M30" s="92"/>
      <c r="N30" s="92"/>
      <c r="O30" s="92"/>
      <c r="P30" s="92"/>
      <c r="Q30" s="92"/>
      <c r="R30" s="69"/>
      <c r="S30" s="69"/>
      <c r="T30" s="92"/>
      <c r="U30" s="69"/>
      <c r="V30" s="92"/>
      <c r="W30" s="69"/>
      <c r="X30" s="92"/>
      <c r="Y30" s="87"/>
      <c r="Z30" s="92"/>
      <c r="AA30" s="92"/>
      <c r="AB30" s="69"/>
      <c r="AC30" s="72"/>
      <c r="AD30" s="69"/>
      <c r="AE30" s="87"/>
      <c r="AF30" s="88"/>
      <c r="AG30" s="72"/>
      <c r="AH30" s="4"/>
      <c r="AI30" s="72"/>
      <c r="AJ30" s="110"/>
      <c r="AK30" s="72"/>
      <c r="AL30" s="72"/>
      <c r="AM30" s="72"/>
      <c r="AN30" s="72"/>
      <c r="AO30" s="89"/>
      <c r="AP30" s="89"/>
      <c r="AQ30" s="90"/>
      <c r="AR30" s="117"/>
      <c r="AS30" s="91"/>
      <c r="AT30" s="91"/>
      <c r="AU30" s="3"/>
      <c r="AV30" s="98">
        <v>30</v>
      </c>
      <c r="AW30" s="98">
        <f>60*60*30</f>
        <v>108000</v>
      </c>
      <c r="AX30" s="98">
        <f>60*60*24*7</f>
        <v>604800</v>
      </c>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5"/>
      <c r="CS30" s="15"/>
      <c r="CT30" s="15"/>
      <c r="CU30" s="15"/>
    </row>
    <row r="31" spans="1:99" ht="12" customHeight="1" x14ac:dyDescent="0.2">
      <c r="A31" s="68">
        <v>43978</v>
      </c>
      <c r="B31" s="94" t="s">
        <v>948</v>
      </c>
      <c r="C31" s="94" t="s">
        <v>54</v>
      </c>
      <c r="D31" s="92">
        <v>2014</v>
      </c>
      <c r="E31" s="105">
        <v>1</v>
      </c>
      <c r="F31" s="92">
        <v>25</v>
      </c>
      <c r="G31" s="92">
        <v>25</v>
      </c>
      <c r="H31" s="92" t="s">
        <v>41</v>
      </c>
      <c r="I31" s="92" t="s">
        <v>958</v>
      </c>
      <c r="J31" s="92" t="s">
        <v>677</v>
      </c>
      <c r="K31" s="69">
        <f>IF(J31="syllables",1,IF(J31="trigrams",2,IF(J31="strings",3,IF(J31="visual array",4,IF(J31="characters",5,IF(J31="letters",6,IF(J31="free forms",7,IF(J31="odors",8,IF(J31="words",9,IF(J31="pictures",10,IF(J31="object pictures",11,IF(J31="faces",12,IF(J31="names",13,IF(J31="idioms",14,IF(J31="grades",15,IF(J31="syllable-digit pairs",16,IF(J31="trigram-word pairs",17,IF(J31="word-digit pairs",18,IF(J31="English-Swahili pairs",19,IF(J31="spatial position",20,IF(J31="word pairs",21,IF(J31="word triads",22,IF(J31="generated words",23,IF(J31="word definition pairs",24,IF(J31="math problems",25,IF(J31="famous faces",26,IF(J31="famous names",27,IF(J31="famous voices",28,IF(J31="television programs",29,IF(J31="race horses",30,IF(J31="new vocabulary",31,IF(J31="sentences",32,IF(J31="concepts",33,IF(J31="ad slides",34,IF(J31="scenes",35,IF(J31="famous scenes",36,IF(J31="poems",37,IF(J31="walk",38,IF(J31="faces and events",39,IF(J31="events and names",40,IF(J31="flashbulb",41,IF(J31="stories",42,IF(J31="course material",43,IF(J31="autobiographical",44,IF(J31="novels",45,IF(J31="public events",46,"99"))))))))))))))))))))))))))))))))))))))))))))))</f>
        <v>42</v>
      </c>
      <c r="L31" s="69">
        <f>IF(J31="syllables",1,IF(J31="trigrams",1,IF(J31="strings",1,IF(J31="visual array",1,IF(J31="characters",1,IF(J31="letters",1,IF(J31="free forms",1,IF(J31="odors",2,IF(J31="words",2,IF(J31="pictures",2,IF(J31="object pictures",2,IF(J31="faces",2,IF(J31="names",2,IF(J31="idioms","2",IF(J31="grades",2,IF(J31="syllable-digit pairs",3,IF(J31="trigram-word pairs",3,IF(J31="word-digit pairs",3,IF(J31="English-Swahili pairs",3,IF(J31="spatial position",3,IF(J31="word pairs",4,IF(J31="word triads",4,IF(J31="generated words",4,IF(J31="word definition pairs",4,IF(J31="math problems",4,IF(J31="famous faces",4,IF(J31="famous names",4,IF(J31="famous voices",4,IF(J31="television programs",4,IF(J31="race horses",4,IF(J31="new vocabulary",4,IF(J31="sentences",5,IF(J31="concepts",5,IF(J31="ad slides",5,IF(J31="scenes",5,IF(J31="famous scenes",5,IF(J31="poems",6,IF(J31="walk",6,IF(J31="faces and events",6,IF(J31="events and names",6,IF(J31="flashbulb",7,IF(J31="stories",7,IF(J31="course material",7,IF(J31="autobiographical",7,IF(J31="novels",7,IF(J31="public events",7,"99"))))))))))))))))))))))))))))))))))))))))))))))</f>
        <v>7</v>
      </c>
      <c r="M31" s="92">
        <v>1</v>
      </c>
      <c r="N31" s="92">
        <v>4</v>
      </c>
      <c r="O31" s="92">
        <v>0</v>
      </c>
      <c r="P31" s="92"/>
      <c r="Q31" s="92" t="s">
        <v>174</v>
      </c>
      <c r="R31" s="69">
        <f>IF(Q31="Free Recall",1,IF(Q31="Cued Recall",2,IF(Q31="Recognition",3,IF(Q31="Multiple Choice",4,IF(Q31="Savings",5,IF(Q31="Stem Completion",6,IF(Q31="Fragment Completion",7,IF(Q31="anagram solution",8,IF(Q31="Matching",9,IF(Q31="Problem Solving",10,"99"))))))))))</f>
        <v>1</v>
      </c>
      <c r="S31" s="69" t="s">
        <v>49</v>
      </c>
      <c r="T31" s="92" t="s">
        <v>581</v>
      </c>
      <c r="U31" s="69">
        <f>IF(T31="within",1,0)</f>
        <v>1</v>
      </c>
      <c r="V31" s="92">
        <v>60</v>
      </c>
      <c r="W31" s="69">
        <f>F31*V31</f>
        <v>1500</v>
      </c>
      <c r="X31" s="92">
        <v>3</v>
      </c>
      <c r="Y31" s="87">
        <f>AV30</f>
        <v>30</v>
      </c>
      <c r="Z31" s="92" t="s">
        <v>150</v>
      </c>
      <c r="AA31" s="92">
        <f>60*60*24*7</f>
        <v>604800</v>
      </c>
      <c r="AB31" s="69" t="str">
        <f>IF(AA31&lt;60,"1",IF(AA31&lt;=43200,"2",IF(AA31&lt;=777600,"3","4")))</f>
        <v>3</v>
      </c>
      <c r="AC31" s="72">
        <f>AVERAGE(AV30:DA30)</f>
        <v>237610</v>
      </c>
      <c r="AD31" s="69" t="str">
        <f>IF(AC31&lt;60,"1",IF(AC31&lt;=43200,"2",IF(AC31&lt;=777600,"3","4")))</f>
        <v>3</v>
      </c>
      <c r="AE31" s="87">
        <f>AA31-Y31</f>
        <v>604770</v>
      </c>
      <c r="AF31" s="88">
        <f>AV31</f>
        <v>0.618385189738895</v>
      </c>
      <c r="AG31" s="72">
        <f>((AW31-AV31)+(AX31-AW31))/2</f>
        <v>-9.2930087925931493E-2</v>
      </c>
      <c r="AH31" s="4"/>
      <c r="AI31" s="72">
        <f>RSQ(AV31:AX31,AV30:AX30)</f>
        <v>0.91580289300263829</v>
      </c>
      <c r="AJ31" s="110">
        <f>SLOPE(AV31:AX31,AV30:AX30)</f>
        <v>-2.7623293347570189E-7</v>
      </c>
      <c r="AK31" s="72">
        <f>INTERCEPT(AV31:AX31,AV30:AX30)</f>
        <v>0.59436955000847391</v>
      </c>
      <c r="AL31" s="72">
        <f>INDEX(LINEST(LN(AV31:AX31),LN(AV30:AX30),TRUE,TRUE),3,1)</f>
        <v>0.79409446677836815</v>
      </c>
      <c r="AM31" s="72">
        <f>INDEX(LINEST(LN(AV31:AX31),LN(AV30:AX30)),1)</f>
        <v>-3.0262402091758095E-2</v>
      </c>
      <c r="AN31" s="72">
        <f>EXP(INDEX(LINEST(LN(AV31:AX31),LN(AV30:AX30)),1,2))</f>
        <v>0.69601227912916375</v>
      </c>
      <c r="AO31" s="89">
        <f>INDEX(LINEST((AV31:AX31),LN(AV30:AX30),TRUE,TRUE),3,1)</f>
        <v>0.83280238895847769</v>
      </c>
      <c r="AP31" s="89">
        <f>INDEX(LINEST((AV31:AX31),LN(AV30:AX30)),1)</f>
        <v>-1.6044365754450111E-2</v>
      </c>
      <c r="AQ31" s="90">
        <f>INDEX(LINEST(LN(AV31:AX31),SQRT(AV30:AX30),TRUE,TRUE),3,1)</f>
        <v>0.99971359802038384</v>
      </c>
      <c r="AR31" s="117">
        <f>INDEX(LINEST(LN(AV31:AX31),SQRT((AV30:AX30))),1)</f>
        <v>-4.6365762914019705E-4</v>
      </c>
      <c r="AS31" s="91">
        <f>INDEX(LINEST(1/(AV31:AX31),1/(SQRT(AV30:AX30)),TRUE,TRUE),3,1)</f>
        <v>0.6104465180744737</v>
      </c>
      <c r="AT31" s="91">
        <f>INDEX(LINEST(1/(AV31:AX31),1/SQRT(AV30:AX30)),1)</f>
        <v>-2.6393606219085837</v>
      </c>
      <c r="AU31" s="3"/>
      <c r="AV31" s="97">
        <v>0.618385189738895</v>
      </c>
      <c r="AW31" s="97">
        <v>0.53529132443001004</v>
      </c>
      <c r="AX31" s="97">
        <v>0.43252501388703202</v>
      </c>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5"/>
      <c r="CS31" s="15"/>
      <c r="CT31" s="15"/>
      <c r="CU31" s="15"/>
    </row>
    <row r="32" spans="1:99" ht="12" customHeight="1" x14ac:dyDescent="0.2">
      <c r="A32" s="68">
        <v>43978</v>
      </c>
      <c r="B32" s="94"/>
      <c r="C32" s="94"/>
      <c r="D32" s="92"/>
      <c r="E32" s="105"/>
      <c r="F32" s="92"/>
      <c r="G32" s="92"/>
      <c r="H32" s="92"/>
      <c r="I32" s="92"/>
      <c r="J32" s="92"/>
      <c r="K32" s="69"/>
      <c r="L32" s="69"/>
      <c r="M32" s="92"/>
      <c r="N32" s="92"/>
      <c r="O32" s="92"/>
      <c r="P32" s="92"/>
      <c r="Q32" s="188" t="s">
        <v>960</v>
      </c>
      <c r="R32" s="69"/>
      <c r="S32" s="69"/>
      <c r="T32" s="92"/>
      <c r="U32" s="69"/>
      <c r="V32" s="92"/>
      <c r="W32" s="69"/>
      <c r="X32" s="92"/>
      <c r="Y32" s="87"/>
      <c r="Z32" s="92"/>
      <c r="AA32" s="92"/>
      <c r="AB32" s="69"/>
      <c r="AC32" s="72"/>
      <c r="AD32" s="69"/>
      <c r="AE32" s="87"/>
      <c r="AF32" s="88"/>
      <c r="AG32" s="72"/>
      <c r="AH32" s="4"/>
      <c r="AI32" s="72"/>
      <c r="AJ32" s="110"/>
      <c r="AK32" s="72"/>
      <c r="AL32" s="72"/>
      <c r="AM32" s="72"/>
      <c r="AN32" s="72"/>
      <c r="AO32" s="89"/>
      <c r="AP32" s="89"/>
      <c r="AQ32" s="90"/>
      <c r="AR32" s="117"/>
      <c r="AS32" s="91"/>
      <c r="AT32" s="91"/>
      <c r="AU32" s="3"/>
      <c r="AV32" s="98">
        <v>30</v>
      </c>
      <c r="AW32" s="98">
        <f>60*60*30</f>
        <v>108000</v>
      </c>
      <c r="AX32" s="98">
        <f>60*60*24*7</f>
        <v>604800</v>
      </c>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5"/>
      <c r="CS32" s="15"/>
      <c r="CT32" s="15"/>
      <c r="CU32" s="15"/>
    </row>
    <row r="33" spans="1:99" ht="12" customHeight="1" x14ac:dyDescent="0.2">
      <c r="A33" s="68">
        <v>43978</v>
      </c>
      <c r="B33" s="94" t="s">
        <v>948</v>
      </c>
      <c r="C33" s="94" t="s">
        <v>54</v>
      </c>
      <c r="D33" s="92">
        <v>2014</v>
      </c>
      <c r="E33" s="105">
        <v>1</v>
      </c>
      <c r="F33" s="92">
        <v>25</v>
      </c>
      <c r="G33" s="92">
        <v>25</v>
      </c>
      <c r="H33" s="92" t="s">
        <v>41</v>
      </c>
      <c r="I33" s="92" t="s">
        <v>959</v>
      </c>
      <c r="J33" s="92" t="s">
        <v>677</v>
      </c>
      <c r="K33" s="69">
        <f>IF(J33="syllables",1,IF(J33="trigrams",2,IF(J33="strings",3,IF(J33="visual array",4,IF(J33="characters",5,IF(J33="letters",6,IF(J33="free forms",7,IF(J33="odors",8,IF(J33="words",9,IF(J33="pictures",10,IF(J33="object pictures",11,IF(J33="faces",12,IF(J33="names",13,IF(J33="idioms",14,IF(J33="grades",15,IF(J33="syllable-digit pairs",16,IF(J33="trigram-word pairs",17,IF(J33="word-digit pairs",18,IF(J33="English-Swahili pairs",19,IF(J33="spatial position",20,IF(J33="word pairs",21,IF(J33="word triads",22,IF(J33="generated words",23,IF(J33="word definition pairs",24,IF(J33="math problems",25,IF(J33="famous faces",26,IF(J33="famous names",27,IF(J33="famous voices",28,IF(J33="television programs",29,IF(J33="race horses",30,IF(J33="new vocabulary",31,IF(J33="sentences",32,IF(J33="concepts",33,IF(J33="ad slides",34,IF(J33="scenes",35,IF(J33="famous scenes",36,IF(J33="poems",37,IF(J33="walk",38,IF(J33="faces and events",39,IF(J33="events and names",40,IF(J33="flashbulb",41,IF(J33="stories",42,IF(J33="course material",43,IF(J33="autobiographical",44,IF(J33="novels",45,IF(J33="public events",46,"99"))))))))))))))))))))))))))))))))))))))))))))))</f>
        <v>42</v>
      </c>
      <c r="L33" s="69">
        <f>IF(J33="syllables",1,IF(J33="trigrams",1,IF(J33="strings",1,IF(J33="visual array",1,IF(J33="characters",1,IF(J33="letters",1,IF(J33="free forms",1,IF(J33="odors",2,IF(J33="words",2,IF(J33="pictures",2,IF(J33="object pictures",2,IF(J33="faces",2,IF(J33="names",2,IF(J33="idioms","2",IF(J33="grades",2,IF(J33="syllable-digit pairs",3,IF(J33="trigram-word pairs",3,IF(J33="word-digit pairs",3,IF(J33="English-Swahili pairs",3,IF(J33="spatial position",3,IF(J33="word pairs",4,IF(J33="word triads",4,IF(J33="generated words",4,IF(J33="word definition pairs",4,IF(J33="math problems",4,IF(J33="famous faces",4,IF(J33="famous names",4,IF(J33="famous voices",4,IF(J33="television programs",4,IF(J33="race horses",4,IF(J33="new vocabulary",4,IF(J33="sentences",5,IF(J33="concepts",5,IF(J33="ad slides",5,IF(J33="scenes",5,IF(J33="famous scenes",5,IF(J33="poems",6,IF(J33="walk",6,IF(J33="faces and events",6,IF(J33="events and names",6,IF(J33="flashbulb",7,IF(J33="stories",7,IF(J33="course material",7,IF(J33="autobiographical",7,IF(J33="novels",7,IF(J33="public events",7,"99"))))))))))))))))))))))))))))))))))))))))))))))</f>
        <v>7</v>
      </c>
      <c r="M33" s="92">
        <v>1</v>
      </c>
      <c r="N33" s="92">
        <v>4</v>
      </c>
      <c r="O33" s="92">
        <v>0</v>
      </c>
      <c r="P33" s="92"/>
      <c r="Q33" s="92" t="s">
        <v>174</v>
      </c>
      <c r="R33" s="69">
        <f>IF(Q33="Free Recall",1,IF(Q33="Cued Recall",2,IF(Q33="Recognition",3,IF(Q33="Multiple Choice",4,IF(Q33="Savings",5,IF(Q33="Stem Completion",6,IF(Q33="Fragment Completion",7,IF(Q33="anagram solution",8,IF(Q33="Matching",9,IF(Q33="Problem Solving",10,"99"))))))))))</f>
        <v>1</v>
      </c>
      <c r="S33" s="69" t="s">
        <v>49</v>
      </c>
      <c r="T33" s="92" t="s">
        <v>581</v>
      </c>
      <c r="U33" s="69">
        <f>IF(T33="within",1,0)</f>
        <v>1</v>
      </c>
      <c r="V33" s="92">
        <v>60</v>
      </c>
      <c r="W33" s="69">
        <f>F33*V33</f>
        <v>1500</v>
      </c>
      <c r="X33" s="92">
        <v>3</v>
      </c>
      <c r="Y33" s="87">
        <f>AV32</f>
        <v>30</v>
      </c>
      <c r="Z33" s="92" t="s">
        <v>150</v>
      </c>
      <c r="AA33" s="92">
        <f>60*60*24*7</f>
        <v>604800</v>
      </c>
      <c r="AB33" s="69" t="str">
        <f>IF(AA33&lt;60,"1",IF(AA33&lt;=43200,"2",IF(AA33&lt;=777600,"3","4")))</f>
        <v>3</v>
      </c>
      <c r="AC33" s="72">
        <f>AVERAGE(AV32:DA32)</f>
        <v>237610</v>
      </c>
      <c r="AD33" s="69" t="str">
        <f>IF(AC33&lt;60,"1",IF(AC33&lt;=43200,"2",IF(AC33&lt;=777600,"3","4")))</f>
        <v>3</v>
      </c>
      <c r="AE33" s="87">
        <f>AA33-Y33</f>
        <v>604770</v>
      </c>
      <c r="AF33" s="88">
        <f>AV33</f>
        <v>0.66315160503765003</v>
      </c>
      <c r="AG33" s="72">
        <f>((AW33-AV33)+(AX33-AW33))/2</f>
        <v>-0.11565195996675376</v>
      </c>
      <c r="AH33" s="4"/>
      <c r="AI33" s="72">
        <f>RSQ(AV33:AX33,AV32:AX32)</f>
        <v>0.91758320833890517</v>
      </c>
      <c r="AJ33" s="110">
        <f>SLOPE(AV33:AX33,AV32:AX32)</f>
        <v>-3.4417678999797528E-7</v>
      </c>
      <c r="AK33" s="72">
        <f>INTERCEPT(AV33:AX33,AV32:AX32)</f>
        <v>0.6335758342820248</v>
      </c>
      <c r="AL33" s="72">
        <f>INDEX(LINEST(LN(AV33:AX33),LN(AV32:AX32),TRUE,TRUE),3,1)</f>
        <v>0.78375095553066776</v>
      </c>
      <c r="AM33" s="72">
        <f>INDEX(LINEST(LN(AV33:AX33),LN(AV32:AX32)),1)</f>
        <v>-3.612848953466926E-2</v>
      </c>
      <c r="AN33" s="72">
        <f>EXP(INDEX(LINEST(LN(AV33:AX33),LN(AV32:AX32)),1,2))</f>
        <v>0.76414646569837374</v>
      </c>
      <c r="AO33" s="89">
        <f>INDEX(LINEST((AV33:AX33),LN(AV32:AX32),TRUE,TRUE),3,1)</f>
        <v>0.83039148931102669</v>
      </c>
      <c r="AP33" s="89">
        <f>INDEX(LINEST((AV33:AX33),LN(AV32:AX32)),1)</f>
        <v>-1.9942399794510499E-2</v>
      </c>
      <c r="AQ33" s="90">
        <f>INDEX(LINEST(LN(AV33:AX33),SQRT(AV32:AX32),TRUE,TRUE),3,1)</f>
        <v>0.99912417435190948</v>
      </c>
      <c r="AR33" s="117">
        <f>INDEX(LINEST(LN(AV33:AX33),SQRT((AV32:AX32))),1)</f>
        <v>-5.5700974694259232E-4</v>
      </c>
      <c r="AS33" s="91">
        <f>INDEX(LINEST(1/(AV33:AX33),1/(SQRT(AV32:AX32)),TRUE,TRUE),3,1)</f>
        <v>0.58970001056415022</v>
      </c>
      <c r="AT33" s="91">
        <f>INDEX(LINEST(1/(AV33:AX33),1/SQRT(AV32:AX32)),1)</f>
        <v>-3.0261305776105423</v>
      </c>
      <c r="AU33" s="3"/>
      <c r="AV33" s="97">
        <v>0.66315160503765003</v>
      </c>
      <c r="AW33" s="97">
        <v>0.56038867149002503</v>
      </c>
      <c r="AX33" s="97">
        <v>0.43184768510414251</v>
      </c>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5"/>
      <c r="CS33" s="15"/>
      <c r="CT33" s="15"/>
      <c r="CU33" s="15"/>
    </row>
    <row r="34" spans="1:99" ht="12" customHeight="1" x14ac:dyDescent="0.2">
      <c r="A34" s="68">
        <v>43978</v>
      </c>
      <c r="B34" s="94"/>
      <c r="C34" s="94"/>
      <c r="D34" s="92"/>
      <c r="E34" s="105"/>
      <c r="F34" s="92"/>
      <c r="G34" s="92"/>
      <c r="H34" s="92"/>
      <c r="I34" s="92"/>
      <c r="J34" s="92"/>
      <c r="K34" s="69"/>
      <c r="L34" s="69"/>
      <c r="M34" s="92"/>
      <c r="N34" s="92"/>
      <c r="O34" s="92"/>
      <c r="P34" s="92"/>
      <c r="Q34" s="92"/>
      <c r="R34" s="69"/>
      <c r="S34" s="69"/>
      <c r="T34" s="92"/>
      <c r="U34" s="69"/>
      <c r="V34" s="92"/>
      <c r="W34" s="69"/>
      <c r="X34" s="92"/>
      <c r="Y34" s="87"/>
      <c r="Z34" s="92"/>
      <c r="AA34" s="92"/>
      <c r="AB34" s="69"/>
      <c r="AC34" s="72"/>
      <c r="AD34" s="69"/>
      <c r="AE34" s="87"/>
      <c r="AF34" s="88"/>
      <c r="AG34" s="72"/>
      <c r="AH34" s="4"/>
      <c r="AI34" s="72"/>
      <c r="AJ34" s="110"/>
      <c r="AK34" s="72"/>
      <c r="AL34" s="72"/>
      <c r="AM34" s="72"/>
      <c r="AN34" s="72"/>
      <c r="AO34" s="89"/>
      <c r="AP34" s="89"/>
      <c r="AQ34" s="90"/>
      <c r="AR34" s="117"/>
      <c r="AS34" s="91"/>
      <c r="AT34" s="91"/>
      <c r="AU34" s="3"/>
      <c r="AV34" s="98">
        <v>30</v>
      </c>
      <c r="AW34" s="98">
        <f>60*60*30</f>
        <v>108000</v>
      </c>
      <c r="AX34" s="98">
        <f>60*60*24*7</f>
        <v>604800</v>
      </c>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5"/>
      <c r="CS34" s="15"/>
      <c r="CT34" s="15"/>
      <c r="CU34" s="15"/>
    </row>
    <row r="35" spans="1:99" ht="12" customHeight="1" x14ac:dyDescent="0.2">
      <c r="A35" s="68">
        <v>43978</v>
      </c>
      <c r="B35" s="94" t="s">
        <v>948</v>
      </c>
      <c r="C35" s="94" t="s">
        <v>54</v>
      </c>
      <c r="D35" s="92">
        <v>2014</v>
      </c>
      <c r="E35" s="105">
        <v>1</v>
      </c>
      <c r="F35" s="92">
        <v>25</v>
      </c>
      <c r="G35" s="92">
        <v>25</v>
      </c>
      <c r="H35" s="92" t="s">
        <v>41</v>
      </c>
      <c r="I35" s="92" t="s">
        <v>961</v>
      </c>
      <c r="J35" s="92" t="s">
        <v>677</v>
      </c>
      <c r="K35" s="69">
        <f>IF(J35="syllables",1,IF(J35="trigrams",2,IF(J35="strings",3,IF(J35="visual array",4,IF(J35="characters",5,IF(J35="letters",6,IF(J35="free forms",7,IF(J35="odors",8,IF(J35="words",9,IF(J35="pictures",10,IF(J35="object pictures",11,IF(J35="faces",12,IF(J35="names",13,IF(J35="idioms",14,IF(J35="grades",15,IF(J35="syllable-digit pairs",16,IF(J35="trigram-word pairs",17,IF(J35="word-digit pairs",18,IF(J35="English-Swahili pairs",19,IF(J35="spatial position",20,IF(J35="word pairs",21,IF(J35="word triads",22,IF(J35="generated words",23,IF(J35="word definition pairs",24,IF(J35="math problems",25,IF(J35="famous faces",26,IF(J35="famous names",27,IF(J35="famous voices",28,IF(J35="television programs",29,IF(J35="race horses",30,IF(J35="new vocabulary",31,IF(J35="sentences",32,IF(J35="concepts",33,IF(J35="ad slides",34,IF(J35="scenes",35,IF(J35="famous scenes",36,IF(J35="poems",37,IF(J35="walk",38,IF(J35="faces and events",39,IF(J35="events and names",40,IF(J35="flashbulb",41,IF(J35="stories",42,IF(J35="course material",43,IF(J35="autobiographical",44,IF(J35="novels",45,IF(J35="public events",46,"99"))))))))))))))))))))))))))))))))))))))))))))))</f>
        <v>42</v>
      </c>
      <c r="L35" s="69">
        <f>IF(J35="syllables",1,IF(J35="trigrams",1,IF(J35="strings",1,IF(J35="visual array",1,IF(J35="characters",1,IF(J35="letters",1,IF(J35="free forms",1,IF(J35="odors",2,IF(J35="words",2,IF(J35="pictures",2,IF(J35="object pictures",2,IF(J35="faces",2,IF(J35="names",2,IF(J35="idioms","2",IF(J35="grades",2,IF(J35="syllable-digit pairs",3,IF(J35="trigram-word pairs",3,IF(J35="word-digit pairs",3,IF(J35="English-Swahili pairs",3,IF(J35="spatial position",3,IF(J35="word pairs",4,IF(J35="word triads",4,IF(J35="generated words",4,IF(J35="word definition pairs",4,IF(J35="math problems",4,IF(J35="famous faces",4,IF(J35="famous names",4,IF(J35="famous voices",4,IF(J35="television programs",4,IF(J35="race horses",4,IF(J35="new vocabulary",4,IF(J35="sentences",5,IF(J35="concepts",5,IF(J35="ad slides",5,IF(J35="scenes",5,IF(J35="famous scenes",5,IF(J35="poems",6,IF(J35="walk",6,IF(J35="faces and events",6,IF(J35="events and names",6,IF(J35="flashbulb",7,IF(J35="stories",7,IF(J35="course material",7,IF(J35="autobiographical",7,IF(J35="novels",7,IF(J35="public events",7,"99"))))))))))))))))))))))))))))))))))))))))))))))</f>
        <v>7</v>
      </c>
      <c r="M35" s="92">
        <v>1</v>
      </c>
      <c r="N35" s="92">
        <v>4</v>
      </c>
      <c r="O35" s="92">
        <v>0</v>
      </c>
      <c r="P35" s="92"/>
      <c r="Q35" s="92" t="s">
        <v>182</v>
      </c>
      <c r="R35" s="69">
        <f>IF(Q35="Free Recall",1,IF(Q35="Cued Recall",2,IF(Q35="Recognition",3,IF(Q35="Multiple Choice",4,IF(Q35="Savings",5,IF(Q35="Stem Completion",6,IF(Q35="Fragment Completion",7,IF(Q35="anagram solution",8,IF(Q35="Matching",9,IF(Q35="Problem Solving",10,"99"))))))))))</f>
        <v>4</v>
      </c>
      <c r="S35" s="69" t="s">
        <v>15</v>
      </c>
      <c r="T35" s="92" t="s">
        <v>581</v>
      </c>
      <c r="U35" s="69">
        <f>IF(T35="within",1,0)</f>
        <v>1</v>
      </c>
      <c r="V35" s="92">
        <v>36</v>
      </c>
      <c r="W35" s="69">
        <f>F35*V35</f>
        <v>900</v>
      </c>
      <c r="X35" s="92">
        <v>3</v>
      </c>
      <c r="Y35" s="87">
        <f>AV34</f>
        <v>30</v>
      </c>
      <c r="Z35" s="92" t="s">
        <v>150</v>
      </c>
      <c r="AA35" s="92">
        <f>60*60*24*7</f>
        <v>604800</v>
      </c>
      <c r="AB35" s="69" t="str">
        <f>IF(AA35&lt;60,"1",IF(AA35&lt;=43200,"2",IF(AA35&lt;=777600,"3","4")))</f>
        <v>3</v>
      </c>
      <c r="AC35" s="72">
        <f>AVERAGE(AV34:DA34)</f>
        <v>237610</v>
      </c>
      <c r="AD35" s="69" t="str">
        <f>IF(AC35&lt;60,"1",IF(AC35&lt;=43200,"2",IF(AC35&lt;=777600,"3","4")))</f>
        <v>3</v>
      </c>
      <c r="AE35" s="87">
        <f>AA35-Y35</f>
        <v>604770</v>
      </c>
      <c r="AF35" s="88">
        <f>AV35</f>
        <v>0.82382825303179252</v>
      </c>
      <c r="AG35" s="72">
        <f>((AW35-AV35)+(AX35-AW35))/2</f>
        <v>-2.7450016388069542E-2</v>
      </c>
      <c r="AH35" s="4"/>
      <c r="AI35" s="72">
        <f>RSQ(AV35:AX35,AV34:AX34)</f>
        <v>0.99974972985762456</v>
      </c>
      <c r="AJ35" s="110">
        <f>SLOPE(AV35:AX35,AV34:AX34)</f>
        <v>-9.0248328694824873E-8</v>
      </c>
      <c r="AK35" s="72">
        <f>INTERCEPT(AV35:AX35,AV34:AX34)</f>
        <v>0.82342139909908385</v>
      </c>
      <c r="AL35" s="72">
        <f>INDEX(LINEST(LN(AV35:AX35),LN(AV34:AX34),TRUE,TRUE),3,1)</f>
        <v>0.57978096158421022</v>
      </c>
      <c r="AM35" s="72">
        <f>INDEX(LINEST(LN(AV35:AX35),LN(AV34:AX34)),1)</f>
        <v>-5.2686385463934469E-3</v>
      </c>
      <c r="AN35" s="72">
        <f>EXP(INDEX(LINEST(LN(AV35:AX35),LN(AV34:AX34)),1,2))</f>
        <v>0.84247429062737211</v>
      </c>
      <c r="AO35" s="89">
        <f>INDEX(LINEST((AV35:AX35),LN(AV34:AX34),TRUE,TRUE),3,1)</f>
        <v>0.58515368853725858</v>
      </c>
      <c r="AP35" s="89">
        <f>INDEX(LINEST((AV35:AX35),LN(AV34:AX34)),1)</f>
        <v>-4.2053835973907489E-3</v>
      </c>
      <c r="AQ35" s="90">
        <f>INDEX(LINEST(LN(AV35:AX35),SQRT(AV34:AX34),TRUE,TRUE),3,1)</f>
        <v>0.93821009155286217</v>
      </c>
      <c r="AR35" s="117">
        <f>INDEX(LINEST(LN(AV35:AX35),SQRT((AV34:AX34))),1)</f>
        <v>-9.1518475659913259E-5</v>
      </c>
      <c r="AS35" s="91">
        <f>INDEX(LINEST(1/(AV35:AX35),1/(SQRT(AV34:AX34)),TRUE,TRUE),3,1)</f>
        <v>0.42016509436058652</v>
      </c>
      <c r="AT35" s="91">
        <f>INDEX(LINEST(1/(AV35:AX35),1/SQRT(AV34:AX34)),1)</f>
        <v>-0.2871061634336976</v>
      </c>
      <c r="AU35" s="3"/>
      <c r="AV35" s="97">
        <v>0.82382825303179252</v>
      </c>
      <c r="AW35" s="97">
        <v>0.81317600786627331</v>
      </c>
      <c r="AX35" s="97">
        <v>0.76892822025565344</v>
      </c>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5"/>
      <c r="CS35" s="15"/>
      <c r="CT35" s="15"/>
      <c r="CU35" s="15"/>
    </row>
    <row r="36" spans="1:99" ht="12" customHeight="1" x14ac:dyDescent="0.2">
      <c r="A36" s="68">
        <v>43978</v>
      </c>
      <c r="B36" s="94"/>
      <c r="C36" s="94"/>
      <c r="D36" s="92"/>
      <c r="E36" s="105"/>
      <c r="F36" s="92"/>
      <c r="G36" s="92"/>
      <c r="H36" s="92"/>
      <c r="I36" s="92"/>
      <c r="J36" s="92"/>
      <c r="K36" s="69"/>
      <c r="L36" s="69"/>
      <c r="M36" s="92"/>
      <c r="N36" s="92"/>
      <c r="O36" s="92"/>
      <c r="P36" s="92"/>
      <c r="Q36" s="92"/>
      <c r="R36" s="69"/>
      <c r="S36" s="69"/>
      <c r="T36" s="92"/>
      <c r="U36" s="69"/>
      <c r="V36" s="92"/>
      <c r="W36" s="69"/>
      <c r="X36" s="92"/>
      <c r="Y36" s="87"/>
      <c r="Z36" s="92"/>
      <c r="AA36" s="92"/>
      <c r="AB36" s="69"/>
      <c r="AC36" s="72"/>
      <c r="AD36" s="69"/>
      <c r="AE36" s="87"/>
      <c r="AF36" s="88"/>
      <c r="AG36" s="72"/>
      <c r="AH36" s="4"/>
      <c r="AI36" s="72"/>
      <c r="AJ36" s="110"/>
      <c r="AK36" s="72"/>
      <c r="AL36" s="72"/>
      <c r="AM36" s="72"/>
      <c r="AN36" s="72"/>
      <c r="AO36" s="89"/>
      <c r="AP36" s="89"/>
      <c r="AQ36" s="90"/>
      <c r="AR36" s="117"/>
      <c r="AS36" s="91"/>
      <c r="AT36" s="91"/>
      <c r="AU36" s="3"/>
      <c r="AV36" s="98">
        <v>30</v>
      </c>
      <c r="AW36" s="98">
        <f>60*60*30</f>
        <v>108000</v>
      </c>
      <c r="AX36" s="98">
        <f>60*60*24*7</f>
        <v>604800</v>
      </c>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5"/>
      <c r="CS36" s="15"/>
      <c r="CT36" s="15"/>
      <c r="CU36" s="15"/>
    </row>
    <row r="37" spans="1:99" ht="12" customHeight="1" x14ac:dyDescent="0.2">
      <c r="A37" s="68">
        <v>43978</v>
      </c>
      <c r="B37" s="94" t="s">
        <v>948</v>
      </c>
      <c r="C37" s="94" t="s">
        <v>54</v>
      </c>
      <c r="D37" s="92">
        <v>2014</v>
      </c>
      <c r="E37" s="105">
        <v>1</v>
      </c>
      <c r="F37" s="92">
        <v>25</v>
      </c>
      <c r="G37" s="92">
        <v>25</v>
      </c>
      <c r="H37" s="92" t="s">
        <v>41</v>
      </c>
      <c r="I37" s="92" t="s">
        <v>962</v>
      </c>
      <c r="J37" s="92" t="s">
        <v>677</v>
      </c>
      <c r="K37" s="69">
        <f>IF(J37="syllables",1,IF(J37="trigrams",2,IF(J37="strings",3,IF(J37="visual array",4,IF(J37="characters",5,IF(J37="letters",6,IF(J37="free forms",7,IF(J37="odors",8,IF(J37="words",9,IF(J37="pictures",10,IF(J37="object pictures",11,IF(J37="faces",12,IF(J37="names",13,IF(J37="idioms",14,IF(J37="grades",15,IF(J37="syllable-digit pairs",16,IF(J37="trigram-word pairs",17,IF(J37="word-digit pairs",18,IF(J37="English-Swahili pairs",19,IF(J37="spatial position",20,IF(J37="word pairs",21,IF(J37="word triads",22,IF(J37="generated words",23,IF(J37="word definition pairs",24,IF(J37="math problems",25,IF(J37="famous faces",26,IF(J37="famous names",27,IF(J37="famous voices",28,IF(J37="television programs",29,IF(J37="race horses",30,IF(J37="new vocabulary",31,IF(J37="sentences",32,IF(J37="concepts",33,IF(J37="ad slides",34,IF(J37="scenes",35,IF(J37="famous scenes",36,IF(J37="poems",37,IF(J37="walk",38,IF(J37="faces and events",39,IF(J37="events and names",40,IF(J37="flashbulb",41,IF(J37="stories",42,IF(J37="course material",43,IF(J37="autobiographical",44,IF(J37="novels",45,IF(J37="public events",46,"99"))))))))))))))))))))))))))))))))))))))))))))))</f>
        <v>42</v>
      </c>
      <c r="L37" s="69">
        <f>IF(J37="syllables",1,IF(J37="trigrams",1,IF(J37="strings",1,IF(J37="visual array",1,IF(J37="characters",1,IF(J37="letters",1,IF(J37="free forms",1,IF(J37="odors",2,IF(J37="words",2,IF(J37="pictures",2,IF(J37="object pictures",2,IF(J37="faces",2,IF(J37="names",2,IF(J37="idioms","2",IF(J37="grades",2,IF(J37="syllable-digit pairs",3,IF(J37="trigram-word pairs",3,IF(J37="word-digit pairs",3,IF(J37="English-Swahili pairs",3,IF(J37="spatial position",3,IF(J37="word pairs",4,IF(J37="word triads",4,IF(J37="generated words",4,IF(J37="word definition pairs",4,IF(J37="math problems",4,IF(J37="famous faces",4,IF(J37="famous names",4,IF(J37="famous voices",4,IF(J37="television programs",4,IF(J37="race horses",4,IF(J37="new vocabulary",4,IF(J37="sentences",5,IF(J37="concepts",5,IF(J37="ad slides",5,IF(J37="scenes",5,IF(J37="famous scenes",5,IF(J37="poems",6,IF(J37="walk",6,IF(J37="faces and events",6,IF(J37="events and names",6,IF(J37="flashbulb",7,IF(J37="stories",7,IF(J37="course material",7,IF(J37="autobiographical",7,IF(J37="novels",7,IF(J37="public events",7,"99"))))))))))))))))))))))))))))))))))))))))))))))</f>
        <v>7</v>
      </c>
      <c r="M37" s="92">
        <v>1</v>
      </c>
      <c r="N37" s="92">
        <v>4</v>
      </c>
      <c r="O37" s="92">
        <v>0</v>
      </c>
      <c r="P37" s="92"/>
      <c r="Q37" s="92" t="s">
        <v>182</v>
      </c>
      <c r="R37" s="69">
        <f>IF(Q37="Free Recall",1,IF(Q37="Cued Recall",2,IF(Q37="Recognition",3,IF(Q37="Multiple Choice",4,IF(Q37="Savings",5,IF(Q37="Stem Completion",6,IF(Q37="Fragment Completion",7,IF(Q37="anagram solution",8,IF(Q37="Matching",9,IF(Q37="Problem Solving",10,"99"))))))))))</f>
        <v>4</v>
      </c>
      <c r="S37" s="69" t="s">
        <v>15</v>
      </c>
      <c r="T37" s="92" t="s">
        <v>581</v>
      </c>
      <c r="U37" s="69">
        <f>IF(T37="within",1,0)</f>
        <v>1</v>
      </c>
      <c r="V37" s="92">
        <v>36</v>
      </c>
      <c r="W37" s="69">
        <f>F37*V37</f>
        <v>900</v>
      </c>
      <c r="X37" s="92">
        <v>3</v>
      </c>
      <c r="Y37" s="87">
        <f>AV36</f>
        <v>30</v>
      </c>
      <c r="Z37" s="92" t="s">
        <v>150</v>
      </c>
      <c r="AA37" s="92">
        <f>60*60*24*7</f>
        <v>604800</v>
      </c>
      <c r="AB37" s="69" t="str">
        <f>IF(AA37&lt;60,"1",IF(AA37&lt;=43200,"2",IF(AA37&lt;=777600,"3","4")))</f>
        <v>3</v>
      </c>
      <c r="AC37" s="72">
        <f>AVERAGE(AV36:DA36)</f>
        <v>237610</v>
      </c>
      <c r="AD37" s="69" t="str">
        <f>IF(AC37&lt;60,"1",IF(AC37&lt;=43200,"2",IF(AC37&lt;=777600,"3","4")))</f>
        <v>3</v>
      </c>
      <c r="AE37" s="87">
        <f>AA37-Y37</f>
        <v>604770</v>
      </c>
      <c r="AF37" s="88">
        <f>AV37</f>
        <v>0.80252376270075343</v>
      </c>
      <c r="AG37" s="72">
        <f>((AW37-AV37)+(AX37-AW37))/2</f>
        <v>-3.5644051130776733E-2</v>
      </c>
      <c r="AH37" s="4"/>
      <c r="AI37" s="72">
        <f>RSQ(AV37:AX37,AV36:AX36)</f>
        <v>0.99968485601570944</v>
      </c>
      <c r="AJ37" s="110">
        <f>SLOPE(AV37:AX37,AV36:AX36)</f>
        <v>-1.186584291620325E-7</v>
      </c>
      <c r="AK37" s="72">
        <f>INTERCEPT(AV37:AX37,AV36:AX36)</f>
        <v>0.80313160842016273</v>
      </c>
      <c r="AL37" s="72">
        <f>INDEX(LINEST(LN(AV37:AX37),LN(AV36:AX36),TRUE,TRUE),3,1)</f>
        <v>0.54579095173233882</v>
      </c>
      <c r="AM37" s="72">
        <f>INDEX(LINEST(LN(AV37:AX37),LN(AV36:AX36)),1)</f>
        <v>-6.9854909369670938E-3</v>
      </c>
      <c r="AN37" s="72">
        <f>EXP(INDEX(LINEST(LN(AV37:AX37),LN(AV36:AX36)),1,2))</f>
        <v>0.82704480163336969</v>
      </c>
      <c r="AO37" s="89">
        <f>INDEX(LINEST((AV37:AX37),LN(AV36:AX36),TRUE,TRUE),3,1)</f>
        <v>0.55190330941575305</v>
      </c>
      <c r="AP37" s="89">
        <f>INDEX(LINEST((AV37:AX37),LN(AV36:AX36)),1)</f>
        <v>-5.3700169931389678E-3</v>
      </c>
      <c r="AQ37" s="90">
        <f>INDEX(LINEST(LN(AV37:AX37),SQRT(AV36:AX36),TRUE,TRUE),3,1)</f>
        <v>0.92069244956677587</v>
      </c>
      <c r="AR37" s="117">
        <f>INDEX(LINEST(LN(AV37:AX37),SQRT((AV36:AX36))),1)</f>
        <v>-1.23889173770391E-4</v>
      </c>
      <c r="AS37" s="91">
        <f>INDEX(LINEST(1/(AV37:AX37),1/(SQRT(AV36:AX36)),TRUE,TRUE),3,1)</f>
        <v>0.38593348247632303</v>
      </c>
      <c r="AT37" s="91">
        <f>INDEX(LINEST(1/(AV37:AX37),1/SQRT(AV36:AX36)),1)</f>
        <v>-0.39091556355683355</v>
      </c>
      <c r="AU37" s="3"/>
      <c r="AV37" s="97">
        <v>0.80252376270075343</v>
      </c>
      <c r="AW37" s="97">
        <v>0.79105211406096332</v>
      </c>
      <c r="AX37" s="97">
        <v>0.73123566043919996</v>
      </c>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5"/>
      <c r="CS37" s="15"/>
      <c r="CT37" s="15"/>
      <c r="CU37" s="15"/>
    </row>
    <row r="38" spans="1:99" s="13" customFormat="1" ht="12" customHeight="1" x14ac:dyDescent="0.2">
      <c r="A38" s="65">
        <v>43509</v>
      </c>
      <c r="B38" s="1"/>
      <c r="C38" s="1"/>
      <c r="D38" s="60"/>
      <c r="E38" s="76"/>
      <c r="F38" s="60"/>
      <c r="G38" s="60"/>
      <c r="H38" s="60"/>
      <c r="I38" s="60"/>
      <c r="J38" s="60"/>
      <c r="K38" s="64"/>
      <c r="L38" s="64"/>
      <c r="M38" s="60"/>
      <c r="N38" s="60"/>
      <c r="O38" s="60"/>
      <c r="P38" s="60"/>
      <c r="Q38" s="60"/>
      <c r="R38" s="60"/>
      <c r="S38" s="60"/>
      <c r="T38" s="60"/>
      <c r="U38" s="60"/>
      <c r="V38" s="60"/>
      <c r="W38" s="60"/>
      <c r="X38" s="60"/>
      <c r="Y38" s="76"/>
      <c r="Z38" s="60"/>
      <c r="AA38" s="60"/>
      <c r="AB38" s="60"/>
      <c r="AC38" s="60"/>
      <c r="AD38" s="60"/>
      <c r="AE38" s="60"/>
      <c r="AF38" s="80"/>
      <c r="AG38" s="56"/>
      <c r="AH38" s="4"/>
      <c r="AI38" s="56"/>
      <c r="AJ38" s="109"/>
      <c r="AK38" s="56"/>
      <c r="AL38" s="56"/>
      <c r="AM38" s="56"/>
      <c r="AN38" s="56"/>
      <c r="AO38" s="56"/>
      <c r="AP38" s="56"/>
      <c r="AQ38" s="56"/>
      <c r="AR38" s="109"/>
      <c r="AS38" s="56"/>
      <c r="AT38" s="56"/>
      <c r="AU38" s="4"/>
      <c r="AV38" s="25">
        <f>30*60</f>
        <v>1800</v>
      </c>
      <c r="AW38" s="25">
        <f>60*60</f>
        <v>3600</v>
      </c>
      <c r="AX38" s="25">
        <f>2*60*60</f>
        <v>7200</v>
      </c>
      <c r="AY38" s="25">
        <f>4*60*60</f>
        <v>14400</v>
      </c>
      <c r="AZ38" s="25">
        <f>8*60*60</f>
        <v>28800</v>
      </c>
      <c r="BA38" s="25">
        <f>12*60*60</f>
        <v>43200</v>
      </c>
      <c r="BB38" s="25">
        <f>16*60*60</f>
        <v>57600</v>
      </c>
      <c r="BC38" s="25">
        <f>24*60*60</f>
        <v>86400</v>
      </c>
      <c r="BD38" s="25">
        <f>36*60*60</f>
        <v>129600</v>
      </c>
      <c r="BE38" s="25">
        <f>48*60*60</f>
        <v>172800</v>
      </c>
      <c r="BF38" s="25">
        <v>172800</v>
      </c>
      <c r="BG38" s="25">
        <v>259200</v>
      </c>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1"/>
      <c r="CS38" s="1"/>
      <c r="CT38" s="1"/>
      <c r="CU38" s="1"/>
    </row>
    <row r="39" spans="1:99" s="13" customFormat="1" ht="12" customHeight="1" x14ac:dyDescent="0.2">
      <c r="A39" s="65">
        <v>43509</v>
      </c>
      <c r="B39" s="1" t="s">
        <v>98</v>
      </c>
      <c r="C39" s="1" t="s">
        <v>84</v>
      </c>
      <c r="D39" s="60">
        <v>1913</v>
      </c>
      <c r="E39" s="76">
        <v>1</v>
      </c>
      <c r="F39" s="60">
        <v>14</v>
      </c>
      <c r="G39" s="60">
        <v>14</v>
      </c>
      <c r="H39" s="60" t="s">
        <v>38</v>
      </c>
      <c r="I39" s="60"/>
      <c r="J39" s="60" t="s">
        <v>281</v>
      </c>
      <c r="K39" s="60">
        <f>IF(J39="syllables",1,IF(J39="trigrams",2,IF(J39="strings",3,IF(J39="visual array",4,IF(J39="characters",5,IF(J39="letters",6,IF(J39="free forms",7,IF(J39="odors",8,IF(J39="words",9,IF(J39="pictures",10,IF(J39="object pictures",11,IF(J39="faces",12,IF(J39="names",13,IF(J39="idioms",14,IF(J39="grades",15,IF(J39="syllable-digit pairs",16,IF(J39="trigram-word pairs",17,IF(J39="word-digit pairs",18,IF(J39="English-Swahili pairs",19,IF(J39="spatial position",20,IF(J39="word pairs",21,IF(J39="word triads",22,IF(J39="generated words",23,IF(J39="word definition pairs",24,IF(J39="math problems",25,IF(J39="famous faces",26,IF(J39="famous names",27,IF(J39="famous voices",28,IF(J39="television programs",29,IF(J39="race horses",30,IF(J39="new vocabulary",31,IF(J39="sentences",32,IF(J39="concepts",33,IF(J39="ad slides",34,IF(J39="scenes",35,IF(J39="famous scenes",36,IF(J39="poems",37,IF(J39="walk",38,IF(J39="faces and events",39,IF(J39="events and names",40,IF(J39="flashbulb",41,IF(J39="stories",42,IF(J39="course material",43,IF(J39="autobiographical",44,IF(J39="novels",45,IF(J39="public events",46,"99"))))))))))))))))))))))))))))))))))))))))))))))</f>
        <v>1</v>
      </c>
      <c r="L39" s="60">
        <f>IF(J39="syllables",1,IF(J39="trigrams",1,IF(J39="strings",1,IF(J39="visual array",1,IF(J39="characters",1,IF(J39="letters",1,IF(J39="free forms",1,IF(J39="odors",2,IF(J39="words",2,IF(J39="pictures",2,IF(J39="object pictures",2,IF(J39="faces",2,IF(J39="names",2,IF(J39="idioms","2",IF(J39="grades",2,IF(J39="syllable-digit pairs",3,IF(J39="trigram-word pairs",3,IF(J39="word-digit pairs",3,IF(J39="English-Swahili pairs",3,IF(J39="spatial position",3,IF(J39="word pairs",4,IF(J39="word triads",4,IF(J39="generated words",4,IF(J39="word definition pairs",4,IF(J39="math problems",4,IF(J39="famous faces",4,IF(J39="famous names",4,IF(J39="famous voices",4,IF(J39="television programs",4,IF(J39="race horses",4,IF(J39="new vocabulary",4,IF(J39="sentences",5,IF(J39="concepts",5,IF(J39="ad slides",5,IF(J39="scenes",5,IF(J39="famous scenes",5,IF(J39="poems",6,IF(J39="walk",6,IF(J39="faces and events",6,IF(J39="events and names",6,IF(J39="flashbulb",7,IF(J39="stories",7,IF(J39="course material",7,IF(J39="autobiographical",7,IF(J39="novels",7,IF(J39="public events",7,"99"))))))))))))))))))))))))))))))))))))))))))))))</f>
        <v>1</v>
      </c>
      <c r="M39" s="60">
        <v>1</v>
      </c>
      <c r="N39" s="60">
        <v>2</v>
      </c>
      <c r="O39" s="60">
        <v>0</v>
      </c>
      <c r="P39" s="60"/>
      <c r="Q39" s="60" t="s">
        <v>99</v>
      </c>
      <c r="R39" s="60">
        <f>IF(Q39="Free Recall",1,IF(Q39="Cued Recall",2,IF(Q39="Recognition",3,IF(Q39="Multiple Choice",4,IF(Q39="Savings",5,IF(Q39="Stem Completion",6,IF(Q39="Fragment Completion",7,IF(Q39="anagram solution",8,IF(Q39="Matching",9,IF(Q39="Problem Solving",10,"99"))))))))))</f>
        <v>5</v>
      </c>
      <c r="S39" s="60" t="s">
        <v>99</v>
      </c>
      <c r="T39" s="59" t="s">
        <v>581</v>
      </c>
      <c r="U39" s="60">
        <f>IF(T39="within",1,0)</f>
        <v>1</v>
      </c>
      <c r="V39" s="59">
        <v>132</v>
      </c>
      <c r="W39" s="60">
        <f>F39*V39</f>
        <v>1848</v>
      </c>
      <c r="X39" s="60">
        <v>12</v>
      </c>
      <c r="Y39" s="76">
        <f>AV38</f>
        <v>1800</v>
      </c>
      <c r="Z39" s="60" t="s">
        <v>100</v>
      </c>
      <c r="AA39" s="76">
        <f>48*60*60</f>
        <v>172800</v>
      </c>
      <c r="AB39" s="60" t="str">
        <f>IF(AA39&lt;60,"1",IF(AA39&lt;=43200,"2",IF(AA39&lt;=777600,"3","4")))</f>
        <v>3</v>
      </c>
      <c r="AC39" s="56">
        <f>AVERAGE(AV38:DA38)</f>
        <v>81450</v>
      </c>
      <c r="AD39" s="60" t="str">
        <f>IF(AC39&lt;60,"1",IF(AC39&lt;=43200,"2",IF(AC39&lt;=777600,"3","4")))</f>
        <v>3</v>
      </c>
      <c r="AE39" s="76">
        <f>AA39-Y39</f>
        <v>171000</v>
      </c>
      <c r="AF39" s="80">
        <f>AV39</f>
        <v>1</v>
      </c>
      <c r="AG39" s="56">
        <f>((AW39-AV39)+(AX39-AW39)+(AY39-AX39)+(AZ39-AY39)+(BA39-AZ39)+(BB39-BA39)+(BC39-BB39)+(BD39-BC39)+(BE39-BD39)+(BF39-BE39)+(BG39-BF39))/11</f>
        <v>-4.3545454545454547E-2</v>
      </c>
      <c r="AH39" s="4"/>
      <c r="AI39" s="56">
        <f>RSQ(AV39:BG39,AV38:BG38)</f>
        <v>0.54893433230157196</v>
      </c>
      <c r="AJ39" s="109">
        <f>SLOPE(AV39:BG39,AV38:BG38)</f>
        <v>-1.1032666816965239E-6</v>
      </c>
      <c r="AK39" s="56">
        <f>INTERCEPT(AV39:BG39,AV38:BG38)</f>
        <v>0.75661107122418181</v>
      </c>
      <c r="AL39" s="56">
        <f>INDEX(LINEST(LN(AV39:BG39),LN(AV38:BG38),TRUE,TRUE),3,1)</f>
        <v>0.89098901006359343</v>
      </c>
      <c r="AM39" s="56">
        <f>INDEX(LINEST(LN(AV39:BG39),LN(AV38:BG38)),1)</f>
        <v>-9.8947942040260403E-2</v>
      </c>
      <c r="AN39" s="56">
        <f>EXP(INDEX(LINEST(LN(AV39:BG39),LN(AV38:BG38)),1,2))</f>
        <v>1.8542913780464736</v>
      </c>
      <c r="AO39" s="82">
        <f>INDEX(LINEST((AV39:BG39),LN(AV38:BG38),TRUE,TRUE),3,1)</f>
        <v>0.84177670601232557</v>
      </c>
      <c r="AP39" s="82">
        <f>INDEX(LINEST((AV39:BG39),LN(AV38:BG38)),1)</f>
        <v>-7.0500015927161236E-2</v>
      </c>
      <c r="AQ39" s="83">
        <f>INDEX(LINEST(LN(AV39:BG39),SQRT(AV38:BG38),TRUE,TRUE),3,1)</f>
        <v>0.78252070486399605</v>
      </c>
      <c r="AR39" s="116">
        <f>INDEX(LINEST(LN(AV39:BG39),SQRT((AV38:BG38))),1)</f>
        <v>-9.6990216543095975E-4</v>
      </c>
      <c r="AS39" s="84">
        <f>INDEX(LINEST(1/(AV39:BG39),1/(SQRT(AV38:BG38)),TRUE,TRUE),3,1)</f>
        <v>0.85241924253549894</v>
      </c>
      <c r="AT39" s="84">
        <f>INDEX(LINEST(1/(AV39:BG39),1/SQRT(AV38:BG38)),1)</f>
        <v>-33.182807497827476</v>
      </c>
      <c r="AU39" s="3"/>
      <c r="AV39" s="53">
        <v>1</v>
      </c>
      <c r="AW39" s="53">
        <v>0.75</v>
      </c>
      <c r="AX39" s="53">
        <v>0.72799999999999998</v>
      </c>
      <c r="AY39" s="53">
        <v>0.69399999999999995</v>
      </c>
      <c r="AZ39" s="53">
        <v>0.66400000000000003</v>
      </c>
      <c r="BA39" s="53">
        <v>0.65500000000000003</v>
      </c>
      <c r="BB39" s="53">
        <v>0.63800000000000001</v>
      </c>
      <c r="BC39" s="53">
        <v>0.63</v>
      </c>
      <c r="BD39" s="53">
        <v>0.57799999999999996</v>
      </c>
      <c r="BE39" s="53">
        <v>0.58799999999999997</v>
      </c>
      <c r="BF39" s="53">
        <v>0.55500000000000005</v>
      </c>
      <c r="BG39" s="53">
        <v>0.52100000000000002</v>
      </c>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1"/>
      <c r="CS39" s="1"/>
      <c r="CT39" s="1"/>
      <c r="CU39" s="1"/>
    </row>
    <row r="40" spans="1:99" s="13" customFormat="1" ht="12" customHeight="1" x14ac:dyDescent="0.2">
      <c r="A40" s="68">
        <v>43509</v>
      </c>
      <c r="B40" s="70"/>
      <c r="C40" s="70"/>
      <c r="D40" s="69"/>
      <c r="E40" s="87"/>
      <c r="F40" s="69"/>
      <c r="G40" s="69"/>
      <c r="H40" s="69"/>
      <c r="I40" s="69"/>
      <c r="J40" s="69"/>
      <c r="K40" s="107"/>
      <c r="L40" s="107"/>
      <c r="M40" s="69"/>
      <c r="N40" s="69"/>
      <c r="O40" s="69"/>
      <c r="P40" s="69"/>
      <c r="Q40" s="69"/>
      <c r="R40" s="69"/>
      <c r="S40" s="69"/>
      <c r="T40" s="69"/>
      <c r="U40" s="69"/>
      <c r="V40" s="69"/>
      <c r="W40" s="69"/>
      <c r="X40" s="69"/>
      <c r="Y40" s="87"/>
      <c r="Z40" s="69"/>
      <c r="AA40" s="69"/>
      <c r="AB40" s="69"/>
      <c r="AC40" s="69"/>
      <c r="AD40" s="69"/>
      <c r="AE40" s="69"/>
      <c r="AF40" s="88"/>
      <c r="AG40" s="72"/>
      <c r="AH40" s="4"/>
      <c r="AI40" s="72"/>
      <c r="AJ40" s="110"/>
      <c r="AK40" s="72"/>
      <c r="AL40" s="72"/>
      <c r="AM40" s="72"/>
      <c r="AN40" s="72"/>
      <c r="AO40" s="72"/>
      <c r="AP40" s="72"/>
      <c r="AQ40" s="72"/>
      <c r="AR40" s="110"/>
      <c r="AS40" s="72"/>
      <c r="AT40" s="72"/>
      <c r="AU40" s="4"/>
      <c r="AV40" s="71">
        <v>30</v>
      </c>
      <c r="AW40" s="71">
        <f>3*60</f>
        <v>180</v>
      </c>
      <c r="AX40" s="71">
        <f>2*60*60</f>
        <v>7200</v>
      </c>
      <c r="AY40" s="71">
        <f>8*60*60</f>
        <v>28800</v>
      </c>
      <c r="AZ40" s="71">
        <f>12*60*60</f>
        <v>43200</v>
      </c>
      <c r="BA40" s="71">
        <f>24*60*60*1</f>
        <v>86400</v>
      </c>
      <c r="BB40" s="71">
        <f>24*60*60*2</f>
        <v>172800</v>
      </c>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1"/>
      <c r="CS40" s="1"/>
      <c r="CT40" s="1"/>
      <c r="CU40" s="1"/>
    </row>
    <row r="41" spans="1:99" s="13" customFormat="1" ht="12" customHeight="1" x14ac:dyDescent="0.2">
      <c r="A41" s="68">
        <v>43509</v>
      </c>
      <c r="B41" s="103" t="s">
        <v>101</v>
      </c>
      <c r="C41" s="70" t="s">
        <v>102</v>
      </c>
      <c r="D41" s="69">
        <v>1992</v>
      </c>
      <c r="E41" s="87">
        <v>1</v>
      </c>
      <c r="F41" s="69">
        <v>20</v>
      </c>
      <c r="G41" s="69">
        <v>20</v>
      </c>
      <c r="H41" s="69" t="s">
        <v>38</v>
      </c>
      <c r="I41" s="69" t="s">
        <v>679</v>
      </c>
      <c r="J41" s="69" t="s">
        <v>16</v>
      </c>
      <c r="K41" s="69">
        <f>IF(J41="syllables",1,IF(J41="trigrams",2,IF(J41="strings",3,IF(J41="visual array",4,IF(J41="characters",5,IF(J41="letters",6,IF(J41="free forms",7,IF(J41="odors",8,IF(J41="words",9,IF(J41="pictures",10,IF(J41="object pictures",11,IF(J41="faces",12,IF(J41="names",13,IF(J41="idioms",14,IF(J41="grades",15,IF(J41="syllable-digit pairs",16,IF(J41="trigram-word pairs",17,IF(J41="word-digit pairs",18,IF(J41="English-Swahili pairs",19,IF(J41="spatial position",20,IF(J41="word pairs",21,IF(J41="word triads",22,IF(J41="generated words",23,IF(J41="word definition pairs",24,IF(J41="math problems",25,IF(J41="famous faces",26,IF(J41="famous names",27,IF(J41="famous voices",28,IF(J41="television programs",29,IF(J41="race horses",30,IF(J41="new vocabulary",31,IF(J41="sentences",32,IF(J41="concepts",33,IF(J41="ad slides",34,IF(J41="scenes",35,IF(J41="famous scenes",36,IF(J41="poems",37,IF(J41="walk",38,IF(J41="faces and events",39,IF(J41="events and names",40,IF(J41="flashbulb",41,IF(J41="stories",42,IF(J41="course material",43,IF(J41="autobiographical",44,IF(J41="novels",45,IF(J41="public events",46,"99"))))))))))))))))))))))))))))))))))))))))))))))</f>
        <v>9</v>
      </c>
      <c r="L41" s="69">
        <f>IF(J41="syllables",1,IF(J41="trigrams",1,IF(J41="strings",1,IF(J41="visual array",1,IF(J41="characters",1,IF(J41="letters",1,IF(J41="free forms",1,IF(J41="odors",2,IF(J41="words",2,IF(J41="pictures",2,IF(J41="object pictures",2,IF(J41="faces",2,IF(J41="names",2,IF(J41="idioms","2",IF(J41="grades",2,IF(J41="syllable-digit pairs",3,IF(J41="trigram-word pairs",3,IF(J41="word-digit pairs",3,IF(J41="English-Swahili pairs",3,IF(J41="spatial position",3,IF(J41="word pairs",4,IF(J41="word triads",4,IF(J41="generated words",4,IF(J41="word definition pairs",4,IF(J41="math problems",4,IF(J41="famous faces",4,IF(J41="famous names",4,IF(J41="famous voices",4,IF(J41="television programs",4,IF(J41="race horses",4,IF(J41="new vocabulary",4,IF(J41="sentences",5,IF(J41="concepts",5,IF(J41="ad slides",5,IF(J41="scenes",5,IF(J41="famous scenes",5,IF(J41="poems",6,IF(J41="walk",6,IF(J41="faces and events",6,IF(J41="events and names",6,IF(J41="flashbulb",7,IF(J41="stories",7,IF(J41="course material",7,IF(J41="autobiographical",7,IF(J41="novels",7,IF(J41="public events",7,"99"))))))))))))))))))))))))))))))))))))))))))))))</f>
        <v>2</v>
      </c>
      <c r="M41" s="69">
        <v>1</v>
      </c>
      <c r="N41" s="69">
        <v>2</v>
      </c>
      <c r="O41" s="69">
        <v>1</v>
      </c>
      <c r="P41" s="69" t="s">
        <v>103</v>
      </c>
      <c r="Q41" s="92" t="s">
        <v>174</v>
      </c>
      <c r="R41" s="69">
        <f>IF(Q41="Free Recall",1,IF(Q41="Cued Recall",2,IF(Q41="Recognition",3,IF(Q41="Multiple Choice",4,IF(Q41="Savings",5,IF(Q41="Stem Completion",6,IF(Q41="Fragment Completion",7,IF(Q41="anagram solution",8,IF(Q41="Matching",9,IF(Q41="Problem Solving",10,"99"))))))))))</f>
        <v>1</v>
      </c>
      <c r="S41" s="69" t="s">
        <v>49</v>
      </c>
      <c r="T41" s="92" t="s">
        <v>581</v>
      </c>
      <c r="U41" s="69">
        <f>IF(T41="within",1,0)</f>
        <v>1</v>
      </c>
      <c r="V41" s="92">
        <v>5</v>
      </c>
      <c r="W41" s="69">
        <f>F41*V41</f>
        <v>100</v>
      </c>
      <c r="X41" s="69">
        <v>7</v>
      </c>
      <c r="Y41" s="87">
        <f>AV40</f>
        <v>30</v>
      </c>
      <c r="Z41" s="69" t="s">
        <v>88</v>
      </c>
      <c r="AA41" s="69">
        <v>172800</v>
      </c>
      <c r="AB41" s="69" t="str">
        <f>IF(AA41&lt;60,"1",IF(AA41&lt;=43200,"2",IF(AA41&lt;=777600,"3","4")))</f>
        <v>3</v>
      </c>
      <c r="AC41" s="72">
        <f>AVERAGE(AV40:DA40)</f>
        <v>48372.857142857145</v>
      </c>
      <c r="AD41" s="69" t="str">
        <f>IF(AC41&lt;60,"1",IF(AC41&lt;=43200,"2",IF(AC41&lt;=777600,"3","4")))</f>
        <v>3</v>
      </c>
      <c r="AE41" s="87">
        <f>AA41-Y41</f>
        <v>172770</v>
      </c>
      <c r="AF41" s="88">
        <f>AV41</f>
        <v>0.96699999999999997</v>
      </c>
      <c r="AG41" s="72">
        <f>((AW41-AV41)+(AX41-AW41)+(AY41-AX41)+(AZ41-AY41)+(BA41-AZ41)+(BB41-BA41))/6</f>
        <v>-4.7833333333333318E-2</v>
      </c>
      <c r="AH41" s="4"/>
      <c r="AI41" s="72">
        <f>RSQ(AV41:BB41,AV40:BB40)</f>
        <v>0.91064504512541578</v>
      </c>
      <c r="AJ41" s="110">
        <f>SLOPE(AV41:BB41,AV40:BB40)</f>
        <v>-1.5105353706883387E-6</v>
      </c>
      <c r="AK41" s="72">
        <f>INTERCEPT(AV41:BB41,AV40:BB40)</f>
        <v>0.92121176883839684</v>
      </c>
      <c r="AL41" s="72">
        <f>INDEX(LINEST(LN(AV41:BB41),LN(AV40:BB40),TRUE,TRUE),3,1)</f>
        <v>0.64603565305613708</v>
      </c>
      <c r="AM41" s="72">
        <f>INDEX(LINEST(LN(AV41:BB41),LN(AV40:BB40)),1)</f>
        <v>-2.9807273464141082E-2</v>
      </c>
      <c r="AN41" s="72">
        <f>EXP(INDEX(LINEST(LN(AV41:BB41),LN(AV40:BB40)),1,2))</f>
        <v>1.0968271500280313</v>
      </c>
      <c r="AO41" s="89">
        <f>INDEX(LINEST((AV41:BB41),LN(AV40:BB40),TRUE,TRUE),3,1)</f>
        <v>0.67844412405898225</v>
      </c>
      <c r="AP41" s="89">
        <f>INDEX(LINEST((AV41:BB41),LN(AV40:BB40)),1)</f>
        <v>-2.4885255779354409E-2</v>
      </c>
      <c r="AQ41" s="90">
        <f>INDEX(LINEST(LN(AV41:BB41),SQRT(AV40:BB40),TRUE,TRUE),3,1)</f>
        <v>0.93440373282962308</v>
      </c>
      <c r="AR41" s="117">
        <f>INDEX(LINEST(LN(AV41:BB41),SQRT((AV40:BB40))),1)</f>
        <v>-7.8393690681288623E-4</v>
      </c>
      <c r="AS41" s="91">
        <f>INDEX(LINEST(1/(AV41:BB41),1/(SQRT(AV40:BB40)),TRUE,TRUE),3,1)</f>
        <v>0.35516203372379979</v>
      </c>
      <c r="AT41" s="91">
        <f>INDEX(LINEST(1/(AV41:BB41),1/SQRT(AV40:BB40)),1)</f>
        <v>-1.3344440929297989</v>
      </c>
      <c r="AU41" s="3"/>
      <c r="AV41" s="73">
        <v>0.96699999999999997</v>
      </c>
      <c r="AW41" s="73">
        <v>0.91</v>
      </c>
      <c r="AX41" s="73">
        <v>0.91</v>
      </c>
      <c r="AY41" s="73">
        <v>0.89</v>
      </c>
      <c r="AZ41" s="73">
        <v>0.81</v>
      </c>
      <c r="BA41" s="73">
        <v>0.77</v>
      </c>
      <c r="BB41" s="73">
        <v>0.68</v>
      </c>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1"/>
      <c r="CS41" s="1"/>
      <c r="CT41" s="1"/>
      <c r="CU41" s="1"/>
    </row>
    <row r="42" spans="1:99" s="13" customFormat="1" ht="12" customHeight="1" x14ac:dyDescent="0.2">
      <c r="A42" s="68">
        <v>43509</v>
      </c>
      <c r="B42" s="70"/>
      <c r="C42" s="70"/>
      <c r="D42" s="69"/>
      <c r="E42" s="87"/>
      <c r="F42" s="69"/>
      <c r="G42" s="69"/>
      <c r="H42" s="69"/>
      <c r="I42" s="69"/>
      <c r="J42" s="69"/>
      <c r="K42" s="107"/>
      <c r="L42" s="107"/>
      <c r="M42" s="69"/>
      <c r="N42" s="69"/>
      <c r="O42" s="69"/>
      <c r="P42" s="69"/>
      <c r="Q42" s="92"/>
      <c r="R42" s="69"/>
      <c r="S42" s="69"/>
      <c r="T42" s="92"/>
      <c r="U42" s="69"/>
      <c r="V42" s="92"/>
      <c r="W42" s="69"/>
      <c r="X42" s="69"/>
      <c r="Y42" s="87"/>
      <c r="Z42" s="69"/>
      <c r="AA42" s="69"/>
      <c r="AB42" s="69"/>
      <c r="AC42" s="69"/>
      <c r="AD42" s="69"/>
      <c r="AE42" s="69"/>
      <c r="AF42" s="88"/>
      <c r="AG42" s="72"/>
      <c r="AH42" s="4"/>
      <c r="AI42" s="72"/>
      <c r="AJ42" s="110"/>
      <c r="AK42" s="72"/>
      <c r="AL42" s="72"/>
      <c r="AM42" s="72"/>
      <c r="AN42" s="72"/>
      <c r="AO42" s="72"/>
      <c r="AP42" s="72"/>
      <c r="AQ42" s="72"/>
      <c r="AR42" s="110"/>
      <c r="AS42" s="72"/>
      <c r="AT42" s="72"/>
      <c r="AU42" s="4"/>
      <c r="AV42" s="71">
        <v>30</v>
      </c>
      <c r="AW42" s="71">
        <f>3*60</f>
        <v>180</v>
      </c>
      <c r="AX42" s="71">
        <f>2*60*60</f>
        <v>7200</v>
      </c>
      <c r="AY42" s="71">
        <f>8*60*60</f>
        <v>28800</v>
      </c>
      <c r="AZ42" s="71">
        <f>12*60*60</f>
        <v>43200</v>
      </c>
      <c r="BA42" s="71">
        <f>24*60*60*1</f>
        <v>86400</v>
      </c>
      <c r="BB42" s="71">
        <f>24*60*60*2</f>
        <v>172800</v>
      </c>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1"/>
      <c r="CS42" s="1"/>
      <c r="CT42" s="1"/>
      <c r="CU42" s="1"/>
    </row>
    <row r="43" spans="1:99" s="13" customFormat="1" ht="12" customHeight="1" x14ac:dyDescent="0.2">
      <c r="A43" s="68">
        <v>43509</v>
      </c>
      <c r="B43" s="70" t="s">
        <v>101</v>
      </c>
      <c r="C43" s="70" t="s">
        <v>102</v>
      </c>
      <c r="D43" s="69">
        <v>1992</v>
      </c>
      <c r="E43" s="87">
        <v>1</v>
      </c>
      <c r="F43" s="69">
        <v>20</v>
      </c>
      <c r="G43" s="69">
        <v>20</v>
      </c>
      <c r="H43" s="69" t="s">
        <v>38</v>
      </c>
      <c r="I43" s="69" t="s">
        <v>680</v>
      </c>
      <c r="J43" s="69" t="s">
        <v>320</v>
      </c>
      <c r="K43" s="69">
        <f>IF(J43="syllables",1,IF(J43="trigrams",2,IF(J43="strings",3,IF(J43="visual array",4,IF(J43="characters",5,IF(J43="letters",6,IF(J43="free forms",7,IF(J43="odors",8,IF(J43="words",9,IF(J43="pictures",10,IF(J43="object pictures",11,IF(J43="faces",12,IF(J43="names",13,IF(J43="idioms",14,IF(J43="grades",15,IF(J43="syllable-digit pairs",16,IF(J43="trigram-word pairs",17,IF(J43="word-digit pairs",18,IF(J43="English-Swahili pairs",19,IF(J43="spatial position",20,IF(J43="word pairs",21,IF(J43="word triads",22,IF(J43="generated words",23,IF(J43="word definition pairs",24,IF(J43="math problems",25,IF(J43="famous faces",26,IF(J43="famous names",27,IF(J43="famous voices",28,IF(J43="television programs",29,IF(J43="race horses",30,IF(J43="new vocabulary",31,IF(J43="sentences",32,IF(J43="concepts",33,IF(J43="ad slides",34,IF(J43="scenes",35,IF(J43="famous scenes",36,IF(J43="poems",37,IF(J43="walk",38,IF(J43="faces and events",39,IF(J43="events and names",40,IF(J43="flashbulb",41,IF(J43="stories",42,IF(J43="course material",43,IF(J43="autobiographical",44,IF(J43="novels",45,IF(J43="public events",46,"99"))))))))))))))))))))))))))))))))))))))))))))))</f>
        <v>21</v>
      </c>
      <c r="L43" s="69">
        <f>IF(J43="syllables",1,IF(J43="trigrams",1,IF(J43="strings",1,IF(J43="visual array",1,IF(J43="characters",1,IF(J43="letters",1,IF(J43="free forms",1,IF(J43="odors",2,IF(J43="words",2,IF(J43="pictures",2,IF(J43="object pictures",2,IF(J43="faces",2,IF(J43="names",2,IF(J43="idioms","2",IF(J43="grades",2,IF(J43="syllable-digit pairs",3,IF(J43="trigram-word pairs",3,IF(J43="word-digit pairs",3,IF(J43="English-Swahili pairs",3,IF(J43="spatial position",3,IF(J43="word pairs",4,IF(J43="word triads",4,IF(J43="generated words",4,IF(J43="word definition pairs",4,IF(J43="math problems",4,IF(J43="famous faces",4,IF(J43="famous names",4,IF(J43="famous voices",4,IF(J43="television programs",4,IF(J43="race horses",4,IF(J43="new vocabulary",4,IF(J43="sentences",5,IF(J43="concepts",5,IF(J43="ad slides",5,IF(J43="scenes",5,IF(J43="famous scenes",5,IF(J43="poems",6,IF(J43="walk",6,IF(J43="faces and events",6,IF(J43="events and names",6,IF(J43="flashbulb",7,IF(J43="stories",7,IF(J43="course material",7,IF(J43="autobiographical",7,IF(J43="novels",7,IF(J43="public events",7,"99"))))))))))))))))))))))))))))))))))))))))))))))</f>
        <v>4</v>
      </c>
      <c r="M43" s="69">
        <v>1</v>
      </c>
      <c r="N43" s="69">
        <v>2</v>
      </c>
      <c r="O43" s="69">
        <v>1</v>
      </c>
      <c r="P43" s="69" t="s">
        <v>103</v>
      </c>
      <c r="Q43" s="92" t="s">
        <v>174</v>
      </c>
      <c r="R43" s="69">
        <f>IF(Q43="Free Recall",1,IF(Q43="Cued Recall",2,IF(Q43="Recognition",3,IF(Q43="Multiple Choice",4,IF(Q43="Savings",5,IF(Q43="Stem Completion",6,IF(Q43="Fragment Completion",7,IF(Q43="anagram solution",8,IF(Q43="Matching",9,IF(Q43="Problem Solving",10,"99"))))))))))</f>
        <v>1</v>
      </c>
      <c r="S43" s="69" t="s">
        <v>49</v>
      </c>
      <c r="T43" s="92" t="s">
        <v>581</v>
      </c>
      <c r="U43" s="69">
        <f>IF(T43="within",1,0)</f>
        <v>1</v>
      </c>
      <c r="V43" s="92">
        <v>6</v>
      </c>
      <c r="W43" s="69">
        <f>F43*V43</f>
        <v>120</v>
      </c>
      <c r="X43" s="69">
        <v>7</v>
      </c>
      <c r="Y43" s="87">
        <f>AV42</f>
        <v>30</v>
      </c>
      <c r="Z43" s="69" t="s">
        <v>88</v>
      </c>
      <c r="AA43" s="69">
        <v>172800</v>
      </c>
      <c r="AB43" s="69" t="str">
        <f>IF(AA43&lt;60,"1",IF(AA43&lt;=43200,"2",IF(AA43&lt;=777600,"3","4")))</f>
        <v>3</v>
      </c>
      <c r="AC43" s="72">
        <f>AVERAGE(AV42:DA42)</f>
        <v>48372.857142857145</v>
      </c>
      <c r="AD43" s="69" t="str">
        <f>IF(AC43&lt;60,"1",IF(AC43&lt;=43200,"2",IF(AC43&lt;=777600,"3","4")))</f>
        <v>3</v>
      </c>
      <c r="AE43" s="87">
        <f>AA43-Y43</f>
        <v>172770</v>
      </c>
      <c r="AF43" s="88">
        <f>AV43</f>
        <v>0.96099999999999997</v>
      </c>
      <c r="AG43" s="72">
        <f>((AW43-AV43)+(AX43-AW43)+(AY43-AX43)+(AZ43-AY43)+(BA43-AZ43)+(BB43-BA43))/6</f>
        <v>-8.8333333333333233E-3</v>
      </c>
      <c r="AH43" s="4"/>
      <c r="AI43" s="72">
        <f>RSQ(AV43:BB43,AV42:BB42)</f>
        <v>0.56016021401945604</v>
      </c>
      <c r="AJ43" s="110">
        <f>SLOPE(AV43:BB43,AV42:BB42)</f>
        <v>-4.1673149191110263E-7</v>
      </c>
      <c r="AK43" s="72">
        <f>INTERCEPT(AV43:BB43,AV42:BB42)</f>
        <v>0.97187277863943122</v>
      </c>
      <c r="AL43" s="72">
        <f>INDEX(LINEST(LN(AV43:BB43),LN(AV42:BB42),TRUE,TRUE),3,1)</f>
        <v>0.46108723853560829</v>
      </c>
      <c r="AM43" s="72">
        <f>INDEX(LINEST(LN(AV43:BB43),LN(AV42:BB42)),1)</f>
        <v>-7.5602697699415642E-3</v>
      </c>
      <c r="AN43" s="72">
        <f>EXP(INDEX(LINEST(LN(AV43:BB43),LN(AV42:BB42)),1,2))</f>
        <v>1.0168675651740731</v>
      </c>
      <c r="AO43" s="89">
        <f>INDEX(LINEST((AV43:BB43),LN(AV42:BB42),TRUE,TRUE),3,1)</f>
        <v>0.45797272305148773</v>
      </c>
      <c r="AP43" s="89">
        <f>INDEX(LINEST((AV43:BB43),LN(AV42:BB42)),1)</f>
        <v>-7.1919842675468642E-3</v>
      </c>
      <c r="AQ43" s="90">
        <f>INDEX(LINEST(LN(AV43:BB43),SQRT(AV42:BB42),TRUE,TRUE),3,1)</f>
        <v>0.67001909993454101</v>
      </c>
      <c r="AR43" s="117">
        <f>INDEX(LINEST(LN(AV43:BB43),SQRT((AV42:BB42))),1)</f>
        <v>-1.9930085077532044E-4</v>
      </c>
      <c r="AS43" s="91">
        <f>INDEX(LINEST(1/(AV43:BB43),1/(SQRT(AV42:BB42)),TRUE,TRUE),3,1)</f>
        <v>0.15133702401864652</v>
      </c>
      <c r="AT43" s="91">
        <f>INDEX(LINEST(1/(AV43:BB43),1/SQRT(AV42:BB42)),1)</f>
        <v>-0.2209937896770888</v>
      </c>
      <c r="AU43" s="3"/>
      <c r="AV43" s="73">
        <v>0.96099999999999997</v>
      </c>
      <c r="AW43" s="73">
        <v>1</v>
      </c>
      <c r="AX43" s="73">
        <v>0.99199999999999999</v>
      </c>
      <c r="AY43" s="73">
        <v>0.94199999999999995</v>
      </c>
      <c r="AZ43" s="73">
        <v>0.91700000000000004</v>
      </c>
      <c r="BA43" s="73">
        <v>0.94199999999999995</v>
      </c>
      <c r="BB43" s="73">
        <v>0.90800000000000003</v>
      </c>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1"/>
      <c r="CS43" s="1"/>
      <c r="CT43" s="1"/>
      <c r="CU43" s="1"/>
    </row>
    <row r="44" spans="1:99" s="13" customFormat="1" ht="12" customHeight="1" x14ac:dyDescent="0.2">
      <c r="A44" s="68">
        <v>43976</v>
      </c>
      <c r="B44" s="70"/>
      <c r="C44" s="70"/>
      <c r="D44" s="69"/>
      <c r="E44" s="87"/>
      <c r="F44" s="69"/>
      <c r="G44" s="69"/>
      <c r="H44" s="69"/>
      <c r="I44" s="69"/>
      <c r="J44" s="69"/>
      <c r="K44" s="69"/>
      <c r="L44" s="69"/>
      <c r="M44" s="69"/>
      <c r="N44" s="92"/>
      <c r="O44" s="69"/>
      <c r="P44" s="69"/>
      <c r="Q44" s="69"/>
      <c r="R44" s="69"/>
      <c r="S44" s="69"/>
      <c r="T44" s="92"/>
      <c r="U44" s="69"/>
      <c r="V44" s="92"/>
      <c r="W44" s="69"/>
      <c r="X44" s="69"/>
      <c r="Y44" s="87"/>
      <c r="Z44" s="92"/>
      <c r="AA44" s="69"/>
      <c r="AB44" s="69"/>
      <c r="AC44" s="72"/>
      <c r="AD44" s="69"/>
      <c r="AE44" s="87"/>
      <c r="AF44" s="88"/>
      <c r="AG44" s="72"/>
      <c r="AH44" s="4"/>
      <c r="AI44" s="72"/>
      <c r="AJ44" s="110"/>
      <c r="AK44" s="72"/>
      <c r="AL44" s="72"/>
      <c r="AM44" s="72"/>
      <c r="AN44" s="72"/>
      <c r="AO44" s="89"/>
      <c r="AP44" s="89"/>
      <c r="AQ44" s="90"/>
      <c r="AR44" s="117"/>
      <c r="AS44" s="91"/>
      <c r="AT44" s="91"/>
      <c r="AU44" s="4"/>
      <c r="AV44" s="96">
        <f>60*30</f>
        <v>1800</v>
      </c>
      <c r="AW44" s="96">
        <f>60*90</f>
        <v>5400</v>
      </c>
      <c r="AX44" s="96">
        <f>60*60*24*7</f>
        <v>604800</v>
      </c>
      <c r="AY44" s="27"/>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1"/>
      <c r="CS44" s="1"/>
      <c r="CT44" s="1"/>
      <c r="CU44" s="1"/>
    </row>
    <row r="45" spans="1:99" s="13" customFormat="1" ht="12" customHeight="1" x14ac:dyDescent="0.2">
      <c r="A45" s="68">
        <v>43976</v>
      </c>
      <c r="B45" s="70" t="s">
        <v>925</v>
      </c>
      <c r="C45" s="70" t="s">
        <v>926</v>
      </c>
      <c r="D45" s="69">
        <v>2001</v>
      </c>
      <c r="E45" s="87">
        <v>1</v>
      </c>
      <c r="F45" s="69">
        <v>20</v>
      </c>
      <c r="G45" s="69">
        <v>20</v>
      </c>
      <c r="H45" s="69" t="s">
        <v>41</v>
      </c>
      <c r="I45" s="69" t="s">
        <v>330</v>
      </c>
      <c r="J45" s="69" t="s">
        <v>16</v>
      </c>
      <c r="K45" s="69">
        <f>IF(J45="syllables",1,IF(J45="trigrams",2,IF(J45="strings",3,IF(J45="visual array",4,IF(J45="characters",5,IF(J45="letters",6,IF(J45="free forms",7,IF(J45="odors",8,IF(J45="words",9,IF(J45="pictures",10,IF(J45="object pictures",11,IF(J45="faces",12,IF(J45="names",13,IF(J45="idioms",14,IF(J45="grades",15,IF(J45="syllable-digit pairs",16,IF(J45="trigram-word pairs",17,IF(J45="word-digit pairs",18,IF(J45="English-Swahili pairs",19,IF(J45="spatial position",20,IF(J45="word pairs",21,IF(J45="word triads",22,IF(J45="generated words",23,IF(J45="word definition pairs",24,IF(J45="math problems",25,IF(J45="famous faces",26,IF(J45="famous names",27,IF(J45="famous voices",28,IF(J45="television programs",29,IF(J45="race horses",30,IF(J45="new vocabulary",31,IF(J45="sentences",32,IF(J45="concepts",33,IF(J45="ad slides",34,IF(J45="scenes",35,IF(J45="famous scenes",36,IF(J45="poems",37,IF(J45="walk",38,IF(J45="faces and events",39,IF(J45="events and names",40,IF(J45="flashbulb",41,IF(J45="stories",42,IF(J45="course material",43,IF(J45="autobiographical",44,IF(J45="novels",45,IF(J45="public events",46,"99"))))))))))))))))))))))))))))))))))))))))))))))</f>
        <v>9</v>
      </c>
      <c r="L45" s="69">
        <f>IF(J45="syllables",1,IF(J45="trigrams",1,IF(J45="strings",1,IF(J45="visual array",1,IF(J45="characters",1,IF(J45="letters",1,IF(J45="free forms",1,IF(J45="odors",2,IF(J45="words",2,IF(J45="pictures",2,IF(J45="object pictures",2,IF(J45="faces",2,IF(J45="names",2,IF(J45="idioms","2",IF(J45="grades",2,IF(J45="syllable-digit pairs",3,IF(J45="trigram-word pairs",3,IF(J45="word-digit pairs",3,IF(J45="English-Swahili pairs",3,IF(J45="spatial position",3,IF(J45="word pairs",4,IF(J45="word triads",4,IF(J45="generated words",4,IF(J45="word definition pairs",4,IF(J45="math problems",4,IF(J45="famous faces",4,IF(J45="famous names",4,IF(J45="famous voices",4,IF(J45="television programs",4,IF(J45="race horses",4,IF(J45="new vocabulary",4,IF(J45="sentences",5,IF(J45="concepts",5,IF(J45="ad slides",5,IF(J45="scenes",5,IF(J45="famous scenes",5,IF(J45="poems",6,IF(J45="walk",6,IF(J45="faces and events",6,IF(J45="events and names",6,IF(J45="flashbulb",7,IF(J45="stories",7,IF(J45="course material",7,IF(J45="autobiographical",7,IF(J45="novels",7,IF(J45="public events",7,"99"))))))))))))))))))))))))))))))))))))))))))))))</f>
        <v>2</v>
      </c>
      <c r="M45" s="69">
        <v>1</v>
      </c>
      <c r="N45" s="69">
        <v>2</v>
      </c>
      <c r="O45" s="69">
        <v>0</v>
      </c>
      <c r="P45" s="69"/>
      <c r="Q45" s="69" t="s">
        <v>174</v>
      </c>
      <c r="R45" s="69">
        <f>IF(Q45="Free Recall",1,IF(Q45="Cued Recall",2,IF(Q45="Recognition",3,IF(Q45="Multiple Choice",4,IF(Q45="Savings",5,IF(Q45="Stem Completion",6,IF(Q45="Fragment Completion",7,IF(Q45="anagram solution",8,IF(Q45="Matching",9,IF(Q45="Problem Solving",10,"99"))))))))))</f>
        <v>1</v>
      </c>
      <c r="S45" s="69" t="s">
        <v>15</v>
      </c>
      <c r="T45" s="92" t="s">
        <v>581</v>
      </c>
      <c r="U45" s="69">
        <f>IF(T45="within",1,0)</f>
        <v>1</v>
      </c>
      <c r="V45" s="92">
        <v>10</v>
      </c>
      <c r="W45" s="69">
        <f>F45*V45</f>
        <v>200</v>
      </c>
      <c r="X45" s="69">
        <v>3</v>
      </c>
      <c r="Y45" s="87">
        <f>AV44</f>
        <v>1800</v>
      </c>
      <c r="Z45" s="69" t="s">
        <v>150</v>
      </c>
      <c r="AA45" s="69">
        <f>60*60*24*7</f>
        <v>604800</v>
      </c>
      <c r="AB45" s="69" t="str">
        <f>IF(AA45&lt;60,"1",IF(AA45&lt;=43200,"2",IF(AA45&lt;=777600,"3","4")))</f>
        <v>3</v>
      </c>
      <c r="AC45" s="72">
        <f>AVERAGE(AV44:DA44)</f>
        <v>204000</v>
      </c>
      <c r="AD45" s="69" t="str">
        <f>IF(AC45&lt;60,"1",IF(AC45&lt;=43200,"2",IF(AC45&lt;=777600,"3","4")))</f>
        <v>3</v>
      </c>
      <c r="AE45" s="87">
        <f>AA45-Y45</f>
        <v>603000</v>
      </c>
      <c r="AF45" s="88">
        <f>AV45</f>
        <v>0.97328731631144993</v>
      </c>
      <c r="AG45" s="72">
        <f>((AW45-AV45)+(AX45-AW45))/2</f>
        <v>-5.8959435154804951E-2</v>
      </c>
      <c r="AH45" s="4"/>
      <c r="AI45" s="72">
        <f>RSQ(AV45:AX45,AV44:AX44)</f>
        <v>0.98905597088703434</v>
      </c>
      <c r="AJ45" s="110">
        <f>SLOPE(AV45:AX45,AV44:AX44)</f>
        <v>-1.8448341561964356E-7</v>
      </c>
      <c r="AK45" s="72">
        <f>INTERCEPT(AV45:AX45,AV44:AX44)</f>
        <v>0.96690368120249193</v>
      </c>
      <c r="AL45" s="72">
        <f>INDEX(LINEST(LN(AV45:AX45),LN(AV44:AX44),TRUE,TRUE),3,1)</f>
        <v>0.99437660899412406</v>
      </c>
      <c r="AM45" s="72">
        <f>INDEX(LINEST(LN(AV45:AX45),LN(AV44:AX44)),1)</f>
        <v>-2.2817715052872257E-2</v>
      </c>
      <c r="AN45" s="72">
        <f>EXP(INDEX(LINEST(LN(AV45:AX45),LN(AV44:AX44)),1,2))</f>
        <v>1.1602433075741063</v>
      </c>
      <c r="AO45" s="89">
        <f>INDEX(LINEST((AV45:AX45),LN(AV44:AX44),TRUE,TRUE),3,1)</f>
        <v>0.99528855616101097</v>
      </c>
      <c r="AP45" s="89">
        <f>INDEX(LINEST((AV45:AX45),LN(AV44:AX44)),1)</f>
        <v>-2.0784814241122149E-2</v>
      </c>
      <c r="AQ45" s="90">
        <f>INDEX(LINEST(LN(AV45:AX45),SQRT(AV44:AX44),TRUE,TRUE),3,1)</f>
        <v>0.99561449054448981</v>
      </c>
      <c r="AR45" s="117">
        <f>INDEX(LINEST(LN(AV45:AX45),SQRT((AV44:AX44))),1)</f>
        <v>-1.6969447326422975E-4</v>
      </c>
      <c r="AS45" s="91">
        <f>INDEX(LINEST(1/(AV45:AX45),1/(SQRT(AV44:AX44)),TRUE,TRUE),3,1)</f>
        <v>0.87257598641827316</v>
      </c>
      <c r="AT45" s="91">
        <f>INDEX(LINEST(1/(AV45:AX45),1/SQRT(AV44:AX44)),1)</f>
        <v>-6.5081679223220013</v>
      </c>
      <c r="AU45" s="4"/>
      <c r="AV45" s="95">
        <v>0.97328731631144993</v>
      </c>
      <c r="AW45" s="95">
        <v>0.95915143093496391</v>
      </c>
      <c r="AX45" s="95">
        <v>0.85536844600184003</v>
      </c>
      <c r="AY45" s="27"/>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1"/>
      <c r="CS45" s="1"/>
      <c r="CT45" s="1"/>
      <c r="CU45" s="1"/>
    </row>
    <row r="46" spans="1:99" s="13" customFormat="1" ht="12" customHeight="1" x14ac:dyDescent="0.2">
      <c r="A46" s="68">
        <v>43976</v>
      </c>
      <c r="B46" s="70"/>
      <c r="C46" s="70"/>
      <c r="D46" s="69"/>
      <c r="E46" s="87"/>
      <c r="F46" s="69"/>
      <c r="G46" s="69"/>
      <c r="H46" s="69"/>
      <c r="I46" s="69"/>
      <c r="J46" s="69"/>
      <c r="K46" s="69"/>
      <c r="L46" s="69"/>
      <c r="M46" s="69"/>
      <c r="N46" s="92"/>
      <c r="O46" s="69"/>
      <c r="P46" s="69"/>
      <c r="Q46" s="69"/>
      <c r="R46" s="69"/>
      <c r="S46" s="69"/>
      <c r="T46" s="92"/>
      <c r="U46" s="69"/>
      <c r="V46" s="92"/>
      <c r="W46" s="69"/>
      <c r="X46" s="69"/>
      <c r="Y46" s="87"/>
      <c r="Z46" s="92"/>
      <c r="AA46" s="69"/>
      <c r="AB46" s="69"/>
      <c r="AC46" s="72"/>
      <c r="AD46" s="69"/>
      <c r="AE46" s="87"/>
      <c r="AF46" s="88"/>
      <c r="AG46" s="72"/>
      <c r="AH46" s="4"/>
      <c r="AI46" s="72"/>
      <c r="AJ46" s="110"/>
      <c r="AK46" s="72"/>
      <c r="AL46" s="72"/>
      <c r="AM46" s="72"/>
      <c r="AN46" s="72"/>
      <c r="AO46" s="89"/>
      <c r="AP46" s="89"/>
      <c r="AQ46" s="90"/>
      <c r="AR46" s="117"/>
      <c r="AS46" s="91"/>
      <c r="AT46" s="91"/>
      <c r="AU46" s="4"/>
      <c r="AV46" s="96">
        <f>60*30</f>
        <v>1800</v>
      </c>
      <c r="AW46" s="96">
        <f>60*90</f>
        <v>5400</v>
      </c>
      <c r="AX46" s="96">
        <f>60*60*24*7</f>
        <v>604800</v>
      </c>
      <c r="AY46" s="27"/>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53"/>
      <c r="CO46" s="53"/>
      <c r="CP46" s="53"/>
      <c r="CQ46" s="53"/>
      <c r="CR46" s="1"/>
      <c r="CS46" s="1"/>
      <c r="CT46" s="1"/>
      <c r="CU46" s="1"/>
    </row>
    <row r="47" spans="1:99" s="13" customFormat="1" ht="12" customHeight="1" x14ac:dyDescent="0.2">
      <c r="A47" s="68">
        <v>43976</v>
      </c>
      <c r="B47" s="70" t="s">
        <v>925</v>
      </c>
      <c r="C47" s="70" t="s">
        <v>926</v>
      </c>
      <c r="D47" s="69">
        <v>2001</v>
      </c>
      <c r="E47" s="87">
        <v>1</v>
      </c>
      <c r="F47" s="69">
        <v>20</v>
      </c>
      <c r="G47" s="69">
        <v>20</v>
      </c>
      <c r="H47" s="69" t="s">
        <v>927</v>
      </c>
      <c r="I47" s="69" t="s">
        <v>330</v>
      </c>
      <c r="J47" s="69" t="s">
        <v>16</v>
      </c>
      <c r="K47" s="69">
        <f>IF(J47="syllables",1,IF(J47="trigrams",2,IF(J47="strings",3,IF(J47="visual array",4,IF(J47="characters",5,IF(J47="letters",6,IF(J47="free forms",7,IF(J47="odors",8,IF(J47="words",9,IF(J47="pictures",10,IF(J47="object pictures",11,IF(J47="faces",12,IF(J47="names",13,IF(J47="idioms",14,IF(J47="grades",15,IF(J47="syllable-digit pairs",16,IF(J47="trigram-word pairs",17,IF(J47="word-digit pairs",18,IF(J47="English-Swahili pairs",19,IF(J47="spatial position",20,IF(J47="word pairs",21,IF(J47="word triads",22,IF(J47="generated words",23,IF(J47="word definition pairs",24,IF(J47="math problems",25,IF(J47="famous faces",26,IF(J47="famous names",27,IF(J47="famous voices",28,IF(J47="television programs",29,IF(J47="race horses",30,IF(J47="new vocabulary",31,IF(J47="sentences",32,IF(J47="concepts",33,IF(J47="ad slides",34,IF(J47="scenes",35,IF(J47="famous scenes",36,IF(J47="poems",37,IF(J47="walk",38,IF(J47="faces and events",39,IF(J47="events and names",40,IF(J47="flashbulb",41,IF(J47="stories",42,IF(J47="course material",43,IF(J47="autobiographical",44,IF(J47="novels",45,IF(J47="public events",46,"99"))))))))))))))))))))))))))))))))))))))))))))))</f>
        <v>9</v>
      </c>
      <c r="L47" s="69">
        <f>IF(J47="syllables",1,IF(J47="trigrams",1,IF(J47="strings",1,IF(J47="visual array",1,IF(J47="characters",1,IF(J47="letters",1,IF(J47="free forms",1,IF(J47="odors",2,IF(J47="words",2,IF(J47="pictures",2,IF(J47="object pictures",2,IF(J47="faces",2,IF(J47="names",2,IF(J47="idioms","2",IF(J47="grades",2,IF(J47="syllable-digit pairs",3,IF(J47="trigram-word pairs",3,IF(J47="word-digit pairs",3,IF(J47="English-Swahili pairs",3,IF(J47="spatial position",3,IF(J47="word pairs",4,IF(J47="word triads",4,IF(J47="generated words",4,IF(J47="word definition pairs",4,IF(J47="math problems",4,IF(J47="famous faces",4,IF(J47="famous names",4,IF(J47="famous voices",4,IF(J47="television programs",4,IF(J47="race horses",4,IF(J47="new vocabulary",4,IF(J47="sentences",5,IF(J47="concepts",5,IF(J47="ad slides",5,IF(J47="scenes",5,IF(J47="famous scenes",5,IF(J47="poems",6,IF(J47="walk",6,IF(J47="faces and events",6,IF(J47="events and names",6,IF(J47="flashbulb",7,IF(J47="stories",7,IF(J47="course material",7,IF(J47="autobiographical",7,IF(J47="novels",7,IF(J47="public events",7,"99"))))))))))))))))))))))))))))))))))))))))))))))</f>
        <v>2</v>
      </c>
      <c r="M47" s="69">
        <v>1</v>
      </c>
      <c r="N47" s="69">
        <v>2</v>
      </c>
      <c r="O47" s="69">
        <v>0</v>
      </c>
      <c r="P47" s="69"/>
      <c r="Q47" s="69" t="s">
        <v>182</v>
      </c>
      <c r="R47" s="69">
        <f>IF(Q47="Free Recall",1,IF(Q47="Cued Recall",2,IF(Q47="Recognition",3,IF(Q47="Multiple Choice",4,IF(Q47="Savings",5,IF(Q47="Stem Completion",6,IF(Q47="Fragment Completion",7,IF(Q47="anagram solution",8,IF(Q47="Matching",9,IF(Q47="Problem Solving",10,"99"))))))))))</f>
        <v>4</v>
      </c>
      <c r="S47" s="69" t="s">
        <v>15</v>
      </c>
      <c r="T47" s="92" t="s">
        <v>581</v>
      </c>
      <c r="U47" s="69">
        <f>IF(T47="within",1,0)</f>
        <v>1</v>
      </c>
      <c r="V47" s="92">
        <v>10</v>
      </c>
      <c r="W47" s="69">
        <f>F47*V47</f>
        <v>200</v>
      </c>
      <c r="X47" s="69">
        <v>3</v>
      </c>
      <c r="Y47" s="87">
        <f>AV46</f>
        <v>1800</v>
      </c>
      <c r="Z47" s="69" t="s">
        <v>150</v>
      </c>
      <c r="AA47" s="69">
        <f>60*60*24*7</f>
        <v>604800</v>
      </c>
      <c r="AB47" s="69" t="str">
        <f>IF(AA47&lt;60,"1",IF(AA47&lt;=43200,"2",IF(AA47&lt;=777600,"3","4")))</f>
        <v>3</v>
      </c>
      <c r="AC47" s="72">
        <f>AVERAGE(AV46:DA46)</f>
        <v>204000</v>
      </c>
      <c r="AD47" s="69" t="str">
        <f>IF(AC47&lt;60,"1",IF(AC47&lt;=43200,"2",IF(AC47&lt;=777600,"3","4")))</f>
        <v>3</v>
      </c>
      <c r="AE47" s="87">
        <f>AA47-Y47</f>
        <v>603000</v>
      </c>
      <c r="AF47" s="88">
        <f>AV47</f>
        <v>0.95899999999999996</v>
      </c>
      <c r="AG47" s="72">
        <f>((AW47-AV47)+(AX47-AW47))/2</f>
        <v>-9.7999999999999976E-2</v>
      </c>
      <c r="AH47" s="4"/>
      <c r="AI47" s="72">
        <f>RSQ(AV47:AX47,AV46:AX46)</f>
        <v>0.98745089735245806</v>
      </c>
      <c r="AJ47" s="110">
        <f>SLOPE(AV47:AX47,AV46:AX46)</f>
        <v>-3.0540142684837418E-7</v>
      </c>
      <c r="AK47" s="72">
        <f>INTERCEPT(AV47:AX47,AV46:AX46)</f>
        <v>0.94763522441040171</v>
      </c>
      <c r="AL47" s="72">
        <f>INDEX(LINEST(LN(AV47:AX47),LN(AV46:AX46),TRUE,TRUE),3,1)</f>
        <v>0.99469600356333077</v>
      </c>
      <c r="AM47" s="72">
        <f>INDEX(LINEST(LN(AV47:AX47),LN(AV46:AX46)),1)</f>
        <v>-4.0362451579561136E-2</v>
      </c>
      <c r="AN47" s="72">
        <f>EXP(INDEX(LINEST(LN(AV47:AX47),LN(AV46:AX46)),1,2))</f>
        <v>1.308267228802461</v>
      </c>
      <c r="AO47" s="89">
        <f>INDEX(LINEST((AV47:AX47),LN(AV46:AX46),TRUE,TRUE),3,1)</f>
        <v>0.99625422144313158</v>
      </c>
      <c r="AP47" s="89">
        <f>INDEX(LINEST((AV47:AX47),LN(AV46:AX46)),1)</f>
        <v>-3.4452690332818843E-2</v>
      </c>
      <c r="AQ47" s="90">
        <f>INDEX(LINEST(LN(AV47:AX47),SQRT(AV46:AX46),TRUE,TRUE),3,1)</f>
        <v>0.99532350226092892</v>
      </c>
      <c r="AR47" s="117">
        <f>INDEX(LINEST(LN(AV47:AX47),SQRT((AV46:AX46))),1)</f>
        <v>-3.0008194855464732E-4</v>
      </c>
      <c r="AS47" s="91">
        <f>INDEX(LINEST(1/(AV47:AX47),1/(SQRT(AV46:AX46)),TRUE,TRUE),3,1)</f>
        <v>0.8708437058504227</v>
      </c>
      <c r="AT47" s="91">
        <f>INDEX(LINEST(1/(AV47:AX47),1/SQRT(AV46:AX46)),1)</f>
        <v>-12.310153428749381</v>
      </c>
      <c r="AU47" s="4"/>
      <c r="AV47" s="95">
        <v>0.95899999999999996</v>
      </c>
      <c r="AW47" s="95">
        <v>0.93400000000000005</v>
      </c>
      <c r="AX47" s="95">
        <v>0.76300000000000001</v>
      </c>
      <c r="AY47" s="27"/>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53"/>
      <c r="CO47" s="53"/>
      <c r="CP47" s="53"/>
      <c r="CQ47" s="53"/>
      <c r="CR47" s="1"/>
      <c r="CS47" s="1"/>
      <c r="CT47" s="1"/>
      <c r="CU47" s="1"/>
    </row>
    <row r="48" spans="1:99" s="13" customFormat="1" ht="12" customHeight="1" x14ac:dyDescent="0.2">
      <c r="A48" s="68">
        <v>43509</v>
      </c>
      <c r="B48" s="70"/>
      <c r="C48" s="70"/>
      <c r="D48" s="69"/>
      <c r="E48" s="87"/>
      <c r="F48" s="69"/>
      <c r="G48" s="69"/>
      <c r="H48" s="69"/>
      <c r="I48" s="69"/>
      <c r="J48" s="69"/>
      <c r="K48" s="107"/>
      <c r="L48" s="107"/>
      <c r="M48" s="69"/>
      <c r="N48" s="69"/>
      <c r="O48" s="69"/>
      <c r="P48" s="69"/>
      <c r="Q48" s="69"/>
      <c r="R48" s="69"/>
      <c r="S48" s="69"/>
      <c r="T48" s="69"/>
      <c r="U48" s="69"/>
      <c r="V48" s="69"/>
      <c r="W48" s="69"/>
      <c r="X48" s="69"/>
      <c r="Y48" s="87"/>
      <c r="Z48" s="69"/>
      <c r="AA48" s="69"/>
      <c r="AB48" s="69"/>
      <c r="AC48" s="69"/>
      <c r="AD48" s="69"/>
      <c r="AE48" s="69"/>
      <c r="AF48" s="88"/>
      <c r="AG48" s="72"/>
      <c r="AH48" s="4"/>
      <c r="AI48" s="72"/>
      <c r="AJ48" s="110"/>
      <c r="AK48" s="72"/>
      <c r="AL48" s="72"/>
      <c r="AM48" s="72"/>
      <c r="AN48" s="72"/>
      <c r="AO48" s="72"/>
      <c r="AP48" s="72"/>
      <c r="AQ48" s="72"/>
      <c r="AR48" s="110"/>
      <c r="AS48" s="72"/>
      <c r="AT48" s="72"/>
      <c r="AU48" s="4"/>
      <c r="AV48" s="71">
        <f>15*60</f>
        <v>900</v>
      </c>
      <c r="AW48" s="71">
        <f>24*60*60*1</f>
        <v>86400</v>
      </c>
      <c r="AX48" s="71">
        <f>24*60*60*2</f>
        <v>172800</v>
      </c>
      <c r="AY48" s="53"/>
      <c r="AZ48" s="53"/>
      <c r="BA48" s="53"/>
      <c r="BB48" s="53"/>
      <c r="BC48" s="53"/>
      <c r="BD48" s="53"/>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53"/>
      <c r="CO48" s="53"/>
      <c r="CP48" s="53"/>
      <c r="CQ48" s="53"/>
      <c r="CR48" s="1"/>
      <c r="CS48" s="1"/>
      <c r="CT48" s="1"/>
      <c r="CU48" s="1"/>
    </row>
    <row r="49" spans="1:99" s="13" customFormat="1" ht="12" customHeight="1" x14ac:dyDescent="0.2">
      <c r="A49" s="68">
        <v>43509</v>
      </c>
      <c r="B49" s="70" t="s">
        <v>104</v>
      </c>
      <c r="C49" s="70" t="s">
        <v>105</v>
      </c>
      <c r="D49" s="69">
        <v>1957</v>
      </c>
      <c r="E49" s="87">
        <v>1</v>
      </c>
      <c r="F49" s="69">
        <v>27</v>
      </c>
      <c r="G49" s="69">
        <v>9</v>
      </c>
      <c r="H49" s="69" t="s">
        <v>22</v>
      </c>
      <c r="I49" s="104">
        <v>0</v>
      </c>
      <c r="J49" s="69" t="s">
        <v>677</v>
      </c>
      <c r="K49" s="69">
        <f>IF(J49="syllables",1,IF(J49="trigrams",2,IF(J49="strings",3,IF(J49="visual array",4,IF(J49="characters",5,IF(J49="letters",6,IF(J49="free forms",7,IF(J49="odors",8,IF(J49="words",9,IF(J49="pictures",10,IF(J49="object pictures",11,IF(J49="faces",12,IF(J49="names",13,IF(J49="idioms",14,IF(J49="grades",15,IF(J49="syllable-digit pairs",16,IF(J49="trigram-word pairs",17,IF(J49="word-digit pairs",18,IF(J49="English-Swahili pairs",19,IF(J49="spatial position",20,IF(J49="word pairs",21,IF(J49="word triads",22,IF(J49="generated words",23,IF(J49="word definition pairs",24,IF(J49="math problems",25,IF(J49="famous faces",26,IF(J49="famous names",27,IF(J49="famous voices",28,IF(J49="television programs",29,IF(J49="race horses",30,IF(J49="new vocabulary",31,IF(J49="sentences",32,IF(J49="concepts",33,IF(J49="ad slides",34,IF(J49="scenes",35,IF(J49="famous scenes",36,IF(J49="poems",37,IF(J49="walk",38,IF(J49="faces and events",39,IF(J49="events and names",40,IF(J49="flashbulb",41,IF(J49="stories",42,IF(J49="course material",43,IF(J49="autobiographical",44,IF(J49="novels",45,IF(J49="public events",46,"99"))))))))))))))))))))))))))))))))))))))))))))))</f>
        <v>42</v>
      </c>
      <c r="L49" s="69">
        <f>IF(J49="syllables",1,IF(J49="trigrams",1,IF(J49="strings",1,IF(J49="visual array",1,IF(J49="characters",1,IF(J49="letters",1,IF(J49="free forms",1,IF(J49="odors",2,IF(J49="words",2,IF(J49="pictures",2,IF(J49="object pictures",2,IF(J49="faces",2,IF(J49="names",2,IF(J49="idioms","2",IF(J49="grades",2,IF(J49="syllable-digit pairs",3,IF(J49="trigram-word pairs",3,IF(J49="word-digit pairs",3,IF(J49="English-Swahili pairs",3,IF(J49="spatial position",3,IF(J49="word pairs",4,IF(J49="word triads",4,IF(J49="generated words",4,IF(J49="word definition pairs",4,IF(J49="math problems",4,IF(J49="famous faces",4,IF(J49="famous names",4,IF(J49="famous voices",4,IF(J49="television programs",4,IF(J49="race horses",4,IF(J49="new vocabulary",4,IF(J49="sentences",5,IF(J49="concepts",5,IF(J49="ad slides",5,IF(J49="scenes",5,IF(J49="famous scenes",5,IF(J49="poems",6,IF(J49="walk",6,IF(J49="faces and events",6,IF(J49="events and names",6,IF(J49="flashbulb",7,IF(J49="stories",7,IF(J49="course material",7,IF(J49="autobiographical",7,IF(J49="novels",7,IF(J49="public events",7,"99"))))))))))))))))))))))))))))))))))))))))))))))</f>
        <v>7</v>
      </c>
      <c r="M49" s="69">
        <v>1</v>
      </c>
      <c r="N49" s="69">
        <v>4</v>
      </c>
      <c r="O49" s="69">
        <v>0</v>
      </c>
      <c r="P49" s="69"/>
      <c r="Q49" s="69" t="s">
        <v>174</v>
      </c>
      <c r="R49" s="69">
        <f>IF(Q49="Free Recall",1,IF(Q49="Cued Recall",2,IF(Q49="Recognition",3,IF(Q49="Multiple Choice",4,IF(Q49="Savings",5,IF(Q49="Stem Completion",6,IF(Q49="Fragment Completion",7,IF(Q49="anagram solution",8,IF(Q49="Matching",9,IF(Q49="Problem Solving",10,"99"))))))))))</f>
        <v>1</v>
      </c>
      <c r="S49" s="69" t="s">
        <v>49</v>
      </c>
      <c r="T49" s="69" t="s">
        <v>261</v>
      </c>
      <c r="U49" s="69">
        <f>IF(T49="within",1,0)</f>
        <v>0</v>
      </c>
      <c r="V49" s="69">
        <v>22</v>
      </c>
      <c r="W49" s="69">
        <f>F49*V49</f>
        <v>594</v>
      </c>
      <c r="X49" s="69">
        <v>3</v>
      </c>
      <c r="Y49" s="87">
        <f>AV48</f>
        <v>900</v>
      </c>
      <c r="Z49" s="69" t="s">
        <v>88</v>
      </c>
      <c r="AA49" s="69">
        <v>172800</v>
      </c>
      <c r="AB49" s="69" t="str">
        <f>IF(AA49&lt;60,"1",IF(AA49&lt;=43200,"2",IF(AA49&lt;=777600,"3","4")))</f>
        <v>3</v>
      </c>
      <c r="AC49" s="72">
        <f>AVERAGE(AV48:DA48)</f>
        <v>86700</v>
      </c>
      <c r="AD49" s="69" t="str">
        <f>IF(AC49&lt;60,"1",IF(AC49&lt;=43200,"2",IF(AC49&lt;=777600,"3","4")))</f>
        <v>3</v>
      </c>
      <c r="AE49" s="87">
        <f>AA49-Y49</f>
        <v>171900</v>
      </c>
      <c r="AF49" s="88">
        <f>AV49</f>
        <v>0.68200000000000005</v>
      </c>
      <c r="AG49" s="72">
        <f>((AW49-AV49)+(AX49-AW49))/2</f>
        <v>-4.550000000000004E-2</v>
      </c>
      <c r="AH49" s="4"/>
      <c r="AI49" s="72">
        <f>RSQ(AV49:AX49,AV48:AX48)</f>
        <v>0.51183780265262713</v>
      </c>
      <c r="AJ49" s="110">
        <f>SLOPE(AV49:AX49,AV48:AX48)</f>
        <v>-5.2781940231229419E-7</v>
      </c>
      <c r="AK49" s="72">
        <f>INTERCEPT(AV49:AX49,AV48:AX48)</f>
        <v>0.6567619421804759</v>
      </c>
      <c r="AL49" s="72">
        <f>INDEX(LINEST(LN(AV49:AX49),LN(AV48:AX48),TRUE,TRUE),3,1)</f>
        <v>0.85596328558138979</v>
      </c>
      <c r="AM49" s="72">
        <f>INDEX(LINEST(LN(AV49:AX49),LN(AV48:AX48)),1)</f>
        <v>-3.2993561655819785E-2</v>
      </c>
      <c r="AN49" s="72">
        <f>EXP(INDEX(LINEST(LN(AV49:AX49),LN(AV48:AX48)),1,2))</f>
        <v>0.8489909990412986</v>
      </c>
      <c r="AO49" s="89">
        <f>INDEX(LINEST((AV49:AX49),LN(AV48:AX48),TRUE,TRUE),3,1)</f>
        <v>0.87019791971310934</v>
      </c>
      <c r="AP49" s="89">
        <f>INDEX(LINEST((AV49:AX49),LN(AV48:AX48)),1)</f>
        <v>-2.0708718332385152E-2</v>
      </c>
      <c r="AQ49" s="90">
        <f>INDEX(LINEST(LN(AV49:AX49),SQRT(AV48:AX48),TRUE,TRUE),3,1)</f>
        <v>0.69826026748342485</v>
      </c>
      <c r="AR49" s="117">
        <f>INDEX(LINEST(LN(AV49:AX49),SQRT((AV48:AX48))),1)</f>
        <v>-4.3171945439728169E-4</v>
      </c>
      <c r="AS49" s="91">
        <f>INDEX(LINEST(1/(AV49:AX49),1/(SQRT(AV48:AX48)),TRUE,TRUE),3,1)</f>
        <v>0.90249245293282299</v>
      </c>
      <c r="AT49" s="91">
        <f>INDEX(LINEST(1/(AV49:AX49),1/SQRT(AV48:AX48)),1)</f>
        <v>-8.8758499921568372</v>
      </c>
      <c r="AU49" s="3"/>
      <c r="AV49" s="73">
        <v>0.68200000000000005</v>
      </c>
      <c r="AW49" s="73">
        <v>0.56000000000000005</v>
      </c>
      <c r="AX49" s="73">
        <v>0.59099999999999997</v>
      </c>
      <c r="AY49" s="53"/>
      <c r="AZ49" s="53"/>
      <c r="BA49" s="53"/>
      <c r="BB49" s="53"/>
      <c r="BC49" s="53"/>
      <c r="BD49" s="53"/>
      <c r="BE49" s="53"/>
      <c r="BF49" s="53"/>
      <c r="BG49" s="53"/>
      <c r="BH49" s="53"/>
      <c r="BI49" s="53"/>
      <c r="BJ49" s="53"/>
      <c r="BK49" s="53"/>
      <c r="BL49" s="53"/>
      <c r="BM49" s="53"/>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53"/>
      <c r="CO49" s="53"/>
      <c r="CP49" s="53"/>
      <c r="CQ49" s="53"/>
      <c r="CR49" s="1"/>
      <c r="CS49" s="1"/>
      <c r="CT49" s="1"/>
      <c r="CU49" s="1"/>
    </row>
    <row r="50" spans="1:99" s="13" customFormat="1" ht="12" customHeight="1" x14ac:dyDescent="0.2">
      <c r="A50" s="68">
        <v>43509</v>
      </c>
      <c r="B50" s="70"/>
      <c r="C50" s="70"/>
      <c r="D50" s="69"/>
      <c r="E50" s="87"/>
      <c r="F50" s="69"/>
      <c r="G50" s="69"/>
      <c r="H50" s="69"/>
      <c r="I50" s="69"/>
      <c r="J50" s="69"/>
      <c r="K50" s="107"/>
      <c r="L50" s="107"/>
      <c r="M50" s="69"/>
      <c r="N50" s="69"/>
      <c r="O50" s="69"/>
      <c r="P50" s="69"/>
      <c r="Q50" s="69"/>
      <c r="R50" s="69"/>
      <c r="S50" s="69"/>
      <c r="T50" s="69"/>
      <c r="U50" s="69"/>
      <c r="V50" s="69"/>
      <c r="W50" s="69"/>
      <c r="X50" s="69"/>
      <c r="Y50" s="87"/>
      <c r="Z50" s="69"/>
      <c r="AA50" s="69"/>
      <c r="AB50" s="69"/>
      <c r="AC50" s="69"/>
      <c r="AD50" s="69"/>
      <c r="AE50" s="69"/>
      <c r="AF50" s="88"/>
      <c r="AG50" s="72"/>
      <c r="AH50" s="4"/>
      <c r="AI50" s="72"/>
      <c r="AJ50" s="110"/>
      <c r="AK50" s="72"/>
      <c r="AL50" s="72"/>
      <c r="AM50" s="72"/>
      <c r="AN50" s="72"/>
      <c r="AO50" s="72"/>
      <c r="AP50" s="72"/>
      <c r="AQ50" s="72"/>
      <c r="AR50" s="110"/>
      <c r="AS50" s="72"/>
      <c r="AT50" s="72"/>
      <c r="AU50" s="5"/>
      <c r="AV50" s="71">
        <f>15*60</f>
        <v>900</v>
      </c>
      <c r="AW50" s="71">
        <f>24*60*60*1</f>
        <v>86400</v>
      </c>
      <c r="AX50" s="71">
        <f>24*60*60*2</f>
        <v>172800</v>
      </c>
      <c r="AY50" s="53"/>
      <c r="AZ50" s="53"/>
      <c r="BA50" s="5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53"/>
      <c r="CO50" s="53"/>
      <c r="CP50" s="53"/>
      <c r="CQ50" s="53"/>
      <c r="CR50" s="1"/>
      <c r="CS50" s="1"/>
      <c r="CT50" s="1"/>
      <c r="CU50" s="1"/>
    </row>
    <row r="51" spans="1:99" s="13" customFormat="1" ht="12" customHeight="1" x14ac:dyDescent="0.2">
      <c r="A51" s="68">
        <v>43509</v>
      </c>
      <c r="B51" s="70" t="s">
        <v>104</v>
      </c>
      <c r="C51" s="70" t="s">
        <v>105</v>
      </c>
      <c r="D51" s="69">
        <v>1957</v>
      </c>
      <c r="E51" s="87">
        <v>1</v>
      </c>
      <c r="F51" s="69">
        <v>27</v>
      </c>
      <c r="G51" s="69">
        <v>9</v>
      </c>
      <c r="H51" s="69" t="s">
        <v>22</v>
      </c>
      <c r="I51" s="104">
        <v>1</v>
      </c>
      <c r="J51" s="69" t="s">
        <v>677</v>
      </c>
      <c r="K51" s="69">
        <f>IF(J51="syllables",1,IF(J51="trigrams",2,IF(J51="strings",3,IF(J51="visual array",4,IF(J51="characters",5,IF(J51="letters",6,IF(J51="free forms",7,IF(J51="odors",8,IF(J51="words",9,IF(J51="pictures",10,IF(J51="object pictures",11,IF(J51="faces",12,IF(J51="names",13,IF(J51="idioms",14,IF(J51="grades",15,IF(J51="syllable-digit pairs",16,IF(J51="trigram-word pairs",17,IF(J51="word-digit pairs",18,IF(J51="English-Swahili pairs",19,IF(J51="spatial position",20,IF(J51="word pairs",21,IF(J51="word triads",22,IF(J51="generated words",23,IF(J51="word definition pairs",24,IF(J51="math problems",25,IF(J51="famous faces",26,IF(J51="famous names",27,IF(J51="famous voices",28,IF(J51="television programs",29,IF(J51="race horses",30,IF(J51="new vocabulary",31,IF(J51="sentences",32,IF(J51="concepts",33,IF(J51="ad slides",34,IF(J51="scenes",35,IF(J51="famous scenes",36,IF(J51="poems",37,IF(J51="walk",38,IF(J51="faces and events",39,IF(J51="events and names",40,IF(J51="flashbulb",41,IF(J51="stories",42,IF(J51="course material",43,IF(J51="autobiographical",44,IF(J51="novels",45,IF(J51="public events",46,"99"))))))))))))))))))))))))))))))))))))))))))))))</f>
        <v>42</v>
      </c>
      <c r="L51" s="69">
        <f>IF(J51="syllables",1,IF(J51="trigrams",1,IF(J51="strings",1,IF(J51="visual array",1,IF(J51="characters",1,IF(J51="letters",1,IF(J51="free forms",1,IF(J51="odors",2,IF(J51="words",2,IF(J51="pictures",2,IF(J51="object pictures",2,IF(J51="faces",2,IF(J51="names",2,IF(J51="idioms","2",IF(J51="grades",2,IF(J51="syllable-digit pairs",3,IF(J51="trigram-word pairs",3,IF(J51="word-digit pairs",3,IF(J51="English-Swahili pairs",3,IF(J51="spatial position",3,IF(J51="word pairs",4,IF(J51="word triads",4,IF(J51="generated words",4,IF(J51="word definition pairs",4,IF(J51="math problems",4,IF(J51="famous faces",4,IF(J51="famous names",4,IF(J51="famous voices",4,IF(J51="television programs",4,IF(J51="race horses",4,IF(J51="new vocabulary",4,IF(J51="sentences",5,IF(J51="concepts",5,IF(J51="ad slides",5,IF(J51="scenes",5,IF(J51="famous scenes",5,IF(J51="poems",6,IF(J51="walk",6,IF(J51="faces and events",6,IF(J51="events and names",6,IF(J51="flashbulb",7,IF(J51="stories",7,IF(J51="course material",7,IF(J51="autobiographical",7,IF(J51="novels",7,IF(J51="public events",7,"99"))))))))))))))))))))))))))))))))))))))))))))))</f>
        <v>7</v>
      </c>
      <c r="M51" s="69">
        <v>1</v>
      </c>
      <c r="N51" s="69">
        <v>4</v>
      </c>
      <c r="O51" s="69">
        <v>0</v>
      </c>
      <c r="P51" s="69"/>
      <c r="Q51" s="69" t="s">
        <v>174</v>
      </c>
      <c r="R51" s="69">
        <f>IF(Q51="Free Recall",1,IF(Q51="Cued Recall",2,IF(Q51="Recognition",3,IF(Q51="Multiple Choice",4,IF(Q51="Savings",5,IF(Q51="Stem Completion",6,IF(Q51="Fragment Completion",7,IF(Q51="anagram solution",8,IF(Q51="Matching",9,IF(Q51="Problem Solving",10,"99"))))))))))</f>
        <v>1</v>
      </c>
      <c r="S51" s="69" t="s">
        <v>49</v>
      </c>
      <c r="T51" s="69" t="s">
        <v>261</v>
      </c>
      <c r="U51" s="69">
        <f>IF(T51="within",1,0)</f>
        <v>0</v>
      </c>
      <c r="V51" s="69">
        <v>22</v>
      </c>
      <c r="W51" s="69">
        <f>F51*V51</f>
        <v>594</v>
      </c>
      <c r="X51" s="69">
        <v>3</v>
      </c>
      <c r="Y51" s="87">
        <f>AV50</f>
        <v>900</v>
      </c>
      <c r="Z51" s="69" t="s">
        <v>88</v>
      </c>
      <c r="AA51" s="69">
        <v>172800</v>
      </c>
      <c r="AB51" s="69" t="str">
        <f>IF(AA51&lt;60,"1",IF(AA51&lt;=43200,"2",IF(AA51&lt;=777600,"3","4")))</f>
        <v>3</v>
      </c>
      <c r="AC51" s="72">
        <f>AVERAGE(AV50:DA50)</f>
        <v>86700</v>
      </c>
      <c r="AD51" s="69" t="str">
        <f>IF(AC51&lt;60,"1",IF(AC51&lt;=43200,"2",IF(AC51&lt;=777600,"3","4")))</f>
        <v>3</v>
      </c>
      <c r="AE51" s="87">
        <f>AA51-Y51</f>
        <v>171900</v>
      </c>
      <c r="AF51" s="88">
        <f>AV51</f>
        <v>0.879</v>
      </c>
      <c r="AG51" s="72">
        <f>((AW51-AV51)+(AX51-AW51))/2</f>
        <v>-0.11399999999999999</v>
      </c>
      <c r="AH51" s="4"/>
      <c r="AI51" s="72">
        <f>RSQ(AV51:AX51,AV50:AX50)</f>
        <v>0.74737765432549974</v>
      </c>
      <c r="AJ51" s="110">
        <f>SLOPE(AV51:AX51,AV50:AX50)</f>
        <v>-1.3240256813225635E-6</v>
      </c>
      <c r="AK51" s="72">
        <f>INTERCEPT(AV51:AX51,AV50:AX50)</f>
        <v>0.84179302657066624</v>
      </c>
      <c r="AL51" s="72">
        <f>INDEX(LINEST(LN(AV51:AX51),LN(AV50:AX50),TRUE,TRUE),3,1)</f>
        <v>0.9852787306405133</v>
      </c>
      <c r="AM51" s="72">
        <f>INDEX(LINEST(LN(AV51:AX51),LN(AV50:AX50)),1)</f>
        <v>-6.0244254685207492E-2</v>
      </c>
      <c r="AN51" s="72">
        <f>EXP(INDEX(LINEST(LN(AV51:AX51),LN(AV50:AX50)),1,2))</f>
        <v>1.3203381341319294</v>
      </c>
      <c r="AO51" s="89">
        <f>INDEX(LINEST((AV51:AX51),LN(AV50:AX50),TRUE,TRUE),3,1)</f>
        <v>0.9852787306405133</v>
      </c>
      <c r="AP51" s="89">
        <f>INDEX(LINEST((AV51:AX51),LN(AV50:AX50)),1)</f>
        <v>-4.5743662914966218E-2</v>
      </c>
      <c r="AQ51" s="90">
        <f>INDEX(LINEST(LN(AV51:AX51),SQRT(AV50:AX50),TRUE,TRUE),3,1)</f>
        <v>0.90466785733177502</v>
      </c>
      <c r="AR51" s="117">
        <f>INDEX(LINEST(LN(AV51:AX51),SQRT((AV50:AX50))),1)</f>
        <v>-8.3631904103828255E-4</v>
      </c>
      <c r="AS51" s="91">
        <f>INDEX(LINEST(1/(AV51:AX51),1/(SQRT(AV50:AX50)),TRUE,TRUE),3,1)</f>
        <v>0.99919642244159812</v>
      </c>
      <c r="AT51" s="91">
        <f>INDEX(LINEST(1/(AV51:AX51),1/SQRT(AV50:AX50)),1)</f>
        <v>-13.083418731572904</v>
      </c>
      <c r="AU51" s="3"/>
      <c r="AV51" s="73">
        <v>0.879</v>
      </c>
      <c r="AW51" s="73">
        <v>0.65100000000000002</v>
      </c>
      <c r="AX51" s="73">
        <v>0.65100000000000002</v>
      </c>
      <c r="AY51" s="53"/>
      <c r="AZ51" s="53"/>
      <c r="BA51" s="53"/>
      <c r="BB51" s="53"/>
      <c r="BC51" s="53"/>
      <c r="BD51" s="53"/>
      <c r="BE51" s="53"/>
      <c r="BF51" s="53"/>
      <c r="BG51" s="53"/>
      <c r="BH51" s="53"/>
      <c r="BI51" s="53"/>
      <c r="BJ51" s="53"/>
      <c r="BK51" s="53"/>
      <c r="BL51" s="53"/>
      <c r="BM51" s="53"/>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53"/>
      <c r="CO51" s="53"/>
      <c r="CP51" s="53"/>
      <c r="CQ51" s="53"/>
      <c r="CR51" s="1"/>
      <c r="CS51" s="1"/>
      <c r="CT51" s="1"/>
      <c r="CU51" s="1"/>
    </row>
    <row r="52" spans="1:99" s="13" customFormat="1" ht="12" customHeight="1" x14ac:dyDescent="0.2">
      <c r="A52" s="68">
        <v>43509</v>
      </c>
      <c r="B52" s="70"/>
      <c r="C52" s="70"/>
      <c r="D52" s="69"/>
      <c r="E52" s="87"/>
      <c r="F52" s="69"/>
      <c r="G52" s="69"/>
      <c r="H52" s="69"/>
      <c r="I52" s="69"/>
      <c r="J52" s="69"/>
      <c r="K52" s="107"/>
      <c r="L52" s="107"/>
      <c r="M52" s="69"/>
      <c r="N52" s="69"/>
      <c r="O52" s="69"/>
      <c r="P52" s="69"/>
      <c r="Q52" s="69"/>
      <c r="R52" s="69"/>
      <c r="S52" s="69"/>
      <c r="T52" s="69"/>
      <c r="U52" s="69"/>
      <c r="V52" s="69"/>
      <c r="W52" s="69"/>
      <c r="X52" s="69"/>
      <c r="Y52" s="87"/>
      <c r="Z52" s="69"/>
      <c r="AA52" s="69"/>
      <c r="AB52" s="69"/>
      <c r="AC52" s="69"/>
      <c r="AD52" s="69"/>
      <c r="AE52" s="69"/>
      <c r="AF52" s="88"/>
      <c r="AG52" s="72"/>
      <c r="AH52" s="4"/>
      <c r="AI52" s="72"/>
      <c r="AJ52" s="110"/>
      <c r="AK52" s="72"/>
      <c r="AL52" s="72"/>
      <c r="AM52" s="72"/>
      <c r="AN52" s="72"/>
      <c r="AO52" s="72"/>
      <c r="AP52" s="72"/>
      <c r="AQ52" s="72"/>
      <c r="AR52" s="110"/>
      <c r="AS52" s="72"/>
      <c r="AT52" s="72"/>
      <c r="AU52" s="5"/>
      <c r="AV52" s="71">
        <f>15*60</f>
        <v>900</v>
      </c>
      <c r="AW52" s="71">
        <f>24*60*60*1</f>
        <v>86400</v>
      </c>
      <c r="AX52" s="71">
        <f>24*60*60*2</f>
        <v>172800</v>
      </c>
      <c r="AY52" s="53"/>
      <c r="AZ52" s="53"/>
      <c r="BA52" s="53"/>
      <c r="BB52" s="53"/>
      <c r="BC52" s="53"/>
      <c r="BD52" s="53"/>
      <c r="BE52" s="53"/>
      <c r="BF52" s="53"/>
      <c r="BG52" s="53"/>
      <c r="BH52" s="53"/>
      <c r="BI52" s="53"/>
      <c r="BJ52" s="53"/>
      <c r="BK52" s="53"/>
      <c r="BL52" s="53"/>
      <c r="BM52" s="53"/>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53"/>
      <c r="CO52" s="53"/>
      <c r="CP52" s="53"/>
      <c r="CQ52" s="53"/>
      <c r="CR52" s="1"/>
      <c r="CS52" s="1"/>
      <c r="CT52" s="1"/>
      <c r="CU52" s="1"/>
    </row>
    <row r="53" spans="1:99" s="13" customFormat="1" ht="12" customHeight="1" x14ac:dyDescent="0.2">
      <c r="A53" s="68">
        <v>43509</v>
      </c>
      <c r="B53" s="70" t="s">
        <v>104</v>
      </c>
      <c r="C53" s="70" t="s">
        <v>105</v>
      </c>
      <c r="D53" s="69">
        <v>1957</v>
      </c>
      <c r="E53" s="87">
        <v>1</v>
      </c>
      <c r="F53" s="69">
        <v>27</v>
      </c>
      <c r="G53" s="69">
        <v>9</v>
      </c>
      <c r="H53" s="69" t="s">
        <v>22</v>
      </c>
      <c r="I53" s="104">
        <v>2</v>
      </c>
      <c r="J53" s="69" t="s">
        <v>677</v>
      </c>
      <c r="K53" s="69">
        <f>IF(J53="syllables",1,IF(J53="trigrams",2,IF(J53="strings",3,IF(J53="visual array",4,IF(J53="characters",5,IF(J53="letters",6,IF(J53="free forms",7,IF(J53="odors",8,IF(J53="words",9,IF(J53="pictures",10,IF(J53="object pictures",11,IF(J53="faces",12,IF(J53="names",13,IF(J53="idioms",14,IF(J53="grades",15,IF(J53="syllable-digit pairs",16,IF(J53="trigram-word pairs",17,IF(J53="word-digit pairs",18,IF(J53="English-Swahili pairs",19,IF(J53="spatial position",20,IF(J53="word pairs",21,IF(J53="word triads",22,IF(J53="generated words",23,IF(J53="word definition pairs",24,IF(J53="math problems",25,IF(J53="famous faces",26,IF(J53="famous names",27,IF(J53="famous voices",28,IF(J53="television programs",29,IF(J53="race horses",30,IF(J53="new vocabulary",31,IF(J53="sentences",32,IF(J53="concepts",33,IF(J53="ad slides",34,IF(J53="scenes",35,IF(J53="famous scenes",36,IF(J53="poems",37,IF(J53="walk",38,IF(J53="faces and events",39,IF(J53="events and names",40,IF(J53="flashbulb",41,IF(J53="stories",42,IF(J53="course material",43,IF(J53="autobiographical",44,IF(J53="novels",45,IF(J53="public events",46,"99"))))))))))))))))))))))))))))))))))))))))))))))</f>
        <v>42</v>
      </c>
      <c r="L53" s="69">
        <f>IF(J53="syllables",1,IF(J53="trigrams",1,IF(J53="strings",1,IF(J53="visual array",1,IF(J53="characters",1,IF(J53="letters",1,IF(J53="free forms",1,IF(J53="odors",2,IF(J53="words",2,IF(J53="pictures",2,IF(J53="object pictures",2,IF(J53="faces",2,IF(J53="names",2,IF(J53="idioms","2",IF(J53="grades",2,IF(J53="syllable-digit pairs",3,IF(J53="trigram-word pairs",3,IF(J53="word-digit pairs",3,IF(J53="English-Swahili pairs",3,IF(J53="spatial position",3,IF(J53="word pairs",4,IF(J53="word triads",4,IF(J53="generated words",4,IF(J53="word definition pairs",4,IF(J53="math problems",4,IF(J53="famous faces",4,IF(J53="famous names",4,IF(J53="famous voices",4,IF(J53="television programs",4,IF(J53="race horses",4,IF(J53="new vocabulary",4,IF(J53="sentences",5,IF(J53="concepts",5,IF(J53="ad slides",5,IF(J53="scenes",5,IF(J53="famous scenes",5,IF(J53="poems",6,IF(J53="walk",6,IF(J53="faces and events",6,IF(J53="events and names",6,IF(J53="flashbulb",7,IF(J53="stories",7,IF(J53="course material",7,IF(J53="autobiographical",7,IF(J53="novels",7,IF(J53="public events",7,"99"))))))))))))))))))))))))))))))))))))))))))))))</f>
        <v>7</v>
      </c>
      <c r="M53" s="69">
        <v>1</v>
      </c>
      <c r="N53" s="69">
        <v>4</v>
      </c>
      <c r="O53" s="69">
        <v>0</v>
      </c>
      <c r="P53" s="69"/>
      <c r="Q53" s="69" t="s">
        <v>174</v>
      </c>
      <c r="R53" s="69">
        <f>IF(Q53="Free Recall",1,IF(Q53="Cued Recall",2,IF(Q53="Recognition",3,IF(Q53="Multiple Choice",4,IF(Q53="Savings",5,IF(Q53="Stem Completion",6,IF(Q53="Fragment Completion",7,IF(Q53="anagram solution",8,IF(Q53="Matching",9,IF(Q53="Problem Solving",10,"99"))))))))))</f>
        <v>1</v>
      </c>
      <c r="S53" s="69" t="s">
        <v>49</v>
      </c>
      <c r="T53" s="69" t="s">
        <v>261</v>
      </c>
      <c r="U53" s="69">
        <f>IF(T53="within",1,0)</f>
        <v>0</v>
      </c>
      <c r="V53" s="69">
        <v>22</v>
      </c>
      <c r="W53" s="69">
        <f>F53*V53</f>
        <v>594</v>
      </c>
      <c r="X53" s="69">
        <v>3</v>
      </c>
      <c r="Y53" s="87">
        <f>AV52</f>
        <v>900</v>
      </c>
      <c r="Z53" s="69" t="s">
        <v>88</v>
      </c>
      <c r="AA53" s="69">
        <v>172800</v>
      </c>
      <c r="AB53" s="69" t="str">
        <f>IF(AA53&lt;60,"1",IF(AA53&lt;=43200,"2",IF(AA53&lt;=777600,"3","4")))</f>
        <v>3</v>
      </c>
      <c r="AC53" s="72">
        <f>AVERAGE(AV52:DA52)</f>
        <v>86700</v>
      </c>
      <c r="AD53" s="69" t="str">
        <f>IF(AC53&lt;60,"1",IF(AC53&lt;=43200,"2",IF(AC53&lt;=777600,"3","4")))</f>
        <v>3</v>
      </c>
      <c r="AE53" s="87">
        <f>AA53-Y53</f>
        <v>171900</v>
      </c>
      <c r="AF53" s="88">
        <f>AV53</f>
        <v>1</v>
      </c>
      <c r="AG53" s="72">
        <f>((AW53-AV53)+(AX53-AW53))/2</f>
        <v>-0.11199999999999999</v>
      </c>
      <c r="AH53" s="4"/>
      <c r="AI53" s="72">
        <f>RSQ(AV53:AX53,AV52:AX52)</f>
        <v>0.88285543670504107</v>
      </c>
      <c r="AJ53" s="110">
        <f>SLOPE(AV53:AX53,AV52:AX52)</f>
        <v>-1.301649955938907E-6</v>
      </c>
      <c r="AK53" s="72">
        <f>INTERCEPT(AV53:AX53,AV52:AX52)</f>
        <v>0.97751971784656999</v>
      </c>
      <c r="AL53" s="72">
        <f>INDEX(LINEST(LN(AV53:AX53),LN(AV52:AX52),TRUE,TRUE),3,1)</f>
        <v>0.99414325523189206</v>
      </c>
      <c r="AM53" s="72">
        <f>INDEX(LINEST(LN(AV53:AX53),LN(AV52:AX52)),1)</f>
        <v>-4.6712226118396982E-2</v>
      </c>
      <c r="AN53" s="72">
        <f>EXP(INDEX(LINEST(LN(AV53:AX53),LN(AV52:AX52)),1,2))</f>
        <v>1.3760125054745063</v>
      </c>
      <c r="AO53" s="89">
        <f>INDEX(LINEST((AV53:AX53),LN(AV52:AX52),TRUE,TRUE),3,1)</f>
        <v>0.99690456444685516</v>
      </c>
      <c r="AP53" s="89">
        <f>INDEX(LINEST((AV53:AX53),LN(AV52:AX52)),1)</f>
        <v>-4.1619919098982196E-2</v>
      </c>
      <c r="AQ53" s="90">
        <f>INDEX(LINEST(LN(AV53:AX53),SQRT(AV52:AX52),TRUE,TRUE),3,1)</f>
        <v>0.98668394664985593</v>
      </c>
      <c r="AR53" s="117">
        <f>INDEX(LINEST(LN(AV53:AX53),SQRT((AV52:AX52))),1)</f>
        <v>-6.7419640614464424E-4</v>
      </c>
      <c r="AS53" s="91">
        <f>INDEX(LINEST(1/(AV53:AX53),1/(SQRT(AV52:AX52)),TRUE,TRUE),3,1)</f>
        <v>0.96350975730198085</v>
      </c>
      <c r="AT53" s="91">
        <f>INDEX(LINEST(1/(AV53:AX53),1/SQRT(AV52:AX52)),1)</f>
        <v>-8.4455965283668419</v>
      </c>
      <c r="AU53" s="3"/>
      <c r="AV53" s="73">
        <v>1</v>
      </c>
      <c r="AW53" s="73">
        <v>0.81799999999999995</v>
      </c>
      <c r="AX53" s="73">
        <v>0.77600000000000002</v>
      </c>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1"/>
      <c r="CS53" s="1"/>
      <c r="CT53" s="1"/>
      <c r="CU53" s="1"/>
    </row>
    <row r="54" spans="1:99" s="13" customFormat="1" ht="12" customHeight="1" x14ac:dyDescent="0.2">
      <c r="A54" s="68">
        <v>43509</v>
      </c>
      <c r="B54" s="70"/>
      <c r="C54" s="70"/>
      <c r="D54" s="69"/>
      <c r="E54" s="87"/>
      <c r="F54" s="69"/>
      <c r="G54" s="69"/>
      <c r="H54" s="69"/>
      <c r="I54" s="69"/>
      <c r="J54" s="69"/>
      <c r="K54" s="107"/>
      <c r="L54" s="107"/>
      <c r="M54" s="69"/>
      <c r="N54" s="69"/>
      <c r="O54" s="69"/>
      <c r="P54" s="69"/>
      <c r="Q54" s="69"/>
      <c r="R54" s="69"/>
      <c r="S54" s="69"/>
      <c r="T54" s="69"/>
      <c r="U54" s="69"/>
      <c r="V54" s="69"/>
      <c r="W54" s="69"/>
      <c r="X54" s="69"/>
      <c r="Y54" s="87"/>
      <c r="Z54" s="69"/>
      <c r="AA54" s="69"/>
      <c r="AB54" s="69"/>
      <c r="AC54" s="69"/>
      <c r="AD54" s="69"/>
      <c r="AE54" s="69"/>
      <c r="AF54" s="88"/>
      <c r="AG54" s="72"/>
      <c r="AH54" s="4"/>
      <c r="AI54" s="72"/>
      <c r="AJ54" s="110"/>
      <c r="AK54" s="72"/>
      <c r="AL54" s="72"/>
      <c r="AM54" s="72"/>
      <c r="AN54" s="72"/>
      <c r="AO54" s="72"/>
      <c r="AP54" s="72"/>
      <c r="AQ54" s="72"/>
      <c r="AR54" s="110"/>
      <c r="AS54" s="72"/>
      <c r="AT54" s="72"/>
      <c r="AU54" s="4"/>
      <c r="AV54" s="71">
        <v>30</v>
      </c>
      <c r="AW54" s="71">
        <f>24*3600*1</f>
        <v>86400</v>
      </c>
      <c r="AX54" s="71">
        <f>24*3600*2</f>
        <v>172800</v>
      </c>
      <c r="AY54" s="71">
        <f>24*3600*3</f>
        <v>259200</v>
      </c>
      <c r="AZ54" s="71">
        <f>24*3600*4</f>
        <v>345600</v>
      </c>
      <c r="BA54" s="71">
        <f>24*3600*6</f>
        <v>518400</v>
      </c>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1"/>
      <c r="CS54" s="1"/>
      <c r="CT54" s="1"/>
      <c r="CU54" s="1"/>
    </row>
    <row r="55" spans="1:99" s="13" customFormat="1" ht="12" customHeight="1" x14ac:dyDescent="0.2">
      <c r="A55" s="68">
        <v>43509</v>
      </c>
      <c r="B55" s="70" t="s">
        <v>109</v>
      </c>
      <c r="C55" s="70" t="s">
        <v>19</v>
      </c>
      <c r="D55" s="69">
        <v>1936</v>
      </c>
      <c r="E55" s="87">
        <v>1</v>
      </c>
      <c r="F55" s="69">
        <v>1</v>
      </c>
      <c r="G55" s="69">
        <v>1</v>
      </c>
      <c r="H55" s="69" t="s">
        <v>50</v>
      </c>
      <c r="I55" s="69" t="s">
        <v>699</v>
      </c>
      <c r="J55" s="69" t="s">
        <v>281</v>
      </c>
      <c r="K55" s="69">
        <f>IF(J55="syllables",1,IF(J55="trigrams",2,IF(J55="strings",3,IF(J55="visual array",4,IF(J55="characters",5,IF(J55="letters",6,IF(J55="free forms",7,IF(J55="odors",8,IF(J55="words",9,IF(J55="pictures",10,IF(J55="object pictures",11,IF(J55="faces",12,IF(J55="names",13,IF(J55="idioms",14,IF(J55="grades",15,IF(J55="syllable-digit pairs",16,IF(J55="trigram-word pairs",17,IF(J55="word-digit pairs",18,IF(J55="English-Swahili pairs",19,IF(J55="spatial position",20,IF(J55="word pairs",21,IF(J55="word triads",22,IF(J55="generated words",23,IF(J55="word definition pairs",24,IF(J55="math problems",25,IF(J55="famous faces",26,IF(J55="famous names",27,IF(J55="famous voices",28,IF(J55="television programs",29,IF(J55="race horses",30,IF(J55="new vocabulary",31,IF(J55="sentences",32,IF(J55="concepts",33,IF(J55="ad slides",34,IF(J55="scenes",35,IF(J55="famous scenes",36,IF(J55="poems",37,IF(J55="walk",38,IF(J55="faces and events",39,IF(J55="events and names",40,IF(J55="flashbulb",41,IF(J55="stories",42,IF(J55="course material",43,IF(J55="autobiographical",44,IF(J55="novels",45,IF(J55="public events",46,"99"))))))))))))))))))))))))))))))))))))))))))))))</f>
        <v>1</v>
      </c>
      <c r="L55" s="69">
        <f>IF(J55="syllables",1,IF(J55="trigrams",1,IF(J55="strings",1,IF(J55="visual array",1,IF(J55="characters",1,IF(J55="letters",1,IF(J55="free forms",1,IF(J55="odors",2,IF(J55="words",2,IF(J55="pictures",2,IF(J55="object pictures",2,IF(J55="faces",2,IF(J55="names",2,IF(J55="idioms","2",IF(J55="grades",2,IF(J55="syllable-digit pairs",3,IF(J55="trigram-word pairs",3,IF(J55="word-digit pairs",3,IF(J55="English-Swahili pairs",3,IF(J55="spatial position",3,IF(J55="word pairs",4,IF(J55="word triads",4,IF(J55="generated words",4,IF(J55="word definition pairs",4,IF(J55="math problems",4,IF(J55="famous faces",4,IF(J55="famous names",4,IF(J55="famous voices",4,IF(J55="television programs",4,IF(J55="race horses",4,IF(J55="new vocabulary",4,IF(J55="sentences",5,IF(J55="concepts",5,IF(J55="ad slides",5,IF(J55="scenes",5,IF(J55="famous scenes",5,IF(J55="poems",6,IF(J55="walk",6,IF(J55="faces and events",6,IF(J55="events and names",6,IF(J55="flashbulb",7,IF(J55="stories",7,IF(J55="course material",7,IF(J55="autobiographical",7,IF(J55="novels",7,IF(J55="public events",7,"99"))))))))))))))))))))))))))))))))))))))))))))))</f>
        <v>1</v>
      </c>
      <c r="M55" s="69">
        <v>1</v>
      </c>
      <c r="N55" s="69">
        <v>2</v>
      </c>
      <c r="O55" s="69">
        <v>0</v>
      </c>
      <c r="P55" s="69"/>
      <c r="Q55" s="69" t="s">
        <v>87</v>
      </c>
      <c r="R55" s="69">
        <f>IF(Q55="Free Recall",1,IF(Q55="Cued Recall",2,IF(Q55="Recognition",3,IF(Q55="Multiple Choice",4,IF(Q55="Savings",5,IF(Q55="Stem Completion",6,IF(Q55="Fragment Completion",7,IF(Q55="anagram solution",8,IF(Q55="Matching",9,IF(Q55="Problem Solving",10,"99"))))))))))</f>
        <v>5</v>
      </c>
      <c r="S55" s="69" t="s">
        <v>99</v>
      </c>
      <c r="T55" s="92" t="s">
        <v>581</v>
      </c>
      <c r="U55" s="69">
        <f>IF(T55="within",1,0)</f>
        <v>1</v>
      </c>
      <c r="V55" s="92">
        <v>72</v>
      </c>
      <c r="W55" s="69">
        <f>F55*V55</f>
        <v>72</v>
      </c>
      <c r="X55" s="69">
        <v>6</v>
      </c>
      <c r="Y55" s="87">
        <f>AV54</f>
        <v>30</v>
      </c>
      <c r="Z55" s="69" t="s">
        <v>110</v>
      </c>
      <c r="AA55" s="69">
        <v>518400</v>
      </c>
      <c r="AB55" s="69" t="str">
        <f>IF(AA55&lt;60,"1",IF(AA55&lt;=43200,"2",IF(AA55&lt;=777600,"3","4")))</f>
        <v>3</v>
      </c>
      <c r="AC55" s="72">
        <f>AVERAGE(AV54:DA54)</f>
        <v>230405</v>
      </c>
      <c r="AD55" s="69" t="str">
        <f>IF(AC55&lt;60,"1",IF(AC55&lt;=43200,"2",IF(AC55&lt;=777600,"3","4")))</f>
        <v>3</v>
      </c>
      <c r="AE55" s="87">
        <f>AA55-Y55</f>
        <v>518370</v>
      </c>
      <c r="AF55" s="88">
        <f>AV55</f>
        <v>1</v>
      </c>
      <c r="AG55" s="72">
        <f>((AW55-AV55)+(AX55-AW55)+(AY55-AX55)+(AZ55-AY55)+(BA55-AZ55))/5</f>
        <v>-0.14440000000000003</v>
      </c>
      <c r="AH55" s="4"/>
      <c r="AI55" s="72">
        <f>RSQ(AV55:BA55,AV54:BA54)</f>
        <v>0.86515619149638157</v>
      </c>
      <c r="AJ55" s="110">
        <f>SLOPE(AV55:BA55,AV54:BA54)</f>
        <v>-1.270032282100508E-6</v>
      </c>
      <c r="AK55" s="72">
        <f>INTERCEPT(AV55:BA55,AV54:BA54)</f>
        <v>0.85645512129070078</v>
      </c>
      <c r="AL55" s="72">
        <f>INDEX(LINEST(LN(AV55:BA55),LN(AV54:BA54),TRUE,TRUE),3,1)</f>
        <v>0.66615917561948135</v>
      </c>
      <c r="AM55" s="72">
        <f>INDEX(LINEST(LN(AV55:BA55),LN(AV54:BA54)),1)</f>
        <v>-9.8516611570544546E-2</v>
      </c>
      <c r="AN55" s="72">
        <f>EXP(INDEX(LINEST(LN(AV55:BA55),LN(AV54:BA54)),1,2))</f>
        <v>1.5135285512785381</v>
      </c>
      <c r="AO55" s="89">
        <f>INDEX(LINEST((AV55:BA55),LN(AV54:BA54),TRUE,TRUE),3,1)</f>
        <v>0.8333213935850019</v>
      </c>
      <c r="AP55" s="89">
        <f>INDEX(LINEST((AV55:BA55),LN(AV54:BA54)),1)</f>
        <v>-6.2725938235600381E-2</v>
      </c>
      <c r="AQ55" s="90">
        <f>INDEX(LINEST(LN(AV55:BA55),SQRT(AV54:BA54),TRUE,TRUE),3,1)</f>
        <v>0.9568280448306189</v>
      </c>
      <c r="AR55" s="117">
        <f>INDEX(LINEST(LN(AV55:BA55),SQRT((AV54:BA54))),1)</f>
        <v>-1.7478138583454841E-3</v>
      </c>
      <c r="AS55" s="91">
        <f>INDEX(LINEST(1/(AV55:BA55),1/(SQRT(AV54:BA54)),TRUE,TRUE),3,1)</f>
        <v>0.34523443251162855</v>
      </c>
      <c r="AT55" s="91">
        <f>INDEX(LINEST(1/(AV55:BA55),1/SQRT(AV54:BA54)),1)</f>
        <v>-7.3416725481678347</v>
      </c>
      <c r="AU55" s="3"/>
      <c r="AV55" s="73">
        <v>1</v>
      </c>
      <c r="AW55" s="73">
        <v>0.64500000000000002</v>
      </c>
      <c r="AX55" s="73">
        <v>0.61799999999999999</v>
      </c>
      <c r="AY55" s="73">
        <v>0.45600000000000002</v>
      </c>
      <c r="AZ55" s="73">
        <v>0.38600000000000001</v>
      </c>
      <c r="BA55" s="73">
        <v>0.27800000000000002</v>
      </c>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1"/>
      <c r="CS55" s="1"/>
      <c r="CT55" s="1"/>
      <c r="CU55" s="1"/>
    </row>
    <row r="56" spans="1:99" s="13" customFormat="1" ht="12" customHeight="1" x14ac:dyDescent="0.2">
      <c r="A56" s="68">
        <v>43509</v>
      </c>
      <c r="B56" s="70"/>
      <c r="C56" s="70"/>
      <c r="D56" s="69"/>
      <c r="E56" s="87"/>
      <c r="F56" s="69"/>
      <c r="G56" s="69"/>
      <c r="H56" s="69"/>
      <c r="I56" s="69"/>
      <c r="J56" s="69"/>
      <c r="K56" s="107"/>
      <c r="L56" s="107"/>
      <c r="M56" s="69"/>
      <c r="N56" s="69"/>
      <c r="O56" s="69"/>
      <c r="P56" s="69"/>
      <c r="Q56" s="69"/>
      <c r="R56" s="69"/>
      <c r="S56" s="69"/>
      <c r="T56" s="69"/>
      <c r="U56" s="69"/>
      <c r="V56" s="69"/>
      <c r="W56" s="69"/>
      <c r="X56" s="69"/>
      <c r="Y56" s="87"/>
      <c r="Z56" s="69"/>
      <c r="AA56" s="69"/>
      <c r="AB56" s="69"/>
      <c r="AC56" s="69"/>
      <c r="AD56" s="69"/>
      <c r="AE56" s="69"/>
      <c r="AF56" s="88"/>
      <c r="AG56" s="72"/>
      <c r="AH56" s="4"/>
      <c r="AI56" s="72"/>
      <c r="AJ56" s="110"/>
      <c r="AK56" s="72"/>
      <c r="AL56" s="72"/>
      <c r="AM56" s="72"/>
      <c r="AN56" s="72"/>
      <c r="AO56" s="72"/>
      <c r="AP56" s="72"/>
      <c r="AQ56" s="72"/>
      <c r="AR56" s="110"/>
      <c r="AS56" s="72"/>
      <c r="AT56" s="72"/>
      <c r="AU56" s="4"/>
      <c r="AV56" s="71">
        <v>30</v>
      </c>
      <c r="AW56" s="71">
        <f>24*3600*1</f>
        <v>86400</v>
      </c>
      <c r="AX56" s="71">
        <f>24*3600*2</f>
        <v>172800</v>
      </c>
      <c r="AY56" s="71">
        <f>24*3600*3</f>
        <v>259200</v>
      </c>
      <c r="AZ56" s="71">
        <f>24*3600*4</f>
        <v>345600</v>
      </c>
      <c r="BA56" s="71">
        <f>24*3600*6</f>
        <v>518400</v>
      </c>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1"/>
      <c r="CS56" s="1"/>
      <c r="CT56" s="1"/>
      <c r="CU56" s="1"/>
    </row>
    <row r="57" spans="1:99" s="13" customFormat="1" ht="12" customHeight="1" x14ac:dyDescent="0.2">
      <c r="A57" s="68">
        <v>43509</v>
      </c>
      <c r="B57" s="70" t="s">
        <v>109</v>
      </c>
      <c r="C57" s="70" t="s">
        <v>19</v>
      </c>
      <c r="D57" s="69">
        <v>1936</v>
      </c>
      <c r="E57" s="87">
        <v>1</v>
      </c>
      <c r="F57" s="69">
        <v>1</v>
      </c>
      <c r="G57" s="69">
        <v>1</v>
      </c>
      <c r="H57" s="69" t="s">
        <v>50</v>
      </c>
      <c r="I57" s="69" t="s">
        <v>700</v>
      </c>
      <c r="J57" s="69" t="s">
        <v>281</v>
      </c>
      <c r="K57" s="69">
        <f>IF(J57="syllables",1,IF(J57="trigrams",2,IF(J57="strings",3,IF(J57="visual array",4,IF(J57="characters",5,IF(J57="letters",6,IF(J57="free forms",7,IF(J57="odors",8,IF(J57="words",9,IF(J57="pictures",10,IF(J57="object pictures",11,IF(J57="faces",12,IF(J57="names",13,IF(J57="idioms",14,IF(J57="grades",15,IF(J57="syllable-digit pairs",16,IF(J57="trigram-word pairs",17,IF(J57="word-digit pairs",18,IF(J57="English-Swahili pairs",19,IF(J57="spatial position",20,IF(J57="word pairs",21,IF(J57="word triads",22,IF(J57="generated words",23,IF(J57="word definition pairs",24,IF(J57="math problems",25,IF(J57="famous faces",26,IF(J57="famous names",27,IF(J57="famous voices",28,IF(J57="television programs",29,IF(J57="race horses",30,IF(J57="new vocabulary",31,IF(J57="sentences",32,IF(J57="concepts",33,IF(J57="ad slides",34,IF(J57="scenes",35,IF(J57="famous scenes",36,IF(J57="poems",37,IF(J57="walk",38,IF(J57="faces and events",39,IF(J57="events and names",40,IF(J57="flashbulb",41,IF(J57="stories",42,IF(J57="course material",43,IF(J57="autobiographical",44,IF(J57="novels",45,IF(J57="public events",46,"99"))))))))))))))))))))))))))))))))))))))))))))))</f>
        <v>1</v>
      </c>
      <c r="L57" s="69">
        <f>IF(J57="syllables",1,IF(J57="trigrams",1,IF(J57="strings",1,IF(J57="visual array",1,IF(J57="characters",1,IF(J57="letters",1,IF(J57="free forms",1,IF(J57="odors",2,IF(J57="words",2,IF(J57="pictures",2,IF(J57="object pictures",2,IF(J57="faces",2,IF(J57="names",2,IF(J57="idioms","2",IF(J57="grades",2,IF(J57="syllable-digit pairs",3,IF(J57="trigram-word pairs",3,IF(J57="word-digit pairs",3,IF(J57="English-Swahili pairs",3,IF(J57="spatial position",3,IF(J57="word pairs",4,IF(J57="word triads",4,IF(J57="generated words",4,IF(J57="word definition pairs",4,IF(J57="math problems",4,IF(J57="famous faces",4,IF(J57="famous names",4,IF(J57="famous voices",4,IF(J57="television programs",4,IF(J57="race horses",4,IF(J57="new vocabulary",4,IF(J57="sentences",5,IF(J57="concepts",5,IF(J57="ad slides",5,IF(J57="scenes",5,IF(J57="famous scenes",5,IF(J57="poems",6,IF(J57="walk",6,IF(J57="faces and events",6,IF(J57="events and names",6,IF(J57="flashbulb",7,IF(J57="stories",7,IF(J57="course material",7,IF(J57="autobiographical",7,IF(J57="novels",7,IF(J57="public events",7,"99"))))))))))))))))))))))))))))))))))))))))))))))</f>
        <v>1</v>
      </c>
      <c r="M57" s="69">
        <v>1</v>
      </c>
      <c r="N57" s="69">
        <v>2</v>
      </c>
      <c r="O57" s="69">
        <v>0</v>
      </c>
      <c r="P57" s="69"/>
      <c r="Q57" s="69" t="s">
        <v>87</v>
      </c>
      <c r="R57" s="69">
        <f>IF(Q57="Free Recall",1,IF(Q57="Cued Recall",2,IF(Q57="Recognition",3,IF(Q57="Multiple Choice",4,IF(Q57="Savings",5,IF(Q57="Stem Completion",6,IF(Q57="Fragment Completion",7,IF(Q57="anagram solution",8,IF(Q57="Matching",9,IF(Q57="Problem Solving",10,"99"))))))))))</f>
        <v>5</v>
      </c>
      <c r="S57" s="69" t="s">
        <v>99</v>
      </c>
      <c r="T57" s="92" t="s">
        <v>581</v>
      </c>
      <c r="U57" s="69">
        <f>IF(T57="within",1,0)</f>
        <v>1</v>
      </c>
      <c r="V57" s="92">
        <v>72</v>
      </c>
      <c r="W57" s="69">
        <f>F57*V57</f>
        <v>72</v>
      </c>
      <c r="X57" s="69">
        <v>6</v>
      </c>
      <c r="Y57" s="87">
        <f>AV56</f>
        <v>30</v>
      </c>
      <c r="Z57" s="69" t="s">
        <v>110</v>
      </c>
      <c r="AA57" s="69">
        <v>518400</v>
      </c>
      <c r="AB57" s="69" t="str">
        <f>IF(AA57&lt;60,"1",IF(AA57&lt;=43200,"2",IF(AA57&lt;=777600,"3","4")))</f>
        <v>3</v>
      </c>
      <c r="AC57" s="72">
        <f>AVERAGE(AV56:DA56)</f>
        <v>230405</v>
      </c>
      <c r="AD57" s="69" t="str">
        <f>IF(AC57&lt;60,"1",IF(AC57&lt;=43200,"2",IF(AC57&lt;=777600,"3","4")))</f>
        <v>3</v>
      </c>
      <c r="AE57" s="87">
        <f>AA57-Y57</f>
        <v>518370</v>
      </c>
      <c r="AF57" s="88">
        <f>AV57</f>
        <v>1</v>
      </c>
      <c r="AG57" s="72">
        <f>((AW57-AV57)+(AX57-AW57)+(AY57-AX57)+(AZ57-AY57)+(BA57-AZ57))/5</f>
        <v>-0.11280000000000001</v>
      </c>
      <c r="AH57" s="4"/>
      <c r="AI57" s="72">
        <f>RSQ(AV57:BA57,AV56:BA56)</f>
        <v>0.68994508787955366</v>
      </c>
      <c r="AJ57" s="110">
        <f>SLOPE(AV57:BA57,AV56:BA56)</f>
        <v>-8.7169733962931968E-7</v>
      </c>
      <c r="AK57" s="72">
        <f>INTERCEPT(AV57:BA57,AV56:BA56)</f>
        <v>0.82367675887062675</v>
      </c>
      <c r="AL57" s="72">
        <f>INDEX(LINEST(LN(AV57:BA57),LN(AV56:BA56),TRUE,TRUE),3,1)</f>
        <v>0.89813788409284312</v>
      </c>
      <c r="AM57" s="72">
        <f>INDEX(LINEST(LN(AV57:BA57),LN(AV56:BA56)),1)</f>
        <v>-7.1193197587546664E-2</v>
      </c>
      <c r="AN57" s="72">
        <f>EXP(INDEX(LINEST(LN(AV57:BA57),LN(AV56:BA56)),1,2))</f>
        <v>1.303777026447458</v>
      </c>
      <c r="AO57" s="89">
        <f>INDEX(LINEST((AV57:BA57),LN(AV56:BA56),TRUE,TRUE),3,1)</f>
        <v>0.96047925925451638</v>
      </c>
      <c r="AP57" s="89">
        <f>INDEX(LINEST((AV57:BA57),LN(AV56:BA56)),1)</f>
        <v>-5.175780533891456E-2</v>
      </c>
      <c r="AQ57" s="90">
        <f>INDEX(LINEST(LN(AV57:BA57),SQRT(AV56:BA56),TRUE,TRUE),3,1)</f>
        <v>0.94887443613609612</v>
      </c>
      <c r="AR57" s="117">
        <f>INDEX(LINEST(LN(AV57:BA57),SQRT((AV56:BA56))),1)</f>
        <v>-1.0832510938343217E-3</v>
      </c>
      <c r="AS57" s="91">
        <f>INDEX(LINEST(1/(AV57:BA57),1/(SQRT(AV56:BA56)),TRUE,TRUE),3,1)</f>
        <v>0.68156301513307482</v>
      </c>
      <c r="AT57" s="91">
        <f>INDEX(LINEST(1/(AV57:BA57),1/SQRT(AV56:BA56)),1)</f>
        <v>-4.7667393579650996</v>
      </c>
      <c r="AU57" s="3"/>
      <c r="AV57" s="73">
        <v>1</v>
      </c>
      <c r="AW57" s="73">
        <v>0.61199999999999999</v>
      </c>
      <c r="AX57" s="73">
        <v>0.60799999999999998</v>
      </c>
      <c r="AY57" s="73">
        <v>0.56000000000000005</v>
      </c>
      <c r="AZ57" s="73">
        <v>0.52100000000000002</v>
      </c>
      <c r="BA57" s="73">
        <v>0.436</v>
      </c>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1"/>
      <c r="CS57" s="1"/>
      <c r="CT57" s="1"/>
      <c r="CU57" s="1"/>
    </row>
    <row r="58" spans="1:99" s="13" customFormat="1" ht="12" customHeight="1" x14ac:dyDescent="0.2">
      <c r="A58" s="65">
        <v>43951</v>
      </c>
      <c r="B58" s="1"/>
      <c r="C58" s="1"/>
      <c r="D58" s="60"/>
      <c r="E58" s="76"/>
      <c r="F58" s="60"/>
      <c r="G58" s="60"/>
      <c r="H58" s="60"/>
      <c r="I58" s="60"/>
      <c r="J58" s="60"/>
      <c r="K58" s="60"/>
      <c r="L58" s="60"/>
      <c r="M58" s="60"/>
      <c r="N58" s="59"/>
      <c r="O58" s="60"/>
      <c r="P58" s="60"/>
      <c r="Q58" s="60"/>
      <c r="R58" s="60"/>
      <c r="S58" s="60"/>
      <c r="T58" s="59"/>
      <c r="U58" s="60"/>
      <c r="V58" s="59"/>
      <c r="W58" s="60"/>
      <c r="X58" s="60"/>
      <c r="Y58" s="76"/>
      <c r="Z58" s="59"/>
      <c r="AA58" s="60"/>
      <c r="AB58" s="60"/>
      <c r="AC58" s="56"/>
      <c r="AD58" s="60"/>
      <c r="AE58" s="76"/>
      <c r="AF58" s="80"/>
      <c r="AG58" s="56"/>
      <c r="AH58" s="4"/>
      <c r="AI58" s="56"/>
      <c r="AJ58" s="109"/>
      <c r="AK58" s="56"/>
      <c r="AL58" s="56"/>
      <c r="AM58" s="56"/>
      <c r="AN58" s="56"/>
      <c r="AO58" s="82"/>
      <c r="AP58" s="82"/>
      <c r="AQ58" s="83"/>
      <c r="AR58" s="116"/>
      <c r="AS58" s="84"/>
      <c r="AT58" s="84"/>
      <c r="AU58" s="3"/>
      <c r="AV58" s="25">
        <v>60</v>
      </c>
      <c r="AW58" s="25">
        <f>60*20</f>
        <v>1200</v>
      </c>
      <c r="AX58" s="25">
        <f>60*90</f>
        <v>5400</v>
      </c>
      <c r="AY58" s="25">
        <f>60*60*6</f>
        <v>21600</v>
      </c>
      <c r="AZ58" s="25">
        <f>60*60*24</f>
        <v>86400</v>
      </c>
      <c r="BA58" s="25">
        <f>60*60*72</f>
        <v>259200</v>
      </c>
      <c r="BB58" s="25">
        <f>60*60*24*7</f>
        <v>604800</v>
      </c>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1"/>
      <c r="CS58" s="1"/>
      <c r="CT58" s="1"/>
      <c r="CU58" s="1"/>
    </row>
    <row r="59" spans="1:99" s="13" customFormat="1" ht="12" customHeight="1" x14ac:dyDescent="0.2">
      <c r="A59" s="65">
        <v>43951</v>
      </c>
      <c r="B59" s="1" t="s">
        <v>883</v>
      </c>
      <c r="C59" s="1" t="s">
        <v>884</v>
      </c>
      <c r="D59" s="60">
        <v>1963</v>
      </c>
      <c r="E59" s="76">
        <v>1</v>
      </c>
      <c r="F59" s="60">
        <v>112</v>
      </c>
      <c r="G59" s="60">
        <v>16</v>
      </c>
      <c r="H59" s="60" t="s">
        <v>50</v>
      </c>
      <c r="I59" s="60" t="s">
        <v>885</v>
      </c>
      <c r="J59" s="60" t="s">
        <v>320</v>
      </c>
      <c r="K59" s="60">
        <f>IF(J59="syllables",1,IF(J59="trigrams",2,IF(J59="strings",3,IF(J59="visual array",4,IF(J59="characters",5,IF(J59="letters",6,IF(J59="free forms",7,IF(J59="odors",8,IF(J59="words",9,IF(J59="pictures",10,IF(J59="object pictures",11,IF(J59="faces",12,IF(J59="names",13,IF(J59="idioms",14,IF(J59="grades",15,IF(J59="syllable-digit pairs",16,IF(J59="trigram-word pairs",17,IF(J59="word-digit pairs",18,IF(J59="English-Swahili pairs",19,IF(J59="spatial position",20,IF(J59="word pairs",21,IF(J59="word triads",22,IF(J59="generated words",23,IF(J59="word definition pairs",24,IF(J59="math problems",25,IF(J59="famous faces",26,IF(J59="famous names",27,IF(J59="famous voices",28,IF(J59="television programs",29,IF(J59="race horses",30,IF(J59="new vocabulary",31,IF(J59="sentences",32,IF(J59="concepts",33,IF(J59="ad slides",34,IF(J59="scenes",35,IF(J59="famous scenes",36,IF(J59="poems",37,IF(J59="walk",38,IF(J59="faces and events",39,IF(J59="events and names",40,IF(J59="flashbulb",41,IF(J59="stories",42,IF(J59="course material",43,IF(J59="autobiographical",44,IF(J59="novels",45,IF(J59="public events",46,"99"))))))))))))))))))))))))))))))))))))))))))))))</f>
        <v>21</v>
      </c>
      <c r="L59" s="60">
        <f>IF(J59="syllables",1,IF(J59="trigrams",1,IF(J59="strings",1,IF(J59="visual array",1,IF(J59="characters",1,IF(J59="letters",1,IF(J59="free forms",1,IF(J59="odors",2,IF(J59="words",2,IF(J59="pictures",2,IF(J59="object pictures",2,IF(J59="faces",2,IF(J59="names",2,IF(J59="idioms","2",IF(J59="grades",2,IF(J59="syllable-digit pairs",3,IF(J59="trigram-word pairs",3,IF(J59="word-digit pairs",3,IF(J59="English-Swahili pairs",3,IF(J59="spatial position",3,IF(J59="word pairs",4,IF(J59="word triads",4,IF(J59="generated words",4,IF(J59="word definition pairs",4,IF(J59="math problems",4,IF(J59="famous faces",4,IF(J59="famous names",4,IF(J59="famous voices",4,IF(J59="television programs",4,IF(J59="race horses",4,IF(J59="new vocabulary",4,IF(J59="sentences",5,IF(J59="concepts",5,IF(J59="ad slides",5,IF(J59="scenes",5,IF(J59="famous scenes",5,IF(J59="poems",6,IF(J59="walk",6,IF(J59="faces and events",6,IF(J59="events and names",6,IF(J59="flashbulb",7,IF(J59="stories",7,IF(J59="course material",7,IF(J59="autobiographical",7,IF(J59="novels",7,IF(J59="public events",7,"99"))))))))))))))))))))))))))))))))))))))))))))))</f>
        <v>4</v>
      </c>
      <c r="M59" s="60">
        <v>1</v>
      </c>
      <c r="N59" s="59">
        <v>2</v>
      </c>
      <c r="O59" s="60">
        <v>0</v>
      </c>
      <c r="P59" s="60"/>
      <c r="Q59" s="60" t="s">
        <v>65</v>
      </c>
      <c r="R59" s="60">
        <f>IF(Q59="Free Recall",1,IF(Q59="Cued Recall",2,IF(Q59="Recognition",3,IF(Q59="Multiple Choice",4,IF(Q59="Savings",5,IF(Q59="Stem Completion",6,IF(Q59="Fragment Completion",7,IF(Q59="anagram solution",8,IF(Q59="Matching",9,IF(Q59="Problem Solving",10,"99"))))))))))</f>
        <v>2</v>
      </c>
      <c r="S59" s="60" t="s">
        <v>15</v>
      </c>
      <c r="T59" s="59" t="s">
        <v>261</v>
      </c>
      <c r="U59" s="60">
        <f>IF(T59="within",1,0)</f>
        <v>0</v>
      </c>
      <c r="V59" s="59">
        <v>10</v>
      </c>
      <c r="W59" s="60">
        <f>F59*V59</f>
        <v>1120</v>
      </c>
      <c r="X59" s="60">
        <v>7</v>
      </c>
      <c r="Y59" s="76">
        <f>AV58</f>
        <v>60</v>
      </c>
      <c r="Z59" s="59" t="s">
        <v>150</v>
      </c>
      <c r="AA59" s="60">
        <v>172800</v>
      </c>
      <c r="AB59" s="60" t="str">
        <f>IF(AA59&lt;60,"1",IF(AA59&lt;=43200,"2",IF(AA59&lt;=777600,"3","4")))</f>
        <v>3</v>
      </c>
      <c r="AC59" s="56">
        <f>AVERAGE(AV58:DA58)</f>
        <v>139808.57142857142</v>
      </c>
      <c r="AD59" s="60" t="str">
        <f>IF(AC59&lt;60,"1",IF(AC59&lt;=43200,"2",IF(AC59&lt;=777600,"3","4")))</f>
        <v>3</v>
      </c>
      <c r="AE59" s="76">
        <f>AA59-Y59</f>
        <v>172740</v>
      </c>
      <c r="AF59" s="80">
        <f>AV59</f>
        <v>0.66335801960545604</v>
      </c>
      <c r="AG59" s="56">
        <f>((AW59-AV59)+(AX59-AW59)+(AY59-AX59)+(AZ59-AY59)+(BA59-AZ59)+(BB59-BA59))/6</f>
        <v>-2.6962652260619668E-2</v>
      </c>
      <c r="AH59" s="4"/>
      <c r="AI59" s="56">
        <f>RSQ(AV59:BB59,AV58:BB58)</f>
        <v>0.79747397187966984</v>
      </c>
      <c r="AJ59" s="109">
        <f>SLOPE(AV59:BB59,AV58:BB58)</f>
        <v>-2.9310821498394279E-7</v>
      </c>
      <c r="AK59" s="56">
        <f>INTERCEPT(AV59:BB59,AV58:BB58)</f>
        <v>0.68269818976981977</v>
      </c>
      <c r="AL59" s="56">
        <f>INDEX(LINEST(LN(AV59:BB59),LN(AV58:BB58),TRUE,TRUE),3,1)</f>
        <v>0.29643923345027523</v>
      </c>
      <c r="AM59" s="56">
        <f>INDEX(LINEST(LN(AV59:BB59),LN(AV58:BB58)),1)</f>
        <v>-2.0430453216611359E-2</v>
      </c>
      <c r="AN59" s="56">
        <f>EXP(INDEX(LINEST(LN(AV59:BB59),LN(AV58:BB58)),1,2))</f>
        <v>0.77535907343637345</v>
      </c>
      <c r="AO59" s="82">
        <f>INDEX(LINEST((AV59:BB59),LN(AV58:BB58),TRUE,TRUE),3,1)</f>
        <v>0.27724550030009937</v>
      </c>
      <c r="AP59" s="82">
        <f>INDEX(LINEST((AV59:BB59),LN(AV58:BB58)),1)</f>
        <v>-1.2019524566460108E-2</v>
      </c>
      <c r="AQ59" s="83">
        <f>INDEX(LINEST(LN(AV59:BB59),SQRT(AV58:BB58),TRUE,TRUE),3,1)</f>
        <v>0.70826264011270046</v>
      </c>
      <c r="AR59" s="116">
        <f>INDEX(LINEST(LN(AV59:BB59),SQRT((AV58:BB58))),1)</f>
        <v>-3.5658171196982388E-4</v>
      </c>
      <c r="AS59" s="84">
        <f>INDEX(LINEST(1/(AV59:BB59),1/(SQRT(AV58:BB58)),TRUE,TRUE),3,1)</f>
        <v>5.6183129837885357E-2</v>
      </c>
      <c r="AT59" s="84">
        <f>INDEX(LINEST(1/(AV59:BB59),1/SQRT(AV58:BB58)),1)</f>
        <v>-1.0394691238033038</v>
      </c>
      <c r="AU59" s="3"/>
      <c r="AV59" s="53">
        <v>0.66335801960545604</v>
      </c>
      <c r="AW59" s="53">
        <v>0.67386744314511193</v>
      </c>
      <c r="AX59" s="53">
        <v>0.64669731384647</v>
      </c>
      <c r="AY59" s="53">
        <v>0.74575037216661799</v>
      </c>
      <c r="AZ59" s="53">
        <v>0.646471485951295</v>
      </c>
      <c r="BA59" s="53">
        <v>0.61430730195586403</v>
      </c>
      <c r="BB59" s="53">
        <v>0.50158210604173803</v>
      </c>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1"/>
      <c r="CS59" s="1"/>
      <c r="CT59" s="1"/>
      <c r="CU59" s="1"/>
    </row>
    <row r="60" spans="1:99" s="13" customFormat="1" ht="12" customHeight="1" x14ac:dyDescent="0.2">
      <c r="A60" s="65">
        <v>43951</v>
      </c>
      <c r="B60" s="1"/>
      <c r="C60" s="1"/>
      <c r="D60" s="60"/>
      <c r="E60" s="76"/>
      <c r="F60" s="60"/>
      <c r="G60" s="60"/>
      <c r="H60" s="60"/>
      <c r="I60" s="60"/>
      <c r="J60" s="60"/>
      <c r="K60" s="60"/>
      <c r="L60" s="60"/>
      <c r="M60" s="60"/>
      <c r="N60" s="59"/>
      <c r="O60" s="60"/>
      <c r="P60" s="60"/>
      <c r="Q60" s="60"/>
      <c r="R60" s="60"/>
      <c r="S60" s="60"/>
      <c r="T60" s="59"/>
      <c r="U60" s="60"/>
      <c r="V60" s="59"/>
      <c r="W60" s="60"/>
      <c r="X60" s="60"/>
      <c r="Y60" s="76"/>
      <c r="Z60" s="59"/>
      <c r="AA60" s="60"/>
      <c r="AB60" s="60"/>
      <c r="AC60" s="56"/>
      <c r="AD60" s="60"/>
      <c r="AE60" s="76"/>
      <c r="AF60" s="80"/>
      <c r="AG60" s="56"/>
      <c r="AH60" s="4"/>
      <c r="AI60" s="56"/>
      <c r="AJ60" s="109"/>
      <c r="AK60" s="56"/>
      <c r="AL60" s="56"/>
      <c r="AM60" s="56"/>
      <c r="AN60" s="56"/>
      <c r="AO60" s="82"/>
      <c r="AP60" s="82"/>
      <c r="AQ60" s="83"/>
      <c r="AR60" s="116"/>
      <c r="AS60" s="84"/>
      <c r="AT60" s="84"/>
      <c r="AU60" s="3"/>
      <c r="AV60" s="25">
        <v>60</v>
      </c>
      <c r="AW60" s="25">
        <f>60*20</f>
        <v>1200</v>
      </c>
      <c r="AX60" s="25">
        <f>60*90</f>
        <v>5400</v>
      </c>
      <c r="AY60" s="25">
        <f>60*60*6</f>
        <v>21600</v>
      </c>
      <c r="AZ60" s="25">
        <f>60*60*24</f>
        <v>86400</v>
      </c>
      <c r="BA60" s="25">
        <f>60*60*72</f>
        <v>259200</v>
      </c>
      <c r="BB60" s="25">
        <f>60*60*24*7</f>
        <v>604800</v>
      </c>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1"/>
      <c r="CS60" s="1"/>
      <c r="CT60" s="1"/>
      <c r="CU60" s="1"/>
    </row>
    <row r="61" spans="1:99" s="13" customFormat="1" ht="12" customHeight="1" x14ac:dyDescent="0.2">
      <c r="A61" s="65">
        <v>43951</v>
      </c>
      <c r="B61" s="1" t="s">
        <v>883</v>
      </c>
      <c r="C61" s="1" t="s">
        <v>884</v>
      </c>
      <c r="D61" s="60">
        <v>1963</v>
      </c>
      <c r="E61" s="76">
        <v>1</v>
      </c>
      <c r="F61" s="60">
        <v>112</v>
      </c>
      <c r="G61" s="60">
        <v>16</v>
      </c>
      <c r="H61" s="60" t="s">
        <v>50</v>
      </c>
      <c r="I61" s="60" t="s">
        <v>886</v>
      </c>
      <c r="J61" s="60" t="s">
        <v>320</v>
      </c>
      <c r="K61" s="60">
        <f>IF(J61="syllables",1,IF(J61="trigrams",2,IF(J61="strings",3,IF(J61="visual array",4,IF(J61="characters",5,IF(J61="letters",6,IF(J61="free forms",7,IF(J61="odors",8,IF(J61="words",9,IF(J61="pictures",10,IF(J61="object pictures",11,IF(J61="faces",12,IF(J61="names",13,IF(J61="idioms",14,IF(J61="grades",15,IF(J61="syllable-digit pairs",16,IF(J61="trigram-word pairs",17,IF(J61="word-digit pairs",18,IF(J61="English-Swahili pairs",19,IF(J61="spatial position",20,IF(J61="word pairs",21,IF(J61="word triads",22,IF(J61="generated words",23,IF(J61="word definition pairs",24,IF(J61="math problems",25,IF(J61="famous faces",26,IF(J61="famous names",27,IF(J61="famous voices",28,IF(J61="television programs",29,IF(J61="race horses",30,IF(J61="new vocabulary",31,IF(J61="sentences",32,IF(J61="concepts",33,IF(J61="ad slides",34,IF(J61="scenes",35,IF(J61="famous scenes",36,IF(J61="poems",37,IF(J61="walk",38,IF(J61="faces and events",39,IF(J61="events and names",40,IF(J61="flashbulb",41,IF(J61="stories",42,IF(J61="course material",43,IF(J61="autobiographical",44,IF(J61="novels",45,IF(J61="public events",46,"99"))))))))))))))))))))))))))))))))))))))))))))))</f>
        <v>21</v>
      </c>
      <c r="L61" s="60">
        <f>IF(J61="syllables",1,IF(J61="trigrams",1,IF(J61="strings",1,IF(J61="visual array",1,IF(J61="characters",1,IF(J61="letters",1,IF(J61="free forms",1,IF(J61="odors",2,IF(J61="words",2,IF(J61="pictures",2,IF(J61="object pictures",2,IF(J61="faces",2,IF(J61="names",2,IF(J61="idioms","2",IF(J61="grades",2,IF(J61="syllable-digit pairs",3,IF(J61="trigram-word pairs",3,IF(J61="word-digit pairs",3,IF(J61="English-Swahili pairs",3,IF(J61="spatial position",3,IF(J61="word pairs",4,IF(J61="word triads",4,IF(J61="generated words",4,IF(J61="word definition pairs",4,IF(J61="math problems",4,IF(J61="famous faces",4,IF(J61="famous names",4,IF(J61="famous voices",4,IF(J61="television programs",4,IF(J61="race horses",4,IF(J61="new vocabulary",4,IF(J61="sentences",5,IF(J61="concepts",5,IF(J61="ad slides",5,IF(J61="scenes",5,IF(J61="famous scenes",5,IF(J61="poems",6,IF(J61="walk",6,IF(J61="faces and events",6,IF(J61="events and names",6,IF(J61="flashbulb",7,IF(J61="stories",7,IF(J61="course material",7,IF(J61="autobiographical",7,IF(J61="novels",7,IF(J61="public events",7,"99"))))))))))))))))))))))))))))))))))))))))))))))</f>
        <v>4</v>
      </c>
      <c r="M61" s="60">
        <v>1</v>
      </c>
      <c r="N61" s="59">
        <v>2</v>
      </c>
      <c r="O61" s="60">
        <v>0</v>
      </c>
      <c r="P61" s="60"/>
      <c r="Q61" s="60" t="s">
        <v>65</v>
      </c>
      <c r="R61" s="60">
        <f>IF(Q61="Free Recall",1,IF(Q61="Cued Recall",2,IF(Q61="Recognition",3,IF(Q61="Multiple Choice",4,IF(Q61="Savings",5,IF(Q61="Stem Completion",6,IF(Q61="Fragment Completion",7,IF(Q61="anagram solution",8,IF(Q61="Matching",9,IF(Q61="Problem Solving",10,"99"))))))))))</f>
        <v>2</v>
      </c>
      <c r="S61" s="60" t="s">
        <v>15</v>
      </c>
      <c r="T61" s="59" t="s">
        <v>261</v>
      </c>
      <c r="U61" s="60">
        <f>IF(T61="within",1,0)</f>
        <v>0</v>
      </c>
      <c r="V61" s="59">
        <v>10</v>
      </c>
      <c r="W61" s="60">
        <f>F61*V61</f>
        <v>1120</v>
      </c>
      <c r="X61" s="60">
        <v>7</v>
      </c>
      <c r="Y61" s="76">
        <f>AV60</f>
        <v>60</v>
      </c>
      <c r="Z61" s="59" t="s">
        <v>150</v>
      </c>
      <c r="AA61" s="60">
        <v>172800</v>
      </c>
      <c r="AB61" s="60" t="str">
        <f>IF(AA61&lt;60,"1",IF(AA61&lt;=43200,"2",IF(AA61&lt;=777600,"3","4")))</f>
        <v>3</v>
      </c>
      <c r="AC61" s="56">
        <f>AVERAGE(AV60:DA60)</f>
        <v>139808.57142857142</v>
      </c>
      <c r="AD61" s="60" t="str">
        <f>IF(AC61&lt;60,"1",IF(AC61&lt;=43200,"2",IF(AC61&lt;=777600,"3","4")))</f>
        <v>3</v>
      </c>
      <c r="AE61" s="76">
        <f>AA61-Y61</f>
        <v>172740</v>
      </c>
      <c r="AF61" s="80">
        <f>AV61</f>
        <v>0.943465503197355</v>
      </c>
      <c r="AG61" s="56">
        <f>((AW61-AV61)+(AX61-AW61)+(AY61-AX61)+(AZ61-AY61)+(BA61-AZ61)+(BB61-BA61))/6</f>
        <v>-8.8482215585120816E-2</v>
      </c>
      <c r="AH61" s="4"/>
      <c r="AI61" s="56">
        <f>RSQ(AV61:BB61,AV60:BB60)</f>
        <v>0.94014364172189713</v>
      </c>
      <c r="AJ61" s="109">
        <f>SLOPE(AV61:BB61,AV60:BB60)</f>
        <v>-8.109658672902818E-7</v>
      </c>
      <c r="AK61" s="56">
        <f>INTERCEPT(AV61:BB61,AV60:BB60)</f>
        <v>0.87746125281497012</v>
      </c>
      <c r="AL61" s="56">
        <f>INDEX(LINEST(LN(AV61:BB61),LN(AV60:BB60),TRUE,TRUE),3,1)</f>
        <v>0.64605146516848233</v>
      </c>
      <c r="AM61" s="56">
        <f>INDEX(LINEST(LN(AV61:BB61),LN(AV60:BB60)),1)</f>
        <v>-7.2498428077765964E-2</v>
      </c>
      <c r="AN61" s="56">
        <f>EXP(INDEX(LINEST(LN(AV61:BB61),LN(AV60:BB60)),1,2))</f>
        <v>1.4788924769248122</v>
      </c>
      <c r="AO61" s="82">
        <f>INDEX(LINEST((AV61:BB61),LN(AV60:BB60),TRUE,TRUE),3,1)</f>
        <v>0.73004420725919217</v>
      </c>
      <c r="AP61" s="82">
        <f>INDEX(LINEST((AV61:BB61),LN(AV60:BB60)),1)</f>
        <v>-4.9701025864938263E-2</v>
      </c>
      <c r="AQ61" s="83">
        <f>INDEX(LINEST(LN(AV61:BB61),SQRT(AV60:BB60),TRUE,TRUE),3,1)</f>
        <v>0.96729786266640216</v>
      </c>
      <c r="AR61" s="116">
        <f>INDEX(LINEST(LN(AV61:BB61),SQRT((AV60:BB60))),1)</f>
        <v>-1.0016751162456705E-3</v>
      </c>
      <c r="AS61" s="84">
        <f>INDEX(LINEST(1/(AV61:BB61),1/(SQRT(AV60:BB60)),TRUE,TRUE),3,1)</f>
        <v>0.18045900019928032</v>
      </c>
      <c r="AT61" s="84">
        <f>INDEX(LINEST(1/(AV61:BB61),1/SQRT(AV60:BB60)),1)</f>
        <v>-4.4296957814813087</v>
      </c>
      <c r="AU61" s="3"/>
      <c r="AV61" s="53">
        <v>0.943465503197355</v>
      </c>
      <c r="AW61" s="53">
        <v>0.88381323321505101</v>
      </c>
      <c r="AX61" s="53">
        <v>0.89381538663196203</v>
      </c>
      <c r="AY61" s="53">
        <v>0.85150580018163491</v>
      </c>
      <c r="AZ61" s="53">
        <v>0.72971771513103001</v>
      </c>
      <c r="BA61" s="53">
        <v>0.63367906597882107</v>
      </c>
      <c r="BB61" s="53">
        <v>0.41257220968663005</v>
      </c>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1"/>
      <c r="CS61" s="1"/>
      <c r="CT61" s="1"/>
      <c r="CU61" s="1"/>
    </row>
    <row r="62" spans="1:99" s="13" customFormat="1" ht="12" customHeight="1" x14ac:dyDescent="0.2">
      <c r="A62" s="65">
        <v>43951</v>
      </c>
      <c r="B62" s="1"/>
      <c r="C62" s="1"/>
      <c r="D62" s="60"/>
      <c r="E62" s="76"/>
      <c r="F62" s="60"/>
      <c r="G62" s="60"/>
      <c r="H62" s="60"/>
      <c r="I62" s="60"/>
      <c r="J62" s="60"/>
      <c r="K62" s="60"/>
      <c r="L62" s="60"/>
      <c r="M62" s="60"/>
      <c r="N62" s="59"/>
      <c r="O62" s="60"/>
      <c r="P62" s="60"/>
      <c r="Q62" s="60"/>
      <c r="R62" s="60"/>
      <c r="S62" s="60"/>
      <c r="T62" s="59"/>
      <c r="U62" s="60"/>
      <c r="V62" s="59"/>
      <c r="W62" s="60"/>
      <c r="X62" s="60"/>
      <c r="Y62" s="76"/>
      <c r="Z62" s="59"/>
      <c r="AA62" s="60"/>
      <c r="AB62" s="60"/>
      <c r="AC62" s="56"/>
      <c r="AD62" s="60"/>
      <c r="AE62" s="76"/>
      <c r="AF62" s="80"/>
      <c r="AG62" s="56"/>
      <c r="AH62" s="4"/>
      <c r="AI62" s="56"/>
      <c r="AJ62" s="109"/>
      <c r="AK62" s="56"/>
      <c r="AL62" s="56"/>
      <c r="AM62" s="56"/>
      <c r="AN62" s="56"/>
      <c r="AO62" s="82"/>
      <c r="AP62" s="82"/>
      <c r="AQ62" s="83"/>
      <c r="AR62" s="116"/>
      <c r="AS62" s="84"/>
      <c r="AT62" s="84"/>
      <c r="AU62" s="3"/>
      <c r="AV62" s="25">
        <v>60</v>
      </c>
      <c r="AW62" s="25">
        <f>60*20</f>
        <v>1200</v>
      </c>
      <c r="AX62" s="25">
        <f>60*90</f>
        <v>5400</v>
      </c>
      <c r="AY62" s="25">
        <f>60*60*6</f>
        <v>21600</v>
      </c>
      <c r="AZ62" s="25">
        <f>60*60*24</f>
        <v>86400</v>
      </c>
      <c r="BA62" s="25">
        <f>60*60*72</f>
        <v>259200</v>
      </c>
      <c r="BB62" s="25">
        <f>60*60*24*7</f>
        <v>604800</v>
      </c>
      <c r="BC62" s="53"/>
      <c r="BD62" s="53"/>
      <c r="BE62" s="53"/>
      <c r="BF62" s="53"/>
      <c r="BG62" s="53"/>
      <c r="BH62" s="53"/>
      <c r="BI62" s="53"/>
      <c r="BJ62" s="53"/>
      <c r="BK62" s="53"/>
      <c r="BL62" s="53"/>
      <c r="BM62" s="53"/>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53"/>
      <c r="CO62" s="53"/>
      <c r="CP62" s="53"/>
      <c r="CQ62" s="53"/>
      <c r="CR62" s="1"/>
      <c r="CS62" s="1"/>
      <c r="CT62" s="1"/>
      <c r="CU62" s="1"/>
    </row>
    <row r="63" spans="1:99" s="13" customFormat="1" ht="12" customHeight="1" x14ac:dyDescent="0.2">
      <c r="A63" s="65">
        <v>43951</v>
      </c>
      <c r="B63" s="1" t="s">
        <v>883</v>
      </c>
      <c r="C63" s="1" t="s">
        <v>884</v>
      </c>
      <c r="D63" s="60">
        <v>1963</v>
      </c>
      <c r="E63" s="76">
        <v>1</v>
      </c>
      <c r="F63" s="60">
        <v>56</v>
      </c>
      <c r="G63" s="60">
        <v>8</v>
      </c>
      <c r="H63" s="60" t="s">
        <v>50</v>
      </c>
      <c r="I63" s="60" t="s">
        <v>479</v>
      </c>
      <c r="J63" s="60" t="s">
        <v>320</v>
      </c>
      <c r="K63" s="60">
        <f>IF(J63="syllables",1,IF(J63="trigrams",2,IF(J63="strings",3,IF(J63="visual array",4,IF(J63="characters",5,IF(J63="letters",6,IF(J63="free forms",7,IF(J63="odors",8,IF(J63="words",9,IF(J63="pictures",10,IF(J63="object pictures",11,IF(J63="faces",12,IF(J63="names",13,IF(J63="idioms",14,IF(J63="grades",15,IF(J63="syllable-digit pairs",16,IF(J63="trigram-word pairs",17,IF(J63="word-digit pairs",18,IF(J63="English-Swahili pairs",19,IF(J63="spatial position",20,IF(J63="word pairs",21,IF(J63="word triads",22,IF(J63="generated words",23,IF(J63="word definition pairs",24,IF(J63="math problems",25,IF(J63="famous faces",26,IF(J63="famous names",27,IF(J63="famous voices",28,IF(J63="television programs",29,IF(J63="race horses",30,IF(J63="new vocabulary",31,IF(J63="sentences",32,IF(J63="concepts",33,IF(J63="ad slides",34,IF(J63="scenes",35,IF(J63="famous scenes",36,IF(J63="poems",37,IF(J63="walk",38,IF(J63="faces and events",39,IF(J63="events and names",40,IF(J63="flashbulb",41,IF(J63="stories",42,IF(J63="course material",43,IF(J63="autobiographical",44,IF(J63="novels",45,IF(J63="public events",46,"99"))))))))))))))))))))))))))))))))))))))))))))))</f>
        <v>21</v>
      </c>
      <c r="L63" s="60">
        <f>IF(J63="syllables",1,IF(J63="trigrams",1,IF(J63="strings",1,IF(J63="visual array",1,IF(J63="characters",1,IF(J63="letters",1,IF(J63="free forms",1,IF(J63="odors",2,IF(J63="words",2,IF(J63="pictures",2,IF(J63="object pictures",2,IF(J63="faces",2,IF(J63="names",2,IF(J63="idioms","2",IF(J63="grades",2,IF(J63="syllable-digit pairs",3,IF(J63="trigram-word pairs",3,IF(J63="word-digit pairs",3,IF(J63="English-Swahili pairs",3,IF(J63="spatial position",3,IF(J63="word pairs",4,IF(J63="word triads",4,IF(J63="generated words",4,IF(J63="word definition pairs",4,IF(J63="math problems",4,IF(J63="famous faces",4,IF(J63="famous names",4,IF(J63="famous voices",4,IF(J63="television programs",4,IF(J63="race horses",4,IF(J63="new vocabulary",4,IF(J63="sentences",5,IF(J63="concepts",5,IF(J63="ad slides",5,IF(J63="scenes",5,IF(J63="famous scenes",5,IF(J63="poems",6,IF(J63="walk",6,IF(J63="faces and events",6,IF(J63="events and names",6,IF(J63="flashbulb",7,IF(J63="stories",7,IF(J63="course material",7,IF(J63="autobiographical",7,IF(J63="novels",7,IF(J63="public events",7,"99"))))))))))))))))))))))))))))))))))))))))))))))</f>
        <v>4</v>
      </c>
      <c r="M63" s="60">
        <v>1</v>
      </c>
      <c r="N63" s="59">
        <v>2</v>
      </c>
      <c r="O63" s="60">
        <v>0</v>
      </c>
      <c r="P63" s="60"/>
      <c r="Q63" s="60" t="s">
        <v>65</v>
      </c>
      <c r="R63" s="60">
        <f>IF(Q63="Free Recall",1,IF(Q63="Cued Recall",2,IF(Q63="Recognition",3,IF(Q63="Multiple Choice",4,IF(Q63="Savings",5,IF(Q63="Stem Completion",6,IF(Q63="Fragment Completion",7,IF(Q63="anagram solution",8,IF(Q63="Matching",9,IF(Q63="Problem Solving",10,"99"))))))))))</f>
        <v>2</v>
      </c>
      <c r="S63" s="60" t="s">
        <v>15</v>
      </c>
      <c r="T63" s="59" t="s">
        <v>261</v>
      </c>
      <c r="U63" s="60">
        <f>IF(T63="within",1,0)</f>
        <v>0</v>
      </c>
      <c r="V63" s="59">
        <v>10</v>
      </c>
      <c r="W63" s="60">
        <f>F63*V63</f>
        <v>560</v>
      </c>
      <c r="X63" s="60">
        <v>7</v>
      </c>
      <c r="Y63" s="76">
        <f>AV62</f>
        <v>60</v>
      </c>
      <c r="Z63" s="59" t="s">
        <v>150</v>
      </c>
      <c r="AA63" s="60">
        <v>172800</v>
      </c>
      <c r="AB63" s="60" t="str">
        <f>IF(AA63&lt;60,"1",IF(AA63&lt;=43200,"2",IF(AA63&lt;=777600,"3","4")))</f>
        <v>3</v>
      </c>
      <c r="AC63" s="56">
        <f>AVERAGE(AV62:DA62)</f>
        <v>139808.57142857142</v>
      </c>
      <c r="AD63" s="60" t="str">
        <f>IF(AC63&lt;60,"1",IF(AC63&lt;=43200,"2",IF(AC63&lt;=777600,"3","4")))</f>
        <v>3</v>
      </c>
      <c r="AE63" s="76">
        <f>AA63-Y63</f>
        <v>172740</v>
      </c>
      <c r="AF63" s="80">
        <f>AV63</f>
        <v>0.98534927486026103</v>
      </c>
      <c r="AG63" s="56">
        <f>((AW63-AV63)+(AX63-AW63)+(AY63-AX63)+(AZ63-AY63)+(BA63-AZ63)+(BB63-BA63))/6</f>
        <v>-7.1727883003923007E-2</v>
      </c>
      <c r="AH63" s="4"/>
      <c r="AI63" s="56">
        <f>RSQ(AV63:BB63,AV62:BB62)</f>
        <v>0.92469446974817515</v>
      </c>
      <c r="AJ63" s="109">
        <f>SLOPE(AV63:BB63,AV62:BB62)</f>
        <v>-6.1010590568439386E-7</v>
      </c>
      <c r="AK63" s="56">
        <f>INTERCEPT(AV63:BB63,AV62:BB62)</f>
        <v>0.92537119776779775</v>
      </c>
      <c r="AL63" s="56">
        <f>INDEX(LINEST(LN(AV63:BB63),LN(AV62:BB62),TRUE,TRUE),3,1)</f>
        <v>0.59854673529355407</v>
      </c>
      <c r="AM63" s="56">
        <f>INDEX(LINEST(LN(AV63:BB63),LN(AV62:BB62)),1)</f>
        <v>-4.6015031429518342E-2</v>
      </c>
      <c r="AN63" s="56">
        <f>EXP(INDEX(LINEST(LN(AV63:BB63),LN(AV62:BB62)),1,2))</f>
        <v>1.285221559792586</v>
      </c>
      <c r="AO63" s="82">
        <f>INDEX(LINEST((AV63:BB63),LN(AV62:BB62),TRUE,TRUE),3,1)</f>
        <v>0.66462050482047752</v>
      </c>
      <c r="AP63" s="82">
        <f>INDEX(LINEST((AV63:BB63),LN(AV62:BB62)),1)</f>
        <v>-3.5973133637826872E-2</v>
      </c>
      <c r="AQ63" s="83">
        <f>INDEX(LINEST(LN(AV63:BB63),SQRT(AV62:BB62),TRUE,TRUE),3,1)</f>
        <v>0.88316795923081626</v>
      </c>
      <c r="AR63" s="116">
        <f>INDEX(LINEST(LN(AV63:BB63),SQRT((AV62:BB62))),1)</f>
        <v>-6.3113763901058136E-4</v>
      </c>
      <c r="AS63" s="84">
        <f>INDEX(LINEST(1/(AV63:BB63),1/(SQRT(AV62:BB62)),TRUE,TRUE),3,1)</f>
        <v>0.20424623326933958</v>
      </c>
      <c r="AT63" s="84">
        <f>INDEX(LINEST(1/(AV63:BB63),1/SQRT(AV62:BB62)),1)</f>
        <v>-2.6134514268357827</v>
      </c>
      <c r="AU63" s="3"/>
      <c r="AV63" s="53">
        <v>0.98534927486026103</v>
      </c>
      <c r="AW63" s="53">
        <v>0.94769163069836204</v>
      </c>
      <c r="AX63" s="53">
        <v>0.852980422631475</v>
      </c>
      <c r="AY63" s="53">
        <v>0.90072336082840998</v>
      </c>
      <c r="AZ63" s="53">
        <v>0.86269944853801694</v>
      </c>
      <c r="BA63" s="53">
        <v>0.776086024324248</v>
      </c>
      <c r="BB63" s="53">
        <v>0.55498197683672301</v>
      </c>
      <c r="BC63" s="53"/>
      <c r="BD63" s="53"/>
      <c r="BE63" s="53"/>
      <c r="BF63" s="53"/>
      <c r="BG63" s="53"/>
      <c r="BH63" s="53"/>
      <c r="BI63" s="53"/>
      <c r="BJ63" s="53"/>
      <c r="BK63" s="53"/>
      <c r="BL63" s="53"/>
      <c r="BM63" s="53"/>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53"/>
      <c r="CO63" s="53"/>
      <c r="CP63" s="53"/>
      <c r="CQ63" s="53"/>
      <c r="CR63" s="1"/>
      <c r="CS63" s="1"/>
      <c r="CT63" s="1"/>
      <c r="CU63" s="1"/>
    </row>
    <row r="64" spans="1:99" s="13" customFormat="1" ht="12" customHeight="1" x14ac:dyDescent="0.2">
      <c r="A64" s="65">
        <v>43509</v>
      </c>
      <c r="B64" s="1"/>
      <c r="C64" s="1"/>
      <c r="D64" s="60"/>
      <c r="E64" s="76"/>
      <c r="F64" s="60"/>
      <c r="G64" s="60"/>
      <c r="H64" s="60"/>
      <c r="I64" s="60"/>
      <c r="J64" s="60"/>
      <c r="K64" s="64"/>
      <c r="L64" s="64"/>
      <c r="M64" s="60"/>
      <c r="N64" s="60"/>
      <c r="O64" s="60"/>
      <c r="P64" s="60"/>
      <c r="Q64" s="60"/>
      <c r="R64" s="60"/>
      <c r="S64" s="60"/>
      <c r="T64" s="60"/>
      <c r="U64" s="60"/>
      <c r="V64" s="60"/>
      <c r="W64" s="60"/>
      <c r="X64" s="60"/>
      <c r="Y64" s="76"/>
      <c r="Z64" s="60"/>
      <c r="AA64" s="60"/>
      <c r="AB64" s="60"/>
      <c r="AC64" s="60"/>
      <c r="AD64" s="60"/>
      <c r="AE64" s="60"/>
      <c r="AF64" s="80"/>
      <c r="AG64" s="56"/>
      <c r="AH64" s="4"/>
      <c r="AI64" s="56"/>
      <c r="AJ64" s="109"/>
      <c r="AK64" s="56"/>
      <c r="AL64" s="56"/>
      <c r="AM64" s="56"/>
      <c r="AN64" s="56"/>
      <c r="AO64" s="56"/>
      <c r="AP64" s="56"/>
      <c r="AQ64" s="56"/>
      <c r="AR64" s="109"/>
      <c r="AS64" s="56"/>
      <c r="AT64" s="56"/>
      <c r="AU64" s="4"/>
      <c r="AV64" s="25">
        <f>20*60</f>
        <v>1200</v>
      </c>
      <c r="AW64" s="25">
        <f>60*60</f>
        <v>3600</v>
      </c>
      <c r="AX64" s="25">
        <f>4*60*60</f>
        <v>14400</v>
      </c>
      <c r="AY64" s="25">
        <f>24*3600</f>
        <v>86400</v>
      </c>
      <c r="AZ64" s="25">
        <f>24*3600*2</f>
        <v>172800</v>
      </c>
      <c r="BA64" s="53"/>
      <c r="BB64" s="53"/>
      <c r="BC64" s="53"/>
      <c r="BD64" s="53"/>
      <c r="BE64" s="53"/>
      <c r="BF64" s="53"/>
      <c r="BG64" s="53"/>
      <c r="BH64" s="53"/>
      <c r="BI64" s="53"/>
      <c r="BJ64" s="53"/>
      <c r="BK64" s="53"/>
      <c r="BL64" s="53"/>
      <c r="BM64" s="53"/>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53"/>
      <c r="CO64" s="53"/>
      <c r="CP64" s="53"/>
      <c r="CQ64" s="53"/>
      <c r="CR64" s="1"/>
      <c r="CS64" s="1"/>
      <c r="CT64" s="1"/>
      <c r="CU64" s="1"/>
    </row>
    <row r="65" spans="1:99" s="13" customFormat="1" ht="12" customHeight="1" x14ac:dyDescent="0.2">
      <c r="A65" s="65">
        <v>43509</v>
      </c>
      <c r="B65" s="1" t="s">
        <v>118</v>
      </c>
      <c r="C65" s="1" t="s">
        <v>119</v>
      </c>
      <c r="D65" s="60">
        <v>1922</v>
      </c>
      <c r="E65" s="76">
        <v>2</v>
      </c>
      <c r="F65" s="60">
        <v>20</v>
      </c>
      <c r="G65" s="60">
        <v>20</v>
      </c>
      <c r="H65" s="60" t="s">
        <v>725</v>
      </c>
      <c r="I65" s="60"/>
      <c r="J65" s="60" t="s">
        <v>281</v>
      </c>
      <c r="K65" s="60">
        <f>IF(J65="syllables",1,IF(J65="trigrams",2,IF(J65="strings",3,IF(J65="visual array",4,IF(J65="characters",5,IF(J65="letters",6,IF(J65="free forms",7,IF(J65="odors",8,IF(J65="words",9,IF(J65="pictures",10,IF(J65="object pictures",11,IF(J65="faces",12,IF(J65="names",13,IF(J65="idioms",14,IF(J65="grades",15,IF(J65="syllable-digit pairs",16,IF(J65="trigram-word pairs",17,IF(J65="word-digit pairs",18,IF(J65="English-Swahili pairs",19,IF(J65="spatial position",20,IF(J65="word pairs",21,IF(J65="word triads",22,IF(J65="generated words",23,IF(J65="word definition pairs",24,IF(J65="math problems",25,IF(J65="famous faces",26,IF(J65="famous names",27,IF(J65="famous voices",28,IF(J65="television programs",29,IF(J65="race horses",30,IF(J65="new vocabulary",31,IF(J65="sentences",32,IF(J65="concepts",33,IF(J65="ad slides",34,IF(J65="scenes",35,IF(J65="famous scenes",36,IF(J65="poems",37,IF(J65="walk",38,IF(J65="faces and events",39,IF(J65="events and names",40,IF(J65="flashbulb",41,IF(J65="stories",42,IF(J65="course material",43,IF(J65="autobiographical",44,IF(J65="novels",45,IF(J65="public events",46,"99"))))))))))))))))))))))))))))))))))))))))))))))</f>
        <v>1</v>
      </c>
      <c r="L65" s="60">
        <f>IF(J65="syllables",1,IF(J65="trigrams",1,IF(J65="strings",1,IF(J65="visual array",1,IF(J65="characters",1,IF(J65="letters",1,IF(J65="free forms",1,IF(J65="odors",2,IF(J65="words",2,IF(J65="pictures",2,IF(J65="object pictures",2,IF(J65="faces",2,IF(J65="names",2,IF(J65="idioms","2",IF(J65="grades",2,IF(J65="syllable-digit pairs",3,IF(J65="trigram-word pairs",3,IF(J65="word-digit pairs",3,IF(J65="English-Swahili pairs",3,IF(J65="spatial position",3,IF(J65="word pairs",4,IF(J65="word triads",4,IF(J65="generated words",4,IF(J65="word definition pairs",4,IF(J65="math problems",4,IF(J65="famous faces",4,IF(J65="famous names",4,IF(J65="famous voices",4,IF(J65="television programs",4,IF(J65="race horses",4,IF(J65="new vocabulary",4,IF(J65="sentences",5,IF(J65="concepts",5,IF(J65="ad slides",5,IF(J65="scenes",5,IF(J65="famous scenes",5,IF(J65="poems",6,IF(J65="walk",6,IF(J65="faces and events",6,IF(J65="events and names",6,IF(J65="flashbulb",7,IF(J65="stories",7,IF(J65="course material",7,IF(J65="autobiographical",7,IF(J65="novels",7,IF(J65="public events",7,"99"))))))))))))))))))))))))))))))))))))))))))))))</f>
        <v>1</v>
      </c>
      <c r="M65" s="60">
        <v>1</v>
      </c>
      <c r="N65" s="60">
        <v>2</v>
      </c>
      <c r="O65" s="60">
        <v>0</v>
      </c>
      <c r="P65" s="60"/>
      <c r="Q65" s="60" t="s">
        <v>174</v>
      </c>
      <c r="R65" s="60">
        <f>IF(Q65="Free Recall",1,IF(Q65="Cued Recall",2,IF(Q65="Recognition",3,IF(Q65="Multiple Choice",4,IF(Q65="Savings",5,IF(Q65="Stem Completion",6,IF(Q65="Fragment Completion",7,IF(Q65="anagram solution",8,IF(Q65="Matching",9,IF(Q65="Problem Solving",10,"99"))))))))))</f>
        <v>1</v>
      </c>
      <c r="S65" s="60" t="s">
        <v>49</v>
      </c>
      <c r="T65" s="59" t="s">
        <v>581</v>
      </c>
      <c r="U65" s="60">
        <f>IF(T65="within",1,0)</f>
        <v>1</v>
      </c>
      <c r="V65" s="59">
        <v>12</v>
      </c>
      <c r="W65" s="60">
        <f>F65*V65</f>
        <v>240</v>
      </c>
      <c r="X65" s="60">
        <v>5</v>
      </c>
      <c r="Y65" s="76">
        <f>AV64</f>
        <v>1200</v>
      </c>
      <c r="Z65" s="60" t="s">
        <v>88</v>
      </c>
      <c r="AA65" s="60">
        <v>172800</v>
      </c>
      <c r="AB65" s="60" t="str">
        <f>IF(AA65&lt;60,"1",IF(AA65&lt;=43200,"2",IF(AA65&lt;=777600,"3","4")))</f>
        <v>3</v>
      </c>
      <c r="AC65" s="56">
        <f>AVERAGE(AV64:DA64)</f>
        <v>55680</v>
      </c>
      <c r="AD65" s="60" t="str">
        <f>IF(AC65&lt;60,"1",IF(AC65&lt;=43200,"2",IF(AC65&lt;=777600,"3","4")))</f>
        <v>3</v>
      </c>
      <c r="AE65" s="76">
        <f>AA65-Y65</f>
        <v>171600</v>
      </c>
      <c r="AF65" s="80">
        <f>AV65</f>
        <v>0.97799999999999998</v>
      </c>
      <c r="AG65" s="56">
        <f>((AW65-AV65)+(AX65-AW65)+(AY65-AX65)+(AZ65-AY65))/4</f>
        <v>-6.5750000000000003E-2</v>
      </c>
      <c r="AH65" s="4"/>
      <c r="AI65" s="56">
        <f>RSQ(AV65:AZ65,AV64:AZ64)</f>
        <v>0.8859910911040636</v>
      </c>
      <c r="AJ65" s="109">
        <f>SLOPE(AV65:AZ65,AV64:AZ64)</f>
        <v>-1.5606737560856653E-6</v>
      </c>
      <c r="AK65" s="56">
        <f>INTERCEPT(AV65:AZ65,AV64:AZ64)</f>
        <v>0.95049831473884994</v>
      </c>
      <c r="AL65" s="56">
        <f>INDEX(LINEST(LN(AV65:AZ65),LN(AV64:AZ64),TRUE,TRUE),3,1)</f>
        <v>0.89715938094619674</v>
      </c>
      <c r="AM65" s="56">
        <f>INDEX(LINEST(LN(AV65:AZ65),LN(AV64:AZ64)),1)</f>
        <v>-6.6682039620420117E-2</v>
      </c>
      <c r="AN65" s="56">
        <f>EXP(INDEX(LINEST(LN(AV65:AZ65),LN(AV64:AZ64)),1,2))</f>
        <v>1.6303010871670902</v>
      </c>
      <c r="AO65" s="82">
        <f>INDEX(LINEST((AV65:AZ65),LN(AV64:AZ64),TRUE,TRUE),3,1)</f>
        <v>0.9053572397850046</v>
      </c>
      <c r="AP65" s="82">
        <f>INDEX(LINEST((AV65:AZ65),LN(AV64:AZ64)),1)</f>
        <v>-5.6076572031366449E-2</v>
      </c>
      <c r="AQ65" s="83">
        <f>INDEX(LINEST(LN(AV65:AZ65),SQRT(AV64:AZ64),TRUE,TRUE),3,1)</f>
        <v>0.96293416654847719</v>
      </c>
      <c r="AR65" s="116">
        <f>INDEX(LINEST(LN(AV65:AZ65),SQRT((AV64:AZ64))),1)</f>
        <v>-8.7995857429781473E-4</v>
      </c>
      <c r="AS65" s="84">
        <f>INDEX(LINEST(1/(AV65:AZ65),1/(SQRT(AV64:AZ64)),TRUE,TRUE),3,1)</f>
        <v>0.65536530555916461</v>
      </c>
      <c r="AT65" s="84">
        <f>INDEX(LINEST(1/(AV65:AZ65),1/SQRT(AV64:AZ64)),1)</f>
        <v>-12.994742269729803</v>
      </c>
      <c r="AU65" s="3"/>
      <c r="AV65" s="53">
        <v>0.97799999999999998</v>
      </c>
      <c r="AW65" s="53">
        <v>0.94599999999999995</v>
      </c>
      <c r="AX65" s="53">
        <v>0.93300000000000005</v>
      </c>
      <c r="AY65" s="53">
        <v>0.746</v>
      </c>
      <c r="AZ65" s="53">
        <v>0.71499999999999997</v>
      </c>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1"/>
      <c r="CS65" s="1"/>
      <c r="CT65" s="1"/>
      <c r="CU65" s="1"/>
    </row>
    <row r="66" spans="1:99" s="13" customFormat="1" ht="12" customHeight="1" x14ac:dyDescent="0.2">
      <c r="A66" s="65">
        <v>43509</v>
      </c>
      <c r="B66" s="1"/>
      <c r="C66" s="1"/>
      <c r="D66" s="60"/>
      <c r="E66" s="76"/>
      <c r="F66" s="60"/>
      <c r="G66" s="60"/>
      <c r="H66" s="60"/>
      <c r="I66" s="60"/>
      <c r="J66" s="60"/>
      <c r="K66" s="64"/>
      <c r="L66" s="64"/>
      <c r="M66" s="60"/>
      <c r="N66" s="60"/>
      <c r="O66" s="60"/>
      <c r="P66" s="60"/>
      <c r="Q66" s="60"/>
      <c r="R66" s="60"/>
      <c r="S66" s="60"/>
      <c r="T66" s="60"/>
      <c r="U66" s="60"/>
      <c r="V66" s="60"/>
      <c r="W66" s="60"/>
      <c r="X66" s="60"/>
      <c r="Y66" s="76"/>
      <c r="Z66" s="60"/>
      <c r="AA66" s="60"/>
      <c r="AB66" s="60"/>
      <c r="AC66" s="60"/>
      <c r="AD66" s="60"/>
      <c r="AE66" s="60"/>
      <c r="AF66" s="80"/>
      <c r="AG66" s="56"/>
      <c r="AH66" s="4"/>
      <c r="AI66" s="56"/>
      <c r="AJ66" s="109"/>
      <c r="AK66" s="56"/>
      <c r="AL66" s="56"/>
      <c r="AM66" s="56"/>
      <c r="AN66" s="56"/>
      <c r="AO66" s="56"/>
      <c r="AP66" s="56"/>
      <c r="AQ66" s="56"/>
      <c r="AR66" s="109"/>
      <c r="AS66" s="56"/>
      <c r="AT66" s="56"/>
      <c r="AU66" s="4"/>
      <c r="AV66" s="25">
        <f>20*60</f>
        <v>1200</v>
      </c>
      <c r="AW66" s="25">
        <f>60*60</f>
        <v>3600</v>
      </c>
      <c r="AX66" s="25">
        <f>4*60*60</f>
        <v>14400</v>
      </c>
      <c r="AY66" s="25">
        <f>24*3600</f>
        <v>86400</v>
      </c>
      <c r="AZ66" s="25">
        <f>24*3600*2</f>
        <v>172800</v>
      </c>
      <c r="BA66" s="53"/>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53"/>
      <c r="CD66" s="53"/>
      <c r="CE66" s="53"/>
      <c r="CF66" s="53"/>
      <c r="CG66" s="53"/>
      <c r="CH66" s="53"/>
      <c r="CI66" s="53"/>
      <c r="CJ66" s="53"/>
      <c r="CK66" s="53"/>
      <c r="CL66" s="53"/>
      <c r="CM66" s="53"/>
      <c r="CN66" s="53"/>
      <c r="CO66" s="53"/>
      <c r="CP66" s="53"/>
      <c r="CQ66" s="53"/>
      <c r="CR66" s="1"/>
      <c r="CS66" s="1"/>
      <c r="CT66" s="1"/>
      <c r="CU66" s="1"/>
    </row>
    <row r="67" spans="1:99" s="13" customFormat="1" ht="12" customHeight="1" x14ac:dyDescent="0.2">
      <c r="A67" s="65">
        <v>43509</v>
      </c>
      <c r="B67" s="1" t="s">
        <v>118</v>
      </c>
      <c r="C67" s="1" t="s">
        <v>119</v>
      </c>
      <c r="D67" s="60">
        <v>1922</v>
      </c>
      <c r="E67" s="76">
        <v>2</v>
      </c>
      <c r="F67" s="60">
        <v>20</v>
      </c>
      <c r="G67" s="60">
        <v>20</v>
      </c>
      <c r="H67" s="60" t="s">
        <v>725</v>
      </c>
      <c r="I67" s="60"/>
      <c r="J67" s="60" t="s">
        <v>281</v>
      </c>
      <c r="K67" s="60">
        <f>IF(J67="syllables",1,IF(J67="trigrams",2,IF(J67="strings",3,IF(J67="visual array",4,IF(J67="characters",5,IF(J67="letters",6,IF(J67="free forms",7,IF(J67="odors",8,IF(J67="words",9,IF(J67="pictures",10,IF(J67="object pictures",11,IF(J67="faces",12,IF(J67="names",13,IF(J67="idioms",14,IF(J67="grades",15,IF(J67="syllable-digit pairs",16,IF(J67="trigram-word pairs",17,IF(J67="word-digit pairs",18,IF(J67="English-Swahili pairs",19,IF(J67="spatial position",20,IF(J67="word pairs",21,IF(J67="word triads",22,IF(J67="generated words",23,IF(J67="word definition pairs",24,IF(J67="math problems",25,IF(J67="famous faces",26,IF(J67="famous names",27,IF(J67="famous voices",28,IF(J67="television programs",29,IF(J67="race horses",30,IF(J67="new vocabulary",31,IF(J67="sentences",32,IF(J67="concepts",33,IF(J67="ad slides",34,IF(J67="scenes",35,IF(J67="famous scenes",36,IF(J67="poems",37,IF(J67="walk",38,IF(J67="faces and events",39,IF(J67="events and names",40,IF(J67="flashbulb",41,IF(J67="stories",42,IF(J67="course material",43,IF(J67="autobiographical",44,IF(J67="novels",45,IF(J67="public events",46,"99"))))))))))))))))))))))))))))))))))))))))))))))</f>
        <v>1</v>
      </c>
      <c r="L67" s="60">
        <f>IF(J67="syllables",1,IF(J67="trigrams",1,IF(J67="strings",1,IF(J67="visual array",1,IF(J67="characters",1,IF(J67="letters",1,IF(J67="free forms",1,IF(J67="odors",2,IF(J67="words",2,IF(J67="pictures",2,IF(J67="object pictures",2,IF(J67="faces",2,IF(J67="names",2,IF(J67="idioms","2",IF(J67="grades",2,IF(J67="syllable-digit pairs",3,IF(J67="trigram-word pairs",3,IF(J67="word-digit pairs",3,IF(J67="English-Swahili pairs",3,IF(J67="spatial position",3,IF(J67="word pairs",4,IF(J67="word triads",4,IF(J67="generated words",4,IF(J67="word definition pairs",4,IF(J67="math problems",4,IF(J67="famous faces",4,IF(J67="famous names",4,IF(J67="famous voices",4,IF(J67="television programs",4,IF(J67="race horses",4,IF(J67="new vocabulary",4,IF(J67="sentences",5,IF(J67="concepts",5,IF(J67="ad slides",5,IF(J67="scenes",5,IF(J67="famous scenes",5,IF(J67="poems",6,IF(J67="walk",6,IF(J67="faces and events",6,IF(J67="events and names",6,IF(J67="flashbulb",7,IF(J67="stories",7,IF(J67="course material",7,IF(J67="autobiographical",7,IF(J67="novels",7,IF(J67="public events",7,"99"))))))))))))))))))))))))))))))))))))))))))))))</f>
        <v>1</v>
      </c>
      <c r="M67" s="60">
        <v>1</v>
      </c>
      <c r="N67" s="60">
        <v>2</v>
      </c>
      <c r="O67" s="60">
        <v>0</v>
      </c>
      <c r="P67" s="60"/>
      <c r="Q67" s="60" t="s">
        <v>34</v>
      </c>
      <c r="R67" s="60">
        <f>IF(Q67="Free Recall",1,IF(Q67="Cued Recall",2,IF(Q67="Recognition",3,IF(Q67="Multiple Choice",4,IF(Q67="Savings",5,IF(Q67="Stem Completion",6,IF(Q67="Fragment Completion",7,IF(Q67="anagram solution",8,IF(Q67="Matching",9,IF(Q67="Problem Solving",10,"99"))))))))))</f>
        <v>3</v>
      </c>
      <c r="S67" s="59" t="s">
        <v>15</v>
      </c>
      <c r="T67" s="59" t="s">
        <v>581</v>
      </c>
      <c r="U67" s="60">
        <f>IF(T67="within",1,0)</f>
        <v>1</v>
      </c>
      <c r="V67" s="59">
        <v>12</v>
      </c>
      <c r="W67" s="60">
        <f>F67*V67</f>
        <v>240</v>
      </c>
      <c r="X67" s="60">
        <v>5</v>
      </c>
      <c r="Y67" s="76">
        <f>AV66</f>
        <v>1200</v>
      </c>
      <c r="Z67" s="60" t="s">
        <v>88</v>
      </c>
      <c r="AA67" s="60">
        <v>172800</v>
      </c>
      <c r="AB67" s="60" t="str">
        <f>IF(AA67&lt;60,"1",IF(AA67&lt;=43200,"2",IF(AA67&lt;=777600,"3","4")))</f>
        <v>3</v>
      </c>
      <c r="AC67" s="56">
        <f>AVERAGE(AV66:DA66)</f>
        <v>55680</v>
      </c>
      <c r="AD67" s="60" t="str">
        <f>IF(AC67&lt;60,"1",IF(AC67&lt;=43200,"2",IF(AC67&lt;=777600,"3","4")))</f>
        <v>3</v>
      </c>
      <c r="AE67" s="76">
        <f>AA67-Y67</f>
        <v>171600</v>
      </c>
      <c r="AF67" s="80">
        <f>AV67</f>
        <v>0.91500000000000004</v>
      </c>
      <c r="AG67" s="56">
        <f>((AW67-AV67)+(AX67-AW67)+(AY67-AX67)+(AZ67-AY67))/4</f>
        <v>-0.13225000000000001</v>
      </c>
      <c r="AH67" s="4"/>
      <c r="AI67" s="56">
        <f>RSQ(AV67:AZ67,AV66:AZ66)</f>
        <v>0.91004281882293725</v>
      </c>
      <c r="AJ67" s="109">
        <f>SLOPE(AV67:AZ67,AV66:AZ66)</f>
        <v>-3.0321854396920371E-6</v>
      </c>
      <c r="AK67" s="56">
        <f>INTERCEPT(AV67:AZ67,AV66:AZ66)</f>
        <v>0.86103208528205255</v>
      </c>
      <c r="AL67" s="56">
        <f>INDEX(LINEST(LN(AV67:AZ67),LN(AV66:AZ66),TRUE,TRUE),3,1)</f>
        <v>0.91912988297147891</v>
      </c>
      <c r="AM67" s="56">
        <f>INDEX(LINEST(LN(AV67:AZ67),LN(AV66:AZ66)),1)</f>
        <v>-0.17382893632281318</v>
      </c>
      <c r="AN67" s="56">
        <f>EXP(INDEX(LINEST(LN(AV67:AZ67),LN(AV66:AZ66)),1,2))</f>
        <v>3.5151484778696522</v>
      </c>
      <c r="AO67" s="82">
        <f>INDEX(LINEST((AV67:AZ67),LN(AV66:AZ66),TRUE,TRUE),3,1)</f>
        <v>0.95518416415963436</v>
      </c>
      <c r="AP67" s="82">
        <f>INDEX(LINEST((AV67:AZ67),LN(AV66:AZ66)),1)</f>
        <v>-0.11041864648920337</v>
      </c>
      <c r="AQ67" s="83">
        <f>INDEX(LINEST(LN(AV67:AZ67),SQRT(AV66:AZ66),TRUE,TRUE),3,1)</f>
        <v>0.9983882793577552</v>
      </c>
      <c r="AR67" s="116">
        <f>INDEX(LINEST(LN(AV67:AZ67),SQRT((AV66:AZ66))),1)</f>
        <v>-2.3076674364709343E-3</v>
      </c>
      <c r="AS67" s="84">
        <f>INDEX(LINEST(1/(AV67:AZ67),1/(SQRT(AV66:AZ66)),TRUE,TRUE),3,1)</f>
        <v>0.61747943964498042</v>
      </c>
      <c r="AT67" s="84">
        <f>INDEX(LINEST(1/(AV67:AZ67),1/SQRT(AV66:AZ66)),1)</f>
        <v>-46.219178896754592</v>
      </c>
      <c r="AU67" s="3"/>
      <c r="AV67" s="53">
        <v>0.91500000000000004</v>
      </c>
      <c r="AW67" s="53">
        <v>0.89700000000000002</v>
      </c>
      <c r="AX67" s="53">
        <v>0.754</v>
      </c>
      <c r="AY67" s="53">
        <v>0.50900000000000001</v>
      </c>
      <c r="AZ67" s="53">
        <v>0.38600000000000001</v>
      </c>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1"/>
      <c r="CS67" s="1"/>
      <c r="CT67" s="1"/>
      <c r="CU67" s="1"/>
    </row>
    <row r="68" spans="1:99" s="13" customFormat="1" ht="12" customHeight="1" x14ac:dyDescent="0.2">
      <c r="A68" s="65">
        <v>43912</v>
      </c>
      <c r="B68" s="1"/>
      <c r="C68" s="1"/>
      <c r="D68" s="60"/>
      <c r="E68" s="76"/>
      <c r="F68" s="60"/>
      <c r="G68" s="60"/>
      <c r="H68" s="60"/>
      <c r="I68" s="60"/>
      <c r="J68" s="60"/>
      <c r="K68" s="64"/>
      <c r="L68" s="64"/>
      <c r="M68" s="60"/>
      <c r="N68" s="60"/>
      <c r="O68" s="60"/>
      <c r="P68" s="60"/>
      <c r="Q68" s="60"/>
      <c r="R68" s="60"/>
      <c r="S68" s="60"/>
      <c r="T68" s="59"/>
      <c r="U68" s="60"/>
      <c r="V68" s="59"/>
      <c r="W68" s="60"/>
      <c r="X68" s="60"/>
      <c r="Y68" s="76"/>
      <c r="Z68" s="60"/>
      <c r="AA68" s="60"/>
      <c r="AB68" s="60"/>
      <c r="AC68" s="56"/>
      <c r="AD68" s="60"/>
      <c r="AE68" s="60"/>
      <c r="AF68" s="80"/>
      <c r="AG68" s="56"/>
      <c r="AH68" s="4"/>
      <c r="AI68" s="56"/>
      <c r="AJ68" s="109"/>
      <c r="AK68" s="56"/>
      <c r="AL68" s="56"/>
      <c r="AM68" s="56"/>
      <c r="AN68" s="56"/>
      <c r="AO68" s="56"/>
      <c r="AP68" s="56"/>
      <c r="AQ68" s="56"/>
      <c r="AR68" s="109"/>
      <c r="AS68" s="56"/>
      <c r="AT68" s="56"/>
      <c r="AU68" s="4"/>
      <c r="AV68" s="25">
        <f>2*60*60</f>
        <v>7200</v>
      </c>
      <c r="AW68" s="25">
        <f>3*60*60</f>
        <v>10800</v>
      </c>
      <c r="AX68" s="25">
        <f>4*60*60</f>
        <v>14400</v>
      </c>
      <c r="AY68" s="25">
        <f>6*60*60</f>
        <v>21600</v>
      </c>
      <c r="AZ68" s="25">
        <f>12*60*60</f>
        <v>43200</v>
      </c>
      <c r="BA68" s="25">
        <f>24*3600</f>
        <v>86400</v>
      </c>
      <c r="BB68" s="25">
        <f>24*3600*2</f>
        <v>172800</v>
      </c>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1"/>
      <c r="CS68" s="1"/>
      <c r="CT68" s="1"/>
      <c r="CU68" s="1"/>
    </row>
    <row r="69" spans="1:99" s="13" customFormat="1" ht="12" customHeight="1" x14ac:dyDescent="0.2">
      <c r="A69" s="65">
        <v>43912</v>
      </c>
      <c r="B69" s="1" t="s">
        <v>118</v>
      </c>
      <c r="C69" s="1" t="s">
        <v>119</v>
      </c>
      <c r="D69" s="60">
        <v>1922</v>
      </c>
      <c r="E69" s="76">
        <v>3</v>
      </c>
      <c r="F69" s="60">
        <v>20</v>
      </c>
      <c r="G69" s="60">
        <v>20</v>
      </c>
      <c r="H69" s="60" t="s">
        <v>726</v>
      </c>
      <c r="I69" s="74">
        <v>1.5</v>
      </c>
      <c r="J69" s="60" t="s">
        <v>281</v>
      </c>
      <c r="K69" s="60">
        <f>IF(J69="syllables",1,IF(J69="trigrams",2,IF(J69="strings",3,IF(J69="visual array",4,IF(J69="characters",5,IF(J69="letters",6,IF(J69="free forms",7,IF(J69="odors",8,IF(J69="words",9,IF(J69="pictures",10,IF(J69="object pictures",11,IF(J69="faces",12,IF(J69="names",13,IF(J69="idioms",14,IF(J69="grades",15,IF(J69="syllable-digit pairs",16,IF(J69="trigram-word pairs",17,IF(J69="word-digit pairs",18,IF(J69="English-Swahili pairs",19,IF(J69="spatial position",20,IF(J69="word pairs",21,IF(J69="word triads",22,IF(J69="generated words",23,IF(J69="word definition pairs",24,IF(J69="math problems",25,IF(J69="famous faces",26,IF(J69="famous names",27,IF(J69="famous voices",28,IF(J69="television programs",29,IF(J69="race horses",30,IF(J69="new vocabulary",31,IF(J69="sentences",32,IF(J69="concepts",33,IF(J69="ad slides",34,IF(J69="scenes",35,IF(J69="famous scenes",36,IF(J69="poems",37,IF(J69="walk",38,IF(J69="faces and events",39,IF(J69="events and names",40,IF(J69="flashbulb",41,IF(J69="stories",42,IF(J69="course material",43,IF(J69="autobiographical",44,IF(J69="novels",45,IF(J69="public events",46,"99"))))))))))))))))))))))))))))))))))))))))))))))</f>
        <v>1</v>
      </c>
      <c r="L69" s="60">
        <f>IF(J69="syllables",1,IF(J69="trigrams",1,IF(J69="strings",1,IF(J69="visual array",1,IF(J69="characters",1,IF(J69="letters",1,IF(J69="free forms",1,IF(J69="odors",2,IF(J69="words",2,IF(J69="pictures",2,IF(J69="object pictures",2,IF(J69="faces",2,IF(J69="names",2,IF(J69="idioms","2",IF(J69="grades",2,IF(J69="syllable-digit pairs",3,IF(J69="trigram-word pairs",3,IF(J69="word-digit pairs",3,IF(J69="English-Swahili pairs",3,IF(J69="spatial position",3,IF(J69="word pairs",4,IF(J69="word triads",4,IF(J69="generated words",4,IF(J69="word definition pairs",4,IF(J69="math problems",4,IF(J69="famous faces",4,IF(J69="famous names",4,IF(J69="famous voices",4,IF(J69="television programs",4,IF(J69="race horses",4,IF(J69="new vocabulary",4,IF(J69="sentences",5,IF(J69="concepts",5,IF(J69="ad slides",5,IF(J69="scenes",5,IF(J69="famous scenes",5,IF(J69="poems",6,IF(J69="walk",6,IF(J69="faces and events",6,IF(J69="events and names",6,IF(J69="flashbulb",7,IF(J69="stories",7,IF(J69="course material",7,IF(J69="autobiographical",7,IF(J69="novels",7,IF(J69="public events",7,"99"))))))))))))))))))))))))))))))))))))))))))))))</f>
        <v>1</v>
      </c>
      <c r="M69" s="60">
        <v>1</v>
      </c>
      <c r="N69" s="60">
        <v>2</v>
      </c>
      <c r="O69" s="60">
        <v>0</v>
      </c>
      <c r="P69" s="60"/>
      <c r="Q69" s="60" t="s">
        <v>174</v>
      </c>
      <c r="R69" s="60">
        <f>IF(Q69="Free Recall",1,IF(Q69="Cued Recall",2,IF(Q69="Recognition",3,IF(Q69="Multiple Choice",4,IF(Q69="Savings",5,IF(Q69="Stem Completion",6,IF(Q69="Fragment Completion",7,IF(Q69="anagram solution",8,IF(Q69="Matching",9,IF(Q69="Problem Solving",10,"99"))))))))))</f>
        <v>1</v>
      </c>
      <c r="S69" s="60" t="s">
        <v>49</v>
      </c>
      <c r="T69" s="59" t="s">
        <v>581</v>
      </c>
      <c r="U69" s="60">
        <f>IF(T69="within",1,0)</f>
        <v>1</v>
      </c>
      <c r="V69" s="59">
        <v>12</v>
      </c>
      <c r="W69" s="60">
        <f>F69*V69</f>
        <v>240</v>
      </c>
      <c r="X69" s="60">
        <v>7</v>
      </c>
      <c r="Y69" s="76">
        <f>AV68</f>
        <v>7200</v>
      </c>
      <c r="Z69" s="60" t="s">
        <v>88</v>
      </c>
      <c r="AA69" s="60">
        <v>172800</v>
      </c>
      <c r="AB69" s="60" t="str">
        <f>IF(AA69&lt;60,"1",IF(AA69&lt;=43200,"2",IF(AA69&lt;=777600,"3","4")))</f>
        <v>3</v>
      </c>
      <c r="AC69" s="56">
        <f>AVERAGE(AV68:DA68)</f>
        <v>50914.285714285717</v>
      </c>
      <c r="AD69" s="60" t="str">
        <f>IF(AC69&lt;60,"1",IF(AC69&lt;=43200,"2",IF(AC69&lt;=777600,"3","4")))</f>
        <v>3</v>
      </c>
      <c r="AE69" s="76">
        <f>AA69-Y69</f>
        <v>165600</v>
      </c>
      <c r="AF69" s="80">
        <f>AV69</f>
        <v>0.88</v>
      </c>
      <c r="AG69" s="56">
        <f>((AW69-AV69)+(AX69-AW69)+(AY69-AX69)+(AZ69-AY69)+(BA69-AZ69)+(BB69-BA69))/6</f>
        <v>-9.5000000000000015E-2</v>
      </c>
      <c r="AH69" s="4"/>
      <c r="AI69" s="56">
        <f>RSQ(AV69:BB69,AV68:BB68)</f>
        <v>0.802886651772033</v>
      </c>
      <c r="AJ69" s="109">
        <f>SLOPE(AV69:BB69,AV68:BB68)</f>
        <v>-3.380702644786556E-6</v>
      </c>
      <c r="AK69" s="56">
        <f>INTERCEPT(AV69:BB69,AV68:BB68)</f>
        <v>0.80641177465741831</v>
      </c>
      <c r="AL69" s="56">
        <f>INDEX(LINEST(LN(AV69:BB69),LN(AV68:BB68),TRUE,TRUE),3,1)</f>
        <v>0.9811008851217965</v>
      </c>
      <c r="AM69" s="170"/>
      <c r="AN69" s="56">
        <f>EXP(INDEX(LINEST(LN(AV69:BB69),LN(AV68:BB68)),1,2))</f>
        <v>21.406174925321391</v>
      </c>
      <c r="AO69" s="82">
        <f>INDEX(LINEST((AV69:BB69),LN(AV68:BB68),TRUE,TRUE),3,1)</f>
        <v>0.98060212916466805</v>
      </c>
      <c r="AP69" s="82">
        <f>INDEX(LINEST((AV69:BB69),LN(AV68:BB68)),1)</f>
        <v>-0.19507888680568869</v>
      </c>
      <c r="AQ69" s="83">
        <f>INDEX(LINEST(LN(AV69:BB69),SQRT(AV68:BB68),TRUE,TRUE),3,1)</f>
        <v>0.97101564722347755</v>
      </c>
      <c r="AR69" s="116">
        <f>INDEX(LINEST(LN(AV69:BB69),SQRT((AV68:BB68))),1)</f>
        <v>-3.3383482398798518E-3</v>
      </c>
      <c r="AS69" s="84">
        <f>INDEX(LINEST(1/(AV69:BB69),1/(SQRT(AV68:BB68)),TRUE,TRUE),3,1)</f>
        <v>0.82239080860818736</v>
      </c>
      <c r="AT69" s="84">
        <f>INDEX(LINEST(1/(AV69:BB69),1/SQRT(AV68:BB68)),1)</f>
        <v>-212.6919082366596</v>
      </c>
      <c r="AU69" s="3"/>
      <c r="AV69" s="53">
        <v>0.88</v>
      </c>
      <c r="AW69" s="53">
        <v>0.84</v>
      </c>
      <c r="AX69" s="53">
        <v>0.82</v>
      </c>
      <c r="AY69" s="53">
        <v>0.66</v>
      </c>
      <c r="AZ69" s="53">
        <v>0.54</v>
      </c>
      <c r="BA69" s="53">
        <v>0.39</v>
      </c>
      <c r="BB69" s="53">
        <v>0.31</v>
      </c>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1"/>
      <c r="CS69" s="1"/>
      <c r="CT69" s="1"/>
      <c r="CU69" s="1"/>
    </row>
    <row r="70" spans="1:99" s="13" customFormat="1" ht="12" customHeight="1" x14ac:dyDescent="0.2">
      <c r="A70" s="65">
        <v>43912</v>
      </c>
      <c r="B70" s="1"/>
      <c r="C70" s="1"/>
      <c r="D70" s="60"/>
      <c r="E70" s="76"/>
      <c r="F70" s="60"/>
      <c r="G70" s="60"/>
      <c r="H70" s="60"/>
      <c r="I70" s="60"/>
      <c r="J70" s="60"/>
      <c r="K70" s="64"/>
      <c r="L70" s="64"/>
      <c r="M70" s="60"/>
      <c r="N70" s="60"/>
      <c r="O70" s="60"/>
      <c r="P70" s="60"/>
      <c r="Q70" s="60"/>
      <c r="R70" s="60"/>
      <c r="S70" s="60"/>
      <c r="T70" s="59"/>
      <c r="U70" s="60"/>
      <c r="V70" s="59"/>
      <c r="W70" s="60"/>
      <c r="X70" s="60"/>
      <c r="Y70" s="76"/>
      <c r="Z70" s="60"/>
      <c r="AA70" s="60"/>
      <c r="AB70" s="60"/>
      <c r="AC70" s="56"/>
      <c r="AD70" s="60"/>
      <c r="AE70" s="60"/>
      <c r="AF70" s="80"/>
      <c r="AG70" s="56"/>
      <c r="AH70" s="4"/>
      <c r="AI70" s="56"/>
      <c r="AJ70" s="109"/>
      <c r="AK70" s="56"/>
      <c r="AL70" s="56"/>
      <c r="AM70" s="56"/>
      <c r="AN70" s="56"/>
      <c r="AO70" s="56"/>
      <c r="AP70" s="56"/>
      <c r="AQ70" s="56"/>
      <c r="AR70" s="109"/>
      <c r="AS70" s="56"/>
      <c r="AT70" s="56"/>
      <c r="AU70" s="4"/>
      <c r="AV70" s="25">
        <f>20*60</f>
        <v>1200</v>
      </c>
      <c r="AW70" s="25">
        <f>60*60</f>
        <v>3600</v>
      </c>
      <c r="AX70" s="25">
        <f>4*60*60</f>
        <v>14400</v>
      </c>
      <c r="AY70" s="25">
        <f>24*3600</f>
        <v>86400</v>
      </c>
      <c r="AZ70" s="25">
        <f>24*3600*2</f>
        <v>172800</v>
      </c>
      <c r="BA70" s="53"/>
      <c r="BB70" s="53"/>
      <c r="BC70" s="53"/>
      <c r="BD70" s="53"/>
      <c r="BE70" s="53"/>
      <c r="BF70" s="53"/>
      <c r="BG70" s="53"/>
      <c r="BH70" s="53"/>
      <c r="BI70" s="53"/>
      <c r="BJ70" s="53"/>
      <c r="BK70" s="53"/>
      <c r="BL70" s="53"/>
      <c r="BM70" s="53"/>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3"/>
      <c r="CQ70" s="53"/>
      <c r="CR70" s="1"/>
      <c r="CS70" s="1"/>
      <c r="CT70" s="1"/>
      <c r="CU70" s="1"/>
    </row>
    <row r="71" spans="1:99" s="13" customFormat="1" ht="12" customHeight="1" x14ac:dyDescent="0.2">
      <c r="A71" s="65">
        <v>43912</v>
      </c>
      <c r="B71" s="1" t="s">
        <v>118</v>
      </c>
      <c r="C71" s="1" t="s">
        <v>119</v>
      </c>
      <c r="D71" s="60">
        <v>1922</v>
      </c>
      <c r="E71" s="76">
        <v>3</v>
      </c>
      <c r="F71" s="60">
        <v>20</v>
      </c>
      <c r="G71" s="60">
        <v>20</v>
      </c>
      <c r="H71" s="60" t="s">
        <v>726</v>
      </c>
      <c r="I71" s="74">
        <v>1</v>
      </c>
      <c r="J71" s="60" t="s">
        <v>281</v>
      </c>
      <c r="K71" s="60">
        <f>IF(J71="syllables",1,IF(J71="trigrams",2,IF(J71="strings",3,IF(J71="visual array",4,IF(J71="characters",5,IF(J71="letters",6,IF(J71="free forms",7,IF(J71="odors",8,IF(J71="words",9,IF(J71="pictures",10,IF(J71="object pictures",11,IF(J71="faces",12,IF(J71="names",13,IF(J71="idioms",14,IF(J71="grades",15,IF(J71="syllable-digit pairs",16,IF(J71="trigram-word pairs",17,IF(J71="word-digit pairs",18,IF(J71="English-Swahili pairs",19,IF(J71="spatial position",20,IF(J71="word pairs",21,IF(J71="word triads",22,IF(J71="generated words",23,IF(J71="word definition pairs",24,IF(J71="math problems",25,IF(J71="famous faces",26,IF(J71="famous names",27,IF(J71="famous voices",28,IF(J71="television programs",29,IF(J71="race horses",30,IF(J71="new vocabulary",31,IF(J71="sentences",32,IF(J71="concepts",33,IF(J71="ad slides",34,IF(J71="scenes",35,IF(J71="famous scenes",36,IF(J71="poems",37,IF(J71="walk",38,IF(J71="faces and events",39,IF(J71="events and names",40,IF(J71="flashbulb",41,IF(J71="stories",42,IF(J71="course material",43,IF(J71="autobiographical",44,IF(J71="novels",45,IF(J71="public events",46,"99"))))))))))))))))))))))))))))))))))))))))))))))</f>
        <v>1</v>
      </c>
      <c r="L71" s="60">
        <f>IF(J71="syllables",1,IF(J71="trigrams",1,IF(J71="strings",1,IF(J71="visual array",1,IF(J71="characters",1,IF(J71="letters",1,IF(J71="free forms",1,IF(J71="odors",2,IF(J71="words",2,IF(J71="pictures",2,IF(J71="object pictures",2,IF(J71="faces",2,IF(J71="names",2,IF(J71="idioms","2",IF(J71="grades",2,IF(J71="syllable-digit pairs",3,IF(J71="trigram-word pairs",3,IF(J71="word-digit pairs",3,IF(J71="English-Swahili pairs",3,IF(J71="spatial position",3,IF(J71="word pairs",4,IF(J71="word triads",4,IF(J71="generated words",4,IF(J71="word definition pairs",4,IF(J71="math problems",4,IF(J71="famous faces",4,IF(J71="famous names",4,IF(J71="famous voices",4,IF(J71="television programs",4,IF(J71="race horses",4,IF(J71="new vocabulary",4,IF(J71="sentences",5,IF(J71="concepts",5,IF(J71="ad slides",5,IF(J71="scenes",5,IF(J71="famous scenes",5,IF(J71="poems",6,IF(J71="walk",6,IF(J71="faces and events",6,IF(J71="events and names",6,IF(J71="flashbulb",7,IF(J71="stories",7,IF(J71="course material",7,IF(J71="autobiographical",7,IF(J71="novels",7,IF(J71="public events",7,"99"))))))))))))))))))))))))))))))))))))))))))))))</f>
        <v>1</v>
      </c>
      <c r="M71" s="60">
        <v>1</v>
      </c>
      <c r="N71" s="60">
        <v>2</v>
      </c>
      <c r="O71" s="60">
        <v>0</v>
      </c>
      <c r="P71" s="60"/>
      <c r="Q71" s="60" t="s">
        <v>174</v>
      </c>
      <c r="R71" s="60">
        <f>IF(Q71="Free Recall",1,IF(Q71="Cued Recall",2,IF(Q71="Recognition",3,IF(Q71="Multiple Choice",4,IF(Q71="Savings",5,IF(Q71="Stem Completion",6,IF(Q71="Fragment Completion",7,IF(Q71="anagram solution",8,IF(Q71="Matching",9,IF(Q71="Problem Solving",10,"99"))))))))))</f>
        <v>1</v>
      </c>
      <c r="S71" s="60" t="s">
        <v>49</v>
      </c>
      <c r="T71" s="59" t="s">
        <v>581</v>
      </c>
      <c r="U71" s="60">
        <f>IF(T71="within",1,0)</f>
        <v>1</v>
      </c>
      <c r="V71" s="59">
        <v>12</v>
      </c>
      <c r="W71" s="60">
        <f>F71*V71</f>
        <v>240</v>
      </c>
      <c r="X71" s="60">
        <v>5</v>
      </c>
      <c r="Y71" s="76">
        <f>AV70</f>
        <v>1200</v>
      </c>
      <c r="Z71" s="60" t="s">
        <v>88</v>
      </c>
      <c r="AA71" s="60">
        <v>172800</v>
      </c>
      <c r="AB71" s="60" t="str">
        <f>IF(AA71&lt;60,"1",IF(AA71&lt;=43200,"2",IF(AA71&lt;=777600,"3","4")))</f>
        <v>3</v>
      </c>
      <c r="AC71" s="56">
        <f>AVERAGE(AV70:DA70)</f>
        <v>55680</v>
      </c>
      <c r="AD71" s="60" t="str">
        <f>IF(AC71&lt;60,"1",IF(AC71&lt;=43200,"2",IF(AC71&lt;=777600,"3","4")))</f>
        <v>3</v>
      </c>
      <c r="AE71" s="76">
        <f>AA71-Y71</f>
        <v>171600</v>
      </c>
      <c r="AF71" s="80">
        <f>AV71</f>
        <v>0.91</v>
      </c>
      <c r="AG71" s="56">
        <f>((AW71-AV71)+(AX71-AW71)+(AY71-AX71)+(AZ71-AY71))/4</f>
        <v>-0.1275</v>
      </c>
      <c r="AH71" s="4"/>
      <c r="AI71" s="56">
        <f>RSQ(AV71:AZ71,AV70:AZ70)</f>
        <v>0.78284547090079204</v>
      </c>
      <c r="AJ71" s="109">
        <f>SLOPE(AV71:AZ71,AV70:AZ70)</f>
        <v>-2.7315818810475614E-6</v>
      </c>
      <c r="AK71" s="56">
        <f>INTERCEPT(AV71:AZ71,AV70:AZ70)</f>
        <v>0.80809447913672816</v>
      </c>
      <c r="AL71" s="56">
        <f>INDEX(LINEST(LN(AV71:AZ71),LN(AV70:AZ70),TRUE,TRUE),3,1)</f>
        <v>0.98044590805907939</v>
      </c>
      <c r="AM71" s="56">
        <f>INDEX(LINEST(LN(AV71:AZ71),LN(AV70:AZ70)),1)</f>
        <v>-0.1738064470786348</v>
      </c>
      <c r="AN71" s="56">
        <f>EXP(INDEX(LINEST(LN(AV71:AZ71),LN(AV70:AZ70)),1,2))</f>
        <v>3.3352283543723154</v>
      </c>
      <c r="AO71" s="82">
        <f>INDEX(LINEST((AV71:AZ71),LN(AV70:AZ70),TRUE,TRUE),3,1)</f>
        <v>0.98596835286188</v>
      </c>
      <c r="AP71" s="82">
        <f>INDEX(LINEST((AV71:AZ71),LN(AV70:AZ70)),1)</f>
        <v>-0.10896366623413538</v>
      </c>
      <c r="AQ71" s="83">
        <f>INDEX(LINEST(LN(AV71:AZ71),SQRT(AV70:AZ70),TRUE,TRUE),3,1)</f>
        <v>0.95747948703363228</v>
      </c>
      <c r="AR71" s="116">
        <f>INDEX(LINEST(LN(AV71:AZ71),SQRT((AV70:AZ70))),1)</f>
        <v>-2.1878052349803873E-3</v>
      </c>
      <c r="AS71" s="84">
        <f>INDEX(LINEST(1/(AV71:AZ71),1/(SQRT(AV70:AZ70)),TRUE,TRUE),3,1)</f>
        <v>0.75743419944087531</v>
      </c>
      <c r="AT71" s="84">
        <f>INDEX(LINEST(1/(AV71:AZ71),1/SQRT(AV70:AZ70)),1)</f>
        <v>-49.013857984794541</v>
      </c>
      <c r="AU71" s="3"/>
      <c r="AV71" s="53">
        <v>0.91</v>
      </c>
      <c r="AW71" s="53">
        <v>0.86</v>
      </c>
      <c r="AX71" s="53">
        <v>0.65</v>
      </c>
      <c r="AY71" s="53">
        <v>0.46</v>
      </c>
      <c r="AZ71" s="53">
        <v>0.4</v>
      </c>
      <c r="BA71" s="53"/>
      <c r="BB71" s="53"/>
      <c r="BC71" s="53"/>
      <c r="BD71" s="53"/>
      <c r="BE71" s="53"/>
      <c r="BF71" s="53"/>
      <c r="BG71" s="53"/>
      <c r="BH71" s="53"/>
      <c r="BI71" s="53"/>
      <c r="BJ71" s="53"/>
      <c r="BK71" s="53"/>
      <c r="BL71" s="53"/>
      <c r="BM71" s="53"/>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3"/>
      <c r="CQ71" s="53"/>
      <c r="CR71" s="1"/>
      <c r="CS71" s="1"/>
      <c r="CT71" s="1"/>
      <c r="CU71" s="1"/>
    </row>
    <row r="72" spans="1:99" s="13" customFormat="1" ht="12" customHeight="1" x14ac:dyDescent="0.2">
      <c r="A72" s="65">
        <v>43912</v>
      </c>
      <c r="B72" s="1"/>
      <c r="C72" s="1"/>
      <c r="D72" s="60"/>
      <c r="E72" s="76"/>
      <c r="F72" s="60"/>
      <c r="G72" s="60"/>
      <c r="H72" s="60"/>
      <c r="I72" s="60"/>
      <c r="J72" s="60"/>
      <c r="K72" s="64"/>
      <c r="L72" s="64"/>
      <c r="M72" s="60"/>
      <c r="N72" s="60"/>
      <c r="O72" s="60"/>
      <c r="P72" s="60"/>
      <c r="Q72" s="60"/>
      <c r="R72" s="60"/>
      <c r="S72" s="60"/>
      <c r="T72" s="59"/>
      <c r="U72" s="60"/>
      <c r="V72" s="59"/>
      <c r="W72" s="60"/>
      <c r="X72" s="60"/>
      <c r="Y72" s="76"/>
      <c r="Z72" s="60"/>
      <c r="AA72" s="60"/>
      <c r="AB72" s="60"/>
      <c r="AC72" s="56"/>
      <c r="AD72" s="60"/>
      <c r="AE72" s="60"/>
      <c r="AF72" s="80"/>
      <c r="AG72" s="56"/>
      <c r="AH72" s="4"/>
      <c r="AI72" s="56"/>
      <c r="AJ72" s="109"/>
      <c r="AK72" s="56"/>
      <c r="AL72" s="56"/>
      <c r="AM72" s="56"/>
      <c r="AN72" s="56"/>
      <c r="AO72" s="56"/>
      <c r="AP72" s="56"/>
      <c r="AQ72" s="56"/>
      <c r="AR72" s="109"/>
      <c r="AS72" s="56"/>
      <c r="AT72" s="56"/>
      <c r="AU72" s="4"/>
      <c r="AV72" s="25">
        <f>20*60</f>
        <v>1200</v>
      </c>
      <c r="AW72" s="25">
        <f>60*60</f>
        <v>3600</v>
      </c>
      <c r="AX72" s="25">
        <f>4*60*60</f>
        <v>14400</v>
      </c>
      <c r="AY72" s="25">
        <f>24*3600</f>
        <v>86400</v>
      </c>
      <c r="AZ72" s="25">
        <f>24*3600*2</f>
        <v>172800</v>
      </c>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1"/>
      <c r="CS72" s="1"/>
      <c r="CT72" s="1"/>
      <c r="CU72" s="1"/>
    </row>
    <row r="73" spans="1:99" s="13" customFormat="1" ht="12" customHeight="1" x14ac:dyDescent="0.2">
      <c r="A73" s="65">
        <v>43912</v>
      </c>
      <c r="B73" s="1" t="s">
        <v>118</v>
      </c>
      <c r="C73" s="1" t="s">
        <v>119</v>
      </c>
      <c r="D73" s="60">
        <v>1922</v>
      </c>
      <c r="E73" s="76">
        <v>3</v>
      </c>
      <c r="F73" s="60">
        <v>20</v>
      </c>
      <c r="G73" s="60">
        <v>20</v>
      </c>
      <c r="H73" s="60" t="s">
        <v>726</v>
      </c>
      <c r="I73" s="74">
        <v>0.67</v>
      </c>
      <c r="J73" s="60" t="s">
        <v>281</v>
      </c>
      <c r="K73" s="60">
        <f>IF(J73="syllables",1,IF(J73="trigrams",2,IF(J73="strings",3,IF(J73="visual array",4,IF(J73="characters",5,IF(J73="letters",6,IF(J73="free forms",7,IF(J73="odors",8,IF(J73="words",9,IF(J73="pictures",10,IF(J73="object pictures",11,IF(J73="faces",12,IF(J73="names",13,IF(J73="idioms",14,IF(J73="grades",15,IF(J73="syllable-digit pairs",16,IF(J73="trigram-word pairs",17,IF(J73="word-digit pairs",18,IF(J73="English-Swahili pairs",19,IF(J73="spatial position",20,IF(J73="word pairs",21,IF(J73="word triads",22,IF(J73="generated words",23,IF(J73="word definition pairs",24,IF(J73="math problems",25,IF(J73="famous faces",26,IF(J73="famous names",27,IF(J73="famous voices",28,IF(J73="television programs",29,IF(J73="race horses",30,IF(J73="new vocabulary",31,IF(J73="sentences",32,IF(J73="concepts",33,IF(J73="ad slides",34,IF(J73="scenes",35,IF(J73="famous scenes",36,IF(J73="poems",37,IF(J73="walk",38,IF(J73="faces and events",39,IF(J73="events and names",40,IF(J73="flashbulb",41,IF(J73="stories",42,IF(J73="course material",43,IF(J73="autobiographical",44,IF(J73="novels",45,IF(J73="public events",46,"99"))))))))))))))))))))))))))))))))))))))))))))))</f>
        <v>1</v>
      </c>
      <c r="L73" s="60">
        <f>IF(J73="syllables",1,IF(J73="trigrams",1,IF(J73="strings",1,IF(J73="visual array",1,IF(J73="characters",1,IF(J73="letters",1,IF(J73="free forms",1,IF(J73="odors",2,IF(J73="words",2,IF(J73="pictures",2,IF(J73="object pictures",2,IF(J73="faces",2,IF(J73="names",2,IF(J73="idioms","2",IF(J73="grades",2,IF(J73="syllable-digit pairs",3,IF(J73="trigram-word pairs",3,IF(J73="word-digit pairs",3,IF(J73="English-Swahili pairs",3,IF(J73="spatial position",3,IF(J73="word pairs",4,IF(J73="word triads",4,IF(J73="generated words",4,IF(J73="word definition pairs",4,IF(J73="math problems",4,IF(J73="famous faces",4,IF(J73="famous names",4,IF(J73="famous voices",4,IF(J73="television programs",4,IF(J73="race horses",4,IF(J73="new vocabulary",4,IF(J73="sentences",5,IF(J73="concepts",5,IF(J73="ad slides",5,IF(J73="scenes",5,IF(J73="famous scenes",5,IF(J73="poems",6,IF(J73="walk",6,IF(J73="faces and events",6,IF(J73="events and names",6,IF(J73="flashbulb",7,IF(J73="stories",7,IF(J73="course material",7,IF(J73="autobiographical",7,IF(J73="novels",7,IF(J73="public events",7,"99"))))))))))))))))))))))))))))))))))))))))))))))</f>
        <v>1</v>
      </c>
      <c r="M73" s="60">
        <v>1</v>
      </c>
      <c r="N73" s="60">
        <v>2</v>
      </c>
      <c r="O73" s="60">
        <v>0</v>
      </c>
      <c r="P73" s="60"/>
      <c r="Q73" s="60" t="s">
        <v>174</v>
      </c>
      <c r="R73" s="60">
        <f>IF(Q73="Free Recall",1,IF(Q73="Cued Recall",2,IF(Q73="Recognition",3,IF(Q73="Multiple Choice",4,IF(Q73="Savings",5,IF(Q73="Stem Completion",6,IF(Q73="Fragment Completion",7,IF(Q73="anagram solution",8,IF(Q73="Matching",9,IF(Q73="Problem Solving",10,"99"))))))))))</f>
        <v>1</v>
      </c>
      <c r="S73" s="60" t="s">
        <v>49</v>
      </c>
      <c r="T73" s="59" t="s">
        <v>581</v>
      </c>
      <c r="U73" s="60">
        <f>IF(T73="within",1,0)</f>
        <v>1</v>
      </c>
      <c r="V73" s="59">
        <v>12</v>
      </c>
      <c r="W73" s="60">
        <f>F73*V73</f>
        <v>240</v>
      </c>
      <c r="X73" s="60">
        <v>5</v>
      </c>
      <c r="Y73" s="76">
        <f>AV72</f>
        <v>1200</v>
      </c>
      <c r="Z73" s="60" t="s">
        <v>88</v>
      </c>
      <c r="AA73" s="60">
        <v>172800</v>
      </c>
      <c r="AB73" s="60" t="str">
        <f>IF(AA73&lt;60,"1",IF(AA73&lt;=43200,"2",IF(AA73&lt;=777600,"3","4")))</f>
        <v>3</v>
      </c>
      <c r="AC73" s="56">
        <f>AVERAGE(AV72:DA72)</f>
        <v>55680</v>
      </c>
      <c r="AD73" s="60" t="str">
        <f>IF(AC73&lt;60,"1",IF(AC73&lt;=43200,"2",IF(AC73&lt;=777600,"3","4")))</f>
        <v>3</v>
      </c>
      <c r="AE73" s="76">
        <f>AA73-Y73</f>
        <v>171600</v>
      </c>
      <c r="AF73" s="80">
        <f>AV73</f>
        <v>0.85</v>
      </c>
      <c r="AG73" s="56">
        <f>((AW73-AV73)+(AX73-AW73)+(AY73-AX73)+(AZ73-AY73))/4</f>
        <v>-0.15</v>
      </c>
      <c r="AH73" s="4"/>
      <c r="AI73" s="56">
        <f>RSQ(AV73:AZ73,AV72:AZ72)</f>
        <v>0.9243507604529646</v>
      </c>
      <c r="AJ73" s="109">
        <f>SLOPE(AV73:AZ73,AV72:AZ72)</f>
        <v>-3.1475626856182339E-6</v>
      </c>
      <c r="AK73" s="56">
        <f>INTERCEPT(AV73:AZ73,AV72:AZ72)</f>
        <v>0.75725629033522335</v>
      </c>
      <c r="AL73" s="56">
        <f>INDEX(LINEST(LN(AV73:AZ73),LN(AV72:AZ72),TRUE,TRUE),3,1)</f>
        <v>0.88017056564130391</v>
      </c>
      <c r="AM73" s="56">
        <f>INDEX(LINEST(LN(AV73:AZ73),LN(AV72:AZ72)),1)</f>
        <v>-0.2237324867338856</v>
      </c>
      <c r="AN73" s="56">
        <f>EXP(INDEX(LINEST(LN(AV73:AZ73),LN(AV72:AZ72)),1,2))</f>
        <v>4.6231209143639473</v>
      </c>
      <c r="AO73" s="82">
        <f>INDEX(LINEST((AV73:AZ73),LN(AV72:AZ72),TRUE,TRUE),3,1)</f>
        <v>0.95704202841061514</v>
      </c>
      <c r="AP73" s="82">
        <f>INDEX(LINEST((AV73:AZ73),LN(AV72:AZ72)),1)</f>
        <v>-0.11384016320293178</v>
      </c>
      <c r="AQ73" s="83">
        <f>INDEX(LINEST(LN(AV73:AZ73),SQRT(AV72:AZ72),TRUE,TRUE),3,1)</f>
        <v>0.98357612845660591</v>
      </c>
      <c r="AR73" s="116">
        <f>INDEX(LINEST(LN(AV73:AZ73),SQRT((AV72:AZ72))),1)</f>
        <v>-3.0125861447676582E-3</v>
      </c>
      <c r="AS73" s="84">
        <f>INDEX(LINEST(1/(AV73:AZ73),1/(SQRT(AV72:AZ72)),TRUE,TRUE),3,1)</f>
        <v>0.53425313999422097</v>
      </c>
      <c r="AT73" s="84">
        <f>INDEX(LINEST(1/(AV73:AZ73),1/SQRT(AV72:AZ72)),1)</f>
        <v>-77.187345184790345</v>
      </c>
      <c r="AU73" s="3"/>
      <c r="AV73" s="53">
        <v>0.85</v>
      </c>
      <c r="AW73" s="53">
        <v>0.73</v>
      </c>
      <c r="AX73" s="53">
        <v>0.66</v>
      </c>
      <c r="AY73" s="53">
        <v>0.42</v>
      </c>
      <c r="AZ73" s="53">
        <v>0.25</v>
      </c>
      <c r="BA73" s="53"/>
      <c r="BB73" s="53"/>
      <c r="BC73" s="53"/>
      <c r="BD73" s="53"/>
      <c r="BE73" s="53"/>
      <c r="BF73" s="53"/>
      <c r="BG73" s="53"/>
      <c r="BH73" s="53"/>
      <c r="BI73" s="53"/>
      <c r="BJ73" s="53"/>
      <c r="BK73" s="53"/>
      <c r="BL73" s="53"/>
      <c r="BM73" s="53"/>
      <c r="BN73" s="53"/>
      <c r="BO73" s="53"/>
      <c r="BP73" s="53"/>
      <c r="BQ73" s="53"/>
      <c r="BR73" s="53"/>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3"/>
      <c r="CQ73" s="53"/>
      <c r="CR73" s="1"/>
      <c r="CS73" s="1"/>
      <c r="CT73" s="1"/>
      <c r="CU73" s="1"/>
    </row>
    <row r="74" spans="1:99" s="13" customFormat="1" ht="12" customHeight="1" x14ac:dyDescent="0.2">
      <c r="A74" s="65">
        <v>43912</v>
      </c>
      <c r="B74" s="1"/>
      <c r="C74" s="1"/>
      <c r="D74" s="60"/>
      <c r="E74" s="76"/>
      <c r="F74" s="60"/>
      <c r="G74" s="60"/>
      <c r="H74" s="60"/>
      <c r="I74" s="60"/>
      <c r="J74" s="60"/>
      <c r="K74" s="64"/>
      <c r="L74" s="64"/>
      <c r="M74" s="60"/>
      <c r="N74" s="60"/>
      <c r="O74" s="60"/>
      <c r="P74" s="60"/>
      <c r="Q74" s="60"/>
      <c r="R74" s="60"/>
      <c r="S74" s="60"/>
      <c r="T74" s="59"/>
      <c r="U74" s="60"/>
      <c r="V74" s="59"/>
      <c r="W74" s="60"/>
      <c r="X74" s="60"/>
      <c r="Y74" s="76"/>
      <c r="Z74" s="60"/>
      <c r="AA74" s="60"/>
      <c r="AB74" s="60"/>
      <c r="AC74" s="56"/>
      <c r="AD74" s="60"/>
      <c r="AE74" s="60"/>
      <c r="AF74" s="80"/>
      <c r="AG74" s="56"/>
      <c r="AH74" s="4"/>
      <c r="AI74" s="56"/>
      <c r="AJ74" s="109"/>
      <c r="AK74" s="56"/>
      <c r="AL74" s="56"/>
      <c r="AM74" s="56"/>
      <c r="AN74" s="56"/>
      <c r="AO74" s="56"/>
      <c r="AP74" s="56"/>
      <c r="AQ74" s="56"/>
      <c r="AR74" s="109"/>
      <c r="AS74" s="56"/>
      <c r="AT74" s="56"/>
      <c r="AU74" s="4"/>
      <c r="AV74" s="25">
        <f>20*60</f>
        <v>1200</v>
      </c>
      <c r="AW74" s="25">
        <f>60*60</f>
        <v>3600</v>
      </c>
      <c r="AX74" s="25">
        <f>4*60*60</f>
        <v>14400</v>
      </c>
      <c r="AY74" s="25">
        <f>24*3600</f>
        <v>86400</v>
      </c>
      <c r="AZ74" s="25">
        <f>24*3600*2</f>
        <v>172800</v>
      </c>
      <c r="BA74" s="53"/>
      <c r="BB74" s="53"/>
      <c r="BC74" s="53"/>
      <c r="BD74" s="53"/>
      <c r="BE74" s="53"/>
      <c r="BF74" s="53"/>
      <c r="BG74" s="53"/>
      <c r="BH74" s="53"/>
      <c r="BI74" s="53"/>
      <c r="BJ74" s="53"/>
      <c r="BK74" s="53"/>
      <c r="BL74" s="53"/>
      <c r="BM74" s="53"/>
      <c r="BN74" s="53"/>
      <c r="BO74" s="53"/>
      <c r="BP74" s="53"/>
      <c r="BQ74" s="53"/>
      <c r="BR74" s="53"/>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3"/>
      <c r="CQ74" s="53"/>
      <c r="CR74" s="1"/>
      <c r="CS74" s="1"/>
      <c r="CT74" s="1"/>
      <c r="CU74" s="1"/>
    </row>
    <row r="75" spans="1:99" s="13" customFormat="1" ht="12" customHeight="1" x14ac:dyDescent="0.2">
      <c r="A75" s="65">
        <v>43912</v>
      </c>
      <c r="B75" s="1" t="s">
        <v>118</v>
      </c>
      <c r="C75" s="1" t="s">
        <v>119</v>
      </c>
      <c r="D75" s="60">
        <v>1922</v>
      </c>
      <c r="E75" s="76">
        <v>3</v>
      </c>
      <c r="F75" s="60">
        <v>20</v>
      </c>
      <c r="G75" s="60">
        <v>20</v>
      </c>
      <c r="H75" s="60" t="s">
        <v>726</v>
      </c>
      <c r="I75" s="74">
        <v>0.33</v>
      </c>
      <c r="J75" s="60" t="s">
        <v>281</v>
      </c>
      <c r="K75" s="60">
        <f>IF(J75="syllables",1,IF(J75="trigrams",2,IF(J75="strings",3,IF(J75="visual array",4,IF(J75="characters",5,IF(J75="letters",6,IF(J75="free forms",7,IF(J75="odors",8,IF(J75="words",9,IF(J75="pictures",10,IF(J75="object pictures",11,IF(J75="faces",12,IF(J75="names",13,IF(J75="idioms",14,IF(J75="grades",15,IF(J75="syllable-digit pairs",16,IF(J75="trigram-word pairs",17,IF(J75="word-digit pairs",18,IF(J75="English-Swahili pairs",19,IF(J75="spatial position",20,IF(J75="word pairs",21,IF(J75="word triads",22,IF(J75="generated words",23,IF(J75="word definition pairs",24,IF(J75="math problems",25,IF(J75="famous faces",26,IF(J75="famous names",27,IF(J75="famous voices",28,IF(J75="television programs",29,IF(J75="race horses",30,IF(J75="new vocabulary",31,IF(J75="sentences",32,IF(J75="concepts",33,IF(J75="ad slides",34,IF(J75="scenes",35,IF(J75="famous scenes",36,IF(J75="poems",37,IF(J75="walk",38,IF(J75="faces and events",39,IF(J75="events and names",40,IF(J75="flashbulb",41,IF(J75="stories",42,IF(J75="course material",43,IF(J75="autobiographical",44,IF(J75="novels",45,IF(J75="public events",46,"99"))))))))))))))))))))))))))))))))))))))))))))))</f>
        <v>1</v>
      </c>
      <c r="L75" s="60">
        <f>IF(J75="syllables",1,IF(J75="trigrams",1,IF(J75="strings",1,IF(J75="visual array",1,IF(J75="characters",1,IF(J75="letters",1,IF(J75="free forms",1,IF(J75="odors",2,IF(J75="words",2,IF(J75="pictures",2,IF(J75="object pictures",2,IF(J75="faces",2,IF(J75="names",2,IF(J75="idioms","2",IF(J75="grades",2,IF(J75="syllable-digit pairs",3,IF(J75="trigram-word pairs",3,IF(J75="word-digit pairs",3,IF(J75="English-Swahili pairs",3,IF(J75="spatial position",3,IF(J75="word pairs",4,IF(J75="word triads",4,IF(J75="generated words",4,IF(J75="word definition pairs",4,IF(J75="math problems",4,IF(J75="famous faces",4,IF(J75="famous names",4,IF(J75="famous voices",4,IF(J75="television programs",4,IF(J75="race horses",4,IF(J75="new vocabulary",4,IF(J75="sentences",5,IF(J75="concepts",5,IF(J75="ad slides",5,IF(J75="scenes",5,IF(J75="famous scenes",5,IF(J75="poems",6,IF(J75="walk",6,IF(J75="faces and events",6,IF(J75="events and names",6,IF(J75="flashbulb",7,IF(J75="stories",7,IF(J75="course material",7,IF(J75="autobiographical",7,IF(J75="novels",7,IF(J75="public events",7,"99"))))))))))))))))))))))))))))))))))))))))))))))</f>
        <v>1</v>
      </c>
      <c r="M75" s="60">
        <v>1</v>
      </c>
      <c r="N75" s="60">
        <v>2</v>
      </c>
      <c r="O75" s="60">
        <v>0</v>
      </c>
      <c r="P75" s="60"/>
      <c r="Q75" s="60" t="s">
        <v>174</v>
      </c>
      <c r="R75" s="60">
        <f>IF(Q75="Free Recall",1,IF(Q75="Cued Recall",2,IF(Q75="Recognition",3,IF(Q75="Multiple Choice",4,IF(Q75="Savings",5,IF(Q75="Stem Completion",6,IF(Q75="Fragment Completion",7,IF(Q75="anagram solution",8,IF(Q75="Matching",9,IF(Q75="Problem Solving",10,"99"))))))))))</f>
        <v>1</v>
      </c>
      <c r="S75" s="60" t="s">
        <v>49</v>
      </c>
      <c r="T75" s="59" t="s">
        <v>581</v>
      </c>
      <c r="U75" s="60">
        <f>IF(T75="within",1,0)</f>
        <v>1</v>
      </c>
      <c r="V75" s="59">
        <v>12</v>
      </c>
      <c r="W75" s="60">
        <f>F75*V75</f>
        <v>240</v>
      </c>
      <c r="X75" s="60">
        <v>7</v>
      </c>
      <c r="Y75" s="76">
        <f>AV74</f>
        <v>1200</v>
      </c>
      <c r="Z75" s="60" t="s">
        <v>88</v>
      </c>
      <c r="AA75" s="60">
        <v>172800</v>
      </c>
      <c r="AB75" s="60" t="str">
        <f>IF(AA75&lt;60,"1",IF(AA75&lt;=43200,"2",IF(AA75&lt;=777600,"3","4")))</f>
        <v>3</v>
      </c>
      <c r="AC75" s="56">
        <f>AVERAGE(AV74:DA74)</f>
        <v>55680</v>
      </c>
      <c r="AD75" s="60" t="str">
        <f>IF(AC75&lt;60,"1",IF(AC75&lt;=43200,"2",IF(AC75&lt;=777600,"3","4")))</f>
        <v>3</v>
      </c>
      <c r="AE75" s="76">
        <f>AA75-Y75</f>
        <v>171600</v>
      </c>
      <c r="AF75" s="80">
        <f>AV75</f>
        <v>0.68</v>
      </c>
      <c r="AG75" s="56">
        <f>((AW75-AV75)+(AX75-AW75)+(AY75-AX75)+(AZ75-AY75))/4</f>
        <v>-0.13500000000000001</v>
      </c>
      <c r="AH75" s="4"/>
      <c r="AI75" s="56">
        <f>RSQ(AV75:AZ75,AV74:AZ74)</f>
        <v>0.83743888619599449</v>
      </c>
      <c r="AJ75" s="109">
        <f>SLOPE(AV75:AZ75,AV74:AZ74)</f>
        <v>-2.6552661144932458E-6</v>
      </c>
      <c r="AK75" s="56">
        <f>INTERCEPT(AV75:AZ75,AV74:AZ74)</f>
        <v>0.55784521725498393</v>
      </c>
      <c r="AL75" s="56">
        <f>INDEX(LINEST(LN(AV75:AZ75),LN(AV74:AZ74),TRUE,TRUE),3,1)</f>
        <v>0.92135614282643052</v>
      </c>
      <c r="AM75" s="170"/>
      <c r="AN75" s="56">
        <f>EXP(INDEX(LINEST(LN(AV75:AZ75),LN(AV74:AZ74)),1,2))</f>
        <v>5.8883584000332219</v>
      </c>
      <c r="AO75" s="82">
        <f>INDEX(LINEST((AV75:AZ75),LN(AV74:AZ74),TRUE,TRUE),3,1)</f>
        <v>0.99029516744285617</v>
      </c>
      <c r="AP75" s="82">
        <f>INDEX(LINEST((AV75:AZ75),LN(AV74:AZ74)),1)</f>
        <v>-0.10263319275055648</v>
      </c>
      <c r="AQ75" s="83">
        <f>INDEX(LINEST(LN(AV75:AZ75),SQRT(AV74:AZ74),TRUE,TRUE),3,1)</f>
        <v>0.98396243909380021</v>
      </c>
      <c r="AR75" s="116">
        <f>INDEX(LINEST(LN(AV75:AZ75),SQRT((AV74:AZ74))),1)</f>
        <v>-3.823518416100517E-3</v>
      </c>
      <c r="AS75" s="84">
        <f>INDEX(LINEST(1/(AV75:AZ75),1/(SQRT(AV74:AZ74)),TRUE,TRUE),3,1)</f>
        <v>0.54845416499586597</v>
      </c>
      <c r="AT75" s="84">
        <f>INDEX(LINEST(1/(AV75:AZ75),1/SQRT(AV74:AZ74)),1)</f>
        <v>-155.65359919150461</v>
      </c>
      <c r="AU75" s="3"/>
      <c r="AV75" s="53">
        <v>0.68</v>
      </c>
      <c r="AW75" s="53">
        <v>0.54</v>
      </c>
      <c r="AX75" s="53">
        <v>0.43</v>
      </c>
      <c r="AY75" s="53">
        <v>0.26</v>
      </c>
      <c r="AZ75" s="53">
        <v>0.14000000000000001</v>
      </c>
      <c r="BA75" s="53"/>
      <c r="BB75" s="53"/>
      <c r="BC75" s="53"/>
      <c r="BD75" s="53"/>
      <c r="BE75" s="53"/>
      <c r="BF75" s="53"/>
      <c r="BG75" s="53"/>
      <c r="BH75" s="53"/>
      <c r="BI75" s="53"/>
      <c r="BJ75" s="53"/>
      <c r="BK75" s="53"/>
      <c r="BL75" s="53"/>
      <c r="BM75" s="53"/>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1"/>
      <c r="CS75" s="1"/>
      <c r="CT75" s="1"/>
      <c r="CU75" s="1"/>
    </row>
    <row r="76" spans="1:99" s="13" customFormat="1" ht="12" customHeight="1" x14ac:dyDescent="0.2">
      <c r="A76" s="65">
        <v>43912</v>
      </c>
      <c r="B76" s="1"/>
      <c r="C76" s="1"/>
      <c r="D76" s="60"/>
      <c r="E76" s="76"/>
      <c r="F76" s="60"/>
      <c r="G76" s="60"/>
      <c r="H76" s="60"/>
      <c r="I76" s="60"/>
      <c r="J76" s="60"/>
      <c r="K76" s="64"/>
      <c r="L76" s="64"/>
      <c r="M76" s="60"/>
      <c r="N76" s="60"/>
      <c r="O76" s="60"/>
      <c r="P76" s="60"/>
      <c r="Q76" s="60"/>
      <c r="R76" s="60"/>
      <c r="S76" s="60"/>
      <c r="T76" s="59"/>
      <c r="U76" s="60"/>
      <c r="V76" s="59"/>
      <c r="W76" s="60"/>
      <c r="X76" s="60"/>
      <c r="Y76" s="76"/>
      <c r="Z76" s="60"/>
      <c r="AA76" s="60"/>
      <c r="AB76" s="60"/>
      <c r="AC76" s="56"/>
      <c r="AD76" s="60"/>
      <c r="AE76" s="60"/>
      <c r="AF76" s="80"/>
      <c r="AG76" s="56"/>
      <c r="AH76" s="4"/>
      <c r="AI76" s="56"/>
      <c r="AJ76" s="109"/>
      <c r="AK76" s="56"/>
      <c r="AL76" s="56"/>
      <c r="AM76" s="56"/>
      <c r="AN76" s="56"/>
      <c r="AO76" s="56"/>
      <c r="AP76" s="56"/>
      <c r="AQ76" s="56"/>
      <c r="AR76" s="109"/>
      <c r="AS76" s="56"/>
      <c r="AT76" s="56"/>
      <c r="AU76" s="4"/>
      <c r="AV76" s="25">
        <f>2*60*60</f>
        <v>7200</v>
      </c>
      <c r="AW76" s="25">
        <f>3*60*60</f>
        <v>10800</v>
      </c>
      <c r="AX76" s="25">
        <f>4*60*60</f>
        <v>14400</v>
      </c>
      <c r="AY76" s="25">
        <f>6*60*60</f>
        <v>21600</v>
      </c>
      <c r="AZ76" s="25">
        <f>12*60*60</f>
        <v>43200</v>
      </c>
      <c r="BA76" s="25">
        <f>24*3600</f>
        <v>86400</v>
      </c>
      <c r="BB76" s="25">
        <f>24*3600*2</f>
        <v>172800</v>
      </c>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1"/>
      <c r="CS76" s="1"/>
      <c r="CT76" s="1"/>
      <c r="CU76" s="1"/>
    </row>
    <row r="77" spans="1:99" s="13" customFormat="1" ht="12" customHeight="1" x14ac:dyDescent="0.2">
      <c r="A77" s="65">
        <v>43912</v>
      </c>
      <c r="B77" s="1" t="s">
        <v>118</v>
      </c>
      <c r="C77" s="1" t="s">
        <v>119</v>
      </c>
      <c r="D77" s="60">
        <v>1922</v>
      </c>
      <c r="E77" s="76">
        <v>3</v>
      </c>
      <c r="F77" s="60">
        <v>20</v>
      </c>
      <c r="G77" s="60">
        <v>20</v>
      </c>
      <c r="H77" s="60" t="s">
        <v>726</v>
      </c>
      <c r="I77" s="74">
        <v>1.5</v>
      </c>
      <c r="J77" s="60" t="s">
        <v>281</v>
      </c>
      <c r="K77" s="60">
        <f>IF(J77="syllables",1,IF(J77="trigrams",2,IF(J77="strings",3,IF(J77="visual array",4,IF(J77="characters",5,IF(J77="letters",6,IF(J77="free forms",7,IF(J77="odors",8,IF(J77="words",9,IF(J77="pictures",10,IF(J77="object pictures",11,IF(J77="faces",12,IF(J77="names",13,IF(J77="idioms",14,IF(J77="grades",15,IF(J77="syllable-digit pairs",16,IF(J77="trigram-word pairs",17,IF(J77="word-digit pairs",18,IF(J77="English-Swahili pairs",19,IF(J77="spatial position",20,IF(J77="word pairs",21,IF(J77="word triads",22,IF(J77="generated words",23,IF(J77="word definition pairs",24,IF(J77="math problems",25,IF(J77="famous faces",26,IF(J77="famous names",27,IF(J77="famous voices",28,IF(J77="television programs",29,IF(J77="race horses",30,IF(J77="new vocabulary",31,IF(J77="sentences",32,IF(J77="concepts",33,IF(J77="ad slides",34,IF(J77="scenes",35,IF(J77="famous scenes",36,IF(J77="poems",37,IF(J77="walk",38,IF(J77="faces and events",39,IF(J77="events and names",40,IF(J77="flashbulb",41,IF(J77="stories",42,IF(J77="course material",43,IF(J77="autobiographical",44,IF(J77="novels",45,IF(J77="public events",46,"99"))))))))))))))))))))))))))))))))))))))))))))))</f>
        <v>1</v>
      </c>
      <c r="L77" s="60">
        <f>IF(J77="syllables",1,IF(J77="trigrams",1,IF(J77="strings",1,IF(J77="visual array",1,IF(J77="characters",1,IF(J77="letters",1,IF(J77="free forms",1,IF(J77="odors",2,IF(J77="words",2,IF(J77="pictures",2,IF(J77="object pictures",2,IF(J77="faces",2,IF(J77="names",2,IF(J77="idioms","2",IF(J77="grades",2,IF(J77="syllable-digit pairs",3,IF(J77="trigram-word pairs",3,IF(J77="word-digit pairs",3,IF(J77="English-Swahili pairs",3,IF(J77="spatial position",3,IF(J77="word pairs",4,IF(J77="word triads",4,IF(J77="generated words",4,IF(J77="word definition pairs",4,IF(J77="math problems",4,IF(J77="famous faces",4,IF(J77="famous names",4,IF(J77="famous voices",4,IF(J77="television programs",4,IF(J77="race horses",4,IF(J77="new vocabulary",4,IF(J77="sentences",5,IF(J77="concepts",5,IF(J77="ad slides",5,IF(J77="scenes",5,IF(J77="famous scenes",5,IF(J77="poems",6,IF(J77="walk",6,IF(J77="faces and events",6,IF(J77="events and names",6,IF(J77="flashbulb",7,IF(J77="stories",7,IF(J77="course material",7,IF(J77="autobiographical",7,IF(J77="novels",7,IF(J77="public events",7,"99"))))))))))))))))))))))))))))))))))))))))))))))</f>
        <v>1</v>
      </c>
      <c r="M77" s="60">
        <v>1</v>
      </c>
      <c r="N77" s="60">
        <v>2</v>
      </c>
      <c r="O77" s="60">
        <v>0</v>
      </c>
      <c r="P77" s="60"/>
      <c r="Q77" s="60" t="s">
        <v>34</v>
      </c>
      <c r="R77" s="60">
        <f>IF(Q77="Free Recall",1,IF(Q77="Cued Recall",2,IF(Q77="Recognition",3,IF(Q77="Multiple Choice",4,IF(Q77="Savings",5,IF(Q77="Stem Completion",6,IF(Q77="Fragment Completion",7,IF(Q77="anagram solution",8,IF(Q77="Matching",9,IF(Q77="Problem Solving",10,"99"))))))))))</f>
        <v>3</v>
      </c>
      <c r="S77" s="59" t="s">
        <v>15</v>
      </c>
      <c r="T77" s="59" t="s">
        <v>581</v>
      </c>
      <c r="U77" s="60">
        <f>IF(T77="within",1,0)</f>
        <v>1</v>
      </c>
      <c r="V77" s="59">
        <v>12</v>
      </c>
      <c r="W77" s="60">
        <f>F77*V77</f>
        <v>240</v>
      </c>
      <c r="X77" s="60">
        <v>5</v>
      </c>
      <c r="Y77" s="76">
        <f>AV76</f>
        <v>7200</v>
      </c>
      <c r="Z77" s="60" t="s">
        <v>88</v>
      </c>
      <c r="AA77" s="60">
        <v>172800</v>
      </c>
      <c r="AB77" s="60" t="str">
        <f>IF(AA77&lt;60,"1",IF(AA77&lt;=43200,"2",IF(AA77&lt;=777600,"3","4")))</f>
        <v>3</v>
      </c>
      <c r="AC77" s="56">
        <f>AVERAGE(AV76:DA76)</f>
        <v>50914.285714285717</v>
      </c>
      <c r="AD77" s="60" t="str">
        <f>IF(AC77&lt;60,"1",IF(AC77&lt;=43200,"2",IF(AC77&lt;=777600,"3","4")))</f>
        <v>3</v>
      </c>
      <c r="AE77" s="76">
        <f>AA77-Y77</f>
        <v>165600</v>
      </c>
      <c r="AF77" s="80">
        <f>AV77</f>
        <v>0.98</v>
      </c>
      <c r="AG77" s="56">
        <f>((AW77-AV77)+(AX77-AW77)+(AY77-AX77)+(AZ77-AY77)+(BA77-AZ77)+(BB77-BA77))/6</f>
        <v>-4.1666666666666664E-2</v>
      </c>
      <c r="AH77" s="4"/>
      <c r="AI77" s="56">
        <f>RSQ(AV77:BB77,AV76:BB76)</f>
        <v>0.95700822566241706</v>
      </c>
      <c r="AJ77" s="109">
        <f>SLOPE(AV77:BB77,AV76:BB76)</f>
        <v>-1.4173198744337303E-6</v>
      </c>
      <c r="AK77" s="56">
        <f>INTERCEPT(AV77:BB77,AV76:BB76)</f>
        <v>0.96930468617831156</v>
      </c>
      <c r="AL77" s="56">
        <f>INDEX(LINEST(LN(AV77:BB77),LN(AV76:BB76),TRUE,TRUE),3,1)</f>
        <v>0.85137287904445702</v>
      </c>
      <c r="AM77" s="56">
        <f>INDEX(LINEST(LN(AV77:BB77),LN(AV76:BB76)),1)</f>
        <v>-8.2402916796141187E-2</v>
      </c>
      <c r="AN77" s="56">
        <f>EXP(INDEX(LINEST(LN(AV77:BB77),LN(AV76:BB76)),1,2))</f>
        <v>2.0804189044212098</v>
      </c>
      <c r="AO77" s="82">
        <f>INDEX(LINEST((AV77:BB77),LN(AV76:BB76),TRUE,TRUE),3,1)</f>
        <v>0.86788058834562221</v>
      </c>
      <c r="AP77" s="82">
        <f>INDEX(LINEST((AV77:BB77),LN(AV76:BB76)),1)</f>
        <v>-7.0473205719556842E-2</v>
      </c>
      <c r="AQ77" s="83">
        <f>INDEX(LINEST(LN(AV77:BB77),SQRT(AV76:BB76),TRUE,TRUE),3,1)</f>
        <v>0.9435048000257048</v>
      </c>
      <c r="AR77" s="116">
        <f>INDEX(LINEST(LN(AV77:BB77),SQRT((AV76:BB76))),1)</f>
        <v>-8.3327528306408798E-4</v>
      </c>
      <c r="AS77" s="84">
        <f>INDEX(LINEST(1/(AV77:BB77),1/(SQRT(AV76:BB76)),TRUE,TRUE),3,1)</f>
        <v>0.68351081859202767</v>
      </c>
      <c r="AT77" s="84">
        <f>INDEX(LINEST(1/(AV77:BB77),1/SQRT(AV76:BB76)),1)</f>
        <v>-29.754173790849642</v>
      </c>
      <c r="AU77" s="3"/>
      <c r="AV77" s="53">
        <v>0.98</v>
      </c>
      <c r="AW77" s="53">
        <v>0.96</v>
      </c>
      <c r="AX77" s="53">
        <v>0.93</v>
      </c>
      <c r="AY77" s="53">
        <v>0.92</v>
      </c>
      <c r="AZ77" s="53">
        <v>0.93</v>
      </c>
      <c r="BA77" s="53">
        <v>0.83</v>
      </c>
      <c r="BB77" s="53">
        <v>0.73</v>
      </c>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1"/>
      <c r="CS77" s="1"/>
      <c r="CT77" s="1"/>
      <c r="CU77" s="1"/>
    </row>
    <row r="78" spans="1:99" s="13" customFormat="1" ht="12" customHeight="1" x14ac:dyDescent="0.2">
      <c r="A78" s="65">
        <v>43912</v>
      </c>
      <c r="B78" s="1"/>
      <c r="C78" s="1"/>
      <c r="D78" s="60"/>
      <c r="E78" s="76"/>
      <c r="F78" s="60"/>
      <c r="G78" s="60"/>
      <c r="H78" s="60"/>
      <c r="I78" s="60"/>
      <c r="J78" s="60"/>
      <c r="K78" s="64"/>
      <c r="L78" s="64"/>
      <c r="M78" s="60"/>
      <c r="N78" s="60"/>
      <c r="O78" s="60"/>
      <c r="P78" s="60"/>
      <c r="Q78" s="60"/>
      <c r="R78" s="60"/>
      <c r="S78" s="60"/>
      <c r="T78" s="59"/>
      <c r="U78" s="60"/>
      <c r="V78" s="59"/>
      <c r="W78" s="60"/>
      <c r="X78" s="60"/>
      <c r="Y78" s="76"/>
      <c r="Z78" s="60"/>
      <c r="AA78" s="60"/>
      <c r="AB78" s="60"/>
      <c r="AC78" s="56"/>
      <c r="AD78" s="60"/>
      <c r="AE78" s="60"/>
      <c r="AF78" s="80"/>
      <c r="AG78" s="56"/>
      <c r="AH78" s="4"/>
      <c r="AI78" s="56"/>
      <c r="AJ78" s="109"/>
      <c r="AK78" s="56"/>
      <c r="AL78" s="56"/>
      <c r="AM78" s="56"/>
      <c r="AN78" s="56"/>
      <c r="AO78" s="56"/>
      <c r="AP78" s="56"/>
      <c r="AQ78" s="56"/>
      <c r="AR78" s="109"/>
      <c r="AS78" s="56"/>
      <c r="AT78" s="56"/>
      <c r="AU78" s="4"/>
      <c r="AV78" s="25">
        <f>20*60</f>
        <v>1200</v>
      </c>
      <c r="AW78" s="25">
        <f>60*60</f>
        <v>3600</v>
      </c>
      <c r="AX78" s="25">
        <f>4*60*60</f>
        <v>14400</v>
      </c>
      <c r="AY78" s="25">
        <f>24*3600</f>
        <v>86400</v>
      </c>
      <c r="AZ78" s="25">
        <f>24*3600*2</f>
        <v>172800</v>
      </c>
      <c r="BA78" s="53"/>
      <c r="BB78" s="53"/>
      <c r="BC78" s="53"/>
      <c r="BD78" s="53"/>
      <c r="BE78" s="53"/>
      <c r="BF78" s="53"/>
      <c r="BG78" s="53"/>
      <c r="BH78" s="53"/>
      <c r="BI78" s="53"/>
      <c r="BJ78" s="53"/>
      <c r="BK78" s="53"/>
      <c r="BL78" s="53"/>
      <c r="BM78" s="53"/>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1"/>
      <c r="CS78" s="1"/>
      <c r="CT78" s="1"/>
      <c r="CU78" s="1"/>
    </row>
    <row r="79" spans="1:99" s="13" customFormat="1" ht="12" customHeight="1" x14ac:dyDescent="0.2">
      <c r="A79" s="65">
        <v>43912</v>
      </c>
      <c r="B79" s="1" t="s">
        <v>118</v>
      </c>
      <c r="C79" s="1" t="s">
        <v>119</v>
      </c>
      <c r="D79" s="60">
        <v>1922</v>
      </c>
      <c r="E79" s="76">
        <v>3</v>
      </c>
      <c r="F79" s="60">
        <v>20</v>
      </c>
      <c r="G79" s="60">
        <v>20</v>
      </c>
      <c r="H79" s="60" t="s">
        <v>726</v>
      </c>
      <c r="I79" s="74">
        <v>1</v>
      </c>
      <c r="J79" s="60" t="s">
        <v>281</v>
      </c>
      <c r="K79" s="60">
        <f>IF(J79="syllables",1,IF(J79="trigrams",2,IF(J79="strings",3,IF(J79="visual array",4,IF(J79="characters",5,IF(J79="letters",6,IF(J79="free forms",7,IF(J79="odors",8,IF(J79="words",9,IF(J79="pictures",10,IF(J79="object pictures",11,IF(J79="faces",12,IF(J79="names",13,IF(J79="idioms",14,IF(J79="grades",15,IF(J79="syllable-digit pairs",16,IF(J79="trigram-word pairs",17,IF(J79="word-digit pairs",18,IF(J79="English-Swahili pairs",19,IF(J79="spatial position",20,IF(J79="word pairs",21,IF(J79="word triads",22,IF(J79="generated words",23,IF(J79="word definition pairs",24,IF(J79="math problems",25,IF(J79="famous faces",26,IF(J79="famous names",27,IF(J79="famous voices",28,IF(J79="television programs",29,IF(J79="race horses",30,IF(J79="new vocabulary",31,IF(J79="sentences",32,IF(J79="concepts",33,IF(J79="ad slides",34,IF(J79="scenes",35,IF(J79="famous scenes",36,IF(J79="poems",37,IF(J79="walk",38,IF(J79="faces and events",39,IF(J79="events and names",40,IF(J79="flashbulb",41,IF(J79="stories",42,IF(J79="course material",43,IF(J79="autobiographical",44,IF(J79="novels",45,IF(J79="public events",46,"99"))))))))))))))))))))))))))))))))))))))))))))))</f>
        <v>1</v>
      </c>
      <c r="L79" s="60">
        <f>IF(J79="syllables",1,IF(J79="trigrams",1,IF(J79="strings",1,IF(J79="visual array",1,IF(J79="characters",1,IF(J79="letters",1,IF(J79="free forms",1,IF(J79="odors",2,IF(J79="words",2,IF(J79="pictures",2,IF(J79="object pictures",2,IF(J79="faces",2,IF(J79="names",2,IF(J79="idioms","2",IF(J79="grades",2,IF(J79="syllable-digit pairs",3,IF(J79="trigram-word pairs",3,IF(J79="word-digit pairs",3,IF(J79="English-Swahili pairs",3,IF(J79="spatial position",3,IF(J79="word pairs",4,IF(J79="word triads",4,IF(J79="generated words",4,IF(J79="word definition pairs",4,IF(J79="math problems",4,IF(J79="famous faces",4,IF(J79="famous names",4,IF(J79="famous voices",4,IF(J79="television programs",4,IF(J79="race horses",4,IF(J79="new vocabulary",4,IF(J79="sentences",5,IF(J79="concepts",5,IF(J79="ad slides",5,IF(J79="scenes",5,IF(J79="famous scenes",5,IF(J79="poems",6,IF(J79="walk",6,IF(J79="faces and events",6,IF(J79="events and names",6,IF(J79="flashbulb",7,IF(J79="stories",7,IF(J79="course material",7,IF(J79="autobiographical",7,IF(J79="novels",7,IF(J79="public events",7,"99"))))))))))))))))))))))))))))))))))))))))))))))</f>
        <v>1</v>
      </c>
      <c r="M79" s="60">
        <v>1</v>
      </c>
      <c r="N79" s="60">
        <v>2</v>
      </c>
      <c r="O79" s="60">
        <v>0</v>
      </c>
      <c r="P79" s="60"/>
      <c r="Q79" s="60" t="s">
        <v>34</v>
      </c>
      <c r="R79" s="60">
        <f>IF(Q79="Free Recall",1,IF(Q79="Cued Recall",2,IF(Q79="Recognition",3,IF(Q79="Multiple Choice",4,IF(Q79="Savings",5,IF(Q79="Stem Completion",6,IF(Q79="Fragment Completion",7,IF(Q79="anagram solution",8,IF(Q79="Matching",9,IF(Q79="Problem Solving",10,"99"))))))))))</f>
        <v>3</v>
      </c>
      <c r="S79" s="59" t="s">
        <v>15</v>
      </c>
      <c r="T79" s="59" t="s">
        <v>581</v>
      </c>
      <c r="U79" s="60">
        <f>IF(T79="within",1,0)</f>
        <v>1</v>
      </c>
      <c r="V79" s="59">
        <v>12</v>
      </c>
      <c r="W79" s="60">
        <f>F79*V79</f>
        <v>240</v>
      </c>
      <c r="X79" s="60">
        <v>5</v>
      </c>
      <c r="Y79" s="76">
        <f>AV78</f>
        <v>1200</v>
      </c>
      <c r="Z79" s="60" t="s">
        <v>88</v>
      </c>
      <c r="AA79" s="60">
        <v>172800</v>
      </c>
      <c r="AB79" s="60" t="str">
        <f>IF(AA79&lt;60,"1",IF(AA79&lt;=43200,"2",IF(AA79&lt;=777600,"3","4")))</f>
        <v>3</v>
      </c>
      <c r="AC79" s="56">
        <f>AVERAGE(AV78:DA78)</f>
        <v>55680</v>
      </c>
      <c r="AD79" s="60" t="str">
        <f>IF(AC79&lt;60,"1",IF(AC79&lt;=43200,"2",IF(AC79&lt;=777600,"3","4")))</f>
        <v>3</v>
      </c>
      <c r="AE79" s="76">
        <f>AA79-Y79</f>
        <v>171600</v>
      </c>
      <c r="AF79" s="80">
        <f>AV79</f>
        <v>0.96</v>
      </c>
      <c r="AG79" s="56">
        <f>((AW79-AV79)+(AX79-AW79)+(AY79-AX79)+(AZ79-AY79))/4</f>
        <v>-4.2499999999999982E-2</v>
      </c>
      <c r="AH79" s="4"/>
      <c r="AI79" s="56">
        <f>RSQ(AV79:AZ79,AV78:AZ78)</f>
        <v>0.78573073551570849</v>
      </c>
      <c r="AJ79" s="109">
        <f>SLOPE(AV79:AZ79,AV78:AZ78)</f>
        <v>-1.008217281112011E-6</v>
      </c>
      <c r="AK79" s="56">
        <f>INTERCEPT(AV79:AZ79,AV78:AZ78)</f>
        <v>0.93213753821231682</v>
      </c>
      <c r="AL79" s="56">
        <f>INDEX(LINEST(LN(AV79:AZ79),LN(AV78:AZ78),TRUE,TRUE),3,1)</f>
        <v>0.89233242076995911</v>
      </c>
      <c r="AM79" s="56">
        <f>INDEX(LINEST(LN(AV79:AZ79),LN(AV78:AZ78)),1)</f>
        <v>-4.4339117039679361E-2</v>
      </c>
      <c r="AN79" s="56">
        <f>EXP(INDEX(LINEST(LN(AV79:AZ79),LN(AV78:AZ78)),1,2))</f>
        <v>1.339036477353323</v>
      </c>
      <c r="AO79" s="82">
        <f>INDEX(LINEST((AV79:AZ79),LN(AV78:AZ78),TRUE,TRUE),3,1)</f>
        <v>0.90017922291214092</v>
      </c>
      <c r="AP79" s="82">
        <f>INDEX(LINEST((AV79:AZ79),LN(AV78:AZ78)),1)</f>
        <v>-3.8357984246786735E-2</v>
      </c>
      <c r="AQ79" s="83">
        <f>INDEX(LINEST(LN(AV79:AZ79),SQRT(AV78:AZ78),TRUE,TRUE),3,1)</f>
        <v>0.89756791160056548</v>
      </c>
      <c r="AR79" s="116">
        <f>INDEX(LINEST(LN(AV79:AZ79),SQRT((AV78:AZ78))),1)</f>
        <v>-5.6643126709409462E-4</v>
      </c>
      <c r="AS79" s="84">
        <f>INDEX(LINEST(1/(AV79:AZ79),1/(SQRT(AV78:AZ78)),TRUE,TRUE),3,1)</f>
        <v>0.69362991010146768</v>
      </c>
      <c r="AT79" s="84">
        <f>INDEX(LINEST(1/(AV79:AZ79),1/SQRT(AV78:AZ78)),1)</f>
        <v>-8.6297749563442299</v>
      </c>
      <c r="AU79" s="3"/>
      <c r="AV79" s="53">
        <v>0.96</v>
      </c>
      <c r="AW79" s="53">
        <v>0.93</v>
      </c>
      <c r="AX79" s="53">
        <v>0.92</v>
      </c>
      <c r="AY79" s="53">
        <v>0.78</v>
      </c>
      <c r="AZ79" s="53">
        <v>0.79</v>
      </c>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1"/>
      <c r="CS79" s="1"/>
      <c r="CT79" s="1"/>
      <c r="CU79" s="1"/>
    </row>
    <row r="80" spans="1:99" s="13" customFormat="1" ht="12" customHeight="1" x14ac:dyDescent="0.2">
      <c r="A80" s="65">
        <v>43912</v>
      </c>
      <c r="B80" s="1"/>
      <c r="C80" s="1"/>
      <c r="D80" s="60"/>
      <c r="E80" s="76"/>
      <c r="F80" s="60"/>
      <c r="G80" s="60"/>
      <c r="H80" s="60"/>
      <c r="I80" s="60"/>
      <c r="J80" s="60"/>
      <c r="K80" s="64"/>
      <c r="L80" s="64"/>
      <c r="M80" s="60"/>
      <c r="N80" s="60"/>
      <c r="O80" s="60"/>
      <c r="P80" s="60"/>
      <c r="Q80" s="60"/>
      <c r="R80" s="60"/>
      <c r="S80" s="60"/>
      <c r="T80" s="59"/>
      <c r="U80" s="60"/>
      <c r="V80" s="59"/>
      <c r="W80" s="60"/>
      <c r="X80" s="60"/>
      <c r="Y80" s="76"/>
      <c r="Z80" s="60"/>
      <c r="AA80" s="60"/>
      <c r="AB80" s="60"/>
      <c r="AC80" s="56"/>
      <c r="AD80" s="60"/>
      <c r="AE80" s="60"/>
      <c r="AF80" s="80"/>
      <c r="AG80" s="56"/>
      <c r="AH80" s="4"/>
      <c r="AI80" s="56"/>
      <c r="AJ80" s="109"/>
      <c r="AK80" s="56"/>
      <c r="AL80" s="56"/>
      <c r="AM80" s="56"/>
      <c r="AN80" s="56"/>
      <c r="AO80" s="56"/>
      <c r="AP80" s="56"/>
      <c r="AQ80" s="56"/>
      <c r="AR80" s="109"/>
      <c r="AS80" s="56"/>
      <c r="AT80" s="56"/>
      <c r="AU80" s="4"/>
      <c r="AV80" s="25">
        <f>20*60</f>
        <v>1200</v>
      </c>
      <c r="AW80" s="25">
        <f>60*60</f>
        <v>3600</v>
      </c>
      <c r="AX80" s="25">
        <f>4*60*60</f>
        <v>14400</v>
      </c>
      <c r="AY80" s="25">
        <f>24*3600</f>
        <v>86400</v>
      </c>
      <c r="AZ80" s="25">
        <f>24*3600*2</f>
        <v>172800</v>
      </c>
      <c r="BA80" s="53"/>
      <c r="BB80" s="53"/>
      <c r="BC80" s="53"/>
      <c r="BD80" s="53"/>
      <c r="BE80" s="53"/>
      <c r="BF80" s="53"/>
      <c r="BG80" s="53"/>
      <c r="BH80" s="53"/>
      <c r="BI80" s="53"/>
      <c r="BJ80" s="53"/>
      <c r="BK80" s="53"/>
      <c r="BL80" s="53"/>
      <c r="BM80" s="53"/>
      <c r="BN80" s="53"/>
      <c r="BO80" s="53"/>
      <c r="BP80" s="53"/>
      <c r="BQ80" s="53"/>
      <c r="BR80" s="53"/>
      <c r="BS80" s="53"/>
      <c r="BT80" s="53"/>
      <c r="BU80" s="53"/>
      <c r="BV80" s="53"/>
      <c r="BW80" s="53"/>
      <c r="BX80" s="53"/>
      <c r="BY80" s="53"/>
      <c r="BZ80" s="53"/>
      <c r="CA80" s="53"/>
      <c r="CB80" s="53"/>
      <c r="CC80" s="53"/>
      <c r="CD80" s="53"/>
      <c r="CE80" s="53"/>
      <c r="CF80" s="53"/>
      <c r="CG80" s="53"/>
      <c r="CH80" s="53"/>
      <c r="CI80" s="53"/>
      <c r="CJ80" s="53"/>
      <c r="CK80" s="53"/>
      <c r="CL80" s="53"/>
      <c r="CM80" s="53"/>
      <c r="CN80" s="53"/>
      <c r="CO80" s="53"/>
      <c r="CP80" s="53"/>
      <c r="CQ80" s="53"/>
      <c r="CR80" s="1"/>
      <c r="CS80" s="1"/>
      <c r="CT80" s="1"/>
      <c r="CU80" s="1"/>
    </row>
    <row r="81" spans="1:99" s="13" customFormat="1" ht="12" customHeight="1" x14ac:dyDescent="0.2">
      <c r="A81" s="65">
        <v>43912</v>
      </c>
      <c r="B81" s="1" t="s">
        <v>118</v>
      </c>
      <c r="C81" s="1" t="s">
        <v>119</v>
      </c>
      <c r="D81" s="60">
        <v>1922</v>
      </c>
      <c r="E81" s="76">
        <v>3</v>
      </c>
      <c r="F81" s="60">
        <v>20</v>
      </c>
      <c r="G81" s="60">
        <v>20</v>
      </c>
      <c r="H81" s="60" t="s">
        <v>726</v>
      </c>
      <c r="I81" s="74">
        <v>0.67</v>
      </c>
      <c r="J81" s="60" t="s">
        <v>281</v>
      </c>
      <c r="K81" s="60">
        <f>IF(J81="syllables",1,IF(J81="trigrams",2,IF(J81="strings",3,IF(J81="visual array",4,IF(J81="characters",5,IF(J81="letters",6,IF(J81="free forms",7,IF(J81="odors",8,IF(J81="words",9,IF(J81="pictures",10,IF(J81="object pictures",11,IF(J81="faces",12,IF(J81="names",13,IF(J81="idioms",14,IF(J81="grades",15,IF(J81="syllable-digit pairs",16,IF(J81="trigram-word pairs",17,IF(J81="word-digit pairs",18,IF(J81="English-Swahili pairs",19,IF(J81="spatial position",20,IF(J81="word pairs",21,IF(J81="word triads",22,IF(J81="generated words",23,IF(J81="word definition pairs",24,IF(J81="math problems",25,IF(J81="famous faces",26,IF(J81="famous names",27,IF(J81="famous voices",28,IF(J81="television programs",29,IF(J81="race horses",30,IF(J81="new vocabulary",31,IF(J81="sentences",32,IF(J81="concepts",33,IF(J81="ad slides",34,IF(J81="scenes",35,IF(J81="famous scenes",36,IF(J81="poems",37,IF(J81="walk",38,IF(J81="faces and events",39,IF(J81="events and names",40,IF(J81="flashbulb",41,IF(J81="stories",42,IF(J81="course material",43,IF(J81="autobiographical",44,IF(J81="novels",45,IF(J81="public events",46,"99"))))))))))))))))))))))))))))))))))))))))))))))</f>
        <v>1</v>
      </c>
      <c r="L81" s="60">
        <f>IF(J81="syllables",1,IF(J81="trigrams",1,IF(J81="strings",1,IF(J81="visual array",1,IF(J81="characters",1,IF(J81="letters",1,IF(J81="free forms",1,IF(J81="odors",2,IF(J81="words",2,IF(J81="pictures",2,IF(J81="object pictures",2,IF(J81="faces",2,IF(J81="names",2,IF(J81="idioms","2",IF(J81="grades",2,IF(J81="syllable-digit pairs",3,IF(J81="trigram-word pairs",3,IF(J81="word-digit pairs",3,IF(J81="English-Swahili pairs",3,IF(J81="spatial position",3,IF(J81="word pairs",4,IF(J81="word triads",4,IF(J81="generated words",4,IF(J81="word definition pairs",4,IF(J81="math problems",4,IF(J81="famous faces",4,IF(J81="famous names",4,IF(J81="famous voices",4,IF(J81="television programs",4,IF(J81="race horses",4,IF(J81="new vocabulary",4,IF(J81="sentences",5,IF(J81="concepts",5,IF(J81="ad slides",5,IF(J81="scenes",5,IF(J81="famous scenes",5,IF(J81="poems",6,IF(J81="walk",6,IF(J81="faces and events",6,IF(J81="events and names",6,IF(J81="flashbulb",7,IF(J81="stories",7,IF(J81="course material",7,IF(J81="autobiographical",7,IF(J81="novels",7,IF(J81="public events",7,"99"))))))))))))))))))))))))))))))))))))))))))))))</f>
        <v>1</v>
      </c>
      <c r="M81" s="60">
        <v>1</v>
      </c>
      <c r="N81" s="60">
        <v>2</v>
      </c>
      <c r="O81" s="60">
        <v>0</v>
      </c>
      <c r="P81" s="60"/>
      <c r="Q81" s="60" t="s">
        <v>34</v>
      </c>
      <c r="R81" s="60">
        <f>IF(Q81="Free Recall",1,IF(Q81="Cued Recall",2,IF(Q81="Recognition",3,IF(Q81="Multiple Choice",4,IF(Q81="Savings",5,IF(Q81="Stem Completion",6,IF(Q81="Fragment Completion",7,IF(Q81="anagram solution",8,IF(Q81="Matching",9,IF(Q81="Problem Solving",10,"99"))))))))))</f>
        <v>3</v>
      </c>
      <c r="S81" s="59" t="s">
        <v>15</v>
      </c>
      <c r="T81" s="59" t="s">
        <v>581</v>
      </c>
      <c r="U81" s="60">
        <f>IF(T81="within",1,0)</f>
        <v>1</v>
      </c>
      <c r="V81" s="59">
        <v>12</v>
      </c>
      <c r="W81" s="60">
        <f>F81*V81</f>
        <v>240</v>
      </c>
      <c r="X81" s="60">
        <v>7</v>
      </c>
      <c r="Y81" s="76">
        <f>AV80</f>
        <v>1200</v>
      </c>
      <c r="Z81" s="60" t="s">
        <v>88</v>
      </c>
      <c r="AA81" s="60">
        <v>172800</v>
      </c>
      <c r="AB81" s="60" t="str">
        <f>IF(AA81&lt;60,"1",IF(AA81&lt;=43200,"2",IF(AA81&lt;=777600,"3","4")))</f>
        <v>3</v>
      </c>
      <c r="AC81" s="56">
        <f>AVERAGE(AV80:DA80)</f>
        <v>55680</v>
      </c>
      <c r="AD81" s="60" t="str">
        <f>IF(AC81&lt;60,"1",IF(AC81&lt;=43200,"2",IF(AC81&lt;=777600,"3","4")))</f>
        <v>3</v>
      </c>
      <c r="AE81" s="76">
        <f>AA81-Y81</f>
        <v>171600</v>
      </c>
      <c r="AF81" s="80">
        <f>AV81</f>
        <v>0.93</v>
      </c>
      <c r="AG81" s="56">
        <f>((AW81-AV81)+(AX81-AW81)+(AY81-AX81)+(AZ81-AY81))/4</f>
        <v>-7.7500000000000013E-2</v>
      </c>
      <c r="AH81" s="4"/>
      <c r="AI81" s="56">
        <f>RSQ(AV81:AZ81,AV80:AZ80)</f>
        <v>0.95955064040246107</v>
      </c>
      <c r="AJ81" s="109">
        <f>SLOPE(AV81:AZ81,AV80:AZ80)</f>
        <v>-1.7619035177104838E-6</v>
      </c>
      <c r="AK81" s="56">
        <f>INTERCEPT(AV81:AZ81,AV80:AZ80)</f>
        <v>0.91210278786611976</v>
      </c>
      <c r="AL81" s="56">
        <f>INDEX(LINEST(LN(AV81:AZ81),LN(AV80:AZ80),TRUE,TRUE),3,1)</f>
        <v>0.88188625442108215</v>
      </c>
      <c r="AM81" s="56">
        <f>INDEX(LINEST(LN(AV81:AZ81),LN(AV80:AZ80)),1)</f>
        <v>-7.7845477423216666E-2</v>
      </c>
      <c r="AN81" s="56">
        <f>EXP(INDEX(LINEST(LN(AV81:AZ81),LN(AV80:AZ80)),1,2))</f>
        <v>1.7062903771896387</v>
      </c>
      <c r="AO81" s="82">
        <f>INDEX(LINEST((AV81:AZ81),LN(AV80:AZ80),TRUE,TRUE),3,1)</f>
        <v>0.90923786188435374</v>
      </c>
      <c r="AP81" s="82">
        <f>INDEX(LINEST((AV81:AZ81),LN(AV80:AZ80)),1)</f>
        <v>-6.0962244267178528E-2</v>
      </c>
      <c r="AQ81" s="83">
        <f>INDEX(LINEST(LN(AV81:AZ81),SQRT(AV80:AZ80),TRUE,TRUE),3,1)</f>
        <v>0.98487907678353792</v>
      </c>
      <c r="AR81" s="116">
        <f>INDEX(LINEST(LN(AV81:AZ81),SQRT((AV80:AZ80))),1)</f>
        <v>-1.0478724216700854E-3</v>
      </c>
      <c r="AS81" s="84">
        <f>INDEX(LINEST(1/(AV81:AZ81),1/(SQRT(AV80:AZ80)),TRUE,TRUE),3,1)</f>
        <v>0.60870455321883543</v>
      </c>
      <c r="AT81" s="84">
        <f>INDEX(LINEST(1/(AV81:AZ81),1/SQRT(AV80:AZ80)),1)</f>
        <v>-16.149471168956818</v>
      </c>
      <c r="AU81" s="3"/>
      <c r="AV81" s="53">
        <v>0.93</v>
      </c>
      <c r="AW81" s="53">
        <v>0.93</v>
      </c>
      <c r="AX81" s="53">
        <v>0.85</v>
      </c>
      <c r="AY81" s="53">
        <v>0.74</v>
      </c>
      <c r="AZ81" s="53">
        <v>0.62</v>
      </c>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c r="BZ81" s="53"/>
      <c r="CA81" s="53"/>
      <c r="CB81" s="53"/>
      <c r="CC81" s="53"/>
      <c r="CD81" s="53"/>
      <c r="CE81" s="53"/>
      <c r="CF81" s="53"/>
      <c r="CG81" s="53"/>
      <c r="CH81" s="53"/>
      <c r="CI81" s="53"/>
      <c r="CJ81" s="53"/>
      <c r="CK81" s="53"/>
      <c r="CL81" s="53"/>
      <c r="CM81" s="53"/>
      <c r="CN81" s="53"/>
      <c r="CO81" s="53"/>
      <c r="CP81" s="53"/>
      <c r="CQ81" s="53"/>
      <c r="CR81" s="1"/>
      <c r="CS81" s="1"/>
      <c r="CT81" s="1"/>
      <c r="CU81" s="1"/>
    </row>
    <row r="82" spans="1:99" s="13" customFormat="1" ht="12" customHeight="1" x14ac:dyDescent="0.2">
      <c r="A82" s="65">
        <v>43912</v>
      </c>
      <c r="B82" s="1"/>
      <c r="C82" s="1"/>
      <c r="D82" s="60"/>
      <c r="E82" s="76"/>
      <c r="F82" s="60"/>
      <c r="G82" s="60"/>
      <c r="H82" s="60"/>
      <c r="I82" s="60"/>
      <c r="J82" s="60"/>
      <c r="K82" s="64"/>
      <c r="L82" s="64"/>
      <c r="M82" s="60"/>
      <c r="N82" s="60"/>
      <c r="O82" s="60"/>
      <c r="P82" s="60"/>
      <c r="Q82" s="60"/>
      <c r="R82" s="60"/>
      <c r="S82" s="60"/>
      <c r="T82" s="59"/>
      <c r="U82" s="60"/>
      <c r="V82" s="59"/>
      <c r="W82" s="60"/>
      <c r="X82" s="60"/>
      <c r="Y82" s="76"/>
      <c r="Z82" s="60"/>
      <c r="AA82" s="60"/>
      <c r="AB82" s="60"/>
      <c r="AC82" s="56"/>
      <c r="AD82" s="60"/>
      <c r="AE82" s="60"/>
      <c r="AF82" s="80"/>
      <c r="AG82" s="56"/>
      <c r="AH82" s="4"/>
      <c r="AI82" s="56"/>
      <c r="AJ82" s="109"/>
      <c r="AK82" s="56"/>
      <c r="AL82" s="56"/>
      <c r="AM82" s="56"/>
      <c r="AN82" s="56"/>
      <c r="AO82" s="56"/>
      <c r="AP82" s="56"/>
      <c r="AQ82" s="56"/>
      <c r="AR82" s="109"/>
      <c r="AS82" s="56"/>
      <c r="AT82" s="56"/>
      <c r="AU82" s="4"/>
      <c r="AV82" s="25">
        <f>20*60</f>
        <v>1200</v>
      </c>
      <c r="AW82" s="25">
        <f>60*60</f>
        <v>3600</v>
      </c>
      <c r="AX82" s="25">
        <f>4*60*60</f>
        <v>14400</v>
      </c>
      <c r="AY82" s="25">
        <f>24*3600</f>
        <v>86400</v>
      </c>
      <c r="AZ82" s="25">
        <f>24*3600*2</f>
        <v>172800</v>
      </c>
      <c r="BA82" s="53"/>
      <c r="BB82" s="53"/>
      <c r="BC82" s="53"/>
      <c r="BD82" s="53"/>
      <c r="BE82" s="53"/>
      <c r="BF82" s="53"/>
      <c r="BG82" s="53"/>
      <c r="BH82" s="53"/>
      <c r="BI82" s="53"/>
      <c r="BJ82" s="53"/>
      <c r="BK82" s="53"/>
      <c r="BL82" s="53"/>
      <c r="BM82" s="53"/>
      <c r="BN82" s="53"/>
      <c r="BO82" s="53"/>
      <c r="BP82" s="53"/>
      <c r="BQ82" s="53"/>
      <c r="BR82" s="53"/>
      <c r="BS82" s="53"/>
      <c r="BT82" s="53"/>
      <c r="BU82" s="53"/>
      <c r="BV82" s="53"/>
      <c r="BW82" s="53"/>
      <c r="BX82" s="53"/>
      <c r="BY82" s="53"/>
      <c r="BZ82" s="53"/>
      <c r="CA82" s="53"/>
      <c r="CB82" s="53"/>
      <c r="CC82" s="53"/>
      <c r="CD82" s="53"/>
      <c r="CE82" s="53"/>
      <c r="CF82" s="53"/>
      <c r="CG82" s="53"/>
      <c r="CH82" s="53"/>
      <c r="CI82" s="53"/>
      <c r="CJ82" s="53"/>
      <c r="CK82" s="53"/>
      <c r="CL82" s="53"/>
      <c r="CM82" s="53"/>
      <c r="CN82" s="53"/>
      <c r="CO82" s="53"/>
      <c r="CP82" s="53"/>
      <c r="CQ82" s="53"/>
      <c r="CR82" s="1"/>
      <c r="CS82" s="1"/>
      <c r="CT82" s="1"/>
      <c r="CU82" s="1"/>
    </row>
    <row r="83" spans="1:99" s="13" customFormat="1" ht="12" customHeight="1" x14ac:dyDescent="0.2">
      <c r="A83" s="65">
        <v>43912</v>
      </c>
      <c r="B83" s="1" t="s">
        <v>118</v>
      </c>
      <c r="C83" s="1" t="s">
        <v>119</v>
      </c>
      <c r="D83" s="60">
        <v>1922</v>
      </c>
      <c r="E83" s="76">
        <v>3</v>
      </c>
      <c r="F83" s="60">
        <v>20</v>
      </c>
      <c r="G83" s="60">
        <v>20</v>
      </c>
      <c r="H83" s="60" t="s">
        <v>726</v>
      </c>
      <c r="I83" s="74">
        <v>0.33</v>
      </c>
      <c r="J83" s="60" t="s">
        <v>281</v>
      </c>
      <c r="K83" s="60">
        <f>IF(J83="syllables",1,IF(J83="trigrams",2,IF(J83="strings",3,IF(J83="visual array",4,IF(J83="characters",5,IF(J83="letters",6,IF(J83="free forms",7,IF(J83="odors",8,IF(J83="words",9,IF(J83="pictures",10,IF(J83="object pictures",11,IF(J83="faces",12,IF(J83="names",13,IF(J83="idioms",14,IF(J83="grades",15,IF(J83="syllable-digit pairs",16,IF(J83="trigram-word pairs",17,IF(J83="word-digit pairs",18,IF(J83="English-Swahili pairs",19,IF(J83="spatial position",20,IF(J83="word pairs",21,IF(J83="word triads",22,IF(J83="generated words",23,IF(J83="word definition pairs",24,IF(J83="math problems",25,IF(J83="famous faces",26,IF(J83="famous names",27,IF(J83="famous voices",28,IF(J83="television programs",29,IF(J83="race horses",30,IF(J83="new vocabulary",31,IF(J83="sentences",32,IF(J83="concepts",33,IF(J83="ad slides",34,IF(J83="scenes",35,IF(J83="famous scenes",36,IF(J83="poems",37,IF(J83="walk",38,IF(J83="faces and events",39,IF(J83="events and names",40,IF(J83="flashbulb",41,IF(J83="stories",42,IF(J83="course material",43,IF(J83="autobiographical",44,IF(J83="novels",45,IF(J83="public events",46,"99"))))))))))))))))))))))))))))))))))))))))))))))</f>
        <v>1</v>
      </c>
      <c r="L83" s="60">
        <f>IF(J83="syllables",1,IF(J83="trigrams",1,IF(J83="strings",1,IF(J83="visual array",1,IF(J83="characters",1,IF(J83="letters",1,IF(J83="free forms",1,IF(J83="odors",2,IF(J83="words",2,IF(J83="pictures",2,IF(J83="object pictures",2,IF(J83="faces",2,IF(J83="names",2,IF(J83="idioms","2",IF(J83="grades",2,IF(J83="syllable-digit pairs",3,IF(J83="trigram-word pairs",3,IF(J83="word-digit pairs",3,IF(J83="English-Swahili pairs",3,IF(J83="spatial position",3,IF(J83="word pairs",4,IF(J83="word triads",4,IF(J83="generated words",4,IF(J83="word definition pairs",4,IF(J83="math problems",4,IF(J83="famous faces",4,IF(J83="famous names",4,IF(J83="famous voices",4,IF(J83="television programs",4,IF(J83="race horses",4,IF(J83="new vocabulary",4,IF(J83="sentences",5,IF(J83="concepts",5,IF(J83="ad slides",5,IF(J83="scenes",5,IF(J83="famous scenes",5,IF(J83="poems",6,IF(J83="walk",6,IF(J83="faces and events",6,IF(J83="events and names",6,IF(J83="flashbulb",7,IF(J83="stories",7,IF(J83="course material",7,IF(J83="autobiographical",7,IF(J83="novels",7,IF(J83="public events",7,"99"))))))))))))))))))))))))))))))))))))))))))))))</f>
        <v>1</v>
      </c>
      <c r="M83" s="60">
        <v>1</v>
      </c>
      <c r="N83" s="60">
        <v>2</v>
      </c>
      <c r="O83" s="60">
        <v>0</v>
      </c>
      <c r="P83" s="60"/>
      <c r="Q83" s="60" t="s">
        <v>34</v>
      </c>
      <c r="R83" s="60">
        <f>IF(Q83="Free Recall",1,IF(Q83="Cued Recall",2,IF(Q83="Recognition",3,IF(Q83="Multiple Choice",4,IF(Q83="Savings",5,IF(Q83="Stem Completion",6,IF(Q83="Fragment Completion",7,IF(Q83="anagram solution",8,IF(Q83="Matching",9,IF(Q83="Problem Solving",10,"99"))))))))))</f>
        <v>3</v>
      </c>
      <c r="S83" s="59" t="s">
        <v>15</v>
      </c>
      <c r="T83" s="59" t="s">
        <v>581</v>
      </c>
      <c r="U83" s="60">
        <f>IF(T83="within",1,0)</f>
        <v>1</v>
      </c>
      <c r="V83" s="59">
        <v>12</v>
      </c>
      <c r="W83" s="60">
        <f>F83*V83</f>
        <v>240</v>
      </c>
      <c r="X83" s="60">
        <v>5</v>
      </c>
      <c r="Y83" s="76">
        <f>AV82</f>
        <v>1200</v>
      </c>
      <c r="Z83" s="60" t="s">
        <v>88</v>
      </c>
      <c r="AA83" s="60">
        <v>172800</v>
      </c>
      <c r="AB83" s="60" t="str">
        <f>IF(AA83&lt;60,"1",IF(AA83&lt;=43200,"2",IF(AA83&lt;=777600,"3","4")))</f>
        <v>3</v>
      </c>
      <c r="AC83" s="56">
        <f>AVERAGE(AV82:DA82)</f>
        <v>55680</v>
      </c>
      <c r="AD83" s="60" t="str">
        <f>IF(AC83&lt;60,"1",IF(AC83&lt;=43200,"2",IF(AC83&lt;=777600,"3","4")))</f>
        <v>3</v>
      </c>
      <c r="AE83" s="76">
        <f>AA83-Y83</f>
        <v>171600</v>
      </c>
      <c r="AF83" s="80">
        <f>AV83</f>
        <v>0.73</v>
      </c>
      <c r="AG83" s="56">
        <f>((AW83-AV83)+(AX83-AW83)+(AY83-AX83)+(AZ83-AY83))/4</f>
        <v>-0.11749999999999999</v>
      </c>
      <c r="AH83" s="4"/>
      <c r="AI83" s="56">
        <f>RSQ(AV83:AZ83,AV82:AZ82)</f>
        <v>0.91356756781213388</v>
      </c>
      <c r="AJ83" s="109">
        <f>SLOPE(AV83:AZ83,AV82:AZ82)</f>
        <v>-2.3235483674304775E-6</v>
      </c>
      <c r="AK83" s="56">
        <f>INTERCEPT(AV83:AZ83,AV82:AZ82)</f>
        <v>0.65737517309852911</v>
      </c>
      <c r="AL83" s="56">
        <f>INDEX(LINEST(LN(AV83:AZ83),LN(AV82:AZ82),TRUE,TRUE),3,1)</f>
        <v>0.82606297943249773</v>
      </c>
      <c r="AM83" s="56">
        <f>INDEX(LINEST(LN(AV83:AZ83),LN(AV82:AZ82)),1)</f>
        <v>-0.17511701843707009</v>
      </c>
      <c r="AN83" s="56">
        <f>EXP(INDEX(LINEST(LN(AV83:AZ83),LN(AV82:AZ82)),1,2))</f>
        <v>2.7032530215789028</v>
      </c>
      <c r="AO83" s="82">
        <f>INDEX(LINEST((AV83:AZ83),LN(AV82:AZ82),TRUE,TRUE),3,1)</f>
        <v>0.91853867237312348</v>
      </c>
      <c r="AP83" s="82">
        <f>INDEX(LINEST((AV83:AZ83),LN(AV82:AZ82)),1)</f>
        <v>-8.2814068511926256E-2</v>
      </c>
      <c r="AQ83" s="83">
        <f>INDEX(LINEST(LN(AV83:AZ83),SQRT(AV82:AZ82),TRUE,TRUE),3,1)</f>
        <v>0.92536431869365765</v>
      </c>
      <c r="AR83" s="116">
        <f>INDEX(LINEST(LN(AV83:AZ83),SQRT((AV82:AZ82))),1)</f>
        <v>-2.3608478803996478E-3</v>
      </c>
      <c r="AS83" s="84">
        <f>INDEX(LINEST(1/(AV83:AZ83),1/(SQRT(AV82:AZ82)),TRUE,TRUE),3,1)</f>
        <v>0.50727711767289629</v>
      </c>
      <c r="AT83" s="84">
        <f>INDEX(LINEST(1/(AV83:AZ83),1/SQRT(AV82:AZ82)),1)</f>
        <v>-64.159717286114684</v>
      </c>
      <c r="AU83" s="3"/>
      <c r="AV83" s="53">
        <v>0.73</v>
      </c>
      <c r="AW83" s="53">
        <v>0.64</v>
      </c>
      <c r="AX83" s="53">
        <v>0.55000000000000004</v>
      </c>
      <c r="AY83" s="53">
        <v>0.46</v>
      </c>
      <c r="AZ83" s="53">
        <v>0.26</v>
      </c>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53"/>
      <c r="CD83" s="53"/>
      <c r="CE83" s="53"/>
      <c r="CF83" s="53"/>
      <c r="CG83" s="53"/>
      <c r="CH83" s="53"/>
      <c r="CI83" s="53"/>
      <c r="CJ83" s="53"/>
      <c r="CK83" s="53"/>
      <c r="CL83" s="53"/>
      <c r="CM83" s="53"/>
      <c r="CN83" s="53"/>
      <c r="CO83" s="53"/>
      <c r="CP83" s="53"/>
      <c r="CQ83" s="53"/>
      <c r="CR83" s="1"/>
      <c r="CS83" s="1"/>
      <c r="CT83" s="1"/>
      <c r="CU83" s="1"/>
    </row>
    <row r="84" spans="1:99" s="13" customFormat="1" ht="12" customHeight="1" x14ac:dyDescent="0.2">
      <c r="A84" s="68">
        <v>43978</v>
      </c>
      <c r="B84" s="70"/>
      <c r="C84" s="70"/>
      <c r="D84" s="69"/>
      <c r="E84" s="87"/>
      <c r="F84" s="69"/>
      <c r="G84" s="69"/>
      <c r="H84" s="69"/>
      <c r="I84" s="69"/>
      <c r="J84" s="69"/>
      <c r="K84" s="69"/>
      <c r="L84" s="69"/>
      <c r="M84" s="69"/>
      <c r="N84" s="86"/>
      <c r="O84" s="69"/>
      <c r="P84" s="69"/>
      <c r="Q84" s="69"/>
      <c r="R84" s="69"/>
      <c r="S84" s="69"/>
      <c r="T84" s="92"/>
      <c r="U84" s="69"/>
      <c r="V84" s="92"/>
      <c r="W84" s="69"/>
      <c r="X84" s="69"/>
      <c r="Y84" s="87"/>
      <c r="Z84" s="92"/>
      <c r="AA84" s="69"/>
      <c r="AB84" s="69"/>
      <c r="AC84" s="72"/>
      <c r="AD84" s="69"/>
      <c r="AE84" s="87"/>
      <c r="AF84" s="88"/>
      <c r="AG84" s="72"/>
      <c r="AH84" s="4"/>
      <c r="AI84" s="72"/>
      <c r="AJ84" s="110"/>
      <c r="AK84" s="72"/>
      <c r="AL84" s="72"/>
      <c r="AM84" s="72"/>
      <c r="AN84" s="72"/>
      <c r="AO84" s="89"/>
      <c r="AP84" s="89"/>
      <c r="AQ84" s="90"/>
      <c r="AR84" s="117"/>
      <c r="AS84" s="91"/>
      <c r="AT84" s="91"/>
      <c r="AU84" s="3"/>
      <c r="AV84" s="71">
        <v>30</v>
      </c>
      <c r="AW84" s="71">
        <f>60*30</f>
        <v>1800</v>
      </c>
      <c r="AX84" s="71">
        <f>60*60*24</f>
        <v>86400</v>
      </c>
      <c r="AY84" s="53"/>
      <c r="AZ84" s="11" t="s">
        <v>947</v>
      </c>
      <c r="BA84" s="53"/>
      <c r="BB84" s="53"/>
      <c r="BC84" s="53"/>
      <c r="BD84" s="53"/>
      <c r="BE84" s="53"/>
      <c r="BF84" s="53"/>
      <c r="BG84" s="53"/>
      <c r="BH84" s="53"/>
      <c r="BI84" s="53"/>
      <c r="BJ84" s="53"/>
      <c r="BK84" s="53"/>
      <c r="BL84" s="53"/>
      <c r="BM84" s="53"/>
      <c r="BN84" s="53"/>
      <c r="BO84" s="53"/>
      <c r="BP84" s="53"/>
      <c r="BQ84" s="53"/>
      <c r="BR84" s="53"/>
      <c r="BS84" s="53"/>
      <c r="BT84" s="53"/>
      <c r="BU84" s="53"/>
      <c r="BV84" s="53"/>
      <c r="BW84" s="53"/>
      <c r="BX84" s="53"/>
      <c r="BY84" s="53"/>
      <c r="BZ84" s="53"/>
      <c r="CA84" s="53"/>
      <c r="CB84" s="53"/>
      <c r="CC84" s="53"/>
      <c r="CD84" s="53"/>
      <c r="CE84" s="53"/>
      <c r="CF84" s="53"/>
      <c r="CG84" s="53"/>
      <c r="CH84" s="53"/>
      <c r="CI84" s="53"/>
      <c r="CJ84" s="53"/>
      <c r="CK84" s="53"/>
      <c r="CL84" s="53"/>
      <c r="CM84" s="53"/>
      <c r="CN84" s="53"/>
      <c r="CO84" s="53"/>
      <c r="CP84" s="53"/>
      <c r="CQ84" s="53"/>
      <c r="CR84" s="1"/>
      <c r="CS84" s="1"/>
      <c r="CT84" s="1"/>
      <c r="CU84" s="1"/>
    </row>
    <row r="85" spans="1:99" s="13" customFormat="1" ht="12" customHeight="1" x14ac:dyDescent="0.2">
      <c r="A85" s="68">
        <v>43978</v>
      </c>
      <c r="B85" s="70" t="s">
        <v>978</v>
      </c>
      <c r="C85" s="70" t="s">
        <v>393</v>
      </c>
      <c r="D85" s="69">
        <v>1991</v>
      </c>
      <c r="E85" s="87">
        <v>1</v>
      </c>
      <c r="F85" s="69">
        <v>21</v>
      </c>
      <c r="G85" s="69">
        <v>21</v>
      </c>
      <c r="H85" s="69" t="s">
        <v>50</v>
      </c>
      <c r="I85" s="69" t="s">
        <v>330</v>
      </c>
      <c r="J85" s="69" t="s">
        <v>16</v>
      </c>
      <c r="K85" s="69">
        <f>IF(J85="syllables",1,IF(J85="trigrams",2,IF(J85="strings",3,IF(J85="visual array",4,IF(J85="characters",5,IF(J85="letters",6,IF(J85="free forms",7,IF(J85="odors",8,IF(J85="words",9,IF(J85="pictures",10,IF(J85="object pictures",11,IF(J85="faces",12,IF(J85="names",13,IF(J85="idioms",14,IF(J85="grades",15,IF(J85="syllable-digit pairs",16,IF(J85="trigram-word pairs",17,IF(J85="word-digit pairs",18,IF(J85="English-Swahili pairs",19,IF(J85="spatial position",20,IF(J85="word pairs",21,IF(J85="word triads",22,IF(J85="generated words",23,IF(J85="word definition pairs",24,IF(J85="math problems",25,IF(J85="famous faces",26,IF(J85="famous names",27,IF(J85="famous voices",28,IF(J85="television programs",29,IF(J85="race horses",30,IF(J85="new vocabulary",31,IF(J85="sentences",32,IF(J85="concepts",33,IF(J85="ad slides",34,IF(J85="scenes",35,IF(J85="famous scenes",36,IF(J85="poems",37,IF(J85="walk",38,IF(J85="faces and events",39,IF(J85="events and names",40,IF(J85="flashbulb",41,IF(J85="stories",42,IF(J85="course material",43,IF(J85="autobiographical",44,IF(J85="novels",45,IF(J85="public events",46,"99"))))))))))))))))))))))))))))))))))))))))))))))</f>
        <v>9</v>
      </c>
      <c r="L85" s="69">
        <f>IF(J85="syllables",1,IF(J85="trigrams",1,IF(J85="strings",1,IF(J85="visual array",1,IF(J85="characters",1,IF(J85="letters",1,IF(J85="free forms",1,IF(J85="odors",2,IF(J85="words",2,IF(J85="pictures",2,IF(J85="object pictures",2,IF(J85="faces",2,IF(J85="names",2,IF(J85="idioms","2",IF(J85="grades",2,IF(J85="syllable-digit pairs",3,IF(J85="trigram-word pairs",3,IF(J85="word-digit pairs",3,IF(J85="English-Swahili pairs",3,IF(J85="spatial position",3,IF(J85="word pairs",4,IF(J85="word triads",4,IF(J85="generated words",4,IF(J85="word definition pairs",4,IF(J85="math problems",4,IF(J85="famous faces",4,IF(J85="famous names",4,IF(J85="famous voices",4,IF(J85="television programs",4,IF(J85="race horses",4,IF(J85="new vocabulary",4,IF(J85="sentences",5,IF(J85="concepts",5,IF(J85="ad slides",5,IF(J85="scenes",5,IF(J85="famous scenes",5,IF(J85="poems",6,IF(J85="walk",6,IF(J85="faces and events",6,IF(J85="events and names",6,IF(J85="flashbulb",7,IF(J85="stories",7,IF(J85="course material",7,IF(J85="autobiographical",7,IF(J85="novels",7,IF(J85="public events",7,"99"))))))))))))))))))))))))))))))))))))))))))))))</f>
        <v>2</v>
      </c>
      <c r="M85" s="69">
        <v>1</v>
      </c>
      <c r="N85" s="86">
        <v>2</v>
      </c>
      <c r="O85" s="69">
        <v>0</v>
      </c>
      <c r="P85" s="69"/>
      <c r="Q85" s="69" t="s">
        <v>174</v>
      </c>
      <c r="R85" s="69">
        <f>IF(Q85="Free Recall",1,IF(Q85="Cued Recall",2,IF(Q85="Recognition",3,IF(Q85="Multiple Choice",4,IF(Q85="Savings",5,IF(Q85="Stem Completion",6,IF(Q85="Fragment Completion",7,IF(Q85="anagram solution",8,IF(Q85="Matching",9,IF(Q85="Problem Solving",10,"99"))))))))))</f>
        <v>1</v>
      </c>
      <c r="S85" s="69" t="s">
        <v>49</v>
      </c>
      <c r="T85" s="92" t="s">
        <v>581</v>
      </c>
      <c r="U85" s="69">
        <f>IF(T85="within",1,0)</f>
        <v>1</v>
      </c>
      <c r="V85" s="92">
        <v>12</v>
      </c>
      <c r="W85" s="69">
        <f>F85*V85</f>
        <v>252</v>
      </c>
      <c r="X85" s="69">
        <v>3</v>
      </c>
      <c r="Y85" s="87">
        <f>AV84</f>
        <v>30</v>
      </c>
      <c r="Z85" s="92" t="s">
        <v>79</v>
      </c>
      <c r="AA85" s="69">
        <f>60*60*24</f>
        <v>86400</v>
      </c>
      <c r="AB85" s="69" t="str">
        <f>IF(AA85&lt;60,"1",IF(AA85&lt;=43200,"2",IF(AA85&lt;=777600,"3","4")))</f>
        <v>3</v>
      </c>
      <c r="AC85" s="72">
        <f>AVERAGE(AV84:DA84)</f>
        <v>29410</v>
      </c>
      <c r="AD85" s="69" t="str">
        <f>IF(AC85&lt;60,"1",IF(AC85&lt;=43200,"2",IF(AC85&lt;=777600,"3","4")))</f>
        <v>2</v>
      </c>
      <c r="AE85" s="87">
        <f>AA85-Y85</f>
        <v>86370</v>
      </c>
      <c r="AF85" s="88">
        <f>AV85</f>
        <v>1</v>
      </c>
      <c r="AG85" s="72">
        <f>((AW85-AV85)+(AX85-AW85))/2</f>
        <v>-9.5521220301730825E-2</v>
      </c>
      <c r="AH85" s="4"/>
      <c r="AI85" s="72">
        <f>RSQ(AV85:AX85,AV84:AX84)</f>
        <v>0.71467056201420331</v>
      </c>
      <c r="AJ85" s="110">
        <f>SLOPE(AV85:AX85,AV84:AX84)</f>
        <v>-1.6386294600939364E-6</v>
      </c>
      <c r="AK85" s="72">
        <f>INTERCEPT(AV85:AX85,AV84:AX84)</f>
        <v>0.94947707635532819</v>
      </c>
      <c r="AL85" s="72">
        <f>INDEX(LINEST(LN(AV85:AX85),LN(AV84:AX84),TRUE,TRUE),3,1)</f>
        <v>0.9998727468771702</v>
      </c>
      <c r="AM85" s="72">
        <f>INDEX(LINEST(LN(AV85:AX85),LN(AV84:AX84)),1)</f>
        <v>-2.6620588926005297E-2</v>
      </c>
      <c r="AN85" s="72">
        <f>EXP(INDEX(LINEST(LN(AV85:AX85),LN(AV84:AX84)),1,2))</f>
        <v>1.0940327699252308</v>
      </c>
      <c r="AO85" s="89">
        <f>INDEX(LINEST((AV85:AX85),LN(AV84:AX84),TRUE,TRUE),3,1)</f>
        <v>0.99826419502537078</v>
      </c>
      <c r="AP85" s="89">
        <f>INDEX(LINEST((AV85:AX85),LN(AV84:AX84)),1)</f>
        <v>-2.3999783852446638E-2</v>
      </c>
      <c r="AQ85" s="90">
        <f>INDEX(LINEST(LN(AV85:AX85),SQRT(AV84:AX84),TRUE,TRUE),3,1)</f>
        <v>0.82387691566252996</v>
      </c>
      <c r="AR85" s="117">
        <f>INDEX(LINEST(LN(AV85:AX85),SQRT((AV84:AX84))),1)</f>
        <v>-6.1320767613276528E-4</v>
      </c>
      <c r="AS85" s="91">
        <f>INDEX(LINEST(1/(AV85:AX85),1/(SQRT(AV84:AX84)),TRUE,TRUE),3,1)</f>
        <v>0.8309206121318613</v>
      </c>
      <c r="AT85" s="91">
        <f>INDEX(LINEST(1/(AV85:AX85),1/SQRT(AV84:AX84)),1)</f>
        <v>-1.0967281877377142</v>
      </c>
      <c r="AU85" s="3"/>
      <c r="AV85" s="73">
        <v>1</v>
      </c>
      <c r="AW85" s="73">
        <v>0.89489739240535826</v>
      </c>
      <c r="AX85" s="73">
        <v>0.80895755939653835</v>
      </c>
      <c r="AY85" s="53"/>
      <c r="AZ85" s="53"/>
      <c r="BA85" s="53"/>
      <c r="BB85" s="53"/>
      <c r="BC85" s="53"/>
      <c r="BD85" s="53"/>
      <c r="BE85" s="53"/>
      <c r="BF85" s="53"/>
      <c r="BG85" s="53"/>
      <c r="BH85" s="53"/>
      <c r="BI85" s="53"/>
      <c r="BJ85" s="53"/>
      <c r="BK85" s="53"/>
      <c r="BL85" s="53"/>
      <c r="BM85" s="53"/>
      <c r="BN85" s="53"/>
      <c r="BO85" s="53"/>
      <c r="BP85" s="53"/>
      <c r="BQ85" s="53"/>
      <c r="BR85" s="53"/>
      <c r="BS85" s="53"/>
      <c r="BT85" s="53"/>
      <c r="BU85" s="53"/>
      <c r="BV85" s="53"/>
      <c r="BW85" s="53"/>
      <c r="BX85" s="53"/>
      <c r="BY85" s="53"/>
      <c r="BZ85" s="53"/>
      <c r="CA85" s="53"/>
      <c r="CB85" s="53"/>
      <c r="CC85" s="53"/>
      <c r="CD85" s="53"/>
      <c r="CE85" s="53"/>
      <c r="CF85" s="53"/>
      <c r="CG85" s="53"/>
      <c r="CH85" s="53"/>
      <c r="CI85" s="53"/>
      <c r="CJ85" s="53"/>
      <c r="CK85" s="53"/>
      <c r="CL85" s="53"/>
      <c r="CM85" s="53"/>
      <c r="CN85" s="53"/>
      <c r="CO85" s="53"/>
      <c r="CP85" s="53"/>
      <c r="CQ85" s="53"/>
      <c r="CR85" s="1"/>
      <c r="CS85" s="1"/>
      <c r="CT85" s="1"/>
      <c r="CU85" s="1"/>
    </row>
    <row r="86" spans="1:99" s="13" customFormat="1" ht="12" customHeight="1" x14ac:dyDescent="0.2">
      <c r="A86" s="68">
        <v>43979</v>
      </c>
      <c r="B86" s="70"/>
      <c r="C86" s="70"/>
      <c r="D86" s="69"/>
      <c r="E86" s="87"/>
      <c r="F86" s="69"/>
      <c r="G86" s="69"/>
      <c r="H86" s="69"/>
      <c r="I86" s="69"/>
      <c r="J86" s="69"/>
      <c r="K86" s="69"/>
      <c r="L86" s="69"/>
      <c r="M86" s="69"/>
      <c r="N86" s="69"/>
      <c r="O86" s="69"/>
      <c r="P86" s="69"/>
      <c r="Q86" s="69"/>
      <c r="R86" s="69"/>
      <c r="S86" s="99"/>
      <c r="T86" s="69"/>
      <c r="U86" s="69"/>
      <c r="V86" s="69"/>
      <c r="W86" s="69"/>
      <c r="X86" s="69"/>
      <c r="Y86" s="87"/>
      <c r="Z86" s="69"/>
      <c r="AA86" s="69"/>
      <c r="AB86" s="69"/>
      <c r="AC86" s="72"/>
      <c r="AD86" s="69"/>
      <c r="AE86" s="87"/>
      <c r="AF86" s="88"/>
      <c r="AG86" s="72"/>
      <c r="AH86" s="4"/>
      <c r="AI86" s="72"/>
      <c r="AJ86" s="110"/>
      <c r="AK86" s="72"/>
      <c r="AL86" s="72"/>
      <c r="AM86" s="72"/>
      <c r="AN86" s="72"/>
      <c r="AO86" s="89"/>
      <c r="AP86" s="89"/>
      <c r="AQ86" s="90"/>
      <c r="AR86" s="117"/>
      <c r="AS86" s="91"/>
      <c r="AT86" s="91"/>
      <c r="AU86" s="3"/>
      <c r="AV86" s="71">
        <f>60*60*2</f>
        <v>7200</v>
      </c>
      <c r="AW86" s="71">
        <f>60*60*18</f>
        <v>64800</v>
      </c>
      <c r="AX86" s="71">
        <f>60*60*20</f>
        <v>72000</v>
      </c>
      <c r="AY86" s="71">
        <f>60*60*24*3</f>
        <v>259200</v>
      </c>
      <c r="AZ86" s="71">
        <f>60*60*24*4</f>
        <v>345600</v>
      </c>
      <c r="BA86" s="71">
        <f>60*60*24*7</f>
        <v>604800</v>
      </c>
      <c r="BB86" s="53"/>
      <c r="BC86" s="53"/>
      <c r="BD86" s="53"/>
      <c r="BE86" s="53"/>
      <c r="BF86" s="53"/>
      <c r="BG86" s="53"/>
      <c r="BH86" s="53"/>
      <c r="BI86" s="53"/>
      <c r="BJ86" s="53"/>
      <c r="BK86" s="53"/>
      <c r="BL86" s="53"/>
      <c r="BM86" s="53"/>
      <c r="BN86" s="53"/>
      <c r="BO86" s="53"/>
      <c r="BP86" s="53"/>
      <c r="BQ86" s="53"/>
      <c r="BR86" s="53"/>
      <c r="BS86" s="53"/>
      <c r="BT86" s="53"/>
      <c r="BU86" s="53"/>
      <c r="BV86" s="53"/>
      <c r="BW86" s="53"/>
      <c r="BX86" s="53"/>
      <c r="BY86" s="53"/>
      <c r="BZ86" s="53"/>
      <c r="CA86" s="53"/>
      <c r="CB86" s="53"/>
      <c r="CC86" s="53"/>
      <c r="CD86" s="53"/>
      <c r="CE86" s="53"/>
      <c r="CF86" s="53"/>
      <c r="CG86" s="53"/>
      <c r="CH86" s="53"/>
      <c r="CI86" s="53"/>
      <c r="CJ86" s="53"/>
      <c r="CK86" s="53"/>
      <c r="CL86" s="53"/>
      <c r="CM86" s="53"/>
      <c r="CN86" s="53"/>
      <c r="CO86" s="53"/>
      <c r="CP86" s="53"/>
      <c r="CQ86" s="53"/>
      <c r="CR86" s="1"/>
      <c r="CS86" s="1"/>
      <c r="CT86" s="1"/>
      <c r="CU86" s="1"/>
    </row>
    <row r="87" spans="1:99" s="13" customFormat="1" ht="12" customHeight="1" x14ac:dyDescent="0.2">
      <c r="A87" s="68">
        <v>43979</v>
      </c>
      <c r="B87" s="70" t="s">
        <v>1001</v>
      </c>
      <c r="C87" s="70" t="s">
        <v>408</v>
      </c>
      <c r="D87" s="69">
        <v>1997</v>
      </c>
      <c r="E87" s="87">
        <v>1</v>
      </c>
      <c r="F87" s="69">
        <v>1</v>
      </c>
      <c r="G87" s="69">
        <v>1</v>
      </c>
      <c r="H87" s="69" t="s">
        <v>43</v>
      </c>
      <c r="I87" s="69" t="s">
        <v>330</v>
      </c>
      <c r="J87" s="69" t="s">
        <v>16</v>
      </c>
      <c r="K87" s="69">
        <f>IF(J87="syllables",1,IF(J87="trigrams",2,IF(J87="strings",3,IF(J87="visual array",4,IF(J87="characters",5,IF(J87="letters",6,IF(J87="free forms",7,IF(J87="odors",8,IF(J87="words",9,IF(J87="pictures",10,IF(J87="object pictures",11,IF(J87="faces",12,IF(J87="names",13,IF(J87="idioms",14,IF(J87="grades",15,IF(J87="syllable-digit pairs",16,IF(J87="trigram-word pairs",17,IF(J87="word-digit pairs",18,IF(J87="English-Swahili pairs",19,IF(J87="spatial position",20,IF(J87="word pairs",21,IF(J87="word triads",22,IF(J87="generated words",23,IF(J87="word definition pairs",24,IF(J87="math problems",25,IF(J87="famous faces",26,IF(J87="famous names",27,IF(J87="famous voices",28,IF(J87="television programs",29,IF(J87="race horses",30,IF(J87="new vocabulary",31,IF(J87="sentences",32,IF(J87="concepts",33,IF(J87="ad slides",34,IF(J87="scenes",35,IF(J87="famous scenes",36,IF(J87="poems",37,IF(J87="walk",38,IF(J87="faces and events",39,IF(J87="events and names",40,IF(J87="flashbulb",41,IF(J87="stories",42,IF(J87="course material",43,IF(J87="autobiographical",44,IF(J87="novels",45,IF(J87="public events",46,"99"))))))))))))))))))))))))))))))))))))))))))))))</f>
        <v>9</v>
      </c>
      <c r="L87" s="69">
        <f>IF(J87="syllables",1,IF(J87="trigrams",1,IF(J87="strings",1,IF(J87="visual array",1,IF(J87="characters",1,IF(J87="letters",1,IF(J87="free forms",1,IF(J87="odors",2,IF(J87="words",2,IF(J87="pictures",2,IF(J87="object pictures",2,IF(J87="faces",2,IF(J87="names",2,IF(J87="idioms","2",IF(J87="grades",2,IF(J87="syllable-digit pairs",3,IF(J87="trigram-word pairs",3,IF(J87="word-digit pairs",3,IF(J87="English-Swahili pairs",3,IF(J87="spatial position",3,IF(J87="word pairs",4,IF(J87="word triads",4,IF(J87="generated words",4,IF(J87="word definition pairs",4,IF(J87="math problems",4,IF(J87="famous faces",4,IF(J87="famous names",4,IF(J87="famous voices",4,IF(J87="television programs",4,IF(J87="race horses",4,IF(J87="new vocabulary",4,IF(J87="sentences",5,IF(J87="concepts",5,IF(J87="ad slides",5,IF(J87="scenes",5,IF(J87="famous scenes",5,IF(J87="poems",6,IF(J87="walk",6,IF(J87="faces and events",6,IF(J87="events and names",6,IF(J87="flashbulb",7,IF(J87="stories",7,IF(J87="course material",7,IF(J87="autobiographical",7,IF(J87="novels",7,IF(J87="public events",7,"99"))))))))))))))))))))))))))))))))))))))))))))))</f>
        <v>2</v>
      </c>
      <c r="M87" s="69">
        <v>1</v>
      </c>
      <c r="N87" s="69">
        <v>2</v>
      </c>
      <c r="O87" s="69">
        <v>0</v>
      </c>
      <c r="P87" s="69"/>
      <c r="Q87" s="69" t="s">
        <v>174</v>
      </c>
      <c r="R87" s="69">
        <f>IF(Q87="Free Recall",1,IF(Q87="Cued Recall",2,IF(Q87="Recognition",3,IF(Q87="Multiple Choice",4,IF(Q87="Savings",5,IF(Q87="Stem Completion",6,IF(Q87="Fragment Completion",7,IF(Q87="anagram solution",8,IF(Q87="Matching",9,IF(Q87="Problem Solving",10,"99"))))))))))</f>
        <v>1</v>
      </c>
      <c r="S87" s="99" t="s">
        <v>15</v>
      </c>
      <c r="T87" s="69" t="s">
        <v>581</v>
      </c>
      <c r="U87" s="69">
        <f>IF(T87="within",1,0)</f>
        <v>1</v>
      </c>
      <c r="V87" s="69">
        <v>60</v>
      </c>
      <c r="W87" s="69">
        <f>F87*V87</f>
        <v>60</v>
      </c>
      <c r="X87" s="69">
        <v>6</v>
      </c>
      <c r="Y87" s="87">
        <f>AV86</f>
        <v>7200</v>
      </c>
      <c r="Z87" s="69" t="s">
        <v>150</v>
      </c>
      <c r="AA87" s="69">
        <f>60*60*24*7</f>
        <v>604800</v>
      </c>
      <c r="AB87" s="69" t="str">
        <f>IF(AA87&lt;60,"1",IF(AA87&lt;=43200,"2",IF(AA87&lt;=777600,"3","4")))</f>
        <v>3</v>
      </c>
      <c r="AC87" s="72">
        <f>AVERAGE(AV86:DA86)</f>
        <v>225600</v>
      </c>
      <c r="AD87" s="69" t="str">
        <f>IF(AC87&lt;60,"1",IF(AC87&lt;=43200,"2",IF(AC87&lt;=777600,"3","4")))</f>
        <v>3</v>
      </c>
      <c r="AE87" s="87">
        <f>AA87-Y87</f>
        <v>597600</v>
      </c>
      <c r="AF87" s="88">
        <f>AV87</f>
        <v>1</v>
      </c>
      <c r="AG87" s="72">
        <f>((AW87-AV87)+(AX87-AW87)+(AY87-AX87)+(AZ87-AY87)+(BA87-AZ87))/5</f>
        <v>-3.9999999999999994E-2</v>
      </c>
      <c r="AH87" s="4"/>
      <c r="AI87" s="72">
        <f>RSQ(AV87:BA87,AV86:BA86)</f>
        <v>0.85956840626022635</v>
      </c>
      <c r="AJ87" s="110">
        <f>SLOPE(AV87:BA87,AV86:BA86)</f>
        <v>-3.4249651888784069E-7</v>
      </c>
      <c r="AK87" s="72">
        <f>INTERCEPT(AV87:BA87,AV86:BA86)</f>
        <v>1.0272672146610968</v>
      </c>
      <c r="AL87" s="72">
        <f>INDEX(LINEST(LN(AV87:BA87),LN(AV86:BA86),TRUE,TRUE),3,1)</f>
        <v>0.45270363990479262</v>
      </c>
      <c r="AM87" s="72">
        <f>INDEX(LINEST(LN(AV87:BA87),LN(AV86:BA86)),1)</f>
        <v>-3.8890409761290982E-2</v>
      </c>
      <c r="AN87" s="72">
        <f>EXP(INDEX(LINEST(LN(AV87:BA87),LN(AV86:BA86)),1,2))</f>
        <v>1.4871671195565173</v>
      </c>
      <c r="AO87" s="89">
        <f>INDEX(LINEST((AV87:BA87),LN(AV86:BA86),TRUE,TRUE),3,1)</f>
        <v>0.4585711067028328</v>
      </c>
      <c r="AP87" s="89">
        <f>INDEX(LINEST((AV87:BA87),LN(AV86:BA86)),1)</f>
        <v>-3.5351141342646497E-2</v>
      </c>
      <c r="AQ87" s="90">
        <f>INDEX(LINEST(LN(AV87:BA87),SQRT(AV86:BA86),TRUE,TRUE),3,1)</f>
        <v>0.70748492466487312</v>
      </c>
      <c r="AR87" s="117">
        <f>INDEX(LINEST(LN(AV87:BA87),SQRT((AV86:BA86))),1)</f>
        <v>-3.0490657167694409E-4</v>
      </c>
      <c r="AS87" s="91">
        <f>INDEX(LINEST(1/(AV87:BA87),1/(SQRT(AV86:BA86)),TRUE,TRUE),3,1)</f>
        <v>0.22286410191249745</v>
      </c>
      <c r="AT87" s="91">
        <f>INDEX(LINEST(1/(AV87:BA87),1/SQRT(AV86:BA86)),1)</f>
        <v>-12.361814381445866</v>
      </c>
      <c r="AU87" s="3"/>
      <c r="AV87" s="73">
        <v>1</v>
      </c>
      <c r="AW87" s="73">
        <v>1</v>
      </c>
      <c r="AX87" s="73">
        <v>1</v>
      </c>
      <c r="AY87" s="73">
        <v>1</v>
      </c>
      <c r="AZ87" s="73">
        <v>0.9</v>
      </c>
      <c r="BA87" s="73">
        <v>0.8</v>
      </c>
      <c r="BB87" s="53"/>
      <c r="BC87" s="53"/>
      <c r="BD87" s="53"/>
      <c r="BE87" s="53"/>
      <c r="BF87" s="53"/>
      <c r="BG87" s="53"/>
      <c r="BH87" s="53"/>
      <c r="BI87" s="53"/>
      <c r="BJ87" s="53"/>
      <c r="BK87" s="53"/>
      <c r="BL87" s="53"/>
      <c r="BM87" s="53"/>
      <c r="BN87" s="53"/>
      <c r="BO87" s="53"/>
      <c r="BP87" s="53"/>
      <c r="BQ87" s="53"/>
      <c r="BR87" s="53"/>
      <c r="BS87" s="53"/>
      <c r="BT87" s="53"/>
      <c r="BU87" s="53"/>
      <c r="BV87" s="53"/>
      <c r="BW87" s="53"/>
      <c r="BX87" s="53"/>
      <c r="BY87" s="53"/>
      <c r="BZ87" s="53"/>
      <c r="CA87" s="53"/>
      <c r="CB87" s="53"/>
      <c r="CC87" s="53"/>
      <c r="CD87" s="53"/>
      <c r="CE87" s="53"/>
      <c r="CF87" s="53"/>
      <c r="CG87" s="53"/>
      <c r="CH87" s="53"/>
      <c r="CI87" s="53"/>
      <c r="CJ87" s="53"/>
      <c r="CK87" s="53"/>
      <c r="CL87" s="53"/>
      <c r="CM87" s="53"/>
      <c r="CN87" s="53"/>
      <c r="CO87" s="53"/>
      <c r="CP87" s="53"/>
      <c r="CQ87" s="53"/>
      <c r="CR87" s="1"/>
      <c r="CS87" s="1"/>
      <c r="CT87" s="1"/>
      <c r="CU87" s="1"/>
    </row>
    <row r="88" spans="1:99" s="13" customFormat="1" ht="12" customHeight="1" x14ac:dyDescent="0.2">
      <c r="A88" s="68">
        <v>43509</v>
      </c>
      <c r="B88" s="70"/>
      <c r="C88" s="70"/>
      <c r="D88" s="69"/>
      <c r="E88" s="87"/>
      <c r="F88" s="69"/>
      <c r="G88" s="69"/>
      <c r="H88" s="69"/>
      <c r="I88" s="69"/>
      <c r="J88" s="69"/>
      <c r="K88" s="107"/>
      <c r="L88" s="107"/>
      <c r="M88" s="69"/>
      <c r="N88" s="69"/>
      <c r="O88" s="69"/>
      <c r="P88" s="69"/>
      <c r="Q88" s="69"/>
      <c r="R88" s="69"/>
      <c r="S88" s="69"/>
      <c r="T88" s="69"/>
      <c r="U88" s="60"/>
      <c r="V88" s="69"/>
      <c r="W88" s="69"/>
      <c r="X88" s="69"/>
      <c r="Y88" s="87"/>
      <c r="Z88" s="69"/>
      <c r="AA88" s="69"/>
      <c r="AB88" s="69"/>
      <c r="AC88" s="69"/>
      <c r="AD88" s="69"/>
      <c r="AE88" s="69"/>
      <c r="AF88" s="88"/>
      <c r="AG88" s="72"/>
      <c r="AH88" s="4"/>
      <c r="AI88" s="72"/>
      <c r="AJ88" s="110"/>
      <c r="AK88" s="72"/>
      <c r="AL88" s="72"/>
      <c r="AM88" s="72"/>
      <c r="AN88" s="72"/>
      <c r="AO88" s="72"/>
      <c r="AP88" s="72"/>
      <c r="AQ88" s="72"/>
      <c r="AR88" s="110"/>
      <c r="AS88" s="72"/>
      <c r="AT88" s="72"/>
      <c r="AU88" s="4"/>
      <c r="AV88" s="71">
        <f>5*60</f>
        <v>300</v>
      </c>
      <c r="AW88" s="71">
        <f>24*3600*2</f>
        <v>172800</v>
      </c>
      <c r="AX88" s="71">
        <f>24*3600*7</f>
        <v>604800</v>
      </c>
      <c r="AY88" s="53"/>
      <c r="AZ88" s="53"/>
      <c r="BA88" s="53"/>
      <c r="BB88" s="53"/>
      <c r="BC88" s="53"/>
      <c r="BD88" s="53"/>
      <c r="BE88" s="53"/>
      <c r="BF88" s="53"/>
      <c r="BG88" s="53"/>
      <c r="BH88" s="53"/>
      <c r="BI88" s="53"/>
      <c r="BJ88" s="53"/>
      <c r="BK88" s="53"/>
      <c r="BL88" s="53"/>
      <c r="BM88" s="53"/>
      <c r="BN88" s="53"/>
      <c r="BO88" s="53"/>
      <c r="BP88" s="53"/>
      <c r="BQ88" s="53"/>
      <c r="BR88" s="53"/>
      <c r="BS88" s="53"/>
      <c r="BT88" s="53"/>
      <c r="BU88" s="53"/>
      <c r="BV88" s="53"/>
      <c r="BW88" s="53"/>
      <c r="BX88" s="53"/>
      <c r="BY88" s="53"/>
      <c r="BZ88" s="53"/>
      <c r="CA88" s="53"/>
      <c r="CB88" s="53"/>
      <c r="CC88" s="53"/>
      <c r="CD88" s="53"/>
      <c r="CE88" s="53"/>
      <c r="CF88" s="53"/>
      <c r="CG88" s="53"/>
      <c r="CH88" s="53"/>
      <c r="CI88" s="53"/>
      <c r="CJ88" s="53"/>
      <c r="CK88" s="53"/>
      <c r="CL88" s="53"/>
      <c r="CM88" s="53"/>
      <c r="CN88" s="53"/>
      <c r="CO88" s="53"/>
      <c r="CP88" s="53"/>
      <c r="CQ88" s="53"/>
      <c r="CR88" s="1"/>
      <c r="CS88" s="1"/>
      <c r="CT88" s="1"/>
      <c r="CU88" s="1"/>
    </row>
    <row r="89" spans="1:99" s="13" customFormat="1" ht="12" customHeight="1" x14ac:dyDescent="0.2">
      <c r="A89" s="68">
        <v>43509</v>
      </c>
      <c r="B89" s="70" t="s">
        <v>111</v>
      </c>
      <c r="C89" s="70" t="s">
        <v>95</v>
      </c>
      <c r="D89" s="69">
        <v>2006</v>
      </c>
      <c r="E89" s="87">
        <v>1</v>
      </c>
      <c r="F89" s="69">
        <v>120</v>
      </c>
      <c r="G89" s="69">
        <v>40</v>
      </c>
      <c r="H89" s="69" t="s">
        <v>50</v>
      </c>
      <c r="I89" s="69" t="s">
        <v>784</v>
      </c>
      <c r="J89" s="69" t="s">
        <v>677</v>
      </c>
      <c r="K89" s="69">
        <f>IF(J89="syllables",1,IF(J89="trigrams",2,IF(J89="strings",3,IF(J89="visual array",4,IF(J89="characters",5,IF(J89="letters",6,IF(J89="free forms",7,IF(J89="odors",8,IF(J89="words",9,IF(J89="pictures",10,IF(J89="object pictures",11,IF(J89="faces",12,IF(J89="names",13,IF(J89="idioms",14,IF(J89="grades",15,IF(J89="syllable-digit pairs",16,IF(J89="trigram-word pairs",17,IF(J89="word-digit pairs",18,IF(J89="English-Swahili pairs",19,IF(J89="spatial position",20,IF(J89="word pairs",21,IF(J89="word triads",22,IF(J89="generated words",23,IF(J89="word definition pairs",24,IF(J89="math problems",25,IF(J89="famous faces",26,IF(J89="famous names",27,IF(J89="famous voices",28,IF(J89="television programs",29,IF(J89="race horses",30,IF(J89="new vocabulary",31,IF(J89="sentences",32,IF(J89="concepts",33,IF(J89="ad slides",34,IF(J89="scenes",35,IF(J89="famous scenes",36,IF(J89="poems",37,IF(J89="walk",38,IF(J89="faces and events",39,IF(J89="events and names",40,IF(J89="flashbulb",41,IF(J89="stories",42,IF(J89="course material",43,IF(J89="autobiographical",44,IF(J89="novels",45,IF(J89="public events",46,"99"))))))))))))))))))))))))))))))))))))))))))))))</f>
        <v>42</v>
      </c>
      <c r="L89" s="69">
        <f>IF(J89="syllables",1,IF(J89="trigrams",1,IF(J89="strings",1,IF(J89="visual array",1,IF(J89="characters",1,IF(J89="letters",1,IF(J89="free forms",1,IF(J89="odors",2,IF(J89="words",2,IF(J89="pictures",2,IF(J89="object pictures",2,IF(J89="faces",2,IF(J89="names",2,IF(J89="idioms","2",IF(J89="grades",2,IF(J89="syllable-digit pairs",3,IF(J89="trigram-word pairs",3,IF(J89="word-digit pairs",3,IF(J89="English-Swahili pairs",3,IF(J89="spatial position",3,IF(J89="word pairs",4,IF(J89="word triads",4,IF(J89="generated words",4,IF(J89="word definition pairs",4,IF(J89="math problems",4,IF(J89="famous faces",4,IF(J89="famous names",4,IF(J89="famous voices",4,IF(J89="television programs",4,IF(J89="race horses",4,IF(J89="new vocabulary",4,IF(J89="sentences",5,IF(J89="concepts",5,IF(J89="ad slides",5,IF(J89="scenes",5,IF(J89="famous scenes",5,IF(J89="poems",6,IF(J89="walk",6,IF(J89="faces and events",6,IF(J89="events and names",6,IF(J89="flashbulb",7,IF(J89="stories",7,IF(J89="course material",7,IF(J89="autobiographical",7,IF(J89="novels",7,IF(J89="public events",7,"99"))))))))))))))))))))))))))))))))))))))))))))))</f>
        <v>7</v>
      </c>
      <c r="M89" s="69">
        <v>1</v>
      </c>
      <c r="N89" s="69">
        <v>4</v>
      </c>
      <c r="O89" s="69">
        <v>1</v>
      </c>
      <c r="P89" s="69" t="s">
        <v>112</v>
      </c>
      <c r="Q89" s="69" t="s">
        <v>174</v>
      </c>
      <c r="R89" s="69">
        <f>IF(Q89="Free Recall",1,IF(Q89="Cued Recall",2,IF(Q89="Recognition",3,IF(Q89="Multiple Choice",4,IF(Q89="Savings",5,IF(Q89="Stem Completion",6,IF(Q89="Fragment Completion",7,IF(Q89="anagram solution",8,IF(Q89="Matching",9,IF(Q89="Problem Solving",10,"99"))))))))))</f>
        <v>1</v>
      </c>
      <c r="S89" s="69" t="s">
        <v>49</v>
      </c>
      <c r="T89" s="69" t="s">
        <v>261</v>
      </c>
      <c r="U89" s="60">
        <f>IF(T89="within",1,0)</f>
        <v>0</v>
      </c>
      <c r="V89" s="69">
        <v>30</v>
      </c>
      <c r="W89" s="69">
        <f>F89*V89</f>
        <v>3600</v>
      </c>
      <c r="X89" s="69">
        <v>3</v>
      </c>
      <c r="Y89" s="87">
        <f>AV88</f>
        <v>300</v>
      </c>
      <c r="Z89" s="69" t="s">
        <v>97</v>
      </c>
      <c r="AA89" s="69">
        <v>604800</v>
      </c>
      <c r="AB89" s="69" t="str">
        <f>IF(AA89&lt;60,"1",IF(AA89&lt;=43200,"2",IF(AA89&lt;=777600,"3","4")))</f>
        <v>3</v>
      </c>
      <c r="AC89" s="72">
        <f>AVERAGE(AV88:DA88)</f>
        <v>259300</v>
      </c>
      <c r="AD89" s="69" t="str">
        <f>IF(AC89&lt;60,"1",IF(AC89&lt;=43200,"2",IF(AC89&lt;=777600,"3","4")))</f>
        <v>3</v>
      </c>
      <c r="AE89" s="87">
        <f>AA89-Y89</f>
        <v>604500</v>
      </c>
      <c r="AF89" s="88">
        <f>AV89</f>
        <v>0.81</v>
      </c>
      <c r="AG89" s="72">
        <f>((AW89-AV89)+(AX89-AW89))/2</f>
        <v>-0.19800000000000004</v>
      </c>
      <c r="AH89" s="4"/>
      <c r="AI89" s="72">
        <f>RSQ(AV89:AX89,AV88:AX88)</f>
        <v>0.7954131090520179</v>
      </c>
      <c r="AJ89" s="110">
        <f>SLOPE(AV89:AX89,AV88:AX88)</f>
        <v>-5.8193916987008451E-7</v>
      </c>
      <c r="AK89" s="72">
        <f>INTERCEPT(AV89:AX89,AV88:AX88)</f>
        <v>0.73656349341397953</v>
      </c>
      <c r="AL89" s="72">
        <f>INDEX(LINEST(LN(AV89:AX89),LN(AV88:AX88),TRUE,TRUE),3,1)</f>
        <v>0.94902650403308175</v>
      </c>
      <c r="AM89" s="72">
        <f>INDEX(LINEST(LN(AV89:AX89),LN(AV88:AX88)),1)</f>
        <v>-8.0944359945756023E-2</v>
      </c>
      <c r="AN89" s="72">
        <f>EXP(INDEX(LINEST(LN(AV89:AX89),LN(AV88:AX88)),1,2))</f>
        <v>1.3028268031385142</v>
      </c>
      <c r="AO89" s="89">
        <f>INDEX(LINEST((AV89:AX89),LN(AV88:AX88),TRUE,TRUE),3,1)</f>
        <v>0.97967699994881496</v>
      </c>
      <c r="AP89" s="89">
        <f>INDEX(LINEST((AV89:AX89),LN(AV88:AX88)),1)</f>
        <v>-4.9295162358565667E-2</v>
      </c>
      <c r="AQ89" s="90">
        <f>INDEX(LINEST(LN(AV89:AX89),SQRT(AV88:AX88),TRUE,TRUE),3,1)</f>
        <v>0.98703662550654314</v>
      </c>
      <c r="AR89" s="117">
        <f>INDEX(LINEST(LN(AV89:AX89),SQRT((AV88:AX88))),1)</f>
        <v>-8.8549112438178425E-4</v>
      </c>
      <c r="AS89" s="91">
        <f>INDEX(LINEST(1/(AV89:AX89),1/(SQRT(AV88:AX88)),TRUE,TRUE),3,1)</f>
        <v>0.80587202012328629</v>
      </c>
      <c r="AT89" s="91">
        <f>INDEX(LINEST(1/(AV89:AX89),1/SQRT(AV88:AX88)),1)</f>
        <v>-16.444562117587768</v>
      </c>
      <c r="AU89" s="3"/>
      <c r="AV89" s="73">
        <v>0.81</v>
      </c>
      <c r="AW89" s="73">
        <v>0.53300000000000003</v>
      </c>
      <c r="AX89" s="73">
        <v>0.41399999999999998</v>
      </c>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53"/>
      <c r="CD89" s="53"/>
      <c r="CE89" s="53"/>
      <c r="CF89" s="53"/>
      <c r="CG89" s="53"/>
      <c r="CH89" s="53"/>
      <c r="CI89" s="53"/>
      <c r="CJ89" s="53"/>
      <c r="CK89" s="53"/>
      <c r="CL89" s="53"/>
      <c r="CM89" s="53"/>
      <c r="CN89" s="53"/>
      <c r="CO89" s="53"/>
      <c r="CP89" s="53"/>
      <c r="CQ89" s="53"/>
      <c r="CR89" s="1"/>
      <c r="CS89" s="1"/>
      <c r="CT89" s="1"/>
      <c r="CU89" s="1"/>
    </row>
    <row r="90" spans="1:99" s="13" customFormat="1" ht="12" customHeight="1" x14ac:dyDescent="0.2">
      <c r="A90" s="68">
        <v>43509</v>
      </c>
      <c r="B90" s="70"/>
      <c r="C90" s="70"/>
      <c r="D90" s="69"/>
      <c r="E90" s="87"/>
      <c r="F90" s="69"/>
      <c r="G90" s="69"/>
      <c r="H90" s="69"/>
      <c r="I90" s="69"/>
      <c r="J90" s="69"/>
      <c r="K90" s="107"/>
      <c r="L90" s="107"/>
      <c r="M90" s="69"/>
      <c r="N90" s="69"/>
      <c r="O90" s="69"/>
      <c r="P90" s="69"/>
      <c r="Q90" s="69"/>
      <c r="R90" s="69"/>
      <c r="S90" s="69"/>
      <c r="T90" s="69"/>
      <c r="U90" s="60"/>
      <c r="V90" s="69"/>
      <c r="W90" s="69"/>
      <c r="X90" s="69"/>
      <c r="Y90" s="87"/>
      <c r="Z90" s="69"/>
      <c r="AA90" s="69"/>
      <c r="AB90" s="69"/>
      <c r="AC90" s="69"/>
      <c r="AD90" s="69"/>
      <c r="AE90" s="69"/>
      <c r="AF90" s="88"/>
      <c r="AG90" s="72"/>
      <c r="AH90" s="4"/>
      <c r="AI90" s="72"/>
      <c r="AJ90" s="110"/>
      <c r="AK90" s="72"/>
      <c r="AL90" s="72"/>
      <c r="AM90" s="72"/>
      <c r="AN90" s="72"/>
      <c r="AO90" s="72"/>
      <c r="AP90" s="72"/>
      <c r="AQ90" s="72"/>
      <c r="AR90" s="110"/>
      <c r="AS90" s="72"/>
      <c r="AT90" s="72"/>
      <c r="AU90" s="4"/>
      <c r="AV90" s="71">
        <f>5*60</f>
        <v>300</v>
      </c>
      <c r="AW90" s="71">
        <f>24*3600*2</f>
        <v>172800</v>
      </c>
      <c r="AX90" s="71">
        <f>24*3600*7</f>
        <v>604800</v>
      </c>
      <c r="AY90" s="53"/>
      <c r="AZ90" s="53"/>
      <c r="BA90" s="53"/>
      <c r="BB90" s="53"/>
      <c r="BC90" s="53"/>
      <c r="BD90" s="53"/>
      <c r="BE90" s="53"/>
      <c r="BF90" s="53"/>
      <c r="BG90" s="53"/>
      <c r="BH90" s="53"/>
      <c r="BI90" s="53"/>
      <c r="BJ90" s="53"/>
      <c r="BK90" s="53"/>
      <c r="BL90" s="53"/>
      <c r="BM90" s="53"/>
      <c r="BN90" s="53"/>
      <c r="BO90" s="53"/>
      <c r="BP90" s="53"/>
      <c r="BQ90" s="53"/>
      <c r="BR90" s="53"/>
      <c r="BS90" s="53"/>
      <c r="BT90" s="53"/>
      <c r="BU90" s="53"/>
      <c r="BV90" s="53"/>
      <c r="BW90" s="53"/>
      <c r="BX90" s="53"/>
      <c r="BY90" s="53"/>
      <c r="BZ90" s="53"/>
      <c r="CA90" s="53"/>
      <c r="CB90" s="53"/>
      <c r="CC90" s="53"/>
      <c r="CD90" s="53"/>
      <c r="CE90" s="53"/>
      <c r="CF90" s="53"/>
      <c r="CG90" s="53"/>
      <c r="CH90" s="53"/>
      <c r="CI90" s="53"/>
      <c r="CJ90" s="53"/>
      <c r="CK90" s="53"/>
      <c r="CL90" s="53"/>
      <c r="CM90" s="53"/>
      <c r="CN90" s="53"/>
      <c r="CO90" s="53"/>
      <c r="CP90" s="53"/>
      <c r="CQ90" s="53"/>
      <c r="CR90" s="1"/>
      <c r="CS90" s="1"/>
      <c r="CT90" s="1"/>
      <c r="CU90" s="1"/>
    </row>
    <row r="91" spans="1:99" s="13" customFormat="1" ht="12" customHeight="1" x14ac:dyDescent="0.2">
      <c r="A91" s="68">
        <v>43509</v>
      </c>
      <c r="B91" s="70" t="s">
        <v>111</v>
      </c>
      <c r="C91" s="70" t="s">
        <v>95</v>
      </c>
      <c r="D91" s="69">
        <v>2006</v>
      </c>
      <c r="E91" s="87">
        <v>1</v>
      </c>
      <c r="F91" s="69">
        <v>120</v>
      </c>
      <c r="G91" s="69">
        <v>40</v>
      </c>
      <c r="H91" s="69" t="s">
        <v>50</v>
      </c>
      <c r="I91" s="69" t="s">
        <v>785</v>
      </c>
      <c r="J91" s="69" t="s">
        <v>677</v>
      </c>
      <c r="K91" s="69">
        <f>IF(J91="syllables",1,IF(J91="trigrams",2,IF(J91="strings",3,IF(J91="visual array",4,IF(J91="characters",5,IF(J91="letters",6,IF(J91="free forms",7,IF(J91="odors",8,IF(J91="words",9,IF(J91="pictures",10,IF(J91="object pictures",11,IF(J91="faces",12,IF(J91="names",13,IF(J91="idioms",14,IF(J91="grades",15,IF(J91="syllable-digit pairs",16,IF(J91="trigram-word pairs",17,IF(J91="word-digit pairs",18,IF(J91="English-Swahili pairs",19,IF(J91="spatial position",20,IF(J91="word pairs",21,IF(J91="word triads",22,IF(J91="generated words",23,IF(J91="word definition pairs",24,IF(J91="math problems",25,IF(J91="famous faces",26,IF(J91="famous names",27,IF(J91="famous voices",28,IF(J91="television programs",29,IF(J91="race horses",30,IF(J91="new vocabulary",31,IF(J91="sentences",32,IF(J91="concepts",33,IF(J91="ad slides",34,IF(J91="scenes",35,IF(J91="famous scenes",36,IF(J91="poems",37,IF(J91="walk",38,IF(J91="faces and events",39,IF(J91="events and names",40,IF(J91="flashbulb",41,IF(J91="stories",42,IF(J91="course material",43,IF(J91="autobiographical",44,IF(J91="novels",45,IF(J91="public events",46,"99"))))))))))))))))))))))))))))))))))))))))))))))</f>
        <v>42</v>
      </c>
      <c r="L91" s="69">
        <f>IF(J91="syllables",1,IF(J91="trigrams",1,IF(J91="strings",1,IF(J91="visual array",1,IF(J91="characters",1,IF(J91="letters",1,IF(J91="free forms",1,IF(J91="odors",2,IF(J91="words",2,IF(J91="pictures",2,IF(J91="object pictures",2,IF(J91="faces",2,IF(J91="names",2,IF(J91="idioms","2",IF(J91="grades",2,IF(J91="syllable-digit pairs",3,IF(J91="trigram-word pairs",3,IF(J91="word-digit pairs",3,IF(J91="English-Swahili pairs",3,IF(J91="spatial position",3,IF(J91="word pairs",4,IF(J91="word triads",4,IF(J91="generated words",4,IF(J91="word definition pairs",4,IF(J91="math problems",4,IF(J91="famous faces",4,IF(J91="famous names",4,IF(J91="famous voices",4,IF(J91="television programs",4,IF(J91="race horses",4,IF(J91="new vocabulary",4,IF(J91="sentences",5,IF(J91="concepts",5,IF(J91="ad slides",5,IF(J91="scenes",5,IF(J91="famous scenes",5,IF(J91="poems",6,IF(J91="walk",6,IF(J91="faces and events",6,IF(J91="events and names",6,IF(J91="flashbulb",7,IF(J91="stories",7,IF(J91="course material",7,IF(J91="autobiographical",7,IF(J91="novels",7,IF(J91="public events",7,"99"))))))))))))))))))))))))))))))))))))))))))))))</f>
        <v>7</v>
      </c>
      <c r="M91" s="69">
        <v>1</v>
      </c>
      <c r="N91" s="69">
        <v>4</v>
      </c>
      <c r="O91" s="69">
        <v>1</v>
      </c>
      <c r="P91" s="69" t="s">
        <v>112</v>
      </c>
      <c r="Q91" s="69" t="s">
        <v>174</v>
      </c>
      <c r="R91" s="69">
        <f>IF(Q91="Free Recall",1,IF(Q91="Cued Recall",2,IF(Q91="Recognition",3,IF(Q91="Multiple Choice",4,IF(Q91="Savings",5,IF(Q91="Stem Completion",6,IF(Q91="Fragment Completion",7,IF(Q91="anagram solution",8,IF(Q91="Matching",9,IF(Q91="Problem Solving",10,"99"))))))))))</f>
        <v>1</v>
      </c>
      <c r="S91" s="69" t="s">
        <v>49</v>
      </c>
      <c r="T91" s="69" t="s">
        <v>261</v>
      </c>
      <c r="U91" s="60">
        <f>IF(T91="within",1,0)</f>
        <v>0</v>
      </c>
      <c r="V91" s="69">
        <v>30</v>
      </c>
      <c r="W91" s="69">
        <f>F91*V91</f>
        <v>3600</v>
      </c>
      <c r="X91" s="69">
        <v>3</v>
      </c>
      <c r="Y91" s="87">
        <f>AV90</f>
        <v>300</v>
      </c>
      <c r="Z91" s="69" t="s">
        <v>97</v>
      </c>
      <c r="AA91" s="69">
        <v>604800</v>
      </c>
      <c r="AB91" s="69" t="str">
        <f>IF(AA91&lt;60,"1",IF(AA91&lt;=43200,"2",IF(AA91&lt;=777600,"3","4")))</f>
        <v>3</v>
      </c>
      <c r="AC91" s="72">
        <f>AVERAGE(AV90:DA90)</f>
        <v>259300</v>
      </c>
      <c r="AD91" s="69" t="str">
        <f>IF(AC91&lt;60,"1",IF(AC91&lt;=43200,"2",IF(AC91&lt;=777600,"3","4")))</f>
        <v>3</v>
      </c>
      <c r="AE91" s="87">
        <f>AA91-Y91</f>
        <v>604500</v>
      </c>
      <c r="AF91" s="88">
        <f>AV91</f>
        <v>0.75</v>
      </c>
      <c r="AG91" s="72">
        <f>((AW91-AV91)+(AX91-AW91))/2</f>
        <v>-9.3500000000000028E-2</v>
      </c>
      <c r="AH91" s="4"/>
      <c r="AI91" s="72">
        <f>RSQ(AV91:AX91,AV90:AX90)</f>
        <v>0.98903656043586685</v>
      </c>
      <c r="AJ91" s="110">
        <f>SLOPE(AV91:AX91,AV90:AX90)</f>
        <v>-3.0147963090440805E-7</v>
      </c>
      <c r="AK91" s="72">
        <f>INTERCEPT(AV91:AX91,AV90:AX90)</f>
        <v>0.74217366829351306</v>
      </c>
      <c r="AL91" s="72">
        <f>INDEX(LINEST(LN(AV91:AX91),LN(AV90:AX90),TRUE,TRUE),3,1)</f>
        <v>0.73162104717927712</v>
      </c>
      <c r="AM91" s="72">
        <f>INDEX(LINEST(LN(AV91:AX91),LN(AV90:AX90)),1)</f>
        <v>-3.0531369288992204E-2</v>
      </c>
      <c r="AN91" s="72">
        <f>EXP(INDEX(LINEST(LN(AV91:AX91),LN(AV90:AX90)),1,2))</f>
        <v>0.90468991194207748</v>
      </c>
      <c r="AO91" s="89">
        <f>INDEX(LINEST((AV91:AX91),LN(AV90:AX90),TRUE,TRUE),3,1)</f>
        <v>0.76380632840826712</v>
      </c>
      <c r="AP91" s="89">
        <f>INDEX(LINEST((AV91:AX91),LN(AV90:AX90)),1)</f>
        <v>-2.0222044199964467E-2</v>
      </c>
      <c r="AQ91" s="90">
        <f>INDEX(LINEST(LN(AV91:AX91),SQRT(AV90:AX90),TRUE,TRUE),3,1)</f>
        <v>0.95945960197314695</v>
      </c>
      <c r="AR91" s="117">
        <f>INDEX(LINEST(LN(AV91:AX91),SQRT((AV90:AX90))),1)</f>
        <v>-3.7504785797581002E-4</v>
      </c>
      <c r="AS91" s="91">
        <f>INDEX(LINEST(1/(AV91:AX91),1/(SQRT(AV90:AX90)),TRUE,TRUE),3,1)</f>
        <v>0.56827414926395015</v>
      </c>
      <c r="AT91" s="91">
        <f>INDEX(LINEST(1/(AV91:AX91),1/SQRT(AV90:AX90)),1)</f>
        <v>-5.2892768688816725</v>
      </c>
      <c r="AU91" s="3"/>
      <c r="AV91" s="73">
        <v>0.75</v>
      </c>
      <c r="AW91" s="73">
        <v>0.67900000000000005</v>
      </c>
      <c r="AX91" s="73">
        <v>0.56299999999999994</v>
      </c>
      <c r="AY91" s="53"/>
      <c r="AZ91" s="53"/>
      <c r="BA91" s="53"/>
      <c r="BB91" s="53"/>
      <c r="BC91" s="53"/>
      <c r="BD91" s="53"/>
      <c r="BE91" s="53"/>
      <c r="BF91" s="53"/>
      <c r="BG91" s="53"/>
      <c r="BH91" s="53"/>
      <c r="BI91" s="53"/>
      <c r="BJ91" s="53"/>
      <c r="BK91" s="53"/>
      <c r="BL91" s="53"/>
      <c r="BM91" s="53"/>
      <c r="BN91" s="53"/>
      <c r="BO91" s="53"/>
      <c r="BP91" s="53"/>
      <c r="BQ91" s="53"/>
      <c r="BR91" s="53"/>
      <c r="BS91" s="53"/>
      <c r="BT91" s="53"/>
      <c r="BU91" s="53"/>
      <c r="BV91" s="53"/>
      <c r="BW91" s="53"/>
      <c r="BX91" s="53"/>
      <c r="BY91" s="53"/>
      <c r="BZ91" s="53"/>
      <c r="CA91" s="53"/>
      <c r="CB91" s="53"/>
      <c r="CC91" s="53"/>
      <c r="CD91" s="53"/>
      <c r="CE91" s="53"/>
      <c r="CF91" s="53"/>
      <c r="CG91" s="53"/>
      <c r="CH91" s="53"/>
      <c r="CI91" s="53"/>
      <c r="CJ91" s="53"/>
      <c r="CK91" s="53"/>
      <c r="CL91" s="53"/>
      <c r="CM91" s="53"/>
      <c r="CN91" s="53"/>
      <c r="CO91" s="53"/>
      <c r="CP91" s="53"/>
      <c r="CQ91" s="53"/>
      <c r="CR91" s="1"/>
      <c r="CS91" s="1"/>
      <c r="CT91" s="1"/>
      <c r="CU91" s="1"/>
    </row>
    <row r="92" spans="1:99" s="13" customFormat="1" ht="12" customHeight="1" x14ac:dyDescent="0.2">
      <c r="A92" s="65">
        <v>43509</v>
      </c>
      <c r="B92" s="1"/>
      <c r="C92" s="1"/>
      <c r="D92" s="60"/>
      <c r="E92" s="76"/>
      <c r="F92" s="60"/>
      <c r="G92" s="60"/>
      <c r="H92" s="60"/>
      <c r="I92" s="60"/>
      <c r="J92" s="60"/>
      <c r="K92" s="64"/>
      <c r="L92" s="64"/>
      <c r="M92" s="60"/>
      <c r="N92" s="60"/>
      <c r="O92" s="60"/>
      <c r="P92" s="60"/>
      <c r="Q92" s="60"/>
      <c r="R92" s="60"/>
      <c r="S92" s="60"/>
      <c r="T92" s="60"/>
      <c r="U92" s="60"/>
      <c r="V92" s="60"/>
      <c r="W92" s="60"/>
      <c r="X92" s="60"/>
      <c r="Y92" s="76"/>
      <c r="Z92" s="60"/>
      <c r="AA92" s="60"/>
      <c r="AB92" s="60"/>
      <c r="AC92" s="60"/>
      <c r="AD92" s="60"/>
      <c r="AE92" s="60"/>
      <c r="AF92" s="80"/>
      <c r="AG92" s="56"/>
      <c r="AH92" s="4"/>
      <c r="AI92" s="56"/>
      <c r="AJ92" s="109"/>
      <c r="AK92" s="56"/>
      <c r="AL92" s="56"/>
      <c r="AM92" s="56"/>
      <c r="AN92" s="56"/>
      <c r="AO92" s="56"/>
      <c r="AP92" s="56"/>
      <c r="AQ92" s="82"/>
      <c r="AR92" s="115"/>
      <c r="AS92" s="82"/>
      <c r="AT92" s="82"/>
      <c r="AU92" s="4"/>
      <c r="AV92" s="25">
        <f>238+(6*60)</f>
        <v>598</v>
      </c>
      <c r="AW92" s="25">
        <f>2*3600</f>
        <v>7200</v>
      </c>
      <c r="AX92" s="25">
        <f>24*3600*2</f>
        <v>172800</v>
      </c>
      <c r="AY92" s="53"/>
      <c r="AZ92" s="53" t="s">
        <v>520</v>
      </c>
      <c r="BA92" s="53"/>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53"/>
      <c r="CD92" s="53"/>
      <c r="CE92" s="53"/>
      <c r="CF92" s="53"/>
      <c r="CG92" s="53"/>
      <c r="CH92" s="53"/>
      <c r="CI92" s="53"/>
      <c r="CJ92" s="53"/>
      <c r="CK92" s="53"/>
      <c r="CL92" s="53"/>
      <c r="CM92" s="53"/>
      <c r="CN92" s="53"/>
      <c r="CO92" s="53"/>
      <c r="CP92" s="53"/>
      <c r="CQ92" s="53"/>
      <c r="CR92" s="1"/>
      <c r="CS92" s="1"/>
      <c r="CT92" s="1"/>
      <c r="CU92" s="1"/>
    </row>
    <row r="93" spans="1:99" s="13" customFormat="1" ht="12" customHeight="1" x14ac:dyDescent="0.2">
      <c r="A93" s="65">
        <v>43509</v>
      </c>
      <c r="B93" s="1" t="s">
        <v>124</v>
      </c>
      <c r="C93" s="1" t="s">
        <v>45</v>
      </c>
      <c r="D93" s="60">
        <v>1992</v>
      </c>
      <c r="E93" s="76">
        <v>2</v>
      </c>
      <c r="F93" s="60">
        <v>120</v>
      </c>
      <c r="G93" s="60">
        <v>60</v>
      </c>
      <c r="H93" s="60" t="s">
        <v>30</v>
      </c>
      <c r="I93" s="60" t="s">
        <v>786</v>
      </c>
      <c r="J93" s="60" t="s">
        <v>16</v>
      </c>
      <c r="K93" s="60">
        <f>IF(J93="syllables",1,IF(J93="trigrams",2,IF(J93="strings",3,IF(J93="visual array",4,IF(J93="characters",5,IF(J93="letters",6,IF(J93="free forms",7,IF(J93="odors",8,IF(J93="words",9,IF(J93="pictures",10,IF(J93="object pictures",11,IF(J93="faces",12,IF(J93="names",13,IF(J93="idioms",14,IF(J93="grades",15,IF(J93="syllable-digit pairs",16,IF(J93="trigram-word pairs",17,IF(J93="word-digit pairs",18,IF(J93="English-Swahili pairs",19,IF(J93="spatial position",20,IF(J93="word pairs",21,IF(J93="word triads",22,IF(J93="generated words",23,IF(J93="word definition pairs",24,IF(J93="math problems",25,IF(J93="famous faces",26,IF(J93="famous names",27,IF(J93="famous voices",28,IF(J93="television programs",29,IF(J93="race horses",30,IF(J93="new vocabulary",31,IF(J93="sentences",32,IF(J93="concepts",33,IF(J93="ad slides",34,IF(J93="scenes",35,IF(J93="famous scenes",36,IF(J93="poems",37,IF(J93="walk",38,IF(J93="faces and events",39,IF(J93="events and names",40,IF(J93="flashbulb",41,IF(J93="stories",42,IF(J93="course material",43,IF(J93="autobiographical",44,IF(J93="novels",45,IF(J93="public events",46,"99"))))))))))))))))))))))))))))))))))))))))))))))</f>
        <v>9</v>
      </c>
      <c r="L93" s="60">
        <f>IF(J93="syllables",1,IF(J93="trigrams",1,IF(J93="strings",1,IF(J93="visual array",1,IF(J93="characters",1,IF(J93="letters",1,IF(J93="free forms",1,IF(J93="odors",2,IF(J93="words",2,IF(J93="pictures",2,IF(J93="object pictures",2,IF(J93="faces",2,IF(J93="names",2,IF(J93="idioms","2",IF(J93="grades",2,IF(J93="syllable-digit pairs",3,IF(J93="trigram-word pairs",3,IF(J93="word-digit pairs",3,IF(J93="English-Swahili pairs",3,IF(J93="spatial position",3,IF(J93="word pairs",4,IF(J93="word triads",4,IF(J93="generated words",4,IF(J93="word definition pairs",4,IF(J93="math problems",4,IF(J93="famous faces",4,IF(J93="famous names",4,IF(J93="famous voices",4,IF(J93="television programs",4,IF(J93="race horses",4,IF(J93="new vocabulary",4,IF(J93="sentences",5,IF(J93="concepts",5,IF(J93="ad slides",5,IF(J93="scenes",5,IF(J93="famous scenes",5,IF(J93="poems",6,IF(J93="walk",6,IF(J93="faces and events",6,IF(J93="events and names",6,IF(J93="flashbulb",7,IF(J93="stories",7,IF(J93="course material",7,IF(J93="autobiographical",7,IF(J93="novels",7,IF(J93="public events",7,"99"))))))))))))))))))))))))))))))))))))))))))))))</f>
        <v>2</v>
      </c>
      <c r="M93" s="60">
        <v>1</v>
      </c>
      <c r="N93" s="60">
        <v>2</v>
      </c>
      <c r="O93" s="60">
        <v>1</v>
      </c>
      <c r="P93" s="60" t="s">
        <v>899</v>
      </c>
      <c r="Q93" s="60" t="s">
        <v>125</v>
      </c>
      <c r="R93" s="60">
        <f>IF(Q93="Free Recall",1,IF(Q93="Cued Recall",2,IF(Q93="Recognition",3,IF(Q93="Multiple Choice",4,IF(Q93="Savings",5,IF(Q93="Stem Completion",6,IF(Q93="Fragment Completion",7,IF(Q93="anagram solution",8,IF(Q93="Matching",9,IF(Q93="Problem Solving",10,"99"))))))))))</f>
        <v>7</v>
      </c>
      <c r="S93" s="60" t="s">
        <v>49</v>
      </c>
      <c r="T93" s="60" t="s">
        <v>261</v>
      </c>
      <c r="U93" s="60">
        <f>IF(T93="within",1,0)</f>
        <v>0</v>
      </c>
      <c r="V93" s="60">
        <v>40</v>
      </c>
      <c r="W93" s="60">
        <f>F93*V93</f>
        <v>4800</v>
      </c>
      <c r="X93" s="60">
        <v>3</v>
      </c>
      <c r="Y93" s="76">
        <f>AV92</f>
        <v>598</v>
      </c>
      <c r="Z93" s="60" t="s">
        <v>88</v>
      </c>
      <c r="AA93" s="60">
        <v>172800</v>
      </c>
      <c r="AB93" s="60" t="str">
        <f>IF(AA93&lt;60,"1",IF(AA93&lt;=43200,"2",IF(AA93&lt;=777600,"3","4")))</f>
        <v>3</v>
      </c>
      <c r="AC93" s="56">
        <f>AVERAGE(AV92:DA92)</f>
        <v>60199.333333333336</v>
      </c>
      <c r="AD93" s="60" t="str">
        <f>IF(AC93&lt;60,"1",IF(AC93&lt;=43200,"2",IF(AC93&lt;=777600,"3","4")))</f>
        <v>3</v>
      </c>
      <c r="AE93" s="76">
        <f>AA93-Y93</f>
        <v>172202</v>
      </c>
      <c r="AF93" s="80">
        <f>AV93</f>
        <v>0.52</v>
      </c>
      <c r="AG93" s="56">
        <f>((AW93-AV93)+(AX93-AW93))/2</f>
        <v>-1.0000000000000009E-2</v>
      </c>
      <c r="AH93" s="4"/>
      <c r="AI93" s="56">
        <f>RSQ(AV93:AX93,AV92:AX92)</f>
        <v>0.27985473072116823</v>
      </c>
      <c r="AJ93" s="109">
        <f>SLOPE(AV93:AX93,AV92:AX92)</f>
        <v>-6.2605921729081773E-8</v>
      </c>
      <c r="AK93" s="56">
        <f>INTERCEPT(AV93:AX93,AV92:AX92)</f>
        <v>0.51043550141747629</v>
      </c>
      <c r="AL93" s="56">
        <f>INDEX(LINEST(LN(AV93:AX93),LN(AV92:AX92),TRUE,TRUE),3,1)</f>
        <v>0.68697192945200547</v>
      </c>
      <c r="AM93" s="56">
        <f>INDEX(LINEST(LN(AV93:AX93),LN(AV92:AX92)),1)</f>
        <v>-6.608223809561338E-3</v>
      </c>
      <c r="AN93" s="56">
        <f>EXP(INDEX(LINEST(LN(AV93:AX93),LN(AV92:AX92)),1,2))</f>
        <v>0.53801922879715258</v>
      </c>
      <c r="AO93" s="82">
        <f>INDEX(LINEST((AV93:AX93),LN(AV92:AX92),TRUE,TRUE),3,1)</f>
        <v>0.68697192945200569</v>
      </c>
      <c r="AP93" s="82">
        <f>INDEX(LINEST((AV93:AX93),LN(AV92:AX92)),1)</f>
        <v>-3.3697621885330131E-3</v>
      </c>
      <c r="AQ93" s="83">
        <f>INDEX(LINEST(LN(AV93:AX93),SQRT(AV92:AX92),TRUE,TRUE),3,1)</f>
        <v>0.38316849338523434</v>
      </c>
      <c r="AR93" s="116">
        <f>INDEX(LINEST(LN(AV93:AX93),SQRT((AV92:AX92))),1)</f>
        <v>-6.6549657714019386E-5</v>
      </c>
      <c r="AS93" s="84">
        <f>INDEX(LINEST(1/(AV93:AX93),1/(SQRT(AV92:AX92)),TRUE,TRUE),3,1)</f>
        <v>0.94539181951336415</v>
      </c>
      <c r="AT93" s="84">
        <f>INDEX(LINEST(1/(AV93:AX93),1/SQRT(AV92:AX92)),1)</f>
        <v>-2.1516999416724572</v>
      </c>
      <c r="AU93" s="3"/>
      <c r="AV93" s="53">
        <v>0.52</v>
      </c>
      <c r="AW93" s="53">
        <v>0.5</v>
      </c>
      <c r="AX93" s="53">
        <v>0.5</v>
      </c>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53"/>
      <c r="CD93" s="53"/>
      <c r="CE93" s="53"/>
      <c r="CF93" s="53"/>
      <c r="CG93" s="53"/>
      <c r="CH93" s="53"/>
      <c r="CI93" s="53"/>
      <c r="CJ93" s="53"/>
      <c r="CK93" s="53"/>
      <c r="CL93" s="53"/>
      <c r="CM93" s="53"/>
      <c r="CN93" s="53"/>
      <c r="CO93" s="53"/>
      <c r="CP93" s="53"/>
      <c r="CQ93" s="53"/>
      <c r="CR93" s="1"/>
      <c r="CS93" s="1"/>
      <c r="CT93" s="1"/>
      <c r="CU93" s="1"/>
    </row>
    <row r="94" spans="1:99" s="13" customFormat="1" ht="12" customHeight="1" x14ac:dyDescent="0.2">
      <c r="A94" s="65">
        <v>43509</v>
      </c>
      <c r="B94" s="1"/>
      <c r="C94" s="1"/>
      <c r="D94" s="60"/>
      <c r="E94" s="76"/>
      <c r="F94" s="60"/>
      <c r="G94" s="60"/>
      <c r="H94" s="60"/>
      <c r="I94" s="60"/>
      <c r="J94" s="60"/>
      <c r="K94" s="64"/>
      <c r="L94" s="64"/>
      <c r="M94" s="60"/>
      <c r="N94" s="60"/>
      <c r="O94" s="60"/>
      <c r="P94" s="60"/>
      <c r="Q94" s="60"/>
      <c r="R94" s="60"/>
      <c r="S94" s="60"/>
      <c r="T94" s="60"/>
      <c r="U94" s="60"/>
      <c r="V94" s="60"/>
      <c r="W94" s="60"/>
      <c r="X94" s="60"/>
      <c r="Y94" s="76"/>
      <c r="Z94" s="60"/>
      <c r="AA94" s="60"/>
      <c r="AB94" s="60"/>
      <c r="AC94" s="60"/>
      <c r="AD94" s="60"/>
      <c r="AE94" s="60"/>
      <c r="AF94" s="80"/>
      <c r="AG94" s="56"/>
      <c r="AH94" s="4"/>
      <c r="AI94" s="56"/>
      <c r="AJ94" s="109"/>
      <c r="AK94" s="56"/>
      <c r="AL94" s="56"/>
      <c r="AM94" s="56"/>
      <c r="AN94" s="56"/>
      <c r="AO94" s="56"/>
      <c r="AP94" s="56"/>
      <c r="AQ94" s="82"/>
      <c r="AR94" s="115"/>
      <c r="AS94" s="82"/>
      <c r="AT94" s="82"/>
      <c r="AU94" s="4"/>
      <c r="AV94" s="25">
        <f>238+(6*60)</f>
        <v>598</v>
      </c>
      <c r="AW94" s="25">
        <f>2*3600</f>
        <v>7200</v>
      </c>
      <c r="AX94" s="25">
        <f>24*3600*2</f>
        <v>172800</v>
      </c>
      <c r="AY94" s="53"/>
      <c r="AZ94" s="53"/>
      <c r="BA94" s="53"/>
      <c r="BB94" s="53"/>
      <c r="BC94" s="53"/>
      <c r="BD94" s="53"/>
      <c r="BE94" s="53"/>
      <c r="BF94" s="53"/>
      <c r="BG94" s="53"/>
      <c r="BH94" s="53"/>
      <c r="BI94" s="53"/>
      <c r="BJ94" s="53"/>
      <c r="BK94" s="53"/>
      <c r="BL94" s="53"/>
      <c r="BM94" s="53"/>
      <c r="BN94" s="53"/>
      <c r="BO94" s="53"/>
      <c r="BP94" s="53"/>
      <c r="BQ94" s="53"/>
      <c r="BR94" s="53"/>
      <c r="BS94" s="53"/>
      <c r="BT94" s="53"/>
      <c r="BU94" s="53"/>
      <c r="BV94" s="53"/>
      <c r="BW94" s="53"/>
      <c r="BX94" s="53"/>
      <c r="BY94" s="53"/>
      <c r="BZ94" s="53"/>
      <c r="CA94" s="53"/>
      <c r="CB94" s="53"/>
      <c r="CC94" s="53"/>
      <c r="CD94" s="53"/>
      <c r="CE94" s="53"/>
      <c r="CF94" s="53"/>
      <c r="CG94" s="53"/>
      <c r="CH94" s="53"/>
      <c r="CI94" s="53"/>
      <c r="CJ94" s="53"/>
      <c r="CK94" s="53"/>
      <c r="CL94" s="53"/>
      <c r="CM94" s="53"/>
      <c r="CN94" s="53"/>
      <c r="CO94" s="53"/>
      <c r="CP94" s="53"/>
      <c r="CQ94" s="53"/>
      <c r="CR94" s="1"/>
      <c r="CS94" s="1"/>
      <c r="CT94" s="1"/>
      <c r="CU94" s="1"/>
    </row>
    <row r="95" spans="1:99" s="13" customFormat="1" ht="12" customHeight="1" x14ac:dyDescent="0.2">
      <c r="A95" s="65">
        <v>43509</v>
      </c>
      <c r="B95" s="1" t="s">
        <v>124</v>
      </c>
      <c r="C95" s="1" t="s">
        <v>45</v>
      </c>
      <c r="D95" s="60">
        <v>1992</v>
      </c>
      <c r="E95" s="76">
        <v>2</v>
      </c>
      <c r="F95" s="60">
        <v>120</v>
      </c>
      <c r="G95" s="60">
        <v>60</v>
      </c>
      <c r="H95" s="60" t="s">
        <v>30</v>
      </c>
      <c r="I95" s="60" t="s">
        <v>64</v>
      </c>
      <c r="J95" s="60" t="s">
        <v>16</v>
      </c>
      <c r="K95" s="60">
        <f>IF(J95="syllables",1,IF(J95="trigrams",2,IF(J95="strings",3,IF(J95="visual array",4,IF(J95="characters",5,IF(J95="letters",6,IF(J95="free forms",7,IF(J95="odors",8,IF(J95="words",9,IF(J95="pictures",10,IF(J95="object pictures",11,IF(J95="faces",12,IF(J95="names",13,IF(J95="idioms",14,IF(J95="grades",15,IF(J95="syllable-digit pairs",16,IF(J95="trigram-word pairs",17,IF(J95="word-digit pairs",18,IF(J95="English-Swahili pairs",19,IF(J95="spatial position",20,IF(J95="word pairs",21,IF(J95="word triads",22,IF(J95="generated words",23,IF(J95="word definition pairs",24,IF(J95="math problems",25,IF(J95="famous faces",26,IF(J95="famous names",27,IF(J95="famous voices",28,IF(J95="television programs",29,IF(J95="race horses",30,IF(J95="new vocabulary",31,IF(J95="sentences",32,IF(J95="concepts",33,IF(J95="ad slides",34,IF(J95="scenes",35,IF(J95="famous scenes",36,IF(J95="poems",37,IF(J95="walk",38,IF(J95="faces and events",39,IF(J95="events and names",40,IF(J95="flashbulb",41,IF(J95="stories",42,IF(J95="course material",43,IF(J95="autobiographical",44,IF(J95="novels",45,IF(J95="public events",46,"99"))))))))))))))))))))))))))))))))))))))))))))))</f>
        <v>9</v>
      </c>
      <c r="L95" s="60">
        <f>IF(J95="syllables",1,IF(J95="trigrams",1,IF(J95="strings",1,IF(J95="visual array",1,IF(J95="characters",1,IF(J95="letters",1,IF(J95="free forms",1,IF(J95="odors",2,IF(J95="words",2,IF(J95="pictures",2,IF(J95="object pictures",2,IF(J95="faces",2,IF(J95="names",2,IF(J95="idioms","2",IF(J95="grades",2,IF(J95="syllable-digit pairs",3,IF(J95="trigram-word pairs",3,IF(J95="word-digit pairs",3,IF(J95="English-Swahili pairs",3,IF(J95="spatial position",3,IF(J95="word pairs",4,IF(J95="word triads",4,IF(J95="generated words",4,IF(J95="word definition pairs",4,IF(J95="math problems",4,IF(J95="famous faces",4,IF(J95="famous names",4,IF(J95="famous voices",4,IF(J95="television programs",4,IF(J95="race horses",4,IF(J95="new vocabulary",4,IF(J95="sentences",5,IF(J95="concepts",5,IF(J95="ad slides",5,IF(J95="scenes",5,IF(J95="famous scenes",5,IF(J95="poems",6,IF(J95="walk",6,IF(J95="faces and events",6,IF(J95="events and names",6,IF(J95="flashbulb",7,IF(J95="stories",7,IF(J95="course material",7,IF(J95="autobiographical",7,IF(J95="novels",7,IF(J95="public events",7,"99"))))))))))))))))))))))))))))))))))))))))))))))</f>
        <v>2</v>
      </c>
      <c r="M95" s="60">
        <v>1</v>
      </c>
      <c r="N95" s="60">
        <v>2</v>
      </c>
      <c r="O95" s="60">
        <v>1</v>
      </c>
      <c r="P95" s="60" t="s">
        <v>899</v>
      </c>
      <c r="Q95" s="60" t="s">
        <v>126</v>
      </c>
      <c r="R95" s="60">
        <f>IF(Q95="Free Recall",1,IF(Q95="Cued Recall",2,IF(Q95="Recognition",3,IF(Q95="Multiple Choice",4,IF(Q95="Savings",5,IF(Q95="Stem Completion",6,IF(Q95="Fragment Completion",7,IF(Q95="anagram solution",8,IF(Q95="Matching",9,IF(Q95="Problem Solving",10,"99"))))))))))</f>
        <v>6</v>
      </c>
      <c r="S95" s="60" t="s">
        <v>49</v>
      </c>
      <c r="T95" s="60" t="s">
        <v>261</v>
      </c>
      <c r="U95" s="60">
        <f>IF(T95="within",1,0)</f>
        <v>0</v>
      </c>
      <c r="V95" s="60">
        <v>40</v>
      </c>
      <c r="W95" s="60">
        <f>F95*V95</f>
        <v>4800</v>
      </c>
      <c r="X95" s="60">
        <v>3</v>
      </c>
      <c r="Y95" s="76">
        <f>AV94</f>
        <v>598</v>
      </c>
      <c r="Z95" s="60" t="s">
        <v>88</v>
      </c>
      <c r="AA95" s="60">
        <v>172800</v>
      </c>
      <c r="AB95" s="60" t="str">
        <f>IF(AA95&lt;60,"1",IF(AA95&lt;=43200,"2",IF(AA95&lt;=777600,"3","4")))</f>
        <v>3</v>
      </c>
      <c r="AC95" s="56">
        <f>AVERAGE(AV94:DA94)</f>
        <v>60199.333333333336</v>
      </c>
      <c r="AD95" s="60" t="str">
        <f>IF(AC95&lt;60,"1",IF(AC95&lt;=43200,"2",IF(AC95&lt;=777600,"3","4")))</f>
        <v>3</v>
      </c>
      <c r="AE95" s="76">
        <f>AA95-Y95</f>
        <v>172202</v>
      </c>
      <c r="AF95" s="80">
        <f>AV95</f>
        <v>0.31</v>
      </c>
      <c r="AG95" s="56">
        <f>((AW95-AV95)+(AX95-AW95))/2</f>
        <v>-2.4999999999999994E-2</v>
      </c>
      <c r="AH95" s="4"/>
      <c r="AI95" s="56">
        <f>RSQ(AV95:AX95,AV94:AX94)</f>
        <v>0.97577249439708713</v>
      </c>
      <c r="AJ95" s="109">
        <f>SLOPE(AV95:AX95,AV94:AX94)</f>
        <v>-2.6785701526966886E-7</v>
      </c>
      <c r="AK95" s="56">
        <f>INTERCEPT(AV95:AX95,AV94:AX94)</f>
        <v>0.30612481374789052</v>
      </c>
      <c r="AL95" s="56">
        <f>INDEX(LINEST(LN(AV95:AX95),LN(AV94:AX94),TRUE,TRUE),3,1)</f>
        <v>0.92509070786650838</v>
      </c>
      <c r="AM95" s="56">
        <f>INDEX(LINEST(LN(AV95:AX95),LN(AV94:AX94)),1)</f>
        <v>-3.1675062942645014E-2</v>
      </c>
      <c r="AN95" s="56">
        <f>EXP(INDEX(LINEST(LN(AV95:AX95),LN(AV94:AX94)),1,2))</f>
        <v>0.38591922990274169</v>
      </c>
      <c r="AO95" s="82">
        <f>INDEX(LINEST((AV95:AX95),LN(AV94:AX94),TRUE,TRUE),3,1)</f>
        <v>0.93225910853381377</v>
      </c>
      <c r="AP95" s="82">
        <f>INDEX(LINEST((AV95:AX95),LN(AV94:AX94)),1)</f>
        <v>-8.994514502837626E-3</v>
      </c>
      <c r="AQ95" s="83">
        <f>INDEX(LINEST(LN(AV95:AX95),SQRT(AV94:AX94),TRUE,TRUE),3,1)</f>
        <v>0.99895595913856206</v>
      </c>
      <c r="AR95" s="116">
        <f>INDEX(LINEST(LN(AV95:AX95),SQRT((AV94:AX94))),1)</f>
        <v>-4.438479118628137E-4</v>
      </c>
      <c r="AS95" s="84">
        <f>INDEX(LINEST(1/(AV95:AX95),1/(SQRT(AV94:AX94)),TRUE,TRUE),3,1)</f>
        <v>0.63525776772279408</v>
      </c>
      <c r="AT95" s="84">
        <f>INDEX(LINEST(1/(AV95:AX95),1/SQRT(AV94:AX94)),1)</f>
        <v>-13.165770935519268</v>
      </c>
      <c r="AU95" s="3"/>
      <c r="AV95" s="53">
        <v>0.31</v>
      </c>
      <c r="AW95" s="53">
        <v>0.3</v>
      </c>
      <c r="AX95" s="53">
        <v>0.26</v>
      </c>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53"/>
      <c r="CD95" s="53"/>
      <c r="CE95" s="53"/>
      <c r="CF95" s="53"/>
      <c r="CG95" s="53"/>
      <c r="CH95" s="53"/>
      <c r="CI95" s="53"/>
      <c r="CJ95" s="53"/>
      <c r="CK95" s="53"/>
      <c r="CL95" s="53"/>
      <c r="CM95" s="53"/>
      <c r="CN95" s="53"/>
      <c r="CO95" s="53"/>
      <c r="CP95" s="53"/>
      <c r="CQ95" s="53"/>
      <c r="CR95" s="1"/>
      <c r="CS95" s="1"/>
      <c r="CT95" s="1"/>
      <c r="CU95" s="1"/>
    </row>
    <row r="96" spans="1:99" s="13" customFormat="1" ht="12" customHeight="1" x14ac:dyDescent="0.2">
      <c r="A96" s="65">
        <v>43509</v>
      </c>
      <c r="B96" s="1"/>
      <c r="C96" s="1"/>
      <c r="D96" s="60"/>
      <c r="E96" s="76"/>
      <c r="F96" s="60"/>
      <c r="G96" s="60"/>
      <c r="H96" s="60"/>
      <c r="I96" s="60"/>
      <c r="J96" s="60"/>
      <c r="K96" s="64"/>
      <c r="L96" s="64"/>
      <c r="M96" s="60"/>
      <c r="N96" s="60"/>
      <c r="O96" s="60"/>
      <c r="P96" s="60"/>
      <c r="Q96" s="60"/>
      <c r="R96" s="60"/>
      <c r="S96" s="60"/>
      <c r="T96" s="60"/>
      <c r="U96" s="60"/>
      <c r="V96" s="60"/>
      <c r="W96" s="60"/>
      <c r="X96" s="60"/>
      <c r="Y96" s="76"/>
      <c r="Z96" s="60"/>
      <c r="AA96" s="60"/>
      <c r="AB96" s="60"/>
      <c r="AC96" s="60"/>
      <c r="AD96" s="60"/>
      <c r="AE96" s="60"/>
      <c r="AF96" s="80"/>
      <c r="AG96" s="56"/>
      <c r="AH96" s="4"/>
      <c r="AI96" s="56"/>
      <c r="AJ96" s="109"/>
      <c r="AK96" s="56"/>
      <c r="AL96" s="56"/>
      <c r="AM96" s="56"/>
      <c r="AN96" s="56"/>
      <c r="AO96" s="56"/>
      <c r="AP96" s="56"/>
      <c r="AQ96" s="82"/>
      <c r="AR96" s="115"/>
      <c r="AS96" s="82"/>
      <c r="AT96" s="82"/>
      <c r="AU96" s="4"/>
      <c r="AV96" s="25">
        <f>238+(6*60)</f>
        <v>598</v>
      </c>
      <c r="AW96" s="25">
        <f>2*3600</f>
        <v>7200</v>
      </c>
      <c r="AX96" s="25">
        <f>24*3600*2</f>
        <v>172800</v>
      </c>
      <c r="AY96" s="53"/>
      <c r="AZ96" s="53"/>
      <c r="BA96" s="53"/>
      <c r="BB96" s="53"/>
      <c r="BC96" s="53"/>
      <c r="BD96" s="53"/>
      <c r="BE96" s="53"/>
      <c r="BF96" s="53"/>
      <c r="BG96" s="53"/>
      <c r="BH96" s="53"/>
      <c r="BI96" s="53"/>
      <c r="BJ96" s="53"/>
      <c r="BK96" s="53"/>
      <c r="BL96" s="53"/>
      <c r="BM96" s="53"/>
      <c r="BN96" s="53"/>
      <c r="BO96" s="53"/>
      <c r="BP96" s="53"/>
      <c r="BQ96" s="53"/>
      <c r="BR96" s="53"/>
      <c r="BS96" s="53"/>
      <c r="BT96" s="53"/>
      <c r="BU96" s="53"/>
      <c r="BV96" s="53"/>
      <c r="BW96" s="53"/>
      <c r="BX96" s="53"/>
      <c r="BY96" s="53"/>
      <c r="BZ96" s="53"/>
      <c r="CA96" s="53"/>
      <c r="CB96" s="53"/>
      <c r="CC96" s="53"/>
      <c r="CD96" s="53"/>
      <c r="CE96" s="53"/>
      <c r="CF96" s="53"/>
      <c r="CG96" s="53"/>
      <c r="CH96" s="53"/>
      <c r="CI96" s="53"/>
      <c r="CJ96" s="53"/>
      <c r="CK96" s="53"/>
      <c r="CL96" s="53"/>
      <c r="CM96" s="53"/>
      <c r="CN96" s="53"/>
      <c r="CO96" s="53"/>
      <c r="CP96" s="53"/>
      <c r="CQ96" s="53"/>
      <c r="CR96" s="1"/>
      <c r="CS96" s="1"/>
      <c r="CT96" s="1"/>
      <c r="CU96" s="1"/>
    </row>
    <row r="97" spans="1:99" s="13" customFormat="1" ht="12" customHeight="1" x14ac:dyDescent="0.2">
      <c r="A97" s="65">
        <v>43509</v>
      </c>
      <c r="B97" s="1" t="s">
        <v>124</v>
      </c>
      <c r="C97" s="1" t="s">
        <v>45</v>
      </c>
      <c r="D97" s="60">
        <v>1992</v>
      </c>
      <c r="E97" s="76">
        <v>2</v>
      </c>
      <c r="F97" s="60">
        <v>120</v>
      </c>
      <c r="G97" s="60">
        <v>60</v>
      </c>
      <c r="H97" s="60" t="s">
        <v>30</v>
      </c>
      <c r="I97" s="60" t="s">
        <v>787</v>
      </c>
      <c r="J97" s="60" t="s">
        <v>16</v>
      </c>
      <c r="K97" s="60">
        <f>IF(J97="syllables",1,IF(J97="trigrams",2,IF(J97="strings",3,IF(J97="visual array",4,IF(J97="characters",5,IF(J97="letters",6,IF(J97="free forms",7,IF(J97="odors",8,IF(J97="words",9,IF(J97="pictures",10,IF(J97="object pictures",11,IF(J97="faces",12,IF(J97="names",13,IF(J97="idioms",14,IF(J97="grades",15,IF(J97="syllable-digit pairs",16,IF(J97="trigram-word pairs",17,IF(J97="word-digit pairs",18,IF(J97="English-Swahili pairs",19,IF(J97="spatial position",20,IF(J97="word pairs",21,IF(J97="word triads",22,IF(J97="generated words",23,IF(J97="word definition pairs",24,IF(J97="math problems",25,IF(J97="famous faces",26,IF(J97="famous names",27,IF(J97="famous voices",28,IF(J97="television programs",29,IF(J97="race horses",30,IF(J97="new vocabulary",31,IF(J97="sentences",32,IF(J97="concepts",33,IF(J97="ad slides",34,IF(J97="scenes",35,IF(J97="famous scenes",36,IF(J97="poems",37,IF(J97="walk",38,IF(J97="faces and events",39,IF(J97="events and names",40,IF(J97="flashbulb",41,IF(J97="stories",42,IF(J97="course material",43,IF(J97="autobiographical",44,IF(J97="novels",45,IF(J97="public events",46,"99"))))))))))))))))))))))))))))))))))))))))))))))</f>
        <v>9</v>
      </c>
      <c r="L97" s="60">
        <f>IF(J97="syllables",1,IF(J97="trigrams",1,IF(J97="strings",1,IF(J97="visual array",1,IF(J97="characters",1,IF(J97="letters",1,IF(J97="free forms",1,IF(J97="odors",2,IF(J97="words",2,IF(J97="pictures",2,IF(J97="object pictures",2,IF(J97="faces",2,IF(J97="names",2,IF(J97="idioms","2",IF(J97="grades",2,IF(J97="syllable-digit pairs",3,IF(J97="trigram-word pairs",3,IF(J97="word-digit pairs",3,IF(J97="English-Swahili pairs",3,IF(J97="spatial position",3,IF(J97="word pairs",4,IF(J97="word triads",4,IF(J97="generated words",4,IF(J97="word definition pairs",4,IF(J97="math problems",4,IF(J97="famous faces",4,IF(J97="famous names",4,IF(J97="famous voices",4,IF(J97="television programs",4,IF(J97="race horses",4,IF(J97="new vocabulary",4,IF(J97="sentences",5,IF(J97="concepts",5,IF(J97="ad slides",5,IF(J97="scenes",5,IF(J97="famous scenes",5,IF(J97="poems",6,IF(J97="walk",6,IF(J97="faces and events",6,IF(J97="events and names",6,IF(J97="flashbulb",7,IF(J97="stories",7,IF(J97="course material",7,IF(J97="autobiographical",7,IF(J97="novels",7,IF(J97="public events",7,"99"))))))))))))))))))))))))))))))))))))))))))))))</f>
        <v>2</v>
      </c>
      <c r="M97" s="60">
        <v>1</v>
      </c>
      <c r="N97" s="60">
        <v>2</v>
      </c>
      <c r="O97" s="60">
        <v>1</v>
      </c>
      <c r="P97" s="60" t="s">
        <v>899</v>
      </c>
      <c r="Q97" s="60" t="s">
        <v>127</v>
      </c>
      <c r="R97" s="60">
        <f>IF(Q97="Free Recall",1,IF(Q97="Cued Recall",2,IF(Q97="Recognition",3,IF(Q97="Multiple Choice",4,IF(Q97="Savings",5,IF(Q97="Stem Completion",6,IF(Q97="Fragment Completion",7,IF(Q97="anagram solution",8,IF(Q97="Matching",9,IF(Q97="Problem Solving",10,"99"))))))))))</f>
        <v>8</v>
      </c>
      <c r="S97" s="60" t="s">
        <v>49</v>
      </c>
      <c r="T97" s="60" t="s">
        <v>261</v>
      </c>
      <c r="U97" s="60">
        <f>IF(T97="within",1,0)</f>
        <v>0</v>
      </c>
      <c r="V97" s="60">
        <v>40</v>
      </c>
      <c r="W97" s="60">
        <f>F97*V97</f>
        <v>4800</v>
      </c>
      <c r="X97" s="60">
        <v>3</v>
      </c>
      <c r="Y97" s="76">
        <f>AV96</f>
        <v>598</v>
      </c>
      <c r="Z97" s="60" t="s">
        <v>88</v>
      </c>
      <c r="AA97" s="60">
        <v>172800</v>
      </c>
      <c r="AB97" s="60" t="str">
        <f>IF(AA97&lt;60,"1",IF(AA97&lt;=43200,"2",IF(AA97&lt;=777600,"3","4")))</f>
        <v>3</v>
      </c>
      <c r="AC97" s="56">
        <f>AVERAGE(AV96:DA96)</f>
        <v>60199.333333333336</v>
      </c>
      <c r="AD97" s="60" t="str">
        <f>IF(AC97&lt;60,"1",IF(AC97&lt;=43200,"2",IF(AC97&lt;=777600,"3","4")))</f>
        <v>3</v>
      </c>
      <c r="AE97" s="76">
        <f>AA97-Y97</f>
        <v>172202</v>
      </c>
      <c r="AF97" s="80">
        <f>AV97</f>
        <v>0.41</v>
      </c>
      <c r="AG97" s="56">
        <f>((AW97-AV97)+(AX97-AW97))/2</f>
        <v>-1.4999999999999986E-2</v>
      </c>
      <c r="AH97" s="4"/>
      <c r="AI97" s="56">
        <f>RSQ(AV97:AX97,AV96:AX96)</f>
        <v>0.91287384603170751</v>
      </c>
      <c r="AJ97" s="109">
        <f>SLOPE(AV97:AX97,AV96:AX96)</f>
        <v>-1.4957998806710484E-7</v>
      </c>
      <c r="AK97" s="56">
        <f>INTERCEPT(AV97:AX97,AV96:AX96)</f>
        <v>0.40567128222831433</v>
      </c>
      <c r="AL97" s="56">
        <f>INDEX(LINEST(LN(AV97:AX97),LN(AV96:AX96),TRUE,TRUE),3,1)</f>
        <v>0.98338518071491832</v>
      </c>
      <c r="AM97" s="56">
        <f>INDEX(LINEST(LN(AV97:AX97),LN(AV96:AX96)),1)</f>
        <v>-1.3533791069429216E-2</v>
      </c>
      <c r="AN97" s="56">
        <f>EXP(INDEX(LINEST(LN(AV97:AX97),LN(AV96:AX96)),1,2))</f>
        <v>0.44850259932733599</v>
      </c>
      <c r="AO97" s="82">
        <f>INDEX(LINEST((AV97:AX97),LN(AV96:AX96),TRUE,TRUE),3,1)</f>
        <v>0.98567965980581507</v>
      </c>
      <c r="AP97" s="82">
        <f>INDEX(LINEST((AV97:AX97),LN(AV96:AX96)),1)</f>
        <v>-5.3396977985520622E-3</v>
      </c>
      <c r="AQ97" s="83">
        <f>INDEX(LINEST(LN(AV97:AX97),SQRT(AV96:AX96),TRUE,TRUE),3,1)</f>
        <v>0.96784532495759212</v>
      </c>
      <c r="AR97" s="116">
        <f>INDEX(LINEST(LN(AV97:AX97),SQRT((AV96:AX96))),1)</f>
        <v>-1.8104907035620298E-4</v>
      </c>
      <c r="AS97" s="84">
        <f>INDEX(LINEST(1/(AV97:AX97),1/(SQRT(AV96:AX96)),TRUE,TRUE),3,1)</f>
        <v>0.77321603941340145</v>
      </c>
      <c r="AT97" s="84">
        <f>INDEX(LINEST(1/(AV97:AX97),1/SQRT(AV96:AX96)),1)</f>
        <v>-4.3119494575965422</v>
      </c>
      <c r="AU97" s="3"/>
      <c r="AV97" s="53">
        <v>0.41</v>
      </c>
      <c r="AW97" s="53">
        <v>0.4</v>
      </c>
      <c r="AX97" s="53">
        <v>0.38</v>
      </c>
      <c r="AY97" s="53"/>
      <c r="AZ97" s="53"/>
      <c r="BA97" s="53"/>
      <c r="BB97" s="53"/>
      <c r="BC97" s="53"/>
      <c r="BD97" s="53"/>
      <c r="BE97" s="53"/>
      <c r="BF97" s="53"/>
      <c r="BG97" s="53"/>
      <c r="BH97" s="53"/>
      <c r="BI97" s="53"/>
      <c r="BJ97" s="53"/>
      <c r="BK97" s="53"/>
      <c r="BL97" s="53"/>
      <c r="BM97" s="53"/>
      <c r="BN97" s="53"/>
      <c r="BO97" s="53"/>
      <c r="BP97" s="53"/>
      <c r="BQ97" s="53"/>
      <c r="BR97" s="53"/>
      <c r="BS97" s="53"/>
      <c r="BT97" s="53"/>
      <c r="BU97" s="53"/>
      <c r="BV97" s="53"/>
      <c r="BW97" s="53"/>
      <c r="BX97" s="53"/>
      <c r="BY97" s="53"/>
      <c r="BZ97" s="53"/>
      <c r="CA97" s="53"/>
      <c r="CB97" s="53"/>
      <c r="CC97" s="53"/>
      <c r="CD97" s="53"/>
      <c r="CE97" s="53"/>
      <c r="CF97" s="53"/>
      <c r="CG97" s="53"/>
      <c r="CH97" s="53"/>
      <c r="CI97" s="53"/>
      <c r="CJ97" s="53"/>
      <c r="CK97" s="53"/>
      <c r="CL97" s="53"/>
      <c r="CM97" s="53"/>
      <c r="CN97" s="53"/>
      <c r="CO97" s="53"/>
      <c r="CP97" s="53"/>
      <c r="CQ97" s="53"/>
      <c r="CR97" s="1"/>
      <c r="CS97" s="1"/>
      <c r="CT97" s="1"/>
      <c r="CU97" s="1"/>
    </row>
    <row r="98" spans="1:99" s="13" customFormat="1" ht="12" customHeight="1" x14ac:dyDescent="0.2">
      <c r="A98" s="65">
        <v>43509</v>
      </c>
      <c r="B98" s="1"/>
      <c r="C98" s="1"/>
      <c r="D98" s="60"/>
      <c r="E98" s="76"/>
      <c r="F98" s="60"/>
      <c r="G98" s="60"/>
      <c r="H98" s="60"/>
      <c r="I98" s="60"/>
      <c r="J98" s="60"/>
      <c r="K98" s="64"/>
      <c r="L98" s="64"/>
      <c r="M98" s="60"/>
      <c r="N98" s="60"/>
      <c r="O98" s="60"/>
      <c r="P98" s="60"/>
      <c r="Q98" s="60"/>
      <c r="R98" s="60"/>
      <c r="S98" s="60"/>
      <c r="T98" s="60"/>
      <c r="U98" s="60"/>
      <c r="V98" s="60"/>
      <c r="W98" s="60"/>
      <c r="X98" s="60"/>
      <c r="Y98" s="76"/>
      <c r="Z98" s="60"/>
      <c r="AA98" s="60"/>
      <c r="AB98" s="60"/>
      <c r="AC98" s="60"/>
      <c r="AD98" s="60"/>
      <c r="AE98" s="60"/>
      <c r="AF98" s="80"/>
      <c r="AG98" s="56"/>
      <c r="AH98" s="4"/>
      <c r="AI98" s="56"/>
      <c r="AJ98" s="109"/>
      <c r="AK98" s="56"/>
      <c r="AL98" s="56"/>
      <c r="AM98" s="56"/>
      <c r="AN98" s="56"/>
      <c r="AO98" s="56"/>
      <c r="AP98" s="56"/>
      <c r="AQ98" s="82"/>
      <c r="AR98" s="115"/>
      <c r="AS98" s="82"/>
      <c r="AT98" s="82"/>
      <c r="AU98" s="4"/>
      <c r="AV98" s="25">
        <f>280+(6*60)</f>
        <v>640</v>
      </c>
      <c r="AW98" s="25">
        <f>1.5*3600</f>
        <v>5400</v>
      </c>
      <c r="AX98" s="25">
        <f>24*3600*2</f>
        <v>172800</v>
      </c>
      <c r="AY98" s="25">
        <f>24*3600*7</f>
        <v>604800</v>
      </c>
      <c r="AZ98" s="53" t="s">
        <v>521</v>
      </c>
      <c r="BA98" s="53"/>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53"/>
      <c r="CD98" s="53"/>
      <c r="CE98" s="53"/>
      <c r="CF98" s="53"/>
      <c r="CG98" s="53"/>
      <c r="CH98" s="53"/>
      <c r="CI98" s="53"/>
      <c r="CJ98" s="53"/>
      <c r="CK98" s="53"/>
      <c r="CL98" s="53"/>
      <c r="CM98" s="53"/>
      <c r="CN98" s="53"/>
      <c r="CO98" s="53"/>
      <c r="CP98" s="53"/>
      <c r="CQ98" s="53"/>
      <c r="CR98" s="1"/>
      <c r="CS98" s="1"/>
      <c r="CT98" s="1"/>
      <c r="CU98" s="1"/>
    </row>
    <row r="99" spans="1:99" s="13" customFormat="1" ht="12" customHeight="1" x14ac:dyDescent="0.2">
      <c r="A99" s="65">
        <v>43509</v>
      </c>
      <c r="B99" s="1" t="s">
        <v>124</v>
      </c>
      <c r="C99" s="1" t="s">
        <v>45</v>
      </c>
      <c r="D99" s="60">
        <v>1992</v>
      </c>
      <c r="E99" s="76">
        <v>3</v>
      </c>
      <c r="F99" s="60">
        <v>144</v>
      </c>
      <c r="G99" s="60">
        <v>48</v>
      </c>
      <c r="H99" s="60" t="s">
        <v>227</v>
      </c>
      <c r="I99" s="60" t="s">
        <v>522</v>
      </c>
      <c r="J99" s="60" t="s">
        <v>16</v>
      </c>
      <c r="K99" s="60">
        <f>IF(J99="syllables",1,IF(J99="trigrams",2,IF(J99="strings",3,IF(J99="visual array",4,IF(J99="characters",5,IF(J99="letters",6,IF(J99="free forms",7,IF(J99="odors",8,IF(J99="words",9,IF(J99="pictures",10,IF(J99="object pictures",11,IF(J99="faces",12,IF(J99="names",13,IF(J99="idioms",14,IF(J99="grades",15,IF(J99="syllable-digit pairs",16,IF(J99="trigram-word pairs",17,IF(J99="word-digit pairs",18,IF(J99="English-Swahili pairs",19,IF(J99="spatial position",20,IF(J99="word pairs",21,IF(J99="word triads",22,IF(J99="generated words",23,IF(J99="word definition pairs",24,IF(J99="math problems",25,IF(J99="famous faces",26,IF(J99="famous names",27,IF(J99="famous voices",28,IF(J99="television programs",29,IF(J99="race horses",30,IF(J99="new vocabulary",31,IF(J99="sentences",32,IF(J99="concepts",33,IF(J99="ad slides",34,IF(J99="scenes",35,IF(J99="famous scenes",36,IF(J99="poems",37,IF(J99="walk",38,IF(J99="faces and events",39,IF(J99="events and names",40,IF(J99="flashbulb",41,IF(J99="stories",42,IF(J99="course material",43,IF(J99="autobiographical",44,IF(J99="novels",45,IF(J99="public events",46,"99"))))))))))))))))))))))))))))))))))))))))))))))</f>
        <v>9</v>
      </c>
      <c r="L99" s="60">
        <f>IF(J99="syllables",1,IF(J99="trigrams",1,IF(J99="strings",1,IF(J99="visual array",1,IF(J99="characters",1,IF(J99="letters",1,IF(J99="free forms",1,IF(J99="odors",2,IF(J99="words",2,IF(J99="pictures",2,IF(J99="object pictures",2,IF(J99="faces",2,IF(J99="names",2,IF(J99="idioms","2",IF(J99="grades",2,IF(J99="syllable-digit pairs",3,IF(J99="trigram-word pairs",3,IF(J99="word-digit pairs",3,IF(J99="English-Swahili pairs",3,IF(J99="spatial position",3,IF(J99="word pairs",4,IF(J99="word triads",4,IF(J99="generated words",4,IF(J99="word definition pairs",4,IF(J99="math problems",4,IF(J99="famous faces",4,IF(J99="famous names",4,IF(J99="famous voices",4,IF(J99="television programs",4,IF(J99="race horses",4,IF(J99="new vocabulary",4,IF(J99="sentences",5,IF(J99="concepts",5,IF(J99="ad slides",5,IF(J99="scenes",5,IF(J99="famous scenes",5,IF(J99="poems",6,IF(J99="walk",6,IF(J99="faces and events",6,IF(J99="events and names",6,IF(J99="flashbulb",7,IF(J99="stories",7,IF(J99="course material",7,IF(J99="autobiographical",7,IF(J99="novels",7,IF(J99="public events",7,"99"))))))))))))))))))))))))))))))))))))))))))))))</f>
        <v>2</v>
      </c>
      <c r="M99" s="60">
        <v>1</v>
      </c>
      <c r="N99" s="60">
        <v>2</v>
      </c>
      <c r="O99" s="60">
        <v>1</v>
      </c>
      <c r="P99" s="60" t="s">
        <v>899</v>
      </c>
      <c r="Q99" s="60" t="s">
        <v>125</v>
      </c>
      <c r="R99" s="60">
        <f>IF(Q99="Free Recall",1,IF(Q99="Cued Recall",2,IF(Q99="Recognition",3,IF(Q99="Multiple Choice",4,IF(Q99="Savings",5,IF(Q99="Stem Completion",6,IF(Q99="Fragment Completion",7,IF(Q99="anagram solution",8,IF(Q99="Matching",9,IF(Q99="Problem Solving",10,"99"))))))))))</f>
        <v>7</v>
      </c>
      <c r="S99" s="60" t="s">
        <v>49</v>
      </c>
      <c r="T99" s="60" t="s">
        <v>261</v>
      </c>
      <c r="U99" s="60">
        <f>IF(T99="within",1,0)</f>
        <v>0</v>
      </c>
      <c r="V99" s="60">
        <v>17</v>
      </c>
      <c r="W99" s="60">
        <f>F99*V99</f>
        <v>2448</v>
      </c>
      <c r="X99" s="60">
        <v>4</v>
      </c>
      <c r="Y99" s="76">
        <f>AV98</f>
        <v>640</v>
      </c>
      <c r="Z99" s="60" t="s">
        <v>97</v>
      </c>
      <c r="AA99" s="60">
        <v>604800</v>
      </c>
      <c r="AB99" s="60" t="str">
        <f>IF(AA99&lt;60,"1",IF(AA99&lt;=43200,"2",IF(AA99&lt;=777600,"3","4")))</f>
        <v>3</v>
      </c>
      <c r="AC99" s="56">
        <f>AVERAGE(AV98:DA98)</f>
        <v>195910</v>
      </c>
      <c r="AD99" s="60" t="str">
        <f>IF(AC99&lt;60,"1",IF(AC99&lt;=43200,"2",IF(AC99&lt;=777600,"3","4")))</f>
        <v>3</v>
      </c>
      <c r="AE99" s="76">
        <f>AA99-Y99</f>
        <v>604160</v>
      </c>
      <c r="AF99" s="80">
        <f>AV99</f>
        <v>0.38</v>
      </c>
      <c r="AG99" s="56">
        <f>((AW99-AV99)+(AX99-AW99)+(AY99-AX99))/3</f>
        <v>-1.0000000000000009E-2</v>
      </c>
      <c r="AH99" s="4"/>
      <c r="AI99" s="56">
        <f>RSQ(AV99:AY99,AV98:AY98)</f>
        <v>0.11285630801344165</v>
      </c>
      <c r="AJ99" s="109">
        <f>SLOPE(AV99:AY99,AV98:AY98)</f>
        <v>-2.8963920728897455E-8</v>
      </c>
      <c r="AK99" s="56">
        <f>INTERCEPT(AV99:AY99,AV98:AY98)</f>
        <v>0.37567432170999832</v>
      </c>
      <c r="AL99" s="56">
        <f>INDEX(LINEST(LN(AV99:AY99),LN(AV98:AY98),TRUE,TRUE),3,1)</f>
        <v>3.9651751057397742E-3</v>
      </c>
      <c r="AM99" s="56">
        <f>INDEX(LINEST(LN(AV99:AY99),LN(AV98:AY98)),1)</f>
        <v>-1.3158155476526311E-3</v>
      </c>
      <c r="AN99" s="56">
        <f>EXP(INDEX(LINEST(LN(AV99:AY99),LN(AV98:AY98)),1,2))</f>
        <v>0.37434376366277666</v>
      </c>
      <c r="AO99" s="82">
        <f>INDEX(LINEST((AV99:AY99),LN(AV98:AY98),TRUE,TRUE),3,1)</f>
        <v>2.5741774776971544E-3</v>
      </c>
      <c r="AP99" s="82">
        <f>INDEX(LINEST((AV99:AY99),LN(AV98:AY98)),1)</f>
        <v>-3.9519095509361353E-4</v>
      </c>
      <c r="AQ99" s="83">
        <f>INDEX(LINEST(LN(AV99:AY99),SQRT(AV98:AY98),TRUE,TRUE),3,1)</f>
        <v>3.0931972143391356E-2</v>
      </c>
      <c r="AR99" s="116">
        <f>INDEX(LINEST(LN(AV99:AY99),SQRT((AV98:AY98))),1)</f>
        <v>-3.3078534243262196E-5</v>
      </c>
      <c r="AS99" s="84">
        <f>INDEX(LINEST(1/(AV99:AY99),1/(SQRT(AV98:AY98)),TRUE,TRUE),3,1)</f>
        <v>2.5270537022449382E-2</v>
      </c>
      <c r="AT99" s="84">
        <f>INDEX(LINEST(1/(AV99:AY99),1/SQRT(AV98:AY98)),1)</f>
        <v>-1.5792961419572631</v>
      </c>
      <c r="AU99" s="3"/>
      <c r="AV99" s="53">
        <v>0.38</v>
      </c>
      <c r="AW99" s="53">
        <v>0.35</v>
      </c>
      <c r="AX99" s="53">
        <v>0.4</v>
      </c>
      <c r="AY99" s="53">
        <v>0.35</v>
      </c>
      <c r="AZ99" s="53"/>
      <c r="BA99" s="53"/>
      <c r="BB99" s="53"/>
      <c r="BC99" s="53"/>
      <c r="BD99" s="53"/>
      <c r="BE99" s="53"/>
      <c r="BF99" s="53"/>
      <c r="BG99" s="53"/>
      <c r="BH99" s="53"/>
      <c r="BI99" s="53"/>
      <c r="BJ99" s="53"/>
      <c r="BK99" s="53"/>
      <c r="BL99" s="53"/>
      <c r="BM99" s="53"/>
      <c r="BN99" s="53"/>
      <c r="BO99" s="53"/>
      <c r="BP99" s="53"/>
      <c r="BQ99" s="53"/>
      <c r="BR99" s="53"/>
      <c r="BS99" s="53"/>
      <c r="BT99" s="53"/>
      <c r="BU99" s="53"/>
      <c r="BV99" s="53"/>
      <c r="BW99" s="53"/>
      <c r="BX99" s="53"/>
      <c r="BY99" s="53"/>
      <c r="BZ99" s="53"/>
      <c r="CA99" s="53"/>
      <c r="CB99" s="53"/>
      <c r="CC99" s="53"/>
      <c r="CD99" s="53"/>
      <c r="CE99" s="53"/>
      <c r="CF99" s="53"/>
      <c r="CG99" s="53"/>
      <c r="CH99" s="53"/>
      <c r="CI99" s="53"/>
      <c r="CJ99" s="53"/>
      <c r="CK99" s="53"/>
      <c r="CL99" s="53"/>
      <c r="CM99" s="53"/>
      <c r="CN99" s="53"/>
      <c r="CO99" s="53"/>
      <c r="CP99" s="53"/>
      <c r="CQ99" s="53"/>
      <c r="CR99" s="1"/>
      <c r="CS99" s="1"/>
      <c r="CT99" s="1"/>
      <c r="CU99" s="1"/>
    </row>
    <row r="100" spans="1:99" s="13" customFormat="1" ht="12" customHeight="1" x14ac:dyDescent="0.2">
      <c r="A100" s="65">
        <v>43509</v>
      </c>
      <c r="B100" s="1"/>
      <c r="C100" s="1"/>
      <c r="D100" s="60"/>
      <c r="E100" s="76"/>
      <c r="F100" s="60"/>
      <c r="G100" s="60"/>
      <c r="H100" s="60"/>
      <c r="I100" s="60"/>
      <c r="J100" s="60"/>
      <c r="K100" s="64"/>
      <c r="L100" s="64"/>
      <c r="M100" s="60"/>
      <c r="N100" s="60"/>
      <c r="O100" s="60"/>
      <c r="P100" s="60"/>
      <c r="Q100" s="60"/>
      <c r="R100" s="60"/>
      <c r="S100" s="60"/>
      <c r="T100" s="60"/>
      <c r="U100" s="60"/>
      <c r="V100" s="60"/>
      <c r="W100" s="60"/>
      <c r="X100" s="60"/>
      <c r="Y100" s="76"/>
      <c r="Z100" s="60"/>
      <c r="AA100" s="60"/>
      <c r="AB100" s="60"/>
      <c r="AC100" s="60"/>
      <c r="AD100" s="60"/>
      <c r="AE100" s="60"/>
      <c r="AF100" s="80"/>
      <c r="AG100" s="56"/>
      <c r="AH100" s="4"/>
      <c r="AI100" s="56"/>
      <c r="AJ100" s="109"/>
      <c r="AK100" s="56"/>
      <c r="AL100" s="56"/>
      <c r="AM100" s="56"/>
      <c r="AN100" s="56"/>
      <c r="AO100" s="56"/>
      <c r="AP100" s="56"/>
      <c r="AQ100" s="56"/>
      <c r="AR100" s="109"/>
      <c r="AS100" s="56"/>
      <c r="AT100" s="56"/>
      <c r="AU100" s="4"/>
      <c r="AV100" s="25">
        <f>280+(6*60)</f>
        <v>640</v>
      </c>
      <c r="AW100" s="25">
        <f>1.5*3600</f>
        <v>5400</v>
      </c>
      <c r="AX100" s="25">
        <f>24*3600*2</f>
        <v>172800</v>
      </c>
      <c r="AY100" s="25">
        <f>24*3600*7</f>
        <v>604800</v>
      </c>
      <c r="AZ100" s="53"/>
      <c r="BA100" s="53"/>
      <c r="BB100" s="53"/>
      <c r="BC100" s="53"/>
      <c r="BD100" s="53"/>
      <c r="BE100" s="53"/>
      <c r="BF100" s="53"/>
      <c r="BG100" s="53"/>
      <c r="BH100" s="53"/>
      <c r="BI100" s="53"/>
      <c r="BJ100" s="53"/>
      <c r="BK100" s="53"/>
      <c r="BL100" s="53"/>
      <c r="BM100" s="53"/>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1"/>
      <c r="CS100" s="1"/>
      <c r="CT100" s="1"/>
      <c r="CU100" s="1"/>
    </row>
    <row r="101" spans="1:99" s="13" customFormat="1" ht="12" customHeight="1" x14ac:dyDescent="0.2">
      <c r="A101" s="65">
        <v>43509</v>
      </c>
      <c r="B101" s="1" t="s">
        <v>124</v>
      </c>
      <c r="C101" s="1" t="s">
        <v>45</v>
      </c>
      <c r="D101" s="60">
        <v>1992</v>
      </c>
      <c r="E101" s="76">
        <v>3</v>
      </c>
      <c r="F101" s="60">
        <v>144</v>
      </c>
      <c r="G101" s="60">
        <v>48</v>
      </c>
      <c r="H101" s="60" t="s">
        <v>227</v>
      </c>
      <c r="I101" s="60" t="s">
        <v>523</v>
      </c>
      <c r="J101" s="60" t="s">
        <v>16</v>
      </c>
      <c r="K101" s="60">
        <f>IF(J101="syllables",1,IF(J101="trigrams",2,IF(J101="strings",3,IF(J101="visual array",4,IF(J101="characters",5,IF(J101="letters",6,IF(J101="free forms",7,IF(J101="odors",8,IF(J101="words",9,IF(J101="pictures",10,IF(J101="object pictures",11,IF(J101="faces",12,IF(J101="names",13,IF(J101="idioms",14,IF(J101="grades",15,IF(J101="syllable-digit pairs",16,IF(J101="trigram-word pairs",17,IF(J101="word-digit pairs",18,IF(J101="English-Swahili pairs",19,IF(J101="spatial position",20,IF(J101="word pairs",21,IF(J101="word triads",22,IF(J101="generated words",23,IF(J101="word definition pairs",24,IF(J101="math problems",25,IF(J101="famous faces",26,IF(J101="famous names",27,IF(J101="famous voices",28,IF(J101="television programs",29,IF(J101="race horses",30,IF(J101="new vocabulary",31,IF(J101="sentences",32,IF(J101="concepts",33,IF(J101="ad slides",34,IF(J101="scenes",35,IF(J101="famous scenes",36,IF(J101="poems",37,IF(J101="walk",38,IF(J101="faces and events",39,IF(J101="events and names",40,IF(J101="flashbulb",41,IF(J101="stories",42,IF(J101="course material",43,IF(J101="autobiographical",44,IF(J101="novels",45,IF(J101="public events",46,"99"))))))))))))))))))))))))))))))))))))))))))))))</f>
        <v>9</v>
      </c>
      <c r="L101" s="60">
        <f>IF(J101="syllables",1,IF(J101="trigrams",1,IF(J101="strings",1,IF(J101="visual array",1,IF(J101="characters",1,IF(J101="letters",1,IF(J101="free forms",1,IF(J101="odors",2,IF(J101="words",2,IF(J101="pictures",2,IF(J101="object pictures",2,IF(J101="faces",2,IF(J101="names",2,IF(J101="idioms","2",IF(J101="grades",2,IF(J101="syllable-digit pairs",3,IF(J101="trigram-word pairs",3,IF(J101="word-digit pairs",3,IF(J101="English-Swahili pairs",3,IF(J101="spatial position",3,IF(J101="word pairs",4,IF(J101="word triads",4,IF(J101="generated words",4,IF(J101="word definition pairs",4,IF(J101="math problems",4,IF(J101="famous faces",4,IF(J101="famous names",4,IF(J101="famous voices",4,IF(J101="television programs",4,IF(J101="race horses",4,IF(J101="new vocabulary",4,IF(J101="sentences",5,IF(J101="concepts",5,IF(J101="ad slides",5,IF(J101="scenes",5,IF(J101="famous scenes",5,IF(J101="poems",6,IF(J101="walk",6,IF(J101="faces and events",6,IF(J101="events and names",6,IF(J101="flashbulb",7,IF(J101="stories",7,IF(J101="course material",7,IF(J101="autobiographical",7,IF(J101="novels",7,IF(J101="public events",7,"99"))))))))))))))))))))))))))))))))))))))))))))))</f>
        <v>2</v>
      </c>
      <c r="M101" s="60">
        <v>1</v>
      </c>
      <c r="N101" s="60">
        <v>2</v>
      </c>
      <c r="O101" s="60">
        <v>1</v>
      </c>
      <c r="P101" s="60" t="s">
        <v>899</v>
      </c>
      <c r="Q101" s="60" t="s">
        <v>125</v>
      </c>
      <c r="R101" s="60">
        <f>IF(Q101="Free Recall",1,IF(Q101="Cued Recall",2,IF(Q101="Recognition",3,IF(Q101="Multiple Choice",4,IF(Q101="Savings",5,IF(Q101="Stem Completion",6,IF(Q101="Fragment Completion",7,IF(Q101="anagram solution",8,IF(Q101="Matching",9,IF(Q101="Problem Solving",10,"99"))))))))))</f>
        <v>7</v>
      </c>
      <c r="S101" s="60" t="s">
        <v>49</v>
      </c>
      <c r="T101" s="60" t="s">
        <v>261</v>
      </c>
      <c r="U101" s="60">
        <f>IF(T101="within",1,0)</f>
        <v>0</v>
      </c>
      <c r="V101" s="60">
        <v>17</v>
      </c>
      <c r="W101" s="60">
        <f>F101*V101</f>
        <v>2448</v>
      </c>
      <c r="X101" s="60">
        <v>4</v>
      </c>
      <c r="Y101" s="76">
        <f>AV100</f>
        <v>640</v>
      </c>
      <c r="Z101" s="60" t="s">
        <v>97</v>
      </c>
      <c r="AA101" s="60">
        <v>604800</v>
      </c>
      <c r="AB101" s="60" t="str">
        <f>IF(AA101&lt;60,"1",IF(AA101&lt;=43200,"2",IF(AA101&lt;=777600,"3","4")))</f>
        <v>3</v>
      </c>
      <c r="AC101" s="56">
        <f>AVERAGE(AV100:DA100)</f>
        <v>195910</v>
      </c>
      <c r="AD101" s="60" t="str">
        <f>IF(AC101&lt;60,"1",IF(AC101&lt;=43200,"2",IF(AC101&lt;=777600,"3","4")))</f>
        <v>3</v>
      </c>
      <c r="AE101" s="76">
        <f>AA101-Y101</f>
        <v>604160</v>
      </c>
      <c r="AF101" s="80">
        <f>AV101</f>
        <v>0.41</v>
      </c>
      <c r="AG101" s="56">
        <f>((AW101-AV101)+(AX101-AW101)+(AY101-AX101))/3</f>
        <v>-3.666666666666666E-2</v>
      </c>
      <c r="AH101" s="4"/>
      <c r="AI101" s="56">
        <f>RSQ(AV101:AY101,AV100:AY100)</f>
        <v>0.96644947716570373</v>
      </c>
      <c r="AJ101" s="109">
        <f>SLOPE(AV101:AY101,AV100:AY100)</f>
        <v>-1.6714630334631092E-7</v>
      </c>
      <c r="AK101" s="56">
        <f>INTERCEPT(AV101:AY101,AV100:AY100)</f>
        <v>0.40274563228857585</v>
      </c>
      <c r="AL101" s="56">
        <f>INDEX(LINEST(LN(AV101:AY101),LN(AV100:AY100),TRUE,TRUE),3,1)</f>
        <v>0.67261995387499218</v>
      </c>
      <c r="AM101" s="56">
        <f>INDEX(LINEST(LN(AV101:AY101),LN(AV100:AY100)),1)</f>
        <v>-3.6202616039798775E-2</v>
      </c>
      <c r="AN101" s="56">
        <f>EXP(INDEX(LINEST(LN(AV101:AY101),LN(AV100:AY100)),1,2))</f>
        <v>0.52978207677163791</v>
      </c>
      <c r="AO101" s="82">
        <f>INDEX(LINEST((AV101:AY101),LN(AV100:AY100),TRUE,TRUE),3,1)</f>
        <v>0.6987623971028053</v>
      </c>
      <c r="AP101" s="82">
        <f>INDEX(LINEST((AV101:AY101),LN(AV100:AY100)),1)</f>
        <v>-1.2840007679994315E-2</v>
      </c>
      <c r="AQ101" s="83">
        <f>INDEX(LINEST(LN(AV101:AY101),SQRT(AV100:AY100),TRUE,TRUE),3,1)</f>
        <v>0.8811076159891934</v>
      </c>
      <c r="AR101" s="116">
        <f>INDEX(LINEST(LN(AV101:AY101),SQRT((AV100:AY100))),1)</f>
        <v>-3.7294791371268867E-4</v>
      </c>
      <c r="AS101" s="84">
        <f>INDEX(LINEST(1/(AV101:AY101),1/(SQRT(AV100:AY100)),TRUE,TRUE),3,1)</f>
        <v>0.42023202114515074</v>
      </c>
      <c r="AT101" s="84">
        <f>INDEX(LINEST(1/(AV101:AY101),1/SQRT(AV100:AY100)),1)</f>
        <v>-14.669118456863561</v>
      </c>
      <c r="AU101" s="3"/>
      <c r="AV101" s="53">
        <v>0.41</v>
      </c>
      <c r="AW101" s="53">
        <v>0.39</v>
      </c>
      <c r="AX101" s="53">
        <v>0.38</v>
      </c>
      <c r="AY101" s="53">
        <v>0.3</v>
      </c>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1"/>
      <c r="CS101" s="1"/>
      <c r="CT101" s="1"/>
      <c r="CU101" s="1"/>
    </row>
    <row r="102" spans="1:99" s="13" customFormat="1" ht="12" customHeight="1" x14ac:dyDescent="0.2">
      <c r="A102" s="65">
        <v>43509</v>
      </c>
      <c r="B102" s="1"/>
      <c r="C102" s="1"/>
      <c r="D102" s="60"/>
      <c r="E102" s="76"/>
      <c r="F102" s="60"/>
      <c r="G102" s="60"/>
      <c r="H102" s="60"/>
      <c r="I102" s="60"/>
      <c r="J102" s="60"/>
      <c r="K102" s="64"/>
      <c r="L102" s="64"/>
      <c r="M102" s="60"/>
      <c r="N102" s="60"/>
      <c r="O102" s="60"/>
      <c r="P102" s="60"/>
      <c r="Q102" s="60"/>
      <c r="R102" s="60"/>
      <c r="S102" s="60"/>
      <c r="T102" s="60"/>
      <c r="U102" s="60"/>
      <c r="V102" s="60"/>
      <c r="W102" s="60"/>
      <c r="X102" s="60"/>
      <c r="Y102" s="76"/>
      <c r="Z102" s="60"/>
      <c r="AA102" s="60"/>
      <c r="AB102" s="60"/>
      <c r="AC102" s="60"/>
      <c r="AD102" s="60"/>
      <c r="AE102" s="60"/>
      <c r="AF102" s="80"/>
      <c r="AG102" s="56"/>
      <c r="AH102" s="4"/>
      <c r="AI102" s="56"/>
      <c r="AJ102" s="109"/>
      <c r="AK102" s="56"/>
      <c r="AL102" s="56"/>
      <c r="AM102" s="56"/>
      <c r="AN102" s="56"/>
      <c r="AO102" s="56"/>
      <c r="AP102" s="56"/>
      <c r="AQ102" s="82"/>
      <c r="AR102" s="115"/>
      <c r="AS102" s="82"/>
      <c r="AT102" s="82"/>
      <c r="AU102" s="4"/>
      <c r="AV102" s="25">
        <f>280+(6*60)</f>
        <v>640</v>
      </c>
      <c r="AW102" s="25">
        <f>1.5*3600</f>
        <v>5400</v>
      </c>
      <c r="AX102" s="25">
        <f>24*3600*2</f>
        <v>172800</v>
      </c>
      <c r="AY102" s="25">
        <f>24*3600*7</f>
        <v>604800</v>
      </c>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1"/>
      <c r="CS102" s="1"/>
      <c r="CT102" s="1"/>
      <c r="CU102" s="1"/>
    </row>
    <row r="103" spans="1:99" s="13" customFormat="1" ht="12" customHeight="1" x14ac:dyDescent="0.2">
      <c r="A103" s="65">
        <v>43509</v>
      </c>
      <c r="B103" s="1" t="s">
        <v>124</v>
      </c>
      <c r="C103" s="1" t="s">
        <v>45</v>
      </c>
      <c r="D103" s="60">
        <v>1992</v>
      </c>
      <c r="E103" s="76">
        <v>3</v>
      </c>
      <c r="F103" s="60">
        <v>144</v>
      </c>
      <c r="G103" s="60">
        <v>48</v>
      </c>
      <c r="H103" s="60" t="s">
        <v>227</v>
      </c>
      <c r="I103" s="60" t="s">
        <v>522</v>
      </c>
      <c r="J103" s="60" t="s">
        <v>16</v>
      </c>
      <c r="K103" s="60">
        <f>IF(J103="syllables",1,IF(J103="trigrams",2,IF(J103="strings",3,IF(J103="visual array",4,IF(J103="characters",5,IF(J103="letters",6,IF(J103="free forms",7,IF(J103="odors",8,IF(J103="words",9,IF(J103="pictures",10,IF(J103="object pictures",11,IF(J103="faces",12,IF(J103="names",13,IF(J103="idioms",14,IF(J103="grades",15,IF(J103="syllable-digit pairs",16,IF(J103="trigram-word pairs",17,IF(J103="word-digit pairs",18,IF(J103="English-Swahili pairs",19,IF(J103="spatial position",20,IF(J103="word pairs",21,IF(J103="word triads",22,IF(J103="generated words",23,IF(J103="word definition pairs",24,IF(J103="math problems",25,IF(J103="famous faces",26,IF(J103="famous names",27,IF(J103="famous voices",28,IF(J103="television programs",29,IF(J103="race horses",30,IF(J103="new vocabulary",31,IF(J103="sentences",32,IF(J103="concepts",33,IF(J103="ad slides",34,IF(J103="scenes",35,IF(J103="famous scenes",36,IF(J103="poems",37,IF(J103="walk",38,IF(J103="faces and events",39,IF(J103="events and names",40,IF(J103="flashbulb",41,IF(J103="stories",42,IF(J103="course material",43,IF(J103="autobiographical",44,IF(J103="novels",45,IF(J103="public events",46,"99"))))))))))))))))))))))))))))))))))))))))))))))</f>
        <v>9</v>
      </c>
      <c r="L103" s="60">
        <f>IF(J103="syllables",1,IF(J103="trigrams",1,IF(J103="strings",1,IF(J103="visual array",1,IF(J103="characters",1,IF(J103="letters",1,IF(J103="free forms",1,IF(J103="odors",2,IF(J103="words",2,IF(J103="pictures",2,IF(J103="object pictures",2,IF(J103="faces",2,IF(J103="names",2,IF(J103="idioms","2",IF(J103="grades",2,IF(J103="syllable-digit pairs",3,IF(J103="trigram-word pairs",3,IF(J103="word-digit pairs",3,IF(J103="English-Swahili pairs",3,IF(J103="spatial position",3,IF(J103="word pairs",4,IF(J103="word triads",4,IF(J103="generated words",4,IF(J103="word definition pairs",4,IF(J103="math problems",4,IF(J103="famous faces",4,IF(J103="famous names",4,IF(J103="famous voices",4,IF(J103="television programs",4,IF(J103="race horses",4,IF(J103="new vocabulary",4,IF(J103="sentences",5,IF(J103="concepts",5,IF(J103="ad slides",5,IF(J103="scenes",5,IF(J103="famous scenes",5,IF(J103="poems",6,IF(J103="walk",6,IF(J103="faces and events",6,IF(J103="events and names",6,IF(J103="flashbulb",7,IF(J103="stories",7,IF(J103="course material",7,IF(J103="autobiographical",7,IF(J103="novels",7,IF(J103="public events",7,"99"))))))))))))))))))))))))))))))))))))))))))))))</f>
        <v>2</v>
      </c>
      <c r="M103" s="60">
        <v>1</v>
      </c>
      <c r="N103" s="60">
        <v>2</v>
      </c>
      <c r="O103" s="60">
        <v>1</v>
      </c>
      <c r="P103" s="60" t="s">
        <v>899</v>
      </c>
      <c r="Q103" s="60" t="s">
        <v>126</v>
      </c>
      <c r="R103" s="60">
        <f>IF(Q103="Free Recall",1,IF(Q103="Cued Recall",2,IF(Q103="Recognition",3,IF(Q103="Multiple Choice",4,IF(Q103="Savings",5,IF(Q103="Stem Completion",6,IF(Q103="Fragment Completion",7,IF(Q103="anagram solution",8,IF(Q103="Matching",9,IF(Q103="Problem Solving",10,"99"))))))))))</f>
        <v>6</v>
      </c>
      <c r="S103" s="60" t="s">
        <v>49</v>
      </c>
      <c r="T103" s="60" t="s">
        <v>261</v>
      </c>
      <c r="U103" s="60">
        <f>IF(T103="within",1,0)</f>
        <v>0</v>
      </c>
      <c r="V103" s="60">
        <v>17</v>
      </c>
      <c r="W103" s="60">
        <f>F103*V103</f>
        <v>2448</v>
      </c>
      <c r="X103" s="60">
        <v>4</v>
      </c>
      <c r="Y103" s="76">
        <f>AV102</f>
        <v>640</v>
      </c>
      <c r="Z103" s="60" t="s">
        <v>97</v>
      </c>
      <c r="AA103" s="60">
        <v>604800</v>
      </c>
      <c r="AB103" s="60" t="str">
        <f>IF(AA103&lt;60,"1",IF(AA103&lt;=43200,"2",IF(AA103&lt;=777600,"3","4")))</f>
        <v>3</v>
      </c>
      <c r="AC103" s="56">
        <f>AVERAGE(AV102:DA102)</f>
        <v>195910</v>
      </c>
      <c r="AD103" s="60" t="str">
        <f>IF(AC103&lt;60,"1",IF(AC103&lt;=43200,"2",IF(AC103&lt;=777600,"3","4")))</f>
        <v>3</v>
      </c>
      <c r="AE103" s="76">
        <f>AA103-Y103</f>
        <v>604160</v>
      </c>
      <c r="AF103" s="80">
        <f>AV103</f>
        <v>0.38</v>
      </c>
      <c r="AG103" s="56">
        <f>((AW103-AV103)+(AX103-AW103)+(AY103-AX103))/3</f>
        <v>-3.3333333333333326E-2</v>
      </c>
      <c r="AH103" s="4"/>
      <c r="AI103" s="56">
        <f>RSQ(AV103:AY103,AV102:AY102)</f>
        <v>0.63809699977536716</v>
      </c>
      <c r="AJ103" s="109">
        <f>SLOPE(AV103:AY103,AV102:AY102)</f>
        <v>-1.159275393403477E-7</v>
      </c>
      <c r="AK103" s="56">
        <f>INTERCEPT(AV103:AY103,AV102:AY102)</f>
        <v>0.34771136423216753</v>
      </c>
      <c r="AL103" s="56">
        <f>INDEX(LINEST(LN(AV103:AY103),LN(AV102:AY102),TRUE,TRUE),3,1)</f>
        <v>0.79757167176064125</v>
      </c>
      <c r="AM103" s="56">
        <f>INDEX(LINEST(LN(AV103:AY103),LN(AV102:AY102)),1)</f>
        <v>-3.5544064179208461E-2</v>
      </c>
      <c r="AN103" s="56">
        <f>EXP(INDEX(LINEST(LN(AV103:AY103),LN(AV102:AY102)),1,2))</f>
        <v>0.46273106883434684</v>
      </c>
      <c r="AO103" s="82">
        <f>INDEX(LINEST((AV103:AY103),LN(AV102:AY102),TRUE,TRUE),3,1)</f>
        <v>0.79558904387638718</v>
      </c>
      <c r="AP103" s="82">
        <f>INDEX(LINEST((AV103:AY103),LN(AV102:AY102)),1)</f>
        <v>-1.1694481883428767E-2</v>
      </c>
      <c r="AQ103" s="83">
        <f>INDEX(LINEST(LN(AV103:AY103),SQRT(AV102:AY102),TRUE,TRUE),3,1)</f>
        <v>0.72724366002260654</v>
      </c>
      <c r="AR103" s="116">
        <f>INDEX(LINEST(LN(AV103:AY103),SQRT((AV102:AY102))),1)</f>
        <v>-3.0549268802464565E-4</v>
      </c>
      <c r="AS103" s="84">
        <f>INDEX(LINEST(1/(AV103:AY103),1/(SQRT(AV102:AY102)),TRUE,TRUE),3,1)</f>
        <v>0.79577740953921716</v>
      </c>
      <c r="AT103" s="84">
        <f>INDEX(LINEST(1/(AV103:AY103),1/SQRT(AV102:AY102)),1)</f>
        <v>-19.269055545581491</v>
      </c>
      <c r="AU103" s="3"/>
      <c r="AV103" s="53">
        <v>0.38</v>
      </c>
      <c r="AW103" s="53">
        <v>0.32</v>
      </c>
      <c r="AX103" s="53">
        <v>0.32</v>
      </c>
      <c r="AY103" s="53">
        <v>0.28000000000000003</v>
      </c>
      <c r="AZ103" s="53"/>
      <c r="BA103" s="53"/>
      <c r="BB103" s="53"/>
      <c r="BC103" s="53"/>
      <c r="BD103" s="53"/>
      <c r="BE103" s="53"/>
      <c r="BF103" s="53"/>
      <c r="BG103" s="53"/>
      <c r="BH103" s="53"/>
      <c r="BI103" s="53"/>
      <c r="BJ103" s="53"/>
      <c r="BK103" s="53"/>
      <c r="BL103" s="53"/>
      <c r="BM103" s="53"/>
      <c r="BN103" s="53"/>
      <c r="BO103" s="53"/>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53"/>
      <c r="CR103" s="1"/>
      <c r="CS103" s="1"/>
      <c r="CT103" s="1"/>
      <c r="CU103" s="1"/>
    </row>
    <row r="104" spans="1:99" s="13" customFormat="1" ht="12" customHeight="1" x14ac:dyDescent="0.2">
      <c r="A104" s="65">
        <v>43509</v>
      </c>
      <c r="B104" s="1"/>
      <c r="C104" s="1"/>
      <c r="D104" s="60"/>
      <c r="E104" s="76"/>
      <c r="F104" s="60"/>
      <c r="G104" s="60"/>
      <c r="H104" s="60"/>
      <c r="I104" s="60"/>
      <c r="J104" s="60"/>
      <c r="K104" s="64"/>
      <c r="L104" s="64"/>
      <c r="M104" s="60"/>
      <c r="N104" s="60"/>
      <c r="O104" s="60"/>
      <c r="P104" s="60"/>
      <c r="Q104" s="60"/>
      <c r="R104" s="60"/>
      <c r="S104" s="60"/>
      <c r="T104" s="60"/>
      <c r="U104" s="60"/>
      <c r="V104" s="60"/>
      <c r="W104" s="60"/>
      <c r="X104" s="60"/>
      <c r="Y104" s="76"/>
      <c r="Z104" s="60"/>
      <c r="AA104" s="60"/>
      <c r="AB104" s="60"/>
      <c r="AC104" s="60"/>
      <c r="AD104" s="60"/>
      <c r="AE104" s="60"/>
      <c r="AF104" s="80"/>
      <c r="AG104" s="56"/>
      <c r="AH104" s="4"/>
      <c r="AI104" s="56"/>
      <c r="AJ104" s="109"/>
      <c r="AK104" s="56"/>
      <c r="AL104" s="56"/>
      <c r="AM104" s="56"/>
      <c r="AN104" s="56"/>
      <c r="AO104" s="56"/>
      <c r="AP104" s="56"/>
      <c r="AQ104" s="56"/>
      <c r="AR104" s="109"/>
      <c r="AS104" s="56"/>
      <c r="AT104" s="56"/>
      <c r="AU104" s="4"/>
      <c r="AV104" s="25">
        <f>280+(6*60)</f>
        <v>640</v>
      </c>
      <c r="AW104" s="25">
        <f>1.5*3600</f>
        <v>5400</v>
      </c>
      <c r="AX104" s="25">
        <f>24*3600*2</f>
        <v>172800</v>
      </c>
      <c r="AY104" s="25">
        <f>24*3600*7</f>
        <v>604800</v>
      </c>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53"/>
      <c r="CR104" s="1"/>
      <c r="CS104" s="1"/>
      <c r="CT104" s="1"/>
      <c r="CU104" s="1"/>
    </row>
    <row r="105" spans="1:99" s="13" customFormat="1" ht="12" customHeight="1" x14ac:dyDescent="0.2">
      <c r="A105" s="65">
        <v>43509</v>
      </c>
      <c r="B105" s="1" t="s">
        <v>124</v>
      </c>
      <c r="C105" s="1" t="s">
        <v>45</v>
      </c>
      <c r="D105" s="60">
        <v>1992</v>
      </c>
      <c r="E105" s="76">
        <v>3</v>
      </c>
      <c r="F105" s="60">
        <v>144</v>
      </c>
      <c r="G105" s="60">
        <v>48</v>
      </c>
      <c r="H105" s="60" t="s">
        <v>227</v>
      </c>
      <c r="I105" s="60" t="s">
        <v>523</v>
      </c>
      <c r="J105" s="60" t="s">
        <v>16</v>
      </c>
      <c r="K105" s="60">
        <f>IF(J105="syllables",1,IF(J105="trigrams",2,IF(J105="strings",3,IF(J105="visual array",4,IF(J105="characters",5,IF(J105="letters",6,IF(J105="free forms",7,IF(J105="odors",8,IF(J105="words",9,IF(J105="pictures",10,IF(J105="object pictures",11,IF(J105="faces",12,IF(J105="names",13,IF(J105="idioms",14,IF(J105="grades",15,IF(J105="syllable-digit pairs",16,IF(J105="trigram-word pairs",17,IF(J105="word-digit pairs",18,IF(J105="English-Swahili pairs",19,IF(J105="spatial position",20,IF(J105="word pairs",21,IF(J105="word triads",22,IF(J105="generated words",23,IF(J105="word definition pairs",24,IF(J105="math problems",25,IF(J105="famous faces",26,IF(J105="famous names",27,IF(J105="famous voices",28,IF(J105="television programs",29,IF(J105="race horses",30,IF(J105="new vocabulary",31,IF(J105="sentences",32,IF(J105="concepts",33,IF(J105="ad slides",34,IF(J105="scenes",35,IF(J105="famous scenes",36,IF(J105="poems",37,IF(J105="walk",38,IF(J105="faces and events",39,IF(J105="events and names",40,IF(J105="flashbulb",41,IF(J105="stories",42,IF(J105="course material",43,IF(J105="autobiographical",44,IF(J105="novels",45,IF(J105="public events",46,"99"))))))))))))))))))))))))))))))))))))))))))))))</f>
        <v>9</v>
      </c>
      <c r="L105" s="60">
        <f>IF(J105="syllables",1,IF(J105="trigrams",1,IF(J105="strings",1,IF(J105="visual array",1,IF(J105="characters",1,IF(J105="letters",1,IF(J105="free forms",1,IF(J105="odors",2,IF(J105="words",2,IF(J105="pictures",2,IF(J105="object pictures",2,IF(J105="faces",2,IF(J105="names",2,IF(J105="idioms","2",IF(J105="grades",2,IF(J105="syllable-digit pairs",3,IF(J105="trigram-word pairs",3,IF(J105="word-digit pairs",3,IF(J105="English-Swahili pairs",3,IF(J105="spatial position",3,IF(J105="word pairs",4,IF(J105="word triads",4,IF(J105="generated words",4,IF(J105="word definition pairs",4,IF(J105="math problems",4,IF(J105="famous faces",4,IF(J105="famous names",4,IF(J105="famous voices",4,IF(J105="television programs",4,IF(J105="race horses",4,IF(J105="new vocabulary",4,IF(J105="sentences",5,IF(J105="concepts",5,IF(J105="ad slides",5,IF(J105="scenes",5,IF(J105="famous scenes",5,IF(J105="poems",6,IF(J105="walk",6,IF(J105="faces and events",6,IF(J105="events and names",6,IF(J105="flashbulb",7,IF(J105="stories",7,IF(J105="course material",7,IF(J105="autobiographical",7,IF(J105="novels",7,IF(J105="public events",7,"99"))))))))))))))))))))))))))))))))))))))))))))))</f>
        <v>2</v>
      </c>
      <c r="M105" s="60">
        <v>1</v>
      </c>
      <c r="N105" s="60">
        <v>2</v>
      </c>
      <c r="O105" s="60">
        <v>1</v>
      </c>
      <c r="P105" s="60" t="s">
        <v>899</v>
      </c>
      <c r="Q105" s="60" t="s">
        <v>126</v>
      </c>
      <c r="R105" s="60">
        <f>IF(Q105="Free Recall",1,IF(Q105="Cued Recall",2,IF(Q105="Recognition",3,IF(Q105="Multiple Choice",4,IF(Q105="Savings",5,IF(Q105="Stem Completion",6,IF(Q105="Fragment Completion",7,IF(Q105="anagram solution",8,IF(Q105="Matching",9,IF(Q105="Problem Solving",10,"99"))))))))))</f>
        <v>6</v>
      </c>
      <c r="S105" s="60" t="s">
        <v>49</v>
      </c>
      <c r="T105" s="60" t="s">
        <v>261</v>
      </c>
      <c r="U105" s="60">
        <f>IF(T105="within",1,0)</f>
        <v>0</v>
      </c>
      <c r="V105" s="60">
        <v>17</v>
      </c>
      <c r="W105" s="60">
        <f>F105*V105</f>
        <v>2448</v>
      </c>
      <c r="X105" s="60">
        <v>4</v>
      </c>
      <c r="Y105" s="76">
        <f>AV104</f>
        <v>640</v>
      </c>
      <c r="Z105" s="60" t="s">
        <v>97</v>
      </c>
      <c r="AA105" s="60">
        <v>604800</v>
      </c>
      <c r="AB105" s="60" t="str">
        <f>IF(AA105&lt;60,"1",IF(AA105&lt;=43200,"2",IF(AA105&lt;=777600,"3","4")))</f>
        <v>3</v>
      </c>
      <c r="AC105" s="56">
        <f>AVERAGE(AV104:DA104)</f>
        <v>195910</v>
      </c>
      <c r="AD105" s="60" t="str">
        <f>IF(AC105&lt;60,"1",IF(AC105&lt;=43200,"2",IF(AC105&lt;=777600,"3","4")))</f>
        <v>3</v>
      </c>
      <c r="AE105" s="76">
        <f>AA105-Y105</f>
        <v>604160</v>
      </c>
      <c r="AF105" s="80">
        <f>AV105</f>
        <v>0.2</v>
      </c>
      <c r="AG105" s="56">
        <f>((AW105-AV105)+(AX105-AW105)+(AY105-AX105))/3</f>
        <v>-2.6666666666666672E-2</v>
      </c>
      <c r="AH105" s="4"/>
      <c r="AI105" s="56">
        <f>RSQ(AV105:AY105,AV104:AY104)</f>
        <v>0.95887170712414505</v>
      </c>
      <c r="AJ105" s="109">
        <f>SLOPE(AV105:AY105,AV104:AY104)</f>
        <v>-1.4891294204794376E-7</v>
      </c>
      <c r="AK105" s="56">
        <f>INTERCEPT(AV105:AY105,AV104:AY104)</f>
        <v>0.20917353447661269</v>
      </c>
      <c r="AL105" s="56">
        <f>INDEX(LINEST(LN(AV105:AY105),LN(AV104:AY104),TRUE,TRUE),3,1)</f>
        <v>0.62417647921066444</v>
      </c>
      <c r="AM105" s="56">
        <f>INDEX(LINEST(LN(AV105:AY105),LN(AV104:AY104)),1)</f>
        <v>-6.6988517765718E-2</v>
      </c>
      <c r="AN105" s="56">
        <f>EXP(INDEX(LINEST(LN(AV105:AY105),LN(AV104:AY104)),1,2))</f>
        <v>0.34555578776706009</v>
      </c>
      <c r="AO105" s="82">
        <f>INDEX(LINEST((AV105:AY105),LN(AV104:AY104),TRUE,TRUE),3,1)</f>
        <v>0.63873428443155833</v>
      </c>
      <c r="AP105" s="82">
        <f>INDEX(LINEST((AV105:AY105),LN(AV104:AY104)),1)</f>
        <v>-1.0980083123043395E-2</v>
      </c>
      <c r="AQ105" s="83">
        <f>INDEX(LINEST(LN(AV105:AY105),SQRT(AV104:AY104),TRUE,TRUE),3,1)</f>
        <v>0.90439138127600349</v>
      </c>
      <c r="AR105" s="116">
        <f>INDEX(LINEST(LN(AV105:AY105),SQRT((AV104:AY104))),1)</f>
        <v>-7.2577749922174493E-4</v>
      </c>
      <c r="AS105" s="84">
        <f>INDEX(LINEST(1/(AV105:AY105),1/(SQRT(AV104:AY104)),TRUE,TRUE),3,1)</f>
        <v>0.29617981849164382</v>
      </c>
      <c r="AT105" s="84">
        <f>INDEX(LINEST(1/(AV105:AY105),1/SQRT(AV104:AY104)),1)</f>
        <v>-52.075048422321075</v>
      </c>
      <c r="AU105" s="3"/>
      <c r="AV105" s="53">
        <v>0.2</v>
      </c>
      <c r="AW105" s="53">
        <v>0.22</v>
      </c>
      <c r="AX105" s="53">
        <v>0.18</v>
      </c>
      <c r="AY105" s="53">
        <v>0.12</v>
      </c>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1"/>
      <c r="CS105" s="1"/>
      <c r="CT105" s="1"/>
      <c r="CU105" s="1"/>
    </row>
    <row r="106" spans="1:99" s="13" customFormat="1" ht="12" customHeight="1" x14ac:dyDescent="0.2">
      <c r="A106" s="65">
        <v>43509</v>
      </c>
      <c r="B106" s="1"/>
      <c r="C106" s="1"/>
      <c r="D106" s="60"/>
      <c r="E106" s="76"/>
      <c r="F106" s="60"/>
      <c r="G106" s="60"/>
      <c r="H106" s="60"/>
      <c r="I106" s="60"/>
      <c r="J106" s="60"/>
      <c r="K106" s="64"/>
      <c r="L106" s="64"/>
      <c r="M106" s="60"/>
      <c r="N106" s="60"/>
      <c r="O106" s="60"/>
      <c r="P106" s="60"/>
      <c r="Q106" s="60"/>
      <c r="R106" s="60"/>
      <c r="S106" s="60"/>
      <c r="T106" s="60"/>
      <c r="U106" s="60"/>
      <c r="V106" s="60"/>
      <c r="W106" s="60"/>
      <c r="X106" s="60"/>
      <c r="Y106" s="76"/>
      <c r="Z106" s="60"/>
      <c r="AA106" s="60"/>
      <c r="AB106" s="60"/>
      <c r="AC106" s="60"/>
      <c r="AD106" s="60"/>
      <c r="AE106" s="60"/>
      <c r="AF106" s="80"/>
      <c r="AG106" s="56"/>
      <c r="AH106" s="4"/>
      <c r="AI106" s="56"/>
      <c r="AJ106" s="109"/>
      <c r="AK106" s="56"/>
      <c r="AL106" s="56"/>
      <c r="AM106" s="56"/>
      <c r="AN106" s="56"/>
      <c r="AO106" s="56"/>
      <c r="AP106" s="56"/>
      <c r="AQ106" s="82"/>
      <c r="AR106" s="115"/>
      <c r="AS106" s="82"/>
      <c r="AT106" s="82"/>
      <c r="AU106" s="4"/>
      <c r="AV106" s="25">
        <v>58</v>
      </c>
      <c r="AW106" s="25">
        <f>24*3600*1</f>
        <v>86400</v>
      </c>
      <c r="AX106" s="25">
        <f>24*3600*5</f>
        <v>432000</v>
      </c>
      <c r="AY106" s="53" t="s">
        <v>531</v>
      </c>
      <c r="AZ106" s="53"/>
      <c r="BA106" s="53"/>
      <c r="BB106" s="53"/>
      <c r="BC106" s="53"/>
      <c r="BD106" s="53"/>
      <c r="BE106" s="53"/>
      <c r="BF106" s="53"/>
      <c r="BG106" s="53"/>
      <c r="BH106" s="53"/>
      <c r="BI106" s="53"/>
      <c r="BJ106" s="53"/>
      <c r="BK106" s="53"/>
      <c r="BL106" s="53"/>
      <c r="BM106" s="53"/>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1"/>
      <c r="CS106" s="1"/>
      <c r="CT106" s="1"/>
      <c r="CU106" s="1"/>
    </row>
    <row r="107" spans="1:99" s="13" customFormat="1" ht="12" customHeight="1" x14ac:dyDescent="0.2">
      <c r="A107" s="65">
        <v>43509</v>
      </c>
      <c r="B107" s="1" t="s">
        <v>128</v>
      </c>
      <c r="C107" s="1" t="s">
        <v>45</v>
      </c>
      <c r="D107" s="60">
        <v>1983</v>
      </c>
      <c r="E107" s="76">
        <v>1</v>
      </c>
      <c r="F107" s="60">
        <v>120</v>
      </c>
      <c r="G107" s="60">
        <v>20</v>
      </c>
      <c r="H107" s="60" t="s">
        <v>41</v>
      </c>
      <c r="I107" s="60" t="s">
        <v>130</v>
      </c>
      <c r="J107" s="60" t="s">
        <v>16</v>
      </c>
      <c r="K107" s="60">
        <f>IF(J107="syllables",1,IF(J107="trigrams",2,IF(J107="strings",3,IF(J107="visual array",4,IF(J107="characters",5,IF(J107="letters",6,IF(J107="free forms",7,IF(J107="odors",8,IF(J107="words",9,IF(J107="pictures",10,IF(J107="object pictures",11,IF(J107="faces",12,IF(J107="names",13,IF(J107="idioms",14,IF(J107="grades",15,IF(J107="syllable-digit pairs",16,IF(J107="trigram-word pairs",17,IF(J107="word-digit pairs",18,IF(J107="English-Swahili pairs",19,IF(J107="spatial position",20,IF(J107="word pairs",21,IF(J107="word triads",22,IF(J107="generated words",23,IF(J107="word definition pairs",24,IF(J107="math problems",25,IF(J107="famous faces",26,IF(J107="famous names",27,IF(J107="famous voices",28,IF(J107="television programs",29,IF(J107="race horses",30,IF(J107="new vocabulary",31,IF(J107="sentences",32,IF(J107="concepts",33,IF(J107="ad slides",34,IF(J107="scenes",35,IF(J107="famous scenes",36,IF(J107="poems",37,IF(J107="walk",38,IF(J107="faces and events",39,IF(J107="events and names",40,IF(J107="flashbulb",41,IF(J107="stories",42,IF(J107="course material",43,IF(J107="autobiographical",44,IF(J107="novels",45,IF(J107="public events",46,"99"))))))))))))))))))))))))))))))))))))))))))))))</f>
        <v>9</v>
      </c>
      <c r="L107" s="60">
        <f>IF(J107="syllables",1,IF(J107="trigrams",1,IF(J107="strings",1,IF(J107="visual array",1,IF(J107="characters",1,IF(J107="letters",1,IF(J107="free forms",1,IF(J107="odors",2,IF(J107="words",2,IF(J107="pictures",2,IF(J107="object pictures",2,IF(J107="faces",2,IF(J107="names",2,IF(J107="idioms","2",IF(J107="grades",2,IF(J107="syllable-digit pairs",3,IF(J107="trigram-word pairs",3,IF(J107="word-digit pairs",3,IF(J107="English-Swahili pairs",3,IF(J107="spatial position",3,IF(J107="word pairs",4,IF(J107="word triads",4,IF(J107="generated words",4,IF(J107="word definition pairs",4,IF(J107="math problems",4,IF(J107="famous faces",4,IF(J107="famous names",4,IF(J107="famous voices",4,IF(J107="television programs",4,IF(J107="race horses",4,IF(J107="new vocabulary",4,IF(J107="sentences",5,IF(J107="concepts",5,IF(J107="ad slides",5,IF(J107="scenes",5,IF(J107="famous scenes",5,IF(J107="poems",6,IF(J107="walk",6,IF(J107="faces and events",6,IF(J107="events and names",6,IF(J107="flashbulb",7,IF(J107="stories",7,IF(J107="course material",7,IF(J107="autobiographical",7,IF(J107="novels",7,IF(J107="public events",7,"99"))))))))))))))))))))))))))))))))))))))))))))))</f>
        <v>2</v>
      </c>
      <c r="M107" s="60">
        <v>1</v>
      </c>
      <c r="N107" s="60">
        <v>2</v>
      </c>
      <c r="O107" s="60">
        <v>1</v>
      </c>
      <c r="P107" s="60" t="s">
        <v>129</v>
      </c>
      <c r="Q107" s="60" t="s">
        <v>174</v>
      </c>
      <c r="R107" s="60">
        <f>IF(Q107="Free Recall",1,IF(Q107="Cued Recall",2,IF(Q107="Recognition",3,IF(Q107="Multiple Choice",4,IF(Q107="Savings",5,IF(Q107="Stem Completion",6,IF(Q107="Fragment Completion",7,IF(Q107="anagram solution",8,IF(Q107="Matching",9,IF(Q107="Problem Solving",10,"99"))))))))))</f>
        <v>1</v>
      </c>
      <c r="S107" s="60"/>
      <c r="T107" s="60" t="s">
        <v>261</v>
      </c>
      <c r="U107" s="60">
        <f>IF(T107="within",1,0)</f>
        <v>0</v>
      </c>
      <c r="V107" s="60">
        <v>56</v>
      </c>
      <c r="W107" s="60">
        <f>F107*V107</f>
        <v>6720</v>
      </c>
      <c r="X107" s="60">
        <v>3</v>
      </c>
      <c r="Y107" s="76">
        <f>AV106</f>
        <v>58</v>
      </c>
      <c r="Z107" s="60" t="s">
        <v>131</v>
      </c>
      <c r="AA107" s="60">
        <v>432000</v>
      </c>
      <c r="AB107" s="60" t="str">
        <f>IF(AA107&lt;60,"1",IF(AA107&lt;=43200,"2",IF(AA107&lt;=777600,"3","4")))</f>
        <v>3</v>
      </c>
      <c r="AC107" s="56">
        <f>AVERAGE(AV106:DA106)</f>
        <v>172819.33333333334</v>
      </c>
      <c r="AD107" s="60" t="str">
        <f>IF(AC107&lt;60,"1",IF(AC107&lt;=43200,"2",IF(AC107&lt;=777600,"3","4")))</f>
        <v>3</v>
      </c>
      <c r="AE107" s="76">
        <f>AA107-Y107</f>
        <v>431942</v>
      </c>
      <c r="AF107" s="80">
        <f>AV107</f>
        <v>0.66100000000000003</v>
      </c>
      <c r="AG107" s="56">
        <f>((AW107-AV107)+(AX107-AW107))/2</f>
        <v>-0.12700000000000003</v>
      </c>
      <c r="AH107" s="4"/>
      <c r="AI107" s="56">
        <f>RSQ(AV107:AX107,AV106:AX106)</f>
        <v>0.87832551945684667</v>
      </c>
      <c r="AJ107" s="109">
        <f>SLOPE(AV107:AX107,AV106:AX106)</f>
        <v>-5.2086181627371429E-7</v>
      </c>
      <c r="AK107" s="56">
        <f>INTERCEPT(AV107:AX107,AV106:AX106)</f>
        <v>0.62234832518054573</v>
      </c>
      <c r="AL107" s="56">
        <f>INDEX(LINEST(LN(AV107:AX107),LN(AV106:AX106),TRUE,TRUE),3,1)</f>
        <v>0.8481350763939125</v>
      </c>
      <c r="AM107" s="56">
        <f>INDEX(LINEST(LN(AV107:AX107),LN(AV106:AX106)),1)</f>
        <v>-4.7047267276957058E-2</v>
      </c>
      <c r="AN107" s="56">
        <f>EXP(INDEX(LINEST(LN(AV107:AX107),LN(AV106:AX106)),1,2))</f>
        <v>0.81507930563133635</v>
      </c>
      <c r="AO107" s="82">
        <f>INDEX(LINEST((AV107:AX107),LN(AV106:AX106),TRUE,TRUE),3,1)</f>
        <v>0.89457118884911579</v>
      </c>
      <c r="AP107" s="82">
        <f>INDEX(LINEST((AV107:AX107),LN(AV106:AX106)),1)</f>
        <v>-2.528652290433523E-2</v>
      </c>
      <c r="AQ107" s="83">
        <f>INDEX(LINEST(LN(AV107:AX107),SQRT(AV106:AX106),TRUE,TRUE),3,1)</f>
        <v>0.99954025314640382</v>
      </c>
      <c r="AR107" s="116">
        <f>INDEX(LINEST(LN(AV107:AX107),SQRT((AV106:AX106))),1)</f>
        <v>-7.4536901638812931E-4</v>
      </c>
      <c r="AS107" s="84">
        <f>INDEX(LINEST(1/(AV107:AX107),1/(SQRT(AV106:AX106)),TRUE,TRUE),3,1)</f>
        <v>0.65660759201420271</v>
      </c>
      <c r="AT107" s="84">
        <f>INDEX(LINEST(1/(AV107:AX107),1/SQRT(AV106:AX106)),1)</f>
        <v>-5.1761394547475126</v>
      </c>
      <c r="AU107" s="3"/>
      <c r="AV107" s="53">
        <v>0.66100000000000003</v>
      </c>
      <c r="AW107" s="53">
        <v>0.52900000000000003</v>
      </c>
      <c r="AX107" s="53">
        <v>0.40699999999999997</v>
      </c>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c r="CA107" s="53"/>
      <c r="CB107" s="53"/>
      <c r="CC107" s="53"/>
      <c r="CD107" s="53"/>
      <c r="CE107" s="53"/>
      <c r="CF107" s="53"/>
      <c r="CG107" s="53"/>
      <c r="CH107" s="53"/>
      <c r="CI107" s="53"/>
      <c r="CJ107" s="53"/>
      <c r="CK107" s="53"/>
      <c r="CL107" s="53"/>
      <c r="CM107" s="53"/>
      <c r="CN107" s="53"/>
      <c r="CO107" s="53"/>
      <c r="CP107" s="53"/>
      <c r="CQ107" s="53"/>
      <c r="CR107" s="1"/>
      <c r="CS107" s="1"/>
      <c r="CT107" s="1"/>
      <c r="CU107" s="1"/>
    </row>
    <row r="108" spans="1:99" s="13" customFormat="1" ht="12" customHeight="1" x14ac:dyDescent="0.2">
      <c r="A108" s="65">
        <v>43509</v>
      </c>
      <c r="B108" s="1"/>
      <c r="C108" s="1"/>
      <c r="D108" s="60"/>
      <c r="E108" s="76"/>
      <c r="F108" s="60"/>
      <c r="G108" s="60"/>
      <c r="H108" s="60"/>
      <c r="I108" s="60"/>
      <c r="J108" s="60"/>
      <c r="K108" s="64"/>
      <c r="L108" s="64"/>
      <c r="M108" s="60"/>
      <c r="N108" s="60"/>
      <c r="O108" s="60"/>
      <c r="P108" s="60"/>
      <c r="Q108" s="60"/>
      <c r="R108" s="60"/>
      <c r="S108" s="60"/>
      <c r="T108" s="60"/>
      <c r="U108" s="60"/>
      <c r="V108" s="60"/>
      <c r="W108" s="60"/>
      <c r="X108" s="60"/>
      <c r="Y108" s="76"/>
      <c r="Z108" s="60"/>
      <c r="AA108" s="60"/>
      <c r="AB108" s="60"/>
      <c r="AC108" s="60"/>
      <c r="AD108" s="60"/>
      <c r="AE108" s="60"/>
      <c r="AF108" s="80"/>
      <c r="AG108" s="56"/>
      <c r="AH108" s="4"/>
      <c r="AI108" s="56"/>
      <c r="AJ108" s="109"/>
      <c r="AK108" s="56"/>
      <c r="AL108" s="56"/>
      <c r="AM108" s="56"/>
      <c r="AN108" s="56"/>
      <c r="AO108" s="56"/>
      <c r="AP108" s="56"/>
      <c r="AQ108" s="82"/>
      <c r="AR108" s="115"/>
      <c r="AS108" s="82"/>
      <c r="AT108" s="82"/>
      <c r="AU108" s="4"/>
      <c r="AV108" s="25">
        <v>58</v>
      </c>
      <c r="AW108" s="25">
        <f>24*3600*1</f>
        <v>86400</v>
      </c>
      <c r="AX108" s="25">
        <f>24*3600*5</f>
        <v>432000</v>
      </c>
      <c r="AY108" s="53"/>
      <c r="AZ108" s="53"/>
      <c r="BA108" s="53"/>
      <c r="BB108" s="53"/>
      <c r="BC108" s="53"/>
      <c r="BD108" s="53"/>
      <c r="BE108" s="53"/>
      <c r="BF108" s="53"/>
      <c r="BG108" s="53"/>
      <c r="BH108" s="53"/>
      <c r="BI108" s="53"/>
      <c r="BJ108" s="53"/>
      <c r="BK108" s="53"/>
      <c r="BL108" s="53"/>
      <c r="BM108" s="53"/>
      <c r="BN108" s="53"/>
      <c r="BO108" s="53"/>
      <c r="BP108" s="53"/>
      <c r="BQ108" s="53"/>
      <c r="BR108" s="53"/>
      <c r="BS108" s="53"/>
      <c r="BT108" s="53"/>
      <c r="BU108" s="53"/>
      <c r="BV108" s="53"/>
      <c r="BW108" s="53"/>
      <c r="BX108" s="53"/>
      <c r="BY108" s="53"/>
      <c r="BZ108" s="53"/>
      <c r="CA108" s="53"/>
      <c r="CB108" s="53"/>
      <c r="CC108" s="53"/>
      <c r="CD108" s="53"/>
      <c r="CE108" s="53"/>
      <c r="CF108" s="53"/>
      <c r="CG108" s="53"/>
      <c r="CH108" s="53"/>
      <c r="CI108" s="53"/>
      <c r="CJ108" s="53"/>
      <c r="CK108" s="53"/>
      <c r="CL108" s="53"/>
      <c r="CM108" s="53"/>
      <c r="CN108" s="53"/>
      <c r="CO108" s="53"/>
      <c r="CP108" s="53"/>
      <c r="CQ108" s="53"/>
      <c r="CR108" s="1"/>
      <c r="CS108" s="1"/>
      <c r="CT108" s="1"/>
      <c r="CU108" s="1"/>
    </row>
    <row r="109" spans="1:99" s="13" customFormat="1" ht="12" customHeight="1" x14ac:dyDescent="0.2">
      <c r="A109" s="65">
        <v>43509</v>
      </c>
      <c r="B109" s="1" t="s">
        <v>128</v>
      </c>
      <c r="C109" s="1" t="s">
        <v>45</v>
      </c>
      <c r="D109" s="60">
        <v>1983</v>
      </c>
      <c r="E109" s="76">
        <v>1</v>
      </c>
      <c r="F109" s="60">
        <v>120</v>
      </c>
      <c r="G109" s="60">
        <v>20</v>
      </c>
      <c r="H109" s="60" t="s">
        <v>41</v>
      </c>
      <c r="I109" s="60" t="s">
        <v>130</v>
      </c>
      <c r="J109" s="60" t="s">
        <v>16</v>
      </c>
      <c r="K109" s="60">
        <f>IF(J109="syllables",1,IF(J109="trigrams",2,IF(J109="strings",3,IF(J109="visual array",4,IF(J109="characters",5,IF(J109="letters",6,IF(J109="free forms",7,IF(J109="odors",8,IF(J109="words",9,IF(J109="pictures",10,IF(J109="object pictures",11,IF(J109="faces",12,IF(J109="names",13,IF(J109="idioms",14,IF(J109="grades",15,IF(J109="syllable-digit pairs",16,IF(J109="trigram-word pairs",17,IF(J109="word-digit pairs",18,IF(J109="English-Swahili pairs",19,IF(J109="spatial position",20,IF(J109="word pairs",21,IF(J109="word triads",22,IF(J109="generated words",23,IF(J109="word definition pairs",24,IF(J109="math problems",25,IF(J109="famous faces",26,IF(J109="famous names",27,IF(J109="famous voices",28,IF(J109="television programs",29,IF(J109="race horses",30,IF(J109="new vocabulary",31,IF(J109="sentences",32,IF(J109="concepts",33,IF(J109="ad slides",34,IF(J109="scenes",35,IF(J109="famous scenes",36,IF(J109="poems",37,IF(J109="walk",38,IF(J109="faces and events",39,IF(J109="events and names",40,IF(J109="flashbulb",41,IF(J109="stories",42,IF(J109="course material",43,IF(J109="autobiographical",44,IF(J109="novels",45,IF(J109="public events",46,"99"))))))))))))))))))))))))))))))))))))))))))))))</f>
        <v>9</v>
      </c>
      <c r="L109" s="60">
        <f>IF(J109="syllables",1,IF(J109="trigrams",1,IF(J109="strings",1,IF(J109="visual array",1,IF(J109="characters",1,IF(J109="letters",1,IF(J109="free forms",1,IF(J109="odors",2,IF(J109="words",2,IF(J109="pictures",2,IF(J109="object pictures",2,IF(J109="faces",2,IF(J109="names",2,IF(J109="idioms","2",IF(J109="grades",2,IF(J109="syllable-digit pairs",3,IF(J109="trigram-word pairs",3,IF(J109="word-digit pairs",3,IF(J109="English-Swahili pairs",3,IF(J109="spatial position",3,IF(J109="word pairs",4,IF(J109="word triads",4,IF(J109="generated words",4,IF(J109="word definition pairs",4,IF(J109="math problems",4,IF(J109="famous faces",4,IF(J109="famous names",4,IF(J109="famous voices",4,IF(J109="television programs",4,IF(J109="race horses",4,IF(J109="new vocabulary",4,IF(J109="sentences",5,IF(J109="concepts",5,IF(J109="ad slides",5,IF(J109="scenes",5,IF(J109="famous scenes",5,IF(J109="poems",6,IF(J109="walk",6,IF(J109="faces and events",6,IF(J109="events and names",6,IF(J109="flashbulb",7,IF(J109="stories",7,IF(J109="course material",7,IF(J109="autobiographical",7,IF(J109="novels",7,IF(J109="public events",7,"99"))))))))))))))))))))))))))))))))))))))))))))))</f>
        <v>2</v>
      </c>
      <c r="M109" s="60">
        <v>1</v>
      </c>
      <c r="N109" s="60">
        <v>2</v>
      </c>
      <c r="O109" s="60">
        <v>1</v>
      </c>
      <c r="P109" s="60" t="s">
        <v>129</v>
      </c>
      <c r="Q109" s="60" t="s">
        <v>65</v>
      </c>
      <c r="R109" s="60">
        <f>IF(Q109="Free Recall",1,IF(Q109="Cued Recall",2,IF(Q109="Recognition",3,IF(Q109="Multiple Choice",4,IF(Q109="Savings",5,IF(Q109="Stem Completion",6,IF(Q109="Fragment Completion",7,IF(Q109="anagram solution",8,IF(Q109="Matching",9,IF(Q109="Problem Solving",10,"99"))))))))))</f>
        <v>2</v>
      </c>
      <c r="S109" s="60"/>
      <c r="T109" s="60" t="s">
        <v>261</v>
      </c>
      <c r="U109" s="60">
        <f>IF(T109="within",1,0)</f>
        <v>0</v>
      </c>
      <c r="V109" s="60">
        <v>56</v>
      </c>
      <c r="W109" s="60">
        <f>F109*V109</f>
        <v>6720</v>
      </c>
      <c r="X109" s="60">
        <v>3</v>
      </c>
      <c r="Y109" s="76">
        <f>AV108</f>
        <v>58</v>
      </c>
      <c r="Z109" s="60" t="s">
        <v>131</v>
      </c>
      <c r="AA109" s="60">
        <v>432000</v>
      </c>
      <c r="AB109" s="60" t="str">
        <f>IF(AA109&lt;60,"1",IF(AA109&lt;=43200,"2",IF(AA109&lt;=777600,"3","4")))</f>
        <v>3</v>
      </c>
      <c r="AC109" s="56">
        <f>AVERAGE(AV108:DA108)</f>
        <v>172819.33333333334</v>
      </c>
      <c r="AD109" s="60" t="str">
        <f>IF(AC109&lt;60,"1",IF(AC109&lt;=43200,"2",IF(AC109&lt;=777600,"3","4")))</f>
        <v>3</v>
      </c>
      <c r="AE109" s="76">
        <f>AA109-Y109</f>
        <v>431942</v>
      </c>
      <c r="AF109" s="80">
        <f>AV109</f>
        <v>0.76500000000000001</v>
      </c>
      <c r="AG109" s="56">
        <f>((AW109-AV109)+(AX109-AW109))/2</f>
        <v>-8.550000000000002E-2</v>
      </c>
      <c r="AH109" s="4"/>
      <c r="AI109" s="56">
        <f>RSQ(AV109:AX109,AV108:AX108)</f>
        <v>0.99997557593336728</v>
      </c>
      <c r="AJ109" s="109">
        <f>SLOPE(AV109:AX109,AV108:AX108)</f>
        <v>-3.9520964178200022E-7</v>
      </c>
      <c r="AK109" s="56">
        <f>INTERCEPT(AV109:AX109,AV108:AX108)</f>
        <v>0.76463320015300407</v>
      </c>
      <c r="AL109" s="56">
        <f>INDEX(LINEST(LN(AV109:AX109),LN(AV108:AX108),TRUE,TRUE),3,1)</f>
        <v>0.58284974116752986</v>
      </c>
      <c r="AM109" s="56">
        <f>INDEX(LINEST(LN(AV109:AX109),LN(AV108:AX108)),1)</f>
        <v>-2.1626797899197983E-2</v>
      </c>
      <c r="AN109" s="56">
        <f>EXP(INDEX(LINEST(LN(AV109:AX109),LN(AV108:AX108)),1,2))</f>
        <v>0.84953673831112153</v>
      </c>
      <c r="AO109" s="82">
        <f>INDEX(LINEST((AV109:AX109),LN(AV108:AX108),TRUE,TRUE),3,1)</f>
        <v>0.60260338256922574</v>
      </c>
      <c r="AP109" s="82">
        <f>INDEX(LINEST((AV109:AX109),LN(AV108:AX108)),1)</f>
        <v>-1.4758271933403752E-2</v>
      </c>
      <c r="AQ109" s="83">
        <f>INDEX(LINEST(LN(AV109:AX109),SQRT(AV108:AX108),TRUE,TRUE),3,1)</f>
        <v>0.92340590790184007</v>
      </c>
      <c r="AR109" s="116">
        <f>INDEX(LINEST(LN(AV109:AX109),SQRT((AV108:AX108))),1)</f>
        <v>-3.9726430415178268E-4</v>
      </c>
      <c r="AS109" s="84">
        <f>INDEX(LINEST(1/(AV109:AX109),1/(SQRT(AV108:AX108)),TRUE,TRUE),3,1)</f>
        <v>0.4074335766520682</v>
      </c>
      <c r="AT109" s="84">
        <f>INDEX(LINEST(1/(AV109:AX109),1/SQRT(AV108:AX108)),1)</f>
        <v>-1.7299170504208508</v>
      </c>
      <c r="AU109" s="3"/>
      <c r="AV109" s="53">
        <v>0.76500000000000001</v>
      </c>
      <c r="AW109" s="53">
        <v>0.73</v>
      </c>
      <c r="AX109" s="53">
        <v>0.59399999999999997</v>
      </c>
      <c r="AY109" s="53"/>
      <c r="AZ109" s="53"/>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c r="BY109" s="53"/>
      <c r="BZ109" s="53"/>
      <c r="CA109" s="53"/>
      <c r="CB109" s="53"/>
      <c r="CC109" s="53"/>
      <c r="CD109" s="53"/>
      <c r="CE109" s="53"/>
      <c r="CF109" s="53"/>
      <c r="CG109" s="53"/>
      <c r="CH109" s="53"/>
      <c r="CI109" s="53"/>
      <c r="CJ109" s="53"/>
      <c r="CK109" s="53"/>
      <c r="CL109" s="53"/>
      <c r="CM109" s="53"/>
      <c r="CN109" s="53"/>
      <c r="CO109" s="53"/>
      <c r="CP109" s="53"/>
      <c r="CQ109" s="53"/>
      <c r="CR109" s="1"/>
      <c r="CS109" s="1"/>
      <c r="CT109" s="1"/>
      <c r="CU109" s="1"/>
    </row>
    <row r="110" spans="1:99" s="13" customFormat="1" ht="12" customHeight="1" x14ac:dyDescent="0.2">
      <c r="A110" s="65">
        <v>43509</v>
      </c>
      <c r="B110" s="1"/>
      <c r="C110" s="1"/>
      <c r="D110" s="60"/>
      <c r="E110" s="76"/>
      <c r="F110" s="60"/>
      <c r="G110" s="60"/>
      <c r="H110" s="60"/>
      <c r="I110" s="60"/>
      <c r="J110" s="60"/>
      <c r="K110" s="64"/>
      <c r="L110" s="64"/>
      <c r="M110" s="60"/>
      <c r="N110" s="60"/>
      <c r="O110" s="60"/>
      <c r="P110" s="60"/>
      <c r="Q110" s="60"/>
      <c r="R110" s="60"/>
      <c r="S110" s="60"/>
      <c r="T110" s="60"/>
      <c r="U110" s="60"/>
      <c r="V110" s="60"/>
      <c r="W110" s="60"/>
      <c r="X110" s="60"/>
      <c r="Y110" s="76"/>
      <c r="Z110" s="60"/>
      <c r="AA110" s="60"/>
      <c r="AB110" s="60"/>
      <c r="AC110" s="60"/>
      <c r="AD110" s="60"/>
      <c r="AE110" s="60"/>
      <c r="AF110" s="80"/>
      <c r="AG110" s="56"/>
      <c r="AH110" s="4"/>
      <c r="AI110" s="56"/>
      <c r="AJ110" s="109"/>
      <c r="AK110" s="56"/>
      <c r="AL110" s="56"/>
      <c r="AM110" s="56"/>
      <c r="AN110" s="56"/>
      <c r="AO110" s="56"/>
      <c r="AP110" s="56"/>
      <c r="AQ110" s="82"/>
      <c r="AR110" s="115"/>
      <c r="AS110" s="82"/>
      <c r="AT110" s="82"/>
      <c r="AU110" s="4"/>
      <c r="AV110" s="25">
        <v>70</v>
      </c>
      <c r="AW110" s="25">
        <f>24*3600*1</f>
        <v>86400</v>
      </c>
      <c r="AX110" s="25">
        <f>24*3600*5</f>
        <v>432000</v>
      </c>
      <c r="AY110" s="53" t="s">
        <v>532</v>
      </c>
      <c r="AZ110" s="53"/>
      <c r="BA110" s="53"/>
      <c r="BB110" s="53"/>
      <c r="BC110" s="53"/>
      <c r="BD110" s="53"/>
      <c r="BE110" s="53"/>
      <c r="BF110" s="53"/>
      <c r="BG110" s="53"/>
      <c r="BH110" s="53"/>
      <c r="BI110" s="53"/>
      <c r="BJ110" s="53"/>
      <c r="BK110" s="53"/>
      <c r="BL110" s="53"/>
      <c r="BM110" s="53"/>
      <c r="BN110" s="53"/>
      <c r="BO110" s="53"/>
      <c r="BP110" s="53"/>
      <c r="BQ110" s="53"/>
      <c r="BR110" s="53"/>
      <c r="BS110" s="53"/>
      <c r="BT110" s="53"/>
      <c r="BU110" s="53"/>
      <c r="BV110" s="53"/>
      <c r="BW110" s="53"/>
      <c r="BX110" s="53"/>
      <c r="BY110" s="53"/>
      <c r="BZ110" s="53"/>
      <c r="CA110" s="53"/>
      <c r="CB110" s="53"/>
      <c r="CC110" s="53"/>
      <c r="CD110" s="53"/>
      <c r="CE110" s="53"/>
      <c r="CF110" s="53"/>
      <c r="CG110" s="53"/>
      <c r="CH110" s="53"/>
      <c r="CI110" s="53"/>
      <c r="CJ110" s="53"/>
      <c r="CK110" s="53"/>
      <c r="CL110" s="53"/>
      <c r="CM110" s="53"/>
      <c r="CN110" s="53"/>
      <c r="CO110" s="53"/>
      <c r="CP110" s="53"/>
      <c r="CQ110" s="53"/>
      <c r="CR110" s="1"/>
      <c r="CS110" s="1"/>
      <c r="CT110" s="1"/>
      <c r="CU110" s="1"/>
    </row>
    <row r="111" spans="1:99" s="13" customFormat="1" ht="12" customHeight="1" x14ac:dyDescent="0.2">
      <c r="A111" s="65">
        <v>43509</v>
      </c>
      <c r="B111" s="1" t="s">
        <v>128</v>
      </c>
      <c r="C111" s="1" t="s">
        <v>45</v>
      </c>
      <c r="D111" s="60">
        <v>1983</v>
      </c>
      <c r="E111" s="76">
        <v>2</v>
      </c>
      <c r="F111" s="60">
        <v>120</v>
      </c>
      <c r="G111" s="60">
        <v>20</v>
      </c>
      <c r="H111" s="60" t="s">
        <v>32</v>
      </c>
      <c r="I111" s="60" t="s">
        <v>130</v>
      </c>
      <c r="J111" s="60" t="s">
        <v>320</v>
      </c>
      <c r="K111" s="60">
        <f>IF(J111="syllables",1,IF(J111="trigrams",2,IF(J111="strings",3,IF(J111="visual array",4,IF(J111="characters",5,IF(J111="letters",6,IF(J111="free forms",7,IF(J111="odors",8,IF(J111="words",9,IF(J111="pictures",10,IF(J111="object pictures",11,IF(J111="faces",12,IF(J111="names",13,IF(J111="idioms",14,IF(J111="grades",15,IF(J111="syllable-digit pairs",16,IF(J111="trigram-word pairs",17,IF(J111="word-digit pairs",18,IF(J111="English-Swahili pairs",19,IF(J111="spatial position",20,IF(J111="word pairs",21,IF(J111="word triads",22,IF(J111="generated words",23,IF(J111="word definition pairs",24,IF(J111="math problems",25,IF(J111="famous faces",26,IF(J111="famous names",27,IF(J111="famous voices",28,IF(J111="television programs",29,IF(J111="race horses",30,IF(J111="new vocabulary",31,IF(J111="sentences",32,IF(J111="concepts",33,IF(J111="ad slides",34,IF(J111="scenes",35,IF(J111="famous scenes",36,IF(J111="poems",37,IF(J111="walk",38,IF(J111="faces and events",39,IF(J111="events and names",40,IF(J111="flashbulb",41,IF(J111="stories",42,IF(J111="course material",43,IF(J111="autobiographical",44,IF(J111="novels",45,IF(J111="public events",46,"99"))))))))))))))))))))))))))))))))))))))))))))))</f>
        <v>21</v>
      </c>
      <c r="L111" s="60">
        <f>IF(J111="syllables",1,IF(J111="trigrams",1,IF(J111="strings",1,IF(J111="visual array",1,IF(J111="characters",1,IF(J111="letters",1,IF(J111="free forms",1,IF(J111="odors",2,IF(J111="words",2,IF(J111="pictures",2,IF(J111="object pictures",2,IF(J111="faces",2,IF(J111="names",2,IF(J111="idioms","2",IF(J111="grades",2,IF(J111="syllable-digit pairs",3,IF(J111="trigram-word pairs",3,IF(J111="word-digit pairs",3,IF(J111="English-Swahili pairs",3,IF(J111="spatial position",3,IF(J111="word pairs",4,IF(J111="word triads",4,IF(J111="generated words",4,IF(J111="word definition pairs",4,IF(J111="math problems",4,IF(J111="famous faces",4,IF(J111="famous names",4,IF(J111="famous voices",4,IF(J111="television programs",4,IF(J111="race horses",4,IF(J111="new vocabulary",4,IF(J111="sentences",5,IF(J111="concepts",5,IF(J111="ad slides",5,IF(J111="scenes",5,IF(J111="famous scenes",5,IF(J111="poems",6,IF(J111="walk",6,IF(J111="faces and events",6,IF(J111="events and names",6,IF(J111="flashbulb",7,IF(J111="stories",7,IF(J111="course material",7,IF(J111="autobiographical",7,IF(J111="novels",7,IF(J111="public events",7,"99"))))))))))))))))))))))))))))))))))))))))))))))</f>
        <v>4</v>
      </c>
      <c r="M111" s="60">
        <v>1</v>
      </c>
      <c r="N111" s="60">
        <v>2</v>
      </c>
      <c r="O111" s="60">
        <v>1</v>
      </c>
      <c r="P111" s="60" t="s">
        <v>129</v>
      </c>
      <c r="Q111" s="60" t="s">
        <v>174</v>
      </c>
      <c r="R111" s="60">
        <f>IF(Q111="Free Recall",1,IF(Q111="Cued Recall",2,IF(Q111="Recognition",3,IF(Q111="Multiple Choice",4,IF(Q111="Savings",5,IF(Q111="Stem Completion",6,IF(Q111="Fragment Completion",7,IF(Q111="anagram solution",8,IF(Q111="Matching",9,IF(Q111="Problem Solving",10,"99"))))))))))</f>
        <v>1</v>
      </c>
      <c r="S111" s="60"/>
      <c r="T111" s="60" t="s">
        <v>261</v>
      </c>
      <c r="U111" s="60">
        <f>IF(T111="within",1,0)</f>
        <v>0</v>
      </c>
      <c r="V111" s="60">
        <v>20</v>
      </c>
      <c r="W111" s="60">
        <f>F111*V111</f>
        <v>2400</v>
      </c>
      <c r="X111" s="60">
        <v>3</v>
      </c>
      <c r="Y111" s="76">
        <f>AV110</f>
        <v>70</v>
      </c>
      <c r="Z111" s="60" t="s">
        <v>131</v>
      </c>
      <c r="AA111" s="60">
        <v>432000</v>
      </c>
      <c r="AB111" s="60" t="str">
        <f>IF(AA111&lt;60,"1",IF(AA111&lt;=43200,"2",IF(AA111&lt;=777600,"3","4")))</f>
        <v>3</v>
      </c>
      <c r="AC111" s="56">
        <f>AVERAGE(AV110:DA110)</f>
        <v>172823.33333333334</v>
      </c>
      <c r="AD111" s="60" t="str">
        <f>IF(AC111&lt;60,"1",IF(AC111&lt;=43200,"2",IF(AC111&lt;=777600,"3","4")))</f>
        <v>3</v>
      </c>
      <c r="AE111" s="76">
        <f>AA111-Y111</f>
        <v>431930</v>
      </c>
      <c r="AF111" s="80">
        <f>AV111</f>
        <v>0.79700000000000004</v>
      </c>
      <c r="AG111" s="56">
        <f>((AW111-AV111)+(AX111-AW111))/2</f>
        <v>-0.19800000000000001</v>
      </c>
      <c r="AH111" s="4"/>
      <c r="AI111" s="56">
        <f>RSQ(AV111:AX111,AV110:AX110)</f>
        <v>0.68265258553051256</v>
      </c>
      <c r="AJ111" s="109">
        <f>SLOPE(AV111:AX111,AV110:AX110)</f>
        <v>-7.4158571722475753E-7</v>
      </c>
      <c r="AK111" s="56">
        <f>INTERCEPT(AV111:AX111,AV110:AX110)</f>
        <v>0.69616331560317324</v>
      </c>
      <c r="AL111" s="56">
        <f>INDEX(LINEST(LN(AV111:AX111),LN(AV110:AX110),TRUE,TRUE),3,1)</f>
        <v>0.97295827523348288</v>
      </c>
      <c r="AM111" s="56">
        <f>INDEX(LINEST(LN(AV111:AX111),LN(AV110:AX110)),1)</f>
        <v>-7.4195209043765004E-2</v>
      </c>
      <c r="AN111" s="56">
        <f>EXP(INDEX(LINEST(LN(AV111:AX111),LN(AV110:AX110)),1,2))</f>
        <v>1.1049621536044099</v>
      </c>
      <c r="AO111" s="82">
        <f>INDEX(LINEST((AV111:AX111),LN(AV110:AX110),TRUE,TRUE),3,1)</f>
        <v>0.9928516704587701</v>
      </c>
      <c r="AP111" s="82">
        <f>INDEX(LINEST((AV111:AX111),LN(AV110:AX110)),1)</f>
        <v>-4.4011945502281921E-2</v>
      </c>
      <c r="AQ111" s="83">
        <f>INDEX(LINEST(LN(AV111:AX111),SQRT(AV110:AX110),TRUE,TRUE),3,1)</f>
        <v>0.93718105886695957</v>
      </c>
      <c r="AR111" s="116">
        <f>INDEX(LINEST(LN(AV111:AX111),SQRT((AV110:AX110))),1)</f>
        <v>-1.0399230018117492E-3</v>
      </c>
      <c r="AS111" s="84">
        <f>INDEX(LINEST(1/(AV111:AX111),1/(SQRT(AV110:AX110)),TRUE,TRUE),3,1)</f>
        <v>0.83753336968797298</v>
      </c>
      <c r="AT111" s="84">
        <f>INDEX(LINEST(1/(AV111:AX111),1/SQRT(AV110:AX110)),1)</f>
        <v>-8.4260621831636175</v>
      </c>
      <c r="AU111" s="3"/>
      <c r="AV111" s="53">
        <v>0.79700000000000004</v>
      </c>
      <c r="AW111" s="53">
        <v>0.50600000000000001</v>
      </c>
      <c r="AX111" s="53">
        <v>0.40100000000000002</v>
      </c>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c r="BY111" s="53"/>
      <c r="BZ111" s="53"/>
      <c r="CA111" s="53"/>
      <c r="CB111" s="53"/>
      <c r="CC111" s="53"/>
      <c r="CD111" s="53"/>
      <c r="CE111" s="53"/>
      <c r="CF111" s="53"/>
      <c r="CG111" s="53"/>
      <c r="CH111" s="53"/>
      <c r="CI111" s="53"/>
      <c r="CJ111" s="53"/>
      <c r="CK111" s="53"/>
      <c r="CL111" s="53"/>
      <c r="CM111" s="53"/>
      <c r="CN111" s="53"/>
      <c r="CO111" s="53"/>
      <c r="CP111" s="53"/>
      <c r="CQ111" s="53"/>
      <c r="CR111" s="1"/>
      <c r="CS111" s="1"/>
      <c r="CT111" s="1"/>
      <c r="CU111" s="1"/>
    </row>
    <row r="112" spans="1:99" s="13" customFormat="1" ht="12" customHeight="1" x14ac:dyDescent="0.2">
      <c r="A112" s="65">
        <v>43509</v>
      </c>
      <c r="B112" s="1"/>
      <c r="C112" s="1"/>
      <c r="D112" s="60"/>
      <c r="E112" s="76"/>
      <c r="F112" s="60"/>
      <c r="G112" s="60"/>
      <c r="H112" s="60"/>
      <c r="I112" s="60"/>
      <c r="J112" s="60"/>
      <c r="K112" s="64"/>
      <c r="L112" s="64"/>
      <c r="M112" s="60"/>
      <c r="N112" s="60"/>
      <c r="O112" s="60"/>
      <c r="P112" s="60"/>
      <c r="Q112" s="60"/>
      <c r="R112" s="60"/>
      <c r="S112" s="60"/>
      <c r="T112" s="60"/>
      <c r="U112" s="60"/>
      <c r="V112" s="60"/>
      <c r="W112" s="60"/>
      <c r="X112" s="60"/>
      <c r="Y112" s="76"/>
      <c r="Z112" s="60"/>
      <c r="AA112" s="60"/>
      <c r="AB112" s="60"/>
      <c r="AC112" s="60"/>
      <c r="AD112" s="60"/>
      <c r="AE112" s="60"/>
      <c r="AF112" s="80"/>
      <c r="AG112" s="56"/>
      <c r="AH112" s="4"/>
      <c r="AI112" s="56"/>
      <c r="AJ112" s="109"/>
      <c r="AK112" s="56"/>
      <c r="AL112" s="56"/>
      <c r="AM112" s="56"/>
      <c r="AN112" s="56"/>
      <c r="AO112" s="56"/>
      <c r="AP112" s="56"/>
      <c r="AQ112" s="82"/>
      <c r="AR112" s="115"/>
      <c r="AS112" s="82"/>
      <c r="AT112" s="82"/>
      <c r="AU112" s="4"/>
      <c r="AV112" s="25">
        <v>70</v>
      </c>
      <c r="AW112" s="25">
        <f>24*3600*1</f>
        <v>86400</v>
      </c>
      <c r="AX112" s="25">
        <f>24*3600*5</f>
        <v>432000</v>
      </c>
      <c r="AY112" s="53"/>
      <c r="AZ112" s="53"/>
      <c r="BA112" s="53"/>
      <c r="BB112" s="5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1"/>
      <c r="CS112" s="1"/>
      <c r="CT112" s="1"/>
      <c r="CU112" s="1"/>
    </row>
    <row r="113" spans="1:99" s="13" customFormat="1" ht="12" customHeight="1" x14ac:dyDescent="0.2">
      <c r="A113" s="65">
        <v>43509</v>
      </c>
      <c r="B113" s="1" t="s">
        <v>128</v>
      </c>
      <c r="C113" s="1" t="s">
        <v>45</v>
      </c>
      <c r="D113" s="60">
        <v>1983</v>
      </c>
      <c r="E113" s="76">
        <v>2</v>
      </c>
      <c r="F113" s="60">
        <v>120</v>
      </c>
      <c r="G113" s="60">
        <v>20</v>
      </c>
      <c r="H113" s="60" t="s">
        <v>32</v>
      </c>
      <c r="I113" s="60" t="s">
        <v>132</v>
      </c>
      <c r="J113" s="60" t="s">
        <v>320</v>
      </c>
      <c r="K113" s="60">
        <f>IF(J113="syllables",1,IF(J113="trigrams",2,IF(J113="strings",3,IF(J113="visual array",4,IF(J113="characters",5,IF(J113="letters",6,IF(J113="free forms",7,IF(J113="odors",8,IF(J113="words",9,IF(J113="pictures",10,IF(J113="object pictures",11,IF(J113="faces",12,IF(J113="names",13,IF(J113="idioms",14,IF(J113="grades",15,IF(J113="syllable-digit pairs",16,IF(J113="trigram-word pairs",17,IF(J113="word-digit pairs",18,IF(J113="English-Swahili pairs",19,IF(J113="spatial position",20,IF(J113="word pairs",21,IF(J113="word triads",22,IF(J113="generated words",23,IF(J113="word definition pairs",24,IF(J113="math problems",25,IF(J113="famous faces",26,IF(J113="famous names",27,IF(J113="famous voices",28,IF(J113="television programs",29,IF(J113="race horses",30,IF(J113="new vocabulary",31,IF(J113="sentences",32,IF(J113="concepts",33,IF(J113="ad slides",34,IF(J113="scenes",35,IF(J113="famous scenes",36,IF(J113="poems",37,IF(J113="walk",38,IF(J113="faces and events",39,IF(J113="events and names",40,IF(J113="flashbulb",41,IF(J113="stories",42,IF(J113="course material",43,IF(J113="autobiographical",44,IF(J113="novels",45,IF(J113="public events",46,"99"))))))))))))))))))))))))))))))))))))))))))))))</f>
        <v>21</v>
      </c>
      <c r="L113" s="60">
        <f>IF(J113="syllables",1,IF(J113="trigrams",1,IF(J113="strings",1,IF(J113="visual array",1,IF(J113="characters",1,IF(J113="letters",1,IF(J113="free forms",1,IF(J113="odors",2,IF(J113="words",2,IF(J113="pictures",2,IF(J113="object pictures",2,IF(J113="faces",2,IF(J113="names",2,IF(J113="idioms","2",IF(J113="grades",2,IF(J113="syllable-digit pairs",3,IF(J113="trigram-word pairs",3,IF(J113="word-digit pairs",3,IF(J113="English-Swahili pairs",3,IF(J113="spatial position",3,IF(J113="word pairs",4,IF(J113="word triads",4,IF(J113="generated words",4,IF(J113="word definition pairs",4,IF(J113="math problems",4,IF(J113="famous faces",4,IF(J113="famous names",4,IF(J113="famous voices",4,IF(J113="television programs",4,IF(J113="race horses",4,IF(J113="new vocabulary",4,IF(J113="sentences",5,IF(J113="concepts",5,IF(J113="ad slides",5,IF(J113="scenes",5,IF(J113="famous scenes",5,IF(J113="poems",6,IF(J113="walk",6,IF(J113="faces and events",6,IF(J113="events and names",6,IF(J113="flashbulb",7,IF(J113="stories",7,IF(J113="course material",7,IF(J113="autobiographical",7,IF(J113="novels",7,IF(J113="public events",7,"99"))))))))))))))))))))))))))))))))))))))))))))))</f>
        <v>4</v>
      </c>
      <c r="M113" s="60">
        <v>1</v>
      </c>
      <c r="N113" s="60">
        <v>1</v>
      </c>
      <c r="O113" s="60">
        <v>1</v>
      </c>
      <c r="P113" s="60" t="s">
        <v>129</v>
      </c>
      <c r="Q113" s="60" t="s">
        <v>174</v>
      </c>
      <c r="R113" s="60">
        <f>IF(Q113="Free Recall",1,IF(Q113="Cued Recall",2,IF(Q113="Recognition",3,IF(Q113="Multiple Choice",4,IF(Q113="Savings",5,IF(Q113="Stem Completion",6,IF(Q113="Fragment Completion",7,IF(Q113="anagram solution",8,IF(Q113="Matching",9,IF(Q113="Problem Solving",10,"99"))))))))))</f>
        <v>1</v>
      </c>
      <c r="S113" s="60"/>
      <c r="T113" s="60" t="s">
        <v>261</v>
      </c>
      <c r="U113" s="60">
        <f>IF(T113="within",1,0)</f>
        <v>0</v>
      </c>
      <c r="V113" s="60">
        <v>20</v>
      </c>
      <c r="W113" s="60">
        <f>F113*V113</f>
        <v>2400</v>
      </c>
      <c r="X113" s="60">
        <v>3</v>
      </c>
      <c r="Y113" s="76">
        <f>AV112</f>
        <v>70</v>
      </c>
      <c r="Z113" s="60" t="s">
        <v>131</v>
      </c>
      <c r="AA113" s="60">
        <v>432000</v>
      </c>
      <c r="AB113" s="60" t="str">
        <f>IF(AA113&lt;60,"1",IF(AA113&lt;=43200,"2",IF(AA113&lt;=777600,"3","4")))</f>
        <v>3</v>
      </c>
      <c r="AC113" s="56">
        <f>AVERAGE(AV112:DA112)</f>
        <v>172823.33333333334</v>
      </c>
      <c r="AD113" s="60" t="str">
        <f>IF(AC113&lt;60,"1",IF(AC113&lt;=43200,"2",IF(AC113&lt;=777600,"3","4")))</f>
        <v>3</v>
      </c>
      <c r="AE113" s="76">
        <f>AA113-Y113</f>
        <v>431930</v>
      </c>
      <c r="AF113" s="80">
        <f>AV113</f>
        <v>0.57399999999999995</v>
      </c>
      <c r="AG113" s="56">
        <f>((AW113-AV113)+(AX113-AW113))/2</f>
        <v>-0.19949999999999998</v>
      </c>
      <c r="AH113" s="4"/>
      <c r="AI113" s="56">
        <f>RSQ(AV113:AX113,AV112:AX112)</f>
        <v>0.86939209291640096</v>
      </c>
      <c r="AJ113" s="109">
        <f>SLOPE(AV113:AX113,AV112:AX112)</f>
        <v>-8.1437085427653099E-7</v>
      </c>
      <c r="AK113" s="56">
        <f>INTERCEPT(AV113:AX113,AV112:AX112)</f>
        <v>0.51107561893891773</v>
      </c>
      <c r="AL113" s="56">
        <f>INDEX(LINEST(LN(AV113:AX113),LN(AV112:AX112),TRUE,TRUE),3,1)</f>
        <v>0.78841649033223182</v>
      </c>
      <c r="AM113" s="56">
        <f>INDEX(LINEST(LN(AV113:AX113),LN(AV112:AX112)),1)</f>
        <v>-0.11448742767495147</v>
      </c>
      <c r="AN113" s="56">
        <f>EXP(INDEX(LINEST(LN(AV113:AX113),LN(AV112:AX112)),1,2))</f>
        <v>0.98647620192900165</v>
      </c>
      <c r="AO113" s="82">
        <f>INDEX(LINEST((AV113:AX113),LN(AV112:AX112),TRUE,TRUE),3,1)</f>
        <v>0.90501248680108948</v>
      </c>
      <c r="AP113" s="82">
        <f>INDEX(LINEST((AV113:AX113),LN(AV112:AX112)),1)</f>
        <v>-4.0889194847966055E-2</v>
      </c>
      <c r="AQ113" s="83">
        <f>INDEX(LINEST(LN(AV113:AX113),SQRT(AV112:AX112),TRUE,TRUE),3,1)</f>
        <v>0.99647071957632716</v>
      </c>
      <c r="AR113" s="116">
        <f>INDEX(LINEST(LN(AV113:AX113),SQRT((AV112:AX112))),1)</f>
        <v>-1.8381159234734782E-3</v>
      </c>
      <c r="AS113" s="84">
        <f>INDEX(LINEST(1/(AV113:AX113),1/(SQRT(AV112:AX112)),TRUE,TRUE),3,1)</f>
        <v>0.50200121068240511</v>
      </c>
      <c r="AT113" s="84">
        <f>INDEX(LINEST(1/(AV113:AX113),1/SQRT(AV112:AX112)),1)</f>
        <v>-21.623535082847894</v>
      </c>
      <c r="AU113" s="3"/>
      <c r="AV113" s="53">
        <v>0.57399999999999995</v>
      </c>
      <c r="AW113" s="53">
        <v>0.36199999999999999</v>
      </c>
      <c r="AX113" s="53">
        <v>0.17499999999999999</v>
      </c>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53"/>
      <c r="CD113" s="53"/>
      <c r="CE113" s="53"/>
      <c r="CF113" s="53"/>
      <c r="CG113" s="53"/>
      <c r="CH113" s="53"/>
      <c r="CI113" s="53"/>
      <c r="CJ113" s="53"/>
      <c r="CK113" s="53"/>
      <c r="CL113" s="53"/>
      <c r="CM113" s="53"/>
      <c r="CN113" s="53"/>
      <c r="CO113" s="53"/>
      <c r="CP113" s="53"/>
      <c r="CQ113" s="53"/>
      <c r="CR113" s="1"/>
      <c r="CS113" s="1"/>
      <c r="CT113" s="1"/>
      <c r="CU113" s="1"/>
    </row>
    <row r="114" spans="1:99" s="13" customFormat="1" ht="12" customHeight="1" x14ac:dyDescent="0.2">
      <c r="A114" s="65">
        <v>43509</v>
      </c>
      <c r="B114" s="1"/>
      <c r="C114" s="1"/>
      <c r="D114" s="60"/>
      <c r="E114" s="76"/>
      <c r="F114" s="60"/>
      <c r="G114" s="60"/>
      <c r="H114" s="60"/>
      <c r="I114" s="60"/>
      <c r="J114" s="60"/>
      <c r="K114" s="64"/>
      <c r="L114" s="64"/>
      <c r="M114" s="60"/>
      <c r="N114" s="60"/>
      <c r="O114" s="60"/>
      <c r="P114" s="60"/>
      <c r="Q114" s="60"/>
      <c r="R114" s="60"/>
      <c r="S114" s="60"/>
      <c r="T114" s="60"/>
      <c r="U114" s="60"/>
      <c r="V114" s="60"/>
      <c r="W114" s="60"/>
      <c r="X114" s="60"/>
      <c r="Y114" s="76"/>
      <c r="Z114" s="60"/>
      <c r="AA114" s="60"/>
      <c r="AB114" s="60"/>
      <c r="AC114" s="60"/>
      <c r="AD114" s="60"/>
      <c r="AE114" s="60"/>
      <c r="AF114" s="80"/>
      <c r="AG114" s="56"/>
      <c r="AH114" s="4"/>
      <c r="AI114" s="56"/>
      <c r="AJ114" s="109"/>
      <c r="AK114" s="56"/>
      <c r="AL114" s="56"/>
      <c r="AM114" s="56"/>
      <c r="AN114" s="56"/>
      <c r="AO114" s="56"/>
      <c r="AP114" s="56"/>
      <c r="AQ114" s="82"/>
      <c r="AR114" s="115"/>
      <c r="AS114" s="82"/>
      <c r="AT114" s="82"/>
      <c r="AU114" s="4"/>
      <c r="AV114" s="25">
        <v>70</v>
      </c>
      <c r="AW114" s="25">
        <f>24*3600*1</f>
        <v>86400</v>
      </c>
      <c r="AX114" s="25">
        <f>24*3600*5</f>
        <v>432000</v>
      </c>
      <c r="AY114" s="53"/>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53"/>
      <c r="BZ114" s="53"/>
      <c r="CA114" s="53"/>
      <c r="CB114" s="53"/>
      <c r="CC114" s="53"/>
      <c r="CD114" s="53"/>
      <c r="CE114" s="53"/>
      <c r="CF114" s="53"/>
      <c r="CG114" s="53"/>
      <c r="CH114" s="53"/>
      <c r="CI114" s="53"/>
      <c r="CJ114" s="53"/>
      <c r="CK114" s="53"/>
      <c r="CL114" s="53"/>
      <c r="CM114" s="53"/>
      <c r="CN114" s="53"/>
      <c r="CO114" s="53"/>
      <c r="CP114" s="53"/>
      <c r="CQ114" s="53"/>
      <c r="CR114" s="1"/>
      <c r="CS114" s="1"/>
      <c r="CT114" s="1"/>
      <c r="CU114" s="1"/>
    </row>
    <row r="115" spans="1:99" s="13" customFormat="1" ht="12" customHeight="1" x14ac:dyDescent="0.2">
      <c r="A115" s="65">
        <v>43509</v>
      </c>
      <c r="B115" s="1" t="s">
        <v>128</v>
      </c>
      <c r="C115" s="1" t="s">
        <v>45</v>
      </c>
      <c r="D115" s="60">
        <v>1983</v>
      </c>
      <c r="E115" s="76">
        <v>2</v>
      </c>
      <c r="F115" s="60">
        <v>120</v>
      </c>
      <c r="G115" s="60">
        <v>20</v>
      </c>
      <c r="H115" s="60" t="s">
        <v>32</v>
      </c>
      <c r="I115" s="60" t="s">
        <v>130</v>
      </c>
      <c r="J115" s="60" t="s">
        <v>320</v>
      </c>
      <c r="K115" s="60">
        <f>IF(J115="syllables",1,IF(J115="trigrams",2,IF(J115="strings",3,IF(J115="visual array",4,IF(J115="characters",5,IF(J115="letters",6,IF(J115="free forms",7,IF(J115="odors",8,IF(J115="words",9,IF(J115="pictures",10,IF(J115="object pictures",11,IF(J115="faces",12,IF(J115="names",13,IF(J115="idioms",14,IF(J115="grades",15,IF(J115="syllable-digit pairs",16,IF(J115="trigram-word pairs",17,IF(J115="word-digit pairs",18,IF(J115="English-Swahili pairs",19,IF(J115="spatial position",20,IF(J115="word pairs",21,IF(J115="word triads",22,IF(J115="generated words",23,IF(J115="word definition pairs",24,IF(J115="math problems",25,IF(J115="famous faces",26,IF(J115="famous names",27,IF(J115="famous voices",28,IF(J115="television programs",29,IF(J115="race horses",30,IF(J115="new vocabulary",31,IF(J115="sentences",32,IF(J115="concepts",33,IF(J115="ad slides",34,IF(J115="scenes",35,IF(J115="famous scenes",36,IF(J115="poems",37,IF(J115="walk",38,IF(J115="faces and events",39,IF(J115="events and names",40,IF(J115="flashbulb",41,IF(J115="stories",42,IF(J115="course material",43,IF(J115="autobiographical",44,IF(J115="novels",45,IF(J115="public events",46,"99"))))))))))))))))))))))))))))))))))))))))))))))</f>
        <v>21</v>
      </c>
      <c r="L115" s="60">
        <f>IF(J115="syllables",1,IF(J115="trigrams",1,IF(J115="strings",1,IF(J115="visual array",1,IF(J115="characters",1,IF(J115="letters",1,IF(J115="free forms",1,IF(J115="odors",2,IF(J115="words",2,IF(J115="pictures",2,IF(J115="object pictures",2,IF(J115="faces",2,IF(J115="names",2,IF(J115="idioms","2",IF(J115="grades",2,IF(J115="syllable-digit pairs",3,IF(J115="trigram-word pairs",3,IF(J115="word-digit pairs",3,IF(J115="English-Swahili pairs",3,IF(J115="spatial position",3,IF(J115="word pairs",4,IF(J115="word triads",4,IF(J115="generated words",4,IF(J115="word definition pairs",4,IF(J115="math problems",4,IF(J115="famous faces",4,IF(J115="famous names",4,IF(J115="famous voices",4,IF(J115="television programs",4,IF(J115="race horses",4,IF(J115="new vocabulary",4,IF(J115="sentences",5,IF(J115="concepts",5,IF(J115="ad slides",5,IF(J115="scenes",5,IF(J115="famous scenes",5,IF(J115="poems",6,IF(J115="walk",6,IF(J115="faces and events",6,IF(J115="events and names",6,IF(J115="flashbulb",7,IF(J115="stories",7,IF(J115="course material",7,IF(J115="autobiographical",7,IF(J115="novels",7,IF(J115="public events",7,"99"))))))))))))))))))))))))))))))))))))))))))))))</f>
        <v>4</v>
      </c>
      <c r="M115" s="60">
        <v>1</v>
      </c>
      <c r="N115" s="60">
        <v>2</v>
      </c>
      <c r="O115" s="60">
        <v>1</v>
      </c>
      <c r="P115" s="60" t="s">
        <v>129</v>
      </c>
      <c r="Q115" s="60" t="s">
        <v>133</v>
      </c>
      <c r="R115" s="60">
        <f>IF(Q115="Free Recall",1,IF(Q115="Cued Recall",2,IF(Q115="Recognition",3,IF(Q115="Multiple Choice",4,IF(Q115="Savings",5,IF(Q115="Stem Completion",6,IF(Q115="Fragment Completion",7,IF(Q115="anagram solution",8,IF(Q115="Matching",9,IF(Q115="Problem Solving",10,"99"))))))))))</f>
        <v>9</v>
      </c>
      <c r="S115" s="60"/>
      <c r="T115" s="60" t="s">
        <v>261</v>
      </c>
      <c r="U115" s="60">
        <f>IF(T115="within",1,0)</f>
        <v>0</v>
      </c>
      <c r="V115" s="60">
        <v>20</v>
      </c>
      <c r="W115" s="60">
        <f>F115*V115</f>
        <v>2400</v>
      </c>
      <c r="X115" s="60">
        <v>3</v>
      </c>
      <c r="Y115" s="76">
        <f>AV114</f>
        <v>70</v>
      </c>
      <c r="Z115" s="60" t="s">
        <v>131</v>
      </c>
      <c r="AA115" s="60">
        <v>432000</v>
      </c>
      <c r="AB115" s="60" t="str">
        <f>IF(AA115&lt;60,"1",IF(AA115&lt;=43200,"2",IF(AA115&lt;=777600,"3","4")))</f>
        <v>3</v>
      </c>
      <c r="AC115" s="56">
        <f>AVERAGE(AV114:DA114)</f>
        <v>172823.33333333334</v>
      </c>
      <c r="AD115" s="60" t="str">
        <f>IF(AC115&lt;60,"1",IF(AC115&lt;=43200,"2",IF(AC115&lt;=777600,"3","4")))</f>
        <v>3</v>
      </c>
      <c r="AE115" s="76">
        <f>AA115-Y115</f>
        <v>431930</v>
      </c>
      <c r="AF115" s="80">
        <f>AV115</f>
        <v>0.876</v>
      </c>
      <c r="AG115" s="56">
        <f>((AW115-AV115)+(AX115-AW115))/2</f>
        <v>-0.10149999999999998</v>
      </c>
      <c r="AH115" s="4"/>
      <c r="AI115" s="56">
        <f>RSQ(AV115:AX115,AV114:AX114)</f>
        <v>0.57503404924449764</v>
      </c>
      <c r="AJ115" s="109">
        <f>SLOPE(AV115:AX115,AV114:AX114)</f>
        <v>-3.6210348230653521E-7</v>
      </c>
      <c r="AK115" s="56">
        <f>INTERCEPT(AV115:AX115,AV114:AX114)</f>
        <v>0.81391326415715637</v>
      </c>
      <c r="AL115" s="56">
        <f>INDEX(LINEST(LN(AV115:AX115),LN(AV114:AX114),TRUE,TRUE),3,1)</f>
        <v>0.99993062124562571</v>
      </c>
      <c r="AM115" s="56">
        <f>INDEX(LINEST(LN(AV115:AX115),LN(AV114:AX114)),1)</f>
        <v>-3.0297082499087184E-2</v>
      </c>
      <c r="AN115" s="56">
        <f>EXP(INDEX(LINEST(LN(AV115:AX115),LN(AV114:AX114)),1,2))</f>
        <v>0.99610094400111782</v>
      </c>
      <c r="AO115" s="82">
        <f>INDEX(LINEST((AV115:AX115),LN(AV114:AX114),TRUE,TRUE),3,1)</f>
        <v>0.99927048175769473</v>
      </c>
      <c r="AP115" s="82">
        <f>INDEX(LINEST((AV115:AX115),LN(AV114:AX114)),1)</f>
        <v>-2.3490612680536673E-2</v>
      </c>
      <c r="AQ115" s="83">
        <f>INDEX(LINEST(LN(AV115:AX115),SQRT(AV114:AX114),TRUE,TRUE),3,1)</f>
        <v>0.828590591182786</v>
      </c>
      <c r="AR115" s="116">
        <f>INDEX(LINEST(LN(AV115:AX115),SQRT((AV114:AX114))),1)</f>
        <v>-3.9386424066537544E-4</v>
      </c>
      <c r="AS115" s="84">
        <f>INDEX(LINEST(1/(AV115:AX115),1/(SQRT(AV114:AX114)),TRUE,TRUE),3,1)</f>
        <v>0.97071927591880891</v>
      </c>
      <c r="AT115" s="84">
        <f>INDEX(LINEST(1/(AV115:AX115),1/SQRT(AV114:AX114)),1)</f>
        <v>-2.6598226001418586</v>
      </c>
      <c r="AU115" s="3"/>
      <c r="AV115" s="53">
        <v>0.876</v>
      </c>
      <c r="AW115" s="53">
        <v>0.70499999999999996</v>
      </c>
      <c r="AX115" s="53">
        <v>0.67300000000000004</v>
      </c>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BY115" s="53"/>
      <c r="BZ115" s="53"/>
      <c r="CA115" s="53"/>
      <c r="CB115" s="53"/>
      <c r="CC115" s="53"/>
      <c r="CD115" s="53"/>
      <c r="CE115" s="53"/>
      <c r="CF115" s="53"/>
      <c r="CG115" s="53"/>
      <c r="CH115" s="53"/>
      <c r="CI115" s="53"/>
      <c r="CJ115" s="53"/>
      <c r="CK115" s="53"/>
      <c r="CL115" s="53"/>
      <c r="CM115" s="53"/>
      <c r="CN115" s="53"/>
      <c r="CO115" s="53"/>
      <c r="CP115" s="53"/>
      <c r="CQ115" s="53"/>
      <c r="CR115" s="1"/>
      <c r="CS115" s="1"/>
      <c r="CT115" s="1"/>
      <c r="CU115" s="1"/>
    </row>
    <row r="116" spans="1:99" s="13" customFormat="1" ht="12" customHeight="1" x14ac:dyDescent="0.2">
      <c r="A116" s="65">
        <v>43509</v>
      </c>
      <c r="B116" s="1"/>
      <c r="C116" s="1"/>
      <c r="D116" s="60"/>
      <c r="E116" s="76"/>
      <c r="F116" s="60"/>
      <c r="G116" s="60"/>
      <c r="H116" s="60"/>
      <c r="I116" s="60"/>
      <c r="J116" s="60"/>
      <c r="K116" s="64"/>
      <c r="L116" s="64"/>
      <c r="M116" s="60"/>
      <c r="N116" s="60"/>
      <c r="O116" s="60"/>
      <c r="P116" s="60"/>
      <c r="Q116" s="60"/>
      <c r="R116" s="60"/>
      <c r="S116" s="60"/>
      <c r="T116" s="60"/>
      <c r="U116" s="60"/>
      <c r="V116" s="60"/>
      <c r="W116" s="60"/>
      <c r="X116" s="60"/>
      <c r="Y116" s="76"/>
      <c r="Z116" s="60"/>
      <c r="AA116" s="60"/>
      <c r="AB116" s="60"/>
      <c r="AC116" s="60"/>
      <c r="AD116" s="60"/>
      <c r="AE116" s="60"/>
      <c r="AF116" s="80"/>
      <c r="AG116" s="56"/>
      <c r="AH116" s="4"/>
      <c r="AI116" s="56"/>
      <c r="AJ116" s="109"/>
      <c r="AK116" s="56"/>
      <c r="AL116" s="56"/>
      <c r="AM116" s="56"/>
      <c r="AN116" s="56"/>
      <c r="AO116" s="56"/>
      <c r="AP116" s="56"/>
      <c r="AQ116" s="82"/>
      <c r="AR116" s="115"/>
      <c r="AS116" s="82"/>
      <c r="AT116" s="82"/>
      <c r="AU116" s="4"/>
      <c r="AV116" s="25">
        <v>70</v>
      </c>
      <c r="AW116" s="25">
        <f>24*3600*1</f>
        <v>86400</v>
      </c>
      <c r="AX116" s="25">
        <f>24*3600*5</f>
        <v>432000</v>
      </c>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53"/>
      <c r="CA116" s="53"/>
      <c r="CB116" s="53"/>
      <c r="CC116" s="53"/>
      <c r="CD116" s="53"/>
      <c r="CE116" s="53"/>
      <c r="CF116" s="53"/>
      <c r="CG116" s="53"/>
      <c r="CH116" s="53"/>
      <c r="CI116" s="53"/>
      <c r="CJ116" s="53"/>
      <c r="CK116" s="53"/>
      <c r="CL116" s="53"/>
      <c r="CM116" s="53"/>
      <c r="CN116" s="53"/>
      <c r="CO116" s="53"/>
      <c r="CP116" s="53"/>
      <c r="CQ116" s="53"/>
      <c r="CR116" s="1"/>
      <c r="CS116" s="1"/>
      <c r="CT116" s="1"/>
      <c r="CU116" s="1"/>
    </row>
    <row r="117" spans="1:99" s="13" customFormat="1" ht="12" customHeight="1" x14ac:dyDescent="0.2">
      <c r="A117" s="65">
        <v>43509</v>
      </c>
      <c r="B117" s="1" t="s">
        <v>128</v>
      </c>
      <c r="C117" s="1" t="s">
        <v>45</v>
      </c>
      <c r="D117" s="60">
        <v>1983</v>
      </c>
      <c r="E117" s="76">
        <v>2</v>
      </c>
      <c r="F117" s="60">
        <v>120</v>
      </c>
      <c r="G117" s="60">
        <v>20</v>
      </c>
      <c r="H117" s="60" t="s">
        <v>32</v>
      </c>
      <c r="I117" s="60" t="s">
        <v>132</v>
      </c>
      <c r="J117" s="60" t="s">
        <v>320</v>
      </c>
      <c r="K117" s="60">
        <f>IF(J117="syllables",1,IF(J117="trigrams",2,IF(J117="strings",3,IF(J117="visual array",4,IF(J117="characters",5,IF(J117="letters",6,IF(J117="free forms",7,IF(J117="odors",8,IF(J117="words",9,IF(J117="pictures",10,IF(J117="object pictures",11,IF(J117="faces",12,IF(J117="names",13,IF(J117="idioms",14,IF(J117="grades",15,IF(J117="syllable-digit pairs",16,IF(J117="trigram-word pairs",17,IF(J117="word-digit pairs",18,IF(J117="English-Swahili pairs",19,IF(J117="spatial position",20,IF(J117="word pairs",21,IF(J117="word triads",22,IF(J117="generated words",23,IF(J117="word definition pairs",24,IF(J117="math problems",25,IF(J117="famous faces",26,IF(J117="famous names",27,IF(J117="famous voices",28,IF(J117="television programs",29,IF(J117="race horses",30,IF(J117="new vocabulary",31,IF(J117="sentences",32,IF(J117="concepts",33,IF(J117="ad slides",34,IF(J117="scenes",35,IF(J117="famous scenes",36,IF(J117="poems",37,IF(J117="walk",38,IF(J117="faces and events",39,IF(J117="events and names",40,IF(J117="flashbulb",41,IF(J117="stories",42,IF(J117="course material",43,IF(J117="autobiographical",44,IF(J117="novels",45,IF(J117="public events",46,"99"))))))))))))))))))))))))))))))))))))))))))))))</f>
        <v>21</v>
      </c>
      <c r="L117" s="60">
        <f>IF(J117="syllables",1,IF(J117="trigrams",1,IF(J117="strings",1,IF(J117="visual array",1,IF(J117="characters",1,IF(J117="letters",1,IF(J117="free forms",1,IF(J117="odors",2,IF(J117="words",2,IF(J117="pictures",2,IF(J117="object pictures",2,IF(J117="faces",2,IF(J117="names",2,IF(J117="idioms","2",IF(J117="grades",2,IF(J117="syllable-digit pairs",3,IF(J117="trigram-word pairs",3,IF(J117="word-digit pairs",3,IF(J117="English-Swahili pairs",3,IF(J117="spatial position",3,IF(J117="word pairs",4,IF(J117="word triads",4,IF(J117="generated words",4,IF(J117="word definition pairs",4,IF(J117="math problems",4,IF(J117="famous faces",4,IF(J117="famous names",4,IF(J117="famous voices",4,IF(J117="television programs",4,IF(J117="race horses",4,IF(J117="new vocabulary",4,IF(J117="sentences",5,IF(J117="concepts",5,IF(J117="ad slides",5,IF(J117="scenes",5,IF(J117="famous scenes",5,IF(J117="poems",6,IF(J117="walk",6,IF(J117="faces and events",6,IF(J117="events and names",6,IF(J117="flashbulb",7,IF(J117="stories",7,IF(J117="course material",7,IF(J117="autobiographical",7,IF(J117="novels",7,IF(J117="public events",7,"99"))))))))))))))))))))))))))))))))))))))))))))))</f>
        <v>4</v>
      </c>
      <c r="M117" s="60">
        <v>1</v>
      </c>
      <c r="N117" s="60">
        <v>1</v>
      </c>
      <c r="O117" s="60">
        <v>1</v>
      </c>
      <c r="P117" s="60" t="s">
        <v>129</v>
      </c>
      <c r="Q117" s="60" t="s">
        <v>133</v>
      </c>
      <c r="R117" s="60">
        <f>IF(Q117="Free Recall",1,IF(Q117="Cued Recall",2,IF(Q117="Recognition",3,IF(Q117="Multiple Choice",4,IF(Q117="Savings",5,IF(Q117="Stem Completion",6,IF(Q117="Fragment Completion",7,IF(Q117="anagram solution",8,IF(Q117="Matching",9,IF(Q117="Problem Solving",10,"99"))))))))))</f>
        <v>9</v>
      </c>
      <c r="S117" s="60"/>
      <c r="T117" s="60" t="s">
        <v>261</v>
      </c>
      <c r="U117" s="60">
        <f>IF(T117="within",1,0)</f>
        <v>0</v>
      </c>
      <c r="V117" s="60">
        <v>20</v>
      </c>
      <c r="W117" s="60">
        <f>F117*V117</f>
        <v>2400</v>
      </c>
      <c r="X117" s="60">
        <v>3</v>
      </c>
      <c r="Y117" s="76">
        <f>AV116</f>
        <v>70</v>
      </c>
      <c r="Z117" s="60" t="s">
        <v>131</v>
      </c>
      <c r="AA117" s="60">
        <v>432000</v>
      </c>
      <c r="AB117" s="60" t="str">
        <f>IF(AA117&lt;60,"1",IF(AA117&lt;=43200,"2",IF(AA117&lt;=777600,"3","4")))</f>
        <v>3</v>
      </c>
      <c r="AC117" s="56">
        <f>AVERAGE(AV116:DA116)</f>
        <v>172823.33333333334</v>
      </c>
      <c r="AD117" s="60" t="str">
        <f>IF(AC117&lt;60,"1",IF(AC117&lt;=43200,"2",IF(AC117&lt;=777600,"3","4")))</f>
        <v>3</v>
      </c>
      <c r="AE117" s="76">
        <f>AA117-Y117</f>
        <v>431930</v>
      </c>
      <c r="AF117" s="80">
        <f>AV117</f>
        <v>0.69199999999999995</v>
      </c>
      <c r="AG117" s="56">
        <f>((AW117-AV117)+(AX117-AW117))/2</f>
        <v>-0.16649999999999998</v>
      </c>
      <c r="AH117" s="4"/>
      <c r="AI117" s="56">
        <f>RSQ(AV117:AX117,AV116:AX116)</f>
        <v>0.92182817892413171</v>
      </c>
      <c r="AJ117" s="109">
        <f>SLOPE(AV117:AX117,AV116:AX116)</f>
        <v>-7.0028527898727635E-7</v>
      </c>
      <c r="AK117" s="56">
        <f>INTERCEPT(AV117:AX117,AV116:AX116)</f>
        <v>0.65135896953217776</v>
      </c>
      <c r="AL117" s="56">
        <f>INDEX(LINEST(LN(AV117:AX117),LN(AV116:AX116),TRUE,TRUE),3,1)</f>
        <v>0.7789263403438873</v>
      </c>
      <c r="AM117" s="56">
        <f>INDEX(LINEST(LN(AV117:AX117),LN(AV116:AX116)),1)</f>
        <v>-6.296850928148294E-2</v>
      </c>
      <c r="AN117" s="56">
        <f>EXP(INDEX(LINEST(LN(AV117:AX117),LN(AV116:AX116)),1,2))</f>
        <v>0.9328821128930499</v>
      </c>
      <c r="AO117" s="82">
        <f>INDEX(LINEST((AV117:AX117),LN(AV116:AX116),TRUE,TRUE),3,1)</f>
        <v>0.84857041929175192</v>
      </c>
      <c r="AP117" s="82">
        <f>INDEX(LINEST((AV117:AX117),LN(AV116:AX116)),1)</f>
        <v>-3.3064415157103622E-2</v>
      </c>
      <c r="AQ117" s="83">
        <f>INDEX(LINEST(LN(AV117:AX117),SQRT(AV116:AX116),TRUE,TRUE),3,1)</f>
        <v>0.99497202274352248</v>
      </c>
      <c r="AR117" s="116">
        <f>INDEX(LINEST(LN(AV117:AX117),SQRT((AV116:AX116))),1)</f>
        <v>-1.0163454090204591E-3</v>
      </c>
      <c r="AS117" s="84">
        <f>INDEX(LINEST(1/(AV117:AX117),1/(SQRT(AV116:AX116)),TRUE,TRUE),3,1)</f>
        <v>0.55244886871197563</v>
      </c>
      <c r="AT117" s="84">
        <f>INDEX(LINEST(1/(AV117:AX117),1/SQRT(AV116:AX116)),1)</f>
        <v>-7.5573806580143277</v>
      </c>
      <c r="AU117" s="3"/>
      <c r="AV117" s="53">
        <v>0.69199999999999995</v>
      </c>
      <c r="AW117" s="53">
        <v>0.54</v>
      </c>
      <c r="AX117" s="53">
        <v>0.35899999999999999</v>
      </c>
      <c r="AY117" s="53"/>
      <c r="AZ117" s="53"/>
      <c r="BA117" s="53"/>
      <c r="BB117" s="53"/>
      <c r="BC117" s="53"/>
      <c r="BD117" s="53"/>
      <c r="BE117" s="53"/>
      <c r="BF117" s="53"/>
      <c r="BG117" s="53"/>
      <c r="BH117" s="53"/>
      <c r="BI117" s="53"/>
      <c r="BJ117" s="53"/>
      <c r="BK117" s="53"/>
      <c r="BL117" s="53"/>
      <c r="BM117" s="53"/>
      <c r="BN117" s="53"/>
      <c r="BO117" s="53"/>
      <c r="BP117" s="53"/>
      <c r="BQ117" s="53"/>
      <c r="BR117" s="53"/>
      <c r="BS117" s="53"/>
      <c r="BT117" s="53"/>
      <c r="BU117" s="53"/>
      <c r="BV117" s="53"/>
      <c r="BW117" s="53"/>
      <c r="BX117" s="53"/>
      <c r="BY117" s="53"/>
      <c r="BZ117" s="53"/>
      <c r="CA117" s="53"/>
      <c r="CB117" s="53"/>
      <c r="CC117" s="53"/>
      <c r="CD117" s="53"/>
      <c r="CE117" s="53"/>
      <c r="CF117" s="53"/>
      <c r="CG117" s="53"/>
      <c r="CH117" s="53"/>
      <c r="CI117" s="53"/>
      <c r="CJ117" s="53"/>
      <c r="CK117" s="53"/>
      <c r="CL117" s="53"/>
      <c r="CM117" s="53"/>
      <c r="CN117" s="53"/>
      <c r="CO117" s="53"/>
      <c r="CP117" s="53"/>
      <c r="CQ117" s="53"/>
      <c r="CR117" s="1"/>
      <c r="CS117" s="1"/>
      <c r="CT117" s="1"/>
      <c r="CU117" s="1"/>
    </row>
    <row r="118" spans="1:99" s="13" customFormat="1" ht="12" customHeight="1" x14ac:dyDescent="0.2">
      <c r="A118" s="65">
        <v>43509</v>
      </c>
      <c r="B118" s="1"/>
      <c r="C118" s="1"/>
      <c r="D118" s="60"/>
      <c r="E118" s="76"/>
      <c r="F118" s="60"/>
      <c r="G118" s="60"/>
      <c r="H118" s="60"/>
      <c r="I118" s="60"/>
      <c r="J118" s="60"/>
      <c r="K118" s="64"/>
      <c r="L118" s="64"/>
      <c r="M118" s="60"/>
      <c r="N118" s="60"/>
      <c r="O118" s="60"/>
      <c r="P118" s="60"/>
      <c r="Q118" s="60"/>
      <c r="R118" s="60"/>
      <c r="S118" s="60"/>
      <c r="T118" s="60"/>
      <c r="U118" s="60"/>
      <c r="V118" s="60"/>
      <c r="W118" s="60"/>
      <c r="X118" s="60"/>
      <c r="Y118" s="76"/>
      <c r="Z118" s="60"/>
      <c r="AA118" s="60"/>
      <c r="AB118" s="60"/>
      <c r="AC118" s="60"/>
      <c r="AD118" s="60"/>
      <c r="AE118" s="60"/>
      <c r="AF118" s="80"/>
      <c r="AG118" s="56"/>
      <c r="AH118" s="4"/>
      <c r="AI118" s="56"/>
      <c r="AJ118" s="109"/>
      <c r="AK118" s="56"/>
      <c r="AL118" s="56"/>
      <c r="AM118" s="56"/>
      <c r="AN118" s="56"/>
      <c r="AO118" s="56"/>
      <c r="AP118" s="56"/>
      <c r="AQ118" s="82"/>
      <c r="AR118" s="115"/>
      <c r="AS118" s="82"/>
      <c r="AT118" s="82"/>
      <c r="AU118" s="4"/>
      <c r="AV118" s="25">
        <v>150</v>
      </c>
      <c r="AW118" s="25">
        <f>24*3600*1</f>
        <v>86400</v>
      </c>
      <c r="AX118" s="25">
        <f>24*3600*5</f>
        <v>432000</v>
      </c>
      <c r="AY118" s="53" t="s">
        <v>533</v>
      </c>
      <c r="AZ118" s="53"/>
      <c r="BA118" s="53"/>
      <c r="BB118" s="53"/>
      <c r="BC118" s="53"/>
      <c r="BD118" s="53"/>
      <c r="BE118" s="53"/>
      <c r="BF118" s="53"/>
      <c r="BG118" s="53"/>
      <c r="BH118" s="53"/>
      <c r="BI118" s="53"/>
      <c r="BJ118" s="53"/>
      <c r="BK118" s="53"/>
      <c r="BL118" s="53"/>
      <c r="BM118" s="53"/>
      <c r="BN118" s="53"/>
      <c r="BO118" s="53"/>
      <c r="BP118" s="53"/>
      <c r="BQ118" s="53"/>
      <c r="BR118" s="53"/>
      <c r="BS118" s="53"/>
      <c r="BT118" s="53"/>
      <c r="BU118" s="53"/>
      <c r="BV118" s="53"/>
      <c r="BW118" s="53"/>
      <c r="BX118" s="53"/>
      <c r="BY118" s="53"/>
      <c r="BZ118" s="53"/>
      <c r="CA118" s="53"/>
      <c r="CB118" s="53"/>
      <c r="CC118" s="53"/>
      <c r="CD118" s="53"/>
      <c r="CE118" s="53"/>
      <c r="CF118" s="53"/>
      <c r="CG118" s="53"/>
      <c r="CH118" s="53"/>
      <c r="CI118" s="53"/>
      <c r="CJ118" s="53"/>
      <c r="CK118" s="53"/>
      <c r="CL118" s="53"/>
      <c r="CM118" s="53"/>
      <c r="CN118" s="53"/>
      <c r="CO118" s="53"/>
      <c r="CP118" s="53"/>
      <c r="CQ118" s="53"/>
      <c r="CR118" s="1"/>
      <c r="CS118" s="1"/>
      <c r="CT118" s="1"/>
      <c r="CU118" s="1"/>
    </row>
    <row r="119" spans="1:99" s="13" customFormat="1" ht="12" customHeight="1" x14ac:dyDescent="0.2">
      <c r="A119" s="65">
        <v>43509</v>
      </c>
      <c r="B119" s="1" t="s">
        <v>128</v>
      </c>
      <c r="C119" s="1" t="s">
        <v>45</v>
      </c>
      <c r="D119" s="60">
        <v>1983</v>
      </c>
      <c r="E119" s="76">
        <v>3</v>
      </c>
      <c r="F119" s="60">
        <v>18</v>
      </c>
      <c r="G119" s="60">
        <v>18</v>
      </c>
      <c r="H119" s="60" t="s">
        <v>43</v>
      </c>
      <c r="I119" s="60" t="s">
        <v>130</v>
      </c>
      <c r="J119" s="60" t="s">
        <v>475</v>
      </c>
      <c r="K119" s="60">
        <f>IF(J119="syllables",1,IF(J119="trigrams",2,IF(J119="strings",3,IF(J119="visual array",4,IF(J119="characters",5,IF(J119="letters",6,IF(J119="free forms",7,IF(J119="odors",8,IF(J119="words",9,IF(J119="pictures",10,IF(J119="object pictures",11,IF(J119="faces",12,IF(J119="names",13,IF(J119="idioms",14,IF(J119="grades",15,IF(J119="syllable-digit pairs",16,IF(J119="trigram-word pairs",17,IF(J119="word-digit pairs",18,IF(J119="English-Swahili pairs",19,IF(J119="spatial position",20,IF(J119="word pairs",21,IF(J119="word triads",22,IF(J119="generated words",23,IF(J119="word definition pairs",24,IF(J119="math problems",25,IF(J119="famous faces",26,IF(J119="famous names",27,IF(J119="famous voices",28,IF(J119="television programs",29,IF(J119="race horses",30,IF(J119="new vocabulary",31,IF(J119="sentences",32,IF(J119="concepts",33,IF(J119="ad slides",34,IF(J119="scenes",35,IF(J119="famous scenes",36,IF(J119="poems",37,IF(J119="walk",38,IF(J119="faces and events",39,IF(J119="events and names",40,IF(J119="flashbulb",41,IF(J119="stories",42,IF(J119="course material",43,IF(J119="autobiographical",44,IF(J119="novels",45,IF(J119="public events",46,"99"))))))))))))))))))))))))))))))))))))))))))))))</f>
        <v>32</v>
      </c>
      <c r="L119" s="60">
        <f>IF(J119="syllables",1,IF(J119="trigrams",1,IF(J119="strings",1,IF(J119="visual array",1,IF(J119="characters",1,IF(J119="letters",1,IF(J119="free forms",1,IF(J119="odors",2,IF(J119="words",2,IF(J119="pictures",2,IF(J119="object pictures",2,IF(J119="faces",2,IF(J119="names",2,IF(J119="idioms","2",IF(J119="grades",2,IF(J119="syllable-digit pairs",3,IF(J119="trigram-word pairs",3,IF(J119="word-digit pairs",3,IF(J119="English-Swahili pairs",3,IF(J119="spatial position",3,IF(J119="word pairs",4,IF(J119="word triads",4,IF(J119="generated words",4,IF(J119="word definition pairs",4,IF(J119="math problems",4,IF(J119="famous faces",4,IF(J119="famous names",4,IF(J119="famous voices",4,IF(J119="television programs",4,IF(J119="race horses",4,IF(J119="new vocabulary",4,IF(J119="sentences",5,IF(J119="concepts",5,IF(J119="ad slides",5,IF(J119="scenes",5,IF(J119="famous scenes",5,IF(J119="poems",6,IF(J119="walk",6,IF(J119="faces and events",6,IF(J119="events and names",6,IF(J119="flashbulb",7,IF(J119="stories",7,IF(J119="course material",7,IF(J119="autobiographical",7,IF(J119="novels",7,IF(J119="public events",7,"99"))))))))))))))))))))))))))))))))))))))))))))))</f>
        <v>5</v>
      </c>
      <c r="M119" s="60">
        <v>1</v>
      </c>
      <c r="N119" s="60">
        <v>4</v>
      </c>
      <c r="O119" s="60">
        <v>1</v>
      </c>
      <c r="P119" s="60" t="s">
        <v>129</v>
      </c>
      <c r="Q119" s="60" t="s">
        <v>65</v>
      </c>
      <c r="R119" s="60">
        <f>IF(Q119="Free Recall",1,IF(Q119="Cued Recall",2,IF(Q119="Recognition",3,IF(Q119="Multiple Choice",4,IF(Q119="Savings",5,IF(Q119="Stem Completion",6,IF(Q119="Fragment Completion",7,IF(Q119="anagram solution",8,IF(Q119="Matching",9,IF(Q119="Problem Solving",10,"99"))))))))))</f>
        <v>2</v>
      </c>
      <c r="S119" s="60"/>
      <c r="T119" s="59" t="s">
        <v>581</v>
      </c>
      <c r="U119" s="60">
        <f>IF(T119="within",1,0)</f>
        <v>1</v>
      </c>
      <c r="V119" s="59">
        <v>16</v>
      </c>
      <c r="W119" s="60">
        <f>F119*V119</f>
        <v>288</v>
      </c>
      <c r="X119" s="60">
        <v>3</v>
      </c>
      <c r="Y119" s="76">
        <f>AV118</f>
        <v>150</v>
      </c>
      <c r="Z119" s="60" t="s">
        <v>131</v>
      </c>
      <c r="AA119" s="60">
        <v>432000</v>
      </c>
      <c r="AB119" s="60" t="str">
        <f>IF(AA119&lt;60,"1",IF(AA119&lt;=43200,"2",IF(AA119&lt;=777600,"3","4")))</f>
        <v>3</v>
      </c>
      <c r="AC119" s="56">
        <f>AVERAGE(AV118:DA118)</f>
        <v>172850</v>
      </c>
      <c r="AD119" s="60" t="str">
        <f>IF(AC119&lt;60,"1",IF(AC119&lt;=43200,"2",IF(AC119&lt;=777600,"3","4")))</f>
        <v>3</v>
      </c>
      <c r="AE119" s="76">
        <f>AA119-Y119</f>
        <v>431850</v>
      </c>
      <c r="AF119" s="80">
        <f>AV119</f>
        <v>0.246</v>
      </c>
      <c r="AG119" s="56">
        <f>((AW119-AV119)+(AX119-AW119))/2</f>
        <v>-8.199999999999999E-2</v>
      </c>
      <c r="AH119" s="4"/>
      <c r="AI119" s="56">
        <f>RSQ(AV119:AX119,AV118:AX118)</f>
        <v>0.86517595505192457</v>
      </c>
      <c r="AJ119" s="109">
        <f>SLOPE(AV119:AX119,AV118:AX118)</f>
        <v>-3.3403979212046913E-7</v>
      </c>
      <c r="AK119" s="56">
        <f>INTERCEPT(AV119:AX119,AV118:AX118)</f>
        <v>0.21973877806802311</v>
      </c>
      <c r="AL119" s="56">
        <f>INDEX(LINEST(LN(AV119:AX119),LN(AV118:AX118),TRUE,TRUE),3,1)</f>
        <v>0.81633224902495571</v>
      </c>
      <c r="AM119" s="56">
        <f>INDEX(LINEST(LN(AV119:AX119),LN(AV118:AX118)),1)</f>
        <v>-0.11857085286319295</v>
      </c>
      <c r="AN119" s="56">
        <f>EXP(INDEX(LINEST(LN(AV119:AX119),LN(AV118:AX118)),1,2))</f>
        <v>0.46951838273194452</v>
      </c>
      <c r="AO119" s="82">
        <f>INDEX(LINEST((AV119:AX119),LN(AV118:AX118),TRUE,TRUE),3,1)</f>
        <v>0.91870301844427804</v>
      </c>
      <c r="AP119" s="82">
        <f>INDEX(LINEST((AV119:AX119),LN(AV118:AX118)),1)</f>
        <v>-1.867717414422428E-2</v>
      </c>
      <c r="AQ119" s="83">
        <f>INDEX(LINEST(LN(AV119:AX119),SQRT(AV118:AX118),TRUE,TRUE),3,1)</f>
        <v>0.99851057033542578</v>
      </c>
      <c r="AR119" s="116">
        <f>INDEX(LINEST(LN(AV119:AX119),SQRT((AV118:AX118))),1)</f>
        <v>-1.7080434877592282E-3</v>
      </c>
      <c r="AS119" s="84">
        <f>INDEX(LINEST(1/(AV119:AX119),1/(SQRT(AV118:AX118)),TRUE,TRUE),3,1)</f>
        <v>0.53192300641749013</v>
      </c>
      <c r="AT119" s="84">
        <f>INDEX(LINEST(1/(AV119:AX119),1/SQRT(AV118:AX118)),1)</f>
        <v>-66.920814804177851</v>
      </c>
      <c r="AU119" s="3"/>
      <c r="AV119" s="53">
        <v>0.246</v>
      </c>
      <c r="AW119" s="53">
        <v>0.158</v>
      </c>
      <c r="AX119" s="53">
        <v>8.2000000000000003E-2</v>
      </c>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53"/>
      <c r="CD119" s="53"/>
      <c r="CE119" s="53"/>
      <c r="CF119" s="53"/>
      <c r="CG119" s="53"/>
      <c r="CH119" s="53"/>
      <c r="CI119" s="53"/>
      <c r="CJ119" s="53"/>
      <c r="CK119" s="53"/>
      <c r="CL119" s="53"/>
      <c r="CM119" s="53"/>
      <c r="CN119" s="53"/>
      <c r="CO119" s="53"/>
      <c r="CP119" s="53"/>
      <c r="CQ119" s="53"/>
      <c r="CR119" s="1"/>
      <c r="CS119" s="1"/>
      <c r="CT119" s="1"/>
      <c r="CU119" s="1"/>
    </row>
    <row r="120" spans="1:99" s="13" customFormat="1" ht="12" customHeight="1" x14ac:dyDescent="0.2">
      <c r="A120" s="65">
        <v>43509</v>
      </c>
      <c r="B120" s="1"/>
      <c r="C120" s="1"/>
      <c r="D120" s="60"/>
      <c r="E120" s="76"/>
      <c r="F120" s="60"/>
      <c r="G120" s="60"/>
      <c r="H120" s="60"/>
      <c r="I120" s="60"/>
      <c r="J120" s="60"/>
      <c r="K120" s="64"/>
      <c r="L120" s="64"/>
      <c r="M120" s="60"/>
      <c r="N120" s="60"/>
      <c r="O120" s="60"/>
      <c r="P120" s="60"/>
      <c r="Q120" s="60"/>
      <c r="R120" s="60"/>
      <c r="S120" s="60"/>
      <c r="T120" s="60"/>
      <c r="U120" s="60"/>
      <c r="V120" s="60"/>
      <c r="W120" s="60"/>
      <c r="X120" s="60"/>
      <c r="Y120" s="76"/>
      <c r="Z120" s="60"/>
      <c r="AA120" s="60"/>
      <c r="AB120" s="60"/>
      <c r="AC120" s="60"/>
      <c r="AD120" s="60"/>
      <c r="AE120" s="60"/>
      <c r="AF120" s="80"/>
      <c r="AG120" s="56"/>
      <c r="AH120" s="4"/>
      <c r="AI120" s="56"/>
      <c r="AJ120" s="109"/>
      <c r="AK120" s="56"/>
      <c r="AL120" s="56"/>
      <c r="AM120" s="56"/>
      <c r="AN120" s="56"/>
      <c r="AO120" s="56"/>
      <c r="AP120" s="56"/>
      <c r="AQ120" s="82"/>
      <c r="AR120" s="115"/>
      <c r="AS120" s="82"/>
      <c r="AT120" s="82"/>
      <c r="AU120" s="4"/>
      <c r="AV120" s="25">
        <v>150</v>
      </c>
      <c r="AW120" s="25">
        <f>24*3600*1</f>
        <v>86400</v>
      </c>
      <c r="AX120" s="25">
        <f>24*3600*5</f>
        <v>432000</v>
      </c>
      <c r="AY120" s="53"/>
      <c r="AZ120" s="53"/>
      <c r="BA120" s="53"/>
      <c r="BB120" s="53"/>
      <c r="BC120" s="53"/>
      <c r="BD120" s="53"/>
      <c r="BE120" s="53"/>
      <c r="BF120" s="53"/>
      <c r="BG120" s="53"/>
      <c r="BH120" s="53"/>
      <c r="BI120" s="53"/>
      <c r="BJ120" s="53"/>
      <c r="BK120" s="53"/>
      <c r="BL120" s="53"/>
      <c r="BM120" s="53"/>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53"/>
      <c r="CR120" s="1"/>
      <c r="CS120" s="1"/>
      <c r="CT120" s="1"/>
      <c r="CU120" s="1"/>
    </row>
    <row r="121" spans="1:99" s="13" customFormat="1" ht="12" customHeight="1" x14ac:dyDescent="0.2">
      <c r="A121" s="65">
        <v>43509</v>
      </c>
      <c r="B121" s="1" t="s">
        <v>128</v>
      </c>
      <c r="C121" s="1" t="s">
        <v>45</v>
      </c>
      <c r="D121" s="60">
        <v>1983</v>
      </c>
      <c r="E121" s="76">
        <v>3</v>
      </c>
      <c r="F121" s="60">
        <v>18</v>
      </c>
      <c r="G121" s="60">
        <v>18</v>
      </c>
      <c r="H121" s="60" t="s">
        <v>43</v>
      </c>
      <c r="I121" s="60" t="s">
        <v>132</v>
      </c>
      <c r="J121" s="60" t="s">
        <v>475</v>
      </c>
      <c r="K121" s="60">
        <f>IF(J121="syllables",1,IF(J121="trigrams",2,IF(J121="strings",3,IF(J121="visual array",4,IF(J121="characters",5,IF(J121="letters",6,IF(J121="free forms",7,IF(J121="odors",8,IF(J121="words",9,IF(J121="pictures",10,IF(J121="object pictures",11,IF(J121="faces",12,IF(J121="names",13,IF(J121="idioms",14,IF(J121="grades",15,IF(J121="syllable-digit pairs",16,IF(J121="trigram-word pairs",17,IF(J121="word-digit pairs",18,IF(J121="English-Swahili pairs",19,IF(J121="spatial position",20,IF(J121="word pairs",21,IF(J121="word triads",22,IF(J121="generated words",23,IF(J121="word definition pairs",24,IF(J121="math problems",25,IF(J121="famous faces",26,IF(J121="famous names",27,IF(J121="famous voices",28,IF(J121="television programs",29,IF(J121="race horses",30,IF(J121="new vocabulary",31,IF(J121="sentences",32,IF(J121="concepts",33,IF(J121="ad slides",34,IF(J121="scenes",35,IF(J121="famous scenes",36,IF(J121="poems",37,IF(J121="walk",38,IF(J121="faces and events",39,IF(J121="events and names",40,IF(J121="flashbulb",41,IF(J121="stories",42,IF(J121="course material",43,IF(J121="autobiographical",44,IF(J121="novels",45,IF(J121="public events",46,"99"))))))))))))))))))))))))))))))))))))))))))))))</f>
        <v>32</v>
      </c>
      <c r="L121" s="60">
        <f>IF(J121="syllables",1,IF(J121="trigrams",1,IF(J121="strings",1,IF(J121="visual array",1,IF(J121="characters",1,IF(J121="letters",1,IF(J121="free forms",1,IF(J121="odors",2,IF(J121="words",2,IF(J121="pictures",2,IF(J121="object pictures",2,IF(J121="faces",2,IF(J121="names",2,IF(J121="idioms","2",IF(J121="grades",2,IF(J121="syllable-digit pairs",3,IF(J121="trigram-word pairs",3,IF(J121="word-digit pairs",3,IF(J121="English-Swahili pairs",3,IF(J121="spatial position",3,IF(J121="word pairs",4,IF(J121="word triads",4,IF(J121="generated words",4,IF(J121="word definition pairs",4,IF(J121="math problems",4,IF(J121="famous faces",4,IF(J121="famous names",4,IF(J121="famous voices",4,IF(J121="television programs",4,IF(J121="race horses",4,IF(J121="new vocabulary",4,IF(J121="sentences",5,IF(J121="concepts",5,IF(J121="ad slides",5,IF(J121="scenes",5,IF(J121="famous scenes",5,IF(J121="poems",6,IF(J121="walk",6,IF(J121="faces and events",6,IF(J121="events and names",6,IF(J121="flashbulb",7,IF(J121="stories",7,IF(J121="course material",7,IF(J121="autobiographical",7,IF(J121="novels",7,IF(J121="public events",7,"99"))))))))))))))))))))))))))))))))))))))))))))))</f>
        <v>5</v>
      </c>
      <c r="M121" s="60">
        <v>1</v>
      </c>
      <c r="N121" s="60">
        <v>3</v>
      </c>
      <c r="O121" s="60">
        <v>1</v>
      </c>
      <c r="P121" s="60" t="s">
        <v>129</v>
      </c>
      <c r="Q121" s="60" t="s">
        <v>65</v>
      </c>
      <c r="R121" s="60">
        <f>IF(Q121="Free Recall",1,IF(Q121="Cued Recall",2,IF(Q121="Recognition",3,IF(Q121="Multiple Choice",4,IF(Q121="Savings",5,IF(Q121="Stem Completion",6,IF(Q121="Fragment Completion",7,IF(Q121="anagram solution",8,IF(Q121="Matching",9,IF(Q121="Problem Solving",10,"99"))))))))))</f>
        <v>2</v>
      </c>
      <c r="S121" s="60"/>
      <c r="T121" s="59" t="s">
        <v>581</v>
      </c>
      <c r="U121" s="60">
        <f>IF(T121="within",1,0)</f>
        <v>1</v>
      </c>
      <c r="V121" s="59">
        <v>16</v>
      </c>
      <c r="W121" s="60">
        <f>F121*V121</f>
        <v>288</v>
      </c>
      <c r="X121" s="60">
        <v>3</v>
      </c>
      <c r="Y121" s="76">
        <f>AV120</f>
        <v>150</v>
      </c>
      <c r="Z121" s="60" t="s">
        <v>131</v>
      </c>
      <c r="AA121" s="60">
        <v>432000</v>
      </c>
      <c r="AB121" s="60" t="str">
        <f>IF(AA121&lt;60,"1",IF(AA121&lt;=43200,"2",IF(AA121&lt;=777600,"3","4")))</f>
        <v>3</v>
      </c>
      <c r="AC121" s="56">
        <f>AVERAGE(AV120:DA120)</f>
        <v>172850</v>
      </c>
      <c r="AD121" s="60" t="str">
        <f>IF(AC121&lt;60,"1",IF(AC121&lt;=43200,"2",IF(AC121&lt;=777600,"3","4")))</f>
        <v>3</v>
      </c>
      <c r="AE121" s="76">
        <f>AA121-Y121</f>
        <v>431850</v>
      </c>
      <c r="AF121" s="80">
        <f>AV121</f>
        <v>0.193</v>
      </c>
      <c r="AG121" s="56">
        <f>((AW121-AV121)+(AX121-AW121))/2</f>
        <v>-7.6999999999999999E-2</v>
      </c>
      <c r="AH121" s="4"/>
      <c r="AI121" s="56">
        <f>RSQ(AV121:AX121,AV120:AX120)</f>
        <v>0.76014120299534416</v>
      </c>
      <c r="AJ121" s="109">
        <f>SLOPE(AV121:AX121,AV120:AX120)</f>
        <v>-2.9847177728497824E-7</v>
      </c>
      <c r="AK121" s="56">
        <f>INTERCEPT(AV121:AX121,AV120:AX120)</f>
        <v>0.15959084670370849</v>
      </c>
      <c r="AL121" s="56">
        <f>INDEX(LINEST(LN(AV121:AX121),LN(AV120:AX120),TRUE,TRUE),3,1)</f>
        <v>0.86673471216554188</v>
      </c>
      <c r="AM121" s="56">
        <f>INDEX(LINEST(LN(AV121:AX121),LN(AV120:AX120)),1)</f>
        <v>-0.17689204805834827</v>
      </c>
      <c r="AN121" s="56">
        <f>EXP(INDEX(LINEST(LN(AV121:AX121),LN(AV120:AX120)),1,2))</f>
        <v>0.499438200300241</v>
      </c>
      <c r="AO121" s="82">
        <f>INDEX(LINEST((AV121:AX121),LN(AV120:AX120),TRUE,TRUE),3,1)</f>
        <v>0.97667947627318707</v>
      </c>
      <c r="AP121" s="82">
        <f>INDEX(LINEST((AV121:AX121),LN(AV120:AX120)),1)</f>
        <v>-1.8357341106126725E-2</v>
      </c>
      <c r="AQ121" s="83">
        <f>INDEX(LINEST(LN(AV121:AX121),SQRT(AV120:AX120),TRUE,TRUE),3,1)</f>
        <v>0.99906338989954502</v>
      </c>
      <c r="AR121" s="116">
        <f>INDEX(LINEST(LN(AV121:AX121),SQRT((AV120:AX120))),1)</f>
        <v>-2.4736591726272979E-3</v>
      </c>
      <c r="AS121" s="84">
        <f>INDEX(LINEST(1/(AV121:AX121),1/(SQRT(AV120:AX120)),TRUE,TRUE),3,1)</f>
        <v>0.53142539719697979</v>
      </c>
      <c r="AT121" s="84">
        <f>INDEX(LINEST(1/(AV121:AX121),1/SQRT(AV120:AX120)),1)</f>
        <v>-168.35163900682801</v>
      </c>
      <c r="AU121" s="3"/>
      <c r="AV121" s="53">
        <v>0.193</v>
      </c>
      <c r="AW121" s="53">
        <v>9.1999999999999998E-2</v>
      </c>
      <c r="AX121" s="53">
        <v>3.9E-2</v>
      </c>
      <c r="AY121" s="53"/>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c r="CO121" s="53"/>
      <c r="CP121" s="53"/>
      <c r="CQ121" s="53"/>
      <c r="CR121" s="1"/>
      <c r="CS121" s="1"/>
      <c r="CT121" s="1"/>
      <c r="CU121" s="1"/>
    </row>
    <row r="122" spans="1:99" s="13" customFormat="1" ht="12" customHeight="1" x14ac:dyDescent="0.2">
      <c r="A122" s="65">
        <v>43509</v>
      </c>
      <c r="B122" s="1"/>
      <c r="C122" s="1"/>
      <c r="D122" s="60"/>
      <c r="E122" s="76"/>
      <c r="F122" s="60"/>
      <c r="G122" s="60"/>
      <c r="H122" s="60"/>
      <c r="I122" s="60"/>
      <c r="J122" s="60"/>
      <c r="K122" s="64"/>
      <c r="L122" s="64"/>
      <c r="M122" s="60"/>
      <c r="N122" s="60"/>
      <c r="O122" s="60"/>
      <c r="P122" s="60"/>
      <c r="Q122" s="60"/>
      <c r="R122" s="60"/>
      <c r="S122" s="60"/>
      <c r="T122" s="60"/>
      <c r="U122" s="60"/>
      <c r="V122" s="60"/>
      <c r="W122" s="60"/>
      <c r="X122" s="60"/>
      <c r="Y122" s="76"/>
      <c r="Z122" s="60"/>
      <c r="AA122" s="60"/>
      <c r="AB122" s="60"/>
      <c r="AC122" s="60"/>
      <c r="AD122" s="60"/>
      <c r="AE122" s="60"/>
      <c r="AF122" s="80"/>
      <c r="AG122" s="56"/>
      <c r="AH122" s="4"/>
      <c r="AI122" s="56"/>
      <c r="AJ122" s="109"/>
      <c r="AK122" s="56"/>
      <c r="AL122" s="56"/>
      <c r="AM122" s="56"/>
      <c r="AN122" s="56"/>
      <c r="AO122" s="56"/>
      <c r="AP122" s="56"/>
      <c r="AQ122" s="82"/>
      <c r="AR122" s="115"/>
      <c r="AS122" s="82"/>
      <c r="AT122" s="82"/>
      <c r="AU122" s="4"/>
      <c r="AV122" s="25">
        <v>45</v>
      </c>
      <c r="AW122" s="25">
        <f>2*60*60</f>
        <v>7200</v>
      </c>
      <c r="AX122" s="25">
        <f>24*3600*4</f>
        <v>345600</v>
      </c>
      <c r="AY122" s="53" t="s">
        <v>535</v>
      </c>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c r="CA122" s="53"/>
      <c r="CB122" s="53"/>
      <c r="CC122" s="53"/>
      <c r="CD122" s="53"/>
      <c r="CE122" s="53"/>
      <c r="CF122" s="53"/>
      <c r="CG122" s="53"/>
      <c r="CH122" s="53"/>
      <c r="CI122" s="53"/>
      <c r="CJ122" s="53"/>
      <c r="CK122" s="53"/>
      <c r="CL122" s="53"/>
      <c r="CM122" s="53"/>
      <c r="CN122" s="53"/>
      <c r="CO122" s="53"/>
      <c r="CP122" s="53"/>
      <c r="CQ122" s="53"/>
      <c r="CR122" s="1"/>
      <c r="CS122" s="1"/>
      <c r="CT122" s="1"/>
      <c r="CU122" s="1"/>
    </row>
    <row r="123" spans="1:99" s="13" customFormat="1" ht="12" customHeight="1" x14ac:dyDescent="0.2">
      <c r="A123" s="65">
        <v>43509</v>
      </c>
      <c r="B123" s="1" t="s">
        <v>906</v>
      </c>
      <c r="C123" s="1" t="s">
        <v>54</v>
      </c>
      <c r="D123" s="60">
        <v>1987</v>
      </c>
      <c r="E123" s="76">
        <v>1</v>
      </c>
      <c r="F123" s="60">
        <v>12</v>
      </c>
      <c r="G123" s="60">
        <v>12</v>
      </c>
      <c r="H123" s="60" t="s">
        <v>22</v>
      </c>
      <c r="I123" s="60" t="s">
        <v>824</v>
      </c>
      <c r="J123" s="60" t="s">
        <v>16</v>
      </c>
      <c r="K123" s="60">
        <f>IF(J123="syllables",1,IF(J123="trigrams",2,IF(J123="strings",3,IF(J123="visual array",4,IF(J123="characters",5,IF(J123="letters",6,IF(J123="free forms",7,IF(J123="odors",8,IF(J123="words",9,IF(J123="pictures",10,IF(J123="object pictures",11,IF(J123="faces",12,IF(J123="names",13,IF(J123="idioms",14,IF(J123="grades",15,IF(J123="syllable-digit pairs",16,IF(J123="trigram-word pairs",17,IF(J123="word-digit pairs",18,IF(J123="English-Swahili pairs",19,IF(J123="spatial position",20,IF(J123="word pairs",21,IF(J123="word triads",22,IF(J123="generated words",23,IF(J123="word definition pairs",24,IF(J123="math problems",25,IF(J123="famous faces",26,IF(J123="famous names",27,IF(J123="famous voices",28,IF(J123="television programs",29,IF(J123="race horses",30,IF(J123="new vocabulary",31,IF(J123="sentences",32,IF(J123="concepts",33,IF(J123="ad slides",34,IF(J123="scenes",35,IF(J123="famous scenes",36,IF(J123="poems",37,IF(J123="walk",38,IF(J123="faces and events",39,IF(J123="events and names",40,IF(J123="flashbulb",41,IF(J123="stories",42,IF(J123="course material",43,IF(J123="autobiographical",44,IF(J123="novels",45,IF(J123="public events",46,"99"))))))))))))))))))))))))))))))))))))))))))))))</f>
        <v>9</v>
      </c>
      <c r="L123" s="60">
        <f>IF(J123="syllables",1,IF(J123="trigrams",1,IF(J123="strings",1,IF(J123="visual array",1,IF(J123="characters",1,IF(J123="letters",1,IF(J123="free forms",1,IF(J123="odors",2,IF(J123="words",2,IF(J123="pictures",2,IF(J123="object pictures",2,IF(J123="faces",2,IF(J123="names",2,IF(J123="idioms","2",IF(J123="grades",2,IF(J123="syllable-digit pairs",3,IF(J123="trigram-word pairs",3,IF(J123="word-digit pairs",3,IF(J123="English-Swahili pairs",3,IF(J123="spatial position",3,IF(J123="word pairs",4,IF(J123="word triads",4,IF(J123="generated words",4,IF(J123="word definition pairs",4,IF(J123="math problems",4,IF(J123="famous faces",4,IF(J123="famous names",4,IF(J123="famous voices",4,IF(J123="television programs",4,IF(J123="race horses",4,IF(J123="new vocabulary",4,IF(J123="sentences",5,IF(J123="concepts",5,IF(J123="ad slides",5,IF(J123="scenes",5,IF(J123="famous scenes",5,IF(J123="poems",6,IF(J123="walk",6,IF(J123="faces and events",6,IF(J123="events and names",6,IF(J123="flashbulb",7,IF(J123="stories",7,IF(J123="course material",7,IF(J123="autobiographical",7,IF(J123="novels",7,IF(J123="public events",7,"99"))))))))))))))))))))))))))))))))))))))))))))))</f>
        <v>2</v>
      </c>
      <c r="M123" s="60">
        <v>1</v>
      </c>
      <c r="N123" s="60">
        <v>2</v>
      </c>
      <c r="O123" s="60">
        <v>0</v>
      </c>
      <c r="P123" s="60"/>
      <c r="Q123" s="60" t="s">
        <v>125</v>
      </c>
      <c r="R123" s="60">
        <f>IF(Q123="Free Recall",1,IF(Q123="Cued Recall",2,IF(Q123="Recognition",3,IF(Q123="Multiple Choice",4,IF(Q123="Savings",5,IF(Q123="Stem Completion",6,IF(Q123="Fragment Completion",7,IF(Q123="anagram solution",8,IF(Q123="Matching",9,IF(Q123="Problem Solving",10,"99"))))))))))</f>
        <v>7</v>
      </c>
      <c r="S123" s="60" t="s">
        <v>49</v>
      </c>
      <c r="T123" s="59" t="s">
        <v>581</v>
      </c>
      <c r="U123" s="60">
        <f>IF(T123="within",1,0)</f>
        <v>1</v>
      </c>
      <c r="V123" s="59">
        <v>72</v>
      </c>
      <c r="W123" s="60">
        <f>F123*V123</f>
        <v>864</v>
      </c>
      <c r="X123" s="60">
        <v>3</v>
      </c>
      <c r="Y123" s="76">
        <f>AV122</f>
        <v>45</v>
      </c>
      <c r="Z123" s="60" t="s">
        <v>115</v>
      </c>
      <c r="AA123" s="60">
        <v>345600</v>
      </c>
      <c r="AB123" s="60" t="str">
        <f>IF(AA123&lt;60,"1",IF(AA123&lt;=43200,"2",IF(AA123&lt;=777600,"3","4")))</f>
        <v>3</v>
      </c>
      <c r="AC123" s="56">
        <f>AVERAGE(AV122:DA122)</f>
        <v>117615</v>
      </c>
      <c r="AD123" s="60" t="str">
        <f>IF(AC123&lt;60,"1",IF(AC123&lt;=43200,"2",IF(AC123&lt;=777600,"3","4")))</f>
        <v>3</v>
      </c>
      <c r="AE123" s="76">
        <f>AA123-Y123</f>
        <v>345555</v>
      </c>
      <c r="AF123" s="80">
        <f>AV123</f>
        <v>0.5</v>
      </c>
      <c r="AG123" s="56">
        <f>((AW123-AV123)+(AX123-AW123))/2</f>
        <v>-0.16499999999999998</v>
      </c>
      <c r="AH123" s="4"/>
      <c r="AI123" s="56">
        <f>RSQ(AV123:AX123,AV122:AX122)</f>
        <v>0.24333716031784722</v>
      </c>
      <c r="AJ123" s="109">
        <f>SLOPE(AV123:AX123,AV122:AX122)</f>
        <v>-4.833094453918862E-7</v>
      </c>
      <c r="AK123" s="56">
        <f>INTERCEPT(AV123:AX123,AV122:AX122)</f>
        <v>0.33351110708643339</v>
      </c>
      <c r="AL123" s="56">
        <f>INDEX(LINEST(LN(AV123:AX123),LN(AV122:AX122),TRUE,TRUE),3,1)</f>
        <v>0.77571589266024654</v>
      </c>
      <c r="AM123" s="56">
        <f>INDEX(LINEST(LN(AV123:AX123),LN(AV122:AX122)),1)</f>
        <v>-0.12584385151476263</v>
      </c>
      <c r="AN123" s="56">
        <f>EXP(INDEX(LINEST(LN(AV123:AX123),LN(AV122:AX122)),1,2))</f>
        <v>0.69395960154045044</v>
      </c>
      <c r="AO123" s="82">
        <f>INDEX(LINEST((AV123:AX123),LN(AV122:AX122),TRUE,TRUE),3,1)</f>
        <v>0.79335552651885377</v>
      </c>
      <c r="AP123" s="82">
        <f>INDEX(LINEST((AV123:AX123),LN(AV122:AX122)),1)</f>
        <v>-3.8409540822849787E-2</v>
      </c>
      <c r="AQ123" s="83">
        <f>INDEX(LINEST(LN(AV123:AX123),SQRT(AV122:AX122),TRUE,TRUE),3,1)</f>
        <v>0.31928187978681588</v>
      </c>
      <c r="AR123" s="116">
        <f>INDEX(LINEST(LN(AV123:AX123),SQRT((AV122:AX122))),1)</f>
        <v>-1.1484638429484957E-3</v>
      </c>
      <c r="AS123" s="84">
        <f>INDEX(LINEST(1/(AV123:AX123),1/(SQRT(AV122:AX122)),TRUE,TRUE),3,1)</f>
        <v>0.980686333662947</v>
      </c>
      <c r="AT123" s="84">
        <f>INDEX(LINEST(1/(AV123:AX123),1/SQRT(AV122:AX122)),1)</f>
        <v>-28.325128072163483</v>
      </c>
      <c r="AU123" s="3"/>
      <c r="AV123" s="53">
        <v>0.5</v>
      </c>
      <c r="AW123" s="53">
        <v>0.16</v>
      </c>
      <c r="AX123" s="53">
        <v>0.17</v>
      </c>
      <c r="AY123" s="53"/>
      <c r="AZ123" s="53"/>
      <c r="BA123" s="53"/>
      <c r="BB123" s="53"/>
      <c r="BC123" s="53"/>
      <c r="BD123" s="53"/>
      <c r="BE123" s="53"/>
      <c r="BF123" s="53"/>
      <c r="BG123" s="53"/>
      <c r="BH123" s="53"/>
      <c r="BI123" s="53"/>
      <c r="BJ123" s="53"/>
      <c r="BK123" s="53"/>
      <c r="BL123" s="53"/>
      <c r="BM123" s="53"/>
      <c r="BN123" s="53"/>
      <c r="BO123" s="53"/>
      <c r="BP123" s="53"/>
      <c r="BQ123" s="53"/>
      <c r="BR123" s="53"/>
      <c r="BS123" s="53"/>
      <c r="BT123" s="53"/>
      <c r="BU123" s="53"/>
      <c r="BV123" s="53"/>
      <c r="BW123" s="53"/>
      <c r="BX123" s="53"/>
      <c r="BY123" s="53"/>
      <c r="BZ123" s="53"/>
      <c r="CA123" s="53"/>
      <c r="CB123" s="53"/>
      <c r="CC123" s="53"/>
      <c r="CD123" s="53"/>
      <c r="CE123" s="53"/>
      <c r="CF123" s="53"/>
      <c r="CG123" s="53"/>
      <c r="CH123" s="53"/>
      <c r="CI123" s="53"/>
      <c r="CJ123" s="53"/>
      <c r="CK123" s="53"/>
      <c r="CL123" s="53"/>
      <c r="CM123" s="53"/>
      <c r="CN123" s="53"/>
      <c r="CO123" s="53"/>
      <c r="CP123" s="53"/>
      <c r="CQ123" s="53"/>
      <c r="CR123" s="1"/>
      <c r="CS123" s="1"/>
      <c r="CT123" s="1"/>
      <c r="CU123" s="1"/>
    </row>
    <row r="124" spans="1:99" s="13" customFormat="1" ht="12" customHeight="1" x14ac:dyDescent="0.2">
      <c r="A124" s="65">
        <v>43509</v>
      </c>
      <c r="B124" s="1"/>
      <c r="C124" s="1"/>
      <c r="D124" s="60"/>
      <c r="E124" s="76"/>
      <c r="F124" s="60"/>
      <c r="G124" s="60"/>
      <c r="H124" s="60"/>
      <c r="I124" s="60"/>
      <c r="J124" s="60"/>
      <c r="K124" s="64"/>
      <c r="L124" s="64"/>
      <c r="M124" s="60"/>
      <c r="N124" s="60"/>
      <c r="O124" s="60"/>
      <c r="P124" s="60"/>
      <c r="Q124" s="60"/>
      <c r="R124" s="60"/>
      <c r="S124" s="60"/>
      <c r="T124" s="60"/>
      <c r="U124" s="60"/>
      <c r="V124" s="60"/>
      <c r="W124" s="60"/>
      <c r="X124" s="60"/>
      <c r="Y124" s="76"/>
      <c r="Z124" s="60"/>
      <c r="AA124" s="60"/>
      <c r="AB124" s="60"/>
      <c r="AC124" s="60"/>
      <c r="AD124" s="60"/>
      <c r="AE124" s="60"/>
      <c r="AF124" s="80"/>
      <c r="AG124" s="56"/>
      <c r="AH124" s="4"/>
      <c r="AI124" s="56"/>
      <c r="AJ124" s="109"/>
      <c r="AK124" s="56"/>
      <c r="AL124" s="56"/>
      <c r="AM124" s="56"/>
      <c r="AN124" s="56"/>
      <c r="AO124" s="56"/>
      <c r="AP124" s="56"/>
      <c r="AQ124" s="82"/>
      <c r="AR124" s="115"/>
      <c r="AS124" s="82"/>
      <c r="AT124" s="82"/>
      <c r="AU124" s="4"/>
      <c r="AV124" s="25">
        <v>45</v>
      </c>
      <c r="AW124" s="25">
        <f>2*60*60</f>
        <v>7200</v>
      </c>
      <c r="AX124" s="25">
        <f>24*3600*4</f>
        <v>345600</v>
      </c>
      <c r="AY124" s="53"/>
      <c r="AZ124" s="53"/>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c r="BY124" s="53"/>
      <c r="BZ124" s="53"/>
      <c r="CA124" s="53"/>
      <c r="CB124" s="53"/>
      <c r="CC124" s="53"/>
      <c r="CD124" s="53"/>
      <c r="CE124" s="53"/>
      <c r="CF124" s="53"/>
      <c r="CG124" s="53"/>
      <c r="CH124" s="53"/>
      <c r="CI124" s="53"/>
      <c r="CJ124" s="53"/>
      <c r="CK124" s="53"/>
      <c r="CL124" s="53"/>
      <c r="CM124" s="53"/>
      <c r="CN124" s="53"/>
      <c r="CO124" s="53"/>
      <c r="CP124" s="53"/>
      <c r="CQ124" s="53"/>
      <c r="CR124" s="1"/>
      <c r="CS124" s="1"/>
      <c r="CT124" s="1"/>
      <c r="CU124" s="1"/>
    </row>
    <row r="125" spans="1:99" s="13" customFormat="1" ht="12" customHeight="1" x14ac:dyDescent="0.2">
      <c r="A125" s="65">
        <v>43509</v>
      </c>
      <c r="B125" s="1" t="s">
        <v>906</v>
      </c>
      <c r="C125" s="1" t="s">
        <v>54</v>
      </c>
      <c r="D125" s="60">
        <v>1987</v>
      </c>
      <c r="E125" s="76">
        <v>1</v>
      </c>
      <c r="F125" s="60">
        <v>12</v>
      </c>
      <c r="G125" s="60">
        <v>12</v>
      </c>
      <c r="H125" s="60" t="s">
        <v>38</v>
      </c>
      <c r="I125" s="60" t="s">
        <v>824</v>
      </c>
      <c r="J125" s="60" t="s">
        <v>16</v>
      </c>
      <c r="K125" s="60">
        <f>IF(J125="syllables",1,IF(J125="trigrams",2,IF(J125="strings",3,IF(J125="visual array",4,IF(J125="characters",5,IF(J125="letters",6,IF(J125="free forms",7,IF(J125="odors",8,IF(J125="words",9,IF(J125="pictures",10,IF(J125="object pictures",11,IF(J125="faces",12,IF(J125="names",13,IF(J125="idioms",14,IF(J125="grades",15,IF(J125="syllable-digit pairs",16,IF(J125="trigram-word pairs",17,IF(J125="word-digit pairs",18,IF(J125="English-Swahili pairs",19,IF(J125="spatial position",20,IF(J125="word pairs",21,IF(J125="word triads",22,IF(J125="generated words",23,IF(J125="word definition pairs",24,IF(J125="math problems",25,IF(J125="famous faces",26,IF(J125="famous names",27,IF(J125="famous voices",28,IF(J125="television programs",29,IF(J125="race horses",30,IF(J125="new vocabulary",31,IF(J125="sentences",32,IF(J125="concepts",33,IF(J125="ad slides",34,IF(J125="scenes",35,IF(J125="famous scenes",36,IF(J125="poems",37,IF(J125="walk",38,IF(J125="faces and events",39,IF(J125="events and names",40,IF(J125="flashbulb",41,IF(J125="stories",42,IF(J125="course material",43,IF(J125="autobiographical",44,IF(J125="novels",45,IF(J125="public events",46,"99"))))))))))))))))))))))))))))))))))))))))))))))</f>
        <v>9</v>
      </c>
      <c r="L125" s="60">
        <f>IF(J125="syllables",1,IF(J125="trigrams",1,IF(J125="strings",1,IF(J125="visual array",1,IF(J125="characters",1,IF(J125="letters",1,IF(J125="free forms",1,IF(J125="odors",2,IF(J125="words",2,IF(J125="pictures",2,IF(J125="object pictures",2,IF(J125="faces",2,IF(J125="names",2,IF(J125="idioms","2",IF(J125="grades",2,IF(J125="syllable-digit pairs",3,IF(J125="trigram-word pairs",3,IF(J125="word-digit pairs",3,IF(J125="English-Swahili pairs",3,IF(J125="spatial position",3,IF(J125="word pairs",4,IF(J125="word triads",4,IF(J125="generated words",4,IF(J125="word definition pairs",4,IF(J125="math problems",4,IF(J125="famous faces",4,IF(J125="famous names",4,IF(J125="famous voices",4,IF(J125="television programs",4,IF(J125="race horses",4,IF(J125="new vocabulary",4,IF(J125="sentences",5,IF(J125="concepts",5,IF(J125="ad slides",5,IF(J125="scenes",5,IF(J125="famous scenes",5,IF(J125="poems",6,IF(J125="walk",6,IF(J125="faces and events",6,IF(J125="events and names",6,IF(J125="flashbulb",7,IF(J125="stories",7,IF(J125="course material",7,IF(J125="autobiographical",7,IF(J125="novels",7,IF(J125="public events",7,"99"))))))))))))))))))))))))))))))))))))))))))))))</f>
        <v>2</v>
      </c>
      <c r="M125" s="60">
        <v>1</v>
      </c>
      <c r="N125" s="60">
        <v>2</v>
      </c>
      <c r="O125" s="60">
        <v>0</v>
      </c>
      <c r="P125" s="60"/>
      <c r="Q125" s="60" t="s">
        <v>34</v>
      </c>
      <c r="R125" s="60">
        <f>IF(Q125="Free Recall",1,IF(Q125="Cued Recall",2,IF(Q125="Recognition",3,IF(Q125="Multiple Choice",4,IF(Q125="Savings",5,IF(Q125="Stem Completion",6,IF(Q125="Fragment Completion",7,IF(Q125="anagram solution",8,IF(Q125="Matching",9,IF(Q125="Problem Solving",10,"99"))))))))))</f>
        <v>3</v>
      </c>
      <c r="S125" s="60" t="s">
        <v>15</v>
      </c>
      <c r="T125" s="59" t="s">
        <v>581</v>
      </c>
      <c r="U125" s="60">
        <f>IF(T125="within",1,0)</f>
        <v>1</v>
      </c>
      <c r="V125" s="59">
        <v>72</v>
      </c>
      <c r="W125" s="60">
        <f>F125*V125</f>
        <v>864</v>
      </c>
      <c r="X125" s="60">
        <v>3</v>
      </c>
      <c r="Y125" s="76">
        <f>AV124</f>
        <v>45</v>
      </c>
      <c r="Z125" s="60" t="s">
        <v>115</v>
      </c>
      <c r="AA125" s="60">
        <v>345600</v>
      </c>
      <c r="AB125" s="60" t="str">
        <f>IF(AA125&lt;60,"1",IF(AA125&lt;=43200,"2",IF(AA125&lt;=777600,"3","4")))</f>
        <v>3</v>
      </c>
      <c r="AC125" s="56">
        <f>AVERAGE(AV124:DA124)</f>
        <v>117615</v>
      </c>
      <c r="AD125" s="60" t="str">
        <f>IF(AC125&lt;60,"1",IF(AC125&lt;=43200,"2",IF(AC125&lt;=777600,"3","4")))</f>
        <v>3</v>
      </c>
      <c r="AE125" s="76">
        <f>AA125-Y125</f>
        <v>345555</v>
      </c>
      <c r="AF125" s="80">
        <f>AV125</f>
        <v>0.94</v>
      </c>
      <c r="AG125" s="56">
        <f>((AW125-AV125)+(AX125-AW125))/2</f>
        <v>-5.4999999999999993E-2</v>
      </c>
      <c r="AH125" s="4"/>
      <c r="AI125" s="56">
        <f>RSQ(AV125:AX125,AV124:AX124)</f>
        <v>0.97665661311696428</v>
      </c>
      <c r="AJ125" s="109">
        <f>SLOPE(AV125:AX125,AV124:AX124)</f>
        <v>-2.9323833616760013E-7</v>
      </c>
      <c r="AK125" s="56">
        <f>INTERCEPT(AV125:AX125,AV124:AX124)</f>
        <v>0.93115589357501893</v>
      </c>
      <c r="AL125" s="56">
        <f>INDEX(LINEST(LN(AV125:AX125),LN(AV124:AX124),TRUE,TRUE),3,1)</f>
        <v>0.81951741007352319</v>
      </c>
      <c r="AM125" s="56">
        <f>INDEX(LINEST(LN(AV125:AX125),LN(AV124:AX124)),1)</f>
        <v>-1.3421737689918316E-2</v>
      </c>
      <c r="AN125" s="56">
        <f>EXP(INDEX(LINEST(LN(AV125:AX125),LN(AV124:AX124)),1,2))</f>
        <v>1.0032997767354406</v>
      </c>
      <c r="AO125" s="82">
        <f>INDEX(LINEST((AV125:AX125),LN(AV124:AX124),TRUE,TRUE),3,1)</f>
        <v>0.8264935364560736</v>
      </c>
      <c r="AP125" s="82">
        <f>INDEX(LINEST((AV125:AX125),LN(AV124:AX124)),1)</f>
        <v>-1.1872813738355506E-2</v>
      </c>
      <c r="AQ125" s="83">
        <f>INDEX(LINEST(LN(AV125:AX125),SQRT(AV124:AX124),TRUE,TRUE),3,1)</f>
        <v>0.99854399284379847</v>
      </c>
      <c r="AR125" s="116">
        <f>INDEX(LINEST(LN(AV125:AX125),SQRT((AV124:AX124))),1)</f>
        <v>-2.1074767415965899E-4</v>
      </c>
      <c r="AS125" s="84">
        <f>INDEX(LINEST(1/(AV125:AX125),1/(SQRT(AV124:AX124)),TRUE,TRUE),3,1)</f>
        <v>0.45308110410457453</v>
      </c>
      <c r="AT125" s="84">
        <f>INDEX(LINEST(1/(AV125:AX125),1/SQRT(AV124:AX124)),1)</f>
        <v>-0.61821831565079499</v>
      </c>
      <c r="AU125" s="3"/>
      <c r="AV125" s="53">
        <v>0.94</v>
      </c>
      <c r="AW125" s="53">
        <v>0.92</v>
      </c>
      <c r="AX125" s="53">
        <v>0.83</v>
      </c>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53"/>
      <c r="CD125" s="53"/>
      <c r="CE125" s="53"/>
      <c r="CF125" s="53"/>
      <c r="CG125" s="53"/>
      <c r="CH125" s="53"/>
      <c r="CI125" s="53"/>
      <c r="CJ125" s="53"/>
      <c r="CK125" s="53"/>
      <c r="CL125" s="53"/>
      <c r="CM125" s="53"/>
      <c r="CN125" s="53"/>
      <c r="CO125" s="53"/>
      <c r="CP125" s="53"/>
      <c r="CQ125" s="53"/>
      <c r="CR125" s="1"/>
      <c r="CS125" s="1"/>
      <c r="CT125" s="1"/>
      <c r="CU125" s="1"/>
    </row>
    <row r="126" spans="1:99" s="13" customFormat="1" ht="12" customHeight="1" x14ac:dyDescent="0.2">
      <c r="A126" s="65">
        <v>43509</v>
      </c>
      <c r="B126" s="1"/>
      <c r="C126" s="1"/>
      <c r="D126" s="60"/>
      <c r="E126" s="76"/>
      <c r="F126" s="60"/>
      <c r="G126" s="60"/>
      <c r="H126" s="60"/>
      <c r="I126" s="60"/>
      <c r="J126" s="60"/>
      <c r="K126" s="64"/>
      <c r="L126" s="64"/>
      <c r="M126" s="60"/>
      <c r="N126" s="60"/>
      <c r="O126" s="60"/>
      <c r="P126" s="60"/>
      <c r="Q126" s="60"/>
      <c r="R126" s="60"/>
      <c r="S126" s="60"/>
      <c r="T126" s="60"/>
      <c r="U126" s="60"/>
      <c r="V126" s="60"/>
      <c r="W126" s="60"/>
      <c r="X126" s="60"/>
      <c r="Y126" s="76"/>
      <c r="Z126" s="60"/>
      <c r="AA126" s="60"/>
      <c r="AB126" s="60"/>
      <c r="AC126" s="60"/>
      <c r="AD126" s="60"/>
      <c r="AE126" s="60"/>
      <c r="AF126" s="80"/>
      <c r="AG126" s="56"/>
      <c r="AH126" s="4"/>
      <c r="AI126" s="56"/>
      <c r="AJ126" s="109"/>
      <c r="AK126" s="56"/>
      <c r="AL126" s="56"/>
      <c r="AM126" s="56"/>
      <c r="AN126" s="56"/>
      <c r="AO126" s="56"/>
      <c r="AP126" s="56"/>
      <c r="AQ126" s="82"/>
      <c r="AR126" s="115"/>
      <c r="AS126" s="82"/>
      <c r="AT126" s="82"/>
      <c r="AU126" s="4"/>
      <c r="AV126" s="25">
        <v>45</v>
      </c>
      <c r="AW126" s="25">
        <f>2*60*60</f>
        <v>7200</v>
      </c>
      <c r="AX126" s="25">
        <f>24*3600*4</f>
        <v>345600</v>
      </c>
      <c r="AY126" s="53"/>
      <c r="AZ126" s="53"/>
      <c r="BA126" s="53"/>
      <c r="BB126" s="53"/>
      <c r="BC126" s="53"/>
      <c r="BD126" s="53"/>
      <c r="BE126" s="53"/>
      <c r="BF126" s="53"/>
      <c r="BG126" s="53"/>
      <c r="BH126" s="53"/>
      <c r="BI126" s="53"/>
      <c r="BJ126" s="53"/>
      <c r="BK126" s="53"/>
      <c r="BL126" s="53"/>
      <c r="BM126" s="53"/>
      <c r="BN126" s="53"/>
      <c r="BO126" s="53"/>
      <c r="BP126" s="53"/>
      <c r="BQ126" s="53"/>
      <c r="BR126" s="53"/>
      <c r="BS126" s="53"/>
      <c r="BT126" s="53"/>
      <c r="BU126" s="53"/>
      <c r="BV126" s="53"/>
      <c r="BW126" s="53"/>
      <c r="BX126" s="53"/>
      <c r="BY126" s="53"/>
      <c r="BZ126" s="53"/>
      <c r="CA126" s="53"/>
      <c r="CB126" s="53"/>
      <c r="CC126" s="53"/>
      <c r="CD126" s="53"/>
      <c r="CE126" s="53"/>
      <c r="CF126" s="53"/>
      <c r="CG126" s="53"/>
      <c r="CH126" s="53"/>
      <c r="CI126" s="53"/>
      <c r="CJ126" s="53"/>
      <c r="CK126" s="53"/>
      <c r="CL126" s="53"/>
      <c r="CM126" s="53"/>
      <c r="CN126" s="53"/>
      <c r="CO126" s="53"/>
      <c r="CP126" s="53"/>
      <c r="CQ126" s="53"/>
      <c r="CR126" s="1"/>
      <c r="CS126" s="1"/>
      <c r="CT126" s="1"/>
      <c r="CU126" s="1"/>
    </row>
    <row r="127" spans="1:99" s="13" customFormat="1" ht="12" customHeight="1" x14ac:dyDescent="0.2">
      <c r="A127" s="65">
        <v>43509</v>
      </c>
      <c r="B127" s="1" t="s">
        <v>906</v>
      </c>
      <c r="C127" s="1" t="s">
        <v>54</v>
      </c>
      <c r="D127" s="60">
        <v>1987</v>
      </c>
      <c r="E127" s="76">
        <v>2</v>
      </c>
      <c r="F127" s="60">
        <v>12</v>
      </c>
      <c r="G127" s="60">
        <v>12</v>
      </c>
      <c r="H127" s="60" t="s">
        <v>22</v>
      </c>
      <c r="I127" s="60" t="s">
        <v>824</v>
      </c>
      <c r="J127" s="60" t="s">
        <v>16</v>
      </c>
      <c r="K127" s="60">
        <f>IF(J127="syllables",1,IF(J127="trigrams",2,IF(J127="strings",3,IF(J127="visual array",4,IF(J127="characters",5,IF(J127="letters",6,IF(J127="free forms",7,IF(J127="odors",8,IF(J127="words",9,IF(J127="pictures",10,IF(J127="object pictures",11,IF(J127="faces",12,IF(J127="names",13,IF(J127="idioms",14,IF(J127="grades",15,IF(J127="syllable-digit pairs",16,IF(J127="trigram-word pairs",17,IF(J127="word-digit pairs",18,IF(J127="English-Swahili pairs",19,IF(J127="spatial position",20,IF(J127="word pairs",21,IF(J127="word triads",22,IF(J127="generated words",23,IF(J127="word definition pairs",24,IF(J127="math problems",25,IF(J127="famous faces",26,IF(J127="famous names",27,IF(J127="famous voices",28,IF(J127="television programs",29,IF(J127="race horses",30,IF(J127="new vocabulary",31,IF(J127="sentences",32,IF(J127="concepts",33,IF(J127="ad slides",34,IF(J127="scenes",35,IF(J127="famous scenes",36,IF(J127="poems",37,IF(J127="walk",38,IF(J127="faces and events",39,IF(J127="events and names",40,IF(J127="flashbulb",41,IF(J127="stories",42,IF(J127="course material",43,IF(J127="autobiographical",44,IF(J127="novels",45,IF(J127="public events",46,"99"))))))))))))))))))))))))))))))))))))))))))))))</f>
        <v>9</v>
      </c>
      <c r="L127" s="60">
        <f>IF(J127="syllables",1,IF(J127="trigrams",1,IF(J127="strings",1,IF(J127="visual array",1,IF(J127="characters",1,IF(J127="letters",1,IF(J127="free forms",1,IF(J127="odors",2,IF(J127="words",2,IF(J127="pictures",2,IF(J127="object pictures",2,IF(J127="faces",2,IF(J127="names",2,IF(J127="idioms","2",IF(J127="grades",2,IF(J127="syllable-digit pairs",3,IF(J127="trigram-word pairs",3,IF(J127="word-digit pairs",3,IF(J127="English-Swahili pairs",3,IF(J127="spatial position",3,IF(J127="word pairs",4,IF(J127="word triads",4,IF(J127="generated words",4,IF(J127="word definition pairs",4,IF(J127="math problems",4,IF(J127="famous faces",4,IF(J127="famous names",4,IF(J127="famous voices",4,IF(J127="television programs",4,IF(J127="race horses",4,IF(J127="new vocabulary",4,IF(J127="sentences",5,IF(J127="concepts",5,IF(J127="ad slides",5,IF(J127="scenes",5,IF(J127="famous scenes",5,IF(J127="poems",6,IF(J127="walk",6,IF(J127="faces and events",6,IF(J127="events and names",6,IF(J127="flashbulb",7,IF(J127="stories",7,IF(J127="course material",7,IF(J127="autobiographical",7,IF(J127="novels",7,IF(J127="public events",7,"99"))))))))))))))))))))))))))))))))))))))))))))))</f>
        <v>2</v>
      </c>
      <c r="M127" s="60">
        <v>1</v>
      </c>
      <c r="N127" s="60">
        <v>2</v>
      </c>
      <c r="O127" s="60">
        <v>0</v>
      </c>
      <c r="P127" s="60"/>
      <c r="Q127" s="60" t="s">
        <v>125</v>
      </c>
      <c r="R127" s="60">
        <f>IF(Q127="Free Recall",1,IF(Q127="Cued Recall",2,IF(Q127="Recognition",3,IF(Q127="Multiple Choice",4,IF(Q127="Savings",5,IF(Q127="Stem Completion",6,IF(Q127="Fragment Completion",7,IF(Q127="anagram solution",8,IF(Q127="Matching",9,IF(Q127="Problem Solving",10,"99"))))))))))</f>
        <v>7</v>
      </c>
      <c r="S127" s="60" t="s">
        <v>49</v>
      </c>
      <c r="T127" s="59" t="s">
        <v>581</v>
      </c>
      <c r="U127" s="60">
        <f>IF(T127="within",1,0)</f>
        <v>1</v>
      </c>
      <c r="V127" s="59">
        <v>72</v>
      </c>
      <c r="W127" s="60">
        <f>F127*V127</f>
        <v>864</v>
      </c>
      <c r="X127" s="60">
        <v>3</v>
      </c>
      <c r="Y127" s="76">
        <f>AV126</f>
        <v>45</v>
      </c>
      <c r="Z127" s="60" t="s">
        <v>115</v>
      </c>
      <c r="AA127" s="60">
        <v>345600</v>
      </c>
      <c r="AB127" s="60" t="str">
        <f>IF(AA127&lt;60,"1",IF(AA127&lt;=43200,"2",IF(AA127&lt;=777600,"3","4")))</f>
        <v>3</v>
      </c>
      <c r="AC127" s="56">
        <f>AVERAGE(AV126:DA126)</f>
        <v>117615</v>
      </c>
      <c r="AD127" s="60" t="str">
        <f>IF(AC127&lt;60,"1",IF(AC127&lt;=43200,"2",IF(AC127&lt;=777600,"3","4")))</f>
        <v>3</v>
      </c>
      <c r="AE127" s="76">
        <f>AA127-Y127</f>
        <v>345555</v>
      </c>
      <c r="AF127" s="80">
        <f>AV127</f>
        <v>0.87</v>
      </c>
      <c r="AG127" s="56">
        <f>((AW127-AV127)+(AX127-AW127))/2</f>
        <v>-0.125</v>
      </c>
      <c r="AH127" s="4"/>
      <c r="AI127" s="56">
        <f>RSQ(AV127:AX127,AV126:AX126)</f>
        <v>0.18450812512238887</v>
      </c>
      <c r="AJ127" s="109">
        <f>SLOPE(AV127:AX127,AV126:AX126)</f>
        <v>-3.3439675335942928E-7</v>
      </c>
      <c r="AK127" s="56">
        <f>INTERCEPT(AV127:AX127,AV126:AX126)</f>
        <v>0.7326634074797026</v>
      </c>
      <c r="AL127" s="56">
        <f>INDEX(LINEST(LN(AV127:AX127),LN(AV126:AX126),TRUE,TRUE),3,1)</f>
        <v>0.71454910339605238</v>
      </c>
      <c r="AM127" s="56">
        <f>INDEX(LINEST(LN(AV127:AX127),LN(AV126:AX126)),1)</f>
        <v>-3.9822798515654179E-2</v>
      </c>
      <c r="AN127" s="56">
        <f>EXP(INDEX(LINEST(LN(AV127:AX127),LN(AV126:AX126)),1,2))</f>
        <v>0.95702495208844074</v>
      </c>
      <c r="AO127" s="82">
        <f>INDEX(LINEST((AV127:AX127),LN(AV126:AX126),TRUE,TRUE),3,1)</f>
        <v>0.73231924067201515</v>
      </c>
      <c r="AP127" s="82">
        <f>INDEX(LINEST((AV127:AX127),LN(AV126:AX126)),1)</f>
        <v>-2.9321666609275772E-2</v>
      </c>
      <c r="AQ127" s="83">
        <f>INDEX(LINEST(LN(AV127:AX127),SQRT(AV126:AX126),TRUE,TRUE),3,1)</f>
        <v>0.25573980071125535</v>
      </c>
      <c r="AR127" s="116">
        <f>INDEX(LINEST(LN(AV127:AX127),SQRT((AV126:AX126))),1)</f>
        <v>-3.3889443113498179E-4</v>
      </c>
      <c r="AS127" s="84">
        <f>INDEX(LINEST(1/(AV127:AX127),1/(SQRT(AV126:AX126)),TRUE,TRUE),3,1)</f>
        <v>0.96008182122346009</v>
      </c>
      <c r="AT127" s="84">
        <f>INDEX(LINEST(1/(AV127:AX127),1/SQRT(AV126:AX126)),1)</f>
        <v>-3.5007144669801726</v>
      </c>
      <c r="AU127" s="3"/>
      <c r="AV127" s="53">
        <v>0.87</v>
      </c>
      <c r="AW127" s="53">
        <v>0.59</v>
      </c>
      <c r="AX127" s="53">
        <v>0.62</v>
      </c>
      <c r="AY127" s="53"/>
      <c r="AZ127" s="53"/>
      <c r="BA127" s="53"/>
      <c r="BB127" s="53"/>
      <c r="BC127" s="53"/>
      <c r="BD127" s="53"/>
      <c r="BE127" s="53"/>
      <c r="BF127" s="53"/>
      <c r="BG127" s="53"/>
      <c r="BH127" s="53"/>
      <c r="BI127" s="53"/>
      <c r="BJ127" s="53"/>
      <c r="BK127" s="53"/>
      <c r="BL127" s="53"/>
      <c r="BM127" s="53"/>
      <c r="BN127" s="53"/>
      <c r="BO127" s="53"/>
      <c r="BP127" s="53"/>
      <c r="BQ127" s="53"/>
      <c r="BR127" s="53"/>
      <c r="BS127" s="53"/>
      <c r="BT127" s="53"/>
      <c r="BU127" s="53"/>
      <c r="BV127" s="53"/>
      <c r="BW127" s="53"/>
      <c r="BX127" s="53"/>
      <c r="BY127" s="53"/>
      <c r="BZ127" s="53"/>
      <c r="CA127" s="53"/>
      <c r="CB127" s="53"/>
      <c r="CC127" s="53"/>
      <c r="CD127" s="53"/>
      <c r="CE127" s="53"/>
      <c r="CF127" s="53"/>
      <c r="CG127" s="53"/>
      <c r="CH127" s="53"/>
      <c r="CI127" s="53"/>
      <c r="CJ127" s="53"/>
      <c r="CK127" s="53"/>
      <c r="CL127" s="53"/>
      <c r="CM127" s="53"/>
      <c r="CN127" s="53"/>
      <c r="CO127" s="53"/>
      <c r="CP127" s="53"/>
      <c r="CQ127" s="53"/>
      <c r="CR127" s="1"/>
      <c r="CS127" s="1"/>
      <c r="CT127" s="1"/>
      <c r="CU127" s="1"/>
    </row>
    <row r="128" spans="1:99" s="13" customFormat="1" ht="12" customHeight="1" x14ac:dyDescent="0.2">
      <c r="A128" s="65">
        <v>43509</v>
      </c>
      <c r="B128" s="1"/>
      <c r="C128" s="1"/>
      <c r="D128" s="60"/>
      <c r="E128" s="76"/>
      <c r="F128" s="60"/>
      <c r="G128" s="60"/>
      <c r="H128" s="60"/>
      <c r="I128" s="60"/>
      <c r="J128" s="60"/>
      <c r="K128" s="64"/>
      <c r="L128" s="64"/>
      <c r="M128" s="60"/>
      <c r="N128" s="60"/>
      <c r="O128" s="60"/>
      <c r="P128" s="60"/>
      <c r="Q128" s="60"/>
      <c r="R128" s="60"/>
      <c r="S128" s="60"/>
      <c r="T128" s="60"/>
      <c r="U128" s="60"/>
      <c r="V128" s="60"/>
      <c r="W128" s="60"/>
      <c r="X128" s="60"/>
      <c r="Y128" s="76"/>
      <c r="Z128" s="60"/>
      <c r="AA128" s="60"/>
      <c r="AB128" s="60"/>
      <c r="AC128" s="60"/>
      <c r="AD128" s="60"/>
      <c r="AE128" s="60"/>
      <c r="AF128" s="80"/>
      <c r="AG128" s="56"/>
      <c r="AH128" s="4"/>
      <c r="AI128" s="56"/>
      <c r="AJ128" s="109"/>
      <c r="AK128" s="56"/>
      <c r="AL128" s="56"/>
      <c r="AM128" s="56"/>
      <c r="AN128" s="56"/>
      <c r="AO128" s="56"/>
      <c r="AP128" s="56"/>
      <c r="AQ128" s="82"/>
      <c r="AR128" s="115"/>
      <c r="AS128" s="82"/>
      <c r="AT128" s="82"/>
      <c r="AU128" s="4"/>
      <c r="AV128" s="25">
        <v>45</v>
      </c>
      <c r="AW128" s="25">
        <f>2*60*60</f>
        <v>7200</v>
      </c>
      <c r="AX128" s="25">
        <f>24*3600*4</f>
        <v>345600</v>
      </c>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53"/>
      <c r="CD128" s="53"/>
      <c r="CE128" s="53"/>
      <c r="CF128" s="53"/>
      <c r="CG128" s="53"/>
      <c r="CH128" s="53"/>
      <c r="CI128" s="53"/>
      <c r="CJ128" s="53"/>
      <c r="CK128" s="53"/>
      <c r="CL128" s="53"/>
      <c r="CM128" s="53"/>
      <c r="CN128" s="53"/>
      <c r="CO128" s="53"/>
      <c r="CP128" s="53"/>
      <c r="CQ128" s="53"/>
      <c r="CR128" s="1"/>
      <c r="CS128" s="1"/>
      <c r="CT128" s="1"/>
      <c r="CU128" s="1"/>
    </row>
    <row r="129" spans="1:99" s="13" customFormat="1" ht="12" customHeight="1" x14ac:dyDescent="0.2">
      <c r="A129" s="65">
        <v>43509</v>
      </c>
      <c r="B129" s="1" t="s">
        <v>906</v>
      </c>
      <c r="C129" s="1" t="s">
        <v>54</v>
      </c>
      <c r="D129" s="60">
        <v>1987</v>
      </c>
      <c r="E129" s="76">
        <v>2</v>
      </c>
      <c r="F129" s="60">
        <v>12</v>
      </c>
      <c r="G129" s="60">
        <v>12</v>
      </c>
      <c r="H129" s="60" t="s">
        <v>22</v>
      </c>
      <c r="I129" s="60" t="s">
        <v>825</v>
      </c>
      <c r="J129" s="60" t="s">
        <v>16</v>
      </c>
      <c r="K129" s="60">
        <f>IF(J129="syllables",1,IF(J129="trigrams",2,IF(J129="strings",3,IF(J129="visual array",4,IF(J129="characters",5,IF(J129="letters",6,IF(J129="free forms",7,IF(J129="odors",8,IF(J129="words",9,IF(J129="pictures",10,IF(J129="object pictures",11,IF(J129="faces",12,IF(J129="names",13,IF(J129="idioms",14,IF(J129="grades",15,IF(J129="syllable-digit pairs",16,IF(J129="trigram-word pairs",17,IF(J129="word-digit pairs",18,IF(J129="English-Swahili pairs",19,IF(J129="spatial position",20,IF(J129="word pairs",21,IF(J129="word triads",22,IF(J129="generated words",23,IF(J129="word definition pairs",24,IF(J129="math problems",25,IF(J129="famous faces",26,IF(J129="famous names",27,IF(J129="famous voices",28,IF(J129="television programs",29,IF(J129="race horses",30,IF(J129="new vocabulary",31,IF(J129="sentences",32,IF(J129="concepts",33,IF(J129="ad slides",34,IF(J129="scenes",35,IF(J129="famous scenes",36,IF(J129="poems",37,IF(J129="walk",38,IF(J129="faces and events",39,IF(J129="events and names",40,IF(J129="flashbulb",41,IF(J129="stories",42,IF(J129="course material",43,IF(J129="autobiographical",44,IF(J129="novels",45,IF(J129="public events",46,"99"))))))))))))))))))))))))))))))))))))))))))))))</f>
        <v>9</v>
      </c>
      <c r="L129" s="60">
        <f>IF(J129="syllables",1,IF(J129="trigrams",1,IF(J129="strings",1,IF(J129="visual array",1,IF(J129="characters",1,IF(J129="letters",1,IF(J129="free forms",1,IF(J129="odors",2,IF(J129="words",2,IF(J129="pictures",2,IF(J129="object pictures",2,IF(J129="faces",2,IF(J129="names",2,IF(J129="idioms","2",IF(J129="grades",2,IF(J129="syllable-digit pairs",3,IF(J129="trigram-word pairs",3,IF(J129="word-digit pairs",3,IF(J129="English-Swahili pairs",3,IF(J129="spatial position",3,IF(J129="word pairs",4,IF(J129="word triads",4,IF(J129="generated words",4,IF(J129="word definition pairs",4,IF(J129="math problems",4,IF(J129="famous faces",4,IF(J129="famous names",4,IF(J129="famous voices",4,IF(J129="television programs",4,IF(J129="race horses",4,IF(J129="new vocabulary",4,IF(J129="sentences",5,IF(J129="concepts",5,IF(J129="ad slides",5,IF(J129="scenes",5,IF(J129="famous scenes",5,IF(J129="poems",6,IF(J129="walk",6,IF(J129="faces and events",6,IF(J129="events and names",6,IF(J129="flashbulb",7,IF(J129="stories",7,IF(J129="course material",7,IF(J129="autobiographical",7,IF(J129="novels",7,IF(J129="public events",7,"99"))))))))))))))))))))))))))))))))))))))))))))))</f>
        <v>2</v>
      </c>
      <c r="M129" s="60">
        <v>1</v>
      </c>
      <c r="N129" s="60">
        <v>2</v>
      </c>
      <c r="O129" s="60">
        <v>0</v>
      </c>
      <c r="P129" s="60"/>
      <c r="Q129" s="60" t="s">
        <v>125</v>
      </c>
      <c r="R129" s="60">
        <f>IF(Q129="Free Recall",1,IF(Q129="Cued Recall",2,IF(Q129="Recognition",3,IF(Q129="Multiple Choice",4,IF(Q129="Savings",5,IF(Q129="Stem Completion",6,IF(Q129="Fragment Completion",7,IF(Q129="anagram solution",8,IF(Q129="Matching",9,IF(Q129="Problem Solving",10,"99"))))))))))</f>
        <v>7</v>
      </c>
      <c r="S129" s="60" t="s">
        <v>49</v>
      </c>
      <c r="T129" s="59" t="s">
        <v>581</v>
      </c>
      <c r="U129" s="60">
        <f>IF(T129="within",1,0)</f>
        <v>1</v>
      </c>
      <c r="V129" s="59">
        <v>72</v>
      </c>
      <c r="W129" s="60">
        <f>F129*V129</f>
        <v>864</v>
      </c>
      <c r="X129" s="60">
        <v>3</v>
      </c>
      <c r="Y129" s="76">
        <f>AV128</f>
        <v>45</v>
      </c>
      <c r="Z129" s="60" t="s">
        <v>115</v>
      </c>
      <c r="AA129" s="60">
        <v>345600</v>
      </c>
      <c r="AB129" s="60" t="str">
        <f>IF(AA129&lt;60,"1",IF(AA129&lt;=43200,"2",IF(AA129&lt;=777600,"3","4")))</f>
        <v>3</v>
      </c>
      <c r="AC129" s="56">
        <f>AVERAGE(AV128:DA128)</f>
        <v>117615</v>
      </c>
      <c r="AD129" s="60" t="str">
        <f>IF(AC129&lt;60,"1",IF(AC129&lt;=43200,"2",IF(AC129&lt;=777600,"3","4")))</f>
        <v>3</v>
      </c>
      <c r="AE129" s="76">
        <f>AA129-Y129</f>
        <v>345555</v>
      </c>
      <c r="AF129" s="80">
        <f>AV129</f>
        <v>0.62</v>
      </c>
      <c r="AG129" s="56">
        <f>((AW129-AV129)+(AX129-AW129))/2</f>
        <v>-7.5000000000000011E-2</v>
      </c>
      <c r="AH129" s="4"/>
      <c r="AI129" s="56">
        <f>RSQ(AV129:AX129,AV128:AX128)</f>
        <v>0.38057608808738869</v>
      </c>
      <c r="AJ129" s="109">
        <f>SLOPE(AV129:AX129,AV128:AX128)</f>
        <v>-2.5443594986642451E-7</v>
      </c>
      <c r="AK129" s="56">
        <f>INTERCEPT(AV129:AX129,AV128:AX128)</f>
        <v>0.55659215091020608</v>
      </c>
      <c r="AL129" s="56">
        <f>INDEX(LINEST(LN(AV129:AX129),LN(AV128:AX128),TRUE,TRUE),3,1)</f>
        <v>0.90920103514047867</v>
      </c>
      <c r="AM129" s="56">
        <f>INDEX(LINEST(LN(AV129:AX129),LN(AV128:AX128)),1)</f>
        <v>-3.1740126568580003E-2</v>
      </c>
      <c r="AN129" s="56">
        <f>EXP(INDEX(LINEST(LN(AV129:AX129),LN(AV128:AX128)),1,2))</f>
        <v>0.68411432584234166</v>
      </c>
      <c r="AO129" s="82">
        <f>INDEX(LINEST((AV129:AX129),LN(AV128:AX128),TRUE,TRUE),3,1)</f>
        <v>0.89927058280574856</v>
      </c>
      <c r="AP129" s="82">
        <f>INDEX(LINEST((AV129:AX129),LN(AV128:AX128)),1)</f>
        <v>-1.7214207875937734E-2</v>
      </c>
      <c r="AQ129" s="83">
        <f>INDEX(LINEST(LN(AV129:AX129),SQRT(AV128:AX128),TRUE,TRUE),3,1)</f>
        <v>0.50236867886581427</v>
      </c>
      <c r="AR129" s="116">
        <f>INDEX(LINEST(LN(AV129:AX129),SQRT((AV128:AX128))),1)</f>
        <v>-3.3561356405519444E-4</v>
      </c>
      <c r="AS129" s="84">
        <f>INDEX(LINEST(1/(AV129:AX129),1/(SQRT(AV128:AX128)),TRUE,TRUE),3,1)</f>
        <v>0.99063028543529397</v>
      </c>
      <c r="AT129" s="84">
        <f>INDEX(LINEST(1/(AV129:AX129),1/SQRT(AV128:AX128)),1)</f>
        <v>-3.3314866094442772</v>
      </c>
      <c r="AU129" s="3"/>
      <c r="AV129" s="53">
        <v>0.62</v>
      </c>
      <c r="AW129" s="53">
        <v>0.49</v>
      </c>
      <c r="AX129" s="53">
        <v>0.47</v>
      </c>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53"/>
      <c r="CI129" s="53"/>
      <c r="CJ129" s="53"/>
      <c r="CK129" s="53"/>
      <c r="CL129" s="53"/>
      <c r="CM129" s="53"/>
      <c r="CN129" s="53"/>
      <c r="CO129" s="53"/>
      <c r="CP129" s="53"/>
      <c r="CQ129" s="53"/>
      <c r="CR129" s="1"/>
      <c r="CS129" s="1"/>
      <c r="CT129" s="1"/>
      <c r="CU129" s="1"/>
    </row>
    <row r="130" spans="1:99" s="13" customFormat="1" ht="12" customHeight="1" x14ac:dyDescent="0.2">
      <c r="A130" s="65">
        <v>43509</v>
      </c>
      <c r="B130" s="1"/>
      <c r="C130" s="1"/>
      <c r="D130" s="60"/>
      <c r="E130" s="76"/>
      <c r="F130" s="60"/>
      <c r="G130" s="60"/>
      <c r="H130" s="60"/>
      <c r="I130" s="60"/>
      <c r="J130" s="60"/>
      <c r="K130" s="64"/>
      <c r="L130" s="64"/>
      <c r="M130" s="60"/>
      <c r="N130" s="60"/>
      <c r="O130" s="60"/>
      <c r="P130" s="60"/>
      <c r="Q130" s="60"/>
      <c r="R130" s="60"/>
      <c r="S130" s="60"/>
      <c r="T130" s="60"/>
      <c r="U130" s="60"/>
      <c r="V130" s="60"/>
      <c r="W130" s="60"/>
      <c r="X130" s="60"/>
      <c r="Y130" s="76"/>
      <c r="Z130" s="60"/>
      <c r="AA130" s="60"/>
      <c r="AB130" s="60"/>
      <c r="AC130" s="60"/>
      <c r="AD130" s="60"/>
      <c r="AE130" s="60"/>
      <c r="AF130" s="80"/>
      <c r="AG130" s="56"/>
      <c r="AH130" s="4"/>
      <c r="AI130" s="56"/>
      <c r="AJ130" s="109"/>
      <c r="AK130" s="56"/>
      <c r="AL130" s="56"/>
      <c r="AM130" s="56"/>
      <c r="AN130" s="56"/>
      <c r="AO130" s="56"/>
      <c r="AP130" s="56"/>
      <c r="AQ130" s="82"/>
      <c r="AR130" s="115"/>
      <c r="AS130" s="82"/>
      <c r="AT130" s="82"/>
      <c r="AU130" s="4"/>
      <c r="AV130" s="25">
        <v>45</v>
      </c>
      <c r="AW130" s="25">
        <f>2*60*60</f>
        <v>7200</v>
      </c>
      <c r="AX130" s="25">
        <f>24*3600*4</f>
        <v>345600</v>
      </c>
      <c r="AY130" s="53"/>
      <c r="AZ130" s="53"/>
      <c r="BA130" s="53"/>
      <c r="BB130" s="53"/>
      <c r="BC130" s="53"/>
      <c r="BD130" s="53"/>
      <c r="BE130" s="53"/>
      <c r="BF130" s="53"/>
      <c r="BG130" s="53"/>
      <c r="BH130" s="53"/>
      <c r="BI130" s="53"/>
      <c r="BJ130" s="53"/>
      <c r="BK130" s="53"/>
      <c r="BL130" s="53"/>
      <c r="BM130" s="53"/>
      <c r="BN130" s="53"/>
      <c r="BO130" s="53"/>
      <c r="BP130" s="53"/>
      <c r="BQ130" s="53"/>
      <c r="BR130" s="53"/>
      <c r="BS130" s="53"/>
      <c r="BT130" s="53"/>
      <c r="BU130" s="53"/>
      <c r="BV130" s="53"/>
      <c r="BW130" s="53"/>
      <c r="BX130" s="53"/>
      <c r="BY130" s="53"/>
      <c r="BZ130" s="53"/>
      <c r="CA130" s="53"/>
      <c r="CB130" s="53"/>
      <c r="CC130" s="53"/>
      <c r="CD130" s="53"/>
      <c r="CE130" s="53"/>
      <c r="CF130" s="53"/>
      <c r="CG130" s="53"/>
      <c r="CH130" s="53"/>
      <c r="CI130" s="53"/>
      <c r="CJ130" s="53"/>
      <c r="CK130" s="53"/>
      <c r="CL130" s="53"/>
      <c r="CM130" s="53"/>
      <c r="CN130" s="53"/>
      <c r="CO130" s="53"/>
      <c r="CP130" s="53"/>
      <c r="CQ130" s="53"/>
      <c r="CR130" s="1"/>
      <c r="CS130" s="1"/>
      <c r="CT130" s="1"/>
      <c r="CU130" s="1"/>
    </row>
    <row r="131" spans="1:99" s="13" customFormat="1" ht="12" customHeight="1" x14ac:dyDescent="0.2">
      <c r="A131" s="65">
        <v>43509</v>
      </c>
      <c r="B131" s="1" t="s">
        <v>906</v>
      </c>
      <c r="C131" s="1" t="s">
        <v>54</v>
      </c>
      <c r="D131" s="60">
        <v>1987</v>
      </c>
      <c r="E131" s="76">
        <v>2</v>
      </c>
      <c r="F131" s="60">
        <v>12</v>
      </c>
      <c r="G131" s="60">
        <v>12</v>
      </c>
      <c r="H131" s="60" t="s">
        <v>38</v>
      </c>
      <c r="I131" s="60" t="s">
        <v>824</v>
      </c>
      <c r="J131" s="60" t="s">
        <v>16</v>
      </c>
      <c r="K131" s="60">
        <f>IF(J131="syllables",1,IF(J131="trigrams",2,IF(J131="strings",3,IF(J131="visual array",4,IF(J131="characters",5,IF(J131="letters",6,IF(J131="free forms",7,IF(J131="odors",8,IF(J131="words",9,IF(J131="pictures",10,IF(J131="object pictures",11,IF(J131="faces",12,IF(J131="names",13,IF(J131="idioms",14,IF(J131="grades",15,IF(J131="syllable-digit pairs",16,IF(J131="trigram-word pairs",17,IF(J131="word-digit pairs",18,IF(J131="English-Swahili pairs",19,IF(J131="spatial position",20,IF(J131="word pairs",21,IF(J131="word triads",22,IF(J131="generated words",23,IF(J131="word definition pairs",24,IF(J131="math problems",25,IF(J131="famous faces",26,IF(J131="famous names",27,IF(J131="famous voices",28,IF(J131="television programs",29,IF(J131="race horses",30,IF(J131="new vocabulary",31,IF(J131="sentences",32,IF(J131="concepts",33,IF(J131="ad slides",34,IF(J131="scenes",35,IF(J131="famous scenes",36,IF(J131="poems",37,IF(J131="walk",38,IF(J131="faces and events",39,IF(J131="events and names",40,IF(J131="flashbulb",41,IF(J131="stories",42,IF(J131="course material",43,IF(J131="autobiographical",44,IF(J131="novels",45,IF(J131="public events",46,"99"))))))))))))))))))))))))))))))))))))))))))))))</f>
        <v>9</v>
      </c>
      <c r="L131" s="60">
        <f>IF(J131="syllables",1,IF(J131="trigrams",1,IF(J131="strings",1,IF(J131="visual array",1,IF(J131="characters",1,IF(J131="letters",1,IF(J131="free forms",1,IF(J131="odors",2,IF(J131="words",2,IF(J131="pictures",2,IF(J131="object pictures",2,IF(J131="faces",2,IF(J131="names",2,IF(J131="idioms","2",IF(J131="grades",2,IF(J131="syllable-digit pairs",3,IF(J131="trigram-word pairs",3,IF(J131="word-digit pairs",3,IF(J131="English-Swahili pairs",3,IF(J131="spatial position",3,IF(J131="word pairs",4,IF(J131="word triads",4,IF(J131="generated words",4,IF(J131="word definition pairs",4,IF(J131="math problems",4,IF(J131="famous faces",4,IF(J131="famous names",4,IF(J131="famous voices",4,IF(J131="television programs",4,IF(J131="race horses",4,IF(J131="new vocabulary",4,IF(J131="sentences",5,IF(J131="concepts",5,IF(J131="ad slides",5,IF(J131="scenes",5,IF(J131="famous scenes",5,IF(J131="poems",6,IF(J131="walk",6,IF(J131="faces and events",6,IF(J131="events and names",6,IF(J131="flashbulb",7,IF(J131="stories",7,IF(J131="course material",7,IF(J131="autobiographical",7,IF(J131="novels",7,IF(J131="public events",7,"99"))))))))))))))))))))))))))))))))))))))))))))))</f>
        <v>2</v>
      </c>
      <c r="M131" s="60">
        <v>1</v>
      </c>
      <c r="N131" s="60">
        <v>2</v>
      </c>
      <c r="O131" s="60">
        <v>0</v>
      </c>
      <c r="P131" s="60"/>
      <c r="Q131" s="60" t="s">
        <v>34</v>
      </c>
      <c r="R131" s="60">
        <f>IF(Q131="Free Recall",1,IF(Q131="Cued Recall",2,IF(Q131="Recognition",3,IF(Q131="Multiple Choice",4,IF(Q131="Savings",5,IF(Q131="Stem Completion",6,IF(Q131="Fragment Completion",7,IF(Q131="anagram solution",8,IF(Q131="Matching",9,IF(Q131="Problem Solving",10,"99"))))))))))</f>
        <v>3</v>
      </c>
      <c r="S131" s="60" t="s">
        <v>15</v>
      </c>
      <c r="T131" s="59" t="s">
        <v>581</v>
      </c>
      <c r="U131" s="60">
        <f>IF(T131="within",1,0)</f>
        <v>1</v>
      </c>
      <c r="V131" s="59">
        <v>72</v>
      </c>
      <c r="W131" s="60">
        <f>F131*V131</f>
        <v>864</v>
      </c>
      <c r="X131" s="60">
        <v>3</v>
      </c>
      <c r="Y131" s="76">
        <f>AV130</f>
        <v>45</v>
      </c>
      <c r="Z131" s="60" t="s">
        <v>115</v>
      </c>
      <c r="AA131" s="60">
        <v>345600</v>
      </c>
      <c r="AB131" s="60" t="str">
        <f>IF(AA131&lt;60,"1",IF(AA131&lt;=43200,"2",IF(AA131&lt;=777600,"3","4")))</f>
        <v>3</v>
      </c>
      <c r="AC131" s="56">
        <f>AVERAGE(AV130:DA130)</f>
        <v>117615</v>
      </c>
      <c r="AD131" s="60" t="str">
        <f>IF(AC131&lt;60,"1",IF(AC131&lt;=43200,"2",IF(AC131&lt;=777600,"3","4")))</f>
        <v>3</v>
      </c>
      <c r="AE131" s="76">
        <f>AA131-Y131</f>
        <v>345555</v>
      </c>
      <c r="AF131" s="80">
        <f>AV131</f>
        <v>0.98</v>
      </c>
      <c r="AG131" s="56">
        <f>((AW131-AV131)+(AX131-AW131))/2</f>
        <v>-6.5000000000000002E-2</v>
      </c>
      <c r="AH131" s="4"/>
      <c r="AI131" s="56">
        <f>RSQ(AV131:AX131,AV130:AX130)</f>
        <v>0.72691943672316151</v>
      </c>
      <c r="AJ131" s="109">
        <f>SLOPE(AV131:AX131,AV130:AX130)</f>
        <v>-2.809158137868501E-7</v>
      </c>
      <c r="AK131" s="56">
        <f>INTERCEPT(AV131:AX131,AV130:AX130)</f>
        <v>0.94637324677187384</v>
      </c>
      <c r="AL131" s="56">
        <f>INDEX(LINEST(LN(AV131:AX131),LN(AV130:AX130),TRUE,TRUE),3,1)</f>
        <v>0.99712844686621704</v>
      </c>
      <c r="AM131" s="56">
        <f>INDEX(LINEST(LN(AV131:AX131),LN(AV130:AX130)),1)</f>
        <v>-1.5841644314709771E-2</v>
      </c>
      <c r="AN131" s="56">
        <f>EXP(INDEX(LINEST(LN(AV131:AX131),LN(AV130:AX130)),1,2))</f>
        <v>1.0428956779406351</v>
      </c>
      <c r="AO131" s="82">
        <f>INDEX(LINEST((AV131:AX131),LN(AV130:AX130),TRUE,TRUE),3,1)</f>
        <v>0.99890083997409274</v>
      </c>
      <c r="AP131" s="82">
        <f>INDEX(LINEST((AV131:AX131),LN(AV130:AX130)),1)</f>
        <v>-1.4493669742721923E-2</v>
      </c>
      <c r="AQ131" s="83">
        <f>INDEX(LINEST(LN(AV131:AX131),SQRT(AV130:AX130),TRUE,TRUE),3,1)</f>
        <v>0.83124351306434408</v>
      </c>
      <c r="AR131" s="116">
        <f>INDEX(LINEST(LN(AV131:AX131),SQRT((AV130:AX130))),1)</f>
        <v>-2.0574930337823003E-4</v>
      </c>
      <c r="AS131" s="84">
        <f>INDEX(LINEST(1/(AV131:AX131),1/(SQRT(AV130:AX130)),TRUE,TRUE),3,1)</f>
        <v>0.80378399123183941</v>
      </c>
      <c r="AT131" s="84">
        <f>INDEX(LINEST(1/(AV131:AX131),1/SQRT(AV130:AX130)),1)</f>
        <v>-0.84975644168667497</v>
      </c>
      <c r="AU131" s="3"/>
      <c r="AV131" s="53">
        <v>0.98</v>
      </c>
      <c r="AW131" s="53">
        <v>0.91</v>
      </c>
      <c r="AX131" s="53">
        <v>0.85</v>
      </c>
      <c r="AY131" s="53"/>
      <c r="AZ131" s="53"/>
      <c r="BA131" s="53"/>
      <c r="BB131" s="53"/>
      <c r="BC131" s="53"/>
      <c r="BD131" s="53"/>
      <c r="BE131" s="53"/>
      <c r="BF131" s="53"/>
      <c r="BG131" s="53"/>
      <c r="BH131" s="53"/>
      <c r="BI131" s="53"/>
      <c r="BJ131" s="53"/>
      <c r="BK131" s="53"/>
      <c r="BL131" s="53"/>
      <c r="BM131" s="53"/>
      <c r="BN131" s="53"/>
      <c r="BO131" s="53"/>
      <c r="BP131" s="53"/>
      <c r="BQ131" s="53"/>
      <c r="BR131" s="53"/>
      <c r="BS131" s="53"/>
      <c r="BT131" s="53"/>
      <c r="BU131" s="53"/>
      <c r="BV131" s="53"/>
      <c r="BW131" s="53"/>
      <c r="BX131" s="53"/>
      <c r="BY131" s="53"/>
      <c r="BZ131" s="53"/>
      <c r="CA131" s="53"/>
      <c r="CB131" s="53"/>
      <c r="CC131" s="53"/>
      <c r="CD131" s="53"/>
      <c r="CE131" s="53"/>
      <c r="CF131" s="53"/>
      <c r="CG131" s="53"/>
      <c r="CH131" s="53"/>
      <c r="CI131" s="53"/>
      <c r="CJ131" s="53"/>
      <c r="CK131" s="53"/>
      <c r="CL131" s="53"/>
      <c r="CM131" s="53"/>
      <c r="CN131" s="53"/>
      <c r="CO131" s="53"/>
      <c r="CP131" s="53"/>
      <c r="CQ131" s="53"/>
      <c r="CR131" s="1"/>
      <c r="CS131" s="1"/>
      <c r="CT131" s="1"/>
      <c r="CU131" s="1"/>
    </row>
    <row r="132" spans="1:99" s="13" customFormat="1" ht="12" customHeight="1" x14ac:dyDescent="0.2">
      <c r="A132" s="65">
        <v>43509</v>
      </c>
      <c r="B132" s="1"/>
      <c r="C132" s="1"/>
      <c r="D132" s="60"/>
      <c r="E132" s="76"/>
      <c r="F132" s="60"/>
      <c r="G132" s="60"/>
      <c r="H132" s="60"/>
      <c r="I132" s="60"/>
      <c r="J132" s="60"/>
      <c r="K132" s="64"/>
      <c r="L132" s="64"/>
      <c r="M132" s="60"/>
      <c r="N132" s="60"/>
      <c r="O132" s="60"/>
      <c r="P132" s="60"/>
      <c r="Q132" s="60"/>
      <c r="R132" s="60"/>
      <c r="S132" s="60"/>
      <c r="T132" s="60"/>
      <c r="U132" s="60"/>
      <c r="V132" s="60"/>
      <c r="W132" s="60"/>
      <c r="X132" s="60"/>
      <c r="Y132" s="76"/>
      <c r="Z132" s="60"/>
      <c r="AA132" s="60"/>
      <c r="AB132" s="60"/>
      <c r="AC132" s="60"/>
      <c r="AD132" s="60"/>
      <c r="AE132" s="60"/>
      <c r="AF132" s="80"/>
      <c r="AG132" s="56"/>
      <c r="AH132" s="4"/>
      <c r="AI132" s="56"/>
      <c r="AJ132" s="109"/>
      <c r="AK132" s="56"/>
      <c r="AL132" s="56"/>
      <c r="AM132" s="56"/>
      <c r="AN132" s="56"/>
      <c r="AO132" s="56"/>
      <c r="AP132" s="56"/>
      <c r="AQ132" s="82"/>
      <c r="AR132" s="115"/>
      <c r="AS132" s="82"/>
      <c r="AT132" s="82"/>
      <c r="AU132" s="4"/>
      <c r="AV132" s="25">
        <v>45</v>
      </c>
      <c r="AW132" s="25">
        <f>2*60*60</f>
        <v>7200</v>
      </c>
      <c r="AX132" s="25">
        <f>24*3600*4</f>
        <v>345600</v>
      </c>
      <c r="AY132" s="53"/>
      <c r="AZ132" s="53"/>
      <c r="BA132" s="53"/>
      <c r="BB132" s="53"/>
      <c r="BC132" s="53"/>
      <c r="BD132" s="53"/>
      <c r="BE132" s="53"/>
      <c r="BF132" s="53"/>
      <c r="BG132" s="53"/>
      <c r="BH132" s="53"/>
      <c r="BI132" s="53"/>
      <c r="BJ132" s="53"/>
      <c r="BK132" s="53"/>
      <c r="BL132" s="53"/>
      <c r="BM132" s="53"/>
      <c r="BN132" s="53"/>
      <c r="BO132" s="53"/>
      <c r="BP132" s="53"/>
      <c r="BQ132" s="53"/>
      <c r="BR132" s="53"/>
      <c r="BS132" s="53"/>
      <c r="BT132" s="53"/>
      <c r="BU132" s="53"/>
      <c r="BV132" s="53"/>
      <c r="BW132" s="53"/>
      <c r="BX132" s="53"/>
      <c r="BY132" s="53"/>
      <c r="BZ132" s="53"/>
      <c r="CA132" s="53"/>
      <c r="CB132" s="53"/>
      <c r="CC132" s="53"/>
      <c r="CD132" s="53"/>
      <c r="CE132" s="53"/>
      <c r="CF132" s="53"/>
      <c r="CG132" s="53"/>
      <c r="CH132" s="53"/>
      <c r="CI132" s="53"/>
      <c r="CJ132" s="53"/>
      <c r="CK132" s="53"/>
      <c r="CL132" s="53"/>
      <c r="CM132" s="53"/>
      <c r="CN132" s="53"/>
      <c r="CO132" s="53"/>
      <c r="CP132" s="53"/>
      <c r="CQ132" s="53"/>
      <c r="CR132" s="1"/>
      <c r="CS132" s="1"/>
      <c r="CT132" s="1"/>
      <c r="CU132" s="1"/>
    </row>
    <row r="133" spans="1:99" s="13" customFormat="1" ht="12" customHeight="1" x14ac:dyDescent="0.2">
      <c r="A133" s="65">
        <v>43509</v>
      </c>
      <c r="B133" s="1" t="s">
        <v>906</v>
      </c>
      <c r="C133" s="1" t="s">
        <v>54</v>
      </c>
      <c r="D133" s="60">
        <v>1987</v>
      </c>
      <c r="E133" s="76">
        <v>2</v>
      </c>
      <c r="F133" s="60">
        <v>12</v>
      </c>
      <c r="G133" s="60">
        <v>12</v>
      </c>
      <c r="H133" s="60" t="s">
        <v>38</v>
      </c>
      <c r="I133" s="60" t="s">
        <v>825</v>
      </c>
      <c r="J133" s="60" t="s">
        <v>16</v>
      </c>
      <c r="K133" s="60">
        <f>IF(J133="syllables",1,IF(J133="trigrams",2,IF(J133="strings",3,IF(J133="visual array",4,IF(J133="characters",5,IF(J133="letters",6,IF(J133="free forms",7,IF(J133="odors",8,IF(J133="words",9,IF(J133="pictures",10,IF(J133="object pictures",11,IF(J133="faces",12,IF(J133="names",13,IF(J133="idioms",14,IF(J133="grades",15,IF(J133="syllable-digit pairs",16,IF(J133="trigram-word pairs",17,IF(J133="word-digit pairs",18,IF(J133="English-Swahili pairs",19,IF(J133="spatial position",20,IF(J133="word pairs",21,IF(J133="word triads",22,IF(J133="generated words",23,IF(J133="word definition pairs",24,IF(J133="math problems",25,IF(J133="famous faces",26,IF(J133="famous names",27,IF(J133="famous voices",28,IF(J133="television programs",29,IF(J133="race horses",30,IF(J133="new vocabulary",31,IF(J133="sentences",32,IF(J133="concepts",33,IF(J133="ad slides",34,IF(J133="scenes",35,IF(J133="famous scenes",36,IF(J133="poems",37,IF(J133="walk",38,IF(J133="faces and events",39,IF(J133="events and names",40,IF(J133="flashbulb",41,IF(J133="stories",42,IF(J133="course material",43,IF(J133="autobiographical",44,IF(J133="novels",45,IF(J133="public events",46,"99"))))))))))))))))))))))))))))))))))))))))))))))</f>
        <v>9</v>
      </c>
      <c r="L133" s="60">
        <f>IF(J133="syllables",1,IF(J133="trigrams",1,IF(J133="strings",1,IF(J133="visual array",1,IF(J133="characters",1,IF(J133="letters",1,IF(J133="free forms",1,IF(J133="odors",2,IF(J133="words",2,IF(J133="pictures",2,IF(J133="object pictures",2,IF(J133="faces",2,IF(J133="names",2,IF(J133="idioms","2",IF(J133="grades",2,IF(J133="syllable-digit pairs",3,IF(J133="trigram-word pairs",3,IF(J133="word-digit pairs",3,IF(J133="English-Swahili pairs",3,IF(J133="spatial position",3,IF(J133="word pairs",4,IF(J133="word triads",4,IF(J133="generated words",4,IF(J133="word definition pairs",4,IF(J133="math problems",4,IF(J133="famous faces",4,IF(J133="famous names",4,IF(J133="famous voices",4,IF(J133="television programs",4,IF(J133="race horses",4,IF(J133="new vocabulary",4,IF(J133="sentences",5,IF(J133="concepts",5,IF(J133="ad slides",5,IF(J133="scenes",5,IF(J133="famous scenes",5,IF(J133="poems",6,IF(J133="walk",6,IF(J133="faces and events",6,IF(J133="events and names",6,IF(J133="flashbulb",7,IF(J133="stories",7,IF(J133="course material",7,IF(J133="autobiographical",7,IF(J133="novels",7,IF(J133="public events",7,"99"))))))))))))))))))))))))))))))))))))))))))))))</f>
        <v>2</v>
      </c>
      <c r="M133" s="60">
        <v>1</v>
      </c>
      <c r="N133" s="60">
        <v>2</v>
      </c>
      <c r="O133" s="60">
        <v>0</v>
      </c>
      <c r="P133" s="60"/>
      <c r="Q133" s="60" t="s">
        <v>34</v>
      </c>
      <c r="R133" s="60">
        <f>IF(Q133="Free Recall",1,IF(Q133="Cued Recall",2,IF(Q133="Recognition",3,IF(Q133="Multiple Choice",4,IF(Q133="Savings",5,IF(Q133="Stem Completion",6,IF(Q133="Fragment Completion",7,IF(Q133="anagram solution",8,IF(Q133="Matching",9,IF(Q133="Problem Solving",10,"99"))))))))))</f>
        <v>3</v>
      </c>
      <c r="S133" s="60" t="s">
        <v>15</v>
      </c>
      <c r="T133" s="59" t="s">
        <v>581</v>
      </c>
      <c r="U133" s="60">
        <f>IF(T133="within",1,0)</f>
        <v>1</v>
      </c>
      <c r="V133" s="59">
        <v>72</v>
      </c>
      <c r="W133" s="60">
        <f>F133*V133</f>
        <v>864</v>
      </c>
      <c r="X133" s="60">
        <v>3</v>
      </c>
      <c r="Y133" s="76">
        <f>AV132</f>
        <v>45</v>
      </c>
      <c r="Z133" s="60" t="s">
        <v>115</v>
      </c>
      <c r="AA133" s="60">
        <v>345600</v>
      </c>
      <c r="AB133" s="60" t="str">
        <f>IF(AA133&lt;60,"1",IF(AA133&lt;=43200,"2",IF(AA133&lt;=777600,"3","4")))</f>
        <v>3</v>
      </c>
      <c r="AC133" s="56">
        <f>AVERAGE(AV132:DA132)</f>
        <v>117615</v>
      </c>
      <c r="AD133" s="60" t="str">
        <f>IF(AC133&lt;60,"1",IF(AC133&lt;=43200,"2",IF(AC133&lt;=777600,"3","4")))</f>
        <v>3</v>
      </c>
      <c r="AE133" s="76">
        <f>AA133-Y133</f>
        <v>345555</v>
      </c>
      <c r="AF133" s="80">
        <f>AV133</f>
        <v>0.79</v>
      </c>
      <c r="AG133" s="56">
        <f>((AW133-AV133)+(AX133-AW133))/2</f>
        <v>-2.5000000000000022E-2</v>
      </c>
      <c r="AH133" s="4"/>
      <c r="AI133" s="56">
        <f>RSQ(AV133:AX133,AV132:AX132)</f>
        <v>0.44654593958019129</v>
      </c>
      <c r="AJ133" s="109">
        <f>SLOPE(AV133:AX133,AV132:AX132)</f>
        <v>-8.9531097135366722E-8</v>
      </c>
      <c r="AK133" s="56">
        <f>INTERCEPT(AV133:AX133,AV132:AX132)</f>
        <v>0.77053019998957628</v>
      </c>
      <c r="AL133" s="56">
        <f>INDEX(LINEST(LN(AV133:AX133),LN(AV132:AX132),TRUE,TRUE),3,1)</f>
        <v>0.93857173382062575</v>
      </c>
      <c r="AM133" s="56">
        <f>INDEX(LINEST(LN(AV133:AX133),LN(AV132:AX132)),1)</f>
        <v>-7.4565124405694197E-3</v>
      </c>
      <c r="AN133" s="56">
        <f>EXP(INDEX(LINEST(LN(AV133:AX133),LN(AV132:AX132)),1,2))</f>
        <v>0.80928716978354664</v>
      </c>
      <c r="AO133" s="82">
        <f>INDEX(LINEST((AV133:AX133),LN(AV132:AX132),TRUE,TRUE),3,1)</f>
        <v>0.9359169465285202</v>
      </c>
      <c r="AP133" s="82">
        <f>INDEX(LINEST((AV133:AX133),LN(AV132:AX132)),1)</f>
        <v>-5.7048419156961157E-3</v>
      </c>
      <c r="AQ133" s="83">
        <f>INDEX(LINEST(LN(AV133:AX133),SQRT(AV132:AX132),TRUE,TRUE),3,1)</f>
        <v>0.55786694645121671</v>
      </c>
      <c r="AR133" s="116">
        <f>INDEX(LINEST(LN(AV133:AX133),SQRT((AV132:AX132))),1)</f>
        <v>-8.1774304772536195E-5</v>
      </c>
      <c r="AS133" s="84">
        <f>INDEX(LINEST(1/(AV133:AX133),1/(SQRT(AV132:AX132)),TRUE,TRUE),3,1)</f>
        <v>0.98056018030235226</v>
      </c>
      <c r="AT133" s="84">
        <f>INDEX(LINEST(1/(AV133:AX133),1/SQRT(AV132:AX132)),1)</f>
        <v>-0.54231308290077185</v>
      </c>
      <c r="AU133" s="3"/>
      <c r="AV133" s="53">
        <v>0.79</v>
      </c>
      <c r="AW133" s="53">
        <v>0.75</v>
      </c>
      <c r="AX133" s="53">
        <v>0.74</v>
      </c>
      <c r="AY133" s="53"/>
      <c r="AZ133" s="53"/>
      <c r="BA133" s="53"/>
      <c r="BB133" s="53"/>
      <c r="BC133" s="53"/>
      <c r="BD133" s="53"/>
      <c r="BE133" s="53"/>
      <c r="BF133" s="53"/>
      <c r="BG133" s="53"/>
      <c r="BH133" s="53"/>
      <c r="BI133" s="53"/>
      <c r="BJ133" s="53"/>
      <c r="BK133" s="53"/>
      <c r="BL133" s="53"/>
      <c r="BM133" s="53"/>
      <c r="BN133" s="53"/>
      <c r="BO133" s="53"/>
      <c r="BP133" s="53"/>
      <c r="BQ133" s="53"/>
      <c r="BR133" s="53"/>
      <c r="BS133" s="53"/>
      <c r="BT133" s="53"/>
      <c r="BU133" s="53"/>
      <c r="BV133" s="53"/>
      <c r="BW133" s="53"/>
      <c r="BX133" s="53"/>
      <c r="BY133" s="53"/>
      <c r="BZ133" s="53"/>
      <c r="CA133" s="53"/>
      <c r="CB133" s="53"/>
      <c r="CC133" s="53"/>
      <c r="CD133" s="53"/>
      <c r="CE133" s="53"/>
      <c r="CF133" s="53"/>
      <c r="CG133" s="53"/>
      <c r="CH133" s="53"/>
      <c r="CI133" s="53"/>
      <c r="CJ133" s="53"/>
      <c r="CK133" s="53"/>
      <c r="CL133" s="53"/>
      <c r="CM133" s="53"/>
      <c r="CN133" s="53"/>
      <c r="CO133" s="53"/>
      <c r="CP133" s="53"/>
      <c r="CQ133" s="53"/>
      <c r="CR133" s="1"/>
      <c r="CS133" s="1"/>
      <c r="CT133" s="1"/>
      <c r="CU133" s="1"/>
    </row>
    <row r="134" spans="1:99" s="13" customFormat="1" ht="12" customHeight="1" x14ac:dyDescent="0.2">
      <c r="A134" s="65">
        <v>43509</v>
      </c>
      <c r="B134" s="1"/>
      <c r="C134" s="1"/>
      <c r="D134" s="60"/>
      <c r="E134" s="76"/>
      <c r="F134" s="60"/>
      <c r="G134" s="60"/>
      <c r="H134" s="60"/>
      <c r="I134" s="60"/>
      <c r="J134" s="60"/>
      <c r="K134" s="64"/>
      <c r="L134" s="64"/>
      <c r="M134" s="60"/>
      <c r="N134" s="60"/>
      <c r="O134" s="60"/>
      <c r="P134" s="60"/>
      <c r="Q134" s="60"/>
      <c r="R134" s="60"/>
      <c r="S134" s="60"/>
      <c r="T134" s="60"/>
      <c r="U134" s="60"/>
      <c r="V134" s="60"/>
      <c r="W134" s="60"/>
      <c r="X134" s="60"/>
      <c r="Y134" s="76"/>
      <c r="Z134" s="60"/>
      <c r="AA134" s="60"/>
      <c r="AB134" s="60"/>
      <c r="AC134" s="60"/>
      <c r="AD134" s="60"/>
      <c r="AE134" s="60"/>
      <c r="AF134" s="80"/>
      <c r="AG134" s="56"/>
      <c r="AH134" s="4"/>
      <c r="AI134" s="56"/>
      <c r="AJ134" s="109"/>
      <c r="AK134" s="56"/>
      <c r="AL134" s="56"/>
      <c r="AM134" s="56"/>
      <c r="AN134" s="56"/>
      <c r="AO134" s="56"/>
      <c r="AP134" s="56"/>
      <c r="AQ134" s="82"/>
      <c r="AR134" s="115"/>
      <c r="AS134" s="82"/>
      <c r="AT134" s="82"/>
      <c r="AU134" s="4"/>
      <c r="AV134" s="25">
        <v>45</v>
      </c>
      <c r="AW134" s="25">
        <f>2*60*60</f>
        <v>7200</v>
      </c>
      <c r="AX134" s="25">
        <f>24*3600*4</f>
        <v>345600</v>
      </c>
      <c r="AY134" s="53"/>
      <c r="AZ134" s="53"/>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3"/>
      <c r="CA134" s="53"/>
      <c r="CB134" s="53"/>
      <c r="CC134" s="53"/>
      <c r="CD134" s="53"/>
      <c r="CE134" s="53"/>
      <c r="CF134" s="53"/>
      <c r="CG134" s="53"/>
      <c r="CH134" s="53"/>
      <c r="CI134" s="53"/>
      <c r="CJ134" s="53"/>
      <c r="CK134" s="53"/>
      <c r="CL134" s="53"/>
      <c r="CM134" s="53"/>
      <c r="CN134" s="53"/>
      <c r="CO134" s="53"/>
      <c r="CP134" s="53"/>
      <c r="CQ134" s="53"/>
      <c r="CR134" s="1"/>
      <c r="CS134" s="1"/>
      <c r="CT134" s="1"/>
      <c r="CU134" s="1"/>
    </row>
    <row r="135" spans="1:99" s="13" customFormat="1" ht="12" customHeight="1" x14ac:dyDescent="0.2">
      <c r="A135" s="65">
        <v>43509</v>
      </c>
      <c r="B135" s="1" t="s">
        <v>906</v>
      </c>
      <c r="C135" s="1" t="s">
        <v>54</v>
      </c>
      <c r="D135" s="60">
        <v>1987</v>
      </c>
      <c r="E135" s="76">
        <v>3</v>
      </c>
      <c r="F135" s="60">
        <v>12</v>
      </c>
      <c r="G135" s="60">
        <v>12</v>
      </c>
      <c r="H135" s="60" t="s">
        <v>22</v>
      </c>
      <c r="I135" s="60" t="s">
        <v>824</v>
      </c>
      <c r="J135" s="60" t="s">
        <v>16</v>
      </c>
      <c r="K135" s="60">
        <f>IF(J135="syllables",1,IF(J135="trigrams",2,IF(J135="strings",3,IF(J135="visual array",4,IF(J135="characters",5,IF(J135="letters",6,IF(J135="free forms",7,IF(J135="odors",8,IF(J135="words",9,IF(J135="pictures",10,IF(J135="object pictures",11,IF(J135="faces",12,IF(J135="names",13,IF(J135="idioms",14,IF(J135="grades",15,IF(J135="syllable-digit pairs",16,IF(J135="trigram-word pairs",17,IF(J135="word-digit pairs",18,IF(J135="English-Swahili pairs",19,IF(J135="spatial position",20,IF(J135="word pairs",21,IF(J135="word triads",22,IF(J135="generated words",23,IF(J135="word definition pairs",24,IF(J135="math problems",25,IF(J135="famous faces",26,IF(J135="famous names",27,IF(J135="famous voices",28,IF(J135="television programs",29,IF(J135="race horses",30,IF(J135="new vocabulary",31,IF(J135="sentences",32,IF(J135="concepts",33,IF(J135="ad slides",34,IF(J135="scenes",35,IF(J135="famous scenes",36,IF(J135="poems",37,IF(J135="walk",38,IF(J135="faces and events",39,IF(J135="events and names",40,IF(J135="flashbulb",41,IF(J135="stories",42,IF(J135="course material",43,IF(J135="autobiographical",44,IF(J135="novels",45,IF(J135="public events",46,"99"))))))))))))))))))))))))))))))))))))))))))))))</f>
        <v>9</v>
      </c>
      <c r="L135" s="60">
        <f>IF(J135="syllables",1,IF(J135="trigrams",1,IF(J135="strings",1,IF(J135="visual array",1,IF(J135="characters",1,IF(J135="letters",1,IF(J135="free forms",1,IF(J135="odors",2,IF(J135="words",2,IF(J135="pictures",2,IF(J135="object pictures",2,IF(J135="faces",2,IF(J135="names",2,IF(J135="idioms","2",IF(J135="grades",2,IF(J135="syllable-digit pairs",3,IF(J135="trigram-word pairs",3,IF(J135="word-digit pairs",3,IF(J135="English-Swahili pairs",3,IF(J135="spatial position",3,IF(J135="word pairs",4,IF(J135="word triads",4,IF(J135="generated words",4,IF(J135="word definition pairs",4,IF(J135="math problems",4,IF(J135="famous faces",4,IF(J135="famous names",4,IF(J135="famous voices",4,IF(J135="television programs",4,IF(J135="race horses",4,IF(J135="new vocabulary",4,IF(J135="sentences",5,IF(J135="concepts",5,IF(J135="ad slides",5,IF(J135="scenes",5,IF(J135="famous scenes",5,IF(J135="poems",6,IF(J135="walk",6,IF(J135="faces and events",6,IF(J135="events and names",6,IF(J135="flashbulb",7,IF(J135="stories",7,IF(J135="course material",7,IF(J135="autobiographical",7,IF(J135="novels",7,IF(J135="public events",7,"99"))))))))))))))))))))))))))))))))))))))))))))))</f>
        <v>2</v>
      </c>
      <c r="M135" s="60">
        <v>1</v>
      </c>
      <c r="N135" s="60">
        <v>2</v>
      </c>
      <c r="O135" s="60">
        <v>0</v>
      </c>
      <c r="P135" s="60"/>
      <c r="Q135" s="60" t="s">
        <v>125</v>
      </c>
      <c r="R135" s="60">
        <f>IF(Q135="Free Recall",1,IF(Q135="Cued Recall",2,IF(Q135="Recognition",3,IF(Q135="Multiple Choice",4,IF(Q135="Savings",5,IF(Q135="Stem Completion",6,IF(Q135="Fragment Completion",7,IF(Q135="anagram solution",8,IF(Q135="Matching",9,IF(Q135="Problem Solving",10,"99"))))))))))</f>
        <v>7</v>
      </c>
      <c r="S135" s="60" t="s">
        <v>49</v>
      </c>
      <c r="T135" s="59" t="s">
        <v>581</v>
      </c>
      <c r="U135" s="60">
        <f>IF(T135="within",1,0)</f>
        <v>1</v>
      </c>
      <c r="V135" s="59">
        <v>72</v>
      </c>
      <c r="W135" s="60">
        <f>F135*V135</f>
        <v>864</v>
      </c>
      <c r="X135" s="60">
        <v>3</v>
      </c>
      <c r="Y135" s="76">
        <f>AV134</f>
        <v>45</v>
      </c>
      <c r="Z135" s="60" t="s">
        <v>115</v>
      </c>
      <c r="AA135" s="60">
        <v>345600</v>
      </c>
      <c r="AB135" s="60" t="str">
        <f>IF(AA135&lt;60,"1",IF(AA135&lt;=43200,"2",IF(AA135&lt;=777600,"3","4")))</f>
        <v>3</v>
      </c>
      <c r="AC135" s="56">
        <f>AVERAGE(AV134:DA134)</f>
        <v>117615</v>
      </c>
      <c r="AD135" s="60" t="str">
        <f>IF(AC135&lt;60,"1",IF(AC135&lt;=43200,"2",IF(AC135&lt;=777600,"3","4")))</f>
        <v>3</v>
      </c>
      <c r="AE135" s="76">
        <f>AA135-Y135</f>
        <v>345555</v>
      </c>
      <c r="AF135" s="80">
        <f>AV135</f>
        <v>0.72</v>
      </c>
      <c r="AG135" s="56">
        <f>((AW135-AV135)+(AX135-AW135))/2</f>
        <v>-9.4999999999999973E-2</v>
      </c>
      <c r="AH135" s="4"/>
      <c r="AI135" s="56">
        <f>RSQ(AV135:AX135,AV134:AX134)</f>
        <v>0.73930832282629799</v>
      </c>
      <c r="AJ135" s="109">
        <f>SLOPE(AV135:AX135,AV134:AX134)</f>
        <v>-4.1383634512070578E-7</v>
      </c>
      <c r="AK135" s="56">
        <f>INTERCEPT(AV135:AX135,AV134:AX134)</f>
        <v>0.67200669506470512</v>
      </c>
      <c r="AL135" s="56">
        <f>INDEX(LINEST(LN(AV135:AX135),LN(AV134:AX134),TRUE,TRUE),3,1)</f>
        <v>0.99168417979953727</v>
      </c>
      <c r="AM135" s="56">
        <f>INDEX(LINEST(LN(AV135:AX135),LN(AV134:AX134)),1)</f>
        <v>-3.4003689699636484E-2</v>
      </c>
      <c r="AN135" s="56">
        <f>EXP(INDEX(LINEST(LN(AV135:AX135),LN(AV134:AX134)),1,2))</f>
        <v>0.82522102977313661</v>
      </c>
      <c r="AO135" s="82">
        <f>INDEX(LINEST((AV135:AX135),LN(AV134:AX134),TRUE,TRUE),3,1)</f>
        <v>0.997777154673258</v>
      </c>
      <c r="AP135" s="82">
        <f>INDEX(LINEST((AV135:AX135),LN(AV134:AX134)),1)</f>
        <v>-2.116005220962832E-2</v>
      </c>
      <c r="AQ135" s="83">
        <f>INDEX(LINEST(LN(AV135:AX135),SQRT(AV134:AX134),TRUE,TRUE),3,1)</f>
        <v>0.85851947282924512</v>
      </c>
      <c r="AR135" s="116">
        <f>INDEX(LINEST(LN(AV135:AX135),SQRT((AV134:AX134))),1)</f>
        <v>-4.5005331085303814E-4</v>
      </c>
      <c r="AS135" s="84">
        <f>INDEX(LINEST(1/(AV135:AX135),1/(SQRT(AV134:AX134)),TRUE,TRUE),3,1)</f>
        <v>0.75303629461923416</v>
      </c>
      <c r="AT135" s="84">
        <f>INDEX(LINEST(1/(AV135:AX135),1/SQRT(AV134:AX134)),1)</f>
        <v>-2.6284648013448941</v>
      </c>
      <c r="AU135" s="3"/>
      <c r="AV135" s="53">
        <v>0.72</v>
      </c>
      <c r="AW135" s="53">
        <v>0.62</v>
      </c>
      <c r="AX135" s="53">
        <v>0.53</v>
      </c>
      <c r="AY135" s="53"/>
      <c r="AZ135" s="53"/>
      <c r="BA135" s="53"/>
      <c r="BB135" s="53"/>
      <c r="BC135" s="53"/>
      <c r="BD135" s="53"/>
      <c r="BE135" s="53"/>
      <c r="BF135" s="53"/>
      <c r="BG135" s="53"/>
      <c r="BH135" s="53"/>
      <c r="BI135" s="53"/>
      <c r="BJ135" s="53"/>
      <c r="BK135" s="53"/>
      <c r="BL135" s="53"/>
      <c r="BM135" s="53"/>
      <c r="BN135" s="53"/>
      <c r="BO135" s="53"/>
      <c r="BP135" s="53"/>
      <c r="BQ135" s="53"/>
      <c r="BR135" s="53"/>
      <c r="BS135" s="53"/>
      <c r="BT135" s="53"/>
      <c r="BU135" s="53"/>
      <c r="BV135" s="53"/>
      <c r="BW135" s="53"/>
      <c r="BX135" s="53"/>
      <c r="BY135" s="53"/>
      <c r="BZ135" s="53"/>
      <c r="CA135" s="53"/>
      <c r="CB135" s="53"/>
      <c r="CC135" s="53"/>
      <c r="CD135" s="53"/>
      <c r="CE135" s="53"/>
      <c r="CF135" s="53"/>
      <c r="CG135" s="53"/>
      <c r="CH135" s="53"/>
      <c r="CI135" s="53"/>
      <c r="CJ135" s="53"/>
      <c r="CK135" s="53"/>
      <c r="CL135" s="53"/>
      <c r="CM135" s="53"/>
      <c r="CN135" s="53"/>
      <c r="CO135" s="53"/>
      <c r="CP135" s="53"/>
      <c r="CQ135" s="53"/>
      <c r="CR135" s="1"/>
      <c r="CS135" s="1"/>
      <c r="CT135" s="1"/>
      <c r="CU135" s="1"/>
    </row>
    <row r="136" spans="1:99" s="13" customFormat="1" ht="12" customHeight="1" x14ac:dyDescent="0.2">
      <c r="A136" s="65">
        <v>43509</v>
      </c>
      <c r="B136" s="1"/>
      <c r="C136" s="1"/>
      <c r="D136" s="60"/>
      <c r="E136" s="76"/>
      <c r="F136" s="60"/>
      <c r="G136" s="60"/>
      <c r="H136" s="60"/>
      <c r="I136" s="60"/>
      <c r="J136" s="60"/>
      <c r="K136" s="64"/>
      <c r="L136" s="64"/>
      <c r="M136" s="60"/>
      <c r="N136" s="60"/>
      <c r="O136" s="60"/>
      <c r="P136" s="60"/>
      <c r="Q136" s="60"/>
      <c r="R136" s="60"/>
      <c r="S136" s="60"/>
      <c r="T136" s="60"/>
      <c r="U136" s="60"/>
      <c r="V136" s="60"/>
      <c r="W136" s="60"/>
      <c r="X136" s="60"/>
      <c r="Y136" s="76"/>
      <c r="Z136" s="60"/>
      <c r="AA136" s="60"/>
      <c r="AB136" s="60"/>
      <c r="AC136" s="60"/>
      <c r="AD136" s="60"/>
      <c r="AE136" s="60"/>
      <c r="AF136" s="80"/>
      <c r="AG136" s="56"/>
      <c r="AH136" s="4"/>
      <c r="AI136" s="56"/>
      <c r="AJ136" s="109"/>
      <c r="AK136" s="56"/>
      <c r="AL136" s="56"/>
      <c r="AM136" s="56"/>
      <c r="AN136" s="56"/>
      <c r="AO136" s="56"/>
      <c r="AP136" s="56"/>
      <c r="AQ136" s="82"/>
      <c r="AR136" s="115"/>
      <c r="AS136" s="82"/>
      <c r="AT136" s="82"/>
      <c r="AU136" s="4"/>
      <c r="AV136" s="25">
        <v>45</v>
      </c>
      <c r="AW136" s="25">
        <f>2*60*60</f>
        <v>7200</v>
      </c>
      <c r="AX136" s="25">
        <f>24*3600*4</f>
        <v>345600</v>
      </c>
      <c r="AY136" s="53"/>
      <c r="AZ136" s="53"/>
      <c r="BA136" s="53"/>
      <c r="BB136" s="53"/>
      <c r="BC136" s="53"/>
      <c r="BD136" s="53"/>
      <c r="BE136" s="53"/>
      <c r="BF136" s="53"/>
      <c r="BG136" s="53"/>
      <c r="BH136" s="53"/>
      <c r="BI136" s="53"/>
      <c r="BJ136" s="53"/>
      <c r="BK136" s="53"/>
      <c r="BL136" s="53"/>
      <c r="BM136" s="53"/>
      <c r="BN136" s="53"/>
      <c r="BO136" s="53"/>
      <c r="BP136" s="53"/>
      <c r="BQ136" s="53"/>
      <c r="BR136" s="53"/>
      <c r="BS136" s="53"/>
      <c r="BT136" s="53"/>
      <c r="BU136" s="53"/>
      <c r="BV136" s="53"/>
      <c r="BW136" s="53"/>
      <c r="BX136" s="53"/>
      <c r="BY136" s="53"/>
      <c r="BZ136" s="53"/>
      <c r="CA136" s="53"/>
      <c r="CB136" s="53"/>
      <c r="CC136" s="53"/>
      <c r="CD136" s="53"/>
      <c r="CE136" s="53"/>
      <c r="CF136" s="53"/>
      <c r="CG136" s="53"/>
      <c r="CH136" s="53"/>
      <c r="CI136" s="53"/>
      <c r="CJ136" s="53"/>
      <c r="CK136" s="53"/>
      <c r="CL136" s="53"/>
      <c r="CM136" s="53"/>
      <c r="CN136" s="53"/>
      <c r="CO136" s="53"/>
      <c r="CP136" s="53"/>
      <c r="CQ136" s="53"/>
      <c r="CR136" s="1"/>
      <c r="CS136" s="1"/>
      <c r="CT136" s="1"/>
      <c r="CU136" s="1"/>
    </row>
    <row r="137" spans="1:99" s="13" customFormat="1" ht="12" customHeight="1" x14ac:dyDescent="0.2">
      <c r="A137" s="65">
        <v>43509</v>
      </c>
      <c r="B137" s="1" t="s">
        <v>906</v>
      </c>
      <c r="C137" s="1" t="s">
        <v>54</v>
      </c>
      <c r="D137" s="60">
        <v>1987</v>
      </c>
      <c r="E137" s="76">
        <v>3</v>
      </c>
      <c r="F137" s="60">
        <v>12</v>
      </c>
      <c r="G137" s="60">
        <v>12</v>
      </c>
      <c r="H137" s="60" t="s">
        <v>22</v>
      </c>
      <c r="I137" s="60" t="s">
        <v>825</v>
      </c>
      <c r="J137" s="60" t="s">
        <v>16</v>
      </c>
      <c r="K137" s="60">
        <f>IF(J137="syllables",1,IF(J137="trigrams",2,IF(J137="strings",3,IF(J137="visual array",4,IF(J137="characters",5,IF(J137="letters",6,IF(J137="free forms",7,IF(J137="odors",8,IF(J137="words",9,IF(J137="pictures",10,IF(J137="object pictures",11,IF(J137="faces",12,IF(J137="names",13,IF(J137="idioms",14,IF(J137="grades",15,IF(J137="syllable-digit pairs",16,IF(J137="trigram-word pairs",17,IF(J137="word-digit pairs",18,IF(J137="English-Swahili pairs",19,IF(J137="spatial position",20,IF(J137="word pairs",21,IF(J137="word triads",22,IF(J137="generated words",23,IF(J137="word definition pairs",24,IF(J137="math problems",25,IF(J137="famous faces",26,IF(J137="famous names",27,IF(J137="famous voices",28,IF(J137="television programs",29,IF(J137="race horses",30,IF(J137="new vocabulary",31,IF(J137="sentences",32,IF(J137="concepts",33,IF(J137="ad slides",34,IF(J137="scenes",35,IF(J137="famous scenes",36,IF(J137="poems",37,IF(J137="walk",38,IF(J137="faces and events",39,IF(J137="events and names",40,IF(J137="flashbulb",41,IF(J137="stories",42,IF(J137="course material",43,IF(J137="autobiographical",44,IF(J137="novels",45,IF(J137="public events",46,"99"))))))))))))))))))))))))))))))))))))))))))))))</f>
        <v>9</v>
      </c>
      <c r="L137" s="60">
        <f>IF(J137="syllables",1,IF(J137="trigrams",1,IF(J137="strings",1,IF(J137="visual array",1,IF(J137="characters",1,IF(J137="letters",1,IF(J137="free forms",1,IF(J137="odors",2,IF(J137="words",2,IF(J137="pictures",2,IF(J137="object pictures",2,IF(J137="faces",2,IF(J137="names",2,IF(J137="idioms","2",IF(J137="grades",2,IF(J137="syllable-digit pairs",3,IF(J137="trigram-word pairs",3,IF(J137="word-digit pairs",3,IF(J137="English-Swahili pairs",3,IF(J137="spatial position",3,IF(J137="word pairs",4,IF(J137="word triads",4,IF(J137="generated words",4,IF(J137="word definition pairs",4,IF(J137="math problems",4,IF(J137="famous faces",4,IF(J137="famous names",4,IF(J137="famous voices",4,IF(J137="television programs",4,IF(J137="race horses",4,IF(J137="new vocabulary",4,IF(J137="sentences",5,IF(J137="concepts",5,IF(J137="ad slides",5,IF(J137="scenes",5,IF(J137="famous scenes",5,IF(J137="poems",6,IF(J137="walk",6,IF(J137="faces and events",6,IF(J137="events and names",6,IF(J137="flashbulb",7,IF(J137="stories",7,IF(J137="course material",7,IF(J137="autobiographical",7,IF(J137="novels",7,IF(J137="public events",7,"99"))))))))))))))))))))))))))))))))))))))))))))))</f>
        <v>2</v>
      </c>
      <c r="M137" s="60">
        <v>1</v>
      </c>
      <c r="N137" s="60">
        <v>2</v>
      </c>
      <c r="O137" s="60">
        <v>0</v>
      </c>
      <c r="P137" s="60"/>
      <c r="Q137" s="60" t="s">
        <v>125</v>
      </c>
      <c r="R137" s="60">
        <f>IF(Q137="Free Recall",1,IF(Q137="Cued Recall",2,IF(Q137="Recognition",3,IF(Q137="Multiple Choice",4,IF(Q137="Savings",5,IF(Q137="Stem Completion",6,IF(Q137="Fragment Completion",7,IF(Q137="anagram solution",8,IF(Q137="Matching",9,IF(Q137="Problem Solving",10,"99"))))))))))</f>
        <v>7</v>
      </c>
      <c r="S137" s="60" t="s">
        <v>49</v>
      </c>
      <c r="T137" s="59" t="s">
        <v>581</v>
      </c>
      <c r="U137" s="60">
        <f>IF(T137="within",1,0)</f>
        <v>1</v>
      </c>
      <c r="V137" s="59">
        <v>72</v>
      </c>
      <c r="W137" s="60">
        <f>F137*V137</f>
        <v>864</v>
      </c>
      <c r="X137" s="60">
        <v>3</v>
      </c>
      <c r="Y137" s="76">
        <f>AV136</f>
        <v>45</v>
      </c>
      <c r="Z137" s="60" t="s">
        <v>115</v>
      </c>
      <c r="AA137" s="60">
        <v>345600</v>
      </c>
      <c r="AB137" s="60" t="str">
        <f>IF(AA137&lt;60,"1",IF(AA137&lt;=43200,"2",IF(AA137&lt;=777600,"3","4")))</f>
        <v>3</v>
      </c>
      <c r="AC137" s="56">
        <f>AVERAGE(AV136:DA136)</f>
        <v>117615</v>
      </c>
      <c r="AD137" s="60" t="str">
        <f>IF(AC137&lt;60,"1",IF(AC137&lt;=43200,"2",IF(AC137&lt;=777600,"3","4")))</f>
        <v>3</v>
      </c>
      <c r="AE137" s="76">
        <f>AA137-Y137</f>
        <v>345555</v>
      </c>
      <c r="AF137" s="80">
        <f>AV137</f>
        <v>0.62</v>
      </c>
      <c r="AG137" s="56">
        <f>((AW137-AV137)+(AX137-AW137))/2</f>
        <v>-0.10500000000000001</v>
      </c>
      <c r="AH137" s="4"/>
      <c r="AI137" s="56">
        <f>RSQ(AV137:AX137,AV136:AX136)</f>
        <v>0.30394509250529289</v>
      </c>
      <c r="AJ137" s="109">
        <f>SLOPE(AV137:AX137,AV136:AX136)</f>
        <v>-3.3072711504157843E-7</v>
      </c>
      <c r="AK137" s="56">
        <f>INTERCEPT(AV137:AX137,AV136:AX136)</f>
        <v>0.52223180296894856</v>
      </c>
      <c r="AL137" s="56">
        <f>INDEX(LINEST(LN(AV137:AX137),LN(AV136:AX136),TRUE,TRUE),3,1)</f>
        <v>0.8525419820977328</v>
      </c>
      <c r="AM137" s="56">
        <f>INDEX(LINEST(LN(AV137:AX137),LN(AV136:AX136)),1)</f>
        <v>-4.7770438890395409E-2</v>
      </c>
      <c r="AN137" s="56">
        <f>EXP(INDEX(LINEST(LN(AV137:AX137),LN(AV136:AX136)),1,2))</f>
        <v>0.7113478602094736</v>
      </c>
      <c r="AO137" s="82">
        <f>INDEX(LINEST((AV137:AX137),LN(AV136:AX136),TRUE,TRUE),3,1)</f>
        <v>0.84559085721419092</v>
      </c>
      <c r="AP137" s="82">
        <f>INDEX(LINEST((AV137:AX137),LN(AV136:AX136)),1)</f>
        <v>-2.427931885824175E-2</v>
      </c>
      <c r="AQ137" s="83">
        <f>INDEX(LINEST(LN(AV137:AX137),SQRT(AV136:AX136),TRUE,TRUE),3,1)</f>
        <v>0.41474567906675386</v>
      </c>
      <c r="AR137" s="116">
        <f>INDEX(LINEST(LN(AV137:AX137),SQRT((AV136:AX136))),1)</f>
        <v>-4.7396013365995024E-4</v>
      </c>
      <c r="AS137" s="84">
        <f>INDEX(LINEST(1/(AV137:AX137),1/(SQRT(AV136:AX136)),TRUE,TRUE),3,1)</f>
        <v>0.99999700955814896</v>
      </c>
      <c r="AT137" s="84">
        <f>INDEX(LINEST(1/(AV137:AX137),1/SQRT(AV136:AX136)),1)</f>
        <v>-5.6009291680096691</v>
      </c>
      <c r="AU137" s="3"/>
      <c r="AV137" s="53">
        <v>0.62</v>
      </c>
      <c r="AW137" s="53">
        <v>0.42</v>
      </c>
      <c r="AX137" s="53">
        <v>0.41</v>
      </c>
      <c r="AY137" s="53"/>
      <c r="AZ137" s="53"/>
      <c r="BA137" s="53"/>
      <c r="BB137" s="53"/>
      <c r="BC137" s="53"/>
      <c r="BD137" s="53"/>
      <c r="BE137" s="53"/>
      <c r="BF137" s="53"/>
      <c r="BG137" s="53"/>
      <c r="BH137" s="53"/>
      <c r="BI137" s="53"/>
      <c r="BJ137" s="53"/>
      <c r="BK137" s="53"/>
      <c r="BL137" s="53"/>
      <c r="BM137" s="53"/>
      <c r="BN137" s="53"/>
      <c r="BO137" s="53"/>
      <c r="BP137" s="53"/>
      <c r="BQ137" s="53"/>
      <c r="BR137" s="53"/>
      <c r="BS137" s="53"/>
      <c r="BT137" s="53"/>
      <c r="BU137" s="53"/>
      <c r="BV137" s="53"/>
      <c r="BW137" s="53"/>
      <c r="BX137" s="53"/>
      <c r="BY137" s="53"/>
      <c r="BZ137" s="53"/>
      <c r="CA137" s="53"/>
      <c r="CB137" s="53"/>
      <c r="CC137" s="53"/>
      <c r="CD137" s="53"/>
      <c r="CE137" s="53"/>
      <c r="CF137" s="53"/>
      <c r="CG137" s="53"/>
      <c r="CH137" s="53"/>
      <c r="CI137" s="53"/>
      <c r="CJ137" s="53"/>
      <c r="CK137" s="53"/>
      <c r="CL137" s="53"/>
      <c r="CM137" s="53"/>
      <c r="CN137" s="53"/>
      <c r="CO137" s="53"/>
      <c r="CP137" s="53"/>
      <c r="CQ137" s="53"/>
      <c r="CR137" s="1"/>
      <c r="CS137" s="1"/>
      <c r="CT137" s="1"/>
      <c r="CU137" s="1"/>
    </row>
    <row r="138" spans="1:99" s="13" customFormat="1" ht="12" customHeight="1" x14ac:dyDescent="0.2">
      <c r="A138" s="65">
        <v>43509</v>
      </c>
      <c r="B138" s="1"/>
      <c r="C138" s="1"/>
      <c r="D138" s="60"/>
      <c r="E138" s="76"/>
      <c r="F138" s="60"/>
      <c r="G138" s="60"/>
      <c r="H138" s="60"/>
      <c r="I138" s="60"/>
      <c r="J138" s="60"/>
      <c r="K138" s="64"/>
      <c r="L138" s="64"/>
      <c r="M138" s="60"/>
      <c r="N138" s="60"/>
      <c r="O138" s="60"/>
      <c r="P138" s="60"/>
      <c r="Q138" s="60"/>
      <c r="R138" s="60"/>
      <c r="S138" s="60"/>
      <c r="T138" s="59"/>
      <c r="U138" s="60"/>
      <c r="V138" s="60"/>
      <c r="W138" s="60"/>
      <c r="X138" s="60"/>
      <c r="Y138" s="76"/>
      <c r="Z138" s="60"/>
      <c r="AA138" s="60"/>
      <c r="AB138" s="60"/>
      <c r="AC138" s="60"/>
      <c r="AD138" s="60"/>
      <c r="AE138" s="60"/>
      <c r="AF138" s="80"/>
      <c r="AG138" s="56"/>
      <c r="AH138" s="4"/>
      <c r="AI138" s="56"/>
      <c r="AJ138" s="109"/>
      <c r="AK138" s="56"/>
      <c r="AL138" s="56"/>
      <c r="AM138" s="56"/>
      <c r="AN138" s="56"/>
      <c r="AO138" s="56"/>
      <c r="AP138" s="56"/>
      <c r="AQ138" s="82"/>
      <c r="AR138" s="115"/>
      <c r="AS138" s="82"/>
      <c r="AT138" s="82"/>
      <c r="AU138" s="4"/>
      <c r="AV138" s="25">
        <v>45</v>
      </c>
      <c r="AW138" s="25">
        <f>2*60*60</f>
        <v>7200</v>
      </c>
      <c r="AX138" s="25">
        <f>24*3600*4</f>
        <v>345600</v>
      </c>
      <c r="AY138" s="53"/>
      <c r="AZ138" s="53"/>
      <c r="BA138" s="53"/>
      <c r="BB138" s="53"/>
      <c r="BC138" s="53"/>
      <c r="BD138" s="53"/>
      <c r="BE138" s="53"/>
      <c r="BF138" s="53"/>
      <c r="BG138" s="53"/>
      <c r="BH138" s="53"/>
      <c r="BI138" s="53"/>
      <c r="BJ138" s="53"/>
      <c r="BK138" s="53"/>
      <c r="BL138" s="53"/>
      <c r="BM138" s="53"/>
      <c r="BN138" s="53"/>
      <c r="BO138" s="53"/>
      <c r="BP138" s="53"/>
      <c r="BQ138" s="53"/>
      <c r="BR138" s="53"/>
      <c r="BS138" s="53"/>
      <c r="BT138" s="53"/>
      <c r="BU138" s="53"/>
      <c r="BV138" s="53"/>
      <c r="BW138" s="53"/>
      <c r="BX138" s="53"/>
      <c r="BY138" s="53"/>
      <c r="BZ138" s="53"/>
      <c r="CA138" s="53"/>
      <c r="CB138" s="53"/>
      <c r="CC138" s="53"/>
      <c r="CD138" s="53"/>
      <c r="CE138" s="53"/>
      <c r="CF138" s="53"/>
      <c r="CG138" s="53"/>
      <c r="CH138" s="53"/>
      <c r="CI138" s="53"/>
      <c r="CJ138" s="53"/>
      <c r="CK138" s="53"/>
      <c r="CL138" s="53"/>
      <c r="CM138" s="53"/>
      <c r="CN138" s="53"/>
      <c r="CO138" s="53"/>
      <c r="CP138" s="53"/>
      <c r="CQ138" s="53"/>
      <c r="CR138" s="1"/>
      <c r="CS138" s="1"/>
      <c r="CT138" s="1"/>
      <c r="CU138" s="1"/>
    </row>
    <row r="139" spans="1:99" s="13" customFormat="1" ht="12" customHeight="1" x14ac:dyDescent="0.2">
      <c r="A139" s="65">
        <v>43509</v>
      </c>
      <c r="B139" s="1" t="s">
        <v>906</v>
      </c>
      <c r="C139" s="1" t="s">
        <v>54</v>
      </c>
      <c r="D139" s="60">
        <v>1987</v>
      </c>
      <c r="E139" s="76">
        <v>3</v>
      </c>
      <c r="F139" s="60">
        <v>12</v>
      </c>
      <c r="G139" s="60">
        <v>12</v>
      </c>
      <c r="H139" s="60" t="s">
        <v>38</v>
      </c>
      <c r="I139" s="60" t="s">
        <v>824</v>
      </c>
      <c r="J139" s="60" t="s">
        <v>16</v>
      </c>
      <c r="K139" s="60">
        <f>IF(J139="syllables",1,IF(J139="trigrams",2,IF(J139="strings",3,IF(J139="visual array",4,IF(J139="characters",5,IF(J139="letters",6,IF(J139="free forms",7,IF(J139="odors",8,IF(J139="words",9,IF(J139="pictures",10,IF(J139="object pictures",11,IF(J139="faces",12,IF(J139="names",13,IF(J139="idioms",14,IF(J139="grades",15,IF(J139="syllable-digit pairs",16,IF(J139="trigram-word pairs",17,IF(J139="word-digit pairs",18,IF(J139="English-Swahili pairs",19,IF(J139="spatial position",20,IF(J139="word pairs",21,IF(J139="word triads",22,IF(J139="generated words",23,IF(J139="word definition pairs",24,IF(J139="math problems",25,IF(J139="famous faces",26,IF(J139="famous names",27,IF(J139="famous voices",28,IF(J139="television programs",29,IF(J139="race horses",30,IF(J139="new vocabulary",31,IF(J139="sentences",32,IF(J139="concepts",33,IF(J139="ad slides",34,IF(J139="scenes",35,IF(J139="famous scenes",36,IF(J139="poems",37,IF(J139="walk",38,IF(J139="faces and events",39,IF(J139="events and names",40,IF(J139="flashbulb",41,IF(J139="stories",42,IF(J139="course material",43,IF(J139="autobiographical",44,IF(J139="novels",45,IF(J139="public events",46,"99"))))))))))))))))))))))))))))))))))))))))))))))</f>
        <v>9</v>
      </c>
      <c r="L139" s="60">
        <f>IF(J139="syllables",1,IF(J139="trigrams",1,IF(J139="strings",1,IF(J139="visual array",1,IF(J139="characters",1,IF(J139="letters",1,IF(J139="free forms",1,IF(J139="odors",2,IF(J139="words",2,IF(J139="pictures",2,IF(J139="object pictures",2,IF(J139="faces",2,IF(J139="names",2,IF(J139="idioms","2",IF(J139="grades",2,IF(J139="syllable-digit pairs",3,IF(J139="trigram-word pairs",3,IF(J139="word-digit pairs",3,IF(J139="English-Swahili pairs",3,IF(J139="spatial position",3,IF(J139="word pairs",4,IF(J139="word triads",4,IF(J139="generated words",4,IF(J139="word definition pairs",4,IF(J139="math problems",4,IF(J139="famous faces",4,IF(J139="famous names",4,IF(J139="famous voices",4,IF(J139="television programs",4,IF(J139="race horses",4,IF(J139="new vocabulary",4,IF(J139="sentences",5,IF(J139="concepts",5,IF(J139="ad slides",5,IF(J139="scenes",5,IF(J139="famous scenes",5,IF(J139="poems",6,IF(J139="walk",6,IF(J139="faces and events",6,IF(J139="events and names",6,IF(J139="flashbulb",7,IF(J139="stories",7,IF(J139="course material",7,IF(J139="autobiographical",7,IF(J139="novels",7,IF(J139="public events",7,"99"))))))))))))))))))))))))))))))))))))))))))))))</f>
        <v>2</v>
      </c>
      <c r="M139" s="60">
        <v>1</v>
      </c>
      <c r="N139" s="60">
        <v>2</v>
      </c>
      <c r="O139" s="60">
        <v>0</v>
      </c>
      <c r="P139" s="60"/>
      <c r="Q139" s="60" t="s">
        <v>34</v>
      </c>
      <c r="R139" s="60">
        <f>IF(Q139="Free Recall",1,IF(Q139="Cued Recall",2,IF(Q139="Recognition",3,IF(Q139="Multiple Choice",4,IF(Q139="Savings",5,IF(Q139="Stem Completion",6,IF(Q139="Fragment Completion",7,IF(Q139="anagram solution",8,IF(Q139="Matching",9,IF(Q139="Problem Solving",10,"99"))))))))))</f>
        <v>3</v>
      </c>
      <c r="S139" s="60" t="s">
        <v>15</v>
      </c>
      <c r="T139" s="59" t="s">
        <v>581</v>
      </c>
      <c r="U139" s="60">
        <f>IF(T139="within",1,0)</f>
        <v>1</v>
      </c>
      <c r="V139" s="59">
        <v>72</v>
      </c>
      <c r="W139" s="60">
        <f>F139*V139</f>
        <v>864</v>
      </c>
      <c r="X139" s="60">
        <v>3</v>
      </c>
      <c r="Y139" s="76">
        <f>AV138</f>
        <v>45</v>
      </c>
      <c r="Z139" s="60" t="s">
        <v>115</v>
      </c>
      <c r="AA139" s="60">
        <v>345600</v>
      </c>
      <c r="AB139" s="60" t="str">
        <f>IF(AA139&lt;60,"1",IF(AA139&lt;=43200,"2",IF(AA139&lt;=777600,"3","4")))</f>
        <v>3</v>
      </c>
      <c r="AC139" s="56">
        <f>AVERAGE(AV138:DA138)</f>
        <v>117615</v>
      </c>
      <c r="AD139" s="60" t="str">
        <f>IF(AC139&lt;60,"1",IF(AC139&lt;=43200,"2",IF(AC139&lt;=777600,"3","4")))</f>
        <v>3</v>
      </c>
      <c r="AE139" s="76">
        <f>AA139-Y139</f>
        <v>345555</v>
      </c>
      <c r="AF139" s="80">
        <f>AV139</f>
        <v>0.99</v>
      </c>
      <c r="AG139" s="56">
        <f>((AW139-AV139)+(AX139-AW139))/2</f>
        <v>-4.4999999999999984E-2</v>
      </c>
      <c r="AH139" s="4"/>
      <c r="AI139" s="56">
        <f>RSQ(AV139:AX139,AV138:AX138)</f>
        <v>0.9624172103766705</v>
      </c>
      <c r="AJ139" s="109">
        <f>SLOPE(AV139:AX139,AV138:AX138)</f>
        <v>-2.3477415084997247E-7</v>
      </c>
      <c r="AK139" s="56">
        <f>INTERCEPT(AV139:AX139,AV138:AX138)</f>
        <v>0.98094629508555276</v>
      </c>
      <c r="AL139" s="56">
        <f>INDEX(LINEST(LN(AV139:AX139),LN(AV138:AX138),TRUE,TRUE),3,1)</f>
        <v>0.85094567808157551</v>
      </c>
      <c r="AM139" s="56">
        <f>INDEX(LINEST(LN(AV139:AX139),LN(AV138:AX138)),1)</f>
        <v>-1.0317972422053043E-2</v>
      </c>
      <c r="AN139" s="56">
        <f>EXP(INDEX(LINEST(LN(AV139:AX139),LN(AV138:AX138)),1,2))</f>
        <v>1.0396439890448301</v>
      </c>
      <c r="AO139" s="82">
        <f>INDEX(LINEST((AV139:AX139),LN(AV138:AX138),TRUE,TRUE),3,1)</f>
        <v>0.85691278497314727</v>
      </c>
      <c r="AP139" s="82">
        <f>INDEX(LINEST((AV139:AX139),LN(AV138:AX138)),1)</f>
        <v>-9.7503683782361079E-3</v>
      </c>
      <c r="AQ139" s="83">
        <f>INDEX(LINEST(LN(AV139:AX139),SQRT(AV138:AX138),TRUE,TRUE),3,1)</f>
        <v>0.9935224743280785</v>
      </c>
      <c r="AR139" s="116">
        <f>INDEX(LINEST(LN(AV139:AX139),SQRT((AV138:AX138))),1)</f>
        <v>-1.5859220089752519E-4</v>
      </c>
      <c r="AS139" s="84">
        <f>INDEX(LINEST(1/(AV139:AX139),1/(SQRT(AV138:AX138)),TRUE,TRUE),3,1)</f>
        <v>0.49599936915811282</v>
      </c>
      <c r="AT139" s="84">
        <f>INDEX(LINEST(1/(AV139:AX139),1/SQRT(AV138:AX138)),1)</f>
        <v>-0.45623298226990283</v>
      </c>
      <c r="AU139" s="3"/>
      <c r="AV139" s="53">
        <v>0.99</v>
      </c>
      <c r="AW139" s="53">
        <v>0.97</v>
      </c>
      <c r="AX139" s="53">
        <v>0.9</v>
      </c>
      <c r="AY139" s="53"/>
      <c r="AZ139" s="53"/>
      <c r="BA139" s="53"/>
      <c r="BB139" s="53"/>
      <c r="BC139" s="53"/>
      <c r="BD139" s="53"/>
      <c r="BE139" s="53"/>
      <c r="BF139" s="53"/>
      <c r="BG139" s="53"/>
      <c r="BH139" s="53"/>
      <c r="BI139" s="53"/>
      <c r="BJ139" s="53"/>
      <c r="BK139" s="53"/>
      <c r="BL139" s="53"/>
      <c r="BM139" s="53"/>
      <c r="BN139" s="53"/>
      <c r="BO139" s="53"/>
      <c r="BP139" s="53"/>
      <c r="BQ139" s="53"/>
      <c r="BR139" s="53"/>
      <c r="BS139" s="53"/>
      <c r="BT139" s="53"/>
      <c r="BU139" s="53"/>
      <c r="BV139" s="53"/>
      <c r="BW139" s="53"/>
      <c r="BX139" s="53"/>
      <c r="BY139" s="53"/>
      <c r="BZ139" s="53"/>
      <c r="CA139" s="53"/>
      <c r="CB139" s="53"/>
      <c r="CC139" s="53"/>
      <c r="CD139" s="53"/>
      <c r="CE139" s="53"/>
      <c r="CF139" s="53"/>
      <c r="CG139" s="53"/>
      <c r="CH139" s="53"/>
      <c r="CI139" s="53"/>
      <c r="CJ139" s="53"/>
      <c r="CK139" s="53"/>
      <c r="CL139" s="53"/>
      <c r="CM139" s="53"/>
      <c r="CN139" s="53"/>
      <c r="CO139" s="53"/>
      <c r="CP139" s="53"/>
      <c r="CQ139" s="53"/>
      <c r="CR139" s="1"/>
      <c r="CS139" s="1"/>
      <c r="CT139" s="1"/>
      <c r="CU139" s="1"/>
    </row>
    <row r="140" spans="1:99" s="13" customFormat="1" ht="12" customHeight="1" x14ac:dyDescent="0.2">
      <c r="A140" s="65">
        <v>43509</v>
      </c>
      <c r="B140" s="1"/>
      <c r="C140" s="1"/>
      <c r="D140" s="60"/>
      <c r="E140" s="76"/>
      <c r="F140" s="60"/>
      <c r="G140" s="60"/>
      <c r="H140" s="60"/>
      <c r="I140" s="60"/>
      <c r="J140" s="60"/>
      <c r="K140" s="64"/>
      <c r="L140" s="64"/>
      <c r="M140" s="60"/>
      <c r="N140" s="60"/>
      <c r="O140" s="60"/>
      <c r="P140" s="60"/>
      <c r="Q140" s="60"/>
      <c r="R140" s="60"/>
      <c r="S140" s="60"/>
      <c r="T140" s="60"/>
      <c r="U140" s="60"/>
      <c r="V140" s="60"/>
      <c r="W140" s="60"/>
      <c r="X140" s="60"/>
      <c r="Y140" s="76"/>
      <c r="Z140" s="60"/>
      <c r="AA140" s="60"/>
      <c r="AB140" s="60"/>
      <c r="AC140" s="60"/>
      <c r="AD140" s="60"/>
      <c r="AE140" s="60"/>
      <c r="AF140" s="80"/>
      <c r="AG140" s="56"/>
      <c r="AH140" s="4"/>
      <c r="AI140" s="56"/>
      <c r="AJ140" s="109"/>
      <c r="AK140" s="56"/>
      <c r="AL140" s="56"/>
      <c r="AM140" s="56"/>
      <c r="AN140" s="56"/>
      <c r="AO140" s="56"/>
      <c r="AP140" s="56"/>
      <c r="AQ140" s="82"/>
      <c r="AR140" s="115"/>
      <c r="AS140" s="82"/>
      <c r="AT140" s="82"/>
      <c r="AU140" s="4"/>
      <c r="AV140" s="25">
        <v>45</v>
      </c>
      <c r="AW140" s="25">
        <f>2*60*60</f>
        <v>7200</v>
      </c>
      <c r="AX140" s="25">
        <f>24*3600*4</f>
        <v>345600</v>
      </c>
      <c r="AY140" s="53"/>
      <c r="AZ140" s="53"/>
      <c r="BA140" s="53"/>
      <c r="BB140" s="53"/>
      <c r="BC140" s="53"/>
      <c r="BD140" s="53"/>
      <c r="BE140" s="53"/>
      <c r="BF140" s="53"/>
      <c r="BG140" s="53"/>
      <c r="BH140" s="53"/>
      <c r="BI140" s="53"/>
      <c r="BJ140" s="53"/>
      <c r="BK140" s="53"/>
      <c r="BL140" s="53"/>
      <c r="BM140" s="53"/>
      <c r="BN140" s="53"/>
      <c r="BO140" s="53"/>
      <c r="BP140" s="53"/>
      <c r="BQ140" s="53"/>
      <c r="BR140" s="53"/>
      <c r="BS140" s="53"/>
      <c r="BT140" s="53"/>
      <c r="BU140" s="53"/>
      <c r="BV140" s="53"/>
      <c r="BW140" s="53"/>
      <c r="BX140" s="53"/>
      <c r="BY140" s="53"/>
      <c r="BZ140" s="53"/>
      <c r="CA140" s="53"/>
      <c r="CB140" s="53"/>
      <c r="CC140" s="53"/>
      <c r="CD140" s="53"/>
      <c r="CE140" s="53"/>
      <c r="CF140" s="53"/>
      <c r="CG140" s="53"/>
      <c r="CH140" s="53"/>
      <c r="CI140" s="53"/>
      <c r="CJ140" s="53"/>
      <c r="CK140" s="53"/>
      <c r="CL140" s="53"/>
      <c r="CM140" s="53"/>
      <c r="CN140" s="53"/>
      <c r="CO140" s="53"/>
      <c r="CP140" s="53"/>
      <c r="CQ140" s="53"/>
      <c r="CR140" s="1"/>
      <c r="CS140" s="1"/>
      <c r="CT140" s="1"/>
      <c r="CU140" s="1"/>
    </row>
    <row r="141" spans="1:99" s="13" customFormat="1" ht="12" customHeight="1" x14ac:dyDescent="0.2">
      <c r="A141" s="65">
        <v>43509</v>
      </c>
      <c r="B141" s="1" t="s">
        <v>906</v>
      </c>
      <c r="C141" s="1" t="s">
        <v>54</v>
      </c>
      <c r="D141" s="60">
        <v>1987</v>
      </c>
      <c r="E141" s="76">
        <v>3</v>
      </c>
      <c r="F141" s="60">
        <v>12</v>
      </c>
      <c r="G141" s="60">
        <v>12</v>
      </c>
      <c r="H141" s="60" t="s">
        <v>38</v>
      </c>
      <c r="I141" s="60" t="s">
        <v>825</v>
      </c>
      <c r="J141" s="60" t="s">
        <v>16</v>
      </c>
      <c r="K141" s="60">
        <f>IF(J141="syllables",1,IF(J141="trigrams",2,IF(J141="strings",3,IF(J141="visual array",4,IF(J141="characters",5,IF(J141="letters",6,IF(J141="free forms",7,IF(J141="odors",8,IF(J141="words",9,IF(J141="pictures",10,IF(J141="object pictures",11,IF(J141="faces",12,IF(J141="names",13,IF(J141="idioms",14,IF(J141="grades",15,IF(J141="syllable-digit pairs",16,IF(J141="trigram-word pairs",17,IF(J141="word-digit pairs",18,IF(J141="English-Swahili pairs",19,IF(J141="spatial position",20,IF(J141="word pairs",21,IF(J141="word triads",22,IF(J141="generated words",23,IF(J141="word definition pairs",24,IF(J141="math problems",25,IF(J141="famous faces",26,IF(J141="famous names",27,IF(J141="famous voices",28,IF(J141="television programs",29,IF(J141="race horses",30,IF(J141="new vocabulary",31,IF(J141="sentences",32,IF(J141="concepts",33,IF(J141="ad slides",34,IF(J141="scenes",35,IF(J141="famous scenes",36,IF(J141="poems",37,IF(J141="walk",38,IF(J141="faces and events",39,IF(J141="events and names",40,IF(J141="flashbulb",41,IF(J141="stories",42,IF(J141="course material",43,IF(J141="autobiographical",44,IF(J141="novels",45,IF(J141="public events",46,"99"))))))))))))))))))))))))))))))))))))))))))))))</f>
        <v>9</v>
      </c>
      <c r="L141" s="60">
        <f>IF(J141="syllables",1,IF(J141="trigrams",1,IF(J141="strings",1,IF(J141="visual array",1,IF(J141="characters",1,IF(J141="letters",1,IF(J141="free forms",1,IF(J141="odors",2,IF(J141="words",2,IF(J141="pictures",2,IF(J141="object pictures",2,IF(J141="faces",2,IF(J141="names",2,IF(J141="idioms","2",IF(J141="grades",2,IF(J141="syllable-digit pairs",3,IF(J141="trigram-word pairs",3,IF(J141="word-digit pairs",3,IF(J141="English-Swahili pairs",3,IF(J141="spatial position",3,IF(J141="word pairs",4,IF(J141="word triads",4,IF(J141="generated words",4,IF(J141="word definition pairs",4,IF(J141="math problems",4,IF(J141="famous faces",4,IF(J141="famous names",4,IF(J141="famous voices",4,IF(J141="television programs",4,IF(J141="race horses",4,IF(J141="new vocabulary",4,IF(J141="sentences",5,IF(J141="concepts",5,IF(J141="ad slides",5,IF(J141="scenes",5,IF(J141="famous scenes",5,IF(J141="poems",6,IF(J141="walk",6,IF(J141="faces and events",6,IF(J141="events and names",6,IF(J141="flashbulb",7,IF(J141="stories",7,IF(J141="course material",7,IF(J141="autobiographical",7,IF(J141="novels",7,IF(J141="public events",7,"99"))))))))))))))))))))))))))))))))))))))))))))))</f>
        <v>2</v>
      </c>
      <c r="M141" s="60">
        <v>1</v>
      </c>
      <c r="N141" s="60">
        <v>2</v>
      </c>
      <c r="O141" s="60">
        <v>0</v>
      </c>
      <c r="P141" s="60"/>
      <c r="Q141" s="60" t="s">
        <v>34</v>
      </c>
      <c r="R141" s="60">
        <f>IF(Q141="Free Recall",1,IF(Q141="Cued Recall",2,IF(Q141="Recognition",3,IF(Q141="Multiple Choice",4,IF(Q141="Savings",5,IF(Q141="Stem Completion",6,IF(Q141="Fragment Completion",7,IF(Q141="anagram solution",8,IF(Q141="Matching",9,IF(Q141="Problem Solving",10,"99"))))))))))</f>
        <v>3</v>
      </c>
      <c r="S141" s="60" t="s">
        <v>15</v>
      </c>
      <c r="T141" s="59" t="s">
        <v>581</v>
      </c>
      <c r="U141" s="60">
        <f>IF(T141="within",1,0)</f>
        <v>1</v>
      </c>
      <c r="V141" s="59">
        <v>72</v>
      </c>
      <c r="W141" s="60">
        <f>F141*V141</f>
        <v>864</v>
      </c>
      <c r="X141" s="60">
        <v>3</v>
      </c>
      <c r="Y141" s="76">
        <f>AV140</f>
        <v>45</v>
      </c>
      <c r="Z141" s="60" t="s">
        <v>115</v>
      </c>
      <c r="AA141" s="60">
        <v>345600</v>
      </c>
      <c r="AB141" s="60" t="str">
        <f>IF(AA141&lt;60,"1",IF(AA141&lt;=43200,"2",IF(AA141&lt;=777600,"3","4")))</f>
        <v>3</v>
      </c>
      <c r="AC141" s="56">
        <f>AVERAGE(AV140:DA140)</f>
        <v>117615</v>
      </c>
      <c r="AD141" s="60" t="str">
        <f>IF(AC141&lt;60,"1",IF(AC141&lt;=43200,"2",IF(AC141&lt;=777600,"3","4")))</f>
        <v>3</v>
      </c>
      <c r="AE141" s="76">
        <f>AA141-Y141</f>
        <v>345555</v>
      </c>
      <c r="AF141" s="80">
        <f>AV141</f>
        <v>0.8</v>
      </c>
      <c r="AG141" s="56">
        <f>((AW141-AV141)+(AX141-AW141))/2</f>
        <v>-5.0000000000000044E-2</v>
      </c>
      <c r="AH141" s="4"/>
      <c r="AI141" s="56">
        <f>RSQ(AV141:AX141,AV140:AX140)</f>
        <v>0.85509053184036254</v>
      </c>
      <c r="AJ141" s="109">
        <f>SLOPE(AV141:AX141,AV140:AX140)</f>
        <v>-2.3569156042943552E-7</v>
      </c>
      <c r="AK141" s="56">
        <f>INTERCEPT(AV141:AX141,AV140:AX140)</f>
        <v>0.78105419621324135</v>
      </c>
      <c r="AL141" s="56">
        <f>INDEX(LINEST(LN(AV141:AX141),LN(AV140:AX140),TRUE,TRUE),3,1)</f>
        <v>0.95632061053920714</v>
      </c>
      <c r="AM141" s="56">
        <f>INDEX(LINEST(LN(AV141:AX141),LN(AV140:AX140)),1)</f>
        <v>-1.4681956713335026E-2</v>
      </c>
      <c r="AN141" s="56">
        <f>EXP(INDEX(LINEST(LN(AV141:AX141),LN(AV140:AX140)),1,2))</f>
        <v>0.85193821730224895</v>
      </c>
      <c r="AO141" s="82">
        <f>INDEX(LINEST((AV141:AX141),LN(AV140:AX140),TRUE,TRUE),3,1)</f>
        <v>0.96339809934978771</v>
      </c>
      <c r="AP141" s="82">
        <f>INDEX(LINEST((AV141:AX141),LN(AV140:AX140)),1)</f>
        <v>-1.1010955315994624E-2</v>
      </c>
      <c r="AQ141" s="83">
        <f>INDEX(LINEST(LN(AV141:AX141),SQRT(AV140:AX140),TRUE,TRUE),3,1)</f>
        <v>0.9306964496421386</v>
      </c>
      <c r="AR141" s="116">
        <f>INDEX(LINEST(LN(AV141:AX141),SQRT((AV140:AX140))),1)</f>
        <v>-2.0603250557295696E-4</v>
      </c>
      <c r="AS141" s="84">
        <f>INDEX(LINEST(1/(AV141:AX141),1/(SQRT(AV140:AX140)),TRUE,TRUE),3,1)</f>
        <v>0.66891023040870945</v>
      </c>
      <c r="AT141" s="84">
        <f>INDEX(LINEST(1/(AV141:AX141),1/SQRT(AV140:AX140)),1)</f>
        <v>-0.89717145670224652</v>
      </c>
      <c r="AU141" s="3"/>
      <c r="AV141" s="53">
        <v>0.8</v>
      </c>
      <c r="AW141" s="53">
        <v>0.76</v>
      </c>
      <c r="AX141" s="53">
        <v>0.7</v>
      </c>
      <c r="AY141" s="53"/>
      <c r="AZ141" s="53"/>
      <c r="BA141" s="53"/>
      <c r="BB141" s="53"/>
      <c r="BC141" s="53"/>
      <c r="BD141" s="53"/>
      <c r="BE141" s="53"/>
      <c r="BF141" s="53"/>
      <c r="BG141" s="53"/>
      <c r="BH141" s="53"/>
      <c r="BI141" s="53"/>
      <c r="BJ141" s="53"/>
      <c r="BK141" s="53"/>
      <c r="BL141" s="53"/>
      <c r="BM141" s="53"/>
      <c r="BN141" s="53"/>
      <c r="BO141" s="53"/>
      <c r="BP141" s="53"/>
      <c r="BQ141" s="53"/>
      <c r="BR141" s="53"/>
      <c r="BS141" s="53"/>
      <c r="BT141" s="53"/>
      <c r="BU141" s="53"/>
      <c r="BV141" s="53"/>
      <c r="BW141" s="53"/>
      <c r="BX141" s="53"/>
      <c r="BY141" s="53"/>
      <c r="BZ141" s="53"/>
      <c r="CA141" s="53"/>
      <c r="CB141" s="53"/>
      <c r="CC141" s="53"/>
      <c r="CD141" s="53"/>
      <c r="CE141" s="53"/>
      <c r="CF141" s="53"/>
      <c r="CG141" s="53"/>
      <c r="CH141" s="53"/>
      <c r="CI141" s="53"/>
      <c r="CJ141" s="53"/>
      <c r="CK141" s="53"/>
      <c r="CL141" s="53"/>
      <c r="CM141" s="53"/>
      <c r="CN141" s="53"/>
      <c r="CO141" s="53"/>
      <c r="CP141" s="53"/>
      <c r="CQ141" s="53"/>
      <c r="CR141" s="1"/>
      <c r="CS141" s="1"/>
      <c r="CT141" s="1"/>
      <c r="CU141" s="1"/>
    </row>
    <row r="142" spans="1:99" s="13" customFormat="1" ht="12" customHeight="1" x14ac:dyDescent="0.2">
      <c r="A142" s="68">
        <v>43509</v>
      </c>
      <c r="B142" s="70"/>
      <c r="C142" s="70"/>
      <c r="D142" s="69"/>
      <c r="E142" s="87"/>
      <c r="F142" s="69"/>
      <c r="G142" s="69"/>
      <c r="H142" s="69"/>
      <c r="I142" s="69"/>
      <c r="J142" s="69"/>
      <c r="K142" s="107"/>
      <c r="L142" s="107"/>
      <c r="M142" s="69"/>
      <c r="N142" s="69"/>
      <c r="O142" s="69"/>
      <c r="P142" s="69"/>
      <c r="Q142" s="69"/>
      <c r="R142" s="69"/>
      <c r="S142" s="69"/>
      <c r="T142" s="69"/>
      <c r="U142" s="69"/>
      <c r="V142" s="69"/>
      <c r="W142" s="69"/>
      <c r="X142" s="69"/>
      <c r="Y142" s="87"/>
      <c r="Z142" s="69"/>
      <c r="AA142" s="69"/>
      <c r="AB142" s="69"/>
      <c r="AC142" s="69"/>
      <c r="AD142" s="69"/>
      <c r="AE142" s="69"/>
      <c r="AF142" s="88"/>
      <c r="AG142" s="72"/>
      <c r="AH142" s="4"/>
      <c r="AI142" s="89"/>
      <c r="AJ142" s="118"/>
      <c r="AK142" s="89"/>
      <c r="AL142" s="89"/>
      <c r="AM142" s="89"/>
      <c r="AN142" s="89"/>
      <c r="AO142" s="89"/>
      <c r="AP142" s="72"/>
      <c r="AQ142" s="72"/>
      <c r="AR142" s="110"/>
      <c r="AS142" s="72"/>
      <c r="AT142" s="72"/>
      <c r="AU142" s="4"/>
      <c r="AV142" s="193">
        <v>6</v>
      </c>
      <c r="AW142" s="193">
        <f>10*60</f>
        <v>600</v>
      </c>
      <c r="AX142" s="193">
        <f>20*60</f>
        <v>1200</v>
      </c>
      <c r="AY142" s="193">
        <f>40*60</f>
        <v>2400</v>
      </c>
      <c r="AZ142" s="193">
        <f>60*60</f>
        <v>3600</v>
      </c>
      <c r="BA142" s="156">
        <f>120*60</f>
        <v>7200</v>
      </c>
      <c r="BB142" s="70">
        <f>24*3600</f>
        <v>86400</v>
      </c>
      <c r="BC142" s="53"/>
      <c r="BD142" s="53"/>
      <c r="BE142" s="53"/>
      <c r="BF142" s="53"/>
      <c r="BG142" s="53"/>
      <c r="BH142" s="53"/>
      <c r="BI142" s="53"/>
      <c r="BJ142" s="53"/>
      <c r="BK142" s="53"/>
      <c r="BL142" s="53"/>
      <c r="BM142" s="53"/>
      <c r="BN142" s="53"/>
      <c r="BO142" s="53"/>
      <c r="BP142" s="53"/>
      <c r="BQ142" s="53"/>
      <c r="BR142" s="53"/>
      <c r="BS142" s="53"/>
      <c r="BT142" s="53"/>
      <c r="BU142" s="53"/>
      <c r="BV142" s="53"/>
      <c r="BW142" s="53"/>
      <c r="BX142" s="53"/>
      <c r="BY142" s="53"/>
      <c r="BZ142" s="53"/>
      <c r="CA142" s="53"/>
      <c r="CB142" s="53"/>
      <c r="CC142" s="53"/>
      <c r="CD142" s="53"/>
      <c r="CE142" s="53"/>
      <c r="CF142" s="53"/>
      <c r="CG142" s="53"/>
      <c r="CH142" s="53"/>
      <c r="CI142" s="53"/>
      <c r="CJ142" s="53"/>
      <c r="CK142" s="53"/>
      <c r="CL142" s="53"/>
      <c r="CM142" s="53"/>
      <c r="CN142" s="53"/>
      <c r="CO142" s="53"/>
      <c r="CP142" s="53"/>
      <c r="CQ142" s="53"/>
      <c r="CR142" s="1"/>
      <c r="CS142" s="1"/>
      <c r="CT142" s="1"/>
      <c r="CU142" s="1"/>
    </row>
    <row r="143" spans="1:99" s="13" customFormat="1" ht="12" customHeight="1" x14ac:dyDescent="0.2">
      <c r="A143" s="68">
        <v>43509</v>
      </c>
      <c r="B143" s="70" t="s">
        <v>296</v>
      </c>
      <c r="C143" s="70" t="s">
        <v>288</v>
      </c>
      <c r="D143" s="69">
        <v>1941</v>
      </c>
      <c r="E143" s="87">
        <v>1</v>
      </c>
      <c r="F143" s="69">
        <v>15</v>
      </c>
      <c r="G143" s="69">
        <v>15</v>
      </c>
      <c r="H143" s="69" t="s">
        <v>22</v>
      </c>
      <c r="I143" s="69" t="s">
        <v>861</v>
      </c>
      <c r="J143" s="69" t="s">
        <v>281</v>
      </c>
      <c r="K143" s="69">
        <f>IF(J143="syllables",1,IF(J143="trigrams",2,IF(J143="strings",3,IF(J143="visual array",4,IF(J143="characters",5,IF(J143="letters",6,IF(J143="free forms",7,IF(J143="odors",8,IF(J143="words",9,IF(J143="pictures",10,IF(J143="object pictures",11,IF(J143="faces",12,IF(J143="names",13,IF(J143="idioms",14,IF(J143="grades",15,IF(J143="syllable-digit pairs",16,IF(J143="trigram-word pairs",17,IF(J143="word-digit pairs",18,IF(J143="English-Swahili pairs",19,IF(J143="spatial position",20,IF(J143="word pairs",21,IF(J143="word triads",22,IF(J143="generated words",23,IF(J143="word definition pairs",24,IF(J143="math problems",25,IF(J143="famous faces",26,IF(J143="famous names",27,IF(J143="famous voices",28,IF(J143="television programs",29,IF(J143="race horses",30,IF(J143="new vocabulary",31,IF(J143="sentences",32,IF(J143="concepts",33,IF(J143="ad slides",34,IF(J143="scenes",35,IF(J143="famous scenes",36,IF(J143="poems",37,IF(J143="walk",38,IF(J143="faces and events",39,IF(J143="events and names",40,IF(J143="flashbulb",41,IF(J143="stories",42,IF(J143="course material",43,IF(J143="autobiographical",44,IF(J143="novels",45,IF(J143="public events",46,"99"))))))))))))))))))))))))))))))))))))))))))))))</f>
        <v>1</v>
      </c>
      <c r="L143" s="69">
        <f>IF(J143="syllables",1,IF(J143="trigrams",1,IF(J143="strings",1,IF(J143="visual array",1,IF(J143="characters",1,IF(J143="letters",1,IF(J143="free forms",1,IF(J143="odors",2,IF(J143="words",2,IF(J143="pictures",2,IF(J143="object pictures",2,IF(J143="faces",2,IF(J143="names",2,IF(J143="idioms","2",IF(J143="grades",2,IF(J143="syllable-digit pairs",3,IF(J143="trigram-word pairs",3,IF(J143="word-digit pairs",3,IF(J143="English-Swahili pairs",3,IF(J143="spatial position",3,IF(J143="word pairs",4,IF(J143="word triads",4,IF(J143="generated words",4,IF(J143="word definition pairs",4,IF(J143="math problems",4,IF(J143="famous faces",4,IF(J143="famous names",4,IF(J143="famous voices",4,IF(J143="television programs",4,IF(J143="race horses",4,IF(J143="new vocabulary",4,IF(J143="sentences",5,IF(J143="concepts",5,IF(J143="ad slides",5,IF(J143="scenes",5,IF(J143="famous scenes",5,IF(J143="poems",6,IF(J143="walk",6,IF(J143="faces and events",6,IF(J143="events and names",6,IF(J143="flashbulb",7,IF(J143="stories",7,IF(J143="course material",7,IF(J143="autobiographical",7,IF(J143="novels",7,IF(J143="public events",7,"99"))))))))))))))))))))))))))))))))))))))))))))))</f>
        <v>1</v>
      </c>
      <c r="M143" s="69">
        <v>1</v>
      </c>
      <c r="N143" s="69">
        <v>2</v>
      </c>
      <c r="O143" s="69">
        <v>1</v>
      </c>
      <c r="P143" s="69" t="s">
        <v>293</v>
      </c>
      <c r="Q143" s="69" t="s">
        <v>174</v>
      </c>
      <c r="R143" s="69">
        <f>IF(Q143="Free Recall",1,IF(Q143="Cued Recall",2,IF(Q143="Recognition",3,IF(Q143="Multiple Choice",4,IF(Q143="Savings",5,IF(Q143="Stem Completion",6,IF(Q143="Fragment Completion",7,IF(Q143="anagram solution",8,IF(Q143="Matching",9,IF(Q143="Problem Solving",10,"99"))))))))))</f>
        <v>1</v>
      </c>
      <c r="S143" s="69" t="s">
        <v>295</v>
      </c>
      <c r="T143" s="92" t="s">
        <v>581</v>
      </c>
      <c r="U143" s="69">
        <f>IF(T143="within",1,0)</f>
        <v>1</v>
      </c>
      <c r="V143" s="92">
        <v>12</v>
      </c>
      <c r="W143" s="69">
        <f>F143*V143</f>
        <v>180</v>
      </c>
      <c r="X143" s="69">
        <v>7</v>
      </c>
      <c r="Y143" s="87">
        <f>AV142</f>
        <v>6</v>
      </c>
      <c r="Z143" s="69" t="s">
        <v>79</v>
      </c>
      <c r="AA143" s="69">
        <f>24*3600</f>
        <v>86400</v>
      </c>
      <c r="AB143" s="69" t="str">
        <f>IF(AA143&lt;60,"1",IF(AA143&lt;=43200,"2",IF(AA143&lt;=777600,"3","4")))</f>
        <v>3</v>
      </c>
      <c r="AC143" s="72">
        <f t="shared" ref="AC143" si="0">AVERAGE(AV142:DA142)</f>
        <v>14486.571428571429</v>
      </c>
      <c r="AD143" s="69" t="str">
        <f>IF(AC143&lt;60,"1",IF(AC143&lt;=43200,"2",IF(AC143&lt;=777600,"3","4")))</f>
        <v>2</v>
      </c>
      <c r="AE143" s="87">
        <f>AA143-Y143</f>
        <v>86394</v>
      </c>
      <c r="AF143" s="88">
        <f>AV143</f>
        <v>0.81666666666666676</v>
      </c>
      <c r="AG143" s="72">
        <f>((AW143-AV143)+(AX143-AW143)+(AY143-AX143)+(AZ143-AY143)+(BA143-AZ143)+(BB143-BA143))/6</f>
        <v>-0.1166666666666667</v>
      </c>
      <c r="AH143" s="4"/>
      <c r="AI143" s="72">
        <f>RSQ(AV143:AZ143,AV142:AZ142)</f>
        <v>0.98750576380228927</v>
      </c>
      <c r="AJ143" s="110">
        <f>SLOPE(AV143:AZ143,AV142:AZ142)</f>
        <v>-8.7826698561800577E-5</v>
      </c>
      <c r="AK143" s="72">
        <f>INTERCEPT(AV143:AZ143,AV142:AZ142)</f>
        <v>0.83494837512801634</v>
      </c>
      <c r="AL143" s="72">
        <f>INDEX(LINEST(LN(AV143:AZ143),LN(AV142:AZ142),TRUE,TRUE),3,1)</f>
        <v>0.47319990651657701</v>
      </c>
      <c r="AM143" s="72">
        <f>INDEX(LINEST(LN(AV143:AZ143),LN(AV142:AZ142)),1)</f>
        <v>-5.234539928858041E-2</v>
      </c>
      <c r="AN143" s="72">
        <f>EXP(INDEX(LINEST(LN(AV143:AZ143),LN(AV142:AZ142)),1,2))</f>
        <v>0.9537640256719232</v>
      </c>
      <c r="AO143" s="89">
        <f>INDEX(LINEST((AV143:AZ143),LN(AV142:AZ142),TRUE,TRUE),3,1)</f>
        <v>0.51558569212492056</v>
      </c>
      <c r="AP143" s="89">
        <f>INDEX(LINEST((AV143:AZ143),LN(AV142:AZ142)),1)</f>
        <v>-3.5445286873496233E-2</v>
      </c>
      <c r="AQ143" s="90">
        <f>INDEX(LINEST(LN(AV143:AZ143),SQRT(AV142:AZ142),TRUE,TRUE),3,1)</f>
        <v>0.81682468471778502</v>
      </c>
      <c r="AR143" s="117">
        <f>INDEX(LINEST(LN(AV143:AZ143),SQRT((AV142:AZ142))),1)</f>
        <v>-7.9744130545607236E-3</v>
      </c>
      <c r="AS143" s="91">
        <f>INDEX(LINEST(1/(AV143:AZ143),1/(SQRT(AV142:AZ142)),TRUE,TRUE),3,1)</f>
        <v>0.2487697791833742</v>
      </c>
      <c r="AT143" s="91">
        <f>INDEX(LINEST(1/(AV143:AZ143),1/SQRT(AV142:AZ142)),1)</f>
        <v>-0.90367110523016081</v>
      </c>
      <c r="AU143" s="4"/>
      <c r="AV143" s="73">
        <f>9.8/12</f>
        <v>0.81666666666666676</v>
      </c>
      <c r="AW143" s="102">
        <f>9.47/12</f>
        <v>0.78916666666666668</v>
      </c>
      <c r="AX143" s="102">
        <f>8.9/12</f>
        <v>0.7416666666666667</v>
      </c>
      <c r="AY143" s="102">
        <f>7.63/12</f>
        <v>0.63583333333333336</v>
      </c>
      <c r="AZ143" s="102">
        <f>6.07/12</f>
        <v>0.50583333333333336</v>
      </c>
      <c r="BA143" s="73">
        <f>3.87/12</f>
        <v>0.32250000000000001</v>
      </c>
      <c r="BB143" s="73">
        <f>1.4/12</f>
        <v>0.11666666666666665</v>
      </c>
      <c r="BC143" s="53"/>
      <c r="BD143" s="53"/>
      <c r="BE143" s="53"/>
      <c r="BF143" s="53"/>
      <c r="BG143" s="53"/>
      <c r="BH143" s="53"/>
      <c r="BI143" s="53"/>
      <c r="BJ143" s="53"/>
      <c r="BK143" s="53"/>
      <c r="BL143" s="53"/>
      <c r="BM143" s="53"/>
      <c r="BN143" s="53"/>
      <c r="BO143" s="53"/>
      <c r="BP143" s="53"/>
      <c r="BQ143" s="53"/>
      <c r="BR143" s="53"/>
      <c r="BS143" s="53"/>
      <c r="BT143" s="53"/>
      <c r="BU143" s="53"/>
      <c r="BV143" s="53"/>
      <c r="BW143" s="53"/>
      <c r="BX143" s="53"/>
      <c r="BY143" s="53"/>
      <c r="BZ143" s="53"/>
      <c r="CA143" s="53"/>
      <c r="CB143" s="53"/>
      <c r="CC143" s="53"/>
      <c r="CD143" s="53"/>
      <c r="CE143" s="53"/>
      <c r="CF143" s="53"/>
      <c r="CG143" s="53"/>
      <c r="CH143" s="53"/>
      <c r="CI143" s="53"/>
      <c r="CJ143" s="53"/>
      <c r="CK143" s="53"/>
      <c r="CL143" s="53"/>
      <c r="CM143" s="53"/>
      <c r="CN143" s="53"/>
      <c r="CO143" s="53"/>
      <c r="CP143" s="53"/>
      <c r="CQ143" s="53"/>
      <c r="CR143" s="1"/>
      <c r="CS143" s="1"/>
      <c r="CT143" s="1"/>
      <c r="CU143" s="1"/>
    </row>
    <row r="144" spans="1:99" ht="12" customHeight="1" x14ac:dyDescent="0.2">
      <c r="R144" s="60"/>
      <c r="U144" s="60"/>
      <c r="W144" s="60"/>
      <c r="Y144" s="76"/>
      <c r="AB144" s="60"/>
      <c r="AD144" s="60"/>
      <c r="AE144" s="60"/>
      <c r="AF144" s="80"/>
    </row>
    <row r="145" spans="11:39" ht="12" customHeight="1" x14ac:dyDescent="0.2">
      <c r="K145" s="60"/>
      <c r="R145" s="60"/>
      <c r="U145" s="60"/>
      <c r="Y145" s="64"/>
      <c r="AB145" s="60"/>
      <c r="AD145" s="60"/>
      <c r="AE145" s="77"/>
      <c r="AF145" s="57"/>
      <c r="AL145" s="167" t="s">
        <v>695</v>
      </c>
      <c r="AM145" s="57">
        <f>AVERAGE(AM3:AM143)</f>
        <v>-6.3616545780930359E-2</v>
      </c>
    </row>
    <row r="146" spans="11:39" ht="12" customHeight="1" x14ac:dyDescent="0.2">
      <c r="R146" s="60"/>
      <c r="Y146" s="64"/>
      <c r="AB146" s="60"/>
      <c r="AD146" s="60"/>
      <c r="AF146" s="64"/>
      <c r="AG146" s="64"/>
      <c r="AL146" s="45" t="s">
        <v>1026</v>
      </c>
      <c r="AM146" s="57">
        <f>MEDIAN(AM3:AM143)</f>
        <v>-4.4339117039679361E-2</v>
      </c>
    </row>
    <row r="147" spans="11:39" ht="12" customHeight="1" x14ac:dyDescent="0.2">
      <c r="K147" s="60"/>
      <c r="R147" s="60"/>
      <c r="Y147" s="64"/>
      <c r="AB147" s="60"/>
      <c r="AD147" s="60"/>
      <c r="AF147" s="64"/>
      <c r="AG147" s="64"/>
      <c r="AL147" s="167" t="s">
        <v>918</v>
      </c>
      <c r="AM147" s="57">
        <f>MIN(AM3:AM143)</f>
        <v>-0.24697512855560716</v>
      </c>
    </row>
    <row r="148" spans="11:39" ht="12" customHeight="1" x14ac:dyDescent="0.2">
      <c r="R148" s="60"/>
      <c r="Y148" s="64"/>
      <c r="AB148" s="60"/>
      <c r="AD148" s="60"/>
      <c r="AF148" s="57"/>
      <c r="AL148" s="167" t="s">
        <v>917</v>
      </c>
      <c r="AM148" s="57">
        <f>MAX(AM3:AM143)</f>
        <v>-1.3158155476526311E-3</v>
      </c>
    </row>
    <row r="149" spans="11:39" ht="12" customHeight="1" x14ac:dyDescent="0.2">
      <c r="K149" s="60"/>
      <c r="R149" s="60"/>
      <c r="Y149" s="64"/>
      <c r="AB149" s="60"/>
      <c r="AD149" s="60"/>
      <c r="AF149" s="64"/>
      <c r="AG149" s="64"/>
      <c r="AL149" s="167" t="s">
        <v>919</v>
      </c>
      <c r="AM149" s="64">
        <f xml:space="preserve"> STDEV(AM3:AM143)</f>
        <v>5.7618570515978851E-2</v>
      </c>
    </row>
    <row r="150" spans="11:39" ht="12" customHeight="1" x14ac:dyDescent="0.2">
      <c r="R150" s="60"/>
      <c r="W150" s="60"/>
      <c r="Y150" s="76"/>
      <c r="AB150" s="60"/>
      <c r="AD150" s="60"/>
      <c r="AE150" s="60"/>
      <c r="AF150" s="80"/>
      <c r="AL150" s="45" t="s">
        <v>1025</v>
      </c>
      <c r="AM150" s="64">
        <f xml:space="preserve"> STDEV(AM3:AM143)/SQRT(COUNT(AM3:AM143))</f>
        <v>6.9364607651486625E-3</v>
      </c>
    </row>
    <row r="151" spans="11:39" ht="12" customHeight="1" x14ac:dyDescent="0.2">
      <c r="K151" s="60"/>
      <c r="R151" s="60"/>
      <c r="W151" s="60"/>
      <c r="Y151" s="76"/>
      <c r="AB151" s="60"/>
      <c r="AD151" s="60"/>
      <c r="AE151" s="76"/>
      <c r="AF151" s="80"/>
      <c r="AL151" s="168"/>
      <c r="AM151" s="169"/>
    </row>
    <row r="152" spans="11:39" ht="12" customHeight="1" x14ac:dyDescent="0.2">
      <c r="R152" s="60"/>
      <c r="W152" s="60"/>
      <c r="Y152" s="76"/>
      <c r="AB152" s="60"/>
      <c r="AD152" s="60"/>
      <c r="AE152" s="60"/>
      <c r="AF152" s="80"/>
      <c r="AL152" s="168" t="s">
        <v>132</v>
      </c>
      <c r="AM152" s="169">
        <f>AM145-(3*AM149)</f>
        <v>-0.2364722573288669</v>
      </c>
    </row>
    <row r="153" spans="11:39" ht="12" customHeight="1" x14ac:dyDescent="0.2">
      <c r="K153" s="60"/>
      <c r="L153" s="60"/>
      <c r="R153" s="60"/>
      <c r="W153" s="60"/>
      <c r="Y153" s="76"/>
      <c r="AB153" s="60"/>
      <c r="AE153" s="76"/>
      <c r="AF153" s="80"/>
      <c r="AL153" s="168" t="s">
        <v>130</v>
      </c>
      <c r="AM153" s="169">
        <f>AM145+(3*AM149)</f>
        <v>0.10923916576700619</v>
      </c>
    </row>
    <row r="154" spans="11:39" ht="12" customHeight="1" x14ac:dyDescent="0.2">
      <c r="R154" s="60"/>
      <c r="W154" s="60"/>
      <c r="Y154" s="76"/>
      <c r="AB154" s="60"/>
      <c r="AE154" s="60"/>
      <c r="AF154" s="80"/>
    </row>
    <row r="155" spans="11:39" ht="12" customHeight="1" x14ac:dyDescent="0.2">
      <c r="K155" s="60"/>
      <c r="L155" s="60"/>
      <c r="R155" s="60"/>
      <c r="W155" s="60"/>
      <c r="Y155" s="76"/>
      <c r="AB155" s="60"/>
      <c r="AE155" s="76"/>
      <c r="AF155" s="80"/>
    </row>
    <row r="156" spans="11:39" ht="12" customHeight="1" x14ac:dyDescent="0.2">
      <c r="R156" s="60"/>
      <c r="W156" s="60"/>
      <c r="Y156" s="76"/>
      <c r="AB156" s="60"/>
      <c r="AE156" s="60"/>
      <c r="AF156" s="80"/>
      <c r="AM156" s="56">
        <f>INDEX(LINEST(LN(AV69:BB69),LN(AV68:BB68)),1)</f>
        <v>-0.34933459289627244</v>
      </c>
    </row>
    <row r="157" spans="11:39" ht="12" customHeight="1" x14ac:dyDescent="0.2">
      <c r="K157" s="60"/>
      <c r="L157" s="60"/>
      <c r="R157" s="60"/>
      <c r="W157" s="60"/>
      <c r="Y157" s="76"/>
      <c r="AB157" s="60"/>
      <c r="AE157" s="76"/>
      <c r="AF157" s="80"/>
      <c r="AM157" s="56">
        <f>INDEX(LINEST(LN(AV75:AZ75),LN(AV74:AZ74)),1)</f>
        <v>-0.29046769524161198</v>
      </c>
    </row>
    <row r="158" spans="11:39" ht="12" customHeight="1" x14ac:dyDescent="0.2">
      <c r="R158" s="60"/>
      <c r="W158" s="60"/>
      <c r="Y158" s="76"/>
      <c r="AB158" s="60"/>
      <c r="AE158" s="60"/>
      <c r="AF158" s="80"/>
    </row>
    <row r="159" spans="11:39" ht="12" customHeight="1" x14ac:dyDescent="0.2">
      <c r="K159" s="60"/>
      <c r="L159" s="60"/>
      <c r="R159" s="60"/>
      <c r="W159" s="60"/>
      <c r="Y159" s="76"/>
      <c r="AB159" s="60"/>
      <c r="AE159" s="76"/>
      <c r="AF159" s="80"/>
    </row>
    <row r="160" spans="11:39" ht="12" customHeight="1" x14ac:dyDescent="0.2">
      <c r="R160" s="60"/>
      <c r="W160" s="60"/>
      <c r="Y160" s="76"/>
      <c r="AB160" s="60"/>
      <c r="AE160" s="60"/>
      <c r="AF160" s="80"/>
    </row>
    <row r="161" spans="11:32" ht="12" customHeight="1" x14ac:dyDescent="0.2">
      <c r="K161" s="60"/>
      <c r="L161" s="60"/>
      <c r="R161" s="60"/>
      <c r="W161" s="60"/>
      <c r="Y161" s="76"/>
      <c r="AB161" s="60"/>
      <c r="AE161" s="76"/>
      <c r="AF161" s="80"/>
    </row>
    <row r="162" spans="11:32" ht="12" customHeight="1" x14ac:dyDescent="0.2">
      <c r="R162" s="60"/>
      <c r="W162" s="60"/>
      <c r="Y162" s="76"/>
      <c r="AB162" s="60"/>
      <c r="AE162" s="60"/>
      <c r="AF162" s="80"/>
    </row>
    <row r="163" spans="11:32" ht="12" customHeight="1" x14ac:dyDescent="0.2">
      <c r="K163" s="60"/>
      <c r="L163" s="60"/>
      <c r="R163" s="60"/>
      <c r="W163" s="60"/>
      <c r="Y163" s="76"/>
      <c r="AB163" s="60"/>
      <c r="AE163" s="76"/>
      <c r="AF163" s="80"/>
    </row>
    <row r="164" spans="11:32" ht="12" customHeight="1" x14ac:dyDescent="0.2">
      <c r="R164" s="60"/>
      <c r="W164" s="60"/>
      <c r="Y164" s="76"/>
      <c r="AB164" s="60"/>
      <c r="AE164" s="60"/>
      <c r="AF164" s="80"/>
    </row>
    <row r="165" spans="11:32" ht="12" customHeight="1" x14ac:dyDescent="0.2">
      <c r="K165" s="60"/>
      <c r="L165" s="60"/>
      <c r="R165" s="60"/>
      <c r="W165" s="60"/>
      <c r="Y165" s="76"/>
      <c r="AB165" s="60"/>
      <c r="AE165" s="76"/>
      <c r="AF165" s="80"/>
    </row>
    <row r="166" spans="11:32" ht="12" customHeight="1" x14ac:dyDescent="0.2">
      <c r="R166" s="60"/>
      <c r="W166" s="60"/>
      <c r="Y166" s="76"/>
      <c r="AB166" s="60"/>
      <c r="AE166" s="60"/>
      <c r="AF166" s="80"/>
    </row>
    <row r="167" spans="11:32" ht="12" customHeight="1" x14ac:dyDescent="0.2">
      <c r="K167" s="60"/>
      <c r="L167" s="60"/>
      <c r="R167" s="60"/>
      <c r="W167" s="60"/>
      <c r="Y167" s="76"/>
      <c r="AB167" s="60"/>
      <c r="AE167" s="76"/>
      <c r="AF167" s="80"/>
    </row>
    <row r="168" spans="11:32" ht="12" customHeight="1" x14ac:dyDescent="0.2">
      <c r="R168" s="60"/>
      <c r="W168" s="60"/>
      <c r="Y168" s="76"/>
      <c r="AB168" s="60"/>
      <c r="AE168" s="60"/>
      <c r="AF168" s="80"/>
    </row>
    <row r="169" spans="11:32" ht="12" customHeight="1" x14ac:dyDescent="0.2">
      <c r="K169" s="60"/>
      <c r="L169" s="60"/>
      <c r="R169" s="60"/>
      <c r="W169" s="60"/>
      <c r="Y169" s="76"/>
      <c r="AB169" s="60"/>
      <c r="AE169" s="76"/>
      <c r="AF169" s="80"/>
    </row>
    <row r="170" spans="11:32" ht="12" customHeight="1" x14ac:dyDescent="0.2">
      <c r="R170" s="60"/>
      <c r="W170" s="60"/>
      <c r="Y170" s="76"/>
      <c r="AB170" s="60"/>
      <c r="AE170" s="60"/>
      <c r="AF170" s="80"/>
    </row>
    <row r="171" spans="11:32" ht="12" customHeight="1" x14ac:dyDescent="0.2">
      <c r="K171" s="60"/>
      <c r="L171" s="60"/>
      <c r="R171" s="60"/>
      <c r="W171" s="60"/>
      <c r="Y171" s="76"/>
      <c r="AB171" s="60"/>
      <c r="AE171" s="76"/>
      <c r="AF171" s="80"/>
    </row>
    <row r="172" spans="11:32" ht="12" customHeight="1" x14ac:dyDescent="0.2">
      <c r="R172" s="60"/>
      <c r="W172" s="60"/>
      <c r="Y172" s="76"/>
      <c r="AB172" s="60"/>
      <c r="AE172" s="60"/>
      <c r="AF172" s="80"/>
    </row>
    <row r="173" spans="11:32" ht="12" customHeight="1" x14ac:dyDescent="0.2">
      <c r="K173" s="60"/>
      <c r="L173" s="60"/>
      <c r="R173" s="60"/>
      <c r="W173" s="60"/>
      <c r="Y173" s="76"/>
      <c r="AB173" s="60"/>
      <c r="AE173" s="76"/>
      <c r="AF173" s="80"/>
    </row>
    <row r="174" spans="11:32" ht="12" customHeight="1" x14ac:dyDescent="0.2">
      <c r="R174" s="60"/>
      <c r="W174" s="60"/>
      <c r="Y174" s="76"/>
      <c r="AB174" s="60"/>
      <c r="AE174" s="60"/>
      <c r="AF174" s="80"/>
    </row>
    <row r="175" spans="11:32" ht="12" customHeight="1" x14ac:dyDescent="0.2">
      <c r="K175" s="60"/>
      <c r="L175" s="60"/>
      <c r="R175" s="60"/>
      <c r="W175" s="60"/>
      <c r="Y175" s="76"/>
      <c r="AB175" s="60"/>
      <c r="AE175" s="76"/>
      <c r="AF175" s="80"/>
    </row>
    <row r="176" spans="11:32" ht="12" customHeight="1" x14ac:dyDescent="0.2">
      <c r="W176" s="60"/>
      <c r="Y176" s="76"/>
      <c r="AB176" s="60"/>
      <c r="AE176" s="60"/>
      <c r="AF176" s="80"/>
    </row>
    <row r="177" spans="11:32" ht="12" customHeight="1" x14ac:dyDescent="0.2">
      <c r="K177" s="60"/>
      <c r="L177" s="60"/>
      <c r="W177" s="60"/>
      <c r="Y177" s="76"/>
      <c r="AE177" s="76"/>
      <c r="AF177" s="80"/>
    </row>
    <row r="178" spans="11:32" ht="12" customHeight="1" x14ac:dyDescent="0.2">
      <c r="W178" s="60"/>
      <c r="Y178" s="76"/>
      <c r="AE178" s="60"/>
      <c r="AF178" s="80"/>
    </row>
    <row r="179" spans="11:32" ht="12" customHeight="1" x14ac:dyDescent="0.2">
      <c r="K179" s="60"/>
      <c r="L179" s="60"/>
      <c r="W179" s="60"/>
      <c r="Y179" s="76"/>
      <c r="AE179" s="76"/>
      <c r="AF179" s="80"/>
    </row>
    <row r="180" spans="11:32" ht="12" customHeight="1" x14ac:dyDescent="0.2">
      <c r="W180" s="60"/>
      <c r="Y180" s="76"/>
      <c r="AE180" s="60"/>
      <c r="AF180" s="80"/>
    </row>
    <row r="181" spans="11:32" ht="12" customHeight="1" x14ac:dyDescent="0.2">
      <c r="K181" s="60"/>
      <c r="L181" s="60"/>
      <c r="W181" s="60"/>
      <c r="Y181" s="76"/>
      <c r="AE181" s="76"/>
      <c r="AF181" s="80"/>
    </row>
    <row r="182" spans="11:32" ht="12" customHeight="1" x14ac:dyDescent="0.2">
      <c r="W182" s="60"/>
      <c r="Y182" s="76"/>
      <c r="AE182" s="60"/>
      <c r="AF182" s="80"/>
    </row>
    <row r="183" spans="11:32" ht="12" customHeight="1" x14ac:dyDescent="0.2">
      <c r="K183" s="60"/>
      <c r="L183" s="60"/>
      <c r="W183" s="60"/>
      <c r="Y183" s="76"/>
      <c r="AE183" s="76"/>
      <c r="AF183" s="80"/>
    </row>
    <row r="185" spans="11:32" ht="12" customHeight="1" x14ac:dyDescent="0.2">
      <c r="K185" s="60"/>
      <c r="L185" s="60"/>
    </row>
  </sheetData>
  <conditionalFormatting sqref="AC18 AC20 AC22 AC24 AC26 AC28 AC38 AC40 AC42 AC48 AC50 AC52 AC54 AC56 AC64 AC66 AC88 AC90 AC92 AC94 AC96 AC98 AC100 AC106 AC108 AC110 AC112 AC114 AC116 AC118 AC120 AC122 AC126 AC134 AC128 AC136 AC124 AC130 AC138 AC132 AC140 AG20 AG18 AG28 AG26 AG24 AG22 AG42 AG40 AG38 AG52 AG50 AG48 AG56 AG54 AG66 AG64 AG88 AG100 AG98 AG96 AG94 AG92 AG90 AG106 AG120 AG118 AG116 AG114 AG112 AG110 AG108 AG140 AG132 AG138 AG130 AG124 AG136 AG128 AG134 AG126 AG122 Z8:AD8 Z6:AD6 AG4 AG6 AG8 O5:P5 O9:P9 O7:P7 E132:I132 E134:I134 E130:I130 S6:V6 S8:V8 X6 X8 S4:AD4 B4:Q4 B6:Q6 B8:Q8">
    <cfRule type="expression" dxfId="1250" priority="254">
      <formula>MOD(ROW(),2)=1</formula>
    </cfRule>
  </conditionalFormatting>
  <conditionalFormatting sqref="E126:I126">
    <cfRule type="expression" dxfId="1249" priority="242">
      <formula>MOD(ROW(),2)=1</formula>
    </cfRule>
  </conditionalFormatting>
  <conditionalFormatting sqref="E140:I140">
    <cfRule type="expression" dxfId="1248" priority="238">
      <formula>MOD(ROW(),2)=1</formula>
    </cfRule>
  </conditionalFormatting>
  <conditionalFormatting sqref="E128:I128">
    <cfRule type="expression" dxfId="1247" priority="241">
      <formula>MOD(ROW(),2)=1</formula>
    </cfRule>
  </conditionalFormatting>
  <conditionalFormatting sqref="E124:I124">
    <cfRule type="expression" dxfId="1246" priority="240">
      <formula>MOD(ROW(),2)=1</formula>
    </cfRule>
  </conditionalFormatting>
  <conditionalFormatting sqref="E138:I138">
    <cfRule type="expression" dxfId="1245" priority="239">
      <formula>MOD(ROW(),2)=1</formula>
    </cfRule>
  </conditionalFormatting>
  <conditionalFormatting sqref="AC102 AC104 AG104 AG102">
    <cfRule type="expression" dxfId="1244" priority="231">
      <formula>MOD(ROW(),2)=1</formula>
    </cfRule>
  </conditionalFormatting>
  <conditionalFormatting sqref="AB74">
    <cfRule type="expression" dxfId="1243" priority="229">
      <formula>MOD(ROW(),2)=1</formula>
    </cfRule>
  </conditionalFormatting>
  <conditionalFormatting sqref="AB94">
    <cfRule type="expression" dxfId="1242" priority="228">
      <formula>MOD(ROW(),2)=1</formula>
    </cfRule>
  </conditionalFormatting>
  <conditionalFormatting sqref="AB112">
    <cfRule type="expression" dxfId="1241" priority="227">
      <formula>MOD(ROW(),2)=1</formula>
    </cfRule>
  </conditionalFormatting>
  <conditionalFormatting sqref="AB128">
    <cfRule type="expression" dxfId="1240" priority="226">
      <formula>MOD(ROW(),2)=1</formula>
    </cfRule>
  </conditionalFormatting>
  <conditionalFormatting sqref="AD18">
    <cfRule type="expression" dxfId="1239" priority="221">
      <formula>MOD(ROW(),2)=1</formula>
    </cfRule>
  </conditionalFormatting>
  <conditionalFormatting sqref="AD22 AD24 AD26">
    <cfRule type="expression" dxfId="1238" priority="220">
      <formula>MOD(ROW(),2)=1</formula>
    </cfRule>
  </conditionalFormatting>
  <conditionalFormatting sqref="AD38 AD40 AD42">
    <cfRule type="expression" dxfId="1237" priority="218">
      <formula>MOD(ROW(),2)=1</formula>
    </cfRule>
  </conditionalFormatting>
  <conditionalFormatting sqref="AD54 AD56">
    <cfRule type="expression" dxfId="1236" priority="215">
      <formula>MOD(ROW(),2)=1</formula>
    </cfRule>
  </conditionalFormatting>
  <conditionalFormatting sqref="AD66 AD68 AD70 AD72 AD74 AD76 AD78">
    <cfRule type="expression" dxfId="1235" priority="212">
      <formula>MOD(ROW(),2)=1</formula>
    </cfRule>
  </conditionalFormatting>
  <conditionalFormatting sqref="AD82">
    <cfRule type="expression" dxfId="1234" priority="211">
      <formula>MOD(ROW(),2)=1</formula>
    </cfRule>
  </conditionalFormatting>
  <conditionalFormatting sqref="AD90 AD92 AD94">
    <cfRule type="expression" dxfId="1233" priority="209">
      <formula>MOD(ROW(),2)=1</formula>
    </cfRule>
  </conditionalFormatting>
  <conditionalFormatting sqref="AD106">
    <cfRule type="expression" dxfId="1232" priority="208">
      <formula>MOD(ROW(),2)=1</formula>
    </cfRule>
  </conditionalFormatting>
  <conditionalFormatting sqref="AD108">
    <cfRule type="expression" dxfId="1231" priority="207">
      <formula>MOD(ROW(),2)=1</formula>
    </cfRule>
  </conditionalFormatting>
  <conditionalFormatting sqref="AD140">
    <cfRule type="expression" dxfId="1230" priority="206">
      <formula>MOD(ROW(),2)=1</formula>
    </cfRule>
  </conditionalFormatting>
  <conditionalFormatting sqref="AD144 AD146 AD148 AD150">
    <cfRule type="expression" dxfId="1229" priority="204">
      <formula>MOD(ROW(),2)=1</formula>
    </cfRule>
  </conditionalFormatting>
  <conditionalFormatting sqref="Y8">
    <cfRule type="expression" dxfId="1228" priority="203">
      <formula>MOD(ROW(),2)=1</formula>
    </cfRule>
  </conditionalFormatting>
  <conditionalFormatting sqref="Y18">
    <cfRule type="expression" dxfId="1227" priority="200">
      <formula>MOD(ROW(),2)=1</formula>
    </cfRule>
  </conditionalFormatting>
  <conditionalFormatting sqref="Y22">
    <cfRule type="expression" dxfId="1226" priority="199">
      <formula>MOD(ROW(),2)=1</formula>
    </cfRule>
  </conditionalFormatting>
  <conditionalFormatting sqref="Y26">
    <cfRule type="expression" dxfId="1225" priority="198">
      <formula>MOD(ROW(),2)=1</formula>
    </cfRule>
  </conditionalFormatting>
  <conditionalFormatting sqref="Y40">
    <cfRule type="expression" dxfId="1224" priority="191">
      <formula>MOD(ROW(),2)=1</formula>
    </cfRule>
  </conditionalFormatting>
  <conditionalFormatting sqref="Y50">
    <cfRule type="expression" dxfId="1223" priority="186">
      <formula>MOD(ROW(),2)=1</formula>
    </cfRule>
  </conditionalFormatting>
  <conditionalFormatting sqref="Y56">
    <cfRule type="expression" dxfId="1222" priority="183">
      <formula>MOD(ROW(),2)=1</formula>
    </cfRule>
  </conditionalFormatting>
  <conditionalFormatting sqref="Y70">
    <cfRule type="expression" dxfId="1221" priority="176">
      <formula>MOD(ROW(),2)=1</formula>
    </cfRule>
  </conditionalFormatting>
  <conditionalFormatting sqref="Y74">
    <cfRule type="expression" dxfId="1220" priority="175">
      <formula>MOD(ROW(),2)=1</formula>
    </cfRule>
  </conditionalFormatting>
  <conditionalFormatting sqref="Y78">
    <cfRule type="expression" dxfId="1219" priority="174">
      <formula>MOD(ROW(),2)=1</formula>
    </cfRule>
  </conditionalFormatting>
  <conditionalFormatting sqref="Y82">
    <cfRule type="expression" dxfId="1218" priority="173">
      <formula>MOD(ROW(),2)=1</formula>
    </cfRule>
  </conditionalFormatting>
  <conditionalFormatting sqref="Y90">
    <cfRule type="expression" dxfId="1217" priority="166">
      <formula>MOD(ROW(),2)=1</formula>
    </cfRule>
  </conditionalFormatting>
  <conditionalFormatting sqref="Y94">
    <cfRule type="expression" dxfId="1216" priority="165">
      <formula>MOD(ROW(),2)=1</formula>
    </cfRule>
  </conditionalFormatting>
  <conditionalFormatting sqref="Y98">
    <cfRule type="expression" dxfId="1215" priority="164">
      <formula>MOD(ROW(),2)=1</formula>
    </cfRule>
  </conditionalFormatting>
  <conditionalFormatting sqref="Y102">
    <cfRule type="expression" dxfId="1214" priority="163">
      <formula>MOD(ROW(),2)=1</formula>
    </cfRule>
  </conditionalFormatting>
  <conditionalFormatting sqref="Y106">
    <cfRule type="expression" dxfId="1213" priority="162">
      <formula>MOD(ROW(),2)=1</formula>
    </cfRule>
  </conditionalFormatting>
  <conditionalFormatting sqref="Y108">
    <cfRule type="expression" dxfId="1212" priority="161">
      <formula>MOD(ROW(),2)=1</formula>
    </cfRule>
  </conditionalFormatting>
  <conditionalFormatting sqref="Y110">
    <cfRule type="expression" dxfId="1211" priority="160">
      <formula>MOD(ROW(),2)=1</formula>
    </cfRule>
  </conditionalFormatting>
  <conditionalFormatting sqref="Y114">
    <cfRule type="expression" dxfId="1210" priority="159">
      <formula>MOD(ROW(),2)=1</formula>
    </cfRule>
  </conditionalFormatting>
  <conditionalFormatting sqref="Y118">
    <cfRule type="expression" dxfId="1209" priority="158">
      <formula>MOD(ROW(),2)=1</formula>
    </cfRule>
  </conditionalFormatting>
  <conditionalFormatting sqref="Y126">
    <cfRule type="expression" dxfId="1208" priority="157">
      <formula>MOD(ROW(),2)=1</formula>
    </cfRule>
  </conditionalFormatting>
  <conditionalFormatting sqref="Y128">
    <cfRule type="expression" dxfId="1207" priority="156">
      <formula>MOD(ROW(),2)=1</formula>
    </cfRule>
  </conditionalFormatting>
  <conditionalFormatting sqref="Y124">
    <cfRule type="expression" dxfId="1206" priority="155">
      <formula>MOD(ROW(),2)=1</formula>
    </cfRule>
  </conditionalFormatting>
  <conditionalFormatting sqref="Y138">
    <cfRule type="expression" dxfId="1205" priority="154">
      <formula>MOD(ROW(),2)=1</formula>
    </cfRule>
  </conditionalFormatting>
  <conditionalFormatting sqref="Y140">
    <cfRule type="expression" dxfId="1204" priority="153">
      <formula>MOD(ROW(),2)=1</formula>
    </cfRule>
  </conditionalFormatting>
  <conditionalFormatting sqref="Y150">
    <cfRule type="expression" dxfId="1203" priority="142">
      <formula>MOD(ROW(),2)=1</formula>
    </cfRule>
  </conditionalFormatting>
  <conditionalFormatting sqref="Y154">
    <cfRule type="expression" dxfId="1202" priority="141">
      <formula>MOD(ROW(),2)=1</formula>
    </cfRule>
  </conditionalFormatting>
  <conditionalFormatting sqref="Y158">
    <cfRule type="expression" dxfId="1201" priority="140">
      <formula>MOD(ROW(),2)=1</formula>
    </cfRule>
  </conditionalFormatting>
  <conditionalFormatting sqref="Y162">
    <cfRule type="expression" dxfId="1200" priority="139">
      <formula>MOD(ROW(),2)=1</formula>
    </cfRule>
  </conditionalFormatting>
  <conditionalFormatting sqref="Y166">
    <cfRule type="expression" dxfId="1199" priority="138">
      <formula>MOD(ROW(),2)=1</formula>
    </cfRule>
  </conditionalFormatting>
  <conditionalFormatting sqref="Y170">
    <cfRule type="expression" dxfId="1198" priority="137">
      <formula>MOD(ROW(),2)=1</formula>
    </cfRule>
  </conditionalFormatting>
  <conditionalFormatting sqref="Y174">
    <cfRule type="expression" dxfId="1197" priority="136">
      <formula>MOD(ROW(),2)=1</formula>
    </cfRule>
  </conditionalFormatting>
  <conditionalFormatting sqref="Y178">
    <cfRule type="expression" dxfId="1196" priority="135">
      <formula>MOD(ROW(),2)=1</formula>
    </cfRule>
  </conditionalFormatting>
  <conditionalFormatting sqref="Y182">
    <cfRule type="expression" dxfId="1195" priority="134">
      <formula>MOD(ROW(),2)=1</formula>
    </cfRule>
  </conditionalFormatting>
  <conditionalFormatting sqref="W8">
    <cfRule type="expression" dxfId="1194" priority="133">
      <formula>MOD(ROW(),2)=1</formula>
    </cfRule>
  </conditionalFormatting>
  <conditionalFormatting sqref="W18">
    <cfRule type="expression" dxfId="1193" priority="130">
      <formula>MOD(ROW(),2)=1</formula>
    </cfRule>
  </conditionalFormatting>
  <conditionalFormatting sqref="W22">
    <cfRule type="expression" dxfId="1192" priority="129">
      <formula>MOD(ROW(),2)=1</formula>
    </cfRule>
  </conditionalFormatting>
  <conditionalFormatting sqref="W26">
    <cfRule type="expression" dxfId="1191" priority="128">
      <formula>MOD(ROW(),2)=1</formula>
    </cfRule>
  </conditionalFormatting>
  <conditionalFormatting sqref="W40">
    <cfRule type="expression" dxfId="1190" priority="121">
      <formula>MOD(ROW(),2)=1</formula>
    </cfRule>
  </conditionalFormatting>
  <conditionalFormatting sqref="W50">
    <cfRule type="expression" dxfId="1189" priority="116">
      <formula>MOD(ROW(),2)=1</formula>
    </cfRule>
  </conditionalFormatting>
  <conditionalFormatting sqref="W56">
    <cfRule type="expression" dxfId="1188" priority="113">
      <formula>MOD(ROW(),2)=1</formula>
    </cfRule>
  </conditionalFormatting>
  <conditionalFormatting sqref="W70">
    <cfRule type="expression" dxfId="1187" priority="106">
      <formula>MOD(ROW(),2)=1</formula>
    </cfRule>
  </conditionalFormatting>
  <conditionalFormatting sqref="W74">
    <cfRule type="expression" dxfId="1186" priority="105">
      <formula>MOD(ROW(),2)=1</formula>
    </cfRule>
  </conditionalFormatting>
  <conditionalFormatting sqref="W78">
    <cfRule type="expression" dxfId="1185" priority="104">
      <formula>MOD(ROW(),2)=1</formula>
    </cfRule>
  </conditionalFormatting>
  <conditionalFormatting sqref="W82">
    <cfRule type="expression" dxfId="1184" priority="103">
      <formula>MOD(ROW(),2)=1</formula>
    </cfRule>
  </conditionalFormatting>
  <conditionalFormatting sqref="W90">
    <cfRule type="expression" dxfId="1183" priority="96">
      <formula>MOD(ROW(),2)=1</formula>
    </cfRule>
  </conditionalFormatting>
  <conditionalFormatting sqref="W94">
    <cfRule type="expression" dxfId="1182" priority="95">
      <formula>MOD(ROW(),2)=1</formula>
    </cfRule>
  </conditionalFormatting>
  <conditionalFormatting sqref="W98">
    <cfRule type="expression" dxfId="1181" priority="94">
      <formula>MOD(ROW(),2)=1</formula>
    </cfRule>
  </conditionalFormatting>
  <conditionalFormatting sqref="W102">
    <cfRule type="expression" dxfId="1180" priority="93">
      <formula>MOD(ROW(),2)=1</formula>
    </cfRule>
  </conditionalFormatting>
  <conditionalFormatting sqref="W106">
    <cfRule type="expression" dxfId="1179" priority="92">
      <formula>MOD(ROW(),2)=1</formula>
    </cfRule>
  </conditionalFormatting>
  <conditionalFormatting sqref="W108">
    <cfRule type="expression" dxfId="1178" priority="91">
      <formula>MOD(ROW(),2)=1</formula>
    </cfRule>
  </conditionalFormatting>
  <conditionalFormatting sqref="W110">
    <cfRule type="expression" dxfId="1177" priority="90">
      <formula>MOD(ROW(),2)=1</formula>
    </cfRule>
  </conditionalFormatting>
  <conditionalFormatting sqref="W114">
    <cfRule type="expression" dxfId="1176" priority="89">
      <formula>MOD(ROW(),2)=1</formula>
    </cfRule>
  </conditionalFormatting>
  <conditionalFormatting sqref="W118">
    <cfRule type="expression" dxfId="1175" priority="88">
      <formula>MOD(ROW(),2)=1</formula>
    </cfRule>
  </conditionalFormatting>
  <conditionalFormatting sqref="W126">
    <cfRule type="expression" dxfId="1174" priority="87">
      <formula>MOD(ROW(),2)=1</formula>
    </cfRule>
  </conditionalFormatting>
  <conditionalFormatting sqref="W128">
    <cfRule type="expression" dxfId="1173" priority="86">
      <formula>MOD(ROW(),2)=1</formula>
    </cfRule>
  </conditionalFormatting>
  <conditionalFormatting sqref="W124">
    <cfRule type="expression" dxfId="1172" priority="85">
      <formula>MOD(ROW(),2)=1</formula>
    </cfRule>
  </conditionalFormatting>
  <conditionalFormatting sqref="W138">
    <cfRule type="expression" dxfId="1171" priority="84">
      <formula>MOD(ROW(),2)=1</formula>
    </cfRule>
  </conditionalFormatting>
  <conditionalFormatting sqref="W140">
    <cfRule type="expression" dxfId="1170" priority="83">
      <formula>MOD(ROW(),2)=1</formula>
    </cfRule>
  </conditionalFormatting>
  <conditionalFormatting sqref="W150">
    <cfRule type="expression" dxfId="1169" priority="72">
      <formula>MOD(ROW(),2)=1</formula>
    </cfRule>
  </conditionalFormatting>
  <conditionalFormatting sqref="W154">
    <cfRule type="expression" dxfId="1168" priority="71">
      <formula>MOD(ROW(),2)=1</formula>
    </cfRule>
  </conditionalFormatting>
  <conditionalFormatting sqref="W158">
    <cfRule type="expression" dxfId="1167" priority="70">
      <formula>MOD(ROW(),2)=1</formula>
    </cfRule>
  </conditionalFormatting>
  <conditionalFormatting sqref="W162">
    <cfRule type="expression" dxfId="1166" priority="69">
      <formula>MOD(ROW(),2)=1</formula>
    </cfRule>
  </conditionalFormatting>
  <conditionalFormatting sqref="W166">
    <cfRule type="expression" dxfId="1165" priority="68">
      <formula>MOD(ROW(),2)=1</formula>
    </cfRule>
  </conditionalFormatting>
  <conditionalFormatting sqref="W170">
    <cfRule type="expression" dxfId="1164" priority="67">
      <formula>MOD(ROW(),2)=1</formula>
    </cfRule>
  </conditionalFormatting>
  <conditionalFormatting sqref="W174">
    <cfRule type="expression" dxfId="1163" priority="66">
      <formula>MOD(ROW(),2)=1</formula>
    </cfRule>
  </conditionalFormatting>
  <conditionalFormatting sqref="W178">
    <cfRule type="expression" dxfId="1162" priority="65">
      <formula>MOD(ROW(),2)=1</formula>
    </cfRule>
  </conditionalFormatting>
  <conditionalFormatting sqref="W182">
    <cfRule type="expression" dxfId="1161" priority="64">
      <formula>MOD(ROW(),2)=1</formula>
    </cfRule>
  </conditionalFormatting>
  <conditionalFormatting sqref="I126">
    <cfRule type="expression" dxfId="1160" priority="60">
      <formula>MOD(ROW(),2)=1</formula>
    </cfRule>
  </conditionalFormatting>
  <conditionalFormatting sqref="I128">
    <cfRule type="expression" dxfId="1159" priority="59">
      <formula>MOD(ROW(),2)=1</formula>
    </cfRule>
  </conditionalFormatting>
  <conditionalFormatting sqref="I124">
    <cfRule type="expression" dxfId="1158" priority="58">
      <formula>MOD(ROW(),2)=1</formula>
    </cfRule>
  </conditionalFormatting>
  <conditionalFormatting sqref="I138">
    <cfRule type="expression" dxfId="1157" priority="57">
      <formula>MOD(ROW(),2)=1</formula>
    </cfRule>
  </conditionalFormatting>
  <conditionalFormatting sqref="I140">
    <cfRule type="expression" dxfId="1156" priority="56">
      <formula>MOD(ROW(),2)=1</formula>
    </cfRule>
  </conditionalFormatting>
  <conditionalFormatting sqref="U14">
    <cfRule type="expression" dxfId="1155" priority="55">
      <formula>MOD(ROW(),2)=1</formula>
    </cfRule>
  </conditionalFormatting>
  <conditionalFormatting sqref="U18 U20">
    <cfRule type="expression" dxfId="1154" priority="52">
      <formula>MOD(ROW(),2)=1</formula>
    </cfRule>
  </conditionalFormatting>
  <conditionalFormatting sqref="U26 U28 U24">
    <cfRule type="expression" dxfId="1153" priority="51">
      <formula>MOD(ROW(),2)=1</formula>
    </cfRule>
  </conditionalFormatting>
  <conditionalFormatting sqref="U38">
    <cfRule type="expression" dxfId="1152" priority="46">
      <formula>MOD(ROW(),2)=1</formula>
    </cfRule>
  </conditionalFormatting>
  <conditionalFormatting sqref="U42">
    <cfRule type="expression" dxfId="1151" priority="45">
      <formula>MOD(ROW(),2)=1</formula>
    </cfRule>
  </conditionalFormatting>
  <conditionalFormatting sqref="U52 U50">
    <cfRule type="expression" dxfId="1150" priority="41">
      <formula>MOD(ROW(),2)=1</formula>
    </cfRule>
  </conditionalFormatting>
  <conditionalFormatting sqref="U54 U56">
    <cfRule type="expression" dxfId="1149" priority="39">
      <formula>MOD(ROW(),2)=1</formula>
    </cfRule>
  </conditionalFormatting>
  <conditionalFormatting sqref="U58 U60">
    <cfRule type="expression" dxfId="1148" priority="31">
      <formula>MOD(ROW(),2)=1</formula>
    </cfRule>
  </conditionalFormatting>
  <conditionalFormatting sqref="U64 U66">
    <cfRule type="expression" dxfId="1147" priority="29">
      <formula>MOD(ROW(),2)=1</formula>
    </cfRule>
  </conditionalFormatting>
  <conditionalFormatting sqref="U72 U74 U70">
    <cfRule type="expression" dxfId="1146" priority="28">
      <formula>MOD(ROW(),2)=1</formula>
    </cfRule>
  </conditionalFormatting>
  <conditionalFormatting sqref="U80 U82 U78">
    <cfRule type="expression" dxfId="1145" priority="27">
      <formula>MOD(ROW(),2)=1</formula>
    </cfRule>
  </conditionalFormatting>
  <conditionalFormatting sqref="U88">
    <cfRule type="expression" dxfId="1144" priority="23">
      <formula>MOD(ROW(),2)=1</formula>
    </cfRule>
  </conditionalFormatting>
  <conditionalFormatting sqref="U94 U96 U92">
    <cfRule type="expression" dxfId="1143" priority="22">
      <formula>MOD(ROW(),2)=1</formula>
    </cfRule>
  </conditionalFormatting>
  <conditionalFormatting sqref="U102 U104 U100">
    <cfRule type="expression" dxfId="1142" priority="21">
      <formula>MOD(ROW(),2)=1</formula>
    </cfRule>
  </conditionalFormatting>
  <conditionalFormatting sqref="U108">
    <cfRule type="expression" dxfId="1141" priority="20">
      <formula>MOD(ROW(),2)=1</formula>
    </cfRule>
  </conditionalFormatting>
  <conditionalFormatting sqref="U114 U116 U112">
    <cfRule type="expression" dxfId="1140" priority="19">
      <formula>MOD(ROW(),2)=1</formula>
    </cfRule>
  </conditionalFormatting>
  <conditionalFormatting sqref="U120">
    <cfRule type="expression" dxfId="1139" priority="18">
      <formula>MOD(ROW(),2)=1</formula>
    </cfRule>
  </conditionalFormatting>
  <conditionalFormatting sqref="U122">
    <cfRule type="expression" dxfId="1138" priority="17">
      <formula>MOD(ROW(),2)=1</formula>
    </cfRule>
  </conditionalFormatting>
  <conditionalFormatting sqref="U128 U130 U126">
    <cfRule type="expression" dxfId="1137" priority="16">
      <formula>MOD(ROW(),2)=1</formula>
    </cfRule>
  </conditionalFormatting>
  <conditionalFormatting sqref="U136 U138 U134">
    <cfRule type="expression" dxfId="1136" priority="15">
      <formula>MOD(ROW(),2)=1</formula>
    </cfRule>
  </conditionalFormatting>
  <conditionalFormatting sqref="U144">
    <cfRule type="expression" dxfId="1135" priority="6">
      <formula>MOD(ROW(),2)=1</formula>
    </cfRule>
  </conditionalFormatting>
  <conditionalFormatting sqref="AC142 AG142">
    <cfRule type="expression" dxfId="1134" priority="5">
      <formula>MOD(ROW(),2)=1</formula>
    </cfRule>
  </conditionalFormatting>
  <conditionalFormatting sqref="AD142">
    <cfRule type="expression" dxfId="1133" priority="4">
      <formula>MOD(ROW(),2)=1</formula>
    </cfRule>
  </conditionalFormatting>
  <conditionalFormatting sqref="Y142">
    <cfRule type="expression" dxfId="1132" priority="3">
      <formula>MOD(ROW(),2)=1</formula>
    </cfRule>
  </conditionalFormatting>
  <conditionalFormatting sqref="W142">
    <cfRule type="expression" dxfId="1131" priority="2">
      <formula>MOD(ROW(),2)=1</formula>
    </cfRule>
  </conditionalFormatting>
  <conditionalFormatting sqref="U142">
    <cfRule type="expression" dxfId="1130" priority="1">
      <formula>MOD(ROW(),2)=1</formula>
    </cfRule>
  </conditionalFormatting>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3:H329"/>
  <sheetViews>
    <sheetView workbookViewId="0"/>
  </sheetViews>
  <sheetFormatPr defaultRowHeight="15" x14ac:dyDescent="0.25"/>
  <cols>
    <col min="3" max="3" width="9.140625" style="172"/>
  </cols>
  <sheetData>
    <row r="3" spans="1:4" x14ac:dyDescent="0.25">
      <c r="A3" t="str">
        <f>'t-LTM Multiple'!B3</f>
        <v>Abel, M., Haller, V., Kock, H., Potshke, S., Hieb, D., Schabus, M., &amp; Bauml, K. (2019). Sleep reduces the testing effect -- but not after corrective feedback and prolonged retention interval. Journal of Experimental Psychology: Learning, Memory, and Cognition, 45(2),272-287.</v>
      </c>
      <c r="B3">
        <f>'t-LTM Multiple'!AA3</f>
        <v>604800</v>
      </c>
      <c r="C3" s="173">
        <f>B3/(60*60*24)</f>
        <v>7</v>
      </c>
      <c r="D3" s="63">
        <f>'t-LTM Multiple'!AM3</f>
        <v>-0.11807393106200441</v>
      </c>
    </row>
    <row r="5" spans="1:4" x14ac:dyDescent="0.25">
      <c r="A5" t="str">
        <f>'t-LTM Multiple'!B5</f>
        <v>Abel, M., Haller, V., Kock, H., Potshke, S., Hieb, D., Schabus, M., &amp; Bauml, K. (2019). Sleep reduces the testing effect -- but not after corrective feedback and prolonged retention interval. Journal of Experimental Psychology: Learning, Memory, and Cognition, 45(2),272-287.</v>
      </c>
      <c r="B5">
        <f>'t-LTM Multiple'!AA5</f>
        <v>604800</v>
      </c>
      <c r="C5" s="173">
        <f>B5/(60*60*24)</f>
        <v>7</v>
      </c>
      <c r="D5" s="63">
        <f>'t-LTM Multiple'!AM5</f>
        <v>-0.11970481241427627</v>
      </c>
    </row>
    <row r="7" spans="1:4" x14ac:dyDescent="0.25">
      <c r="A7" t="str">
        <f>'t-LTM Multiple'!B7</f>
        <v>Abel, M., Haller, V., Kock, H., Potshke, S., Hieb, D., Schabus, M., &amp; Bauml, K. (2019). Sleep reduces the testing effect -- but not after corrective feedback and prolonged retention interval. Journal of Experimental Psychology: Learning, Memory, and Cognition, 45(2),272-287.</v>
      </c>
      <c r="B7">
        <f>'t-LTM Multiple'!AA7</f>
        <v>604800</v>
      </c>
      <c r="C7" s="173">
        <f>B7/(60*60*24)</f>
        <v>7</v>
      </c>
      <c r="D7" s="63">
        <f>'t-LTM Multiple'!AM7</f>
        <v>-6.8642470712818149E-2</v>
      </c>
    </row>
    <row r="9" spans="1:4" x14ac:dyDescent="0.25">
      <c r="A9" t="str">
        <f>'t-LTM Multiple'!B9</f>
        <v>Abel, M., Haller, V., Kock, H., Potshke, S., Hieb, D., Schabus, M., &amp; Bauml, K. (2019). Sleep reduces the testing effect -- but not after corrective feedback and prolonged retention interval. Journal of Experimental Psychology: Learning, Memory, and Cognition, 45(2),272-287.</v>
      </c>
      <c r="B9">
        <f>'t-LTM Multiple'!AA9</f>
        <v>604800</v>
      </c>
      <c r="C9" s="173">
        <f>B9/(60*60*24)</f>
        <v>7</v>
      </c>
      <c r="D9" s="63">
        <f>'t-LTM Multiple'!AM9</f>
        <v>-7.8393965082307462E-2</v>
      </c>
    </row>
    <row r="10" spans="1:4" x14ac:dyDescent="0.25">
      <c r="C10" s="173"/>
      <c r="D10" s="63"/>
    </row>
    <row r="11" spans="1:4" x14ac:dyDescent="0.25">
      <c r="A11" t="str">
        <f>'t-LTM Multiple'!B11</f>
        <v>Bell, B. D., Fine, J., Dow, C., Seidenberg, M., &amp; Hermann, B. P. (2005). Temporal lobe epilepsy and the selective reminding test: the conventional 30-minute delay suffices. Psychological Assessment, 17(1), 103-109.</v>
      </c>
      <c r="B11">
        <f>'t-LTM Multiple'!AA11</f>
        <v>86400</v>
      </c>
      <c r="C11" s="173">
        <f>B11/(60*60*24)</f>
        <v>1</v>
      </c>
      <c r="D11" s="63">
        <f>'t-LTM Multiple'!AM11</f>
        <v>-6.4126575711424896E-2</v>
      </c>
    </row>
    <row r="12" spans="1:4" x14ac:dyDescent="0.25">
      <c r="C12" s="173"/>
      <c r="D12" s="63"/>
    </row>
    <row r="13" spans="1:4" x14ac:dyDescent="0.25">
      <c r="A13" t="str">
        <f>'t-LTM Multiple'!B13</f>
        <v>Bell, B. D., Fine, J., Dow, C., Seidenberg, M., &amp; Hermann, B. P. (2005). Temporal lobe epilepsy and the selective reminding test: the conventional 30-minute delay suffices. Psychological Assessment, 17(1), 103-109.</v>
      </c>
      <c r="B13">
        <f>'t-LTM Multiple'!AA13</f>
        <v>86400</v>
      </c>
      <c r="C13" s="173">
        <f>B13/(60*60*24)</f>
        <v>1</v>
      </c>
      <c r="D13" s="63">
        <f>'t-LTM Multiple'!AM13</f>
        <v>-1.3891845440066442E-2</v>
      </c>
    </row>
    <row r="15" spans="1:4" x14ac:dyDescent="0.25">
      <c r="A15" t="str">
        <f>'t-LTM Multiple'!B15</f>
        <v>Briggs, G. E. (1954). Acquisition, extinction, and recovery functions in retroactive inhibition. Journal of Experimental Psychology, 47(5), 285-293.</v>
      </c>
      <c r="B15">
        <f>'t-LTM Multiple'!AA15</f>
        <v>259200</v>
      </c>
      <c r="C15" s="173">
        <f>B15/(60*60*24)</f>
        <v>3</v>
      </c>
      <c r="D15" s="63">
        <f>'t-LTM Multiple'!AM15</f>
        <v>-0.10518063464026346</v>
      </c>
    </row>
    <row r="16" spans="1:4" x14ac:dyDescent="0.25">
      <c r="C16" s="173"/>
      <c r="D16" s="63"/>
    </row>
    <row r="17" spans="1:8" x14ac:dyDescent="0.25">
      <c r="A17" t="str">
        <f>'t-LTM Multiple'!B17</f>
        <v>Butler, C., Kapur, N., Zeman, A., Weller, R., &amp; Connelly, A. (2012). Epilepsy-related long-term amnesia: anatomical perspectives. Neuropsychologia, 50(13), 2973-2980.</v>
      </c>
      <c r="B17">
        <f>'t-LTM Multiple'!AA17</f>
        <v>604800</v>
      </c>
      <c r="C17" s="173">
        <f>B17/(60*60*24)</f>
        <v>7</v>
      </c>
      <c r="D17" s="63">
        <f>'t-LTM Multiple'!AM17</f>
        <v>-3.3247186533008365E-2</v>
      </c>
    </row>
    <row r="18" spans="1:8" x14ac:dyDescent="0.25">
      <c r="G18" s="166">
        <f>AVERAGE(D3:D143)</f>
        <v>-6.3616545780930359E-2</v>
      </c>
      <c r="H18" s="165">
        <f xml:space="preserve"> STDEV(D3:D143)/SQRT(COUNT(D3:D143))</f>
        <v>6.9364607651486625E-3</v>
      </c>
    </row>
    <row r="19" spans="1:8" x14ac:dyDescent="0.25">
      <c r="A19" t="str">
        <f>'t-LTM Multiple'!B19</f>
        <v>Chen, K., &amp; Squire, S. (1990). Strength and duration of word-completion priming as a function of word repetition and spacing. Bulletin of the Psychonomic Society, 28(2), 97-100.</v>
      </c>
      <c r="B19">
        <f>'t-LTM Multiple'!AA19</f>
        <v>86400</v>
      </c>
      <c r="C19" s="173">
        <f>B19/(60*60*24)</f>
        <v>1</v>
      </c>
      <c r="D19" s="63">
        <f>'t-LTM Multiple'!AM19</f>
        <v>-0.16399742349111279</v>
      </c>
    </row>
    <row r="21" spans="1:8" x14ac:dyDescent="0.25">
      <c r="A21" t="str">
        <f>'t-LTM Multiple'!B21</f>
        <v>Chen, K., &amp; Squire, S. (1990). Strength and duration of word-completion priming as a function of word repetition and spacing. Bulletin of the Psychonomic Society, 28(2), 97-100.</v>
      </c>
      <c r="B21">
        <f>'t-LTM Multiple'!AA21</f>
        <v>86400</v>
      </c>
      <c r="C21" s="173">
        <f>B21/(60*60*24)</f>
        <v>1</v>
      </c>
      <c r="D21" s="63">
        <f>'t-LTM Multiple'!AM21</f>
        <v>-0.24697512855560716</v>
      </c>
    </row>
    <row r="23" spans="1:8" x14ac:dyDescent="0.25">
      <c r="A23" t="str">
        <f>'t-LTM Multiple'!B23</f>
        <v>Chen, K., &amp; Squire, S. (1990). Strength and duration of word-completion priming as a function of word repetition and spacing. Bulletin of the Psychonomic Society, 28(2), 97-100.</v>
      </c>
      <c r="B23">
        <f>'t-LTM Multiple'!AA23</f>
        <v>86400</v>
      </c>
      <c r="C23" s="173">
        <f>B23/(60*60*24)</f>
        <v>1</v>
      </c>
      <c r="D23" s="63">
        <f>'t-LTM Multiple'!AM23</f>
        <v>-0.20334217547138236</v>
      </c>
    </row>
    <row r="25" spans="1:8" x14ac:dyDescent="0.25">
      <c r="A25" t="str">
        <f>'t-LTM Multiple'!B25</f>
        <v>Chen, K., &amp; Squire, S. (1990). Strength and duration of word-completion priming as a function of word repetition and spacing. Bulletin of the Psychonomic Society, 28(2), 97-100.</v>
      </c>
      <c r="B25">
        <f>'t-LTM Multiple'!AA25</f>
        <v>86400</v>
      </c>
      <c r="C25" s="173">
        <f>B25/(60*60*24)</f>
        <v>1</v>
      </c>
      <c r="D25" s="63">
        <f>'t-LTM Multiple'!AM25</f>
        <v>-7.6320243260043566E-3</v>
      </c>
    </row>
    <row r="27" spans="1:8" x14ac:dyDescent="0.25">
      <c r="A27" t="str">
        <f>'t-LTM Multiple'!B27</f>
        <v>Chen, K., &amp; Squire, S. (1990). Strength and duration of word-completion priming as a function of word repetition and spacing. Bulletin of the Psychonomic Society, 28(2), 97-100.</v>
      </c>
      <c r="B27">
        <f>'t-LTM Multiple'!AA27</f>
        <v>86400</v>
      </c>
      <c r="C27" s="173">
        <f>B27/(60*60*24)</f>
        <v>1</v>
      </c>
      <c r="D27" s="63">
        <f>'t-LTM Multiple'!AM27</f>
        <v>-4.9076066639987337E-3</v>
      </c>
    </row>
    <row r="29" spans="1:8" x14ac:dyDescent="0.25">
      <c r="A29" t="str">
        <f>'t-LTM Multiple'!B29</f>
        <v>Chen, K., &amp; Squire, S. (1990). Strength and duration of word-completion priming as a function of word repetition and spacing. Bulletin of the Psychonomic Society, 28(2), 97-100.</v>
      </c>
      <c r="B29">
        <f>'t-LTM Multiple'!AA29</f>
        <v>86400</v>
      </c>
      <c r="C29" s="173">
        <f>B29/(60*60*24)</f>
        <v>1</v>
      </c>
      <c r="D29" s="63">
        <f>'t-LTM Multiple'!AM29</f>
        <v>-8.7408600388486375E-3</v>
      </c>
    </row>
    <row r="30" spans="1:8" x14ac:dyDescent="0.25">
      <c r="C30" s="173"/>
      <c r="D30" s="63"/>
    </row>
    <row r="31" spans="1:8" x14ac:dyDescent="0.25">
      <c r="A31" t="str">
        <f>'t-LTM Multiple'!B31</f>
        <v>Evans, S. J., Elliott, G., Reynders, H., &amp; Isaac, C. L. (2014). Can temporal lobe epilepsy surgery ameliorate accelerated long-term forgetting?. Neuropsychologia, 53, 64-74.</v>
      </c>
      <c r="B31">
        <f>'t-LTM Multiple'!AA31</f>
        <v>604800</v>
      </c>
      <c r="C31" s="173">
        <f>B31/(60*60*24)</f>
        <v>7</v>
      </c>
      <c r="D31" s="63">
        <f>'t-LTM Multiple'!AM31</f>
        <v>-3.0262402091758095E-2</v>
      </c>
    </row>
    <row r="32" spans="1:8" x14ac:dyDescent="0.25">
      <c r="C32" s="173"/>
      <c r="D32" s="63"/>
    </row>
    <row r="33" spans="1:4" x14ac:dyDescent="0.25">
      <c r="A33" t="str">
        <f>'t-LTM Multiple'!B33</f>
        <v>Evans, S. J., Elliott, G., Reynders, H., &amp; Isaac, C. L. (2014). Can temporal lobe epilepsy surgery ameliorate accelerated long-term forgetting?. Neuropsychologia, 53, 64-74.</v>
      </c>
      <c r="B33">
        <f>'t-LTM Multiple'!AA33</f>
        <v>604800</v>
      </c>
      <c r="C33" s="173">
        <f>B33/(60*60*24)</f>
        <v>7</v>
      </c>
      <c r="D33" s="63">
        <f>'t-LTM Multiple'!AM33</f>
        <v>-3.612848953466926E-2</v>
      </c>
    </row>
    <row r="34" spans="1:4" x14ac:dyDescent="0.25">
      <c r="C34" s="173"/>
      <c r="D34" s="63"/>
    </row>
    <row r="35" spans="1:4" x14ac:dyDescent="0.25">
      <c r="A35" t="str">
        <f>'t-LTM Multiple'!B35</f>
        <v>Evans, S. J., Elliott, G., Reynders, H., &amp; Isaac, C. L. (2014). Can temporal lobe epilepsy surgery ameliorate accelerated long-term forgetting?. Neuropsychologia, 53, 64-74.</v>
      </c>
      <c r="B35">
        <f>'t-LTM Multiple'!AA35</f>
        <v>604800</v>
      </c>
      <c r="C35" s="173">
        <f>B35/(60*60*24)</f>
        <v>7</v>
      </c>
      <c r="D35" s="63">
        <f>'t-LTM Multiple'!AM35</f>
        <v>-5.2686385463934469E-3</v>
      </c>
    </row>
    <row r="36" spans="1:4" x14ac:dyDescent="0.25">
      <c r="C36" s="173"/>
      <c r="D36" s="63"/>
    </row>
    <row r="37" spans="1:4" x14ac:dyDescent="0.25">
      <c r="A37" t="str">
        <f>'t-LTM Multiple'!B37</f>
        <v>Evans, S. J., Elliott, G., Reynders, H., &amp; Isaac, C. L. (2014). Can temporal lobe epilepsy surgery ameliorate accelerated long-term forgetting?. Neuropsychologia, 53, 64-74.</v>
      </c>
      <c r="B37">
        <f>'t-LTM Multiple'!AA37</f>
        <v>604800</v>
      </c>
      <c r="C37" s="173">
        <f>B37/(60*60*24)</f>
        <v>7</v>
      </c>
      <c r="D37" s="63">
        <f>'t-LTM Multiple'!AM37</f>
        <v>-6.9854909369670938E-3</v>
      </c>
    </row>
    <row r="39" spans="1:4" x14ac:dyDescent="0.25">
      <c r="A39" t="str">
        <f>'t-LTM Multiple'!B39</f>
        <v>Finkenbinder, E. O. (1913). The curve of forgetting. The American Journal of Psychology, 24(1), 8-32.</v>
      </c>
      <c r="B39">
        <f>'t-LTM Multiple'!AA39</f>
        <v>172800</v>
      </c>
      <c r="C39" s="173">
        <f>B39/(60*60*24)</f>
        <v>2</v>
      </c>
      <c r="D39" s="63">
        <f>'t-LTM Multiple'!AM39</f>
        <v>-9.8947942040260403E-2</v>
      </c>
    </row>
    <row r="41" spans="1:4" x14ac:dyDescent="0.25">
      <c r="A41" t="str">
        <f>'t-LTM Multiple'!B41</f>
        <v xml:space="preserve">Fioravanti, M., &amp; Di Cesare, F. (1992). Forgetting curves in long-term memory: Evidence for a multistage model of retention. Brain and Cognition, 18, 116-124.
</v>
      </c>
      <c r="B41">
        <f>'t-LTM Multiple'!AA41</f>
        <v>172800</v>
      </c>
      <c r="C41" s="173">
        <f>B41/(60*60*24)</f>
        <v>2</v>
      </c>
      <c r="D41" s="63">
        <f>'t-LTM Multiple'!AM41</f>
        <v>-2.9807273464141082E-2</v>
      </c>
    </row>
    <row r="43" spans="1:4" x14ac:dyDescent="0.25">
      <c r="A43" t="str">
        <f>'t-LTM Multiple'!B43</f>
        <v xml:space="preserve">Fioravanti, M., &amp; Di Cesare, F. (1992). Forgetting curves in long-term memory: Evidence for a multistage model of retention. Brain and Cognition, 18, 116-124.
</v>
      </c>
      <c r="B43">
        <f>'t-LTM Multiple'!AA43</f>
        <v>172800</v>
      </c>
      <c r="C43" s="173">
        <f>B43/(60*60*24)</f>
        <v>2</v>
      </c>
      <c r="D43" s="63">
        <f>'t-LTM Multiple'!AM43</f>
        <v>-7.5602697699415642E-3</v>
      </c>
    </row>
    <row r="44" spans="1:4" x14ac:dyDescent="0.25">
      <c r="C44" s="173"/>
      <c r="D44" s="63"/>
    </row>
    <row r="45" spans="1:4" x14ac:dyDescent="0.25">
      <c r="A45" t="str">
        <f>'t-LTM Multiple'!B45</f>
        <v>Gaudino, E. A., Chiaravalloti, N. D., DeLuca, J., &amp; Diamond, B. J. (2001). A comparison of memory performance in relapsing–remitting, primary progressive and secondary progressive, multiple sclerosis. Cognitive and Behavioral Neurology, 14(1), 32-44.</v>
      </c>
      <c r="B45">
        <f>'t-LTM Multiple'!AA45</f>
        <v>604800</v>
      </c>
      <c r="C45" s="173">
        <f>B45/(60*60*24)</f>
        <v>7</v>
      </c>
      <c r="D45" s="63">
        <f>'t-LTM Multiple'!AM45</f>
        <v>-2.2817715052872257E-2</v>
      </c>
    </row>
    <row r="46" spans="1:4" x14ac:dyDescent="0.25">
      <c r="C46" s="173"/>
      <c r="D46" s="63"/>
    </row>
    <row r="47" spans="1:4" x14ac:dyDescent="0.25">
      <c r="A47" t="str">
        <f>'t-LTM Multiple'!B47</f>
        <v>Gaudino, E. A., Chiaravalloti, N. D., DeLuca, J., &amp; Diamond, B. J. (2001). A comparison of memory performance in relapsing–remitting, primary progressive and secondary progressive, multiple sclerosis. Cognitive and Behavioral Neurology, 14(1), 32-44.</v>
      </c>
      <c r="B47">
        <f>'t-LTM Multiple'!AA47</f>
        <v>604800</v>
      </c>
      <c r="C47" s="173">
        <f>B47/(60*60*24)</f>
        <v>7</v>
      </c>
      <c r="D47" s="63">
        <f>'t-LTM Multiple'!AM47</f>
        <v>-4.0362451579561136E-2</v>
      </c>
    </row>
    <row r="49" spans="1:4" x14ac:dyDescent="0.25">
      <c r="A49" t="str">
        <f>'t-LTM Multiple'!B49</f>
        <v>Gilbert, T. (1957). Overlearning and the Retention of Meaningful Prose. The Journal of General Psychology, 56(2), 281-289.</v>
      </c>
      <c r="B49">
        <f>'t-LTM Multiple'!AA49</f>
        <v>172800</v>
      </c>
      <c r="C49" s="173">
        <f>B49/(60*60*24)</f>
        <v>2</v>
      </c>
      <c r="D49" s="63">
        <f>'t-LTM Multiple'!AM49</f>
        <v>-3.2993561655819785E-2</v>
      </c>
    </row>
    <row r="51" spans="1:4" x14ac:dyDescent="0.25">
      <c r="A51" t="str">
        <f>'t-LTM Multiple'!B51</f>
        <v>Gilbert, T. (1957). Overlearning and the Retention of Meaningful Prose. The Journal of General Psychology, 56(2), 281-289.</v>
      </c>
      <c r="B51">
        <f>'t-LTM Multiple'!AA51</f>
        <v>172800</v>
      </c>
      <c r="C51" s="173">
        <f>B51/(60*60*24)</f>
        <v>2</v>
      </c>
      <c r="D51" s="63">
        <f>'t-LTM Multiple'!AM51</f>
        <v>-6.0244254685207492E-2</v>
      </c>
    </row>
    <row r="53" spans="1:4" x14ac:dyDescent="0.25">
      <c r="A53" t="str">
        <f>'t-LTM Multiple'!B53</f>
        <v>Gilbert, T. (1957). Overlearning and the Retention of Meaningful Prose. The Journal of General Psychology, 56(2), 281-289.</v>
      </c>
      <c r="B53">
        <f>'t-LTM Multiple'!AA53</f>
        <v>172800</v>
      </c>
      <c r="C53" s="173">
        <f>B53/(60*60*24)</f>
        <v>2</v>
      </c>
      <c r="D53" s="63">
        <f>'t-LTM Multiple'!AM53</f>
        <v>-4.6712226118396982E-2</v>
      </c>
    </row>
    <row r="55" spans="1:4" x14ac:dyDescent="0.25">
      <c r="A55" t="str">
        <f>'t-LTM Multiple'!B55</f>
        <v xml:space="preserve">Graves, E. A. (1936). The effect of sleep upon retention. Journal of Experimental Psychology, 19(3), 316-322.
</v>
      </c>
      <c r="B55">
        <f>'t-LTM Multiple'!AA55</f>
        <v>518400</v>
      </c>
      <c r="C55" s="173">
        <f>B55/(60*60*24)</f>
        <v>6</v>
      </c>
      <c r="D55" s="63">
        <f>'t-LTM Multiple'!AM55</f>
        <v>-9.8516611570544546E-2</v>
      </c>
    </row>
    <row r="57" spans="1:4" x14ac:dyDescent="0.25">
      <c r="A57" t="str">
        <f>'t-LTM Multiple'!B57</f>
        <v xml:space="preserve">Graves, E. A. (1936). The effect of sleep upon retention. Journal of Experimental Psychology, 19(3), 316-322.
</v>
      </c>
      <c r="B57">
        <f>'t-LTM Multiple'!AA57</f>
        <v>518400</v>
      </c>
      <c r="C57" s="173">
        <f>B57/(60*60*24)</f>
        <v>6</v>
      </c>
      <c r="D57" s="63">
        <f>'t-LTM Multiple'!AM57</f>
        <v>-7.1193197587546664E-2</v>
      </c>
    </row>
    <row r="59" spans="1:4" x14ac:dyDescent="0.25">
      <c r="A59" t="str">
        <f>'t-LTM Multiple'!B59</f>
        <v>Koppenaal, R. J. (1963). Time changes in the strengths of A–B, A–C lists; spontaneous recovery?. Journal of Verbal Learning and Verbal Behavior, 2(4), 310-319.</v>
      </c>
      <c r="B59">
        <f>'t-LTM Multiple'!AA59</f>
        <v>172800</v>
      </c>
      <c r="C59" s="173">
        <f>B59/(60*60*24)</f>
        <v>2</v>
      </c>
      <c r="D59" s="63">
        <f>'t-LTM Multiple'!AM59</f>
        <v>-2.0430453216611359E-2</v>
      </c>
    </row>
    <row r="61" spans="1:4" x14ac:dyDescent="0.25">
      <c r="A61" t="str">
        <f>'t-LTM Multiple'!B61</f>
        <v>Koppenaal, R. J. (1963). Time changes in the strengths of A–B, A–C lists; spontaneous recovery?. Journal of Verbal Learning and Verbal Behavior, 2(4), 310-319.</v>
      </c>
      <c r="B61">
        <f>'t-LTM Multiple'!AA61</f>
        <v>172800</v>
      </c>
      <c r="C61" s="173">
        <f>B61/(60*60*24)</f>
        <v>2</v>
      </c>
      <c r="D61" s="63">
        <f>'t-LTM Multiple'!AM61</f>
        <v>-7.2498428077765964E-2</v>
      </c>
    </row>
    <row r="63" spans="1:4" x14ac:dyDescent="0.25">
      <c r="A63" t="str">
        <f>'t-LTM Multiple'!B63</f>
        <v>Koppenaal, R. J. (1963). Time changes in the strengths of A–B, A–C lists; spontaneous recovery?. Journal of Verbal Learning and Verbal Behavior, 2(4), 310-319.</v>
      </c>
      <c r="B63">
        <f>'t-LTM Multiple'!AA63</f>
        <v>172800</v>
      </c>
      <c r="C63" s="173">
        <f>B63/(60*60*24)</f>
        <v>2</v>
      </c>
      <c r="D63" s="63">
        <f>'t-LTM Multiple'!AM63</f>
        <v>-4.6015031429518342E-2</v>
      </c>
    </row>
    <row r="65" spans="1:5" x14ac:dyDescent="0.25">
      <c r="A65" t="str">
        <f>'t-LTM Multiple'!B65</f>
        <v>Luh, C. W. (1922). The conditions of retention. Psychological Monographs, 31(3).</v>
      </c>
      <c r="B65">
        <f>'t-LTM Multiple'!AA65</f>
        <v>172800</v>
      </c>
      <c r="C65" s="173">
        <f>B65/(60*60*24)</f>
        <v>2</v>
      </c>
      <c r="D65" s="63">
        <f>'t-LTM Multiple'!AM65</f>
        <v>-6.6682039620420117E-2</v>
      </c>
    </row>
    <row r="67" spans="1:5" x14ac:dyDescent="0.25">
      <c r="A67" t="str">
        <f>'t-LTM Multiple'!B67</f>
        <v>Luh, C. W. (1922). The conditions of retention. Psychological Monographs, 31(3).</v>
      </c>
      <c r="B67">
        <f>'t-LTM Multiple'!AA67</f>
        <v>172800</v>
      </c>
      <c r="C67" s="173">
        <f>B67/(60*60*24)</f>
        <v>2</v>
      </c>
      <c r="D67" s="63">
        <f>'t-LTM Multiple'!AM67</f>
        <v>-0.17382893632281318</v>
      </c>
    </row>
    <row r="69" spans="1:5" x14ac:dyDescent="0.25">
      <c r="A69" t="str">
        <f>'t-LTM Multiple'!B69</f>
        <v>Luh, C. W. (1922). The conditions of retention. Psychological Monographs, 31(3).</v>
      </c>
      <c r="B69">
        <f>'t-LTM Multiple'!AA69</f>
        <v>172800</v>
      </c>
      <c r="C69" s="173">
        <f>B69/(60*60*24)</f>
        <v>2</v>
      </c>
      <c r="D69" s="171"/>
      <c r="E69" s="63">
        <f>'t-LTM Multiple'!AM156</f>
        <v>-0.34933459289627244</v>
      </c>
    </row>
    <row r="71" spans="1:5" x14ac:dyDescent="0.25">
      <c r="A71" t="str">
        <f>'t-LTM Multiple'!B71</f>
        <v>Luh, C. W. (1922). The conditions of retention. Psychological Monographs, 31(3).</v>
      </c>
      <c r="B71">
        <f>'t-LTM Multiple'!AA71</f>
        <v>172800</v>
      </c>
      <c r="C71" s="173">
        <f>B71/(60*60*24)</f>
        <v>2</v>
      </c>
      <c r="D71" s="63">
        <f>'t-LTM Multiple'!AM71</f>
        <v>-0.1738064470786348</v>
      </c>
    </row>
    <row r="73" spans="1:5" x14ac:dyDescent="0.25">
      <c r="A73" t="str">
        <f>'t-LTM Multiple'!B73</f>
        <v>Luh, C. W. (1922). The conditions of retention. Psychological Monographs, 31(3).</v>
      </c>
      <c r="B73">
        <f>'t-LTM Multiple'!AA73</f>
        <v>172800</v>
      </c>
      <c r="C73" s="173">
        <f>B73/(60*60*24)</f>
        <v>2</v>
      </c>
      <c r="D73" s="63">
        <f>'t-LTM Multiple'!AM73</f>
        <v>-0.2237324867338856</v>
      </c>
    </row>
    <row r="75" spans="1:5" x14ac:dyDescent="0.25">
      <c r="A75" t="str">
        <f>'t-LTM Multiple'!B75</f>
        <v>Luh, C. W. (1922). The conditions of retention. Psychological Monographs, 31(3).</v>
      </c>
      <c r="B75">
        <f>'t-LTM Multiple'!AA75</f>
        <v>172800</v>
      </c>
      <c r="C75" s="173">
        <f>B75/(60*60*24)</f>
        <v>2</v>
      </c>
      <c r="D75" s="171"/>
      <c r="E75" s="63">
        <f>'t-LTM Multiple'!AM157</f>
        <v>-0.29046769524161198</v>
      </c>
    </row>
    <row r="77" spans="1:5" x14ac:dyDescent="0.25">
      <c r="A77" t="str">
        <f>'t-LTM Multiple'!B77</f>
        <v>Luh, C. W. (1922). The conditions of retention. Psychological Monographs, 31(3).</v>
      </c>
      <c r="B77">
        <f>'t-LTM Multiple'!AA77</f>
        <v>172800</v>
      </c>
      <c r="C77" s="173">
        <f>B77/(60*60*24)</f>
        <v>2</v>
      </c>
      <c r="D77" s="63">
        <f>'t-LTM Multiple'!AM77</f>
        <v>-8.2402916796141187E-2</v>
      </c>
    </row>
    <row r="79" spans="1:5" x14ac:dyDescent="0.25">
      <c r="A79" t="str">
        <f>'t-LTM Multiple'!B79</f>
        <v>Luh, C. W. (1922). The conditions of retention. Psychological Monographs, 31(3).</v>
      </c>
      <c r="B79">
        <f>'t-LTM Multiple'!AA79</f>
        <v>172800</v>
      </c>
      <c r="C79" s="173">
        <f>B79/(60*60*24)</f>
        <v>2</v>
      </c>
      <c r="D79" s="63">
        <f>'t-LTM Multiple'!AM79</f>
        <v>-4.4339117039679361E-2</v>
      </c>
    </row>
    <row r="81" spans="1:4" x14ac:dyDescent="0.25">
      <c r="A81" t="str">
        <f>'t-LTM Multiple'!B81</f>
        <v>Luh, C. W. (1922). The conditions of retention. Psychological Monographs, 31(3).</v>
      </c>
      <c r="B81">
        <f>'t-LTM Multiple'!AA81</f>
        <v>172800</v>
      </c>
      <c r="C81" s="173">
        <f>B81/(60*60*24)</f>
        <v>2</v>
      </c>
      <c r="D81" s="63">
        <f>'t-LTM Multiple'!AM81</f>
        <v>-7.7845477423216666E-2</v>
      </c>
    </row>
    <row r="83" spans="1:4" x14ac:dyDescent="0.25">
      <c r="A83" t="str">
        <f>'t-LTM Multiple'!B83</f>
        <v>Luh, C. W. (1922). The conditions of retention. Psychological Monographs, 31(3).</v>
      </c>
      <c r="B83">
        <f>'t-LTM Multiple'!AA83</f>
        <v>172800</v>
      </c>
      <c r="C83" s="173">
        <f>B83/(60*60*24)</f>
        <v>2</v>
      </c>
      <c r="D83" s="63">
        <f>'t-LTM Multiple'!AM83</f>
        <v>-0.17511701843707009</v>
      </c>
    </row>
    <row r="84" spans="1:4" x14ac:dyDescent="0.25">
      <c r="C84" s="173"/>
      <c r="D84" s="63"/>
    </row>
    <row r="85" spans="1:4" x14ac:dyDescent="0.25">
      <c r="A85" t="str">
        <f>'t-LTM Multiple'!B85</f>
        <v>Martin, R. C., Loring, D. W., Meador, K. J., Lee, G. P., Thrash, N., &amp; Arena, J. G. (1991). Impaired long-term retention despite normal verbal learning in patients with temporal lobe dysfunction. Neuropsychology, 5(1), 3.</v>
      </c>
      <c r="B85">
        <f>'t-LTM Multiple'!AA85</f>
        <v>86400</v>
      </c>
      <c r="C85" s="173">
        <f>B85/(60*60*24)</f>
        <v>1</v>
      </c>
      <c r="D85" s="63">
        <f>'t-LTM Multiple'!AM85</f>
        <v>-2.6620588926005297E-2</v>
      </c>
    </row>
    <row r="86" spans="1:4" x14ac:dyDescent="0.25">
      <c r="C86" s="173"/>
      <c r="D86" s="63"/>
    </row>
    <row r="87" spans="1:4" x14ac:dyDescent="0.25">
      <c r="A87" t="str">
        <f>'t-LTM Multiple'!B87</f>
        <v>O'Connor, M., Sieggreen, M. A., Ahern, G., Schomer, D., &amp; Mesulam, M. (1997). Accelerated forgetting in association with temporal lobe epilepsy and paraneoplastic encephalitis. Brain and Cognition, 35(1), 71-84.</v>
      </c>
      <c r="B87">
        <f>'t-LTM Multiple'!AA87</f>
        <v>604800</v>
      </c>
      <c r="C87" s="173">
        <f>B87/(60*60*24)</f>
        <v>7</v>
      </c>
      <c r="D87" s="63">
        <f>'t-LTM Multiple'!AM87</f>
        <v>-3.8890409761290982E-2</v>
      </c>
    </row>
    <row r="89" spans="1:4" x14ac:dyDescent="0.25">
      <c r="A89" t="str">
        <f>'t-LTM Multiple'!B89</f>
        <v>Roediger, H., &amp; Karpicke, J. (2006). Test-Enhanced Learning: Taking Memory Tests Improves Long-Term Retention. Psychological Science, 17(3), 249-255.</v>
      </c>
      <c r="B89">
        <f>'t-LTM Multiple'!AA89</f>
        <v>604800</v>
      </c>
      <c r="C89" s="173">
        <f>B89/(60*60*24)</f>
        <v>7</v>
      </c>
      <c r="D89" s="63">
        <f>'t-LTM Multiple'!AM89</f>
        <v>-8.0944359945756023E-2</v>
      </c>
    </row>
    <row r="91" spans="1:4" x14ac:dyDescent="0.25">
      <c r="A91" t="str">
        <f>'t-LTM Multiple'!B91</f>
        <v>Roediger, H., &amp; Karpicke, J. (2006). Test-Enhanced Learning: Taking Memory Tests Improves Long-Term Retention. Psychological Science, 17(3), 249-255.</v>
      </c>
      <c r="B91">
        <f>'t-LTM Multiple'!AA91</f>
        <v>604800</v>
      </c>
      <c r="C91" s="173">
        <f>B91/(60*60*24)</f>
        <v>7</v>
      </c>
      <c r="D91" s="63">
        <f>'t-LTM Multiple'!AM91</f>
        <v>-3.0531369288992204E-2</v>
      </c>
    </row>
    <row r="93" spans="1:4" x14ac:dyDescent="0.25">
      <c r="A93" t="str">
        <f>'t-LTM Multiple'!B93</f>
        <v>Roediger, H., Weldon, M., Stadler, M., Riegler, G., &amp; Rayner, Keith. (1992). Direct Comparison of Two Implicit Memory Tests: Word Fragment and Word Stem Completion. Journal of Experimental Psychology: Learning, Memory, and Cognition, 18(6), 1251-1269.</v>
      </c>
      <c r="B93">
        <f>'t-LTM Multiple'!AA93</f>
        <v>172800</v>
      </c>
      <c r="C93" s="173">
        <f>B93/(60*60*24)</f>
        <v>2</v>
      </c>
      <c r="D93" s="63">
        <f>'t-LTM Multiple'!AM93</f>
        <v>-6.608223809561338E-3</v>
      </c>
    </row>
    <row r="95" spans="1:4" x14ac:dyDescent="0.25">
      <c r="A95" t="str">
        <f>'t-LTM Multiple'!B95</f>
        <v>Roediger, H., Weldon, M., Stadler, M., Riegler, G., &amp; Rayner, Keith. (1992). Direct Comparison of Two Implicit Memory Tests: Word Fragment and Word Stem Completion. Journal of Experimental Psychology: Learning, Memory, and Cognition, 18(6), 1251-1269.</v>
      </c>
      <c r="B95">
        <f>'t-LTM Multiple'!AA95</f>
        <v>172800</v>
      </c>
      <c r="C95" s="173">
        <f>B95/(60*60*24)</f>
        <v>2</v>
      </c>
      <c r="D95" s="63">
        <f>'t-LTM Multiple'!AM95</f>
        <v>-3.1675062942645014E-2</v>
      </c>
    </row>
    <row r="97" spans="1:4" x14ac:dyDescent="0.25">
      <c r="A97" t="str">
        <f>'t-LTM Multiple'!B97</f>
        <v>Roediger, H., Weldon, M., Stadler, M., Riegler, G., &amp; Rayner, Keith. (1992). Direct Comparison of Two Implicit Memory Tests: Word Fragment and Word Stem Completion. Journal of Experimental Psychology: Learning, Memory, and Cognition, 18(6), 1251-1269.</v>
      </c>
      <c r="B97">
        <f>'t-LTM Multiple'!AA97</f>
        <v>172800</v>
      </c>
      <c r="C97" s="173">
        <f>B97/(60*60*24)</f>
        <v>2</v>
      </c>
      <c r="D97" s="63">
        <f>'t-LTM Multiple'!AM97</f>
        <v>-1.3533791069429216E-2</v>
      </c>
    </row>
    <row r="99" spans="1:4" x14ac:dyDescent="0.25">
      <c r="A99" t="str">
        <f>'t-LTM Multiple'!B99</f>
        <v>Roediger, H., Weldon, M., Stadler, M., Riegler, G., &amp; Rayner, Keith. (1992). Direct Comparison of Two Implicit Memory Tests: Word Fragment and Word Stem Completion. Journal of Experimental Psychology: Learning, Memory, and Cognition, 18(6), 1251-1269.</v>
      </c>
      <c r="B99">
        <f>'t-LTM Multiple'!AA99</f>
        <v>604800</v>
      </c>
      <c r="C99" s="173">
        <f>B99/(60*60*24)</f>
        <v>7</v>
      </c>
      <c r="D99" s="63">
        <f>'t-LTM Multiple'!AM99</f>
        <v>-1.3158155476526311E-3</v>
      </c>
    </row>
    <row r="101" spans="1:4" x14ac:dyDescent="0.25">
      <c r="A101" t="str">
        <f>'t-LTM Multiple'!B101</f>
        <v>Roediger, H., Weldon, M., Stadler, M., Riegler, G., &amp; Rayner, Keith. (1992). Direct Comparison of Two Implicit Memory Tests: Word Fragment and Word Stem Completion. Journal of Experimental Psychology: Learning, Memory, and Cognition, 18(6), 1251-1269.</v>
      </c>
      <c r="B101">
        <f>'t-LTM Multiple'!AA101</f>
        <v>604800</v>
      </c>
      <c r="C101" s="173">
        <f>B101/(60*60*24)</f>
        <v>7</v>
      </c>
      <c r="D101" s="63">
        <f>'t-LTM Multiple'!AM101</f>
        <v>-3.6202616039798775E-2</v>
      </c>
    </row>
    <row r="103" spans="1:4" x14ac:dyDescent="0.25">
      <c r="A103" t="str">
        <f>'t-LTM Multiple'!B103</f>
        <v>Roediger, H., Weldon, M., Stadler, M., Riegler, G., &amp; Rayner, Keith. (1992). Direct Comparison of Two Implicit Memory Tests: Word Fragment and Word Stem Completion. Journal of Experimental Psychology: Learning, Memory, and Cognition, 18(6), 1251-1269.</v>
      </c>
      <c r="B103">
        <f>'t-LTM Multiple'!AA103</f>
        <v>604800</v>
      </c>
      <c r="C103" s="173">
        <f>B103/(60*60*24)</f>
        <v>7</v>
      </c>
      <c r="D103" s="63">
        <f>'t-LTM Multiple'!AM103</f>
        <v>-3.5544064179208461E-2</v>
      </c>
    </row>
    <row r="105" spans="1:4" x14ac:dyDescent="0.25">
      <c r="A105" t="str">
        <f>'t-LTM Multiple'!B105</f>
        <v>Roediger, H., Weldon, M., Stadler, M., Riegler, G., &amp; Rayner, Keith. (1992). Direct Comparison of Two Implicit Memory Tests: Word Fragment and Word Stem Completion. Journal of Experimental Psychology: Learning, Memory, and Cognition, 18(6), 1251-1269.</v>
      </c>
      <c r="B105">
        <f>'t-LTM Multiple'!AA105</f>
        <v>604800</v>
      </c>
      <c r="C105" s="173">
        <f>B105/(60*60*24)</f>
        <v>7</v>
      </c>
      <c r="D105" s="63">
        <f>'t-LTM Multiple'!AM105</f>
        <v>-6.6988517765718E-2</v>
      </c>
    </row>
    <row r="107" spans="1:4" x14ac:dyDescent="0.25">
      <c r="A107" t="str">
        <f>'t-LTM Multiple'!B107</f>
        <v>Slamecka, Norman J., &amp; McElree, Brian. (1983). Normal Forgetting of Verbal Lists as a Function of Their Degree of Learning. Journal of Experimental Psychology: Learning, Memory, and Cognition, 9(3), 384-97.</v>
      </c>
      <c r="B107">
        <f>'t-LTM Multiple'!AA107</f>
        <v>432000</v>
      </c>
      <c r="C107" s="173">
        <f>B107/(60*60*24)</f>
        <v>5</v>
      </c>
      <c r="D107" s="63">
        <f>'t-LTM Multiple'!AM107</f>
        <v>-4.7047267276957058E-2</v>
      </c>
    </row>
    <row r="109" spans="1:4" x14ac:dyDescent="0.25">
      <c r="A109" t="str">
        <f>'t-LTM Multiple'!B109</f>
        <v>Slamecka, Norman J., &amp; McElree, Brian. (1983). Normal Forgetting of Verbal Lists as a Function of Their Degree of Learning. Journal of Experimental Psychology: Learning, Memory, and Cognition, 9(3), 384-97.</v>
      </c>
      <c r="B109">
        <f>'t-LTM Multiple'!AA109</f>
        <v>432000</v>
      </c>
      <c r="C109" s="173">
        <f>B109/(60*60*24)</f>
        <v>5</v>
      </c>
      <c r="D109" s="63">
        <f>'t-LTM Multiple'!AM109</f>
        <v>-2.1626797899197983E-2</v>
      </c>
    </row>
    <row r="111" spans="1:4" x14ac:dyDescent="0.25">
      <c r="A111" t="str">
        <f>'t-LTM Multiple'!B111</f>
        <v>Slamecka, Norman J., &amp; McElree, Brian. (1983). Normal Forgetting of Verbal Lists as a Function of Their Degree of Learning. Journal of Experimental Psychology: Learning, Memory, and Cognition, 9(3), 384-97.</v>
      </c>
      <c r="B111">
        <f>'t-LTM Multiple'!AA111</f>
        <v>432000</v>
      </c>
      <c r="C111" s="173">
        <f>B111/(60*60*24)</f>
        <v>5</v>
      </c>
      <c r="D111" s="63">
        <f>'t-LTM Multiple'!AM111</f>
        <v>-7.4195209043765004E-2</v>
      </c>
    </row>
    <row r="113" spans="1:4" x14ac:dyDescent="0.25">
      <c r="A113" t="str">
        <f>'t-LTM Multiple'!B113</f>
        <v>Slamecka, Norman J., &amp; McElree, Brian. (1983). Normal Forgetting of Verbal Lists as a Function of Their Degree of Learning. Journal of Experimental Psychology: Learning, Memory, and Cognition, 9(3), 384-97.</v>
      </c>
      <c r="B113">
        <f>'t-LTM Multiple'!AA113</f>
        <v>432000</v>
      </c>
      <c r="C113" s="173">
        <f>B113/(60*60*24)</f>
        <v>5</v>
      </c>
      <c r="D113" s="63">
        <f>'t-LTM Multiple'!AM113</f>
        <v>-0.11448742767495147</v>
      </c>
    </row>
    <row r="115" spans="1:4" x14ac:dyDescent="0.25">
      <c r="A115" t="str">
        <f>'t-LTM Multiple'!B115</f>
        <v>Slamecka, Norman J., &amp; McElree, Brian. (1983). Normal Forgetting of Verbal Lists as a Function of Their Degree of Learning. Journal of Experimental Psychology: Learning, Memory, and Cognition, 9(3), 384-97.</v>
      </c>
      <c r="B115">
        <f>'t-LTM Multiple'!AA115</f>
        <v>432000</v>
      </c>
      <c r="C115" s="173">
        <f>B115/(60*60*24)</f>
        <v>5</v>
      </c>
      <c r="D115" s="63">
        <f>'t-LTM Multiple'!AM115</f>
        <v>-3.0297082499087184E-2</v>
      </c>
    </row>
    <row r="117" spans="1:4" x14ac:dyDescent="0.25">
      <c r="A117" t="str">
        <f>'t-LTM Multiple'!B117</f>
        <v>Slamecka, Norman J., &amp; McElree, Brian. (1983). Normal Forgetting of Verbal Lists as a Function of Their Degree of Learning. Journal of Experimental Psychology: Learning, Memory, and Cognition, 9(3), 384-97.</v>
      </c>
      <c r="B117">
        <f>'t-LTM Multiple'!AA117</f>
        <v>432000</v>
      </c>
      <c r="C117" s="173">
        <f>B117/(60*60*24)</f>
        <v>5</v>
      </c>
      <c r="D117" s="63">
        <f>'t-LTM Multiple'!AM117</f>
        <v>-6.296850928148294E-2</v>
      </c>
    </row>
    <row r="119" spans="1:4" x14ac:dyDescent="0.25">
      <c r="A119" t="str">
        <f>'t-LTM Multiple'!B119</f>
        <v>Slamecka, Norman J., &amp; McElree, Brian. (1983). Normal Forgetting of Verbal Lists as a Function of Their Degree of Learning. Journal of Experimental Psychology: Learning, Memory, and Cognition, 9(3), 384-97.</v>
      </c>
      <c r="B119">
        <f>'t-LTM Multiple'!AA119</f>
        <v>432000</v>
      </c>
      <c r="C119" s="173">
        <f>B119/(60*60*24)</f>
        <v>5</v>
      </c>
      <c r="D119" s="63">
        <f>'t-LTM Multiple'!AM119</f>
        <v>-0.11857085286319295</v>
      </c>
    </row>
    <row r="121" spans="1:4" x14ac:dyDescent="0.25">
      <c r="A121" t="str">
        <f>'t-LTM Multiple'!B121</f>
        <v>Slamecka, Norman J., &amp; McElree, Brian. (1983). Normal Forgetting of Verbal Lists as a Function of Their Degree of Learning. Journal of Experimental Psychology: Learning, Memory, and Cognition, 9(3), 384-97.</v>
      </c>
      <c r="B121">
        <f>'t-LTM Multiple'!AA121</f>
        <v>432000</v>
      </c>
      <c r="C121" s="173">
        <f>B121/(60*60*24)</f>
        <v>5</v>
      </c>
      <c r="D121" s="63">
        <f>'t-LTM Multiple'!AM121</f>
        <v>-0.17689204805834827</v>
      </c>
    </row>
    <row r="123" spans="1:4" x14ac:dyDescent="0.25">
      <c r="A123" t="str">
        <f>'t-LTM Multiple'!B123</f>
        <v>Squire, Shimamura, &amp; Graf. (1987). Strength and duration of priming effects in normal subjects and amnesic patients. Neuropsychologia, 25(1), 195-210.</v>
      </c>
      <c r="B123">
        <f>'t-LTM Multiple'!AA123</f>
        <v>345600</v>
      </c>
      <c r="C123" s="173">
        <f>B123/(60*60*24)</f>
        <v>4</v>
      </c>
      <c r="D123" s="63">
        <f>'t-LTM Multiple'!AM123</f>
        <v>-0.12584385151476263</v>
      </c>
    </row>
    <row r="125" spans="1:4" x14ac:dyDescent="0.25">
      <c r="A125" t="str">
        <f>'t-LTM Multiple'!B125</f>
        <v>Squire, Shimamura, &amp; Graf. (1987). Strength and duration of priming effects in normal subjects and amnesic patients. Neuropsychologia, 25(1), 195-210.</v>
      </c>
      <c r="B125">
        <f>'t-LTM Multiple'!AA125</f>
        <v>345600</v>
      </c>
      <c r="C125" s="173">
        <f>B125/(60*60*24)</f>
        <v>4</v>
      </c>
      <c r="D125" s="63">
        <f>'t-LTM Multiple'!AM125</f>
        <v>-1.3421737689918316E-2</v>
      </c>
    </row>
    <row r="127" spans="1:4" x14ac:dyDescent="0.25">
      <c r="A127" t="str">
        <f>'t-LTM Multiple'!B127</f>
        <v>Squire, Shimamura, &amp; Graf. (1987). Strength and duration of priming effects in normal subjects and amnesic patients. Neuropsychologia, 25(1), 195-210.</v>
      </c>
      <c r="B127">
        <f>'t-LTM Multiple'!AA127</f>
        <v>345600</v>
      </c>
      <c r="C127" s="173">
        <f>B127/(60*60*24)</f>
        <v>4</v>
      </c>
      <c r="D127" s="63">
        <f>'t-LTM Multiple'!AM127</f>
        <v>-3.9822798515654179E-2</v>
      </c>
    </row>
    <row r="129" spans="1:4" x14ac:dyDescent="0.25">
      <c r="A129" t="str">
        <f>'t-LTM Multiple'!B129</f>
        <v>Squire, Shimamura, &amp; Graf. (1987). Strength and duration of priming effects in normal subjects and amnesic patients. Neuropsychologia, 25(1), 195-210.</v>
      </c>
      <c r="B129">
        <f>'t-LTM Multiple'!AA129</f>
        <v>345600</v>
      </c>
      <c r="C129" s="173">
        <f>B129/(60*60*24)</f>
        <v>4</v>
      </c>
      <c r="D129" s="63">
        <f>'t-LTM Multiple'!AM129</f>
        <v>-3.1740126568580003E-2</v>
      </c>
    </row>
    <row r="131" spans="1:4" x14ac:dyDescent="0.25">
      <c r="A131" t="str">
        <f>'t-LTM Multiple'!B131</f>
        <v>Squire, Shimamura, &amp; Graf. (1987). Strength and duration of priming effects in normal subjects and amnesic patients. Neuropsychologia, 25(1), 195-210.</v>
      </c>
      <c r="B131">
        <f>'t-LTM Multiple'!AA131</f>
        <v>345600</v>
      </c>
      <c r="C131" s="173">
        <f>B131/(60*60*24)</f>
        <v>4</v>
      </c>
      <c r="D131" s="63">
        <f>'t-LTM Multiple'!AM131</f>
        <v>-1.5841644314709771E-2</v>
      </c>
    </row>
    <row r="133" spans="1:4" x14ac:dyDescent="0.25">
      <c r="A133" t="str">
        <f>'t-LTM Multiple'!B133</f>
        <v>Squire, Shimamura, &amp; Graf. (1987). Strength and duration of priming effects in normal subjects and amnesic patients. Neuropsychologia, 25(1), 195-210.</v>
      </c>
      <c r="B133">
        <f>'t-LTM Multiple'!AA133</f>
        <v>345600</v>
      </c>
      <c r="C133" s="173">
        <f>B133/(60*60*24)</f>
        <v>4</v>
      </c>
      <c r="D133" s="63">
        <f>'t-LTM Multiple'!AM133</f>
        <v>-7.4565124405694197E-3</v>
      </c>
    </row>
    <row r="135" spans="1:4" x14ac:dyDescent="0.25">
      <c r="A135" t="str">
        <f>'t-LTM Multiple'!B135</f>
        <v>Squire, Shimamura, &amp; Graf. (1987). Strength and duration of priming effects in normal subjects and amnesic patients. Neuropsychologia, 25(1), 195-210.</v>
      </c>
      <c r="B135">
        <f>'t-LTM Multiple'!AA135</f>
        <v>345600</v>
      </c>
      <c r="C135" s="173">
        <f>B135/(60*60*24)</f>
        <v>4</v>
      </c>
      <c r="D135" s="63">
        <f>'t-LTM Multiple'!AM135</f>
        <v>-3.4003689699636484E-2</v>
      </c>
    </row>
    <row r="137" spans="1:4" x14ac:dyDescent="0.25">
      <c r="A137" t="str">
        <f>'t-LTM Multiple'!B137</f>
        <v>Squire, Shimamura, &amp; Graf. (1987). Strength and duration of priming effects in normal subjects and amnesic patients. Neuropsychologia, 25(1), 195-210.</v>
      </c>
      <c r="B137">
        <f>'t-LTM Multiple'!AA137</f>
        <v>345600</v>
      </c>
      <c r="C137" s="173">
        <f>B137/(60*60*24)</f>
        <v>4</v>
      </c>
      <c r="D137" s="63">
        <f>'t-LTM Multiple'!AM137</f>
        <v>-4.7770438890395409E-2</v>
      </c>
    </row>
    <row r="139" spans="1:4" x14ac:dyDescent="0.25">
      <c r="A139" t="str">
        <f>'t-LTM Multiple'!B139</f>
        <v>Squire, Shimamura, &amp; Graf. (1987). Strength and duration of priming effects in normal subjects and amnesic patients. Neuropsychologia, 25(1), 195-210.</v>
      </c>
      <c r="B139">
        <f>'t-LTM Multiple'!AA139</f>
        <v>345600</v>
      </c>
      <c r="C139" s="173">
        <f>B139/(60*60*24)</f>
        <v>4</v>
      </c>
      <c r="D139" s="63">
        <f>'t-LTM Multiple'!AM139</f>
        <v>-1.0317972422053043E-2</v>
      </c>
    </row>
    <row r="141" spans="1:4" x14ac:dyDescent="0.25">
      <c r="A141" t="str">
        <f>'t-LTM Multiple'!B141</f>
        <v>Squire, Shimamura, &amp; Graf. (1987). Strength and duration of priming effects in normal subjects and amnesic patients. Neuropsychologia, 25(1), 195-210.</v>
      </c>
      <c r="B141">
        <f>'t-LTM Multiple'!AA141</f>
        <v>345600</v>
      </c>
      <c r="C141" s="173">
        <f>B141/(60*60*24)</f>
        <v>4</v>
      </c>
      <c r="D141" s="63">
        <f>'t-LTM Multiple'!AM141</f>
        <v>-1.4681956713335026E-2</v>
      </c>
    </row>
    <row r="143" spans="1:4" x14ac:dyDescent="0.25">
      <c r="A143" t="str">
        <f>'t-LTM Multiple'!B143</f>
        <v>Youtz, A. C. (1941). An experimental evaluation of Jost's laws. The psychological monographs, 238, 1-54.</v>
      </c>
      <c r="B143">
        <f>'t-LTM Multiple'!AA143</f>
        <v>86400</v>
      </c>
      <c r="C143" s="173">
        <f>B143/(60*60*24)</f>
        <v>1</v>
      </c>
      <c r="D143" s="63">
        <f>'t-LTM Multiple'!AM143</f>
        <v>-5.234539928858041E-2</v>
      </c>
    </row>
    <row r="145" spans="3:4" x14ac:dyDescent="0.25">
      <c r="C145" s="173"/>
      <c r="D145" s="63"/>
    </row>
    <row r="147" spans="3:4" x14ac:dyDescent="0.25">
      <c r="C147" s="173"/>
      <c r="D147" s="63"/>
    </row>
    <row r="149" spans="3:4" x14ac:dyDescent="0.25">
      <c r="C149" s="173"/>
      <c r="D149" s="63"/>
    </row>
    <row r="151" spans="3:4" x14ac:dyDescent="0.25">
      <c r="C151" s="173"/>
      <c r="D151" s="63"/>
    </row>
    <row r="153" spans="3:4" x14ac:dyDescent="0.25">
      <c r="C153" s="173"/>
      <c r="D153" s="63"/>
    </row>
    <row r="155" spans="3:4" x14ac:dyDescent="0.25">
      <c r="C155" s="173"/>
      <c r="D155" s="63"/>
    </row>
    <row r="157" spans="3:4" x14ac:dyDescent="0.25">
      <c r="C157" s="173"/>
      <c r="D157" s="63"/>
    </row>
    <row r="159" spans="3:4" x14ac:dyDescent="0.25">
      <c r="C159" s="173"/>
      <c r="D159" s="63"/>
    </row>
    <row r="161" spans="3:4" x14ac:dyDescent="0.25">
      <c r="C161" s="173"/>
      <c r="D161" s="63"/>
    </row>
    <row r="163" spans="3:4" x14ac:dyDescent="0.25">
      <c r="C163" s="173"/>
      <c r="D163" s="63"/>
    </row>
    <row r="165" spans="3:4" x14ac:dyDescent="0.25">
      <c r="C165" s="173"/>
      <c r="D165" s="63"/>
    </row>
    <row r="167" spans="3:4" x14ac:dyDescent="0.25">
      <c r="C167" s="173"/>
      <c r="D167" s="63"/>
    </row>
    <row r="169" spans="3:4" x14ac:dyDescent="0.25">
      <c r="C169" s="173"/>
      <c r="D169" s="63"/>
    </row>
    <row r="171" spans="3:4" x14ac:dyDescent="0.25">
      <c r="C171" s="173"/>
      <c r="D171" s="63"/>
    </row>
    <row r="173" spans="3:4" x14ac:dyDescent="0.25">
      <c r="C173" s="173"/>
      <c r="D173" s="63"/>
    </row>
    <row r="175" spans="3:4" x14ac:dyDescent="0.25">
      <c r="C175" s="173"/>
      <c r="D175" s="63"/>
    </row>
    <row r="177" spans="3:4" x14ac:dyDescent="0.25">
      <c r="C177" s="173"/>
      <c r="D177" s="63"/>
    </row>
    <row r="179" spans="3:4" x14ac:dyDescent="0.25">
      <c r="C179" s="173"/>
      <c r="D179" s="63"/>
    </row>
    <row r="181" spans="3:4" x14ac:dyDescent="0.25">
      <c r="C181" s="173"/>
      <c r="D181" s="63"/>
    </row>
    <row r="183" spans="3:4" x14ac:dyDescent="0.25">
      <c r="C183" s="173"/>
      <c r="D183" s="63"/>
    </row>
    <row r="185" spans="3:4" x14ac:dyDescent="0.25">
      <c r="C185" s="173"/>
      <c r="D185" s="63"/>
    </row>
    <row r="187" spans="3:4" x14ac:dyDescent="0.25">
      <c r="C187" s="173"/>
      <c r="D187" s="63"/>
    </row>
    <row r="189" spans="3:4" x14ac:dyDescent="0.25">
      <c r="C189" s="173"/>
      <c r="D189" s="63"/>
    </row>
    <row r="191" spans="3:4" x14ac:dyDescent="0.25">
      <c r="C191" s="173"/>
      <c r="D191" s="63"/>
    </row>
    <row r="193" spans="3:4" x14ac:dyDescent="0.25">
      <c r="C193" s="173"/>
      <c r="D193" s="63"/>
    </row>
    <row r="194" spans="3:4" x14ac:dyDescent="0.25">
      <c r="C194" s="173"/>
    </row>
    <row r="195" spans="3:4" x14ac:dyDescent="0.25">
      <c r="C195" s="173"/>
      <c r="D195" s="63"/>
    </row>
    <row r="196" spans="3:4" x14ac:dyDescent="0.25">
      <c r="C196" s="173"/>
    </row>
    <row r="197" spans="3:4" x14ac:dyDescent="0.25">
      <c r="C197" s="173"/>
      <c r="D197" s="63"/>
    </row>
    <row r="198" spans="3:4" x14ac:dyDescent="0.25">
      <c r="C198" s="173"/>
    </row>
    <row r="199" spans="3:4" x14ac:dyDescent="0.25">
      <c r="C199" s="173"/>
      <c r="D199" s="63"/>
    </row>
    <row r="200" spans="3:4" x14ac:dyDescent="0.25">
      <c r="C200" s="173"/>
    </row>
    <row r="201" spans="3:4" x14ac:dyDescent="0.25">
      <c r="C201" s="173"/>
      <c r="D201" s="63"/>
    </row>
    <row r="202" spans="3:4" x14ac:dyDescent="0.25">
      <c r="C202" s="173"/>
    </row>
    <row r="203" spans="3:4" x14ac:dyDescent="0.25">
      <c r="C203" s="173"/>
      <c r="D203" s="63"/>
    </row>
    <row r="204" spans="3:4" x14ac:dyDescent="0.25">
      <c r="C204" s="173"/>
    </row>
    <row r="205" spans="3:4" x14ac:dyDescent="0.25">
      <c r="C205" s="173"/>
      <c r="D205" s="63"/>
    </row>
    <row r="206" spans="3:4" x14ac:dyDescent="0.25">
      <c r="C206" s="173"/>
    </row>
    <row r="207" spans="3:4" x14ac:dyDescent="0.25">
      <c r="C207" s="173"/>
      <c r="D207" s="63"/>
    </row>
    <row r="208" spans="3:4" x14ac:dyDescent="0.25">
      <c r="C208" s="173"/>
    </row>
    <row r="209" spans="3:4" x14ac:dyDescent="0.25">
      <c r="C209" s="173"/>
      <c r="D209" s="63"/>
    </row>
    <row r="210" spans="3:4" x14ac:dyDescent="0.25">
      <c r="C210" s="173"/>
    </row>
    <row r="211" spans="3:4" x14ac:dyDescent="0.25">
      <c r="C211" s="173"/>
      <c r="D211" s="63"/>
    </row>
    <row r="212" spans="3:4" x14ac:dyDescent="0.25">
      <c r="C212" s="173"/>
    </row>
    <row r="213" spans="3:4" x14ac:dyDescent="0.25">
      <c r="C213" s="173"/>
      <c r="D213" s="63"/>
    </row>
    <row r="214" spans="3:4" x14ac:dyDescent="0.25">
      <c r="C214" s="173"/>
    </row>
    <row r="215" spans="3:4" x14ac:dyDescent="0.25">
      <c r="C215" s="173"/>
      <c r="D215" s="63"/>
    </row>
    <row r="216" spans="3:4" x14ac:dyDescent="0.25">
      <c r="C216" s="173"/>
    </row>
    <row r="217" spans="3:4" x14ac:dyDescent="0.25">
      <c r="C217" s="173"/>
      <c r="D217" s="63"/>
    </row>
    <row r="218" spans="3:4" x14ac:dyDescent="0.25">
      <c r="C218" s="173"/>
    </row>
    <row r="219" spans="3:4" x14ac:dyDescent="0.25">
      <c r="C219" s="173"/>
      <c r="D219" s="63"/>
    </row>
    <row r="220" spans="3:4" x14ac:dyDescent="0.25">
      <c r="C220" s="173"/>
    </row>
    <row r="221" spans="3:4" x14ac:dyDescent="0.25">
      <c r="C221" s="173"/>
      <c r="D221" s="63"/>
    </row>
    <row r="222" spans="3:4" x14ac:dyDescent="0.25">
      <c r="C222" s="173"/>
    </row>
    <row r="223" spans="3:4" x14ac:dyDescent="0.25">
      <c r="C223" s="173"/>
      <c r="D223" s="63"/>
    </row>
    <row r="224" spans="3:4" x14ac:dyDescent="0.25">
      <c r="C224" s="173"/>
    </row>
    <row r="225" spans="3:4" x14ac:dyDescent="0.25">
      <c r="C225" s="173"/>
      <c r="D225" s="63"/>
    </row>
    <row r="226" spans="3:4" x14ac:dyDescent="0.25">
      <c r="C226" s="173"/>
    </row>
    <row r="227" spans="3:4" x14ac:dyDescent="0.25">
      <c r="C227" s="173"/>
      <c r="D227" s="63"/>
    </row>
    <row r="228" spans="3:4" x14ac:dyDescent="0.25">
      <c r="C228" s="173"/>
    </row>
    <row r="229" spans="3:4" x14ac:dyDescent="0.25">
      <c r="C229" s="173"/>
      <c r="D229" s="63"/>
    </row>
    <row r="230" spans="3:4" x14ac:dyDescent="0.25">
      <c r="C230" s="173"/>
    </row>
    <row r="231" spans="3:4" x14ac:dyDescent="0.25">
      <c r="C231" s="173"/>
      <c r="D231" s="63"/>
    </row>
    <row r="232" spans="3:4" x14ac:dyDescent="0.25">
      <c r="C232" s="173"/>
    </row>
    <row r="233" spans="3:4" x14ac:dyDescent="0.25">
      <c r="C233" s="173"/>
      <c r="D233" s="63"/>
    </row>
    <row r="234" spans="3:4" x14ac:dyDescent="0.25">
      <c r="C234" s="173"/>
    </row>
    <row r="235" spans="3:4" x14ac:dyDescent="0.25">
      <c r="C235" s="173"/>
      <c r="D235" s="63"/>
    </row>
    <row r="236" spans="3:4" x14ac:dyDescent="0.25">
      <c r="C236" s="173"/>
    </row>
    <row r="237" spans="3:4" x14ac:dyDescent="0.25">
      <c r="C237" s="173"/>
      <c r="D237" s="63"/>
    </row>
    <row r="238" spans="3:4" x14ac:dyDescent="0.25">
      <c r="C238" s="173"/>
    </row>
    <row r="239" spans="3:4" x14ac:dyDescent="0.25">
      <c r="C239" s="173"/>
      <c r="D239" s="63"/>
    </row>
    <row r="240" spans="3:4" x14ac:dyDescent="0.25">
      <c r="C240" s="173"/>
    </row>
    <row r="241" spans="3:4" x14ac:dyDescent="0.25">
      <c r="C241" s="173"/>
      <c r="D241" s="63"/>
    </row>
    <row r="242" spans="3:4" x14ac:dyDescent="0.25">
      <c r="C242" s="173"/>
    </row>
    <row r="243" spans="3:4" x14ac:dyDescent="0.25">
      <c r="C243" s="173"/>
      <c r="D243" s="63"/>
    </row>
    <row r="244" spans="3:4" x14ac:dyDescent="0.25">
      <c r="C244" s="173"/>
    </row>
    <row r="245" spans="3:4" x14ac:dyDescent="0.25">
      <c r="C245" s="173"/>
      <c r="D245" s="63"/>
    </row>
    <row r="246" spans="3:4" x14ac:dyDescent="0.25">
      <c r="C246" s="173"/>
    </row>
    <row r="247" spans="3:4" x14ac:dyDescent="0.25">
      <c r="C247" s="173"/>
      <c r="D247" s="63"/>
    </row>
    <row r="248" spans="3:4" x14ac:dyDescent="0.25">
      <c r="C248" s="173"/>
    </row>
    <row r="249" spans="3:4" x14ac:dyDescent="0.25">
      <c r="C249" s="173"/>
      <c r="D249" s="63"/>
    </row>
    <row r="250" spans="3:4" x14ac:dyDescent="0.25">
      <c r="C250" s="173"/>
    </row>
    <row r="251" spans="3:4" x14ac:dyDescent="0.25">
      <c r="C251" s="173"/>
      <c r="D251" s="63"/>
    </row>
    <row r="252" spans="3:4" x14ac:dyDescent="0.25">
      <c r="C252" s="173"/>
    </row>
    <row r="253" spans="3:4" x14ac:dyDescent="0.25">
      <c r="C253" s="173"/>
      <c r="D253" s="63"/>
    </row>
    <row r="254" spans="3:4" x14ac:dyDescent="0.25">
      <c r="C254" s="173"/>
    </row>
    <row r="255" spans="3:4" x14ac:dyDescent="0.25">
      <c r="C255" s="173"/>
      <c r="D255" s="63"/>
    </row>
    <row r="256" spans="3:4" x14ac:dyDescent="0.25">
      <c r="C256" s="173"/>
    </row>
    <row r="257" spans="3:4" x14ac:dyDescent="0.25">
      <c r="C257" s="173"/>
      <c r="D257" s="63"/>
    </row>
    <row r="258" spans="3:4" x14ac:dyDescent="0.25">
      <c r="C258" s="173"/>
    </row>
    <row r="259" spans="3:4" x14ac:dyDescent="0.25">
      <c r="C259" s="173"/>
      <c r="D259" s="63"/>
    </row>
    <row r="260" spans="3:4" x14ac:dyDescent="0.25">
      <c r="C260" s="173"/>
    </row>
    <row r="261" spans="3:4" x14ac:dyDescent="0.25">
      <c r="C261" s="173"/>
      <c r="D261" s="63"/>
    </row>
    <row r="262" spans="3:4" x14ac:dyDescent="0.25">
      <c r="C262" s="173"/>
    </row>
    <row r="263" spans="3:4" x14ac:dyDescent="0.25">
      <c r="C263" s="173"/>
      <c r="D263" s="63"/>
    </row>
    <row r="264" spans="3:4" x14ac:dyDescent="0.25">
      <c r="C264" s="173"/>
    </row>
    <row r="265" spans="3:4" x14ac:dyDescent="0.25">
      <c r="C265" s="173"/>
      <c r="D265" s="63"/>
    </row>
    <row r="266" spans="3:4" x14ac:dyDescent="0.25">
      <c r="C266" s="173"/>
    </row>
    <row r="267" spans="3:4" x14ac:dyDescent="0.25">
      <c r="C267" s="173"/>
      <c r="D267" s="63"/>
    </row>
    <row r="268" spans="3:4" x14ac:dyDescent="0.25">
      <c r="C268" s="173"/>
    </row>
    <row r="269" spans="3:4" x14ac:dyDescent="0.25">
      <c r="C269" s="173"/>
      <c r="D269" s="63"/>
    </row>
    <row r="270" spans="3:4" x14ac:dyDescent="0.25">
      <c r="C270" s="173"/>
    </row>
    <row r="271" spans="3:4" x14ac:dyDescent="0.25">
      <c r="C271" s="173"/>
      <c r="D271" s="63"/>
    </row>
    <row r="272" spans="3:4" x14ac:dyDescent="0.25">
      <c r="C272" s="173"/>
    </row>
    <row r="273" spans="3:4" x14ac:dyDescent="0.25">
      <c r="C273" s="173"/>
      <c r="D273" s="63"/>
    </row>
    <row r="274" spans="3:4" x14ac:dyDescent="0.25">
      <c r="C274" s="173"/>
    </row>
    <row r="275" spans="3:4" x14ac:dyDescent="0.25">
      <c r="C275" s="173"/>
      <c r="D275" s="63"/>
    </row>
    <row r="276" spans="3:4" x14ac:dyDescent="0.25">
      <c r="C276" s="173"/>
    </row>
    <row r="277" spans="3:4" x14ac:dyDescent="0.25">
      <c r="C277" s="173"/>
      <c r="D277" s="63"/>
    </row>
    <row r="278" spans="3:4" x14ac:dyDescent="0.25">
      <c r="C278" s="173"/>
    </row>
    <row r="279" spans="3:4" x14ac:dyDescent="0.25">
      <c r="C279" s="173"/>
      <c r="D279" s="63"/>
    </row>
    <row r="280" spans="3:4" x14ac:dyDescent="0.25">
      <c r="C280" s="173"/>
    </row>
    <row r="281" spans="3:4" x14ac:dyDescent="0.25">
      <c r="C281" s="173"/>
      <c r="D281" s="63"/>
    </row>
    <row r="282" spans="3:4" x14ac:dyDescent="0.25">
      <c r="C282" s="173"/>
    </row>
    <row r="283" spans="3:4" x14ac:dyDescent="0.25">
      <c r="C283" s="173"/>
      <c r="D283" s="63"/>
    </row>
    <row r="284" spans="3:4" x14ac:dyDescent="0.25">
      <c r="C284" s="173"/>
    </row>
    <row r="285" spans="3:4" x14ac:dyDescent="0.25">
      <c r="C285" s="173"/>
      <c r="D285" s="63"/>
    </row>
    <row r="286" spans="3:4" x14ac:dyDescent="0.25">
      <c r="C286" s="173"/>
    </row>
    <row r="287" spans="3:4" x14ac:dyDescent="0.25">
      <c r="C287" s="173"/>
      <c r="D287" s="63"/>
    </row>
    <row r="288" spans="3:4" x14ac:dyDescent="0.25">
      <c r="C288" s="173"/>
    </row>
    <row r="289" spans="3:4" x14ac:dyDescent="0.25">
      <c r="C289" s="173"/>
      <c r="D289" s="63"/>
    </row>
    <row r="290" spans="3:4" x14ac:dyDescent="0.25">
      <c r="C290" s="173"/>
    </row>
    <row r="291" spans="3:4" x14ac:dyDescent="0.25">
      <c r="C291" s="173"/>
      <c r="D291" s="63"/>
    </row>
    <row r="292" spans="3:4" x14ac:dyDescent="0.25">
      <c r="C292" s="173"/>
    </row>
    <row r="293" spans="3:4" x14ac:dyDescent="0.25">
      <c r="C293" s="173"/>
      <c r="D293" s="63"/>
    </row>
    <row r="294" spans="3:4" x14ac:dyDescent="0.25">
      <c r="C294" s="173"/>
    </row>
    <row r="295" spans="3:4" x14ac:dyDescent="0.25">
      <c r="C295" s="173"/>
      <c r="D295" s="63"/>
    </row>
    <row r="296" spans="3:4" x14ac:dyDescent="0.25">
      <c r="C296" s="173"/>
    </row>
    <row r="297" spans="3:4" x14ac:dyDescent="0.25">
      <c r="C297" s="173"/>
      <c r="D297" s="63"/>
    </row>
    <row r="298" spans="3:4" x14ac:dyDescent="0.25">
      <c r="C298" s="173"/>
    </row>
    <row r="299" spans="3:4" x14ac:dyDescent="0.25">
      <c r="C299" s="173"/>
      <c r="D299" s="63"/>
    </row>
    <row r="300" spans="3:4" x14ac:dyDescent="0.25">
      <c r="C300" s="173"/>
    </row>
    <row r="301" spans="3:4" x14ac:dyDescent="0.25">
      <c r="C301" s="173"/>
      <c r="D301" s="63"/>
    </row>
    <row r="302" spans="3:4" x14ac:dyDescent="0.25">
      <c r="C302" s="173"/>
    </row>
    <row r="303" spans="3:4" x14ac:dyDescent="0.25">
      <c r="C303" s="173"/>
      <c r="D303" s="63"/>
    </row>
    <row r="305" spans="4:4" x14ac:dyDescent="0.25">
      <c r="D305" s="63"/>
    </row>
    <row r="307" spans="4:4" x14ac:dyDescent="0.25">
      <c r="D307" s="63"/>
    </row>
    <row r="309" spans="4:4" x14ac:dyDescent="0.25">
      <c r="D309" s="63"/>
    </row>
    <row r="311" spans="4:4" x14ac:dyDescent="0.25">
      <c r="D311" s="63"/>
    </row>
    <row r="313" spans="4:4" x14ac:dyDescent="0.25">
      <c r="D313" s="63"/>
    </row>
    <row r="315" spans="4:4" x14ac:dyDescent="0.25">
      <c r="D315" s="63"/>
    </row>
    <row r="317" spans="4:4" x14ac:dyDescent="0.25">
      <c r="D317" s="63"/>
    </row>
    <row r="319" spans="4:4" x14ac:dyDescent="0.25">
      <c r="D319" s="63"/>
    </row>
    <row r="321" spans="4:4" x14ac:dyDescent="0.25">
      <c r="D321" s="63"/>
    </row>
    <row r="323" spans="4:4" x14ac:dyDescent="0.25">
      <c r="D323" s="63"/>
    </row>
    <row r="325" spans="4:4" x14ac:dyDescent="0.25">
      <c r="D325" s="63"/>
    </row>
    <row r="327" spans="4:4" x14ac:dyDescent="0.25">
      <c r="D327" s="63"/>
    </row>
    <row r="329" spans="4:4" x14ac:dyDescent="0.25">
      <c r="D329" s="63"/>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U225"/>
  <sheetViews>
    <sheetView workbookViewId="0">
      <pane ySplit="1" topLeftCell="A2" activePane="bottomLeft" state="frozen"/>
      <selection activeCell="U1" sqref="U1"/>
      <selection pane="bottomLeft" activeCell="A2" sqref="A2"/>
    </sheetView>
  </sheetViews>
  <sheetFormatPr defaultColWidth="5.28515625" defaultRowHeight="12.75" outlineLevelCol="1" x14ac:dyDescent="0.2"/>
  <cols>
    <col min="1" max="1" width="11.28515625" style="61" bestFit="1" customWidth="1"/>
    <col min="2" max="2" width="9.7109375" style="14" customWidth="1"/>
    <col min="3" max="3" width="17.85546875" style="14" customWidth="1"/>
    <col min="4" max="4" width="6.85546875" style="64" customWidth="1"/>
    <col min="5" max="5" width="4.28515625" style="77" customWidth="1"/>
    <col min="6" max="6" width="10.28515625" style="64" bestFit="1" customWidth="1"/>
    <col min="7" max="7" width="9.28515625" style="64" customWidth="1"/>
    <col min="8" max="8" width="14.85546875" style="64" bestFit="1" customWidth="1"/>
    <col min="9" max="9" width="30.5703125" style="64" customWidth="1"/>
    <col min="10" max="10" width="17.5703125" style="64" customWidth="1"/>
    <col min="11" max="11" width="9.5703125" style="64" customWidth="1"/>
    <col min="12" max="13" width="9.7109375" style="64" customWidth="1"/>
    <col min="14" max="14" width="13.85546875" style="64" customWidth="1"/>
    <col min="15" max="15" width="8.7109375" style="64" customWidth="1"/>
    <col min="16" max="16" width="22.7109375" style="64" bestFit="1" customWidth="1"/>
    <col min="17" max="17" width="18.28515625" style="64" bestFit="1" customWidth="1"/>
    <col min="18" max="18" width="8.7109375" style="64" bestFit="1" customWidth="1"/>
    <col min="19" max="19" width="11.42578125" style="64" bestFit="1" customWidth="1"/>
    <col min="20" max="20" width="12.7109375" style="64" customWidth="1"/>
    <col min="21" max="21" width="10.42578125" style="64" bestFit="1" customWidth="1"/>
    <col min="22" max="22" width="10.42578125" style="64" customWidth="1"/>
    <col min="23" max="23" width="11.85546875" style="64" customWidth="1"/>
    <col min="24" max="24" width="8.140625" style="64" customWidth="1"/>
    <col min="25" max="25" width="10" style="77" customWidth="1"/>
    <col min="26" max="26" width="15.42578125" style="64" customWidth="1"/>
    <col min="27" max="27" width="11" style="64" customWidth="1"/>
    <col min="28" max="28" width="16.42578125" style="64" customWidth="1"/>
    <col min="29" max="29" width="13.5703125" style="64" customWidth="1"/>
    <col min="30" max="30" width="13.140625" style="64" customWidth="1"/>
    <col min="31" max="31" width="11" style="64" customWidth="1"/>
    <col min="32" max="32" width="12.5703125" style="81" customWidth="1"/>
    <col min="33" max="33" width="10.140625" style="57" customWidth="1"/>
    <col min="34" max="34" width="10.7109375" style="12" customWidth="1"/>
    <col min="35" max="35" width="10.7109375" style="57" customWidth="1"/>
    <col min="36" max="36" width="10.7109375" style="114" customWidth="1"/>
    <col min="37" max="40" width="10.7109375" style="57" customWidth="1"/>
    <col min="41" max="43" width="10.7109375" style="57" customWidth="1" outlineLevel="1"/>
    <col min="44" max="44" width="16.85546875" style="114" customWidth="1" outlineLevel="1"/>
    <col min="45" max="46" width="16.85546875" style="57" customWidth="1" outlineLevel="1"/>
    <col min="47" max="47" width="5.28515625" style="12" outlineLevel="1"/>
    <col min="48" max="50" width="13.42578125" style="45" bestFit="1" customWidth="1" outlineLevel="1"/>
    <col min="51" max="51" width="14.85546875" style="45" bestFit="1" customWidth="1" outlineLevel="1"/>
    <col min="52" max="53" width="14.5703125" style="45" bestFit="1" customWidth="1"/>
    <col min="54" max="54" width="13.5703125" style="45" bestFit="1" customWidth="1"/>
    <col min="55" max="57" width="13.5703125" style="20" bestFit="1" customWidth="1"/>
    <col min="58" max="62" width="12.42578125" style="20" bestFit="1" customWidth="1"/>
    <col min="63" max="74" width="10.42578125" style="20" bestFit="1" customWidth="1"/>
    <col min="75" max="95" width="11.42578125" style="20" bestFit="1" customWidth="1"/>
    <col min="96" max="99" width="12.42578125" style="14" bestFit="1" customWidth="1"/>
    <col min="100" max="133" width="10.42578125" style="14" bestFit="1" customWidth="1"/>
    <col min="134" max="16384" width="5.28515625" style="14"/>
  </cols>
  <sheetData>
    <row r="1" spans="1:99" ht="12" customHeight="1" x14ac:dyDescent="0.2">
      <c r="A1" s="61" t="s">
        <v>304</v>
      </c>
      <c r="B1" s="15" t="s">
        <v>0</v>
      </c>
      <c r="C1" s="15" t="s">
        <v>1</v>
      </c>
      <c r="D1" s="59" t="s">
        <v>2</v>
      </c>
      <c r="E1" s="75" t="s">
        <v>579</v>
      </c>
      <c r="F1" s="59" t="s">
        <v>6</v>
      </c>
      <c r="G1" s="59" t="s">
        <v>485</v>
      </c>
      <c r="H1" s="59" t="s">
        <v>1</v>
      </c>
      <c r="I1" s="59" t="s">
        <v>8</v>
      </c>
      <c r="J1" s="59" t="s">
        <v>7</v>
      </c>
      <c r="K1" s="59" t="s">
        <v>571</v>
      </c>
      <c r="L1" s="59" t="s">
        <v>565</v>
      </c>
      <c r="M1" s="59" t="s">
        <v>569</v>
      </c>
      <c r="N1" s="59" t="s">
        <v>566</v>
      </c>
      <c r="O1" s="59" t="s">
        <v>5</v>
      </c>
      <c r="P1" s="59" t="s">
        <v>570</v>
      </c>
      <c r="Q1" s="59" t="s">
        <v>3</v>
      </c>
      <c r="R1" s="59" t="s">
        <v>568</v>
      </c>
      <c r="S1" s="59" t="s">
        <v>4</v>
      </c>
      <c r="T1" s="59" t="s">
        <v>237</v>
      </c>
      <c r="U1" s="59" t="s">
        <v>910</v>
      </c>
      <c r="V1" s="59" t="s">
        <v>563</v>
      </c>
      <c r="W1" s="59" t="s">
        <v>564</v>
      </c>
      <c r="X1" s="59" t="s">
        <v>576</v>
      </c>
      <c r="Y1" s="75" t="s">
        <v>558</v>
      </c>
      <c r="Z1" s="59" t="s">
        <v>577</v>
      </c>
      <c r="AA1" s="59" t="s">
        <v>327</v>
      </c>
      <c r="AB1" s="59" t="s">
        <v>325</v>
      </c>
      <c r="AC1" s="59" t="s">
        <v>326</v>
      </c>
      <c r="AD1" s="59" t="s">
        <v>578</v>
      </c>
      <c r="AE1" s="59" t="s">
        <v>559</v>
      </c>
      <c r="AF1" s="79" t="s">
        <v>560</v>
      </c>
      <c r="AG1" s="55" t="s">
        <v>546</v>
      </c>
      <c r="AH1" s="4"/>
      <c r="AI1" s="139" t="s">
        <v>297</v>
      </c>
      <c r="AJ1" s="111" t="s">
        <v>289</v>
      </c>
      <c r="AK1" s="55" t="s">
        <v>9</v>
      </c>
      <c r="AL1" s="139" t="s">
        <v>298</v>
      </c>
      <c r="AM1" s="55" t="s">
        <v>10</v>
      </c>
      <c r="AN1" s="55" t="s">
        <v>11</v>
      </c>
      <c r="AO1" s="139" t="s">
        <v>907</v>
      </c>
      <c r="AP1" s="55" t="s">
        <v>303</v>
      </c>
      <c r="AQ1" s="139" t="s">
        <v>908</v>
      </c>
      <c r="AR1" s="111" t="s">
        <v>301</v>
      </c>
      <c r="AS1" s="139" t="s">
        <v>909</v>
      </c>
      <c r="AT1" s="55" t="s">
        <v>302</v>
      </c>
      <c r="AU1" s="4"/>
      <c r="AV1" s="11" t="s">
        <v>292</v>
      </c>
      <c r="AW1" s="11"/>
      <c r="AX1" s="11"/>
      <c r="AY1" s="11"/>
      <c r="AZ1" s="11"/>
      <c r="BA1" s="11"/>
      <c r="BB1" s="11"/>
      <c r="BC1" s="10"/>
      <c r="BD1" s="10"/>
      <c r="BE1" s="10"/>
      <c r="BF1" s="10"/>
      <c r="BG1" s="10"/>
      <c r="BH1" s="10"/>
      <c r="BI1" s="10"/>
      <c r="BJ1" s="10"/>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5"/>
      <c r="CS1" s="15"/>
      <c r="CT1" s="15"/>
      <c r="CU1" s="15"/>
    </row>
    <row r="2" spans="1:99" s="13" customFormat="1" ht="12" customHeight="1" x14ac:dyDescent="0.2">
      <c r="A2" s="65">
        <v>43900</v>
      </c>
      <c r="B2" s="1"/>
      <c r="C2" s="1"/>
      <c r="D2" s="60"/>
      <c r="E2" s="76"/>
      <c r="F2" s="60"/>
      <c r="G2" s="60"/>
      <c r="H2" s="60"/>
      <c r="I2" s="60"/>
      <c r="J2" s="60"/>
      <c r="K2" s="64"/>
      <c r="L2" s="64"/>
      <c r="M2" s="60"/>
      <c r="N2" s="61"/>
      <c r="O2" s="60"/>
      <c r="P2" s="60"/>
      <c r="Q2" s="60"/>
      <c r="R2" s="60"/>
      <c r="S2" s="60"/>
      <c r="T2" s="60"/>
      <c r="U2" s="60"/>
      <c r="V2" s="60"/>
      <c r="W2" s="60"/>
      <c r="X2" s="60"/>
      <c r="Y2" s="76"/>
      <c r="Z2" s="60"/>
      <c r="AA2" s="60"/>
      <c r="AB2" s="60"/>
      <c r="AC2" s="56"/>
      <c r="AD2" s="60"/>
      <c r="AE2" s="60"/>
      <c r="AF2" s="80"/>
      <c r="AG2" s="56"/>
      <c r="AH2" s="4"/>
      <c r="AI2" s="56"/>
      <c r="AJ2" s="109"/>
      <c r="AK2" s="56"/>
      <c r="AL2" s="56"/>
      <c r="AM2" s="56"/>
      <c r="AN2" s="56"/>
      <c r="AO2" s="82"/>
      <c r="AP2" s="82"/>
      <c r="AQ2" s="83"/>
      <c r="AR2" s="116"/>
      <c r="AS2" s="84"/>
      <c r="AT2" s="84"/>
      <c r="AU2" s="3"/>
      <c r="AV2" s="53">
        <v>0.01</v>
      </c>
      <c r="AW2" s="25">
        <v>3</v>
      </c>
      <c r="AX2" s="25">
        <v>9</v>
      </c>
      <c r="AY2" s="25">
        <v>18</v>
      </c>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1"/>
      <c r="CS2" s="1"/>
      <c r="CT2" s="1"/>
      <c r="CU2" s="1"/>
    </row>
    <row r="3" spans="1:99" s="13" customFormat="1" ht="12" customHeight="1" x14ac:dyDescent="0.2">
      <c r="A3" s="65">
        <v>43900</v>
      </c>
      <c r="B3" s="1" t="s">
        <v>433</v>
      </c>
      <c r="C3" s="1" t="s">
        <v>434</v>
      </c>
      <c r="D3" s="60">
        <v>1984</v>
      </c>
      <c r="E3" s="76">
        <v>1</v>
      </c>
      <c r="F3" s="60">
        <v>5</v>
      </c>
      <c r="G3" s="60">
        <v>5</v>
      </c>
      <c r="H3" s="60" t="s">
        <v>41</v>
      </c>
      <c r="I3" s="60" t="s">
        <v>330</v>
      </c>
      <c r="J3" s="60" t="s">
        <v>281</v>
      </c>
      <c r="K3" s="60">
        <f>IF(J3="syllables",1,IF(J3="trigrams",2,IF(J3="strings",3,IF(J3="visual array",4,IF(J3="characters",5,IF(J3="letters",6,IF(J3="free forms",7,IF(J3="odors",8,IF(J3="words",9,IF(J3="pictures",10,IF(J3="object pictures",11,IF(J3="faces",12,IF(J3="names",13,IF(J3="idioms",14,IF(J3="grades",15,IF(J3="syllable-digit pairs",16,IF(J3="trigram-word pairs",17,IF(J3="word-digit pairs",18,IF(J3="English-Swahili pairs",19,IF(J3="spatial position",20,IF(J3="word pairs",21,IF(J3="word triads",22,IF(J3="generated words",23,IF(J3="word definition pairs",24,IF(J3="math problems",25,IF(J3="famous faces",26,IF(J3="famous names",27,IF(J3="famous voices",28,IF(J3="television programs",29,IF(J3="race horses",30,IF(J3="new vocabulary",31,IF(J3="sentences",32,IF(J3="concepts",33,IF(J3="ad slides",34,IF(J3="scenes",35,IF(J3="famous scenes",36,IF(J3="poems",37,IF(J3="walk",38,IF(J3="faces and events",39,IF(J3="events and names",40,IF(J3="flashbulb",41,IF(J3="stories",42,IF(J3="course material",43,IF(J3="autobiographical",44,IF(J3="novels",45,IF(J3="public events",46,"99"))))))))))))))))))))))))))))))))))))))))))))))</f>
        <v>1</v>
      </c>
      <c r="L3" s="60">
        <f>IF(J3="syllables",1,IF(J3="trigrams",1,IF(J3="strings",1,IF(J3="visual array",1,IF(J3="characters",1,IF(J3="letters",1,IF(J3="free forms",1,IF(J3="odors",2,IF(J3="words",2,IF(J3="pictures",2,IF(J3="object pictures",2,IF(J3="faces",2,IF(J3="names",2,IF(J3="idioms","2",IF(J3="grades",2,IF(J3="syllable-digit pairs",3,IF(J3="trigram-word pairs",3,IF(J3="word-digit pairs",3,IF(J3="English-Swahili pairs",3,IF(J3="spatial position",3,IF(J3="word pairs",4,IF(J3="word triads",4,IF(J3="generated words",4,IF(J3="word definition pairs",4,IF(J3="math problems",4,IF(J3="famous faces",4,IF(J3="famous names",4,IF(J3="famous voices",4,IF(J3="television programs",4,IF(J3="race horses",4,IF(J3="new vocabulary",4,IF(J3="sentences",5,IF(J3="concepts",5,IF(J3="ad slides",5,IF(J3="scenes",5,IF(J3="famous scenes",5,IF(J3="poems",6,IF(J3="walk",6,IF(J3="faces and events",6,IF(J3="events and names",6,IF(J3="flashbulb",7,IF(J3="stories",7,IF(J3="course material",7,IF(J3="autobiographical",7,IF(J3="novels",7,IF(J3="public events",7,"99"))))))))))))))))))))))))))))))))))))))))))))))</f>
        <v>1</v>
      </c>
      <c r="M3" s="60">
        <v>0</v>
      </c>
      <c r="N3" s="61">
        <v>1</v>
      </c>
      <c r="O3" s="60">
        <v>1</v>
      </c>
      <c r="P3" s="60"/>
      <c r="Q3" s="60" t="s">
        <v>174</v>
      </c>
      <c r="R3" s="60">
        <f>IF(Q3="Free Recall",1,IF(Q3="Cued Recall",2,IF(Q3="Recognition",3,IF(Q3="Multiple Choice",4,IF(Q3="Savings",5,IF(Q3="Stem Completion",6,IF(Q3="Fragment Completion",7,IF(Q3="anagram solution",8,IF(Q3="Matching",9,IF(Q3="Problem Solving",10,"99"))))))))))</f>
        <v>1</v>
      </c>
      <c r="S3" s="60" t="s">
        <v>49</v>
      </c>
      <c r="T3" s="59" t="s">
        <v>581</v>
      </c>
      <c r="U3" s="60">
        <f>IF(T3="within",1,0)</f>
        <v>1</v>
      </c>
      <c r="V3" s="59">
        <v>48</v>
      </c>
      <c r="W3" s="60">
        <f>F3*V3</f>
        <v>240</v>
      </c>
      <c r="X3" s="60">
        <v>4</v>
      </c>
      <c r="Y3" s="76">
        <f>AV2</f>
        <v>0.01</v>
      </c>
      <c r="Z3" s="60" t="s">
        <v>28</v>
      </c>
      <c r="AA3" s="60">
        <v>18</v>
      </c>
      <c r="AB3" s="60" t="str">
        <f>IF(AA3&lt;60,"1",IF(AA3&lt;=43200,"2",IF(AA3&lt;=777600,"3","4")))</f>
        <v>1</v>
      </c>
      <c r="AC3" s="56">
        <f>AVERAGE(AV2:DA2)</f>
        <v>7.5024999999999995</v>
      </c>
      <c r="AD3" s="60" t="str">
        <f>IF(AC3&lt;60,"1",IF(AC3&lt;=43200,"2",IF(AC3&lt;=777600,"3","4")))</f>
        <v>1</v>
      </c>
      <c r="AE3" s="76">
        <f>AA3-Y3</f>
        <v>17.989999999999998</v>
      </c>
      <c r="AF3" s="80">
        <f>AV3</f>
        <v>1</v>
      </c>
      <c r="AG3" s="56">
        <f>((AW3-AV3)+(AX3-AW3)+(AY3-AX3))/3</f>
        <v>-0.15666666666666665</v>
      </c>
      <c r="AH3" s="4"/>
      <c r="AI3" s="56">
        <f>RSQ(AV3:AY3,AV2:AY2)</f>
        <v>0.89199739722085636</v>
      </c>
      <c r="AJ3" s="109">
        <f>SLOPE(AV3:AY3,AV2:AY2)</f>
        <v>-2.4132635372265541E-2</v>
      </c>
      <c r="AK3" s="56">
        <f>INTERCEPT(AV3:AY3,AV2:AY2)</f>
        <v>0.92605509688042231</v>
      </c>
      <c r="AL3" s="56">
        <f>INDEX(LINEST(LN(AV3:AY3),LN(AV2:AY2),TRUE,TRUE),3,1)</f>
        <v>0.81187933141815105</v>
      </c>
      <c r="AM3" s="56">
        <f>INDEX(LINEST(LN(AV3:AY3),LN(AV2:AY2)),1)</f>
        <v>-7.1981039274917696E-2</v>
      </c>
      <c r="AN3" s="56">
        <f>EXP(INDEX(LINEST(LN(AV3:AY3),LN(AV2:AY2)),1,2))</f>
        <v>0.74546284318593747</v>
      </c>
      <c r="AO3" s="82">
        <f>INDEX(LINEST((AV3:AY3),LN(AV2:AY2),TRUE,TRUE),3,1)</f>
        <v>0.876476701955335</v>
      </c>
      <c r="AP3" s="82">
        <f>INDEX(LINEST((AV3:AY3),LN(AV2:AY2)),1)</f>
        <v>-5.5589602497739157E-2</v>
      </c>
      <c r="AQ3" s="83">
        <f>INDEX(LINEST(LN(AV3:AY3),SQRT(AV2:AY2),TRUE,TRUE),3,1)</f>
        <v>0.99776286288984728</v>
      </c>
      <c r="AR3" s="116">
        <f>INDEX(LINEST(LN(AV3:AY3),SQRT((AV2:AY2))),1)</f>
        <v>-0.15373093578492775</v>
      </c>
      <c r="AS3" s="84">
        <f>INDEX(LINEST(1/(AV3:AY3),1/(SQRT(AV2:AY2)),TRUE,TRUE),3,1)</f>
        <v>0.56328526146016322</v>
      </c>
      <c r="AT3" s="84">
        <f>INDEX(LINEST(1/(AV3:AY3),1/SQRT(AV2:AY2)),1)</f>
        <v>-5.9554171547200954E-2</v>
      </c>
      <c r="AU3" s="3"/>
      <c r="AV3" s="53">
        <v>1</v>
      </c>
      <c r="AW3" s="53">
        <v>0.8</v>
      </c>
      <c r="AX3" s="53">
        <v>0.65</v>
      </c>
      <c r="AY3" s="53">
        <v>0.53</v>
      </c>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1"/>
      <c r="CS3" s="1"/>
      <c r="CT3" s="1"/>
      <c r="CU3" s="1"/>
    </row>
    <row r="4" spans="1:99" s="13" customFormat="1" ht="12" customHeight="1" x14ac:dyDescent="0.2">
      <c r="A4" s="65">
        <v>43900</v>
      </c>
      <c r="B4" s="1"/>
      <c r="C4" s="1"/>
      <c r="D4" s="60"/>
      <c r="E4" s="76"/>
      <c r="F4" s="60"/>
      <c r="G4" s="60"/>
      <c r="H4" s="60"/>
      <c r="I4" s="60"/>
      <c r="J4" s="60"/>
      <c r="K4" s="64"/>
      <c r="L4" s="64"/>
      <c r="M4" s="60"/>
      <c r="N4" s="61"/>
      <c r="O4" s="60"/>
      <c r="P4" s="60"/>
      <c r="Q4" s="60"/>
      <c r="R4" s="60"/>
      <c r="S4" s="60"/>
      <c r="T4" s="60"/>
      <c r="U4" s="60"/>
      <c r="V4" s="60"/>
      <c r="W4" s="60"/>
      <c r="X4" s="60"/>
      <c r="Y4" s="76"/>
      <c r="Z4" s="60"/>
      <c r="AA4" s="60"/>
      <c r="AB4" s="60"/>
      <c r="AC4" s="56"/>
      <c r="AD4" s="60"/>
      <c r="AE4" s="60"/>
      <c r="AF4" s="80"/>
      <c r="AG4" s="56"/>
      <c r="AH4" s="4"/>
      <c r="AI4" s="56"/>
      <c r="AJ4" s="109"/>
      <c r="AK4" s="56"/>
      <c r="AL4" s="56"/>
      <c r="AM4" s="56"/>
      <c r="AN4" s="56"/>
      <c r="AO4" s="82"/>
      <c r="AP4" s="82"/>
      <c r="AQ4" s="83"/>
      <c r="AR4" s="116"/>
      <c r="AS4" s="84"/>
      <c r="AT4" s="84"/>
      <c r="AU4" s="3"/>
      <c r="AV4" s="53">
        <v>0.01</v>
      </c>
      <c r="AW4" s="25">
        <v>3</v>
      </c>
      <c r="AX4" s="25">
        <v>9</v>
      </c>
      <c r="AY4" s="25">
        <v>18</v>
      </c>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1"/>
      <c r="CS4" s="1"/>
      <c r="CT4" s="1"/>
      <c r="CU4" s="1"/>
    </row>
    <row r="5" spans="1:99" s="13" customFormat="1" ht="12" customHeight="1" x14ac:dyDescent="0.2">
      <c r="A5" s="65">
        <v>43900</v>
      </c>
      <c r="B5" s="1" t="s">
        <v>433</v>
      </c>
      <c r="C5" s="1" t="s">
        <v>434</v>
      </c>
      <c r="D5" s="60">
        <v>1984</v>
      </c>
      <c r="E5" s="76">
        <v>1</v>
      </c>
      <c r="F5" s="60">
        <v>5</v>
      </c>
      <c r="G5" s="60">
        <v>5</v>
      </c>
      <c r="H5" s="60" t="s">
        <v>41</v>
      </c>
      <c r="I5" s="60" t="s">
        <v>330</v>
      </c>
      <c r="J5" s="60" t="s">
        <v>320</v>
      </c>
      <c r="K5" s="60">
        <f>IF(J5="syllables",1,IF(J5="trigrams",2,IF(J5="strings",3,IF(J5="visual array",4,IF(J5="characters",5,IF(J5="letters",6,IF(J5="free forms",7,IF(J5="odors",8,IF(J5="words",9,IF(J5="pictures",10,IF(J5="object pictures",11,IF(J5="faces",12,IF(J5="names",13,IF(J5="idioms",14,IF(J5="grades",15,IF(J5="syllable-digit pairs",16,IF(J5="trigram-word pairs",17,IF(J5="word-digit pairs",18,IF(J5="English-Swahili pairs",19,IF(J5="spatial position",20,IF(J5="word pairs",21,IF(J5="word triads",22,IF(J5="generated words",23,IF(J5="word definition pairs",24,IF(J5="math problems",25,IF(J5="famous faces",26,IF(J5="famous names",27,IF(J5="famous voices",28,IF(J5="television programs",29,IF(J5="race horses",30,IF(J5="new vocabulary",31,IF(J5="sentences",32,IF(J5="concepts",33,IF(J5="ad slides",34,IF(J5="scenes",35,IF(J5="famous scenes",36,IF(J5="poems",37,IF(J5="walk",38,IF(J5="faces and events",39,IF(J5="events and names",40,IF(J5="flashbulb",41,IF(J5="stories",42,IF(J5="course material",43,IF(J5="autobiographical",44,IF(J5="novels",45,IF(J5="public events",46,"99"))))))))))))))))))))))))))))))))))))))))))))))</f>
        <v>21</v>
      </c>
      <c r="L5" s="60">
        <f>IF(J5="syllables",1,IF(J5="trigrams",1,IF(J5="strings",1,IF(J5="visual array",1,IF(J5="characters",1,IF(J5="letters",1,IF(J5="free forms",1,IF(J5="odors",2,IF(J5="words",2,IF(J5="pictures",2,IF(J5="object pictures",2,IF(J5="faces",2,IF(J5="names",2,IF(J5="idioms","2",IF(J5="grades",2,IF(J5="syllable-digit pairs",3,IF(J5="trigram-word pairs",3,IF(J5="word-digit pairs",3,IF(J5="English-Swahili pairs",3,IF(J5="spatial position",3,IF(J5="word pairs",4,IF(J5="word triads",4,IF(J5="generated words",4,IF(J5="word definition pairs",4,IF(J5="math problems",4,IF(J5="famous faces",4,IF(J5="famous names",4,IF(J5="famous voices",4,IF(J5="television programs",4,IF(J5="race horses",4,IF(J5="new vocabulary",4,IF(J5="sentences",5,IF(J5="concepts",5,IF(J5="ad slides",5,IF(J5="scenes",5,IF(J5="famous scenes",5,IF(J5="poems",6,IF(J5="walk",6,IF(J5="faces and events",6,IF(J5="events and names",6,IF(J5="flashbulb",7,IF(J5="stories",7,IF(J5="course material",7,IF(J5="autobiographical",7,IF(J5="novels",7,IF(J5="public events",7,"99"))))))))))))))))))))))))))))))))))))))))))))))</f>
        <v>4</v>
      </c>
      <c r="M5" s="60">
        <v>0</v>
      </c>
      <c r="N5" s="61">
        <v>1</v>
      </c>
      <c r="O5" s="60">
        <v>1</v>
      </c>
      <c r="P5" s="60"/>
      <c r="Q5" s="60" t="s">
        <v>174</v>
      </c>
      <c r="R5" s="60">
        <f>IF(Q5="Free Recall",1,IF(Q5="Cued Recall",2,IF(Q5="Recognition",3,IF(Q5="Multiple Choice",4,IF(Q5="Savings",5,IF(Q5="Stem Completion",6,IF(Q5="Fragment Completion",7,IF(Q5="anagram solution",8,IF(Q5="Matching",9,IF(Q5="Problem Solving",10,"99"))))))))))</f>
        <v>1</v>
      </c>
      <c r="S5" s="60" t="s">
        <v>49</v>
      </c>
      <c r="T5" s="59" t="s">
        <v>581</v>
      </c>
      <c r="U5" s="60">
        <f>IF(T5="within",1,0)</f>
        <v>1</v>
      </c>
      <c r="V5" s="59">
        <v>48</v>
      </c>
      <c r="W5" s="60">
        <f>F5*V5</f>
        <v>240</v>
      </c>
      <c r="X5" s="60">
        <v>4</v>
      </c>
      <c r="Y5" s="76">
        <f>AV4</f>
        <v>0.01</v>
      </c>
      <c r="Z5" s="60" t="s">
        <v>28</v>
      </c>
      <c r="AA5" s="60">
        <v>18</v>
      </c>
      <c r="AB5" s="60" t="str">
        <f>IF(AA5&lt;60,"1",IF(AA5&lt;=43200,"2",IF(AA5&lt;=777600,"3","4")))</f>
        <v>1</v>
      </c>
      <c r="AC5" s="56">
        <f>AVERAGE(AV4:DA4)</f>
        <v>7.5024999999999995</v>
      </c>
      <c r="AD5" s="60" t="str">
        <f>IF(AC5&lt;60,"1",IF(AC5&lt;=43200,"2",IF(AC5&lt;=777600,"3","4")))</f>
        <v>1</v>
      </c>
      <c r="AE5" s="76">
        <f>AA5-Y5</f>
        <v>17.989999999999998</v>
      </c>
      <c r="AF5" s="80">
        <f>AV5</f>
        <v>1</v>
      </c>
      <c r="AG5" s="56">
        <f>((AW5-AV5)+(AX5-AW5)+(AY5-AX5))/3</f>
        <v>-0.16666666666666666</v>
      </c>
      <c r="AH5" s="4"/>
      <c r="AI5" s="56">
        <f>RSQ(AV5:AY5,AV4:AY4)</f>
        <v>0.82321081691019249</v>
      </c>
      <c r="AJ5" s="109">
        <f>SLOPE(AV5:AY5,AV4:AY4)</f>
        <v>-2.8420692975631597E-2</v>
      </c>
      <c r="AK5" s="56">
        <f>INTERCEPT(AV5:AY5,AV4:AY4)</f>
        <v>0.93822624904967611</v>
      </c>
      <c r="AL5" s="56">
        <f>INDEX(LINEST(LN(AV5:AY5),LN(AV4:AY4),TRUE,TRUE),3,1)</f>
        <v>0.69231883156627849</v>
      </c>
      <c r="AM5" s="56">
        <f>INDEX(LINEST(LN(AV5:AY5),LN(AV4:AY4)),1)</f>
        <v>-8.496760624742665E-2</v>
      </c>
      <c r="AN5" s="56">
        <f>EXP(INDEX(LINEST(LN(AV5:AY5),LN(AV4:AY4)),1,2))</f>
        <v>0.71659989744922648</v>
      </c>
      <c r="AO5" s="82">
        <f>INDEX(LINEST((AV5:AY5),LN(AV4:AY4),TRUE,TRUE),3,1)</f>
        <v>0.73735221139841056</v>
      </c>
      <c r="AP5" s="82">
        <f>INDEX(LINEST((AV5:AY5),LN(AV4:AY4)),1)</f>
        <v>-6.2505328973163396E-2</v>
      </c>
      <c r="AQ5" s="83">
        <f>INDEX(LINEST(LN(AV5:AY5),SQRT(AV4:AY4),TRUE,TRUE),3,1)</f>
        <v>0.89922301413602379</v>
      </c>
      <c r="AR5" s="116">
        <f>INDEX(LINEST(LN(AV5:AY5),SQRT((AV4:AY4))),1)</f>
        <v>-0.18655601256398813</v>
      </c>
      <c r="AS5" s="84">
        <f>INDEX(LINEST(1/(AV5:AY5),1/(SQRT(AV4:AY4)),TRUE,TRUE),3,1)</f>
        <v>0.4768491760753098</v>
      </c>
      <c r="AT5" s="84">
        <f>INDEX(LINEST(1/(AV5:AY5),1/SQRT(AV4:AY4)),1)</f>
        <v>-7.2819435441807689E-2</v>
      </c>
      <c r="AU5" s="3"/>
      <c r="AV5" s="53">
        <v>1</v>
      </c>
      <c r="AW5" s="53">
        <v>0.87</v>
      </c>
      <c r="AX5" s="53">
        <v>0.53</v>
      </c>
      <c r="AY5" s="53">
        <v>0.5</v>
      </c>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1"/>
      <c r="CS5" s="1"/>
      <c r="CT5" s="1"/>
      <c r="CU5" s="1"/>
    </row>
    <row r="6" spans="1:99" s="13" customFormat="1" ht="12" customHeight="1" x14ac:dyDescent="0.2">
      <c r="A6" s="65">
        <v>43902</v>
      </c>
      <c r="B6" s="1"/>
      <c r="C6" s="1"/>
      <c r="D6" s="60"/>
      <c r="E6" s="76"/>
      <c r="F6" s="60"/>
      <c r="G6" s="60"/>
      <c r="H6" s="60"/>
      <c r="I6" s="60"/>
      <c r="J6" s="60"/>
      <c r="K6" s="64"/>
      <c r="L6" s="64"/>
      <c r="M6" s="60"/>
      <c r="N6" s="60"/>
      <c r="O6" s="60"/>
      <c r="P6" s="60"/>
      <c r="Q6" s="60"/>
      <c r="R6" s="60"/>
      <c r="S6" s="60"/>
      <c r="T6" s="60"/>
      <c r="U6" s="60"/>
      <c r="V6" s="60"/>
      <c r="W6" s="60"/>
      <c r="X6" s="60"/>
      <c r="Y6" s="76"/>
      <c r="Z6" s="60"/>
      <c r="AA6" s="60"/>
      <c r="AB6" s="60"/>
      <c r="AC6" s="56"/>
      <c r="AD6" s="60"/>
      <c r="AE6" s="60"/>
      <c r="AF6" s="80"/>
      <c r="AG6" s="56"/>
      <c r="AH6" s="4"/>
      <c r="AI6" s="56"/>
      <c r="AJ6" s="109"/>
      <c r="AK6" s="56"/>
      <c r="AL6" s="56"/>
      <c r="AM6" s="56"/>
      <c r="AN6" s="56"/>
      <c r="AO6" s="82"/>
      <c r="AP6" s="82"/>
      <c r="AQ6" s="83"/>
      <c r="AR6" s="116"/>
      <c r="AS6" s="84"/>
      <c r="AT6" s="84"/>
      <c r="AU6" s="3"/>
      <c r="AV6" s="53">
        <v>0.01</v>
      </c>
      <c r="AW6" s="25">
        <v>3</v>
      </c>
      <c r="AX6" s="25">
        <v>9</v>
      </c>
      <c r="AY6" s="25">
        <v>18</v>
      </c>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1"/>
      <c r="CS6" s="1"/>
      <c r="CT6" s="1"/>
      <c r="CU6" s="1"/>
    </row>
    <row r="7" spans="1:99" s="13" customFormat="1" ht="12" customHeight="1" x14ac:dyDescent="0.2">
      <c r="A7" s="65">
        <v>43902</v>
      </c>
      <c r="B7" s="1" t="s">
        <v>464</v>
      </c>
      <c r="C7" s="1" t="s">
        <v>465</v>
      </c>
      <c r="D7" s="60">
        <v>1977</v>
      </c>
      <c r="E7" s="76">
        <v>1</v>
      </c>
      <c r="F7" s="60">
        <v>28</v>
      </c>
      <c r="G7" s="60">
        <v>28</v>
      </c>
      <c r="H7" s="60" t="s">
        <v>466</v>
      </c>
      <c r="I7" s="60" t="s">
        <v>330</v>
      </c>
      <c r="J7" s="60" t="s">
        <v>443</v>
      </c>
      <c r="K7" s="60">
        <f>IF(J7="syllables",1,IF(J7="trigrams",2,IF(J7="strings",3,IF(J7="visual array",4,IF(J7="characters",5,IF(J7="letters",6,IF(J7="free forms",7,IF(J7="odors",8,IF(J7="words",9,IF(J7="pictures",10,IF(J7="object pictures",11,IF(J7="faces",12,IF(J7="names",13,IF(J7="idioms",14,IF(J7="grades",15,IF(J7="syllable-digit pairs",16,IF(J7="trigram-word pairs",17,IF(J7="word-digit pairs",18,IF(J7="English-Swahili pairs",19,IF(J7="spatial position",20,IF(J7="word pairs",21,IF(J7="word triads",22,IF(J7="generated words",23,IF(J7="word definition pairs",24,IF(J7="math problems",25,IF(J7="famous faces",26,IF(J7="famous names",27,IF(J7="famous voices",28,IF(J7="television programs",29,IF(J7="race horses",30,IF(J7="new vocabulary",31,IF(J7="sentences",32,IF(J7="concepts",33,IF(J7="ad slides",34,IF(J7="scenes",35,IF(J7="famous scenes",36,IF(J7="poems",37,IF(J7="walk",38,IF(J7="faces and events",39,IF(J7="events and names",40,IF(J7="flashbulb",41,IF(J7="stories",42,IF(J7="course material",43,IF(J7="autobiographical",44,IF(J7="novels",45,IF(J7="public events",46,"99"))))))))))))))))))))))))))))))))))))))))))))))</f>
        <v>2</v>
      </c>
      <c r="L7" s="60">
        <f>IF(J7="syllables",1,IF(J7="trigrams",1,IF(J7="strings",1,IF(J7="visual array",1,IF(J7="characters",1,IF(J7="letters",1,IF(J7="free forms",1,IF(J7="odors",2,IF(J7="words",2,IF(J7="pictures",2,IF(J7="object pictures",2,IF(J7="faces",2,IF(J7="names",2,IF(J7="idioms","2",IF(J7="grades",2,IF(J7="syllable-digit pairs",3,IF(J7="trigram-word pairs",3,IF(J7="word-digit pairs",3,IF(J7="English-Swahili pairs",3,IF(J7="spatial position",3,IF(J7="word pairs",4,IF(J7="word triads",4,IF(J7="generated words",4,IF(J7="word definition pairs",4,IF(J7="math problems",4,IF(J7="famous faces",4,IF(J7="famous names",4,IF(J7="famous voices",4,IF(J7="television programs",4,IF(J7="race horses",4,IF(J7="new vocabulary",4,IF(J7="sentences",5,IF(J7="concepts",5,IF(J7="ad slides",5,IF(J7="scenes",5,IF(J7="famous scenes",5,IF(J7="poems",6,IF(J7="walk",6,IF(J7="faces and events",6,IF(J7="events and names",6,IF(J7="flashbulb",7,IF(J7="stories",7,IF(J7="course material",7,IF(J7="autobiographical",7,IF(J7="novels",7,IF(J7="public events",7,"99"))))))))))))))))))))))))))))))))))))))))))))))</f>
        <v>1</v>
      </c>
      <c r="M7" s="60">
        <v>0</v>
      </c>
      <c r="N7" s="60">
        <v>1</v>
      </c>
      <c r="O7" s="60">
        <v>1</v>
      </c>
      <c r="P7" s="60"/>
      <c r="Q7" s="60" t="s">
        <v>174</v>
      </c>
      <c r="R7" s="60">
        <f>IF(Q7="Free Recall",1,IF(Q7="Cued Recall",2,IF(Q7="Recognition",3,IF(Q7="Multiple Choice",4,IF(Q7="Savings",5,IF(Q7="Stem Completion",6,IF(Q7="Fragment Completion",7,IF(Q7="anagram solution",8,IF(Q7="Matching",9,IF(Q7="Problem Solving",10,"99"))))))))))</f>
        <v>1</v>
      </c>
      <c r="S7" s="60" t="s">
        <v>49</v>
      </c>
      <c r="T7" s="59" t="s">
        <v>581</v>
      </c>
      <c r="U7" s="60">
        <f>IF(T7="within",1,0)</f>
        <v>1</v>
      </c>
      <c r="V7" s="59">
        <v>48</v>
      </c>
      <c r="W7" s="60">
        <f>F7*V7</f>
        <v>1344</v>
      </c>
      <c r="X7" s="60">
        <v>4</v>
      </c>
      <c r="Y7" s="76">
        <f>AV6</f>
        <v>0.01</v>
      </c>
      <c r="Z7" s="60" t="s">
        <v>28</v>
      </c>
      <c r="AA7" s="60">
        <v>18</v>
      </c>
      <c r="AB7" s="60" t="str">
        <f>IF(AA7&lt;60,"1",IF(AA7&lt;=43200,"2",IF(AA7&lt;=777600,"3","4")))</f>
        <v>1</v>
      </c>
      <c r="AC7" s="56">
        <f>AVERAGE(AV6:AZ6)</f>
        <v>7.5024999999999995</v>
      </c>
      <c r="AD7" s="60" t="str">
        <f>IF(AC7&lt;60,"1",IF(AC7&lt;=43200,"2",IF(AC7&lt;=777600,"3","4")))</f>
        <v>1</v>
      </c>
      <c r="AE7" s="76">
        <f>AA7-Y7</f>
        <v>17.989999999999998</v>
      </c>
      <c r="AF7" s="80">
        <f>AV7</f>
        <v>1</v>
      </c>
      <c r="AG7" s="56">
        <f>((AW7-AV7)+(AX7-AW7)+(AY7-AX7))/3</f>
        <v>-0.17</v>
      </c>
      <c r="AH7" s="4"/>
      <c r="AI7" s="56">
        <f>RSQ(AV7:AY7,AV6:AY6)</f>
        <v>0.89511913249592545</v>
      </c>
      <c r="AJ7" s="109">
        <f>SLOPE(AV7:AY7,AV6:AY6)</f>
        <v>-2.6990987427460648E-2</v>
      </c>
      <c r="AK7" s="56">
        <f>INTERCEPT(AV7:AY7,AV6:AY6)</f>
        <v>0.92749988317452359</v>
      </c>
      <c r="AL7" s="56">
        <f>INDEX(LINEST(LN(AV7:AY7),LN(AV6:AY6),TRUE,TRUE),3,1)</f>
        <v>0.77476903436801114</v>
      </c>
      <c r="AM7" s="56">
        <f>INDEX(LINEST(LN(AV7:AY7),LN(AV6:AY6)),1)</f>
        <v>-8.1454200435717647E-2</v>
      </c>
      <c r="AN7" s="56">
        <f>EXP(INDEX(LINEST(LN(AV7:AY7),LN(AV6:AY6)),1,2))</f>
        <v>0.72142375625726163</v>
      </c>
      <c r="AO7" s="82">
        <f>INDEX(LINEST((AV7:AY7),LN(AV6:AY6),TRUE,TRUE),3,1)</f>
        <v>0.84162046802225976</v>
      </c>
      <c r="AP7" s="82">
        <f>INDEX(LINEST((AV7:AY7),LN(AV6:AY6)),1)</f>
        <v>-6.0818670226560859E-2</v>
      </c>
      <c r="AQ7" s="83">
        <f>INDEX(LINEST(LN(AV7:AY7),SQRT(AV6:AY6),TRUE,TRUE),3,1)</f>
        <v>0.98669896099174692</v>
      </c>
      <c r="AR7" s="116">
        <f>INDEX(LINEST(LN(AV7:AY7),SQRT((AV6:AY6))),1)</f>
        <v>-0.17709036216943869</v>
      </c>
      <c r="AS7" s="84">
        <f>INDEX(LINEST(1/(AV7:AY7),1/(SQRT(AV6:AY6)),TRUE,TRUE),3,1)</f>
        <v>0.52042815649676888</v>
      </c>
      <c r="AT7" s="84">
        <f>INDEX(LINEST(1/(AV7:AY7),1/SQRT(AV6:AY6)),1)</f>
        <v>-6.9250756582528231E-2</v>
      </c>
      <c r="AU7" s="3"/>
      <c r="AV7" s="53">
        <v>1</v>
      </c>
      <c r="AW7" s="53">
        <v>0.81</v>
      </c>
      <c r="AX7" s="53">
        <v>0.6</v>
      </c>
      <c r="AY7" s="53">
        <v>0.49</v>
      </c>
      <c r="AZ7" s="53"/>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53"/>
      <c r="CI7" s="53"/>
      <c r="CJ7" s="53"/>
      <c r="CK7" s="53"/>
      <c r="CL7" s="53"/>
      <c r="CM7" s="53"/>
      <c r="CN7" s="53"/>
      <c r="CO7" s="53"/>
      <c r="CP7" s="53"/>
      <c r="CQ7" s="53"/>
      <c r="CR7" s="1"/>
      <c r="CS7" s="1"/>
      <c r="CT7" s="1"/>
      <c r="CU7" s="1"/>
    </row>
    <row r="8" spans="1:99" s="13" customFormat="1" ht="12" customHeight="1" x14ac:dyDescent="0.2">
      <c r="A8" s="65">
        <v>43902</v>
      </c>
      <c r="B8" s="1"/>
      <c r="C8" s="1"/>
      <c r="D8" s="60"/>
      <c r="E8" s="76"/>
      <c r="F8" s="60"/>
      <c r="G8" s="60"/>
      <c r="H8" s="60"/>
      <c r="I8" s="60"/>
      <c r="J8" s="60"/>
      <c r="K8" s="64"/>
      <c r="L8" s="64"/>
      <c r="M8" s="60"/>
      <c r="N8" s="60"/>
      <c r="O8" s="60"/>
      <c r="P8" s="60"/>
      <c r="Q8" s="60"/>
      <c r="R8" s="60"/>
      <c r="S8" s="60"/>
      <c r="T8" s="60"/>
      <c r="U8" s="60"/>
      <c r="V8" s="60"/>
      <c r="W8" s="60"/>
      <c r="X8" s="60"/>
      <c r="Y8" s="76"/>
      <c r="Z8" s="60"/>
      <c r="AA8" s="60"/>
      <c r="AB8" s="60"/>
      <c r="AC8" s="56"/>
      <c r="AD8" s="60"/>
      <c r="AE8" s="60"/>
      <c r="AF8" s="80"/>
      <c r="AG8" s="56"/>
      <c r="AH8" s="4"/>
      <c r="AI8" s="56"/>
      <c r="AJ8" s="109"/>
      <c r="AK8" s="56"/>
      <c r="AL8" s="56"/>
      <c r="AM8" s="56"/>
      <c r="AN8" s="56"/>
      <c r="AO8" s="82"/>
      <c r="AP8" s="82"/>
      <c r="AQ8" s="83"/>
      <c r="AR8" s="116"/>
      <c r="AS8" s="84"/>
      <c r="AT8" s="84"/>
      <c r="AU8" s="3"/>
      <c r="AV8" s="53">
        <v>0.01</v>
      </c>
      <c r="AW8" s="25">
        <v>3</v>
      </c>
      <c r="AX8" s="25">
        <v>9</v>
      </c>
      <c r="AY8" s="25">
        <v>18</v>
      </c>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c r="CP8" s="53"/>
      <c r="CQ8" s="53"/>
      <c r="CR8" s="1"/>
      <c r="CS8" s="1"/>
      <c r="CT8" s="1"/>
      <c r="CU8" s="1"/>
    </row>
    <row r="9" spans="1:99" s="13" customFormat="1" ht="12" customHeight="1" x14ac:dyDescent="0.2">
      <c r="A9" s="65">
        <v>43902</v>
      </c>
      <c r="B9" s="1" t="s">
        <v>464</v>
      </c>
      <c r="C9" s="1" t="s">
        <v>465</v>
      </c>
      <c r="D9" s="60">
        <v>1977</v>
      </c>
      <c r="E9" s="76">
        <v>1</v>
      </c>
      <c r="F9" s="60">
        <v>28</v>
      </c>
      <c r="G9" s="60">
        <v>28</v>
      </c>
      <c r="H9" s="60" t="s">
        <v>467</v>
      </c>
      <c r="I9" s="60" t="s">
        <v>330</v>
      </c>
      <c r="J9" s="60" t="s">
        <v>443</v>
      </c>
      <c r="K9" s="60">
        <f>IF(J9="syllables",1,IF(J9="trigrams",2,IF(J9="strings",3,IF(J9="visual array",4,IF(J9="characters",5,IF(J9="letters",6,IF(J9="free forms",7,IF(J9="odors",8,IF(J9="words",9,IF(J9="pictures",10,IF(J9="object pictures",11,IF(J9="faces",12,IF(J9="names",13,IF(J9="idioms",14,IF(J9="grades",15,IF(J9="syllable-digit pairs",16,IF(J9="trigram-word pairs",17,IF(J9="word-digit pairs",18,IF(J9="English-Swahili pairs",19,IF(J9="spatial position",20,IF(J9="word pairs",21,IF(J9="word triads",22,IF(J9="generated words",23,IF(J9="word definition pairs",24,IF(J9="math problems",25,IF(J9="famous faces",26,IF(J9="famous names",27,IF(J9="famous voices",28,IF(J9="television programs",29,IF(J9="race horses",30,IF(J9="new vocabulary",31,IF(J9="sentences",32,IF(J9="concepts",33,IF(J9="ad slides",34,IF(J9="scenes",35,IF(J9="famous scenes",36,IF(J9="poems",37,IF(J9="walk",38,IF(J9="faces and events",39,IF(J9="events and names",40,IF(J9="flashbulb",41,IF(J9="stories",42,IF(J9="course material",43,IF(J9="autobiographical",44,IF(J9="novels",45,IF(J9="public events",46,"99"))))))))))))))))))))))))))))))))))))))))))))))</f>
        <v>2</v>
      </c>
      <c r="L9" s="60">
        <f>IF(J9="syllables",1,IF(J9="trigrams",1,IF(J9="strings",1,IF(J9="visual array",1,IF(J9="characters",1,IF(J9="letters",1,IF(J9="free forms",1,IF(J9="odors",2,IF(J9="words",2,IF(J9="pictures",2,IF(J9="object pictures",2,IF(J9="faces",2,IF(J9="names",2,IF(J9="idioms","2",IF(J9="grades",2,IF(J9="syllable-digit pairs",3,IF(J9="trigram-word pairs",3,IF(J9="word-digit pairs",3,IF(J9="English-Swahili pairs",3,IF(J9="spatial position",3,IF(J9="word pairs",4,IF(J9="word triads",4,IF(J9="generated words",4,IF(J9="word definition pairs",4,IF(J9="math problems",4,IF(J9="famous faces",4,IF(J9="famous names",4,IF(J9="famous voices",4,IF(J9="television programs",4,IF(J9="race horses",4,IF(J9="new vocabulary",4,IF(J9="sentences",5,IF(J9="concepts",5,IF(J9="ad slides",5,IF(J9="scenes",5,IF(J9="famous scenes",5,IF(J9="poems",6,IF(J9="walk",6,IF(J9="faces and events",6,IF(J9="events and names",6,IF(J9="flashbulb",7,IF(J9="stories",7,IF(J9="course material",7,IF(J9="autobiographical",7,IF(J9="novels",7,IF(J9="public events",7,"99"))))))))))))))))))))))))))))))))))))))))))))))</f>
        <v>1</v>
      </c>
      <c r="M9" s="60">
        <v>0</v>
      </c>
      <c r="N9" s="60">
        <v>1</v>
      </c>
      <c r="O9" s="60">
        <v>1</v>
      </c>
      <c r="P9" s="60"/>
      <c r="Q9" s="60" t="s">
        <v>174</v>
      </c>
      <c r="R9" s="60">
        <f>IF(Q9="Free Recall",1,IF(Q9="Cued Recall",2,IF(Q9="Recognition",3,IF(Q9="Multiple Choice",4,IF(Q9="Savings",5,IF(Q9="Stem Completion",6,IF(Q9="Fragment Completion",7,IF(Q9="anagram solution",8,IF(Q9="Matching",9,IF(Q9="Problem Solving",10,"99"))))))))))</f>
        <v>1</v>
      </c>
      <c r="S9" s="60" t="s">
        <v>49</v>
      </c>
      <c r="T9" s="59" t="s">
        <v>581</v>
      </c>
      <c r="U9" s="60">
        <f>IF(T9="within",1,0)</f>
        <v>1</v>
      </c>
      <c r="V9" s="59">
        <v>48</v>
      </c>
      <c r="W9" s="60">
        <f>F9*V9</f>
        <v>1344</v>
      </c>
      <c r="X9" s="60">
        <v>4</v>
      </c>
      <c r="Y9" s="76">
        <f>AV8</f>
        <v>0.01</v>
      </c>
      <c r="Z9" s="60" t="s">
        <v>28</v>
      </c>
      <c r="AA9" s="60">
        <v>18</v>
      </c>
      <c r="AB9" s="60" t="str">
        <f>IF(AA9&lt;60,"1",IF(AA9&lt;=43200,"2",IF(AA9&lt;=777600,"3","4")))</f>
        <v>1</v>
      </c>
      <c r="AC9" s="56">
        <f>AVERAGE(AV8:AZ8)</f>
        <v>7.5024999999999995</v>
      </c>
      <c r="AD9" s="60" t="str">
        <f>IF(AC9&lt;60,"1",IF(AC9&lt;=43200,"2",IF(AC9&lt;=777600,"3","4")))</f>
        <v>1</v>
      </c>
      <c r="AE9" s="76">
        <f>AA9-Y9</f>
        <v>17.989999999999998</v>
      </c>
      <c r="AF9" s="80">
        <f>AV9</f>
        <v>1</v>
      </c>
      <c r="AG9" s="56">
        <f>((AW9-AV9)+(AX9-AW9)+(AY9-AX9))/3</f>
        <v>-0.10666666666666665</v>
      </c>
      <c r="AH9" s="4"/>
      <c r="AI9" s="56">
        <f>RSQ(AV9:AY9,AV8:AY8)</f>
        <v>0.95663135595824877</v>
      </c>
      <c r="AJ9" s="109">
        <f>SLOPE(AV9:AY9,AV8:AY8)</f>
        <v>-1.7386410887048891E-2</v>
      </c>
      <c r="AK9" s="56">
        <f>INTERCEPT(AV9:AY9,AV8:AY8)</f>
        <v>0.97294154768008445</v>
      </c>
      <c r="AL9" s="56">
        <f>INDEX(LINEST(LN(AV9:AY9),LN(AV8:AY8),TRUE,TRUE),3,1)</f>
        <v>0.71875870623120364</v>
      </c>
      <c r="AM9" s="56">
        <f>INDEX(LINEST(LN(AV9:AY9),LN(AV8:AY8)),1)</f>
        <v>-4.2214846046604866E-2</v>
      </c>
      <c r="AN9" s="56">
        <f>EXP(INDEX(LINEST(LN(AV9:AY9),LN(AV8:AY8)),1,2))</f>
        <v>0.84753528503648679</v>
      </c>
      <c r="AO9" s="82">
        <f>INDEX(LINEST((AV9:AY9),LN(AV8:AY8),TRUE,TRUE),3,1)</f>
        <v>0.75852492022042761</v>
      </c>
      <c r="AP9" s="82">
        <f>INDEX(LINEST((AV9:AY9),LN(AV8:AY8)),1)</f>
        <v>-3.5976837340382359E-2</v>
      </c>
      <c r="AQ9" s="83">
        <f>INDEX(LINEST(LN(AV9:AY9),SQRT(AV8:AY8),TRUE,TRUE),3,1)</f>
        <v>0.97470407769307743</v>
      </c>
      <c r="AR9" s="116">
        <f>INDEX(LINEST(LN(AV9:AY9),SQRT((AV8:AY8))),1)</f>
        <v>-9.4707696817467033E-2</v>
      </c>
      <c r="AS9" s="84">
        <f>INDEX(LINEST(1/(AV9:AY9),1/(SQRT(AV8:AY8)),TRUE,TRUE),3,1)</f>
        <v>0.49547239935680004</v>
      </c>
      <c r="AT9" s="84">
        <f>INDEX(LINEST(1/(AV9:AY9),1/SQRT(AV8:AY8)),1)</f>
        <v>-3.0398592532204352E-2</v>
      </c>
      <c r="AU9" s="3"/>
      <c r="AV9" s="53">
        <v>1</v>
      </c>
      <c r="AW9" s="53">
        <v>0.91</v>
      </c>
      <c r="AX9" s="53">
        <v>0.78</v>
      </c>
      <c r="AY9" s="53">
        <v>0.68</v>
      </c>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c r="CP9" s="53"/>
      <c r="CQ9" s="53"/>
      <c r="CR9" s="1"/>
      <c r="CS9" s="1"/>
      <c r="CT9" s="1"/>
      <c r="CU9" s="1"/>
    </row>
    <row r="10" spans="1:99" s="13" customFormat="1" ht="12" customHeight="1" x14ac:dyDescent="0.2">
      <c r="A10" s="65">
        <v>43902</v>
      </c>
      <c r="B10" s="1"/>
      <c r="C10" s="1"/>
      <c r="D10" s="60"/>
      <c r="E10" s="76"/>
      <c r="F10" s="60"/>
      <c r="G10" s="60"/>
      <c r="H10" s="60"/>
      <c r="I10" s="60"/>
      <c r="J10" s="60"/>
      <c r="K10" s="64"/>
      <c r="L10" s="64"/>
      <c r="M10" s="60"/>
      <c r="N10" s="60"/>
      <c r="O10" s="60"/>
      <c r="P10" s="60"/>
      <c r="Q10" s="60"/>
      <c r="R10" s="60"/>
      <c r="S10" s="60"/>
      <c r="T10" s="60"/>
      <c r="U10" s="60"/>
      <c r="V10" s="60"/>
      <c r="W10" s="60"/>
      <c r="X10" s="60"/>
      <c r="Y10" s="76"/>
      <c r="Z10" s="60"/>
      <c r="AA10" s="60"/>
      <c r="AB10" s="60"/>
      <c r="AC10" s="56"/>
      <c r="AD10" s="60"/>
      <c r="AE10" s="60"/>
      <c r="AF10" s="80"/>
      <c r="AG10" s="56"/>
      <c r="AH10" s="4"/>
      <c r="AI10" s="56"/>
      <c r="AJ10" s="109"/>
      <c r="AK10" s="56"/>
      <c r="AL10" s="56"/>
      <c r="AM10" s="56"/>
      <c r="AN10" s="56"/>
      <c r="AO10" s="82"/>
      <c r="AP10" s="82"/>
      <c r="AQ10" s="83"/>
      <c r="AR10" s="116"/>
      <c r="AS10" s="84"/>
      <c r="AT10" s="84"/>
      <c r="AU10" s="3"/>
      <c r="AV10" s="53">
        <v>0.01</v>
      </c>
      <c r="AW10" s="25">
        <v>9</v>
      </c>
      <c r="AX10" s="25">
        <v>18</v>
      </c>
      <c r="AY10" s="25">
        <v>36</v>
      </c>
      <c r="AZ10" s="53"/>
      <c r="BA10" s="53"/>
      <c r="BB10" s="53"/>
      <c r="BC10" s="53"/>
      <c r="BD10" s="53"/>
      <c r="BE10" s="53"/>
      <c r="BF10" s="53"/>
      <c r="BG10" s="53"/>
      <c r="BH10" s="53"/>
      <c r="BI10" s="53"/>
      <c r="BJ10" s="53"/>
      <c r="BK10" s="53"/>
      <c r="BL10" s="53"/>
      <c r="BM10" s="53"/>
      <c r="BN10" s="53"/>
      <c r="BO10" s="53"/>
      <c r="BP10" s="53"/>
      <c r="BQ10" s="53"/>
      <c r="BR10" s="53"/>
      <c r="BS10" s="53"/>
      <c r="BT10" s="53"/>
      <c r="BU10" s="53"/>
      <c r="BV10" s="53"/>
      <c r="BW10" s="53"/>
      <c r="BX10" s="53"/>
      <c r="BY10" s="53"/>
      <c r="BZ10" s="53"/>
      <c r="CA10" s="53"/>
      <c r="CB10" s="53"/>
      <c r="CC10" s="53"/>
      <c r="CD10" s="53"/>
      <c r="CE10" s="53"/>
      <c r="CF10" s="53"/>
      <c r="CG10" s="53"/>
      <c r="CH10" s="53"/>
      <c r="CI10" s="53"/>
      <c r="CJ10" s="53"/>
      <c r="CK10" s="53"/>
      <c r="CL10" s="53"/>
      <c r="CM10" s="53"/>
      <c r="CN10" s="53"/>
      <c r="CO10" s="53"/>
      <c r="CP10" s="53"/>
      <c r="CQ10" s="53"/>
      <c r="CR10" s="1"/>
      <c r="CS10" s="1"/>
      <c r="CT10" s="1"/>
      <c r="CU10" s="1"/>
    </row>
    <row r="11" spans="1:99" s="13" customFormat="1" ht="12" customHeight="1" x14ac:dyDescent="0.2">
      <c r="A11" s="65">
        <v>43902</v>
      </c>
      <c r="B11" s="1" t="s">
        <v>464</v>
      </c>
      <c r="C11" s="1" t="s">
        <v>465</v>
      </c>
      <c r="D11" s="60">
        <v>1977</v>
      </c>
      <c r="E11" s="76">
        <v>1</v>
      </c>
      <c r="F11" s="60">
        <v>25</v>
      </c>
      <c r="G11" s="60">
        <v>25</v>
      </c>
      <c r="H11" s="60" t="s">
        <v>468</v>
      </c>
      <c r="I11" s="60" t="s">
        <v>330</v>
      </c>
      <c r="J11" s="60" t="s">
        <v>443</v>
      </c>
      <c r="K11" s="60">
        <f>IF(J11="syllables",1,IF(J11="trigrams",2,IF(J11="strings",3,IF(J11="visual array",4,IF(J11="characters",5,IF(J11="letters",6,IF(J11="free forms",7,IF(J11="odors",8,IF(J11="words",9,IF(J11="pictures",10,IF(J11="object pictures",11,IF(J11="faces",12,IF(J11="names",13,IF(J11="idioms",14,IF(J11="grades",15,IF(J11="syllable-digit pairs",16,IF(J11="trigram-word pairs",17,IF(J11="word-digit pairs",18,IF(J11="English-Swahili pairs",19,IF(J11="spatial position",20,IF(J11="word pairs",21,IF(J11="word triads",22,IF(J11="generated words",23,IF(J11="word definition pairs",24,IF(J11="math problems",25,IF(J11="famous faces",26,IF(J11="famous names",27,IF(J11="famous voices",28,IF(J11="television programs",29,IF(J11="race horses",30,IF(J11="new vocabulary",31,IF(J11="sentences",32,IF(J11="concepts",33,IF(J11="ad slides",34,IF(J11="scenes",35,IF(J11="famous scenes",36,IF(J11="poems",37,IF(J11="walk",38,IF(J11="faces and events",39,IF(J11="events and names",40,IF(J11="flashbulb",41,IF(J11="stories",42,IF(J11="course material",43,IF(J11="autobiographical",44,IF(J11="novels",45,IF(J11="public events",46,"99"))))))))))))))))))))))))))))))))))))))))))))))</f>
        <v>2</v>
      </c>
      <c r="L11" s="60">
        <f>IF(J11="syllables",1,IF(J11="trigrams",1,IF(J11="strings",1,IF(J11="visual array",1,IF(J11="characters",1,IF(J11="letters",1,IF(J11="free forms",1,IF(J11="odors",2,IF(J11="words",2,IF(J11="pictures",2,IF(J11="object pictures",2,IF(J11="faces",2,IF(J11="names",2,IF(J11="idioms","2",IF(J11="grades",2,IF(J11="syllable-digit pairs",3,IF(J11="trigram-word pairs",3,IF(J11="word-digit pairs",3,IF(J11="English-Swahili pairs",3,IF(J11="spatial position",3,IF(J11="word pairs",4,IF(J11="word triads",4,IF(J11="generated words",4,IF(J11="word definition pairs",4,IF(J11="math problems",4,IF(J11="famous faces",4,IF(J11="famous names",4,IF(J11="famous voices",4,IF(J11="television programs",4,IF(J11="race horses",4,IF(J11="new vocabulary",4,IF(J11="sentences",5,IF(J11="concepts",5,IF(J11="ad slides",5,IF(J11="scenes",5,IF(J11="famous scenes",5,IF(J11="poems",6,IF(J11="walk",6,IF(J11="faces and events",6,IF(J11="events and names",6,IF(J11="flashbulb",7,IF(J11="stories",7,IF(J11="course material",7,IF(J11="autobiographical",7,IF(J11="novels",7,IF(J11="public events",7,"99"))))))))))))))))))))))))))))))))))))))))))))))</f>
        <v>1</v>
      </c>
      <c r="M11" s="60">
        <v>0</v>
      </c>
      <c r="N11" s="60">
        <v>1</v>
      </c>
      <c r="O11" s="60">
        <v>1</v>
      </c>
      <c r="P11" s="60"/>
      <c r="Q11" s="60" t="s">
        <v>174</v>
      </c>
      <c r="R11" s="60">
        <f>IF(Q11="Free Recall",1,IF(Q11="Cued Recall",2,IF(Q11="Recognition",3,IF(Q11="Multiple Choice",4,IF(Q11="Savings",5,IF(Q11="Stem Completion",6,IF(Q11="Fragment Completion",7,IF(Q11="anagram solution",8,IF(Q11="Matching",9,IF(Q11="Problem Solving",10,"99"))))))))))</f>
        <v>1</v>
      </c>
      <c r="S11" s="60" t="s">
        <v>49</v>
      </c>
      <c r="T11" s="59" t="s">
        <v>581</v>
      </c>
      <c r="U11" s="60">
        <f>IF(T11="within",1,0)</f>
        <v>1</v>
      </c>
      <c r="V11" s="59">
        <v>48</v>
      </c>
      <c r="W11" s="60">
        <f>F11*V11</f>
        <v>1200</v>
      </c>
      <c r="X11" s="60">
        <v>4</v>
      </c>
      <c r="Y11" s="76">
        <f>AV10</f>
        <v>0.01</v>
      </c>
      <c r="Z11" s="60" t="s">
        <v>470</v>
      </c>
      <c r="AA11" s="60">
        <v>36</v>
      </c>
      <c r="AB11" s="60" t="str">
        <f>IF(AA11&lt;60,"1",IF(AA11&lt;=43200,"2",IF(AA11&lt;=777600,"3","4")))</f>
        <v>1</v>
      </c>
      <c r="AC11" s="56">
        <f>AVERAGE(AV10:AZ10)</f>
        <v>15.7525</v>
      </c>
      <c r="AD11" s="60" t="str">
        <f>IF(AC11&lt;60,"1",IF(AC11&lt;=43200,"2",IF(AC11&lt;=777600,"3","4")))</f>
        <v>1</v>
      </c>
      <c r="AE11" s="76">
        <f>AA11-Y11</f>
        <v>35.99</v>
      </c>
      <c r="AF11" s="80">
        <f>AV11</f>
        <v>1</v>
      </c>
      <c r="AG11" s="56">
        <f>((AW11-AV11)+(AX11-AW11)+(AY11-AX11))/3</f>
        <v>-0.12</v>
      </c>
      <c r="AH11" s="4"/>
      <c r="AI11" s="56">
        <f>RSQ(AV11:AY11,AV10:AY10)</f>
        <v>0.56508118742678159</v>
      </c>
      <c r="AJ11" s="109">
        <f>SLOPE(AV11:AY11,AV10:AY10)</f>
        <v>-8.4763236772261719E-3</v>
      </c>
      <c r="AK11" s="56">
        <f>INTERCEPT(AV11:AY11,AV10:AY10)</f>
        <v>0.87602328872550528</v>
      </c>
      <c r="AL11" s="56">
        <f>INDEX(LINEST(LN(AV11:AY11),LN(AV10:AY10),TRUE,TRUE),3,1)</f>
        <v>0.99308227530428084</v>
      </c>
      <c r="AM11" s="56">
        <f>INDEX(LINEST(LN(AV11:AY11),LN(AV10:AY10)),1)</f>
        <v>-5.6151992204423705E-2</v>
      </c>
      <c r="AN11" s="56">
        <f>EXP(INDEX(LINEST(LN(AV11:AY11),LN(AV10:AY10)),1,2))</f>
        <v>0.77195289902455055</v>
      </c>
      <c r="AO11" s="82">
        <f>INDEX(LINEST((AV11:AY11),LN(AV10:AY10),TRUE,TRUE),3,1)</f>
        <v>0.99438523817970814</v>
      </c>
      <c r="AP11" s="82">
        <f>INDEX(LINEST((AV11:AY11),LN(AV10:AY10)),1)</f>
        <v>-4.5587897374298116E-2</v>
      </c>
      <c r="AQ11" s="83">
        <f>INDEX(LINEST(LN(AV11:AY11),SQRT(AV10:AY10),TRUE,TRUE),3,1)</f>
        <v>0.85261388620347722</v>
      </c>
      <c r="AR11" s="116">
        <f>INDEX(LINEST(LN(AV11:AY11),SQRT((AV10:AY10))),1)</f>
        <v>-7.9405740036786313E-2</v>
      </c>
      <c r="AS11" s="84">
        <f>INDEX(LINEST(1/(AV11:AY11),1/(SQRT(AV10:AY10)),TRUE,TRUE),3,1)</f>
        <v>0.96506927580040958</v>
      </c>
      <c r="AT11" s="84">
        <f>INDEX(LINEST(1/(AV11:AY11),1/SQRT(AV10:AY10)),1)</f>
        <v>-5.3924258245121329E-2</v>
      </c>
      <c r="AU11" s="3"/>
      <c r="AV11" s="53">
        <v>1</v>
      </c>
      <c r="AW11" s="53">
        <v>0.69</v>
      </c>
      <c r="AX11" s="53">
        <v>0.64</v>
      </c>
      <c r="AY11" s="53">
        <v>0.64</v>
      </c>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1"/>
      <c r="CS11" s="1"/>
      <c r="CT11" s="1"/>
      <c r="CU11" s="1"/>
    </row>
    <row r="12" spans="1:99" s="13" customFormat="1" ht="12" customHeight="1" x14ac:dyDescent="0.2">
      <c r="A12" s="65">
        <v>43902</v>
      </c>
      <c r="B12" s="1"/>
      <c r="C12" s="1"/>
      <c r="D12" s="60"/>
      <c r="E12" s="76"/>
      <c r="F12" s="60"/>
      <c r="G12" s="60"/>
      <c r="H12" s="60"/>
      <c r="I12" s="60"/>
      <c r="J12" s="60"/>
      <c r="K12" s="64"/>
      <c r="L12" s="64"/>
      <c r="M12" s="60"/>
      <c r="N12" s="60"/>
      <c r="O12" s="60"/>
      <c r="P12" s="60"/>
      <c r="Q12" s="60"/>
      <c r="R12" s="60"/>
      <c r="S12" s="60"/>
      <c r="T12" s="60"/>
      <c r="U12" s="60"/>
      <c r="V12" s="60"/>
      <c r="W12" s="60"/>
      <c r="X12" s="60"/>
      <c r="Y12" s="76"/>
      <c r="Z12" s="60"/>
      <c r="AA12" s="60"/>
      <c r="AB12" s="60"/>
      <c r="AC12" s="56"/>
      <c r="AD12" s="60"/>
      <c r="AE12" s="60"/>
      <c r="AF12" s="80"/>
      <c r="AG12" s="56"/>
      <c r="AH12" s="4"/>
      <c r="AI12" s="56"/>
      <c r="AJ12" s="109"/>
      <c r="AK12" s="56"/>
      <c r="AL12" s="56"/>
      <c r="AM12" s="56"/>
      <c r="AN12" s="56"/>
      <c r="AO12" s="82"/>
      <c r="AP12" s="82"/>
      <c r="AQ12" s="83"/>
      <c r="AR12" s="116"/>
      <c r="AS12" s="84"/>
      <c r="AT12" s="84"/>
      <c r="AU12" s="3"/>
      <c r="AV12" s="53">
        <v>0.01</v>
      </c>
      <c r="AW12" s="25">
        <v>9</v>
      </c>
      <c r="AX12" s="25">
        <v>18</v>
      </c>
      <c r="AY12" s="25">
        <v>36</v>
      </c>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1"/>
      <c r="CS12" s="1"/>
      <c r="CT12" s="1"/>
      <c r="CU12" s="1"/>
    </row>
    <row r="13" spans="1:99" s="13" customFormat="1" ht="12" customHeight="1" x14ac:dyDescent="0.2">
      <c r="A13" s="65">
        <v>43902</v>
      </c>
      <c r="B13" s="1" t="s">
        <v>464</v>
      </c>
      <c r="C13" s="1" t="s">
        <v>465</v>
      </c>
      <c r="D13" s="60">
        <v>1977</v>
      </c>
      <c r="E13" s="76">
        <v>1</v>
      </c>
      <c r="F13" s="60">
        <v>25</v>
      </c>
      <c r="G13" s="60">
        <v>25</v>
      </c>
      <c r="H13" s="60" t="s">
        <v>469</v>
      </c>
      <c r="I13" s="60" t="s">
        <v>330</v>
      </c>
      <c r="J13" s="60" t="s">
        <v>443</v>
      </c>
      <c r="K13" s="60">
        <f>IF(J13="syllables",1,IF(J13="trigrams",2,IF(J13="strings",3,IF(J13="visual array",4,IF(J13="characters",5,IF(J13="letters",6,IF(J13="free forms",7,IF(J13="odors",8,IF(J13="words",9,IF(J13="pictures",10,IF(J13="object pictures",11,IF(J13="faces",12,IF(J13="names",13,IF(J13="idioms",14,IF(J13="grades",15,IF(J13="syllable-digit pairs",16,IF(J13="trigram-word pairs",17,IF(J13="word-digit pairs",18,IF(J13="English-Swahili pairs",19,IF(J13="spatial position",20,IF(J13="word pairs",21,IF(J13="word triads",22,IF(J13="generated words",23,IF(J13="word definition pairs",24,IF(J13="math problems",25,IF(J13="famous faces",26,IF(J13="famous names",27,IF(J13="famous voices",28,IF(J13="television programs",29,IF(J13="race horses",30,IF(J13="new vocabulary",31,IF(J13="sentences",32,IF(J13="concepts",33,IF(J13="ad slides",34,IF(J13="scenes",35,IF(J13="famous scenes",36,IF(J13="poems",37,IF(J13="walk",38,IF(J13="faces and events",39,IF(J13="events and names",40,IF(J13="flashbulb",41,IF(J13="stories",42,IF(J13="course material",43,IF(J13="autobiographical",44,IF(J13="novels",45,IF(J13="public events",46,"99"))))))))))))))))))))))))))))))))))))))))))))))</f>
        <v>2</v>
      </c>
      <c r="L13" s="60">
        <f>IF(J13="syllables",1,IF(J13="trigrams",1,IF(J13="strings",1,IF(J13="visual array",1,IF(J13="characters",1,IF(J13="letters",1,IF(J13="free forms",1,IF(J13="odors",2,IF(J13="words",2,IF(J13="pictures",2,IF(J13="object pictures",2,IF(J13="faces",2,IF(J13="names",2,IF(J13="idioms","2",IF(J13="grades",2,IF(J13="syllable-digit pairs",3,IF(J13="trigram-word pairs",3,IF(J13="word-digit pairs",3,IF(J13="English-Swahili pairs",3,IF(J13="spatial position",3,IF(J13="word pairs",4,IF(J13="word triads",4,IF(J13="generated words",4,IF(J13="word definition pairs",4,IF(J13="math problems",4,IF(J13="famous faces",4,IF(J13="famous names",4,IF(J13="famous voices",4,IF(J13="television programs",4,IF(J13="race horses",4,IF(J13="new vocabulary",4,IF(J13="sentences",5,IF(J13="concepts",5,IF(J13="ad slides",5,IF(J13="scenes",5,IF(J13="famous scenes",5,IF(J13="poems",6,IF(J13="walk",6,IF(J13="faces and events",6,IF(J13="events and names",6,IF(J13="flashbulb",7,IF(J13="stories",7,IF(J13="course material",7,IF(J13="autobiographical",7,IF(J13="novels",7,IF(J13="public events",7,"99"))))))))))))))))))))))))))))))))))))))))))))))</f>
        <v>1</v>
      </c>
      <c r="M13" s="60">
        <v>0</v>
      </c>
      <c r="N13" s="60">
        <v>1</v>
      </c>
      <c r="O13" s="60">
        <v>1</v>
      </c>
      <c r="P13" s="60"/>
      <c r="Q13" s="60" t="s">
        <v>174</v>
      </c>
      <c r="R13" s="60">
        <f>IF(Q13="Free Recall",1,IF(Q13="Cued Recall",2,IF(Q13="Recognition",3,IF(Q13="Multiple Choice",4,IF(Q13="Savings",5,IF(Q13="Stem Completion",6,IF(Q13="Fragment Completion",7,IF(Q13="anagram solution",8,IF(Q13="Matching",9,IF(Q13="Problem Solving",10,"99"))))))))))</f>
        <v>1</v>
      </c>
      <c r="S13" s="60" t="s">
        <v>49</v>
      </c>
      <c r="T13" s="59" t="s">
        <v>581</v>
      </c>
      <c r="U13" s="60">
        <f>IF(T13="within",1,0)</f>
        <v>1</v>
      </c>
      <c r="V13" s="59">
        <v>48</v>
      </c>
      <c r="W13" s="60">
        <f>F13*V13</f>
        <v>1200</v>
      </c>
      <c r="X13" s="60">
        <v>4</v>
      </c>
      <c r="Y13" s="76">
        <f>AV12</f>
        <v>0.01</v>
      </c>
      <c r="Z13" s="60" t="s">
        <v>470</v>
      </c>
      <c r="AA13" s="60">
        <v>36</v>
      </c>
      <c r="AB13" s="60" t="str">
        <f>IF(AA13&lt;60,"1",IF(AA13&lt;=43200,"2",IF(AA13&lt;=777600,"3","4")))</f>
        <v>1</v>
      </c>
      <c r="AC13" s="56">
        <f>AVERAGE(AV12:AZ12)</f>
        <v>15.7525</v>
      </c>
      <c r="AD13" s="60" t="str">
        <f>IF(AC13&lt;60,"1",IF(AC13&lt;=43200,"2",IF(AC13&lt;=777600,"3","4")))</f>
        <v>1</v>
      </c>
      <c r="AE13" s="76">
        <f>AA13-Y13</f>
        <v>35.99</v>
      </c>
      <c r="AF13" s="80">
        <f>AV13</f>
        <v>1</v>
      </c>
      <c r="AG13" s="56">
        <f>((AW13-AV13)+(AX13-AW13)+(AY13-AX13))/3</f>
        <v>-0.18000000000000002</v>
      </c>
      <c r="AH13" s="4"/>
      <c r="AI13" s="56">
        <f>RSQ(AV13:AY13,AV12:AY12)</f>
        <v>0.9443132864568804</v>
      </c>
      <c r="AJ13" s="109">
        <f>SLOPE(AV13:AY13,AV12:AY12)</f>
        <v>-1.4256316995597656E-2</v>
      </c>
      <c r="AK13" s="56">
        <f>INTERCEPT(AV13:AY13,AV12:AY12)</f>
        <v>0.94207263347315207</v>
      </c>
      <c r="AL13" s="56">
        <f>INDEX(LINEST(LN(AV13:AY13),LN(AV12:AY12),TRUE,TRUE),3,1)</f>
        <v>0.71919048226911431</v>
      </c>
      <c r="AM13" s="56">
        <f>INDEX(LINEST(LN(AV13:AY13),LN(AV12:AY12)),1)</f>
        <v>-7.2500610318961697E-2</v>
      </c>
      <c r="AN13" s="56">
        <f>EXP(INDEX(LINEST(LN(AV13:AY13),LN(AV12:AY12)),1,2))</f>
        <v>0.74323629041643535</v>
      </c>
      <c r="AO13" s="82">
        <f>INDEX(LINEST((AV13:AY13),LN(AV12:AY12),TRUE,TRUE),3,1)</f>
        <v>0.82290530075657153</v>
      </c>
      <c r="AP13" s="82">
        <f>INDEX(LINEST((AV13:AY13),LN(AV12:AY12)),1)</f>
        <v>-5.3956571154695605E-2</v>
      </c>
      <c r="AQ13" s="83">
        <f>INDEX(LINEST(LN(AV13:AY13),SQRT(AV12:AY12),TRUE,TRUE),3,1)</f>
        <v>0.96169758865605814</v>
      </c>
      <c r="AR13" s="116">
        <f>INDEX(LINEST(LN(AV13:AY13),SQRT((AV12:AY12))),1)</f>
        <v>-0.1279505341971961</v>
      </c>
      <c r="AS13" s="84">
        <f>INDEX(LINEST(1/(AV13:AY13),1/(SQRT(AV12:AY12)),TRUE,TRUE),3,1)</f>
        <v>0.47665412038260413</v>
      </c>
      <c r="AT13" s="84">
        <f>INDEX(LINEST(1/(AV13:AY13),1/SQRT(AV12:AY12)),1)</f>
        <v>-7.0265704020217715E-2</v>
      </c>
      <c r="AU13" s="3"/>
      <c r="AV13" s="53">
        <v>1</v>
      </c>
      <c r="AW13" s="53">
        <v>0.76</v>
      </c>
      <c r="AX13" s="53">
        <v>0.65</v>
      </c>
      <c r="AY13" s="53">
        <v>0.46</v>
      </c>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c r="BZ13" s="53"/>
      <c r="CA13" s="53"/>
      <c r="CB13" s="53"/>
      <c r="CC13" s="53"/>
      <c r="CD13" s="53"/>
      <c r="CE13" s="53"/>
      <c r="CF13" s="53"/>
      <c r="CG13" s="53"/>
      <c r="CH13" s="53"/>
      <c r="CI13" s="53"/>
      <c r="CJ13" s="53"/>
      <c r="CK13" s="53"/>
      <c r="CL13" s="53"/>
      <c r="CM13" s="53"/>
      <c r="CN13" s="53"/>
      <c r="CO13" s="53"/>
      <c r="CP13" s="53"/>
      <c r="CQ13" s="53"/>
      <c r="CR13" s="1"/>
      <c r="CS13" s="1"/>
      <c r="CT13" s="1"/>
      <c r="CU13" s="1"/>
    </row>
    <row r="14" spans="1:99" s="13" customFormat="1" ht="12" customHeight="1" x14ac:dyDescent="0.2">
      <c r="A14" s="68">
        <v>43895</v>
      </c>
      <c r="B14" s="70"/>
      <c r="C14" s="70"/>
      <c r="D14" s="69"/>
      <c r="E14" s="87"/>
      <c r="F14" s="69"/>
      <c r="G14" s="69"/>
      <c r="H14" s="69"/>
      <c r="I14" s="69"/>
      <c r="J14" s="69"/>
      <c r="K14" s="107"/>
      <c r="L14" s="107"/>
      <c r="M14" s="69"/>
      <c r="N14" s="69"/>
      <c r="O14" s="69"/>
      <c r="P14" s="69"/>
      <c r="Q14" s="69"/>
      <c r="R14" s="69"/>
      <c r="S14" s="69"/>
      <c r="T14" s="69"/>
      <c r="U14" s="69"/>
      <c r="V14" s="69"/>
      <c r="W14" s="69"/>
      <c r="X14" s="69"/>
      <c r="Y14" s="87"/>
      <c r="Z14" s="69"/>
      <c r="AA14" s="69"/>
      <c r="AB14" s="69"/>
      <c r="AC14" s="72"/>
      <c r="AD14" s="69"/>
      <c r="AE14" s="69"/>
      <c r="AF14" s="88"/>
      <c r="AG14" s="72"/>
      <c r="AH14" s="4"/>
      <c r="AI14" s="72"/>
      <c r="AJ14" s="110"/>
      <c r="AK14" s="72"/>
      <c r="AL14" s="72"/>
      <c r="AM14" s="72"/>
      <c r="AN14" s="72"/>
      <c r="AO14" s="89"/>
      <c r="AP14" s="89"/>
      <c r="AQ14" s="90"/>
      <c r="AR14" s="117"/>
      <c r="AS14" s="91"/>
      <c r="AT14" s="91"/>
      <c r="AU14" s="3"/>
      <c r="AV14" s="71">
        <v>3</v>
      </c>
      <c r="AW14" s="71">
        <v>9</v>
      </c>
      <c r="AX14" s="71">
        <v>18</v>
      </c>
      <c r="AY14" s="73"/>
      <c r="AZ14" s="7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c r="BZ14" s="53"/>
      <c r="CA14" s="53"/>
      <c r="CB14" s="53"/>
      <c r="CC14" s="53"/>
      <c r="CD14" s="53"/>
      <c r="CE14" s="53"/>
      <c r="CF14" s="53"/>
      <c r="CG14" s="53"/>
      <c r="CH14" s="53"/>
      <c r="CI14" s="53"/>
      <c r="CJ14" s="53"/>
      <c r="CK14" s="53"/>
      <c r="CL14" s="53"/>
      <c r="CM14" s="53"/>
      <c r="CN14" s="53"/>
      <c r="CO14" s="53"/>
      <c r="CP14" s="53"/>
      <c r="CQ14" s="53"/>
      <c r="CR14" s="1"/>
      <c r="CS14" s="1"/>
      <c r="CT14" s="1"/>
      <c r="CU14" s="1"/>
    </row>
    <row r="15" spans="1:99" s="13" customFormat="1" ht="12" customHeight="1" x14ac:dyDescent="0.2">
      <c r="A15" s="68">
        <v>43895</v>
      </c>
      <c r="B15" s="70" t="s">
        <v>339</v>
      </c>
      <c r="C15" s="70" t="s">
        <v>54</v>
      </c>
      <c r="D15" s="69">
        <v>1983</v>
      </c>
      <c r="E15" s="87">
        <v>1</v>
      </c>
      <c r="F15" s="69">
        <v>10</v>
      </c>
      <c r="G15" s="69">
        <v>10</v>
      </c>
      <c r="H15" s="69" t="s">
        <v>50</v>
      </c>
      <c r="I15" s="69" t="s">
        <v>330</v>
      </c>
      <c r="J15" s="69" t="s">
        <v>281</v>
      </c>
      <c r="K15" s="69">
        <f>IF(J15="syllables",1,IF(J15="trigrams",2,IF(J15="strings",3,IF(J15="visual array",4,IF(J15="characters",5,IF(J15="letters",6,IF(J15="free forms",7,IF(J15="odors",8,IF(J15="words",9,IF(J15="pictures",10,IF(J15="object pictures",11,IF(J15="faces",12,IF(J15="names",13,IF(J15="idioms",14,IF(J15="grades",15,IF(J15="syllable-digit pairs",16,IF(J15="trigram-word pairs",17,IF(J15="word-digit pairs",18,IF(J15="English-Swahili pairs",19,IF(J15="spatial position",20,IF(J15="word pairs",21,IF(J15="word triads",22,IF(J15="generated words",23,IF(J15="word definition pairs",24,IF(J15="math problems",25,IF(J15="famous faces",26,IF(J15="famous names",27,IF(J15="famous voices",28,IF(J15="television programs",29,IF(J15="race horses",30,IF(J15="new vocabulary",31,IF(J15="sentences",32,IF(J15="concepts",33,IF(J15="ad slides",34,IF(J15="scenes",35,IF(J15="famous scenes",36,IF(J15="poems",37,IF(J15="walk",38,IF(J15="faces and events",39,IF(J15="events and names",40,IF(J15="flashbulb",41,IF(J15="stories",42,IF(J15="course material",43,IF(J15="autobiographical",44,IF(J15="novels",45,IF(J15="public events",46,"99"))))))))))))))))))))))))))))))))))))))))))))))</f>
        <v>1</v>
      </c>
      <c r="L15" s="69">
        <f>IF(J15="syllables",1,IF(J15="trigrams",1,IF(J15="strings",1,IF(J15="visual array",1,IF(J15="characters",1,IF(J15="letters",1,IF(J15="free forms",1,IF(J15="odors",2,IF(J15="words",2,IF(J15="pictures",2,IF(J15="object pictures",2,IF(J15="faces",2,IF(J15="names",2,IF(J15="idioms","2",IF(J15="grades",2,IF(J15="syllable-digit pairs",3,IF(J15="trigram-word pairs",3,IF(J15="word-digit pairs",3,IF(J15="English-Swahili pairs",3,IF(J15="spatial position",3,IF(J15="word pairs",4,IF(J15="word triads",4,IF(J15="generated words",4,IF(J15="word definition pairs",4,IF(J15="math problems",4,IF(J15="famous faces",4,IF(J15="famous names",4,IF(J15="famous voices",4,IF(J15="television programs",4,IF(J15="race horses",4,IF(J15="new vocabulary",4,IF(J15="sentences",5,IF(J15="concepts",5,IF(J15="ad slides",5,IF(J15="scenes",5,IF(J15="famous scenes",5,IF(J15="poems",6,IF(J15="walk",6,IF(J15="faces and events",6,IF(J15="events and names",6,IF(J15="flashbulb",7,IF(J15="stories",7,IF(J15="course material",7,IF(J15="autobiographical",7,IF(J15="novels",7,IF(J15="public events",7,"99"))))))))))))))))))))))))))))))))))))))))))))))</f>
        <v>1</v>
      </c>
      <c r="M15" s="69">
        <v>0</v>
      </c>
      <c r="N15" s="69">
        <v>1</v>
      </c>
      <c r="O15" s="69">
        <v>1</v>
      </c>
      <c r="P15" s="69"/>
      <c r="Q15" s="69" t="s">
        <v>174</v>
      </c>
      <c r="R15" s="69">
        <f>IF(Q15="Free Recall",1,IF(Q15="Cued Recall",2,IF(Q15="Recognition",3,IF(Q15="Multiple Choice",4,IF(Q15="Savings",5,IF(Q15="Stem Completion",6,IF(Q15="Fragment Completion",7,IF(Q15="anagram solution",8,IF(Q15="Matching",9,IF(Q15="Problem Solving",10,"99"))))))))))</f>
        <v>1</v>
      </c>
      <c r="S15" s="99" t="s">
        <v>49</v>
      </c>
      <c r="T15" s="92" t="s">
        <v>581</v>
      </c>
      <c r="U15" s="69">
        <f>IF(T15="within",1,0)</f>
        <v>1</v>
      </c>
      <c r="V15" s="92">
        <v>60</v>
      </c>
      <c r="W15" s="69">
        <f>F15*V15</f>
        <v>600</v>
      </c>
      <c r="X15" s="69">
        <v>3</v>
      </c>
      <c r="Y15" s="87">
        <f>AV14</f>
        <v>3</v>
      </c>
      <c r="Z15" s="69" t="s">
        <v>28</v>
      </c>
      <c r="AA15" s="69">
        <v>18</v>
      </c>
      <c r="AB15" s="69" t="str">
        <f>IF(AA15&lt;60,"1",IF(AA15&lt;=43200,"2",IF(AA15&lt;=777600,"3","4")))</f>
        <v>1</v>
      </c>
      <c r="AC15" s="72">
        <f>AVERAGE(AV14:DA14)</f>
        <v>10</v>
      </c>
      <c r="AD15" s="69" t="str">
        <f>IF(AC15&lt;60,"1",IF(AC15&lt;=43200,"2",IF(AC15&lt;=777600,"3","4")))</f>
        <v>1</v>
      </c>
      <c r="AE15" s="87">
        <f>AA15-Y15</f>
        <v>15</v>
      </c>
      <c r="AF15" s="88">
        <f>AV15</f>
        <v>0.9</v>
      </c>
      <c r="AG15" s="72">
        <f>((AW15-AV15)+(AX15-AW15))/2</f>
        <v>-3.0000000000000027E-2</v>
      </c>
      <c r="AH15" s="4"/>
      <c r="AI15" s="72">
        <f>RSQ(AV15:AX15,AV14:AX14)</f>
        <v>0.25000000000000067</v>
      </c>
      <c r="AJ15" s="110">
        <f>SLOPE(AV15:AX15,AV14:AX14)</f>
        <v>-3.3333333333333375E-3</v>
      </c>
      <c r="AK15" s="72">
        <f>INTERCEPT(AV15:AX15,AV14:AX14)</f>
        <v>0.88</v>
      </c>
      <c r="AL15" s="72">
        <f>INDEX(LINEST(LN(AV15:AX15),LN(AV14:AX14),TRUE,TRUE),3,1)</f>
        <v>0.46684823845544871</v>
      </c>
      <c r="AM15" s="72">
        <f>INDEX(LINEST(LN(AV15:AX15),LN(AV14:AX14)),1)</f>
        <v>-4.475429350804095E-2</v>
      </c>
      <c r="AN15" s="72">
        <f>EXP(INDEX(LINEST(LN(AV15:AX15),LN(AV14:AX14)),1,2))</f>
        <v>0.92743489049954275</v>
      </c>
      <c r="AO15" s="89">
        <f>INDEX(LINEST((AV15:AX15),LN(AV14:AX14),TRUE,TRUE),3,1)</f>
        <v>0.48308001761091945</v>
      </c>
      <c r="AP15" s="89">
        <f>INDEX(LINEST((AV15:AX15),LN(AV14:AX14)),1)</f>
        <v>-3.8719579417244895E-2</v>
      </c>
      <c r="AQ15" s="90">
        <f>INDEX(LINEST(LN(AV15:AX15),SQRT(AV14:AX14),TRUE,TRUE),3,1)</f>
        <v>0.34530920475800164</v>
      </c>
      <c r="AR15" s="117">
        <f>INDEX(LINEST(LN(AV15:AX15),SQRT((AV14:AX14))),1)</f>
        <v>-2.7702748666180096E-2</v>
      </c>
      <c r="AS15" s="91">
        <f>INDEX(LINEST(1/(AV15:AX15),1/(SQRT(AV14:AX14)),TRUE,TRUE),3,1)</f>
        <v>0.5628349747796787</v>
      </c>
      <c r="AT15" s="91">
        <f>INDEX(LINEST(1/(AV15:AX15),1/SQRT(AV14:AX14)),1)</f>
        <v>-0.29706647707700568</v>
      </c>
      <c r="AU15" s="3"/>
      <c r="AV15" s="73">
        <v>0.9</v>
      </c>
      <c r="AW15" s="73">
        <v>0.8</v>
      </c>
      <c r="AX15" s="73">
        <v>0.84</v>
      </c>
      <c r="AY15" s="73"/>
      <c r="AZ15" s="7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1"/>
      <c r="CS15" s="1"/>
      <c r="CT15" s="1"/>
      <c r="CU15" s="1"/>
    </row>
    <row r="16" spans="1:99" s="13" customFormat="1" ht="12" customHeight="1" x14ac:dyDescent="0.2">
      <c r="A16" s="68">
        <v>43895</v>
      </c>
      <c r="B16" s="70"/>
      <c r="C16" s="70"/>
      <c r="D16" s="69"/>
      <c r="E16" s="87"/>
      <c r="F16" s="69"/>
      <c r="G16" s="69"/>
      <c r="H16" s="69"/>
      <c r="I16" s="69"/>
      <c r="J16" s="69"/>
      <c r="K16" s="107"/>
      <c r="L16" s="107"/>
      <c r="M16" s="69"/>
      <c r="N16" s="69"/>
      <c r="O16" s="69"/>
      <c r="P16" s="69"/>
      <c r="Q16" s="69"/>
      <c r="R16" s="69"/>
      <c r="S16" s="69"/>
      <c r="T16" s="69"/>
      <c r="U16" s="69"/>
      <c r="V16" s="69"/>
      <c r="W16" s="69"/>
      <c r="X16" s="69"/>
      <c r="Y16" s="87"/>
      <c r="Z16" s="69"/>
      <c r="AA16" s="69"/>
      <c r="AB16" s="69"/>
      <c r="AC16" s="72"/>
      <c r="AD16" s="69"/>
      <c r="AE16" s="69"/>
      <c r="AF16" s="88"/>
      <c r="AG16" s="72"/>
      <c r="AH16" s="4"/>
      <c r="AI16" s="72"/>
      <c r="AJ16" s="110"/>
      <c r="AK16" s="72"/>
      <c r="AL16" s="72"/>
      <c r="AM16" s="72"/>
      <c r="AN16" s="72"/>
      <c r="AO16" s="89"/>
      <c r="AP16" s="89"/>
      <c r="AQ16" s="90"/>
      <c r="AR16" s="117"/>
      <c r="AS16" s="91"/>
      <c r="AT16" s="91"/>
      <c r="AU16" s="3"/>
      <c r="AV16" s="71">
        <v>3</v>
      </c>
      <c r="AW16" s="71">
        <v>9</v>
      </c>
      <c r="AX16" s="71">
        <v>18</v>
      </c>
      <c r="AY16" s="73"/>
      <c r="AZ16" s="7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1"/>
      <c r="CS16" s="1"/>
      <c r="CT16" s="1"/>
      <c r="CU16" s="1"/>
    </row>
    <row r="17" spans="1:99" s="13" customFormat="1" ht="12" customHeight="1" x14ac:dyDescent="0.2">
      <c r="A17" s="68">
        <v>43895</v>
      </c>
      <c r="B17" s="70" t="s">
        <v>339</v>
      </c>
      <c r="C17" s="70" t="s">
        <v>54</v>
      </c>
      <c r="D17" s="69">
        <v>1983</v>
      </c>
      <c r="E17" s="87">
        <v>1</v>
      </c>
      <c r="F17" s="69">
        <v>10</v>
      </c>
      <c r="G17" s="69">
        <v>10</v>
      </c>
      <c r="H17" s="69" t="s">
        <v>41</v>
      </c>
      <c r="I17" s="69" t="s">
        <v>330</v>
      </c>
      <c r="J17" s="69" t="s">
        <v>16</v>
      </c>
      <c r="K17" s="69">
        <f>IF(J17="syllables",1,IF(J17="trigrams",2,IF(J17="strings",3,IF(J17="visual array",4,IF(J17="characters",5,IF(J17="letters",6,IF(J17="free forms",7,IF(J17="odors",8,IF(J17="words",9,IF(J17="pictures",10,IF(J17="object pictures",11,IF(J17="faces",12,IF(J17="names",13,IF(J17="idioms",14,IF(J17="grades",15,IF(J17="syllable-digit pairs",16,IF(J17="trigram-word pairs",17,IF(J17="word-digit pairs",18,IF(J17="English-Swahili pairs",19,IF(J17="spatial position",20,IF(J17="word pairs",21,IF(J17="word triads",22,IF(J17="generated words",23,IF(J17="word definition pairs",24,IF(J17="math problems",25,IF(J17="famous faces",26,IF(J17="famous names",27,IF(J17="famous voices",28,IF(J17="television programs",29,IF(J17="race horses",30,IF(J17="new vocabulary",31,IF(J17="sentences",32,IF(J17="concepts",33,IF(J17="ad slides",34,IF(J17="scenes",35,IF(J17="famous scenes",36,IF(J17="poems",37,IF(J17="walk",38,IF(J17="faces and events",39,IF(J17="events and names",40,IF(J17="flashbulb",41,IF(J17="stories",42,IF(J17="course material",43,IF(J17="autobiographical",44,IF(J17="novels",45,IF(J17="public events",46,"99"))))))))))))))))))))))))))))))))))))))))))))))</f>
        <v>9</v>
      </c>
      <c r="L17" s="69">
        <f>IF(J17="syllables",1,IF(J17="trigrams",1,IF(J17="strings",1,IF(J17="visual array",1,IF(J17="characters",1,IF(J17="letters",1,IF(J17="free forms",1,IF(J17="odors",2,IF(J17="words",2,IF(J17="pictures",2,IF(J17="object pictures",2,IF(J17="faces",2,IF(J17="names",2,IF(J17="idioms","2",IF(J17="grades",2,IF(J17="syllable-digit pairs",3,IF(J17="trigram-word pairs",3,IF(J17="word-digit pairs",3,IF(J17="English-Swahili pairs",3,IF(J17="spatial position",3,IF(J17="word pairs",4,IF(J17="word triads",4,IF(J17="generated words",4,IF(J17="word definition pairs",4,IF(J17="math problems",4,IF(J17="famous faces",4,IF(J17="famous names",4,IF(J17="famous voices",4,IF(J17="television programs",4,IF(J17="race horses",4,IF(J17="new vocabulary",4,IF(J17="sentences",5,IF(J17="concepts",5,IF(J17="ad slides",5,IF(J17="scenes",5,IF(J17="famous scenes",5,IF(J17="poems",6,IF(J17="walk",6,IF(J17="faces and events",6,IF(J17="events and names",6,IF(J17="flashbulb",7,IF(J17="stories",7,IF(J17="course material",7,IF(J17="autobiographical",7,IF(J17="novels",7,IF(J17="public events",7,"99"))))))))))))))))))))))))))))))))))))))))))))))</f>
        <v>2</v>
      </c>
      <c r="M17" s="69">
        <v>0</v>
      </c>
      <c r="N17" s="69">
        <v>1</v>
      </c>
      <c r="O17" s="69">
        <v>1</v>
      </c>
      <c r="P17" s="69"/>
      <c r="Q17" s="69" t="s">
        <v>174</v>
      </c>
      <c r="R17" s="69">
        <f>IF(Q17="Free Recall",1,IF(Q17="Cued Recall",2,IF(Q17="Recognition",3,IF(Q17="Multiple Choice",4,IF(Q17="Savings",5,IF(Q17="Stem Completion",6,IF(Q17="Fragment Completion",7,IF(Q17="anagram solution",8,IF(Q17="Matching",9,IF(Q17="Problem Solving",10,"99"))))))))))</f>
        <v>1</v>
      </c>
      <c r="S17" s="99" t="s">
        <v>49</v>
      </c>
      <c r="T17" s="92" t="s">
        <v>581</v>
      </c>
      <c r="U17" s="69">
        <f>IF(T17="within",1,0)</f>
        <v>1</v>
      </c>
      <c r="V17" s="92">
        <v>60</v>
      </c>
      <c r="W17" s="69">
        <f>F17*V17</f>
        <v>600</v>
      </c>
      <c r="X17" s="69">
        <v>3</v>
      </c>
      <c r="Y17" s="87">
        <f>AV16</f>
        <v>3</v>
      </c>
      <c r="Z17" s="69" t="s">
        <v>28</v>
      </c>
      <c r="AA17" s="69">
        <v>18</v>
      </c>
      <c r="AB17" s="69" t="str">
        <f>IF(AA17&lt;60,"1",IF(AA17&lt;=43200,"2",IF(AA17&lt;=777600,"3","4")))</f>
        <v>1</v>
      </c>
      <c r="AC17" s="72">
        <f>AVERAGE(AV16:DA16)</f>
        <v>10</v>
      </c>
      <c r="AD17" s="69" t="str">
        <f>IF(AC17&lt;60,"1",IF(AC17&lt;=43200,"2",IF(AC17&lt;=777600,"3","4")))</f>
        <v>1</v>
      </c>
      <c r="AE17" s="87">
        <f>AA17-Y17</f>
        <v>15</v>
      </c>
      <c r="AF17" s="88">
        <f>AV17</f>
        <v>0.85</v>
      </c>
      <c r="AG17" s="72">
        <f>((AW17-AV17)+(AX17-AW17))/2</f>
        <v>-0.15499999999999997</v>
      </c>
      <c r="AH17" s="4"/>
      <c r="AI17" s="72">
        <f>RSQ(AV17:AX17,AV16:AX16)</f>
        <v>0.75339359536002948</v>
      </c>
      <c r="AJ17" s="110">
        <f>SLOPE(AV17:AX17,AV16:AX16)</f>
        <v>-1.9385964912280697E-2</v>
      </c>
      <c r="AK17" s="72">
        <f>INTERCEPT(AV17:AX17,AV16:AX16)</f>
        <v>0.85052631578947357</v>
      </c>
      <c r="AL17" s="72">
        <f>INDEX(LINEST(LN(AV17:AX17),LN(AV16:AX16),TRUE,TRUE),3,1)</f>
        <v>0.94037388736588834</v>
      </c>
      <c r="AM17" s="72">
        <f>INDEX(LINEST(LN(AV17:AX17),LN(AV16:AX16)),1)</f>
        <v>-0.26180973805269198</v>
      </c>
      <c r="AN17" s="72">
        <f>EXP(INDEX(LINEST(LN(AV17:AX17),LN(AV16:AX16)),1,2))</f>
        <v>1.1037636115993228</v>
      </c>
      <c r="AO17" s="89">
        <f>INDEX(LINEST((AV17:AX17),LN(AV16:AX16),TRUE,TRUE),3,1)</f>
        <v>0.92636934030266382</v>
      </c>
      <c r="AP17" s="89">
        <f>INDEX(LINEST((AV17:AX17),LN(AV16:AX16)),1)</f>
        <v>-0.17963083985367051</v>
      </c>
      <c r="AQ17" s="90">
        <f>INDEX(LINEST(LN(AV17:AX17),SQRT(AV16:AX16),TRUE,TRUE),3,1)</f>
        <v>0.86871196474245971</v>
      </c>
      <c r="AR17" s="117">
        <f>INDEX(LINEST(LN(AV17:AX17),SQRT((AV16:AX16))),1)</f>
        <v>-0.18111122077527339</v>
      </c>
      <c r="AS17" s="91">
        <f>INDEX(LINEST(1/(AV17:AX17),1/(SQRT(AV16:AX16)),TRUE,TRUE),3,1)</f>
        <v>0.9895997410847488</v>
      </c>
      <c r="AT17" s="91">
        <f>INDEX(LINEST(1/(AV17:AX17),1/SQRT(AV16:AX16)),1)</f>
        <v>-2.0282708650306436</v>
      </c>
      <c r="AU17" s="3"/>
      <c r="AV17" s="73">
        <v>0.85</v>
      </c>
      <c r="AW17" s="73">
        <v>0.57999999999999996</v>
      </c>
      <c r="AX17" s="73">
        <v>0.54</v>
      </c>
      <c r="AY17" s="73"/>
      <c r="AZ17" s="7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1"/>
      <c r="CS17" s="1"/>
      <c r="CT17" s="1"/>
      <c r="CU17" s="1"/>
    </row>
    <row r="18" spans="1:99" s="13" customFormat="1" ht="12" customHeight="1" x14ac:dyDescent="0.2">
      <c r="A18" s="68">
        <v>43509</v>
      </c>
      <c r="B18" s="70"/>
      <c r="C18" s="70"/>
      <c r="D18" s="69"/>
      <c r="E18" s="128"/>
      <c r="F18" s="69"/>
      <c r="G18" s="69"/>
      <c r="H18" s="69"/>
      <c r="I18" s="86"/>
      <c r="J18" s="69"/>
      <c r="K18" s="107"/>
      <c r="L18" s="107"/>
      <c r="M18" s="69"/>
      <c r="N18" s="69"/>
      <c r="O18" s="69"/>
      <c r="P18" s="69"/>
      <c r="Q18" s="69"/>
      <c r="R18" s="69"/>
      <c r="S18" s="69"/>
      <c r="T18" s="69"/>
      <c r="U18" s="69"/>
      <c r="V18" s="69"/>
      <c r="W18" s="69"/>
      <c r="X18" s="69"/>
      <c r="Y18" s="87"/>
      <c r="Z18" s="69"/>
      <c r="AA18" s="69"/>
      <c r="AB18" s="69"/>
      <c r="AC18" s="69"/>
      <c r="AD18" s="69"/>
      <c r="AE18" s="69"/>
      <c r="AF18" s="88"/>
      <c r="AG18" s="72"/>
      <c r="AH18" s="4"/>
      <c r="AI18" s="72"/>
      <c r="AJ18" s="110"/>
      <c r="AK18" s="72"/>
      <c r="AL18" s="72"/>
      <c r="AM18" s="72"/>
      <c r="AN18" s="72"/>
      <c r="AO18" s="72"/>
      <c r="AP18" s="72"/>
      <c r="AQ18" s="72"/>
      <c r="AR18" s="110"/>
      <c r="AS18" s="72"/>
      <c r="AT18" s="72"/>
      <c r="AU18" s="4"/>
      <c r="AV18" s="71">
        <v>3</v>
      </c>
      <c r="AW18" s="71">
        <v>9</v>
      </c>
      <c r="AX18" s="71">
        <v>18</v>
      </c>
      <c r="AY18" s="71">
        <v>27</v>
      </c>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1"/>
      <c r="CS18" s="1"/>
      <c r="CT18" s="1"/>
      <c r="CU18" s="1"/>
    </row>
    <row r="19" spans="1:99" s="13" customFormat="1" ht="12" customHeight="1" x14ac:dyDescent="0.2">
      <c r="A19" s="68">
        <v>43509</v>
      </c>
      <c r="B19" s="70" t="s">
        <v>243</v>
      </c>
      <c r="C19" s="70" t="s">
        <v>19</v>
      </c>
      <c r="D19" s="69">
        <v>1962</v>
      </c>
      <c r="E19" s="87">
        <v>1</v>
      </c>
      <c r="F19" s="69">
        <v>25</v>
      </c>
      <c r="G19" s="69">
        <v>25</v>
      </c>
      <c r="H19" s="69" t="s">
        <v>22</v>
      </c>
      <c r="I19" s="69" t="s">
        <v>21</v>
      </c>
      <c r="J19" s="69" t="s">
        <v>443</v>
      </c>
      <c r="K19" s="69">
        <f>IF(J19="syllables",1,IF(J19="trigrams",2,IF(J19="strings",3,IF(J19="visual array",4,IF(J19="characters",5,IF(J19="letters",6,IF(J19="free forms",7,IF(J19="odors",8,IF(J19="words",9,IF(J19="pictures",10,IF(J19="object pictures",11,IF(J19="faces",12,IF(J19="names",13,IF(J19="idioms",14,IF(J19="grades",15,IF(J19="syllable-digit pairs",16,IF(J19="trigram-word pairs",17,IF(J19="word-digit pairs",18,IF(J19="English-Swahili pairs",19,IF(J19="spatial position",20,IF(J19="word pairs",21,IF(J19="word triads",22,IF(J19="generated words",23,IF(J19="word definition pairs",24,IF(J19="math problems",25,IF(J19="famous faces",26,IF(J19="famous names",27,IF(J19="famous voices",28,IF(J19="television programs",29,IF(J19="race horses",30,IF(J19="new vocabulary",31,IF(J19="sentences",32,IF(J19="concepts",33,IF(J19="ad slides",34,IF(J19="scenes",35,IF(J19="famous scenes",36,IF(J19="poems",37,IF(J19="walk",38,IF(J19="faces and events",39,IF(J19="events and names",40,IF(J19="flashbulb",41,IF(J19="stories",42,IF(J19="course material",43,IF(J19="autobiographical",44,IF(J19="novels",45,IF(J19="public events",46,"99"))))))))))))))))))))))))))))))))))))))))))))))</f>
        <v>2</v>
      </c>
      <c r="L19" s="69">
        <f>IF(J19="syllables",1,IF(J19="trigrams",1,IF(J19="strings",1,IF(J19="visual array",1,IF(J19="characters",1,IF(J19="letters",1,IF(J19="free forms",1,IF(J19="odors",2,IF(J19="words",2,IF(J19="pictures",2,IF(J19="object pictures",2,IF(J19="faces",2,IF(J19="names",2,IF(J19="idioms","2",IF(J19="grades",2,IF(J19="syllable-digit pairs",3,IF(J19="trigram-word pairs",3,IF(J19="word-digit pairs",3,IF(J19="English-Swahili pairs",3,IF(J19="spatial position",3,IF(J19="word pairs",4,IF(J19="word triads",4,IF(J19="generated words",4,IF(J19="word definition pairs",4,IF(J19="math problems",4,IF(J19="famous faces",4,IF(J19="famous names",4,IF(J19="famous voices",4,IF(J19="television programs",4,IF(J19="race horses",4,IF(J19="new vocabulary",4,IF(J19="sentences",5,IF(J19="concepts",5,IF(J19="ad slides",5,IF(J19="scenes",5,IF(J19="famous scenes",5,IF(J19="poems",6,IF(J19="walk",6,IF(J19="faces and events",6,IF(J19="events and names",6,IF(J19="flashbulb",7,IF(J19="stories",7,IF(J19="course material",7,IF(J19="autobiographical",7,IF(J19="novels",7,IF(J19="public events",7,"99"))))))))))))))))))))))))))))))))))))))))))))))</f>
        <v>1</v>
      </c>
      <c r="M19" s="69">
        <v>1</v>
      </c>
      <c r="N19" s="69">
        <v>2</v>
      </c>
      <c r="O19" s="69">
        <v>0</v>
      </c>
      <c r="P19" s="69"/>
      <c r="Q19" s="69" t="s">
        <v>174</v>
      </c>
      <c r="R19" s="69">
        <f>IF(Q19="Free Recall",1,IF(Q19="Cued Recall",2,IF(Q19="Recognition",3,IF(Q19="Multiple Choice",4,IF(Q19="Savings",5,IF(Q19="Stem Completion",6,IF(Q19="Fragment Completion",7,IF(Q19="anagram solution",8,IF(Q19="Matching",9,IF(Q19="Problem Solving",10,"99"))))))))))</f>
        <v>1</v>
      </c>
      <c r="S19" s="69" t="s">
        <v>20</v>
      </c>
      <c r="T19" s="92" t="s">
        <v>581</v>
      </c>
      <c r="U19" s="69">
        <f>IF(T19="within",1,0)</f>
        <v>1</v>
      </c>
      <c r="V19" s="92">
        <v>4</v>
      </c>
      <c r="W19" s="69">
        <f>F19*V19</f>
        <v>100</v>
      </c>
      <c r="X19" s="69">
        <v>4</v>
      </c>
      <c r="Y19" s="87">
        <f>AV18</f>
        <v>3</v>
      </c>
      <c r="Z19" s="69" t="s">
        <v>23</v>
      </c>
      <c r="AA19" s="69">
        <v>27</v>
      </c>
      <c r="AB19" s="69" t="str">
        <f>IF(AA19&lt;60,"1",IF(AA19&lt;=43200,"2",IF(AA19&lt;=777600,"3","4")))</f>
        <v>1</v>
      </c>
      <c r="AC19" s="72">
        <f>AVERAGE(AV18:DA18)</f>
        <v>14.25</v>
      </c>
      <c r="AD19" s="69" t="str">
        <f>IF(AC19&lt;60,"1",IF(AC19&lt;=43200,"2",IF(AC19&lt;=777600,"3","4")))</f>
        <v>1</v>
      </c>
      <c r="AE19" s="87">
        <f>AA19-Y19</f>
        <v>24</v>
      </c>
      <c r="AF19" s="88">
        <f>AV19</f>
        <v>0.99</v>
      </c>
      <c r="AG19" s="72">
        <f>((AW19-AV19)+(AX19-AW19)+(AY19-AX19))/3</f>
        <v>-0.10999999999999999</v>
      </c>
      <c r="AH19" s="4"/>
      <c r="AI19" s="72">
        <f>RSQ(AV19:AY19,AV18:AY18)</f>
        <v>0.98074974670719328</v>
      </c>
      <c r="AJ19" s="110">
        <f>SLOPE(AV19:AY19,AV18:AY18)</f>
        <v>-1.3968253968253967E-2</v>
      </c>
      <c r="AK19" s="72">
        <f>INTERCEPT(AV19:AY19,AV18:AY18)</f>
        <v>1.019047619047619</v>
      </c>
      <c r="AL19" s="72">
        <f>INDEX(LINEST(LN(AV19:AY19),LN(AV18:AY18),TRUE,TRUE),3,1)</f>
        <v>0.93740373155948509</v>
      </c>
      <c r="AM19" s="72">
        <f>INDEX(LINEST(LN(AV19:AY19),LN(AV18:AY18)),1)</f>
        <v>-0.18312881467046671</v>
      </c>
      <c r="AN19" s="72">
        <f>EXP(INDEX(LINEST(LN(AV19:AY19),LN(AV18:AY18)),1,2))</f>
        <v>1.2502052847004517</v>
      </c>
      <c r="AO19" s="89">
        <f>INDEX(LINEST((AV19:AY19),LN(AV18:AY18),TRUE,TRUE),3,1)</f>
        <v>0.9571283536120706</v>
      </c>
      <c r="AP19" s="89">
        <f>INDEX(LINEST((AV19:AY19),LN(AV18:AY18)),1)</f>
        <v>-0.15066979747543377</v>
      </c>
      <c r="AQ19" s="90">
        <f>INDEX(LINEST(LN(AV19:AY19),SQRT(AV18:AY18),TRUE,TRUE),3,1)</f>
        <v>0.9878899637787405</v>
      </c>
      <c r="AR19" s="117">
        <f>INDEX(LINEST(LN(AV19:AY19),SQRT((AV18:AY18))),1)</f>
        <v>-0.12010673419975991</v>
      </c>
      <c r="AS19" s="91">
        <f>INDEX(LINEST(1/(AV19:AY19),1/(SQRT(AV18:AY18)),TRUE,TRUE),3,1)</f>
        <v>0.8167422151129321</v>
      </c>
      <c r="AT19" s="91">
        <f>INDEX(LINEST(1/(AV19:AY19),1/SQRT(AV18:AY18)),1)</f>
        <v>-1.189768001447064</v>
      </c>
      <c r="AU19" s="3"/>
      <c r="AV19" s="73">
        <v>0.99</v>
      </c>
      <c r="AW19" s="73">
        <v>0.89</v>
      </c>
      <c r="AX19" s="73">
        <v>0.74</v>
      </c>
      <c r="AY19" s="73">
        <v>0.66</v>
      </c>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1"/>
      <c r="CS19" s="1"/>
      <c r="CT19" s="1"/>
      <c r="CU19" s="1"/>
    </row>
    <row r="20" spans="1:99" s="13" customFormat="1" ht="12" customHeight="1" x14ac:dyDescent="0.2">
      <c r="A20" s="68">
        <v>43509</v>
      </c>
      <c r="B20" s="70"/>
      <c r="C20" s="70"/>
      <c r="D20" s="69"/>
      <c r="E20" s="87"/>
      <c r="F20" s="69"/>
      <c r="G20" s="69"/>
      <c r="H20" s="69"/>
      <c r="I20" s="69"/>
      <c r="J20" s="69"/>
      <c r="K20" s="107"/>
      <c r="L20" s="107"/>
      <c r="M20" s="69"/>
      <c r="N20" s="69"/>
      <c r="O20" s="69"/>
      <c r="P20" s="69"/>
      <c r="Q20" s="69"/>
      <c r="R20" s="69"/>
      <c r="S20" s="69"/>
      <c r="T20" s="92"/>
      <c r="U20" s="69"/>
      <c r="V20" s="92"/>
      <c r="W20" s="69"/>
      <c r="X20" s="69"/>
      <c r="Y20" s="87"/>
      <c r="Z20" s="69"/>
      <c r="AA20" s="69"/>
      <c r="AB20" s="69"/>
      <c r="AC20" s="69"/>
      <c r="AD20" s="69"/>
      <c r="AE20" s="69"/>
      <c r="AF20" s="88"/>
      <c r="AG20" s="72"/>
      <c r="AH20" s="4"/>
      <c r="AI20" s="72"/>
      <c r="AJ20" s="110"/>
      <c r="AK20" s="72"/>
      <c r="AL20" s="72"/>
      <c r="AM20" s="72"/>
      <c r="AN20" s="72"/>
      <c r="AO20" s="89"/>
      <c r="AP20" s="89"/>
      <c r="AQ20" s="72"/>
      <c r="AR20" s="110"/>
      <c r="AS20" s="72"/>
      <c r="AT20" s="72"/>
      <c r="AU20" s="3"/>
      <c r="AV20" s="71">
        <v>3</v>
      </c>
      <c r="AW20" s="71">
        <v>9</v>
      </c>
      <c r="AX20" s="71">
        <v>18</v>
      </c>
      <c r="AY20" s="71">
        <v>27</v>
      </c>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1"/>
      <c r="CS20" s="1"/>
      <c r="CT20" s="1"/>
      <c r="CU20" s="1"/>
    </row>
    <row r="21" spans="1:99" s="13" customFormat="1" ht="12" customHeight="1" x14ac:dyDescent="0.2">
      <c r="A21" s="68">
        <v>43509</v>
      </c>
      <c r="B21" s="70" t="s">
        <v>243</v>
      </c>
      <c r="C21" s="70" t="s">
        <v>19</v>
      </c>
      <c r="D21" s="69">
        <v>1962</v>
      </c>
      <c r="E21" s="87">
        <v>1</v>
      </c>
      <c r="F21" s="69">
        <v>25</v>
      </c>
      <c r="G21" s="69">
        <v>25</v>
      </c>
      <c r="H21" s="69" t="s">
        <v>22</v>
      </c>
      <c r="I21" s="69" t="s">
        <v>24</v>
      </c>
      <c r="J21" s="69" t="s">
        <v>443</v>
      </c>
      <c r="K21" s="69">
        <f>IF(J21="syllables",1,IF(J21="trigrams",2,IF(J21="strings",3,IF(J21="visual array",4,IF(J21="characters",5,IF(J21="letters",6,IF(J21="free forms",7,IF(J21="odors",8,IF(J21="words",9,IF(J21="pictures",10,IF(J21="object pictures",11,IF(J21="faces",12,IF(J21="names",13,IF(J21="idioms",14,IF(J21="grades",15,IF(J21="syllable-digit pairs",16,IF(J21="trigram-word pairs",17,IF(J21="word-digit pairs",18,IF(J21="English-Swahili pairs",19,IF(J21="spatial position",20,IF(J21="word pairs",21,IF(J21="word triads",22,IF(J21="generated words",23,IF(J21="word definition pairs",24,IF(J21="math problems",25,IF(J21="famous faces",26,IF(J21="famous names",27,IF(J21="famous voices",28,IF(J21="television programs",29,IF(J21="race horses",30,IF(J21="new vocabulary",31,IF(J21="sentences",32,IF(J21="concepts",33,IF(J21="ad slides",34,IF(J21="scenes",35,IF(J21="famous scenes",36,IF(J21="poems",37,IF(J21="walk",38,IF(J21="faces and events",39,IF(J21="events and names",40,IF(J21="flashbulb",41,IF(J21="stories",42,IF(J21="course material",43,IF(J21="autobiographical",44,IF(J21="novels",45,IF(J21="public events",46,"99"))))))))))))))))))))))))))))))))))))))))))))))</f>
        <v>2</v>
      </c>
      <c r="L21" s="69">
        <f>IF(J21="syllables",1,IF(J21="trigrams",1,IF(J21="strings",1,IF(J21="visual array",1,IF(J21="characters",1,IF(J21="letters",1,IF(J21="free forms",1,IF(J21="odors",2,IF(J21="words",2,IF(J21="pictures",2,IF(J21="object pictures",2,IF(J21="faces",2,IF(J21="names",2,IF(J21="idioms","2",IF(J21="grades",2,IF(J21="syllable-digit pairs",3,IF(J21="trigram-word pairs",3,IF(J21="word-digit pairs",3,IF(J21="English-Swahili pairs",3,IF(J21="spatial position",3,IF(J21="word pairs",4,IF(J21="word triads",4,IF(J21="generated words",4,IF(J21="word definition pairs",4,IF(J21="math problems",4,IF(J21="famous faces",4,IF(J21="famous names",4,IF(J21="famous voices",4,IF(J21="television programs",4,IF(J21="race horses",4,IF(J21="new vocabulary",4,IF(J21="sentences",5,IF(J21="concepts",5,IF(J21="ad slides",5,IF(J21="scenes",5,IF(J21="famous scenes",5,IF(J21="poems",6,IF(J21="walk",6,IF(J21="faces and events",6,IF(J21="events and names",6,IF(J21="flashbulb",7,IF(J21="stories",7,IF(J21="course material",7,IF(J21="autobiographical",7,IF(J21="novels",7,IF(J21="public events",7,"99"))))))))))))))))))))))))))))))))))))))))))))))</f>
        <v>1</v>
      </c>
      <c r="M21" s="69">
        <v>1</v>
      </c>
      <c r="N21" s="69">
        <v>2</v>
      </c>
      <c r="O21" s="69">
        <v>0</v>
      </c>
      <c r="P21" s="69"/>
      <c r="Q21" s="69" t="s">
        <v>174</v>
      </c>
      <c r="R21" s="69">
        <f>IF(Q21="Free Recall",1,IF(Q21="Cued Recall",2,IF(Q21="Recognition",3,IF(Q21="Multiple Choice",4,IF(Q21="Savings",5,IF(Q21="Stem Completion",6,IF(Q21="Fragment Completion",7,IF(Q21="anagram solution",8,IF(Q21="Matching",9,IF(Q21="Problem Solving",10,"99"))))))))))</f>
        <v>1</v>
      </c>
      <c r="S21" s="69" t="s">
        <v>20</v>
      </c>
      <c r="T21" s="92" t="s">
        <v>581</v>
      </c>
      <c r="U21" s="69">
        <f>IF(T21="within",1,0)</f>
        <v>1</v>
      </c>
      <c r="V21" s="92">
        <v>4</v>
      </c>
      <c r="W21" s="69">
        <f>F21*V21</f>
        <v>100</v>
      </c>
      <c r="X21" s="69">
        <v>4</v>
      </c>
      <c r="Y21" s="87">
        <f>AV20</f>
        <v>3</v>
      </c>
      <c r="Z21" s="69" t="s">
        <v>23</v>
      </c>
      <c r="AA21" s="69">
        <v>27</v>
      </c>
      <c r="AB21" s="69" t="str">
        <f>IF(AA21&lt;60,"1",IF(AA21&lt;=43200,"2",IF(AA21&lt;=777600,"3","4")))</f>
        <v>1</v>
      </c>
      <c r="AC21" s="72">
        <f>AVERAGE(AV20:DA20)</f>
        <v>14.25</v>
      </c>
      <c r="AD21" s="69" t="str">
        <f>IF(AC21&lt;60,"1",IF(AC21&lt;=43200,"2",IF(AC21&lt;=777600,"3","4")))</f>
        <v>1</v>
      </c>
      <c r="AE21" s="87">
        <f>AA21-Y21</f>
        <v>24</v>
      </c>
      <c r="AF21" s="88">
        <f>AV21</f>
        <v>0.94</v>
      </c>
      <c r="AG21" s="72">
        <f>((AW21-AV21)+(AX21-AW21)+(AY21-AX21))/3</f>
        <v>-0.15999999999999998</v>
      </c>
      <c r="AH21" s="4"/>
      <c r="AI21" s="72">
        <f>RSQ(AV21:AY21,AV20:AY20)</f>
        <v>0.94584485386391248</v>
      </c>
      <c r="AJ21" s="110">
        <f>SLOPE(AV21:AY21,AV20:AY20)</f>
        <v>-1.947845804988662E-2</v>
      </c>
      <c r="AK21" s="72">
        <f>INTERCEPT(AV21:AY21,AV20:AY20)</f>
        <v>0.95006802721088435</v>
      </c>
      <c r="AL21" s="72">
        <f>INDEX(LINEST(LN(AV21:AY21),LN(AV20:AY20),TRUE,TRUE),3,1)</f>
        <v>0.9729951417986954</v>
      </c>
      <c r="AM21" s="72">
        <f>INDEX(LINEST(LN(AV21:AY21),LN(AV20:AY20)),1)</f>
        <v>-0.31963089242931408</v>
      </c>
      <c r="AN21" s="72">
        <f>EXP(INDEX(LINEST(LN(AV21:AY21),LN(AV20:AY20)),1,2))</f>
        <v>1.3832769796896827</v>
      </c>
      <c r="AO21" s="89">
        <f>INDEX(LINEST((AV21:AY21),LN(AV20:AY20),TRUE,TRUE),3,1)</f>
        <v>0.99546770907767901</v>
      </c>
      <c r="AP21" s="89">
        <f>INDEX(LINEST((AV21:AY21),LN(AV20:AY20)),1)</f>
        <v>-0.21819073408424799</v>
      </c>
      <c r="AQ21" s="90">
        <f>INDEX(LINEST(LN(AV21:AY21),SQRT(AV20:AY20),TRUE,TRUE),3,1)</f>
        <v>0.99981441428992346</v>
      </c>
      <c r="AR21" s="117">
        <f>INDEX(LINEST(LN(AV21:AY21),SQRT((AV20:AY20))),1)</f>
        <v>-0.2070011863943125</v>
      </c>
      <c r="AS21" s="91">
        <f>INDEX(LINEST(1/(AV21:AY21),1/(SQRT(AV20:AY20)),TRUE,TRUE),3,1)</f>
        <v>0.84334583798219742</v>
      </c>
      <c r="AT21" s="91">
        <f>INDEX(LINEST(1/(AV21:AY21),1/SQRT(AV20:AY20)),1)</f>
        <v>-2.5845749098890201</v>
      </c>
      <c r="AU21" s="3"/>
      <c r="AV21" s="73">
        <v>0.94</v>
      </c>
      <c r="AW21" s="73">
        <v>0.73</v>
      </c>
      <c r="AX21" s="73">
        <v>0.56000000000000005</v>
      </c>
      <c r="AY21" s="73">
        <v>0.46</v>
      </c>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1"/>
      <c r="CS21" s="1"/>
      <c r="CT21" s="1"/>
      <c r="CU21" s="1"/>
    </row>
    <row r="22" spans="1:99" s="13" customFormat="1" ht="12" customHeight="1" x14ac:dyDescent="0.2">
      <c r="A22" s="68">
        <v>43509</v>
      </c>
      <c r="B22" s="70"/>
      <c r="C22" s="70"/>
      <c r="D22" s="69"/>
      <c r="E22" s="87"/>
      <c r="F22" s="69"/>
      <c r="G22" s="69"/>
      <c r="H22" s="69"/>
      <c r="I22" s="69"/>
      <c r="J22" s="69"/>
      <c r="K22" s="107"/>
      <c r="L22" s="107"/>
      <c r="M22" s="69"/>
      <c r="N22" s="69"/>
      <c r="O22" s="69"/>
      <c r="P22" s="69"/>
      <c r="Q22" s="69"/>
      <c r="R22" s="69"/>
      <c r="S22" s="69"/>
      <c r="T22" s="69"/>
      <c r="U22" s="69"/>
      <c r="V22" s="69"/>
      <c r="W22" s="69"/>
      <c r="X22" s="69"/>
      <c r="Y22" s="87"/>
      <c r="Z22" s="69"/>
      <c r="AA22" s="69"/>
      <c r="AB22" s="69"/>
      <c r="AC22" s="69"/>
      <c r="AD22" s="69"/>
      <c r="AE22" s="69"/>
      <c r="AF22" s="88"/>
      <c r="AG22" s="72"/>
      <c r="AH22" s="4"/>
      <c r="AI22" s="72"/>
      <c r="AJ22" s="110"/>
      <c r="AK22" s="72"/>
      <c r="AL22" s="72"/>
      <c r="AM22" s="72"/>
      <c r="AN22" s="72"/>
      <c r="AO22" s="89"/>
      <c r="AP22" s="89"/>
      <c r="AQ22" s="72"/>
      <c r="AR22" s="110"/>
      <c r="AS22" s="72"/>
      <c r="AT22" s="72"/>
      <c r="AU22" s="3"/>
      <c r="AV22" s="71">
        <v>3</v>
      </c>
      <c r="AW22" s="71">
        <v>9</v>
      </c>
      <c r="AX22" s="71">
        <v>18</v>
      </c>
      <c r="AY22" s="71">
        <v>27</v>
      </c>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1"/>
      <c r="CS22" s="1"/>
      <c r="CT22" s="1"/>
      <c r="CU22" s="1"/>
    </row>
    <row r="23" spans="1:99" s="13" customFormat="1" ht="12" customHeight="1" x14ac:dyDescent="0.2">
      <c r="A23" s="68">
        <v>43509</v>
      </c>
      <c r="B23" s="70" t="s">
        <v>243</v>
      </c>
      <c r="C23" s="70" t="s">
        <v>19</v>
      </c>
      <c r="D23" s="69">
        <v>1962</v>
      </c>
      <c r="E23" s="87">
        <v>1</v>
      </c>
      <c r="F23" s="69">
        <v>25</v>
      </c>
      <c r="G23" s="69">
        <v>25</v>
      </c>
      <c r="H23" s="69" t="s">
        <v>22</v>
      </c>
      <c r="I23" s="69" t="s">
        <v>25</v>
      </c>
      <c r="J23" s="69" t="s">
        <v>443</v>
      </c>
      <c r="K23" s="69">
        <f>IF(J23="syllables",1,IF(J23="trigrams",2,IF(J23="strings",3,IF(J23="visual array",4,IF(J23="characters",5,IF(J23="letters",6,IF(J23="free forms",7,IF(J23="odors",8,IF(J23="words",9,IF(J23="pictures",10,IF(J23="object pictures",11,IF(J23="faces",12,IF(J23="names",13,IF(J23="idioms",14,IF(J23="grades",15,IF(J23="syllable-digit pairs",16,IF(J23="trigram-word pairs",17,IF(J23="word-digit pairs",18,IF(J23="English-Swahili pairs",19,IF(J23="spatial position",20,IF(J23="word pairs",21,IF(J23="word triads",22,IF(J23="generated words",23,IF(J23="word definition pairs",24,IF(J23="math problems",25,IF(J23="famous faces",26,IF(J23="famous names",27,IF(J23="famous voices",28,IF(J23="television programs",29,IF(J23="race horses",30,IF(J23="new vocabulary",31,IF(J23="sentences",32,IF(J23="concepts",33,IF(J23="ad slides",34,IF(J23="scenes",35,IF(J23="famous scenes",36,IF(J23="poems",37,IF(J23="walk",38,IF(J23="faces and events",39,IF(J23="events and names",40,IF(J23="flashbulb",41,IF(J23="stories",42,IF(J23="course material",43,IF(J23="autobiographical",44,IF(J23="novels",45,IF(J23="public events",46,"99"))))))))))))))))))))))))))))))))))))))))))))))</f>
        <v>2</v>
      </c>
      <c r="L23" s="69">
        <f>IF(J23="syllables",1,IF(J23="trigrams",1,IF(J23="strings",1,IF(J23="visual array",1,IF(J23="characters",1,IF(J23="letters",1,IF(J23="free forms",1,IF(J23="odors",2,IF(J23="words",2,IF(J23="pictures",2,IF(J23="object pictures",2,IF(J23="faces",2,IF(J23="names",2,IF(J23="idioms","2",IF(J23="grades",2,IF(J23="syllable-digit pairs",3,IF(J23="trigram-word pairs",3,IF(J23="word-digit pairs",3,IF(J23="English-Swahili pairs",3,IF(J23="spatial position",3,IF(J23="word pairs",4,IF(J23="word triads",4,IF(J23="generated words",4,IF(J23="word definition pairs",4,IF(J23="math problems",4,IF(J23="famous faces",4,IF(J23="famous names",4,IF(J23="famous voices",4,IF(J23="television programs",4,IF(J23="race horses",4,IF(J23="new vocabulary",4,IF(J23="sentences",5,IF(J23="concepts",5,IF(J23="ad slides",5,IF(J23="scenes",5,IF(J23="famous scenes",5,IF(J23="poems",6,IF(J23="walk",6,IF(J23="faces and events",6,IF(J23="events and names",6,IF(J23="flashbulb",7,IF(J23="stories",7,IF(J23="course material",7,IF(J23="autobiographical",7,IF(J23="novels",7,IF(J23="public events",7,"99"))))))))))))))))))))))))))))))))))))))))))))))</f>
        <v>1</v>
      </c>
      <c r="M23" s="69">
        <v>1</v>
      </c>
      <c r="N23" s="69">
        <v>2</v>
      </c>
      <c r="O23" s="69">
        <v>0</v>
      </c>
      <c r="P23" s="69"/>
      <c r="Q23" s="69" t="s">
        <v>174</v>
      </c>
      <c r="R23" s="69">
        <f>IF(Q23="Free Recall",1,IF(Q23="Cued Recall",2,IF(Q23="Recognition",3,IF(Q23="Multiple Choice",4,IF(Q23="Savings",5,IF(Q23="Stem Completion",6,IF(Q23="Fragment Completion",7,IF(Q23="anagram solution",8,IF(Q23="Matching",9,IF(Q23="Problem Solving",10,"99"))))))))))</f>
        <v>1</v>
      </c>
      <c r="S23" s="69" t="s">
        <v>20</v>
      </c>
      <c r="T23" s="92" t="s">
        <v>581</v>
      </c>
      <c r="U23" s="69">
        <f>IF(T23="within",1,0)</f>
        <v>1</v>
      </c>
      <c r="V23" s="92">
        <v>4</v>
      </c>
      <c r="W23" s="69">
        <f>F23*V23</f>
        <v>100</v>
      </c>
      <c r="X23" s="69">
        <v>4</v>
      </c>
      <c r="Y23" s="87">
        <f>AV22</f>
        <v>3</v>
      </c>
      <c r="Z23" s="69" t="s">
        <v>23</v>
      </c>
      <c r="AA23" s="69">
        <v>27</v>
      </c>
      <c r="AB23" s="69" t="str">
        <f>IF(AA23&lt;60,"1",IF(AA23&lt;=43200,"2",IF(AA23&lt;=777600,"3","4")))</f>
        <v>1</v>
      </c>
      <c r="AC23" s="72">
        <f>AVERAGE(AV22:DA22)</f>
        <v>14.25</v>
      </c>
      <c r="AD23" s="69" t="str">
        <f>IF(AC23&lt;60,"1",IF(AC23&lt;=43200,"2",IF(AC23&lt;=777600,"3","4")))</f>
        <v>1</v>
      </c>
      <c r="AE23" s="87">
        <f>AA23-Y23</f>
        <v>24</v>
      </c>
      <c r="AF23" s="88">
        <f>AV23</f>
        <v>0.92</v>
      </c>
      <c r="AG23" s="72">
        <f>((AW23-AV23)+(AX23-AW23)+(AY23-AX23))/3</f>
        <v>-0.23333333333333336</v>
      </c>
      <c r="AH23" s="4"/>
      <c r="AI23" s="72">
        <f>RSQ(AV23:AY23,AV22:AY22)</f>
        <v>0.87828949855008243</v>
      </c>
      <c r="AJ23" s="110">
        <f>SLOPE(AV23:AY23,AV22:AY22)</f>
        <v>-2.7868480725623587E-2</v>
      </c>
      <c r="AK23" s="72">
        <f>INTERCEPT(AV23:AY23,AV22:AY22)</f>
        <v>0.89462585034013609</v>
      </c>
      <c r="AL23" s="72">
        <f>INDEX(LINEST(LN(AV23:AY23),LN(AV22:AY22),TRUE,TRUE),3,1)</f>
        <v>0.98109306493872339</v>
      </c>
      <c r="AM23" s="72">
        <f>INDEX(LINEST(LN(AV23:AY23),LN(AV22:AY22)),1)</f>
        <v>-0.6477753243400316</v>
      </c>
      <c r="AN23" s="72">
        <f>EXP(INDEX(LINEST(LN(AV23:AY23),LN(AV22:AY22)),1,2))</f>
        <v>1.9923984365974459</v>
      </c>
      <c r="AO23" s="89">
        <f>INDEX(LINEST((AV23:AY23),LN(AV22:AY22),TRUE,TRUE),3,1)</f>
        <v>0.99604940183029556</v>
      </c>
      <c r="AP23" s="89">
        <f>INDEX(LINEST((AV23:AY23),LN(AV22:AY22)),1)</f>
        <v>-0.32405071282640996</v>
      </c>
      <c r="AQ23" s="90">
        <f>INDEX(LINEST(LN(AV23:AY23),SQRT(AV22:AY22),TRUE,TRUE),3,1)</f>
        <v>0.99862343138477871</v>
      </c>
      <c r="AR23" s="117">
        <f>INDEX(LINEST(LN(AV23:AY23),SQRT((AV22:AY22))),1)</f>
        <v>-0.41753212882294566</v>
      </c>
      <c r="AS23" s="91">
        <f>INDEX(LINEST(1/(AV23:AY23),1/(SQRT(AV22:AY22)),TRUE,TRUE),3,1)</f>
        <v>0.79796024795160037</v>
      </c>
      <c r="AT23" s="91">
        <f>INDEX(LINEST(1/(AV23:AY23),1/SQRT(AV22:AY22)),1)</f>
        <v>-7.9266954024766552</v>
      </c>
      <c r="AU23" s="3"/>
      <c r="AV23" s="73">
        <v>0.92</v>
      </c>
      <c r="AW23" s="73">
        <v>0.54</v>
      </c>
      <c r="AX23" s="73">
        <v>0.31</v>
      </c>
      <c r="AY23" s="73">
        <v>0.22</v>
      </c>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1"/>
      <c r="CS23" s="1"/>
      <c r="CT23" s="1"/>
      <c r="CU23" s="1"/>
    </row>
    <row r="24" spans="1:99" s="13" customFormat="1" ht="12" customHeight="1" x14ac:dyDescent="0.2">
      <c r="A24" s="68">
        <v>43509</v>
      </c>
      <c r="B24" s="70"/>
      <c r="C24" s="70"/>
      <c r="D24" s="69"/>
      <c r="E24" s="87"/>
      <c r="F24" s="69"/>
      <c r="G24" s="69"/>
      <c r="H24" s="69"/>
      <c r="I24" s="69"/>
      <c r="J24" s="69"/>
      <c r="K24" s="107"/>
      <c r="L24" s="107"/>
      <c r="M24" s="69"/>
      <c r="N24" s="69"/>
      <c r="O24" s="69"/>
      <c r="P24" s="69"/>
      <c r="Q24" s="69"/>
      <c r="R24" s="69"/>
      <c r="S24" s="69"/>
      <c r="T24" s="69"/>
      <c r="U24" s="69"/>
      <c r="V24" s="69"/>
      <c r="W24" s="69"/>
      <c r="X24" s="69"/>
      <c r="Y24" s="87"/>
      <c r="Z24" s="69"/>
      <c r="AA24" s="69"/>
      <c r="AB24" s="69"/>
      <c r="AC24" s="69"/>
      <c r="AD24" s="69"/>
      <c r="AE24" s="69"/>
      <c r="AF24" s="88"/>
      <c r="AG24" s="72"/>
      <c r="AH24" s="4"/>
      <c r="AI24" s="72"/>
      <c r="AJ24" s="110"/>
      <c r="AK24" s="72"/>
      <c r="AL24" s="72"/>
      <c r="AM24" s="72"/>
      <c r="AN24" s="72"/>
      <c r="AO24" s="89"/>
      <c r="AP24" s="89"/>
      <c r="AQ24" s="72"/>
      <c r="AR24" s="110"/>
      <c r="AS24" s="72"/>
      <c r="AT24" s="72"/>
      <c r="AU24" s="3"/>
      <c r="AV24" s="71">
        <v>3</v>
      </c>
      <c r="AW24" s="71">
        <v>9</v>
      </c>
      <c r="AX24" s="71">
        <v>18</v>
      </c>
      <c r="AY24" s="71">
        <v>27</v>
      </c>
      <c r="AZ24" s="53"/>
      <c r="BA24" s="53"/>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1"/>
      <c r="CS24" s="1"/>
      <c r="CT24" s="1"/>
      <c r="CU24" s="1"/>
    </row>
    <row r="25" spans="1:99" s="13" customFormat="1" ht="12" customHeight="1" x14ac:dyDescent="0.2">
      <c r="A25" s="68">
        <v>43509</v>
      </c>
      <c r="B25" s="70" t="s">
        <v>243</v>
      </c>
      <c r="C25" s="70" t="s">
        <v>19</v>
      </c>
      <c r="D25" s="69">
        <v>1962</v>
      </c>
      <c r="E25" s="87">
        <v>1</v>
      </c>
      <c r="F25" s="69">
        <v>25</v>
      </c>
      <c r="G25" s="69">
        <v>25</v>
      </c>
      <c r="H25" s="69" t="s">
        <v>22</v>
      </c>
      <c r="I25" s="69" t="s">
        <v>26</v>
      </c>
      <c r="J25" s="69" t="s">
        <v>443</v>
      </c>
      <c r="K25" s="69">
        <f>IF(J25="syllables",1,IF(J25="trigrams",2,IF(J25="strings",3,IF(J25="visual array",4,IF(J25="characters",5,IF(J25="letters",6,IF(J25="free forms",7,IF(J25="odors",8,IF(J25="words",9,IF(J25="pictures",10,IF(J25="object pictures",11,IF(J25="faces",12,IF(J25="names",13,IF(J25="idioms",14,IF(J25="grades",15,IF(J25="syllable-digit pairs",16,IF(J25="trigram-word pairs",17,IF(J25="word-digit pairs",18,IF(J25="English-Swahili pairs",19,IF(J25="spatial position",20,IF(J25="word pairs",21,IF(J25="word triads",22,IF(J25="generated words",23,IF(J25="word definition pairs",24,IF(J25="math problems",25,IF(J25="famous faces",26,IF(J25="famous names",27,IF(J25="famous voices",28,IF(J25="television programs",29,IF(J25="race horses",30,IF(J25="new vocabulary",31,IF(J25="sentences",32,IF(J25="concepts",33,IF(J25="ad slides",34,IF(J25="scenes",35,IF(J25="famous scenes",36,IF(J25="poems",37,IF(J25="walk",38,IF(J25="faces and events",39,IF(J25="events and names",40,IF(J25="flashbulb",41,IF(J25="stories",42,IF(J25="course material",43,IF(J25="autobiographical",44,IF(J25="novels",45,IF(J25="public events",46,"99"))))))))))))))))))))))))))))))))))))))))))))))</f>
        <v>2</v>
      </c>
      <c r="L25" s="69">
        <f>IF(J25="syllables",1,IF(J25="trigrams",1,IF(J25="strings",1,IF(J25="visual array",1,IF(J25="characters",1,IF(J25="letters",1,IF(J25="free forms",1,IF(J25="odors",2,IF(J25="words",2,IF(J25="pictures",2,IF(J25="object pictures",2,IF(J25="faces",2,IF(J25="names",2,IF(J25="idioms","2",IF(J25="grades",2,IF(J25="syllable-digit pairs",3,IF(J25="trigram-word pairs",3,IF(J25="word-digit pairs",3,IF(J25="English-Swahili pairs",3,IF(J25="spatial position",3,IF(J25="word pairs",4,IF(J25="word triads",4,IF(J25="generated words",4,IF(J25="word definition pairs",4,IF(J25="math problems",4,IF(J25="famous faces",4,IF(J25="famous names",4,IF(J25="famous voices",4,IF(J25="television programs",4,IF(J25="race horses",4,IF(J25="new vocabulary",4,IF(J25="sentences",5,IF(J25="concepts",5,IF(J25="ad slides",5,IF(J25="scenes",5,IF(J25="famous scenes",5,IF(J25="poems",6,IF(J25="walk",6,IF(J25="faces and events",6,IF(J25="events and names",6,IF(J25="flashbulb",7,IF(J25="stories",7,IF(J25="course material",7,IF(J25="autobiographical",7,IF(J25="novels",7,IF(J25="public events",7,"99"))))))))))))))))))))))))))))))))))))))))))))))</f>
        <v>1</v>
      </c>
      <c r="M25" s="69">
        <v>0</v>
      </c>
      <c r="N25" s="69">
        <v>1</v>
      </c>
      <c r="O25" s="69">
        <v>0</v>
      </c>
      <c r="P25" s="69"/>
      <c r="Q25" s="69" t="s">
        <v>174</v>
      </c>
      <c r="R25" s="69">
        <f>IF(Q25="Free Recall",1,IF(Q25="Cued Recall",2,IF(Q25="Recognition",3,IF(Q25="Multiple Choice",4,IF(Q25="Savings",5,IF(Q25="Stem Completion",6,IF(Q25="Fragment Completion",7,IF(Q25="anagram solution",8,IF(Q25="Matching",9,IF(Q25="Problem Solving",10,"99"))))))))))</f>
        <v>1</v>
      </c>
      <c r="S25" s="69" t="s">
        <v>20</v>
      </c>
      <c r="T25" s="92" t="s">
        <v>581</v>
      </c>
      <c r="U25" s="69">
        <f>IF(T25="within",1,0)</f>
        <v>1</v>
      </c>
      <c r="V25" s="92">
        <v>4</v>
      </c>
      <c r="W25" s="69">
        <f>F25*V25</f>
        <v>100</v>
      </c>
      <c r="X25" s="69">
        <v>4</v>
      </c>
      <c r="Y25" s="87">
        <f>AV24</f>
        <v>3</v>
      </c>
      <c r="Z25" s="69" t="s">
        <v>23</v>
      </c>
      <c r="AA25" s="69">
        <v>27</v>
      </c>
      <c r="AB25" s="69" t="str">
        <f>IF(AA25&lt;60,"1",IF(AA25&lt;=43200,"2",IF(AA25&lt;=777600,"3","4")))</f>
        <v>1</v>
      </c>
      <c r="AC25" s="72">
        <f>AVERAGE(AV24:DA24)</f>
        <v>14.25</v>
      </c>
      <c r="AD25" s="69" t="str">
        <f>IF(AC25&lt;60,"1",IF(AC25&lt;=43200,"2",IF(AC25&lt;=777600,"3","4")))</f>
        <v>1</v>
      </c>
      <c r="AE25" s="87">
        <f>AA25-Y25</f>
        <v>24</v>
      </c>
      <c r="AF25" s="88">
        <f>AV25</f>
        <v>0.89</v>
      </c>
      <c r="AG25" s="72">
        <f>((AW25-AV25)+(AX25-AW25)+(AY25-AX25))/3</f>
        <v>-0.25</v>
      </c>
      <c r="AH25" s="4"/>
      <c r="AI25" s="72">
        <f>RSQ(AV25:AY25,AV24:AY24)</f>
        <v>0.78216663009289711</v>
      </c>
      <c r="AJ25" s="110">
        <f>SLOPE(AV25:AY25,AV24:AY24)</f>
        <v>-2.8526077097505664E-2</v>
      </c>
      <c r="AK25" s="72">
        <f>INTERCEPT(AV25:AY25,AV24:AY24)</f>
        <v>0.81149659863945578</v>
      </c>
      <c r="AL25" s="72">
        <f>INDEX(LINEST(LN(AV25:AY25),LN(AV24:AY24),TRUE,TRUE),3,1)</f>
        <v>0.99759967678442285</v>
      </c>
      <c r="AM25" s="72">
        <f>INDEX(LINEST(LN(AV25:AY25),LN(AV24:AY24)),1)</f>
        <v>-0.83436416244001388</v>
      </c>
      <c r="AN25" s="72">
        <f>EXP(INDEX(LINEST(LN(AV25:AY25),LN(AV24:AY24)),1,2))</f>
        <v>2.2822233562533745</v>
      </c>
      <c r="AO25" s="89">
        <f>INDEX(LINEST((AV25:AY25),LN(AV24:AY24),TRUE,TRUE),3,1)</f>
        <v>0.96365193270153171</v>
      </c>
      <c r="AP25" s="89">
        <f>INDEX(LINEST((AV25:AY25),LN(AV24:AY24)),1)</f>
        <v>-0.3457248536818805</v>
      </c>
      <c r="AQ25" s="90">
        <f>INDEX(LINEST(LN(AV25:AY25),SQRT(AV24:AY24),TRUE,TRUE),3,1)</f>
        <v>0.98879754838011835</v>
      </c>
      <c r="AR25" s="117">
        <f>INDEX(LINEST(LN(AV25:AY25),SQRT((AV24:AY24))),1)</f>
        <v>-0.53070222554563273</v>
      </c>
      <c r="AS25" s="91">
        <f>INDEX(LINEST(1/(AV25:AY25),1/(SQRT(AV24:AY24)),TRUE,TRUE),3,1)</f>
        <v>0.81167123331714175</v>
      </c>
      <c r="AT25" s="91">
        <f>INDEX(LINEST(1/(AV25:AY25),1/SQRT(AV24:AY24)),1)</f>
        <v>-13.704808229959889</v>
      </c>
      <c r="AU25" s="3"/>
      <c r="AV25" s="73">
        <v>0.89</v>
      </c>
      <c r="AW25" s="73">
        <v>0.38</v>
      </c>
      <c r="AX25" s="73">
        <v>0.21</v>
      </c>
      <c r="AY25" s="73">
        <v>0.14000000000000001</v>
      </c>
      <c r="AZ25" s="53"/>
      <c r="BA25" s="53"/>
      <c r="BB25" s="53"/>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1"/>
      <c r="CS25" s="1"/>
      <c r="CT25" s="1"/>
      <c r="CU25" s="1"/>
    </row>
    <row r="26" spans="1:99" s="13" customFormat="1" ht="12" customHeight="1" x14ac:dyDescent="0.2">
      <c r="A26" s="68">
        <v>43895</v>
      </c>
      <c r="B26" s="70"/>
      <c r="C26" s="67"/>
      <c r="D26" s="86"/>
      <c r="E26" s="87"/>
      <c r="F26" s="69"/>
      <c r="G26" s="69"/>
      <c r="H26" s="69"/>
      <c r="I26" s="69"/>
      <c r="J26" s="69"/>
      <c r="K26" s="107"/>
      <c r="L26" s="107"/>
      <c r="M26" s="69"/>
      <c r="N26" s="86"/>
      <c r="O26" s="69"/>
      <c r="P26" s="69"/>
      <c r="Q26" s="69"/>
      <c r="R26" s="69"/>
      <c r="S26" s="69"/>
      <c r="T26" s="92"/>
      <c r="U26" s="69"/>
      <c r="V26" s="92"/>
      <c r="W26" s="69"/>
      <c r="X26" s="69"/>
      <c r="Y26" s="87"/>
      <c r="Z26" s="92"/>
      <c r="AA26" s="72"/>
      <c r="AB26" s="69"/>
      <c r="AC26" s="72"/>
      <c r="AD26" s="69"/>
      <c r="AE26" s="69"/>
      <c r="AF26" s="88"/>
      <c r="AG26" s="72"/>
      <c r="AH26" s="4"/>
      <c r="AI26" s="72"/>
      <c r="AJ26" s="110"/>
      <c r="AK26" s="72"/>
      <c r="AL26" s="72"/>
      <c r="AM26" s="72"/>
      <c r="AN26" s="72"/>
      <c r="AO26" s="89"/>
      <c r="AP26" s="89"/>
      <c r="AQ26" s="90"/>
      <c r="AR26" s="117"/>
      <c r="AS26" s="91"/>
      <c r="AT26" s="91"/>
      <c r="AU26" s="3"/>
      <c r="AV26" s="95">
        <v>0.01</v>
      </c>
      <c r="AW26" s="132">
        <v>3</v>
      </c>
      <c r="AX26" s="132">
        <v>9</v>
      </c>
      <c r="AY26" s="132">
        <v>18</v>
      </c>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1"/>
      <c r="CS26" s="1"/>
      <c r="CT26" s="1"/>
      <c r="CU26" s="1"/>
    </row>
    <row r="27" spans="1:99" s="13" customFormat="1" ht="12" customHeight="1" x14ac:dyDescent="0.2">
      <c r="A27" s="68">
        <v>43895</v>
      </c>
      <c r="B27" s="70" t="s">
        <v>350</v>
      </c>
      <c r="C27" s="70" t="s">
        <v>393</v>
      </c>
      <c r="D27" s="69">
        <v>1991</v>
      </c>
      <c r="E27" s="87">
        <v>1</v>
      </c>
      <c r="F27" s="69">
        <v>7</v>
      </c>
      <c r="G27" s="69">
        <v>7</v>
      </c>
      <c r="H27" s="69" t="s">
        <v>38</v>
      </c>
      <c r="I27" s="69" t="s">
        <v>330</v>
      </c>
      <c r="J27" s="69" t="s">
        <v>16</v>
      </c>
      <c r="K27" s="69">
        <f>IF(J27="syllables",1,IF(J27="trigrams",2,IF(J27="strings",3,IF(J27="visual array",4,IF(J27="characters",5,IF(J27="letters",6,IF(J27="free forms",7,IF(J27="odors",8,IF(J27="words",9,IF(J27="pictures",10,IF(J27="object pictures",11,IF(J27="faces",12,IF(J27="names",13,IF(J27="idioms",14,IF(J27="grades",15,IF(J27="syllable-digit pairs",16,IF(J27="trigram-word pairs",17,IF(J27="word-digit pairs",18,IF(J27="English-Swahili pairs",19,IF(J27="spatial position",20,IF(J27="word pairs",21,IF(J27="word triads",22,IF(J27="generated words",23,IF(J27="word definition pairs",24,IF(J27="math problems",25,IF(J27="famous faces",26,IF(J27="famous names",27,IF(J27="famous voices",28,IF(J27="television programs",29,IF(J27="race horses",30,IF(J27="new vocabulary",31,IF(J27="sentences",32,IF(J27="concepts",33,IF(J27="ad slides",34,IF(J27="scenes",35,IF(J27="famous scenes",36,IF(J27="poems",37,IF(J27="walk",38,IF(J27="faces and events",39,IF(J27="events and names",40,IF(J27="flashbulb",41,IF(J27="stories",42,IF(J27="course material",43,IF(J27="autobiographical",44,IF(J27="novels",45,IF(J27="public events",46,"99"))))))))))))))))))))))))))))))))))))))))))))))</f>
        <v>9</v>
      </c>
      <c r="L27" s="69">
        <f>IF(J27="syllables",1,IF(J27="trigrams",1,IF(J27="strings",1,IF(J27="visual array",1,IF(J27="characters",1,IF(J27="letters",1,IF(J27="free forms",1,IF(J27="odors",2,IF(J27="words",2,IF(J27="pictures",2,IF(J27="object pictures",2,IF(J27="faces",2,IF(J27="names",2,IF(J27="idioms","2",IF(J27="grades",2,IF(J27="syllable-digit pairs",3,IF(J27="trigram-word pairs",3,IF(J27="word-digit pairs",3,IF(J27="English-Swahili pairs",3,IF(J27="spatial position",3,IF(J27="word pairs",4,IF(J27="word triads",4,IF(J27="generated words",4,IF(J27="word definition pairs",4,IF(J27="math problems",4,IF(J27="famous faces",4,IF(J27="famous names",4,IF(J27="famous voices",4,IF(J27="television programs",4,IF(J27="race horses",4,IF(J27="new vocabulary",4,IF(J27="sentences",5,IF(J27="concepts",5,IF(J27="ad slides",5,IF(J27="scenes",5,IF(J27="famous scenes",5,IF(J27="poems",6,IF(J27="walk",6,IF(J27="faces and events",6,IF(J27="events and names",6,IF(J27="flashbulb",7,IF(J27="stories",7,IF(J27="course material",7,IF(J27="autobiographical",7,IF(J27="novels",7,IF(J27="public events",7,"99"))))))))))))))))))))))))))))))))))))))))))))))</f>
        <v>2</v>
      </c>
      <c r="M27" s="69">
        <v>0</v>
      </c>
      <c r="N27" s="86">
        <v>1</v>
      </c>
      <c r="O27" s="69">
        <v>1</v>
      </c>
      <c r="P27" s="69"/>
      <c r="Q27" s="69" t="s">
        <v>174</v>
      </c>
      <c r="R27" s="69">
        <f>IF(Q27="Free Recall",1,IF(Q27="Cued Recall",2,IF(Q27="Recognition",3,IF(Q27="Multiple Choice",4,IF(Q27="Savings",5,IF(Q27="Stem Completion",6,IF(Q27="Fragment Completion",7,IF(Q27="anagram solution",8,IF(Q27="Matching",9,IF(Q27="Problem Solving",10,"99"))))))))))</f>
        <v>1</v>
      </c>
      <c r="S27" s="69" t="s">
        <v>49</v>
      </c>
      <c r="T27" s="92" t="s">
        <v>581</v>
      </c>
      <c r="U27" s="69">
        <f>IF(T27="within",1,0)</f>
        <v>1</v>
      </c>
      <c r="V27" s="92">
        <v>48</v>
      </c>
      <c r="W27" s="69">
        <f>F27*V27</f>
        <v>336</v>
      </c>
      <c r="X27" s="69">
        <v>4</v>
      </c>
      <c r="Y27" s="87">
        <f>AV26</f>
        <v>0.01</v>
      </c>
      <c r="Z27" s="92" t="s">
        <v>28</v>
      </c>
      <c r="AA27" s="87">
        <v>18</v>
      </c>
      <c r="AB27" s="69" t="str">
        <f>IF(AA27&lt;60,"1",IF(AA27&lt;=43200,"2",IF(AA27&lt;=777600,"3","4")))</f>
        <v>1</v>
      </c>
      <c r="AC27" s="72">
        <f>AVERAGE(AV26:DA26)</f>
        <v>7.5024999999999995</v>
      </c>
      <c r="AD27" s="69" t="str">
        <f>IF(AC27&lt;60,"1",IF(AC27&lt;=43200,"2",IF(AC27&lt;=777600,"3","4")))</f>
        <v>1</v>
      </c>
      <c r="AE27" s="87">
        <f>AA27-Y27</f>
        <v>17.989999999999998</v>
      </c>
      <c r="AF27" s="88">
        <f>AV27</f>
        <v>1</v>
      </c>
      <c r="AG27" s="72">
        <f>((AW27-AV27)+(AX27-AW27)+(AY27-AX27))/3</f>
        <v>-0.15566666666666665</v>
      </c>
      <c r="AH27" s="4"/>
      <c r="AI27" s="72">
        <f>RSQ(AV27:AY27,AV26:AY26)</f>
        <v>0.79797713583572305</v>
      </c>
      <c r="AJ27" s="110">
        <f>SLOPE(AV27:AY27,AV26:AY26)</f>
        <v>-2.1820920643002124E-2</v>
      </c>
      <c r="AK27" s="72">
        <f>INTERCEPT(AV27:AY27,AV26:AY26)</f>
        <v>0.90196145712412346</v>
      </c>
      <c r="AL27" s="72">
        <f>INDEX(LINEST(LN(AV27:AY27),LN(AV26:AY26),TRUE,TRUE),3,1)</f>
        <v>0.8609832523808767</v>
      </c>
      <c r="AM27" s="72">
        <f>INDEX(LINEST(LN(AV27:AY27),LN(AV26:AY26)),1)</f>
        <v>-7.0109010367673946E-2</v>
      </c>
      <c r="AN27" s="72">
        <f>EXP(INDEX(LINEST(LN(AV27:AY27),LN(AV26:AY26)),1,2))</f>
        <v>0.74011184076756875</v>
      </c>
      <c r="AO27" s="89">
        <f>INDEX(LINEST((AV27:AY27),LN(AV26:AY26),TRUE,TRUE),3,1)</f>
        <v>0.92400903524353672</v>
      </c>
      <c r="AP27" s="89">
        <f>INDEX(LINEST((AV27:AY27),LN(AV26:AY26)),1)</f>
        <v>-5.4565278704807089E-2</v>
      </c>
      <c r="AQ27" s="90">
        <f>INDEX(LINEST(LN(AV27:AY27),SQRT(AV26:AY26),TRUE,TRUE),3,1)</f>
        <v>0.94824877401430951</v>
      </c>
      <c r="AR27" s="117">
        <f>INDEX(LINEST(LN(AV27:AY27),SQRT((AV26:AY26))),1)</f>
        <v>-0.14174666934395416</v>
      </c>
      <c r="AS27" s="91">
        <f>INDEX(LINEST(1/(AV27:AY27),1/(SQRT(AV26:AY26)),TRUE,TRUE),3,1)</f>
        <v>0.64167389045696577</v>
      </c>
      <c r="AT27" s="91">
        <f>INDEX(LINEST(1/(AV27:AY27),1/SQRT(AV26:AY26)),1)</f>
        <v>-5.9758843528673632E-2</v>
      </c>
      <c r="AU27" s="3"/>
      <c r="AV27" s="95">
        <v>1</v>
      </c>
      <c r="AW27" s="95">
        <v>0.72499999999999998</v>
      </c>
      <c r="AX27" s="95">
        <v>0.69499999999999995</v>
      </c>
      <c r="AY27" s="95">
        <v>0.53300000000000003</v>
      </c>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1"/>
      <c r="CS27" s="1"/>
      <c r="CT27" s="1"/>
      <c r="CU27" s="1"/>
    </row>
    <row r="28" spans="1:99" s="13" customFormat="1" ht="12" customHeight="1" x14ac:dyDescent="0.2">
      <c r="A28" s="65">
        <v>43976</v>
      </c>
      <c r="B28" s="1"/>
      <c r="C28" s="1"/>
      <c r="D28" s="60"/>
      <c r="E28" s="76"/>
      <c r="F28" s="60"/>
      <c r="G28" s="60"/>
      <c r="H28" s="60"/>
      <c r="I28" s="60"/>
      <c r="J28" s="60"/>
      <c r="K28" s="60"/>
      <c r="L28" s="60"/>
      <c r="M28" s="60"/>
      <c r="N28" s="60"/>
      <c r="O28" s="60"/>
      <c r="P28" s="60"/>
      <c r="Q28" s="60"/>
      <c r="R28" s="60"/>
      <c r="S28" s="60"/>
      <c r="T28" s="59"/>
      <c r="U28" s="60"/>
      <c r="V28" s="59"/>
      <c r="W28" s="60"/>
      <c r="X28" s="60"/>
      <c r="Y28" s="76"/>
      <c r="Z28" s="59"/>
      <c r="AA28" s="60"/>
      <c r="AB28" s="60"/>
      <c r="AC28" s="56"/>
      <c r="AD28" s="60"/>
      <c r="AE28" s="76"/>
      <c r="AF28" s="80"/>
      <c r="AG28" s="56"/>
      <c r="AH28" s="4"/>
      <c r="AI28" s="56"/>
      <c r="AJ28" s="109"/>
      <c r="AK28" s="56"/>
      <c r="AL28" s="56"/>
      <c r="AM28" s="56"/>
      <c r="AN28" s="56"/>
      <c r="AO28" s="82"/>
      <c r="AP28" s="82"/>
      <c r="AQ28" s="83"/>
      <c r="AR28" s="116"/>
      <c r="AS28" s="84"/>
      <c r="AT28" s="84"/>
      <c r="AU28" s="3"/>
      <c r="AV28" s="25">
        <v>0.01</v>
      </c>
      <c r="AW28" s="25">
        <v>2</v>
      </c>
      <c r="AX28" s="25">
        <v>5</v>
      </c>
      <c r="AY28" s="25">
        <v>10</v>
      </c>
      <c r="AZ28" s="25">
        <v>20</v>
      </c>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1"/>
      <c r="CS28" s="1"/>
      <c r="CT28" s="1"/>
      <c r="CU28" s="1"/>
    </row>
    <row r="29" spans="1:99" s="13" customFormat="1" ht="12" customHeight="1" x14ac:dyDescent="0.2">
      <c r="A29" s="65">
        <v>43976</v>
      </c>
      <c r="B29" s="1" t="s">
        <v>928</v>
      </c>
      <c r="C29" s="1" t="s">
        <v>54</v>
      </c>
      <c r="D29" s="60">
        <v>1985</v>
      </c>
      <c r="E29" s="76">
        <v>1</v>
      </c>
      <c r="F29" s="60">
        <v>16</v>
      </c>
      <c r="G29" s="60">
        <v>16</v>
      </c>
      <c r="H29" s="60" t="s">
        <v>50</v>
      </c>
      <c r="I29" s="60" t="s">
        <v>330</v>
      </c>
      <c r="J29" s="60" t="s">
        <v>16</v>
      </c>
      <c r="K29" s="60">
        <f>IF(J29="syllables",1,IF(J29="trigrams",2,IF(J29="strings",3,IF(J29="visual array",4,IF(J29="characters",5,IF(J29="letters",6,IF(J29="free forms",7,IF(J29="odors",8,IF(J29="words",9,IF(J29="pictures",10,IF(J29="object pictures",11,IF(J29="faces",12,IF(J29="names",13,IF(J29="idioms",14,IF(J29="grades",15,IF(J29="syllable-digit pairs",16,IF(J29="trigram-word pairs",17,IF(J29="word-digit pairs",18,IF(J29="English-Swahili pairs",19,IF(J29="spatial position",20,IF(J29="word pairs",21,IF(J29="word triads",22,IF(J29="generated words",23,IF(J29="word definition pairs",24,IF(J29="math problems",25,IF(J29="famous faces",26,IF(J29="famous names",27,IF(J29="famous voices",28,IF(J29="television programs",29,IF(J29="race horses",30,IF(J29="new vocabulary",31,IF(J29="sentences",32,IF(J29="concepts",33,IF(J29="ad slides",34,IF(J29="scenes",35,IF(J29="famous scenes",36,IF(J29="poems",37,IF(J29="walk",38,IF(J29="faces and events",39,IF(J29="events and names",40,IF(J29="flashbulb",41,IF(J29="stories",42,IF(J29="course material",43,IF(J29="autobiographical",44,IF(J29="novels",45,IF(J29="public events",46,"99"))))))))))))))))))))))))))))))))))))))))))))))</f>
        <v>9</v>
      </c>
      <c r="L29" s="60">
        <f>IF(J29="syllables",1,IF(J29="trigrams",1,IF(J29="strings",1,IF(J29="visual array",1,IF(J29="characters",1,IF(J29="letters",1,IF(J29="free forms",1,IF(J29="odors",2,IF(J29="words",2,IF(J29="pictures",2,IF(J29="object pictures",2,IF(J29="faces",2,IF(J29="names",2,IF(J29="idioms","2",IF(J29="grades",2,IF(J29="syllable-digit pairs",3,IF(J29="trigram-word pairs",3,IF(J29="word-digit pairs",3,IF(J29="English-Swahili pairs",3,IF(J29="spatial position",3,IF(J29="word pairs",4,IF(J29="word triads",4,IF(J29="generated words",4,IF(J29="word definition pairs",4,IF(J29="math problems",4,IF(J29="famous faces",4,IF(J29="famous names",4,IF(J29="famous voices",4,IF(J29="television programs",4,IF(J29="race horses",4,IF(J29="new vocabulary",4,IF(J29="sentences",5,IF(J29="concepts",5,IF(J29="ad slides",5,IF(J29="scenes",5,IF(J29="famous scenes",5,IF(J29="poems",6,IF(J29="walk",6,IF(J29="faces and events",6,IF(J29="events and names",6,IF(J29="flashbulb",7,IF(J29="stories",7,IF(J29="course material",7,IF(J29="autobiographical",7,IF(J29="novels",7,IF(J29="public events",7,"99"))))))))))))))))))))))))))))))))))))))))))))))</f>
        <v>2</v>
      </c>
      <c r="M29" s="60">
        <v>0</v>
      </c>
      <c r="N29" s="60">
        <v>1</v>
      </c>
      <c r="O29" s="60">
        <v>1</v>
      </c>
      <c r="P29" s="60" t="s">
        <v>60</v>
      </c>
      <c r="Q29" s="60" t="s">
        <v>174</v>
      </c>
      <c r="R29" s="60">
        <f>IF(Q29="Free Recall",1,IF(Q29="Cued Recall",2,IF(Q29="Recognition",3,IF(Q29="Multiple Choice",4,IF(Q29="Savings",5,IF(Q29="Stem Completion",6,IF(Q29="Fragment Completion",7,IF(Q29="anagram solution",8,IF(Q29="Matching",9,IF(Q29="Problem Solving",10,"99"))))))))))</f>
        <v>1</v>
      </c>
      <c r="S29" s="60" t="s">
        <v>49</v>
      </c>
      <c r="T29" s="59" t="s">
        <v>581</v>
      </c>
      <c r="U29" s="60">
        <f>IF(T29="within",1,0)</f>
        <v>1</v>
      </c>
      <c r="V29" s="59">
        <v>25</v>
      </c>
      <c r="W29" s="60">
        <f>F29*V29</f>
        <v>400</v>
      </c>
      <c r="X29" s="60">
        <v>5</v>
      </c>
      <c r="Y29" s="76">
        <f>AV28</f>
        <v>0.01</v>
      </c>
      <c r="Z29" s="59" t="s">
        <v>929</v>
      </c>
      <c r="AA29" s="60">
        <v>20</v>
      </c>
      <c r="AB29" s="60" t="str">
        <f>IF(AA29&lt;60,"1",IF(AA29&lt;=43200,"2",IF(AA29&lt;=777600,"3","4")))</f>
        <v>1</v>
      </c>
      <c r="AC29" s="56">
        <f>AVERAGE(AV28:DA28)</f>
        <v>7.4019999999999992</v>
      </c>
      <c r="AD29" s="60" t="str">
        <f>IF(AC29&lt;60,"1",IF(AC29&lt;=43200,"2",IF(AC29&lt;=777600,"3","4")))</f>
        <v>1</v>
      </c>
      <c r="AE29" s="76">
        <f>AA29-Y29</f>
        <v>19.989999999999998</v>
      </c>
      <c r="AF29" s="80">
        <f>AV29</f>
        <v>1</v>
      </c>
      <c r="AG29" s="56">
        <f>((AW29-AV29)+(AX29-AW29)+(AY29-AX29)+(AZ29-AY29))/4</f>
        <v>-0.14781566749002267</v>
      </c>
      <c r="AH29" s="4"/>
      <c r="AI29" s="56">
        <f>RSQ(AV29:AZ29,AV28:AZ28)</f>
        <v>0.73723768534105394</v>
      </c>
      <c r="AJ29" s="109">
        <f>SLOPE(AV29:AZ29,AV28:AZ28)</f>
        <v>-2.613611955210424E-2</v>
      </c>
      <c r="AK29" s="56">
        <f>INTERCEPT(AV29:AZ29,AV28:AZ28)</f>
        <v>0.83931196735093161</v>
      </c>
      <c r="AL29" s="56">
        <f>INDEX(LINEST(LN(AV29:AZ29),LN(AV28:AZ28),TRUE,TRUE),3,1)</f>
        <v>0.80730003501306147</v>
      </c>
      <c r="AM29" s="56">
        <f>INDEX(LINEST(LN(AV29:AZ29),LN(AV28:AZ28)),1)</f>
        <v>-0.10987631838539494</v>
      </c>
      <c r="AN29" s="56">
        <f>EXP(INDEX(LINEST(LN(AV29:AZ29),LN(AV28:AZ28)),1,2))</f>
        <v>0.65256853287809802</v>
      </c>
      <c r="AO29" s="82">
        <f>INDEX(LINEST((AV29:AZ29),LN(AV28:AZ28),TRUE,TRUE),3,1)</f>
        <v>0.88699871587120305</v>
      </c>
      <c r="AP29" s="82">
        <f>INDEX(LINEST((AV29:AZ29),LN(AV28:AZ28)),1)</f>
        <v>-7.55139035608966E-2</v>
      </c>
      <c r="AQ29" s="83">
        <f>INDEX(LINEST(LN(AV29:AZ29),SQRT(AV28:AZ28),TRUE,TRUE),3,1)</f>
        <v>0.96190702682135676</v>
      </c>
      <c r="AR29" s="116">
        <f>INDEX(LINEST(LN(AV29:AZ29),SQRT((AV28:AZ28))),1)</f>
        <v>-0.21838255149512056</v>
      </c>
      <c r="AS29" s="84">
        <f>INDEX(LINEST(1/(AV29:AZ29),1/(SQRT(AV28:AZ28)),TRUE,TRUE),3,1)</f>
        <v>0.48696452658031536</v>
      </c>
      <c r="AT29" s="84">
        <f>INDEX(LINEST(1/(AV29:AZ29),1/SQRT(AV28:AZ28)),1)</f>
        <v>-9.8913528928207775E-2</v>
      </c>
      <c r="AU29" s="3"/>
      <c r="AV29" s="53">
        <v>1</v>
      </c>
      <c r="AW29" s="53">
        <v>0.76617976268333332</v>
      </c>
      <c r="AX29" s="53">
        <v>0.60472593305246936</v>
      </c>
      <c r="AY29" s="53">
        <v>0.449619026355568</v>
      </c>
      <c r="AZ29" s="53">
        <v>0.40873733003990936</v>
      </c>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1"/>
      <c r="CS29" s="1"/>
      <c r="CT29" s="1"/>
      <c r="CU29" s="1"/>
    </row>
    <row r="30" spans="1:99" s="13" customFormat="1" ht="12" customHeight="1" x14ac:dyDescent="0.2">
      <c r="A30" s="65">
        <v>43902</v>
      </c>
      <c r="B30" s="1"/>
      <c r="C30" s="1"/>
      <c r="D30" s="60"/>
      <c r="E30" s="76"/>
      <c r="F30" s="60"/>
      <c r="G30" s="60"/>
      <c r="H30" s="60"/>
      <c r="I30" s="60"/>
      <c r="J30" s="60"/>
      <c r="K30" s="64"/>
      <c r="L30" s="64"/>
      <c r="M30" s="60"/>
      <c r="N30" s="61"/>
      <c r="O30" s="60"/>
      <c r="P30" s="60"/>
      <c r="Q30" s="60"/>
      <c r="R30" s="60"/>
      <c r="S30" s="60"/>
      <c r="T30" s="59"/>
      <c r="U30" s="60"/>
      <c r="V30" s="59"/>
      <c r="W30" s="60"/>
      <c r="X30" s="60"/>
      <c r="Y30" s="76"/>
      <c r="Z30" s="59"/>
      <c r="AA30" s="59"/>
      <c r="AB30" s="60"/>
      <c r="AC30" s="56"/>
      <c r="AD30" s="60"/>
      <c r="AE30" s="60"/>
      <c r="AF30" s="80"/>
      <c r="AG30" s="56"/>
      <c r="AH30" s="4"/>
      <c r="AI30" s="56"/>
      <c r="AJ30" s="109"/>
      <c r="AK30" s="56"/>
      <c r="AL30" s="56"/>
      <c r="AM30" s="56"/>
      <c r="AN30" s="56"/>
      <c r="AO30" s="82"/>
      <c r="AP30" s="82"/>
      <c r="AQ30" s="83"/>
      <c r="AR30" s="116"/>
      <c r="AS30" s="84"/>
      <c r="AT30" s="84"/>
      <c r="AU30" s="3"/>
      <c r="AV30" s="53">
        <v>0.01</v>
      </c>
      <c r="AW30" s="25">
        <v>5</v>
      </c>
      <c r="AX30" s="25">
        <v>10</v>
      </c>
      <c r="AY30" s="25">
        <v>15</v>
      </c>
      <c r="AZ30" s="25">
        <v>30</v>
      </c>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1"/>
      <c r="CS30" s="1"/>
      <c r="CT30" s="1"/>
      <c r="CU30" s="1"/>
    </row>
    <row r="31" spans="1:99" s="13" customFormat="1" ht="12" customHeight="1" x14ac:dyDescent="0.2">
      <c r="A31" s="65">
        <v>43902</v>
      </c>
      <c r="B31" s="1" t="s">
        <v>448</v>
      </c>
      <c r="C31" s="1" t="s">
        <v>357</v>
      </c>
      <c r="D31" s="60">
        <v>1988</v>
      </c>
      <c r="E31" s="76">
        <v>1</v>
      </c>
      <c r="F31" s="60">
        <v>4</v>
      </c>
      <c r="G31" s="60">
        <v>4</v>
      </c>
      <c r="H31" s="60" t="s">
        <v>450</v>
      </c>
      <c r="I31" s="60" t="s">
        <v>330</v>
      </c>
      <c r="J31" s="59" t="s">
        <v>16</v>
      </c>
      <c r="K31" s="60">
        <f>IF(J31="syllables",1,IF(J31="trigrams",2,IF(J31="strings",3,IF(J31="visual array",4,IF(J31="characters",5,IF(J31="letters",6,IF(J31="free forms",7,IF(J31="odors",8,IF(J31="words",9,IF(J31="pictures",10,IF(J31="object pictures",11,IF(J31="faces",12,IF(J31="names",13,IF(J31="idioms",14,IF(J31="grades",15,IF(J31="syllable-digit pairs",16,IF(J31="trigram-word pairs",17,IF(J31="word-digit pairs",18,IF(J31="English-Swahili pairs",19,IF(J31="spatial position",20,IF(J31="word pairs",21,IF(J31="word triads",22,IF(J31="generated words",23,IF(J31="word definition pairs",24,IF(J31="math problems",25,IF(J31="famous faces",26,IF(J31="famous names",27,IF(J31="famous voices",28,IF(J31="television programs",29,IF(J31="race horses",30,IF(J31="new vocabulary",31,IF(J31="sentences",32,IF(J31="concepts",33,IF(J31="ad slides",34,IF(J31="scenes",35,IF(J31="famous scenes",36,IF(J31="poems",37,IF(J31="walk",38,IF(J31="faces and events",39,IF(J31="events and names",40,IF(J31="flashbulb",41,IF(J31="stories",42,IF(J31="course material",43,IF(J31="autobiographical",44,IF(J31="novels",45,IF(J31="public events",46,"99"))))))))))))))))))))))))))))))))))))))))))))))</f>
        <v>9</v>
      </c>
      <c r="L31" s="60">
        <f>IF(J31="syllables",1,IF(J31="trigrams",1,IF(J31="strings",1,IF(J31="visual array",1,IF(J31="characters",1,IF(J31="letters",1,IF(J31="free forms",1,IF(J31="odors",2,IF(J31="words",2,IF(J31="pictures",2,IF(J31="object pictures",2,IF(J31="faces",2,IF(J31="names",2,IF(J31="idioms","2",IF(J31="grades",2,IF(J31="syllable-digit pairs",3,IF(J31="trigram-word pairs",3,IF(J31="word-digit pairs",3,IF(J31="English-Swahili pairs",3,IF(J31="spatial position",3,IF(J31="word pairs",4,IF(J31="word triads",4,IF(J31="generated words",4,IF(J31="word definition pairs",4,IF(J31="math problems",4,IF(J31="famous faces",4,IF(J31="famous names",4,IF(J31="famous voices",4,IF(J31="television programs",4,IF(J31="race horses",4,IF(J31="new vocabulary",4,IF(J31="sentences",5,IF(J31="concepts",5,IF(J31="ad slides",5,IF(J31="scenes",5,IF(J31="famous scenes",5,IF(J31="poems",6,IF(J31="walk",6,IF(J31="faces and events",6,IF(J31="events and names",6,IF(J31="flashbulb",7,IF(J31="stories",7,IF(J31="course material",7,IF(J31="autobiographical",7,IF(J31="novels",7,IF(J31="public events",7,"99"))))))))))))))))))))))))))))))))))))))))))))))</f>
        <v>2</v>
      </c>
      <c r="M31" s="60">
        <v>0</v>
      </c>
      <c r="N31" s="60">
        <v>1</v>
      </c>
      <c r="O31" s="60">
        <v>1</v>
      </c>
      <c r="P31" s="60" t="s">
        <v>27</v>
      </c>
      <c r="Q31" s="60" t="s">
        <v>174</v>
      </c>
      <c r="R31" s="60">
        <f>IF(Q31="Free Recall",1,IF(Q31="Cued Recall",2,IF(Q31="Recognition",3,IF(Q31="Multiple Choice",4,IF(Q31="Savings",5,IF(Q31="Stem Completion",6,IF(Q31="Fragment Completion",7,IF(Q31="anagram solution",8,IF(Q31="Matching",9,IF(Q31="Problem Solving",10,"99"))))))))))</f>
        <v>1</v>
      </c>
      <c r="S31" s="60" t="s">
        <v>49</v>
      </c>
      <c r="T31" s="59" t="s">
        <v>581</v>
      </c>
      <c r="U31" s="60">
        <f>IF(T31="within",1,0)</f>
        <v>1</v>
      </c>
      <c r="V31" s="59">
        <v>15</v>
      </c>
      <c r="W31" s="60">
        <f>F31*V31</f>
        <v>60</v>
      </c>
      <c r="X31" s="60">
        <v>5</v>
      </c>
      <c r="Y31" s="76">
        <f>AV30</f>
        <v>0.01</v>
      </c>
      <c r="Z31" s="59" t="s">
        <v>52</v>
      </c>
      <c r="AA31" s="59">
        <v>30</v>
      </c>
      <c r="AB31" s="60" t="str">
        <f>IF(AA31&lt;60,"1",IF(AA31&lt;=43200,"2",IF(AA31&lt;=777600,"3","4")))</f>
        <v>1</v>
      </c>
      <c r="AC31" s="56">
        <f>AVERAGE(AV30:DA30)</f>
        <v>12.001999999999999</v>
      </c>
      <c r="AD31" s="60" t="str">
        <f>IF(AC31&lt;60,"1",IF(AC31&lt;=43200,"2",IF(AC31&lt;=777600,"3","4")))</f>
        <v>1</v>
      </c>
      <c r="AE31" s="76">
        <f>AA31-Y31</f>
        <v>29.99</v>
      </c>
      <c r="AF31" s="80">
        <f>AV31</f>
        <v>1</v>
      </c>
      <c r="AG31" s="56">
        <f>((AW31-AV31)+(AX31-AW31)+(AY31-AX31)+(AZ31-AY31))/4</f>
        <v>-0.1225</v>
      </c>
      <c r="AH31" s="4"/>
      <c r="AI31" s="56">
        <f>RSQ(AV31:AZ31,AV30:AZ30)</f>
        <v>0.87744486458926696</v>
      </c>
      <c r="AJ31" s="109">
        <f>SLOPE(AV31:AZ31,AV30:AZ30)</f>
        <v>-1.5133869656618898E-2</v>
      </c>
      <c r="AK31" s="56">
        <f>INTERCEPT(AV31:AZ31,AV30:AZ30)</f>
        <v>0.91363670361873994</v>
      </c>
      <c r="AL31" s="56">
        <f>INDEX(LINEST(LN(AV31:AZ31),LN(AV30:AZ30),TRUE,TRUE),3,1)</f>
        <v>0.73544565890084335</v>
      </c>
      <c r="AM31" s="56">
        <f>INDEX(LINEST(LN(AV31:AZ31),LN(AV30:AZ30)),1)</f>
        <v>-6.737198421982793E-2</v>
      </c>
      <c r="AN31" s="56">
        <f>EXP(INDEX(LINEST(LN(AV31:AZ31),LN(AV30:AZ30)),1,2))</f>
        <v>0.76730704069457645</v>
      </c>
      <c r="AO31" s="82">
        <f>INDEX(LINEST((AV31:AZ31),LN(AV30:AZ30),TRUE,TRUE),3,1)</f>
        <v>0.82145445368287273</v>
      </c>
      <c r="AP31" s="82">
        <f>INDEX(LINEST((AV31:AZ31),LN(AV30:AZ30)),1)</f>
        <v>-5.1922049681702984E-2</v>
      </c>
      <c r="AQ31" s="83">
        <f>INDEX(LINEST(LN(AV31:AZ31),SQRT(AV30:AZ30),TRUE,TRUE),3,1)</f>
        <v>0.98317651352563162</v>
      </c>
      <c r="AR31" s="116">
        <f>INDEX(LINEST(LN(AV31:AZ31),SQRT((AV30:AZ30))),1)</f>
        <v>-0.12675016966523908</v>
      </c>
      <c r="AS31" s="84">
        <f>INDEX(LINEST(1/(AV31:AZ31),1/(SQRT(AV30:AZ30)),TRUE,TRUE),3,1)</f>
        <v>0.46976052142011815</v>
      </c>
      <c r="AT31" s="84">
        <f>INDEX(LINEST(1/(AV31:AZ31),1/SQRT(AV30:AZ30)),1)</f>
        <v>-5.7813684707007811E-2</v>
      </c>
      <c r="AU31" s="3"/>
      <c r="AV31" s="53">
        <v>1</v>
      </c>
      <c r="AW31" s="53">
        <v>0.8</v>
      </c>
      <c r="AX31" s="53">
        <v>0.73</v>
      </c>
      <c r="AY31" s="53">
        <v>0.62</v>
      </c>
      <c r="AZ31" s="53">
        <v>0.51</v>
      </c>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1"/>
      <c r="CS31" s="1"/>
      <c r="CT31" s="1"/>
      <c r="CU31" s="1"/>
    </row>
    <row r="32" spans="1:99" s="13" customFormat="1" ht="12" customHeight="1" x14ac:dyDescent="0.2">
      <c r="A32" s="65">
        <v>43509</v>
      </c>
      <c r="B32" s="1"/>
      <c r="C32" s="1"/>
      <c r="D32" s="60"/>
      <c r="E32" s="76"/>
      <c r="F32" s="60"/>
      <c r="G32" s="60"/>
      <c r="H32" s="60"/>
      <c r="I32" s="60"/>
      <c r="J32" s="60"/>
      <c r="K32" s="64"/>
      <c r="L32" s="64"/>
      <c r="M32" s="60"/>
      <c r="N32" s="60"/>
      <c r="O32" s="60"/>
      <c r="P32" s="60"/>
      <c r="Q32" s="60"/>
      <c r="R32" s="60"/>
      <c r="S32" s="60"/>
      <c r="T32" s="60"/>
      <c r="U32" s="60"/>
      <c r="V32" s="60"/>
      <c r="W32" s="60"/>
      <c r="X32" s="60"/>
      <c r="Y32" s="76"/>
      <c r="Z32" s="60"/>
      <c r="AA32" s="60"/>
      <c r="AB32" s="60"/>
      <c r="AC32" s="60"/>
      <c r="AD32" s="60"/>
      <c r="AE32" s="60"/>
      <c r="AF32" s="80"/>
      <c r="AG32" s="56"/>
      <c r="AH32" s="4"/>
      <c r="AI32" s="56"/>
      <c r="AJ32" s="109"/>
      <c r="AK32" s="56"/>
      <c r="AL32" s="56"/>
      <c r="AM32" s="56"/>
      <c r="AN32" s="56"/>
      <c r="AO32" s="56"/>
      <c r="AP32" s="56"/>
      <c r="AQ32" s="56"/>
      <c r="AR32" s="109"/>
      <c r="AS32" s="56"/>
      <c r="AT32" s="56"/>
      <c r="AU32" s="4"/>
      <c r="AV32" s="53">
        <v>0.01</v>
      </c>
      <c r="AW32" s="25">
        <v>3</v>
      </c>
      <c r="AX32" s="25">
        <v>6</v>
      </c>
      <c r="AY32" s="25">
        <v>9</v>
      </c>
      <c r="AZ32" s="25">
        <v>12</v>
      </c>
      <c r="BA32" s="25">
        <v>18</v>
      </c>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1"/>
      <c r="CS32" s="1"/>
      <c r="CT32" s="1"/>
      <c r="CU32" s="1"/>
    </row>
    <row r="33" spans="1:99" s="13" customFormat="1" ht="12" customHeight="1" x14ac:dyDescent="0.2">
      <c r="A33" s="65">
        <v>43509</v>
      </c>
      <c r="B33" s="1" t="s">
        <v>248</v>
      </c>
      <c r="C33" s="1" t="s">
        <v>19</v>
      </c>
      <c r="D33" s="60">
        <v>1961</v>
      </c>
      <c r="E33" s="76">
        <v>1</v>
      </c>
      <c r="F33" s="60">
        <v>24</v>
      </c>
      <c r="G33" s="60">
        <v>24</v>
      </c>
      <c r="H33" s="60" t="s">
        <v>22</v>
      </c>
      <c r="I33" s="60" t="s">
        <v>443</v>
      </c>
      <c r="J33" s="60" t="s">
        <v>443</v>
      </c>
      <c r="K33" s="60">
        <f>IF(J33="syllables",1,IF(J33="trigrams",2,IF(J33="strings",3,IF(J33="visual array",4,IF(J33="characters",5,IF(J33="letters",6,IF(J33="free forms",7,IF(J33="odors",8,IF(J33="words",9,IF(J33="pictures",10,IF(J33="object pictures",11,IF(J33="faces",12,IF(J33="names",13,IF(J33="idioms",14,IF(J33="grades",15,IF(J33="syllable-digit pairs",16,IF(J33="trigram-word pairs",17,IF(J33="word-digit pairs",18,IF(J33="English-Swahili pairs",19,IF(J33="spatial position",20,IF(J33="word pairs",21,IF(J33="word triads",22,IF(J33="generated words",23,IF(J33="word definition pairs",24,IF(J33="math problems",25,IF(J33="famous faces",26,IF(J33="famous names",27,IF(J33="famous voices",28,IF(J33="television programs",29,IF(J33="race horses",30,IF(J33="new vocabulary",31,IF(J33="sentences",32,IF(J33="concepts",33,IF(J33="ad slides",34,IF(J33="scenes",35,IF(J33="famous scenes",36,IF(J33="poems",37,IF(J33="walk",38,IF(J33="faces and events",39,IF(J33="events and names",40,IF(J33="flashbulb",41,IF(J33="stories",42,IF(J33="course material",43,IF(J33="autobiographical",44,IF(J33="novels",45,IF(J33="public events",46,"99"))))))))))))))))))))))))))))))))))))))))))))))</f>
        <v>2</v>
      </c>
      <c r="L33" s="60">
        <f>IF(J33="syllables",1,IF(J33="trigrams",1,IF(J33="strings",1,IF(J33="visual array",1,IF(J33="characters",1,IF(J33="letters",1,IF(J33="free forms",1,IF(J33="odors",2,IF(J33="words",2,IF(J33="pictures",2,IF(J33="object pictures",2,IF(J33="faces",2,IF(J33="names",2,IF(J33="idioms","2",IF(J33="grades",2,IF(J33="syllable-digit pairs",3,IF(J33="trigram-word pairs",3,IF(J33="word-digit pairs",3,IF(J33="English-Swahili pairs",3,IF(J33="spatial position",3,IF(J33="word pairs",4,IF(J33="word triads",4,IF(J33="generated words",4,IF(J33="word definition pairs",4,IF(J33="math problems",4,IF(J33="famous faces",4,IF(J33="famous names",4,IF(J33="famous voices",4,IF(J33="television programs",4,IF(J33="race horses",4,IF(J33="new vocabulary",4,IF(J33="sentences",5,IF(J33="concepts",5,IF(J33="ad slides",5,IF(J33="scenes",5,IF(J33="famous scenes",5,IF(J33="poems",6,IF(J33="walk",6,IF(J33="faces and events",6,IF(J33="events and names",6,IF(J33="flashbulb",7,IF(J33="stories",7,IF(J33="course material",7,IF(J33="autobiographical",7,IF(J33="novels",7,IF(J33="public events",7,"99"))))))))))))))))))))))))))))))))))))))))))))))</f>
        <v>1</v>
      </c>
      <c r="M33" s="60">
        <v>0</v>
      </c>
      <c r="N33" s="60">
        <v>1</v>
      </c>
      <c r="O33" s="60">
        <v>1</v>
      </c>
      <c r="P33" s="60" t="s">
        <v>27</v>
      </c>
      <c r="Q33" s="60" t="s">
        <v>174</v>
      </c>
      <c r="R33" s="60">
        <f>IF(Q33="Free Recall",1,IF(Q33="Cued Recall",2,IF(Q33="Recognition",3,IF(Q33="Multiple Choice",4,IF(Q33="Savings",5,IF(Q33="Stem Completion",6,IF(Q33="Fragment Completion",7,IF(Q33="anagram solution",8,IF(Q33="Matching",9,IF(Q33="Problem Solving",10,"99"))))))))))</f>
        <v>1</v>
      </c>
      <c r="S33" s="60" t="s">
        <v>49</v>
      </c>
      <c r="T33" s="59" t="s">
        <v>581</v>
      </c>
      <c r="U33" s="60">
        <f>IF(T33="within",1,0)</f>
        <v>1</v>
      </c>
      <c r="V33" s="59">
        <v>48</v>
      </c>
      <c r="W33" s="60">
        <f>F33*V33</f>
        <v>1152</v>
      </c>
      <c r="X33" s="60">
        <v>6</v>
      </c>
      <c r="Y33" s="76">
        <f>AV32</f>
        <v>0.01</v>
      </c>
      <c r="Z33" s="60" t="s">
        <v>28</v>
      </c>
      <c r="AA33" s="60">
        <v>18</v>
      </c>
      <c r="AB33" s="60" t="str">
        <f>IF(AA33&lt;60,"1",IF(AA33&lt;=43200,"2",IF(AA33&lt;=777600,"3","4")))</f>
        <v>1</v>
      </c>
      <c r="AC33" s="56">
        <f>AVERAGE(AV32:DA32)</f>
        <v>8.0016666666666669</v>
      </c>
      <c r="AD33" s="60" t="str">
        <f>IF(AC33&lt;60,"1",IF(AC33&lt;=43200,"2",IF(AC33&lt;=777600,"3","4")))</f>
        <v>1</v>
      </c>
      <c r="AE33" s="76">
        <f>AA33-Y33</f>
        <v>17.989999999999998</v>
      </c>
      <c r="AF33" s="80">
        <f>AV33</f>
        <v>0.94</v>
      </c>
      <c r="AG33" s="56">
        <f>((AW33-AV33)+(AX33-AW33)+(AY33-AX33)+(AZ33-AY33)+(BA33-AZ33))/5</f>
        <v>-0.15599999999999997</v>
      </c>
      <c r="AH33" s="4"/>
      <c r="AI33" s="56">
        <f>RSQ(AV33:BA33,AV32:BA32)</f>
        <v>0.81849037575686934</v>
      </c>
      <c r="AJ33" s="109">
        <f>SLOPE(AV33:BA33,AV32:BA32)</f>
        <v>-4.4534945460451836E-2</v>
      </c>
      <c r="AK33" s="56">
        <f>INTERCEPT(AV33:BA33,AV32:BA32)</f>
        <v>0.81802045525938216</v>
      </c>
      <c r="AL33" s="56">
        <f>INDEX(LINEST(LN(AV33:BA33),LN(AV32:BA32),TRUE,TRUE),3,1)</f>
        <v>0.62912140782443227</v>
      </c>
      <c r="AM33" s="56">
        <f>INDEX(LINEST(LN(AV33:BA33),LN(AV32:BA32)),1)</f>
        <v>-0.19711267967239077</v>
      </c>
      <c r="AN33" s="56">
        <f>EXP(INDEX(LINEST(LN(AV33:BA33),LN(AV32:BA32)),1,2))</f>
        <v>0.45751493307901042</v>
      </c>
      <c r="AO33" s="82">
        <f>INDEX(LINEST((AV33:BA33),LN(AV32:BA32),TRUE,TRUE),3,1)</f>
        <v>0.7387487597159994</v>
      </c>
      <c r="AP33" s="82">
        <f>INDEX(LINEST((AV33:BA33),LN(AV32:BA32)),1)</f>
        <v>-9.7812688207783757E-2</v>
      </c>
      <c r="AQ33" s="83">
        <f>INDEX(LINEST(LN(AV33:BA33),SQRT(AV32:BA32),TRUE,TRUE),3,1)</f>
        <v>0.92124945739510899</v>
      </c>
      <c r="AR33" s="116">
        <f>INDEX(LINEST(LN(AV33:BA33),SQRT((AV32:BA32))),1)</f>
        <v>-0.45974766711566617</v>
      </c>
      <c r="AS33" s="84">
        <f>INDEX(LINEST(1/(AV33:BA33),1/(SQRT(AV32:BA32)),TRUE,TRUE),3,1)</f>
        <v>0.30589057199593844</v>
      </c>
      <c r="AT33" s="84">
        <f>INDEX(LINEST(1/(AV33:BA33),1/SQRT(AV32:BA32)),1)</f>
        <v>-0.27638330850290699</v>
      </c>
      <c r="AU33" s="3"/>
      <c r="AV33" s="53">
        <v>0.94</v>
      </c>
      <c r="AW33" s="53">
        <v>0.77</v>
      </c>
      <c r="AX33" s="53">
        <v>0.4</v>
      </c>
      <c r="AY33" s="53">
        <v>0.26</v>
      </c>
      <c r="AZ33" s="53">
        <v>0.24</v>
      </c>
      <c r="BA33" s="53">
        <v>0.16</v>
      </c>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1"/>
      <c r="CS33" s="1"/>
      <c r="CT33" s="1"/>
      <c r="CU33" s="1"/>
    </row>
    <row r="34" spans="1:99" s="13" customFormat="1" ht="12" customHeight="1" x14ac:dyDescent="0.2">
      <c r="A34" s="65">
        <v>43509</v>
      </c>
      <c r="B34" s="1"/>
      <c r="C34" s="1"/>
      <c r="D34" s="60"/>
      <c r="E34" s="76"/>
      <c r="F34" s="60"/>
      <c r="G34" s="60"/>
      <c r="H34" s="60"/>
      <c r="I34" s="60"/>
      <c r="J34" s="60"/>
      <c r="K34" s="64"/>
      <c r="L34" s="64"/>
      <c r="M34" s="60"/>
      <c r="N34" s="60"/>
      <c r="O34" s="60"/>
      <c r="P34" s="60"/>
      <c r="Q34" s="60"/>
      <c r="R34" s="60"/>
      <c r="S34" s="60"/>
      <c r="T34" s="60"/>
      <c r="U34" s="60"/>
      <c r="V34" s="60"/>
      <c r="W34" s="60"/>
      <c r="X34" s="60"/>
      <c r="Y34" s="76"/>
      <c r="Z34" s="60"/>
      <c r="AA34" s="60"/>
      <c r="AB34" s="60"/>
      <c r="AC34" s="60"/>
      <c r="AD34" s="60"/>
      <c r="AE34" s="60"/>
      <c r="AF34" s="80"/>
      <c r="AG34" s="56"/>
      <c r="AH34" s="4"/>
      <c r="AI34" s="56"/>
      <c r="AJ34" s="109"/>
      <c r="AK34" s="56"/>
      <c r="AL34" s="56"/>
      <c r="AM34" s="56"/>
      <c r="AN34" s="56"/>
      <c r="AO34" s="82"/>
      <c r="AP34" s="82"/>
      <c r="AQ34" s="56"/>
      <c r="AR34" s="109"/>
      <c r="AS34" s="56"/>
      <c r="AT34" s="56"/>
      <c r="AU34" s="3"/>
      <c r="AV34" s="53">
        <v>0.01</v>
      </c>
      <c r="AW34" s="25">
        <v>3</v>
      </c>
      <c r="AX34" s="25">
        <v>6</v>
      </c>
      <c r="AY34" s="25">
        <v>9</v>
      </c>
      <c r="AZ34" s="25">
        <v>12</v>
      </c>
      <c r="BA34" s="25">
        <v>18</v>
      </c>
      <c r="BB34" s="53"/>
      <c r="BC34" s="53"/>
      <c r="BD34" s="53"/>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1"/>
      <c r="CS34" s="1"/>
      <c r="CT34" s="1"/>
      <c r="CU34" s="1"/>
    </row>
    <row r="35" spans="1:99" s="13" customFormat="1" ht="12" customHeight="1" x14ac:dyDescent="0.2">
      <c r="A35" s="65">
        <v>43509</v>
      </c>
      <c r="B35" s="1" t="s">
        <v>248</v>
      </c>
      <c r="C35" s="1" t="s">
        <v>19</v>
      </c>
      <c r="D35" s="60">
        <v>1961</v>
      </c>
      <c r="E35" s="76">
        <v>1</v>
      </c>
      <c r="F35" s="60">
        <v>24</v>
      </c>
      <c r="G35" s="60">
        <v>24</v>
      </c>
      <c r="H35" s="60" t="s">
        <v>22</v>
      </c>
      <c r="I35" s="60" t="s">
        <v>16</v>
      </c>
      <c r="J35" s="60" t="s">
        <v>16</v>
      </c>
      <c r="K35" s="60">
        <f>IF(J35="syllables",1,IF(J35="trigrams",2,IF(J35="strings",3,IF(J35="visual array",4,IF(J35="characters",5,IF(J35="letters",6,IF(J35="free forms",7,IF(J35="odors",8,IF(J35="words",9,IF(J35="pictures",10,IF(J35="object pictures",11,IF(J35="faces",12,IF(J35="names",13,IF(J35="idioms",14,IF(J35="grades",15,IF(J35="syllable-digit pairs",16,IF(J35="trigram-word pairs",17,IF(J35="word-digit pairs",18,IF(J35="English-Swahili pairs",19,IF(J35="spatial position",20,IF(J35="word pairs",21,IF(J35="word triads",22,IF(J35="generated words",23,IF(J35="word definition pairs",24,IF(J35="math problems",25,IF(J35="famous faces",26,IF(J35="famous names",27,IF(J35="famous voices",28,IF(J35="television programs",29,IF(J35="race horses",30,IF(J35="new vocabulary",31,IF(J35="sentences",32,IF(J35="concepts",33,IF(J35="ad slides",34,IF(J35="scenes",35,IF(J35="famous scenes",36,IF(J35="poems",37,IF(J35="walk",38,IF(J35="faces and events",39,IF(J35="events and names",40,IF(J35="flashbulb",41,IF(J35="stories",42,IF(J35="course material",43,IF(J35="autobiographical",44,IF(J35="novels",45,IF(J35="public events",46,"99"))))))))))))))))))))))))))))))))))))))))))))))</f>
        <v>9</v>
      </c>
      <c r="L35" s="60">
        <f>IF(J35="syllables",1,IF(J35="trigrams",1,IF(J35="strings",1,IF(J35="visual array",1,IF(J35="characters",1,IF(J35="letters",1,IF(J35="free forms",1,IF(J35="odors",2,IF(J35="words",2,IF(J35="pictures",2,IF(J35="object pictures",2,IF(J35="faces",2,IF(J35="names",2,IF(J35="idioms","2",IF(J35="grades",2,IF(J35="syllable-digit pairs",3,IF(J35="trigram-word pairs",3,IF(J35="word-digit pairs",3,IF(J35="English-Swahili pairs",3,IF(J35="spatial position",3,IF(J35="word pairs",4,IF(J35="word triads",4,IF(J35="generated words",4,IF(J35="word definition pairs",4,IF(J35="math problems",4,IF(J35="famous faces",4,IF(J35="famous names",4,IF(J35="famous voices",4,IF(J35="television programs",4,IF(J35="race horses",4,IF(J35="new vocabulary",4,IF(J35="sentences",5,IF(J35="concepts",5,IF(J35="ad slides",5,IF(J35="scenes",5,IF(J35="famous scenes",5,IF(J35="poems",6,IF(J35="walk",6,IF(J35="faces and events",6,IF(J35="events and names",6,IF(J35="flashbulb",7,IF(J35="stories",7,IF(J35="course material",7,IF(J35="autobiographical",7,IF(J35="novels",7,IF(J35="public events",7,"99"))))))))))))))))))))))))))))))))))))))))))))))</f>
        <v>2</v>
      </c>
      <c r="M35" s="60">
        <v>0</v>
      </c>
      <c r="N35" s="60">
        <v>1</v>
      </c>
      <c r="O35" s="60">
        <v>1</v>
      </c>
      <c r="P35" s="60" t="s">
        <v>27</v>
      </c>
      <c r="Q35" s="60" t="s">
        <v>174</v>
      </c>
      <c r="R35" s="60">
        <f>IF(Q35="Free Recall",1,IF(Q35="Cued Recall",2,IF(Q35="Recognition",3,IF(Q35="Multiple Choice",4,IF(Q35="Savings",5,IF(Q35="Stem Completion",6,IF(Q35="Fragment Completion",7,IF(Q35="anagram solution",8,IF(Q35="Matching",9,IF(Q35="Problem Solving",10,"99"))))))))))</f>
        <v>1</v>
      </c>
      <c r="S35" s="60" t="s">
        <v>49</v>
      </c>
      <c r="T35" s="59" t="s">
        <v>581</v>
      </c>
      <c r="U35" s="60">
        <f>IF(T35="within",1,0)</f>
        <v>1</v>
      </c>
      <c r="V35" s="59">
        <v>48</v>
      </c>
      <c r="W35" s="60">
        <f>F35*V35</f>
        <v>1152</v>
      </c>
      <c r="X35" s="60">
        <v>6</v>
      </c>
      <c r="Y35" s="76">
        <f>AV34</f>
        <v>0.01</v>
      </c>
      <c r="Z35" s="60" t="s">
        <v>28</v>
      </c>
      <c r="AA35" s="60">
        <v>18</v>
      </c>
      <c r="AB35" s="60" t="str">
        <f>IF(AA35&lt;60,"1",IF(AA35&lt;=43200,"2",IF(AA35&lt;=777600,"3","4")))</f>
        <v>1</v>
      </c>
      <c r="AC35" s="56">
        <f>AVERAGE(AV34:DA34)</f>
        <v>8.0016666666666669</v>
      </c>
      <c r="AD35" s="60" t="str">
        <f>IF(AC35&lt;60,"1",IF(AC35&lt;=43200,"2",IF(AC35&lt;=777600,"3","4")))</f>
        <v>1</v>
      </c>
      <c r="AE35" s="76">
        <f>AA35-Y35</f>
        <v>17.989999999999998</v>
      </c>
      <c r="AF35" s="80">
        <f>AV35</f>
        <v>0.98</v>
      </c>
      <c r="AG35" s="56">
        <f>((AW35-AV35)+(AX35-AW35)+(AY35-AX35)+(AZ35-AY35)+(BA35-AZ35))/5</f>
        <v>-2.8000000000000004E-2</v>
      </c>
      <c r="AH35" s="4"/>
      <c r="AI35" s="56">
        <f>RSQ(AV35:BA35,AV34:BA34)</f>
        <v>0.90877600129590974</v>
      </c>
      <c r="AJ35" s="109">
        <f>SLOPE(AV35:BA35,AV34:BA34)</f>
        <v>-9.3377456880854911E-3</v>
      </c>
      <c r="AK35" s="56">
        <f>INTERCEPT(AV35:BA35,AV34:BA34)</f>
        <v>0.99805086174749746</v>
      </c>
      <c r="AL35" s="56">
        <f>INDEX(LINEST(LN(AV35:BA35),LN(AV34:BA34),TRUE,TRUE),3,1)</f>
        <v>0.3780058904665447</v>
      </c>
      <c r="AM35" s="56">
        <f>INDEX(LINEST(LN(AV35:BA35),LN(AV34:BA34)),1)</f>
        <v>-1.523492902687193E-2</v>
      </c>
      <c r="AN35" s="56">
        <f>EXP(INDEX(LINEST(LN(AV35:BA35),LN(AV34:BA34)),1,2))</f>
        <v>0.93530115235158784</v>
      </c>
      <c r="AO35" s="82">
        <f>INDEX(LINEST((AV35:BA35),LN(AV34:BA34),TRUE,TRUE),3,1)</f>
        <v>0.38205855615865225</v>
      </c>
      <c r="AP35" s="82">
        <f>INDEX(LINEST((AV35:BA35),LN(AV34:BA34)),1)</f>
        <v>-1.3996880611666767E-2</v>
      </c>
      <c r="AQ35" s="83">
        <f>INDEX(LINEST(LN(AV35:BA35),SQRT(AV34:BA34),TRUE,TRUE),3,1)</f>
        <v>0.75670580483261896</v>
      </c>
      <c r="AR35" s="116">
        <f>INDEX(LINEST(LN(AV35:BA35),SQRT((AV34:BA34))),1)</f>
        <v>-4.1546865669824865E-2</v>
      </c>
      <c r="AS35" s="84">
        <f>INDEX(LINEST(1/(AV35:BA35),1/(SQRT(AV34:BA34)),TRUE,TRUE),3,1)</f>
        <v>0.20806471826762604</v>
      </c>
      <c r="AT35" s="84">
        <f>INDEX(LINEST(1/(AV35:BA35),1/SQRT(AV34:BA34)),1)</f>
        <v>-8.8301750245386723E-3</v>
      </c>
      <c r="AU35" s="3"/>
      <c r="AV35" s="53">
        <v>0.98</v>
      </c>
      <c r="AW35" s="53">
        <v>0.99</v>
      </c>
      <c r="AX35" s="53">
        <v>0.96</v>
      </c>
      <c r="AY35" s="53">
        <v>0.91</v>
      </c>
      <c r="AZ35" s="53">
        <v>0.86</v>
      </c>
      <c r="BA35" s="53">
        <v>0.84</v>
      </c>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1"/>
      <c r="CS35" s="1"/>
      <c r="CT35" s="1"/>
      <c r="CU35" s="1"/>
    </row>
    <row r="36" spans="1:99" s="13" customFormat="1" ht="12" customHeight="1" x14ac:dyDescent="0.2">
      <c r="A36" s="65">
        <v>43509</v>
      </c>
      <c r="B36" s="1"/>
      <c r="C36" s="1"/>
      <c r="D36" s="60"/>
      <c r="E36" s="76"/>
      <c r="F36" s="60"/>
      <c r="G36" s="60"/>
      <c r="H36" s="60"/>
      <c r="I36" s="60"/>
      <c r="J36" s="60"/>
      <c r="K36" s="64"/>
      <c r="L36" s="64"/>
      <c r="M36" s="60"/>
      <c r="N36" s="60"/>
      <c r="O36" s="60"/>
      <c r="P36" s="60"/>
      <c r="Q36" s="60"/>
      <c r="R36" s="60"/>
      <c r="S36" s="60"/>
      <c r="T36" s="60"/>
      <c r="U36" s="60"/>
      <c r="V36" s="59"/>
      <c r="W36" s="60"/>
      <c r="X36" s="60"/>
      <c r="Y36" s="76"/>
      <c r="Z36" s="60"/>
      <c r="AA36" s="60"/>
      <c r="AB36" s="60"/>
      <c r="AC36" s="60"/>
      <c r="AD36" s="60"/>
      <c r="AE36" s="60"/>
      <c r="AF36" s="80"/>
      <c r="AG36" s="56"/>
      <c r="AH36" s="4"/>
      <c r="AI36" s="56"/>
      <c r="AJ36" s="109"/>
      <c r="AK36" s="56"/>
      <c r="AL36" s="56"/>
      <c r="AM36" s="56"/>
      <c r="AN36" s="56"/>
      <c r="AO36" s="82"/>
      <c r="AP36" s="82"/>
      <c r="AQ36" s="56"/>
      <c r="AR36" s="109"/>
      <c r="AS36" s="56"/>
      <c r="AT36" s="56"/>
      <c r="AU36" s="3"/>
      <c r="AV36" s="53">
        <v>0.01</v>
      </c>
      <c r="AW36" s="25">
        <v>3</v>
      </c>
      <c r="AX36" s="25">
        <v>6</v>
      </c>
      <c r="AY36" s="25">
        <v>9</v>
      </c>
      <c r="AZ36" s="25">
        <v>12</v>
      </c>
      <c r="BA36" s="25">
        <v>18</v>
      </c>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1"/>
      <c r="CS36" s="1"/>
      <c r="CT36" s="1"/>
      <c r="CU36" s="1"/>
    </row>
    <row r="37" spans="1:99" s="13" customFormat="1" ht="12" customHeight="1" x14ac:dyDescent="0.2">
      <c r="A37" s="65">
        <v>43509</v>
      </c>
      <c r="B37" s="1" t="s">
        <v>248</v>
      </c>
      <c r="C37" s="1" t="s">
        <v>19</v>
      </c>
      <c r="D37" s="60">
        <v>1961</v>
      </c>
      <c r="E37" s="76">
        <v>1</v>
      </c>
      <c r="F37" s="60">
        <v>24</v>
      </c>
      <c r="G37" s="60">
        <v>24</v>
      </c>
      <c r="H37" s="60" t="s">
        <v>22</v>
      </c>
      <c r="I37" s="60" t="s">
        <v>741</v>
      </c>
      <c r="J37" s="60" t="s">
        <v>741</v>
      </c>
      <c r="K37" s="60">
        <f>IF(J37="syllables",1,IF(J37="trigrams",2,IF(J37="strings",3,IF(J37="visual array",4,IF(J37="characters",5,IF(J37="letters",6,IF(J37="free forms",7,IF(J37="odors",8,IF(J37="words",9,IF(J37="pictures",10,IF(J37="object pictures",11,IF(J37="faces",12,IF(J37="names",13,IF(J37="idioms",14,IF(J37="grades",15,IF(J37="syllable-digit pairs",16,IF(J37="trigram-word pairs",17,IF(J37="word-digit pairs",18,IF(J37="English-Swahili pairs",19,IF(J37="spatial position",20,IF(J37="word pairs",21,IF(J37="word triads",22,IF(J37="generated words",23,IF(J37="word definition pairs",24,IF(J37="math problems",25,IF(J37="famous faces",26,IF(J37="famous names",27,IF(J37="famous voices",28,IF(J37="television programs",29,IF(J37="race horses",30,IF(J37="new vocabulary",31,IF(J37="sentences",32,IF(J37="concepts",33,IF(J37="ad slides",34,IF(J37="scenes",35,IF(J37="famous scenes",36,IF(J37="poems",37,IF(J37="walk",38,IF(J37="faces and events",39,IF(J37="events and names",40,IF(J37="flashbulb",41,IF(J37="stories",42,IF(J37="course material",43,IF(J37="autobiographical",44,IF(J37="novels",45,IF(J37="public events",46,"99"))))))))))))))))))))))))))))))))))))))))))))))</f>
        <v>22</v>
      </c>
      <c r="L37" s="60">
        <f>IF(J37="syllables",1,IF(J37="trigrams",1,IF(J37="strings",1,IF(J37="visual array",1,IF(J37="characters",1,IF(J37="letters",1,IF(J37="free forms",1,IF(J37="odors",2,IF(J37="words",2,IF(J37="pictures",2,IF(J37="object pictures",2,IF(J37="faces",2,IF(J37="names",2,IF(J37="idioms","2",IF(J37="grades",2,IF(J37="syllable-digit pairs",3,IF(J37="trigram-word pairs",3,IF(J37="word-digit pairs",3,IF(J37="English-Swahili pairs",3,IF(J37="spatial position",3,IF(J37="word pairs",4,IF(J37="word triads",4,IF(J37="generated words",4,IF(J37="word definition pairs",4,IF(J37="math problems",4,IF(J37="famous faces",4,IF(J37="famous names",4,IF(J37="famous voices",4,IF(J37="television programs",4,IF(J37="race horses",4,IF(J37="new vocabulary",4,IF(J37="sentences",5,IF(J37="concepts",5,IF(J37="ad slides",5,IF(J37="scenes",5,IF(J37="famous scenes",5,IF(J37="poems",6,IF(J37="walk",6,IF(J37="faces and events",6,IF(J37="events and names",6,IF(J37="flashbulb",7,IF(J37="stories",7,IF(J37="course material",7,IF(J37="autobiographical",7,IF(J37="novels",7,IF(J37="public events",7,"99"))))))))))))))))))))))))))))))))))))))))))))))</f>
        <v>4</v>
      </c>
      <c r="M37" s="60">
        <v>0</v>
      </c>
      <c r="N37" s="60">
        <v>1</v>
      </c>
      <c r="O37" s="60">
        <v>1</v>
      </c>
      <c r="P37" s="60" t="s">
        <v>27</v>
      </c>
      <c r="Q37" s="60" t="s">
        <v>174</v>
      </c>
      <c r="R37" s="60">
        <f>IF(Q37="Free Recall",1,IF(Q37="Cued Recall",2,IF(Q37="Recognition",3,IF(Q37="Multiple Choice",4,IF(Q37="Savings",5,IF(Q37="Stem Completion",6,IF(Q37="Fragment Completion",7,IF(Q37="anagram solution",8,IF(Q37="Matching",9,IF(Q37="Problem Solving",10,"99"))))))))))</f>
        <v>1</v>
      </c>
      <c r="S37" s="60" t="s">
        <v>49</v>
      </c>
      <c r="T37" s="59" t="s">
        <v>581</v>
      </c>
      <c r="U37" s="60">
        <f>IF(T37="within",1,0)</f>
        <v>1</v>
      </c>
      <c r="V37" s="59">
        <v>48</v>
      </c>
      <c r="W37" s="60">
        <f>F37*V37</f>
        <v>1152</v>
      </c>
      <c r="X37" s="60">
        <v>6</v>
      </c>
      <c r="Y37" s="76">
        <f>AV36</f>
        <v>0.01</v>
      </c>
      <c r="Z37" s="60" t="s">
        <v>28</v>
      </c>
      <c r="AA37" s="60">
        <v>18</v>
      </c>
      <c r="AB37" s="60" t="str">
        <f>IF(AA37&lt;60,"1",IF(AA37&lt;=43200,"2",IF(AA37&lt;=777600,"3","4")))</f>
        <v>1</v>
      </c>
      <c r="AC37" s="56">
        <f>AVERAGE(AV36:DA36)</f>
        <v>8.0016666666666669</v>
      </c>
      <c r="AD37" s="60" t="str">
        <f>IF(AC37&lt;60,"1",IF(AC37&lt;=43200,"2",IF(AC37&lt;=777600,"3","4")))</f>
        <v>1</v>
      </c>
      <c r="AE37" s="76">
        <f>AA37-Y37</f>
        <v>17.989999999999998</v>
      </c>
      <c r="AF37" s="80">
        <f>AV37</f>
        <v>0.93</v>
      </c>
      <c r="AG37" s="56">
        <f>((AW37-AV37)+(AX37-AW37)+(AY37-AX37)+(AZ37-AY37)+(BA37-AZ37))/5</f>
        <v>-0.14000000000000001</v>
      </c>
      <c r="AH37" s="4"/>
      <c r="AI37" s="56">
        <f>RSQ(AV37:BA37,AV36:BA36)</f>
        <v>0.7733831226381368</v>
      </c>
      <c r="AJ37" s="109">
        <f>SLOPE(AV37:BA37,AV36:BA36)</f>
        <v>-3.8245870565720493E-2</v>
      </c>
      <c r="AK37" s="56">
        <f>INTERCEPT(AV37:BA37,AV36:BA36)</f>
        <v>0.78769737431004017</v>
      </c>
      <c r="AL37" s="56">
        <f>INDEX(LINEST(LN(AV37:BA37),LN(AV36:BA36),TRUE,TRUE),3,1)</f>
        <v>0.7015796379290582</v>
      </c>
      <c r="AM37" s="56">
        <f>INDEX(LINEST(LN(AV37:BA37),LN(AV36:BA36)),1)</f>
        <v>-0.16430871566677174</v>
      </c>
      <c r="AN37" s="56">
        <f>EXP(INDEX(LINEST(LN(AV37:BA37),LN(AV36:BA36)),1,2))</f>
        <v>0.4956550934992876</v>
      </c>
      <c r="AO37" s="82">
        <f>INDEX(LINEST((AV37:BA37),LN(AV36:BA36),TRUE,TRUE),3,1)</f>
        <v>0.79027051149362137</v>
      </c>
      <c r="AP37" s="82">
        <f>INDEX(LINEST((AV37:BA37),LN(AV36:BA36)),1)</f>
        <v>-8.9377411030479137E-2</v>
      </c>
      <c r="AQ37" s="83">
        <f>INDEX(LINEST(LN(AV37:BA37),SQRT(AV36:BA36),TRUE,TRUE),3,1)</f>
        <v>0.92294973756443077</v>
      </c>
      <c r="AR37" s="116">
        <f>INDEX(LINEST(LN(AV37:BA37),SQRT((AV36:BA36))),1)</f>
        <v>-0.36324088051232856</v>
      </c>
      <c r="AS37" s="84">
        <f>INDEX(LINEST(1/(AV37:BA37),1/(SQRT(AV36:BA36)),TRUE,TRUE),3,1)</f>
        <v>0.41115114811717846</v>
      </c>
      <c r="AT37" s="84">
        <f>INDEX(LINEST(1/(AV37:BA37),1/SQRT(AV36:BA36)),1)</f>
        <v>-0.20367997901953955</v>
      </c>
      <c r="AU37" s="3"/>
      <c r="AV37" s="53">
        <v>0.93</v>
      </c>
      <c r="AW37" s="53">
        <v>0.73</v>
      </c>
      <c r="AX37" s="53">
        <v>0.39</v>
      </c>
      <c r="AY37" s="53">
        <v>0.3</v>
      </c>
      <c r="AZ37" s="53">
        <v>0.31</v>
      </c>
      <c r="BA37" s="53">
        <v>0.23</v>
      </c>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1"/>
      <c r="CS37" s="1"/>
      <c r="CT37" s="1"/>
      <c r="CU37" s="1"/>
    </row>
    <row r="38" spans="1:99" s="13" customFormat="1" ht="12" customHeight="1" x14ac:dyDescent="0.2">
      <c r="A38" s="65">
        <v>43509</v>
      </c>
      <c r="B38" s="1"/>
      <c r="C38" s="1"/>
      <c r="D38" s="60"/>
      <c r="E38" s="76"/>
      <c r="F38" s="60"/>
      <c r="G38" s="60"/>
      <c r="H38" s="60"/>
      <c r="I38" s="60"/>
      <c r="J38" s="60"/>
      <c r="K38" s="64"/>
      <c r="L38" s="64"/>
      <c r="M38" s="60"/>
      <c r="N38" s="60"/>
      <c r="O38" s="60"/>
      <c r="P38" s="60"/>
      <c r="Q38" s="60"/>
      <c r="R38" s="60"/>
      <c r="S38" s="60"/>
      <c r="T38" s="60"/>
      <c r="U38" s="60"/>
      <c r="V38" s="60"/>
      <c r="W38" s="60"/>
      <c r="X38" s="60"/>
      <c r="Y38" s="76"/>
      <c r="Z38" s="60"/>
      <c r="AA38" s="60"/>
      <c r="AB38" s="60"/>
      <c r="AC38" s="60"/>
      <c r="AD38" s="60"/>
      <c r="AE38" s="60"/>
      <c r="AF38" s="80"/>
      <c r="AG38" s="56"/>
      <c r="AH38" s="4"/>
      <c r="AI38" s="56"/>
      <c r="AJ38" s="109"/>
      <c r="AK38" s="56"/>
      <c r="AL38" s="56"/>
      <c r="AM38" s="56"/>
      <c r="AN38" s="56"/>
      <c r="AO38" s="82"/>
      <c r="AP38" s="82"/>
      <c r="AQ38" s="56"/>
      <c r="AR38" s="109"/>
      <c r="AS38" s="56"/>
      <c r="AT38" s="56"/>
      <c r="AU38" s="3"/>
      <c r="AV38" s="53">
        <v>0.01</v>
      </c>
      <c r="AW38" s="25">
        <v>3</v>
      </c>
      <c r="AX38" s="25">
        <v>6</v>
      </c>
      <c r="AY38" s="25">
        <v>9</v>
      </c>
      <c r="AZ38" s="25">
        <v>12</v>
      </c>
      <c r="BA38" s="25">
        <v>18</v>
      </c>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1"/>
      <c r="CS38" s="1"/>
      <c r="CT38" s="1"/>
      <c r="CU38" s="1"/>
    </row>
    <row r="39" spans="1:99" s="13" customFormat="1" ht="12" customHeight="1" x14ac:dyDescent="0.2">
      <c r="A39" s="65">
        <v>43509</v>
      </c>
      <c r="B39" s="1" t="s">
        <v>248</v>
      </c>
      <c r="C39" s="1" t="s">
        <v>19</v>
      </c>
      <c r="D39" s="60">
        <v>1961</v>
      </c>
      <c r="E39" s="76">
        <v>2</v>
      </c>
      <c r="F39" s="60">
        <v>24</v>
      </c>
      <c r="G39" s="60">
        <v>24</v>
      </c>
      <c r="H39" s="60" t="s">
        <v>30</v>
      </c>
      <c r="I39" s="60">
        <v>0</v>
      </c>
      <c r="J39" s="60" t="s">
        <v>16</v>
      </c>
      <c r="K39" s="60">
        <f>IF(J39="syllables",1,IF(J39="trigrams",2,IF(J39="strings",3,IF(J39="visual array",4,IF(J39="characters",5,IF(J39="letters",6,IF(J39="free forms",7,IF(J39="odors",8,IF(J39="words",9,IF(J39="pictures",10,IF(J39="object pictures",11,IF(J39="faces",12,IF(J39="names",13,IF(J39="idioms",14,IF(J39="grades",15,IF(J39="syllable-digit pairs",16,IF(J39="trigram-word pairs",17,IF(J39="word-digit pairs",18,IF(J39="English-Swahili pairs",19,IF(J39="spatial position",20,IF(J39="word pairs",21,IF(J39="word triads",22,IF(J39="generated words",23,IF(J39="word definition pairs",24,IF(J39="math problems",25,IF(J39="famous faces",26,IF(J39="famous names",27,IF(J39="famous voices",28,IF(J39="television programs",29,IF(J39="race horses",30,IF(J39="new vocabulary",31,IF(J39="sentences",32,IF(J39="concepts",33,IF(J39="ad slides",34,IF(J39="scenes",35,IF(J39="famous scenes",36,IF(J39="poems",37,IF(J39="walk",38,IF(J39="faces and events",39,IF(J39="events and names",40,IF(J39="flashbulb",41,IF(J39="stories",42,IF(J39="course material",43,IF(J39="autobiographical",44,IF(J39="novels",45,IF(J39="public events",46,"99"))))))))))))))))))))))))))))))))))))))))))))))</f>
        <v>9</v>
      </c>
      <c r="L39" s="60">
        <f>IF(J39="syllables",1,IF(J39="trigrams",1,IF(J39="strings",1,IF(J39="visual array",1,IF(J39="characters",1,IF(J39="letters",1,IF(J39="free forms",1,IF(J39="odors",2,IF(J39="words",2,IF(J39="pictures",2,IF(J39="object pictures",2,IF(J39="faces",2,IF(J39="names",2,IF(J39="idioms","2",IF(J39="grades",2,IF(J39="syllable-digit pairs",3,IF(J39="trigram-word pairs",3,IF(J39="word-digit pairs",3,IF(J39="English-Swahili pairs",3,IF(J39="spatial position",3,IF(J39="word pairs",4,IF(J39="word triads",4,IF(J39="generated words",4,IF(J39="word definition pairs",4,IF(J39="math problems",4,IF(J39="famous faces",4,IF(J39="famous names",4,IF(J39="famous voices",4,IF(J39="television programs",4,IF(J39="race horses",4,IF(J39="new vocabulary",4,IF(J39="sentences",5,IF(J39="concepts",5,IF(J39="ad slides",5,IF(J39="scenes",5,IF(J39="famous scenes",5,IF(J39="poems",6,IF(J39="walk",6,IF(J39="faces and events",6,IF(J39="events and names",6,IF(J39="flashbulb",7,IF(J39="stories",7,IF(J39="course material",7,IF(J39="autobiographical",7,IF(J39="novels",7,IF(J39="public events",7,"99"))))))))))))))))))))))))))))))))))))))))))))))</f>
        <v>2</v>
      </c>
      <c r="M39" s="60">
        <v>0</v>
      </c>
      <c r="N39" s="60">
        <v>1</v>
      </c>
      <c r="O39" s="60">
        <v>1</v>
      </c>
      <c r="P39" s="60" t="s">
        <v>27</v>
      </c>
      <c r="Q39" s="60" t="s">
        <v>174</v>
      </c>
      <c r="R39" s="60">
        <f>IF(Q39="Free Recall",1,IF(Q39="Cued Recall",2,IF(Q39="Recognition",3,IF(Q39="Multiple Choice",4,IF(Q39="Savings",5,IF(Q39="Stem Completion",6,IF(Q39="Fragment Completion",7,IF(Q39="anagram solution",8,IF(Q39="Matching",9,IF(Q39="Problem Solving",10,"99"))))))))))</f>
        <v>1</v>
      </c>
      <c r="S39" s="60" t="s">
        <v>49</v>
      </c>
      <c r="T39" s="59" t="s">
        <v>581</v>
      </c>
      <c r="U39" s="60">
        <f>IF(T39="within",1,0)</f>
        <v>1</v>
      </c>
      <c r="V39" s="59">
        <v>48</v>
      </c>
      <c r="W39" s="60">
        <f>F39*V39</f>
        <v>1152</v>
      </c>
      <c r="X39" s="60">
        <v>6</v>
      </c>
      <c r="Y39" s="76">
        <f>AV38</f>
        <v>0.01</v>
      </c>
      <c r="Z39" s="60" t="s">
        <v>28</v>
      </c>
      <c r="AA39" s="60">
        <v>18</v>
      </c>
      <c r="AB39" s="60" t="str">
        <f>IF(AA39&lt;60,"1",IF(AA39&lt;=43200,"2",IF(AA39&lt;=777600,"3","4")))</f>
        <v>1</v>
      </c>
      <c r="AC39" s="56">
        <f>AVERAGE(AV38:DA38)</f>
        <v>8.0016666666666669</v>
      </c>
      <c r="AD39" s="60" t="str">
        <f>IF(AC39&lt;60,"1",IF(AC39&lt;=43200,"2",IF(AC39&lt;=777600,"3","4")))</f>
        <v>1</v>
      </c>
      <c r="AE39" s="76">
        <f>AA39-Y39</f>
        <v>17.989999999999998</v>
      </c>
      <c r="AF39" s="80">
        <f>AV39</f>
        <v>1</v>
      </c>
      <c r="AG39" s="56">
        <f>((AW39-AV39)+(AX39-AW39)+(AY39-AX39)+(AZ39-AY39)+(BA39-AZ39))/5</f>
        <v>-1.7999999999999995E-2</v>
      </c>
      <c r="AH39" s="4"/>
      <c r="AI39" s="56">
        <f>RSQ(AV39:BA39,AV38:BA38)</f>
        <v>0.88190106040339156</v>
      </c>
      <c r="AJ39" s="109">
        <f>SLOPE(AV39:BA39,AV38:BA38)</f>
        <v>-5.2400220644212795E-3</v>
      </c>
      <c r="AK39" s="56">
        <f>INTERCEPT(AV39:BA39,AV38:BA38)</f>
        <v>0.99859557655214426</v>
      </c>
      <c r="AL39" s="56">
        <f>INDEX(LINEST(LN(AV39:BA39),LN(AV38:BA38),TRUE,TRUE),3,1)</f>
        <v>0.54981732147451501</v>
      </c>
      <c r="AM39" s="56">
        <f>INDEX(LINEST(LN(AV39:BA39),LN(AV38:BA38)),1)</f>
        <v>-9.9646101051534958E-3</v>
      </c>
      <c r="AN39" s="56">
        <f>EXP(INDEX(LINEST(LN(AV39:BA39),LN(AV38:BA38)),1,2))</f>
        <v>0.96544690272672784</v>
      </c>
      <c r="AO39" s="82">
        <f>INDEX(LINEST((AV39:BA39),LN(AV38:BA38),TRUE,TRUE),3,1)</f>
        <v>0.55352783879158307</v>
      </c>
      <c r="AP39" s="82">
        <f>INDEX(LINEST((AV39:BA39),LN(AV38:BA38)),1)</f>
        <v>-9.5972231629234284E-3</v>
      </c>
      <c r="AQ39" s="83">
        <f>INDEX(LINEST(LN(AV39:BA39),SQRT(AV38:BA38),TRUE,TRUE),3,1)</f>
        <v>0.85332864944118048</v>
      </c>
      <c r="AR39" s="116">
        <f>INDEX(LINEST(LN(AV39:BA39),SQRT((AV38:BA38))),1)</f>
        <v>-2.3927253249590649E-2</v>
      </c>
      <c r="AS39" s="84">
        <f>INDEX(LINEST(1/(AV39:BA39),1/(SQRT(AV38:BA38)),TRUE,TRUE),3,1)</f>
        <v>0.36501639628073557</v>
      </c>
      <c r="AT39" s="84">
        <f>INDEX(LINEST(1/(AV39:BA39),1/SQRT(AV38:BA38)),1)</f>
        <v>-6.030459176797647E-3</v>
      </c>
      <c r="AU39" s="3"/>
      <c r="AV39" s="53">
        <v>1</v>
      </c>
      <c r="AW39" s="53">
        <v>1</v>
      </c>
      <c r="AX39" s="53">
        <v>0.95</v>
      </c>
      <c r="AY39" s="53">
        <v>0.94</v>
      </c>
      <c r="AZ39" s="53">
        <v>0.94</v>
      </c>
      <c r="BA39" s="53">
        <v>0.91</v>
      </c>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1"/>
      <c r="CS39" s="1"/>
      <c r="CT39" s="1"/>
      <c r="CU39" s="1"/>
    </row>
    <row r="40" spans="1:99" s="13" customFormat="1" ht="12" customHeight="1" x14ac:dyDescent="0.2">
      <c r="A40" s="65">
        <v>43509</v>
      </c>
      <c r="B40" s="1"/>
      <c r="C40" s="1"/>
      <c r="D40" s="60"/>
      <c r="E40" s="76"/>
      <c r="F40" s="60"/>
      <c r="G40" s="60"/>
      <c r="H40" s="60"/>
      <c r="I40" s="60"/>
      <c r="J40" s="60"/>
      <c r="K40" s="64"/>
      <c r="L40" s="64"/>
      <c r="M40" s="60"/>
      <c r="N40" s="60"/>
      <c r="O40" s="60"/>
      <c r="P40" s="60"/>
      <c r="Q40" s="60"/>
      <c r="R40" s="60"/>
      <c r="S40" s="60"/>
      <c r="T40" s="60"/>
      <c r="U40" s="60"/>
      <c r="V40" s="60"/>
      <c r="W40" s="60"/>
      <c r="X40" s="60"/>
      <c r="Y40" s="76"/>
      <c r="Z40" s="60"/>
      <c r="AA40" s="60"/>
      <c r="AB40" s="60"/>
      <c r="AC40" s="60"/>
      <c r="AD40" s="60"/>
      <c r="AE40" s="60"/>
      <c r="AF40" s="80"/>
      <c r="AG40" s="56"/>
      <c r="AH40" s="4"/>
      <c r="AI40" s="56"/>
      <c r="AJ40" s="109"/>
      <c r="AK40" s="56"/>
      <c r="AL40" s="56"/>
      <c r="AM40" s="56"/>
      <c r="AN40" s="56"/>
      <c r="AO40" s="82"/>
      <c r="AP40" s="82"/>
      <c r="AQ40" s="56"/>
      <c r="AR40" s="109"/>
      <c r="AS40" s="56"/>
      <c r="AT40" s="56"/>
      <c r="AU40" s="3"/>
      <c r="AV40" s="53">
        <v>0.01</v>
      </c>
      <c r="AW40" s="25">
        <v>3</v>
      </c>
      <c r="AX40" s="25">
        <v>6</v>
      </c>
      <c r="AY40" s="25">
        <v>9</v>
      </c>
      <c r="AZ40" s="25">
        <v>12</v>
      </c>
      <c r="BA40" s="25">
        <v>18</v>
      </c>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1"/>
      <c r="CS40" s="1"/>
      <c r="CT40" s="1"/>
      <c r="CU40" s="1"/>
    </row>
    <row r="41" spans="1:99" s="13" customFormat="1" ht="12" customHeight="1" x14ac:dyDescent="0.2">
      <c r="A41" s="65">
        <v>43509</v>
      </c>
      <c r="B41" s="1" t="s">
        <v>248</v>
      </c>
      <c r="C41" s="1" t="s">
        <v>19</v>
      </c>
      <c r="D41" s="60">
        <v>1961</v>
      </c>
      <c r="E41" s="76">
        <v>2</v>
      </c>
      <c r="F41" s="60">
        <v>24</v>
      </c>
      <c r="G41" s="60">
        <v>24</v>
      </c>
      <c r="H41" s="60" t="s">
        <v>30</v>
      </c>
      <c r="I41" s="60">
        <v>3</v>
      </c>
      <c r="J41" s="60" t="s">
        <v>16</v>
      </c>
      <c r="K41" s="60">
        <f>IF(J41="syllables",1,IF(J41="trigrams",2,IF(J41="strings",3,IF(J41="visual array",4,IF(J41="characters",5,IF(J41="letters",6,IF(J41="free forms",7,IF(J41="odors",8,IF(J41="words",9,IF(J41="pictures",10,IF(J41="object pictures",11,IF(J41="faces",12,IF(J41="names",13,IF(J41="idioms",14,IF(J41="grades",15,IF(J41="syllable-digit pairs",16,IF(J41="trigram-word pairs",17,IF(J41="word-digit pairs",18,IF(J41="English-Swahili pairs",19,IF(J41="spatial position",20,IF(J41="word pairs",21,IF(J41="word triads",22,IF(J41="generated words",23,IF(J41="word definition pairs",24,IF(J41="math problems",25,IF(J41="famous faces",26,IF(J41="famous names",27,IF(J41="famous voices",28,IF(J41="television programs",29,IF(J41="race horses",30,IF(J41="new vocabulary",31,IF(J41="sentences",32,IF(J41="concepts",33,IF(J41="ad slides",34,IF(J41="scenes",35,IF(J41="famous scenes",36,IF(J41="poems",37,IF(J41="walk",38,IF(J41="faces and events",39,IF(J41="events and names",40,IF(J41="flashbulb",41,IF(J41="stories",42,IF(J41="course material",43,IF(J41="autobiographical",44,IF(J41="novels",45,IF(J41="public events",46,"99"))))))))))))))))))))))))))))))))))))))))))))))</f>
        <v>9</v>
      </c>
      <c r="L41" s="60">
        <f>IF(J41="syllables",1,IF(J41="trigrams",1,IF(J41="strings",1,IF(J41="visual array",1,IF(J41="characters",1,IF(J41="letters",1,IF(J41="free forms",1,IF(J41="odors",2,IF(J41="words",2,IF(J41="pictures",2,IF(J41="object pictures",2,IF(J41="faces",2,IF(J41="names",2,IF(J41="idioms","2",IF(J41="grades",2,IF(J41="syllable-digit pairs",3,IF(J41="trigram-word pairs",3,IF(J41="word-digit pairs",3,IF(J41="English-Swahili pairs",3,IF(J41="spatial position",3,IF(J41="word pairs",4,IF(J41="word triads",4,IF(J41="generated words",4,IF(J41="word definition pairs",4,IF(J41="math problems",4,IF(J41="famous faces",4,IF(J41="famous names",4,IF(J41="famous voices",4,IF(J41="television programs",4,IF(J41="race horses",4,IF(J41="new vocabulary",4,IF(J41="sentences",5,IF(J41="concepts",5,IF(J41="ad slides",5,IF(J41="scenes",5,IF(J41="famous scenes",5,IF(J41="poems",6,IF(J41="walk",6,IF(J41="faces and events",6,IF(J41="events and names",6,IF(J41="flashbulb",7,IF(J41="stories",7,IF(J41="course material",7,IF(J41="autobiographical",7,IF(J41="novels",7,IF(J41="public events",7,"99"))))))))))))))))))))))))))))))))))))))))))))))</f>
        <v>2</v>
      </c>
      <c r="M41" s="60">
        <v>0</v>
      </c>
      <c r="N41" s="60">
        <v>1</v>
      </c>
      <c r="O41" s="60">
        <v>1</v>
      </c>
      <c r="P41" s="60" t="s">
        <v>27</v>
      </c>
      <c r="Q41" s="60" t="s">
        <v>174</v>
      </c>
      <c r="R41" s="60">
        <f>IF(Q41="Free Recall",1,IF(Q41="Cued Recall",2,IF(Q41="Recognition",3,IF(Q41="Multiple Choice",4,IF(Q41="Savings",5,IF(Q41="Stem Completion",6,IF(Q41="Fragment Completion",7,IF(Q41="anagram solution",8,IF(Q41="Matching",9,IF(Q41="Problem Solving",10,"99"))))))))))</f>
        <v>1</v>
      </c>
      <c r="S41" s="60" t="s">
        <v>49</v>
      </c>
      <c r="T41" s="59" t="s">
        <v>581</v>
      </c>
      <c r="U41" s="60">
        <f>IF(T41="within",1,0)</f>
        <v>1</v>
      </c>
      <c r="V41" s="59">
        <v>48</v>
      </c>
      <c r="W41" s="60">
        <f>F41*V41</f>
        <v>1152</v>
      </c>
      <c r="X41" s="60">
        <v>6</v>
      </c>
      <c r="Y41" s="76">
        <f>AV40</f>
        <v>0.01</v>
      </c>
      <c r="Z41" s="60" t="s">
        <v>28</v>
      </c>
      <c r="AA41" s="60">
        <v>18</v>
      </c>
      <c r="AB41" s="60" t="str">
        <f>IF(AA41&lt;60,"1",IF(AA41&lt;=43200,"2",IF(AA41&lt;=777600,"3","4")))</f>
        <v>1</v>
      </c>
      <c r="AC41" s="56">
        <f>AVERAGE(AV40:DA40)</f>
        <v>8.0016666666666669</v>
      </c>
      <c r="AD41" s="60" t="str">
        <f>IF(AC41&lt;60,"1",IF(AC41&lt;=43200,"2",IF(AC41&lt;=777600,"3","4")))</f>
        <v>1</v>
      </c>
      <c r="AE41" s="76">
        <f>AA41-Y41</f>
        <v>17.989999999999998</v>
      </c>
      <c r="AF41" s="80">
        <f>AV41</f>
        <v>1</v>
      </c>
      <c r="AG41" s="56">
        <f>((AW41-AV41)+(AX41-AW41)+(AY41-AX41)+(AZ41-AY41)+(BA41-AZ41))/5</f>
        <v>-3.6000000000000011E-2</v>
      </c>
      <c r="AH41" s="4"/>
      <c r="AI41" s="56">
        <f>RSQ(AV41:BA41,AV40:BA40)</f>
        <v>0.65162927920110603</v>
      </c>
      <c r="AJ41" s="109">
        <f>SLOPE(AV41:BA41,AV40:BA40)</f>
        <v>-1.114515378973115E-2</v>
      </c>
      <c r="AK41" s="56">
        <f>INTERCEPT(AV41:BA41,AV40:BA40)</f>
        <v>0.95917980557416549</v>
      </c>
      <c r="AL41" s="56">
        <f>INDEX(LINEST(LN(AV41:BA41),LN(AV40:BA40),TRUE,TRUE),3,1)</f>
        <v>0.65569172637069217</v>
      </c>
      <c r="AM41" s="56">
        <f>INDEX(LINEST(LN(AV41:BA41),LN(AV40:BA40)),1)</f>
        <v>-2.9136088762513113E-2</v>
      </c>
      <c r="AN41" s="56">
        <f>EXP(INDEX(LINEST(LN(AV41:BA41),LN(AV40:BA40)),1,2))</f>
        <v>0.89126957514308724</v>
      </c>
      <c r="AO41" s="82">
        <f>INDEX(LINEST((AV41:BA41),LN(AV40:BA40),TRUE,TRUE),3,1)</f>
        <v>0.67602543578315655</v>
      </c>
      <c r="AP41" s="82">
        <f>INDEX(LINEST((AV41:BA41),LN(AV40:BA40)),1)</f>
        <v>-2.6243391862041734E-2</v>
      </c>
      <c r="AQ41" s="83">
        <f>INDEX(LINEST(LN(AV41:BA41),SQRT(AV40:BA40),TRUE,TRUE),3,1)</f>
        <v>0.77657000303296253</v>
      </c>
      <c r="AR41" s="116">
        <f>INDEX(LINEST(LN(AV41:BA41),SQRT((AV40:BA40))),1)</f>
        <v>-6.1116051264878291E-2</v>
      </c>
      <c r="AS41" s="84">
        <f>INDEX(LINEST(1/(AV41:BA41),1/(SQRT(AV40:BA40)),TRUE,TRUE),3,1)</f>
        <v>0.49164869325441068</v>
      </c>
      <c r="AT41" s="84">
        <f>INDEX(LINEST(1/(AV41:BA41),1/SQRT(AV40:BA40)),1)</f>
        <v>-2.037249213837131E-2</v>
      </c>
      <c r="AU41" s="3"/>
      <c r="AV41" s="53">
        <v>1</v>
      </c>
      <c r="AW41" s="53">
        <v>0.96</v>
      </c>
      <c r="AX41" s="53">
        <v>0.83</v>
      </c>
      <c r="AY41" s="53">
        <v>0.84</v>
      </c>
      <c r="AZ41" s="53">
        <v>0.77</v>
      </c>
      <c r="BA41" s="53">
        <v>0.82</v>
      </c>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1"/>
      <c r="CS41" s="1"/>
      <c r="CT41" s="1"/>
      <c r="CU41" s="1"/>
    </row>
    <row r="42" spans="1:99" s="13" customFormat="1" ht="12" customHeight="1" x14ac:dyDescent="0.2">
      <c r="A42" s="65">
        <v>43509</v>
      </c>
      <c r="B42" s="1"/>
      <c r="C42" s="1"/>
      <c r="D42" s="60"/>
      <c r="E42" s="76"/>
      <c r="F42" s="60"/>
      <c r="G42" s="60"/>
      <c r="H42" s="60"/>
      <c r="I42" s="60"/>
      <c r="J42" s="60"/>
      <c r="K42" s="64"/>
      <c r="L42" s="64"/>
      <c r="M42" s="60"/>
      <c r="N42" s="60"/>
      <c r="O42" s="60"/>
      <c r="P42" s="60"/>
      <c r="Q42" s="60"/>
      <c r="R42" s="60"/>
      <c r="S42" s="60"/>
      <c r="T42" s="60"/>
      <c r="U42" s="60"/>
      <c r="V42" s="59"/>
      <c r="W42" s="60"/>
      <c r="X42" s="60"/>
      <c r="Y42" s="76"/>
      <c r="Z42" s="60"/>
      <c r="AA42" s="60"/>
      <c r="AB42" s="60"/>
      <c r="AC42" s="60"/>
      <c r="AD42" s="60"/>
      <c r="AE42" s="60"/>
      <c r="AF42" s="80"/>
      <c r="AG42" s="56"/>
      <c r="AH42" s="4"/>
      <c r="AI42" s="56"/>
      <c r="AJ42" s="109"/>
      <c r="AK42" s="56"/>
      <c r="AL42" s="56"/>
      <c r="AM42" s="56"/>
      <c r="AN42" s="56"/>
      <c r="AO42" s="82"/>
      <c r="AP42" s="82"/>
      <c r="AQ42" s="56"/>
      <c r="AR42" s="109"/>
      <c r="AS42" s="56"/>
      <c r="AT42" s="56"/>
      <c r="AU42" s="3"/>
      <c r="AV42" s="53">
        <v>0.01</v>
      </c>
      <c r="AW42" s="25">
        <v>3</v>
      </c>
      <c r="AX42" s="25">
        <v>6</v>
      </c>
      <c r="AY42" s="25">
        <v>9</v>
      </c>
      <c r="AZ42" s="25">
        <v>12</v>
      </c>
      <c r="BA42" s="25">
        <v>18</v>
      </c>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1"/>
      <c r="CS42" s="1"/>
      <c r="CT42" s="1"/>
      <c r="CU42" s="1"/>
    </row>
    <row r="43" spans="1:99" s="13" customFormat="1" ht="12" customHeight="1" x14ac:dyDescent="0.2">
      <c r="A43" s="65">
        <v>43509</v>
      </c>
      <c r="B43" s="1" t="s">
        <v>248</v>
      </c>
      <c r="C43" s="1" t="s">
        <v>19</v>
      </c>
      <c r="D43" s="60">
        <v>1961</v>
      </c>
      <c r="E43" s="76">
        <v>2</v>
      </c>
      <c r="F43" s="60">
        <v>24</v>
      </c>
      <c r="G43" s="60">
        <v>24</v>
      </c>
      <c r="H43" s="60" t="s">
        <v>30</v>
      </c>
      <c r="I43" s="60">
        <v>6</v>
      </c>
      <c r="J43" s="60" t="s">
        <v>16</v>
      </c>
      <c r="K43" s="60">
        <f>IF(J43="syllables",1,IF(J43="trigrams",2,IF(J43="strings",3,IF(J43="visual array",4,IF(J43="characters",5,IF(J43="letters",6,IF(J43="free forms",7,IF(J43="odors",8,IF(J43="words",9,IF(J43="pictures",10,IF(J43="object pictures",11,IF(J43="faces",12,IF(J43="names",13,IF(J43="idioms",14,IF(J43="grades",15,IF(J43="syllable-digit pairs",16,IF(J43="trigram-word pairs",17,IF(J43="word-digit pairs",18,IF(J43="English-Swahili pairs",19,IF(J43="spatial position",20,IF(J43="word pairs",21,IF(J43="word triads",22,IF(J43="generated words",23,IF(J43="word definition pairs",24,IF(J43="math problems",25,IF(J43="famous faces",26,IF(J43="famous names",27,IF(J43="famous voices",28,IF(J43="television programs",29,IF(J43="race horses",30,IF(J43="new vocabulary",31,IF(J43="sentences",32,IF(J43="concepts",33,IF(J43="ad slides",34,IF(J43="scenes",35,IF(J43="famous scenes",36,IF(J43="poems",37,IF(J43="walk",38,IF(J43="faces and events",39,IF(J43="events and names",40,IF(J43="flashbulb",41,IF(J43="stories",42,IF(J43="course material",43,IF(J43="autobiographical",44,IF(J43="novels",45,IF(J43="public events",46,"99"))))))))))))))))))))))))))))))))))))))))))))))</f>
        <v>9</v>
      </c>
      <c r="L43" s="60">
        <f>IF(J43="syllables",1,IF(J43="trigrams",1,IF(J43="strings",1,IF(J43="visual array",1,IF(J43="characters",1,IF(J43="letters",1,IF(J43="free forms",1,IF(J43="odors",2,IF(J43="words",2,IF(J43="pictures",2,IF(J43="object pictures",2,IF(J43="faces",2,IF(J43="names",2,IF(J43="idioms","2",IF(J43="grades",2,IF(J43="syllable-digit pairs",3,IF(J43="trigram-word pairs",3,IF(J43="word-digit pairs",3,IF(J43="English-Swahili pairs",3,IF(J43="spatial position",3,IF(J43="word pairs",4,IF(J43="word triads",4,IF(J43="generated words",4,IF(J43="word definition pairs",4,IF(J43="math problems",4,IF(J43="famous faces",4,IF(J43="famous names",4,IF(J43="famous voices",4,IF(J43="television programs",4,IF(J43="race horses",4,IF(J43="new vocabulary",4,IF(J43="sentences",5,IF(J43="concepts",5,IF(J43="ad slides",5,IF(J43="scenes",5,IF(J43="famous scenes",5,IF(J43="poems",6,IF(J43="walk",6,IF(J43="faces and events",6,IF(J43="events and names",6,IF(J43="flashbulb",7,IF(J43="stories",7,IF(J43="course material",7,IF(J43="autobiographical",7,IF(J43="novels",7,IF(J43="public events",7,"99"))))))))))))))))))))))))))))))))))))))))))))))</f>
        <v>2</v>
      </c>
      <c r="M43" s="60">
        <v>0</v>
      </c>
      <c r="N43" s="60">
        <v>1</v>
      </c>
      <c r="O43" s="60">
        <v>1</v>
      </c>
      <c r="P43" s="60" t="s">
        <v>27</v>
      </c>
      <c r="Q43" s="60" t="s">
        <v>174</v>
      </c>
      <c r="R43" s="60">
        <f>IF(Q43="Free Recall",1,IF(Q43="Cued Recall",2,IF(Q43="Recognition",3,IF(Q43="Multiple Choice",4,IF(Q43="Savings",5,IF(Q43="Stem Completion",6,IF(Q43="Fragment Completion",7,IF(Q43="anagram solution",8,IF(Q43="Matching",9,IF(Q43="Problem Solving",10,"99"))))))))))</f>
        <v>1</v>
      </c>
      <c r="S43" s="60" t="s">
        <v>49</v>
      </c>
      <c r="T43" s="59" t="s">
        <v>581</v>
      </c>
      <c r="U43" s="60">
        <f>IF(T43="within",1,0)</f>
        <v>1</v>
      </c>
      <c r="V43" s="59">
        <v>48</v>
      </c>
      <c r="W43" s="60">
        <f>F43*V43</f>
        <v>1152</v>
      </c>
      <c r="X43" s="60">
        <v>6</v>
      </c>
      <c r="Y43" s="76">
        <f>AV42</f>
        <v>0.01</v>
      </c>
      <c r="Z43" s="60" t="s">
        <v>28</v>
      </c>
      <c r="AA43" s="60">
        <v>18</v>
      </c>
      <c r="AB43" s="60" t="str">
        <f>IF(AA43&lt;60,"1",IF(AA43&lt;=43200,"2",IF(AA43&lt;=777600,"3","4")))</f>
        <v>1</v>
      </c>
      <c r="AC43" s="56">
        <f>AVERAGE(AV42:DA42)</f>
        <v>8.0016666666666669</v>
      </c>
      <c r="AD43" s="60" t="str">
        <f>IF(AC43&lt;60,"1",IF(AC43&lt;=43200,"2",IF(AC43&lt;=777600,"3","4")))</f>
        <v>1</v>
      </c>
      <c r="AE43" s="76">
        <f>AA43-Y43</f>
        <v>17.989999999999998</v>
      </c>
      <c r="AF43" s="80">
        <f>AV43</f>
        <v>0.99</v>
      </c>
      <c r="AG43" s="56">
        <f>((AW43-AV43)+(AX43-AW43)+(AY43-AX43)+(AZ43-AY43)+(BA43-AZ43))/5</f>
        <v>-3.7999999999999992E-2</v>
      </c>
      <c r="AH43" s="4"/>
      <c r="AI43" s="56">
        <f>RSQ(AV43:BA43,AV42:BA42)</f>
        <v>0.9455099379002857</v>
      </c>
      <c r="AJ43" s="109">
        <f>SLOPE(AV43:BA43,AV42:BA42)</f>
        <v>-1.0431515110117588E-2</v>
      </c>
      <c r="AK43" s="56">
        <f>INTERCEPT(AV43:BA43,AV42:BA42)</f>
        <v>0.96846950673945742</v>
      </c>
      <c r="AL43" s="56">
        <f>INDEX(LINEST(LN(AV43:BA43),LN(AV42:BA42),TRUE,TRUE),3,1)</f>
        <v>0.72609155848457119</v>
      </c>
      <c r="AM43" s="56">
        <f>INDEX(LINEST(LN(AV43:BA43),LN(AV42:BA42)),1)</f>
        <v>-2.3713541347856918E-2</v>
      </c>
      <c r="AN43" s="56">
        <f>EXP(INDEX(LINEST(LN(AV43:BA43),LN(AV42:BA42)),1,2))</f>
        <v>0.90342536936362472</v>
      </c>
      <c r="AO43" s="82">
        <f>INDEX(LINEST((AV43:BA43),LN(AV42:BA42),TRUE,TRUE),3,1)</f>
        <v>0.75216027583992651</v>
      </c>
      <c r="AP43" s="82">
        <f>INDEX(LINEST((AV43:BA43),LN(AV42:BA42)),1)</f>
        <v>-2.1509098843583496E-2</v>
      </c>
      <c r="AQ43" s="83">
        <f>INDEX(LINEST(LN(AV43:BA43),SQRT(AV42:BA42),TRUE,TRUE),3,1)</f>
        <v>0.97652755282777548</v>
      </c>
      <c r="AR43" s="116">
        <f>INDEX(LINEST(LN(AV43:BA43),SQRT((AV42:BA42))),1)</f>
        <v>-5.3006185743624853E-2</v>
      </c>
      <c r="AS43" s="84">
        <f>INDEX(LINEST(1/(AV43:BA43),1/(SQRT(AV42:BA42)),TRUE,TRUE),3,1)</f>
        <v>0.51871042866903727</v>
      </c>
      <c r="AT43" s="84">
        <f>INDEX(LINEST(1/(AV43:BA43),1/SQRT(AV42:BA42)),1)</f>
        <v>-1.6088095117661797E-2</v>
      </c>
      <c r="AU43" s="3"/>
      <c r="AV43" s="53">
        <v>0.99</v>
      </c>
      <c r="AW43" s="53">
        <v>0.93</v>
      </c>
      <c r="AX43" s="53">
        <v>0.9</v>
      </c>
      <c r="AY43" s="53">
        <v>0.86</v>
      </c>
      <c r="AZ43" s="53">
        <v>0.83</v>
      </c>
      <c r="BA43" s="53">
        <v>0.8</v>
      </c>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1"/>
      <c r="CS43" s="1"/>
      <c r="CT43" s="1"/>
      <c r="CU43" s="1"/>
    </row>
    <row r="44" spans="1:99" s="13" customFormat="1" ht="12" customHeight="1" x14ac:dyDescent="0.2">
      <c r="A44" s="65">
        <v>43509</v>
      </c>
      <c r="B44" s="1"/>
      <c r="C44" s="1"/>
      <c r="D44" s="60"/>
      <c r="E44" s="76"/>
      <c r="F44" s="60"/>
      <c r="G44" s="60"/>
      <c r="H44" s="60"/>
      <c r="I44" s="60"/>
      <c r="J44" s="60"/>
      <c r="K44" s="64"/>
      <c r="L44" s="64"/>
      <c r="M44" s="60"/>
      <c r="N44" s="60"/>
      <c r="O44" s="60"/>
      <c r="P44" s="60"/>
      <c r="Q44" s="60"/>
      <c r="R44" s="60"/>
      <c r="S44" s="60"/>
      <c r="T44" s="60"/>
      <c r="U44" s="60"/>
      <c r="V44" s="60"/>
      <c r="W44" s="60"/>
      <c r="X44" s="60"/>
      <c r="Y44" s="76"/>
      <c r="Z44" s="60"/>
      <c r="AA44" s="60"/>
      <c r="AB44" s="60"/>
      <c r="AC44" s="60"/>
      <c r="AD44" s="60"/>
      <c r="AE44" s="60"/>
      <c r="AF44" s="80"/>
      <c r="AG44" s="56"/>
      <c r="AH44" s="4"/>
      <c r="AI44" s="56"/>
      <c r="AJ44" s="109"/>
      <c r="AK44" s="56"/>
      <c r="AL44" s="56"/>
      <c r="AM44" s="56"/>
      <c r="AN44" s="56"/>
      <c r="AO44" s="82"/>
      <c r="AP44" s="82"/>
      <c r="AQ44" s="56"/>
      <c r="AR44" s="109"/>
      <c r="AS44" s="56"/>
      <c r="AT44" s="56"/>
      <c r="AU44" s="3"/>
      <c r="AV44" s="53">
        <v>0.01</v>
      </c>
      <c r="AW44" s="25">
        <v>3</v>
      </c>
      <c r="AX44" s="25">
        <v>6</v>
      </c>
      <c r="AY44" s="25">
        <v>9</v>
      </c>
      <c r="AZ44" s="25">
        <v>12</v>
      </c>
      <c r="BA44" s="25">
        <v>18</v>
      </c>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1"/>
      <c r="CS44" s="1"/>
      <c r="CT44" s="1"/>
      <c r="CU44" s="1"/>
    </row>
    <row r="45" spans="1:99" s="13" customFormat="1" ht="12" customHeight="1" x14ac:dyDescent="0.2">
      <c r="A45" s="65">
        <v>43509</v>
      </c>
      <c r="B45" s="1" t="s">
        <v>248</v>
      </c>
      <c r="C45" s="1" t="s">
        <v>19</v>
      </c>
      <c r="D45" s="60">
        <v>1961</v>
      </c>
      <c r="E45" s="76">
        <v>2</v>
      </c>
      <c r="F45" s="60">
        <v>24</v>
      </c>
      <c r="G45" s="60">
        <v>24</v>
      </c>
      <c r="H45" s="60" t="s">
        <v>30</v>
      </c>
      <c r="I45" s="60">
        <v>9</v>
      </c>
      <c r="J45" s="60" t="s">
        <v>16</v>
      </c>
      <c r="K45" s="60">
        <f>IF(J45="syllables",1,IF(J45="trigrams",2,IF(J45="strings",3,IF(J45="visual array",4,IF(J45="characters",5,IF(J45="letters",6,IF(J45="free forms",7,IF(J45="odors",8,IF(J45="words",9,IF(J45="pictures",10,IF(J45="object pictures",11,IF(J45="faces",12,IF(J45="names",13,IF(J45="idioms",14,IF(J45="grades",15,IF(J45="syllable-digit pairs",16,IF(J45="trigram-word pairs",17,IF(J45="word-digit pairs",18,IF(J45="English-Swahili pairs",19,IF(J45="spatial position",20,IF(J45="word pairs",21,IF(J45="word triads",22,IF(J45="generated words",23,IF(J45="word definition pairs",24,IF(J45="math problems",25,IF(J45="famous faces",26,IF(J45="famous names",27,IF(J45="famous voices",28,IF(J45="television programs",29,IF(J45="race horses",30,IF(J45="new vocabulary",31,IF(J45="sentences",32,IF(J45="concepts",33,IF(J45="ad slides",34,IF(J45="scenes",35,IF(J45="famous scenes",36,IF(J45="poems",37,IF(J45="walk",38,IF(J45="faces and events",39,IF(J45="events and names",40,IF(J45="flashbulb",41,IF(J45="stories",42,IF(J45="course material",43,IF(J45="autobiographical",44,IF(J45="novels",45,IF(J45="public events",46,"99"))))))))))))))))))))))))))))))))))))))))))))))</f>
        <v>9</v>
      </c>
      <c r="L45" s="60">
        <f>IF(J45="syllables",1,IF(J45="trigrams",1,IF(J45="strings",1,IF(J45="visual array",1,IF(J45="characters",1,IF(J45="letters",1,IF(J45="free forms",1,IF(J45="odors",2,IF(J45="words",2,IF(J45="pictures",2,IF(J45="object pictures",2,IF(J45="faces",2,IF(J45="names",2,IF(J45="idioms","2",IF(J45="grades",2,IF(J45="syllable-digit pairs",3,IF(J45="trigram-word pairs",3,IF(J45="word-digit pairs",3,IF(J45="English-Swahili pairs",3,IF(J45="spatial position",3,IF(J45="word pairs",4,IF(J45="word triads",4,IF(J45="generated words",4,IF(J45="word definition pairs",4,IF(J45="math problems",4,IF(J45="famous faces",4,IF(J45="famous names",4,IF(J45="famous voices",4,IF(J45="television programs",4,IF(J45="race horses",4,IF(J45="new vocabulary",4,IF(J45="sentences",5,IF(J45="concepts",5,IF(J45="ad slides",5,IF(J45="scenes",5,IF(J45="famous scenes",5,IF(J45="poems",6,IF(J45="walk",6,IF(J45="faces and events",6,IF(J45="events and names",6,IF(J45="flashbulb",7,IF(J45="stories",7,IF(J45="course material",7,IF(J45="autobiographical",7,IF(J45="novels",7,IF(J45="public events",7,"99"))))))))))))))))))))))))))))))))))))))))))))))</f>
        <v>2</v>
      </c>
      <c r="M45" s="60">
        <v>0</v>
      </c>
      <c r="N45" s="60">
        <v>1</v>
      </c>
      <c r="O45" s="60">
        <v>1</v>
      </c>
      <c r="P45" s="60" t="s">
        <v>27</v>
      </c>
      <c r="Q45" s="60" t="s">
        <v>174</v>
      </c>
      <c r="R45" s="60">
        <f>IF(Q45="Free Recall",1,IF(Q45="Cued Recall",2,IF(Q45="Recognition",3,IF(Q45="Multiple Choice",4,IF(Q45="Savings",5,IF(Q45="Stem Completion",6,IF(Q45="Fragment Completion",7,IF(Q45="anagram solution",8,IF(Q45="Matching",9,IF(Q45="Problem Solving",10,"99"))))))))))</f>
        <v>1</v>
      </c>
      <c r="S45" s="60" t="s">
        <v>49</v>
      </c>
      <c r="T45" s="59" t="s">
        <v>581</v>
      </c>
      <c r="U45" s="60">
        <f>IF(T45="within",1,0)</f>
        <v>1</v>
      </c>
      <c r="V45" s="59">
        <v>48</v>
      </c>
      <c r="W45" s="60">
        <f>F45*V45</f>
        <v>1152</v>
      </c>
      <c r="X45" s="60">
        <v>6</v>
      </c>
      <c r="Y45" s="76">
        <f>AV44</f>
        <v>0.01</v>
      </c>
      <c r="Z45" s="60" t="s">
        <v>28</v>
      </c>
      <c r="AA45" s="60">
        <v>18</v>
      </c>
      <c r="AB45" s="60" t="str">
        <f>IF(AA45&lt;60,"1",IF(AA45&lt;=43200,"2",IF(AA45&lt;=777600,"3","4")))</f>
        <v>1</v>
      </c>
      <c r="AC45" s="56">
        <f>AVERAGE(AV44:DA44)</f>
        <v>8.0016666666666669</v>
      </c>
      <c r="AD45" s="60" t="str">
        <f>IF(AC45&lt;60,"1",IF(AC45&lt;=43200,"2",IF(AC45&lt;=777600,"3","4")))</f>
        <v>1</v>
      </c>
      <c r="AE45" s="76">
        <f>AA45-Y45</f>
        <v>17.989999999999998</v>
      </c>
      <c r="AF45" s="80">
        <f>AV45</f>
        <v>0.99</v>
      </c>
      <c r="AG45" s="56">
        <f>((AW45-AV45)+(AX45-AW45)+(AY45-AX45)+(AZ45-AY45)+(BA45-AZ45))/5</f>
        <v>-3.2000000000000008E-2</v>
      </c>
      <c r="AH45" s="4"/>
      <c r="AI45" s="56">
        <f>RSQ(AV45:BA45,AV44:BA44)</f>
        <v>0.83247086794676295</v>
      </c>
      <c r="AJ45" s="109">
        <f>SLOPE(AV45:BA45,AV44:BA44)</f>
        <v>-9.7169233237532904E-3</v>
      </c>
      <c r="AK45" s="56">
        <f>INTERCEPT(AV45:BA45,AV44:BA44)</f>
        <v>0.96775158146223261</v>
      </c>
      <c r="AL45" s="56">
        <f>INDEX(LINEST(LN(AV45:BA45),LN(AV44:BA44),TRUE,TRUE),3,1)</f>
        <v>0.68753658735228618</v>
      </c>
      <c r="AM45" s="56">
        <f>INDEX(LINEST(LN(AV45:BA45),LN(AV44:BA44)),1)</f>
        <v>-2.2682002573009813E-2</v>
      </c>
      <c r="AN45" s="56">
        <f>EXP(INDEX(LINEST(LN(AV45:BA45),LN(AV44:BA44)),1,2))</f>
        <v>0.90768623123603798</v>
      </c>
      <c r="AO45" s="82">
        <f>INDEX(LINEST((AV45:BA45),LN(AV44:BA44),TRUE,TRUE),3,1)</f>
        <v>0.70548061064865542</v>
      </c>
      <c r="AP45" s="82">
        <f>INDEX(LINEST((AV45:BA45),LN(AV44:BA44)),1)</f>
        <v>-2.0679473187278474E-2</v>
      </c>
      <c r="AQ45" s="83">
        <f>INDEX(LINEST(LN(AV45:BA45),SQRT(AV44:BA44),TRUE,TRUE),3,1)</f>
        <v>0.90415878199580602</v>
      </c>
      <c r="AR45" s="116">
        <f>INDEX(LINEST(LN(AV45:BA45),SQRT((AV44:BA44))),1)</f>
        <v>-5.013481563145223E-2</v>
      </c>
      <c r="AS45" s="84">
        <f>INDEX(LINEST(1/(AV45:BA45),1/(SQRT(AV44:BA44)),TRUE,TRUE),3,1)</f>
        <v>0.49480045946691981</v>
      </c>
      <c r="AT45" s="84">
        <f>INDEX(LINEST(1/(AV45:BA45),1/SQRT(AV44:BA44)),1)</f>
        <v>-1.5274593152339113E-2</v>
      </c>
      <c r="AU45" s="3"/>
      <c r="AV45" s="53">
        <v>0.99</v>
      </c>
      <c r="AW45" s="53">
        <v>0.95</v>
      </c>
      <c r="AX45" s="53">
        <v>0.9</v>
      </c>
      <c r="AY45" s="53">
        <v>0.85</v>
      </c>
      <c r="AZ45" s="53">
        <v>0.82</v>
      </c>
      <c r="BA45" s="53">
        <v>0.83</v>
      </c>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1"/>
      <c r="CS45" s="1"/>
      <c r="CT45" s="1"/>
      <c r="CU45" s="1"/>
    </row>
    <row r="46" spans="1:99" s="13" customFormat="1" ht="12" customHeight="1" x14ac:dyDescent="0.2">
      <c r="A46" s="65">
        <v>43509</v>
      </c>
      <c r="B46" s="1"/>
      <c r="C46" s="1"/>
      <c r="D46" s="60"/>
      <c r="E46" s="76"/>
      <c r="F46" s="60"/>
      <c r="G46" s="60"/>
      <c r="H46" s="60"/>
      <c r="I46" s="60"/>
      <c r="J46" s="60"/>
      <c r="K46" s="64"/>
      <c r="L46" s="64"/>
      <c r="M46" s="60"/>
      <c r="N46" s="60"/>
      <c r="O46" s="60"/>
      <c r="P46" s="60"/>
      <c r="Q46" s="60"/>
      <c r="R46" s="60"/>
      <c r="S46" s="60"/>
      <c r="T46" s="60"/>
      <c r="U46" s="60"/>
      <c r="V46" s="59"/>
      <c r="W46" s="60"/>
      <c r="X46" s="60"/>
      <c r="Y46" s="76"/>
      <c r="Z46" s="60"/>
      <c r="AA46" s="60"/>
      <c r="AB46" s="60"/>
      <c r="AC46" s="60"/>
      <c r="AD46" s="60"/>
      <c r="AE46" s="60"/>
      <c r="AF46" s="80"/>
      <c r="AG46" s="56"/>
      <c r="AH46" s="4"/>
      <c r="AI46" s="56"/>
      <c r="AJ46" s="109"/>
      <c r="AK46" s="56"/>
      <c r="AL46" s="56"/>
      <c r="AM46" s="56"/>
      <c r="AN46" s="56"/>
      <c r="AO46" s="82"/>
      <c r="AP46" s="82"/>
      <c r="AQ46" s="56"/>
      <c r="AR46" s="109"/>
      <c r="AS46" s="56"/>
      <c r="AT46" s="56"/>
      <c r="AU46" s="3"/>
      <c r="AV46" s="53">
        <v>0.01</v>
      </c>
      <c r="AW46" s="25">
        <v>3</v>
      </c>
      <c r="AX46" s="25">
        <v>6</v>
      </c>
      <c r="AY46" s="25">
        <v>9</v>
      </c>
      <c r="AZ46" s="25">
        <v>12</v>
      </c>
      <c r="BA46" s="25">
        <v>18</v>
      </c>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53"/>
      <c r="CO46" s="53"/>
      <c r="CP46" s="53"/>
      <c r="CQ46" s="53"/>
      <c r="CR46" s="1"/>
      <c r="CS46" s="1"/>
      <c r="CT46" s="1"/>
      <c r="CU46" s="1"/>
    </row>
    <row r="47" spans="1:99" s="13" customFormat="1" ht="12" customHeight="1" x14ac:dyDescent="0.2">
      <c r="A47" s="65">
        <v>43509</v>
      </c>
      <c r="B47" s="1" t="s">
        <v>248</v>
      </c>
      <c r="C47" s="1" t="s">
        <v>19</v>
      </c>
      <c r="D47" s="60">
        <v>1961</v>
      </c>
      <c r="E47" s="76">
        <v>2</v>
      </c>
      <c r="F47" s="60">
        <v>24</v>
      </c>
      <c r="G47" s="60">
        <v>24</v>
      </c>
      <c r="H47" s="60" t="s">
        <v>30</v>
      </c>
      <c r="I47" s="60">
        <v>12</v>
      </c>
      <c r="J47" s="60" t="s">
        <v>16</v>
      </c>
      <c r="K47" s="60">
        <f>IF(J47="syllables",1,IF(J47="trigrams",2,IF(J47="strings",3,IF(J47="visual array",4,IF(J47="characters",5,IF(J47="letters",6,IF(J47="free forms",7,IF(J47="odors",8,IF(J47="words",9,IF(J47="pictures",10,IF(J47="object pictures",11,IF(J47="faces",12,IF(J47="names",13,IF(J47="idioms",14,IF(J47="grades",15,IF(J47="syllable-digit pairs",16,IF(J47="trigram-word pairs",17,IF(J47="word-digit pairs",18,IF(J47="English-Swahili pairs",19,IF(J47="spatial position",20,IF(J47="word pairs",21,IF(J47="word triads",22,IF(J47="generated words",23,IF(J47="word definition pairs",24,IF(J47="math problems",25,IF(J47="famous faces",26,IF(J47="famous names",27,IF(J47="famous voices",28,IF(J47="television programs",29,IF(J47="race horses",30,IF(J47="new vocabulary",31,IF(J47="sentences",32,IF(J47="concepts",33,IF(J47="ad slides",34,IF(J47="scenes",35,IF(J47="famous scenes",36,IF(J47="poems",37,IF(J47="walk",38,IF(J47="faces and events",39,IF(J47="events and names",40,IF(J47="flashbulb",41,IF(J47="stories",42,IF(J47="course material",43,IF(J47="autobiographical",44,IF(J47="novels",45,IF(J47="public events",46,"99"))))))))))))))))))))))))))))))))))))))))))))))</f>
        <v>9</v>
      </c>
      <c r="L47" s="60">
        <f>IF(J47="syllables",1,IF(J47="trigrams",1,IF(J47="strings",1,IF(J47="visual array",1,IF(J47="characters",1,IF(J47="letters",1,IF(J47="free forms",1,IF(J47="odors",2,IF(J47="words",2,IF(J47="pictures",2,IF(J47="object pictures",2,IF(J47="faces",2,IF(J47="names",2,IF(J47="idioms","2",IF(J47="grades",2,IF(J47="syllable-digit pairs",3,IF(J47="trigram-word pairs",3,IF(J47="word-digit pairs",3,IF(J47="English-Swahili pairs",3,IF(J47="spatial position",3,IF(J47="word pairs",4,IF(J47="word triads",4,IF(J47="generated words",4,IF(J47="word definition pairs",4,IF(J47="math problems",4,IF(J47="famous faces",4,IF(J47="famous names",4,IF(J47="famous voices",4,IF(J47="television programs",4,IF(J47="race horses",4,IF(J47="new vocabulary",4,IF(J47="sentences",5,IF(J47="concepts",5,IF(J47="ad slides",5,IF(J47="scenes",5,IF(J47="famous scenes",5,IF(J47="poems",6,IF(J47="walk",6,IF(J47="faces and events",6,IF(J47="events and names",6,IF(J47="flashbulb",7,IF(J47="stories",7,IF(J47="course material",7,IF(J47="autobiographical",7,IF(J47="novels",7,IF(J47="public events",7,"99"))))))))))))))))))))))))))))))))))))))))))))))</f>
        <v>2</v>
      </c>
      <c r="M47" s="60">
        <v>0</v>
      </c>
      <c r="N47" s="60">
        <v>1</v>
      </c>
      <c r="O47" s="60">
        <v>1</v>
      </c>
      <c r="P47" s="60" t="s">
        <v>27</v>
      </c>
      <c r="Q47" s="60" t="s">
        <v>174</v>
      </c>
      <c r="R47" s="60">
        <f>IF(Q47="Free Recall",1,IF(Q47="Cued Recall",2,IF(Q47="Recognition",3,IF(Q47="Multiple Choice",4,IF(Q47="Savings",5,IF(Q47="Stem Completion",6,IF(Q47="Fragment Completion",7,IF(Q47="anagram solution",8,IF(Q47="Matching",9,IF(Q47="Problem Solving",10,"99"))))))))))</f>
        <v>1</v>
      </c>
      <c r="S47" s="60" t="s">
        <v>49</v>
      </c>
      <c r="T47" s="59" t="s">
        <v>581</v>
      </c>
      <c r="U47" s="60">
        <f>IF(T47="within",1,0)</f>
        <v>1</v>
      </c>
      <c r="V47" s="59">
        <v>48</v>
      </c>
      <c r="W47" s="60">
        <f>F47*V47</f>
        <v>1152</v>
      </c>
      <c r="X47" s="60">
        <v>6</v>
      </c>
      <c r="Y47" s="76">
        <f>AV46</f>
        <v>0.01</v>
      </c>
      <c r="Z47" s="60" t="s">
        <v>28</v>
      </c>
      <c r="AA47" s="60">
        <v>18</v>
      </c>
      <c r="AB47" s="60" t="str">
        <f>IF(AA47&lt;60,"1",IF(AA47&lt;=43200,"2",IF(AA47&lt;=777600,"3","4")))</f>
        <v>1</v>
      </c>
      <c r="AC47" s="56">
        <f>AVERAGE(AV46:DA46)</f>
        <v>8.0016666666666669</v>
      </c>
      <c r="AD47" s="60" t="str">
        <f>IF(AC47&lt;60,"1",IF(AC47&lt;=43200,"2",IF(AC47&lt;=777600,"3","4")))</f>
        <v>1</v>
      </c>
      <c r="AE47" s="76">
        <f>AA47-Y47</f>
        <v>17.989999999999998</v>
      </c>
      <c r="AF47" s="80">
        <f>AV47</f>
        <v>0.97</v>
      </c>
      <c r="AG47" s="56">
        <f>((AW47-AV47)+(AX47-AW47)+(AY47-AX47)+(AZ47-AY47)+(BA47-AZ47))/5</f>
        <v>-3.0000000000000006E-2</v>
      </c>
      <c r="AH47" s="4"/>
      <c r="AI47" s="56">
        <f>RSQ(AV47:BA47,AV46:BA46)</f>
        <v>0.84148903842519551</v>
      </c>
      <c r="AJ47" s="109">
        <f>SLOPE(AV47:BA47,AV46:BA46)</f>
        <v>-8.7173526189189311E-3</v>
      </c>
      <c r="AK47" s="56">
        <f>INTERCEPT(AV47:BA47,AV46:BA46)</f>
        <v>0.96475334987238304</v>
      </c>
      <c r="AL47" s="56">
        <f>INDEX(LINEST(LN(AV47:BA47),LN(AV46:BA46),TRUE,TRUE),3,1)</f>
        <v>0.55295382844142149</v>
      </c>
      <c r="AM47" s="56">
        <f>INDEX(LINEST(LN(AV47:BA47),LN(AV46:BA46)),1)</f>
        <v>-1.8102259245743782E-2</v>
      </c>
      <c r="AN47" s="56">
        <f>EXP(INDEX(LINEST(LN(AV47:BA47),LN(AV46:BA46)),1,2))</f>
        <v>0.90918350214375854</v>
      </c>
      <c r="AO47" s="82">
        <f>INDEX(LINEST((AV47:BA47),LN(AV46:BA46),TRUE,TRUE),3,1)</f>
        <v>0.55827115916699799</v>
      </c>
      <c r="AP47" s="82">
        <f>INDEX(LINEST((AV47:BA47),LN(AV46:BA46)),1)</f>
        <v>-1.6414802228866342E-2</v>
      </c>
      <c r="AQ47" s="83">
        <f>INDEX(LINEST(LN(AV47:BA47),SQRT(AV46:BA46),TRUE,TRUE),3,1)</f>
        <v>0.83430204501052341</v>
      </c>
      <c r="AR47" s="116">
        <f>INDEX(LINEST(LN(AV47:BA47),SQRT((AV46:BA46))),1)</f>
        <v>-4.2858165843655975E-2</v>
      </c>
      <c r="AS47" s="84">
        <f>INDEX(LINEST(1/(AV47:BA47),1/(SQRT(AV46:BA46)),TRUE,TRUE),3,1)</f>
        <v>0.37145563619134525</v>
      </c>
      <c r="AT47" s="84">
        <f>INDEX(LINEST(1/(AV47:BA47),1/SQRT(AV46:BA46)),1)</f>
        <v>-1.1741968357681407E-2</v>
      </c>
      <c r="AU47" s="3"/>
      <c r="AV47" s="53">
        <v>0.97</v>
      </c>
      <c r="AW47" s="53">
        <v>0.97</v>
      </c>
      <c r="AX47" s="53">
        <v>0.87</v>
      </c>
      <c r="AY47" s="53">
        <v>0.88</v>
      </c>
      <c r="AZ47" s="53">
        <v>0.86</v>
      </c>
      <c r="BA47" s="53">
        <v>0.82</v>
      </c>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53"/>
      <c r="CO47" s="53"/>
      <c r="CP47" s="53"/>
      <c r="CQ47" s="53"/>
      <c r="CR47" s="1"/>
      <c r="CS47" s="1"/>
      <c r="CT47" s="1"/>
      <c r="CU47" s="1"/>
    </row>
    <row r="48" spans="1:99" s="13" customFormat="1" ht="12" customHeight="1" x14ac:dyDescent="0.2">
      <c r="A48" s="68">
        <v>43509</v>
      </c>
      <c r="B48" s="70"/>
      <c r="C48" s="70"/>
      <c r="D48" s="69"/>
      <c r="E48" s="87"/>
      <c r="F48" s="69"/>
      <c r="G48" s="69"/>
      <c r="H48" s="69"/>
      <c r="I48" s="69"/>
      <c r="J48" s="69"/>
      <c r="K48" s="107"/>
      <c r="L48" s="107"/>
      <c r="M48" s="69"/>
      <c r="N48" s="69"/>
      <c r="O48" s="69"/>
      <c r="P48" s="69"/>
      <c r="Q48" s="69"/>
      <c r="R48" s="69"/>
      <c r="S48" s="69"/>
      <c r="T48" s="69"/>
      <c r="U48" s="60"/>
      <c r="V48" s="69"/>
      <c r="W48" s="69"/>
      <c r="X48" s="69"/>
      <c r="Y48" s="87"/>
      <c r="Z48" s="69"/>
      <c r="AA48" s="69"/>
      <c r="AB48" s="69"/>
      <c r="AC48" s="69"/>
      <c r="AD48" s="69"/>
      <c r="AE48" s="69"/>
      <c r="AF48" s="88"/>
      <c r="AG48" s="72"/>
      <c r="AH48" s="4"/>
      <c r="AI48" s="72"/>
      <c r="AJ48" s="110"/>
      <c r="AK48" s="72"/>
      <c r="AL48" s="72"/>
      <c r="AM48" s="72"/>
      <c r="AN48" s="72"/>
      <c r="AO48" s="72"/>
      <c r="AP48" s="72"/>
      <c r="AQ48" s="72"/>
      <c r="AR48" s="110"/>
      <c r="AS48" s="72"/>
      <c r="AT48" s="72"/>
      <c r="AU48" s="4"/>
      <c r="AV48" s="71">
        <v>3</v>
      </c>
      <c r="AW48" s="71">
        <v>6</v>
      </c>
      <c r="AX48" s="71">
        <v>9</v>
      </c>
      <c r="AY48" s="71">
        <v>12</v>
      </c>
      <c r="AZ48" s="71">
        <v>15</v>
      </c>
      <c r="BA48" s="71">
        <v>18</v>
      </c>
      <c r="BB48" s="53"/>
      <c r="BC48" s="53"/>
      <c r="BD48" s="53"/>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53"/>
      <c r="CO48" s="53"/>
      <c r="CP48" s="53"/>
      <c r="CQ48" s="53"/>
      <c r="CR48" s="1"/>
      <c r="CS48" s="1"/>
      <c r="CT48" s="1"/>
      <c r="CU48" s="1"/>
    </row>
    <row r="49" spans="1:99" s="13" customFormat="1" ht="12" customHeight="1" x14ac:dyDescent="0.2">
      <c r="A49" s="68">
        <v>43509</v>
      </c>
      <c r="B49" s="70" t="s">
        <v>31</v>
      </c>
      <c r="C49" s="70" t="s">
        <v>19</v>
      </c>
      <c r="D49" s="69">
        <v>1959</v>
      </c>
      <c r="E49" s="87">
        <v>1</v>
      </c>
      <c r="F49" s="69">
        <v>24</v>
      </c>
      <c r="G49" s="69">
        <v>24</v>
      </c>
      <c r="H49" s="69" t="s">
        <v>32</v>
      </c>
      <c r="I49" s="69"/>
      <c r="J49" s="69" t="s">
        <v>443</v>
      </c>
      <c r="K49" s="69">
        <f>IF(J49="syllables",1,IF(J49="trigrams",2,IF(J49="strings",3,IF(J49="visual array",4,IF(J49="characters",5,IF(J49="letters",6,IF(J49="free forms",7,IF(J49="odors",8,IF(J49="words",9,IF(J49="pictures",10,IF(J49="object pictures",11,IF(J49="faces",12,IF(J49="names",13,IF(J49="idioms",14,IF(J49="grades",15,IF(J49="syllable-digit pairs",16,IF(J49="trigram-word pairs",17,IF(J49="word-digit pairs",18,IF(J49="English-Swahili pairs",19,IF(J49="spatial position",20,IF(J49="word pairs",21,IF(J49="word triads",22,IF(J49="generated words",23,IF(J49="word definition pairs",24,IF(J49="math problems",25,IF(J49="famous faces",26,IF(J49="famous names",27,IF(J49="famous voices",28,IF(J49="television programs",29,IF(J49="race horses",30,IF(J49="new vocabulary",31,IF(J49="sentences",32,IF(J49="concepts",33,IF(J49="ad slides",34,IF(J49="scenes",35,IF(J49="famous scenes",36,IF(J49="poems",37,IF(J49="walk",38,IF(J49="faces and events",39,IF(J49="events and names",40,IF(J49="flashbulb",41,IF(J49="stories",42,IF(J49="course material",43,IF(J49="autobiographical",44,IF(J49="novels",45,IF(J49="public events",46,"99"))))))))))))))))))))))))))))))))))))))))))))))</f>
        <v>2</v>
      </c>
      <c r="L49" s="69">
        <f>IF(J49="syllables",1,IF(J49="trigrams",1,IF(J49="strings",1,IF(J49="visual array",1,IF(J49="characters",1,IF(J49="letters",1,IF(J49="free forms",1,IF(J49="odors",2,IF(J49="words",2,IF(J49="pictures",2,IF(J49="object pictures",2,IF(J49="faces",2,IF(J49="names",2,IF(J49="idioms","2",IF(J49="grades",2,IF(J49="syllable-digit pairs",3,IF(J49="trigram-word pairs",3,IF(J49="word-digit pairs",3,IF(J49="English-Swahili pairs",3,IF(J49="spatial position",3,IF(J49="word pairs",4,IF(J49="word triads",4,IF(J49="generated words",4,IF(J49="word definition pairs",4,IF(J49="math problems",4,IF(J49="famous faces",4,IF(J49="famous names",4,IF(J49="famous voices",4,IF(J49="television programs",4,IF(J49="race horses",4,IF(J49="new vocabulary",4,IF(J49="sentences",5,IF(J49="concepts",5,IF(J49="ad slides",5,IF(J49="scenes",5,IF(J49="famous scenes",5,IF(J49="poems",6,IF(J49="walk",6,IF(J49="faces and events",6,IF(J49="events and names",6,IF(J49="flashbulb",7,IF(J49="stories",7,IF(J49="course material",7,IF(J49="autobiographical",7,IF(J49="novels",7,IF(J49="public events",7,"99"))))))))))))))))))))))))))))))))))))))))))))))</f>
        <v>1</v>
      </c>
      <c r="M49" s="69">
        <v>0</v>
      </c>
      <c r="N49" s="69">
        <v>1</v>
      </c>
      <c r="O49" s="69">
        <v>1</v>
      </c>
      <c r="P49" s="69" t="s">
        <v>27</v>
      </c>
      <c r="Q49" s="69" t="s">
        <v>174</v>
      </c>
      <c r="R49" s="69">
        <f>IF(Q49="Free Recall",1,IF(Q49="Cued Recall",2,IF(Q49="Recognition",3,IF(Q49="Multiple Choice",4,IF(Q49="Savings",5,IF(Q49="Stem Completion",6,IF(Q49="Fragment Completion",7,IF(Q49="anagram solution",8,IF(Q49="Matching",9,IF(Q49="Problem Solving",10,"99"))))))))))</f>
        <v>1</v>
      </c>
      <c r="S49" s="69" t="s">
        <v>49</v>
      </c>
      <c r="T49" s="92" t="s">
        <v>581</v>
      </c>
      <c r="U49" s="60">
        <f>IF(T49="within",1,0)</f>
        <v>1</v>
      </c>
      <c r="V49" s="92">
        <v>48</v>
      </c>
      <c r="W49" s="69">
        <f>F49*V49</f>
        <v>1152</v>
      </c>
      <c r="X49" s="69">
        <v>6</v>
      </c>
      <c r="Y49" s="87">
        <f>AV48</f>
        <v>3</v>
      </c>
      <c r="Z49" s="69" t="s">
        <v>28</v>
      </c>
      <c r="AA49" s="69">
        <v>18</v>
      </c>
      <c r="AB49" s="69" t="str">
        <f>IF(AA49&lt;60,"1",IF(AA49&lt;=43200,"2",IF(AA49&lt;=777600,"3","4")))</f>
        <v>1</v>
      </c>
      <c r="AC49" s="72">
        <f>AVERAGE(AV48:DA48)</f>
        <v>10.5</v>
      </c>
      <c r="AD49" s="69" t="str">
        <f>IF(AC49&lt;60,"1",IF(AC49&lt;=43200,"2",IF(AC49&lt;=777600,"3","4")))</f>
        <v>1</v>
      </c>
      <c r="AE49" s="87">
        <f>AA49-Y49</f>
        <v>15</v>
      </c>
      <c r="AF49" s="88">
        <f>AV49</f>
        <v>0.53</v>
      </c>
      <c r="AG49" s="72">
        <f>((AW49-AV49)+(AX49-AW49)+(AY49-AX49)+(AZ49-AY49)+(BA49-AZ49))/5</f>
        <v>-9.6000000000000002E-2</v>
      </c>
      <c r="AH49" s="4"/>
      <c r="AI49" s="72">
        <f>RSQ(AV49:BA49,AV48:BA48)</f>
        <v>0.93013824884792651</v>
      </c>
      <c r="AJ49" s="110">
        <f>SLOPE(AV49:BA49,AV48:BA48)</f>
        <v>-3.3142857142857148E-2</v>
      </c>
      <c r="AK49" s="72">
        <f>INTERCEPT(AV49:BA49,AV48:BA48)</f>
        <v>0.58800000000000008</v>
      </c>
      <c r="AL49" s="72">
        <f>INDEX(LINEST(LN(AV49:BA49),LN(AV48:BA48),TRUE,TRUE),3,1)</f>
        <v>0.89763981789080094</v>
      </c>
      <c r="AM49" s="72">
        <f>INDEX(LINEST(LN(AV49:BA49),LN(AV48:BA48)),1)</f>
        <v>-1.3114119812826739</v>
      </c>
      <c r="AN49" s="72">
        <f>EXP(INDEX(LINEST(LN(AV49:BA49),LN(AV48:BA48)),1,2))</f>
        <v>3.103392191023556</v>
      </c>
      <c r="AO49" s="89">
        <f>INDEX(LINEST((AV49:BA49),LN(AV48:BA48),TRUE,TRUE),3,1)</f>
        <v>0.97308022133274763</v>
      </c>
      <c r="AP49" s="89">
        <f>INDEX(LINEST((AV49:BA49),LN(AV48:BA48)),1)</f>
        <v>-0.28712159253779418</v>
      </c>
      <c r="AQ49" s="90">
        <f>INDEX(LINEST(LN(AV49:BA49),SQRT(AV48:BA48),TRUE,TRUE),3,1)</f>
        <v>0.95964604317589086</v>
      </c>
      <c r="AR49" s="117">
        <f>INDEX(LINEST(LN(AV49:BA49),SQRT((AV48:BA48))),1)</f>
        <v>-0.96487975635921275</v>
      </c>
      <c r="AS49" s="91">
        <f>INDEX(LINEST(1/(AV49:BA49),1/(SQRT(AV48:BA48)),TRUE,TRUE),3,1)</f>
        <v>0.58008538596257375</v>
      </c>
      <c r="AT49" s="91">
        <f>INDEX(LINEST(1/(AV49:BA49),1/SQRT(AV48:BA48)),1)</f>
        <v>-41.278336013628795</v>
      </c>
      <c r="AU49" s="3"/>
      <c r="AV49" s="73">
        <v>0.53</v>
      </c>
      <c r="AW49" s="73">
        <v>0.41</v>
      </c>
      <c r="AX49" s="73">
        <v>0.24</v>
      </c>
      <c r="AY49" s="73">
        <v>0.12</v>
      </c>
      <c r="AZ49" s="73">
        <v>0.09</v>
      </c>
      <c r="BA49" s="73">
        <v>0.05</v>
      </c>
      <c r="BB49" s="53"/>
      <c r="BC49" s="53"/>
      <c r="BD49" s="53"/>
      <c r="BE49" s="53"/>
      <c r="BF49" s="53"/>
      <c r="BG49" s="53"/>
      <c r="BH49" s="53"/>
      <c r="BI49" s="53"/>
      <c r="BJ49" s="53"/>
      <c r="BK49" s="53"/>
      <c r="BL49" s="53"/>
      <c r="BM49" s="53"/>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53"/>
      <c r="CO49" s="53"/>
      <c r="CP49" s="53"/>
      <c r="CQ49" s="53"/>
      <c r="CR49" s="1"/>
      <c r="CS49" s="1"/>
      <c r="CT49" s="1"/>
      <c r="CU49" s="1"/>
    </row>
    <row r="50" spans="1:99" s="13" customFormat="1" ht="12" customHeight="1" x14ac:dyDescent="0.2">
      <c r="A50" s="68">
        <v>43509</v>
      </c>
      <c r="B50" s="70"/>
      <c r="C50" s="70"/>
      <c r="D50" s="69"/>
      <c r="E50" s="87"/>
      <c r="F50" s="69"/>
      <c r="G50" s="69"/>
      <c r="H50" s="69"/>
      <c r="I50" s="69"/>
      <c r="J50" s="69"/>
      <c r="K50" s="107"/>
      <c r="L50" s="107"/>
      <c r="M50" s="69"/>
      <c r="N50" s="69"/>
      <c r="O50" s="69"/>
      <c r="P50" s="69"/>
      <c r="Q50" s="69"/>
      <c r="R50" s="69"/>
      <c r="S50" s="69"/>
      <c r="T50" s="69"/>
      <c r="U50" s="60"/>
      <c r="V50" s="69"/>
      <c r="W50" s="69"/>
      <c r="X50" s="69"/>
      <c r="Y50" s="87"/>
      <c r="Z50" s="69"/>
      <c r="AA50" s="69"/>
      <c r="AB50" s="69"/>
      <c r="AC50" s="69"/>
      <c r="AD50" s="69"/>
      <c r="AE50" s="69"/>
      <c r="AF50" s="88"/>
      <c r="AG50" s="72"/>
      <c r="AH50" s="4"/>
      <c r="AI50" s="72"/>
      <c r="AJ50" s="110"/>
      <c r="AK50" s="72"/>
      <c r="AL50" s="72"/>
      <c r="AM50" s="72"/>
      <c r="AN50" s="72"/>
      <c r="AO50" s="72"/>
      <c r="AP50" s="72"/>
      <c r="AQ50" s="72"/>
      <c r="AR50" s="110"/>
      <c r="AS50" s="72"/>
      <c r="AT50" s="72"/>
      <c r="AU50" s="4"/>
      <c r="AV50" s="71">
        <v>3</v>
      </c>
      <c r="AW50" s="71">
        <v>9</v>
      </c>
      <c r="AX50" s="71">
        <v>18</v>
      </c>
      <c r="AY50" s="73"/>
      <c r="AZ50" s="73"/>
      <c r="BA50" s="7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53"/>
      <c r="CO50" s="53"/>
      <c r="CP50" s="53"/>
      <c r="CQ50" s="53"/>
      <c r="CR50" s="1"/>
      <c r="CS50" s="1"/>
      <c r="CT50" s="1"/>
      <c r="CU50" s="1"/>
    </row>
    <row r="51" spans="1:99" s="13" customFormat="1" ht="12" customHeight="1" x14ac:dyDescent="0.2">
      <c r="A51" s="68">
        <v>43509</v>
      </c>
      <c r="B51" s="70" t="s">
        <v>31</v>
      </c>
      <c r="C51" s="70" t="s">
        <v>19</v>
      </c>
      <c r="D51" s="69">
        <v>1959</v>
      </c>
      <c r="E51" s="87">
        <v>2</v>
      </c>
      <c r="F51" s="69">
        <v>24</v>
      </c>
      <c r="G51" s="69">
        <v>24</v>
      </c>
      <c r="H51" s="69" t="s">
        <v>22</v>
      </c>
      <c r="I51" s="69" t="s">
        <v>748</v>
      </c>
      <c r="J51" s="69" t="s">
        <v>443</v>
      </c>
      <c r="K51" s="69">
        <f>IF(J51="syllables",1,IF(J51="trigrams",2,IF(J51="strings",3,IF(J51="visual array",4,IF(J51="characters",5,IF(J51="letters",6,IF(J51="free forms",7,IF(J51="odors",8,IF(J51="words",9,IF(J51="pictures",10,IF(J51="object pictures",11,IF(J51="faces",12,IF(J51="names",13,IF(J51="idioms",14,IF(J51="grades",15,IF(J51="syllable-digit pairs",16,IF(J51="trigram-word pairs",17,IF(J51="word-digit pairs",18,IF(J51="English-Swahili pairs",19,IF(J51="spatial position",20,IF(J51="word pairs",21,IF(J51="word triads",22,IF(J51="generated words",23,IF(J51="word definition pairs",24,IF(J51="math problems",25,IF(J51="famous faces",26,IF(J51="famous names",27,IF(J51="famous voices",28,IF(J51="television programs",29,IF(J51="race horses",30,IF(J51="new vocabulary",31,IF(J51="sentences",32,IF(J51="concepts",33,IF(J51="ad slides",34,IF(J51="scenes",35,IF(J51="famous scenes",36,IF(J51="poems",37,IF(J51="walk",38,IF(J51="faces and events",39,IF(J51="events and names",40,IF(J51="flashbulb",41,IF(J51="stories",42,IF(J51="course material",43,IF(J51="autobiographical",44,IF(J51="novels",45,IF(J51="public events",46,"99"))))))))))))))))))))))))))))))))))))))))))))))</f>
        <v>2</v>
      </c>
      <c r="L51" s="69">
        <f>IF(J51="syllables",1,IF(J51="trigrams",1,IF(J51="strings",1,IF(J51="visual array",1,IF(J51="characters",1,IF(J51="letters",1,IF(J51="free forms",1,IF(J51="odors",2,IF(J51="words",2,IF(J51="pictures",2,IF(J51="object pictures",2,IF(J51="faces",2,IF(J51="names",2,IF(J51="idioms","2",IF(J51="grades",2,IF(J51="syllable-digit pairs",3,IF(J51="trigram-word pairs",3,IF(J51="word-digit pairs",3,IF(J51="English-Swahili pairs",3,IF(J51="spatial position",3,IF(J51="word pairs",4,IF(J51="word triads",4,IF(J51="generated words",4,IF(J51="word definition pairs",4,IF(J51="math problems",4,IF(J51="famous faces",4,IF(J51="famous names",4,IF(J51="famous voices",4,IF(J51="television programs",4,IF(J51="race horses",4,IF(J51="new vocabulary",4,IF(J51="sentences",5,IF(J51="concepts",5,IF(J51="ad slides",5,IF(J51="scenes",5,IF(J51="famous scenes",5,IF(J51="poems",6,IF(J51="walk",6,IF(J51="faces and events",6,IF(J51="events and names",6,IF(J51="flashbulb",7,IF(J51="stories",7,IF(J51="course material",7,IF(J51="autobiographical",7,IF(J51="novels",7,IF(J51="public events",7,"99"))))))))))))))))))))))))))))))))))))))))))))))</f>
        <v>1</v>
      </c>
      <c r="M51" s="69">
        <v>0</v>
      </c>
      <c r="N51" s="69">
        <v>1</v>
      </c>
      <c r="O51" s="69">
        <v>1</v>
      </c>
      <c r="P51" s="69" t="s">
        <v>27</v>
      </c>
      <c r="Q51" s="69" t="s">
        <v>174</v>
      </c>
      <c r="R51" s="69">
        <f>IF(Q51="Free Recall",1,IF(Q51="Cued Recall",2,IF(Q51="Recognition",3,IF(Q51="Multiple Choice",4,IF(Q51="Savings",5,IF(Q51="Stem Completion",6,IF(Q51="Fragment Completion",7,IF(Q51="anagram solution",8,IF(Q51="Matching",9,IF(Q51="Problem Solving",10,"99"))))))))))</f>
        <v>1</v>
      </c>
      <c r="S51" s="69" t="s">
        <v>49</v>
      </c>
      <c r="T51" s="92" t="s">
        <v>581</v>
      </c>
      <c r="U51" s="60">
        <f>IF(T51="within",1,0)</f>
        <v>1</v>
      </c>
      <c r="V51" s="92">
        <v>16</v>
      </c>
      <c r="W51" s="69">
        <f>F51*V51</f>
        <v>384</v>
      </c>
      <c r="X51" s="69">
        <v>3</v>
      </c>
      <c r="Y51" s="87">
        <f>AV50</f>
        <v>3</v>
      </c>
      <c r="Z51" s="69" t="s">
        <v>28</v>
      </c>
      <c r="AA51" s="69">
        <v>18</v>
      </c>
      <c r="AB51" s="69" t="str">
        <f>IF(AA51&lt;60,"1",IF(AA51&lt;=43200,"2",IF(AA51&lt;=777600,"3","4")))</f>
        <v>1</v>
      </c>
      <c r="AC51" s="72">
        <f>AVERAGE(AV50:DA50)</f>
        <v>10</v>
      </c>
      <c r="AD51" s="69" t="str">
        <f>IF(AC51&lt;60,"1",IF(AC51&lt;=43200,"2",IF(AC51&lt;=777600,"3","4")))</f>
        <v>1</v>
      </c>
      <c r="AE51" s="87">
        <f>AA51-Y51</f>
        <v>15</v>
      </c>
      <c r="AF51" s="88">
        <f>AV51</f>
        <v>0.8</v>
      </c>
      <c r="AG51" s="72">
        <f>((AW51-AV51)+(AX51-AW51))/2</f>
        <v>-0.23</v>
      </c>
      <c r="AH51" s="4"/>
      <c r="AI51" s="72">
        <f>RSQ(AV51:AX51,AV50:AX50)</f>
        <v>0.89057175312381676</v>
      </c>
      <c r="AJ51" s="110">
        <f>SLOPE(AV51:AX51,AV50:AX50)</f>
        <v>-2.9473684210526319E-2</v>
      </c>
      <c r="AK51" s="72">
        <f>INTERCEPT(AV51:AX51,AV50:AX50)</f>
        <v>0.83473684210526322</v>
      </c>
      <c r="AL51" s="72">
        <f>INDEX(LINEST(LN(AV51:AX51),LN(AV50:AX50),TRUE,TRUE),3,1)</f>
        <v>0.99966208208366714</v>
      </c>
      <c r="AM51" s="72">
        <f>INDEX(LINEST(LN(AV51:AX51),LN(AV50:AX50)),1)</f>
        <v>-0.47641195682701493</v>
      </c>
      <c r="AN51" s="72">
        <f>EXP(INDEX(LINEST(LN(AV51:AX51),LN(AV50:AX50)),1,2))</f>
        <v>1.3549354155054387</v>
      </c>
      <c r="AO51" s="89">
        <f>INDEX(LINEST((AV51:AX51),LN(AV50:AX50),TRUE,TRUE),3,1)</f>
        <v>0.99150957885817881</v>
      </c>
      <c r="AP51" s="89">
        <f>INDEX(LINEST((AV51:AX51),LN(AV50:AX50)),1)</f>
        <v>-0.25987277180048968</v>
      </c>
      <c r="AQ51" s="90">
        <f>INDEX(LINEST(LN(AV51:AX51),SQRT(AV50:AX50),TRUE,TRUE),3,1)</f>
        <v>0.98886661263120423</v>
      </c>
      <c r="AR51" s="117">
        <f>INDEX(LINEST(LN(AV51:AX51),SQRT((AV50:AX50))),1)</f>
        <v>-0.34103334182186767</v>
      </c>
      <c r="AS51" s="91">
        <f>INDEX(LINEST(1/(AV51:AX51),1/(SQRT(AV50:AX50)),TRUE,TRUE),3,1)</f>
        <v>0.93837072843843594</v>
      </c>
      <c r="AT51" s="91">
        <f>INDEX(LINEST(1/(AV51:AX51),1/SQRT(AV50:AX50)),1)</f>
        <v>-4.6549473143271181</v>
      </c>
      <c r="AU51" s="3"/>
      <c r="AV51" s="73">
        <v>0.8</v>
      </c>
      <c r="AW51" s="73">
        <v>0.48</v>
      </c>
      <c r="AX51" s="73">
        <v>0.34</v>
      </c>
      <c r="AY51" s="102"/>
      <c r="AZ51" s="73"/>
      <c r="BA51" s="73"/>
      <c r="BB51" s="53"/>
      <c r="BC51" s="53"/>
      <c r="BD51" s="53"/>
      <c r="BE51" s="53"/>
      <c r="BF51" s="53"/>
      <c r="BG51" s="53"/>
      <c r="BH51" s="53"/>
      <c r="BI51" s="53"/>
      <c r="BJ51" s="53"/>
      <c r="BK51" s="53"/>
      <c r="BL51" s="53"/>
      <c r="BM51" s="53"/>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53"/>
      <c r="CO51" s="53"/>
      <c r="CP51" s="53"/>
      <c r="CQ51" s="53"/>
      <c r="CR51" s="1"/>
      <c r="CS51" s="1"/>
      <c r="CT51" s="1"/>
      <c r="CU51" s="1"/>
    </row>
    <row r="52" spans="1:99" s="13" customFormat="1" ht="12" customHeight="1" x14ac:dyDescent="0.2">
      <c r="A52" s="68">
        <v>43509</v>
      </c>
      <c r="B52" s="70"/>
      <c r="C52" s="70"/>
      <c r="D52" s="69"/>
      <c r="E52" s="87"/>
      <c r="F52" s="69"/>
      <c r="G52" s="69"/>
      <c r="H52" s="69"/>
      <c r="I52" s="69"/>
      <c r="J52" s="69"/>
      <c r="K52" s="107"/>
      <c r="L52" s="107"/>
      <c r="M52" s="69"/>
      <c r="N52" s="69"/>
      <c r="O52" s="69"/>
      <c r="P52" s="69"/>
      <c r="Q52" s="69"/>
      <c r="R52" s="69"/>
      <c r="S52" s="69"/>
      <c r="T52" s="69"/>
      <c r="U52" s="60"/>
      <c r="V52" s="69"/>
      <c r="W52" s="69"/>
      <c r="X52" s="69"/>
      <c r="Y52" s="87"/>
      <c r="Z52" s="69"/>
      <c r="AA52" s="69"/>
      <c r="AB52" s="69"/>
      <c r="AC52" s="69"/>
      <c r="AD52" s="69"/>
      <c r="AE52" s="69"/>
      <c r="AF52" s="88"/>
      <c r="AG52" s="72"/>
      <c r="AH52" s="4"/>
      <c r="AI52" s="72"/>
      <c r="AJ52" s="110"/>
      <c r="AK52" s="72"/>
      <c r="AL52" s="72"/>
      <c r="AM52" s="72"/>
      <c r="AN52" s="72"/>
      <c r="AO52" s="89"/>
      <c r="AP52" s="89"/>
      <c r="AQ52" s="89"/>
      <c r="AR52" s="118"/>
      <c r="AS52" s="89"/>
      <c r="AT52" s="89"/>
      <c r="AU52" s="3"/>
      <c r="AV52" s="71">
        <v>3</v>
      </c>
      <c r="AW52" s="71">
        <v>9</v>
      </c>
      <c r="AX52" s="71">
        <v>18</v>
      </c>
      <c r="AY52" s="102"/>
      <c r="AZ52" s="73"/>
      <c r="BA52" s="73"/>
      <c r="BB52" s="53"/>
      <c r="BC52" s="53"/>
      <c r="BD52" s="53"/>
      <c r="BE52" s="53"/>
      <c r="BF52" s="53"/>
      <c r="BG52" s="53"/>
      <c r="BH52" s="53"/>
      <c r="BI52" s="53"/>
      <c r="BJ52" s="53"/>
      <c r="BK52" s="53"/>
      <c r="BL52" s="53"/>
      <c r="BM52" s="53"/>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53"/>
      <c r="CO52" s="53"/>
      <c r="CP52" s="53"/>
      <c r="CQ52" s="53"/>
      <c r="CR52" s="1"/>
      <c r="CS52" s="1"/>
      <c r="CT52" s="1"/>
      <c r="CU52" s="1"/>
    </row>
    <row r="53" spans="1:99" s="13" customFormat="1" ht="12" customHeight="1" x14ac:dyDescent="0.2">
      <c r="A53" s="68">
        <v>43509</v>
      </c>
      <c r="B53" s="70" t="s">
        <v>31</v>
      </c>
      <c r="C53" s="70" t="s">
        <v>19</v>
      </c>
      <c r="D53" s="69">
        <v>1959</v>
      </c>
      <c r="E53" s="87">
        <v>2</v>
      </c>
      <c r="F53" s="69">
        <v>24</v>
      </c>
      <c r="G53" s="69">
        <v>24</v>
      </c>
      <c r="H53" s="69" t="s">
        <v>22</v>
      </c>
      <c r="I53" s="69" t="s">
        <v>749</v>
      </c>
      <c r="J53" s="69" t="s">
        <v>443</v>
      </c>
      <c r="K53" s="69">
        <f>IF(J53="syllables",1,IF(J53="trigrams",2,IF(J53="strings",3,IF(J53="visual array",4,IF(J53="characters",5,IF(J53="letters",6,IF(J53="free forms",7,IF(J53="odors",8,IF(J53="words",9,IF(J53="pictures",10,IF(J53="object pictures",11,IF(J53="faces",12,IF(J53="names",13,IF(J53="idioms",14,IF(J53="grades",15,IF(J53="syllable-digit pairs",16,IF(J53="trigram-word pairs",17,IF(J53="word-digit pairs",18,IF(J53="English-Swahili pairs",19,IF(J53="spatial position",20,IF(J53="word pairs",21,IF(J53="word triads",22,IF(J53="generated words",23,IF(J53="word definition pairs",24,IF(J53="math problems",25,IF(J53="famous faces",26,IF(J53="famous names",27,IF(J53="famous voices",28,IF(J53="television programs",29,IF(J53="race horses",30,IF(J53="new vocabulary",31,IF(J53="sentences",32,IF(J53="concepts",33,IF(J53="ad slides",34,IF(J53="scenes",35,IF(J53="famous scenes",36,IF(J53="poems",37,IF(J53="walk",38,IF(J53="faces and events",39,IF(J53="events and names",40,IF(J53="flashbulb",41,IF(J53="stories",42,IF(J53="course material",43,IF(J53="autobiographical",44,IF(J53="novels",45,IF(J53="public events",46,"99"))))))))))))))))))))))))))))))))))))))))))))))</f>
        <v>2</v>
      </c>
      <c r="L53" s="69">
        <f>IF(J53="syllables",1,IF(J53="trigrams",1,IF(J53="strings",1,IF(J53="visual array",1,IF(J53="characters",1,IF(J53="letters",1,IF(J53="free forms",1,IF(J53="odors",2,IF(J53="words",2,IF(J53="pictures",2,IF(J53="object pictures",2,IF(J53="faces",2,IF(J53="names",2,IF(J53="idioms","2",IF(J53="grades",2,IF(J53="syllable-digit pairs",3,IF(J53="trigram-word pairs",3,IF(J53="word-digit pairs",3,IF(J53="English-Swahili pairs",3,IF(J53="spatial position",3,IF(J53="word pairs",4,IF(J53="word triads",4,IF(J53="generated words",4,IF(J53="word definition pairs",4,IF(J53="math problems",4,IF(J53="famous faces",4,IF(J53="famous names",4,IF(J53="famous voices",4,IF(J53="television programs",4,IF(J53="race horses",4,IF(J53="new vocabulary",4,IF(J53="sentences",5,IF(J53="concepts",5,IF(J53="ad slides",5,IF(J53="scenes",5,IF(J53="famous scenes",5,IF(J53="poems",6,IF(J53="walk",6,IF(J53="faces and events",6,IF(J53="events and names",6,IF(J53="flashbulb",7,IF(J53="stories",7,IF(J53="course material",7,IF(J53="autobiographical",7,IF(J53="novels",7,IF(J53="public events",7,"99"))))))))))))))))))))))))))))))))))))))))))))))</f>
        <v>1</v>
      </c>
      <c r="M53" s="69">
        <v>0</v>
      </c>
      <c r="N53" s="69">
        <v>1</v>
      </c>
      <c r="O53" s="69">
        <v>1</v>
      </c>
      <c r="P53" s="69" t="s">
        <v>27</v>
      </c>
      <c r="Q53" s="69" t="s">
        <v>174</v>
      </c>
      <c r="R53" s="69">
        <f>IF(Q53="Free Recall",1,IF(Q53="Cued Recall",2,IF(Q53="Recognition",3,IF(Q53="Multiple Choice",4,IF(Q53="Savings",5,IF(Q53="Stem Completion",6,IF(Q53="Fragment Completion",7,IF(Q53="anagram solution",8,IF(Q53="Matching",9,IF(Q53="Problem Solving",10,"99"))))))))))</f>
        <v>1</v>
      </c>
      <c r="S53" s="69" t="s">
        <v>49</v>
      </c>
      <c r="T53" s="92" t="s">
        <v>581</v>
      </c>
      <c r="U53" s="60">
        <f>IF(T53="within",1,0)</f>
        <v>1</v>
      </c>
      <c r="V53" s="92">
        <v>16</v>
      </c>
      <c r="W53" s="69">
        <f>F53*V53</f>
        <v>384</v>
      </c>
      <c r="X53" s="69">
        <v>3</v>
      </c>
      <c r="Y53" s="87">
        <f>AV52</f>
        <v>3</v>
      </c>
      <c r="Z53" s="69" t="s">
        <v>28</v>
      </c>
      <c r="AA53" s="69">
        <v>18</v>
      </c>
      <c r="AB53" s="69" t="str">
        <f>IF(AA53&lt;60,"1",IF(AA53&lt;=43200,"2",IF(AA53&lt;=777600,"3","4")))</f>
        <v>1</v>
      </c>
      <c r="AC53" s="72">
        <f>AVERAGE(AV52:DA52)</f>
        <v>10</v>
      </c>
      <c r="AD53" s="69" t="str">
        <f>IF(AC53&lt;60,"1",IF(AC53&lt;=43200,"2",IF(AC53&lt;=777600,"3","4")))</f>
        <v>1</v>
      </c>
      <c r="AE53" s="87">
        <f>AA53-Y53</f>
        <v>15</v>
      </c>
      <c r="AF53" s="88">
        <f>AV53</f>
        <v>0.68</v>
      </c>
      <c r="AG53" s="72">
        <f>((AW53-AV53)+(AX53-AW53))/2</f>
        <v>-0.23500000000000004</v>
      </c>
      <c r="AH53" s="4"/>
      <c r="AI53" s="72">
        <f>RSQ(AV53:AX53,AV52:AX52)</f>
        <v>0.87096774193548399</v>
      </c>
      <c r="AJ53" s="110">
        <f>SLOPE(AV53:AX53,AV52:AX52)</f>
        <v>-3.0000000000000006E-2</v>
      </c>
      <c r="AK53" s="72">
        <f>INTERCEPT(AV53:AX53,AV52:AX52)</f>
        <v>0.71</v>
      </c>
      <c r="AL53" s="72">
        <f>INDEX(LINEST(LN(AV53:AX53),LN(AV52:AX52),TRUE,TRUE),3,1)</f>
        <v>0.99930027309590574</v>
      </c>
      <c r="AM53" s="72">
        <f>INDEX(LINEST(LN(AV53:AX53),LN(AV52:AX52)),1)</f>
        <v>-0.65351241503468982</v>
      </c>
      <c r="AN53" s="72">
        <f>EXP(INDEX(LINEST(LN(AV53:AX53),LN(AV52:AX52)),1,2))</f>
        <v>1.403844787232613</v>
      </c>
      <c r="AO53" s="89">
        <f>INDEX(LINEST((AV53:AX53),LN(AV52:AX52),TRUE,TRUE),3,1)</f>
        <v>0.98505756831423763</v>
      </c>
      <c r="AP53" s="89">
        <f>INDEX(LINEST((AV53:AX53),LN(AV52:AX52)),1)</f>
        <v>-0.2666019853133022</v>
      </c>
      <c r="AQ53" s="90">
        <f>INDEX(LINEST(LN(AV53:AX53),SQRT(AV52:AX52),TRUE,TRUE),3,1)</f>
        <v>0.99049672958102153</v>
      </c>
      <c r="AR53" s="117">
        <f>INDEX(LINEST(LN(AV53:AX53),SQRT((AV52:AX52))),1)</f>
        <v>-0.46827859116513726</v>
      </c>
      <c r="AS53" s="91">
        <f>INDEX(LINEST(1/(AV53:AX53),1/(SQRT(AV52:AX52)),TRUE,TRUE),3,1)</f>
        <v>0.91048070657290237</v>
      </c>
      <c r="AT53" s="91">
        <f>INDEX(LINEST(1/(AV53:AX53),1/SQRT(AV52:AX52)),1)</f>
        <v>-8.9401760866967752</v>
      </c>
      <c r="AU53" s="3"/>
      <c r="AV53" s="73">
        <v>0.68</v>
      </c>
      <c r="AW53" s="73">
        <v>0.34</v>
      </c>
      <c r="AX53" s="73">
        <v>0.21</v>
      </c>
      <c r="AY53" s="102"/>
      <c r="AZ53" s="73"/>
      <c r="BA53" s="7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1"/>
      <c r="CS53" s="1"/>
      <c r="CT53" s="1"/>
      <c r="CU53" s="1"/>
    </row>
    <row r="54" spans="1:99" s="13" customFormat="1" ht="12" customHeight="1" x14ac:dyDescent="0.2">
      <c r="A54" s="68">
        <v>43509</v>
      </c>
      <c r="B54" s="70"/>
      <c r="C54" s="70"/>
      <c r="D54" s="69"/>
      <c r="E54" s="87"/>
      <c r="F54" s="69"/>
      <c r="G54" s="69"/>
      <c r="H54" s="69"/>
      <c r="I54" s="69"/>
      <c r="J54" s="69"/>
      <c r="K54" s="107"/>
      <c r="L54" s="107"/>
      <c r="M54" s="69"/>
      <c r="N54" s="69"/>
      <c r="O54" s="69"/>
      <c r="P54" s="69"/>
      <c r="Q54" s="69"/>
      <c r="R54" s="69"/>
      <c r="S54" s="69"/>
      <c r="T54" s="92"/>
      <c r="U54" s="60"/>
      <c r="V54" s="92"/>
      <c r="W54" s="69"/>
      <c r="X54" s="69"/>
      <c r="Y54" s="87"/>
      <c r="Z54" s="69"/>
      <c r="AA54" s="69"/>
      <c r="AB54" s="69"/>
      <c r="AC54" s="69"/>
      <c r="AD54" s="69"/>
      <c r="AE54" s="69"/>
      <c r="AF54" s="88"/>
      <c r="AG54" s="72"/>
      <c r="AH54" s="4"/>
      <c r="AI54" s="72"/>
      <c r="AJ54" s="110"/>
      <c r="AK54" s="72"/>
      <c r="AL54" s="72"/>
      <c r="AM54" s="72"/>
      <c r="AN54" s="72"/>
      <c r="AO54" s="89"/>
      <c r="AP54" s="89"/>
      <c r="AQ54" s="89"/>
      <c r="AR54" s="118"/>
      <c r="AS54" s="89"/>
      <c r="AT54" s="89"/>
      <c r="AU54" s="3"/>
      <c r="AV54" s="71">
        <v>3</v>
      </c>
      <c r="AW54" s="71">
        <v>9</v>
      </c>
      <c r="AX54" s="71">
        <v>18</v>
      </c>
      <c r="AY54" s="102"/>
      <c r="AZ54" s="73"/>
      <c r="BA54" s="7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1"/>
      <c r="CS54" s="1"/>
      <c r="CT54" s="1"/>
      <c r="CU54" s="1"/>
    </row>
    <row r="55" spans="1:99" s="13" customFormat="1" ht="12" customHeight="1" x14ac:dyDescent="0.2">
      <c r="A55" s="68">
        <v>43509</v>
      </c>
      <c r="B55" s="70" t="s">
        <v>31</v>
      </c>
      <c r="C55" s="70" t="s">
        <v>19</v>
      </c>
      <c r="D55" s="69">
        <v>1959</v>
      </c>
      <c r="E55" s="87">
        <v>2</v>
      </c>
      <c r="F55" s="69">
        <v>24</v>
      </c>
      <c r="G55" s="69">
        <v>24</v>
      </c>
      <c r="H55" s="69" t="s">
        <v>22</v>
      </c>
      <c r="I55" s="69" t="s">
        <v>750</v>
      </c>
      <c r="J55" s="69" t="s">
        <v>443</v>
      </c>
      <c r="K55" s="69">
        <f>IF(J55="syllables",1,IF(J55="trigrams",2,IF(J55="strings",3,IF(J55="visual array",4,IF(J55="characters",5,IF(J55="letters",6,IF(J55="free forms",7,IF(J55="odors",8,IF(J55="words",9,IF(J55="pictures",10,IF(J55="object pictures",11,IF(J55="faces",12,IF(J55="names",13,IF(J55="idioms",14,IF(J55="grades",15,IF(J55="syllable-digit pairs",16,IF(J55="trigram-word pairs",17,IF(J55="word-digit pairs",18,IF(J55="English-Swahili pairs",19,IF(J55="spatial position",20,IF(J55="word pairs",21,IF(J55="word triads",22,IF(J55="generated words",23,IF(J55="word definition pairs",24,IF(J55="math problems",25,IF(J55="famous faces",26,IF(J55="famous names",27,IF(J55="famous voices",28,IF(J55="television programs",29,IF(J55="race horses",30,IF(J55="new vocabulary",31,IF(J55="sentences",32,IF(J55="concepts",33,IF(J55="ad slides",34,IF(J55="scenes",35,IF(J55="famous scenes",36,IF(J55="poems",37,IF(J55="walk",38,IF(J55="faces and events",39,IF(J55="events and names",40,IF(J55="flashbulb",41,IF(J55="stories",42,IF(J55="course material",43,IF(J55="autobiographical",44,IF(J55="novels",45,IF(J55="public events",46,"99"))))))))))))))))))))))))))))))))))))))))))))))</f>
        <v>2</v>
      </c>
      <c r="L55" s="69">
        <f>IF(J55="syllables",1,IF(J55="trigrams",1,IF(J55="strings",1,IF(J55="visual array",1,IF(J55="characters",1,IF(J55="letters",1,IF(J55="free forms",1,IF(J55="odors",2,IF(J55="words",2,IF(J55="pictures",2,IF(J55="object pictures",2,IF(J55="faces",2,IF(J55="names",2,IF(J55="idioms","2",IF(J55="grades",2,IF(J55="syllable-digit pairs",3,IF(J55="trigram-word pairs",3,IF(J55="word-digit pairs",3,IF(J55="English-Swahili pairs",3,IF(J55="spatial position",3,IF(J55="word pairs",4,IF(J55="word triads",4,IF(J55="generated words",4,IF(J55="word definition pairs",4,IF(J55="math problems",4,IF(J55="famous faces",4,IF(J55="famous names",4,IF(J55="famous voices",4,IF(J55="television programs",4,IF(J55="race horses",4,IF(J55="new vocabulary",4,IF(J55="sentences",5,IF(J55="concepts",5,IF(J55="ad slides",5,IF(J55="scenes",5,IF(J55="famous scenes",5,IF(J55="poems",6,IF(J55="walk",6,IF(J55="faces and events",6,IF(J55="events and names",6,IF(J55="flashbulb",7,IF(J55="stories",7,IF(J55="course material",7,IF(J55="autobiographical",7,IF(J55="novels",7,IF(J55="public events",7,"99"))))))))))))))))))))))))))))))))))))))))))))))</f>
        <v>1</v>
      </c>
      <c r="M55" s="69">
        <v>0</v>
      </c>
      <c r="N55" s="69">
        <v>1</v>
      </c>
      <c r="O55" s="69">
        <v>1</v>
      </c>
      <c r="P55" s="69" t="s">
        <v>27</v>
      </c>
      <c r="Q55" s="69" t="s">
        <v>174</v>
      </c>
      <c r="R55" s="69">
        <f>IF(Q55="Free Recall",1,IF(Q55="Cued Recall",2,IF(Q55="Recognition",3,IF(Q55="Multiple Choice",4,IF(Q55="Savings",5,IF(Q55="Stem Completion",6,IF(Q55="Fragment Completion",7,IF(Q55="anagram solution",8,IF(Q55="Matching",9,IF(Q55="Problem Solving",10,"99"))))))))))</f>
        <v>1</v>
      </c>
      <c r="S55" s="69" t="s">
        <v>49</v>
      </c>
      <c r="T55" s="92" t="s">
        <v>581</v>
      </c>
      <c r="U55" s="60">
        <f>IF(T55="within",1,0)</f>
        <v>1</v>
      </c>
      <c r="V55" s="92">
        <v>16</v>
      </c>
      <c r="W55" s="69">
        <f>F55*V55</f>
        <v>384</v>
      </c>
      <c r="X55" s="69">
        <v>3</v>
      </c>
      <c r="Y55" s="87">
        <f>AV54</f>
        <v>3</v>
      </c>
      <c r="Z55" s="69" t="s">
        <v>28</v>
      </c>
      <c r="AA55" s="69">
        <v>18</v>
      </c>
      <c r="AB55" s="69" t="str">
        <f>IF(AA55&lt;60,"1",IF(AA55&lt;=43200,"2",IF(AA55&lt;=777600,"3","4")))</f>
        <v>1</v>
      </c>
      <c r="AC55" s="72">
        <f>AVERAGE(AV54:DA54)</f>
        <v>10</v>
      </c>
      <c r="AD55" s="69" t="str">
        <f>IF(AC55&lt;60,"1",IF(AC55&lt;=43200,"2",IF(AC55&lt;=777600,"3","4")))</f>
        <v>1</v>
      </c>
      <c r="AE55" s="87">
        <f>AA55-Y55</f>
        <v>15</v>
      </c>
      <c r="AF55" s="88">
        <f>AV55</f>
        <v>0.6</v>
      </c>
      <c r="AG55" s="72">
        <f>((AW55-AV55)+(AX55-AW55))/2</f>
        <v>-0.22999999999999998</v>
      </c>
      <c r="AH55" s="4"/>
      <c r="AI55" s="72">
        <f>RSQ(AV55:AX55,AV54:AX54)</f>
        <v>0.84290340235337036</v>
      </c>
      <c r="AJ55" s="110">
        <f>SLOPE(AV55:AX55,AV54:AX54)</f>
        <v>-2.9210526315789472E-2</v>
      </c>
      <c r="AK55" s="72">
        <f>INTERCEPT(AV55:AX55,AV54:AX54)</f>
        <v>0.62210526315789472</v>
      </c>
      <c r="AL55" s="72">
        <f>INDEX(LINEST(LN(AV55:AX55),LN(AV54:AX54),TRUE,TRUE),3,1)</f>
        <v>0.99982691381057243</v>
      </c>
      <c r="AM55" s="72">
        <f>INDEX(LINEST(LN(AV55:AX55),LN(AV54:AX54)),1)</f>
        <v>-0.81081745451120035</v>
      </c>
      <c r="AN55" s="72">
        <f>EXP(INDEX(LINEST(LN(AV55:AX55),LN(AV54:AX54)),1,2))</f>
        <v>1.4684650859845874</v>
      </c>
      <c r="AO55" s="89">
        <f>INDEX(LINEST((AV55:AX55),LN(AV54:AX54),TRUE,TRUE),3,1)</f>
        <v>0.97377228715827391</v>
      </c>
      <c r="AP55" s="89">
        <f>INDEX(LINEST((AV55:AX55),LN(AV54:AX54)),1)</f>
        <v>-0.26235632428993372</v>
      </c>
      <c r="AQ55" s="90">
        <f>INDEX(LINEST(LN(AV55:AX55),SQRT(AV54:AX54),TRUE,TRUE),3,1)</f>
        <v>0.98774302980853201</v>
      </c>
      <c r="AR55" s="117">
        <f>INDEX(LINEST(LN(AV55:AX55),SQRT((AV54:AX54))),1)</f>
        <v>-0.5800355409202792</v>
      </c>
      <c r="AS55" s="91">
        <f>INDEX(LINEST(1/(AV55:AX55),1/(SQRT(AV54:AX54)),TRUE,TRUE),3,1)</f>
        <v>0.89643275472467565</v>
      </c>
      <c r="AT55" s="91">
        <f>INDEX(LINEST(1/(AV55:AX55),1/SQRT(AV54:AX54)),1)</f>
        <v>-14.785527559120688</v>
      </c>
      <c r="AU55" s="3"/>
      <c r="AV55" s="73">
        <v>0.6</v>
      </c>
      <c r="AW55" s="73">
        <v>0.25</v>
      </c>
      <c r="AX55" s="73">
        <v>0.14000000000000001</v>
      </c>
      <c r="AY55" s="102"/>
      <c r="AZ55" s="73"/>
      <c r="BA55" s="7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1"/>
      <c r="CS55" s="1"/>
      <c r="CT55" s="1"/>
      <c r="CU55" s="1"/>
    </row>
    <row r="56" spans="1:99" s="13" customFormat="1" ht="12" customHeight="1" x14ac:dyDescent="0.2">
      <c r="A56" s="68">
        <v>43509</v>
      </c>
      <c r="B56" s="70"/>
      <c r="C56" s="70"/>
      <c r="D56" s="69"/>
      <c r="E56" s="87"/>
      <c r="F56" s="69"/>
      <c r="G56" s="69"/>
      <c r="H56" s="69"/>
      <c r="I56" s="69"/>
      <c r="J56" s="69"/>
      <c r="K56" s="107"/>
      <c r="L56" s="107"/>
      <c r="M56" s="69"/>
      <c r="N56" s="69"/>
      <c r="O56" s="69"/>
      <c r="P56" s="69"/>
      <c r="Q56" s="69"/>
      <c r="R56" s="69"/>
      <c r="S56" s="69"/>
      <c r="T56" s="69"/>
      <c r="U56" s="60"/>
      <c r="V56" s="69"/>
      <c r="W56" s="69"/>
      <c r="X56" s="69"/>
      <c r="Y56" s="87"/>
      <c r="Z56" s="69"/>
      <c r="AA56" s="69"/>
      <c r="AB56" s="69"/>
      <c r="AC56" s="69"/>
      <c r="AD56" s="69"/>
      <c r="AE56" s="69"/>
      <c r="AF56" s="88"/>
      <c r="AG56" s="72"/>
      <c r="AH56" s="4"/>
      <c r="AI56" s="72"/>
      <c r="AJ56" s="110"/>
      <c r="AK56" s="72"/>
      <c r="AL56" s="72"/>
      <c r="AM56" s="72"/>
      <c r="AN56" s="72"/>
      <c r="AO56" s="89"/>
      <c r="AP56" s="89"/>
      <c r="AQ56" s="89"/>
      <c r="AR56" s="118"/>
      <c r="AS56" s="89"/>
      <c r="AT56" s="89"/>
      <c r="AU56" s="3"/>
      <c r="AV56" s="71">
        <v>3</v>
      </c>
      <c r="AW56" s="71">
        <v>9</v>
      </c>
      <c r="AX56" s="71">
        <v>18</v>
      </c>
      <c r="AY56" s="102"/>
      <c r="AZ56" s="73"/>
      <c r="BA56" s="7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1"/>
      <c r="CS56" s="1"/>
      <c r="CT56" s="1"/>
      <c r="CU56" s="1"/>
    </row>
    <row r="57" spans="1:99" s="13" customFormat="1" ht="12" customHeight="1" x14ac:dyDescent="0.2">
      <c r="A57" s="68">
        <v>43509</v>
      </c>
      <c r="B57" s="70" t="s">
        <v>31</v>
      </c>
      <c r="C57" s="70" t="s">
        <v>19</v>
      </c>
      <c r="D57" s="69">
        <v>1959</v>
      </c>
      <c r="E57" s="87">
        <v>2</v>
      </c>
      <c r="F57" s="69">
        <v>24</v>
      </c>
      <c r="G57" s="69">
        <v>24</v>
      </c>
      <c r="H57" s="69" t="s">
        <v>22</v>
      </c>
      <c r="I57" s="69" t="s">
        <v>751</v>
      </c>
      <c r="J57" s="69" t="s">
        <v>443</v>
      </c>
      <c r="K57" s="69">
        <f>IF(J57="syllables",1,IF(J57="trigrams",2,IF(J57="strings",3,IF(J57="visual array",4,IF(J57="characters",5,IF(J57="letters",6,IF(J57="free forms",7,IF(J57="odors",8,IF(J57="words",9,IF(J57="pictures",10,IF(J57="object pictures",11,IF(J57="faces",12,IF(J57="names",13,IF(J57="idioms",14,IF(J57="grades",15,IF(J57="syllable-digit pairs",16,IF(J57="trigram-word pairs",17,IF(J57="word-digit pairs",18,IF(J57="English-Swahili pairs",19,IF(J57="spatial position",20,IF(J57="word pairs",21,IF(J57="word triads",22,IF(J57="generated words",23,IF(J57="word definition pairs",24,IF(J57="math problems",25,IF(J57="famous faces",26,IF(J57="famous names",27,IF(J57="famous voices",28,IF(J57="television programs",29,IF(J57="race horses",30,IF(J57="new vocabulary",31,IF(J57="sentences",32,IF(J57="concepts",33,IF(J57="ad slides",34,IF(J57="scenes",35,IF(J57="famous scenes",36,IF(J57="poems",37,IF(J57="walk",38,IF(J57="faces and events",39,IF(J57="events and names",40,IF(J57="flashbulb",41,IF(J57="stories",42,IF(J57="course material",43,IF(J57="autobiographical",44,IF(J57="novels",45,IF(J57="public events",46,"99"))))))))))))))))))))))))))))))))))))))))))))))</f>
        <v>2</v>
      </c>
      <c r="L57" s="69">
        <f>IF(J57="syllables",1,IF(J57="trigrams",1,IF(J57="strings",1,IF(J57="visual array",1,IF(J57="characters",1,IF(J57="letters",1,IF(J57="free forms",1,IF(J57="odors",2,IF(J57="words",2,IF(J57="pictures",2,IF(J57="object pictures",2,IF(J57="faces",2,IF(J57="names",2,IF(J57="idioms","2",IF(J57="grades",2,IF(J57="syllable-digit pairs",3,IF(J57="trigram-word pairs",3,IF(J57="word-digit pairs",3,IF(J57="English-Swahili pairs",3,IF(J57="spatial position",3,IF(J57="word pairs",4,IF(J57="word triads",4,IF(J57="generated words",4,IF(J57="word definition pairs",4,IF(J57="math problems",4,IF(J57="famous faces",4,IF(J57="famous names",4,IF(J57="famous voices",4,IF(J57="television programs",4,IF(J57="race horses",4,IF(J57="new vocabulary",4,IF(J57="sentences",5,IF(J57="concepts",5,IF(J57="ad slides",5,IF(J57="scenes",5,IF(J57="famous scenes",5,IF(J57="poems",6,IF(J57="walk",6,IF(J57="faces and events",6,IF(J57="events and names",6,IF(J57="flashbulb",7,IF(J57="stories",7,IF(J57="course material",7,IF(J57="autobiographical",7,IF(J57="novels",7,IF(J57="public events",7,"99"))))))))))))))))))))))))))))))))))))))))))))))</f>
        <v>1</v>
      </c>
      <c r="M57" s="69">
        <v>0</v>
      </c>
      <c r="N57" s="69">
        <v>1</v>
      </c>
      <c r="O57" s="69">
        <v>1</v>
      </c>
      <c r="P57" s="69" t="s">
        <v>27</v>
      </c>
      <c r="Q57" s="69" t="s">
        <v>174</v>
      </c>
      <c r="R57" s="69">
        <f>IF(Q57="Free Recall",1,IF(Q57="Cued Recall",2,IF(Q57="Recognition",3,IF(Q57="Multiple Choice",4,IF(Q57="Savings",5,IF(Q57="Stem Completion",6,IF(Q57="Fragment Completion",7,IF(Q57="anagram solution",8,IF(Q57="Matching",9,IF(Q57="Problem Solving",10,"99"))))))))))</f>
        <v>1</v>
      </c>
      <c r="S57" s="69" t="s">
        <v>49</v>
      </c>
      <c r="T57" s="92" t="s">
        <v>581</v>
      </c>
      <c r="U57" s="60">
        <f>IF(T57="within",1,0)</f>
        <v>1</v>
      </c>
      <c r="V57" s="92">
        <v>16</v>
      </c>
      <c r="W57" s="69">
        <f>F57*V57</f>
        <v>384</v>
      </c>
      <c r="X57" s="69">
        <v>3</v>
      </c>
      <c r="Y57" s="87">
        <f>AV56</f>
        <v>3</v>
      </c>
      <c r="Z57" s="69" t="s">
        <v>28</v>
      </c>
      <c r="AA57" s="69">
        <v>18</v>
      </c>
      <c r="AB57" s="69" t="str">
        <f>IF(AA57&lt;60,"1",IF(AA57&lt;=43200,"2",IF(AA57&lt;=777600,"3","4")))</f>
        <v>1</v>
      </c>
      <c r="AC57" s="72">
        <f>AVERAGE(AV56:DA56)</f>
        <v>10</v>
      </c>
      <c r="AD57" s="69" t="str">
        <f>IF(AC57&lt;60,"1",IF(AC57&lt;=43200,"2",IF(AC57&lt;=777600,"3","4")))</f>
        <v>1</v>
      </c>
      <c r="AE57" s="87">
        <f>AA57-Y57</f>
        <v>15</v>
      </c>
      <c r="AF57" s="88">
        <f>AV57</f>
        <v>0.7</v>
      </c>
      <c r="AG57" s="72">
        <f>((AW57-AV57)+(AX57-AW57))/2</f>
        <v>-0.19999999999999998</v>
      </c>
      <c r="AH57" s="4"/>
      <c r="AI57" s="72">
        <f>RSQ(AV57:AX57,AV56:AX56)</f>
        <v>0.83191561416789506</v>
      </c>
      <c r="AJ57" s="110">
        <f>SLOPE(AV57:AX57,AV56:AX56)</f>
        <v>-2.5350877192982454E-2</v>
      </c>
      <c r="AK57" s="72">
        <f>INTERCEPT(AV57:AX57,AV56:AX56)</f>
        <v>0.71684210526315784</v>
      </c>
      <c r="AL57" s="72">
        <f>INDEX(LINEST(LN(AV57:AX57),LN(AV56:AX56),TRUE,TRUE),3,1)</f>
        <v>0.99254609410921246</v>
      </c>
      <c r="AM57" s="72">
        <f>INDEX(LINEST(LN(AV57:AX57),LN(AV56:AX56)),1)</f>
        <v>-0.47830135006197272</v>
      </c>
      <c r="AN57" s="72">
        <f>EXP(INDEX(LINEST(LN(AV57:AX57),LN(AV56:AX56)),1,2))</f>
        <v>1.1643991654303845</v>
      </c>
      <c r="AO57" s="89">
        <f>INDEX(LINEST((AV57:AX57),LN(AV56:AX56),TRUE,TRUE),3,1)</f>
        <v>0.96880342513426199</v>
      </c>
      <c r="AP57" s="89">
        <f>INDEX(LINEST((AV57:AX57),LN(AV56:AX56)),1)</f>
        <v>-0.2286038498515767</v>
      </c>
      <c r="AQ57" s="90">
        <f>INDEX(LINEST(LN(AV57:AX57),SQRT(AV56:AX56),TRUE,TRUE),3,1)</f>
        <v>0.95632448407599546</v>
      </c>
      <c r="AR57" s="117">
        <f>INDEX(LINEST(LN(AV57:AX57),SQRT((AV56:AX56))),1)</f>
        <v>-0.33790984298343807</v>
      </c>
      <c r="AS57" s="91">
        <f>INDEX(LINEST(1/(AV57:AX57),1/(SQRT(AV56:AX56)),TRUE,TRUE),3,1)</f>
        <v>0.98269455027740582</v>
      </c>
      <c r="AT57" s="91">
        <f>INDEX(LINEST(1/(AV57:AX57),1/SQRT(AV56:AX56)),1)</f>
        <v>-5.3980124686605047</v>
      </c>
      <c r="AU57" s="3"/>
      <c r="AV57" s="73">
        <v>0.7</v>
      </c>
      <c r="AW57" s="73">
        <v>0.39</v>
      </c>
      <c r="AX57" s="73">
        <v>0.3</v>
      </c>
      <c r="AY57" s="102"/>
      <c r="AZ57" s="73"/>
      <c r="BA57" s="7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1"/>
      <c r="CS57" s="1"/>
      <c r="CT57" s="1"/>
      <c r="CU57" s="1"/>
    </row>
    <row r="58" spans="1:99" s="13" customFormat="1" ht="12" customHeight="1" x14ac:dyDescent="0.2">
      <c r="A58" s="68">
        <v>43509</v>
      </c>
      <c r="B58" s="70"/>
      <c r="C58" s="70"/>
      <c r="D58" s="69"/>
      <c r="E58" s="87"/>
      <c r="F58" s="69"/>
      <c r="G58" s="69"/>
      <c r="H58" s="69"/>
      <c r="I58" s="69"/>
      <c r="J58" s="69"/>
      <c r="K58" s="107"/>
      <c r="L58" s="107"/>
      <c r="M58" s="69"/>
      <c r="N58" s="69"/>
      <c r="O58" s="69"/>
      <c r="P58" s="69"/>
      <c r="Q58" s="69"/>
      <c r="R58" s="69"/>
      <c r="S58" s="69"/>
      <c r="T58" s="69"/>
      <c r="U58" s="60"/>
      <c r="V58" s="69"/>
      <c r="W58" s="69"/>
      <c r="X58" s="69"/>
      <c r="Y58" s="87"/>
      <c r="Z58" s="69"/>
      <c r="AA58" s="69"/>
      <c r="AB58" s="69"/>
      <c r="AC58" s="69"/>
      <c r="AD58" s="69"/>
      <c r="AE58" s="69"/>
      <c r="AF58" s="88"/>
      <c r="AG58" s="72"/>
      <c r="AH58" s="4"/>
      <c r="AI58" s="72"/>
      <c r="AJ58" s="110"/>
      <c r="AK58" s="72"/>
      <c r="AL58" s="72"/>
      <c r="AM58" s="72"/>
      <c r="AN58" s="72"/>
      <c r="AO58" s="89"/>
      <c r="AP58" s="89"/>
      <c r="AQ58" s="89"/>
      <c r="AR58" s="118"/>
      <c r="AS58" s="89"/>
      <c r="AT58" s="89"/>
      <c r="AU58" s="3"/>
      <c r="AV58" s="71">
        <v>3</v>
      </c>
      <c r="AW58" s="71">
        <v>9</v>
      </c>
      <c r="AX58" s="71">
        <v>18</v>
      </c>
      <c r="AY58" s="102"/>
      <c r="AZ58" s="73"/>
      <c r="BA58" s="7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1"/>
      <c r="CS58" s="1"/>
      <c r="CT58" s="1"/>
      <c r="CU58" s="1"/>
    </row>
    <row r="59" spans="1:99" s="13" customFormat="1" ht="12" customHeight="1" x14ac:dyDescent="0.2">
      <c r="A59" s="68">
        <v>43509</v>
      </c>
      <c r="B59" s="70" t="s">
        <v>31</v>
      </c>
      <c r="C59" s="70" t="s">
        <v>19</v>
      </c>
      <c r="D59" s="69">
        <v>1959</v>
      </c>
      <c r="E59" s="87">
        <v>2</v>
      </c>
      <c r="F59" s="69">
        <v>24</v>
      </c>
      <c r="G59" s="69">
        <v>24</v>
      </c>
      <c r="H59" s="69" t="s">
        <v>22</v>
      </c>
      <c r="I59" s="69" t="s">
        <v>752</v>
      </c>
      <c r="J59" s="69" t="s">
        <v>443</v>
      </c>
      <c r="K59" s="69">
        <f>IF(J59="syllables",1,IF(J59="trigrams",2,IF(J59="strings",3,IF(J59="visual array",4,IF(J59="characters",5,IF(J59="letters",6,IF(J59="free forms",7,IF(J59="odors",8,IF(J59="words",9,IF(J59="pictures",10,IF(J59="object pictures",11,IF(J59="faces",12,IF(J59="names",13,IF(J59="idioms",14,IF(J59="grades",15,IF(J59="syllable-digit pairs",16,IF(J59="trigram-word pairs",17,IF(J59="word-digit pairs",18,IF(J59="English-Swahili pairs",19,IF(J59="spatial position",20,IF(J59="word pairs",21,IF(J59="word triads",22,IF(J59="generated words",23,IF(J59="word definition pairs",24,IF(J59="math problems",25,IF(J59="famous faces",26,IF(J59="famous names",27,IF(J59="famous voices",28,IF(J59="television programs",29,IF(J59="race horses",30,IF(J59="new vocabulary",31,IF(J59="sentences",32,IF(J59="concepts",33,IF(J59="ad slides",34,IF(J59="scenes",35,IF(J59="famous scenes",36,IF(J59="poems",37,IF(J59="walk",38,IF(J59="faces and events",39,IF(J59="events and names",40,IF(J59="flashbulb",41,IF(J59="stories",42,IF(J59="course material",43,IF(J59="autobiographical",44,IF(J59="novels",45,IF(J59="public events",46,"99"))))))))))))))))))))))))))))))))))))))))))))))</f>
        <v>2</v>
      </c>
      <c r="L59" s="69">
        <f>IF(J59="syllables",1,IF(J59="trigrams",1,IF(J59="strings",1,IF(J59="visual array",1,IF(J59="characters",1,IF(J59="letters",1,IF(J59="free forms",1,IF(J59="odors",2,IF(J59="words",2,IF(J59="pictures",2,IF(J59="object pictures",2,IF(J59="faces",2,IF(J59="names",2,IF(J59="idioms","2",IF(J59="grades",2,IF(J59="syllable-digit pairs",3,IF(J59="trigram-word pairs",3,IF(J59="word-digit pairs",3,IF(J59="English-Swahili pairs",3,IF(J59="spatial position",3,IF(J59="word pairs",4,IF(J59="word triads",4,IF(J59="generated words",4,IF(J59="word definition pairs",4,IF(J59="math problems",4,IF(J59="famous faces",4,IF(J59="famous names",4,IF(J59="famous voices",4,IF(J59="television programs",4,IF(J59="race horses",4,IF(J59="new vocabulary",4,IF(J59="sentences",5,IF(J59="concepts",5,IF(J59="ad slides",5,IF(J59="scenes",5,IF(J59="famous scenes",5,IF(J59="poems",6,IF(J59="walk",6,IF(J59="faces and events",6,IF(J59="events and names",6,IF(J59="flashbulb",7,IF(J59="stories",7,IF(J59="course material",7,IF(J59="autobiographical",7,IF(J59="novels",7,IF(J59="public events",7,"99"))))))))))))))))))))))))))))))))))))))))))))))</f>
        <v>1</v>
      </c>
      <c r="M59" s="69">
        <v>0</v>
      </c>
      <c r="N59" s="69">
        <v>1</v>
      </c>
      <c r="O59" s="69">
        <v>1</v>
      </c>
      <c r="P59" s="69" t="s">
        <v>27</v>
      </c>
      <c r="Q59" s="69" t="s">
        <v>174</v>
      </c>
      <c r="R59" s="69">
        <f>IF(Q59="Free Recall",1,IF(Q59="Cued Recall",2,IF(Q59="Recognition",3,IF(Q59="Multiple Choice",4,IF(Q59="Savings",5,IF(Q59="Stem Completion",6,IF(Q59="Fragment Completion",7,IF(Q59="anagram solution",8,IF(Q59="Matching",9,IF(Q59="Problem Solving",10,"99"))))))))))</f>
        <v>1</v>
      </c>
      <c r="S59" s="69" t="s">
        <v>49</v>
      </c>
      <c r="T59" s="92" t="s">
        <v>581</v>
      </c>
      <c r="U59" s="60">
        <f>IF(T59="within",1,0)</f>
        <v>1</v>
      </c>
      <c r="V59" s="92">
        <v>16</v>
      </c>
      <c r="W59" s="69">
        <f>F59*V59</f>
        <v>384</v>
      </c>
      <c r="X59" s="69">
        <v>3</v>
      </c>
      <c r="Y59" s="87">
        <f>AV58</f>
        <v>3</v>
      </c>
      <c r="Z59" s="69" t="s">
        <v>28</v>
      </c>
      <c r="AA59" s="69">
        <v>18</v>
      </c>
      <c r="AB59" s="69" t="str">
        <f>IF(AA59&lt;60,"1",IF(AA59&lt;=43200,"2",IF(AA59&lt;=777600,"3","4")))</f>
        <v>1</v>
      </c>
      <c r="AC59" s="72">
        <f>AVERAGE(AV58:DA58)</f>
        <v>10</v>
      </c>
      <c r="AD59" s="69" t="str">
        <f>IF(AC59&lt;60,"1",IF(AC59&lt;=43200,"2",IF(AC59&lt;=777600,"3","4")))</f>
        <v>1</v>
      </c>
      <c r="AE59" s="87">
        <f>AA59-Y59</f>
        <v>15</v>
      </c>
      <c r="AF59" s="88">
        <f>AV59</f>
        <v>0.74</v>
      </c>
      <c r="AG59" s="72">
        <f>((AW59-AV59)+(AX59-AW59))/2</f>
        <v>-0.26</v>
      </c>
      <c r="AH59" s="4"/>
      <c r="AI59" s="72">
        <f>RSQ(AV59:AX59,AV58:AX58)</f>
        <v>0.85121457489878527</v>
      </c>
      <c r="AJ59" s="110">
        <f>SLOPE(AV59:AX59,AV58:AX58)</f>
        <v>-3.3070175438596493E-2</v>
      </c>
      <c r="AK59" s="72">
        <f>INTERCEPT(AV59:AX59,AV58:AX58)</f>
        <v>0.76736842105263148</v>
      </c>
      <c r="AL59" s="72">
        <f>INDEX(LINEST(LN(AV59:AX59),LN(AV58:AX58),TRUE,TRUE),3,1)</f>
        <v>0.99997851391056913</v>
      </c>
      <c r="AM59" s="72">
        <f>INDEX(LINEST(LN(AV59:AX59),LN(AV58:AX58)),1)</f>
        <v>-0.67741107574387727</v>
      </c>
      <c r="AN59" s="72">
        <f>EXP(INDEX(LINEST(LN(AV59:AX59),LN(AV58:AX58)),1,2))</f>
        <v>1.5555830538431168</v>
      </c>
      <c r="AO59" s="89">
        <f>INDEX(LINEST((AV59:AX59),LN(AV58:AX58),TRUE,TRUE),3,1)</f>
        <v>0.97733616874174545</v>
      </c>
      <c r="AP59" s="89">
        <f>INDEX(LINEST((AV59:AX59),LN(AV58:AX58)),1)</f>
        <v>-0.29610879872829071</v>
      </c>
      <c r="AQ59" s="90">
        <f>INDEX(LINEST(LN(AV59:AX59),SQRT(AV58:AX58),TRUE,TRUE),3,1)</f>
        <v>0.98351978229656178</v>
      </c>
      <c r="AR59" s="117">
        <f>INDEX(LINEST(LN(AV59:AX59),SQRT((AV58:AX58))),1)</f>
        <v>-0.48352668758789563</v>
      </c>
      <c r="AS59" s="91">
        <f>INDEX(LINEST(1/(AV59:AX59),1/(SQRT(AV58:AX58)),TRUE,TRUE),3,1)</f>
        <v>0.92600694508381265</v>
      </c>
      <c r="AT59" s="91">
        <f>INDEX(LINEST(1/(AV59:AX59),1/SQRT(AV58:AX58)),1)</f>
        <v>-8.7380736496896247</v>
      </c>
      <c r="AU59" s="3"/>
      <c r="AV59" s="73">
        <v>0.74</v>
      </c>
      <c r="AW59" s="73">
        <v>0.35</v>
      </c>
      <c r="AX59" s="73">
        <v>0.22</v>
      </c>
      <c r="AY59" s="102"/>
      <c r="AZ59" s="73"/>
      <c r="BA59" s="7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1"/>
      <c r="CS59" s="1"/>
      <c r="CT59" s="1"/>
      <c r="CU59" s="1"/>
    </row>
    <row r="60" spans="1:99" s="13" customFormat="1" ht="12" customHeight="1" x14ac:dyDescent="0.2">
      <c r="A60" s="68">
        <v>43509</v>
      </c>
      <c r="B60" s="70"/>
      <c r="C60" s="70"/>
      <c r="D60" s="69"/>
      <c r="E60" s="87"/>
      <c r="F60" s="69"/>
      <c r="G60" s="69"/>
      <c r="H60" s="69"/>
      <c r="I60" s="69"/>
      <c r="J60" s="69"/>
      <c r="K60" s="107"/>
      <c r="L60" s="107"/>
      <c r="M60" s="69"/>
      <c r="N60" s="69"/>
      <c r="O60" s="69"/>
      <c r="P60" s="69"/>
      <c r="Q60" s="69"/>
      <c r="R60" s="69"/>
      <c r="S60" s="69"/>
      <c r="T60" s="92"/>
      <c r="U60" s="60"/>
      <c r="V60" s="92"/>
      <c r="W60" s="69"/>
      <c r="X60" s="69"/>
      <c r="Y60" s="87"/>
      <c r="Z60" s="69"/>
      <c r="AA60" s="69"/>
      <c r="AB60" s="69"/>
      <c r="AC60" s="69"/>
      <c r="AD60" s="69"/>
      <c r="AE60" s="69"/>
      <c r="AF60" s="88"/>
      <c r="AG60" s="72"/>
      <c r="AH60" s="4"/>
      <c r="AI60" s="72"/>
      <c r="AJ60" s="110"/>
      <c r="AK60" s="72"/>
      <c r="AL60" s="72"/>
      <c r="AM60" s="72"/>
      <c r="AN60" s="72"/>
      <c r="AO60" s="89"/>
      <c r="AP60" s="89"/>
      <c r="AQ60" s="89"/>
      <c r="AR60" s="118"/>
      <c r="AS60" s="89"/>
      <c r="AT60" s="89"/>
      <c r="AU60" s="3"/>
      <c r="AV60" s="71">
        <v>3</v>
      </c>
      <c r="AW60" s="71">
        <v>9</v>
      </c>
      <c r="AX60" s="71">
        <v>18</v>
      </c>
      <c r="AY60" s="102"/>
      <c r="AZ60" s="73"/>
      <c r="BA60" s="7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1"/>
      <c r="CS60" s="1"/>
      <c r="CT60" s="1"/>
      <c r="CU60" s="1"/>
    </row>
    <row r="61" spans="1:99" s="19" customFormat="1" ht="12" customHeight="1" x14ac:dyDescent="0.2">
      <c r="A61" s="68">
        <v>43509</v>
      </c>
      <c r="B61" s="100" t="s">
        <v>31</v>
      </c>
      <c r="C61" s="100" t="s">
        <v>19</v>
      </c>
      <c r="D61" s="99">
        <v>1959</v>
      </c>
      <c r="E61" s="106">
        <v>2</v>
      </c>
      <c r="F61" s="99">
        <v>24</v>
      </c>
      <c r="G61" s="99">
        <v>24</v>
      </c>
      <c r="H61" s="69" t="s">
        <v>22</v>
      </c>
      <c r="I61" s="99" t="s">
        <v>753</v>
      </c>
      <c r="J61" s="69" t="s">
        <v>443</v>
      </c>
      <c r="K61" s="69">
        <f>IF(J61="syllables",1,IF(J61="trigrams",2,IF(J61="strings",3,IF(J61="visual array",4,IF(J61="characters",5,IF(J61="letters",6,IF(J61="free forms",7,IF(J61="odors",8,IF(J61="words",9,IF(J61="pictures",10,IF(J61="object pictures",11,IF(J61="faces",12,IF(J61="names",13,IF(J61="idioms",14,IF(J61="grades",15,IF(J61="syllable-digit pairs",16,IF(J61="trigram-word pairs",17,IF(J61="word-digit pairs",18,IF(J61="English-Swahili pairs",19,IF(J61="spatial position",20,IF(J61="word pairs",21,IF(J61="word triads",22,IF(J61="generated words",23,IF(J61="word definition pairs",24,IF(J61="math problems",25,IF(J61="famous faces",26,IF(J61="famous names",27,IF(J61="famous voices",28,IF(J61="television programs",29,IF(J61="race horses",30,IF(J61="new vocabulary",31,IF(J61="sentences",32,IF(J61="concepts",33,IF(J61="ad slides",34,IF(J61="scenes",35,IF(J61="famous scenes",36,IF(J61="poems",37,IF(J61="walk",38,IF(J61="faces and events",39,IF(J61="events and names",40,IF(J61="flashbulb",41,IF(J61="stories",42,IF(J61="course material",43,IF(J61="autobiographical",44,IF(J61="novels",45,IF(J61="public events",46,"99"))))))))))))))))))))))))))))))))))))))))))))))</f>
        <v>2</v>
      </c>
      <c r="L61" s="69">
        <f>IF(J61="syllables",1,IF(J61="trigrams",1,IF(J61="strings",1,IF(J61="visual array",1,IF(J61="characters",1,IF(J61="letters",1,IF(J61="free forms",1,IF(J61="odors",2,IF(J61="words",2,IF(J61="pictures",2,IF(J61="object pictures",2,IF(J61="faces",2,IF(J61="names",2,IF(J61="idioms","2",IF(J61="grades",2,IF(J61="syllable-digit pairs",3,IF(J61="trigram-word pairs",3,IF(J61="word-digit pairs",3,IF(J61="English-Swahili pairs",3,IF(J61="spatial position",3,IF(J61="word pairs",4,IF(J61="word triads",4,IF(J61="generated words",4,IF(J61="word definition pairs",4,IF(J61="math problems",4,IF(J61="famous faces",4,IF(J61="famous names",4,IF(J61="famous voices",4,IF(J61="television programs",4,IF(J61="race horses",4,IF(J61="new vocabulary",4,IF(J61="sentences",5,IF(J61="concepts",5,IF(J61="ad slides",5,IF(J61="scenes",5,IF(J61="famous scenes",5,IF(J61="poems",6,IF(J61="walk",6,IF(J61="faces and events",6,IF(J61="events and names",6,IF(J61="flashbulb",7,IF(J61="stories",7,IF(J61="course material",7,IF(J61="autobiographical",7,IF(J61="novels",7,IF(J61="public events",7,"99"))))))))))))))))))))))))))))))))))))))))))))))</f>
        <v>1</v>
      </c>
      <c r="M61" s="99">
        <v>0</v>
      </c>
      <c r="N61" s="99">
        <v>1</v>
      </c>
      <c r="O61" s="99">
        <v>1</v>
      </c>
      <c r="P61" s="99" t="s">
        <v>27</v>
      </c>
      <c r="Q61" s="69" t="s">
        <v>174</v>
      </c>
      <c r="R61" s="69">
        <f>IF(Q61="Free Recall",1,IF(Q61="Cued Recall",2,IF(Q61="Recognition",3,IF(Q61="Multiple Choice",4,IF(Q61="Savings",5,IF(Q61="Stem Completion",6,IF(Q61="Fragment Completion",7,IF(Q61="anagram solution",8,IF(Q61="Matching",9,IF(Q61="Problem Solving",10,"99"))))))))))</f>
        <v>1</v>
      </c>
      <c r="S61" s="69" t="s">
        <v>49</v>
      </c>
      <c r="T61" s="92" t="s">
        <v>581</v>
      </c>
      <c r="U61" s="60">
        <f>IF(T61="within",1,0)</f>
        <v>1</v>
      </c>
      <c r="V61" s="92">
        <v>16</v>
      </c>
      <c r="W61" s="69">
        <f>F61*V61</f>
        <v>384</v>
      </c>
      <c r="X61" s="99">
        <v>3</v>
      </c>
      <c r="Y61" s="87">
        <f>AV60</f>
        <v>3</v>
      </c>
      <c r="Z61" s="99" t="s">
        <v>28</v>
      </c>
      <c r="AA61" s="99">
        <v>18</v>
      </c>
      <c r="AB61" s="69" t="str">
        <f>IF(AA61&lt;60,"1",IF(AA61&lt;=43200,"2",IF(AA61&lt;=777600,"3","4")))</f>
        <v>1</v>
      </c>
      <c r="AC61" s="72">
        <f>AVERAGE(AV60:DA60)</f>
        <v>10</v>
      </c>
      <c r="AD61" s="69" t="str">
        <f>IF(AC61&lt;60,"1",IF(AC61&lt;=43200,"2",IF(AC61&lt;=777600,"3","4")))</f>
        <v>1</v>
      </c>
      <c r="AE61" s="87">
        <f>AA61-Y61</f>
        <v>15</v>
      </c>
      <c r="AF61" s="88">
        <f>AV61</f>
        <v>0.72</v>
      </c>
      <c r="AG61" s="72">
        <f>((AW61-AV61)+(AX61-AW61))/2</f>
        <v>-0.28499999999999998</v>
      </c>
      <c r="AH61" s="4"/>
      <c r="AI61" s="72">
        <f>RSQ(AV61:AX61,AV60:AX60)</f>
        <v>0.94982185906598715</v>
      </c>
      <c r="AJ61" s="110">
        <f>SLOPE(AV61:AX61,AV60:AX60)</f>
        <v>-3.701754385964913E-2</v>
      </c>
      <c r="AK61" s="72">
        <f>INTERCEPT(AV61:AX61,AV60:AX60)</f>
        <v>0.78684210526315801</v>
      </c>
      <c r="AL61" s="72">
        <f>INDEX(LINEST(LN(AV61:AX61),LN(AV60:AX60),TRUE,TRUE),3,1)</f>
        <v>0.94514061428620411</v>
      </c>
      <c r="AM61" s="72">
        <f>INDEX(LINEST(LN(AV61:AX61),LN(AV60:AX60)),1)</f>
        <v>-0.84874543272433944</v>
      </c>
      <c r="AN61" s="72">
        <f>EXP(INDEX(LINEST(LN(AV61:AX61),LN(AV60:AX60)),1,2))</f>
        <v>1.9852987615921858</v>
      </c>
      <c r="AO61" s="89">
        <f>INDEX(LINEST((AV61:AX61),LN(AV60:AX60),TRUE,TRUE),3,1)</f>
        <v>0.99964077262737294</v>
      </c>
      <c r="AP61" s="89">
        <f>INDEX(LINEST((AV61:AX61),LN(AV60:AX60)),1)</f>
        <v>-0.3173371038451327</v>
      </c>
      <c r="AQ61" s="90">
        <f>INDEX(LINEST(LN(AV61:AX61),SQRT(AV60:AX60),TRUE,TRUE),3,1)</f>
        <v>0.98743678524814171</v>
      </c>
      <c r="AR61" s="117">
        <f>INDEX(LINEST(LN(AV61:AX61),SQRT((AV60:AX60))),1)</f>
        <v>-0.6243898420092886</v>
      </c>
      <c r="AS61" s="91">
        <f>INDEX(LINEST(1/(AV61:AX61),1/(SQRT(AV60:AX60)),TRUE,TRUE),3,1)</f>
        <v>0.7365683912770864</v>
      </c>
      <c r="AT61" s="91">
        <f>INDEX(LINEST(1/(AV61:AX61),1/SQRT(AV60:AX60)),1)</f>
        <v>-13.457142031048164</v>
      </c>
      <c r="AU61" s="3"/>
      <c r="AV61" s="101">
        <v>0.72</v>
      </c>
      <c r="AW61" s="101">
        <v>0.38</v>
      </c>
      <c r="AX61" s="101">
        <v>0.15</v>
      </c>
      <c r="AY61" s="157"/>
      <c r="AZ61" s="101"/>
      <c r="BA61" s="101"/>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7"/>
      <c r="CS61" s="17"/>
      <c r="CT61" s="17"/>
      <c r="CU61" s="17"/>
    </row>
    <row r="62" spans="1:99" s="19" customFormat="1" ht="12" customHeight="1" x14ac:dyDescent="0.2">
      <c r="A62" s="65">
        <v>43951</v>
      </c>
      <c r="B62" s="17"/>
      <c r="C62" s="17"/>
      <c r="D62" s="62"/>
      <c r="E62" s="78"/>
      <c r="F62" s="62"/>
      <c r="G62" s="62"/>
      <c r="H62" s="60"/>
      <c r="I62" s="62"/>
      <c r="J62" s="60"/>
      <c r="K62" s="60"/>
      <c r="L62" s="60"/>
      <c r="M62" s="62"/>
      <c r="N62" s="62"/>
      <c r="O62" s="62"/>
      <c r="P62" s="62"/>
      <c r="Q62" s="60"/>
      <c r="R62" s="60"/>
      <c r="S62" s="60"/>
      <c r="T62" s="59"/>
      <c r="U62" s="60"/>
      <c r="V62" s="59"/>
      <c r="W62" s="60"/>
      <c r="X62" s="62"/>
      <c r="Y62" s="76"/>
      <c r="Z62" s="62"/>
      <c r="AA62" s="62"/>
      <c r="AB62" s="60"/>
      <c r="AC62" s="56"/>
      <c r="AD62" s="60"/>
      <c r="AE62" s="76"/>
      <c r="AF62" s="80"/>
      <c r="AG62" s="56"/>
      <c r="AH62" s="4"/>
      <c r="AI62" s="56"/>
      <c r="AJ62" s="109"/>
      <c r="AK62" s="56"/>
      <c r="AL62" s="56"/>
      <c r="AM62" s="56"/>
      <c r="AN62" s="56"/>
      <c r="AO62" s="82"/>
      <c r="AP62" s="82"/>
      <c r="AQ62" s="83"/>
      <c r="AR62" s="116"/>
      <c r="AS62" s="84"/>
      <c r="AT62" s="84"/>
      <c r="AU62" s="3"/>
      <c r="AV62" s="18">
        <v>0.01</v>
      </c>
      <c r="AW62" s="18">
        <v>20</v>
      </c>
      <c r="AX62" s="18">
        <v>30</v>
      </c>
      <c r="AY62" s="141" t="s">
        <v>892</v>
      </c>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7"/>
      <c r="CS62" s="17"/>
      <c r="CT62" s="17"/>
      <c r="CU62" s="17"/>
    </row>
    <row r="63" spans="1:99" s="19" customFormat="1" ht="12" customHeight="1" x14ac:dyDescent="0.2">
      <c r="A63" s="65">
        <v>43951</v>
      </c>
      <c r="B63" s="17" t="s">
        <v>890</v>
      </c>
      <c r="C63" s="17" t="s">
        <v>48</v>
      </c>
      <c r="D63" s="62">
        <v>1965</v>
      </c>
      <c r="E63" s="78">
        <v>1</v>
      </c>
      <c r="F63" s="62">
        <v>18</v>
      </c>
      <c r="G63" s="62">
        <v>18</v>
      </c>
      <c r="H63" s="60" t="s">
        <v>22</v>
      </c>
      <c r="I63" s="62" t="s">
        <v>891</v>
      </c>
      <c r="J63" s="60" t="s">
        <v>16</v>
      </c>
      <c r="K63" s="60">
        <f>IF(J63="syllables",1,IF(J63="trigrams",2,IF(J63="strings",3,IF(J63="visual array",4,IF(J63="characters",5,IF(J63="letters",6,IF(J63="free forms",7,IF(J63="odors",8,IF(J63="words",9,IF(J63="pictures",10,IF(J63="object pictures",11,IF(J63="faces",12,IF(J63="names",13,IF(J63="idioms",14,IF(J63="grades",15,IF(J63="syllable-digit pairs",16,IF(J63="trigram-word pairs",17,IF(J63="word-digit pairs",18,IF(J63="English-Swahili pairs",19,IF(J63="spatial position",20,IF(J63="word pairs",21,IF(J63="word triads",22,IF(J63="generated words",23,IF(J63="word definition pairs",24,IF(J63="math problems",25,IF(J63="famous faces",26,IF(J63="famous names",27,IF(J63="famous voices",28,IF(J63="television programs",29,IF(J63="race horses",30,IF(J63="new vocabulary",31,IF(J63="sentences",32,IF(J63="concepts",33,IF(J63="ad slides",34,IF(J63="scenes",35,IF(J63="famous scenes",36,IF(J63="poems",37,IF(J63="walk",38,IF(J63="faces and events",39,IF(J63="events and names",40,IF(J63="flashbulb",41,IF(J63="stories",42,IF(J63="course material",43,IF(J63="autobiographical",44,IF(J63="novels",45,IF(J63="public events",46,"99"))))))))))))))))))))))))))))))))))))))))))))))</f>
        <v>9</v>
      </c>
      <c r="L63" s="60">
        <f>IF(J63="syllables",1,IF(J63="trigrams",1,IF(J63="strings",1,IF(J63="visual array",1,IF(J63="characters",1,IF(J63="letters",1,IF(J63="free forms",1,IF(J63="odors",2,IF(J63="words",2,IF(J63="pictures",2,IF(J63="object pictures",2,IF(J63="faces",2,IF(J63="names",2,IF(J63="idioms","2",IF(J63="grades",2,IF(J63="syllable-digit pairs",3,IF(J63="trigram-word pairs",3,IF(J63="word-digit pairs",3,IF(J63="English-Swahili pairs",3,IF(J63="spatial position",3,IF(J63="word pairs",4,IF(J63="word triads",4,IF(J63="generated words",4,IF(J63="word definition pairs",4,IF(J63="math problems",4,IF(J63="famous faces",4,IF(J63="famous names",4,IF(J63="famous voices",4,IF(J63="television programs",4,IF(J63="race horses",4,IF(J63="new vocabulary",4,IF(J63="sentences",5,IF(J63="concepts",5,IF(J63="ad slides",5,IF(J63="scenes",5,IF(J63="famous scenes",5,IF(J63="poems",6,IF(J63="walk",6,IF(J63="faces and events",6,IF(J63="events and names",6,IF(J63="flashbulb",7,IF(J63="stories",7,IF(J63="course material",7,IF(J63="autobiographical",7,IF(J63="novels",7,IF(J63="public events",7,"99"))))))))))))))))))))))))))))))))))))))))))))))</f>
        <v>2</v>
      </c>
      <c r="M63" s="62">
        <v>0</v>
      </c>
      <c r="N63" s="62">
        <v>1</v>
      </c>
      <c r="O63" s="62">
        <v>1</v>
      </c>
      <c r="P63" s="62" t="s">
        <v>27</v>
      </c>
      <c r="Q63" s="60" t="s">
        <v>174</v>
      </c>
      <c r="R63" s="60">
        <f>IF(Q63="Free Recall",1,IF(Q63="Cued Recall",2,IF(Q63="Recognition",3,IF(Q63="Multiple Choice",4,IF(Q63="Savings",5,IF(Q63="Stem Completion",6,IF(Q63="Fragment Completion",7,IF(Q63="anagram solution",8,IF(Q63="Matching",9,IF(Q63="Problem Solving",10,"99"))))))))))</f>
        <v>1</v>
      </c>
      <c r="S63" s="60" t="s">
        <v>49</v>
      </c>
      <c r="T63" s="59" t="s">
        <v>581</v>
      </c>
      <c r="U63" s="60">
        <f>IF(T63="within",1,0)</f>
        <v>1</v>
      </c>
      <c r="V63" s="59">
        <v>10</v>
      </c>
      <c r="W63" s="60">
        <f>F63*V63</f>
        <v>180</v>
      </c>
      <c r="X63" s="62">
        <v>3</v>
      </c>
      <c r="Y63" s="76">
        <f>AV62</f>
        <v>0.01</v>
      </c>
      <c r="Z63" s="62" t="s">
        <v>52</v>
      </c>
      <c r="AA63" s="62">
        <v>18</v>
      </c>
      <c r="AB63" s="60" t="str">
        <f>IF(AA63&lt;60,"1",IF(AA63&lt;=43200,"2",IF(AA63&lt;=777600,"3","4")))</f>
        <v>1</v>
      </c>
      <c r="AC63" s="56">
        <f>AVERAGE(AV62:DA62)</f>
        <v>16.670000000000002</v>
      </c>
      <c r="AD63" s="60" t="str">
        <f>IF(AC63&lt;60,"1",IF(AC63&lt;=43200,"2",IF(AC63&lt;=777600,"3","4")))</f>
        <v>1</v>
      </c>
      <c r="AE63" s="76">
        <f>AA63-Y63</f>
        <v>17.989999999999998</v>
      </c>
      <c r="AF63" s="80">
        <f>AV63</f>
        <v>0.55800000000000005</v>
      </c>
      <c r="AG63" s="56">
        <f>((AW63-AV63)+(AX63-AW63))/2</f>
        <v>-0.10150000000000003</v>
      </c>
      <c r="AH63" s="4"/>
      <c r="AI63" s="56">
        <f>RSQ(AV63:AX63,AV62:AX62)</f>
        <v>0.99197191422472675</v>
      </c>
      <c r="AJ63" s="109">
        <f>SLOPE(AV63:AX63,AV62:AX62)</f>
        <v>-6.8880976571697441E-3</v>
      </c>
      <c r="AK63" s="56">
        <f>INTERCEPT(AV63:AX63,AV62:AX62)</f>
        <v>0.55449125461168625</v>
      </c>
      <c r="AL63" s="56">
        <f>INDEX(LINEST(LN(AV63:AX63),LN(AV62:AX62),TRUE,TRUE),3,1)</f>
        <v>0.93965606005749613</v>
      </c>
      <c r="AM63" s="56">
        <f>INDEX(LINEST(LN(AV63:AX63),LN(AV62:AX62)),1)</f>
        <v>-4.992105720321207E-2</v>
      </c>
      <c r="AN63" s="56">
        <f>EXP(INDEX(LINEST(LN(AV63:AX63),LN(AV62:AX62)),1,2))</f>
        <v>0.44471137644108716</v>
      </c>
      <c r="AO63" s="82">
        <f>INDEX(LINEST((AV63:AX63),LN(AV62:AX62),TRUE,TRUE),3,1)</f>
        <v>0.96095387353420447</v>
      </c>
      <c r="AP63" s="82">
        <f>INDEX(LINEST((AV63:AX63),LN(AV62:AX62)),1)</f>
        <v>-2.295401140232364E-2</v>
      </c>
      <c r="AQ63" s="83">
        <f>INDEX(LINEST(LN(AV63:AX63),SQRT(AV62:AX62),TRUE,TRUE),3,1)</f>
        <v>0.9864988611035318</v>
      </c>
      <c r="AR63" s="116">
        <f>INDEX(LINEST(LN(AV63:AX63),SQRT((AV62:AX62))),1)</f>
        <v>-8.0690438938809436E-2</v>
      </c>
      <c r="AS63" s="84">
        <f>INDEX(LINEST(1/(AV63:AX63),1/(SQRT(AV62:AX62)),TRUE,TRUE),3,1)</f>
        <v>0.88677186579179323</v>
      </c>
      <c r="AT63" s="84">
        <f>INDEX(LINEST(1/(AV63:AX63),1/SQRT(AV62:AX62)),1)</f>
        <v>-8.6656251335134243E-2</v>
      </c>
      <c r="AU63" s="3"/>
      <c r="AV63" s="18">
        <v>0.55800000000000005</v>
      </c>
      <c r="AW63" s="18">
        <v>0.40600000000000003</v>
      </c>
      <c r="AX63" s="18">
        <v>0.35499999999999998</v>
      </c>
      <c r="AY63" s="141"/>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7"/>
      <c r="CS63" s="17"/>
      <c r="CT63" s="17"/>
      <c r="CU63" s="17"/>
    </row>
    <row r="64" spans="1:99" s="19" customFormat="1" ht="12" customHeight="1" x14ac:dyDescent="0.2">
      <c r="A64" s="65">
        <v>43951</v>
      </c>
      <c r="B64" s="17"/>
      <c r="C64" s="17"/>
      <c r="D64" s="62"/>
      <c r="E64" s="78"/>
      <c r="F64" s="62"/>
      <c r="G64" s="62"/>
      <c r="H64" s="60"/>
      <c r="I64" s="62"/>
      <c r="J64" s="60"/>
      <c r="K64" s="60"/>
      <c r="L64" s="60"/>
      <c r="M64" s="62"/>
      <c r="N64" s="62"/>
      <c r="O64" s="62"/>
      <c r="P64" s="62"/>
      <c r="Q64" s="60"/>
      <c r="R64" s="60"/>
      <c r="S64" s="60"/>
      <c r="T64" s="59"/>
      <c r="U64" s="60"/>
      <c r="V64" s="59"/>
      <c r="W64" s="60"/>
      <c r="X64" s="62"/>
      <c r="Y64" s="76"/>
      <c r="Z64" s="62"/>
      <c r="AA64" s="62"/>
      <c r="AB64" s="60"/>
      <c r="AC64" s="56"/>
      <c r="AD64" s="60"/>
      <c r="AE64" s="76"/>
      <c r="AF64" s="80"/>
      <c r="AG64" s="56"/>
      <c r="AH64" s="4"/>
      <c r="AI64" s="56"/>
      <c r="AJ64" s="109"/>
      <c r="AK64" s="56"/>
      <c r="AL64" s="56"/>
      <c r="AM64" s="56"/>
      <c r="AN64" s="56"/>
      <c r="AO64" s="82"/>
      <c r="AP64" s="82"/>
      <c r="AQ64" s="83"/>
      <c r="AR64" s="116"/>
      <c r="AS64" s="84"/>
      <c r="AT64" s="84"/>
      <c r="AU64" s="3"/>
      <c r="AV64" s="18">
        <v>0.01</v>
      </c>
      <c r="AW64" s="18">
        <v>20</v>
      </c>
      <c r="AX64" s="18">
        <v>30</v>
      </c>
      <c r="AY64" s="141"/>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c r="CP64" s="18"/>
      <c r="CQ64" s="18"/>
      <c r="CR64" s="17"/>
      <c r="CS64" s="17"/>
      <c r="CT64" s="17"/>
      <c r="CU64" s="17"/>
    </row>
    <row r="65" spans="1:99" s="19" customFormat="1" ht="12" customHeight="1" x14ac:dyDescent="0.2">
      <c r="A65" s="65">
        <v>43951</v>
      </c>
      <c r="B65" s="17" t="s">
        <v>890</v>
      </c>
      <c r="C65" s="17" t="s">
        <v>48</v>
      </c>
      <c r="D65" s="62">
        <v>1965</v>
      </c>
      <c r="E65" s="78">
        <v>1</v>
      </c>
      <c r="F65" s="62">
        <v>18</v>
      </c>
      <c r="G65" s="62">
        <v>18</v>
      </c>
      <c r="H65" s="60" t="s">
        <v>22</v>
      </c>
      <c r="I65" s="62" t="s">
        <v>893</v>
      </c>
      <c r="J65" s="60" t="s">
        <v>16</v>
      </c>
      <c r="K65" s="60">
        <f>IF(J65="syllables",1,IF(J65="trigrams",2,IF(J65="strings",3,IF(J65="visual array",4,IF(J65="characters",5,IF(J65="letters",6,IF(J65="free forms",7,IF(J65="odors",8,IF(J65="words",9,IF(J65="pictures",10,IF(J65="object pictures",11,IF(J65="faces",12,IF(J65="names",13,IF(J65="idioms",14,IF(J65="grades",15,IF(J65="syllable-digit pairs",16,IF(J65="trigram-word pairs",17,IF(J65="word-digit pairs",18,IF(J65="English-Swahili pairs",19,IF(J65="spatial position",20,IF(J65="word pairs",21,IF(J65="word triads",22,IF(J65="generated words",23,IF(J65="word definition pairs",24,IF(J65="math problems",25,IF(J65="famous faces",26,IF(J65="famous names",27,IF(J65="famous voices",28,IF(J65="television programs",29,IF(J65="race horses",30,IF(J65="new vocabulary",31,IF(J65="sentences",32,IF(J65="concepts",33,IF(J65="ad slides",34,IF(J65="scenes",35,IF(J65="famous scenes",36,IF(J65="poems",37,IF(J65="walk",38,IF(J65="faces and events",39,IF(J65="events and names",40,IF(J65="flashbulb",41,IF(J65="stories",42,IF(J65="course material",43,IF(J65="autobiographical",44,IF(J65="novels",45,IF(J65="public events",46,"99"))))))))))))))))))))))))))))))))))))))))))))))</f>
        <v>9</v>
      </c>
      <c r="L65" s="60">
        <f>IF(J65="syllables",1,IF(J65="trigrams",1,IF(J65="strings",1,IF(J65="visual array",1,IF(J65="characters",1,IF(J65="letters",1,IF(J65="free forms",1,IF(J65="odors",2,IF(J65="words",2,IF(J65="pictures",2,IF(J65="object pictures",2,IF(J65="faces",2,IF(J65="names",2,IF(J65="idioms","2",IF(J65="grades",2,IF(J65="syllable-digit pairs",3,IF(J65="trigram-word pairs",3,IF(J65="word-digit pairs",3,IF(J65="English-Swahili pairs",3,IF(J65="spatial position",3,IF(J65="word pairs",4,IF(J65="word triads",4,IF(J65="generated words",4,IF(J65="word definition pairs",4,IF(J65="math problems",4,IF(J65="famous faces",4,IF(J65="famous names",4,IF(J65="famous voices",4,IF(J65="television programs",4,IF(J65="race horses",4,IF(J65="new vocabulary",4,IF(J65="sentences",5,IF(J65="concepts",5,IF(J65="ad slides",5,IF(J65="scenes",5,IF(J65="famous scenes",5,IF(J65="poems",6,IF(J65="walk",6,IF(J65="faces and events",6,IF(J65="events and names",6,IF(J65="flashbulb",7,IF(J65="stories",7,IF(J65="course material",7,IF(J65="autobiographical",7,IF(J65="novels",7,IF(J65="public events",7,"99"))))))))))))))))))))))))))))))))))))))))))))))</f>
        <v>2</v>
      </c>
      <c r="M65" s="62">
        <v>0</v>
      </c>
      <c r="N65" s="62">
        <v>1</v>
      </c>
      <c r="O65" s="62">
        <v>1</v>
      </c>
      <c r="P65" s="62" t="s">
        <v>27</v>
      </c>
      <c r="Q65" s="60" t="s">
        <v>174</v>
      </c>
      <c r="R65" s="60">
        <f>IF(Q65="Free Recall",1,IF(Q65="Cued Recall",2,IF(Q65="Recognition",3,IF(Q65="Multiple Choice",4,IF(Q65="Savings",5,IF(Q65="Stem Completion",6,IF(Q65="Fragment Completion",7,IF(Q65="anagram solution",8,IF(Q65="Matching",9,IF(Q65="Problem Solving",10,"99"))))))))))</f>
        <v>1</v>
      </c>
      <c r="S65" s="60" t="s">
        <v>49</v>
      </c>
      <c r="T65" s="59" t="s">
        <v>581</v>
      </c>
      <c r="U65" s="60">
        <f>IF(T65="within",1,0)</f>
        <v>1</v>
      </c>
      <c r="V65" s="59">
        <v>20</v>
      </c>
      <c r="W65" s="60">
        <f>F65*V65</f>
        <v>360</v>
      </c>
      <c r="X65" s="62">
        <v>3</v>
      </c>
      <c r="Y65" s="76">
        <f>AV64</f>
        <v>0.01</v>
      </c>
      <c r="Z65" s="62" t="s">
        <v>52</v>
      </c>
      <c r="AA65" s="62">
        <v>18</v>
      </c>
      <c r="AB65" s="60" t="str">
        <f>IF(AA65&lt;60,"1",IF(AA65&lt;=43200,"2",IF(AA65&lt;=777600,"3","4")))</f>
        <v>1</v>
      </c>
      <c r="AC65" s="56">
        <f>AVERAGE(AV64:DA64)</f>
        <v>16.670000000000002</v>
      </c>
      <c r="AD65" s="60" t="str">
        <f>IF(AC65&lt;60,"1",IF(AC65&lt;=43200,"2",IF(AC65&lt;=777600,"3","4")))</f>
        <v>1</v>
      </c>
      <c r="AE65" s="76">
        <f>AA65-Y65</f>
        <v>17.989999999999998</v>
      </c>
      <c r="AF65" s="80">
        <f>AV65</f>
        <v>0.31</v>
      </c>
      <c r="AG65" s="56">
        <f>((AW65-AV65)+(AX65-AW65))/2</f>
        <v>-5.3000000000000005E-2</v>
      </c>
      <c r="AH65" s="4"/>
      <c r="AI65" s="56">
        <f>RSQ(AV65:AX65,AV64:AX64)</f>
        <v>0.98172811602692978</v>
      </c>
      <c r="AJ65" s="109">
        <f>SLOPE(AV65:AX65,AV64:AX64)</f>
        <v>-3.4441453260692892E-3</v>
      </c>
      <c r="AK65" s="56">
        <f>INTERCEPT(AV65:AX65,AV64:AX64)</f>
        <v>0.31274723591890841</v>
      </c>
      <c r="AL65" s="56">
        <f>INDEX(LINEST(LN(AV65:AX65),LN(AV64:AX64),TRUE,TRUE),3,1)</f>
        <v>0.78316142520536136</v>
      </c>
      <c r="AM65" s="56">
        <f>INDEX(LINEST(LN(AV65:AX65),LN(AV64:AX64)),1)</f>
        <v>-4.1055678758485072E-2</v>
      </c>
      <c r="AN65" s="56">
        <f>EXP(INDEX(LINEST(LN(AV65:AX65),LN(AV64:AX64)),1,2))</f>
        <v>0.25789720965349705</v>
      </c>
      <c r="AO65" s="82">
        <f>INDEX(LINEST((AV65:AX65),LN(AV64:AX64),TRUE,TRUE),3,1)</f>
        <v>0.83057829994688015</v>
      </c>
      <c r="AP65" s="82">
        <f>INDEX(LINEST((AV65:AX65),LN(AV64:AX64)),1)</f>
        <v>-1.0725902834048145E-2</v>
      </c>
      <c r="AQ65" s="83">
        <f>INDEX(LINEST(LN(AV65:AX65),SQRT(AV64:AX64),TRUE,TRUE),3,1)</f>
        <v>0.88071069295847548</v>
      </c>
      <c r="AR65" s="116">
        <f>INDEX(LINEST(LN(AV65:AX65),SQRT((AV64:AX64))),1)</f>
        <v>-6.8681329976916713E-2</v>
      </c>
      <c r="AS65" s="84">
        <f>INDEX(LINEST(1/(AV65:AX65),1/(SQRT(AV64:AX64)),TRUE,TRUE),3,1)</f>
        <v>0.69437982647045471</v>
      </c>
      <c r="AT65" s="84">
        <f>INDEX(LINEST(1/(AV65:AX65),1/SQRT(AV64:AX64)),1)</f>
        <v>-0.12373473223286331</v>
      </c>
      <c r="AU65" s="3"/>
      <c r="AV65" s="18">
        <v>0.31</v>
      </c>
      <c r="AW65" s="18">
        <v>0.252</v>
      </c>
      <c r="AX65" s="18">
        <v>0.20399999999999999</v>
      </c>
      <c r="AY65" s="141"/>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7"/>
      <c r="CS65" s="17"/>
      <c r="CT65" s="17"/>
      <c r="CU65" s="17"/>
    </row>
    <row r="66" spans="1:99" s="19" customFormat="1" ht="12" customHeight="1" x14ac:dyDescent="0.2">
      <c r="A66" s="65">
        <v>43951</v>
      </c>
      <c r="B66" s="17"/>
      <c r="C66" s="17"/>
      <c r="D66" s="62"/>
      <c r="E66" s="78"/>
      <c r="F66" s="62"/>
      <c r="G66" s="62"/>
      <c r="H66" s="60"/>
      <c r="I66" s="62"/>
      <c r="J66" s="60"/>
      <c r="K66" s="60"/>
      <c r="L66" s="60"/>
      <c r="M66" s="62"/>
      <c r="N66" s="62"/>
      <c r="O66" s="62"/>
      <c r="P66" s="62"/>
      <c r="Q66" s="60"/>
      <c r="R66" s="60"/>
      <c r="S66" s="60"/>
      <c r="T66" s="59"/>
      <c r="U66" s="60"/>
      <c r="V66" s="59"/>
      <c r="W66" s="60"/>
      <c r="X66" s="62"/>
      <c r="Y66" s="76"/>
      <c r="Z66" s="62"/>
      <c r="AA66" s="62"/>
      <c r="AB66" s="60"/>
      <c r="AC66" s="56"/>
      <c r="AD66" s="60"/>
      <c r="AE66" s="76"/>
      <c r="AF66" s="80"/>
      <c r="AG66" s="56"/>
      <c r="AH66" s="4"/>
      <c r="AI66" s="56"/>
      <c r="AJ66" s="109"/>
      <c r="AK66" s="56"/>
      <c r="AL66" s="56"/>
      <c r="AM66" s="56"/>
      <c r="AN66" s="56"/>
      <c r="AO66" s="82"/>
      <c r="AP66" s="82"/>
      <c r="AQ66" s="83"/>
      <c r="AR66" s="116"/>
      <c r="AS66" s="84"/>
      <c r="AT66" s="84"/>
      <c r="AU66" s="3"/>
      <c r="AV66" s="18">
        <v>0.01</v>
      </c>
      <c r="AW66" s="18">
        <v>20</v>
      </c>
      <c r="AX66" s="18">
        <v>30</v>
      </c>
      <c r="AY66" s="141"/>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7"/>
      <c r="CS66" s="17"/>
      <c r="CT66" s="17"/>
      <c r="CU66" s="17"/>
    </row>
    <row r="67" spans="1:99" s="19" customFormat="1" ht="12" customHeight="1" x14ac:dyDescent="0.2">
      <c r="A67" s="65">
        <v>43951</v>
      </c>
      <c r="B67" s="17" t="s">
        <v>890</v>
      </c>
      <c r="C67" s="17" t="s">
        <v>48</v>
      </c>
      <c r="D67" s="62">
        <v>1965</v>
      </c>
      <c r="E67" s="78">
        <v>1</v>
      </c>
      <c r="F67" s="62">
        <v>18</v>
      </c>
      <c r="G67" s="62">
        <v>18</v>
      </c>
      <c r="H67" s="60" t="s">
        <v>22</v>
      </c>
      <c r="I67" s="62" t="s">
        <v>894</v>
      </c>
      <c r="J67" s="60" t="s">
        <v>16</v>
      </c>
      <c r="K67" s="60">
        <f>IF(J67="syllables",1,IF(J67="trigrams",2,IF(J67="strings",3,IF(J67="visual array",4,IF(J67="characters",5,IF(J67="letters",6,IF(J67="free forms",7,IF(J67="odors",8,IF(J67="words",9,IF(J67="pictures",10,IF(J67="object pictures",11,IF(J67="faces",12,IF(J67="names",13,IF(J67="idioms",14,IF(J67="grades",15,IF(J67="syllable-digit pairs",16,IF(J67="trigram-word pairs",17,IF(J67="word-digit pairs",18,IF(J67="English-Swahili pairs",19,IF(J67="spatial position",20,IF(J67="word pairs",21,IF(J67="word triads",22,IF(J67="generated words",23,IF(J67="word definition pairs",24,IF(J67="math problems",25,IF(J67="famous faces",26,IF(J67="famous names",27,IF(J67="famous voices",28,IF(J67="television programs",29,IF(J67="race horses",30,IF(J67="new vocabulary",31,IF(J67="sentences",32,IF(J67="concepts",33,IF(J67="ad slides",34,IF(J67="scenes",35,IF(J67="famous scenes",36,IF(J67="poems",37,IF(J67="walk",38,IF(J67="faces and events",39,IF(J67="events and names",40,IF(J67="flashbulb",41,IF(J67="stories",42,IF(J67="course material",43,IF(J67="autobiographical",44,IF(J67="novels",45,IF(J67="public events",46,"99"))))))))))))))))))))))))))))))))))))))))))))))</f>
        <v>9</v>
      </c>
      <c r="L67" s="60">
        <f>IF(J67="syllables",1,IF(J67="trigrams",1,IF(J67="strings",1,IF(J67="visual array",1,IF(J67="characters",1,IF(J67="letters",1,IF(J67="free forms",1,IF(J67="odors",2,IF(J67="words",2,IF(J67="pictures",2,IF(J67="object pictures",2,IF(J67="faces",2,IF(J67="names",2,IF(J67="idioms","2",IF(J67="grades",2,IF(J67="syllable-digit pairs",3,IF(J67="trigram-word pairs",3,IF(J67="word-digit pairs",3,IF(J67="English-Swahili pairs",3,IF(J67="spatial position",3,IF(J67="word pairs",4,IF(J67="word triads",4,IF(J67="generated words",4,IF(J67="word definition pairs",4,IF(J67="math problems",4,IF(J67="famous faces",4,IF(J67="famous names",4,IF(J67="famous voices",4,IF(J67="television programs",4,IF(J67="race horses",4,IF(J67="new vocabulary",4,IF(J67="sentences",5,IF(J67="concepts",5,IF(J67="ad slides",5,IF(J67="scenes",5,IF(J67="famous scenes",5,IF(J67="poems",6,IF(J67="walk",6,IF(J67="faces and events",6,IF(J67="events and names",6,IF(J67="flashbulb",7,IF(J67="stories",7,IF(J67="course material",7,IF(J67="autobiographical",7,IF(J67="novels",7,IF(J67="public events",7,"99"))))))))))))))))))))))))))))))))))))))))))))))</f>
        <v>2</v>
      </c>
      <c r="M67" s="62">
        <v>0</v>
      </c>
      <c r="N67" s="62">
        <v>1</v>
      </c>
      <c r="O67" s="62">
        <v>1</v>
      </c>
      <c r="P67" s="62" t="s">
        <v>27</v>
      </c>
      <c r="Q67" s="60" t="s">
        <v>174</v>
      </c>
      <c r="R67" s="60">
        <f>IF(Q67="Free Recall",1,IF(Q67="Cued Recall",2,IF(Q67="Recognition",3,IF(Q67="Multiple Choice",4,IF(Q67="Savings",5,IF(Q67="Stem Completion",6,IF(Q67="Fragment Completion",7,IF(Q67="anagram solution",8,IF(Q67="Matching",9,IF(Q67="Problem Solving",10,"99"))))))))))</f>
        <v>1</v>
      </c>
      <c r="S67" s="60" t="s">
        <v>49</v>
      </c>
      <c r="T67" s="59" t="s">
        <v>581</v>
      </c>
      <c r="U67" s="60">
        <f>IF(T67="within",1,0)</f>
        <v>1</v>
      </c>
      <c r="V67" s="59">
        <v>30</v>
      </c>
      <c r="W67" s="60">
        <f>F67*V67</f>
        <v>540</v>
      </c>
      <c r="X67" s="62">
        <v>3</v>
      </c>
      <c r="Y67" s="76">
        <f>AV66</f>
        <v>0.01</v>
      </c>
      <c r="Z67" s="62" t="s">
        <v>52</v>
      </c>
      <c r="AA67" s="62">
        <v>18</v>
      </c>
      <c r="AB67" s="60" t="str">
        <f>IF(AA67&lt;60,"1",IF(AA67&lt;=43200,"2",IF(AA67&lt;=777600,"3","4")))</f>
        <v>1</v>
      </c>
      <c r="AC67" s="56">
        <f>AVERAGE(AV66:DA66)</f>
        <v>16.670000000000002</v>
      </c>
      <c r="AD67" s="60" t="str">
        <f>IF(AC67&lt;60,"1",IF(AC67&lt;=43200,"2",IF(AC67&lt;=777600,"3","4")))</f>
        <v>1</v>
      </c>
      <c r="AE67" s="76">
        <f>AA67-Y67</f>
        <v>17.989999999999998</v>
      </c>
      <c r="AF67" s="80">
        <f>AV67</f>
        <v>0.35499999999999998</v>
      </c>
      <c r="AG67" s="56">
        <f>((AW67-AV67)+(AX67-AW67))/2</f>
        <v>-7.9999999999999988E-2</v>
      </c>
      <c r="AH67" s="4"/>
      <c r="AI67" s="56">
        <f>RSQ(AV67:AX67,AV66:AX66)</f>
        <v>0.94770323436401216</v>
      </c>
      <c r="AJ67" s="109">
        <f>SLOPE(AV67:AX67,AV66:AX66)</f>
        <v>-5.5875474499574758E-3</v>
      </c>
      <c r="AK67" s="56">
        <f>INTERCEPT(AV67:AX67,AV66:AX66)</f>
        <v>0.34747774932412445</v>
      </c>
      <c r="AL67" s="56">
        <f>INDEX(LINEST(LN(AV67:AX67),LN(AV66:AX66),TRUE,TRUE),3,1)</f>
        <v>0.99156895773113973</v>
      </c>
      <c r="AM67" s="56">
        <f>INDEX(LINEST(LN(AV67:AX67),LN(AV66:AX66)),1)</f>
        <v>-7.1413414462206712E-2</v>
      </c>
      <c r="AN67" s="56">
        <f>EXP(INDEX(LINEST(LN(AV67:AX67),LN(AV66:AX66)),1,2))</f>
        <v>0.25590042188083456</v>
      </c>
      <c r="AO67" s="82">
        <f>INDEX(LINEST((AV67:AX67),LN(AV66:AX66),TRUE,TRUE),3,1)</f>
        <v>0.99665094593137182</v>
      </c>
      <c r="AP67" s="82">
        <f>INDEX(LINEST((AV67:AX67),LN(AV66:AX66)),1)</f>
        <v>-1.9400561467033433E-2</v>
      </c>
      <c r="AQ67" s="83">
        <f>INDEX(LINEST(LN(AV67:AX67),SQRT(AV66:AX66),TRUE,TRUE),3,1)</f>
        <v>0.9984181847900625</v>
      </c>
      <c r="AR67" s="116">
        <f>INDEX(LINEST(LN(AV67:AX67),SQRT((AV66:AX66))),1)</f>
        <v>-0.11304439860524775</v>
      </c>
      <c r="AS67" s="84">
        <f>INDEX(LINEST(1/(AV67:AX67),1/(SQRT(AV66:AX66)),TRUE,TRUE),3,1)</f>
        <v>0.97014104653505295</v>
      </c>
      <c r="AT67" s="84">
        <f>INDEX(LINEST(1/(AV67:AX67),1/SQRT(AV66:AX66)),1)</f>
        <v>-0.21394019582471377</v>
      </c>
      <c r="AU67" s="3"/>
      <c r="AV67" s="18">
        <v>0.35499999999999998</v>
      </c>
      <c r="AW67" s="18">
        <v>0.21299999999999999</v>
      </c>
      <c r="AX67" s="18">
        <v>0.19500000000000001</v>
      </c>
      <c r="AY67" s="141"/>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7"/>
      <c r="CS67" s="17"/>
      <c r="CT67" s="17"/>
      <c r="CU67" s="17"/>
    </row>
    <row r="68" spans="1:99" s="13" customFormat="1" ht="12" customHeight="1" x14ac:dyDescent="0.2">
      <c r="A68" s="68">
        <v>43509</v>
      </c>
      <c r="B68" s="70"/>
      <c r="C68" s="70"/>
      <c r="D68" s="69"/>
      <c r="E68" s="87"/>
      <c r="F68" s="69"/>
      <c r="G68" s="69"/>
      <c r="H68" s="69"/>
      <c r="I68" s="69"/>
      <c r="J68" s="69"/>
      <c r="K68" s="107"/>
      <c r="L68" s="107"/>
      <c r="M68" s="69"/>
      <c r="N68" s="69"/>
      <c r="O68" s="69"/>
      <c r="P68" s="69"/>
      <c r="Q68" s="69"/>
      <c r="R68" s="69"/>
      <c r="S68" s="69"/>
      <c r="T68" s="69"/>
      <c r="U68" s="60"/>
      <c r="V68" s="69"/>
      <c r="W68" s="69"/>
      <c r="X68" s="69"/>
      <c r="Y68" s="87"/>
      <c r="Z68" s="69"/>
      <c r="AA68" s="69"/>
      <c r="AB68" s="69"/>
      <c r="AC68" s="69"/>
      <c r="AD68" s="69"/>
      <c r="AE68" s="69"/>
      <c r="AF68" s="88"/>
      <c r="AG68" s="72"/>
      <c r="AH68" s="4"/>
      <c r="AI68" s="72"/>
      <c r="AJ68" s="110"/>
      <c r="AK68" s="72"/>
      <c r="AL68" s="72"/>
      <c r="AM68" s="72"/>
      <c r="AN68" s="72"/>
      <c r="AO68" s="72"/>
      <c r="AP68" s="72"/>
      <c r="AQ68" s="72"/>
      <c r="AR68" s="110"/>
      <c r="AS68" s="72"/>
      <c r="AT68" s="72"/>
      <c r="AU68" s="4"/>
      <c r="AV68" s="125">
        <v>1.5</v>
      </c>
      <c r="AW68" s="71">
        <v>3</v>
      </c>
      <c r="AX68" s="71">
        <v>6</v>
      </c>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1"/>
      <c r="CS68" s="1"/>
      <c r="CT68" s="1"/>
      <c r="CU68" s="1"/>
    </row>
    <row r="69" spans="1:99" s="13" customFormat="1" ht="12" customHeight="1" x14ac:dyDescent="0.2">
      <c r="A69" s="68">
        <v>43509</v>
      </c>
      <c r="B69" s="70" t="s">
        <v>250</v>
      </c>
      <c r="C69" s="70" t="s">
        <v>33</v>
      </c>
      <c r="D69" s="69">
        <v>2010</v>
      </c>
      <c r="E69" s="87">
        <v>1</v>
      </c>
      <c r="F69" s="69">
        <v>30</v>
      </c>
      <c r="G69" s="69">
        <v>30</v>
      </c>
      <c r="H69" s="69" t="s">
        <v>22</v>
      </c>
      <c r="I69" s="69" t="s">
        <v>761</v>
      </c>
      <c r="J69" s="69" t="s">
        <v>764</v>
      </c>
      <c r="K69" s="69">
        <f>IF(J69="syllables",1,IF(J69="trigrams",2,IF(J69="strings",3,IF(J69="visual array",4,IF(J69="characters",5,IF(J69="letters",6,IF(J69="free forms",7,IF(J69="odors",8,IF(J69="words",9,IF(J69="pictures",10,IF(J69="object pictures",11,IF(J69="faces",12,IF(J69="names",13,IF(J69="idioms",14,IF(J69="grades",15,IF(J69="syllable-digit pairs",16,IF(J69="trigram-word pairs",17,IF(J69="word-digit pairs",18,IF(J69="English-Swahili pairs",19,IF(J69="spatial position",20,IF(J69="word pairs",21,IF(J69="word triads",22,IF(J69="generated words",23,IF(J69="word definition pairs",24,IF(J69="math problems",25,IF(J69="famous faces",26,IF(J69="famous names",27,IF(J69="famous voices",28,IF(J69="television programs",29,IF(J69="race horses",30,IF(J69="new vocabulary",31,IF(J69="sentences",32,IF(J69="concepts",33,IF(J69="ad slides",34,IF(J69="scenes",35,IF(J69="famous scenes",36,IF(J69="poems",37,IF(J69="walk",38,IF(J69="faces and events",39,IF(J69="events and names",40,IF(J69="flashbulb",41,IF(J69="stories",42,IF(J69="course material",43,IF(J69="autobiographical",44,IF(J69="novels",45,IF(J69="public events",46,"99"))))))))))))))))))))))))))))))))))))))))))))))</f>
        <v>4</v>
      </c>
      <c r="L69" s="69">
        <f>IF(J69="syllables",1,IF(J69="trigrams",1,IF(J69="strings",1,IF(J69="visual array",1,IF(J69="characters",1,IF(J69="letters",1,IF(J69="free forms",1,IF(J69="odors",2,IF(J69="words",2,IF(J69="pictures",2,IF(J69="object pictures",2,IF(J69="faces",2,IF(J69="names",2,IF(J69="idioms","2",IF(J69="grades",2,IF(J69="syllable-digit pairs",3,IF(J69="trigram-word pairs",3,IF(J69="word-digit pairs",3,IF(J69="English-Swahili pairs",3,IF(J69="spatial position",3,IF(J69="word pairs",4,IF(J69="word triads",4,IF(J69="generated words",4,IF(J69="word definition pairs",4,IF(J69="math problems",4,IF(J69="famous faces",4,IF(J69="famous names",4,IF(J69="famous voices",4,IF(J69="television programs",4,IF(J69="race horses",4,IF(J69="new vocabulary",4,IF(J69="sentences",5,IF(J69="concepts",5,IF(J69="ad slides",5,IF(J69="scenes",5,IF(J69="famous scenes",5,IF(J69="poems",6,IF(J69="walk",6,IF(J69="faces and events",6,IF(J69="events and names",6,IF(J69="flashbulb",7,IF(J69="stories",7,IF(J69="course material",7,IF(J69="autobiographical",7,IF(J69="novels",7,IF(J69="public events",7,"99"))))))))))))))))))))))))))))))))))))))))))))))</f>
        <v>1</v>
      </c>
      <c r="M69" s="69">
        <v>0</v>
      </c>
      <c r="N69" s="69">
        <v>1</v>
      </c>
      <c r="O69" s="69">
        <v>1</v>
      </c>
      <c r="P69" s="69" t="s">
        <v>35</v>
      </c>
      <c r="Q69" s="69" t="s">
        <v>34</v>
      </c>
      <c r="R69" s="69">
        <f>IF(Q69="Free Recall",1,IF(Q69="Cued Recall",2,IF(Q69="Recognition",3,IF(Q69="Multiple Choice",4,IF(Q69="Savings",5,IF(Q69="Stem Completion",6,IF(Q69="Fragment Completion",7,IF(Q69="anagram solution",8,IF(Q69="Matching",9,IF(Q69="Problem Solving",10,"99"))))))))))</f>
        <v>3</v>
      </c>
      <c r="S69" s="69" t="s">
        <v>15</v>
      </c>
      <c r="T69" s="92" t="s">
        <v>581</v>
      </c>
      <c r="U69" s="60">
        <f>IF(T69="within",1,0)</f>
        <v>1</v>
      </c>
      <c r="V69" s="92">
        <v>30</v>
      </c>
      <c r="W69" s="69">
        <f>F69*V69</f>
        <v>900</v>
      </c>
      <c r="X69" s="69">
        <v>3</v>
      </c>
      <c r="Y69" s="87">
        <f>AV68</f>
        <v>1.5</v>
      </c>
      <c r="Z69" s="69" t="s">
        <v>36</v>
      </c>
      <c r="AA69" s="69">
        <v>5.9</v>
      </c>
      <c r="AB69" s="69" t="str">
        <f>IF(AA69&lt;60,"1",IF(AA69&lt;=43200,"2",IF(AA69&lt;=777600,"3","4")))</f>
        <v>1</v>
      </c>
      <c r="AC69" s="72">
        <f>AVERAGE(AV68:DA68)</f>
        <v>3.5</v>
      </c>
      <c r="AD69" s="69" t="str">
        <f>IF(AC69&lt;60,"1",IF(AC69&lt;=43200,"2",IF(AC69&lt;=777600,"3","4")))</f>
        <v>1</v>
      </c>
      <c r="AE69" s="87">
        <f>AA69-Y69</f>
        <v>4.4000000000000004</v>
      </c>
      <c r="AF69" s="88">
        <f>AV69</f>
        <v>0.85399999999999998</v>
      </c>
      <c r="AG69" s="72">
        <f>((AW69-AV69)+(AX69-AW69))/2</f>
        <v>-2.5999999999999968E-2</v>
      </c>
      <c r="AH69" s="4"/>
      <c r="AI69" s="72">
        <f>RSQ(AV69:AX69,AV68:AX68)</f>
        <v>0.94600674915635519</v>
      </c>
      <c r="AJ69" s="110">
        <f>SLOPE(AV69:AX69,AV68:AX68)</f>
        <v>-1.1047619047619032E-2</v>
      </c>
      <c r="AK69" s="72">
        <f>INTERCEPT(AV69:AX69,AV68:AX68)</f>
        <v>0.86599999999999999</v>
      </c>
      <c r="AL69" s="72">
        <f>INDEX(LINEST(LN(AV69:AX69),LN(AV68:AX68),TRUE,TRUE),3,1)</f>
        <v>0.99874950314641109</v>
      </c>
      <c r="AM69" s="72">
        <f>INDEX(LINEST(LN(AV69:AX69),LN(AV68:AX68)),1)</f>
        <v>-4.5316916582784965E-2</v>
      </c>
      <c r="AN69" s="72">
        <f>EXP(INDEX(LINEST(LN(AV69:AX69),LN(AV68:AX68)),1,2))</f>
        <v>0.86927880940409952</v>
      </c>
      <c r="AO69" s="89">
        <f>INDEX(LINEST((AV69:AX69),LN(AV68:AX68),TRUE,TRUE),3,1)</f>
        <v>0.99803149606299202</v>
      </c>
      <c r="AP69" s="89">
        <f>INDEX(LINEST((AV69:AX69),LN(AV68:AX68)),1)</f>
        <v>-3.7510071063113E-2</v>
      </c>
      <c r="AQ69" s="90">
        <f>INDEX(LINEST(LN(AV69:AX69),SQRT(AV68:AX68),TRUE,TRUE),3,1)</f>
        <v>0.9821233262667034</v>
      </c>
      <c r="AR69" s="117">
        <f>INDEX(LINEST(LN(AV69:AX69),SQRT((AV68:AX68))),1)</f>
        <v>-5.0617949825993838E-2</v>
      </c>
      <c r="AS69" s="91">
        <f>INDEX(LINEST(1/(AV69:AX69),1/(SQRT(AV68:AX68)),TRUE,TRUE),3,1)</f>
        <v>0.99476799909561953</v>
      </c>
      <c r="AT69" s="91">
        <f>INDEX(LINEST(1/(AV69:AX69),1/SQRT(AV68:AX68)),1)</f>
        <v>-0.18464516917101689</v>
      </c>
      <c r="AU69" s="3"/>
      <c r="AV69" s="73">
        <v>0.85399999999999998</v>
      </c>
      <c r="AW69" s="73">
        <v>0.82599999999999996</v>
      </c>
      <c r="AX69" s="73">
        <v>0.80200000000000005</v>
      </c>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1"/>
      <c r="CS69" s="1"/>
      <c r="CT69" s="1"/>
      <c r="CU69" s="1"/>
    </row>
    <row r="70" spans="1:99" s="13" customFormat="1" ht="12" customHeight="1" x14ac:dyDescent="0.2">
      <c r="A70" s="68">
        <v>43509</v>
      </c>
      <c r="B70" s="70"/>
      <c r="C70" s="70"/>
      <c r="D70" s="69"/>
      <c r="E70" s="87"/>
      <c r="F70" s="69"/>
      <c r="G70" s="69"/>
      <c r="H70" s="69"/>
      <c r="I70" s="69"/>
      <c r="J70" s="69"/>
      <c r="K70" s="107"/>
      <c r="L70" s="107"/>
      <c r="M70" s="69"/>
      <c r="N70" s="69"/>
      <c r="O70" s="69"/>
      <c r="P70" s="69"/>
      <c r="Q70" s="69"/>
      <c r="R70" s="69"/>
      <c r="S70" s="69"/>
      <c r="T70" s="69"/>
      <c r="U70" s="60"/>
      <c r="V70" s="69"/>
      <c r="W70" s="69"/>
      <c r="X70" s="69"/>
      <c r="Y70" s="87"/>
      <c r="Z70" s="69"/>
      <c r="AA70" s="69"/>
      <c r="AB70" s="69"/>
      <c r="AC70" s="69"/>
      <c r="AD70" s="69"/>
      <c r="AE70" s="69"/>
      <c r="AF70" s="88"/>
      <c r="AG70" s="72"/>
      <c r="AH70" s="4"/>
      <c r="AI70" s="72"/>
      <c r="AJ70" s="110"/>
      <c r="AK70" s="72"/>
      <c r="AL70" s="72"/>
      <c r="AM70" s="72"/>
      <c r="AN70" s="72"/>
      <c r="AO70" s="89"/>
      <c r="AP70" s="89"/>
      <c r="AQ70" s="89"/>
      <c r="AR70" s="118"/>
      <c r="AS70" s="89"/>
      <c r="AT70" s="89"/>
      <c r="AU70" s="3"/>
      <c r="AV70" s="125">
        <v>1.5</v>
      </c>
      <c r="AW70" s="71">
        <v>3</v>
      </c>
      <c r="AX70" s="71">
        <v>6</v>
      </c>
      <c r="AY70" s="53"/>
      <c r="AZ70" s="53"/>
      <c r="BA70" s="53"/>
      <c r="BB70" s="53"/>
      <c r="BC70" s="53"/>
      <c r="BD70" s="53"/>
      <c r="BE70" s="53"/>
      <c r="BF70" s="53"/>
      <c r="BG70" s="53"/>
      <c r="BH70" s="53"/>
      <c r="BI70" s="53"/>
      <c r="BJ70" s="53"/>
      <c r="BK70" s="53"/>
      <c r="BL70" s="53"/>
      <c r="BM70" s="53"/>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3"/>
      <c r="CQ70" s="53"/>
      <c r="CR70" s="1"/>
      <c r="CS70" s="1"/>
      <c r="CT70" s="1"/>
      <c r="CU70" s="1"/>
    </row>
    <row r="71" spans="1:99" s="13" customFormat="1" ht="12" customHeight="1" x14ac:dyDescent="0.2">
      <c r="A71" s="68">
        <v>43509</v>
      </c>
      <c r="B71" s="70" t="s">
        <v>250</v>
      </c>
      <c r="C71" s="70" t="s">
        <v>33</v>
      </c>
      <c r="D71" s="69">
        <v>2010</v>
      </c>
      <c r="E71" s="87">
        <v>1</v>
      </c>
      <c r="F71" s="69">
        <v>30</v>
      </c>
      <c r="G71" s="69">
        <v>30</v>
      </c>
      <c r="H71" s="69" t="s">
        <v>22</v>
      </c>
      <c r="I71" s="69" t="s">
        <v>762</v>
      </c>
      <c r="J71" s="69" t="s">
        <v>764</v>
      </c>
      <c r="K71" s="69">
        <f>IF(J71="syllables",1,IF(J71="trigrams",2,IF(J71="strings",3,IF(J71="visual array",4,IF(J71="characters",5,IF(J71="letters",6,IF(J71="free forms",7,IF(J71="odors",8,IF(J71="words",9,IF(J71="pictures",10,IF(J71="object pictures",11,IF(J71="faces",12,IF(J71="names",13,IF(J71="idioms",14,IF(J71="grades",15,IF(J71="syllable-digit pairs",16,IF(J71="trigram-word pairs",17,IF(J71="word-digit pairs",18,IF(J71="English-Swahili pairs",19,IF(J71="spatial position",20,IF(J71="word pairs",21,IF(J71="word triads",22,IF(J71="generated words",23,IF(J71="word definition pairs",24,IF(J71="math problems",25,IF(J71="famous faces",26,IF(J71="famous names",27,IF(J71="famous voices",28,IF(J71="television programs",29,IF(J71="race horses",30,IF(J71="new vocabulary",31,IF(J71="sentences",32,IF(J71="concepts",33,IF(J71="ad slides",34,IF(J71="scenes",35,IF(J71="famous scenes",36,IF(J71="poems",37,IF(J71="walk",38,IF(J71="faces and events",39,IF(J71="events and names",40,IF(J71="flashbulb",41,IF(J71="stories",42,IF(J71="course material",43,IF(J71="autobiographical",44,IF(J71="novels",45,IF(J71="public events",46,"99"))))))))))))))))))))))))))))))))))))))))))))))</f>
        <v>4</v>
      </c>
      <c r="L71" s="69">
        <f>IF(J71="syllables",1,IF(J71="trigrams",1,IF(J71="strings",1,IF(J71="visual array",1,IF(J71="characters",1,IF(J71="letters",1,IF(J71="free forms",1,IF(J71="odors",2,IF(J71="words",2,IF(J71="pictures",2,IF(J71="object pictures",2,IF(J71="faces",2,IF(J71="names",2,IF(J71="idioms","2",IF(J71="grades",2,IF(J71="syllable-digit pairs",3,IF(J71="trigram-word pairs",3,IF(J71="word-digit pairs",3,IF(J71="English-Swahili pairs",3,IF(J71="spatial position",3,IF(J71="word pairs",4,IF(J71="word triads",4,IF(J71="generated words",4,IF(J71="word definition pairs",4,IF(J71="math problems",4,IF(J71="famous faces",4,IF(J71="famous names",4,IF(J71="famous voices",4,IF(J71="television programs",4,IF(J71="race horses",4,IF(J71="new vocabulary",4,IF(J71="sentences",5,IF(J71="concepts",5,IF(J71="ad slides",5,IF(J71="scenes",5,IF(J71="famous scenes",5,IF(J71="poems",6,IF(J71="walk",6,IF(J71="faces and events",6,IF(J71="events and names",6,IF(J71="flashbulb",7,IF(J71="stories",7,IF(J71="course material",7,IF(J71="autobiographical",7,IF(J71="novels",7,IF(J71="public events",7,"99"))))))))))))))))))))))))))))))))))))))))))))))</f>
        <v>1</v>
      </c>
      <c r="M71" s="69">
        <v>0</v>
      </c>
      <c r="N71" s="69">
        <v>1</v>
      </c>
      <c r="O71" s="69">
        <v>1</v>
      </c>
      <c r="P71" s="69" t="s">
        <v>35</v>
      </c>
      <c r="Q71" s="69" t="s">
        <v>34</v>
      </c>
      <c r="R71" s="69">
        <f>IF(Q71="Free Recall",1,IF(Q71="Cued Recall",2,IF(Q71="Recognition",3,IF(Q71="Multiple Choice",4,IF(Q71="Savings",5,IF(Q71="Stem Completion",6,IF(Q71="Fragment Completion",7,IF(Q71="anagram solution",8,IF(Q71="Matching",9,IF(Q71="Problem Solving",10,"99"))))))))))</f>
        <v>3</v>
      </c>
      <c r="S71" s="69" t="s">
        <v>15</v>
      </c>
      <c r="T71" s="92" t="s">
        <v>581</v>
      </c>
      <c r="U71" s="60">
        <f>IF(T71="within",1,0)</f>
        <v>1</v>
      </c>
      <c r="V71" s="92">
        <v>30</v>
      </c>
      <c r="W71" s="69">
        <f>F71*V71</f>
        <v>900</v>
      </c>
      <c r="X71" s="69">
        <v>3</v>
      </c>
      <c r="Y71" s="87">
        <f>AV70</f>
        <v>1.5</v>
      </c>
      <c r="Z71" s="69" t="s">
        <v>36</v>
      </c>
      <c r="AA71" s="69">
        <v>5.9</v>
      </c>
      <c r="AB71" s="69" t="str">
        <f>IF(AA71&lt;60,"1",IF(AA71&lt;=43200,"2",IF(AA71&lt;=777600,"3","4")))</f>
        <v>1</v>
      </c>
      <c r="AC71" s="72">
        <f>AVERAGE(AV70:DA70)</f>
        <v>3.5</v>
      </c>
      <c r="AD71" s="69" t="str">
        <f>IF(AC71&lt;60,"1",IF(AC71&lt;=43200,"2",IF(AC71&lt;=777600,"3","4")))</f>
        <v>1</v>
      </c>
      <c r="AE71" s="87">
        <f>AA71-Y71</f>
        <v>4.4000000000000004</v>
      </c>
      <c r="AF71" s="88">
        <f>AV71</f>
        <v>0.82899999999999996</v>
      </c>
      <c r="AG71" s="72">
        <f>((AW71-AV71)+(AX71-AW71))/2</f>
        <v>-3.7499999999999978E-2</v>
      </c>
      <c r="AH71" s="4"/>
      <c r="AI71" s="72">
        <f>RSQ(AV71:AX71,AV70:AX70)</f>
        <v>0.89168849252395377</v>
      </c>
      <c r="AJ71" s="110">
        <f>SLOPE(AV71:AX71,AV70:AX70)</f>
        <v>-1.5619047619047612E-2</v>
      </c>
      <c r="AK71" s="72">
        <f>INTERCEPT(AV71:AX71,AV70:AX70)</f>
        <v>0.84300000000000008</v>
      </c>
      <c r="AL71" s="72">
        <f>INDEX(LINEST(LN(AV71:AX71),LN(AV70:AX70),TRUE,TRUE),3,1)</f>
        <v>0.98252726074625907</v>
      </c>
      <c r="AM71" s="72">
        <f>INDEX(LINEST(LN(AV71:AX71),LN(AV70:AX70)),1)</f>
        <v>-6.8403789113543001E-2</v>
      </c>
      <c r="AN71" s="72">
        <f>EXP(INDEX(LINEST(LN(AV71:AX71),LN(AV70:AX70)),1,2))</f>
        <v>0.8492087196688809</v>
      </c>
      <c r="AO71" s="89">
        <f>INDEX(LINEST((AV71:AX71),LN(AV70:AX70),TRUE,TRUE),3,1)</f>
        <v>0.97905546530517529</v>
      </c>
      <c r="AP71" s="89">
        <f>INDEX(LINEST((AV71:AX71),LN(AV70:AX70)),1)</f>
        <v>-5.4101064033336102E-2</v>
      </c>
      <c r="AQ71" s="90">
        <f>INDEX(LINEST(LN(AV71:AX71),SQRT(AV70:AX70),TRUE,TRUE),3,1)</f>
        <v>0.94744402016023299</v>
      </c>
      <c r="AR71" s="117">
        <f>INDEX(LINEST(LN(AV71:AX71),SQRT((AV70:AX70))),1)</f>
        <v>-7.5661353883790305E-2</v>
      </c>
      <c r="AS71" s="91">
        <f>INDEX(LINEST(1/(AV71:AX71),1/(SQRT(AV70:AX70)),TRUE,TRUE),3,1)</f>
        <v>0.99955734003198149</v>
      </c>
      <c r="AT71" s="91">
        <f>INDEX(LINEST(1/(AV71:AX71),1/SQRT(AV70:AX70)),1)</f>
        <v>-0.29452168749066243</v>
      </c>
      <c r="AU71" s="3"/>
      <c r="AV71" s="73">
        <v>0.82899999999999996</v>
      </c>
      <c r="AW71" s="73">
        <v>0.78200000000000003</v>
      </c>
      <c r="AX71" s="73">
        <v>0.754</v>
      </c>
      <c r="AY71" s="53"/>
      <c r="AZ71" s="53"/>
      <c r="BA71" s="53"/>
      <c r="BB71" s="53"/>
      <c r="BC71" s="53"/>
      <c r="BD71" s="53"/>
      <c r="BE71" s="53"/>
      <c r="BF71" s="53"/>
      <c r="BG71" s="53"/>
      <c r="BH71" s="53"/>
      <c r="BI71" s="53"/>
      <c r="BJ71" s="53"/>
      <c r="BK71" s="53"/>
      <c r="BL71" s="53"/>
      <c r="BM71" s="53"/>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3"/>
      <c r="CQ71" s="53"/>
      <c r="CR71" s="1"/>
      <c r="CS71" s="1"/>
      <c r="CT71" s="1"/>
      <c r="CU71" s="1"/>
    </row>
    <row r="72" spans="1:99" s="13" customFormat="1" ht="12" customHeight="1" x14ac:dyDescent="0.2">
      <c r="A72" s="68">
        <v>43509</v>
      </c>
      <c r="B72" s="70"/>
      <c r="C72" s="70"/>
      <c r="D72" s="69"/>
      <c r="E72" s="87"/>
      <c r="F72" s="69"/>
      <c r="G72" s="69"/>
      <c r="H72" s="69"/>
      <c r="I72" s="69"/>
      <c r="J72" s="69"/>
      <c r="K72" s="107"/>
      <c r="L72" s="107"/>
      <c r="M72" s="69"/>
      <c r="N72" s="69"/>
      <c r="O72" s="69"/>
      <c r="P72" s="69"/>
      <c r="Q72" s="69"/>
      <c r="R72" s="69"/>
      <c r="S72" s="69"/>
      <c r="T72" s="69"/>
      <c r="U72" s="60"/>
      <c r="V72" s="69"/>
      <c r="W72" s="69"/>
      <c r="X72" s="69"/>
      <c r="Y72" s="87"/>
      <c r="Z72" s="69"/>
      <c r="AA72" s="69"/>
      <c r="AB72" s="69"/>
      <c r="AC72" s="69"/>
      <c r="AD72" s="69"/>
      <c r="AE72" s="69"/>
      <c r="AF72" s="88"/>
      <c r="AG72" s="72"/>
      <c r="AH72" s="4"/>
      <c r="AI72" s="72"/>
      <c r="AJ72" s="110"/>
      <c r="AK72" s="72"/>
      <c r="AL72" s="72"/>
      <c r="AM72" s="72"/>
      <c r="AN72" s="72"/>
      <c r="AO72" s="89"/>
      <c r="AP72" s="89"/>
      <c r="AQ72" s="89"/>
      <c r="AR72" s="118"/>
      <c r="AS72" s="89"/>
      <c r="AT72" s="89"/>
      <c r="AU72" s="3"/>
      <c r="AV72" s="125">
        <v>1.5</v>
      </c>
      <c r="AW72" s="71">
        <v>3</v>
      </c>
      <c r="AX72" s="71">
        <v>6</v>
      </c>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1"/>
      <c r="CS72" s="1"/>
      <c r="CT72" s="1"/>
      <c r="CU72" s="1"/>
    </row>
    <row r="73" spans="1:99" s="13" customFormat="1" ht="12" customHeight="1" x14ac:dyDescent="0.2">
      <c r="A73" s="68">
        <v>43509</v>
      </c>
      <c r="B73" s="70" t="s">
        <v>250</v>
      </c>
      <c r="C73" s="70" t="s">
        <v>33</v>
      </c>
      <c r="D73" s="69">
        <v>2010</v>
      </c>
      <c r="E73" s="87">
        <v>1</v>
      </c>
      <c r="F73" s="69">
        <v>30</v>
      </c>
      <c r="G73" s="69">
        <v>30</v>
      </c>
      <c r="H73" s="69" t="s">
        <v>22</v>
      </c>
      <c r="I73" s="69" t="s">
        <v>763</v>
      </c>
      <c r="J73" s="69" t="s">
        <v>764</v>
      </c>
      <c r="K73" s="69">
        <f>IF(J73="syllables",1,IF(J73="trigrams",2,IF(J73="strings",3,IF(J73="visual array",4,IF(J73="characters",5,IF(J73="letters",6,IF(J73="free forms",7,IF(J73="odors",8,IF(J73="words",9,IF(J73="pictures",10,IF(J73="object pictures",11,IF(J73="faces",12,IF(J73="names",13,IF(J73="idioms",14,IF(J73="grades",15,IF(J73="syllable-digit pairs",16,IF(J73="trigram-word pairs",17,IF(J73="word-digit pairs",18,IF(J73="English-Swahili pairs",19,IF(J73="spatial position",20,IF(J73="word pairs",21,IF(J73="word triads",22,IF(J73="generated words",23,IF(J73="word definition pairs",24,IF(J73="math problems",25,IF(J73="famous faces",26,IF(J73="famous names",27,IF(J73="famous voices",28,IF(J73="television programs",29,IF(J73="race horses",30,IF(J73="new vocabulary",31,IF(J73="sentences",32,IF(J73="concepts",33,IF(J73="ad slides",34,IF(J73="scenes",35,IF(J73="famous scenes",36,IF(J73="poems",37,IF(J73="walk",38,IF(J73="faces and events",39,IF(J73="events and names",40,IF(J73="flashbulb",41,IF(J73="stories",42,IF(J73="course material",43,IF(J73="autobiographical",44,IF(J73="novels",45,IF(J73="public events",46,"99"))))))))))))))))))))))))))))))))))))))))))))))</f>
        <v>4</v>
      </c>
      <c r="L73" s="69">
        <f>IF(J73="syllables",1,IF(J73="trigrams",1,IF(J73="strings",1,IF(J73="visual array",1,IF(J73="characters",1,IF(J73="letters",1,IF(J73="free forms",1,IF(J73="odors",2,IF(J73="words",2,IF(J73="pictures",2,IF(J73="object pictures",2,IF(J73="faces",2,IF(J73="names",2,IF(J73="idioms","2",IF(J73="grades",2,IF(J73="syllable-digit pairs",3,IF(J73="trigram-word pairs",3,IF(J73="word-digit pairs",3,IF(J73="English-Swahili pairs",3,IF(J73="spatial position",3,IF(J73="word pairs",4,IF(J73="word triads",4,IF(J73="generated words",4,IF(J73="word definition pairs",4,IF(J73="math problems",4,IF(J73="famous faces",4,IF(J73="famous names",4,IF(J73="famous voices",4,IF(J73="television programs",4,IF(J73="race horses",4,IF(J73="new vocabulary",4,IF(J73="sentences",5,IF(J73="concepts",5,IF(J73="ad slides",5,IF(J73="scenes",5,IF(J73="famous scenes",5,IF(J73="poems",6,IF(J73="walk",6,IF(J73="faces and events",6,IF(J73="events and names",6,IF(J73="flashbulb",7,IF(J73="stories",7,IF(J73="course material",7,IF(J73="autobiographical",7,IF(J73="novels",7,IF(J73="public events",7,"99"))))))))))))))))))))))))))))))))))))))))))))))</f>
        <v>1</v>
      </c>
      <c r="M73" s="69">
        <v>0</v>
      </c>
      <c r="N73" s="69">
        <v>1</v>
      </c>
      <c r="O73" s="69">
        <v>1</v>
      </c>
      <c r="P73" s="69" t="s">
        <v>35</v>
      </c>
      <c r="Q73" s="69" t="s">
        <v>34</v>
      </c>
      <c r="R73" s="69">
        <f>IF(Q73="Free Recall",1,IF(Q73="Cued Recall",2,IF(Q73="Recognition",3,IF(Q73="Multiple Choice",4,IF(Q73="Savings",5,IF(Q73="Stem Completion",6,IF(Q73="Fragment Completion",7,IF(Q73="anagram solution",8,IF(Q73="Matching",9,IF(Q73="Problem Solving",10,"99"))))))))))</f>
        <v>3</v>
      </c>
      <c r="S73" s="69" t="s">
        <v>15</v>
      </c>
      <c r="T73" s="92" t="s">
        <v>581</v>
      </c>
      <c r="U73" s="60">
        <f>IF(T73="within",1,0)</f>
        <v>1</v>
      </c>
      <c r="V73" s="92">
        <v>30</v>
      </c>
      <c r="W73" s="69">
        <f>F73*V73</f>
        <v>900</v>
      </c>
      <c r="X73" s="69">
        <v>3</v>
      </c>
      <c r="Y73" s="87">
        <f>AV72</f>
        <v>1.5</v>
      </c>
      <c r="Z73" s="69" t="s">
        <v>36</v>
      </c>
      <c r="AA73" s="69">
        <v>5.9</v>
      </c>
      <c r="AB73" s="69" t="str">
        <f>IF(AA73&lt;60,"1",IF(AA73&lt;=43200,"2",IF(AA73&lt;=777600,"3","4")))</f>
        <v>1</v>
      </c>
      <c r="AC73" s="72">
        <f>AVERAGE(AV72:DA72)</f>
        <v>3.5</v>
      </c>
      <c r="AD73" s="69" t="str">
        <f>IF(AC73&lt;60,"1",IF(AC73&lt;=43200,"2",IF(AC73&lt;=777600,"3","4")))</f>
        <v>1</v>
      </c>
      <c r="AE73" s="87">
        <f>AA73-Y73</f>
        <v>4.4000000000000004</v>
      </c>
      <c r="AF73" s="88">
        <f>AV73</f>
        <v>0.78300000000000003</v>
      </c>
      <c r="AG73" s="72">
        <f>((AW73-AV73)+(AX73-AW73))/2</f>
        <v>-4.500000000000004E-2</v>
      </c>
      <c r="AH73" s="4"/>
      <c r="AI73" s="72">
        <f>RSQ(AV73:AX73,AV72:AX72)</f>
        <v>0.98992255295325182</v>
      </c>
      <c r="AJ73" s="110">
        <f>SLOPE(AV73:AX73,AV72:AX72)</f>
        <v>-1.9619047619047637E-2</v>
      </c>
      <c r="AK73" s="72">
        <f>INTERCEPT(AV73:AX73,AV72:AX72)</f>
        <v>0.80900000000000016</v>
      </c>
      <c r="AL73" s="72">
        <f>INDEX(LINEST(LN(AV73:AX73),LN(AV72:AX72),TRUE,TRUE),3,1)</f>
        <v>0.98870381078212843</v>
      </c>
      <c r="AM73" s="72">
        <f>INDEX(LINEST(LN(AV73:AX73),LN(AV72:AX72)),1)</f>
        <v>-8.8078477576913547E-2</v>
      </c>
      <c r="AN73" s="72">
        <f>EXP(INDEX(LINEST(LN(AV73:AX73),LN(AV72:AX72)),1,2))</f>
        <v>0.81453147368452661</v>
      </c>
      <c r="AO73" s="89">
        <f>INDEX(LINEST((AV73:AX73),LN(AV72:AX72),TRUE,TRUE),3,1)</f>
        <v>0.99199869366427162</v>
      </c>
      <c r="AP73" s="89">
        <f>INDEX(LINEST((AV73:AX73),LN(AV72:AX72)),1)</f>
        <v>-6.49212768400034E-2</v>
      </c>
      <c r="AQ73" s="90">
        <f>INDEX(LINEST(LN(AV73:AX73),SQRT(AV72:AX72),TRUE,TRUE),3,1)</f>
        <v>0.99993995242761635</v>
      </c>
      <c r="AR73" s="117">
        <f>INDEX(LINEST(LN(AV73:AX73),SQRT((AV72:AX72))),1)</f>
        <v>-9.9773022666254943E-2</v>
      </c>
      <c r="AS73" s="91">
        <f>INDEX(LINEST(1/(AV73:AX73),1/(SQRT(AV72:AX72)),TRUE,TRUE),3,1)</f>
        <v>0.95154270486055814</v>
      </c>
      <c r="AT73" s="91">
        <f>INDEX(LINEST(1/(AV73:AX73),1/SQRT(AV72:AX72)),1)</f>
        <v>-0.39739452263512554</v>
      </c>
      <c r="AU73" s="3"/>
      <c r="AV73" s="73">
        <v>0.78300000000000003</v>
      </c>
      <c r="AW73" s="73">
        <v>0.745</v>
      </c>
      <c r="AX73" s="73">
        <v>0.69299999999999995</v>
      </c>
      <c r="AY73" s="53"/>
      <c r="AZ73" s="53"/>
      <c r="BA73" s="53"/>
      <c r="BB73" s="53"/>
      <c r="BC73" s="53"/>
      <c r="BD73" s="53"/>
      <c r="BE73" s="53"/>
      <c r="BF73" s="53"/>
      <c r="BG73" s="53"/>
      <c r="BH73" s="53"/>
      <c r="BI73" s="53"/>
      <c r="BJ73" s="53"/>
      <c r="BK73" s="53"/>
      <c r="BL73" s="53"/>
      <c r="BM73" s="53"/>
      <c r="BN73" s="53"/>
      <c r="BO73" s="53"/>
      <c r="BP73" s="53"/>
      <c r="BQ73" s="53"/>
      <c r="BR73" s="53"/>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3"/>
      <c r="CQ73" s="53"/>
      <c r="CR73" s="1"/>
      <c r="CS73" s="1"/>
      <c r="CT73" s="1"/>
      <c r="CU73" s="1"/>
    </row>
    <row r="74" spans="1:99" s="13" customFormat="1" ht="12" customHeight="1" x14ac:dyDescent="0.2">
      <c r="A74" s="68">
        <v>43509</v>
      </c>
      <c r="B74" s="70"/>
      <c r="C74" s="70"/>
      <c r="D74" s="69"/>
      <c r="E74" s="87"/>
      <c r="F74" s="69"/>
      <c r="G74" s="69"/>
      <c r="H74" s="69"/>
      <c r="I74" s="69"/>
      <c r="J74" s="69"/>
      <c r="K74" s="107"/>
      <c r="L74" s="107"/>
      <c r="M74" s="69"/>
      <c r="N74" s="69"/>
      <c r="O74" s="69"/>
      <c r="P74" s="69"/>
      <c r="Q74" s="69"/>
      <c r="R74" s="69"/>
      <c r="S74" s="69"/>
      <c r="T74" s="69"/>
      <c r="U74" s="60"/>
      <c r="V74" s="69"/>
      <c r="W74" s="69"/>
      <c r="X74" s="69"/>
      <c r="Y74" s="87"/>
      <c r="Z74" s="69"/>
      <c r="AA74" s="69"/>
      <c r="AB74" s="69"/>
      <c r="AC74" s="69"/>
      <c r="AD74" s="69"/>
      <c r="AE74" s="69"/>
      <c r="AF74" s="88"/>
      <c r="AG74" s="72"/>
      <c r="AH74" s="4"/>
      <c r="AI74" s="72"/>
      <c r="AJ74" s="110"/>
      <c r="AK74" s="72"/>
      <c r="AL74" s="72"/>
      <c r="AM74" s="72"/>
      <c r="AN74" s="72"/>
      <c r="AO74" s="72"/>
      <c r="AP74" s="72"/>
      <c r="AQ74" s="72"/>
      <c r="AR74" s="110"/>
      <c r="AS74" s="72"/>
      <c r="AT74" s="72"/>
      <c r="AU74" s="4"/>
      <c r="AV74" s="125">
        <v>1.5</v>
      </c>
      <c r="AW74" s="71">
        <v>3</v>
      </c>
      <c r="AX74" s="71">
        <v>6</v>
      </c>
      <c r="AY74" s="53"/>
      <c r="AZ74" s="53"/>
      <c r="BA74" s="53"/>
      <c r="BB74" s="53"/>
      <c r="BC74" s="53"/>
      <c r="BD74" s="53"/>
      <c r="BE74" s="53"/>
      <c r="BF74" s="53"/>
      <c r="BG74" s="53"/>
      <c r="BH74" s="53"/>
      <c r="BI74" s="53"/>
      <c r="BJ74" s="53"/>
      <c r="BK74" s="53"/>
      <c r="BL74" s="53"/>
      <c r="BM74" s="53"/>
      <c r="BN74" s="53"/>
      <c r="BO74" s="53"/>
      <c r="BP74" s="53"/>
      <c r="BQ74" s="53"/>
      <c r="BR74" s="53"/>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3"/>
      <c r="CQ74" s="53"/>
      <c r="CR74" s="1"/>
      <c r="CS74" s="1"/>
      <c r="CT74" s="1"/>
      <c r="CU74" s="1"/>
    </row>
    <row r="75" spans="1:99" s="13" customFormat="1" ht="12" customHeight="1" x14ac:dyDescent="0.2">
      <c r="A75" s="68">
        <v>43509</v>
      </c>
      <c r="B75" s="70" t="s">
        <v>250</v>
      </c>
      <c r="C75" s="70" t="s">
        <v>33</v>
      </c>
      <c r="D75" s="69">
        <v>2010</v>
      </c>
      <c r="E75" s="87">
        <v>2</v>
      </c>
      <c r="F75" s="69">
        <v>32</v>
      </c>
      <c r="G75" s="69">
        <v>32</v>
      </c>
      <c r="H75" s="69" t="s">
        <v>38</v>
      </c>
      <c r="I75" s="69" t="s">
        <v>761</v>
      </c>
      <c r="J75" s="69" t="s">
        <v>765</v>
      </c>
      <c r="K75" s="69">
        <f>IF(J75="syllables",1,IF(J75="trigrams",2,IF(J75="strings",3,IF(J75="visual array",4,IF(J75="characters",5,IF(J75="letters",6,IF(J75="free forms",7,IF(J75="odors",8,IF(J75="words",9,IF(J75="pictures",10,IF(J75="object pictures",11,IF(J75="faces",12,IF(J75="names",13,IF(J75="idioms",14,IF(J75="grades",15,IF(J75="syllable-digit pairs",16,IF(J75="trigram-word pairs",17,IF(J75="word-digit pairs",18,IF(J75="English-Swahili pairs",19,IF(J75="spatial position",20,IF(J75="word pairs",21,IF(J75="word triads",22,IF(J75="generated words",23,IF(J75="word definition pairs",24,IF(J75="math problems",25,IF(J75="famous faces",26,IF(J75="famous names",27,IF(J75="famous voices",28,IF(J75="television programs",29,IF(J75="race horses",30,IF(J75="new vocabulary",31,IF(J75="sentences",32,IF(J75="concepts",33,IF(J75="ad slides",34,IF(J75="scenes",35,IF(J75="famous scenes",36,IF(J75="poems",37,IF(J75="walk",38,IF(J75="faces and events",39,IF(J75="events and names",40,IF(J75="flashbulb",41,IF(J75="stories",42,IF(J75="course material",43,IF(J75="autobiographical",44,IF(J75="novels",45,IF(J75="public events",46,"99"))))))))))))))))))))))))))))))))))))))))))))))</f>
        <v>5</v>
      </c>
      <c r="L75" s="69">
        <f>IF(J75="syllables",1,IF(J75="trigrams",1,IF(J75="strings",1,IF(J75="visual array",1,IF(J75="characters",1,IF(J75="letters",1,IF(J75="free forms",1,IF(J75="odors",2,IF(J75="words",2,IF(J75="pictures",2,IF(J75="object pictures",2,IF(J75="faces",2,IF(J75="names",2,IF(J75="idioms","2",IF(J75="grades",2,IF(J75="syllable-digit pairs",3,IF(J75="trigram-word pairs",3,IF(J75="word-digit pairs",3,IF(J75="English-Swahili pairs",3,IF(J75="spatial position",3,IF(J75="word pairs",4,IF(J75="word triads",4,IF(J75="generated words",4,IF(J75="word definition pairs",4,IF(J75="math problems",4,IF(J75="famous faces",4,IF(J75="famous names",4,IF(J75="famous voices",4,IF(J75="television programs",4,IF(J75="race horses",4,IF(J75="new vocabulary",4,IF(J75="sentences",5,IF(J75="concepts",5,IF(J75="ad slides",5,IF(J75="scenes",5,IF(J75="famous scenes",5,IF(J75="poems",6,IF(J75="walk",6,IF(J75="faces and events",6,IF(J75="events and names",6,IF(J75="flashbulb",7,IF(J75="stories",7,IF(J75="course material",7,IF(J75="autobiographical",7,IF(J75="novels",7,IF(J75="public events",7,"99"))))))))))))))))))))))))))))))))))))))))))))))</f>
        <v>1</v>
      </c>
      <c r="M75" s="69">
        <v>0</v>
      </c>
      <c r="N75" s="69">
        <v>1</v>
      </c>
      <c r="O75" s="69">
        <v>1</v>
      </c>
      <c r="P75" s="69" t="s">
        <v>37</v>
      </c>
      <c r="Q75" s="69" t="s">
        <v>34</v>
      </c>
      <c r="R75" s="69">
        <f>IF(Q75="Free Recall",1,IF(Q75="Cued Recall",2,IF(Q75="Recognition",3,IF(Q75="Multiple Choice",4,IF(Q75="Savings",5,IF(Q75="Stem Completion",6,IF(Q75="Fragment Completion",7,IF(Q75="anagram solution",8,IF(Q75="Matching",9,IF(Q75="Problem Solving",10,"99"))))))))))</f>
        <v>3</v>
      </c>
      <c r="S75" s="69" t="s">
        <v>15</v>
      </c>
      <c r="T75" s="92" t="s">
        <v>581</v>
      </c>
      <c r="U75" s="60">
        <f>IF(T75="within",1,0)</f>
        <v>1</v>
      </c>
      <c r="V75" s="92">
        <v>24</v>
      </c>
      <c r="W75" s="69">
        <f>F75*V75</f>
        <v>768</v>
      </c>
      <c r="X75" s="69">
        <v>3</v>
      </c>
      <c r="Y75" s="87">
        <f>AV74</f>
        <v>1.5</v>
      </c>
      <c r="Z75" s="69" t="s">
        <v>39</v>
      </c>
      <c r="AA75" s="69">
        <v>6</v>
      </c>
      <c r="AB75" s="69" t="str">
        <f>IF(AA75&lt;60,"1",IF(AA75&lt;=43200,"2",IF(AA75&lt;=777600,"3","4")))</f>
        <v>1</v>
      </c>
      <c r="AC75" s="72">
        <f>AVERAGE(AV74:DA74)</f>
        <v>3.5</v>
      </c>
      <c r="AD75" s="69" t="str">
        <f>IF(AC75&lt;60,"1",IF(AC75&lt;=43200,"2",IF(AC75&lt;=777600,"3","4")))</f>
        <v>1</v>
      </c>
      <c r="AE75" s="87">
        <f>AA75-Y75</f>
        <v>4.5</v>
      </c>
      <c r="AF75" s="88">
        <f>AV75</f>
        <v>0.85199999999999998</v>
      </c>
      <c r="AG75" s="72">
        <f>((AW75-AV75)+(AX75-AW75))/2</f>
        <v>-3.7499999999999978E-2</v>
      </c>
      <c r="AH75" s="4"/>
      <c r="AI75" s="72">
        <f>RSQ(AV75:AX75,AV74:AX74)</f>
        <v>0.97717666948436188</v>
      </c>
      <c r="AJ75" s="110">
        <f>SLOPE(AV75:AX75,AV74:AX74)</f>
        <v>-1.6190476190476179E-2</v>
      </c>
      <c r="AK75" s="72">
        <f>INTERCEPT(AV75:AX75,AV74:AX74)</f>
        <v>0.872</v>
      </c>
      <c r="AL75" s="72">
        <f>INDEX(LINEST(LN(AV75:AX75),LN(AV74:AX74),TRUE,TRUE),3,1)</f>
        <v>0.99733430206016405</v>
      </c>
      <c r="AM75" s="72">
        <f>INDEX(LINEST(LN(AV75:AX75),LN(AV74:AX74)),1)</f>
        <v>-6.6469415909064036E-2</v>
      </c>
      <c r="AN75" s="72">
        <f>EXP(INDEX(LINEST(LN(AV75:AX75),LN(AV74:AX74)),1,2))</f>
        <v>0.8764790257193078</v>
      </c>
      <c r="AO75" s="89">
        <f>INDEX(LINEST((AV75:AX75),LN(AV74:AX74),TRUE,TRUE),3,1)</f>
        <v>0.99852071005917165</v>
      </c>
      <c r="AP75" s="89">
        <f>INDEX(LINEST((AV75:AX75),LN(AV74:AX74)),1)</f>
        <v>-5.4101064033336095E-2</v>
      </c>
      <c r="AQ75" s="90">
        <f>INDEX(LINEST(LN(AV75:AX75),SQRT(AV74:AX74),TRUE,TRUE),3,1)</f>
        <v>0.99778490598308212</v>
      </c>
      <c r="AR75" s="117">
        <f>INDEX(LINEST(LN(AV75:AX75),SQRT((AV74:AX74))),1)</f>
        <v>-7.4887515603700869E-2</v>
      </c>
      <c r="AS75" s="91">
        <f>INDEX(LINEST(1/(AV75:AX75),1/(SQRT(AV74:AX74)),TRUE,TRUE),3,1)</f>
        <v>0.97349959102852801</v>
      </c>
      <c r="AT75" s="91">
        <f>INDEX(LINEST(1/(AV75:AX75),1/SQRT(AV74:AX74)),1)</f>
        <v>-0.27304595022937844</v>
      </c>
      <c r="AU75" s="3"/>
      <c r="AV75" s="73">
        <v>0.85199999999999998</v>
      </c>
      <c r="AW75" s="73">
        <v>0.81699999999999995</v>
      </c>
      <c r="AX75" s="73">
        <v>0.77700000000000002</v>
      </c>
      <c r="AY75" s="53"/>
      <c r="AZ75" s="53"/>
      <c r="BA75" s="53"/>
      <c r="BB75" s="53"/>
      <c r="BC75" s="53"/>
      <c r="BD75" s="53"/>
      <c r="BE75" s="53"/>
      <c r="BF75" s="53"/>
      <c r="BG75" s="53"/>
      <c r="BH75" s="53"/>
      <c r="BI75" s="53"/>
      <c r="BJ75" s="53"/>
      <c r="BK75" s="53"/>
      <c r="BL75" s="53"/>
      <c r="BM75" s="53"/>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1"/>
      <c r="CS75" s="1"/>
      <c r="CT75" s="1"/>
      <c r="CU75" s="1"/>
    </row>
    <row r="76" spans="1:99" s="13" customFormat="1" ht="12" customHeight="1" x14ac:dyDescent="0.2">
      <c r="A76" s="68">
        <v>43509</v>
      </c>
      <c r="B76" s="70"/>
      <c r="C76" s="70"/>
      <c r="D76" s="69"/>
      <c r="E76" s="87"/>
      <c r="F76" s="69"/>
      <c r="G76" s="69"/>
      <c r="H76" s="69"/>
      <c r="I76" s="69"/>
      <c r="J76" s="69"/>
      <c r="K76" s="107"/>
      <c r="L76" s="107"/>
      <c r="M76" s="69"/>
      <c r="N76" s="69"/>
      <c r="O76" s="69"/>
      <c r="P76" s="69"/>
      <c r="Q76" s="69"/>
      <c r="R76" s="69"/>
      <c r="S76" s="69"/>
      <c r="T76" s="69"/>
      <c r="U76" s="60"/>
      <c r="V76" s="69"/>
      <c r="W76" s="69"/>
      <c r="X76" s="69"/>
      <c r="Y76" s="87"/>
      <c r="Z76" s="69"/>
      <c r="AA76" s="69"/>
      <c r="AB76" s="69"/>
      <c r="AC76" s="69"/>
      <c r="AD76" s="69"/>
      <c r="AE76" s="69"/>
      <c r="AF76" s="88"/>
      <c r="AG76" s="72"/>
      <c r="AH76" s="4"/>
      <c r="AI76" s="72"/>
      <c r="AJ76" s="110"/>
      <c r="AK76" s="72"/>
      <c r="AL76" s="72"/>
      <c r="AM76" s="72"/>
      <c r="AN76" s="72"/>
      <c r="AO76" s="89"/>
      <c r="AP76" s="89"/>
      <c r="AQ76" s="89"/>
      <c r="AR76" s="118"/>
      <c r="AS76" s="89"/>
      <c r="AT76" s="89"/>
      <c r="AU76" s="3"/>
      <c r="AV76" s="125">
        <v>1.5</v>
      </c>
      <c r="AW76" s="71">
        <v>3</v>
      </c>
      <c r="AX76" s="71">
        <v>6</v>
      </c>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1"/>
      <c r="CS76" s="1"/>
      <c r="CT76" s="1"/>
      <c r="CU76" s="1"/>
    </row>
    <row r="77" spans="1:99" s="13" customFormat="1" ht="12" customHeight="1" x14ac:dyDescent="0.2">
      <c r="A77" s="68">
        <v>43509</v>
      </c>
      <c r="B77" s="70" t="s">
        <v>250</v>
      </c>
      <c r="C77" s="70" t="s">
        <v>33</v>
      </c>
      <c r="D77" s="69">
        <v>2010</v>
      </c>
      <c r="E77" s="87">
        <v>2</v>
      </c>
      <c r="F77" s="69">
        <v>32</v>
      </c>
      <c r="G77" s="69">
        <v>32</v>
      </c>
      <c r="H77" s="69" t="s">
        <v>38</v>
      </c>
      <c r="I77" s="69" t="s">
        <v>766</v>
      </c>
      <c r="J77" s="69" t="s">
        <v>765</v>
      </c>
      <c r="K77" s="69">
        <f>IF(J77="syllables",1,IF(J77="trigrams",2,IF(J77="strings",3,IF(J77="visual array",4,IF(J77="characters",5,IF(J77="letters",6,IF(J77="free forms",7,IF(J77="odors",8,IF(J77="words",9,IF(J77="pictures",10,IF(J77="object pictures",11,IF(J77="faces",12,IF(J77="names",13,IF(J77="idioms",14,IF(J77="grades",15,IF(J77="syllable-digit pairs",16,IF(J77="trigram-word pairs",17,IF(J77="word-digit pairs",18,IF(J77="English-Swahili pairs",19,IF(J77="spatial position",20,IF(J77="word pairs",21,IF(J77="word triads",22,IF(J77="generated words",23,IF(J77="word definition pairs",24,IF(J77="math problems",25,IF(J77="famous faces",26,IF(J77="famous names",27,IF(J77="famous voices",28,IF(J77="television programs",29,IF(J77="race horses",30,IF(J77="new vocabulary",31,IF(J77="sentences",32,IF(J77="concepts",33,IF(J77="ad slides",34,IF(J77="scenes",35,IF(J77="famous scenes",36,IF(J77="poems",37,IF(J77="walk",38,IF(J77="faces and events",39,IF(J77="events and names",40,IF(J77="flashbulb",41,IF(J77="stories",42,IF(J77="course material",43,IF(J77="autobiographical",44,IF(J77="novels",45,IF(J77="public events",46,"99"))))))))))))))))))))))))))))))))))))))))))))))</f>
        <v>5</v>
      </c>
      <c r="L77" s="69">
        <f>IF(J77="syllables",1,IF(J77="trigrams",1,IF(J77="strings",1,IF(J77="visual array",1,IF(J77="characters",1,IF(J77="letters",1,IF(J77="free forms",1,IF(J77="odors",2,IF(J77="words",2,IF(J77="pictures",2,IF(J77="object pictures",2,IF(J77="faces",2,IF(J77="names",2,IF(J77="idioms","2",IF(J77="grades",2,IF(J77="syllable-digit pairs",3,IF(J77="trigram-word pairs",3,IF(J77="word-digit pairs",3,IF(J77="English-Swahili pairs",3,IF(J77="spatial position",3,IF(J77="word pairs",4,IF(J77="word triads",4,IF(J77="generated words",4,IF(J77="word definition pairs",4,IF(J77="math problems",4,IF(J77="famous faces",4,IF(J77="famous names",4,IF(J77="famous voices",4,IF(J77="television programs",4,IF(J77="race horses",4,IF(J77="new vocabulary",4,IF(J77="sentences",5,IF(J77="concepts",5,IF(J77="ad slides",5,IF(J77="scenes",5,IF(J77="famous scenes",5,IF(J77="poems",6,IF(J77="walk",6,IF(J77="faces and events",6,IF(J77="events and names",6,IF(J77="flashbulb",7,IF(J77="stories",7,IF(J77="course material",7,IF(J77="autobiographical",7,IF(J77="novels",7,IF(J77="public events",7,"99"))))))))))))))))))))))))))))))))))))))))))))))</f>
        <v>1</v>
      </c>
      <c r="M77" s="69">
        <v>0</v>
      </c>
      <c r="N77" s="69">
        <v>1</v>
      </c>
      <c r="O77" s="69">
        <v>1</v>
      </c>
      <c r="P77" s="69" t="s">
        <v>37</v>
      </c>
      <c r="Q77" s="69" t="s">
        <v>34</v>
      </c>
      <c r="R77" s="69">
        <f>IF(Q77="Free Recall",1,IF(Q77="Cued Recall",2,IF(Q77="Recognition",3,IF(Q77="Multiple Choice",4,IF(Q77="Savings",5,IF(Q77="Stem Completion",6,IF(Q77="Fragment Completion",7,IF(Q77="anagram solution",8,IF(Q77="Matching",9,IF(Q77="Problem Solving",10,"99"))))))))))</f>
        <v>3</v>
      </c>
      <c r="S77" s="69" t="s">
        <v>15</v>
      </c>
      <c r="T77" s="92" t="s">
        <v>581</v>
      </c>
      <c r="U77" s="60">
        <f>IF(T77="within",1,0)</f>
        <v>1</v>
      </c>
      <c r="V77" s="92">
        <v>24</v>
      </c>
      <c r="W77" s="69">
        <f>F77*V77</f>
        <v>768</v>
      </c>
      <c r="X77" s="69">
        <v>3</v>
      </c>
      <c r="Y77" s="87">
        <f>AV76</f>
        <v>1.5</v>
      </c>
      <c r="Z77" s="69" t="s">
        <v>39</v>
      </c>
      <c r="AA77" s="69">
        <v>6</v>
      </c>
      <c r="AB77" s="69" t="str">
        <f>IF(AA77&lt;60,"1",IF(AA77&lt;=43200,"2",IF(AA77&lt;=777600,"3","4")))</f>
        <v>1</v>
      </c>
      <c r="AC77" s="72">
        <f>AVERAGE(AV76:DA76)</f>
        <v>3.5</v>
      </c>
      <c r="AD77" s="69" t="str">
        <f>IF(AC77&lt;60,"1",IF(AC77&lt;=43200,"2",IF(AC77&lt;=777600,"3","4")))</f>
        <v>1</v>
      </c>
      <c r="AE77" s="87">
        <f>AA77-Y77</f>
        <v>4.5</v>
      </c>
      <c r="AF77" s="88">
        <f>AV77</f>
        <v>0.79200000000000004</v>
      </c>
      <c r="AG77" s="72">
        <f>((AW77-AV77)+(AX77-AW77))/2</f>
        <v>-3.7000000000000033E-2</v>
      </c>
      <c r="AH77" s="4"/>
      <c r="AI77" s="72">
        <f>RSQ(AV77:AX77,AV76:AX76)</f>
        <v>0.75241155054921105</v>
      </c>
      <c r="AJ77" s="110">
        <f>SLOPE(AV77:AX77,AV76:AX76)</f>
        <v>-1.4809523809523823E-2</v>
      </c>
      <c r="AK77" s="72">
        <f>INTERCEPT(AV77:AX77,AV76:AX76)</f>
        <v>0.79949999999999999</v>
      </c>
      <c r="AL77" s="72">
        <f>INDEX(LINEST(LN(AV77:AX77),LN(AV76:AX76),TRUE,TRUE),3,1)</f>
        <v>0.89966221712579653</v>
      </c>
      <c r="AM77" s="72">
        <f>INDEX(LINEST(LN(AV77:AX77),LN(AV76:AX76)),1)</f>
        <v>-7.075829312827922E-2</v>
      </c>
      <c r="AN77" s="72">
        <f>EXP(INDEX(LINEST(LN(AV77:AX77),LN(AV76:AX76)),1,2))</f>
        <v>0.80738030736674093</v>
      </c>
      <c r="AO77" s="89">
        <f>INDEX(LINEST((AV77:AX77),LN(AV76:AX76),TRUE,TRUE),3,1)</f>
        <v>0.89457634502287087</v>
      </c>
      <c r="AP77" s="89">
        <f>INDEX(LINEST((AV77:AX77),LN(AV76:AX76)),1)</f>
        <v>-5.3379716512891702E-2</v>
      </c>
      <c r="AQ77" s="90">
        <f>INDEX(LINEST(LN(AV77:AX77),SQRT(AV76:AX76),TRUE,TRUE),3,1)</f>
        <v>0.83294981272382496</v>
      </c>
      <c r="AR77" s="117">
        <f>INDEX(LINEST(LN(AV77:AX77),SQRT((AV76:AX76))),1)</f>
        <v>-7.6689604558223393E-2</v>
      </c>
      <c r="AS77" s="91">
        <f>INDEX(LINEST(1/(AV77:AX77),1/(SQRT(AV76:AX76)),TRUE,TRUE),3,1)</f>
        <v>0.95448354714236616</v>
      </c>
      <c r="AT77" s="91">
        <f>INDEX(LINEST(1/(AV77:AX77),1/SQRT(AV76:AX76)),1)</f>
        <v>-0.32580315633484025</v>
      </c>
      <c r="AU77" s="3"/>
      <c r="AV77" s="73">
        <v>0.79200000000000004</v>
      </c>
      <c r="AW77" s="73">
        <v>0.73299999999999998</v>
      </c>
      <c r="AX77" s="73">
        <v>0.71799999999999997</v>
      </c>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1"/>
      <c r="CS77" s="1"/>
      <c r="CT77" s="1"/>
      <c r="CU77" s="1"/>
    </row>
    <row r="78" spans="1:99" s="13" customFormat="1" ht="12" customHeight="1" x14ac:dyDescent="0.2">
      <c r="A78" s="68">
        <v>43509</v>
      </c>
      <c r="B78" s="70"/>
      <c r="C78" s="70"/>
      <c r="D78" s="69"/>
      <c r="E78" s="87"/>
      <c r="F78" s="69"/>
      <c r="G78" s="69"/>
      <c r="H78" s="69"/>
      <c r="I78" s="69"/>
      <c r="J78" s="69"/>
      <c r="K78" s="107"/>
      <c r="L78" s="107"/>
      <c r="M78" s="69"/>
      <c r="N78" s="69"/>
      <c r="O78" s="69"/>
      <c r="P78" s="69"/>
      <c r="Q78" s="69"/>
      <c r="R78" s="69"/>
      <c r="S78" s="69"/>
      <c r="T78" s="69"/>
      <c r="U78" s="60"/>
      <c r="V78" s="69"/>
      <c r="W78" s="69"/>
      <c r="X78" s="69"/>
      <c r="Y78" s="87"/>
      <c r="Z78" s="69"/>
      <c r="AA78" s="69"/>
      <c r="AB78" s="69"/>
      <c r="AC78" s="69"/>
      <c r="AD78" s="69"/>
      <c r="AE78" s="69"/>
      <c r="AF78" s="88"/>
      <c r="AG78" s="72"/>
      <c r="AH78" s="4"/>
      <c r="AI78" s="72"/>
      <c r="AJ78" s="110"/>
      <c r="AK78" s="72"/>
      <c r="AL78" s="72"/>
      <c r="AM78" s="72"/>
      <c r="AN78" s="72"/>
      <c r="AO78" s="89"/>
      <c r="AP78" s="89"/>
      <c r="AQ78" s="89"/>
      <c r="AR78" s="118"/>
      <c r="AS78" s="89"/>
      <c r="AT78" s="89"/>
      <c r="AU78" s="3"/>
      <c r="AV78" s="125">
        <v>1.5</v>
      </c>
      <c r="AW78" s="71">
        <v>3</v>
      </c>
      <c r="AX78" s="71">
        <v>6</v>
      </c>
      <c r="AY78" s="53"/>
      <c r="AZ78" s="53"/>
      <c r="BA78" s="53"/>
      <c r="BB78" s="53"/>
      <c r="BC78" s="53"/>
      <c r="BD78" s="53"/>
      <c r="BE78" s="53"/>
      <c r="BF78" s="53"/>
      <c r="BG78" s="53"/>
      <c r="BH78" s="53"/>
      <c r="BI78" s="53"/>
      <c r="BJ78" s="53"/>
      <c r="BK78" s="53"/>
      <c r="BL78" s="53"/>
      <c r="BM78" s="53"/>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1"/>
      <c r="CS78" s="1"/>
      <c r="CT78" s="1"/>
      <c r="CU78" s="1"/>
    </row>
    <row r="79" spans="1:99" s="13" customFormat="1" ht="12" customHeight="1" x14ac:dyDescent="0.2">
      <c r="A79" s="68">
        <v>43509</v>
      </c>
      <c r="B79" s="70" t="s">
        <v>250</v>
      </c>
      <c r="C79" s="70" t="s">
        <v>33</v>
      </c>
      <c r="D79" s="69">
        <v>2010</v>
      </c>
      <c r="E79" s="87">
        <v>2</v>
      </c>
      <c r="F79" s="69">
        <v>32</v>
      </c>
      <c r="G79" s="69">
        <v>32</v>
      </c>
      <c r="H79" s="69" t="s">
        <v>38</v>
      </c>
      <c r="I79" s="69" t="s">
        <v>766</v>
      </c>
      <c r="J79" s="69" t="s">
        <v>630</v>
      </c>
      <c r="K79" s="69">
        <f>IF(J79="syllables",1,IF(J79="trigrams",2,IF(J79="strings",3,IF(J79="visual array",4,IF(J79="characters",5,IF(J79="letters",6,IF(J79="free forms",7,IF(J79="odors",8,IF(J79="words",9,IF(J79="pictures",10,IF(J79="object pictures",11,IF(J79="faces",12,IF(J79="names",13,IF(J79="idioms",14,IF(J79="grades",15,IF(J79="syllable-digit pairs",16,IF(J79="trigram-word pairs",17,IF(J79="word-digit pairs",18,IF(J79="English-Swahili pairs",19,IF(J79="spatial position",20,IF(J79="word pairs",21,IF(J79="word triads",22,IF(J79="generated words",23,IF(J79="word definition pairs",24,IF(J79="math problems",25,IF(J79="famous faces",26,IF(J79="famous names",27,IF(J79="famous voices",28,IF(J79="television programs",29,IF(J79="race horses",30,IF(J79="new vocabulary",31,IF(J79="sentences",32,IF(J79="concepts",33,IF(J79="ad slides",34,IF(J79="scenes",35,IF(J79="famous scenes",36,IF(J79="poems",37,IF(J79="walk",38,IF(J79="faces and events",39,IF(J79="events and names",40,IF(J79="flashbulb",41,IF(J79="stories",42,IF(J79="course material",43,IF(J79="autobiographical",44,IF(J79="novels",45,IF(J79="public events",46,"99"))))))))))))))))))))))))))))))))))))))))))))))</f>
        <v>6</v>
      </c>
      <c r="L79" s="69">
        <f>IF(J79="syllables",1,IF(J79="trigrams",1,IF(J79="strings",1,IF(J79="visual array",1,IF(J79="characters",1,IF(J79="letters",1,IF(J79="free forms",1,IF(J79="odors",2,IF(J79="words",2,IF(J79="pictures",2,IF(J79="object pictures",2,IF(J79="faces",2,IF(J79="names",2,IF(J79="idioms","2",IF(J79="grades",2,IF(J79="syllable-digit pairs",3,IF(J79="trigram-word pairs",3,IF(J79="word-digit pairs",3,IF(J79="English-Swahili pairs",3,IF(J79="spatial position",3,IF(J79="word pairs",4,IF(J79="word triads",4,IF(J79="generated words",4,IF(J79="word definition pairs",4,IF(J79="math problems",4,IF(J79="famous faces",4,IF(J79="famous names",4,IF(J79="famous voices",4,IF(J79="television programs",4,IF(J79="race horses",4,IF(J79="new vocabulary",4,IF(J79="sentences",5,IF(J79="concepts",5,IF(J79="ad slides",5,IF(J79="scenes",5,IF(J79="famous scenes",5,IF(J79="poems",6,IF(J79="walk",6,IF(J79="faces and events",6,IF(J79="events and names",6,IF(J79="flashbulb",7,IF(J79="stories",7,IF(J79="course material",7,IF(J79="autobiographical",7,IF(J79="novels",7,IF(J79="public events",7,"99"))))))))))))))))))))))))))))))))))))))))))))))</f>
        <v>1</v>
      </c>
      <c r="M79" s="69">
        <v>0</v>
      </c>
      <c r="N79" s="69">
        <v>1</v>
      </c>
      <c r="O79" s="69">
        <v>1</v>
      </c>
      <c r="P79" s="69" t="s">
        <v>37</v>
      </c>
      <c r="Q79" s="69" t="s">
        <v>34</v>
      </c>
      <c r="R79" s="69">
        <f>IF(Q79="Free Recall",1,IF(Q79="Cued Recall",2,IF(Q79="Recognition",3,IF(Q79="Multiple Choice",4,IF(Q79="Savings",5,IF(Q79="Stem Completion",6,IF(Q79="Fragment Completion",7,IF(Q79="anagram solution",8,IF(Q79="Matching",9,IF(Q79="Problem Solving",10,"99"))))))))))</f>
        <v>3</v>
      </c>
      <c r="S79" s="69" t="s">
        <v>15</v>
      </c>
      <c r="T79" s="92" t="s">
        <v>581</v>
      </c>
      <c r="U79" s="60">
        <f>IF(T79="within",1,0)</f>
        <v>1</v>
      </c>
      <c r="V79" s="92">
        <v>24</v>
      </c>
      <c r="W79" s="69">
        <f>F79*V79</f>
        <v>768</v>
      </c>
      <c r="X79" s="69">
        <v>3</v>
      </c>
      <c r="Y79" s="87">
        <f>AV78</f>
        <v>1.5</v>
      </c>
      <c r="Z79" s="69" t="s">
        <v>39</v>
      </c>
      <c r="AA79" s="69">
        <v>6</v>
      </c>
      <c r="AB79" s="69" t="str">
        <f>IF(AA79&lt;60,"1",IF(AA79&lt;=43200,"2",IF(AA79&lt;=777600,"3","4")))</f>
        <v>1</v>
      </c>
      <c r="AC79" s="72">
        <f>AVERAGE(AV78:DA78)</f>
        <v>3.5</v>
      </c>
      <c r="AD79" s="69" t="str">
        <f>IF(AC79&lt;60,"1",IF(AC79&lt;=43200,"2",IF(AC79&lt;=777600,"3","4")))</f>
        <v>1</v>
      </c>
      <c r="AE79" s="87">
        <f>AA79-Y79</f>
        <v>4.5</v>
      </c>
      <c r="AF79" s="88">
        <f>AV79</f>
        <v>0.74399999999999999</v>
      </c>
      <c r="AG79" s="72">
        <f>((AW79-AV79)+(AX79-AW79))/2</f>
        <v>-5.2499999999999991E-2</v>
      </c>
      <c r="AH79" s="4"/>
      <c r="AI79" s="72">
        <f>RSQ(AV79:AX79,AV78:AX78)</f>
        <v>0.99467245461720621</v>
      </c>
      <c r="AJ79" s="110">
        <f>SLOPE(AV79:AX79,AV78:AX78)</f>
        <v>-2.3666666666666662E-2</v>
      </c>
      <c r="AK79" s="72">
        <f>INTERCEPT(AV79:AX79,AV78:AX78)</f>
        <v>0.78250000000000008</v>
      </c>
      <c r="AL79" s="72">
        <f>INDEX(LINEST(LN(AV79:AX79),LN(AV78:AX78),TRUE,TRUE),3,1)</f>
        <v>0.92429320083115285</v>
      </c>
      <c r="AM79" s="72">
        <f>INDEX(LINEST(LN(AV79:AX79),LN(AV78:AX78)),1)</f>
        <v>-0.10974334508051847</v>
      </c>
      <c r="AN79" s="72">
        <f>EXP(INDEX(LINEST(LN(AV79:AX79),LN(AV78:AX78)),1,2))</f>
        <v>0.78769209640448046</v>
      </c>
      <c r="AO79" s="89">
        <f>INDEX(LINEST((AV79:AX79),LN(AV78:AX78),TRUE,TRUE),3,1)</f>
        <v>0.93232044198895037</v>
      </c>
      <c r="AP79" s="89">
        <f>INDEX(LINEST((AV79:AX79),LN(AV78:AX78)),1)</f>
        <v>-7.5741489646670559E-2</v>
      </c>
      <c r="AQ79" s="90">
        <f>INDEX(LINEST(LN(AV79:AX79),SQRT(AV78:AX78),TRUE,TRUE),3,1)</f>
        <v>0.96794530741880347</v>
      </c>
      <c r="AR79" s="117">
        <f>INDEX(LINEST(LN(AV79:AX79),SQRT((AV78:AX78))),1)</f>
        <v>-0.12649932198771541</v>
      </c>
      <c r="AS79" s="91">
        <f>INDEX(LINEST(1/(AV79:AX79),1/(SQRT(AV78:AX78)),TRUE,TRUE),3,1)</f>
        <v>0.85367642857772885</v>
      </c>
      <c r="AT79" s="91">
        <f>INDEX(LINEST(1/(AV79:AX79),1/SQRT(AV78:AX78)),1)</f>
        <v>-0.51967985864343202</v>
      </c>
      <c r="AU79" s="3"/>
      <c r="AV79" s="73">
        <v>0.74399999999999999</v>
      </c>
      <c r="AW79" s="73">
        <v>0.71599999999999997</v>
      </c>
      <c r="AX79" s="73">
        <v>0.63900000000000001</v>
      </c>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1"/>
      <c r="CS79" s="1"/>
      <c r="CT79" s="1"/>
      <c r="CU79" s="1"/>
    </row>
    <row r="80" spans="1:99" s="13" customFormat="1" ht="12" customHeight="1" x14ac:dyDescent="0.2">
      <c r="A80" s="65">
        <v>43509</v>
      </c>
      <c r="B80" s="1"/>
      <c r="C80" s="1"/>
      <c r="D80" s="60"/>
      <c r="E80" s="76"/>
      <c r="F80" s="60"/>
      <c r="G80" s="60"/>
      <c r="H80" s="60"/>
      <c r="I80" s="60"/>
      <c r="J80" s="60"/>
      <c r="K80" s="64"/>
      <c r="L80" s="64"/>
      <c r="M80" s="60"/>
      <c r="N80" s="60"/>
      <c r="O80" s="60"/>
      <c r="P80" s="60"/>
      <c r="Q80" s="60"/>
      <c r="R80" s="60"/>
      <c r="S80" s="60"/>
      <c r="T80" s="60"/>
      <c r="U80" s="60"/>
      <c r="V80" s="60"/>
      <c r="W80" s="60"/>
      <c r="X80" s="60"/>
      <c r="Y80" s="76"/>
      <c r="Z80" s="60"/>
      <c r="AA80" s="60"/>
      <c r="AB80" s="60"/>
      <c r="AC80" s="60"/>
      <c r="AD80" s="60"/>
      <c r="AE80" s="60"/>
      <c r="AF80" s="80"/>
      <c r="AG80" s="56"/>
      <c r="AH80" s="4"/>
      <c r="AI80" s="56"/>
      <c r="AJ80" s="109"/>
      <c r="AK80" s="56"/>
      <c r="AL80" s="56"/>
      <c r="AM80" s="56"/>
      <c r="AN80" s="56"/>
      <c r="AO80" s="56"/>
      <c r="AP80" s="56"/>
      <c r="AQ80" s="56"/>
      <c r="AR80" s="109"/>
      <c r="AS80" s="56"/>
      <c r="AT80" s="56"/>
      <c r="AU80" s="4"/>
      <c r="AV80" s="53">
        <v>1</v>
      </c>
      <c r="AW80" s="25">
        <v>6</v>
      </c>
      <c r="AX80" s="25">
        <v>12</v>
      </c>
      <c r="AY80" s="53"/>
      <c r="AZ80" s="53"/>
      <c r="BA80" s="53"/>
      <c r="BB80" s="53"/>
      <c r="BC80" s="53"/>
      <c r="BD80" s="53"/>
      <c r="BE80" s="53"/>
      <c r="BF80" s="53"/>
      <c r="BG80" s="53"/>
      <c r="BH80" s="53"/>
      <c r="BI80" s="53"/>
      <c r="BJ80" s="53"/>
      <c r="BK80" s="53"/>
      <c r="BL80" s="53"/>
      <c r="BM80" s="53"/>
      <c r="BN80" s="53"/>
      <c r="BO80" s="53"/>
      <c r="BP80" s="53"/>
      <c r="BQ80" s="53"/>
      <c r="BR80" s="53"/>
      <c r="BS80" s="53"/>
      <c r="BT80" s="53"/>
      <c r="BU80" s="53"/>
      <c r="BV80" s="53"/>
      <c r="BW80" s="53"/>
      <c r="BX80" s="53"/>
      <c r="BY80" s="53"/>
      <c r="BZ80" s="53"/>
      <c r="CA80" s="53"/>
      <c r="CB80" s="53"/>
      <c r="CC80" s="53"/>
      <c r="CD80" s="53"/>
      <c r="CE80" s="53"/>
      <c r="CF80" s="53"/>
      <c r="CG80" s="53"/>
      <c r="CH80" s="53"/>
      <c r="CI80" s="53"/>
      <c r="CJ80" s="53"/>
      <c r="CK80" s="53"/>
      <c r="CL80" s="53"/>
      <c r="CM80" s="53"/>
      <c r="CN80" s="53"/>
      <c r="CO80" s="53"/>
      <c r="CP80" s="53"/>
      <c r="CQ80" s="53"/>
      <c r="CR80" s="1"/>
      <c r="CS80" s="1"/>
      <c r="CT80" s="1"/>
      <c r="CU80" s="1"/>
    </row>
    <row r="81" spans="1:99" s="13" customFormat="1" ht="12" customHeight="1" x14ac:dyDescent="0.2">
      <c r="A81" s="65">
        <v>43509</v>
      </c>
      <c r="B81" s="1" t="s">
        <v>251</v>
      </c>
      <c r="C81" s="1" t="s">
        <v>33</v>
      </c>
      <c r="D81" s="60">
        <v>2014</v>
      </c>
      <c r="E81" s="76">
        <v>1</v>
      </c>
      <c r="F81" s="60">
        <v>16</v>
      </c>
      <c r="G81" s="60">
        <v>16</v>
      </c>
      <c r="H81" s="60" t="s">
        <v>41</v>
      </c>
      <c r="I81" s="60" t="s">
        <v>767</v>
      </c>
      <c r="J81" s="60" t="s">
        <v>764</v>
      </c>
      <c r="K81" s="60">
        <f>IF(J81="syllables",1,IF(J81="trigrams",2,IF(J81="strings",3,IF(J81="visual array",4,IF(J81="characters",5,IF(J81="letters",6,IF(J81="free forms",7,IF(J81="odors",8,IF(J81="words",9,IF(J81="pictures",10,IF(J81="object pictures",11,IF(J81="faces",12,IF(J81="names",13,IF(J81="idioms",14,IF(J81="grades",15,IF(J81="syllable-digit pairs",16,IF(J81="trigram-word pairs",17,IF(J81="word-digit pairs",18,IF(J81="English-Swahili pairs",19,IF(J81="spatial position",20,IF(J81="word pairs",21,IF(J81="word triads",22,IF(J81="generated words",23,IF(J81="word definition pairs",24,IF(J81="math problems",25,IF(J81="famous faces",26,IF(J81="famous names",27,IF(J81="famous voices",28,IF(J81="television programs",29,IF(J81="race horses",30,IF(J81="new vocabulary",31,IF(J81="sentences",32,IF(J81="concepts",33,IF(J81="ad slides",34,IF(J81="scenes",35,IF(J81="famous scenes",36,IF(J81="poems",37,IF(J81="walk",38,IF(J81="faces and events",39,IF(J81="events and names",40,IF(J81="flashbulb",41,IF(J81="stories",42,IF(J81="course material",43,IF(J81="autobiographical",44,IF(J81="novels",45,IF(J81="public events",46,"99"))))))))))))))))))))))))))))))))))))))))))))))</f>
        <v>4</v>
      </c>
      <c r="L81" s="60">
        <f>IF(J81="syllables",1,IF(J81="trigrams",1,IF(J81="strings",1,IF(J81="visual array",1,IF(J81="characters",1,IF(J81="letters",1,IF(J81="free forms",1,IF(J81="odors",2,IF(J81="words",2,IF(J81="pictures",2,IF(J81="object pictures",2,IF(J81="faces",2,IF(J81="names",2,IF(J81="idioms","2",IF(J81="grades",2,IF(J81="syllable-digit pairs",3,IF(J81="trigram-word pairs",3,IF(J81="word-digit pairs",3,IF(J81="English-Swahili pairs",3,IF(J81="spatial position",3,IF(J81="word pairs",4,IF(J81="word triads",4,IF(J81="generated words",4,IF(J81="word definition pairs",4,IF(J81="math problems",4,IF(J81="famous faces",4,IF(J81="famous names",4,IF(J81="famous voices",4,IF(J81="television programs",4,IF(J81="race horses",4,IF(J81="new vocabulary",4,IF(J81="sentences",5,IF(J81="concepts",5,IF(J81="ad slides",5,IF(J81="scenes",5,IF(J81="famous scenes",5,IF(J81="poems",6,IF(J81="walk",6,IF(J81="faces and events",6,IF(J81="events and names",6,IF(J81="flashbulb",7,IF(J81="stories",7,IF(J81="course material",7,IF(J81="autobiographical",7,IF(J81="novels",7,IF(J81="public events",7,"99"))))))))))))))))))))))))))))))))))))))))))))))</f>
        <v>1</v>
      </c>
      <c r="M81" s="60">
        <v>0</v>
      </c>
      <c r="N81" s="60">
        <v>1</v>
      </c>
      <c r="O81" s="60">
        <v>0</v>
      </c>
      <c r="P81" s="60"/>
      <c r="Q81" s="60" t="s">
        <v>34</v>
      </c>
      <c r="R81" s="60">
        <f>IF(Q81="Free Recall",1,IF(Q81="Cued Recall",2,IF(Q81="Recognition",3,IF(Q81="Multiple Choice",4,IF(Q81="Savings",5,IF(Q81="Stem Completion",6,IF(Q81="Fragment Completion",7,IF(Q81="anagram solution",8,IF(Q81="Matching",9,IF(Q81="Problem Solving",10,"99"))))))))))</f>
        <v>3</v>
      </c>
      <c r="S81" s="60" t="s">
        <v>40</v>
      </c>
      <c r="T81" s="59" t="s">
        <v>581</v>
      </c>
      <c r="U81" s="60">
        <f>IF(T81="within",1,0)</f>
        <v>1</v>
      </c>
      <c r="V81" s="59">
        <v>108</v>
      </c>
      <c r="W81" s="60">
        <f>F81*V81</f>
        <v>1728</v>
      </c>
      <c r="X81" s="60">
        <v>3</v>
      </c>
      <c r="Y81" s="76">
        <f>AV80</f>
        <v>1</v>
      </c>
      <c r="Z81" s="60" t="s">
        <v>42</v>
      </c>
      <c r="AA81" s="60">
        <v>12</v>
      </c>
      <c r="AB81" s="60" t="str">
        <f>IF(AA81&lt;60,"1",IF(AA81&lt;=43200,"2",IF(AA81&lt;=777600,"3","4")))</f>
        <v>1</v>
      </c>
      <c r="AC81" s="56">
        <f>AVERAGE(AV80:DA80)</f>
        <v>6.333333333333333</v>
      </c>
      <c r="AD81" s="60" t="str">
        <f>IF(AC81&lt;60,"1",IF(AC81&lt;=43200,"2",IF(AC81&lt;=777600,"3","4")))</f>
        <v>1</v>
      </c>
      <c r="AE81" s="76">
        <f>AA81-Y81</f>
        <v>11</v>
      </c>
      <c r="AF81" s="80">
        <f>AV81</f>
        <v>0.85599999999999998</v>
      </c>
      <c r="AG81" s="56">
        <f>((AW81-AV81)+(AX81-AW81))/2</f>
        <v>-2.1500000000000019E-2</v>
      </c>
      <c r="AH81" s="4"/>
      <c r="AI81" s="56">
        <f>RSQ(AV81:AX81,AV80:AX80)</f>
        <v>0.77705873571201367</v>
      </c>
      <c r="AJ81" s="109">
        <f>SLOPE(AV81:AX81,AV80:AX80)</f>
        <v>-3.8021978021978049E-3</v>
      </c>
      <c r="AK81" s="56">
        <f>INTERCEPT(AV81:AX81,AV80:AX80)</f>
        <v>0.8527472527472526</v>
      </c>
      <c r="AL81" s="56">
        <f>INDEX(LINEST(LN(AV81:AX81),LN(AV80:AX80),TRUE,TRUE),3,1)</f>
        <v>0.96532587566803452</v>
      </c>
      <c r="AM81" s="56">
        <f>INDEX(LINEST(LN(AV81:AX81),LN(AV80:AX80)),1)</f>
        <v>-2.1795320311497328E-2</v>
      </c>
      <c r="AN81" s="56">
        <f>EXP(INDEX(LINEST(LN(AV81:AX81),LN(AV80:AX80)),1,2))</f>
        <v>0.85458613247531845</v>
      </c>
      <c r="AO81" s="82">
        <f>INDEX(LINEST((AV81:AX81),LN(AV80:AX80),TRUE,TRUE),3,1)</f>
        <v>0.96455802371067456</v>
      </c>
      <c r="AP81" s="82">
        <f>INDEX(LINEST((AV81:AX81),LN(AV80:AX80)),1)</f>
        <v>-1.8194727296521093E-2</v>
      </c>
      <c r="AQ81" s="83">
        <f>INDEX(LINEST(LN(AV81:AX81),SQRT(AV80:AX80),TRUE,TRUE),3,1)</f>
        <v>0.89148954039786998</v>
      </c>
      <c r="AR81" s="116">
        <f>INDEX(LINEST(LN(AV81:AX81),SQRT((AV80:AX80))),1)</f>
        <v>-2.1686995655371074E-2</v>
      </c>
      <c r="AS81" s="84">
        <f>INDEX(LINEST(1/(AV81:AX81),1/(SQRT(AV80:AX80)),TRUE,TRUE),3,1)</f>
        <v>0.9952300194353475</v>
      </c>
      <c r="AT81" s="84">
        <f>INDEX(LINEST(1/(AV81:AX81),1/SQRT(AV80:AX80)),1)</f>
        <v>-8.9230759617749691E-2</v>
      </c>
      <c r="AU81" s="3"/>
      <c r="AV81" s="53">
        <v>0.85599999999999998</v>
      </c>
      <c r="AW81" s="53">
        <v>0.81699999999999995</v>
      </c>
      <c r="AX81" s="53">
        <v>0.81299999999999994</v>
      </c>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c r="BZ81" s="53"/>
      <c r="CA81" s="53"/>
      <c r="CB81" s="53"/>
      <c r="CC81" s="53"/>
      <c r="CD81" s="53"/>
      <c r="CE81" s="53"/>
      <c r="CF81" s="53"/>
      <c r="CG81" s="53"/>
      <c r="CH81" s="53"/>
      <c r="CI81" s="53"/>
      <c r="CJ81" s="53"/>
      <c r="CK81" s="53"/>
      <c r="CL81" s="53"/>
      <c r="CM81" s="53"/>
      <c r="CN81" s="53"/>
      <c r="CO81" s="53"/>
      <c r="CP81" s="53"/>
      <c r="CQ81" s="53"/>
      <c r="CR81" s="1"/>
      <c r="CS81" s="1"/>
      <c r="CT81" s="1"/>
      <c r="CU81" s="1"/>
    </row>
    <row r="82" spans="1:99" s="13" customFormat="1" ht="12" customHeight="1" x14ac:dyDescent="0.2">
      <c r="A82" s="65">
        <v>43509</v>
      </c>
      <c r="B82" s="1"/>
      <c r="C82" s="1"/>
      <c r="D82" s="60"/>
      <c r="E82" s="76"/>
      <c r="F82" s="60"/>
      <c r="G82" s="60"/>
      <c r="H82" s="60"/>
      <c r="I82" s="60"/>
      <c r="J82" s="60"/>
      <c r="K82" s="64"/>
      <c r="L82" s="64"/>
      <c r="M82" s="60"/>
      <c r="N82" s="60"/>
      <c r="O82" s="60"/>
      <c r="P82" s="60"/>
      <c r="Q82" s="60"/>
      <c r="R82" s="60"/>
      <c r="S82" s="60"/>
      <c r="T82" s="60"/>
      <c r="U82" s="60"/>
      <c r="V82" s="60"/>
      <c r="W82" s="60"/>
      <c r="X82" s="60"/>
      <c r="Y82" s="76"/>
      <c r="Z82" s="60"/>
      <c r="AA82" s="60"/>
      <c r="AB82" s="60"/>
      <c r="AC82" s="60"/>
      <c r="AD82" s="60"/>
      <c r="AE82" s="60"/>
      <c r="AF82" s="80"/>
      <c r="AG82" s="56"/>
      <c r="AH82" s="4"/>
      <c r="AI82" s="56"/>
      <c r="AJ82" s="109"/>
      <c r="AK82" s="56"/>
      <c r="AL82" s="56"/>
      <c r="AM82" s="56"/>
      <c r="AN82" s="56"/>
      <c r="AO82" s="82"/>
      <c r="AP82" s="82"/>
      <c r="AQ82" s="82"/>
      <c r="AR82" s="115"/>
      <c r="AS82" s="82"/>
      <c r="AT82" s="82"/>
      <c r="AU82" s="3"/>
      <c r="AV82" s="25">
        <v>1</v>
      </c>
      <c r="AW82" s="25">
        <v>6</v>
      </c>
      <c r="AX82" s="25">
        <v>12</v>
      </c>
      <c r="AY82" s="53"/>
      <c r="AZ82" s="53"/>
      <c r="BA82" s="53"/>
      <c r="BB82" s="53"/>
      <c r="BC82" s="53"/>
      <c r="BD82" s="53"/>
      <c r="BE82" s="53"/>
      <c r="BF82" s="53"/>
      <c r="BG82" s="53"/>
      <c r="BH82" s="53"/>
      <c r="BI82" s="53"/>
      <c r="BJ82" s="53"/>
      <c r="BK82" s="53"/>
      <c r="BL82" s="53"/>
      <c r="BM82" s="53"/>
      <c r="BN82" s="53"/>
      <c r="BO82" s="53"/>
      <c r="BP82" s="53"/>
      <c r="BQ82" s="53"/>
      <c r="BR82" s="53"/>
      <c r="BS82" s="53"/>
      <c r="BT82" s="53"/>
      <c r="BU82" s="53"/>
      <c r="BV82" s="53"/>
      <c r="BW82" s="53"/>
      <c r="BX82" s="53"/>
      <c r="BY82" s="53"/>
      <c r="BZ82" s="53"/>
      <c r="CA82" s="53"/>
      <c r="CB82" s="53"/>
      <c r="CC82" s="53"/>
      <c r="CD82" s="53"/>
      <c r="CE82" s="53"/>
      <c r="CF82" s="53"/>
      <c r="CG82" s="53"/>
      <c r="CH82" s="53"/>
      <c r="CI82" s="53"/>
      <c r="CJ82" s="53"/>
      <c r="CK82" s="53"/>
      <c r="CL82" s="53"/>
      <c r="CM82" s="53"/>
      <c r="CN82" s="53"/>
      <c r="CO82" s="53"/>
      <c r="CP82" s="53"/>
      <c r="CQ82" s="53"/>
      <c r="CR82" s="1"/>
      <c r="CS82" s="1"/>
      <c r="CT82" s="1"/>
      <c r="CU82" s="1"/>
    </row>
    <row r="83" spans="1:99" s="13" customFormat="1" ht="12" customHeight="1" x14ac:dyDescent="0.2">
      <c r="A83" s="65">
        <v>43509</v>
      </c>
      <c r="B83" s="1" t="s">
        <v>251</v>
      </c>
      <c r="C83" s="1" t="s">
        <v>33</v>
      </c>
      <c r="D83" s="60">
        <v>2014</v>
      </c>
      <c r="E83" s="76">
        <v>1</v>
      </c>
      <c r="F83" s="60">
        <v>16</v>
      </c>
      <c r="G83" s="60">
        <v>16</v>
      </c>
      <c r="H83" s="60" t="s">
        <v>41</v>
      </c>
      <c r="I83" s="60" t="s">
        <v>768</v>
      </c>
      <c r="J83" s="60" t="s">
        <v>764</v>
      </c>
      <c r="K83" s="60">
        <f>IF(J83="syllables",1,IF(J83="trigrams",2,IF(J83="strings",3,IF(J83="visual array",4,IF(J83="characters",5,IF(J83="letters",6,IF(J83="free forms",7,IF(J83="odors",8,IF(J83="words",9,IF(J83="pictures",10,IF(J83="object pictures",11,IF(J83="faces",12,IF(J83="names",13,IF(J83="idioms",14,IF(J83="grades",15,IF(J83="syllable-digit pairs",16,IF(J83="trigram-word pairs",17,IF(J83="word-digit pairs",18,IF(J83="English-Swahili pairs",19,IF(J83="spatial position",20,IF(J83="word pairs",21,IF(J83="word triads",22,IF(J83="generated words",23,IF(J83="word definition pairs",24,IF(J83="math problems",25,IF(J83="famous faces",26,IF(J83="famous names",27,IF(J83="famous voices",28,IF(J83="television programs",29,IF(J83="race horses",30,IF(J83="new vocabulary",31,IF(J83="sentences",32,IF(J83="concepts",33,IF(J83="ad slides",34,IF(J83="scenes",35,IF(J83="famous scenes",36,IF(J83="poems",37,IF(J83="walk",38,IF(J83="faces and events",39,IF(J83="events and names",40,IF(J83="flashbulb",41,IF(J83="stories",42,IF(J83="course material",43,IF(J83="autobiographical",44,IF(J83="novels",45,IF(J83="public events",46,"99"))))))))))))))))))))))))))))))))))))))))))))))</f>
        <v>4</v>
      </c>
      <c r="L83" s="60">
        <f>IF(J83="syllables",1,IF(J83="trigrams",1,IF(J83="strings",1,IF(J83="visual array",1,IF(J83="characters",1,IF(J83="letters",1,IF(J83="free forms",1,IF(J83="odors",2,IF(J83="words",2,IF(J83="pictures",2,IF(J83="object pictures",2,IF(J83="faces",2,IF(J83="names",2,IF(J83="idioms","2",IF(J83="grades",2,IF(J83="syllable-digit pairs",3,IF(J83="trigram-word pairs",3,IF(J83="word-digit pairs",3,IF(J83="English-Swahili pairs",3,IF(J83="spatial position",3,IF(J83="word pairs",4,IF(J83="word triads",4,IF(J83="generated words",4,IF(J83="word definition pairs",4,IF(J83="math problems",4,IF(J83="famous faces",4,IF(J83="famous names",4,IF(J83="famous voices",4,IF(J83="television programs",4,IF(J83="race horses",4,IF(J83="new vocabulary",4,IF(J83="sentences",5,IF(J83="concepts",5,IF(J83="ad slides",5,IF(J83="scenes",5,IF(J83="famous scenes",5,IF(J83="poems",6,IF(J83="walk",6,IF(J83="faces and events",6,IF(J83="events and names",6,IF(J83="flashbulb",7,IF(J83="stories",7,IF(J83="course material",7,IF(J83="autobiographical",7,IF(J83="novels",7,IF(J83="public events",7,"99"))))))))))))))))))))))))))))))))))))))))))))))</f>
        <v>1</v>
      </c>
      <c r="M83" s="60">
        <v>0</v>
      </c>
      <c r="N83" s="60">
        <v>1</v>
      </c>
      <c r="O83" s="60">
        <v>0</v>
      </c>
      <c r="P83" s="60"/>
      <c r="Q83" s="60" t="s">
        <v>34</v>
      </c>
      <c r="R83" s="60">
        <f>IF(Q83="Free Recall",1,IF(Q83="Cued Recall",2,IF(Q83="Recognition",3,IF(Q83="Multiple Choice",4,IF(Q83="Savings",5,IF(Q83="Stem Completion",6,IF(Q83="Fragment Completion",7,IF(Q83="anagram solution",8,IF(Q83="Matching",9,IF(Q83="Problem Solving",10,"99"))))))))))</f>
        <v>3</v>
      </c>
      <c r="S83" s="60" t="s">
        <v>40</v>
      </c>
      <c r="T83" s="59" t="s">
        <v>581</v>
      </c>
      <c r="U83" s="60">
        <f>IF(T83="within",1,0)</f>
        <v>1</v>
      </c>
      <c r="V83" s="59">
        <v>108</v>
      </c>
      <c r="W83" s="60">
        <f>F83*V83</f>
        <v>1728</v>
      </c>
      <c r="X83" s="60">
        <v>3</v>
      </c>
      <c r="Y83" s="76">
        <f>AV82</f>
        <v>1</v>
      </c>
      <c r="Z83" s="60" t="s">
        <v>42</v>
      </c>
      <c r="AA83" s="60">
        <v>12</v>
      </c>
      <c r="AB83" s="60" t="str">
        <f>IF(AA83&lt;60,"1",IF(AA83&lt;=43200,"2",IF(AA83&lt;=777600,"3","4")))</f>
        <v>1</v>
      </c>
      <c r="AC83" s="56">
        <f>AVERAGE(AV82:DA82)</f>
        <v>6.333333333333333</v>
      </c>
      <c r="AD83" s="60" t="str">
        <f>IF(AC83&lt;60,"1",IF(AC83&lt;=43200,"2",IF(AC83&lt;=777600,"3","4")))</f>
        <v>1</v>
      </c>
      <c r="AE83" s="76">
        <f>AA83-Y83</f>
        <v>11</v>
      </c>
      <c r="AF83" s="80">
        <f>AV83</f>
        <v>0.84899999999999998</v>
      </c>
      <c r="AG83" s="56">
        <f>((AW83-AV83)+(AX83-AW83))/2</f>
        <v>-4.4499999999999984E-2</v>
      </c>
      <c r="AH83" s="4"/>
      <c r="AI83" s="56">
        <f>RSQ(AV83:AX83,AV82:AX82)</f>
        <v>0.47132350590430461</v>
      </c>
      <c r="AJ83" s="109">
        <f>SLOPE(AV83:AX83,AV82:AX82)</f>
        <v>-7.6648351648351621E-3</v>
      </c>
      <c r="AK83" s="56">
        <f>INTERCEPT(AV83:AX83,AV82:AX82)</f>
        <v>0.82854395604395592</v>
      </c>
      <c r="AL83" s="56">
        <f>INDEX(LINEST(LN(AV83:AX83),LN(AV82:AX82),TRUE,TRUE),3,1)</f>
        <v>0.74712266833455454</v>
      </c>
      <c r="AM83" s="56">
        <f>INDEX(LINEST(LN(AV83:AX83),LN(AV82:AX82)),1)</f>
        <v>-5.2337604154915944E-2</v>
      </c>
      <c r="AN83" s="56">
        <f>EXP(INDEX(LINEST(LN(AV83:AX83),LN(AV82:AX82)),1,2))</f>
        <v>0.83871742160428009</v>
      </c>
      <c r="AO83" s="82">
        <f>INDEX(LINEST((AV83:AX83),LN(AV82:AX82),TRUE,TRUE),3,1)</f>
        <v>0.76020383611185549</v>
      </c>
      <c r="AP83" s="82">
        <f>INDEX(LINEST((AV83:AX83),LN(AV82:AX82)),1)</f>
        <v>-4.1810165542168105E-2</v>
      </c>
      <c r="AQ83" s="83">
        <f>INDEX(LINEST(LN(AV83:AX83),SQRT(AV82:AX82),TRUE,TRUE),3,1)</f>
        <v>0.6092207528759449</v>
      </c>
      <c r="AR83" s="116">
        <f>INDEX(LINEST(LN(AV83:AX83),SQRT((AV82:AX82))),1)</f>
        <v>-4.8935069587966555E-2</v>
      </c>
      <c r="AS83" s="84">
        <f>INDEX(LINEST(1/(AV83:AX83),1/(SQRT(AV82:AX82)),TRUE,TRUE),3,1)</f>
        <v>0.82883691032559426</v>
      </c>
      <c r="AT83" s="84">
        <f>INDEX(LINEST(1/(AV83:AX83),1/SQRT(AV82:AX82)),1)</f>
        <v>-0.23480360733685793</v>
      </c>
      <c r="AU83" s="3"/>
      <c r="AV83" s="53">
        <v>0.84899999999999998</v>
      </c>
      <c r="AW83" s="53">
        <v>0.73099999999999998</v>
      </c>
      <c r="AX83" s="53">
        <v>0.76</v>
      </c>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53"/>
      <c r="CD83" s="53"/>
      <c r="CE83" s="53"/>
      <c r="CF83" s="53"/>
      <c r="CG83" s="53"/>
      <c r="CH83" s="53"/>
      <c r="CI83" s="53"/>
      <c r="CJ83" s="53"/>
      <c r="CK83" s="53"/>
      <c r="CL83" s="53"/>
      <c r="CM83" s="53"/>
      <c r="CN83" s="53"/>
      <c r="CO83" s="53"/>
      <c r="CP83" s="53"/>
      <c r="CQ83" s="53"/>
      <c r="CR83" s="1"/>
      <c r="CS83" s="1"/>
      <c r="CT83" s="1"/>
      <c r="CU83" s="1"/>
    </row>
    <row r="84" spans="1:99" s="13" customFormat="1" ht="12" customHeight="1" x14ac:dyDescent="0.2">
      <c r="A84" s="65">
        <v>43509</v>
      </c>
      <c r="B84" s="1"/>
      <c r="C84" s="1"/>
      <c r="D84" s="60"/>
      <c r="E84" s="76"/>
      <c r="F84" s="60"/>
      <c r="G84" s="60"/>
      <c r="H84" s="60"/>
      <c r="I84" s="60"/>
      <c r="J84" s="60"/>
      <c r="K84" s="64"/>
      <c r="L84" s="64"/>
      <c r="M84" s="60"/>
      <c r="N84" s="60"/>
      <c r="O84" s="60"/>
      <c r="P84" s="60"/>
      <c r="Q84" s="60"/>
      <c r="R84" s="60"/>
      <c r="S84" s="60"/>
      <c r="T84" s="60"/>
      <c r="U84" s="60"/>
      <c r="V84" s="60"/>
      <c r="W84" s="60"/>
      <c r="X84" s="60"/>
      <c r="Y84" s="76"/>
      <c r="Z84" s="60"/>
      <c r="AA84" s="60"/>
      <c r="AB84" s="60"/>
      <c r="AC84" s="60"/>
      <c r="AD84" s="60"/>
      <c r="AE84" s="60"/>
      <c r="AF84" s="80"/>
      <c r="AG84" s="56"/>
      <c r="AH84" s="4"/>
      <c r="AI84" s="56"/>
      <c r="AJ84" s="109"/>
      <c r="AK84" s="56"/>
      <c r="AL84" s="56"/>
      <c r="AM84" s="56"/>
      <c r="AN84" s="56"/>
      <c r="AO84" s="82"/>
      <c r="AP84" s="82"/>
      <c r="AQ84" s="82"/>
      <c r="AR84" s="115"/>
      <c r="AS84" s="82"/>
      <c r="AT84" s="82"/>
      <c r="AU84" s="3"/>
      <c r="AV84" s="25">
        <v>1</v>
      </c>
      <c r="AW84" s="25">
        <v>6</v>
      </c>
      <c r="AX84" s="25">
        <v>12</v>
      </c>
      <c r="AY84" s="53"/>
      <c r="AZ84" s="53"/>
      <c r="BA84" s="53"/>
      <c r="BB84" s="53"/>
      <c r="BC84" s="53"/>
      <c r="BD84" s="53"/>
      <c r="BE84" s="53"/>
      <c r="BF84" s="53"/>
      <c r="BG84" s="53"/>
      <c r="BH84" s="53"/>
      <c r="BI84" s="53"/>
      <c r="BJ84" s="53"/>
      <c r="BK84" s="53"/>
      <c r="BL84" s="53"/>
      <c r="BM84" s="53"/>
      <c r="BN84" s="53"/>
      <c r="BO84" s="53"/>
      <c r="BP84" s="53"/>
      <c r="BQ84" s="53"/>
      <c r="BR84" s="53"/>
      <c r="BS84" s="53"/>
      <c r="BT84" s="53"/>
      <c r="BU84" s="53"/>
      <c r="BV84" s="53"/>
      <c r="BW84" s="53"/>
      <c r="BX84" s="53"/>
      <c r="BY84" s="53"/>
      <c r="BZ84" s="53"/>
      <c r="CA84" s="53"/>
      <c r="CB84" s="53"/>
      <c r="CC84" s="53"/>
      <c r="CD84" s="53"/>
      <c r="CE84" s="53"/>
      <c r="CF84" s="53"/>
      <c r="CG84" s="53"/>
      <c r="CH84" s="53"/>
      <c r="CI84" s="53"/>
      <c r="CJ84" s="53"/>
      <c r="CK84" s="53"/>
      <c r="CL84" s="53"/>
      <c r="CM84" s="53"/>
      <c r="CN84" s="53"/>
      <c r="CO84" s="53"/>
      <c r="CP84" s="53"/>
      <c r="CQ84" s="53"/>
      <c r="CR84" s="1"/>
      <c r="CS84" s="1"/>
      <c r="CT84" s="1"/>
      <c r="CU84" s="1"/>
    </row>
    <row r="85" spans="1:99" s="13" customFormat="1" ht="12" customHeight="1" x14ac:dyDescent="0.2">
      <c r="A85" s="65">
        <v>43509</v>
      </c>
      <c r="B85" s="1" t="s">
        <v>251</v>
      </c>
      <c r="C85" s="1" t="s">
        <v>33</v>
      </c>
      <c r="D85" s="60">
        <v>2014</v>
      </c>
      <c r="E85" s="76">
        <v>2</v>
      </c>
      <c r="F85" s="60">
        <v>18</v>
      </c>
      <c r="G85" s="60">
        <v>18</v>
      </c>
      <c r="H85" s="60" t="s">
        <v>43</v>
      </c>
      <c r="I85" s="60" t="s">
        <v>767</v>
      </c>
      <c r="J85" s="60" t="s">
        <v>764</v>
      </c>
      <c r="K85" s="60">
        <f>IF(J85="syllables",1,IF(J85="trigrams",2,IF(J85="strings",3,IF(J85="visual array",4,IF(J85="characters",5,IF(J85="letters",6,IF(J85="free forms",7,IF(J85="odors",8,IF(J85="words",9,IF(J85="pictures",10,IF(J85="object pictures",11,IF(J85="faces",12,IF(J85="names",13,IF(J85="idioms",14,IF(J85="grades",15,IF(J85="syllable-digit pairs",16,IF(J85="trigram-word pairs",17,IF(J85="word-digit pairs",18,IF(J85="English-Swahili pairs",19,IF(J85="spatial position",20,IF(J85="word pairs",21,IF(J85="word triads",22,IF(J85="generated words",23,IF(J85="word definition pairs",24,IF(J85="math problems",25,IF(J85="famous faces",26,IF(J85="famous names",27,IF(J85="famous voices",28,IF(J85="television programs",29,IF(J85="race horses",30,IF(J85="new vocabulary",31,IF(J85="sentences",32,IF(J85="concepts",33,IF(J85="ad slides",34,IF(J85="scenes",35,IF(J85="famous scenes",36,IF(J85="poems",37,IF(J85="walk",38,IF(J85="faces and events",39,IF(J85="events and names",40,IF(J85="flashbulb",41,IF(J85="stories",42,IF(J85="course material",43,IF(J85="autobiographical",44,IF(J85="novels",45,IF(J85="public events",46,"99"))))))))))))))))))))))))))))))))))))))))))))))</f>
        <v>4</v>
      </c>
      <c r="L85" s="60">
        <f>IF(J85="syllables",1,IF(J85="trigrams",1,IF(J85="strings",1,IF(J85="visual array",1,IF(J85="characters",1,IF(J85="letters",1,IF(J85="free forms",1,IF(J85="odors",2,IF(J85="words",2,IF(J85="pictures",2,IF(J85="object pictures",2,IF(J85="faces",2,IF(J85="names",2,IF(J85="idioms","2",IF(J85="grades",2,IF(J85="syllable-digit pairs",3,IF(J85="trigram-word pairs",3,IF(J85="word-digit pairs",3,IF(J85="English-Swahili pairs",3,IF(J85="spatial position",3,IF(J85="word pairs",4,IF(J85="word triads",4,IF(J85="generated words",4,IF(J85="word definition pairs",4,IF(J85="math problems",4,IF(J85="famous faces",4,IF(J85="famous names",4,IF(J85="famous voices",4,IF(J85="television programs",4,IF(J85="race horses",4,IF(J85="new vocabulary",4,IF(J85="sentences",5,IF(J85="concepts",5,IF(J85="ad slides",5,IF(J85="scenes",5,IF(J85="famous scenes",5,IF(J85="poems",6,IF(J85="walk",6,IF(J85="faces and events",6,IF(J85="events and names",6,IF(J85="flashbulb",7,IF(J85="stories",7,IF(J85="course material",7,IF(J85="autobiographical",7,IF(J85="novels",7,IF(J85="public events",7,"99"))))))))))))))))))))))))))))))))))))))))))))))</f>
        <v>1</v>
      </c>
      <c r="M85" s="60">
        <v>0</v>
      </c>
      <c r="N85" s="60">
        <v>1</v>
      </c>
      <c r="O85" s="60">
        <v>0</v>
      </c>
      <c r="P85" s="60"/>
      <c r="Q85" s="60" t="s">
        <v>34</v>
      </c>
      <c r="R85" s="60">
        <f>IF(Q85="Free Recall",1,IF(Q85="Cued Recall",2,IF(Q85="Recognition",3,IF(Q85="Multiple Choice",4,IF(Q85="Savings",5,IF(Q85="Stem Completion",6,IF(Q85="Fragment Completion",7,IF(Q85="anagram solution",8,IF(Q85="Matching",9,IF(Q85="Problem Solving",10,"99"))))))))))</f>
        <v>3</v>
      </c>
      <c r="S85" s="60" t="s">
        <v>40</v>
      </c>
      <c r="T85" s="59" t="s">
        <v>581</v>
      </c>
      <c r="U85" s="60">
        <f>IF(T85="within",1,0)</f>
        <v>1</v>
      </c>
      <c r="V85" s="59">
        <v>108</v>
      </c>
      <c r="W85" s="60">
        <f>F85*V85</f>
        <v>1944</v>
      </c>
      <c r="X85" s="60">
        <v>3</v>
      </c>
      <c r="Y85" s="76">
        <f>AV84</f>
        <v>1</v>
      </c>
      <c r="Z85" s="60" t="s">
        <v>42</v>
      </c>
      <c r="AA85" s="60">
        <v>12</v>
      </c>
      <c r="AB85" s="60" t="str">
        <f>IF(AA85&lt;60,"1",IF(AA85&lt;=43200,"2",IF(AA85&lt;=777600,"3","4")))</f>
        <v>1</v>
      </c>
      <c r="AC85" s="56">
        <f>AVERAGE(AV84:DA84)</f>
        <v>6.333333333333333</v>
      </c>
      <c r="AD85" s="60" t="str">
        <f>IF(AC85&lt;60,"1",IF(AC85&lt;=43200,"2",IF(AC85&lt;=777600,"3","4")))</f>
        <v>1</v>
      </c>
      <c r="AE85" s="76">
        <f>AA85-Y85</f>
        <v>11</v>
      </c>
      <c r="AF85" s="80">
        <f>AV85</f>
        <v>0.78700000000000003</v>
      </c>
      <c r="AG85" s="56">
        <f>((AW85-AV85)+(AX85-AW85))/2</f>
        <v>-2.1500000000000019E-2</v>
      </c>
      <c r="AH85" s="4"/>
      <c r="AI85" s="56">
        <f>RSQ(AV85:AX85,AV84:AX84)</f>
        <v>0.54665349755984194</v>
      </c>
      <c r="AJ85" s="109">
        <f>SLOPE(AV85:AX85,AV84:AX84)</f>
        <v>-3.7307692307692337E-3</v>
      </c>
      <c r="AK85" s="56">
        <f>INTERCEPT(AV85:AX85,AV84:AX84)</f>
        <v>0.77896153846153848</v>
      </c>
      <c r="AL85" s="56">
        <f>INDEX(LINEST(LN(AV85:AX85),LN(AV84:AX84),TRUE,TRUE),3,1)</f>
        <v>0.81753572526357865</v>
      </c>
      <c r="AM85" s="56">
        <f>INDEX(LINEST(LN(AV85:AX85),LN(AV84:AX84)),1)</f>
        <v>-2.5711993139676571E-2</v>
      </c>
      <c r="AN85" s="56">
        <f>EXP(INDEX(LINEST(LN(AV85:AX85),LN(AV84:AX84)),1,2))</f>
        <v>0.78318358396777354</v>
      </c>
      <c r="AO85" s="82">
        <f>INDEX(LINEST((AV85:AX85),LN(AV84:AX84),TRUE,TRUE),3,1)</f>
        <v>0.82140299399756234</v>
      </c>
      <c r="AP85" s="82">
        <f>INDEX(LINEST((AV85:AX85),LN(AV84:AX84)),1)</f>
        <v>-1.9642377362645288E-2</v>
      </c>
      <c r="AQ85" s="83">
        <f>INDEX(LINEST(LN(AV85:AX85),SQRT(AV84:AX84),TRUE,TRUE),3,1)</f>
        <v>0.69071909821668442</v>
      </c>
      <c r="AR85" s="116">
        <f>INDEX(LINEST(LN(AV85:AX85),SQRT((AV84:AX84))),1)</f>
        <v>-2.4470795634764102E-2</v>
      </c>
      <c r="AS85" s="84">
        <f>INDEX(LINEST(1/(AV85:AX85),1/(SQRT(AV84:AX84)),TRUE,TRUE),3,1)</f>
        <v>0.89474686421592331</v>
      </c>
      <c r="AT85" s="84">
        <f>INDEX(LINEST(1/(AV85:AX85),1/SQRT(AV84:AX84)),1)</f>
        <v>-0.11886544584457649</v>
      </c>
      <c r="AU85" s="3"/>
      <c r="AV85" s="53">
        <v>0.78700000000000003</v>
      </c>
      <c r="AW85" s="53">
        <v>0.73499999999999999</v>
      </c>
      <c r="AX85" s="53">
        <v>0.74399999999999999</v>
      </c>
      <c r="AY85" s="53"/>
      <c r="AZ85" s="53"/>
      <c r="BA85" s="53"/>
      <c r="BB85" s="53"/>
      <c r="BC85" s="53"/>
      <c r="BD85" s="53"/>
      <c r="BE85" s="53"/>
      <c r="BF85" s="53"/>
      <c r="BG85" s="53"/>
      <c r="BH85" s="53"/>
      <c r="BI85" s="53"/>
      <c r="BJ85" s="53"/>
      <c r="BK85" s="53"/>
      <c r="BL85" s="53"/>
      <c r="BM85" s="53"/>
      <c r="BN85" s="53"/>
      <c r="BO85" s="53"/>
      <c r="BP85" s="53"/>
      <c r="BQ85" s="53"/>
      <c r="BR85" s="53"/>
      <c r="BS85" s="53"/>
      <c r="BT85" s="53"/>
      <c r="BU85" s="53"/>
      <c r="BV85" s="53"/>
      <c r="BW85" s="53"/>
      <c r="BX85" s="53"/>
      <c r="BY85" s="53"/>
      <c r="BZ85" s="53"/>
      <c r="CA85" s="53"/>
      <c r="CB85" s="53"/>
      <c r="CC85" s="53"/>
      <c r="CD85" s="53"/>
      <c r="CE85" s="53"/>
      <c r="CF85" s="53"/>
      <c r="CG85" s="53"/>
      <c r="CH85" s="53"/>
      <c r="CI85" s="53"/>
      <c r="CJ85" s="53"/>
      <c r="CK85" s="53"/>
      <c r="CL85" s="53"/>
      <c r="CM85" s="53"/>
      <c r="CN85" s="53"/>
      <c r="CO85" s="53"/>
      <c r="CP85" s="53"/>
      <c r="CQ85" s="53"/>
      <c r="CR85" s="1"/>
      <c r="CS85" s="1"/>
      <c r="CT85" s="1"/>
      <c r="CU85" s="1"/>
    </row>
    <row r="86" spans="1:99" s="13" customFormat="1" ht="12" customHeight="1" x14ac:dyDescent="0.2">
      <c r="A86" s="65">
        <v>43509</v>
      </c>
      <c r="B86" s="1"/>
      <c r="C86" s="1"/>
      <c r="D86" s="60"/>
      <c r="E86" s="76"/>
      <c r="F86" s="60"/>
      <c r="G86" s="60"/>
      <c r="H86" s="60"/>
      <c r="I86" s="60"/>
      <c r="J86" s="60"/>
      <c r="K86" s="64"/>
      <c r="L86" s="64"/>
      <c r="M86" s="60"/>
      <c r="N86" s="60"/>
      <c r="O86" s="60"/>
      <c r="P86" s="60"/>
      <c r="Q86" s="60"/>
      <c r="R86" s="60"/>
      <c r="S86" s="60"/>
      <c r="T86" s="60"/>
      <c r="U86" s="60"/>
      <c r="V86" s="60"/>
      <c r="W86" s="60"/>
      <c r="X86" s="60"/>
      <c r="Y86" s="76"/>
      <c r="Z86" s="60"/>
      <c r="AA86" s="60"/>
      <c r="AB86" s="60"/>
      <c r="AC86" s="60"/>
      <c r="AD86" s="60"/>
      <c r="AE86" s="60"/>
      <c r="AF86" s="80"/>
      <c r="AG86" s="56"/>
      <c r="AH86" s="4"/>
      <c r="AI86" s="56"/>
      <c r="AJ86" s="109"/>
      <c r="AK86" s="56"/>
      <c r="AL86" s="56"/>
      <c r="AM86" s="56"/>
      <c r="AN86" s="56"/>
      <c r="AO86" s="82"/>
      <c r="AP86" s="82"/>
      <c r="AQ86" s="82"/>
      <c r="AR86" s="115"/>
      <c r="AS86" s="82"/>
      <c r="AT86" s="82"/>
      <c r="AU86" s="3"/>
      <c r="AV86" s="25">
        <v>1</v>
      </c>
      <c r="AW86" s="25">
        <v>6</v>
      </c>
      <c r="AX86" s="25">
        <v>12</v>
      </c>
      <c r="AY86" s="53"/>
      <c r="AZ86" s="53"/>
      <c r="BA86" s="53"/>
      <c r="BB86" s="53"/>
      <c r="BC86" s="53"/>
      <c r="BD86" s="53"/>
      <c r="BE86" s="53"/>
      <c r="BF86" s="53"/>
      <c r="BG86" s="53"/>
      <c r="BH86" s="53"/>
      <c r="BI86" s="53"/>
      <c r="BJ86" s="53"/>
      <c r="BK86" s="53"/>
      <c r="BL86" s="53"/>
      <c r="BM86" s="53"/>
      <c r="BN86" s="53"/>
      <c r="BO86" s="53"/>
      <c r="BP86" s="53"/>
      <c r="BQ86" s="53"/>
      <c r="BR86" s="53"/>
      <c r="BS86" s="53"/>
      <c r="BT86" s="53"/>
      <c r="BU86" s="53"/>
      <c r="BV86" s="53"/>
      <c r="BW86" s="53"/>
      <c r="BX86" s="53"/>
      <c r="BY86" s="53"/>
      <c r="BZ86" s="53"/>
      <c r="CA86" s="53"/>
      <c r="CB86" s="53"/>
      <c r="CC86" s="53"/>
      <c r="CD86" s="53"/>
      <c r="CE86" s="53"/>
      <c r="CF86" s="53"/>
      <c r="CG86" s="53"/>
      <c r="CH86" s="53"/>
      <c r="CI86" s="53"/>
      <c r="CJ86" s="53"/>
      <c r="CK86" s="53"/>
      <c r="CL86" s="53"/>
      <c r="CM86" s="53"/>
      <c r="CN86" s="53"/>
      <c r="CO86" s="53"/>
      <c r="CP86" s="53"/>
      <c r="CQ86" s="53"/>
      <c r="CR86" s="1"/>
      <c r="CS86" s="1"/>
      <c r="CT86" s="1"/>
      <c r="CU86" s="1"/>
    </row>
    <row r="87" spans="1:99" s="13" customFormat="1" ht="12" customHeight="1" x14ac:dyDescent="0.2">
      <c r="A87" s="65">
        <v>43509</v>
      </c>
      <c r="B87" s="1" t="s">
        <v>251</v>
      </c>
      <c r="C87" s="1" t="s">
        <v>33</v>
      </c>
      <c r="D87" s="60">
        <v>2014</v>
      </c>
      <c r="E87" s="76">
        <v>2</v>
      </c>
      <c r="F87" s="60">
        <v>18</v>
      </c>
      <c r="G87" s="60">
        <v>18</v>
      </c>
      <c r="H87" s="60" t="s">
        <v>43</v>
      </c>
      <c r="I87" s="60" t="s">
        <v>768</v>
      </c>
      <c r="J87" s="60" t="s">
        <v>764</v>
      </c>
      <c r="K87" s="60">
        <f>IF(J87="syllables",1,IF(J87="trigrams",2,IF(J87="strings",3,IF(J87="visual array",4,IF(J87="characters",5,IF(J87="letters",6,IF(J87="free forms",7,IF(J87="odors",8,IF(J87="words",9,IF(J87="pictures",10,IF(J87="object pictures",11,IF(J87="faces",12,IF(J87="names",13,IF(J87="idioms",14,IF(J87="grades",15,IF(J87="syllable-digit pairs",16,IF(J87="trigram-word pairs",17,IF(J87="word-digit pairs",18,IF(J87="English-Swahili pairs",19,IF(J87="spatial position",20,IF(J87="word pairs",21,IF(J87="word triads",22,IF(J87="generated words",23,IF(J87="word definition pairs",24,IF(J87="math problems",25,IF(J87="famous faces",26,IF(J87="famous names",27,IF(J87="famous voices",28,IF(J87="television programs",29,IF(J87="race horses",30,IF(J87="new vocabulary",31,IF(J87="sentences",32,IF(J87="concepts",33,IF(J87="ad slides",34,IF(J87="scenes",35,IF(J87="famous scenes",36,IF(J87="poems",37,IF(J87="walk",38,IF(J87="faces and events",39,IF(J87="events and names",40,IF(J87="flashbulb",41,IF(J87="stories",42,IF(J87="course material",43,IF(J87="autobiographical",44,IF(J87="novels",45,IF(J87="public events",46,"99"))))))))))))))))))))))))))))))))))))))))))))))</f>
        <v>4</v>
      </c>
      <c r="L87" s="60">
        <f>IF(J87="syllables",1,IF(J87="trigrams",1,IF(J87="strings",1,IF(J87="visual array",1,IF(J87="characters",1,IF(J87="letters",1,IF(J87="free forms",1,IF(J87="odors",2,IF(J87="words",2,IF(J87="pictures",2,IF(J87="object pictures",2,IF(J87="faces",2,IF(J87="names",2,IF(J87="idioms","2",IF(J87="grades",2,IF(J87="syllable-digit pairs",3,IF(J87="trigram-word pairs",3,IF(J87="word-digit pairs",3,IF(J87="English-Swahili pairs",3,IF(J87="spatial position",3,IF(J87="word pairs",4,IF(J87="word triads",4,IF(J87="generated words",4,IF(J87="word definition pairs",4,IF(J87="math problems",4,IF(J87="famous faces",4,IF(J87="famous names",4,IF(J87="famous voices",4,IF(J87="television programs",4,IF(J87="race horses",4,IF(J87="new vocabulary",4,IF(J87="sentences",5,IF(J87="concepts",5,IF(J87="ad slides",5,IF(J87="scenes",5,IF(J87="famous scenes",5,IF(J87="poems",6,IF(J87="walk",6,IF(J87="faces and events",6,IF(J87="events and names",6,IF(J87="flashbulb",7,IF(J87="stories",7,IF(J87="course material",7,IF(J87="autobiographical",7,IF(J87="novels",7,IF(J87="public events",7,"99"))))))))))))))))))))))))))))))))))))))))))))))</f>
        <v>1</v>
      </c>
      <c r="M87" s="60">
        <v>0</v>
      </c>
      <c r="N87" s="60">
        <v>1</v>
      </c>
      <c r="O87" s="60">
        <v>0</v>
      </c>
      <c r="P87" s="60"/>
      <c r="Q87" s="60" t="s">
        <v>34</v>
      </c>
      <c r="R87" s="60">
        <f>IF(Q87="Free Recall",1,IF(Q87="Cued Recall",2,IF(Q87="Recognition",3,IF(Q87="Multiple Choice",4,IF(Q87="Savings",5,IF(Q87="Stem Completion",6,IF(Q87="Fragment Completion",7,IF(Q87="anagram solution",8,IF(Q87="Matching",9,IF(Q87="Problem Solving",10,"99"))))))))))</f>
        <v>3</v>
      </c>
      <c r="S87" s="60" t="s">
        <v>40</v>
      </c>
      <c r="T87" s="59" t="s">
        <v>581</v>
      </c>
      <c r="U87" s="60">
        <f>IF(T87="within",1,0)</f>
        <v>1</v>
      </c>
      <c r="V87" s="59">
        <v>108</v>
      </c>
      <c r="W87" s="60">
        <f>F87*V87</f>
        <v>1944</v>
      </c>
      <c r="X87" s="60">
        <v>3</v>
      </c>
      <c r="Y87" s="76">
        <f>AV86</f>
        <v>1</v>
      </c>
      <c r="Z87" s="60" t="s">
        <v>42</v>
      </c>
      <c r="AA87" s="60">
        <v>12</v>
      </c>
      <c r="AB87" s="60" t="str">
        <f>IF(AA87&lt;60,"1",IF(AA87&lt;=43200,"2",IF(AA87&lt;=777600,"3","4")))</f>
        <v>1</v>
      </c>
      <c r="AC87" s="56">
        <f>AVERAGE(AV86:DA86)</f>
        <v>6.333333333333333</v>
      </c>
      <c r="AD87" s="60" t="str">
        <f>IF(AC87&lt;60,"1",IF(AC87&lt;=43200,"2",IF(AC87&lt;=777600,"3","4")))</f>
        <v>1</v>
      </c>
      <c r="AE87" s="76">
        <f>AA87-Y87</f>
        <v>11</v>
      </c>
      <c r="AF87" s="80">
        <f>AV87</f>
        <v>0.81100000000000005</v>
      </c>
      <c r="AG87" s="56">
        <f>((AW87-AV87)+(AX87-AW87))/2</f>
        <v>-6.5000000000000002E-2</v>
      </c>
      <c r="AH87" s="4"/>
      <c r="AI87" s="56">
        <f>RSQ(AV87:AX87,AV86:AX86)</f>
        <v>0.90037118938556238</v>
      </c>
      <c r="AJ87" s="109">
        <f>SLOPE(AV87:AX87,AV86:AX86)</f>
        <v>-1.1615384615384614E-2</v>
      </c>
      <c r="AK87" s="56">
        <f>INTERCEPT(AV87:AX87,AV86:AX86)</f>
        <v>0.80923076923076909</v>
      </c>
      <c r="AL87" s="56">
        <f>INDEX(LINEST(LN(AV87:AX87),LN(AV86:AX86),TRUE,TRUE),3,1)</f>
        <v>0.99999999379061277</v>
      </c>
      <c r="AM87" s="56">
        <f>INDEX(LINEST(LN(AV87:AX87),LN(AV86:AX86)),1)</f>
        <v>-7.0308179214797345E-2</v>
      </c>
      <c r="AN87" s="56">
        <f>EXP(INDEX(LINEST(LN(AV87:AX87),LN(AV86:AX86)),1,2))</f>
        <v>0.81099820189343175</v>
      </c>
      <c r="AO87" s="82">
        <f>INDEX(LINEST((AV87:AX87),LN(AV86:AX86),TRUE,TRUE),3,1)</f>
        <v>0.99964754049493021</v>
      </c>
      <c r="AP87" s="82">
        <f>INDEX(LINEST((AV87:AX87),LN(AV86:AX86)),1)</f>
        <v>-5.2567804595405422E-2</v>
      </c>
      <c r="AQ87" s="83">
        <f>INDEX(LINEST(LN(AV87:AX87),SQRT(AV86:AX86),TRUE,TRUE),3,1)</f>
        <v>0.97812298240396844</v>
      </c>
      <c r="AR87" s="116">
        <f>INDEX(LINEST(LN(AV87:AX87),SQRT((AV86:AX86))),1)</f>
        <v>-7.1997525186275793E-2</v>
      </c>
      <c r="AS87" s="84">
        <f>INDEX(LINEST(1/(AV87:AX87),1/(SQRT(AV86:AX86)),TRUE,TRUE),3,1)</f>
        <v>0.98179075932451598</v>
      </c>
      <c r="AT87" s="84">
        <f>INDEX(LINEST(1/(AV87:AX87),1/SQRT(AV86:AX86)),1)</f>
        <v>-0.31449366159598108</v>
      </c>
      <c r="AU87" s="3"/>
      <c r="AV87" s="53">
        <v>0.81100000000000005</v>
      </c>
      <c r="AW87" s="53">
        <v>0.71499999999999997</v>
      </c>
      <c r="AX87" s="53">
        <v>0.68100000000000005</v>
      </c>
      <c r="AY87" s="53"/>
      <c r="AZ87" s="53"/>
      <c r="BA87" s="53"/>
      <c r="BB87" s="53"/>
      <c r="BC87" s="53"/>
      <c r="BD87" s="53"/>
      <c r="BE87" s="53"/>
      <c r="BF87" s="53"/>
      <c r="BG87" s="53"/>
      <c r="BH87" s="53"/>
      <c r="BI87" s="53"/>
      <c r="BJ87" s="53"/>
      <c r="BK87" s="53"/>
      <c r="BL87" s="53"/>
      <c r="BM87" s="53"/>
      <c r="BN87" s="53"/>
      <c r="BO87" s="53"/>
      <c r="BP87" s="53"/>
      <c r="BQ87" s="53"/>
      <c r="BR87" s="53"/>
      <c r="BS87" s="53"/>
      <c r="BT87" s="53"/>
      <c r="BU87" s="53"/>
      <c r="BV87" s="53"/>
      <c r="BW87" s="53"/>
      <c r="BX87" s="53"/>
      <c r="BY87" s="53"/>
      <c r="BZ87" s="53"/>
      <c r="CA87" s="53"/>
      <c r="CB87" s="53"/>
      <c r="CC87" s="53"/>
      <c r="CD87" s="53"/>
      <c r="CE87" s="53"/>
      <c r="CF87" s="53"/>
      <c r="CG87" s="53"/>
      <c r="CH87" s="53"/>
      <c r="CI87" s="53"/>
      <c r="CJ87" s="53"/>
      <c r="CK87" s="53"/>
      <c r="CL87" s="53"/>
      <c r="CM87" s="53"/>
      <c r="CN87" s="53"/>
      <c r="CO87" s="53"/>
      <c r="CP87" s="53"/>
      <c r="CQ87" s="53"/>
      <c r="CR87" s="1"/>
      <c r="CS87" s="1"/>
      <c r="CT87" s="1"/>
      <c r="CU87" s="1"/>
    </row>
    <row r="88" spans="1:99" s="13" customFormat="1" ht="12" customHeight="1" x14ac:dyDescent="0.2">
      <c r="A88" s="65">
        <v>43509</v>
      </c>
      <c r="B88" s="1"/>
      <c r="C88" s="1"/>
      <c r="D88" s="60"/>
      <c r="E88" s="76"/>
      <c r="F88" s="60"/>
      <c r="G88" s="60"/>
      <c r="H88" s="60"/>
      <c r="I88" s="60"/>
      <c r="J88" s="60"/>
      <c r="K88" s="64"/>
      <c r="L88" s="64"/>
      <c r="M88" s="60"/>
      <c r="N88" s="60"/>
      <c r="O88" s="60"/>
      <c r="P88" s="60"/>
      <c r="Q88" s="60"/>
      <c r="R88" s="60"/>
      <c r="S88" s="60"/>
      <c r="T88" s="60"/>
      <c r="U88" s="60"/>
      <c r="V88" s="60"/>
      <c r="W88" s="60"/>
      <c r="X88" s="60"/>
      <c r="Y88" s="76"/>
      <c r="Z88" s="60"/>
      <c r="AA88" s="60"/>
      <c r="AB88" s="60"/>
      <c r="AC88" s="60"/>
      <c r="AD88" s="60"/>
      <c r="AE88" s="60"/>
      <c r="AF88" s="80"/>
      <c r="AG88" s="56"/>
      <c r="AH88" s="4"/>
      <c r="AI88" s="56"/>
      <c r="AJ88" s="109"/>
      <c r="AK88" s="56"/>
      <c r="AL88" s="56"/>
      <c r="AM88" s="56"/>
      <c r="AN88" s="56"/>
      <c r="AO88" s="82"/>
      <c r="AP88" s="82"/>
      <c r="AQ88" s="82"/>
      <c r="AR88" s="115"/>
      <c r="AS88" s="82"/>
      <c r="AT88" s="82"/>
      <c r="AU88" s="3"/>
      <c r="AV88" s="25">
        <v>1</v>
      </c>
      <c r="AW88" s="25">
        <v>6</v>
      </c>
      <c r="AX88" s="25">
        <v>12</v>
      </c>
      <c r="AY88" s="53"/>
      <c r="AZ88" s="53"/>
      <c r="BA88" s="53"/>
      <c r="BB88" s="53"/>
      <c r="BC88" s="53"/>
      <c r="BD88" s="53"/>
      <c r="BE88" s="53"/>
      <c r="BF88" s="53"/>
      <c r="BG88" s="53"/>
      <c r="BH88" s="53"/>
      <c r="BI88" s="53"/>
      <c r="BJ88" s="53"/>
      <c r="BK88" s="53"/>
      <c r="BL88" s="53"/>
      <c r="BM88" s="53"/>
      <c r="BN88" s="53"/>
      <c r="BO88" s="53"/>
      <c r="BP88" s="53"/>
      <c r="BQ88" s="53"/>
      <c r="BR88" s="53"/>
      <c r="BS88" s="53"/>
      <c r="BT88" s="53"/>
      <c r="BU88" s="53"/>
      <c r="BV88" s="53"/>
      <c r="BW88" s="53"/>
      <c r="BX88" s="53"/>
      <c r="BY88" s="53"/>
      <c r="BZ88" s="53"/>
      <c r="CA88" s="53"/>
      <c r="CB88" s="53"/>
      <c r="CC88" s="53"/>
      <c r="CD88" s="53"/>
      <c r="CE88" s="53"/>
      <c r="CF88" s="53"/>
      <c r="CG88" s="53"/>
      <c r="CH88" s="53"/>
      <c r="CI88" s="53"/>
      <c r="CJ88" s="53"/>
      <c r="CK88" s="53"/>
      <c r="CL88" s="53"/>
      <c r="CM88" s="53"/>
      <c r="CN88" s="53"/>
      <c r="CO88" s="53"/>
      <c r="CP88" s="53"/>
      <c r="CQ88" s="53"/>
      <c r="CR88" s="1"/>
      <c r="CS88" s="1"/>
      <c r="CT88" s="1"/>
      <c r="CU88" s="1"/>
    </row>
    <row r="89" spans="1:99" s="13" customFormat="1" ht="12" customHeight="1" x14ac:dyDescent="0.2">
      <c r="A89" s="65">
        <v>43509</v>
      </c>
      <c r="B89" s="1" t="s">
        <v>251</v>
      </c>
      <c r="C89" s="1" t="s">
        <v>33</v>
      </c>
      <c r="D89" s="60">
        <v>2014</v>
      </c>
      <c r="E89" s="76">
        <v>3</v>
      </c>
      <c r="F89" s="60">
        <v>15</v>
      </c>
      <c r="G89" s="60">
        <v>15</v>
      </c>
      <c r="H89" s="60" t="s">
        <v>769</v>
      </c>
      <c r="I89" s="60" t="s">
        <v>767</v>
      </c>
      <c r="J89" s="60" t="s">
        <v>764</v>
      </c>
      <c r="K89" s="60">
        <f>IF(J89="syllables",1,IF(J89="trigrams",2,IF(J89="strings",3,IF(J89="visual array",4,IF(J89="characters",5,IF(J89="letters",6,IF(J89="free forms",7,IF(J89="odors",8,IF(J89="words",9,IF(J89="pictures",10,IF(J89="object pictures",11,IF(J89="faces",12,IF(J89="names",13,IF(J89="idioms",14,IF(J89="grades",15,IF(J89="syllable-digit pairs",16,IF(J89="trigram-word pairs",17,IF(J89="word-digit pairs",18,IF(J89="English-Swahili pairs",19,IF(J89="spatial position",20,IF(J89="word pairs",21,IF(J89="word triads",22,IF(J89="generated words",23,IF(J89="word definition pairs",24,IF(J89="math problems",25,IF(J89="famous faces",26,IF(J89="famous names",27,IF(J89="famous voices",28,IF(J89="television programs",29,IF(J89="race horses",30,IF(J89="new vocabulary",31,IF(J89="sentences",32,IF(J89="concepts",33,IF(J89="ad slides",34,IF(J89="scenes",35,IF(J89="famous scenes",36,IF(J89="poems",37,IF(J89="walk",38,IF(J89="faces and events",39,IF(J89="events and names",40,IF(J89="flashbulb",41,IF(J89="stories",42,IF(J89="course material",43,IF(J89="autobiographical",44,IF(J89="novels",45,IF(J89="public events",46,"99"))))))))))))))))))))))))))))))))))))))))))))))</f>
        <v>4</v>
      </c>
      <c r="L89" s="60">
        <f>IF(J89="syllables",1,IF(J89="trigrams",1,IF(J89="strings",1,IF(J89="visual array",1,IF(J89="characters",1,IF(J89="letters",1,IF(J89="free forms",1,IF(J89="odors",2,IF(J89="words",2,IF(J89="pictures",2,IF(J89="object pictures",2,IF(J89="faces",2,IF(J89="names",2,IF(J89="idioms","2",IF(J89="grades",2,IF(J89="syllable-digit pairs",3,IF(J89="trigram-word pairs",3,IF(J89="word-digit pairs",3,IF(J89="English-Swahili pairs",3,IF(J89="spatial position",3,IF(J89="word pairs",4,IF(J89="word triads",4,IF(J89="generated words",4,IF(J89="word definition pairs",4,IF(J89="math problems",4,IF(J89="famous faces",4,IF(J89="famous names",4,IF(J89="famous voices",4,IF(J89="television programs",4,IF(J89="race horses",4,IF(J89="new vocabulary",4,IF(J89="sentences",5,IF(J89="concepts",5,IF(J89="ad slides",5,IF(J89="scenes",5,IF(J89="famous scenes",5,IF(J89="poems",6,IF(J89="walk",6,IF(J89="faces and events",6,IF(J89="events and names",6,IF(J89="flashbulb",7,IF(J89="stories",7,IF(J89="course material",7,IF(J89="autobiographical",7,IF(J89="novels",7,IF(J89="public events",7,"99"))))))))))))))))))))))))))))))))))))))))))))))</f>
        <v>1</v>
      </c>
      <c r="M89" s="60">
        <v>0</v>
      </c>
      <c r="N89" s="60">
        <v>1</v>
      </c>
      <c r="O89" s="60">
        <v>0</v>
      </c>
      <c r="P89" s="60"/>
      <c r="Q89" s="60" t="s">
        <v>34</v>
      </c>
      <c r="R89" s="60">
        <f>IF(Q89="Free Recall",1,IF(Q89="Cued Recall",2,IF(Q89="Recognition",3,IF(Q89="Multiple Choice",4,IF(Q89="Savings",5,IF(Q89="Stem Completion",6,IF(Q89="Fragment Completion",7,IF(Q89="anagram solution",8,IF(Q89="Matching",9,IF(Q89="Problem Solving",10,"99"))))))))))</f>
        <v>3</v>
      </c>
      <c r="S89" s="60" t="s">
        <v>40</v>
      </c>
      <c r="T89" s="59" t="s">
        <v>581</v>
      </c>
      <c r="U89" s="60">
        <f>IF(T89="within",1,0)</f>
        <v>1</v>
      </c>
      <c r="V89" s="59">
        <v>108</v>
      </c>
      <c r="W89" s="60">
        <f>F89*V89</f>
        <v>1620</v>
      </c>
      <c r="X89" s="60">
        <v>3</v>
      </c>
      <c r="Y89" s="76">
        <f>AV88</f>
        <v>1</v>
      </c>
      <c r="Z89" s="60" t="s">
        <v>42</v>
      </c>
      <c r="AA89" s="60">
        <v>12</v>
      </c>
      <c r="AB89" s="60" t="str">
        <f>IF(AA89&lt;60,"1",IF(AA89&lt;=43200,"2",IF(AA89&lt;=777600,"3","4")))</f>
        <v>1</v>
      </c>
      <c r="AC89" s="56">
        <f>AVERAGE(AV88:DA88)</f>
        <v>6.333333333333333</v>
      </c>
      <c r="AD89" s="60" t="str">
        <f>IF(AC89&lt;60,"1",IF(AC89&lt;=43200,"2",IF(AC89&lt;=777600,"3","4")))</f>
        <v>1</v>
      </c>
      <c r="AE89" s="76">
        <f>AA89-Y89</f>
        <v>11</v>
      </c>
      <c r="AF89" s="80">
        <f>AV89</f>
        <v>0.753</v>
      </c>
      <c r="AG89" s="56">
        <f>((AW89-AV89)+(AX89-AW89))/2</f>
        <v>-5.1999999999999991E-2</v>
      </c>
      <c r="AH89" s="4"/>
      <c r="AI89" s="56">
        <f>RSQ(AV89:AX89,AV88:AX88)</f>
        <v>0.80948049439049885</v>
      </c>
      <c r="AJ89" s="109">
        <f>SLOPE(AV89:AX89,AV88:AX88)</f>
        <v>-9.2197802197802169E-3</v>
      </c>
      <c r="AK89" s="56">
        <f>INTERCEPT(AV89:AX89,AV88:AX88)</f>
        <v>0.74672527472527472</v>
      </c>
      <c r="AL89" s="56">
        <f>INDEX(LINEST(LN(AV89:AX89),LN(AV88:AX88),TRUE,TRUE),3,1)</f>
        <v>0.98038881789340426</v>
      </c>
      <c r="AM89" s="56">
        <f>INDEX(LINEST(LN(AV89:AX89),LN(AV88:AX88)),1)</f>
        <v>-6.2054385278598211E-2</v>
      </c>
      <c r="AN89" s="56">
        <f>EXP(INDEX(LINEST(LN(AV89:AX89),LN(AV88:AX88)),1,2))</f>
        <v>0.75035988685711985</v>
      </c>
      <c r="AO89" s="82">
        <f>INDEX(LINEST((AV89:AX89),LN(AV88:AX88),TRUE,TRUE),3,1)</f>
        <v>0.97786516504748844</v>
      </c>
      <c r="AP89" s="82">
        <f>INDEX(LINEST((AV89:AX89),LN(AV88:AX88)),1)</f>
        <v>-4.3524165281927353E-2</v>
      </c>
      <c r="AQ89" s="83">
        <f>INDEX(LINEST(LN(AV89:AX89),SQRT(AV88:AX88),TRUE,TRUE),3,1)</f>
        <v>0.91884600741879552</v>
      </c>
      <c r="AR89" s="116">
        <f>INDEX(LINEST(LN(AV89:AX89),SQRT((AV88:AX88))),1)</f>
        <v>-6.2202759798624302E-2</v>
      </c>
      <c r="AS89" s="84">
        <f>INDEX(LINEST(1/(AV89:AX89),1/(SQRT(AV88:AX88)),TRUE,TRUE),3,1)</f>
        <v>0.99976826366895921</v>
      </c>
      <c r="AT89" s="84">
        <f>INDEX(LINEST(1/(AV89:AX89),1/SQRT(AV88:AX88)),1)</f>
        <v>-0.30093112830638513</v>
      </c>
      <c r="AU89" s="3"/>
      <c r="AV89" s="53">
        <v>0.753</v>
      </c>
      <c r="AW89" s="53">
        <v>0.66300000000000003</v>
      </c>
      <c r="AX89" s="53">
        <v>0.64900000000000002</v>
      </c>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53"/>
      <c r="CD89" s="53"/>
      <c r="CE89" s="53"/>
      <c r="CF89" s="53"/>
      <c r="CG89" s="53"/>
      <c r="CH89" s="53"/>
      <c r="CI89" s="53"/>
      <c r="CJ89" s="53"/>
      <c r="CK89" s="53"/>
      <c r="CL89" s="53"/>
      <c r="CM89" s="53"/>
      <c r="CN89" s="53"/>
      <c r="CO89" s="53"/>
      <c r="CP89" s="53"/>
      <c r="CQ89" s="53"/>
      <c r="CR89" s="1"/>
      <c r="CS89" s="1"/>
      <c r="CT89" s="1"/>
      <c r="CU89" s="1"/>
    </row>
    <row r="90" spans="1:99" s="13" customFormat="1" ht="12" customHeight="1" x14ac:dyDescent="0.2">
      <c r="A90" s="65">
        <v>43509</v>
      </c>
      <c r="B90" s="1"/>
      <c r="C90" s="1"/>
      <c r="D90" s="60"/>
      <c r="E90" s="76"/>
      <c r="F90" s="60"/>
      <c r="G90" s="60"/>
      <c r="H90" s="60"/>
      <c r="I90" s="60"/>
      <c r="J90" s="60"/>
      <c r="K90" s="64"/>
      <c r="L90" s="64"/>
      <c r="M90" s="60"/>
      <c r="N90" s="60"/>
      <c r="O90" s="60"/>
      <c r="P90" s="60"/>
      <c r="Q90" s="60"/>
      <c r="R90" s="60"/>
      <c r="S90" s="60"/>
      <c r="T90" s="60"/>
      <c r="U90" s="60"/>
      <c r="V90" s="60"/>
      <c r="W90" s="60"/>
      <c r="X90" s="60"/>
      <c r="Y90" s="76"/>
      <c r="Z90" s="60"/>
      <c r="AA90" s="60"/>
      <c r="AB90" s="60"/>
      <c r="AC90" s="60"/>
      <c r="AD90" s="60"/>
      <c r="AE90" s="60"/>
      <c r="AF90" s="80"/>
      <c r="AG90" s="56"/>
      <c r="AH90" s="4"/>
      <c r="AI90" s="56"/>
      <c r="AJ90" s="109"/>
      <c r="AK90" s="56"/>
      <c r="AL90" s="56"/>
      <c r="AM90" s="56"/>
      <c r="AN90" s="56"/>
      <c r="AO90" s="82"/>
      <c r="AP90" s="82"/>
      <c r="AQ90" s="82"/>
      <c r="AR90" s="115"/>
      <c r="AS90" s="82"/>
      <c r="AT90" s="82"/>
      <c r="AU90" s="3"/>
      <c r="AV90" s="25">
        <v>1</v>
      </c>
      <c r="AW90" s="25">
        <v>6</v>
      </c>
      <c r="AX90" s="25">
        <v>12</v>
      </c>
      <c r="AY90" s="53"/>
      <c r="AZ90" s="53"/>
      <c r="BA90" s="53"/>
      <c r="BB90" s="53"/>
      <c r="BC90" s="53"/>
      <c r="BD90" s="53"/>
      <c r="BE90" s="53"/>
      <c r="BF90" s="53"/>
      <c r="BG90" s="53"/>
      <c r="BH90" s="53"/>
      <c r="BI90" s="53"/>
      <c r="BJ90" s="53"/>
      <c r="BK90" s="53"/>
      <c r="BL90" s="53"/>
      <c r="BM90" s="53"/>
      <c r="BN90" s="53"/>
      <c r="BO90" s="53"/>
      <c r="BP90" s="53"/>
      <c r="BQ90" s="53"/>
      <c r="BR90" s="53"/>
      <c r="BS90" s="53"/>
      <c r="BT90" s="53"/>
      <c r="BU90" s="53"/>
      <c r="BV90" s="53"/>
      <c r="BW90" s="53"/>
      <c r="BX90" s="53"/>
      <c r="BY90" s="53"/>
      <c r="BZ90" s="53"/>
      <c r="CA90" s="53"/>
      <c r="CB90" s="53"/>
      <c r="CC90" s="53"/>
      <c r="CD90" s="53"/>
      <c r="CE90" s="53"/>
      <c r="CF90" s="53"/>
      <c r="CG90" s="53"/>
      <c r="CH90" s="53"/>
      <c r="CI90" s="53"/>
      <c r="CJ90" s="53"/>
      <c r="CK90" s="53"/>
      <c r="CL90" s="53"/>
      <c r="CM90" s="53"/>
      <c r="CN90" s="53"/>
      <c r="CO90" s="53"/>
      <c r="CP90" s="53"/>
      <c r="CQ90" s="53"/>
      <c r="CR90" s="1"/>
      <c r="CS90" s="1"/>
      <c r="CT90" s="1"/>
      <c r="CU90" s="1"/>
    </row>
    <row r="91" spans="1:99" s="13" customFormat="1" ht="12" customHeight="1" x14ac:dyDescent="0.2">
      <c r="A91" s="65">
        <v>43509</v>
      </c>
      <c r="B91" s="1" t="s">
        <v>251</v>
      </c>
      <c r="C91" s="1" t="s">
        <v>33</v>
      </c>
      <c r="D91" s="60">
        <v>2014</v>
      </c>
      <c r="E91" s="76">
        <v>3</v>
      </c>
      <c r="F91" s="60">
        <v>15</v>
      </c>
      <c r="G91" s="60">
        <v>15</v>
      </c>
      <c r="H91" s="60" t="s">
        <v>769</v>
      </c>
      <c r="I91" s="60" t="s">
        <v>768</v>
      </c>
      <c r="J91" s="60" t="s">
        <v>764</v>
      </c>
      <c r="K91" s="60">
        <f>IF(J91="syllables",1,IF(J91="trigrams",2,IF(J91="strings",3,IF(J91="visual array",4,IF(J91="characters",5,IF(J91="letters",6,IF(J91="free forms",7,IF(J91="odors",8,IF(J91="words",9,IF(J91="pictures",10,IF(J91="object pictures",11,IF(J91="faces",12,IF(J91="names",13,IF(J91="idioms",14,IF(J91="grades",15,IF(J91="syllable-digit pairs",16,IF(J91="trigram-word pairs",17,IF(J91="word-digit pairs",18,IF(J91="English-Swahili pairs",19,IF(J91="spatial position",20,IF(J91="word pairs",21,IF(J91="word triads",22,IF(J91="generated words",23,IF(J91="word definition pairs",24,IF(J91="math problems",25,IF(J91="famous faces",26,IF(J91="famous names",27,IF(J91="famous voices",28,IF(J91="television programs",29,IF(J91="race horses",30,IF(J91="new vocabulary",31,IF(J91="sentences",32,IF(J91="concepts",33,IF(J91="ad slides",34,IF(J91="scenes",35,IF(J91="famous scenes",36,IF(J91="poems",37,IF(J91="walk",38,IF(J91="faces and events",39,IF(J91="events and names",40,IF(J91="flashbulb",41,IF(J91="stories",42,IF(J91="course material",43,IF(J91="autobiographical",44,IF(J91="novels",45,IF(J91="public events",46,"99"))))))))))))))))))))))))))))))))))))))))))))))</f>
        <v>4</v>
      </c>
      <c r="L91" s="60">
        <f>IF(J91="syllables",1,IF(J91="trigrams",1,IF(J91="strings",1,IF(J91="visual array",1,IF(J91="characters",1,IF(J91="letters",1,IF(J91="free forms",1,IF(J91="odors",2,IF(J91="words",2,IF(J91="pictures",2,IF(J91="object pictures",2,IF(J91="faces",2,IF(J91="names",2,IF(J91="idioms","2",IF(J91="grades",2,IF(J91="syllable-digit pairs",3,IF(J91="trigram-word pairs",3,IF(J91="word-digit pairs",3,IF(J91="English-Swahili pairs",3,IF(J91="spatial position",3,IF(J91="word pairs",4,IF(J91="word triads",4,IF(J91="generated words",4,IF(J91="word definition pairs",4,IF(J91="math problems",4,IF(J91="famous faces",4,IF(J91="famous names",4,IF(J91="famous voices",4,IF(J91="television programs",4,IF(J91="race horses",4,IF(J91="new vocabulary",4,IF(J91="sentences",5,IF(J91="concepts",5,IF(J91="ad slides",5,IF(J91="scenes",5,IF(J91="famous scenes",5,IF(J91="poems",6,IF(J91="walk",6,IF(J91="faces and events",6,IF(J91="events and names",6,IF(J91="flashbulb",7,IF(J91="stories",7,IF(J91="course material",7,IF(J91="autobiographical",7,IF(J91="novels",7,IF(J91="public events",7,"99"))))))))))))))))))))))))))))))))))))))))))))))</f>
        <v>1</v>
      </c>
      <c r="M91" s="60">
        <v>0</v>
      </c>
      <c r="N91" s="60">
        <v>1</v>
      </c>
      <c r="O91" s="60">
        <v>0</v>
      </c>
      <c r="P91" s="60"/>
      <c r="Q91" s="60" t="s">
        <v>34</v>
      </c>
      <c r="R91" s="60">
        <f>IF(Q91="Free Recall",1,IF(Q91="Cued Recall",2,IF(Q91="Recognition",3,IF(Q91="Multiple Choice",4,IF(Q91="Savings",5,IF(Q91="Stem Completion",6,IF(Q91="Fragment Completion",7,IF(Q91="anagram solution",8,IF(Q91="Matching",9,IF(Q91="Problem Solving",10,"99"))))))))))</f>
        <v>3</v>
      </c>
      <c r="S91" s="60" t="s">
        <v>40</v>
      </c>
      <c r="T91" s="59" t="s">
        <v>581</v>
      </c>
      <c r="U91" s="60">
        <f>IF(T91="within",1,0)</f>
        <v>1</v>
      </c>
      <c r="V91" s="59">
        <v>108</v>
      </c>
      <c r="W91" s="60">
        <f>F91*V91</f>
        <v>1620</v>
      </c>
      <c r="X91" s="60">
        <v>3</v>
      </c>
      <c r="Y91" s="76">
        <f>AV90</f>
        <v>1</v>
      </c>
      <c r="Z91" s="60" t="s">
        <v>42</v>
      </c>
      <c r="AA91" s="60">
        <v>12</v>
      </c>
      <c r="AB91" s="60" t="str">
        <f>IF(AA91&lt;60,"1",IF(AA91&lt;=43200,"2",IF(AA91&lt;=777600,"3","4")))</f>
        <v>1</v>
      </c>
      <c r="AC91" s="56">
        <f>AVERAGE(AV90:DA90)</f>
        <v>6.333333333333333</v>
      </c>
      <c r="AD91" s="60" t="str">
        <f>IF(AC91&lt;60,"1",IF(AC91&lt;=43200,"2",IF(AC91&lt;=777600,"3","4")))</f>
        <v>1</v>
      </c>
      <c r="AE91" s="76">
        <f>AA91-Y91</f>
        <v>11</v>
      </c>
      <c r="AF91" s="80">
        <f>AV91</f>
        <v>0.78300000000000003</v>
      </c>
      <c r="AG91" s="56">
        <f>((AW91-AV91)+(AX91-AW91))/2</f>
        <v>-4.7500000000000042E-2</v>
      </c>
      <c r="AH91" s="4"/>
      <c r="AI91" s="56">
        <f>RSQ(AV91:AX91,AV90:AX90)</f>
        <v>0.96816757163464551</v>
      </c>
      <c r="AJ91" s="109">
        <f>SLOPE(AV91:AX91,AV90:AX90)</f>
        <v>-8.554945054945062E-3</v>
      </c>
      <c r="AK91" s="56">
        <f>INTERCEPT(AV91:AX91,AV90:AX90)</f>
        <v>0.78618131868131857</v>
      </c>
      <c r="AL91" s="56">
        <f>INDEX(LINEST(LN(AV91:AX91),LN(AV90:AX90),TRUE,TRUE),3,1)</f>
        <v>0.98034888463448611</v>
      </c>
      <c r="AM91" s="56">
        <f>INDEX(LINEST(LN(AV91:AX91),LN(AV90:AX90)),1)</f>
        <v>-5.0236304116639673E-2</v>
      </c>
      <c r="AN91" s="56">
        <f>EXP(INDEX(LINEST(LN(AV91:AX91),LN(AV90:AX90)),1,2))</f>
        <v>0.78523185394143458</v>
      </c>
      <c r="AO91" s="82">
        <f>INDEX(LINEST((AV91:AX91),LN(AV90:AX90),TRUE,TRUE),3,1)</f>
        <v>0.98495212238888064</v>
      </c>
      <c r="AP91" s="82">
        <f>INDEX(LINEST((AV91:AX91),LN(AV90:AX90)),1)</f>
        <v>-3.7061509805236412E-2</v>
      </c>
      <c r="AQ91" s="83">
        <f>INDEX(LINEST(LN(AV91:AX91),SQRT(AV90:AX90),TRUE,TRUE),3,1)</f>
        <v>0.9999402633187644</v>
      </c>
      <c r="AR91" s="116">
        <f>INDEX(LINEST(LN(AV91:AX91),SQRT((AV90:AX90))),1)</f>
        <v>-5.2532656573409081E-2</v>
      </c>
      <c r="AS91" s="84">
        <f>INDEX(LINEST(1/(AV91:AX91),1/(SQRT(AV90:AX90)),TRUE,TRUE),3,1)</f>
        <v>0.92647698493019448</v>
      </c>
      <c r="AT91" s="84">
        <f>INDEX(LINEST(1/(AV91:AX91),1/SQRT(AV90:AX90)),1)</f>
        <v>-0.22375896588543526</v>
      </c>
      <c r="AU91" s="3"/>
      <c r="AV91" s="53">
        <v>0.78300000000000003</v>
      </c>
      <c r="AW91" s="53">
        <v>0.72499999999999998</v>
      </c>
      <c r="AX91" s="53">
        <v>0.68799999999999994</v>
      </c>
      <c r="AY91" s="53"/>
      <c r="AZ91" s="53"/>
      <c r="BA91" s="53"/>
      <c r="BB91" s="53"/>
      <c r="BC91" s="53"/>
      <c r="BD91" s="53"/>
      <c r="BE91" s="53"/>
      <c r="BF91" s="53"/>
      <c r="BG91" s="53"/>
      <c r="BH91" s="53"/>
      <c r="BI91" s="53"/>
      <c r="BJ91" s="53"/>
      <c r="BK91" s="53"/>
      <c r="BL91" s="53"/>
      <c r="BM91" s="53"/>
      <c r="BN91" s="53"/>
      <c r="BO91" s="53"/>
      <c r="BP91" s="53"/>
      <c r="BQ91" s="53"/>
      <c r="BR91" s="53"/>
      <c r="BS91" s="53"/>
      <c r="BT91" s="53"/>
      <c r="BU91" s="53"/>
      <c r="BV91" s="53"/>
      <c r="BW91" s="53"/>
      <c r="BX91" s="53"/>
      <c r="BY91" s="53"/>
      <c r="BZ91" s="53"/>
      <c r="CA91" s="53"/>
      <c r="CB91" s="53"/>
      <c r="CC91" s="53"/>
      <c r="CD91" s="53"/>
      <c r="CE91" s="53"/>
      <c r="CF91" s="53"/>
      <c r="CG91" s="53"/>
      <c r="CH91" s="53"/>
      <c r="CI91" s="53"/>
      <c r="CJ91" s="53"/>
      <c r="CK91" s="53"/>
      <c r="CL91" s="53"/>
      <c r="CM91" s="53"/>
      <c r="CN91" s="53"/>
      <c r="CO91" s="53"/>
      <c r="CP91" s="53"/>
      <c r="CQ91" s="53"/>
      <c r="CR91" s="1"/>
      <c r="CS91" s="1"/>
      <c r="CT91" s="1"/>
      <c r="CU91" s="1"/>
    </row>
    <row r="92" spans="1:99" s="13" customFormat="1" ht="12" customHeight="1" x14ac:dyDescent="0.2">
      <c r="A92" s="65">
        <v>43509</v>
      </c>
      <c r="B92" s="1"/>
      <c r="C92" s="1"/>
      <c r="D92" s="60"/>
      <c r="E92" s="76"/>
      <c r="F92" s="60"/>
      <c r="G92" s="60"/>
      <c r="H92" s="60"/>
      <c r="I92" s="60"/>
      <c r="J92" s="60"/>
      <c r="K92" s="64"/>
      <c r="L92" s="64"/>
      <c r="M92" s="60"/>
      <c r="N92" s="60"/>
      <c r="O92" s="60"/>
      <c r="P92" s="60"/>
      <c r="Q92" s="60"/>
      <c r="R92" s="60"/>
      <c r="S92" s="60"/>
      <c r="T92" s="60"/>
      <c r="U92" s="60"/>
      <c r="V92" s="60"/>
      <c r="W92" s="60"/>
      <c r="X92" s="60"/>
      <c r="Y92" s="76"/>
      <c r="Z92" s="60"/>
      <c r="AA92" s="60"/>
      <c r="AB92" s="60"/>
      <c r="AC92" s="60"/>
      <c r="AD92" s="60"/>
      <c r="AE92" s="60"/>
      <c r="AF92" s="80"/>
      <c r="AG92" s="56"/>
      <c r="AH92" s="4"/>
      <c r="AI92" s="56"/>
      <c r="AJ92" s="109"/>
      <c r="AK92" s="56"/>
      <c r="AL92" s="56"/>
      <c r="AM92" s="56"/>
      <c r="AN92" s="56"/>
      <c r="AO92" s="82"/>
      <c r="AP92" s="82"/>
      <c r="AQ92" s="82"/>
      <c r="AR92" s="115"/>
      <c r="AS92" s="82"/>
      <c r="AT92" s="82"/>
      <c r="AU92" s="3"/>
      <c r="AV92" s="25">
        <v>1</v>
      </c>
      <c r="AW92" s="25">
        <v>6</v>
      </c>
      <c r="AX92" s="25">
        <v>12</v>
      </c>
      <c r="AY92" s="53"/>
      <c r="AZ92" s="53"/>
      <c r="BA92" s="53"/>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53"/>
      <c r="CD92" s="53"/>
      <c r="CE92" s="53"/>
      <c r="CF92" s="53"/>
      <c r="CG92" s="53"/>
      <c r="CH92" s="53"/>
      <c r="CI92" s="53"/>
      <c r="CJ92" s="53"/>
      <c r="CK92" s="53"/>
      <c r="CL92" s="53"/>
      <c r="CM92" s="53"/>
      <c r="CN92" s="53"/>
      <c r="CO92" s="53"/>
      <c r="CP92" s="53"/>
      <c r="CQ92" s="53"/>
      <c r="CR92" s="1"/>
      <c r="CS92" s="1"/>
      <c r="CT92" s="1"/>
      <c r="CU92" s="1"/>
    </row>
    <row r="93" spans="1:99" s="13" customFormat="1" ht="12" customHeight="1" x14ac:dyDescent="0.2">
      <c r="A93" s="65">
        <v>43509</v>
      </c>
      <c r="B93" s="1" t="s">
        <v>251</v>
      </c>
      <c r="C93" s="1" t="s">
        <v>33</v>
      </c>
      <c r="D93" s="60">
        <v>2014</v>
      </c>
      <c r="E93" s="76">
        <v>4</v>
      </c>
      <c r="F93" s="60">
        <v>15</v>
      </c>
      <c r="G93" s="60">
        <v>15</v>
      </c>
      <c r="H93" s="60" t="s">
        <v>44</v>
      </c>
      <c r="I93" s="60" t="s">
        <v>767</v>
      </c>
      <c r="J93" s="60" t="s">
        <v>764</v>
      </c>
      <c r="K93" s="60">
        <f>IF(J93="syllables",1,IF(J93="trigrams",2,IF(J93="strings",3,IF(J93="visual array",4,IF(J93="characters",5,IF(J93="letters",6,IF(J93="free forms",7,IF(J93="odors",8,IF(J93="words",9,IF(J93="pictures",10,IF(J93="object pictures",11,IF(J93="faces",12,IF(J93="names",13,IF(J93="idioms",14,IF(J93="grades",15,IF(J93="syllable-digit pairs",16,IF(J93="trigram-word pairs",17,IF(J93="word-digit pairs",18,IF(J93="English-Swahili pairs",19,IF(J93="spatial position",20,IF(J93="word pairs",21,IF(J93="word triads",22,IF(J93="generated words",23,IF(J93="word definition pairs",24,IF(J93="math problems",25,IF(J93="famous faces",26,IF(J93="famous names",27,IF(J93="famous voices",28,IF(J93="television programs",29,IF(J93="race horses",30,IF(J93="new vocabulary",31,IF(J93="sentences",32,IF(J93="concepts",33,IF(J93="ad slides",34,IF(J93="scenes",35,IF(J93="famous scenes",36,IF(J93="poems",37,IF(J93="walk",38,IF(J93="faces and events",39,IF(J93="events and names",40,IF(J93="flashbulb",41,IF(J93="stories",42,IF(J93="course material",43,IF(J93="autobiographical",44,IF(J93="novels",45,IF(J93="public events",46,"99"))))))))))))))))))))))))))))))))))))))))))))))</f>
        <v>4</v>
      </c>
      <c r="L93" s="60">
        <f>IF(J93="syllables",1,IF(J93="trigrams",1,IF(J93="strings",1,IF(J93="visual array",1,IF(J93="characters",1,IF(J93="letters",1,IF(J93="free forms",1,IF(J93="odors",2,IF(J93="words",2,IF(J93="pictures",2,IF(J93="object pictures",2,IF(J93="faces",2,IF(J93="names",2,IF(J93="idioms","2",IF(J93="grades",2,IF(J93="syllable-digit pairs",3,IF(J93="trigram-word pairs",3,IF(J93="word-digit pairs",3,IF(J93="English-Swahili pairs",3,IF(J93="spatial position",3,IF(J93="word pairs",4,IF(J93="word triads",4,IF(J93="generated words",4,IF(J93="word definition pairs",4,IF(J93="math problems",4,IF(J93="famous faces",4,IF(J93="famous names",4,IF(J93="famous voices",4,IF(J93="television programs",4,IF(J93="race horses",4,IF(J93="new vocabulary",4,IF(J93="sentences",5,IF(J93="concepts",5,IF(J93="ad slides",5,IF(J93="scenes",5,IF(J93="famous scenes",5,IF(J93="poems",6,IF(J93="walk",6,IF(J93="faces and events",6,IF(J93="events and names",6,IF(J93="flashbulb",7,IF(J93="stories",7,IF(J93="course material",7,IF(J93="autobiographical",7,IF(J93="novels",7,IF(J93="public events",7,"99"))))))))))))))))))))))))))))))))))))))))))))))</f>
        <v>1</v>
      </c>
      <c r="M93" s="60">
        <v>0</v>
      </c>
      <c r="N93" s="60">
        <v>1</v>
      </c>
      <c r="O93" s="60">
        <v>0</v>
      </c>
      <c r="P93" s="60"/>
      <c r="Q93" s="60" t="s">
        <v>34</v>
      </c>
      <c r="R93" s="60">
        <f>IF(Q93="Free Recall",1,IF(Q93="Cued Recall",2,IF(Q93="Recognition",3,IF(Q93="Multiple Choice",4,IF(Q93="Savings",5,IF(Q93="Stem Completion",6,IF(Q93="Fragment Completion",7,IF(Q93="anagram solution",8,IF(Q93="Matching",9,IF(Q93="Problem Solving",10,"99"))))))))))</f>
        <v>3</v>
      </c>
      <c r="S93" s="60" t="s">
        <v>40</v>
      </c>
      <c r="T93" s="59" t="s">
        <v>581</v>
      </c>
      <c r="U93" s="60">
        <f>IF(T93="within",1,0)</f>
        <v>1</v>
      </c>
      <c r="V93" s="59">
        <v>108</v>
      </c>
      <c r="W93" s="60">
        <f>F93*V93</f>
        <v>1620</v>
      </c>
      <c r="X93" s="60">
        <v>3</v>
      </c>
      <c r="Y93" s="76">
        <f>AV92</f>
        <v>1</v>
      </c>
      <c r="Z93" s="60" t="s">
        <v>42</v>
      </c>
      <c r="AA93" s="60">
        <v>12</v>
      </c>
      <c r="AB93" s="60" t="str">
        <f>IF(AA93&lt;60,"1",IF(AA93&lt;=43200,"2",IF(AA93&lt;=777600,"3","4")))</f>
        <v>1</v>
      </c>
      <c r="AC93" s="56">
        <f>AVERAGE(AV92:DA92)</f>
        <v>6.333333333333333</v>
      </c>
      <c r="AD93" s="60" t="str">
        <f>IF(AC93&lt;60,"1",IF(AC93&lt;=43200,"2",IF(AC93&lt;=777600,"3","4")))</f>
        <v>1</v>
      </c>
      <c r="AE93" s="76">
        <f>AA93-Y93</f>
        <v>11</v>
      </c>
      <c r="AF93" s="80">
        <f>AV93</f>
        <v>0.84</v>
      </c>
      <c r="AG93" s="56">
        <f>((AW93-AV93)+(AX93-AW93))/2</f>
        <v>-2.4999999999999967E-2</v>
      </c>
      <c r="AH93" s="4"/>
      <c r="AI93" s="56">
        <f>RSQ(AV93:AX93,AV92:AX92)</f>
        <v>0.99609600925390396</v>
      </c>
      <c r="AJ93" s="109">
        <f>SLOPE(AV93:AX93,AV92:AX92)</f>
        <v>-4.5604395604395536E-3</v>
      </c>
      <c r="AK93" s="56">
        <f>INTERCEPT(AV93:AX93,AV92:AX92)</f>
        <v>0.84554945054945063</v>
      </c>
      <c r="AL93" s="56">
        <f>INDEX(LINEST(LN(AV93:AX93),LN(AV92:AX92),TRUE,TRUE),3,1)</f>
        <v>0.86705071109304421</v>
      </c>
      <c r="AM93" s="56">
        <f>INDEX(LINEST(LN(AV93:AX93),LN(AV92:AX92)),1)</f>
        <v>-2.2452493576509889E-2</v>
      </c>
      <c r="AN93" s="56">
        <f>EXP(INDEX(LINEST(LN(AV93:AX93),LN(AV92:AX92)),1,2))</f>
        <v>0.84296069523126405</v>
      </c>
      <c r="AO93" s="82">
        <f>INDEX(LINEST((AV93:AX93),LN(AV92:AX92),TRUE,TRUE),3,1)</f>
        <v>0.87266785751561338</v>
      </c>
      <c r="AP93" s="82">
        <f>INDEX(LINEST((AV93:AX93),LN(AV92:AX92)),1)</f>
        <v>-1.8333871503869979E-2</v>
      </c>
      <c r="AQ93" s="83">
        <f>INDEX(LINEST(LN(AV93:AX93),SQRT(AV92:AX92),TRUE,TRUE),3,1)</f>
        <v>0.95028779559681664</v>
      </c>
      <c r="AR93" s="116">
        <f>INDEX(LINEST(LN(AV93:AX93),SQRT((AV92:AX92))),1)</f>
        <v>-2.4338000271264162E-2</v>
      </c>
      <c r="AS93" s="84">
        <f>INDEX(LINEST(1/(AV93:AX93),1/(SQRT(AV92:AX92)),TRUE,TRUE),3,1)</f>
        <v>0.77218146676836896</v>
      </c>
      <c r="AT93" s="84">
        <f>INDEX(LINEST(1/(AV93:AX93),1/SQRT(AV92:AX92)),1)</f>
        <v>-8.7673544528963726E-2</v>
      </c>
      <c r="AU93" s="3"/>
      <c r="AV93" s="53">
        <v>0.84</v>
      </c>
      <c r="AW93" s="53">
        <v>0.82</v>
      </c>
      <c r="AX93" s="53">
        <v>0.79</v>
      </c>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53"/>
      <c r="CD93" s="53"/>
      <c r="CE93" s="53"/>
      <c r="CF93" s="53"/>
      <c r="CG93" s="53"/>
      <c r="CH93" s="53"/>
      <c r="CI93" s="53"/>
      <c r="CJ93" s="53"/>
      <c r="CK93" s="53"/>
      <c r="CL93" s="53"/>
      <c r="CM93" s="53"/>
      <c r="CN93" s="53"/>
      <c r="CO93" s="53"/>
      <c r="CP93" s="53"/>
      <c r="CQ93" s="53"/>
      <c r="CR93" s="1"/>
      <c r="CS93" s="1"/>
      <c r="CT93" s="1"/>
      <c r="CU93" s="1"/>
    </row>
    <row r="94" spans="1:99" s="13" customFormat="1" ht="12" customHeight="1" x14ac:dyDescent="0.2">
      <c r="A94" s="65">
        <v>43509</v>
      </c>
      <c r="B94" s="1"/>
      <c r="C94" s="1"/>
      <c r="D94" s="60"/>
      <c r="E94" s="76"/>
      <c r="F94" s="60"/>
      <c r="G94" s="60"/>
      <c r="H94" s="60"/>
      <c r="I94" s="60"/>
      <c r="J94" s="60"/>
      <c r="K94" s="64"/>
      <c r="L94" s="64"/>
      <c r="M94" s="60"/>
      <c r="N94" s="60"/>
      <c r="O94" s="60"/>
      <c r="P94" s="60"/>
      <c r="Q94" s="60"/>
      <c r="R94" s="60"/>
      <c r="S94" s="60"/>
      <c r="T94" s="60"/>
      <c r="U94" s="60"/>
      <c r="V94" s="60"/>
      <c r="W94" s="60"/>
      <c r="X94" s="60"/>
      <c r="Y94" s="76"/>
      <c r="Z94" s="60"/>
      <c r="AA94" s="60"/>
      <c r="AB94" s="60"/>
      <c r="AC94" s="60"/>
      <c r="AD94" s="60"/>
      <c r="AE94" s="60"/>
      <c r="AF94" s="80"/>
      <c r="AG94" s="56"/>
      <c r="AH94" s="4"/>
      <c r="AI94" s="56"/>
      <c r="AJ94" s="109"/>
      <c r="AK94" s="56"/>
      <c r="AL94" s="56"/>
      <c r="AM94" s="56"/>
      <c r="AN94" s="56"/>
      <c r="AO94" s="82"/>
      <c r="AP94" s="82"/>
      <c r="AQ94" s="82"/>
      <c r="AR94" s="115"/>
      <c r="AS94" s="82"/>
      <c r="AT94" s="82"/>
      <c r="AU94" s="3"/>
      <c r="AV94" s="25">
        <v>1</v>
      </c>
      <c r="AW94" s="25">
        <v>6</v>
      </c>
      <c r="AX94" s="25">
        <v>12</v>
      </c>
      <c r="AY94" s="53"/>
      <c r="AZ94" s="53"/>
      <c r="BA94" s="53"/>
      <c r="BB94" s="53"/>
      <c r="BC94" s="53"/>
      <c r="BD94" s="53"/>
      <c r="BE94" s="53"/>
      <c r="BF94" s="53"/>
      <c r="BG94" s="53"/>
      <c r="BH94" s="53"/>
      <c r="BI94" s="53"/>
      <c r="BJ94" s="53"/>
      <c r="BK94" s="53"/>
      <c r="BL94" s="53"/>
      <c r="BM94" s="53"/>
      <c r="BN94" s="53"/>
      <c r="BO94" s="53"/>
      <c r="BP94" s="53"/>
      <c r="BQ94" s="53"/>
      <c r="BR94" s="53"/>
      <c r="BS94" s="53"/>
      <c r="BT94" s="53"/>
      <c r="BU94" s="53"/>
      <c r="BV94" s="53"/>
      <c r="BW94" s="53"/>
      <c r="BX94" s="53"/>
      <c r="BY94" s="53"/>
      <c r="BZ94" s="53"/>
      <c r="CA94" s="53"/>
      <c r="CB94" s="53"/>
      <c r="CC94" s="53"/>
      <c r="CD94" s="53"/>
      <c r="CE94" s="53"/>
      <c r="CF94" s="53"/>
      <c r="CG94" s="53"/>
      <c r="CH94" s="53"/>
      <c r="CI94" s="53"/>
      <c r="CJ94" s="53"/>
      <c r="CK94" s="53"/>
      <c r="CL94" s="53"/>
      <c r="CM94" s="53"/>
      <c r="CN94" s="53"/>
      <c r="CO94" s="53"/>
      <c r="CP94" s="53"/>
      <c r="CQ94" s="53"/>
      <c r="CR94" s="1"/>
      <c r="CS94" s="1"/>
      <c r="CT94" s="1"/>
      <c r="CU94" s="1"/>
    </row>
    <row r="95" spans="1:99" s="13" customFormat="1" ht="12" customHeight="1" x14ac:dyDescent="0.2">
      <c r="A95" s="65">
        <v>43509</v>
      </c>
      <c r="B95" s="1" t="s">
        <v>251</v>
      </c>
      <c r="C95" s="1" t="s">
        <v>33</v>
      </c>
      <c r="D95" s="60">
        <v>2014</v>
      </c>
      <c r="E95" s="76">
        <v>4</v>
      </c>
      <c r="F95" s="60">
        <v>15</v>
      </c>
      <c r="G95" s="60">
        <v>15</v>
      </c>
      <c r="H95" s="60" t="s">
        <v>44</v>
      </c>
      <c r="I95" s="60" t="s">
        <v>768</v>
      </c>
      <c r="J95" s="60" t="s">
        <v>764</v>
      </c>
      <c r="K95" s="60">
        <f>IF(J95="syllables",1,IF(J95="trigrams",2,IF(J95="strings",3,IF(J95="visual array",4,IF(J95="characters",5,IF(J95="letters",6,IF(J95="free forms",7,IF(J95="odors",8,IF(J95="words",9,IF(J95="pictures",10,IF(J95="object pictures",11,IF(J95="faces",12,IF(J95="names",13,IF(J95="idioms",14,IF(J95="grades",15,IF(J95="syllable-digit pairs",16,IF(J95="trigram-word pairs",17,IF(J95="word-digit pairs",18,IF(J95="English-Swahili pairs",19,IF(J95="spatial position",20,IF(J95="word pairs",21,IF(J95="word triads",22,IF(J95="generated words",23,IF(J95="word definition pairs",24,IF(J95="math problems",25,IF(J95="famous faces",26,IF(J95="famous names",27,IF(J95="famous voices",28,IF(J95="television programs",29,IF(J95="race horses",30,IF(J95="new vocabulary",31,IF(J95="sentences",32,IF(J95="concepts",33,IF(J95="ad slides",34,IF(J95="scenes",35,IF(J95="famous scenes",36,IF(J95="poems",37,IF(J95="walk",38,IF(J95="faces and events",39,IF(J95="events and names",40,IF(J95="flashbulb",41,IF(J95="stories",42,IF(J95="course material",43,IF(J95="autobiographical",44,IF(J95="novels",45,IF(J95="public events",46,"99"))))))))))))))))))))))))))))))))))))))))))))))</f>
        <v>4</v>
      </c>
      <c r="L95" s="60">
        <f>IF(J95="syllables",1,IF(J95="trigrams",1,IF(J95="strings",1,IF(J95="visual array",1,IF(J95="characters",1,IF(J95="letters",1,IF(J95="free forms",1,IF(J95="odors",2,IF(J95="words",2,IF(J95="pictures",2,IF(J95="object pictures",2,IF(J95="faces",2,IF(J95="names",2,IF(J95="idioms","2",IF(J95="grades",2,IF(J95="syllable-digit pairs",3,IF(J95="trigram-word pairs",3,IF(J95="word-digit pairs",3,IF(J95="English-Swahili pairs",3,IF(J95="spatial position",3,IF(J95="word pairs",4,IF(J95="word triads",4,IF(J95="generated words",4,IF(J95="word definition pairs",4,IF(J95="math problems",4,IF(J95="famous faces",4,IF(J95="famous names",4,IF(J95="famous voices",4,IF(J95="television programs",4,IF(J95="race horses",4,IF(J95="new vocabulary",4,IF(J95="sentences",5,IF(J95="concepts",5,IF(J95="ad slides",5,IF(J95="scenes",5,IF(J95="famous scenes",5,IF(J95="poems",6,IF(J95="walk",6,IF(J95="faces and events",6,IF(J95="events and names",6,IF(J95="flashbulb",7,IF(J95="stories",7,IF(J95="course material",7,IF(J95="autobiographical",7,IF(J95="novels",7,IF(J95="public events",7,"99"))))))))))))))))))))))))))))))))))))))))))))))</f>
        <v>1</v>
      </c>
      <c r="M95" s="60">
        <v>0</v>
      </c>
      <c r="N95" s="60">
        <v>1</v>
      </c>
      <c r="O95" s="60">
        <v>0</v>
      </c>
      <c r="P95" s="60"/>
      <c r="Q95" s="60" t="s">
        <v>34</v>
      </c>
      <c r="R95" s="60">
        <f>IF(Q95="Free Recall",1,IF(Q95="Cued Recall",2,IF(Q95="Recognition",3,IF(Q95="Multiple Choice",4,IF(Q95="Savings",5,IF(Q95="Stem Completion",6,IF(Q95="Fragment Completion",7,IF(Q95="anagram solution",8,IF(Q95="Matching",9,IF(Q95="Problem Solving",10,"99"))))))))))</f>
        <v>3</v>
      </c>
      <c r="S95" s="60" t="s">
        <v>40</v>
      </c>
      <c r="T95" s="59" t="s">
        <v>581</v>
      </c>
      <c r="U95" s="60">
        <f>IF(T95="within",1,0)</f>
        <v>1</v>
      </c>
      <c r="V95" s="59">
        <v>108</v>
      </c>
      <c r="W95" s="60">
        <f>F95*V95</f>
        <v>1620</v>
      </c>
      <c r="X95" s="60">
        <v>3</v>
      </c>
      <c r="Y95" s="76">
        <f>AV94</f>
        <v>1</v>
      </c>
      <c r="Z95" s="60" t="s">
        <v>42</v>
      </c>
      <c r="AA95" s="60">
        <v>12</v>
      </c>
      <c r="AB95" s="60" t="str">
        <f>IF(AA95&lt;60,"1",IF(AA95&lt;=43200,"2",IF(AA95&lt;=777600,"3","4")))</f>
        <v>1</v>
      </c>
      <c r="AC95" s="56">
        <f>AVERAGE(AV94:DA94)</f>
        <v>6.333333333333333</v>
      </c>
      <c r="AD95" s="60" t="str">
        <f>IF(AC95&lt;60,"1",IF(AC95&lt;=43200,"2",IF(AC95&lt;=777600,"3","4")))</f>
        <v>1</v>
      </c>
      <c r="AE95" s="76">
        <f>AA95-Y95</f>
        <v>11</v>
      </c>
      <c r="AF95" s="80">
        <f>AV95</f>
        <v>0.83199999999999996</v>
      </c>
      <c r="AG95" s="56">
        <f>((AW95-AV95)+(AX95-AW95))/2</f>
        <v>-2.4999999999999967E-2</v>
      </c>
      <c r="AH95" s="4"/>
      <c r="AI95" s="56">
        <f>RSQ(AV95:AX95,AV94:AX94)</f>
        <v>0.87248953364356585</v>
      </c>
      <c r="AJ95" s="109">
        <f>SLOPE(AV95:AX95,AV94:AX94)</f>
        <v>-4.4560439560439495E-3</v>
      </c>
      <c r="AK95" s="56">
        <f>INTERCEPT(AV95:AX95,AV94:AX94)</f>
        <v>0.83055494505494498</v>
      </c>
      <c r="AL95" s="56">
        <f>INDEX(LINEST(LN(AV95:AX95),LN(AV94:AX94),TRUE,TRUE),3,1)</f>
        <v>0.99673670172613815</v>
      </c>
      <c r="AM95" s="56">
        <f>INDEX(LINEST(LN(AV95:AX95),LN(AV94:AX94)),1)</f>
        <v>-2.531134236455454E-2</v>
      </c>
      <c r="AN95" s="56">
        <f>EXP(INDEX(LINEST(LN(AV95:AX95),LN(AV94:AX94)),1,2))</f>
        <v>0.83151792384634837</v>
      </c>
      <c r="AO95" s="82">
        <f>INDEX(LINEST((AV95:AX95),LN(AV94:AX94),TRUE,TRUE),3,1)</f>
        <v>0.99606258867089548</v>
      </c>
      <c r="AP95" s="82">
        <f>INDEX(LINEST((AV95:AX95),LN(AV94:AX94)),1)</f>
        <v>-2.0449667754359174E-2</v>
      </c>
      <c r="AQ95" s="83">
        <f>INDEX(LINEST(LN(AV95:AX95),SQRT(AV94:AX94),TRUE,TRUE),3,1)</f>
        <v>0.95834845275562841</v>
      </c>
      <c r="AR95" s="116">
        <f>INDEX(LINEST(LN(AV95:AX95),SQRT((AV94:AX94))),1)</f>
        <v>-2.5698138207032952E-2</v>
      </c>
      <c r="AS95" s="84">
        <f>INDEX(LINEST(1/(AV95:AX95),1/(SQRT(AV94:AX94)),TRUE,TRUE),3,1)</f>
        <v>0.99582950547051263</v>
      </c>
      <c r="AT95" s="84">
        <f>INDEX(LINEST(1/(AV95:AX95),1/SQRT(AV94:AX94)),1)</f>
        <v>-0.10542222028781423</v>
      </c>
      <c r="AU95" s="3"/>
      <c r="AV95" s="53">
        <v>0.83199999999999996</v>
      </c>
      <c r="AW95" s="53">
        <v>0.79300000000000004</v>
      </c>
      <c r="AX95" s="53">
        <v>0.78200000000000003</v>
      </c>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53"/>
      <c r="CD95" s="53"/>
      <c r="CE95" s="53"/>
      <c r="CF95" s="53"/>
      <c r="CG95" s="53"/>
      <c r="CH95" s="53"/>
      <c r="CI95" s="53"/>
      <c r="CJ95" s="53"/>
      <c r="CK95" s="53"/>
      <c r="CL95" s="53"/>
      <c r="CM95" s="53"/>
      <c r="CN95" s="53"/>
      <c r="CO95" s="53"/>
      <c r="CP95" s="53"/>
      <c r="CQ95" s="53"/>
      <c r="CR95" s="1"/>
      <c r="CS95" s="1"/>
      <c r="CT95" s="1"/>
      <c r="CU95" s="1"/>
    </row>
    <row r="96" spans="1:99" s="13" customFormat="1" ht="12" customHeight="1" x14ac:dyDescent="0.2">
      <c r="A96" s="68">
        <v>43509</v>
      </c>
      <c r="B96" s="70"/>
      <c r="C96" s="70"/>
      <c r="D96" s="69"/>
      <c r="E96" s="87"/>
      <c r="F96" s="69"/>
      <c r="G96" s="69"/>
      <c r="H96" s="69"/>
      <c r="I96" s="69"/>
      <c r="J96" s="69"/>
      <c r="K96" s="107"/>
      <c r="L96" s="107"/>
      <c r="M96" s="69"/>
      <c r="N96" s="69"/>
      <c r="O96" s="69"/>
      <c r="P96" s="69"/>
      <c r="Q96" s="69"/>
      <c r="R96" s="69"/>
      <c r="S96" s="69"/>
      <c r="T96" s="69"/>
      <c r="U96" s="60"/>
      <c r="V96" s="69"/>
      <c r="W96" s="69"/>
      <c r="X96" s="69"/>
      <c r="Y96" s="87"/>
      <c r="Z96" s="69"/>
      <c r="AA96" s="69"/>
      <c r="AB96" s="69"/>
      <c r="AC96" s="69"/>
      <c r="AD96" s="69"/>
      <c r="AE96" s="69"/>
      <c r="AF96" s="88"/>
      <c r="AG96" s="72"/>
      <c r="AH96" s="4"/>
      <c r="AI96" s="72"/>
      <c r="AJ96" s="110"/>
      <c r="AK96" s="72"/>
      <c r="AL96" s="72"/>
      <c r="AM96" s="72"/>
      <c r="AN96" s="72"/>
      <c r="AO96" s="72"/>
      <c r="AP96" s="72"/>
      <c r="AQ96" s="72"/>
      <c r="AR96" s="110"/>
      <c r="AS96" s="72"/>
      <c r="AT96" s="72"/>
      <c r="AU96" s="4"/>
      <c r="AV96" s="71">
        <v>1</v>
      </c>
      <c r="AW96" s="71">
        <v>6</v>
      </c>
      <c r="AX96" s="71">
        <v>12</v>
      </c>
      <c r="AY96" s="53"/>
      <c r="AZ96" s="53"/>
      <c r="BA96" s="53"/>
      <c r="BB96" s="53"/>
      <c r="BC96" s="53"/>
      <c r="BD96" s="53"/>
      <c r="BE96" s="53"/>
      <c r="BF96" s="53"/>
      <c r="BG96" s="53"/>
      <c r="BH96" s="53"/>
      <c r="BI96" s="53"/>
      <c r="BJ96" s="53"/>
      <c r="BK96" s="53"/>
      <c r="BL96" s="53"/>
      <c r="BM96" s="53"/>
      <c r="BN96" s="53"/>
      <c r="BO96" s="53"/>
      <c r="BP96" s="53"/>
      <c r="BQ96" s="53"/>
      <c r="BR96" s="53"/>
      <c r="BS96" s="53"/>
      <c r="BT96" s="53"/>
      <c r="BU96" s="53"/>
      <c r="BV96" s="53"/>
      <c r="BW96" s="53"/>
      <c r="BX96" s="53"/>
      <c r="BY96" s="53"/>
      <c r="BZ96" s="53"/>
      <c r="CA96" s="53"/>
      <c r="CB96" s="53"/>
      <c r="CC96" s="53"/>
      <c r="CD96" s="53"/>
      <c r="CE96" s="53"/>
      <c r="CF96" s="53"/>
      <c r="CG96" s="53"/>
      <c r="CH96" s="53"/>
      <c r="CI96" s="53"/>
      <c r="CJ96" s="53"/>
      <c r="CK96" s="53"/>
      <c r="CL96" s="53"/>
      <c r="CM96" s="53"/>
      <c r="CN96" s="53"/>
      <c r="CO96" s="53"/>
      <c r="CP96" s="53"/>
      <c r="CQ96" s="53"/>
      <c r="CR96" s="1"/>
      <c r="CS96" s="1"/>
      <c r="CT96" s="1"/>
      <c r="CU96" s="1"/>
    </row>
    <row r="97" spans="1:99" s="13" customFormat="1" ht="12" customHeight="1" x14ac:dyDescent="0.2">
      <c r="A97" s="68">
        <v>43509</v>
      </c>
      <c r="B97" s="70" t="s">
        <v>252</v>
      </c>
      <c r="C97" s="70" t="s">
        <v>45</v>
      </c>
      <c r="D97" s="69">
        <v>2014</v>
      </c>
      <c r="E97" s="87">
        <v>1</v>
      </c>
      <c r="F97" s="69">
        <v>68</v>
      </c>
      <c r="G97" s="69">
        <v>68</v>
      </c>
      <c r="H97" s="69" t="s">
        <v>41</v>
      </c>
      <c r="I97" s="69" t="s">
        <v>770</v>
      </c>
      <c r="J97" s="69" t="s">
        <v>764</v>
      </c>
      <c r="K97" s="69">
        <f>IF(J97="syllables",1,IF(J97="trigrams",2,IF(J97="strings",3,IF(J97="visual array",4,IF(J97="characters",5,IF(J97="letters",6,IF(J97="free forms",7,IF(J97="odors",8,IF(J97="words",9,IF(J97="pictures",10,IF(J97="object pictures",11,IF(J97="faces",12,IF(J97="names",13,IF(J97="idioms",14,IF(J97="grades",15,IF(J97="syllable-digit pairs",16,IF(J97="trigram-word pairs",17,IF(J97="word-digit pairs",18,IF(J97="English-Swahili pairs",19,IF(J97="spatial position",20,IF(J97="word pairs",21,IF(J97="word triads",22,IF(J97="generated words",23,IF(J97="word definition pairs",24,IF(J97="math problems",25,IF(J97="famous faces",26,IF(J97="famous names",27,IF(J97="famous voices",28,IF(J97="television programs",29,IF(J97="race horses",30,IF(J97="new vocabulary",31,IF(J97="sentences",32,IF(J97="concepts",33,IF(J97="ad slides",34,IF(J97="scenes",35,IF(J97="famous scenes",36,IF(J97="poems",37,IF(J97="walk",38,IF(J97="faces and events",39,IF(J97="events and names",40,IF(J97="flashbulb",41,IF(J97="stories",42,IF(J97="course material",43,IF(J97="autobiographical",44,IF(J97="novels",45,IF(J97="public events",46,"99"))))))))))))))))))))))))))))))))))))))))))))))</f>
        <v>4</v>
      </c>
      <c r="L97" s="69">
        <f>IF(J97="syllables",1,IF(J97="trigrams",1,IF(J97="strings",1,IF(J97="visual array",1,IF(J97="characters",1,IF(J97="letters",1,IF(J97="free forms",1,IF(J97="odors",2,IF(J97="words",2,IF(J97="pictures",2,IF(J97="object pictures",2,IF(J97="faces",2,IF(J97="names",2,IF(J97="idioms","2",IF(J97="grades",2,IF(J97="syllable-digit pairs",3,IF(J97="trigram-word pairs",3,IF(J97="word-digit pairs",3,IF(J97="English-Swahili pairs",3,IF(J97="spatial position",3,IF(J97="word pairs",4,IF(J97="word triads",4,IF(J97="generated words",4,IF(J97="word definition pairs",4,IF(J97="math problems",4,IF(J97="famous faces",4,IF(J97="famous names",4,IF(J97="famous voices",4,IF(J97="television programs",4,IF(J97="race horses",4,IF(J97="new vocabulary",4,IF(J97="sentences",5,IF(J97="concepts",5,IF(J97="ad slides",5,IF(J97="scenes",5,IF(J97="famous scenes",5,IF(J97="poems",6,IF(J97="walk",6,IF(J97="faces and events",6,IF(J97="events and names",6,IF(J97="flashbulb",7,IF(J97="stories",7,IF(J97="course material",7,IF(J97="autobiographical",7,IF(J97="novels",7,IF(J97="public events",7,"99"))))))))))))))))))))))))))))))))))))))))))))))</f>
        <v>1</v>
      </c>
      <c r="M97" s="69">
        <v>0</v>
      </c>
      <c r="N97" s="69">
        <v>1</v>
      </c>
      <c r="O97" s="69">
        <v>0</v>
      </c>
      <c r="P97" s="69"/>
      <c r="Q97" s="69" t="s">
        <v>34</v>
      </c>
      <c r="R97" s="69">
        <f>IF(Q97="Free Recall",1,IF(Q97="Cued Recall",2,IF(Q97="Recognition",3,IF(Q97="Multiple Choice",4,IF(Q97="Savings",5,IF(Q97="Stem Completion",6,IF(Q97="Fragment Completion",7,IF(Q97="anagram solution",8,IF(Q97="Matching",9,IF(Q97="Problem Solving",10,"99"))))))))))</f>
        <v>3</v>
      </c>
      <c r="S97" s="69" t="s">
        <v>40</v>
      </c>
      <c r="T97" s="92" t="s">
        <v>581</v>
      </c>
      <c r="U97" s="60">
        <f>IF(T97="within",1,0)</f>
        <v>1</v>
      </c>
      <c r="V97" s="92">
        <v>48</v>
      </c>
      <c r="W97" s="69">
        <f>F97*V97</f>
        <v>3264</v>
      </c>
      <c r="X97" s="69">
        <v>3</v>
      </c>
      <c r="Y97" s="87">
        <f>AV96</f>
        <v>1</v>
      </c>
      <c r="Z97" s="69" t="s">
        <v>42</v>
      </c>
      <c r="AA97" s="69">
        <v>12</v>
      </c>
      <c r="AB97" s="69" t="str">
        <f>IF(AA97&lt;60,"1",IF(AA97&lt;=43200,"2",IF(AA97&lt;=777600,"3","4")))</f>
        <v>1</v>
      </c>
      <c r="AC97" s="72">
        <f>AVERAGE(AV96:DA96)</f>
        <v>6.333333333333333</v>
      </c>
      <c r="AD97" s="69" t="str">
        <f>IF(AC97&lt;60,"1",IF(AC97&lt;=43200,"2",IF(AC97&lt;=777600,"3","4")))</f>
        <v>1</v>
      </c>
      <c r="AE97" s="87">
        <f>AA97-Y97</f>
        <v>11</v>
      </c>
      <c r="AF97" s="88">
        <f>AV97</f>
        <v>0.83399999999999996</v>
      </c>
      <c r="AG97" s="72">
        <f>((AW97-AV97)+(AX97-AW97))/2</f>
        <v>-6.4500000000000002E-2</v>
      </c>
      <c r="AH97" s="4"/>
      <c r="AI97" s="72">
        <f>RSQ(AV97:AX97,AV96:AX96)</f>
        <v>0.9501168880105203</v>
      </c>
      <c r="AJ97" s="110">
        <f>SLOPE(AV97:AX97,AV96:AX96)</f>
        <v>-1.1587912087912088E-2</v>
      </c>
      <c r="AK97" s="72">
        <f>INTERCEPT(AV97:AX97,AV96:AX96)</f>
        <v>0.83639010989010987</v>
      </c>
      <c r="AL97" s="72">
        <f>INDEX(LINEST(LN(AV97:AX97),LN(AV96:AX96),TRUE,TRUE),3,1)</f>
        <v>0.99024689572848323</v>
      </c>
      <c r="AM97" s="72">
        <f>INDEX(LINEST(LN(AV97:AX97),LN(AV96:AX96)),1)</f>
        <v>-6.5951793787283552E-2</v>
      </c>
      <c r="AN97" s="72">
        <f>EXP(INDEX(LINEST(LN(AV97:AX97),LN(AV96:AX96)),1,2))</f>
        <v>0.83618738933847037</v>
      </c>
      <c r="AO97" s="89">
        <f>INDEX(LINEST((AV97:AX97),LN(AV96:AX96),TRUE,TRUE),3,1)</f>
        <v>0.99406562542415378</v>
      </c>
      <c r="AP97" s="89">
        <f>INDEX(LINEST((AV97:AX97),LN(AV96:AX96)),1)</f>
        <v>-5.0909377875555661E-2</v>
      </c>
      <c r="AQ97" s="90">
        <f>INDEX(LINEST(LN(AV97:AX97),SQRT(AV96:AX96),TRUE,TRUE),3,1)</f>
        <v>0.99755613229223716</v>
      </c>
      <c r="AR97" s="117">
        <f>INDEX(LINEST(LN(AV97:AX97),SQRT((AV96:AX96))),1)</f>
        <v>-6.8539119838707294E-2</v>
      </c>
      <c r="AS97" s="91">
        <f>INDEX(LINEST(1/(AV97:AX97),1/(SQRT(AV96:AX96)),TRUE,TRUE),3,1)</f>
        <v>0.94475509775436239</v>
      </c>
      <c r="AT97" s="91">
        <f>INDEX(LINEST(1/(AV97:AX97),1/SQRT(AV96:AX96)),1)</f>
        <v>-0.28227694986240243</v>
      </c>
      <c r="AU97" s="3"/>
      <c r="AV97" s="73">
        <v>0.83399999999999996</v>
      </c>
      <c r="AW97" s="73">
        <v>0.75</v>
      </c>
      <c r="AX97" s="73">
        <v>0.70499999999999996</v>
      </c>
      <c r="AY97" s="53"/>
      <c r="AZ97" s="53"/>
      <c r="BA97" s="53"/>
      <c r="BB97" s="53"/>
      <c r="BC97" s="53"/>
      <c r="BD97" s="53"/>
      <c r="BE97" s="53"/>
      <c r="BF97" s="53"/>
      <c r="BG97" s="53"/>
      <c r="BH97" s="53"/>
      <c r="BI97" s="53"/>
      <c r="BJ97" s="53"/>
      <c r="BK97" s="53"/>
      <c r="BL97" s="53"/>
      <c r="BM97" s="53"/>
      <c r="BN97" s="53"/>
      <c r="BO97" s="53"/>
      <c r="BP97" s="53"/>
      <c r="BQ97" s="53"/>
      <c r="BR97" s="53"/>
      <c r="BS97" s="53"/>
      <c r="BT97" s="53"/>
      <c r="BU97" s="53"/>
      <c r="BV97" s="53"/>
      <c r="BW97" s="53"/>
      <c r="BX97" s="53"/>
      <c r="BY97" s="53"/>
      <c r="BZ97" s="53"/>
      <c r="CA97" s="53"/>
      <c r="CB97" s="53"/>
      <c r="CC97" s="53"/>
      <c r="CD97" s="53"/>
      <c r="CE97" s="53"/>
      <c r="CF97" s="53"/>
      <c r="CG97" s="53"/>
      <c r="CH97" s="53"/>
      <c r="CI97" s="53"/>
      <c r="CJ97" s="53"/>
      <c r="CK97" s="53"/>
      <c r="CL97" s="53"/>
      <c r="CM97" s="53"/>
      <c r="CN97" s="53"/>
      <c r="CO97" s="53"/>
      <c r="CP97" s="53"/>
      <c r="CQ97" s="53"/>
      <c r="CR97" s="1"/>
      <c r="CS97" s="1"/>
      <c r="CT97" s="1"/>
      <c r="CU97" s="1"/>
    </row>
    <row r="98" spans="1:99" s="13" customFormat="1" ht="12" customHeight="1" x14ac:dyDescent="0.2">
      <c r="A98" s="68">
        <v>43509</v>
      </c>
      <c r="B98" s="70"/>
      <c r="C98" s="70"/>
      <c r="D98" s="69"/>
      <c r="E98" s="87"/>
      <c r="F98" s="69"/>
      <c r="G98" s="69"/>
      <c r="H98" s="69"/>
      <c r="I98" s="69"/>
      <c r="J98" s="69"/>
      <c r="K98" s="107"/>
      <c r="L98" s="107"/>
      <c r="M98" s="69"/>
      <c r="N98" s="69"/>
      <c r="O98" s="69"/>
      <c r="P98" s="69"/>
      <c r="Q98" s="69"/>
      <c r="R98" s="69"/>
      <c r="S98" s="69"/>
      <c r="T98" s="92"/>
      <c r="U98" s="60"/>
      <c r="V98" s="69"/>
      <c r="W98" s="69"/>
      <c r="X98" s="69"/>
      <c r="Y98" s="87"/>
      <c r="Z98" s="69"/>
      <c r="AA98" s="69"/>
      <c r="AB98" s="69"/>
      <c r="AC98" s="69"/>
      <c r="AD98" s="69"/>
      <c r="AE98" s="69"/>
      <c r="AF98" s="88"/>
      <c r="AG98" s="72"/>
      <c r="AH98" s="4"/>
      <c r="AI98" s="72"/>
      <c r="AJ98" s="110"/>
      <c r="AK98" s="72"/>
      <c r="AL98" s="72"/>
      <c r="AM98" s="72"/>
      <c r="AN98" s="72"/>
      <c r="AO98" s="89"/>
      <c r="AP98" s="89"/>
      <c r="AQ98" s="89"/>
      <c r="AR98" s="118"/>
      <c r="AS98" s="89"/>
      <c r="AT98" s="89"/>
      <c r="AU98" s="3"/>
      <c r="AV98" s="71">
        <v>1</v>
      </c>
      <c r="AW98" s="71">
        <v>6</v>
      </c>
      <c r="AX98" s="71">
        <v>12</v>
      </c>
      <c r="AY98" s="53"/>
      <c r="AZ98" s="53"/>
      <c r="BA98" s="53"/>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53"/>
      <c r="CD98" s="53"/>
      <c r="CE98" s="53"/>
      <c r="CF98" s="53"/>
      <c r="CG98" s="53"/>
      <c r="CH98" s="53"/>
      <c r="CI98" s="53"/>
      <c r="CJ98" s="53"/>
      <c r="CK98" s="53"/>
      <c r="CL98" s="53"/>
      <c r="CM98" s="53"/>
      <c r="CN98" s="53"/>
      <c r="CO98" s="53"/>
      <c r="CP98" s="53"/>
      <c r="CQ98" s="53"/>
      <c r="CR98" s="1"/>
      <c r="CS98" s="1"/>
      <c r="CT98" s="1"/>
      <c r="CU98" s="1"/>
    </row>
    <row r="99" spans="1:99" s="13" customFormat="1" ht="12" customHeight="1" x14ac:dyDescent="0.2">
      <c r="A99" s="68">
        <v>43509</v>
      </c>
      <c r="B99" s="70" t="s">
        <v>252</v>
      </c>
      <c r="C99" s="70" t="s">
        <v>45</v>
      </c>
      <c r="D99" s="69">
        <v>2014</v>
      </c>
      <c r="E99" s="87">
        <v>1</v>
      </c>
      <c r="F99" s="69">
        <v>68</v>
      </c>
      <c r="G99" s="69">
        <v>68</v>
      </c>
      <c r="H99" s="69" t="s">
        <v>41</v>
      </c>
      <c r="I99" s="69" t="s">
        <v>771</v>
      </c>
      <c r="J99" s="69" t="s">
        <v>764</v>
      </c>
      <c r="K99" s="69">
        <f>IF(J99="syllables",1,IF(J99="trigrams",2,IF(J99="strings",3,IF(J99="visual array",4,IF(J99="characters",5,IF(J99="letters",6,IF(J99="free forms",7,IF(J99="odors",8,IF(J99="words",9,IF(J99="pictures",10,IF(J99="object pictures",11,IF(J99="faces",12,IF(J99="names",13,IF(J99="idioms",14,IF(J99="grades",15,IF(J99="syllable-digit pairs",16,IF(J99="trigram-word pairs",17,IF(J99="word-digit pairs",18,IF(J99="English-Swahili pairs",19,IF(J99="spatial position",20,IF(J99="word pairs",21,IF(J99="word triads",22,IF(J99="generated words",23,IF(J99="word definition pairs",24,IF(J99="math problems",25,IF(J99="famous faces",26,IF(J99="famous names",27,IF(J99="famous voices",28,IF(J99="television programs",29,IF(J99="race horses",30,IF(J99="new vocabulary",31,IF(J99="sentences",32,IF(J99="concepts",33,IF(J99="ad slides",34,IF(J99="scenes",35,IF(J99="famous scenes",36,IF(J99="poems",37,IF(J99="walk",38,IF(J99="faces and events",39,IF(J99="events and names",40,IF(J99="flashbulb",41,IF(J99="stories",42,IF(J99="course material",43,IF(J99="autobiographical",44,IF(J99="novels",45,IF(J99="public events",46,"99"))))))))))))))))))))))))))))))))))))))))))))))</f>
        <v>4</v>
      </c>
      <c r="L99" s="69">
        <f>IF(J99="syllables",1,IF(J99="trigrams",1,IF(J99="strings",1,IF(J99="visual array",1,IF(J99="characters",1,IF(J99="letters",1,IF(J99="free forms",1,IF(J99="odors",2,IF(J99="words",2,IF(J99="pictures",2,IF(J99="object pictures",2,IF(J99="faces",2,IF(J99="names",2,IF(J99="idioms","2",IF(J99="grades",2,IF(J99="syllable-digit pairs",3,IF(J99="trigram-word pairs",3,IF(J99="word-digit pairs",3,IF(J99="English-Swahili pairs",3,IF(J99="spatial position",3,IF(J99="word pairs",4,IF(J99="word triads",4,IF(J99="generated words",4,IF(J99="word definition pairs",4,IF(J99="math problems",4,IF(J99="famous faces",4,IF(J99="famous names",4,IF(J99="famous voices",4,IF(J99="television programs",4,IF(J99="race horses",4,IF(J99="new vocabulary",4,IF(J99="sentences",5,IF(J99="concepts",5,IF(J99="ad slides",5,IF(J99="scenes",5,IF(J99="famous scenes",5,IF(J99="poems",6,IF(J99="walk",6,IF(J99="faces and events",6,IF(J99="events and names",6,IF(J99="flashbulb",7,IF(J99="stories",7,IF(J99="course material",7,IF(J99="autobiographical",7,IF(J99="novels",7,IF(J99="public events",7,"99"))))))))))))))))))))))))))))))))))))))))))))))</f>
        <v>1</v>
      </c>
      <c r="M99" s="69">
        <v>0</v>
      </c>
      <c r="N99" s="69">
        <v>1</v>
      </c>
      <c r="O99" s="69">
        <v>0</v>
      </c>
      <c r="P99" s="69"/>
      <c r="Q99" s="69" t="s">
        <v>34</v>
      </c>
      <c r="R99" s="69">
        <f>IF(Q99="Free Recall",1,IF(Q99="Cued Recall",2,IF(Q99="Recognition",3,IF(Q99="Multiple Choice",4,IF(Q99="Savings",5,IF(Q99="Stem Completion",6,IF(Q99="Fragment Completion",7,IF(Q99="anagram solution",8,IF(Q99="Matching",9,IF(Q99="Problem Solving",10,"99"))))))))))</f>
        <v>3</v>
      </c>
      <c r="S99" s="69" t="s">
        <v>40</v>
      </c>
      <c r="T99" s="92" t="s">
        <v>581</v>
      </c>
      <c r="U99" s="60">
        <f>IF(T99="within",1,0)</f>
        <v>1</v>
      </c>
      <c r="V99" s="92">
        <v>48</v>
      </c>
      <c r="W99" s="69">
        <f>F99*V99</f>
        <v>3264</v>
      </c>
      <c r="X99" s="69">
        <v>3</v>
      </c>
      <c r="Y99" s="87">
        <f>AV98</f>
        <v>1</v>
      </c>
      <c r="Z99" s="69" t="s">
        <v>42</v>
      </c>
      <c r="AA99" s="69">
        <v>12</v>
      </c>
      <c r="AB99" s="69" t="str">
        <f>IF(AA99&lt;60,"1",IF(AA99&lt;=43200,"2",IF(AA99&lt;=777600,"3","4")))</f>
        <v>1</v>
      </c>
      <c r="AC99" s="72">
        <f>AVERAGE(AV98:DA98)</f>
        <v>6.333333333333333</v>
      </c>
      <c r="AD99" s="69" t="str">
        <f>IF(AC99&lt;60,"1",IF(AC99&lt;=43200,"2",IF(AC99&lt;=777600,"3","4")))</f>
        <v>1</v>
      </c>
      <c r="AE99" s="87">
        <f>AA99-Y99</f>
        <v>11</v>
      </c>
      <c r="AF99" s="88">
        <f>AV99</f>
        <v>0.82099999999999995</v>
      </c>
      <c r="AG99" s="72">
        <f>((AW99-AV99)+(AX99-AW99))/2</f>
        <v>-4.1499999999999981E-2</v>
      </c>
      <c r="AH99" s="4"/>
      <c r="AI99" s="72">
        <f>RSQ(AV99:AX99,AV98:AX98)</f>
        <v>0.96658144974675331</v>
      </c>
      <c r="AJ99" s="110">
        <f>SLOPE(AV99:AX99,AV98:AX98)</f>
        <v>-7.4725274725274691E-3</v>
      </c>
      <c r="AK99" s="72">
        <f>INTERCEPT(AV99:AX99,AV98:AX98)</f>
        <v>0.82365934065934054</v>
      </c>
      <c r="AL99" s="72">
        <f>INDEX(LINEST(LN(AV99:AX99),LN(AV98:AX98),TRUE,TRUE),3,1)</f>
        <v>0.98242045805717959</v>
      </c>
      <c r="AM99" s="72">
        <f>INDEX(LINEST(LN(AV99:AX99),LN(AV98:AX98)),1)</f>
        <v>-4.14745068316828E-2</v>
      </c>
      <c r="AN99" s="72">
        <f>EXP(INDEX(LINEST(LN(AV99:AX99),LN(AV98:AX98)),1,2))</f>
        <v>0.82282484721665994</v>
      </c>
      <c r="AO99" s="89">
        <f>INDEX(LINEST((AV99:AX99),LN(AV98:AX98),TRUE,TRUE),3,1)</f>
        <v>0.98601979655521321</v>
      </c>
      <c r="AP99" s="89">
        <f>INDEX(LINEST((AV99:AX99),LN(AV98:AX98)),1)</f>
        <v>-3.2416393710040389E-2</v>
      </c>
      <c r="AQ99" s="90">
        <f>INDEX(LINEST(LN(AV99:AX99),SQRT(AV98:AX98),TRUE,TRUE),3,1)</f>
        <v>0.99976300492415271</v>
      </c>
      <c r="AR99" s="117">
        <f>INDEX(LINEST(LN(AV99:AX99),SQRT((AV98:AX98))),1)</f>
        <v>-4.3320758008030501E-2</v>
      </c>
      <c r="AS99" s="91">
        <f>INDEX(LINEST(1/(AV99:AX99),1/(SQRT(AV98:AX98)),TRUE,TRUE),3,1)</f>
        <v>0.93207901787471581</v>
      </c>
      <c r="AT99" s="91">
        <f>INDEX(LINEST(1/(AV99:AX99),1/SQRT(AV98:AX98)),1)</f>
        <v>-0.17452425406399533</v>
      </c>
      <c r="AU99" s="3"/>
      <c r="AV99" s="73">
        <v>0.82099999999999995</v>
      </c>
      <c r="AW99" s="73">
        <v>0.77</v>
      </c>
      <c r="AX99" s="73">
        <v>0.73799999999999999</v>
      </c>
      <c r="AY99" s="53"/>
      <c r="AZ99" s="53"/>
      <c r="BA99" s="53"/>
      <c r="BB99" s="53"/>
      <c r="BC99" s="53"/>
      <c r="BD99" s="53"/>
      <c r="BE99" s="53"/>
      <c r="BF99" s="53"/>
      <c r="BG99" s="53"/>
      <c r="BH99" s="53"/>
      <c r="BI99" s="53"/>
      <c r="BJ99" s="53"/>
      <c r="BK99" s="53"/>
      <c r="BL99" s="53"/>
      <c r="BM99" s="53"/>
      <c r="BN99" s="53"/>
      <c r="BO99" s="53"/>
      <c r="BP99" s="53"/>
      <c r="BQ99" s="53"/>
      <c r="BR99" s="53"/>
      <c r="BS99" s="53"/>
      <c r="BT99" s="53"/>
      <c r="BU99" s="53"/>
      <c r="BV99" s="53"/>
      <c r="BW99" s="53"/>
      <c r="BX99" s="53"/>
      <c r="BY99" s="53"/>
      <c r="BZ99" s="53"/>
      <c r="CA99" s="53"/>
      <c r="CB99" s="53"/>
      <c r="CC99" s="53"/>
      <c r="CD99" s="53"/>
      <c r="CE99" s="53"/>
      <c r="CF99" s="53"/>
      <c r="CG99" s="53"/>
      <c r="CH99" s="53"/>
      <c r="CI99" s="53"/>
      <c r="CJ99" s="53"/>
      <c r="CK99" s="53"/>
      <c r="CL99" s="53"/>
      <c r="CM99" s="53"/>
      <c r="CN99" s="53"/>
      <c r="CO99" s="53"/>
      <c r="CP99" s="53"/>
      <c r="CQ99" s="53"/>
      <c r="CR99" s="1"/>
      <c r="CS99" s="1"/>
      <c r="CT99" s="1"/>
      <c r="CU99" s="1"/>
    </row>
    <row r="100" spans="1:99" s="13" customFormat="1" ht="12" customHeight="1" x14ac:dyDescent="0.2">
      <c r="A100" s="68">
        <v>43509</v>
      </c>
      <c r="B100" s="70"/>
      <c r="C100" s="70"/>
      <c r="D100" s="69"/>
      <c r="E100" s="87"/>
      <c r="F100" s="69"/>
      <c r="G100" s="69"/>
      <c r="H100" s="69"/>
      <c r="I100" s="69"/>
      <c r="J100" s="69"/>
      <c r="K100" s="107"/>
      <c r="L100" s="107"/>
      <c r="M100" s="69"/>
      <c r="N100" s="69"/>
      <c r="O100" s="69"/>
      <c r="P100" s="69"/>
      <c r="Q100" s="69"/>
      <c r="R100" s="69"/>
      <c r="S100" s="69"/>
      <c r="T100" s="69"/>
      <c r="U100" s="60"/>
      <c r="V100" s="69"/>
      <c r="W100" s="69"/>
      <c r="X100" s="69"/>
      <c r="Y100" s="87"/>
      <c r="Z100" s="69"/>
      <c r="AA100" s="69"/>
      <c r="AB100" s="69"/>
      <c r="AC100" s="69"/>
      <c r="AD100" s="69"/>
      <c r="AE100" s="69"/>
      <c r="AF100" s="88"/>
      <c r="AG100" s="72"/>
      <c r="AH100" s="4"/>
      <c r="AI100" s="72"/>
      <c r="AJ100" s="110"/>
      <c r="AK100" s="72"/>
      <c r="AL100" s="72"/>
      <c r="AM100" s="72"/>
      <c r="AN100" s="72"/>
      <c r="AO100" s="89"/>
      <c r="AP100" s="89"/>
      <c r="AQ100" s="89"/>
      <c r="AR100" s="118"/>
      <c r="AS100" s="89"/>
      <c r="AT100" s="89"/>
      <c r="AU100" s="3"/>
      <c r="AV100" s="71">
        <v>1</v>
      </c>
      <c r="AW100" s="71">
        <v>6</v>
      </c>
      <c r="AX100" s="71">
        <v>12</v>
      </c>
      <c r="AY100" s="53"/>
      <c r="AZ100" s="53"/>
      <c r="BA100" s="53"/>
      <c r="BB100" s="53"/>
      <c r="BC100" s="53"/>
      <c r="BD100" s="53"/>
      <c r="BE100" s="53"/>
      <c r="BF100" s="53"/>
      <c r="BG100" s="53"/>
      <c r="BH100" s="53"/>
      <c r="BI100" s="53"/>
      <c r="BJ100" s="53"/>
      <c r="BK100" s="53"/>
      <c r="BL100" s="53"/>
      <c r="BM100" s="53"/>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1"/>
      <c r="CS100" s="1"/>
      <c r="CT100" s="1"/>
      <c r="CU100" s="1"/>
    </row>
    <row r="101" spans="1:99" s="13" customFormat="1" ht="12" customHeight="1" x14ac:dyDescent="0.2">
      <c r="A101" s="68">
        <v>43509</v>
      </c>
      <c r="B101" s="70" t="s">
        <v>252</v>
      </c>
      <c r="C101" s="70" t="s">
        <v>45</v>
      </c>
      <c r="D101" s="69">
        <v>2014</v>
      </c>
      <c r="E101" s="87">
        <v>1</v>
      </c>
      <c r="F101" s="69">
        <v>68</v>
      </c>
      <c r="G101" s="69">
        <v>68</v>
      </c>
      <c r="H101" s="69" t="s">
        <v>41</v>
      </c>
      <c r="I101" s="69" t="s">
        <v>772</v>
      </c>
      <c r="J101" s="69" t="s">
        <v>764</v>
      </c>
      <c r="K101" s="69">
        <f>IF(J101="syllables",1,IF(J101="trigrams",2,IF(J101="strings",3,IF(J101="visual array",4,IF(J101="characters",5,IF(J101="letters",6,IF(J101="free forms",7,IF(J101="odors",8,IF(J101="words",9,IF(J101="pictures",10,IF(J101="object pictures",11,IF(J101="faces",12,IF(J101="names",13,IF(J101="idioms",14,IF(J101="grades",15,IF(J101="syllable-digit pairs",16,IF(J101="trigram-word pairs",17,IF(J101="word-digit pairs",18,IF(J101="English-Swahili pairs",19,IF(J101="spatial position",20,IF(J101="word pairs",21,IF(J101="word triads",22,IF(J101="generated words",23,IF(J101="word definition pairs",24,IF(J101="math problems",25,IF(J101="famous faces",26,IF(J101="famous names",27,IF(J101="famous voices",28,IF(J101="television programs",29,IF(J101="race horses",30,IF(J101="new vocabulary",31,IF(J101="sentences",32,IF(J101="concepts",33,IF(J101="ad slides",34,IF(J101="scenes",35,IF(J101="famous scenes",36,IF(J101="poems",37,IF(J101="walk",38,IF(J101="faces and events",39,IF(J101="events and names",40,IF(J101="flashbulb",41,IF(J101="stories",42,IF(J101="course material",43,IF(J101="autobiographical",44,IF(J101="novels",45,IF(J101="public events",46,"99"))))))))))))))))))))))))))))))))))))))))))))))</f>
        <v>4</v>
      </c>
      <c r="L101" s="69">
        <f>IF(J101="syllables",1,IF(J101="trigrams",1,IF(J101="strings",1,IF(J101="visual array",1,IF(J101="characters",1,IF(J101="letters",1,IF(J101="free forms",1,IF(J101="odors",2,IF(J101="words",2,IF(J101="pictures",2,IF(J101="object pictures",2,IF(J101="faces",2,IF(J101="names",2,IF(J101="idioms","2",IF(J101="grades",2,IF(J101="syllable-digit pairs",3,IF(J101="trigram-word pairs",3,IF(J101="word-digit pairs",3,IF(J101="English-Swahili pairs",3,IF(J101="spatial position",3,IF(J101="word pairs",4,IF(J101="word triads",4,IF(J101="generated words",4,IF(J101="word definition pairs",4,IF(J101="math problems",4,IF(J101="famous faces",4,IF(J101="famous names",4,IF(J101="famous voices",4,IF(J101="television programs",4,IF(J101="race horses",4,IF(J101="new vocabulary",4,IF(J101="sentences",5,IF(J101="concepts",5,IF(J101="ad slides",5,IF(J101="scenes",5,IF(J101="famous scenes",5,IF(J101="poems",6,IF(J101="walk",6,IF(J101="faces and events",6,IF(J101="events and names",6,IF(J101="flashbulb",7,IF(J101="stories",7,IF(J101="course material",7,IF(J101="autobiographical",7,IF(J101="novels",7,IF(J101="public events",7,"99"))))))))))))))))))))))))))))))))))))))))))))))</f>
        <v>1</v>
      </c>
      <c r="M101" s="69">
        <v>0</v>
      </c>
      <c r="N101" s="69">
        <v>1</v>
      </c>
      <c r="O101" s="69">
        <v>0</v>
      </c>
      <c r="P101" s="69"/>
      <c r="Q101" s="69" t="s">
        <v>34</v>
      </c>
      <c r="R101" s="69">
        <f>IF(Q101="Free Recall",1,IF(Q101="Cued Recall",2,IF(Q101="Recognition",3,IF(Q101="Multiple Choice",4,IF(Q101="Savings",5,IF(Q101="Stem Completion",6,IF(Q101="Fragment Completion",7,IF(Q101="anagram solution",8,IF(Q101="Matching",9,IF(Q101="Problem Solving",10,"99"))))))))))</f>
        <v>3</v>
      </c>
      <c r="S101" s="69" t="s">
        <v>40</v>
      </c>
      <c r="T101" s="92" t="s">
        <v>581</v>
      </c>
      <c r="U101" s="60">
        <f>IF(T101="within",1,0)</f>
        <v>1</v>
      </c>
      <c r="V101" s="92">
        <v>48</v>
      </c>
      <c r="W101" s="69">
        <f>F101*V101</f>
        <v>3264</v>
      </c>
      <c r="X101" s="69">
        <v>3</v>
      </c>
      <c r="Y101" s="87">
        <f>AV100</f>
        <v>1</v>
      </c>
      <c r="Z101" s="69" t="s">
        <v>42</v>
      </c>
      <c r="AA101" s="69">
        <v>12</v>
      </c>
      <c r="AB101" s="69" t="str">
        <f>IF(AA101&lt;60,"1",IF(AA101&lt;=43200,"2",IF(AA101&lt;=777600,"3","4")))</f>
        <v>1</v>
      </c>
      <c r="AC101" s="72">
        <f>AVERAGE(AV100:DA100)</f>
        <v>6.333333333333333</v>
      </c>
      <c r="AD101" s="69" t="str">
        <f>IF(AC101&lt;60,"1",IF(AC101&lt;=43200,"2",IF(AC101&lt;=777600,"3","4")))</f>
        <v>1</v>
      </c>
      <c r="AE101" s="87">
        <f>AA101-Y101</f>
        <v>11</v>
      </c>
      <c r="AF101" s="88">
        <f>AV101</f>
        <v>0.78100000000000003</v>
      </c>
      <c r="AG101" s="72">
        <f>((AW101-AV101)+(AX101-AW101))/2</f>
        <v>-4.3000000000000038E-2</v>
      </c>
      <c r="AH101" s="4"/>
      <c r="AI101" s="72">
        <f>RSQ(AV101:AX101,AV100:AX100)</f>
        <v>0.99372699899631978</v>
      </c>
      <c r="AJ101" s="110">
        <f>SLOPE(AV101:AX101,AV100:AX100)</f>
        <v>-7.7857142857142916E-3</v>
      </c>
      <c r="AK101" s="72">
        <f>INTERCEPT(AV101:AX101,AV100:AX100)</f>
        <v>0.78664285714285709</v>
      </c>
      <c r="AL101" s="72">
        <f>INDEX(LINEST(LN(AV101:AX101),LN(AV100:AX100),TRUE,TRUE),3,1)</f>
        <v>0.9435490255000798</v>
      </c>
      <c r="AM101" s="72">
        <f>INDEX(LINEST(LN(AV101:AX101),LN(AV100:AX100)),1)</f>
        <v>-4.4189783838361953E-2</v>
      </c>
      <c r="AN101" s="72">
        <f>EXP(INDEX(LINEST(LN(AV101:AX101),LN(AV100:AX100)),1,2))</f>
        <v>0.78438556260110792</v>
      </c>
      <c r="AO101" s="89">
        <f>INDEX(LINEST((AV101:AX101),LN(AV100:AX100),TRUE,TRUE),3,1)</f>
        <v>0.95105921829718021</v>
      </c>
      <c r="AP101" s="89">
        <f>INDEX(LINEST((AV101:AX101),LN(AV100:AX100)),1)</f>
        <v>-3.2714650579034617E-2</v>
      </c>
      <c r="AQ101" s="90">
        <f>INDEX(LINEST(LN(AV101:AX101),SQRT(AV100:AX100),TRUE,TRUE),3,1)</f>
        <v>0.99164861066883447</v>
      </c>
      <c r="AR101" s="117">
        <f>INDEX(LINEST(LN(AV101:AX101),SQRT((AV100:AX100))),1)</f>
        <v>-4.6906554165917803E-2</v>
      </c>
      <c r="AS101" s="91">
        <f>INDEX(LINEST(1/(AV101:AX101),1/(SQRT(AV100:AX100)),TRUE,TRUE),3,1)</f>
        <v>0.86735076395613619</v>
      </c>
      <c r="AT101" s="91">
        <f>INDEX(LINEST(1/(AV101:AX101),1/SQRT(AV100:AX100)),1)</f>
        <v>-0.1937062093565815</v>
      </c>
      <c r="AU101" s="3"/>
      <c r="AV101" s="73">
        <v>0.78100000000000003</v>
      </c>
      <c r="AW101" s="73">
        <v>0.73599999999999999</v>
      </c>
      <c r="AX101" s="73">
        <v>0.69499999999999995</v>
      </c>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1"/>
      <c r="CS101" s="1"/>
      <c r="CT101" s="1"/>
      <c r="CU101" s="1"/>
    </row>
    <row r="102" spans="1:99" s="13" customFormat="1" ht="12" customHeight="1" x14ac:dyDescent="0.2">
      <c r="A102" s="68">
        <v>43509</v>
      </c>
      <c r="B102" s="70"/>
      <c r="C102" s="70"/>
      <c r="D102" s="69"/>
      <c r="E102" s="87"/>
      <c r="F102" s="69"/>
      <c r="G102" s="69"/>
      <c r="H102" s="69"/>
      <c r="I102" s="69"/>
      <c r="J102" s="69"/>
      <c r="K102" s="107"/>
      <c r="L102" s="107"/>
      <c r="M102" s="69"/>
      <c r="N102" s="69"/>
      <c r="O102" s="69"/>
      <c r="P102" s="69"/>
      <c r="Q102" s="69"/>
      <c r="R102" s="69"/>
      <c r="S102" s="69"/>
      <c r="T102" s="69"/>
      <c r="U102" s="60"/>
      <c r="V102" s="69"/>
      <c r="W102" s="69"/>
      <c r="X102" s="69"/>
      <c r="Y102" s="87"/>
      <c r="Z102" s="69"/>
      <c r="AA102" s="69"/>
      <c r="AB102" s="69"/>
      <c r="AC102" s="69"/>
      <c r="AD102" s="69"/>
      <c r="AE102" s="69"/>
      <c r="AF102" s="88"/>
      <c r="AG102" s="72"/>
      <c r="AH102" s="4"/>
      <c r="AI102" s="72"/>
      <c r="AJ102" s="110"/>
      <c r="AK102" s="72"/>
      <c r="AL102" s="72"/>
      <c r="AM102" s="72"/>
      <c r="AN102" s="72"/>
      <c r="AO102" s="89"/>
      <c r="AP102" s="89"/>
      <c r="AQ102" s="89"/>
      <c r="AR102" s="118"/>
      <c r="AS102" s="89"/>
      <c r="AT102" s="89"/>
      <c r="AU102" s="3"/>
      <c r="AV102" s="71">
        <v>1</v>
      </c>
      <c r="AW102" s="71">
        <v>6</v>
      </c>
      <c r="AX102" s="71">
        <v>12</v>
      </c>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1"/>
      <c r="CS102" s="1"/>
      <c r="CT102" s="1"/>
      <c r="CU102" s="1"/>
    </row>
    <row r="103" spans="1:99" s="13" customFormat="1" ht="12" customHeight="1" x14ac:dyDescent="0.2">
      <c r="A103" s="68">
        <v>43509</v>
      </c>
      <c r="B103" s="70" t="s">
        <v>252</v>
      </c>
      <c r="C103" s="70" t="s">
        <v>45</v>
      </c>
      <c r="D103" s="69">
        <v>2014</v>
      </c>
      <c r="E103" s="87">
        <v>2</v>
      </c>
      <c r="F103" s="69">
        <v>52</v>
      </c>
      <c r="G103" s="69">
        <v>52</v>
      </c>
      <c r="H103" s="69" t="s">
        <v>32</v>
      </c>
      <c r="I103" s="69" t="s">
        <v>770</v>
      </c>
      <c r="J103" s="69" t="s">
        <v>764</v>
      </c>
      <c r="K103" s="69">
        <f>IF(J103="syllables",1,IF(J103="trigrams",2,IF(J103="strings",3,IF(J103="visual array",4,IF(J103="characters",5,IF(J103="letters",6,IF(J103="free forms",7,IF(J103="odors",8,IF(J103="words",9,IF(J103="pictures",10,IF(J103="object pictures",11,IF(J103="faces",12,IF(J103="names",13,IF(J103="idioms",14,IF(J103="grades",15,IF(J103="syllable-digit pairs",16,IF(J103="trigram-word pairs",17,IF(J103="word-digit pairs",18,IF(J103="English-Swahili pairs",19,IF(J103="spatial position",20,IF(J103="word pairs",21,IF(J103="word triads",22,IF(J103="generated words",23,IF(J103="word definition pairs",24,IF(J103="math problems",25,IF(J103="famous faces",26,IF(J103="famous names",27,IF(J103="famous voices",28,IF(J103="television programs",29,IF(J103="race horses",30,IF(J103="new vocabulary",31,IF(J103="sentences",32,IF(J103="concepts",33,IF(J103="ad slides",34,IF(J103="scenes",35,IF(J103="famous scenes",36,IF(J103="poems",37,IF(J103="walk",38,IF(J103="faces and events",39,IF(J103="events and names",40,IF(J103="flashbulb",41,IF(J103="stories",42,IF(J103="course material",43,IF(J103="autobiographical",44,IF(J103="novels",45,IF(J103="public events",46,"99"))))))))))))))))))))))))))))))))))))))))))))))</f>
        <v>4</v>
      </c>
      <c r="L103" s="69">
        <f>IF(J103="syllables",1,IF(J103="trigrams",1,IF(J103="strings",1,IF(J103="visual array",1,IF(J103="characters",1,IF(J103="letters",1,IF(J103="free forms",1,IF(J103="odors",2,IF(J103="words",2,IF(J103="pictures",2,IF(J103="object pictures",2,IF(J103="faces",2,IF(J103="names",2,IF(J103="idioms","2",IF(J103="grades",2,IF(J103="syllable-digit pairs",3,IF(J103="trigram-word pairs",3,IF(J103="word-digit pairs",3,IF(J103="English-Swahili pairs",3,IF(J103="spatial position",3,IF(J103="word pairs",4,IF(J103="word triads",4,IF(J103="generated words",4,IF(J103="word definition pairs",4,IF(J103="math problems",4,IF(J103="famous faces",4,IF(J103="famous names",4,IF(J103="famous voices",4,IF(J103="television programs",4,IF(J103="race horses",4,IF(J103="new vocabulary",4,IF(J103="sentences",5,IF(J103="concepts",5,IF(J103="ad slides",5,IF(J103="scenes",5,IF(J103="famous scenes",5,IF(J103="poems",6,IF(J103="walk",6,IF(J103="faces and events",6,IF(J103="events and names",6,IF(J103="flashbulb",7,IF(J103="stories",7,IF(J103="course material",7,IF(J103="autobiographical",7,IF(J103="novels",7,IF(J103="public events",7,"99"))))))))))))))))))))))))))))))))))))))))))))))</f>
        <v>1</v>
      </c>
      <c r="M103" s="69">
        <v>0</v>
      </c>
      <c r="N103" s="69">
        <v>1</v>
      </c>
      <c r="O103" s="69">
        <v>0</v>
      </c>
      <c r="P103" s="69"/>
      <c r="Q103" s="69" t="s">
        <v>34</v>
      </c>
      <c r="R103" s="69">
        <f>IF(Q103="Free Recall",1,IF(Q103="Cued Recall",2,IF(Q103="Recognition",3,IF(Q103="Multiple Choice",4,IF(Q103="Savings",5,IF(Q103="Stem Completion",6,IF(Q103="Fragment Completion",7,IF(Q103="anagram solution",8,IF(Q103="Matching",9,IF(Q103="Problem Solving",10,"99"))))))))))</f>
        <v>3</v>
      </c>
      <c r="S103" s="69" t="s">
        <v>40</v>
      </c>
      <c r="T103" s="92" t="s">
        <v>581</v>
      </c>
      <c r="U103" s="60">
        <f>IF(T103="within",1,0)</f>
        <v>1</v>
      </c>
      <c r="V103" s="92">
        <v>48</v>
      </c>
      <c r="W103" s="69">
        <f>F103*V103</f>
        <v>2496</v>
      </c>
      <c r="X103" s="69">
        <v>3</v>
      </c>
      <c r="Y103" s="87">
        <f>AV102</f>
        <v>1</v>
      </c>
      <c r="Z103" s="69" t="s">
        <v>42</v>
      </c>
      <c r="AA103" s="69">
        <v>12</v>
      </c>
      <c r="AB103" s="69" t="str">
        <f>IF(AA103&lt;60,"1",IF(AA103&lt;=43200,"2",IF(AA103&lt;=777600,"3","4")))</f>
        <v>1</v>
      </c>
      <c r="AC103" s="72">
        <f>AVERAGE(AV102:DA102)</f>
        <v>6.333333333333333</v>
      </c>
      <c r="AD103" s="69" t="str">
        <f>IF(AC103&lt;60,"1",IF(AC103&lt;=43200,"2",IF(AC103&lt;=777600,"3","4")))</f>
        <v>1</v>
      </c>
      <c r="AE103" s="87">
        <f>AA103-Y103</f>
        <v>11</v>
      </c>
      <c r="AF103" s="88">
        <f>AV103</f>
        <v>0.83799999999999997</v>
      </c>
      <c r="AG103" s="72">
        <f>((AW103-AV103)+(AX103-AW103))/2</f>
        <v>-4.049999999999998E-2</v>
      </c>
      <c r="AH103" s="4"/>
      <c r="AI103" s="72">
        <f>RSQ(AV103:AX103,AV102:AX102)</f>
        <v>0.7228771540812774</v>
      </c>
      <c r="AJ103" s="110">
        <f>SLOPE(AV103:AX103,AV102:AX102)</f>
        <v>-7.1318681318681271E-3</v>
      </c>
      <c r="AK103" s="72">
        <f>INTERCEPT(AV103:AX103,AV102:AX102)</f>
        <v>0.82983516483516484</v>
      </c>
      <c r="AL103" s="72">
        <f>INDEX(LINEST(LN(AV103:AX103),LN(AV102:AX102),TRUE,TRUE),3,1)</f>
        <v>0.93835392412678054</v>
      </c>
      <c r="AM103" s="72">
        <f>INDEX(LINEST(LN(AV103:AX103),LN(AV102:AX102)),1)</f>
        <v>-4.3772747934243385E-2</v>
      </c>
      <c r="AN103" s="72">
        <f>EXP(INDEX(LINEST(LN(AV103:AX103),LN(AV102:AX102)),1,2))</f>
        <v>0.83424588616970208</v>
      </c>
      <c r="AO103" s="89">
        <f>INDEX(LINEST((AV103:AX103),LN(AV102:AX102),TRUE,TRUE),3,1)</f>
        <v>0.93781278780783262</v>
      </c>
      <c r="AP103" s="89">
        <f>INDEX(LINEST((AV103:AX103),LN(AV102:AX102)),1)</f>
        <v>-3.4890140534837646E-2</v>
      </c>
      <c r="AQ103" s="90">
        <f>INDEX(LINEST(LN(AV103:AX103),SQRT(AV102:AX102),TRUE,TRUE),3,1)</f>
        <v>0.84886560021008073</v>
      </c>
      <c r="AR103" s="117">
        <f>INDEX(LINEST(LN(AV103:AX103),SQRT((AV102:AX102))),1)</f>
        <v>-4.310770731960524E-2</v>
      </c>
      <c r="AS103" s="91">
        <f>INDEX(LINEST(1/(AV103:AX103),1/(SQRT(AV102:AX102)),TRUE,TRUE),3,1)</f>
        <v>0.982233819509988</v>
      </c>
      <c r="AT103" s="91">
        <f>INDEX(LINEST(1/(AV103:AX103),1/SQRT(AV102:AX102)),1)</f>
        <v>-0.1892602243524269</v>
      </c>
      <c r="AU103" s="3"/>
      <c r="AV103" s="73">
        <v>0.83799999999999997</v>
      </c>
      <c r="AW103" s="73">
        <v>0.75900000000000001</v>
      </c>
      <c r="AX103" s="73">
        <v>0.75700000000000001</v>
      </c>
      <c r="AY103" s="53"/>
      <c r="AZ103" s="53"/>
      <c r="BA103" s="53"/>
      <c r="BB103" s="53"/>
      <c r="BC103" s="53"/>
      <c r="BD103" s="53"/>
      <c r="BE103" s="53"/>
      <c r="BF103" s="53"/>
      <c r="BG103" s="53"/>
      <c r="BH103" s="53"/>
      <c r="BI103" s="53"/>
      <c r="BJ103" s="53"/>
      <c r="BK103" s="53"/>
      <c r="BL103" s="53"/>
      <c r="BM103" s="53"/>
      <c r="BN103" s="53"/>
      <c r="BO103" s="53"/>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53"/>
      <c r="CR103" s="1"/>
      <c r="CS103" s="1"/>
      <c r="CT103" s="1"/>
      <c r="CU103" s="1"/>
    </row>
    <row r="104" spans="1:99" s="13" customFormat="1" ht="12" customHeight="1" x14ac:dyDescent="0.2">
      <c r="A104" s="68">
        <v>43509</v>
      </c>
      <c r="B104" s="70"/>
      <c r="C104" s="70"/>
      <c r="D104" s="69"/>
      <c r="E104" s="87"/>
      <c r="F104" s="69"/>
      <c r="G104" s="69"/>
      <c r="H104" s="69"/>
      <c r="I104" s="69"/>
      <c r="J104" s="69"/>
      <c r="K104" s="107"/>
      <c r="L104" s="107"/>
      <c r="M104" s="69"/>
      <c r="N104" s="69"/>
      <c r="O104" s="69"/>
      <c r="P104" s="69"/>
      <c r="Q104" s="69"/>
      <c r="R104" s="69"/>
      <c r="S104" s="69"/>
      <c r="T104" s="69"/>
      <c r="U104" s="60"/>
      <c r="V104" s="69"/>
      <c r="W104" s="69"/>
      <c r="X104" s="69"/>
      <c r="Y104" s="87"/>
      <c r="Z104" s="69"/>
      <c r="AA104" s="69"/>
      <c r="AB104" s="69"/>
      <c r="AC104" s="69"/>
      <c r="AD104" s="69"/>
      <c r="AE104" s="69"/>
      <c r="AF104" s="88"/>
      <c r="AG104" s="72"/>
      <c r="AH104" s="4"/>
      <c r="AI104" s="72"/>
      <c r="AJ104" s="110"/>
      <c r="AK104" s="72"/>
      <c r="AL104" s="72"/>
      <c r="AM104" s="72"/>
      <c r="AN104" s="72"/>
      <c r="AO104" s="89"/>
      <c r="AP104" s="89"/>
      <c r="AQ104" s="89"/>
      <c r="AR104" s="118"/>
      <c r="AS104" s="89"/>
      <c r="AT104" s="89"/>
      <c r="AU104" s="3"/>
      <c r="AV104" s="71">
        <v>1</v>
      </c>
      <c r="AW104" s="71">
        <v>6</v>
      </c>
      <c r="AX104" s="71">
        <v>12</v>
      </c>
      <c r="AY104" s="53"/>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53"/>
      <c r="CR104" s="1"/>
      <c r="CS104" s="1"/>
      <c r="CT104" s="1"/>
      <c r="CU104" s="1"/>
    </row>
    <row r="105" spans="1:99" s="13" customFormat="1" ht="12" customHeight="1" x14ac:dyDescent="0.2">
      <c r="A105" s="68">
        <v>43509</v>
      </c>
      <c r="B105" s="70" t="s">
        <v>252</v>
      </c>
      <c r="C105" s="70" t="s">
        <v>45</v>
      </c>
      <c r="D105" s="69">
        <v>2014</v>
      </c>
      <c r="E105" s="87">
        <v>2</v>
      </c>
      <c r="F105" s="69">
        <v>52</v>
      </c>
      <c r="G105" s="69">
        <v>52</v>
      </c>
      <c r="H105" s="69" t="s">
        <v>32</v>
      </c>
      <c r="I105" s="69" t="s">
        <v>771</v>
      </c>
      <c r="J105" s="69" t="s">
        <v>764</v>
      </c>
      <c r="K105" s="69">
        <f>IF(J105="syllables",1,IF(J105="trigrams",2,IF(J105="strings",3,IF(J105="visual array",4,IF(J105="characters",5,IF(J105="letters",6,IF(J105="free forms",7,IF(J105="odors",8,IF(J105="words",9,IF(J105="pictures",10,IF(J105="object pictures",11,IF(J105="faces",12,IF(J105="names",13,IF(J105="idioms",14,IF(J105="grades",15,IF(J105="syllable-digit pairs",16,IF(J105="trigram-word pairs",17,IF(J105="word-digit pairs",18,IF(J105="English-Swahili pairs",19,IF(J105="spatial position",20,IF(J105="word pairs",21,IF(J105="word triads",22,IF(J105="generated words",23,IF(J105="word definition pairs",24,IF(J105="math problems",25,IF(J105="famous faces",26,IF(J105="famous names",27,IF(J105="famous voices",28,IF(J105="television programs",29,IF(J105="race horses",30,IF(J105="new vocabulary",31,IF(J105="sentences",32,IF(J105="concepts",33,IF(J105="ad slides",34,IF(J105="scenes",35,IF(J105="famous scenes",36,IF(J105="poems",37,IF(J105="walk",38,IF(J105="faces and events",39,IF(J105="events and names",40,IF(J105="flashbulb",41,IF(J105="stories",42,IF(J105="course material",43,IF(J105="autobiographical",44,IF(J105="novels",45,IF(J105="public events",46,"99"))))))))))))))))))))))))))))))))))))))))))))))</f>
        <v>4</v>
      </c>
      <c r="L105" s="69">
        <f>IF(J105="syllables",1,IF(J105="trigrams",1,IF(J105="strings",1,IF(J105="visual array",1,IF(J105="characters",1,IF(J105="letters",1,IF(J105="free forms",1,IF(J105="odors",2,IF(J105="words",2,IF(J105="pictures",2,IF(J105="object pictures",2,IF(J105="faces",2,IF(J105="names",2,IF(J105="idioms","2",IF(J105="grades",2,IF(J105="syllable-digit pairs",3,IF(J105="trigram-word pairs",3,IF(J105="word-digit pairs",3,IF(J105="English-Swahili pairs",3,IF(J105="spatial position",3,IF(J105="word pairs",4,IF(J105="word triads",4,IF(J105="generated words",4,IF(J105="word definition pairs",4,IF(J105="math problems",4,IF(J105="famous faces",4,IF(J105="famous names",4,IF(J105="famous voices",4,IF(J105="television programs",4,IF(J105="race horses",4,IF(J105="new vocabulary",4,IF(J105="sentences",5,IF(J105="concepts",5,IF(J105="ad slides",5,IF(J105="scenes",5,IF(J105="famous scenes",5,IF(J105="poems",6,IF(J105="walk",6,IF(J105="faces and events",6,IF(J105="events and names",6,IF(J105="flashbulb",7,IF(J105="stories",7,IF(J105="course material",7,IF(J105="autobiographical",7,IF(J105="novels",7,IF(J105="public events",7,"99"))))))))))))))))))))))))))))))))))))))))))))))</f>
        <v>1</v>
      </c>
      <c r="M105" s="69">
        <v>0</v>
      </c>
      <c r="N105" s="69">
        <v>1</v>
      </c>
      <c r="O105" s="69">
        <v>0</v>
      </c>
      <c r="P105" s="69"/>
      <c r="Q105" s="69" t="s">
        <v>34</v>
      </c>
      <c r="R105" s="69">
        <f>IF(Q105="Free Recall",1,IF(Q105="Cued Recall",2,IF(Q105="Recognition",3,IF(Q105="Multiple Choice",4,IF(Q105="Savings",5,IF(Q105="Stem Completion",6,IF(Q105="Fragment Completion",7,IF(Q105="anagram solution",8,IF(Q105="Matching",9,IF(Q105="Problem Solving",10,"99"))))))))))</f>
        <v>3</v>
      </c>
      <c r="S105" s="69" t="s">
        <v>40</v>
      </c>
      <c r="T105" s="92" t="s">
        <v>581</v>
      </c>
      <c r="U105" s="60">
        <f>IF(T105="within",1,0)</f>
        <v>1</v>
      </c>
      <c r="V105" s="92">
        <v>48</v>
      </c>
      <c r="W105" s="69">
        <f>F105*V105</f>
        <v>2496</v>
      </c>
      <c r="X105" s="69">
        <v>3</v>
      </c>
      <c r="Y105" s="87">
        <f>AV104</f>
        <v>1</v>
      </c>
      <c r="Z105" s="69" t="s">
        <v>42</v>
      </c>
      <c r="AA105" s="69">
        <v>12</v>
      </c>
      <c r="AB105" s="69" t="str">
        <f>IF(AA105&lt;60,"1",IF(AA105&lt;=43200,"2",IF(AA105&lt;=777600,"3","4")))</f>
        <v>1</v>
      </c>
      <c r="AC105" s="72">
        <f>AVERAGE(AV104:DA104)</f>
        <v>6.333333333333333</v>
      </c>
      <c r="AD105" s="69" t="str">
        <f>IF(AC105&lt;60,"1",IF(AC105&lt;=43200,"2",IF(AC105&lt;=777600,"3","4")))</f>
        <v>1</v>
      </c>
      <c r="AE105" s="87">
        <f>AA105-Y105</f>
        <v>11</v>
      </c>
      <c r="AF105" s="88">
        <f>AV105</f>
        <v>0.83699999999999997</v>
      </c>
      <c r="AG105" s="72">
        <f>((AW105-AV105)+(AX105-AW105))/2</f>
        <v>-4.1999999999999982E-2</v>
      </c>
      <c r="AH105" s="4"/>
      <c r="AI105" s="72">
        <f>RSQ(AV105:AX105,AV104:AX104)</f>
        <v>0.98195723195723228</v>
      </c>
      <c r="AJ105" s="110">
        <f>SLOPE(AV105:AX105,AV104:AX104)</f>
        <v>-7.5824175824175796E-3</v>
      </c>
      <c r="AK105" s="72">
        <f>INTERCEPT(AV105:AX105,AV104:AX104)</f>
        <v>0.84102197802197809</v>
      </c>
      <c r="AL105" s="72">
        <f>INDEX(LINEST(LN(AV105:AX105),LN(AV104:AX104),TRUE,TRUE),3,1)</f>
        <v>0.96703914741656549</v>
      </c>
      <c r="AM105" s="72">
        <f>INDEX(LINEST(LN(AV105:AX105),LN(AV104:AX104)),1)</f>
        <v>-4.0645091178574962E-2</v>
      </c>
      <c r="AN105" s="72">
        <f>EXP(INDEX(LINEST(LN(AV105:AX105),LN(AV104:AX104)),1,2))</f>
        <v>0.83951725859886417</v>
      </c>
      <c r="AO105" s="89">
        <f>INDEX(LINEST((AV105:AX105),LN(AV104:AX104),TRUE,TRUE),3,1)</f>
        <v>0.97216378985081386</v>
      </c>
      <c r="AP105" s="89">
        <f>INDEX(LINEST((AV105:AX105),LN(AV104:AX104)),1)</f>
        <v>-3.2404454968977606E-2</v>
      </c>
      <c r="AQ105" s="90">
        <f>INDEX(LINEST(LN(AV105:AX105),SQRT(AV104:AX104),TRUE,TRUE),3,1)</f>
        <v>0.99883156892150149</v>
      </c>
      <c r="AR105" s="117">
        <f>INDEX(LINEST(LN(AV105:AX105),SQRT((AV104:AX104))),1)</f>
        <v>-4.277078180754925E-2</v>
      </c>
      <c r="AS105" s="91">
        <f>INDEX(LINEST(1/(AV105:AX105),1/(SQRT(AV104:AX104)),TRUE,TRUE),3,1)</f>
        <v>0.90480420293695696</v>
      </c>
      <c r="AT105" s="91">
        <f>INDEX(LINEST(1/(AV105:AX105),1/SQRT(AV104:AX104)),1)</f>
        <v>-0.16664966274992038</v>
      </c>
      <c r="AU105" s="3"/>
      <c r="AV105" s="73">
        <v>0.83699999999999997</v>
      </c>
      <c r="AW105" s="73">
        <v>0.78900000000000003</v>
      </c>
      <c r="AX105" s="73">
        <v>0.753</v>
      </c>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1"/>
      <c r="CS105" s="1"/>
      <c r="CT105" s="1"/>
      <c r="CU105" s="1"/>
    </row>
    <row r="106" spans="1:99" s="13" customFormat="1" ht="12" customHeight="1" x14ac:dyDescent="0.2">
      <c r="A106" s="68">
        <v>43509</v>
      </c>
      <c r="B106" s="70"/>
      <c r="C106" s="70"/>
      <c r="D106" s="69"/>
      <c r="E106" s="87"/>
      <c r="F106" s="69"/>
      <c r="G106" s="69"/>
      <c r="H106" s="69"/>
      <c r="I106" s="69"/>
      <c r="J106" s="69"/>
      <c r="K106" s="107"/>
      <c r="L106" s="107"/>
      <c r="M106" s="69"/>
      <c r="N106" s="69"/>
      <c r="O106" s="69"/>
      <c r="P106" s="69"/>
      <c r="Q106" s="69"/>
      <c r="R106" s="69"/>
      <c r="S106" s="69"/>
      <c r="T106" s="69"/>
      <c r="U106" s="60"/>
      <c r="V106" s="69"/>
      <c r="W106" s="69"/>
      <c r="X106" s="69"/>
      <c r="Y106" s="87"/>
      <c r="Z106" s="69"/>
      <c r="AA106" s="69"/>
      <c r="AB106" s="69"/>
      <c r="AC106" s="69"/>
      <c r="AD106" s="69"/>
      <c r="AE106" s="69"/>
      <c r="AF106" s="88"/>
      <c r="AG106" s="72"/>
      <c r="AH106" s="4"/>
      <c r="AI106" s="72"/>
      <c r="AJ106" s="110"/>
      <c r="AK106" s="72"/>
      <c r="AL106" s="72"/>
      <c r="AM106" s="72"/>
      <c r="AN106" s="72"/>
      <c r="AO106" s="89"/>
      <c r="AP106" s="89"/>
      <c r="AQ106" s="89"/>
      <c r="AR106" s="118"/>
      <c r="AS106" s="89"/>
      <c r="AT106" s="89"/>
      <c r="AU106" s="3"/>
      <c r="AV106" s="71">
        <v>1</v>
      </c>
      <c r="AW106" s="71">
        <v>6</v>
      </c>
      <c r="AX106" s="71">
        <v>12</v>
      </c>
      <c r="AY106" s="53"/>
      <c r="AZ106" s="53"/>
      <c r="BA106" s="53"/>
      <c r="BB106" s="53"/>
      <c r="BC106" s="53"/>
      <c r="BD106" s="53"/>
      <c r="BE106" s="53"/>
      <c r="BF106" s="53"/>
      <c r="BG106" s="53"/>
      <c r="BH106" s="53"/>
      <c r="BI106" s="53"/>
      <c r="BJ106" s="53"/>
      <c r="BK106" s="53"/>
      <c r="BL106" s="53"/>
      <c r="BM106" s="53"/>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1"/>
      <c r="CS106" s="1"/>
      <c r="CT106" s="1"/>
      <c r="CU106" s="1"/>
    </row>
    <row r="107" spans="1:99" s="13" customFormat="1" ht="12" customHeight="1" x14ac:dyDescent="0.2">
      <c r="A107" s="68">
        <v>43509</v>
      </c>
      <c r="B107" s="70" t="s">
        <v>252</v>
      </c>
      <c r="C107" s="70" t="s">
        <v>45</v>
      </c>
      <c r="D107" s="69">
        <v>2014</v>
      </c>
      <c r="E107" s="87">
        <v>2</v>
      </c>
      <c r="F107" s="69">
        <v>52</v>
      </c>
      <c r="G107" s="69">
        <v>52</v>
      </c>
      <c r="H107" s="69" t="s">
        <v>32</v>
      </c>
      <c r="I107" s="69" t="s">
        <v>772</v>
      </c>
      <c r="J107" s="69" t="s">
        <v>764</v>
      </c>
      <c r="K107" s="69">
        <f>IF(J107="syllables",1,IF(J107="trigrams",2,IF(J107="strings",3,IF(J107="visual array",4,IF(J107="characters",5,IF(J107="letters",6,IF(J107="free forms",7,IF(J107="odors",8,IF(J107="words",9,IF(J107="pictures",10,IF(J107="object pictures",11,IF(J107="faces",12,IF(J107="names",13,IF(J107="idioms",14,IF(J107="grades",15,IF(J107="syllable-digit pairs",16,IF(J107="trigram-word pairs",17,IF(J107="word-digit pairs",18,IF(J107="English-Swahili pairs",19,IF(J107="spatial position",20,IF(J107="word pairs",21,IF(J107="word triads",22,IF(J107="generated words",23,IF(J107="word definition pairs",24,IF(J107="math problems",25,IF(J107="famous faces",26,IF(J107="famous names",27,IF(J107="famous voices",28,IF(J107="television programs",29,IF(J107="race horses",30,IF(J107="new vocabulary",31,IF(J107="sentences",32,IF(J107="concepts",33,IF(J107="ad slides",34,IF(J107="scenes",35,IF(J107="famous scenes",36,IF(J107="poems",37,IF(J107="walk",38,IF(J107="faces and events",39,IF(J107="events and names",40,IF(J107="flashbulb",41,IF(J107="stories",42,IF(J107="course material",43,IF(J107="autobiographical",44,IF(J107="novels",45,IF(J107="public events",46,"99"))))))))))))))))))))))))))))))))))))))))))))))</f>
        <v>4</v>
      </c>
      <c r="L107" s="69">
        <f>IF(J107="syllables",1,IF(J107="trigrams",1,IF(J107="strings",1,IF(J107="visual array",1,IF(J107="characters",1,IF(J107="letters",1,IF(J107="free forms",1,IF(J107="odors",2,IF(J107="words",2,IF(J107="pictures",2,IF(J107="object pictures",2,IF(J107="faces",2,IF(J107="names",2,IF(J107="idioms","2",IF(J107="grades",2,IF(J107="syllable-digit pairs",3,IF(J107="trigram-word pairs",3,IF(J107="word-digit pairs",3,IF(J107="English-Swahili pairs",3,IF(J107="spatial position",3,IF(J107="word pairs",4,IF(J107="word triads",4,IF(J107="generated words",4,IF(J107="word definition pairs",4,IF(J107="math problems",4,IF(J107="famous faces",4,IF(J107="famous names",4,IF(J107="famous voices",4,IF(J107="television programs",4,IF(J107="race horses",4,IF(J107="new vocabulary",4,IF(J107="sentences",5,IF(J107="concepts",5,IF(J107="ad slides",5,IF(J107="scenes",5,IF(J107="famous scenes",5,IF(J107="poems",6,IF(J107="walk",6,IF(J107="faces and events",6,IF(J107="events and names",6,IF(J107="flashbulb",7,IF(J107="stories",7,IF(J107="course material",7,IF(J107="autobiographical",7,IF(J107="novels",7,IF(J107="public events",7,"99"))))))))))))))))))))))))))))))))))))))))))))))</f>
        <v>1</v>
      </c>
      <c r="M107" s="69">
        <v>0</v>
      </c>
      <c r="N107" s="69">
        <v>1</v>
      </c>
      <c r="O107" s="69">
        <v>0</v>
      </c>
      <c r="P107" s="69"/>
      <c r="Q107" s="69" t="s">
        <v>34</v>
      </c>
      <c r="R107" s="69">
        <f>IF(Q107="Free Recall",1,IF(Q107="Cued Recall",2,IF(Q107="Recognition",3,IF(Q107="Multiple Choice",4,IF(Q107="Savings",5,IF(Q107="Stem Completion",6,IF(Q107="Fragment Completion",7,IF(Q107="anagram solution",8,IF(Q107="Matching",9,IF(Q107="Problem Solving",10,"99"))))))))))</f>
        <v>3</v>
      </c>
      <c r="S107" s="69" t="s">
        <v>40</v>
      </c>
      <c r="T107" s="92" t="s">
        <v>581</v>
      </c>
      <c r="U107" s="60">
        <f>IF(T107="within",1,0)</f>
        <v>1</v>
      </c>
      <c r="V107" s="92">
        <v>48</v>
      </c>
      <c r="W107" s="69">
        <f>F107*V107</f>
        <v>2496</v>
      </c>
      <c r="X107" s="69">
        <v>3</v>
      </c>
      <c r="Y107" s="87">
        <f>AV106</f>
        <v>1</v>
      </c>
      <c r="Z107" s="69" t="s">
        <v>42</v>
      </c>
      <c r="AA107" s="69">
        <v>12</v>
      </c>
      <c r="AB107" s="69" t="str">
        <f>IF(AA107&lt;60,"1",IF(AA107&lt;=43200,"2",IF(AA107&lt;=777600,"3","4")))</f>
        <v>1</v>
      </c>
      <c r="AC107" s="72">
        <f>AVERAGE(AV106:DA106)</f>
        <v>6.333333333333333</v>
      </c>
      <c r="AD107" s="69" t="str">
        <f>IF(AC107&lt;60,"1",IF(AC107&lt;=43200,"2",IF(AC107&lt;=777600,"3","4")))</f>
        <v>1</v>
      </c>
      <c r="AE107" s="87">
        <f>AA107-Y107</f>
        <v>11</v>
      </c>
      <c r="AF107" s="88">
        <f>AV107</f>
        <v>0.80800000000000005</v>
      </c>
      <c r="AG107" s="72">
        <f>((AW107-AV107)+(AX107-AW107))/2</f>
        <v>-4.2000000000000037E-2</v>
      </c>
      <c r="AH107" s="4"/>
      <c r="AI107" s="72">
        <f>RSQ(AV107:AX107,AV106:AX106)</f>
        <v>0.9540972272760353</v>
      </c>
      <c r="AJ107" s="110">
        <f>SLOPE(AV107:AX107,AV106:AX106)</f>
        <v>-7.5494505494505555E-3</v>
      </c>
      <c r="AK107" s="72">
        <f>INTERCEPT(AV107:AX107,AV106:AX106)</f>
        <v>0.80981318681318681</v>
      </c>
      <c r="AL107" s="72">
        <f>INDEX(LINEST(LN(AV107:AX107),LN(AV106:AX106),TRUE,TRUE),3,1)</f>
        <v>0.98987897868292507</v>
      </c>
      <c r="AM107" s="72">
        <f>INDEX(LINEST(LN(AV107:AX107),LN(AV106:AX106)),1)</f>
        <v>-4.3063479772511619E-2</v>
      </c>
      <c r="AN107" s="72">
        <f>EXP(INDEX(LINEST(LN(AV107:AX107),LN(AV106:AX106)),1,2))</f>
        <v>0.80940923975830481</v>
      </c>
      <c r="AO107" s="89">
        <f>INDEX(LINEST((AV107:AX107),LN(AV106:AX106),TRUE,TRUE),3,1)</f>
        <v>0.99254789694085999</v>
      </c>
      <c r="AP107" s="89">
        <f>INDEX(LINEST((AV107:AX107),LN(AV106:AX106)),1)</f>
        <v>-3.3072601153342672E-2</v>
      </c>
      <c r="AQ107" s="90">
        <f>INDEX(LINEST(LN(AV107:AX107),SQRT(AV106:AX106),TRUE,TRUE),3,1)</f>
        <v>0.99773586232347866</v>
      </c>
      <c r="AR107" s="117">
        <f>INDEX(LINEST(LN(AV107:AX107),SQRT((AV106:AX106))),1)</f>
        <v>-4.4765232577239911E-2</v>
      </c>
      <c r="AS107" s="91">
        <f>INDEX(LINEST(1/(AV107:AX107),1/(SQRT(AV106:AX106)),TRUE,TRUE),3,1)</f>
        <v>0.94741332606609008</v>
      </c>
      <c r="AT107" s="91">
        <f>INDEX(LINEST(1/(AV107:AX107),1/SQRT(AV106:AX106)),1)</f>
        <v>-0.18514791907905087</v>
      </c>
      <c r="AU107" s="3"/>
      <c r="AV107" s="73">
        <v>0.80800000000000005</v>
      </c>
      <c r="AW107" s="73">
        <v>0.754</v>
      </c>
      <c r="AX107" s="73">
        <v>0.72399999999999998</v>
      </c>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c r="CA107" s="53"/>
      <c r="CB107" s="53"/>
      <c r="CC107" s="53"/>
      <c r="CD107" s="53"/>
      <c r="CE107" s="53"/>
      <c r="CF107" s="53"/>
      <c r="CG107" s="53"/>
      <c r="CH107" s="53"/>
      <c r="CI107" s="53"/>
      <c r="CJ107" s="53"/>
      <c r="CK107" s="53"/>
      <c r="CL107" s="53"/>
      <c r="CM107" s="53"/>
      <c r="CN107" s="53"/>
      <c r="CO107" s="53"/>
      <c r="CP107" s="53"/>
      <c r="CQ107" s="53"/>
      <c r="CR107" s="1"/>
      <c r="CS107" s="1"/>
      <c r="CT107" s="1"/>
      <c r="CU107" s="1"/>
    </row>
    <row r="108" spans="1:99" s="13" customFormat="1" ht="12" customHeight="1" x14ac:dyDescent="0.2">
      <c r="A108" s="65">
        <v>43916</v>
      </c>
      <c r="B108" s="1"/>
      <c r="C108" s="1"/>
      <c r="D108" s="60"/>
      <c r="E108" s="76"/>
      <c r="F108" s="60"/>
      <c r="G108" s="60"/>
      <c r="H108" s="60"/>
      <c r="I108" s="60"/>
      <c r="J108" s="60"/>
      <c r="K108" s="64"/>
      <c r="L108" s="64"/>
      <c r="M108" s="60"/>
      <c r="N108" s="60"/>
      <c r="O108" s="60"/>
      <c r="P108" s="60"/>
      <c r="Q108" s="60"/>
      <c r="R108" s="60"/>
      <c r="S108" s="60"/>
      <c r="T108" s="59"/>
      <c r="U108" s="60"/>
      <c r="V108" s="59"/>
      <c r="W108" s="60"/>
      <c r="X108" s="60"/>
      <c r="Y108" s="76"/>
      <c r="Z108" s="60"/>
      <c r="AA108" s="60"/>
      <c r="AB108" s="60"/>
      <c r="AC108" s="60"/>
      <c r="AD108" s="60"/>
      <c r="AE108" s="60"/>
      <c r="AF108" s="80"/>
      <c r="AG108" s="56"/>
      <c r="AH108" s="4"/>
      <c r="AI108" s="56"/>
      <c r="AJ108" s="109"/>
      <c r="AK108" s="56"/>
      <c r="AL108" s="56"/>
      <c r="AM108" s="56"/>
      <c r="AN108" s="56"/>
      <c r="AO108" s="82"/>
      <c r="AP108" s="82"/>
      <c r="AQ108" s="82"/>
      <c r="AR108" s="115"/>
      <c r="AS108" s="82"/>
      <c r="AT108" s="82"/>
      <c r="AU108" s="3"/>
      <c r="AV108" s="54">
        <v>1.5</v>
      </c>
      <c r="AW108" s="25">
        <v>3</v>
      </c>
      <c r="AX108" s="25">
        <v>6</v>
      </c>
      <c r="AY108" s="53"/>
      <c r="AZ108" s="53"/>
      <c r="BA108" s="53"/>
      <c r="BB108" s="53"/>
      <c r="BC108" s="53"/>
      <c r="BD108" s="53"/>
      <c r="BE108" s="53"/>
      <c r="BF108" s="53"/>
      <c r="BG108" s="53"/>
      <c r="BH108" s="53"/>
      <c r="BI108" s="53"/>
      <c r="BJ108" s="53"/>
      <c r="BK108" s="53"/>
      <c r="BL108" s="53"/>
      <c r="BM108" s="53"/>
      <c r="BN108" s="53"/>
      <c r="BO108" s="53"/>
      <c r="BP108" s="53"/>
      <c r="BQ108" s="53"/>
      <c r="BR108" s="53"/>
      <c r="BS108" s="53"/>
      <c r="BT108" s="53"/>
      <c r="BU108" s="53"/>
      <c r="BV108" s="53"/>
      <c r="BW108" s="53"/>
      <c r="BX108" s="53"/>
      <c r="BY108" s="53"/>
      <c r="BZ108" s="53"/>
      <c r="CA108" s="53"/>
      <c r="CB108" s="53"/>
      <c r="CC108" s="53"/>
      <c r="CD108" s="53"/>
      <c r="CE108" s="53"/>
      <c r="CF108" s="53"/>
      <c r="CG108" s="53"/>
      <c r="CH108" s="53"/>
      <c r="CI108" s="53"/>
      <c r="CJ108" s="53"/>
      <c r="CK108" s="53"/>
      <c r="CL108" s="53"/>
      <c r="CM108" s="53"/>
      <c r="CN108" s="53"/>
      <c r="CO108" s="53"/>
      <c r="CP108" s="53"/>
      <c r="CQ108" s="53"/>
      <c r="CR108" s="1"/>
      <c r="CS108" s="1"/>
      <c r="CT108" s="1"/>
      <c r="CU108" s="1"/>
    </row>
    <row r="109" spans="1:99" s="13" customFormat="1" ht="12" customHeight="1" x14ac:dyDescent="0.2">
      <c r="A109" s="65">
        <v>43916</v>
      </c>
      <c r="B109" s="1" t="s">
        <v>567</v>
      </c>
      <c r="C109" s="1" t="s">
        <v>45</v>
      </c>
      <c r="D109" s="60">
        <v>2020</v>
      </c>
      <c r="E109" s="76">
        <v>1</v>
      </c>
      <c r="F109" s="60">
        <v>60</v>
      </c>
      <c r="G109" s="60">
        <v>60</v>
      </c>
      <c r="H109" s="60" t="s">
        <v>41</v>
      </c>
      <c r="I109" s="60" t="s">
        <v>773</v>
      </c>
      <c r="J109" s="60" t="s">
        <v>764</v>
      </c>
      <c r="K109" s="60">
        <f>IF(J109="syllables",1,IF(J109="trigrams",2,IF(J109="strings",3,IF(J109="visual array",4,IF(J109="characters",5,IF(J109="letters",6,IF(J109="free forms",7,IF(J109="odors",8,IF(J109="words",9,IF(J109="pictures",10,IF(J109="object pictures",11,IF(J109="faces",12,IF(J109="names",13,IF(J109="idioms",14,IF(J109="grades",15,IF(J109="syllable-digit pairs",16,IF(J109="trigram-word pairs",17,IF(J109="word-digit pairs",18,IF(J109="English-Swahili pairs",19,IF(J109="spatial position",20,IF(J109="word pairs",21,IF(J109="word triads",22,IF(J109="generated words",23,IF(J109="word definition pairs",24,IF(J109="math problems",25,IF(J109="famous faces",26,IF(J109="famous names",27,IF(J109="famous voices",28,IF(J109="television programs",29,IF(J109="race horses",30,IF(J109="new vocabulary",31,IF(J109="sentences",32,IF(J109="concepts",33,IF(J109="ad slides",34,IF(J109="scenes",35,IF(J109="famous scenes",36,IF(J109="poems",37,IF(J109="walk",38,IF(J109="faces and events",39,IF(J109="events and names",40,IF(J109="flashbulb",41,IF(J109="stories",42,IF(J109="course material",43,IF(J109="autobiographical",44,IF(J109="novels",45,IF(J109="public events",46,"99"))))))))))))))))))))))))))))))))))))))))))))))</f>
        <v>4</v>
      </c>
      <c r="L109" s="60">
        <f>IF(J109="syllables",1,IF(J109="trigrams",1,IF(J109="strings",1,IF(J109="visual array",1,IF(J109="characters",1,IF(J109="letters",1,IF(J109="free forms",1,IF(J109="odors",2,IF(J109="words",2,IF(J109="pictures",2,IF(J109="object pictures",2,IF(J109="faces",2,IF(J109="names",2,IF(J109="idioms","2",IF(J109="grades",2,IF(J109="syllable-digit pairs",3,IF(J109="trigram-word pairs",3,IF(J109="word-digit pairs",3,IF(J109="English-Swahili pairs",3,IF(J109="spatial position",3,IF(J109="word pairs",4,IF(J109="word triads",4,IF(J109="generated words",4,IF(J109="word definition pairs",4,IF(J109="math problems",4,IF(J109="famous faces",4,IF(J109="famous names",4,IF(J109="famous voices",4,IF(J109="television programs",4,IF(J109="race horses",4,IF(J109="new vocabulary",4,IF(J109="sentences",5,IF(J109="concepts",5,IF(J109="ad slides",5,IF(J109="scenes",5,IF(J109="famous scenes",5,IF(J109="poems",6,IF(J109="walk",6,IF(J109="faces and events",6,IF(J109="events and names",6,IF(J109="flashbulb",7,IF(J109="stories",7,IF(J109="course material",7,IF(J109="autobiographical",7,IF(J109="novels",7,IF(J109="public events",7,"99"))))))))))))))))))))))))))))))))))))))))))))))</f>
        <v>1</v>
      </c>
      <c r="M109" s="60">
        <v>0</v>
      </c>
      <c r="N109" s="60">
        <v>1</v>
      </c>
      <c r="O109" s="60">
        <v>0</v>
      </c>
      <c r="P109" s="60"/>
      <c r="Q109" s="60" t="s">
        <v>174</v>
      </c>
      <c r="R109" s="60">
        <f>IF(Q109="Free Recall",1,IF(Q109="Cued Recall",2,IF(Q109="Recognition",3,IF(Q109="Multiple Choice",4,IF(Q109="Savings",5,IF(Q109="Stem Completion",6,IF(Q109="Fragment Completion",7,IF(Q109="anagram solution",8,IF(Q109="Matching",9,IF(Q109="Problem Solving",10,"99"))))))))))</f>
        <v>1</v>
      </c>
      <c r="S109" s="60" t="s">
        <v>49</v>
      </c>
      <c r="T109" s="59" t="s">
        <v>581</v>
      </c>
      <c r="U109" s="60">
        <f>IF(T109="within",1,0)</f>
        <v>1</v>
      </c>
      <c r="V109" s="59">
        <v>270</v>
      </c>
      <c r="W109" s="60">
        <f>F109*V109</f>
        <v>16200</v>
      </c>
      <c r="X109" s="60">
        <v>3</v>
      </c>
      <c r="Y109" s="76">
        <f>AV108</f>
        <v>1.5</v>
      </c>
      <c r="Z109" s="60" t="s">
        <v>39</v>
      </c>
      <c r="AA109" s="60">
        <v>6</v>
      </c>
      <c r="AB109" s="60" t="str">
        <f>IF(AA109&lt;60,"1",IF(AA109&lt;=43200,"2",IF(AA109&lt;=777600,"3","4")))</f>
        <v>1</v>
      </c>
      <c r="AC109" s="56">
        <f>AVERAGE(AV108:DA108)</f>
        <v>3.5</v>
      </c>
      <c r="AD109" s="60" t="str">
        <f>IF(AC109&lt;60,"1",IF(AC109&lt;=43200,"2",IF(AC109&lt;=777600,"3","4")))</f>
        <v>1</v>
      </c>
      <c r="AE109" s="76">
        <f>AA109-Y109</f>
        <v>4.5</v>
      </c>
      <c r="AF109" s="80">
        <f>AV109</f>
        <v>0.85</v>
      </c>
      <c r="AG109" s="56">
        <f>((AW109-AV109)+(AX109-AW109))/2</f>
        <v>-2.9999999999999971E-2</v>
      </c>
      <c r="AH109" s="4"/>
      <c r="AI109" s="56">
        <f>RSQ(AV109:AX109,AV108:AX108)</f>
        <v>1</v>
      </c>
      <c r="AJ109" s="109">
        <f>SLOPE(AV109:AX109,AV108:AX108)</f>
        <v>-1.3333333333333319E-2</v>
      </c>
      <c r="AK109" s="56">
        <f>INTERCEPT(AV109:AX109,AV108:AX108)</f>
        <v>0.86999999999999988</v>
      </c>
      <c r="AL109" s="56">
        <f>INDEX(LINEST(LN(AV109:AX109),LN(AV108:AX108),TRUE,TRUE),3,1)</f>
        <v>0.96088353903508672</v>
      </c>
      <c r="AM109" s="56">
        <f>INDEX(LINEST(LN(AV109:AX109),LN(AV108:AX108)),1)</f>
        <v>-5.280509398029936E-2</v>
      </c>
      <c r="AN109" s="56">
        <f>EXP(INDEX(LINEST(LN(AV109:AX109),LN(AV108:AX108)),1,2))</f>
        <v>0.87210572171871348</v>
      </c>
      <c r="AO109" s="82">
        <f>INDEX(LINEST((AV109:AX109),LN(AV108:AX108),TRUE,TRUE),3,1)</f>
        <v>0.96428571428571452</v>
      </c>
      <c r="AP109" s="82">
        <f>INDEX(LINEST((AV109:AX109),LN(AV108:AX108)),1)</f>
        <v>-4.3280851226668859E-2</v>
      </c>
      <c r="AQ109" s="83">
        <f>INDEX(LINEST(LN(AV109:AX109),SQRT(AV108:AX108),TRUE,TRUE),3,1)</f>
        <v>0.98996245490585466</v>
      </c>
      <c r="AR109" s="116">
        <f>INDEX(LINEST(LN(AV109:AX109),SQRT((AV108:AX108))),1)</f>
        <v>-6.0372516510336413E-2</v>
      </c>
      <c r="AS109" s="84">
        <f>INDEX(LINEST(1/(AV109:AX109),1/(SQRT(AV108:AX108)),TRUE,TRUE),3,1)</f>
        <v>0.90885650374259142</v>
      </c>
      <c r="AT109" s="84">
        <f>INDEX(LINEST(1/(AV109:AX109),1/SQRT(AV108:AX108)),1)</f>
        <v>-0.21221042180871011</v>
      </c>
      <c r="AU109" s="3"/>
      <c r="AV109" s="53">
        <v>0.85</v>
      </c>
      <c r="AW109" s="53">
        <v>0.83</v>
      </c>
      <c r="AX109" s="53">
        <v>0.79</v>
      </c>
      <c r="AY109" s="53"/>
      <c r="AZ109" s="53"/>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c r="BY109" s="53"/>
      <c r="BZ109" s="53"/>
      <c r="CA109" s="53"/>
      <c r="CB109" s="53"/>
      <c r="CC109" s="53"/>
      <c r="CD109" s="53"/>
      <c r="CE109" s="53"/>
      <c r="CF109" s="53"/>
      <c r="CG109" s="53"/>
      <c r="CH109" s="53"/>
      <c r="CI109" s="53"/>
      <c r="CJ109" s="53"/>
      <c r="CK109" s="53"/>
      <c r="CL109" s="53"/>
      <c r="CM109" s="53"/>
      <c r="CN109" s="53"/>
      <c r="CO109" s="53"/>
      <c r="CP109" s="53"/>
      <c r="CQ109" s="53"/>
      <c r="CR109" s="1"/>
      <c r="CS109" s="1"/>
      <c r="CT109" s="1"/>
      <c r="CU109" s="1"/>
    </row>
    <row r="110" spans="1:99" s="13" customFormat="1" ht="12" customHeight="1" x14ac:dyDescent="0.2">
      <c r="A110" s="65">
        <v>43916</v>
      </c>
      <c r="B110" s="1"/>
      <c r="C110" s="1"/>
      <c r="D110" s="60"/>
      <c r="E110" s="76"/>
      <c r="F110" s="60"/>
      <c r="G110" s="60"/>
      <c r="H110" s="60"/>
      <c r="I110" s="60"/>
      <c r="J110" s="60"/>
      <c r="K110" s="64"/>
      <c r="L110" s="64"/>
      <c r="M110" s="60"/>
      <c r="N110" s="60"/>
      <c r="O110" s="60"/>
      <c r="P110" s="60"/>
      <c r="Q110" s="60"/>
      <c r="R110" s="60"/>
      <c r="S110" s="60"/>
      <c r="T110" s="59"/>
      <c r="U110" s="60"/>
      <c r="V110" s="59"/>
      <c r="W110" s="60"/>
      <c r="X110" s="60"/>
      <c r="Y110" s="76"/>
      <c r="Z110" s="60"/>
      <c r="AA110" s="60"/>
      <c r="AB110" s="60"/>
      <c r="AC110" s="60"/>
      <c r="AD110" s="60"/>
      <c r="AE110" s="60"/>
      <c r="AF110" s="80"/>
      <c r="AG110" s="56"/>
      <c r="AH110" s="4"/>
      <c r="AI110" s="56"/>
      <c r="AJ110" s="109"/>
      <c r="AK110" s="56"/>
      <c r="AL110" s="56"/>
      <c r="AM110" s="56"/>
      <c r="AN110" s="56"/>
      <c r="AO110" s="82"/>
      <c r="AP110" s="82"/>
      <c r="AQ110" s="82"/>
      <c r="AR110" s="115"/>
      <c r="AS110" s="82"/>
      <c r="AT110" s="82"/>
      <c r="AU110" s="3"/>
      <c r="AV110" s="54">
        <v>1.5</v>
      </c>
      <c r="AW110" s="25">
        <v>3</v>
      </c>
      <c r="AX110" s="25">
        <v>6</v>
      </c>
      <c r="AY110" s="53"/>
      <c r="AZ110" s="53"/>
      <c r="BA110" s="53"/>
      <c r="BB110" s="53"/>
      <c r="BC110" s="53"/>
      <c r="BD110" s="53"/>
      <c r="BE110" s="53"/>
      <c r="BF110" s="53"/>
      <c r="BG110" s="53"/>
      <c r="BH110" s="53"/>
      <c r="BI110" s="53"/>
      <c r="BJ110" s="53"/>
      <c r="BK110" s="53"/>
      <c r="BL110" s="53"/>
      <c r="BM110" s="53"/>
      <c r="BN110" s="53"/>
      <c r="BO110" s="53"/>
      <c r="BP110" s="53"/>
      <c r="BQ110" s="53"/>
      <c r="BR110" s="53"/>
      <c r="BS110" s="53"/>
      <c r="BT110" s="53"/>
      <c r="BU110" s="53"/>
      <c r="BV110" s="53"/>
      <c r="BW110" s="53"/>
      <c r="BX110" s="53"/>
      <c r="BY110" s="53"/>
      <c r="BZ110" s="53"/>
      <c r="CA110" s="53"/>
      <c r="CB110" s="53"/>
      <c r="CC110" s="53"/>
      <c r="CD110" s="53"/>
      <c r="CE110" s="53"/>
      <c r="CF110" s="53"/>
      <c r="CG110" s="53"/>
      <c r="CH110" s="53"/>
      <c r="CI110" s="53"/>
      <c r="CJ110" s="53"/>
      <c r="CK110" s="53"/>
      <c r="CL110" s="53"/>
      <c r="CM110" s="53"/>
      <c r="CN110" s="53"/>
      <c r="CO110" s="53"/>
      <c r="CP110" s="53"/>
      <c r="CQ110" s="53"/>
      <c r="CR110" s="1"/>
      <c r="CS110" s="1"/>
      <c r="CT110" s="1"/>
      <c r="CU110" s="1"/>
    </row>
    <row r="111" spans="1:99" s="13" customFormat="1" ht="12" customHeight="1" x14ac:dyDescent="0.2">
      <c r="A111" s="65">
        <v>43916</v>
      </c>
      <c r="B111" s="1" t="s">
        <v>567</v>
      </c>
      <c r="C111" s="1" t="s">
        <v>45</v>
      </c>
      <c r="D111" s="60">
        <v>2020</v>
      </c>
      <c r="E111" s="76">
        <v>1</v>
      </c>
      <c r="F111" s="60">
        <v>60</v>
      </c>
      <c r="G111" s="60">
        <v>60</v>
      </c>
      <c r="H111" s="60" t="s">
        <v>41</v>
      </c>
      <c r="I111" s="60" t="s">
        <v>774</v>
      </c>
      <c r="J111" s="60" t="s">
        <v>764</v>
      </c>
      <c r="K111" s="60">
        <f>IF(J111="syllables",1,IF(J111="trigrams",2,IF(J111="strings",3,IF(J111="visual array",4,IF(J111="characters",5,IF(J111="letters",6,IF(J111="free forms",7,IF(J111="odors",8,IF(J111="words",9,IF(J111="pictures",10,IF(J111="object pictures",11,IF(J111="faces",12,IF(J111="names",13,IF(J111="idioms",14,IF(J111="grades",15,IF(J111="syllable-digit pairs",16,IF(J111="trigram-word pairs",17,IF(J111="word-digit pairs",18,IF(J111="English-Swahili pairs",19,IF(J111="spatial position",20,IF(J111="word pairs",21,IF(J111="word triads",22,IF(J111="generated words",23,IF(J111="word definition pairs",24,IF(J111="math problems",25,IF(J111="famous faces",26,IF(J111="famous names",27,IF(J111="famous voices",28,IF(J111="television programs",29,IF(J111="race horses",30,IF(J111="new vocabulary",31,IF(J111="sentences",32,IF(J111="concepts",33,IF(J111="ad slides",34,IF(J111="scenes",35,IF(J111="famous scenes",36,IF(J111="poems",37,IF(J111="walk",38,IF(J111="faces and events",39,IF(J111="events and names",40,IF(J111="flashbulb",41,IF(J111="stories",42,IF(J111="course material",43,IF(J111="autobiographical",44,IF(J111="novels",45,IF(J111="public events",46,"99"))))))))))))))))))))))))))))))))))))))))))))))</f>
        <v>4</v>
      </c>
      <c r="L111" s="60">
        <f>IF(J111="syllables",1,IF(J111="trigrams",1,IF(J111="strings",1,IF(J111="visual array",1,IF(J111="characters",1,IF(J111="letters",1,IF(J111="free forms",1,IF(J111="odors",2,IF(J111="words",2,IF(J111="pictures",2,IF(J111="object pictures",2,IF(J111="faces",2,IF(J111="names",2,IF(J111="idioms","2",IF(J111="grades",2,IF(J111="syllable-digit pairs",3,IF(J111="trigram-word pairs",3,IF(J111="word-digit pairs",3,IF(J111="English-Swahili pairs",3,IF(J111="spatial position",3,IF(J111="word pairs",4,IF(J111="word triads",4,IF(J111="generated words",4,IF(J111="word definition pairs",4,IF(J111="math problems",4,IF(J111="famous faces",4,IF(J111="famous names",4,IF(J111="famous voices",4,IF(J111="television programs",4,IF(J111="race horses",4,IF(J111="new vocabulary",4,IF(J111="sentences",5,IF(J111="concepts",5,IF(J111="ad slides",5,IF(J111="scenes",5,IF(J111="famous scenes",5,IF(J111="poems",6,IF(J111="walk",6,IF(J111="faces and events",6,IF(J111="events and names",6,IF(J111="flashbulb",7,IF(J111="stories",7,IF(J111="course material",7,IF(J111="autobiographical",7,IF(J111="novels",7,IF(J111="public events",7,"99"))))))))))))))))))))))))))))))))))))))))))))))</f>
        <v>1</v>
      </c>
      <c r="M111" s="60">
        <v>0</v>
      </c>
      <c r="N111" s="60">
        <v>1</v>
      </c>
      <c r="O111" s="60">
        <v>1</v>
      </c>
      <c r="P111" s="60" t="s">
        <v>550</v>
      </c>
      <c r="Q111" s="60" t="s">
        <v>174</v>
      </c>
      <c r="R111" s="60">
        <f>IF(Q111="Free Recall",1,IF(Q111="Cued Recall",2,IF(Q111="Recognition",3,IF(Q111="Multiple Choice",4,IF(Q111="Savings",5,IF(Q111="Stem Completion",6,IF(Q111="Fragment Completion",7,IF(Q111="anagram solution",8,IF(Q111="Matching",9,IF(Q111="Problem Solving",10,"99"))))))))))</f>
        <v>1</v>
      </c>
      <c r="S111" s="60" t="s">
        <v>49</v>
      </c>
      <c r="T111" s="59" t="s">
        <v>581</v>
      </c>
      <c r="U111" s="60">
        <f>IF(T111="within",1,0)</f>
        <v>1</v>
      </c>
      <c r="V111" s="59">
        <v>270</v>
      </c>
      <c r="W111" s="60">
        <f>F111*V111</f>
        <v>16200</v>
      </c>
      <c r="X111" s="60">
        <v>3</v>
      </c>
      <c r="Y111" s="76">
        <f>AV110</f>
        <v>1.5</v>
      </c>
      <c r="Z111" s="60" t="s">
        <v>39</v>
      </c>
      <c r="AA111" s="60">
        <v>6</v>
      </c>
      <c r="AB111" s="60" t="str">
        <f>IF(AA111&lt;60,"1",IF(AA111&lt;=43200,"2",IF(AA111&lt;=777600,"3","4")))</f>
        <v>1</v>
      </c>
      <c r="AC111" s="56">
        <f>AVERAGE(AV110:DA110)</f>
        <v>3.5</v>
      </c>
      <c r="AD111" s="60" t="str">
        <f>IF(AC111&lt;60,"1",IF(AC111&lt;=43200,"2",IF(AC111&lt;=777600,"3","4")))</f>
        <v>1</v>
      </c>
      <c r="AE111" s="76">
        <f>AA111-Y111</f>
        <v>4.5</v>
      </c>
      <c r="AF111" s="80">
        <f>AV111</f>
        <v>0.79</v>
      </c>
      <c r="AG111" s="56">
        <f>((AW111-AV111)+(AX111-AW111))/2</f>
        <v>-4.0000000000000036E-2</v>
      </c>
      <c r="AH111" s="4"/>
      <c r="AI111" s="56">
        <f>RSQ(AV111:AX111,AV110:AX110)</f>
        <v>0.95300751879699253</v>
      </c>
      <c r="AJ111" s="109">
        <f>SLOPE(AV111:AX111,AV110:AX110)</f>
        <v>-1.8571428571428589E-2</v>
      </c>
      <c r="AK111" s="56">
        <f>INTERCEPT(AV111:AX111,AV110:AX110)</f>
        <v>0.82500000000000018</v>
      </c>
      <c r="AL111" s="56">
        <f>INDEX(LINEST(LN(AV111:AX111),LN(AV110:AX110),TRUE,TRUE),3,1)</f>
        <v>0.83806276823159775</v>
      </c>
      <c r="AM111" s="56">
        <f>INDEX(LINEST(LN(AV111:AX111),LN(AV110:AX110)),1)</f>
        <v>-7.7016814336210507E-2</v>
      </c>
      <c r="AN111" s="56">
        <f>EXP(INDEX(LINEST(LN(AV111:AX111),LN(AV110:AX110)),1,2))</f>
        <v>0.82617688497785069</v>
      </c>
      <c r="AO111" s="82">
        <f>INDEX(LINEST((AV111:AX111),LN(AV110:AX110),TRUE,TRUE),3,1)</f>
        <v>0.84210526315789469</v>
      </c>
      <c r="AP111" s="82">
        <f>INDEX(LINEST((AV111:AX111),LN(AV110:AX110)),1)</f>
        <v>-5.7707801635558588E-2</v>
      </c>
      <c r="AQ111" s="83">
        <f>INDEX(LINEST(LN(AV111:AX111),SQRT(AV110:AX110),TRUE,TRUE),3,1)</f>
        <v>0.90376794598306331</v>
      </c>
      <c r="AR111" s="116">
        <f>INDEX(LINEST(LN(AV111:AX111),SQRT((AV110:AX110))),1)</f>
        <v>-9.0087641697188886E-2</v>
      </c>
      <c r="AS111" s="84">
        <f>INDEX(LINEST(1/(AV111:AX111),1/(SQRT(AV110:AX110)),TRUE,TRUE),3,1)</f>
        <v>0.75463517403855318</v>
      </c>
      <c r="AT111" s="84">
        <f>INDEX(LINEST(1/(AV111:AX111),1/SQRT(AV110:AX110)),1)</f>
        <v>-0.33068708807123964</v>
      </c>
      <c r="AU111" s="3"/>
      <c r="AV111" s="53">
        <v>0.79</v>
      </c>
      <c r="AW111" s="53">
        <v>0.78</v>
      </c>
      <c r="AX111" s="53">
        <v>0.71</v>
      </c>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c r="BY111" s="53"/>
      <c r="BZ111" s="53"/>
      <c r="CA111" s="53"/>
      <c r="CB111" s="53"/>
      <c r="CC111" s="53"/>
      <c r="CD111" s="53"/>
      <c r="CE111" s="53"/>
      <c r="CF111" s="53"/>
      <c r="CG111" s="53"/>
      <c r="CH111" s="53"/>
      <c r="CI111" s="53"/>
      <c r="CJ111" s="53"/>
      <c r="CK111" s="53"/>
      <c r="CL111" s="53"/>
      <c r="CM111" s="53"/>
      <c r="CN111" s="53"/>
      <c r="CO111" s="53"/>
      <c r="CP111" s="53"/>
      <c r="CQ111" s="53"/>
      <c r="CR111" s="1"/>
      <c r="CS111" s="1"/>
      <c r="CT111" s="1"/>
      <c r="CU111" s="1"/>
    </row>
    <row r="112" spans="1:99" s="13" customFormat="1" ht="12" customHeight="1" x14ac:dyDescent="0.2">
      <c r="A112" s="65">
        <v>43916</v>
      </c>
      <c r="B112" s="1"/>
      <c r="C112" s="1"/>
      <c r="D112" s="60"/>
      <c r="E112" s="76"/>
      <c r="F112" s="60"/>
      <c r="G112" s="60"/>
      <c r="H112" s="60"/>
      <c r="I112" s="60"/>
      <c r="J112" s="60"/>
      <c r="K112" s="64"/>
      <c r="L112" s="64"/>
      <c r="M112" s="60"/>
      <c r="N112" s="60"/>
      <c r="O112" s="60"/>
      <c r="P112" s="60"/>
      <c r="Q112" s="60"/>
      <c r="R112" s="60"/>
      <c r="S112" s="60"/>
      <c r="T112" s="59"/>
      <c r="U112" s="60"/>
      <c r="V112" s="59"/>
      <c r="W112" s="60"/>
      <c r="X112" s="60"/>
      <c r="Y112" s="76"/>
      <c r="Z112" s="60"/>
      <c r="AA112" s="60"/>
      <c r="AB112" s="60"/>
      <c r="AC112" s="60"/>
      <c r="AD112" s="60"/>
      <c r="AE112" s="60"/>
      <c r="AF112" s="80"/>
      <c r="AG112" s="56"/>
      <c r="AH112" s="4"/>
      <c r="AI112" s="56"/>
      <c r="AJ112" s="109"/>
      <c r="AK112" s="56"/>
      <c r="AL112" s="56"/>
      <c r="AM112" s="56"/>
      <c r="AN112" s="56"/>
      <c r="AO112" s="82"/>
      <c r="AP112" s="82"/>
      <c r="AQ112" s="82"/>
      <c r="AR112" s="115"/>
      <c r="AS112" s="82"/>
      <c r="AT112" s="82"/>
      <c r="AU112" s="3"/>
      <c r="AV112" s="54">
        <v>1.5</v>
      </c>
      <c r="AW112" s="25">
        <v>3</v>
      </c>
      <c r="AX112" s="25">
        <v>6</v>
      </c>
      <c r="AY112" s="53"/>
      <c r="AZ112" s="53"/>
      <c r="BA112" s="53"/>
      <c r="BB112" s="5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1"/>
      <c r="CS112" s="1"/>
      <c r="CT112" s="1"/>
      <c r="CU112" s="1"/>
    </row>
    <row r="113" spans="1:99" s="13" customFormat="1" ht="12" customHeight="1" x14ac:dyDescent="0.2">
      <c r="A113" s="65">
        <v>43916</v>
      </c>
      <c r="B113" s="1" t="s">
        <v>567</v>
      </c>
      <c r="C113" s="1" t="s">
        <v>45</v>
      </c>
      <c r="D113" s="60">
        <v>2020</v>
      </c>
      <c r="E113" s="76">
        <v>1</v>
      </c>
      <c r="F113" s="60">
        <v>60</v>
      </c>
      <c r="G113" s="60">
        <v>60</v>
      </c>
      <c r="H113" s="60" t="s">
        <v>41</v>
      </c>
      <c r="I113" s="76" t="s">
        <v>775</v>
      </c>
      <c r="J113" s="60" t="s">
        <v>764</v>
      </c>
      <c r="K113" s="60">
        <f>IF(J113="syllables",1,IF(J113="trigrams",2,IF(J113="strings",3,IF(J113="visual array",4,IF(J113="characters",5,IF(J113="letters",6,IF(J113="free forms",7,IF(J113="odors",8,IF(J113="words",9,IF(J113="pictures",10,IF(J113="object pictures",11,IF(J113="faces",12,IF(J113="names",13,IF(J113="idioms",14,IF(J113="grades",15,IF(J113="syllable-digit pairs",16,IF(J113="trigram-word pairs",17,IF(J113="word-digit pairs",18,IF(J113="English-Swahili pairs",19,IF(J113="spatial position",20,IF(J113="word pairs",21,IF(J113="word triads",22,IF(J113="generated words",23,IF(J113="word definition pairs",24,IF(J113="math problems",25,IF(J113="famous faces",26,IF(J113="famous names",27,IF(J113="famous voices",28,IF(J113="television programs",29,IF(J113="race horses",30,IF(J113="new vocabulary",31,IF(J113="sentences",32,IF(J113="concepts",33,IF(J113="ad slides",34,IF(J113="scenes",35,IF(J113="famous scenes",36,IF(J113="poems",37,IF(J113="walk",38,IF(J113="faces and events",39,IF(J113="events and names",40,IF(J113="flashbulb",41,IF(J113="stories",42,IF(J113="course material",43,IF(J113="autobiographical",44,IF(J113="novels",45,IF(J113="public events",46,"99"))))))))))))))))))))))))))))))))))))))))))))))</f>
        <v>4</v>
      </c>
      <c r="L113" s="60">
        <f>IF(J113="syllables",1,IF(J113="trigrams",1,IF(J113="strings",1,IF(J113="visual array",1,IF(J113="characters",1,IF(J113="letters",1,IF(J113="free forms",1,IF(J113="odors",2,IF(J113="words",2,IF(J113="pictures",2,IF(J113="object pictures",2,IF(J113="faces",2,IF(J113="names",2,IF(J113="idioms","2",IF(J113="grades",2,IF(J113="syllable-digit pairs",3,IF(J113="trigram-word pairs",3,IF(J113="word-digit pairs",3,IF(J113="English-Swahili pairs",3,IF(J113="spatial position",3,IF(J113="word pairs",4,IF(J113="word triads",4,IF(J113="generated words",4,IF(J113="word definition pairs",4,IF(J113="math problems",4,IF(J113="famous faces",4,IF(J113="famous names",4,IF(J113="famous voices",4,IF(J113="television programs",4,IF(J113="race horses",4,IF(J113="new vocabulary",4,IF(J113="sentences",5,IF(J113="concepts",5,IF(J113="ad slides",5,IF(J113="scenes",5,IF(J113="famous scenes",5,IF(J113="poems",6,IF(J113="walk",6,IF(J113="faces and events",6,IF(J113="events and names",6,IF(J113="flashbulb",7,IF(J113="stories",7,IF(J113="course material",7,IF(J113="autobiographical",7,IF(J113="novels",7,IF(J113="public events",7,"99"))))))))))))))))))))))))))))))))))))))))))))))</f>
        <v>1</v>
      </c>
      <c r="M113" s="60">
        <v>0</v>
      </c>
      <c r="N113" s="60">
        <v>1</v>
      </c>
      <c r="O113" s="60">
        <v>1</v>
      </c>
      <c r="P113" s="60" t="s">
        <v>550</v>
      </c>
      <c r="Q113" s="60" t="s">
        <v>174</v>
      </c>
      <c r="R113" s="60">
        <f>IF(Q113="Free Recall",1,IF(Q113="Cued Recall",2,IF(Q113="Recognition",3,IF(Q113="Multiple Choice",4,IF(Q113="Savings",5,IF(Q113="Stem Completion",6,IF(Q113="Fragment Completion",7,IF(Q113="anagram solution",8,IF(Q113="Matching",9,IF(Q113="Problem Solving",10,"99"))))))))))</f>
        <v>1</v>
      </c>
      <c r="S113" s="60" t="s">
        <v>49</v>
      </c>
      <c r="T113" s="59" t="s">
        <v>581</v>
      </c>
      <c r="U113" s="60">
        <f>IF(T113="within",1,0)</f>
        <v>1</v>
      </c>
      <c r="V113" s="59">
        <v>270</v>
      </c>
      <c r="W113" s="60">
        <f>F113*V113</f>
        <v>16200</v>
      </c>
      <c r="X113" s="60">
        <v>3</v>
      </c>
      <c r="Y113" s="76">
        <f>AV112</f>
        <v>1.5</v>
      </c>
      <c r="Z113" s="60" t="s">
        <v>39</v>
      </c>
      <c r="AA113" s="60">
        <v>6</v>
      </c>
      <c r="AB113" s="60" t="str">
        <f>IF(AA113&lt;60,"1",IF(AA113&lt;=43200,"2",IF(AA113&lt;=777600,"3","4")))</f>
        <v>1</v>
      </c>
      <c r="AC113" s="56">
        <f>AVERAGE(AV112:DA112)</f>
        <v>3.5</v>
      </c>
      <c r="AD113" s="60" t="str">
        <f>IF(AC113&lt;60,"1",IF(AC113&lt;=43200,"2",IF(AC113&lt;=777600,"3","4")))</f>
        <v>1</v>
      </c>
      <c r="AE113" s="76">
        <f>AA113-Y113</f>
        <v>4.5</v>
      </c>
      <c r="AF113" s="80">
        <f>AV113</f>
        <v>0.78</v>
      </c>
      <c r="AG113" s="56">
        <f>((AW113-AV113)+(AX113-AW113))/2</f>
        <v>-3.5000000000000031E-2</v>
      </c>
      <c r="AH113" s="4"/>
      <c r="AI113" s="56">
        <f>RSQ(AV113:AX113,AV112:AX112)</f>
        <v>0.99725274725274726</v>
      </c>
      <c r="AJ113" s="109">
        <f>SLOPE(AV113:AX113,AV112:AX112)</f>
        <v>-1.5714285714285729E-2</v>
      </c>
      <c r="AK113" s="56">
        <f>INTERCEPT(AV113:AX113,AV112:AX112)</f>
        <v>0.80500000000000005</v>
      </c>
      <c r="AL113" s="56">
        <f>INDEX(LINEST(LN(AV113:AX113),LN(AV112:AX112),TRUE,TRUE),3,1)</f>
        <v>0.93742487178104128</v>
      </c>
      <c r="AM113" s="56">
        <f>INDEX(LINEST(LN(AV113:AX113),LN(AV112:AX112)),1)</f>
        <v>-6.7827549678783197E-2</v>
      </c>
      <c r="AN113" s="56">
        <f>EXP(INDEX(LINEST(LN(AV113:AX113),LN(AV112:AX112)),1,2))</f>
        <v>0.80739145142994828</v>
      </c>
      <c r="AO113" s="82">
        <f>INDEX(LINEST((AV113:AX113),LN(AV112:AX112),TRUE,TRUE),3,1)</f>
        <v>0.94230769230769229</v>
      </c>
      <c r="AP113" s="82">
        <f>INDEX(LINEST((AV113:AX113),LN(AV112:AX112)),1)</f>
        <v>-5.0494326431113755E-2</v>
      </c>
      <c r="AQ113" s="83">
        <f>INDEX(LINEST(LN(AV113:AX113),SQRT(AV112:AX112),TRUE,TRUE),3,1)</f>
        <v>0.97644061041387575</v>
      </c>
      <c r="AR113" s="116">
        <f>INDEX(LINEST(LN(AV113:AX113),SQRT((AV112:AX112))),1)</f>
        <v>-7.79740842013361E-2</v>
      </c>
      <c r="AS113" s="84">
        <f>INDEX(LINEST(1/(AV113:AX113),1/(SQRT(AV112:AX112)),TRUE,TRUE),3,1)</f>
        <v>0.87481527412362559</v>
      </c>
      <c r="AT113" s="84">
        <f>INDEX(LINEST(1/(AV113:AX113),1/SQRT(AV112:AX112)),1)</f>
        <v>-0.29843130572073534</v>
      </c>
      <c r="AU113" s="3"/>
      <c r="AV113" s="53">
        <v>0.78</v>
      </c>
      <c r="AW113" s="53">
        <v>0.76</v>
      </c>
      <c r="AX113" s="53">
        <v>0.71</v>
      </c>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53"/>
      <c r="CD113" s="53"/>
      <c r="CE113" s="53"/>
      <c r="CF113" s="53"/>
      <c r="CG113" s="53"/>
      <c r="CH113" s="53"/>
      <c r="CI113" s="53"/>
      <c r="CJ113" s="53"/>
      <c r="CK113" s="53"/>
      <c r="CL113" s="53"/>
      <c r="CM113" s="53"/>
      <c r="CN113" s="53"/>
      <c r="CO113" s="53"/>
      <c r="CP113" s="53"/>
      <c r="CQ113" s="53"/>
      <c r="CR113" s="1"/>
      <c r="CS113" s="1"/>
      <c r="CT113" s="1"/>
      <c r="CU113" s="1"/>
    </row>
    <row r="114" spans="1:99" s="13" customFormat="1" ht="12" customHeight="1" x14ac:dyDescent="0.2">
      <c r="A114" s="65">
        <v>43916</v>
      </c>
      <c r="B114" s="1"/>
      <c r="C114" s="1"/>
      <c r="D114" s="60"/>
      <c r="E114" s="76"/>
      <c r="F114" s="60"/>
      <c r="G114" s="60"/>
      <c r="H114" s="60"/>
      <c r="I114" s="60"/>
      <c r="J114" s="60"/>
      <c r="K114" s="64"/>
      <c r="L114" s="64"/>
      <c r="M114" s="60"/>
      <c r="N114" s="60"/>
      <c r="O114" s="60"/>
      <c r="P114" s="60"/>
      <c r="Q114" s="60"/>
      <c r="R114" s="60"/>
      <c r="S114" s="60"/>
      <c r="T114" s="59"/>
      <c r="U114" s="60"/>
      <c r="V114" s="59"/>
      <c r="W114" s="60"/>
      <c r="X114" s="60"/>
      <c r="Y114" s="76"/>
      <c r="Z114" s="60"/>
      <c r="AA114" s="60"/>
      <c r="AB114" s="60"/>
      <c r="AC114" s="60"/>
      <c r="AD114" s="60"/>
      <c r="AE114" s="60"/>
      <c r="AF114" s="80"/>
      <c r="AG114" s="56"/>
      <c r="AH114" s="4"/>
      <c r="AI114" s="56"/>
      <c r="AJ114" s="109"/>
      <c r="AK114" s="56"/>
      <c r="AL114" s="56"/>
      <c r="AM114" s="56"/>
      <c r="AN114" s="56"/>
      <c r="AO114" s="82"/>
      <c r="AP114" s="82"/>
      <c r="AQ114" s="82"/>
      <c r="AR114" s="115"/>
      <c r="AS114" s="82"/>
      <c r="AT114" s="82"/>
      <c r="AU114" s="3"/>
      <c r="AV114" s="54">
        <v>1.5</v>
      </c>
      <c r="AW114" s="25">
        <v>3</v>
      </c>
      <c r="AX114" s="25">
        <v>6</v>
      </c>
      <c r="AY114" s="53"/>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53"/>
      <c r="BZ114" s="53"/>
      <c r="CA114" s="53"/>
      <c r="CB114" s="53"/>
      <c r="CC114" s="53"/>
      <c r="CD114" s="53"/>
      <c r="CE114" s="53"/>
      <c r="CF114" s="53"/>
      <c r="CG114" s="53"/>
      <c r="CH114" s="53"/>
      <c r="CI114" s="53"/>
      <c r="CJ114" s="53"/>
      <c r="CK114" s="53"/>
      <c r="CL114" s="53"/>
      <c r="CM114" s="53"/>
      <c r="CN114" s="53"/>
      <c r="CO114" s="53"/>
      <c r="CP114" s="53"/>
      <c r="CQ114" s="53"/>
      <c r="CR114" s="1"/>
      <c r="CS114" s="1"/>
      <c r="CT114" s="1"/>
      <c r="CU114" s="1"/>
    </row>
    <row r="115" spans="1:99" s="13" customFormat="1" ht="12" customHeight="1" x14ac:dyDescent="0.2">
      <c r="A115" s="65">
        <v>43916</v>
      </c>
      <c r="B115" s="1" t="s">
        <v>567</v>
      </c>
      <c r="C115" s="1" t="s">
        <v>45</v>
      </c>
      <c r="D115" s="60">
        <v>2020</v>
      </c>
      <c r="E115" s="76">
        <v>2</v>
      </c>
      <c r="F115" s="60">
        <v>75</v>
      </c>
      <c r="G115" s="60">
        <v>75</v>
      </c>
      <c r="H115" s="60" t="s">
        <v>43</v>
      </c>
      <c r="I115" s="60" t="s">
        <v>776</v>
      </c>
      <c r="J115" s="60" t="s">
        <v>764</v>
      </c>
      <c r="K115" s="60">
        <f>IF(J115="syllables",1,IF(J115="trigrams",2,IF(J115="strings",3,IF(J115="visual array",4,IF(J115="characters",5,IF(J115="letters",6,IF(J115="free forms",7,IF(J115="odors",8,IF(J115="words",9,IF(J115="pictures",10,IF(J115="object pictures",11,IF(J115="faces",12,IF(J115="names",13,IF(J115="idioms",14,IF(J115="grades",15,IF(J115="syllable-digit pairs",16,IF(J115="trigram-word pairs",17,IF(J115="word-digit pairs",18,IF(J115="English-Swahili pairs",19,IF(J115="spatial position",20,IF(J115="word pairs",21,IF(J115="word triads",22,IF(J115="generated words",23,IF(J115="word definition pairs",24,IF(J115="math problems",25,IF(J115="famous faces",26,IF(J115="famous names",27,IF(J115="famous voices",28,IF(J115="television programs",29,IF(J115="race horses",30,IF(J115="new vocabulary",31,IF(J115="sentences",32,IF(J115="concepts",33,IF(J115="ad slides",34,IF(J115="scenes",35,IF(J115="famous scenes",36,IF(J115="poems",37,IF(J115="walk",38,IF(J115="faces and events",39,IF(J115="events and names",40,IF(J115="flashbulb",41,IF(J115="stories",42,IF(J115="course material",43,IF(J115="autobiographical",44,IF(J115="novels",45,IF(J115="public events",46,"99"))))))))))))))))))))))))))))))))))))))))))))))</f>
        <v>4</v>
      </c>
      <c r="L115" s="60">
        <f>IF(J115="syllables",1,IF(J115="trigrams",1,IF(J115="strings",1,IF(J115="visual array",1,IF(J115="characters",1,IF(J115="letters",1,IF(J115="free forms",1,IF(J115="odors",2,IF(J115="words",2,IF(J115="pictures",2,IF(J115="object pictures",2,IF(J115="faces",2,IF(J115="names",2,IF(J115="idioms","2",IF(J115="grades",2,IF(J115="syllable-digit pairs",3,IF(J115="trigram-word pairs",3,IF(J115="word-digit pairs",3,IF(J115="English-Swahili pairs",3,IF(J115="spatial position",3,IF(J115="word pairs",4,IF(J115="word triads",4,IF(J115="generated words",4,IF(J115="word definition pairs",4,IF(J115="math problems",4,IF(J115="famous faces",4,IF(J115="famous names",4,IF(J115="famous voices",4,IF(J115="television programs",4,IF(J115="race horses",4,IF(J115="new vocabulary",4,IF(J115="sentences",5,IF(J115="concepts",5,IF(J115="ad slides",5,IF(J115="scenes",5,IF(J115="famous scenes",5,IF(J115="poems",6,IF(J115="walk",6,IF(J115="faces and events",6,IF(J115="events and names",6,IF(J115="flashbulb",7,IF(J115="stories",7,IF(J115="course material",7,IF(J115="autobiographical",7,IF(J115="novels",7,IF(J115="public events",7,"99"))))))))))))))))))))))))))))))))))))))))))))))</f>
        <v>1</v>
      </c>
      <c r="M115" s="60">
        <v>0</v>
      </c>
      <c r="N115" s="60">
        <v>1</v>
      </c>
      <c r="O115" s="60">
        <v>0</v>
      </c>
      <c r="P115" s="60"/>
      <c r="Q115" s="60" t="s">
        <v>174</v>
      </c>
      <c r="R115" s="60">
        <f>IF(Q115="Free Recall",1,IF(Q115="Cued Recall",2,IF(Q115="Recognition",3,IF(Q115="Multiple Choice",4,IF(Q115="Savings",5,IF(Q115="Stem Completion",6,IF(Q115="Fragment Completion",7,IF(Q115="anagram solution",8,IF(Q115="Matching",9,IF(Q115="Problem Solving",10,"99"))))))))))</f>
        <v>1</v>
      </c>
      <c r="S115" s="60" t="s">
        <v>49</v>
      </c>
      <c r="T115" s="59" t="s">
        <v>581</v>
      </c>
      <c r="U115" s="60">
        <f>IF(T115="within",1,0)</f>
        <v>1</v>
      </c>
      <c r="V115" s="59">
        <v>270</v>
      </c>
      <c r="W115" s="60">
        <f>F115*V115</f>
        <v>20250</v>
      </c>
      <c r="X115" s="60">
        <v>3</v>
      </c>
      <c r="Y115" s="76">
        <f>AV114</f>
        <v>1.5</v>
      </c>
      <c r="Z115" s="60" t="s">
        <v>39</v>
      </c>
      <c r="AA115" s="60">
        <v>6</v>
      </c>
      <c r="AB115" s="60" t="str">
        <f>IF(AA115&lt;60,"1",IF(AA115&lt;=43200,"2",IF(AA115&lt;=777600,"3","4")))</f>
        <v>1</v>
      </c>
      <c r="AC115" s="56">
        <f>AVERAGE(AV114:DA114)</f>
        <v>3.5</v>
      </c>
      <c r="AD115" s="60" t="str">
        <f>IF(AC115&lt;60,"1",IF(AC115&lt;=43200,"2",IF(AC115&lt;=777600,"3","4")))</f>
        <v>1</v>
      </c>
      <c r="AE115" s="76">
        <f>AA115-Y115</f>
        <v>4.5</v>
      </c>
      <c r="AF115" s="80">
        <f>AV115</f>
        <v>0.88</v>
      </c>
      <c r="AG115" s="56">
        <f>((AW115-AV115)+(AX115-AW115))/2</f>
        <v>-2.5000000000000022E-2</v>
      </c>
      <c r="AH115" s="4"/>
      <c r="AI115" s="56">
        <f>RSQ(AV115:AX115,AV114:AX114)</f>
        <v>0.99436090225563922</v>
      </c>
      <c r="AJ115" s="109">
        <f>SLOPE(AV115:AX115,AV114:AX114)</f>
        <v>-1.0952380952380962E-2</v>
      </c>
      <c r="AK115" s="56">
        <f>INTERCEPT(AV115:AX115,AV114:AX114)</f>
        <v>0.89499999999999991</v>
      </c>
      <c r="AL115" s="56">
        <f>INDEX(LINEST(LN(AV115:AX115),LN(AV114:AX114),TRUE,TRUE),3,1)</f>
        <v>0.98496660187497864</v>
      </c>
      <c r="AM115" s="56">
        <f>INDEX(LINEST(LN(AV115:AX115),LN(AV114:AX114)),1)</f>
        <v>-4.2196093645186297E-2</v>
      </c>
      <c r="AN115" s="56">
        <f>EXP(INDEX(LINEST(LN(AV115:AX115),LN(AV114:AX114)),1,2))</f>
        <v>0.89705497354348529</v>
      </c>
      <c r="AO115" s="82">
        <f>INDEX(LINEST((AV115:AX115),LN(AV114:AX114),TRUE,TRUE),3,1)</f>
        <v>0.98684210526315785</v>
      </c>
      <c r="AP115" s="82">
        <f>INDEX(LINEST((AV115:AX115),LN(AV114:AX114)),1)</f>
        <v>-3.606737602222411E-2</v>
      </c>
      <c r="AQ115" s="83">
        <f>INDEX(LINEST(LN(AV115:AX115),SQRT(AV114:AX114),TRUE,TRUE),3,1)</f>
        <v>0.99941522285111928</v>
      </c>
      <c r="AR115" s="116">
        <f>INDEX(LINEST(LN(AV115:AX115),SQRT((AV114:AX114))),1)</f>
        <v>-4.7876671439769834E-2</v>
      </c>
      <c r="AS115" s="84">
        <f>INDEX(LINEST(1/(AV115:AX115),1/(SQRT(AV114:AX114)),TRUE,TRUE),3,1)</f>
        <v>0.94821871348652054</v>
      </c>
      <c r="AT115" s="84">
        <f>INDEX(LINEST(1/(AV115:AX115),1/SQRT(AV114:AX114)),1)</f>
        <v>-0.16388765988963322</v>
      </c>
      <c r="AU115" s="3"/>
      <c r="AV115" s="53">
        <v>0.88</v>
      </c>
      <c r="AW115" s="53">
        <v>0.86</v>
      </c>
      <c r="AX115" s="53">
        <v>0.83</v>
      </c>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BY115" s="53"/>
      <c r="BZ115" s="53"/>
      <c r="CA115" s="53"/>
      <c r="CB115" s="53"/>
      <c r="CC115" s="53"/>
      <c r="CD115" s="53"/>
      <c r="CE115" s="53"/>
      <c r="CF115" s="53"/>
      <c r="CG115" s="53"/>
      <c r="CH115" s="53"/>
      <c r="CI115" s="53"/>
      <c r="CJ115" s="53"/>
      <c r="CK115" s="53"/>
      <c r="CL115" s="53"/>
      <c r="CM115" s="53"/>
      <c r="CN115" s="53"/>
      <c r="CO115" s="53"/>
      <c r="CP115" s="53"/>
      <c r="CQ115" s="53"/>
      <c r="CR115" s="1"/>
      <c r="CS115" s="1"/>
      <c r="CT115" s="1"/>
      <c r="CU115" s="1"/>
    </row>
    <row r="116" spans="1:99" s="13" customFormat="1" ht="12" customHeight="1" x14ac:dyDescent="0.2">
      <c r="A116" s="65">
        <v>43916</v>
      </c>
      <c r="B116" s="1"/>
      <c r="C116" s="1"/>
      <c r="D116" s="60"/>
      <c r="E116" s="76"/>
      <c r="F116" s="60"/>
      <c r="G116" s="60"/>
      <c r="H116" s="60"/>
      <c r="I116" s="60"/>
      <c r="J116" s="60"/>
      <c r="K116" s="64"/>
      <c r="L116" s="64"/>
      <c r="M116" s="60"/>
      <c r="N116" s="60"/>
      <c r="O116" s="60"/>
      <c r="P116" s="60"/>
      <c r="Q116" s="60"/>
      <c r="R116" s="60"/>
      <c r="S116" s="60"/>
      <c r="T116" s="59"/>
      <c r="U116" s="60"/>
      <c r="V116" s="59"/>
      <c r="W116" s="60"/>
      <c r="X116" s="60"/>
      <c r="Y116" s="76"/>
      <c r="Z116" s="60"/>
      <c r="AA116" s="60"/>
      <c r="AB116" s="60"/>
      <c r="AC116" s="60"/>
      <c r="AD116" s="60"/>
      <c r="AE116" s="60"/>
      <c r="AF116" s="80"/>
      <c r="AG116" s="56"/>
      <c r="AH116" s="4"/>
      <c r="AI116" s="56"/>
      <c r="AJ116" s="109"/>
      <c r="AK116" s="56"/>
      <c r="AL116" s="56"/>
      <c r="AM116" s="56"/>
      <c r="AN116" s="56"/>
      <c r="AO116" s="82"/>
      <c r="AP116" s="82"/>
      <c r="AQ116" s="82"/>
      <c r="AR116" s="115"/>
      <c r="AS116" s="82"/>
      <c r="AT116" s="82"/>
      <c r="AU116" s="3"/>
      <c r="AV116" s="54">
        <v>1.5</v>
      </c>
      <c r="AW116" s="25">
        <v>3</v>
      </c>
      <c r="AX116" s="25">
        <v>6</v>
      </c>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53"/>
      <c r="CA116" s="53"/>
      <c r="CB116" s="53"/>
      <c r="CC116" s="53"/>
      <c r="CD116" s="53"/>
      <c r="CE116" s="53"/>
      <c r="CF116" s="53"/>
      <c r="CG116" s="53"/>
      <c r="CH116" s="53"/>
      <c r="CI116" s="53"/>
      <c r="CJ116" s="53"/>
      <c r="CK116" s="53"/>
      <c r="CL116" s="53"/>
      <c r="CM116" s="53"/>
      <c r="CN116" s="53"/>
      <c r="CO116" s="53"/>
      <c r="CP116" s="53"/>
      <c r="CQ116" s="53"/>
      <c r="CR116" s="1"/>
      <c r="CS116" s="1"/>
      <c r="CT116" s="1"/>
      <c r="CU116" s="1"/>
    </row>
    <row r="117" spans="1:99" s="13" customFormat="1" ht="12" customHeight="1" x14ac:dyDescent="0.2">
      <c r="A117" s="65">
        <v>43916</v>
      </c>
      <c r="B117" s="1" t="s">
        <v>567</v>
      </c>
      <c r="C117" s="1" t="s">
        <v>45</v>
      </c>
      <c r="D117" s="60">
        <v>2020</v>
      </c>
      <c r="E117" s="76">
        <v>2</v>
      </c>
      <c r="F117" s="60">
        <v>68</v>
      </c>
      <c r="G117" s="60">
        <v>68</v>
      </c>
      <c r="H117" s="60" t="s">
        <v>43</v>
      </c>
      <c r="I117" s="60" t="s">
        <v>777</v>
      </c>
      <c r="J117" s="60" t="s">
        <v>764</v>
      </c>
      <c r="K117" s="60">
        <f>IF(J117="syllables",1,IF(J117="trigrams",2,IF(J117="strings",3,IF(J117="visual array",4,IF(J117="characters",5,IF(J117="letters",6,IF(J117="free forms",7,IF(J117="odors",8,IF(J117="words",9,IF(J117="pictures",10,IF(J117="object pictures",11,IF(J117="faces",12,IF(J117="names",13,IF(J117="idioms",14,IF(J117="grades",15,IF(J117="syllable-digit pairs",16,IF(J117="trigram-word pairs",17,IF(J117="word-digit pairs",18,IF(J117="English-Swahili pairs",19,IF(J117="spatial position",20,IF(J117="word pairs",21,IF(J117="word triads",22,IF(J117="generated words",23,IF(J117="word definition pairs",24,IF(J117="math problems",25,IF(J117="famous faces",26,IF(J117="famous names",27,IF(J117="famous voices",28,IF(J117="television programs",29,IF(J117="race horses",30,IF(J117="new vocabulary",31,IF(J117="sentences",32,IF(J117="concepts",33,IF(J117="ad slides",34,IF(J117="scenes",35,IF(J117="famous scenes",36,IF(J117="poems",37,IF(J117="walk",38,IF(J117="faces and events",39,IF(J117="events and names",40,IF(J117="flashbulb",41,IF(J117="stories",42,IF(J117="course material",43,IF(J117="autobiographical",44,IF(J117="novels",45,IF(J117="public events",46,"99"))))))))))))))))))))))))))))))))))))))))))))))</f>
        <v>4</v>
      </c>
      <c r="L117" s="60">
        <f>IF(J117="syllables",1,IF(J117="trigrams",1,IF(J117="strings",1,IF(J117="visual array",1,IF(J117="characters",1,IF(J117="letters",1,IF(J117="free forms",1,IF(J117="odors",2,IF(J117="words",2,IF(J117="pictures",2,IF(J117="object pictures",2,IF(J117="faces",2,IF(J117="names",2,IF(J117="idioms","2",IF(J117="grades",2,IF(J117="syllable-digit pairs",3,IF(J117="trigram-word pairs",3,IF(J117="word-digit pairs",3,IF(J117="English-Swahili pairs",3,IF(J117="spatial position",3,IF(J117="word pairs",4,IF(J117="word triads",4,IF(J117="generated words",4,IF(J117="word definition pairs",4,IF(J117="math problems",4,IF(J117="famous faces",4,IF(J117="famous names",4,IF(J117="famous voices",4,IF(J117="television programs",4,IF(J117="race horses",4,IF(J117="new vocabulary",4,IF(J117="sentences",5,IF(J117="concepts",5,IF(J117="ad slides",5,IF(J117="scenes",5,IF(J117="famous scenes",5,IF(J117="poems",6,IF(J117="walk",6,IF(J117="faces and events",6,IF(J117="events and names",6,IF(J117="flashbulb",7,IF(J117="stories",7,IF(J117="course material",7,IF(J117="autobiographical",7,IF(J117="novels",7,IF(J117="public events",7,"99"))))))))))))))))))))))))))))))))))))))))))))))</f>
        <v>1</v>
      </c>
      <c r="M117" s="60">
        <v>0</v>
      </c>
      <c r="N117" s="60">
        <v>1</v>
      </c>
      <c r="O117" s="60">
        <v>0</v>
      </c>
      <c r="P117" s="60"/>
      <c r="Q117" s="60" t="s">
        <v>174</v>
      </c>
      <c r="R117" s="60">
        <f>IF(Q117="Free Recall",1,IF(Q117="Cued Recall",2,IF(Q117="Recognition",3,IF(Q117="Multiple Choice",4,IF(Q117="Savings",5,IF(Q117="Stem Completion",6,IF(Q117="Fragment Completion",7,IF(Q117="anagram solution",8,IF(Q117="Matching",9,IF(Q117="Problem Solving",10,"99"))))))))))</f>
        <v>1</v>
      </c>
      <c r="S117" s="60" t="s">
        <v>49</v>
      </c>
      <c r="T117" s="59" t="s">
        <v>581</v>
      </c>
      <c r="U117" s="60">
        <f>IF(T117="within",1,0)</f>
        <v>1</v>
      </c>
      <c r="V117" s="59">
        <v>270</v>
      </c>
      <c r="W117" s="60">
        <f>F117*V117</f>
        <v>18360</v>
      </c>
      <c r="X117" s="60">
        <v>3</v>
      </c>
      <c r="Y117" s="76">
        <f>AV116</f>
        <v>1.5</v>
      </c>
      <c r="Z117" s="60" t="s">
        <v>39</v>
      </c>
      <c r="AA117" s="60">
        <v>6</v>
      </c>
      <c r="AB117" s="60" t="str">
        <f>IF(AA117&lt;60,"1",IF(AA117&lt;=43200,"2",IF(AA117&lt;=777600,"3","4")))</f>
        <v>1</v>
      </c>
      <c r="AC117" s="56">
        <f>AVERAGE(AV116:DA116)</f>
        <v>3.5</v>
      </c>
      <c r="AD117" s="60" t="str">
        <f>IF(AC117&lt;60,"1",IF(AC117&lt;=43200,"2",IF(AC117&lt;=777600,"3","4")))</f>
        <v>1</v>
      </c>
      <c r="AE117" s="76">
        <f>AA117-Y117</f>
        <v>4.5</v>
      </c>
      <c r="AF117" s="80">
        <f>AV117</f>
        <v>0.84</v>
      </c>
      <c r="AG117" s="56">
        <f>((AW117-AV117)+(AX117-AW117))/2</f>
        <v>-1.9999999999999962E-2</v>
      </c>
      <c r="AH117" s="4"/>
      <c r="AI117" s="56">
        <f>RSQ(AV117:AX117,AV116:AX116)</f>
        <v>0.79395604395604447</v>
      </c>
      <c r="AJ117" s="109">
        <f>SLOPE(AV117:AX117,AV116:AX116)</f>
        <v>-8.0952380952380807E-3</v>
      </c>
      <c r="AK117" s="56">
        <f>INTERCEPT(AV117:AX117,AV116:AX116)</f>
        <v>0.84500000000000008</v>
      </c>
      <c r="AL117" s="56">
        <f>INDEX(LINEST(LN(AV117:AX117),LN(AV116:AX116),TRUE,TRUE),3,1)</f>
        <v>0.92567943716399592</v>
      </c>
      <c r="AM117" s="56">
        <f>INDEX(LINEST(LN(AV117:AX117),LN(AV116:AX116)),1)</f>
        <v>-3.5194663945698895E-2</v>
      </c>
      <c r="AN117" s="56">
        <f>EXP(INDEX(LINEST(LN(AV117:AX117),LN(AV116:AX116)),1,2))</f>
        <v>0.84867918932877329</v>
      </c>
      <c r="AO117" s="82">
        <f>INDEX(LINEST((AV117:AX117),LN(AV116:AX116),TRUE,TRUE),3,1)</f>
        <v>0.92307692307692346</v>
      </c>
      <c r="AP117" s="82">
        <f>INDEX(LINEST((AV117:AX117),LN(AV116:AX116)),1)</f>
        <v>-2.8853900817779214E-2</v>
      </c>
      <c r="AQ117" s="83">
        <f>INDEX(LINEST(LN(AV117:AX117),SQRT(AV116:AX116),TRUE,TRUE),3,1)</f>
        <v>0.86594763495368066</v>
      </c>
      <c r="AR117" s="116">
        <f>INDEX(LINEST(LN(AV117:AX117),SQRT((AV116:AX116))),1)</f>
        <v>-3.834262159424006E-2</v>
      </c>
      <c r="AS117" s="84">
        <f>INDEX(LINEST(1/(AV117:AX117),1/(SQRT(AV116:AX116)),TRUE,TRUE),3,1)</f>
        <v>0.97057077609541664</v>
      </c>
      <c r="AT117" s="84">
        <f>INDEX(LINEST(1/(AV117:AX117),1/SQRT(AV116:AX116)),1)</f>
        <v>-0.14836205729382512</v>
      </c>
      <c r="AU117" s="3"/>
      <c r="AV117" s="53">
        <v>0.84</v>
      </c>
      <c r="AW117" s="53">
        <v>0.81</v>
      </c>
      <c r="AX117" s="53">
        <v>0.8</v>
      </c>
      <c r="AY117" s="53"/>
      <c r="AZ117" s="53"/>
      <c r="BA117" s="53"/>
      <c r="BB117" s="53"/>
      <c r="BC117" s="53"/>
      <c r="BD117" s="53"/>
      <c r="BE117" s="53"/>
      <c r="BF117" s="53"/>
      <c r="BG117" s="53"/>
      <c r="BH117" s="53"/>
      <c r="BI117" s="53"/>
      <c r="BJ117" s="53"/>
      <c r="BK117" s="53"/>
      <c r="BL117" s="53"/>
      <c r="BM117" s="53"/>
      <c r="BN117" s="53"/>
      <c r="BO117" s="53"/>
      <c r="BP117" s="53"/>
      <c r="BQ117" s="53"/>
      <c r="BR117" s="53"/>
      <c r="BS117" s="53"/>
      <c r="BT117" s="53"/>
      <c r="BU117" s="53"/>
      <c r="BV117" s="53"/>
      <c r="BW117" s="53"/>
      <c r="BX117" s="53"/>
      <c r="BY117" s="53"/>
      <c r="BZ117" s="53"/>
      <c r="CA117" s="53"/>
      <c r="CB117" s="53"/>
      <c r="CC117" s="53"/>
      <c r="CD117" s="53"/>
      <c r="CE117" s="53"/>
      <c r="CF117" s="53"/>
      <c r="CG117" s="53"/>
      <c r="CH117" s="53"/>
      <c r="CI117" s="53"/>
      <c r="CJ117" s="53"/>
      <c r="CK117" s="53"/>
      <c r="CL117" s="53"/>
      <c r="CM117" s="53"/>
      <c r="CN117" s="53"/>
      <c r="CO117" s="53"/>
      <c r="CP117" s="53"/>
      <c r="CQ117" s="53"/>
      <c r="CR117" s="1"/>
      <c r="CS117" s="1"/>
      <c r="CT117" s="1"/>
      <c r="CU117" s="1"/>
    </row>
    <row r="118" spans="1:99" s="13" customFormat="1" ht="12" customHeight="1" x14ac:dyDescent="0.2">
      <c r="A118" s="65">
        <v>43916</v>
      </c>
      <c r="B118" s="1"/>
      <c r="C118" s="1"/>
      <c r="D118" s="60"/>
      <c r="E118" s="76"/>
      <c r="F118" s="60"/>
      <c r="G118" s="60"/>
      <c r="H118" s="60"/>
      <c r="I118" s="60"/>
      <c r="J118" s="60"/>
      <c r="K118" s="64"/>
      <c r="L118" s="64"/>
      <c r="M118" s="60"/>
      <c r="N118" s="60"/>
      <c r="O118" s="60"/>
      <c r="P118" s="60"/>
      <c r="Q118" s="60"/>
      <c r="R118" s="60"/>
      <c r="S118" s="60"/>
      <c r="T118" s="59"/>
      <c r="U118" s="60"/>
      <c r="V118" s="59"/>
      <c r="W118" s="60"/>
      <c r="X118" s="60"/>
      <c r="Y118" s="76"/>
      <c r="Z118" s="60"/>
      <c r="AA118" s="60"/>
      <c r="AB118" s="60"/>
      <c r="AC118" s="60"/>
      <c r="AD118" s="60"/>
      <c r="AE118" s="60"/>
      <c r="AF118" s="80"/>
      <c r="AG118" s="56"/>
      <c r="AH118" s="4"/>
      <c r="AI118" s="56"/>
      <c r="AJ118" s="109"/>
      <c r="AK118" s="56"/>
      <c r="AL118" s="56"/>
      <c r="AM118" s="56"/>
      <c r="AN118" s="56"/>
      <c r="AO118" s="82"/>
      <c r="AP118" s="82"/>
      <c r="AQ118" s="82"/>
      <c r="AR118" s="115"/>
      <c r="AS118" s="82"/>
      <c r="AT118" s="82"/>
      <c r="AU118" s="3"/>
      <c r="AV118" s="54">
        <v>1.5</v>
      </c>
      <c r="AW118" s="25">
        <v>3</v>
      </c>
      <c r="AX118" s="25">
        <v>6</v>
      </c>
      <c r="AY118" s="53"/>
      <c r="AZ118" s="53"/>
      <c r="BA118" s="53"/>
      <c r="BB118" s="53"/>
      <c r="BC118" s="53"/>
      <c r="BD118" s="53"/>
      <c r="BE118" s="53"/>
      <c r="BF118" s="53"/>
      <c r="BG118" s="53"/>
      <c r="BH118" s="53"/>
      <c r="BI118" s="53"/>
      <c r="BJ118" s="53"/>
      <c r="BK118" s="53"/>
      <c r="BL118" s="53"/>
      <c r="BM118" s="53"/>
      <c r="BN118" s="53"/>
      <c r="BO118" s="53"/>
      <c r="BP118" s="53"/>
      <c r="BQ118" s="53"/>
      <c r="BR118" s="53"/>
      <c r="BS118" s="53"/>
      <c r="BT118" s="53"/>
      <c r="BU118" s="53"/>
      <c r="BV118" s="53"/>
      <c r="BW118" s="53"/>
      <c r="BX118" s="53"/>
      <c r="BY118" s="53"/>
      <c r="BZ118" s="53"/>
      <c r="CA118" s="53"/>
      <c r="CB118" s="53"/>
      <c r="CC118" s="53"/>
      <c r="CD118" s="53"/>
      <c r="CE118" s="53"/>
      <c r="CF118" s="53"/>
      <c r="CG118" s="53"/>
      <c r="CH118" s="53"/>
      <c r="CI118" s="53"/>
      <c r="CJ118" s="53"/>
      <c r="CK118" s="53"/>
      <c r="CL118" s="53"/>
      <c r="CM118" s="53"/>
      <c r="CN118" s="53"/>
      <c r="CO118" s="53"/>
      <c r="CP118" s="53"/>
      <c r="CQ118" s="53"/>
      <c r="CR118" s="1"/>
      <c r="CS118" s="1"/>
      <c r="CT118" s="1"/>
      <c r="CU118" s="1"/>
    </row>
    <row r="119" spans="1:99" s="13" customFormat="1" ht="12" customHeight="1" x14ac:dyDescent="0.2">
      <c r="A119" s="65">
        <v>43916</v>
      </c>
      <c r="B119" s="1" t="s">
        <v>567</v>
      </c>
      <c r="C119" s="1" t="s">
        <v>45</v>
      </c>
      <c r="D119" s="60">
        <v>2020</v>
      </c>
      <c r="E119" s="76">
        <v>3</v>
      </c>
      <c r="F119" s="60">
        <v>60</v>
      </c>
      <c r="G119" s="60">
        <v>60</v>
      </c>
      <c r="H119" s="60" t="s">
        <v>17</v>
      </c>
      <c r="I119" s="60" t="s">
        <v>778</v>
      </c>
      <c r="J119" s="60" t="s">
        <v>764</v>
      </c>
      <c r="K119" s="60">
        <f>IF(J119="syllables",1,IF(J119="trigrams",2,IF(J119="strings",3,IF(J119="visual array",4,IF(J119="characters",5,IF(J119="letters",6,IF(J119="free forms",7,IF(J119="odors",8,IF(J119="words",9,IF(J119="pictures",10,IF(J119="object pictures",11,IF(J119="faces",12,IF(J119="names",13,IF(J119="idioms",14,IF(J119="grades",15,IF(J119="syllable-digit pairs",16,IF(J119="trigram-word pairs",17,IF(J119="word-digit pairs",18,IF(J119="English-Swahili pairs",19,IF(J119="spatial position",20,IF(J119="word pairs",21,IF(J119="word triads",22,IF(J119="generated words",23,IF(J119="word definition pairs",24,IF(J119="math problems",25,IF(J119="famous faces",26,IF(J119="famous names",27,IF(J119="famous voices",28,IF(J119="television programs",29,IF(J119="race horses",30,IF(J119="new vocabulary",31,IF(J119="sentences",32,IF(J119="concepts",33,IF(J119="ad slides",34,IF(J119="scenes",35,IF(J119="famous scenes",36,IF(J119="poems",37,IF(J119="walk",38,IF(J119="faces and events",39,IF(J119="events and names",40,IF(J119="flashbulb",41,IF(J119="stories",42,IF(J119="course material",43,IF(J119="autobiographical",44,IF(J119="novels",45,IF(J119="public events",46,"99"))))))))))))))))))))))))))))))))))))))))))))))</f>
        <v>4</v>
      </c>
      <c r="L119" s="60">
        <f>IF(J119="syllables",1,IF(J119="trigrams",1,IF(J119="strings",1,IF(J119="visual array",1,IF(J119="characters",1,IF(J119="letters",1,IF(J119="free forms",1,IF(J119="odors",2,IF(J119="words",2,IF(J119="pictures",2,IF(J119="object pictures",2,IF(J119="faces",2,IF(J119="names",2,IF(J119="idioms","2",IF(J119="grades",2,IF(J119="syllable-digit pairs",3,IF(J119="trigram-word pairs",3,IF(J119="word-digit pairs",3,IF(J119="English-Swahili pairs",3,IF(J119="spatial position",3,IF(J119="word pairs",4,IF(J119="word triads",4,IF(J119="generated words",4,IF(J119="word definition pairs",4,IF(J119="math problems",4,IF(J119="famous faces",4,IF(J119="famous names",4,IF(J119="famous voices",4,IF(J119="television programs",4,IF(J119="race horses",4,IF(J119="new vocabulary",4,IF(J119="sentences",5,IF(J119="concepts",5,IF(J119="ad slides",5,IF(J119="scenes",5,IF(J119="famous scenes",5,IF(J119="poems",6,IF(J119="walk",6,IF(J119="faces and events",6,IF(J119="events and names",6,IF(J119="flashbulb",7,IF(J119="stories",7,IF(J119="course material",7,IF(J119="autobiographical",7,IF(J119="novels",7,IF(J119="public events",7,"99"))))))))))))))))))))))))))))))))))))))))))))))</f>
        <v>1</v>
      </c>
      <c r="M119" s="60">
        <v>0</v>
      </c>
      <c r="N119" s="60">
        <v>1</v>
      </c>
      <c r="O119" s="60">
        <v>0</v>
      </c>
      <c r="P119" s="60"/>
      <c r="Q119" s="60" t="s">
        <v>174</v>
      </c>
      <c r="R119" s="60">
        <f>IF(Q119="Free Recall",1,IF(Q119="Cued Recall",2,IF(Q119="Recognition",3,IF(Q119="Multiple Choice",4,IF(Q119="Savings",5,IF(Q119="Stem Completion",6,IF(Q119="Fragment Completion",7,IF(Q119="anagram solution",8,IF(Q119="Matching",9,IF(Q119="Problem Solving",10,"99"))))))))))</f>
        <v>1</v>
      </c>
      <c r="S119" s="60" t="s">
        <v>49</v>
      </c>
      <c r="T119" s="59" t="s">
        <v>581</v>
      </c>
      <c r="U119" s="60">
        <f>IF(T119="within",1,0)</f>
        <v>1</v>
      </c>
      <c r="V119" s="59">
        <v>270</v>
      </c>
      <c r="W119" s="60">
        <f>F119*V119</f>
        <v>16200</v>
      </c>
      <c r="X119" s="60">
        <v>3</v>
      </c>
      <c r="Y119" s="76">
        <f>AV118</f>
        <v>1.5</v>
      </c>
      <c r="Z119" s="60" t="s">
        <v>39</v>
      </c>
      <c r="AA119" s="60">
        <v>6</v>
      </c>
      <c r="AB119" s="60" t="str">
        <f>IF(AA119&lt;60,"1",IF(AA119&lt;=43200,"2",IF(AA119&lt;=777600,"3","4")))</f>
        <v>1</v>
      </c>
      <c r="AC119" s="56">
        <f>AVERAGE(AV118:DA118)</f>
        <v>3.5</v>
      </c>
      <c r="AD119" s="60" t="str">
        <f>IF(AC119&lt;60,"1",IF(AC119&lt;=43200,"2",IF(AC119&lt;=777600,"3","4")))</f>
        <v>1</v>
      </c>
      <c r="AE119" s="76">
        <f>AA119-Y119</f>
        <v>4.5</v>
      </c>
      <c r="AF119" s="80">
        <f>AV119</f>
        <v>0.81</v>
      </c>
      <c r="AG119" s="56">
        <f>((AW119-AV119)+(AX119-AW119))/2</f>
        <v>-2.0000000000000018E-2</v>
      </c>
      <c r="AH119" s="4"/>
      <c r="AI119" s="56">
        <f>RSQ(AV119:AX119,AV118:AX118)</f>
        <v>0.99175824175824201</v>
      </c>
      <c r="AJ119" s="109">
        <f>SLOPE(AV119:AX119,AV118:AX118)</f>
        <v>-9.0476190476190561E-3</v>
      </c>
      <c r="AK119" s="56">
        <f>INTERCEPT(AV119:AX119,AV118:AX118)</f>
        <v>0.82500000000000007</v>
      </c>
      <c r="AL119" s="56">
        <f>INDEX(LINEST(LN(AV119:AX119),LN(AV118:AX118),TRUE,TRUE),3,1)</f>
        <v>0.92038544489813334</v>
      </c>
      <c r="AM119" s="56">
        <f>INDEX(LINEST(LN(AV119:AX119),LN(AV118:AX118)),1)</f>
        <v>-3.6531731094861727E-2</v>
      </c>
      <c r="AN119" s="56">
        <f>EXP(INDEX(LINEST(LN(AV119:AX119),LN(AV118:AX118)),1,2))</f>
        <v>0.82562970345420061</v>
      </c>
      <c r="AO119" s="82">
        <f>INDEX(LINEST((AV119:AX119),LN(AV118:AX118),TRUE,TRUE),3,1)</f>
        <v>0.92307692307692302</v>
      </c>
      <c r="AP119" s="82">
        <f>INDEX(LINEST((AV119:AX119),LN(AV118:AX118)),1)</f>
        <v>-2.8853900817779287E-2</v>
      </c>
      <c r="AQ119" s="83">
        <f>INDEX(LINEST(LN(AV119:AX119),SQRT(AV118:AX118),TRUE,TRUE),3,1)</f>
        <v>0.96532342660798909</v>
      </c>
      <c r="AR119" s="116">
        <f>INDEX(LINEST(LN(AV119:AX119),SQRT((AV118:AX118))),1)</f>
        <v>-4.2141624974797023E-2</v>
      </c>
      <c r="AS119" s="84">
        <f>INDEX(LINEST(1/(AV119:AX119),1/(SQRT(AV118:AX118)),TRUE,TRUE),3,1)</f>
        <v>0.85564381045191074</v>
      </c>
      <c r="AT119" s="84">
        <f>INDEX(LINEST(1/(AV119:AX119),1/SQRT(AV118:AX118)),1)</f>
        <v>-0.15095225492712594</v>
      </c>
      <c r="AU119" s="3"/>
      <c r="AV119" s="53">
        <v>0.81</v>
      </c>
      <c r="AW119" s="53">
        <v>0.8</v>
      </c>
      <c r="AX119" s="53">
        <v>0.77</v>
      </c>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53"/>
      <c r="CD119" s="53"/>
      <c r="CE119" s="53"/>
      <c r="CF119" s="53"/>
      <c r="CG119" s="53"/>
      <c r="CH119" s="53"/>
      <c r="CI119" s="53"/>
      <c r="CJ119" s="53"/>
      <c r="CK119" s="53"/>
      <c r="CL119" s="53"/>
      <c r="CM119" s="53"/>
      <c r="CN119" s="53"/>
      <c r="CO119" s="53"/>
      <c r="CP119" s="53"/>
      <c r="CQ119" s="53"/>
      <c r="CR119" s="1"/>
      <c r="CS119" s="1"/>
      <c r="CT119" s="1"/>
      <c r="CU119" s="1"/>
    </row>
    <row r="120" spans="1:99" s="13" customFormat="1" ht="12" customHeight="1" x14ac:dyDescent="0.2">
      <c r="A120" s="65">
        <v>43916</v>
      </c>
      <c r="B120" s="1"/>
      <c r="C120" s="1"/>
      <c r="D120" s="60"/>
      <c r="E120" s="76"/>
      <c r="F120" s="60"/>
      <c r="G120" s="60"/>
      <c r="H120" s="60"/>
      <c r="I120" s="60"/>
      <c r="J120" s="60"/>
      <c r="K120" s="64"/>
      <c r="L120" s="64"/>
      <c r="M120" s="60"/>
      <c r="N120" s="60"/>
      <c r="O120" s="60"/>
      <c r="P120" s="60"/>
      <c r="Q120" s="60"/>
      <c r="R120" s="60"/>
      <c r="S120" s="60"/>
      <c r="T120" s="59"/>
      <c r="U120" s="60"/>
      <c r="V120" s="59"/>
      <c r="W120" s="60"/>
      <c r="X120" s="60"/>
      <c r="Y120" s="76"/>
      <c r="Z120" s="60"/>
      <c r="AA120" s="60"/>
      <c r="AB120" s="60"/>
      <c r="AC120" s="60"/>
      <c r="AD120" s="60"/>
      <c r="AE120" s="60"/>
      <c r="AF120" s="80"/>
      <c r="AG120" s="56"/>
      <c r="AH120" s="4"/>
      <c r="AI120" s="56"/>
      <c r="AJ120" s="109"/>
      <c r="AK120" s="56"/>
      <c r="AL120" s="56"/>
      <c r="AM120" s="56"/>
      <c r="AN120" s="56"/>
      <c r="AO120" s="82"/>
      <c r="AP120" s="82"/>
      <c r="AQ120" s="82"/>
      <c r="AR120" s="115"/>
      <c r="AS120" s="82"/>
      <c r="AT120" s="82"/>
      <c r="AU120" s="3"/>
      <c r="AV120" s="54">
        <v>1.5</v>
      </c>
      <c r="AW120" s="25">
        <v>3</v>
      </c>
      <c r="AX120" s="25">
        <v>6</v>
      </c>
      <c r="AY120" s="53"/>
      <c r="AZ120" s="53"/>
      <c r="BA120" s="53"/>
      <c r="BB120" s="53"/>
      <c r="BC120" s="53"/>
      <c r="BD120" s="53"/>
      <c r="BE120" s="53"/>
      <c r="BF120" s="53"/>
      <c r="BG120" s="53"/>
      <c r="BH120" s="53"/>
      <c r="BI120" s="53"/>
      <c r="BJ120" s="53"/>
      <c r="BK120" s="53"/>
      <c r="BL120" s="53"/>
      <c r="BM120" s="53"/>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53"/>
      <c r="CR120" s="1"/>
      <c r="CS120" s="1"/>
      <c r="CT120" s="1"/>
      <c r="CU120" s="1"/>
    </row>
    <row r="121" spans="1:99" s="13" customFormat="1" ht="12" customHeight="1" x14ac:dyDescent="0.2">
      <c r="A121" s="65">
        <v>43916</v>
      </c>
      <c r="B121" s="1" t="s">
        <v>567</v>
      </c>
      <c r="C121" s="1" t="s">
        <v>45</v>
      </c>
      <c r="D121" s="60">
        <v>2020</v>
      </c>
      <c r="E121" s="76">
        <v>3</v>
      </c>
      <c r="F121" s="60">
        <v>60</v>
      </c>
      <c r="G121" s="60">
        <v>60</v>
      </c>
      <c r="H121" s="60" t="s">
        <v>17</v>
      </c>
      <c r="I121" s="60" t="s">
        <v>779</v>
      </c>
      <c r="J121" s="60" t="s">
        <v>764</v>
      </c>
      <c r="K121" s="60">
        <f>IF(J121="syllables",1,IF(J121="trigrams",2,IF(J121="strings",3,IF(J121="visual array",4,IF(J121="characters",5,IF(J121="letters",6,IF(J121="free forms",7,IF(J121="odors",8,IF(J121="words",9,IF(J121="pictures",10,IF(J121="object pictures",11,IF(J121="faces",12,IF(J121="names",13,IF(J121="idioms",14,IF(J121="grades",15,IF(J121="syllable-digit pairs",16,IF(J121="trigram-word pairs",17,IF(J121="word-digit pairs",18,IF(J121="English-Swahili pairs",19,IF(J121="spatial position",20,IF(J121="word pairs",21,IF(J121="word triads",22,IF(J121="generated words",23,IF(J121="word definition pairs",24,IF(J121="math problems",25,IF(J121="famous faces",26,IF(J121="famous names",27,IF(J121="famous voices",28,IF(J121="television programs",29,IF(J121="race horses",30,IF(J121="new vocabulary",31,IF(J121="sentences",32,IF(J121="concepts",33,IF(J121="ad slides",34,IF(J121="scenes",35,IF(J121="famous scenes",36,IF(J121="poems",37,IF(J121="walk",38,IF(J121="faces and events",39,IF(J121="events and names",40,IF(J121="flashbulb",41,IF(J121="stories",42,IF(J121="course material",43,IF(J121="autobiographical",44,IF(J121="novels",45,IF(J121="public events",46,"99"))))))))))))))))))))))))))))))))))))))))))))))</f>
        <v>4</v>
      </c>
      <c r="L121" s="60">
        <f>IF(J121="syllables",1,IF(J121="trigrams",1,IF(J121="strings",1,IF(J121="visual array",1,IF(J121="characters",1,IF(J121="letters",1,IF(J121="free forms",1,IF(J121="odors",2,IF(J121="words",2,IF(J121="pictures",2,IF(J121="object pictures",2,IF(J121="faces",2,IF(J121="names",2,IF(J121="idioms","2",IF(J121="grades",2,IF(J121="syllable-digit pairs",3,IF(J121="trigram-word pairs",3,IF(J121="word-digit pairs",3,IF(J121="English-Swahili pairs",3,IF(J121="spatial position",3,IF(J121="word pairs",4,IF(J121="word triads",4,IF(J121="generated words",4,IF(J121="word definition pairs",4,IF(J121="math problems",4,IF(J121="famous faces",4,IF(J121="famous names",4,IF(J121="famous voices",4,IF(J121="television programs",4,IF(J121="race horses",4,IF(J121="new vocabulary",4,IF(J121="sentences",5,IF(J121="concepts",5,IF(J121="ad slides",5,IF(J121="scenes",5,IF(J121="famous scenes",5,IF(J121="poems",6,IF(J121="walk",6,IF(J121="faces and events",6,IF(J121="events and names",6,IF(J121="flashbulb",7,IF(J121="stories",7,IF(J121="course material",7,IF(J121="autobiographical",7,IF(J121="novels",7,IF(J121="public events",7,"99"))))))))))))))))))))))))))))))))))))))))))))))</f>
        <v>1</v>
      </c>
      <c r="M121" s="60">
        <v>0</v>
      </c>
      <c r="N121" s="60">
        <v>1</v>
      </c>
      <c r="O121" s="60">
        <v>0</v>
      </c>
      <c r="P121" s="60"/>
      <c r="Q121" s="60" t="s">
        <v>174</v>
      </c>
      <c r="R121" s="60">
        <f>IF(Q121="Free Recall",1,IF(Q121="Cued Recall",2,IF(Q121="Recognition",3,IF(Q121="Multiple Choice",4,IF(Q121="Savings",5,IF(Q121="Stem Completion",6,IF(Q121="Fragment Completion",7,IF(Q121="anagram solution",8,IF(Q121="Matching",9,IF(Q121="Problem Solving",10,"99"))))))))))</f>
        <v>1</v>
      </c>
      <c r="S121" s="60" t="s">
        <v>49</v>
      </c>
      <c r="T121" s="59" t="s">
        <v>581</v>
      </c>
      <c r="U121" s="60">
        <f>IF(T121="within",1,0)</f>
        <v>1</v>
      </c>
      <c r="V121" s="59">
        <v>270</v>
      </c>
      <c r="W121" s="60">
        <f>F121*V121</f>
        <v>16200</v>
      </c>
      <c r="X121" s="60">
        <v>3</v>
      </c>
      <c r="Y121" s="76">
        <f>AV120</f>
        <v>1.5</v>
      </c>
      <c r="Z121" s="60" t="s">
        <v>39</v>
      </c>
      <c r="AA121" s="60">
        <v>6</v>
      </c>
      <c r="AB121" s="60" t="str">
        <f>IF(AA121&lt;60,"1",IF(AA121&lt;=43200,"2",IF(AA121&lt;=777600,"3","4")))</f>
        <v>1</v>
      </c>
      <c r="AC121" s="56">
        <f>AVERAGE(AV120:DA120)</f>
        <v>3.5</v>
      </c>
      <c r="AD121" s="60" t="str">
        <f>IF(AC121&lt;60,"1",IF(AC121&lt;=43200,"2",IF(AC121&lt;=777600,"3","4")))</f>
        <v>1</v>
      </c>
      <c r="AE121" s="76">
        <f>AA121-Y121</f>
        <v>4.5</v>
      </c>
      <c r="AF121" s="80">
        <f>AV121</f>
        <v>0.76</v>
      </c>
      <c r="AG121" s="56">
        <f>((AW121-AV121)+(AX121-AW121))/2</f>
        <v>-2.0000000000000018E-2</v>
      </c>
      <c r="AH121" s="4"/>
      <c r="AI121" s="56">
        <f>RSQ(AV121:AX121,AV120:AX120)</f>
        <v>0.9642857142857143</v>
      </c>
      <c r="AJ121" s="109">
        <f>SLOPE(AV121:AX121,AV120:AX120)</f>
        <v>-8.5714285714285788E-3</v>
      </c>
      <c r="AK121" s="56">
        <f>INTERCEPT(AV121:AX121,AV120:AX120)</f>
        <v>0.76999999999999991</v>
      </c>
      <c r="AL121" s="56">
        <f>INDEX(LINEST(LN(AV121:AX121),LN(AV120:AX120),TRUE,TRUE),3,1)</f>
        <v>0.99993911719704365</v>
      </c>
      <c r="AM121" s="56">
        <f>INDEX(LINEST(LN(AV121:AX121),LN(AV120:AX120)),1)</f>
        <v>-3.9001256000636579E-2</v>
      </c>
      <c r="AN121" s="56">
        <f>EXP(INDEX(LINEST(LN(AV121:AX121),LN(AV120:AX120)),1,2))</f>
        <v>0.7722079427216203</v>
      </c>
      <c r="AO121" s="82">
        <f>INDEX(LINEST((AV121:AX121),LN(AV120:AX120),TRUE,TRUE),3,1)</f>
        <v>1</v>
      </c>
      <c r="AP121" s="82">
        <f>INDEX(LINEST((AV121:AX121),LN(AV120:AX120)),1)</f>
        <v>-2.8853900817779294E-2</v>
      </c>
      <c r="AQ121" s="83">
        <f>INDEX(LINEST(LN(AV121:AX121),SQRT(AV120:AX120),TRUE,TRUE),3,1)</f>
        <v>0.99175400626461163</v>
      </c>
      <c r="AR121" s="116">
        <f>INDEX(LINEST(LN(AV121:AX121),SQRT((AV120:AX120))),1)</f>
        <v>-4.3750525098747037E-2</v>
      </c>
      <c r="AS121" s="84">
        <f>INDEX(LINEST(1/(AV121:AX121),1/(SQRT(AV120:AX120)),TRUE,TRUE),3,1)</f>
        <v>0.98698361554790437</v>
      </c>
      <c r="AT121" s="84">
        <f>INDEX(LINEST(1/(AV121:AX121),1/SQRT(AV120:AX120)),1)</f>
        <v>-0.17704228740998887</v>
      </c>
      <c r="AU121" s="3"/>
      <c r="AV121" s="53">
        <v>0.76</v>
      </c>
      <c r="AW121" s="53">
        <v>0.74</v>
      </c>
      <c r="AX121" s="53">
        <v>0.72</v>
      </c>
      <c r="AY121" s="53"/>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c r="CO121" s="53"/>
      <c r="CP121" s="53"/>
      <c r="CQ121" s="53"/>
      <c r="CR121" s="1"/>
      <c r="CS121" s="1"/>
      <c r="CT121" s="1"/>
      <c r="CU121" s="1"/>
    </row>
    <row r="122" spans="1:99" s="13" customFormat="1" ht="12" customHeight="1" x14ac:dyDescent="0.2">
      <c r="A122" s="65">
        <v>43916</v>
      </c>
      <c r="B122" s="1"/>
      <c r="C122" s="1"/>
      <c r="D122" s="60"/>
      <c r="E122" s="76"/>
      <c r="F122" s="60"/>
      <c r="G122" s="60"/>
      <c r="H122" s="60"/>
      <c r="I122" s="60"/>
      <c r="J122" s="60"/>
      <c r="K122" s="64"/>
      <c r="L122" s="64"/>
      <c r="M122" s="60"/>
      <c r="N122" s="60"/>
      <c r="O122" s="60"/>
      <c r="P122" s="60"/>
      <c r="Q122" s="60"/>
      <c r="R122" s="60"/>
      <c r="S122" s="60"/>
      <c r="T122" s="59"/>
      <c r="U122" s="60"/>
      <c r="V122" s="59"/>
      <c r="W122" s="60"/>
      <c r="X122" s="60"/>
      <c r="Y122" s="76"/>
      <c r="Z122" s="60"/>
      <c r="AA122" s="60"/>
      <c r="AB122" s="60"/>
      <c r="AC122" s="60"/>
      <c r="AD122" s="60"/>
      <c r="AE122" s="60"/>
      <c r="AF122" s="80"/>
      <c r="AG122" s="56"/>
      <c r="AH122" s="4"/>
      <c r="AI122" s="56"/>
      <c r="AJ122" s="109"/>
      <c r="AK122" s="56"/>
      <c r="AL122" s="56"/>
      <c r="AM122" s="56"/>
      <c r="AN122" s="56"/>
      <c r="AO122" s="82"/>
      <c r="AP122" s="82"/>
      <c r="AQ122" s="82"/>
      <c r="AR122" s="115"/>
      <c r="AS122" s="82"/>
      <c r="AT122" s="82"/>
      <c r="AU122" s="3"/>
      <c r="AV122" s="54">
        <v>1.5</v>
      </c>
      <c r="AW122" s="25">
        <v>3</v>
      </c>
      <c r="AX122" s="25">
        <v>6</v>
      </c>
      <c r="AY122" s="53"/>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c r="CA122" s="53"/>
      <c r="CB122" s="53"/>
      <c r="CC122" s="53"/>
      <c r="CD122" s="53"/>
      <c r="CE122" s="53"/>
      <c r="CF122" s="53"/>
      <c r="CG122" s="53"/>
      <c r="CH122" s="53"/>
      <c r="CI122" s="53"/>
      <c r="CJ122" s="53"/>
      <c r="CK122" s="53"/>
      <c r="CL122" s="53"/>
      <c r="CM122" s="53"/>
      <c r="CN122" s="53"/>
      <c r="CO122" s="53"/>
      <c r="CP122" s="53"/>
      <c r="CQ122" s="53"/>
      <c r="CR122" s="1"/>
      <c r="CS122" s="1"/>
      <c r="CT122" s="1"/>
      <c r="CU122" s="1"/>
    </row>
    <row r="123" spans="1:99" s="13" customFormat="1" ht="12" customHeight="1" x14ac:dyDescent="0.2">
      <c r="A123" s="65">
        <v>43916</v>
      </c>
      <c r="B123" s="1" t="s">
        <v>567</v>
      </c>
      <c r="C123" s="1" t="s">
        <v>45</v>
      </c>
      <c r="D123" s="60">
        <v>2020</v>
      </c>
      <c r="E123" s="76">
        <v>4</v>
      </c>
      <c r="F123" s="60">
        <v>61</v>
      </c>
      <c r="G123" s="60">
        <v>61</v>
      </c>
      <c r="H123" s="60" t="s">
        <v>769</v>
      </c>
      <c r="I123" s="60" t="s">
        <v>780</v>
      </c>
      <c r="J123" s="60" t="s">
        <v>764</v>
      </c>
      <c r="K123" s="60">
        <f>IF(J123="syllables",1,IF(J123="trigrams",2,IF(J123="strings",3,IF(J123="visual array",4,IF(J123="characters",5,IF(J123="letters",6,IF(J123="free forms",7,IF(J123="odors",8,IF(J123="words",9,IF(J123="pictures",10,IF(J123="object pictures",11,IF(J123="faces",12,IF(J123="names",13,IF(J123="idioms",14,IF(J123="grades",15,IF(J123="syllable-digit pairs",16,IF(J123="trigram-word pairs",17,IF(J123="word-digit pairs",18,IF(J123="English-Swahili pairs",19,IF(J123="spatial position",20,IF(J123="word pairs",21,IF(J123="word triads",22,IF(J123="generated words",23,IF(J123="word definition pairs",24,IF(J123="math problems",25,IF(J123="famous faces",26,IF(J123="famous names",27,IF(J123="famous voices",28,IF(J123="television programs",29,IF(J123="race horses",30,IF(J123="new vocabulary",31,IF(J123="sentences",32,IF(J123="concepts",33,IF(J123="ad slides",34,IF(J123="scenes",35,IF(J123="famous scenes",36,IF(J123="poems",37,IF(J123="walk",38,IF(J123="faces and events",39,IF(J123="events and names",40,IF(J123="flashbulb",41,IF(J123="stories",42,IF(J123="course material",43,IF(J123="autobiographical",44,IF(J123="novels",45,IF(J123="public events",46,"99"))))))))))))))))))))))))))))))))))))))))))))))</f>
        <v>4</v>
      </c>
      <c r="L123" s="60">
        <f>IF(J123="syllables",1,IF(J123="trigrams",1,IF(J123="strings",1,IF(J123="visual array",1,IF(J123="characters",1,IF(J123="letters",1,IF(J123="free forms",1,IF(J123="odors",2,IF(J123="words",2,IF(J123="pictures",2,IF(J123="object pictures",2,IF(J123="faces",2,IF(J123="names",2,IF(J123="idioms","2",IF(J123="grades",2,IF(J123="syllable-digit pairs",3,IF(J123="trigram-word pairs",3,IF(J123="word-digit pairs",3,IF(J123="English-Swahili pairs",3,IF(J123="spatial position",3,IF(J123="word pairs",4,IF(J123="word triads",4,IF(J123="generated words",4,IF(J123="word definition pairs",4,IF(J123="math problems",4,IF(J123="famous faces",4,IF(J123="famous names",4,IF(J123="famous voices",4,IF(J123="television programs",4,IF(J123="race horses",4,IF(J123="new vocabulary",4,IF(J123="sentences",5,IF(J123="concepts",5,IF(J123="ad slides",5,IF(J123="scenes",5,IF(J123="famous scenes",5,IF(J123="poems",6,IF(J123="walk",6,IF(J123="faces and events",6,IF(J123="events and names",6,IF(J123="flashbulb",7,IF(J123="stories",7,IF(J123="course material",7,IF(J123="autobiographical",7,IF(J123="novels",7,IF(J123="public events",7,"99"))))))))))))))))))))))))))))))))))))))))))))))</f>
        <v>1</v>
      </c>
      <c r="M123" s="60">
        <v>0</v>
      </c>
      <c r="N123" s="60">
        <v>1</v>
      </c>
      <c r="O123" s="60">
        <v>0</v>
      </c>
      <c r="P123" s="60"/>
      <c r="Q123" s="60" t="s">
        <v>174</v>
      </c>
      <c r="R123" s="60">
        <f>IF(Q123="Free Recall",1,IF(Q123="Cued Recall",2,IF(Q123="Recognition",3,IF(Q123="Multiple Choice",4,IF(Q123="Savings",5,IF(Q123="Stem Completion",6,IF(Q123="Fragment Completion",7,IF(Q123="anagram solution",8,IF(Q123="Matching",9,IF(Q123="Problem Solving",10,"99"))))))))))</f>
        <v>1</v>
      </c>
      <c r="S123" s="60" t="s">
        <v>49</v>
      </c>
      <c r="T123" s="59" t="s">
        <v>581</v>
      </c>
      <c r="U123" s="60">
        <f>IF(T123="within",1,0)</f>
        <v>1</v>
      </c>
      <c r="V123" s="59">
        <v>108</v>
      </c>
      <c r="W123" s="60">
        <f>F123*V123</f>
        <v>6588</v>
      </c>
      <c r="X123" s="60">
        <v>3</v>
      </c>
      <c r="Y123" s="76">
        <f>AV122</f>
        <v>1.5</v>
      </c>
      <c r="Z123" s="60" t="s">
        <v>39</v>
      </c>
      <c r="AA123" s="60">
        <v>6</v>
      </c>
      <c r="AB123" s="60" t="str">
        <f>IF(AA123&lt;60,"1",IF(AA123&lt;=43200,"2",IF(AA123&lt;=777600,"3","4")))</f>
        <v>1</v>
      </c>
      <c r="AC123" s="56">
        <f>AVERAGE(AV122:DA122)</f>
        <v>3.5</v>
      </c>
      <c r="AD123" s="60" t="str">
        <f>IF(AC123&lt;60,"1",IF(AC123&lt;=43200,"2",IF(AC123&lt;=777600,"3","4")))</f>
        <v>1</v>
      </c>
      <c r="AE123" s="76">
        <f>AA123-Y123</f>
        <v>4.5</v>
      </c>
      <c r="AF123" s="80">
        <f>AV123</f>
        <v>0.86</v>
      </c>
      <c r="AG123" s="56">
        <f>((AW123-AV123)+(AX123-AW123))/2</f>
        <v>-2.0000000000000018E-2</v>
      </c>
      <c r="AH123" s="4"/>
      <c r="AI123" s="56">
        <f>RSQ(AV123:AX123,AV122:AX122)</f>
        <v>0.99175824175824201</v>
      </c>
      <c r="AJ123" s="109">
        <f>SLOPE(AV123:AX123,AV122:AX122)</f>
        <v>-9.0476190476190561E-3</v>
      </c>
      <c r="AK123" s="56">
        <f>INTERCEPT(AV123:AX123,AV122:AX122)</f>
        <v>0.875</v>
      </c>
      <c r="AL123" s="56">
        <f>INDEX(LINEST(LN(AV123:AX123),LN(AV122:AX122),TRUE,TRUE),3,1)</f>
        <v>0.92054537949852733</v>
      </c>
      <c r="AM123" s="56">
        <f>INDEX(LINEST(LN(AV123:AX123),LN(AV122:AX122)),1)</f>
        <v>-3.4356375042007142E-2</v>
      </c>
      <c r="AN123" s="56">
        <f>EXP(INDEX(LINEST(LN(AV123:AX123),LN(AV122:AX122)),1,2))</f>
        <v>0.87559357588932518</v>
      </c>
      <c r="AO123" s="82">
        <f>INDEX(LINEST((AV123:AX123),LN(AV122:AX122),TRUE,TRUE),3,1)</f>
        <v>0.92307692307692302</v>
      </c>
      <c r="AP123" s="82">
        <f>INDEX(LINEST((AV123:AX123),LN(AV122:AX122)),1)</f>
        <v>-2.8853900817779287E-2</v>
      </c>
      <c r="AQ123" s="83">
        <f>INDEX(LINEST(LN(AV123:AX123),SQRT(AV122:AX122),TRUE,TRUE),3,1)</f>
        <v>0.96543149249959659</v>
      </c>
      <c r="AR123" s="116">
        <f>INDEX(LINEST(LN(AV123:AX123),SQRT((AV122:AX122))),1)</f>
        <v>-3.963099154454184E-2</v>
      </c>
      <c r="AS123" s="84">
        <f>INDEX(LINEST(1/(AV123:AX123),1/(SQRT(AV122:AX122)),TRUE,TRUE),3,1)</f>
        <v>0.85605439037009823</v>
      </c>
      <c r="AT123" s="84">
        <f>INDEX(LINEST(1/(AV123:AX123),1/SQRT(AV122:AX122)),1)</f>
        <v>-0.1335153739721637</v>
      </c>
      <c r="AU123" s="3"/>
      <c r="AV123" s="53">
        <v>0.86</v>
      </c>
      <c r="AW123" s="53">
        <v>0.85</v>
      </c>
      <c r="AX123" s="53">
        <v>0.82</v>
      </c>
      <c r="AY123" s="53"/>
      <c r="AZ123" s="53"/>
      <c r="BA123" s="53"/>
      <c r="BB123" s="53"/>
      <c r="BC123" s="53"/>
      <c r="BD123" s="53"/>
      <c r="BE123" s="53"/>
      <c r="BF123" s="53"/>
      <c r="BG123" s="53"/>
      <c r="BH123" s="53"/>
      <c r="BI123" s="53"/>
      <c r="BJ123" s="53"/>
      <c r="BK123" s="53"/>
      <c r="BL123" s="53"/>
      <c r="BM123" s="53"/>
      <c r="BN123" s="53"/>
      <c r="BO123" s="53"/>
      <c r="BP123" s="53"/>
      <c r="BQ123" s="53"/>
      <c r="BR123" s="53"/>
      <c r="BS123" s="53"/>
      <c r="BT123" s="53"/>
      <c r="BU123" s="53"/>
      <c r="BV123" s="53"/>
      <c r="BW123" s="53"/>
      <c r="BX123" s="53"/>
      <c r="BY123" s="53"/>
      <c r="BZ123" s="53"/>
      <c r="CA123" s="53"/>
      <c r="CB123" s="53"/>
      <c r="CC123" s="53"/>
      <c r="CD123" s="53"/>
      <c r="CE123" s="53"/>
      <c r="CF123" s="53"/>
      <c r="CG123" s="53"/>
      <c r="CH123" s="53"/>
      <c r="CI123" s="53"/>
      <c r="CJ123" s="53"/>
      <c r="CK123" s="53"/>
      <c r="CL123" s="53"/>
      <c r="CM123" s="53"/>
      <c r="CN123" s="53"/>
      <c r="CO123" s="53"/>
      <c r="CP123" s="53"/>
      <c r="CQ123" s="53"/>
      <c r="CR123" s="1"/>
      <c r="CS123" s="1"/>
      <c r="CT123" s="1"/>
      <c r="CU123" s="1"/>
    </row>
    <row r="124" spans="1:99" s="13" customFormat="1" ht="12" customHeight="1" x14ac:dyDescent="0.2">
      <c r="A124" s="65">
        <v>43916</v>
      </c>
      <c r="B124" s="1"/>
      <c r="C124" s="1"/>
      <c r="D124" s="60"/>
      <c r="E124" s="76"/>
      <c r="F124" s="60"/>
      <c r="G124" s="60"/>
      <c r="H124" s="60"/>
      <c r="I124" s="60"/>
      <c r="J124" s="60"/>
      <c r="K124" s="64"/>
      <c r="L124" s="64"/>
      <c r="M124" s="60"/>
      <c r="N124" s="60"/>
      <c r="O124" s="60"/>
      <c r="P124" s="60"/>
      <c r="Q124" s="60"/>
      <c r="R124" s="60"/>
      <c r="S124" s="60"/>
      <c r="T124" s="59"/>
      <c r="U124" s="60"/>
      <c r="V124" s="59"/>
      <c r="W124" s="60"/>
      <c r="X124" s="60"/>
      <c r="Y124" s="76"/>
      <c r="Z124" s="60"/>
      <c r="AA124" s="60"/>
      <c r="AB124" s="60"/>
      <c r="AC124" s="60"/>
      <c r="AD124" s="60"/>
      <c r="AE124" s="60"/>
      <c r="AF124" s="80"/>
      <c r="AG124" s="56"/>
      <c r="AH124" s="4"/>
      <c r="AI124" s="56"/>
      <c r="AJ124" s="109"/>
      <c r="AK124" s="56"/>
      <c r="AL124" s="56"/>
      <c r="AM124" s="56"/>
      <c r="AN124" s="56"/>
      <c r="AO124" s="82"/>
      <c r="AP124" s="82"/>
      <c r="AQ124" s="82"/>
      <c r="AR124" s="115"/>
      <c r="AS124" s="82"/>
      <c r="AT124" s="82"/>
      <c r="AU124" s="3"/>
      <c r="AV124" s="54">
        <v>1.5</v>
      </c>
      <c r="AW124" s="25">
        <v>3</v>
      </c>
      <c r="AX124" s="25">
        <v>6</v>
      </c>
      <c r="AY124" s="53"/>
      <c r="AZ124" s="53"/>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c r="BY124" s="53"/>
      <c r="BZ124" s="53"/>
      <c r="CA124" s="53"/>
      <c r="CB124" s="53"/>
      <c r="CC124" s="53"/>
      <c r="CD124" s="53"/>
      <c r="CE124" s="53"/>
      <c r="CF124" s="53"/>
      <c r="CG124" s="53"/>
      <c r="CH124" s="53"/>
      <c r="CI124" s="53"/>
      <c r="CJ124" s="53"/>
      <c r="CK124" s="53"/>
      <c r="CL124" s="53"/>
      <c r="CM124" s="53"/>
      <c r="CN124" s="53"/>
      <c r="CO124" s="53"/>
      <c r="CP124" s="53"/>
      <c r="CQ124" s="53"/>
      <c r="CR124" s="1"/>
      <c r="CS124" s="1"/>
      <c r="CT124" s="1"/>
      <c r="CU124" s="1"/>
    </row>
    <row r="125" spans="1:99" s="13" customFormat="1" ht="12" customHeight="1" x14ac:dyDescent="0.2">
      <c r="A125" s="65">
        <v>43916</v>
      </c>
      <c r="B125" s="1" t="s">
        <v>567</v>
      </c>
      <c r="C125" s="1" t="s">
        <v>45</v>
      </c>
      <c r="D125" s="60">
        <v>2020</v>
      </c>
      <c r="E125" s="76">
        <v>4</v>
      </c>
      <c r="F125" s="60">
        <v>61</v>
      </c>
      <c r="G125" s="60">
        <v>61</v>
      </c>
      <c r="H125" s="60" t="s">
        <v>769</v>
      </c>
      <c r="I125" s="60" t="s">
        <v>781</v>
      </c>
      <c r="J125" s="60" t="s">
        <v>764</v>
      </c>
      <c r="K125" s="60">
        <f>IF(J125="syllables",1,IF(J125="trigrams",2,IF(J125="strings",3,IF(J125="visual array",4,IF(J125="characters",5,IF(J125="letters",6,IF(J125="free forms",7,IF(J125="odors",8,IF(J125="words",9,IF(J125="pictures",10,IF(J125="object pictures",11,IF(J125="faces",12,IF(J125="names",13,IF(J125="idioms",14,IF(J125="grades",15,IF(J125="syllable-digit pairs",16,IF(J125="trigram-word pairs",17,IF(J125="word-digit pairs",18,IF(J125="English-Swahili pairs",19,IF(J125="spatial position",20,IF(J125="word pairs",21,IF(J125="word triads",22,IF(J125="generated words",23,IF(J125="word definition pairs",24,IF(J125="math problems",25,IF(J125="famous faces",26,IF(J125="famous names",27,IF(J125="famous voices",28,IF(J125="television programs",29,IF(J125="race horses",30,IF(J125="new vocabulary",31,IF(J125="sentences",32,IF(J125="concepts",33,IF(J125="ad slides",34,IF(J125="scenes",35,IF(J125="famous scenes",36,IF(J125="poems",37,IF(J125="walk",38,IF(J125="faces and events",39,IF(J125="events and names",40,IF(J125="flashbulb",41,IF(J125="stories",42,IF(J125="course material",43,IF(J125="autobiographical",44,IF(J125="novels",45,IF(J125="public events",46,"99"))))))))))))))))))))))))))))))))))))))))))))))</f>
        <v>4</v>
      </c>
      <c r="L125" s="60">
        <f>IF(J125="syllables",1,IF(J125="trigrams",1,IF(J125="strings",1,IF(J125="visual array",1,IF(J125="characters",1,IF(J125="letters",1,IF(J125="free forms",1,IF(J125="odors",2,IF(J125="words",2,IF(J125="pictures",2,IF(J125="object pictures",2,IF(J125="faces",2,IF(J125="names",2,IF(J125="idioms","2",IF(J125="grades",2,IF(J125="syllable-digit pairs",3,IF(J125="trigram-word pairs",3,IF(J125="word-digit pairs",3,IF(J125="English-Swahili pairs",3,IF(J125="spatial position",3,IF(J125="word pairs",4,IF(J125="word triads",4,IF(J125="generated words",4,IF(J125="word definition pairs",4,IF(J125="math problems",4,IF(J125="famous faces",4,IF(J125="famous names",4,IF(J125="famous voices",4,IF(J125="television programs",4,IF(J125="race horses",4,IF(J125="new vocabulary",4,IF(J125="sentences",5,IF(J125="concepts",5,IF(J125="ad slides",5,IF(J125="scenes",5,IF(J125="famous scenes",5,IF(J125="poems",6,IF(J125="walk",6,IF(J125="faces and events",6,IF(J125="events and names",6,IF(J125="flashbulb",7,IF(J125="stories",7,IF(J125="course material",7,IF(J125="autobiographical",7,IF(J125="novels",7,IF(J125="public events",7,"99"))))))))))))))))))))))))))))))))))))))))))))))</f>
        <v>1</v>
      </c>
      <c r="M125" s="60">
        <v>0</v>
      </c>
      <c r="N125" s="60">
        <v>1</v>
      </c>
      <c r="O125" s="60">
        <v>0</v>
      </c>
      <c r="P125" s="60"/>
      <c r="Q125" s="60" t="s">
        <v>174</v>
      </c>
      <c r="R125" s="60">
        <f>IF(Q125="Free Recall",1,IF(Q125="Cued Recall",2,IF(Q125="Recognition",3,IF(Q125="Multiple Choice",4,IF(Q125="Savings",5,IF(Q125="Stem Completion",6,IF(Q125="Fragment Completion",7,IF(Q125="anagram solution",8,IF(Q125="Matching",9,IF(Q125="Problem Solving",10,"99"))))))))))</f>
        <v>1</v>
      </c>
      <c r="S125" s="60" t="s">
        <v>49</v>
      </c>
      <c r="T125" s="59" t="s">
        <v>581</v>
      </c>
      <c r="U125" s="60">
        <f>IF(T125="within",1,0)</f>
        <v>1</v>
      </c>
      <c r="V125" s="59">
        <v>108</v>
      </c>
      <c r="W125" s="60">
        <f>F125*V125</f>
        <v>6588</v>
      </c>
      <c r="X125" s="60">
        <v>3</v>
      </c>
      <c r="Y125" s="76">
        <f>AV124</f>
        <v>1.5</v>
      </c>
      <c r="Z125" s="60" t="s">
        <v>39</v>
      </c>
      <c r="AA125" s="60">
        <v>6</v>
      </c>
      <c r="AB125" s="60" t="str">
        <f>IF(AA125&lt;60,"1",IF(AA125&lt;=43200,"2",IF(AA125&lt;=777600,"3","4")))</f>
        <v>1</v>
      </c>
      <c r="AC125" s="56">
        <f>AVERAGE(AV124:DA124)</f>
        <v>3.5</v>
      </c>
      <c r="AD125" s="60" t="str">
        <f>IF(AC125&lt;60,"1",IF(AC125&lt;=43200,"2",IF(AC125&lt;=777600,"3","4")))</f>
        <v>1</v>
      </c>
      <c r="AE125" s="76">
        <f>AA125-Y125</f>
        <v>4.5</v>
      </c>
      <c r="AF125" s="80">
        <f>AV125</f>
        <v>0.84</v>
      </c>
      <c r="AG125" s="56">
        <f>((AW125-AV125)+(AX125-AW125))/2</f>
        <v>-1.4999999999999958E-2</v>
      </c>
      <c r="AH125" s="4"/>
      <c r="AI125" s="56">
        <f>RSQ(AV125:AX125,AV124:AX124)</f>
        <v>0.86224489795918191</v>
      </c>
      <c r="AJ125" s="109">
        <f>SLOPE(AV125:AX125,AV124:AX124)</f>
        <v>-6.1904761904761699E-3</v>
      </c>
      <c r="AK125" s="56">
        <f>INTERCEPT(AV125:AX125,AV124:AX124)</f>
        <v>0.84499999999999986</v>
      </c>
      <c r="AL125" s="56">
        <f>INDEX(LINEST(LN(AV125:AX125),LN(AV124:AX124),TRUE,TRUE),3,1)</f>
        <v>0.96594478619912927</v>
      </c>
      <c r="AM125" s="56">
        <f>INDEX(LINEST(LN(AV125:AX125),LN(AV124:AX124)),1)</f>
        <v>-2.6233709947067696E-2</v>
      </c>
      <c r="AN125" s="56">
        <f>EXP(INDEX(LINEST(LN(AV125:AX125),LN(AV124:AX124)),1,2))</f>
        <v>0.84731074341537937</v>
      </c>
      <c r="AO125" s="82">
        <f>INDEX(LINEST((AV125:AX125),LN(AV124:AX124),TRUE,TRUE),3,1)</f>
        <v>0.9642857142857133</v>
      </c>
      <c r="AP125" s="82">
        <f>INDEX(LINEST((AV125:AX125),LN(AV124:AX124)),1)</f>
        <v>-2.1640425613334388E-2</v>
      </c>
      <c r="AQ125" s="83">
        <f>INDEX(LINEST(LN(AV125:AX125),SQRT(AV124:AX124),TRUE,TRUE),3,1)</f>
        <v>0.92130633053061517</v>
      </c>
      <c r="AR125" s="116">
        <f>INDEX(LINEST(LN(AV125:AX125),SQRT((AV124:AX124))),1)</f>
        <v>-2.8858586976777168E-2</v>
      </c>
      <c r="AS125" s="84">
        <f>INDEX(LINEST(1/(AV125:AX125),1/(SQRT(AV124:AX124)),TRUE,TRUE),3,1)</f>
        <v>0.9932383863788854</v>
      </c>
      <c r="AT125" s="84">
        <f>INDEX(LINEST(1/(AV125:AX125),1/SQRT(AV124:AX124)),1)</f>
        <v>-0.10889217912792264</v>
      </c>
      <c r="AU125" s="3"/>
      <c r="AV125" s="53">
        <v>0.84</v>
      </c>
      <c r="AW125" s="53">
        <v>0.82</v>
      </c>
      <c r="AX125" s="53">
        <v>0.81</v>
      </c>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53"/>
      <c r="CD125" s="53"/>
      <c r="CE125" s="53"/>
      <c r="CF125" s="53"/>
      <c r="CG125" s="53"/>
      <c r="CH125" s="53"/>
      <c r="CI125" s="53"/>
      <c r="CJ125" s="53"/>
      <c r="CK125" s="53"/>
      <c r="CL125" s="53"/>
      <c r="CM125" s="53"/>
      <c r="CN125" s="53"/>
      <c r="CO125" s="53"/>
      <c r="CP125" s="53"/>
      <c r="CQ125" s="53"/>
      <c r="CR125" s="1"/>
      <c r="CS125" s="1"/>
      <c r="CT125" s="1"/>
      <c r="CU125" s="1"/>
    </row>
    <row r="126" spans="1:99" s="13" customFormat="1" ht="12" customHeight="1" x14ac:dyDescent="0.2">
      <c r="A126" s="65">
        <v>43916</v>
      </c>
      <c r="B126" s="1"/>
      <c r="C126" s="1"/>
      <c r="D126" s="60"/>
      <c r="E126" s="76"/>
      <c r="F126" s="60"/>
      <c r="G126" s="60"/>
      <c r="H126" s="60"/>
      <c r="I126" s="60"/>
      <c r="J126" s="60"/>
      <c r="K126" s="64"/>
      <c r="L126" s="64"/>
      <c r="M126" s="60"/>
      <c r="N126" s="60"/>
      <c r="O126" s="60"/>
      <c r="P126" s="60"/>
      <c r="Q126" s="60"/>
      <c r="R126" s="60"/>
      <c r="S126" s="60"/>
      <c r="T126" s="59"/>
      <c r="U126" s="60"/>
      <c r="V126" s="59"/>
      <c r="W126" s="60"/>
      <c r="X126" s="60"/>
      <c r="Y126" s="76"/>
      <c r="Z126" s="60"/>
      <c r="AA126" s="60"/>
      <c r="AB126" s="60"/>
      <c r="AC126" s="60"/>
      <c r="AD126" s="60"/>
      <c r="AE126" s="60"/>
      <c r="AF126" s="80"/>
      <c r="AG126" s="56"/>
      <c r="AH126" s="4"/>
      <c r="AI126" s="56"/>
      <c r="AJ126" s="109"/>
      <c r="AK126" s="56"/>
      <c r="AL126" s="56"/>
      <c r="AM126" s="56"/>
      <c r="AN126" s="56"/>
      <c r="AO126" s="82"/>
      <c r="AP126" s="82"/>
      <c r="AQ126" s="82"/>
      <c r="AR126" s="115"/>
      <c r="AS126" s="82"/>
      <c r="AT126" s="82"/>
      <c r="AU126" s="3"/>
      <c r="AV126" s="54">
        <v>1.5</v>
      </c>
      <c r="AW126" s="25">
        <v>3</v>
      </c>
      <c r="AX126" s="25">
        <v>6</v>
      </c>
      <c r="AY126" s="53"/>
      <c r="AZ126" s="53"/>
      <c r="BA126" s="53"/>
      <c r="BB126" s="53"/>
      <c r="BC126" s="53"/>
      <c r="BD126" s="53"/>
      <c r="BE126" s="53"/>
      <c r="BF126" s="53"/>
      <c r="BG126" s="53"/>
      <c r="BH126" s="53"/>
      <c r="BI126" s="53"/>
      <c r="BJ126" s="53"/>
      <c r="BK126" s="53"/>
      <c r="BL126" s="53"/>
      <c r="BM126" s="53"/>
      <c r="BN126" s="53"/>
      <c r="BO126" s="53"/>
      <c r="BP126" s="53"/>
      <c r="BQ126" s="53"/>
      <c r="BR126" s="53"/>
      <c r="BS126" s="53"/>
      <c r="BT126" s="53"/>
      <c r="BU126" s="53"/>
      <c r="BV126" s="53"/>
      <c r="BW126" s="53"/>
      <c r="BX126" s="53"/>
      <c r="BY126" s="53"/>
      <c r="BZ126" s="53"/>
      <c r="CA126" s="53"/>
      <c r="CB126" s="53"/>
      <c r="CC126" s="53"/>
      <c r="CD126" s="53"/>
      <c r="CE126" s="53"/>
      <c r="CF126" s="53"/>
      <c r="CG126" s="53"/>
      <c r="CH126" s="53"/>
      <c r="CI126" s="53"/>
      <c r="CJ126" s="53"/>
      <c r="CK126" s="53"/>
      <c r="CL126" s="53"/>
      <c r="CM126" s="53"/>
      <c r="CN126" s="53"/>
      <c r="CO126" s="53"/>
      <c r="CP126" s="53"/>
      <c r="CQ126" s="53"/>
      <c r="CR126" s="1"/>
      <c r="CS126" s="1"/>
      <c r="CT126" s="1"/>
      <c r="CU126" s="1"/>
    </row>
    <row r="127" spans="1:99" s="13" customFormat="1" ht="12" customHeight="1" x14ac:dyDescent="0.2">
      <c r="A127" s="65">
        <v>43916</v>
      </c>
      <c r="B127" s="1" t="s">
        <v>567</v>
      </c>
      <c r="C127" s="1" t="s">
        <v>45</v>
      </c>
      <c r="D127" s="60">
        <v>2020</v>
      </c>
      <c r="E127" s="76">
        <v>4</v>
      </c>
      <c r="F127" s="60">
        <v>61</v>
      </c>
      <c r="G127" s="60">
        <v>61</v>
      </c>
      <c r="H127" s="60" t="s">
        <v>769</v>
      </c>
      <c r="I127" s="60" t="s">
        <v>782</v>
      </c>
      <c r="J127" s="60" t="s">
        <v>764</v>
      </c>
      <c r="K127" s="60">
        <f>IF(J127="syllables",1,IF(J127="trigrams",2,IF(J127="strings",3,IF(J127="visual array",4,IF(J127="characters",5,IF(J127="letters",6,IF(J127="free forms",7,IF(J127="odors",8,IF(J127="words",9,IF(J127="pictures",10,IF(J127="object pictures",11,IF(J127="faces",12,IF(J127="names",13,IF(J127="idioms",14,IF(J127="grades",15,IF(J127="syllable-digit pairs",16,IF(J127="trigram-word pairs",17,IF(J127="word-digit pairs",18,IF(J127="English-Swahili pairs",19,IF(J127="spatial position",20,IF(J127="word pairs",21,IF(J127="word triads",22,IF(J127="generated words",23,IF(J127="word definition pairs",24,IF(J127="math problems",25,IF(J127="famous faces",26,IF(J127="famous names",27,IF(J127="famous voices",28,IF(J127="television programs",29,IF(J127="race horses",30,IF(J127="new vocabulary",31,IF(J127="sentences",32,IF(J127="concepts",33,IF(J127="ad slides",34,IF(J127="scenes",35,IF(J127="famous scenes",36,IF(J127="poems",37,IF(J127="walk",38,IF(J127="faces and events",39,IF(J127="events and names",40,IF(J127="flashbulb",41,IF(J127="stories",42,IF(J127="course material",43,IF(J127="autobiographical",44,IF(J127="novels",45,IF(J127="public events",46,"99"))))))))))))))))))))))))))))))))))))))))))))))</f>
        <v>4</v>
      </c>
      <c r="L127" s="60">
        <f>IF(J127="syllables",1,IF(J127="trigrams",1,IF(J127="strings",1,IF(J127="visual array",1,IF(J127="characters",1,IF(J127="letters",1,IF(J127="free forms",1,IF(J127="odors",2,IF(J127="words",2,IF(J127="pictures",2,IF(J127="object pictures",2,IF(J127="faces",2,IF(J127="names",2,IF(J127="idioms","2",IF(J127="grades",2,IF(J127="syllable-digit pairs",3,IF(J127="trigram-word pairs",3,IF(J127="word-digit pairs",3,IF(J127="English-Swahili pairs",3,IF(J127="spatial position",3,IF(J127="word pairs",4,IF(J127="word triads",4,IF(J127="generated words",4,IF(J127="word definition pairs",4,IF(J127="math problems",4,IF(J127="famous faces",4,IF(J127="famous names",4,IF(J127="famous voices",4,IF(J127="television programs",4,IF(J127="race horses",4,IF(J127="new vocabulary",4,IF(J127="sentences",5,IF(J127="concepts",5,IF(J127="ad slides",5,IF(J127="scenes",5,IF(J127="famous scenes",5,IF(J127="poems",6,IF(J127="walk",6,IF(J127="faces and events",6,IF(J127="events and names",6,IF(J127="flashbulb",7,IF(J127="stories",7,IF(J127="course material",7,IF(J127="autobiographical",7,IF(J127="novels",7,IF(J127="public events",7,"99"))))))))))))))))))))))))))))))))))))))))))))))</f>
        <v>1</v>
      </c>
      <c r="M127" s="60">
        <v>0</v>
      </c>
      <c r="N127" s="60">
        <v>1</v>
      </c>
      <c r="O127" s="60">
        <v>0</v>
      </c>
      <c r="P127" s="60"/>
      <c r="Q127" s="60" t="s">
        <v>174</v>
      </c>
      <c r="R127" s="60">
        <f>IF(Q127="Free Recall",1,IF(Q127="Cued Recall",2,IF(Q127="Recognition",3,IF(Q127="Multiple Choice",4,IF(Q127="Savings",5,IF(Q127="Stem Completion",6,IF(Q127="Fragment Completion",7,IF(Q127="anagram solution",8,IF(Q127="Matching",9,IF(Q127="Problem Solving",10,"99"))))))))))</f>
        <v>1</v>
      </c>
      <c r="S127" s="60" t="s">
        <v>49</v>
      </c>
      <c r="T127" s="59" t="s">
        <v>581</v>
      </c>
      <c r="U127" s="60">
        <f>IF(T127="within",1,0)</f>
        <v>1</v>
      </c>
      <c r="V127" s="59">
        <v>108</v>
      </c>
      <c r="W127" s="60">
        <f>F127*V127</f>
        <v>6588</v>
      </c>
      <c r="X127" s="60">
        <v>3</v>
      </c>
      <c r="Y127" s="76">
        <f>AV126</f>
        <v>1.5</v>
      </c>
      <c r="Z127" s="60" t="s">
        <v>39</v>
      </c>
      <c r="AA127" s="60">
        <v>6</v>
      </c>
      <c r="AB127" s="60" t="str">
        <f>IF(AA127&lt;60,"1",IF(AA127&lt;=43200,"2",IF(AA127&lt;=777600,"3","4")))</f>
        <v>1</v>
      </c>
      <c r="AC127" s="56">
        <f>AVERAGE(AV126:DA126)</f>
        <v>3.5</v>
      </c>
      <c r="AD127" s="60" t="str">
        <f>IF(AC127&lt;60,"1",IF(AC127&lt;=43200,"2",IF(AC127&lt;=777600,"3","4")))</f>
        <v>1</v>
      </c>
      <c r="AE127" s="76">
        <f>AA127-Y127</f>
        <v>4.5</v>
      </c>
      <c r="AF127" s="80">
        <f>AV127</f>
        <v>0.66</v>
      </c>
      <c r="AG127" s="56">
        <f>((AW127-AV127)+(AX127-AW127))/2</f>
        <v>-1.0000000000000009E-2</v>
      </c>
      <c r="AH127" s="4"/>
      <c r="AI127" s="56">
        <f>RSQ(AV127:AX127,AV126:AX126)</f>
        <v>0.9642857142857143</v>
      </c>
      <c r="AJ127" s="109">
        <f>SLOPE(AV127:AX127,AV126:AX126)</f>
        <v>-4.2857142857142894E-3</v>
      </c>
      <c r="AK127" s="56">
        <f>INTERCEPT(AV127:AX127,AV126:AX126)</f>
        <v>0.66500000000000004</v>
      </c>
      <c r="AL127" s="56">
        <f>INDEX(LINEST(LN(AV127:AX127),LN(AV126:AX126),TRUE,TRUE),3,1)</f>
        <v>0.9999802749668808</v>
      </c>
      <c r="AM127" s="56">
        <f>INDEX(LINEST(LN(AV127:AX127),LN(AV126:AX126)),1)</f>
        <v>-2.2197059679226718E-2</v>
      </c>
      <c r="AN127" s="56">
        <f>EXP(INDEX(LINEST(LN(AV127:AX127),LN(AV126:AX126)),1,2))</f>
        <v>0.66599317359057342</v>
      </c>
      <c r="AO127" s="82">
        <f>INDEX(LINEST((AV127:AX127),LN(AV126:AX126),TRUE,TRUE),3,1)</f>
        <v>1</v>
      </c>
      <c r="AP127" s="82">
        <f>INDEX(LINEST((AV127:AX127),LN(AV126:AX126)),1)</f>
        <v>-1.4426950408889647E-2</v>
      </c>
      <c r="AQ127" s="83">
        <f>INDEX(LINEST(LN(AV127:AX127),SQRT(AV126:AX126),TRUE,TRUE),3,1)</f>
        <v>0.99113491748587934</v>
      </c>
      <c r="AR127" s="116">
        <f>INDEX(LINEST(LN(AV127:AX127),SQRT((AV126:AX126))),1)</f>
        <v>-2.4891759431551724E-2</v>
      </c>
      <c r="AS127" s="84">
        <f>INDEX(LINEST(1/(AV127:AX127),1/(SQRT(AV126:AX126)),TRUE,TRUE),3,1)</f>
        <v>0.98846308968290686</v>
      </c>
      <c r="AT127" s="84">
        <f>INDEX(LINEST(1/(AV127:AX127),1/SQRT(AV126:AX126)),1)</f>
        <v>-0.11475159154532899</v>
      </c>
      <c r="AU127" s="3"/>
      <c r="AV127" s="53">
        <v>0.66</v>
      </c>
      <c r="AW127" s="53">
        <v>0.65</v>
      </c>
      <c r="AX127" s="53">
        <v>0.64</v>
      </c>
      <c r="AY127" s="53"/>
      <c r="AZ127" s="53"/>
      <c r="BA127" s="53"/>
      <c r="BB127" s="53"/>
      <c r="BC127" s="53"/>
      <c r="BD127" s="53"/>
      <c r="BE127" s="53"/>
      <c r="BF127" s="53"/>
      <c r="BG127" s="53"/>
      <c r="BH127" s="53"/>
      <c r="BI127" s="53"/>
      <c r="BJ127" s="53"/>
      <c r="BK127" s="53"/>
      <c r="BL127" s="53"/>
      <c r="BM127" s="53"/>
      <c r="BN127" s="53"/>
      <c r="BO127" s="53"/>
      <c r="BP127" s="53"/>
      <c r="BQ127" s="53"/>
      <c r="BR127" s="53"/>
      <c r="BS127" s="53"/>
      <c r="BT127" s="53"/>
      <c r="BU127" s="53"/>
      <c r="BV127" s="53"/>
      <c r="BW127" s="53"/>
      <c r="BX127" s="53"/>
      <c r="BY127" s="53"/>
      <c r="BZ127" s="53"/>
      <c r="CA127" s="53"/>
      <c r="CB127" s="53"/>
      <c r="CC127" s="53"/>
      <c r="CD127" s="53"/>
      <c r="CE127" s="53"/>
      <c r="CF127" s="53"/>
      <c r="CG127" s="53"/>
      <c r="CH127" s="53"/>
      <c r="CI127" s="53"/>
      <c r="CJ127" s="53"/>
      <c r="CK127" s="53"/>
      <c r="CL127" s="53"/>
      <c r="CM127" s="53"/>
      <c r="CN127" s="53"/>
      <c r="CO127" s="53"/>
      <c r="CP127" s="53"/>
      <c r="CQ127" s="53"/>
      <c r="CR127" s="1"/>
      <c r="CS127" s="1"/>
      <c r="CT127" s="1"/>
      <c r="CU127" s="1"/>
    </row>
    <row r="128" spans="1:99" s="13" customFormat="1" ht="12" customHeight="1" x14ac:dyDescent="0.2">
      <c r="A128" s="65">
        <v>43916</v>
      </c>
      <c r="B128" s="1"/>
      <c r="C128" s="1"/>
      <c r="D128" s="60"/>
      <c r="E128" s="76"/>
      <c r="F128" s="60"/>
      <c r="G128" s="60"/>
      <c r="H128" s="60"/>
      <c r="I128" s="60"/>
      <c r="J128" s="60"/>
      <c r="K128" s="64"/>
      <c r="L128" s="64"/>
      <c r="M128" s="60"/>
      <c r="N128" s="60"/>
      <c r="O128" s="60"/>
      <c r="P128" s="60"/>
      <c r="Q128" s="60"/>
      <c r="R128" s="60"/>
      <c r="S128" s="60"/>
      <c r="T128" s="59"/>
      <c r="U128" s="60"/>
      <c r="V128" s="59"/>
      <c r="W128" s="60"/>
      <c r="X128" s="60"/>
      <c r="Y128" s="76"/>
      <c r="Z128" s="60"/>
      <c r="AA128" s="60"/>
      <c r="AB128" s="60"/>
      <c r="AC128" s="60"/>
      <c r="AD128" s="60"/>
      <c r="AE128" s="60"/>
      <c r="AF128" s="80"/>
      <c r="AG128" s="56"/>
      <c r="AH128" s="4"/>
      <c r="AI128" s="56"/>
      <c r="AJ128" s="109"/>
      <c r="AK128" s="56"/>
      <c r="AL128" s="56"/>
      <c r="AM128" s="56"/>
      <c r="AN128" s="56"/>
      <c r="AO128" s="82"/>
      <c r="AP128" s="82"/>
      <c r="AQ128" s="82"/>
      <c r="AR128" s="115"/>
      <c r="AS128" s="82"/>
      <c r="AT128" s="82"/>
      <c r="AU128" s="3"/>
      <c r="AV128" s="54">
        <v>1.5</v>
      </c>
      <c r="AW128" s="25">
        <v>3</v>
      </c>
      <c r="AX128" s="25">
        <v>6</v>
      </c>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53"/>
      <c r="CD128" s="53"/>
      <c r="CE128" s="53"/>
      <c r="CF128" s="53"/>
      <c r="CG128" s="53"/>
      <c r="CH128" s="53"/>
      <c r="CI128" s="53"/>
      <c r="CJ128" s="53"/>
      <c r="CK128" s="53"/>
      <c r="CL128" s="53"/>
      <c r="CM128" s="53"/>
      <c r="CN128" s="53"/>
      <c r="CO128" s="53"/>
      <c r="CP128" s="53"/>
      <c r="CQ128" s="53"/>
      <c r="CR128" s="1"/>
      <c r="CS128" s="1"/>
      <c r="CT128" s="1"/>
      <c r="CU128" s="1"/>
    </row>
    <row r="129" spans="1:99" s="13" customFormat="1" ht="12" customHeight="1" x14ac:dyDescent="0.2">
      <c r="A129" s="65">
        <v>43916</v>
      </c>
      <c r="B129" s="1" t="s">
        <v>567</v>
      </c>
      <c r="C129" s="1" t="s">
        <v>45</v>
      </c>
      <c r="D129" s="60">
        <v>2020</v>
      </c>
      <c r="E129" s="76">
        <v>4</v>
      </c>
      <c r="F129" s="60">
        <v>61</v>
      </c>
      <c r="G129" s="60">
        <v>61</v>
      </c>
      <c r="H129" s="60" t="s">
        <v>769</v>
      </c>
      <c r="I129" s="60" t="s">
        <v>783</v>
      </c>
      <c r="J129" s="60" t="s">
        <v>764</v>
      </c>
      <c r="K129" s="60">
        <f>IF(J129="syllables",1,IF(J129="trigrams",2,IF(J129="strings",3,IF(J129="visual array",4,IF(J129="characters",5,IF(J129="letters",6,IF(J129="free forms",7,IF(J129="odors",8,IF(J129="words",9,IF(J129="pictures",10,IF(J129="object pictures",11,IF(J129="faces",12,IF(J129="names",13,IF(J129="idioms",14,IF(J129="grades",15,IF(J129="syllable-digit pairs",16,IF(J129="trigram-word pairs",17,IF(J129="word-digit pairs",18,IF(J129="English-Swahili pairs",19,IF(J129="spatial position",20,IF(J129="word pairs",21,IF(J129="word triads",22,IF(J129="generated words",23,IF(J129="word definition pairs",24,IF(J129="math problems",25,IF(J129="famous faces",26,IF(J129="famous names",27,IF(J129="famous voices",28,IF(J129="television programs",29,IF(J129="race horses",30,IF(J129="new vocabulary",31,IF(J129="sentences",32,IF(J129="concepts",33,IF(J129="ad slides",34,IF(J129="scenes",35,IF(J129="famous scenes",36,IF(J129="poems",37,IF(J129="walk",38,IF(J129="faces and events",39,IF(J129="events and names",40,IF(J129="flashbulb",41,IF(J129="stories",42,IF(J129="course material",43,IF(J129="autobiographical",44,IF(J129="novels",45,IF(J129="public events",46,"99"))))))))))))))))))))))))))))))))))))))))))))))</f>
        <v>4</v>
      </c>
      <c r="L129" s="60">
        <f>IF(J129="syllables",1,IF(J129="trigrams",1,IF(J129="strings",1,IF(J129="visual array",1,IF(J129="characters",1,IF(J129="letters",1,IF(J129="free forms",1,IF(J129="odors",2,IF(J129="words",2,IF(J129="pictures",2,IF(J129="object pictures",2,IF(J129="faces",2,IF(J129="names",2,IF(J129="idioms","2",IF(J129="grades",2,IF(J129="syllable-digit pairs",3,IF(J129="trigram-word pairs",3,IF(J129="word-digit pairs",3,IF(J129="English-Swahili pairs",3,IF(J129="spatial position",3,IF(J129="word pairs",4,IF(J129="word triads",4,IF(J129="generated words",4,IF(J129="word definition pairs",4,IF(J129="math problems",4,IF(J129="famous faces",4,IF(J129="famous names",4,IF(J129="famous voices",4,IF(J129="television programs",4,IF(J129="race horses",4,IF(J129="new vocabulary",4,IF(J129="sentences",5,IF(J129="concepts",5,IF(J129="ad slides",5,IF(J129="scenes",5,IF(J129="famous scenes",5,IF(J129="poems",6,IF(J129="walk",6,IF(J129="faces and events",6,IF(J129="events and names",6,IF(J129="flashbulb",7,IF(J129="stories",7,IF(J129="course material",7,IF(J129="autobiographical",7,IF(J129="novels",7,IF(J129="public events",7,"99"))))))))))))))))))))))))))))))))))))))))))))))</f>
        <v>1</v>
      </c>
      <c r="M129" s="60">
        <v>0</v>
      </c>
      <c r="N129" s="60">
        <v>1</v>
      </c>
      <c r="O129" s="60">
        <v>0</v>
      </c>
      <c r="P129" s="60"/>
      <c r="Q129" s="60" t="s">
        <v>174</v>
      </c>
      <c r="R129" s="60">
        <f>IF(Q129="Free Recall",1,IF(Q129="Cued Recall",2,IF(Q129="Recognition",3,IF(Q129="Multiple Choice",4,IF(Q129="Savings",5,IF(Q129="Stem Completion",6,IF(Q129="Fragment Completion",7,IF(Q129="anagram solution",8,IF(Q129="Matching",9,IF(Q129="Problem Solving",10,"99"))))))))))</f>
        <v>1</v>
      </c>
      <c r="S129" s="60" t="s">
        <v>49</v>
      </c>
      <c r="T129" s="59" t="s">
        <v>581</v>
      </c>
      <c r="U129" s="60">
        <f>IF(T129="within",1,0)</f>
        <v>1</v>
      </c>
      <c r="V129" s="59">
        <v>108</v>
      </c>
      <c r="W129" s="60">
        <f>F129*V129</f>
        <v>6588</v>
      </c>
      <c r="X129" s="60">
        <v>3</v>
      </c>
      <c r="Y129" s="76">
        <f>AV128</f>
        <v>1.5</v>
      </c>
      <c r="Z129" s="60" t="s">
        <v>39</v>
      </c>
      <c r="AA129" s="60">
        <v>6</v>
      </c>
      <c r="AB129" s="60" t="str">
        <f>IF(AA129&lt;60,"1",IF(AA129&lt;=43200,"2",IF(AA129&lt;=777600,"3","4")))</f>
        <v>1</v>
      </c>
      <c r="AC129" s="56">
        <f>AVERAGE(AV128:DA128)</f>
        <v>3.5</v>
      </c>
      <c r="AD129" s="60" t="str">
        <f>IF(AC129&lt;60,"1",IF(AC129&lt;=43200,"2",IF(AC129&lt;=777600,"3","4")))</f>
        <v>1</v>
      </c>
      <c r="AE129" s="76">
        <f>AA129-Y129</f>
        <v>4.5</v>
      </c>
      <c r="AF129" s="80">
        <f>AV129</f>
        <v>0.66</v>
      </c>
      <c r="AG129" s="56">
        <f>((AW129-AV129)+(AX129-AW129))/2</f>
        <v>-2.0000000000000018E-2</v>
      </c>
      <c r="AH129" s="4"/>
      <c r="AI129" s="56">
        <f>RSQ(AV129:AX129,AV128:AX128)</f>
        <v>0.99175824175824201</v>
      </c>
      <c r="AJ129" s="109">
        <f>SLOPE(AV129:AX129,AV128:AX128)</f>
        <v>-9.0476190476190561E-3</v>
      </c>
      <c r="AK129" s="56">
        <f>INTERCEPT(AV129:AX129,AV128:AX128)</f>
        <v>0.67500000000000016</v>
      </c>
      <c r="AL129" s="56">
        <f>INDEX(LINEST(LN(AV129:AX129),LN(AV128:AX128),TRUE,TRUE),3,1)</f>
        <v>0.91975602968102299</v>
      </c>
      <c r="AM129" s="56">
        <f>INDEX(LINEST(LN(AV129:AX129),LN(AV128:AX128)),1)</f>
        <v>-4.5098904485789126E-2</v>
      </c>
      <c r="AN129" s="56">
        <f>EXP(INDEX(LINEST(LN(AV129:AX129),LN(AV128:AX128)),1,2))</f>
        <v>0.67577269488178304</v>
      </c>
      <c r="AO129" s="82">
        <f>INDEX(LINEST((AV129:AX129),LN(AV128:AX128),TRUE,TRUE),3,1)</f>
        <v>0.92307692307692302</v>
      </c>
      <c r="AP129" s="82">
        <f>INDEX(LINEST((AV129:AX129),LN(AV128:AX128)),1)</f>
        <v>-2.8853900817779284E-2</v>
      </c>
      <c r="AQ129" s="83">
        <f>INDEX(LINEST(LN(AV129:AX129),SQRT(AV128:AX128),TRUE,TRUE),3,1)</f>
        <v>0.96489752568134546</v>
      </c>
      <c r="AR129" s="116">
        <f>INDEX(LINEST(LN(AV129:AX129),SQRT((AV128:AX128))),1)</f>
        <v>-5.2030708628093988E-2</v>
      </c>
      <c r="AS129" s="84">
        <f>INDEX(LINEST(1/(AV129:AX129),1/(SQRT(AV128:AX128)),TRUE,TRUE),3,1)</f>
        <v>0.85402978315235945</v>
      </c>
      <c r="AT129" s="84">
        <f>INDEX(LINEST(1/(AV129:AX129),1/SQRT(AV128:AX128)),1)</f>
        <v>-0.23002177635375323</v>
      </c>
      <c r="AU129" s="3"/>
      <c r="AV129" s="53">
        <v>0.66</v>
      </c>
      <c r="AW129" s="53">
        <v>0.65</v>
      </c>
      <c r="AX129" s="53">
        <v>0.62</v>
      </c>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53"/>
      <c r="CI129" s="53"/>
      <c r="CJ129" s="53"/>
      <c r="CK129" s="53"/>
      <c r="CL129" s="53"/>
      <c r="CM129" s="53"/>
      <c r="CN129" s="53"/>
      <c r="CO129" s="53"/>
      <c r="CP129" s="53"/>
      <c r="CQ129" s="53"/>
      <c r="CR129" s="1"/>
      <c r="CS129" s="1"/>
      <c r="CT129" s="1"/>
      <c r="CU129" s="1"/>
    </row>
    <row r="130" spans="1:99" s="13" customFormat="1" ht="12" customHeight="1" x14ac:dyDescent="0.2">
      <c r="A130" s="65">
        <v>43916</v>
      </c>
      <c r="B130" s="1"/>
      <c r="C130" s="1"/>
      <c r="D130" s="60"/>
      <c r="E130" s="76"/>
      <c r="F130" s="60"/>
      <c r="G130" s="60"/>
      <c r="H130" s="60"/>
      <c r="I130" s="60"/>
      <c r="J130" s="60"/>
      <c r="K130" s="64"/>
      <c r="L130" s="64"/>
      <c r="M130" s="60"/>
      <c r="N130" s="60"/>
      <c r="O130" s="60"/>
      <c r="P130" s="60"/>
      <c r="Q130" s="60"/>
      <c r="R130" s="60"/>
      <c r="S130" s="60"/>
      <c r="T130" s="59"/>
      <c r="U130" s="60"/>
      <c r="V130" s="59"/>
      <c r="W130" s="60"/>
      <c r="X130" s="60"/>
      <c r="Y130" s="76"/>
      <c r="Z130" s="60"/>
      <c r="AA130" s="60"/>
      <c r="AB130" s="60"/>
      <c r="AC130" s="60"/>
      <c r="AD130" s="60"/>
      <c r="AE130" s="60"/>
      <c r="AF130" s="80"/>
      <c r="AG130" s="56"/>
      <c r="AH130" s="4"/>
      <c r="AI130" s="56"/>
      <c r="AJ130" s="109"/>
      <c r="AK130" s="56"/>
      <c r="AL130" s="56"/>
      <c r="AM130" s="56"/>
      <c r="AN130" s="56"/>
      <c r="AO130" s="82"/>
      <c r="AP130" s="82"/>
      <c r="AQ130" s="82"/>
      <c r="AR130" s="115"/>
      <c r="AS130" s="82"/>
      <c r="AT130" s="82"/>
      <c r="AU130" s="3"/>
      <c r="AV130" s="54">
        <v>1.5</v>
      </c>
      <c r="AW130" s="25">
        <v>3</v>
      </c>
      <c r="AX130" s="25">
        <v>6</v>
      </c>
      <c r="AY130" s="53"/>
      <c r="AZ130" s="53"/>
      <c r="BA130" s="53"/>
      <c r="BB130" s="53"/>
      <c r="BC130" s="53"/>
      <c r="BD130" s="53"/>
      <c r="BE130" s="53"/>
      <c r="BF130" s="53"/>
      <c r="BG130" s="53"/>
      <c r="BH130" s="53"/>
      <c r="BI130" s="53"/>
      <c r="BJ130" s="53"/>
      <c r="BK130" s="53"/>
      <c r="BL130" s="53"/>
      <c r="BM130" s="53"/>
      <c r="BN130" s="53"/>
      <c r="BO130" s="53"/>
      <c r="BP130" s="53"/>
      <c r="BQ130" s="53"/>
      <c r="BR130" s="53"/>
      <c r="BS130" s="53"/>
      <c r="BT130" s="53"/>
      <c r="BU130" s="53"/>
      <c r="BV130" s="53"/>
      <c r="BW130" s="53"/>
      <c r="BX130" s="53"/>
      <c r="BY130" s="53"/>
      <c r="BZ130" s="53"/>
      <c r="CA130" s="53"/>
      <c r="CB130" s="53"/>
      <c r="CC130" s="53"/>
      <c r="CD130" s="53"/>
      <c r="CE130" s="53"/>
      <c r="CF130" s="53"/>
      <c r="CG130" s="53"/>
      <c r="CH130" s="53"/>
      <c r="CI130" s="53"/>
      <c r="CJ130" s="53"/>
      <c r="CK130" s="53"/>
      <c r="CL130" s="53"/>
      <c r="CM130" s="53"/>
      <c r="CN130" s="53"/>
      <c r="CO130" s="53"/>
      <c r="CP130" s="53"/>
      <c r="CQ130" s="53"/>
      <c r="CR130" s="1"/>
      <c r="CS130" s="1"/>
      <c r="CT130" s="1"/>
      <c r="CU130" s="1"/>
    </row>
    <row r="131" spans="1:99" s="13" customFormat="1" ht="12" customHeight="1" x14ac:dyDescent="0.2">
      <c r="A131" s="65">
        <v>43916</v>
      </c>
      <c r="B131" s="1" t="s">
        <v>567</v>
      </c>
      <c r="C131" s="1" t="s">
        <v>45</v>
      </c>
      <c r="D131" s="60">
        <v>2020</v>
      </c>
      <c r="E131" s="76">
        <v>5</v>
      </c>
      <c r="F131" s="60">
        <v>63</v>
      </c>
      <c r="G131" s="60">
        <v>63</v>
      </c>
      <c r="H131" s="60" t="s">
        <v>341</v>
      </c>
      <c r="I131" s="60" t="s">
        <v>780</v>
      </c>
      <c r="J131" s="60" t="s">
        <v>764</v>
      </c>
      <c r="K131" s="60">
        <f>IF(J131="syllables",1,IF(J131="trigrams",2,IF(J131="strings",3,IF(J131="visual array",4,IF(J131="characters",5,IF(J131="letters",6,IF(J131="free forms",7,IF(J131="odors",8,IF(J131="words",9,IF(J131="pictures",10,IF(J131="object pictures",11,IF(J131="faces",12,IF(J131="names",13,IF(J131="idioms",14,IF(J131="grades",15,IF(J131="syllable-digit pairs",16,IF(J131="trigram-word pairs",17,IF(J131="word-digit pairs",18,IF(J131="English-Swahili pairs",19,IF(J131="spatial position",20,IF(J131="word pairs",21,IF(J131="word triads",22,IF(J131="generated words",23,IF(J131="word definition pairs",24,IF(J131="math problems",25,IF(J131="famous faces",26,IF(J131="famous names",27,IF(J131="famous voices",28,IF(J131="television programs",29,IF(J131="race horses",30,IF(J131="new vocabulary",31,IF(J131="sentences",32,IF(J131="concepts",33,IF(J131="ad slides",34,IF(J131="scenes",35,IF(J131="famous scenes",36,IF(J131="poems",37,IF(J131="walk",38,IF(J131="faces and events",39,IF(J131="events and names",40,IF(J131="flashbulb",41,IF(J131="stories",42,IF(J131="course material",43,IF(J131="autobiographical",44,IF(J131="novels",45,IF(J131="public events",46,"99"))))))))))))))))))))))))))))))))))))))))))))))</f>
        <v>4</v>
      </c>
      <c r="L131" s="60">
        <f>IF(J131="syllables",1,IF(J131="trigrams",1,IF(J131="strings",1,IF(J131="visual array",1,IF(J131="characters",1,IF(J131="letters",1,IF(J131="free forms",1,IF(J131="odors",2,IF(J131="words",2,IF(J131="pictures",2,IF(J131="object pictures",2,IF(J131="faces",2,IF(J131="names",2,IF(J131="idioms","2",IF(J131="grades",2,IF(J131="syllable-digit pairs",3,IF(J131="trigram-word pairs",3,IF(J131="word-digit pairs",3,IF(J131="English-Swahili pairs",3,IF(J131="spatial position",3,IF(J131="word pairs",4,IF(J131="word triads",4,IF(J131="generated words",4,IF(J131="word definition pairs",4,IF(J131="math problems",4,IF(J131="famous faces",4,IF(J131="famous names",4,IF(J131="famous voices",4,IF(J131="television programs",4,IF(J131="race horses",4,IF(J131="new vocabulary",4,IF(J131="sentences",5,IF(J131="concepts",5,IF(J131="ad slides",5,IF(J131="scenes",5,IF(J131="famous scenes",5,IF(J131="poems",6,IF(J131="walk",6,IF(J131="faces and events",6,IF(J131="events and names",6,IF(J131="flashbulb",7,IF(J131="stories",7,IF(J131="course material",7,IF(J131="autobiographical",7,IF(J131="novels",7,IF(J131="public events",7,"99"))))))))))))))))))))))))))))))))))))))))))))))</f>
        <v>1</v>
      </c>
      <c r="M131" s="60">
        <v>0</v>
      </c>
      <c r="N131" s="60">
        <v>1</v>
      </c>
      <c r="O131" s="60">
        <v>0</v>
      </c>
      <c r="P131" s="60"/>
      <c r="Q131" s="60" t="s">
        <v>174</v>
      </c>
      <c r="R131" s="60">
        <f>IF(Q131="Free Recall",1,IF(Q131="Cued Recall",2,IF(Q131="Recognition",3,IF(Q131="Multiple Choice",4,IF(Q131="Savings",5,IF(Q131="Stem Completion",6,IF(Q131="Fragment Completion",7,IF(Q131="anagram solution",8,IF(Q131="Matching",9,IF(Q131="Problem Solving",10,"99"))))))))))</f>
        <v>1</v>
      </c>
      <c r="S131" s="60" t="s">
        <v>49</v>
      </c>
      <c r="T131" s="59" t="s">
        <v>581</v>
      </c>
      <c r="U131" s="60">
        <f>IF(T131="within",1,0)</f>
        <v>1</v>
      </c>
      <c r="V131" s="59">
        <v>108</v>
      </c>
      <c r="W131" s="60">
        <f>F131*V131</f>
        <v>6804</v>
      </c>
      <c r="X131" s="60">
        <v>3</v>
      </c>
      <c r="Y131" s="76">
        <f>AV130</f>
        <v>1.5</v>
      </c>
      <c r="Z131" s="60" t="s">
        <v>39</v>
      </c>
      <c r="AA131" s="60">
        <v>6</v>
      </c>
      <c r="AB131" s="60" t="str">
        <f>IF(AA131&lt;60,"1",IF(AA131&lt;=43200,"2",IF(AA131&lt;=777600,"3","4")))</f>
        <v>1</v>
      </c>
      <c r="AC131" s="56">
        <f>AVERAGE(AV130:DA130)</f>
        <v>3.5</v>
      </c>
      <c r="AD131" s="60" t="str">
        <f>IF(AC131&lt;60,"1",IF(AC131&lt;=43200,"2",IF(AC131&lt;=777600,"3","4")))</f>
        <v>1</v>
      </c>
      <c r="AE131" s="76">
        <f>AA131-Y131</f>
        <v>4.5</v>
      </c>
      <c r="AF131" s="80">
        <f>AV131</f>
        <v>0.87</v>
      </c>
      <c r="AG131" s="56">
        <f>((AW131-AV131)+(AX131-AW131))/2</f>
        <v>-2.9999999999999971E-2</v>
      </c>
      <c r="AH131" s="4"/>
      <c r="AI131" s="56">
        <f>RSQ(AV131:AX131,AV130:AX130)</f>
        <v>1</v>
      </c>
      <c r="AJ131" s="109">
        <f>SLOPE(AV131:AX131,AV130:AX130)</f>
        <v>-1.3333333333333319E-2</v>
      </c>
      <c r="AK131" s="56">
        <f>INTERCEPT(AV131:AX131,AV130:AX130)</f>
        <v>0.89</v>
      </c>
      <c r="AL131" s="56">
        <f>INDEX(LINEST(LN(AV131:AX131),LN(AV130:AX130),TRUE,TRUE),3,1)</f>
        <v>0.96096551286856546</v>
      </c>
      <c r="AM131" s="56">
        <f>INDEX(LINEST(LN(AV131:AX131),LN(AV130:AX130)),1)</f>
        <v>-5.1546746482051729E-2</v>
      </c>
      <c r="AN131" s="56">
        <f>EXP(INDEX(LINEST(LN(AV131:AX131),LN(AV130:AX130)),1,2))</f>
        <v>0.89207584654652905</v>
      </c>
      <c r="AO131" s="82">
        <f>INDEX(LINEST((AV131:AX131),LN(AV130:AX130),TRUE,TRUE),3,1)</f>
        <v>0.96428571428571452</v>
      </c>
      <c r="AP131" s="82">
        <f>INDEX(LINEST((AV131:AX131),LN(AV130:AX130)),1)</f>
        <v>-4.3280851226668859E-2</v>
      </c>
      <c r="AQ131" s="83">
        <f>INDEX(LINEST(LN(AV131:AX131),SQRT(AV130:AX130),TRUE,TRUE),3,1)</f>
        <v>0.9900045808735225</v>
      </c>
      <c r="AR131" s="116">
        <f>INDEX(LINEST(LN(AV131:AX131),SQRT((AV130:AX130))),1)</f>
        <v>-5.8932577184482207E-2</v>
      </c>
      <c r="AS131" s="84">
        <f>INDEX(LINEST(1/(AV131:AX131),1/(SQRT(AV130:AX130)),TRUE,TRUE),3,1)</f>
        <v>0.90909690947429778</v>
      </c>
      <c r="AT131" s="84">
        <f>INDEX(LINEST(1/(AV131:AX131),1/SQRT(AV130:AX130)),1)</f>
        <v>-0.20222164130702389</v>
      </c>
      <c r="AU131" s="3"/>
      <c r="AV131" s="53">
        <v>0.87</v>
      </c>
      <c r="AW131" s="53">
        <v>0.85</v>
      </c>
      <c r="AX131" s="53">
        <v>0.81</v>
      </c>
      <c r="AY131" s="53"/>
      <c r="AZ131" s="53"/>
      <c r="BA131" s="53"/>
      <c r="BB131" s="53"/>
      <c r="BC131" s="53"/>
      <c r="BD131" s="53"/>
      <c r="BE131" s="53"/>
      <c r="BF131" s="53"/>
      <c r="BG131" s="53"/>
      <c r="BH131" s="53"/>
      <c r="BI131" s="53"/>
      <c r="BJ131" s="53"/>
      <c r="BK131" s="53"/>
      <c r="BL131" s="53"/>
      <c r="BM131" s="53"/>
      <c r="BN131" s="53"/>
      <c r="BO131" s="53"/>
      <c r="BP131" s="53"/>
      <c r="BQ131" s="53"/>
      <c r="BR131" s="53"/>
      <c r="BS131" s="53"/>
      <c r="BT131" s="53"/>
      <c r="BU131" s="53"/>
      <c r="BV131" s="53"/>
      <c r="BW131" s="53"/>
      <c r="BX131" s="53"/>
      <c r="BY131" s="53"/>
      <c r="BZ131" s="53"/>
      <c r="CA131" s="53"/>
      <c r="CB131" s="53"/>
      <c r="CC131" s="53"/>
      <c r="CD131" s="53"/>
      <c r="CE131" s="53"/>
      <c r="CF131" s="53"/>
      <c r="CG131" s="53"/>
      <c r="CH131" s="53"/>
      <c r="CI131" s="53"/>
      <c r="CJ131" s="53"/>
      <c r="CK131" s="53"/>
      <c r="CL131" s="53"/>
      <c r="CM131" s="53"/>
      <c r="CN131" s="53"/>
      <c r="CO131" s="53"/>
      <c r="CP131" s="53"/>
      <c r="CQ131" s="53"/>
      <c r="CR131" s="1"/>
      <c r="CS131" s="1"/>
      <c r="CT131" s="1"/>
      <c r="CU131" s="1"/>
    </row>
    <row r="132" spans="1:99" s="13" customFormat="1" ht="12" customHeight="1" x14ac:dyDescent="0.2">
      <c r="A132" s="65">
        <v>43916</v>
      </c>
      <c r="B132" s="1"/>
      <c r="C132" s="1"/>
      <c r="D132" s="60"/>
      <c r="E132" s="76"/>
      <c r="F132" s="60"/>
      <c r="G132" s="60"/>
      <c r="H132" s="60"/>
      <c r="I132" s="60"/>
      <c r="J132" s="60"/>
      <c r="K132" s="64"/>
      <c r="L132" s="64"/>
      <c r="M132" s="60"/>
      <c r="N132" s="60"/>
      <c r="O132" s="60"/>
      <c r="P132" s="60"/>
      <c r="Q132" s="60"/>
      <c r="R132" s="60"/>
      <c r="S132" s="60"/>
      <c r="T132" s="59"/>
      <c r="U132" s="60"/>
      <c r="V132" s="59"/>
      <c r="W132" s="60"/>
      <c r="X132" s="60"/>
      <c r="Y132" s="76"/>
      <c r="Z132" s="60"/>
      <c r="AA132" s="60"/>
      <c r="AB132" s="60"/>
      <c r="AC132" s="60"/>
      <c r="AD132" s="60"/>
      <c r="AE132" s="60"/>
      <c r="AF132" s="80"/>
      <c r="AG132" s="56"/>
      <c r="AH132" s="4"/>
      <c r="AI132" s="56"/>
      <c r="AJ132" s="109"/>
      <c r="AK132" s="56"/>
      <c r="AL132" s="56"/>
      <c r="AM132" s="56"/>
      <c r="AN132" s="56"/>
      <c r="AO132" s="82"/>
      <c r="AP132" s="82"/>
      <c r="AQ132" s="82"/>
      <c r="AR132" s="115"/>
      <c r="AS132" s="82"/>
      <c r="AT132" s="82"/>
      <c r="AU132" s="3"/>
      <c r="AV132" s="54">
        <v>1.5</v>
      </c>
      <c r="AW132" s="25">
        <v>3</v>
      </c>
      <c r="AX132" s="25">
        <v>6</v>
      </c>
      <c r="AY132" s="53"/>
      <c r="AZ132" s="53"/>
      <c r="BA132" s="53"/>
      <c r="BB132" s="53"/>
      <c r="BC132" s="53"/>
      <c r="BD132" s="53"/>
      <c r="BE132" s="53"/>
      <c r="BF132" s="53"/>
      <c r="BG132" s="53"/>
      <c r="BH132" s="53"/>
      <c r="BI132" s="53"/>
      <c r="BJ132" s="53"/>
      <c r="BK132" s="53"/>
      <c r="BL132" s="53"/>
      <c r="BM132" s="53"/>
      <c r="BN132" s="53"/>
      <c r="BO132" s="53"/>
      <c r="BP132" s="53"/>
      <c r="BQ132" s="53"/>
      <c r="BR132" s="53"/>
      <c r="BS132" s="53"/>
      <c r="BT132" s="53"/>
      <c r="BU132" s="53"/>
      <c r="BV132" s="53"/>
      <c r="BW132" s="53"/>
      <c r="BX132" s="53"/>
      <c r="BY132" s="53"/>
      <c r="BZ132" s="53"/>
      <c r="CA132" s="53"/>
      <c r="CB132" s="53"/>
      <c r="CC132" s="53"/>
      <c r="CD132" s="53"/>
      <c r="CE132" s="53"/>
      <c r="CF132" s="53"/>
      <c r="CG132" s="53"/>
      <c r="CH132" s="53"/>
      <c r="CI132" s="53"/>
      <c r="CJ132" s="53"/>
      <c r="CK132" s="53"/>
      <c r="CL132" s="53"/>
      <c r="CM132" s="53"/>
      <c r="CN132" s="53"/>
      <c r="CO132" s="53"/>
      <c r="CP132" s="53"/>
      <c r="CQ132" s="53"/>
      <c r="CR132" s="1"/>
      <c r="CS132" s="1"/>
      <c r="CT132" s="1"/>
      <c r="CU132" s="1"/>
    </row>
    <row r="133" spans="1:99" s="13" customFormat="1" ht="12" customHeight="1" x14ac:dyDescent="0.2">
      <c r="A133" s="65">
        <v>43916</v>
      </c>
      <c r="B133" s="1" t="s">
        <v>567</v>
      </c>
      <c r="C133" s="1" t="s">
        <v>45</v>
      </c>
      <c r="D133" s="60">
        <v>2020</v>
      </c>
      <c r="E133" s="76">
        <v>5</v>
      </c>
      <c r="F133" s="60">
        <v>63</v>
      </c>
      <c r="G133" s="60">
        <v>63</v>
      </c>
      <c r="H133" s="60" t="s">
        <v>341</v>
      </c>
      <c r="I133" s="60" t="s">
        <v>781</v>
      </c>
      <c r="J133" s="60" t="s">
        <v>764</v>
      </c>
      <c r="K133" s="60">
        <f>IF(J133="syllables",1,IF(J133="trigrams",2,IF(J133="strings",3,IF(J133="visual array",4,IF(J133="characters",5,IF(J133="letters",6,IF(J133="free forms",7,IF(J133="odors",8,IF(J133="words",9,IF(J133="pictures",10,IF(J133="object pictures",11,IF(J133="faces",12,IF(J133="names",13,IF(J133="idioms",14,IF(J133="grades",15,IF(J133="syllable-digit pairs",16,IF(J133="trigram-word pairs",17,IF(J133="word-digit pairs",18,IF(J133="English-Swahili pairs",19,IF(J133="spatial position",20,IF(J133="word pairs",21,IF(J133="word triads",22,IF(J133="generated words",23,IF(J133="word definition pairs",24,IF(J133="math problems",25,IF(J133="famous faces",26,IF(J133="famous names",27,IF(J133="famous voices",28,IF(J133="television programs",29,IF(J133="race horses",30,IF(J133="new vocabulary",31,IF(J133="sentences",32,IF(J133="concepts",33,IF(J133="ad slides",34,IF(J133="scenes",35,IF(J133="famous scenes",36,IF(J133="poems",37,IF(J133="walk",38,IF(J133="faces and events",39,IF(J133="events and names",40,IF(J133="flashbulb",41,IF(J133="stories",42,IF(J133="course material",43,IF(J133="autobiographical",44,IF(J133="novels",45,IF(J133="public events",46,"99"))))))))))))))))))))))))))))))))))))))))))))))</f>
        <v>4</v>
      </c>
      <c r="L133" s="60">
        <f>IF(J133="syllables",1,IF(J133="trigrams",1,IF(J133="strings",1,IF(J133="visual array",1,IF(J133="characters",1,IF(J133="letters",1,IF(J133="free forms",1,IF(J133="odors",2,IF(J133="words",2,IF(J133="pictures",2,IF(J133="object pictures",2,IF(J133="faces",2,IF(J133="names",2,IF(J133="idioms","2",IF(J133="grades",2,IF(J133="syllable-digit pairs",3,IF(J133="trigram-word pairs",3,IF(J133="word-digit pairs",3,IF(J133="English-Swahili pairs",3,IF(J133="spatial position",3,IF(J133="word pairs",4,IF(J133="word triads",4,IF(J133="generated words",4,IF(J133="word definition pairs",4,IF(J133="math problems",4,IF(J133="famous faces",4,IF(J133="famous names",4,IF(J133="famous voices",4,IF(J133="television programs",4,IF(J133="race horses",4,IF(J133="new vocabulary",4,IF(J133="sentences",5,IF(J133="concepts",5,IF(J133="ad slides",5,IF(J133="scenes",5,IF(J133="famous scenes",5,IF(J133="poems",6,IF(J133="walk",6,IF(J133="faces and events",6,IF(J133="events and names",6,IF(J133="flashbulb",7,IF(J133="stories",7,IF(J133="course material",7,IF(J133="autobiographical",7,IF(J133="novels",7,IF(J133="public events",7,"99"))))))))))))))))))))))))))))))))))))))))))))))</f>
        <v>1</v>
      </c>
      <c r="M133" s="60">
        <v>0</v>
      </c>
      <c r="N133" s="60">
        <v>1</v>
      </c>
      <c r="O133" s="60">
        <v>0</v>
      </c>
      <c r="P133" s="60"/>
      <c r="Q133" s="60" t="s">
        <v>174</v>
      </c>
      <c r="R133" s="60">
        <f>IF(Q133="Free Recall",1,IF(Q133="Cued Recall",2,IF(Q133="Recognition",3,IF(Q133="Multiple Choice",4,IF(Q133="Savings",5,IF(Q133="Stem Completion",6,IF(Q133="Fragment Completion",7,IF(Q133="anagram solution",8,IF(Q133="Matching",9,IF(Q133="Problem Solving",10,"99"))))))))))</f>
        <v>1</v>
      </c>
      <c r="S133" s="60" t="s">
        <v>49</v>
      </c>
      <c r="T133" s="59" t="s">
        <v>581</v>
      </c>
      <c r="U133" s="60">
        <f>IF(T133="within",1,0)</f>
        <v>1</v>
      </c>
      <c r="V133" s="59">
        <v>108</v>
      </c>
      <c r="W133" s="60">
        <f>F133*V133</f>
        <v>6804</v>
      </c>
      <c r="X133" s="60">
        <v>3</v>
      </c>
      <c r="Y133" s="76">
        <f>AV132</f>
        <v>1.5</v>
      </c>
      <c r="Z133" s="60" t="s">
        <v>39</v>
      </c>
      <c r="AA133" s="60">
        <v>6</v>
      </c>
      <c r="AB133" s="60" t="str">
        <f>IF(AA133&lt;60,"1",IF(AA133&lt;=43200,"2",IF(AA133&lt;=777600,"3","4")))</f>
        <v>1</v>
      </c>
      <c r="AC133" s="56">
        <f>AVERAGE(AV132:DA132)</f>
        <v>3.5</v>
      </c>
      <c r="AD133" s="60" t="str">
        <f>IF(AC133&lt;60,"1",IF(AC133&lt;=43200,"2",IF(AC133&lt;=777600,"3","4")))</f>
        <v>1</v>
      </c>
      <c r="AE133" s="76">
        <f>AA133-Y133</f>
        <v>4.5</v>
      </c>
      <c r="AF133" s="80">
        <f>AV133</f>
        <v>0.85</v>
      </c>
      <c r="AG133" s="56">
        <f>((AW133-AV133)+(AX133-AW133))/2</f>
        <v>-2.4999999999999967E-2</v>
      </c>
      <c r="AH133" s="4"/>
      <c r="AI133" s="56">
        <f>RSQ(AV133:AX133,AV132:AX132)</f>
        <v>0.99436090225563922</v>
      </c>
      <c r="AJ133" s="109">
        <f>SLOPE(AV133:AX133,AV132:AX132)</f>
        <v>-1.0952380952380936E-2</v>
      </c>
      <c r="AK133" s="56">
        <f>INTERCEPT(AV133:AX133,AV132:AX132)</f>
        <v>0.86499999999999999</v>
      </c>
      <c r="AL133" s="56">
        <f>INDEX(LINEST(LN(AV133:AX133),LN(AV132:AX132),TRUE,TRUE),3,1)</f>
        <v>0.98489641604852174</v>
      </c>
      <c r="AM133" s="56">
        <f>INDEX(LINEST(LN(AV133:AX133),LN(AV132:AX132)),1)</f>
        <v>-4.3731420625169652E-2</v>
      </c>
      <c r="AN133" s="56">
        <f>EXP(INDEX(LINEST(LN(AV133:AX133),LN(AV132:AX132)),1,2))</f>
        <v>0.86708337354371856</v>
      </c>
      <c r="AO133" s="82">
        <f>INDEX(LINEST((AV133:AX133),LN(AV132:AX132),TRUE,TRUE),3,1)</f>
        <v>0.98684210526315808</v>
      </c>
      <c r="AP133" s="82">
        <f>INDEX(LINEST((AV133:AX133),LN(AV132:AX132)),1)</f>
        <v>-3.6067376022224026E-2</v>
      </c>
      <c r="AQ133" s="83">
        <f>INDEX(LINEST(LN(AV133:AX133),SQRT(AV132:AX132),TRUE,TRUE),3,1)</f>
        <v>0.99940121225204026</v>
      </c>
      <c r="AR133" s="116">
        <f>INDEX(LINEST(LN(AV133:AX133),SQRT((AV132:AX132))),1)</f>
        <v>-4.9620109344415748E-2</v>
      </c>
      <c r="AS133" s="84">
        <f>INDEX(LINEST(1/(AV133:AX133),1/(SQRT(AV132:AX132)),TRUE,TRUE),3,1)</f>
        <v>0.94796474446504519</v>
      </c>
      <c r="AT133" s="84">
        <f>INDEX(LINEST(1/(AV133:AX133),1/SQRT(AV132:AX132)),1)</f>
        <v>-0.17602433847644572</v>
      </c>
      <c r="AU133" s="3"/>
      <c r="AV133" s="53">
        <v>0.85</v>
      </c>
      <c r="AW133" s="53">
        <v>0.83</v>
      </c>
      <c r="AX133" s="53">
        <v>0.8</v>
      </c>
      <c r="AY133" s="53"/>
      <c r="AZ133" s="53"/>
      <c r="BA133" s="53"/>
      <c r="BB133" s="53"/>
      <c r="BC133" s="53"/>
      <c r="BD133" s="53"/>
      <c r="BE133" s="53"/>
      <c r="BF133" s="53"/>
      <c r="BG133" s="53"/>
      <c r="BH133" s="53"/>
      <c r="BI133" s="53"/>
      <c r="BJ133" s="53"/>
      <c r="BK133" s="53"/>
      <c r="BL133" s="53"/>
      <c r="BM133" s="53"/>
      <c r="BN133" s="53"/>
      <c r="BO133" s="53"/>
      <c r="BP133" s="53"/>
      <c r="BQ133" s="53"/>
      <c r="BR133" s="53"/>
      <c r="BS133" s="53"/>
      <c r="BT133" s="53"/>
      <c r="BU133" s="53"/>
      <c r="BV133" s="53"/>
      <c r="BW133" s="53"/>
      <c r="BX133" s="53"/>
      <c r="BY133" s="53"/>
      <c r="BZ133" s="53"/>
      <c r="CA133" s="53"/>
      <c r="CB133" s="53"/>
      <c r="CC133" s="53"/>
      <c r="CD133" s="53"/>
      <c r="CE133" s="53"/>
      <c r="CF133" s="53"/>
      <c r="CG133" s="53"/>
      <c r="CH133" s="53"/>
      <c r="CI133" s="53"/>
      <c r="CJ133" s="53"/>
      <c r="CK133" s="53"/>
      <c r="CL133" s="53"/>
      <c r="CM133" s="53"/>
      <c r="CN133" s="53"/>
      <c r="CO133" s="53"/>
      <c r="CP133" s="53"/>
      <c r="CQ133" s="53"/>
      <c r="CR133" s="1"/>
      <c r="CS133" s="1"/>
      <c r="CT133" s="1"/>
      <c r="CU133" s="1"/>
    </row>
    <row r="134" spans="1:99" s="13" customFormat="1" ht="12" customHeight="1" x14ac:dyDescent="0.2">
      <c r="A134" s="65">
        <v>43916</v>
      </c>
      <c r="B134" s="1"/>
      <c r="C134" s="1"/>
      <c r="D134" s="60"/>
      <c r="E134" s="76"/>
      <c r="F134" s="60"/>
      <c r="G134" s="60"/>
      <c r="H134" s="60"/>
      <c r="I134" s="60"/>
      <c r="J134" s="60"/>
      <c r="K134" s="64"/>
      <c r="L134" s="64"/>
      <c r="M134" s="60"/>
      <c r="N134" s="60"/>
      <c r="O134" s="60"/>
      <c r="P134" s="60"/>
      <c r="Q134" s="60"/>
      <c r="R134" s="60"/>
      <c r="S134" s="60"/>
      <c r="T134" s="59"/>
      <c r="U134" s="60"/>
      <c r="V134" s="59"/>
      <c r="W134" s="60"/>
      <c r="X134" s="60"/>
      <c r="Y134" s="76"/>
      <c r="Z134" s="60"/>
      <c r="AA134" s="60"/>
      <c r="AB134" s="60"/>
      <c r="AC134" s="60"/>
      <c r="AD134" s="60"/>
      <c r="AE134" s="60"/>
      <c r="AF134" s="80"/>
      <c r="AG134" s="56"/>
      <c r="AH134" s="4"/>
      <c r="AI134" s="56"/>
      <c r="AJ134" s="109"/>
      <c r="AK134" s="56"/>
      <c r="AL134" s="56"/>
      <c r="AM134" s="56"/>
      <c r="AN134" s="56"/>
      <c r="AO134" s="82"/>
      <c r="AP134" s="82"/>
      <c r="AQ134" s="82"/>
      <c r="AR134" s="115"/>
      <c r="AS134" s="82"/>
      <c r="AT134" s="82"/>
      <c r="AU134" s="3"/>
      <c r="AV134" s="54">
        <v>1.5</v>
      </c>
      <c r="AW134" s="25">
        <v>3</v>
      </c>
      <c r="AX134" s="25">
        <v>6</v>
      </c>
      <c r="AY134" s="53"/>
      <c r="AZ134" s="53"/>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3"/>
      <c r="CA134" s="53"/>
      <c r="CB134" s="53"/>
      <c r="CC134" s="53"/>
      <c r="CD134" s="53"/>
      <c r="CE134" s="53"/>
      <c r="CF134" s="53"/>
      <c r="CG134" s="53"/>
      <c r="CH134" s="53"/>
      <c r="CI134" s="53"/>
      <c r="CJ134" s="53"/>
      <c r="CK134" s="53"/>
      <c r="CL134" s="53"/>
      <c r="CM134" s="53"/>
      <c r="CN134" s="53"/>
      <c r="CO134" s="53"/>
      <c r="CP134" s="53"/>
      <c r="CQ134" s="53"/>
      <c r="CR134" s="1"/>
      <c r="CS134" s="1"/>
      <c r="CT134" s="1"/>
      <c r="CU134" s="1"/>
    </row>
    <row r="135" spans="1:99" s="13" customFormat="1" ht="12" customHeight="1" x14ac:dyDescent="0.2">
      <c r="A135" s="65">
        <v>43916</v>
      </c>
      <c r="B135" s="1" t="s">
        <v>567</v>
      </c>
      <c r="C135" s="1" t="s">
        <v>45</v>
      </c>
      <c r="D135" s="60">
        <v>2020</v>
      </c>
      <c r="E135" s="76">
        <v>5</v>
      </c>
      <c r="F135" s="60">
        <v>63</v>
      </c>
      <c r="G135" s="60">
        <v>63</v>
      </c>
      <c r="H135" s="60" t="s">
        <v>341</v>
      </c>
      <c r="I135" s="60" t="s">
        <v>782</v>
      </c>
      <c r="J135" s="60" t="s">
        <v>764</v>
      </c>
      <c r="K135" s="60">
        <f>IF(J135="syllables",1,IF(J135="trigrams",2,IF(J135="strings",3,IF(J135="visual array",4,IF(J135="characters",5,IF(J135="letters",6,IF(J135="free forms",7,IF(J135="odors",8,IF(J135="words",9,IF(J135="pictures",10,IF(J135="object pictures",11,IF(J135="faces",12,IF(J135="names",13,IF(J135="idioms",14,IF(J135="grades",15,IF(J135="syllable-digit pairs",16,IF(J135="trigram-word pairs",17,IF(J135="word-digit pairs",18,IF(J135="English-Swahili pairs",19,IF(J135="spatial position",20,IF(J135="word pairs",21,IF(J135="word triads",22,IF(J135="generated words",23,IF(J135="word definition pairs",24,IF(J135="math problems",25,IF(J135="famous faces",26,IF(J135="famous names",27,IF(J135="famous voices",28,IF(J135="television programs",29,IF(J135="race horses",30,IF(J135="new vocabulary",31,IF(J135="sentences",32,IF(J135="concepts",33,IF(J135="ad slides",34,IF(J135="scenes",35,IF(J135="famous scenes",36,IF(J135="poems",37,IF(J135="walk",38,IF(J135="faces and events",39,IF(J135="events and names",40,IF(J135="flashbulb",41,IF(J135="stories",42,IF(J135="course material",43,IF(J135="autobiographical",44,IF(J135="novels",45,IF(J135="public events",46,"99"))))))))))))))))))))))))))))))))))))))))))))))</f>
        <v>4</v>
      </c>
      <c r="L135" s="60">
        <f>IF(J135="syllables",1,IF(J135="trigrams",1,IF(J135="strings",1,IF(J135="visual array",1,IF(J135="characters",1,IF(J135="letters",1,IF(J135="free forms",1,IF(J135="odors",2,IF(J135="words",2,IF(J135="pictures",2,IF(J135="object pictures",2,IF(J135="faces",2,IF(J135="names",2,IF(J135="idioms","2",IF(J135="grades",2,IF(J135="syllable-digit pairs",3,IF(J135="trigram-word pairs",3,IF(J135="word-digit pairs",3,IF(J135="English-Swahili pairs",3,IF(J135="spatial position",3,IF(J135="word pairs",4,IF(J135="word triads",4,IF(J135="generated words",4,IF(J135="word definition pairs",4,IF(J135="math problems",4,IF(J135="famous faces",4,IF(J135="famous names",4,IF(J135="famous voices",4,IF(J135="television programs",4,IF(J135="race horses",4,IF(J135="new vocabulary",4,IF(J135="sentences",5,IF(J135="concepts",5,IF(J135="ad slides",5,IF(J135="scenes",5,IF(J135="famous scenes",5,IF(J135="poems",6,IF(J135="walk",6,IF(J135="faces and events",6,IF(J135="events and names",6,IF(J135="flashbulb",7,IF(J135="stories",7,IF(J135="course material",7,IF(J135="autobiographical",7,IF(J135="novels",7,IF(J135="public events",7,"99"))))))))))))))))))))))))))))))))))))))))))))))</f>
        <v>1</v>
      </c>
      <c r="M135" s="60">
        <v>0</v>
      </c>
      <c r="N135" s="60">
        <v>1</v>
      </c>
      <c r="O135" s="60">
        <v>0</v>
      </c>
      <c r="P135" s="60"/>
      <c r="Q135" s="60" t="s">
        <v>174</v>
      </c>
      <c r="R135" s="60">
        <f>IF(Q135="Free Recall",1,IF(Q135="Cued Recall",2,IF(Q135="Recognition",3,IF(Q135="Multiple Choice",4,IF(Q135="Savings",5,IF(Q135="Stem Completion",6,IF(Q135="Fragment Completion",7,IF(Q135="anagram solution",8,IF(Q135="Matching",9,IF(Q135="Problem Solving",10,"99"))))))))))</f>
        <v>1</v>
      </c>
      <c r="S135" s="60" t="s">
        <v>49</v>
      </c>
      <c r="T135" s="59" t="s">
        <v>581</v>
      </c>
      <c r="U135" s="60">
        <f>IF(T135="within",1,0)</f>
        <v>1</v>
      </c>
      <c r="V135" s="59">
        <v>108</v>
      </c>
      <c r="W135" s="60">
        <f>F135*V135</f>
        <v>6804</v>
      </c>
      <c r="X135" s="60">
        <v>3</v>
      </c>
      <c r="Y135" s="76">
        <f>AV134</f>
        <v>1.5</v>
      </c>
      <c r="Z135" s="60" t="s">
        <v>39</v>
      </c>
      <c r="AA135" s="60">
        <v>6</v>
      </c>
      <c r="AB135" s="60" t="str">
        <f>IF(AA135&lt;60,"1",IF(AA135&lt;=43200,"2",IF(AA135&lt;=777600,"3","4")))</f>
        <v>1</v>
      </c>
      <c r="AC135" s="56">
        <f>AVERAGE(AV134:DA134)</f>
        <v>3.5</v>
      </c>
      <c r="AD135" s="60" t="str">
        <f>IF(AC135&lt;60,"1",IF(AC135&lt;=43200,"2",IF(AC135&lt;=777600,"3","4")))</f>
        <v>1</v>
      </c>
      <c r="AE135" s="76">
        <f>AA135-Y135</f>
        <v>4.5</v>
      </c>
      <c r="AF135" s="80">
        <f>AV135</f>
        <v>0.68</v>
      </c>
      <c r="AG135" s="56">
        <f>((AW135-AV135)+(AX135-AW135))/2</f>
        <v>-3.0000000000000027E-2</v>
      </c>
      <c r="AH135" s="4"/>
      <c r="AI135" s="56">
        <f>RSQ(AV135:AX135,AV134:AX134)</f>
        <v>1</v>
      </c>
      <c r="AJ135" s="109">
        <f>SLOPE(AV135:AX135,AV134:AX134)</f>
        <v>-1.3333333333333345E-2</v>
      </c>
      <c r="AK135" s="56">
        <f>INTERCEPT(AV135:AX135,AV134:AX134)</f>
        <v>0.70000000000000007</v>
      </c>
      <c r="AL135" s="56">
        <f>INDEX(LINEST(LN(AV135:AX135),LN(AV134:AX134),TRUE,TRUE),3,1)</f>
        <v>0.95998002515107472</v>
      </c>
      <c r="AM135" s="56">
        <f>INDEX(LINEST(LN(AV135:AX135),LN(AV134:AX134)),1)</f>
        <v>-6.6633265431732133E-2</v>
      </c>
      <c r="AN135" s="56">
        <f>EXP(INDEX(LINEST(LN(AV135:AX135),LN(AV134:AX134)),1,2))</f>
        <v>0.70243637518924396</v>
      </c>
      <c r="AO135" s="82">
        <f>INDEX(LINEST((AV135:AX135),LN(AV134:AX134),TRUE,TRUE),3,1)</f>
        <v>0.9642857142857143</v>
      </c>
      <c r="AP135" s="82">
        <f>INDEX(LINEST((AV135:AX135),LN(AV134:AX134)),1)</f>
        <v>-4.3280851226668929E-2</v>
      </c>
      <c r="AQ135" s="83">
        <f>INDEX(LINEST(LN(AV135:AX135),SQRT(AV134:AX134),TRUE,TRUE),3,1)</f>
        <v>0.98949517653137298</v>
      </c>
      <c r="AR135" s="116">
        <f>INDEX(LINEST(LN(AV135:AX135),SQRT((AV134:AX134))),1)</f>
        <v>-7.6200235431872779E-2</v>
      </c>
      <c r="AS135" s="84">
        <f>INDEX(LINEST(1/(AV135:AX135),1/(SQRT(AV134:AX134)),TRUE,TRUE),3,1)</f>
        <v>0.90620897562480529</v>
      </c>
      <c r="AT135" s="84">
        <f>INDEX(LINEST(1/(AV135:AX135),1/SQRT(AV134:AX134)),1)</f>
        <v>-0.33783305432160798</v>
      </c>
      <c r="AU135" s="3"/>
      <c r="AV135" s="53">
        <v>0.68</v>
      </c>
      <c r="AW135" s="53">
        <v>0.66</v>
      </c>
      <c r="AX135" s="53">
        <v>0.62</v>
      </c>
      <c r="AY135" s="53"/>
      <c r="AZ135" s="53"/>
      <c r="BA135" s="53"/>
      <c r="BB135" s="53"/>
      <c r="BC135" s="53"/>
      <c r="BD135" s="53"/>
      <c r="BE135" s="53"/>
      <c r="BF135" s="53"/>
      <c r="BG135" s="53"/>
      <c r="BH135" s="53"/>
      <c r="BI135" s="53"/>
      <c r="BJ135" s="53"/>
      <c r="BK135" s="53"/>
      <c r="BL135" s="53"/>
      <c r="BM135" s="53"/>
      <c r="BN135" s="53"/>
      <c r="BO135" s="53"/>
      <c r="BP135" s="53"/>
      <c r="BQ135" s="53"/>
      <c r="BR135" s="53"/>
      <c r="BS135" s="53"/>
      <c r="BT135" s="53"/>
      <c r="BU135" s="53"/>
      <c r="BV135" s="53"/>
      <c r="BW135" s="53"/>
      <c r="BX135" s="53"/>
      <c r="BY135" s="53"/>
      <c r="BZ135" s="53"/>
      <c r="CA135" s="53"/>
      <c r="CB135" s="53"/>
      <c r="CC135" s="53"/>
      <c r="CD135" s="53"/>
      <c r="CE135" s="53"/>
      <c r="CF135" s="53"/>
      <c r="CG135" s="53"/>
      <c r="CH135" s="53"/>
      <c r="CI135" s="53"/>
      <c r="CJ135" s="53"/>
      <c r="CK135" s="53"/>
      <c r="CL135" s="53"/>
      <c r="CM135" s="53"/>
      <c r="CN135" s="53"/>
      <c r="CO135" s="53"/>
      <c r="CP135" s="53"/>
      <c r="CQ135" s="53"/>
      <c r="CR135" s="1"/>
      <c r="CS135" s="1"/>
      <c r="CT135" s="1"/>
      <c r="CU135" s="1"/>
    </row>
    <row r="136" spans="1:99" s="13" customFormat="1" ht="12" customHeight="1" x14ac:dyDescent="0.2">
      <c r="A136" s="65">
        <v>43916</v>
      </c>
      <c r="B136" s="1"/>
      <c r="C136" s="1"/>
      <c r="D136" s="60"/>
      <c r="E136" s="76"/>
      <c r="F136" s="60"/>
      <c r="G136" s="60"/>
      <c r="H136" s="60"/>
      <c r="I136" s="60"/>
      <c r="J136" s="60"/>
      <c r="K136" s="64"/>
      <c r="L136" s="64"/>
      <c r="M136" s="60"/>
      <c r="N136" s="60"/>
      <c r="O136" s="60"/>
      <c r="P136" s="60"/>
      <c r="Q136" s="60"/>
      <c r="R136" s="60"/>
      <c r="S136" s="60"/>
      <c r="T136" s="59"/>
      <c r="U136" s="60"/>
      <c r="V136" s="59"/>
      <c r="W136" s="60"/>
      <c r="X136" s="60"/>
      <c r="Y136" s="76"/>
      <c r="Z136" s="60"/>
      <c r="AA136" s="60"/>
      <c r="AB136" s="60"/>
      <c r="AC136" s="60"/>
      <c r="AD136" s="60"/>
      <c r="AE136" s="60"/>
      <c r="AF136" s="80"/>
      <c r="AG136" s="56"/>
      <c r="AH136" s="4"/>
      <c r="AI136" s="56"/>
      <c r="AJ136" s="109"/>
      <c r="AK136" s="56"/>
      <c r="AL136" s="56"/>
      <c r="AM136" s="56"/>
      <c r="AN136" s="56"/>
      <c r="AO136" s="82"/>
      <c r="AP136" s="82"/>
      <c r="AQ136" s="82"/>
      <c r="AR136" s="115"/>
      <c r="AS136" s="82"/>
      <c r="AT136" s="82"/>
      <c r="AU136" s="3"/>
      <c r="AV136" s="54">
        <v>1.5</v>
      </c>
      <c r="AW136" s="25">
        <v>3</v>
      </c>
      <c r="AX136" s="25">
        <v>6</v>
      </c>
      <c r="AY136" s="53"/>
      <c r="AZ136" s="53"/>
      <c r="BA136" s="53"/>
      <c r="BB136" s="53"/>
      <c r="BC136" s="53"/>
      <c r="BD136" s="53"/>
      <c r="BE136" s="53"/>
      <c r="BF136" s="53"/>
      <c r="BG136" s="53"/>
      <c r="BH136" s="53"/>
      <c r="BI136" s="53"/>
      <c r="BJ136" s="53"/>
      <c r="BK136" s="53"/>
      <c r="BL136" s="53"/>
      <c r="BM136" s="53"/>
      <c r="BN136" s="53"/>
      <c r="BO136" s="53"/>
      <c r="BP136" s="53"/>
      <c r="BQ136" s="53"/>
      <c r="BR136" s="53"/>
      <c r="BS136" s="53"/>
      <c r="BT136" s="53"/>
      <c r="BU136" s="53"/>
      <c r="BV136" s="53"/>
      <c r="BW136" s="53"/>
      <c r="BX136" s="53"/>
      <c r="BY136" s="53"/>
      <c r="BZ136" s="53"/>
      <c r="CA136" s="53"/>
      <c r="CB136" s="53"/>
      <c r="CC136" s="53"/>
      <c r="CD136" s="53"/>
      <c r="CE136" s="53"/>
      <c r="CF136" s="53"/>
      <c r="CG136" s="53"/>
      <c r="CH136" s="53"/>
      <c r="CI136" s="53"/>
      <c r="CJ136" s="53"/>
      <c r="CK136" s="53"/>
      <c r="CL136" s="53"/>
      <c r="CM136" s="53"/>
      <c r="CN136" s="53"/>
      <c r="CO136" s="53"/>
      <c r="CP136" s="53"/>
      <c r="CQ136" s="53"/>
      <c r="CR136" s="1"/>
      <c r="CS136" s="1"/>
      <c r="CT136" s="1"/>
      <c r="CU136" s="1"/>
    </row>
    <row r="137" spans="1:99" s="13" customFormat="1" ht="12" customHeight="1" x14ac:dyDescent="0.2">
      <c r="A137" s="65">
        <v>43916</v>
      </c>
      <c r="B137" s="1" t="s">
        <v>567</v>
      </c>
      <c r="C137" s="1" t="s">
        <v>45</v>
      </c>
      <c r="D137" s="60">
        <v>2020</v>
      </c>
      <c r="E137" s="76">
        <v>5</v>
      </c>
      <c r="F137" s="60">
        <v>63</v>
      </c>
      <c r="G137" s="60">
        <v>63</v>
      </c>
      <c r="H137" s="60" t="s">
        <v>341</v>
      </c>
      <c r="I137" s="60" t="s">
        <v>783</v>
      </c>
      <c r="J137" s="60" t="s">
        <v>764</v>
      </c>
      <c r="K137" s="60">
        <f>IF(J137="syllables",1,IF(J137="trigrams",2,IF(J137="strings",3,IF(J137="visual array",4,IF(J137="characters",5,IF(J137="letters",6,IF(J137="free forms",7,IF(J137="odors",8,IF(J137="words",9,IF(J137="pictures",10,IF(J137="object pictures",11,IF(J137="faces",12,IF(J137="names",13,IF(J137="idioms",14,IF(J137="grades",15,IF(J137="syllable-digit pairs",16,IF(J137="trigram-word pairs",17,IF(J137="word-digit pairs",18,IF(J137="English-Swahili pairs",19,IF(J137="spatial position",20,IF(J137="word pairs",21,IF(J137="word triads",22,IF(J137="generated words",23,IF(J137="word definition pairs",24,IF(J137="math problems",25,IF(J137="famous faces",26,IF(J137="famous names",27,IF(J137="famous voices",28,IF(J137="television programs",29,IF(J137="race horses",30,IF(J137="new vocabulary",31,IF(J137="sentences",32,IF(J137="concepts",33,IF(J137="ad slides",34,IF(J137="scenes",35,IF(J137="famous scenes",36,IF(J137="poems",37,IF(J137="walk",38,IF(J137="faces and events",39,IF(J137="events and names",40,IF(J137="flashbulb",41,IF(J137="stories",42,IF(J137="course material",43,IF(J137="autobiographical",44,IF(J137="novels",45,IF(J137="public events",46,"99"))))))))))))))))))))))))))))))))))))))))))))))</f>
        <v>4</v>
      </c>
      <c r="L137" s="60">
        <f>IF(J137="syllables",1,IF(J137="trigrams",1,IF(J137="strings",1,IF(J137="visual array",1,IF(J137="characters",1,IF(J137="letters",1,IF(J137="free forms",1,IF(J137="odors",2,IF(J137="words",2,IF(J137="pictures",2,IF(J137="object pictures",2,IF(J137="faces",2,IF(J137="names",2,IF(J137="idioms","2",IF(J137="grades",2,IF(J137="syllable-digit pairs",3,IF(J137="trigram-word pairs",3,IF(J137="word-digit pairs",3,IF(J137="English-Swahili pairs",3,IF(J137="spatial position",3,IF(J137="word pairs",4,IF(J137="word triads",4,IF(J137="generated words",4,IF(J137="word definition pairs",4,IF(J137="math problems",4,IF(J137="famous faces",4,IF(J137="famous names",4,IF(J137="famous voices",4,IF(J137="television programs",4,IF(J137="race horses",4,IF(J137="new vocabulary",4,IF(J137="sentences",5,IF(J137="concepts",5,IF(J137="ad slides",5,IF(J137="scenes",5,IF(J137="famous scenes",5,IF(J137="poems",6,IF(J137="walk",6,IF(J137="faces and events",6,IF(J137="events and names",6,IF(J137="flashbulb",7,IF(J137="stories",7,IF(J137="course material",7,IF(J137="autobiographical",7,IF(J137="novels",7,IF(J137="public events",7,"99"))))))))))))))))))))))))))))))))))))))))))))))</f>
        <v>1</v>
      </c>
      <c r="M137" s="60">
        <v>0</v>
      </c>
      <c r="N137" s="60">
        <v>1</v>
      </c>
      <c r="O137" s="60">
        <v>0</v>
      </c>
      <c r="P137" s="60"/>
      <c r="Q137" s="60" t="s">
        <v>174</v>
      </c>
      <c r="R137" s="60">
        <f>IF(Q137="Free Recall",1,IF(Q137="Cued Recall",2,IF(Q137="Recognition",3,IF(Q137="Multiple Choice",4,IF(Q137="Savings",5,IF(Q137="Stem Completion",6,IF(Q137="Fragment Completion",7,IF(Q137="anagram solution",8,IF(Q137="Matching",9,IF(Q137="Problem Solving",10,"99"))))))))))</f>
        <v>1</v>
      </c>
      <c r="S137" s="60" t="s">
        <v>49</v>
      </c>
      <c r="T137" s="59" t="s">
        <v>581</v>
      </c>
      <c r="U137" s="60">
        <f>IF(T137="within",1,0)</f>
        <v>1</v>
      </c>
      <c r="V137" s="59">
        <v>108</v>
      </c>
      <c r="W137" s="60">
        <f>F137*V137</f>
        <v>6804</v>
      </c>
      <c r="X137" s="60">
        <v>3</v>
      </c>
      <c r="Y137" s="76">
        <f>AV136</f>
        <v>1.5</v>
      </c>
      <c r="Z137" s="60" t="s">
        <v>39</v>
      </c>
      <c r="AA137" s="60">
        <v>6</v>
      </c>
      <c r="AB137" s="60" t="str">
        <f>IF(AA137&lt;60,"1",IF(AA137&lt;=43200,"2",IF(AA137&lt;=777600,"3","4")))</f>
        <v>1</v>
      </c>
      <c r="AC137" s="56">
        <f>AVERAGE(AV136:DA136)</f>
        <v>3.5</v>
      </c>
      <c r="AD137" s="60" t="str">
        <f>IF(AC137&lt;60,"1",IF(AC137&lt;=43200,"2",IF(AC137&lt;=777600,"3","4")))</f>
        <v>1</v>
      </c>
      <c r="AE137" s="76">
        <f>AA137-Y137</f>
        <v>4.5</v>
      </c>
      <c r="AF137" s="80">
        <f>AV137</f>
        <v>0.66</v>
      </c>
      <c r="AG137" s="56">
        <f>((AW137-AV137)+(AX137-AW137))/2</f>
        <v>-2.0000000000000018E-2</v>
      </c>
      <c r="AH137" s="4"/>
      <c r="AI137" s="56">
        <f>RSQ(AV137:AX137,AV136:AX136)</f>
        <v>0.9642857142857143</v>
      </c>
      <c r="AJ137" s="109">
        <f>SLOPE(AV137:AX137,AV136:AX136)</f>
        <v>-8.5714285714285788E-3</v>
      </c>
      <c r="AK137" s="56">
        <f>INTERCEPT(AV137:AX137,AV136:AX136)</f>
        <v>0.67</v>
      </c>
      <c r="AL137" s="56">
        <f>INDEX(LINEST(LN(AV137:AX137),LN(AV136:AX136),TRUE,TRUE),3,1)</f>
        <v>0.99991859991298915</v>
      </c>
      <c r="AM137" s="56">
        <f>INDEX(LINEST(LN(AV137:AX137),LN(AV136:AX136)),1)</f>
        <v>-4.5098904485789126E-2</v>
      </c>
      <c r="AN137" s="56">
        <f>EXP(INDEX(LINEST(LN(AV137:AX137),LN(AV136:AX136)),1,2))</f>
        <v>0.67228926861097171</v>
      </c>
      <c r="AO137" s="82">
        <f>INDEX(LINEST((AV137:AX137),LN(AV136:AX136),TRUE,TRUE),3,1)</f>
        <v>1</v>
      </c>
      <c r="AP137" s="82">
        <f>INDEX(LINEST((AV137:AX137),LN(AV136:AX136)),1)</f>
        <v>-2.8853900817779294E-2</v>
      </c>
      <c r="AQ137" s="83">
        <f>INDEX(LINEST(LN(AV137:AX137),SQRT(AV136:AX136),TRUE,TRUE),3,1)</f>
        <v>0.99197310765473767</v>
      </c>
      <c r="AR137" s="116">
        <f>INDEX(LINEST(LN(AV137:AX137),SQRT((AV136:AX136))),1)</f>
        <v>-5.0596804817391663E-2</v>
      </c>
      <c r="AS137" s="84">
        <f>INDEX(LINEST(1/(AV137:AX137),1/(SQRT(AV136:AX136)),TRUE,TRUE),3,1)</f>
        <v>0.98642529001912516</v>
      </c>
      <c r="AT137" s="84">
        <f>INDEX(LINEST(1/(AV137:AX137),1/SQRT(AV136:AX136)),1)</f>
        <v>-0.23669136360171308</v>
      </c>
      <c r="AU137" s="3"/>
      <c r="AV137" s="53">
        <v>0.66</v>
      </c>
      <c r="AW137" s="53">
        <v>0.64</v>
      </c>
      <c r="AX137" s="53">
        <v>0.62</v>
      </c>
      <c r="AY137" s="53"/>
      <c r="AZ137" s="53"/>
      <c r="BA137" s="53"/>
      <c r="BB137" s="53"/>
      <c r="BC137" s="53"/>
      <c r="BD137" s="53"/>
      <c r="BE137" s="53"/>
      <c r="BF137" s="53"/>
      <c r="BG137" s="53"/>
      <c r="BH137" s="53"/>
      <c r="BI137" s="53"/>
      <c r="BJ137" s="53"/>
      <c r="BK137" s="53"/>
      <c r="BL137" s="53"/>
      <c r="BM137" s="53"/>
      <c r="BN137" s="53"/>
      <c r="BO137" s="53"/>
      <c r="BP137" s="53"/>
      <c r="BQ137" s="53"/>
      <c r="BR137" s="53"/>
      <c r="BS137" s="53"/>
      <c r="BT137" s="53"/>
      <c r="BU137" s="53"/>
      <c r="BV137" s="53"/>
      <c r="BW137" s="53"/>
      <c r="BX137" s="53"/>
      <c r="BY137" s="53"/>
      <c r="BZ137" s="53"/>
      <c r="CA137" s="53"/>
      <c r="CB137" s="53"/>
      <c r="CC137" s="53"/>
      <c r="CD137" s="53"/>
      <c r="CE137" s="53"/>
      <c r="CF137" s="53"/>
      <c r="CG137" s="53"/>
      <c r="CH137" s="53"/>
      <c r="CI137" s="53"/>
      <c r="CJ137" s="53"/>
      <c r="CK137" s="53"/>
      <c r="CL137" s="53"/>
      <c r="CM137" s="53"/>
      <c r="CN137" s="53"/>
      <c r="CO137" s="53"/>
      <c r="CP137" s="53"/>
      <c r="CQ137" s="53"/>
      <c r="CR137" s="1"/>
      <c r="CS137" s="1"/>
      <c r="CT137" s="1"/>
      <c r="CU137" s="1"/>
    </row>
    <row r="138" spans="1:99" s="13" customFormat="1" ht="12" customHeight="1" x14ac:dyDescent="0.2">
      <c r="A138" s="65">
        <v>43897</v>
      </c>
      <c r="B138" s="22"/>
      <c r="C138" s="1"/>
      <c r="D138" s="60"/>
      <c r="E138" s="76"/>
      <c r="F138" s="60"/>
      <c r="G138" s="60"/>
      <c r="H138" s="60"/>
      <c r="I138" s="60"/>
      <c r="J138" s="60"/>
      <c r="K138" s="64"/>
      <c r="L138" s="64"/>
      <c r="M138" s="60"/>
      <c r="N138" s="61"/>
      <c r="O138" s="60"/>
      <c r="P138" s="60"/>
      <c r="Q138" s="60"/>
      <c r="R138" s="60"/>
      <c r="S138" s="60"/>
      <c r="T138" s="59"/>
      <c r="U138" s="60"/>
      <c r="V138" s="59"/>
      <c r="W138" s="60"/>
      <c r="X138" s="60"/>
      <c r="Y138" s="76"/>
      <c r="Z138" s="60"/>
      <c r="AA138" s="60"/>
      <c r="AB138" s="60"/>
      <c r="AC138" s="56"/>
      <c r="AD138" s="60"/>
      <c r="AE138" s="60"/>
      <c r="AF138" s="80"/>
      <c r="AG138" s="56"/>
      <c r="AH138" s="4"/>
      <c r="AI138" s="56"/>
      <c r="AJ138" s="109"/>
      <c r="AK138" s="56"/>
      <c r="AL138" s="56"/>
      <c r="AM138" s="56"/>
      <c r="AN138" s="56"/>
      <c r="AO138" s="82"/>
      <c r="AP138" s="82"/>
      <c r="AQ138" s="83"/>
      <c r="AR138" s="116"/>
      <c r="AS138" s="84"/>
      <c r="AT138" s="84"/>
      <c r="AU138" s="3"/>
      <c r="AV138" s="53">
        <v>0.01</v>
      </c>
      <c r="AW138" s="25">
        <v>3</v>
      </c>
      <c r="AX138" s="25">
        <v>9</v>
      </c>
      <c r="AY138" s="25">
        <v>18</v>
      </c>
      <c r="AZ138" s="53"/>
      <c r="BA138" s="53"/>
      <c r="BB138" s="53"/>
      <c r="BC138" s="53"/>
      <c r="BD138" s="53"/>
      <c r="BE138" s="53"/>
      <c r="BF138" s="53"/>
      <c r="BG138" s="53"/>
      <c r="BH138" s="53"/>
      <c r="BI138" s="53"/>
      <c r="BJ138" s="53"/>
      <c r="BK138" s="53"/>
      <c r="BL138" s="53"/>
      <c r="BM138" s="53"/>
      <c r="BN138" s="53"/>
      <c r="BO138" s="53"/>
      <c r="BP138" s="53"/>
      <c r="BQ138" s="53"/>
      <c r="BR138" s="53"/>
      <c r="BS138" s="53"/>
      <c r="BT138" s="53"/>
      <c r="BU138" s="53"/>
      <c r="BV138" s="53"/>
      <c r="BW138" s="53"/>
      <c r="BX138" s="53"/>
      <c r="BY138" s="53"/>
      <c r="BZ138" s="53"/>
      <c r="CA138" s="53"/>
      <c r="CB138" s="53"/>
      <c r="CC138" s="53"/>
      <c r="CD138" s="53"/>
      <c r="CE138" s="53"/>
      <c r="CF138" s="53"/>
      <c r="CG138" s="53"/>
      <c r="CH138" s="53"/>
      <c r="CI138" s="53"/>
      <c r="CJ138" s="53"/>
      <c r="CK138" s="53"/>
      <c r="CL138" s="53"/>
      <c r="CM138" s="53"/>
      <c r="CN138" s="53"/>
      <c r="CO138" s="53"/>
      <c r="CP138" s="53"/>
      <c r="CQ138" s="53"/>
      <c r="CR138" s="1"/>
      <c r="CS138" s="1"/>
      <c r="CT138" s="1"/>
      <c r="CU138" s="1"/>
    </row>
    <row r="139" spans="1:99" s="13" customFormat="1" ht="12" customHeight="1" x14ac:dyDescent="0.2">
      <c r="A139" s="65">
        <v>43897</v>
      </c>
      <c r="B139" s="22" t="s">
        <v>411</v>
      </c>
      <c r="C139" s="22" t="s">
        <v>54</v>
      </c>
      <c r="D139" s="66">
        <v>1978</v>
      </c>
      <c r="E139" s="76">
        <v>1</v>
      </c>
      <c r="F139" s="60">
        <v>10</v>
      </c>
      <c r="G139" s="60">
        <v>10</v>
      </c>
      <c r="H139" s="60" t="s">
        <v>50</v>
      </c>
      <c r="I139" s="60" t="s">
        <v>330</v>
      </c>
      <c r="J139" s="60" t="s">
        <v>443</v>
      </c>
      <c r="K139" s="60">
        <f>IF(J139="syllables",1,IF(J139="trigrams",2,IF(J139="strings",3,IF(J139="visual array",4,IF(J139="characters",5,IF(J139="letters",6,IF(J139="free forms",7,IF(J139="odors",8,IF(J139="words",9,IF(J139="pictures",10,IF(J139="object pictures",11,IF(J139="faces",12,IF(J139="names",13,IF(J139="idioms",14,IF(J139="grades",15,IF(J139="syllable-digit pairs",16,IF(J139="trigram-word pairs",17,IF(J139="word-digit pairs",18,IF(J139="English-Swahili pairs",19,IF(J139="spatial position",20,IF(J139="word pairs",21,IF(J139="word triads",22,IF(J139="generated words",23,IF(J139="word definition pairs",24,IF(J139="math problems",25,IF(J139="famous faces",26,IF(J139="famous names",27,IF(J139="famous voices",28,IF(J139="television programs",29,IF(J139="race horses",30,IF(J139="new vocabulary",31,IF(J139="sentences",32,IF(J139="concepts",33,IF(J139="ad slides",34,IF(J139="scenes",35,IF(J139="famous scenes",36,IF(J139="poems",37,IF(J139="walk",38,IF(J139="faces and events",39,IF(J139="events and names",40,IF(J139="flashbulb",41,IF(J139="stories",42,IF(J139="course material",43,IF(J139="autobiographical",44,IF(J139="novels",45,IF(J139="public events",46,"99"))))))))))))))))))))))))))))))))))))))))))))))</f>
        <v>2</v>
      </c>
      <c r="L139" s="60">
        <f>IF(J139="syllables",1,IF(J139="trigrams",1,IF(J139="strings",1,IF(J139="visual array",1,IF(J139="characters",1,IF(J139="letters",1,IF(J139="free forms",1,IF(J139="odors",2,IF(J139="words",2,IF(J139="pictures",2,IF(J139="object pictures",2,IF(J139="faces",2,IF(J139="names",2,IF(J139="idioms","2",IF(J139="grades",2,IF(J139="syllable-digit pairs",3,IF(J139="trigram-word pairs",3,IF(J139="word-digit pairs",3,IF(J139="English-Swahili pairs",3,IF(J139="spatial position",3,IF(J139="word pairs",4,IF(J139="word triads",4,IF(J139="generated words",4,IF(J139="word definition pairs",4,IF(J139="math problems",4,IF(J139="famous faces",4,IF(J139="famous names",4,IF(J139="famous voices",4,IF(J139="television programs",4,IF(J139="race horses",4,IF(J139="new vocabulary",4,IF(J139="sentences",5,IF(J139="concepts",5,IF(J139="ad slides",5,IF(J139="scenes",5,IF(J139="famous scenes",5,IF(J139="poems",6,IF(J139="walk",6,IF(J139="faces and events",6,IF(J139="events and names",6,IF(J139="flashbulb",7,IF(J139="stories",7,IF(J139="course material",7,IF(J139="autobiographical",7,IF(J139="novels",7,IF(J139="public events",7,"99"))))))))))))))))))))))))))))))))))))))))))))))</f>
        <v>1</v>
      </c>
      <c r="M139" s="60">
        <v>0</v>
      </c>
      <c r="N139" s="61">
        <v>1</v>
      </c>
      <c r="O139" s="60">
        <v>1</v>
      </c>
      <c r="P139" s="60"/>
      <c r="Q139" s="60" t="s">
        <v>174</v>
      </c>
      <c r="R139" s="60">
        <f>IF(Q139="Free Recall",1,IF(Q139="Cued Recall",2,IF(Q139="Recognition",3,IF(Q139="Multiple Choice",4,IF(Q139="Savings",5,IF(Q139="Stem Completion",6,IF(Q139="Fragment Completion",7,IF(Q139="anagram solution",8,IF(Q139="Matching",9,IF(Q139="Problem Solving",10,"99"))))))))))</f>
        <v>1</v>
      </c>
      <c r="S139" s="60" t="s">
        <v>15</v>
      </c>
      <c r="T139" s="59" t="s">
        <v>581</v>
      </c>
      <c r="U139" s="60">
        <f>IF(T139="within",1,0)</f>
        <v>1</v>
      </c>
      <c r="V139" s="59">
        <v>32</v>
      </c>
      <c r="W139" s="60">
        <f>F139*V139</f>
        <v>320</v>
      </c>
      <c r="X139" s="60">
        <v>4</v>
      </c>
      <c r="Y139" s="76">
        <f>AV138</f>
        <v>0.01</v>
      </c>
      <c r="Z139" s="60" t="s">
        <v>28</v>
      </c>
      <c r="AA139" s="60">
        <v>18</v>
      </c>
      <c r="AB139" s="60" t="str">
        <f>IF(AA139&lt;60,"1",IF(AA139&lt;=43200,"2",IF(AA139&lt;=777600,"3","4")))</f>
        <v>1</v>
      </c>
      <c r="AC139" s="56">
        <f>AVERAGE(AV138:DA138)</f>
        <v>7.5024999999999995</v>
      </c>
      <c r="AD139" s="60" t="str">
        <f>IF(AC139&lt;60,"1",IF(AC139&lt;=43200,"2",IF(AC139&lt;=777600,"3","4")))</f>
        <v>1</v>
      </c>
      <c r="AE139" s="76">
        <f>AA139-Y139</f>
        <v>17.989999999999998</v>
      </c>
      <c r="AF139" s="80">
        <f>AV139</f>
        <v>0.99</v>
      </c>
      <c r="AG139" s="56">
        <f>((AW139-AV139)+(AX139-AW139)+(AY139-AX139))/3</f>
        <v>-5.9999999999999977E-2</v>
      </c>
      <c r="AH139" s="4"/>
      <c r="AI139" s="56">
        <f>RSQ(AV139:AY139,AV138:AY138)</f>
        <v>0.71224467162972138</v>
      </c>
      <c r="AJ139" s="109">
        <f>SLOPE(AV139:AY139,AV138:AY138)</f>
        <v>-1.0399386921080115E-2</v>
      </c>
      <c r="AK139" s="56">
        <f>INTERCEPT(AV139:AY139,AV138:AY138)</f>
        <v>0.96052140037540346</v>
      </c>
      <c r="AL139" s="56">
        <f>INDEX(LINEST(LN(AV139:AY139),LN(AV138:AY138),TRUE,TRUE),3,1)</f>
        <v>0.69362640900125294</v>
      </c>
      <c r="AM139" s="56">
        <f>INDEX(LINEST(LN(AV139:AY139),LN(AV138:AY138)),1)</f>
        <v>-2.6987568669954182E-2</v>
      </c>
      <c r="AN139" s="56">
        <f>EXP(INDEX(LINEST(LN(AV139:AY139),LN(AV138:AY138)),1,2))</f>
        <v>0.8878742288057252</v>
      </c>
      <c r="AO139" s="82">
        <f>INDEX(LINEST((AV139:AY139),LN(AV138:AY138),TRUE,TRUE),3,1)</f>
        <v>0.71148462142574109</v>
      </c>
      <c r="AP139" s="82">
        <f>INDEX(LINEST((AV139:AY139),LN(AV138:AY138)),1)</f>
        <v>-2.4153291012754471E-2</v>
      </c>
      <c r="AQ139" s="83">
        <f>INDEX(LINEST(LN(AV139:AY139),SQRT(AV138:AY138),TRUE,TRUE),3,1)</f>
        <v>0.82212104362828831</v>
      </c>
      <c r="AR139" s="116">
        <f>INDEX(LINEST(LN(AV139:AY139),SQRT((AV138:AY138))),1)</f>
        <v>-5.6603601646302834E-2</v>
      </c>
      <c r="AS139" s="84">
        <f>INDEX(LINEST(1/(AV139:AY139),1/(SQRT(AV138:AY138)),TRUE,TRUE),3,1)</f>
        <v>0.52830032955316664</v>
      </c>
      <c r="AT139" s="84">
        <f>INDEX(LINEST(1/(AV139:AY139),1/SQRT(AV138:AY138)),1)</f>
        <v>-1.8989822798779931E-2</v>
      </c>
      <c r="AU139" s="3"/>
      <c r="AV139" s="53">
        <v>0.99</v>
      </c>
      <c r="AW139" s="53">
        <v>0.94</v>
      </c>
      <c r="AX139" s="53">
        <v>0.79</v>
      </c>
      <c r="AY139" s="53">
        <v>0.81</v>
      </c>
      <c r="AZ139" s="53"/>
      <c r="BA139" s="53"/>
      <c r="BB139" s="53"/>
      <c r="BC139" s="53"/>
      <c r="BD139" s="53"/>
      <c r="BE139" s="53"/>
      <c r="BF139" s="53"/>
      <c r="BG139" s="53"/>
      <c r="BH139" s="53"/>
      <c r="BI139" s="53"/>
      <c r="BJ139" s="53"/>
      <c r="BK139" s="53"/>
      <c r="BL139" s="53"/>
      <c r="BM139" s="53"/>
      <c r="BN139" s="53"/>
      <c r="BO139" s="53"/>
      <c r="BP139" s="53"/>
      <c r="BQ139" s="53"/>
      <c r="BR139" s="53"/>
      <c r="BS139" s="53"/>
      <c r="BT139" s="53"/>
      <c r="BU139" s="53"/>
      <c r="BV139" s="53"/>
      <c r="BW139" s="53"/>
      <c r="BX139" s="53"/>
      <c r="BY139" s="53"/>
      <c r="BZ139" s="53"/>
      <c r="CA139" s="53"/>
      <c r="CB139" s="53"/>
      <c r="CC139" s="53"/>
      <c r="CD139" s="53"/>
      <c r="CE139" s="53"/>
      <c r="CF139" s="53"/>
      <c r="CG139" s="53"/>
      <c r="CH139" s="53"/>
      <c r="CI139" s="53"/>
      <c r="CJ139" s="53"/>
      <c r="CK139" s="53"/>
      <c r="CL139" s="53"/>
      <c r="CM139" s="53"/>
      <c r="CN139" s="53"/>
      <c r="CO139" s="53"/>
      <c r="CP139" s="53"/>
      <c r="CQ139" s="53"/>
      <c r="CR139" s="1"/>
      <c r="CS139" s="1"/>
      <c r="CT139" s="1"/>
      <c r="CU139" s="1"/>
    </row>
    <row r="140" spans="1:99" s="13" customFormat="1" ht="12" customHeight="1" x14ac:dyDescent="0.2">
      <c r="A140" s="68">
        <v>43509</v>
      </c>
      <c r="B140" s="70"/>
      <c r="C140" s="70"/>
      <c r="D140" s="69"/>
      <c r="E140" s="87"/>
      <c r="F140" s="69"/>
      <c r="G140" s="69"/>
      <c r="H140" s="69"/>
      <c r="I140" s="69"/>
      <c r="J140" s="69"/>
      <c r="K140" s="107"/>
      <c r="L140" s="107"/>
      <c r="M140" s="69"/>
      <c r="N140" s="69"/>
      <c r="O140" s="69"/>
      <c r="P140" s="69"/>
      <c r="Q140" s="69"/>
      <c r="R140" s="69"/>
      <c r="S140" s="69"/>
      <c r="T140" s="69"/>
      <c r="U140" s="60"/>
      <c r="V140" s="69"/>
      <c r="W140" s="69"/>
      <c r="X140" s="86"/>
      <c r="Y140" s="87"/>
      <c r="Z140" s="69"/>
      <c r="AA140" s="69"/>
      <c r="AB140" s="69"/>
      <c r="AC140" s="69"/>
      <c r="AD140" s="69"/>
      <c r="AE140" s="69"/>
      <c r="AF140" s="88"/>
      <c r="AG140" s="72"/>
      <c r="AH140" s="4"/>
      <c r="AI140" s="72"/>
      <c r="AJ140" s="110"/>
      <c r="AK140" s="72"/>
      <c r="AL140" s="72"/>
      <c r="AM140" s="72"/>
      <c r="AN140" s="72"/>
      <c r="AO140" s="72"/>
      <c r="AP140" s="72"/>
      <c r="AQ140" s="89"/>
      <c r="AR140" s="118"/>
      <c r="AS140" s="89"/>
      <c r="AT140" s="89"/>
      <c r="AU140" s="4"/>
      <c r="AV140" s="71">
        <v>1</v>
      </c>
      <c r="AW140" s="71">
        <v>3</v>
      </c>
      <c r="AX140" s="71">
        <v>6</v>
      </c>
      <c r="AY140" s="71">
        <v>10</v>
      </c>
      <c r="AZ140" s="71">
        <v>15</v>
      </c>
      <c r="BA140" s="71">
        <v>25</v>
      </c>
      <c r="BB140" s="53"/>
      <c r="BC140" s="53"/>
      <c r="BD140" s="53"/>
      <c r="BE140" s="53"/>
      <c r="BF140" s="53"/>
      <c r="BG140" s="53"/>
      <c r="BH140" s="53"/>
      <c r="BI140" s="53"/>
      <c r="BJ140" s="53"/>
      <c r="BK140" s="53"/>
      <c r="BL140" s="53"/>
      <c r="BM140" s="53"/>
      <c r="BN140" s="53"/>
      <c r="BO140" s="53"/>
      <c r="BP140" s="53"/>
      <c r="BQ140" s="53"/>
      <c r="BR140" s="53"/>
      <c r="BS140" s="53"/>
      <c r="BT140" s="53"/>
      <c r="BU140" s="53"/>
      <c r="BV140" s="53"/>
      <c r="BW140" s="53"/>
      <c r="BX140" s="53"/>
      <c r="BY140" s="53"/>
      <c r="BZ140" s="53"/>
      <c r="CA140" s="53"/>
      <c r="CB140" s="53"/>
      <c r="CC140" s="53"/>
      <c r="CD140" s="53"/>
      <c r="CE140" s="53"/>
      <c r="CF140" s="53"/>
      <c r="CG140" s="53"/>
      <c r="CH140" s="53"/>
      <c r="CI140" s="53"/>
      <c r="CJ140" s="53"/>
      <c r="CK140" s="53"/>
      <c r="CL140" s="53"/>
      <c r="CM140" s="53"/>
      <c r="CN140" s="53"/>
      <c r="CO140" s="53"/>
      <c r="CP140" s="53"/>
      <c r="CQ140" s="53"/>
      <c r="CR140" s="1"/>
      <c r="CS140" s="1"/>
      <c r="CT140" s="1"/>
      <c r="CU140" s="1"/>
    </row>
    <row r="141" spans="1:99" s="13" customFormat="1" ht="12" customHeight="1" x14ac:dyDescent="0.2">
      <c r="A141" s="68">
        <v>43509</v>
      </c>
      <c r="B141" s="70" t="s">
        <v>256</v>
      </c>
      <c r="C141" s="70" t="s">
        <v>48</v>
      </c>
      <c r="D141" s="69">
        <v>1975</v>
      </c>
      <c r="E141" s="87">
        <v>1</v>
      </c>
      <c r="F141" s="69">
        <v>48</v>
      </c>
      <c r="G141" s="69">
        <v>48</v>
      </c>
      <c r="H141" s="69" t="s">
        <v>50</v>
      </c>
      <c r="I141" s="69"/>
      <c r="J141" s="69" t="s">
        <v>443</v>
      </c>
      <c r="K141" s="69">
        <f>IF(J141="syllables",1,IF(J141="trigrams",2,IF(J141="strings",3,IF(J141="visual array",4,IF(J141="characters",5,IF(J141="letters",6,IF(J141="free forms",7,IF(J141="odors",8,IF(J141="words",9,IF(J141="pictures",10,IF(J141="object pictures",11,IF(J141="faces",12,IF(J141="names",13,IF(J141="idioms",14,IF(J141="grades",15,IF(J141="syllable-digit pairs",16,IF(J141="trigram-word pairs",17,IF(J141="word-digit pairs",18,IF(J141="English-Swahili pairs",19,IF(J141="spatial position",20,IF(J141="word pairs",21,IF(J141="word triads",22,IF(J141="generated words",23,IF(J141="word definition pairs",24,IF(J141="math problems",25,IF(J141="famous faces",26,IF(J141="famous names",27,IF(J141="famous voices",28,IF(J141="television programs",29,IF(J141="race horses",30,IF(J141="new vocabulary",31,IF(J141="sentences",32,IF(J141="concepts",33,IF(J141="ad slides",34,IF(J141="scenes",35,IF(J141="famous scenes",36,IF(J141="poems",37,IF(J141="walk",38,IF(J141="faces and events",39,IF(J141="events and names",40,IF(J141="flashbulb",41,IF(J141="stories",42,IF(J141="course material",43,IF(J141="autobiographical",44,IF(J141="novels",45,IF(J141="public events",46,"99"))))))))))))))))))))))))))))))))))))))))))))))</f>
        <v>2</v>
      </c>
      <c r="L141" s="69">
        <f>IF(J141="syllables",1,IF(J141="trigrams",1,IF(J141="strings",1,IF(J141="visual array",1,IF(J141="characters",1,IF(J141="letters",1,IF(J141="free forms",1,IF(J141="odors",2,IF(J141="words",2,IF(J141="pictures",2,IF(J141="object pictures",2,IF(J141="faces",2,IF(J141="names",2,IF(J141="idioms","2",IF(J141="grades",2,IF(J141="syllable-digit pairs",3,IF(J141="trigram-word pairs",3,IF(J141="word-digit pairs",3,IF(J141="English-Swahili pairs",3,IF(J141="spatial position",3,IF(J141="word pairs",4,IF(J141="word triads",4,IF(J141="generated words",4,IF(J141="word definition pairs",4,IF(J141="math problems",4,IF(J141="famous faces",4,IF(J141="famous names",4,IF(J141="famous voices",4,IF(J141="television programs",4,IF(J141="race horses",4,IF(J141="new vocabulary",4,IF(J141="sentences",5,IF(J141="concepts",5,IF(J141="ad slides",5,IF(J141="scenes",5,IF(J141="famous scenes",5,IF(J141="poems",6,IF(J141="walk",6,IF(J141="faces and events",6,IF(J141="events and names",6,IF(J141="flashbulb",7,IF(J141="stories",7,IF(J141="course material",7,IF(J141="autobiographical",7,IF(J141="novels",7,IF(J141="public events",7,"99"))))))))))))))))))))))))))))))))))))))))))))))</f>
        <v>1</v>
      </c>
      <c r="M141" s="69">
        <v>0</v>
      </c>
      <c r="N141" s="69">
        <v>1</v>
      </c>
      <c r="O141" s="69">
        <v>1</v>
      </c>
      <c r="P141" s="69" t="s">
        <v>27</v>
      </c>
      <c r="Q141" s="69" t="s">
        <v>174</v>
      </c>
      <c r="R141" s="69">
        <f>IF(Q141="Free Recall",1,IF(Q141="Cued Recall",2,IF(Q141="Recognition",3,IF(Q141="Multiple Choice",4,IF(Q141="Savings",5,IF(Q141="Stem Completion",6,IF(Q141="Fragment Completion",7,IF(Q141="anagram solution",8,IF(Q141="Matching",9,IF(Q141="Problem Solving",10,"99"))))))))))</f>
        <v>1</v>
      </c>
      <c r="S141" s="69" t="s">
        <v>49</v>
      </c>
      <c r="T141" s="92" t="s">
        <v>581</v>
      </c>
      <c r="U141" s="60">
        <f>IF(T141="within",1,0)</f>
        <v>1</v>
      </c>
      <c r="V141" s="92">
        <v>48</v>
      </c>
      <c r="W141" s="69">
        <f>F141*V141</f>
        <v>2304</v>
      </c>
      <c r="X141" s="69">
        <v>6</v>
      </c>
      <c r="Y141" s="87">
        <f>AV140</f>
        <v>1</v>
      </c>
      <c r="Z141" s="69" t="s">
        <v>51</v>
      </c>
      <c r="AA141" s="69">
        <v>25</v>
      </c>
      <c r="AB141" s="69" t="str">
        <f>IF(AA141&lt;60,"1",IF(AA141&lt;=43200,"2",IF(AA141&lt;=777600,"3","4")))</f>
        <v>1</v>
      </c>
      <c r="AC141" s="72">
        <f>AVERAGE(AV140:DA140)</f>
        <v>10</v>
      </c>
      <c r="AD141" s="69" t="str">
        <f>IF(AC141&lt;60,"1",IF(AC141&lt;=43200,"2",IF(AC141&lt;=777600,"3","4")))</f>
        <v>1</v>
      </c>
      <c r="AE141" s="87">
        <f>AA141-Y141</f>
        <v>24</v>
      </c>
      <c r="AF141" s="88">
        <f>AV141</f>
        <v>0.91</v>
      </c>
      <c r="AG141" s="72">
        <f>((AW141-AV141)+(AX141-AW141)+(AY141-AX141)+(AZ141-AY141)+(BA141-AZ141))/5</f>
        <v>-0.12600000000000003</v>
      </c>
      <c r="AH141" s="4"/>
      <c r="AI141" s="72">
        <f>RSQ(AV141:BA141,AV140:BA140)</f>
        <v>0.58883283772302442</v>
      </c>
      <c r="AJ141" s="110">
        <f>SLOPE(AV141:BA141,AV140:BA140)</f>
        <v>-2.5227272727272727E-2</v>
      </c>
      <c r="AK141" s="72">
        <f>INTERCEPT(AV141:BA141,AV140:BA140)</f>
        <v>0.75227272727272743</v>
      </c>
      <c r="AL141" s="72">
        <f>INDEX(LINEST(LN(AV141:BA141),LN(AV140:BA140),TRUE,TRUE),3,1)</f>
        <v>0.79343831008841392</v>
      </c>
      <c r="AM141" s="72">
        <f>INDEX(LINEST(LN(AV141:BA141),LN(AV140:BA140)),1)</f>
        <v>-0.44661079519385649</v>
      </c>
      <c r="AN141" s="72">
        <f>EXP(INDEX(LINEST(LN(AV141:BA141),LN(AV140:BA140)),1,2))</f>
        <v>0.99135905758866039</v>
      </c>
      <c r="AO141" s="89">
        <f>INDEX(LINEST((AV141:BA141),LN(AV140:BA140),TRUE,TRUE),3,1)</f>
        <v>0.85772088265831903</v>
      </c>
      <c r="AP141" s="89">
        <f>INDEX(LINEST((AV141:BA141),LN(AV140:BA140)),1)</f>
        <v>-0.23225805890142937</v>
      </c>
      <c r="AQ141" s="90">
        <f>INDEX(LINEST(LN(AV141:BA141),SQRT(AV140:BA140),TRUE,TRUE),3,1)</f>
        <v>0.71395007059754767</v>
      </c>
      <c r="AR141" s="117">
        <f>INDEX(LINEST(LN(AV141:BA141),SQRT((AV140:BA140))),1)</f>
        <v>-0.33950020803423892</v>
      </c>
      <c r="AS141" s="91">
        <f>INDEX(LINEST(1/(AV141:BA141),1/(SQRT(AV140:BA140)),TRUE,TRUE),3,1)</f>
        <v>0.62342071964920576</v>
      </c>
      <c r="AT141" s="91">
        <f>INDEX(LINEST(1/(AV141:BA141),1/SQRT(AV140:BA140)),1)</f>
        <v>-3.6722797400081482</v>
      </c>
      <c r="AU141" s="3"/>
      <c r="AV141" s="73">
        <v>0.91</v>
      </c>
      <c r="AW141" s="73">
        <v>0.81</v>
      </c>
      <c r="AX141" s="73">
        <v>0.47</v>
      </c>
      <c r="AY141" s="73">
        <v>0.22</v>
      </c>
      <c r="AZ141" s="73">
        <v>0.31</v>
      </c>
      <c r="BA141" s="73">
        <v>0.28000000000000003</v>
      </c>
      <c r="BB141" s="53"/>
      <c r="BC141" s="53"/>
      <c r="BD141" s="53"/>
      <c r="BE141" s="53"/>
      <c r="BF141" s="53"/>
      <c r="BG141" s="53"/>
      <c r="BH141" s="53"/>
      <c r="BI141" s="53"/>
      <c r="BJ141" s="53"/>
      <c r="BK141" s="53"/>
      <c r="BL141" s="53"/>
      <c r="BM141" s="53"/>
      <c r="BN141" s="53"/>
      <c r="BO141" s="53"/>
      <c r="BP141" s="53"/>
      <c r="BQ141" s="53"/>
      <c r="BR141" s="53"/>
      <c r="BS141" s="53"/>
      <c r="BT141" s="53"/>
      <c r="BU141" s="53"/>
      <c r="BV141" s="53"/>
      <c r="BW141" s="53"/>
      <c r="BX141" s="53"/>
      <c r="BY141" s="53"/>
      <c r="BZ141" s="53"/>
      <c r="CA141" s="53"/>
      <c r="CB141" s="53"/>
      <c r="CC141" s="53"/>
      <c r="CD141" s="53"/>
      <c r="CE141" s="53"/>
      <c r="CF141" s="53"/>
      <c r="CG141" s="53"/>
      <c r="CH141" s="53"/>
      <c r="CI141" s="53"/>
      <c r="CJ141" s="53"/>
      <c r="CK141" s="53"/>
      <c r="CL141" s="53"/>
      <c r="CM141" s="53"/>
      <c r="CN141" s="53"/>
      <c r="CO141" s="53"/>
      <c r="CP141" s="53"/>
      <c r="CQ141" s="53"/>
      <c r="CR141" s="1"/>
      <c r="CS141" s="1"/>
      <c r="CT141" s="1"/>
      <c r="CU141" s="1"/>
    </row>
    <row r="142" spans="1:99" s="13" customFormat="1" ht="12" customHeight="1" x14ac:dyDescent="0.2">
      <c r="A142" s="68">
        <v>43509</v>
      </c>
      <c r="B142" s="70"/>
      <c r="C142" s="70"/>
      <c r="D142" s="69"/>
      <c r="E142" s="87"/>
      <c r="F142" s="69"/>
      <c r="G142" s="69"/>
      <c r="H142" s="69"/>
      <c r="I142" s="69"/>
      <c r="J142" s="69"/>
      <c r="K142" s="107"/>
      <c r="L142" s="107"/>
      <c r="M142" s="69"/>
      <c r="N142" s="69"/>
      <c r="O142" s="69"/>
      <c r="P142" s="69"/>
      <c r="Q142" s="69"/>
      <c r="R142" s="69"/>
      <c r="S142" s="69"/>
      <c r="T142" s="69"/>
      <c r="U142" s="60"/>
      <c r="V142" s="69"/>
      <c r="W142" s="69"/>
      <c r="X142" s="86"/>
      <c r="Y142" s="87"/>
      <c r="Z142" s="69"/>
      <c r="AA142" s="69"/>
      <c r="AB142" s="69"/>
      <c r="AC142" s="69"/>
      <c r="AD142" s="69"/>
      <c r="AE142" s="69"/>
      <c r="AF142" s="88"/>
      <c r="AG142" s="72"/>
      <c r="AH142" s="4"/>
      <c r="AI142" s="72"/>
      <c r="AJ142" s="110"/>
      <c r="AK142" s="72"/>
      <c r="AL142" s="72"/>
      <c r="AM142" s="72"/>
      <c r="AN142" s="72"/>
      <c r="AO142" s="72"/>
      <c r="AP142" s="72"/>
      <c r="AQ142" s="72"/>
      <c r="AR142" s="110"/>
      <c r="AS142" s="72"/>
      <c r="AT142" s="72"/>
      <c r="AU142" s="4"/>
      <c r="AV142" s="71">
        <v>3</v>
      </c>
      <c r="AW142" s="71">
        <v>4</v>
      </c>
      <c r="AX142" s="71">
        <v>6</v>
      </c>
      <c r="AY142" s="71">
        <v>8</v>
      </c>
      <c r="AZ142" s="71">
        <v>30</v>
      </c>
      <c r="BA142" s="73"/>
      <c r="BB142" s="53"/>
      <c r="BC142" s="53"/>
      <c r="BD142" s="53"/>
      <c r="BE142" s="53"/>
      <c r="BF142" s="53"/>
      <c r="BG142" s="53"/>
      <c r="BH142" s="53"/>
      <c r="BI142" s="53"/>
      <c r="BJ142" s="53"/>
      <c r="BK142" s="53"/>
      <c r="BL142" s="53"/>
      <c r="BM142" s="53"/>
      <c r="BN142" s="53"/>
      <c r="BO142" s="53"/>
      <c r="BP142" s="53"/>
      <c r="BQ142" s="53"/>
      <c r="BR142" s="53"/>
      <c r="BS142" s="53"/>
      <c r="BT142" s="53"/>
      <c r="BU142" s="53"/>
      <c r="BV142" s="53"/>
      <c r="BW142" s="53"/>
      <c r="BX142" s="53"/>
      <c r="BY142" s="53"/>
      <c r="BZ142" s="53"/>
      <c r="CA142" s="53"/>
      <c r="CB142" s="53"/>
      <c r="CC142" s="53"/>
      <c r="CD142" s="53"/>
      <c r="CE142" s="53"/>
      <c r="CF142" s="53"/>
      <c r="CG142" s="53"/>
      <c r="CH142" s="53"/>
      <c r="CI142" s="53"/>
      <c r="CJ142" s="53"/>
      <c r="CK142" s="53"/>
      <c r="CL142" s="53"/>
      <c r="CM142" s="53"/>
      <c r="CN142" s="53"/>
      <c r="CO142" s="53"/>
      <c r="CP142" s="53"/>
      <c r="CQ142" s="53"/>
      <c r="CR142" s="1"/>
      <c r="CS142" s="1"/>
      <c r="CT142" s="1"/>
      <c r="CU142" s="1"/>
    </row>
    <row r="143" spans="1:99" s="13" customFormat="1" ht="12" customHeight="1" x14ac:dyDescent="0.2">
      <c r="A143" s="68">
        <v>43509</v>
      </c>
      <c r="B143" s="70" t="s">
        <v>256</v>
      </c>
      <c r="C143" s="70" t="s">
        <v>48</v>
      </c>
      <c r="D143" s="69">
        <v>1975</v>
      </c>
      <c r="E143" s="87">
        <v>2</v>
      </c>
      <c r="F143" s="69">
        <v>60</v>
      </c>
      <c r="G143" s="69">
        <v>60</v>
      </c>
      <c r="H143" s="69" t="s">
        <v>41</v>
      </c>
      <c r="I143" s="69" t="s">
        <v>839</v>
      </c>
      <c r="J143" s="69" t="s">
        <v>443</v>
      </c>
      <c r="K143" s="69">
        <f>IF(J143="syllables",1,IF(J143="trigrams",2,IF(J143="strings",3,IF(J143="visual array",4,IF(J143="characters",5,IF(J143="letters",6,IF(J143="free forms",7,IF(J143="odors",8,IF(J143="words",9,IF(J143="pictures",10,IF(J143="object pictures",11,IF(J143="faces",12,IF(J143="names",13,IF(J143="idioms",14,IF(J143="grades",15,IF(J143="syllable-digit pairs",16,IF(J143="trigram-word pairs",17,IF(J143="word-digit pairs",18,IF(J143="English-Swahili pairs",19,IF(J143="spatial position",20,IF(J143="word pairs",21,IF(J143="word triads",22,IF(J143="generated words",23,IF(J143="word definition pairs",24,IF(J143="math problems",25,IF(J143="famous faces",26,IF(J143="famous names",27,IF(J143="famous voices",28,IF(J143="television programs",29,IF(J143="race horses",30,IF(J143="new vocabulary",31,IF(J143="sentences",32,IF(J143="concepts",33,IF(J143="ad slides",34,IF(J143="scenes",35,IF(J143="famous scenes",36,IF(J143="poems",37,IF(J143="walk",38,IF(J143="faces and events",39,IF(J143="events and names",40,IF(J143="flashbulb",41,IF(J143="stories",42,IF(J143="course material",43,IF(J143="autobiographical",44,IF(J143="novels",45,IF(J143="public events",46,"99"))))))))))))))))))))))))))))))))))))))))))))))</f>
        <v>2</v>
      </c>
      <c r="L143" s="69">
        <f>IF(J143="syllables",1,IF(J143="trigrams",1,IF(J143="strings",1,IF(J143="visual array",1,IF(J143="characters",1,IF(J143="letters",1,IF(J143="free forms",1,IF(J143="odors",2,IF(J143="words",2,IF(J143="pictures",2,IF(J143="object pictures",2,IF(J143="faces",2,IF(J143="names",2,IF(J143="idioms","2",IF(J143="grades",2,IF(J143="syllable-digit pairs",3,IF(J143="trigram-word pairs",3,IF(J143="word-digit pairs",3,IF(J143="English-Swahili pairs",3,IF(J143="spatial position",3,IF(J143="word pairs",4,IF(J143="word triads",4,IF(J143="generated words",4,IF(J143="word definition pairs",4,IF(J143="math problems",4,IF(J143="famous faces",4,IF(J143="famous names",4,IF(J143="famous voices",4,IF(J143="television programs",4,IF(J143="race horses",4,IF(J143="new vocabulary",4,IF(J143="sentences",5,IF(J143="concepts",5,IF(J143="ad slides",5,IF(J143="scenes",5,IF(J143="famous scenes",5,IF(J143="poems",6,IF(J143="walk",6,IF(J143="faces and events",6,IF(J143="events and names",6,IF(J143="flashbulb",7,IF(J143="stories",7,IF(J143="course material",7,IF(J143="autobiographical",7,IF(J143="novels",7,IF(J143="public events",7,"99"))))))))))))))))))))))))))))))))))))))))))))))</f>
        <v>1</v>
      </c>
      <c r="M143" s="69">
        <v>0</v>
      </c>
      <c r="N143" s="69">
        <v>1</v>
      </c>
      <c r="O143" s="69">
        <v>1</v>
      </c>
      <c r="P143" s="69" t="s">
        <v>27</v>
      </c>
      <c r="Q143" s="69" t="s">
        <v>174</v>
      </c>
      <c r="R143" s="69">
        <f>IF(Q143="Free Recall",1,IF(Q143="Cued Recall",2,IF(Q143="Recognition",3,IF(Q143="Multiple Choice",4,IF(Q143="Savings",5,IF(Q143="Stem Completion",6,IF(Q143="Fragment Completion",7,IF(Q143="anagram solution",8,IF(Q143="Matching",9,IF(Q143="Problem Solving",10,"99"))))))))))</f>
        <v>1</v>
      </c>
      <c r="S143" s="69" t="s">
        <v>49</v>
      </c>
      <c r="T143" s="92" t="s">
        <v>581</v>
      </c>
      <c r="U143" s="60">
        <f>IF(T143="within",1,0)</f>
        <v>1</v>
      </c>
      <c r="V143" s="92">
        <v>48</v>
      </c>
      <c r="W143" s="69">
        <f>F143*V143</f>
        <v>2880</v>
      </c>
      <c r="X143" s="69">
        <v>5</v>
      </c>
      <c r="Y143" s="87">
        <f>AV142</f>
        <v>3</v>
      </c>
      <c r="Z143" s="69" t="s">
        <v>52</v>
      </c>
      <c r="AA143" s="69">
        <v>30</v>
      </c>
      <c r="AB143" s="69" t="str">
        <f>IF(AA143&lt;60,"1",IF(AA143&lt;=43200,"2",IF(AA143&lt;=777600,"3","4")))</f>
        <v>1</v>
      </c>
      <c r="AC143" s="72">
        <f>AVERAGE(AV142:DA142)</f>
        <v>10.199999999999999</v>
      </c>
      <c r="AD143" s="69" t="str">
        <f>IF(AC143&lt;60,"1",IF(AC143&lt;=43200,"2",IF(AC143&lt;=777600,"3","4")))</f>
        <v>1</v>
      </c>
      <c r="AE143" s="87">
        <f>AA143-Y143</f>
        <v>27</v>
      </c>
      <c r="AF143" s="88">
        <f>AV143</f>
        <v>0.75</v>
      </c>
      <c r="AG143" s="72">
        <f>((AW143-AV143)+(AX143-AW143)+(AY143-AX143)+(AZ143-AY143))/4</f>
        <v>-2.4999999999999994E-2</v>
      </c>
      <c r="AH143" s="4"/>
      <c r="AI143" s="72">
        <f>RSQ(AV143:AZ143,AV142:AZ142)</f>
        <v>2.8160944572693781E-3</v>
      </c>
      <c r="AJ143" s="110">
        <f>SLOPE(AV143:AZ143,AV142:AZ142)</f>
        <v>-3.2488114104595693E-4</v>
      </c>
      <c r="AK143" s="72">
        <f>INTERCEPT(AV143:AZ143,AV142:AZ142)</f>
        <v>0.65731378763866877</v>
      </c>
      <c r="AL143" s="72">
        <f>INDEX(LINEST(LN(AV143:AZ143),LN(AV142:AZ142),TRUE,TRUE),3,1)</f>
        <v>1.0000764125119348E-2</v>
      </c>
      <c r="AM143" s="72">
        <f>INDEX(LINEST(LN(AV143:AZ143),LN(AV142:AZ142)),1)</f>
        <v>-1.1666319730806457E-2</v>
      </c>
      <c r="AN143" s="72">
        <f>EXP(INDEX(LINEST(LN(AV143:AZ143),LN(AV142:AZ142)),1,2))</f>
        <v>0.66614366015698256</v>
      </c>
      <c r="AO143" s="89">
        <f>INDEX(LINEST((AV143:AZ143),LN(AV142:AZ142),TRUE,TRUE),3,1)</f>
        <v>1.7626855033510379E-2</v>
      </c>
      <c r="AP143" s="89">
        <f>INDEX(LINEST((AV143:AZ143),LN(AV142:AZ142)),1)</f>
        <v>-1.0224134216807264E-2</v>
      </c>
      <c r="AQ143" s="90">
        <f>INDEX(LINEST(LN(AV143:AZ143),SQRT(AV142:AZ142),TRUE,TRUE),3,1)</f>
        <v>2.7417683137825558E-3</v>
      </c>
      <c r="AR143" s="117">
        <f>INDEX(LINEST(LN(AV143:AZ143),SQRT((AV142:AZ142))),1)</f>
        <v>-3.6320233199673042E-3</v>
      </c>
      <c r="AS143" s="91">
        <f>INDEX(LINEST(1/(AV143:AZ143),1/(SQRT(AV142:AZ142)),TRUE,TRUE),3,1)</f>
        <v>1.7591054703007741E-2</v>
      </c>
      <c r="AT143" s="91">
        <f>INDEX(LINEST(1/(AV143:AZ143),1/SQRT(AV142:AZ142)),1)</f>
        <v>-0.13974614742423502</v>
      </c>
      <c r="AU143" s="3"/>
      <c r="AV143" s="73">
        <v>0.75</v>
      </c>
      <c r="AW143" s="73">
        <v>0.57999999999999996</v>
      </c>
      <c r="AX143" s="73">
        <v>0.6</v>
      </c>
      <c r="AY143" s="73">
        <v>0.69</v>
      </c>
      <c r="AZ143" s="73">
        <v>0.65</v>
      </c>
      <c r="BA143" s="73"/>
      <c r="BB143" s="53"/>
      <c r="BC143" s="53"/>
      <c r="BD143" s="53"/>
      <c r="BE143" s="53"/>
      <c r="BF143" s="53"/>
      <c r="BG143" s="53"/>
      <c r="BH143" s="53"/>
      <c r="BI143" s="53"/>
      <c r="BJ143" s="53"/>
      <c r="BK143" s="53"/>
      <c r="BL143" s="53"/>
      <c r="BM143" s="53"/>
      <c r="BN143" s="53"/>
      <c r="BO143" s="53"/>
      <c r="BP143" s="53"/>
      <c r="BQ143" s="53"/>
      <c r="BR143" s="53"/>
      <c r="BS143" s="53"/>
      <c r="BT143" s="53"/>
      <c r="BU143" s="53"/>
      <c r="BV143" s="53"/>
      <c r="BW143" s="53"/>
      <c r="BX143" s="53"/>
      <c r="BY143" s="53"/>
      <c r="BZ143" s="53"/>
      <c r="CA143" s="53"/>
      <c r="CB143" s="53"/>
      <c r="CC143" s="53"/>
      <c r="CD143" s="53"/>
      <c r="CE143" s="53"/>
      <c r="CF143" s="53"/>
      <c r="CG143" s="53"/>
      <c r="CH143" s="53"/>
      <c r="CI143" s="53"/>
      <c r="CJ143" s="53"/>
      <c r="CK143" s="53"/>
      <c r="CL143" s="53"/>
      <c r="CM143" s="53"/>
      <c r="CN143" s="53"/>
      <c r="CO143" s="53"/>
      <c r="CP143" s="53"/>
      <c r="CQ143" s="53"/>
      <c r="CR143" s="1"/>
      <c r="CS143" s="1"/>
      <c r="CT143" s="1"/>
      <c r="CU143" s="1"/>
    </row>
    <row r="144" spans="1:99" s="13" customFormat="1" ht="12" customHeight="1" x14ac:dyDescent="0.2">
      <c r="A144" s="68">
        <v>43509</v>
      </c>
      <c r="B144" s="70"/>
      <c r="C144" s="70"/>
      <c r="D144" s="69"/>
      <c r="E144" s="87"/>
      <c r="F144" s="69"/>
      <c r="G144" s="69"/>
      <c r="H144" s="69"/>
      <c r="I144" s="69"/>
      <c r="J144" s="69"/>
      <c r="K144" s="107"/>
      <c r="L144" s="107"/>
      <c r="M144" s="69"/>
      <c r="N144" s="69"/>
      <c r="O144" s="69"/>
      <c r="P144" s="69"/>
      <c r="Q144" s="69"/>
      <c r="R144" s="69"/>
      <c r="S144" s="69"/>
      <c r="T144" s="69"/>
      <c r="U144" s="60"/>
      <c r="V144" s="69"/>
      <c r="W144" s="69"/>
      <c r="X144" s="69"/>
      <c r="Y144" s="87"/>
      <c r="Z144" s="69"/>
      <c r="AA144" s="69"/>
      <c r="AB144" s="69"/>
      <c r="AC144" s="69"/>
      <c r="AD144" s="69"/>
      <c r="AE144" s="69"/>
      <c r="AF144" s="88"/>
      <c r="AG144" s="72"/>
      <c r="AH144" s="4"/>
      <c r="AI144" s="72"/>
      <c r="AJ144" s="110"/>
      <c r="AK144" s="72"/>
      <c r="AL144" s="72"/>
      <c r="AM144" s="72"/>
      <c r="AN144" s="72"/>
      <c r="AO144" s="89"/>
      <c r="AP144" s="89"/>
      <c r="AQ144" s="72"/>
      <c r="AR144" s="110"/>
      <c r="AS144" s="72"/>
      <c r="AT144" s="72"/>
      <c r="AU144" s="3"/>
      <c r="AV144" s="71">
        <v>2</v>
      </c>
      <c r="AW144" s="71">
        <v>4</v>
      </c>
      <c r="AX144" s="71">
        <v>6</v>
      </c>
      <c r="AY144" s="71">
        <v>8</v>
      </c>
      <c r="AZ144" s="71">
        <v>30</v>
      </c>
      <c r="BA144" s="73"/>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53"/>
      <c r="CD144" s="53"/>
      <c r="CE144" s="53"/>
      <c r="CF144" s="53"/>
      <c r="CG144" s="53"/>
      <c r="CH144" s="53"/>
      <c r="CI144" s="53"/>
      <c r="CJ144" s="53"/>
      <c r="CK144" s="53"/>
      <c r="CL144" s="53"/>
      <c r="CM144" s="53"/>
      <c r="CN144" s="53"/>
      <c r="CO144" s="53"/>
      <c r="CP144" s="53"/>
      <c r="CQ144" s="53"/>
      <c r="CR144" s="1"/>
      <c r="CS144" s="1"/>
      <c r="CT144" s="1"/>
      <c r="CU144" s="1"/>
    </row>
    <row r="145" spans="1:99" s="13" customFormat="1" ht="12" customHeight="1" x14ac:dyDescent="0.2">
      <c r="A145" s="68">
        <v>43509</v>
      </c>
      <c r="B145" s="70" t="s">
        <v>256</v>
      </c>
      <c r="C145" s="70" t="s">
        <v>48</v>
      </c>
      <c r="D145" s="69">
        <v>1975</v>
      </c>
      <c r="E145" s="87">
        <v>2</v>
      </c>
      <c r="F145" s="69">
        <v>60</v>
      </c>
      <c r="G145" s="69">
        <v>60</v>
      </c>
      <c r="H145" s="69" t="s">
        <v>41</v>
      </c>
      <c r="I145" s="69" t="s">
        <v>841</v>
      </c>
      <c r="J145" s="69" t="s">
        <v>443</v>
      </c>
      <c r="K145" s="69">
        <f>IF(J145="syllables",1,IF(J145="trigrams",2,IF(J145="strings",3,IF(J145="visual array",4,IF(J145="characters",5,IF(J145="letters",6,IF(J145="free forms",7,IF(J145="odors",8,IF(J145="words",9,IF(J145="pictures",10,IF(J145="object pictures",11,IF(J145="faces",12,IF(J145="names",13,IF(J145="idioms",14,IF(J145="grades",15,IF(J145="syllable-digit pairs",16,IF(J145="trigram-word pairs",17,IF(J145="word-digit pairs",18,IF(J145="English-Swahili pairs",19,IF(J145="spatial position",20,IF(J145="word pairs",21,IF(J145="word triads",22,IF(J145="generated words",23,IF(J145="word definition pairs",24,IF(J145="math problems",25,IF(J145="famous faces",26,IF(J145="famous names",27,IF(J145="famous voices",28,IF(J145="television programs",29,IF(J145="race horses",30,IF(J145="new vocabulary",31,IF(J145="sentences",32,IF(J145="concepts",33,IF(J145="ad slides",34,IF(J145="scenes",35,IF(J145="famous scenes",36,IF(J145="poems",37,IF(J145="walk",38,IF(J145="faces and events",39,IF(J145="events and names",40,IF(J145="flashbulb",41,IF(J145="stories",42,IF(J145="course material",43,IF(J145="autobiographical",44,IF(J145="novels",45,IF(J145="public events",46,"99"))))))))))))))))))))))))))))))))))))))))))))))</f>
        <v>2</v>
      </c>
      <c r="L145" s="69">
        <f>IF(J145="syllables",1,IF(J145="trigrams",1,IF(J145="strings",1,IF(J145="visual array",1,IF(J145="characters",1,IF(J145="letters",1,IF(J145="free forms",1,IF(J145="odors",2,IF(J145="words",2,IF(J145="pictures",2,IF(J145="object pictures",2,IF(J145="faces",2,IF(J145="names",2,IF(J145="idioms","2",IF(J145="grades",2,IF(J145="syllable-digit pairs",3,IF(J145="trigram-word pairs",3,IF(J145="word-digit pairs",3,IF(J145="English-Swahili pairs",3,IF(J145="spatial position",3,IF(J145="word pairs",4,IF(J145="word triads",4,IF(J145="generated words",4,IF(J145="word definition pairs",4,IF(J145="math problems",4,IF(J145="famous faces",4,IF(J145="famous names",4,IF(J145="famous voices",4,IF(J145="television programs",4,IF(J145="race horses",4,IF(J145="new vocabulary",4,IF(J145="sentences",5,IF(J145="concepts",5,IF(J145="ad slides",5,IF(J145="scenes",5,IF(J145="famous scenes",5,IF(J145="poems",6,IF(J145="walk",6,IF(J145="faces and events",6,IF(J145="events and names",6,IF(J145="flashbulb",7,IF(J145="stories",7,IF(J145="course material",7,IF(J145="autobiographical",7,IF(J145="novels",7,IF(J145="public events",7,"99"))))))))))))))))))))))))))))))))))))))))))))))</f>
        <v>1</v>
      </c>
      <c r="M145" s="69">
        <v>0</v>
      </c>
      <c r="N145" s="69">
        <v>1</v>
      </c>
      <c r="O145" s="69">
        <v>1</v>
      </c>
      <c r="P145" s="69" t="s">
        <v>27</v>
      </c>
      <c r="Q145" s="69" t="s">
        <v>174</v>
      </c>
      <c r="R145" s="69">
        <f>IF(Q145="Free Recall",1,IF(Q145="Cued Recall",2,IF(Q145="Recognition",3,IF(Q145="Multiple Choice",4,IF(Q145="Savings",5,IF(Q145="Stem Completion",6,IF(Q145="Fragment Completion",7,IF(Q145="anagram solution",8,IF(Q145="Matching",9,IF(Q145="Problem Solving",10,"99"))))))))))</f>
        <v>1</v>
      </c>
      <c r="S145" s="69" t="s">
        <v>49</v>
      </c>
      <c r="T145" s="92" t="s">
        <v>581</v>
      </c>
      <c r="U145" s="60">
        <f>IF(T145="within",1,0)</f>
        <v>1</v>
      </c>
      <c r="V145" s="92">
        <v>48</v>
      </c>
      <c r="W145" s="69">
        <f>F145*V145</f>
        <v>2880</v>
      </c>
      <c r="X145" s="69">
        <v>5</v>
      </c>
      <c r="Y145" s="87">
        <f>AV144</f>
        <v>2</v>
      </c>
      <c r="Z145" s="69" t="s">
        <v>52</v>
      </c>
      <c r="AA145" s="69">
        <v>30</v>
      </c>
      <c r="AB145" s="69" t="str">
        <f>IF(AA145&lt;60,"1",IF(AA145&lt;=43200,"2",IF(AA145&lt;=777600,"3","4")))</f>
        <v>1</v>
      </c>
      <c r="AC145" s="72">
        <f>AVERAGE(AV144:DA144)</f>
        <v>10</v>
      </c>
      <c r="AD145" s="69" t="str">
        <f>IF(AC145&lt;60,"1",IF(AC145&lt;=43200,"2",IF(AC145&lt;=777600,"3","4")))</f>
        <v>1</v>
      </c>
      <c r="AE145" s="87">
        <f>AA145-Y145</f>
        <v>28</v>
      </c>
      <c r="AF145" s="88">
        <f>AV145</f>
        <v>0.83</v>
      </c>
      <c r="AG145" s="72">
        <f>((AW145-AV145)+(AX145-AW145)+(AY145-AX145)+(AZ145-AY145))/4</f>
        <v>-2.4999999999999994E-2</v>
      </c>
      <c r="AH145" s="4"/>
      <c r="AI145" s="72">
        <f>RSQ(AV145:AZ145,AV144:AZ144)</f>
        <v>0.11386639676113364</v>
      </c>
      <c r="AJ145" s="110">
        <f>SLOPE(AV145:AZ145,AV144:AZ144)</f>
        <v>-2.8846153846153848E-3</v>
      </c>
      <c r="AK145" s="72">
        <f>INTERCEPT(AV145:AZ145,AV144:AZ144)</f>
        <v>0.78884615384615386</v>
      </c>
      <c r="AL145" s="72">
        <f>INDEX(LINEST(LN(AV145:AZ145),LN(AV144:AZ144),TRUE,TRUE),3,1)</f>
        <v>0.27401614607107844</v>
      </c>
      <c r="AM145" s="72">
        <f>INDEX(LINEST(LN(AV145:AZ145),LN(AV144:AZ144)),1)</f>
        <v>-6.7870112661232732E-2</v>
      </c>
      <c r="AN145" s="72">
        <f>EXP(INDEX(LINEST(LN(AV145:AZ145),LN(AV144:AZ144)),1,2))</f>
        <v>0.85711610271806837</v>
      </c>
      <c r="AO145" s="89">
        <f>INDEX(LINEST((AV145:AZ145),LN(AV144:AZ144),TRUE,TRUE),3,1)</f>
        <v>0.2925814587865474</v>
      </c>
      <c r="AP145" s="89">
        <f>INDEX(LINEST((AV145:AZ145),LN(AV144:AZ144)),1)</f>
        <v>-5.2632409448173496E-2</v>
      </c>
      <c r="AQ145" s="90">
        <f>INDEX(LINEST(LN(AV145:AZ145),SQRT(AV144:AZ144),TRUE,TRUE),3,1)</f>
        <v>0.17125371824763244</v>
      </c>
      <c r="AR145" s="117">
        <f>INDEX(LINEST(LN(AV145:AZ145),SQRT((AV144:AZ144))),1)</f>
        <v>-3.4256689746011919E-2</v>
      </c>
      <c r="AS145" s="91">
        <f>INDEX(LINEST(1/(AV145:AZ145),1/(SQRT(AV144:AZ144)),TRUE,TRUE),3,1)</f>
        <v>0.33843151342723782</v>
      </c>
      <c r="AT145" s="91">
        <f>INDEX(LINEST(1/(AV145:AZ145),1/SQRT(AV144:AZ144)),1)</f>
        <v>-0.52704778920019302</v>
      </c>
      <c r="AU145" s="3"/>
      <c r="AV145" s="73">
        <v>0.83</v>
      </c>
      <c r="AW145" s="73">
        <v>0.88</v>
      </c>
      <c r="AX145" s="73">
        <v>0.73</v>
      </c>
      <c r="AY145" s="73">
        <v>0.63</v>
      </c>
      <c r="AZ145" s="73">
        <v>0.73</v>
      </c>
      <c r="BA145" s="73"/>
      <c r="BB145" s="53"/>
      <c r="BC145" s="53"/>
      <c r="BD145" s="53"/>
      <c r="BE145" s="53"/>
      <c r="BF145" s="53"/>
      <c r="BG145" s="53"/>
      <c r="BH145" s="53"/>
      <c r="BI145" s="53"/>
      <c r="BJ145" s="53"/>
      <c r="BK145" s="53"/>
      <c r="BL145" s="53"/>
      <c r="BM145" s="53"/>
      <c r="BN145" s="53"/>
      <c r="BO145" s="53"/>
      <c r="BP145" s="53"/>
      <c r="BQ145" s="53"/>
      <c r="BR145" s="53"/>
      <c r="BS145" s="53"/>
      <c r="BT145" s="53"/>
      <c r="BU145" s="53"/>
      <c r="BV145" s="53"/>
      <c r="BW145" s="53"/>
      <c r="BX145" s="53"/>
      <c r="BY145" s="53"/>
      <c r="BZ145" s="53"/>
      <c r="CA145" s="53"/>
      <c r="CB145" s="53"/>
      <c r="CC145" s="53"/>
      <c r="CD145" s="53"/>
      <c r="CE145" s="53"/>
      <c r="CF145" s="53"/>
      <c r="CG145" s="53"/>
      <c r="CH145" s="53"/>
      <c r="CI145" s="53"/>
      <c r="CJ145" s="53"/>
      <c r="CK145" s="53"/>
      <c r="CL145" s="53"/>
      <c r="CM145" s="53"/>
      <c r="CN145" s="53"/>
      <c r="CO145" s="53"/>
      <c r="CP145" s="53"/>
      <c r="CQ145" s="53"/>
      <c r="CR145" s="1"/>
      <c r="CS145" s="1"/>
      <c r="CT145" s="1"/>
      <c r="CU145" s="1"/>
    </row>
    <row r="146" spans="1:99" s="13" customFormat="1" ht="12" customHeight="1" x14ac:dyDescent="0.2">
      <c r="A146" s="68">
        <v>43509</v>
      </c>
      <c r="B146" s="70"/>
      <c r="C146" s="70"/>
      <c r="D146" s="69"/>
      <c r="E146" s="87"/>
      <c r="F146" s="69"/>
      <c r="G146" s="69"/>
      <c r="H146" s="69"/>
      <c r="I146" s="69"/>
      <c r="J146" s="69"/>
      <c r="K146" s="107"/>
      <c r="L146" s="107"/>
      <c r="M146" s="69"/>
      <c r="N146" s="69"/>
      <c r="O146" s="69"/>
      <c r="P146" s="69"/>
      <c r="Q146" s="69"/>
      <c r="R146" s="69"/>
      <c r="S146" s="69"/>
      <c r="T146" s="69"/>
      <c r="U146" s="60"/>
      <c r="V146" s="69"/>
      <c r="W146" s="69"/>
      <c r="X146" s="86"/>
      <c r="Y146" s="87"/>
      <c r="Z146" s="69"/>
      <c r="AA146" s="69"/>
      <c r="AB146" s="69"/>
      <c r="AC146" s="69"/>
      <c r="AD146" s="69"/>
      <c r="AE146" s="69"/>
      <c r="AF146" s="88"/>
      <c r="AG146" s="72"/>
      <c r="AH146" s="4"/>
      <c r="AI146" s="72"/>
      <c r="AJ146" s="110"/>
      <c r="AK146" s="72"/>
      <c r="AL146" s="72"/>
      <c r="AM146" s="72"/>
      <c r="AN146" s="72"/>
      <c r="AO146" s="72"/>
      <c r="AP146" s="72"/>
      <c r="AQ146" s="72"/>
      <c r="AR146" s="110"/>
      <c r="AS146" s="72"/>
      <c r="AT146" s="72"/>
      <c r="AU146" s="4"/>
      <c r="AV146" s="71">
        <v>2</v>
      </c>
      <c r="AW146" s="71">
        <v>4</v>
      </c>
      <c r="AX146" s="71">
        <v>6</v>
      </c>
      <c r="AY146" s="71">
        <v>8</v>
      </c>
      <c r="AZ146" s="71">
        <v>30</v>
      </c>
      <c r="BA146" s="73"/>
      <c r="BB146" s="53"/>
      <c r="BC146" s="53"/>
      <c r="BD146" s="53"/>
      <c r="BE146" s="53"/>
      <c r="BF146" s="53"/>
      <c r="BG146" s="53"/>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c r="CE146" s="53"/>
      <c r="CF146" s="53"/>
      <c r="CG146" s="53"/>
      <c r="CH146" s="53"/>
      <c r="CI146" s="53"/>
      <c r="CJ146" s="53"/>
      <c r="CK146" s="53"/>
      <c r="CL146" s="53"/>
      <c r="CM146" s="53"/>
      <c r="CN146" s="53"/>
      <c r="CO146" s="53"/>
      <c r="CP146" s="53"/>
      <c r="CQ146" s="53"/>
      <c r="CR146" s="1"/>
      <c r="CS146" s="1"/>
      <c r="CT146" s="1"/>
      <c r="CU146" s="1"/>
    </row>
    <row r="147" spans="1:99" s="13" customFormat="1" ht="12" customHeight="1" x14ac:dyDescent="0.2">
      <c r="A147" s="68">
        <v>43509</v>
      </c>
      <c r="B147" s="70" t="s">
        <v>256</v>
      </c>
      <c r="C147" s="70" t="s">
        <v>48</v>
      </c>
      <c r="D147" s="69">
        <v>1975</v>
      </c>
      <c r="E147" s="87">
        <v>3</v>
      </c>
      <c r="F147" s="69">
        <v>60</v>
      </c>
      <c r="G147" s="69">
        <v>60</v>
      </c>
      <c r="H147" s="69" t="s">
        <v>32</v>
      </c>
      <c r="I147" s="69" t="s">
        <v>839</v>
      </c>
      <c r="J147" s="69" t="s">
        <v>443</v>
      </c>
      <c r="K147" s="69">
        <f>IF(J147="syllables",1,IF(J147="trigrams",2,IF(J147="strings",3,IF(J147="visual array",4,IF(J147="characters",5,IF(J147="letters",6,IF(J147="free forms",7,IF(J147="odors",8,IF(J147="words",9,IF(J147="pictures",10,IF(J147="object pictures",11,IF(J147="faces",12,IF(J147="names",13,IF(J147="idioms",14,IF(J147="grades",15,IF(J147="syllable-digit pairs",16,IF(J147="trigram-word pairs",17,IF(J147="word-digit pairs",18,IF(J147="English-Swahili pairs",19,IF(J147="spatial position",20,IF(J147="word pairs",21,IF(J147="word triads",22,IF(J147="generated words",23,IF(J147="word definition pairs",24,IF(J147="math problems",25,IF(J147="famous faces",26,IF(J147="famous names",27,IF(J147="famous voices",28,IF(J147="television programs",29,IF(J147="race horses",30,IF(J147="new vocabulary",31,IF(J147="sentences",32,IF(J147="concepts",33,IF(J147="ad slides",34,IF(J147="scenes",35,IF(J147="famous scenes",36,IF(J147="poems",37,IF(J147="walk",38,IF(J147="faces and events",39,IF(J147="events and names",40,IF(J147="flashbulb",41,IF(J147="stories",42,IF(J147="course material",43,IF(J147="autobiographical",44,IF(J147="novels",45,IF(J147="public events",46,"99"))))))))))))))))))))))))))))))))))))))))))))))</f>
        <v>2</v>
      </c>
      <c r="L147" s="69">
        <f>IF(J147="syllables",1,IF(J147="trigrams",1,IF(J147="strings",1,IF(J147="visual array",1,IF(J147="characters",1,IF(J147="letters",1,IF(J147="free forms",1,IF(J147="odors",2,IF(J147="words",2,IF(J147="pictures",2,IF(J147="object pictures",2,IF(J147="faces",2,IF(J147="names",2,IF(J147="idioms","2",IF(J147="grades",2,IF(J147="syllable-digit pairs",3,IF(J147="trigram-word pairs",3,IF(J147="word-digit pairs",3,IF(J147="English-Swahili pairs",3,IF(J147="spatial position",3,IF(J147="word pairs",4,IF(J147="word triads",4,IF(J147="generated words",4,IF(J147="word definition pairs",4,IF(J147="math problems",4,IF(J147="famous faces",4,IF(J147="famous names",4,IF(J147="famous voices",4,IF(J147="television programs",4,IF(J147="race horses",4,IF(J147="new vocabulary",4,IF(J147="sentences",5,IF(J147="concepts",5,IF(J147="ad slides",5,IF(J147="scenes",5,IF(J147="famous scenes",5,IF(J147="poems",6,IF(J147="walk",6,IF(J147="faces and events",6,IF(J147="events and names",6,IF(J147="flashbulb",7,IF(J147="stories",7,IF(J147="course material",7,IF(J147="autobiographical",7,IF(J147="novels",7,IF(J147="public events",7,"99"))))))))))))))))))))))))))))))))))))))))))))))</f>
        <v>1</v>
      </c>
      <c r="M147" s="69">
        <v>0</v>
      </c>
      <c r="N147" s="69">
        <v>1</v>
      </c>
      <c r="O147" s="69">
        <v>1</v>
      </c>
      <c r="P147" s="69" t="s">
        <v>27</v>
      </c>
      <c r="Q147" s="69" t="s">
        <v>174</v>
      </c>
      <c r="R147" s="69">
        <f>IF(Q147="Free Recall",1,IF(Q147="Cued Recall",2,IF(Q147="Recognition",3,IF(Q147="Multiple Choice",4,IF(Q147="Savings",5,IF(Q147="Stem Completion",6,IF(Q147="Fragment Completion",7,IF(Q147="anagram solution",8,IF(Q147="Matching",9,IF(Q147="Problem Solving",10,"99"))))))))))</f>
        <v>1</v>
      </c>
      <c r="S147" s="69" t="s">
        <v>49</v>
      </c>
      <c r="T147" s="92" t="s">
        <v>581</v>
      </c>
      <c r="U147" s="60">
        <f>IF(T147="within",1,0)</f>
        <v>1</v>
      </c>
      <c r="V147" s="92">
        <v>48</v>
      </c>
      <c r="W147" s="69">
        <f>F147*V147</f>
        <v>2880</v>
      </c>
      <c r="X147" s="69">
        <v>5</v>
      </c>
      <c r="Y147" s="87">
        <f>AV146</f>
        <v>2</v>
      </c>
      <c r="Z147" s="69" t="s">
        <v>52</v>
      </c>
      <c r="AA147" s="69">
        <v>30</v>
      </c>
      <c r="AB147" s="69" t="str">
        <f>IF(AA147&lt;60,"1",IF(AA147&lt;=43200,"2",IF(AA147&lt;=777600,"3","4")))</f>
        <v>1</v>
      </c>
      <c r="AC147" s="72">
        <f>AVERAGE(AV146:DA146)</f>
        <v>10</v>
      </c>
      <c r="AD147" s="69" t="str">
        <f>IF(AC147&lt;60,"1",IF(AC147&lt;=43200,"2",IF(AC147&lt;=777600,"3","4")))</f>
        <v>1</v>
      </c>
      <c r="AE147" s="87">
        <f>AA147-Y147</f>
        <v>28</v>
      </c>
      <c r="AF147" s="88">
        <f>AV147</f>
        <v>0.69</v>
      </c>
      <c r="AG147" s="72">
        <f>((AW147-AV147)+(AX147-AW147)+(AY147-AX147)+(AZ147-AY147))/4</f>
        <v>-3.999999999999998E-2</v>
      </c>
      <c r="AH147" s="4"/>
      <c r="AI147" s="72">
        <f>RSQ(AV147:AZ147,AV146:AZ146)</f>
        <v>0.40948097601323413</v>
      </c>
      <c r="AJ147" s="110">
        <f>SLOPE(AV147:AZ147,AV146:AZ146)</f>
        <v>-3.4230769230769215E-3</v>
      </c>
      <c r="AK147" s="72">
        <f>INTERCEPT(AV147:AZ147,AV146:AZ146)</f>
        <v>0.62223076923076903</v>
      </c>
      <c r="AL147" s="72">
        <f>INDEX(LINEST(LN(AV147:AZ147),LN(AV146:AZ146),TRUE,TRUE),3,1)</f>
        <v>0.68616073597589022</v>
      </c>
      <c r="AM147" s="72">
        <f>INDEX(LINEST(LN(AV147:AZ147),LN(AV146:AZ146)),1)</f>
        <v>-8.2331852575010564E-2</v>
      </c>
      <c r="AN147" s="72">
        <f>EXP(INDEX(LINEST(LN(AV147:AZ147),LN(AV146:AZ146)),1,2))</f>
        <v>0.68310167819811818</v>
      </c>
      <c r="AO147" s="89">
        <f>INDEX(LINEST((AV147:AZ147),LN(AV146:AZ146),TRUE,TRUE),3,1)</f>
        <v>0.66464152250651221</v>
      </c>
      <c r="AP147" s="89">
        <f>INDEX(LINEST((AV147:AZ147),LN(AV146:AZ146)),1)</f>
        <v>-4.9640169256534861E-2</v>
      </c>
      <c r="AQ147" s="90">
        <f>INDEX(LINEST(LN(AV147:AZ147),SQRT(AV146:AZ146),TRUE,TRUE),3,1)</f>
        <v>0.54689751580064139</v>
      </c>
      <c r="AR147" s="117">
        <f>INDEX(LINEST(LN(AV147:AZ147),SQRT((AV146:AZ146))),1)</f>
        <v>-4.6929165111634183E-2</v>
      </c>
      <c r="AS147" s="91">
        <f>INDEX(LINEST(1/(AV147:AZ147),1/(SQRT(AV146:AZ146)),TRUE,TRUE),3,1)</f>
        <v>0.80998255704288147</v>
      </c>
      <c r="AT147" s="91">
        <f>INDEX(LINEST(1/(AV147:AZ147),1/SQRT(AV146:AZ146)),1)</f>
        <v>-0.7623606311602561</v>
      </c>
      <c r="AU147" s="3"/>
      <c r="AV147" s="73">
        <v>0.69</v>
      </c>
      <c r="AW147" s="73">
        <v>0.56000000000000005</v>
      </c>
      <c r="AX147" s="73">
        <v>0.59</v>
      </c>
      <c r="AY147" s="73">
        <v>0.56999999999999995</v>
      </c>
      <c r="AZ147" s="73">
        <v>0.53</v>
      </c>
      <c r="BA147" s="73"/>
      <c r="BB147" s="53"/>
      <c r="BC147" s="53"/>
      <c r="BD147" s="53"/>
      <c r="BE147" s="53"/>
      <c r="BF147" s="53"/>
      <c r="BG147" s="53"/>
      <c r="BH147" s="53"/>
      <c r="BI147" s="53"/>
      <c r="BJ147" s="53"/>
      <c r="BK147" s="53"/>
      <c r="BL147" s="53"/>
      <c r="BM147" s="53"/>
      <c r="BN147" s="53"/>
      <c r="BO147" s="53"/>
      <c r="BP147" s="53"/>
      <c r="BQ147" s="53"/>
      <c r="BR147" s="53"/>
      <c r="BS147" s="53"/>
      <c r="BT147" s="53"/>
      <c r="BU147" s="53"/>
      <c r="BV147" s="53"/>
      <c r="BW147" s="53"/>
      <c r="BX147" s="53"/>
      <c r="BY147" s="53"/>
      <c r="BZ147" s="53"/>
      <c r="CA147" s="53"/>
      <c r="CB147" s="53"/>
      <c r="CC147" s="53"/>
      <c r="CD147" s="53"/>
      <c r="CE147" s="53"/>
      <c r="CF147" s="53"/>
      <c r="CG147" s="53"/>
      <c r="CH147" s="53"/>
      <c r="CI147" s="53"/>
      <c r="CJ147" s="53"/>
      <c r="CK147" s="53"/>
      <c r="CL147" s="53"/>
      <c r="CM147" s="53"/>
      <c r="CN147" s="53"/>
      <c r="CO147" s="53"/>
      <c r="CP147" s="53"/>
      <c r="CQ147" s="53"/>
      <c r="CR147" s="1"/>
      <c r="CS147" s="1"/>
      <c r="CT147" s="1"/>
      <c r="CU147" s="1"/>
    </row>
    <row r="148" spans="1:99" s="13" customFormat="1" ht="12" customHeight="1" x14ac:dyDescent="0.2">
      <c r="A148" s="68">
        <v>43509</v>
      </c>
      <c r="B148" s="70"/>
      <c r="C148" s="70"/>
      <c r="D148" s="69"/>
      <c r="E148" s="87"/>
      <c r="F148" s="69"/>
      <c r="G148" s="69"/>
      <c r="H148" s="69"/>
      <c r="I148" s="69"/>
      <c r="J148" s="69"/>
      <c r="K148" s="107"/>
      <c r="L148" s="107"/>
      <c r="M148" s="69"/>
      <c r="N148" s="69"/>
      <c r="O148" s="69"/>
      <c r="P148" s="69"/>
      <c r="Q148" s="69"/>
      <c r="R148" s="69"/>
      <c r="S148" s="69"/>
      <c r="T148" s="69"/>
      <c r="U148" s="60"/>
      <c r="V148" s="69"/>
      <c r="W148" s="69"/>
      <c r="X148" s="69"/>
      <c r="Y148" s="87"/>
      <c r="Z148" s="69"/>
      <c r="AA148" s="69"/>
      <c r="AB148" s="69"/>
      <c r="AC148" s="69"/>
      <c r="AD148" s="69"/>
      <c r="AE148" s="69"/>
      <c r="AF148" s="88"/>
      <c r="AG148" s="72"/>
      <c r="AH148" s="4"/>
      <c r="AI148" s="72"/>
      <c r="AJ148" s="110"/>
      <c r="AK148" s="72"/>
      <c r="AL148" s="72"/>
      <c r="AM148" s="72"/>
      <c r="AN148" s="72"/>
      <c r="AO148" s="89"/>
      <c r="AP148" s="89"/>
      <c r="AQ148" s="72"/>
      <c r="AR148" s="110"/>
      <c r="AS148" s="72"/>
      <c r="AT148" s="72"/>
      <c r="AU148" s="3"/>
      <c r="AV148" s="71">
        <v>2</v>
      </c>
      <c r="AW148" s="71">
        <v>4</v>
      </c>
      <c r="AX148" s="71">
        <v>6</v>
      </c>
      <c r="AY148" s="71">
        <v>8</v>
      </c>
      <c r="AZ148" s="71">
        <v>30</v>
      </c>
      <c r="BA148" s="73"/>
      <c r="BB148" s="53"/>
      <c r="BC148" s="53"/>
      <c r="BD148" s="53"/>
      <c r="BE148" s="53"/>
      <c r="BF148" s="53"/>
      <c r="BG148" s="53"/>
      <c r="BH148" s="53"/>
      <c r="BI148" s="53"/>
      <c r="BJ148" s="53"/>
      <c r="BK148" s="53"/>
      <c r="BL148" s="53"/>
      <c r="BM148" s="53"/>
      <c r="BN148" s="53"/>
      <c r="BO148" s="53"/>
      <c r="BP148" s="53"/>
      <c r="BQ148" s="53"/>
      <c r="BR148" s="53"/>
      <c r="BS148" s="53"/>
      <c r="BT148" s="53"/>
      <c r="BU148" s="53"/>
      <c r="BV148" s="53"/>
      <c r="BW148" s="53"/>
      <c r="BX148" s="53"/>
      <c r="BY148" s="53"/>
      <c r="BZ148" s="53"/>
      <c r="CA148" s="53"/>
      <c r="CB148" s="53"/>
      <c r="CC148" s="53"/>
      <c r="CD148" s="53"/>
      <c r="CE148" s="53"/>
      <c r="CF148" s="53"/>
      <c r="CG148" s="53"/>
      <c r="CH148" s="53"/>
      <c r="CI148" s="53"/>
      <c r="CJ148" s="53"/>
      <c r="CK148" s="53"/>
      <c r="CL148" s="53"/>
      <c r="CM148" s="53"/>
      <c r="CN148" s="53"/>
      <c r="CO148" s="53"/>
      <c r="CP148" s="53"/>
      <c r="CQ148" s="53"/>
      <c r="CR148" s="1"/>
      <c r="CS148" s="1"/>
      <c r="CT148" s="1"/>
      <c r="CU148" s="1"/>
    </row>
    <row r="149" spans="1:99" s="13" customFormat="1" ht="12" customHeight="1" x14ac:dyDescent="0.2">
      <c r="A149" s="68">
        <v>43509</v>
      </c>
      <c r="B149" s="70" t="s">
        <v>256</v>
      </c>
      <c r="C149" s="70" t="s">
        <v>48</v>
      </c>
      <c r="D149" s="69">
        <v>1975</v>
      </c>
      <c r="E149" s="87">
        <v>3</v>
      </c>
      <c r="F149" s="69">
        <v>60</v>
      </c>
      <c r="G149" s="69">
        <v>60</v>
      </c>
      <c r="H149" s="69" t="s">
        <v>32</v>
      </c>
      <c r="I149" s="69" t="s">
        <v>840</v>
      </c>
      <c r="J149" s="69" t="s">
        <v>443</v>
      </c>
      <c r="K149" s="69">
        <f>IF(J149="syllables",1,IF(J149="trigrams",2,IF(J149="strings",3,IF(J149="visual array",4,IF(J149="characters",5,IF(J149="letters",6,IF(J149="free forms",7,IF(J149="odors",8,IF(J149="words",9,IF(J149="pictures",10,IF(J149="object pictures",11,IF(J149="faces",12,IF(J149="names",13,IF(J149="idioms",14,IF(J149="grades",15,IF(J149="syllable-digit pairs",16,IF(J149="trigram-word pairs",17,IF(J149="word-digit pairs",18,IF(J149="English-Swahili pairs",19,IF(J149="spatial position",20,IF(J149="word pairs",21,IF(J149="word triads",22,IF(J149="generated words",23,IF(J149="word definition pairs",24,IF(J149="math problems",25,IF(J149="famous faces",26,IF(J149="famous names",27,IF(J149="famous voices",28,IF(J149="television programs",29,IF(J149="race horses",30,IF(J149="new vocabulary",31,IF(J149="sentences",32,IF(J149="concepts",33,IF(J149="ad slides",34,IF(J149="scenes",35,IF(J149="famous scenes",36,IF(J149="poems",37,IF(J149="walk",38,IF(J149="faces and events",39,IF(J149="events and names",40,IF(J149="flashbulb",41,IF(J149="stories",42,IF(J149="course material",43,IF(J149="autobiographical",44,IF(J149="novels",45,IF(J149="public events",46,"99"))))))))))))))))))))))))))))))))))))))))))))))</f>
        <v>2</v>
      </c>
      <c r="L149" s="69">
        <f>IF(J149="syllables",1,IF(J149="trigrams",1,IF(J149="strings",1,IF(J149="visual array",1,IF(J149="characters",1,IF(J149="letters",1,IF(J149="free forms",1,IF(J149="odors",2,IF(J149="words",2,IF(J149="pictures",2,IF(J149="object pictures",2,IF(J149="faces",2,IF(J149="names",2,IF(J149="idioms","2",IF(J149="grades",2,IF(J149="syllable-digit pairs",3,IF(J149="trigram-word pairs",3,IF(J149="word-digit pairs",3,IF(J149="English-Swahili pairs",3,IF(J149="spatial position",3,IF(J149="word pairs",4,IF(J149="word triads",4,IF(J149="generated words",4,IF(J149="word definition pairs",4,IF(J149="math problems",4,IF(J149="famous faces",4,IF(J149="famous names",4,IF(J149="famous voices",4,IF(J149="television programs",4,IF(J149="race horses",4,IF(J149="new vocabulary",4,IF(J149="sentences",5,IF(J149="concepts",5,IF(J149="ad slides",5,IF(J149="scenes",5,IF(J149="famous scenes",5,IF(J149="poems",6,IF(J149="walk",6,IF(J149="faces and events",6,IF(J149="events and names",6,IF(J149="flashbulb",7,IF(J149="stories",7,IF(J149="course material",7,IF(J149="autobiographical",7,IF(J149="novels",7,IF(J149="public events",7,"99"))))))))))))))))))))))))))))))))))))))))))))))</f>
        <v>1</v>
      </c>
      <c r="M149" s="69">
        <v>0</v>
      </c>
      <c r="N149" s="69">
        <v>1</v>
      </c>
      <c r="O149" s="69">
        <v>1</v>
      </c>
      <c r="P149" s="69" t="s">
        <v>27</v>
      </c>
      <c r="Q149" s="69" t="s">
        <v>174</v>
      </c>
      <c r="R149" s="69">
        <f>IF(Q149="Free Recall",1,IF(Q149="Cued Recall",2,IF(Q149="Recognition",3,IF(Q149="Multiple Choice",4,IF(Q149="Savings",5,IF(Q149="Stem Completion",6,IF(Q149="Fragment Completion",7,IF(Q149="anagram solution",8,IF(Q149="Matching",9,IF(Q149="Problem Solving",10,"99"))))))))))</f>
        <v>1</v>
      </c>
      <c r="S149" s="69" t="s">
        <v>49</v>
      </c>
      <c r="T149" s="92" t="s">
        <v>581</v>
      </c>
      <c r="U149" s="60">
        <f>IF(T149="within",1,0)</f>
        <v>1</v>
      </c>
      <c r="V149" s="92">
        <v>48</v>
      </c>
      <c r="W149" s="69">
        <f>F149*V149</f>
        <v>2880</v>
      </c>
      <c r="X149" s="69">
        <v>5</v>
      </c>
      <c r="Y149" s="87">
        <f>AV148</f>
        <v>2</v>
      </c>
      <c r="Z149" s="69" t="s">
        <v>52</v>
      </c>
      <c r="AA149" s="69">
        <v>30</v>
      </c>
      <c r="AB149" s="69" t="str">
        <f>IF(AA149&lt;60,"1",IF(AA149&lt;=43200,"2",IF(AA149&lt;=777600,"3","4")))</f>
        <v>1</v>
      </c>
      <c r="AC149" s="72">
        <f>AVERAGE(AV148:DA148)</f>
        <v>10</v>
      </c>
      <c r="AD149" s="69" t="str">
        <f>IF(AC149&lt;60,"1",IF(AC149&lt;=43200,"2",IF(AC149&lt;=777600,"3","4")))</f>
        <v>1</v>
      </c>
      <c r="AE149" s="87">
        <f>AA149-Y149</f>
        <v>28</v>
      </c>
      <c r="AF149" s="88">
        <f>AV149</f>
        <v>0.91</v>
      </c>
      <c r="AG149" s="72">
        <f>((AW149-AV149)+(AX149-AW149)+(AY149-AX149)+(AZ149-AY149))/4</f>
        <v>-0.11750000000000001</v>
      </c>
      <c r="AH149" s="4"/>
      <c r="AI149" s="72">
        <f>RSQ(AV149:AZ149,AV148:AZ148)</f>
        <v>0.45742244430564222</v>
      </c>
      <c r="AJ149" s="110">
        <f>SLOPE(AV149:AZ149,AV148:AZ148)</f>
        <v>-1.2999999999999999E-2</v>
      </c>
      <c r="AK149" s="72">
        <f>INTERCEPT(AV149:AZ149,AV148:AZ148)</f>
        <v>0.77600000000000002</v>
      </c>
      <c r="AL149" s="72">
        <f>INDEX(LINEST(LN(AV149:AZ149),LN(AV148:AZ148),TRUE,TRUE),3,1)</f>
        <v>0.76775218720644822</v>
      </c>
      <c r="AM149" s="72">
        <f>INDEX(LINEST(LN(AV149:AZ149),LN(AV148:AZ148)),1)</f>
        <v>-0.29384836738253917</v>
      </c>
      <c r="AN149" s="72">
        <f>EXP(INDEX(LINEST(LN(AV149:AZ149),LN(AV148:AZ148)),1,2))</f>
        <v>1.0693749631730214</v>
      </c>
      <c r="AO149" s="89">
        <f>INDEX(LINEST((AV149:AZ149),LN(AV148:AZ148),TRUE,TRUE),3,1)</f>
        <v>0.73911308624957972</v>
      </c>
      <c r="AP149" s="89">
        <f>INDEX(LINEST((AV149:AZ149),LN(AV148:AZ148)),1)</f>
        <v>-0.18809609872231658</v>
      </c>
      <c r="AQ149" s="90">
        <f>INDEX(LINEST(LN(AV149:AZ149),SQRT(AV148:AZ148),TRUE,TRUE),3,1)</f>
        <v>0.63034553577708341</v>
      </c>
      <c r="AR149" s="117">
        <f>INDEX(LINEST(LN(AV149:AZ149),SQRT((AV148:AZ148))),1)</f>
        <v>-0.16999532889551638</v>
      </c>
      <c r="AS149" s="91">
        <f>INDEX(LINEST(1/(AV149:AZ149),1/(SQRT(AV148:AZ148)),TRUE,TRUE),3,1)</f>
        <v>0.83665698894686391</v>
      </c>
      <c r="AT149" s="91">
        <f>INDEX(LINEST(1/(AV149:AZ149),1/SQRT(AV148:AZ148)),1)</f>
        <v>-2.5429425308656679</v>
      </c>
      <c r="AU149" s="3"/>
      <c r="AV149" s="73">
        <v>0.91</v>
      </c>
      <c r="AW149" s="73">
        <v>0.85</v>
      </c>
      <c r="AX149" s="73">
        <v>0.56000000000000005</v>
      </c>
      <c r="AY149" s="73">
        <v>0.47</v>
      </c>
      <c r="AZ149" s="73">
        <v>0.44</v>
      </c>
      <c r="BA149" s="73"/>
      <c r="BB149" s="53"/>
      <c r="BC149" s="53"/>
      <c r="BD149" s="53"/>
      <c r="BE149" s="53"/>
      <c r="BF149" s="53"/>
      <c r="BG149" s="53"/>
      <c r="BH149" s="53"/>
      <c r="BI149" s="53"/>
      <c r="BJ149" s="53"/>
      <c r="BK149" s="53"/>
      <c r="BL149" s="53"/>
      <c r="BM149" s="53"/>
      <c r="BN149" s="53"/>
      <c r="BO149" s="53"/>
      <c r="BP149" s="53"/>
      <c r="BQ149" s="53"/>
      <c r="BR149" s="53"/>
      <c r="BS149" s="53"/>
      <c r="BT149" s="53"/>
      <c r="BU149" s="53"/>
      <c r="BV149" s="53"/>
      <c r="BW149" s="53"/>
      <c r="BX149" s="53"/>
      <c r="BY149" s="53"/>
      <c r="BZ149" s="53"/>
      <c r="CA149" s="53"/>
      <c r="CB149" s="53"/>
      <c r="CC149" s="53"/>
      <c r="CD149" s="53"/>
      <c r="CE149" s="53"/>
      <c r="CF149" s="53"/>
      <c r="CG149" s="53"/>
      <c r="CH149" s="53"/>
      <c r="CI149" s="53"/>
      <c r="CJ149" s="53"/>
      <c r="CK149" s="53"/>
      <c r="CL149" s="53"/>
      <c r="CM149" s="53"/>
      <c r="CN149" s="53"/>
      <c r="CO149" s="53"/>
      <c r="CP149" s="53"/>
      <c r="CQ149" s="53"/>
      <c r="CR149" s="1"/>
      <c r="CS149" s="1"/>
      <c r="CT149" s="1"/>
      <c r="CU149" s="1"/>
    </row>
    <row r="150" spans="1:99" s="13" customFormat="1" ht="12" customHeight="1" x14ac:dyDescent="0.2">
      <c r="A150" s="68">
        <v>43509</v>
      </c>
      <c r="B150" s="70"/>
      <c r="C150" s="70"/>
      <c r="D150" s="69"/>
      <c r="E150" s="87"/>
      <c r="F150" s="69"/>
      <c r="G150" s="69"/>
      <c r="H150" s="69"/>
      <c r="I150" s="69"/>
      <c r="J150" s="69"/>
      <c r="K150" s="107"/>
      <c r="L150" s="107"/>
      <c r="M150" s="69"/>
      <c r="N150" s="69"/>
      <c r="O150" s="69"/>
      <c r="P150" s="69"/>
      <c r="Q150" s="69"/>
      <c r="R150" s="69"/>
      <c r="S150" s="69"/>
      <c r="T150" s="69"/>
      <c r="U150" s="60"/>
      <c r="V150" s="69"/>
      <c r="W150" s="69"/>
      <c r="X150" s="86"/>
      <c r="Y150" s="87"/>
      <c r="Z150" s="69"/>
      <c r="AA150" s="69"/>
      <c r="AB150" s="69"/>
      <c r="AC150" s="69"/>
      <c r="AD150" s="69"/>
      <c r="AE150" s="69"/>
      <c r="AF150" s="88"/>
      <c r="AG150" s="72"/>
      <c r="AH150" s="4"/>
      <c r="AI150" s="72"/>
      <c r="AJ150" s="110"/>
      <c r="AK150" s="72"/>
      <c r="AL150" s="72"/>
      <c r="AM150" s="72"/>
      <c r="AN150" s="72"/>
      <c r="AO150" s="72"/>
      <c r="AP150" s="72"/>
      <c r="AQ150" s="72"/>
      <c r="AR150" s="110"/>
      <c r="AS150" s="72"/>
      <c r="AT150" s="72"/>
      <c r="AU150" s="4"/>
      <c r="AV150" s="71">
        <v>2.25</v>
      </c>
      <c r="AW150" s="71">
        <v>4.5</v>
      </c>
      <c r="AX150" s="71">
        <v>9</v>
      </c>
      <c r="AY150" s="71">
        <v>27</v>
      </c>
      <c r="AZ150" s="71"/>
      <c r="BA150" s="73"/>
      <c r="BB150" s="53"/>
      <c r="BC150" s="53"/>
      <c r="BD150" s="53"/>
      <c r="BE150" s="53"/>
      <c r="BF150" s="53"/>
      <c r="BG150" s="53"/>
      <c r="BH150" s="53"/>
      <c r="BI150" s="53"/>
      <c r="BJ150" s="53"/>
      <c r="BK150" s="53"/>
      <c r="BL150" s="53"/>
      <c r="BM150" s="53"/>
      <c r="BN150" s="53"/>
      <c r="BO150" s="53"/>
      <c r="BP150" s="53"/>
      <c r="BQ150" s="53"/>
      <c r="BR150" s="53"/>
      <c r="BS150" s="53"/>
      <c r="BT150" s="53"/>
      <c r="BU150" s="53"/>
      <c r="BV150" s="53"/>
      <c r="BW150" s="53"/>
      <c r="BX150" s="53"/>
      <c r="BY150" s="53"/>
      <c r="BZ150" s="53"/>
      <c r="CA150" s="53"/>
      <c r="CB150" s="53"/>
      <c r="CC150" s="53"/>
      <c r="CD150" s="53"/>
      <c r="CE150" s="53"/>
      <c r="CF150" s="53"/>
      <c r="CG150" s="53"/>
      <c r="CH150" s="53"/>
      <c r="CI150" s="53"/>
      <c r="CJ150" s="53"/>
      <c r="CK150" s="53"/>
      <c r="CL150" s="53"/>
      <c r="CM150" s="53"/>
      <c r="CN150" s="53"/>
      <c r="CO150" s="53"/>
      <c r="CP150" s="53"/>
      <c r="CQ150" s="53"/>
      <c r="CR150" s="1"/>
      <c r="CS150" s="1"/>
      <c r="CT150" s="1"/>
      <c r="CU150" s="1"/>
    </row>
    <row r="151" spans="1:99" s="13" customFormat="1" ht="12" customHeight="1" x14ac:dyDescent="0.2">
      <c r="A151" s="68">
        <v>43509</v>
      </c>
      <c r="B151" s="70" t="s">
        <v>256</v>
      </c>
      <c r="C151" s="70" t="s">
        <v>48</v>
      </c>
      <c r="D151" s="69">
        <v>1975</v>
      </c>
      <c r="E151" s="87">
        <v>4</v>
      </c>
      <c r="F151" s="69">
        <v>60</v>
      </c>
      <c r="G151" s="69">
        <v>60</v>
      </c>
      <c r="H151" s="69" t="s">
        <v>43</v>
      </c>
      <c r="I151" s="69" t="s">
        <v>842</v>
      </c>
      <c r="J151" s="69" t="s">
        <v>443</v>
      </c>
      <c r="K151" s="69">
        <f>IF(J151="syllables",1,IF(J151="trigrams",2,IF(J151="strings",3,IF(J151="visual array",4,IF(J151="characters",5,IF(J151="letters",6,IF(J151="free forms",7,IF(J151="odors",8,IF(J151="words",9,IF(J151="pictures",10,IF(J151="object pictures",11,IF(J151="faces",12,IF(J151="names",13,IF(J151="idioms",14,IF(J151="grades",15,IF(J151="syllable-digit pairs",16,IF(J151="trigram-word pairs",17,IF(J151="word-digit pairs",18,IF(J151="English-Swahili pairs",19,IF(J151="spatial position",20,IF(J151="word pairs",21,IF(J151="word triads",22,IF(J151="generated words",23,IF(J151="word definition pairs",24,IF(J151="math problems",25,IF(J151="famous faces",26,IF(J151="famous names",27,IF(J151="famous voices",28,IF(J151="television programs",29,IF(J151="race horses",30,IF(J151="new vocabulary",31,IF(J151="sentences",32,IF(J151="concepts",33,IF(J151="ad slides",34,IF(J151="scenes",35,IF(J151="famous scenes",36,IF(J151="poems",37,IF(J151="walk",38,IF(J151="faces and events",39,IF(J151="events and names",40,IF(J151="flashbulb",41,IF(J151="stories",42,IF(J151="course material",43,IF(J151="autobiographical",44,IF(J151="novels",45,IF(J151="public events",46,"99"))))))))))))))))))))))))))))))))))))))))))))))</f>
        <v>2</v>
      </c>
      <c r="L151" s="69">
        <f>IF(J151="syllables",1,IF(J151="trigrams",1,IF(J151="strings",1,IF(J151="visual array",1,IF(J151="characters",1,IF(J151="letters",1,IF(J151="free forms",1,IF(J151="odors",2,IF(J151="words",2,IF(J151="pictures",2,IF(J151="object pictures",2,IF(J151="faces",2,IF(J151="names",2,IF(J151="idioms","2",IF(J151="grades",2,IF(J151="syllable-digit pairs",3,IF(J151="trigram-word pairs",3,IF(J151="word-digit pairs",3,IF(J151="English-Swahili pairs",3,IF(J151="spatial position",3,IF(J151="word pairs",4,IF(J151="word triads",4,IF(J151="generated words",4,IF(J151="word definition pairs",4,IF(J151="math problems",4,IF(J151="famous faces",4,IF(J151="famous names",4,IF(J151="famous voices",4,IF(J151="television programs",4,IF(J151="race horses",4,IF(J151="new vocabulary",4,IF(J151="sentences",5,IF(J151="concepts",5,IF(J151="ad slides",5,IF(J151="scenes",5,IF(J151="famous scenes",5,IF(J151="poems",6,IF(J151="walk",6,IF(J151="faces and events",6,IF(J151="events and names",6,IF(J151="flashbulb",7,IF(J151="stories",7,IF(J151="course material",7,IF(J151="autobiographical",7,IF(J151="novels",7,IF(J151="public events",7,"99"))))))))))))))))))))))))))))))))))))))))))))))</f>
        <v>1</v>
      </c>
      <c r="M151" s="69">
        <v>0</v>
      </c>
      <c r="N151" s="69">
        <v>1</v>
      </c>
      <c r="O151" s="69">
        <v>1</v>
      </c>
      <c r="P151" s="69" t="s">
        <v>27</v>
      </c>
      <c r="Q151" s="69" t="s">
        <v>174</v>
      </c>
      <c r="R151" s="69">
        <f>IF(Q151="Free Recall",1,IF(Q151="Cued Recall",2,IF(Q151="Recognition",3,IF(Q151="Multiple Choice",4,IF(Q151="Savings",5,IF(Q151="Stem Completion",6,IF(Q151="Fragment Completion",7,IF(Q151="anagram solution",8,IF(Q151="Matching",9,IF(Q151="Problem Solving",10,"99"))))))))))</f>
        <v>1</v>
      </c>
      <c r="S151" s="69" t="s">
        <v>49</v>
      </c>
      <c r="T151" s="92" t="s">
        <v>581</v>
      </c>
      <c r="U151" s="60">
        <f>IF(T151="within",1,0)</f>
        <v>1</v>
      </c>
      <c r="V151" s="92">
        <v>48</v>
      </c>
      <c r="W151" s="69">
        <f>F151*V151</f>
        <v>2880</v>
      </c>
      <c r="X151" s="69">
        <v>4</v>
      </c>
      <c r="Y151" s="87">
        <f>AV150</f>
        <v>2.25</v>
      </c>
      <c r="Z151" s="69" t="s">
        <v>23</v>
      </c>
      <c r="AA151" s="69">
        <v>27</v>
      </c>
      <c r="AB151" s="69" t="str">
        <f>IF(AA151&lt;60,"1",IF(AA151&lt;=43200,"2",IF(AA151&lt;=777600,"3","4")))</f>
        <v>1</v>
      </c>
      <c r="AC151" s="72">
        <f>AVERAGE(AV150:DA150)</f>
        <v>10.6875</v>
      </c>
      <c r="AD151" s="69" t="str">
        <f>IF(AC151&lt;60,"1",IF(AC151&lt;=43200,"2",IF(AC151&lt;=777600,"3","4")))</f>
        <v>1</v>
      </c>
      <c r="AE151" s="87">
        <f>AA151-Y151</f>
        <v>24.75</v>
      </c>
      <c r="AF151" s="88">
        <f>AV151</f>
        <v>0.94</v>
      </c>
      <c r="AG151" s="72">
        <f>((AW151-AV151)+(AX151-AW151)+(AY151-AX151))/3</f>
        <v>-0.10333333333333332</v>
      </c>
      <c r="AH151" s="4"/>
      <c r="AI151" s="72">
        <f>RSQ(AV151:AY151,AV150:AY150)</f>
        <v>0.2327149111115385</v>
      </c>
      <c r="AJ151" s="110">
        <f>SLOPE(AV151:AY151,AV150:AY150)</f>
        <v>-8.651059085841694E-3</v>
      </c>
      <c r="AK151" s="72">
        <f>INTERCEPT(AV151:AY151,AV150:AY150)</f>
        <v>0.79745819397993301</v>
      </c>
      <c r="AL151" s="72">
        <f>INDEX(LINEST(LN(AV151:AY151),LN(AV150:AY150),TRUE,TRUE),3,1)</f>
        <v>0.43493608452958726</v>
      </c>
      <c r="AM151" s="72">
        <f>INDEX(LINEST(LN(AV151:AY151),LN(AV150:AY150)),1)</f>
        <v>-0.18527236101789452</v>
      </c>
      <c r="AN151" s="72">
        <f>EXP(INDEX(LINEST(LN(AV151:AY151),LN(AV150:AY150)),1,2))</f>
        <v>0.9800086758403469</v>
      </c>
      <c r="AO151" s="89">
        <f>INDEX(LINEST((AV151:AY151),LN(AV150:AY150),TRUE,TRUE),3,1)</f>
        <v>0.51649483916620587</v>
      </c>
      <c r="AP151" s="89">
        <f>INDEX(LINEST((AV151:AY151),LN(AV150:AY150)),1)</f>
        <v>-0.13659871974841223</v>
      </c>
      <c r="AQ151" s="90">
        <f>INDEX(LINEST(LN(AV151:AY151),SQRT(AV150:AY150),TRUE,TRUE),3,1)</f>
        <v>0.28698499201629862</v>
      </c>
      <c r="AR151" s="117">
        <f>INDEX(LINEST(LN(AV151:AY151),SQRT((AV150:AY150))),1)</f>
        <v>-9.8670840648517971E-2</v>
      </c>
      <c r="AS151" s="91">
        <f>INDEX(LINEST(1/(AV151:AY151),1/(SQRT(AV150:AY150)),TRUE,TRUE),3,1)</f>
        <v>0.47454507934596102</v>
      </c>
      <c r="AT151" s="91">
        <f>INDEX(LINEST(1/(AV151:AY151),1/SQRT(AV150:AY150)),1)</f>
        <v>-1.5712367881539562</v>
      </c>
      <c r="AU151" s="3"/>
      <c r="AV151" s="73">
        <v>0.94</v>
      </c>
      <c r="AW151" s="73">
        <v>0.78</v>
      </c>
      <c r="AX151" s="73">
        <v>0.47</v>
      </c>
      <c r="AY151" s="73">
        <v>0.63</v>
      </c>
      <c r="AZ151" s="73"/>
      <c r="BA151" s="73"/>
      <c r="BB151" s="53"/>
      <c r="BC151" s="53"/>
      <c r="BD151" s="53"/>
      <c r="BE151" s="53"/>
      <c r="BF151" s="53"/>
      <c r="BG151" s="53"/>
      <c r="BH151" s="53"/>
      <c r="BI151" s="53"/>
      <c r="BJ151" s="53"/>
      <c r="BK151" s="53"/>
      <c r="BL151" s="53"/>
      <c r="BM151" s="53"/>
      <c r="BN151" s="53"/>
      <c r="BO151" s="53"/>
      <c r="BP151" s="53"/>
      <c r="BQ151" s="53"/>
      <c r="BR151" s="53"/>
      <c r="BS151" s="53"/>
      <c r="BT151" s="53"/>
      <c r="BU151" s="53"/>
      <c r="BV151" s="53"/>
      <c r="BW151" s="53"/>
      <c r="BX151" s="53"/>
      <c r="BY151" s="53"/>
      <c r="BZ151" s="53"/>
      <c r="CA151" s="53"/>
      <c r="CB151" s="53"/>
      <c r="CC151" s="53"/>
      <c r="CD151" s="53"/>
      <c r="CE151" s="53"/>
      <c r="CF151" s="53"/>
      <c r="CG151" s="53"/>
      <c r="CH151" s="53"/>
      <c r="CI151" s="53"/>
      <c r="CJ151" s="53"/>
      <c r="CK151" s="53"/>
      <c r="CL151" s="53"/>
      <c r="CM151" s="53"/>
      <c r="CN151" s="53"/>
      <c r="CO151" s="53"/>
      <c r="CP151" s="53"/>
      <c r="CQ151" s="53"/>
      <c r="CR151" s="1"/>
      <c r="CS151" s="1"/>
      <c r="CT151" s="1"/>
      <c r="CU151" s="1"/>
    </row>
    <row r="152" spans="1:99" s="13" customFormat="1" ht="12" customHeight="1" x14ac:dyDescent="0.2">
      <c r="A152" s="68">
        <v>43509</v>
      </c>
      <c r="B152" s="70"/>
      <c r="C152" s="70"/>
      <c r="D152" s="69"/>
      <c r="E152" s="87"/>
      <c r="F152" s="69"/>
      <c r="G152" s="69"/>
      <c r="H152" s="69"/>
      <c r="I152" s="69"/>
      <c r="J152" s="69"/>
      <c r="K152" s="107"/>
      <c r="L152" s="107"/>
      <c r="M152" s="69"/>
      <c r="N152" s="69"/>
      <c r="O152" s="69"/>
      <c r="P152" s="69"/>
      <c r="Q152" s="69"/>
      <c r="R152" s="69"/>
      <c r="S152" s="69"/>
      <c r="T152" s="69"/>
      <c r="U152" s="60"/>
      <c r="V152" s="69"/>
      <c r="W152" s="69"/>
      <c r="X152" s="69"/>
      <c r="Y152" s="87"/>
      <c r="Z152" s="69"/>
      <c r="AA152" s="69"/>
      <c r="AB152" s="69"/>
      <c r="AC152" s="69"/>
      <c r="AD152" s="69"/>
      <c r="AE152" s="69"/>
      <c r="AF152" s="88"/>
      <c r="AG152" s="72"/>
      <c r="AH152" s="4"/>
      <c r="AI152" s="72"/>
      <c r="AJ152" s="110"/>
      <c r="AK152" s="72"/>
      <c r="AL152" s="72"/>
      <c r="AM152" s="72"/>
      <c r="AN152" s="72"/>
      <c r="AO152" s="89"/>
      <c r="AP152" s="89"/>
      <c r="AQ152" s="72"/>
      <c r="AR152" s="110"/>
      <c r="AS152" s="72"/>
      <c r="AT152" s="72"/>
      <c r="AU152" s="3"/>
      <c r="AV152" s="71">
        <v>2</v>
      </c>
      <c r="AW152" s="71">
        <v>4</v>
      </c>
      <c r="AX152" s="71">
        <v>6</v>
      </c>
      <c r="AY152" s="71">
        <v>8</v>
      </c>
      <c r="AZ152" s="71"/>
      <c r="BA152" s="73"/>
      <c r="BB152" s="53"/>
      <c r="BC152" s="53"/>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53"/>
      <c r="BZ152" s="53"/>
      <c r="CA152" s="53"/>
      <c r="CB152" s="53"/>
      <c r="CC152" s="53"/>
      <c r="CD152" s="53"/>
      <c r="CE152" s="53"/>
      <c r="CF152" s="53"/>
      <c r="CG152" s="53"/>
      <c r="CH152" s="53"/>
      <c r="CI152" s="53"/>
      <c r="CJ152" s="53"/>
      <c r="CK152" s="53"/>
      <c r="CL152" s="53"/>
      <c r="CM152" s="53"/>
      <c r="CN152" s="53"/>
      <c r="CO152" s="53"/>
      <c r="CP152" s="53"/>
      <c r="CQ152" s="53"/>
      <c r="CR152" s="1"/>
      <c r="CS152" s="1"/>
      <c r="CT152" s="1"/>
      <c r="CU152" s="1"/>
    </row>
    <row r="153" spans="1:99" s="13" customFormat="1" ht="12" customHeight="1" x14ac:dyDescent="0.2">
      <c r="A153" s="68">
        <v>43509</v>
      </c>
      <c r="B153" s="70" t="s">
        <v>256</v>
      </c>
      <c r="C153" s="70" t="s">
        <v>48</v>
      </c>
      <c r="D153" s="69">
        <v>1975</v>
      </c>
      <c r="E153" s="87">
        <v>4</v>
      </c>
      <c r="F153" s="69">
        <v>60</v>
      </c>
      <c r="G153" s="69">
        <v>60</v>
      </c>
      <c r="H153" s="69" t="s">
        <v>43</v>
      </c>
      <c r="I153" s="69" t="s">
        <v>843</v>
      </c>
      <c r="J153" s="69" t="s">
        <v>443</v>
      </c>
      <c r="K153" s="69">
        <f>IF(J153="syllables",1,IF(J153="trigrams",2,IF(J153="strings",3,IF(J153="visual array",4,IF(J153="characters",5,IF(J153="letters",6,IF(J153="free forms",7,IF(J153="odors",8,IF(J153="words",9,IF(J153="pictures",10,IF(J153="object pictures",11,IF(J153="faces",12,IF(J153="names",13,IF(J153="idioms",14,IF(J153="grades",15,IF(J153="syllable-digit pairs",16,IF(J153="trigram-word pairs",17,IF(J153="word-digit pairs",18,IF(J153="English-Swahili pairs",19,IF(J153="spatial position",20,IF(J153="word pairs",21,IF(J153="word triads",22,IF(J153="generated words",23,IF(J153="word definition pairs",24,IF(J153="math problems",25,IF(J153="famous faces",26,IF(J153="famous names",27,IF(J153="famous voices",28,IF(J153="television programs",29,IF(J153="race horses",30,IF(J153="new vocabulary",31,IF(J153="sentences",32,IF(J153="concepts",33,IF(J153="ad slides",34,IF(J153="scenes",35,IF(J153="famous scenes",36,IF(J153="poems",37,IF(J153="walk",38,IF(J153="faces and events",39,IF(J153="events and names",40,IF(J153="flashbulb",41,IF(J153="stories",42,IF(J153="course material",43,IF(J153="autobiographical",44,IF(J153="novels",45,IF(J153="public events",46,"99"))))))))))))))))))))))))))))))))))))))))))))))</f>
        <v>2</v>
      </c>
      <c r="L153" s="69">
        <f>IF(J153="syllables",1,IF(J153="trigrams",1,IF(J153="strings",1,IF(J153="visual array",1,IF(J153="characters",1,IF(J153="letters",1,IF(J153="free forms",1,IF(J153="odors",2,IF(J153="words",2,IF(J153="pictures",2,IF(J153="object pictures",2,IF(J153="faces",2,IF(J153="names",2,IF(J153="idioms","2",IF(J153="grades",2,IF(J153="syllable-digit pairs",3,IF(J153="trigram-word pairs",3,IF(J153="word-digit pairs",3,IF(J153="English-Swahili pairs",3,IF(J153="spatial position",3,IF(J153="word pairs",4,IF(J153="word triads",4,IF(J153="generated words",4,IF(J153="word definition pairs",4,IF(J153="math problems",4,IF(J153="famous faces",4,IF(J153="famous names",4,IF(J153="famous voices",4,IF(J153="television programs",4,IF(J153="race horses",4,IF(J153="new vocabulary",4,IF(J153="sentences",5,IF(J153="concepts",5,IF(J153="ad slides",5,IF(J153="scenes",5,IF(J153="famous scenes",5,IF(J153="poems",6,IF(J153="walk",6,IF(J153="faces and events",6,IF(J153="events and names",6,IF(J153="flashbulb",7,IF(J153="stories",7,IF(J153="course material",7,IF(J153="autobiographical",7,IF(J153="novels",7,IF(J153="public events",7,"99"))))))))))))))))))))))))))))))))))))))))))))))</f>
        <v>1</v>
      </c>
      <c r="M153" s="69">
        <v>0</v>
      </c>
      <c r="N153" s="69">
        <v>1</v>
      </c>
      <c r="O153" s="69">
        <v>1</v>
      </c>
      <c r="P153" s="69" t="s">
        <v>27</v>
      </c>
      <c r="Q153" s="69" t="s">
        <v>174</v>
      </c>
      <c r="R153" s="69">
        <f>IF(Q153="Free Recall",1,IF(Q153="Cued Recall",2,IF(Q153="Recognition",3,IF(Q153="Multiple Choice",4,IF(Q153="Savings",5,IF(Q153="Stem Completion",6,IF(Q153="Fragment Completion",7,IF(Q153="anagram solution",8,IF(Q153="Matching",9,IF(Q153="Problem Solving",10,"99"))))))))))</f>
        <v>1</v>
      </c>
      <c r="S153" s="69" t="s">
        <v>49</v>
      </c>
      <c r="T153" s="92" t="s">
        <v>581</v>
      </c>
      <c r="U153" s="60">
        <f>IF(T153="within",1,0)</f>
        <v>1</v>
      </c>
      <c r="V153" s="92">
        <v>48</v>
      </c>
      <c r="W153" s="69">
        <f>F153*V153</f>
        <v>2880</v>
      </c>
      <c r="X153" s="69">
        <v>4</v>
      </c>
      <c r="Y153" s="87">
        <f>AV152</f>
        <v>2</v>
      </c>
      <c r="Z153" s="69" t="s">
        <v>23</v>
      </c>
      <c r="AA153" s="69">
        <v>27</v>
      </c>
      <c r="AB153" s="69" t="str">
        <f>IF(AA153&lt;60,"1",IF(AA153&lt;=43200,"2",IF(AA153&lt;=777600,"3","4")))</f>
        <v>1</v>
      </c>
      <c r="AC153" s="72">
        <f>AVERAGE(AV152:DA152)</f>
        <v>5</v>
      </c>
      <c r="AD153" s="69" t="str">
        <f>IF(AC153&lt;60,"1",IF(AC153&lt;=43200,"2",IF(AC153&lt;=777600,"3","4")))</f>
        <v>1</v>
      </c>
      <c r="AE153" s="87">
        <f>AA153-Y153</f>
        <v>25</v>
      </c>
      <c r="AF153" s="88">
        <f>AV153</f>
        <v>0.94</v>
      </c>
      <c r="AG153" s="72">
        <f>((AW153-AV153)+(AX153-AW153)+(AY153-AX153))/3</f>
        <v>-0.23333333333333331</v>
      </c>
      <c r="AH153" s="4"/>
      <c r="AI153" s="72">
        <f>RSQ(AV153:AY153,AV152:AY152)</f>
        <v>0.89426784783741553</v>
      </c>
      <c r="AJ153" s="110">
        <f>SLOPE(AV153:AY153,AV152:AY152)</f>
        <v>-0.13100000000000001</v>
      </c>
      <c r="AK153" s="72">
        <f>INTERCEPT(AV153:AY153,AV152:AY152)</f>
        <v>1.2150000000000001</v>
      </c>
      <c r="AL153" s="72">
        <f>INDEX(LINEST(LN(AV153:AY153),LN(AV152:AY152),TRUE,TRUE),3,1)</f>
        <v>0.83617634186442691</v>
      </c>
      <c r="AM153" s="72">
        <f>INDEX(LINEST(LN(AV153:AY153),LN(AV152:AY152)),1)</f>
        <v>-1.0788080782104132</v>
      </c>
      <c r="AN153" s="72">
        <f>EXP(INDEX(LINEST(LN(AV153:AY153),LN(AV152:AY152)),1,2))</f>
        <v>2.3312123656360857</v>
      </c>
      <c r="AO153" s="89">
        <f>INDEX(LINEST((AV153:AY153),LN(AV152:AY152),TRUE,TRUE),3,1)</f>
        <v>0.87319590069850184</v>
      </c>
      <c r="AP153" s="89">
        <f>INDEX(LINEST((AV153:AY153),LN(AV152:AY152)),1)</f>
        <v>-0.55597098479086682</v>
      </c>
      <c r="AQ153" s="90">
        <f>INDEX(LINEST(LN(AV153:AY153),SQRT(AV152:AY152),TRUE,TRUE),3,1)</f>
        <v>0.87208099499370173</v>
      </c>
      <c r="AR153" s="117">
        <f>INDEX(LINEST(LN(AV153:AY153),SQRT((AV152:AY152))),1)</f>
        <v>-1.0880095641807868</v>
      </c>
      <c r="AS153" s="91">
        <f>INDEX(LINEST(1/(AV153:AY153),1/(SQRT(AV152:AY152)),TRUE,TRUE),3,1)</f>
        <v>0.74765265323320163</v>
      </c>
      <c r="AT153" s="91">
        <f>INDEX(LINEST(1/(AV153:AY153),1/SQRT(AV152:AY152)),1)</f>
        <v>-8.9690634451356033</v>
      </c>
      <c r="AU153" s="3"/>
      <c r="AV153" s="73">
        <v>0.94</v>
      </c>
      <c r="AW153" s="73">
        <v>0.79</v>
      </c>
      <c r="AX153" s="73">
        <v>0.27</v>
      </c>
      <c r="AY153" s="73">
        <v>0.24</v>
      </c>
      <c r="AZ153" s="73"/>
      <c r="BA153" s="73"/>
      <c r="BB153" s="53"/>
      <c r="BC153" s="53"/>
      <c r="BD153" s="53"/>
      <c r="BE153" s="53"/>
      <c r="BF153" s="53"/>
      <c r="BG153" s="53"/>
      <c r="BH153" s="53"/>
      <c r="BI153" s="53"/>
      <c r="BJ153" s="53"/>
      <c r="BK153" s="53"/>
      <c r="BL153" s="53"/>
      <c r="BM153" s="53"/>
      <c r="BN153" s="53"/>
      <c r="BO153" s="53"/>
      <c r="BP153" s="53"/>
      <c r="BQ153" s="53"/>
      <c r="BR153" s="53"/>
      <c r="BS153" s="53"/>
      <c r="BT153" s="53"/>
      <c r="BU153" s="53"/>
      <c r="BV153" s="53"/>
      <c r="BW153" s="53"/>
      <c r="BX153" s="53"/>
      <c r="BY153" s="53"/>
      <c r="BZ153" s="53"/>
      <c r="CA153" s="53"/>
      <c r="CB153" s="53"/>
      <c r="CC153" s="53"/>
      <c r="CD153" s="53"/>
      <c r="CE153" s="53"/>
      <c r="CF153" s="53"/>
      <c r="CG153" s="53"/>
      <c r="CH153" s="53"/>
      <c r="CI153" s="53"/>
      <c r="CJ153" s="53"/>
      <c r="CK153" s="53"/>
      <c r="CL153" s="53"/>
      <c r="CM153" s="53"/>
      <c r="CN153" s="53"/>
      <c r="CO153" s="53"/>
      <c r="CP153" s="53"/>
      <c r="CQ153" s="53"/>
      <c r="CR153" s="1"/>
      <c r="CS153" s="1"/>
      <c r="CT153" s="1"/>
      <c r="CU153" s="1"/>
    </row>
    <row r="154" spans="1:99" s="13" customFormat="1" ht="12" customHeight="1" x14ac:dyDescent="0.2">
      <c r="A154" s="68">
        <v>43509</v>
      </c>
      <c r="B154" s="70"/>
      <c r="C154" s="70"/>
      <c r="D154" s="69"/>
      <c r="E154" s="87"/>
      <c r="F154" s="69"/>
      <c r="G154" s="69"/>
      <c r="H154" s="69"/>
      <c r="I154" s="69"/>
      <c r="J154" s="69"/>
      <c r="K154" s="107"/>
      <c r="L154" s="107"/>
      <c r="M154" s="69"/>
      <c r="N154" s="69"/>
      <c r="O154" s="69"/>
      <c r="P154" s="69"/>
      <c r="Q154" s="69"/>
      <c r="R154" s="69"/>
      <c r="S154" s="69"/>
      <c r="T154" s="69"/>
      <c r="U154" s="60"/>
      <c r="V154" s="69"/>
      <c r="W154" s="69"/>
      <c r="X154" s="86"/>
      <c r="Y154" s="87"/>
      <c r="Z154" s="69"/>
      <c r="AA154" s="69"/>
      <c r="AB154" s="69"/>
      <c r="AC154" s="69"/>
      <c r="AD154" s="69"/>
      <c r="AE154" s="69"/>
      <c r="AF154" s="88"/>
      <c r="AG154" s="72"/>
      <c r="AH154" s="4"/>
      <c r="AI154" s="72"/>
      <c r="AJ154" s="110"/>
      <c r="AK154" s="72"/>
      <c r="AL154" s="72"/>
      <c r="AM154" s="72"/>
      <c r="AN154" s="72"/>
      <c r="AO154" s="72"/>
      <c r="AP154" s="72"/>
      <c r="AQ154" s="72"/>
      <c r="AR154" s="110"/>
      <c r="AS154" s="72"/>
      <c r="AT154" s="72"/>
      <c r="AU154" s="4"/>
      <c r="AV154" s="71">
        <v>2</v>
      </c>
      <c r="AW154" s="71">
        <v>4</v>
      </c>
      <c r="AX154" s="71">
        <v>6</v>
      </c>
      <c r="AY154" s="71">
        <v>8</v>
      </c>
      <c r="AZ154" s="71"/>
      <c r="BA154" s="73"/>
      <c r="BB154" s="53"/>
      <c r="BC154" s="53"/>
      <c r="BD154" s="53"/>
      <c r="BE154" s="53"/>
      <c r="BF154" s="53"/>
      <c r="BG154" s="53"/>
      <c r="BH154" s="53"/>
      <c r="BI154" s="53"/>
      <c r="BJ154" s="53"/>
      <c r="BK154" s="53"/>
      <c r="BL154" s="53"/>
      <c r="BM154" s="53"/>
      <c r="BN154" s="53"/>
      <c r="BO154" s="53"/>
      <c r="BP154" s="53"/>
      <c r="BQ154" s="53"/>
      <c r="BR154" s="53"/>
      <c r="BS154" s="53"/>
      <c r="BT154" s="53"/>
      <c r="BU154" s="53"/>
      <c r="BV154" s="53"/>
      <c r="BW154" s="53"/>
      <c r="BX154" s="53"/>
      <c r="BY154" s="53"/>
      <c r="BZ154" s="53"/>
      <c r="CA154" s="53"/>
      <c r="CB154" s="53"/>
      <c r="CC154" s="53"/>
      <c r="CD154" s="53"/>
      <c r="CE154" s="53"/>
      <c r="CF154" s="53"/>
      <c r="CG154" s="53"/>
      <c r="CH154" s="53"/>
      <c r="CI154" s="53"/>
      <c r="CJ154" s="53"/>
      <c r="CK154" s="53"/>
      <c r="CL154" s="53"/>
      <c r="CM154" s="53"/>
      <c r="CN154" s="53"/>
      <c r="CO154" s="53"/>
      <c r="CP154" s="53"/>
      <c r="CQ154" s="53"/>
      <c r="CR154" s="1"/>
      <c r="CS154" s="1"/>
      <c r="CT154" s="1"/>
      <c r="CU154" s="1"/>
    </row>
    <row r="155" spans="1:99" s="13" customFormat="1" ht="12" customHeight="1" x14ac:dyDescent="0.2">
      <c r="A155" s="68">
        <v>43509</v>
      </c>
      <c r="B155" s="70" t="s">
        <v>256</v>
      </c>
      <c r="C155" s="70" t="s">
        <v>48</v>
      </c>
      <c r="D155" s="69">
        <v>1975</v>
      </c>
      <c r="E155" s="87">
        <v>4</v>
      </c>
      <c r="F155" s="69">
        <v>60</v>
      </c>
      <c r="G155" s="69">
        <v>60</v>
      </c>
      <c r="H155" s="69" t="s">
        <v>43</v>
      </c>
      <c r="I155" s="69" t="s">
        <v>844</v>
      </c>
      <c r="J155" s="69" t="s">
        <v>443</v>
      </c>
      <c r="K155" s="69">
        <f>IF(J155="syllables",1,IF(J155="trigrams",2,IF(J155="strings",3,IF(J155="visual array",4,IF(J155="characters",5,IF(J155="letters",6,IF(J155="free forms",7,IF(J155="odors",8,IF(J155="words",9,IF(J155="pictures",10,IF(J155="object pictures",11,IF(J155="faces",12,IF(J155="names",13,IF(J155="idioms",14,IF(J155="grades",15,IF(J155="syllable-digit pairs",16,IF(J155="trigram-word pairs",17,IF(J155="word-digit pairs",18,IF(J155="English-Swahili pairs",19,IF(J155="spatial position",20,IF(J155="word pairs",21,IF(J155="word triads",22,IF(J155="generated words",23,IF(J155="word definition pairs",24,IF(J155="math problems",25,IF(J155="famous faces",26,IF(J155="famous names",27,IF(J155="famous voices",28,IF(J155="television programs",29,IF(J155="race horses",30,IF(J155="new vocabulary",31,IF(J155="sentences",32,IF(J155="concepts",33,IF(J155="ad slides",34,IF(J155="scenes",35,IF(J155="famous scenes",36,IF(J155="poems",37,IF(J155="walk",38,IF(J155="faces and events",39,IF(J155="events and names",40,IF(J155="flashbulb",41,IF(J155="stories",42,IF(J155="course material",43,IF(J155="autobiographical",44,IF(J155="novels",45,IF(J155="public events",46,"99"))))))))))))))))))))))))))))))))))))))))))))))</f>
        <v>2</v>
      </c>
      <c r="L155" s="69">
        <f>IF(J155="syllables",1,IF(J155="trigrams",1,IF(J155="strings",1,IF(J155="visual array",1,IF(J155="characters",1,IF(J155="letters",1,IF(J155="free forms",1,IF(J155="odors",2,IF(J155="words",2,IF(J155="pictures",2,IF(J155="object pictures",2,IF(J155="faces",2,IF(J155="names",2,IF(J155="idioms","2",IF(J155="grades",2,IF(J155="syllable-digit pairs",3,IF(J155="trigram-word pairs",3,IF(J155="word-digit pairs",3,IF(J155="English-Swahili pairs",3,IF(J155="spatial position",3,IF(J155="word pairs",4,IF(J155="word triads",4,IF(J155="generated words",4,IF(J155="word definition pairs",4,IF(J155="math problems",4,IF(J155="famous faces",4,IF(J155="famous names",4,IF(J155="famous voices",4,IF(J155="television programs",4,IF(J155="race horses",4,IF(J155="new vocabulary",4,IF(J155="sentences",5,IF(J155="concepts",5,IF(J155="ad slides",5,IF(J155="scenes",5,IF(J155="famous scenes",5,IF(J155="poems",6,IF(J155="walk",6,IF(J155="faces and events",6,IF(J155="events and names",6,IF(J155="flashbulb",7,IF(J155="stories",7,IF(J155="course material",7,IF(J155="autobiographical",7,IF(J155="novels",7,IF(J155="public events",7,"99"))))))))))))))))))))))))))))))))))))))))))))))</f>
        <v>1</v>
      </c>
      <c r="M155" s="69">
        <v>0</v>
      </c>
      <c r="N155" s="69">
        <v>1</v>
      </c>
      <c r="O155" s="69">
        <v>1</v>
      </c>
      <c r="P155" s="69" t="s">
        <v>27</v>
      </c>
      <c r="Q155" s="69" t="s">
        <v>174</v>
      </c>
      <c r="R155" s="69">
        <f>IF(Q155="Free Recall",1,IF(Q155="Cued Recall",2,IF(Q155="Recognition",3,IF(Q155="Multiple Choice",4,IF(Q155="Savings",5,IF(Q155="Stem Completion",6,IF(Q155="Fragment Completion",7,IF(Q155="anagram solution",8,IF(Q155="Matching",9,IF(Q155="Problem Solving",10,"99"))))))))))</f>
        <v>1</v>
      </c>
      <c r="S155" s="69" t="s">
        <v>49</v>
      </c>
      <c r="T155" s="92" t="s">
        <v>581</v>
      </c>
      <c r="U155" s="60">
        <f>IF(T155="within",1,0)</f>
        <v>1</v>
      </c>
      <c r="V155" s="92">
        <v>48</v>
      </c>
      <c r="W155" s="69">
        <f>F155*V155</f>
        <v>2880</v>
      </c>
      <c r="X155" s="69">
        <v>4</v>
      </c>
      <c r="Y155" s="87">
        <f>AV154</f>
        <v>2</v>
      </c>
      <c r="Z155" s="69" t="s">
        <v>23</v>
      </c>
      <c r="AA155" s="69">
        <v>27</v>
      </c>
      <c r="AB155" s="69" t="str">
        <f>IF(AA155&lt;60,"1",IF(AA155&lt;=43200,"2",IF(AA155&lt;=777600,"3","4")))</f>
        <v>1</v>
      </c>
      <c r="AC155" s="72">
        <f>AVERAGE(AV154:DA154)</f>
        <v>5</v>
      </c>
      <c r="AD155" s="69" t="str">
        <f>IF(AC155&lt;60,"1",IF(AC155&lt;=43200,"2",IF(AC155&lt;=777600,"3","4")))</f>
        <v>1</v>
      </c>
      <c r="AE155" s="87">
        <f>AA155-Y155</f>
        <v>25</v>
      </c>
      <c r="AF155" s="88">
        <f>AV155</f>
        <v>0.31</v>
      </c>
      <c r="AG155" s="72">
        <f>((AW155-AV155)+(AX155-AW155)+(AY155-AX155))/3</f>
        <v>-5.6666666666666664E-2</v>
      </c>
      <c r="AH155" s="4"/>
      <c r="AI155" s="72">
        <f>RSQ(AV155:AY155,AV154:AY154)</f>
        <v>0.67202797202797215</v>
      </c>
      <c r="AJ155" s="110">
        <f>SLOPE(AV155:AY155,AV154:AY154)</f>
        <v>-3.0999999999999993E-2</v>
      </c>
      <c r="AK155" s="72">
        <f>INTERCEPT(AV155:AY155,AV154:AY154)</f>
        <v>0.33499999999999996</v>
      </c>
      <c r="AL155" s="72">
        <f>INDEX(LINEST(LN(AV155:AY155),LN(AV154:AY154),TRUE,TRUE),3,1)</f>
        <v>0.66258335131642709</v>
      </c>
      <c r="AM155" s="72">
        <f>INDEX(LINEST(LN(AV155:AY155),LN(AV154:AY154)),1)</f>
        <v>-0.76804153859349633</v>
      </c>
      <c r="AN155" s="72">
        <f>EXP(INDEX(LINEST(LN(AV155:AY155),LN(AV154:AY154)),1,2))</f>
        <v>0.50240246528489785</v>
      </c>
      <c r="AO155" s="89">
        <f>INDEX(LINEST((AV155:AY155),LN(AV154:AY154),TRUE,TRUE),3,1)</f>
        <v>0.8089666885596235</v>
      </c>
      <c r="AP155" s="89">
        <f>INDEX(LINEST((AV155:AY155),LN(AV154:AY154)),1)</f>
        <v>-0.14608046198825717</v>
      </c>
      <c r="AQ155" s="90">
        <f>INDEX(LINEST(LN(AV155:AY155),SQRT(AV154:AY154),TRUE,TRUE),3,1)</f>
        <v>0.61255856435249068</v>
      </c>
      <c r="AR155" s="117">
        <f>INDEX(LINEST(LN(AV155:AY155),SQRT((AV154:AY154))),1)</f>
        <v>-0.72928504447157738</v>
      </c>
      <c r="AS155" s="91">
        <f>INDEX(LINEST(1/(AV155:AY155),1/(SQRT(AV154:AY154)),TRUE,TRUE),3,1)</f>
        <v>0.49503332959234092</v>
      </c>
      <c r="AT155" s="91">
        <f>INDEX(LINEST(1/(AV155:AY155),1/SQRT(AV154:AY154)),1)</f>
        <v>-18.012330814953355</v>
      </c>
      <c r="AU155" s="3"/>
      <c r="AV155" s="73">
        <v>0.31</v>
      </c>
      <c r="AW155" s="73">
        <v>0.19</v>
      </c>
      <c r="AX155" s="73">
        <v>0.08</v>
      </c>
      <c r="AY155" s="73">
        <v>0.14000000000000001</v>
      </c>
      <c r="AZ155" s="73"/>
      <c r="BA155" s="73"/>
      <c r="BB155" s="53"/>
      <c r="BC155" s="53"/>
      <c r="BD155" s="53"/>
      <c r="BE155" s="53"/>
      <c r="BF155" s="53"/>
      <c r="BG155" s="53"/>
      <c r="BH155" s="53"/>
      <c r="BI155" s="53"/>
      <c r="BJ155" s="53"/>
      <c r="BK155" s="53"/>
      <c r="BL155" s="53"/>
      <c r="BM155" s="53"/>
      <c r="BN155" s="53"/>
      <c r="BO155" s="53"/>
      <c r="BP155" s="53"/>
      <c r="BQ155" s="53"/>
      <c r="BR155" s="53"/>
      <c r="BS155" s="53"/>
      <c r="BT155" s="53"/>
      <c r="BU155" s="53"/>
      <c r="BV155" s="53"/>
      <c r="BW155" s="53"/>
      <c r="BX155" s="53"/>
      <c r="BY155" s="53"/>
      <c r="BZ155" s="53"/>
      <c r="CA155" s="53"/>
      <c r="CB155" s="53"/>
      <c r="CC155" s="53"/>
      <c r="CD155" s="53"/>
      <c r="CE155" s="53"/>
      <c r="CF155" s="53"/>
      <c r="CG155" s="53"/>
      <c r="CH155" s="53"/>
      <c r="CI155" s="53"/>
      <c r="CJ155" s="53"/>
      <c r="CK155" s="53"/>
      <c r="CL155" s="53"/>
      <c r="CM155" s="53"/>
      <c r="CN155" s="53"/>
      <c r="CO155" s="53"/>
      <c r="CP155" s="53"/>
      <c r="CQ155" s="53"/>
      <c r="CR155" s="1"/>
      <c r="CS155" s="1"/>
      <c r="CT155" s="1"/>
      <c r="CU155" s="1"/>
    </row>
    <row r="156" spans="1:99" s="13" customFormat="1" ht="12" customHeight="1" x14ac:dyDescent="0.2">
      <c r="A156" s="68">
        <v>43509</v>
      </c>
      <c r="B156" s="70"/>
      <c r="C156" s="70"/>
      <c r="D156" s="69"/>
      <c r="E156" s="87"/>
      <c r="F156" s="69"/>
      <c r="G156" s="69"/>
      <c r="H156" s="69"/>
      <c r="I156" s="69"/>
      <c r="J156" s="69"/>
      <c r="K156" s="107"/>
      <c r="L156" s="107"/>
      <c r="M156" s="69"/>
      <c r="N156" s="69"/>
      <c r="O156" s="69"/>
      <c r="P156" s="69"/>
      <c r="Q156" s="69"/>
      <c r="R156" s="69"/>
      <c r="S156" s="69"/>
      <c r="T156" s="69"/>
      <c r="U156" s="60"/>
      <c r="V156" s="69"/>
      <c r="W156" s="69"/>
      <c r="X156" s="69"/>
      <c r="Y156" s="87"/>
      <c r="Z156" s="69"/>
      <c r="AA156" s="69"/>
      <c r="AB156" s="69"/>
      <c r="AC156" s="69"/>
      <c r="AD156" s="69"/>
      <c r="AE156" s="69"/>
      <c r="AF156" s="88"/>
      <c r="AG156" s="72"/>
      <c r="AH156" s="4"/>
      <c r="AI156" s="72"/>
      <c r="AJ156" s="110"/>
      <c r="AK156" s="72"/>
      <c r="AL156" s="72"/>
      <c r="AM156" s="72"/>
      <c r="AN156" s="72"/>
      <c r="AO156" s="89"/>
      <c r="AP156" s="89"/>
      <c r="AQ156" s="72"/>
      <c r="AR156" s="110"/>
      <c r="AS156" s="72"/>
      <c r="AT156" s="72"/>
      <c r="AU156" s="3"/>
      <c r="AV156" s="71">
        <v>2</v>
      </c>
      <c r="AW156" s="71">
        <v>4</v>
      </c>
      <c r="AX156" s="71">
        <v>6</v>
      </c>
      <c r="AY156" s="71">
        <v>8</v>
      </c>
      <c r="AZ156" s="71"/>
      <c r="BA156" s="73"/>
      <c r="BB156" s="53"/>
      <c r="BC156" s="53"/>
      <c r="BD156" s="53"/>
      <c r="BE156" s="53"/>
      <c r="BF156" s="53"/>
      <c r="BG156" s="53"/>
      <c r="BH156" s="53"/>
      <c r="BI156" s="53"/>
      <c r="BJ156" s="53"/>
      <c r="BK156" s="53"/>
      <c r="BL156" s="53"/>
      <c r="BM156" s="53"/>
      <c r="BN156" s="53"/>
      <c r="BO156" s="53"/>
      <c r="BP156" s="53"/>
      <c r="BQ156" s="53"/>
      <c r="BR156" s="53"/>
      <c r="BS156" s="53"/>
      <c r="BT156" s="53"/>
      <c r="BU156" s="53"/>
      <c r="BV156" s="53"/>
      <c r="BW156" s="53"/>
      <c r="BX156" s="53"/>
      <c r="BY156" s="53"/>
      <c r="BZ156" s="53"/>
      <c r="CA156" s="53"/>
      <c r="CB156" s="53"/>
      <c r="CC156" s="53"/>
      <c r="CD156" s="53"/>
      <c r="CE156" s="53"/>
      <c r="CF156" s="53"/>
      <c r="CG156" s="53"/>
      <c r="CH156" s="53"/>
      <c r="CI156" s="53"/>
      <c r="CJ156" s="53"/>
      <c r="CK156" s="53"/>
      <c r="CL156" s="53"/>
      <c r="CM156" s="53"/>
      <c r="CN156" s="53"/>
      <c r="CO156" s="53"/>
      <c r="CP156" s="53"/>
      <c r="CQ156" s="53"/>
      <c r="CR156" s="1"/>
      <c r="CS156" s="1"/>
      <c r="CT156" s="1"/>
      <c r="CU156" s="1"/>
    </row>
    <row r="157" spans="1:99" s="13" customFormat="1" ht="12" customHeight="1" x14ac:dyDescent="0.2">
      <c r="A157" s="68">
        <v>43509</v>
      </c>
      <c r="B157" s="70" t="s">
        <v>256</v>
      </c>
      <c r="C157" s="70" t="s">
        <v>48</v>
      </c>
      <c r="D157" s="69">
        <v>1975</v>
      </c>
      <c r="E157" s="87">
        <v>4</v>
      </c>
      <c r="F157" s="69">
        <v>60</v>
      </c>
      <c r="G157" s="69">
        <v>60</v>
      </c>
      <c r="H157" s="69" t="s">
        <v>43</v>
      </c>
      <c r="I157" s="69" t="s">
        <v>845</v>
      </c>
      <c r="J157" s="69" t="s">
        <v>443</v>
      </c>
      <c r="K157" s="69">
        <f>IF(J157="syllables",1,IF(J157="trigrams",2,IF(J157="strings",3,IF(J157="visual array",4,IF(J157="characters",5,IF(J157="letters",6,IF(J157="free forms",7,IF(J157="odors",8,IF(J157="words",9,IF(J157="pictures",10,IF(J157="object pictures",11,IF(J157="faces",12,IF(J157="names",13,IF(J157="idioms",14,IF(J157="grades",15,IF(J157="syllable-digit pairs",16,IF(J157="trigram-word pairs",17,IF(J157="word-digit pairs",18,IF(J157="English-Swahili pairs",19,IF(J157="spatial position",20,IF(J157="word pairs",21,IF(J157="word triads",22,IF(J157="generated words",23,IF(J157="word definition pairs",24,IF(J157="math problems",25,IF(J157="famous faces",26,IF(J157="famous names",27,IF(J157="famous voices",28,IF(J157="television programs",29,IF(J157="race horses",30,IF(J157="new vocabulary",31,IF(J157="sentences",32,IF(J157="concepts",33,IF(J157="ad slides",34,IF(J157="scenes",35,IF(J157="famous scenes",36,IF(J157="poems",37,IF(J157="walk",38,IF(J157="faces and events",39,IF(J157="events and names",40,IF(J157="flashbulb",41,IF(J157="stories",42,IF(J157="course material",43,IF(J157="autobiographical",44,IF(J157="novels",45,IF(J157="public events",46,"99"))))))))))))))))))))))))))))))))))))))))))))))</f>
        <v>2</v>
      </c>
      <c r="L157" s="69">
        <f>IF(J157="syllables",1,IF(J157="trigrams",1,IF(J157="strings",1,IF(J157="visual array",1,IF(J157="characters",1,IF(J157="letters",1,IF(J157="free forms",1,IF(J157="odors",2,IF(J157="words",2,IF(J157="pictures",2,IF(J157="object pictures",2,IF(J157="faces",2,IF(J157="names",2,IF(J157="idioms","2",IF(J157="grades",2,IF(J157="syllable-digit pairs",3,IF(J157="trigram-word pairs",3,IF(J157="word-digit pairs",3,IF(J157="English-Swahili pairs",3,IF(J157="spatial position",3,IF(J157="word pairs",4,IF(J157="word triads",4,IF(J157="generated words",4,IF(J157="word definition pairs",4,IF(J157="math problems",4,IF(J157="famous faces",4,IF(J157="famous names",4,IF(J157="famous voices",4,IF(J157="television programs",4,IF(J157="race horses",4,IF(J157="new vocabulary",4,IF(J157="sentences",5,IF(J157="concepts",5,IF(J157="ad slides",5,IF(J157="scenes",5,IF(J157="famous scenes",5,IF(J157="poems",6,IF(J157="walk",6,IF(J157="faces and events",6,IF(J157="events and names",6,IF(J157="flashbulb",7,IF(J157="stories",7,IF(J157="course material",7,IF(J157="autobiographical",7,IF(J157="novels",7,IF(J157="public events",7,"99"))))))))))))))))))))))))))))))))))))))))))))))</f>
        <v>1</v>
      </c>
      <c r="M157" s="69">
        <v>0</v>
      </c>
      <c r="N157" s="69">
        <v>1</v>
      </c>
      <c r="O157" s="69">
        <v>1</v>
      </c>
      <c r="P157" s="69" t="s">
        <v>27</v>
      </c>
      <c r="Q157" s="69" t="s">
        <v>174</v>
      </c>
      <c r="R157" s="69">
        <f>IF(Q157="Free Recall",1,IF(Q157="Cued Recall",2,IF(Q157="Recognition",3,IF(Q157="Multiple Choice",4,IF(Q157="Savings",5,IF(Q157="Stem Completion",6,IF(Q157="Fragment Completion",7,IF(Q157="anagram solution",8,IF(Q157="Matching",9,IF(Q157="Problem Solving",10,"99"))))))))))</f>
        <v>1</v>
      </c>
      <c r="S157" s="69" t="s">
        <v>49</v>
      </c>
      <c r="T157" s="92" t="s">
        <v>581</v>
      </c>
      <c r="U157" s="60">
        <f>IF(T157="within",1,0)</f>
        <v>1</v>
      </c>
      <c r="V157" s="92">
        <v>48</v>
      </c>
      <c r="W157" s="69">
        <f>F157*V157</f>
        <v>2880</v>
      </c>
      <c r="X157" s="69">
        <v>4</v>
      </c>
      <c r="Y157" s="87">
        <f>AV156</f>
        <v>2</v>
      </c>
      <c r="Z157" s="69" t="s">
        <v>23</v>
      </c>
      <c r="AA157" s="69">
        <v>27</v>
      </c>
      <c r="AB157" s="69" t="str">
        <f>IF(AA157&lt;60,"1",IF(AA157&lt;=43200,"2",IF(AA157&lt;=777600,"3","4")))</f>
        <v>1</v>
      </c>
      <c r="AC157" s="72">
        <f>AVERAGE(AV156:DA156)</f>
        <v>5</v>
      </c>
      <c r="AD157" s="69" t="str">
        <f>IF(AC157&lt;60,"1",IF(AC157&lt;=43200,"2",IF(AC157&lt;=777600,"3","4")))</f>
        <v>1</v>
      </c>
      <c r="AE157" s="87">
        <f>AA157-Y157</f>
        <v>25</v>
      </c>
      <c r="AF157" s="88">
        <f>AV157</f>
        <v>0.31</v>
      </c>
      <c r="AG157" s="72">
        <f>((AW157-AV157)+(AX157-AW157)+(AY157-AX157))/3</f>
        <v>-4.3333333333333335E-2</v>
      </c>
      <c r="AH157" s="4"/>
      <c r="AI157" s="72">
        <f>RSQ(AV157:AY157,AV156:AY156)</f>
        <v>0.62151260504201677</v>
      </c>
      <c r="AJ157" s="110">
        <f>SLOPE(AV157:AY157,AV156:AY156)</f>
        <v>-2.1499999999999998E-2</v>
      </c>
      <c r="AK157" s="72">
        <f>INTERCEPT(AV157:AY157,AV156:AY156)</f>
        <v>0.315</v>
      </c>
      <c r="AL157" s="72">
        <f>INDEX(LINEST(LN(AV157:AY157),LN(AV156:AY156),TRUE,TRUE),3,1)</f>
        <v>0.77636629501344612</v>
      </c>
      <c r="AM157" s="72">
        <f>INDEX(LINEST(LN(AV157:AY157),LN(AV156:AY156)),1)</f>
        <v>-0.45455704407487479</v>
      </c>
      <c r="AN157" s="72">
        <f>EXP(INDEX(LINEST(LN(AV157:AY157),LN(AV156:AY156)),1,2))</f>
        <v>0.39269127796878794</v>
      </c>
      <c r="AO157" s="89">
        <f>INDEX(LINEST((AV157:AY157),LN(AV156:AY156),TRUE,TRUE),3,1)</f>
        <v>0.79769297923927029</v>
      </c>
      <c r="AP157" s="89">
        <f>INDEX(LINEST((AV157:AY157),LN(AV156:AY156)),1)</f>
        <v>-0.1046140871507537</v>
      </c>
      <c r="AQ157" s="90">
        <f>INDEX(LINEST(LN(AV157:AY157),SQRT(AV156:AY156),TRUE,TRUE),3,1)</f>
        <v>0.69527264945711642</v>
      </c>
      <c r="AR157" s="117">
        <f>INDEX(LINEST(LN(AV157:AY157),SQRT((AV156:AY156))),1)</f>
        <v>-0.42480701387346753</v>
      </c>
      <c r="AS157" s="91">
        <f>INDEX(LINEST(1/(AV157:AY157),1/(SQRT(AV156:AY156)),TRUE,TRUE),3,1)</f>
        <v>0.79353786685814165</v>
      </c>
      <c r="AT157" s="91">
        <f>INDEX(LINEST(1/(AV157:AY157),1/SQRT(AV156:AY156)),1)</f>
        <v>-8.2215497434912859</v>
      </c>
      <c r="AU157" s="3"/>
      <c r="AV157" s="73">
        <v>0.31</v>
      </c>
      <c r="AW157" s="73">
        <v>0.19</v>
      </c>
      <c r="AX157" s="73">
        <v>0.15</v>
      </c>
      <c r="AY157" s="73">
        <v>0.18</v>
      </c>
      <c r="AZ157" s="73"/>
      <c r="BA157" s="73"/>
      <c r="BB157" s="53"/>
      <c r="BC157" s="53"/>
      <c r="BD157" s="53"/>
      <c r="BE157" s="53"/>
      <c r="BF157" s="53"/>
      <c r="BG157" s="53"/>
      <c r="BH157" s="53"/>
      <c r="BI157" s="53"/>
      <c r="BJ157" s="53"/>
      <c r="BK157" s="53"/>
      <c r="BL157" s="53"/>
      <c r="BM157" s="53"/>
      <c r="BN157" s="53"/>
      <c r="BO157" s="53"/>
      <c r="BP157" s="53"/>
      <c r="BQ157" s="53"/>
      <c r="BR157" s="53"/>
      <c r="BS157" s="53"/>
      <c r="BT157" s="53"/>
      <c r="BU157" s="53"/>
      <c r="BV157" s="53"/>
      <c r="BW157" s="53"/>
      <c r="BX157" s="53"/>
      <c r="BY157" s="53"/>
      <c r="BZ157" s="53"/>
      <c r="CA157" s="53"/>
      <c r="CB157" s="53"/>
      <c r="CC157" s="53"/>
      <c r="CD157" s="53"/>
      <c r="CE157" s="53"/>
      <c r="CF157" s="53"/>
      <c r="CG157" s="53"/>
      <c r="CH157" s="53"/>
      <c r="CI157" s="53"/>
      <c r="CJ157" s="53"/>
      <c r="CK157" s="53"/>
      <c r="CL157" s="53"/>
      <c r="CM157" s="53"/>
      <c r="CN157" s="53"/>
      <c r="CO157" s="53"/>
      <c r="CP157" s="53"/>
      <c r="CQ157" s="53"/>
      <c r="CR157" s="1"/>
      <c r="CS157" s="1"/>
      <c r="CT157" s="1"/>
      <c r="CU157" s="1"/>
    </row>
    <row r="158" spans="1:99" s="13" customFormat="1" ht="12" customHeight="1" x14ac:dyDescent="0.2">
      <c r="A158" s="65">
        <v>43916</v>
      </c>
      <c r="B158" s="1"/>
      <c r="C158" s="1"/>
      <c r="D158" s="60"/>
      <c r="E158" s="76"/>
      <c r="F158" s="60"/>
      <c r="G158" s="60"/>
      <c r="H158" s="60"/>
      <c r="I158" s="60"/>
      <c r="J158" s="60"/>
      <c r="K158" s="64"/>
      <c r="L158" s="64"/>
      <c r="M158" s="60"/>
      <c r="N158" s="60"/>
      <c r="O158" s="60"/>
      <c r="P158" s="60"/>
      <c r="Q158" s="60"/>
      <c r="R158" s="60"/>
      <c r="S158" s="60"/>
      <c r="T158" s="60"/>
      <c r="U158" s="60"/>
      <c r="V158" s="59"/>
      <c r="W158" s="60"/>
      <c r="X158" s="60"/>
      <c r="Y158" s="76"/>
      <c r="Z158" s="60"/>
      <c r="AA158" s="60"/>
      <c r="AB158" s="60"/>
      <c r="AC158" s="60"/>
      <c r="AD158" s="60"/>
      <c r="AE158" s="60"/>
      <c r="AF158" s="80"/>
      <c r="AG158" s="56"/>
      <c r="AH158" s="4"/>
      <c r="AI158" s="56"/>
      <c r="AJ158" s="109"/>
      <c r="AK158" s="56"/>
      <c r="AL158" s="56"/>
      <c r="AM158" s="56"/>
      <c r="AN158" s="56"/>
      <c r="AO158" s="56"/>
      <c r="AP158" s="56"/>
      <c r="AQ158" s="82"/>
      <c r="AR158" s="115"/>
      <c r="AS158" s="82"/>
      <c r="AT158" s="82"/>
      <c r="AU158" s="4"/>
      <c r="AV158" s="25">
        <v>0.01</v>
      </c>
      <c r="AW158" s="25">
        <v>5</v>
      </c>
      <c r="AX158" s="25">
        <v>15</v>
      </c>
      <c r="AY158" s="53"/>
      <c r="AZ158" s="53"/>
      <c r="BA158" s="53"/>
      <c r="BB158" s="53"/>
      <c r="BC158" s="53"/>
      <c r="BD158" s="53"/>
      <c r="BE158" s="53"/>
      <c r="BF158" s="53"/>
      <c r="BG158" s="53"/>
      <c r="BH158" s="53"/>
      <c r="BI158" s="53"/>
      <c r="BJ158" s="53"/>
      <c r="BK158" s="53"/>
      <c r="BL158" s="53"/>
      <c r="BM158" s="53"/>
      <c r="BN158" s="53"/>
      <c r="BO158" s="53"/>
      <c r="BP158" s="53"/>
      <c r="BQ158" s="53"/>
      <c r="BR158" s="53"/>
      <c r="BS158" s="53"/>
      <c r="BT158" s="53"/>
      <c r="BU158" s="53"/>
      <c r="BV158" s="53"/>
      <c r="BW158" s="53"/>
      <c r="BX158" s="53"/>
      <c r="BY158" s="53"/>
      <c r="BZ158" s="53"/>
      <c r="CA158" s="53"/>
      <c r="CB158" s="53"/>
      <c r="CC158" s="53"/>
      <c r="CD158" s="53"/>
      <c r="CE158" s="53"/>
      <c r="CF158" s="53"/>
      <c r="CG158" s="53"/>
      <c r="CH158" s="53"/>
      <c r="CI158" s="53"/>
      <c r="CJ158" s="53"/>
      <c r="CK158" s="53"/>
      <c r="CL158" s="53"/>
      <c r="CM158" s="53"/>
      <c r="CN158" s="53"/>
      <c r="CO158" s="53"/>
      <c r="CP158" s="53"/>
      <c r="CQ158" s="53"/>
      <c r="CR158" s="1"/>
      <c r="CS158" s="1"/>
      <c r="CT158" s="1"/>
      <c r="CU158" s="1"/>
    </row>
    <row r="159" spans="1:99" s="13" customFormat="1" ht="12" customHeight="1" x14ac:dyDescent="0.2">
      <c r="A159" s="65">
        <v>43916</v>
      </c>
      <c r="B159" s="1" t="s">
        <v>548</v>
      </c>
      <c r="C159" s="1" t="s">
        <v>48</v>
      </c>
      <c r="D159" s="60">
        <v>1982</v>
      </c>
      <c r="E159" s="76">
        <v>1</v>
      </c>
      <c r="F159" s="60">
        <v>12</v>
      </c>
      <c r="G159" s="60">
        <v>12</v>
      </c>
      <c r="H159" s="60" t="s">
        <v>50</v>
      </c>
      <c r="I159" s="60" t="s">
        <v>846</v>
      </c>
      <c r="J159" s="60" t="s">
        <v>443</v>
      </c>
      <c r="K159" s="60">
        <f>IF(J159="syllables",1,IF(J159="trigrams",2,IF(J159="strings",3,IF(J159="visual array",4,IF(J159="characters",5,IF(J159="letters",6,IF(J159="free forms",7,IF(J159="odors",8,IF(J159="words",9,IF(J159="pictures",10,IF(J159="object pictures",11,IF(J159="faces",12,IF(J159="names",13,IF(J159="idioms",14,IF(J159="grades",15,IF(J159="syllable-digit pairs",16,IF(J159="trigram-word pairs",17,IF(J159="word-digit pairs",18,IF(J159="English-Swahili pairs",19,IF(J159="spatial position",20,IF(J159="word pairs",21,IF(J159="word triads",22,IF(J159="generated words",23,IF(J159="word definition pairs",24,IF(J159="math problems",25,IF(J159="famous faces",26,IF(J159="famous names",27,IF(J159="famous voices",28,IF(J159="television programs",29,IF(J159="race horses",30,IF(J159="new vocabulary",31,IF(J159="sentences",32,IF(J159="concepts",33,IF(J159="ad slides",34,IF(J159="scenes",35,IF(J159="famous scenes",36,IF(J159="poems",37,IF(J159="walk",38,IF(J159="faces and events",39,IF(J159="events and names",40,IF(J159="flashbulb",41,IF(J159="stories",42,IF(J159="course material",43,IF(J159="autobiographical",44,IF(J159="novels",45,IF(J159="public events",46,"99"))))))))))))))))))))))))))))))))))))))))))))))</f>
        <v>2</v>
      </c>
      <c r="L159" s="60">
        <f>IF(J159="syllables",1,IF(J159="trigrams",1,IF(J159="strings",1,IF(J159="visual array",1,IF(J159="characters",1,IF(J159="letters",1,IF(J159="free forms",1,IF(J159="odors",2,IF(J159="words",2,IF(J159="pictures",2,IF(J159="object pictures",2,IF(J159="faces",2,IF(J159="names",2,IF(J159="idioms","2",IF(J159="grades",2,IF(J159="syllable-digit pairs",3,IF(J159="trigram-word pairs",3,IF(J159="word-digit pairs",3,IF(J159="English-Swahili pairs",3,IF(J159="spatial position",3,IF(J159="word pairs",4,IF(J159="word triads",4,IF(J159="generated words",4,IF(J159="word definition pairs",4,IF(J159="math problems",4,IF(J159="famous faces",4,IF(J159="famous names",4,IF(J159="famous voices",4,IF(J159="television programs",4,IF(J159="race horses",4,IF(J159="new vocabulary",4,IF(J159="sentences",5,IF(J159="concepts",5,IF(J159="ad slides",5,IF(J159="scenes",5,IF(J159="famous scenes",5,IF(J159="poems",6,IF(J159="walk",6,IF(J159="faces and events",6,IF(J159="events and names",6,IF(J159="flashbulb",7,IF(J159="stories",7,IF(J159="course material",7,IF(J159="autobiographical",7,IF(J159="novels",7,IF(J159="public events",7,"99"))))))))))))))))))))))))))))))))))))))))))))))</f>
        <v>1</v>
      </c>
      <c r="M159" s="60">
        <v>0</v>
      </c>
      <c r="N159" s="60">
        <v>1</v>
      </c>
      <c r="O159" s="60">
        <v>1</v>
      </c>
      <c r="P159" s="60" t="s">
        <v>550</v>
      </c>
      <c r="Q159" s="60" t="s">
        <v>174</v>
      </c>
      <c r="R159" s="60">
        <f>IF(Q159="Free Recall",1,IF(Q159="Cued Recall",2,IF(Q159="Recognition",3,IF(Q159="Multiple Choice",4,IF(Q159="Savings",5,IF(Q159="Stem Completion",6,IF(Q159="Fragment Completion",7,IF(Q159="anagram solution",8,IF(Q159="Matching",9,IF(Q159="Problem Solving",10,"99"))))))))))</f>
        <v>1</v>
      </c>
      <c r="S159" s="60" t="s">
        <v>49</v>
      </c>
      <c r="T159" s="59" t="s">
        <v>581</v>
      </c>
      <c r="U159" s="60">
        <f>IF(T159="within",1,0)</f>
        <v>1</v>
      </c>
      <c r="V159" s="59">
        <v>30</v>
      </c>
      <c r="W159" s="60">
        <f>F159*V159</f>
        <v>360</v>
      </c>
      <c r="X159" s="60">
        <v>3</v>
      </c>
      <c r="Y159" s="76">
        <f>AV158</f>
        <v>0.01</v>
      </c>
      <c r="Z159" s="60" t="s">
        <v>549</v>
      </c>
      <c r="AA159" s="60">
        <v>15</v>
      </c>
      <c r="AB159" s="60" t="str">
        <f>IF(AA159&lt;60,"1",IF(AA159&lt;=43200,"2",IF(AA159&lt;=777600,"3","4")))</f>
        <v>1</v>
      </c>
      <c r="AC159" s="56">
        <f>AVERAGE(AV158:DA158)</f>
        <v>6.669999999999999</v>
      </c>
      <c r="AD159" s="60" t="str">
        <f>IF(AC159&lt;60,"1",IF(AC159&lt;=43200,"2",IF(AC159&lt;=777600,"3","4")))</f>
        <v>1</v>
      </c>
      <c r="AE159" s="76">
        <f>AA159-Y159</f>
        <v>14.99</v>
      </c>
      <c r="AF159" s="80">
        <f>AV159</f>
        <v>0.97</v>
      </c>
      <c r="AG159" s="56">
        <f>((AW159-AV159)+(AX159-AW159))/2</f>
        <v>-1.5000000000000013E-2</v>
      </c>
      <c r="AH159" s="4"/>
      <c r="AI159" s="56">
        <f>RSQ(AV159:AX159,AV158:AX158)</f>
        <v>0.86190341751193811</v>
      </c>
      <c r="AJ159" s="109">
        <f>SLOPE(AV159:AX159,AV158:AX158)</f>
        <v>-1.8578364657686134E-3</v>
      </c>
      <c r="AK159" s="56">
        <f>INTERCEPT(AV159:AX159,AV158:AX158)</f>
        <v>0.96572510256000987</v>
      </c>
      <c r="AL159" s="56">
        <f>INDEX(LINEST(LN(AV159:AX159),LN(AV158:AX158),TRUE,TRUE),3,1)</f>
        <v>0.96144783069950279</v>
      </c>
      <c r="AM159" s="56">
        <f>INDEX(LINEST(LN(AV159:AX159),LN(AV158:AX158)),1)</f>
        <v>-3.9743751452330058E-3</v>
      </c>
      <c r="AN159" s="56">
        <f>EXP(INDEX(LINEST(LN(AV159:AX159),LN(AV158:AX158)),1,2))</f>
        <v>0.95288877992747734</v>
      </c>
      <c r="AO159" s="82">
        <f>INDEX(LINEST((AV159:AX159),LN(AV158:AX158),TRUE,TRUE),3,1)</f>
        <v>0.96293665108418247</v>
      </c>
      <c r="AP159" s="82">
        <f>INDEX(LINEST((AV159:AX159),LN(AV158:AX158)),1)</f>
        <v>-3.8009775288399042E-3</v>
      </c>
      <c r="AQ159" s="83">
        <f>INDEX(LINEST(LN(AV159:AX159),SQRT(AV158:AX158),TRUE,TRUE),3,1)</f>
        <v>0.9879511094985044</v>
      </c>
      <c r="AR159" s="116">
        <f>INDEX(LINEST(LN(AV159:AX159),SQRT((AV158:AX158))),1)</f>
        <v>-8.3974532874906468E-3</v>
      </c>
      <c r="AS159" s="84">
        <f>INDEX(LINEST(1/(AV159:AX159),1/(SQRT(AV158:AX158)),TRUE,TRUE),3,1)</f>
        <v>0.89844547051796164</v>
      </c>
      <c r="AT159" s="84">
        <f>INDEX(LINEST(1/(AV159:AX159),1/SQRT(AV158:AX158)),1)</f>
        <v>-2.8463415655229003E-3</v>
      </c>
      <c r="AU159" s="3"/>
      <c r="AV159" s="53">
        <v>0.97</v>
      </c>
      <c r="AW159" s="53">
        <v>0.95</v>
      </c>
      <c r="AX159" s="53">
        <v>0.94</v>
      </c>
      <c r="AY159" s="53"/>
      <c r="AZ159" s="53"/>
      <c r="BA159" s="53"/>
      <c r="BB159" s="53"/>
      <c r="BC159" s="53"/>
      <c r="BD159" s="53"/>
      <c r="BE159" s="53"/>
      <c r="BF159" s="53"/>
      <c r="BG159" s="53"/>
      <c r="BH159" s="53"/>
      <c r="BI159" s="53"/>
      <c r="BJ159" s="53"/>
      <c r="BK159" s="53"/>
      <c r="BL159" s="53"/>
      <c r="BM159" s="53"/>
      <c r="BN159" s="53"/>
      <c r="BO159" s="53"/>
      <c r="BP159" s="53"/>
      <c r="BQ159" s="53"/>
      <c r="BR159" s="53"/>
      <c r="BS159" s="53"/>
      <c r="BT159" s="53"/>
      <c r="BU159" s="53"/>
      <c r="BV159" s="53"/>
      <c r="BW159" s="53"/>
      <c r="BX159" s="53"/>
      <c r="BY159" s="53"/>
      <c r="BZ159" s="53"/>
      <c r="CA159" s="53"/>
      <c r="CB159" s="53"/>
      <c r="CC159" s="53"/>
      <c r="CD159" s="53"/>
      <c r="CE159" s="53"/>
      <c r="CF159" s="53"/>
      <c r="CG159" s="53"/>
      <c r="CH159" s="53"/>
      <c r="CI159" s="53"/>
      <c r="CJ159" s="53"/>
      <c r="CK159" s="53"/>
      <c r="CL159" s="53"/>
      <c r="CM159" s="53"/>
      <c r="CN159" s="53"/>
      <c r="CO159" s="53"/>
      <c r="CP159" s="53"/>
      <c r="CQ159" s="53"/>
      <c r="CR159" s="1"/>
      <c r="CS159" s="1"/>
      <c r="CT159" s="1"/>
      <c r="CU159" s="1"/>
    </row>
    <row r="160" spans="1:99" s="13" customFormat="1" ht="12" customHeight="1" x14ac:dyDescent="0.2">
      <c r="A160" s="65">
        <v>43916</v>
      </c>
      <c r="B160" s="1"/>
      <c r="C160" s="1"/>
      <c r="D160" s="60"/>
      <c r="E160" s="76"/>
      <c r="F160" s="60"/>
      <c r="G160" s="60"/>
      <c r="H160" s="61"/>
      <c r="I160" s="60"/>
      <c r="J160" s="60"/>
      <c r="K160" s="64"/>
      <c r="L160" s="64"/>
      <c r="M160" s="60"/>
      <c r="N160" s="60"/>
      <c r="O160" s="60"/>
      <c r="P160" s="60"/>
      <c r="Q160" s="60"/>
      <c r="R160" s="60"/>
      <c r="S160" s="60"/>
      <c r="T160" s="60"/>
      <c r="U160" s="60"/>
      <c r="V160" s="59"/>
      <c r="W160" s="60"/>
      <c r="X160" s="60"/>
      <c r="Y160" s="76"/>
      <c r="Z160" s="60"/>
      <c r="AA160" s="60"/>
      <c r="AB160" s="60"/>
      <c r="AC160" s="60"/>
      <c r="AD160" s="60"/>
      <c r="AE160" s="60"/>
      <c r="AF160" s="80"/>
      <c r="AG160" s="56"/>
      <c r="AH160" s="4"/>
      <c r="AI160" s="56"/>
      <c r="AJ160" s="109"/>
      <c r="AK160" s="56"/>
      <c r="AL160" s="56"/>
      <c r="AM160" s="56"/>
      <c r="AN160" s="56"/>
      <c r="AO160" s="56"/>
      <c r="AP160" s="56"/>
      <c r="AQ160" s="82"/>
      <c r="AR160" s="115"/>
      <c r="AS160" s="82"/>
      <c r="AT160" s="82"/>
      <c r="AU160" s="4"/>
      <c r="AV160" s="25">
        <v>0.01</v>
      </c>
      <c r="AW160" s="25">
        <v>5</v>
      </c>
      <c r="AX160" s="25">
        <v>15</v>
      </c>
      <c r="AY160" s="53"/>
      <c r="AZ160" s="53"/>
      <c r="BA160" s="53"/>
      <c r="BB160" s="53"/>
      <c r="BC160" s="53"/>
      <c r="BD160" s="53"/>
      <c r="BE160" s="53"/>
      <c r="BF160" s="53"/>
      <c r="BG160" s="53"/>
      <c r="BH160" s="53"/>
      <c r="BI160" s="53"/>
      <c r="BJ160" s="53"/>
      <c r="BK160" s="53"/>
      <c r="BL160" s="53"/>
      <c r="BM160" s="53"/>
      <c r="BN160" s="53"/>
      <c r="BO160" s="53"/>
      <c r="BP160" s="53"/>
      <c r="BQ160" s="53"/>
      <c r="BR160" s="53"/>
      <c r="BS160" s="53"/>
      <c r="BT160" s="53"/>
      <c r="BU160" s="53"/>
      <c r="BV160" s="53"/>
      <c r="BW160" s="53"/>
      <c r="BX160" s="53"/>
      <c r="BY160" s="53"/>
      <c r="BZ160" s="53"/>
      <c r="CA160" s="53"/>
      <c r="CB160" s="53"/>
      <c r="CC160" s="53"/>
      <c r="CD160" s="53"/>
      <c r="CE160" s="53"/>
      <c r="CF160" s="53"/>
      <c r="CG160" s="53"/>
      <c r="CH160" s="53"/>
      <c r="CI160" s="53"/>
      <c r="CJ160" s="53"/>
      <c r="CK160" s="53"/>
      <c r="CL160" s="53"/>
      <c r="CM160" s="53"/>
      <c r="CN160" s="53"/>
      <c r="CO160" s="53"/>
      <c r="CP160" s="53"/>
      <c r="CQ160" s="53"/>
      <c r="CR160" s="1"/>
      <c r="CS160" s="1"/>
      <c r="CT160" s="1"/>
      <c r="CU160" s="1"/>
    </row>
    <row r="161" spans="1:99" s="13" customFormat="1" ht="12" customHeight="1" x14ac:dyDescent="0.2">
      <c r="A161" s="65">
        <v>43916</v>
      </c>
      <c r="B161" s="1" t="s">
        <v>548</v>
      </c>
      <c r="C161" s="1" t="s">
        <v>48</v>
      </c>
      <c r="D161" s="60">
        <v>1982</v>
      </c>
      <c r="E161" s="76">
        <v>2</v>
      </c>
      <c r="F161" s="60">
        <v>12</v>
      </c>
      <c r="G161" s="60">
        <v>12</v>
      </c>
      <c r="H161" s="60" t="s">
        <v>22</v>
      </c>
      <c r="I161" s="60" t="s">
        <v>848</v>
      </c>
      <c r="J161" s="60" t="s">
        <v>443</v>
      </c>
      <c r="K161" s="60">
        <f>IF(J161="syllables",1,IF(J161="trigrams",2,IF(J161="strings",3,IF(J161="visual array",4,IF(J161="characters",5,IF(J161="letters",6,IF(J161="free forms",7,IF(J161="odors",8,IF(J161="words",9,IF(J161="pictures",10,IF(J161="object pictures",11,IF(J161="faces",12,IF(J161="names",13,IF(J161="idioms",14,IF(J161="grades",15,IF(J161="syllable-digit pairs",16,IF(J161="trigram-word pairs",17,IF(J161="word-digit pairs",18,IF(J161="English-Swahili pairs",19,IF(J161="spatial position",20,IF(J161="word pairs",21,IF(J161="word triads",22,IF(J161="generated words",23,IF(J161="word definition pairs",24,IF(J161="math problems",25,IF(J161="famous faces",26,IF(J161="famous names",27,IF(J161="famous voices",28,IF(J161="television programs",29,IF(J161="race horses",30,IF(J161="new vocabulary",31,IF(J161="sentences",32,IF(J161="concepts",33,IF(J161="ad slides",34,IF(J161="scenes",35,IF(J161="famous scenes",36,IF(J161="poems",37,IF(J161="walk",38,IF(J161="faces and events",39,IF(J161="events and names",40,IF(J161="flashbulb",41,IF(J161="stories",42,IF(J161="course material",43,IF(J161="autobiographical",44,IF(J161="novels",45,IF(J161="public events",46,"99"))))))))))))))))))))))))))))))))))))))))))))))</f>
        <v>2</v>
      </c>
      <c r="L161" s="60">
        <f>IF(J161="syllables",1,IF(J161="trigrams",1,IF(J161="strings",1,IF(J161="visual array",1,IF(J161="characters",1,IF(J161="letters",1,IF(J161="free forms",1,IF(J161="odors",2,IF(J161="words",2,IF(J161="pictures",2,IF(J161="object pictures",2,IF(J161="faces",2,IF(J161="names",2,IF(J161="idioms","2",IF(J161="grades",2,IF(J161="syllable-digit pairs",3,IF(J161="trigram-word pairs",3,IF(J161="word-digit pairs",3,IF(J161="English-Swahili pairs",3,IF(J161="spatial position",3,IF(J161="word pairs",4,IF(J161="word triads",4,IF(J161="generated words",4,IF(J161="word definition pairs",4,IF(J161="math problems",4,IF(J161="famous faces",4,IF(J161="famous names",4,IF(J161="famous voices",4,IF(J161="television programs",4,IF(J161="race horses",4,IF(J161="new vocabulary",4,IF(J161="sentences",5,IF(J161="concepts",5,IF(J161="ad slides",5,IF(J161="scenes",5,IF(J161="famous scenes",5,IF(J161="poems",6,IF(J161="walk",6,IF(J161="faces and events",6,IF(J161="events and names",6,IF(J161="flashbulb",7,IF(J161="stories",7,IF(J161="course material",7,IF(J161="autobiographical",7,IF(J161="novels",7,IF(J161="public events",7,"99"))))))))))))))))))))))))))))))))))))))))))))))</f>
        <v>1</v>
      </c>
      <c r="M161" s="60">
        <v>0</v>
      </c>
      <c r="N161" s="60">
        <v>1</v>
      </c>
      <c r="O161" s="60">
        <v>1</v>
      </c>
      <c r="P161" s="60" t="s">
        <v>550</v>
      </c>
      <c r="Q161" s="60" t="s">
        <v>174</v>
      </c>
      <c r="R161" s="60">
        <f>IF(Q161="Free Recall",1,IF(Q161="Cued Recall",2,IF(Q161="Recognition",3,IF(Q161="Multiple Choice",4,IF(Q161="Savings",5,IF(Q161="Stem Completion",6,IF(Q161="Fragment Completion",7,IF(Q161="anagram solution",8,IF(Q161="Matching",9,IF(Q161="Problem Solving",10,"99"))))))))))</f>
        <v>1</v>
      </c>
      <c r="S161" s="60" t="s">
        <v>49</v>
      </c>
      <c r="T161" s="59" t="s">
        <v>581</v>
      </c>
      <c r="U161" s="60">
        <f>IF(T161="within",1,0)</f>
        <v>1</v>
      </c>
      <c r="V161" s="59">
        <v>30</v>
      </c>
      <c r="W161" s="60">
        <f>F161*V161</f>
        <v>360</v>
      </c>
      <c r="X161" s="60">
        <v>3</v>
      </c>
      <c r="Y161" s="76">
        <f>AV160</f>
        <v>0.01</v>
      </c>
      <c r="Z161" s="60" t="s">
        <v>549</v>
      </c>
      <c r="AA161" s="60">
        <v>15</v>
      </c>
      <c r="AB161" s="60" t="str">
        <f>IF(AA161&lt;60,"1",IF(AA161&lt;=43200,"2",IF(AA161&lt;=777600,"3","4")))</f>
        <v>1</v>
      </c>
      <c r="AC161" s="56">
        <f>AVERAGE(AV160:DA160)</f>
        <v>6.669999999999999</v>
      </c>
      <c r="AD161" s="60" t="str">
        <f>IF(AC161&lt;60,"1",IF(AC161&lt;=43200,"2",IF(AC161&lt;=777600,"3","4")))</f>
        <v>1</v>
      </c>
      <c r="AE161" s="76">
        <f>AA161-Y161</f>
        <v>14.99</v>
      </c>
      <c r="AF161" s="80">
        <f>AV161</f>
        <v>0.97</v>
      </c>
      <c r="AG161" s="56">
        <f>((AW161-AV161)+(AX161-AW161))/2</f>
        <v>-1.5000000000000013E-2</v>
      </c>
      <c r="AH161" s="4"/>
      <c r="AI161" s="56">
        <f>RSQ(AV161:AX161,AV160:AX160)</f>
        <v>0.86190341751193811</v>
      </c>
      <c r="AJ161" s="109">
        <f>SLOPE(AV161:AX161,AV160:AX160)</f>
        <v>-1.8578364657686134E-3</v>
      </c>
      <c r="AK161" s="56">
        <f>INTERCEPT(AV161:AX161,AV160:AX160)</f>
        <v>0.96572510256000987</v>
      </c>
      <c r="AL161" s="56">
        <f>INDEX(LINEST(LN(AV161:AX161),LN(AV160:AX160),TRUE,TRUE),3,1)</f>
        <v>0.96144783069950279</v>
      </c>
      <c r="AM161" s="56">
        <f>INDEX(LINEST(LN(AV161:AX161),LN(AV160:AX160)),1)</f>
        <v>-3.9743751452330058E-3</v>
      </c>
      <c r="AN161" s="56">
        <f>EXP(INDEX(LINEST(LN(AV161:AX161),LN(AV160:AX160)),1,2))</f>
        <v>0.95288877992747734</v>
      </c>
      <c r="AO161" s="82">
        <f>INDEX(LINEST((AV161:AX161),LN(AV160:AX160),TRUE,TRUE),3,1)</f>
        <v>0.96293665108418247</v>
      </c>
      <c r="AP161" s="82">
        <f>INDEX(LINEST((AV161:AX161),LN(AV160:AX160)),1)</f>
        <v>-3.8009775288399042E-3</v>
      </c>
      <c r="AQ161" s="83">
        <f>INDEX(LINEST(LN(AV161:AX161),SQRT(AV160:AX160),TRUE,TRUE),3,1)</f>
        <v>0.9879511094985044</v>
      </c>
      <c r="AR161" s="116">
        <f>INDEX(LINEST(LN(AV161:AX161),SQRT((AV160:AX160))),1)</f>
        <v>-8.3974532874906468E-3</v>
      </c>
      <c r="AS161" s="84">
        <f>INDEX(LINEST(1/(AV161:AX161),1/(SQRT(AV160:AX160)),TRUE,TRUE),3,1)</f>
        <v>0.89844547051796164</v>
      </c>
      <c r="AT161" s="84">
        <f>INDEX(LINEST(1/(AV161:AX161),1/SQRT(AV160:AX160)),1)</f>
        <v>-2.8463415655229003E-3</v>
      </c>
      <c r="AU161" s="3"/>
      <c r="AV161" s="53">
        <v>0.97</v>
      </c>
      <c r="AW161" s="53">
        <v>0.95</v>
      </c>
      <c r="AX161" s="53">
        <v>0.94</v>
      </c>
      <c r="AY161" s="53"/>
      <c r="AZ161" s="53"/>
      <c r="BA161" s="53"/>
      <c r="BB161" s="53"/>
      <c r="BC161" s="53"/>
      <c r="BD161" s="53"/>
      <c r="BE161" s="53"/>
      <c r="BF161" s="53"/>
      <c r="BG161" s="53"/>
      <c r="BH161" s="53"/>
      <c r="BI161" s="53"/>
      <c r="BJ161" s="53"/>
      <c r="BK161" s="53"/>
      <c r="BL161" s="53"/>
      <c r="BM161" s="53"/>
      <c r="BN161" s="53"/>
      <c r="BO161" s="53"/>
      <c r="BP161" s="53"/>
      <c r="BQ161" s="53"/>
      <c r="BR161" s="53"/>
      <c r="BS161" s="53"/>
      <c r="BT161" s="53"/>
      <c r="BU161" s="53"/>
      <c r="BV161" s="53"/>
      <c r="BW161" s="53"/>
      <c r="BX161" s="53"/>
      <c r="BY161" s="53"/>
      <c r="BZ161" s="53"/>
      <c r="CA161" s="53"/>
      <c r="CB161" s="53"/>
      <c r="CC161" s="53"/>
      <c r="CD161" s="53"/>
      <c r="CE161" s="53"/>
      <c r="CF161" s="53"/>
      <c r="CG161" s="53"/>
      <c r="CH161" s="53"/>
      <c r="CI161" s="53"/>
      <c r="CJ161" s="53"/>
      <c r="CK161" s="53"/>
      <c r="CL161" s="53"/>
      <c r="CM161" s="53"/>
      <c r="CN161" s="53"/>
      <c r="CO161" s="53"/>
      <c r="CP161" s="53"/>
      <c r="CQ161" s="53"/>
      <c r="CR161" s="1"/>
      <c r="CS161" s="1"/>
      <c r="CT161" s="1"/>
      <c r="CU161" s="1"/>
    </row>
    <row r="162" spans="1:99" s="13" customFormat="1" ht="12" customHeight="1" x14ac:dyDescent="0.2">
      <c r="A162" s="68">
        <v>43509</v>
      </c>
      <c r="B162" s="70"/>
      <c r="C162" s="70"/>
      <c r="D162" s="69"/>
      <c r="E162" s="87"/>
      <c r="F162" s="69"/>
      <c r="G162" s="69"/>
      <c r="H162" s="69"/>
      <c r="I162" s="69"/>
      <c r="J162" s="69"/>
      <c r="K162" s="107"/>
      <c r="L162" s="107"/>
      <c r="M162" s="69"/>
      <c r="N162" s="69"/>
      <c r="O162" s="69"/>
      <c r="P162" s="69"/>
      <c r="Q162" s="69"/>
      <c r="R162" s="69"/>
      <c r="S162" s="69"/>
      <c r="T162" s="92"/>
      <c r="U162" s="60"/>
      <c r="V162" s="69"/>
      <c r="W162" s="69"/>
      <c r="X162" s="86"/>
      <c r="Y162" s="87"/>
      <c r="Z162" s="69"/>
      <c r="AA162" s="69"/>
      <c r="AB162" s="69"/>
      <c r="AC162" s="69"/>
      <c r="AD162" s="69"/>
      <c r="AE162" s="69"/>
      <c r="AF162" s="88"/>
      <c r="AG162" s="72"/>
      <c r="AH162" s="4"/>
      <c r="AI162" s="72"/>
      <c r="AJ162" s="110"/>
      <c r="AK162" s="72"/>
      <c r="AL162" s="72"/>
      <c r="AM162" s="72"/>
      <c r="AN162" s="72"/>
      <c r="AO162" s="72"/>
      <c r="AP162" s="72"/>
      <c r="AQ162" s="72"/>
      <c r="AR162" s="110"/>
      <c r="AS162" s="72"/>
      <c r="AT162" s="72"/>
      <c r="AU162" s="4"/>
      <c r="AV162" s="71">
        <v>2</v>
      </c>
      <c r="AW162" s="71">
        <v>4</v>
      </c>
      <c r="AX162" s="71">
        <v>8</v>
      </c>
      <c r="AY162" s="71">
        <v>16</v>
      </c>
      <c r="AZ162" s="71">
        <v>32</v>
      </c>
      <c r="BA162" s="53"/>
      <c r="BB162" s="53"/>
      <c r="BC162" s="53"/>
      <c r="BD162" s="53"/>
      <c r="BE162" s="53"/>
      <c r="BF162" s="53"/>
      <c r="BG162" s="53"/>
      <c r="BH162" s="53"/>
      <c r="BI162" s="53"/>
      <c r="BJ162" s="53"/>
      <c r="BK162" s="53"/>
      <c r="BL162" s="53"/>
      <c r="BM162" s="53"/>
      <c r="BN162" s="53"/>
      <c r="BO162" s="53"/>
      <c r="BP162" s="53"/>
      <c r="BQ162" s="53"/>
      <c r="BR162" s="53"/>
      <c r="BS162" s="53"/>
      <c r="BT162" s="53"/>
      <c r="BU162" s="53"/>
      <c r="BV162" s="53"/>
      <c r="BW162" s="53"/>
      <c r="BX162" s="53"/>
      <c r="BY162" s="53"/>
      <c r="BZ162" s="53"/>
      <c r="CA162" s="53"/>
      <c r="CB162" s="53"/>
      <c r="CC162" s="53"/>
      <c r="CD162" s="53"/>
      <c r="CE162" s="53"/>
      <c r="CF162" s="53"/>
      <c r="CG162" s="53"/>
      <c r="CH162" s="53"/>
      <c r="CI162" s="53"/>
      <c r="CJ162" s="53"/>
      <c r="CK162" s="53"/>
      <c r="CL162" s="53"/>
      <c r="CM162" s="53"/>
      <c r="CN162" s="53"/>
      <c r="CO162" s="53"/>
      <c r="CP162" s="53"/>
      <c r="CQ162" s="53"/>
      <c r="CR162" s="1"/>
      <c r="CS162" s="1"/>
      <c r="CT162" s="1"/>
      <c r="CU162" s="1"/>
    </row>
    <row r="163" spans="1:99" s="13" customFormat="1" ht="12" customHeight="1" x14ac:dyDescent="0.2">
      <c r="A163" s="68">
        <v>43509</v>
      </c>
      <c r="B163" s="70" t="s">
        <v>258</v>
      </c>
      <c r="C163" s="70" t="s">
        <v>45</v>
      </c>
      <c r="D163" s="69">
        <v>2012</v>
      </c>
      <c r="E163" s="87">
        <v>1</v>
      </c>
      <c r="F163" s="69">
        <v>18</v>
      </c>
      <c r="G163" s="69">
        <v>18</v>
      </c>
      <c r="H163" s="69" t="s">
        <v>50</v>
      </c>
      <c r="I163" s="69" t="s">
        <v>851</v>
      </c>
      <c r="J163" s="69" t="s">
        <v>320</v>
      </c>
      <c r="K163" s="69">
        <f>IF(J163="syllables",1,IF(J163="trigrams",2,IF(J163="strings",3,IF(J163="visual array",4,IF(J163="characters",5,IF(J163="letters",6,IF(J163="free forms",7,IF(J163="odors",8,IF(J163="words",9,IF(J163="pictures",10,IF(J163="object pictures",11,IF(J163="faces",12,IF(J163="names",13,IF(J163="idioms",14,IF(J163="grades",15,IF(J163="syllable-digit pairs",16,IF(J163="trigram-word pairs",17,IF(J163="word-digit pairs",18,IF(J163="English-Swahili pairs",19,IF(J163="spatial position",20,IF(J163="word pairs",21,IF(J163="word triads",22,IF(J163="generated words",23,IF(J163="word definition pairs",24,IF(J163="math problems",25,IF(J163="famous faces",26,IF(J163="famous names",27,IF(J163="famous voices",28,IF(J163="television programs",29,IF(J163="race horses",30,IF(J163="new vocabulary",31,IF(J163="sentences",32,IF(J163="concepts",33,IF(J163="ad slides",34,IF(J163="scenes",35,IF(J163="famous scenes",36,IF(J163="poems",37,IF(J163="walk",38,IF(J163="faces and events",39,IF(J163="events and names",40,IF(J163="flashbulb",41,IF(J163="stories",42,IF(J163="course material",43,IF(J163="autobiographical",44,IF(J163="novels",45,IF(J163="public events",46,"99"))))))))))))))))))))))))))))))))))))))))))))))</f>
        <v>21</v>
      </c>
      <c r="L163" s="69">
        <f>IF(J163="syllables",1,IF(J163="trigrams",1,IF(J163="strings",1,IF(J163="visual array",1,IF(J163="characters",1,IF(J163="letters",1,IF(J163="free forms",1,IF(J163="odors",2,IF(J163="words",2,IF(J163="pictures",2,IF(J163="object pictures",2,IF(J163="faces",2,IF(J163="names",2,IF(J163="idioms","2",IF(J163="grades",2,IF(J163="syllable-digit pairs",3,IF(J163="trigram-word pairs",3,IF(J163="word-digit pairs",3,IF(J163="English-Swahili pairs",3,IF(J163="spatial position",3,IF(J163="word pairs",4,IF(J163="word triads",4,IF(J163="generated words",4,IF(J163="word definition pairs",4,IF(J163="math problems",4,IF(J163="famous faces",4,IF(J163="famous names",4,IF(J163="famous voices",4,IF(J163="television programs",4,IF(J163="race horses",4,IF(J163="new vocabulary",4,IF(J163="sentences",5,IF(J163="concepts",5,IF(J163="ad slides",5,IF(J163="scenes",5,IF(J163="famous scenes",5,IF(J163="poems",6,IF(J163="walk",6,IF(J163="faces and events",6,IF(J163="events and names",6,IF(J163="flashbulb",7,IF(J163="stories",7,IF(J163="course material",7,IF(J163="autobiographical",7,IF(J163="novels",7,IF(J163="public events",7,"99"))))))))))))))))))))))))))))))))))))))))))))))</f>
        <v>4</v>
      </c>
      <c r="M163" s="69">
        <v>0</v>
      </c>
      <c r="N163" s="69">
        <v>1</v>
      </c>
      <c r="O163" s="69">
        <v>1</v>
      </c>
      <c r="P163" s="69" t="s">
        <v>53</v>
      </c>
      <c r="Q163" s="69" t="s">
        <v>174</v>
      </c>
      <c r="R163" s="69">
        <f>IF(Q163="Free Recall",1,IF(Q163="Cued Recall",2,IF(Q163="Recognition",3,IF(Q163="Multiple Choice",4,IF(Q163="Savings",5,IF(Q163="Stem Completion",6,IF(Q163="Fragment Completion",7,IF(Q163="anagram solution",8,IF(Q163="Matching",9,IF(Q163="Problem Solving",10,"99"))))))))))</f>
        <v>1</v>
      </c>
      <c r="S163" s="69" t="s">
        <v>49</v>
      </c>
      <c r="T163" s="92" t="s">
        <v>581</v>
      </c>
      <c r="U163" s="60">
        <f>IF(T163="within",1,0)</f>
        <v>1</v>
      </c>
      <c r="V163" s="92">
        <v>35</v>
      </c>
      <c r="W163" s="69">
        <f>F163*V163</f>
        <v>630</v>
      </c>
      <c r="X163" s="69">
        <v>5</v>
      </c>
      <c r="Y163" s="87">
        <f>AV162</f>
        <v>2</v>
      </c>
      <c r="Z163" s="69" t="s">
        <v>47</v>
      </c>
      <c r="AA163" s="69">
        <v>32</v>
      </c>
      <c r="AB163" s="69" t="str">
        <f>IF(AA163&lt;60,"1",IF(AA163&lt;=43200,"2",IF(AA163&lt;=777600,"3","4")))</f>
        <v>1</v>
      </c>
      <c r="AC163" s="72">
        <f>AVERAGE(AV162:DA162)</f>
        <v>12.4</v>
      </c>
      <c r="AD163" s="69" t="str">
        <f>IF(AC163&lt;60,"1",IF(AC163&lt;=43200,"2",IF(AC163&lt;=777600,"3","4")))</f>
        <v>1</v>
      </c>
      <c r="AE163" s="87">
        <f>AA163-Y163</f>
        <v>30</v>
      </c>
      <c r="AF163" s="88">
        <f>AV163</f>
        <v>0.96099999999999997</v>
      </c>
      <c r="AG163" s="72">
        <f>((AW163-AV163)+(AX163-AW163)+(AY163-AX163)+(AZ163-AY163))/4</f>
        <v>-3.175E-2</v>
      </c>
      <c r="AH163" s="4"/>
      <c r="AI163" s="72">
        <f>RSQ(AV163:AZ163,AV162:AZ162)</f>
        <v>0.92011204179649131</v>
      </c>
      <c r="AJ163" s="110">
        <f>SLOPE(AV163:AZ163,AV162:AZ162)</f>
        <v>-3.6552419354838718E-3</v>
      </c>
      <c r="AK163" s="72">
        <f>INTERCEPT(AV163:AZ163,AV162:AZ162)</f>
        <v>0.954125</v>
      </c>
      <c r="AL163" s="72">
        <f>INDEX(LINEST(LN(AV163:AZ163),LN(AV162:AZ162),TRUE,TRUE),3,1)</f>
        <v>0.83872734420689654</v>
      </c>
      <c r="AM163" s="72">
        <f>INDEX(LINEST(LN(AV163:AZ163),LN(AV162:AZ162)),1)</f>
        <v>-4.3570999372430294E-2</v>
      </c>
      <c r="AN163" s="72">
        <f>EXP(INDEX(LINEST(LN(AV163:AZ163),LN(AV162:AZ162)),1,2))</f>
        <v>0.99391817904942314</v>
      </c>
      <c r="AO163" s="89">
        <f>INDEX(LINEST((AV163:AZ163),LN(AV162:AZ162),TRUE,TRUE),3,1)</f>
        <v>0.84973619660295252</v>
      </c>
      <c r="AP163" s="89">
        <f>INDEX(LINEST((AV163:AZ163),LN(AV162:AZ162)),1)</f>
        <v>-3.9097035608090906E-2</v>
      </c>
      <c r="AQ163" s="90">
        <f>INDEX(LINEST(LN(AV163:AZ163),SQRT(AV162:AZ162),TRUE,TRUE),3,1)</f>
        <v>0.90363635471955261</v>
      </c>
      <c r="AR163" s="117">
        <f>INDEX(LINEST(LN(AV163:AZ163),SQRT((AV162:AZ162))),1)</f>
        <v>-2.930713800656156E-2</v>
      </c>
      <c r="AS163" s="91">
        <f>INDEX(LINEST(1/(AV163:AZ163),1/(SQRT(AV162:AZ162)),TRUE,TRUE),3,1)</f>
        <v>0.72061132167914244</v>
      </c>
      <c r="AT163" s="91">
        <f>INDEX(LINEST(1/(AV163:AZ163),1/SQRT(AV162:AZ162)),1)</f>
        <v>-0.23534213490019187</v>
      </c>
      <c r="AU163" s="3"/>
      <c r="AV163" s="73">
        <v>0.96099999999999997</v>
      </c>
      <c r="AW163" s="73">
        <v>0.92600000000000005</v>
      </c>
      <c r="AX163" s="73">
        <v>0.91400000000000003</v>
      </c>
      <c r="AY163" s="73">
        <v>0.90900000000000003</v>
      </c>
      <c r="AZ163" s="73">
        <v>0.83399999999999996</v>
      </c>
      <c r="BA163" s="53"/>
      <c r="BB163" s="53"/>
      <c r="BC163" s="53"/>
      <c r="BD163" s="53"/>
      <c r="BE163" s="53"/>
      <c r="BF163" s="53"/>
      <c r="BG163" s="53"/>
      <c r="BH163" s="53"/>
      <c r="BI163" s="53"/>
      <c r="BJ163" s="53"/>
      <c r="BK163" s="53"/>
      <c r="BL163" s="53"/>
      <c r="BM163" s="53"/>
      <c r="BN163" s="53"/>
      <c r="BO163" s="53"/>
      <c r="BP163" s="53"/>
      <c r="BQ163" s="53"/>
      <c r="BR163" s="53"/>
      <c r="BS163" s="53"/>
      <c r="BT163" s="53"/>
      <c r="BU163" s="53"/>
      <c r="BV163" s="53"/>
      <c r="BW163" s="53"/>
      <c r="BX163" s="53"/>
      <c r="BY163" s="53"/>
      <c r="BZ163" s="53"/>
      <c r="CA163" s="53"/>
      <c r="CB163" s="53"/>
      <c r="CC163" s="53"/>
      <c r="CD163" s="53"/>
      <c r="CE163" s="53"/>
      <c r="CF163" s="53"/>
      <c r="CG163" s="53"/>
      <c r="CH163" s="53"/>
      <c r="CI163" s="53"/>
      <c r="CJ163" s="53"/>
      <c r="CK163" s="53"/>
      <c r="CL163" s="53"/>
      <c r="CM163" s="53"/>
      <c r="CN163" s="53"/>
      <c r="CO163" s="53"/>
      <c r="CP163" s="53"/>
      <c r="CQ163" s="53"/>
      <c r="CR163" s="1"/>
      <c r="CS163" s="1"/>
      <c r="CT163" s="1"/>
      <c r="CU163" s="1"/>
    </row>
    <row r="164" spans="1:99" s="13" customFormat="1" ht="12" customHeight="1" x14ac:dyDescent="0.2">
      <c r="A164" s="68">
        <v>43509</v>
      </c>
      <c r="B164" s="70"/>
      <c r="C164" s="70"/>
      <c r="D164" s="69"/>
      <c r="E164" s="87"/>
      <c r="F164" s="69"/>
      <c r="G164" s="69"/>
      <c r="H164" s="69"/>
      <c r="I164" s="69"/>
      <c r="J164" s="69"/>
      <c r="K164" s="107"/>
      <c r="L164" s="107"/>
      <c r="M164" s="69"/>
      <c r="N164" s="69"/>
      <c r="O164" s="69"/>
      <c r="P164" s="69"/>
      <c r="Q164" s="69"/>
      <c r="R164" s="69"/>
      <c r="S164" s="69"/>
      <c r="T164" s="92"/>
      <c r="U164" s="60"/>
      <c r="V164" s="69"/>
      <c r="W164" s="69"/>
      <c r="X164" s="69"/>
      <c r="Y164" s="87"/>
      <c r="Z164" s="69"/>
      <c r="AA164" s="69"/>
      <c r="AB164" s="69"/>
      <c r="AC164" s="69"/>
      <c r="AD164" s="69"/>
      <c r="AE164" s="69"/>
      <c r="AF164" s="88"/>
      <c r="AG164" s="72"/>
      <c r="AH164" s="4"/>
      <c r="AI164" s="72"/>
      <c r="AJ164" s="110"/>
      <c r="AK164" s="72"/>
      <c r="AL164" s="72"/>
      <c r="AM164" s="72"/>
      <c r="AN164" s="72"/>
      <c r="AO164" s="89"/>
      <c r="AP164" s="89"/>
      <c r="AQ164" s="72"/>
      <c r="AR164" s="110"/>
      <c r="AS164" s="72"/>
      <c r="AT164" s="72"/>
      <c r="AU164" s="3"/>
      <c r="AV164" s="71">
        <v>2</v>
      </c>
      <c r="AW164" s="71">
        <v>4</v>
      </c>
      <c r="AX164" s="71">
        <v>8</v>
      </c>
      <c r="AY164" s="71">
        <v>16</v>
      </c>
      <c r="AZ164" s="71">
        <v>32</v>
      </c>
      <c r="BA164" s="53"/>
      <c r="BB164" s="53"/>
      <c r="BC164" s="53"/>
      <c r="BD164" s="53"/>
      <c r="BE164" s="53"/>
      <c r="BF164" s="53"/>
      <c r="BG164" s="53"/>
      <c r="BH164" s="53"/>
      <c r="BI164" s="53"/>
      <c r="BJ164" s="53"/>
      <c r="BK164" s="53"/>
      <c r="BL164" s="53"/>
      <c r="BM164" s="53"/>
      <c r="BN164" s="53"/>
      <c r="BO164" s="53"/>
      <c r="BP164" s="53"/>
      <c r="BQ164" s="53"/>
      <c r="BR164" s="53"/>
      <c r="BS164" s="53"/>
      <c r="BT164" s="53"/>
      <c r="BU164" s="53"/>
      <c r="BV164" s="53"/>
      <c r="BW164" s="53"/>
      <c r="BX164" s="53"/>
      <c r="BY164" s="53"/>
      <c r="BZ164" s="53"/>
      <c r="CA164" s="53"/>
      <c r="CB164" s="53"/>
      <c r="CC164" s="53"/>
      <c r="CD164" s="53"/>
      <c r="CE164" s="53"/>
      <c r="CF164" s="53"/>
      <c r="CG164" s="53"/>
      <c r="CH164" s="53"/>
      <c r="CI164" s="53"/>
      <c r="CJ164" s="53"/>
      <c r="CK164" s="53"/>
      <c r="CL164" s="53"/>
      <c r="CM164" s="53"/>
      <c r="CN164" s="53"/>
      <c r="CO164" s="53"/>
      <c r="CP164" s="53"/>
      <c r="CQ164" s="53"/>
      <c r="CR164" s="1"/>
      <c r="CS164" s="1"/>
      <c r="CT164" s="1"/>
      <c r="CU164" s="1"/>
    </row>
    <row r="165" spans="1:99" s="13" customFormat="1" ht="12" customHeight="1" x14ac:dyDescent="0.2">
      <c r="A165" s="68">
        <v>43509</v>
      </c>
      <c r="B165" s="70" t="s">
        <v>258</v>
      </c>
      <c r="C165" s="70" t="s">
        <v>45</v>
      </c>
      <c r="D165" s="69">
        <v>2012</v>
      </c>
      <c r="E165" s="87">
        <v>1</v>
      </c>
      <c r="F165" s="69">
        <v>18</v>
      </c>
      <c r="G165" s="69">
        <v>18</v>
      </c>
      <c r="H165" s="69" t="s">
        <v>50</v>
      </c>
      <c r="I165" s="69" t="s">
        <v>852</v>
      </c>
      <c r="J165" s="69" t="s">
        <v>320</v>
      </c>
      <c r="K165" s="69">
        <f>IF(J165="syllables",1,IF(J165="trigrams",2,IF(J165="strings",3,IF(J165="visual array",4,IF(J165="characters",5,IF(J165="letters",6,IF(J165="free forms",7,IF(J165="odors",8,IF(J165="words",9,IF(J165="pictures",10,IF(J165="object pictures",11,IF(J165="faces",12,IF(J165="names",13,IF(J165="idioms",14,IF(J165="grades",15,IF(J165="syllable-digit pairs",16,IF(J165="trigram-word pairs",17,IF(J165="word-digit pairs",18,IF(J165="English-Swahili pairs",19,IF(J165="spatial position",20,IF(J165="word pairs",21,IF(J165="word triads",22,IF(J165="generated words",23,IF(J165="word definition pairs",24,IF(J165="math problems",25,IF(J165="famous faces",26,IF(J165="famous names",27,IF(J165="famous voices",28,IF(J165="television programs",29,IF(J165="race horses",30,IF(J165="new vocabulary",31,IF(J165="sentences",32,IF(J165="concepts",33,IF(J165="ad slides",34,IF(J165="scenes",35,IF(J165="famous scenes",36,IF(J165="poems",37,IF(J165="walk",38,IF(J165="faces and events",39,IF(J165="events and names",40,IF(J165="flashbulb",41,IF(J165="stories",42,IF(J165="course material",43,IF(J165="autobiographical",44,IF(J165="novels",45,IF(J165="public events",46,"99"))))))))))))))))))))))))))))))))))))))))))))))</f>
        <v>21</v>
      </c>
      <c r="L165" s="69">
        <f>IF(J165="syllables",1,IF(J165="trigrams",1,IF(J165="strings",1,IF(J165="visual array",1,IF(J165="characters",1,IF(J165="letters",1,IF(J165="free forms",1,IF(J165="odors",2,IF(J165="words",2,IF(J165="pictures",2,IF(J165="object pictures",2,IF(J165="faces",2,IF(J165="names",2,IF(J165="idioms","2",IF(J165="grades",2,IF(J165="syllable-digit pairs",3,IF(J165="trigram-word pairs",3,IF(J165="word-digit pairs",3,IF(J165="English-Swahili pairs",3,IF(J165="spatial position",3,IF(J165="word pairs",4,IF(J165="word triads",4,IF(J165="generated words",4,IF(J165="word definition pairs",4,IF(J165="math problems",4,IF(J165="famous faces",4,IF(J165="famous names",4,IF(J165="famous voices",4,IF(J165="television programs",4,IF(J165="race horses",4,IF(J165="new vocabulary",4,IF(J165="sentences",5,IF(J165="concepts",5,IF(J165="ad slides",5,IF(J165="scenes",5,IF(J165="famous scenes",5,IF(J165="poems",6,IF(J165="walk",6,IF(J165="faces and events",6,IF(J165="events and names",6,IF(J165="flashbulb",7,IF(J165="stories",7,IF(J165="course material",7,IF(J165="autobiographical",7,IF(J165="novels",7,IF(J165="public events",7,"99"))))))))))))))))))))))))))))))))))))))))))))))</f>
        <v>4</v>
      </c>
      <c r="M165" s="69">
        <v>0</v>
      </c>
      <c r="N165" s="69">
        <v>1</v>
      </c>
      <c r="O165" s="69">
        <v>1</v>
      </c>
      <c r="P165" s="69" t="s">
        <v>53</v>
      </c>
      <c r="Q165" s="69" t="s">
        <v>174</v>
      </c>
      <c r="R165" s="69">
        <f>IF(Q165="Free Recall",1,IF(Q165="Cued Recall",2,IF(Q165="Recognition",3,IF(Q165="Multiple Choice",4,IF(Q165="Savings",5,IF(Q165="Stem Completion",6,IF(Q165="Fragment Completion",7,IF(Q165="anagram solution",8,IF(Q165="Matching",9,IF(Q165="Problem Solving",10,"99"))))))))))</f>
        <v>1</v>
      </c>
      <c r="S165" s="69" t="s">
        <v>49</v>
      </c>
      <c r="T165" s="92" t="s">
        <v>581</v>
      </c>
      <c r="U165" s="60">
        <f>IF(T165="within",1,0)</f>
        <v>1</v>
      </c>
      <c r="V165" s="92">
        <v>35</v>
      </c>
      <c r="W165" s="69">
        <f>F165*V165</f>
        <v>630</v>
      </c>
      <c r="X165" s="69">
        <v>5</v>
      </c>
      <c r="Y165" s="87">
        <f>AV164</f>
        <v>2</v>
      </c>
      <c r="Z165" s="69" t="s">
        <v>47</v>
      </c>
      <c r="AA165" s="69">
        <v>32</v>
      </c>
      <c r="AB165" s="69" t="str">
        <f>IF(AA165&lt;60,"1",IF(AA165&lt;=43200,"2",IF(AA165&lt;=777600,"3","4")))</f>
        <v>1</v>
      </c>
      <c r="AC165" s="72">
        <f>AVERAGE(AV164:DA164)</f>
        <v>12.4</v>
      </c>
      <c r="AD165" s="69" t="str">
        <f>IF(AC165&lt;60,"1",IF(AC165&lt;=43200,"2",IF(AC165&lt;=777600,"3","4")))</f>
        <v>1</v>
      </c>
      <c r="AE165" s="87">
        <f>AA165-Y165</f>
        <v>30</v>
      </c>
      <c r="AF165" s="88">
        <f>AV165</f>
        <v>0.9</v>
      </c>
      <c r="AG165" s="72">
        <f>((AW165-AV165)+(AX165-AW165)+(AY165-AX165)+(AZ165-AY165))/4</f>
        <v>-4.3250000000000011E-2</v>
      </c>
      <c r="AH165" s="4"/>
      <c r="AI165" s="72">
        <f>RSQ(AV165:AZ165,AV164:AZ164)</f>
        <v>0.59538690704457042</v>
      </c>
      <c r="AJ165" s="110">
        <f>SLOPE(AV165:AZ165,AV164:AZ164)</f>
        <v>-5.2694892473118286E-3</v>
      </c>
      <c r="AK165" s="72">
        <f>INTERCEPT(AV165:AZ165,AV164:AZ164)</f>
        <v>0.85954166666666654</v>
      </c>
      <c r="AL165" s="72">
        <f>INDEX(LINEST(LN(AV165:AZ165),LN(AV164:AZ164),TRUE,TRUE),3,1)</f>
        <v>0.87777601243628078</v>
      </c>
      <c r="AM165" s="72">
        <f>INDEX(LINEST(LN(AV165:AZ165),LN(AV164:AZ164)),1)</f>
        <v>-8.8431452888231274E-2</v>
      </c>
      <c r="AN165" s="72">
        <f>EXP(INDEX(LINEST(LN(AV165:AZ165),LN(AV164:AZ164)),1,2))</f>
        <v>0.95041800552317168</v>
      </c>
      <c r="AO165" s="89">
        <f>INDEX(LINEST((AV165:AZ165),LN(AV164:AZ164),TRUE,TRUE),3,1)</f>
        <v>0.87557459256163817</v>
      </c>
      <c r="AP165" s="89">
        <f>INDEX(LINEST((AV165:AZ165),LN(AV164:AZ164)),1)</f>
        <v>-7.1124865515825905E-2</v>
      </c>
      <c r="AQ165" s="90">
        <f>INDEX(LINEST(LN(AV165:AZ165),SQRT(AV164:AZ164),TRUE,TRUE),3,1)</f>
        <v>0.75376033019926425</v>
      </c>
      <c r="AR165" s="117">
        <f>INDEX(LINEST(LN(AV165:AZ165),SQRT((AV164:AZ164))),1)</f>
        <v>-5.3103235938875164E-2</v>
      </c>
      <c r="AS165" s="91">
        <f>INDEX(LINEST(1/(AV165:AZ165),1/(SQRT(AV164:AZ164)),TRUE,TRUE),3,1)</f>
        <v>0.91314748885714736</v>
      </c>
      <c r="AT165" s="91">
        <f>INDEX(LINEST(1/(AV165:AZ165),1/SQRT(AV164:AZ164)),1)</f>
        <v>-0.5829151172924556</v>
      </c>
      <c r="AU165" s="3"/>
      <c r="AV165" s="73">
        <v>0.9</v>
      </c>
      <c r="AW165" s="73">
        <v>0.86599999999999999</v>
      </c>
      <c r="AX165" s="73">
        <v>0.75900000000000001</v>
      </c>
      <c r="AY165" s="73">
        <v>0.71899999999999997</v>
      </c>
      <c r="AZ165" s="73">
        <v>0.72699999999999998</v>
      </c>
      <c r="BA165" s="53"/>
      <c r="BB165" s="53"/>
      <c r="BC165" s="53"/>
      <c r="BD165" s="53"/>
      <c r="BE165" s="53"/>
      <c r="BF165" s="53"/>
      <c r="BG165" s="53"/>
      <c r="BH165" s="53"/>
      <c r="BI165" s="53"/>
      <c r="BJ165" s="53"/>
      <c r="BK165" s="53"/>
      <c r="BL165" s="53"/>
      <c r="BM165" s="53"/>
      <c r="BN165" s="53"/>
      <c r="BO165" s="53"/>
      <c r="BP165" s="53"/>
      <c r="BQ165" s="53"/>
      <c r="BR165" s="53"/>
      <c r="BS165" s="53"/>
      <c r="BT165" s="53"/>
      <c r="BU165" s="53"/>
      <c r="BV165" s="53"/>
      <c r="BW165" s="53"/>
      <c r="BX165" s="53"/>
      <c r="BY165" s="53"/>
      <c r="BZ165" s="53"/>
      <c r="CA165" s="53"/>
      <c r="CB165" s="53"/>
      <c r="CC165" s="53"/>
      <c r="CD165" s="53"/>
      <c r="CE165" s="53"/>
      <c r="CF165" s="53"/>
      <c r="CG165" s="53"/>
      <c r="CH165" s="53"/>
      <c r="CI165" s="53"/>
      <c r="CJ165" s="53"/>
      <c r="CK165" s="53"/>
      <c r="CL165" s="53"/>
      <c r="CM165" s="53"/>
      <c r="CN165" s="53"/>
      <c r="CO165" s="53"/>
      <c r="CP165" s="53"/>
      <c r="CQ165" s="53"/>
      <c r="CR165" s="1"/>
      <c r="CS165" s="1"/>
      <c r="CT165" s="1"/>
      <c r="CU165" s="1"/>
    </row>
    <row r="166" spans="1:99" s="13" customFormat="1" ht="12" customHeight="1" x14ac:dyDescent="0.2">
      <c r="A166" s="68">
        <v>43509</v>
      </c>
      <c r="B166" s="70"/>
      <c r="C166" s="70"/>
      <c r="D166" s="69"/>
      <c r="E166" s="87"/>
      <c r="F166" s="69"/>
      <c r="G166" s="69"/>
      <c r="H166" s="69"/>
      <c r="I166" s="69"/>
      <c r="J166" s="69"/>
      <c r="K166" s="107"/>
      <c r="L166" s="107"/>
      <c r="M166" s="69"/>
      <c r="N166" s="69"/>
      <c r="O166" s="69"/>
      <c r="P166" s="69"/>
      <c r="Q166" s="69"/>
      <c r="R166" s="69"/>
      <c r="S166" s="69"/>
      <c r="T166" s="92"/>
      <c r="U166" s="60"/>
      <c r="V166" s="69"/>
      <c r="W166" s="69"/>
      <c r="X166" s="69"/>
      <c r="Y166" s="87"/>
      <c r="Z166" s="69"/>
      <c r="AA166" s="69"/>
      <c r="AB166" s="69"/>
      <c r="AC166" s="69"/>
      <c r="AD166" s="69"/>
      <c r="AE166" s="69"/>
      <c r="AF166" s="88"/>
      <c r="AG166" s="72"/>
      <c r="AH166" s="4"/>
      <c r="AI166" s="72"/>
      <c r="AJ166" s="110"/>
      <c r="AK166" s="72"/>
      <c r="AL166" s="72"/>
      <c r="AM166" s="72"/>
      <c r="AN166" s="72"/>
      <c r="AO166" s="89"/>
      <c r="AP166" s="89"/>
      <c r="AQ166" s="72"/>
      <c r="AR166" s="110"/>
      <c r="AS166" s="72"/>
      <c r="AT166" s="72"/>
      <c r="AU166" s="3"/>
      <c r="AV166" s="71">
        <v>2</v>
      </c>
      <c r="AW166" s="71">
        <v>4</v>
      </c>
      <c r="AX166" s="71">
        <v>8</v>
      </c>
      <c r="AY166" s="71">
        <v>16</v>
      </c>
      <c r="AZ166" s="71">
        <v>32</v>
      </c>
      <c r="BA166" s="53"/>
      <c r="BB166" s="53"/>
      <c r="BC166" s="53"/>
      <c r="BD166" s="53"/>
      <c r="BE166" s="53"/>
      <c r="BF166" s="53"/>
      <c r="BG166" s="53"/>
      <c r="BH166" s="53"/>
      <c r="BI166" s="53"/>
      <c r="BJ166" s="53"/>
      <c r="BK166" s="53"/>
      <c r="BL166" s="53"/>
      <c r="BM166" s="53"/>
      <c r="BN166" s="53"/>
      <c r="BO166" s="53"/>
      <c r="BP166" s="53"/>
      <c r="BQ166" s="53"/>
      <c r="BR166" s="53"/>
      <c r="BS166" s="53"/>
      <c r="BT166" s="53"/>
      <c r="BU166" s="53"/>
      <c r="BV166" s="53"/>
      <c r="BW166" s="53"/>
      <c r="BX166" s="53"/>
      <c r="BY166" s="53"/>
      <c r="BZ166" s="53"/>
      <c r="CA166" s="53"/>
      <c r="CB166" s="53"/>
      <c r="CC166" s="53"/>
      <c r="CD166" s="53"/>
      <c r="CE166" s="53"/>
      <c r="CF166" s="53"/>
      <c r="CG166" s="53"/>
      <c r="CH166" s="53"/>
      <c r="CI166" s="53"/>
      <c r="CJ166" s="53"/>
      <c r="CK166" s="53"/>
      <c r="CL166" s="53"/>
      <c r="CM166" s="53"/>
      <c r="CN166" s="53"/>
      <c r="CO166" s="53"/>
      <c r="CP166" s="53"/>
      <c r="CQ166" s="53"/>
      <c r="CR166" s="1"/>
      <c r="CS166" s="1"/>
      <c r="CT166" s="1"/>
      <c r="CU166" s="1"/>
    </row>
    <row r="167" spans="1:99" s="13" customFormat="1" ht="12" customHeight="1" x14ac:dyDescent="0.2">
      <c r="A167" s="68">
        <v>43509</v>
      </c>
      <c r="B167" s="70" t="s">
        <v>258</v>
      </c>
      <c r="C167" s="70" t="s">
        <v>45</v>
      </c>
      <c r="D167" s="69">
        <v>2012</v>
      </c>
      <c r="E167" s="87">
        <v>1</v>
      </c>
      <c r="F167" s="69">
        <v>18</v>
      </c>
      <c r="G167" s="69">
        <v>18</v>
      </c>
      <c r="H167" s="69" t="s">
        <v>50</v>
      </c>
      <c r="I167" s="69" t="s">
        <v>853</v>
      </c>
      <c r="J167" s="69" t="s">
        <v>320</v>
      </c>
      <c r="K167" s="69">
        <f>IF(J167="syllables",1,IF(J167="trigrams",2,IF(J167="strings",3,IF(J167="visual array",4,IF(J167="characters",5,IF(J167="letters",6,IF(J167="free forms",7,IF(J167="odors",8,IF(J167="words",9,IF(J167="pictures",10,IF(J167="object pictures",11,IF(J167="faces",12,IF(J167="names",13,IF(J167="idioms",14,IF(J167="grades",15,IF(J167="syllable-digit pairs",16,IF(J167="trigram-word pairs",17,IF(J167="word-digit pairs",18,IF(J167="English-Swahili pairs",19,IF(J167="spatial position",20,IF(J167="word pairs",21,IF(J167="word triads",22,IF(J167="generated words",23,IF(J167="word definition pairs",24,IF(J167="math problems",25,IF(J167="famous faces",26,IF(J167="famous names",27,IF(J167="famous voices",28,IF(J167="television programs",29,IF(J167="race horses",30,IF(J167="new vocabulary",31,IF(J167="sentences",32,IF(J167="concepts",33,IF(J167="ad slides",34,IF(J167="scenes",35,IF(J167="famous scenes",36,IF(J167="poems",37,IF(J167="walk",38,IF(J167="faces and events",39,IF(J167="events and names",40,IF(J167="flashbulb",41,IF(J167="stories",42,IF(J167="course material",43,IF(J167="autobiographical",44,IF(J167="novels",45,IF(J167="public events",46,"99"))))))))))))))))))))))))))))))))))))))))))))))</f>
        <v>21</v>
      </c>
      <c r="L167" s="69">
        <f>IF(J167="syllables",1,IF(J167="trigrams",1,IF(J167="strings",1,IF(J167="visual array",1,IF(J167="characters",1,IF(J167="letters",1,IF(J167="free forms",1,IF(J167="odors",2,IF(J167="words",2,IF(J167="pictures",2,IF(J167="object pictures",2,IF(J167="faces",2,IF(J167="names",2,IF(J167="idioms","2",IF(J167="grades",2,IF(J167="syllable-digit pairs",3,IF(J167="trigram-word pairs",3,IF(J167="word-digit pairs",3,IF(J167="English-Swahili pairs",3,IF(J167="spatial position",3,IF(J167="word pairs",4,IF(J167="word triads",4,IF(J167="generated words",4,IF(J167="word definition pairs",4,IF(J167="math problems",4,IF(J167="famous faces",4,IF(J167="famous names",4,IF(J167="famous voices",4,IF(J167="television programs",4,IF(J167="race horses",4,IF(J167="new vocabulary",4,IF(J167="sentences",5,IF(J167="concepts",5,IF(J167="ad slides",5,IF(J167="scenes",5,IF(J167="famous scenes",5,IF(J167="poems",6,IF(J167="walk",6,IF(J167="faces and events",6,IF(J167="events and names",6,IF(J167="flashbulb",7,IF(J167="stories",7,IF(J167="course material",7,IF(J167="autobiographical",7,IF(J167="novels",7,IF(J167="public events",7,"99"))))))))))))))))))))))))))))))))))))))))))))))</f>
        <v>4</v>
      </c>
      <c r="M167" s="69">
        <v>0</v>
      </c>
      <c r="N167" s="69">
        <v>1</v>
      </c>
      <c r="O167" s="69">
        <v>1</v>
      </c>
      <c r="P167" s="69" t="s">
        <v>53</v>
      </c>
      <c r="Q167" s="69" t="s">
        <v>174</v>
      </c>
      <c r="R167" s="69">
        <f>IF(Q167="Free Recall",1,IF(Q167="Cued Recall",2,IF(Q167="Recognition",3,IF(Q167="Multiple Choice",4,IF(Q167="Savings",5,IF(Q167="Stem Completion",6,IF(Q167="Fragment Completion",7,IF(Q167="anagram solution",8,IF(Q167="Matching",9,IF(Q167="Problem Solving",10,"99"))))))))))</f>
        <v>1</v>
      </c>
      <c r="S167" s="69" t="s">
        <v>49</v>
      </c>
      <c r="T167" s="92" t="s">
        <v>581</v>
      </c>
      <c r="U167" s="60">
        <f>IF(T167="within",1,0)</f>
        <v>1</v>
      </c>
      <c r="V167" s="92">
        <v>35</v>
      </c>
      <c r="W167" s="69">
        <f>F167*V167</f>
        <v>630</v>
      </c>
      <c r="X167" s="69">
        <v>5</v>
      </c>
      <c r="Y167" s="87">
        <f>AV166</f>
        <v>2</v>
      </c>
      <c r="Z167" s="69" t="s">
        <v>47</v>
      </c>
      <c r="AA167" s="69">
        <v>32</v>
      </c>
      <c r="AB167" s="69" t="str">
        <f>IF(AA167&lt;60,"1",IF(AA167&lt;=43200,"2",IF(AA167&lt;=777600,"3","4")))</f>
        <v>1</v>
      </c>
      <c r="AC167" s="72">
        <f>AVERAGE(AV166:DA166)</f>
        <v>12.4</v>
      </c>
      <c r="AD167" s="69" t="str">
        <f>IF(AC167&lt;60,"1",IF(AC167&lt;=43200,"2",IF(AC167&lt;=777600,"3","4")))</f>
        <v>1</v>
      </c>
      <c r="AE167" s="87">
        <f>AA167-Y167</f>
        <v>30</v>
      </c>
      <c r="AF167" s="88">
        <f>AV167</f>
        <v>0.92800000000000005</v>
      </c>
      <c r="AG167" s="72">
        <f>((AW167-AV167)+(AX167-AW167)+(AY167-AX167)+(AZ167-AY167))/4</f>
        <v>-1.9750000000000018E-2</v>
      </c>
      <c r="AH167" s="4"/>
      <c r="AI167" s="72">
        <f>RSQ(AV167:AZ167,AV166:AZ166)</f>
        <v>5.3335967106640743E-2</v>
      </c>
      <c r="AJ167" s="110">
        <f>SLOPE(AV167:AZ167,AV166:AZ166)</f>
        <v>-8.6559139784946385E-4</v>
      </c>
      <c r="AK167" s="72">
        <f>INTERCEPT(AV167:AZ167,AV166:AZ166)</f>
        <v>0.8683333333333334</v>
      </c>
      <c r="AL167" s="72">
        <f>INDEX(LINEST(LN(AV167:AZ167),LN(AV166:AZ166),TRUE,TRUE),3,1)</f>
        <v>0.21111277518798535</v>
      </c>
      <c r="AM167" s="72">
        <f>INDEX(LINEST(LN(AV167:AZ167),LN(AV166:AZ166)),1)</f>
        <v>-2.212633693321656E-2</v>
      </c>
      <c r="AN167" s="72">
        <f>EXP(INDEX(LINEST(LN(AV167:AZ167),LN(AV166:AZ166)),1,2))</f>
        <v>0.89697386881850694</v>
      </c>
      <c r="AO167" s="89">
        <f>INDEX(LINEST((AV167:AZ167),LN(AV166:AZ166),TRUE,TRUE),3,1)</f>
        <v>0.22447734774912736</v>
      </c>
      <c r="AP167" s="89">
        <f>INDEX(LINEST((AV167:AZ167),LN(AV166:AZ166)),1)</f>
        <v>-1.9764922060178818E-2</v>
      </c>
      <c r="AQ167" s="90">
        <f>INDEX(LINEST(LN(AV167:AZ167),SQRT(AV166:AZ166),TRUE,TRUE),3,1)</f>
        <v>0.10338498146426185</v>
      </c>
      <c r="AR167" s="117">
        <f>INDEX(LINEST(LN(AV167:AZ167),SQRT((AV166:AZ166))),1)</f>
        <v>-1.0033915349410916E-2</v>
      </c>
      <c r="AS167" s="91">
        <f>INDEX(LINEST(1/(AV167:AZ167),1/(SQRT(AV166:AZ166)),TRUE,TRUE),3,1)</f>
        <v>0.34084832787525565</v>
      </c>
      <c r="AT167" s="91">
        <f>INDEX(LINEST(1/(AV167:AZ167),1/SQRT(AV166:AZ166)),1)</f>
        <v>-0.16865101417000086</v>
      </c>
      <c r="AU167" s="3"/>
      <c r="AV167" s="73">
        <v>0.92800000000000005</v>
      </c>
      <c r="AW167" s="73">
        <v>0.84399999999999997</v>
      </c>
      <c r="AX167" s="73">
        <v>0.80200000000000005</v>
      </c>
      <c r="AY167" s="73">
        <v>0.86499999999999999</v>
      </c>
      <c r="AZ167" s="73">
        <v>0.84899999999999998</v>
      </c>
      <c r="BA167" s="53"/>
      <c r="BB167" s="53"/>
      <c r="BC167" s="53"/>
      <c r="BD167" s="53"/>
      <c r="BE167" s="53"/>
      <c r="BF167" s="53"/>
      <c r="BG167" s="53"/>
      <c r="BH167" s="53"/>
      <c r="BI167" s="53"/>
      <c r="BJ167" s="53"/>
      <c r="BK167" s="53"/>
      <c r="BL167" s="53"/>
      <c r="BM167" s="53"/>
      <c r="BN167" s="53"/>
      <c r="BO167" s="53"/>
      <c r="BP167" s="53"/>
      <c r="BQ167" s="53"/>
      <c r="BR167" s="53"/>
      <c r="BS167" s="53"/>
      <c r="BT167" s="53"/>
      <c r="BU167" s="53"/>
      <c r="BV167" s="53"/>
      <c r="BW167" s="53"/>
      <c r="BX167" s="53"/>
      <c r="BY167" s="53"/>
      <c r="BZ167" s="53"/>
      <c r="CA167" s="53"/>
      <c r="CB167" s="53"/>
      <c r="CC167" s="53"/>
      <c r="CD167" s="53"/>
      <c r="CE167" s="53"/>
      <c r="CF167" s="53"/>
      <c r="CG167" s="53"/>
      <c r="CH167" s="53"/>
      <c r="CI167" s="53"/>
      <c r="CJ167" s="53"/>
      <c r="CK167" s="53"/>
      <c r="CL167" s="53"/>
      <c r="CM167" s="53"/>
      <c r="CN167" s="53"/>
      <c r="CO167" s="53"/>
      <c r="CP167" s="53"/>
      <c r="CQ167" s="53"/>
      <c r="CR167" s="1"/>
      <c r="CS167" s="1"/>
      <c r="CT167" s="1"/>
      <c r="CU167" s="1"/>
    </row>
    <row r="168" spans="1:99" s="13" customFormat="1" ht="12" customHeight="1" x14ac:dyDescent="0.2">
      <c r="A168" s="68">
        <v>43509</v>
      </c>
      <c r="B168" s="70"/>
      <c r="C168" s="70"/>
      <c r="D168" s="69"/>
      <c r="E168" s="87"/>
      <c r="F168" s="69"/>
      <c r="G168" s="69"/>
      <c r="H168" s="69"/>
      <c r="I168" s="69"/>
      <c r="J168" s="69"/>
      <c r="K168" s="107"/>
      <c r="L168" s="107"/>
      <c r="M168" s="69"/>
      <c r="N168" s="69"/>
      <c r="O168" s="69"/>
      <c r="P168" s="69"/>
      <c r="Q168" s="69"/>
      <c r="R168" s="69"/>
      <c r="S168" s="69"/>
      <c r="T168" s="92"/>
      <c r="U168" s="60"/>
      <c r="V168" s="69"/>
      <c r="W168" s="69"/>
      <c r="X168" s="69"/>
      <c r="Y168" s="87"/>
      <c r="Z168" s="69"/>
      <c r="AA168" s="69"/>
      <c r="AB168" s="69"/>
      <c r="AC168" s="69"/>
      <c r="AD168" s="69"/>
      <c r="AE168" s="69"/>
      <c r="AF168" s="88"/>
      <c r="AG168" s="72"/>
      <c r="AH168" s="4"/>
      <c r="AI168" s="72"/>
      <c r="AJ168" s="110"/>
      <c r="AK168" s="72"/>
      <c r="AL168" s="72"/>
      <c r="AM168" s="72"/>
      <c r="AN168" s="72"/>
      <c r="AO168" s="89"/>
      <c r="AP168" s="89"/>
      <c r="AQ168" s="72"/>
      <c r="AR168" s="110"/>
      <c r="AS168" s="72"/>
      <c r="AT168" s="72"/>
      <c r="AU168" s="3"/>
      <c r="AV168" s="71">
        <v>2</v>
      </c>
      <c r="AW168" s="71">
        <v>4</v>
      </c>
      <c r="AX168" s="71">
        <v>8</v>
      </c>
      <c r="AY168" s="71">
        <v>16</v>
      </c>
      <c r="AZ168" s="71">
        <v>32</v>
      </c>
      <c r="BA168" s="53"/>
      <c r="BB168" s="53"/>
      <c r="BC168" s="53"/>
      <c r="BD168" s="53"/>
      <c r="BE168" s="53"/>
      <c r="BF168" s="53"/>
      <c r="BG168" s="53"/>
      <c r="BH168" s="53"/>
      <c r="BI168" s="53"/>
      <c r="BJ168" s="53"/>
      <c r="BK168" s="53"/>
      <c r="BL168" s="53"/>
      <c r="BM168" s="53"/>
      <c r="BN168" s="53"/>
      <c r="BO168" s="53"/>
      <c r="BP168" s="53"/>
      <c r="BQ168" s="53"/>
      <c r="BR168" s="53"/>
      <c r="BS168" s="53"/>
      <c r="BT168" s="53"/>
      <c r="BU168" s="53"/>
      <c r="BV168" s="53"/>
      <c r="BW168" s="53"/>
      <c r="BX168" s="53"/>
      <c r="BY168" s="53"/>
      <c r="BZ168" s="53"/>
      <c r="CA168" s="53"/>
      <c r="CB168" s="53"/>
      <c r="CC168" s="53"/>
      <c r="CD168" s="53"/>
      <c r="CE168" s="53"/>
      <c r="CF168" s="53"/>
      <c r="CG168" s="53"/>
      <c r="CH168" s="53"/>
      <c r="CI168" s="53"/>
      <c r="CJ168" s="53"/>
      <c r="CK168" s="53"/>
      <c r="CL168" s="53"/>
      <c r="CM168" s="53"/>
      <c r="CN168" s="53"/>
      <c r="CO168" s="53"/>
      <c r="CP168" s="53"/>
      <c r="CQ168" s="53"/>
      <c r="CR168" s="1"/>
      <c r="CS168" s="1"/>
      <c r="CT168" s="1"/>
      <c r="CU168" s="1"/>
    </row>
    <row r="169" spans="1:99" s="13" customFormat="1" ht="12" customHeight="1" x14ac:dyDescent="0.2">
      <c r="A169" s="68">
        <v>43509</v>
      </c>
      <c r="B169" s="70" t="s">
        <v>258</v>
      </c>
      <c r="C169" s="70" t="s">
        <v>45</v>
      </c>
      <c r="D169" s="69">
        <v>2012</v>
      </c>
      <c r="E169" s="87">
        <v>2</v>
      </c>
      <c r="F169" s="69">
        <v>15</v>
      </c>
      <c r="G169" s="69">
        <v>15</v>
      </c>
      <c r="H169" s="69" t="s">
        <v>41</v>
      </c>
      <c r="I169" s="69" t="s">
        <v>851</v>
      </c>
      <c r="J169" s="69" t="s">
        <v>320</v>
      </c>
      <c r="K169" s="69">
        <f>IF(J169="syllables",1,IF(J169="trigrams",2,IF(J169="strings",3,IF(J169="visual array",4,IF(J169="characters",5,IF(J169="letters",6,IF(J169="free forms",7,IF(J169="odors",8,IF(J169="words",9,IF(J169="pictures",10,IF(J169="object pictures",11,IF(J169="faces",12,IF(J169="names",13,IF(J169="idioms",14,IF(J169="grades",15,IF(J169="syllable-digit pairs",16,IF(J169="trigram-word pairs",17,IF(J169="word-digit pairs",18,IF(J169="English-Swahili pairs",19,IF(J169="spatial position",20,IF(J169="word pairs",21,IF(J169="word triads",22,IF(J169="generated words",23,IF(J169="word definition pairs",24,IF(J169="math problems",25,IF(J169="famous faces",26,IF(J169="famous names",27,IF(J169="famous voices",28,IF(J169="television programs",29,IF(J169="race horses",30,IF(J169="new vocabulary",31,IF(J169="sentences",32,IF(J169="concepts",33,IF(J169="ad slides",34,IF(J169="scenes",35,IF(J169="famous scenes",36,IF(J169="poems",37,IF(J169="walk",38,IF(J169="faces and events",39,IF(J169="events and names",40,IF(J169="flashbulb",41,IF(J169="stories",42,IF(J169="course material",43,IF(J169="autobiographical",44,IF(J169="novels",45,IF(J169="public events",46,"99"))))))))))))))))))))))))))))))))))))))))))))))</f>
        <v>21</v>
      </c>
      <c r="L169" s="69">
        <f>IF(J169="syllables",1,IF(J169="trigrams",1,IF(J169="strings",1,IF(J169="visual array",1,IF(J169="characters",1,IF(J169="letters",1,IF(J169="free forms",1,IF(J169="odors",2,IF(J169="words",2,IF(J169="pictures",2,IF(J169="object pictures",2,IF(J169="faces",2,IF(J169="names",2,IF(J169="idioms","2",IF(J169="grades",2,IF(J169="syllable-digit pairs",3,IF(J169="trigram-word pairs",3,IF(J169="word-digit pairs",3,IF(J169="English-Swahili pairs",3,IF(J169="spatial position",3,IF(J169="word pairs",4,IF(J169="word triads",4,IF(J169="generated words",4,IF(J169="word definition pairs",4,IF(J169="math problems",4,IF(J169="famous faces",4,IF(J169="famous names",4,IF(J169="famous voices",4,IF(J169="television programs",4,IF(J169="race horses",4,IF(J169="new vocabulary",4,IF(J169="sentences",5,IF(J169="concepts",5,IF(J169="ad slides",5,IF(J169="scenes",5,IF(J169="famous scenes",5,IF(J169="poems",6,IF(J169="walk",6,IF(J169="faces and events",6,IF(J169="events and names",6,IF(J169="flashbulb",7,IF(J169="stories",7,IF(J169="course material",7,IF(J169="autobiographical",7,IF(J169="novels",7,IF(J169="public events",7,"99"))))))))))))))))))))))))))))))))))))))))))))))</f>
        <v>4</v>
      </c>
      <c r="M169" s="69">
        <v>0</v>
      </c>
      <c r="N169" s="69">
        <v>1</v>
      </c>
      <c r="O169" s="69">
        <v>1</v>
      </c>
      <c r="P169" s="69" t="s">
        <v>53</v>
      </c>
      <c r="Q169" s="69" t="s">
        <v>174</v>
      </c>
      <c r="R169" s="69">
        <f>IF(Q169="Free Recall",1,IF(Q169="Cued Recall",2,IF(Q169="Recognition",3,IF(Q169="Multiple Choice",4,IF(Q169="Savings",5,IF(Q169="Stem Completion",6,IF(Q169="Fragment Completion",7,IF(Q169="anagram solution",8,IF(Q169="Matching",9,IF(Q169="Problem Solving",10,"99"))))))))))</f>
        <v>1</v>
      </c>
      <c r="S169" s="69" t="s">
        <v>49</v>
      </c>
      <c r="T169" s="92" t="s">
        <v>581</v>
      </c>
      <c r="U169" s="60">
        <f>IF(T169="within",1,0)</f>
        <v>1</v>
      </c>
      <c r="V169" s="92">
        <v>25</v>
      </c>
      <c r="W169" s="69">
        <f>F169*V169</f>
        <v>375</v>
      </c>
      <c r="X169" s="69">
        <v>5</v>
      </c>
      <c r="Y169" s="87">
        <f>AV168</f>
        <v>2</v>
      </c>
      <c r="Z169" s="69" t="s">
        <v>47</v>
      </c>
      <c r="AA169" s="69">
        <v>32</v>
      </c>
      <c r="AB169" s="69" t="str">
        <f>IF(AA169&lt;60,"1",IF(AA169&lt;=43200,"2",IF(AA169&lt;=777600,"3","4")))</f>
        <v>1</v>
      </c>
      <c r="AC169" s="72">
        <f>AVERAGE(AV168:DA168)</f>
        <v>12.4</v>
      </c>
      <c r="AD169" s="69" t="str">
        <f>IF(AC169&lt;60,"1",IF(AC169&lt;=43200,"2",IF(AC169&lt;=777600,"3","4")))</f>
        <v>1</v>
      </c>
      <c r="AE169" s="87">
        <f>AA169-Y169</f>
        <v>30</v>
      </c>
      <c r="AF169" s="88">
        <f>AV169</f>
        <v>0.98699999999999999</v>
      </c>
      <c r="AG169" s="72">
        <f>((AW169-AV169)+(AX169-AW169)+(AY169-AX169)+(AZ169-AY169))/4</f>
        <v>-4.8499999999999988E-2</v>
      </c>
      <c r="AH169" s="4"/>
      <c r="AI169" s="72">
        <f>RSQ(AV169:AZ169,AV168:AZ168)</f>
        <v>0.91026494318411377</v>
      </c>
      <c r="AJ169" s="110">
        <f>SLOPE(AV169:AZ169,AV168:AZ168)</f>
        <v>-5.6626344086021458E-3</v>
      </c>
      <c r="AK169" s="72">
        <f>INTERCEPT(AV169:AZ169,AV168:AZ168)</f>
        <v>0.97641666666666649</v>
      </c>
      <c r="AL169" s="72">
        <f>INDEX(LINEST(LN(AV169:AZ169),LN(AV168:AZ168),TRUE,TRUE),3,1)</f>
        <v>0.86168905295690901</v>
      </c>
      <c r="AM169" s="72">
        <f>INDEX(LINEST(LN(AV169:AZ169),LN(AV168:AZ168)),1)</f>
        <v>-6.953808288736657E-2</v>
      </c>
      <c r="AN169" s="72">
        <f>EXP(INDEX(LINEST(LN(AV169:AZ169),LN(AV168:AZ168)),1,2))</f>
        <v>1.0444163438272194</v>
      </c>
      <c r="AO169" s="89">
        <f>INDEX(LINEST((AV169:AZ169),LN(AV168:AZ168),TRUE,TRUE),3,1)</f>
        <v>0.87777343228341942</v>
      </c>
      <c r="AP169" s="89">
        <f>INDEX(LINEST((AV169:AZ169),LN(AV168:AZ168)),1)</f>
        <v>-6.1891617254136506E-2</v>
      </c>
      <c r="AQ169" s="90">
        <f>INDEX(LINEST(LN(AV169:AZ169),SQRT(AV168:AZ168),TRUE,TRUE),3,1)</f>
        <v>0.91306496696661821</v>
      </c>
      <c r="AR169" s="117">
        <f>INDEX(LINEST(LN(AV169:AZ169),SQRT((AV168:AZ168))),1)</f>
        <v>-4.6386083680885398E-2</v>
      </c>
      <c r="AS169" s="91">
        <f>INDEX(LINEST(1/(AV169:AZ169),1/(SQRT(AV168:AZ168)),TRUE,TRUE),3,1)</f>
        <v>0.73977868566970395</v>
      </c>
      <c r="AT169" s="91">
        <f>INDEX(LINEST(1/(AV169:AZ169),1/SQRT(AV168:AZ168)),1)</f>
        <v>-0.38064171599865965</v>
      </c>
      <c r="AU169" s="3"/>
      <c r="AV169" s="73">
        <v>0.98699999999999999</v>
      </c>
      <c r="AW169" s="73">
        <v>0.94599999999999995</v>
      </c>
      <c r="AX169" s="73">
        <v>0.9</v>
      </c>
      <c r="AY169" s="73">
        <v>0.90500000000000003</v>
      </c>
      <c r="AZ169" s="73">
        <v>0.79300000000000004</v>
      </c>
      <c r="BA169" s="53"/>
      <c r="BB169" s="53"/>
      <c r="BC169" s="53"/>
      <c r="BD169" s="53"/>
      <c r="BE169" s="53"/>
      <c r="BF169" s="53"/>
      <c r="BG169" s="53"/>
      <c r="BH169" s="53"/>
      <c r="BI169" s="53"/>
      <c r="BJ169" s="53"/>
      <c r="BK169" s="53"/>
      <c r="BL169" s="53"/>
      <c r="BM169" s="53"/>
      <c r="BN169" s="53"/>
      <c r="BO169" s="53"/>
      <c r="BP169" s="53"/>
      <c r="BQ169" s="53"/>
      <c r="BR169" s="53"/>
      <c r="BS169" s="53"/>
      <c r="BT169" s="53"/>
      <c r="BU169" s="53"/>
      <c r="BV169" s="53"/>
      <c r="BW169" s="53"/>
      <c r="BX169" s="53"/>
      <c r="BY169" s="53"/>
      <c r="BZ169" s="53"/>
      <c r="CA169" s="53"/>
      <c r="CB169" s="53"/>
      <c r="CC169" s="53"/>
      <c r="CD169" s="53"/>
      <c r="CE169" s="53"/>
      <c r="CF169" s="53"/>
      <c r="CG169" s="53"/>
      <c r="CH169" s="53"/>
      <c r="CI169" s="53"/>
      <c r="CJ169" s="53"/>
      <c r="CK169" s="53"/>
      <c r="CL169" s="53"/>
      <c r="CM169" s="53"/>
      <c r="CN169" s="53"/>
      <c r="CO169" s="53"/>
      <c r="CP169" s="53"/>
      <c r="CQ169" s="53"/>
      <c r="CR169" s="1"/>
      <c r="CS169" s="1"/>
      <c r="CT169" s="1"/>
      <c r="CU169" s="1"/>
    </row>
    <row r="170" spans="1:99" s="13" customFormat="1" ht="12" customHeight="1" x14ac:dyDescent="0.2">
      <c r="A170" s="68">
        <v>43509</v>
      </c>
      <c r="B170" s="70"/>
      <c r="C170" s="70"/>
      <c r="D170" s="69"/>
      <c r="E170" s="87"/>
      <c r="F170" s="69"/>
      <c r="G170" s="69"/>
      <c r="H170" s="69"/>
      <c r="I170" s="69"/>
      <c r="J170" s="69"/>
      <c r="K170" s="107"/>
      <c r="L170" s="107"/>
      <c r="M170" s="69"/>
      <c r="N170" s="69"/>
      <c r="O170" s="69"/>
      <c r="P170" s="69"/>
      <c r="Q170" s="69"/>
      <c r="R170" s="69"/>
      <c r="S170" s="69"/>
      <c r="T170" s="92"/>
      <c r="U170" s="60"/>
      <c r="V170" s="69"/>
      <c r="W170" s="69"/>
      <c r="X170" s="69"/>
      <c r="Y170" s="87"/>
      <c r="Z170" s="69"/>
      <c r="AA170" s="69"/>
      <c r="AB170" s="69"/>
      <c r="AC170" s="69"/>
      <c r="AD170" s="69"/>
      <c r="AE170" s="69"/>
      <c r="AF170" s="88"/>
      <c r="AG170" s="72"/>
      <c r="AH170" s="4"/>
      <c r="AI170" s="72"/>
      <c r="AJ170" s="110"/>
      <c r="AK170" s="72"/>
      <c r="AL170" s="72"/>
      <c r="AM170" s="72"/>
      <c r="AN170" s="72"/>
      <c r="AO170" s="89"/>
      <c r="AP170" s="89"/>
      <c r="AQ170" s="72"/>
      <c r="AR170" s="110"/>
      <c r="AS170" s="72"/>
      <c r="AT170" s="72"/>
      <c r="AU170" s="3"/>
      <c r="AV170" s="71">
        <v>2</v>
      </c>
      <c r="AW170" s="71">
        <v>4</v>
      </c>
      <c r="AX170" s="71">
        <v>8</v>
      </c>
      <c r="AY170" s="71">
        <v>16</v>
      </c>
      <c r="AZ170" s="71">
        <v>32</v>
      </c>
      <c r="BA170" s="53"/>
      <c r="BB170" s="53"/>
      <c r="BC170" s="53"/>
      <c r="BD170" s="53"/>
      <c r="BE170" s="53"/>
      <c r="BF170" s="53"/>
      <c r="BG170" s="53"/>
      <c r="BH170" s="53"/>
      <c r="BI170" s="53"/>
      <c r="BJ170" s="53"/>
      <c r="BK170" s="53"/>
      <c r="BL170" s="53"/>
      <c r="BM170" s="53"/>
      <c r="BN170" s="53"/>
      <c r="BO170" s="53"/>
      <c r="BP170" s="53"/>
      <c r="BQ170" s="53"/>
      <c r="BR170" s="53"/>
      <c r="BS170" s="53"/>
      <c r="BT170" s="53"/>
      <c r="BU170" s="53"/>
      <c r="BV170" s="53"/>
      <c r="BW170" s="53"/>
      <c r="BX170" s="53"/>
      <c r="BY170" s="53"/>
      <c r="BZ170" s="53"/>
      <c r="CA170" s="53"/>
      <c r="CB170" s="53"/>
      <c r="CC170" s="53"/>
      <c r="CD170" s="53"/>
      <c r="CE170" s="53"/>
      <c r="CF170" s="53"/>
      <c r="CG170" s="53"/>
      <c r="CH170" s="53"/>
      <c r="CI170" s="53"/>
      <c r="CJ170" s="53"/>
      <c r="CK170" s="53"/>
      <c r="CL170" s="53"/>
      <c r="CM170" s="53"/>
      <c r="CN170" s="53"/>
      <c r="CO170" s="53"/>
      <c r="CP170" s="53"/>
      <c r="CQ170" s="53"/>
      <c r="CR170" s="1"/>
      <c r="CS170" s="1"/>
      <c r="CT170" s="1"/>
      <c r="CU170" s="1"/>
    </row>
    <row r="171" spans="1:99" s="13" customFormat="1" ht="12" customHeight="1" x14ac:dyDescent="0.2">
      <c r="A171" s="68">
        <v>43509</v>
      </c>
      <c r="B171" s="70" t="s">
        <v>258</v>
      </c>
      <c r="C171" s="70" t="s">
        <v>45</v>
      </c>
      <c r="D171" s="69">
        <v>2012</v>
      </c>
      <c r="E171" s="87">
        <v>2</v>
      </c>
      <c r="F171" s="69">
        <v>15</v>
      </c>
      <c r="G171" s="69">
        <v>15</v>
      </c>
      <c r="H171" s="69" t="s">
        <v>41</v>
      </c>
      <c r="I171" s="69" t="s">
        <v>852</v>
      </c>
      <c r="J171" s="69" t="s">
        <v>320</v>
      </c>
      <c r="K171" s="69">
        <f>IF(J171="syllables",1,IF(J171="trigrams",2,IF(J171="strings",3,IF(J171="visual array",4,IF(J171="characters",5,IF(J171="letters",6,IF(J171="free forms",7,IF(J171="odors",8,IF(J171="words",9,IF(J171="pictures",10,IF(J171="object pictures",11,IF(J171="faces",12,IF(J171="names",13,IF(J171="idioms",14,IF(J171="grades",15,IF(J171="syllable-digit pairs",16,IF(J171="trigram-word pairs",17,IF(J171="word-digit pairs",18,IF(J171="English-Swahili pairs",19,IF(J171="spatial position",20,IF(J171="word pairs",21,IF(J171="word triads",22,IF(J171="generated words",23,IF(J171="word definition pairs",24,IF(J171="math problems",25,IF(J171="famous faces",26,IF(J171="famous names",27,IF(J171="famous voices",28,IF(J171="television programs",29,IF(J171="race horses",30,IF(J171="new vocabulary",31,IF(J171="sentences",32,IF(J171="concepts",33,IF(J171="ad slides",34,IF(J171="scenes",35,IF(J171="famous scenes",36,IF(J171="poems",37,IF(J171="walk",38,IF(J171="faces and events",39,IF(J171="events and names",40,IF(J171="flashbulb",41,IF(J171="stories",42,IF(J171="course material",43,IF(J171="autobiographical",44,IF(J171="novels",45,IF(J171="public events",46,"99"))))))))))))))))))))))))))))))))))))))))))))))</f>
        <v>21</v>
      </c>
      <c r="L171" s="69">
        <f>IF(J171="syllables",1,IF(J171="trigrams",1,IF(J171="strings",1,IF(J171="visual array",1,IF(J171="characters",1,IF(J171="letters",1,IF(J171="free forms",1,IF(J171="odors",2,IF(J171="words",2,IF(J171="pictures",2,IF(J171="object pictures",2,IF(J171="faces",2,IF(J171="names",2,IF(J171="idioms","2",IF(J171="grades",2,IF(J171="syllable-digit pairs",3,IF(J171="trigram-word pairs",3,IF(J171="word-digit pairs",3,IF(J171="English-Swahili pairs",3,IF(J171="spatial position",3,IF(J171="word pairs",4,IF(J171="word triads",4,IF(J171="generated words",4,IF(J171="word definition pairs",4,IF(J171="math problems",4,IF(J171="famous faces",4,IF(J171="famous names",4,IF(J171="famous voices",4,IF(J171="television programs",4,IF(J171="race horses",4,IF(J171="new vocabulary",4,IF(J171="sentences",5,IF(J171="concepts",5,IF(J171="ad slides",5,IF(J171="scenes",5,IF(J171="famous scenes",5,IF(J171="poems",6,IF(J171="walk",6,IF(J171="faces and events",6,IF(J171="events and names",6,IF(J171="flashbulb",7,IF(J171="stories",7,IF(J171="course material",7,IF(J171="autobiographical",7,IF(J171="novels",7,IF(J171="public events",7,"99"))))))))))))))))))))))))))))))))))))))))))))))</f>
        <v>4</v>
      </c>
      <c r="M171" s="69">
        <v>0</v>
      </c>
      <c r="N171" s="69">
        <v>1</v>
      </c>
      <c r="O171" s="69">
        <v>1</v>
      </c>
      <c r="P171" s="69" t="s">
        <v>53</v>
      </c>
      <c r="Q171" s="69" t="s">
        <v>174</v>
      </c>
      <c r="R171" s="69">
        <f>IF(Q171="Free Recall",1,IF(Q171="Cued Recall",2,IF(Q171="Recognition",3,IF(Q171="Multiple Choice",4,IF(Q171="Savings",5,IF(Q171="Stem Completion",6,IF(Q171="Fragment Completion",7,IF(Q171="anagram solution",8,IF(Q171="Matching",9,IF(Q171="Problem Solving",10,"99"))))))))))</f>
        <v>1</v>
      </c>
      <c r="S171" s="69" t="s">
        <v>49</v>
      </c>
      <c r="T171" s="92" t="s">
        <v>581</v>
      </c>
      <c r="U171" s="60">
        <f>IF(T171="within",1,0)</f>
        <v>1</v>
      </c>
      <c r="V171" s="92">
        <v>25</v>
      </c>
      <c r="W171" s="69">
        <f>F171*V171</f>
        <v>375</v>
      </c>
      <c r="X171" s="69">
        <v>5</v>
      </c>
      <c r="Y171" s="87">
        <f>AV170</f>
        <v>2</v>
      </c>
      <c r="Z171" s="69" t="s">
        <v>47</v>
      </c>
      <c r="AA171" s="69">
        <v>32</v>
      </c>
      <c r="AB171" s="69" t="str">
        <f>IF(AA171&lt;60,"1",IF(AA171&lt;=43200,"2",IF(AA171&lt;=777600,"3","4")))</f>
        <v>1</v>
      </c>
      <c r="AC171" s="72">
        <f>AVERAGE(AV170:DA170)</f>
        <v>12.4</v>
      </c>
      <c r="AD171" s="69" t="str">
        <f>IF(AC171&lt;60,"1",IF(AC171&lt;=43200,"2",IF(AC171&lt;=777600,"3","4")))</f>
        <v>1</v>
      </c>
      <c r="AE171" s="87">
        <f>AA171-Y171</f>
        <v>30</v>
      </c>
      <c r="AF171" s="88">
        <f>AV171</f>
        <v>0.93200000000000005</v>
      </c>
      <c r="AG171" s="72">
        <f>((AW171-AV171)+(AX171-AW171)+(AY171-AX171)+(AZ171-AY171))/4</f>
        <v>-0.12150000000000001</v>
      </c>
      <c r="AH171" s="4"/>
      <c r="AI171" s="72">
        <f>RSQ(AV171:AZ171,AV170:AZ170)</f>
        <v>0.95669360385920443</v>
      </c>
      <c r="AJ171" s="110">
        <f>SLOPE(AV171:AZ171,AV170:AZ170)</f>
        <v>-1.4799731182795697E-2</v>
      </c>
      <c r="AK171" s="72">
        <f>INTERCEPT(AV171:AZ171,AV170:AZ170)</f>
        <v>0.91391666666666671</v>
      </c>
      <c r="AL171" s="72">
        <f>INDEX(LINEST(LN(AV171:AZ171),LN(AV170:AZ170),TRUE,TRUE),3,1)</f>
        <v>0.86960676723795605</v>
      </c>
      <c r="AM171" s="72">
        <f>INDEX(LINEST(LN(AV171:AZ171),LN(AV170:AZ170)),1)</f>
        <v>-0.24168381202492392</v>
      </c>
      <c r="AN171" s="72">
        <f>EXP(INDEX(LINEST(LN(AV171:AZ171),LN(AV170:AZ170)),1,2))</f>
        <v>1.1719001463677468</v>
      </c>
      <c r="AO171" s="89">
        <f>INDEX(LINEST((AV171:AZ171),LN(AV170:AZ170),TRUE,TRUE),3,1)</f>
        <v>0.93042008025291134</v>
      </c>
      <c r="AP171" s="89">
        <f>INDEX(LINEST((AV171:AZ171),LN(AV170:AZ170)),1)</f>
        <v>-0.16244746160409729</v>
      </c>
      <c r="AQ171" s="90">
        <f>INDEX(LINEST(LN(AV171:AZ171),SQRT(AV170:AZ170),TRUE,TRUE),3,1)</f>
        <v>0.95039162861083804</v>
      </c>
      <c r="AR171" s="117">
        <f>INDEX(LINEST(LN(AV171:AZ171),SQRT((AV170:AZ170))),1)</f>
        <v>-0.16372946765699081</v>
      </c>
      <c r="AS171" s="91">
        <f>INDEX(LINEST(1/(AV171:AZ171),1/(SQRT(AV170:AZ170)),TRUE,TRUE),3,1)</f>
        <v>0.65073060227147395</v>
      </c>
      <c r="AT171" s="91">
        <f>INDEX(LINEST(1/(AV171:AZ171),1/SQRT(AV170:AZ170)),1)</f>
        <v>-1.7582038200694603</v>
      </c>
      <c r="AU171" s="3"/>
      <c r="AV171" s="73">
        <v>0.93200000000000005</v>
      </c>
      <c r="AW171" s="73">
        <v>0.84499999999999997</v>
      </c>
      <c r="AX171" s="73">
        <v>0.73799999999999999</v>
      </c>
      <c r="AY171" s="73">
        <v>0.69099999999999995</v>
      </c>
      <c r="AZ171" s="73">
        <v>0.44600000000000001</v>
      </c>
      <c r="BA171" s="53"/>
      <c r="BB171" s="53"/>
      <c r="BC171" s="53"/>
      <c r="BD171" s="53"/>
      <c r="BE171" s="53"/>
      <c r="BF171" s="53"/>
      <c r="BG171" s="53"/>
      <c r="BH171" s="53"/>
      <c r="BI171" s="53"/>
      <c r="BJ171" s="53"/>
      <c r="BK171" s="53"/>
      <c r="BL171" s="53"/>
      <c r="BM171" s="53"/>
      <c r="BN171" s="53"/>
      <c r="BO171" s="53"/>
      <c r="BP171" s="53"/>
      <c r="BQ171" s="53"/>
      <c r="BR171" s="53"/>
      <c r="BS171" s="53"/>
      <c r="BT171" s="53"/>
      <c r="BU171" s="53"/>
      <c r="BV171" s="53"/>
      <c r="BW171" s="53"/>
      <c r="BX171" s="53"/>
      <c r="BY171" s="53"/>
      <c r="BZ171" s="53"/>
      <c r="CA171" s="53"/>
      <c r="CB171" s="53"/>
      <c r="CC171" s="53"/>
      <c r="CD171" s="53"/>
      <c r="CE171" s="53"/>
      <c r="CF171" s="53"/>
      <c r="CG171" s="53"/>
      <c r="CH171" s="53"/>
      <c r="CI171" s="53"/>
      <c r="CJ171" s="53"/>
      <c r="CK171" s="53"/>
      <c r="CL171" s="53"/>
      <c r="CM171" s="53"/>
      <c r="CN171" s="53"/>
      <c r="CO171" s="53"/>
      <c r="CP171" s="53"/>
      <c r="CQ171" s="53"/>
      <c r="CR171" s="1"/>
      <c r="CS171" s="1"/>
      <c r="CT171" s="1"/>
      <c r="CU171" s="1"/>
    </row>
    <row r="172" spans="1:99" s="13" customFormat="1" ht="12" customHeight="1" x14ac:dyDescent="0.2">
      <c r="A172" s="68">
        <v>43509</v>
      </c>
      <c r="B172" s="70"/>
      <c r="C172" s="70"/>
      <c r="D172" s="69"/>
      <c r="E172" s="87"/>
      <c r="F172" s="69"/>
      <c r="G172" s="69"/>
      <c r="H172" s="69"/>
      <c r="I172" s="69"/>
      <c r="J172" s="69"/>
      <c r="K172" s="107"/>
      <c r="L172" s="107"/>
      <c r="M172" s="69"/>
      <c r="N172" s="69"/>
      <c r="O172" s="69"/>
      <c r="P172" s="69"/>
      <c r="Q172" s="69"/>
      <c r="R172" s="69"/>
      <c r="S172" s="69"/>
      <c r="T172" s="92"/>
      <c r="U172" s="60"/>
      <c r="V172" s="69"/>
      <c r="W172" s="69"/>
      <c r="X172" s="69"/>
      <c r="Y172" s="87"/>
      <c r="Z172" s="69"/>
      <c r="AA172" s="69"/>
      <c r="AB172" s="69"/>
      <c r="AC172" s="69"/>
      <c r="AD172" s="69"/>
      <c r="AE172" s="69"/>
      <c r="AF172" s="88"/>
      <c r="AG172" s="72"/>
      <c r="AH172" s="4"/>
      <c r="AI172" s="72"/>
      <c r="AJ172" s="110"/>
      <c r="AK172" s="72"/>
      <c r="AL172" s="72"/>
      <c r="AM172" s="72"/>
      <c r="AN172" s="72"/>
      <c r="AO172" s="89"/>
      <c r="AP172" s="89"/>
      <c r="AQ172" s="72"/>
      <c r="AR172" s="110"/>
      <c r="AS172" s="72"/>
      <c r="AT172" s="72"/>
      <c r="AU172" s="3"/>
      <c r="AV172" s="71">
        <v>2</v>
      </c>
      <c r="AW172" s="71">
        <v>4</v>
      </c>
      <c r="AX172" s="71">
        <v>8</v>
      </c>
      <c r="AY172" s="71">
        <v>16</v>
      </c>
      <c r="AZ172" s="71">
        <v>32</v>
      </c>
      <c r="BA172" s="53"/>
      <c r="BB172" s="53"/>
      <c r="BC172" s="53"/>
      <c r="BD172" s="53"/>
      <c r="BE172" s="53"/>
      <c r="BF172" s="53"/>
      <c r="BG172" s="53"/>
      <c r="BH172" s="53"/>
      <c r="BI172" s="53"/>
      <c r="BJ172" s="53"/>
      <c r="BK172" s="53"/>
      <c r="BL172" s="53"/>
      <c r="BM172" s="53"/>
      <c r="BN172" s="53"/>
      <c r="BO172" s="53"/>
      <c r="BP172" s="53"/>
      <c r="BQ172" s="53"/>
      <c r="BR172" s="53"/>
      <c r="BS172" s="53"/>
      <c r="BT172" s="53"/>
      <c r="BU172" s="53"/>
      <c r="BV172" s="53"/>
      <c r="BW172" s="53"/>
      <c r="BX172" s="53"/>
      <c r="BY172" s="53"/>
      <c r="BZ172" s="53"/>
      <c r="CA172" s="53"/>
      <c r="CB172" s="53"/>
      <c r="CC172" s="53"/>
      <c r="CD172" s="53"/>
      <c r="CE172" s="53"/>
      <c r="CF172" s="53"/>
      <c r="CG172" s="53"/>
      <c r="CH172" s="53"/>
      <c r="CI172" s="53"/>
      <c r="CJ172" s="53"/>
      <c r="CK172" s="53"/>
      <c r="CL172" s="53"/>
      <c r="CM172" s="53"/>
      <c r="CN172" s="53"/>
      <c r="CO172" s="53"/>
      <c r="CP172" s="53"/>
      <c r="CQ172" s="53"/>
      <c r="CR172" s="1"/>
      <c r="CS172" s="1"/>
      <c r="CT172" s="1"/>
      <c r="CU172" s="1"/>
    </row>
    <row r="173" spans="1:99" s="13" customFormat="1" ht="12" customHeight="1" x14ac:dyDescent="0.2">
      <c r="A173" s="68">
        <v>43509</v>
      </c>
      <c r="B173" s="70" t="s">
        <v>258</v>
      </c>
      <c r="C173" s="70" t="s">
        <v>45</v>
      </c>
      <c r="D173" s="69">
        <v>2012</v>
      </c>
      <c r="E173" s="87">
        <v>2</v>
      </c>
      <c r="F173" s="69">
        <v>15</v>
      </c>
      <c r="G173" s="69">
        <v>15</v>
      </c>
      <c r="H173" s="69" t="s">
        <v>41</v>
      </c>
      <c r="I173" s="69" t="s">
        <v>854</v>
      </c>
      <c r="J173" s="69" t="s">
        <v>320</v>
      </c>
      <c r="K173" s="69">
        <f>IF(J173="syllables",1,IF(J173="trigrams",2,IF(J173="strings",3,IF(J173="visual array",4,IF(J173="characters",5,IF(J173="letters",6,IF(J173="free forms",7,IF(J173="odors",8,IF(J173="words",9,IF(J173="pictures",10,IF(J173="object pictures",11,IF(J173="faces",12,IF(J173="names",13,IF(J173="idioms",14,IF(J173="grades",15,IF(J173="syllable-digit pairs",16,IF(J173="trigram-word pairs",17,IF(J173="word-digit pairs",18,IF(J173="English-Swahili pairs",19,IF(J173="spatial position",20,IF(J173="word pairs",21,IF(J173="word triads",22,IF(J173="generated words",23,IF(J173="word definition pairs",24,IF(J173="math problems",25,IF(J173="famous faces",26,IF(J173="famous names",27,IF(J173="famous voices",28,IF(J173="television programs",29,IF(J173="race horses",30,IF(J173="new vocabulary",31,IF(J173="sentences",32,IF(J173="concepts",33,IF(J173="ad slides",34,IF(J173="scenes",35,IF(J173="famous scenes",36,IF(J173="poems",37,IF(J173="walk",38,IF(J173="faces and events",39,IF(J173="events and names",40,IF(J173="flashbulb",41,IF(J173="stories",42,IF(J173="course material",43,IF(J173="autobiographical",44,IF(J173="novels",45,IF(J173="public events",46,"99"))))))))))))))))))))))))))))))))))))))))))))))</f>
        <v>21</v>
      </c>
      <c r="L173" s="69">
        <f>IF(J173="syllables",1,IF(J173="trigrams",1,IF(J173="strings",1,IF(J173="visual array",1,IF(J173="characters",1,IF(J173="letters",1,IF(J173="free forms",1,IF(J173="odors",2,IF(J173="words",2,IF(J173="pictures",2,IF(J173="object pictures",2,IF(J173="faces",2,IF(J173="names",2,IF(J173="idioms","2",IF(J173="grades",2,IF(J173="syllable-digit pairs",3,IF(J173="trigram-word pairs",3,IF(J173="word-digit pairs",3,IF(J173="English-Swahili pairs",3,IF(J173="spatial position",3,IF(J173="word pairs",4,IF(J173="word triads",4,IF(J173="generated words",4,IF(J173="word definition pairs",4,IF(J173="math problems",4,IF(J173="famous faces",4,IF(J173="famous names",4,IF(J173="famous voices",4,IF(J173="television programs",4,IF(J173="race horses",4,IF(J173="new vocabulary",4,IF(J173="sentences",5,IF(J173="concepts",5,IF(J173="ad slides",5,IF(J173="scenes",5,IF(J173="famous scenes",5,IF(J173="poems",6,IF(J173="walk",6,IF(J173="faces and events",6,IF(J173="events and names",6,IF(J173="flashbulb",7,IF(J173="stories",7,IF(J173="course material",7,IF(J173="autobiographical",7,IF(J173="novels",7,IF(J173="public events",7,"99"))))))))))))))))))))))))))))))))))))))))))))))</f>
        <v>4</v>
      </c>
      <c r="M173" s="69">
        <v>0</v>
      </c>
      <c r="N173" s="69">
        <v>1</v>
      </c>
      <c r="O173" s="69">
        <v>1</v>
      </c>
      <c r="P173" s="69" t="s">
        <v>53</v>
      </c>
      <c r="Q173" s="69" t="s">
        <v>174</v>
      </c>
      <c r="R173" s="69">
        <f>IF(Q173="Free Recall",1,IF(Q173="Cued Recall",2,IF(Q173="Recognition",3,IF(Q173="Multiple Choice",4,IF(Q173="Savings",5,IF(Q173="Stem Completion",6,IF(Q173="Fragment Completion",7,IF(Q173="anagram solution",8,IF(Q173="Matching",9,IF(Q173="Problem Solving",10,"99"))))))))))</f>
        <v>1</v>
      </c>
      <c r="S173" s="69" t="s">
        <v>49</v>
      </c>
      <c r="T173" s="92" t="s">
        <v>581</v>
      </c>
      <c r="U173" s="60">
        <f>IF(T173="within",1,0)</f>
        <v>1</v>
      </c>
      <c r="V173" s="92">
        <v>25</v>
      </c>
      <c r="W173" s="69">
        <f>F173*V173</f>
        <v>375</v>
      </c>
      <c r="X173" s="69">
        <v>5</v>
      </c>
      <c r="Y173" s="87">
        <f>AV172</f>
        <v>2</v>
      </c>
      <c r="Z173" s="69" t="s">
        <v>47</v>
      </c>
      <c r="AA173" s="69">
        <v>32</v>
      </c>
      <c r="AB173" s="69" t="str">
        <f>IF(AA173&lt;60,"1",IF(AA173&lt;=43200,"2",IF(AA173&lt;=777600,"3","4")))</f>
        <v>1</v>
      </c>
      <c r="AC173" s="72">
        <f>AVERAGE(AV172:DA172)</f>
        <v>12.4</v>
      </c>
      <c r="AD173" s="69" t="str">
        <f>IF(AC173&lt;60,"1",IF(AC173&lt;=43200,"2",IF(AC173&lt;=777600,"3","4")))</f>
        <v>1</v>
      </c>
      <c r="AE173" s="87">
        <f>AA173-Y173</f>
        <v>30</v>
      </c>
      <c r="AF173" s="88">
        <f>AV173</f>
        <v>0.92</v>
      </c>
      <c r="AG173" s="72">
        <f>((AW173-AV173)+(AX173-AW173)+(AY173-AX173)+(AZ173-AY173))/4</f>
        <v>-4.3500000000000011E-2</v>
      </c>
      <c r="AH173" s="4"/>
      <c r="AI173" s="72">
        <f>RSQ(AV173:AZ173,AV172:AZ172)</f>
        <v>0.41716435433924565</v>
      </c>
      <c r="AJ173" s="110">
        <f>SLOPE(AV173:AZ173,AV172:AZ172)</f>
        <v>-4.2587365591397848E-3</v>
      </c>
      <c r="AK173" s="72">
        <f>INTERCEPT(AV173:AZ173,AV172:AZ172)</f>
        <v>0.87220833333333325</v>
      </c>
      <c r="AL173" s="72">
        <f>INDEX(LINEST(LN(AV173:AZ173),LN(AV172:AZ172),TRUE,TRUE),3,1)</f>
        <v>0.58630872385104582</v>
      </c>
      <c r="AM173" s="72">
        <f>INDEX(LINEST(LN(AV173:AZ173),LN(AV172:AZ172)),1)</f>
        <v>-6.8650399587453712E-2</v>
      </c>
      <c r="AN173" s="72">
        <f>EXP(INDEX(LINEST(LN(AV173:AZ173),LN(AV172:AZ172)),1,2))</f>
        <v>0.94149334128308138</v>
      </c>
      <c r="AO173" s="89">
        <f>INDEX(LINEST((AV173:AZ173),LN(AV172:AZ172),TRUE,TRUE),3,1)</f>
        <v>0.60600064922016306</v>
      </c>
      <c r="AP173" s="89">
        <f>INDEX(LINEST((AV173:AZ173),LN(AV172:AZ172)),1)</f>
        <v>-5.7130723619202954E-2</v>
      </c>
      <c r="AQ173" s="90">
        <f>INDEX(LINEST(LN(AV173:AZ173),SQRT(AV172:AZ172),TRUE,TRUE),3,1)</f>
        <v>0.49343733333356449</v>
      </c>
      <c r="AR173" s="117">
        <f>INDEX(LINEST(LN(AV173:AZ173),SQRT((AV172:AZ172))),1)</f>
        <v>-4.0811761077559475E-2</v>
      </c>
      <c r="AS173" s="91">
        <f>INDEX(LINEST(1/(AV173:AZ173),1/(SQRT(AV172:AZ172)),TRUE,TRUE),3,1)</f>
        <v>0.62485601415116021</v>
      </c>
      <c r="AT173" s="91">
        <f>INDEX(LINEST(1/(AV173:AZ173),1/SQRT(AV172:AZ172)),1)</f>
        <v>-0.4508618156927291</v>
      </c>
      <c r="AU173" s="3"/>
      <c r="AV173" s="73">
        <v>0.92</v>
      </c>
      <c r="AW173" s="73">
        <v>0.873</v>
      </c>
      <c r="AX173" s="73">
        <v>0.73299999999999998</v>
      </c>
      <c r="AY173" s="73">
        <v>0.82499999999999996</v>
      </c>
      <c r="AZ173" s="73">
        <v>0.746</v>
      </c>
      <c r="BA173" s="53"/>
      <c r="BB173" s="53"/>
      <c r="BC173" s="53"/>
      <c r="BD173" s="53"/>
      <c r="BE173" s="53"/>
      <c r="BF173" s="53"/>
      <c r="BG173" s="53"/>
      <c r="BH173" s="53"/>
      <c r="BI173" s="53"/>
      <c r="BJ173" s="53"/>
      <c r="BK173" s="53"/>
      <c r="BL173" s="53"/>
      <c r="BM173" s="53"/>
      <c r="BN173" s="53"/>
      <c r="BO173" s="53"/>
      <c r="BP173" s="53"/>
      <c r="BQ173" s="53"/>
      <c r="BR173" s="53"/>
      <c r="BS173" s="53"/>
      <c r="BT173" s="53"/>
      <c r="BU173" s="53"/>
      <c r="BV173" s="53"/>
      <c r="BW173" s="53"/>
      <c r="BX173" s="53"/>
      <c r="BY173" s="53"/>
      <c r="BZ173" s="53"/>
      <c r="CA173" s="53"/>
      <c r="CB173" s="53"/>
      <c r="CC173" s="53"/>
      <c r="CD173" s="53"/>
      <c r="CE173" s="53"/>
      <c r="CF173" s="53"/>
      <c r="CG173" s="53"/>
      <c r="CH173" s="53"/>
      <c r="CI173" s="53"/>
      <c r="CJ173" s="53"/>
      <c r="CK173" s="53"/>
      <c r="CL173" s="53"/>
      <c r="CM173" s="53"/>
      <c r="CN173" s="53"/>
      <c r="CO173" s="53"/>
      <c r="CP173" s="53"/>
      <c r="CQ173" s="53"/>
      <c r="CR173" s="1"/>
      <c r="CS173" s="1"/>
      <c r="CT173" s="1"/>
      <c r="CU173" s="1"/>
    </row>
    <row r="174" spans="1:99" s="13" customFormat="1" ht="12" customHeight="1" x14ac:dyDescent="0.2">
      <c r="A174" s="68">
        <v>43509</v>
      </c>
      <c r="B174" s="70"/>
      <c r="C174" s="70"/>
      <c r="D174" s="69"/>
      <c r="E174" s="87"/>
      <c r="F174" s="69"/>
      <c r="G174" s="69"/>
      <c r="H174" s="69"/>
      <c r="I174" s="69"/>
      <c r="J174" s="69"/>
      <c r="K174" s="107"/>
      <c r="L174" s="107"/>
      <c r="M174" s="69"/>
      <c r="N174" s="69"/>
      <c r="O174" s="69"/>
      <c r="P174" s="69"/>
      <c r="Q174" s="69"/>
      <c r="R174" s="69"/>
      <c r="S174" s="69"/>
      <c r="T174" s="92"/>
      <c r="U174" s="60"/>
      <c r="V174" s="69"/>
      <c r="W174" s="69"/>
      <c r="X174" s="69"/>
      <c r="Y174" s="87"/>
      <c r="Z174" s="69"/>
      <c r="AA174" s="69"/>
      <c r="AB174" s="69"/>
      <c r="AC174" s="69"/>
      <c r="AD174" s="69"/>
      <c r="AE174" s="69"/>
      <c r="AF174" s="88"/>
      <c r="AG174" s="72"/>
      <c r="AH174" s="4"/>
      <c r="AI174" s="72"/>
      <c r="AJ174" s="110"/>
      <c r="AK174" s="72"/>
      <c r="AL174" s="72"/>
      <c r="AM174" s="72"/>
      <c r="AN174" s="72"/>
      <c r="AO174" s="89"/>
      <c r="AP174" s="89"/>
      <c r="AQ174" s="72"/>
      <c r="AR174" s="110"/>
      <c r="AS174" s="72"/>
      <c r="AT174" s="72"/>
      <c r="AU174" s="3"/>
      <c r="AV174" s="71">
        <v>2</v>
      </c>
      <c r="AW174" s="71">
        <v>4</v>
      </c>
      <c r="AX174" s="71">
        <v>8</v>
      </c>
      <c r="AY174" s="71">
        <v>16</v>
      </c>
      <c r="AZ174" s="71">
        <v>32</v>
      </c>
      <c r="BA174" s="53"/>
      <c r="BB174" s="53"/>
      <c r="BC174" s="53"/>
      <c r="BD174" s="53"/>
      <c r="BE174" s="53"/>
      <c r="BF174" s="53"/>
      <c r="BG174" s="53"/>
      <c r="BH174" s="53"/>
      <c r="BI174" s="53"/>
      <c r="BJ174" s="53"/>
      <c r="BK174" s="53"/>
      <c r="BL174" s="53"/>
      <c r="BM174" s="53"/>
      <c r="BN174" s="53"/>
      <c r="BO174" s="53"/>
      <c r="BP174" s="53"/>
      <c r="BQ174" s="53"/>
      <c r="BR174" s="53"/>
      <c r="BS174" s="53"/>
      <c r="BT174" s="53"/>
      <c r="BU174" s="53"/>
      <c r="BV174" s="53"/>
      <c r="BW174" s="53"/>
      <c r="BX174" s="53"/>
      <c r="BY174" s="53"/>
      <c r="BZ174" s="53"/>
      <c r="CA174" s="53"/>
      <c r="CB174" s="53"/>
      <c r="CC174" s="53"/>
      <c r="CD174" s="53"/>
      <c r="CE174" s="53"/>
      <c r="CF174" s="53"/>
      <c r="CG174" s="53"/>
      <c r="CH174" s="53"/>
      <c r="CI174" s="53"/>
      <c r="CJ174" s="53"/>
      <c r="CK174" s="53"/>
      <c r="CL174" s="53"/>
      <c r="CM174" s="53"/>
      <c r="CN174" s="53"/>
      <c r="CO174" s="53"/>
      <c r="CP174" s="53"/>
      <c r="CQ174" s="53"/>
      <c r="CR174" s="1"/>
      <c r="CS174" s="1"/>
      <c r="CT174" s="1"/>
      <c r="CU174" s="1"/>
    </row>
    <row r="175" spans="1:99" s="13" customFormat="1" ht="12" customHeight="1" x14ac:dyDescent="0.2">
      <c r="A175" s="68">
        <v>43509</v>
      </c>
      <c r="B175" s="70" t="s">
        <v>258</v>
      </c>
      <c r="C175" s="70" t="s">
        <v>45</v>
      </c>
      <c r="D175" s="69">
        <v>2012</v>
      </c>
      <c r="E175" s="87">
        <v>2</v>
      </c>
      <c r="F175" s="69">
        <v>15</v>
      </c>
      <c r="G175" s="69">
        <v>15</v>
      </c>
      <c r="H175" s="69" t="s">
        <v>41</v>
      </c>
      <c r="I175" s="69" t="s">
        <v>855</v>
      </c>
      <c r="J175" s="69" t="s">
        <v>320</v>
      </c>
      <c r="K175" s="69">
        <f>IF(J175="syllables",1,IF(J175="trigrams",2,IF(J175="strings",3,IF(J175="visual array",4,IF(J175="characters",5,IF(J175="letters",6,IF(J175="free forms",7,IF(J175="odors",8,IF(J175="words",9,IF(J175="pictures",10,IF(J175="object pictures",11,IF(J175="faces",12,IF(J175="names",13,IF(J175="idioms",14,IF(J175="grades",15,IF(J175="syllable-digit pairs",16,IF(J175="trigram-word pairs",17,IF(J175="word-digit pairs",18,IF(J175="English-Swahili pairs",19,IF(J175="spatial position",20,IF(J175="word pairs",21,IF(J175="word triads",22,IF(J175="generated words",23,IF(J175="word definition pairs",24,IF(J175="math problems",25,IF(J175="famous faces",26,IF(J175="famous names",27,IF(J175="famous voices",28,IF(J175="television programs",29,IF(J175="race horses",30,IF(J175="new vocabulary",31,IF(J175="sentences",32,IF(J175="concepts",33,IF(J175="ad slides",34,IF(J175="scenes",35,IF(J175="famous scenes",36,IF(J175="poems",37,IF(J175="walk",38,IF(J175="faces and events",39,IF(J175="events and names",40,IF(J175="flashbulb",41,IF(J175="stories",42,IF(J175="course material",43,IF(J175="autobiographical",44,IF(J175="novels",45,IF(J175="public events",46,"99"))))))))))))))))))))))))))))))))))))))))))))))</f>
        <v>21</v>
      </c>
      <c r="L175" s="69">
        <f>IF(J175="syllables",1,IF(J175="trigrams",1,IF(J175="strings",1,IF(J175="visual array",1,IF(J175="characters",1,IF(J175="letters",1,IF(J175="free forms",1,IF(J175="odors",2,IF(J175="words",2,IF(J175="pictures",2,IF(J175="object pictures",2,IF(J175="faces",2,IF(J175="names",2,IF(J175="idioms","2",IF(J175="grades",2,IF(J175="syllable-digit pairs",3,IF(J175="trigram-word pairs",3,IF(J175="word-digit pairs",3,IF(J175="English-Swahili pairs",3,IF(J175="spatial position",3,IF(J175="word pairs",4,IF(J175="word triads",4,IF(J175="generated words",4,IF(J175="word definition pairs",4,IF(J175="math problems",4,IF(J175="famous faces",4,IF(J175="famous names",4,IF(J175="famous voices",4,IF(J175="television programs",4,IF(J175="race horses",4,IF(J175="new vocabulary",4,IF(J175="sentences",5,IF(J175="concepts",5,IF(J175="ad slides",5,IF(J175="scenes",5,IF(J175="famous scenes",5,IF(J175="poems",6,IF(J175="walk",6,IF(J175="faces and events",6,IF(J175="events and names",6,IF(J175="flashbulb",7,IF(J175="stories",7,IF(J175="course material",7,IF(J175="autobiographical",7,IF(J175="novels",7,IF(J175="public events",7,"99"))))))))))))))))))))))))))))))))))))))))))))))</f>
        <v>4</v>
      </c>
      <c r="M175" s="69">
        <v>0</v>
      </c>
      <c r="N175" s="69">
        <v>1</v>
      </c>
      <c r="O175" s="69">
        <v>1</v>
      </c>
      <c r="P175" s="69" t="s">
        <v>53</v>
      </c>
      <c r="Q175" s="69" t="s">
        <v>174</v>
      </c>
      <c r="R175" s="69">
        <f>IF(Q175="Free Recall",1,IF(Q175="Cued Recall",2,IF(Q175="Recognition",3,IF(Q175="Multiple Choice",4,IF(Q175="Savings",5,IF(Q175="Stem Completion",6,IF(Q175="Fragment Completion",7,IF(Q175="anagram solution",8,IF(Q175="Matching",9,IF(Q175="Problem Solving",10,"99"))))))))))</f>
        <v>1</v>
      </c>
      <c r="S175" s="69" t="s">
        <v>49</v>
      </c>
      <c r="T175" s="92" t="s">
        <v>581</v>
      </c>
      <c r="U175" s="60">
        <f>IF(T175="within",1,0)</f>
        <v>1</v>
      </c>
      <c r="V175" s="92">
        <v>25</v>
      </c>
      <c r="W175" s="69">
        <f>F175*V175</f>
        <v>375</v>
      </c>
      <c r="X175" s="69">
        <v>5</v>
      </c>
      <c r="Y175" s="87">
        <f>AV174</f>
        <v>2</v>
      </c>
      <c r="Z175" s="69" t="s">
        <v>47</v>
      </c>
      <c r="AA175" s="69">
        <v>32</v>
      </c>
      <c r="AB175" s="69" t="str">
        <f>IF(AA175&lt;60,"1",IF(AA175&lt;=43200,"2",IF(AA175&lt;=777600,"3","4")))</f>
        <v>1</v>
      </c>
      <c r="AC175" s="72">
        <f>AVERAGE(AV174:DA174)</f>
        <v>12.4</v>
      </c>
      <c r="AD175" s="69" t="str">
        <f>IF(AC175&lt;60,"1",IF(AC175&lt;=43200,"2",IF(AC175&lt;=777600,"3","4")))</f>
        <v>1</v>
      </c>
      <c r="AE175" s="87">
        <f>AA175-Y175</f>
        <v>30</v>
      </c>
      <c r="AF175" s="88">
        <f>AV175</f>
        <v>0.95199999999999996</v>
      </c>
      <c r="AG175" s="72">
        <f>((AW175-AV175)+(AX175-AW175)+(AY175-AX175)+(AZ175-AY175))/4</f>
        <v>-6.3E-2</v>
      </c>
      <c r="AH175" s="4"/>
      <c r="AI175" s="72">
        <f>RSQ(AV175:AZ175,AV174:AZ174)</f>
        <v>0.4098632696574025</v>
      </c>
      <c r="AJ175" s="110">
        <f>SLOPE(AV175:AZ175,AV174:AZ174)</f>
        <v>-6.4549731182795686E-3</v>
      </c>
      <c r="AK175" s="72">
        <f>INTERCEPT(AV175:AZ175,AV174:AZ174)</f>
        <v>0.84504166666666658</v>
      </c>
      <c r="AL175" s="72">
        <f>INDEX(LINEST(LN(AV175:AZ175),LN(AV174:AZ174),TRUE,TRUE),3,1)</f>
        <v>0.75966121544029841</v>
      </c>
      <c r="AM175" s="72">
        <f>INDEX(LINEST(LN(AV175:AZ175),LN(AV174:AZ174)),1)</f>
        <v>-0.12311677041685908</v>
      </c>
      <c r="AN175" s="72">
        <f>EXP(INDEX(LINEST(LN(AV175:AZ175),LN(AV174:AZ174)),1,2))</f>
        <v>0.97853658132940291</v>
      </c>
      <c r="AO175" s="89">
        <f>INDEX(LINEST((AV175:AZ175),LN(AV174:AZ174),TRUE,TRUE),3,1)</f>
        <v>0.76195048588616376</v>
      </c>
      <c r="AP175" s="89">
        <f>INDEX(LINEST((AV175:AZ175),LN(AV174:AZ174)),1)</f>
        <v>-9.7958993276360623E-2</v>
      </c>
      <c r="AQ175" s="90">
        <f>INDEX(LINEST(LN(AV175:AZ175),SQRT(AV174:AZ174),TRUE,TRUE),3,1)</f>
        <v>0.57848422886559858</v>
      </c>
      <c r="AR175" s="117">
        <f>INDEX(LINEST(LN(AV175:AZ175),SQRT((AV174:AZ174))),1)</f>
        <v>-6.9621350111549005E-2</v>
      </c>
      <c r="AS175" s="91">
        <f>INDEX(LINEST(1/(AV175:AZ175),1/(SQRT(AV174:AZ174)),TRUE,TRUE),3,1)</f>
        <v>0.87025911973024939</v>
      </c>
      <c r="AT175" s="91">
        <f>INDEX(LINEST(1/(AV175:AZ175),1/SQRT(AV174:AZ174)),1)</f>
        <v>-0.87072782058242415</v>
      </c>
      <c r="AU175" s="3"/>
      <c r="AV175" s="73">
        <v>0.95199999999999996</v>
      </c>
      <c r="AW175" s="73">
        <v>0.82499999999999996</v>
      </c>
      <c r="AX175" s="73">
        <v>0.69799999999999995</v>
      </c>
      <c r="AY175" s="73">
        <v>0.65</v>
      </c>
      <c r="AZ175" s="73">
        <v>0.7</v>
      </c>
      <c r="BA175" s="53"/>
      <c r="BB175" s="53"/>
      <c r="BC175" s="53"/>
      <c r="BD175" s="53"/>
      <c r="BE175" s="53"/>
      <c r="BF175" s="53"/>
      <c r="BG175" s="53"/>
      <c r="BH175" s="53"/>
      <c r="BI175" s="53"/>
      <c r="BJ175" s="53"/>
      <c r="BK175" s="53"/>
      <c r="BL175" s="53"/>
      <c r="BM175" s="53"/>
      <c r="BN175" s="53"/>
      <c r="BO175" s="53"/>
      <c r="BP175" s="53"/>
      <c r="BQ175" s="53"/>
      <c r="BR175" s="53"/>
      <c r="BS175" s="53"/>
      <c r="BT175" s="53"/>
      <c r="BU175" s="53"/>
      <c r="BV175" s="53"/>
      <c r="BW175" s="53"/>
      <c r="BX175" s="53"/>
      <c r="BY175" s="53"/>
      <c r="BZ175" s="53"/>
      <c r="CA175" s="53"/>
      <c r="CB175" s="53"/>
      <c r="CC175" s="53"/>
      <c r="CD175" s="53"/>
      <c r="CE175" s="53"/>
      <c r="CF175" s="53"/>
      <c r="CG175" s="53"/>
      <c r="CH175" s="53"/>
      <c r="CI175" s="53"/>
      <c r="CJ175" s="53"/>
      <c r="CK175" s="53"/>
      <c r="CL175" s="53"/>
      <c r="CM175" s="53"/>
      <c r="CN175" s="53"/>
      <c r="CO175" s="53"/>
      <c r="CP175" s="53"/>
      <c r="CQ175" s="53"/>
      <c r="CR175" s="1"/>
      <c r="CS175" s="1"/>
      <c r="CT175" s="1"/>
      <c r="CU175" s="1"/>
    </row>
    <row r="176" spans="1:99" s="13" customFormat="1" ht="12" customHeight="1" x14ac:dyDescent="0.2">
      <c r="A176" s="68">
        <v>43509</v>
      </c>
      <c r="B176" s="70"/>
      <c r="C176" s="70"/>
      <c r="D176" s="69"/>
      <c r="E176" s="87"/>
      <c r="F176" s="69"/>
      <c r="G176" s="69"/>
      <c r="H176" s="69"/>
      <c r="I176" s="69"/>
      <c r="J176" s="69"/>
      <c r="K176" s="107"/>
      <c r="L176" s="107"/>
      <c r="M176" s="69"/>
      <c r="N176" s="69"/>
      <c r="O176" s="69"/>
      <c r="P176" s="69"/>
      <c r="Q176" s="69"/>
      <c r="R176" s="69"/>
      <c r="S176" s="69"/>
      <c r="T176" s="92"/>
      <c r="U176" s="60"/>
      <c r="V176" s="69"/>
      <c r="W176" s="69"/>
      <c r="X176" s="69"/>
      <c r="Y176" s="87"/>
      <c r="Z176" s="69"/>
      <c r="AA176" s="69"/>
      <c r="AB176" s="69"/>
      <c r="AC176" s="69"/>
      <c r="AD176" s="69"/>
      <c r="AE176" s="69"/>
      <c r="AF176" s="88"/>
      <c r="AG176" s="72"/>
      <c r="AH176" s="4"/>
      <c r="AI176" s="72"/>
      <c r="AJ176" s="110"/>
      <c r="AK176" s="72"/>
      <c r="AL176" s="72"/>
      <c r="AM176" s="72"/>
      <c r="AN176" s="72"/>
      <c r="AO176" s="72"/>
      <c r="AP176" s="72"/>
      <c r="AQ176" s="72"/>
      <c r="AR176" s="110"/>
      <c r="AS176" s="72"/>
      <c r="AT176" s="72"/>
      <c r="AU176" s="4"/>
      <c r="AV176" s="73">
        <v>2.5</v>
      </c>
      <c r="AW176" s="71">
        <v>5</v>
      </c>
      <c r="AX176" s="71">
        <v>10</v>
      </c>
      <c r="AY176" s="71">
        <v>20</v>
      </c>
      <c r="AZ176" s="71">
        <v>40</v>
      </c>
      <c r="BA176" s="53"/>
      <c r="BB176" s="53"/>
      <c r="BC176" s="53"/>
      <c r="BD176" s="53"/>
      <c r="BE176" s="53"/>
      <c r="BF176" s="53"/>
      <c r="BG176" s="53"/>
      <c r="BH176" s="53"/>
      <c r="BI176" s="53"/>
      <c r="BJ176" s="53"/>
      <c r="BK176" s="53"/>
      <c r="BL176" s="53"/>
      <c r="BM176" s="53"/>
      <c r="BN176" s="53"/>
      <c r="BO176" s="53"/>
      <c r="BP176" s="53"/>
      <c r="BQ176" s="53"/>
      <c r="BR176" s="53"/>
      <c r="BS176" s="53"/>
      <c r="BT176" s="53"/>
      <c r="BU176" s="53"/>
      <c r="BV176" s="53"/>
      <c r="BW176" s="53"/>
      <c r="BX176" s="53"/>
      <c r="BY176" s="53"/>
      <c r="BZ176" s="53"/>
      <c r="CA176" s="53"/>
      <c r="CB176" s="53"/>
      <c r="CC176" s="53"/>
      <c r="CD176" s="53"/>
      <c r="CE176" s="53"/>
      <c r="CF176" s="53"/>
      <c r="CG176" s="53"/>
      <c r="CH176" s="53"/>
      <c r="CI176" s="53"/>
      <c r="CJ176" s="53"/>
      <c r="CK176" s="53"/>
      <c r="CL176" s="53"/>
      <c r="CM176" s="53"/>
      <c r="CN176" s="53"/>
      <c r="CO176" s="53"/>
      <c r="CP176" s="53"/>
      <c r="CQ176" s="53"/>
      <c r="CR176" s="1"/>
      <c r="CS176" s="1"/>
      <c r="CT176" s="1"/>
      <c r="CU176" s="1"/>
    </row>
    <row r="177" spans="1:99" s="13" customFormat="1" ht="12" customHeight="1" x14ac:dyDescent="0.2">
      <c r="A177" s="68">
        <v>43509</v>
      </c>
      <c r="B177" s="70" t="s">
        <v>259</v>
      </c>
      <c r="C177" s="70" t="s">
        <v>55</v>
      </c>
      <c r="D177" s="69">
        <v>1991</v>
      </c>
      <c r="E177" s="87">
        <v>1</v>
      </c>
      <c r="F177" s="69">
        <v>8</v>
      </c>
      <c r="G177" s="69">
        <v>8</v>
      </c>
      <c r="H177" s="69" t="s">
        <v>50</v>
      </c>
      <c r="I177" s="69" t="s">
        <v>856</v>
      </c>
      <c r="J177" s="69" t="s">
        <v>16</v>
      </c>
      <c r="K177" s="69">
        <f>IF(J177="syllables",1,IF(J177="trigrams",2,IF(J177="strings",3,IF(J177="visual array",4,IF(J177="characters",5,IF(J177="letters",6,IF(J177="free forms",7,IF(J177="odors",8,IF(J177="words",9,IF(J177="pictures",10,IF(J177="object pictures",11,IF(J177="faces",12,IF(J177="names",13,IF(J177="idioms",14,IF(J177="grades",15,IF(J177="syllable-digit pairs",16,IF(J177="trigram-word pairs",17,IF(J177="word-digit pairs",18,IF(J177="English-Swahili pairs",19,IF(J177="spatial position",20,IF(J177="word pairs",21,IF(J177="word triads",22,IF(J177="generated words",23,IF(J177="word definition pairs",24,IF(J177="math problems",25,IF(J177="famous faces",26,IF(J177="famous names",27,IF(J177="famous voices",28,IF(J177="television programs",29,IF(J177="race horses",30,IF(J177="new vocabulary",31,IF(J177="sentences",32,IF(J177="concepts",33,IF(J177="ad slides",34,IF(J177="scenes",35,IF(J177="famous scenes",36,IF(J177="poems",37,IF(J177="walk",38,IF(J177="faces and events",39,IF(J177="events and names",40,IF(J177="flashbulb",41,IF(J177="stories",42,IF(J177="course material",43,IF(J177="autobiographical",44,IF(J177="novels",45,IF(J177="public events",46,"99"))))))))))))))))))))))))))))))))))))))))))))))</f>
        <v>9</v>
      </c>
      <c r="L177" s="69">
        <f>IF(J177="syllables",1,IF(J177="trigrams",1,IF(J177="strings",1,IF(J177="visual array",1,IF(J177="characters",1,IF(J177="letters",1,IF(J177="free forms",1,IF(J177="odors",2,IF(J177="words",2,IF(J177="pictures",2,IF(J177="object pictures",2,IF(J177="faces",2,IF(J177="names",2,IF(J177="idioms","2",IF(J177="grades",2,IF(J177="syllable-digit pairs",3,IF(J177="trigram-word pairs",3,IF(J177="word-digit pairs",3,IF(J177="English-Swahili pairs",3,IF(J177="spatial position",3,IF(J177="word pairs",4,IF(J177="word triads",4,IF(J177="generated words",4,IF(J177="word definition pairs",4,IF(J177="math problems",4,IF(J177="famous faces",4,IF(J177="famous names",4,IF(J177="famous voices",4,IF(J177="television programs",4,IF(J177="race horses",4,IF(J177="new vocabulary",4,IF(J177="sentences",5,IF(J177="concepts",5,IF(J177="ad slides",5,IF(J177="scenes",5,IF(J177="famous scenes",5,IF(J177="poems",6,IF(J177="walk",6,IF(J177="faces and events",6,IF(J177="events and names",6,IF(J177="flashbulb",7,IF(J177="stories",7,IF(J177="course material",7,IF(J177="autobiographical",7,IF(J177="novels",7,IF(J177="public events",7,"99"))))))))))))))))))))))))))))))))))))))))))))))</f>
        <v>2</v>
      </c>
      <c r="M177" s="69">
        <v>0</v>
      </c>
      <c r="N177" s="69">
        <v>1</v>
      </c>
      <c r="O177" s="69">
        <v>1</v>
      </c>
      <c r="P177" s="69" t="s">
        <v>901</v>
      </c>
      <c r="Q177" s="69" t="s">
        <v>174</v>
      </c>
      <c r="R177" s="69">
        <f>IF(Q177="Free Recall",1,IF(Q177="Cued Recall",2,IF(Q177="Recognition",3,IF(Q177="Multiple Choice",4,IF(Q177="Savings",5,IF(Q177="Stem Completion",6,IF(Q177="Fragment Completion",7,IF(Q177="anagram solution",8,IF(Q177="Matching",9,IF(Q177="Problem Solving",10,"99"))))))))))</f>
        <v>1</v>
      </c>
      <c r="S177" s="69" t="s">
        <v>49</v>
      </c>
      <c r="T177" s="92" t="s">
        <v>581</v>
      </c>
      <c r="U177" s="60">
        <f>IF(T177="within",1,0)</f>
        <v>1</v>
      </c>
      <c r="V177" s="92">
        <v>45</v>
      </c>
      <c r="W177" s="69">
        <f>F177*V177</f>
        <v>360</v>
      </c>
      <c r="X177" s="69">
        <v>5</v>
      </c>
      <c r="Y177" s="87">
        <f>AV176</f>
        <v>2.5</v>
      </c>
      <c r="Z177" s="69" t="s">
        <v>56</v>
      </c>
      <c r="AA177" s="69">
        <v>40</v>
      </c>
      <c r="AB177" s="69" t="str">
        <f t="shared" ref="AB177:AB179" si="0">IF(AA177&lt;60,"1",IF(AA177&lt;=43200,"2",IF(AA177&lt;=777600,"3","4")))</f>
        <v>1</v>
      </c>
      <c r="AC177" s="72">
        <f t="shared" ref="AC177" si="1">AVERAGE(AV176:DA176)</f>
        <v>15.5</v>
      </c>
      <c r="AD177" s="69" t="str">
        <f>IF(AC177&lt;60,"1",IF(AC177&lt;=43200,"2",IF(AC177&lt;=777600,"3","4")))</f>
        <v>1</v>
      </c>
      <c r="AE177" s="87">
        <f>AA177-Y177</f>
        <v>37.5</v>
      </c>
      <c r="AF177" s="88">
        <f>AV177</f>
        <v>0.77</v>
      </c>
      <c r="AG177" s="72">
        <f>((AW177-AV177)+(AX177-AW177)+(AY177-AX177)+(AZ177-AY177))/4</f>
        <v>-5.4999999999999993E-2</v>
      </c>
      <c r="AH177" s="4"/>
      <c r="AI177" s="72">
        <f>RSQ(AV177:AZ177,AV176:AZ176)</f>
        <v>0.77259180573762642</v>
      </c>
      <c r="AJ177" s="110">
        <f>SLOPE(AV177:AZ177,AV176:AZ176)</f>
        <v>-4.9569892473118266E-3</v>
      </c>
      <c r="AK177" s="72">
        <f>INTERCEPT(AV177:AZ177,AV176:AZ176)</f>
        <v>0.72483333333333333</v>
      </c>
      <c r="AL177" s="72">
        <f>INDEX(LINEST(LN(AV177:AZ177),LN(AV176:AZ176),TRUE,TRUE),3,1)</f>
        <v>0.99003162792132282</v>
      </c>
      <c r="AM177" s="72">
        <f>INDEX(LINEST(LN(AV177:AZ177),LN(AV176:AZ176)),1)</f>
        <v>-0.11908193382823912</v>
      </c>
      <c r="AN177" s="72">
        <f>EXP(INDEX(LINEST(LN(AV177:AZ177),LN(AV176:AZ176)),1,2))</f>
        <v>0.84653724893233373</v>
      </c>
      <c r="AO177" s="89">
        <f>INDEX(LINEST((AV177:AZ177),LN(AV176:AZ176),TRUE,TRUE),3,1)</f>
        <v>0.97857867333829196</v>
      </c>
      <c r="AP177" s="89">
        <f>INDEX(LINEST((AV177:AZ177),LN(AV176:AZ176)),1)</f>
        <v>-7.7616993199826234E-2</v>
      </c>
      <c r="AQ177" s="90">
        <f t="shared" ref="AQ177" si="2">INDEX(LINEST(LN(AV177:AZ177),SQRT(AV176:AZ176),TRUE,TRUE),3,1)</f>
        <v>0.92010655888020487</v>
      </c>
      <c r="AR177" s="117">
        <f t="shared" ref="AR177" si="3">INDEX(LINEST(LN(AV177:AZ177),SQRT((AV176:AZ176))),1)</f>
        <v>-6.653878137586032E-2</v>
      </c>
      <c r="AS177" s="91">
        <f t="shared" ref="AS177" si="4">INDEX(LINEST(1/(AV177:AZ177),1/(SQRT(AV176:AZ176)),TRUE,TRUE),3,1)</f>
        <v>0.97273124345148854</v>
      </c>
      <c r="AT177" s="91">
        <f t="shared" ref="AT177" si="5">INDEX(LINEST(1/(AV177:AZ177),1/SQRT(AV176:AZ176)),1)</f>
        <v>-1.054792435547496</v>
      </c>
      <c r="AU177" s="3"/>
      <c r="AV177" s="73">
        <v>0.77</v>
      </c>
      <c r="AW177" s="73">
        <v>0.69299999999999995</v>
      </c>
      <c r="AX177" s="73">
        <v>0.63200000000000001</v>
      </c>
      <c r="AY177" s="73">
        <v>0.59499999999999997</v>
      </c>
      <c r="AZ177" s="73">
        <v>0.55000000000000004</v>
      </c>
      <c r="BA177" s="53"/>
      <c r="BB177" s="53"/>
      <c r="BC177" s="53"/>
      <c r="BD177" s="53"/>
      <c r="BE177" s="53"/>
      <c r="BF177" s="53"/>
      <c r="BG177" s="53"/>
      <c r="BH177" s="53"/>
      <c r="BI177" s="53"/>
      <c r="BJ177" s="53"/>
      <c r="BK177" s="53"/>
      <c r="BL177" s="53"/>
      <c r="BM177" s="53"/>
      <c r="BN177" s="53"/>
      <c r="BO177" s="53"/>
      <c r="BP177" s="53"/>
      <c r="BQ177" s="53"/>
      <c r="BR177" s="53"/>
      <c r="BS177" s="53"/>
      <c r="BT177" s="53"/>
      <c r="BU177" s="53"/>
      <c r="BV177" s="53"/>
      <c r="BW177" s="53"/>
      <c r="BX177" s="53"/>
      <c r="BY177" s="53"/>
      <c r="BZ177" s="53"/>
      <c r="CA177" s="53"/>
      <c r="CB177" s="53"/>
      <c r="CC177" s="53"/>
      <c r="CD177" s="53"/>
      <c r="CE177" s="53"/>
      <c r="CF177" s="53"/>
      <c r="CG177" s="53"/>
      <c r="CH177" s="53"/>
      <c r="CI177" s="53"/>
      <c r="CJ177" s="53"/>
      <c r="CK177" s="53"/>
      <c r="CL177" s="53"/>
      <c r="CM177" s="53"/>
      <c r="CN177" s="53"/>
      <c r="CO177" s="53"/>
      <c r="CP177" s="53"/>
      <c r="CQ177" s="53"/>
      <c r="CR177" s="1"/>
      <c r="CS177" s="1"/>
      <c r="CT177" s="1"/>
      <c r="CU177" s="1"/>
    </row>
    <row r="178" spans="1:99" s="13" customFormat="1" ht="12" customHeight="1" x14ac:dyDescent="0.2">
      <c r="A178" s="68">
        <v>43509</v>
      </c>
      <c r="B178" s="70"/>
      <c r="C178" s="70"/>
      <c r="D178" s="69"/>
      <c r="E178" s="87"/>
      <c r="F178" s="69"/>
      <c r="G178" s="69"/>
      <c r="H178" s="69"/>
      <c r="I178" s="69"/>
      <c r="J178" s="69"/>
      <c r="K178" s="107"/>
      <c r="L178" s="107"/>
      <c r="M178" s="69"/>
      <c r="N178" s="69"/>
      <c r="O178" s="69"/>
      <c r="P178" s="69"/>
      <c r="Q178" s="69"/>
      <c r="R178" s="69"/>
      <c r="S178" s="69"/>
      <c r="T178" s="92"/>
      <c r="U178" s="60"/>
      <c r="V178" s="69"/>
      <c r="W178" s="69"/>
      <c r="X178" s="69"/>
      <c r="Y178" s="87"/>
      <c r="Z178" s="69"/>
      <c r="AA178" s="69"/>
      <c r="AB178" s="69"/>
      <c r="AC178" s="69"/>
      <c r="AD178" s="69"/>
      <c r="AE178" s="69"/>
      <c r="AF178" s="88"/>
      <c r="AG178" s="72"/>
      <c r="AH178" s="4"/>
      <c r="AI178" s="72"/>
      <c r="AJ178" s="110"/>
      <c r="AK178" s="72"/>
      <c r="AL178" s="72"/>
      <c r="AM178" s="72"/>
      <c r="AN178" s="72"/>
      <c r="AO178" s="89"/>
      <c r="AP178" s="89"/>
      <c r="AQ178" s="72"/>
      <c r="AR178" s="110"/>
      <c r="AS178" s="72"/>
      <c r="AT178" s="72"/>
      <c r="AU178" s="3"/>
      <c r="AV178" s="73">
        <v>2.5</v>
      </c>
      <c r="AW178" s="71">
        <v>5</v>
      </c>
      <c r="AX178" s="71">
        <v>10</v>
      </c>
      <c r="AY178" s="71">
        <v>20</v>
      </c>
      <c r="AZ178" s="71">
        <v>40</v>
      </c>
      <c r="BA178" s="53"/>
      <c r="BB178" s="53"/>
      <c r="BC178" s="53"/>
      <c r="BD178" s="53"/>
      <c r="BE178" s="53"/>
      <c r="BF178" s="53"/>
      <c r="BG178" s="53"/>
      <c r="BH178" s="53"/>
      <c r="BI178" s="53"/>
      <c r="BJ178" s="53"/>
      <c r="BK178" s="53"/>
      <c r="BL178" s="53"/>
      <c r="BM178" s="53"/>
      <c r="BN178" s="53"/>
      <c r="BO178" s="53"/>
      <c r="BP178" s="53"/>
      <c r="BQ178" s="53"/>
      <c r="BR178" s="53"/>
      <c r="BS178" s="53"/>
      <c r="BT178" s="53"/>
      <c r="BU178" s="53"/>
      <c r="BV178" s="53"/>
      <c r="BW178" s="53"/>
      <c r="BX178" s="53"/>
      <c r="BY178" s="53"/>
      <c r="BZ178" s="53"/>
      <c r="CA178" s="53"/>
      <c r="CB178" s="53"/>
      <c r="CC178" s="53"/>
      <c r="CD178" s="53"/>
      <c r="CE178" s="53"/>
      <c r="CF178" s="53"/>
      <c r="CG178" s="53"/>
      <c r="CH178" s="53"/>
      <c r="CI178" s="53"/>
      <c r="CJ178" s="53"/>
      <c r="CK178" s="53"/>
      <c r="CL178" s="53"/>
      <c r="CM178" s="53"/>
      <c r="CN178" s="53"/>
      <c r="CO178" s="53"/>
      <c r="CP178" s="53"/>
      <c r="CQ178" s="53"/>
      <c r="CR178" s="1"/>
      <c r="CS178" s="1"/>
      <c r="CT178" s="1"/>
      <c r="CU178" s="1"/>
    </row>
    <row r="179" spans="1:99" s="13" customFormat="1" ht="12" customHeight="1" x14ac:dyDescent="0.2">
      <c r="A179" s="68">
        <v>43509</v>
      </c>
      <c r="B179" s="70" t="s">
        <v>259</v>
      </c>
      <c r="C179" s="70" t="s">
        <v>55</v>
      </c>
      <c r="D179" s="69">
        <v>1991</v>
      </c>
      <c r="E179" s="87">
        <v>1</v>
      </c>
      <c r="F179" s="69">
        <v>8</v>
      </c>
      <c r="G179" s="69">
        <v>8</v>
      </c>
      <c r="H179" s="69" t="s">
        <v>50</v>
      </c>
      <c r="I179" s="69" t="s">
        <v>857</v>
      </c>
      <c r="J179" s="69" t="s">
        <v>16</v>
      </c>
      <c r="K179" s="69">
        <f>IF(J179="syllables",1,IF(J179="trigrams",2,IF(J179="strings",3,IF(J179="visual array",4,IF(J179="characters",5,IF(J179="letters",6,IF(J179="free forms",7,IF(J179="odors",8,IF(J179="words",9,IF(J179="pictures",10,IF(J179="object pictures",11,IF(J179="faces",12,IF(J179="names",13,IF(J179="idioms",14,IF(J179="grades",15,IF(J179="syllable-digit pairs",16,IF(J179="trigram-word pairs",17,IF(J179="word-digit pairs",18,IF(J179="English-Swahili pairs",19,IF(J179="spatial position",20,IF(J179="word pairs",21,IF(J179="word triads",22,IF(J179="generated words",23,IF(J179="word definition pairs",24,IF(J179="math problems",25,IF(J179="famous faces",26,IF(J179="famous names",27,IF(J179="famous voices",28,IF(J179="television programs",29,IF(J179="race horses",30,IF(J179="new vocabulary",31,IF(J179="sentences",32,IF(J179="concepts",33,IF(J179="ad slides",34,IF(J179="scenes",35,IF(J179="famous scenes",36,IF(J179="poems",37,IF(J179="walk",38,IF(J179="faces and events",39,IF(J179="events and names",40,IF(J179="flashbulb",41,IF(J179="stories",42,IF(J179="course material",43,IF(J179="autobiographical",44,IF(J179="novels",45,IF(J179="public events",46,"99"))))))))))))))))))))))))))))))))))))))))))))))</f>
        <v>9</v>
      </c>
      <c r="L179" s="69">
        <f>IF(J179="syllables",1,IF(J179="trigrams",1,IF(J179="strings",1,IF(J179="visual array",1,IF(J179="characters",1,IF(J179="letters",1,IF(J179="free forms",1,IF(J179="odors",2,IF(J179="words",2,IF(J179="pictures",2,IF(J179="object pictures",2,IF(J179="faces",2,IF(J179="names",2,IF(J179="idioms","2",IF(J179="grades",2,IF(J179="syllable-digit pairs",3,IF(J179="trigram-word pairs",3,IF(J179="word-digit pairs",3,IF(J179="English-Swahili pairs",3,IF(J179="spatial position",3,IF(J179="word pairs",4,IF(J179="word triads",4,IF(J179="generated words",4,IF(J179="word definition pairs",4,IF(J179="math problems",4,IF(J179="famous faces",4,IF(J179="famous names",4,IF(J179="famous voices",4,IF(J179="television programs",4,IF(J179="race horses",4,IF(J179="new vocabulary",4,IF(J179="sentences",5,IF(J179="concepts",5,IF(J179="ad slides",5,IF(J179="scenes",5,IF(J179="famous scenes",5,IF(J179="poems",6,IF(J179="walk",6,IF(J179="faces and events",6,IF(J179="events and names",6,IF(J179="flashbulb",7,IF(J179="stories",7,IF(J179="course material",7,IF(J179="autobiographical",7,IF(J179="novels",7,IF(J179="public events",7,"99"))))))))))))))))))))))))))))))))))))))))))))))</f>
        <v>2</v>
      </c>
      <c r="M179" s="69">
        <v>0</v>
      </c>
      <c r="N179" s="69">
        <v>1</v>
      </c>
      <c r="O179" s="69">
        <v>1</v>
      </c>
      <c r="P179" s="69" t="s">
        <v>901</v>
      </c>
      <c r="Q179" s="69" t="s">
        <v>174</v>
      </c>
      <c r="R179" s="69">
        <f>IF(Q179="Free Recall",1,IF(Q179="Cued Recall",2,IF(Q179="Recognition",3,IF(Q179="Multiple Choice",4,IF(Q179="Savings",5,IF(Q179="Stem Completion",6,IF(Q179="Fragment Completion",7,IF(Q179="anagram solution",8,IF(Q179="Matching",9,IF(Q179="Problem Solving",10,"99"))))))))))</f>
        <v>1</v>
      </c>
      <c r="S179" s="69" t="s">
        <v>49</v>
      </c>
      <c r="T179" s="92" t="s">
        <v>581</v>
      </c>
      <c r="U179" s="60">
        <f>IF(T179="within",1,0)</f>
        <v>1</v>
      </c>
      <c r="V179" s="92">
        <v>45</v>
      </c>
      <c r="W179" s="69">
        <f>F179*V179</f>
        <v>360</v>
      </c>
      <c r="X179" s="69">
        <v>5</v>
      </c>
      <c r="Y179" s="87">
        <f>AV178</f>
        <v>2.5</v>
      </c>
      <c r="Z179" s="69" t="s">
        <v>56</v>
      </c>
      <c r="AA179" s="69">
        <v>40</v>
      </c>
      <c r="AB179" s="69" t="str">
        <f t="shared" si="0"/>
        <v>1</v>
      </c>
      <c r="AC179" s="72">
        <f t="shared" ref="AC179" si="6">AVERAGE(AV178:DA178)</f>
        <v>15.5</v>
      </c>
      <c r="AD179" s="69" t="str">
        <f>IF(AC179&lt;60,"1",IF(AC179&lt;=43200,"2",IF(AC179&lt;=777600,"3","4")))</f>
        <v>1</v>
      </c>
      <c r="AE179" s="87">
        <f>AA179-Y179</f>
        <v>37.5</v>
      </c>
      <c r="AF179" s="88">
        <f>AV179</f>
        <v>0.57699999999999996</v>
      </c>
      <c r="AG179" s="72">
        <f>((AW179-AV179)+(AX179-AW179)+(AY179-AX179)+(AZ179-AY179))/4</f>
        <v>-4.3499999999999983E-2</v>
      </c>
      <c r="AH179" s="4"/>
      <c r="AI179" s="72">
        <f>RSQ(AV179:AZ179,AV178:AZ178)</f>
        <v>0.75288422386101428</v>
      </c>
      <c r="AJ179" s="110">
        <f>SLOPE(AV179:AZ179,AV178:AZ178)</f>
        <v>-4.1612903225806443E-3</v>
      </c>
      <c r="AK179" s="72">
        <f>INTERCEPT(AV179:AZ179,AV178:AZ178)</f>
        <v>0.54349999999999998</v>
      </c>
      <c r="AL179" s="72">
        <f>INDEX(LINEST(LN(AV179:AZ179),LN(AV178:AZ178),TRUE,TRUE),3,1)</f>
        <v>0.97720461437401152</v>
      </c>
      <c r="AM179" s="72">
        <f>INDEX(LINEST(LN(AV179:AZ179),LN(AV178:AZ178)),1)</f>
        <v>-0.13685662436313883</v>
      </c>
      <c r="AN179" s="72">
        <f>EXP(INDEX(LINEST(LN(AV179:AZ179),LN(AV178:AZ178)),1,2))</f>
        <v>0.65039387346689803</v>
      </c>
      <c r="AO179" s="89">
        <f>INDEX(LINEST((AV179:AZ179),LN(AV178:AZ178),TRUE,TRUE),3,1)</f>
        <v>0.97211781206171111</v>
      </c>
      <c r="AP179" s="89">
        <f>INDEX(LINEST((AV179:AZ179),LN(AV178:AZ178)),1)</f>
        <v>-6.5786893864536733E-2</v>
      </c>
      <c r="AQ179" s="90">
        <f t="shared" ref="AQ179" si="7">INDEX(LINEST(LN(AV179:AZ179),SQRT(AV178:AZ178),TRUE,TRUE),3,1)</f>
        <v>0.90272228418776945</v>
      </c>
      <c r="AR179" s="117">
        <f t="shared" ref="AR179" si="8">INDEX(LINEST(LN(AV179:AZ179),SQRT((AV178:AZ178))),1)</f>
        <v>-7.6240298157408362E-2</v>
      </c>
      <c r="AS179" s="91">
        <f t="shared" ref="AS179" si="9">INDEX(LINEST(1/(AV179:AZ179),1/(SQRT(AV178:AZ178)),TRUE,TRUE),3,1)</f>
        <v>0.94992583969954492</v>
      </c>
      <c r="AT179" s="91">
        <f t="shared" ref="AT179" si="10">INDEX(LINEST(1/(AV179:AZ179),1/SQRT(AV178:AZ178)),1)</f>
        <v>-1.641455555814473</v>
      </c>
      <c r="AU179" s="3"/>
      <c r="AV179" s="73">
        <v>0.57699999999999996</v>
      </c>
      <c r="AW179" s="73">
        <v>0.52400000000000002</v>
      </c>
      <c r="AX179" s="73">
        <v>0.47499999999999998</v>
      </c>
      <c r="AY179" s="73">
        <v>0.41599999999999998</v>
      </c>
      <c r="AZ179" s="73">
        <v>0.40300000000000002</v>
      </c>
      <c r="BA179" s="53"/>
      <c r="BB179" s="53"/>
      <c r="BC179" s="53"/>
      <c r="BD179" s="53"/>
      <c r="BE179" s="53"/>
      <c r="BF179" s="53"/>
      <c r="BG179" s="53"/>
      <c r="BH179" s="53"/>
      <c r="BI179" s="53"/>
      <c r="BJ179" s="53"/>
      <c r="BK179" s="53"/>
      <c r="BL179" s="53"/>
      <c r="BM179" s="53"/>
      <c r="BN179" s="53"/>
      <c r="BO179" s="53"/>
      <c r="BP179" s="53"/>
      <c r="BQ179" s="53"/>
      <c r="BR179" s="53"/>
      <c r="BS179" s="53"/>
      <c r="BT179" s="53"/>
      <c r="BU179" s="53"/>
      <c r="BV179" s="53"/>
      <c r="BW179" s="53"/>
      <c r="BX179" s="53"/>
      <c r="BY179" s="53"/>
      <c r="BZ179" s="53"/>
      <c r="CA179" s="53"/>
      <c r="CB179" s="53"/>
      <c r="CC179" s="53"/>
      <c r="CD179" s="53"/>
      <c r="CE179" s="53"/>
      <c r="CF179" s="53"/>
      <c r="CG179" s="53"/>
      <c r="CH179" s="53"/>
      <c r="CI179" s="53"/>
      <c r="CJ179" s="53"/>
      <c r="CK179" s="53"/>
      <c r="CL179" s="53"/>
      <c r="CM179" s="53"/>
      <c r="CN179" s="53"/>
      <c r="CO179" s="53"/>
      <c r="CP179" s="53"/>
      <c r="CQ179" s="53"/>
      <c r="CR179" s="1"/>
      <c r="CS179" s="1"/>
      <c r="CT179" s="1"/>
      <c r="CU179" s="1"/>
    </row>
    <row r="180" spans="1:99" ht="12" customHeight="1" x14ac:dyDescent="0.2">
      <c r="A180" s="68">
        <v>43916</v>
      </c>
      <c r="B180" s="127"/>
      <c r="C180" s="127"/>
      <c r="D180" s="107"/>
      <c r="E180" s="143"/>
      <c r="F180" s="107"/>
      <c r="G180" s="107"/>
      <c r="H180" s="107"/>
      <c r="I180" s="107"/>
      <c r="J180" s="107"/>
      <c r="K180" s="107"/>
      <c r="L180" s="107"/>
      <c r="M180" s="107"/>
      <c r="N180" s="107"/>
      <c r="O180" s="107"/>
      <c r="P180" s="107"/>
      <c r="Q180" s="107"/>
      <c r="R180" s="69"/>
      <c r="S180" s="107"/>
      <c r="T180" s="107"/>
      <c r="U180" s="60"/>
      <c r="V180" s="107"/>
      <c r="W180" s="69"/>
      <c r="X180" s="107"/>
      <c r="Y180" s="87"/>
      <c r="Z180" s="107"/>
      <c r="AA180" s="107"/>
      <c r="AB180" s="69"/>
      <c r="AC180" s="69"/>
      <c r="AD180" s="69"/>
      <c r="AE180" s="69"/>
      <c r="AF180" s="88"/>
      <c r="AG180" s="72"/>
      <c r="AH180" s="4"/>
      <c r="AI180" s="72"/>
      <c r="AJ180" s="110"/>
      <c r="AK180" s="72"/>
      <c r="AL180" s="72"/>
      <c r="AM180" s="72"/>
      <c r="AN180" s="72"/>
      <c r="AO180" s="72"/>
      <c r="AP180" s="72"/>
      <c r="AQ180" s="89"/>
      <c r="AR180" s="118"/>
      <c r="AS180" s="89"/>
      <c r="AT180" s="89"/>
      <c r="AU180" s="4"/>
      <c r="AV180" s="71">
        <v>1</v>
      </c>
      <c r="AW180" s="71">
        <v>4</v>
      </c>
      <c r="AX180" s="71">
        <v>10</v>
      </c>
    </row>
    <row r="181" spans="1:99" s="15" customFormat="1" ht="12" customHeight="1" x14ac:dyDescent="0.2">
      <c r="A181" s="68">
        <v>43916</v>
      </c>
      <c r="B181" s="94" t="s">
        <v>552</v>
      </c>
      <c r="C181" s="94" t="s">
        <v>551</v>
      </c>
      <c r="D181" s="92">
        <v>2009</v>
      </c>
      <c r="E181" s="87">
        <v>1</v>
      </c>
      <c r="F181" s="69">
        <v>12</v>
      </c>
      <c r="G181" s="69">
        <v>12</v>
      </c>
      <c r="H181" s="69" t="s">
        <v>553</v>
      </c>
      <c r="I181" s="69" t="s">
        <v>555</v>
      </c>
      <c r="J181" s="69" t="s">
        <v>764</v>
      </c>
      <c r="K181" s="69">
        <f>IF(J181="syllables",1,IF(J181="trigrams",2,IF(J181="strings",3,IF(J181="visual array",4,IF(J181="characters",5,IF(J181="letters",6,IF(J181="free forms",7,IF(J181="odors",8,IF(J181="words",9,IF(J181="pictures",10,IF(J181="object pictures",11,IF(J181="faces",12,IF(J181="names",13,IF(J181="idioms",14,IF(J181="grades",15,IF(J181="syllable-digit pairs",16,IF(J181="trigram-word pairs",17,IF(J181="word-digit pairs",18,IF(J181="English-Swahili pairs",19,IF(J181="spatial position",20,IF(J181="word pairs",21,IF(J181="word triads",22,IF(J181="generated words",23,IF(J181="word definition pairs",24,IF(J181="math problems",25,IF(J181="famous faces",26,IF(J181="famous names",27,IF(J181="famous voices",28,IF(J181="television programs",29,IF(J181="race horses",30,IF(J181="new vocabulary",31,IF(J181="sentences",32,IF(J181="concepts",33,IF(J181="ad slides",34,IF(J181="scenes",35,IF(J181="famous scenes",36,IF(J181="poems",37,IF(J181="walk",38,IF(J181="faces and events",39,IF(J181="events and names",40,IF(J181="flashbulb",41,IF(J181="stories",42,IF(J181="course material",43,IF(J181="autobiographical",44,IF(J181="novels",45,IF(J181="public events",46,"99"))))))))))))))))))))))))))))))))))))))))))))))</f>
        <v>4</v>
      </c>
      <c r="L181" s="69">
        <f>IF(J181="syllables",1,IF(J181="trigrams",1,IF(J181="strings",1,IF(J181="visual array",1,IF(J181="characters",1,IF(J181="letters",1,IF(J181="free forms",1,IF(J181="odors",2,IF(J181="words",2,IF(J181="pictures",2,IF(J181="object pictures",2,IF(J181="faces",2,IF(J181="names",2,IF(J181="idioms","2",IF(J181="grades",2,IF(J181="syllable-digit pairs",3,IF(J181="trigram-word pairs",3,IF(J181="word-digit pairs",3,IF(J181="English-Swahili pairs",3,IF(J181="spatial position",3,IF(J181="word pairs",4,IF(J181="word triads",4,IF(J181="generated words",4,IF(J181="word definition pairs",4,IF(J181="math problems",4,IF(J181="famous faces",4,IF(J181="famous names",4,IF(J181="famous voices",4,IF(J181="television programs",4,IF(J181="race horses",4,IF(J181="new vocabulary",4,IF(J181="sentences",5,IF(J181="concepts",5,IF(J181="ad slides",5,IF(J181="scenes",5,IF(J181="famous scenes",5,IF(J181="poems",6,IF(J181="walk",6,IF(J181="faces and events",6,IF(J181="events and names",6,IF(J181="flashbulb",7,IF(J181="stories",7,IF(J181="course material",7,IF(J181="autobiographical",7,IF(J181="novels",7,IF(J181="public events",7,"99"))))))))))))))))))))))))))))))))))))))))))))))</f>
        <v>1</v>
      </c>
      <c r="M181" s="69">
        <v>0</v>
      </c>
      <c r="N181" s="69">
        <v>1</v>
      </c>
      <c r="O181" s="69">
        <v>0</v>
      </c>
      <c r="P181" s="92"/>
      <c r="Q181" s="69" t="s">
        <v>174</v>
      </c>
      <c r="R181" s="69">
        <f>IF(Q181="Free Recall",1,IF(Q181="Cued Recall",2,IF(Q181="Recognition",3,IF(Q181="Multiple Choice",4,IF(Q181="Savings",5,IF(Q181="Stem Completion",6,IF(Q181="Fragment Completion",7,IF(Q181="anagram solution",8,IF(Q181="Matching",9,IF(Q181="Problem Solving",10,"99"))))))))))</f>
        <v>1</v>
      </c>
      <c r="S181" s="69" t="s">
        <v>295</v>
      </c>
      <c r="T181" s="92" t="s">
        <v>581</v>
      </c>
      <c r="U181" s="60">
        <f>IF(T181="within",1,0)</f>
        <v>1</v>
      </c>
      <c r="V181" s="92">
        <v>150</v>
      </c>
      <c r="W181" s="69">
        <f>F181*V181</f>
        <v>1800</v>
      </c>
      <c r="X181" s="69">
        <v>3</v>
      </c>
      <c r="Y181" s="87">
        <f>AV180</f>
        <v>1</v>
      </c>
      <c r="Z181" s="69" t="s">
        <v>554</v>
      </c>
      <c r="AA181" s="92">
        <v>10</v>
      </c>
      <c r="AB181" s="69" t="str">
        <f>IF(AA181&lt;60,"1",IF(AA181&lt;=43200,"2",IF(AA181&lt;=777600,"3","4")))</f>
        <v>1</v>
      </c>
      <c r="AC181" s="72">
        <f t="shared" ref="AC181" si="11">AVERAGE(AV180:DA180)</f>
        <v>5</v>
      </c>
      <c r="AD181" s="69" t="str">
        <f>IF(AC181&lt;60,"1",IF(AC181&lt;=43200,"2",IF(AC181&lt;=777600,"3","4")))</f>
        <v>1</v>
      </c>
      <c r="AE181" s="87">
        <f>AA181-Y181</f>
        <v>9</v>
      </c>
      <c r="AF181" s="88">
        <f>AV181</f>
        <v>0.74</v>
      </c>
      <c r="AG181" s="72">
        <f>((AW181-AV181)+(AX181-AW181))/2</f>
        <v>-4.9999999999999989E-2</v>
      </c>
      <c r="AH181" s="4"/>
      <c r="AI181" s="72">
        <f>RSQ(AV181:AX181,AV180:AX180)</f>
        <v>0.89285714285714257</v>
      </c>
      <c r="AJ181" s="110">
        <f>SLOPE(AV181:AX181,AV180:AX180)</f>
        <v>-1.1904761904761902E-2</v>
      </c>
      <c r="AK181" s="72">
        <f>INTERCEPT(AV181:AX181,AV180:AX180)</f>
        <v>0.7661904761904762</v>
      </c>
      <c r="AL181" s="72">
        <f>INDEX(LINEST(LN(AV181:AX181),LN(AV180:AX180),TRUE,TRUE),3,1)</f>
        <v>0.64248899495600853</v>
      </c>
      <c r="AM181" s="72">
        <f>INDEX(LINEST(LN(AV181:AX181),LN(AV180:AX180)),1)</f>
        <v>-5.7956782843279799E-2</v>
      </c>
      <c r="AN181" s="72">
        <f>EXP(INDEX(LINEST(LN(AV181:AX181),LN(AV180:AX180)),1,2))</f>
        <v>0.75711970981043697</v>
      </c>
      <c r="AO181" s="89">
        <f>INDEX(LINEST((AV181:AX181),LN(AV180:AX180),TRUE,TRUE),3,1)</f>
        <v>0.64248899495600842</v>
      </c>
      <c r="AP181" s="89">
        <f>INDEX(LINEST((AV181:AX181),LN(AV180:AX180)),1)</f>
        <v>-3.9920085763626205E-2</v>
      </c>
      <c r="AQ181" s="90">
        <f t="shared" ref="AQ181" si="12">INDEX(LINEST(LN(AV181:AX181),SQRT(AV180:AX180),TRUE,TRUE),3,1)</f>
        <v>0.78651740841292606</v>
      </c>
      <c r="AR181" s="117">
        <f t="shared" ref="AR181" si="13">INDEX(LINEST(LN(AV181:AX181),SQRT((AV180:AX180))),1)</f>
        <v>-6.8693805413656203E-2</v>
      </c>
      <c r="AS181" s="91">
        <f t="shared" ref="AS181" si="14">INDEX(LINEST(1/(AV181:AX181),1/(SQRT(AV180:AX180)),TRUE,TRUE),3,1)</f>
        <v>0.50087626293017951</v>
      </c>
      <c r="AT181" s="91">
        <f t="shared" ref="AT181" si="15">INDEX(LINEST(1/(AV181:AX181),1/SQRT(AV180:AX180)),1)</f>
        <v>-0.24381308385450498</v>
      </c>
      <c r="AU181" s="3"/>
      <c r="AV181" s="73">
        <f>1-0.26</f>
        <v>0.74</v>
      </c>
      <c r="AW181" s="73">
        <f>1-0.26</f>
        <v>0.74</v>
      </c>
      <c r="AX181" s="73">
        <f>1-0.36</f>
        <v>0.64</v>
      </c>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c r="BW181" s="11"/>
      <c r="BX181" s="11"/>
      <c r="BY181" s="11"/>
      <c r="BZ181" s="11"/>
      <c r="CA181" s="11"/>
      <c r="CB181" s="11"/>
      <c r="CC181" s="11"/>
      <c r="CD181" s="11"/>
      <c r="CE181" s="11"/>
      <c r="CF181" s="11"/>
      <c r="CG181" s="11"/>
      <c r="CH181" s="11"/>
      <c r="CI181" s="11"/>
      <c r="CJ181" s="11"/>
      <c r="CK181" s="11"/>
      <c r="CL181" s="11"/>
      <c r="CM181" s="11"/>
      <c r="CN181" s="11"/>
      <c r="CO181" s="11"/>
      <c r="CP181" s="11"/>
      <c r="CQ181" s="11"/>
    </row>
    <row r="182" spans="1:99" ht="12" customHeight="1" x14ac:dyDescent="0.2">
      <c r="A182" s="68">
        <v>43916</v>
      </c>
      <c r="B182" s="127"/>
      <c r="C182" s="127"/>
      <c r="D182" s="107"/>
      <c r="E182" s="143"/>
      <c r="F182" s="107"/>
      <c r="G182" s="107"/>
      <c r="H182" s="107"/>
      <c r="I182" s="107"/>
      <c r="J182" s="107"/>
      <c r="K182" s="107"/>
      <c r="L182" s="107"/>
      <c r="M182" s="107"/>
      <c r="N182" s="107"/>
      <c r="O182" s="107"/>
      <c r="P182" s="107"/>
      <c r="Q182" s="107"/>
      <c r="R182" s="69"/>
      <c r="S182" s="107"/>
      <c r="T182" s="107"/>
      <c r="U182" s="60"/>
      <c r="V182" s="107"/>
      <c r="W182" s="69"/>
      <c r="X182" s="107"/>
      <c r="Y182" s="87"/>
      <c r="Z182" s="107"/>
      <c r="AA182" s="107"/>
      <c r="AB182" s="69"/>
      <c r="AC182" s="69"/>
      <c r="AD182" s="69"/>
      <c r="AE182" s="69"/>
      <c r="AF182" s="88"/>
      <c r="AG182" s="72"/>
      <c r="AH182" s="4"/>
      <c r="AI182" s="72"/>
      <c r="AJ182" s="110"/>
      <c r="AK182" s="72"/>
      <c r="AL182" s="72"/>
      <c r="AM182" s="72"/>
      <c r="AN182" s="72"/>
      <c r="AO182" s="72"/>
      <c r="AP182" s="72"/>
      <c r="AQ182" s="89"/>
      <c r="AR182" s="118"/>
      <c r="AS182" s="89"/>
      <c r="AT182" s="89"/>
      <c r="AU182" s="4"/>
      <c r="AV182" s="71">
        <v>1</v>
      </c>
      <c r="AW182" s="71">
        <v>4</v>
      </c>
      <c r="AX182" s="71">
        <v>10</v>
      </c>
    </row>
    <row r="183" spans="1:99" ht="12" customHeight="1" x14ac:dyDescent="0.2">
      <c r="A183" s="68">
        <v>43916</v>
      </c>
      <c r="B183" s="94" t="s">
        <v>552</v>
      </c>
      <c r="C183" s="94" t="s">
        <v>551</v>
      </c>
      <c r="D183" s="92">
        <v>2009</v>
      </c>
      <c r="E183" s="87">
        <v>1</v>
      </c>
      <c r="F183" s="69">
        <v>12</v>
      </c>
      <c r="G183" s="69">
        <v>12</v>
      </c>
      <c r="H183" s="69" t="s">
        <v>557</v>
      </c>
      <c r="I183" s="69" t="s">
        <v>556</v>
      </c>
      <c r="J183" s="69" t="s">
        <v>764</v>
      </c>
      <c r="K183" s="69">
        <f>IF(J183="syllables",1,IF(J183="trigrams",2,IF(J183="strings",3,IF(J183="visual array",4,IF(J183="characters",5,IF(J183="letters",6,IF(J183="free forms",7,IF(J183="odors",8,IF(J183="words",9,IF(J183="pictures",10,IF(J183="object pictures",11,IF(J183="faces",12,IF(J183="names",13,IF(J183="idioms",14,IF(J183="grades",15,IF(J183="syllable-digit pairs",16,IF(J183="trigram-word pairs",17,IF(J183="word-digit pairs",18,IF(J183="English-Swahili pairs",19,IF(J183="spatial position",20,IF(J183="word pairs",21,IF(J183="word triads",22,IF(J183="generated words",23,IF(J183="word definition pairs",24,IF(J183="math problems",25,IF(J183="famous faces",26,IF(J183="famous names",27,IF(J183="famous voices",28,IF(J183="television programs",29,IF(J183="race horses",30,IF(J183="new vocabulary",31,IF(J183="sentences",32,IF(J183="concepts",33,IF(J183="ad slides",34,IF(J183="scenes",35,IF(J183="famous scenes",36,IF(J183="poems",37,IF(J183="walk",38,IF(J183="faces and events",39,IF(J183="events and names",40,IF(J183="flashbulb",41,IF(J183="stories",42,IF(J183="course material",43,IF(J183="autobiographical",44,IF(J183="novels",45,IF(J183="public events",46,"99"))))))))))))))))))))))))))))))))))))))))))))))</f>
        <v>4</v>
      </c>
      <c r="L183" s="69">
        <f>IF(J183="syllables",1,IF(J183="trigrams",1,IF(J183="strings",1,IF(J183="visual array",1,IF(J183="characters",1,IF(J183="letters",1,IF(J183="free forms",1,IF(J183="odors",2,IF(J183="words",2,IF(J183="pictures",2,IF(J183="object pictures",2,IF(J183="faces",2,IF(J183="names",2,IF(J183="idioms","2",IF(J183="grades",2,IF(J183="syllable-digit pairs",3,IF(J183="trigram-word pairs",3,IF(J183="word-digit pairs",3,IF(J183="English-Swahili pairs",3,IF(J183="spatial position",3,IF(J183="word pairs",4,IF(J183="word triads",4,IF(J183="generated words",4,IF(J183="word definition pairs",4,IF(J183="math problems",4,IF(J183="famous faces",4,IF(J183="famous names",4,IF(J183="famous voices",4,IF(J183="television programs",4,IF(J183="race horses",4,IF(J183="new vocabulary",4,IF(J183="sentences",5,IF(J183="concepts",5,IF(J183="ad slides",5,IF(J183="scenes",5,IF(J183="famous scenes",5,IF(J183="poems",6,IF(J183="walk",6,IF(J183="faces and events",6,IF(J183="events and names",6,IF(J183="flashbulb",7,IF(J183="stories",7,IF(J183="course material",7,IF(J183="autobiographical",7,IF(J183="novels",7,IF(J183="public events",7,"99"))))))))))))))))))))))))))))))))))))))))))))))</f>
        <v>1</v>
      </c>
      <c r="M183" s="69">
        <v>0</v>
      </c>
      <c r="N183" s="69">
        <v>1</v>
      </c>
      <c r="O183" s="69">
        <v>0</v>
      </c>
      <c r="P183" s="92"/>
      <c r="Q183" s="69" t="s">
        <v>174</v>
      </c>
      <c r="R183" s="69">
        <f>IF(Q183="Free Recall",1,IF(Q183="Cued Recall",2,IF(Q183="Recognition",3,IF(Q183="Multiple Choice",4,IF(Q183="Savings",5,IF(Q183="Stem Completion",6,IF(Q183="Fragment Completion",7,IF(Q183="anagram solution",8,IF(Q183="Matching",9,IF(Q183="Problem Solving",10,"99"))))))))))</f>
        <v>1</v>
      </c>
      <c r="S183" s="69" t="s">
        <v>295</v>
      </c>
      <c r="T183" s="92" t="s">
        <v>581</v>
      </c>
      <c r="U183" s="60">
        <f>IF(T183="within",1,0)</f>
        <v>1</v>
      </c>
      <c r="V183" s="92">
        <v>150</v>
      </c>
      <c r="W183" s="69">
        <f>F183*V183</f>
        <v>1800</v>
      </c>
      <c r="X183" s="69">
        <v>3</v>
      </c>
      <c r="Y183" s="87">
        <f>AV182</f>
        <v>1</v>
      </c>
      <c r="Z183" s="69" t="s">
        <v>554</v>
      </c>
      <c r="AA183" s="92">
        <v>10</v>
      </c>
      <c r="AB183" s="69" t="str">
        <f>IF(AA183&lt;60,"1",IF(AA183&lt;=43200,"2",IF(AA183&lt;=777600,"3","4")))</f>
        <v>1</v>
      </c>
      <c r="AC183" s="72">
        <f t="shared" ref="AC183" si="16">AVERAGE(AV182:DA182)</f>
        <v>5</v>
      </c>
      <c r="AD183" s="69" t="str">
        <f>IF(AC183&lt;60,"1",IF(AC183&lt;=43200,"2",IF(AC183&lt;=777600,"3","4")))</f>
        <v>1</v>
      </c>
      <c r="AE183" s="87">
        <f>AA183-Y183</f>
        <v>9</v>
      </c>
      <c r="AF183" s="88">
        <f>AV183</f>
        <v>0.6</v>
      </c>
      <c r="AG183" s="72">
        <f>((AW183-AV183)+(AX183-AW183))/2</f>
        <v>-7.0000000000000007E-2</v>
      </c>
      <c r="AH183" s="4"/>
      <c r="AI183" s="72">
        <f>RSQ(AV183:AX183,AV182:AX182)</f>
        <v>0.96013289036544824</v>
      </c>
      <c r="AJ183" s="110">
        <f>SLOPE(AV183:AX183,AV182:AX182)</f>
        <v>-1.6190476190476193E-2</v>
      </c>
      <c r="AK183" s="72">
        <f>INTERCEPT(AV183:AX183,AV182:AX182)</f>
        <v>0.62761904761904774</v>
      </c>
      <c r="AL183" s="72">
        <f>INDEX(LINEST(LN(AV183:AX183),LN(AV182:AX182),TRUE,TRUE),3,1)</f>
        <v>0.75015262170069064</v>
      </c>
      <c r="AM183" s="72">
        <f>INDEX(LINEST(LN(AV183:AX183),LN(AV182:AX182)),1)</f>
        <v>-0.10804502759734136</v>
      </c>
      <c r="AN183" s="72">
        <f>EXP(INDEX(LINEST(LN(AV183:AX183),LN(AV182:AX182)),1,2))</f>
        <v>0.6201221306467396</v>
      </c>
      <c r="AO183" s="89">
        <f>INDEX(LINEST((AV183:AX183),LN(AV182:AX182),TRUE,TRUE),3,1)</f>
        <v>0.7630009254687028</v>
      </c>
      <c r="AP183" s="89">
        <f>INDEX(LINEST((AV183:AX183),LN(AV182:AX182)),1)</f>
        <v>-5.7053905033116026E-2</v>
      </c>
      <c r="AQ183" s="90">
        <f t="shared" ref="AQ183" si="17">INDEX(LINEST(LN(AV183:AX183),SQRT(AV182:AX182),TRUE,TRUE),3,1)</f>
        <v>0.87404263347715105</v>
      </c>
      <c r="AR183" s="117">
        <f t="shared" ref="AR183" si="18">INDEX(LINEST(LN(AV183:AX183),SQRT((AV182:AX182))),1)</f>
        <v>-0.1249361906101744</v>
      </c>
      <c r="AS183" s="91">
        <f t="shared" ref="AS183" si="19">INDEX(LINEST(1/(AV183:AX183),1/(SQRT(AV182:AX182)),TRUE,TRUE),3,1)</f>
        <v>0.60375758475279429</v>
      </c>
      <c r="AT183" s="91">
        <f t="shared" ref="AT183" si="20">INDEX(LINEST(1/(AV183:AX183),1/SQRT(AV182:AX182)),1)</f>
        <v>-0.60990631041617172</v>
      </c>
      <c r="AU183" s="3"/>
      <c r="AV183" s="73">
        <f>1-0.4</f>
        <v>0.6</v>
      </c>
      <c r="AW183" s="73">
        <f>1-0.42</f>
        <v>0.58000000000000007</v>
      </c>
      <c r="AX183" s="73">
        <f>1-0.54</f>
        <v>0.45999999999999996</v>
      </c>
    </row>
    <row r="184" spans="1:99" ht="12" customHeight="1" x14ac:dyDescent="0.2">
      <c r="R184" s="60"/>
      <c r="U184" s="60"/>
      <c r="W184" s="60"/>
      <c r="Y184" s="76"/>
      <c r="AB184" s="60"/>
      <c r="AD184" s="60"/>
      <c r="AE184" s="60"/>
      <c r="AF184" s="80"/>
    </row>
    <row r="185" spans="1:99" ht="12" customHeight="1" x14ac:dyDescent="0.2">
      <c r="K185" s="60"/>
      <c r="R185" s="60"/>
      <c r="U185" s="60"/>
      <c r="X185" s="64">
        <f>SUM(X3:X183)</f>
        <v>349</v>
      </c>
      <c r="Y185" s="64"/>
      <c r="AB185" s="60"/>
      <c r="AD185" s="60"/>
      <c r="AE185" s="77"/>
      <c r="AF185" s="57"/>
      <c r="AM185" s="57">
        <f>AVERAGE(AM3:AM183)</f>
        <v>-0.16586695976753829</v>
      </c>
    </row>
    <row r="186" spans="1:99" ht="12" customHeight="1" x14ac:dyDescent="0.2">
      <c r="R186" s="60"/>
      <c r="Y186" s="64"/>
      <c r="AB186" s="60"/>
      <c r="AD186" s="60"/>
      <c r="AF186" s="64"/>
      <c r="AM186" s="57">
        <f>MEDIAN(AM3:AM183)</f>
        <v>-6.6633265431732133E-2</v>
      </c>
    </row>
    <row r="187" spans="1:99" ht="12" customHeight="1" x14ac:dyDescent="0.2">
      <c r="K187" s="60"/>
      <c r="R187" s="60"/>
      <c r="Y187" s="64"/>
      <c r="AB187" s="60"/>
      <c r="AD187" s="60"/>
      <c r="AF187" s="64"/>
      <c r="AM187" s="57">
        <f>MIN(AM3:AM183)</f>
        <v>-1.3114119812826739</v>
      </c>
    </row>
    <row r="188" spans="1:99" ht="12" customHeight="1" x14ac:dyDescent="0.2">
      <c r="R188" s="60"/>
      <c r="Y188" s="64"/>
      <c r="AB188" s="60"/>
      <c r="AD188" s="60"/>
      <c r="AF188" s="57"/>
      <c r="AM188" s="57">
        <f>MAX(AM3:AM183)</f>
        <v>-3.9743751452330058E-3</v>
      </c>
    </row>
    <row r="189" spans="1:99" ht="12" customHeight="1" x14ac:dyDescent="0.2">
      <c r="K189" s="60"/>
      <c r="R189" s="60"/>
      <c r="Y189" s="64"/>
      <c r="AB189" s="60"/>
      <c r="AD189" s="60"/>
      <c r="AF189" s="64"/>
      <c r="AM189" s="64">
        <f xml:space="preserve"> STDEV(AM3:AM183)</f>
        <v>0.25648496864833176</v>
      </c>
    </row>
    <row r="190" spans="1:99" ht="12" customHeight="1" x14ac:dyDescent="0.2">
      <c r="R190" s="60"/>
      <c r="W190" s="60"/>
      <c r="Y190" s="76"/>
      <c r="AB190" s="60"/>
      <c r="AD190" s="60"/>
      <c r="AE190" s="60"/>
      <c r="AF190" s="80"/>
      <c r="AM190" s="64">
        <f xml:space="preserve"> STDEV(AM3:AM183)/SQRT(COUNT(AM3:AM183))</f>
        <v>2.688693034811428E-2</v>
      </c>
    </row>
    <row r="191" spans="1:99" ht="12" customHeight="1" x14ac:dyDescent="0.2">
      <c r="K191" s="60"/>
      <c r="R191" s="60"/>
      <c r="W191" s="60"/>
      <c r="Y191" s="76"/>
      <c r="AB191" s="60"/>
      <c r="AD191" s="60"/>
      <c r="AE191" s="76"/>
      <c r="AF191" s="80"/>
    </row>
    <row r="192" spans="1:99" ht="12" customHeight="1" x14ac:dyDescent="0.2">
      <c r="R192" s="60"/>
      <c r="W192" s="60"/>
      <c r="Y192" s="76"/>
      <c r="AB192" s="60"/>
      <c r="AD192" s="60"/>
      <c r="AE192" s="60"/>
      <c r="AF192" s="80"/>
    </row>
    <row r="193" spans="11:32" ht="12" customHeight="1" x14ac:dyDescent="0.2">
      <c r="K193" s="60"/>
      <c r="L193" s="60"/>
      <c r="R193" s="60"/>
      <c r="W193" s="60"/>
      <c r="Y193" s="76"/>
      <c r="AB193" s="60"/>
      <c r="AE193" s="76"/>
      <c r="AF193" s="80"/>
    </row>
    <row r="194" spans="11:32" ht="12" customHeight="1" x14ac:dyDescent="0.2">
      <c r="R194" s="60"/>
      <c r="W194" s="60"/>
      <c r="Y194" s="76"/>
      <c r="AB194" s="60"/>
      <c r="AE194" s="60"/>
      <c r="AF194" s="80"/>
    </row>
    <row r="195" spans="11:32" ht="12" customHeight="1" x14ac:dyDescent="0.2">
      <c r="K195" s="60"/>
      <c r="L195" s="60"/>
      <c r="R195" s="60"/>
      <c r="W195" s="60"/>
      <c r="Y195" s="76"/>
      <c r="AB195" s="60"/>
      <c r="AE195" s="76"/>
      <c r="AF195" s="80"/>
    </row>
    <row r="196" spans="11:32" ht="12" customHeight="1" x14ac:dyDescent="0.2">
      <c r="R196" s="60"/>
      <c r="W196" s="60"/>
      <c r="Y196" s="76"/>
      <c r="AB196" s="60"/>
      <c r="AE196" s="60"/>
      <c r="AF196" s="80"/>
    </row>
    <row r="197" spans="11:32" ht="12" customHeight="1" x14ac:dyDescent="0.2">
      <c r="K197" s="60"/>
      <c r="L197" s="60"/>
      <c r="R197" s="60"/>
      <c r="W197" s="60"/>
      <c r="Y197" s="76"/>
      <c r="AB197" s="60"/>
      <c r="AE197" s="76"/>
      <c r="AF197" s="80"/>
    </row>
    <row r="198" spans="11:32" ht="12" customHeight="1" x14ac:dyDescent="0.2">
      <c r="R198" s="60"/>
      <c r="W198" s="60"/>
      <c r="Y198" s="76"/>
      <c r="AB198" s="60"/>
      <c r="AE198" s="60"/>
      <c r="AF198" s="80"/>
    </row>
    <row r="199" spans="11:32" ht="12" customHeight="1" x14ac:dyDescent="0.2">
      <c r="K199" s="60"/>
      <c r="L199" s="60"/>
      <c r="R199" s="60"/>
      <c r="W199" s="60"/>
      <c r="Y199" s="76"/>
      <c r="AB199" s="60"/>
      <c r="AE199" s="76"/>
      <c r="AF199" s="80"/>
    </row>
    <row r="200" spans="11:32" ht="12" customHeight="1" x14ac:dyDescent="0.2">
      <c r="R200" s="60"/>
      <c r="W200" s="60"/>
      <c r="Y200" s="76"/>
      <c r="AB200" s="60"/>
      <c r="AE200" s="60"/>
      <c r="AF200" s="80"/>
    </row>
    <row r="201" spans="11:32" ht="12" customHeight="1" x14ac:dyDescent="0.2">
      <c r="K201" s="60"/>
      <c r="L201" s="60"/>
      <c r="R201" s="60"/>
      <c r="W201" s="60"/>
      <c r="Y201" s="76"/>
      <c r="AB201" s="60"/>
      <c r="AE201" s="76"/>
      <c r="AF201" s="80"/>
    </row>
    <row r="202" spans="11:32" ht="12" customHeight="1" x14ac:dyDescent="0.2">
      <c r="R202" s="60"/>
      <c r="W202" s="60"/>
      <c r="Y202" s="76"/>
      <c r="AB202" s="60"/>
      <c r="AE202" s="60"/>
      <c r="AF202" s="80"/>
    </row>
    <row r="203" spans="11:32" ht="12" customHeight="1" x14ac:dyDescent="0.2">
      <c r="K203" s="60"/>
      <c r="L203" s="60"/>
      <c r="R203" s="60"/>
      <c r="W203" s="60"/>
      <c r="Y203" s="76"/>
      <c r="AB203" s="60"/>
      <c r="AE203" s="76"/>
      <c r="AF203" s="80"/>
    </row>
    <row r="204" spans="11:32" ht="12" customHeight="1" x14ac:dyDescent="0.2">
      <c r="R204" s="60"/>
      <c r="W204" s="60"/>
      <c r="Y204" s="76"/>
      <c r="AB204" s="60"/>
      <c r="AE204" s="60"/>
      <c r="AF204" s="80"/>
    </row>
    <row r="205" spans="11:32" ht="12" customHeight="1" x14ac:dyDescent="0.2">
      <c r="K205" s="60"/>
      <c r="L205" s="60"/>
      <c r="R205" s="60"/>
      <c r="W205" s="60"/>
      <c r="Y205" s="76"/>
      <c r="AB205" s="60"/>
      <c r="AE205" s="76"/>
      <c r="AF205" s="80"/>
    </row>
    <row r="206" spans="11:32" ht="12" customHeight="1" x14ac:dyDescent="0.2">
      <c r="R206" s="60"/>
      <c r="W206" s="60"/>
      <c r="Y206" s="76"/>
      <c r="AB206" s="60"/>
      <c r="AE206" s="60"/>
      <c r="AF206" s="80"/>
    </row>
    <row r="207" spans="11:32" ht="12" customHeight="1" x14ac:dyDescent="0.2">
      <c r="K207" s="60"/>
      <c r="L207" s="60"/>
      <c r="R207" s="60"/>
      <c r="W207" s="60"/>
      <c r="Y207" s="76"/>
      <c r="AB207" s="60"/>
      <c r="AE207" s="76"/>
      <c r="AF207" s="80"/>
    </row>
    <row r="208" spans="11:32" ht="12" customHeight="1" x14ac:dyDescent="0.2">
      <c r="R208" s="60"/>
      <c r="W208" s="60"/>
      <c r="Y208" s="76"/>
      <c r="AB208" s="60"/>
      <c r="AE208" s="60"/>
      <c r="AF208" s="80"/>
    </row>
    <row r="209" spans="11:32" ht="12" customHeight="1" x14ac:dyDescent="0.2">
      <c r="K209" s="60"/>
      <c r="L209" s="60"/>
      <c r="R209" s="60"/>
      <c r="W209" s="60"/>
      <c r="Y209" s="76"/>
      <c r="AB209" s="60"/>
      <c r="AE209" s="76"/>
      <c r="AF209" s="80"/>
    </row>
    <row r="210" spans="11:32" ht="12" customHeight="1" x14ac:dyDescent="0.2">
      <c r="R210" s="60"/>
      <c r="W210" s="60"/>
      <c r="Y210" s="76"/>
      <c r="AB210" s="60"/>
      <c r="AE210" s="60"/>
      <c r="AF210" s="80"/>
    </row>
    <row r="211" spans="11:32" ht="12" customHeight="1" x14ac:dyDescent="0.2">
      <c r="K211" s="60"/>
      <c r="L211" s="60"/>
      <c r="R211" s="60"/>
      <c r="W211" s="60"/>
      <c r="Y211" s="76"/>
      <c r="AB211" s="60"/>
      <c r="AE211" s="76"/>
      <c r="AF211" s="80"/>
    </row>
    <row r="212" spans="11:32" ht="12" customHeight="1" x14ac:dyDescent="0.2">
      <c r="R212" s="60"/>
      <c r="W212" s="60"/>
      <c r="Y212" s="76"/>
      <c r="AB212" s="60"/>
      <c r="AE212" s="60"/>
      <c r="AF212" s="80"/>
    </row>
    <row r="213" spans="11:32" ht="12" customHeight="1" x14ac:dyDescent="0.2">
      <c r="K213" s="60"/>
      <c r="L213" s="60"/>
      <c r="R213" s="60"/>
      <c r="W213" s="60"/>
      <c r="Y213" s="76"/>
      <c r="AB213" s="60"/>
      <c r="AE213" s="76"/>
      <c r="AF213" s="80"/>
    </row>
    <row r="214" spans="11:32" ht="12" customHeight="1" x14ac:dyDescent="0.2">
      <c r="R214" s="60"/>
      <c r="W214" s="60"/>
      <c r="Y214" s="76"/>
      <c r="AB214" s="60"/>
      <c r="AE214" s="60"/>
      <c r="AF214" s="80"/>
    </row>
    <row r="215" spans="11:32" ht="12" customHeight="1" x14ac:dyDescent="0.2">
      <c r="K215" s="60"/>
      <c r="L215" s="60"/>
      <c r="R215" s="60"/>
      <c r="W215" s="60"/>
      <c r="Y215" s="76"/>
      <c r="AB215" s="60"/>
      <c r="AE215" s="76"/>
      <c r="AF215" s="80"/>
    </row>
    <row r="216" spans="11:32" ht="12" customHeight="1" x14ac:dyDescent="0.2">
      <c r="W216" s="60"/>
      <c r="Y216" s="76"/>
      <c r="AB216" s="60"/>
      <c r="AE216" s="60"/>
      <c r="AF216" s="80"/>
    </row>
    <row r="217" spans="11:32" ht="12" customHeight="1" x14ac:dyDescent="0.2">
      <c r="K217" s="60"/>
      <c r="L217" s="60"/>
      <c r="W217" s="60"/>
      <c r="Y217" s="76"/>
      <c r="AE217" s="76"/>
      <c r="AF217" s="80"/>
    </row>
    <row r="218" spans="11:32" ht="12" customHeight="1" x14ac:dyDescent="0.2">
      <c r="W218" s="60"/>
      <c r="Y218" s="76"/>
      <c r="AE218" s="60"/>
      <c r="AF218" s="80"/>
    </row>
    <row r="219" spans="11:32" ht="12" customHeight="1" x14ac:dyDescent="0.2">
      <c r="K219" s="60"/>
      <c r="L219" s="60"/>
      <c r="W219" s="60"/>
      <c r="Y219" s="76"/>
      <c r="AE219" s="76"/>
      <c r="AF219" s="80"/>
    </row>
    <row r="220" spans="11:32" ht="12" customHeight="1" x14ac:dyDescent="0.2">
      <c r="W220" s="60"/>
      <c r="Y220" s="76"/>
      <c r="AE220" s="60"/>
      <c r="AF220" s="80"/>
    </row>
    <row r="221" spans="11:32" ht="12" customHeight="1" x14ac:dyDescent="0.2">
      <c r="K221" s="60"/>
      <c r="L221" s="60"/>
      <c r="W221" s="60"/>
      <c r="Y221" s="76"/>
      <c r="AE221" s="76"/>
      <c r="AF221" s="80"/>
    </row>
    <row r="222" spans="11:32" ht="12" customHeight="1" x14ac:dyDescent="0.2">
      <c r="W222" s="60"/>
      <c r="Y222" s="76"/>
      <c r="AE222" s="60"/>
      <c r="AF222" s="80"/>
    </row>
    <row r="223" spans="11:32" ht="12" customHeight="1" x14ac:dyDescent="0.2">
      <c r="K223" s="60"/>
      <c r="L223" s="60"/>
      <c r="W223" s="60"/>
      <c r="Y223" s="76"/>
      <c r="AE223" s="76"/>
      <c r="AF223" s="80"/>
    </row>
    <row r="225" spans="11:12" ht="12" customHeight="1" x14ac:dyDescent="0.2">
      <c r="K225" s="60"/>
      <c r="L225" s="60"/>
    </row>
  </sheetData>
  <conditionalFormatting sqref="AC18 AC20 AC22 AC24 AC32 AC34 AC36 AC38 AC40 AC42 AC44 AC46 AC48 AC50 AC52 AC54 AC56 AC58 AC60 AC68 AC70 AC72 AC74 AC76 AC78 AC80 AC82 AC84 AC86 AC88 AC90 AC92 AC96 AC98 AC100 AC102 AC104 AC106 AC140 AC146 AC148 AC162 AC164 AC166 AC168 AC170 AC172 AC174 AC176 AC178 AG24 AG22 AG20 AG18 AG46 AG44 AG42 AG40 AG38 AG36 AG34 AG32 AG60 AG58 AG56 AG54 AG52 AG50 AG48 AG92 AG90 AG88 AG86 AG84 AG82 AG80 AG78 AG76 AG74 AG72 AG70 AG68 AG106 AG104 AG102 AG100 AG98 AG96 AG148 AG146 AG140 AG174 AG172 AG170 AG168 AG166 AG164 AG162 AG178 AG176 E26:I26">
    <cfRule type="expression" dxfId="2228" priority="1057">
      <formula>MOD(ROW(),2)=1</formula>
    </cfRule>
  </conditionalFormatting>
  <conditionalFormatting sqref="J26">
    <cfRule type="expression" dxfId="2227" priority="1037">
      <formula>MOD(ROW(),2)=1</formula>
    </cfRule>
  </conditionalFormatting>
  <conditionalFormatting sqref="I30:J30">
    <cfRule type="expression" dxfId="2226" priority="1027">
      <formula>MOD(ROW(),2)=1</formula>
    </cfRule>
  </conditionalFormatting>
  <conditionalFormatting sqref="AC158 AG158">
    <cfRule type="expression" dxfId="2225" priority="954">
      <formula>MOD(ROW(),2)=1</formula>
    </cfRule>
  </conditionalFormatting>
  <conditionalFormatting sqref="AC160 AG160">
    <cfRule type="expression" dxfId="2224" priority="952">
      <formula>MOD(ROW(),2)=1</formula>
    </cfRule>
  </conditionalFormatting>
  <conditionalFormatting sqref="AC182 AG182">
    <cfRule type="expression" dxfId="2223" priority="949">
      <formula>MOD(ROW(),2)=1</formula>
    </cfRule>
  </conditionalFormatting>
  <conditionalFormatting sqref="AC120 AG120">
    <cfRule type="expression" dxfId="2222" priority="942">
      <formula>MOD(ROW(),2)=1</formula>
    </cfRule>
  </conditionalFormatting>
  <conditionalFormatting sqref="AC180 AG180">
    <cfRule type="expression" dxfId="2221" priority="950">
      <formula>MOD(ROW(),2)=1</formula>
    </cfRule>
  </conditionalFormatting>
  <conditionalFormatting sqref="AC128 AG128">
    <cfRule type="expression" dxfId="2220" priority="938">
      <formula>MOD(ROW(),2)=1</formula>
    </cfRule>
  </conditionalFormatting>
  <conditionalFormatting sqref="AC108 AG108">
    <cfRule type="expression" dxfId="2219" priority="948">
      <formula>MOD(ROW(),2)=1</formula>
    </cfRule>
  </conditionalFormatting>
  <conditionalFormatting sqref="AC110 AG110">
    <cfRule type="expression" dxfId="2218" priority="947">
      <formula>MOD(ROW(),2)=1</formula>
    </cfRule>
  </conditionalFormatting>
  <conditionalFormatting sqref="AC112 AG112">
    <cfRule type="expression" dxfId="2217" priority="946">
      <formula>MOD(ROW(),2)=1</formula>
    </cfRule>
  </conditionalFormatting>
  <conditionalFormatting sqref="AC114 AG114">
    <cfRule type="expression" dxfId="2216" priority="945">
      <formula>MOD(ROW(),2)=1</formula>
    </cfRule>
  </conditionalFormatting>
  <conditionalFormatting sqref="AC116 AG116">
    <cfRule type="expression" dxfId="2215" priority="944">
      <formula>MOD(ROW(),2)=1</formula>
    </cfRule>
  </conditionalFormatting>
  <conditionalFormatting sqref="AC118 AG118">
    <cfRule type="expression" dxfId="2214" priority="943">
      <formula>MOD(ROW(),2)=1</formula>
    </cfRule>
  </conditionalFormatting>
  <conditionalFormatting sqref="AC136 AG136">
    <cfRule type="expression" dxfId="2213" priority="934">
      <formula>MOD(ROW(),2)=1</formula>
    </cfRule>
  </conditionalFormatting>
  <conditionalFormatting sqref="AC122 AG122">
    <cfRule type="expression" dxfId="2212" priority="941">
      <formula>MOD(ROW(),2)=1</formula>
    </cfRule>
  </conditionalFormatting>
  <conditionalFormatting sqref="AC124 AG124">
    <cfRule type="expression" dxfId="2211" priority="940">
      <formula>MOD(ROW(),2)=1</formula>
    </cfRule>
  </conditionalFormatting>
  <conditionalFormatting sqref="AC126 AG126">
    <cfRule type="expression" dxfId="2210" priority="939">
      <formula>MOD(ROW(),2)=1</formula>
    </cfRule>
  </conditionalFormatting>
  <conditionalFormatting sqref="AC130 AG130">
    <cfRule type="expression" dxfId="2209" priority="937">
      <formula>MOD(ROW(),2)=1</formula>
    </cfRule>
  </conditionalFormatting>
  <conditionalFormatting sqref="AC132 AG132">
    <cfRule type="expression" dxfId="2208" priority="936">
      <formula>MOD(ROW(),2)=1</formula>
    </cfRule>
  </conditionalFormatting>
  <conditionalFormatting sqref="AC134 AG134">
    <cfRule type="expression" dxfId="2207" priority="935">
      <formula>MOD(ROW(),2)=1</formula>
    </cfRule>
  </conditionalFormatting>
  <conditionalFormatting sqref="AB6">
    <cfRule type="expression" dxfId="2206" priority="932">
      <formula>MOD(ROW(),2)=1</formula>
    </cfRule>
  </conditionalFormatting>
  <conditionalFormatting sqref="AB98">
    <cfRule type="expression" dxfId="2205" priority="921">
      <formula>MOD(ROW(),2)=1</formula>
    </cfRule>
  </conditionalFormatting>
  <conditionalFormatting sqref="AD2">
    <cfRule type="expression" dxfId="2204" priority="907">
      <formula>MOD(ROW(),2)=1</formula>
    </cfRule>
  </conditionalFormatting>
  <conditionalFormatting sqref="AD16">
    <cfRule type="expression" dxfId="2203" priority="906">
      <formula>MOD(ROW(),2)=1</formula>
    </cfRule>
  </conditionalFormatting>
  <conditionalFormatting sqref="AD22 AD24">
    <cfRule type="expression" dxfId="2202" priority="900">
      <formula>MOD(ROW(),2)=1</formula>
    </cfRule>
  </conditionalFormatting>
  <conditionalFormatting sqref="AD46">
    <cfRule type="expression" dxfId="2201" priority="894">
      <formula>MOD(ROW(),2)=1</formula>
    </cfRule>
  </conditionalFormatting>
  <conditionalFormatting sqref="AD48 AD50">
    <cfRule type="expression" dxfId="2200" priority="893">
      <formula>MOD(ROW(),2)=1</formula>
    </cfRule>
  </conditionalFormatting>
  <conditionalFormatting sqref="AD76 AD78 AD80 AD82 AD84 AD86 AD88 AD90">
    <cfRule type="expression" dxfId="2199" priority="892">
      <formula>MOD(ROW(),2)=1</formula>
    </cfRule>
  </conditionalFormatting>
  <conditionalFormatting sqref="AD96 AD98 AD120 AD122 AD124 AD126 AD128 AD130 AD132 AD134 AD136 AD100">
    <cfRule type="expression" dxfId="2198" priority="891">
      <formula>MOD(ROW(),2)=1</formula>
    </cfRule>
  </conditionalFormatting>
  <conditionalFormatting sqref="AD138">
    <cfRule type="expression" dxfId="2197" priority="886">
      <formula>MOD(ROW(),2)=1</formula>
    </cfRule>
  </conditionalFormatting>
  <conditionalFormatting sqref="AD140 AD146 AD148 AD158">
    <cfRule type="expression" dxfId="2196" priority="884">
      <formula>MOD(ROW(),2)=1</formula>
    </cfRule>
  </conditionalFormatting>
  <conditionalFormatting sqref="AD162 AD164 AD166 AD168 AD170 AD172 AD174">
    <cfRule type="expression" dxfId="2195" priority="883">
      <formula>MOD(ROW(),2)=1</formula>
    </cfRule>
  </conditionalFormatting>
  <conditionalFormatting sqref="AD176 AD180 AD182 AD184 AD186 AD188 AD190 AD178">
    <cfRule type="expression" dxfId="2194" priority="881">
      <formula>MOD(ROW(),2)=1</formula>
    </cfRule>
  </conditionalFormatting>
  <conditionalFormatting sqref="Y2">
    <cfRule type="expression" dxfId="2193" priority="834">
      <formula>MOD(ROW(),2)=1</formula>
    </cfRule>
  </conditionalFormatting>
  <conditionalFormatting sqref="Y6">
    <cfRule type="expression" dxfId="2192" priority="831">
      <formula>MOD(ROW(),2)=1</formula>
    </cfRule>
  </conditionalFormatting>
  <conditionalFormatting sqref="Y10">
    <cfRule type="expression" dxfId="2191" priority="830">
      <formula>MOD(ROW(),2)=1</formula>
    </cfRule>
  </conditionalFormatting>
  <conditionalFormatting sqref="Y16">
    <cfRule type="expression" dxfId="2190" priority="818">
      <formula>MOD(ROW(),2)=1</formula>
    </cfRule>
  </conditionalFormatting>
  <conditionalFormatting sqref="Y18">
    <cfRule type="expression" dxfId="2189" priority="765">
      <formula>MOD(ROW(),2)=1</formula>
    </cfRule>
  </conditionalFormatting>
  <conditionalFormatting sqref="Y22">
    <cfRule type="expression" dxfId="2188" priority="764">
      <formula>MOD(ROW(),2)=1</formula>
    </cfRule>
  </conditionalFormatting>
  <conditionalFormatting sqref="Y26">
    <cfRule type="expression" dxfId="2187" priority="756">
      <formula>MOD(ROW(),2)=1</formula>
    </cfRule>
  </conditionalFormatting>
  <conditionalFormatting sqref="Y34">
    <cfRule type="expression" dxfId="2186" priority="710">
      <formula>MOD(ROW(),2)=1</formula>
    </cfRule>
  </conditionalFormatting>
  <conditionalFormatting sqref="Y38">
    <cfRule type="expression" dxfId="2185" priority="709">
      <formula>MOD(ROW(),2)=1</formula>
    </cfRule>
  </conditionalFormatting>
  <conditionalFormatting sqref="Y42">
    <cfRule type="expression" dxfId="2184" priority="708">
      <formula>MOD(ROW(),2)=1</formula>
    </cfRule>
  </conditionalFormatting>
  <conditionalFormatting sqref="Y46">
    <cfRule type="expression" dxfId="2183" priority="707">
      <formula>MOD(ROW(),2)=1</formula>
    </cfRule>
  </conditionalFormatting>
  <conditionalFormatting sqref="Y50">
    <cfRule type="expression" dxfId="2182" priority="701">
      <formula>MOD(ROW(),2)=1</formula>
    </cfRule>
  </conditionalFormatting>
  <conditionalFormatting sqref="Y54">
    <cfRule type="expression" dxfId="2181" priority="700">
      <formula>MOD(ROW(),2)=1</formula>
    </cfRule>
  </conditionalFormatting>
  <conditionalFormatting sqref="Y58">
    <cfRule type="expression" dxfId="2180" priority="699">
      <formula>MOD(ROW(),2)=1</formula>
    </cfRule>
  </conditionalFormatting>
  <conditionalFormatting sqref="Y68">
    <cfRule type="expression" dxfId="2179" priority="687">
      <formula>MOD(ROW(),2)=1</formula>
    </cfRule>
  </conditionalFormatting>
  <conditionalFormatting sqref="Y72">
    <cfRule type="expression" dxfId="2178" priority="686">
      <formula>MOD(ROW(),2)=1</formula>
    </cfRule>
  </conditionalFormatting>
  <conditionalFormatting sqref="Y76">
    <cfRule type="expression" dxfId="2177" priority="685">
      <formula>MOD(ROW(),2)=1</formula>
    </cfRule>
  </conditionalFormatting>
  <conditionalFormatting sqref="Y78">
    <cfRule type="expression" dxfId="2176" priority="684">
      <formula>MOD(ROW(),2)=1</formula>
    </cfRule>
  </conditionalFormatting>
  <conditionalFormatting sqref="Y82">
    <cfRule type="expression" dxfId="2175" priority="683">
      <formula>MOD(ROW(),2)=1</formula>
    </cfRule>
  </conditionalFormatting>
  <conditionalFormatting sqref="Y86">
    <cfRule type="expression" dxfId="2174" priority="682">
      <formula>MOD(ROW(),2)=1</formula>
    </cfRule>
  </conditionalFormatting>
  <conditionalFormatting sqref="Y90">
    <cfRule type="expression" dxfId="2173" priority="681">
      <formula>MOD(ROW(),2)=1</formula>
    </cfRule>
  </conditionalFormatting>
  <conditionalFormatting sqref="Y96">
    <cfRule type="expression" dxfId="2172" priority="680">
      <formula>MOD(ROW(),2)=1</formula>
    </cfRule>
  </conditionalFormatting>
  <conditionalFormatting sqref="Y100">
    <cfRule type="expression" dxfId="2171" priority="679">
      <formula>MOD(ROW(),2)=1</formula>
    </cfRule>
  </conditionalFormatting>
  <conditionalFormatting sqref="Y104">
    <cfRule type="expression" dxfId="2170" priority="678">
      <formula>MOD(ROW(),2)=1</formula>
    </cfRule>
  </conditionalFormatting>
  <conditionalFormatting sqref="Y108">
    <cfRule type="expression" dxfId="2169" priority="677">
      <formula>MOD(ROW(),2)=1</formula>
    </cfRule>
  </conditionalFormatting>
  <conditionalFormatting sqref="Y112">
    <cfRule type="expression" dxfId="2168" priority="676">
      <formula>MOD(ROW(),2)=1</formula>
    </cfRule>
  </conditionalFormatting>
  <conditionalFormatting sqref="Y116">
    <cfRule type="expression" dxfId="2167" priority="675">
      <formula>MOD(ROW(),2)=1</formula>
    </cfRule>
  </conditionalFormatting>
  <conditionalFormatting sqref="Y120">
    <cfRule type="expression" dxfId="2166" priority="674">
      <formula>MOD(ROW(),2)=1</formula>
    </cfRule>
  </conditionalFormatting>
  <conditionalFormatting sqref="Y124">
    <cfRule type="expression" dxfId="2165" priority="673">
      <formula>MOD(ROW(),2)=1</formula>
    </cfRule>
  </conditionalFormatting>
  <conditionalFormatting sqref="Y128">
    <cfRule type="expression" dxfId="2164" priority="672">
      <formula>MOD(ROW(),2)=1</formula>
    </cfRule>
  </conditionalFormatting>
  <conditionalFormatting sqref="Y132">
    <cfRule type="expression" dxfId="2163" priority="671">
      <formula>MOD(ROW(),2)=1</formula>
    </cfRule>
  </conditionalFormatting>
  <conditionalFormatting sqref="Y136">
    <cfRule type="expression" dxfId="2162" priority="670">
      <formula>MOD(ROW(),2)=1</formula>
    </cfRule>
  </conditionalFormatting>
  <conditionalFormatting sqref="Y146">
    <cfRule type="expression" dxfId="2161" priority="602">
      <formula>MOD(ROW(),2)=1</formula>
    </cfRule>
  </conditionalFormatting>
  <conditionalFormatting sqref="Y162">
    <cfRule type="expression" dxfId="2160" priority="592">
      <formula>MOD(ROW(),2)=1</formula>
    </cfRule>
  </conditionalFormatting>
  <conditionalFormatting sqref="Y166">
    <cfRule type="expression" dxfId="2159" priority="591">
      <formula>MOD(ROW(),2)=1</formula>
    </cfRule>
  </conditionalFormatting>
  <conditionalFormatting sqref="Y170">
    <cfRule type="expression" dxfId="2158" priority="590">
      <formula>MOD(ROW(),2)=1</formula>
    </cfRule>
  </conditionalFormatting>
  <conditionalFormatting sqref="Y174">
    <cfRule type="expression" dxfId="2157" priority="589">
      <formula>MOD(ROW(),2)=1</formula>
    </cfRule>
  </conditionalFormatting>
  <conditionalFormatting sqref="Y178">
    <cfRule type="expression" dxfId="2156" priority="587">
      <formula>MOD(ROW(),2)=1</formula>
    </cfRule>
  </conditionalFormatting>
  <conditionalFormatting sqref="Y182">
    <cfRule type="expression" dxfId="2155" priority="580">
      <formula>MOD(ROW(),2)=1</formula>
    </cfRule>
  </conditionalFormatting>
  <conditionalFormatting sqref="Y190">
    <cfRule type="expression" dxfId="2154" priority="579">
      <formula>MOD(ROW(),2)=1</formula>
    </cfRule>
  </conditionalFormatting>
  <conditionalFormatting sqref="Y194">
    <cfRule type="expression" dxfId="2153" priority="578">
      <formula>MOD(ROW(),2)=1</formula>
    </cfRule>
  </conditionalFormatting>
  <conditionalFormatting sqref="Y198">
    <cfRule type="expression" dxfId="2152" priority="577">
      <formula>MOD(ROW(),2)=1</formula>
    </cfRule>
  </conditionalFormatting>
  <conditionalFormatting sqref="Y202">
    <cfRule type="expression" dxfId="2151" priority="576">
      <formula>MOD(ROW(),2)=1</formula>
    </cfRule>
  </conditionalFormatting>
  <conditionalFormatting sqref="Y206">
    <cfRule type="expression" dxfId="2150" priority="575">
      <formula>MOD(ROW(),2)=1</formula>
    </cfRule>
  </conditionalFormatting>
  <conditionalFormatting sqref="Y210">
    <cfRule type="expression" dxfId="2149" priority="574">
      <formula>MOD(ROW(),2)=1</formula>
    </cfRule>
  </conditionalFormatting>
  <conditionalFormatting sqref="Y214">
    <cfRule type="expression" dxfId="2148" priority="573">
      <formula>MOD(ROW(),2)=1</formula>
    </cfRule>
  </conditionalFormatting>
  <conditionalFormatting sqref="Y218">
    <cfRule type="expression" dxfId="2147" priority="572">
      <formula>MOD(ROW(),2)=1</formula>
    </cfRule>
  </conditionalFormatting>
  <conditionalFormatting sqref="Y222">
    <cfRule type="expression" dxfId="2146" priority="571">
      <formula>MOD(ROW(),2)=1</formula>
    </cfRule>
  </conditionalFormatting>
  <conditionalFormatting sqref="W2">
    <cfRule type="expression" dxfId="2145" priority="524">
      <formula>MOD(ROW(),2)=1</formula>
    </cfRule>
  </conditionalFormatting>
  <conditionalFormatting sqref="W6">
    <cfRule type="expression" dxfId="2144" priority="521">
      <formula>MOD(ROW(),2)=1</formula>
    </cfRule>
  </conditionalFormatting>
  <conditionalFormatting sqref="W10">
    <cfRule type="expression" dxfId="2143" priority="520">
      <formula>MOD(ROW(),2)=1</formula>
    </cfRule>
  </conditionalFormatting>
  <conditionalFormatting sqref="W16">
    <cfRule type="expression" dxfId="2142" priority="508">
      <formula>MOD(ROW(),2)=1</formula>
    </cfRule>
  </conditionalFormatting>
  <conditionalFormatting sqref="W18">
    <cfRule type="expression" dxfId="2141" priority="455">
      <formula>MOD(ROW(),2)=1</formula>
    </cfRule>
  </conditionalFormatting>
  <conditionalFormatting sqref="W22">
    <cfRule type="expression" dxfId="2140" priority="454">
      <formula>MOD(ROW(),2)=1</formula>
    </cfRule>
  </conditionalFormatting>
  <conditionalFormatting sqref="W26">
    <cfRule type="expression" dxfId="2139" priority="446">
      <formula>MOD(ROW(),2)=1</formula>
    </cfRule>
  </conditionalFormatting>
  <conditionalFormatting sqref="W34">
    <cfRule type="expression" dxfId="2138" priority="400">
      <formula>MOD(ROW(),2)=1</formula>
    </cfRule>
  </conditionalFormatting>
  <conditionalFormatting sqref="W38">
    <cfRule type="expression" dxfId="2137" priority="399">
      <formula>MOD(ROW(),2)=1</formula>
    </cfRule>
  </conditionalFormatting>
  <conditionalFormatting sqref="W42">
    <cfRule type="expression" dxfId="2136" priority="398">
      <formula>MOD(ROW(),2)=1</formula>
    </cfRule>
  </conditionalFormatting>
  <conditionalFormatting sqref="W46">
    <cfRule type="expression" dxfId="2135" priority="397">
      <formula>MOD(ROW(),2)=1</formula>
    </cfRule>
  </conditionalFormatting>
  <conditionalFormatting sqref="W50">
    <cfRule type="expression" dxfId="2134" priority="391">
      <formula>MOD(ROW(),2)=1</formula>
    </cfRule>
  </conditionalFormatting>
  <conditionalFormatting sqref="W54">
    <cfRule type="expression" dxfId="2133" priority="390">
      <formula>MOD(ROW(),2)=1</formula>
    </cfRule>
  </conditionalFormatting>
  <conditionalFormatting sqref="W58">
    <cfRule type="expression" dxfId="2132" priority="389">
      <formula>MOD(ROW(),2)=1</formula>
    </cfRule>
  </conditionalFormatting>
  <conditionalFormatting sqref="W68">
    <cfRule type="expression" dxfId="2131" priority="377">
      <formula>MOD(ROW(),2)=1</formula>
    </cfRule>
  </conditionalFormatting>
  <conditionalFormatting sqref="W72">
    <cfRule type="expression" dxfId="2130" priority="376">
      <formula>MOD(ROW(),2)=1</formula>
    </cfRule>
  </conditionalFormatting>
  <conditionalFormatting sqref="W76">
    <cfRule type="expression" dxfId="2129" priority="375">
      <formula>MOD(ROW(),2)=1</formula>
    </cfRule>
  </conditionalFormatting>
  <conditionalFormatting sqref="W78">
    <cfRule type="expression" dxfId="2128" priority="374">
      <formula>MOD(ROW(),2)=1</formula>
    </cfRule>
  </conditionalFormatting>
  <conditionalFormatting sqref="W82">
    <cfRule type="expression" dxfId="2127" priority="373">
      <formula>MOD(ROW(),2)=1</formula>
    </cfRule>
  </conditionalFormatting>
  <conditionalFormatting sqref="W86">
    <cfRule type="expression" dxfId="2126" priority="372">
      <formula>MOD(ROW(),2)=1</formula>
    </cfRule>
  </conditionalFormatting>
  <conditionalFormatting sqref="W90">
    <cfRule type="expression" dxfId="2125" priority="371">
      <formula>MOD(ROW(),2)=1</formula>
    </cfRule>
  </conditionalFormatting>
  <conditionalFormatting sqref="W96">
    <cfRule type="expression" dxfId="2124" priority="370">
      <formula>MOD(ROW(),2)=1</formula>
    </cfRule>
  </conditionalFormatting>
  <conditionalFormatting sqref="W100">
    <cfRule type="expression" dxfId="2123" priority="369">
      <formula>MOD(ROW(),2)=1</formula>
    </cfRule>
  </conditionalFormatting>
  <conditionalFormatting sqref="W104">
    <cfRule type="expression" dxfId="2122" priority="368">
      <formula>MOD(ROW(),2)=1</formula>
    </cfRule>
  </conditionalFormatting>
  <conditionalFormatting sqref="W108">
    <cfRule type="expression" dxfId="2121" priority="367">
      <formula>MOD(ROW(),2)=1</formula>
    </cfRule>
  </conditionalFormatting>
  <conditionalFormatting sqref="W112">
    <cfRule type="expression" dxfId="2120" priority="366">
      <formula>MOD(ROW(),2)=1</formula>
    </cfRule>
  </conditionalFormatting>
  <conditionalFormatting sqref="W116">
    <cfRule type="expression" dxfId="2119" priority="365">
      <formula>MOD(ROW(),2)=1</formula>
    </cfRule>
  </conditionalFormatting>
  <conditionalFormatting sqref="W120">
    <cfRule type="expression" dxfId="2118" priority="364">
      <formula>MOD(ROW(),2)=1</formula>
    </cfRule>
  </conditionalFormatting>
  <conditionalFormatting sqref="W124">
    <cfRule type="expression" dxfId="2117" priority="363">
      <formula>MOD(ROW(),2)=1</formula>
    </cfRule>
  </conditionalFormatting>
  <conditionalFormatting sqref="W128">
    <cfRule type="expression" dxfId="2116" priority="362">
      <formula>MOD(ROW(),2)=1</formula>
    </cfRule>
  </conditionalFormatting>
  <conditionalFormatting sqref="W132">
    <cfRule type="expression" dxfId="2115" priority="361">
      <formula>MOD(ROW(),2)=1</formula>
    </cfRule>
  </conditionalFormatting>
  <conditionalFormatting sqref="W136">
    <cfRule type="expression" dxfId="2114" priority="360">
      <formula>MOD(ROW(),2)=1</formula>
    </cfRule>
  </conditionalFormatting>
  <conditionalFormatting sqref="W146">
    <cfRule type="expression" dxfId="2113" priority="292">
      <formula>MOD(ROW(),2)=1</formula>
    </cfRule>
  </conditionalFormatting>
  <conditionalFormatting sqref="W162">
    <cfRule type="expression" dxfId="2112" priority="282">
      <formula>MOD(ROW(),2)=1</formula>
    </cfRule>
  </conditionalFormatting>
  <conditionalFormatting sqref="W166">
    <cfRule type="expression" dxfId="2111" priority="281">
      <formula>MOD(ROW(),2)=1</formula>
    </cfRule>
  </conditionalFormatting>
  <conditionalFormatting sqref="W170">
    <cfRule type="expression" dxfId="2110" priority="280">
      <formula>MOD(ROW(),2)=1</formula>
    </cfRule>
  </conditionalFormatting>
  <conditionalFormatting sqref="W174">
    <cfRule type="expression" dxfId="2109" priority="279">
      <formula>MOD(ROW(),2)=1</formula>
    </cfRule>
  </conditionalFormatting>
  <conditionalFormatting sqref="W178">
    <cfRule type="expression" dxfId="2108" priority="277">
      <formula>MOD(ROW(),2)=1</formula>
    </cfRule>
  </conditionalFormatting>
  <conditionalFormatting sqref="W182">
    <cfRule type="expression" dxfId="2107" priority="270">
      <formula>MOD(ROW(),2)=1</formula>
    </cfRule>
  </conditionalFormatting>
  <conditionalFormatting sqref="W190">
    <cfRule type="expression" dxfId="2106" priority="269">
      <formula>MOD(ROW(),2)=1</formula>
    </cfRule>
  </conditionalFormatting>
  <conditionalFormatting sqref="W194">
    <cfRule type="expression" dxfId="2105" priority="268">
      <formula>MOD(ROW(),2)=1</formula>
    </cfRule>
  </conditionalFormatting>
  <conditionalFormatting sqref="W198">
    <cfRule type="expression" dxfId="2104" priority="267">
      <formula>MOD(ROW(),2)=1</formula>
    </cfRule>
  </conditionalFormatting>
  <conditionalFormatting sqref="W202">
    <cfRule type="expression" dxfId="2103" priority="266">
      <formula>MOD(ROW(),2)=1</formula>
    </cfRule>
  </conditionalFormatting>
  <conditionalFormatting sqref="W206">
    <cfRule type="expression" dxfId="2102" priority="265">
      <formula>MOD(ROW(),2)=1</formula>
    </cfRule>
  </conditionalFormatting>
  <conditionalFormatting sqref="W210">
    <cfRule type="expression" dxfId="2101" priority="264">
      <formula>MOD(ROW(),2)=1</formula>
    </cfRule>
  </conditionalFormatting>
  <conditionalFormatting sqref="W214">
    <cfRule type="expression" dxfId="2100" priority="263">
      <formula>MOD(ROW(),2)=1</formula>
    </cfRule>
  </conditionalFormatting>
  <conditionalFormatting sqref="W218">
    <cfRule type="expression" dxfId="2099" priority="262">
      <formula>MOD(ROW(),2)=1</formula>
    </cfRule>
  </conditionalFormatting>
  <conditionalFormatting sqref="W222">
    <cfRule type="expression" dxfId="2098" priority="261">
      <formula>MOD(ROW(),2)=1</formula>
    </cfRule>
  </conditionalFormatting>
  <conditionalFormatting sqref="E30:I30">
    <cfRule type="expression" dxfId="2097" priority="241">
      <formula>MOD(ROW(),2)=1</formula>
    </cfRule>
  </conditionalFormatting>
  <conditionalFormatting sqref="AC94 AG94">
    <cfRule type="expression" dxfId="2096" priority="236">
      <formula>MOD(ROW(),2)=1</formula>
    </cfRule>
  </conditionalFormatting>
  <conditionalFormatting sqref="AC142 AC144 AG144 AG142">
    <cfRule type="expression" dxfId="2095" priority="220">
      <formula>MOD(ROW(),2)=1</formula>
    </cfRule>
  </conditionalFormatting>
  <conditionalFormatting sqref="AD142 AD144">
    <cfRule type="expression" dxfId="2094" priority="219">
      <formula>MOD(ROW(),2)=1</formula>
    </cfRule>
  </conditionalFormatting>
  <conditionalFormatting sqref="Y142">
    <cfRule type="expression" dxfId="2093" priority="218">
      <formula>MOD(ROW(),2)=1</formula>
    </cfRule>
  </conditionalFormatting>
  <conditionalFormatting sqref="W142">
    <cfRule type="expression" dxfId="2092" priority="217">
      <formula>MOD(ROW(),2)=1</formula>
    </cfRule>
  </conditionalFormatting>
  <conditionalFormatting sqref="W150">
    <cfRule type="expression" dxfId="2091" priority="209">
      <formula>MOD(ROW(),2)=1</formula>
    </cfRule>
  </conditionalFormatting>
  <conditionalFormatting sqref="AC154 AC156 AG156 AG154">
    <cfRule type="expression" dxfId="2090" priority="216">
      <formula>MOD(ROW(),2)=1</formula>
    </cfRule>
  </conditionalFormatting>
  <conditionalFormatting sqref="AD154 AD156">
    <cfRule type="expression" dxfId="2089" priority="215">
      <formula>MOD(ROW(),2)=1</formula>
    </cfRule>
  </conditionalFormatting>
  <conditionalFormatting sqref="Y154">
    <cfRule type="expression" dxfId="2088" priority="214">
      <formula>MOD(ROW(),2)=1</formula>
    </cfRule>
  </conditionalFormatting>
  <conditionalFormatting sqref="W154">
    <cfRule type="expression" dxfId="2087" priority="213">
      <formula>MOD(ROW(),2)=1</formula>
    </cfRule>
  </conditionalFormatting>
  <conditionalFormatting sqref="AC150 AC152 AG152 AG150">
    <cfRule type="expression" dxfId="2086" priority="212">
      <formula>MOD(ROW(),2)=1</formula>
    </cfRule>
  </conditionalFormatting>
  <conditionalFormatting sqref="AD150 AD152">
    <cfRule type="expression" dxfId="2085" priority="211">
      <formula>MOD(ROW(),2)=1</formula>
    </cfRule>
  </conditionalFormatting>
  <conditionalFormatting sqref="Y150">
    <cfRule type="expression" dxfId="2084" priority="210">
      <formula>MOD(ROW(),2)=1</formula>
    </cfRule>
  </conditionalFormatting>
  <conditionalFormatting sqref="U2">
    <cfRule type="expression" dxfId="2083" priority="138">
      <formula>MOD(ROW(),2)=1</formula>
    </cfRule>
  </conditionalFormatting>
  <conditionalFormatting sqref="U10 U12 U8">
    <cfRule type="expression" dxfId="2082" priority="136">
      <formula>MOD(ROW(),2)=1</formula>
    </cfRule>
  </conditionalFormatting>
  <conditionalFormatting sqref="U16 U14">
    <cfRule type="expression" dxfId="2081" priority="130">
      <formula>MOD(ROW(),2)=1</formula>
    </cfRule>
  </conditionalFormatting>
  <conditionalFormatting sqref="U18 U20">
    <cfRule type="expression" dxfId="2080" priority="104">
      <formula>MOD(ROW(),2)=1</formula>
    </cfRule>
  </conditionalFormatting>
  <conditionalFormatting sqref="U24">
    <cfRule type="expression" dxfId="2079" priority="103">
      <formula>MOD(ROW(),2)=1</formula>
    </cfRule>
  </conditionalFormatting>
  <conditionalFormatting sqref="U26">
    <cfRule type="expression" dxfId="2078" priority="100">
      <formula>MOD(ROW(),2)=1</formula>
    </cfRule>
  </conditionalFormatting>
  <conditionalFormatting sqref="U30">
    <cfRule type="expression" dxfId="2077" priority="79">
      <formula>MOD(ROW(),2)=1</formula>
    </cfRule>
  </conditionalFormatting>
  <conditionalFormatting sqref="U32">
    <cfRule type="expression" dxfId="2076" priority="72">
      <formula>MOD(ROW(),2)=1</formula>
    </cfRule>
  </conditionalFormatting>
  <conditionalFormatting sqref="U38 U40 U36">
    <cfRule type="expression" dxfId="2075" priority="71">
      <formula>MOD(ROW(),2)=1</formula>
    </cfRule>
  </conditionalFormatting>
  <conditionalFormatting sqref="U46 U44">
    <cfRule type="expression" dxfId="2074" priority="70">
      <formula>MOD(ROW(),2)=1</formula>
    </cfRule>
  </conditionalFormatting>
  <conditionalFormatting sqref="U50 U52 U48">
    <cfRule type="expression" dxfId="2073" priority="65">
      <formula>MOD(ROW(),2)=1</formula>
    </cfRule>
  </conditionalFormatting>
  <conditionalFormatting sqref="U58 U60 U56">
    <cfRule type="expression" dxfId="2072" priority="64">
      <formula>MOD(ROW(),2)=1</formula>
    </cfRule>
  </conditionalFormatting>
  <conditionalFormatting sqref="U66 U64">
    <cfRule type="expression" dxfId="2071" priority="63">
      <formula>MOD(ROW(),2)=1</formula>
    </cfRule>
  </conditionalFormatting>
  <conditionalFormatting sqref="U68">
    <cfRule type="expression" dxfId="2070" priority="57">
      <formula>MOD(ROW(),2)=1</formula>
    </cfRule>
  </conditionalFormatting>
  <conditionalFormatting sqref="U74 U76 U72">
    <cfRule type="expression" dxfId="2069" priority="56">
      <formula>MOD(ROW(),2)=1</formula>
    </cfRule>
  </conditionalFormatting>
  <conditionalFormatting sqref="U80 U82 U78">
    <cfRule type="expression" dxfId="2068" priority="55">
      <formula>MOD(ROW(),2)=1</formula>
    </cfRule>
  </conditionalFormatting>
  <conditionalFormatting sqref="U88 U90 U86">
    <cfRule type="expression" dxfId="2067" priority="54">
      <formula>MOD(ROW(),2)=1</formula>
    </cfRule>
  </conditionalFormatting>
  <conditionalFormatting sqref="U96 U98 U94">
    <cfRule type="expression" dxfId="2066" priority="53">
      <formula>MOD(ROW(),2)=1</formula>
    </cfRule>
  </conditionalFormatting>
  <conditionalFormatting sqref="U104 U106 U102">
    <cfRule type="expression" dxfId="2065" priority="52">
      <formula>MOD(ROW(),2)=1</formula>
    </cfRule>
  </conditionalFormatting>
  <conditionalFormatting sqref="U112 U114 U110">
    <cfRule type="expression" dxfId="2064" priority="51">
      <formula>MOD(ROW(),2)=1</formula>
    </cfRule>
  </conditionalFormatting>
  <conditionalFormatting sqref="U120 U122 U118">
    <cfRule type="expression" dxfId="2063" priority="50">
      <formula>MOD(ROW(),2)=1</formula>
    </cfRule>
  </conditionalFormatting>
  <conditionalFormatting sqref="U128 U130 U126">
    <cfRule type="expression" dxfId="2062" priority="49">
      <formula>MOD(ROW(),2)=1</formula>
    </cfRule>
  </conditionalFormatting>
  <conditionalFormatting sqref="U136 U134">
    <cfRule type="expression" dxfId="2061" priority="48">
      <formula>MOD(ROW(),2)=1</formula>
    </cfRule>
  </conditionalFormatting>
  <conditionalFormatting sqref="U138">
    <cfRule type="expression" dxfId="2060" priority="24">
      <formula>MOD(ROW(),2)=1</formula>
    </cfRule>
  </conditionalFormatting>
  <conditionalFormatting sqref="U140">
    <cfRule type="expression" dxfId="2059" priority="14">
      <formula>MOD(ROW(),2)=1</formula>
    </cfRule>
  </conditionalFormatting>
  <conditionalFormatting sqref="U146 U148 U144">
    <cfRule type="expression" dxfId="2058" priority="13">
      <formula>MOD(ROW(),2)=1</formula>
    </cfRule>
  </conditionalFormatting>
  <conditionalFormatting sqref="U154 U156 U152">
    <cfRule type="expression" dxfId="2057" priority="12">
      <formula>MOD(ROW(),2)=1</formula>
    </cfRule>
  </conditionalFormatting>
  <conditionalFormatting sqref="U160 U158">
    <cfRule type="expression" dxfId="2056" priority="11">
      <formula>MOD(ROW(),2)=1</formula>
    </cfRule>
  </conditionalFormatting>
  <conditionalFormatting sqref="U162 U164">
    <cfRule type="expression" dxfId="2055" priority="7">
      <formula>MOD(ROW(),2)=1</formula>
    </cfRule>
  </conditionalFormatting>
  <conditionalFormatting sqref="U170 U172 U168">
    <cfRule type="expression" dxfId="2054" priority="6">
      <formula>MOD(ROW(),2)=1</formula>
    </cfRule>
  </conditionalFormatting>
  <conditionalFormatting sqref="U176">
    <cfRule type="expression" dxfId="2053" priority="5">
      <formula>MOD(ROW(),2)=1</formula>
    </cfRule>
  </conditionalFormatting>
  <conditionalFormatting sqref="U182 U184 U180">
    <cfRule type="expression" dxfId="2052" priority="1">
      <formula>MOD(ROW(),2)=1</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EC755"/>
  <sheetViews>
    <sheetView workbookViewId="0">
      <pane ySplit="1" topLeftCell="A2" activePane="bottomLeft" state="frozen"/>
      <selection activeCell="U1" sqref="U1"/>
      <selection pane="bottomLeft" activeCell="A2" sqref="A2"/>
    </sheetView>
  </sheetViews>
  <sheetFormatPr defaultColWidth="5.28515625" defaultRowHeight="12" customHeight="1" outlineLevelCol="1" x14ac:dyDescent="0.2"/>
  <cols>
    <col min="1" max="1" width="11.28515625" style="61" bestFit="1" customWidth="1"/>
    <col min="2" max="2" width="9.7109375" style="14" customWidth="1"/>
    <col min="3" max="3" width="17.85546875" style="14" customWidth="1"/>
    <col min="4" max="4" width="6.85546875" style="64" customWidth="1"/>
    <col min="5" max="5" width="4.28515625" style="77" customWidth="1"/>
    <col min="6" max="6" width="10.28515625" style="64" bestFit="1" customWidth="1"/>
    <col min="7" max="7" width="9.28515625" style="64" customWidth="1"/>
    <col min="8" max="8" width="14.85546875" style="64" bestFit="1" customWidth="1"/>
    <col min="9" max="9" width="30.5703125" style="64" customWidth="1"/>
    <col min="10" max="10" width="17.5703125" style="64" customWidth="1"/>
    <col min="11" max="11" width="9.5703125" style="64" customWidth="1"/>
    <col min="12" max="13" width="9.7109375" style="64" customWidth="1"/>
    <col min="14" max="14" width="13.85546875" style="64" customWidth="1"/>
    <col min="15" max="15" width="8.7109375" style="64" customWidth="1"/>
    <col min="16" max="16" width="22.7109375" style="64" bestFit="1" customWidth="1"/>
    <col min="17" max="17" width="18.28515625" style="64" bestFit="1" customWidth="1"/>
    <col min="18" max="18" width="8.7109375" style="64" bestFit="1" customWidth="1"/>
    <col min="19" max="19" width="11.42578125" style="64" bestFit="1" customWidth="1"/>
    <col min="20" max="20" width="12.7109375" style="64" customWidth="1"/>
    <col min="21" max="21" width="10.42578125" style="64" bestFit="1" customWidth="1"/>
    <col min="22" max="22" width="10.42578125" style="64" customWidth="1"/>
    <col min="23" max="23" width="11.85546875" style="64" customWidth="1"/>
    <col min="24" max="24" width="8.140625" style="64" customWidth="1"/>
    <col min="25" max="25" width="10" style="77" customWidth="1"/>
    <col min="26" max="26" width="15.42578125" style="64" customWidth="1"/>
    <col min="27" max="27" width="11" style="64" customWidth="1"/>
    <col min="28" max="28" width="16.42578125" style="64" customWidth="1"/>
    <col min="29" max="29" width="13.5703125" style="64" customWidth="1"/>
    <col min="30" max="30" width="13.140625" style="64" customWidth="1"/>
    <col min="31" max="31" width="11" style="64" customWidth="1"/>
    <col min="32" max="32" width="12.5703125" style="81" customWidth="1"/>
    <col min="33" max="33" width="10.140625" style="57" customWidth="1"/>
    <col min="34" max="34" width="10.7109375" style="12" customWidth="1"/>
    <col min="35" max="35" width="10.7109375" style="57" customWidth="1"/>
    <col min="36" max="36" width="10.7109375" style="114" customWidth="1"/>
    <col min="37" max="40" width="10.7109375" style="57" customWidth="1"/>
    <col min="41" max="43" width="10.7109375" style="57" customWidth="1" outlineLevel="1"/>
    <col min="44" max="44" width="16.85546875" style="114" customWidth="1" outlineLevel="1"/>
    <col min="45" max="46" width="16.85546875" style="57" customWidth="1" outlineLevel="1"/>
    <col min="47" max="47" width="5.28515625" style="12" outlineLevel="1"/>
    <col min="48" max="50" width="13.42578125" style="45" bestFit="1" customWidth="1" outlineLevel="1"/>
    <col min="51" max="51" width="14.85546875" style="45" bestFit="1" customWidth="1" outlineLevel="1"/>
    <col min="52" max="53" width="14.5703125" style="45" bestFit="1" customWidth="1"/>
    <col min="54" max="54" width="13.5703125" style="45" bestFit="1" customWidth="1"/>
    <col min="55" max="57" width="13.5703125" style="20" bestFit="1" customWidth="1"/>
    <col min="58" max="62" width="12.42578125" style="20" bestFit="1" customWidth="1"/>
    <col min="63" max="74" width="10.42578125" style="20" bestFit="1" customWidth="1"/>
    <col min="75" max="95" width="11.42578125" style="20" bestFit="1" customWidth="1"/>
    <col min="96" max="99" width="12.42578125" style="14" bestFit="1" customWidth="1"/>
    <col min="100" max="133" width="10.42578125" style="14" bestFit="1" customWidth="1"/>
    <col min="134" max="16384" width="5.28515625" style="14"/>
  </cols>
  <sheetData>
    <row r="1" spans="1:99" ht="12" customHeight="1" x14ac:dyDescent="0.2">
      <c r="A1" s="61" t="s">
        <v>304</v>
      </c>
      <c r="B1" s="15" t="s">
        <v>0</v>
      </c>
      <c r="C1" s="15" t="s">
        <v>1</v>
      </c>
      <c r="D1" s="59" t="s">
        <v>2</v>
      </c>
      <c r="E1" s="75" t="s">
        <v>579</v>
      </c>
      <c r="F1" s="59" t="s">
        <v>6</v>
      </c>
      <c r="G1" s="59" t="s">
        <v>485</v>
      </c>
      <c r="H1" s="59" t="s">
        <v>1</v>
      </c>
      <c r="I1" s="59" t="s">
        <v>8</v>
      </c>
      <c r="J1" s="59" t="s">
        <v>7</v>
      </c>
      <c r="K1" s="59" t="s">
        <v>571</v>
      </c>
      <c r="L1" s="59" t="s">
        <v>565</v>
      </c>
      <c r="M1" s="59" t="s">
        <v>569</v>
      </c>
      <c r="N1" s="59" t="s">
        <v>566</v>
      </c>
      <c r="O1" s="59" t="s">
        <v>5</v>
      </c>
      <c r="P1" s="59" t="s">
        <v>570</v>
      </c>
      <c r="Q1" s="59" t="s">
        <v>3</v>
      </c>
      <c r="R1" s="59" t="s">
        <v>568</v>
      </c>
      <c r="S1" s="59" t="s">
        <v>4</v>
      </c>
      <c r="T1" s="59" t="s">
        <v>237</v>
      </c>
      <c r="U1" s="59" t="s">
        <v>910</v>
      </c>
      <c r="V1" s="59" t="s">
        <v>563</v>
      </c>
      <c r="W1" s="59" t="s">
        <v>564</v>
      </c>
      <c r="X1" s="59" t="s">
        <v>576</v>
      </c>
      <c r="Y1" s="75" t="s">
        <v>558</v>
      </c>
      <c r="Z1" s="59" t="s">
        <v>577</v>
      </c>
      <c r="AA1" s="59" t="s">
        <v>327</v>
      </c>
      <c r="AB1" s="59" t="s">
        <v>325</v>
      </c>
      <c r="AC1" s="59" t="s">
        <v>326</v>
      </c>
      <c r="AD1" s="59" t="s">
        <v>578</v>
      </c>
      <c r="AE1" s="59" t="s">
        <v>559</v>
      </c>
      <c r="AF1" s="79" t="s">
        <v>560</v>
      </c>
      <c r="AG1" s="55" t="s">
        <v>546</v>
      </c>
      <c r="AH1" s="4"/>
      <c r="AI1" s="139" t="s">
        <v>297</v>
      </c>
      <c r="AJ1" s="111" t="s">
        <v>289</v>
      </c>
      <c r="AK1" s="55" t="s">
        <v>9</v>
      </c>
      <c r="AL1" s="139" t="s">
        <v>298</v>
      </c>
      <c r="AM1" s="55" t="s">
        <v>10</v>
      </c>
      <c r="AN1" s="55" t="s">
        <v>11</v>
      </c>
      <c r="AO1" s="139" t="s">
        <v>907</v>
      </c>
      <c r="AP1" s="55" t="s">
        <v>303</v>
      </c>
      <c r="AQ1" s="139" t="s">
        <v>908</v>
      </c>
      <c r="AR1" s="111" t="s">
        <v>301</v>
      </c>
      <c r="AS1" s="139" t="s">
        <v>909</v>
      </c>
      <c r="AT1" s="55" t="s">
        <v>302</v>
      </c>
      <c r="AU1" s="4"/>
      <c r="AV1" s="11" t="s">
        <v>292</v>
      </c>
      <c r="AW1" s="11"/>
      <c r="AX1" s="11"/>
      <c r="AY1" s="11"/>
      <c r="AZ1" s="11"/>
      <c r="BA1" s="11"/>
      <c r="BB1" s="11"/>
      <c r="BC1" s="10"/>
      <c r="BD1" s="10"/>
      <c r="BE1" s="10"/>
      <c r="BF1" s="10"/>
      <c r="BG1" s="10"/>
      <c r="BH1" s="10"/>
      <c r="BI1" s="10"/>
      <c r="BJ1" s="10"/>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5"/>
      <c r="CS1" s="15"/>
      <c r="CT1" s="15"/>
      <c r="CU1" s="15"/>
    </row>
    <row r="2" spans="1:99" s="13" customFormat="1" ht="12" customHeight="1" x14ac:dyDescent="0.2">
      <c r="A2" s="65">
        <v>43895</v>
      </c>
      <c r="B2" s="1"/>
      <c r="C2" s="1"/>
      <c r="D2" s="60"/>
      <c r="E2" s="76"/>
      <c r="F2" s="60"/>
      <c r="G2" s="60"/>
      <c r="H2" s="60"/>
      <c r="I2" s="60"/>
      <c r="J2" s="60"/>
      <c r="K2" s="64"/>
      <c r="L2" s="64"/>
      <c r="M2" s="60"/>
      <c r="N2" s="61"/>
      <c r="O2" s="60"/>
      <c r="P2" s="60"/>
      <c r="Q2" s="60"/>
      <c r="R2" s="60"/>
      <c r="S2" s="60"/>
      <c r="T2" s="60"/>
      <c r="U2" s="60"/>
      <c r="V2" s="60"/>
      <c r="W2" s="60"/>
      <c r="X2" s="60"/>
      <c r="Y2" s="76"/>
      <c r="Z2" s="60"/>
      <c r="AA2" s="60"/>
      <c r="AB2" s="60"/>
      <c r="AC2" s="56"/>
      <c r="AD2" s="60"/>
      <c r="AE2" s="60"/>
      <c r="AF2" s="80"/>
      <c r="AG2" s="56"/>
      <c r="AH2" s="4"/>
      <c r="AI2" s="56"/>
      <c r="AJ2" s="109"/>
      <c r="AK2" s="56"/>
      <c r="AL2" s="56"/>
      <c r="AM2" s="56"/>
      <c r="AN2" s="56"/>
      <c r="AO2" s="82"/>
      <c r="AP2" s="82"/>
      <c r="AQ2" s="83"/>
      <c r="AR2" s="116"/>
      <c r="AS2" s="84"/>
      <c r="AT2" s="84"/>
      <c r="AU2" s="4"/>
      <c r="AV2" s="25">
        <v>157680000</v>
      </c>
      <c r="AW2" s="25">
        <v>473040000</v>
      </c>
      <c r="AX2" s="25">
        <v>788400000</v>
      </c>
      <c r="AY2" s="25">
        <v>1103760000</v>
      </c>
      <c r="AZ2" s="25">
        <v>1419120000</v>
      </c>
      <c r="BA2" s="25">
        <v>1734480000</v>
      </c>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1"/>
      <c r="CS2" s="1"/>
      <c r="CT2" s="1"/>
      <c r="CU2" s="1"/>
    </row>
    <row r="3" spans="1:99" s="13" customFormat="1" ht="12" customHeight="1" x14ac:dyDescent="0.2">
      <c r="A3" s="65">
        <v>43895</v>
      </c>
      <c r="B3" s="15" t="s">
        <v>561</v>
      </c>
      <c r="C3" s="15" t="s">
        <v>562</v>
      </c>
      <c r="D3" s="59">
        <v>1981</v>
      </c>
      <c r="E3" s="76">
        <v>1</v>
      </c>
      <c r="F3" s="60">
        <v>12</v>
      </c>
      <c r="G3" s="60">
        <v>12</v>
      </c>
      <c r="H3" s="60" t="s">
        <v>32</v>
      </c>
      <c r="I3" s="59" t="s">
        <v>330</v>
      </c>
      <c r="J3" s="59" t="s">
        <v>340</v>
      </c>
      <c r="K3" s="60">
        <f>IF(J3="syllables",1,IF(J3="trigrams",2,IF(J3="strings",3,IF(J3="visual array",4,IF(J3="characters",5,IF(J3="letters",6,IF(J3="free forms",7,IF(J3="odors",8,IF(J3="words",9,IF(J3="pictures",10,IF(J3="object pictures",11,IF(J3="faces",12,IF(J3="names",13,IF(J3="idioms",14,IF(J3="grades",15,IF(J3="syllable-digit pairs",16,IF(J3="trigram-word pairs",17,IF(J3="word-digit pairs",18,IF(J3="English-Swahili pairs",19,IF(J3="spatial position",20,IF(J3="word pairs",21,IF(J3="word triads",22,IF(J3="generated words",23,IF(J3="word definition pairs",24,IF(J3="math problems",25,IF(J3="famous faces",26,IF(J3="famous names",27,IF(J3="famous voices",28,IF(J3="television programs",29,IF(J3="race horses",30,IF(J3="new vocabulary",31,IF(J3="sentences",32,IF(J3="concepts",33,IF(J3="ad slides",34,IF(J3="scenes",35,IF(J3="famous scenes",36,IF(J3="poems",37,IF(J3="walk",38,IF(J3="faces and events",39,IF(J3="events and names",40,IF(J3="flashbulb",41,IF(J3="stories",42,IF(J3="course material",43,IF(J3="autobiographical",44,IF(J3="novels",45,IF(J3="public events",46,"99"))))))))))))))))))))))))))))))))))))))))))))))</f>
        <v>46</v>
      </c>
      <c r="L3" s="60">
        <f>IF(J3="syllables",1,IF(J3="trigrams",1,IF(J3="strings",1,IF(J3="visual array",1,IF(J3="characters",1,IF(J3="letters",1,IF(J3="free forms",1,IF(J3="odors",2,IF(J3="words",2,IF(J3="pictures",2,IF(J3="object pictures",2,IF(J3="faces",2,IF(J3="names",2,IF(J3="idioms","2",IF(J3="grades",2,IF(J3="syllable-digit pairs",3,IF(J3="trigram-word pairs",3,IF(J3="word-digit pairs",3,IF(J3="English-Swahili pairs",3,IF(J3="spatial position",3,IF(J3="word pairs",4,IF(J3="word triads",4,IF(J3="generated words",4,IF(J3="word definition pairs",4,IF(J3="math problems",4,IF(J3="famous faces",4,IF(J3="famous names",4,IF(J3="famous voices",4,IF(J3="television programs",4,IF(J3="race horses",4,IF(J3="new vocabulary",4,IF(J3="sentences",5,IF(J3="concepts",5,IF(J3="ad slides",5,IF(J3="scenes",5,IF(J3="famous scenes",5,IF(J3="poems",6,IF(J3="walk",6,IF(J3="faces and events",6,IF(J3="events and names",6,IF(J3="flashbulb",7,IF(J3="stories",7,IF(J3="course material",7,IF(J3="autobiographical",7,IF(J3="novels",7,IF(J3="public events",7,"99"))))))))))))))))))))))))))))))))))))))))))))))</f>
        <v>7</v>
      </c>
      <c r="M3" s="60">
        <v>1</v>
      </c>
      <c r="N3" s="61">
        <v>4</v>
      </c>
      <c r="O3" s="60">
        <v>0</v>
      </c>
      <c r="P3" s="60"/>
      <c r="Q3" s="59" t="s">
        <v>34</v>
      </c>
      <c r="R3" s="60">
        <f>IF(Q3="Free Recall",1,IF(Q3="Cued Recall",2,IF(Q3="Recognition",3,IF(Q3="Multiple Choice",4,IF(Q3="Savings",5,IF(Q3="Stem Completion",6,IF(Q3="Fragment Completion",7,IF(Q3="anagram solution",8,IF(Q3="Matching",9,IF(Q3="Problem Solving",10,"99"))))))))))</f>
        <v>3</v>
      </c>
      <c r="S3" s="60" t="s">
        <v>15</v>
      </c>
      <c r="T3" s="59" t="s">
        <v>581</v>
      </c>
      <c r="U3" s="60">
        <f>IF(T3="within",1,0)</f>
        <v>1</v>
      </c>
      <c r="V3" s="59">
        <v>132</v>
      </c>
      <c r="W3" s="60">
        <f>F3*V3</f>
        <v>1584</v>
      </c>
      <c r="X3" s="60">
        <v>6</v>
      </c>
      <c r="Y3" s="76">
        <f>AV2</f>
        <v>157680000</v>
      </c>
      <c r="Z3" s="60" t="s">
        <v>374</v>
      </c>
      <c r="AA3" s="60">
        <f>60*60*24*365*55</f>
        <v>1734480000</v>
      </c>
      <c r="AB3" s="60" t="str">
        <f>IF(AA3&lt;60,"1",IF(AA3&lt;=43200,"2",IF(AA3&lt;=777600,"3","4")))</f>
        <v>4</v>
      </c>
      <c r="AC3" s="56">
        <f>AVERAGE(AV2:DA2)</f>
        <v>946080000</v>
      </c>
      <c r="AD3" s="60" t="str">
        <f>IF(AC3&lt;60,"1",IF(AC3&lt;=43200,"2",IF(AC3&lt;=777600,"3","4")))</f>
        <v>4</v>
      </c>
      <c r="AE3" s="76">
        <f>AA3-Y3</f>
        <v>1576800000</v>
      </c>
      <c r="AF3" s="80">
        <f>AV3</f>
        <v>0.75324675324675316</v>
      </c>
      <c r="AG3" s="56">
        <f>((AW3-AV3)+(AX3-AW3)+(AY3-AX3)+(AZ3-AY3)+(BA3-AZ3))/5</f>
        <v>-5.4438711972958354E-3</v>
      </c>
      <c r="AH3" s="4"/>
      <c r="AI3" s="56">
        <f>RSQ(AV3:BA3,AV2:BA2)</f>
        <v>0.22661558671267712</v>
      </c>
      <c r="AJ3" s="109">
        <f>SLOPE(AV3:BA3,AV2:BA2)</f>
        <v>-4.6858310640164344E-11</v>
      </c>
      <c r="AK3" s="56">
        <f>INTERCEPT(AV3:BA3,AV2:BA2)</f>
        <v>0.81052210226687516</v>
      </c>
      <c r="AL3" s="56">
        <f>INDEX(LINEST(LN(AV3:BA3),LN(AV2:BA2),TRUE,TRUE),3,1)</f>
        <v>0.10314785929385968</v>
      </c>
      <c r="AM3" s="56">
        <f>INDEX(LINEST(LN(AV3:BA3),LN(AV2:BA2)),1)</f>
        <v>-2.7360457951633936E-2</v>
      </c>
      <c r="AN3" s="56">
        <f>EXP(INDEX(LINEST(LN(AV3:BA3),LN(AV2:BA2)),1,2))</f>
        <v>1.3363457031944128</v>
      </c>
      <c r="AO3" s="82">
        <f>INDEX(LINEST((AV3:BA3),LN(AV2:BA2),TRUE,TRUE),3,1)</f>
        <v>0.101021288447529</v>
      </c>
      <c r="AP3" s="82">
        <f>INDEX(LINEST((AV3:BA3),LN(AV2:BA2)),1)</f>
        <v>-2.0889268314020912E-2</v>
      </c>
      <c r="AQ3" s="83">
        <f>INDEX(LINEST(LN(AV3:BA3),SQRT(AV2:BA2),TRUE,TRUE),3,1)</f>
        <v>0.17201686574086325</v>
      </c>
      <c r="AR3" s="116">
        <f>INDEX(LINEST(LN(AV3:BA3),SQRT((AV2:BA2))),1)</f>
        <v>-2.9072700994193713E-6</v>
      </c>
      <c r="AS3" s="84">
        <f>INDEX(LINEST(1/(AV3:BA3),1/(SQRT(AV2:BA2)),TRUE,TRUE),3,1)</f>
        <v>4.7241673476552407E-2</v>
      </c>
      <c r="AT3" s="84">
        <f>INDEX(LINEST(1/(AV3:BA3),1/SQRT(AV2:BA2)),1)</f>
        <v>-1024.8500191622115</v>
      </c>
      <c r="AU3" s="4"/>
      <c r="AV3" s="53">
        <v>0.75324675324675316</v>
      </c>
      <c r="AW3" s="53">
        <v>0.85526315789473684</v>
      </c>
      <c r="AX3" s="53">
        <v>0.80519480519480513</v>
      </c>
      <c r="AY3" s="53">
        <v>0.69117647058823517</v>
      </c>
      <c r="AZ3" s="53">
        <v>0.76623376623376616</v>
      </c>
      <c r="BA3" s="53">
        <v>0.72602739726027399</v>
      </c>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1"/>
      <c r="CS3" s="1"/>
      <c r="CT3" s="1"/>
      <c r="CU3" s="1"/>
    </row>
    <row r="4" spans="1:99" s="13" customFormat="1" ht="12" customHeight="1" x14ac:dyDescent="0.2">
      <c r="A4" s="68">
        <v>43900</v>
      </c>
      <c r="B4" s="70"/>
      <c r="C4" s="70"/>
      <c r="D4" s="69"/>
      <c r="E4" s="87"/>
      <c r="F4" s="69"/>
      <c r="G4" s="69"/>
      <c r="H4" s="69"/>
      <c r="I4" s="69"/>
      <c r="J4" s="69"/>
      <c r="K4" s="107"/>
      <c r="L4" s="107"/>
      <c r="M4" s="92"/>
      <c r="N4" s="86"/>
      <c r="O4" s="69"/>
      <c r="P4" s="69"/>
      <c r="Q4" s="69"/>
      <c r="R4" s="69"/>
      <c r="S4" s="69"/>
      <c r="T4" s="69"/>
      <c r="U4" s="69"/>
      <c r="V4" s="69"/>
      <c r="W4" s="69"/>
      <c r="X4" s="69"/>
      <c r="Y4" s="87"/>
      <c r="Z4" s="69"/>
      <c r="AA4" s="87"/>
      <c r="AB4" s="69"/>
      <c r="AC4" s="72"/>
      <c r="AD4" s="69"/>
      <c r="AE4" s="69"/>
      <c r="AF4" s="88"/>
      <c r="AG4" s="72"/>
      <c r="AH4" s="4"/>
      <c r="AI4" s="72"/>
      <c r="AJ4" s="110"/>
      <c r="AK4" s="72"/>
      <c r="AL4" s="72"/>
      <c r="AM4" s="72"/>
      <c r="AN4" s="72"/>
      <c r="AO4" s="89"/>
      <c r="AP4" s="89"/>
      <c r="AQ4" s="90"/>
      <c r="AR4" s="117"/>
      <c r="AS4" s="91"/>
      <c r="AT4" s="91"/>
      <c r="AU4" s="4"/>
      <c r="AV4" s="71">
        <v>157680000</v>
      </c>
      <c r="AW4" s="71">
        <v>473040000</v>
      </c>
      <c r="AX4" s="71">
        <v>788400000</v>
      </c>
      <c r="AY4" s="71">
        <v>1103760000</v>
      </c>
      <c r="AZ4" s="71">
        <v>1419120000</v>
      </c>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1"/>
      <c r="CS4" s="1"/>
      <c r="CT4" s="1"/>
      <c r="CU4" s="1"/>
    </row>
    <row r="5" spans="1:99" s="13" customFormat="1" ht="12" customHeight="1" x14ac:dyDescent="0.2">
      <c r="A5" s="68">
        <v>43900</v>
      </c>
      <c r="B5" s="94" t="s">
        <v>427</v>
      </c>
      <c r="C5" s="94" t="s">
        <v>425</v>
      </c>
      <c r="D5" s="92">
        <v>1979</v>
      </c>
      <c r="E5" s="87">
        <v>1</v>
      </c>
      <c r="F5" s="92">
        <v>15</v>
      </c>
      <c r="G5" s="92">
        <v>15</v>
      </c>
      <c r="H5" s="69" t="s">
        <v>50</v>
      </c>
      <c r="I5" s="92" t="s">
        <v>330</v>
      </c>
      <c r="J5" s="92" t="s">
        <v>340</v>
      </c>
      <c r="K5" s="69">
        <f>IF(J5="syllables",1,IF(J5="trigrams",2,IF(J5="strings",3,IF(J5="visual array",4,IF(J5="characters",5,IF(J5="letters",6,IF(J5="free forms",7,IF(J5="odors",8,IF(J5="words",9,IF(J5="pictures",10,IF(J5="object pictures",11,IF(J5="faces",12,IF(J5="names",13,IF(J5="idioms",14,IF(J5="grades",15,IF(J5="syllable-digit pairs",16,IF(J5="trigram-word pairs",17,IF(J5="word-digit pairs",18,IF(J5="English-Swahili pairs",19,IF(J5="spatial position",20,IF(J5="word pairs",21,IF(J5="word triads",22,IF(J5="generated words",23,IF(J5="word definition pairs",24,IF(J5="math problems",25,IF(J5="famous faces",26,IF(J5="famous names",27,IF(J5="famous voices",28,IF(J5="television programs",29,IF(J5="race horses",30,IF(J5="new vocabulary",31,IF(J5="sentences",32,IF(J5="concepts",33,IF(J5="ad slides",34,IF(J5="scenes",35,IF(J5="famous scenes",36,IF(J5="poems",37,IF(J5="walk",38,IF(J5="faces and events",39,IF(J5="events and names",40,IF(J5="flashbulb",41,IF(J5="stories",42,IF(J5="course material",43,IF(J5="autobiographical",44,IF(J5="novels",45,IF(J5="public events",46,"99"))))))))))))))))))))))))))))))))))))))))))))))</f>
        <v>46</v>
      </c>
      <c r="L5" s="69">
        <f>IF(J5="syllables",1,IF(J5="trigrams",1,IF(J5="strings",1,IF(J5="visual array",1,IF(J5="characters",1,IF(J5="letters",1,IF(J5="free forms",1,IF(J5="odors",2,IF(J5="words",2,IF(J5="pictures",2,IF(J5="object pictures",2,IF(J5="faces",2,IF(J5="names",2,IF(J5="idioms","2",IF(J5="grades",2,IF(J5="syllable-digit pairs",3,IF(J5="trigram-word pairs",3,IF(J5="word-digit pairs",3,IF(J5="English-Swahili pairs",3,IF(J5="spatial position",3,IF(J5="word pairs",4,IF(J5="word triads",4,IF(J5="generated words",4,IF(J5="word definition pairs",4,IF(J5="math problems",4,IF(J5="famous faces",4,IF(J5="famous names",4,IF(J5="famous voices",4,IF(J5="television programs",4,IF(J5="race horses",4,IF(J5="new vocabulary",4,IF(J5="sentences",5,IF(J5="concepts",5,IF(J5="ad slides",5,IF(J5="scenes",5,IF(J5="famous scenes",5,IF(J5="poems",6,IF(J5="walk",6,IF(J5="faces and events",6,IF(J5="events and names",6,IF(J5="flashbulb",7,IF(J5="stories",7,IF(J5="course material",7,IF(J5="autobiographical",7,IF(J5="novels",7,IF(J5="public events",7,"99"))))))))))))))))))))))))))))))))))))))))))))))</f>
        <v>7</v>
      </c>
      <c r="M5" s="92">
        <v>1</v>
      </c>
      <c r="N5" s="86">
        <v>4</v>
      </c>
      <c r="O5" s="69">
        <v>0</v>
      </c>
      <c r="P5" s="69"/>
      <c r="Q5" s="92" t="s">
        <v>34</v>
      </c>
      <c r="R5" s="69">
        <f>IF(Q5="Free Recall",1,IF(Q5="Cued Recall",2,IF(Q5="Recognition",3,IF(Q5="Multiple Choice",4,IF(Q5="Savings",5,IF(Q5="Stem Completion",6,IF(Q5="Fragment Completion",7,IF(Q5="anagram solution",8,IF(Q5="Matching",9,IF(Q5="Problem Solving",10,"99"))))))))))</f>
        <v>3</v>
      </c>
      <c r="S5" s="69" t="s">
        <v>15</v>
      </c>
      <c r="T5" s="92" t="s">
        <v>581</v>
      </c>
      <c r="U5" s="69">
        <f>IF(T5="within",1,0)</f>
        <v>1</v>
      </c>
      <c r="V5" s="92">
        <v>132</v>
      </c>
      <c r="W5" s="69">
        <f>F5*V5</f>
        <v>1980</v>
      </c>
      <c r="X5" s="69">
        <v>5</v>
      </c>
      <c r="Y5" s="87">
        <f>AV4</f>
        <v>157680000</v>
      </c>
      <c r="Z5" s="69" t="s">
        <v>373</v>
      </c>
      <c r="AA5" s="69">
        <f>60*60*24*365*45</f>
        <v>1419120000</v>
      </c>
      <c r="AB5" s="69" t="str">
        <f>IF(AA5&lt;60,"1",IF(AA5&lt;=43200,"2",IF(AA5&lt;=777600,"3","4")))</f>
        <v>4</v>
      </c>
      <c r="AC5" s="72">
        <f>AVERAGE(AV4:DA4)</f>
        <v>788400000</v>
      </c>
      <c r="AD5" s="69" t="str">
        <f>IF(AC5&lt;60,"1",IF(AC5&lt;=43200,"2",IF(AC5&lt;=777600,"3","4")))</f>
        <v>4</v>
      </c>
      <c r="AE5" s="87">
        <f>AA5-Y5</f>
        <v>1261440000</v>
      </c>
      <c r="AF5" s="88">
        <f>AV5</f>
        <v>0.79661016949152541</v>
      </c>
      <c r="AG5" s="72">
        <f>((AW5-AV5)+(AX5-AW5)+(AY5-AX5)+(AZ5-AY5))/4</f>
        <v>-7.0793716411740315E-3</v>
      </c>
      <c r="AH5" s="4"/>
      <c r="AI5" s="72">
        <f>RSQ(AV5:AZ5,AV4:AZ4)</f>
        <v>0.26454180868884225</v>
      </c>
      <c r="AJ5" s="110">
        <f>SLOPE(AV5:AZ5,AV4:AZ4)</f>
        <v>-6.4391027574189401E-11</v>
      </c>
      <c r="AK5" s="72">
        <f>INTERCEPT(AV5:AZ5,AV4:AZ4)</f>
        <v>0.85718801506472042</v>
      </c>
      <c r="AL5" s="72">
        <f>INDEX(LINEST(LN(AV5:AZ5),LN(AV4:AZ4),TRUE,TRUE),3,1)</f>
        <v>0.10491219409410404</v>
      </c>
      <c r="AM5" s="72">
        <f>INDEX(LINEST(LN(AV5:AZ5),LN(AV4:AZ4)),1)</f>
        <v>-2.8936119196109365E-2</v>
      </c>
      <c r="AN5" s="72">
        <f>EXP(INDEX(LINEST(LN(AV5:AZ5),LN(AV4:AZ4)),1,2))</f>
        <v>1.4452669171394714</v>
      </c>
      <c r="AO5" s="89">
        <f>INDEX(LINEST((AV5:AZ5),LN(AV4:AZ4),TRUE,TRUE),3,1)</f>
        <v>9.7660786115475184E-2</v>
      </c>
      <c r="AP5" s="89">
        <f>INDEX(LINEST((AV5:AZ5),LN(AV4:AZ4)),1)</f>
        <v>-2.2436983290147306E-2</v>
      </c>
      <c r="AQ5" s="90">
        <f>INDEX(LINEST(LN(AV5:AZ5),SQRT(AV4:AZ4),TRUE,TRUE),3,1)</f>
        <v>0.18842526669091003</v>
      </c>
      <c r="AR5" s="117">
        <f>INDEX(LINEST(LN(AV5:AZ5),SQRT((AV4:AZ4))),1)</f>
        <v>-3.4175515146593196E-6</v>
      </c>
      <c r="AS5" s="91">
        <f>INDEX(LINEST(1/(AV5:AZ5),1/(SQRT(AV4:AZ4)),TRUE,TRUE),3,1)</f>
        <v>5.0110538660963815E-2</v>
      </c>
      <c r="AT5" s="91">
        <f>INDEX(LINEST(1/(AV5:AZ5),1/SQRT(AV4:AZ4)),1)</f>
        <v>-1011.507725693132</v>
      </c>
      <c r="AU5" s="4"/>
      <c r="AV5" s="73">
        <v>0.79661016949152541</v>
      </c>
      <c r="AW5" s="73">
        <v>0.87500000000000011</v>
      </c>
      <c r="AX5" s="73">
        <v>0.86363636363636354</v>
      </c>
      <c r="AY5" s="73">
        <v>0.72857142857142865</v>
      </c>
      <c r="AZ5" s="73">
        <v>0.76829268292682928</v>
      </c>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1"/>
      <c r="CS5" s="1"/>
      <c r="CT5" s="1"/>
      <c r="CU5" s="1"/>
    </row>
    <row r="6" spans="1:99" ht="12" customHeight="1" x14ac:dyDescent="0.2">
      <c r="A6" s="65">
        <v>43509</v>
      </c>
      <c r="B6" s="15"/>
      <c r="C6" s="15"/>
      <c r="D6" s="59"/>
      <c r="E6" s="75"/>
      <c r="F6" s="59"/>
      <c r="G6" s="59"/>
      <c r="H6" s="59"/>
      <c r="I6" s="59"/>
      <c r="J6" s="59"/>
      <c r="M6" s="59"/>
      <c r="N6" s="59"/>
      <c r="O6" s="59"/>
      <c r="P6" s="59"/>
      <c r="Q6" s="59"/>
      <c r="R6" s="60"/>
      <c r="S6" s="59"/>
      <c r="T6" s="59"/>
      <c r="U6" s="60"/>
      <c r="V6" s="59"/>
      <c r="W6" s="60"/>
      <c r="X6" s="59"/>
      <c r="Y6" s="76"/>
      <c r="Z6" s="59"/>
      <c r="AA6" s="59"/>
      <c r="AB6" s="60"/>
      <c r="AC6" s="60"/>
      <c r="AD6" s="60"/>
      <c r="AE6" s="60"/>
      <c r="AF6" s="80"/>
      <c r="AG6" s="56"/>
      <c r="AH6" s="4"/>
      <c r="AI6" s="55"/>
      <c r="AJ6" s="111"/>
      <c r="AK6" s="55"/>
      <c r="AL6" s="55"/>
      <c r="AM6" s="55"/>
      <c r="AN6" s="55"/>
      <c r="AO6" s="55"/>
      <c r="AP6" s="55"/>
      <c r="AQ6" s="55"/>
      <c r="AR6" s="111"/>
      <c r="AS6" s="55"/>
      <c r="AT6" s="55"/>
      <c r="AU6" s="4"/>
      <c r="AV6" s="47">
        <f>24*3600</f>
        <v>86400</v>
      </c>
      <c r="AW6" s="47">
        <f>14*24*3600</f>
        <v>1209600</v>
      </c>
      <c r="AX6" s="47">
        <f>30*24*3600</f>
        <v>2592000</v>
      </c>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5"/>
      <c r="CS6" s="15"/>
      <c r="CT6" s="15"/>
      <c r="CU6" s="15"/>
    </row>
    <row r="7" spans="1:99" ht="12" customHeight="1" x14ac:dyDescent="0.2">
      <c r="A7" s="65">
        <v>43509</v>
      </c>
      <c r="B7" s="15" t="s">
        <v>265</v>
      </c>
      <c r="C7" s="15" t="s">
        <v>84</v>
      </c>
      <c r="D7" s="59">
        <v>1921</v>
      </c>
      <c r="E7" s="75">
        <v>1</v>
      </c>
      <c r="F7" s="59">
        <v>5</v>
      </c>
      <c r="G7" s="59">
        <v>5</v>
      </c>
      <c r="H7" s="59" t="s">
        <v>575</v>
      </c>
      <c r="I7" s="59" t="s">
        <v>586</v>
      </c>
      <c r="J7" s="59" t="s">
        <v>585</v>
      </c>
      <c r="K7" s="60">
        <f>IF(J7="syllables",1,IF(J7="trigrams",2,IF(J7="strings",3,IF(J7="visual array",4,IF(J7="characters",5,IF(J7="letters",6,IF(J7="free forms",7,IF(J7="odors",8,IF(J7="words",9,IF(J7="pictures",10,IF(J7="object pictures",11,IF(J7="faces",12,IF(J7="names",13,IF(J7="idioms",14,IF(J7="grades",15,IF(J7="syllable-digit pairs",16,IF(J7="trigram-word pairs",17,IF(J7="word-digit pairs",18,IF(J7="English-Swahili pairs",19,IF(J7="spatial position",20,IF(J7="word pairs",21,IF(J7="word triads",22,IF(J7="generated words",23,IF(J7="word definition pairs",24,IF(J7="math problems",25,IF(J7="famous faces",26,IF(J7="famous names",27,IF(J7="famous voices",28,IF(J7="television programs",29,IF(J7="race horses",30,IF(J7="new vocabulary",31,IF(J7="sentences",32,IF(J7="concepts",33,IF(J7="ad slides",34,IF(J7="scenes",35,IF(J7="famous scenes",36,IF(J7="poems",37,IF(J7="walk",38,IF(J7="faces and events",39,IF(J7="events and names",40,IF(J7="flashbulb",41,IF(J7="stories",42,IF(J7="course material",43,IF(J7="autobiographical",44,IF(J7="novels",45,IF(J7="public events",46,"99"))))))))))))))))))))))))))))))))))))))))))))))</f>
        <v>43</v>
      </c>
      <c r="L7" s="60">
        <f>IF(J7="syllables",1,IF(J7="trigrams",1,IF(J7="strings",1,IF(J7="visual array",1,IF(J7="characters",1,IF(J7="letters",1,IF(J7="free forms",1,IF(J7="odors",2,IF(J7="words",2,IF(J7="pictures",2,IF(J7="object pictures",2,IF(J7="faces",2,IF(J7="names",2,IF(J7="idioms","2",IF(J7="grades",2,IF(J7="syllable-digit pairs",3,IF(J7="trigram-word pairs",3,IF(J7="word-digit pairs",3,IF(J7="English-Swahili pairs",3,IF(J7="spatial position",3,IF(J7="word pairs",4,IF(J7="word triads",4,IF(J7="generated words",4,IF(J7="word definition pairs",4,IF(J7="math problems",4,IF(J7="famous faces",4,IF(J7="famous names",4,IF(J7="famous voices",4,IF(J7="television programs",4,IF(J7="race horses",4,IF(J7="new vocabulary",4,IF(J7="sentences",5,IF(J7="concepts",5,IF(J7="ad slides",5,IF(J7="scenes",5,IF(J7="famous scenes",5,IF(J7="poems",6,IF(J7="walk",6,IF(J7="faces and events",6,IF(J7="events and names",6,IF(J7="flashbulb",7,IF(J7="stories",7,IF(J7="course material",7,IF(J7="autobiographical",7,IF(J7="novels",7,IF(J7="public events",7,"99"))))))))))))))))))))))))))))))))))))))))))))))</f>
        <v>7</v>
      </c>
      <c r="M7" s="59">
        <v>1</v>
      </c>
      <c r="N7" s="59">
        <v>4</v>
      </c>
      <c r="O7" s="59">
        <v>0</v>
      </c>
      <c r="P7" s="59"/>
      <c r="Q7" s="59" t="s">
        <v>65</v>
      </c>
      <c r="R7" s="60">
        <f>IF(Q7="Free Recall",1,IF(Q7="Cued Recall",2,IF(Q7="Recognition",3,IF(Q7="Multiple Choice",4,IF(Q7="Savings",5,IF(Q7="Stem Completion",6,IF(Q7="Fragment Completion",7,IF(Q7="anagram solution",8,IF(Q7="Matching",9,IF(Q7="Problem Solving",10,"99"))))))))))</f>
        <v>2</v>
      </c>
      <c r="S7" s="59" t="s">
        <v>274</v>
      </c>
      <c r="T7" s="59" t="s">
        <v>581</v>
      </c>
      <c r="U7" s="60">
        <f>IF(T7="within",1,0)</f>
        <v>1</v>
      </c>
      <c r="V7" s="59">
        <v>2</v>
      </c>
      <c r="W7" s="60">
        <f>F7*V7</f>
        <v>10</v>
      </c>
      <c r="X7" s="59">
        <v>3</v>
      </c>
      <c r="Y7" s="76">
        <f>AV6</f>
        <v>86400</v>
      </c>
      <c r="Z7" s="59" t="s">
        <v>185</v>
      </c>
      <c r="AA7" s="59">
        <f>31*24*3600</f>
        <v>2678400</v>
      </c>
      <c r="AB7" s="60" t="str">
        <f>IF(AA7&lt;60,"1",IF(AA7&lt;=43200,"2",IF(AA7&lt;=777600,"3","4")))</f>
        <v>4</v>
      </c>
      <c r="AC7" s="56">
        <f>AVERAGE(AV6:DA6)</f>
        <v>1296000</v>
      </c>
      <c r="AD7" s="60" t="str">
        <f>IF(AC7&lt;60,"1",IF(AC7&lt;=43200,"2",IF(AC7&lt;=777600,"3","4")))</f>
        <v>4</v>
      </c>
      <c r="AE7" s="76">
        <f>AA7-Y7</f>
        <v>2592000</v>
      </c>
      <c r="AF7" s="80">
        <f>AV7</f>
        <v>0.71</v>
      </c>
      <c r="AG7" s="56">
        <f>((AW7-AV7)+(AX7-AW7))/2</f>
        <v>-0.14499999999999999</v>
      </c>
      <c r="AH7" s="4"/>
      <c r="AI7" s="56">
        <f>RSQ(AV7:AX7,AV6:AX6)</f>
        <v>0.90524143856115702</v>
      </c>
      <c r="AJ7" s="109">
        <f>SLOPE(AV7:AX7,AV6:AX6)</f>
        <v>-1.1354660347551342E-7</v>
      </c>
      <c r="AK7" s="56">
        <f>INTERCEPT(AV7:AX7,AV6:AX6)</f>
        <v>0.69048973143759873</v>
      </c>
      <c r="AL7" s="56">
        <f>INDEX(LINEST(LN(AV7:AX7),LN(AV6:AX6),TRUE,TRUE),3,1)</f>
        <v>0.98638882982357545</v>
      </c>
      <c r="AM7" s="56">
        <f>INDEX(LINEST(LN(AV7:AX7),LN(AV6:AX6)),1)</f>
        <v>-0.14879170498863489</v>
      </c>
      <c r="AN7" s="56">
        <f>EXP(INDEX(LINEST(LN(AV7:AX7),LN(AV6:AX6)),1,2))</f>
        <v>3.8824936650027446</v>
      </c>
      <c r="AO7" s="82">
        <f>INDEX(LINEST((AV7:AX7),LN(AV6:AX6),TRUE,TRUE),3,1)</f>
        <v>0.99695804436948032</v>
      </c>
      <c r="AP7" s="82">
        <f>INDEX(LINEST((AV7:AX7),LN(AV6:AX6)),1)</f>
        <v>-8.378947013623543E-2</v>
      </c>
      <c r="AQ7" s="83">
        <f>INDEX(LINEST(LN(AV7:AX7),SQRT(AV6:AX6),TRUE,TRUE),3,1)</f>
        <v>0.99610050497606895</v>
      </c>
      <c r="AR7" s="116">
        <f>INDEX(LINEST(LN(AV7:AX7),SQRT((AV6:AX6))),1)</f>
        <v>-4.0219965297991531E-4</v>
      </c>
      <c r="AS7" s="84">
        <f>INDEX(LINEST(1/(AV7:AX7),1/(SQRT(AV6:AX6)),TRUE,TRUE),3,1)</f>
        <v>0.90989548745406723</v>
      </c>
      <c r="AT7" s="84">
        <f>INDEX(LINEST(1/(AV7:AX7),1/SQRT(AV6:AX6)),1)</f>
        <v>-305.67385307077353</v>
      </c>
      <c r="AU7" s="3"/>
      <c r="AV7" s="11">
        <v>0.71</v>
      </c>
      <c r="AW7" s="11">
        <v>0.5</v>
      </c>
      <c r="AX7" s="11">
        <v>0.42</v>
      </c>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5"/>
      <c r="CS7" s="15"/>
      <c r="CT7" s="15"/>
      <c r="CU7" s="15"/>
    </row>
    <row r="8" spans="1:99" ht="12" customHeight="1" x14ac:dyDescent="0.2">
      <c r="A8" s="65">
        <v>43509</v>
      </c>
      <c r="B8" s="15"/>
      <c r="C8" s="15"/>
      <c r="D8" s="59"/>
      <c r="E8" s="75"/>
      <c r="F8" s="59"/>
      <c r="G8" s="59"/>
      <c r="H8" s="59"/>
      <c r="I8" s="59"/>
      <c r="J8" s="59"/>
      <c r="M8" s="59"/>
      <c r="N8" s="59"/>
      <c r="O8" s="59"/>
      <c r="P8" s="59"/>
      <c r="Q8" s="59"/>
      <c r="R8" s="60"/>
      <c r="S8" s="59"/>
      <c r="T8" s="59"/>
      <c r="U8" s="60"/>
      <c r="V8" s="59"/>
      <c r="W8" s="60"/>
      <c r="X8" s="59"/>
      <c r="Y8" s="76"/>
      <c r="Z8" s="59"/>
      <c r="AA8" s="59"/>
      <c r="AB8" s="60"/>
      <c r="AC8" s="60"/>
      <c r="AD8" s="60"/>
      <c r="AE8" s="60"/>
      <c r="AF8" s="80"/>
      <c r="AG8" s="56"/>
      <c r="AH8" s="4"/>
      <c r="AI8" s="55"/>
      <c r="AJ8" s="111"/>
      <c r="AK8" s="55"/>
      <c r="AL8" s="55"/>
      <c r="AM8" s="55"/>
      <c r="AN8" s="55"/>
      <c r="AO8" s="55"/>
      <c r="AP8" s="55"/>
      <c r="AQ8" s="55"/>
      <c r="AR8" s="111"/>
      <c r="AS8" s="55"/>
      <c r="AT8" s="55"/>
      <c r="AU8" s="4"/>
      <c r="AV8" s="47">
        <f>24*3600</f>
        <v>86400</v>
      </c>
      <c r="AW8" s="47">
        <f>14*24*3600</f>
        <v>1209600</v>
      </c>
      <c r="AX8" s="47">
        <f>30*24*3600</f>
        <v>2592000</v>
      </c>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5"/>
      <c r="CS8" s="15"/>
      <c r="CT8" s="15"/>
      <c r="CU8" s="15"/>
    </row>
    <row r="9" spans="1:99" ht="12" customHeight="1" x14ac:dyDescent="0.2">
      <c r="A9" s="65">
        <v>43509</v>
      </c>
      <c r="B9" s="15" t="s">
        <v>265</v>
      </c>
      <c r="C9" s="15" t="s">
        <v>84</v>
      </c>
      <c r="D9" s="59">
        <v>1921</v>
      </c>
      <c r="E9" s="75">
        <v>1</v>
      </c>
      <c r="F9" s="59">
        <v>5</v>
      </c>
      <c r="G9" s="59">
        <v>5</v>
      </c>
      <c r="H9" s="59" t="s">
        <v>582</v>
      </c>
      <c r="I9" s="59" t="s">
        <v>587</v>
      </c>
      <c r="J9" s="59" t="s">
        <v>585</v>
      </c>
      <c r="K9" s="60">
        <f>IF(J9="syllables",1,IF(J9="trigrams",2,IF(J9="strings",3,IF(J9="visual array",4,IF(J9="characters",5,IF(J9="letters",6,IF(J9="free forms",7,IF(J9="odors",8,IF(J9="words",9,IF(J9="pictures",10,IF(J9="object pictures",11,IF(J9="faces",12,IF(J9="names",13,IF(J9="idioms",14,IF(J9="grades",15,IF(J9="syllable-digit pairs",16,IF(J9="trigram-word pairs",17,IF(J9="word-digit pairs",18,IF(J9="English-Swahili pairs",19,IF(J9="spatial position",20,IF(J9="word pairs",21,IF(J9="word triads",22,IF(J9="generated words",23,IF(J9="word definition pairs",24,IF(J9="math problems",25,IF(J9="famous faces",26,IF(J9="famous names",27,IF(J9="famous voices",28,IF(J9="television programs",29,IF(J9="race horses",30,IF(J9="new vocabulary",31,IF(J9="sentences",32,IF(J9="concepts",33,IF(J9="ad slides",34,IF(J9="scenes",35,IF(J9="famous scenes",36,IF(J9="poems",37,IF(J9="walk",38,IF(J9="faces and events",39,IF(J9="events and names",40,IF(J9="flashbulb",41,IF(J9="stories",42,IF(J9="course material",43,IF(J9="autobiographical",44,IF(J9="novels",45,IF(J9="public events",46,"99"))))))))))))))))))))))))))))))))))))))))))))))</f>
        <v>43</v>
      </c>
      <c r="L9" s="60">
        <f>IF(J9="syllables",1,IF(J9="trigrams",1,IF(J9="strings",1,IF(J9="visual array",1,IF(J9="characters",1,IF(J9="letters",1,IF(J9="free forms",1,IF(J9="odors",2,IF(J9="words",2,IF(J9="pictures",2,IF(J9="object pictures",2,IF(J9="faces",2,IF(J9="names",2,IF(J9="idioms","2",IF(J9="grades",2,IF(J9="syllable-digit pairs",3,IF(J9="trigram-word pairs",3,IF(J9="word-digit pairs",3,IF(J9="English-Swahili pairs",3,IF(J9="spatial position",3,IF(J9="word pairs",4,IF(J9="word triads",4,IF(J9="generated words",4,IF(J9="word definition pairs",4,IF(J9="math problems",4,IF(J9="famous faces",4,IF(J9="famous names",4,IF(J9="famous voices",4,IF(J9="television programs",4,IF(J9="race horses",4,IF(J9="new vocabulary",4,IF(J9="sentences",5,IF(J9="concepts",5,IF(J9="ad slides",5,IF(J9="scenes",5,IF(J9="famous scenes",5,IF(J9="poems",6,IF(J9="walk",6,IF(J9="faces and events",6,IF(J9="events and names",6,IF(J9="flashbulb",7,IF(J9="stories",7,IF(J9="course material",7,IF(J9="autobiographical",7,IF(J9="novels",7,IF(J9="public events",7,"99"))))))))))))))))))))))))))))))))))))))))))))))</f>
        <v>7</v>
      </c>
      <c r="M9" s="59">
        <v>1</v>
      </c>
      <c r="N9" s="59">
        <v>4</v>
      </c>
      <c r="O9" s="59">
        <v>0</v>
      </c>
      <c r="P9" s="59"/>
      <c r="Q9" s="59" t="s">
        <v>174</v>
      </c>
      <c r="R9" s="60">
        <f>IF(Q9="Free Recall",1,IF(Q9="Cued Recall",2,IF(Q9="Recognition",3,IF(Q9="Multiple Choice",4,IF(Q9="Savings",5,IF(Q9="Stem Completion",6,IF(Q9="Fragment Completion",7,IF(Q9="anagram solution",8,IF(Q9="Matching",9,IF(Q9="Problem Solving",10,"99"))))))))))</f>
        <v>1</v>
      </c>
      <c r="S9" s="59" t="s">
        <v>274</v>
      </c>
      <c r="T9" s="59" t="s">
        <v>581</v>
      </c>
      <c r="U9" s="60">
        <f>IF(T9="within",1,0)</f>
        <v>1</v>
      </c>
      <c r="V9" s="59">
        <v>2</v>
      </c>
      <c r="W9" s="60">
        <f>F9*V9</f>
        <v>10</v>
      </c>
      <c r="X9" s="59">
        <v>3</v>
      </c>
      <c r="Y9" s="76">
        <f>AV8</f>
        <v>86400</v>
      </c>
      <c r="Z9" s="59" t="s">
        <v>185</v>
      </c>
      <c r="AA9" s="59">
        <f>31*24*3600</f>
        <v>2678400</v>
      </c>
      <c r="AB9" s="60" t="str">
        <f>IF(AA9&lt;60,"1",IF(AA9&lt;=43200,"2",IF(AA9&lt;=777600,"3","4")))</f>
        <v>4</v>
      </c>
      <c r="AC9" s="56">
        <f>AVERAGE(AV8:DA8)</f>
        <v>1296000</v>
      </c>
      <c r="AD9" s="60" t="str">
        <f>IF(AC9&lt;60,"1",IF(AC9&lt;=43200,"2",IF(AC9&lt;=777600,"3","4")))</f>
        <v>4</v>
      </c>
      <c r="AE9" s="76">
        <f>AA9-Y9</f>
        <v>2592000</v>
      </c>
      <c r="AF9" s="80">
        <f>AV9</f>
        <v>0.64410000000000001</v>
      </c>
      <c r="AG9" s="56">
        <f>((AW9-AV9)+(AX9-AW9))/2</f>
        <v>-0.17205000000000001</v>
      </c>
      <c r="AH9" s="4"/>
      <c r="AI9" s="56">
        <f>RSQ(AV9:AX9,AV8:AX8)</f>
        <v>0.86120426390791571</v>
      </c>
      <c r="AJ9" s="109">
        <f>SLOPE(AV9:AX9,AV8:AX8)</f>
        <v>-1.3411664033701948E-7</v>
      </c>
      <c r="AK9" s="56">
        <f>INTERCEPT(AV9:AX9,AV8:AX8)</f>
        <v>0.61271516587677732</v>
      </c>
      <c r="AL9" s="56">
        <f>INDEX(LINEST(LN(AV9:AX9),LN(AV8:AX8),TRUE,TRUE),3,1)</f>
        <v>0.99595796202348619</v>
      </c>
      <c r="AM9" s="56">
        <f>INDEX(LINEST(LN(AV9:AX9),LN(AV8:AX8)),1)</f>
        <v>-0.22017882796682423</v>
      </c>
      <c r="AN9" s="56">
        <f>EXP(INDEX(LINEST(LN(AV9:AX9),LN(AV8:AX8)),1,2))</f>
        <v>7.9167985903115348</v>
      </c>
      <c r="AO9" s="82">
        <f>INDEX(LINEST((AV9:AX9),LN(AV8:AX8),TRUE,TRUE),3,1)</f>
        <v>0.99981323951135725</v>
      </c>
      <c r="AP9" s="82">
        <f>INDEX(LINEST((AV9:AX9),LN(AV8:AX8)),1)</f>
        <v>-0.1016127231032585</v>
      </c>
      <c r="AQ9" s="83">
        <f>INDEX(LINEST(LN(AV9:AX9),SQRT(AV8:AX8),TRUE,TRUE),3,1)</f>
        <v>0.98665022065945795</v>
      </c>
      <c r="AR9" s="116">
        <f>INDEX(LINEST(LN(AV9:AX9),SQRT((AV8:AX8))),1)</f>
        <v>-5.894841389779506E-4</v>
      </c>
      <c r="AS9" s="84">
        <f>INDEX(LINEST(1/(AV9:AX9),1/(SQRT(AV8:AX8)),TRUE,TRUE),3,1)</f>
        <v>0.9266261466389073</v>
      </c>
      <c r="AT9" s="84">
        <f>INDEX(LINEST(1/(AV9:AX9),1/SQRT(AV8:AX8)),1)</f>
        <v>-567.28496704681595</v>
      </c>
      <c r="AU9" s="3"/>
      <c r="AV9" s="11">
        <v>0.64410000000000001</v>
      </c>
      <c r="AW9" s="11">
        <v>0.37259999999999999</v>
      </c>
      <c r="AX9" s="11">
        <v>0.3</v>
      </c>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5"/>
      <c r="CS9" s="15"/>
      <c r="CT9" s="15"/>
      <c r="CU9" s="15"/>
    </row>
    <row r="10" spans="1:99" ht="12" customHeight="1" x14ac:dyDescent="0.2">
      <c r="A10" s="65">
        <v>43509</v>
      </c>
      <c r="B10" s="15"/>
      <c r="C10" s="15"/>
      <c r="D10" s="59"/>
      <c r="E10" s="75"/>
      <c r="F10" s="59"/>
      <c r="G10" s="59"/>
      <c r="H10" s="59"/>
      <c r="I10" s="59"/>
      <c r="J10" s="59"/>
      <c r="M10" s="59"/>
      <c r="N10" s="59"/>
      <c r="O10" s="59"/>
      <c r="P10" s="59"/>
      <c r="Q10" s="59"/>
      <c r="R10" s="60"/>
      <c r="S10" s="59"/>
      <c r="T10" s="59"/>
      <c r="U10" s="60"/>
      <c r="V10" s="59"/>
      <c r="W10" s="60"/>
      <c r="X10" s="59"/>
      <c r="Y10" s="76"/>
      <c r="Z10" s="59"/>
      <c r="AA10" s="59"/>
      <c r="AB10" s="60"/>
      <c r="AC10" s="60"/>
      <c r="AD10" s="60"/>
      <c r="AE10" s="60"/>
      <c r="AF10" s="80"/>
      <c r="AG10" s="56"/>
      <c r="AH10" s="4"/>
      <c r="AI10" s="55"/>
      <c r="AJ10" s="111"/>
      <c r="AK10" s="55"/>
      <c r="AL10" s="55"/>
      <c r="AM10" s="55"/>
      <c r="AN10" s="55"/>
      <c r="AO10" s="55"/>
      <c r="AP10" s="55"/>
      <c r="AQ10" s="55"/>
      <c r="AR10" s="111"/>
      <c r="AS10" s="55"/>
      <c r="AT10" s="55"/>
      <c r="AU10" s="4"/>
      <c r="AV10" s="47">
        <f>24*3600</f>
        <v>86400</v>
      </c>
      <c r="AW10" s="47">
        <f>14*24*3600</f>
        <v>1209600</v>
      </c>
      <c r="AX10" s="47">
        <f>30*24*3600</f>
        <v>2592000</v>
      </c>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5"/>
      <c r="CS10" s="15"/>
      <c r="CT10" s="15"/>
      <c r="CU10" s="15"/>
    </row>
    <row r="11" spans="1:99" ht="12" customHeight="1" x14ac:dyDescent="0.2">
      <c r="A11" s="65">
        <v>43509</v>
      </c>
      <c r="B11" s="15" t="s">
        <v>265</v>
      </c>
      <c r="C11" s="15" t="s">
        <v>84</v>
      </c>
      <c r="D11" s="59">
        <v>1921</v>
      </c>
      <c r="E11" s="75">
        <v>1</v>
      </c>
      <c r="F11" s="59">
        <v>5</v>
      </c>
      <c r="G11" s="59">
        <v>5</v>
      </c>
      <c r="H11" s="59" t="s">
        <v>583</v>
      </c>
      <c r="I11" s="59" t="s">
        <v>588</v>
      </c>
      <c r="J11" s="59" t="s">
        <v>585</v>
      </c>
      <c r="K11" s="60">
        <f>IF(J11="syllables",1,IF(J11="trigrams",2,IF(J11="strings",3,IF(J11="visual array",4,IF(J11="characters",5,IF(J11="letters",6,IF(J11="free forms",7,IF(J11="odors",8,IF(J11="words",9,IF(J11="pictures",10,IF(J11="object pictures",11,IF(J11="faces",12,IF(J11="names",13,IF(J11="idioms",14,IF(J11="grades",15,IF(J11="syllable-digit pairs",16,IF(J11="trigram-word pairs",17,IF(J11="word-digit pairs",18,IF(J11="English-Swahili pairs",19,IF(J11="spatial position",20,IF(J11="word pairs",21,IF(J11="word triads",22,IF(J11="generated words",23,IF(J11="word definition pairs",24,IF(J11="math problems",25,IF(J11="famous faces",26,IF(J11="famous names",27,IF(J11="famous voices",28,IF(J11="television programs",29,IF(J11="race horses",30,IF(J11="new vocabulary",31,IF(J11="sentences",32,IF(J11="concepts",33,IF(J11="ad slides",34,IF(J11="scenes",35,IF(J11="famous scenes",36,IF(J11="poems",37,IF(J11="walk",38,IF(J11="faces and events",39,IF(J11="events and names",40,IF(J11="flashbulb",41,IF(J11="stories",42,IF(J11="course material",43,IF(J11="autobiographical",44,IF(J11="novels",45,IF(J11="public events",46,"99"))))))))))))))))))))))))))))))))))))))))))))))</f>
        <v>43</v>
      </c>
      <c r="L11" s="60">
        <f>IF(J11="syllables",1,IF(J11="trigrams",1,IF(J11="strings",1,IF(J11="visual array",1,IF(J11="characters",1,IF(J11="letters",1,IF(J11="free forms",1,IF(J11="odors",2,IF(J11="words",2,IF(J11="pictures",2,IF(J11="object pictures",2,IF(J11="faces",2,IF(J11="names",2,IF(J11="idioms","2",IF(J11="grades",2,IF(J11="syllable-digit pairs",3,IF(J11="trigram-word pairs",3,IF(J11="word-digit pairs",3,IF(J11="English-Swahili pairs",3,IF(J11="spatial position",3,IF(J11="word pairs",4,IF(J11="word triads",4,IF(J11="generated words",4,IF(J11="word definition pairs",4,IF(J11="math problems",4,IF(J11="famous faces",4,IF(J11="famous names",4,IF(J11="famous voices",4,IF(J11="television programs",4,IF(J11="race horses",4,IF(J11="new vocabulary",4,IF(J11="sentences",5,IF(J11="concepts",5,IF(J11="ad slides",5,IF(J11="scenes",5,IF(J11="famous scenes",5,IF(J11="poems",6,IF(J11="walk",6,IF(J11="faces and events",6,IF(J11="events and names",6,IF(J11="flashbulb",7,IF(J11="stories",7,IF(J11="course material",7,IF(J11="autobiographical",7,IF(J11="novels",7,IF(J11="public events",7,"99"))))))))))))))))))))))))))))))))))))))))))))))</f>
        <v>7</v>
      </c>
      <c r="M11" s="59">
        <v>1</v>
      </c>
      <c r="N11" s="59">
        <v>4</v>
      </c>
      <c r="O11" s="59">
        <v>0</v>
      </c>
      <c r="P11" s="59"/>
      <c r="Q11" s="59" t="s">
        <v>65</v>
      </c>
      <c r="R11" s="60">
        <f>IF(Q11="Free Recall",1,IF(Q11="Cued Recall",2,IF(Q11="Recognition",3,IF(Q11="Multiple Choice",4,IF(Q11="Savings",5,IF(Q11="Stem Completion",6,IF(Q11="Fragment Completion",7,IF(Q11="anagram solution",8,IF(Q11="Matching",9,IF(Q11="Problem Solving",10,"99"))))))))))</f>
        <v>2</v>
      </c>
      <c r="S11" s="59" t="s">
        <v>274</v>
      </c>
      <c r="T11" s="59" t="s">
        <v>581</v>
      </c>
      <c r="U11" s="60">
        <f>IF(T11="within",1,0)</f>
        <v>1</v>
      </c>
      <c r="V11" s="59">
        <v>2</v>
      </c>
      <c r="W11" s="60">
        <f>F11*V11</f>
        <v>10</v>
      </c>
      <c r="X11" s="59">
        <v>3</v>
      </c>
      <c r="Y11" s="76">
        <f>AV10</f>
        <v>86400</v>
      </c>
      <c r="Z11" s="59" t="s">
        <v>185</v>
      </c>
      <c r="AA11" s="59">
        <f>31*24*3600</f>
        <v>2678400</v>
      </c>
      <c r="AB11" s="60" t="str">
        <f>IF(AA11&lt;60,"1",IF(AA11&lt;=43200,"2",IF(AA11&lt;=777600,"3","4")))</f>
        <v>4</v>
      </c>
      <c r="AC11" s="56">
        <f>AVERAGE(AV10:DA10)</f>
        <v>1296000</v>
      </c>
      <c r="AD11" s="60" t="str">
        <f>IF(AC11&lt;60,"1",IF(AC11&lt;=43200,"2",IF(AC11&lt;=777600,"3","4")))</f>
        <v>4</v>
      </c>
      <c r="AE11" s="76">
        <f>AA11-Y11</f>
        <v>2592000</v>
      </c>
      <c r="AF11" s="80">
        <f>AV11</f>
        <v>0.69499999999999995</v>
      </c>
      <c r="AG11" s="56">
        <f>((AW11-AV11)+(AX11-AW11))/2</f>
        <v>-0.23544999999999999</v>
      </c>
      <c r="AH11" s="4"/>
      <c r="AI11" s="56">
        <f>RSQ(AV11:AX11,AV10:AX10)</f>
        <v>0.82619753966578957</v>
      </c>
      <c r="AJ11" s="109">
        <f>SLOPE(AV11:AX11,AV10:AX10)</f>
        <v>-1.8292796647358254E-7</v>
      </c>
      <c r="AK11" s="56">
        <f>INTERCEPT(AV11:AX11,AV10:AX10)</f>
        <v>0.64384131121642962</v>
      </c>
      <c r="AL11" s="56">
        <f>INDEX(LINEST(LN(AV11:AX11),LN(AV10:AX10),TRUE,TRUE),3,1)</f>
        <v>0.99844616468973013</v>
      </c>
      <c r="AM11" s="56">
        <f>INDEX(LINEST(LN(AV11:AX11),LN(AV10:AX10)),1)</f>
        <v>-0.32864028094881648</v>
      </c>
      <c r="AN11" s="56">
        <f>EXP(INDEX(LINEST(LN(AV11:AX11),LN(AV10:AX10)),1,2))</f>
        <v>29.295411364108038</v>
      </c>
      <c r="AO11" s="82">
        <f>INDEX(LINEST((AV11:AX11),LN(AV10:AX10),TRUE,TRUE),3,1)</f>
        <v>0.99616884982886345</v>
      </c>
      <c r="AP11" s="82">
        <f>INDEX(LINEST((AV11:AX11),LN(AV10:AX10)),1)</f>
        <v>-0.14124195002609072</v>
      </c>
      <c r="AQ11" s="83">
        <f>INDEX(LINEST(LN(AV11:AX11),SQRT(AV10:AX10),TRUE,TRUE),3,1)</f>
        <v>0.98053024058344407</v>
      </c>
      <c r="AR11" s="116">
        <f>INDEX(LINEST(LN(AV11:AX11),SQRT((AV10:AX10))),1)</f>
        <v>-8.7604098868357882E-4</v>
      </c>
      <c r="AS11" s="84">
        <f>INDEX(LINEST(1/(AV11:AX11),1/(SQRT(AV10:AX10)),TRUE,TRUE),3,1)</f>
        <v>0.91873987652368128</v>
      </c>
      <c r="AT11" s="84">
        <f>INDEX(LINEST(1/(AV11:AX11),1/SQRT(AV10:AX10)),1)</f>
        <v>-956.93801475936812</v>
      </c>
      <c r="AU11" s="3"/>
      <c r="AV11" s="11">
        <v>0.69499999999999995</v>
      </c>
      <c r="AW11" s="11">
        <v>0.30120000000000002</v>
      </c>
      <c r="AX11" s="11">
        <v>0.22409999999999999</v>
      </c>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5"/>
      <c r="CS11" s="15"/>
      <c r="CT11" s="15"/>
      <c r="CU11" s="15"/>
    </row>
    <row r="12" spans="1:99" ht="12" customHeight="1" x14ac:dyDescent="0.2">
      <c r="A12" s="65">
        <v>43509</v>
      </c>
      <c r="B12" s="15"/>
      <c r="C12" s="15"/>
      <c r="D12" s="59"/>
      <c r="E12" s="75"/>
      <c r="F12" s="59"/>
      <c r="G12" s="59"/>
      <c r="H12" s="59"/>
      <c r="I12" s="59"/>
      <c r="J12" s="59"/>
      <c r="M12" s="59"/>
      <c r="N12" s="59"/>
      <c r="O12" s="59"/>
      <c r="P12" s="59"/>
      <c r="Q12" s="59"/>
      <c r="R12" s="60"/>
      <c r="S12" s="59"/>
      <c r="T12" s="59"/>
      <c r="U12" s="60"/>
      <c r="V12" s="59"/>
      <c r="W12" s="60"/>
      <c r="X12" s="59"/>
      <c r="Y12" s="76"/>
      <c r="Z12" s="59"/>
      <c r="AA12" s="59"/>
      <c r="AB12" s="60"/>
      <c r="AC12" s="60"/>
      <c r="AD12" s="60"/>
      <c r="AE12" s="60"/>
      <c r="AF12" s="80"/>
      <c r="AG12" s="56"/>
      <c r="AH12" s="4"/>
      <c r="AI12" s="55"/>
      <c r="AJ12" s="111"/>
      <c r="AK12" s="55"/>
      <c r="AL12" s="55"/>
      <c r="AM12" s="55"/>
      <c r="AN12" s="55"/>
      <c r="AO12" s="55"/>
      <c r="AP12" s="55"/>
      <c r="AQ12" s="55"/>
      <c r="AR12" s="111"/>
      <c r="AS12" s="55"/>
      <c r="AT12" s="55"/>
      <c r="AU12" s="4"/>
      <c r="AV12" s="47">
        <f>24*3600</f>
        <v>86400</v>
      </c>
      <c r="AW12" s="47">
        <f>14*24*3600</f>
        <v>1209600</v>
      </c>
      <c r="AX12" s="47">
        <f>30*24*3600</f>
        <v>2592000</v>
      </c>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5"/>
      <c r="CS12" s="15"/>
      <c r="CT12" s="15"/>
      <c r="CU12" s="15"/>
    </row>
    <row r="13" spans="1:99" ht="12" customHeight="1" x14ac:dyDescent="0.2">
      <c r="A13" s="65">
        <v>43509</v>
      </c>
      <c r="B13" s="15" t="s">
        <v>265</v>
      </c>
      <c r="C13" s="15" t="s">
        <v>84</v>
      </c>
      <c r="D13" s="59">
        <v>1921</v>
      </c>
      <c r="E13" s="75">
        <v>1</v>
      </c>
      <c r="F13" s="59">
        <v>5</v>
      </c>
      <c r="G13" s="59">
        <v>5</v>
      </c>
      <c r="H13" s="59" t="s">
        <v>584</v>
      </c>
      <c r="I13" s="59" t="s">
        <v>589</v>
      </c>
      <c r="J13" s="59" t="s">
        <v>585</v>
      </c>
      <c r="K13" s="60">
        <f>IF(J13="syllables",1,IF(J13="trigrams",2,IF(J13="strings",3,IF(J13="visual array",4,IF(J13="characters",5,IF(J13="letters",6,IF(J13="free forms",7,IF(J13="odors",8,IF(J13="words",9,IF(J13="pictures",10,IF(J13="object pictures",11,IF(J13="faces",12,IF(J13="names",13,IF(J13="idioms",14,IF(J13="grades",15,IF(J13="syllable-digit pairs",16,IF(J13="trigram-word pairs",17,IF(J13="word-digit pairs",18,IF(J13="English-Swahili pairs",19,IF(J13="spatial position",20,IF(J13="word pairs",21,IF(J13="word triads",22,IF(J13="generated words",23,IF(J13="word definition pairs",24,IF(J13="math problems",25,IF(J13="famous faces",26,IF(J13="famous names",27,IF(J13="famous voices",28,IF(J13="television programs",29,IF(J13="race horses",30,IF(J13="new vocabulary",31,IF(J13="sentences",32,IF(J13="concepts",33,IF(J13="ad slides",34,IF(J13="scenes",35,IF(J13="famous scenes",36,IF(J13="poems",37,IF(J13="walk",38,IF(J13="faces and events",39,IF(J13="events and names",40,IF(J13="flashbulb",41,IF(J13="stories",42,IF(J13="course material",43,IF(J13="autobiographical",44,IF(J13="novels",45,IF(J13="public events",46,"99"))))))))))))))))))))))))))))))))))))))))))))))</f>
        <v>43</v>
      </c>
      <c r="L13" s="60">
        <f>IF(J13="syllables",1,IF(J13="trigrams",1,IF(J13="strings",1,IF(J13="visual array",1,IF(J13="characters",1,IF(J13="letters",1,IF(J13="free forms",1,IF(J13="odors",2,IF(J13="words",2,IF(J13="pictures",2,IF(J13="object pictures",2,IF(J13="faces",2,IF(J13="names",2,IF(J13="idioms","2",IF(J13="grades",2,IF(J13="syllable-digit pairs",3,IF(J13="trigram-word pairs",3,IF(J13="word-digit pairs",3,IF(J13="English-Swahili pairs",3,IF(J13="spatial position",3,IF(J13="word pairs",4,IF(J13="word triads",4,IF(J13="generated words",4,IF(J13="word definition pairs",4,IF(J13="math problems",4,IF(J13="famous faces",4,IF(J13="famous names",4,IF(J13="famous voices",4,IF(J13="television programs",4,IF(J13="race horses",4,IF(J13="new vocabulary",4,IF(J13="sentences",5,IF(J13="concepts",5,IF(J13="ad slides",5,IF(J13="scenes",5,IF(J13="famous scenes",5,IF(J13="poems",6,IF(J13="walk",6,IF(J13="faces and events",6,IF(J13="events and names",6,IF(J13="flashbulb",7,IF(J13="stories",7,IF(J13="course material",7,IF(J13="autobiographical",7,IF(J13="novels",7,IF(J13="public events",7,"99"))))))))))))))))))))))))))))))))))))))))))))))</f>
        <v>7</v>
      </c>
      <c r="M13" s="59">
        <v>1</v>
      </c>
      <c r="N13" s="59">
        <v>4</v>
      </c>
      <c r="O13" s="59">
        <v>0</v>
      </c>
      <c r="P13" s="59"/>
      <c r="Q13" s="59" t="s">
        <v>174</v>
      </c>
      <c r="R13" s="60">
        <f>IF(Q13="Free Recall",1,IF(Q13="Cued Recall",2,IF(Q13="Recognition",3,IF(Q13="Multiple Choice",4,IF(Q13="Savings",5,IF(Q13="Stem Completion",6,IF(Q13="Fragment Completion",7,IF(Q13="anagram solution",8,IF(Q13="Matching",9,IF(Q13="Problem Solving",10,"99"))))))))))</f>
        <v>1</v>
      </c>
      <c r="S13" s="59" t="s">
        <v>274</v>
      </c>
      <c r="T13" s="59" t="s">
        <v>581</v>
      </c>
      <c r="U13" s="60">
        <f>IF(T13="within",1,0)</f>
        <v>1</v>
      </c>
      <c r="V13" s="59">
        <v>2</v>
      </c>
      <c r="W13" s="60">
        <f>F13*V13</f>
        <v>10</v>
      </c>
      <c r="X13" s="59">
        <v>3</v>
      </c>
      <c r="Y13" s="76">
        <f>AV12</f>
        <v>86400</v>
      </c>
      <c r="Z13" s="59" t="s">
        <v>185</v>
      </c>
      <c r="AA13" s="59">
        <f>31*24*3600</f>
        <v>2678400</v>
      </c>
      <c r="AB13" s="60" t="str">
        <f>IF(AA13&lt;60,"1",IF(AA13&lt;=43200,"2",IF(AA13&lt;=777600,"3","4")))</f>
        <v>4</v>
      </c>
      <c r="AC13" s="56">
        <f>AVERAGE(AV12:DA12)</f>
        <v>1296000</v>
      </c>
      <c r="AD13" s="60" t="str">
        <f>IF(AC13&lt;60,"1",IF(AC13&lt;=43200,"2",IF(AC13&lt;=777600,"3","4")))</f>
        <v>4</v>
      </c>
      <c r="AE13" s="76">
        <f>AA13-Y13</f>
        <v>2592000</v>
      </c>
      <c r="AF13" s="80">
        <f>AV13</f>
        <v>0.66</v>
      </c>
      <c r="AG13" s="56">
        <f>((AW13-AV13)+(AX13-AW13))/2</f>
        <v>-0.27255000000000001</v>
      </c>
      <c r="AH13" s="4"/>
      <c r="AI13" s="56">
        <f>RSQ(AV13:AX13,AV12:AX12)</f>
        <v>0.7232078084806306</v>
      </c>
      <c r="AJ13" s="109">
        <f>SLOPE(AV13:AX13,AV12:AX12)</f>
        <v>-2.0980066262945412E-7</v>
      </c>
      <c r="AK13" s="56">
        <f>INTERCEPT(AV13:AX13,AV12:AX12)</f>
        <v>0.57453499210110592</v>
      </c>
      <c r="AL13" s="56">
        <f>INDEX(LINEST(LN(AV13:AX13),LN(AV12:AX12),TRUE,TRUE),3,1)</f>
        <v>0.9806181983528186</v>
      </c>
      <c r="AM13" s="56">
        <f>INDEX(LINEST(LN(AV13:AX13),LN(AV12:AX12)),1)</f>
        <v>-0.53809101988255281</v>
      </c>
      <c r="AN13" s="56">
        <f>EXP(INDEX(LINEST(LN(AV13:AX13),LN(AV12:AX12)),1,2))</f>
        <v>289.32183535639928</v>
      </c>
      <c r="AO13" s="82">
        <f>INDEX(LINEST((AV13:AX13),LN(AV12:AX12),TRUE,TRUE),3,1)</f>
        <v>0.96582719897646863</v>
      </c>
      <c r="AP13" s="82">
        <f>INDEX(LINEST((AV13:AX13),LN(AV12:AX12)),1)</f>
        <v>-0.17048418055012046</v>
      </c>
      <c r="AQ13" s="83">
        <f>INDEX(LINEST(LN(AV13:AX13),SQRT(AV12:AX12),TRUE,TRUE),3,1)</f>
        <v>0.9015894504354105</v>
      </c>
      <c r="AR13" s="116">
        <f>INDEX(LINEST(LN(AV13:AX13),SQRT((AV12:AX12))),1)</f>
        <v>-1.3878599534918358E-3</v>
      </c>
      <c r="AS13" s="84">
        <f>INDEX(LINEST(1/(AV13:AX13),1/(SQRT(AV12:AX12)),TRUE,TRUE),3,1)</f>
        <v>0.99641217842885987</v>
      </c>
      <c r="AT13" s="84">
        <f>INDEX(LINEST(1/(AV13:AX13),1/SQRT(AV12:AX12)),1)</f>
        <v>-2515.6675615535414</v>
      </c>
      <c r="AU13" s="3"/>
      <c r="AV13" s="11">
        <v>0.66</v>
      </c>
      <c r="AW13" s="11">
        <v>0.13300000000000001</v>
      </c>
      <c r="AX13" s="11">
        <v>0.1149</v>
      </c>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5"/>
      <c r="CS13" s="15"/>
      <c r="CT13" s="15"/>
      <c r="CU13" s="15"/>
    </row>
    <row r="14" spans="1:99" s="13" customFormat="1" ht="12" customHeight="1" x14ac:dyDescent="0.2">
      <c r="A14" s="68">
        <v>43509</v>
      </c>
      <c r="B14" s="70"/>
      <c r="C14" s="70"/>
      <c r="D14" s="69"/>
      <c r="E14" s="105"/>
      <c r="F14" s="69"/>
      <c r="G14" s="69"/>
      <c r="H14" s="69"/>
      <c r="I14" s="69"/>
      <c r="J14" s="69"/>
      <c r="K14" s="107"/>
      <c r="L14" s="107"/>
      <c r="M14" s="69"/>
      <c r="N14" s="69"/>
      <c r="O14" s="69"/>
      <c r="P14" s="69"/>
      <c r="Q14" s="69"/>
      <c r="R14" s="69"/>
      <c r="S14" s="69"/>
      <c r="T14" s="69"/>
      <c r="U14" s="69"/>
      <c r="V14" s="69"/>
      <c r="W14" s="69"/>
      <c r="X14" s="86"/>
      <c r="Y14" s="87"/>
      <c r="Z14" s="69"/>
      <c r="AA14" s="69"/>
      <c r="AB14" s="69"/>
      <c r="AC14" s="69"/>
      <c r="AD14" s="69"/>
      <c r="AE14" s="69"/>
      <c r="AF14" s="88"/>
      <c r="AG14" s="72"/>
      <c r="AH14" s="4"/>
      <c r="AI14" s="72"/>
      <c r="AJ14" s="110"/>
      <c r="AK14" s="72"/>
      <c r="AL14" s="72"/>
      <c r="AM14" s="72"/>
      <c r="AN14" s="72"/>
      <c r="AO14" s="72"/>
      <c r="AP14" s="72"/>
      <c r="AQ14" s="72"/>
      <c r="AR14" s="110"/>
      <c r="AS14" s="72"/>
      <c r="AT14" s="72"/>
      <c r="AU14" s="4"/>
      <c r="AV14" s="71">
        <f>1.2*60</f>
        <v>72</v>
      </c>
      <c r="AW14" s="71">
        <f>2.4*60</f>
        <v>144</v>
      </c>
      <c r="AX14" s="71">
        <f>5.5*60</f>
        <v>330</v>
      </c>
      <c r="AY14" s="71">
        <f>60*9.5</f>
        <v>570</v>
      </c>
      <c r="AZ14" s="71">
        <f>60*17.3</f>
        <v>1038</v>
      </c>
      <c r="BA14" s="71">
        <f>60*33.1</f>
        <v>1986</v>
      </c>
      <c r="BB14" s="71">
        <f>60*64.2</f>
        <v>3852</v>
      </c>
      <c r="BC14" s="71">
        <f>24*60*60</f>
        <v>86400</v>
      </c>
      <c r="BD14" s="71">
        <f>BC14*7</f>
        <v>604800</v>
      </c>
      <c r="BE14" s="71">
        <f>BD14*4</f>
        <v>2419200</v>
      </c>
      <c r="BF14" s="53"/>
      <c r="BG14" s="53"/>
      <c r="BH14" s="53"/>
      <c r="BI14" s="53"/>
      <c r="BJ14" s="53"/>
      <c r="BK14" s="53"/>
      <c r="BL14" s="53"/>
      <c r="BM14" s="53"/>
      <c r="BN14" s="53"/>
      <c r="BO14" s="53"/>
      <c r="BP14" s="53"/>
      <c r="BQ14" s="53"/>
      <c r="BR14" s="53"/>
      <c r="BS14" s="53"/>
      <c r="BT14" s="53"/>
      <c r="BU14" s="53"/>
      <c r="BV14" s="53"/>
      <c r="BW14" s="53"/>
      <c r="BX14" s="53"/>
      <c r="BY14" s="53"/>
      <c r="BZ14" s="53"/>
      <c r="CA14" s="53"/>
      <c r="CB14" s="53"/>
      <c r="CC14" s="53"/>
      <c r="CD14" s="53"/>
      <c r="CE14" s="53"/>
      <c r="CF14" s="53"/>
      <c r="CG14" s="53"/>
      <c r="CH14" s="53"/>
      <c r="CI14" s="53"/>
      <c r="CJ14" s="53"/>
      <c r="CK14" s="53"/>
      <c r="CL14" s="53"/>
      <c r="CM14" s="53"/>
      <c r="CN14" s="53"/>
      <c r="CO14" s="53"/>
      <c r="CP14" s="53"/>
      <c r="CQ14" s="53"/>
      <c r="CR14" s="1"/>
      <c r="CS14" s="1"/>
      <c r="CT14" s="1"/>
      <c r="CU14" s="1"/>
    </row>
    <row r="15" spans="1:99" s="13" customFormat="1" ht="12" customHeight="1" x14ac:dyDescent="0.2">
      <c r="A15" s="68">
        <v>43509</v>
      </c>
      <c r="B15" s="70" t="s">
        <v>12</v>
      </c>
      <c r="C15" s="70" t="s">
        <v>13</v>
      </c>
      <c r="D15" s="69">
        <v>2009</v>
      </c>
      <c r="E15" s="105">
        <v>1</v>
      </c>
      <c r="F15" s="69">
        <v>16</v>
      </c>
      <c r="G15" s="69">
        <v>16</v>
      </c>
      <c r="H15" s="69" t="s">
        <v>17</v>
      </c>
      <c r="I15" s="69" t="s">
        <v>591</v>
      </c>
      <c r="J15" s="69" t="s">
        <v>16</v>
      </c>
      <c r="K15" s="69">
        <f>IF(J15="syllables",1,IF(J15="trigrams",2,IF(J15="strings",3,IF(J15="visual array",4,IF(J15="characters",5,IF(J15="letters",6,IF(J15="free forms",7,IF(J15="odors",8,IF(J15="words",9,IF(J15="pictures",10,IF(J15="object pictures",11,IF(J15="faces",12,IF(J15="names",13,IF(J15="idioms",14,IF(J15="grades",15,IF(J15="syllable-digit pairs",16,IF(J15="trigram-word pairs",17,IF(J15="word-digit pairs",18,IF(J15="English-Swahili pairs",19,IF(J15="spatial position",20,IF(J15="word pairs",21,IF(J15="word triads",22,IF(J15="generated words",23,IF(J15="word definition pairs",24,IF(J15="math problems",25,IF(J15="famous faces",26,IF(J15="famous names",27,IF(J15="famous voices",28,IF(J15="television programs",29,IF(J15="race horses",30,IF(J15="new vocabulary",31,IF(J15="sentences",32,IF(J15="concepts",33,IF(J15="ad slides",34,IF(J15="scenes",35,IF(J15="famous scenes",36,IF(J15="poems",37,IF(J15="walk",38,IF(J15="faces and events",39,IF(J15="events and names",40,IF(J15="flashbulb",41,IF(J15="stories",42,IF(J15="course material",43,IF(J15="autobiographical",44,IF(J15="novels",45,IF(J15="public events",46,"99"))))))))))))))))))))))))))))))))))))))))))))))</f>
        <v>9</v>
      </c>
      <c r="L15" s="69">
        <f>IF(J15="syllables",1,IF(J15="trigrams",1,IF(J15="strings",1,IF(J15="visual array",1,IF(J15="characters",1,IF(J15="letters",1,IF(J15="free forms",1,IF(J15="odors",2,IF(J15="words",2,IF(J15="pictures",2,IF(J15="object pictures",2,IF(J15="faces",2,IF(J15="names",2,IF(J15="idioms","2",IF(J15="grades",2,IF(J15="syllable-digit pairs",3,IF(J15="trigram-word pairs",3,IF(J15="word-digit pairs",3,IF(J15="English-Swahili pairs",3,IF(J15="spatial position",3,IF(J15="word pairs",4,IF(J15="word triads",4,IF(J15="generated words",4,IF(J15="word definition pairs",4,IF(J15="math problems",4,IF(J15="famous faces",4,IF(J15="famous names",4,IF(J15="famous voices",4,IF(J15="television programs",4,IF(J15="race horses",4,IF(J15="new vocabulary",4,IF(J15="sentences",5,IF(J15="concepts",5,IF(J15="ad slides",5,IF(J15="scenes",5,IF(J15="famous scenes",5,IF(J15="poems",6,IF(J15="walk",6,IF(J15="faces and events",6,IF(J15="events and names",6,IF(J15="flashbulb",7,IF(J15="stories",7,IF(J15="course material",7,IF(J15="autobiographical",7,IF(J15="novels",7,IF(J15="public events",7,"99"))))))))))))))))))))))))))))))))))))))))))))))</f>
        <v>2</v>
      </c>
      <c r="M15" s="69">
        <v>0</v>
      </c>
      <c r="N15" s="69">
        <v>1</v>
      </c>
      <c r="O15" s="69">
        <v>0</v>
      </c>
      <c r="P15" s="69"/>
      <c r="Q15" s="69" t="s">
        <v>14</v>
      </c>
      <c r="R15" s="69">
        <f>IF(Q15="Free Recall",1,IF(Q15="Cued Recall",2,IF(Q15="Recognition",3,IF(Q15="Multiple Choice",4,IF(Q15="Savings",5,IF(Q15="Stem Completion",6,IF(Q15="Fragment Completion",7,IF(Q15="anagram solution",8,IF(Q15="Matching",9,IF(Q15="Problem Solving",10,"99"))))))))))</f>
        <v>6</v>
      </c>
      <c r="S15" s="69" t="s">
        <v>15</v>
      </c>
      <c r="T15" s="92" t="s">
        <v>581</v>
      </c>
      <c r="U15" s="69">
        <f>IF(T15="within",1,0)</f>
        <v>1</v>
      </c>
      <c r="V15" s="69">
        <v>905</v>
      </c>
      <c r="W15" s="69">
        <f>F15*V15</f>
        <v>14480</v>
      </c>
      <c r="X15" s="69">
        <v>10</v>
      </c>
      <c r="Y15" s="87">
        <f>AV14</f>
        <v>72</v>
      </c>
      <c r="Z15" s="69" t="s">
        <v>18</v>
      </c>
      <c r="AA15" s="69">
        <v>2419200</v>
      </c>
      <c r="AB15" s="69" t="str">
        <f>IF(AA15&lt;60,"1",IF(AA15&lt;=43200,"2",IF(AA15&lt;=777600,"3","4")))</f>
        <v>4</v>
      </c>
      <c r="AC15" s="72">
        <f>AVERAGE(AV14:DA14)</f>
        <v>311839.2</v>
      </c>
      <c r="AD15" s="69" t="str">
        <f>IF(AC15&lt;60,"1",IF(AC15&lt;=43200,"2",IF(AC15&lt;=777600,"3","4")))</f>
        <v>3</v>
      </c>
      <c r="AE15" s="87">
        <f>AA15-Y15</f>
        <v>2419128</v>
      </c>
      <c r="AF15" s="88">
        <f>AV15</f>
        <v>0.62</v>
      </c>
      <c r="AG15" s="72">
        <f>((AW15-AV15)+(AX15-AW15)+(AY15-AX15)+(AZ15-AY15)+(BA15-AZ15)+(BB15-BA15)+(BC15-BB15)+(BD15-BC15)+(BE15-BD15))/9</f>
        <v>-4.6666666666666669E-2</v>
      </c>
      <c r="AH15" s="4"/>
      <c r="AI15" s="72">
        <f>RSQ(AV15:BE15,AV14:BE14)</f>
        <v>0.19780589370348969</v>
      </c>
      <c r="AJ15" s="110">
        <f>SLOPE(AV15:BE15,AV14:BE14)</f>
        <v>-7.7104254201619658E-8</v>
      </c>
      <c r="AK15" s="72">
        <f>INTERCEPT(AV15:BE15,AV14:BE14)</f>
        <v>0.35504412894682974</v>
      </c>
      <c r="AL15" s="72">
        <f>INDEX(LINEST(LN(AV15:BE15),LN(AV14:BE14),TRUE,TRUE),3,1)</f>
        <v>0.81395834531462741</v>
      </c>
      <c r="AM15" s="72">
        <f>INDEX(LINEST(LN(AV15:BE15),LN(AV14:BE14)),1)</f>
        <v>-9.1845072529178631E-2</v>
      </c>
      <c r="AN15" s="72">
        <f>EXP(INDEX(LINEST(LN(AV15:BE15),LN(AV14:BE14)),1,2))</f>
        <v>0.66952784552597988</v>
      </c>
      <c r="AO15" s="89">
        <f>INDEX(LINEST((AV15:BE15),LN(AV14:BE14),TRUE,TRUE),3,1)</f>
        <v>0.66451877735809772</v>
      </c>
      <c r="AP15" s="89">
        <f>INDEX(LINEST((AV15:BE15),LN(AV14:BE14)),1)</f>
        <v>-3.0187630450828846E-2</v>
      </c>
      <c r="AQ15" s="90">
        <f>INDEX(LINEST(LN(AV15:BE15),SQRT(AV14:BE14),TRUE,TRUE),3,1)</f>
        <v>0.44418514430868172</v>
      </c>
      <c r="AR15" s="117">
        <f>INDEX(LINEST(LN(AV15:BE15),SQRT((AV14:BE14))),1)</f>
        <v>-4.7812635369060176E-4</v>
      </c>
      <c r="AS15" s="91">
        <f>INDEX(LINEST(1/(AV15:BE15),1/(SQRT(AV14:BE14)),TRUE,TRUE),3,1)</f>
        <v>0.8645731465775881</v>
      </c>
      <c r="AT15" s="91">
        <f>INDEX(LINEST(1/(AV15:BE15),1/SQRT(AV14:BE14)),1)</f>
        <v>-27.235938261162243</v>
      </c>
      <c r="AU15" s="3"/>
      <c r="AV15" s="73">
        <v>0.62</v>
      </c>
      <c r="AW15" s="73">
        <v>0.49</v>
      </c>
      <c r="AX15" s="73">
        <v>0.36</v>
      </c>
      <c r="AY15" s="73">
        <v>0.32</v>
      </c>
      <c r="AZ15" s="73">
        <v>0.3</v>
      </c>
      <c r="BA15" s="73">
        <v>0.28999999999999998</v>
      </c>
      <c r="BB15" s="73">
        <v>0.3</v>
      </c>
      <c r="BC15" s="73">
        <v>0.23</v>
      </c>
      <c r="BD15" s="73">
        <v>0.2</v>
      </c>
      <c r="BE15" s="73">
        <v>0.2</v>
      </c>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1"/>
      <c r="CS15" s="1"/>
      <c r="CT15" s="1"/>
      <c r="CU15" s="1"/>
    </row>
    <row r="16" spans="1:99" s="13" customFormat="1" ht="12" customHeight="1" x14ac:dyDescent="0.2">
      <c r="A16" s="68">
        <v>43509</v>
      </c>
      <c r="B16" s="70"/>
      <c r="C16" s="70"/>
      <c r="D16" s="69"/>
      <c r="E16" s="105"/>
      <c r="F16" s="69"/>
      <c r="G16" s="69"/>
      <c r="H16" s="69"/>
      <c r="I16" s="69"/>
      <c r="J16" s="69"/>
      <c r="K16" s="107"/>
      <c r="L16" s="107"/>
      <c r="M16" s="69"/>
      <c r="N16" s="69"/>
      <c r="O16" s="69"/>
      <c r="P16" s="69"/>
      <c r="Q16" s="69"/>
      <c r="R16" s="69"/>
      <c r="S16" s="69"/>
      <c r="T16" s="69"/>
      <c r="U16" s="69"/>
      <c r="V16" s="69"/>
      <c r="W16" s="69"/>
      <c r="X16" s="69"/>
      <c r="Y16" s="87"/>
      <c r="Z16" s="69"/>
      <c r="AA16" s="69"/>
      <c r="AB16" s="69"/>
      <c r="AC16" s="69"/>
      <c r="AD16" s="69"/>
      <c r="AE16" s="69"/>
      <c r="AF16" s="88"/>
      <c r="AG16" s="72"/>
      <c r="AH16" s="4"/>
      <c r="AI16" s="72"/>
      <c r="AJ16" s="110"/>
      <c r="AK16" s="72"/>
      <c r="AL16" s="72"/>
      <c r="AM16" s="72"/>
      <c r="AN16" s="72"/>
      <c r="AO16" s="89"/>
      <c r="AP16" s="89"/>
      <c r="AQ16" s="89"/>
      <c r="AR16" s="118"/>
      <c r="AS16" s="89"/>
      <c r="AT16" s="89"/>
      <c r="AU16" s="3"/>
      <c r="AV16" s="71">
        <f>1.2*60</f>
        <v>72</v>
      </c>
      <c r="AW16" s="71">
        <f>2.4*60</f>
        <v>144</v>
      </c>
      <c r="AX16" s="71">
        <f>5.5*60</f>
        <v>330</v>
      </c>
      <c r="AY16" s="71">
        <f>60*9.5</f>
        <v>570</v>
      </c>
      <c r="AZ16" s="71">
        <f>60*17.3</f>
        <v>1038</v>
      </c>
      <c r="BA16" s="71">
        <f>60*33.1</f>
        <v>1986</v>
      </c>
      <c r="BB16" s="71">
        <f>60*64.2</f>
        <v>3852</v>
      </c>
      <c r="BC16" s="71">
        <f>24*60*60</f>
        <v>86400</v>
      </c>
      <c r="BD16" s="71">
        <f>BC16*7</f>
        <v>604800</v>
      </c>
      <c r="BE16" s="71">
        <f>BD16*4</f>
        <v>2419200</v>
      </c>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1"/>
      <c r="CS16" s="1"/>
      <c r="CT16" s="1"/>
      <c r="CU16" s="1"/>
    </row>
    <row r="17" spans="1:99" s="13" customFormat="1" ht="12" customHeight="1" x14ac:dyDescent="0.2">
      <c r="A17" s="68">
        <v>43509</v>
      </c>
      <c r="B17" s="70" t="s">
        <v>12</v>
      </c>
      <c r="C17" s="70" t="s">
        <v>13</v>
      </c>
      <c r="D17" s="69">
        <v>2009</v>
      </c>
      <c r="E17" s="105">
        <v>1</v>
      </c>
      <c r="F17" s="69">
        <v>16</v>
      </c>
      <c r="G17" s="69">
        <v>16</v>
      </c>
      <c r="H17" s="69" t="s">
        <v>17</v>
      </c>
      <c r="I17" s="69" t="s">
        <v>592</v>
      </c>
      <c r="J17" s="86" t="s">
        <v>16</v>
      </c>
      <c r="K17" s="69">
        <f>IF(J17="syllables",1,IF(J17="trigrams",2,IF(J17="strings",3,IF(J17="visual array",4,IF(J17="characters",5,IF(J17="letters",6,IF(J17="free forms",7,IF(J17="odors",8,IF(J17="words",9,IF(J17="pictures",10,IF(J17="object pictures",11,IF(J17="faces",12,IF(J17="names",13,IF(J17="idioms",14,IF(J17="grades",15,IF(J17="syllable-digit pairs",16,IF(J17="trigram-word pairs",17,IF(J17="word-digit pairs",18,IF(J17="English-Swahili pairs",19,IF(J17="spatial position",20,IF(J17="word pairs",21,IF(J17="word triads",22,IF(J17="generated words",23,IF(J17="word definition pairs",24,IF(J17="math problems",25,IF(J17="famous faces",26,IF(J17="famous names",27,IF(J17="famous voices",28,IF(J17="television programs",29,IF(J17="race horses",30,IF(J17="new vocabulary",31,IF(J17="sentences",32,IF(J17="concepts",33,IF(J17="ad slides",34,IF(J17="scenes",35,IF(J17="famous scenes",36,IF(J17="poems",37,IF(J17="walk",38,IF(J17="faces and events",39,IF(J17="events and names",40,IF(J17="flashbulb",41,IF(J17="stories",42,IF(J17="course material",43,IF(J17="autobiographical",44,IF(J17="novels",45,IF(J17="public events",46,"99"))))))))))))))))))))))))))))))))))))))))))))))</f>
        <v>9</v>
      </c>
      <c r="L17" s="69">
        <f>IF(J17="syllables",1,IF(J17="trigrams",1,IF(J17="strings",1,IF(J17="visual array",1,IF(J17="characters",1,IF(J17="letters",1,IF(J17="free forms",1,IF(J17="odors",2,IF(J17="words",2,IF(J17="pictures",2,IF(J17="object pictures",2,IF(J17="faces",2,IF(J17="names",2,IF(J17="idioms","2",IF(J17="grades",2,IF(J17="syllable-digit pairs",3,IF(J17="trigram-word pairs",3,IF(J17="word-digit pairs",3,IF(J17="English-Swahili pairs",3,IF(J17="spatial position",3,IF(J17="word pairs",4,IF(J17="word triads",4,IF(J17="generated words",4,IF(J17="word definition pairs",4,IF(J17="math problems",4,IF(J17="famous faces",4,IF(J17="famous names",4,IF(J17="famous voices",4,IF(J17="television programs",4,IF(J17="race horses",4,IF(J17="new vocabulary",4,IF(J17="sentences",5,IF(J17="concepts",5,IF(J17="ad slides",5,IF(J17="scenes",5,IF(J17="famous scenes",5,IF(J17="poems",6,IF(J17="walk",6,IF(J17="faces and events",6,IF(J17="events and names",6,IF(J17="flashbulb",7,IF(J17="stories",7,IF(J17="course material",7,IF(J17="autobiographical",7,IF(J17="novels",7,IF(J17="public events",7,"99"))))))))))))))))))))))))))))))))))))))))))))))</f>
        <v>2</v>
      </c>
      <c r="M17" s="69">
        <v>0</v>
      </c>
      <c r="N17" s="86">
        <v>1</v>
      </c>
      <c r="O17" s="69">
        <v>0</v>
      </c>
      <c r="P17" s="69"/>
      <c r="Q17" s="69" t="s">
        <v>65</v>
      </c>
      <c r="R17" s="69">
        <f>IF(Q17="Free Recall",1,IF(Q17="Cued Recall",2,IF(Q17="Recognition",3,IF(Q17="Multiple Choice",4,IF(Q17="Savings",5,IF(Q17="Stem Completion",6,IF(Q17="Fragment Completion",7,IF(Q17="anagram solution",8,IF(Q17="Matching",9,IF(Q17="Problem Solving",10,"99"))))))))))</f>
        <v>2</v>
      </c>
      <c r="S17" s="69" t="s">
        <v>15</v>
      </c>
      <c r="T17" s="92" t="s">
        <v>581</v>
      </c>
      <c r="U17" s="69">
        <f>IF(T17="within",1,0)</f>
        <v>1</v>
      </c>
      <c r="V17" s="86">
        <v>905</v>
      </c>
      <c r="W17" s="69">
        <f>F17*V17</f>
        <v>14480</v>
      </c>
      <c r="X17" s="69">
        <v>10</v>
      </c>
      <c r="Y17" s="87">
        <f>AV16</f>
        <v>72</v>
      </c>
      <c r="Z17" s="69" t="s">
        <v>18</v>
      </c>
      <c r="AA17" s="69">
        <v>2419200</v>
      </c>
      <c r="AB17" s="69" t="str">
        <f>IF(AA17&lt;60,"1",IF(AA17&lt;=43200,"2",IF(AA17&lt;=777600,"3","4")))</f>
        <v>4</v>
      </c>
      <c r="AC17" s="72">
        <f>AVERAGE(AV16:DA16)</f>
        <v>311839.2</v>
      </c>
      <c r="AD17" s="69" t="str">
        <f>IF(AC17&lt;60,"1",IF(AC17&lt;=43200,"2",IF(AC17&lt;=777600,"3","4")))</f>
        <v>3</v>
      </c>
      <c r="AE17" s="87">
        <f>AA17-Y17</f>
        <v>2419128</v>
      </c>
      <c r="AF17" s="88">
        <f>AV17</f>
        <v>0.47</v>
      </c>
      <c r="AG17" s="72">
        <f>((AW17-AV17)+(AX17-AW17)+(AY17-AX17)+(AZ17-AY17)+(BA17-AZ17)+(BB17-BA17)+(BC17-BB17)+(BD17-BC17)+(BE17-BD17))/9</f>
        <v>-2.9999999999999995E-2</v>
      </c>
      <c r="AH17" s="4"/>
      <c r="AI17" s="72">
        <f>RSQ(AV17:BE17,AV16:BE16)</f>
        <v>0.18941724363781726</v>
      </c>
      <c r="AJ17" s="110">
        <f>SLOPE(AV17:BE17,AV16:BE16)</f>
        <v>-4.571464581950638E-8</v>
      </c>
      <c r="AK17" s="72">
        <f>INTERCEPT(AV17:BE17,AV16:BE16)</f>
        <v>0.29225561858063831</v>
      </c>
      <c r="AL17" s="72">
        <f>INDEX(LINEST(LN(AV17:BE17),LN(AV16:BE16),TRUE,TRUE),3,1)</f>
        <v>0.7378113241856914</v>
      </c>
      <c r="AM17" s="72">
        <f>INDEX(LINEST(LN(AV17:BE17),LN(AV16:BE16)),1)</f>
        <v>-6.1582042770250908E-2</v>
      </c>
      <c r="AN17" s="72">
        <f>EXP(INDEX(LINEST(LN(AV17:BE17),LN(AV16:BE16)),1,2))</f>
        <v>0.45051330608675066</v>
      </c>
      <c r="AO17" s="89">
        <f>INDEX(LINEST((AV17:BE17),LN(AV16:BE16),TRUE,TRUE),3,1)</f>
        <v>0.61155494123289866</v>
      </c>
      <c r="AP17" s="89">
        <f>INDEX(LINEST((AV17:BE17),LN(AV16:BE16)),1)</f>
        <v>-1.7546076234383427E-2</v>
      </c>
      <c r="AQ17" s="90">
        <f>INDEX(LINEST(LN(AV17:BE17),SQRT(AV16:BE16),TRUE,TRUE),3,1)</f>
        <v>0.39712322517585508</v>
      </c>
      <c r="AR17" s="117">
        <f>INDEX(LINEST(LN(AV17:BE17),SQRT((AV16:BE16))),1)</f>
        <v>-3.1838307441759886E-4</v>
      </c>
      <c r="AS17" s="91">
        <f>INDEX(LINEST(1/(AV17:BE17),1/(SQRT(AV16:BE16)),TRUE,TRUE),3,1)</f>
        <v>0.91832975170496534</v>
      </c>
      <c r="AT17" s="91">
        <f>INDEX(LINEST(1/(AV17:BE17),1/SQRT(AV16:BE16)),1)</f>
        <v>-21.886415331781226</v>
      </c>
      <c r="AU17" s="3"/>
      <c r="AV17" s="73">
        <v>0.47</v>
      </c>
      <c r="AW17" s="73">
        <v>0.35</v>
      </c>
      <c r="AX17" s="73">
        <v>0.28000000000000003</v>
      </c>
      <c r="AY17" s="73">
        <v>0.28000000000000003</v>
      </c>
      <c r="AZ17" s="73">
        <v>0.26</v>
      </c>
      <c r="BA17" s="73">
        <v>0.26</v>
      </c>
      <c r="BB17" s="73">
        <v>0.25</v>
      </c>
      <c r="BC17" s="73">
        <v>0.23</v>
      </c>
      <c r="BD17" s="73">
        <v>0.2</v>
      </c>
      <c r="BE17" s="73">
        <v>0.2</v>
      </c>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1"/>
      <c r="CS17" s="1"/>
      <c r="CT17" s="1"/>
      <c r="CU17" s="1"/>
    </row>
    <row r="18" spans="1:99" s="13" customFormat="1" ht="12" customHeight="1" x14ac:dyDescent="0.2">
      <c r="A18" s="65">
        <v>43509</v>
      </c>
      <c r="B18" s="1"/>
      <c r="C18" s="1"/>
      <c r="D18" s="60"/>
      <c r="E18" s="76"/>
      <c r="F18" s="60"/>
      <c r="G18" s="60"/>
      <c r="H18" s="60"/>
      <c r="I18" s="60"/>
      <c r="J18" s="60"/>
      <c r="K18" s="64"/>
      <c r="L18" s="64"/>
      <c r="M18" s="60"/>
      <c r="N18" s="60"/>
      <c r="O18" s="60"/>
      <c r="P18" s="60"/>
      <c r="Q18" s="60"/>
      <c r="R18" s="60"/>
      <c r="S18" s="60"/>
      <c r="T18" s="60"/>
      <c r="U18" s="60"/>
      <c r="V18" s="60"/>
      <c r="W18" s="60"/>
      <c r="X18" s="60"/>
      <c r="Y18" s="76"/>
      <c r="Z18" s="60"/>
      <c r="AA18" s="60"/>
      <c r="AB18" s="60"/>
      <c r="AC18" s="60"/>
      <c r="AD18" s="60"/>
      <c r="AE18" s="60"/>
      <c r="AF18" s="80"/>
      <c r="AG18" s="56"/>
      <c r="AH18" s="4"/>
      <c r="AI18" s="56"/>
      <c r="AJ18" s="109"/>
      <c r="AK18" s="56"/>
      <c r="AL18" s="56"/>
      <c r="AM18" s="56"/>
      <c r="AN18" s="56"/>
      <c r="AO18" s="56"/>
      <c r="AP18" s="56"/>
      <c r="AQ18" s="56"/>
      <c r="AR18" s="109"/>
      <c r="AS18" s="56"/>
      <c r="AT18" s="56"/>
      <c r="AU18" s="5"/>
      <c r="AV18" s="25">
        <f>365*24*60*60*3.26/12</f>
        <v>8567280</v>
      </c>
      <c r="AW18" s="25">
        <f>365*24*60*60*9.3/12</f>
        <v>24440400</v>
      </c>
      <c r="AX18" s="25">
        <f>365*24*60*60*23.18/12</f>
        <v>60917040</v>
      </c>
      <c r="AY18" s="25">
        <f>365*24*60*60*45.5/12</f>
        <v>119574000</v>
      </c>
      <c r="AZ18" s="25">
        <f>365*24*60*60*89.08/12</f>
        <v>234102240</v>
      </c>
      <c r="BA18" s="25">
        <f>365*24*60*60*173.56/12</f>
        <v>456115680</v>
      </c>
      <c r="BB18" s="25">
        <f>365*24*60*60*309.61/12</f>
        <v>813655080</v>
      </c>
      <c r="BC18" s="25">
        <f>365*24*60*60*408.89/12</f>
        <v>1074562920</v>
      </c>
      <c r="BD18" s="25">
        <f>365*24*60*60*570.73/12</f>
        <v>1499878440</v>
      </c>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1"/>
      <c r="CS18" s="1"/>
      <c r="CT18" s="1"/>
      <c r="CU18" s="1"/>
    </row>
    <row r="19" spans="1:99" s="13" customFormat="1" ht="12" customHeight="1" x14ac:dyDescent="0.2">
      <c r="A19" s="65">
        <v>43509</v>
      </c>
      <c r="B19" s="1" t="s">
        <v>201</v>
      </c>
      <c r="C19" s="1" t="s">
        <v>202</v>
      </c>
      <c r="D19" s="60">
        <v>1975</v>
      </c>
      <c r="E19" s="76">
        <v>1</v>
      </c>
      <c r="F19" s="60">
        <v>392</v>
      </c>
      <c r="G19" s="60">
        <v>43.6</v>
      </c>
      <c r="H19" s="60" t="s">
        <v>227</v>
      </c>
      <c r="I19" s="60" t="s">
        <v>593</v>
      </c>
      <c r="J19" s="60" t="s">
        <v>599</v>
      </c>
      <c r="K19" s="60">
        <f>IF(J19="syllables",1,IF(J19="trigrams",2,IF(J19="strings",3,IF(J19="visual array",4,IF(J19="characters",5,IF(J19="letters",6,IF(J19="free forms",7,IF(J19="odors",8,IF(J19="words",9,IF(J19="pictures",10,IF(J19="object pictures",11,IF(J19="faces",12,IF(J19="names",13,IF(J19="idioms",14,IF(J19="grades",15,IF(J19="syllable-digit pairs",16,IF(J19="trigram-word pairs",17,IF(J19="word-digit pairs",18,IF(J19="English-Swahili pairs",19,IF(J19="spatial position",20,IF(J19="word pairs",21,IF(J19="word triads",22,IF(J19="generated words",23,IF(J19="word definition pairs",24,IF(J19="math problems",25,IF(J19="famous faces",26,IF(J19="famous names",27,IF(J19="famous voices",28,IF(J19="television programs",29,IF(J19="race horses",30,IF(J19="new vocabulary",31,IF(J19="sentences",32,IF(J19="concepts",33,IF(J19="ad slides",34,IF(J19="scenes",35,IF(J19="famous scenes",36,IF(J19="poems",37,IF(J19="walk",38,IF(J19="faces and events",39,IF(J19="events and names",40,IF(J19="flashbulb",41,IF(J19="stories",42,IF(J19="course material",43,IF(J19="autobiographical",44,IF(J19="novels",45,IF(J19="public events",46,"99"))))))))))))))))))))))))))))))))))))))))))))))</f>
        <v>13</v>
      </c>
      <c r="L19" s="60">
        <f>IF(J19="syllables",1,IF(J19="trigrams",1,IF(J19="strings",1,IF(J19="visual array",1,IF(J19="characters",1,IF(J19="letters",1,IF(J19="free forms",1,IF(J19="odors",2,IF(J19="words",2,IF(J19="pictures",2,IF(J19="object pictures",2,IF(J19="faces",2,IF(J19="names",2,IF(J19="idioms","2",IF(J19="grades",2,IF(J19="syllable-digit pairs",3,IF(J19="trigram-word pairs",3,IF(J19="word-digit pairs",3,IF(J19="English-Swahili pairs",3,IF(J19="spatial position",3,IF(J19="word pairs",4,IF(J19="word triads",4,IF(J19="generated words",4,IF(J19="word definition pairs",4,IF(J19="math problems",4,IF(J19="famous faces",4,IF(J19="famous names",4,IF(J19="famous voices",4,IF(J19="television programs",4,IF(J19="race horses",4,IF(J19="new vocabulary",4,IF(J19="sentences",5,IF(J19="concepts",5,IF(J19="ad slides",5,IF(J19="scenes",5,IF(J19="famous scenes",5,IF(J19="poems",6,IF(J19="walk",6,IF(J19="faces and events",6,IF(J19="events and names",6,IF(J19="flashbulb",7,IF(J19="stories",7,IF(J19="course material",7,IF(J19="autobiographical",7,IF(J19="novels",7,IF(J19="public events",7,"99"))))))))))))))))))))))))))))))))))))))))))))))</f>
        <v>2</v>
      </c>
      <c r="M19" s="60">
        <v>1</v>
      </c>
      <c r="N19" s="60">
        <v>2</v>
      </c>
      <c r="O19" s="60">
        <v>0</v>
      </c>
      <c r="P19" s="60"/>
      <c r="Q19" s="59" t="s">
        <v>174</v>
      </c>
      <c r="R19" s="60">
        <f>IF(Q19="Free Recall",1,IF(Q19="Cued Recall",2,IF(Q19="Recognition",3,IF(Q19="Multiple Choice",4,IF(Q19="Savings",5,IF(Q19="Stem Completion",6,IF(Q19="Fragment Completion",7,IF(Q19="anagram solution",8,IF(Q19="Matching",9,IF(Q19="Problem Solving",10,"99"))))))))))</f>
        <v>1</v>
      </c>
      <c r="S19" s="60" t="s">
        <v>20</v>
      </c>
      <c r="T19" s="60" t="s">
        <v>261</v>
      </c>
      <c r="U19" s="60">
        <f>IF(T19="within",1,0)</f>
        <v>0</v>
      </c>
      <c r="V19" s="60">
        <v>294.2</v>
      </c>
      <c r="W19" s="60">
        <f>F19*V19</f>
        <v>115326.39999999999</v>
      </c>
      <c r="X19" s="60">
        <v>9</v>
      </c>
      <c r="Y19" s="76">
        <f>AV18</f>
        <v>8567280</v>
      </c>
      <c r="Z19" s="60" t="s">
        <v>204</v>
      </c>
      <c r="AA19" s="60">
        <v>1513728000</v>
      </c>
      <c r="AB19" s="60" t="str">
        <f>IF(AA19&lt;60,"1",IF(AA19&lt;=43200,"2",IF(AA19&lt;=777600,"3","4")))</f>
        <v>4</v>
      </c>
      <c r="AC19" s="56">
        <f>AVERAGE(AV18:DA18)</f>
        <v>476868120</v>
      </c>
      <c r="AD19" s="60" t="str">
        <f>IF(AC19&lt;60,"1",IF(AC19&lt;=43200,"2",IF(AC19&lt;=777600,"3","4")))</f>
        <v>4</v>
      </c>
      <c r="AE19" s="76">
        <f>AA19-Y19</f>
        <v>1505160720</v>
      </c>
      <c r="AF19" s="80">
        <f>AV19</f>
        <v>0.47</v>
      </c>
      <c r="AG19" s="56">
        <f>((AW19-AV19)+(AX19-AW19)+(AY19-AX19)+(AZ19-AY19)+(BA19-AZ19)+(BB19-BA19)+(BC19-BB19)+(BD19-BC19))/8</f>
        <v>-3.4374999999999996E-2</v>
      </c>
      <c r="AH19" s="4"/>
      <c r="AI19" s="56">
        <f>RSQ(AV19:BD19,AV18:BD18)</f>
        <v>0.90241199663830218</v>
      </c>
      <c r="AJ19" s="109">
        <f>SLOPE(AV19:BD19,AV18:BD18)</f>
        <v>-1.4765502706662541E-10</v>
      </c>
      <c r="AK19" s="56">
        <f>INTERCEPT(AV19:BD19,AV18:BD18)</f>
        <v>0.42118975294358857</v>
      </c>
      <c r="AL19" s="56">
        <f>INDEX(LINEST(LN(AV19:BD19),LN(AV18:BD18),TRUE,TRUE),3,1)</f>
        <v>0.68800936125085654</v>
      </c>
      <c r="AM19" s="56">
        <f>INDEX(LINEST(LN(AV19:BD19),LN(AV18:BD18)),1)</f>
        <v>-0.12391683411031684</v>
      </c>
      <c r="AN19" s="56">
        <f>EXP(INDEX(LINEST(LN(AV19:BD19),LN(AV18:BD18)),1,2))</f>
        <v>3.5958022901434026</v>
      </c>
      <c r="AO19" s="82">
        <f>INDEX(LINEST((AV19:BD19),LN(AV18:BD18),TRUE,TRUE),3,1)</f>
        <v>0.75711495998692835</v>
      </c>
      <c r="AP19" s="82">
        <f>INDEX(LINEST((AV19:BD19),LN(AV18:BD18)),1)</f>
        <v>-4.063210830879245E-2</v>
      </c>
      <c r="AQ19" s="83">
        <f>INDEX(LINEST(LN(AV19:BD19),SQRT(AV18:BD18),TRUE,TRUE),3,1)</f>
        <v>0.86074341233883944</v>
      </c>
      <c r="AR19" s="116">
        <f>INDEX(LINEST(LN(AV19:BD19),SQRT((AV18:BD18))),1)</f>
        <v>-1.9199210865646748E-5</v>
      </c>
      <c r="AS19" s="84">
        <f>INDEX(LINEST(1/(AV19:BD19),1/(SQRT(AV18:BD18)),TRUE,TRUE),3,1)</f>
        <v>0.37137543176266247</v>
      </c>
      <c r="AT19" s="84">
        <f>INDEX(LINEST(1/(AV19:BD19),1/SQRT(AV18:BD18)),1)</f>
        <v>-5321.6026544701854</v>
      </c>
      <c r="AU19" s="3"/>
      <c r="AV19" s="53">
        <v>0.47</v>
      </c>
      <c r="AW19" s="53">
        <v>0.39200000000000002</v>
      </c>
      <c r="AX19" s="53">
        <v>0.372</v>
      </c>
      <c r="AY19" s="53">
        <v>0.41599999999999998</v>
      </c>
      <c r="AZ19" s="53">
        <v>0.39600000000000002</v>
      </c>
      <c r="BA19" s="53">
        <v>0.34499999999999997</v>
      </c>
      <c r="BB19" s="53">
        <v>0.29299999999999998</v>
      </c>
      <c r="BC19" s="53">
        <v>0.27800000000000002</v>
      </c>
      <c r="BD19" s="53">
        <v>0.19500000000000001</v>
      </c>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1"/>
      <c r="CS19" s="1"/>
      <c r="CT19" s="1"/>
      <c r="CU19" s="1"/>
    </row>
    <row r="20" spans="1:99" s="13" customFormat="1" ht="12" customHeight="1" x14ac:dyDescent="0.2">
      <c r="A20" s="65">
        <v>43509</v>
      </c>
      <c r="B20" s="1"/>
      <c r="C20" s="1"/>
      <c r="D20" s="60"/>
      <c r="E20" s="76"/>
      <c r="F20" s="60"/>
      <c r="G20" s="60"/>
      <c r="H20" s="60"/>
      <c r="I20" s="60"/>
      <c r="J20" s="60"/>
      <c r="K20" s="64"/>
      <c r="L20" s="64"/>
      <c r="M20" s="60"/>
      <c r="N20" s="60"/>
      <c r="O20" s="60"/>
      <c r="P20" s="60"/>
      <c r="Q20" s="60"/>
      <c r="R20" s="60"/>
      <c r="S20" s="60"/>
      <c r="T20" s="60"/>
      <c r="U20" s="60"/>
      <c r="V20" s="60"/>
      <c r="W20" s="60"/>
      <c r="X20" s="60"/>
      <c r="Y20" s="76"/>
      <c r="Z20" s="60"/>
      <c r="AA20" s="60"/>
      <c r="AB20" s="60"/>
      <c r="AC20" s="60"/>
      <c r="AD20" s="60"/>
      <c r="AE20" s="60"/>
      <c r="AF20" s="80"/>
      <c r="AG20" s="56"/>
      <c r="AH20" s="4"/>
      <c r="AI20" s="56"/>
      <c r="AJ20" s="109"/>
      <c r="AK20" s="56"/>
      <c r="AL20" s="56"/>
      <c r="AM20" s="56"/>
      <c r="AN20" s="56"/>
      <c r="AO20" s="56"/>
      <c r="AP20" s="56"/>
      <c r="AQ20" s="82"/>
      <c r="AR20" s="115"/>
      <c r="AS20" s="82"/>
      <c r="AT20" s="82"/>
      <c r="AU20" s="3"/>
      <c r="AV20" s="25">
        <f>365*24*60*60*3.26/12</f>
        <v>8567280</v>
      </c>
      <c r="AW20" s="25">
        <f>365*24*60*60*9.3/12</f>
        <v>24440400</v>
      </c>
      <c r="AX20" s="25">
        <f>365*24*60*60*23.18/12</f>
        <v>60917040</v>
      </c>
      <c r="AY20" s="25">
        <f>365*24*60*60*45.5/12</f>
        <v>119574000</v>
      </c>
      <c r="AZ20" s="25">
        <f>365*24*60*60*89.08/12</f>
        <v>234102240</v>
      </c>
      <c r="BA20" s="25">
        <f>365*24*60*60*173.56/12</f>
        <v>456115680</v>
      </c>
      <c r="BB20" s="25">
        <f>365*24*60*60*309.61/12</f>
        <v>813655080</v>
      </c>
      <c r="BC20" s="25">
        <f>365*24*60*60*408.89/12</f>
        <v>1074562920</v>
      </c>
      <c r="BD20" s="25">
        <f>365*24*60*60*570.73/12</f>
        <v>1499878440</v>
      </c>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1"/>
      <c r="CS20" s="1"/>
      <c r="CT20" s="1"/>
      <c r="CU20" s="1"/>
    </row>
    <row r="21" spans="1:99" s="13" customFormat="1" ht="12" customHeight="1" x14ac:dyDescent="0.2">
      <c r="A21" s="65">
        <v>43509</v>
      </c>
      <c r="B21" s="1" t="s">
        <v>201</v>
      </c>
      <c r="C21" s="1" t="s">
        <v>202</v>
      </c>
      <c r="D21" s="60">
        <v>1975</v>
      </c>
      <c r="E21" s="76">
        <v>1</v>
      </c>
      <c r="F21" s="60">
        <v>392</v>
      </c>
      <c r="G21" s="60">
        <v>43.6</v>
      </c>
      <c r="H21" s="60" t="s">
        <v>227</v>
      </c>
      <c r="I21" s="60" t="s">
        <v>595</v>
      </c>
      <c r="J21" s="60" t="s">
        <v>599</v>
      </c>
      <c r="K21" s="60">
        <f>IF(J21="syllables",1,IF(J21="trigrams",2,IF(J21="strings",3,IF(J21="visual array",4,IF(J21="characters",5,IF(J21="letters",6,IF(J21="free forms",7,IF(J21="odors",8,IF(J21="words",9,IF(J21="pictures",10,IF(J21="object pictures",11,IF(J21="faces",12,IF(J21="names",13,IF(J21="idioms",14,IF(J21="grades",15,IF(J21="syllable-digit pairs",16,IF(J21="trigram-word pairs",17,IF(J21="word-digit pairs",18,IF(J21="English-Swahili pairs",19,IF(J21="spatial position",20,IF(J21="word pairs",21,IF(J21="word triads",22,IF(J21="generated words",23,IF(J21="word definition pairs",24,IF(J21="math problems",25,IF(J21="famous faces",26,IF(J21="famous names",27,IF(J21="famous voices",28,IF(J21="television programs",29,IF(J21="race horses",30,IF(J21="new vocabulary",31,IF(J21="sentences",32,IF(J21="concepts",33,IF(J21="ad slides",34,IF(J21="scenes",35,IF(J21="famous scenes",36,IF(J21="poems",37,IF(J21="walk",38,IF(J21="faces and events",39,IF(J21="events and names",40,IF(J21="flashbulb",41,IF(J21="stories",42,IF(J21="course material",43,IF(J21="autobiographical",44,IF(J21="novels",45,IF(J21="public events",46,"99"))))))))))))))))))))))))))))))))))))))))))))))</f>
        <v>13</v>
      </c>
      <c r="L21" s="60">
        <f>IF(J21="syllables",1,IF(J21="trigrams",1,IF(J21="strings",1,IF(J21="visual array",1,IF(J21="characters",1,IF(J21="letters",1,IF(J21="free forms",1,IF(J21="odors",2,IF(J21="words",2,IF(J21="pictures",2,IF(J21="object pictures",2,IF(J21="faces",2,IF(J21="names",2,IF(J21="idioms","2",IF(J21="grades",2,IF(J21="syllable-digit pairs",3,IF(J21="trigram-word pairs",3,IF(J21="word-digit pairs",3,IF(J21="English-Swahili pairs",3,IF(J21="spatial position",3,IF(J21="word pairs",4,IF(J21="word triads",4,IF(J21="generated words",4,IF(J21="word definition pairs",4,IF(J21="math problems",4,IF(J21="famous faces",4,IF(J21="famous names",4,IF(J21="famous voices",4,IF(J21="television programs",4,IF(J21="race horses",4,IF(J21="new vocabulary",4,IF(J21="sentences",5,IF(J21="concepts",5,IF(J21="ad slides",5,IF(J21="scenes",5,IF(J21="famous scenes",5,IF(J21="poems",6,IF(J21="walk",6,IF(J21="faces and events",6,IF(J21="events and names",6,IF(J21="flashbulb",7,IF(J21="stories",7,IF(J21="course material",7,IF(J21="autobiographical",7,IF(J21="novels",7,IF(J21="public events",7,"99"))))))))))))))))))))))))))))))))))))))))))))))</f>
        <v>2</v>
      </c>
      <c r="M21" s="60">
        <v>1</v>
      </c>
      <c r="N21" s="60">
        <v>2</v>
      </c>
      <c r="O21" s="60">
        <v>0</v>
      </c>
      <c r="P21" s="60"/>
      <c r="Q21" s="60" t="s">
        <v>34</v>
      </c>
      <c r="R21" s="60">
        <f>IF(Q21="Free Recall",1,IF(Q21="Cued Recall",2,IF(Q21="Recognition",3,IF(Q21="Multiple Choice",4,IF(Q21="Savings",5,IF(Q21="Stem Completion",6,IF(Q21="Fragment Completion",7,IF(Q21="anagram solution",8,IF(Q21="Matching",9,IF(Q21="Problem Solving",10,"99"))))))))))</f>
        <v>3</v>
      </c>
      <c r="S21" s="60" t="s">
        <v>15</v>
      </c>
      <c r="T21" s="60" t="s">
        <v>261</v>
      </c>
      <c r="U21" s="60">
        <f>IF(T21="within",1,0)</f>
        <v>0</v>
      </c>
      <c r="V21" s="60">
        <v>130</v>
      </c>
      <c r="W21" s="60">
        <f>F21*V21</f>
        <v>50960</v>
      </c>
      <c r="X21" s="60">
        <v>9</v>
      </c>
      <c r="Y21" s="76">
        <f>AV20</f>
        <v>8567280</v>
      </c>
      <c r="Z21" s="60" t="s">
        <v>204</v>
      </c>
      <c r="AA21" s="60">
        <v>1513728000</v>
      </c>
      <c r="AB21" s="60" t="str">
        <f>IF(AA21&lt;60,"1",IF(AA21&lt;=43200,"2",IF(AA21&lt;=777600,"3","4")))</f>
        <v>4</v>
      </c>
      <c r="AC21" s="56">
        <f>AVERAGE(AV20:DA20)</f>
        <v>476868120</v>
      </c>
      <c r="AD21" s="60" t="str">
        <f>IF(AC21&lt;60,"1",IF(AC21&lt;=43200,"2",IF(AC21&lt;=777600,"3","4")))</f>
        <v>4</v>
      </c>
      <c r="AE21" s="76">
        <f>AA21-Y21</f>
        <v>1505160720</v>
      </c>
      <c r="AF21" s="80">
        <f>AV21</f>
        <v>0.91</v>
      </c>
      <c r="AG21" s="56">
        <f>((AW21-AV21)+(AX21-AW21)+(AY21-AX21)+(AZ21-AY21)+(BA21-AZ21)+(BB21-BA21)+(BC21-BB21)+(BD21-BC21))/8</f>
        <v>-1.7500000000000002E-2</v>
      </c>
      <c r="AH21" s="4"/>
      <c r="AI21" s="56">
        <f>RSQ(AV21:BD21,AV20:BD20)</f>
        <v>0.51345650455272251</v>
      </c>
      <c r="AJ21" s="109">
        <f>SLOPE(AV21:BD21,AV20:BD20)</f>
        <v>-1.0279103918610415E-10</v>
      </c>
      <c r="AK21" s="56">
        <f>INTERCEPT(AV21:BD21,AV20:BD20)</f>
        <v>0.89679554738730172</v>
      </c>
      <c r="AL21" s="56">
        <f>INDEX(LINEST(LN(AV21:BD21),LN(AV20:BD20),TRUE,TRUE),3,1)</f>
        <v>0.37062694328995588</v>
      </c>
      <c r="AM21" s="56">
        <f>INDEX(LINEST(LN(AV21:BD21),LN(AV20:BD20)),1)</f>
        <v>-3.1298120737212873E-2</v>
      </c>
      <c r="AN21" s="56">
        <f>EXP(INDEX(LINEST(LN(AV21:BD21),LN(AV20:BD20)),1,2))</f>
        <v>1.5316308133925172</v>
      </c>
      <c r="AO21" s="82">
        <f>INDEX(LINEST((AV21:BD21),LN(AV20:BD20),TRUE,TRUE),3,1)</f>
        <v>0.36315139009192043</v>
      </c>
      <c r="AP21" s="82">
        <f>INDEX(LINEST((AV21:BD21),LN(AV20:BD20)),1)</f>
        <v>-2.5971074519629943E-2</v>
      </c>
      <c r="AQ21" s="83">
        <f>INDEX(LINEST(LN(AV21:BD21),SQRT(AV20:BD20),TRUE,TRUE),3,1)</f>
        <v>0.48091679395508696</v>
      </c>
      <c r="AR21" s="116">
        <f>INDEX(LINEST(LN(AV21:BD21),SQRT((AV20:BD20))),1)</f>
        <v>-4.9385349133153751E-6</v>
      </c>
      <c r="AS21" s="84">
        <f>INDEX(LINEST(1/(AV21:BD21),1/(SQRT(AV20:BD20)),TRUE,TRUE),3,1)</f>
        <v>0.24791411691070406</v>
      </c>
      <c r="AT21" s="84">
        <f>INDEX(LINEST(1/(AV21:BD21),1/SQRT(AV20:BD20)),1)</f>
        <v>-522.33493148958496</v>
      </c>
      <c r="AU21" s="3"/>
      <c r="AV21" s="53">
        <v>0.91</v>
      </c>
      <c r="AW21" s="53">
        <v>0.91</v>
      </c>
      <c r="AX21" s="53">
        <v>0.79</v>
      </c>
      <c r="AY21" s="53">
        <v>0.93</v>
      </c>
      <c r="AZ21" s="53">
        <v>0.87</v>
      </c>
      <c r="BA21" s="53">
        <v>0.93</v>
      </c>
      <c r="BB21" s="53">
        <v>0.78</v>
      </c>
      <c r="BC21" s="53">
        <v>0.74</v>
      </c>
      <c r="BD21" s="53">
        <v>0.77</v>
      </c>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1"/>
      <c r="CS21" s="1"/>
      <c r="CT21" s="1"/>
      <c r="CU21" s="1"/>
    </row>
    <row r="22" spans="1:99" s="13" customFormat="1" ht="12" customHeight="1" x14ac:dyDescent="0.2">
      <c r="A22" s="65">
        <v>43509</v>
      </c>
      <c r="B22" s="1"/>
      <c r="C22" s="1"/>
      <c r="D22" s="60"/>
      <c r="E22" s="76"/>
      <c r="F22" s="60"/>
      <c r="G22" s="60"/>
      <c r="H22" s="60"/>
      <c r="I22" s="60"/>
      <c r="J22" s="60"/>
      <c r="K22" s="64"/>
      <c r="L22" s="64"/>
      <c r="M22" s="60"/>
      <c r="N22" s="60"/>
      <c r="O22" s="60"/>
      <c r="P22" s="60"/>
      <c r="Q22" s="60"/>
      <c r="R22" s="60"/>
      <c r="S22" s="60"/>
      <c r="T22" s="60"/>
      <c r="U22" s="60"/>
      <c r="V22" s="60"/>
      <c r="W22" s="60"/>
      <c r="X22" s="60"/>
      <c r="Y22" s="76"/>
      <c r="Z22" s="60"/>
      <c r="AA22" s="60"/>
      <c r="AB22" s="60"/>
      <c r="AC22" s="60"/>
      <c r="AD22" s="60"/>
      <c r="AE22" s="60"/>
      <c r="AF22" s="80"/>
      <c r="AG22" s="56"/>
      <c r="AH22" s="4"/>
      <c r="AI22" s="56"/>
      <c r="AJ22" s="109"/>
      <c r="AK22" s="56"/>
      <c r="AL22" s="56"/>
      <c r="AM22" s="56"/>
      <c r="AN22" s="56"/>
      <c r="AO22" s="56"/>
      <c r="AP22" s="56"/>
      <c r="AQ22" s="82"/>
      <c r="AR22" s="115"/>
      <c r="AS22" s="82"/>
      <c r="AT22" s="82"/>
      <c r="AU22" s="3"/>
      <c r="AV22" s="25">
        <f>365*24*60*60*3.26/12</f>
        <v>8567280</v>
      </c>
      <c r="AW22" s="25">
        <f>365*24*60*60*9.3/12</f>
        <v>24440400</v>
      </c>
      <c r="AX22" s="25">
        <f>365*24*60*60*23.18/12</f>
        <v>60917040</v>
      </c>
      <c r="AY22" s="25">
        <f>365*24*60*60*45.5/12</f>
        <v>119574000</v>
      </c>
      <c r="AZ22" s="25">
        <f>365*24*60*60*89.08/12</f>
        <v>234102240</v>
      </c>
      <c r="BA22" s="25">
        <f>365*24*60*60*173.56/12</f>
        <v>456115680</v>
      </c>
      <c r="BB22" s="25">
        <f>365*24*60*60*309.61/12</f>
        <v>813655080</v>
      </c>
      <c r="BC22" s="25">
        <f>365*24*60*60*408.89/12</f>
        <v>1074562920</v>
      </c>
      <c r="BD22" s="25">
        <f>365*24*60*60*570.73/12</f>
        <v>1499878440</v>
      </c>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1"/>
      <c r="CS22" s="1"/>
      <c r="CT22" s="1"/>
      <c r="CU22" s="1"/>
    </row>
    <row r="23" spans="1:99" s="13" customFormat="1" ht="12" customHeight="1" x14ac:dyDescent="0.2">
      <c r="A23" s="65">
        <v>43509</v>
      </c>
      <c r="B23" s="1" t="s">
        <v>201</v>
      </c>
      <c r="C23" s="1" t="s">
        <v>202</v>
      </c>
      <c r="D23" s="60">
        <v>1975</v>
      </c>
      <c r="E23" s="76">
        <v>1</v>
      </c>
      <c r="F23" s="60">
        <v>392</v>
      </c>
      <c r="G23" s="60">
        <v>43.6</v>
      </c>
      <c r="H23" s="60" t="s">
        <v>227</v>
      </c>
      <c r="I23" s="60" t="s">
        <v>596</v>
      </c>
      <c r="J23" s="60" t="s">
        <v>313</v>
      </c>
      <c r="K23" s="60">
        <f>IF(J23="syllables",1,IF(J23="trigrams",2,IF(J23="strings",3,IF(J23="visual array",4,IF(J23="characters",5,IF(J23="letters",6,IF(J23="free forms",7,IF(J23="odors",8,IF(J23="words",9,IF(J23="pictures",10,IF(J23="object pictures",11,IF(J23="faces",12,IF(J23="names",13,IF(J23="idioms",14,IF(J23="grades",15,IF(J23="syllable-digit pairs",16,IF(J23="trigram-word pairs",17,IF(J23="word-digit pairs",18,IF(J23="English-Swahili pairs",19,IF(J23="spatial position",20,IF(J23="word pairs",21,IF(J23="word triads",22,IF(J23="generated words",23,IF(J23="word definition pairs",24,IF(J23="math problems",25,IF(J23="famous faces",26,IF(J23="famous names",27,IF(J23="famous voices",28,IF(J23="television programs",29,IF(J23="race horses",30,IF(J23="new vocabulary",31,IF(J23="sentences",32,IF(J23="concepts",33,IF(J23="ad slides",34,IF(J23="scenes",35,IF(J23="famous scenes",36,IF(J23="poems",37,IF(J23="walk",38,IF(J23="faces and events",39,IF(J23="events and names",40,IF(J23="flashbulb",41,IF(J23="stories",42,IF(J23="course material",43,IF(J23="autobiographical",44,IF(J23="novels",45,IF(J23="public events",46,"99"))))))))))))))))))))))))))))))))))))))))))))))</f>
        <v>10</v>
      </c>
      <c r="L23" s="60">
        <f>IF(J23="syllables",1,IF(J23="trigrams",1,IF(J23="strings",1,IF(J23="visual array",1,IF(J23="characters",1,IF(J23="letters",1,IF(J23="free forms",1,IF(J23="odors",2,IF(J23="words",2,IF(J23="pictures",2,IF(J23="object pictures",2,IF(J23="faces",2,IF(J23="names",2,IF(J23="idioms","2",IF(J23="grades",2,IF(J23="syllable-digit pairs",3,IF(J23="trigram-word pairs",3,IF(J23="word-digit pairs",3,IF(J23="English-Swahili pairs",3,IF(J23="spatial position",3,IF(J23="word pairs",4,IF(J23="word triads",4,IF(J23="generated words",4,IF(J23="word definition pairs",4,IF(J23="math problems",4,IF(J23="famous faces",4,IF(J23="famous names",4,IF(J23="famous voices",4,IF(J23="television programs",4,IF(J23="race horses",4,IF(J23="new vocabulary",4,IF(J23="sentences",5,IF(J23="concepts",5,IF(J23="ad slides",5,IF(J23="scenes",5,IF(J23="famous scenes",5,IF(J23="poems",6,IF(J23="walk",6,IF(J23="faces and events",6,IF(J23="events and names",6,IF(J23="flashbulb",7,IF(J23="stories",7,IF(J23="course material",7,IF(J23="autobiographical",7,IF(J23="novels",7,IF(J23="public events",7,"99"))))))))))))))))))))))))))))))))))))))))))))))</f>
        <v>2</v>
      </c>
      <c r="M23" s="60">
        <v>1</v>
      </c>
      <c r="N23" s="60">
        <v>2</v>
      </c>
      <c r="O23" s="60">
        <v>0</v>
      </c>
      <c r="P23" s="60"/>
      <c r="Q23" s="60" t="s">
        <v>34</v>
      </c>
      <c r="R23" s="60">
        <f>IF(Q23="Free Recall",1,IF(Q23="Cued Recall",2,IF(Q23="Recognition",3,IF(Q23="Multiple Choice",4,IF(Q23="Savings",5,IF(Q23="Stem Completion",6,IF(Q23="Fragment Completion",7,IF(Q23="anagram solution",8,IF(Q23="Matching",9,IF(Q23="Problem Solving",10,"99"))))))))))</f>
        <v>3</v>
      </c>
      <c r="S23" s="60" t="s">
        <v>15</v>
      </c>
      <c r="T23" s="60" t="s">
        <v>261</v>
      </c>
      <c r="U23" s="60">
        <f>IF(T23="within",1,0)</f>
        <v>0</v>
      </c>
      <c r="V23" s="60">
        <v>130</v>
      </c>
      <c r="W23" s="60">
        <f>F23*V23</f>
        <v>50960</v>
      </c>
      <c r="X23" s="60">
        <v>9</v>
      </c>
      <c r="Y23" s="76">
        <f>AV22</f>
        <v>8567280</v>
      </c>
      <c r="Z23" s="60" t="s">
        <v>204</v>
      </c>
      <c r="AA23" s="60">
        <v>1513728000</v>
      </c>
      <c r="AB23" s="60" t="str">
        <f>IF(AA23&lt;60,"1",IF(AA23&lt;=43200,"2",IF(AA23&lt;=777600,"3","4")))</f>
        <v>4</v>
      </c>
      <c r="AC23" s="56">
        <f>AVERAGE(AV22:DA22)</f>
        <v>476868120</v>
      </c>
      <c r="AD23" s="60" t="str">
        <f>IF(AC23&lt;60,"1",IF(AC23&lt;=43200,"2",IF(AC23&lt;=777600,"3","4")))</f>
        <v>4</v>
      </c>
      <c r="AE23" s="76">
        <f>AA23-Y23</f>
        <v>1505160720</v>
      </c>
      <c r="AF23" s="80">
        <f>AV23</f>
        <v>0.89</v>
      </c>
      <c r="AG23" s="56">
        <f>((AW23-AV23)+(AX23-AW23)+(AY23-AX23)+(AZ23-AY23)+(BA23-AZ23)+(BB23-BA23)+(BC23-BB23)+(BD23-BC23))/8</f>
        <v>-2.0000000000000004E-2</v>
      </c>
      <c r="AH23" s="4"/>
      <c r="AI23" s="56">
        <f>RSQ(AV23:BD23,AV22:BD22)</f>
        <v>0.17872924954501196</v>
      </c>
      <c r="AJ23" s="109">
        <f>SLOPE(AV23:BD23,AV22:BD22)</f>
        <v>-5.7923880387482679E-11</v>
      </c>
      <c r="AK23" s="56">
        <f>INTERCEPT(AV23:BD23,AV22:BD22)</f>
        <v>0.90762205194348378</v>
      </c>
      <c r="AL23" s="56">
        <f>INDEX(LINEST(LN(AV23:BD23),LN(AV22:BD22),TRUE,TRUE),3,1)</f>
        <v>2.9573196367683185E-2</v>
      </c>
      <c r="AM23" s="56">
        <f>INDEX(LINEST(LN(AV23:BD23),LN(AV22:BD22)),1)</f>
        <v>-8.5133962084087255E-3</v>
      </c>
      <c r="AN23" s="56">
        <f>EXP(INDEX(LINEST(LN(AV23:BD23),LN(AV22:BD22)),1,2))</f>
        <v>1.0311969596540929</v>
      </c>
      <c r="AO23" s="82">
        <f>INDEX(LINEST((AV23:BD23),LN(AV22:BD22),TRUE,TRUE),3,1)</f>
        <v>2.4930438345216931E-2</v>
      </c>
      <c r="AP23" s="82">
        <f>INDEX(LINEST((AV23:BD23),LN(AV22:BD22)),1)</f>
        <v>-6.4993125966708613E-3</v>
      </c>
      <c r="AQ23" s="83">
        <f>INDEX(LINEST(LN(AV23:BD23),SQRT(AV22:BD22),TRUE,TRUE),3,1)</f>
        <v>9.2442512592241302E-2</v>
      </c>
      <c r="AR23" s="116">
        <f>INDEX(LINEST(LN(AV23:BD23),SQRT((AV22:BD22))),1)</f>
        <v>-2.0849851774471761E-6</v>
      </c>
      <c r="AS23" s="84">
        <f>INDEX(LINEST(1/(AV23:BD23),1/(SQRT(AV22:BD22)),TRUE,TRUE),3,1)</f>
        <v>1.2454946694497135E-2</v>
      </c>
      <c r="AT23" s="84">
        <f>INDEX(LINEST(1/(AV23:BD23),1/SQRT(AV22:BD22)),1)</f>
        <v>-113.78381406681143</v>
      </c>
      <c r="AU23" s="3"/>
      <c r="AV23" s="53">
        <v>0.89</v>
      </c>
      <c r="AW23" s="53">
        <v>0.91</v>
      </c>
      <c r="AX23" s="53">
        <v>0.78</v>
      </c>
      <c r="AY23" s="53">
        <v>0.94</v>
      </c>
      <c r="AZ23" s="53">
        <v>0.92</v>
      </c>
      <c r="BA23" s="53">
        <v>0.92</v>
      </c>
      <c r="BB23" s="53">
        <v>0.93</v>
      </c>
      <c r="BC23" s="53">
        <v>0.9</v>
      </c>
      <c r="BD23" s="53">
        <v>0.73</v>
      </c>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1"/>
      <c r="CS23" s="1"/>
      <c r="CT23" s="1"/>
      <c r="CU23" s="1"/>
    </row>
    <row r="24" spans="1:99" s="13" customFormat="1" ht="12" customHeight="1" x14ac:dyDescent="0.2">
      <c r="A24" s="65">
        <v>43509</v>
      </c>
      <c r="B24" s="1"/>
      <c r="C24" s="1"/>
      <c r="D24" s="60"/>
      <c r="E24" s="76"/>
      <c r="F24" s="60"/>
      <c r="G24" s="60"/>
      <c r="H24" s="60"/>
      <c r="I24" s="60"/>
      <c r="J24" s="60"/>
      <c r="K24" s="64"/>
      <c r="L24" s="64"/>
      <c r="M24" s="60"/>
      <c r="N24" s="60"/>
      <c r="O24" s="60"/>
      <c r="P24" s="60"/>
      <c r="Q24" s="60"/>
      <c r="R24" s="60"/>
      <c r="S24" s="60"/>
      <c r="T24" s="60"/>
      <c r="U24" s="60"/>
      <c r="V24" s="60"/>
      <c r="W24" s="60"/>
      <c r="X24" s="60"/>
      <c r="Y24" s="76"/>
      <c r="Z24" s="60"/>
      <c r="AA24" s="60"/>
      <c r="AB24" s="60"/>
      <c r="AC24" s="60"/>
      <c r="AD24" s="60"/>
      <c r="AE24" s="60"/>
      <c r="AF24" s="80"/>
      <c r="AG24" s="56"/>
      <c r="AH24" s="4"/>
      <c r="AI24" s="56"/>
      <c r="AJ24" s="109"/>
      <c r="AK24" s="56"/>
      <c r="AL24" s="56"/>
      <c r="AM24" s="56"/>
      <c r="AN24" s="56"/>
      <c r="AO24" s="56"/>
      <c r="AP24" s="56"/>
      <c r="AQ24" s="82"/>
      <c r="AR24" s="115"/>
      <c r="AS24" s="82"/>
      <c r="AT24" s="82"/>
      <c r="AU24" s="3"/>
      <c r="AV24" s="25">
        <f>365*24*60*60*3.26/12</f>
        <v>8567280</v>
      </c>
      <c r="AW24" s="25">
        <f>365*24*60*60*9.3/12</f>
        <v>24440400</v>
      </c>
      <c r="AX24" s="25">
        <f>365*24*60*60*23.18/12</f>
        <v>60917040</v>
      </c>
      <c r="AY24" s="25">
        <f>365*24*60*60*45.5/12</f>
        <v>119574000</v>
      </c>
      <c r="AZ24" s="25">
        <f>365*24*60*60*89.08/12</f>
        <v>234102240</v>
      </c>
      <c r="BA24" s="25">
        <f>365*24*60*60*173.56/12</f>
        <v>456115680</v>
      </c>
      <c r="BB24" s="25">
        <f>365*24*60*60*309.61/12</f>
        <v>813655080</v>
      </c>
      <c r="BC24" s="25">
        <f>365*24*60*60*408.89/12</f>
        <v>1074562920</v>
      </c>
      <c r="BD24" s="25">
        <f>365*24*60*60*570.73/12</f>
        <v>1499878440</v>
      </c>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1"/>
      <c r="CS24" s="1"/>
      <c r="CT24" s="1"/>
      <c r="CU24" s="1"/>
    </row>
    <row r="25" spans="1:99" s="13" customFormat="1" ht="12" customHeight="1" x14ac:dyDescent="0.2">
      <c r="A25" s="65">
        <v>43509</v>
      </c>
      <c r="B25" s="1" t="s">
        <v>201</v>
      </c>
      <c r="C25" s="1" t="s">
        <v>202</v>
      </c>
      <c r="D25" s="60">
        <v>1975</v>
      </c>
      <c r="E25" s="76">
        <v>1</v>
      </c>
      <c r="F25" s="60">
        <v>392</v>
      </c>
      <c r="G25" s="60">
        <v>43.6</v>
      </c>
      <c r="H25" s="60" t="s">
        <v>227</v>
      </c>
      <c r="I25" s="60" t="s">
        <v>597</v>
      </c>
      <c r="J25" s="60" t="s">
        <v>313</v>
      </c>
      <c r="K25" s="60">
        <f>IF(J25="syllables",1,IF(J25="trigrams",2,IF(J25="strings",3,IF(J25="visual array",4,IF(J25="characters",5,IF(J25="letters",6,IF(J25="free forms",7,IF(J25="odors",8,IF(J25="words",9,IF(J25="pictures",10,IF(J25="object pictures",11,IF(J25="faces",12,IF(J25="names",13,IF(J25="idioms",14,IF(J25="grades",15,IF(J25="syllable-digit pairs",16,IF(J25="trigram-word pairs",17,IF(J25="word-digit pairs",18,IF(J25="English-Swahili pairs",19,IF(J25="spatial position",20,IF(J25="word pairs",21,IF(J25="word triads",22,IF(J25="generated words",23,IF(J25="word definition pairs",24,IF(J25="math problems",25,IF(J25="famous faces",26,IF(J25="famous names",27,IF(J25="famous voices",28,IF(J25="television programs",29,IF(J25="race horses",30,IF(J25="new vocabulary",31,IF(J25="sentences",32,IF(J25="concepts",33,IF(J25="ad slides",34,IF(J25="scenes",35,IF(J25="famous scenes",36,IF(J25="poems",37,IF(J25="walk",38,IF(J25="faces and events",39,IF(J25="events and names",40,IF(J25="flashbulb",41,IF(J25="stories",42,IF(J25="course material",43,IF(J25="autobiographical",44,IF(J25="novels",45,IF(J25="public events",46,"99"))))))))))))))))))))))))))))))))))))))))))))))</f>
        <v>10</v>
      </c>
      <c r="L25" s="60">
        <f>IF(J25="syllables",1,IF(J25="trigrams",1,IF(J25="strings",1,IF(J25="visual array",1,IF(J25="characters",1,IF(J25="letters",1,IF(J25="free forms",1,IF(J25="odors",2,IF(J25="words",2,IF(J25="pictures",2,IF(J25="object pictures",2,IF(J25="faces",2,IF(J25="names",2,IF(J25="idioms","2",IF(J25="grades",2,IF(J25="syllable-digit pairs",3,IF(J25="trigram-word pairs",3,IF(J25="word-digit pairs",3,IF(J25="English-Swahili pairs",3,IF(J25="spatial position",3,IF(J25="word pairs",4,IF(J25="word triads",4,IF(J25="generated words",4,IF(J25="word definition pairs",4,IF(J25="math problems",4,IF(J25="famous faces",4,IF(J25="famous names",4,IF(J25="famous voices",4,IF(J25="television programs",4,IF(J25="race horses",4,IF(J25="new vocabulary",4,IF(J25="sentences",5,IF(J25="concepts",5,IF(J25="ad slides",5,IF(J25="scenes",5,IF(J25="famous scenes",5,IF(J25="poems",6,IF(J25="walk",6,IF(J25="faces and events",6,IF(J25="events and names",6,IF(J25="flashbulb",7,IF(J25="stories",7,IF(J25="course material",7,IF(J25="autobiographical",7,IF(J25="novels",7,IF(J25="public events",7,"99"))))))))))))))))))))))))))))))))))))))))))))))</f>
        <v>2</v>
      </c>
      <c r="M25" s="60">
        <v>1</v>
      </c>
      <c r="N25" s="60">
        <v>2</v>
      </c>
      <c r="O25" s="60">
        <v>0</v>
      </c>
      <c r="P25" s="60"/>
      <c r="Q25" s="60" t="s">
        <v>133</v>
      </c>
      <c r="R25" s="60">
        <f>IF(Q25="Free Recall",1,IF(Q25="Cued Recall",2,IF(Q25="Recognition",3,IF(Q25="Multiple Choice",4,IF(Q25="Savings",5,IF(Q25="Stem Completion",6,IF(Q25="Fragment Completion",7,IF(Q25="anagram solution",8,IF(Q25="Matching",9,IF(Q25="Problem Solving",10,"99"))))))))))</f>
        <v>9</v>
      </c>
      <c r="S25" s="60" t="s">
        <v>15</v>
      </c>
      <c r="T25" s="60" t="s">
        <v>261</v>
      </c>
      <c r="U25" s="60">
        <f>IF(T25="within",1,0)</f>
        <v>0</v>
      </c>
      <c r="V25" s="60">
        <v>5</v>
      </c>
      <c r="W25" s="60">
        <f>F25*V25</f>
        <v>1960</v>
      </c>
      <c r="X25" s="60">
        <v>9</v>
      </c>
      <c r="Y25" s="76">
        <f>AV24</f>
        <v>8567280</v>
      </c>
      <c r="Z25" s="60" t="s">
        <v>204</v>
      </c>
      <c r="AA25" s="60">
        <v>1513728000</v>
      </c>
      <c r="AB25" s="60" t="str">
        <f>IF(AA25&lt;60,"1",IF(AA25&lt;=43200,"2",IF(AA25&lt;=777600,"3","4")))</f>
        <v>4</v>
      </c>
      <c r="AC25" s="56">
        <f>AVERAGE(AV24:DA24)</f>
        <v>476868120</v>
      </c>
      <c r="AD25" s="60" t="str">
        <f>IF(AC25&lt;60,"1",IF(AC25&lt;=43200,"2",IF(AC25&lt;=777600,"3","4")))</f>
        <v>4</v>
      </c>
      <c r="AE25" s="76">
        <f>AA25-Y25</f>
        <v>1505160720</v>
      </c>
      <c r="AF25" s="80">
        <f>AV25</f>
        <v>0.88</v>
      </c>
      <c r="AG25" s="56">
        <f>((AW25-AV25)+(AX25-AW25)+(AY25-AX25)+(AZ25-AY25)+(BA25-AZ25)+(BB25-BA25)+(BC25-BB25)+(BD25-BC25))/8</f>
        <v>-2.3750000000000007E-2</v>
      </c>
      <c r="AH25" s="4"/>
      <c r="AI25" s="56">
        <f>RSQ(AV25:BD25,AV24:BD24)</f>
        <v>0.39173725515018781</v>
      </c>
      <c r="AJ25" s="109">
        <f>SLOPE(AV25:BD25,AV24:BD24)</f>
        <v>-8.8190274620311761E-11</v>
      </c>
      <c r="AK25" s="56">
        <f>INTERCEPT(AV25:BD25,AV24:BD24)</f>
        <v>0.90316624157158298</v>
      </c>
      <c r="AL25" s="56">
        <f>INDEX(LINEST(LN(AV25:BD25),LN(AV24:BD24),TRUE,TRUE),3,1)</f>
        <v>0.1625545445069948</v>
      </c>
      <c r="AM25" s="56">
        <f>INDEX(LINEST(LN(AV25:BD25),LN(AV24:BD24)),1)</f>
        <v>-2.101185512065248E-2</v>
      </c>
      <c r="AN25" s="56">
        <f>EXP(INDEX(LINEST(LN(AV25:BD25),LN(AV24:BD24)),1,2))</f>
        <v>1.2793447286659043</v>
      </c>
      <c r="AO25" s="82">
        <f>INDEX(LINEST((AV25:BD25),LN(AV24:BD24),TRUE,TRUE),3,1)</f>
        <v>0.15502060230550416</v>
      </c>
      <c r="AP25" s="82">
        <f>INDEX(LINEST((AV25:BD25),LN(AV24:BD24)),1)</f>
        <v>-1.6667121570380691E-2</v>
      </c>
      <c r="AQ25" s="83">
        <f>INDEX(LINEST(LN(AV25:BD25),SQRT(AV24:BD24),TRUE,TRUE),3,1)</f>
        <v>0.29382745662737797</v>
      </c>
      <c r="AR25" s="116">
        <f>INDEX(LINEST(LN(AV25:BD25),SQRT((AV24:BD24))),1)</f>
        <v>-3.9131312695514376E-6</v>
      </c>
      <c r="AS25" s="84">
        <f>INDEX(LINEST(1/(AV25:BD25),1/(SQRT(AV24:BD24)),TRUE,TRUE),3,1)</f>
        <v>7.3883489813693887E-2</v>
      </c>
      <c r="AT25" s="84">
        <f>INDEX(LINEST(1/(AV25:BD25),1/SQRT(AV24:BD24)),1)</f>
        <v>-300.68758420624727</v>
      </c>
      <c r="AU25" s="3"/>
      <c r="AV25" s="53">
        <v>0.88</v>
      </c>
      <c r="AW25" s="53">
        <v>0.9</v>
      </c>
      <c r="AX25" s="53">
        <v>0.82</v>
      </c>
      <c r="AY25" s="53">
        <v>0.97</v>
      </c>
      <c r="AZ25" s="53">
        <v>0.86</v>
      </c>
      <c r="BA25" s="53">
        <v>0.87</v>
      </c>
      <c r="BB25" s="53">
        <v>0.87</v>
      </c>
      <c r="BC25" s="53">
        <v>0.89</v>
      </c>
      <c r="BD25" s="53">
        <v>0.69</v>
      </c>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1"/>
      <c r="CS25" s="1"/>
      <c r="CT25" s="1"/>
      <c r="CU25" s="1"/>
    </row>
    <row r="26" spans="1:99" s="13" customFormat="1" ht="12" customHeight="1" x14ac:dyDescent="0.2">
      <c r="A26" s="65">
        <v>43509</v>
      </c>
      <c r="B26" s="1"/>
      <c r="C26" s="1"/>
      <c r="D26" s="60"/>
      <c r="E26" s="76"/>
      <c r="F26" s="60"/>
      <c r="G26" s="60"/>
      <c r="H26" s="60"/>
      <c r="I26" s="60"/>
      <c r="J26" s="60"/>
      <c r="K26" s="64"/>
      <c r="L26" s="64"/>
      <c r="M26" s="60"/>
      <c r="N26" s="60"/>
      <c r="O26" s="60"/>
      <c r="P26" s="60"/>
      <c r="Q26" s="60"/>
      <c r="R26" s="60"/>
      <c r="S26" s="60"/>
      <c r="T26" s="60"/>
      <c r="U26" s="60"/>
      <c r="V26" s="60"/>
      <c r="W26" s="60"/>
      <c r="X26" s="60"/>
      <c r="Y26" s="76"/>
      <c r="Z26" s="60"/>
      <c r="AA26" s="60"/>
      <c r="AB26" s="60"/>
      <c r="AC26" s="60"/>
      <c r="AD26" s="60"/>
      <c r="AE26" s="60"/>
      <c r="AF26" s="80"/>
      <c r="AG26" s="56"/>
      <c r="AH26" s="4"/>
      <c r="AI26" s="56"/>
      <c r="AJ26" s="109"/>
      <c r="AK26" s="56"/>
      <c r="AL26" s="56"/>
      <c r="AM26" s="56"/>
      <c r="AN26" s="56"/>
      <c r="AO26" s="56"/>
      <c r="AP26" s="56"/>
      <c r="AQ26" s="82"/>
      <c r="AR26" s="115"/>
      <c r="AS26" s="82"/>
      <c r="AT26" s="82"/>
      <c r="AU26" s="3"/>
      <c r="AV26" s="25">
        <f>365*24*60*60*3.26/12</f>
        <v>8567280</v>
      </c>
      <c r="AW26" s="25">
        <f>365*24*60*60*9.3/12</f>
        <v>24440400</v>
      </c>
      <c r="AX26" s="25">
        <f>365*24*60*60*23.18/12</f>
        <v>60917040</v>
      </c>
      <c r="AY26" s="25">
        <f>365*24*60*60*45.5/12</f>
        <v>119574000</v>
      </c>
      <c r="AZ26" s="25">
        <f>365*24*60*60*89.08/12</f>
        <v>234102240</v>
      </c>
      <c r="BA26" s="25">
        <f>365*24*60*60*173.56/12</f>
        <v>456115680</v>
      </c>
      <c r="BB26" s="25">
        <f>365*24*60*60*309.61/12</f>
        <v>813655080</v>
      </c>
      <c r="BC26" s="25">
        <f>365*24*60*60*408.89/12</f>
        <v>1074562920</v>
      </c>
      <c r="BD26" s="25">
        <f>365*24*60*60*570.73/12</f>
        <v>1499878440</v>
      </c>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1"/>
      <c r="CS26" s="1"/>
      <c r="CT26" s="1"/>
      <c r="CU26" s="1"/>
    </row>
    <row r="27" spans="1:99" s="13" customFormat="1" ht="12" customHeight="1" x14ac:dyDescent="0.2">
      <c r="A27" s="65">
        <v>43509</v>
      </c>
      <c r="B27" s="1" t="s">
        <v>201</v>
      </c>
      <c r="C27" s="1" t="s">
        <v>202</v>
      </c>
      <c r="D27" s="60">
        <v>1975</v>
      </c>
      <c r="E27" s="76">
        <v>1</v>
      </c>
      <c r="F27" s="60">
        <v>392</v>
      </c>
      <c r="G27" s="60">
        <v>43.6</v>
      </c>
      <c r="H27" s="60" t="s">
        <v>227</v>
      </c>
      <c r="I27" s="60" t="s">
        <v>594</v>
      </c>
      <c r="J27" s="60" t="s">
        <v>599</v>
      </c>
      <c r="K27" s="60">
        <f>IF(J27="syllables",1,IF(J27="trigrams",2,IF(J27="strings",3,IF(J27="visual array",4,IF(J27="characters",5,IF(J27="letters",6,IF(J27="free forms",7,IF(J27="odors",8,IF(J27="words",9,IF(J27="pictures",10,IF(J27="object pictures",11,IF(J27="faces",12,IF(J27="names",13,IF(J27="idioms",14,IF(J27="grades",15,IF(J27="syllable-digit pairs",16,IF(J27="trigram-word pairs",17,IF(J27="word-digit pairs",18,IF(J27="English-Swahili pairs",19,IF(J27="spatial position",20,IF(J27="word pairs",21,IF(J27="word triads",22,IF(J27="generated words",23,IF(J27="word definition pairs",24,IF(J27="math problems",25,IF(J27="famous faces",26,IF(J27="famous names",27,IF(J27="famous voices",28,IF(J27="television programs",29,IF(J27="race horses",30,IF(J27="new vocabulary",31,IF(J27="sentences",32,IF(J27="concepts",33,IF(J27="ad slides",34,IF(J27="scenes",35,IF(J27="famous scenes",36,IF(J27="poems",37,IF(J27="walk",38,IF(J27="faces and events",39,IF(J27="events and names",40,IF(J27="flashbulb",41,IF(J27="stories",42,IF(J27="course material",43,IF(J27="autobiographical",44,IF(J27="novels",45,IF(J27="public events",46,"99"))))))))))))))))))))))))))))))))))))))))))))))</f>
        <v>13</v>
      </c>
      <c r="L27" s="60">
        <f>IF(J27="syllables",1,IF(J27="trigrams",1,IF(J27="strings",1,IF(J27="visual array",1,IF(J27="characters",1,IF(J27="letters",1,IF(J27="free forms",1,IF(J27="odors",2,IF(J27="words",2,IF(J27="pictures",2,IF(J27="object pictures",2,IF(J27="faces",2,IF(J27="names",2,IF(J27="idioms","2",IF(J27="grades",2,IF(J27="syllable-digit pairs",3,IF(J27="trigram-word pairs",3,IF(J27="word-digit pairs",3,IF(J27="English-Swahili pairs",3,IF(J27="spatial position",3,IF(J27="word pairs",4,IF(J27="word triads",4,IF(J27="generated words",4,IF(J27="word definition pairs",4,IF(J27="math problems",4,IF(J27="famous faces",4,IF(J27="famous names",4,IF(J27="famous voices",4,IF(J27="television programs",4,IF(J27="race horses",4,IF(J27="new vocabulary",4,IF(J27="sentences",5,IF(J27="concepts",5,IF(J27="ad slides",5,IF(J27="scenes",5,IF(J27="famous scenes",5,IF(J27="poems",6,IF(J27="walk",6,IF(J27="faces and events",6,IF(J27="events and names",6,IF(J27="flashbulb",7,IF(J27="stories",7,IF(J27="course material",7,IF(J27="autobiographical",7,IF(J27="novels",7,IF(J27="public events",7,"99"))))))))))))))))))))))))))))))))))))))))))))))</f>
        <v>2</v>
      </c>
      <c r="M27" s="60">
        <v>1</v>
      </c>
      <c r="N27" s="60">
        <v>2</v>
      </c>
      <c r="O27" s="60">
        <v>0</v>
      </c>
      <c r="P27" s="60"/>
      <c r="Q27" s="60" t="s">
        <v>133</v>
      </c>
      <c r="R27" s="60">
        <f>IF(Q27="Free Recall",1,IF(Q27="Cued Recall",2,IF(Q27="Recognition",3,IF(Q27="Multiple Choice",4,IF(Q27="Savings",5,IF(Q27="Stem Completion",6,IF(Q27="Fragment Completion",7,IF(Q27="anagram solution",8,IF(Q27="Matching",9,IF(Q27="Problem Solving",10,"99"))))))))))</f>
        <v>9</v>
      </c>
      <c r="S27" s="60" t="s">
        <v>15</v>
      </c>
      <c r="T27" s="60" t="s">
        <v>261</v>
      </c>
      <c r="U27" s="60">
        <f>IF(T27="within",1,0)</f>
        <v>0</v>
      </c>
      <c r="V27" s="60">
        <v>10</v>
      </c>
      <c r="W27" s="60">
        <f>F27*V27</f>
        <v>3920</v>
      </c>
      <c r="X27" s="60">
        <v>9</v>
      </c>
      <c r="Y27" s="76">
        <f>AV26</f>
        <v>8567280</v>
      </c>
      <c r="Z27" s="60" t="s">
        <v>204</v>
      </c>
      <c r="AA27" s="60">
        <v>1513728000</v>
      </c>
      <c r="AB27" s="60" t="str">
        <f>IF(AA27&lt;60,"1",IF(AA27&lt;=43200,"2",IF(AA27&lt;=777600,"3","4")))</f>
        <v>4</v>
      </c>
      <c r="AC27" s="56">
        <f>AVERAGE(AV26:DA26)</f>
        <v>476868120</v>
      </c>
      <c r="AD27" s="60" t="str">
        <f>IF(AC27&lt;60,"1",IF(AC27&lt;=43200,"2",IF(AC27&lt;=777600,"3","4")))</f>
        <v>4</v>
      </c>
      <c r="AE27" s="76">
        <f>AA27-Y27</f>
        <v>1505160720</v>
      </c>
      <c r="AF27" s="80">
        <f>AV27</f>
        <v>0.9</v>
      </c>
      <c r="AG27" s="56">
        <f>((AW27-AV27)+(AX27-AW27)+(AY27-AX27)+(AZ27-AY27)+(BA27-AZ27)+(BB27-BA27)+(BC27-BB27)+(BD27-BC27))/8</f>
        <v>-3.8750000000000007E-2</v>
      </c>
      <c r="AH27" s="4"/>
      <c r="AI27" s="56">
        <f>RSQ(AV27:BD27,AV26:BD26)</f>
        <v>0.89704057102656654</v>
      </c>
      <c r="AJ27" s="109">
        <f>SLOPE(AV27:BD27,AV26:BD26)</f>
        <v>-2.0518040336869323E-10</v>
      </c>
      <c r="AK27" s="56">
        <f>INTERCEPT(AV27:BD27,AV26:BD26)</f>
        <v>0.93784399321527034</v>
      </c>
      <c r="AL27" s="56">
        <f>INDEX(LINEST(LN(AV27:BD27),LN(AV26:BD26),TRUE,TRUE),3,1)</f>
        <v>0.5254836652462358</v>
      </c>
      <c r="AM27" s="56">
        <f>INDEX(LINEST(LN(AV27:BD27),LN(AV26:BD26)),1)</f>
        <v>-6.1910155377298333E-2</v>
      </c>
      <c r="AN27" s="56">
        <f>EXP(INDEX(LINEST(LN(AV27:BD27),LN(AV26:BD26)),1,2))</f>
        <v>2.7001343201081487</v>
      </c>
      <c r="AO27" s="82">
        <f>INDEX(LINEST((AV27:BD27),LN(AV26:BD26),TRUE,TRUE),3,1)</f>
        <v>0.55521723255639721</v>
      </c>
      <c r="AP27" s="82">
        <f>INDEX(LINEST((AV27:BD27),LN(AV26:BD26)),1)</f>
        <v>-4.8495779147293652E-2</v>
      </c>
      <c r="AQ27" s="83">
        <f>INDEX(LINEST(LN(AV27:BD27),SQRT(AV26:BD26),TRUE,TRUE),3,1)</f>
        <v>0.76201027511983987</v>
      </c>
      <c r="AR27" s="116">
        <f>INDEX(LINEST(LN(AV27:BD27),SQRT((AV26:BD26))),1)</f>
        <v>-1.0327045408208397E-5</v>
      </c>
      <c r="AS27" s="84">
        <f>INDEX(LINEST(1/(AV27:BD27),1/(SQRT(AV26:BD26)),TRUE,TRUE),3,1)</f>
        <v>0.24923498853250242</v>
      </c>
      <c r="AT27" s="84">
        <f>INDEX(LINEST(1/(AV27:BD27),1/SQRT(AV26:BD26)),1)</f>
        <v>-974.43582402973823</v>
      </c>
      <c r="AU27" s="3"/>
      <c r="AV27" s="53">
        <v>0.9</v>
      </c>
      <c r="AW27" s="53">
        <v>0.96</v>
      </c>
      <c r="AX27" s="53">
        <v>0.9</v>
      </c>
      <c r="AY27" s="53">
        <v>0.92</v>
      </c>
      <c r="AZ27" s="53">
        <v>0.85</v>
      </c>
      <c r="BA27" s="53">
        <v>0.91</v>
      </c>
      <c r="BB27" s="53">
        <v>0.79</v>
      </c>
      <c r="BC27" s="53">
        <v>0.74</v>
      </c>
      <c r="BD27" s="53">
        <v>0.59</v>
      </c>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1"/>
      <c r="CS27" s="1"/>
      <c r="CT27" s="1"/>
      <c r="CU27" s="1"/>
    </row>
    <row r="28" spans="1:99" s="13" customFormat="1" ht="12" customHeight="1" x14ac:dyDescent="0.2">
      <c r="A28" s="65">
        <v>43509</v>
      </c>
      <c r="B28" s="1"/>
      <c r="C28" s="1"/>
      <c r="D28" s="60"/>
      <c r="E28" s="76"/>
      <c r="F28" s="60"/>
      <c r="G28" s="60"/>
      <c r="H28" s="60"/>
      <c r="I28" s="60"/>
      <c r="J28" s="60"/>
      <c r="K28" s="64"/>
      <c r="L28" s="64"/>
      <c r="M28" s="60"/>
      <c r="N28" s="60"/>
      <c r="O28" s="60"/>
      <c r="P28" s="60"/>
      <c r="Q28" s="60"/>
      <c r="R28" s="60"/>
      <c r="S28" s="60"/>
      <c r="T28" s="60"/>
      <c r="U28" s="60"/>
      <c r="V28" s="60"/>
      <c r="W28" s="60"/>
      <c r="X28" s="60"/>
      <c r="Y28" s="76"/>
      <c r="Z28" s="60"/>
      <c r="AA28" s="60"/>
      <c r="AB28" s="60"/>
      <c r="AC28" s="60"/>
      <c r="AD28" s="60"/>
      <c r="AE28" s="60"/>
      <c r="AF28" s="80"/>
      <c r="AG28" s="56"/>
      <c r="AH28" s="4"/>
      <c r="AI28" s="56"/>
      <c r="AJ28" s="109"/>
      <c r="AK28" s="56"/>
      <c r="AL28" s="56"/>
      <c r="AM28" s="56"/>
      <c r="AN28" s="56"/>
      <c r="AO28" s="56"/>
      <c r="AP28" s="56"/>
      <c r="AQ28" s="82"/>
      <c r="AR28" s="115"/>
      <c r="AS28" s="82"/>
      <c r="AT28" s="82"/>
      <c r="AU28" s="3"/>
      <c r="AV28" s="25">
        <f>365*24*60*60*3.26/12</f>
        <v>8567280</v>
      </c>
      <c r="AW28" s="25">
        <f>365*24*60*60*9.3/12</f>
        <v>24440400</v>
      </c>
      <c r="AX28" s="25">
        <f>365*24*60*60*23.18/12</f>
        <v>60917040</v>
      </c>
      <c r="AY28" s="25">
        <f>365*24*60*60*45.5/12</f>
        <v>119574000</v>
      </c>
      <c r="AZ28" s="25">
        <f>365*24*60*60*89.08/12</f>
        <v>234102240</v>
      </c>
      <c r="BA28" s="25">
        <f>365*24*60*60*173.56/12</f>
        <v>456115680</v>
      </c>
      <c r="BB28" s="25">
        <f>365*24*60*60*309.61/12</f>
        <v>813655080</v>
      </c>
      <c r="BC28" s="25">
        <f>365*24*60*60*408.89/12</f>
        <v>1074562920</v>
      </c>
      <c r="BD28" s="25">
        <f>365*24*60*60*570.73/12</f>
        <v>1499878440</v>
      </c>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1"/>
      <c r="CS28" s="1"/>
      <c r="CT28" s="1"/>
      <c r="CU28" s="1"/>
    </row>
    <row r="29" spans="1:99" s="13" customFormat="1" ht="12" customHeight="1" x14ac:dyDescent="0.2">
      <c r="A29" s="65">
        <v>43509</v>
      </c>
      <c r="B29" s="1" t="s">
        <v>201</v>
      </c>
      <c r="C29" s="1" t="s">
        <v>202</v>
      </c>
      <c r="D29" s="60">
        <v>1975</v>
      </c>
      <c r="E29" s="76">
        <v>1</v>
      </c>
      <c r="F29" s="60">
        <v>392</v>
      </c>
      <c r="G29" s="60">
        <v>43.6</v>
      </c>
      <c r="H29" s="60" t="s">
        <v>227</v>
      </c>
      <c r="I29" s="60" t="s">
        <v>598</v>
      </c>
      <c r="J29" s="60" t="s">
        <v>313</v>
      </c>
      <c r="K29" s="60">
        <f>IF(J29="syllables",1,IF(J29="trigrams",2,IF(J29="strings",3,IF(J29="visual array",4,IF(J29="characters",5,IF(J29="letters",6,IF(J29="free forms",7,IF(J29="odors",8,IF(J29="words",9,IF(J29="pictures",10,IF(J29="object pictures",11,IF(J29="faces",12,IF(J29="names",13,IF(J29="idioms",14,IF(J29="grades",15,IF(J29="syllable-digit pairs",16,IF(J29="trigram-word pairs",17,IF(J29="word-digit pairs",18,IF(J29="English-Swahili pairs",19,IF(J29="spatial position",20,IF(J29="word pairs",21,IF(J29="word triads",22,IF(J29="generated words",23,IF(J29="word definition pairs",24,IF(J29="math problems",25,IF(J29="famous faces",26,IF(J29="famous names",27,IF(J29="famous voices",28,IF(J29="television programs",29,IF(J29="race horses",30,IF(J29="new vocabulary",31,IF(J29="sentences",32,IF(J29="concepts",33,IF(J29="ad slides",34,IF(J29="scenes",35,IF(J29="famous scenes",36,IF(J29="poems",37,IF(J29="walk",38,IF(J29="faces and events",39,IF(J29="events and names",40,IF(J29="flashbulb",41,IF(J29="stories",42,IF(J29="course material",43,IF(J29="autobiographical",44,IF(J29="novels",45,IF(J29="public events",46,"99"))))))))))))))))))))))))))))))))))))))))))))))</f>
        <v>10</v>
      </c>
      <c r="L29" s="60">
        <f>IF(J29="syllables",1,IF(J29="trigrams",1,IF(J29="strings",1,IF(J29="visual array",1,IF(J29="characters",1,IF(J29="letters",1,IF(J29="free forms",1,IF(J29="odors",2,IF(J29="words",2,IF(J29="pictures",2,IF(J29="object pictures",2,IF(J29="faces",2,IF(J29="names",2,IF(J29="idioms","2",IF(J29="grades",2,IF(J29="syllable-digit pairs",3,IF(J29="trigram-word pairs",3,IF(J29="word-digit pairs",3,IF(J29="English-Swahili pairs",3,IF(J29="spatial position",3,IF(J29="word pairs",4,IF(J29="word triads",4,IF(J29="generated words",4,IF(J29="word definition pairs",4,IF(J29="math problems",4,IF(J29="famous faces",4,IF(J29="famous names",4,IF(J29="famous voices",4,IF(J29="television programs",4,IF(J29="race horses",4,IF(J29="new vocabulary",4,IF(J29="sentences",5,IF(J29="concepts",5,IF(J29="ad slides",5,IF(J29="scenes",5,IF(J29="famous scenes",5,IF(J29="poems",6,IF(J29="walk",6,IF(J29="faces and events",6,IF(J29="events and names",6,IF(J29="flashbulb",7,IF(J29="stories",7,IF(J29="course material",7,IF(J29="autobiographical",7,IF(J29="novels",7,IF(J29="public events",7,"99"))))))))))))))))))))))))))))))))))))))))))))))</f>
        <v>2</v>
      </c>
      <c r="M29" s="60">
        <v>1</v>
      </c>
      <c r="N29" s="60">
        <v>2</v>
      </c>
      <c r="O29" s="60">
        <v>0</v>
      </c>
      <c r="P29" s="60"/>
      <c r="Q29" s="59" t="s">
        <v>65</v>
      </c>
      <c r="R29" s="60">
        <f>IF(Q29="Free Recall",1,IF(Q29="Cued Recall",2,IF(Q29="Recognition",3,IF(Q29="Multiple Choice",4,IF(Q29="Savings",5,IF(Q29="Stem Completion",6,IF(Q29="Fragment Completion",7,IF(Q29="anagram solution",8,IF(Q29="Matching",9,IF(Q29="Problem Solving",10,"99"))))))))))</f>
        <v>2</v>
      </c>
      <c r="S29" s="60" t="s">
        <v>20</v>
      </c>
      <c r="T29" s="60" t="s">
        <v>261</v>
      </c>
      <c r="U29" s="60">
        <f>IF(T29="within",1,0)</f>
        <v>0</v>
      </c>
      <c r="V29" s="60">
        <v>10</v>
      </c>
      <c r="W29" s="60">
        <f>F29*V29</f>
        <v>3920</v>
      </c>
      <c r="X29" s="60">
        <v>9</v>
      </c>
      <c r="Y29" s="76">
        <f>AV28</f>
        <v>8567280</v>
      </c>
      <c r="Z29" s="60" t="s">
        <v>204</v>
      </c>
      <c r="AA29" s="60">
        <v>1513728000</v>
      </c>
      <c r="AB29" s="60" t="str">
        <f>IF(AA29&lt;60,"1",IF(AA29&lt;=43200,"2",IF(AA29&lt;=777600,"3","4")))</f>
        <v>4</v>
      </c>
      <c r="AC29" s="56">
        <f>AVERAGE(AV28:DA28)</f>
        <v>476868120</v>
      </c>
      <c r="AD29" s="60" t="str">
        <f>IF(AC29&lt;60,"1",IF(AC29&lt;=43200,"2",IF(AC29&lt;=777600,"3","4")))</f>
        <v>4</v>
      </c>
      <c r="AE29" s="76">
        <f>AA29-Y29</f>
        <v>1505160720</v>
      </c>
      <c r="AF29" s="80">
        <f>AV29</f>
        <v>0.68</v>
      </c>
      <c r="AG29" s="56">
        <f>((AW29-AV29)+(AX29-AW29)+(AY29-AX29)+(AZ29-AY29)+(BA29-AZ29)+(BB29-BA29)+(BC29-BB29)+(BD29-BC29))/8</f>
        <v>-6.25E-2</v>
      </c>
      <c r="AH29" s="4"/>
      <c r="AI29" s="56">
        <f>RSQ(AV29:BD29,AV28:BD28)</f>
        <v>0.4828856041031685</v>
      </c>
      <c r="AJ29" s="109">
        <f>SLOPE(AV29:BD29,AV28:BD28)</f>
        <v>-2.0298394304099969E-10</v>
      </c>
      <c r="AK29" s="56">
        <f>INTERCEPT(AV29:BD29,AV28:BD28)</f>
        <v>0.58901879353037079</v>
      </c>
      <c r="AL29" s="56">
        <f>INDEX(LINEST(LN(AV29:BD29),LN(AV28:BD28),TRUE,TRUE),3,1)</f>
        <v>0.32657819428049367</v>
      </c>
      <c r="AM29" s="56">
        <f>INDEX(LINEST(LN(AV29:BD29),LN(AV28:BD28)),1)</f>
        <v>-0.13119101181828052</v>
      </c>
      <c r="AN29" s="56">
        <f>EXP(INDEX(LINEST(LN(AV29:BD29),LN(AV28:BD28)),1,2))</f>
        <v>5.6054800961255076</v>
      </c>
      <c r="AO29" s="82">
        <f>INDEX(LINEST((AV29:BD29),LN(AV28:BD28),TRUE,TRUE),3,1)</f>
        <v>0.38310211910932651</v>
      </c>
      <c r="AP29" s="82">
        <f>INDEX(LINEST((AV29:BD29),LN(AV28:BD28)),1)</f>
        <v>-5.431746194827871E-2</v>
      </c>
      <c r="AQ29" s="83">
        <f>INDEX(LINEST(LN(AV29:BD29),SQRT(AV28:BD28),TRUE,TRUE),3,1)</f>
        <v>0.42625862691096617</v>
      </c>
      <c r="AR29" s="116">
        <f>INDEX(LINEST(LN(AV29:BD29),SQRT((AV28:BD28))),1)</f>
        <v>-2.0761583283413699E-5</v>
      </c>
      <c r="AS29" s="84">
        <f>INDEX(LINEST(1/(AV29:BD29),1/(SQRT(AV28:BD28)),TRUE,TRUE),3,1)</f>
        <v>0.16929334276131006</v>
      </c>
      <c r="AT29" s="84">
        <f>INDEX(LINEST(1/(AV29:BD29),1/SQRT(AV28:BD28)),1)</f>
        <v>-4988.6667216331871</v>
      </c>
      <c r="AU29" s="3"/>
      <c r="AV29" s="53">
        <v>0.68</v>
      </c>
      <c r="AW29" s="53">
        <v>0.59</v>
      </c>
      <c r="AX29" s="53">
        <v>0.36</v>
      </c>
      <c r="AY29" s="53">
        <v>0.64</v>
      </c>
      <c r="AZ29" s="53">
        <v>0.56999999999999995</v>
      </c>
      <c r="BA29" s="53">
        <v>0.41</v>
      </c>
      <c r="BB29" s="53">
        <v>0.53</v>
      </c>
      <c r="BC29" s="53">
        <v>0.47</v>
      </c>
      <c r="BD29" s="53">
        <v>0.18</v>
      </c>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1"/>
      <c r="CS29" s="1"/>
      <c r="CT29" s="1"/>
      <c r="CU29" s="1"/>
    </row>
    <row r="30" spans="1:99" s="13" customFormat="1" ht="12" customHeight="1" x14ac:dyDescent="0.2">
      <c r="A30" s="68">
        <v>43509</v>
      </c>
      <c r="B30" s="70"/>
      <c r="C30" s="70"/>
      <c r="D30" s="69"/>
      <c r="E30" s="87"/>
      <c r="F30" s="69"/>
      <c r="G30" s="69"/>
      <c r="H30" s="69"/>
      <c r="I30" s="69"/>
      <c r="J30" s="69"/>
      <c r="K30" s="107"/>
      <c r="L30" s="107"/>
      <c r="M30" s="69"/>
      <c r="N30" s="69"/>
      <c r="O30" s="69"/>
      <c r="P30" s="69"/>
      <c r="Q30" s="69"/>
      <c r="R30" s="69"/>
      <c r="S30" s="69"/>
      <c r="T30" s="69"/>
      <c r="U30" s="69"/>
      <c r="V30" s="69"/>
      <c r="W30" s="69"/>
      <c r="X30" s="69"/>
      <c r="Y30" s="87"/>
      <c r="Z30" s="69"/>
      <c r="AA30" s="69"/>
      <c r="AB30" s="69"/>
      <c r="AC30" s="69"/>
      <c r="AD30" s="69"/>
      <c r="AE30" s="69"/>
      <c r="AF30" s="88"/>
      <c r="AG30" s="72"/>
      <c r="AH30" s="4"/>
      <c r="AI30" s="72"/>
      <c r="AJ30" s="110"/>
      <c r="AK30" s="72"/>
      <c r="AL30" s="72"/>
      <c r="AM30" s="72"/>
      <c r="AN30" s="72"/>
      <c r="AO30" s="72"/>
      <c r="AP30" s="72"/>
      <c r="AQ30" s="89"/>
      <c r="AR30" s="118"/>
      <c r="AS30" s="89"/>
      <c r="AT30" s="89"/>
      <c r="AU30" s="3"/>
      <c r="AV30" s="71">
        <f>24*60*60</f>
        <v>86400</v>
      </c>
      <c r="AW30" s="71">
        <f>365*24*60*60*14/12</f>
        <v>36792000</v>
      </c>
      <c r="AX30" s="71">
        <f>365*24*60*60*44/12</f>
        <v>115632000</v>
      </c>
      <c r="AY30" s="71">
        <f>365*24*60*60*76/12</f>
        <v>199728000</v>
      </c>
      <c r="AZ30" s="71">
        <f>365*24*60*60*126/12</f>
        <v>331128000</v>
      </c>
      <c r="BA30" s="71">
        <f>365*24*60*60*179/12</f>
        <v>470412000</v>
      </c>
      <c r="BB30" s="71">
        <f>365*24*60*60*249/12</f>
        <v>654372000</v>
      </c>
      <c r="BC30" s="71">
        <f>365*24*60*60*341/12</f>
        <v>896148000</v>
      </c>
      <c r="BD30" s="71">
        <f>365*24*60*60*556/12</f>
        <v>1461168000</v>
      </c>
      <c r="BE30" s="53"/>
      <c r="BF30" s="53" t="s">
        <v>506</v>
      </c>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1"/>
      <c r="CS30" s="1"/>
      <c r="CT30" s="1"/>
      <c r="CU30" s="1"/>
    </row>
    <row r="31" spans="1:99" s="13" customFormat="1" ht="12" customHeight="1" x14ac:dyDescent="0.2">
      <c r="A31" s="68">
        <v>43509</v>
      </c>
      <c r="B31" s="70" t="s">
        <v>205</v>
      </c>
      <c r="C31" s="70" t="s">
        <v>206</v>
      </c>
      <c r="D31" s="69">
        <v>1983</v>
      </c>
      <c r="E31" s="87">
        <v>1</v>
      </c>
      <c r="F31" s="69">
        <v>851</v>
      </c>
      <c r="G31" s="69">
        <v>106.4</v>
      </c>
      <c r="H31" s="69" t="s">
        <v>44</v>
      </c>
      <c r="I31" s="69" t="s">
        <v>600</v>
      </c>
      <c r="J31" s="69" t="s">
        <v>599</v>
      </c>
      <c r="K31" s="69">
        <f>IF(J31="syllables",1,IF(J31="trigrams",2,IF(J31="strings",3,IF(J31="visual array",4,IF(J31="characters",5,IF(J31="letters",6,IF(J31="free forms",7,IF(J31="odors",8,IF(J31="words",9,IF(J31="pictures",10,IF(J31="object pictures",11,IF(J31="faces",12,IF(J31="names",13,IF(J31="idioms",14,IF(J31="grades",15,IF(J31="syllable-digit pairs",16,IF(J31="trigram-word pairs",17,IF(J31="word-digit pairs",18,IF(J31="English-Swahili pairs",19,IF(J31="spatial position",20,IF(J31="word pairs",21,IF(J31="word triads",22,IF(J31="generated words",23,IF(J31="word definition pairs",24,IF(J31="math problems",25,IF(J31="famous faces",26,IF(J31="famous names",27,IF(J31="famous voices",28,IF(J31="television programs",29,IF(J31="race horses",30,IF(J31="new vocabulary",31,IF(J31="sentences",32,IF(J31="concepts",33,IF(J31="ad slides",34,IF(J31="scenes",35,IF(J31="famous scenes",36,IF(J31="poems",37,IF(J31="walk",38,IF(J31="faces and events",39,IF(J31="events and names",40,IF(J31="flashbulb",41,IF(J31="stories",42,IF(J31="course material",43,IF(J31="autobiographical",44,IF(J31="novels",45,IF(J31="public events",46,"99"))))))))))))))))))))))))))))))))))))))))))))))</f>
        <v>13</v>
      </c>
      <c r="L31" s="69">
        <f>IF(J31="syllables",1,IF(J31="trigrams",1,IF(J31="strings",1,IF(J31="visual array",1,IF(J31="characters",1,IF(J31="letters",1,IF(J31="free forms",1,IF(J31="odors",2,IF(J31="words",2,IF(J31="pictures",2,IF(J31="object pictures",2,IF(J31="faces",2,IF(J31="names",2,IF(J31="idioms","2",IF(J31="grades",2,IF(J31="syllable-digit pairs",3,IF(J31="trigram-word pairs",3,IF(J31="word-digit pairs",3,IF(J31="English-Swahili pairs",3,IF(J31="spatial position",3,IF(J31="word pairs",4,IF(J31="word triads",4,IF(J31="generated words",4,IF(J31="word definition pairs",4,IF(J31="math problems",4,IF(J31="famous faces",4,IF(J31="famous names",4,IF(J31="famous voices",4,IF(J31="television programs",4,IF(J31="race horses",4,IF(J31="new vocabulary",4,IF(J31="sentences",5,IF(J31="concepts",5,IF(J31="ad slides",5,IF(J31="scenes",5,IF(J31="famous scenes",5,IF(J31="poems",6,IF(J31="walk",6,IF(J31="faces and events",6,IF(J31="events and names",6,IF(J31="flashbulb",7,IF(J31="stories",7,IF(J31="course material",7,IF(J31="autobiographical",7,IF(J31="novels",7,IF(J31="public events",7,"99"))))))))))))))))))))))))))))))))))))))))))))))</f>
        <v>2</v>
      </c>
      <c r="M31" s="69">
        <v>1</v>
      </c>
      <c r="N31" s="69">
        <v>2</v>
      </c>
      <c r="O31" s="69">
        <v>0</v>
      </c>
      <c r="P31" s="69"/>
      <c r="Q31" s="92" t="s">
        <v>174</v>
      </c>
      <c r="R31" s="69">
        <f>IF(Q31="Free Recall",1,IF(Q31="Cued Recall",2,IF(Q31="Recognition",3,IF(Q31="Multiple Choice",4,IF(Q31="Savings",5,IF(Q31="Stem Completion",6,IF(Q31="Fragment Completion",7,IF(Q31="anagram solution",8,IF(Q31="Matching",9,IF(Q31="Problem Solving",10,"99"))))))))))</f>
        <v>1</v>
      </c>
      <c r="S31" s="69" t="s">
        <v>15</v>
      </c>
      <c r="T31" s="69" t="s">
        <v>261</v>
      </c>
      <c r="U31" s="69">
        <f>IF(T31="within",1,0)</f>
        <v>0</v>
      </c>
      <c r="V31" s="69">
        <v>30</v>
      </c>
      <c r="W31" s="69">
        <f>F31*V31</f>
        <v>25530</v>
      </c>
      <c r="X31" s="69">
        <v>9</v>
      </c>
      <c r="Y31" s="87">
        <f>AV30</f>
        <v>86400</v>
      </c>
      <c r="Z31" s="69" t="s">
        <v>207</v>
      </c>
      <c r="AA31" s="69">
        <v>1450656000</v>
      </c>
      <c r="AB31" s="69" t="str">
        <f>IF(AA31&lt;60,"1",IF(AA31&lt;=43200,"2",IF(AA31&lt;=777600,"3","4")))</f>
        <v>4</v>
      </c>
      <c r="AC31" s="72">
        <f>AVERAGE(AV30:DA30)</f>
        <v>462829600</v>
      </c>
      <c r="AD31" s="69" t="str">
        <f>IF(AC31&lt;60,"1",IF(AC31&lt;=43200,"2",IF(AC31&lt;=777600,"3","4")))</f>
        <v>4</v>
      </c>
      <c r="AE31" s="87">
        <f>AA31-Y31</f>
        <v>1450569600</v>
      </c>
      <c r="AF31" s="88">
        <f>AV31</f>
        <v>0.98699999999999999</v>
      </c>
      <c r="AG31" s="72">
        <f>((AW31-AV31)+(AX31-AW31)+(AY31-AX31)+(AZ31-AY31)+(BA31-AZ31)+(BB31-BA31)+(BC31-BB31)+(BD31-BC31))/8</f>
        <v>-8.4624999999999978E-2</v>
      </c>
      <c r="AH31" s="4"/>
      <c r="AI31" s="72">
        <f>RSQ(AV31:BD31,AV30:BD30)</f>
        <v>0.20458877223278307</v>
      </c>
      <c r="AJ31" s="110">
        <f>SLOPE(AV31:BD31,AV30:BD30)</f>
        <v>-2.4546812782017294E-10</v>
      </c>
      <c r="AK31" s="72">
        <f>INTERCEPT(AV31:BD31,AV30:BD30)</f>
        <v>0.50160991541175948</v>
      </c>
      <c r="AL31" s="72">
        <f>INDEX(LINEST(LN(AV31:BD31),LN(AV30:BD30),TRUE,TRUE),3,1)</f>
        <v>0.76396234437934052</v>
      </c>
      <c r="AM31" s="72">
        <f>INDEX(LINEST(LN(AV31:BD31),LN(AV30:BD30)),1)</f>
        <v>-0.15126571288944954</v>
      </c>
      <c r="AN31" s="72">
        <f>EXP(INDEX(LINEST(LN(AV31:BD31),LN(AV30:BD30)),1,2))</f>
        <v>5.6863915136905945</v>
      </c>
      <c r="AO31" s="89">
        <f>INDEX(LINEST((AV31:BD31),LN(AV30:BD30),TRUE,TRUE),3,1)</f>
        <v>0.86510872326203003</v>
      </c>
      <c r="AP31" s="89">
        <f>INDEX(LINEST((AV31:BD31),LN(AV30:BD30)),1)</f>
        <v>-8.1455871591126369E-2</v>
      </c>
      <c r="AQ31" s="90">
        <f>INDEX(LINEST(LN(AV31:BD31),SQRT(AV30:BD30),TRUE,TRUE),3,1)</f>
        <v>0.42130846634695546</v>
      </c>
      <c r="AR31" s="117">
        <f>INDEX(LINEST(LN(AV31:BD31),SQRT((AV30:BD30))),1)</f>
        <v>-2.7781197583420251E-5</v>
      </c>
      <c r="AS31" s="91">
        <f>INDEX(LINEST(1/(AV31:BD31),1/(SQRT(AV30:BD30)),TRUE,TRUE),3,1)</f>
        <v>0.51496226666801093</v>
      </c>
      <c r="AT31" s="91">
        <f>INDEX(LINEST(1/(AV31:BD31),1/SQRT(AV30:BD30)),1)</f>
        <v>-776.78468636958155</v>
      </c>
      <c r="AU31" s="3"/>
      <c r="AV31" s="73">
        <v>0.98699999999999999</v>
      </c>
      <c r="AW31" s="73">
        <v>0.64600000000000002</v>
      </c>
      <c r="AX31" s="73">
        <v>0.30499999999999999</v>
      </c>
      <c r="AY31" s="73">
        <v>0.23300000000000001</v>
      </c>
      <c r="AZ31" s="73">
        <v>0.22</v>
      </c>
      <c r="BA31" s="73">
        <v>0.252</v>
      </c>
      <c r="BB31" s="73">
        <v>0.26700000000000002</v>
      </c>
      <c r="BC31" s="73">
        <v>0.27200000000000002</v>
      </c>
      <c r="BD31" s="73">
        <v>0.31</v>
      </c>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1"/>
      <c r="CS31" s="1"/>
      <c r="CT31" s="1"/>
      <c r="CU31" s="1"/>
    </row>
    <row r="32" spans="1:99" s="13" customFormat="1" ht="12" customHeight="1" x14ac:dyDescent="0.2">
      <c r="A32" s="68">
        <v>43509</v>
      </c>
      <c r="B32" s="70"/>
      <c r="C32" s="70"/>
      <c r="D32" s="69"/>
      <c r="E32" s="87"/>
      <c r="F32" s="69"/>
      <c r="G32" s="69"/>
      <c r="H32" s="69"/>
      <c r="I32" s="69"/>
      <c r="J32" s="69"/>
      <c r="K32" s="107"/>
      <c r="L32" s="107"/>
      <c r="M32" s="69"/>
      <c r="N32" s="69"/>
      <c r="O32" s="69"/>
      <c r="P32" s="69"/>
      <c r="Q32" s="69"/>
      <c r="R32" s="69"/>
      <c r="S32" s="69"/>
      <c r="T32" s="69"/>
      <c r="U32" s="69"/>
      <c r="V32" s="69"/>
      <c r="W32" s="69"/>
      <c r="X32" s="69"/>
      <c r="Y32" s="87"/>
      <c r="Z32" s="69"/>
      <c r="AA32" s="69"/>
      <c r="AB32" s="69"/>
      <c r="AC32" s="69"/>
      <c r="AD32" s="69"/>
      <c r="AE32" s="69"/>
      <c r="AF32" s="88"/>
      <c r="AG32" s="72"/>
      <c r="AH32" s="4"/>
      <c r="AI32" s="72"/>
      <c r="AJ32" s="110"/>
      <c r="AK32" s="72"/>
      <c r="AL32" s="72"/>
      <c r="AM32" s="72"/>
      <c r="AN32" s="72"/>
      <c r="AO32" s="72"/>
      <c r="AP32" s="72"/>
      <c r="AQ32" s="89"/>
      <c r="AR32" s="118"/>
      <c r="AS32" s="89"/>
      <c r="AT32" s="89"/>
      <c r="AU32" s="3"/>
      <c r="AV32" s="71">
        <f>24*60*60</f>
        <v>86400</v>
      </c>
      <c r="AW32" s="71">
        <f>365*24*60*60*14/12</f>
        <v>36792000</v>
      </c>
      <c r="AX32" s="71">
        <f>365*24*60*60*44/12</f>
        <v>115632000</v>
      </c>
      <c r="AY32" s="71">
        <f>365*24*60*60*76/12</f>
        <v>199728000</v>
      </c>
      <c r="AZ32" s="71">
        <f>365*24*60*60*126/12</f>
        <v>331128000</v>
      </c>
      <c r="BA32" s="71">
        <f>365*24*60*60*179/12</f>
        <v>470412000</v>
      </c>
      <c r="BB32" s="71">
        <f>365*24*60*60*249/12</f>
        <v>654372000</v>
      </c>
      <c r="BC32" s="71">
        <f>365*24*60*60*341/12</f>
        <v>896148000</v>
      </c>
      <c r="BD32" s="71">
        <f>365*24*60*60*556/12</f>
        <v>1461168000</v>
      </c>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1"/>
      <c r="CS32" s="1"/>
      <c r="CT32" s="1"/>
      <c r="CU32" s="1"/>
    </row>
    <row r="33" spans="1:99" s="13" customFormat="1" ht="12" customHeight="1" x14ac:dyDescent="0.2">
      <c r="A33" s="68">
        <v>43509</v>
      </c>
      <c r="B33" s="70" t="s">
        <v>205</v>
      </c>
      <c r="C33" s="70" t="s">
        <v>206</v>
      </c>
      <c r="D33" s="69">
        <v>1983</v>
      </c>
      <c r="E33" s="87">
        <v>1</v>
      </c>
      <c r="F33" s="69">
        <v>851</v>
      </c>
      <c r="G33" s="69">
        <v>106.4</v>
      </c>
      <c r="H33" s="69" t="s">
        <v>44</v>
      </c>
      <c r="I33" s="69" t="s">
        <v>601</v>
      </c>
      <c r="J33" s="69" t="s">
        <v>599</v>
      </c>
      <c r="K33" s="69">
        <f>IF(J33="syllables",1,IF(J33="trigrams",2,IF(J33="strings",3,IF(J33="visual array",4,IF(J33="characters",5,IF(J33="letters",6,IF(J33="free forms",7,IF(J33="odors",8,IF(J33="words",9,IF(J33="pictures",10,IF(J33="object pictures",11,IF(J33="faces",12,IF(J33="names",13,IF(J33="idioms",14,IF(J33="grades",15,IF(J33="syllable-digit pairs",16,IF(J33="trigram-word pairs",17,IF(J33="word-digit pairs",18,IF(J33="English-Swahili pairs",19,IF(J33="spatial position",20,IF(J33="word pairs",21,IF(J33="word triads",22,IF(J33="generated words",23,IF(J33="word definition pairs",24,IF(J33="math problems",25,IF(J33="famous faces",26,IF(J33="famous names",27,IF(J33="famous voices",28,IF(J33="television programs",29,IF(J33="race horses",30,IF(J33="new vocabulary",31,IF(J33="sentences",32,IF(J33="concepts",33,IF(J33="ad slides",34,IF(J33="scenes",35,IF(J33="famous scenes",36,IF(J33="poems",37,IF(J33="walk",38,IF(J33="faces and events",39,IF(J33="events and names",40,IF(J33="flashbulb",41,IF(J33="stories",42,IF(J33="course material",43,IF(J33="autobiographical",44,IF(J33="novels",45,IF(J33="public events",46,"99"))))))))))))))))))))))))))))))))))))))))))))))</f>
        <v>13</v>
      </c>
      <c r="L33" s="69">
        <f>IF(J33="syllables",1,IF(J33="trigrams",1,IF(J33="strings",1,IF(J33="visual array",1,IF(J33="characters",1,IF(J33="letters",1,IF(J33="free forms",1,IF(J33="odors",2,IF(J33="words",2,IF(J33="pictures",2,IF(J33="object pictures",2,IF(J33="faces",2,IF(J33="names",2,IF(J33="idioms","2",IF(J33="grades",2,IF(J33="syllable-digit pairs",3,IF(J33="trigram-word pairs",3,IF(J33="word-digit pairs",3,IF(J33="English-Swahili pairs",3,IF(J33="spatial position",3,IF(J33="word pairs",4,IF(J33="word triads",4,IF(J33="generated words",4,IF(J33="word definition pairs",4,IF(J33="math problems",4,IF(J33="famous faces",4,IF(J33="famous names",4,IF(J33="famous voices",4,IF(J33="television programs",4,IF(J33="race horses",4,IF(J33="new vocabulary",4,IF(J33="sentences",5,IF(J33="concepts",5,IF(J33="ad slides",5,IF(J33="scenes",5,IF(J33="famous scenes",5,IF(J33="poems",6,IF(J33="walk",6,IF(J33="faces and events",6,IF(J33="events and names",6,IF(J33="flashbulb",7,IF(J33="stories",7,IF(J33="course material",7,IF(J33="autobiographical",7,IF(J33="novels",7,IF(J33="public events",7,"99"))))))))))))))))))))))))))))))))))))))))))))))</f>
        <v>2</v>
      </c>
      <c r="M33" s="69">
        <v>1</v>
      </c>
      <c r="N33" s="69">
        <v>2</v>
      </c>
      <c r="O33" s="69">
        <v>0</v>
      </c>
      <c r="P33" s="69"/>
      <c r="Q33" s="69" t="s">
        <v>133</v>
      </c>
      <c r="R33" s="69">
        <f>IF(Q33="Free Recall",1,IF(Q33="Cued Recall",2,IF(Q33="Recognition",3,IF(Q33="Multiple Choice",4,IF(Q33="Savings",5,IF(Q33="Stem Completion",6,IF(Q33="Fragment Completion",7,IF(Q33="anagram solution",8,IF(Q33="Matching",9,IF(Q33="Problem Solving",10,"99"))))))))))</f>
        <v>9</v>
      </c>
      <c r="S33" s="69" t="s">
        <v>15</v>
      </c>
      <c r="T33" s="69" t="s">
        <v>261</v>
      </c>
      <c r="U33" s="69">
        <f>IF(T33="within",1,0)</f>
        <v>0</v>
      </c>
      <c r="V33" s="69">
        <v>27</v>
      </c>
      <c r="W33" s="69">
        <f>F33*V33</f>
        <v>22977</v>
      </c>
      <c r="X33" s="69">
        <v>9</v>
      </c>
      <c r="Y33" s="87">
        <f>AV32</f>
        <v>86400</v>
      </c>
      <c r="Z33" s="69" t="s">
        <v>207</v>
      </c>
      <c r="AA33" s="69">
        <v>1450656000</v>
      </c>
      <c r="AB33" s="69" t="str">
        <f>IF(AA33&lt;60,"1",IF(AA33&lt;=43200,"2",IF(AA33&lt;=777600,"3","4")))</f>
        <v>4</v>
      </c>
      <c r="AC33" s="72">
        <f>AVERAGE(AV32:DA32)</f>
        <v>462829600</v>
      </c>
      <c r="AD33" s="69" t="str">
        <f>IF(AC33&lt;60,"1",IF(AC33&lt;=43200,"2",IF(AC33&lt;=777600,"3","4")))</f>
        <v>4</v>
      </c>
      <c r="AE33" s="87">
        <f>AA33-Y33</f>
        <v>1450569600</v>
      </c>
      <c r="AF33" s="88">
        <f>AV33</f>
        <v>0.98699999999999999</v>
      </c>
      <c r="AG33" s="72">
        <f>((AW33-AV33)+(AX33-AW33)+(AY33-AX33)+(AZ33-AY33)+(BA33-AZ33)+(BB33-BA33)+(BC33-BB33)+(BD33-BC33))/8</f>
        <v>-9.4375000000000014E-2</v>
      </c>
      <c r="AH33" s="4"/>
      <c r="AI33" s="72">
        <f>RSQ(AV33:BD33,AV32:BD32)</f>
        <v>0.40465320063876148</v>
      </c>
      <c r="AJ33" s="110">
        <f>SLOPE(AV33:BD33,AV32:BD32)</f>
        <v>-3.6491123716119366E-10</v>
      </c>
      <c r="AK33" s="72">
        <f>INTERCEPT(AV33:BD33,AV32:BD32)</f>
        <v>0.56811394415304262</v>
      </c>
      <c r="AL33" s="72">
        <f>INDEX(LINEST(LN(AV33:BD33),LN(AV32:BD32),TRUE,TRUE),3,1)</f>
        <v>0.80617869089388561</v>
      </c>
      <c r="AM33" s="72">
        <f>INDEX(LINEST(LN(AV33:BD33),LN(AV32:BD32)),1)</f>
        <v>-0.17438629115214344</v>
      </c>
      <c r="AN33" s="72">
        <f>EXP(INDEX(LINEST(LN(AV33:BD33),LN(AV32:BD32)),1,2))</f>
        <v>8.7815837273991804</v>
      </c>
      <c r="AO33" s="89">
        <f>INDEX(LINEST((AV33:BD33),LN(AV32:BD32),TRUE,TRUE),3,1)</f>
        <v>0.90258592740258659</v>
      </c>
      <c r="AP33" s="89">
        <f>INDEX(LINEST((AV33:BD33),LN(AV32:BD32)),1)</f>
        <v>-8.7947371396810151E-2</v>
      </c>
      <c r="AQ33" s="90">
        <f>INDEX(LINEST(LN(AV33:BD33),SQRT(AV32:BD32),TRUE,TRUE),3,1)</f>
        <v>0.76082935964823983</v>
      </c>
      <c r="AR33" s="117">
        <f>INDEX(LINEST(LN(AV33:BD33),SQRT((AV32:BD32))),1)</f>
        <v>-4.1897360479706004E-5</v>
      </c>
      <c r="AS33" s="91">
        <f>INDEX(LINEST(1/(AV33:BD33),1/(SQRT(AV32:BD32)),TRUE,TRUE),3,1)</f>
        <v>0.38454203044529994</v>
      </c>
      <c r="AT33" s="91">
        <f>INDEX(LINEST(1/(AV33:BD33),1/SQRT(AV32:BD32)),1)</f>
        <v>-821.76653242255657</v>
      </c>
      <c r="AU33" s="3"/>
      <c r="AV33" s="73">
        <v>0.98699999999999999</v>
      </c>
      <c r="AW33" s="73">
        <v>0.70799999999999996</v>
      </c>
      <c r="AX33" s="73">
        <v>0.43099999999999999</v>
      </c>
      <c r="AY33" s="73">
        <v>0.35299999999999998</v>
      </c>
      <c r="AZ33" s="73">
        <v>0.222</v>
      </c>
      <c r="BA33" s="73">
        <v>0.23799999999999999</v>
      </c>
      <c r="BB33" s="73">
        <v>0.214</v>
      </c>
      <c r="BC33" s="73">
        <v>0.20799999999999999</v>
      </c>
      <c r="BD33" s="73">
        <v>0.23200000000000001</v>
      </c>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1"/>
      <c r="CS33" s="1"/>
      <c r="CT33" s="1"/>
      <c r="CU33" s="1"/>
    </row>
    <row r="34" spans="1:99" s="13" customFormat="1" ht="12" customHeight="1" x14ac:dyDescent="0.2">
      <c r="A34" s="68">
        <v>43509</v>
      </c>
      <c r="B34" s="70"/>
      <c r="C34" s="70"/>
      <c r="D34" s="69"/>
      <c r="E34" s="87"/>
      <c r="F34" s="69"/>
      <c r="G34" s="69"/>
      <c r="H34" s="69"/>
      <c r="I34" s="69"/>
      <c r="J34" s="69"/>
      <c r="K34" s="107"/>
      <c r="L34" s="107"/>
      <c r="M34" s="69"/>
      <c r="N34" s="69"/>
      <c r="O34" s="69"/>
      <c r="P34" s="69"/>
      <c r="Q34" s="69"/>
      <c r="R34" s="69"/>
      <c r="S34" s="69"/>
      <c r="T34" s="69"/>
      <c r="U34" s="69"/>
      <c r="V34" s="69"/>
      <c r="W34" s="69"/>
      <c r="X34" s="69"/>
      <c r="Y34" s="87"/>
      <c r="Z34" s="69"/>
      <c r="AA34" s="69"/>
      <c r="AB34" s="69"/>
      <c r="AC34" s="69"/>
      <c r="AD34" s="69"/>
      <c r="AE34" s="69"/>
      <c r="AF34" s="88"/>
      <c r="AG34" s="72"/>
      <c r="AH34" s="4"/>
      <c r="AI34" s="72"/>
      <c r="AJ34" s="110"/>
      <c r="AK34" s="72"/>
      <c r="AL34" s="72"/>
      <c r="AM34" s="72"/>
      <c r="AN34" s="72"/>
      <c r="AO34" s="72"/>
      <c r="AP34" s="72"/>
      <c r="AQ34" s="89"/>
      <c r="AR34" s="118"/>
      <c r="AS34" s="89"/>
      <c r="AT34" s="89"/>
      <c r="AU34" s="3"/>
      <c r="AV34" s="71">
        <f>24*60*60</f>
        <v>86400</v>
      </c>
      <c r="AW34" s="71">
        <f>365*24*60*60*14/12</f>
        <v>36792000</v>
      </c>
      <c r="AX34" s="71">
        <f>365*24*60*60*44/12</f>
        <v>115632000</v>
      </c>
      <c r="AY34" s="71">
        <f>365*24*60*60*76/12</f>
        <v>199728000</v>
      </c>
      <c r="AZ34" s="71">
        <f>365*24*60*60*126/12</f>
        <v>331128000</v>
      </c>
      <c r="BA34" s="71">
        <f>365*24*60*60*179/12</f>
        <v>470412000</v>
      </c>
      <c r="BB34" s="71">
        <f>365*24*60*60*249/12</f>
        <v>654372000</v>
      </c>
      <c r="BC34" s="71">
        <f>365*24*60*60*341/12</f>
        <v>896148000</v>
      </c>
      <c r="BD34" s="71">
        <f>365*24*60*60*556/12</f>
        <v>1461168000</v>
      </c>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1"/>
      <c r="CS34" s="1"/>
      <c r="CT34" s="1"/>
      <c r="CU34" s="1"/>
    </row>
    <row r="35" spans="1:99" s="13" customFormat="1" ht="12" customHeight="1" x14ac:dyDescent="0.2">
      <c r="A35" s="68">
        <v>43509</v>
      </c>
      <c r="B35" s="70" t="s">
        <v>205</v>
      </c>
      <c r="C35" s="70" t="s">
        <v>206</v>
      </c>
      <c r="D35" s="69">
        <v>1983</v>
      </c>
      <c r="E35" s="87">
        <v>1</v>
      </c>
      <c r="F35" s="69">
        <v>851</v>
      </c>
      <c r="G35" s="69">
        <v>106.4</v>
      </c>
      <c r="H35" s="69" t="s">
        <v>44</v>
      </c>
      <c r="I35" s="69" t="s">
        <v>602</v>
      </c>
      <c r="J35" s="69" t="s">
        <v>599</v>
      </c>
      <c r="K35" s="69">
        <f>IF(J35="syllables",1,IF(J35="trigrams",2,IF(J35="strings",3,IF(J35="visual array",4,IF(J35="characters",5,IF(J35="letters",6,IF(J35="free forms",7,IF(J35="odors",8,IF(J35="words",9,IF(J35="pictures",10,IF(J35="object pictures",11,IF(J35="faces",12,IF(J35="names",13,IF(J35="idioms",14,IF(J35="grades",15,IF(J35="syllable-digit pairs",16,IF(J35="trigram-word pairs",17,IF(J35="word-digit pairs",18,IF(J35="English-Swahili pairs",19,IF(J35="spatial position",20,IF(J35="word pairs",21,IF(J35="word triads",22,IF(J35="generated words",23,IF(J35="word definition pairs",24,IF(J35="math problems",25,IF(J35="famous faces",26,IF(J35="famous names",27,IF(J35="famous voices",28,IF(J35="television programs",29,IF(J35="race horses",30,IF(J35="new vocabulary",31,IF(J35="sentences",32,IF(J35="concepts",33,IF(J35="ad slides",34,IF(J35="scenes",35,IF(J35="famous scenes",36,IF(J35="poems",37,IF(J35="walk",38,IF(J35="faces and events",39,IF(J35="events and names",40,IF(J35="flashbulb",41,IF(J35="stories",42,IF(J35="course material",43,IF(J35="autobiographical",44,IF(J35="novels",45,IF(J35="public events",46,"99"))))))))))))))))))))))))))))))))))))))))))))))</f>
        <v>13</v>
      </c>
      <c r="L35" s="69">
        <f>IF(J35="syllables",1,IF(J35="trigrams",1,IF(J35="strings",1,IF(J35="visual array",1,IF(J35="characters",1,IF(J35="letters",1,IF(J35="free forms",1,IF(J35="odors",2,IF(J35="words",2,IF(J35="pictures",2,IF(J35="object pictures",2,IF(J35="faces",2,IF(J35="names",2,IF(J35="idioms","2",IF(J35="grades",2,IF(J35="syllable-digit pairs",3,IF(J35="trigram-word pairs",3,IF(J35="word-digit pairs",3,IF(J35="English-Swahili pairs",3,IF(J35="spatial position",3,IF(J35="word pairs",4,IF(J35="word triads",4,IF(J35="generated words",4,IF(J35="word definition pairs",4,IF(J35="math problems",4,IF(J35="famous faces",4,IF(J35="famous names",4,IF(J35="famous voices",4,IF(J35="television programs",4,IF(J35="race horses",4,IF(J35="new vocabulary",4,IF(J35="sentences",5,IF(J35="concepts",5,IF(J35="ad slides",5,IF(J35="scenes",5,IF(J35="famous scenes",5,IF(J35="poems",6,IF(J35="walk",6,IF(J35="faces and events",6,IF(J35="events and names",6,IF(J35="flashbulb",7,IF(J35="stories",7,IF(J35="course material",7,IF(J35="autobiographical",7,IF(J35="novels",7,IF(J35="public events",7,"99"))))))))))))))))))))))))))))))))))))))))))))))</f>
        <v>2</v>
      </c>
      <c r="M35" s="69">
        <v>1</v>
      </c>
      <c r="N35" s="69">
        <v>2</v>
      </c>
      <c r="O35" s="69">
        <v>0</v>
      </c>
      <c r="P35" s="69"/>
      <c r="Q35" s="69" t="s">
        <v>65</v>
      </c>
      <c r="R35" s="69">
        <f>IF(Q35="Free Recall",1,IF(Q35="Cued Recall",2,IF(Q35="Recognition",3,IF(Q35="Multiple Choice",4,IF(Q35="Savings",5,IF(Q35="Stem Completion",6,IF(Q35="Fragment Completion",7,IF(Q35="anagram solution",8,IF(Q35="Matching",9,IF(Q35="Problem Solving",10,"99"))))))))))</f>
        <v>2</v>
      </c>
      <c r="S35" s="69" t="s">
        <v>15</v>
      </c>
      <c r="T35" s="69" t="s">
        <v>261</v>
      </c>
      <c r="U35" s="69">
        <f>IF(T35="within",1,0)</f>
        <v>0</v>
      </c>
      <c r="V35" s="69">
        <v>20</v>
      </c>
      <c r="W35" s="69">
        <f>F35*V35</f>
        <v>17020</v>
      </c>
      <c r="X35" s="69">
        <v>9</v>
      </c>
      <c r="Y35" s="87">
        <f>AV34</f>
        <v>86400</v>
      </c>
      <c r="Z35" s="69" t="s">
        <v>207</v>
      </c>
      <c r="AA35" s="69">
        <v>1450656000</v>
      </c>
      <c r="AB35" s="69" t="str">
        <f>IF(AA35&lt;60,"1",IF(AA35&lt;=43200,"2",IF(AA35&lt;=777600,"3","4")))</f>
        <v>4</v>
      </c>
      <c r="AC35" s="72">
        <f>AVERAGE(AV34:DA34)</f>
        <v>462829600</v>
      </c>
      <c r="AD35" s="69" t="str">
        <f>IF(AC35&lt;60,"1",IF(AC35&lt;=43200,"2",IF(AC35&lt;=777600,"3","4")))</f>
        <v>4</v>
      </c>
      <c r="AE35" s="87">
        <f>AA35-Y35</f>
        <v>1450569600</v>
      </c>
      <c r="AF35" s="88">
        <f>AV35</f>
        <v>0.98499999999999999</v>
      </c>
      <c r="AG35" s="72">
        <f>((AW35-AV35)+(AX35-AW35)+(AY35-AX35)+(AZ35-AY35)+(BA35-AZ35)+(BB35-BA35)+(BC35-BB35)+(BD35-BC35))/8</f>
        <v>-0.11412499999999999</v>
      </c>
      <c r="AH35" s="4"/>
      <c r="AI35" s="72">
        <f>RSQ(AV35:BD35,AV34:BD34)</f>
        <v>0.32000952625137474</v>
      </c>
      <c r="AJ35" s="110">
        <f>SLOPE(AV35:BD35,AV34:BD34)</f>
        <v>-3.5659992325411255E-10</v>
      </c>
      <c r="AK35" s="72">
        <f>INTERCEPT(AV35:BD35,AV34:BD34)</f>
        <v>0.43504499983973166</v>
      </c>
      <c r="AL35" s="72">
        <f>INDEX(LINEST(LN(AV35:BD35),LN(AV34:BD34),TRUE,TRUE),3,1)</f>
        <v>0.82433181774276076</v>
      </c>
      <c r="AM35" s="72">
        <f>INDEX(LINEST(LN(AV35:BD35),LN(AV34:BD34)),1)</f>
        <v>-0.26139512516214641</v>
      </c>
      <c r="AN35" s="72">
        <f>EXP(INDEX(LINEST(LN(AV35:BD35),LN(AV34:BD34)),1,2))</f>
        <v>24.175344597564418</v>
      </c>
      <c r="AO35" s="89">
        <f>INDEX(LINEST((AV35:BD35),LN(AV34:BD34),TRUE,TRUE),3,1)</f>
        <v>0.93948914036949649</v>
      </c>
      <c r="AP35" s="89">
        <f>INDEX(LINEST((AV35:BD35),LN(AV34:BD34)),1)</f>
        <v>-9.8600362447390122E-2</v>
      </c>
      <c r="AQ35" s="90">
        <f>INDEX(LINEST(LN(AV35:BD35),SQRT(AV34:BD34),TRUE,TRUE),3,1)</f>
        <v>0.73428733692810078</v>
      </c>
      <c r="AR35" s="117">
        <f>INDEX(LINEST(LN(AV35:BD35),SQRT((AV34:BD34))),1)</f>
        <v>-6.1013483275753766E-5</v>
      </c>
      <c r="AS35" s="91">
        <f>INDEX(LINEST(1/(AV35:BD35),1/(SQRT(AV34:BD34)),TRUE,TRUE),3,1)</f>
        <v>0.31811838256742819</v>
      </c>
      <c r="AT35" s="91">
        <f>INDEX(LINEST(1/(AV35:BD35),1/SQRT(AV34:BD34)),1)</f>
        <v>-2097.2777719735609</v>
      </c>
      <c r="AU35" s="3"/>
      <c r="AV35" s="73">
        <v>0.98499999999999999</v>
      </c>
      <c r="AW35" s="73">
        <v>0.52600000000000002</v>
      </c>
      <c r="AX35" s="73">
        <v>0.16700000000000001</v>
      </c>
      <c r="AY35" s="73">
        <v>0.20899999999999999</v>
      </c>
      <c r="AZ35" s="73">
        <v>9.6000000000000002E-2</v>
      </c>
      <c r="BA35" s="73">
        <v>0.13</v>
      </c>
      <c r="BB35" s="73">
        <v>9.9000000000000005E-2</v>
      </c>
      <c r="BC35" s="73">
        <v>0.14599999999999999</v>
      </c>
      <c r="BD35" s="73">
        <v>7.1999999999999995E-2</v>
      </c>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1"/>
      <c r="CS35" s="1"/>
      <c r="CT35" s="1"/>
      <c r="CU35" s="1"/>
    </row>
    <row r="36" spans="1:99" s="13" customFormat="1" ht="12" customHeight="1" x14ac:dyDescent="0.2">
      <c r="A36" s="68">
        <v>43509</v>
      </c>
      <c r="B36" s="70"/>
      <c r="C36" s="70"/>
      <c r="D36" s="69"/>
      <c r="E36" s="87"/>
      <c r="F36" s="69"/>
      <c r="G36" s="69"/>
      <c r="H36" s="69"/>
      <c r="I36" s="69"/>
      <c r="J36" s="69"/>
      <c r="K36" s="107"/>
      <c r="L36" s="107"/>
      <c r="M36" s="69"/>
      <c r="N36" s="69"/>
      <c r="O36" s="69"/>
      <c r="P36" s="69"/>
      <c r="Q36" s="69"/>
      <c r="R36" s="69"/>
      <c r="S36" s="69"/>
      <c r="T36" s="69"/>
      <c r="U36" s="69"/>
      <c r="V36" s="69"/>
      <c r="W36" s="69"/>
      <c r="X36" s="69"/>
      <c r="Y36" s="87"/>
      <c r="Z36" s="69"/>
      <c r="AA36" s="69"/>
      <c r="AB36" s="69"/>
      <c r="AC36" s="69"/>
      <c r="AD36" s="69"/>
      <c r="AE36" s="69"/>
      <c r="AF36" s="88"/>
      <c r="AG36" s="72"/>
      <c r="AH36" s="4"/>
      <c r="AI36" s="72"/>
      <c r="AJ36" s="110"/>
      <c r="AK36" s="72"/>
      <c r="AL36" s="72"/>
      <c r="AM36" s="72"/>
      <c r="AN36" s="72"/>
      <c r="AO36" s="72"/>
      <c r="AP36" s="72"/>
      <c r="AQ36" s="89"/>
      <c r="AR36" s="118"/>
      <c r="AS36" s="89"/>
      <c r="AT36" s="89"/>
      <c r="AU36" s="3"/>
      <c r="AV36" s="71">
        <f>24*60*60</f>
        <v>86400</v>
      </c>
      <c r="AW36" s="71">
        <f>365*24*60*60*14/12</f>
        <v>36792000</v>
      </c>
      <c r="AX36" s="71">
        <f>365*24*60*60*44/12</f>
        <v>115632000</v>
      </c>
      <c r="AY36" s="71">
        <f>365*24*60*60*76/12</f>
        <v>199728000</v>
      </c>
      <c r="AZ36" s="71">
        <f>365*24*60*60*126/12</f>
        <v>331128000</v>
      </c>
      <c r="BA36" s="71">
        <f>365*24*60*60*179/12</f>
        <v>470412000</v>
      </c>
      <c r="BB36" s="71">
        <f>365*24*60*60*249/12</f>
        <v>654372000</v>
      </c>
      <c r="BC36" s="71">
        <f>365*24*60*60*341/12</f>
        <v>896148000</v>
      </c>
      <c r="BD36" s="71">
        <f>365*24*60*60*556/12</f>
        <v>1461168000</v>
      </c>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1"/>
      <c r="CS36" s="1"/>
      <c r="CT36" s="1"/>
      <c r="CU36" s="1"/>
    </row>
    <row r="37" spans="1:99" s="13" customFormat="1" ht="12" customHeight="1" x14ac:dyDescent="0.2">
      <c r="A37" s="68">
        <v>43509</v>
      </c>
      <c r="B37" s="70" t="s">
        <v>205</v>
      </c>
      <c r="C37" s="70" t="s">
        <v>206</v>
      </c>
      <c r="D37" s="69">
        <v>1983</v>
      </c>
      <c r="E37" s="87">
        <v>1</v>
      </c>
      <c r="F37" s="69">
        <v>851</v>
      </c>
      <c r="G37" s="69">
        <v>106.4</v>
      </c>
      <c r="H37" s="69" t="s">
        <v>232</v>
      </c>
      <c r="I37" s="69" t="s">
        <v>603</v>
      </c>
      <c r="J37" s="69" t="s">
        <v>599</v>
      </c>
      <c r="K37" s="69">
        <f>IF(J37="syllables",1,IF(J37="trigrams",2,IF(J37="strings",3,IF(J37="visual array",4,IF(J37="characters",5,IF(J37="letters",6,IF(J37="free forms",7,IF(J37="odors",8,IF(J37="words",9,IF(J37="pictures",10,IF(J37="object pictures",11,IF(J37="faces",12,IF(J37="names",13,IF(J37="idioms",14,IF(J37="grades",15,IF(J37="syllable-digit pairs",16,IF(J37="trigram-word pairs",17,IF(J37="word-digit pairs",18,IF(J37="English-Swahili pairs",19,IF(J37="spatial position",20,IF(J37="word pairs",21,IF(J37="word triads",22,IF(J37="generated words",23,IF(J37="word definition pairs",24,IF(J37="math problems",25,IF(J37="famous faces",26,IF(J37="famous names",27,IF(J37="famous voices",28,IF(J37="television programs",29,IF(J37="race horses",30,IF(J37="new vocabulary",31,IF(J37="sentences",32,IF(J37="concepts",33,IF(J37="ad slides",34,IF(J37="scenes",35,IF(J37="famous scenes",36,IF(J37="poems",37,IF(J37="walk",38,IF(J37="faces and events",39,IF(J37="events and names",40,IF(J37="flashbulb",41,IF(J37="stories",42,IF(J37="course material",43,IF(J37="autobiographical",44,IF(J37="novels",45,IF(J37="public events",46,"99"))))))))))))))))))))))))))))))))))))))))))))))</f>
        <v>13</v>
      </c>
      <c r="L37" s="69">
        <f>IF(J37="syllables",1,IF(J37="trigrams",1,IF(J37="strings",1,IF(J37="visual array",1,IF(J37="characters",1,IF(J37="letters",1,IF(J37="free forms",1,IF(J37="odors",2,IF(J37="words",2,IF(J37="pictures",2,IF(J37="object pictures",2,IF(J37="faces",2,IF(J37="names",2,IF(J37="idioms","2",IF(J37="grades",2,IF(J37="syllable-digit pairs",3,IF(J37="trigram-word pairs",3,IF(J37="word-digit pairs",3,IF(J37="English-Swahili pairs",3,IF(J37="spatial position",3,IF(J37="word pairs",4,IF(J37="word triads",4,IF(J37="generated words",4,IF(J37="word definition pairs",4,IF(J37="math problems",4,IF(J37="famous faces",4,IF(J37="famous names",4,IF(J37="famous voices",4,IF(J37="television programs",4,IF(J37="race horses",4,IF(J37="new vocabulary",4,IF(J37="sentences",5,IF(J37="concepts",5,IF(J37="ad slides",5,IF(J37="scenes",5,IF(J37="famous scenes",5,IF(J37="poems",6,IF(J37="walk",6,IF(J37="faces and events",6,IF(J37="events and names",6,IF(J37="flashbulb",7,IF(J37="stories",7,IF(J37="course material",7,IF(J37="autobiographical",7,IF(J37="novels",7,IF(J37="public events",7,"99"))))))))))))))))))))))))))))))))))))))))))))))</f>
        <v>2</v>
      </c>
      <c r="M37" s="69">
        <v>1</v>
      </c>
      <c r="N37" s="69">
        <v>2</v>
      </c>
      <c r="O37" s="69">
        <v>0</v>
      </c>
      <c r="P37" s="69"/>
      <c r="Q37" s="92" t="s">
        <v>174</v>
      </c>
      <c r="R37" s="69">
        <f>IF(Q37="Free Recall",1,IF(Q37="Cued Recall",2,IF(Q37="Recognition",3,IF(Q37="Multiple Choice",4,IF(Q37="Savings",5,IF(Q37="Stem Completion",6,IF(Q37="Fragment Completion",7,IF(Q37="anagram solution",8,IF(Q37="Matching",9,IF(Q37="Problem Solving",10,"99"))))))))))</f>
        <v>1</v>
      </c>
      <c r="S37" s="69" t="s">
        <v>15</v>
      </c>
      <c r="T37" s="69" t="s">
        <v>261</v>
      </c>
      <c r="U37" s="69">
        <f>IF(T37="within",1,0)</f>
        <v>0</v>
      </c>
      <c r="V37" s="69">
        <v>30</v>
      </c>
      <c r="W37" s="69">
        <f>F37*V37</f>
        <v>25530</v>
      </c>
      <c r="X37" s="69">
        <v>9</v>
      </c>
      <c r="Y37" s="87">
        <f>AV36</f>
        <v>86400</v>
      </c>
      <c r="Z37" s="69" t="s">
        <v>207</v>
      </c>
      <c r="AA37" s="69">
        <v>1450656000</v>
      </c>
      <c r="AB37" s="69" t="str">
        <f>IF(AA37&lt;60,"1",IF(AA37&lt;=43200,"2",IF(AA37&lt;=777600,"3","4")))</f>
        <v>4</v>
      </c>
      <c r="AC37" s="72">
        <f>AVERAGE(AV36:DA36)</f>
        <v>462829600</v>
      </c>
      <c r="AD37" s="69" t="str">
        <f>IF(AC37&lt;60,"1",IF(AC37&lt;=43200,"2",IF(AC37&lt;=777600,"3","4")))</f>
        <v>4</v>
      </c>
      <c r="AE37" s="87">
        <f>AA37-Y37</f>
        <v>1450569600</v>
      </c>
      <c r="AF37" s="88">
        <f>AV37</f>
        <v>0.99399999999999999</v>
      </c>
      <c r="AG37" s="72">
        <f>((AW37-AV37)+(AX37-AW37)+(AY37-AX37)+(AZ37-AY37)+(BA37-AZ37)+(BB37-BA37)+(BC37-BB37)+(BD37-BC37))/8</f>
        <v>-7.7250000000000013E-2</v>
      </c>
      <c r="AH37" s="4"/>
      <c r="AI37" s="72">
        <f>RSQ(AV37:BD37,AV36:BD36)</f>
        <v>0.6847293458448428</v>
      </c>
      <c r="AJ37" s="110">
        <f>SLOPE(AV37:BD37,AV36:BD36)</f>
        <v>-3.5752146357956833E-10</v>
      </c>
      <c r="AK37" s="72">
        <f>INTERCEPT(AV37:BD37,AV36:BD36)</f>
        <v>0.78680484931327943</v>
      </c>
      <c r="AL37" s="72">
        <f>INDEX(LINEST(LN(AV37:BD37),LN(AV36:BD36),TRUE,TRUE),3,1)</f>
        <v>0.72399896613077253</v>
      </c>
      <c r="AM37" s="72">
        <f>INDEX(LINEST(LN(AV37:BD37),LN(AV36:BD36)),1)</f>
        <v>-9.2441845506879464E-2</v>
      </c>
      <c r="AN37" s="72">
        <f>EXP(INDEX(LINEST(LN(AV37:BD37),LN(AV36:BD36)),1,2))</f>
        <v>3.3321829699183336</v>
      </c>
      <c r="AO37" s="89">
        <f>INDEX(LINEST((AV37:BD37),LN(AV36:BD36),TRUE,TRUE),3,1)</f>
        <v>0.80871389901669877</v>
      </c>
      <c r="AP37" s="89">
        <f>INDEX(LINEST((AV37:BD37),LN(AV36:BD36)),1)</f>
        <v>-6.2700779467482787E-2</v>
      </c>
      <c r="AQ37" s="90">
        <f>INDEX(LINEST(LN(AV37:BD37),SQRT(AV36:BD36),TRUE,TRUE),3,1)</f>
        <v>0.94692767506012832</v>
      </c>
      <c r="AR37" s="117">
        <f>INDEX(LINEST(LN(AV37:BD37),SQRT((AV36:BD36))),1)</f>
        <v>-2.6145947618388683E-5</v>
      </c>
      <c r="AS37" s="91">
        <f>INDEX(LINEST(1/(AV37:BD37),1/(SQRT(AV36:BD36)),TRUE,TRUE),3,1)</f>
        <v>0.30428947035329978</v>
      </c>
      <c r="AT37" s="91">
        <f>INDEX(LINEST(1/(AV37:BD37),1/SQRT(AV36:BD36)),1)</f>
        <v>-268.51150728266498</v>
      </c>
      <c r="AU37" s="3"/>
      <c r="AV37" s="73">
        <v>0.99399999999999999</v>
      </c>
      <c r="AW37" s="73">
        <v>0.874</v>
      </c>
      <c r="AX37" s="73">
        <v>0.70299999999999996</v>
      </c>
      <c r="AY37" s="73">
        <v>0.65600000000000003</v>
      </c>
      <c r="AZ37" s="73">
        <v>0.499</v>
      </c>
      <c r="BA37" s="73">
        <v>0.56299999999999994</v>
      </c>
      <c r="BB37" s="73">
        <v>0.49099999999999999</v>
      </c>
      <c r="BC37" s="73">
        <v>0.436</v>
      </c>
      <c r="BD37" s="73">
        <v>0.376</v>
      </c>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1"/>
      <c r="CS37" s="1"/>
      <c r="CT37" s="1"/>
      <c r="CU37" s="1"/>
    </row>
    <row r="38" spans="1:99" s="13" customFormat="1" ht="12" customHeight="1" x14ac:dyDescent="0.2">
      <c r="A38" s="68">
        <v>43509</v>
      </c>
      <c r="B38" s="70"/>
      <c r="C38" s="70"/>
      <c r="D38" s="69"/>
      <c r="E38" s="87"/>
      <c r="F38" s="69"/>
      <c r="G38" s="69"/>
      <c r="H38" s="69"/>
      <c r="I38" s="69"/>
      <c r="J38" s="69"/>
      <c r="K38" s="107"/>
      <c r="L38" s="107"/>
      <c r="M38" s="69"/>
      <c r="N38" s="69"/>
      <c r="O38" s="69"/>
      <c r="P38" s="69"/>
      <c r="Q38" s="69"/>
      <c r="R38" s="69"/>
      <c r="S38" s="69"/>
      <c r="T38" s="69"/>
      <c r="U38" s="69"/>
      <c r="V38" s="69"/>
      <c r="W38" s="69"/>
      <c r="X38" s="69"/>
      <c r="Y38" s="87"/>
      <c r="Z38" s="69"/>
      <c r="AA38" s="69"/>
      <c r="AB38" s="69"/>
      <c r="AC38" s="69"/>
      <c r="AD38" s="69"/>
      <c r="AE38" s="69"/>
      <c r="AF38" s="88"/>
      <c r="AG38" s="72"/>
      <c r="AH38" s="4"/>
      <c r="AI38" s="72"/>
      <c r="AJ38" s="110"/>
      <c r="AK38" s="72"/>
      <c r="AL38" s="72"/>
      <c r="AM38" s="72"/>
      <c r="AN38" s="72"/>
      <c r="AO38" s="72"/>
      <c r="AP38" s="72"/>
      <c r="AQ38" s="89"/>
      <c r="AR38" s="118"/>
      <c r="AS38" s="89"/>
      <c r="AT38" s="89"/>
      <c r="AU38" s="3"/>
      <c r="AV38" s="71">
        <f>24*60*60</f>
        <v>86400</v>
      </c>
      <c r="AW38" s="71">
        <f>365*24*60*60*14/12</f>
        <v>36792000</v>
      </c>
      <c r="AX38" s="71">
        <f>365*24*60*60*44/12</f>
        <v>115632000</v>
      </c>
      <c r="AY38" s="71">
        <f>365*24*60*60*76/12</f>
        <v>199728000</v>
      </c>
      <c r="AZ38" s="71">
        <f>365*24*60*60*126/12</f>
        <v>331128000</v>
      </c>
      <c r="BA38" s="71">
        <f>365*24*60*60*179/12</f>
        <v>470412000</v>
      </c>
      <c r="BB38" s="71">
        <f>365*24*60*60*249/12</f>
        <v>654372000</v>
      </c>
      <c r="BC38" s="71">
        <f>365*24*60*60*341/12</f>
        <v>896148000</v>
      </c>
      <c r="BD38" s="71">
        <f>365*24*60*60*556/12</f>
        <v>1461168000</v>
      </c>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1"/>
      <c r="CS38" s="1"/>
      <c r="CT38" s="1"/>
      <c r="CU38" s="1"/>
    </row>
    <row r="39" spans="1:99" s="13" customFormat="1" ht="12" customHeight="1" x14ac:dyDescent="0.2">
      <c r="A39" s="68">
        <v>43509</v>
      </c>
      <c r="B39" s="70" t="s">
        <v>205</v>
      </c>
      <c r="C39" s="70" t="s">
        <v>206</v>
      </c>
      <c r="D39" s="69">
        <v>1983</v>
      </c>
      <c r="E39" s="87">
        <v>1</v>
      </c>
      <c r="F39" s="69">
        <v>851</v>
      </c>
      <c r="G39" s="69">
        <v>106.4</v>
      </c>
      <c r="H39" s="69" t="s">
        <v>232</v>
      </c>
      <c r="I39" s="69" t="s">
        <v>604</v>
      </c>
      <c r="J39" s="69" t="s">
        <v>599</v>
      </c>
      <c r="K39" s="69">
        <f>IF(J39="syllables",1,IF(J39="trigrams",2,IF(J39="strings",3,IF(J39="visual array",4,IF(J39="characters",5,IF(J39="letters",6,IF(J39="free forms",7,IF(J39="odors",8,IF(J39="words",9,IF(J39="pictures",10,IF(J39="object pictures",11,IF(J39="faces",12,IF(J39="names",13,IF(J39="idioms",14,IF(J39="grades",15,IF(J39="syllable-digit pairs",16,IF(J39="trigram-word pairs",17,IF(J39="word-digit pairs",18,IF(J39="English-Swahili pairs",19,IF(J39="spatial position",20,IF(J39="word pairs",21,IF(J39="word triads",22,IF(J39="generated words",23,IF(J39="word definition pairs",24,IF(J39="math problems",25,IF(J39="famous faces",26,IF(J39="famous names",27,IF(J39="famous voices",28,IF(J39="television programs",29,IF(J39="race horses",30,IF(J39="new vocabulary",31,IF(J39="sentences",32,IF(J39="concepts",33,IF(J39="ad slides",34,IF(J39="scenes",35,IF(J39="famous scenes",36,IF(J39="poems",37,IF(J39="walk",38,IF(J39="faces and events",39,IF(J39="events and names",40,IF(J39="flashbulb",41,IF(J39="stories",42,IF(J39="course material",43,IF(J39="autobiographical",44,IF(J39="novels",45,IF(J39="public events",46,"99"))))))))))))))))))))))))))))))))))))))))))))))</f>
        <v>13</v>
      </c>
      <c r="L39" s="69">
        <f>IF(J39="syllables",1,IF(J39="trigrams",1,IF(J39="strings",1,IF(J39="visual array",1,IF(J39="characters",1,IF(J39="letters",1,IF(J39="free forms",1,IF(J39="odors",2,IF(J39="words",2,IF(J39="pictures",2,IF(J39="object pictures",2,IF(J39="faces",2,IF(J39="names",2,IF(J39="idioms","2",IF(J39="grades",2,IF(J39="syllable-digit pairs",3,IF(J39="trigram-word pairs",3,IF(J39="word-digit pairs",3,IF(J39="English-Swahili pairs",3,IF(J39="spatial position",3,IF(J39="word pairs",4,IF(J39="word triads",4,IF(J39="generated words",4,IF(J39="word definition pairs",4,IF(J39="math problems",4,IF(J39="famous faces",4,IF(J39="famous names",4,IF(J39="famous voices",4,IF(J39="television programs",4,IF(J39="race horses",4,IF(J39="new vocabulary",4,IF(J39="sentences",5,IF(J39="concepts",5,IF(J39="ad slides",5,IF(J39="scenes",5,IF(J39="famous scenes",5,IF(J39="poems",6,IF(J39="walk",6,IF(J39="faces and events",6,IF(J39="events and names",6,IF(J39="flashbulb",7,IF(J39="stories",7,IF(J39="course material",7,IF(J39="autobiographical",7,IF(J39="novels",7,IF(J39="public events",7,"99"))))))))))))))))))))))))))))))))))))))))))))))</f>
        <v>2</v>
      </c>
      <c r="M39" s="69">
        <v>1</v>
      </c>
      <c r="N39" s="69">
        <v>2</v>
      </c>
      <c r="O39" s="69">
        <v>0</v>
      </c>
      <c r="P39" s="69"/>
      <c r="Q39" s="69" t="s">
        <v>133</v>
      </c>
      <c r="R39" s="69">
        <f>IF(Q39="Free Recall",1,IF(Q39="Cued Recall",2,IF(Q39="Recognition",3,IF(Q39="Multiple Choice",4,IF(Q39="Savings",5,IF(Q39="Stem Completion",6,IF(Q39="Fragment Completion",7,IF(Q39="anagram solution",8,IF(Q39="Matching",9,IF(Q39="Problem Solving",10,"99"))))))))))</f>
        <v>9</v>
      </c>
      <c r="S39" s="69" t="s">
        <v>15</v>
      </c>
      <c r="T39" s="69" t="s">
        <v>261</v>
      </c>
      <c r="U39" s="69">
        <f>IF(T39="within",1,0)</f>
        <v>0</v>
      </c>
      <c r="V39" s="69">
        <v>13</v>
      </c>
      <c r="W39" s="69">
        <f>F39*V39</f>
        <v>11063</v>
      </c>
      <c r="X39" s="69">
        <v>9</v>
      </c>
      <c r="Y39" s="87">
        <f>AV38</f>
        <v>86400</v>
      </c>
      <c r="Z39" s="69" t="s">
        <v>207</v>
      </c>
      <c r="AA39" s="69">
        <v>1450656000</v>
      </c>
      <c r="AB39" s="69" t="str">
        <f>IF(AA39&lt;60,"1",IF(AA39&lt;=43200,"2",IF(AA39&lt;=777600,"3","4")))</f>
        <v>4</v>
      </c>
      <c r="AC39" s="72">
        <f>AVERAGE(AV38:DA38)</f>
        <v>462829600</v>
      </c>
      <c r="AD39" s="69" t="str">
        <f>IF(AC39&lt;60,"1",IF(AC39&lt;=43200,"2",IF(AC39&lt;=777600,"3","4")))</f>
        <v>4</v>
      </c>
      <c r="AE39" s="87">
        <f>AA39-Y39</f>
        <v>1450569600</v>
      </c>
      <c r="AF39" s="88">
        <f>AV39</f>
        <v>0.997</v>
      </c>
      <c r="AG39" s="72">
        <f>((AW39-AV39)+(AX39-AW39)+(AY39-AX39)+(AZ39-AY39)+(BA39-AZ39)+(BB39-BA39)+(BC39-BB39)+(BD39-BC39))/8</f>
        <v>-5.1250000000000004E-2</v>
      </c>
      <c r="AH39" s="4"/>
      <c r="AI39" s="72">
        <f>RSQ(AV39:BD39,AV38:BD38)</f>
        <v>0.78786692554679372</v>
      </c>
      <c r="AJ39" s="110">
        <f>SLOPE(AV39:BD39,AV38:BD38)</f>
        <v>-2.5862197692865627E-10</v>
      </c>
      <c r="AK39" s="72">
        <f>INTERCEPT(AV39:BD39,AV38:BD38)</f>
        <v>0.90625346168865473</v>
      </c>
      <c r="AL39" s="72">
        <f>INDEX(LINEST(LN(AV39:BD39),LN(AV38:BD38),TRUE,TRUE),3,1)</f>
        <v>0.64206358255766494</v>
      </c>
      <c r="AM39" s="72">
        <f>INDEX(LINEST(LN(AV39:BD39),LN(AV38:BD38)),1)</f>
        <v>-4.7938234961320811E-2</v>
      </c>
      <c r="AN39" s="72">
        <f>EXP(INDEX(LINEST(LN(AV39:BD39),LN(AV38:BD38)),1,2))</f>
        <v>1.8987842291536425</v>
      </c>
      <c r="AO39" s="89">
        <f>INDEX(LINEST((AV39:BD39),LN(AV38:BD38),TRUE,TRUE),3,1)</f>
        <v>0.68660833014041656</v>
      </c>
      <c r="AP39" s="89">
        <f>INDEX(LINEST((AV39:BD39),LN(AV38:BD38)),1)</f>
        <v>-3.8960665250170182E-2</v>
      </c>
      <c r="AQ39" s="90">
        <f>INDEX(LINEST(LN(AV39:BD39),SQRT(AV38:BD38),TRUE,TRUE),3,1)</f>
        <v>0.95332375297028593</v>
      </c>
      <c r="AR39" s="117">
        <f>INDEX(LINEST(LN(AV39:BD39),SQRT((AV38:BD38))),1)</f>
        <v>-1.4446398006289651E-5</v>
      </c>
      <c r="AS39" s="91">
        <f>INDEX(LINEST(1/(AV39:BD39),1/(SQRT(AV38:BD38)),TRUE,TRUE),3,1)</f>
        <v>0.2734270381758922</v>
      </c>
      <c r="AT39" s="91">
        <f>INDEX(LINEST(1/(AV39:BD39),1/SQRT(AV38:BD38)),1)</f>
        <v>-108.33422041556456</v>
      </c>
      <c r="AU39" s="3"/>
      <c r="AV39" s="73">
        <v>0.997</v>
      </c>
      <c r="AW39" s="73">
        <v>0.95399999999999996</v>
      </c>
      <c r="AX39" s="73">
        <v>0.89700000000000002</v>
      </c>
      <c r="AY39" s="73">
        <v>0.82099999999999995</v>
      </c>
      <c r="AZ39" s="73">
        <v>0.73799999999999999</v>
      </c>
      <c r="BA39" s="73">
        <v>0.72399999999999998</v>
      </c>
      <c r="BB39" s="73">
        <v>0.66400000000000003</v>
      </c>
      <c r="BC39" s="73">
        <v>0.69699999999999995</v>
      </c>
      <c r="BD39" s="73">
        <v>0.58699999999999997</v>
      </c>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1"/>
      <c r="CS39" s="1"/>
      <c r="CT39" s="1"/>
      <c r="CU39" s="1"/>
    </row>
    <row r="40" spans="1:99" s="13" customFormat="1" ht="12" customHeight="1" x14ac:dyDescent="0.2">
      <c r="A40" s="68">
        <v>43509</v>
      </c>
      <c r="B40" s="70"/>
      <c r="C40" s="70"/>
      <c r="D40" s="69"/>
      <c r="E40" s="87"/>
      <c r="F40" s="69"/>
      <c r="G40" s="69"/>
      <c r="H40" s="69"/>
      <c r="I40" s="69"/>
      <c r="J40" s="69"/>
      <c r="K40" s="107"/>
      <c r="L40" s="107"/>
      <c r="M40" s="69"/>
      <c r="N40" s="69"/>
      <c r="O40" s="69"/>
      <c r="P40" s="69"/>
      <c r="Q40" s="69"/>
      <c r="R40" s="69"/>
      <c r="S40" s="69"/>
      <c r="T40" s="69"/>
      <c r="U40" s="69"/>
      <c r="V40" s="69"/>
      <c r="W40" s="69"/>
      <c r="X40" s="69"/>
      <c r="Y40" s="87"/>
      <c r="Z40" s="69"/>
      <c r="AA40" s="69"/>
      <c r="AB40" s="69"/>
      <c r="AC40" s="69"/>
      <c r="AD40" s="69"/>
      <c r="AE40" s="69"/>
      <c r="AF40" s="88"/>
      <c r="AG40" s="72"/>
      <c r="AH40" s="4"/>
      <c r="AI40" s="72"/>
      <c r="AJ40" s="110"/>
      <c r="AK40" s="72"/>
      <c r="AL40" s="72"/>
      <c r="AM40" s="72"/>
      <c r="AN40" s="72"/>
      <c r="AO40" s="72"/>
      <c r="AP40" s="72"/>
      <c r="AQ40" s="89"/>
      <c r="AR40" s="118"/>
      <c r="AS40" s="89"/>
      <c r="AT40" s="89"/>
      <c r="AU40" s="3"/>
      <c r="AV40" s="71">
        <f>24*60*60</f>
        <v>86400</v>
      </c>
      <c r="AW40" s="71">
        <f>365*24*60*60*14/12</f>
        <v>36792000</v>
      </c>
      <c r="AX40" s="71">
        <f>365*24*60*60*44/12</f>
        <v>115632000</v>
      </c>
      <c r="AY40" s="71">
        <f>365*24*60*60*76/12</f>
        <v>199728000</v>
      </c>
      <c r="AZ40" s="71">
        <f>365*24*60*60*126/12</f>
        <v>331128000</v>
      </c>
      <c r="BA40" s="71">
        <f>365*24*60*60*179/12</f>
        <v>470412000</v>
      </c>
      <c r="BB40" s="71">
        <f>365*24*60*60*249/12</f>
        <v>654372000</v>
      </c>
      <c r="BC40" s="71">
        <f>365*24*60*60*341/12</f>
        <v>896148000</v>
      </c>
      <c r="BD40" s="71">
        <f>365*24*60*60*556/12</f>
        <v>1461168000</v>
      </c>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1"/>
      <c r="CS40" s="1"/>
      <c r="CT40" s="1"/>
      <c r="CU40" s="1"/>
    </row>
    <row r="41" spans="1:99" s="13" customFormat="1" ht="12" customHeight="1" x14ac:dyDescent="0.2">
      <c r="A41" s="68">
        <v>43509</v>
      </c>
      <c r="B41" s="70" t="s">
        <v>205</v>
      </c>
      <c r="C41" s="70" t="s">
        <v>206</v>
      </c>
      <c r="D41" s="69">
        <v>1983</v>
      </c>
      <c r="E41" s="87">
        <v>1</v>
      </c>
      <c r="F41" s="69">
        <v>851</v>
      </c>
      <c r="G41" s="69">
        <v>106.4</v>
      </c>
      <c r="H41" s="69" t="s">
        <v>232</v>
      </c>
      <c r="I41" s="69" t="s">
        <v>605</v>
      </c>
      <c r="J41" s="69" t="s">
        <v>599</v>
      </c>
      <c r="K41" s="69">
        <f>IF(J41="syllables",1,IF(J41="trigrams",2,IF(J41="strings",3,IF(J41="visual array",4,IF(J41="characters",5,IF(J41="letters",6,IF(J41="free forms",7,IF(J41="odors",8,IF(J41="words",9,IF(J41="pictures",10,IF(J41="object pictures",11,IF(J41="faces",12,IF(J41="names",13,IF(J41="idioms",14,IF(J41="grades",15,IF(J41="syllable-digit pairs",16,IF(J41="trigram-word pairs",17,IF(J41="word-digit pairs",18,IF(J41="English-Swahili pairs",19,IF(J41="spatial position",20,IF(J41="word pairs",21,IF(J41="word triads",22,IF(J41="generated words",23,IF(J41="word definition pairs",24,IF(J41="math problems",25,IF(J41="famous faces",26,IF(J41="famous names",27,IF(J41="famous voices",28,IF(J41="television programs",29,IF(J41="race horses",30,IF(J41="new vocabulary",31,IF(J41="sentences",32,IF(J41="concepts",33,IF(J41="ad slides",34,IF(J41="scenes",35,IF(J41="famous scenes",36,IF(J41="poems",37,IF(J41="walk",38,IF(J41="faces and events",39,IF(J41="events and names",40,IF(J41="flashbulb",41,IF(J41="stories",42,IF(J41="course material",43,IF(J41="autobiographical",44,IF(J41="novels",45,IF(J41="public events",46,"99"))))))))))))))))))))))))))))))))))))))))))))))</f>
        <v>13</v>
      </c>
      <c r="L41" s="69">
        <f>IF(J41="syllables",1,IF(J41="trigrams",1,IF(J41="strings",1,IF(J41="visual array",1,IF(J41="characters",1,IF(J41="letters",1,IF(J41="free forms",1,IF(J41="odors",2,IF(J41="words",2,IF(J41="pictures",2,IF(J41="object pictures",2,IF(J41="faces",2,IF(J41="names",2,IF(J41="idioms","2",IF(J41="grades",2,IF(J41="syllable-digit pairs",3,IF(J41="trigram-word pairs",3,IF(J41="word-digit pairs",3,IF(J41="English-Swahili pairs",3,IF(J41="spatial position",3,IF(J41="word pairs",4,IF(J41="word triads",4,IF(J41="generated words",4,IF(J41="word definition pairs",4,IF(J41="math problems",4,IF(J41="famous faces",4,IF(J41="famous names",4,IF(J41="famous voices",4,IF(J41="television programs",4,IF(J41="race horses",4,IF(J41="new vocabulary",4,IF(J41="sentences",5,IF(J41="concepts",5,IF(J41="ad slides",5,IF(J41="scenes",5,IF(J41="famous scenes",5,IF(J41="poems",6,IF(J41="walk",6,IF(J41="faces and events",6,IF(J41="events and names",6,IF(J41="flashbulb",7,IF(J41="stories",7,IF(J41="course material",7,IF(J41="autobiographical",7,IF(J41="novels",7,IF(J41="public events",7,"99"))))))))))))))))))))))))))))))))))))))))))))))</f>
        <v>2</v>
      </c>
      <c r="M41" s="69">
        <v>1</v>
      </c>
      <c r="N41" s="69">
        <v>2</v>
      </c>
      <c r="O41" s="69">
        <v>0</v>
      </c>
      <c r="P41" s="69"/>
      <c r="Q41" s="69" t="s">
        <v>65</v>
      </c>
      <c r="R41" s="69">
        <f>IF(Q41="Free Recall",1,IF(Q41="Cued Recall",2,IF(Q41="Recognition",3,IF(Q41="Multiple Choice",4,IF(Q41="Savings",5,IF(Q41="Stem Completion",6,IF(Q41="Fragment Completion",7,IF(Q41="anagram solution",8,IF(Q41="Matching",9,IF(Q41="Problem Solving",10,"99"))))))))))</f>
        <v>2</v>
      </c>
      <c r="S41" s="69" t="s">
        <v>15</v>
      </c>
      <c r="T41" s="69" t="s">
        <v>261</v>
      </c>
      <c r="U41" s="69">
        <f>IF(T41="within",1,0)</f>
        <v>0</v>
      </c>
      <c r="V41" s="69">
        <v>13</v>
      </c>
      <c r="W41" s="69">
        <f>F41*V41</f>
        <v>11063</v>
      </c>
      <c r="X41" s="69">
        <v>9</v>
      </c>
      <c r="Y41" s="87">
        <f>AV40</f>
        <v>86400</v>
      </c>
      <c r="Z41" s="69" t="s">
        <v>207</v>
      </c>
      <c r="AA41" s="69">
        <v>1450656000</v>
      </c>
      <c r="AB41" s="69" t="str">
        <f>IF(AA41&lt;60,"1",IF(AA41&lt;=43200,"2",IF(AA41&lt;=777600,"3","4")))</f>
        <v>4</v>
      </c>
      <c r="AC41" s="72">
        <f>AVERAGE(AV40:DA40)</f>
        <v>462829600</v>
      </c>
      <c r="AD41" s="69" t="str">
        <f>IF(AC41&lt;60,"1",IF(AC41&lt;=43200,"2",IF(AC41&lt;=777600,"3","4")))</f>
        <v>4</v>
      </c>
      <c r="AE41" s="87">
        <f>AA41-Y41</f>
        <v>1450569600</v>
      </c>
      <c r="AF41" s="88">
        <f>AV41</f>
        <v>0.996</v>
      </c>
      <c r="AG41" s="72">
        <f>((AW41-AV41)+(AX41-AW41)+(AY41-AX41)+(AZ41-AY41)+(BA41-AZ41)+(BB41-BA41)+(BC41-BB41)+(BD41-BC41))/8</f>
        <v>-9.0124999999999983E-2</v>
      </c>
      <c r="AH41" s="4"/>
      <c r="AI41" s="72">
        <f>RSQ(AV41:BD41,AV40:BD40)</f>
        <v>0.57142225903063404</v>
      </c>
      <c r="AJ41" s="110">
        <f>SLOPE(AV41:BD41,AV40:BD40)</f>
        <v>-4.0303916651224E-10</v>
      </c>
      <c r="AK41" s="72">
        <f>INTERCEPT(AV41:BD41,AV40:BD40)</f>
        <v>0.69487178955452678</v>
      </c>
      <c r="AL41" s="72">
        <f>INDEX(LINEST(LN(AV41:BD41),LN(AV40:BD40),TRUE,TRUE),3,1)</f>
        <v>0.76202673095763607</v>
      </c>
      <c r="AM41" s="72">
        <f>INDEX(LINEST(LN(AV41:BD41),LN(AV40:BD40)),1)</f>
        <v>-0.13542522044117383</v>
      </c>
      <c r="AN41" s="72">
        <f>EXP(INDEX(LINEST(LN(AV41:BD41),LN(AV40:BD40)),1,2))</f>
        <v>5.7735756375403362</v>
      </c>
      <c r="AO41" s="89">
        <f>INDEX(LINEST((AV41:BD41),LN(AV40:BD40),TRUE,TRUE),3,1)</f>
        <v>0.84737693079151122</v>
      </c>
      <c r="AP41" s="89">
        <f>INDEX(LINEST((AV41:BD41),LN(AV40:BD40)),1)</f>
        <v>-7.9202671511385297E-2</v>
      </c>
      <c r="AQ41" s="90">
        <f>INDEX(LINEST(LN(AV41:BD41),SQRT(AV40:BD40),TRUE,TRUE),3,1)</f>
        <v>0.91421187326910613</v>
      </c>
      <c r="AR41" s="117">
        <f>INDEX(LINEST(LN(AV41:BD41),SQRT((AV40:BD40))),1)</f>
        <v>-3.668463688848618E-5</v>
      </c>
      <c r="AS41" s="91">
        <f>INDEX(LINEST(1/(AV41:BD41),1/(SQRT(AV40:BD40)),TRUE,TRUE),3,1)</f>
        <v>0.32043764481855663</v>
      </c>
      <c r="AT41" s="91">
        <f>INDEX(LINEST(1/(AV41:BD41),1/SQRT(AV40:BD40)),1)</f>
        <v>-483.33362682527468</v>
      </c>
      <c r="AU41" s="3"/>
      <c r="AV41" s="73">
        <v>0.996</v>
      </c>
      <c r="AW41" s="73">
        <v>0.83899999999999997</v>
      </c>
      <c r="AX41" s="73">
        <v>0.56899999999999995</v>
      </c>
      <c r="AY41" s="73">
        <v>0.51400000000000001</v>
      </c>
      <c r="AZ41" s="73">
        <v>0.376</v>
      </c>
      <c r="BA41" s="73">
        <v>0.39700000000000002</v>
      </c>
      <c r="BB41" s="73">
        <v>0.314</v>
      </c>
      <c r="BC41" s="73">
        <v>0.29499999999999998</v>
      </c>
      <c r="BD41" s="73">
        <v>0.27500000000000002</v>
      </c>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1"/>
      <c r="CS41" s="1"/>
      <c r="CT41" s="1"/>
      <c r="CU41" s="1"/>
    </row>
    <row r="42" spans="1:99" s="13" customFormat="1" ht="12" customHeight="1" x14ac:dyDescent="0.2">
      <c r="A42" s="68">
        <v>43509</v>
      </c>
      <c r="B42" s="70"/>
      <c r="C42" s="70"/>
      <c r="D42" s="69"/>
      <c r="E42" s="87"/>
      <c r="F42" s="69"/>
      <c r="G42" s="69"/>
      <c r="H42" s="69"/>
      <c r="I42" s="69"/>
      <c r="J42" s="69"/>
      <c r="K42" s="107"/>
      <c r="L42" s="107"/>
      <c r="M42" s="69"/>
      <c r="N42" s="69"/>
      <c r="O42" s="69"/>
      <c r="P42" s="69"/>
      <c r="Q42" s="69"/>
      <c r="R42" s="69"/>
      <c r="S42" s="69"/>
      <c r="T42" s="69"/>
      <c r="U42" s="69"/>
      <c r="V42" s="69"/>
      <c r="W42" s="69"/>
      <c r="X42" s="69"/>
      <c r="Y42" s="87"/>
      <c r="Z42" s="69"/>
      <c r="AA42" s="69"/>
      <c r="AB42" s="69"/>
      <c r="AC42" s="69"/>
      <c r="AD42" s="69"/>
      <c r="AE42" s="69"/>
      <c r="AF42" s="88"/>
      <c r="AG42" s="72"/>
      <c r="AH42" s="4"/>
      <c r="AI42" s="72"/>
      <c r="AJ42" s="110"/>
      <c r="AK42" s="72"/>
      <c r="AL42" s="72"/>
      <c r="AM42" s="72"/>
      <c r="AN42" s="72"/>
      <c r="AO42" s="72"/>
      <c r="AP42" s="72"/>
      <c r="AQ42" s="89"/>
      <c r="AR42" s="118"/>
      <c r="AS42" s="89"/>
      <c r="AT42" s="89"/>
      <c r="AU42" s="3"/>
      <c r="AV42" s="71">
        <f>24*60*60</f>
        <v>86400</v>
      </c>
      <c r="AW42" s="71">
        <f>365*24*60*60*14/12</f>
        <v>36792000</v>
      </c>
      <c r="AX42" s="71">
        <f>365*24*60*60*44/12</f>
        <v>115632000</v>
      </c>
      <c r="AY42" s="71">
        <f>365*24*60*60*76/12</f>
        <v>199728000</v>
      </c>
      <c r="AZ42" s="71">
        <f>365*24*60*60*126/12</f>
        <v>331128000</v>
      </c>
      <c r="BA42" s="71">
        <f>365*24*60*60*179/12</f>
        <v>470412000</v>
      </c>
      <c r="BB42" s="71">
        <f>365*24*60*60*249/12</f>
        <v>654372000</v>
      </c>
      <c r="BC42" s="71">
        <f>365*24*60*60*341/12</f>
        <v>896148000</v>
      </c>
      <c r="BD42" s="71">
        <f>365*24*60*60*556/12</f>
        <v>1461168000</v>
      </c>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1"/>
      <c r="CS42" s="1"/>
      <c r="CT42" s="1"/>
      <c r="CU42" s="1"/>
    </row>
    <row r="43" spans="1:99" s="13" customFormat="1" ht="12" customHeight="1" x14ac:dyDescent="0.2">
      <c r="A43" s="68">
        <v>43509</v>
      </c>
      <c r="B43" s="70" t="s">
        <v>205</v>
      </c>
      <c r="C43" s="70" t="s">
        <v>206</v>
      </c>
      <c r="D43" s="69">
        <v>1983</v>
      </c>
      <c r="E43" s="87">
        <v>1</v>
      </c>
      <c r="F43" s="69">
        <v>851</v>
      </c>
      <c r="G43" s="69">
        <v>106.4</v>
      </c>
      <c r="H43" s="69" t="s">
        <v>232</v>
      </c>
      <c r="I43" s="69" t="s">
        <v>606</v>
      </c>
      <c r="J43" s="69" t="s">
        <v>599</v>
      </c>
      <c r="K43" s="69">
        <f>IF(J43="syllables",1,IF(J43="trigrams",2,IF(J43="strings",3,IF(J43="visual array",4,IF(J43="characters",5,IF(J43="letters",6,IF(J43="free forms",7,IF(J43="odors",8,IF(J43="words",9,IF(J43="pictures",10,IF(J43="object pictures",11,IF(J43="faces",12,IF(J43="names",13,IF(J43="idioms",14,IF(J43="grades",15,IF(J43="syllable-digit pairs",16,IF(J43="trigram-word pairs",17,IF(J43="word-digit pairs",18,IF(J43="English-Swahili pairs",19,IF(J43="spatial position",20,IF(J43="word pairs",21,IF(J43="word triads",22,IF(J43="generated words",23,IF(J43="word definition pairs",24,IF(J43="math problems",25,IF(J43="famous faces",26,IF(J43="famous names",27,IF(J43="famous voices",28,IF(J43="television programs",29,IF(J43="race horses",30,IF(J43="new vocabulary",31,IF(J43="sentences",32,IF(J43="concepts",33,IF(J43="ad slides",34,IF(J43="scenes",35,IF(J43="famous scenes",36,IF(J43="poems",37,IF(J43="walk",38,IF(J43="faces and events",39,IF(J43="events and names",40,IF(J43="flashbulb",41,IF(J43="stories",42,IF(J43="course material",43,IF(J43="autobiographical",44,IF(J43="novels",45,IF(J43="public events",46,"99"))))))))))))))))))))))))))))))))))))))))))))))</f>
        <v>13</v>
      </c>
      <c r="L43" s="69">
        <f>IF(J43="syllables",1,IF(J43="trigrams",1,IF(J43="strings",1,IF(J43="visual array",1,IF(J43="characters",1,IF(J43="letters",1,IF(J43="free forms",1,IF(J43="odors",2,IF(J43="words",2,IF(J43="pictures",2,IF(J43="object pictures",2,IF(J43="faces",2,IF(J43="names",2,IF(J43="idioms","2",IF(J43="grades",2,IF(J43="syllable-digit pairs",3,IF(J43="trigram-word pairs",3,IF(J43="word-digit pairs",3,IF(J43="English-Swahili pairs",3,IF(J43="spatial position",3,IF(J43="word pairs",4,IF(J43="word triads",4,IF(J43="generated words",4,IF(J43="word definition pairs",4,IF(J43="math problems",4,IF(J43="famous faces",4,IF(J43="famous names",4,IF(J43="famous voices",4,IF(J43="television programs",4,IF(J43="race horses",4,IF(J43="new vocabulary",4,IF(J43="sentences",5,IF(J43="concepts",5,IF(J43="ad slides",5,IF(J43="scenes",5,IF(J43="famous scenes",5,IF(J43="poems",6,IF(J43="walk",6,IF(J43="faces and events",6,IF(J43="events and names",6,IF(J43="flashbulb",7,IF(J43="stories",7,IF(J43="course material",7,IF(J43="autobiographical",7,IF(J43="novels",7,IF(J43="public events",7,"99"))))))))))))))))))))))))))))))))))))))))))))))</f>
        <v>2</v>
      </c>
      <c r="M43" s="69">
        <v>1</v>
      </c>
      <c r="N43" s="69">
        <v>2</v>
      </c>
      <c r="O43" s="69">
        <v>0</v>
      </c>
      <c r="P43" s="69"/>
      <c r="Q43" s="92" t="s">
        <v>174</v>
      </c>
      <c r="R43" s="69">
        <f>IF(Q43="Free Recall",1,IF(Q43="Cued Recall",2,IF(Q43="Recognition",3,IF(Q43="Multiple Choice",4,IF(Q43="Savings",5,IF(Q43="Stem Completion",6,IF(Q43="Fragment Completion",7,IF(Q43="anagram solution",8,IF(Q43="Matching",9,IF(Q43="Problem Solving",10,"99"))))))))))</f>
        <v>1</v>
      </c>
      <c r="S43" s="69" t="s">
        <v>15</v>
      </c>
      <c r="T43" s="69" t="s">
        <v>261</v>
      </c>
      <c r="U43" s="69">
        <f>IF(T43="within",1,0)</f>
        <v>0</v>
      </c>
      <c r="V43" s="69">
        <v>30</v>
      </c>
      <c r="W43" s="69">
        <f>F43*V43</f>
        <v>25530</v>
      </c>
      <c r="X43" s="69">
        <v>9</v>
      </c>
      <c r="Y43" s="87">
        <f>AV42</f>
        <v>86400</v>
      </c>
      <c r="Z43" s="69" t="s">
        <v>207</v>
      </c>
      <c r="AA43" s="69">
        <v>1450656000</v>
      </c>
      <c r="AB43" s="69" t="str">
        <f>IF(AA43&lt;60,"1",IF(AA43&lt;=43200,"2",IF(AA43&lt;=777600,"3","4")))</f>
        <v>4</v>
      </c>
      <c r="AC43" s="72">
        <f>AVERAGE(AV42:DA42)</f>
        <v>462829600</v>
      </c>
      <c r="AD43" s="69" t="str">
        <f>IF(AC43&lt;60,"1",IF(AC43&lt;=43200,"2",IF(AC43&lt;=777600,"3","4")))</f>
        <v>4</v>
      </c>
      <c r="AE43" s="87">
        <f>AA43-Y43</f>
        <v>1450569600</v>
      </c>
      <c r="AF43" s="88">
        <f>AV43</f>
        <v>0.99399999999999999</v>
      </c>
      <c r="AG43" s="72">
        <f>((AW43-AV43)+(AX43-AW43)+(AY43-AX43)+(AZ43-AY43)+(BA43-AZ43)+(BB43-BA43)+(BC43-BB43)+(BD43-BC43))/8</f>
        <v>-0.104375</v>
      </c>
      <c r="AH43" s="4"/>
      <c r="AI43" s="72">
        <f>RSQ(AV43:BD43,AV42:BD42)</f>
        <v>0.69809147369778823</v>
      </c>
      <c r="AJ43" s="110">
        <f>SLOPE(AV43:BD43,AV42:BD42)</f>
        <v>-4.7111436885444136E-10</v>
      </c>
      <c r="AK43" s="72">
        <f>INTERCEPT(AV43:BD43,AV42:BD42)</f>
        <v>0.72349011933559793</v>
      </c>
      <c r="AL43" s="72">
        <f>INDEX(LINEST(LN(AV43:BD43),LN(AV42:BD42),TRUE,TRUE),3,1)</f>
        <v>0.6319618372249679</v>
      </c>
      <c r="AM43" s="72">
        <f>INDEX(LINEST(LN(AV43:BD43),LN(AV42:BD42)),1)</f>
        <v>-0.1519162661259072</v>
      </c>
      <c r="AN43" s="72">
        <f>EXP(INDEX(LINEST(LN(AV43:BD43),LN(AV42:BD42)),1,2))</f>
        <v>7.5437074359172724</v>
      </c>
      <c r="AO43" s="89">
        <f>INDEX(LINEST((AV43:BD43),LN(AV42:BD42),TRUE,TRUE),3,1)</f>
        <v>0.81049026268983804</v>
      </c>
      <c r="AP43" s="89">
        <f>INDEX(LINEST((AV43:BD43),LN(AV42:BD42)),1)</f>
        <v>-8.1917543695080433E-2</v>
      </c>
      <c r="AQ43" s="90">
        <f>INDEX(LINEST(LN(AV43:BD43),SQRT(AV42:BD42),TRUE,TRUE),3,1)</f>
        <v>0.94879896462809343</v>
      </c>
      <c r="AR43" s="117">
        <f>INDEX(LINEST(LN(AV43:BD43),SQRT((AV42:BD42))),1)</f>
        <v>-4.603544016601435E-5</v>
      </c>
      <c r="AS43" s="91">
        <f>INDEX(LINEST(1/(AV43:BD43),1/(SQRT(AV42:BD42)),TRUE,TRUE),3,1)</f>
        <v>0.16141383108260013</v>
      </c>
      <c r="AT43" s="91">
        <f>INDEX(LINEST(1/(AV43:BD43),1/SQRT(AV42:BD42)),1)</f>
        <v>-577.79907168568025</v>
      </c>
      <c r="AU43" s="3"/>
      <c r="AV43" s="73">
        <v>0.99399999999999999</v>
      </c>
      <c r="AW43" s="73">
        <v>0.80300000000000005</v>
      </c>
      <c r="AX43" s="73">
        <v>0.64900000000000002</v>
      </c>
      <c r="AY43" s="73">
        <v>0.56999999999999995</v>
      </c>
      <c r="AZ43" s="73">
        <v>0.378</v>
      </c>
      <c r="BA43" s="73">
        <v>0.35099999999999998</v>
      </c>
      <c r="BB43" s="73">
        <v>0.30199999999999999</v>
      </c>
      <c r="BC43" s="73">
        <v>0.34300000000000003</v>
      </c>
      <c r="BD43" s="73">
        <v>0.159</v>
      </c>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1"/>
      <c r="CS43" s="1"/>
      <c r="CT43" s="1"/>
      <c r="CU43" s="1"/>
    </row>
    <row r="44" spans="1:99" s="13" customFormat="1" ht="12" customHeight="1" x14ac:dyDescent="0.2">
      <c r="A44" s="68">
        <v>43509</v>
      </c>
      <c r="B44" s="70"/>
      <c r="C44" s="70"/>
      <c r="D44" s="69"/>
      <c r="E44" s="87"/>
      <c r="F44" s="69"/>
      <c r="G44" s="69"/>
      <c r="H44" s="69"/>
      <c r="I44" s="69"/>
      <c r="J44" s="69"/>
      <c r="K44" s="107"/>
      <c r="L44" s="107"/>
      <c r="M44" s="69"/>
      <c r="N44" s="69"/>
      <c r="O44" s="69"/>
      <c r="P44" s="69"/>
      <c r="Q44" s="69"/>
      <c r="R44" s="69"/>
      <c r="S44" s="69"/>
      <c r="T44" s="69"/>
      <c r="U44" s="69"/>
      <c r="V44" s="69"/>
      <c r="W44" s="69"/>
      <c r="X44" s="69"/>
      <c r="Y44" s="87"/>
      <c r="Z44" s="69"/>
      <c r="AA44" s="69"/>
      <c r="AB44" s="69"/>
      <c r="AC44" s="69"/>
      <c r="AD44" s="69"/>
      <c r="AE44" s="69"/>
      <c r="AF44" s="88"/>
      <c r="AG44" s="72"/>
      <c r="AH44" s="4"/>
      <c r="AI44" s="72"/>
      <c r="AJ44" s="110"/>
      <c r="AK44" s="72"/>
      <c r="AL44" s="72"/>
      <c r="AM44" s="72"/>
      <c r="AN44" s="72"/>
      <c r="AO44" s="72"/>
      <c r="AP44" s="72"/>
      <c r="AQ44" s="89"/>
      <c r="AR44" s="118"/>
      <c r="AS44" s="89"/>
      <c r="AT44" s="89"/>
      <c r="AU44" s="3"/>
      <c r="AV44" s="71">
        <f>24*60*60</f>
        <v>86400</v>
      </c>
      <c r="AW44" s="71">
        <f>365*24*60*60*14/12</f>
        <v>36792000</v>
      </c>
      <c r="AX44" s="71">
        <f>365*24*60*60*44/12</f>
        <v>115632000</v>
      </c>
      <c r="AY44" s="71">
        <f>365*24*60*60*76/12</f>
        <v>199728000</v>
      </c>
      <c r="AZ44" s="71">
        <f>365*24*60*60*126/12</f>
        <v>331128000</v>
      </c>
      <c r="BA44" s="71">
        <f>365*24*60*60*179/12</f>
        <v>470412000</v>
      </c>
      <c r="BB44" s="71">
        <f>365*24*60*60*249/12</f>
        <v>654372000</v>
      </c>
      <c r="BC44" s="71">
        <f>365*24*60*60*341/12</f>
        <v>896148000</v>
      </c>
      <c r="BD44" s="71">
        <f>365*24*60*60*556/12</f>
        <v>1461168000</v>
      </c>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1"/>
      <c r="CS44" s="1"/>
      <c r="CT44" s="1"/>
      <c r="CU44" s="1"/>
    </row>
    <row r="45" spans="1:99" s="13" customFormat="1" ht="12" customHeight="1" x14ac:dyDescent="0.2">
      <c r="A45" s="68">
        <v>43509</v>
      </c>
      <c r="B45" s="70" t="s">
        <v>205</v>
      </c>
      <c r="C45" s="70" t="s">
        <v>206</v>
      </c>
      <c r="D45" s="69">
        <v>1983</v>
      </c>
      <c r="E45" s="87">
        <v>1</v>
      </c>
      <c r="F45" s="69">
        <v>851</v>
      </c>
      <c r="G45" s="69">
        <v>106.4</v>
      </c>
      <c r="H45" s="69" t="s">
        <v>232</v>
      </c>
      <c r="I45" s="69" t="s">
        <v>607</v>
      </c>
      <c r="J45" s="69" t="s">
        <v>599</v>
      </c>
      <c r="K45" s="69">
        <f>IF(J45="syllables",1,IF(J45="trigrams",2,IF(J45="strings",3,IF(J45="visual array",4,IF(J45="characters",5,IF(J45="letters",6,IF(J45="free forms",7,IF(J45="odors",8,IF(J45="words",9,IF(J45="pictures",10,IF(J45="object pictures",11,IF(J45="faces",12,IF(J45="names",13,IF(J45="idioms",14,IF(J45="grades",15,IF(J45="syllable-digit pairs",16,IF(J45="trigram-word pairs",17,IF(J45="word-digit pairs",18,IF(J45="English-Swahili pairs",19,IF(J45="spatial position",20,IF(J45="word pairs",21,IF(J45="word triads",22,IF(J45="generated words",23,IF(J45="word definition pairs",24,IF(J45="math problems",25,IF(J45="famous faces",26,IF(J45="famous names",27,IF(J45="famous voices",28,IF(J45="television programs",29,IF(J45="race horses",30,IF(J45="new vocabulary",31,IF(J45="sentences",32,IF(J45="concepts",33,IF(J45="ad slides",34,IF(J45="scenes",35,IF(J45="famous scenes",36,IF(J45="poems",37,IF(J45="walk",38,IF(J45="faces and events",39,IF(J45="events and names",40,IF(J45="flashbulb",41,IF(J45="stories",42,IF(J45="course material",43,IF(J45="autobiographical",44,IF(J45="novels",45,IF(J45="public events",46,"99"))))))))))))))))))))))))))))))))))))))))))))))</f>
        <v>13</v>
      </c>
      <c r="L45" s="69">
        <f>IF(J45="syllables",1,IF(J45="trigrams",1,IF(J45="strings",1,IF(J45="visual array",1,IF(J45="characters",1,IF(J45="letters",1,IF(J45="free forms",1,IF(J45="odors",2,IF(J45="words",2,IF(J45="pictures",2,IF(J45="object pictures",2,IF(J45="faces",2,IF(J45="names",2,IF(J45="idioms","2",IF(J45="grades",2,IF(J45="syllable-digit pairs",3,IF(J45="trigram-word pairs",3,IF(J45="word-digit pairs",3,IF(J45="English-Swahili pairs",3,IF(J45="spatial position",3,IF(J45="word pairs",4,IF(J45="word triads",4,IF(J45="generated words",4,IF(J45="word definition pairs",4,IF(J45="math problems",4,IF(J45="famous faces",4,IF(J45="famous names",4,IF(J45="famous voices",4,IF(J45="television programs",4,IF(J45="race horses",4,IF(J45="new vocabulary",4,IF(J45="sentences",5,IF(J45="concepts",5,IF(J45="ad slides",5,IF(J45="scenes",5,IF(J45="famous scenes",5,IF(J45="poems",6,IF(J45="walk",6,IF(J45="faces and events",6,IF(J45="events and names",6,IF(J45="flashbulb",7,IF(J45="stories",7,IF(J45="course material",7,IF(J45="autobiographical",7,IF(J45="novels",7,IF(J45="public events",7,"99"))))))))))))))))))))))))))))))))))))))))))))))</f>
        <v>2</v>
      </c>
      <c r="M45" s="69">
        <v>1</v>
      </c>
      <c r="N45" s="69">
        <v>2</v>
      </c>
      <c r="O45" s="69">
        <v>0</v>
      </c>
      <c r="P45" s="69"/>
      <c r="Q45" s="69" t="s">
        <v>133</v>
      </c>
      <c r="R45" s="69">
        <f>IF(Q45="Free Recall",1,IF(Q45="Cued Recall",2,IF(Q45="Recognition",3,IF(Q45="Multiple Choice",4,IF(Q45="Savings",5,IF(Q45="Stem Completion",6,IF(Q45="Fragment Completion",7,IF(Q45="anagram solution",8,IF(Q45="Matching",9,IF(Q45="Problem Solving",10,"99"))))))))))</f>
        <v>9</v>
      </c>
      <c r="S45" s="69" t="s">
        <v>15</v>
      </c>
      <c r="T45" s="69" t="s">
        <v>261</v>
      </c>
      <c r="U45" s="69">
        <f>IF(T45="within",1,0)</f>
        <v>0</v>
      </c>
      <c r="V45" s="69">
        <v>13</v>
      </c>
      <c r="W45" s="69">
        <f>F45*V45</f>
        <v>11063</v>
      </c>
      <c r="X45" s="69">
        <v>9</v>
      </c>
      <c r="Y45" s="87">
        <f>AV44</f>
        <v>86400</v>
      </c>
      <c r="Z45" s="69" t="s">
        <v>207</v>
      </c>
      <c r="AA45" s="69">
        <v>1450656000</v>
      </c>
      <c r="AB45" s="69" t="str">
        <f>IF(AA45&lt;60,"1",IF(AA45&lt;=43200,"2",IF(AA45&lt;=777600,"3","4")))</f>
        <v>4</v>
      </c>
      <c r="AC45" s="72">
        <f>AVERAGE(AV44:DA44)</f>
        <v>462829600</v>
      </c>
      <c r="AD45" s="69" t="str">
        <f>IF(AC45&lt;60,"1",IF(AC45&lt;=43200,"2",IF(AC45&lt;=777600,"3","4")))</f>
        <v>4</v>
      </c>
      <c r="AE45" s="87">
        <f>AA45-Y45</f>
        <v>1450569600</v>
      </c>
      <c r="AF45" s="88">
        <f>AV45</f>
        <v>0.999</v>
      </c>
      <c r="AG45" s="72">
        <f>((AW45-AV45)+(AX45-AW45)+(AY45-AX45)+(AZ45-AY45)+(BA45-AZ45)+(BB45-BA45)+(BC45-BB45)+(BD45-BC45))/8</f>
        <v>-6.9750000000000006E-2</v>
      </c>
      <c r="AH45" s="4"/>
      <c r="AI45" s="72">
        <f>RSQ(AV45:BD45,AV44:BD44)</f>
        <v>0.5717970906326858</v>
      </c>
      <c r="AJ45" s="110">
        <f>SLOPE(AV45:BD45,AV44:BD44)</f>
        <v>-3.4768335774492709E-10</v>
      </c>
      <c r="AK45" s="72">
        <f>INTERCEPT(AV45:BD45,AV44:BD44)</f>
        <v>0.81236259383618592</v>
      </c>
      <c r="AL45" s="72">
        <f>INDEX(LINEST(LN(AV45:BD45),LN(AV44:BD44),TRUE,TRUE),3,1)</f>
        <v>0.65346824229338407</v>
      </c>
      <c r="AM45" s="72">
        <f>INDEX(LINEST(LN(AV45:BD45),LN(AV44:BD44)),1)</f>
        <v>-8.7656895894171291E-2</v>
      </c>
      <c r="AN45" s="72">
        <f>EXP(INDEX(LINEST(LN(AV45:BD45),LN(AV44:BD44)),1,2))</f>
        <v>3.1935613057314631</v>
      </c>
      <c r="AO45" s="89">
        <f>INDEX(LINEST((AV45:BD45),LN(AV44:BD44),TRUE,TRUE),3,1)</f>
        <v>0.6979275921697965</v>
      </c>
      <c r="AP45" s="89">
        <f>INDEX(LINEST((AV45:BD45),LN(AV44:BD44)),1)</f>
        <v>-6.1987047913812286E-2</v>
      </c>
      <c r="AQ45" s="90">
        <f>INDEX(LINEST(LN(AV45:BD45),SQRT(AV44:BD44),TRUE,TRUE),3,1)</f>
        <v>0.82312011877781932</v>
      </c>
      <c r="AR45" s="117">
        <f>INDEX(LINEST(LN(AV45:BD45),SQRT((AV44:BD44))),1)</f>
        <v>-2.4330542948732228E-5</v>
      </c>
      <c r="AS45" s="91">
        <f>INDEX(LINEST(1/(AV45:BD45),1/(SQRT(AV44:BD44)),TRUE,TRUE),3,1)</f>
        <v>0.28830884230463549</v>
      </c>
      <c r="AT45" s="91">
        <f>INDEX(LINEST(1/(AV45:BD45),1/SQRT(AV44:BD44)),1)</f>
        <v>-242.06592195524317</v>
      </c>
      <c r="AU45" s="3"/>
      <c r="AV45" s="73">
        <v>0.999</v>
      </c>
      <c r="AW45" s="73">
        <v>0.99</v>
      </c>
      <c r="AX45" s="73">
        <v>0.76500000000000001</v>
      </c>
      <c r="AY45" s="73">
        <v>0.61199999999999999</v>
      </c>
      <c r="AZ45" s="73">
        <v>0.53100000000000003</v>
      </c>
      <c r="BA45" s="73">
        <v>0.59499999999999997</v>
      </c>
      <c r="BB45" s="73">
        <v>0.41899999999999998</v>
      </c>
      <c r="BC45" s="73">
        <v>0.51100000000000001</v>
      </c>
      <c r="BD45" s="73">
        <v>0.441</v>
      </c>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1"/>
      <c r="CS45" s="1"/>
      <c r="CT45" s="1"/>
      <c r="CU45" s="1"/>
    </row>
    <row r="46" spans="1:99" s="13" customFormat="1" ht="12" customHeight="1" x14ac:dyDescent="0.2">
      <c r="A46" s="68">
        <v>43509</v>
      </c>
      <c r="B46" s="70"/>
      <c r="C46" s="70"/>
      <c r="D46" s="69"/>
      <c r="E46" s="87"/>
      <c r="F46" s="69"/>
      <c r="G46" s="69"/>
      <c r="H46" s="69"/>
      <c r="I46" s="69"/>
      <c r="J46" s="69"/>
      <c r="K46" s="107"/>
      <c r="L46" s="107"/>
      <c r="M46" s="69"/>
      <c r="N46" s="69"/>
      <c r="O46" s="69"/>
      <c r="P46" s="69"/>
      <c r="Q46" s="69"/>
      <c r="R46" s="69"/>
      <c r="S46" s="69"/>
      <c r="T46" s="69"/>
      <c r="U46" s="69"/>
      <c r="V46" s="69"/>
      <c r="W46" s="69"/>
      <c r="X46" s="69"/>
      <c r="Y46" s="87"/>
      <c r="Z46" s="69"/>
      <c r="AA46" s="69"/>
      <c r="AB46" s="69"/>
      <c r="AC46" s="69"/>
      <c r="AD46" s="69"/>
      <c r="AE46" s="69"/>
      <c r="AF46" s="88"/>
      <c r="AG46" s="72"/>
      <c r="AH46" s="4"/>
      <c r="AI46" s="72"/>
      <c r="AJ46" s="110"/>
      <c r="AK46" s="72"/>
      <c r="AL46" s="72"/>
      <c r="AM46" s="72"/>
      <c r="AN46" s="72"/>
      <c r="AO46" s="72"/>
      <c r="AP46" s="72"/>
      <c r="AQ46" s="89"/>
      <c r="AR46" s="118"/>
      <c r="AS46" s="89"/>
      <c r="AT46" s="89"/>
      <c r="AU46" s="3"/>
      <c r="AV46" s="71">
        <f>24*60*60</f>
        <v>86400</v>
      </c>
      <c r="AW46" s="71">
        <f>365*24*60*60*14/12</f>
        <v>36792000</v>
      </c>
      <c r="AX46" s="71">
        <f>365*24*60*60*44/12</f>
        <v>115632000</v>
      </c>
      <c r="AY46" s="71">
        <f>365*24*60*60*76/12</f>
        <v>199728000</v>
      </c>
      <c r="AZ46" s="71">
        <f>365*24*60*60*126/12</f>
        <v>331128000</v>
      </c>
      <c r="BA46" s="71">
        <f>365*24*60*60*179/12</f>
        <v>470412000</v>
      </c>
      <c r="BB46" s="71">
        <f>365*24*60*60*249/12</f>
        <v>654372000</v>
      </c>
      <c r="BC46" s="71">
        <f>365*24*60*60*341/12</f>
        <v>896148000</v>
      </c>
      <c r="BD46" s="71">
        <f>365*24*60*60*556/12</f>
        <v>1461168000</v>
      </c>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53"/>
      <c r="CO46" s="53"/>
      <c r="CP46" s="53"/>
      <c r="CQ46" s="53"/>
      <c r="CR46" s="1"/>
      <c r="CS46" s="1"/>
      <c r="CT46" s="1"/>
      <c r="CU46" s="1"/>
    </row>
    <row r="47" spans="1:99" s="13" customFormat="1" ht="12" customHeight="1" x14ac:dyDescent="0.2">
      <c r="A47" s="68">
        <v>43509</v>
      </c>
      <c r="B47" s="70" t="s">
        <v>205</v>
      </c>
      <c r="C47" s="70" t="s">
        <v>206</v>
      </c>
      <c r="D47" s="69">
        <v>1983</v>
      </c>
      <c r="E47" s="87">
        <v>1</v>
      </c>
      <c r="F47" s="69">
        <v>851</v>
      </c>
      <c r="G47" s="69">
        <v>106.4</v>
      </c>
      <c r="H47" s="69" t="s">
        <v>232</v>
      </c>
      <c r="I47" s="69" t="s">
        <v>608</v>
      </c>
      <c r="J47" s="69" t="s">
        <v>599</v>
      </c>
      <c r="K47" s="69">
        <f>IF(J47="syllables",1,IF(J47="trigrams",2,IF(J47="strings",3,IF(J47="visual array",4,IF(J47="characters",5,IF(J47="letters",6,IF(J47="free forms",7,IF(J47="odors",8,IF(J47="words",9,IF(J47="pictures",10,IF(J47="object pictures",11,IF(J47="faces",12,IF(J47="names",13,IF(J47="idioms",14,IF(J47="grades",15,IF(J47="syllable-digit pairs",16,IF(J47="trigram-word pairs",17,IF(J47="word-digit pairs",18,IF(J47="English-Swahili pairs",19,IF(J47="spatial position",20,IF(J47="word pairs",21,IF(J47="word triads",22,IF(J47="generated words",23,IF(J47="word definition pairs",24,IF(J47="math problems",25,IF(J47="famous faces",26,IF(J47="famous names",27,IF(J47="famous voices",28,IF(J47="television programs",29,IF(J47="race horses",30,IF(J47="new vocabulary",31,IF(J47="sentences",32,IF(J47="concepts",33,IF(J47="ad slides",34,IF(J47="scenes",35,IF(J47="famous scenes",36,IF(J47="poems",37,IF(J47="walk",38,IF(J47="faces and events",39,IF(J47="events and names",40,IF(J47="flashbulb",41,IF(J47="stories",42,IF(J47="course material",43,IF(J47="autobiographical",44,IF(J47="novels",45,IF(J47="public events",46,"99"))))))))))))))))))))))))))))))))))))))))))))))</f>
        <v>13</v>
      </c>
      <c r="L47" s="69">
        <f>IF(J47="syllables",1,IF(J47="trigrams",1,IF(J47="strings",1,IF(J47="visual array",1,IF(J47="characters",1,IF(J47="letters",1,IF(J47="free forms",1,IF(J47="odors",2,IF(J47="words",2,IF(J47="pictures",2,IF(J47="object pictures",2,IF(J47="faces",2,IF(J47="names",2,IF(J47="idioms","2",IF(J47="grades",2,IF(J47="syllable-digit pairs",3,IF(J47="trigram-word pairs",3,IF(J47="word-digit pairs",3,IF(J47="English-Swahili pairs",3,IF(J47="spatial position",3,IF(J47="word pairs",4,IF(J47="word triads",4,IF(J47="generated words",4,IF(J47="word definition pairs",4,IF(J47="math problems",4,IF(J47="famous faces",4,IF(J47="famous names",4,IF(J47="famous voices",4,IF(J47="television programs",4,IF(J47="race horses",4,IF(J47="new vocabulary",4,IF(J47="sentences",5,IF(J47="concepts",5,IF(J47="ad slides",5,IF(J47="scenes",5,IF(J47="famous scenes",5,IF(J47="poems",6,IF(J47="walk",6,IF(J47="faces and events",6,IF(J47="events and names",6,IF(J47="flashbulb",7,IF(J47="stories",7,IF(J47="course material",7,IF(J47="autobiographical",7,IF(J47="novels",7,IF(J47="public events",7,"99"))))))))))))))))))))))))))))))))))))))))))))))</f>
        <v>2</v>
      </c>
      <c r="M47" s="69">
        <v>1</v>
      </c>
      <c r="N47" s="69">
        <v>2</v>
      </c>
      <c r="O47" s="69">
        <v>0</v>
      </c>
      <c r="P47" s="69"/>
      <c r="Q47" s="69" t="s">
        <v>65</v>
      </c>
      <c r="R47" s="69">
        <f>IF(Q47="Free Recall",1,IF(Q47="Cued Recall",2,IF(Q47="Recognition",3,IF(Q47="Multiple Choice",4,IF(Q47="Savings",5,IF(Q47="Stem Completion",6,IF(Q47="Fragment Completion",7,IF(Q47="anagram solution",8,IF(Q47="Matching",9,IF(Q47="Problem Solving",10,"99"))))))))))</f>
        <v>2</v>
      </c>
      <c r="S47" s="69" t="s">
        <v>15</v>
      </c>
      <c r="T47" s="69" t="s">
        <v>261</v>
      </c>
      <c r="U47" s="69">
        <f>IF(T47="within",1,0)</f>
        <v>0</v>
      </c>
      <c r="V47" s="69">
        <v>13</v>
      </c>
      <c r="W47" s="69">
        <f>F47*V47</f>
        <v>11063</v>
      </c>
      <c r="X47" s="69">
        <v>9</v>
      </c>
      <c r="Y47" s="87">
        <f>AV46</f>
        <v>86400</v>
      </c>
      <c r="Z47" s="69" t="s">
        <v>207</v>
      </c>
      <c r="AA47" s="69">
        <v>1450656000</v>
      </c>
      <c r="AB47" s="69" t="str">
        <f>IF(AA47&lt;60,"1",IF(AA47&lt;=43200,"2",IF(AA47&lt;=777600,"3","4")))</f>
        <v>4</v>
      </c>
      <c r="AC47" s="72">
        <f>AVERAGE(AV46:DA46)</f>
        <v>462829600</v>
      </c>
      <c r="AD47" s="69" t="str">
        <f>IF(AC47&lt;60,"1",IF(AC47&lt;=43200,"2",IF(AC47&lt;=777600,"3","4")))</f>
        <v>4</v>
      </c>
      <c r="AE47" s="87">
        <f>AA47-Y47</f>
        <v>1450569600</v>
      </c>
      <c r="AF47" s="88">
        <f>AV47</f>
        <v>0.998</v>
      </c>
      <c r="AG47" s="72">
        <f>((AW47-AV47)+(AX47-AW47)+(AY47-AX47)+(AZ47-AY47)+(BA47-AZ47)+(BB47-BA47)+(BC47-BB47)+(BD47-BC47))/8</f>
        <v>-0.12425</v>
      </c>
      <c r="AH47" s="4"/>
      <c r="AI47" s="72">
        <f>RSQ(AV47:BD47,AV46:BD46)</f>
        <v>0.50946815917764254</v>
      </c>
      <c r="AJ47" s="110">
        <f>SLOPE(AV47:BD47,AV46:BD46)</f>
        <v>-4.5764774648214109E-10</v>
      </c>
      <c r="AK47" s="72">
        <f>INTERCEPT(AV47:BD47,AV46:BD46)</f>
        <v>0.56014625677856411</v>
      </c>
      <c r="AL47" s="72">
        <f>INDEX(LINEST(LN(AV47:BD47),LN(AV46:BD46),TRUE,TRUE),3,1)</f>
        <v>0.37029169276737128</v>
      </c>
      <c r="AM47" s="72">
        <f>INDEX(LINEST(LN(AV47:BD47),LN(AV46:BD46)),1)</f>
        <v>-0.33010491176757845</v>
      </c>
      <c r="AN47" s="72">
        <f>EXP(INDEX(LINEST(LN(AV47:BD47),LN(AV46:BD46)),1,2))</f>
        <v>90.844985452656459</v>
      </c>
      <c r="AO47" s="89">
        <f>INDEX(LINEST((AV47:BD47),LN(AV46:BD46),TRUE,TRUE),3,1)</f>
        <v>0.89301900400720668</v>
      </c>
      <c r="AP47" s="89">
        <f>INDEX(LINEST((AV47:BD47),LN(AV46:BD46)),1)</f>
        <v>-9.7776838926139517E-2</v>
      </c>
      <c r="AQ47" s="90">
        <f>INDEX(LINEST(LN(AV47:BD47),SQRT(AV46:BD46),TRUE,TRUE),3,1)</f>
        <v>0.70952494994118165</v>
      </c>
      <c r="AR47" s="117">
        <f>INDEX(LINEST(LN(AV47:BD47),SQRT((AV46:BD46))),1)</f>
        <v>-1.1300825936114278E-4</v>
      </c>
      <c r="AS47" s="91">
        <f>INDEX(LINEST(1/(AV47:BD47),1/(SQRT(AV46:BD46)),TRUE,TRUE),3,1)</f>
        <v>2.3380139711930523E-2</v>
      </c>
      <c r="AT47" s="91">
        <f>INDEX(LINEST(1/(AV47:BD47),1/SQRT(AV46:BD46)),1)</f>
        <v>-11271.085700169997</v>
      </c>
      <c r="AU47" s="3"/>
      <c r="AV47" s="73">
        <v>0.998</v>
      </c>
      <c r="AW47" s="73">
        <v>0.65800000000000003</v>
      </c>
      <c r="AX47" s="73">
        <v>0.36899999999999999</v>
      </c>
      <c r="AY47" s="73">
        <v>0.32500000000000001</v>
      </c>
      <c r="AZ47" s="73">
        <v>0.193</v>
      </c>
      <c r="BA47" s="73">
        <v>0.21099999999999999</v>
      </c>
      <c r="BB47" s="73">
        <v>9.2999999999999999E-2</v>
      </c>
      <c r="BC47" s="73">
        <v>0.28399999999999997</v>
      </c>
      <c r="BD47" s="73">
        <v>4.0000000000000001E-3</v>
      </c>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53"/>
      <c r="CO47" s="53"/>
      <c r="CP47" s="53"/>
      <c r="CQ47" s="53"/>
      <c r="CR47" s="1"/>
      <c r="CS47" s="1"/>
      <c r="CT47" s="1"/>
      <c r="CU47" s="1"/>
    </row>
    <row r="48" spans="1:99" s="13" customFormat="1" ht="12" customHeight="1" x14ac:dyDescent="0.2">
      <c r="A48" s="65">
        <v>43509</v>
      </c>
      <c r="B48" s="1"/>
      <c r="C48" s="1"/>
      <c r="D48" s="60"/>
      <c r="E48" s="76"/>
      <c r="F48" s="60"/>
      <c r="G48" s="60"/>
      <c r="H48" s="60"/>
      <c r="I48" s="60"/>
      <c r="J48" s="60"/>
      <c r="K48" s="64"/>
      <c r="L48" s="64"/>
      <c r="M48" s="60"/>
      <c r="N48" s="60"/>
      <c r="O48" s="60"/>
      <c r="P48" s="60"/>
      <c r="Q48" s="60"/>
      <c r="R48" s="60"/>
      <c r="S48" s="60"/>
      <c r="T48" s="60"/>
      <c r="U48" s="60"/>
      <c r="V48" s="60"/>
      <c r="W48" s="60"/>
      <c r="X48" s="60"/>
      <c r="Y48" s="76"/>
      <c r="Z48" s="60"/>
      <c r="AA48" s="60"/>
      <c r="AB48" s="60"/>
      <c r="AC48" s="60"/>
      <c r="AD48" s="60"/>
      <c r="AE48" s="60"/>
      <c r="AF48" s="80"/>
      <c r="AG48" s="56"/>
      <c r="AH48" s="4"/>
      <c r="AI48" s="56"/>
      <c r="AJ48" s="109"/>
      <c r="AK48" s="56"/>
      <c r="AL48" s="56"/>
      <c r="AM48" s="56"/>
      <c r="AN48" s="56"/>
      <c r="AO48" s="56"/>
      <c r="AP48" s="56"/>
      <c r="AQ48" s="82"/>
      <c r="AR48" s="115"/>
      <c r="AS48" s="82"/>
      <c r="AT48" s="82"/>
      <c r="AU48" s="3"/>
      <c r="AV48" s="25">
        <v>60</v>
      </c>
      <c r="AW48" s="25">
        <f>365*24*60*60*14.5/12</f>
        <v>38106000</v>
      </c>
      <c r="AX48" s="25">
        <f>365*24*60*60*37.8/12</f>
        <v>99338400</v>
      </c>
      <c r="AY48" s="25">
        <f>365*24*60*60*69.1/12</f>
        <v>181594800</v>
      </c>
      <c r="AZ48" s="25">
        <f>365*24*60*60*114/12</f>
        <v>299592000</v>
      </c>
      <c r="BA48" s="25">
        <f>365*24*60*60*175.1/12</f>
        <v>460162800</v>
      </c>
      <c r="BB48" s="25">
        <f>365*24*60*60*300.6/12</f>
        <v>789976800</v>
      </c>
      <c r="BC48" s="25">
        <f>365*24*60*60*415.2/12</f>
        <v>1091145600</v>
      </c>
      <c r="BD48" s="25">
        <f>365*24*60*60*596.4/12</f>
        <v>1567339200</v>
      </c>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53"/>
      <c r="CO48" s="53"/>
      <c r="CP48" s="53"/>
      <c r="CQ48" s="53"/>
      <c r="CR48" s="1"/>
      <c r="CS48" s="1"/>
      <c r="CT48" s="1"/>
      <c r="CU48" s="1"/>
    </row>
    <row r="49" spans="1:99" s="13" customFormat="1" ht="12" customHeight="1" x14ac:dyDescent="0.2">
      <c r="A49" s="65">
        <v>43509</v>
      </c>
      <c r="B49" s="1" t="s">
        <v>208</v>
      </c>
      <c r="C49" s="1" t="s">
        <v>202</v>
      </c>
      <c r="D49" s="60">
        <v>1984</v>
      </c>
      <c r="E49" s="76">
        <v>1</v>
      </c>
      <c r="F49" s="60">
        <v>773</v>
      </c>
      <c r="G49" s="60">
        <v>91.6</v>
      </c>
      <c r="H49" s="60" t="s">
        <v>615</v>
      </c>
      <c r="I49" s="60" t="s">
        <v>613</v>
      </c>
      <c r="J49" s="60" t="s">
        <v>616</v>
      </c>
      <c r="K49" s="60">
        <f>IF(J49="syllables",1,IF(J49="trigrams",2,IF(J49="strings",3,IF(J49="visual array",4,IF(J49="characters",5,IF(J49="letters",6,IF(J49="free forms",7,IF(J49="odors",8,IF(J49="words",9,IF(J49="pictures",10,IF(J49="object pictures",11,IF(J49="faces",12,IF(J49="names",13,IF(J49="idioms",14,IF(J49="grades",15,IF(J49="syllable-digit pairs",16,IF(J49="trigram-word pairs",17,IF(J49="word-digit pairs",18,IF(J49="English-Swahili pairs",19,IF(J49="spatial position",20,IF(J49="word pairs",21,IF(J49="word triads",22,IF(J49="generated words",23,IF(J49="word definition pairs",24,IF(J49="math problems",25,IF(J49="famous faces",26,IF(J49="famous names",27,IF(J49="famous voices",28,IF(J49="television programs",29,IF(J49="race horses",30,IF(J49="new vocabulary",31,IF(J49="sentences",32,IF(J49="concepts",33,IF(J49="ad slides",34,IF(J49="scenes",35,IF(J49="famous scenes",36,IF(J49="poems",37,IF(J49="walk",38,IF(J49="faces and events",39,IF(J49="events and names",40,IF(J49="flashbulb",41,IF(J49="stories",42,IF(J49="course material",43,IF(J49="autobiographical",44,IF(J49="novels",45,IF(J49="public events",46,"99"))))))))))))))))))))))))))))))))))))))))))))))</f>
        <v>14</v>
      </c>
      <c r="L49" s="60" t="str">
        <f>IF(J49="syllables",1,IF(J49="trigrams",1,IF(J49="strings",1,IF(J49="visual array",1,IF(J49="characters",1,IF(J49="letters",1,IF(J49="free forms",1,IF(J49="odors",2,IF(J49="words",2,IF(J49="pictures",2,IF(J49="object pictures",2,IF(J49="faces",2,IF(J49="names",2,IF(J49="idioms","2",IF(J49="grades",2,IF(J49="syllable-digit pairs",3,IF(J49="trigram-word pairs",3,IF(J49="word-digit pairs",3,IF(J49="English-Swahili pairs",3,IF(J49="spatial position",3,IF(J49="word pairs",4,IF(J49="word triads",4,IF(J49="generated words",4,IF(J49="word definition pairs",4,IF(J49="math problems",4,IF(J49="famous faces",4,IF(J49="famous names",4,IF(J49="famous voices",4,IF(J49="television programs",4,IF(J49="race horses",4,IF(J49="new vocabulary",4,IF(J49="sentences",5,IF(J49="concepts",5,IF(J49="ad slides",5,IF(J49="scenes",5,IF(J49="famous scenes",5,IF(J49="poems",6,IF(J49="walk",6,IF(J49="faces and events",6,IF(J49="events and names",6,IF(J49="flashbulb",7,IF(J49="stories",7,IF(J49="course material",7,IF(J49="autobiographical",7,IF(J49="novels",7,IF(J49="public events",7,"99"))))))))))))))))))))))))))))))))))))))))))))))</f>
        <v>2</v>
      </c>
      <c r="M49" s="60">
        <v>1</v>
      </c>
      <c r="N49" s="60">
        <v>2</v>
      </c>
      <c r="O49" s="60">
        <v>0</v>
      </c>
      <c r="P49" s="60"/>
      <c r="Q49" s="59" t="s">
        <v>174</v>
      </c>
      <c r="R49" s="60">
        <f>IF(Q49="Free Recall",1,IF(Q49="Cued Recall",2,IF(Q49="Recognition",3,IF(Q49="Multiple Choice",4,IF(Q49="Savings",5,IF(Q49="Stem Completion",6,IF(Q49="Fragment Completion",7,IF(Q49="anagram solution",8,IF(Q49="Matching",9,IF(Q49="Problem Solving",10,"99"))))))))))</f>
        <v>1</v>
      </c>
      <c r="S49" s="60" t="s">
        <v>49</v>
      </c>
      <c r="T49" s="60" t="s">
        <v>261</v>
      </c>
      <c r="U49" s="60">
        <f>IF(T49="within",1,0)</f>
        <v>0</v>
      </c>
      <c r="V49" s="60">
        <v>30</v>
      </c>
      <c r="W49" s="60">
        <f>F49*V49</f>
        <v>23190</v>
      </c>
      <c r="X49" s="60">
        <v>9</v>
      </c>
      <c r="Y49" s="76">
        <f>AV48</f>
        <v>60</v>
      </c>
      <c r="Z49" s="60" t="s">
        <v>209</v>
      </c>
      <c r="AA49" s="60">
        <v>1576800000</v>
      </c>
      <c r="AB49" s="60" t="str">
        <f>IF(AA49&lt;60,"1",IF(AA49&lt;=43200,"2",IF(AA49&lt;=777600,"3","4")))</f>
        <v>4</v>
      </c>
      <c r="AC49" s="56">
        <f>AVERAGE(AV48:DA48)</f>
        <v>503028406.66666669</v>
      </c>
      <c r="AD49" s="60" t="str">
        <f>IF(AC49&lt;60,"1",IF(AC49&lt;=43200,"2",IF(AC49&lt;=777600,"3","4")))</f>
        <v>4</v>
      </c>
      <c r="AE49" s="76">
        <f>AA49-Y49</f>
        <v>1576799940</v>
      </c>
      <c r="AF49" s="80">
        <f>AV49</f>
        <v>1</v>
      </c>
      <c r="AG49" s="58">
        <f>((AW49-AV49)+(AX49-AW49)+(AY49-AX49)+(AZ49-AY49)+(BA49-AZ49)+(BB49-BA49)+(BC49-BB49)+(BD49-BC49))/8</f>
        <v>-5.7441977447706377E-2</v>
      </c>
      <c r="AH49" s="4"/>
      <c r="AI49" s="56">
        <f>RSQ(AV49:BD49,AV48:BD48)</f>
        <v>0.26059130920828649</v>
      </c>
      <c r="AJ49" s="109">
        <f>SLOPE(AV49:BD49,AV48:BD48)</f>
        <v>-1.4498798828635417E-10</v>
      </c>
      <c r="AK49" s="56">
        <f>INTERCEPT(AV49:BD49,AV48:BD48)</f>
        <v>0.7164435090711746</v>
      </c>
      <c r="AL49" s="56">
        <f>INDEX(LINEST(LN(AV49:BD49),LN(AV48:BD48),TRUE,TRUE),3,1)</f>
        <v>0.7354548202608745</v>
      </c>
      <c r="AM49" s="56">
        <f>INDEX(LINEST(LN(AV49:BD49),LN(AV48:BD48)),1)</f>
        <v>-3.4286545603981373E-2</v>
      </c>
      <c r="AN49" s="56">
        <f>EXP(INDEX(LINEST(LN(AV49:BD49),LN(AV48:BD48)),1,2))</f>
        <v>1.1625817785484069</v>
      </c>
      <c r="AO49" s="82">
        <f>INDEX(LINEST((AV49:BD49),LN(AV48:BD48),TRUE,TRUE),3,1)</f>
        <v>0.81661169353845087</v>
      </c>
      <c r="AP49" s="82">
        <f>INDEX(LINEST((AV49:BD49),LN(AV48:BD48)),1)</f>
        <v>-2.6173347534701741E-2</v>
      </c>
      <c r="AQ49" s="83">
        <f>INDEX(LINEST(LN(AV49:BD49),SQRT(AV48:BD48),TRUE,TRUE),3,1)</f>
        <v>0.43239869410629556</v>
      </c>
      <c r="AR49" s="116">
        <f>INDEX(LINEST(LN(AV49:BD49),SQRT((AV48:BD48))),1)</f>
        <v>-1.0734062786589248E-5</v>
      </c>
      <c r="AS49" s="84">
        <f>INDEX(LINEST(1/(AV49:BD49),1/(SQRT(AV48:BD48)),TRUE,TRUE),3,1)</f>
        <v>0.5740437842326207</v>
      </c>
      <c r="AT49" s="84">
        <f>INDEX(LINEST(1/(AV49:BD49),1/SQRT(AV48:BD48)),1)</f>
        <v>-5.3854225990071267</v>
      </c>
      <c r="AU49" s="3"/>
      <c r="AV49" s="53">
        <v>1</v>
      </c>
      <c r="AW49" s="53">
        <v>0.74999650676987895</v>
      </c>
      <c r="AX49" s="53">
        <v>0.50296086184973499</v>
      </c>
      <c r="AY49" s="53">
        <v>0.59085612083781602</v>
      </c>
      <c r="AZ49" s="53">
        <v>0.61036790699624099</v>
      </c>
      <c r="BA49" s="53">
        <v>0.6773596769460779</v>
      </c>
      <c r="BB49" s="53">
        <v>0.58110302234269906</v>
      </c>
      <c r="BC49" s="53">
        <v>0.53848561487836499</v>
      </c>
      <c r="BD49" s="53">
        <v>0.54046418041834898</v>
      </c>
      <c r="BE49" s="53"/>
      <c r="BF49" s="53"/>
      <c r="BG49" s="53"/>
      <c r="BH49" s="53"/>
      <c r="BI49" s="53"/>
      <c r="BJ49" s="53"/>
      <c r="BK49" s="53"/>
      <c r="BL49" s="53"/>
      <c r="BM49" s="53"/>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53"/>
      <c r="CO49" s="53"/>
      <c r="CP49" s="53"/>
      <c r="CQ49" s="53"/>
      <c r="CR49" s="1"/>
      <c r="CS49" s="1"/>
      <c r="CT49" s="1"/>
      <c r="CU49" s="1"/>
    </row>
    <row r="50" spans="1:99" s="13" customFormat="1" ht="12" customHeight="1" x14ac:dyDescent="0.2">
      <c r="A50" s="65">
        <v>43509</v>
      </c>
      <c r="B50" s="1"/>
      <c r="C50" s="1"/>
      <c r="D50" s="60"/>
      <c r="E50" s="76"/>
      <c r="F50" s="60"/>
      <c r="G50" s="60"/>
      <c r="H50" s="60"/>
      <c r="I50" s="60"/>
      <c r="J50" s="60"/>
      <c r="K50" s="64"/>
      <c r="L50" s="64"/>
      <c r="M50" s="60"/>
      <c r="N50" s="60"/>
      <c r="O50" s="60"/>
      <c r="P50" s="60"/>
      <c r="Q50" s="60"/>
      <c r="R50" s="60"/>
      <c r="S50" s="60"/>
      <c r="T50" s="60"/>
      <c r="U50" s="60"/>
      <c r="V50" s="60"/>
      <c r="W50" s="60"/>
      <c r="X50" s="60"/>
      <c r="Y50" s="76"/>
      <c r="Z50" s="60"/>
      <c r="AA50" s="60"/>
      <c r="AB50" s="60"/>
      <c r="AC50" s="60"/>
      <c r="AD50" s="60"/>
      <c r="AE50" s="60"/>
      <c r="AF50" s="80"/>
      <c r="AG50" s="56"/>
      <c r="AH50" s="4"/>
      <c r="AI50" s="56"/>
      <c r="AJ50" s="109"/>
      <c r="AK50" s="56"/>
      <c r="AL50" s="56"/>
      <c r="AM50" s="56"/>
      <c r="AN50" s="56"/>
      <c r="AO50" s="56"/>
      <c r="AP50" s="56"/>
      <c r="AQ50" s="82"/>
      <c r="AR50" s="115"/>
      <c r="AS50" s="82"/>
      <c r="AT50" s="82"/>
      <c r="AU50" s="3"/>
      <c r="AV50" s="25">
        <v>60</v>
      </c>
      <c r="AW50" s="25">
        <f>365*24*60*60*14.5/12</f>
        <v>38106000</v>
      </c>
      <c r="AX50" s="25">
        <f>365*24*60*60*37.8/12</f>
        <v>99338400</v>
      </c>
      <c r="AY50" s="25">
        <f>365*24*60*60*69.1/12</f>
        <v>181594800</v>
      </c>
      <c r="AZ50" s="25">
        <f>365*24*60*60*114/12</f>
        <v>299592000</v>
      </c>
      <c r="BA50" s="25">
        <f>365*24*60*60*175.1/12</f>
        <v>460162800</v>
      </c>
      <c r="BB50" s="25">
        <f>365*24*60*60*300.6/12</f>
        <v>789976800</v>
      </c>
      <c r="BC50" s="25">
        <f>365*24*60*60*415.2/12</f>
        <v>1091145600</v>
      </c>
      <c r="BD50" s="25">
        <f>365*24*60*60*596.4/12</f>
        <v>1567339200</v>
      </c>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53"/>
      <c r="CO50" s="53"/>
      <c r="CP50" s="53"/>
      <c r="CQ50" s="53"/>
      <c r="CR50" s="1"/>
      <c r="CS50" s="1"/>
      <c r="CT50" s="1"/>
      <c r="CU50" s="1"/>
    </row>
    <row r="51" spans="1:99" s="13" customFormat="1" ht="12" customHeight="1" x14ac:dyDescent="0.2">
      <c r="A51" s="65">
        <v>43509</v>
      </c>
      <c r="B51" s="1" t="s">
        <v>208</v>
      </c>
      <c r="C51" s="1" t="s">
        <v>202</v>
      </c>
      <c r="D51" s="60">
        <v>1984</v>
      </c>
      <c r="E51" s="76">
        <v>1</v>
      </c>
      <c r="F51" s="60">
        <v>773</v>
      </c>
      <c r="G51" s="60">
        <v>91.6</v>
      </c>
      <c r="H51" s="60" t="s">
        <v>615</v>
      </c>
      <c r="I51" s="60" t="s">
        <v>614</v>
      </c>
      <c r="J51" s="60" t="s">
        <v>616</v>
      </c>
      <c r="K51" s="60">
        <f>IF(J51="syllables",1,IF(J51="trigrams",2,IF(J51="strings",3,IF(J51="visual array",4,IF(J51="characters",5,IF(J51="letters",6,IF(J51="free forms",7,IF(J51="odors",8,IF(J51="words",9,IF(J51="pictures",10,IF(J51="object pictures",11,IF(J51="faces",12,IF(J51="names",13,IF(J51="idioms",14,IF(J51="grades",15,IF(J51="syllable-digit pairs",16,IF(J51="trigram-word pairs",17,IF(J51="word-digit pairs",18,IF(J51="English-Swahili pairs",19,IF(J51="spatial position",20,IF(J51="word pairs",21,IF(J51="word triads",22,IF(J51="generated words",23,IF(J51="word definition pairs",24,IF(J51="math problems",25,IF(J51="famous faces",26,IF(J51="famous names",27,IF(J51="famous voices",28,IF(J51="television programs",29,IF(J51="race horses",30,IF(J51="new vocabulary",31,IF(J51="sentences",32,IF(J51="concepts",33,IF(J51="ad slides",34,IF(J51="scenes",35,IF(J51="famous scenes",36,IF(J51="poems",37,IF(J51="walk",38,IF(J51="faces and events",39,IF(J51="events and names",40,IF(J51="flashbulb",41,IF(J51="stories",42,IF(J51="course material",43,IF(J51="autobiographical",44,IF(J51="novels",45,IF(J51="public events",46,"99"))))))))))))))))))))))))))))))))))))))))))))))</f>
        <v>14</v>
      </c>
      <c r="L51" s="60" t="str">
        <f>IF(J51="syllables",1,IF(J51="trigrams",1,IF(J51="strings",1,IF(J51="visual array",1,IF(J51="characters",1,IF(J51="letters",1,IF(J51="free forms",1,IF(J51="odors",2,IF(J51="words",2,IF(J51="pictures",2,IF(J51="object pictures",2,IF(J51="faces",2,IF(J51="names",2,IF(J51="idioms","2",IF(J51="grades",2,IF(J51="syllable-digit pairs",3,IF(J51="trigram-word pairs",3,IF(J51="word-digit pairs",3,IF(J51="English-Swahili pairs",3,IF(J51="spatial position",3,IF(J51="word pairs",4,IF(J51="word triads",4,IF(J51="generated words",4,IF(J51="word definition pairs",4,IF(J51="math problems",4,IF(J51="famous faces",4,IF(J51="famous names",4,IF(J51="famous voices",4,IF(J51="television programs",4,IF(J51="race horses",4,IF(J51="new vocabulary",4,IF(J51="sentences",5,IF(J51="concepts",5,IF(J51="ad slides",5,IF(J51="scenes",5,IF(J51="famous scenes",5,IF(J51="poems",6,IF(J51="walk",6,IF(J51="faces and events",6,IF(J51="events and names",6,IF(J51="flashbulb",7,IF(J51="stories",7,IF(J51="course material",7,IF(J51="autobiographical",7,IF(J51="novels",7,IF(J51="public events",7,"99"))))))))))))))))))))))))))))))))))))))))))))))</f>
        <v>2</v>
      </c>
      <c r="M51" s="60">
        <v>1</v>
      </c>
      <c r="N51" s="60">
        <v>2</v>
      </c>
      <c r="O51" s="60">
        <v>0</v>
      </c>
      <c r="P51" s="60"/>
      <c r="Q51" s="60" t="s">
        <v>34</v>
      </c>
      <c r="R51" s="60">
        <f>IF(Q51="Free Recall",1,IF(Q51="Cued Recall",2,IF(Q51="Recognition",3,IF(Q51="Multiple Choice",4,IF(Q51="Savings",5,IF(Q51="Stem Completion",6,IF(Q51="Fragment Completion",7,IF(Q51="anagram solution",8,IF(Q51="Matching",9,IF(Q51="Problem Solving",10,"99"))))))))))</f>
        <v>3</v>
      </c>
      <c r="S51" s="60" t="s">
        <v>15</v>
      </c>
      <c r="T51" s="60" t="s">
        <v>261</v>
      </c>
      <c r="U51" s="60">
        <f>IF(T51="within",1,0)</f>
        <v>0</v>
      </c>
      <c r="V51" s="60">
        <v>30</v>
      </c>
      <c r="W51" s="60">
        <f>F51*V51</f>
        <v>23190</v>
      </c>
      <c r="X51" s="60">
        <v>9</v>
      </c>
      <c r="Y51" s="76">
        <f>AV50</f>
        <v>60</v>
      </c>
      <c r="Z51" s="60" t="s">
        <v>209</v>
      </c>
      <c r="AA51" s="60">
        <v>1576800000</v>
      </c>
      <c r="AB51" s="60" t="str">
        <f>IF(AA51&lt;60,"1",IF(AA51&lt;=43200,"2",IF(AA51&lt;=777600,"3","4")))</f>
        <v>4</v>
      </c>
      <c r="AC51" s="56">
        <f>AVERAGE(AV50:DA50)</f>
        <v>503028406.66666669</v>
      </c>
      <c r="AD51" s="60" t="str">
        <f>IF(AC51&lt;60,"1",IF(AC51&lt;=43200,"2",IF(AC51&lt;=777600,"3","4")))</f>
        <v>4</v>
      </c>
      <c r="AE51" s="76">
        <f>AA51-Y51</f>
        <v>1576799940</v>
      </c>
      <c r="AF51" s="80">
        <f>AV51</f>
        <v>1</v>
      </c>
      <c r="AG51" s="58">
        <f>((AW51-AV51)+(AX51-AW51)+(AY51-AX51)+(AZ51-AY51)+(BA51-AZ51)+(BB51-BA51)+(BC51-BB51)+(BD51-BC51))/8</f>
        <v>-7.1332457696983265E-2</v>
      </c>
      <c r="AH51" s="4"/>
      <c r="AI51" s="56">
        <f>RSQ(AV51:BD51,AV50:BD50)</f>
        <v>0.61401155297672894</v>
      </c>
      <c r="AJ51" s="109">
        <f>SLOPE(AV51:BD51,AV50:BD50)</f>
        <v>-2.5838617013863213E-10</v>
      </c>
      <c r="AK51" s="56">
        <f>INTERCEPT(AV51:BD51,AV50:BD50)</f>
        <v>0.75355442101570669</v>
      </c>
      <c r="AL51" s="56">
        <f>INDEX(LINEST(LN(AV51:BD51),LN(AV50:BD50),TRUE,TRUE),3,1)</f>
        <v>0.70912738373758788</v>
      </c>
      <c r="AM51" s="56">
        <f>INDEX(LINEST(LN(AV51:BD51),LN(AV50:BD50)),1)</f>
        <v>-4.2337376341122862E-2</v>
      </c>
      <c r="AN51" s="56">
        <f>EXP(INDEX(LINEST(LN(AV51:BD51),LN(AV50:BD50)),1,2))</f>
        <v>1.2862931370977502</v>
      </c>
      <c r="AO51" s="82">
        <f>INDEX(LINEST((AV51:BD51),LN(AV50:BD50),TRUE,TRUE),3,1)</f>
        <v>0.8135444351165666</v>
      </c>
      <c r="AP51" s="82">
        <f>INDEX(LINEST((AV51:BD51),LN(AV50:BD50)),1)</f>
        <v>-3.0329904803266954E-2</v>
      </c>
      <c r="AQ51" s="83">
        <f>INDEX(LINEST(LN(AV51:BD51),SQRT(AV50:BD50),TRUE,TRUE),3,1)</f>
        <v>0.9048458783456752</v>
      </c>
      <c r="AR51" s="116">
        <f>INDEX(LINEST(LN(AV51:BD51),SQRT((AV50:BD50))),1)</f>
        <v>-1.9526541607767111E-5</v>
      </c>
      <c r="AS51" s="84">
        <f>INDEX(LINEST(1/(AV51:BD51),1/(SQRT(AV50:BD50)),TRUE,TRUE),3,1)</f>
        <v>0.38668539981570399</v>
      </c>
      <c r="AT51" s="84">
        <f>INDEX(LINEST(1/(AV51:BD51),1/SQRT(AV50:BD50)),1)</f>
        <v>-6.1795982890492276</v>
      </c>
      <c r="AU51" s="3"/>
      <c r="AV51" s="53">
        <v>1</v>
      </c>
      <c r="AW51" s="53">
        <v>0.79126133553173905</v>
      </c>
      <c r="AX51" s="53">
        <v>0.61409588218033395</v>
      </c>
      <c r="AY51" s="53">
        <v>0.63689409923568097</v>
      </c>
      <c r="AZ51" s="53">
        <v>0.59448349099445208</v>
      </c>
      <c r="BA51" s="53">
        <v>0.59164419355289399</v>
      </c>
      <c r="BB51" s="53">
        <v>0.50807495074545495</v>
      </c>
      <c r="BC51" s="53">
        <v>0.44641524725082699</v>
      </c>
      <c r="BD51" s="53">
        <v>0.42934033842413399</v>
      </c>
      <c r="BE51" s="53"/>
      <c r="BF51" s="53"/>
      <c r="BG51" s="53"/>
      <c r="BH51" s="53"/>
      <c r="BI51" s="53"/>
      <c r="BJ51" s="53"/>
      <c r="BK51" s="53"/>
      <c r="BL51" s="53"/>
      <c r="BM51" s="53"/>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53"/>
      <c r="CO51" s="53"/>
      <c r="CP51" s="53"/>
      <c r="CQ51" s="53"/>
      <c r="CR51" s="1"/>
      <c r="CS51" s="1"/>
      <c r="CT51" s="1"/>
      <c r="CU51" s="1"/>
    </row>
    <row r="52" spans="1:99" s="13" customFormat="1" ht="12" customHeight="1" x14ac:dyDescent="0.2">
      <c r="A52" s="65">
        <v>43509</v>
      </c>
      <c r="B52" s="1"/>
      <c r="C52" s="1"/>
      <c r="D52" s="60"/>
      <c r="E52" s="76"/>
      <c r="F52" s="60"/>
      <c r="G52" s="60"/>
      <c r="H52" s="60"/>
      <c r="I52" s="60"/>
      <c r="J52" s="60"/>
      <c r="K52" s="64"/>
      <c r="L52" s="64"/>
      <c r="M52" s="60"/>
      <c r="N52" s="60"/>
      <c r="O52" s="60"/>
      <c r="P52" s="60"/>
      <c r="Q52" s="60"/>
      <c r="R52" s="60"/>
      <c r="S52" s="60"/>
      <c r="T52" s="60"/>
      <c r="U52" s="60"/>
      <c r="V52" s="60"/>
      <c r="W52" s="60"/>
      <c r="X52" s="60"/>
      <c r="Y52" s="76"/>
      <c r="Z52" s="60"/>
      <c r="AA52" s="60"/>
      <c r="AB52" s="60"/>
      <c r="AC52" s="60"/>
      <c r="AD52" s="60"/>
      <c r="AE52" s="60"/>
      <c r="AF52" s="80"/>
      <c r="AG52" s="56"/>
      <c r="AH52" s="4"/>
      <c r="AI52" s="56"/>
      <c r="AJ52" s="109"/>
      <c r="AK52" s="56"/>
      <c r="AL52" s="56"/>
      <c r="AM52" s="56"/>
      <c r="AN52" s="56"/>
      <c r="AO52" s="56"/>
      <c r="AP52" s="56"/>
      <c r="AQ52" s="82"/>
      <c r="AR52" s="115"/>
      <c r="AS52" s="82"/>
      <c r="AT52" s="82"/>
      <c r="AU52" s="3"/>
      <c r="AV52" s="25">
        <v>60</v>
      </c>
      <c r="AW52" s="25">
        <f>365*24*60*60*14.5/12</f>
        <v>38106000</v>
      </c>
      <c r="AX52" s="25">
        <f>365*24*60*60*37.8/12</f>
        <v>99338400</v>
      </c>
      <c r="AY52" s="25">
        <f>365*24*60*60*69.1/12</f>
        <v>181594800</v>
      </c>
      <c r="AZ52" s="25">
        <f>365*24*60*60*114/12</f>
        <v>299592000</v>
      </c>
      <c r="BA52" s="25">
        <f>365*24*60*60*175.1/12</f>
        <v>460162800</v>
      </c>
      <c r="BB52" s="25">
        <f>365*24*60*60*300.6/12</f>
        <v>789976800</v>
      </c>
      <c r="BC52" s="25">
        <f>365*24*60*60*415.2/12</f>
        <v>1091145600</v>
      </c>
      <c r="BD52" s="25">
        <f>365*24*60*60*596.4/12</f>
        <v>1567339200</v>
      </c>
      <c r="BE52" s="53"/>
      <c r="BF52" s="53"/>
      <c r="BG52" s="53"/>
      <c r="BH52" s="53"/>
      <c r="BI52" s="53"/>
      <c r="BJ52" s="53"/>
      <c r="BK52" s="53"/>
      <c r="BL52" s="53"/>
      <c r="BM52" s="53"/>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53"/>
      <c r="CO52" s="53"/>
      <c r="CP52" s="53"/>
      <c r="CQ52" s="53"/>
      <c r="CR52" s="1"/>
      <c r="CS52" s="1"/>
      <c r="CT52" s="1"/>
      <c r="CU52" s="1"/>
    </row>
    <row r="53" spans="1:99" s="13" customFormat="1" ht="12" customHeight="1" x14ac:dyDescent="0.2">
      <c r="A53" s="65">
        <v>43509</v>
      </c>
      <c r="B53" s="1" t="s">
        <v>208</v>
      </c>
      <c r="C53" s="1" t="s">
        <v>202</v>
      </c>
      <c r="D53" s="60">
        <v>1984</v>
      </c>
      <c r="E53" s="76">
        <v>1</v>
      </c>
      <c r="F53" s="60">
        <v>773</v>
      </c>
      <c r="G53" s="60">
        <v>91.6</v>
      </c>
      <c r="H53" s="60" t="s">
        <v>43</v>
      </c>
      <c r="I53" s="60" t="s">
        <v>609</v>
      </c>
      <c r="J53" s="60" t="s">
        <v>320</v>
      </c>
      <c r="K53" s="60">
        <f>IF(J53="syllables",1,IF(J53="trigrams",2,IF(J53="strings",3,IF(J53="visual array",4,IF(J53="characters",5,IF(J53="letters",6,IF(J53="free forms",7,IF(J53="odors",8,IF(J53="words",9,IF(J53="pictures",10,IF(J53="object pictures",11,IF(J53="faces",12,IF(J53="names",13,IF(J53="idioms",14,IF(J53="grades",15,IF(J53="syllable-digit pairs",16,IF(J53="trigram-word pairs",17,IF(J53="word-digit pairs",18,IF(J53="English-Swahili pairs",19,IF(J53="spatial position",20,IF(J53="word pairs",21,IF(J53="word triads",22,IF(J53="generated words",23,IF(J53="word definition pairs",24,IF(J53="math problems",25,IF(J53="famous faces",26,IF(J53="famous names",27,IF(J53="famous voices",28,IF(J53="television programs",29,IF(J53="race horses",30,IF(J53="new vocabulary",31,IF(J53="sentences",32,IF(J53="concepts",33,IF(J53="ad slides",34,IF(J53="scenes",35,IF(J53="famous scenes",36,IF(J53="poems",37,IF(J53="walk",38,IF(J53="faces and events",39,IF(J53="events and names",40,IF(J53="flashbulb",41,IF(J53="stories",42,IF(J53="course material",43,IF(J53="autobiographical",44,IF(J53="novels",45,IF(J53="public events",46,"99"))))))))))))))))))))))))))))))))))))))))))))))</f>
        <v>21</v>
      </c>
      <c r="L53" s="60">
        <f>IF(J53="syllables",1,IF(J53="trigrams",1,IF(J53="strings",1,IF(J53="visual array",1,IF(J53="characters",1,IF(J53="letters",1,IF(J53="free forms",1,IF(J53="odors",2,IF(J53="words",2,IF(J53="pictures",2,IF(J53="object pictures",2,IF(J53="faces",2,IF(J53="names",2,IF(J53="idioms","2",IF(J53="grades",2,IF(J53="syllable-digit pairs",3,IF(J53="trigram-word pairs",3,IF(J53="word-digit pairs",3,IF(J53="English-Swahili pairs",3,IF(J53="spatial position",3,IF(J53="word pairs",4,IF(J53="word triads",4,IF(J53="generated words",4,IF(J53="word definition pairs",4,IF(J53="math problems",4,IF(J53="famous faces",4,IF(J53="famous names",4,IF(J53="famous voices",4,IF(J53="television programs",4,IF(J53="race horses",4,IF(J53="new vocabulary",4,IF(J53="sentences",5,IF(J53="concepts",5,IF(J53="ad slides",5,IF(J53="scenes",5,IF(J53="famous scenes",5,IF(J53="poems",6,IF(J53="walk",6,IF(J53="faces and events",6,IF(J53="events and names",6,IF(J53="flashbulb",7,IF(J53="stories",7,IF(J53="course material",7,IF(J53="autobiographical",7,IF(J53="novels",7,IF(J53="public events",7,"99"))))))))))))))))))))))))))))))))))))))))))))))</f>
        <v>4</v>
      </c>
      <c r="M53" s="60">
        <v>1</v>
      </c>
      <c r="N53" s="60">
        <v>2</v>
      </c>
      <c r="O53" s="60">
        <v>0</v>
      </c>
      <c r="P53" s="60"/>
      <c r="Q53" s="60" t="s">
        <v>34</v>
      </c>
      <c r="R53" s="60">
        <f>IF(Q53="Free Recall",1,IF(Q53="Cued Recall",2,IF(Q53="Recognition",3,IF(Q53="Multiple Choice",4,IF(Q53="Savings",5,IF(Q53="Stem Completion",6,IF(Q53="Fragment Completion",7,IF(Q53="anagram solution",8,IF(Q53="Matching",9,IF(Q53="Problem Solving",10,"99"))))))))))</f>
        <v>3</v>
      </c>
      <c r="S53" s="60" t="s">
        <v>15</v>
      </c>
      <c r="T53" s="60" t="s">
        <v>261</v>
      </c>
      <c r="U53" s="60">
        <f>IF(T53="within",1,0)</f>
        <v>0</v>
      </c>
      <c r="V53" s="60">
        <v>30</v>
      </c>
      <c r="W53" s="60">
        <f>F53*V53</f>
        <v>23190</v>
      </c>
      <c r="X53" s="60">
        <v>9</v>
      </c>
      <c r="Y53" s="76">
        <f>AV52</f>
        <v>60</v>
      </c>
      <c r="Z53" s="60" t="s">
        <v>209</v>
      </c>
      <c r="AA53" s="60">
        <v>1576800000</v>
      </c>
      <c r="AB53" s="60" t="str">
        <f>IF(AA53&lt;60,"1",IF(AA53&lt;=43200,"2",IF(AA53&lt;=777600,"3","4")))</f>
        <v>4</v>
      </c>
      <c r="AC53" s="56">
        <f>AVERAGE(AV52:DA52)</f>
        <v>503028406.66666669</v>
      </c>
      <c r="AD53" s="60" t="str">
        <f>IF(AC53&lt;60,"1",IF(AC53&lt;=43200,"2",IF(AC53&lt;=777600,"3","4")))</f>
        <v>4</v>
      </c>
      <c r="AE53" s="76">
        <f>AA53-Y53</f>
        <v>1576799940</v>
      </c>
      <c r="AF53" s="80">
        <f>AV53</f>
        <v>1</v>
      </c>
      <c r="AG53" s="56">
        <f>((AW53-AV53)+(AX53-AW53)+(AY53-AX53)+(AZ53-AY53)+(BA53-AZ53)+(BB53-BA53)+(BC53-BB53)+(BD53-BC53))/8</f>
        <v>-7.8474505167613867E-2</v>
      </c>
      <c r="AH53" s="4"/>
      <c r="AI53" s="56">
        <f>RSQ(AV53:BD53,AV52:BD52)</f>
        <v>0.40179245946303216</v>
      </c>
      <c r="AJ53" s="109">
        <f>SLOPE(AV53:BD53,AV52:BD52)</f>
        <v>-2.4194374535953367E-10</v>
      </c>
      <c r="AK53" s="56">
        <f>INTERCEPT(AV53:BD53,AV52:BD52)</f>
        <v>0.66077495713025769</v>
      </c>
      <c r="AL53" s="56">
        <f>INDEX(LINEST(LN(AV53:BD53),LN(AV52:BD52),TRUE,TRUE),3,1)</f>
        <v>0.75874248517363851</v>
      </c>
      <c r="AM53" s="56">
        <f>INDEX(LINEST(LN(AV53:BD53),LN(AV52:BD52)),1)</f>
        <v>-5.3559106996117975E-2</v>
      </c>
      <c r="AN53" s="56">
        <f>EXP(INDEX(LINEST(LN(AV53:BD53),LN(AV52:BD52)),1,2))</f>
        <v>1.3326645931412864</v>
      </c>
      <c r="AO53" s="82">
        <f>INDEX(LINEST((AV53:BD53),LN(AV52:BD52),TRUE,TRUE),3,1)</f>
        <v>0.83992479001420617</v>
      </c>
      <c r="AP53" s="82">
        <f>INDEX(LINEST((AV53:BD53),LN(AV52:BD52)),1)</f>
        <v>-3.567246516489949E-2</v>
      </c>
      <c r="AQ53" s="83">
        <f>INDEX(LINEST(LN(AV53:BD53),SQRT(AV52:BD52),TRUE,TRUE),3,1)</f>
        <v>0.70378303672131481</v>
      </c>
      <c r="AR53" s="116">
        <f>INDEX(LINEST(LN(AV53:BD53),SQRT((AV52:BD52))),1)</f>
        <v>-2.106113322618E-5</v>
      </c>
      <c r="AS53" s="84">
        <f>INDEX(LINEST(1/(AV53:BD53),1/(SQRT(AV52:BD52)),TRUE,TRUE),3,1)</f>
        <v>0.48533025019529086</v>
      </c>
      <c r="AT53" s="84">
        <f>INDEX(LINEST(1/(AV53:BD53),1/SQRT(AV52:BD52)),1)</f>
        <v>-9.0656022562566019</v>
      </c>
      <c r="AU53" s="3"/>
      <c r="AV53" s="53">
        <v>1</v>
      </c>
      <c r="AW53" s="53">
        <v>0.75226574119980105</v>
      </c>
      <c r="AX53" s="53">
        <v>0.44158346363601603</v>
      </c>
      <c r="AY53" s="53">
        <v>0.49771862247816601</v>
      </c>
      <c r="AZ53" s="53">
        <v>0.47590709736470699</v>
      </c>
      <c r="BA53" s="53">
        <v>0.51390412264978402</v>
      </c>
      <c r="BB53" s="53">
        <v>0.40406849471797401</v>
      </c>
      <c r="BC53" s="53">
        <v>0.39398192288623596</v>
      </c>
      <c r="BD53" s="53">
        <v>0.37220395865908901</v>
      </c>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1"/>
      <c r="CS53" s="1"/>
      <c r="CT53" s="1"/>
      <c r="CU53" s="1"/>
    </row>
    <row r="54" spans="1:99" s="13" customFormat="1" ht="12" customHeight="1" x14ac:dyDescent="0.2">
      <c r="A54" s="65">
        <v>43509</v>
      </c>
      <c r="B54" s="1"/>
      <c r="C54" s="1"/>
      <c r="D54" s="60"/>
      <c r="E54" s="76"/>
      <c r="F54" s="60"/>
      <c r="G54" s="60"/>
      <c r="H54" s="60"/>
      <c r="I54" s="60"/>
      <c r="J54" s="60"/>
      <c r="K54" s="64"/>
      <c r="L54" s="64"/>
      <c r="M54" s="60"/>
      <c r="N54" s="60"/>
      <c r="O54" s="60"/>
      <c r="P54" s="60"/>
      <c r="Q54" s="60"/>
      <c r="R54" s="60"/>
      <c r="S54" s="60"/>
      <c r="T54" s="60"/>
      <c r="U54" s="60"/>
      <c r="V54" s="60"/>
      <c r="W54" s="60"/>
      <c r="X54" s="60"/>
      <c r="Y54" s="76"/>
      <c r="Z54" s="60"/>
      <c r="AA54" s="60"/>
      <c r="AB54" s="60"/>
      <c r="AC54" s="60"/>
      <c r="AD54" s="60"/>
      <c r="AE54" s="60"/>
      <c r="AF54" s="80"/>
      <c r="AG54" s="56"/>
      <c r="AH54" s="4"/>
      <c r="AI54" s="56"/>
      <c r="AJ54" s="109"/>
      <c r="AK54" s="56"/>
      <c r="AL54" s="56"/>
      <c r="AM54" s="56"/>
      <c r="AN54" s="56"/>
      <c r="AO54" s="56"/>
      <c r="AP54" s="56"/>
      <c r="AQ54" s="82"/>
      <c r="AR54" s="115"/>
      <c r="AS54" s="82"/>
      <c r="AT54" s="82"/>
      <c r="AU54" s="3"/>
      <c r="AV54" s="25">
        <v>60</v>
      </c>
      <c r="AW54" s="25">
        <f>365*24*60*60*14.5/12</f>
        <v>38106000</v>
      </c>
      <c r="AX54" s="25">
        <f>365*24*60*60*37.8/12</f>
        <v>99338400</v>
      </c>
      <c r="AY54" s="25">
        <f>365*24*60*60*69.1/12</f>
        <v>181594800</v>
      </c>
      <c r="AZ54" s="25">
        <f>365*24*60*60*114/12</f>
        <v>299592000</v>
      </c>
      <c r="BA54" s="25">
        <f>365*24*60*60*175.1/12</f>
        <v>460162800</v>
      </c>
      <c r="BB54" s="25">
        <f>365*24*60*60*300.6/12</f>
        <v>789976800</v>
      </c>
      <c r="BC54" s="25">
        <f>365*24*60*60*415.2/12</f>
        <v>1091145600</v>
      </c>
      <c r="BD54" s="25">
        <f>365*24*60*60*596.4/12</f>
        <v>1567339200</v>
      </c>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1"/>
      <c r="CS54" s="1"/>
      <c r="CT54" s="1"/>
      <c r="CU54" s="1"/>
    </row>
    <row r="55" spans="1:99" s="13" customFormat="1" ht="12" customHeight="1" x14ac:dyDescent="0.2">
      <c r="A55" s="65">
        <v>43509</v>
      </c>
      <c r="B55" s="1" t="s">
        <v>208</v>
      </c>
      <c r="C55" s="1" t="s">
        <v>202</v>
      </c>
      <c r="D55" s="60">
        <v>1984</v>
      </c>
      <c r="E55" s="76">
        <v>1</v>
      </c>
      <c r="F55" s="60">
        <v>773</v>
      </c>
      <c r="G55" s="60">
        <v>91.6</v>
      </c>
      <c r="H55" s="60" t="s">
        <v>43</v>
      </c>
      <c r="I55" s="60" t="s">
        <v>610</v>
      </c>
      <c r="J55" s="60" t="s">
        <v>320</v>
      </c>
      <c r="K55" s="60">
        <f>IF(J55="syllables",1,IF(J55="trigrams",2,IF(J55="strings",3,IF(J55="visual array",4,IF(J55="characters",5,IF(J55="letters",6,IF(J55="free forms",7,IF(J55="odors",8,IF(J55="words",9,IF(J55="pictures",10,IF(J55="object pictures",11,IF(J55="faces",12,IF(J55="names",13,IF(J55="idioms",14,IF(J55="grades",15,IF(J55="syllable-digit pairs",16,IF(J55="trigram-word pairs",17,IF(J55="word-digit pairs",18,IF(J55="English-Swahili pairs",19,IF(J55="spatial position",20,IF(J55="word pairs",21,IF(J55="word triads",22,IF(J55="generated words",23,IF(J55="word definition pairs",24,IF(J55="math problems",25,IF(J55="famous faces",26,IF(J55="famous names",27,IF(J55="famous voices",28,IF(J55="television programs",29,IF(J55="race horses",30,IF(J55="new vocabulary",31,IF(J55="sentences",32,IF(J55="concepts",33,IF(J55="ad slides",34,IF(J55="scenes",35,IF(J55="famous scenes",36,IF(J55="poems",37,IF(J55="walk",38,IF(J55="faces and events",39,IF(J55="events and names",40,IF(J55="flashbulb",41,IF(J55="stories",42,IF(J55="course material",43,IF(J55="autobiographical",44,IF(J55="novels",45,IF(J55="public events",46,"99"))))))))))))))))))))))))))))))))))))))))))))))</f>
        <v>21</v>
      </c>
      <c r="L55" s="60">
        <f>IF(J55="syllables",1,IF(J55="trigrams",1,IF(J55="strings",1,IF(J55="visual array",1,IF(J55="characters",1,IF(J55="letters",1,IF(J55="free forms",1,IF(J55="odors",2,IF(J55="words",2,IF(J55="pictures",2,IF(J55="object pictures",2,IF(J55="faces",2,IF(J55="names",2,IF(J55="idioms","2",IF(J55="grades",2,IF(J55="syllable-digit pairs",3,IF(J55="trigram-word pairs",3,IF(J55="word-digit pairs",3,IF(J55="English-Swahili pairs",3,IF(J55="spatial position",3,IF(J55="word pairs",4,IF(J55="word triads",4,IF(J55="generated words",4,IF(J55="word definition pairs",4,IF(J55="math problems",4,IF(J55="famous faces",4,IF(J55="famous names",4,IF(J55="famous voices",4,IF(J55="television programs",4,IF(J55="race horses",4,IF(J55="new vocabulary",4,IF(J55="sentences",5,IF(J55="concepts",5,IF(J55="ad slides",5,IF(J55="scenes",5,IF(J55="famous scenes",5,IF(J55="poems",6,IF(J55="walk",6,IF(J55="faces and events",6,IF(J55="events and names",6,IF(J55="flashbulb",7,IF(J55="stories",7,IF(J55="course material",7,IF(J55="autobiographical",7,IF(J55="novels",7,IF(J55="public events",7,"99"))))))))))))))))))))))))))))))))))))))))))))))</f>
        <v>4</v>
      </c>
      <c r="M55" s="60">
        <v>1</v>
      </c>
      <c r="N55" s="60">
        <v>2</v>
      </c>
      <c r="O55" s="60">
        <v>0</v>
      </c>
      <c r="P55" s="60"/>
      <c r="Q55" s="59" t="s">
        <v>174</v>
      </c>
      <c r="R55" s="60">
        <f>IF(Q55="Free Recall",1,IF(Q55="Cued Recall",2,IF(Q55="Recognition",3,IF(Q55="Multiple Choice",4,IF(Q55="Savings",5,IF(Q55="Stem Completion",6,IF(Q55="Fragment Completion",7,IF(Q55="anagram solution",8,IF(Q55="Matching",9,IF(Q55="Problem Solving",10,"99"))))))))))</f>
        <v>1</v>
      </c>
      <c r="S55" s="60" t="s">
        <v>49</v>
      </c>
      <c r="T55" s="60" t="s">
        <v>261</v>
      </c>
      <c r="U55" s="60">
        <f>IF(T55="within",1,0)</f>
        <v>0</v>
      </c>
      <c r="V55" s="60">
        <v>30</v>
      </c>
      <c r="W55" s="60">
        <f>F55*V55</f>
        <v>23190</v>
      </c>
      <c r="X55" s="60">
        <v>9</v>
      </c>
      <c r="Y55" s="76">
        <f>AV54</f>
        <v>60</v>
      </c>
      <c r="Z55" s="60" t="s">
        <v>209</v>
      </c>
      <c r="AA55" s="60">
        <v>1576800000</v>
      </c>
      <c r="AB55" s="60" t="str">
        <f>IF(AA55&lt;60,"1",IF(AA55&lt;=43200,"2",IF(AA55&lt;=777600,"3","4")))</f>
        <v>4</v>
      </c>
      <c r="AC55" s="56">
        <f>AVERAGE(AV54:DA54)</f>
        <v>503028406.66666669</v>
      </c>
      <c r="AD55" s="60" t="str">
        <f>IF(AC55&lt;60,"1",IF(AC55&lt;=43200,"2",IF(AC55&lt;=777600,"3","4")))</f>
        <v>4</v>
      </c>
      <c r="AE55" s="76">
        <f>AA55-Y55</f>
        <v>1576799940</v>
      </c>
      <c r="AF55" s="80">
        <f>AV55</f>
        <v>1</v>
      </c>
      <c r="AG55" s="58">
        <f>((AW55-AV55)+(AX55-AW55)+(AY55-AX55)+(AZ55-AY55)+(BA55-AZ55)+(BB55-BA55)+(BC55-BB55)+(BD55-BC55))/8</f>
        <v>-3.5944090614393132E-2</v>
      </c>
      <c r="AH55" s="4"/>
      <c r="AI55" s="56">
        <f>RSQ(AV55:BD55,AV54:BD54)</f>
        <v>0.23707456137914881</v>
      </c>
      <c r="AJ55" s="109">
        <f>SLOPE(AV55:BD55,AV54:BD54)</f>
        <v>-9.6411123894057521E-11</v>
      </c>
      <c r="AK55" s="56">
        <f>INTERCEPT(AV55:BD55,AV54:BD54)</f>
        <v>0.8055451930384252</v>
      </c>
      <c r="AL55" s="56">
        <f>INDEX(LINEST(LN(AV55:BD55),LN(AV54:BD54),TRUE,TRUE),3,1)</f>
        <v>0.76208958250528314</v>
      </c>
      <c r="AM55" s="56">
        <f>INDEX(LINEST(LN(AV55:BD55),LN(AV54:BD54)),1)</f>
        <v>-2.1493974579724399E-2</v>
      </c>
      <c r="AN55" s="56">
        <f>EXP(INDEX(LINEST(LN(AV55:BD55),LN(AV54:BD54)),1,2))</f>
        <v>1.1029491337776929</v>
      </c>
      <c r="AO55" s="82">
        <f>INDEX(LINEST((AV55:BD55),LN(AV54:BD54),TRUE,TRUE),3,1)</f>
        <v>0.80462782538631794</v>
      </c>
      <c r="AP55" s="82">
        <f>INDEX(LINEST((AV55:BD55),LN(AV54:BD54)),1)</f>
        <v>-1.8112633760091E-2</v>
      </c>
      <c r="AQ55" s="83">
        <f>INDEX(LINEST(LN(AV55:BD55),SQRT(AV54:BD54),TRUE,TRUE),3,1)</f>
        <v>0.44253009691505446</v>
      </c>
      <c r="AR55" s="116">
        <f>INDEX(LINEST(LN(AV55:BD55),SQRT((AV54:BD54))),1)</f>
        <v>-6.6874621472329408E-6</v>
      </c>
      <c r="AS55" s="84">
        <f>INDEX(LINEST(1/(AV55:BD55),1/(SQRT(AV54:BD54)),TRUE,TRUE),3,1)</f>
        <v>0.62784678116785797</v>
      </c>
      <c r="AT55" s="84">
        <f>INDEX(LINEST(1/(AV55:BD55),1/SQRT(AV54:BD54)),1)</f>
        <v>-2.9754575857853802</v>
      </c>
      <c r="AU55" s="3"/>
      <c r="AV55" s="53">
        <v>1</v>
      </c>
      <c r="AW55" s="53">
        <v>0.85185309484764105</v>
      </c>
      <c r="AX55" s="53">
        <v>0.67560962587239204</v>
      </c>
      <c r="AY55" s="53">
        <v>0.74004652759238698</v>
      </c>
      <c r="AZ55" s="53">
        <v>0.69332977384539107</v>
      </c>
      <c r="BA55" s="53">
        <v>0.77115746920407302</v>
      </c>
      <c r="BB55" s="53">
        <v>0.68124175279356192</v>
      </c>
      <c r="BC55" s="53">
        <v>0.68774341176919196</v>
      </c>
      <c r="BD55" s="53">
        <v>0.71244727508485495</v>
      </c>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1"/>
      <c r="CS55" s="1"/>
      <c r="CT55" s="1"/>
      <c r="CU55" s="1"/>
    </row>
    <row r="56" spans="1:99" s="13" customFormat="1" ht="12" customHeight="1" x14ac:dyDescent="0.2">
      <c r="A56" s="65">
        <v>43509</v>
      </c>
      <c r="B56" s="1"/>
      <c r="C56" s="1"/>
      <c r="D56" s="60"/>
      <c r="E56" s="76"/>
      <c r="F56" s="60"/>
      <c r="G56" s="60"/>
      <c r="H56" s="60"/>
      <c r="I56" s="60"/>
      <c r="J56" s="60"/>
      <c r="K56" s="64"/>
      <c r="L56" s="64"/>
      <c r="M56" s="60"/>
      <c r="N56" s="60"/>
      <c r="O56" s="60"/>
      <c r="P56" s="60"/>
      <c r="Q56" s="60"/>
      <c r="R56" s="60"/>
      <c r="S56" s="60"/>
      <c r="T56" s="60"/>
      <c r="U56" s="60"/>
      <c r="V56" s="60"/>
      <c r="W56" s="60"/>
      <c r="X56" s="60"/>
      <c r="Y56" s="76"/>
      <c r="Z56" s="60"/>
      <c r="AA56" s="60"/>
      <c r="AB56" s="60"/>
      <c r="AC56" s="60"/>
      <c r="AD56" s="60"/>
      <c r="AE56" s="60"/>
      <c r="AF56" s="80"/>
      <c r="AG56" s="56"/>
      <c r="AH56" s="4"/>
      <c r="AI56" s="56"/>
      <c r="AJ56" s="109"/>
      <c r="AK56" s="56"/>
      <c r="AL56" s="56"/>
      <c r="AM56" s="56"/>
      <c r="AN56" s="56"/>
      <c r="AO56" s="56"/>
      <c r="AP56" s="56"/>
      <c r="AQ56" s="82"/>
      <c r="AR56" s="115"/>
      <c r="AS56" s="82"/>
      <c r="AT56" s="82"/>
      <c r="AU56" s="3"/>
      <c r="AV56" s="25">
        <v>60</v>
      </c>
      <c r="AW56" s="25">
        <f>365*24*60*60*14.5/12</f>
        <v>38106000</v>
      </c>
      <c r="AX56" s="25">
        <f>365*24*60*60*37.8/12</f>
        <v>99338400</v>
      </c>
      <c r="AY56" s="25">
        <f>365*24*60*60*69.1/12</f>
        <v>181594800</v>
      </c>
      <c r="AZ56" s="25">
        <f>365*24*60*60*114/12</f>
        <v>299592000</v>
      </c>
      <c r="BA56" s="25">
        <f>365*24*60*60*175.1/12</f>
        <v>460162800</v>
      </c>
      <c r="BB56" s="25">
        <f>365*24*60*60*300.6/12</f>
        <v>789976800</v>
      </c>
      <c r="BC56" s="25">
        <f>365*24*60*60*415.2/12</f>
        <v>1091145600</v>
      </c>
      <c r="BD56" s="25">
        <f>365*24*60*60*596.4/12</f>
        <v>1567339200</v>
      </c>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1"/>
      <c r="CS56" s="1"/>
      <c r="CT56" s="1"/>
      <c r="CU56" s="1"/>
    </row>
    <row r="57" spans="1:99" s="13" customFormat="1" ht="12" customHeight="1" x14ac:dyDescent="0.2">
      <c r="A57" s="65">
        <v>43509</v>
      </c>
      <c r="B57" s="1" t="s">
        <v>208</v>
      </c>
      <c r="C57" s="1" t="s">
        <v>202</v>
      </c>
      <c r="D57" s="60">
        <v>1984</v>
      </c>
      <c r="E57" s="76">
        <v>1</v>
      </c>
      <c r="F57" s="60">
        <v>773</v>
      </c>
      <c r="G57" s="60">
        <v>91.6</v>
      </c>
      <c r="H57" s="60" t="s">
        <v>43</v>
      </c>
      <c r="I57" s="60" t="s">
        <v>611</v>
      </c>
      <c r="J57" s="60" t="s">
        <v>320</v>
      </c>
      <c r="K57" s="60">
        <f>IF(J57="syllables",1,IF(J57="trigrams",2,IF(J57="strings",3,IF(J57="visual array",4,IF(J57="characters",5,IF(J57="letters",6,IF(J57="free forms",7,IF(J57="odors",8,IF(J57="words",9,IF(J57="pictures",10,IF(J57="object pictures",11,IF(J57="faces",12,IF(J57="names",13,IF(J57="idioms",14,IF(J57="grades",15,IF(J57="syllable-digit pairs",16,IF(J57="trigram-word pairs",17,IF(J57="word-digit pairs",18,IF(J57="English-Swahili pairs",19,IF(J57="spatial position",20,IF(J57="word pairs",21,IF(J57="word triads",22,IF(J57="generated words",23,IF(J57="word definition pairs",24,IF(J57="math problems",25,IF(J57="famous faces",26,IF(J57="famous names",27,IF(J57="famous voices",28,IF(J57="television programs",29,IF(J57="race horses",30,IF(J57="new vocabulary",31,IF(J57="sentences",32,IF(J57="concepts",33,IF(J57="ad slides",34,IF(J57="scenes",35,IF(J57="famous scenes",36,IF(J57="poems",37,IF(J57="walk",38,IF(J57="faces and events",39,IF(J57="events and names",40,IF(J57="flashbulb",41,IF(J57="stories",42,IF(J57="course material",43,IF(J57="autobiographical",44,IF(J57="novels",45,IF(J57="public events",46,"99"))))))))))))))))))))))))))))))))))))))))))))))</f>
        <v>21</v>
      </c>
      <c r="L57" s="60">
        <f>IF(J57="syllables",1,IF(J57="trigrams",1,IF(J57="strings",1,IF(J57="visual array",1,IF(J57="characters",1,IF(J57="letters",1,IF(J57="free forms",1,IF(J57="odors",2,IF(J57="words",2,IF(J57="pictures",2,IF(J57="object pictures",2,IF(J57="faces",2,IF(J57="names",2,IF(J57="idioms","2",IF(J57="grades",2,IF(J57="syllable-digit pairs",3,IF(J57="trigram-word pairs",3,IF(J57="word-digit pairs",3,IF(J57="English-Swahili pairs",3,IF(J57="spatial position",3,IF(J57="word pairs",4,IF(J57="word triads",4,IF(J57="generated words",4,IF(J57="word definition pairs",4,IF(J57="math problems",4,IF(J57="famous faces",4,IF(J57="famous names",4,IF(J57="famous voices",4,IF(J57="television programs",4,IF(J57="race horses",4,IF(J57="new vocabulary",4,IF(J57="sentences",5,IF(J57="concepts",5,IF(J57="ad slides",5,IF(J57="scenes",5,IF(J57="famous scenes",5,IF(J57="poems",6,IF(J57="walk",6,IF(J57="faces and events",6,IF(J57="events and names",6,IF(J57="flashbulb",7,IF(J57="stories",7,IF(J57="course material",7,IF(J57="autobiographical",7,IF(J57="novels",7,IF(J57="public events",7,"99"))))))))))))))))))))))))))))))))))))))))))))))</f>
        <v>4</v>
      </c>
      <c r="M57" s="60">
        <v>1</v>
      </c>
      <c r="N57" s="60">
        <v>2</v>
      </c>
      <c r="O57" s="60">
        <v>0</v>
      </c>
      <c r="P57" s="60"/>
      <c r="Q57" s="60" t="s">
        <v>34</v>
      </c>
      <c r="R57" s="60">
        <f>IF(Q57="Free Recall",1,IF(Q57="Cued Recall",2,IF(Q57="Recognition",3,IF(Q57="Multiple Choice",4,IF(Q57="Savings",5,IF(Q57="Stem Completion",6,IF(Q57="Fragment Completion",7,IF(Q57="anagram solution",8,IF(Q57="Matching",9,IF(Q57="Problem Solving",10,"99"))))))))))</f>
        <v>3</v>
      </c>
      <c r="S57" s="60" t="s">
        <v>15</v>
      </c>
      <c r="T57" s="60" t="s">
        <v>261</v>
      </c>
      <c r="U57" s="60">
        <f>IF(T57="within",1,0)</f>
        <v>0</v>
      </c>
      <c r="V57" s="60">
        <v>30</v>
      </c>
      <c r="W57" s="60">
        <f>F57*V57</f>
        <v>23190</v>
      </c>
      <c r="X57" s="60">
        <v>9</v>
      </c>
      <c r="Y57" s="76">
        <f>AV56</f>
        <v>60</v>
      </c>
      <c r="Z57" s="60" t="s">
        <v>209</v>
      </c>
      <c r="AA57" s="60">
        <v>1576800000</v>
      </c>
      <c r="AB57" s="60" t="str">
        <f>IF(AA57&lt;60,"1",IF(AA57&lt;=43200,"2",IF(AA57&lt;=777600,"3","4")))</f>
        <v>4</v>
      </c>
      <c r="AC57" s="56">
        <f>AVERAGE(AV56:DA56)</f>
        <v>503028406.66666669</v>
      </c>
      <c r="AD57" s="60" t="str">
        <f>IF(AC57&lt;60,"1",IF(AC57&lt;=43200,"2",IF(AC57&lt;=777600,"3","4")))</f>
        <v>4</v>
      </c>
      <c r="AE57" s="76">
        <f>AA57-Y57</f>
        <v>1576799940</v>
      </c>
      <c r="AF57" s="80">
        <f>AV57</f>
        <v>1</v>
      </c>
      <c r="AG57" s="56">
        <f>((AW57-AV57)+(AX57-AW57)+(AY57-AX57)+(AZ57-AY57)+(BA57-AZ57)+(BB57-BA57)+(BC57-BB57)+(BD57-BC57))/8</f>
        <v>-8.5942183745852621E-2</v>
      </c>
      <c r="AH57" s="4"/>
      <c r="AI57" s="56">
        <f>RSQ(AV57:BD57,AV56:BD56)</f>
        <v>0.33272770963753318</v>
      </c>
      <c r="AJ57" s="109">
        <f>SLOPE(AV57:BD57,AV56:BD56)</f>
        <v>-2.4644330281607513E-10</v>
      </c>
      <c r="AK57" s="56">
        <f>INTERCEPT(AV57:BD57,AV56:BD56)</f>
        <v>0.6012615846171615</v>
      </c>
      <c r="AL57" s="56">
        <f>INDEX(LINEST(LN(AV57:BD57),LN(AV56:BD56),TRUE,TRUE),3,1)</f>
        <v>0.77000619393135439</v>
      </c>
      <c r="AM57" s="56">
        <f>INDEX(LINEST(LN(AV57:BD57),LN(AV56:BD56)),1)</f>
        <v>-6.4877870240526714E-2</v>
      </c>
      <c r="AN57" s="56">
        <f>EXP(INDEX(LINEST(LN(AV57:BD57),LN(AV56:BD56)),1,2))</f>
        <v>1.40715911030984</v>
      </c>
      <c r="AO57" s="82">
        <f>INDEX(LINEST((AV57:BD57),LN(AV56:BD56),TRUE,TRUE),3,1)</f>
        <v>0.84830371197881738</v>
      </c>
      <c r="AP57" s="82">
        <f>INDEX(LINEST((AV57:BD57),LN(AV56:BD56)),1)</f>
        <v>-4.0128010956527738E-2</v>
      </c>
      <c r="AQ57" s="83">
        <f>INDEX(LINEST(LN(AV57:BD57),SQRT(AV56:BD56),TRUE,TRUE),3,1)</f>
        <v>0.63792464675581306</v>
      </c>
      <c r="AR57" s="116">
        <f>INDEX(LINEST(LN(AV57:BD57),SQRT((AV56:BD56))),1)</f>
        <v>-2.4110731034191455E-5</v>
      </c>
      <c r="AS57" s="84">
        <f>INDEX(LINEST(1/(AV57:BD57),1/(SQRT(AV56:BD56)),TRUE,TRUE),3,1)</f>
        <v>0.50657254889960668</v>
      </c>
      <c r="AT57" s="84">
        <f>INDEX(LINEST(1/(AV57:BD57),1/SQRT(AV56:BD56)),1)</f>
        <v>-12.236647141297313</v>
      </c>
      <c r="AU57" s="3"/>
      <c r="AV57" s="53">
        <v>1</v>
      </c>
      <c r="AW57" s="53">
        <v>0.72239655238167799</v>
      </c>
      <c r="AX57" s="53">
        <v>0.405072270317684</v>
      </c>
      <c r="AY57" s="53">
        <v>0.39315510468708198</v>
      </c>
      <c r="AZ57" s="53">
        <v>0.33814881202089903</v>
      </c>
      <c r="BA57" s="53">
        <v>0.42261851187978999</v>
      </c>
      <c r="BB57" s="53">
        <v>0.35261965600091499</v>
      </c>
      <c r="BC57" s="53">
        <v>0.34916898669005697</v>
      </c>
      <c r="BD57" s="53">
        <v>0.31246253003317898</v>
      </c>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1"/>
      <c r="CS57" s="1"/>
      <c r="CT57" s="1"/>
      <c r="CU57" s="1"/>
    </row>
    <row r="58" spans="1:99" s="13" customFormat="1" ht="12" customHeight="1" x14ac:dyDescent="0.2">
      <c r="A58" s="65">
        <v>43509</v>
      </c>
      <c r="B58" s="1"/>
      <c r="C58" s="1"/>
      <c r="D58" s="60"/>
      <c r="E58" s="76"/>
      <c r="F58" s="60"/>
      <c r="G58" s="60"/>
      <c r="H58" s="60"/>
      <c r="I58" s="60"/>
      <c r="J58" s="60"/>
      <c r="K58" s="64"/>
      <c r="L58" s="64"/>
      <c r="M58" s="60"/>
      <c r="N58" s="60"/>
      <c r="O58" s="60"/>
      <c r="P58" s="60"/>
      <c r="Q58" s="60"/>
      <c r="R58" s="60"/>
      <c r="S58" s="60"/>
      <c r="T58" s="60"/>
      <c r="U58" s="60"/>
      <c r="V58" s="60"/>
      <c r="W58" s="60"/>
      <c r="X58" s="60"/>
      <c r="Y58" s="76"/>
      <c r="Z58" s="60"/>
      <c r="AA58" s="60"/>
      <c r="AB58" s="60"/>
      <c r="AC58" s="60"/>
      <c r="AD58" s="60"/>
      <c r="AE58" s="60"/>
      <c r="AF58" s="80"/>
      <c r="AG58" s="56"/>
      <c r="AH58" s="4"/>
      <c r="AI58" s="56"/>
      <c r="AJ58" s="109"/>
      <c r="AK58" s="56"/>
      <c r="AL58" s="56"/>
      <c r="AM58" s="56"/>
      <c r="AN58" s="56"/>
      <c r="AO58" s="56"/>
      <c r="AP58" s="56"/>
      <c r="AQ58" s="82"/>
      <c r="AR58" s="115"/>
      <c r="AS58" s="82"/>
      <c r="AT58" s="82"/>
      <c r="AU58" s="3"/>
      <c r="AV58" s="25">
        <v>60</v>
      </c>
      <c r="AW58" s="25">
        <f>365*24*60*60*14.5/12</f>
        <v>38106000</v>
      </c>
      <c r="AX58" s="25">
        <f>365*24*60*60*37.8/12</f>
        <v>99338400</v>
      </c>
      <c r="AY58" s="25">
        <f>365*24*60*60*69.1/12</f>
        <v>181594800</v>
      </c>
      <c r="AZ58" s="25">
        <f>365*24*60*60*114/12</f>
        <v>299592000</v>
      </c>
      <c r="BA58" s="25">
        <f>365*24*60*60*175.1/12</f>
        <v>460162800</v>
      </c>
      <c r="BB58" s="25">
        <f>365*24*60*60*300.6/12</f>
        <v>789976800</v>
      </c>
      <c r="BC58" s="25">
        <f>365*24*60*60*415.2/12</f>
        <v>1091145600</v>
      </c>
      <c r="BD58" s="25">
        <f>365*24*60*60*596.4/12</f>
        <v>1567339200</v>
      </c>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1"/>
      <c r="CS58" s="1"/>
      <c r="CT58" s="1"/>
      <c r="CU58" s="1"/>
    </row>
    <row r="59" spans="1:99" s="13" customFormat="1" ht="12" customHeight="1" x14ac:dyDescent="0.2">
      <c r="A59" s="65">
        <v>43509</v>
      </c>
      <c r="B59" s="1" t="s">
        <v>208</v>
      </c>
      <c r="C59" s="1" t="s">
        <v>202</v>
      </c>
      <c r="D59" s="60">
        <v>1984</v>
      </c>
      <c r="E59" s="76">
        <v>1</v>
      </c>
      <c r="F59" s="60">
        <v>773</v>
      </c>
      <c r="G59" s="60">
        <v>91.6</v>
      </c>
      <c r="H59" s="60" t="s">
        <v>43</v>
      </c>
      <c r="I59" s="60" t="s">
        <v>612</v>
      </c>
      <c r="J59" s="60" t="s">
        <v>320</v>
      </c>
      <c r="K59" s="60">
        <f>IF(J59="syllables",1,IF(J59="trigrams",2,IF(J59="strings",3,IF(J59="visual array",4,IF(J59="characters",5,IF(J59="letters",6,IF(J59="free forms",7,IF(J59="odors",8,IF(J59="words",9,IF(J59="pictures",10,IF(J59="object pictures",11,IF(J59="faces",12,IF(J59="names",13,IF(J59="idioms",14,IF(J59="grades",15,IF(J59="syllable-digit pairs",16,IF(J59="trigram-word pairs",17,IF(J59="word-digit pairs",18,IF(J59="English-Swahili pairs",19,IF(J59="spatial position",20,IF(J59="word pairs",21,IF(J59="word triads",22,IF(J59="generated words",23,IF(J59="word definition pairs",24,IF(J59="math problems",25,IF(J59="famous faces",26,IF(J59="famous names",27,IF(J59="famous voices",28,IF(J59="television programs",29,IF(J59="race horses",30,IF(J59="new vocabulary",31,IF(J59="sentences",32,IF(J59="concepts",33,IF(J59="ad slides",34,IF(J59="scenes",35,IF(J59="famous scenes",36,IF(J59="poems",37,IF(J59="walk",38,IF(J59="faces and events",39,IF(J59="events and names",40,IF(J59="flashbulb",41,IF(J59="stories",42,IF(J59="course material",43,IF(J59="autobiographical",44,IF(J59="novels",45,IF(J59="public events",46,"99"))))))))))))))))))))))))))))))))))))))))))))))</f>
        <v>21</v>
      </c>
      <c r="L59" s="60">
        <f>IF(J59="syllables",1,IF(J59="trigrams",1,IF(J59="strings",1,IF(J59="visual array",1,IF(J59="characters",1,IF(J59="letters",1,IF(J59="free forms",1,IF(J59="odors",2,IF(J59="words",2,IF(J59="pictures",2,IF(J59="object pictures",2,IF(J59="faces",2,IF(J59="names",2,IF(J59="idioms","2",IF(J59="grades",2,IF(J59="syllable-digit pairs",3,IF(J59="trigram-word pairs",3,IF(J59="word-digit pairs",3,IF(J59="English-Swahili pairs",3,IF(J59="spatial position",3,IF(J59="word pairs",4,IF(J59="word triads",4,IF(J59="generated words",4,IF(J59="word definition pairs",4,IF(J59="math problems",4,IF(J59="famous faces",4,IF(J59="famous names",4,IF(J59="famous voices",4,IF(J59="television programs",4,IF(J59="race horses",4,IF(J59="new vocabulary",4,IF(J59="sentences",5,IF(J59="concepts",5,IF(J59="ad slides",5,IF(J59="scenes",5,IF(J59="famous scenes",5,IF(J59="poems",6,IF(J59="walk",6,IF(J59="faces and events",6,IF(J59="events and names",6,IF(J59="flashbulb",7,IF(J59="stories",7,IF(J59="course material",7,IF(J59="autobiographical",7,IF(J59="novels",7,IF(J59="public events",7,"99"))))))))))))))))))))))))))))))))))))))))))))))</f>
        <v>4</v>
      </c>
      <c r="M59" s="60">
        <v>1</v>
      </c>
      <c r="N59" s="60">
        <v>2</v>
      </c>
      <c r="O59" s="60">
        <v>0</v>
      </c>
      <c r="P59" s="60"/>
      <c r="Q59" s="59" t="s">
        <v>174</v>
      </c>
      <c r="R59" s="60">
        <f>IF(Q59="Free Recall",1,IF(Q59="Cued Recall",2,IF(Q59="Recognition",3,IF(Q59="Multiple Choice",4,IF(Q59="Savings",5,IF(Q59="Stem Completion",6,IF(Q59="Fragment Completion",7,IF(Q59="anagram solution",8,IF(Q59="Matching",9,IF(Q59="Problem Solving",10,"99"))))))))))</f>
        <v>1</v>
      </c>
      <c r="S59" s="60" t="s">
        <v>49</v>
      </c>
      <c r="T59" s="60" t="s">
        <v>261</v>
      </c>
      <c r="U59" s="60">
        <f>IF(T59="within",1,0)</f>
        <v>0</v>
      </c>
      <c r="V59" s="60">
        <v>30</v>
      </c>
      <c r="W59" s="60">
        <f>F59*V59</f>
        <v>23190</v>
      </c>
      <c r="X59" s="60">
        <v>9</v>
      </c>
      <c r="Y59" s="76">
        <f>AV58</f>
        <v>60</v>
      </c>
      <c r="Z59" s="60" t="s">
        <v>209</v>
      </c>
      <c r="AA59" s="60">
        <v>1576800000</v>
      </c>
      <c r="AB59" s="60" t="str">
        <f>IF(AA59&lt;60,"1",IF(AA59&lt;=43200,"2",IF(AA59&lt;=777600,"3","4")))</f>
        <v>4</v>
      </c>
      <c r="AC59" s="56">
        <f>AVERAGE(AV58:DA58)</f>
        <v>503028406.66666669</v>
      </c>
      <c r="AD59" s="60" t="str">
        <f>IF(AC59&lt;60,"1",IF(AC59&lt;=43200,"2",IF(AC59&lt;=777600,"3","4")))</f>
        <v>4</v>
      </c>
      <c r="AE59" s="76">
        <f>AA59-Y59</f>
        <v>1576799940</v>
      </c>
      <c r="AF59" s="80">
        <f>AV59</f>
        <v>1</v>
      </c>
      <c r="AG59" s="58">
        <f>((AW59-AV59)+(AX59-AW59)+(AY59-AX59)+(AZ59-AY59)+(BA59-AZ59)+(BB59-BA59)+(BC59-BB59)+(BD59-BC59))/8</f>
        <v>-3.9470271919453875E-2</v>
      </c>
      <c r="AH59" s="4"/>
      <c r="AI59" s="56">
        <f>RSQ(AV59:BD59,AV58:BD58)</f>
        <v>0.36022676046998414</v>
      </c>
      <c r="AJ59" s="109">
        <f>SLOPE(AV59:BD59,AV58:BD58)</f>
        <v>-1.2795368958834734E-10</v>
      </c>
      <c r="AK59" s="56">
        <f>INTERCEPT(AV59:BD59,AV58:BD58)</f>
        <v>0.83118635349117842</v>
      </c>
      <c r="AL59" s="56">
        <f>INDEX(LINEST(LN(AV59:BD59),LN(AV58:BD58),TRUE,TRUE),3,1)</f>
        <v>0.68451094051104722</v>
      </c>
      <c r="AM59" s="56">
        <f>INDEX(LINEST(LN(AV59:BD59),LN(AV58:BD58)),1)</f>
        <v>-2.1813466443657538E-2</v>
      </c>
      <c r="AN59" s="56">
        <f>EXP(INDEX(LINEST(LN(AV59:BD59),LN(AV58:BD58)),1,2))</f>
        <v>1.1223176172957749</v>
      </c>
      <c r="AO59" s="82">
        <f>INDEX(LINEST((AV59:BD59),LN(AV58:BD58),TRUE,TRUE),3,1)</f>
        <v>0.71348205123294317</v>
      </c>
      <c r="AP59" s="82">
        <f>INDEX(LINEST((AV59:BD59),LN(AV58:BD58)),1)</f>
        <v>-1.8363513040474677E-2</v>
      </c>
      <c r="AQ59" s="83">
        <f>INDEX(LINEST(LN(AV59:BD59),SQRT(AV58:BD58),TRUE,TRUE),3,1)</f>
        <v>0.57841092234190916</v>
      </c>
      <c r="AR59" s="116">
        <f>INDEX(LINEST(LN(AV59:BD59),SQRT((AV58:BD58))),1)</f>
        <v>-8.1870782979847235E-6</v>
      </c>
      <c r="AS59" s="84">
        <f>INDEX(LINEST(1/(AV59:BD59),1/(SQRT(AV58:BD58)),TRUE,TRUE),3,1)</f>
        <v>0.51103630534596201</v>
      </c>
      <c r="AT59" s="84">
        <f>INDEX(LINEST(1/(AV59:BD59),1/SQRT(AV58:BD58)),1)</f>
        <v>-2.8526631573695664</v>
      </c>
      <c r="AU59" s="3"/>
      <c r="AV59" s="53">
        <v>1</v>
      </c>
      <c r="AW59" s="53">
        <v>0.92156210670836303</v>
      </c>
      <c r="AX59" s="53">
        <v>0.69884596315929892</v>
      </c>
      <c r="AY59" s="53">
        <v>0.70518897067236097</v>
      </c>
      <c r="AZ59" s="53">
        <v>0.75805957057320394</v>
      </c>
      <c r="BA59" s="53">
        <v>0.757876511193318</v>
      </c>
      <c r="BB59" s="53">
        <v>0.696176347202623</v>
      </c>
      <c r="BC59" s="53">
        <v>0.67945082186034</v>
      </c>
      <c r="BD59" s="53">
        <v>0.684237824644369</v>
      </c>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1"/>
      <c r="CS59" s="1"/>
      <c r="CT59" s="1"/>
      <c r="CU59" s="1"/>
    </row>
    <row r="60" spans="1:99" s="13" customFormat="1" ht="12" customHeight="1" x14ac:dyDescent="0.2">
      <c r="A60" s="68">
        <v>43509</v>
      </c>
      <c r="B60" s="70"/>
      <c r="C60" s="70"/>
      <c r="D60" s="69"/>
      <c r="E60" s="87"/>
      <c r="F60" s="69"/>
      <c r="G60" s="69"/>
      <c r="H60" s="69"/>
      <c r="I60" s="69"/>
      <c r="J60" s="69"/>
      <c r="K60" s="107"/>
      <c r="L60" s="107"/>
      <c r="M60" s="69"/>
      <c r="N60" s="69"/>
      <c r="O60" s="69"/>
      <c r="P60" s="69"/>
      <c r="Q60" s="69"/>
      <c r="R60" s="69"/>
      <c r="S60" s="69"/>
      <c r="T60" s="69"/>
      <c r="U60" s="69"/>
      <c r="V60" s="69"/>
      <c r="W60" s="69"/>
      <c r="X60" s="69"/>
      <c r="Y60" s="87"/>
      <c r="Z60" s="69"/>
      <c r="AA60" s="69"/>
      <c r="AB60" s="69"/>
      <c r="AC60" s="69"/>
      <c r="AD60" s="69"/>
      <c r="AE60" s="69"/>
      <c r="AF60" s="88"/>
      <c r="AG60" s="72"/>
      <c r="AH60" s="4"/>
      <c r="AI60" s="72"/>
      <c r="AJ60" s="110"/>
      <c r="AK60" s="72"/>
      <c r="AL60" s="72"/>
      <c r="AM60" s="72"/>
      <c r="AN60" s="72"/>
      <c r="AO60" s="72"/>
      <c r="AP60" s="72"/>
      <c r="AQ60" s="89"/>
      <c r="AR60" s="118"/>
      <c r="AS60" s="89"/>
      <c r="AT60" s="89"/>
      <c r="AU60" s="3"/>
      <c r="AV60" s="71">
        <f>365*24*60*60*0.25</f>
        <v>7884000</v>
      </c>
      <c r="AW60" s="71">
        <f>365*24*60*60*8.5</f>
        <v>268056000</v>
      </c>
      <c r="AX60" s="71">
        <f>365*24*60*60*19</f>
        <v>599184000</v>
      </c>
      <c r="AY60" s="71">
        <f>365*24*60*60*32.5</f>
        <v>1024920000</v>
      </c>
      <c r="AZ60" s="71">
        <f>365*24*60*60*47.25</f>
        <v>1490076000</v>
      </c>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1"/>
      <c r="CS60" s="1"/>
      <c r="CT60" s="1"/>
      <c r="CU60" s="1"/>
    </row>
    <row r="61" spans="1:99" s="13" customFormat="1" ht="12" customHeight="1" x14ac:dyDescent="0.2">
      <c r="A61" s="68">
        <v>43509</v>
      </c>
      <c r="B61" s="70" t="s">
        <v>210</v>
      </c>
      <c r="C61" s="70" t="s">
        <v>211</v>
      </c>
      <c r="D61" s="69">
        <v>2008</v>
      </c>
      <c r="E61" s="87">
        <v>1</v>
      </c>
      <c r="F61" s="69">
        <v>267</v>
      </c>
      <c r="G61" s="69">
        <v>55.2</v>
      </c>
      <c r="H61" s="69" t="s">
        <v>43</v>
      </c>
      <c r="I61" s="69" t="s">
        <v>618</v>
      </c>
      <c r="J61" s="69" t="s">
        <v>617</v>
      </c>
      <c r="K61" s="69">
        <f>IF(J61="syllables",1,IF(J61="trigrams",2,IF(J61="strings",3,IF(J61="visual array",4,IF(J61="characters",5,IF(J61="letters",6,IF(J61="free forms",7,IF(J61="odors",8,IF(J61="words",9,IF(J61="pictures",10,IF(J61="object pictures",11,IF(J61="faces",12,IF(J61="names",13,IF(J61="idioms",14,IF(J61="grades",15,IF(J61="syllable-digit pairs",16,IF(J61="trigram-word pairs",17,IF(J61="word-digit pairs",18,IF(J61="English-Swahili pairs",19,IF(J61="spatial position",20,IF(J61="word pairs",21,IF(J61="word triads",22,IF(J61="generated words",23,IF(J61="word definition pairs",24,IF(J61="math problems",25,IF(J61="famous faces",26,IF(J61="famous names",27,IF(J61="famous voices",28,IF(J61="television programs",29,IF(J61="race horses",30,IF(J61="new vocabulary",31,IF(J61="sentences",32,IF(J61="concepts",33,IF(J61="ad slides",34,IF(J61="scenes",35,IF(J61="famous scenes",36,IF(J61="poems",37,IF(J61="walk",38,IF(J61="faces and events",39,IF(J61="events and names",40,IF(J61="flashbulb",41,IF(J61="stories",42,IF(J61="course material",43,IF(J61="autobiographical",44,IF(J61="novels",45,IF(J61="public events",46,"99"))))))))))))))))))))))))))))))))))))))))))))))</f>
        <v>15</v>
      </c>
      <c r="L61" s="69">
        <f>IF(J61="syllables",1,IF(J61="trigrams",1,IF(J61="strings",1,IF(J61="visual array",1,IF(J61="characters",1,IF(J61="letters",1,IF(J61="free forms",1,IF(J61="odors",2,IF(J61="words",2,IF(J61="pictures",2,IF(J61="object pictures",2,IF(J61="faces",2,IF(J61="names",2,IF(J61="idioms","2",IF(J61="grades",2,IF(J61="syllable-digit pairs",3,IF(J61="trigram-word pairs",3,IF(J61="word-digit pairs",3,IF(J61="English-Swahili pairs",3,IF(J61="spatial position",3,IF(J61="word pairs",4,IF(J61="word triads",4,IF(J61="generated words",4,IF(J61="word definition pairs",4,IF(J61="math problems",4,IF(J61="famous faces",4,IF(J61="famous names",4,IF(J61="famous voices",4,IF(J61="television programs",4,IF(J61="race horses",4,IF(J61="new vocabulary",4,IF(J61="sentences",5,IF(J61="concepts",5,IF(J61="ad slides",5,IF(J61="scenes",5,IF(J61="famous scenes",5,IF(J61="poems",6,IF(J61="walk",6,IF(J61="faces and events",6,IF(J61="events and names",6,IF(J61="flashbulb",7,IF(J61="stories",7,IF(J61="course material",7,IF(J61="autobiographical",7,IF(J61="novels",7,IF(J61="public events",7,"99"))))))))))))))))))))))))))))))))))))))))))))))</f>
        <v>2</v>
      </c>
      <c r="M61" s="69">
        <v>0</v>
      </c>
      <c r="N61" s="69">
        <v>1</v>
      </c>
      <c r="O61" s="69">
        <v>0</v>
      </c>
      <c r="P61" s="69"/>
      <c r="Q61" s="92" t="s">
        <v>174</v>
      </c>
      <c r="R61" s="69">
        <f>IF(Q61="Free Recall",1,IF(Q61="Cued Recall",2,IF(Q61="Recognition",3,IF(Q61="Multiple Choice",4,IF(Q61="Savings",5,IF(Q61="Stem Completion",6,IF(Q61="Fragment Completion",7,IF(Q61="anagram solution",8,IF(Q61="Matching",9,IF(Q61="Problem Solving",10,"99"))))))))))</f>
        <v>1</v>
      </c>
      <c r="S61" s="69" t="s">
        <v>49</v>
      </c>
      <c r="T61" s="69" t="s">
        <v>261</v>
      </c>
      <c r="U61" s="69">
        <f>IF(T61="within",1,0)</f>
        <v>0</v>
      </c>
      <c r="V61" s="69">
        <v>14.4</v>
      </c>
      <c r="W61" s="69">
        <f>F61*V61</f>
        <v>3844.8</v>
      </c>
      <c r="X61" s="69">
        <v>5</v>
      </c>
      <c r="Y61" s="87">
        <f>AV60</f>
        <v>7884000</v>
      </c>
      <c r="Z61" s="69" t="s">
        <v>231</v>
      </c>
      <c r="AA61" s="69">
        <f>47.25*365*24*60*60</f>
        <v>1490076000</v>
      </c>
      <c r="AB61" s="69" t="str">
        <f>IF(AA61&lt;60,"1",IF(AA61&lt;=43200,"2",IF(AA61&lt;=777600,"3","4")))</f>
        <v>4</v>
      </c>
      <c r="AC61" s="72">
        <f>AVERAGE(AV60:DA60)</f>
        <v>678024000</v>
      </c>
      <c r="AD61" s="69" t="str">
        <f>IF(AC61&lt;60,"1",IF(AC61&lt;=43200,"2",IF(AC61&lt;=777600,"3","4")))</f>
        <v>4</v>
      </c>
      <c r="AE61" s="87">
        <f>AA61-Y61</f>
        <v>1482192000</v>
      </c>
      <c r="AF61" s="88">
        <f>AV61</f>
        <v>0.78100000000000003</v>
      </c>
      <c r="AG61" s="72">
        <f>((AW61-AV61)+(AX61-AW61)+(AY61-AX61)+(AZ61-AY61))/4</f>
        <v>-0.125</v>
      </c>
      <c r="AH61" s="4"/>
      <c r="AI61" s="72">
        <f>RSQ(AV61:AZ61,AV60:AZ60)</f>
        <v>0.89290269758418817</v>
      </c>
      <c r="AJ61" s="110">
        <f>SLOPE(AV61:AZ61,AV60:AZ60)</f>
        <v>-2.9820183931290055E-10</v>
      </c>
      <c r="AK61" s="72">
        <f>INTERCEPT(AV61:AZ61,AV60:AZ60)</f>
        <v>0.69958800389829012</v>
      </c>
      <c r="AL61" s="72">
        <f>INDEX(LINEST(LN(AV61:AZ61),LN(AV60:AZ60),TRUE,TRUE),3,1)</f>
        <v>0.81416582183882535</v>
      </c>
      <c r="AM61" s="72">
        <f>INDEX(LINEST(LN(AV61:AZ61),LN(AV60:AZ60)),1)</f>
        <v>-0.16166396883374459</v>
      </c>
      <c r="AN61" s="72">
        <f>EXP(INDEX(LINEST(LN(AV61:AZ61),LN(AV60:AZ60)),1,2))</f>
        <v>10.949780807215108</v>
      </c>
      <c r="AO61" s="89">
        <f>INDEX(LINEST((AV61:AZ61),LN(AV60:AZ60),TRUE,TRUE),3,1)</f>
        <v>0.92773172154452754</v>
      </c>
      <c r="AP61" s="89">
        <f>INDEX(LINEST((AV61:AZ61),LN(AV60:AZ60)),1)</f>
        <v>-8.5338767095109583E-2</v>
      </c>
      <c r="AQ61" s="90">
        <f>INDEX(LINEST(LN(AV61:AZ61),SQRT(AV60:AZ60),TRUE,TRUE),3,1)</f>
        <v>0.9648697003869694</v>
      </c>
      <c r="AR61" s="117">
        <f>INDEX(LINEST(LN(AV61:AZ61),SQRT((AV60:AZ60))),1)</f>
        <v>-2.6614326095486852E-5</v>
      </c>
      <c r="AS61" s="91">
        <f>INDEX(LINEST(1/(AV61:AZ61),1/(SQRT(AV60:AZ60)),TRUE,TRUE),3,1)</f>
        <v>0.48222906073708582</v>
      </c>
      <c r="AT61" s="91">
        <f>INDEX(LINEST(1/(AV61:AZ61),1/SQRT(AV60:AZ60)),1)</f>
        <v>-4168.8215366302329</v>
      </c>
      <c r="AU61" s="3"/>
      <c r="AV61" s="73">
        <v>0.78100000000000003</v>
      </c>
      <c r="AW61" s="73">
        <v>0.55100000000000005</v>
      </c>
      <c r="AX61" s="73">
        <v>0.47099999999999997</v>
      </c>
      <c r="AY61" s="73">
        <v>0.40300000000000002</v>
      </c>
      <c r="AZ61" s="73">
        <v>0.28100000000000003</v>
      </c>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1"/>
      <c r="CS61" s="1"/>
      <c r="CT61" s="1"/>
      <c r="CU61" s="1"/>
    </row>
    <row r="62" spans="1:99" s="13" customFormat="1" ht="12" customHeight="1" x14ac:dyDescent="0.2">
      <c r="A62" s="68">
        <v>43509</v>
      </c>
      <c r="B62" s="70"/>
      <c r="C62" s="70"/>
      <c r="D62" s="69"/>
      <c r="E62" s="87"/>
      <c r="F62" s="69"/>
      <c r="G62" s="69"/>
      <c r="H62" s="69"/>
      <c r="I62" s="69"/>
      <c r="J62" s="69"/>
      <c r="K62" s="107"/>
      <c r="L62" s="107"/>
      <c r="M62" s="69"/>
      <c r="N62" s="69"/>
      <c r="O62" s="69"/>
      <c r="P62" s="69"/>
      <c r="Q62" s="69"/>
      <c r="R62" s="69"/>
      <c r="S62" s="69"/>
      <c r="T62" s="69"/>
      <c r="U62" s="69"/>
      <c r="V62" s="69"/>
      <c r="W62" s="69"/>
      <c r="X62" s="69"/>
      <c r="Y62" s="87"/>
      <c r="Z62" s="69"/>
      <c r="AA62" s="69"/>
      <c r="AB62" s="69"/>
      <c r="AC62" s="69"/>
      <c r="AD62" s="69"/>
      <c r="AE62" s="69"/>
      <c r="AF62" s="88"/>
      <c r="AG62" s="72"/>
      <c r="AH62" s="4"/>
      <c r="AI62" s="72"/>
      <c r="AJ62" s="110"/>
      <c r="AK62" s="72"/>
      <c r="AL62" s="72"/>
      <c r="AM62" s="72"/>
      <c r="AN62" s="72"/>
      <c r="AO62" s="72"/>
      <c r="AP62" s="72"/>
      <c r="AQ62" s="89"/>
      <c r="AR62" s="118"/>
      <c r="AS62" s="89"/>
      <c r="AT62" s="89"/>
      <c r="AU62" s="3"/>
      <c r="AV62" s="71">
        <f>365*24*60*60*0.25</f>
        <v>7884000</v>
      </c>
      <c r="AW62" s="71">
        <f>365*24*60*60*8.5</f>
        <v>268056000</v>
      </c>
      <c r="AX62" s="71">
        <f>365*24*60*60*19</f>
        <v>599184000</v>
      </c>
      <c r="AY62" s="71">
        <f>365*24*60*60*32.5</f>
        <v>1024920000</v>
      </c>
      <c r="AZ62" s="71">
        <f>365*24*60*60*47.25</f>
        <v>1490076000</v>
      </c>
      <c r="BA62" s="53"/>
      <c r="BB62" s="53"/>
      <c r="BC62" s="53"/>
      <c r="BD62" s="53"/>
      <c r="BE62" s="53"/>
      <c r="BF62" s="53"/>
      <c r="BG62" s="53"/>
      <c r="BH62" s="53"/>
      <c r="BI62" s="53"/>
      <c r="BJ62" s="53"/>
      <c r="BK62" s="53"/>
      <c r="BL62" s="53"/>
      <c r="BM62" s="53"/>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53"/>
      <c r="CO62" s="53"/>
      <c r="CP62" s="53"/>
      <c r="CQ62" s="53"/>
      <c r="CR62" s="1"/>
      <c r="CS62" s="1"/>
      <c r="CT62" s="1"/>
      <c r="CU62" s="1"/>
    </row>
    <row r="63" spans="1:99" s="13" customFormat="1" ht="12" customHeight="1" x14ac:dyDescent="0.2">
      <c r="A63" s="68">
        <v>43509</v>
      </c>
      <c r="B63" s="70" t="s">
        <v>210</v>
      </c>
      <c r="C63" s="70" t="s">
        <v>211</v>
      </c>
      <c r="D63" s="69">
        <v>2008</v>
      </c>
      <c r="E63" s="87">
        <v>1</v>
      </c>
      <c r="F63" s="69">
        <v>267</v>
      </c>
      <c r="G63" s="69">
        <v>55.2</v>
      </c>
      <c r="H63" s="69" t="s">
        <v>43</v>
      </c>
      <c r="I63" s="69" t="s">
        <v>619</v>
      </c>
      <c r="J63" s="69" t="s">
        <v>617</v>
      </c>
      <c r="K63" s="69">
        <f>IF(J63="syllables",1,IF(J63="trigrams",2,IF(J63="strings",3,IF(J63="visual array",4,IF(J63="characters",5,IF(J63="letters",6,IF(J63="free forms",7,IF(J63="odors",8,IF(J63="words",9,IF(J63="pictures",10,IF(J63="object pictures",11,IF(J63="faces",12,IF(J63="names",13,IF(J63="idioms",14,IF(J63="grades",15,IF(J63="syllable-digit pairs",16,IF(J63="trigram-word pairs",17,IF(J63="word-digit pairs",18,IF(J63="English-Swahili pairs",19,IF(J63="spatial position",20,IF(J63="word pairs",21,IF(J63="word triads",22,IF(J63="generated words",23,IF(J63="word definition pairs",24,IF(J63="math problems",25,IF(J63="famous faces",26,IF(J63="famous names",27,IF(J63="famous voices",28,IF(J63="television programs",29,IF(J63="race horses",30,IF(J63="new vocabulary",31,IF(J63="sentences",32,IF(J63="concepts",33,IF(J63="ad slides",34,IF(J63="scenes",35,IF(J63="famous scenes",36,IF(J63="poems",37,IF(J63="walk",38,IF(J63="faces and events",39,IF(J63="events and names",40,IF(J63="flashbulb",41,IF(J63="stories",42,IF(J63="course material",43,IF(J63="autobiographical",44,IF(J63="novels",45,IF(J63="public events",46,"99"))))))))))))))))))))))))))))))))))))))))))))))</f>
        <v>15</v>
      </c>
      <c r="L63" s="69">
        <f>IF(J63="syllables",1,IF(J63="trigrams",1,IF(J63="strings",1,IF(J63="visual array",1,IF(J63="characters",1,IF(J63="letters",1,IF(J63="free forms",1,IF(J63="odors",2,IF(J63="words",2,IF(J63="pictures",2,IF(J63="object pictures",2,IF(J63="faces",2,IF(J63="names",2,IF(J63="idioms","2",IF(J63="grades",2,IF(J63="syllable-digit pairs",3,IF(J63="trigram-word pairs",3,IF(J63="word-digit pairs",3,IF(J63="English-Swahili pairs",3,IF(J63="spatial position",3,IF(J63="word pairs",4,IF(J63="word triads",4,IF(J63="generated words",4,IF(J63="word definition pairs",4,IF(J63="math problems",4,IF(J63="famous faces",4,IF(J63="famous names",4,IF(J63="famous voices",4,IF(J63="television programs",4,IF(J63="race horses",4,IF(J63="new vocabulary",4,IF(J63="sentences",5,IF(J63="concepts",5,IF(J63="ad slides",5,IF(J63="scenes",5,IF(J63="famous scenes",5,IF(J63="poems",6,IF(J63="walk",6,IF(J63="faces and events",6,IF(J63="events and names",6,IF(J63="flashbulb",7,IF(J63="stories",7,IF(J63="course material",7,IF(J63="autobiographical",7,IF(J63="novels",7,IF(J63="public events",7,"99"))))))))))))))))))))))))))))))))))))))))))))))</f>
        <v>2</v>
      </c>
      <c r="M63" s="69">
        <v>0</v>
      </c>
      <c r="N63" s="69">
        <v>1</v>
      </c>
      <c r="O63" s="69">
        <v>0</v>
      </c>
      <c r="P63" s="69"/>
      <c r="Q63" s="92" t="s">
        <v>174</v>
      </c>
      <c r="R63" s="69">
        <f>IF(Q63="Free Recall",1,IF(Q63="Cued Recall",2,IF(Q63="Recognition",3,IF(Q63="Multiple Choice",4,IF(Q63="Savings",5,IF(Q63="Stem Completion",6,IF(Q63="Fragment Completion",7,IF(Q63="anagram solution",8,IF(Q63="Matching",9,IF(Q63="Problem Solving",10,"99"))))))))))</f>
        <v>1</v>
      </c>
      <c r="S63" s="69" t="s">
        <v>49</v>
      </c>
      <c r="T63" s="69" t="s">
        <v>261</v>
      </c>
      <c r="U63" s="69">
        <f>IF(T63="within",1,0)</f>
        <v>0</v>
      </c>
      <c r="V63" s="69">
        <v>14.4</v>
      </c>
      <c r="W63" s="69">
        <f>F63*V63</f>
        <v>3844.8</v>
      </c>
      <c r="X63" s="69">
        <v>5</v>
      </c>
      <c r="Y63" s="87">
        <f>AV62</f>
        <v>7884000</v>
      </c>
      <c r="Z63" s="69" t="s">
        <v>231</v>
      </c>
      <c r="AA63" s="69">
        <f>47.25*365*24*60*60</f>
        <v>1490076000</v>
      </c>
      <c r="AB63" s="69" t="str">
        <f>IF(AA63&lt;60,"1",IF(AA63&lt;=43200,"2",IF(AA63&lt;=777600,"3","4")))</f>
        <v>4</v>
      </c>
      <c r="AC63" s="72">
        <f>AVERAGE(AV62:DA62)</f>
        <v>678024000</v>
      </c>
      <c r="AD63" s="69" t="str">
        <f>IF(AC63&lt;60,"1",IF(AC63&lt;=43200,"2",IF(AC63&lt;=777600,"3","4")))</f>
        <v>4</v>
      </c>
      <c r="AE63" s="87">
        <f>AA63-Y63</f>
        <v>1482192000</v>
      </c>
      <c r="AF63" s="88">
        <f>AV63</f>
        <v>0.67600000000000005</v>
      </c>
      <c r="AG63" s="72">
        <f>((AW63-AV63)+(AX63-AW63)+(AY63-AX63)+(AZ63-AY63))/4</f>
        <v>-8.975000000000001E-2</v>
      </c>
      <c r="AH63" s="4"/>
      <c r="AI63" s="72">
        <f>RSQ(AV63:AZ63,AV62:AZ62)</f>
        <v>0.93685295621320086</v>
      </c>
      <c r="AJ63" s="110">
        <f>SLOPE(AV63:AZ63,AV62:AZ62)</f>
        <v>-2.2475828637238726E-10</v>
      </c>
      <c r="AK63" s="72">
        <f>INTERCEPT(AV63:AZ63,AV62:AZ62)</f>
        <v>0.63299151235935158</v>
      </c>
      <c r="AL63" s="72">
        <f>INDEX(LINEST(LN(AV63:AZ63),LN(AV62:AZ62),TRUE,TRUE),3,1)</f>
        <v>0.79862876810717776</v>
      </c>
      <c r="AM63" s="72">
        <f>INDEX(LINEST(LN(AV63:AZ63),LN(AV62:AZ62)),1)</f>
        <v>-0.12214566922916996</v>
      </c>
      <c r="AN63" s="72">
        <f>EXP(INDEX(LINEST(LN(AV63:AZ63),LN(AV62:AZ62)),1,2))</f>
        <v>5.0173726148976696</v>
      </c>
      <c r="AO63" s="89">
        <f>INDEX(LINEST((AV63:AZ63),LN(AV62:AZ62),TRUE,TRUE),3,1)</f>
        <v>0.88138670680459918</v>
      </c>
      <c r="AP63" s="89">
        <f>INDEX(LINEST((AV63:AZ63),LN(AV62:AZ62)),1)</f>
        <v>-6.1205458433339473E-2</v>
      </c>
      <c r="AQ63" s="90">
        <f>INDEX(LINEST(LN(AV63:AZ63),SQRT(AV62:AZ62),TRUE,TRUE),3,1)</f>
        <v>0.97332851352591399</v>
      </c>
      <c r="AR63" s="117">
        <f>INDEX(LINEST(LN(AV63:AZ63),SQRT((AV62:AZ62))),1)</f>
        <v>-2.0391992271746735E-5</v>
      </c>
      <c r="AS63" s="91">
        <f>INDEX(LINEST(1/(AV63:AZ63),1/(SQRT(AV62:AZ62)),TRUE,TRUE),3,1)</f>
        <v>0.50590803973247722</v>
      </c>
      <c r="AT63" s="91">
        <f>INDEX(LINEST(1/(AV63:AZ63),1/SQRT(AV62:AZ62)),1)</f>
        <v>-3202.582161182896</v>
      </c>
      <c r="AU63" s="3"/>
      <c r="AV63" s="73">
        <v>0.67600000000000005</v>
      </c>
      <c r="AW63" s="73">
        <v>0.54800000000000004</v>
      </c>
      <c r="AX63" s="73">
        <v>0.45600000000000002</v>
      </c>
      <c r="AY63" s="73">
        <v>0.40600000000000003</v>
      </c>
      <c r="AZ63" s="73">
        <v>0.317</v>
      </c>
      <c r="BA63" s="53"/>
      <c r="BB63" s="53"/>
      <c r="BC63" s="53"/>
      <c r="BD63" s="53"/>
      <c r="BE63" s="53"/>
      <c r="BF63" s="53"/>
      <c r="BG63" s="53"/>
      <c r="BH63" s="53"/>
      <c r="BI63" s="53"/>
      <c r="BJ63" s="53"/>
      <c r="BK63" s="53"/>
      <c r="BL63" s="53"/>
      <c r="BM63" s="53"/>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53"/>
      <c r="CO63" s="53"/>
      <c r="CP63" s="53"/>
      <c r="CQ63" s="53"/>
      <c r="CR63" s="1"/>
      <c r="CS63" s="1"/>
      <c r="CT63" s="1"/>
      <c r="CU63" s="1"/>
    </row>
    <row r="64" spans="1:99" ht="12" customHeight="1" x14ac:dyDescent="0.2">
      <c r="A64" s="65">
        <v>43895</v>
      </c>
      <c r="B64" s="15"/>
      <c r="C64" s="15"/>
      <c r="D64" s="59"/>
      <c r="E64" s="75"/>
      <c r="F64" s="59"/>
      <c r="G64" s="59"/>
      <c r="H64" s="59"/>
      <c r="I64" s="59"/>
      <c r="J64" s="59"/>
      <c r="M64" s="59"/>
      <c r="N64" s="59"/>
      <c r="O64" s="59"/>
      <c r="P64" s="59"/>
      <c r="Q64" s="59"/>
      <c r="R64" s="60"/>
      <c r="S64" s="59"/>
      <c r="T64" s="59"/>
      <c r="U64" s="60"/>
      <c r="V64" s="59"/>
      <c r="W64" s="60"/>
      <c r="X64" s="59"/>
      <c r="Y64" s="76"/>
      <c r="Z64" s="59"/>
      <c r="AA64" s="59"/>
      <c r="AB64" s="60"/>
      <c r="AC64" s="56"/>
      <c r="AD64" s="60"/>
      <c r="AE64" s="60"/>
      <c r="AF64" s="80"/>
      <c r="AG64" s="56"/>
      <c r="AH64" s="4"/>
      <c r="AI64" s="56"/>
      <c r="AJ64" s="109"/>
      <c r="AK64" s="56"/>
      <c r="AL64" s="56"/>
      <c r="AM64" s="56"/>
      <c r="AN64" s="56"/>
      <c r="AO64" s="82"/>
      <c r="AP64" s="82"/>
      <c r="AQ64" s="83"/>
      <c r="AR64" s="116"/>
      <c r="AS64" s="84"/>
      <c r="AT64" s="84"/>
      <c r="AU64" s="3"/>
      <c r="AV64" s="25">
        <v>157680000</v>
      </c>
      <c r="AW64" s="25">
        <v>473040000</v>
      </c>
      <c r="AX64" s="25">
        <v>788400000</v>
      </c>
      <c r="AY64" s="25">
        <v>1103760000</v>
      </c>
      <c r="AZ64" s="53"/>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5"/>
      <c r="CS64" s="15"/>
      <c r="CT64" s="15"/>
      <c r="CU64" s="15"/>
    </row>
    <row r="65" spans="1:99" ht="12" customHeight="1" x14ac:dyDescent="0.2">
      <c r="A65" s="65">
        <v>43895</v>
      </c>
      <c r="B65" s="15" t="s">
        <v>331</v>
      </c>
      <c r="C65" s="15" t="s">
        <v>54</v>
      </c>
      <c r="D65" s="59">
        <v>1990</v>
      </c>
      <c r="E65" s="75">
        <v>1</v>
      </c>
      <c r="F65" s="59">
        <v>6</v>
      </c>
      <c r="G65" s="59">
        <v>6</v>
      </c>
      <c r="H65" s="59" t="s">
        <v>50</v>
      </c>
      <c r="I65" s="59" t="s">
        <v>330</v>
      </c>
      <c r="J65" s="59" t="s">
        <v>342</v>
      </c>
      <c r="K65" s="60">
        <f>IF(J65="syllables",1,IF(J65="trigrams",2,IF(J65="strings",3,IF(J65="visual array",4,IF(J65="characters",5,IF(J65="letters",6,IF(J65="free forms",7,IF(J65="odors",8,IF(J65="words",9,IF(J65="pictures",10,IF(J65="object pictures",11,IF(J65="faces",12,IF(J65="names",13,IF(J65="idioms",14,IF(J65="grades",15,IF(J65="syllable-digit pairs",16,IF(J65="trigram-word pairs",17,IF(J65="word-digit pairs",18,IF(J65="English-Swahili pairs",19,IF(J65="spatial position",20,IF(J65="word pairs",21,IF(J65="word triads",22,IF(J65="generated words",23,IF(J65="word definition pairs",24,IF(J65="math problems",25,IF(J65="famous faces",26,IF(J65="famous names",27,IF(J65="famous voices",28,IF(J65="television programs",29,IF(J65="race horses",30,IF(J65="new vocabulary",31,IF(J65="sentences",32,IF(J65="concepts",33,IF(J65="ad slides",34,IF(J65="scenes",35,IF(J65="famous scenes",36,IF(J65="poems",37,IF(J65="walk",38,IF(J65="faces and events",39,IF(J65="events and names",40,IF(J65="flashbulb",41,IF(J65="stories",42,IF(J65="course material",43,IF(J65="autobiographical",44,IF(J65="novels",45,IF(J65="public events",46,"99"))))))))))))))))))))))))))))))))))))))))))))))</f>
        <v>26</v>
      </c>
      <c r="L65" s="60">
        <f>IF(J65="syllables",1,IF(J65="trigrams",1,IF(J65="strings",1,IF(J65="visual array",1,IF(J65="characters",1,IF(J65="letters",1,IF(J65="free forms",1,IF(J65="odors",2,IF(J65="words",2,IF(J65="pictures",2,IF(J65="object pictures",2,IF(J65="faces",2,IF(J65="names",2,IF(J65="idioms","2",IF(J65="grades",2,IF(J65="syllable-digit pairs",3,IF(J65="trigram-word pairs",3,IF(J65="word-digit pairs",3,IF(J65="English-Swahili pairs",3,IF(J65="spatial position",3,IF(J65="word pairs",4,IF(J65="word triads",4,IF(J65="generated words",4,IF(J65="word definition pairs",4,IF(J65="math problems",4,IF(J65="famous faces",4,IF(J65="famous names",4,IF(J65="famous voices",4,IF(J65="television programs",4,IF(J65="race horses",4,IF(J65="new vocabulary",4,IF(J65="sentences",5,IF(J65="concepts",5,IF(J65="ad slides",5,IF(J65="scenes",5,IF(J65="famous scenes",5,IF(J65="poems",6,IF(J65="walk",6,IF(J65="faces and events",6,IF(J65="events and names",6,IF(J65="flashbulb",7,IF(J65="stories",7,IF(J65="course material",7,IF(J65="autobiographical",7,IF(J65="novels",7,IF(J65="public events",7,"99"))))))))))))))))))))))))))))))))))))))))))))))</f>
        <v>4</v>
      </c>
      <c r="M65" s="60">
        <v>1</v>
      </c>
      <c r="N65" s="59">
        <v>2</v>
      </c>
      <c r="O65" s="60">
        <v>0</v>
      </c>
      <c r="P65" s="59"/>
      <c r="Q65" s="60" t="s">
        <v>174</v>
      </c>
      <c r="R65" s="60">
        <f>IF(Q65="Free Recall",1,IF(Q65="Cued Recall",2,IF(Q65="Recognition",3,IF(Q65="Multiple Choice",4,IF(Q65="Savings",5,IF(Q65="Stem Completion",6,IF(Q65="Fragment Completion",7,IF(Q65="anagram solution",8,IF(Q65="Matching",9,IF(Q65="Problem Solving",10,"99"))))))))))</f>
        <v>1</v>
      </c>
      <c r="S65" s="60" t="s">
        <v>49</v>
      </c>
      <c r="T65" s="59" t="s">
        <v>581</v>
      </c>
      <c r="U65" s="60">
        <f>IF(T65="within",1,0)</f>
        <v>1</v>
      </c>
      <c r="V65" s="59">
        <v>32</v>
      </c>
      <c r="W65" s="60">
        <f>F65*V65</f>
        <v>192</v>
      </c>
      <c r="X65" s="59">
        <v>4</v>
      </c>
      <c r="Y65" s="76">
        <f>AV64</f>
        <v>157680000</v>
      </c>
      <c r="Z65" s="59" t="s">
        <v>375</v>
      </c>
      <c r="AA65" s="60">
        <f>35*365*24*60*60</f>
        <v>1103760000</v>
      </c>
      <c r="AB65" s="60" t="str">
        <f>IF(AA65&lt;60,"1",IF(AA65&lt;=43200,"2",IF(AA65&lt;=777600,"3","4")))</f>
        <v>4</v>
      </c>
      <c r="AC65" s="56">
        <f>AVERAGE(AV64:DA64)</f>
        <v>630720000</v>
      </c>
      <c r="AD65" s="60" t="str">
        <f>IF(AC65&lt;60,"1",IF(AC65&lt;=43200,"2",IF(AC65&lt;=777600,"3","4")))</f>
        <v>4</v>
      </c>
      <c r="AE65" s="76">
        <f>AA65-Y65</f>
        <v>946080000</v>
      </c>
      <c r="AF65" s="80">
        <f>AV65</f>
        <v>0.92307692307692302</v>
      </c>
      <c r="AG65" s="56">
        <f>((AW65-AV65)+(AX65-AW65)+(AY65-AX65))/3</f>
        <v>-5.3667262969588165E-3</v>
      </c>
      <c r="AH65" s="4"/>
      <c r="AI65" s="56">
        <f>RSQ(AV65:AY65,AV64:AY64)</f>
        <v>4.4545890782241256E-2</v>
      </c>
      <c r="AJ65" s="109">
        <f>SLOPE(AV65:AY65,AV64:AY64)</f>
        <v>3.660216620440542E-11</v>
      </c>
      <c r="AK65" s="56">
        <f>INTERCEPT(AV65:AY65,AV64:AY64)</f>
        <v>0.87308725327828307</v>
      </c>
      <c r="AL65" s="56">
        <f>INDEX(LINEST(LN(AV65:AY65),LN(AV64:AY64),TRUE,TRUE),3,1)</f>
        <v>3.9286534295971893E-3</v>
      </c>
      <c r="AM65" s="56">
        <f>INDEX(LINEST(LN(AV65:AY65),LN(AV64:AY64)),1)</f>
        <v>5.9924734840943851E-3</v>
      </c>
      <c r="AN65" s="56">
        <f>EXP(INDEX(LINEST(LN(AV65:AY65),LN(AV64:AY64)),1,2))</f>
        <v>0.79283873138974337</v>
      </c>
      <c r="AO65" s="82">
        <f>INDEX(LINEST((AV65:AY65),LN(AV64:AY64),TRUE,TRUE),3,1)</f>
        <v>4.2813287257643376E-3</v>
      </c>
      <c r="AP65" s="82">
        <f>INDEX(LINEST((AV65:AY65),LN(AV64:AY64)),1)</f>
        <v>5.4332188162053013E-3</v>
      </c>
      <c r="AQ65" s="83">
        <f>INDEX(LINEST(LN(AV65:AY65),SQRT(AV64:AY64),TRUE,TRUE),3,1)</f>
        <v>2.1264338194641554E-2</v>
      </c>
      <c r="AR65" s="116">
        <f>INDEX(LINEST(LN(AV65:AY65),SQRT((AV64:AY64))),1)</f>
        <v>1.3318537962492323E-6</v>
      </c>
      <c r="AS65" s="84">
        <f>INDEX(LINEST(1/(AV65:AY65),1/(SQRT(AV64:AY64)),TRUE,TRUE),3,1)</f>
        <v>6.9640780536182607E-4</v>
      </c>
      <c r="AT65" s="84">
        <f>INDEX(LINEST(1/(AV65:AY65),1/SQRT(AV64:AY64)),1)</f>
        <v>-111.60521174418781</v>
      </c>
      <c r="AU65" s="3"/>
      <c r="AV65" s="27">
        <v>0.92307692307692302</v>
      </c>
      <c r="AW65" s="27">
        <v>0.79545454545454541</v>
      </c>
      <c r="AX65" s="27">
        <v>0.95918367346938771</v>
      </c>
      <c r="AY65" s="27">
        <v>0.90697674418604657</v>
      </c>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5"/>
      <c r="CS65" s="15"/>
      <c r="CT65" s="15"/>
      <c r="CU65" s="15"/>
    </row>
    <row r="66" spans="1:99" ht="12" customHeight="1" x14ac:dyDescent="0.2">
      <c r="A66" s="65">
        <v>43895</v>
      </c>
      <c r="B66" s="15"/>
      <c r="C66" s="15"/>
      <c r="D66" s="59"/>
      <c r="E66" s="76"/>
      <c r="F66" s="59"/>
      <c r="G66" s="59"/>
      <c r="H66" s="59"/>
      <c r="I66" s="60"/>
      <c r="J66" s="60"/>
      <c r="M66" s="60"/>
      <c r="N66" s="59"/>
      <c r="O66" s="60"/>
      <c r="P66" s="59"/>
      <c r="Q66" s="60"/>
      <c r="R66" s="60"/>
      <c r="S66" s="60"/>
      <c r="T66" s="59"/>
      <c r="U66" s="60"/>
      <c r="V66" s="59"/>
      <c r="W66" s="60"/>
      <c r="X66" s="59"/>
      <c r="Y66" s="76"/>
      <c r="Z66" s="59"/>
      <c r="AA66" s="59"/>
      <c r="AB66" s="60"/>
      <c r="AC66" s="56"/>
      <c r="AD66" s="60"/>
      <c r="AE66" s="60"/>
      <c r="AF66" s="80"/>
      <c r="AG66" s="56"/>
      <c r="AH66" s="4"/>
      <c r="AI66" s="56"/>
      <c r="AJ66" s="109"/>
      <c r="AK66" s="56"/>
      <c r="AL66" s="56"/>
      <c r="AM66" s="56"/>
      <c r="AN66" s="56"/>
      <c r="AO66" s="82"/>
      <c r="AP66" s="82"/>
      <c r="AQ66" s="83"/>
      <c r="AR66" s="116"/>
      <c r="AS66" s="84"/>
      <c r="AT66" s="84"/>
      <c r="AU66" s="3"/>
      <c r="AV66" s="49">
        <v>189216000</v>
      </c>
      <c r="AW66" s="49">
        <v>283824000</v>
      </c>
      <c r="AX66" s="49">
        <v>378432000</v>
      </c>
      <c r="AY66" s="49">
        <v>473040000</v>
      </c>
      <c r="AZ66" s="47">
        <v>567648000</v>
      </c>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5"/>
      <c r="CS66" s="15"/>
      <c r="CT66" s="15"/>
      <c r="CU66" s="15"/>
    </row>
    <row r="67" spans="1:99" ht="12" customHeight="1" x14ac:dyDescent="0.2">
      <c r="A67" s="65">
        <v>43895</v>
      </c>
      <c r="B67" s="15" t="s">
        <v>331</v>
      </c>
      <c r="C67" s="15" t="s">
        <v>54</v>
      </c>
      <c r="D67" s="59">
        <v>1990</v>
      </c>
      <c r="E67" s="75">
        <v>1</v>
      </c>
      <c r="F67" s="59">
        <v>6</v>
      </c>
      <c r="G67" s="59">
        <v>6</v>
      </c>
      <c r="H67" s="59" t="s">
        <v>41</v>
      </c>
      <c r="I67" s="59" t="s">
        <v>330</v>
      </c>
      <c r="J67" s="59" t="s">
        <v>376</v>
      </c>
      <c r="K67" s="60">
        <f>IF(J67="syllables",1,IF(J67="trigrams",2,IF(J67="strings",3,IF(J67="visual array",4,IF(J67="characters",5,IF(J67="letters",6,IF(J67="free forms",7,IF(J67="odors",8,IF(J67="words",9,IF(J67="pictures",10,IF(J67="object pictures",11,IF(J67="faces",12,IF(J67="names",13,IF(J67="idioms",14,IF(J67="grades",15,IF(J67="syllable-digit pairs",16,IF(J67="trigram-word pairs",17,IF(J67="word-digit pairs",18,IF(J67="English-Swahili pairs",19,IF(J67="spatial position",20,IF(J67="word pairs",21,IF(J67="word triads",22,IF(J67="generated words",23,IF(J67="word definition pairs",24,IF(J67="math problems",25,IF(J67="famous faces",26,IF(J67="famous names",27,IF(J67="famous voices",28,IF(J67="television programs",29,IF(J67="race horses",30,IF(J67="new vocabulary",31,IF(J67="sentences",32,IF(J67="concepts",33,IF(J67="ad slides",34,IF(J67="scenes",35,IF(J67="famous scenes",36,IF(J67="poems",37,IF(J67="walk",38,IF(J67="faces and events",39,IF(J67="events and names",40,IF(J67="flashbulb",41,IF(J67="stories",42,IF(J67="course material",43,IF(J67="autobiographical",44,IF(J67="novels",45,IF(J67="public events",46,"99"))))))))))))))))))))))))))))))))))))))))))))))</f>
        <v>29</v>
      </c>
      <c r="L67" s="60">
        <f>IF(J67="syllables",1,IF(J67="trigrams",1,IF(J67="strings",1,IF(J67="visual array",1,IF(J67="characters",1,IF(J67="letters",1,IF(J67="free forms",1,IF(J67="odors",2,IF(J67="words",2,IF(J67="pictures",2,IF(J67="object pictures",2,IF(J67="faces",2,IF(J67="names",2,IF(J67="idioms","2",IF(J67="grades",2,IF(J67="syllable-digit pairs",3,IF(J67="trigram-word pairs",3,IF(J67="word-digit pairs",3,IF(J67="English-Swahili pairs",3,IF(J67="spatial position",3,IF(J67="word pairs",4,IF(J67="word triads",4,IF(J67="generated words",4,IF(J67="word definition pairs",4,IF(J67="math problems",4,IF(J67="famous faces",4,IF(J67="famous names",4,IF(J67="famous voices",4,IF(J67="television programs",4,IF(J67="race horses",4,IF(J67="new vocabulary",4,IF(J67="sentences",5,IF(J67="concepts",5,IF(J67="ad slides",5,IF(J67="scenes",5,IF(J67="famous scenes",5,IF(J67="poems",6,IF(J67="walk",6,IF(J67="faces and events",6,IF(J67="events and names",6,IF(J67="flashbulb",7,IF(J67="stories",7,IF(J67="course material",7,IF(J67="autobiographical",7,IF(J67="novels",7,IF(J67="public events",7,"99"))))))))))))))))))))))))))))))))))))))))))))))</f>
        <v>4</v>
      </c>
      <c r="M67" s="60">
        <v>1</v>
      </c>
      <c r="N67" s="59">
        <v>2</v>
      </c>
      <c r="O67" s="60">
        <v>0</v>
      </c>
      <c r="P67" s="59"/>
      <c r="Q67" s="60" t="s">
        <v>182</v>
      </c>
      <c r="R67" s="60">
        <f>IF(Q67="Free Recall",1,IF(Q67="Cued Recall",2,IF(Q67="Recognition",3,IF(Q67="Multiple Choice",4,IF(Q67="Savings",5,IF(Q67="Stem Completion",6,IF(Q67="Fragment Completion",7,IF(Q67="anagram solution",8,IF(Q67="Matching",9,IF(Q67="Problem Solving",10,"99"))))))))))</f>
        <v>4</v>
      </c>
      <c r="S67" s="60" t="s">
        <v>15</v>
      </c>
      <c r="T67" s="59" t="s">
        <v>581</v>
      </c>
      <c r="U67" s="60">
        <f>IF(T67="within",1,0)</f>
        <v>1</v>
      </c>
      <c r="V67" s="59">
        <v>72</v>
      </c>
      <c r="W67" s="60">
        <f>F67*V67</f>
        <v>432</v>
      </c>
      <c r="X67" s="59">
        <v>5</v>
      </c>
      <c r="Y67" s="76">
        <f>AV66</f>
        <v>189216000</v>
      </c>
      <c r="Z67" s="59" t="s">
        <v>377</v>
      </c>
      <c r="AA67" s="60">
        <f>18*365*24*60*60</f>
        <v>567648000</v>
      </c>
      <c r="AB67" s="60" t="str">
        <f>IF(AA67&lt;60,"1",IF(AA67&lt;=43200,"2",IF(AA67&lt;=777600,"3","4")))</f>
        <v>4</v>
      </c>
      <c r="AC67" s="56">
        <f>AVERAGE(AV66:DA66)</f>
        <v>378432000</v>
      </c>
      <c r="AD67" s="60" t="str">
        <f>IF(AC67&lt;60,"1",IF(AC67&lt;=43200,"2",IF(AC67&lt;=777600,"3","4")))</f>
        <v>4</v>
      </c>
      <c r="AE67" s="76">
        <f>AA67-Y67</f>
        <v>378432000</v>
      </c>
      <c r="AF67" s="80">
        <f>AV67</f>
        <v>0.67</v>
      </c>
      <c r="AG67" s="58">
        <f>((AW67-AV67)+(AX67-AW67)+(AY67-AX67)+(AZ67-AY67))/4</f>
        <v>-2.5000000000000022E-3</v>
      </c>
      <c r="AH67" s="4"/>
      <c r="AI67" s="56">
        <f>RSQ(AV67:AZ67,AV66:AZ66)</f>
        <v>0.27067669172932324</v>
      </c>
      <c r="AJ67" s="109">
        <f>SLOPE(AV67:AZ67,AV66:AZ66)</f>
        <v>-1.2683916793505834E-10</v>
      </c>
      <c r="AK67" s="56">
        <f>INTERCEPT(AV67:AZ67,AV66:AZ66)</f>
        <v>0.70400000000000007</v>
      </c>
      <c r="AL67" s="56">
        <f>INDEX(LINEST(LN(AV67:AZ67),LN(AV66:AZ66),TRUE,TRUE),3,1)</f>
        <v>0.27353151239066303</v>
      </c>
      <c r="AM67" s="56">
        <f>INDEX(LINEST(LN(AV67:AZ67),LN(AV66:AZ66)),1)</f>
        <v>-6.8036294754760432E-2</v>
      </c>
      <c r="AN67" s="56">
        <f>EXP(INDEX(LINEST(LN(AV67:AZ67),LN(AV66:AZ66)),1,2))</f>
        <v>2.4997082248725393</v>
      </c>
      <c r="AO67" s="82">
        <f>INDEX(LINEST((AV67:AZ67),LN(AV66:AZ66),TRUE,TRUE),3,1)</f>
        <v>0.27589882765412821</v>
      </c>
      <c r="AP67" s="82">
        <f>INDEX(LINEST((AV67:AZ67),LN(AV66:AZ66)),1)</f>
        <v>-4.4162074728400176E-2</v>
      </c>
      <c r="AQ67" s="83">
        <f>INDEX(LINEST(LN(AV67:AZ67),SQRT(AV66:AZ66),TRUE,TRUE),3,1)</f>
        <v>0.27470338255471649</v>
      </c>
      <c r="AR67" s="116">
        <f>INDEX(LINEST(LN(AV67:AZ67),SQRT((AV66:AZ66))),1)</f>
        <v>-7.4457000517046645E-6</v>
      </c>
      <c r="AS67" s="84">
        <f>INDEX(LINEST(1/(AV67:AZ67),1/(SQRT(AV66:AZ66)),TRUE,TRUE),3,1)</f>
        <v>0.26148225875151665</v>
      </c>
      <c r="AT67" s="84">
        <f>INDEX(LINEST(1/(AV67:AZ67),1/SQRT(AV66:AZ66)),1)</f>
        <v>-3673.9932880418505</v>
      </c>
      <c r="AU67" s="3"/>
      <c r="AV67" s="27">
        <v>0.67</v>
      </c>
      <c r="AW67" s="27">
        <v>0.7</v>
      </c>
      <c r="AX67" s="27">
        <v>0.65</v>
      </c>
      <c r="AY67" s="27">
        <v>0.6</v>
      </c>
      <c r="AZ67" s="11">
        <v>0.66</v>
      </c>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5"/>
      <c r="CS67" s="15"/>
      <c r="CT67" s="15"/>
      <c r="CU67" s="15"/>
    </row>
    <row r="68" spans="1:99" s="13" customFormat="1" ht="12" customHeight="1" x14ac:dyDescent="0.2">
      <c r="A68" s="68">
        <v>43509</v>
      </c>
      <c r="B68" s="70"/>
      <c r="C68" s="70"/>
      <c r="D68" s="69"/>
      <c r="E68" s="87"/>
      <c r="F68" s="69"/>
      <c r="G68" s="69"/>
      <c r="H68" s="69"/>
      <c r="I68" s="69"/>
      <c r="J68" s="69"/>
      <c r="K68" s="107"/>
      <c r="L68" s="107"/>
      <c r="M68" s="69"/>
      <c r="N68" s="69"/>
      <c r="O68" s="69"/>
      <c r="P68" s="69"/>
      <c r="Q68" s="69"/>
      <c r="R68" s="69"/>
      <c r="S68" s="69"/>
      <c r="T68" s="69"/>
      <c r="U68" s="69"/>
      <c r="V68" s="69"/>
      <c r="W68" s="69"/>
      <c r="X68" s="69"/>
      <c r="Y68" s="87"/>
      <c r="Z68" s="69"/>
      <c r="AA68" s="69"/>
      <c r="AB68" s="69"/>
      <c r="AC68" s="69"/>
      <c r="AD68" s="69"/>
      <c r="AE68" s="69"/>
      <c r="AF68" s="88"/>
      <c r="AG68" s="72"/>
      <c r="AH68" s="4"/>
      <c r="AI68" s="72"/>
      <c r="AJ68" s="110"/>
      <c r="AK68" s="72"/>
      <c r="AL68" s="72"/>
      <c r="AM68" s="72"/>
      <c r="AN68" s="72"/>
      <c r="AO68" s="72"/>
      <c r="AP68" s="72"/>
      <c r="AQ68" s="89"/>
      <c r="AR68" s="118"/>
      <c r="AS68" s="89"/>
      <c r="AT68" s="89"/>
      <c r="AU68" s="3"/>
      <c r="AV68" s="71">
        <f>365*24*60*60</f>
        <v>31536000</v>
      </c>
      <c r="AW68" s="71">
        <f>365*24*60*60*2</f>
        <v>63072000</v>
      </c>
      <c r="AX68" s="71">
        <f>365*24*60*60*3</f>
        <v>94608000</v>
      </c>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1"/>
      <c r="CS68" s="1"/>
      <c r="CT68" s="1"/>
      <c r="CU68" s="1"/>
    </row>
    <row r="69" spans="1:99" s="13" customFormat="1" ht="12" customHeight="1" x14ac:dyDescent="0.2">
      <c r="A69" s="68">
        <v>43509</v>
      </c>
      <c r="B69" s="70" t="s">
        <v>212</v>
      </c>
      <c r="C69" s="70" t="s">
        <v>70</v>
      </c>
      <c r="D69" s="69">
        <v>2016</v>
      </c>
      <c r="E69" s="87">
        <v>1</v>
      </c>
      <c r="F69" s="69">
        <v>35</v>
      </c>
      <c r="G69" s="69">
        <v>35</v>
      </c>
      <c r="H69" s="69" t="s">
        <v>41</v>
      </c>
      <c r="I69" s="69" t="s">
        <v>422</v>
      </c>
      <c r="J69" s="69" t="s">
        <v>622</v>
      </c>
      <c r="K69" s="69">
        <f>IF(J69="syllables",1,IF(J69="trigrams",2,IF(J69="strings",3,IF(J69="visual array",4,IF(J69="characters",5,IF(J69="letters",6,IF(J69="free forms",7,IF(J69="odors",8,IF(J69="words",9,IF(J69="pictures",10,IF(J69="object pictures",11,IF(J69="faces",12,IF(J69="names",13,IF(J69="idioms",14,IF(J69="grades",15,IF(J69="syllable-digit pairs",16,IF(J69="trigram-word pairs",17,IF(J69="word-digit pairs",18,IF(J69="English-Swahili pairs",19,IF(J69="spatial position",20,IF(J69="word pairs",21,IF(J69="word triads",22,IF(J69="generated words",23,IF(J69="word definition pairs",24,IF(J69="math problems",25,IF(J69="famous faces",26,IF(J69="famous names",27,IF(J69="famous voices",28,IF(J69="television programs",29,IF(J69="race horses",30,IF(J69="new vocabulary",31,IF(J69="sentences",32,IF(J69="concepts",33,IF(J69="ad slides",34,IF(J69="scenes",35,IF(J69="famous scenes",36,IF(J69="poems",37,IF(J69="walk",38,IF(J69="faces and events",39,IF(J69="events and names",40,IF(J69="flashbulb",41,IF(J69="stories",42,IF(J69="course material",43,IF(J69="autobiographical",44,IF(J69="novels",45,IF(J69="public events",46,"99"))))))))))))))))))))))))))))))))))))))))))))))</f>
        <v>44</v>
      </c>
      <c r="L69" s="69">
        <f>IF(J69="syllables",1,IF(J69="trigrams",1,IF(J69="strings",1,IF(J69="visual array",1,IF(J69="characters",1,IF(J69="letters",1,IF(J69="free forms",1,IF(J69="odors",2,IF(J69="words",2,IF(J69="pictures",2,IF(J69="object pictures",2,IF(J69="faces",2,IF(J69="names",2,IF(J69="idioms","2",IF(J69="grades",2,IF(J69="syllable-digit pairs",3,IF(J69="trigram-word pairs",3,IF(J69="word-digit pairs",3,IF(J69="English-Swahili pairs",3,IF(J69="spatial position",3,IF(J69="word pairs",4,IF(J69="word triads",4,IF(J69="generated words",4,IF(J69="word definition pairs",4,IF(J69="math problems",4,IF(J69="famous faces",4,IF(J69="famous names",4,IF(J69="famous voices",4,IF(J69="television programs",4,IF(J69="race horses",4,IF(J69="new vocabulary",4,IF(J69="sentences",5,IF(J69="concepts",5,IF(J69="ad slides",5,IF(J69="scenes",5,IF(J69="famous scenes",5,IF(J69="poems",6,IF(J69="walk",6,IF(J69="faces and events",6,IF(J69="events and names",6,IF(J69="flashbulb",7,IF(J69="stories",7,IF(J69="course material",7,IF(J69="autobiographical",7,IF(J69="novels",7,IF(J69="public events",7,"99"))))))))))))))))))))))))))))))))))))))))))))))</f>
        <v>7</v>
      </c>
      <c r="M69" s="69">
        <v>0</v>
      </c>
      <c r="N69" s="69">
        <v>3</v>
      </c>
      <c r="O69" s="69">
        <v>0</v>
      </c>
      <c r="P69" s="69"/>
      <c r="Q69" s="69" t="s">
        <v>174</v>
      </c>
      <c r="R69" s="69">
        <f>IF(Q69="Free Recall",1,IF(Q69="Cued Recall",2,IF(Q69="Recognition",3,IF(Q69="Multiple Choice",4,IF(Q69="Savings",5,IF(Q69="Stem Completion",6,IF(Q69="Fragment Completion",7,IF(Q69="anagram solution",8,IF(Q69="Matching",9,IF(Q69="Problem Solving",10,"99"))))))))))</f>
        <v>1</v>
      </c>
      <c r="S69" s="69" t="s">
        <v>49</v>
      </c>
      <c r="T69" s="92" t="s">
        <v>581</v>
      </c>
      <c r="U69" s="69">
        <f>IF(T69="within",1,0)</f>
        <v>1</v>
      </c>
      <c r="V69" s="92">
        <v>3</v>
      </c>
      <c r="W69" s="69">
        <f>F69*V69</f>
        <v>105</v>
      </c>
      <c r="X69" s="69">
        <v>3</v>
      </c>
      <c r="Y69" s="87">
        <f>AV68</f>
        <v>31536000</v>
      </c>
      <c r="Z69" s="69" t="s">
        <v>230</v>
      </c>
      <c r="AA69" s="69">
        <f>3*365*24*60*60</f>
        <v>94608000</v>
      </c>
      <c r="AB69" s="69" t="str">
        <f>IF(AA69&lt;60,"1",IF(AA69&lt;=43200,"2",IF(AA69&lt;=777600,"3","4")))</f>
        <v>4</v>
      </c>
      <c r="AC69" s="72">
        <f>AVERAGE(AV68:DA68)</f>
        <v>63072000</v>
      </c>
      <c r="AD69" s="69" t="str">
        <f>IF(AC69&lt;60,"1",IF(AC69&lt;=43200,"2",IF(AC69&lt;=777600,"3","4")))</f>
        <v>4</v>
      </c>
      <c r="AE69" s="87">
        <f>AA69-Y69</f>
        <v>63072000</v>
      </c>
      <c r="AF69" s="88">
        <f>AV69</f>
        <v>0.97</v>
      </c>
      <c r="AG69" s="72">
        <f>((AW69-AV69)+(AX69-AW69))/2</f>
        <v>-0.17499999999999999</v>
      </c>
      <c r="AH69" s="4"/>
      <c r="AI69" s="72">
        <f>RSQ(AV69:AX69,AV68:AX68)</f>
        <v>0.91055500495540165</v>
      </c>
      <c r="AJ69" s="110">
        <f>SLOPE(AV69:AX69,AV68:AX68)</f>
        <v>-5.5492135971588025E-9</v>
      </c>
      <c r="AK69" s="72">
        <f>INTERCEPT(AV69:AX69,AV68:AX68)</f>
        <v>1.1133333333333333</v>
      </c>
      <c r="AL69" s="72">
        <f>INDEX(LINEST(LN(AV69:AX69),LN(AV68:AX68),TRUE,TRUE),3,1)</f>
        <v>0.98831724454572578</v>
      </c>
      <c r="AM69" s="72">
        <f>INDEX(LINEST(LN(AV69:AX69),LN(AV68:AX68)),1)</f>
        <v>-0.41421029776418783</v>
      </c>
      <c r="AN69" s="72">
        <f>EXP(INDEX(LINEST(LN(AV69:AX69),LN(AV68:AX68)),1,2))</f>
        <v>1225.3951558345213</v>
      </c>
      <c r="AO69" s="89">
        <f>INDEX(LINEST((AV69:AX69),LN(AV68:AX68),TRUE,TRUE),3,1)</f>
        <v>0.97656983074718118</v>
      </c>
      <c r="AP69" s="89">
        <f>INDEX(LINEST((AV69:AX69),LN(AV68:AX68)),1)</f>
        <v>-0.32622311633315187</v>
      </c>
      <c r="AQ69" s="90">
        <f>INDEX(LINEST(LN(AV69:AX69),SQRT(AV68:AX68),TRUE,TRUE),3,1)</f>
        <v>0.96706795782173804</v>
      </c>
      <c r="AR69" s="117">
        <f>INDEX(LINEST(LN(AV69:AX69),SQRT((AV68:AX68))),1)</f>
        <v>-1.1042250529891421E-4</v>
      </c>
      <c r="AS69" s="91">
        <f>INDEX(LINEST(1/(AV69:AX69),1/(SQRT(AV68:AX68)),TRUE,TRUE),3,1)</f>
        <v>0.9998849555906435</v>
      </c>
      <c r="AT69" s="91">
        <f>INDEX(LINEST(1/(AV69:AX69),1/SQRT(AV68:AX68)),1)</f>
        <v>-7714.1918290721605</v>
      </c>
      <c r="AU69" s="3"/>
      <c r="AV69" s="73">
        <v>0.97</v>
      </c>
      <c r="AW69" s="73">
        <v>0.7</v>
      </c>
      <c r="AX69" s="73">
        <v>0.62</v>
      </c>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1"/>
      <c r="CS69" s="1"/>
      <c r="CT69" s="1"/>
      <c r="CU69" s="1"/>
    </row>
    <row r="70" spans="1:99" s="13" customFormat="1" ht="12" customHeight="1" x14ac:dyDescent="0.2">
      <c r="A70" s="65">
        <v>43509</v>
      </c>
      <c r="B70" s="1"/>
      <c r="C70" s="1"/>
      <c r="D70" s="60"/>
      <c r="E70" s="76"/>
      <c r="F70" s="60"/>
      <c r="G70" s="60"/>
      <c r="H70" s="60"/>
      <c r="I70" s="60"/>
      <c r="J70" s="60"/>
      <c r="K70" s="64"/>
      <c r="L70" s="64"/>
      <c r="M70" s="60"/>
      <c r="N70" s="60"/>
      <c r="O70" s="60"/>
      <c r="P70" s="60"/>
      <c r="Q70" s="59"/>
      <c r="R70" s="60"/>
      <c r="S70" s="60"/>
      <c r="T70" s="60"/>
      <c r="U70" s="60"/>
      <c r="V70" s="60"/>
      <c r="W70" s="60"/>
      <c r="X70" s="60"/>
      <c r="Y70" s="76"/>
      <c r="Z70" s="60"/>
      <c r="AA70" s="60"/>
      <c r="AB70" s="60"/>
      <c r="AC70" s="60"/>
      <c r="AD70" s="60"/>
      <c r="AE70" s="60"/>
      <c r="AF70" s="80"/>
      <c r="AG70" s="56"/>
      <c r="AH70" s="4"/>
      <c r="AI70" s="56"/>
      <c r="AJ70" s="109"/>
      <c r="AK70" s="56"/>
      <c r="AL70" s="56"/>
      <c r="AM70" s="56"/>
      <c r="AN70" s="56"/>
      <c r="AO70" s="56"/>
      <c r="AP70" s="56"/>
      <c r="AQ70" s="56"/>
      <c r="AR70" s="109"/>
      <c r="AS70" s="56"/>
      <c r="AT70" s="56"/>
      <c r="AU70" s="3"/>
      <c r="AV70" s="25">
        <f>30*24*60*60*6.17</f>
        <v>15992640</v>
      </c>
      <c r="AW70" s="25">
        <f>30*24*60*60*18.64</f>
        <v>48314880</v>
      </c>
      <c r="AX70" s="25">
        <f>30*24*60*60*30.87</f>
        <v>80015040</v>
      </c>
      <c r="AY70" s="53"/>
      <c r="AZ70" s="53"/>
      <c r="BA70" s="53"/>
      <c r="BB70" s="53"/>
      <c r="BC70" s="53"/>
      <c r="BD70" s="53"/>
      <c r="BE70" s="53"/>
      <c r="BF70" s="53"/>
      <c r="BG70" s="53"/>
      <c r="BH70" s="53"/>
      <c r="BI70" s="53"/>
      <c r="BJ70" s="53"/>
      <c r="BK70" s="53"/>
      <c r="BL70" s="53"/>
      <c r="BM70" s="53"/>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3"/>
      <c r="CQ70" s="53"/>
      <c r="CR70" s="1"/>
      <c r="CS70" s="1"/>
      <c r="CT70" s="1"/>
      <c r="CU70" s="1"/>
    </row>
    <row r="71" spans="1:99" s="13" customFormat="1" ht="12" customHeight="1" x14ac:dyDescent="0.2">
      <c r="A71" s="65">
        <v>43509</v>
      </c>
      <c r="B71" s="1" t="s">
        <v>240</v>
      </c>
      <c r="C71" s="1" t="s">
        <v>70</v>
      </c>
      <c r="D71" s="60">
        <v>2017</v>
      </c>
      <c r="E71" s="76">
        <v>1</v>
      </c>
      <c r="F71" s="60">
        <v>118</v>
      </c>
      <c r="G71" s="60">
        <v>39.299999999999997</v>
      </c>
      <c r="H71" s="60" t="s">
        <v>38</v>
      </c>
      <c r="I71" s="60" t="s">
        <v>623</v>
      </c>
      <c r="J71" s="60" t="s">
        <v>175</v>
      </c>
      <c r="K71" s="60">
        <f>IF(J71="syllables",1,IF(J71="trigrams",2,IF(J71="strings",3,IF(J71="visual array",4,IF(J71="characters",5,IF(J71="letters",6,IF(J71="free forms",7,IF(J71="odors",8,IF(J71="words",9,IF(J71="pictures",10,IF(J71="object pictures",11,IF(J71="faces",12,IF(J71="names",13,IF(J71="idioms",14,IF(J71="grades",15,IF(J71="syllable-digit pairs",16,IF(J71="trigram-word pairs",17,IF(J71="word-digit pairs",18,IF(J71="English-Swahili pairs",19,IF(J71="spatial position",20,IF(J71="word pairs",21,IF(J71="word triads",22,IF(J71="generated words",23,IF(J71="word definition pairs",24,IF(J71="math problems",25,IF(J71="famous faces",26,IF(J71="famous names",27,IF(J71="famous voices",28,IF(J71="television programs",29,IF(J71="race horses",30,IF(J71="new vocabulary",31,IF(J71="sentences",32,IF(J71="concepts",33,IF(J71="ad slides",34,IF(J71="scenes",35,IF(J71="famous scenes",36,IF(J71="poems",37,IF(J71="walk",38,IF(J71="faces and events",39,IF(J71="events and names",40,IF(J71="flashbulb",41,IF(J71="stories",42,IF(J71="course material",43,IF(J71="autobiographical",44,IF(J71="novels",45,IF(J71="public events",46,"99"))))))))))))))))))))))))))))))))))))))))))))))</f>
        <v>20</v>
      </c>
      <c r="L71" s="60">
        <f>IF(J71="syllables",1,IF(J71="trigrams",1,IF(J71="strings",1,IF(J71="visual array",1,IF(J71="characters",1,IF(J71="letters",1,IF(J71="free forms",1,IF(J71="odors",2,IF(J71="words",2,IF(J71="pictures",2,IF(J71="object pictures",2,IF(J71="faces",2,IF(J71="names",2,IF(J71="idioms","2",IF(J71="grades",2,IF(J71="syllable-digit pairs",3,IF(J71="trigram-word pairs",3,IF(J71="word-digit pairs",3,IF(J71="English-Swahili pairs",3,IF(J71="spatial position",3,IF(J71="word pairs",4,IF(J71="word triads",4,IF(J71="generated words",4,IF(J71="word definition pairs",4,IF(J71="math problems",4,IF(J71="famous faces",4,IF(J71="famous names",4,IF(J71="famous voices",4,IF(J71="television programs",4,IF(J71="race horses",4,IF(J71="new vocabulary",4,IF(J71="sentences",5,IF(J71="concepts",5,IF(J71="ad slides",5,IF(J71="scenes",5,IF(J71="famous scenes",5,IF(J71="poems",6,IF(J71="walk",6,IF(J71="faces and events",6,IF(J71="events and names",6,IF(J71="flashbulb",7,IF(J71="stories",7,IF(J71="course material",7,IF(J71="autobiographical",7,IF(J71="novels",7,IF(J71="public events",7,"99"))))))))))))))))))))))))))))))))))))))))))))))</f>
        <v>3</v>
      </c>
      <c r="M71" s="60">
        <v>0</v>
      </c>
      <c r="N71" s="60">
        <v>1</v>
      </c>
      <c r="O71" s="60">
        <v>0</v>
      </c>
      <c r="P71" s="60"/>
      <c r="Q71" s="60" t="s">
        <v>174</v>
      </c>
      <c r="R71" s="60">
        <f>IF(Q71="Free Recall",1,IF(Q71="Cued Recall",2,IF(Q71="Recognition",3,IF(Q71="Multiple Choice",4,IF(Q71="Savings",5,IF(Q71="Stem Completion",6,IF(Q71="Fragment Completion",7,IF(Q71="anagram solution",8,IF(Q71="Matching",9,IF(Q71="Problem Solving",10,"99"))))))))))</f>
        <v>1</v>
      </c>
      <c r="S71" s="60" t="s">
        <v>49</v>
      </c>
      <c r="T71" s="60" t="s">
        <v>261</v>
      </c>
      <c r="U71" s="60">
        <f>IF(T71="within",1,0)</f>
        <v>0</v>
      </c>
      <c r="V71" s="60">
        <v>1</v>
      </c>
      <c r="W71" s="60">
        <f>F71*V71</f>
        <v>118</v>
      </c>
      <c r="X71" s="60">
        <v>3</v>
      </c>
      <c r="Y71" s="76">
        <f>AV70</f>
        <v>15992640</v>
      </c>
      <c r="Z71" s="60" t="s">
        <v>235</v>
      </c>
      <c r="AA71" s="60">
        <f>30*24*60*60*30.87</f>
        <v>80015040</v>
      </c>
      <c r="AB71" s="60" t="str">
        <f>IF(AA71&lt;60,"1",IF(AA71&lt;=43200,"2",IF(AA71&lt;=777600,"3","4")))</f>
        <v>4</v>
      </c>
      <c r="AC71" s="56">
        <f>AVERAGE(AV70:DA70)</f>
        <v>48107520</v>
      </c>
      <c r="AD71" s="60" t="str">
        <f>IF(AC71&lt;60,"1",IF(AC71&lt;=43200,"2",IF(AC71&lt;=777600,"3","4")))</f>
        <v>4</v>
      </c>
      <c r="AE71" s="76">
        <f>AA71-Y71</f>
        <v>64022400</v>
      </c>
      <c r="AF71" s="80">
        <f>AV71</f>
        <v>0.05</v>
      </c>
      <c r="AG71" s="56">
        <f>((AW71-AV71)+(AX71-AW71))/2</f>
        <v>-1.2000000000000002E-2</v>
      </c>
      <c r="AH71" s="4"/>
      <c r="AI71" s="56">
        <f>RSQ(AV71:AX71,AV70:AX70)</f>
        <v>0.72383229116989811</v>
      </c>
      <c r="AJ71" s="109">
        <f>SLOPE(AV71:AX71,AV70:AX70)</f>
        <v>-3.7617228659968774E-10</v>
      </c>
      <c r="AK71" s="56">
        <f>INTERCEPT(AV71:AX71,AV70:AX70)</f>
        <v>5.1763382467706884E-2</v>
      </c>
      <c r="AL71" s="56">
        <f>INDEX(LINEST(LN(AV71:AX71),LN(AV70:AX70),TRUE,TRUE),3,1)</f>
        <v>0.87479515941362396</v>
      </c>
      <c r="AM71" s="56">
        <f>INDEX(LINEST(LN(AV71:AX71),LN(AV70:AX70)),1)</f>
        <v>-0.44220536145469269</v>
      </c>
      <c r="AN71" s="56">
        <f>EXP(INDEX(LINEST(LN(AV71:AX71),LN(AV70:AX70)),1,2))</f>
        <v>73.016448737112412</v>
      </c>
      <c r="AO71" s="82">
        <f>INDEX(LINEST((AV71:AX71),LN(AV70:AX70),TRUE,TRUE),3,1)</f>
        <v>0.88458778760218637</v>
      </c>
      <c r="AP71" s="82">
        <f>INDEX(LINEST((AV71:AX71),LN(AV70:AX70)),1)</f>
        <v>-1.6164625420508141E-2</v>
      </c>
      <c r="AQ71" s="83">
        <f>INDEX(LINEST(LN(AV71:AX71),SQRT(AV70:AX70),TRUE,TRUE),3,1)</f>
        <v>0.80078279704853605</v>
      </c>
      <c r="AR71" s="116">
        <f>INDEX(LINEST(LN(AV71:AX71),SQRT((AV70:AX70))),1)</f>
        <v>-1.4001877293769413E-4</v>
      </c>
      <c r="AS71" s="84">
        <f>INDEX(LINEST(1/(AV71:AX71),1/(SQRT(AV70:AX70)),TRUE,TRUE),3,1)</f>
        <v>0.91678513033923692</v>
      </c>
      <c r="AT71" s="84">
        <f>INDEX(LINEST(1/(AV71:AX71),1/SQRT(AV70:AX70)),1)</f>
        <v>-147253.56775595681</v>
      </c>
      <c r="AU71" s="3"/>
      <c r="AV71" s="53">
        <v>0.05</v>
      </c>
      <c r="AW71" s="53">
        <v>2.5000000000000001E-2</v>
      </c>
      <c r="AX71" s="53">
        <v>2.5999999999999999E-2</v>
      </c>
      <c r="AY71" s="53"/>
      <c r="AZ71" s="53"/>
      <c r="BA71" s="53"/>
      <c r="BB71" s="53"/>
      <c r="BC71" s="53"/>
      <c r="BD71" s="53"/>
      <c r="BE71" s="53"/>
      <c r="BF71" s="53"/>
      <c r="BG71" s="53"/>
      <c r="BH71" s="53"/>
      <c r="BI71" s="53"/>
      <c r="BJ71" s="53"/>
      <c r="BK71" s="53"/>
      <c r="BL71" s="53"/>
      <c r="BM71" s="53"/>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3"/>
      <c r="CQ71" s="53"/>
      <c r="CR71" s="1"/>
      <c r="CS71" s="1"/>
      <c r="CT71" s="1"/>
      <c r="CU71" s="1"/>
    </row>
    <row r="72" spans="1:99" s="13" customFormat="1" ht="12" customHeight="1" x14ac:dyDescent="0.2">
      <c r="A72" s="65">
        <v>43509</v>
      </c>
      <c r="B72" s="1"/>
      <c r="C72" s="1"/>
      <c r="D72" s="60"/>
      <c r="E72" s="76"/>
      <c r="F72" s="60"/>
      <c r="G72" s="60"/>
      <c r="H72" s="60"/>
      <c r="I72" s="60"/>
      <c r="J72" s="60"/>
      <c r="K72" s="64"/>
      <c r="L72" s="64"/>
      <c r="M72" s="60"/>
      <c r="N72" s="60"/>
      <c r="O72" s="60"/>
      <c r="P72" s="60"/>
      <c r="Q72" s="59"/>
      <c r="R72" s="60"/>
      <c r="S72" s="60"/>
      <c r="T72" s="60"/>
      <c r="U72" s="60"/>
      <c r="V72" s="60"/>
      <c r="W72" s="60"/>
      <c r="X72" s="60"/>
      <c r="Y72" s="76"/>
      <c r="Z72" s="60"/>
      <c r="AA72" s="60"/>
      <c r="AB72" s="60"/>
      <c r="AC72" s="60"/>
      <c r="AD72" s="60"/>
      <c r="AE72" s="60"/>
      <c r="AF72" s="80"/>
      <c r="AG72" s="56"/>
      <c r="AH72" s="4"/>
      <c r="AI72" s="56"/>
      <c r="AJ72" s="109"/>
      <c r="AK72" s="56"/>
      <c r="AL72" s="56"/>
      <c r="AM72" s="56"/>
      <c r="AN72" s="56"/>
      <c r="AO72" s="56"/>
      <c r="AP72" s="56"/>
      <c r="AQ72" s="56"/>
      <c r="AR72" s="109"/>
      <c r="AS72" s="56"/>
      <c r="AT72" s="56"/>
      <c r="AU72" s="3"/>
      <c r="AV72" s="25">
        <f>30*24*60*60*6.17</f>
        <v>15992640</v>
      </c>
      <c r="AW72" s="25">
        <f>30*24*60*60*18.64</f>
        <v>48314880</v>
      </c>
      <c r="AX72" s="25">
        <f>30*24*60*60*30.87</f>
        <v>80015040</v>
      </c>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1"/>
      <c r="CS72" s="1"/>
      <c r="CT72" s="1"/>
      <c r="CU72" s="1"/>
    </row>
    <row r="73" spans="1:99" s="13" customFormat="1" ht="12" customHeight="1" x14ac:dyDescent="0.2">
      <c r="A73" s="65">
        <v>43509</v>
      </c>
      <c r="B73" s="1" t="s">
        <v>240</v>
      </c>
      <c r="C73" s="1" t="s">
        <v>70</v>
      </c>
      <c r="D73" s="60">
        <v>2017</v>
      </c>
      <c r="E73" s="76">
        <v>1</v>
      </c>
      <c r="F73" s="60">
        <v>118</v>
      </c>
      <c r="G73" s="60">
        <v>39.299999999999997</v>
      </c>
      <c r="H73" s="60" t="s">
        <v>38</v>
      </c>
      <c r="I73" s="60" t="s">
        <v>624</v>
      </c>
      <c r="J73" s="60" t="s">
        <v>175</v>
      </c>
      <c r="K73" s="60">
        <f>IF(J73="syllables",1,IF(J73="trigrams",2,IF(J73="strings",3,IF(J73="visual array",4,IF(J73="characters",5,IF(J73="letters",6,IF(J73="free forms",7,IF(J73="odors",8,IF(J73="words",9,IF(J73="pictures",10,IF(J73="object pictures",11,IF(J73="faces",12,IF(J73="names",13,IF(J73="idioms",14,IF(J73="grades",15,IF(J73="syllable-digit pairs",16,IF(J73="trigram-word pairs",17,IF(J73="word-digit pairs",18,IF(J73="English-Swahili pairs",19,IF(J73="spatial position",20,IF(J73="word pairs",21,IF(J73="word triads",22,IF(J73="generated words",23,IF(J73="word definition pairs",24,IF(J73="math problems",25,IF(J73="famous faces",26,IF(J73="famous names",27,IF(J73="famous voices",28,IF(J73="television programs",29,IF(J73="race horses",30,IF(J73="new vocabulary",31,IF(J73="sentences",32,IF(J73="concepts",33,IF(J73="ad slides",34,IF(J73="scenes",35,IF(J73="famous scenes",36,IF(J73="poems",37,IF(J73="walk",38,IF(J73="faces and events",39,IF(J73="events and names",40,IF(J73="flashbulb",41,IF(J73="stories",42,IF(J73="course material",43,IF(J73="autobiographical",44,IF(J73="novels",45,IF(J73="public events",46,"99"))))))))))))))))))))))))))))))))))))))))))))))</f>
        <v>20</v>
      </c>
      <c r="L73" s="60">
        <f>IF(J73="syllables",1,IF(J73="trigrams",1,IF(J73="strings",1,IF(J73="visual array",1,IF(J73="characters",1,IF(J73="letters",1,IF(J73="free forms",1,IF(J73="odors",2,IF(J73="words",2,IF(J73="pictures",2,IF(J73="object pictures",2,IF(J73="faces",2,IF(J73="names",2,IF(J73="idioms","2",IF(J73="grades",2,IF(J73="syllable-digit pairs",3,IF(J73="trigram-word pairs",3,IF(J73="word-digit pairs",3,IF(J73="English-Swahili pairs",3,IF(J73="spatial position",3,IF(J73="word pairs",4,IF(J73="word triads",4,IF(J73="generated words",4,IF(J73="word definition pairs",4,IF(J73="math problems",4,IF(J73="famous faces",4,IF(J73="famous names",4,IF(J73="famous voices",4,IF(J73="television programs",4,IF(J73="race horses",4,IF(J73="new vocabulary",4,IF(J73="sentences",5,IF(J73="concepts",5,IF(J73="ad slides",5,IF(J73="scenes",5,IF(J73="famous scenes",5,IF(J73="poems",6,IF(J73="walk",6,IF(J73="faces and events",6,IF(J73="events and names",6,IF(J73="flashbulb",7,IF(J73="stories",7,IF(J73="course material",7,IF(J73="autobiographical",7,IF(J73="novels",7,IF(J73="public events",7,"99"))))))))))))))))))))))))))))))))))))))))))))))</f>
        <v>3</v>
      </c>
      <c r="M73" s="60">
        <v>0</v>
      </c>
      <c r="N73" s="60">
        <v>1</v>
      </c>
      <c r="O73" s="60">
        <v>0</v>
      </c>
      <c r="P73" s="60"/>
      <c r="Q73" s="60" t="s">
        <v>174</v>
      </c>
      <c r="R73" s="60">
        <f>IF(Q73="Free Recall",1,IF(Q73="Cued Recall",2,IF(Q73="Recognition",3,IF(Q73="Multiple Choice",4,IF(Q73="Savings",5,IF(Q73="Stem Completion",6,IF(Q73="Fragment Completion",7,IF(Q73="anagram solution",8,IF(Q73="Matching",9,IF(Q73="Problem Solving",10,"99"))))))))))</f>
        <v>1</v>
      </c>
      <c r="S73" s="60" t="s">
        <v>49</v>
      </c>
      <c r="T73" s="60" t="s">
        <v>261</v>
      </c>
      <c r="U73" s="60">
        <f>IF(T73="within",1,0)</f>
        <v>0</v>
      </c>
      <c r="V73" s="60">
        <v>1</v>
      </c>
      <c r="W73" s="60">
        <f>F73*V73</f>
        <v>118</v>
      </c>
      <c r="X73" s="60">
        <v>3</v>
      </c>
      <c r="Y73" s="76">
        <f>AV72</f>
        <v>15992640</v>
      </c>
      <c r="Z73" s="60" t="s">
        <v>235</v>
      </c>
      <c r="AA73" s="60">
        <f>30*24*60*60*30.87</f>
        <v>80015040</v>
      </c>
      <c r="AB73" s="60" t="str">
        <f>IF(AA73&lt;60,"1",IF(AA73&lt;=43200,"2",IF(AA73&lt;=777600,"3","4")))</f>
        <v>4</v>
      </c>
      <c r="AC73" s="56">
        <f>AVERAGE(AV72:DA72)</f>
        <v>48107520</v>
      </c>
      <c r="AD73" s="60" t="str">
        <f>IF(AC73&lt;60,"1",IF(AC73&lt;=43200,"2",IF(AC73&lt;=777600,"3","4")))</f>
        <v>4</v>
      </c>
      <c r="AE73" s="76">
        <f>AA73-Y73</f>
        <v>64022400</v>
      </c>
      <c r="AF73" s="80">
        <f>AV73</f>
        <v>0.15</v>
      </c>
      <c r="AG73" s="56">
        <f>((AW73-AV73)+(AX73-AW73))/2</f>
        <v>-3.5499999999999997E-2</v>
      </c>
      <c r="AH73" s="4"/>
      <c r="AI73" s="56">
        <f>RSQ(AV73:AX73,AV72:AX72)</f>
        <v>0.94979718397160551</v>
      </c>
      <c r="AJ73" s="109">
        <f>SLOPE(AV73:AX73,AV72:AX72)</f>
        <v>-1.1104190067152762E-9</v>
      </c>
      <c r="AK73" s="56">
        <f>INTERCEPT(AV73:AX73,AV72:AX72)</f>
        <v>0.16308617124060196</v>
      </c>
      <c r="AL73" s="56">
        <f>INDEX(LINEST(LN(AV73:AX73),LN(AV72:AX72),TRUE,TRUE),3,1)</f>
        <v>0.99632733902197745</v>
      </c>
      <c r="AM73" s="56">
        <f>INDEX(LINEST(LN(AV73:AX73),LN(AV72:AX72)),1)</f>
        <v>-0.39308731788945506</v>
      </c>
      <c r="AN73" s="56">
        <f>EXP(INDEX(LINEST(LN(AV73:AX73),LN(AV72:AX72)),1,2))</f>
        <v>102.53680131298032</v>
      </c>
      <c r="AO73" s="82">
        <f>INDEX(LINEST((AV73:AX73),LN(AV72:AX72),TRUE,TRUE),3,1)</f>
        <v>0.99962835945109341</v>
      </c>
      <c r="AP73" s="82">
        <f>INDEX(LINEST((AV73:AX73),LN(AV72:AX72)),1)</f>
        <v>-4.4281068084561212E-2</v>
      </c>
      <c r="AQ73" s="83">
        <f>INDEX(LINEST(LN(AV73:AX73),SQRT(AV72:AX72),TRUE,TRUE),3,1)</f>
        <v>0.99837259582809579</v>
      </c>
      <c r="AR73" s="116">
        <f>INDEX(LINEST(LN(AV73:AX73),SQRT((AV72:AX72))),1)</f>
        <v>-1.3022441536346914E-4</v>
      </c>
      <c r="AS73" s="84">
        <f>INDEX(LINEST(1/(AV73:AX73),1/(SQRT(AV72:AX72)),TRUE,TRUE),3,1)</f>
        <v>0.9457026566120359</v>
      </c>
      <c r="AT73" s="84">
        <f>INDEX(LINEST(1/(AV73:AX73),1/SQRT(AV72:AX72)),1)</f>
        <v>-40342.288517823501</v>
      </c>
      <c r="AU73" s="3"/>
      <c r="AV73" s="53">
        <v>0.15</v>
      </c>
      <c r="AW73" s="53">
        <v>0.1</v>
      </c>
      <c r="AX73" s="53">
        <v>7.9000000000000001E-2</v>
      </c>
      <c r="AY73" s="53"/>
      <c r="AZ73" s="53"/>
      <c r="BA73" s="53"/>
      <c r="BB73" s="53"/>
      <c r="BC73" s="53"/>
      <c r="BD73" s="53"/>
      <c r="BE73" s="53"/>
      <c r="BF73" s="53"/>
      <c r="BG73" s="53"/>
      <c r="BH73" s="53"/>
      <c r="BI73" s="53"/>
      <c r="BJ73" s="53"/>
      <c r="BK73" s="53"/>
      <c r="BL73" s="53"/>
      <c r="BM73" s="53"/>
      <c r="BN73" s="53"/>
      <c r="BO73" s="53"/>
      <c r="BP73" s="53"/>
      <c r="BQ73" s="53"/>
      <c r="BR73" s="53"/>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3"/>
      <c r="CQ73" s="53"/>
      <c r="CR73" s="1"/>
      <c r="CS73" s="1"/>
      <c r="CT73" s="1"/>
      <c r="CU73" s="1"/>
    </row>
    <row r="74" spans="1:99" s="13" customFormat="1" ht="12" customHeight="1" x14ac:dyDescent="0.2">
      <c r="A74" s="65">
        <v>43509</v>
      </c>
      <c r="B74" s="1"/>
      <c r="C74" s="1"/>
      <c r="D74" s="60"/>
      <c r="E74" s="76"/>
      <c r="F74" s="60"/>
      <c r="G74" s="60"/>
      <c r="H74" s="60"/>
      <c r="I74" s="60"/>
      <c r="J74" s="60"/>
      <c r="K74" s="64"/>
      <c r="L74" s="64"/>
      <c r="M74" s="60"/>
      <c r="N74" s="60"/>
      <c r="O74" s="60"/>
      <c r="P74" s="60"/>
      <c r="Q74" s="59"/>
      <c r="R74" s="60"/>
      <c r="S74" s="60"/>
      <c r="T74" s="60"/>
      <c r="U74" s="60"/>
      <c r="V74" s="60"/>
      <c r="W74" s="60"/>
      <c r="X74" s="60"/>
      <c r="Y74" s="76"/>
      <c r="Z74" s="60"/>
      <c r="AA74" s="60"/>
      <c r="AB74" s="60"/>
      <c r="AC74" s="60"/>
      <c r="AD74" s="60"/>
      <c r="AE74" s="60"/>
      <c r="AF74" s="80"/>
      <c r="AG74" s="56"/>
      <c r="AH74" s="4"/>
      <c r="AI74" s="56"/>
      <c r="AJ74" s="109"/>
      <c r="AK74" s="56"/>
      <c r="AL74" s="56"/>
      <c r="AM74" s="56"/>
      <c r="AN74" s="56"/>
      <c r="AO74" s="56"/>
      <c r="AP74" s="56"/>
      <c r="AQ74" s="56"/>
      <c r="AR74" s="109"/>
      <c r="AS74" s="56"/>
      <c r="AT74" s="56"/>
      <c r="AU74" s="3"/>
      <c r="AV74" s="25">
        <f>30*24*60*60*6.17</f>
        <v>15992640</v>
      </c>
      <c r="AW74" s="25">
        <f>30*24*60*60*18.64</f>
        <v>48314880</v>
      </c>
      <c r="AX74" s="25">
        <f>30*24*60*60*30.87</f>
        <v>80015040</v>
      </c>
      <c r="AY74" s="53"/>
      <c r="AZ74" s="53"/>
      <c r="BA74" s="53"/>
      <c r="BB74" s="53"/>
      <c r="BC74" s="53"/>
      <c r="BD74" s="53"/>
      <c r="BE74" s="53"/>
      <c r="BF74" s="53"/>
      <c r="BG74" s="53"/>
      <c r="BH74" s="53"/>
      <c r="BI74" s="53"/>
      <c r="BJ74" s="53"/>
      <c r="BK74" s="53"/>
      <c r="BL74" s="53"/>
      <c r="BM74" s="53"/>
      <c r="BN74" s="53"/>
      <c r="BO74" s="53"/>
      <c r="BP74" s="53"/>
      <c r="BQ74" s="53"/>
      <c r="BR74" s="53"/>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3"/>
      <c r="CQ74" s="53"/>
      <c r="CR74" s="1"/>
      <c r="CS74" s="1"/>
      <c r="CT74" s="1"/>
      <c r="CU74" s="1"/>
    </row>
    <row r="75" spans="1:99" s="13" customFormat="1" ht="12" customHeight="1" x14ac:dyDescent="0.2">
      <c r="A75" s="65">
        <v>43509</v>
      </c>
      <c r="B75" s="1" t="s">
        <v>240</v>
      </c>
      <c r="C75" s="1" t="s">
        <v>70</v>
      </c>
      <c r="D75" s="60">
        <v>2017</v>
      </c>
      <c r="E75" s="76">
        <v>1</v>
      </c>
      <c r="F75" s="60">
        <v>118</v>
      </c>
      <c r="G75" s="60">
        <v>39.299999999999997</v>
      </c>
      <c r="H75" s="60" t="s">
        <v>38</v>
      </c>
      <c r="I75" s="60" t="s">
        <v>625</v>
      </c>
      <c r="J75" s="60" t="s">
        <v>175</v>
      </c>
      <c r="K75" s="60">
        <f>IF(J75="syllables",1,IF(J75="trigrams",2,IF(J75="strings",3,IF(J75="visual array",4,IF(J75="characters",5,IF(J75="letters",6,IF(J75="free forms",7,IF(J75="odors",8,IF(J75="words",9,IF(J75="pictures",10,IF(J75="object pictures",11,IF(J75="faces",12,IF(J75="names",13,IF(J75="idioms",14,IF(J75="grades",15,IF(J75="syllable-digit pairs",16,IF(J75="trigram-word pairs",17,IF(J75="word-digit pairs",18,IF(J75="English-Swahili pairs",19,IF(J75="spatial position",20,IF(J75="word pairs",21,IF(J75="word triads",22,IF(J75="generated words",23,IF(J75="word definition pairs",24,IF(J75="math problems",25,IF(J75="famous faces",26,IF(J75="famous names",27,IF(J75="famous voices",28,IF(J75="television programs",29,IF(J75="race horses",30,IF(J75="new vocabulary",31,IF(J75="sentences",32,IF(J75="concepts",33,IF(J75="ad slides",34,IF(J75="scenes",35,IF(J75="famous scenes",36,IF(J75="poems",37,IF(J75="walk",38,IF(J75="faces and events",39,IF(J75="events and names",40,IF(J75="flashbulb",41,IF(J75="stories",42,IF(J75="course material",43,IF(J75="autobiographical",44,IF(J75="novels",45,IF(J75="public events",46,"99"))))))))))))))))))))))))))))))))))))))))))))))</f>
        <v>20</v>
      </c>
      <c r="L75" s="60">
        <f>IF(J75="syllables",1,IF(J75="trigrams",1,IF(J75="strings",1,IF(J75="visual array",1,IF(J75="characters",1,IF(J75="letters",1,IF(J75="free forms",1,IF(J75="odors",2,IF(J75="words",2,IF(J75="pictures",2,IF(J75="object pictures",2,IF(J75="faces",2,IF(J75="names",2,IF(J75="idioms","2",IF(J75="grades",2,IF(J75="syllable-digit pairs",3,IF(J75="trigram-word pairs",3,IF(J75="word-digit pairs",3,IF(J75="English-Swahili pairs",3,IF(J75="spatial position",3,IF(J75="word pairs",4,IF(J75="word triads",4,IF(J75="generated words",4,IF(J75="word definition pairs",4,IF(J75="math problems",4,IF(J75="famous faces",4,IF(J75="famous names",4,IF(J75="famous voices",4,IF(J75="television programs",4,IF(J75="race horses",4,IF(J75="new vocabulary",4,IF(J75="sentences",5,IF(J75="concepts",5,IF(J75="ad slides",5,IF(J75="scenes",5,IF(J75="famous scenes",5,IF(J75="poems",6,IF(J75="walk",6,IF(J75="faces and events",6,IF(J75="events and names",6,IF(J75="flashbulb",7,IF(J75="stories",7,IF(J75="course material",7,IF(J75="autobiographical",7,IF(J75="novels",7,IF(J75="public events",7,"99"))))))))))))))))))))))))))))))))))))))))))))))</f>
        <v>3</v>
      </c>
      <c r="M75" s="60">
        <v>0</v>
      </c>
      <c r="N75" s="60">
        <v>1</v>
      </c>
      <c r="O75" s="60">
        <v>0</v>
      </c>
      <c r="P75" s="60"/>
      <c r="Q75" s="60" t="s">
        <v>174</v>
      </c>
      <c r="R75" s="60">
        <f>IF(Q75="Free Recall",1,IF(Q75="Cued Recall",2,IF(Q75="Recognition",3,IF(Q75="Multiple Choice",4,IF(Q75="Savings",5,IF(Q75="Stem Completion",6,IF(Q75="Fragment Completion",7,IF(Q75="anagram solution",8,IF(Q75="Matching",9,IF(Q75="Problem Solving",10,"99"))))))))))</f>
        <v>1</v>
      </c>
      <c r="S75" s="60" t="s">
        <v>49</v>
      </c>
      <c r="T75" s="60" t="s">
        <v>261</v>
      </c>
      <c r="U75" s="60">
        <f>IF(T75="within",1,0)</f>
        <v>0</v>
      </c>
      <c r="V75" s="60">
        <v>1</v>
      </c>
      <c r="W75" s="60">
        <f>F75*V75</f>
        <v>118</v>
      </c>
      <c r="X75" s="60">
        <v>3</v>
      </c>
      <c r="Y75" s="76">
        <f>AV74</f>
        <v>15992640</v>
      </c>
      <c r="Z75" s="60" t="s">
        <v>235</v>
      </c>
      <c r="AA75" s="60">
        <f>30*24*60*60*30.87</f>
        <v>80015040</v>
      </c>
      <c r="AB75" s="60" t="str">
        <f>IF(AA75&lt;60,"1",IF(AA75&lt;=43200,"2",IF(AA75&lt;=777600,"3","4")))</f>
        <v>4</v>
      </c>
      <c r="AC75" s="56">
        <f>AVERAGE(AV74:DA74)</f>
        <v>48107520</v>
      </c>
      <c r="AD75" s="60" t="str">
        <f>IF(AC75&lt;60,"1",IF(AC75&lt;=43200,"2",IF(AC75&lt;=777600,"3","4")))</f>
        <v>4</v>
      </c>
      <c r="AE75" s="76">
        <f>AA75-Y75</f>
        <v>64022400</v>
      </c>
      <c r="AF75" s="80">
        <f>AV75</f>
        <v>0.8</v>
      </c>
      <c r="AG75" s="56">
        <f>((AW75-AV75)+(AX75-AW75))/2</f>
        <v>-0.06</v>
      </c>
      <c r="AH75" s="4"/>
      <c r="AI75" s="56">
        <f>RSQ(AV75:AX75,AV74:AX74)</f>
        <v>0.72383229116989778</v>
      </c>
      <c r="AJ75" s="109">
        <f>SLOPE(AV75:AX75,AV74:AX74)</f>
        <v>-1.8808614329984383E-9</v>
      </c>
      <c r="AK75" s="56">
        <f>INTERCEPT(AV75:AX75,AV74:AX74)</f>
        <v>0.80881691233853437</v>
      </c>
      <c r="AL75" s="56">
        <f>INDEX(LINEST(LN(AV75:AX75),LN(AV74:AX74),TRUE,TRUE),3,1)</f>
        <v>0.88259838867604767</v>
      </c>
      <c r="AM75" s="56">
        <f>INDEX(LINEST(LN(AV75:AX75),LN(AV74:AX74)),1)</f>
        <v>-0.10955062355742998</v>
      </c>
      <c r="AN75" s="56">
        <f>EXP(INDEX(LINEST(LN(AV75:AX75),LN(AV74:AX74)),1,2))</f>
        <v>4.8666481749721182</v>
      </c>
      <c r="AO75" s="82">
        <f>INDEX(LINEST((AV75:AX75),LN(AV74:AX74),TRUE,TRUE),3,1)</f>
        <v>0.88458778760218626</v>
      </c>
      <c r="AP75" s="82">
        <f>INDEX(LINEST((AV75:AX75),LN(AV74:AX74)),1)</f>
        <v>-8.0823127102540693E-2</v>
      </c>
      <c r="AQ75" s="83">
        <f>INDEX(LINEST(LN(AV75:AX75),SQRT(AV74:AX74),TRUE,TRUE),3,1)</f>
        <v>0.81024349931908379</v>
      </c>
      <c r="AR75" s="116">
        <f>INDEX(LINEST(LN(AV75:AX75),SQRT((AV74:AX74))),1)</f>
        <v>-3.4737547067067404E-5</v>
      </c>
      <c r="AS75" s="84">
        <f>INDEX(LINEST(1/(AV75:AX75),1/(SQRT(AV74:AX74)),TRUE,TRUE),3,1)</f>
        <v>0.93131815125356832</v>
      </c>
      <c r="AT75" s="84">
        <f>INDEX(LINEST(1/(AV75:AX75),1/SQRT(AV74:AX74)),1)</f>
        <v>-1741.7986551857243</v>
      </c>
      <c r="AU75" s="3"/>
      <c r="AV75" s="53">
        <v>0.8</v>
      </c>
      <c r="AW75" s="53">
        <v>0.67500000000000004</v>
      </c>
      <c r="AX75" s="53">
        <v>0.68</v>
      </c>
      <c r="AY75" s="53"/>
      <c r="AZ75" s="53"/>
      <c r="BA75" s="53"/>
      <c r="BB75" s="53"/>
      <c r="BC75" s="53"/>
      <c r="BD75" s="53"/>
      <c r="BE75" s="53"/>
      <c r="BF75" s="53"/>
      <c r="BG75" s="53"/>
      <c r="BH75" s="53"/>
      <c r="BI75" s="53"/>
      <c r="BJ75" s="53"/>
      <c r="BK75" s="53"/>
      <c r="BL75" s="53"/>
      <c r="BM75" s="53"/>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1"/>
      <c r="CS75" s="1"/>
      <c r="CT75" s="1"/>
      <c r="CU75" s="1"/>
    </row>
    <row r="76" spans="1:99" s="13" customFormat="1" ht="12" customHeight="1" x14ac:dyDescent="0.2">
      <c r="A76" s="65">
        <v>43509</v>
      </c>
      <c r="B76" s="1"/>
      <c r="C76" s="1"/>
      <c r="D76" s="60"/>
      <c r="E76" s="76"/>
      <c r="F76" s="60"/>
      <c r="G76" s="60"/>
      <c r="H76" s="60"/>
      <c r="I76" s="60"/>
      <c r="J76" s="60"/>
      <c r="K76" s="64"/>
      <c r="L76" s="64"/>
      <c r="M76" s="60"/>
      <c r="N76" s="60"/>
      <c r="O76" s="60"/>
      <c r="P76" s="60"/>
      <c r="Q76" s="59"/>
      <c r="R76" s="60"/>
      <c r="S76" s="60"/>
      <c r="T76" s="60"/>
      <c r="U76" s="60"/>
      <c r="V76" s="60"/>
      <c r="W76" s="60"/>
      <c r="X76" s="60"/>
      <c r="Y76" s="76"/>
      <c r="Z76" s="60"/>
      <c r="AA76" s="60"/>
      <c r="AB76" s="60"/>
      <c r="AC76" s="60"/>
      <c r="AD76" s="60"/>
      <c r="AE76" s="60"/>
      <c r="AF76" s="80"/>
      <c r="AG76" s="56"/>
      <c r="AH76" s="4"/>
      <c r="AI76" s="56"/>
      <c r="AJ76" s="109"/>
      <c r="AK76" s="56"/>
      <c r="AL76" s="56"/>
      <c r="AM76" s="56"/>
      <c r="AN76" s="56"/>
      <c r="AO76" s="56"/>
      <c r="AP76" s="56"/>
      <c r="AQ76" s="56"/>
      <c r="AR76" s="109"/>
      <c r="AS76" s="56"/>
      <c r="AT76" s="56"/>
      <c r="AU76" s="3"/>
      <c r="AV76" s="25">
        <f>30*24*60*60*6.17</f>
        <v>15992640</v>
      </c>
      <c r="AW76" s="25">
        <f>30*24*60*60*18.64</f>
        <v>48314880</v>
      </c>
      <c r="AX76" s="25">
        <f>30*24*60*60*30.87</f>
        <v>80015040</v>
      </c>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1"/>
      <c r="CS76" s="1"/>
      <c r="CT76" s="1"/>
      <c r="CU76" s="1"/>
    </row>
    <row r="77" spans="1:99" s="13" customFormat="1" ht="12" customHeight="1" x14ac:dyDescent="0.2">
      <c r="A77" s="65">
        <v>43509</v>
      </c>
      <c r="B77" s="1" t="s">
        <v>240</v>
      </c>
      <c r="C77" s="1" t="s">
        <v>70</v>
      </c>
      <c r="D77" s="60">
        <v>2017</v>
      </c>
      <c r="E77" s="76">
        <v>1</v>
      </c>
      <c r="F77" s="60">
        <v>118</v>
      </c>
      <c r="G77" s="60">
        <v>39.299999999999997</v>
      </c>
      <c r="H77" s="60" t="s">
        <v>38</v>
      </c>
      <c r="I77" s="60" t="s">
        <v>626</v>
      </c>
      <c r="J77" s="60" t="s">
        <v>175</v>
      </c>
      <c r="K77" s="60">
        <f>IF(J77="syllables",1,IF(J77="trigrams",2,IF(J77="strings",3,IF(J77="visual array",4,IF(J77="characters",5,IF(J77="letters",6,IF(J77="free forms",7,IF(J77="odors",8,IF(J77="words",9,IF(J77="pictures",10,IF(J77="object pictures",11,IF(J77="faces",12,IF(J77="names",13,IF(J77="idioms",14,IF(J77="grades",15,IF(J77="syllable-digit pairs",16,IF(J77="trigram-word pairs",17,IF(J77="word-digit pairs",18,IF(J77="English-Swahili pairs",19,IF(J77="spatial position",20,IF(J77="word pairs",21,IF(J77="word triads",22,IF(J77="generated words",23,IF(J77="word definition pairs",24,IF(J77="math problems",25,IF(J77="famous faces",26,IF(J77="famous names",27,IF(J77="famous voices",28,IF(J77="television programs",29,IF(J77="race horses",30,IF(J77="new vocabulary",31,IF(J77="sentences",32,IF(J77="concepts",33,IF(J77="ad slides",34,IF(J77="scenes",35,IF(J77="famous scenes",36,IF(J77="poems",37,IF(J77="walk",38,IF(J77="faces and events",39,IF(J77="events and names",40,IF(J77="flashbulb",41,IF(J77="stories",42,IF(J77="course material",43,IF(J77="autobiographical",44,IF(J77="novels",45,IF(J77="public events",46,"99"))))))))))))))))))))))))))))))))))))))))))))))</f>
        <v>20</v>
      </c>
      <c r="L77" s="60">
        <f>IF(J77="syllables",1,IF(J77="trigrams",1,IF(J77="strings",1,IF(J77="visual array",1,IF(J77="characters",1,IF(J77="letters",1,IF(J77="free forms",1,IF(J77="odors",2,IF(J77="words",2,IF(J77="pictures",2,IF(J77="object pictures",2,IF(J77="faces",2,IF(J77="names",2,IF(J77="idioms","2",IF(J77="grades",2,IF(J77="syllable-digit pairs",3,IF(J77="trigram-word pairs",3,IF(J77="word-digit pairs",3,IF(J77="English-Swahili pairs",3,IF(J77="spatial position",3,IF(J77="word pairs",4,IF(J77="word triads",4,IF(J77="generated words",4,IF(J77="word definition pairs",4,IF(J77="math problems",4,IF(J77="famous faces",4,IF(J77="famous names",4,IF(J77="famous voices",4,IF(J77="television programs",4,IF(J77="race horses",4,IF(J77="new vocabulary",4,IF(J77="sentences",5,IF(J77="concepts",5,IF(J77="ad slides",5,IF(J77="scenes",5,IF(J77="famous scenes",5,IF(J77="poems",6,IF(J77="walk",6,IF(J77="faces and events",6,IF(J77="events and names",6,IF(J77="flashbulb",7,IF(J77="stories",7,IF(J77="course material",7,IF(J77="autobiographical",7,IF(J77="novels",7,IF(J77="public events",7,"99"))))))))))))))))))))))))))))))))))))))))))))))</f>
        <v>3</v>
      </c>
      <c r="M77" s="60">
        <v>0</v>
      </c>
      <c r="N77" s="60">
        <v>1</v>
      </c>
      <c r="O77" s="60">
        <v>0</v>
      </c>
      <c r="P77" s="60"/>
      <c r="Q77" s="60" t="s">
        <v>174</v>
      </c>
      <c r="R77" s="60">
        <f>IF(Q77="Free Recall",1,IF(Q77="Cued Recall",2,IF(Q77="Recognition",3,IF(Q77="Multiple Choice",4,IF(Q77="Savings",5,IF(Q77="Stem Completion",6,IF(Q77="Fragment Completion",7,IF(Q77="anagram solution",8,IF(Q77="Matching",9,IF(Q77="Problem Solving",10,"99"))))))))))</f>
        <v>1</v>
      </c>
      <c r="S77" s="60" t="s">
        <v>49</v>
      </c>
      <c r="T77" s="60" t="s">
        <v>261</v>
      </c>
      <c r="U77" s="60">
        <f>IF(T77="within",1,0)</f>
        <v>0</v>
      </c>
      <c r="V77" s="60">
        <v>1</v>
      </c>
      <c r="W77" s="60">
        <f>F77*V77</f>
        <v>118</v>
      </c>
      <c r="X77" s="60">
        <v>3</v>
      </c>
      <c r="Y77" s="76">
        <f>AV76</f>
        <v>15992640</v>
      </c>
      <c r="Z77" s="60" t="s">
        <v>235</v>
      </c>
      <c r="AA77" s="60">
        <f>30*24*60*60*30.87</f>
        <v>80015040</v>
      </c>
      <c r="AB77" s="60" t="str">
        <f>IF(AA77&lt;60,"1",IF(AA77&lt;=43200,"2",IF(AA77&lt;=777600,"3","4")))</f>
        <v>4</v>
      </c>
      <c r="AC77" s="56">
        <f>AVERAGE(AV76:DA76)</f>
        <v>48107520</v>
      </c>
      <c r="AD77" s="60" t="str">
        <f>IF(AC77&lt;60,"1",IF(AC77&lt;=43200,"2",IF(AC77&lt;=777600,"3","4")))</f>
        <v>4</v>
      </c>
      <c r="AE77" s="76">
        <f>AA77-Y77</f>
        <v>64022400</v>
      </c>
      <c r="AF77" s="80">
        <f>AV77</f>
        <v>0.6</v>
      </c>
      <c r="AG77" s="56">
        <f>((AW77-AV77)+(AX77-AW77))/2</f>
        <v>-2.3499999999999965E-2</v>
      </c>
      <c r="AH77" s="4"/>
      <c r="AI77" s="56">
        <f>RSQ(AV77:AX77,AV76:AX76)</f>
        <v>0.14191580330469719</v>
      </c>
      <c r="AJ77" s="109">
        <f>SLOPE(AV77:AX77,AV76:AX76)</f>
        <v>-7.2412912230494505E-10</v>
      </c>
      <c r="AK77" s="56">
        <f>INTERCEPT(AV77:AX77,AV76:AX76)</f>
        <v>0.64416938956720082</v>
      </c>
      <c r="AL77" s="56">
        <f>INDEX(LINEST(LN(AV77:AX77),LN(AV76:AX76),TRUE,TRUE),3,1)</f>
        <v>4.2160132266873804E-2</v>
      </c>
      <c r="AM77" s="56">
        <f>INDEX(LINEST(LN(AV77:AX77),LN(AV76:AX76)),1)</f>
        <v>-2.4988556565272876E-2</v>
      </c>
      <c r="AN77" s="56">
        <f>EXP(INDEX(LINEST(LN(AV77:AX77),LN(AV76:AX76)),1,2))</f>
        <v>0.94022736605303669</v>
      </c>
      <c r="AO77" s="82">
        <f>INDEX(LINEST((AV77:AX77),LN(AV76:AX76),TRUE,TRUE),3,1)</f>
        <v>3.1893502431956676E-2</v>
      </c>
      <c r="AP77" s="82">
        <f>INDEX(LINEST((AV77:AX77),LN(AV76:AX76)),1)</f>
        <v>-1.3343786868121158E-2</v>
      </c>
      <c r="AQ77" s="83">
        <f>INDEX(LINEST(LN(AV77:AX77),SQRT(AV76:AX76),TRUE,TRUE),3,1)</f>
        <v>9.1781748377920427E-2</v>
      </c>
      <c r="AR77" s="116">
        <f>INDEX(LINEST(LN(AV77:AX77),SQRT((AV76:AX76))),1)</f>
        <v>-1.2201871105409494E-5</v>
      </c>
      <c r="AS77" s="84">
        <f>INDEX(LINEST(1/(AV77:AX77),1/(SQRT(AV76:AX76)),TRUE,TRUE),3,1)</f>
        <v>2.1368912678493186E-2</v>
      </c>
      <c r="AT77" s="84">
        <f>INDEX(LINEST(1/(AV77:AX77),1/SQRT(AV76:AX76)),1)</f>
        <v>-331.0767834315057</v>
      </c>
      <c r="AU77" s="3"/>
      <c r="AV77" s="53">
        <v>0.6</v>
      </c>
      <c r="AW77" s="53">
        <v>0.67500000000000004</v>
      </c>
      <c r="AX77" s="53">
        <v>0.55300000000000005</v>
      </c>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1"/>
      <c r="CS77" s="1"/>
      <c r="CT77" s="1"/>
      <c r="CU77" s="1"/>
    </row>
    <row r="78" spans="1:99" s="13" customFormat="1" ht="12" customHeight="1" x14ac:dyDescent="0.2">
      <c r="A78" s="65">
        <v>43509</v>
      </c>
      <c r="B78" s="1"/>
      <c r="C78" s="1"/>
      <c r="D78" s="60"/>
      <c r="E78" s="76"/>
      <c r="F78" s="60"/>
      <c r="G78" s="60"/>
      <c r="H78" s="60"/>
      <c r="I78" s="60"/>
      <c r="J78" s="60"/>
      <c r="K78" s="64"/>
      <c r="L78" s="64"/>
      <c r="M78" s="60"/>
      <c r="N78" s="60"/>
      <c r="O78" s="60"/>
      <c r="P78" s="60"/>
      <c r="Q78" s="59"/>
      <c r="R78" s="60"/>
      <c r="S78" s="60"/>
      <c r="T78" s="60"/>
      <c r="U78" s="60"/>
      <c r="V78" s="60"/>
      <c r="W78" s="60"/>
      <c r="X78" s="60"/>
      <c r="Y78" s="76"/>
      <c r="Z78" s="60"/>
      <c r="AA78" s="60"/>
      <c r="AB78" s="60"/>
      <c r="AC78" s="60"/>
      <c r="AD78" s="60"/>
      <c r="AE78" s="60"/>
      <c r="AF78" s="80"/>
      <c r="AG78" s="56"/>
      <c r="AH78" s="4"/>
      <c r="AI78" s="56"/>
      <c r="AJ78" s="109"/>
      <c r="AK78" s="56"/>
      <c r="AL78" s="56"/>
      <c r="AM78" s="56"/>
      <c r="AN78" s="56"/>
      <c r="AO78" s="56"/>
      <c r="AP78" s="56"/>
      <c r="AQ78" s="56"/>
      <c r="AR78" s="109"/>
      <c r="AS78" s="56"/>
      <c r="AT78" s="56"/>
      <c r="AU78" s="3"/>
      <c r="AV78" s="25">
        <f>30*24*60*60*6.17</f>
        <v>15992640</v>
      </c>
      <c r="AW78" s="25">
        <f>30*24*60*60*18.64</f>
        <v>48314880</v>
      </c>
      <c r="AX78" s="25">
        <f>30*24*60*60*30.87</f>
        <v>80015040</v>
      </c>
      <c r="AY78" s="53"/>
      <c r="AZ78" s="53"/>
      <c r="BA78" s="53"/>
      <c r="BB78" s="53"/>
      <c r="BC78" s="53"/>
      <c r="BD78" s="53"/>
      <c r="BE78" s="53"/>
      <c r="BF78" s="53"/>
      <c r="BG78" s="53"/>
      <c r="BH78" s="53"/>
      <c r="BI78" s="53"/>
      <c r="BJ78" s="53"/>
      <c r="BK78" s="53"/>
      <c r="BL78" s="53"/>
      <c r="BM78" s="53"/>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1"/>
      <c r="CS78" s="1"/>
      <c r="CT78" s="1"/>
      <c r="CU78" s="1"/>
    </row>
    <row r="79" spans="1:99" s="13" customFormat="1" ht="12" customHeight="1" x14ac:dyDescent="0.2">
      <c r="A79" s="65">
        <v>43509</v>
      </c>
      <c r="B79" s="1" t="s">
        <v>240</v>
      </c>
      <c r="C79" s="1" t="s">
        <v>70</v>
      </c>
      <c r="D79" s="60">
        <v>2017</v>
      </c>
      <c r="E79" s="76">
        <v>1</v>
      </c>
      <c r="F79" s="60">
        <v>118</v>
      </c>
      <c r="G79" s="60">
        <v>39.299999999999997</v>
      </c>
      <c r="H79" s="60" t="s">
        <v>398</v>
      </c>
      <c r="I79" s="60" t="s">
        <v>627</v>
      </c>
      <c r="J79" s="60" t="s">
        <v>175</v>
      </c>
      <c r="K79" s="60">
        <f>IF(J79="syllables",1,IF(J79="trigrams",2,IF(J79="strings",3,IF(J79="visual array",4,IF(J79="characters",5,IF(J79="letters",6,IF(J79="free forms",7,IF(J79="odors",8,IF(J79="words",9,IF(J79="pictures",10,IF(J79="object pictures",11,IF(J79="faces",12,IF(J79="names",13,IF(J79="idioms",14,IF(J79="grades",15,IF(J79="syllable-digit pairs",16,IF(J79="trigram-word pairs",17,IF(J79="word-digit pairs",18,IF(J79="English-Swahili pairs",19,IF(J79="spatial position",20,IF(J79="word pairs",21,IF(J79="word triads",22,IF(J79="generated words",23,IF(J79="word definition pairs",24,IF(J79="math problems",25,IF(J79="famous faces",26,IF(J79="famous names",27,IF(J79="famous voices",28,IF(J79="television programs",29,IF(J79="race horses",30,IF(J79="new vocabulary",31,IF(J79="sentences",32,IF(J79="concepts",33,IF(J79="ad slides",34,IF(J79="scenes",35,IF(J79="famous scenes",36,IF(J79="poems",37,IF(J79="walk",38,IF(J79="faces and events",39,IF(J79="events and names",40,IF(J79="flashbulb",41,IF(J79="stories",42,IF(J79="course material",43,IF(J79="autobiographical",44,IF(J79="novels",45,IF(J79="public events",46,"99"))))))))))))))))))))))))))))))))))))))))))))))</f>
        <v>20</v>
      </c>
      <c r="L79" s="60">
        <f>IF(J79="syllables",1,IF(J79="trigrams",1,IF(J79="strings",1,IF(J79="visual array",1,IF(J79="characters",1,IF(J79="letters",1,IF(J79="free forms",1,IF(J79="odors",2,IF(J79="words",2,IF(J79="pictures",2,IF(J79="object pictures",2,IF(J79="faces",2,IF(J79="names",2,IF(J79="idioms","2",IF(J79="grades",2,IF(J79="syllable-digit pairs",3,IF(J79="trigram-word pairs",3,IF(J79="word-digit pairs",3,IF(J79="English-Swahili pairs",3,IF(J79="spatial position",3,IF(J79="word pairs",4,IF(J79="word triads",4,IF(J79="generated words",4,IF(J79="word definition pairs",4,IF(J79="math problems",4,IF(J79="famous faces",4,IF(J79="famous names",4,IF(J79="famous voices",4,IF(J79="television programs",4,IF(J79="race horses",4,IF(J79="new vocabulary",4,IF(J79="sentences",5,IF(J79="concepts",5,IF(J79="ad slides",5,IF(J79="scenes",5,IF(J79="famous scenes",5,IF(J79="poems",6,IF(J79="walk",6,IF(J79="faces and events",6,IF(J79="events and names",6,IF(J79="flashbulb",7,IF(J79="stories",7,IF(J79="course material",7,IF(J79="autobiographical",7,IF(J79="novels",7,IF(J79="public events",7,"99"))))))))))))))))))))))))))))))))))))))))))))))</f>
        <v>3</v>
      </c>
      <c r="M79" s="60">
        <v>0</v>
      </c>
      <c r="N79" s="60">
        <v>1</v>
      </c>
      <c r="O79" s="60">
        <v>0</v>
      </c>
      <c r="P79" s="60"/>
      <c r="Q79" s="60" t="s">
        <v>174</v>
      </c>
      <c r="R79" s="60">
        <f>IF(Q79="Free Recall",1,IF(Q79="Cued Recall",2,IF(Q79="Recognition",3,IF(Q79="Multiple Choice",4,IF(Q79="Savings",5,IF(Q79="Stem Completion",6,IF(Q79="Fragment Completion",7,IF(Q79="anagram solution",8,IF(Q79="Matching",9,IF(Q79="Problem Solving",10,"99"))))))))))</f>
        <v>1</v>
      </c>
      <c r="S79" s="60" t="s">
        <v>49</v>
      </c>
      <c r="T79" s="60" t="s">
        <v>261</v>
      </c>
      <c r="U79" s="60">
        <f>IF(T79="within",1,0)</f>
        <v>0</v>
      </c>
      <c r="V79" s="60">
        <v>1</v>
      </c>
      <c r="W79" s="60">
        <f>F79*V79</f>
        <v>118</v>
      </c>
      <c r="X79" s="60">
        <v>3</v>
      </c>
      <c r="Y79" s="76">
        <f>AV78</f>
        <v>15992640</v>
      </c>
      <c r="Z79" s="60" t="s">
        <v>235</v>
      </c>
      <c r="AA79" s="60">
        <f>30*24*60*60*30.87</f>
        <v>80015040</v>
      </c>
      <c r="AB79" s="60" t="str">
        <f>IF(AA79&lt;60,"1",IF(AA79&lt;=43200,"2",IF(AA79&lt;=777600,"3","4")))</f>
        <v>4</v>
      </c>
      <c r="AC79" s="56">
        <f>AVERAGE(AV78:DA78)</f>
        <v>48107520</v>
      </c>
      <c r="AD79" s="60" t="str">
        <f>IF(AC79&lt;60,"1",IF(AC79&lt;=43200,"2",IF(AC79&lt;=777600,"3","4")))</f>
        <v>4</v>
      </c>
      <c r="AE79" s="76">
        <f>AA79-Y79</f>
        <v>64022400</v>
      </c>
      <c r="AF79" s="80">
        <f>AV79</f>
        <v>0.28000000000000003</v>
      </c>
      <c r="AG79" s="56">
        <f>((AW79-AV79)+(AX79-AW79))/2</f>
        <v>-7.5000000000000011E-2</v>
      </c>
      <c r="AH79" s="4"/>
      <c r="AI79" s="56">
        <f>RSQ(AV79:AX79,AV78:AX78)</f>
        <v>0.88936231181471848</v>
      </c>
      <c r="AJ79" s="109">
        <f>SLOPE(AV79:AX79,AV78:AX78)</f>
        <v>-2.3383033240121122E-9</v>
      </c>
      <c r="AK79" s="56">
        <f>INTERCEPT(AV79:AX79,AV78:AX78)</f>
        <v>0.33248997392597918</v>
      </c>
      <c r="AL79" s="56">
        <f>INDEX(LINEST(LN(AV79:AX79),LN(AV78:AX78),TRUE,TRUE),3,1)</f>
        <v>0.68242917049548635</v>
      </c>
      <c r="AM79" s="56">
        <f>INDEX(LINEST(LN(AV79:AX79),LN(AV78:AX78)),1)</f>
        <v>-0.41544136809419413</v>
      </c>
      <c r="AN79" s="56">
        <f>EXP(INDEX(LINEST(LN(AV79:AX79),LN(AV78:AX78)),1,2))</f>
        <v>299.09727213520097</v>
      </c>
      <c r="AO79" s="82">
        <f>INDEX(LINEST((AV79:AX79),LN(AV78:AX78),TRUE,TRUE),3,1)</f>
        <v>0.73054899561479847</v>
      </c>
      <c r="AP79" s="82">
        <f>INDEX(LINEST((AV79:AX79),LN(AV78:AX78)),1)</f>
        <v>-8.2378430935811861E-2</v>
      </c>
      <c r="AQ79" s="83">
        <f>INDEX(LINEST(LN(AV79:AX79),SQRT(AV78:AX78),TRUE,TRUE),3,1)</f>
        <v>0.77211206981386749</v>
      </c>
      <c r="AR79" s="116">
        <f>INDEX(LINEST(LN(AV79:AX79),SQRT((AV78:AX78))),1)</f>
        <v>-1.4624438518726622E-4</v>
      </c>
      <c r="AS79" s="84">
        <f>INDEX(LINEST(1/(AV79:AX79),1/(SQRT(AV78:AX78)),TRUE,TRUE),3,1)</f>
        <v>0.55626079400348061</v>
      </c>
      <c r="AT79" s="84">
        <f>INDEX(LINEST(1/(AV79:AX79),1/SQRT(AV78:AX78)),1)</f>
        <v>-23349.859101473561</v>
      </c>
      <c r="AU79" s="3"/>
      <c r="AV79" s="53">
        <v>0.28000000000000003</v>
      </c>
      <c r="AW79" s="53">
        <v>0.25</v>
      </c>
      <c r="AX79" s="53">
        <v>0.13</v>
      </c>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1"/>
      <c r="CS79" s="1"/>
      <c r="CT79" s="1"/>
      <c r="CU79" s="1"/>
    </row>
    <row r="80" spans="1:99" s="13" customFormat="1" ht="12" customHeight="1" x14ac:dyDescent="0.2">
      <c r="A80" s="65">
        <v>43509</v>
      </c>
      <c r="B80" s="1"/>
      <c r="C80" s="1"/>
      <c r="D80" s="60"/>
      <c r="E80" s="76"/>
      <c r="F80" s="60"/>
      <c r="G80" s="60"/>
      <c r="H80" s="60"/>
      <c r="I80" s="60"/>
      <c r="J80" s="60"/>
      <c r="K80" s="64"/>
      <c r="L80" s="64"/>
      <c r="M80" s="60"/>
      <c r="N80" s="60"/>
      <c r="O80" s="60"/>
      <c r="P80" s="60"/>
      <c r="Q80" s="59"/>
      <c r="R80" s="60"/>
      <c r="S80" s="60"/>
      <c r="T80" s="60"/>
      <c r="U80" s="60"/>
      <c r="V80" s="60"/>
      <c r="W80" s="60"/>
      <c r="X80" s="60"/>
      <c r="Y80" s="76"/>
      <c r="Z80" s="60"/>
      <c r="AA80" s="60"/>
      <c r="AB80" s="60"/>
      <c r="AC80" s="60"/>
      <c r="AD80" s="60"/>
      <c r="AE80" s="60"/>
      <c r="AF80" s="80"/>
      <c r="AG80" s="56"/>
      <c r="AH80" s="4"/>
      <c r="AI80" s="56"/>
      <c r="AJ80" s="109"/>
      <c r="AK80" s="56"/>
      <c r="AL80" s="56"/>
      <c r="AM80" s="56"/>
      <c r="AN80" s="56"/>
      <c r="AO80" s="56"/>
      <c r="AP80" s="56"/>
      <c r="AQ80" s="56"/>
      <c r="AR80" s="109"/>
      <c r="AS80" s="56"/>
      <c r="AT80" s="56"/>
      <c r="AU80" s="3"/>
      <c r="AV80" s="25">
        <f>30*24*60*60*6.17</f>
        <v>15992640</v>
      </c>
      <c r="AW80" s="25">
        <f>30*24*60*60*18.64</f>
        <v>48314880</v>
      </c>
      <c r="AX80" s="25">
        <f>30*24*60*60*30.87</f>
        <v>80015040</v>
      </c>
      <c r="AY80" s="53"/>
      <c r="AZ80" s="53"/>
      <c r="BA80" s="53"/>
      <c r="BB80" s="53"/>
      <c r="BC80" s="53"/>
      <c r="BD80" s="53"/>
      <c r="BE80" s="53"/>
      <c r="BF80" s="53"/>
      <c r="BG80" s="53"/>
      <c r="BH80" s="53"/>
      <c r="BI80" s="53"/>
      <c r="BJ80" s="53"/>
      <c r="BK80" s="53"/>
      <c r="BL80" s="53"/>
      <c r="BM80" s="53"/>
      <c r="BN80" s="53"/>
      <c r="BO80" s="53"/>
      <c r="BP80" s="53"/>
      <c r="BQ80" s="53"/>
      <c r="BR80" s="53"/>
      <c r="BS80" s="53"/>
      <c r="BT80" s="53"/>
      <c r="BU80" s="53"/>
      <c r="BV80" s="53"/>
      <c r="BW80" s="53"/>
      <c r="BX80" s="53"/>
      <c r="BY80" s="53"/>
      <c r="BZ80" s="53"/>
      <c r="CA80" s="53"/>
      <c r="CB80" s="53"/>
      <c r="CC80" s="53"/>
      <c r="CD80" s="53"/>
      <c r="CE80" s="53"/>
      <c r="CF80" s="53"/>
      <c r="CG80" s="53"/>
      <c r="CH80" s="53"/>
      <c r="CI80" s="53"/>
      <c r="CJ80" s="53"/>
      <c r="CK80" s="53"/>
      <c r="CL80" s="53"/>
      <c r="CM80" s="53"/>
      <c r="CN80" s="53"/>
      <c r="CO80" s="53"/>
      <c r="CP80" s="53"/>
      <c r="CQ80" s="53"/>
      <c r="CR80" s="1"/>
      <c r="CS80" s="1"/>
      <c r="CT80" s="1"/>
      <c r="CU80" s="1"/>
    </row>
    <row r="81" spans="1:99" s="13" customFormat="1" ht="12" customHeight="1" x14ac:dyDescent="0.2">
      <c r="A81" s="65">
        <v>43509</v>
      </c>
      <c r="B81" s="1" t="s">
        <v>240</v>
      </c>
      <c r="C81" s="1" t="s">
        <v>70</v>
      </c>
      <c r="D81" s="60">
        <v>2017</v>
      </c>
      <c r="E81" s="76">
        <v>1</v>
      </c>
      <c r="F81" s="60">
        <v>118</v>
      </c>
      <c r="G81" s="60">
        <v>39.299999999999997</v>
      </c>
      <c r="H81" s="60" t="s">
        <v>398</v>
      </c>
      <c r="I81" s="60" t="s">
        <v>628</v>
      </c>
      <c r="J81" s="60" t="s">
        <v>175</v>
      </c>
      <c r="K81" s="60">
        <f>IF(J81="syllables",1,IF(J81="trigrams",2,IF(J81="strings",3,IF(J81="visual array",4,IF(J81="characters",5,IF(J81="letters",6,IF(J81="free forms",7,IF(J81="odors",8,IF(J81="words",9,IF(J81="pictures",10,IF(J81="object pictures",11,IF(J81="faces",12,IF(J81="names",13,IF(J81="idioms",14,IF(J81="grades",15,IF(J81="syllable-digit pairs",16,IF(J81="trigram-word pairs",17,IF(J81="word-digit pairs",18,IF(J81="English-Swahili pairs",19,IF(J81="spatial position",20,IF(J81="word pairs",21,IF(J81="word triads",22,IF(J81="generated words",23,IF(J81="word definition pairs",24,IF(J81="math problems",25,IF(J81="famous faces",26,IF(J81="famous names",27,IF(J81="famous voices",28,IF(J81="television programs",29,IF(J81="race horses",30,IF(J81="new vocabulary",31,IF(J81="sentences",32,IF(J81="concepts",33,IF(J81="ad slides",34,IF(J81="scenes",35,IF(J81="famous scenes",36,IF(J81="poems",37,IF(J81="walk",38,IF(J81="faces and events",39,IF(J81="events and names",40,IF(J81="flashbulb",41,IF(J81="stories",42,IF(J81="course material",43,IF(J81="autobiographical",44,IF(J81="novels",45,IF(J81="public events",46,"99"))))))))))))))))))))))))))))))))))))))))))))))</f>
        <v>20</v>
      </c>
      <c r="L81" s="60">
        <f>IF(J81="syllables",1,IF(J81="trigrams",1,IF(J81="strings",1,IF(J81="visual array",1,IF(J81="characters",1,IF(J81="letters",1,IF(J81="free forms",1,IF(J81="odors",2,IF(J81="words",2,IF(J81="pictures",2,IF(J81="object pictures",2,IF(J81="faces",2,IF(J81="names",2,IF(J81="idioms","2",IF(J81="grades",2,IF(J81="syllable-digit pairs",3,IF(J81="trigram-word pairs",3,IF(J81="word-digit pairs",3,IF(J81="English-Swahili pairs",3,IF(J81="spatial position",3,IF(J81="word pairs",4,IF(J81="word triads",4,IF(J81="generated words",4,IF(J81="word definition pairs",4,IF(J81="math problems",4,IF(J81="famous faces",4,IF(J81="famous names",4,IF(J81="famous voices",4,IF(J81="television programs",4,IF(J81="race horses",4,IF(J81="new vocabulary",4,IF(J81="sentences",5,IF(J81="concepts",5,IF(J81="ad slides",5,IF(J81="scenes",5,IF(J81="famous scenes",5,IF(J81="poems",6,IF(J81="walk",6,IF(J81="faces and events",6,IF(J81="events and names",6,IF(J81="flashbulb",7,IF(J81="stories",7,IF(J81="course material",7,IF(J81="autobiographical",7,IF(J81="novels",7,IF(J81="public events",7,"99"))))))))))))))))))))))))))))))))))))))))))))))</f>
        <v>3</v>
      </c>
      <c r="M81" s="60">
        <v>0</v>
      </c>
      <c r="N81" s="60">
        <v>1</v>
      </c>
      <c r="O81" s="60">
        <v>0</v>
      </c>
      <c r="P81" s="60"/>
      <c r="Q81" s="60" t="s">
        <v>174</v>
      </c>
      <c r="R81" s="60">
        <f>IF(Q81="Free Recall",1,IF(Q81="Cued Recall",2,IF(Q81="Recognition",3,IF(Q81="Multiple Choice",4,IF(Q81="Savings",5,IF(Q81="Stem Completion",6,IF(Q81="Fragment Completion",7,IF(Q81="anagram solution",8,IF(Q81="Matching",9,IF(Q81="Problem Solving",10,"99"))))))))))</f>
        <v>1</v>
      </c>
      <c r="S81" s="60" t="s">
        <v>49</v>
      </c>
      <c r="T81" s="60" t="s">
        <v>261</v>
      </c>
      <c r="U81" s="60">
        <f>IF(T81="within",1,0)</f>
        <v>0</v>
      </c>
      <c r="V81" s="60">
        <v>1</v>
      </c>
      <c r="W81" s="60">
        <f>F81*V81</f>
        <v>118</v>
      </c>
      <c r="X81" s="60">
        <v>3</v>
      </c>
      <c r="Y81" s="76">
        <f>AV80</f>
        <v>15992640</v>
      </c>
      <c r="Z81" s="60" t="s">
        <v>235</v>
      </c>
      <c r="AA81" s="60">
        <f>30*24*60*60*30.87</f>
        <v>80015040</v>
      </c>
      <c r="AB81" s="60" t="str">
        <f>IF(AA81&lt;60,"1",IF(AA81&lt;=43200,"2",IF(AA81&lt;=777600,"3","4")))</f>
        <v>4</v>
      </c>
      <c r="AC81" s="56">
        <f>AVERAGE(AV80:DA80)</f>
        <v>48107520</v>
      </c>
      <c r="AD81" s="60" t="str">
        <f>IF(AC81&lt;60,"1",IF(AC81&lt;=43200,"2",IF(AC81&lt;=777600,"3","4")))</f>
        <v>4</v>
      </c>
      <c r="AE81" s="76">
        <f>AA81-Y81</f>
        <v>64022400</v>
      </c>
      <c r="AF81" s="80">
        <f>AV81</f>
        <v>0.8</v>
      </c>
      <c r="AG81" s="56">
        <f>((AW81-AV81)+(AX81-AW81))/2</f>
        <v>-0.11000000000000004</v>
      </c>
      <c r="AH81" s="4"/>
      <c r="AI81" s="56">
        <f>RSQ(AV81:AX81,AV80:AX80)</f>
        <v>0.81321463835069563</v>
      </c>
      <c r="AJ81" s="109">
        <f>SLOPE(AV81:AX81,AV80:AX80)</f>
        <v>-3.4270833184098772E-9</v>
      </c>
      <c r="AK81" s="56">
        <f>INTERCEPT(AV81:AX81,AV80:AX80)</f>
        <v>0.88486847928206958</v>
      </c>
      <c r="AL81" s="56">
        <f>INDEX(LINEST(LN(AV81:AX81),LN(AV80:AX80),TRUE,TRUE),3,1)</f>
        <v>0.61918780861546241</v>
      </c>
      <c r="AM81" s="56">
        <f>INDEX(LINEST(LN(AV81:AX81),LN(AV80:AX80)),1)</f>
        <v>-0.17084918671938898</v>
      </c>
      <c r="AN81" s="56">
        <f>EXP(INDEX(LINEST(LN(AV81:AX81),LN(AV80:AX80)),1,2))</f>
        <v>14.152135152307093</v>
      </c>
      <c r="AO81" s="82">
        <f>INDEX(LINEST((AV81:AX81),LN(AV80:AX80),TRUE,TRUE),3,1)</f>
        <v>0.63026236638857636</v>
      </c>
      <c r="AP81" s="82">
        <f>INDEX(LINEST((AV81:AX81),LN(AV80:AX80)),1)</f>
        <v>-0.11727626131483378</v>
      </c>
      <c r="AQ81" s="83">
        <f>INDEX(LINEST(LN(AV81:AX81),SQRT(AV80:AX80),TRUE,TRUE),3,1)</f>
        <v>0.71417965444653342</v>
      </c>
      <c r="AR81" s="116">
        <f>INDEX(LINEST(LN(AV81:AX81),SQRT((AV80:AX80))),1)</f>
        <v>-6.0724442472593724E-5</v>
      </c>
      <c r="AS81" s="84">
        <f>INDEX(LINEST(1/(AV81:AX81),1/(SQRT(AV80:AX80)),TRUE,TRUE),3,1)</f>
        <v>0.52216669361393164</v>
      </c>
      <c r="AT81" s="84">
        <f>INDEX(LINEST(1/(AV81:AX81),1/SQRT(AV80:AX80)),1)</f>
        <v>-2645.8659292436178</v>
      </c>
      <c r="AU81" s="3"/>
      <c r="AV81" s="53">
        <v>0.8</v>
      </c>
      <c r="AW81" s="53">
        <v>0.78</v>
      </c>
      <c r="AX81" s="53">
        <v>0.57999999999999996</v>
      </c>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c r="BZ81" s="53"/>
      <c r="CA81" s="53"/>
      <c r="CB81" s="53"/>
      <c r="CC81" s="53"/>
      <c r="CD81" s="53"/>
      <c r="CE81" s="53"/>
      <c r="CF81" s="53"/>
      <c r="CG81" s="53"/>
      <c r="CH81" s="53"/>
      <c r="CI81" s="53"/>
      <c r="CJ81" s="53"/>
      <c r="CK81" s="53"/>
      <c r="CL81" s="53"/>
      <c r="CM81" s="53"/>
      <c r="CN81" s="53"/>
      <c r="CO81" s="53"/>
      <c r="CP81" s="53"/>
      <c r="CQ81" s="53"/>
      <c r="CR81" s="1"/>
      <c r="CS81" s="1"/>
      <c r="CT81" s="1"/>
      <c r="CU81" s="1"/>
    </row>
    <row r="82" spans="1:99" s="13" customFormat="1" ht="12" customHeight="1" x14ac:dyDescent="0.2">
      <c r="A82" s="65">
        <v>43509</v>
      </c>
      <c r="B82" s="1"/>
      <c r="C82" s="1"/>
      <c r="D82" s="60"/>
      <c r="E82" s="76"/>
      <c r="F82" s="60"/>
      <c r="G82" s="60"/>
      <c r="H82" s="60"/>
      <c r="I82" s="60"/>
      <c r="J82" s="60"/>
      <c r="K82" s="64"/>
      <c r="L82" s="64"/>
      <c r="M82" s="60"/>
      <c r="N82" s="60"/>
      <c r="O82" s="60"/>
      <c r="P82" s="60"/>
      <c r="Q82" s="59"/>
      <c r="R82" s="60"/>
      <c r="S82" s="60"/>
      <c r="T82" s="60"/>
      <c r="U82" s="60"/>
      <c r="V82" s="60"/>
      <c r="W82" s="60"/>
      <c r="X82" s="60"/>
      <c r="Y82" s="76"/>
      <c r="Z82" s="60"/>
      <c r="AA82" s="60"/>
      <c r="AB82" s="60"/>
      <c r="AC82" s="60"/>
      <c r="AD82" s="60"/>
      <c r="AE82" s="60"/>
      <c r="AF82" s="80"/>
      <c r="AG82" s="56"/>
      <c r="AH82" s="4"/>
      <c r="AI82" s="56"/>
      <c r="AJ82" s="109"/>
      <c r="AK82" s="56"/>
      <c r="AL82" s="56"/>
      <c r="AM82" s="56"/>
      <c r="AN82" s="56"/>
      <c r="AO82" s="56"/>
      <c r="AP82" s="56"/>
      <c r="AQ82" s="56"/>
      <c r="AR82" s="109"/>
      <c r="AS82" s="56"/>
      <c r="AT82" s="56"/>
      <c r="AU82" s="4"/>
      <c r="AV82" s="25">
        <f>30*24*60*60*6.17</f>
        <v>15992640</v>
      </c>
      <c r="AW82" s="25">
        <f>30*24*60*60*18.64</f>
        <v>48314880</v>
      </c>
      <c r="AX82" s="25">
        <f>30*24*60*60*30.87</f>
        <v>80015040</v>
      </c>
      <c r="AY82" s="53"/>
      <c r="AZ82" s="53"/>
      <c r="BA82" s="53"/>
      <c r="BB82" s="53"/>
      <c r="BC82" s="53"/>
      <c r="BD82" s="53"/>
      <c r="BE82" s="53"/>
      <c r="BF82" s="53"/>
      <c r="BG82" s="53"/>
      <c r="BH82" s="53"/>
      <c r="BI82" s="53"/>
      <c r="BJ82" s="53"/>
      <c r="BK82" s="53"/>
      <c r="BL82" s="53"/>
      <c r="BM82" s="53"/>
      <c r="BN82" s="53"/>
      <c r="BO82" s="53"/>
      <c r="BP82" s="53"/>
      <c r="BQ82" s="53"/>
      <c r="BR82" s="53"/>
      <c r="BS82" s="53"/>
      <c r="BT82" s="53"/>
      <c r="BU82" s="53"/>
      <c r="BV82" s="53"/>
      <c r="BW82" s="53"/>
      <c r="BX82" s="53"/>
      <c r="BY82" s="53"/>
      <c r="BZ82" s="53"/>
      <c r="CA82" s="53"/>
      <c r="CB82" s="53"/>
      <c r="CC82" s="53"/>
      <c r="CD82" s="53"/>
      <c r="CE82" s="53"/>
      <c r="CF82" s="53"/>
      <c r="CG82" s="53"/>
      <c r="CH82" s="53"/>
      <c r="CI82" s="53"/>
      <c r="CJ82" s="53"/>
      <c r="CK82" s="53"/>
      <c r="CL82" s="53"/>
      <c r="CM82" s="53"/>
      <c r="CN82" s="53"/>
      <c r="CO82" s="53"/>
      <c r="CP82" s="53"/>
      <c r="CQ82" s="53"/>
      <c r="CR82" s="1"/>
      <c r="CS82" s="1"/>
      <c r="CT82" s="1"/>
      <c r="CU82" s="1"/>
    </row>
    <row r="83" spans="1:99" s="13" customFormat="1" ht="12" customHeight="1" x14ac:dyDescent="0.2">
      <c r="A83" s="65">
        <v>43509</v>
      </c>
      <c r="B83" s="1" t="s">
        <v>240</v>
      </c>
      <c r="C83" s="1" t="s">
        <v>70</v>
      </c>
      <c r="D83" s="60">
        <v>2017</v>
      </c>
      <c r="E83" s="76">
        <v>1</v>
      </c>
      <c r="F83" s="60">
        <v>118</v>
      </c>
      <c r="G83" s="60">
        <v>39.299999999999997</v>
      </c>
      <c r="H83" s="60" t="s">
        <v>398</v>
      </c>
      <c r="I83" s="60" t="s">
        <v>629</v>
      </c>
      <c r="J83" s="60" t="s">
        <v>175</v>
      </c>
      <c r="K83" s="60">
        <f>IF(J83="syllables",1,IF(J83="trigrams",2,IF(J83="strings",3,IF(J83="visual array",4,IF(J83="characters",5,IF(J83="letters",6,IF(J83="free forms",7,IF(J83="odors",8,IF(J83="words",9,IF(J83="pictures",10,IF(J83="object pictures",11,IF(J83="faces",12,IF(J83="names",13,IF(J83="idioms",14,IF(J83="grades",15,IF(J83="syllable-digit pairs",16,IF(J83="trigram-word pairs",17,IF(J83="word-digit pairs",18,IF(J83="English-Swahili pairs",19,IF(J83="spatial position",20,IF(J83="word pairs",21,IF(J83="word triads",22,IF(J83="generated words",23,IF(J83="word definition pairs",24,IF(J83="math problems",25,IF(J83="famous faces",26,IF(J83="famous names",27,IF(J83="famous voices",28,IF(J83="television programs",29,IF(J83="race horses",30,IF(J83="new vocabulary",31,IF(J83="sentences",32,IF(J83="concepts",33,IF(J83="ad slides",34,IF(J83="scenes",35,IF(J83="famous scenes",36,IF(J83="poems",37,IF(J83="walk",38,IF(J83="faces and events",39,IF(J83="events and names",40,IF(J83="flashbulb",41,IF(J83="stories",42,IF(J83="course material",43,IF(J83="autobiographical",44,IF(J83="novels",45,IF(J83="public events",46,"99"))))))))))))))))))))))))))))))))))))))))))))))</f>
        <v>20</v>
      </c>
      <c r="L83" s="60">
        <f>IF(J83="syllables",1,IF(J83="trigrams",1,IF(J83="strings",1,IF(J83="visual array",1,IF(J83="characters",1,IF(J83="letters",1,IF(J83="free forms",1,IF(J83="odors",2,IF(J83="words",2,IF(J83="pictures",2,IF(J83="object pictures",2,IF(J83="faces",2,IF(J83="names",2,IF(J83="idioms","2",IF(J83="grades",2,IF(J83="syllable-digit pairs",3,IF(J83="trigram-word pairs",3,IF(J83="word-digit pairs",3,IF(J83="English-Swahili pairs",3,IF(J83="spatial position",3,IF(J83="word pairs",4,IF(J83="word triads",4,IF(J83="generated words",4,IF(J83="word definition pairs",4,IF(J83="math problems",4,IF(J83="famous faces",4,IF(J83="famous names",4,IF(J83="famous voices",4,IF(J83="television programs",4,IF(J83="race horses",4,IF(J83="new vocabulary",4,IF(J83="sentences",5,IF(J83="concepts",5,IF(J83="ad slides",5,IF(J83="scenes",5,IF(J83="famous scenes",5,IF(J83="poems",6,IF(J83="walk",6,IF(J83="faces and events",6,IF(J83="events and names",6,IF(J83="flashbulb",7,IF(J83="stories",7,IF(J83="course material",7,IF(J83="autobiographical",7,IF(J83="novels",7,IF(J83="public events",7,"99"))))))))))))))))))))))))))))))))))))))))))))))</f>
        <v>3</v>
      </c>
      <c r="M83" s="60">
        <v>0</v>
      </c>
      <c r="N83" s="60">
        <v>1</v>
      </c>
      <c r="O83" s="60">
        <v>0</v>
      </c>
      <c r="P83" s="60"/>
      <c r="Q83" s="60" t="s">
        <v>174</v>
      </c>
      <c r="R83" s="60">
        <f>IF(Q83="Free Recall",1,IF(Q83="Cued Recall",2,IF(Q83="Recognition",3,IF(Q83="Multiple Choice",4,IF(Q83="Savings",5,IF(Q83="Stem Completion",6,IF(Q83="Fragment Completion",7,IF(Q83="anagram solution",8,IF(Q83="Matching",9,IF(Q83="Problem Solving",10,"99"))))))))))</f>
        <v>1</v>
      </c>
      <c r="S83" s="60" t="s">
        <v>49</v>
      </c>
      <c r="T83" s="60" t="s">
        <v>261</v>
      </c>
      <c r="U83" s="60">
        <f>IF(T83="within",1,0)</f>
        <v>0</v>
      </c>
      <c r="V83" s="60">
        <v>1</v>
      </c>
      <c r="W83" s="60">
        <f>F83*V83</f>
        <v>118</v>
      </c>
      <c r="X83" s="60">
        <v>3</v>
      </c>
      <c r="Y83" s="76">
        <f>AV82</f>
        <v>15992640</v>
      </c>
      <c r="Z83" s="60" t="s">
        <v>235</v>
      </c>
      <c r="AA83" s="60">
        <f>30*24*60*60*30.87</f>
        <v>80015040</v>
      </c>
      <c r="AB83" s="60" t="str">
        <f>IF(AA83&lt;60,"1",IF(AA83&lt;=43200,"2",IF(AA83&lt;=777600,"3","4")))</f>
        <v>4</v>
      </c>
      <c r="AC83" s="56">
        <f>AVERAGE(AV82:DA82)</f>
        <v>48107520</v>
      </c>
      <c r="AD83" s="60" t="str">
        <f>IF(AC83&lt;60,"1",IF(AC83&lt;=43200,"2",IF(AC83&lt;=777600,"3","4")))</f>
        <v>4</v>
      </c>
      <c r="AE83" s="76">
        <f>AA83-Y83</f>
        <v>64022400</v>
      </c>
      <c r="AF83" s="80">
        <f>AV83</f>
        <v>0.83</v>
      </c>
      <c r="AG83" s="56">
        <f>((AW83-AV83)+(AX83-AW83))/2</f>
        <v>-0.10999999999999999</v>
      </c>
      <c r="AH83" s="4"/>
      <c r="AI83" s="56">
        <f>RSQ(AV83:AX83,AV82:AX82)</f>
        <v>0.99663420188450802</v>
      </c>
      <c r="AJ83" s="109">
        <f>SLOPE(AV83:AX83,AV82:AX82)</f>
        <v>-3.4351773966583902E-9</v>
      </c>
      <c r="AK83" s="56">
        <f>INTERCEPT(AV83:AX83,AV82:AX82)</f>
        <v>0.88859119864662472</v>
      </c>
      <c r="AL83" s="56">
        <f>INDEX(LINEST(LN(AV83:AX83),LN(AV82:AX82),TRUE,TRUE),3,1)</f>
        <v>0.90809260549487725</v>
      </c>
      <c r="AM83" s="56">
        <f>INDEX(LINEST(LN(AV83:AX83),LN(AV82:AX82)),1)</f>
        <v>-0.17899844858944491</v>
      </c>
      <c r="AN83" s="56">
        <f>EXP(INDEX(LINEST(LN(AV83:AX83),LN(AV82:AX82)),1,2))</f>
        <v>16.435078409070034</v>
      </c>
      <c r="AO83" s="82">
        <f>INDEX(LINEST((AV83:AX83),LN(AV82:AX82),TRUE,TRUE),3,1)</f>
        <v>0.93153129432697057</v>
      </c>
      <c r="AP83" s="82">
        <f>INDEX(LINEST((AV83:AX83),LN(AV82:AX82)),1)</f>
        <v>-0.12909438595157921</v>
      </c>
      <c r="AQ83" s="83">
        <f>INDEX(LINEST(LN(AV83:AX83),SQRT(AV82:AX82),TRUE,TRUE),3,1)</f>
        <v>0.95775239858474248</v>
      </c>
      <c r="AR83" s="116">
        <f>INDEX(LINEST(LN(AV83:AX83),SQRT((AV82:AX82))),1)</f>
        <v>-6.0837155948298959E-5</v>
      </c>
      <c r="AS83" s="84">
        <f>INDEX(LINEST(1/(AV83:AX83),1/(SQRT(AV82:AX82)),TRUE,TRUE),3,1)</f>
        <v>0.82009396037742532</v>
      </c>
      <c r="AT83" s="84">
        <f>INDEX(LINEST(1/(AV83:AX83),1/SQRT(AV82:AX82)),1)</f>
        <v>-2744.8231652032377</v>
      </c>
      <c r="AU83" s="3"/>
      <c r="AV83" s="53">
        <v>0.83</v>
      </c>
      <c r="AW83" s="53">
        <v>0.73</v>
      </c>
      <c r="AX83" s="53">
        <v>0.61</v>
      </c>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53"/>
      <c r="CD83" s="53"/>
      <c r="CE83" s="53"/>
      <c r="CF83" s="53"/>
      <c r="CG83" s="53"/>
      <c r="CH83" s="53"/>
      <c r="CI83" s="53"/>
      <c r="CJ83" s="53"/>
      <c r="CK83" s="53"/>
      <c r="CL83" s="53"/>
      <c r="CM83" s="53"/>
      <c r="CN83" s="53"/>
      <c r="CO83" s="53"/>
      <c r="CP83" s="53"/>
      <c r="CQ83" s="53"/>
      <c r="CR83" s="1"/>
      <c r="CS83" s="1"/>
      <c r="CT83" s="1"/>
      <c r="CU83" s="1"/>
    </row>
    <row r="84" spans="1:99" s="13" customFormat="1" ht="12" customHeight="1" x14ac:dyDescent="0.2">
      <c r="A84" s="65">
        <v>43509</v>
      </c>
      <c r="B84" s="1"/>
      <c r="C84" s="1"/>
      <c r="D84" s="60"/>
      <c r="E84" s="76"/>
      <c r="F84" s="60"/>
      <c r="G84" s="60"/>
      <c r="H84" s="60"/>
      <c r="I84" s="60"/>
      <c r="J84" s="60"/>
      <c r="K84" s="64"/>
      <c r="L84" s="64"/>
      <c r="M84" s="60"/>
      <c r="N84" s="60"/>
      <c r="O84" s="60"/>
      <c r="P84" s="60"/>
      <c r="Q84" s="59"/>
      <c r="R84" s="60"/>
      <c r="S84" s="60"/>
      <c r="T84" s="60"/>
      <c r="U84" s="60"/>
      <c r="V84" s="60"/>
      <c r="W84" s="60"/>
      <c r="X84" s="60"/>
      <c r="Y84" s="76"/>
      <c r="Z84" s="60"/>
      <c r="AA84" s="60"/>
      <c r="AB84" s="60"/>
      <c r="AC84" s="60"/>
      <c r="AD84" s="60"/>
      <c r="AE84" s="60"/>
      <c r="AF84" s="80"/>
      <c r="AG84" s="56"/>
      <c r="AH84" s="4"/>
      <c r="AI84" s="56"/>
      <c r="AJ84" s="109"/>
      <c r="AK84" s="56"/>
      <c r="AL84" s="56"/>
      <c r="AM84" s="56"/>
      <c r="AN84" s="56"/>
      <c r="AO84" s="56"/>
      <c r="AP84" s="56"/>
      <c r="AQ84" s="56"/>
      <c r="AR84" s="109"/>
      <c r="AS84" s="56"/>
      <c r="AT84" s="56"/>
      <c r="AU84" s="4"/>
      <c r="AV84" s="25">
        <f>2*24*60*60</f>
        <v>172800</v>
      </c>
      <c r="AW84" s="25">
        <f>30*24*60*60*2.33</f>
        <v>6039360</v>
      </c>
      <c r="AX84" s="25">
        <f>30*24*60*60*6.17</f>
        <v>15992640</v>
      </c>
      <c r="AY84" s="53"/>
      <c r="AZ84" s="53"/>
      <c r="BA84" s="53"/>
      <c r="BB84" s="53"/>
      <c r="BC84" s="53"/>
      <c r="BD84" s="53"/>
      <c r="BE84" s="53"/>
      <c r="BF84" s="53"/>
      <c r="BG84" s="53"/>
      <c r="BH84" s="53"/>
      <c r="BI84" s="53"/>
      <c r="BJ84" s="53"/>
      <c r="BK84" s="53"/>
      <c r="BL84" s="53"/>
      <c r="BM84" s="53"/>
      <c r="BN84" s="53"/>
      <c r="BO84" s="53"/>
      <c r="BP84" s="53"/>
      <c r="BQ84" s="53"/>
      <c r="BR84" s="53"/>
      <c r="BS84" s="53"/>
      <c r="BT84" s="53"/>
      <c r="BU84" s="53"/>
      <c r="BV84" s="53"/>
      <c r="BW84" s="53"/>
      <c r="BX84" s="53"/>
      <c r="BY84" s="53"/>
      <c r="BZ84" s="53"/>
      <c r="CA84" s="53"/>
      <c r="CB84" s="53"/>
      <c r="CC84" s="53"/>
      <c r="CD84" s="53"/>
      <c r="CE84" s="53"/>
      <c r="CF84" s="53"/>
      <c r="CG84" s="53"/>
      <c r="CH84" s="53"/>
      <c r="CI84" s="53"/>
      <c r="CJ84" s="53"/>
      <c r="CK84" s="53"/>
      <c r="CL84" s="53"/>
      <c r="CM84" s="53"/>
      <c r="CN84" s="53"/>
      <c r="CO84" s="53"/>
      <c r="CP84" s="53"/>
      <c r="CQ84" s="53"/>
      <c r="CR84" s="1"/>
      <c r="CS84" s="1"/>
      <c r="CT84" s="1"/>
      <c r="CU84" s="1"/>
    </row>
    <row r="85" spans="1:99" s="13" customFormat="1" ht="12" customHeight="1" x14ac:dyDescent="0.2">
      <c r="A85" s="65">
        <v>43509</v>
      </c>
      <c r="B85" s="1" t="s">
        <v>240</v>
      </c>
      <c r="C85" s="1" t="s">
        <v>70</v>
      </c>
      <c r="D85" s="60">
        <v>2017</v>
      </c>
      <c r="E85" s="76">
        <v>2</v>
      </c>
      <c r="F85" s="60">
        <v>80</v>
      </c>
      <c r="G85" s="60">
        <v>26.7</v>
      </c>
      <c r="H85" s="60" t="s">
        <v>38</v>
      </c>
      <c r="I85" s="60" t="s">
        <v>626</v>
      </c>
      <c r="J85" s="60" t="s">
        <v>175</v>
      </c>
      <c r="K85" s="60">
        <f>IF(J85="syllables",1,IF(J85="trigrams",2,IF(J85="strings",3,IF(J85="visual array",4,IF(J85="characters",5,IF(J85="letters",6,IF(J85="free forms",7,IF(J85="odors",8,IF(J85="words",9,IF(J85="pictures",10,IF(J85="object pictures",11,IF(J85="faces",12,IF(J85="names",13,IF(J85="idioms",14,IF(J85="grades",15,IF(J85="syllable-digit pairs",16,IF(J85="trigram-word pairs",17,IF(J85="word-digit pairs",18,IF(J85="English-Swahili pairs",19,IF(J85="spatial position",20,IF(J85="word pairs",21,IF(J85="word triads",22,IF(J85="generated words",23,IF(J85="word definition pairs",24,IF(J85="math problems",25,IF(J85="famous faces",26,IF(J85="famous names",27,IF(J85="famous voices",28,IF(J85="television programs",29,IF(J85="race horses",30,IF(J85="new vocabulary",31,IF(J85="sentences",32,IF(J85="concepts",33,IF(J85="ad slides",34,IF(J85="scenes",35,IF(J85="famous scenes",36,IF(J85="poems",37,IF(J85="walk",38,IF(J85="faces and events",39,IF(J85="events and names",40,IF(J85="flashbulb",41,IF(J85="stories",42,IF(J85="course material",43,IF(J85="autobiographical",44,IF(J85="novels",45,IF(J85="public events",46,"99"))))))))))))))))))))))))))))))))))))))))))))))</f>
        <v>20</v>
      </c>
      <c r="L85" s="60">
        <f>IF(J85="syllables",1,IF(J85="trigrams",1,IF(J85="strings",1,IF(J85="visual array",1,IF(J85="characters",1,IF(J85="letters",1,IF(J85="free forms",1,IF(J85="odors",2,IF(J85="words",2,IF(J85="pictures",2,IF(J85="object pictures",2,IF(J85="faces",2,IF(J85="names",2,IF(J85="idioms","2",IF(J85="grades",2,IF(J85="syllable-digit pairs",3,IF(J85="trigram-word pairs",3,IF(J85="word-digit pairs",3,IF(J85="English-Swahili pairs",3,IF(J85="spatial position",3,IF(J85="word pairs",4,IF(J85="word triads",4,IF(J85="generated words",4,IF(J85="word definition pairs",4,IF(J85="math problems",4,IF(J85="famous faces",4,IF(J85="famous names",4,IF(J85="famous voices",4,IF(J85="television programs",4,IF(J85="race horses",4,IF(J85="new vocabulary",4,IF(J85="sentences",5,IF(J85="concepts",5,IF(J85="ad slides",5,IF(J85="scenes",5,IF(J85="famous scenes",5,IF(J85="poems",6,IF(J85="walk",6,IF(J85="faces and events",6,IF(J85="events and names",6,IF(J85="flashbulb",7,IF(J85="stories",7,IF(J85="course material",7,IF(J85="autobiographical",7,IF(J85="novels",7,IF(J85="public events",7,"99"))))))))))))))))))))))))))))))))))))))))))))))</f>
        <v>3</v>
      </c>
      <c r="M85" s="60">
        <v>0</v>
      </c>
      <c r="N85" s="60">
        <v>1</v>
      </c>
      <c r="O85" s="60">
        <v>0</v>
      </c>
      <c r="P85" s="60"/>
      <c r="Q85" s="60" t="s">
        <v>174</v>
      </c>
      <c r="R85" s="60">
        <f>IF(Q85="Free Recall",1,IF(Q85="Cued Recall",2,IF(Q85="Recognition",3,IF(Q85="Multiple Choice",4,IF(Q85="Savings",5,IF(Q85="Stem Completion",6,IF(Q85="Fragment Completion",7,IF(Q85="anagram solution",8,IF(Q85="Matching",9,IF(Q85="Problem Solving",10,"99"))))))))))</f>
        <v>1</v>
      </c>
      <c r="S85" s="60" t="s">
        <v>49</v>
      </c>
      <c r="T85" s="60" t="s">
        <v>261</v>
      </c>
      <c r="U85" s="60">
        <f>IF(T85="within",1,0)</f>
        <v>0</v>
      </c>
      <c r="V85" s="60">
        <v>1</v>
      </c>
      <c r="W85" s="60">
        <f>F85*V85</f>
        <v>80</v>
      </c>
      <c r="X85" s="60">
        <v>3</v>
      </c>
      <c r="Y85" s="76">
        <f>AV84</f>
        <v>172800</v>
      </c>
      <c r="Z85" s="60" t="s">
        <v>236</v>
      </c>
      <c r="AA85" s="60">
        <f>30*24*60*60*6.17</f>
        <v>15992640</v>
      </c>
      <c r="AB85" s="60" t="str">
        <f>IF(AA85&lt;60,"1",IF(AA85&lt;=43200,"2",IF(AA85&lt;=777600,"3","4")))</f>
        <v>4</v>
      </c>
      <c r="AC85" s="56">
        <f>AVERAGE(AV84:DA84)</f>
        <v>7401600</v>
      </c>
      <c r="AD85" s="60" t="str">
        <f>IF(AC85&lt;60,"1",IF(AC85&lt;=43200,"2",IF(AC85&lt;=777600,"3","4")))</f>
        <v>4</v>
      </c>
      <c r="AE85" s="76">
        <f>AA85-Y85</f>
        <v>15819840</v>
      </c>
      <c r="AF85" s="80">
        <f>AV85</f>
        <v>0.7</v>
      </c>
      <c r="AG85" s="56">
        <f>((AW85-AV85)+(AX85-AW85))/2</f>
        <v>-4.9999999999999989E-2</v>
      </c>
      <c r="AH85" s="4"/>
      <c r="AI85" s="56">
        <f>RSQ(AV85:AX85,AV84:AX84)</f>
        <v>0.86547343886228834</v>
      </c>
      <c r="AJ85" s="109">
        <f>SLOPE(AV85:AX85,AV84:AX84)</f>
        <v>-6.7160936577510856E-9</v>
      </c>
      <c r="AK85" s="56">
        <f>INTERCEPT(AV85:AX85,AV84:AX84)</f>
        <v>0.7163765054838771</v>
      </c>
      <c r="AL85" s="56">
        <f>INDEX(LINEST(LN(AV85:AX85),LN(AV84:AX84),TRUE,TRUE),3,1)</f>
        <v>0.4440741520489605</v>
      </c>
      <c r="AM85" s="56">
        <f>INDEX(LINEST(LN(AV85:AX85),LN(AV84:AX84)),1)</f>
        <v>-2.4885337409498599E-2</v>
      </c>
      <c r="AN85" s="56">
        <f>EXP(INDEX(LINEST(LN(AV85:AX85),LN(AV84:AX84)),1,2))</f>
        <v>0.95991961939633774</v>
      </c>
      <c r="AO85" s="82">
        <f>INDEX(LINEST((AV85:AX85),LN(AV84:AX84),TRUE,TRUE),3,1)</f>
        <v>0.44407415204896056</v>
      </c>
      <c r="AP85" s="82">
        <f>INDEX(LINEST((AV85:AX85),LN(AV84:AX84)),1)</f>
        <v>-1.6143514538752068E-2</v>
      </c>
      <c r="AQ85" s="83">
        <f>INDEX(LINEST(LN(AV85:AX85),SQRT(AV84:AX84),TRUE,TRUE),3,1)</f>
        <v>0.67742210845068385</v>
      </c>
      <c r="AR85" s="116">
        <f>INDEX(LINEST(LN(AV85:AX85),SQRT((AV84:AX84))),1)</f>
        <v>-4.0751594795036815E-5</v>
      </c>
      <c r="AS85" s="84">
        <f>INDEX(LINEST(1/(AV85:AX85),1/(SQRT(AV84:AX84)),TRUE,TRUE),3,1)</f>
        <v>0.30852557288480575</v>
      </c>
      <c r="AT85" s="84">
        <f>INDEX(LINEST(1/(AV85:AX85),1/SQRT(AV84:AX84)),1)</f>
        <v>-63.533658665369352</v>
      </c>
      <c r="AU85" s="3"/>
      <c r="AV85" s="53">
        <v>0.7</v>
      </c>
      <c r="AW85" s="53">
        <v>0.7</v>
      </c>
      <c r="AX85" s="53">
        <v>0.6</v>
      </c>
      <c r="AY85" s="53"/>
      <c r="AZ85" s="53"/>
      <c r="BA85" s="53"/>
      <c r="BB85" s="53"/>
      <c r="BC85" s="53"/>
      <c r="BD85" s="53"/>
      <c r="BE85" s="53"/>
      <c r="BF85" s="53"/>
      <c r="BG85" s="53"/>
      <c r="BH85" s="53"/>
      <c r="BI85" s="53"/>
      <c r="BJ85" s="53"/>
      <c r="BK85" s="53"/>
      <c r="BL85" s="53"/>
      <c r="BM85" s="53"/>
      <c r="BN85" s="53"/>
      <c r="BO85" s="53"/>
      <c r="BP85" s="53"/>
      <c r="BQ85" s="53"/>
      <c r="BR85" s="53"/>
      <c r="BS85" s="53"/>
      <c r="BT85" s="53"/>
      <c r="BU85" s="53"/>
      <c r="BV85" s="53"/>
      <c r="BW85" s="53"/>
      <c r="BX85" s="53"/>
      <c r="BY85" s="53"/>
      <c r="BZ85" s="53"/>
      <c r="CA85" s="53"/>
      <c r="CB85" s="53"/>
      <c r="CC85" s="53"/>
      <c r="CD85" s="53"/>
      <c r="CE85" s="53"/>
      <c r="CF85" s="53"/>
      <c r="CG85" s="53"/>
      <c r="CH85" s="53"/>
      <c r="CI85" s="53"/>
      <c r="CJ85" s="53"/>
      <c r="CK85" s="53"/>
      <c r="CL85" s="53"/>
      <c r="CM85" s="53"/>
      <c r="CN85" s="53"/>
      <c r="CO85" s="53"/>
      <c r="CP85" s="53"/>
      <c r="CQ85" s="53"/>
      <c r="CR85" s="1"/>
      <c r="CS85" s="1"/>
      <c r="CT85" s="1"/>
      <c r="CU85" s="1"/>
    </row>
    <row r="86" spans="1:99" s="13" customFormat="1" ht="12" customHeight="1" x14ac:dyDescent="0.2">
      <c r="A86" s="65">
        <v>43509</v>
      </c>
      <c r="B86" s="1"/>
      <c r="C86" s="1"/>
      <c r="D86" s="60"/>
      <c r="E86" s="76"/>
      <c r="F86" s="60"/>
      <c r="G86" s="60"/>
      <c r="H86" s="60"/>
      <c r="I86" s="60"/>
      <c r="J86" s="60"/>
      <c r="K86" s="64"/>
      <c r="L86" s="64"/>
      <c r="M86" s="60"/>
      <c r="N86" s="60"/>
      <c r="O86" s="60"/>
      <c r="P86" s="60"/>
      <c r="Q86" s="59"/>
      <c r="R86" s="60"/>
      <c r="S86" s="60"/>
      <c r="T86" s="60"/>
      <c r="U86" s="60"/>
      <c r="V86" s="60"/>
      <c r="W86" s="60"/>
      <c r="X86" s="60"/>
      <c r="Y86" s="76"/>
      <c r="Z86" s="60"/>
      <c r="AA86" s="60"/>
      <c r="AB86" s="60"/>
      <c r="AC86" s="60"/>
      <c r="AD86" s="60"/>
      <c r="AE86" s="60"/>
      <c r="AF86" s="80"/>
      <c r="AG86" s="56"/>
      <c r="AH86" s="4"/>
      <c r="AI86" s="56"/>
      <c r="AJ86" s="109"/>
      <c r="AK86" s="56"/>
      <c r="AL86" s="56"/>
      <c r="AM86" s="56"/>
      <c r="AN86" s="56"/>
      <c r="AO86" s="56"/>
      <c r="AP86" s="56"/>
      <c r="AQ86" s="56"/>
      <c r="AR86" s="109"/>
      <c r="AS86" s="56"/>
      <c r="AT86" s="56"/>
      <c r="AU86" s="4"/>
      <c r="AV86" s="25">
        <f>2*24*60*60</f>
        <v>172800</v>
      </c>
      <c r="AW86" s="25">
        <f>30*24*60*60*2.33</f>
        <v>6039360</v>
      </c>
      <c r="AX86" s="25">
        <f>30*24*60*60*6.17</f>
        <v>15992640</v>
      </c>
      <c r="AY86" s="53"/>
      <c r="AZ86" s="53"/>
      <c r="BA86" s="53"/>
      <c r="BB86" s="53"/>
      <c r="BC86" s="53"/>
      <c r="BD86" s="53"/>
      <c r="BE86" s="53"/>
      <c r="BF86" s="53"/>
      <c r="BG86" s="53"/>
      <c r="BH86" s="53"/>
      <c r="BI86" s="53"/>
      <c r="BJ86" s="53"/>
      <c r="BK86" s="53"/>
      <c r="BL86" s="53"/>
      <c r="BM86" s="53"/>
      <c r="BN86" s="53"/>
      <c r="BO86" s="53"/>
      <c r="BP86" s="53"/>
      <c r="BQ86" s="53"/>
      <c r="BR86" s="53"/>
      <c r="BS86" s="53"/>
      <c r="BT86" s="53"/>
      <c r="BU86" s="53"/>
      <c r="BV86" s="53"/>
      <c r="BW86" s="53"/>
      <c r="BX86" s="53"/>
      <c r="BY86" s="53"/>
      <c r="BZ86" s="53"/>
      <c r="CA86" s="53"/>
      <c r="CB86" s="53"/>
      <c r="CC86" s="53"/>
      <c r="CD86" s="53"/>
      <c r="CE86" s="53"/>
      <c r="CF86" s="53"/>
      <c r="CG86" s="53"/>
      <c r="CH86" s="53"/>
      <c r="CI86" s="53"/>
      <c r="CJ86" s="53"/>
      <c r="CK86" s="53"/>
      <c r="CL86" s="53"/>
      <c r="CM86" s="53"/>
      <c r="CN86" s="53"/>
      <c r="CO86" s="53"/>
      <c r="CP86" s="53"/>
      <c r="CQ86" s="53"/>
      <c r="CR86" s="1"/>
      <c r="CS86" s="1"/>
      <c r="CT86" s="1"/>
      <c r="CU86" s="1"/>
    </row>
    <row r="87" spans="1:99" s="13" customFormat="1" ht="12" customHeight="1" x14ac:dyDescent="0.2">
      <c r="A87" s="65">
        <v>43509</v>
      </c>
      <c r="B87" s="1" t="s">
        <v>240</v>
      </c>
      <c r="C87" s="1" t="s">
        <v>70</v>
      </c>
      <c r="D87" s="60">
        <v>2017</v>
      </c>
      <c r="E87" s="76">
        <v>2</v>
      </c>
      <c r="F87" s="60">
        <v>80</v>
      </c>
      <c r="G87" s="60">
        <v>26.7</v>
      </c>
      <c r="H87" s="60" t="s">
        <v>398</v>
      </c>
      <c r="I87" s="60" t="s">
        <v>627</v>
      </c>
      <c r="J87" s="60" t="s">
        <v>175</v>
      </c>
      <c r="K87" s="60">
        <f>IF(J87="syllables",1,IF(J87="trigrams",2,IF(J87="strings",3,IF(J87="visual array",4,IF(J87="characters",5,IF(J87="letters",6,IF(J87="free forms",7,IF(J87="odors",8,IF(J87="words",9,IF(J87="pictures",10,IF(J87="object pictures",11,IF(J87="faces",12,IF(J87="names",13,IF(J87="idioms",14,IF(J87="grades",15,IF(J87="syllable-digit pairs",16,IF(J87="trigram-word pairs",17,IF(J87="word-digit pairs",18,IF(J87="English-Swahili pairs",19,IF(J87="spatial position",20,IF(J87="word pairs",21,IF(J87="word triads",22,IF(J87="generated words",23,IF(J87="word definition pairs",24,IF(J87="math problems",25,IF(J87="famous faces",26,IF(J87="famous names",27,IF(J87="famous voices",28,IF(J87="television programs",29,IF(J87="race horses",30,IF(J87="new vocabulary",31,IF(J87="sentences",32,IF(J87="concepts",33,IF(J87="ad slides",34,IF(J87="scenes",35,IF(J87="famous scenes",36,IF(J87="poems",37,IF(J87="walk",38,IF(J87="faces and events",39,IF(J87="events and names",40,IF(J87="flashbulb",41,IF(J87="stories",42,IF(J87="course material",43,IF(J87="autobiographical",44,IF(J87="novels",45,IF(J87="public events",46,"99"))))))))))))))))))))))))))))))))))))))))))))))</f>
        <v>20</v>
      </c>
      <c r="L87" s="60">
        <f>IF(J87="syllables",1,IF(J87="trigrams",1,IF(J87="strings",1,IF(J87="visual array",1,IF(J87="characters",1,IF(J87="letters",1,IF(J87="free forms",1,IF(J87="odors",2,IF(J87="words",2,IF(J87="pictures",2,IF(J87="object pictures",2,IF(J87="faces",2,IF(J87="names",2,IF(J87="idioms","2",IF(J87="grades",2,IF(J87="syllable-digit pairs",3,IF(J87="trigram-word pairs",3,IF(J87="word-digit pairs",3,IF(J87="English-Swahili pairs",3,IF(J87="spatial position",3,IF(J87="word pairs",4,IF(J87="word triads",4,IF(J87="generated words",4,IF(J87="word definition pairs",4,IF(J87="math problems",4,IF(J87="famous faces",4,IF(J87="famous names",4,IF(J87="famous voices",4,IF(J87="television programs",4,IF(J87="race horses",4,IF(J87="new vocabulary",4,IF(J87="sentences",5,IF(J87="concepts",5,IF(J87="ad slides",5,IF(J87="scenes",5,IF(J87="famous scenes",5,IF(J87="poems",6,IF(J87="walk",6,IF(J87="faces and events",6,IF(J87="events and names",6,IF(J87="flashbulb",7,IF(J87="stories",7,IF(J87="course material",7,IF(J87="autobiographical",7,IF(J87="novels",7,IF(J87="public events",7,"99"))))))))))))))))))))))))))))))))))))))))))))))</f>
        <v>3</v>
      </c>
      <c r="M87" s="60">
        <v>0</v>
      </c>
      <c r="N87" s="60">
        <v>1</v>
      </c>
      <c r="O87" s="60">
        <v>0</v>
      </c>
      <c r="P87" s="60"/>
      <c r="Q87" s="60" t="s">
        <v>174</v>
      </c>
      <c r="R87" s="60">
        <f>IF(Q87="Free Recall",1,IF(Q87="Cued Recall",2,IF(Q87="Recognition",3,IF(Q87="Multiple Choice",4,IF(Q87="Savings",5,IF(Q87="Stem Completion",6,IF(Q87="Fragment Completion",7,IF(Q87="anagram solution",8,IF(Q87="Matching",9,IF(Q87="Problem Solving",10,"99"))))))))))</f>
        <v>1</v>
      </c>
      <c r="S87" s="60" t="s">
        <v>49</v>
      </c>
      <c r="T87" s="60" t="s">
        <v>261</v>
      </c>
      <c r="U87" s="60">
        <f>IF(T87="within",1,0)</f>
        <v>0</v>
      </c>
      <c r="V87" s="60">
        <v>1</v>
      </c>
      <c r="W87" s="60">
        <f>F87*V87</f>
        <v>80</v>
      </c>
      <c r="X87" s="60">
        <v>3</v>
      </c>
      <c r="Y87" s="76">
        <f>AV86</f>
        <v>172800</v>
      </c>
      <c r="Z87" s="60" t="s">
        <v>236</v>
      </c>
      <c r="AA87" s="60">
        <f>30*24*60*60*6.17</f>
        <v>15992640</v>
      </c>
      <c r="AB87" s="60" t="str">
        <f>IF(AA87&lt;60,"1",IF(AA87&lt;=43200,"2",IF(AA87&lt;=777600,"3","4")))</f>
        <v>4</v>
      </c>
      <c r="AC87" s="56">
        <f>AVERAGE(AV86:DA86)</f>
        <v>7401600</v>
      </c>
      <c r="AD87" s="60" t="str">
        <f>IF(AC87&lt;60,"1",IF(AC87&lt;=43200,"2",IF(AC87&lt;=777600,"3","4")))</f>
        <v>4</v>
      </c>
      <c r="AE87" s="76">
        <f>AA87-Y87</f>
        <v>15819840</v>
      </c>
      <c r="AF87" s="80">
        <f>AV87</f>
        <v>0.9</v>
      </c>
      <c r="AG87" s="56">
        <f>((AW87-AV87)+(AX87-AW87))/2</f>
        <v>-0.31</v>
      </c>
      <c r="AH87" s="4"/>
      <c r="AI87" s="56">
        <f>RSQ(AV87:AX87,AV86:AX86)</f>
        <v>0.90452640115401461</v>
      </c>
      <c r="AJ87" s="109">
        <f>SLOPE(AV87:AX87,AV86:AX86)</f>
        <v>-3.7380025666167682E-8</v>
      </c>
      <c r="AK87" s="56">
        <f>INTERCEPT(AV87:AX87,AV86:AX86)</f>
        <v>0.83667199797070668</v>
      </c>
      <c r="AL87" s="56">
        <f>INDEX(LINEST(LN(AV87:AX87),LN(AV86:AX86),TRUE,TRUE),3,1)</f>
        <v>0.90465937931441687</v>
      </c>
      <c r="AM87" s="56">
        <f>INDEX(LINEST(LN(AV87:AX87),LN(AV86:AX86)),1)</f>
        <v>-0.23299301160884989</v>
      </c>
      <c r="AN87" s="56">
        <f>EXP(INDEX(LINEST(LN(AV87:AX87),LN(AV86:AX86)),1,2))</f>
        <v>15.596341207671873</v>
      </c>
      <c r="AO87" s="82">
        <f>INDEX(LINEST((AV87:AX87),LN(AV86:AX86),TRUE,TRUE),3,1)</f>
        <v>0.97714262158102294</v>
      </c>
      <c r="AP87" s="82">
        <f>INDEX(LINEST((AV87:AX87),LN(AV86:AX86)),1)</f>
        <v>-0.13037322832027573</v>
      </c>
      <c r="AQ87" s="83">
        <f>INDEX(LINEST(LN(AV87:AX87),SQRT(AV86:AX86),TRUE,TRUE),3,1)</f>
        <v>0.9941613459254236</v>
      </c>
      <c r="AR87" s="116">
        <f>INDEX(LINEST(LN(AV87:AX87),SQRT((AV86:AX86))),1)</f>
        <v>-3.2383808809323313E-4</v>
      </c>
      <c r="AS87" s="84">
        <f>INDEX(LINEST(1/(AV87:AX87),1/(SQRT(AV86:AX86)),TRUE,TRUE),3,1)</f>
        <v>0.66512704742214435</v>
      </c>
      <c r="AT87" s="84">
        <f>INDEX(LINEST(1/(AV87:AX87),1/SQRT(AV86:AX86)),1)</f>
        <v>-845.43857697730459</v>
      </c>
      <c r="AU87" s="3"/>
      <c r="AV87" s="53">
        <v>0.9</v>
      </c>
      <c r="AW87" s="53">
        <v>0.5</v>
      </c>
      <c r="AX87" s="53">
        <v>0.28000000000000003</v>
      </c>
      <c r="AY87" s="53"/>
      <c r="AZ87" s="53"/>
      <c r="BA87" s="53"/>
      <c r="BB87" s="53"/>
      <c r="BC87" s="53"/>
      <c r="BD87" s="53"/>
      <c r="BE87" s="53"/>
      <c r="BF87" s="53"/>
      <c r="BG87" s="53"/>
      <c r="BH87" s="53"/>
      <c r="BI87" s="53"/>
      <c r="BJ87" s="53"/>
      <c r="BK87" s="53"/>
      <c r="BL87" s="53"/>
      <c r="BM87" s="53"/>
      <c r="BN87" s="53"/>
      <c r="BO87" s="53"/>
      <c r="BP87" s="53"/>
      <c r="BQ87" s="53"/>
      <c r="BR87" s="53"/>
      <c r="BS87" s="53"/>
      <c r="BT87" s="53"/>
      <c r="BU87" s="53"/>
      <c r="BV87" s="53"/>
      <c r="BW87" s="53"/>
      <c r="BX87" s="53"/>
      <c r="BY87" s="53"/>
      <c r="BZ87" s="53"/>
      <c r="CA87" s="53"/>
      <c r="CB87" s="53"/>
      <c r="CC87" s="53"/>
      <c r="CD87" s="53"/>
      <c r="CE87" s="53"/>
      <c r="CF87" s="53"/>
      <c r="CG87" s="53"/>
      <c r="CH87" s="53"/>
      <c r="CI87" s="53"/>
      <c r="CJ87" s="53"/>
      <c r="CK87" s="53"/>
      <c r="CL87" s="53"/>
      <c r="CM87" s="53"/>
      <c r="CN87" s="53"/>
      <c r="CO87" s="53"/>
      <c r="CP87" s="53"/>
      <c r="CQ87" s="53"/>
      <c r="CR87" s="1"/>
      <c r="CS87" s="1"/>
      <c r="CT87" s="1"/>
      <c r="CU87" s="1"/>
    </row>
    <row r="88" spans="1:99" s="13" customFormat="1" ht="12" customHeight="1" x14ac:dyDescent="0.2">
      <c r="A88" s="65">
        <v>43509</v>
      </c>
      <c r="B88" s="1"/>
      <c r="C88" s="1"/>
      <c r="D88" s="60"/>
      <c r="E88" s="76"/>
      <c r="F88" s="60"/>
      <c r="G88" s="60"/>
      <c r="H88" s="60"/>
      <c r="I88" s="60"/>
      <c r="J88" s="60"/>
      <c r="K88" s="64"/>
      <c r="L88" s="64"/>
      <c r="M88" s="60"/>
      <c r="N88" s="60"/>
      <c r="O88" s="60"/>
      <c r="P88" s="60"/>
      <c r="Q88" s="59"/>
      <c r="R88" s="60"/>
      <c r="S88" s="60"/>
      <c r="T88" s="60"/>
      <c r="U88" s="60"/>
      <c r="V88" s="60"/>
      <c r="W88" s="60"/>
      <c r="X88" s="60"/>
      <c r="Y88" s="76"/>
      <c r="Z88" s="60"/>
      <c r="AA88" s="60"/>
      <c r="AB88" s="60"/>
      <c r="AC88" s="60"/>
      <c r="AD88" s="60"/>
      <c r="AE88" s="60"/>
      <c r="AF88" s="80"/>
      <c r="AG88" s="56"/>
      <c r="AH88" s="4"/>
      <c r="AI88" s="56"/>
      <c r="AJ88" s="109"/>
      <c r="AK88" s="56"/>
      <c r="AL88" s="56"/>
      <c r="AM88" s="56"/>
      <c r="AN88" s="56"/>
      <c r="AO88" s="56"/>
      <c r="AP88" s="56"/>
      <c r="AQ88" s="56"/>
      <c r="AR88" s="109"/>
      <c r="AS88" s="56"/>
      <c r="AT88" s="56"/>
      <c r="AU88" s="4"/>
      <c r="AV88" s="25">
        <f>2*24*60*60</f>
        <v>172800</v>
      </c>
      <c r="AW88" s="25">
        <f>30*24*60*60*2.33</f>
        <v>6039360</v>
      </c>
      <c r="AX88" s="25">
        <f>30*24*60*60*6.17</f>
        <v>15992640</v>
      </c>
      <c r="AY88" s="53"/>
      <c r="AZ88" s="53"/>
      <c r="BA88" s="53"/>
      <c r="BB88" s="53"/>
      <c r="BC88" s="53"/>
      <c r="BD88" s="53"/>
      <c r="BE88" s="53"/>
      <c r="BF88" s="53"/>
      <c r="BG88" s="53"/>
      <c r="BH88" s="53"/>
      <c r="BI88" s="53"/>
      <c r="BJ88" s="53"/>
      <c r="BK88" s="53"/>
      <c r="BL88" s="53"/>
      <c r="BM88" s="53"/>
      <c r="BN88" s="53"/>
      <c r="BO88" s="53"/>
      <c r="BP88" s="53"/>
      <c r="BQ88" s="53"/>
      <c r="BR88" s="53"/>
      <c r="BS88" s="53"/>
      <c r="BT88" s="53"/>
      <c r="BU88" s="53"/>
      <c r="BV88" s="53"/>
      <c r="BW88" s="53"/>
      <c r="BX88" s="53"/>
      <c r="BY88" s="53"/>
      <c r="BZ88" s="53"/>
      <c r="CA88" s="53"/>
      <c r="CB88" s="53"/>
      <c r="CC88" s="53"/>
      <c r="CD88" s="53"/>
      <c r="CE88" s="53"/>
      <c r="CF88" s="53"/>
      <c r="CG88" s="53"/>
      <c r="CH88" s="53"/>
      <c r="CI88" s="53"/>
      <c r="CJ88" s="53"/>
      <c r="CK88" s="53"/>
      <c r="CL88" s="53"/>
      <c r="CM88" s="53"/>
      <c r="CN88" s="53"/>
      <c r="CO88" s="53"/>
      <c r="CP88" s="53"/>
      <c r="CQ88" s="53"/>
      <c r="CR88" s="1"/>
      <c r="CS88" s="1"/>
      <c r="CT88" s="1"/>
      <c r="CU88" s="1"/>
    </row>
    <row r="89" spans="1:99" s="13" customFormat="1" ht="12" customHeight="1" x14ac:dyDescent="0.2">
      <c r="A89" s="65">
        <v>43509</v>
      </c>
      <c r="B89" s="1" t="s">
        <v>240</v>
      </c>
      <c r="C89" s="1" t="s">
        <v>70</v>
      </c>
      <c r="D89" s="60">
        <v>2017</v>
      </c>
      <c r="E89" s="76">
        <v>2</v>
      </c>
      <c r="F89" s="60">
        <v>80</v>
      </c>
      <c r="G89" s="60">
        <v>26.7</v>
      </c>
      <c r="H89" s="60" t="s">
        <v>398</v>
      </c>
      <c r="I89" s="60" t="s">
        <v>628</v>
      </c>
      <c r="J89" s="60" t="s">
        <v>175</v>
      </c>
      <c r="K89" s="60">
        <f>IF(J89="syllables",1,IF(J89="trigrams",2,IF(J89="strings",3,IF(J89="visual array",4,IF(J89="characters",5,IF(J89="letters",6,IF(J89="free forms",7,IF(J89="odors",8,IF(J89="words",9,IF(J89="pictures",10,IF(J89="object pictures",11,IF(J89="faces",12,IF(J89="names",13,IF(J89="idioms",14,IF(J89="grades",15,IF(J89="syllable-digit pairs",16,IF(J89="trigram-word pairs",17,IF(J89="word-digit pairs",18,IF(J89="English-Swahili pairs",19,IF(J89="spatial position",20,IF(J89="word pairs",21,IF(J89="word triads",22,IF(J89="generated words",23,IF(J89="word definition pairs",24,IF(J89="math problems",25,IF(J89="famous faces",26,IF(J89="famous names",27,IF(J89="famous voices",28,IF(J89="television programs",29,IF(J89="race horses",30,IF(J89="new vocabulary",31,IF(J89="sentences",32,IF(J89="concepts",33,IF(J89="ad slides",34,IF(J89="scenes",35,IF(J89="famous scenes",36,IF(J89="poems",37,IF(J89="walk",38,IF(J89="faces and events",39,IF(J89="events and names",40,IF(J89="flashbulb",41,IF(J89="stories",42,IF(J89="course material",43,IF(J89="autobiographical",44,IF(J89="novels",45,IF(J89="public events",46,"99"))))))))))))))))))))))))))))))))))))))))))))))</f>
        <v>20</v>
      </c>
      <c r="L89" s="60">
        <f>IF(J89="syllables",1,IF(J89="trigrams",1,IF(J89="strings",1,IF(J89="visual array",1,IF(J89="characters",1,IF(J89="letters",1,IF(J89="free forms",1,IF(J89="odors",2,IF(J89="words",2,IF(J89="pictures",2,IF(J89="object pictures",2,IF(J89="faces",2,IF(J89="names",2,IF(J89="idioms","2",IF(J89="grades",2,IF(J89="syllable-digit pairs",3,IF(J89="trigram-word pairs",3,IF(J89="word-digit pairs",3,IF(J89="English-Swahili pairs",3,IF(J89="spatial position",3,IF(J89="word pairs",4,IF(J89="word triads",4,IF(J89="generated words",4,IF(J89="word definition pairs",4,IF(J89="math problems",4,IF(J89="famous faces",4,IF(J89="famous names",4,IF(J89="famous voices",4,IF(J89="television programs",4,IF(J89="race horses",4,IF(J89="new vocabulary",4,IF(J89="sentences",5,IF(J89="concepts",5,IF(J89="ad slides",5,IF(J89="scenes",5,IF(J89="famous scenes",5,IF(J89="poems",6,IF(J89="walk",6,IF(J89="faces and events",6,IF(J89="events and names",6,IF(J89="flashbulb",7,IF(J89="stories",7,IF(J89="course material",7,IF(J89="autobiographical",7,IF(J89="novels",7,IF(J89="public events",7,"99"))))))))))))))))))))))))))))))))))))))))))))))</f>
        <v>3</v>
      </c>
      <c r="M89" s="60">
        <v>0</v>
      </c>
      <c r="N89" s="60">
        <v>1</v>
      </c>
      <c r="O89" s="60">
        <v>0</v>
      </c>
      <c r="P89" s="60"/>
      <c r="Q89" s="60" t="s">
        <v>174</v>
      </c>
      <c r="R89" s="60">
        <f>IF(Q89="Free Recall",1,IF(Q89="Cued Recall",2,IF(Q89="Recognition",3,IF(Q89="Multiple Choice",4,IF(Q89="Savings",5,IF(Q89="Stem Completion",6,IF(Q89="Fragment Completion",7,IF(Q89="anagram solution",8,IF(Q89="Matching",9,IF(Q89="Problem Solving",10,"99"))))))))))</f>
        <v>1</v>
      </c>
      <c r="S89" s="60" t="s">
        <v>49</v>
      </c>
      <c r="T89" s="60" t="s">
        <v>261</v>
      </c>
      <c r="U89" s="60">
        <f>IF(T89="within",1,0)</f>
        <v>0</v>
      </c>
      <c r="V89" s="60">
        <v>1</v>
      </c>
      <c r="W89" s="60">
        <f>F89*V89</f>
        <v>80</v>
      </c>
      <c r="X89" s="60">
        <v>3</v>
      </c>
      <c r="Y89" s="76">
        <f>AV88</f>
        <v>172800</v>
      </c>
      <c r="Z89" s="60" t="s">
        <v>236</v>
      </c>
      <c r="AA89" s="60">
        <f>30*24*60*60*6.17</f>
        <v>15992640</v>
      </c>
      <c r="AB89" s="60" t="str">
        <f>IF(AA89&lt;60,"1",IF(AA89&lt;=43200,"2",IF(AA89&lt;=777600,"3","4")))</f>
        <v>4</v>
      </c>
      <c r="AC89" s="56">
        <f>AVERAGE(AV88:DA88)</f>
        <v>7401600</v>
      </c>
      <c r="AD89" s="60" t="str">
        <f>IF(AC89&lt;60,"1",IF(AC89&lt;=43200,"2",IF(AC89&lt;=777600,"3","4")))</f>
        <v>4</v>
      </c>
      <c r="AE89" s="76">
        <f>AA89-Y89</f>
        <v>15819840</v>
      </c>
      <c r="AF89" s="80">
        <f>AV89</f>
        <v>0.95</v>
      </c>
      <c r="AG89" s="56">
        <f>((AW89-AV89)+(AX89-AW89))/2</f>
        <v>-7.4999999999999956E-2</v>
      </c>
      <c r="AH89" s="4"/>
      <c r="AI89" s="56">
        <f>RSQ(AV89:AX89,AV88:AX88)</f>
        <v>0.93761069141771081</v>
      </c>
      <c r="AJ89" s="109">
        <f>SLOPE(AV89:AX89,AV88:AX88)</f>
        <v>-9.8611527360321732E-9</v>
      </c>
      <c r="AK89" s="56">
        <f>INTERCEPT(AV89:AX89,AV88:AX88)</f>
        <v>0.96632164142434895</v>
      </c>
      <c r="AL89" s="56">
        <f>INDEX(LINEST(LN(AV89:AX89),LN(AV88:AX88),TRUE,TRUE),3,1)</f>
        <v>0.55763632833185328</v>
      </c>
      <c r="AM89" s="56">
        <f>INDEX(LINEST(LN(AV89:AX89),LN(AV88:AX88)),1)</f>
        <v>-2.9353553163112629E-2</v>
      </c>
      <c r="AN89" s="56">
        <f>EXP(INDEX(LINEST(LN(AV89:AX89),LN(AV88:AX88)),1,2))</f>
        <v>1.3735610384718755</v>
      </c>
      <c r="AO89" s="82">
        <f>INDEX(LINEST((AV89:AX89),LN(AV88:AX88),TRUE,TRUE),3,1)</f>
        <v>0.56684854182056066</v>
      </c>
      <c r="AP89" s="82">
        <f>INDEX(LINEST((AV89:AX89),LN(AV88:AX88)),1)</f>
        <v>-2.5729443717128729E-2</v>
      </c>
      <c r="AQ89" s="83">
        <f>INDEX(LINEST(LN(AV89:AX89),SQRT(AV88:AX88),TRUE,TRUE),3,1)</f>
        <v>0.77833137615729997</v>
      </c>
      <c r="AR89" s="116">
        <f>INDEX(LINEST(LN(AV89:AX89),SQRT((AV88:AX88))),1)</f>
        <v>-4.5979745033814178E-5</v>
      </c>
      <c r="AS89" s="84">
        <f>INDEX(LINEST(1/(AV89:AX89),1/(SQRT(AV88:AX88)),TRUE,TRUE),3,1)</f>
        <v>0.40900130333175416</v>
      </c>
      <c r="AT89" s="84">
        <f>INDEX(LINEST(1/(AV89:AX89),1/SQRT(AV88:AX88)),1)</f>
        <v>-57.477369108478612</v>
      </c>
      <c r="AU89" s="3"/>
      <c r="AV89" s="53">
        <v>0.95</v>
      </c>
      <c r="AW89" s="53">
        <v>0.93</v>
      </c>
      <c r="AX89" s="53">
        <v>0.8</v>
      </c>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53"/>
      <c r="CD89" s="53"/>
      <c r="CE89" s="53"/>
      <c r="CF89" s="53"/>
      <c r="CG89" s="53"/>
      <c r="CH89" s="53"/>
      <c r="CI89" s="53"/>
      <c r="CJ89" s="53"/>
      <c r="CK89" s="53"/>
      <c r="CL89" s="53"/>
      <c r="CM89" s="53"/>
      <c r="CN89" s="53"/>
      <c r="CO89" s="53"/>
      <c r="CP89" s="53"/>
      <c r="CQ89" s="53"/>
      <c r="CR89" s="1"/>
      <c r="CS89" s="1"/>
      <c r="CT89" s="1"/>
      <c r="CU89" s="1"/>
    </row>
    <row r="90" spans="1:99" s="13" customFormat="1" ht="12" customHeight="1" x14ac:dyDescent="0.2">
      <c r="A90" s="68">
        <v>43909</v>
      </c>
      <c r="B90" s="70"/>
      <c r="C90" s="70"/>
      <c r="D90" s="69"/>
      <c r="E90" s="87"/>
      <c r="F90" s="69"/>
      <c r="G90" s="69"/>
      <c r="H90" s="69"/>
      <c r="I90" s="69"/>
      <c r="J90" s="69"/>
      <c r="K90" s="107"/>
      <c r="L90" s="107"/>
      <c r="M90" s="69"/>
      <c r="N90" s="86"/>
      <c r="O90" s="69"/>
      <c r="P90" s="69"/>
      <c r="Q90" s="69"/>
      <c r="R90" s="69"/>
      <c r="S90" s="69"/>
      <c r="T90" s="69"/>
      <c r="U90" s="69"/>
      <c r="V90" s="69"/>
      <c r="W90" s="69"/>
      <c r="X90" s="69"/>
      <c r="Y90" s="87"/>
      <c r="Z90" s="69"/>
      <c r="AA90" s="69"/>
      <c r="AB90" s="69"/>
      <c r="AC90" s="69"/>
      <c r="AD90" s="69"/>
      <c r="AE90" s="69"/>
      <c r="AF90" s="88"/>
      <c r="AG90" s="72"/>
      <c r="AH90" s="4"/>
      <c r="AI90" s="72"/>
      <c r="AJ90" s="110"/>
      <c r="AK90" s="72"/>
      <c r="AL90" s="72"/>
      <c r="AM90" s="72"/>
      <c r="AN90" s="72"/>
      <c r="AO90" s="72"/>
      <c r="AP90" s="72"/>
      <c r="AQ90" s="72"/>
      <c r="AR90" s="110"/>
      <c r="AS90" s="72"/>
      <c r="AT90" s="72"/>
      <c r="AU90" s="3"/>
      <c r="AV90" s="70">
        <f>24*60*60</f>
        <v>86400</v>
      </c>
      <c r="AW90" s="70">
        <f>4*24*60*60</f>
        <v>345600</v>
      </c>
      <c r="AX90" s="70">
        <f>7*24*60*60</f>
        <v>604800</v>
      </c>
      <c r="AY90" s="70">
        <f>14*24*60*60</f>
        <v>1209600</v>
      </c>
      <c r="AZ90" s="70">
        <f>21*24*60*60</f>
        <v>1814400</v>
      </c>
      <c r="BA90" s="70">
        <f>28*24*60*60</f>
        <v>2419200</v>
      </c>
      <c r="BB90" s="53"/>
      <c r="BC90" s="53"/>
      <c r="BD90" s="53"/>
      <c r="BE90" s="53"/>
      <c r="BF90" s="53"/>
      <c r="BG90" s="53"/>
      <c r="BH90" s="53"/>
      <c r="BI90" s="53"/>
      <c r="BJ90" s="53"/>
      <c r="BK90" s="53"/>
      <c r="BL90" s="53"/>
      <c r="BM90" s="53"/>
      <c r="BN90" s="53"/>
      <c r="BO90" s="53"/>
      <c r="BP90" s="53"/>
      <c r="BQ90" s="53"/>
      <c r="BR90" s="53"/>
      <c r="BS90" s="53"/>
      <c r="BT90" s="53"/>
      <c r="BU90" s="53"/>
      <c r="BV90" s="53"/>
      <c r="BW90" s="53"/>
      <c r="BX90" s="53"/>
      <c r="BY90" s="53"/>
      <c r="BZ90" s="53"/>
      <c r="CA90" s="53"/>
      <c r="CB90" s="53"/>
      <c r="CC90" s="53"/>
      <c r="CD90" s="53"/>
      <c r="CE90" s="53"/>
      <c r="CF90" s="53"/>
      <c r="CG90" s="53"/>
      <c r="CH90" s="53"/>
      <c r="CI90" s="53"/>
      <c r="CJ90" s="53"/>
      <c r="CK90" s="53"/>
      <c r="CL90" s="53"/>
      <c r="CM90" s="53"/>
      <c r="CN90" s="53"/>
      <c r="CO90" s="53"/>
      <c r="CP90" s="53"/>
      <c r="CQ90" s="53"/>
      <c r="CR90" s="1"/>
      <c r="CS90" s="1"/>
      <c r="CT90" s="1"/>
      <c r="CU90" s="1"/>
    </row>
    <row r="91" spans="1:99" s="13" customFormat="1" ht="12" customHeight="1" x14ac:dyDescent="0.2">
      <c r="A91" s="68">
        <v>43909</v>
      </c>
      <c r="B91" s="70" t="s">
        <v>503</v>
      </c>
      <c r="C91" s="70" t="s">
        <v>139</v>
      </c>
      <c r="D91" s="69">
        <v>1912</v>
      </c>
      <c r="E91" s="87">
        <v>1</v>
      </c>
      <c r="F91" s="69">
        <v>756</v>
      </c>
      <c r="G91" s="69">
        <v>126</v>
      </c>
      <c r="H91" s="69" t="s">
        <v>451</v>
      </c>
      <c r="I91" s="69"/>
      <c r="J91" s="69" t="s">
        <v>630</v>
      </c>
      <c r="K91" s="69">
        <f>IF(J91="syllables",1,IF(J91="trigrams",2,IF(J91="strings",3,IF(J91="visual array",4,IF(J91="characters",5,IF(J91="letters",6,IF(J91="free forms",7,IF(J91="odors",8,IF(J91="words",9,IF(J91="pictures",10,IF(J91="object pictures",11,IF(J91="faces",12,IF(J91="names",13,IF(J91="idioms",14,IF(J91="grades",15,IF(J91="syllable-digit pairs",16,IF(J91="trigram-word pairs",17,IF(J91="word-digit pairs",18,IF(J91="English-Swahili pairs",19,IF(J91="spatial position",20,IF(J91="word pairs",21,IF(J91="word triads",22,IF(J91="generated words",23,IF(J91="word definition pairs",24,IF(J91="math problems",25,IF(J91="famous faces",26,IF(J91="famous names",27,IF(J91="famous voices",28,IF(J91="television programs",29,IF(J91="race horses",30,IF(J91="new vocabulary",31,IF(J91="sentences",32,IF(J91="concepts",33,IF(J91="ad slides",34,IF(J91="scenes",35,IF(J91="famous scenes",36,IF(J91="poems",37,IF(J91="walk",38,IF(J91="faces and events",39,IF(J91="events and names",40,IF(J91="flashbulb",41,IF(J91="stories",42,IF(J91="course material",43,IF(J91="autobiographical",44,IF(J91="novels",45,IF(J91="public events",46,"99"))))))))))))))))))))))))))))))))))))))))))))))</f>
        <v>6</v>
      </c>
      <c r="L91" s="69">
        <f>IF(J91="syllables",1,IF(J91="trigrams",1,IF(J91="strings",1,IF(J91="visual array",1,IF(J91="characters",1,IF(J91="letters",1,IF(J91="free forms",1,IF(J91="odors",2,IF(J91="words",2,IF(J91="pictures",2,IF(J91="object pictures",2,IF(J91="faces",2,IF(J91="names",2,IF(J91="idioms","2",IF(J91="grades",2,IF(J91="syllable-digit pairs",3,IF(J91="trigram-word pairs",3,IF(J91="word-digit pairs",3,IF(J91="English-Swahili pairs",3,IF(J91="spatial position",3,IF(J91="word pairs",4,IF(J91="word triads",4,IF(J91="generated words",4,IF(J91="word definition pairs",4,IF(J91="math problems",4,IF(J91="famous faces",4,IF(J91="famous names",4,IF(J91="famous voices",4,IF(J91="television programs",4,IF(J91="race horses",4,IF(J91="new vocabulary",4,IF(J91="sentences",5,IF(J91="concepts",5,IF(J91="ad slides",5,IF(J91="scenes",5,IF(J91="famous scenes",5,IF(J91="poems",6,IF(J91="walk",6,IF(J91="faces and events",6,IF(J91="events and names",6,IF(J91="flashbulb",7,IF(J91="stories",7,IF(J91="course material",7,IF(J91="autobiographical",7,IF(J91="novels",7,IF(J91="public events",7,"99"))))))))))))))))))))))))))))))))))))))))))))))</f>
        <v>1</v>
      </c>
      <c r="M91" s="69">
        <v>0</v>
      </c>
      <c r="N91" s="86">
        <v>1</v>
      </c>
      <c r="O91" s="69">
        <v>0</v>
      </c>
      <c r="P91" s="69"/>
      <c r="Q91" s="69" t="s">
        <v>174</v>
      </c>
      <c r="R91" s="69">
        <f>IF(Q91="Free Recall",1,IF(Q91="Cued Recall",2,IF(Q91="Recognition",3,IF(Q91="Multiple Choice",4,IF(Q91="Savings",5,IF(Q91="Stem Completion",6,IF(Q91="Fragment Completion",7,IF(Q91="anagram solution",8,IF(Q91="Matching",9,IF(Q91="Problem Solving",10,"99"))))))))))</f>
        <v>1</v>
      </c>
      <c r="S91" s="69" t="s">
        <v>49</v>
      </c>
      <c r="T91" s="69" t="s">
        <v>261</v>
      </c>
      <c r="U91" s="69">
        <f>IF(T91="within",1,0)</f>
        <v>0</v>
      </c>
      <c r="V91" s="69">
        <v>9</v>
      </c>
      <c r="W91" s="69">
        <f>F91*V91</f>
        <v>6804</v>
      </c>
      <c r="X91" s="69">
        <v>6</v>
      </c>
      <c r="Y91" s="87">
        <f>AV90</f>
        <v>86400</v>
      </c>
      <c r="Z91" s="69" t="s">
        <v>18</v>
      </c>
      <c r="AA91" s="69">
        <f>28*24*60*60</f>
        <v>2419200</v>
      </c>
      <c r="AB91" s="69" t="str">
        <f>IF(AA91&lt;60,"1",IF(AA91&lt;=43200,"2",IF(AA91&lt;=777600,"3","4")))</f>
        <v>4</v>
      </c>
      <c r="AC91" s="72">
        <f>AVERAGE(AV90:DA90)</f>
        <v>1080000</v>
      </c>
      <c r="AD91" s="69" t="str">
        <f>IF(AC91&lt;60,"1",IF(AC91&lt;=43200,"2",IF(AC91&lt;=777600,"3","4")))</f>
        <v>4</v>
      </c>
      <c r="AE91" s="87">
        <f>AA91-Y91</f>
        <v>2332800</v>
      </c>
      <c r="AF91" s="88">
        <f>AV91</f>
        <v>0.878</v>
      </c>
      <c r="AG91" s="72">
        <f>((AW91-AV91)+(AX91-AW91)+(AY91-AX91)+(AZ91-AY91)+(BA91-AZ91))/5</f>
        <v>-1.9999999999999997E-2</v>
      </c>
      <c r="AH91" s="4"/>
      <c r="AI91" s="72">
        <f>RSQ(AV91:BA91,AV90:BA90)</f>
        <v>0.50836370327671798</v>
      </c>
      <c r="AJ91" s="110">
        <f>SLOPE(AV91:BA91,AV90:BA90)</f>
        <v>-5.3278653995214508E-8</v>
      </c>
      <c r="AK91" s="72">
        <f>INTERCEPT(AV91:BA91,AV90:BA90)</f>
        <v>0.86137427964816504</v>
      </c>
      <c r="AL91" s="72">
        <f>INDEX(LINEST(LN(AV91:BA91),LN(AV90:BA90),TRUE,TRUE),3,1)</f>
        <v>0.63385979176532581</v>
      </c>
      <c r="AM91" s="72">
        <f>INDEX(LINEST(LN(AV91:BA91),LN(AV90:BA90)),1)</f>
        <v>-5.4609784021250732E-2</v>
      </c>
      <c r="AN91" s="72">
        <f>EXP(INDEX(LINEST(LN(AV91:BA91),LN(AV90:BA90)),1,2))</f>
        <v>1.6682568034975607</v>
      </c>
      <c r="AO91" s="89">
        <f>INDEX(LINEST((AV91:BA91),LN(AV90:BA90),TRUE,TRUE),3,1)</f>
        <v>0.65547548319515347</v>
      </c>
      <c r="AP91" s="89">
        <f>INDEX(LINEST((AV91:BA91),LN(AV90:BA90)),1)</f>
        <v>-4.4348405355611298E-2</v>
      </c>
      <c r="AQ91" s="90">
        <f>INDEX(LINEST(LN(AV91:BA91),SQRT(AV90:BA90),TRUE,TRUE),3,1)</f>
        <v>0.59828417872559803</v>
      </c>
      <c r="AR91" s="117">
        <f>INDEX(LINEST(LN(AV91:BA91),SQRT((AV90:BA90))),1)</f>
        <v>-1.3743901372713691E-4</v>
      </c>
      <c r="AS91" s="91">
        <f>INDEX(LINEST(1/(AV91:BA91),1/(SQRT(AV90:BA90)),TRUE,TRUE),3,1)</f>
        <v>0.53701255966279982</v>
      </c>
      <c r="AT91" s="91">
        <f>INDEX(LINEST(1/(AV91:BA91),1/SQRT(AV90:BA90)),1)</f>
        <v>-75.538792295279194</v>
      </c>
      <c r="AU91" s="3"/>
      <c r="AV91" s="73">
        <f>1-0.122</f>
        <v>0.878</v>
      </c>
      <c r="AW91" s="73">
        <f>1-0.122</f>
        <v>0.878</v>
      </c>
      <c r="AX91" s="73">
        <f>1-0.178</f>
        <v>0.82200000000000006</v>
      </c>
      <c r="AY91" s="73">
        <f>1-0.289</f>
        <v>0.71100000000000008</v>
      </c>
      <c r="AZ91" s="73">
        <f>1-0.244</f>
        <v>0.75600000000000001</v>
      </c>
      <c r="BA91" s="73">
        <f>1-0.222</f>
        <v>0.77800000000000002</v>
      </c>
      <c r="BB91" s="53"/>
      <c r="BC91" s="53"/>
      <c r="BD91" s="53"/>
      <c r="BE91" s="53"/>
      <c r="BF91" s="53"/>
      <c r="BG91" s="53"/>
      <c r="BH91" s="53"/>
      <c r="BI91" s="53"/>
      <c r="BJ91" s="53"/>
      <c r="BK91" s="53"/>
      <c r="BL91" s="53"/>
      <c r="BM91" s="53"/>
      <c r="BN91" s="53"/>
      <c r="BO91" s="53"/>
      <c r="BP91" s="53"/>
      <c r="BQ91" s="53"/>
      <c r="BR91" s="53"/>
      <c r="BS91" s="53"/>
      <c r="BT91" s="53"/>
      <c r="BU91" s="53"/>
      <c r="BV91" s="53"/>
      <c r="BW91" s="53"/>
      <c r="BX91" s="53"/>
      <c r="BY91" s="53"/>
      <c r="BZ91" s="53"/>
      <c r="CA91" s="53"/>
      <c r="CB91" s="53"/>
      <c r="CC91" s="53"/>
      <c r="CD91" s="53"/>
      <c r="CE91" s="53"/>
      <c r="CF91" s="53"/>
      <c r="CG91" s="53"/>
      <c r="CH91" s="53"/>
      <c r="CI91" s="53"/>
      <c r="CJ91" s="53"/>
      <c r="CK91" s="53"/>
      <c r="CL91" s="53"/>
      <c r="CM91" s="53"/>
      <c r="CN91" s="53"/>
      <c r="CO91" s="53"/>
      <c r="CP91" s="53"/>
      <c r="CQ91" s="53"/>
      <c r="CR91" s="1"/>
      <c r="CS91" s="1"/>
      <c r="CT91" s="1"/>
      <c r="CU91" s="1"/>
    </row>
    <row r="92" spans="1:99" s="13" customFormat="1" ht="12" customHeight="1" x14ac:dyDescent="0.2">
      <c r="A92" s="68">
        <v>43909</v>
      </c>
      <c r="B92" s="70"/>
      <c r="C92" s="70"/>
      <c r="D92" s="69"/>
      <c r="E92" s="87"/>
      <c r="F92" s="69"/>
      <c r="G92" s="69"/>
      <c r="H92" s="69"/>
      <c r="I92" s="69"/>
      <c r="J92" s="69"/>
      <c r="K92" s="107"/>
      <c r="L92" s="107"/>
      <c r="M92" s="69"/>
      <c r="N92" s="86"/>
      <c r="O92" s="69"/>
      <c r="P92" s="69"/>
      <c r="Q92" s="69"/>
      <c r="R92" s="69"/>
      <c r="S92" s="69"/>
      <c r="T92" s="69"/>
      <c r="U92" s="69"/>
      <c r="V92" s="69"/>
      <c r="W92" s="69"/>
      <c r="X92" s="69"/>
      <c r="Y92" s="87"/>
      <c r="Z92" s="69"/>
      <c r="AA92" s="69"/>
      <c r="AB92" s="69"/>
      <c r="AC92" s="69"/>
      <c r="AD92" s="69"/>
      <c r="AE92" s="69"/>
      <c r="AF92" s="88"/>
      <c r="AG92" s="72"/>
      <c r="AH92" s="4"/>
      <c r="AI92" s="72"/>
      <c r="AJ92" s="110"/>
      <c r="AK92" s="72"/>
      <c r="AL92" s="72"/>
      <c r="AM92" s="72"/>
      <c r="AN92" s="72"/>
      <c r="AO92" s="72"/>
      <c r="AP92" s="72"/>
      <c r="AQ92" s="72"/>
      <c r="AR92" s="110"/>
      <c r="AS92" s="72"/>
      <c r="AT92" s="72"/>
      <c r="AU92" s="3"/>
      <c r="AV92" s="70">
        <f>24*60*60</f>
        <v>86400</v>
      </c>
      <c r="AW92" s="70">
        <f>4*24*60*60</f>
        <v>345600</v>
      </c>
      <c r="AX92" s="70">
        <f>7*24*60*60</f>
        <v>604800</v>
      </c>
      <c r="AY92" s="70">
        <f>14*24*60*60</f>
        <v>1209600</v>
      </c>
      <c r="AZ92" s="70">
        <f>21*24*60*60</f>
        <v>1814400</v>
      </c>
      <c r="BA92" s="70">
        <f>28*24*60*60</f>
        <v>2419200</v>
      </c>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53"/>
      <c r="CD92" s="53"/>
      <c r="CE92" s="53"/>
      <c r="CF92" s="53"/>
      <c r="CG92" s="53"/>
      <c r="CH92" s="53"/>
      <c r="CI92" s="53"/>
      <c r="CJ92" s="53"/>
      <c r="CK92" s="53"/>
      <c r="CL92" s="53"/>
      <c r="CM92" s="53"/>
      <c r="CN92" s="53"/>
      <c r="CO92" s="53"/>
      <c r="CP92" s="53"/>
      <c r="CQ92" s="53"/>
      <c r="CR92" s="1"/>
      <c r="CS92" s="1"/>
      <c r="CT92" s="1"/>
      <c r="CU92" s="1"/>
    </row>
    <row r="93" spans="1:99" s="13" customFormat="1" ht="12" customHeight="1" x14ac:dyDescent="0.2">
      <c r="A93" s="68">
        <v>43909</v>
      </c>
      <c r="B93" s="70" t="s">
        <v>503</v>
      </c>
      <c r="C93" s="70" t="s">
        <v>139</v>
      </c>
      <c r="D93" s="69">
        <v>1912</v>
      </c>
      <c r="E93" s="87">
        <v>1</v>
      </c>
      <c r="F93" s="69">
        <v>348</v>
      </c>
      <c r="G93" s="69">
        <v>58</v>
      </c>
      <c r="H93" s="69" t="s">
        <v>452</v>
      </c>
      <c r="I93" s="69"/>
      <c r="J93" s="69" t="s">
        <v>630</v>
      </c>
      <c r="K93" s="69">
        <f>IF(J93="syllables",1,IF(J93="trigrams",2,IF(J93="strings",3,IF(J93="visual array",4,IF(J93="characters",5,IF(J93="letters",6,IF(J93="free forms",7,IF(J93="odors",8,IF(J93="words",9,IF(J93="pictures",10,IF(J93="object pictures",11,IF(J93="faces",12,IF(J93="names",13,IF(J93="idioms",14,IF(J93="grades",15,IF(J93="syllable-digit pairs",16,IF(J93="trigram-word pairs",17,IF(J93="word-digit pairs",18,IF(J93="English-Swahili pairs",19,IF(J93="spatial position",20,IF(J93="word pairs",21,IF(J93="word triads",22,IF(J93="generated words",23,IF(J93="word definition pairs",24,IF(J93="math problems",25,IF(J93="famous faces",26,IF(J93="famous names",27,IF(J93="famous voices",28,IF(J93="television programs",29,IF(J93="race horses",30,IF(J93="new vocabulary",31,IF(J93="sentences",32,IF(J93="concepts",33,IF(J93="ad slides",34,IF(J93="scenes",35,IF(J93="famous scenes",36,IF(J93="poems",37,IF(J93="walk",38,IF(J93="faces and events",39,IF(J93="events and names",40,IF(J93="flashbulb",41,IF(J93="stories",42,IF(J93="course material",43,IF(J93="autobiographical",44,IF(J93="novels",45,IF(J93="public events",46,"99"))))))))))))))))))))))))))))))))))))))))))))))</f>
        <v>6</v>
      </c>
      <c r="L93" s="69">
        <f>IF(J93="syllables",1,IF(J93="trigrams",1,IF(J93="strings",1,IF(J93="visual array",1,IF(J93="characters",1,IF(J93="letters",1,IF(J93="free forms",1,IF(J93="odors",2,IF(J93="words",2,IF(J93="pictures",2,IF(J93="object pictures",2,IF(J93="faces",2,IF(J93="names",2,IF(J93="idioms","2",IF(J93="grades",2,IF(J93="syllable-digit pairs",3,IF(J93="trigram-word pairs",3,IF(J93="word-digit pairs",3,IF(J93="English-Swahili pairs",3,IF(J93="spatial position",3,IF(J93="word pairs",4,IF(J93="word triads",4,IF(J93="generated words",4,IF(J93="word definition pairs",4,IF(J93="math problems",4,IF(J93="famous faces",4,IF(J93="famous names",4,IF(J93="famous voices",4,IF(J93="television programs",4,IF(J93="race horses",4,IF(J93="new vocabulary",4,IF(J93="sentences",5,IF(J93="concepts",5,IF(J93="ad slides",5,IF(J93="scenes",5,IF(J93="famous scenes",5,IF(J93="poems",6,IF(J93="walk",6,IF(J93="faces and events",6,IF(J93="events and names",6,IF(J93="flashbulb",7,IF(J93="stories",7,IF(J93="course material",7,IF(J93="autobiographical",7,IF(J93="novels",7,IF(J93="public events",7,"99"))))))))))))))))))))))))))))))))))))))))))))))</f>
        <v>1</v>
      </c>
      <c r="M93" s="69">
        <v>0</v>
      </c>
      <c r="N93" s="86">
        <v>1</v>
      </c>
      <c r="O93" s="69">
        <v>0</v>
      </c>
      <c r="P93" s="69"/>
      <c r="Q93" s="69" t="s">
        <v>34</v>
      </c>
      <c r="R93" s="69">
        <f>IF(Q93="Free Recall",1,IF(Q93="Cued Recall",2,IF(Q93="Recognition",3,IF(Q93="Multiple Choice",4,IF(Q93="Savings",5,IF(Q93="Stem Completion",6,IF(Q93="Fragment Completion",7,IF(Q93="anagram solution",8,IF(Q93="Matching",9,IF(Q93="Problem Solving",10,"99"))))))))))</f>
        <v>3</v>
      </c>
      <c r="S93" s="69" t="s">
        <v>15</v>
      </c>
      <c r="T93" s="69" t="s">
        <v>261</v>
      </c>
      <c r="U93" s="69">
        <f>IF(T93="within",1,0)</f>
        <v>0</v>
      </c>
      <c r="V93" s="69">
        <v>9</v>
      </c>
      <c r="W93" s="69">
        <f>F93*V93</f>
        <v>3132</v>
      </c>
      <c r="X93" s="69">
        <v>6</v>
      </c>
      <c r="Y93" s="87">
        <f>AV92</f>
        <v>86400</v>
      </c>
      <c r="Z93" s="69" t="s">
        <v>18</v>
      </c>
      <c r="AA93" s="69">
        <f>28*24*60*60</f>
        <v>2419200</v>
      </c>
      <c r="AB93" s="69" t="str">
        <f>IF(AA93&lt;60,"1",IF(AA93&lt;=43200,"2",IF(AA93&lt;=777600,"3","4")))</f>
        <v>4</v>
      </c>
      <c r="AC93" s="72">
        <f>AVERAGE(AV92:DA92)</f>
        <v>1080000</v>
      </c>
      <c r="AD93" s="69" t="str">
        <f>IF(AC93&lt;60,"1",IF(AC93&lt;=43200,"2",IF(AC93&lt;=777600,"3","4")))</f>
        <v>4</v>
      </c>
      <c r="AE93" s="87">
        <f>AA93-Y93</f>
        <v>2332800</v>
      </c>
      <c r="AF93" s="88">
        <f>AV93</f>
        <v>0.92</v>
      </c>
      <c r="AG93" s="72">
        <f>((AW93-AV93)+(AX93-AW93)+(AY93-AX93)+(AZ93-AY93)+(BA93-AZ93))/5</f>
        <v>-2.6000000000000002E-2</v>
      </c>
      <c r="AH93" s="4"/>
      <c r="AI93" s="72">
        <f>RSQ(AV93:BA93,AV92:BA92)</f>
        <v>0.81384059784446783</v>
      </c>
      <c r="AJ93" s="110">
        <f>SLOPE(AV93:BA93,AV92:BA92)</f>
        <v>-5.3605129242071925E-8</v>
      </c>
      <c r="AK93" s="72">
        <f>INTERCEPT(AV93:BA93,AV92:BA92)</f>
        <v>0.90622687291477122</v>
      </c>
      <c r="AL93" s="72">
        <f>INDEX(LINEST(LN(AV93:BA93),LN(AV92:BA92),TRUE,TRUE),3,1)</f>
        <v>0.88375927949311928</v>
      </c>
      <c r="AM93" s="72">
        <f>INDEX(LINEST(LN(AV93:BA93),LN(AV92:BA92)),1)</f>
        <v>-4.801418031946577E-2</v>
      </c>
      <c r="AN93" s="72">
        <f>EXP(INDEX(LINEST(LN(AV93:BA93),LN(AV92:BA92)),1,2))</f>
        <v>1.6135407151810013</v>
      </c>
      <c r="AO93" s="89">
        <f>INDEX(LINEST((AV93:BA93),LN(AV92:BA92),TRUE,TRUE),3,1)</f>
        <v>0.89103597971615467</v>
      </c>
      <c r="AP93" s="89">
        <f>INDEX(LINEST((AV93:BA93),LN(AV92:BA92)),1)</f>
        <v>-4.1116685478949644E-2</v>
      </c>
      <c r="AQ93" s="90">
        <f>INDEX(LINEST(LN(AV93:BA93),SQRT(AV92:BA92),TRUE,TRUE),3,1)</f>
        <v>0.89564775714140954</v>
      </c>
      <c r="AR93" s="117">
        <f>INDEX(LINEST(LN(AV93:BA93),SQRT((AV92:BA92))),1)</f>
        <v>-1.2521419353924928E-4</v>
      </c>
      <c r="AS93" s="91">
        <f>INDEX(LINEST(1/(AV93:BA93),1/(SQRT(AV92:BA92)),TRUE,TRUE),3,1)</f>
        <v>0.74644853176931913</v>
      </c>
      <c r="AT93" s="91">
        <f>INDEX(LINEST(1/(AV93:BA93),1/SQRT(AV92:BA92)),1)</f>
        <v>-61.951388563468733</v>
      </c>
      <c r="AU93" s="3"/>
      <c r="AV93" s="73">
        <v>0.92</v>
      </c>
      <c r="AW93" s="73">
        <v>0.9</v>
      </c>
      <c r="AX93" s="73">
        <v>0.86</v>
      </c>
      <c r="AY93" s="73">
        <v>0.8</v>
      </c>
      <c r="AZ93" s="73">
        <v>0.82</v>
      </c>
      <c r="BA93" s="73">
        <v>0.79</v>
      </c>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53"/>
      <c r="CD93" s="53"/>
      <c r="CE93" s="53"/>
      <c r="CF93" s="53"/>
      <c r="CG93" s="53"/>
      <c r="CH93" s="53"/>
      <c r="CI93" s="53"/>
      <c r="CJ93" s="53"/>
      <c r="CK93" s="53"/>
      <c r="CL93" s="53"/>
      <c r="CM93" s="53"/>
      <c r="CN93" s="53"/>
      <c r="CO93" s="53"/>
      <c r="CP93" s="53"/>
      <c r="CQ93" s="53"/>
      <c r="CR93" s="1"/>
      <c r="CS93" s="1"/>
      <c r="CT93" s="1"/>
      <c r="CU93" s="1"/>
    </row>
    <row r="94" spans="1:99" s="13" customFormat="1" ht="12" customHeight="1" x14ac:dyDescent="0.2">
      <c r="A94" s="68">
        <v>43902</v>
      </c>
      <c r="B94" s="70"/>
      <c r="C94" s="70"/>
      <c r="D94" s="69"/>
      <c r="E94" s="87"/>
      <c r="F94" s="69"/>
      <c r="G94" s="69"/>
      <c r="H94" s="69"/>
      <c r="I94" s="69"/>
      <c r="J94" s="69"/>
      <c r="K94" s="107"/>
      <c r="L94" s="107"/>
      <c r="M94" s="69"/>
      <c r="N94" s="86"/>
      <c r="O94" s="69"/>
      <c r="P94" s="69"/>
      <c r="Q94" s="69"/>
      <c r="R94" s="69"/>
      <c r="S94" s="69"/>
      <c r="T94" s="69"/>
      <c r="U94" s="69"/>
      <c r="V94" s="69"/>
      <c r="W94" s="69"/>
      <c r="X94" s="69"/>
      <c r="Y94" s="87"/>
      <c r="Z94" s="69"/>
      <c r="AA94" s="69"/>
      <c r="AB94" s="69"/>
      <c r="AC94" s="72"/>
      <c r="AD94" s="69"/>
      <c r="AE94" s="69"/>
      <c r="AF94" s="88"/>
      <c r="AG94" s="72"/>
      <c r="AH94" s="4"/>
      <c r="AI94" s="72"/>
      <c r="AJ94" s="110"/>
      <c r="AK94" s="72"/>
      <c r="AL94" s="72"/>
      <c r="AM94" s="72"/>
      <c r="AN94" s="72"/>
      <c r="AO94" s="89"/>
      <c r="AP94" s="89"/>
      <c r="AQ94" s="90"/>
      <c r="AR94" s="117"/>
      <c r="AS94" s="91"/>
      <c r="AT94" s="91"/>
      <c r="AU94" s="3"/>
      <c r="AV94" s="71">
        <v>94608000</v>
      </c>
      <c r="AW94" s="71">
        <v>409968000</v>
      </c>
      <c r="AX94" s="71">
        <v>725328000</v>
      </c>
      <c r="AY94" s="71">
        <v>1040688000</v>
      </c>
      <c r="AZ94" s="71">
        <v>1356048000</v>
      </c>
      <c r="BA94" s="53"/>
      <c r="BB94" s="53"/>
      <c r="BC94" s="53"/>
      <c r="BD94" s="53"/>
      <c r="BE94" s="53"/>
      <c r="BF94" s="53"/>
      <c r="BG94" s="53"/>
      <c r="BH94" s="53"/>
      <c r="BI94" s="53"/>
      <c r="BJ94" s="53"/>
      <c r="BK94" s="53"/>
      <c r="BL94" s="53"/>
      <c r="BM94" s="53"/>
      <c r="BN94" s="53"/>
      <c r="BO94" s="53"/>
      <c r="BP94" s="53"/>
      <c r="BQ94" s="53"/>
      <c r="BR94" s="53"/>
      <c r="BS94" s="53"/>
      <c r="BT94" s="53"/>
      <c r="BU94" s="53"/>
      <c r="BV94" s="53"/>
      <c r="BW94" s="53"/>
      <c r="BX94" s="53"/>
      <c r="BY94" s="53"/>
      <c r="BZ94" s="53"/>
      <c r="CA94" s="53"/>
      <c r="CB94" s="53"/>
      <c r="CC94" s="53"/>
      <c r="CD94" s="53"/>
      <c r="CE94" s="53"/>
      <c r="CF94" s="53"/>
      <c r="CG94" s="53"/>
      <c r="CH94" s="53"/>
      <c r="CI94" s="53"/>
      <c r="CJ94" s="53"/>
      <c r="CK94" s="53"/>
      <c r="CL94" s="53"/>
      <c r="CM94" s="53"/>
      <c r="CN94" s="53"/>
      <c r="CO94" s="53"/>
      <c r="CP94" s="53"/>
      <c r="CQ94" s="53"/>
      <c r="CR94" s="1"/>
      <c r="CS94" s="1"/>
      <c r="CT94" s="1"/>
      <c r="CU94" s="1"/>
    </row>
    <row r="95" spans="1:99" s="13" customFormat="1" ht="12" customHeight="1" x14ac:dyDescent="0.2">
      <c r="A95" s="68">
        <v>43902</v>
      </c>
      <c r="B95" s="70" t="s">
        <v>453</v>
      </c>
      <c r="C95" s="70" t="s">
        <v>425</v>
      </c>
      <c r="D95" s="69">
        <v>1988</v>
      </c>
      <c r="E95" s="87">
        <v>1</v>
      </c>
      <c r="F95" s="69">
        <v>26</v>
      </c>
      <c r="G95" s="69">
        <v>26</v>
      </c>
      <c r="H95" s="69" t="s">
        <v>50</v>
      </c>
      <c r="I95" s="92" t="s">
        <v>330</v>
      </c>
      <c r="J95" s="69" t="s">
        <v>336</v>
      </c>
      <c r="K95" s="69">
        <f>IF(J95="syllables",1,IF(J95="trigrams",2,IF(J95="strings",3,IF(J95="visual array",4,IF(J95="characters",5,IF(J95="letters",6,IF(J95="free forms",7,IF(J95="odors",8,IF(J95="words",9,IF(J95="pictures",10,IF(J95="object pictures",11,IF(J95="faces",12,IF(J95="names",13,IF(J95="idioms",14,IF(J95="grades",15,IF(J95="syllable-digit pairs",16,IF(J95="trigram-word pairs",17,IF(J95="word-digit pairs",18,IF(J95="English-Swahili pairs",19,IF(J95="spatial position",20,IF(J95="word pairs",21,IF(J95="word triads",22,IF(J95="generated words",23,IF(J95="word definition pairs",24,IF(J95="math problems",25,IF(J95="famous faces",26,IF(J95="famous names",27,IF(J95="famous voices",28,IF(J95="television programs",29,IF(J95="race horses",30,IF(J95="new vocabulary",31,IF(J95="sentences",32,IF(J95="concepts",33,IF(J95="ad slides",34,IF(J95="scenes",35,IF(J95="famous scenes",36,IF(J95="poems",37,IF(J95="walk",38,IF(J95="faces and events",39,IF(J95="events and names",40,IF(J95="flashbulb",41,IF(J95="stories",42,IF(J95="course material",43,IF(J95="autobiographical",44,IF(J95="novels",45,IF(J95="public events",46,"99"))))))))))))))))))))))))))))))))))))))))))))))</f>
        <v>39</v>
      </c>
      <c r="L95" s="69">
        <f>IF(J95="syllables",1,IF(J95="trigrams",1,IF(J95="strings",1,IF(J95="visual array",1,IF(J95="characters",1,IF(J95="letters",1,IF(J95="free forms",1,IF(J95="odors",2,IF(J95="words",2,IF(J95="pictures",2,IF(J95="object pictures",2,IF(J95="faces",2,IF(J95="names",2,IF(J95="idioms","2",IF(J95="grades",2,IF(J95="syllable-digit pairs",3,IF(J95="trigram-word pairs",3,IF(J95="word-digit pairs",3,IF(J95="English-Swahili pairs",3,IF(J95="spatial position",3,IF(J95="word pairs",4,IF(J95="word triads",4,IF(J95="generated words",4,IF(J95="word definition pairs",4,IF(J95="math problems",4,IF(J95="famous faces",4,IF(J95="famous names",4,IF(J95="famous voices",4,IF(J95="television programs",4,IF(J95="race horses",4,IF(J95="new vocabulary",4,IF(J95="sentences",5,IF(J95="concepts",5,IF(J95="ad slides",5,IF(J95="scenes",5,IF(J95="famous scenes",5,IF(J95="poems",6,IF(J95="walk",6,IF(J95="faces and events",6,IF(J95="events and names",6,IF(J95="flashbulb",7,IF(J95="stories",7,IF(J95="course material",7,IF(J95="autobiographical",7,IF(J95="novels",7,IF(J95="public events",7,"99"))))))))))))))))))))))))))))))))))))))))))))))</f>
        <v>6</v>
      </c>
      <c r="M95" s="69">
        <v>1</v>
      </c>
      <c r="N95" s="86">
        <v>3</v>
      </c>
      <c r="O95" s="69">
        <v>0</v>
      </c>
      <c r="P95" s="69"/>
      <c r="Q95" s="69" t="s">
        <v>174</v>
      </c>
      <c r="R95" s="69">
        <f>IF(Q95="Free Recall",1,IF(Q95="Cued Recall",2,IF(Q95="Recognition",3,IF(Q95="Multiple Choice",4,IF(Q95="Savings",5,IF(Q95="Stem Completion",6,IF(Q95="Fragment Completion",7,IF(Q95="anagram solution",8,IF(Q95="Matching",9,IF(Q95="Problem Solving",10,"99"))))))))))</f>
        <v>1</v>
      </c>
      <c r="S95" s="69" t="s">
        <v>49</v>
      </c>
      <c r="T95" s="92" t="s">
        <v>581</v>
      </c>
      <c r="U95" s="69">
        <f>IF(T95="within",1,0)</f>
        <v>1</v>
      </c>
      <c r="V95" s="92">
        <v>75</v>
      </c>
      <c r="W95" s="69">
        <f>F95*V95</f>
        <v>1950</v>
      </c>
      <c r="X95" s="69">
        <v>5</v>
      </c>
      <c r="Y95" s="87">
        <f>AV94</f>
        <v>94608000</v>
      </c>
      <c r="Z95" s="69" t="s">
        <v>426</v>
      </c>
      <c r="AA95" s="69">
        <f>43*365*24*60*60</f>
        <v>1356048000</v>
      </c>
      <c r="AB95" s="69" t="str">
        <f>IF(AA95&lt;60,"1",IF(AA95&lt;=43200,"2",IF(AA95&lt;=777600,"3","4")))</f>
        <v>4</v>
      </c>
      <c r="AC95" s="72">
        <f>AVERAGE(AV94:DA94)</f>
        <v>725328000</v>
      </c>
      <c r="AD95" s="69" t="str">
        <f>IF(AC95&lt;60,"1",IF(AC95&lt;=43200,"2",IF(AC95&lt;=777600,"3","4")))</f>
        <v>4</v>
      </c>
      <c r="AE95" s="87">
        <f>AA95-Y95</f>
        <v>1261440000</v>
      </c>
      <c r="AF95" s="88">
        <f>AV95</f>
        <v>0.57999999999999996</v>
      </c>
      <c r="AG95" s="72">
        <f>((AW95-AV95)+(AX95-AW95)+(AY95-AX95)+(AZ95-AY95))/4</f>
        <v>-2.4999999999999994E-2</v>
      </c>
      <c r="AH95" s="4"/>
      <c r="AI95" s="72">
        <f>RSQ(AV95:AZ95,AV94:AZ94)</f>
        <v>0.52083333333333348</v>
      </c>
      <c r="AJ95" s="110">
        <f>SLOPE(AV95:AZ95,AV94:AZ94)</f>
        <v>-6.3419583967529159E-11</v>
      </c>
      <c r="AK95" s="72">
        <f>INTERCEPT(AV95:AZ95,AV94:AZ94)</f>
        <v>0.60400000000000009</v>
      </c>
      <c r="AL95" s="72">
        <f>INDEX(LINEST(LN(AV95:AZ95),LN(AV94:AZ94),TRUE,TRUE),3,1)</f>
        <v>0.27876984355354839</v>
      </c>
      <c r="AM95" s="72">
        <f>INDEX(LINEST(LN(AV95:AZ95),LN(AV94:AZ94)),1)</f>
        <v>-4.1465481467406064E-2</v>
      </c>
      <c r="AN95" s="72">
        <f>EXP(INDEX(LINEST(LN(AV95:AZ95),LN(AV94:AZ94)),1,2))</f>
        <v>1.2795260339791454</v>
      </c>
      <c r="AO95" s="89">
        <f>INDEX(LINEST((AV95:AZ95),LN(AV94:AZ94),TRUE,TRUE),3,1)</f>
        <v>0.28099410716676088</v>
      </c>
      <c r="AP95" s="89">
        <f>INDEX(LINEST((AV95:AZ95),LN(AV94:AZ94)),1)</f>
        <v>-2.1970062088028489E-2</v>
      </c>
      <c r="AQ95" s="90">
        <f>INDEX(LINEST(LN(AV95:AZ95),SQRT(AV94:AZ94),TRUE,TRUE),3,1)</f>
        <v>0.39918031603574167</v>
      </c>
      <c r="AR95" s="117">
        <f>INDEX(LINEST(LN(AV95:AZ95),SQRT((AV94:AZ94))),1)</f>
        <v>-4.9353285677035235E-6</v>
      </c>
      <c r="AS95" s="91">
        <f>INDEX(LINEST(1/(AV95:AZ95),1/(SQRT(AV94:AZ94)),TRUE,TRUE),3,1)</f>
        <v>0.18459492975610362</v>
      </c>
      <c r="AT95" s="91">
        <f>INDEX(LINEST(1/(AV95:AZ95),1/SQRT(AV94:AZ94)),1)</f>
        <v>-2189.1487818446717</v>
      </c>
      <c r="AU95" s="3"/>
      <c r="AV95" s="73">
        <v>0.57999999999999996</v>
      </c>
      <c r="AW95" s="73">
        <v>0.57999999999999996</v>
      </c>
      <c r="AX95" s="73">
        <v>0.56999999999999995</v>
      </c>
      <c r="AY95" s="73">
        <v>0.57999999999999996</v>
      </c>
      <c r="AZ95" s="73">
        <v>0.48</v>
      </c>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53"/>
      <c r="CD95" s="53"/>
      <c r="CE95" s="53"/>
      <c r="CF95" s="53"/>
      <c r="CG95" s="53"/>
      <c r="CH95" s="53"/>
      <c r="CI95" s="53"/>
      <c r="CJ95" s="53"/>
      <c r="CK95" s="53"/>
      <c r="CL95" s="53"/>
      <c r="CM95" s="53"/>
      <c r="CN95" s="53"/>
      <c r="CO95" s="53"/>
      <c r="CP95" s="53"/>
      <c r="CQ95" s="53"/>
      <c r="CR95" s="1"/>
      <c r="CS95" s="1"/>
      <c r="CT95" s="1"/>
      <c r="CU95" s="1"/>
    </row>
    <row r="96" spans="1:99" s="13" customFormat="1" ht="12" customHeight="1" x14ac:dyDescent="0.2">
      <c r="A96" s="68">
        <v>43902</v>
      </c>
      <c r="B96" s="70"/>
      <c r="C96" s="70"/>
      <c r="D96" s="69"/>
      <c r="E96" s="87"/>
      <c r="F96" s="69"/>
      <c r="G96" s="69"/>
      <c r="H96" s="69"/>
      <c r="I96" s="69"/>
      <c r="J96" s="69"/>
      <c r="K96" s="107"/>
      <c r="L96" s="107"/>
      <c r="M96" s="69"/>
      <c r="N96" s="86"/>
      <c r="O96" s="69"/>
      <c r="P96" s="69"/>
      <c r="Q96" s="69"/>
      <c r="R96" s="69"/>
      <c r="S96" s="69"/>
      <c r="T96" s="69"/>
      <c r="U96" s="69"/>
      <c r="V96" s="69"/>
      <c r="W96" s="69"/>
      <c r="X96" s="69"/>
      <c r="Y96" s="87"/>
      <c r="Z96" s="69"/>
      <c r="AA96" s="69"/>
      <c r="AB96" s="69"/>
      <c r="AC96" s="72"/>
      <c r="AD96" s="69"/>
      <c r="AE96" s="69"/>
      <c r="AF96" s="88"/>
      <c r="AG96" s="72"/>
      <c r="AH96" s="4"/>
      <c r="AI96" s="72"/>
      <c r="AJ96" s="110"/>
      <c r="AK96" s="72"/>
      <c r="AL96" s="72"/>
      <c r="AM96" s="72"/>
      <c r="AN96" s="72"/>
      <c r="AO96" s="89"/>
      <c r="AP96" s="89"/>
      <c r="AQ96" s="90"/>
      <c r="AR96" s="117"/>
      <c r="AS96" s="91"/>
      <c r="AT96" s="91"/>
      <c r="AU96" s="3"/>
      <c r="AV96" s="71">
        <v>94608000</v>
      </c>
      <c r="AW96" s="71">
        <v>409968000</v>
      </c>
      <c r="AX96" s="71">
        <v>725328000</v>
      </c>
      <c r="AY96" s="71">
        <v>1040688000</v>
      </c>
      <c r="AZ96" s="71">
        <v>1356048000</v>
      </c>
      <c r="BA96" s="53"/>
      <c r="BB96" s="53"/>
      <c r="BC96" s="53"/>
      <c r="BD96" s="53"/>
      <c r="BE96" s="53"/>
      <c r="BF96" s="53"/>
      <c r="BG96" s="53"/>
      <c r="BH96" s="53"/>
      <c r="BI96" s="53"/>
      <c r="BJ96" s="53"/>
      <c r="BK96" s="53"/>
      <c r="BL96" s="53"/>
      <c r="BM96" s="53"/>
      <c r="BN96" s="53"/>
      <c r="BO96" s="53"/>
      <c r="BP96" s="53"/>
      <c r="BQ96" s="53"/>
      <c r="BR96" s="53"/>
      <c r="BS96" s="53"/>
      <c r="BT96" s="53"/>
      <c r="BU96" s="53"/>
      <c r="BV96" s="53"/>
      <c r="BW96" s="53"/>
      <c r="BX96" s="53"/>
      <c r="BY96" s="53"/>
      <c r="BZ96" s="53"/>
      <c r="CA96" s="53"/>
      <c r="CB96" s="53"/>
      <c r="CC96" s="53"/>
      <c r="CD96" s="53"/>
      <c r="CE96" s="53"/>
      <c r="CF96" s="53"/>
      <c r="CG96" s="53"/>
      <c r="CH96" s="53"/>
      <c r="CI96" s="53"/>
      <c r="CJ96" s="53"/>
      <c r="CK96" s="53"/>
      <c r="CL96" s="53"/>
      <c r="CM96" s="53"/>
      <c r="CN96" s="53"/>
      <c r="CO96" s="53"/>
      <c r="CP96" s="53"/>
      <c r="CQ96" s="53"/>
      <c r="CR96" s="1"/>
      <c r="CS96" s="1"/>
      <c r="CT96" s="1"/>
      <c r="CU96" s="1"/>
    </row>
    <row r="97" spans="1:99" s="13" customFormat="1" ht="12" customHeight="1" x14ac:dyDescent="0.2">
      <c r="A97" s="68">
        <v>43902</v>
      </c>
      <c r="B97" s="70" t="s">
        <v>453</v>
      </c>
      <c r="C97" s="70" t="s">
        <v>425</v>
      </c>
      <c r="D97" s="69">
        <v>1988</v>
      </c>
      <c r="E97" s="87">
        <v>1</v>
      </c>
      <c r="F97" s="69">
        <v>26</v>
      </c>
      <c r="G97" s="69">
        <v>26</v>
      </c>
      <c r="H97" s="69" t="s">
        <v>50</v>
      </c>
      <c r="I97" s="92" t="s">
        <v>330</v>
      </c>
      <c r="J97" s="69" t="s">
        <v>336</v>
      </c>
      <c r="K97" s="69">
        <f>IF(J97="syllables",1,IF(J97="trigrams",2,IF(J97="strings",3,IF(J97="visual array",4,IF(J97="characters",5,IF(J97="letters",6,IF(J97="free forms",7,IF(J97="odors",8,IF(J97="words",9,IF(J97="pictures",10,IF(J97="object pictures",11,IF(J97="faces",12,IF(J97="names",13,IF(J97="idioms",14,IF(J97="grades",15,IF(J97="syllable-digit pairs",16,IF(J97="trigram-word pairs",17,IF(J97="word-digit pairs",18,IF(J97="English-Swahili pairs",19,IF(J97="spatial position",20,IF(J97="word pairs",21,IF(J97="word triads",22,IF(J97="generated words",23,IF(J97="word definition pairs",24,IF(J97="math problems",25,IF(J97="famous faces",26,IF(J97="famous names",27,IF(J97="famous voices",28,IF(J97="television programs",29,IF(J97="race horses",30,IF(J97="new vocabulary",31,IF(J97="sentences",32,IF(J97="concepts",33,IF(J97="ad slides",34,IF(J97="scenes",35,IF(J97="famous scenes",36,IF(J97="poems",37,IF(J97="walk",38,IF(J97="faces and events",39,IF(J97="events and names",40,IF(J97="flashbulb",41,IF(J97="stories",42,IF(J97="course material",43,IF(J97="autobiographical",44,IF(J97="novels",45,IF(J97="public events",46,"99"))))))))))))))))))))))))))))))))))))))))))))))</f>
        <v>39</v>
      </c>
      <c r="L97" s="69">
        <f>IF(J97="syllables",1,IF(J97="trigrams",1,IF(J97="strings",1,IF(J97="visual array",1,IF(J97="characters",1,IF(J97="letters",1,IF(J97="free forms",1,IF(J97="odors",2,IF(J97="words",2,IF(J97="pictures",2,IF(J97="object pictures",2,IF(J97="faces",2,IF(J97="names",2,IF(J97="idioms","2",IF(J97="grades",2,IF(J97="syllable-digit pairs",3,IF(J97="trigram-word pairs",3,IF(J97="word-digit pairs",3,IF(J97="English-Swahili pairs",3,IF(J97="spatial position",3,IF(J97="word pairs",4,IF(J97="word triads",4,IF(J97="generated words",4,IF(J97="word definition pairs",4,IF(J97="math problems",4,IF(J97="famous faces",4,IF(J97="famous names",4,IF(J97="famous voices",4,IF(J97="television programs",4,IF(J97="race horses",4,IF(J97="new vocabulary",4,IF(J97="sentences",5,IF(J97="concepts",5,IF(J97="ad slides",5,IF(J97="scenes",5,IF(J97="famous scenes",5,IF(J97="poems",6,IF(J97="walk",6,IF(J97="faces and events",6,IF(J97="events and names",6,IF(J97="flashbulb",7,IF(J97="stories",7,IF(J97="course material",7,IF(J97="autobiographical",7,IF(J97="novels",7,IF(J97="public events",7,"99"))))))))))))))))))))))))))))))))))))))))))))))</f>
        <v>6</v>
      </c>
      <c r="M97" s="69">
        <v>1</v>
      </c>
      <c r="N97" s="86">
        <v>3</v>
      </c>
      <c r="O97" s="69">
        <v>0</v>
      </c>
      <c r="P97" s="69"/>
      <c r="Q97" s="69" t="s">
        <v>34</v>
      </c>
      <c r="R97" s="69">
        <f>IF(Q97="Free Recall",1,IF(Q97="Cued Recall",2,IF(Q97="Recognition",3,IF(Q97="Multiple Choice",4,IF(Q97="Savings",5,IF(Q97="Stem Completion",6,IF(Q97="Fragment Completion",7,IF(Q97="anagram solution",8,IF(Q97="Matching",9,IF(Q97="Problem Solving",10,"99"))))))))))</f>
        <v>3</v>
      </c>
      <c r="S97" s="69" t="s">
        <v>15</v>
      </c>
      <c r="T97" s="92" t="s">
        <v>581</v>
      </c>
      <c r="U97" s="69">
        <f>IF(T97="within",1,0)</f>
        <v>1</v>
      </c>
      <c r="V97" s="92">
        <v>75</v>
      </c>
      <c r="W97" s="69">
        <f>F97*V97</f>
        <v>1950</v>
      </c>
      <c r="X97" s="69">
        <v>5</v>
      </c>
      <c r="Y97" s="87">
        <f>AV96</f>
        <v>94608000</v>
      </c>
      <c r="Z97" s="69" t="s">
        <v>426</v>
      </c>
      <c r="AA97" s="69">
        <f>43*365*24*60*60</f>
        <v>1356048000</v>
      </c>
      <c r="AB97" s="69" t="str">
        <f>IF(AA97&lt;60,"1",IF(AA97&lt;=43200,"2",IF(AA97&lt;=777600,"3","4")))</f>
        <v>4</v>
      </c>
      <c r="AC97" s="72">
        <f>AVERAGE(AV96:DA96)</f>
        <v>725328000</v>
      </c>
      <c r="AD97" s="69" t="str">
        <f>IF(AC97&lt;60,"1",IF(AC97&lt;=43200,"2",IF(AC97&lt;=777600,"3","4")))</f>
        <v>4</v>
      </c>
      <c r="AE97" s="87">
        <f>AA97-Y97</f>
        <v>1261440000</v>
      </c>
      <c r="AF97" s="88">
        <f>AV97</f>
        <v>0.9</v>
      </c>
      <c r="AG97" s="72">
        <f>((AW97-AV97)+(AX97-AW97)+(AY97-AX97)+(AZ97-AY97))/4</f>
        <v>-2.7499999999999997E-2</v>
      </c>
      <c r="AH97" s="4"/>
      <c r="AI97" s="72">
        <f>RSQ(AV97:AZ97,AV96:AZ96)</f>
        <v>0.85786802030456866</v>
      </c>
      <c r="AJ97" s="110">
        <f>SLOPE(AV97:AZ97,AV96:AZ96)</f>
        <v>-8.2445459157787926E-11</v>
      </c>
      <c r="AK97" s="72">
        <f>INTERCEPT(AV97:AZ97,AV96:AZ96)</f>
        <v>0.92180000000000006</v>
      </c>
      <c r="AL97" s="72">
        <f>INDEX(LINEST(LN(AV97:AZ97),LN(AV96:AZ96),TRUE,TRUE),3,1)</f>
        <v>0.56503942925891548</v>
      </c>
      <c r="AM97" s="72">
        <f>INDEX(LINEST(LN(AV97:AZ97),LN(AV96:AZ96)),1)</f>
        <v>-3.7468316457231234E-2</v>
      </c>
      <c r="AN97" s="72">
        <f>EXP(INDEX(LINEST(LN(AV97:AZ97),LN(AV96:AZ96)),1,2))</f>
        <v>1.8270356733881319</v>
      </c>
      <c r="AO97" s="89">
        <f>INDEX(LINEST((AV97:AZ97),LN(AV96:AZ96),TRUE,TRUE),3,1)</f>
        <v>0.57848153616717801</v>
      </c>
      <c r="AP97" s="89">
        <f>INDEX(LINEST((AV97:AZ97),LN(AV96:AZ96)),1)</f>
        <v>-3.1930809424982776E-2</v>
      </c>
      <c r="AQ97" s="90">
        <f>INDEX(LINEST(LN(AV97:AZ97),SQRT(AV96:AZ96),TRUE,TRUE),3,1)</f>
        <v>0.72133707000506753</v>
      </c>
      <c r="AR97" s="117">
        <f>INDEX(LINEST(LN(AV97:AZ97),SQRT((AV96:AZ96))),1)</f>
        <v>-4.2107710016297187E-6</v>
      </c>
      <c r="AS97" s="91">
        <f>INDEX(LINEST(1/(AV97:AZ97),1/(SQRT(AV96:AZ96)),TRUE,TRUE),3,1)</f>
        <v>0.41136651009331671</v>
      </c>
      <c r="AT97" s="91">
        <f>INDEX(LINEST(1/(AV97:AZ97),1/SQRT(AV96:AZ96)),1)</f>
        <v>-1297.7934209038874</v>
      </c>
      <c r="AU97" s="3"/>
      <c r="AV97" s="73">
        <v>0.9</v>
      </c>
      <c r="AW97" s="73">
        <v>0.89</v>
      </c>
      <c r="AX97" s="73">
        <v>0.88</v>
      </c>
      <c r="AY97" s="73">
        <v>0.85</v>
      </c>
      <c r="AZ97" s="73">
        <v>0.79</v>
      </c>
      <c r="BA97" s="53"/>
      <c r="BB97" s="53"/>
      <c r="BC97" s="53"/>
      <c r="BD97" s="53"/>
      <c r="BE97" s="53"/>
      <c r="BF97" s="53"/>
      <c r="BG97" s="53"/>
      <c r="BH97" s="53"/>
      <c r="BI97" s="53"/>
      <c r="BJ97" s="53"/>
      <c r="BK97" s="53"/>
      <c r="BL97" s="53"/>
      <c r="BM97" s="53"/>
      <c r="BN97" s="53"/>
      <c r="BO97" s="53"/>
      <c r="BP97" s="53"/>
      <c r="BQ97" s="53"/>
      <c r="BR97" s="53"/>
      <c r="BS97" s="53"/>
      <c r="BT97" s="53"/>
      <c r="BU97" s="53"/>
      <c r="BV97" s="53"/>
      <c r="BW97" s="53"/>
      <c r="BX97" s="53"/>
      <c r="BY97" s="53"/>
      <c r="BZ97" s="53"/>
      <c r="CA97" s="53"/>
      <c r="CB97" s="53"/>
      <c r="CC97" s="53"/>
      <c r="CD97" s="53"/>
      <c r="CE97" s="53"/>
      <c r="CF97" s="53"/>
      <c r="CG97" s="53"/>
      <c r="CH97" s="53"/>
      <c r="CI97" s="53"/>
      <c r="CJ97" s="53"/>
      <c r="CK97" s="53"/>
      <c r="CL97" s="53"/>
      <c r="CM97" s="53"/>
      <c r="CN97" s="53"/>
      <c r="CO97" s="53"/>
      <c r="CP97" s="53"/>
      <c r="CQ97" s="53"/>
      <c r="CR97" s="1"/>
      <c r="CS97" s="1"/>
      <c r="CT97" s="1"/>
      <c r="CU97" s="1"/>
    </row>
    <row r="98" spans="1:99" s="13" customFormat="1" ht="12" customHeight="1" x14ac:dyDescent="0.2">
      <c r="A98" s="68">
        <v>43895</v>
      </c>
      <c r="B98" s="70"/>
      <c r="C98" s="70"/>
      <c r="D98" s="69"/>
      <c r="E98" s="87"/>
      <c r="F98" s="69"/>
      <c r="G98" s="69"/>
      <c r="H98" s="69"/>
      <c r="I98" s="69"/>
      <c r="J98" s="69"/>
      <c r="K98" s="107"/>
      <c r="L98" s="107"/>
      <c r="M98" s="69"/>
      <c r="N98" s="92"/>
      <c r="O98" s="69"/>
      <c r="P98" s="69"/>
      <c r="Q98" s="69"/>
      <c r="R98" s="69"/>
      <c r="S98" s="69"/>
      <c r="T98" s="92"/>
      <c r="U98" s="69"/>
      <c r="V98" s="92"/>
      <c r="W98" s="69"/>
      <c r="X98" s="69"/>
      <c r="Y98" s="87"/>
      <c r="Z98" s="69"/>
      <c r="AA98" s="87"/>
      <c r="AB98" s="69"/>
      <c r="AC98" s="72"/>
      <c r="AD98" s="69"/>
      <c r="AE98" s="69"/>
      <c r="AF98" s="88"/>
      <c r="AG98" s="72"/>
      <c r="AH98" s="4"/>
      <c r="AI98" s="72"/>
      <c r="AJ98" s="110"/>
      <c r="AK98" s="72"/>
      <c r="AL98" s="72"/>
      <c r="AM98" s="72"/>
      <c r="AN98" s="72"/>
      <c r="AO98" s="89"/>
      <c r="AP98" s="89"/>
      <c r="AQ98" s="90"/>
      <c r="AR98" s="117"/>
      <c r="AS98" s="91"/>
      <c r="AT98" s="91"/>
      <c r="AU98" s="3"/>
      <c r="AV98" s="71">
        <v>157680000</v>
      </c>
      <c r="AW98" s="71">
        <v>473040000</v>
      </c>
      <c r="AX98" s="71">
        <v>788400000</v>
      </c>
      <c r="AY98" s="71">
        <v>1103760000</v>
      </c>
      <c r="AZ98" s="71">
        <v>1419120000</v>
      </c>
      <c r="BA98" s="53"/>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53"/>
      <c r="CD98" s="53"/>
      <c r="CE98" s="53"/>
      <c r="CF98" s="53"/>
      <c r="CG98" s="53"/>
      <c r="CH98" s="53"/>
      <c r="CI98" s="53"/>
      <c r="CJ98" s="53"/>
      <c r="CK98" s="53"/>
      <c r="CL98" s="53"/>
      <c r="CM98" s="53"/>
      <c r="CN98" s="53"/>
      <c r="CO98" s="53"/>
      <c r="CP98" s="53"/>
      <c r="CQ98" s="53"/>
      <c r="CR98" s="1"/>
      <c r="CS98" s="1"/>
      <c r="CT98" s="1"/>
      <c r="CU98" s="1"/>
    </row>
    <row r="99" spans="1:99" s="13" customFormat="1" ht="12" customHeight="1" x14ac:dyDescent="0.2">
      <c r="A99" s="68">
        <v>43895</v>
      </c>
      <c r="B99" s="70" t="s">
        <v>337</v>
      </c>
      <c r="C99" s="70" t="s">
        <v>338</v>
      </c>
      <c r="D99" s="69">
        <v>1988</v>
      </c>
      <c r="E99" s="87">
        <v>1</v>
      </c>
      <c r="F99" s="69">
        <v>12</v>
      </c>
      <c r="G99" s="69">
        <v>12</v>
      </c>
      <c r="H99" s="69" t="s">
        <v>50</v>
      </c>
      <c r="I99" s="92" t="s">
        <v>396</v>
      </c>
      <c r="J99" s="69" t="s">
        <v>336</v>
      </c>
      <c r="K99" s="69">
        <f>IF(J99="syllables",1,IF(J99="trigrams",2,IF(J99="strings",3,IF(J99="visual array",4,IF(J99="characters",5,IF(J99="letters",6,IF(J99="free forms",7,IF(J99="odors",8,IF(J99="words",9,IF(J99="pictures",10,IF(J99="object pictures",11,IF(J99="faces",12,IF(J99="names",13,IF(J99="idioms",14,IF(J99="grades",15,IF(J99="syllable-digit pairs",16,IF(J99="trigram-word pairs",17,IF(J99="word-digit pairs",18,IF(J99="English-Swahili pairs",19,IF(J99="spatial position",20,IF(J99="word pairs",21,IF(J99="word triads",22,IF(J99="generated words",23,IF(J99="word definition pairs",24,IF(J99="math problems",25,IF(J99="famous faces",26,IF(J99="famous names",27,IF(J99="famous voices",28,IF(J99="television programs",29,IF(J99="race horses",30,IF(J99="new vocabulary",31,IF(J99="sentences",32,IF(J99="concepts",33,IF(J99="ad slides",34,IF(J99="scenes",35,IF(J99="famous scenes",36,IF(J99="poems",37,IF(J99="walk",38,IF(J99="faces and events",39,IF(J99="events and names",40,IF(J99="flashbulb",41,IF(J99="stories",42,IF(J99="course material",43,IF(J99="autobiographical",44,IF(J99="novels",45,IF(J99="public events",46,"99"))))))))))))))))))))))))))))))))))))))))))))))</f>
        <v>39</v>
      </c>
      <c r="L99" s="69">
        <f>IF(J99="syllables",1,IF(J99="trigrams",1,IF(J99="strings",1,IF(J99="visual array",1,IF(J99="characters",1,IF(J99="letters",1,IF(J99="free forms",1,IF(J99="odors",2,IF(J99="words",2,IF(J99="pictures",2,IF(J99="object pictures",2,IF(J99="faces",2,IF(J99="names",2,IF(J99="idioms","2",IF(J99="grades",2,IF(J99="syllable-digit pairs",3,IF(J99="trigram-word pairs",3,IF(J99="word-digit pairs",3,IF(J99="English-Swahili pairs",3,IF(J99="spatial position",3,IF(J99="word pairs",4,IF(J99="word triads",4,IF(J99="generated words",4,IF(J99="word definition pairs",4,IF(J99="math problems",4,IF(J99="famous faces",4,IF(J99="famous names",4,IF(J99="famous voices",4,IF(J99="television programs",4,IF(J99="race horses",4,IF(J99="new vocabulary",4,IF(J99="sentences",5,IF(J99="concepts",5,IF(J99="ad slides",5,IF(J99="scenes",5,IF(J99="famous scenes",5,IF(J99="poems",6,IF(J99="walk",6,IF(J99="faces and events",6,IF(J99="events and names",6,IF(J99="flashbulb",7,IF(J99="stories",7,IF(J99="course material",7,IF(J99="autobiographical",7,IF(J99="novels",7,IF(J99="public events",7,"99"))))))))))))))))))))))))))))))))))))))))))))))</f>
        <v>6</v>
      </c>
      <c r="M99" s="69">
        <v>1</v>
      </c>
      <c r="N99" s="92">
        <v>3</v>
      </c>
      <c r="O99" s="69">
        <v>0</v>
      </c>
      <c r="P99" s="69"/>
      <c r="Q99" s="69" t="s">
        <v>174</v>
      </c>
      <c r="R99" s="69">
        <f>IF(Q99="Free Recall",1,IF(Q99="Cued Recall",2,IF(Q99="Recognition",3,IF(Q99="Multiple Choice",4,IF(Q99="Savings",5,IF(Q99="Stem Completion",6,IF(Q99="Fragment Completion",7,IF(Q99="anagram solution",8,IF(Q99="Matching",9,IF(Q99="Problem Solving",10,"99"))))))))))</f>
        <v>1</v>
      </c>
      <c r="S99" s="69" t="s">
        <v>49</v>
      </c>
      <c r="T99" s="92" t="s">
        <v>581</v>
      </c>
      <c r="U99" s="69">
        <f>IF(T99="within",1,0)</f>
        <v>1</v>
      </c>
      <c r="V99" s="92">
        <v>75</v>
      </c>
      <c r="W99" s="69">
        <f>F99*V99</f>
        <v>900</v>
      </c>
      <c r="X99" s="69">
        <v>5</v>
      </c>
      <c r="Y99" s="87">
        <f>AV98</f>
        <v>157680000</v>
      </c>
      <c r="Z99" s="69" t="s">
        <v>373</v>
      </c>
      <c r="AA99" s="69">
        <f>45*365*24*60*60</f>
        <v>1419120000</v>
      </c>
      <c r="AB99" s="69" t="str">
        <f>IF(AA99&lt;60,"1",IF(AA99&lt;=43200,"2",IF(AA99&lt;=777600,"3","4")))</f>
        <v>4</v>
      </c>
      <c r="AC99" s="72">
        <f>AVERAGE(AV98:DA98)</f>
        <v>788400000</v>
      </c>
      <c r="AD99" s="69" t="str">
        <f>IF(AC99&lt;60,"1",IF(AC99&lt;=43200,"2",IF(AC99&lt;=777600,"3","4")))</f>
        <v>4</v>
      </c>
      <c r="AE99" s="87">
        <f>AA99-Y99</f>
        <v>1261440000</v>
      </c>
      <c r="AF99" s="88">
        <f>AV99</f>
        <v>0.59375</v>
      </c>
      <c r="AG99" s="93">
        <f>((AW99-AV99)+(AX99-AW99)+(AY99-AX99)+(AZ99-AY99))/4</f>
        <v>-3.43750000000001E-3</v>
      </c>
      <c r="AH99" s="4"/>
      <c r="AI99" s="72">
        <f>RSQ(AV99:AZ99,AV98:AZ98)</f>
        <v>0.17179401042027329</v>
      </c>
      <c r="AJ99" s="110">
        <f>SLOPE(AV99:AZ99,AV98:AZ98)</f>
        <v>-3.6591431012844188E-11</v>
      </c>
      <c r="AK99" s="72">
        <f>INTERCEPT(AV99:AZ99,AV98:AZ98)</f>
        <v>0.63201973684210533</v>
      </c>
      <c r="AL99" s="72">
        <f>INDEX(LINEST(LN(AV99:AZ99),LN(AV98:AZ98),TRUE,TRUE),3,1)</f>
        <v>7.6750710241200476E-2</v>
      </c>
      <c r="AM99" s="72">
        <f>INDEX(LINEST(LN(AV99:AZ99),LN(AV98:AZ98)),1)</f>
        <v>-2.2348868169555933E-2</v>
      </c>
      <c r="AN99" s="72">
        <f>EXP(INDEX(LINEST(LN(AV99:AZ99),LN(AV98:AZ98)),1,2))</f>
        <v>0.94639709083873058</v>
      </c>
      <c r="AO99" s="89">
        <f>INDEX(LINEST((AV99:AZ99),LN(AV98:AZ98),TRUE,TRUE),3,1)</f>
        <v>7.3220537919481174E-2</v>
      </c>
      <c r="AP99" s="89">
        <f>INDEX(LINEST((AV99:AZ99),LN(AV98:AZ98)),1)</f>
        <v>-1.3699919104943852E-2</v>
      </c>
      <c r="AQ99" s="90">
        <f>INDEX(LINEST(LN(AV99:AZ99),SQRT(AV98:AZ98),TRUE,TRUE),3,1)</f>
        <v>0.13048439630196418</v>
      </c>
      <c r="AR99" s="117">
        <f>INDEX(LINEST(LN(AV99:AZ99),SQRT((AV98:AZ98))),1)</f>
        <v>-2.5680993621745155E-6</v>
      </c>
      <c r="AS99" s="91">
        <f>INDEX(LINEST(1/(AV99:AZ99),1/(SQRT(AV98:AZ98)),TRUE,TRUE),3,1)</f>
        <v>3.5626311567929607E-2</v>
      </c>
      <c r="AT99" s="91">
        <f>INDEX(LINEST(1/(AV99:AZ99),1/SQRT(AV98:AZ98)),1)</f>
        <v>-985.78832194629126</v>
      </c>
      <c r="AU99" s="3"/>
      <c r="AV99" s="73">
        <v>0.59375</v>
      </c>
      <c r="AW99" s="73">
        <v>0.68</v>
      </c>
      <c r="AX99" s="73">
        <v>0.56999999999999995</v>
      </c>
      <c r="AY99" s="73">
        <v>0.59210526315789469</v>
      </c>
      <c r="AZ99" s="73">
        <v>0.57999999999999996</v>
      </c>
      <c r="BA99" s="53"/>
      <c r="BB99" s="53"/>
      <c r="BC99" s="53"/>
      <c r="BD99" s="53"/>
      <c r="BE99" s="53"/>
      <c r="BF99" s="53"/>
      <c r="BG99" s="53"/>
      <c r="BH99" s="53"/>
      <c r="BI99" s="53"/>
      <c r="BJ99" s="53"/>
      <c r="BK99" s="53"/>
      <c r="BL99" s="53"/>
      <c r="BM99" s="53"/>
      <c r="BN99" s="53"/>
      <c r="BO99" s="53"/>
      <c r="BP99" s="53"/>
      <c r="BQ99" s="53"/>
      <c r="BR99" s="53"/>
      <c r="BS99" s="53"/>
      <c r="BT99" s="53"/>
      <c r="BU99" s="53"/>
      <c r="BV99" s="53"/>
      <c r="BW99" s="53"/>
      <c r="BX99" s="53"/>
      <c r="BY99" s="53"/>
      <c r="BZ99" s="53"/>
      <c r="CA99" s="53"/>
      <c r="CB99" s="53"/>
      <c r="CC99" s="53"/>
      <c r="CD99" s="53"/>
      <c r="CE99" s="53"/>
      <c r="CF99" s="53"/>
      <c r="CG99" s="53"/>
      <c r="CH99" s="53"/>
      <c r="CI99" s="53"/>
      <c r="CJ99" s="53"/>
      <c r="CK99" s="53"/>
      <c r="CL99" s="53"/>
      <c r="CM99" s="53"/>
      <c r="CN99" s="53"/>
      <c r="CO99" s="53"/>
      <c r="CP99" s="53"/>
      <c r="CQ99" s="53"/>
      <c r="CR99" s="1"/>
      <c r="CS99" s="1"/>
      <c r="CT99" s="1"/>
      <c r="CU99" s="1"/>
    </row>
    <row r="100" spans="1:99" s="13" customFormat="1" ht="12" customHeight="1" x14ac:dyDescent="0.2">
      <c r="A100" s="68">
        <v>43895</v>
      </c>
      <c r="B100" s="70"/>
      <c r="C100" s="70"/>
      <c r="D100" s="69"/>
      <c r="E100" s="87"/>
      <c r="F100" s="69"/>
      <c r="G100" s="69"/>
      <c r="H100" s="69"/>
      <c r="I100" s="69"/>
      <c r="J100" s="69"/>
      <c r="K100" s="107"/>
      <c r="L100" s="107"/>
      <c r="M100" s="69"/>
      <c r="N100" s="92"/>
      <c r="O100" s="69"/>
      <c r="P100" s="69"/>
      <c r="Q100" s="69"/>
      <c r="R100" s="69"/>
      <c r="S100" s="69"/>
      <c r="T100" s="92"/>
      <c r="U100" s="69"/>
      <c r="V100" s="92"/>
      <c r="W100" s="69"/>
      <c r="X100" s="69"/>
      <c r="Y100" s="87"/>
      <c r="Z100" s="69"/>
      <c r="AA100" s="87"/>
      <c r="AB100" s="69"/>
      <c r="AC100" s="72"/>
      <c r="AD100" s="69"/>
      <c r="AE100" s="69"/>
      <c r="AF100" s="88"/>
      <c r="AG100" s="72"/>
      <c r="AH100" s="4"/>
      <c r="AI100" s="72"/>
      <c r="AJ100" s="110"/>
      <c r="AK100" s="72"/>
      <c r="AL100" s="72"/>
      <c r="AM100" s="72"/>
      <c r="AN100" s="72"/>
      <c r="AO100" s="89"/>
      <c r="AP100" s="89"/>
      <c r="AQ100" s="90"/>
      <c r="AR100" s="117"/>
      <c r="AS100" s="91"/>
      <c r="AT100" s="91"/>
      <c r="AU100" s="3"/>
      <c r="AV100" s="71">
        <v>157680000</v>
      </c>
      <c r="AW100" s="71">
        <v>473040000</v>
      </c>
      <c r="AX100" s="71">
        <v>788400000</v>
      </c>
      <c r="AY100" s="71">
        <v>1103760000</v>
      </c>
      <c r="AZ100" s="71">
        <v>1419120000</v>
      </c>
      <c r="BA100" s="53"/>
      <c r="BB100" s="53"/>
      <c r="BC100" s="53"/>
      <c r="BD100" s="53"/>
      <c r="BE100" s="53"/>
      <c r="BF100" s="53"/>
      <c r="BG100" s="53"/>
      <c r="BH100" s="53"/>
      <c r="BI100" s="53"/>
      <c r="BJ100" s="53"/>
      <c r="BK100" s="53"/>
      <c r="BL100" s="53"/>
      <c r="BM100" s="53"/>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1"/>
      <c r="CS100" s="1"/>
      <c r="CT100" s="1"/>
      <c r="CU100" s="1"/>
    </row>
    <row r="101" spans="1:99" s="13" customFormat="1" ht="12" customHeight="1" x14ac:dyDescent="0.2">
      <c r="A101" s="68">
        <v>43895</v>
      </c>
      <c r="B101" s="70" t="s">
        <v>337</v>
      </c>
      <c r="C101" s="70" t="s">
        <v>338</v>
      </c>
      <c r="D101" s="69">
        <v>1988</v>
      </c>
      <c r="E101" s="87">
        <v>1</v>
      </c>
      <c r="F101" s="69">
        <v>12</v>
      </c>
      <c r="G101" s="69">
        <v>12</v>
      </c>
      <c r="H101" s="69" t="s">
        <v>50</v>
      </c>
      <c r="I101" s="92" t="s">
        <v>631</v>
      </c>
      <c r="J101" s="69" t="s">
        <v>336</v>
      </c>
      <c r="K101" s="69">
        <f>IF(J101="syllables",1,IF(J101="trigrams",2,IF(J101="strings",3,IF(J101="visual array",4,IF(J101="characters",5,IF(J101="letters",6,IF(J101="free forms",7,IF(J101="odors",8,IF(J101="words",9,IF(J101="pictures",10,IF(J101="object pictures",11,IF(J101="faces",12,IF(J101="names",13,IF(J101="idioms",14,IF(J101="grades",15,IF(J101="syllable-digit pairs",16,IF(J101="trigram-word pairs",17,IF(J101="word-digit pairs",18,IF(J101="English-Swahili pairs",19,IF(J101="spatial position",20,IF(J101="word pairs",21,IF(J101="word triads",22,IF(J101="generated words",23,IF(J101="word definition pairs",24,IF(J101="math problems",25,IF(J101="famous faces",26,IF(J101="famous names",27,IF(J101="famous voices",28,IF(J101="television programs",29,IF(J101="race horses",30,IF(J101="new vocabulary",31,IF(J101="sentences",32,IF(J101="concepts",33,IF(J101="ad slides",34,IF(J101="scenes",35,IF(J101="famous scenes",36,IF(J101="poems",37,IF(J101="walk",38,IF(J101="faces and events",39,IF(J101="events and names",40,IF(J101="flashbulb",41,IF(J101="stories",42,IF(J101="course material",43,IF(J101="autobiographical",44,IF(J101="novels",45,IF(J101="public events",46,"99"))))))))))))))))))))))))))))))))))))))))))))))</f>
        <v>39</v>
      </c>
      <c r="L101" s="69">
        <f>IF(J101="syllables",1,IF(J101="trigrams",1,IF(J101="strings",1,IF(J101="visual array",1,IF(J101="characters",1,IF(J101="letters",1,IF(J101="free forms",1,IF(J101="odors",2,IF(J101="words",2,IF(J101="pictures",2,IF(J101="object pictures",2,IF(J101="faces",2,IF(J101="names",2,IF(J101="idioms","2",IF(J101="grades",2,IF(J101="syllable-digit pairs",3,IF(J101="trigram-word pairs",3,IF(J101="word-digit pairs",3,IF(J101="English-Swahili pairs",3,IF(J101="spatial position",3,IF(J101="word pairs",4,IF(J101="word triads",4,IF(J101="generated words",4,IF(J101="word definition pairs",4,IF(J101="math problems",4,IF(J101="famous faces",4,IF(J101="famous names",4,IF(J101="famous voices",4,IF(J101="television programs",4,IF(J101="race horses",4,IF(J101="new vocabulary",4,IF(J101="sentences",5,IF(J101="concepts",5,IF(J101="ad slides",5,IF(J101="scenes",5,IF(J101="famous scenes",5,IF(J101="poems",6,IF(J101="walk",6,IF(J101="faces and events",6,IF(J101="events and names",6,IF(J101="flashbulb",7,IF(J101="stories",7,IF(J101="course material",7,IF(J101="autobiographical",7,IF(J101="novels",7,IF(J101="public events",7,"99"))))))))))))))))))))))))))))))))))))))))))))))</f>
        <v>6</v>
      </c>
      <c r="M101" s="69">
        <v>1</v>
      </c>
      <c r="N101" s="92">
        <v>3</v>
      </c>
      <c r="O101" s="69">
        <v>0</v>
      </c>
      <c r="P101" s="69"/>
      <c r="Q101" s="69" t="s">
        <v>174</v>
      </c>
      <c r="R101" s="69">
        <f>IF(Q101="Free Recall",1,IF(Q101="Cued Recall",2,IF(Q101="Recognition",3,IF(Q101="Multiple Choice",4,IF(Q101="Savings",5,IF(Q101="Stem Completion",6,IF(Q101="Fragment Completion",7,IF(Q101="anagram solution",8,IF(Q101="Matching",9,IF(Q101="Problem Solving",10,"99"))))))))))</f>
        <v>1</v>
      </c>
      <c r="S101" s="69" t="s">
        <v>49</v>
      </c>
      <c r="T101" s="92" t="s">
        <v>581</v>
      </c>
      <c r="U101" s="69">
        <f>IF(T101="within",1,0)</f>
        <v>1</v>
      </c>
      <c r="V101" s="92">
        <v>75</v>
      </c>
      <c r="W101" s="69">
        <f>F101*V101</f>
        <v>900</v>
      </c>
      <c r="X101" s="69">
        <v>5</v>
      </c>
      <c r="Y101" s="87">
        <f>AV100</f>
        <v>157680000</v>
      </c>
      <c r="Z101" s="69" t="s">
        <v>373</v>
      </c>
      <c r="AA101" s="69">
        <f>45*365*24*60*60</f>
        <v>1419120000</v>
      </c>
      <c r="AB101" s="69" t="str">
        <f>IF(AA101&lt;60,"1",IF(AA101&lt;=43200,"2",IF(AA101&lt;=777600,"3","4")))</f>
        <v>4</v>
      </c>
      <c r="AC101" s="72">
        <f>AVERAGE(AV100:DA100)</f>
        <v>788400000</v>
      </c>
      <c r="AD101" s="69" t="str">
        <f>IF(AC101&lt;60,"1",IF(AC101&lt;=43200,"2",IF(AC101&lt;=777600,"3","4")))</f>
        <v>4</v>
      </c>
      <c r="AE101" s="87">
        <f>AA101-Y101</f>
        <v>1261440000</v>
      </c>
      <c r="AF101" s="88">
        <f>AV101</f>
        <v>0.66</v>
      </c>
      <c r="AG101" s="72">
        <f>((AW101-AV101)+(AX101-AW101)+(AY101-AX101)+(AZ101-AY101))/4</f>
        <v>-1.5000000000000013E-2</v>
      </c>
      <c r="AH101" s="4"/>
      <c r="AI101" s="72">
        <f>RSQ(AV101:AZ101,AV100:AZ100)</f>
        <v>0.52688172043010761</v>
      </c>
      <c r="AJ101" s="110">
        <f>SLOPE(AV101:AZ101,AV100:AZ100)</f>
        <v>-4.4393708777270463E-11</v>
      </c>
      <c r="AK101" s="72">
        <f>INTERCEPT(AV101:AZ101,AV100:AZ100)</f>
        <v>0.66100000000000003</v>
      </c>
      <c r="AL101" s="72">
        <f>INDEX(LINEST(LN(AV101:AZ101),LN(AV100:AZ100),TRUE,TRUE),3,1)</f>
        <v>0.56940274386818346</v>
      </c>
      <c r="AM101" s="72">
        <f>INDEX(LINEST(LN(AV101:AZ101),LN(AV100:AZ100)),1)</f>
        <v>-4.2420096194482636E-2</v>
      </c>
      <c r="AN101" s="72">
        <f>EXP(INDEX(LINEST(LN(AV101:AZ101),LN(AV100:AZ100)),1,2))</f>
        <v>1.4762309756978926</v>
      </c>
      <c r="AO101" s="89">
        <f>INDEX(LINEST((AV101:AZ101),LN(AV100:AZ100),TRUE,TRUE),3,1)</f>
        <v>0.58207452531510762</v>
      </c>
      <c r="AP101" s="89">
        <f>INDEX(LINEST((AV101:AZ101),LN(AV100:AZ100)),1)</f>
        <v>-2.6759643259723576E-2</v>
      </c>
      <c r="AQ101" s="90">
        <f>INDEX(LINEST(LN(AV101:AZ101),SQRT(AV100:AZ100),TRUE,TRUE),3,1)</f>
        <v>0.55731398264522247</v>
      </c>
      <c r="AR101" s="117">
        <f>INDEX(LINEST(LN(AV101:AZ101),SQRT((AV100:AZ100))),1)</f>
        <v>-3.6985376272877465E-6</v>
      </c>
      <c r="AS101" s="91">
        <f>INDEX(LINEST(1/(AV101:AZ101),1/(SQRT(AV100:AZ100)),TRUE,TRUE),3,1)</f>
        <v>0.53606408182937182</v>
      </c>
      <c r="AT101" s="91">
        <f>INDEX(LINEST(1/(AV101:AZ101),1/SQRT(AV100:AZ100)),1)</f>
        <v>-2676.2511721455257</v>
      </c>
      <c r="AU101" s="3"/>
      <c r="AV101" s="73">
        <v>0.66</v>
      </c>
      <c r="AW101" s="73">
        <v>0.65</v>
      </c>
      <c r="AX101" s="73">
        <v>0.59</v>
      </c>
      <c r="AY101" s="73">
        <v>0.63</v>
      </c>
      <c r="AZ101" s="73">
        <v>0.6</v>
      </c>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1"/>
      <c r="CS101" s="1"/>
      <c r="CT101" s="1"/>
      <c r="CU101" s="1"/>
    </row>
    <row r="102" spans="1:99" s="13" customFormat="1" ht="12" customHeight="1" x14ac:dyDescent="0.2">
      <c r="A102" s="68">
        <v>43895</v>
      </c>
      <c r="B102" s="70"/>
      <c r="C102" s="70"/>
      <c r="D102" s="69"/>
      <c r="E102" s="87"/>
      <c r="F102" s="69"/>
      <c r="G102" s="69"/>
      <c r="H102" s="69"/>
      <c r="I102" s="69"/>
      <c r="J102" s="69"/>
      <c r="K102" s="107"/>
      <c r="L102" s="107"/>
      <c r="M102" s="69"/>
      <c r="N102" s="92"/>
      <c r="O102" s="69"/>
      <c r="P102" s="69"/>
      <c r="Q102" s="69"/>
      <c r="R102" s="69"/>
      <c r="S102" s="69"/>
      <c r="T102" s="92"/>
      <c r="U102" s="69"/>
      <c r="V102" s="92"/>
      <c r="W102" s="69"/>
      <c r="X102" s="69"/>
      <c r="Y102" s="87"/>
      <c r="Z102" s="69"/>
      <c r="AA102" s="87"/>
      <c r="AB102" s="69"/>
      <c r="AC102" s="72"/>
      <c r="AD102" s="69"/>
      <c r="AE102" s="69"/>
      <c r="AF102" s="88"/>
      <c r="AG102" s="72"/>
      <c r="AH102" s="4"/>
      <c r="AI102" s="72"/>
      <c r="AJ102" s="110"/>
      <c r="AK102" s="72"/>
      <c r="AL102" s="72"/>
      <c r="AM102" s="72"/>
      <c r="AN102" s="72"/>
      <c r="AO102" s="89"/>
      <c r="AP102" s="89"/>
      <c r="AQ102" s="90"/>
      <c r="AR102" s="117"/>
      <c r="AS102" s="91"/>
      <c r="AT102" s="91"/>
      <c r="AU102" s="3"/>
      <c r="AV102" s="71">
        <v>157680000</v>
      </c>
      <c r="AW102" s="71">
        <v>473040000</v>
      </c>
      <c r="AX102" s="71">
        <v>788400000</v>
      </c>
      <c r="AY102" s="71">
        <v>1103760000</v>
      </c>
      <c r="AZ102" s="71">
        <v>1419120000</v>
      </c>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1"/>
      <c r="CS102" s="1"/>
      <c r="CT102" s="1"/>
      <c r="CU102" s="1"/>
    </row>
    <row r="103" spans="1:99" s="13" customFormat="1" ht="12" customHeight="1" x14ac:dyDescent="0.2">
      <c r="A103" s="68">
        <v>43895</v>
      </c>
      <c r="B103" s="70" t="s">
        <v>337</v>
      </c>
      <c r="C103" s="70" t="s">
        <v>338</v>
      </c>
      <c r="D103" s="69">
        <v>1988</v>
      </c>
      <c r="E103" s="87">
        <v>1</v>
      </c>
      <c r="F103" s="69">
        <v>12</v>
      </c>
      <c r="G103" s="69">
        <v>12</v>
      </c>
      <c r="H103" s="69" t="s">
        <v>41</v>
      </c>
      <c r="I103" s="92" t="s">
        <v>631</v>
      </c>
      <c r="J103" s="69" t="s">
        <v>336</v>
      </c>
      <c r="K103" s="69">
        <f>IF(J103="syllables",1,IF(J103="trigrams",2,IF(J103="strings",3,IF(J103="visual array",4,IF(J103="characters",5,IF(J103="letters",6,IF(J103="free forms",7,IF(J103="odors",8,IF(J103="words",9,IF(J103="pictures",10,IF(J103="object pictures",11,IF(J103="faces",12,IF(J103="names",13,IF(J103="idioms",14,IF(J103="grades",15,IF(J103="syllable-digit pairs",16,IF(J103="trigram-word pairs",17,IF(J103="word-digit pairs",18,IF(J103="English-Swahili pairs",19,IF(J103="spatial position",20,IF(J103="word pairs",21,IF(J103="word triads",22,IF(J103="generated words",23,IF(J103="word definition pairs",24,IF(J103="math problems",25,IF(J103="famous faces",26,IF(J103="famous names",27,IF(J103="famous voices",28,IF(J103="television programs",29,IF(J103="race horses",30,IF(J103="new vocabulary",31,IF(J103="sentences",32,IF(J103="concepts",33,IF(J103="ad slides",34,IF(J103="scenes",35,IF(J103="famous scenes",36,IF(J103="poems",37,IF(J103="walk",38,IF(J103="faces and events",39,IF(J103="events and names",40,IF(J103="flashbulb",41,IF(J103="stories",42,IF(J103="course material",43,IF(J103="autobiographical",44,IF(J103="novels",45,IF(J103="public events",46,"99"))))))))))))))))))))))))))))))))))))))))))))))</f>
        <v>39</v>
      </c>
      <c r="L103" s="69">
        <f>IF(J103="syllables",1,IF(J103="trigrams",1,IF(J103="strings",1,IF(J103="visual array",1,IF(J103="characters",1,IF(J103="letters",1,IF(J103="free forms",1,IF(J103="odors",2,IF(J103="words",2,IF(J103="pictures",2,IF(J103="object pictures",2,IF(J103="faces",2,IF(J103="names",2,IF(J103="idioms","2",IF(J103="grades",2,IF(J103="syllable-digit pairs",3,IF(J103="trigram-word pairs",3,IF(J103="word-digit pairs",3,IF(J103="English-Swahili pairs",3,IF(J103="spatial position",3,IF(J103="word pairs",4,IF(J103="word triads",4,IF(J103="generated words",4,IF(J103="word definition pairs",4,IF(J103="math problems",4,IF(J103="famous faces",4,IF(J103="famous names",4,IF(J103="famous voices",4,IF(J103="television programs",4,IF(J103="race horses",4,IF(J103="new vocabulary",4,IF(J103="sentences",5,IF(J103="concepts",5,IF(J103="ad slides",5,IF(J103="scenes",5,IF(J103="famous scenes",5,IF(J103="poems",6,IF(J103="walk",6,IF(J103="faces and events",6,IF(J103="events and names",6,IF(J103="flashbulb",7,IF(J103="stories",7,IF(J103="course material",7,IF(J103="autobiographical",7,IF(J103="novels",7,IF(J103="public events",7,"99"))))))))))))))))))))))))))))))))))))))))))))))</f>
        <v>6</v>
      </c>
      <c r="M103" s="69">
        <v>1</v>
      </c>
      <c r="N103" s="92">
        <v>3</v>
      </c>
      <c r="O103" s="69">
        <v>0</v>
      </c>
      <c r="P103" s="69"/>
      <c r="Q103" s="69" t="s">
        <v>65</v>
      </c>
      <c r="R103" s="69">
        <f>IF(Q103="Free Recall",1,IF(Q103="Cued Recall",2,IF(Q103="Recognition",3,IF(Q103="Multiple Choice",4,IF(Q103="Savings",5,IF(Q103="Stem Completion",6,IF(Q103="Fragment Completion",7,IF(Q103="anagram solution",8,IF(Q103="Matching",9,IF(Q103="Problem Solving",10,"99"))))))))))</f>
        <v>2</v>
      </c>
      <c r="S103" s="69" t="s">
        <v>49</v>
      </c>
      <c r="T103" s="92" t="s">
        <v>581</v>
      </c>
      <c r="U103" s="69">
        <f>IF(T103="within",1,0)</f>
        <v>1</v>
      </c>
      <c r="V103" s="92">
        <v>75</v>
      </c>
      <c r="W103" s="69">
        <f>F103*V103</f>
        <v>900</v>
      </c>
      <c r="X103" s="69">
        <v>5</v>
      </c>
      <c r="Y103" s="87">
        <f>AV102</f>
        <v>157680000</v>
      </c>
      <c r="Z103" s="69" t="s">
        <v>373</v>
      </c>
      <c r="AA103" s="69">
        <f>45*365*24*60*60</f>
        <v>1419120000</v>
      </c>
      <c r="AB103" s="69" t="str">
        <f>IF(AA103&lt;60,"1",IF(AA103&lt;=43200,"2",IF(AA103&lt;=777600,"3","4")))</f>
        <v>4</v>
      </c>
      <c r="AC103" s="72">
        <f>AVERAGE(AV102:DA102)</f>
        <v>788400000</v>
      </c>
      <c r="AD103" s="69" t="str">
        <f>IF(AC103&lt;60,"1",IF(AC103&lt;=43200,"2",IF(AC103&lt;=777600,"3","4")))</f>
        <v>4</v>
      </c>
      <c r="AE103" s="87">
        <f>AA103-Y103</f>
        <v>1261440000</v>
      </c>
      <c r="AF103" s="88">
        <f>AV103</f>
        <v>0.77</v>
      </c>
      <c r="AG103" s="72">
        <f>((AW103-AV103)+(AX103-AW103)+(AY103-AX103)+(AZ103-AY103))/4</f>
        <v>-1.7500000000000016E-2</v>
      </c>
      <c r="AH103" s="4"/>
      <c r="AI103" s="72">
        <f>RSQ(AV103:AZ103,AV102:AZ102)</f>
        <v>0.72321428571428548</v>
      </c>
      <c r="AJ103" s="110">
        <f>SLOPE(AV103:AZ103,AV102:AZ102)</f>
        <v>-5.7077625570776301E-11</v>
      </c>
      <c r="AK103" s="72">
        <f>INTERCEPT(AV103:AZ103,AV102:AZ102)</f>
        <v>0.78700000000000003</v>
      </c>
      <c r="AL103" s="72">
        <f>INDEX(LINEST(LN(AV103:AZ103),LN(AV102:AZ102),TRUE,TRUE),3,1)</f>
        <v>0.59508986639141004</v>
      </c>
      <c r="AM103" s="72">
        <f>INDEX(LINEST(LN(AV103:AZ103),LN(AV102:AZ102)),1)</f>
        <v>-4.0101943635617227E-2</v>
      </c>
      <c r="AN103" s="72">
        <f>EXP(INDEX(LINEST(LN(AV103:AZ103),LN(AV102:AZ102)),1,2))</f>
        <v>1.6697844492734366</v>
      </c>
      <c r="AO103" s="89">
        <f>INDEX(LINEST((AV103:AZ103),LN(AV102:AZ102),TRUE,TRUE),3,1)</f>
        <v>0.59574201197950583</v>
      </c>
      <c r="AP103" s="89">
        <f>INDEX(LINEST((AV103:AZ103),LN(AV102:AZ102)),1)</f>
        <v>-2.9708975393664874E-2</v>
      </c>
      <c r="AQ103" s="90">
        <f>INDEX(LINEST(LN(AV103:AZ103),SQRT(AV102:AZ102),TRUE,TRUE),3,1)</f>
        <v>0.67890890678198335</v>
      </c>
      <c r="AR103" s="117">
        <f>INDEX(LINEST(LN(AV103:AZ103),SQRT((AV102:AZ102))),1)</f>
        <v>-3.7748360893638983E-6</v>
      </c>
      <c r="AS103" s="91">
        <f>INDEX(LINEST(1/(AV103:AZ103),1/(SQRT(AV102:AZ102)),TRUE,TRUE),3,1)</f>
        <v>0.49218849713973767</v>
      </c>
      <c r="AT103" s="91">
        <f>INDEX(LINEST(1/(AV103:AZ103),1/SQRT(AV102:AZ102)),1)</f>
        <v>-1998.2053009499716</v>
      </c>
      <c r="AU103" s="3"/>
      <c r="AV103" s="73">
        <v>0.77</v>
      </c>
      <c r="AW103" s="73">
        <v>0.78</v>
      </c>
      <c r="AX103" s="73">
        <v>0.72</v>
      </c>
      <c r="AY103" s="73">
        <v>0.74</v>
      </c>
      <c r="AZ103" s="73">
        <v>0.7</v>
      </c>
      <c r="BA103" s="53"/>
      <c r="BB103" s="53"/>
      <c r="BC103" s="53"/>
      <c r="BD103" s="53"/>
      <c r="BE103" s="53"/>
      <c r="BF103" s="53"/>
      <c r="BG103" s="53"/>
      <c r="BH103" s="53"/>
      <c r="BI103" s="53"/>
      <c r="BJ103" s="53"/>
      <c r="BK103" s="53"/>
      <c r="BL103" s="53"/>
      <c r="BM103" s="53"/>
      <c r="BN103" s="53"/>
      <c r="BO103" s="53"/>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53"/>
      <c r="CR103" s="1"/>
      <c r="CS103" s="1"/>
      <c r="CT103" s="1"/>
      <c r="CU103" s="1"/>
    </row>
    <row r="104" spans="1:99" s="13" customFormat="1" ht="12" customHeight="1" x14ac:dyDescent="0.2">
      <c r="A104" s="68" t="s">
        <v>932</v>
      </c>
      <c r="B104" s="70"/>
      <c r="C104" s="70"/>
      <c r="D104" s="69"/>
      <c r="E104" s="87"/>
      <c r="F104" s="69"/>
      <c r="G104" s="69"/>
      <c r="H104" s="99"/>
      <c r="I104" s="69"/>
      <c r="J104" s="99"/>
      <c r="K104" s="69"/>
      <c r="L104" s="69"/>
      <c r="M104" s="69"/>
      <c r="N104" s="69"/>
      <c r="O104" s="69"/>
      <c r="P104" s="69"/>
      <c r="Q104" s="99"/>
      <c r="R104" s="69"/>
      <c r="S104" s="69"/>
      <c r="T104" s="92"/>
      <c r="U104" s="69"/>
      <c r="V104" s="92"/>
      <c r="W104" s="69"/>
      <c r="X104" s="69"/>
      <c r="Y104" s="87"/>
      <c r="Z104" s="69"/>
      <c r="AA104" s="69"/>
      <c r="AB104" s="69"/>
      <c r="AC104" s="72"/>
      <c r="AD104" s="69"/>
      <c r="AE104" s="87"/>
      <c r="AF104" s="88"/>
      <c r="AG104" s="72"/>
      <c r="AH104" s="4"/>
      <c r="AI104" s="72"/>
      <c r="AJ104" s="110"/>
      <c r="AK104" s="72"/>
      <c r="AL104" s="72"/>
      <c r="AM104" s="72"/>
      <c r="AN104" s="72"/>
      <c r="AO104" s="89"/>
      <c r="AP104" s="89"/>
      <c r="AQ104" s="90"/>
      <c r="AR104" s="117"/>
      <c r="AS104" s="91"/>
      <c r="AT104" s="91"/>
      <c r="AU104" s="3"/>
      <c r="AV104" s="71">
        <v>30</v>
      </c>
      <c r="AW104" s="71">
        <f>60*30</f>
        <v>1800</v>
      </c>
      <c r="AX104" s="71">
        <f>60*60*24*14</f>
        <v>1209600</v>
      </c>
      <c r="AY104" s="53"/>
      <c r="AZ104" s="53" t="s">
        <v>935</v>
      </c>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53"/>
      <c r="CR104" s="1"/>
      <c r="CS104" s="1"/>
      <c r="CT104" s="1"/>
      <c r="CU104" s="1"/>
    </row>
    <row r="105" spans="1:99" s="13" customFormat="1" ht="12" customHeight="1" x14ac:dyDescent="0.2">
      <c r="A105" s="68" t="s">
        <v>932</v>
      </c>
      <c r="B105" s="70" t="s">
        <v>933</v>
      </c>
      <c r="C105" s="70" t="s">
        <v>934</v>
      </c>
      <c r="D105" s="69">
        <v>2006</v>
      </c>
      <c r="E105" s="87">
        <v>1</v>
      </c>
      <c r="F105" s="69">
        <v>25</v>
      </c>
      <c r="G105" s="69">
        <v>25</v>
      </c>
      <c r="H105" s="99" t="s">
        <v>50</v>
      </c>
      <c r="I105" s="69" t="s">
        <v>330</v>
      </c>
      <c r="J105" s="69" t="s">
        <v>677</v>
      </c>
      <c r="K105" s="69">
        <f>IF(J105="syllables",1,IF(J105="trigrams",2,IF(J105="strings",3,IF(J105="visual array",4,IF(J105="characters",5,IF(J105="letters",6,IF(J105="free forms",7,IF(J105="odors",8,IF(J105="words",9,IF(J105="pictures",10,IF(J105="object pictures",11,IF(J105="faces",12,IF(J105="names",13,IF(J105="idioms",14,IF(J105="grades",15,IF(J105="syllable-digit pairs",16,IF(J105="trigram-word pairs",17,IF(J105="word-digit pairs",18,IF(J105="English-Swahili pairs",19,IF(J105="spatial position",20,IF(J105="word pairs",21,IF(J105="word triads",22,IF(J105="generated words",23,IF(J105="word definition pairs",24,IF(J105="math problems",25,IF(J105="famous faces",26,IF(J105="famous names",27,IF(J105="famous voices",28,IF(J105="television programs",29,IF(J105="race horses",30,IF(J105="new vocabulary",31,IF(J105="sentences",32,IF(J105="concepts",33,IF(J105="ad slides",34,IF(J105="scenes",35,IF(J105="famous scenes",36,IF(J105="poems",37,IF(J105="walk",38,IF(J105="faces and events",39,IF(J105="events and names",40,IF(J105="flashbulb",41,IF(J105="stories",42,IF(J105="course material",43,IF(J105="autobiographical",44,IF(J105="novels",45,IF(J105="public events",46,"99"))))))))))))))))))))))))))))))))))))))))))))))</f>
        <v>42</v>
      </c>
      <c r="L105" s="69">
        <f>IF(J105="syllables",1,IF(J105="trigrams",1,IF(J105="strings",1,IF(J105="visual array",1,IF(J105="characters",1,IF(J105="letters",1,IF(J105="free forms",1,IF(J105="odors",2,IF(J105="words",2,IF(J105="pictures",2,IF(J105="object pictures",2,IF(J105="faces",2,IF(J105="names",2,IF(J105="idioms","2",IF(J105="grades",2,IF(J105="syllable-digit pairs",3,IF(J105="trigram-word pairs",3,IF(J105="word-digit pairs",3,IF(J105="English-Swahili pairs",3,IF(J105="spatial position",3,IF(J105="word pairs",4,IF(J105="word triads",4,IF(J105="generated words",4,IF(J105="word definition pairs",4,IF(J105="math problems",4,IF(J105="famous faces",4,IF(J105="famous names",4,IF(J105="famous voices",4,IF(J105="television programs",4,IF(J105="race horses",4,IF(J105="new vocabulary",4,IF(J105="sentences",5,IF(J105="concepts",5,IF(J105="ad slides",5,IF(J105="scenes",5,IF(J105="famous scenes",5,IF(J105="poems",6,IF(J105="walk",6,IF(J105="faces and events",6,IF(J105="events and names",6,IF(J105="flashbulb",7,IF(J105="stories",7,IF(J105="course material",7,IF(J105="autobiographical",7,IF(J105="novels",7,IF(J105="public events",7,"99"))))))))))))))))))))))))))))))))))))))))))))))</f>
        <v>7</v>
      </c>
      <c r="M105" s="69">
        <v>0</v>
      </c>
      <c r="N105" s="69">
        <v>2</v>
      </c>
      <c r="O105" s="69">
        <v>0</v>
      </c>
      <c r="P105" s="69"/>
      <c r="Q105" s="99" t="s">
        <v>174</v>
      </c>
      <c r="R105" s="69">
        <f>IF(Q105="Free Recall",1,IF(Q105="Cued Recall",2,IF(Q105="Recognition",3,IF(Q105="Multiple Choice",4,IF(Q105="Savings",5,IF(Q105="Stem Completion",6,IF(Q105="Fragment Completion",7,IF(Q105="anagram solution",8,IF(Q105="Matching",9,IF(Q105="Problem Solving",10,"99"))))))))))</f>
        <v>1</v>
      </c>
      <c r="S105" s="69" t="s">
        <v>49</v>
      </c>
      <c r="T105" s="92" t="s">
        <v>581</v>
      </c>
      <c r="U105" s="69">
        <f>IF(T105="within",1,0)</f>
        <v>1</v>
      </c>
      <c r="V105" s="92">
        <v>50</v>
      </c>
      <c r="W105" s="69">
        <f>F105*V105</f>
        <v>1250</v>
      </c>
      <c r="X105" s="69">
        <v>3</v>
      </c>
      <c r="Y105" s="87">
        <f>AV104</f>
        <v>30</v>
      </c>
      <c r="Z105" s="69" t="s">
        <v>170</v>
      </c>
      <c r="AA105" s="69">
        <f>60*60*24*14</f>
        <v>1209600</v>
      </c>
      <c r="AB105" s="69" t="str">
        <f>IF(AA105&lt;60,"1",IF(AA105&lt;=43200,"2",IF(AA105&lt;=777600,"3","4")))</f>
        <v>4</v>
      </c>
      <c r="AC105" s="72">
        <f>AVERAGE(AV104:DA104)</f>
        <v>403810</v>
      </c>
      <c r="AD105" s="69" t="str">
        <f>IF(AC105&lt;60,"1",IF(AC105&lt;=43200,"2",IF(AC105&lt;=777600,"3","4")))</f>
        <v>3</v>
      </c>
      <c r="AE105" s="87">
        <f>AA105-Y105</f>
        <v>1209570</v>
      </c>
      <c r="AF105" s="88">
        <f>AV105</f>
        <v>0.98</v>
      </c>
      <c r="AG105" s="72">
        <f>((AW105-AV105)+(AX105-AW105))/2</f>
        <v>-0.2037291280148425</v>
      </c>
      <c r="AH105" s="4"/>
      <c r="AI105" s="72">
        <f>RSQ(AV105:AX105,AV104:AX104)</f>
        <v>0.95159538453396608</v>
      </c>
      <c r="AJ105" s="110">
        <f>SLOPE(AV105:AX105,AV104:AX104)</f>
        <v>-2.9815220100662671E-7</v>
      </c>
      <c r="AK105" s="72">
        <f>INTERCEPT(AV105:AX105,AV104:AX104)</f>
        <v>0.9331179287238599</v>
      </c>
      <c r="AL105" s="72">
        <f>INDEX(LINEST(LN(AV105:AX105),LN(AV104:AX104),TRUE,TRUE),3,1)</f>
        <v>0.9546515259176932</v>
      </c>
      <c r="AM105" s="72">
        <f>INDEX(LINEST(LN(AV105:AX105),LN(AV104:AX104)),1)</f>
        <v>-5.2178222224896535E-2</v>
      </c>
      <c r="AN105" s="72">
        <f>EXP(INDEX(LINEST(LN(AV105:AX105),LN(AV104:AX104)),1,2))</f>
        <v>1.2214159131336559</v>
      </c>
      <c r="AO105" s="89">
        <f>INDEX(LINEST((AV105:AX105),LN(AV104:AX104),TRUE,TRUE),3,1)</f>
        <v>0.9714687724608202</v>
      </c>
      <c r="AP105" s="89">
        <f>INDEX(LINEST((AV105:AX105),LN(AV104:AX104)),1)</f>
        <v>-3.9308831941371067E-2</v>
      </c>
      <c r="AQ105" s="90">
        <f>INDEX(LINEST(LN(AV105:AX105),SQRT(AV104:AX104),TRUE,TRUE),3,1)</f>
        <v>0.97811223176944218</v>
      </c>
      <c r="AR105" s="117">
        <f>INDEX(LINEST(LN(AV105:AX105),SQRT((AV104:AX104))),1)</f>
        <v>-4.5452782813593009E-4</v>
      </c>
      <c r="AS105" s="91">
        <f>INDEX(LINEST(1/(AV105:AX105),1/(SQRT(AV104:AX104)),TRUE,TRUE),3,1)</f>
        <v>0.49217939542439587</v>
      </c>
      <c r="AT105" s="91">
        <f>INDEX(LINEST(1/(AV105:AX105),1/SQRT(AV104:AX104)),1)</f>
        <v>-2.7757026592845087</v>
      </c>
      <c r="AU105" s="3"/>
      <c r="AV105" s="73">
        <v>0.98</v>
      </c>
      <c r="AW105" s="73">
        <v>0.88562152133580696</v>
      </c>
      <c r="AX105" s="73">
        <v>0.57254174397031499</v>
      </c>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1"/>
      <c r="CS105" s="1"/>
      <c r="CT105" s="1"/>
      <c r="CU105" s="1"/>
    </row>
    <row r="106" spans="1:99" s="13" customFormat="1" ht="12" customHeight="1" x14ac:dyDescent="0.2">
      <c r="A106" s="68" t="s">
        <v>932</v>
      </c>
      <c r="B106" s="70"/>
      <c r="C106" s="70"/>
      <c r="D106" s="69"/>
      <c r="E106" s="87"/>
      <c r="F106" s="69"/>
      <c r="G106" s="69"/>
      <c r="H106" s="99"/>
      <c r="I106" s="69"/>
      <c r="J106" s="69"/>
      <c r="K106" s="69"/>
      <c r="L106" s="69"/>
      <c r="M106" s="69"/>
      <c r="N106" s="69"/>
      <c r="O106" s="69"/>
      <c r="P106" s="69"/>
      <c r="Q106" s="99"/>
      <c r="R106" s="69"/>
      <c r="S106" s="69"/>
      <c r="T106" s="92"/>
      <c r="U106" s="69"/>
      <c r="V106" s="92"/>
      <c r="W106" s="69"/>
      <c r="X106" s="69"/>
      <c r="Y106" s="87"/>
      <c r="Z106" s="69"/>
      <c r="AA106" s="69"/>
      <c r="AB106" s="69"/>
      <c r="AC106" s="72"/>
      <c r="AD106" s="69"/>
      <c r="AE106" s="87"/>
      <c r="AF106" s="88"/>
      <c r="AG106" s="72"/>
      <c r="AH106" s="4"/>
      <c r="AI106" s="72"/>
      <c r="AJ106" s="110"/>
      <c r="AK106" s="72"/>
      <c r="AL106" s="72"/>
      <c r="AM106" s="72"/>
      <c r="AN106" s="72"/>
      <c r="AO106" s="89"/>
      <c r="AP106" s="89"/>
      <c r="AQ106" s="90"/>
      <c r="AR106" s="117"/>
      <c r="AS106" s="91"/>
      <c r="AT106" s="91"/>
      <c r="AU106" s="3"/>
      <c r="AV106" s="71">
        <v>30</v>
      </c>
      <c r="AW106" s="71">
        <f>60*30</f>
        <v>1800</v>
      </c>
      <c r="AX106" s="71">
        <f>60*60*24*7*8</f>
        <v>4838400</v>
      </c>
      <c r="AY106" s="53"/>
      <c r="AZ106" s="53" t="s">
        <v>935</v>
      </c>
      <c r="BA106" s="53"/>
      <c r="BB106" s="53"/>
      <c r="BC106" s="53"/>
      <c r="BD106" s="53"/>
      <c r="BE106" s="53"/>
      <c r="BF106" s="53"/>
      <c r="BG106" s="53"/>
      <c r="BH106" s="53"/>
      <c r="BI106" s="53"/>
      <c r="BJ106" s="53"/>
      <c r="BK106" s="53"/>
      <c r="BL106" s="53"/>
      <c r="BM106" s="53"/>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1"/>
      <c r="CS106" s="1"/>
      <c r="CT106" s="1"/>
      <c r="CU106" s="1"/>
    </row>
    <row r="107" spans="1:99" s="13" customFormat="1" ht="12" customHeight="1" x14ac:dyDescent="0.2">
      <c r="A107" s="68" t="s">
        <v>932</v>
      </c>
      <c r="B107" s="70" t="s">
        <v>940</v>
      </c>
      <c r="C107" s="70" t="s">
        <v>405</v>
      </c>
      <c r="D107" s="69">
        <v>2000</v>
      </c>
      <c r="E107" s="87">
        <v>1</v>
      </c>
      <c r="F107" s="69">
        <v>16</v>
      </c>
      <c r="G107" s="69">
        <v>16</v>
      </c>
      <c r="H107" s="99" t="s">
        <v>38</v>
      </c>
      <c r="I107" s="69" t="s">
        <v>330</v>
      </c>
      <c r="J107" s="69" t="s">
        <v>677</v>
      </c>
      <c r="K107" s="69">
        <f>IF(J107="syllables",1,IF(J107="trigrams",2,IF(J107="strings",3,IF(J107="visual array",4,IF(J107="characters",5,IF(J107="letters",6,IF(J107="free forms",7,IF(J107="odors",8,IF(J107="words",9,IF(J107="pictures",10,IF(J107="object pictures",11,IF(J107="faces",12,IF(J107="names",13,IF(J107="idioms",14,IF(J107="grades",15,IF(J107="syllable-digit pairs",16,IF(J107="trigram-word pairs",17,IF(J107="word-digit pairs",18,IF(J107="English-Swahili pairs",19,IF(J107="spatial position",20,IF(J107="word pairs",21,IF(J107="word triads",22,IF(J107="generated words",23,IF(J107="word definition pairs",24,IF(J107="math problems",25,IF(J107="famous faces",26,IF(J107="famous names",27,IF(J107="famous voices",28,IF(J107="television programs",29,IF(J107="race horses",30,IF(J107="new vocabulary",31,IF(J107="sentences",32,IF(J107="concepts",33,IF(J107="ad slides",34,IF(J107="scenes",35,IF(J107="famous scenes",36,IF(J107="poems",37,IF(J107="walk",38,IF(J107="faces and events",39,IF(J107="events and names",40,IF(J107="flashbulb",41,IF(J107="stories",42,IF(J107="course material",43,IF(J107="autobiographical",44,IF(J107="novels",45,IF(J107="public events",46,"99"))))))))))))))))))))))))))))))))))))))))))))))</f>
        <v>42</v>
      </c>
      <c r="L107" s="69">
        <f>IF(J107="syllables",1,IF(J107="trigrams",1,IF(J107="strings",1,IF(J107="visual array",1,IF(J107="characters",1,IF(J107="letters",1,IF(J107="free forms",1,IF(J107="odors",2,IF(J107="words",2,IF(J107="pictures",2,IF(J107="object pictures",2,IF(J107="faces",2,IF(J107="names",2,IF(J107="idioms","2",IF(J107="grades",2,IF(J107="syllable-digit pairs",3,IF(J107="trigram-word pairs",3,IF(J107="word-digit pairs",3,IF(J107="English-Swahili pairs",3,IF(J107="spatial position",3,IF(J107="word pairs",4,IF(J107="word triads",4,IF(J107="generated words",4,IF(J107="word definition pairs",4,IF(J107="math problems",4,IF(J107="famous faces",4,IF(J107="famous names",4,IF(J107="famous voices",4,IF(J107="television programs",4,IF(J107="race horses",4,IF(J107="new vocabulary",4,IF(J107="sentences",5,IF(J107="concepts",5,IF(J107="ad slides",5,IF(J107="scenes",5,IF(J107="famous scenes",5,IF(J107="poems",6,IF(J107="walk",6,IF(J107="faces and events",6,IF(J107="events and names",6,IF(J107="flashbulb",7,IF(J107="stories",7,IF(J107="course material",7,IF(J107="autobiographical",7,IF(J107="novels",7,IF(J107="public events",7,"99"))))))))))))))))))))))))))))))))))))))))))))))</f>
        <v>7</v>
      </c>
      <c r="M107" s="69">
        <v>1</v>
      </c>
      <c r="N107" s="69">
        <v>4</v>
      </c>
      <c r="O107" s="69">
        <v>0</v>
      </c>
      <c r="P107" s="69"/>
      <c r="Q107" s="99" t="s">
        <v>174</v>
      </c>
      <c r="R107" s="69">
        <f>IF(Q107="Free Recall",1,IF(Q107="Cued Recall",2,IF(Q107="Recognition",3,IF(Q107="Multiple Choice",4,IF(Q107="Savings",5,IF(Q107="Stem Completion",6,IF(Q107="Fragment Completion",7,IF(Q107="anagram solution",8,IF(Q107="Matching",9,IF(Q107="Problem Solving",10,"99"))))))))))</f>
        <v>1</v>
      </c>
      <c r="S107" s="69" t="s">
        <v>49</v>
      </c>
      <c r="T107" s="92" t="s">
        <v>581</v>
      </c>
      <c r="U107" s="69">
        <f>IF(T107="within",1,0)</f>
        <v>1</v>
      </c>
      <c r="V107" s="92">
        <v>20</v>
      </c>
      <c r="W107" s="69">
        <f>F107*V107</f>
        <v>320</v>
      </c>
      <c r="X107" s="69">
        <v>3</v>
      </c>
      <c r="Y107" s="87">
        <f>AV106</f>
        <v>30</v>
      </c>
      <c r="Z107" s="69" t="s">
        <v>276</v>
      </c>
      <c r="AA107" s="69">
        <f>60*60*24*7*8</f>
        <v>4838400</v>
      </c>
      <c r="AB107" s="69" t="str">
        <f>IF(AA107&lt;60,"1",IF(AA107&lt;=43200,"2",IF(AA107&lt;=777600,"3","4")))</f>
        <v>4</v>
      </c>
      <c r="AC107" s="72">
        <f>AVERAGE(AV106:DA106)</f>
        <v>1613410</v>
      </c>
      <c r="AD107" s="69" t="str">
        <f>IF(AC107&lt;60,"1",IF(AC107&lt;=43200,"2",IF(AC107&lt;=777600,"3","4")))</f>
        <v>4</v>
      </c>
      <c r="AE107" s="87">
        <f>AA107-Y107</f>
        <v>4838370</v>
      </c>
      <c r="AF107" s="88">
        <f>AV107</f>
        <v>0.85</v>
      </c>
      <c r="AG107" s="72">
        <f>((AW107-AV107)+(AX107-AW107))/2</f>
        <v>-0.16499999999999998</v>
      </c>
      <c r="AH107" s="4"/>
      <c r="AI107" s="72">
        <f>RSQ(AV107:AX107,AV106:AX106)</f>
        <v>0.96601087583598977</v>
      </c>
      <c r="AJ107" s="110">
        <f>SLOPE(AV107:AX107,AV106:AX106)</f>
        <v>-7.6481479383354035E-8</v>
      </c>
      <c r="AK107" s="72">
        <f>INTERCEPT(AV107:AX107,AV106:AX106)</f>
        <v>0.8900626503185638</v>
      </c>
      <c r="AL107" s="72">
        <f>INDEX(LINEST(LN(AV107:AX107),LN(AV106:AX106),TRUE,TRUE),3,1)</f>
        <v>0.78120401563249142</v>
      </c>
      <c r="AM107" s="72">
        <f>INDEX(LINEST(LN(AV107:AX107),LN(AV106:AX106)),1)</f>
        <v>-4.5378230455479424E-2</v>
      </c>
      <c r="AN107" s="72">
        <f>EXP(INDEX(LINEST(LN(AV107:AX107),LN(AV106:AX106)),1,2))</f>
        <v>1.1066176770287262</v>
      </c>
      <c r="AO107" s="89">
        <f>INDEX(LINEST((AV107:AX107),LN(AV106:AX106),TRUE,TRUE),3,1)</f>
        <v>0.74649521643317107</v>
      </c>
      <c r="AP107" s="89">
        <f>INDEX(LINEST((AV107:AX107),LN(AV106:AX106)),1)</f>
        <v>-3.0807581442521076E-2</v>
      </c>
      <c r="AQ107" s="90">
        <f>INDEX(LINEST(LN(AV107:AX107),SQRT(AV106:AX106),TRUE,TRUE),3,1)</f>
        <v>0.97495450259259819</v>
      </c>
      <c r="AR107" s="117">
        <f>INDEX(LINEST(LN(AV107:AX107),SQRT((AV106:AX106))),1)</f>
        <v>-2.4595488032372055E-4</v>
      </c>
      <c r="AS107" s="91">
        <f>INDEX(LINEST(1/(AV107:AX107),1/(SQRT(AV106:AX106)),TRUE,TRUE),3,1)</f>
        <v>0.25638028168728111</v>
      </c>
      <c r="AT107" s="91">
        <f>INDEX(LINEST(1/(AV107:AX107),1/SQRT(AV106:AX106)),1)</f>
        <v>-2.3646656268232311</v>
      </c>
      <c r="AU107" s="3"/>
      <c r="AV107" s="73">
        <v>0.85</v>
      </c>
      <c r="AW107" s="73">
        <v>0.93</v>
      </c>
      <c r="AX107" s="73">
        <v>0.52</v>
      </c>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c r="CA107" s="53"/>
      <c r="CB107" s="53"/>
      <c r="CC107" s="53"/>
      <c r="CD107" s="53"/>
      <c r="CE107" s="53"/>
      <c r="CF107" s="53"/>
      <c r="CG107" s="53"/>
      <c r="CH107" s="53"/>
      <c r="CI107" s="53"/>
      <c r="CJ107" s="53"/>
      <c r="CK107" s="53"/>
      <c r="CL107" s="53"/>
      <c r="CM107" s="53"/>
      <c r="CN107" s="53"/>
      <c r="CO107" s="53"/>
      <c r="CP107" s="53"/>
      <c r="CQ107" s="53"/>
      <c r="CR107" s="1"/>
      <c r="CS107" s="1"/>
      <c r="CT107" s="1"/>
      <c r="CU107" s="1"/>
    </row>
    <row r="108" spans="1:99" s="13" customFormat="1" ht="12" customHeight="1" x14ac:dyDescent="0.2">
      <c r="A108" s="68">
        <v>43648</v>
      </c>
      <c r="B108" s="159"/>
      <c r="C108" s="70"/>
      <c r="D108" s="69"/>
      <c r="E108" s="87"/>
      <c r="F108" s="69"/>
      <c r="G108" s="69"/>
      <c r="H108" s="69"/>
      <c r="I108" s="69"/>
      <c r="J108" s="69"/>
      <c r="K108" s="107"/>
      <c r="L108" s="107"/>
      <c r="M108" s="69"/>
      <c r="N108" s="69"/>
      <c r="O108" s="69"/>
      <c r="P108" s="69"/>
      <c r="Q108" s="69"/>
      <c r="R108" s="69"/>
      <c r="S108" s="69"/>
      <c r="T108" s="69"/>
      <c r="U108" s="69"/>
      <c r="V108" s="69"/>
      <c r="W108" s="69"/>
      <c r="X108" s="69"/>
      <c r="Y108" s="87"/>
      <c r="Z108" s="69"/>
      <c r="AA108" s="69"/>
      <c r="AB108" s="69"/>
      <c r="AC108" s="69"/>
      <c r="AD108" s="69"/>
      <c r="AE108" s="69"/>
      <c r="AF108" s="88"/>
      <c r="AG108" s="72"/>
      <c r="AH108" s="4"/>
      <c r="AI108" s="72"/>
      <c r="AJ108" s="110"/>
      <c r="AK108" s="72"/>
      <c r="AL108" s="72"/>
      <c r="AM108" s="72"/>
      <c r="AN108" s="72"/>
      <c r="AO108" s="72"/>
      <c r="AP108" s="72"/>
      <c r="AQ108" s="89"/>
      <c r="AR108" s="118"/>
      <c r="AS108" s="89"/>
      <c r="AT108" s="89"/>
      <c r="AU108" s="3"/>
      <c r="AV108" s="70">
        <f>0.5*365*(24*(3600))</f>
        <v>15768000</v>
      </c>
      <c r="AW108" s="70">
        <f>1*365*(24*(3600))</f>
        <v>31536000</v>
      </c>
      <c r="AX108" s="70">
        <f>1.5*365*(24*(3600))</f>
        <v>47304000</v>
      </c>
      <c r="AY108" s="70">
        <f>2*365*(24*(3600))</f>
        <v>63072000</v>
      </c>
      <c r="AZ108" s="70">
        <f>2.5*365*(24*(3600))</f>
        <v>78840000</v>
      </c>
      <c r="BA108" s="70">
        <f>3*365*(24*(3600))</f>
        <v>94608000</v>
      </c>
      <c r="BB108" s="70">
        <f>3.5*365*(24*(3600))</f>
        <v>110376000</v>
      </c>
      <c r="BC108" s="70">
        <f>4*365*(24*(3600))</f>
        <v>126144000</v>
      </c>
      <c r="BD108" s="70">
        <f>4.5*365*(24*(3600))</f>
        <v>141912000</v>
      </c>
      <c r="BE108" s="70">
        <f>5*365*(24*(3600))</f>
        <v>157680000</v>
      </c>
      <c r="BF108" s="53"/>
      <c r="BG108" s="53"/>
      <c r="BH108" s="53"/>
      <c r="BI108" s="53"/>
      <c r="BJ108" s="53"/>
      <c r="BK108" s="53"/>
      <c r="BL108" s="53"/>
      <c r="BM108" s="53"/>
      <c r="BN108" s="53"/>
      <c r="BO108" s="53"/>
      <c r="BP108" s="53"/>
      <c r="BQ108" s="53"/>
      <c r="BR108" s="53"/>
      <c r="BS108" s="53"/>
      <c r="BT108" s="53"/>
      <c r="BU108" s="53"/>
      <c r="BV108" s="53"/>
      <c r="BW108" s="53"/>
      <c r="BX108" s="53"/>
      <c r="BY108" s="53"/>
      <c r="BZ108" s="53"/>
      <c r="CA108" s="53"/>
      <c r="CB108" s="53"/>
      <c r="CC108" s="53"/>
      <c r="CD108" s="53"/>
      <c r="CE108" s="53"/>
      <c r="CF108" s="53"/>
      <c r="CG108" s="53"/>
      <c r="CH108" s="53"/>
      <c r="CI108" s="53"/>
      <c r="CJ108" s="53"/>
      <c r="CK108" s="53"/>
      <c r="CL108" s="53"/>
      <c r="CM108" s="53"/>
      <c r="CN108" s="53"/>
      <c r="CO108" s="53"/>
      <c r="CP108" s="53"/>
      <c r="CQ108" s="53"/>
      <c r="CR108" s="1"/>
      <c r="CS108" s="1"/>
      <c r="CT108" s="1"/>
      <c r="CU108" s="1"/>
    </row>
    <row r="109" spans="1:99" s="13" customFormat="1" ht="12" customHeight="1" x14ac:dyDescent="0.2">
      <c r="A109" s="68">
        <v>43648</v>
      </c>
      <c r="B109" s="70" t="s">
        <v>322</v>
      </c>
      <c r="C109" s="70" t="s">
        <v>307</v>
      </c>
      <c r="D109" s="69">
        <v>1992</v>
      </c>
      <c r="E109" s="87">
        <v>1</v>
      </c>
      <c r="F109" s="69">
        <v>8</v>
      </c>
      <c r="G109" s="69">
        <v>8</v>
      </c>
      <c r="H109" s="69" t="s">
        <v>50</v>
      </c>
      <c r="I109" s="69"/>
      <c r="J109" s="69" t="s">
        <v>622</v>
      </c>
      <c r="K109" s="69">
        <f>IF(J109="syllables",1,IF(J109="trigrams",2,IF(J109="strings",3,IF(J109="visual array",4,IF(J109="characters",5,IF(J109="letters",6,IF(J109="free forms",7,IF(J109="odors",8,IF(J109="words",9,IF(J109="pictures",10,IF(J109="object pictures",11,IF(J109="faces",12,IF(J109="names",13,IF(J109="idioms",14,IF(J109="grades",15,IF(J109="syllable-digit pairs",16,IF(J109="trigram-word pairs",17,IF(J109="word-digit pairs",18,IF(J109="English-Swahili pairs",19,IF(J109="spatial position",20,IF(J109="word pairs",21,IF(J109="word triads",22,IF(J109="generated words",23,IF(J109="word definition pairs",24,IF(J109="math problems",25,IF(J109="famous faces",26,IF(J109="famous names",27,IF(J109="famous voices",28,IF(J109="television programs",29,IF(J109="race horses",30,IF(J109="new vocabulary",31,IF(J109="sentences",32,IF(J109="concepts",33,IF(J109="ad slides",34,IF(J109="scenes",35,IF(J109="famous scenes",36,IF(J109="poems",37,IF(J109="walk",38,IF(J109="faces and events",39,IF(J109="events and names",40,IF(J109="flashbulb",41,IF(J109="stories",42,IF(J109="course material",43,IF(J109="autobiographical",44,IF(J109="novels",45,IF(J109="public events",46,"99"))))))))))))))))))))))))))))))))))))))))))))))</f>
        <v>44</v>
      </c>
      <c r="L109" s="69">
        <f>IF(J109="syllables",1,IF(J109="trigrams",1,IF(J109="strings",1,IF(J109="visual array",1,IF(J109="characters",1,IF(J109="letters",1,IF(J109="free forms",1,IF(J109="odors",2,IF(J109="words",2,IF(J109="pictures",2,IF(J109="object pictures",2,IF(J109="faces",2,IF(J109="names",2,IF(J109="idioms","2",IF(J109="grades",2,IF(J109="syllable-digit pairs",3,IF(J109="trigram-word pairs",3,IF(J109="word-digit pairs",3,IF(J109="English-Swahili pairs",3,IF(J109="spatial position",3,IF(J109="word pairs",4,IF(J109="word triads",4,IF(J109="generated words",4,IF(J109="word definition pairs",4,IF(J109="math problems",4,IF(J109="famous faces",4,IF(J109="famous names",4,IF(J109="famous voices",4,IF(J109="television programs",4,IF(J109="race horses",4,IF(J109="new vocabulary",4,IF(J109="sentences",5,IF(J109="concepts",5,IF(J109="ad slides",5,IF(J109="scenes",5,IF(J109="famous scenes",5,IF(J109="poems",6,IF(J109="walk",6,IF(J109="faces and events",6,IF(J109="events and names",6,IF(J109="flashbulb",7,IF(J109="stories",7,IF(J109="course material",7,IF(J109="autobiographical",7,IF(J109="novels",7,IF(J109="public events",7,"99"))))))))))))))))))))))))))))))))))))))))))))))</f>
        <v>7</v>
      </c>
      <c r="M109" s="69">
        <v>0</v>
      </c>
      <c r="N109" s="69">
        <v>2</v>
      </c>
      <c r="O109" s="69">
        <v>0</v>
      </c>
      <c r="P109" s="69"/>
      <c r="Q109" s="69" t="s">
        <v>65</v>
      </c>
      <c r="R109" s="69">
        <f>IF(Q109="Free Recall",1,IF(Q109="Cued Recall",2,IF(Q109="Recognition",3,IF(Q109="Multiple Choice",4,IF(Q109="Savings",5,IF(Q109="Stem Completion",6,IF(Q109="Fragment Completion",7,IF(Q109="anagram solution",8,IF(Q109="Matching",9,IF(Q109="Problem Solving",10,"99"))))))))))</f>
        <v>2</v>
      </c>
      <c r="S109" s="69" t="s">
        <v>49</v>
      </c>
      <c r="T109" s="92" t="s">
        <v>581</v>
      </c>
      <c r="U109" s="69">
        <f>IF(T109="within",1,0)</f>
        <v>1</v>
      </c>
      <c r="V109" s="92">
        <v>54.25</v>
      </c>
      <c r="W109" s="69">
        <f>F109*V109</f>
        <v>434</v>
      </c>
      <c r="X109" s="69">
        <v>10</v>
      </c>
      <c r="Y109" s="87">
        <f>AV108</f>
        <v>15768000</v>
      </c>
      <c r="Z109" s="69" t="s">
        <v>319</v>
      </c>
      <c r="AA109" s="69">
        <f>5*365*(24*(3600))</f>
        <v>157680000</v>
      </c>
      <c r="AB109" s="69" t="str">
        <f>IF(AA109&lt;60,"1",IF(AA109&lt;=43200,"2",IF(AA109&lt;=777600,"3","4")))</f>
        <v>4</v>
      </c>
      <c r="AC109" s="72">
        <f>AVERAGE(AV108:DA108)</f>
        <v>86724000</v>
      </c>
      <c r="AD109" s="69" t="str">
        <f>IF(AC109&lt;60,"1",IF(AC109&lt;=43200,"2",IF(AC109&lt;=777600,"3","4")))</f>
        <v>4</v>
      </c>
      <c r="AE109" s="87">
        <f>AA109-Y109</f>
        <v>141912000</v>
      </c>
      <c r="AF109" s="88">
        <f>AV109</f>
        <v>0.97</v>
      </c>
      <c r="AG109" s="72">
        <f>((AW109-AV109)+(AX109-AW109)+(AY109-AX109)+(AZ109-AY109)+(BA109-AZ109)+(BB109-BA109)+(BC109-BB109)+(BD109-BC109)+(BE109-BD109))/9</f>
        <v>-3.2222222222222215E-2</v>
      </c>
      <c r="AH109" s="4"/>
      <c r="AI109" s="72">
        <f>RSQ(AV109:BE109,AV108:BE108)</f>
        <v>0.62564528669583197</v>
      </c>
      <c r="AJ109" s="110">
        <f>SLOPE(AV109:BE109,AV108:BE108)</f>
        <v>-1.6642836277539474E-9</v>
      </c>
      <c r="AK109" s="72">
        <f>INTERCEPT(AV109:BE109,AV108:BE108)</f>
        <v>0.93733333333333324</v>
      </c>
      <c r="AL109" s="72">
        <f>INDEX(LINEST(LN(AV109:BE109),LN(AV108:BE108),TRUE,TRUE),3,1)</f>
        <v>0.67829237094393469</v>
      </c>
      <c r="AM109" s="72">
        <f>INDEX(LINEST(LN(AV109:BE109),LN(AV108:BE108)),1)</f>
        <v>-0.13838251656515202</v>
      </c>
      <c r="AN109" s="72">
        <f>EXP(INDEX(LINEST(LN(AV109:BE109),LN(AV108:BE108)),1,2))</f>
        <v>9.6177980577957563</v>
      </c>
      <c r="AO109" s="89">
        <f>INDEX(LINEST((AV109:BE109),LN(AV108:BE108),TRUE,TRUE),3,1)</f>
        <v>0.70030216484812602</v>
      </c>
      <c r="AP109" s="89">
        <f>INDEX(LINEST((AV109:BE109),LN(AV108:BE108)),1)</f>
        <v>-0.11467538397318111</v>
      </c>
      <c r="AQ109" s="90">
        <f>INDEX(LINEST(LN(AV109:BE109),SQRT(AV108:BE108),TRUE,TRUE),3,1)</f>
        <v>0.66161899330594964</v>
      </c>
      <c r="AR109" s="117">
        <f>INDEX(LINEST(LN(AV109:BE109),SQRT((AV108:BE108))),1)</f>
        <v>-3.5609971950180791E-5</v>
      </c>
      <c r="AS109" s="91">
        <f>INDEX(LINEST(1/(AV109:BE109),1/(SQRT(AV108:BE108)),TRUE,TRUE),3,1)</f>
        <v>0.62974442877013503</v>
      </c>
      <c r="AT109" s="91">
        <f>INDEX(LINEST(1/(AV109:BE109),1/SQRT(AV108:BE108)),1)</f>
        <v>-2259.3925534335681</v>
      </c>
      <c r="AU109" s="3"/>
      <c r="AV109" s="73">
        <v>0.97</v>
      </c>
      <c r="AW109" s="73">
        <v>0.94</v>
      </c>
      <c r="AX109" s="73">
        <v>0.72</v>
      </c>
      <c r="AY109" s="73">
        <v>0.81</v>
      </c>
      <c r="AZ109" s="73">
        <v>0.82</v>
      </c>
      <c r="BA109" s="73">
        <v>0.83</v>
      </c>
      <c r="BB109" s="73">
        <v>0.71</v>
      </c>
      <c r="BC109" s="73">
        <v>0.7</v>
      </c>
      <c r="BD109" s="73">
        <v>0.75</v>
      </c>
      <c r="BE109" s="73">
        <v>0.68</v>
      </c>
      <c r="BF109" s="53"/>
      <c r="BG109" s="53"/>
      <c r="BH109" s="53"/>
      <c r="BI109" s="53"/>
      <c r="BJ109" s="53"/>
      <c r="BK109" s="53"/>
      <c r="BL109" s="53"/>
      <c r="BM109" s="53"/>
      <c r="BN109" s="53"/>
      <c r="BO109" s="53"/>
      <c r="BP109" s="53"/>
      <c r="BQ109" s="53"/>
      <c r="BR109" s="53"/>
      <c r="BS109" s="53"/>
      <c r="BT109" s="53"/>
      <c r="BU109" s="53"/>
      <c r="BV109" s="53"/>
      <c r="BW109" s="53"/>
      <c r="BX109" s="53"/>
      <c r="BY109" s="53"/>
      <c r="BZ109" s="53"/>
      <c r="CA109" s="53"/>
      <c r="CB109" s="53"/>
      <c r="CC109" s="53"/>
      <c r="CD109" s="53"/>
      <c r="CE109" s="53"/>
      <c r="CF109" s="53"/>
      <c r="CG109" s="53"/>
      <c r="CH109" s="53"/>
      <c r="CI109" s="53"/>
      <c r="CJ109" s="53"/>
      <c r="CK109" s="53"/>
      <c r="CL109" s="53"/>
      <c r="CM109" s="53"/>
      <c r="CN109" s="53"/>
      <c r="CO109" s="53"/>
      <c r="CP109" s="53"/>
      <c r="CQ109" s="53"/>
      <c r="CR109" s="1"/>
      <c r="CS109" s="1"/>
      <c r="CT109" s="1"/>
      <c r="CU109" s="1"/>
    </row>
    <row r="110" spans="1:99" s="13" customFormat="1" ht="12" customHeight="1" x14ac:dyDescent="0.2">
      <c r="A110" s="65">
        <v>43509</v>
      </c>
      <c r="B110" s="1"/>
      <c r="C110" s="1"/>
      <c r="D110" s="60"/>
      <c r="E110" s="76"/>
      <c r="F110" s="60"/>
      <c r="G110" s="60"/>
      <c r="H110" s="60"/>
      <c r="I110" s="60"/>
      <c r="J110" s="60"/>
      <c r="K110" s="64"/>
      <c r="L110" s="64"/>
      <c r="M110" s="60"/>
      <c r="N110" s="60"/>
      <c r="O110" s="60"/>
      <c r="P110" s="60"/>
      <c r="Q110" s="60"/>
      <c r="R110" s="60"/>
      <c r="S110" s="60"/>
      <c r="T110" s="60"/>
      <c r="U110" s="60"/>
      <c r="V110" s="60"/>
      <c r="W110" s="60"/>
      <c r="X110" s="60"/>
      <c r="Y110" s="76"/>
      <c r="Z110" s="60"/>
      <c r="AA110" s="60"/>
      <c r="AB110" s="60"/>
      <c r="AC110" s="60"/>
      <c r="AD110" s="60"/>
      <c r="AE110" s="60"/>
      <c r="AF110" s="80"/>
      <c r="AG110" s="56"/>
      <c r="AH110" s="4"/>
      <c r="AI110" s="56"/>
      <c r="AJ110" s="109"/>
      <c r="AK110" s="56"/>
      <c r="AL110" s="56"/>
      <c r="AM110" s="56"/>
      <c r="AN110" s="56"/>
      <c r="AO110" s="56"/>
      <c r="AP110" s="56"/>
      <c r="AQ110" s="56"/>
      <c r="AR110" s="109"/>
      <c r="AS110" s="56"/>
      <c r="AT110" s="56"/>
      <c r="AU110" s="4"/>
      <c r="AV110" s="25">
        <f>(4*100)/2</f>
        <v>200</v>
      </c>
      <c r="AW110" s="25">
        <f>7*24*60*60*1</f>
        <v>604800</v>
      </c>
      <c r="AX110" s="25">
        <f>7*24*60*60*2</f>
        <v>1209600</v>
      </c>
      <c r="AY110" s="25">
        <f>7*24*60*60*3</f>
        <v>1814400</v>
      </c>
      <c r="AZ110" s="25">
        <f>7*24*60*60*4</f>
        <v>2419200</v>
      </c>
      <c r="BA110" s="53" t="s">
        <v>507</v>
      </c>
      <c r="BB110" s="53"/>
      <c r="BC110" s="53"/>
      <c r="BD110" s="53"/>
      <c r="BE110" s="53"/>
      <c r="BF110" s="53"/>
      <c r="BG110" s="53"/>
      <c r="BH110" s="53"/>
      <c r="BI110" s="53"/>
      <c r="BJ110" s="53"/>
      <c r="BK110" s="53"/>
      <c r="BL110" s="53"/>
      <c r="BM110" s="53"/>
      <c r="BN110" s="53"/>
      <c r="BO110" s="53"/>
      <c r="BP110" s="53"/>
      <c r="BQ110" s="53"/>
      <c r="BR110" s="53"/>
      <c r="BS110" s="53"/>
      <c r="BT110" s="53"/>
      <c r="BU110" s="53"/>
      <c r="BV110" s="53"/>
      <c r="BW110" s="53"/>
      <c r="BX110" s="53"/>
      <c r="BY110" s="53"/>
      <c r="BZ110" s="53"/>
      <c r="CA110" s="53"/>
      <c r="CB110" s="53"/>
      <c r="CC110" s="53"/>
      <c r="CD110" s="53"/>
      <c r="CE110" s="53"/>
      <c r="CF110" s="53"/>
      <c r="CG110" s="53"/>
      <c r="CH110" s="53"/>
      <c r="CI110" s="53"/>
      <c r="CJ110" s="53"/>
      <c r="CK110" s="53"/>
      <c r="CL110" s="53"/>
      <c r="CM110" s="53"/>
      <c r="CN110" s="53"/>
      <c r="CO110" s="53"/>
      <c r="CP110" s="53"/>
      <c r="CQ110" s="53"/>
      <c r="CR110" s="1"/>
      <c r="CS110" s="1"/>
      <c r="CT110" s="1"/>
      <c r="CU110" s="1"/>
    </row>
    <row r="111" spans="1:99" s="13" customFormat="1" ht="12" customHeight="1" x14ac:dyDescent="0.2">
      <c r="A111" s="65">
        <v>43509</v>
      </c>
      <c r="B111" s="1" t="s">
        <v>141</v>
      </c>
      <c r="C111" s="1" t="s">
        <v>142</v>
      </c>
      <c r="D111" s="60">
        <v>1925</v>
      </c>
      <c r="E111" s="76">
        <v>1</v>
      </c>
      <c r="F111" s="60">
        <v>58</v>
      </c>
      <c r="G111" s="60">
        <v>58</v>
      </c>
      <c r="H111" s="60" t="s">
        <v>22</v>
      </c>
      <c r="I111" s="60" t="s">
        <v>641</v>
      </c>
      <c r="J111" s="60" t="s">
        <v>320</v>
      </c>
      <c r="K111" s="60">
        <f>IF(J111="syllables",1,IF(J111="trigrams",2,IF(J111="strings",3,IF(J111="visual array",4,IF(J111="characters",5,IF(J111="letters",6,IF(J111="free forms",7,IF(J111="odors",8,IF(J111="words",9,IF(J111="pictures",10,IF(J111="object pictures",11,IF(J111="faces",12,IF(J111="names",13,IF(J111="idioms",14,IF(J111="grades",15,IF(J111="syllable-digit pairs",16,IF(J111="trigram-word pairs",17,IF(J111="word-digit pairs",18,IF(J111="English-Swahili pairs",19,IF(J111="spatial position",20,IF(J111="word pairs",21,IF(J111="word triads",22,IF(J111="generated words",23,IF(J111="word definition pairs",24,IF(J111="math problems",25,IF(J111="famous faces",26,IF(J111="famous names",27,IF(J111="famous voices",28,IF(J111="television programs",29,IF(J111="race horses",30,IF(J111="new vocabulary",31,IF(J111="sentences",32,IF(J111="concepts",33,IF(J111="ad slides",34,IF(J111="scenes",35,IF(J111="famous scenes",36,IF(J111="poems",37,IF(J111="walk",38,IF(J111="faces and events",39,IF(J111="events and names",40,IF(J111="flashbulb",41,IF(J111="stories",42,IF(J111="course material",43,IF(J111="autobiographical",44,IF(J111="novels",45,IF(J111="public events",46,"99"))))))))))))))))))))))))))))))))))))))))))))))</f>
        <v>21</v>
      </c>
      <c r="L111" s="60">
        <f>IF(J111="syllables",1,IF(J111="trigrams",1,IF(J111="strings",1,IF(J111="visual array",1,IF(J111="characters",1,IF(J111="letters",1,IF(J111="free forms",1,IF(J111="odors",2,IF(J111="words",2,IF(J111="pictures",2,IF(J111="object pictures",2,IF(J111="faces",2,IF(J111="names",2,IF(J111="idioms","2",IF(J111="grades",2,IF(J111="syllable-digit pairs",3,IF(J111="trigram-word pairs",3,IF(J111="word-digit pairs",3,IF(J111="English-Swahili pairs",3,IF(J111="spatial position",3,IF(J111="word pairs",4,IF(J111="word triads",4,IF(J111="generated words",4,IF(J111="word definition pairs",4,IF(J111="math problems",4,IF(J111="famous faces",4,IF(J111="famous names",4,IF(J111="famous voices",4,IF(J111="television programs",4,IF(J111="race horses",4,IF(J111="new vocabulary",4,IF(J111="sentences",5,IF(J111="concepts",5,IF(J111="ad slides",5,IF(J111="scenes",5,IF(J111="famous scenes",5,IF(J111="poems",6,IF(J111="walk",6,IF(J111="faces and events",6,IF(J111="events and names",6,IF(J111="flashbulb",7,IF(J111="stories",7,IF(J111="course material",7,IF(J111="autobiographical",7,IF(J111="novels",7,IF(J111="public events",7,"99"))))))))))))))))))))))))))))))))))))))))))))))</f>
        <v>4</v>
      </c>
      <c r="M111" s="60">
        <v>1</v>
      </c>
      <c r="N111" s="60">
        <v>2</v>
      </c>
      <c r="O111" s="60">
        <v>0</v>
      </c>
      <c r="P111" s="60"/>
      <c r="Q111" s="60" t="s">
        <v>174</v>
      </c>
      <c r="R111" s="60">
        <f>IF(Q111="Free Recall",1,IF(Q111="Cued Recall",2,IF(Q111="Recognition",3,IF(Q111="Multiple Choice",4,IF(Q111="Savings",5,IF(Q111="Stem Completion",6,IF(Q111="Fragment Completion",7,IF(Q111="anagram solution",8,IF(Q111="Matching",9,IF(Q111="Problem Solving",10,"99"))))))))))</f>
        <v>1</v>
      </c>
      <c r="S111" s="60" t="s">
        <v>234</v>
      </c>
      <c r="T111" s="59" t="s">
        <v>581</v>
      </c>
      <c r="U111" s="60">
        <f>IF(T111="within",1,0)</f>
        <v>1</v>
      </c>
      <c r="V111" s="59">
        <v>20</v>
      </c>
      <c r="W111" s="60">
        <f>F111*V111</f>
        <v>1160</v>
      </c>
      <c r="X111" s="60">
        <v>5</v>
      </c>
      <c r="Y111" s="76">
        <f>AV110</f>
        <v>200</v>
      </c>
      <c r="Z111" s="60" t="s">
        <v>140</v>
      </c>
      <c r="AA111" s="60">
        <v>2419200</v>
      </c>
      <c r="AB111" s="60" t="str">
        <f>IF(AA111&lt;60,"1",IF(AA111&lt;=43200,"2",IF(AA111&lt;=777600,"3","4")))</f>
        <v>4</v>
      </c>
      <c r="AC111" s="56">
        <f>AVERAGE(AV110:DA110)</f>
        <v>1209640</v>
      </c>
      <c r="AD111" s="60" t="str">
        <f>IF(AC111&lt;60,"1",IF(AC111&lt;=43200,"2",IF(AC111&lt;=777600,"3","4")))</f>
        <v>4</v>
      </c>
      <c r="AE111" s="76">
        <f>AA111-Y111</f>
        <v>2419000</v>
      </c>
      <c r="AF111" s="80">
        <f>AV111</f>
        <v>0.43</v>
      </c>
      <c r="AG111" s="56">
        <f>((AW111-AV111)+(AX111-AW111)+(AY111-AX111)+(AZ111-AY111))/4</f>
        <v>-0.10249999999999999</v>
      </c>
      <c r="AH111" s="4"/>
      <c r="AI111" s="56">
        <f>RSQ(AV111:AZ111,AV110:AZ110)</f>
        <v>0.58997282221218716</v>
      </c>
      <c r="AJ111" s="109">
        <f>SLOPE(AV111:AZ111,AV110:AZ110)</f>
        <v>-1.4385084562420381E-7</v>
      </c>
      <c r="AK111" s="56">
        <f>INTERCEPT(AV111:AZ111,AV110:AZ110)</f>
        <v>0.2860077369008619</v>
      </c>
      <c r="AL111" s="56">
        <f>INDEX(LINEST(LN(AV111:AZ111),LN(AV110:AZ110),TRUE,TRUE),3,1)</f>
        <v>0.90981219162216187</v>
      </c>
      <c r="AM111" s="56">
        <f>INDEX(LINEST(LN(AV111:AZ111),LN(AV110:AZ110)),1)</f>
        <v>-0.32312839514614783</v>
      </c>
      <c r="AN111" s="56">
        <f>EXP(INDEX(LINEST(LN(AV111:AZ111),LN(AV110:AZ110)),1,2))</f>
        <v>2.5632818385814997</v>
      </c>
      <c r="AO111" s="82">
        <f>INDEX(LINEST((AV111:AZ111),LN(AV110:AZ110),TRUE,TRUE),3,1)</f>
        <v>0.99613225730283173</v>
      </c>
      <c r="AP111" s="82">
        <f>INDEX(LINEST((AV111:AZ111),LN(AV110:AZ110)),1)</f>
        <v>-4.4979428887124459E-2</v>
      </c>
      <c r="AQ111" s="83">
        <f>INDEX(LINEST(LN(AV111:AZ111),SQRT(AV110:AZ110),TRUE,TRUE),3,1)</f>
        <v>0.92818290965383776</v>
      </c>
      <c r="AR111" s="116">
        <f>INDEX(LINEST(LN(AV111:AZ111),SQRT((AV110:AZ110))),1)</f>
        <v>-2.1528139169105223E-3</v>
      </c>
      <c r="AS111" s="84">
        <f>INDEX(LINEST(1/(AV111:AZ111),1/(SQRT(AV110:AZ110)),TRUE,TRUE),3,1)</f>
        <v>0.56379467675011896</v>
      </c>
      <c r="AT111" s="84">
        <f>INDEX(LINEST(1/(AV111:AZ111),1/SQRT(AV110:AZ110)),1)</f>
        <v>-558.51885796177191</v>
      </c>
      <c r="AU111" s="3"/>
      <c r="AV111" s="53">
        <v>0.43</v>
      </c>
      <c r="AW111" s="53">
        <v>7.0000000000000007E-2</v>
      </c>
      <c r="AX111" s="53">
        <v>0.02</v>
      </c>
      <c r="AY111" s="53">
        <v>0.02</v>
      </c>
      <c r="AZ111" s="53">
        <v>0.02</v>
      </c>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c r="BY111" s="53"/>
      <c r="BZ111" s="53"/>
      <c r="CA111" s="53"/>
      <c r="CB111" s="53"/>
      <c r="CC111" s="53"/>
      <c r="CD111" s="53"/>
      <c r="CE111" s="53"/>
      <c r="CF111" s="53"/>
      <c r="CG111" s="53"/>
      <c r="CH111" s="53"/>
      <c r="CI111" s="53"/>
      <c r="CJ111" s="53"/>
      <c r="CK111" s="53"/>
      <c r="CL111" s="53"/>
      <c r="CM111" s="53"/>
      <c r="CN111" s="53"/>
      <c r="CO111" s="53"/>
      <c r="CP111" s="53"/>
      <c r="CQ111" s="53"/>
      <c r="CR111" s="1"/>
      <c r="CS111" s="1"/>
      <c r="CT111" s="1"/>
      <c r="CU111" s="1"/>
    </row>
    <row r="112" spans="1:99" s="13" customFormat="1" ht="12" customHeight="1" x14ac:dyDescent="0.2">
      <c r="A112" s="65">
        <v>43509</v>
      </c>
      <c r="B112" s="1"/>
      <c r="C112" s="1"/>
      <c r="D112" s="60"/>
      <c r="E112" s="76"/>
      <c r="F112" s="60"/>
      <c r="G112" s="60"/>
      <c r="H112" s="60"/>
      <c r="I112" s="60"/>
      <c r="J112" s="60"/>
      <c r="K112" s="64"/>
      <c r="L112" s="64"/>
      <c r="M112" s="60"/>
      <c r="N112" s="60"/>
      <c r="O112" s="60"/>
      <c r="P112" s="60"/>
      <c r="Q112" s="60"/>
      <c r="R112" s="60"/>
      <c r="S112" s="60"/>
      <c r="T112" s="60"/>
      <c r="U112" s="60"/>
      <c r="V112" s="60"/>
      <c r="W112" s="60"/>
      <c r="X112" s="60"/>
      <c r="Y112" s="76"/>
      <c r="Z112" s="60"/>
      <c r="AA112" s="60"/>
      <c r="AB112" s="60"/>
      <c r="AC112" s="60"/>
      <c r="AD112" s="60"/>
      <c r="AE112" s="60"/>
      <c r="AF112" s="80"/>
      <c r="AG112" s="56"/>
      <c r="AH112" s="4"/>
      <c r="AI112" s="56"/>
      <c r="AJ112" s="109"/>
      <c r="AK112" s="56"/>
      <c r="AL112" s="56"/>
      <c r="AM112" s="56"/>
      <c r="AN112" s="56"/>
      <c r="AO112" s="56"/>
      <c r="AP112" s="56"/>
      <c r="AQ112" s="82"/>
      <c r="AR112" s="115"/>
      <c r="AS112" s="82"/>
      <c r="AT112" s="82"/>
      <c r="AU112" s="4"/>
      <c r="AV112" s="25">
        <f>(4*100)/2</f>
        <v>200</v>
      </c>
      <c r="AW112" s="25">
        <f>7*24*60*60*1</f>
        <v>604800</v>
      </c>
      <c r="AX112" s="25">
        <f>7*24*60*60*2</f>
        <v>1209600</v>
      </c>
      <c r="AY112" s="25">
        <f>7*24*60*60*3</f>
        <v>1814400</v>
      </c>
      <c r="AZ112" s="25">
        <f>7*24*60*60*4</f>
        <v>2419200</v>
      </c>
      <c r="BA112" s="53"/>
      <c r="BB112" s="5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1"/>
      <c r="CS112" s="1"/>
      <c r="CT112" s="1"/>
      <c r="CU112" s="1"/>
    </row>
    <row r="113" spans="1:99" s="13" customFormat="1" ht="12" customHeight="1" x14ac:dyDescent="0.2">
      <c r="A113" s="65">
        <v>43509</v>
      </c>
      <c r="B113" s="1" t="s">
        <v>141</v>
      </c>
      <c r="C113" s="1" t="s">
        <v>142</v>
      </c>
      <c r="D113" s="60">
        <v>1925</v>
      </c>
      <c r="E113" s="76">
        <v>1</v>
      </c>
      <c r="F113" s="60">
        <v>58</v>
      </c>
      <c r="G113" s="60">
        <v>58</v>
      </c>
      <c r="H113" s="60" t="s">
        <v>22</v>
      </c>
      <c r="I113" s="60" t="s">
        <v>641</v>
      </c>
      <c r="J113" s="60" t="s">
        <v>320</v>
      </c>
      <c r="K113" s="60">
        <f>IF(J113="syllables",1,IF(J113="trigrams",2,IF(J113="strings",3,IF(J113="visual array",4,IF(J113="characters",5,IF(J113="letters",6,IF(J113="free forms",7,IF(J113="odors",8,IF(J113="words",9,IF(J113="pictures",10,IF(J113="object pictures",11,IF(J113="faces",12,IF(J113="names",13,IF(J113="idioms",14,IF(J113="grades",15,IF(J113="syllable-digit pairs",16,IF(J113="trigram-word pairs",17,IF(J113="word-digit pairs",18,IF(J113="English-Swahili pairs",19,IF(J113="spatial position",20,IF(J113="word pairs",21,IF(J113="word triads",22,IF(J113="generated words",23,IF(J113="word definition pairs",24,IF(J113="math problems",25,IF(J113="famous faces",26,IF(J113="famous names",27,IF(J113="famous voices",28,IF(J113="television programs",29,IF(J113="race horses",30,IF(J113="new vocabulary",31,IF(J113="sentences",32,IF(J113="concepts",33,IF(J113="ad slides",34,IF(J113="scenes",35,IF(J113="famous scenes",36,IF(J113="poems",37,IF(J113="walk",38,IF(J113="faces and events",39,IF(J113="events and names",40,IF(J113="flashbulb",41,IF(J113="stories",42,IF(J113="course material",43,IF(J113="autobiographical",44,IF(J113="novels",45,IF(J113="public events",46,"99"))))))))))))))))))))))))))))))))))))))))))))))</f>
        <v>21</v>
      </c>
      <c r="L113" s="60">
        <f>IF(J113="syllables",1,IF(J113="trigrams",1,IF(J113="strings",1,IF(J113="visual array",1,IF(J113="characters",1,IF(J113="letters",1,IF(J113="free forms",1,IF(J113="odors",2,IF(J113="words",2,IF(J113="pictures",2,IF(J113="object pictures",2,IF(J113="faces",2,IF(J113="names",2,IF(J113="idioms","2",IF(J113="grades",2,IF(J113="syllable-digit pairs",3,IF(J113="trigram-word pairs",3,IF(J113="word-digit pairs",3,IF(J113="English-Swahili pairs",3,IF(J113="spatial position",3,IF(J113="word pairs",4,IF(J113="word triads",4,IF(J113="generated words",4,IF(J113="word definition pairs",4,IF(J113="math problems",4,IF(J113="famous faces",4,IF(J113="famous names",4,IF(J113="famous voices",4,IF(J113="television programs",4,IF(J113="race horses",4,IF(J113="new vocabulary",4,IF(J113="sentences",5,IF(J113="concepts",5,IF(J113="ad slides",5,IF(J113="scenes",5,IF(J113="famous scenes",5,IF(J113="poems",6,IF(J113="walk",6,IF(J113="faces and events",6,IF(J113="events and names",6,IF(J113="flashbulb",7,IF(J113="stories",7,IF(J113="course material",7,IF(J113="autobiographical",7,IF(J113="novels",7,IF(J113="public events",7,"99"))))))))))))))))))))))))))))))))))))))))))))))</f>
        <v>4</v>
      </c>
      <c r="M113" s="60">
        <v>1</v>
      </c>
      <c r="N113" s="60">
        <v>2</v>
      </c>
      <c r="O113" s="60">
        <v>0</v>
      </c>
      <c r="P113" s="60"/>
      <c r="Q113" s="60" t="s">
        <v>34</v>
      </c>
      <c r="R113" s="60">
        <f>IF(Q113="Free Recall",1,IF(Q113="Cued Recall",2,IF(Q113="Recognition",3,IF(Q113="Multiple Choice",4,IF(Q113="Savings",5,IF(Q113="Stem Completion",6,IF(Q113="Fragment Completion",7,IF(Q113="anagram solution",8,IF(Q113="Matching",9,IF(Q113="Problem Solving",10,"99"))))))))))</f>
        <v>3</v>
      </c>
      <c r="S113" s="60" t="s">
        <v>234</v>
      </c>
      <c r="T113" s="59" t="s">
        <v>581</v>
      </c>
      <c r="U113" s="60">
        <f>IF(T113="within",1,0)</f>
        <v>1</v>
      </c>
      <c r="V113" s="59">
        <v>20</v>
      </c>
      <c r="W113" s="60">
        <f>F113*V113</f>
        <v>1160</v>
      </c>
      <c r="X113" s="60">
        <v>5</v>
      </c>
      <c r="Y113" s="76">
        <f>AV112</f>
        <v>200</v>
      </c>
      <c r="Z113" s="60" t="s">
        <v>140</v>
      </c>
      <c r="AA113" s="60">
        <v>2419200</v>
      </c>
      <c r="AB113" s="60" t="str">
        <f>IF(AA113&lt;60,"1",IF(AA113&lt;=43200,"2",IF(AA113&lt;=777600,"3","4")))</f>
        <v>4</v>
      </c>
      <c r="AC113" s="56">
        <f>AVERAGE(AV112:DA112)</f>
        <v>1209640</v>
      </c>
      <c r="AD113" s="60" t="str">
        <f>IF(AC113&lt;60,"1",IF(AC113&lt;=43200,"2",IF(AC113&lt;=777600,"3","4")))</f>
        <v>4</v>
      </c>
      <c r="AE113" s="76">
        <f>AA113-Y113</f>
        <v>2419000</v>
      </c>
      <c r="AF113" s="80">
        <f>AV113</f>
        <v>0.88</v>
      </c>
      <c r="AG113" s="56">
        <f>((AW113-AV113)+(AX113-AW113)+(AY113-AX113)+(AZ113-AY113))/4</f>
        <v>-9.2499999999999999E-2</v>
      </c>
      <c r="AH113" s="4"/>
      <c r="AI113" s="56">
        <f>RSQ(AV113:AZ113,AV112:AZ112)</f>
        <v>0.89530722572750143</v>
      </c>
      <c r="AJ113" s="109">
        <f>SLOPE(AV113:AZ113,AV112:AZ112)</f>
        <v>-1.5377705827230499E-7</v>
      </c>
      <c r="AK113" s="56">
        <f>INTERCEPT(AV113:AZ113,AV112:AZ112)</f>
        <v>0.82601488076851104</v>
      </c>
      <c r="AL113" s="56">
        <f>INDEX(LINEST(LN(AV113:AZ113),LN(AV112:AZ112),TRUE,TRUE),3,1)</f>
        <v>0.78918604313855156</v>
      </c>
      <c r="AM113" s="56">
        <f>INDEX(LINEST(LN(AV113:AZ113),LN(AV112:AZ112)),1)</f>
        <v>-5.1742685667533234E-2</v>
      </c>
      <c r="AN113" s="56">
        <f>EXP(INDEX(LINEST(LN(AV113:AZ113),LN(AV112:AZ112)),1,2))</f>
        <v>1.1857546091699338</v>
      </c>
      <c r="AO113" s="82">
        <f>INDEX(LINEST((AV113:AZ113),LN(AV112:AZ112),TRUE,TRUE),3,1)</f>
        <v>0.84768355058934231</v>
      </c>
      <c r="AP113" s="82">
        <f>INDEX(LINEST((AV113:AZ113),LN(AV112:AZ112)),1)</f>
        <v>-3.6006540817578217E-2</v>
      </c>
      <c r="AQ113" s="83">
        <f>INDEX(LINEST(LN(AV113:AZ113),SQRT(AV112:AZ112),TRUE,TRUE),3,1)</f>
        <v>0.97165779194769131</v>
      </c>
      <c r="AR113" s="116">
        <f>INDEX(LINEST(LN(AV113:AZ113),SQRT((AV112:AZ112))),1)</f>
        <v>-3.7870967335754737E-4</v>
      </c>
      <c r="AS113" s="84">
        <f>INDEX(LINEST(1/(AV113:AZ113),1/(SQRT(AV112:AZ112)),TRUE,TRUE),3,1)</f>
        <v>0.61282323559986385</v>
      </c>
      <c r="AT113" s="84">
        <f>INDEX(LINEST(1/(AV113:AZ113),1/SQRT(AV112:AZ112)),1)</f>
        <v>-8.9034251606849821</v>
      </c>
      <c r="AU113" s="3"/>
      <c r="AV113" s="53">
        <v>0.88</v>
      </c>
      <c r="AW113" s="53">
        <v>0.7</v>
      </c>
      <c r="AX113" s="53">
        <v>0.6</v>
      </c>
      <c r="AY113" s="53">
        <v>0.51</v>
      </c>
      <c r="AZ113" s="53">
        <v>0.51</v>
      </c>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53"/>
      <c r="CD113" s="53"/>
      <c r="CE113" s="53"/>
      <c r="CF113" s="53"/>
      <c r="CG113" s="53"/>
      <c r="CH113" s="53"/>
      <c r="CI113" s="53"/>
      <c r="CJ113" s="53"/>
      <c r="CK113" s="53"/>
      <c r="CL113" s="53"/>
      <c r="CM113" s="53"/>
      <c r="CN113" s="53"/>
      <c r="CO113" s="53"/>
      <c r="CP113" s="53"/>
      <c r="CQ113" s="53"/>
      <c r="CR113" s="1"/>
      <c r="CS113" s="1"/>
      <c r="CT113" s="1"/>
      <c r="CU113" s="1"/>
    </row>
    <row r="114" spans="1:99" s="13" customFormat="1" ht="12" customHeight="1" x14ac:dyDescent="0.2">
      <c r="A114" s="65">
        <v>43509</v>
      </c>
      <c r="B114" s="1"/>
      <c r="C114" s="1"/>
      <c r="D114" s="60"/>
      <c r="E114" s="76"/>
      <c r="F114" s="60"/>
      <c r="G114" s="60"/>
      <c r="H114" s="60"/>
      <c r="I114" s="60"/>
      <c r="J114" s="60"/>
      <c r="K114" s="64"/>
      <c r="L114" s="64"/>
      <c r="M114" s="60"/>
      <c r="N114" s="60"/>
      <c r="O114" s="60"/>
      <c r="P114" s="60"/>
      <c r="Q114" s="60"/>
      <c r="R114" s="60"/>
      <c r="S114" s="60"/>
      <c r="T114" s="60"/>
      <c r="U114" s="60"/>
      <c r="V114" s="60"/>
      <c r="W114" s="60"/>
      <c r="X114" s="60"/>
      <c r="Y114" s="76"/>
      <c r="Z114" s="60"/>
      <c r="AA114" s="60"/>
      <c r="AB114" s="60"/>
      <c r="AC114" s="60"/>
      <c r="AD114" s="60"/>
      <c r="AE114" s="60"/>
      <c r="AF114" s="80"/>
      <c r="AG114" s="56"/>
      <c r="AH114" s="4"/>
      <c r="AI114" s="56"/>
      <c r="AJ114" s="109"/>
      <c r="AK114" s="56"/>
      <c r="AL114" s="56"/>
      <c r="AM114" s="56"/>
      <c r="AN114" s="56"/>
      <c r="AO114" s="56"/>
      <c r="AP114" s="56"/>
      <c r="AQ114" s="82"/>
      <c r="AR114" s="115"/>
      <c r="AS114" s="82"/>
      <c r="AT114" s="82"/>
      <c r="AU114" s="4"/>
      <c r="AV114" s="25">
        <f>(4*100)/2</f>
        <v>200</v>
      </c>
      <c r="AW114" s="25">
        <f>7*24*60*60*3/7</f>
        <v>259200</v>
      </c>
      <c r="AX114" s="25">
        <f>7*24*60*60*10/7</f>
        <v>864000</v>
      </c>
      <c r="AY114" s="25">
        <f>7*24*60*60*16/7</f>
        <v>1382400</v>
      </c>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53"/>
      <c r="BZ114" s="53"/>
      <c r="CA114" s="53"/>
      <c r="CB114" s="53"/>
      <c r="CC114" s="53"/>
      <c r="CD114" s="53"/>
      <c r="CE114" s="53"/>
      <c r="CF114" s="53"/>
      <c r="CG114" s="53"/>
      <c r="CH114" s="53"/>
      <c r="CI114" s="53"/>
      <c r="CJ114" s="53"/>
      <c r="CK114" s="53"/>
      <c r="CL114" s="53"/>
      <c r="CM114" s="53"/>
      <c r="CN114" s="53"/>
      <c r="CO114" s="53"/>
      <c r="CP114" s="53"/>
      <c r="CQ114" s="53"/>
      <c r="CR114" s="1"/>
      <c r="CS114" s="1"/>
      <c r="CT114" s="1"/>
      <c r="CU114" s="1"/>
    </row>
    <row r="115" spans="1:99" s="13" customFormat="1" ht="12" customHeight="1" x14ac:dyDescent="0.2">
      <c r="A115" s="65">
        <v>43509</v>
      </c>
      <c r="B115" s="1" t="s">
        <v>141</v>
      </c>
      <c r="C115" s="1" t="s">
        <v>142</v>
      </c>
      <c r="D115" s="60">
        <v>1925</v>
      </c>
      <c r="E115" s="76">
        <v>2</v>
      </c>
      <c r="F115" s="60">
        <v>41</v>
      </c>
      <c r="G115" s="60">
        <v>41</v>
      </c>
      <c r="H115" s="60" t="s">
        <v>38</v>
      </c>
      <c r="I115" s="60" t="s">
        <v>641</v>
      </c>
      <c r="J115" s="60" t="s">
        <v>320</v>
      </c>
      <c r="K115" s="60">
        <f>IF(J115="syllables",1,IF(J115="trigrams",2,IF(J115="strings",3,IF(J115="visual array",4,IF(J115="characters",5,IF(J115="letters",6,IF(J115="free forms",7,IF(J115="odors",8,IF(J115="words",9,IF(J115="pictures",10,IF(J115="object pictures",11,IF(J115="faces",12,IF(J115="names",13,IF(J115="idioms",14,IF(J115="grades",15,IF(J115="syllable-digit pairs",16,IF(J115="trigram-word pairs",17,IF(J115="word-digit pairs",18,IF(J115="English-Swahili pairs",19,IF(J115="spatial position",20,IF(J115="word pairs",21,IF(J115="word triads",22,IF(J115="generated words",23,IF(J115="word definition pairs",24,IF(J115="math problems",25,IF(J115="famous faces",26,IF(J115="famous names",27,IF(J115="famous voices",28,IF(J115="television programs",29,IF(J115="race horses",30,IF(J115="new vocabulary",31,IF(J115="sentences",32,IF(J115="concepts",33,IF(J115="ad slides",34,IF(J115="scenes",35,IF(J115="famous scenes",36,IF(J115="poems",37,IF(J115="walk",38,IF(J115="faces and events",39,IF(J115="events and names",40,IF(J115="flashbulb",41,IF(J115="stories",42,IF(J115="course material",43,IF(J115="autobiographical",44,IF(J115="novels",45,IF(J115="public events",46,"99"))))))))))))))))))))))))))))))))))))))))))))))</f>
        <v>21</v>
      </c>
      <c r="L115" s="60">
        <f>IF(J115="syllables",1,IF(J115="trigrams",1,IF(J115="strings",1,IF(J115="visual array",1,IF(J115="characters",1,IF(J115="letters",1,IF(J115="free forms",1,IF(J115="odors",2,IF(J115="words",2,IF(J115="pictures",2,IF(J115="object pictures",2,IF(J115="faces",2,IF(J115="names",2,IF(J115="idioms","2",IF(J115="grades",2,IF(J115="syllable-digit pairs",3,IF(J115="trigram-word pairs",3,IF(J115="word-digit pairs",3,IF(J115="English-Swahili pairs",3,IF(J115="spatial position",3,IF(J115="word pairs",4,IF(J115="word triads",4,IF(J115="generated words",4,IF(J115="word definition pairs",4,IF(J115="math problems",4,IF(J115="famous faces",4,IF(J115="famous names",4,IF(J115="famous voices",4,IF(J115="television programs",4,IF(J115="race horses",4,IF(J115="new vocabulary",4,IF(J115="sentences",5,IF(J115="concepts",5,IF(J115="ad slides",5,IF(J115="scenes",5,IF(J115="famous scenes",5,IF(J115="poems",6,IF(J115="walk",6,IF(J115="faces and events",6,IF(J115="events and names",6,IF(J115="flashbulb",7,IF(J115="stories",7,IF(J115="course material",7,IF(J115="autobiographical",7,IF(J115="novels",7,IF(J115="public events",7,"99"))))))))))))))))))))))))))))))))))))))))))))))</f>
        <v>4</v>
      </c>
      <c r="M115" s="60">
        <v>1</v>
      </c>
      <c r="N115" s="60">
        <v>2</v>
      </c>
      <c r="O115" s="60">
        <v>0</v>
      </c>
      <c r="P115" s="60"/>
      <c r="Q115" s="60" t="s">
        <v>174</v>
      </c>
      <c r="R115" s="60">
        <f>IF(Q115="Free Recall",1,IF(Q115="Cued Recall",2,IF(Q115="Recognition",3,IF(Q115="Multiple Choice",4,IF(Q115="Savings",5,IF(Q115="Stem Completion",6,IF(Q115="Fragment Completion",7,IF(Q115="anagram solution",8,IF(Q115="Matching",9,IF(Q115="Problem Solving",10,"99"))))))))))</f>
        <v>1</v>
      </c>
      <c r="S115" s="60" t="s">
        <v>234</v>
      </c>
      <c r="T115" s="59" t="s">
        <v>581</v>
      </c>
      <c r="U115" s="60">
        <f>IF(T115="within",1,0)</f>
        <v>1</v>
      </c>
      <c r="V115" s="59">
        <v>10</v>
      </c>
      <c r="W115" s="60">
        <f>F115*V115</f>
        <v>410</v>
      </c>
      <c r="X115" s="60">
        <v>4</v>
      </c>
      <c r="Y115" s="76">
        <f>AV114</f>
        <v>200</v>
      </c>
      <c r="Z115" s="60" t="s">
        <v>140</v>
      </c>
      <c r="AA115" s="60">
        <v>2419200</v>
      </c>
      <c r="AB115" s="60" t="str">
        <f>IF(AA115&lt;60,"1",IF(AA115&lt;=43200,"2",IF(AA115&lt;=777600,"3","4")))</f>
        <v>4</v>
      </c>
      <c r="AC115" s="56">
        <f>AVERAGE(AV114:DA114)</f>
        <v>626450</v>
      </c>
      <c r="AD115" s="60" t="str">
        <f>IF(AC115&lt;60,"1",IF(AC115&lt;=43200,"2",IF(AC115&lt;=777600,"3","4")))</f>
        <v>3</v>
      </c>
      <c r="AE115" s="76">
        <f>AA115-Y115</f>
        <v>2419000</v>
      </c>
      <c r="AF115" s="80">
        <f>AV115</f>
        <v>0.52</v>
      </c>
      <c r="AG115" s="56">
        <f>((AW115-AV115)+(AX115-AW115)+(AY115-AX115))/3</f>
        <v>-6.6666666666666723E-3</v>
      </c>
      <c r="AH115" s="4"/>
      <c r="AI115" s="56">
        <f>RSQ(AV115:AY115,AV114:AY114)</f>
        <v>0.1431736091560171</v>
      </c>
      <c r="AJ115" s="109">
        <f>SLOPE(AV115:AY115,AV114:AY114)</f>
        <v>1.337349915736327E-7</v>
      </c>
      <c r="AK115" s="56">
        <f>INTERCEPT(AV115:AY115,AV114:AY114)</f>
        <v>0.34872171452869782</v>
      </c>
      <c r="AL115" s="56">
        <f>INDEX(LINEST(LN(AV115:AY115),LN(AV114:AY114),TRUE,TRUE),3,1)</f>
        <v>2.1508006277049709E-2</v>
      </c>
      <c r="AM115" s="56">
        <f>INDEX(LINEST(LN(AV115:AY115),LN(AV114:AY114)),1)</f>
        <v>-2.837347748746365E-2</v>
      </c>
      <c r="AN115" s="56">
        <f>EXP(INDEX(LINEST(LN(AV115:AY115),LN(AV114:AY114)),1,2))</f>
        <v>0.50005751366642681</v>
      </c>
      <c r="AO115" s="82">
        <f>INDEX(LINEST((AV115:AY115),LN(AV114:AY114),TRUE,TRUE),3,1)</f>
        <v>1.3263448402744122E-2</v>
      </c>
      <c r="AP115" s="82">
        <f>INDEX(LINEST((AV115:AY115),LN(AV114:AY114)),1)</f>
        <v>-6.1243123431826254E-3</v>
      </c>
      <c r="AQ115" s="83">
        <f>INDEX(LINEST(LN(AV115:AY115),SQRT(AV114:AY114),TRUE,TRUE),3,1)</f>
        <v>4.1555920125193581E-2</v>
      </c>
      <c r="AR115" s="116">
        <f>INDEX(LINEST(LN(AV115:AY115),SQRT((AV114:AY114))),1)</f>
        <v>3.1927433521747995E-4</v>
      </c>
      <c r="AS115" s="84">
        <f>INDEX(LINEST(1/(AV115:AY115),1/(SQRT(AV114:AY114)),TRUE,TRUE),3,1)</f>
        <v>9.5638263422807596E-2</v>
      </c>
      <c r="AT115" s="84">
        <f>INDEX(LINEST(1/(AV115:AY115),1/SQRT(AV114:AY114)),1)</f>
        <v>-32.222804719544634</v>
      </c>
      <c r="AU115" s="3"/>
      <c r="AV115" s="53">
        <v>0.52</v>
      </c>
      <c r="AW115" s="53">
        <v>0.11</v>
      </c>
      <c r="AX115" s="53">
        <v>0.6</v>
      </c>
      <c r="AY115" s="53">
        <v>0.5</v>
      </c>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BY115" s="53"/>
      <c r="BZ115" s="53"/>
      <c r="CA115" s="53"/>
      <c r="CB115" s="53"/>
      <c r="CC115" s="53"/>
      <c r="CD115" s="53"/>
      <c r="CE115" s="53"/>
      <c r="CF115" s="53"/>
      <c r="CG115" s="53"/>
      <c r="CH115" s="53"/>
      <c r="CI115" s="53"/>
      <c r="CJ115" s="53"/>
      <c r="CK115" s="53"/>
      <c r="CL115" s="53"/>
      <c r="CM115" s="53"/>
      <c r="CN115" s="53"/>
      <c r="CO115" s="53"/>
      <c r="CP115" s="53"/>
      <c r="CQ115" s="53"/>
      <c r="CR115" s="1"/>
      <c r="CS115" s="1"/>
      <c r="CT115" s="1"/>
      <c r="CU115" s="1"/>
    </row>
    <row r="116" spans="1:99" s="13" customFormat="1" ht="12" customHeight="1" x14ac:dyDescent="0.2">
      <c r="A116" s="65">
        <v>43509</v>
      </c>
      <c r="B116" s="1"/>
      <c r="C116" s="1"/>
      <c r="D116" s="60"/>
      <c r="E116" s="76"/>
      <c r="F116" s="60"/>
      <c r="G116" s="60"/>
      <c r="H116" s="60"/>
      <c r="I116" s="60"/>
      <c r="J116" s="60"/>
      <c r="K116" s="64"/>
      <c r="L116" s="64"/>
      <c r="M116" s="60"/>
      <c r="N116" s="60"/>
      <c r="O116" s="60"/>
      <c r="P116" s="60"/>
      <c r="Q116" s="60"/>
      <c r="R116" s="60"/>
      <c r="S116" s="60"/>
      <c r="T116" s="60"/>
      <c r="U116" s="60"/>
      <c r="V116" s="60"/>
      <c r="W116" s="60"/>
      <c r="X116" s="60"/>
      <c r="Y116" s="76"/>
      <c r="Z116" s="60"/>
      <c r="AA116" s="60"/>
      <c r="AB116" s="60"/>
      <c r="AC116" s="60"/>
      <c r="AD116" s="60"/>
      <c r="AE116" s="60"/>
      <c r="AF116" s="80"/>
      <c r="AG116" s="56"/>
      <c r="AH116" s="4"/>
      <c r="AI116" s="56"/>
      <c r="AJ116" s="109"/>
      <c r="AK116" s="56"/>
      <c r="AL116" s="56"/>
      <c r="AM116" s="56"/>
      <c r="AN116" s="56"/>
      <c r="AO116" s="56"/>
      <c r="AP116" s="56"/>
      <c r="AQ116" s="56"/>
      <c r="AR116" s="109"/>
      <c r="AS116" s="56"/>
      <c r="AT116" s="56"/>
      <c r="AU116" s="4"/>
      <c r="AV116" s="25">
        <f>7*24*60*60*3/7</f>
        <v>259200</v>
      </c>
      <c r="AW116" s="25">
        <f>7*24*60*60*10/7</f>
        <v>864000</v>
      </c>
      <c r="AX116" s="25">
        <f>7*24*60*60*16/7</f>
        <v>1382400</v>
      </c>
      <c r="AY116" s="4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53"/>
      <c r="CA116" s="53"/>
      <c r="CB116" s="53"/>
      <c r="CC116" s="53"/>
      <c r="CD116" s="53"/>
      <c r="CE116" s="53"/>
      <c r="CF116" s="53"/>
      <c r="CG116" s="53"/>
      <c r="CH116" s="53"/>
      <c r="CI116" s="53"/>
      <c r="CJ116" s="53"/>
      <c r="CK116" s="53"/>
      <c r="CL116" s="53"/>
      <c r="CM116" s="53"/>
      <c r="CN116" s="53"/>
      <c r="CO116" s="53"/>
      <c r="CP116" s="53"/>
      <c r="CQ116" s="53"/>
      <c r="CR116" s="1"/>
      <c r="CS116" s="1"/>
      <c r="CT116" s="1"/>
      <c r="CU116" s="1"/>
    </row>
    <row r="117" spans="1:99" s="13" customFormat="1" ht="12" customHeight="1" x14ac:dyDescent="0.2">
      <c r="A117" s="65">
        <v>43509</v>
      </c>
      <c r="B117" s="1" t="s">
        <v>141</v>
      </c>
      <c r="C117" s="1" t="s">
        <v>142</v>
      </c>
      <c r="D117" s="60">
        <v>1925</v>
      </c>
      <c r="E117" s="76">
        <v>2</v>
      </c>
      <c r="F117" s="60">
        <v>41</v>
      </c>
      <c r="G117" s="60">
        <v>41</v>
      </c>
      <c r="H117" s="60" t="s">
        <v>38</v>
      </c>
      <c r="I117" s="60" t="s">
        <v>642</v>
      </c>
      <c r="J117" s="60" t="s">
        <v>320</v>
      </c>
      <c r="K117" s="60">
        <f>IF(J117="syllables",1,IF(J117="trigrams",2,IF(J117="strings",3,IF(J117="visual array",4,IF(J117="characters",5,IF(J117="letters",6,IF(J117="free forms",7,IF(J117="odors",8,IF(J117="words",9,IF(J117="pictures",10,IF(J117="object pictures",11,IF(J117="faces",12,IF(J117="names",13,IF(J117="idioms",14,IF(J117="grades",15,IF(J117="syllable-digit pairs",16,IF(J117="trigram-word pairs",17,IF(J117="word-digit pairs",18,IF(J117="English-Swahili pairs",19,IF(J117="spatial position",20,IF(J117="word pairs",21,IF(J117="word triads",22,IF(J117="generated words",23,IF(J117="word definition pairs",24,IF(J117="math problems",25,IF(J117="famous faces",26,IF(J117="famous names",27,IF(J117="famous voices",28,IF(J117="television programs",29,IF(J117="race horses",30,IF(J117="new vocabulary",31,IF(J117="sentences",32,IF(J117="concepts",33,IF(J117="ad slides",34,IF(J117="scenes",35,IF(J117="famous scenes",36,IF(J117="poems",37,IF(J117="walk",38,IF(J117="faces and events",39,IF(J117="events and names",40,IF(J117="flashbulb",41,IF(J117="stories",42,IF(J117="course material",43,IF(J117="autobiographical",44,IF(J117="novels",45,IF(J117="public events",46,"99"))))))))))))))))))))))))))))))))))))))))))))))</f>
        <v>21</v>
      </c>
      <c r="L117" s="60">
        <f>IF(J117="syllables",1,IF(J117="trigrams",1,IF(J117="strings",1,IF(J117="visual array",1,IF(J117="characters",1,IF(J117="letters",1,IF(J117="free forms",1,IF(J117="odors",2,IF(J117="words",2,IF(J117="pictures",2,IF(J117="object pictures",2,IF(J117="faces",2,IF(J117="names",2,IF(J117="idioms","2",IF(J117="grades",2,IF(J117="syllable-digit pairs",3,IF(J117="trigram-word pairs",3,IF(J117="word-digit pairs",3,IF(J117="English-Swahili pairs",3,IF(J117="spatial position",3,IF(J117="word pairs",4,IF(J117="word triads",4,IF(J117="generated words",4,IF(J117="word definition pairs",4,IF(J117="math problems",4,IF(J117="famous faces",4,IF(J117="famous names",4,IF(J117="famous voices",4,IF(J117="television programs",4,IF(J117="race horses",4,IF(J117="new vocabulary",4,IF(J117="sentences",5,IF(J117="concepts",5,IF(J117="ad slides",5,IF(J117="scenes",5,IF(J117="famous scenes",5,IF(J117="poems",6,IF(J117="walk",6,IF(J117="faces and events",6,IF(J117="events and names",6,IF(J117="flashbulb",7,IF(J117="stories",7,IF(J117="course material",7,IF(J117="autobiographical",7,IF(J117="novels",7,IF(J117="public events",7,"99"))))))))))))))))))))))))))))))))))))))))))))))</f>
        <v>4</v>
      </c>
      <c r="M117" s="60">
        <v>1</v>
      </c>
      <c r="N117" s="60">
        <v>2</v>
      </c>
      <c r="O117" s="60">
        <v>0</v>
      </c>
      <c r="P117" s="60"/>
      <c r="Q117" s="60" t="s">
        <v>174</v>
      </c>
      <c r="R117" s="60">
        <f>IF(Q117="Free Recall",1,IF(Q117="Cued Recall",2,IF(Q117="Recognition",3,IF(Q117="Multiple Choice",4,IF(Q117="Savings",5,IF(Q117="Stem Completion",6,IF(Q117="Fragment Completion",7,IF(Q117="anagram solution",8,IF(Q117="Matching",9,IF(Q117="Problem Solving",10,"99"))))))))))</f>
        <v>1</v>
      </c>
      <c r="S117" s="60" t="s">
        <v>234</v>
      </c>
      <c r="T117" s="59" t="s">
        <v>581</v>
      </c>
      <c r="U117" s="60">
        <f>IF(T117="within",1,0)</f>
        <v>1</v>
      </c>
      <c r="V117" s="59">
        <v>10</v>
      </c>
      <c r="W117" s="60">
        <f>F117*V117</f>
        <v>410</v>
      </c>
      <c r="X117" s="60">
        <v>3</v>
      </c>
      <c r="Y117" s="76">
        <f>AV116</f>
        <v>259200</v>
      </c>
      <c r="Z117" s="60" t="s">
        <v>140</v>
      </c>
      <c r="AA117" s="60">
        <v>2419200</v>
      </c>
      <c r="AB117" s="60" t="str">
        <f>IF(AA117&lt;60,"1",IF(AA117&lt;=43200,"2",IF(AA117&lt;=777600,"3","4")))</f>
        <v>4</v>
      </c>
      <c r="AC117" s="56">
        <f>AVERAGE(AV116:DA116)</f>
        <v>835200</v>
      </c>
      <c r="AD117" s="60" t="str">
        <f>IF(AC117&lt;60,"1",IF(AC117&lt;=43200,"2",IF(AC117&lt;=777600,"3","4")))</f>
        <v>4</v>
      </c>
      <c r="AE117" s="76">
        <f>AA117-Y117</f>
        <v>2160000</v>
      </c>
      <c r="AF117" s="80">
        <f>AV117</f>
        <v>0.56999999999999995</v>
      </c>
      <c r="AG117" s="56">
        <f>((AW117-AV117)+(AX117-AW117))/2</f>
        <v>-0.20499999999999999</v>
      </c>
      <c r="AH117" s="4"/>
      <c r="AI117" s="56">
        <f>RSQ(AV117:AX117,AV116:AX116)</f>
        <v>0.88669125400793258</v>
      </c>
      <c r="AJ117" s="109">
        <f>SLOPE(AV117:AX117,AV116:AX116)</f>
        <v>-3.7091717701953911E-7</v>
      </c>
      <c r="AK117" s="56">
        <f>INTERCEPT(AV117:AX117,AV116:AX116)</f>
        <v>0.62645669291338568</v>
      </c>
      <c r="AL117" s="56">
        <f>INDEX(LINEST(LN(AV117:AX117),LN(AV116:AX116),TRUE,TRUE),3,1)</f>
        <v>0.99895086757211438</v>
      </c>
      <c r="AM117" s="56">
        <f>INDEX(LINEST(LN(AV117:AX117),LN(AV116:AX116)),1)</f>
        <v>-0.76522659005749616</v>
      </c>
      <c r="AN117" s="56">
        <f>EXP(INDEX(LINEST(LN(AV117:AX117),LN(AV116:AX116)),1,2))</f>
        <v>7863.3893633680136</v>
      </c>
      <c r="AO117" s="82">
        <f>INDEX(LINEST((AV117:AX117),LN(AV116:AX116),TRUE,TRUE),3,1)</f>
        <v>0.98059258050629639</v>
      </c>
      <c r="AP117" s="82">
        <f>INDEX(LINEST((AV117:AX117),LN(AV116:AX116)),1)</f>
        <v>-0.25397041500211165</v>
      </c>
      <c r="AQ117" s="83">
        <f>INDEX(LINEST(LN(AV117:AX117),SQRT(AV116:AX116),TRUE,TRUE),3,1)</f>
        <v>0.98303351017332552</v>
      </c>
      <c r="AR117" s="116">
        <f>INDEX(LINEST(LN(AV117:AX117),SQRT((AV116:AX116))),1)</f>
        <v>-1.9443029477799545E-3</v>
      </c>
      <c r="AS117" s="84">
        <f>INDEX(LINEST(1/(AV117:AX117),1/(SQRT(AV116:AX116)),TRUE,TRUE),3,1)</f>
        <v>0.96342061724466288</v>
      </c>
      <c r="AT117" s="84">
        <f>INDEX(LINEST(1/(AV117:AX117),1/SQRT(AV116:AX116)),1)</f>
        <v>-3783.3578362493035</v>
      </c>
      <c r="AU117" s="3"/>
      <c r="AV117" s="53">
        <v>0.56999999999999995</v>
      </c>
      <c r="AW117" s="53">
        <v>0.22</v>
      </c>
      <c r="AX117" s="53">
        <v>0.16</v>
      </c>
      <c r="AY117" s="43"/>
      <c r="AZ117" s="53"/>
      <c r="BA117" s="53"/>
      <c r="BB117" s="53"/>
      <c r="BC117" s="53"/>
      <c r="BD117" s="53"/>
      <c r="BE117" s="53"/>
      <c r="BF117" s="53"/>
      <c r="BG117" s="53"/>
      <c r="BH117" s="53"/>
      <c r="BI117" s="53"/>
      <c r="BJ117" s="53"/>
      <c r="BK117" s="53"/>
      <c r="BL117" s="53"/>
      <c r="BM117" s="53"/>
      <c r="BN117" s="53"/>
      <c r="BO117" s="53"/>
      <c r="BP117" s="53"/>
      <c r="BQ117" s="53"/>
      <c r="BR117" s="53"/>
      <c r="BS117" s="53"/>
      <c r="BT117" s="53"/>
      <c r="BU117" s="53"/>
      <c r="BV117" s="53"/>
      <c r="BW117" s="53"/>
      <c r="BX117" s="53"/>
      <c r="BY117" s="53"/>
      <c r="BZ117" s="53"/>
      <c r="CA117" s="53"/>
      <c r="CB117" s="53"/>
      <c r="CC117" s="53"/>
      <c r="CD117" s="53"/>
      <c r="CE117" s="53"/>
      <c r="CF117" s="53"/>
      <c r="CG117" s="53"/>
      <c r="CH117" s="53"/>
      <c r="CI117" s="53"/>
      <c r="CJ117" s="53"/>
      <c r="CK117" s="53"/>
      <c r="CL117" s="53"/>
      <c r="CM117" s="53"/>
      <c r="CN117" s="53"/>
      <c r="CO117" s="53"/>
      <c r="CP117" s="53"/>
      <c r="CQ117" s="53"/>
      <c r="CR117" s="1"/>
      <c r="CS117" s="1"/>
      <c r="CT117" s="1"/>
      <c r="CU117" s="1"/>
    </row>
    <row r="118" spans="1:99" s="13" customFormat="1" ht="12" customHeight="1" x14ac:dyDescent="0.2">
      <c r="A118" s="65">
        <v>43509</v>
      </c>
      <c r="B118" s="1"/>
      <c r="C118" s="1"/>
      <c r="D118" s="60"/>
      <c r="E118" s="76"/>
      <c r="F118" s="60"/>
      <c r="G118" s="60"/>
      <c r="H118" s="60"/>
      <c r="I118" s="60"/>
      <c r="J118" s="60"/>
      <c r="K118" s="64"/>
      <c r="L118" s="64"/>
      <c r="M118" s="60"/>
      <c r="N118" s="60"/>
      <c r="O118" s="60"/>
      <c r="P118" s="60"/>
      <c r="Q118" s="60"/>
      <c r="R118" s="60"/>
      <c r="S118" s="60"/>
      <c r="T118" s="60"/>
      <c r="U118" s="60"/>
      <c r="V118" s="60"/>
      <c r="W118" s="60"/>
      <c r="X118" s="60"/>
      <c r="Y118" s="76"/>
      <c r="Z118" s="60"/>
      <c r="AA118" s="60"/>
      <c r="AB118" s="60"/>
      <c r="AC118" s="60"/>
      <c r="AD118" s="60"/>
      <c r="AE118" s="60"/>
      <c r="AF118" s="80"/>
      <c r="AG118" s="56"/>
      <c r="AH118" s="4"/>
      <c r="AI118" s="56"/>
      <c r="AJ118" s="109"/>
      <c r="AK118" s="56"/>
      <c r="AL118" s="56"/>
      <c r="AM118" s="56"/>
      <c r="AN118" s="56"/>
      <c r="AO118" s="56"/>
      <c r="AP118" s="56"/>
      <c r="AQ118" s="56"/>
      <c r="AR118" s="109"/>
      <c r="AS118" s="56"/>
      <c r="AT118" s="56"/>
      <c r="AU118" s="4"/>
      <c r="AV118" s="25">
        <f>(4*100)/2</f>
        <v>200</v>
      </c>
      <c r="AW118" s="25">
        <f>7*24*60*60*3/7</f>
        <v>259200</v>
      </c>
      <c r="AX118" s="25">
        <f>7*24*60*60*10/7</f>
        <v>864000</v>
      </c>
      <c r="AY118" s="25">
        <f>7*24*60*60*16/7</f>
        <v>1382400</v>
      </c>
      <c r="AZ118" s="53"/>
      <c r="BA118" s="53"/>
      <c r="BB118" s="53"/>
      <c r="BC118" s="53"/>
      <c r="BD118" s="53"/>
      <c r="BE118" s="53"/>
      <c r="BF118" s="53"/>
      <c r="BG118" s="53"/>
      <c r="BH118" s="53"/>
      <c r="BI118" s="53"/>
      <c r="BJ118" s="53"/>
      <c r="BK118" s="53"/>
      <c r="BL118" s="53"/>
      <c r="BM118" s="53"/>
      <c r="BN118" s="53"/>
      <c r="BO118" s="53"/>
      <c r="BP118" s="53"/>
      <c r="BQ118" s="53"/>
      <c r="BR118" s="53"/>
      <c r="BS118" s="53"/>
      <c r="BT118" s="53"/>
      <c r="BU118" s="53"/>
      <c r="BV118" s="53"/>
      <c r="BW118" s="53"/>
      <c r="BX118" s="53"/>
      <c r="BY118" s="53"/>
      <c r="BZ118" s="53"/>
      <c r="CA118" s="53"/>
      <c r="CB118" s="53"/>
      <c r="CC118" s="53"/>
      <c r="CD118" s="53"/>
      <c r="CE118" s="53"/>
      <c r="CF118" s="53"/>
      <c r="CG118" s="53"/>
      <c r="CH118" s="53"/>
      <c r="CI118" s="53"/>
      <c r="CJ118" s="53"/>
      <c r="CK118" s="53"/>
      <c r="CL118" s="53"/>
      <c r="CM118" s="53"/>
      <c r="CN118" s="53"/>
      <c r="CO118" s="53"/>
      <c r="CP118" s="53"/>
      <c r="CQ118" s="53"/>
      <c r="CR118" s="1"/>
      <c r="CS118" s="1"/>
      <c r="CT118" s="1"/>
      <c r="CU118" s="1"/>
    </row>
    <row r="119" spans="1:99" s="13" customFormat="1" ht="12" customHeight="1" x14ac:dyDescent="0.2">
      <c r="A119" s="65">
        <v>43509</v>
      </c>
      <c r="B119" s="1" t="s">
        <v>141</v>
      </c>
      <c r="C119" s="1" t="s">
        <v>142</v>
      </c>
      <c r="D119" s="60">
        <v>1925</v>
      </c>
      <c r="E119" s="76">
        <v>2</v>
      </c>
      <c r="F119" s="60">
        <v>41</v>
      </c>
      <c r="G119" s="60">
        <v>41</v>
      </c>
      <c r="H119" s="60" t="s">
        <v>38</v>
      </c>
      <c r="I119" s="60" t="s">
        <v>641</v>
      </c>
      <c r="J119" s="60" t="s">
        <v>320</v>
      </c>
      <c r="K119" s="60">
        <f>IF(J119="syllables",1,IF(J119="trigrams",2,IF(J119="strings",3,IF(J119="visual array",4,IF(J119="characters",5,IF(J119="letters",6,IF(J119="free forms",7,IF(J119="odors",8,IF(J119="words",9,IF(J119="pictures",10,IF(J119="object pictures",11,IF(J119="faces",12,IF(J119="names",13,IF(J119="idioms",14,IF(J119="grades",15,IF(J119="syllable-digit pairs",16,IF(J119="trigram-word pairs",17,IF(J119="word-digit pairs",18,IF(J119="English-Swahili pairs",19,IF(J119="spatial position",20,IF(J119="word pairs",21,IF(J119="word triads",22,IF(J119="generated words",23,IF(J119="word definition pairs",24,IF(J119="math problems",25,IF(J119="famous faces",26,IF(J119="famous names",27,IF(J119="famous voices",28,IF(J119="television programs",29,IF(J119="race horses",30,IF(J119="new vocabulary",31,IF(J119="sentences",32,IF(J119="concepts",33,IF(J119="ad slides",34,IF(J119="scenes",35,IF(J119="famous scenes",36,IF(J119="poems",37,IF(J119="walk",38,IF(J119="faces and events",39,IF(J119="events and names",40,IF(J119="flashbulb",41,IF(J119="stories",42,IF(J119="course material",43,IF(J119="autobiographical",44,IF(J119="novels",45,IF(J119="public events",46,"99"))))))))))))))))))))))))))))))))))))))))))))))</f>
        <v>21</v>
      </c>
      <c r="L119" s="60">
        <f>IF(J119="syllables",1,IF(J119="trigrams",1,IF(J119="strings",1,IF(J119="visual array",1,IF(J119="characters",1,IF(J119="letters",1,IF(J119="free forms",1,IF(J119="odors",2,IF(J119="words",2,IF(J119="pictures",2,IF(J119="object pictures",2,IF(J119="faces",2,IF(J119="names",2,IF(J119="idioms","2",IF(J119="grades",2,IF(J119="syllable-digit pairs",3,IF(J119="trigram-word pairs",3,IF(J119="word-digit pairs",3,IF(J119="English-Swahili pairs",3,IF(J119="spatial position",3,IF(J119="word pairs",4,IF(J119="word triads",4,IF(J119="generated words",4,IF(J119="word definition pairs",4,IF(J119="math problems",4,IF(J119="famous faces",4,IF(J119="famous names",4,IF(J119="famous voices",4,IF(J119="television programs",4,IF(J119="race horses",4,IF(J119="new vocabulary",4,IF(J119="sentences",5,IF(J119="concepts",5,IF(J119="ad slides",5,IF(J119="scenes",5,IF(J119="famous scenes",5,IF(J119="poems",6,IF(J119="walk",6,IF(J119="faces and events",6,IF(J119="events and names",6,IF(J119="flashbulb",7,IF(J119="stories",7,IF(J119="course material",7,IF(J119="autobiographical",7,IF(J119="novels",7,IF(J119="public events",7,"99"))))))))))))))))))))))))))))))))))))))))))))))</f>
        <v>4</v>
      </c>
      <c r="M119" s="60">
        <v>1</v>
      </c>
      <c r="N119" s="60">
        <v>2</v>
      </c>
      <c r="O119" s="60">
        <v>0</v>
      </c>
      <c r="P119" s="60"/>
      <c r="Q119" s="60" t="s">
        <v>34</v>
      </c>
      <c r="R119" s="60">
        <f>IF(Q119="Free Recall",1,IF(Q119="Cued Recall",2,IF(Q119="Recognition",3,IF(Q119="Multiple Choice",4,IF(Q119="Savings",5,IF(Q119="Stem Completion",6,IF(Q119="Fragment Completion",7,IF(Q119="anagram solution",8,IF(Q119="Matching",9,IF(Q119="Problem Solving",10,"99"))))))))))</f>
        <v>3</v>
      </c>
      <c r="S119" s="60" t="s">
        <v>234</v>
      </c>
      <c r="T119" s="59" t="s">
        <v>581</v>
      </c>
      <c r="U119" s="60">
        <f>IF(T119="within",1,0)</f>
        <v>1</v>
      </c>
      <c r="V119" s="59">
        <v>10</v>
      </c>
      <c r="W119" s="60">
        <f>F119*V119</f>
        <v>410</v>
      </c>
      <c r="X119" s="60">
        <v>4</v>
      </c>
      <c r="Y119" s="76">
        <f>AV118</f>
        <v>200</v>
      </c>
      <c r="Z119" s="60" t="s">
        <v>140</v>
      </c>
      <c r="AA119" s="60">
        <v>2419200</v>
      </c>
      <c r="AB119" s="60" t="str">
        <f>IF(AA119&lt;60,"1",IF(AA119&lt;=43200,"2",IF(AA119&lt;=777600,"3","4")))</f>
        <v>4</v>
      </c>
      <c r="AC119" s="56">
        <f>AVERAGE(AV118:DA118)</f>
        <v>626450</v>
      </c>
      <c r="AD119" s="60" t="str">
        <f>IF(AC119&lt;60,"1",IF(AC119&lt;=43200,"2",IF(AC119&lt;=777600,"3","4")))</f>
        <v>3</v>
      </c>
      <c r="AE119" s="76">
        <f>AA119-Y119</f>
        <v>2419000</v>
      </c>
      <c r="AF119" s="80">
        <f>AV119</f>
        <v>0.93</v>
      </c>
      <c r="AG119" s="56">
        <f>((AW119-AV119)+(AX119-AW119)+(AY119-AX119))/3</f>
        <v>-9.6666666666666679E-2</v>
      </c>
      <c r="AH119" s="4"/>
      <c r="AI119" s="56">
        <f>RSQ(AV119:AY119,AV118:AY118)</f>
        <v>0.75935492066924859</v>
      </c>
      <c r="AJ119" s="109">
        <f>SLOPE(AV119:AY119,AV118:AY118)</f>
        <v>-1.9222443377150479E-7</v>
      </c>
      <c r="AK119" s="56">
        <f>INTERCEPT(AV119:AY119,AV118:AY118)</f>
        <v>0.86041899653615928</v>
      </c>
      <c r="AL119" s="56">
        <f>INDEX(LINEST(LN(AV119:AY119),LN(AV118:AY118),TRUE,TRUE),3,1)</f>
        <v>0.92648082668429821</v>
      </c>
      <c r="AM119" s="56">
        <f>INDEX(LINEST(LN(AV119:AY119),LN(AV118:AY118)),1)</f>
        <v>-4.13109173593613E-2</v>
      </c>
      <c r="AN119" s="56">
        <f>EXP(INDEX(LINEST(LN(AV119:AY119),LN(AV118:AY118)),1,2))</f>
        <v>1.1705245376297082</v>
      </c>
      <c r="AO119" s="82">
        <f>INDEX(LINEST((AV119:AY119),LN(AV118:AY118),TRUE,TRUE),3,1)</f>
        <v>0.94896974469480833</v>
      </c>
      <c r="AP119" s="82">
        <f>INDEX(LINEST((AV119:AY119),LN(AV118:AY118)),1)</f>
        <v>-3.2331652710597653E-2</v>
      </c>
      <c r="AQ119" s="83">
        <f>INDEX(LINEST(LN(AV119:AY119),SQRT(AV118:AY118),TRUE,TRUE),3,1)</f>
        <v>0.95097437850292799</v>
      </c>
      <c r="AR119" s="116">
        <f>INDEX(LINEST(LN(AV119:AY119),SQRT((AV118:AY118))),1)</f>
        <v>-3.3881770592015761E-4</v>
      </c>
      <c r="AS119" s="84">
        <f>INDEX(LINEST(1/(AV119:AY119),1/(SQRT(AV118:AY118)),TRUE,TRUE),3,1)</f>
        <v>0.79444090076338036</v>
      </c>
      <c r="AT119" s="84">
        <f>INDEX(LINEST(1/(AV119:AY119),1/SQRT(AV118:AY118)),1)</f>
        <v>-5.9599144084099445</v>
      </c>
      <c r="AU119" s="3"/>
      <c r="AV119" s="53">
        <v>0.93</v>
      </c>
      <c r="AW119" s="53">
        <v>0.75</v>
      </c>
      <c r="AX119" s="53">
        <v>0.64</v>
      </c>
      <c r="AY119" s="53">
        <v>0.64</v>
      </c>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53"/>
      <c r="CD119" s="53"/>
      <c r="CE119" s="53"/>
      <c r="CF119" s="53"/>
      <c r="CG119" s="53"/>
      <c r="CH119" s="53"/>
      <c r="CI119" s="53"/>
      <c r="CJ119" s="53"/>
      <c r="CK119" s="53"/>
      <c r="CL119" s="53"/>
      <c r="CM119" s="53"/>
      <c r="CN119" s="53"/>
      <c r="CO119" s="53"/>
      <c r="CP119" s="53"/>
      <c r="CQ119" s="53"/>
      <c r="CR119" s="1"/>
      <c r="CS119" s="1"/>
      <c r="CT119" s="1"/>
      <c r="CU119" s="1"/>
    </row>
    <row r="120" spans="1:99" s="13" customFormat="1" ht="12" customHeight="1" x14ac:dyDescent="0.2">
      <c r="A120" s="65">
        <v>43509</v>
      </c>
      <c r="B120" s="1"/>
      <c r="C120" s="1"/>
      <c r="D120" s="60"/>
      <c r="E120" s="76"/>
      <c r="F120" s="60"/>
      <c r="G120" s="60"/>
      <c r="H120" s="60"/>
      <c r="I120" s="60"/>
      <c r="J120" s="60"/>
      <c r="K120" s="64"/>
      <c r="L120" s="64"/>
      <c r="M120" s="60"/>
      <c r="N120" s="60"/>
      <c r="O120" s="60"/>
      <c r="P120" s="60"/>
      <c r="Q120" s="60"/>
      <c r="R120" s="60"/>
      <c r="S120" s="60"/>
      <c r="T120" s="60"/>
      <c r="U120" s="60"/>
      <c r="V120" s="60"/>
      <c r="W120" s="60"/>
      <c r="X120" s="60"/>
      <c r="Y120" s="76"/>
      <c r="Z120" s="60"/>
      <c r="AA120" s="60"/>
      <c r="AB120" s="60"/>
      <c r="AC120" s="60"/>
      <c r="AD120" s="60"/>
      <c r="AE120" s="60"/>
      <c r="AF120" s="80"/>
      <c r="AG120" s="56"/>
      <c r="AH120" s="4"/>
      <c r="AI120" s="56"/>
      <c r="AJ120" s="109"/>
      <c r="AK120" s="56"/>
      <c r="AL120" s="56"/>
      <c r="AM120" s="56"/>
      <c r="AN120" s="56"/>
      <c r="AO120" s="56"/>
      <c r="AP120" s="56"/>
      <c r="AQ120" s="56"/>
      <c r="AR120" s="109"/>
      <c r="AS120" s="56"/>
      <c r="AT120" s="56"/>
      <c r="AU120" s="4"/>
      <c r="AV120" s="25">
        <f>7*24*60*60*3/7</f>
        <v>259200</v>
      </c>
      <c r="AW120" s="25">
        <f>7*24*60*60*10/7</f>
        <v>864000</v>
      </c>
      <c r="AX120" s="25">
        <f>7*24*60*60*16/7</f>
        <v>1382400</v>
      </c>
      <c r="AY120" s="25">
        <f>7*24*60*60*16/7</f>
        <v>1382400</v>
      </c>
      <c r="AZ120" s="53"/>
      <c r="BA120" s="53"/>
      <c r="BB120" s="53"/>
      <c r="BC120" s="53"/>
      <c r="BD120" s="53"/>
      <c r="BE120" s="53"/>
      <c r="BF120" s="53"/>
      <c r="BG120" s="53"/>
      <c r="BH120" s="53"/>
      <c r="BI120" s="53"/>
      <c r="BJ120" s="53"/>
      <c r="BK120" s="53"/>
      <c r="BL120" s="53"/>
      <c r="BM120" s="53"/>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53"/>
      <c r="CR120" s="1"/>
      <c r="CS120" s="1"/>
      <c r="CT120" s="1"/>
      <c r="CU120" s="1"/>
    </row>
    <row r="121" spans="1:99" s="13" customFormat="1" ht="12" customHeight="1" x14ac:dyDescent="0.2">
      <c r="A121" s="65">
        <v>43509</v>
      </c>
      <c r="B121" s="1" t="s">
        <v>141</v>
      </c>
      <c r="C121" s="1" t="s">
        <v>142</v>
      </c>
      <c r="D121" s="60">
        <v>1925</v>
      </c>
      <c r="E121" s="76">
        <v>2</v>
      </c>
      <c r="F121" s="60">
        <v>41</v>
      </c>
      <c r="G121" s="60">
        <v>41</v>
      </c>
      <c r="H121" s="60" t="s">
        <v>38</v>
      </c>
      <c r="I121" s="60" t="s">
        <v>642</v>
      </c>
      <c r="J121" s="60" t="s">
        <v>320</v>
      </c>
      <c r="K121" s="60">
        <f>IF(J121="syllables",1,IF(J121="trigrams",2,IF(J121="strings",3,IF(J121="visual array",4,IF(J121="characters",5,IF(J121="letters",6,IF(J121="free forms",7,IF(J121="odors",8,IF(J121="words",9,IF(J121="pictures",10,IF(J121="object pictures",11,IF(J121="faces",12,IF(J121="names",13,IF(J121="idioms",14,IF(J121="grades",15,IF(J121="syllable-digit pairs",16,IF(J121="trigram-word pairs",17,IF(J121="word-digit pairs",18,IF(J121="English-Swahili pairs",19,IF(J121="spatial position",20,IF(J121="word pairs",21,IF(J121="word triads",22,IF(J121="generated words",23,IF(J121="word definition pairs",24,IF(J121="math problems",25,IF(J121="famous faces",26,IF(J121="famous names",27,IF(J121="famous voices",28,IF(J121="television programs",29,IF(J121="race horses",30,IF(J121="new vocabulary",31,IF(J121="sentences",32,IF(J121="concepts",33,IF(J121="ad slides",34,IF(J121="scenes",35,IF(J121="famous scenes",36,IF(J121="poems",37,IF(J121="walk",38,IF(J121="faces and events",39,IF(J121="events and names",40,IF(J121="flashbulb",41,IF(J121="stories",42,IF(J121="course material",43,IF(J121="autobiographical",44,IF(J121="novels",45,IF(J121="public events",46,"99"))))))))))))))))))))))))))))))))))))))))))))))</f>
        <v>21</v>
      </c>
      <c r="L121" s="60">
        <f>IF(J121="syllables",1,IF(J121="trigrams",1,IF(J121="strings",1,IF(J121="visual array",1,IF(J121="characters",1,IF(J121="letters",1,IF(J121="free forms",1,IF(J121="odors",2,IF(J121="words",2,IF(J121="pictures",2,IF(J121="object pictures",2,IF(J121="faces",2,IF(J121="names",2,IF(J121="idioms","2",IF(J121="grades",2,IF(J121="syllable-digit pairs",3,IF(J121="trigram-word pairs",3,IF(J121="word-digit pairs",3,IF(J121="English-Swahili pairs",3,IF(J121="spatial position",3,IF(J121="word pairs",4,IF(J121="word triads",4,IF(J121="generated words",4,IF(J121="word definition pairs",4,IF(J121="math problems",4,IF(J121="famous faces",4,IF(J121="famous names",4,IF(J121="famous voices",4,IF(J121="television programs",4,IF(J121="race horses",4,IF(J121="new vocabulary",4,IF(J121="sentences",5,IF(J121="concepts",5,IF(J121="ad slides",5,IF(J121="scenes",5,IF(J121="famous scenes",5,IF(J121="poems",6,IF(J121="walk",6,IF(J121="faces and events",6,IF(J121="events and names",6,IF(J121="flashbulb",7,IF(J121="stories",7,IF(J121="course material",7,IF(J121="autobiographical",7,IF(J121="novels",7,IF(J121="public events",7,"99"))))))))))))))))))))))))))))))))))))))))))))))</f>
        <v>4</v>
      </c>
      <c r="M121" s="60">
        <v>1</v>
      </c>
      <c r="N121" s="60">
        <v>2</v>
      </c>
      <c r="O121" s="60">
        <v>0</v>
      </c>
      <c r="P121" s="60"/>
      <c r="Q121" s="60" t="s">
        <v>34</v>
      </c>
      <c r="R121" s="60">
        <f>IF(Q121="Free Recall",1,IF(Q121="Cued Recall",2,IF(Q121="Recognition",3,IF(Q121="Multiple Choice",4,IF(Q121="Savings",5,IF(Q121="Stem Completion",6,IF(Q121="Fragment Completion",7,IF(Q121="anagram solution",8,IF(Q121="Matching",9,IF(Q121="Problem Solving",10,"99"))))))))))</f>
        <v>3</v>
      </c>
      <c r="S121" s="60" t="s">
        <v>234</v>
      </c>
      <c r="T121" s="59" t="s">
        <v>581</v>
      </c>
      <c r="U121" s="60">
        <f>IF(T121="within",1,0)</f>
        <v>1</v>
      </c>
      <c r="V121" s="59">
        <v>10</v>
      </c>
      <c r="W121" s="60">
        <f>F121*V121</f>
        <v>410</v>
      </c>
      <c r="X121" s="60">
        <v>4</v>
      </c>
      <c r="Y121" s="76">
        <f>AV120</f>
        <v>259200</v>
      </c>
      <c r="Z121" s="60" t="s">
        <v>140</v>
      </c>
      <c r="AA121" s="60">
        <v>2419200</v>
      </c>
      <c r="AB121" s="60" t="str">
        <f>IF(AA121&lt;60,"1",IF(AA121&lt;=43200,"2",IF(AA121&lt;=777600,"3","4")))</f>
        <v>4</v>
      </c>
      <c r="AC121" s="56">
        <f>AVERAGE(AV120:DA120)</f>
        <v>972000</v>
      </c>
      <c r="AD121" s="60" t="str">
        <f>IF(AC121&lt;60,"1",IF(AC121&lt;=43200,"2",IF(AC121&lt;=777600,"3","4")))</f>
        <v>4</v>
      </c>
      <c r="AE121" s="76">
        <f>AA121-Y121</f>
        <v>2160000</v>
      </c>
      <c r="AF121" s="80">
        <f>AV121</f>
        <v>0.99</v>
      </c>
      <c r="AG121" s="56">
        <f>((AW121-AV121)+(AX121-AW121)+(AY121-AX121))/3</f>
        <v>-6.3333333333333311E-2</v>
      </c>
      <c r="AH121" s="4"/>
      <c r="AI121" s="56">
        <f>RSQ(AV121:AY121,AV120:AY120)</f>
        <v>0.99555147194581861</v>
      </c>
      <c r="AJ121" s="109">
        <f>SLOPE(AV121:AY121,AV120:AY120)</f>
        <v>-1.7071128863067856E-7</v>
      </c>
      <c r="AK121" s="56">
        <f>INTERCEPT(AV121:AY121,AV120:AY120)</f>
        <v>1.0384313725490197</v>
      </c>
      <c r="AL121" s="56">
        <f>INDEX(LINEST(LN(AV121:AY121),LN(AV120:AY120),TRUE,TRUE),3,1)</f>
        <v>0.92131180535102941</v>
      </c>
      <c r="AM121" s="56">
        <f>INDEX(LINEST(LN(AV121:AY121),LN(AV120:AY120)),1)</f>
        <v>-0.1252567951266868</v>
      </c>
      <c r="AN121" s="56">
        <f>EXP(INDEX(LINEST(LN(AV121:AY121),LN(AV120:AY120)),1,2))</f>
        <v>4.7754387985376683</v>
      </c>
      <c r="AO121" s="82">
        <f>INDEX(LINEST((AV121:AY121),LN(AV120:AY120),TRUE,TRUE),3,1)</f>
        <v>0.93510039399308198</v>
      </c>
      <c r="AP121" s="82">
        <f>INDEX(LINEST((AV121:AY121),LN(AV120:AY120)),1)</f>
        <v>-0.11185927373276755</v>
      </c>
      <c r="AQ121" s="83">
        <f>INDEX(LINEST(LN(AV121:AY121),SQRT(AV120:AY120),TRUE,TRUE),3,1)</f>
        <v>0.9641735226070669</v>
      </c>
      <c r="AR121" s="116">
        <f>INDEX(LINEST(LN(AV121:AY121),SQRT((AV120:AY120))),1)</f>
        <v>-3.2202643130137439E-4</v>
      </c>
      <c r="AS121" s="84">
        <f>INDEX(LINEST(1/(AV121:AY121),1/(SQRT(AV120:AY120)),TRUE,TRUE),3,1)</f>
        <v>0.85338973495820203</v>
      </c>
      <c r="AT121" s="84">
        <f>INDEX(LINEST(1/(AV121:AY121),1/SQRT(AV120:AY120)),1)</f>
        <v>-203.6814123008636</v>
      </c>
      <c r="AU121" s="3"/>
      <c r="AV121" s="53">
        <v>0.99</v>
      </c>
      <c r="AW121" s="53">
        <v>0.9</v>
      </c>
      <c r="AX121" s="53">
        <v>0.8</v>
      </c>
      <c r="AY121" s="53">
        <v>0.8</v>
      </c>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c r="CO121" s="53"/>
      <c r="CP121" s="53"/>
      <c r="CQ121" s="53"/>
      <c r="CR121" s="1"/>
      <c r="CS121" s="1"/>
      <c r="CT121" s="1"/>
      <c r="CU121" s="1"/>
    </row>
    <row r="122" spans="1:99" s="13" customFormat="1" ht="12" customHeight="1" x14ac:dyDescent="0.2">
      <c r="A122" s="65">
        <v>43509</v>
      </c>
      <c r="B122" s="1"/>
      <c r="C122" s="1"/>
      <c r="D122" s="60"/>
      <c r="E122" s="76"/>
      <c r="F122" s="60"/>
      <c r="G122" s="60"/>
      <c r="H122" s="60"/>
      <c r="I122" s="60"/>
      <c r="J122" s="60"/>
      <c r="K122" s="64"/>
      <c r="L122" s="64"/>
      <c r="M122" s="60"/>
      <c r="N122" s="60"/>
      <c r="O122" s="60"/>
      <c r="P122" s="60"/>
      <c r="Q122" s="60"/>
      <c r="R122" s="60"/>
      <c r="S122" s="60"/>
      <c r="T122" s="60"/>
      <c r="U122" s="60"/>
      <c r="V122" s="60"/>
      <c r="W122" s="60"/>
      <c r="X122" s="60"/>
      <c r="Y122" s="76"/>
      <c r="Z122" s="60"/>
      <c r="AA122" s="60"/>
      <c r="AB122" s="60"/>
      <c r="AC122" s="60"/>
      <c r="AD122" s="60"/>
      <c r="AE122" s="60"/>
      <c r="AF122" s="80"/>
      <c r="AG122" s="56"/>
      <c r="AH122" s="4"/>
      <c r="AI122" s="56"/>
      <c r="AJ122" s="109"/>
      <c r="AK122" s="56"/>
      <c r="AL122" s="56"/>
      <c r="AM122" s="56"/>
      <c r="AN122" s="56"/>
      <c r="AO122" s="56"/>
      <c r="AP122" s="56"/>
      <c r="AQ122" s="56"/>
      <c r="AR122" s="109"/>
      <c r="AS122" s="56"/>
      <c r="AT122" s="56"/>
      <c r="AU122" s="4"/>
      <c r="AV122" s="25">
        <f>7*24*60*60*3/7</f>
        <v>259200</v>
      </c>
      <c r="AW122" s="25">
        <f>7*24*60*60*10/7</f>
        <v>864000</v>
      </c>
      <c r="AX122" s="25">
        <f>7*24*60*60*16/7</f>
        <v>1382400</v>
      </c>
      <c r="AY122" s="43"/>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c r="CA122" s="53"/>
      <c r="CB122" s="53"/>
      <c r="CC122" s="53"/>
      <c r="CD122" s="53"/>
      <c r="CE122" s="53"/>
      <c r="CF122" s="53"/>
      <c r="CG122" s="53"/>
      <c r="CH122" s="53"/>
      <c r="CI122" s="53"/>
      <c r="CJ122" s="53"/>
      <c r="CK122" s="53"/>
      <c r="CL122" s="53"/>
      <c r="CM122" s="53"/>
      <c r="CN122" s="53"/>
      <c r="CO122" s="53"/>
      <c r="CP122" s="53"/>
      <c r="CQ122" s="53"/>
      <c r="CR122" s="1"/>
      <c r="CS122" s="1"/>
      <c r="CT122" s="1"/>
      <c r="CU122" s="1"/>
    </row>
    <row r="123" spans="1:99" s="13" customFormat="1" ht="12" customHeight="1" x14ac:dyDescent="0.2">
      <c r="A123" s="65">
        <v>43509</v>
      </c>
      <c r="B123" s="1" t="s">
        <v>141</v>
      </c>
      <c r="C123" s="1" t="s">
        <v>142</v>
      </c>
      <c r="D123" s="60">
        <v>1925</v>
      </c>
      <c r="E123" s="76">
        <v>3</v>
      </c>
      <c r="F123" s="60">
        <v>47</v>
      </c>
      <c r="G123" s="60">
        <v>47</v>
      </c>
      <c r="H123" s="60" t="s">
        <v>398</v>
      </c>
      <c r="I123" s="60" t="s">
        <v>642</v>
      </c>
      <c r="J123" s="60" t="s">
        <v>320</v>
      </c>
      <c r="K123" s="60">
        <f>IF(J123="syllables",1,IF(J123="trigrams",2,IF(J123="strings",3,IF(J123="visual array",4,IF(J123="characters",5,IF(J123="letters",6,IF(J123="free forms",7,IF(J123="odors",8,IF(J123="words",9,IF(J123="pictures",10,IF(J123="object pictures",11,IF(J123="faces",12,IF(J123="names",13,IF(J123="idioms",14,IF(J123="grades",15,IF(J123="syllable-digit pairs",16,IF(J123="trigram-word pairs",17,IF(J123="word-digit pairs",18,IF(J123="English-Swahili pairs",19,IF(J123="spatial position",20,IF(J123="word pairs",21,IF(J123="word triads",22,IF(J123="generated words",23,IF(J123="word definition pairs",24,IF(J123="math problems",25,IF(J123="famous faces",26,IF(J123="famous names",27,IF(J123="famous voices",28,IF(J123="television programs",29,IF(J123="race horses",30,IF(J123="new vocabulary",31,IF(J123="sentences",32,IF(J123="concepts",33,IF(J123="ad slides",34,IF(J123="scenes",35,IF(J123="famous scenes",36,IF(J123="poems",37,IF(J123="walk",38,IF(J123="faces and events",39,IF(J123="events and names",40,IF(J123="flashbulb",41,IF(J123="stories",42,IF(J123="course material",43,IF(J123="autobiographical",44,IF(J123="novels",45,IF(J123="public events",46,"99"))))))))))))))))))))))))))))))))))))))))))))))</f>
        <v>21</v>
      </c>
      <c r="L123" s="60">
        <f>IF(J123="syllables",1,IF(J123="trigrams",1,IF(J123="strings",1,IF(J123="visual array",1,IF(J123="characters",1,IF(J123="letters",1,IF(J123="free forms",1,IF(J123="odors",2,IF(J123="words",2,IF(J123="pictures",2,IF(J123="object pictures",2,IF(J123="faces",2,IF(J123="names",2,IF(J123="idioms","2",IF(J123="grades",2,IF(J123="syllable-digit pairs",3,IF(J123="trigram-word pairs",3,IF(J123="word-digit pairs",3,IF(J123="English-Swahili pairs",3,IF(J123="spatial position",3,IF(J123="word pairs",4,IF(J123="word triads",4,IF(J123="generated words",4,IF(J123="word definition pairs",4,IF(J123="math problems",4,IF(J123="famous faces",4,IF(J123="famous names",4,IF(J123="famous voices",4,IF(J123="television programs",4,IF(J123="race horses",4,IF(J123="new vocabulary",4,IF(J123="sentences",5,IF(J123="concepts",5,IF(J123="ad slides",5,IF(J123="scenes",5,IF(J123="famous scenes",5,IF(J123="poems",6,IF(J123="walk",6,IF(J123="faces and events",6,IF(J123="events and names",6,IF(J123="flashbulb",7,IF(J123="stories",7,IF(J123="course material",7,IF(J123="autobiographical",7,IF(J123="novels",7,IF(J123="public events",7,"99"))))))))))))))))))))))))))))))))))))))))))))))</f>
        <v>4</v>
      </c>
      <c r="M123" s="60">
        <v>1</v>
      </c>
      <c r="N123" s="60">
        <v>2</v>
      </c>
      <c r="O123" s="60">
        <v>0</v>
      </c>
      <c r="P123" s="60"/>
      <c r="Q123" s="60" t="s">
        <v>174</v>
      </c>
      <c r="R123" s="60">
        <f>IF(Q123="Free Recall",1,IF(Q123="Cued Recall",2,IF(Q123="Recognition",3,IF(Q123="Multiple Choice",4,IF(Q123="Savings",5,IF(Q123="Stem Completion",6,IF(Q123="Fragment Completion",7,IF(Q123="anagram solution",8,IF(Q123="Matching",9,IF(Q123="Problem Solving",10,"99"))))))))))</f>
        <v>1</v>
      </c>
      <c r="S123" s="60" t="s">
        <v>234</v>
      </c>
      <c r="T123" s="59" t="s">
        <v>581</v>
      </c>
      <c r="U123" s="60">
        <f>IF(T123="within",1,0)</f>
        <v>1</v>
      </c>
      <c r="V123" s="59">
        <v>10</v>
      </c>
      <c r="W123" s="60">
        <f>F123*V123</f>
        <v>470</v>
      </c>
      <c r="X123" s="60">
        <v>3</v>
      </c>
      <c r="Y123" s="76">
        <f>AV122</f>
        <v>259200</v>
      </c>
      <c r="Z123" s="60" t="s">
        <v>140</v>
      </c>
      <c r="AA123" s="60">
        <v>2419200</v>
      </c>
      <c r="AB123" s="60" t="str">
        <f>IF(AA123&lt;60,"1",IF(AA123&lt;=43200,"2",IF(AA123&lt;=777600,"3","4")))</f>
        <v>4</v>
      </c>
      <c r="AC123" s="56">
        <f>AVERAGE(AV122:DA122)</f>
        <v>835200</v>
      </c>
      <c r="AD123" s="60" t="str">
        <f>IF(AC123&lt;60,"1",IF(AC123&lt;=43200,"2",IF(AC123&lt;=777600,"3","4")))</f>
        <v>4</v>
      </c>
      <c r="AE123" s="76">
        <f>AA123-Y123</f>
        <v>2160000</v>
      </c>
      <c r="AF123" s="80">
        <f>AV123</f>
        <v>0.65</v>
      </c>
      <c r="AG123" s="56">
        <f>((AW123-AV123)+(AX123-AW123))/2</f>
        <v>-0.22000000000000003</v>
      </c>
      <c r="AH123" s="4"/>
      <c r="AI123" s="56">
        <f>RSQ(AV123:AX123,AV122:AX122)</f>
        <v>0.9212756294112221</v>
      </c>
      <c r="AJ123" s="109">
        <f>SLOPE(AV123:AX123,AV122:AX122)</f>
        <v>-3.9689049285505984E-7</v>
      </c>
      <c r="AK123" s="56">
        <f>INTERCEPT(AV123:AX123,AV122:AX122)</f>
        <v>0.71814960629921265</v>
      </c>
      <c r="AL123" s="56">
        <f>INDEX(LINEST(LN(AV123:AX123),LN(AV122:AX122),TRUE,TRUE),3,1)</f>
        <v>0.99853921344178687</v>
      </c>
      <c r="AM123" s="56">
        <f>INDEX(LINEST(LN(AV123:AX123),LN(AV122:AX122)),1)</f>
        <v>-0.66848613975194271</v>
      </c>
      <c r="AN123" s="56">
        <f>EXP(INDEX(LINEST(LN(AV123:AX123),LN(AV122:AX122)),1,2))</f>
        <v>2721.8646112133324</v>
      </c>
      <c r="AO123" s="82">
        <f>INDEX(LINEST((AV123:AX123),LN(AV122:AX122),TRUE,TRUE),3,1)</f>
        <v>0.99347852900894018</v>
      </c>
      <c r="AP123" s="82">
        <f>INDEX(LINEST((AV123:AX123),LN(AV122:AX122)),1)</f>
        <v>-0.2683510142310544</v>
      </c>
      <c r="AQ123" s="83">
        <f>INDEX(LINEST(LN(AV123:AX123),SQRT(AV122:AX122),TRUE,TRUE),3,1)</f>
        <v>0.99640418377092466</v>
      </c>
      <c r="AR123" s="116">
        <f>INDEX(LINEST(LN(AV123:AX123),SQRT((AV122:AX122))),1)</f>
        <v>-1.7103673641531817E-3</v>
      </c>
      <c r="AS123" s="84">
        <f>INDEX(LINEST(1/(AV123:AX123),1/(SQRT(AV122:AX122)),TRUE,TRUE),3,1)</f>
        <v>0.93111474075430534</v>
      </c>
      <c r="AT123" s="84">
        <f>INDEX(LINEST(1/(AV123:AX123),1/SQRT(AV122:AX122)),1)</f>
        <v>-2646.9601144353173</v>
      </c>
      <c r="AU123" s="3"/>
      <c r="AV123" s="53">
        <v>0.65</v>
      </c>
      <c r="AW123" s="53">
        <v>0.3</v>
      </c>
      <c r="AX123" s="53">
        <v>0.21</v>
      </c>
      <c r="AY123" s="43"/>
      <c r="AZ123" s="53"/>
      <c r="BA123" s="53"/>
      <c r="BB123" s="53"/>
      <c r="BC123" s="53"/>
      <c r="BD123" s="53"/>
      <c r="BE123" s="53"/>
      <c r="BF123" s="53"/>
      <c r="BG123" s="53"/>
      <c r="BH123" s="53"/>
      <c r="BI123" s="53"/>
      <c r="BJ123" s="53"/>
      <c r="BK123" s="53"/>
      <c r="BL123" s="53"/>
      <c r="BM123" s="53"/>
      <c r="BN123" s="53"/>
      <c r="BO123" s="53"/>
      <c r="BP123" s="53"/>
      <c r="BQ123" s="53"/>
      <c r="BR123" s="53"/>
      <c r="BS123" s="53"/>
      <c r="BT123" s="53"/>
      <c r="BU123" s="53"/>
      <c r="BV123" s="53"/>
      <c r="BW123" s="53"/>
      <c r="BX123" s="53"/>
      <c r="BY123" s="53"/>
      <c r="BZ123" s="53"/>
      <c r="CA123" s="53"/>
      <c r="CB123" s="53"/>
      <c r="CC123" s="53"/>
      <c r="CD123" s="53"/>
      <c r="CE123" s="53"/>
      <c r="CF123" s="53"/>
      <c r="CG123" s="53"/>
      <c r="CH123" s="53"/>
      <c r="CI123" s="53"/>
      <c r="CJ123" s="53"/>
      <c r="CK123" s="53"/>
      <c r="CL123" s="53"/>
      <c r="CM123" s="53"/>
      <c r="CN123" s="53"/>
      <c r="CO123" s="53"/>
      <c r="CP123" s="53"/>
      <c r="CQ123" s="53"/>
      <c r="CR123" s="1"/>
      <c r="CS123" s="1"/>
      <c r="CT123" s="1"/>
      <c r="CU123" s="1"/>
    </row>
    <row r="124" spans="1:99" s="13" customFormat="1" ht="12" customHeight="1" x14ac:dyDescent="0.2">
      <c r="A124" s="65">
        <v>43509</v>
      </c>
      <c r="B124" s="1"/>
      <c r="C124" s="1"/>
      <c r="D124" s="60"/>
      <c r="E124" s="76"/>
      <c r="F124" s="60"/>
      <c r="G124" s="60"/>
      <c r="H124" s="60"/>
      <c r="I124" s="60"/>
      <c r="J124" s="60"/>
      <c r="K124" s="64"/>
      <c r="L124" s="64"/>
      <c r="M124" s="60"/>
      <c r="N124" s="60"/>
      <c r="O124" s="60"/>
      <c r="P124" s="60"/>
      <c r="Q124" s="60"/>
      <c r="R124" s="60"/>
      <c r="S124" s="60"/>
      <c r="T124" s="60"/>
      <c r="U124" s="60"/>
      <c r="V124" s="60"/>
      <c r="W124" s="60"/>
      <c r="X124" s="60"/>
      <c r="Y124" s="76"/>
      <c r="Z124" s="60"/>
      <c r="AA124" s="60"/>
      <c r="AB124" s="60"/>
      <c r="AC124" s="60"/>
      <c r="AD124" s="60"/>
      <c r="AE124" s="60"/>
      <c r="AF124" s="80"/>
      <c r="AG124" s="56"/>
      <c r="AH124" s="4"/>
      <c r="AI124" s="56"/>
      <c r="AJ124" s="109"/>
      <c r="AK124" s="56"/>
      <c r="AL124" s="56"/>
      <c r="AM124" s="56"/>
      <c r="AN124" s="56"/>
      <c r="AO124" s="56"/>
      <c r="AP124" s="56"/>
      <c r="AQ124" s="56"/>
      <c r="AR124" s="109"/>
      <c r="AS124" s="56"/>
      <c r="AT124" s="56"/>
      <c r="AU124" s="4"/>
      <c r="AV124" s="25">
        <f>(4*100)/2</f>
        <v>200</v>
      </c>
      <c r="AW124" s="25">
        <f>7*24*60*60*3/7</f>
        <v>259200</v>
      </c>
      <c r="AX124" s="25">
        <f>7*24*60*60*10/7</f>
        <v>864000</v>
      </c>
      <c r="AY124" s="25">
        <f>7*24*60*60*16/7</f>
        <v>1382400</v>
      </c>
      <c r="AZ124" s="53"/>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c r="BY124" s="53"/>
      <c r="BZ124" s="53"/>
      <c r="CA124" s="53"/>
      <c r="CB124" s="53"/>
      <c r="CC124" s="53"/>
      <c r="CD124" s="53"/>
      <c r="CE124" s="53"/>
      <c r="CF124" s="53"/>
      <c r="CG124" s="53"/>
      <c r="CH124" s="53"/>
      <c r="CI124" s="53"/>
      <c r="CJ124" s="53"/>
      <c r="CK124" s="53"/>
      <c r="CL124" s="53"/>
      <c r="CM124" s="53"/>
      <c r="CN124" s="53"/>
      <c r="CO124" s="53"/>
      <c r="CP124" s="53"/>
      <c r="CQ124" s="53"/>
      <c r="CR124" s="1"/>
      <c r="CS124" s="1"/>
      <c r="CT124" s="1"/>
      <c r="CU124" s="1"/>
    </row>
    <row r="125" spans="1:99" s="13" customFormat="1" ht="12" customHeight="1" x14ac:dyDescent="0.2">
      <c r="A125" s="65">
        <v>43509</v>
      </c>
      <c r="B125" s="1" t="s">
        <v>141</v>
      </c>
      <c r="C125" s="1" t="s">
        <v>142</v>
      </c>
      <c r="D125" s="60">
        <v>1925</v>
      </c>
      <c r="E125" s="76">
        <v>3</v>
      </c>
      <c r="F125" s="60">
        <v>47</v>
      </c>
      <c r="G125" s="60">
        <v>47</v>
      </c>
      <c r="H125" s="60" t="s">
        <v>398</v>
      </c>
      <c r="I125" s="60" t="s">
        <v>641</v>
      </c>
      <c r="J125" s="60" t="s">
        <v>320</v>
      </c>
      <c r="K125" s="60">
        <f>IF(J125="syllables",1,IF(J125="trigrams",2,IF(J125="strings",3,IF(J125="visual array",4,IF(J125="characters",5,IF(J125="letters",6,IF(J125="free forms",7,IF(J125="odors",8,IF(J125="words",9,IF(J125="pictures",10,IF(J125="object pictures",11,IF(J125="faces",12,IF(J125="names",13,IF(J125="idioms",14,IF(J125="grades",15,IF(J125="syllable-digit pairs",16,IF(J125="trigram-word pairs",17,IF(J125="word-digit pairs",18,IF(J125="English-Swahili pairs",19,IF(J125="spatial position",20,IF(J125="word pairs",21,IF(J125="word triads",22,IF(J125="generated words",23,IF(J125="word definition pairs",24,IF(J125="math problems",25,IF(J125="famous faces",26,IF(J125="famous names",27,IF(J125="famous voices",28,IF(J125="television programs",29,IF(J125="race horses",30,IF(J125="new vocabulary",31,IF(J125="sentences",32,IF(J125="concepts",33,IF(J125="ad slides",34,IF(J125="scenes",35,IF(J125="famous scenes",36,IF(J125="poems",37,IF(J125="walk",38,IF(J125="faces and events",39,IF(J125="events and names",40,IF(J125="flashbulb",41,IF(J125="stories",42,IF(J125="course material",43,IF(J125="autobiographical",44,IF(J125="novels",45,IF(J125="public events",46,"99"))))))))))))))))))))))))))))))))))))))))))))))</f>
        <v>21</v>
      </c>
      <c r="L125" s="60">
        <f>IF(J125="syllables",1,IF(J125="trigrams",1,IF(J125="strings",1,IF(J125="visual array",1,IF(J125="characters",1,IF(J125="letters",1,IF(J125="free forms",1,IF(J125="odors",2,IF(J125="words",2,IF(J125="pictures",2,IF(J125="object pictures",2,IF(J125="faces",2,IF(J125="names",2,IF(J125="idioms","2",IF(J125="grades",2,IF(J125="syllable-digit pairs",3,IF(J125="trigram-word pairs",3,IF(J125="word-digit pairs",3,IF(J125="English-Swahili pairs",3,IF(J125="spatial position",3,IF(J125="word pairs",4,IF(J125="word triads",4,IF(J125="generated words",4,IF(J125="word definition pairs",4,IF(J125="math problems",4,IF(J125="famous faces",4,IF(J125="famous names",4,IF(J125="famous voices",4,IF(J125="television programs",4,IF(J125="race horses",4,IF(J125="new vocabulary",4,IF(J125="sentences",5,IF(J125="concepts",5,IF(J125="ad slides",5,IF(J125="scenes",5,IF(J125="famous scenes",5,IF(J125="poems",6,IF(J125="walk",6,IF(J125="faces and events",6,IF(J125="events and names",6,IF(J125="flashbulb",7,IF(J125="stories",7,IF(J125="course material",7,IF(J125="autobiographical",7,IF(J125="novels",7,IF(J125="public events",7,"99"))))))))))))))))))))))))))))))))))))))))))))))</f>
        <v>4</v>
      </c>
      <c r="M125" s="60">
        <v>1</v>
      </c>
      <c r="N125" s="60">
        <v>2</v>
      </c>
      <c r="O125" s="60">
        <v>0</v>
      </c>
      <c r="P125" s="60"/>
      <c r="Q125" s="60" t="s">
        <v>34</v>
      </c>
      <c r="R125" s="60">
        <f>IF(Q125="Free Recall",1,IF(Q125="Cued Recall",2,IF(Q125="Recognition",3,IF(Q125="Multiple Choice",4,IF(Q125="Savings",5,IF(Q125="Stem Completion",6,IF(Q125="Fragment Completion",7,IF(Q125="anagram solution",8,IF(Q125="Matching",9,IF(Q125="Problem Solving",10,"99"))))))))))</f>
        <v>3</v>
      </c>
      <c r="S125" s="60" t="s">
        <v>234</v>
      </c>
      <c r="T125" s="59" t="s">
        <v>581</v>
      </c>
      <c r="U125" s="60">
        <f>IF(T125="within",1,0)</f>
        <v>1</v>
      </c>
      <c r="V125" s="59">
        <v>10</v>
      </c>
      <c r="W125" s="60">
        <f>F125*V125</f>
        <v>470</v>
      </c>
      <c r="X125" s="60">
        <v>4</v>
      </c>
      <c r="Y125" s="76">
        <f>AV124</f>
        <v>200</v>
      </c>
      <c r="Z125" s="60" t="s">
        <v>140</v>
      </c>
      <c r="AA125" s="60">
        <v>2419200</v>
      </c>
      <c r="AB125" s="60" t="str">
        <f>IF(AA125&lt;60,"1",IF(AA125&lt;=43200,"2",IF(AA125&lt;=777600,"3","4")))</f>
        <v>4</v>
      </c>
      <c r="AC125" s="56">
        <f>AVERAGE(AV124:DA124)</f>
        <v>626450</v>
      </c>
      <c r="AD125" s="60" t="str">
        <f>IF(AC125&lt;60,"1",IF(AC125&lt;=43200,"2",IF(AC125&lt;=777600,"3","4")))</f>
        <v>3</v>
      </c>
      <c r="AE125" s="76">
        <f>AA125-Y125</f>
        <v>2419000</v>
      </c>
      <c r="AF125" s="80">
        <f>AV125</f>
        <v>0.95</v>
      </c>
      <c r="AG125" s="56">
        <f>((AW125-AV125)+(AX125-AW125)+(AY125-AX125))/3</f>
        <v>-9.6666666666666637E-2</v>
      </c>
      <c r="AH125" s="4"/>
      <c r="AI125" s="56">
        <f>RSQ(AV125:AY125,AV124:AY124)</f>
        <v>0.92178749270917226</v>
      </c>
      <c r="AJ125" s="109">
        <f>SLOPE(AV125:AY125,AV124:AY124)</f>
        <v>-1.8755540868654081E-7</v>
      </c>
      <c r="AK125" s="56">
        <f>INTERCEPT(AV125:AY125,AV124:AY124)</f>
        <v>0.91499408577168362</v>
      </c>
      <c r="AL125" s="56">
        <f>INDEX(LINEST(LN(AV125:AY125),LN(AV124:AY124),TRUE,TRUE),3,1)</f>
        <v>0.78584447993003959</v>
      </c>
      <c r="AM125" s="56">
        <f>INDEX(LINEST(LN(AV125:AY125),LN(AV124:AY124)),1)</f>
        <v>-3.2653784473412759E-2</v>
      </c>
      <c r="AN125" s="56">
        <f>EXP(INDEX(LINEST(LN(AV125:AY125),LN(AV124:AY124)),1,2))</f>
        <v>1.1469464485795819</v>
      </c>
      <c r="AO125" s="82">
        <f>INDEX(LINEST((AV125:AY125),LN(AV124:AY124),TRUE,TRUE),3,1)</f>
        <v>0.83259473987406729</v>
      </c>
      <c r="AP125" s="82">
        <f>INDEX(LINEST((AV125:AY125),LN(AV124:AY124)),1)</f>
        <v>-2.6819245520803281E-2</v>
      </c>
      <c r="AQ125" s="83">
        <f>INDEX(LINEST(LN(AV125:AY125),SQRT(AV124:AY124),TRUE,TRUE),3,1)</f>
        <v>0.96368518379171042</v>
      </c>
      <c r="AR125" s="116">
        <f>INDEX(LINEST(LN(AV125:AY125),SQRT((AV124:AY124))),1)</f>
        <v>-2.9273043487145059E-4</v>
      </c>
      <c r="AS125" s="84">
        <f>INDEX(LINEST(1/(AV125:AY125),1/(SQRT(AV124:AY124)),TRUE,TRUE),3,1)</f>
        <v>0.60517585152111097</v>
      </c>
      <c r="AT125" s="84">
        <f>INDEX(LINEST(1/(AV125:AY125),1/SQRT(AV124:AY124)),1)</f>
        <v>-4.3277419395009451</v>
      </c>
      <c r="AU125" s="3"/>
      <c r="AV125" s="53">
        <v>0.95</v>
      </c>
      <c r="AW125" s="53">
        <v>0.82</v>
      </c>
      <c r="AX125" s="53">
        <v>0.76</v>
      </c>
      <c r="AY125" s="53">
        <v>0.66</v>
      </c>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53"/>
      <c r="CD125" s="53"/>
      <c r="CE125" s="53"/>
      <c r="CF125" s="53"/>
      <c r="CG125" s="53"/>
      <c r="CH125" s="53"/>
      <c r="CI125" s="53"/>
      <c r="CJ125" s="53"/>
      <c r="CK125" s="53"/>
      <c r="CL125" s="53"/>
      <c r="CM125" s="53"/>
      <c r="CN125" s="53"/>
      <c r="CO125" s="53"/>
      <c r="CP125" s="53"/>
      <c r="CQ125" s="53"/>
      <c r="CR125" s="1"/>
      <c r="CS125" s="1"/>
      <c r="CT125" s="1"/>
      <c r="CU125" s="1"/>
    </row>
    <row r="126" spans="1:99" s="13" customFormat="1" ht="12" customHeight="1" x14ac:dyDescent="0.2">
      <c r="A126" s="65">
        <v>43509</v>
      </c>
      <c r="B126" s="1"/>
      <c r="C126" s="1"/>
      <c r="D126" s="60"/>
      <c r="E126" s="76"/>
      <c r="F126" s="60"/>
      <c r="G126" s="60"/>
      <c r="H126" s="60"/>
      <c r="I126" s="60"/>
      <c r="J126" s="60"/>
      <c r="K126" s="64"/>
      <c r="L126" s="64"/>
      <c r="M126" s="60"/>
      <c r="N126" s="60"/>
      <c r="O126" s="60"/>
      <c r="P126" s="60"/>
      <c r="Q126" s="60"/>
      <c r="R126" s="60"/>
      <c r="S126" s="60"/>
      <c r="T126" s="60"/>
      <c r="U126" s="60"/>
      <c r="V126" s="60"/>
      <c r="W126" s="60"/>
      <c r="X126" s="60"/>
      <c r="Y126" s="76"/>
      <c r="Z126" s="60"/>
      <c r="AA126" s="60"/>
      <c r="AB126" s="60"/>
      <c r="AC126" s="60"/>
      <c r="AD126" s="60"/>
      <c r="AE126" s="60"/>
      <c r="AF126" s="80"/>
      <c r="AG126" s="56"/>
      <c r="AH126" s="4"/>
      <c r="AI126" s="56"/>
      <c r="AJ126" s="109"/>
      <c r="AK126" s="56"/>
      <c r="AL126" s="56"/>
      <c r="AM126" s="56"/>
      <c r="AN126" s="56"/>
      <c r="AO126" s="56"/>
      <c r="AP126" s="56"/>
      <c r="AQ126" s="56"/>
      <c r="AR126" s="109"/>
      <c r="AS126" s="56"/>
      <c r="AT126" s="56"/>
      <c r="AU126" s="4"/>
      <c r="AV126" s="25">
        <f>7*24*60*60*3/7</f>
        <v>259200</v>
      </c>
      <c r="AW126" s="25">
        <f>7*24*60*60*10/7</f>
        <v>864000</v>
      </c>
      <c r="AX126" s="25">
        <f>7*24*60*60*16/7</f>
        <v>1382400</v>
      </c>
      <c r="AY126" s="43"/>
      <c r="AZ126" s="53"/>
      <c r="BA126" s="53"/>
      <c r="BB126" s="53"/>
      <c r="BC126" s="53"/>
      <c r="BD126" s="53"/>
      <c r="BE126" s="53"/>
      <c r="BF126" s="53"/>
      <c r="BG126" s="53"/>
      <c r="BH126" s="53"/>
      <c r="BI126" s="53"/>
      <c r="BJ126" s="53"/>
      <c r="BK126" s="53"/>
      <c r="BL126" s="53"/>
      <c r="BM126" s="53"/>
      <c r="BN126" s="53"/>
      <c r="BO126" s="53"/>
      <c r="BP126" s="53"/>
      <c r="BQ126" s="53"/>
      <c r="BR126" s="53"/>
      <c r="BS126" s="53"/>
      <c r="BT126" s="53"/>
      <c r="BU126" s="53"/>
      <c r="BV126" s="53"/>
      <c r="BW126" s="53"/>
      <c r="BX126" s="53"/>
      <c r="BY126" s="53"/>
      <c r="BZ126" s="53"/>
      <c r="CA126" s="53"/>
      <c r="CB126" s="53"/>
      <c r="CC126" s="53"/>
      <c r="CD126" s="53"/>
      <c r="CE126" s="53"/>
      <c r="CF126" s="53"/>
      <c r="CG126" s="53"/>
      <c r="CH126" s="53"/>
      <c r="CI126" s="53"/>
      <c r="CJ126" s="53"/>
      <c r="CK126" s="53"/>
      <c r="CL126" s="53"/>
      <c r="CM126" s="53"/>
      <c r="CN126" s="53"/>
      <c r="CO126" s="53"/>
      <c r="CP126" s="53"/>
      <c r="CQ126" s="53"/>
      <c r="CR126" s="1"/>
      <c r="CS126" s="1"/>
      <c r="CT126" s="1"/>
      <c r="CU126" s="1"/>
    </row>
    <row r="127" spans="1:99" s="13" customFormat="1" ht="12" customHeight="1" x14ac:dyDescent="0.2">
      <c r="A127" s="65">
        <v>43509</v>
      </c>
      <c r="B127" s="1" t="s">
        <v>141</v>
      </c>
      <c r="C127" s="1" t="s">
        <v>142</v>
      </c>
      <c r="D127" s="60">
        <v>1925</v>
      </c>
      <c r="E127" s="76">
        <v>3</v>
      </c>
      <c r="F127" s="60">
        <v>47</v>
      </c>
      <c r="G127" s="60">
        <v>47</v>
      </c>
      <c r="H127" s="60" t="s">
        <v>398</v>
      </c>
      <c r="I127" s="60" t="s">
        <v>642</v>
      </c>
      <c r="J127" s="60" t="s">
        <v>320</v>
      </c>
      <c r="K127" s="60">
        <f>IF(J127="syllables",1,IF(J127="trigrams",2,IF(J127="strings",3,IF(J127="visual array",4,IF(J127="characters",5,IF(J127="letters",6,IF(J127="free forms",7,IF(J127="odors",8,IF(J127="words",9,IF(J127="pictures",10,IF(J127="object pictures",11,IF(J127="faces",12,IF(J127="names",13,IF(J127="idioms",14,IF(J127="grades",15,IF(J127="syllable-digit pairs",16,IF(J127="trigram-word pairs",17,IF(J127="word-digit pairs",18,IF(J127="English-Swahili pairs",19,IF(J127="spatial position",20,IF(J127="word pairs",21,IF(J127="word triads",22,IF(J127="generated words",23,IF(J127="word definition pairs",24,IF(J127="math problems",25,IF(J127="famous faces",26,IF(J127="famous names",27,IF(J127="famous voices",28,IF(J127="television programs",29,IF(J127="race horses",30,IF(J127="new vocabulary",31,IF(J127="sentences",32,IF(J127="concepts",33,IF(J127="ad slides",34,IF(J127="scenes",35,IF(J127="famous scenes",36,IF(J127="poems",37,IF(J127="walk",38,IF(J127="faces and events",39,IF(J127="events and names",40,IF(J127="flashbulb",41,IF(J127="stories",42,IF(J127="course material",43,IF(J127="autobiographical",44,IF(J127="novels",45,IF(J127="public events",46,"99"))))))))))))))))))))))))))))))))))))))))))))))</f>
        <v>21</v>
      </c>
      <c r="L127" s="60">
        <f>IF(J127="syllables",1,IF(J127="trigrams",1,IF(J127="strings",1,IF(J127="visual array",1,IF(J127="characters",1,IF(J127="letters",1,IF(J127="free forms",1,IF(J127="odors",2,IF(J127="words",2,IF(J127="pictures",2,IF(J127="object pictures",2,IF(J127="faces",2,IF(J127="names",2,IF(J127="idioms","2",IF(J127="grades",2,IF(J127="syllable-digit pairs",3,IF(J127="trigram-word pairs",3,IF(J127="word-digit pairs",3,IF(J127="English-Swahili pairs",3,IF(J127="spatial position",3,IF(J127="word pairs",4,IF(J127="word triads",4,IF(J127="generated words",4,IF(J127="word definition pairs",4,IF(J127="math problems",4,IF(J127="famous faces",4,IF(J127="famous names",4,IF(J127="famous voices",4,IF(J127="television programs",4,IF(J127="race horses",4,IF(J127="new vocabulary",4,IF(J127="sentences",5,IF(J127="concepts",5,IF(J127="ad slides",5,IF(J127="scenes",5,IF(J127="famous scenes",5,IF(J127="poems",6,IF(J127="walk",6,IF(J127="faces and events",6,IF(J127="events and names",6,IF(J127="flashbulb",7,IF(J127="stories",7,IF(J127="course material",7,IF(J127="autobiographical",7,IF(J127="novels",7,IF(J127="public events",7,"99"))))))))))))))))))))))))))))))))))))))))))))))</f>
        <v>4</v>
      </c>
      <c r="M127" s="60">
        <v>1</v>
      </c>
      <c r="N127" s="60">
        <v>2</v>
      </c>
      <c r="O127" s="60">
        <v>0</v>
      </c>
      <c r="P127" s="60"/>
      <c r="Q127" s="60" t="s">
        <v>34</v>
      </c>
      <c r="R127" s="60">
        <f>IF(Q127="Free Recall",1,IF(Q127="Cued Recall",2,IF(Q127="Recognition",3,IF(Q127="Multiple Choice",4,IF(Q127="Savings",5,IF(Q127="Stem Completion",6,IF(Q127="Fragment Completion",7,IF(Q127="anagram solution",8,IF(Q127="Matching",9,IF(Q127="Problem Solving",10,"99"))))))))))</f>
        <v>3</v>
      </c>
      <c r="S127" s="60" t="s">
        <v>234</v>
      </c>
      <c r="T127" s="59" t="s">
        <v>581</v>
      </c>
      <c r="U127" s="60">
        <f>IF(T127="within",1,0)</f>
        <v>1</v>
      </c>
      <c r="V127" s="59">
        <v>10</v>
      </c>
      <c r="W127" s="60">
        <f>F127*V127</f>
        <v>470</v>
      </c>
      <c r="X127" s="60">
        <v>3</v>
      </c>
      <c r="Y127" s="76">
        <f>AV126</f>
        <v>259200</v>
      </c>
      <c r="Z127" s="60" t="s">
        <v>140</v>
      </c>
      <c r="AA127" s="60">
        <v>2419200</v>
      </c>
      <c r="AB127" s="60" t="str">
        <f>IF(AA127&lt;60,"1",IF(AA127&lt;=43200,"2",IF(AA127&lt;=777600,"3","4")))</f>
        <v>4</v>
      </c>
      <c r="AC127" s="56">
        <f>AVERAGE(AV126:DA126)</f>
        <v>835200</v>
      </c>
      <c r="AD127" s="60" t="str">
        <f>IF(AC127&lt;60,"1",IF(AC127&lt;=43200,"2",IF(AC127&lt;=777600,"3","4")))</f>
        <v>4</v>
      </c>
      <c r="AE127" s="76">
        <f>AA127-Y127</f>
        <v>2160000</v>
      </c>
      <c r="AF127" s="80">
        <f>AV127</f>
        <v>0.99</v>
      </c>
      <c r="AG127" s="56">
        <f>((AW127-AV127)+(AX127-AW127))/2</f>
        <v>-8.9999999999999969E-2</v>
      </c>
      <c r="AH127" s="4"/>
      <c r="AI127" s="56">
        <f>RSQ(AV127:AX127,AV126:AX126)</f>
        <v>0.98828578804698608</v>
      </c>
      <c r="AJ127" s="109">
        <f>SLOPE(AV127:AX127,AV126:AX126)</f>
        <v>-1.5948527267424901E-7</v>
      </c>
      <c r="AK127" s="56">
        <f>INTERCEPT(AV127:AX127,AV126:AX126)</f>
        <v>1.036535433070866</v>
      </c>
      <c r="AL127" s="56">
        <f>INDEX(LINEST(LN(AV127:AX127),LN(AV126:AX126),TRUE,TRUE),3,1)</f>
        <v>0.88867814080980079</v>
      </c>
      <c r="AM127" s="56">
        <f>INDEX(LINEST(LN(AV127:AX127),LN(AV126:AX126)),1)</f>
        <v>-0.11001941854743814</v>
      </c>
      <c r="AN127" s="56">
        <f>EXP(INDEX(LINEST(LN(AV127:AX127),LN(AV126:AX126)),1,2))</f>
        <v>3.9430211582656649</v>
      </c>
      <c r="AO127" s="82">
        <f>INDEX(LINEST((AV127:AX127),LN(AV126:AX126),TRUE,TRUE),3,1)</f>
        <v>0.90577513646585184</v>
      </c>
      <c r="AP127" s="82">
        <f>INDEX(LINEST((AV127:AX127),LN(AV126:AX126)),1)</f>
        <v>-9.9411723116108713E-2</v>
      </c>
      <c r="AQ127" s="83">
        <f>INDEX(LINEST(LN(AV127:AX127),SQRT(AV126:AX126),TRUE,TRUE),3,1)</f>
        <v>0.94259762289031745</v>
      </c>
      <c r="AR127" s="116">
        <f>INDEX(LINEST(LN(AV127:AX127),SQRT((AV126:AX126))),1)</f>
        <v>-2.9021646754231908E-4</v>
      </c>
      <c r="AS127" s="84">
        <f>INDEX(LINEST(1/(AV127:AX127),1/(SQRT(AV126:AX126)),TRUE,TRUE),3,1)</f>
        <v>0.80998054284344478</v>
      </c>
      <c r="AT127" s="84">
        <f>INDEX(LINEST(1/(AV127:AX127),1/SQRT(AV126:AX126)),1)</f>
        <v>-172.78871995208561</v>
      </c>
      <c r="AU127" s="3"/>
      <c r="AV127" s="53">
        <v>0.99</v>
      </c>
      <c r="AW127" s="53">
        <v>0.91</v>
      </c>
      <c r="AX127" s="53">
        <v>0.81</v>
      </c>
      <c r="AY127" s="43"/>
      <c r="AZ127" s="53"/>
      <c r="BA127" s="53"/>
      <c r="BB127" s="53"/>
      <c r="BC127" s="53"/>
      <c r="BD127" s="53"/>
      <c r="BE127" s="53"/>
      <c r="BF127" s="53"/>
      <c r="BG127" s="53"/>
      <c r="BH127" s="53"/>
      <c r="BI127" s="53"/>
      <c r="BJ127" s="53"/>
      <c r="BK127" s="53"/>
      <c r="BL127" s="53"/>
      <c r="BM127" s="53"/>
      <c r="BN127" s="53"/>
      <c r="BO127" s="53"/>
      <c r="BP127" s="53"/>
      <c r="BQ127" s="53"/>
      <c r="BR127" s="53"/>
      <c r="BS127" s="53"/>
      <c r="BT127" s="53"/>
      <c r="BU127" s="53"/>
      <c r="BV127" s="53"/>
      <c r="BW127" s="53"/>
      <c r="BX127" s="53"/>
      <c r="BY127" s="53"/>
      <c r="BZ127" s="53"/>
      <c r="CA127" s="53"/>
      <c r="CB127" s="53"/>
      <c r="CC127" s="53"/>
      <c r="CD127" s="53"/>
      <c r="CE127" s="53"/>
      <c r="CF127" s="53"/>
      <c r="CG127" s="1"/>
      <c r="CH127" s="1"/>
      <c r="CI127" s="1"/>
      <c r="CJ127" s="1"/>
    </row>
    <row r="128" spans="1:99" s="13" customFormat="1" ht="12" customHeight="1" x14ac:dyDescent="0.2">
      <c r="A128" s="65">
        <v>43977</v>
      </c>
      <c r="B128" s="1"/>
      <c r="C128" s="1"/>
      <c r="D128" s="60"/>
      <c r="E128" s="76"/>
      <c r="F128" s="60"/>
      <c r="G128" s="60"/>
      <c r="H128" s="60"/>
      <c r="I128" s="60"/>
      <c r="J128" s="60"/>
      <c r="K128" s="60"/>
      <c r="L128" s="60"/>
      <c r="M128" s="60"/>
      <c r="N128" s="60"/>
      <c r="O128" s="60"/>
      <c r="P128" s="60"/>
      <c r="Q128" s="60"/>
      <c r="R128" s="60"/>
      <c r="S128" s="60"/>
      <c r="T128" s="59"/>
      <c r="U128" s="60"/>
      <c r="V128" s="59"/>
      <c r="W128" s="60"/>
      <c r="X128" s="60"/>
      <c r="Y128" s="76"/>
      <c r="Z128" s="60"/>
      <c r="AA128" s="60"/>
      <c r="AB128" s="60"/>
      <c r="AC128" s="56"/>
      <c r="AD128" s="60"/>
      <c r="AE128" s="76"/>
      <c r="AF128" s="80"/>
      <c r="AG128" s="56"/>
      <c r="AH128" s="4"/>
      <c r="AI128" s="56"/>
      <c r="AJ128" s="109"/>
      <c r="AK128" s="56"/>
      <c r="AL128" s="56"/>
      <c r="AM128" s="56"/>
      <c r="AN128" s="56"/>
      <c r="AO128" s="82"/>
      <c r="AP128" s="82"/>
      <c r="AQ128" s="83"/>
      <c r="AR128" s="116"/>
      <c r="AS128" s="84"/>
      <c r="AT128" s="84"/>
      <c r="AU128" s="3"/>
      <c r="AV128" s="25">
        <v>30</v>
      </c>
      <c r="AW128" s="25">
        <f>60*30</f>
        <v>1800</v>
      </c>
      <c r="AX128" s="25">
        <f>60*60*24*7</f>
        <v>604800</v>
      </c>
      <c r="AY128" s="25">
        <f>60*60*24*7*3</f>
        <v>1814400</v>
      </c>
      <c r="AZ128" s="53"/>
      <c r="BA128" s="53" t="s">
        <v>935</v>
      </c>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53"/>
      <c r="CD128" s="53"/>
      <c r="CE128" s="53"/>
      <c r="CF128" s="53"/>
      <c r="CG128" s="1"/>
      <c r="CH128" s="1"/>
      <c r="CI128" s="1"/>
      <c r="CJ128" s="1"/>
    </row>
    <row r="129" spans="1:99" s="13" customFormat="1" ht="12" customHeight="1" x14ac:dyDescent="0.2">
      <c r="A129" s="65">
        <v>43977</v>
      </c>
      <c r="B129" s="1" t="s">
        <v>941</v>
      </c>
      <c r="C129" s="1" t="s">
        <v>942</v>
      </c>
      <c r="D129" s="60">
        <v>2007</v>
      </c>
      <c r="E129" s="76">
        <v>1</v>
      </c>
      <c r="F129" s="60">
        <v>24</v>
      </c>
      <c r="G129" s="60">
        <v>24</v>
      </c>
      <c r="H129" s="60" t="s">
        <v>41</v>
      </c>
      <c r="I129" s="60" t="s">
        <v>330</v>
      </c>
      <c r="J129" s="60" t="s">
        <v>16</v>
      </c>
      <c r="K129" s="60">
        <f>IF(J129="syllables",1,IF(J129="trigrams",2,IF(J129="strings",3,IF(J129="visual array",4,IF(J129="characters",5,IF(J129="letters",6,IF(J129="free forms",7,IF(J129="odors",8,IF(J129="words",9,IF(J129="pictures",10,IF(J129="object pictures",11,IF(J129="faces",12,IF(J129="names",13,IF(J129="idioms",14,IF(J129="grades",15,IF(J129="syllable-digit pairs",16,IF(J129="trigram-word pairs",17,IF(J129="word-digit pairs",18,IF(J129="English-Swahili pairs",19,IF(J129="spatial position",20,IF(J129="word pairs",21,IF(J129="word triads",22,IF(J129="generated words",23,IF(J129="word definition pairs",24,IF(J129="math problems",25,IF(J129="famous faces",26,IF(J129="famous names",27,IF(J129="famous voices",28,IF(J129="television programs",29,IF(J129="race horses",30,IF(J129="new vocabulary",31,IF(J129="sentences",32,IF(J129="concepts",33,IF(J129="ad slides",34,IF(J129="scenes",35,IF(J129="famous scenes",36,IF(J129="poems",37,IF(J129="walk",38,IF(J129="faces and events",39,IF(J129="events and names",40,IF(J129="flashbulb",41,IF(J129="stories",42,IF(J129="course material",43,IF(J129="autobiographical",44,IF(J129="novels",45,IF(J129="public events",46,"99"))))))))))))))))))))))))))))))))))))))))))))))</f>
        <v>9</v>
      </c>
      <c r="L129" s="60">
        <f>IF(J129="syllables",1,IF(J129="trigrams",1,IF(J129="strings",1,IF(J129="visual array",1,IF(J129="characters",1,IF(J129="letters",1,IF(J129="free forms",1,IF(J129="odors",2,IF(J129="words",2,IF(J129="pictures",2,IF(J129="object pictures",2,IF(J129="faces",2,IF(J129="names",2,IF(J129="idioms","2",IF(J129="grades",2,IF(J129="syllable-digit pairs",3,IF(J129="trigram-word pairs",3,IF(J129="word-digit pairs",3,IF(J129="English-Swahili pairs",3,IF(J129="spatial position",3,IF(J129="word pairs",4,IF(J129="word triads",4,IF(J129="generated words",4,IF(J129="word definition pairs",4,IF(J129="math problems",4,IF(J129="famous faces",4,IF(J129="famous names",4,IF(J129="famous voices",4,IF(J129="television programs",4,IF(J129="race horses",4,IF(J129="new vocabulary",4,IF(J129="sentences",5,IF(J129="concepts",5,IF(J129="ad slides",5,IF(J129="scenes",5,IF(J129="famous scenes",5,IF(J129="poems",6,IF(J129="walk",6,IF(J129="faces and events",6,IF(J129="events and names",6,IF(J129="flashbulb",7,IF(J129="stories",7,IF(J129="course material",7,IF(J129="autobiographical",7,IF(J129="novels",7,IF(J129="public events",7,"99"))))))))))))))))))))))))))))))))))))))))))))))</f>
        <v>2</v>
      </c>
      <c r="M129" s="60">
        <v>1</v>
      </c>
      <c r="N129" s="60">
        <v>2</v>
      </c>
      <c r="O129" s="60">
        <v>0</v>
      </c>
      <c r="P129" s="60"/>
      <c r="Q129" s="60" t="s">
        <v>174</v>
      </c>
      <c r="R129" s="60">
        <f>IF(Q129="Free Recall",1,IF(Q129="Cued Recall",2,IF(Q129="Recognition",3,IF(Q129="Multiple Choice",4,IF(Q129="Savings",5,IF(Q129="Stem Completion",6,IF(Q129="Fragment Completion",7,IF(Q129="anagram solution",8,IF(Q129="Matching",9,IF(Q129="Problem Solving",10,"99"))))))))))</f>
        <v>1</v>
      </c>
      <c r="S129" s="60" t="s">
        <v>49</v>
      </c>
      <c r="T129" s="59" t="s">
        <v>581</v>
      </c>
      <c r="U129" s="60">
        <f>IF(T129="within",1,0)</f>
        <v>1</v>
      </c>
      <c r="V129" s="59">
        <v>15</v>
      </c>
      <c r="W129" s="60">
        <f>F129*V129</f>
        <v>360</v>
      </c>
      <c r="X129" s="60">
        <v>4</v>
      </c>
      <c r="Y129" s="76">
        <f>AV128</f>
        <v>30</v>
      </c>
      <c r="Z129" s="60" t="s">
        <v>165</v>
      </c>
      <c r="AA129" s="60">
        <f>60*60*24*7*3</f>
        <v>1814400</v>
      </c>
      <c r="AB129" s="60" t="str">
        <f>IF(AA129&lt;60,"1",IF(AA129&lt;=43200,"2",IF(AA129&lt;=777600,"3","4")))</f>
        <v>4</v>
      </c>
      <c r="AC129" s="56">
        <f>AVERAGE(AV128:DA128)</f>
        <v>605257.5</v>
      </c>
      <c r="AD129" s="60" t="str">
        <f>IF(AC129&lt;60,"1",IF(AC129&lt;=43200,"2",IF(AC129&lt;=777600,"3","4")))</f>
        <v>3</v>
      </c>
      <c r="AE129" s="76">
        <f>AA129-Y129</f>
        <v>1814370</v>
      </c>
      <c r="AF129" s="80">
        <f>AV129</f>
        <v>0.98499999999999999</v>
      </c>
      <c r="AG129" s="56">
        <f>((AW129-AV129)+(AX129-AW129)+(AY129-AX129))/3</f>
        <v>-0.11733333333333333</v>
      </c>
      <c r="AH129" s="4"/>
      <c r="AI129" s="56">
        <f>RSQ(AV129:AY129,AV128:AY128)</f>
        <v>0.7120748709772502</v>
      </c>
      <c r="AJ129" s="109">
        <f>SLOPE(AV129:AY129,AV128:AY128)</f>
        <v>-1.7754379686829304E-7</v>
      </c>
      <c r="AK129" s="56">
        <f>INTERCEPT(AV129:AY129,AV128:AY128)</f>
        <v>0.9084597146330109</v>
      </c>
      <c r="AL129" s="56">
        <f>INDEX(LINEST(LN(AV129:AY129),LN(AV128:AY128),TRUE,TRUE),3,1)</f>
        <v>0.95358708745838083</v>
      </c>
      <c r="AM129" s="56">
        <f>INDEX(LINEST(LN(AV129:AY129),LN(AV128:AY128)),1)</f>
        <v>-4.2949077420221644E-2</v>
      </c>
      <c r="AN129" s="56">
        <f>EXP(INDEX(LINEST(LN(AV129:AY129),LN(AV128:AY128)),1,2))</f>
        <v>1.189567786933492</v>
      </c>
      <c r="AO129" s="82">
        <f>INDEX(LINEST((AV129:AY129),LN(AV128:AY128),TRUE,TRUE),3,1)</f>
        <v>0.96230839757452014</v>
      </c>
      <c r="AP129" s="82">
        <f>INDEX(LINEST((AV129:AY129),LN(AV128:AY128)),1)</f>
        <v>-3.4216707045697493E-2</v>
      </c>
      <c r="AQ129" s="83">
        <f>INDEX(LINEST(LN(AV129:AY129),SQRT(AV128:AY128),TRUE,TRUE),3,1)</f>
        <v>0.9103091357507832</v>
      </c>
      <c r="AR129" s="116">
        <f>INDEX(LINEST(LN(AV129:AY129),SQRT((AV128:AY128))),1)</f>
        <v>-3.3644445643444426E-4</v>
      </c>
      <c r="AS129" s="84">
        <f>INDEX(LINEST(1/(AV129:AY129),1/(SQRT(AV128:AY128)),TRUE,TRUE),3,1)</f>
        <v>0.54032756766134904</v>
      </c>
      <c r="AT129" s="84">
        <f>INDEX(LINEST(1/(AV129:AY129),1/SQRT(AV128:AY128)),1)</f>
        <v>-2.4328828705391423</v>
      </c>
      <c r="AU129" s="3"/>
      <c r="AV129" s="53">
        <v>0.98499999999999999</v>
      </c>
      <c r="AW129" s="53">
        <v>0.92500000000000004</v>
      </c>
      <c r="AX129" s="53">
        <v>0.66100000000000003</v>
      </c>
      <c r="AY129" s="43">
        <v>0.63300000000000001</v>
      </c>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1"/>
      <c r="CH129" s="1"/>
      <c r="CI129" s="1"/>
      <c r="CJ129" s="1"/>
    </row>
    <row r="130" spans="1:99" s="13" customFormat="1" ht="12" customHeight="1" x14ac:dyDescent="0.2">
      <c r="A130" s="65">
        <v>43977</v>
      </c>
      <c r="B130" s="1"/>
      <c r="C130" s="1"/>
      <c r="D130" s="60"/>
      <c r="E130" s="76"/>
      <c r="F130" s="60"/>
      <c r="G130" s="60"/>
      <c r="H130" s="60"/>
      <c r="I130" s="60"/>
      <c r="J130" s="60"/>
      <c r="K130" s="60"/>
      <c r="L130" s="60"/>
      <c r="M130" s="60"/>
      <c r="N130" s="60"/>
      <c r="O130" s="60"/>
      <c r="P130" s="60"/>
      <c r="Q130" s="60"/>
      <c r="R130" s="60"/>
      <c r="S130" s="60"/>
      <c r="T130" s="59"/>
      <c r="U130" s="60"/>
      <c r="V130" s="59"/>
      <c r="W130" s="60"/>
      <c r="X130" s="60"/>
      <c r="Y130" s="76"/>
      <c r="Z130" s="60"/>
      <c r="AA130" s="60"/>
      <c r="AB130" s="60"/>
      <c r="AC130" s="56"/>
      <c r="AD130" s="60"/>
      <c r="AE130" s="76"/>
      <c r="AF130" s="80"/>
      <c r="AG130" s="56"/>
      <c r="AH130" s="4"/>
      <c r="AI130" s="56"/>
      <c r="AJ130" s="109"/>
      <c r="AK130" s="56"/>
      <c r="AL130" s="56"/>
      <c r="AM130" s="56"/>
      <c r="AN130" s="56"/>
      <c r="AO130" s="82"/>
      <c r="AP130" s="82"/>
      <c r="AQ130" s="83"/>
      <c r="AR130" s="116"/>
      <c r="AS130" s="84"/>
      <c r="AT130" s="84"/>
      <c r="AU130" s="3"/>
      <c r="AV130" s="25">
        <v>30</v>
      </c>
      <c r="AW130" s="25">
        <f>60*30</f>
        <v>1800</v>
      </c>
      <c r="AX130" s="25">
        <f>60*60*24*7</f>
        <v>604800</v>
      </c>
      <c r="AY130" s="25">
        <f>60*60*24*7*3</f>
        <v>1814400</v>
      </c>
      <c r="AZ130" s="53"/>
      <c r="BA130" s="53"/>
      <c r="BB130" s="53"/>
      <c r="BC130" s="53"/>
      <c r="BD130" s="53"/>
      <c r="BE130" s="53"/>
      <c r="BF130" s="53"/>
      <c r="BG130" s="53"/>
      <c r="BH130" s="53"/>
      <c r="BI130" s="53"/>
      <c r="BJ130" s="53"/>
      <c r="BK130" s="53"/>
      <c r="BL130" s="53"/>
      <c r="BM130" s="53"/>
      <c r="BN130" s="53"/>
      <c r="BO130" s="53"/>
      <c r="BP130" s="53"/>
      <c r="BQ130" s="53"/>
      <c r="BR130" s="53"/>
      <c r="BS130" s="53"/>
      <c r="BT130" s="53"/>
      <c r="BU130" s="53"/>
      <c r="BV130" s="53"/>
      <c r="BW130" s="53"/>
      <c r="BX130" s="53"/>
      <c r="BY130" s="53"/>
      <c r="BZ130" s="53"/>
      <c r="CA130" s="53"/>
      <c r="CB130" s="53"/>
      <c r="CC130" s="53"/>
      <c r="CD130" s="53"/>
      <c r="CE130" s="53"/>
      <c r="CF130" s="53"/>
      <c r="CG130" s="1"/>
      <c r="CH130" s="1"/>
      <c r="CI130" s="1"/>
      <c r="CJ130" s="1"/>
    </row>
    <row r="131" spans="1:99" s="13" customFormat="1" ht="12" customHeight="1" x14ac:dyDescent="0.2">
      <c r="A131" s="65">
        <v>43977</v>
      </c>
      <c r="B131" s="1" t="s">
        <v>941</v>
      </c>
      <c r="C131" s="1" t="s">
        <v>942</v>
      </c>
      <c r="D131" s="60">
        <v>2007</v>
      </c>
      <c r="E131" s="76">
        <v>1</v>
      </c>
      <c r="F131" s="60">
        <v>24</v>
      </c>
      <c r="G131" s="60">
        <v>24</v>
      </c>
      <c r="H131" s="60" t="s">
        <v>41</v>
      </c>
      <c r="I131" s="60" t="s">
        <v>330</v>
      </c>
      <c r="J131" s="60" t="s">
        <v>764</v>
      </c>
      <c r="K131" s="60">
        <f>IF(J131="syllables",1,IF(J131="trigrams",2,IF(J131="strings",3,IF(J131="visual array",4,IF(J131="characters",5,IF(J131="letters",6,IF(J131="free forms",7,IF(J131="odors",8,IF(J131="words",9,IF(J131="pictures",10,IF(J131="object pictures",11,IF(J131="faces",12,IF(J131="names",13,IF(J131="idioms",14,IF(J131="grades",15,IF(J131="syllable-digit pairs",16,IF(J131="trigram-word pairs",17,IF(J131="word-digit pairs",18,IF(J131="English-Swahili pairs",19,IF(J131="spatial position",20,IF(J131="word pairs",21,IF(J131="word triads",22,IF(J131="generated words",23,IF(J131="word definition pairs",24,IF(J131="math problems",25,IF(J131="famous faces",26,IF(J131="famous names",27,IF(J131="famous voices",28,IF(J131="television programs",29,IF(J131="race horses",30,IF(J131="new vocabulary",31,IF(J131="sentences",32,IF(J131="concepts",33,IF(J131="ad slides",34,IF(J131="scenes",35,IF(J131="famous scenes",36,IF(J131="poems",37,IF(J131="walk",38,IF(J131="faces and events",39,IF(J131="events and names",40,IF(J131="flashbulb",41,IF(J131="stories",42,IF(J131="course material",43,IF(J131="autobiographical",44,IF(J131="novels",45,IF(J131="public events",46,"99"))))))))))))))))))))))))))))))))))))))))))))))</f>
        <v>4</v>
      </c>
      <c r="L131" s="60">
        <f>IF(J131="syllables",1,IF(J131="trigrams",1,IF(J131="strings",1,IF(J131="visual array",1,IF(J131="characters",1,IF(J131="letters",1,IF(J131="free forms",1,IF(J131="odors",2,IF(J131="words",2,IF(J131="pictures",2,IF(J131="object pictures",2,IF(J131="faces",2,IF(J131="names",2,IF(J131="idioms","2",IF(J131="grades",2,IF(J131="syllable-digit pairs",3,IF(J131="trigram-word pairs",3,IF(J131="word-digit pairs",3,IF(J131="English-Swahili pairs",3,IF(J131="spatial position",3,IF(J131="word pairs",4,IF(J131="word triads",4,IF(J131="generated words",4,IF(J131="word definition pairs",4,IF(J131="math problems",4,IF(J131="famous faces",4,IF(J131="famous names",4,IF(J131="famous voices",4,IF(J131="television programs",4,IF(J131="race horses",4,IF(J131="new vocabulary",4,IF(J131="sentences",5,IF(J131="concepts",5,IF(J131="ad slides",5,IF(J131="scenes",5,IF(J131="famous scenes",5,IF(J131="poems",6,IF(J131="walk",6,IF(J131="faces and events",6,IF(J131="events and names",6,IF(J131="flashbulb",7,IF(J131="stories",7,IF(J131="course material",7,IF(J131="autobiographical",7,IF(J131="novels",7,IF(J131="public events",7,"99"))))))))))))))))))))))))))))))))))))))))))))))</f>
        <v>1</v>
      </c>
      <c r="M131" s="60">
        <v>1</v>
      </c>
      <c r="N131" s="60">
        <v>2</v>
      </c>
      <c r="O131" s="60">
        <v>0</v>
      </c>
      <c r="P131" s="60"/>
      <c r="Q131" s="60" t="s">
        <v>174</v>
      </c>
      <c r="R131" s="60">
        <f>IF(Q131="Free Recall",1,IF(Q131="Cued Recall",2,IF(Q131="Recognition",3,IF(Q131="Multiple Choice",4,IF(Q131="Savings",5,IF(Q131="Stem Completion",6,IF(Q131="Fragment Completion",7,IF(Q131="anagram solution",8,IF(Q131="Matching",9,IF(Q131="Problem Solving",10,"99"))))))))))</f>
        <v>1</v>
      </c>
      <c r="S131" s="60" t="s">
        <v>49</v>
      </c>
      <c r="T131" s="59" t="s">
        <v>581</v>
      </c>
      <c r="U131" s="60">
        <f>IF(T131="within",1,0)</f>
        <v>1</v>
      </c>
      <c r="V131" s="59">
        <v>15</v>
      </c>
      <c r="W131" s="60">
        <f>F131*V131</f>
        <v>360</v>
      </c>
      <c r="X131" s="60">
        <v>4</v>
      </c>
      <c r="Y131" s="76">
        <f>AV130</f>
        <v>30</v>
      </c>
      <c r="Z131" s="60" t="s">
        <v>165</v>
      </c>
      <c r="AA131" s="60">
        <f>60*60*24*7*3</f>
        <v>1814400</v>
      </c>
      <c r="AB131" s="60" t="str">
        <f>IF(AA131&lt;60,"1",IF(AA131&lt;=43200,"2",IF(AA131&lt;=777600,"3","4")))</f>
        <v>4</v>
      </c>
      <c r="AC131" s="56">
        <f>AVERAGE(AV130:DA130)</f>
        <v>605257.5</v>
      </c>
      <c r="AD131" s="60" t="str">
        <f>IF(AC131&lt;60,"1",IF(AC131&lt;=43200,"2",IF(AC131&lt;=777600,"3","4")))</f>
        <v>3</v>
      </c>
      <c r="AE131" s="76">
        <f>AA131-Y131</f>
        <v>1814370</v>
      </c>
      <c r="AF131" s="80">
        <f>AV131</f>
        <v>0.94599999999999995</v>
      </c>
      <c r="AG131" s="56">
        <f>((AW131-AV131)+(AX131-AW131)+(AY131-AX131))/3</f>
        <v>-9.8333333333333314E-2</v>
      </c>
      <c r="AH131" s="4"/>
      <c r="AI131" s="56">
        <f>RSQ(AV131:AY131,AV130:AY130)</f>
        <v>0.88331404297887062</v>
      </c>
      <c r="AJ131" s="109">
        <f>SLOPE(AV131:AY131,AV130:AY130)</f>
        <v>-1.5411625511907362E-7</v>
      </c>
      <c r="AK131" s="56">
        <f>INTERCEPT(AV131:AY131,AV130:AY130)</f>
        <v>0.90753001928273258</v>
      </c>
      <c r="AL131" s="56">
        <f>INDEX(LINEST(LN(AV131:AY131),LN(AV130:AY130),TRUE,TRUE),3,1)</f>
        <v>0.89146758674074211</v>
      </c>
      <c r="AM131" s="56">
        <f>INDEX(LINEST(LN(AV131:AY131),LN(AV130:AY130)),1)</f>
        <v>-3.2331142164548875E-2</v>
      </c>
      <c r="AN131" s="56">
        <f>EXP(INDEX(LINEST(LN(AV131:AY131),LN(AV130:AY130)),1,2))</f>
        <v>1.099848385981524</v>
      </c>
      <c r="AO131" s="82">
        <f>INDEX(LINEST((AV131:AY131),LN(AV130:AY130),TRUE,TRUE),3,1)</f>
        <v>0.91219735335423724</v>
      </c>
      <c r="AP131" s="82">
        <f>INDEX(LINEST((AV131:AY131),LN(AV130:AY130)),1)</f>
        <v>-2.5964124581191673E-2</v>
      </c>
      <c r="AQ131" s="83">
        <f>INDEX(LINEST(LN(AV131:AY131),SQRT(AV130:AY130),TRUE,TRUE),3,1)</f>
        <v>0.99446164936987136</v>
      </c>
      <c r="AR131" s="116">
        <f>INDEX(LINEST(LN(AV131:AY131),SQRT((AV130:AY130))),1)</f>
        <v>-2.7378367972799789E-4</v>
      </c>
      <c r="AS131" s="84">
        <f>INDEX(LINEST(1/(AV131:AY131),1/(SQRT(AV130:AY130)),TRUE,TRUE),3,1)</f>
        <v>0.45792254566241924</v>
      </c>
      <c r="AT131" s="84">
        <f>INDEX(LINEST(1/(AV131:AY131),1/SQRT(AV130:AY130)),1)</f>
        <v>-1.7378382585877286</v>
      </c>
      <c r="AU131" s="3"/>
      <c r="AV131" s="53">
        <v>0.94599999999999995</v>
      </c>
      <c r="AW131" s="53">
        <v>0.91500000000000004</v>
      </c>
      <c r="AX131" s="53">
        <v>0.745</v>
      </c>
      <c r="AY131" s="43">
        <v>0.65100000000000002</v>
      </c>
      <c r="AZ131" s="53"/>
      <c r="BA131" s="53"/>
      <c r="BB131" s="53"/>
      <c r="BC131" s="53"/>
      <c r="BD131" s="53"/>
      <c r="BE131" s="53"/>
      <c r="BF131" s="53"/>
      <c r="BG131" s="53"/>
      <c r="BH131" s="53"/>
      <c r="BI131" s="53"/>
      <c r="BJ131" s="53"/>
      <c r="BK131" s="53"/>
      <c r="BL131" s="53"/>
      <c r="BM131" s="53"/>
      <c r="BN131" s="53"/>
      <c r="BO131" s="53"/>
      <c r="BP131" s="53"/>
      <c r="BQ131" s="53"/>
      <c r="BR131" s="53"/>
      <c r="BS131" s="53"/>
      <c r="BT131" s="53"/>
      <c r="BU131" s="53"/>
      <c r="BV131" s="53"/>
      <c r="BW131" s="53"/>
      <c r="BX131" s="53"/>
      <c r="BY131" s="53"/>
      <c r="BZ131" s="53"/>
      <c r="CA131" s="53"/>
      <c r="CB131" s="53"/>
      <c r="CC131" s="53"/>
      <c r="CD131" s="53"/>
      <c r="CE131" s="53"/>
      <c r="CF131" s="53"/>
      <c r="CG131" s="1"/>
      <c r="CH131" s="1"/>
      <c r="CI131" s="1"/>
      <c r="CJ131" s="1"/>
    </row>
    <row r="132" spans="1:99" s="13" customFormat="1" ht="12" customHeight="1" x14ac:dyDescent="0.2">
      <c r="A132" s="68">
        <v>43509</v>
      </c>
      <c r="B132" s="70"/>
      <c r="C132" s="70"/>
      <c r="D132" s="69"/>
      <c r="E132" s="87"/>
      <c r="F132" s="69"/>
      <c r="G132" s="69"/>
      <c r="H132" s="69"/>
      <c r="I132" s="69"/>
      <c r="J132" s="69"/>
      <c r="K132" s="107"/>
      <c r="L132" s="107"/>
      <c r="M132" s="69"/>
      <c r="N132" s="69"/>
      <c r="O132" s="69"/>
      <c r="P132" s="69"/>
      <c r="Q132" s="69"/>
      <c r="R132" s="69"/>
      <c r="S132" s="69"/>
      <c r="T132" s="69"/>
      <c r="U132" s="69"/>
      <c r="V132" s="69"/>
      <c r="W132" s="69"/>
      <c r="X132" s="69"/>
      <c r="Y132" s="87"/>
      <c r="Z132" s="69"/>
      <c r="AA132" s="69"/>
      <c r="AB132" s="69"/>
      <c r="AC132" s="69"/>
      <c r="AD132" s="69"/>
      <c r="AE132" s="69"/>
      <c r="AF132" s="88"/>
      <c r="AG132" s="72"/>
      <c r="AH132" s="4"/>
      <c r="AI132" s="72"/>
      <c r="AJ132" s="110"/>
      <c r="AK132" s="72"/>
      <c r="AL132" s="72"/>
      <c r="AM132" s="72"/>
      <c r="AN132" s="72"/>
      <c r="AO132" s="72"/>
      <c r="AP132" s="72"/>
      <c r="AQ132" s="72"/>
      <c r="AR132" s="110"/>
      <c r="AS132" s="72"/>
      <c r="AT132" s="72"/>
      <c r="AU132" s="3"/>
      <c r="AV132" s="71">
        <f>5*60</f>
        <v>300</v>
      </c>
      <c r="AW132" s="71">
        <f>24*60*60*1</f>
        <v>86400</v>
      </c>
      <c r="AX132" s="71">
        <f>24*60*60*2</f>
        <v>172800</v>
      </c>
      <c r="AY132" s="71">
        <f>24*60*60*7</f>
        <v>604800</v>
      </c>
      <c r="AZ132" s="71">
        <f>24*60*60*14</f>
        <v>1209600</v>
      </c>
      <c r="BA132" s="71">
        <f>24*60*60*42</f>
        <v>3628800</v>
      </c>
      <c r="BB132" s="53"/>
      <c r="BC132" s="53"/>
      <c r="BD132" s="53"/>
      <c r="BE132" s="53"/>
      <c r="BF132" s="53"/>
      <c r="BG132" s="53"/>
      <c r="BH132" s="53"/>
      <c r="BI132" s="53"/>
      <c r="BJ132" s="53"/>
      <c r="BK132" s="53"/>
      <c r="BL132" s="53"/>
      <c r="BM132" s="53"/>
      <c r="BN132" s="53"/>
      <c r="BO132" s="53"/>
      <c r="BP132" s="53"/>
      <c r="BQ132" s="53"/>
      <c r="BR132" s="53"/>
      <c r="BS132" s="53"/>
      <c r="BT132" s="53"/>
      <c r="BU132" s="53"/>
      <c r="BV132" s="53"/>
      <c r="BW132" s="53"/>
      <c r="BX132" s="53"/>
      <c r="BY132" s="53"/>
      <c r="BZ132" s="53"/>
      <c r="CA132" s="53"/>
      <c r="CB132" s="53"/>
      <c r="CC132" s="53"/>
      <c r="CD132" s="53"/>
      <c r="CE132" s="53"/>
      <c r="CF132" s="53"/>
      <c r="CG132" s="53"/>
      <c r="CH132" s="53"/>
      <c r="CI132" s="53"/>
      <c r="CJ132" s="53"/>
      <c r="CK132" s="53"/>
      <c r="CL132" s="53"/>
      <c r="CM132" s="53"/>
      <c r="CN132" s="53"/>
      <c r="CO132" s="53"/>
      <c r="CP132" s="53"/>
      <c r="CQ132" s="53"/>
      <c r="CR132" s="1"/>
      <c r="CS132" s="1"/>
      <c r="CT132" s="1"/>
      <c r="CU132" s="1"/>
    </row>
    <row r="133" spans="1:99" s="13" customFormat="1" ht="12" customHeight="1" x14ac:dyDescent="0.2">
      <c r="A133" s="68">
        <v>43509</v>
      </c>
      <c r="B133" s="70" t="s">
        <v>143</v>
      </c>
      <c r="C133" s="70" t="s">
        <v>75</v>
      </c>
      <c r="D133" s="69">
        <v>2008</v>
      </c>
      <c r="E133" s="87">
        <v>1</v>
      </c>
      <c r="F133" s="69">
        <v>55</v>
      </c>
      <c r="G133" s="69">
        <v>55</v>
      </c>
      <c r="H133" s="69" t="s">
        <v>22</v>
      </c>
      <c r="I133" s="69" t="s">
        <v>648</v>
      </c>
      <c r="J133" s="69" t="s">
        <v>475</v>
      </c>
      <c r="K133" s="69">
        <f>IF(J133="syllables",1,IF(J133="trigrams",2,IF(J133="strings",3,IF(J133="visual array",4,IF(J133="characters",5,IF(J133="letters",6,IF(J133="free forms",7,IF(J133="odors",8,IF(J133="words",9,IF(J133="pictures",10,IF(J133="object pictures",11,IF(J133="faces",12,IF(J133="names",13,IF(J133="idioms",14,IF(J133="grades",15,IF(J133="syllable-digit pairs",16,IF(J133="trigram-word pairs",17,IF(J133="word-digit pairs",18,IF(J133="English-Swahili pairs",19,IF(J133="spatial position",20,IF(J133="word pairs",21,IF(J133="word triads",22,IF(J133="generated words",23,IF(J133="word definition pairs",24,IF(J133="math problems",25,IF(J133="famous faces",26,IF(J133="famous names",27,IF(J133="famous voices",28,IF(J133="television programs",29,IF(J133="race horses",30,IF(J133="new vocabulary",31,IF(J133="sentences",32,IF(J133="concepts",33,IF(J133="ad slides",34,IF(J133="scenes",35,IF(J133="famous scenes",36,IF(J133="poems",37,IF(J133="walk",38,IF(J133="faces and events",39,IF(J133="events and names",40,IF(J133="flashbulb",41,IF(J133="stories",42,IF(J133="course material",43,IF(J133="autobiographical",44,IF(J133="novels",45,IF(J133="public events",46,"99"))))))))))))))))))))))))))))))))))))))))))))))</f>
        <v>32</v>
      </c>
      <c r="L133" s="69">
        <f>IF(J133="syllables",1,IF(J133="trigrams",1,IF(J133="strings",1,IF(J133="visual array",1,IF(J133="characters",1,IF(J133="letters",1,IF(J133="free forms",1,IF(J133="odors",2,IF(J133="words",2,IF(J133="pictures",2,IF(J133="object pictures",2,IF(J133="faces",2,IF(J133="names",2,IF(J133="idioms","2",IF(J133="grades",2,IF(J133="syllable-digit pairs",3,IF(J133="trigram-word pairs",3,IF(J133="word-digit pairs",3,IF(J133="English-Swahili pairs",3,IF(J133="spatial position",3,IF(J133="word pairs",4,IF(J133="word triads",4,IF(J133="generated words",4,IF(J133="word definition pairs",4,IF(J133="math problems",4,IF(J133="famous faces",4,IF(J133="famous names",4,IF(J133="famous voices",4,IF(J133="television programs",4,IF(J133="race horses",4,IF(J133="new vocabulary",4,IF(J133="sentences",5,IF(J133="concepts",5,IF(J133="ad slides",5,IF(J133="scenes",5,IF(J133="famous scenes",5,IF(J133="poems",6,IF(J133="walk",6,IF(J133="faces and events",6,IF(J133="events and names",6,IF(J133="flashbulb",7,IF(J133="stories",7,IF(J133="course material",7,IF(J133="autobiographical",7,IF(J133="novels",7,IF(J133="public events",7,"99"))))))))))))))))))))))))))))))))))))))))))))))</f>
        <v>5</v>
      </c>
      <c r="M133" s="69">
        <v>1</v>
      </c>
      <c r="N133" s="69">
        <v>4</v>
      </c>
      <c r="O133" s="69">
        <v>0</v>
      </c>
      <c r="P133" s="69"/>
      <c r="Q133" s="69" t="s">
        <v>65</v>
      </c>
      <c r="R133" s="69">
        <f>IF(Q133="Free Recall",1,IF(Q133="Cued Recall",2,IF(Q133="Recognition",3,IF(Q133="Multiple Choice",4,IF(Q133="Savings",5,IF(Q133="Stem Completion",6,IF(Q133="Fragment Completion",7,IF(Q133="anagram solution",8,IF(Q133="Matching",9,IF(Q133="Problem Solving",10,"99"))))))))))</f>
        <v>2</v>
      </c>
      <c r="S133" s="69" t="s">
        <v>49</v>
      </c>
      <c r="T133" s="92" t="s">
        <v>581</v>
      </c>
      <c r="U133" s="69">
        <f>IF(T133="within",1,0)</f>
        <v>1</v>
      </c>
      <c r="V133" s="92">
        <v>60</v>
      </c>
      <c r="W133" s="69">
        <f>F133*V133</f>
        <v>3300</v>
      </c>
      <c r="X133" s="69">
        <v>6</v>
      </c>
      <c r="Y133" s="87">
        <f>AV132</f>
        <v>300</v>
      </c>
      <c r="Z133" s="69" t="s">
        <v>144</v>
      </c>
      <c r="AA133" s="69">
        <f>42*24*60*60</f>
        <v>3628800</v>
      </c>
      <c r="AB133" s="69" t="str">
        <f>IF(AA133&lt;60,"1",IF(AA133&lt;=43200,"2",IF(AA133&lt;=777600,"3","4")))</f>
        <v>4</v>
      </c>
      <c r="AC133" s="72">
        <f>AVERAGE(AV132:DA132)</f>
        <v>950450</v>
      </c>
      <c r="AD133" s="69" t="str">
        <f>IF(AC133&lt;60,"1",IF(AC133&lt;=43200,"2",IF(AC133&lt;=777600,"3","4")))</f>
        <v>4</v>
      </c>
      <c r="AE133" s="87">
        <f>AA133-Y133</f>
        <v>3628500</v>
      </c>
      <c r="AF133" s="88">
        <f>AV133</f>
        <v>0.93</v>
      </c>
      <c r="AG133" s="72">
        <f>((AW133-AV133)+(AX133-AW133)+(AY133-AX133)+(AZ133-AY133)+(BA133-AZ133))/5</f>
        <v>-0.11800000000000002</v>
      </c>
      <c r="AH133" s="4"/>
      <c r="AI133" s="72">
        <f>RSQ(AV133:BA133,AV132:BA132)</f>
        <v>0.80393161437229466</v>
      </c>
      <c r="AJ133" s="110">
        <f>SLOPE(AV133:BA133,AV132:BA132)</f>
        <v>-1.5689881368113134E-7</v>
      </c>
      <c r="AK133" s="72">
        <f>INTERCEPT(AV133:BA133,AV132:BA132)</f>
        <v>0.83912447746323127</v>
      </c>
      <c r="AL133" s="72">
        <f>INDEX(LINEST(LN(AV133:BA133),LN(AV132:BA132),TRUE,TRUE),3,1)</f>
        <v>0.56412396114012264</v>
      </c>
      <c r="AM133" s="72">
        <f>INDEX(LINEST(LN(AV133:BA133),LN(AV132:BA132)),1)</f>
        <v>-9.1587453005604905E-2</v>
      </c>
      <c r="AN133" s="72">
        <f>EXP(INDEX(LINEST(LN(AV133:BA133),LN(AV132:BA132)),1,2))</f>
        <v>1.9324746060229707</v>
      </c>
      <c r="AO133" s="89">
        <f>INDEX(LINEST((AV133:BA133),LN(AV132:BA132),TRUE,TRUE),3,1)</f>
        <v>0.62334256237276353</v>
      </c>
      <c r="AP133" s="89">
        <f>INDEX(LINEST((AV133:BA133),LN(AV132:BA132)),1)</f>
        <v>-5.7555619268506587E-2</v>
      </c>
      <c r="AQ133" s="90">
        <f>INDEX(LINEST(LN(AV133:BA133),SQRT(AV132:BA132),TRUE,TRUE),3,1)</f>
        <v>0.96428276231674814</v>
      </c>
      <c r="AR133" s="117">
        <f>INDEX(LINEST(LN(AV133:BA133),SQRT((AV132:BA132))),1)</f>
        <v>-5.8593931863966983E-4</v>
      </c>
      <c r="AS133" s="91">
        <f>INDEX(LINEST(1/(AV133:BA133),1/(SQRT(AV132:BA132)),TRUE,TRUE),3,1)</f>
        <v>0.1782100025552712</v>
      </c>
      <c r="AT133" s="91">
        <f>INDEX(LINEST(1/(AV133:BA133),1/SQRT(AV132:BA132)),1)</f>
        <v>-13.658515386446597</v>
      </c>
      <c r="AU133" s="3"/>
      <c r="AV133" s="73">
        <v>0.93</v>
      </c>
      <c r="AW133" s="73">
        <v>0.88</v>
      </c>
      <c r="AX133" s="73">
        <v>0.86</v>
      </c>
      <c r="AY133" s="73">
        <v>0.66</v>
      </c>
      <c r="AZ133" s="73">
        <v>0.47</v>
      </c>
      <c r="BA133" s="73">
        <v>0.34</v>
      </c>
      <c r="BB133" s="53"/>
      <c r="BC133" s="53"/>
      <c r="BD133" s="53"/>
      <c r="BE133" s="53"/>
      <c r="BF133" s="53"/>
      <c r="BG133" s="53"/>
      <c r="BH133" s="53"/>
      <c r="BI133" s="53"/>
      <c r="BJ133" s="53"/>
      <c r="BK133" s="53"/>
      <c r="BL133" s="53"/>
      <c r="BM133" s="53"/>
      <c r="BN133" s="53"/>
      <c r="BO133" s="53"/>
      <c r="BP133" s="53"/>
      <c r="BQ133" s="53"/>
      <c r="BR133" s="53"/>
      <c r="BS133" s="53"/>
      <c r="BT133" s="53"/>
      <c r="BU133" s="53"/>
      <c r="BV133" s="53"/>
      <c r="BW133" s="53"/>
      <c r="BX133" s="53"/>
      <c r="BY133" s="53"/>
      <c r="BZ133" s="53"/>
      <c r="CA133" s="53"/>
      <c r="CB133" s="53"/>
      <c r="CC133" s="53"/>
      <c r="CD133" s="53"/>
      <c r="CE133" s="53"/>
      <c r="CF133" s="53"/>
      <c r="CG133" s="53"/>
      <c r="CH133" s="53"/>
      <c r="CI133" s="53"/>
      <c r="CJ133" s="53"/>
      <c r="CK133" s="53"/>
      <c r="CL133" s="53"/>
      <c r="CM133" s="53"/>
      <c r="CN133" s="53"/>
      <c r="CO133" s="53"/>
      <c r="CP133" s="53"/>
      <c r="CQ133" s="53"/>
      <c r="CR133" s="1"/>
      <c r="CS133" s="1"/>
      <c r="CT133" s="1"/>
      <c r="CU133" s="1"/>
    </row>
    <row r="134" spans="1:99" s="13" customFormat="1" ht="12" customHeight="1" x14ac:dyDescent="0.2">
      <c r="A134" s="68">
        <v>43509</v>
      </c>
      <c r="B134" s="70"/>
      <c r="C134" s="70"/>
      <c r="D134" s="69"/>
      <c r="E134" s="87"/>
      <c r="F134" s="69"/>
      <c r="G134" s="69"/>
      <c r="H134" s="69"/>
      <c r="I134" s="69"/>
      <c r="J134" s="69"/>
      <c r="K134" s="107"/>
      <c r="L134" s="107"/>
      <c r="M134" s="69"/>
      <c r="N134" s="69"/>
      <c r="O134" s="69"/>
      <c r="P134" s="69"/>
      <c r="Q134" s="69"/>
      <c r="R134" s="69"/>
      <c r="S134" s="69"/>
      <c r="T134" s="69"/>
      <c r="U134" s="69"/>
      <c r="V134" s="69"/>
      <c r="W134" s="69"/>
      <c r="X134" s="69"/>
      <c r="Y134" s="87"/>
      <c r="Z134" s="69"/>
      <c r="AA134" s="69"/>
      <c r="AB134" s="69"/>
      <c r="AC134" s="69"/>
      <c r="AD134" s="69"/>
      <c r="AE134" s="69"/>
      <c r="AF134" s="88"/>
      <c r="AG134" s="72"/>
      <c r="AH134" s="4"/>
      <c r="AI134" s="72"/>
      <c r="AJ134" s="110"/>
      <c r="AK134" s="72"/>
      <c r="AL134" s="72"/>
      <c r="AM134" s="72"/>
      <c r="AN134" s="72"/>
      <c r="AO134" s="72"/>
      <c r="AP134" s="72"/>
      <c r="AQ134" s="72"/>
      <c r="AR134" s="110"/>
      <c r="AS134" s="72"/>
      <c r="AT134" s="72"/>
      <c r="AU134" s="3"/>
      <c r="AV134" s="71">
        <f>5*60</f>
        <v>300</v>
      </c>
      <c r="AW134" s="71">
        <f>24*60*60*1</f>
        <v>86400</v>
      </c>
      <c r="AX134" s="71">
        <f>24*60*60*2</f>
        <v>172800</v>
      </c>
      <c r="AY134" s="71">
        <f>24*60*60*7</f>
        <v>604800</v>
      </c>
      <c r="AZ134" s="71">
        <f>24*60*60*14</f>
        <v>1209600</v>
      </c>
      <c r="BA134" s="71">
        <f>24*60*60*42</f>
        <v>3628800</v>
      </c>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3"/>
      <c r="CA134" s="53"/>
      <c r="CB134" s="53"/>
      <c r="CC134" s="53"/>
      <c r="CD134" s="53"/>
      <c r="CE134" s="53"/>
      <c r="CF134" s="53"/>
      <c r="CG134" s="53"/>
      <c r="CH134" s="53"/>
      <c r="CI134" s="53"/>
      <c r="CJ134" s="53"/>
      <c r="CK134" s="53"/>
      <c r="CL134" s="53"/>
      <c r="CM134" s="53"/>
      <c r="CN134" s="53"/>
      <c r="CO134" s="53"/>
      <c r="CP134" s="53"/>
      <c r="CQ134" s="53"/>
      <c r="CR134" s="1"/>
      <c r="CS134" s="1"/>
      <c r="CT134" s="1"/>
      <c r="CU134" s="1"/>
    </row>
    <row r="135" spans="1:99" s="13" customFormat="1" ht="12" customHeight="1" x14ac:dyDescent="0.2">
      <c r="A135" s="68">
        <v>43509</v>
      </c>
      <c r="B135" s="70" t="s">
        <v>143</v>
      </c>
      <c r="C135" s="70" t="s">
        <v>75</v>
      </c>
      <c r="D135" s="69">
        <v>2008</v>
      </c>
      <c r="E135" s="87">
        <v>1</v>
      </c>
      <c r="F135" s="69">
        <v>55</v>
      </c>
      <c r="G135" s="69">
        <v>55</v>
      </c>
      <c r="H135" s="69" t="s">
        <v>22</v>
      </c>
      <c r="I135" s="69" t="s">
        <v>649</v>
      </c>
      <c r="J135" s="69" t="s">
        <v>475</v>
      </c>
      <c r="K135" s="69">
        <f>IF(J135="syllables",1,IF(J135="trigrams",2,IF(J135="strings",3,IF(J135="visual array",4,IF(J135="characters",5,IF(J135="letters",6,IF(J135="free forms",7,IF(J135="odors",8,IF(J135="words",9,IF(J135="pictures",10,IF(J135="object pictures",11,IF(J135="faces",12,IF(J135="names",13,IF(J135="idioms",14,IF(J135="grades",15,IF(J135="syllable-digit pairs",16,IF(J135="trigram-word pairs",17,IF(J135="word-digit pairs",18,IF(J135="English-Swahili pairs",19,IF(J135="spatial position",20,IF(J135="word pairs",21,IF(J135="word triads",22,IF(J135="generated words",23,IF(J135="word definition pairs",24,IF(J135="math problems",25,IF(J135="famous faces",26,IF(J135="famous names",27,IF(J135="famous voices",28,IF(J135="television programs",29,IF(J135="race horses",30,IF(J135="new vocabulary",31,IF(J135="sentences",32,IF(J135="concepts",33,IF(J135="ad slides",34,IF(J135="scenes",35,IF(J135="famous scenes",36,IF(J135="poems",37,IF(J135="walk",38,IF(J135="faces and events",39,IF(J135="events and names",40,IF(J135="flashbulb",41,IF(J135="stories",42,IF(J135="course material",43,IF(J135="autobiographical",44,IF(J135="novels",45,IF(J135="public events",46,"99"))))))))))))))))))))))))))))))))))))))))))))))</f>
        <v>32</v>
      </c>
      <c r="L135" s="69">
        <f>IF(J135="syllables",1,IF(J135="trigrams",1,IF(J135="strings",1,IF(J135="visual array",1,IF(J135="characters",1,IF(J135="letters",1,IF(J135="free forms",1,IF(J135="odors",2,IF(J135="words",2,IF(J135="pictures",2,IF(J135="object pictures",2,IF(J135="faces",2,IF(J135="names",2,IF(J135="idioms","2",IF(J135="grades",2,IF(J135="syllable-digit pairs",3,IF(J135="trigram-word pairs",3,IF(J135="word-digit pairs",3,IF(J135="English-Swahili pairs",3,IF(J135="spatial position",3,IF(J135="word pairs",4,IF(J135="word triads",4,IF(J135="generated words",4,IF(J135="word definition pairs",4,IF(J135="math problems",4,IF(J135="famous faces",4,IF(J135="famous names",4,IF(J135="famous voices",4,IF(J135="television programs",4,IF(J135="race horses",4,IF(J135="new vocabulary",4,IF(J135="sentences",5,IF(J135="concepts",5,IF(J135="ad slides",5,IF(J135="scenes",5,IF(J135="famous scenes",5,IF(J135="poems",6,IF(J135="walk",6,IF(J135="faces and events",6,IF(J135="events and names",6,IF(J135="flashbulb",7,IF(J135="stories",7,IF(J135="course material",7,IF(J135="autobiographical",7,IF(J135="novels",7,IF(J135="public events",7,"99"))))))))))))))))))))))))))))))))))))))))))))))</f>
        <v>5</v>
      </c>
      <c r="M135" s="69">
        <v>1</v>
      </c>
      <c r="N135" s="69">
        <v>4</v>
      </c>
      <c r="O135" s="69">
        <v>0</v>
      </c>
      <c r="P135" s="69"/>
      <c r="Q135" s="69" t="s">
        <v>65</v>
      </c>
      <c r="R135" s="69">
        <f>IF(Q135="Free Recall",1,IF(Q135="Cued Recall",2,IF(Q135="Recognition",3,IF(Q135="Multiple Choice",4,IF(Q135="Savings",5,IF(Q135="Stem Completion",6,IF(Q135="Fragment Completion",7,IF(Q135="anagram solution",8,IF(Q135="Matching",9,IF(Q135="Problem Solving",10,"99"))))))))))</f>
        <v>2</v>
      </c>
      <c r="S135" s="69" t="s">
        <v>49</v>
      </c>
      <c r="T135" s="92" t="s">
        <v>581</v>
      </c>
      <c r="U135" s="69">
        <f>IF(T135="within",1,0)</f>
        <v>1</v>
      </c>
      <c r="V135" s="92">
        <v>60</v>
      </c>
      <c r="W135" s="69">
        <f>F135*V135</f>
        <v>3300</v>
      </c>
      <c r="X135" s="69">
        <v>6</v>
      </c>
      <c r="Y135" s="87">
        <f>AV134</f>
        <v>300</v>
      </c>
      <c r="Z135" s="69" t="s">
        <v>144</v>
      </c>
      <c r="AA135" s="69">
        <f>42*24*60*60</f>
        <v>3628800</v>
      </c>
      <c r="AB135" s="69" t="str">
        <f>IF(AA135&lt;60,"1",IF(AA135&lt;=43200,"2",IF(AA135&lt;=777600,"3","4")))</f>
        <v>4</v>
      </c>
      <c r="AC135" s="72">
        <f>AVERAGE(AV134:DA134)</f>
        <v>950450</v>
      </c>
      <c r="AD135" s="69" t="str">
        <f>IF(AC135&lt;60,"1",IF(AC135&lt;=43200,"2",IF(AC135&lt;=777600,"3","4")))</f>
        <v>4</v>
      </c>
      <c r="AE135" s="87">
        <f>AA135-Y135</f>
        <v>3628500</v>
      </c>
      <c r="AF135" s="88">
        <f>AV135</f>
        <v>0.91</v>
      </c>
      <c r="AG135" s="72">
        <f>((AW135-AV135)+(AX135-AW135)+(AY135-AX135)+(AZ135-AY135)+(BA135-AZ135))/5</f>
        <v>-0.12200000000000003</v>
      </c>
      <c r="AH135" s="4"/>
      <c r="AI135" s="72">
        <f>RSQ(AV135:BA135,AV134:BA134)</f>
        <v>0.77876731312522551</v>
      </c>
      <c r="AJ135" s="110">
        <f>SLOPE(AV135:BA135,AV134:BA134)</f>
        <v>-1.5339304561614281E-7</v>
      </c>
      <c r="AK135" s="72">
        <f>INTERCEPT(AV135:BA135,AV134:BA134)</f>
        <v>0.78412575353919622</v>
      </c>
      <c r="AL135" s="72">
        <f>INDEX(LINEST(LN(AV135:BA135),LN(AV134:BA134),TRUE,TRUE),3,1)</f>
        <v>0.61414722818215162</v>
      </c>
      <c r="AM135" s="72">
        <f>INDEX(LINEST(LN(AV135:BA135),LN(AV134:BA134)),1)</f>
        <v>-0.10246268954207854</v>
      </c>
      <c r="AN135" s="72">
        <f>EXP(INDEX(LINEST(LN(AV135:BA135),LN(AV134:BA134)),1,2))</f>
        <v>2.0164461216717644</v>
      </c>
      <c r="AO135" s="89">
        <f>INDEX(LINEST((AV135:BA135),LN(AV134:BA134),TRUE,TRUE),3,1)</f>
        <v>0.69973232164094767</v>
      </c>
      <c r="AP135" s="89">
        <f>INDEX(LINEST((AV135:BA135),LN(AV134:BA134)),1)</f>
        <v>-6.0573408809146502E-2</v>
      </c>
      <c r="AQ135" s="90">
        <f>INDEX(LINEST(LN(AV135:BA135),SQRT(AV134:BA134),TRUE,TRUE),3,1)</f>
        <v>0.97366552987887434</v>
      </c>
      <c r="AR135" s="117">
        <f>INDEX(LINEST(LN(AV135:BA135),SQRT((AV134:BA134))),1)</f>
        <v>-6.3130049922256357E-4</v>
      </c>
      <c r="AS135" s="91">
        <f>INDEX(LINEST(1/(AV135:BA135),1/(SQRT(AV134:BA134)),TRUE,TRUE),3,1)</f>
        <v>0.1992590167158407</v>
      </c>
      <c r="AT135" s="91">
        <f>INDEX(LINEST(1/(AV135:BA135),1/SQRT(AV134:BA134)),1)</f>
        <v>-16.989497071975389</v>
      </c>
      <c r="AU135" s="3"/>
      <c r="AV135" s="73">
        <v>0.91</v>
      </c>
      <c r="AW135" s="73">
        <v>0.82</v>
      </c>
      <c r="AX135" s="73">
        <v>0.78</v>
      </c>
      <c r="AY135" s="73">
        <v>0.6</v>
      </c>
      <c r="AZ135" s="73">
        <v>0.42</v>
      </c>
      <c r="BA135" s="73">
        <v>0.3</v>
      </c>
      <c r="BB135" s="53"/>
      <c r="BC135" s="53"/>
      <c r="BD135" s="53"/>
      <c r="BE135" s="53"/>
      <c r="BF135" s="53"/>
      <c r="BG135" s="53"/>
      <c r="BH135" s="53"/>
      <c r="BI135" s="53"/>
      <c r="BJ135" s="53"/>
      <c r="BK135" s="53"/>
      <c r="BL135" s="53"/>
      <c r="BM135" s="53"/>
      <c r="BN135" s="53"/>
      <c r="BO135" s="53"/>
      <c r="BP135" s="53"/>
      <c r="BQ135" s="53"/>
      <c r="BR135" s="53"/>
      <c r="BS135" s="53"/>
      <c r="BT135" s="53"/>
      <c r="BU135" s="53"/>
      <c r="BV135" s="53"/>
      <c r="BW135" s="53"/>
      <c r="BX135" s="53"/>
      <c r="BY135" s="53"/>
      <c r="BZ135" s="53"/>
      <c r="CA135" s="53"/>
      <c r="CB135" s="53"/>
      <c r="CC135" s="53"/>
      <c r="CD135" s="53"/>
      <c r="CE135" s="53"/>
      <c r="CF135" s="53"/>
      <c r="CG135" s="53"/>
      <c r="CH135" s="53"/>
      <c r="CI135" s="53"/>
      <c r="CJ135" s="53"/>
      <c r="CK135" s="53"/>
      <c r="CL135" s="53"/>
      <c r="CM135" s="53"/>
      <c r="CN135" s="53"/>
      <c r="CO135" s="53"/>
      <c r="CP135" s="53"/>
      <c r="CQ135" s="53"/>
      <c r="CR135" s="1"/>
      <c r="CS135" s="1"/>
      <c r="CT135" s="1"/>
      <c r="CU135" s="1"/>
    </row>
    <row r="136" spans="1:99" s="13" customFormat="1" ht="12" customHeight="1" x14ac:dyDescent="0.2">
      <c r="A136" s="68">
        <v>43509</v>
      </c>
      <c r="B136" s="70"/>
      <c r="C136" s="70"/>
      <c r="D136" s="69"/>
      <c r="E136" s="87"/>
      <c r="F136" s="69"/>
      <c r="G136" s="69"/>
      <c r="H136" s="69"/>
      <c r="I136" s="69"/>
      <c r="J136" s="69"/>
      <c r="K136" s="107"/>
      <c r="L136" s="107"/>
      <c r="M136" s="69"/>
      <c r="N136" s="69"/>
      <c r="O136" s="69"/>
      <c r="P136" s="69"/>
      <c r="Q136" s="69"/>
      <c r="R136" s="69"/>
      <c r="S136" s="69"/>
      <c r="T136" s="69"/>
      <c r="U136" s="69"/>
      <c r="V136" s="69"/>
      <c r="W136" s="69"/>
      <c r="X136" s="69"/>
      <c r="Y136" s="87"/>
      <c r="Z136" s="69"/>
      <c r="AA136" s="69"/>
      <c r="AB136" s="69"/>
      <c r="AC136" s="69"/>
      <c r="AD136" s="69"/>
      <c r="AE136" s="69"/>
      <c r="AF136" s="88"/>
      <c r="AG136" s="72"/>
      <c r="AH136" s="4"/>
      <c r="AI136" s="72"/>
      <c r="AJ136" s="110"/>
      <c r="AK136" s="72"/>
      <c r="AL136" s="72"/>
      <c r="AM136" s="72"/>
      <c r="AN136" s="72"/>
      <c r="AO136" s="72"/>
      <c r="AP136" s="72"/>
      <c r="AQ136" s="72"/>
      <c r="AR136" s="110"/>
      <c r="AS136" s="72"/>
      <c r="AT136" s="72"/>
      <c r="AU136" s="3"/>
      <c r="AV136" s="71">
        <f>5*60</f>
        <v>300</v>
      </c>
      <c r="AW136" s="71">
        <f>24*60*60*1</f>
        <v>86400</v>
      </c>
      <c r="AX136" s="71">
        <f>24*60*60*2</f>
        <v>172800</v>
      </c>
      <c r="AY136" s="71">
        <f>24*60*60*7</f>
        <v>604800</v>
      </c>
      <c r="AZ136" s="71">
        <f>24*60*60*14</f>
        <v>1209600</v>
      </c>
      <c r="BA136" s="71">
        <f>24*60*60*42</f>
        <v>3628800</v>
      </c>
      <c r="BB136" s="53"/>
      <c r="BC136" s="53"/>
      <c r="BD136" s="53"/>
      <c r="BE136" s="53"/>
      <c r="BF136" s="53"/>
      <c r="BG136" s="53"/>
      <c r="BH136" s="53"/>
      <c r="BI136" s="53"/>
      <c r="BJ136" s="53"/>
      <c r="BK136" s="53"/>
      <c r="BL136" s="53"/>
      <c r="BM136" s="53"/>
      <c r="BN136" s="53"/>
      <c r="BO136" s="53"/>
      <c r="BP136" s="53"/>
      <c r="BQ136" s="53"/>
      <c r="BR136" s="53"/>
      <c r="BS136" s="53"/>
      <c r="BT136" s="53"/>
      <c r="BU136" s="53"/>
      <c r="BV136" s="53"/>
      <c r="BW136" s="53"/>
      <c r="BX136" s="53"/>
      <c r="BY136" s="53"/>
      <c r="BZ136" s="53"/>
      <c r="CA136" s="53"/>
      <c r="CB136" s="53"/>
      <c r="CC136" s="53"/>
      <c r="CD136" s="53"/>
      <c r="CE136" s="53"/>
      <c r="CF136" s="53"/>
      <c r="CG136" s="53"/>
      <c r="CH136" s="53"/>
      <c r="CI136" s="53"/>
      <c r="CJ136" s="53"/>
      <c r="CK136" s="53"/>
      <c r="CL136" s="53"/>
      <c r="CM136" s="53"/>
      <c r="CN136" s="53"/>
      <c r="CO136" s="53"/>
      <c r="CP136" s="53"/>
      <c r="CQ136" s="53"/>
      <c r="CR136" s="1"/>
      <c r="CS136" s="1"/>
      <c r="CT136" s="1"/>
      <c r="CU136" s="1"/>
    </row>
    <row r="137" spans="1:99" s="13" customFormat="1" ht="12" customHeight="1" x14ac:dyDescent="0.2">
      <c r="A137" s="68">
        <v>43509</v>
      </c>
      <c r="B137" s="70" t="s">
        <v>143</v>
      </c>
      <c r="C137" s="70" t="s">
        <v>75</v>
      </c>
      <c r="D137" s="69">
        <v>2008</v>
      </c>
      <c r="E137" s="87">
        <v>2</v>
      </c>
      <c r="F137" s="69">
        <v>57</v>
      </c>
      <c r="G137" s="69">
        <v>57</v>
      </c>
      <c r="H137" s="69" t="s">
        <v>22</v>
      </c>
      <c r="I137" s="69" t="s">
        <v>648</v>
      </c>
      <c r="J137" s="69" t="s">
        <v>475</v>
      </c>
      <c r="K137" s="69">
        <f>IF(J137="syllables",1,IF(J137="trigrams",2,IF(J137="strings",3,IF(J137="visual array",4,IF(J137="characters",5,IF(J137="letters",6,IF(J137="free forms",7,IF(J137="odors",8,IF(J137="words",9,IF(J137="pictures",10,IF(J137="object pictures",11,IF(J137="faces",12,IF(J137="names",13,IF(J137="idioms",14,IF(J137="grades",15,IF(J137="syllable-digit pairs",16,IF(J137="trigram-word pairs",17,IF(J137="word-digit pairs",18,IF(J137="English-Swahili pairs",19,IF(J137="spatial position",20,IF(J137="word pairs",21,IF(J137="word triads",22,IF(J137="generated words",23,IF(J137="word definition pairs",24,IF(J137="math problems",25,IF(J137="famous faces",26,IF(J137="famous names",27,IF(J137="famous voices",28,IF(J137="television programs",29,IF(J137="race horses",30,IF(J137="new vocabulary",31,IF(J137="sentences",32,IF(J137="concepts",33,IF(J137="ad slides",34,IF(J137="scenes",35,IF(J137="famous scenes",36,IF(J137="poems",37,IF(J137="walk",38,IF(J137="faces and events",39,IF(J137="events and names",40,IF(J137="flashbulb",41,IF(J137="stories",42,IF(J137="course material",43,IF(J137="autobiographical",44,IF(J137="novels",45,IF(J137="public events",46,"99"))))))))))))))))))))))))))))))))))))))))))))))</f>
        <v>32</v>
      </c>
      <c r="L137" s="69">
        <f>IF(J137="syllables",1,IF(J137="trigrams",1,IF(J137="strings",1,IF(J137="visual array",1,IF(J137="characters",1,IF(J137="letters",1,IF(J137="free forms",1,IF(J137="odors",2,IF(J137="words",2,IF(J137="pictures",2,IF(J137="object pictures",2,IF(J137="faces",2,IF(J137="names",2,IF(J137="idioms","2",IF(J137="grades",2,IF(J137="syllable-digit pairs",3,IF(J137="trigram-word pairs",3,IF(J137="word-digit pairs",3,IF(J137="English-Swahili pairs",3,IF(J137="spatial position",3,IF(J137="word pairs",4,IF(J137="word triads",4,IF(J137="generated words",4,IF(J137="word definition pairs",4,IF(J137="math problems",4,IF(J137="famous faces",4,IF(J137="famous names",4,IF(J137="famous voices",4,IF(J137="television programs",4,IF(J137="race horses",4,IF(J137="new vocabulary",4,IF(J137="sentences",5,IF(J137="concepts",5,IF(J137="ad slides",5,IF(J137="scenes",5,IF(J137="famous scenes",5,IF(J137="poems",6,IF(J137="walk",6,IF(J137="faces and events",6,IF(J137="events and names",6,IF(J137="flashbulb",7,IF(J137="stories",7,IF(J137="course material",7,IF(J137="autobiographical",7,IF(J137="novels",7,IF(J137="public events",7,"99"))))))))))))))))))))))))))))))))))))))))))))))</f>
        <v>5</v>
      </c>
      <c r="M137" s="69">
        <v>1</v>
      </c>
      <c r="N137" s="69">
        <v>4</v>
      </c>
      <c r="O137" s="69">
        <v>0</v>
      </c>
      <c r="P137" s="69"/>
      <c r="Q137" s="69" t="s">
        <v>65</v>
      </c>
      <c r="R137" s="69">
        <f>IF(Q137="Free Recall",1,IF(Q137="Cued Recall",2,IF(Q137="Recognition",3,IF(Q137="Multiple Choice",4,IF(Q137="Savings",5,IF(Q137="Stem Completion",6,IF(Q137="Fragment Completion",7,IF(Q137="anagram solution",8,IF(Q137="Matching",9,IF(Q137="Problem Solving",10,"99"))))))))))</f>
        <v>2</v>
      </c>
      <c r="S137" s="69" t="s">
        <v>49</v>
      </c>
      <c r="T137" s="92" t="s">
        <v>581</v>
      </c>
      <c r="U137" s="69">
        <f>IF(T137="within",1,0)</f>
        <v>1</v>
      </c>
      <c r="V137" s="92">
        <v>60</v>
      </c>
      <c r="W137" s="69">
        <f>F137*V137</f>
        <v>3420</v>
      </c>
      <c r="X137" s="69">
        <v>6</v>
      </c>
      <c r="Y137" s="87">
        <f>AV136</f>
        <v>300</v>
      </c>
      <c r="Z137" s="69" t="s">
        <v>144</v>
      </c>
      <c r="AA137" s="69">
        <f>42*24*60*60</f>
        <v>3628800</v>
      </c>
      <c r="AB137" s="69" t="str">
        <f>IF(AA137&lt;60,"1",IF(AA137&lt;=43200,"2",IF(AA137&lt;=777600,"3","4")))</f>
        <v>4</v>
      </c>
      <c r="AC137" s="72">
        <f>AVERAGE(AV136:DA136)</f>
        <v>950450</v>
      </c>
      <c r="AD137" s="69" t="str">
        <f>IF(AC137&lt;60,"1",IF(AC137&lt;=43200,"2",IF(AC137&lt;=777600,"3","4")))</f>
        <v>4</v>
      </c>
      <c r="AE137" s="87">
        <f>AA137-Y137</f>
        <v>3628500</v>
      </c>
      <c r="AF137" s="88">
        <f>AV137</f>
        <v>0.96</v>
      </c>
      <c r="AG137" s="72">
        <f>((AW137-AV137)+(AX137-AW137)+(AY137-AX137)+(AZ137-AY137)+(BA137-AZ137))/5</f>
        <v>-0.11399999999999999</v>
      </c>
      <c r="AH137" s="4"/>
      <c r="AI137" s="72">
        <f>RSQ(AV137:BA137,AV136:BA136)</f>
        <v>0.97567546112004788</v>
      </c>
      <c r="AJ137" s="110">
        <f>SLOPE(AV137:BA137,AV136:BA136)</f>
        <v>-1.5366555640311439E-7</v>
      </c>
      <c r="AK137" s="72">
        <f>INTERCEPT(AV137:BA137,AV136:BA136)</f>
        <v>0.92771809475000666</v>
      </c>
      <c r="AL137" s="72">
        <f>INDEX(LINEST(LN(AV137:BA137),LN(AV136:BA136),TRUE,TRUE),3,1)</f>
        <v>0.43473281634337863</v>
      </c>
      <c r="AM137" s="72">
        <f>INDEX(LINEST(LN(AV137:BA137),LN(AV136:BA136)),1)</f>
        <v>-6.7845954926792254E-2</v>
      </c>
      <c r="AN137" s="72">
        <f>EXP(INDEX(LINEST(LN(AV137:BA137),LN(AV136:BA136)),1,2))</f>
        <v>1.682882842203467</v>
      </c>
      <c r="AO137" s="89">
        <f>INDEX(LINEST((AV137:BA137),LN(AV136:BA136),TRUE,TRUE),3,1)</f>
        <v>0.50585157755457111</v>
      </c>
      <c r="AP137" s="89">
        <f>INDEX(LINEST((AV137:BA137),LN(AV136:BA136)),1)</f>
        <v>-4.6094555357590425E-2</v>
      </c>
      <c r="AQ137" s="90">
        <f>INDEX(LINEST(LN(AV137:BA137),SQRT(AV136:BA136),TRUE,TRUE),3,1)</f>
        <v>0.92858684195072649</v>
      </c>
      <c r="AR137" s="117">
        <f>INDEX(LINEST(LN(AV137:BA137),SQRT((AV136:BA136))),1)</f>
        <v>-4.8520552958858414E-4</v>
      </c>
      <c r="AS137" s="91">
        <f>INDEX(LINEST(1/(AV137:BA137),1/(SQRT(AV136:BA136)),TRUE,TRUE),3,1)</f>
        <v>0.11549127967163347</v>
      </c>
      <c r="AT137" s="91">
        <f>INDEX(LINEST(1/(AV137:BA137),1/SQRT(AV136:BA136)),1)</f>
        <v>-8.6883061351228807</v>
      </c>
      <c r="AU137" s="3"/>
      <c r="AV137" s="73">
        <v>0.96</v>
      </c>
      <c r="AW137" s="73">
        <v>0.93</v>
      </c>
      <c r="AX137" s="73">
        <v>0.89</v>
      </c>
      <c r="AY137" s="73">
        <v>0.84</v>
      </c>
      <c r="AZ137" s="73">
        <v>0.68</v>
      </c>
      <c r="BA137" s="73">
        <v>0.39</v>
      </c>
      <c r="BB137" s="53"/>
      <c r="BC137" s="53"/>
      <c r="BD137" s="53"/>
      <c r="BE137" s="53"/>
      <c r="BF137" s="53"/>
      <c r="BG137" s="53"/>
      <c r="BH137" s="53"/>
      <c r="BI137" s="53"/>
      <c r="BJ137" s="53"/>
      <c r="BK137" s="53"/>
      <c r="BL137" s="53"/>
      <c r="BM137" s="53"/>
      <c r="BN137" s="53"/>
      <c r="BO137" s="53"/>
      <c r="BP137" s="53"/>
      <c r="BQ137" s="53"/>
      <c r="BR137" s="53"/>
      <c r="BS137" s="53"/>
      <c r="BT137" s="53"/>
      <c r="BU137" s="53"/>
      <c r="BV137" s="53"/>
      <c r="BW137" s="53"/>
      <c r="BX137" s="53"/>
      <c r="BY137" s="53"/>
      <c r="BZ137" s="53"/>
      <c r="CA137" s="53"/>
      <c r="CB137" s="53"/>
      <c r="CC137" s="53"/>
      <c r="CD137" s="53"/>
      <c r="CE137" s="53"/>
      <c r="CF137" s="53"/>
      <c r="CG137" s="53"/>
      <c r="CH137" s="53"/>
      <c r="CI137" s="53"/>
      <c r="CJ137" s="53"/>
      <c r="CK137" s="53"/>
      <c r="CL137" s="53"/>
      <c r="CM137" s="53"/>
      <c r="CN137" s="53"/>
      <c r="CO137" s="53"/>
      <c r="CP137" s="53"/>
      <c r="CQ137" s="53"/>
      <c r="CR137" s="1"/>
      <c r="CS137" s="1"/>
      <c r="CT137" s="1"/>
      <c r="CU137" s="1"/>
    </row>
    <row r="138" spans="1:99" s="13" customFormat="1" ht="12" customHeight="1" x14ac:dyDescent="0.2">
      <c r="A138" s="68">
        <v>43509</v>
      </c>
      <c r="B138" s="70"/>
      <c r="C138" s="70"/>
      <c r="D138" s="69"/>
      <c r="E138" s="87"/>
      <c r="F138" s="69"/>
      <c r="G138" s="69"/>
      <c r="H138" s="69"/>
      <c r="I138" s="69"/>
      <c r="J138" s="69"/>
      <c r="K138" s="107"/>
      <c r="L138" s="107"/>
      <c r="M138" s="69"/>
      <c r="N138" s="69"/>
      <c r="O138" s="69"/>
      <c r="P138" s="69"/>
      <c r="Q138" s="69"/>
      <c r="R138" s="69"/>
      <c r="S138" s="69"/>
      <c r="T138" s="69"/>
      <c r="U138" s="69"/>
      <c r="V138" s="69"/>
      <c r="W138" s="69"/>
      <c r="X138" s="69"/>
      <c r="Y138" s="87"/>
      <c r="Z138" s="69"/>
      <c r="AA138" s="69"/>
      <c r="AB138" s="69"/>
      <c r="AC138" s="69"/>
      <c r="AD138" s="69"/>
      <c r="AE138" s="69"/>
      <c r="AF138" s="88"/>
      <c r="AG138" s="72"/>
      <c r="AH138" s="4"/>
      <c r="AI138" s="72"/>
      <c r="AJ138" s="110"/>
      <c r="AK138" s="72"/>
      <c r="AL138" s="72"/>
      <c r="AM138" s="72"/>
      <c r="AN138" s="72"/>
      <c r="AO138" s="72"/>
      <c r="AP138" s="72"/>
      <c r="AQ138" s="72"/>
      <c r="AR138" s="110"/>
      <c r="AS138" s="72"/>
      <c r="AT138" s="72"/>
      <c r="AU138" s="3"/>
      <c r="AV138" s="71">
        <f>5*60</f>
        <v>300</v>
      </c>
      <c r="AW138" s="71">
        <f>24*60*60*1</f>
        <v>86400</v>
      </c>
      <c r="AX138" s="71">
        <f>24*60*60*2</f>
        <v>172800</v>
      </c>
      <c r="AY138" s="71">
        <f>24*60*60*7</f>
        <v>604800</v>
      </c>
      <c r="AZ138" s="71">
        <f>24*60*60*14</f>
        <v>1209600</v>
      </c>
      <c r="BA138" s="71">
        <f>24*60*60*42</f>
        <v>3628800</v>
      </c>
      <c r="BB138" s="53"/>
      <c r="BC138" s="53"/>
      <c r="BD138" s="53"/>
      <c r="BE138" s="53"/>
      <c r="BF138" s="53"/>
      <c r="BG138" s="53"/>
      <c r="BH138" s="53"/>
      <c r="BI138" s="53"/>
      <c r="BJ138" s="53"/>
      <c r="BK138" s="53"/>
      <c r="BL138" s="53"/>
      <c r="BM138" s="53"/>
      <c r="BN138" s="53"/>
      <c r="BO138" s="53"/>
      <c r="BP138" s="53"/>
      <c r="BQ138" s="53"/>
      <c r="BR138" s="53"/>
      <c r="BS138" s="53"/>
      <c r="BT138" s="53"/>
      <c r="BU138" s="53"/>
      <c r="BV138" s="53"/>
      <c r="BW138" s="53"/>
      <c r="BX138" s="53"/>
      <c r="BY138" s="53"/>
      <c r="BZ138" s="53"/>
      <c r="CA138" s="53"/>
      <c r="CB138" s="53"/>
      <c r="CC138" s="53"/>
      <c r="CD138" s="53"/>
      <c r="CE138" s="53"/>
      <c r="CF138" s="53"/>
      <c r="CG138" s="53"/>
      <c r="CH138" s="53"/>
      <c r="CI138" s="53"/>
      <c r="CJ138" s="53"/>
      <c r="CK138" s="53"/>
      <c r="CL138" s="53"/>
      <c r="CM138" s="53"/>
      <c r="CN138" s="53"/>
      <c r="CO138" s="53"/>
      <c r="CP138" s="53"/>
      <c r="CQ138" s="53"/>
      <c r="CR138" s="1"/>
      <c r="CS138" s="1"/>
      <c r="CT138" s="1"/>
      <c r="CU138" s="1"/>
    </row>
    <row r="139" spans="1:99" s="13" customFormat="1" ht="12" customHeight="1" x14ac:dyDescent="0.2">
      <c r="A139" s="68">
        <v>43509</v>
      </c>
      <c r="B139" s="70" t="s">
        <v>143</v>
      </c>
      <c r="C139" s="70" t="s">
        <v>75</v>
      </c>
      <c r="D139" s="69">
        <v>2008</v>
      </c>
      <c r="E139" s="87">
        <v>2</v>
      </c>
      <c r="F139" s="69">
        <v>57</v>
      </c>
      <c r="G139" s="69">
        <v>57</v>
      </c>
      <c r="H139" s="69" t="s">
        <v>22</v>
      </c>
      <c r="I139" s="69" t="s">
        <v>649</v>
      </c>
      <c r="J139" s="69" t="s">
        <v>475</v>
      </c>
      <c r="K139" s="69">
        <f>IF(J139="syllables",1,IF(J139="trigrams",2,IF(J139="strings",3,IF(J139="visual array",4,IF(J139="characters",5,IF(J139="letters",6,IF(J139="free forms",7,IF(J139="odors",8,IF(J139="words",9,IF(J139="pictures",10,IF(J139="object pictures",11,IF(J139="faces",12,IF(J139="names",13,IF(J139="idioms",14,IF(J139="grades",15,IF(J139="syllable-digit pairs",16,IF(J139="trigram-word pairs",17,IF(J139="word-digit pairs",18,IF(J139="English-Swahili pairs",19,IF(J139="spatial position",20,IF(J139="word pairs",21,IF(J139="word triads",22,IF(J139="generated words",23,IF(J139="word definition pairs",24,IF(J139="math problems",25,IF(J139="famous faces",26,IF(J139="famous names",27,IF(J139="famous voices",28,IF(J139="television programs",29,IF(J139="race horses",30,IF(J139="new vocabulary",31,IF(J139="sentences",32,IF(J139="concepts",33,IF(J139="ad slides",34,IF(J139="scenes",35,IF(J139="famous scenes",36,IF(J139="poems",37,IF(J139="walk",38,IF(J139="faces and events",39,IF(J139="events and names",40,IF(J139="flashbulb",41,IF(J139="stories",42,IF(J139="course material",43,IF(J139="autobiographical",44,IF(J139="novels",45,IF(J139="public events",46,"99"))))))))))))))))))))))))))))))))))))))))))))))</f>
        <v>32</v>
      </c>
      <c r="L139" s="69">
        <f>IF(J139="syllables",1,IF(J139="trigrams",1,IF(J139="strings",1,IF(J139="visual array",1,IF(J139="characters",1,IF(J139="letters",1,IF(J139="free forms",1,IF(J139="odors",2,IF(J139="words",2,IF(J139="pictures",2,IF(J139="object pictures",2,IF(J139="faces",2,IF(J139="names",2,IF(J139="idioms","2",IF(J139="grades",2,IF(J139="syllable-digit pairs",3,IF(J139="trigram-word pairs",3,IF(J139="word-digit pairs",3,IF(J139="English-Swahili pairs",3,IF(J139="spatial position",3,IF(J139="word pairs",4,IF(J139="word triads",4,IF(J139="generated words",4,IF(J139="word definition pairs",4,IF(J139="math problems",4,IF(J139="famous faces",4,IF(J139="famous names",4,IF(J139="famous voices",4,IF(J139="television programs",4,IF(J139="race horses",4,IF(J139="new vocabulary",4,IF(J139="sentences",5,IF(J139="concepts",5,IF(J139="ad slides",5,IF(J139="scenes",5,IF(J139="famous scenes",5,IF(J139="poems",6,IF(J139="walk",6,IF(J139="faces and events",6,IF(J139="events and names",6,IF(J139="flashbulb",7,IF(J139="stories",7,IF(J139="course material",7,IF(J139="autobiographical",7,IF(J139="novels",7,IF(J139="public events",7,"99"))))))))))))))))))))))))))))))))))))))))))))))</f>
        <v>5</v>
      </c>
      <c r="M139" s="69">
        <v>1</v>
      </c>
      <c r="N139" s="69">
        <v>4</v>
      </c>
      <c r="O139" s="69">
        <v>0</v>
      </c>
      <c r="P139" s="69"/>
      <c r="Q139" s="69" t="s">
        <v>65</v>
      </c>
      <c r="R139" s="69">
        <f>IF(Q139="Free Recall",1,IF(Q139="Cued Recall",2,IF(Q139="Recognition",3,IF(Q139="Multiple Choice",4,IF(Q139="Savings",5,IF(Q139="Stem Completion",6,IF(Q139="Fragment Completion",7,IF(Q139="anagram solution",8,IF(Q139="Matching",9,IF(Q139="Problem Solving",10,"99"))))))))))</f>
        <v>2</v>
      </c>
      <c r="S139" s="69" t="s">
        <v>49</v>
      </c>
      <c r="T139" s="92" t="s">
        <v>581</v>
      </c>
      <c r="U139" s="69">
        <f>IF(T139="within",1,0)</f>
        <v>1</v>
      </c>
      <c r="V139" s="92">
        <v>60</v>
      </c>
      <c r="W139" s="69">
        <f>F139*V139</f>
        <v>3420</v>
      </c>
      <c r="X139" s="69">
        <v>6</v>
      </c>
      <c r="Y139" s="87">
        <f>AV138</f>
        <v>300</v>
      </c>
      <c r="Z139" s="69" t="s">
        <v>144</v>
      </c>
      <c r="AA139" s="69">
        <f>42*24*60*60</f>
        <v>3628800</v>
      </c>
      <c r="AB139" s="69" t="str">
        <f>IF(AA139&lt;60,"1",IF(AA139&lt;=43200,"2",IF(AA139&lt;=777600,"3","4")))</f>
        <v>4</v>
      </c>
      <c r="AC139" s="72">
        <f>AVERAGE(AV138:DA138)</f>
        <v>950450</v>
      </c>
      <c r="AD139" s="69" t="str">
        <f>IF(AC139&lt;60,"1",IF(AC139&lt;=43200,"2",IF(AC139&lt;=777600,"3","4")))</f>
        <v>4</v>
      </c>
      <c r="AE139" s="87">
        <f>AA139-Y139</f>
        <v>3628500</v>
      </c>
      <c r="AF139" s="88">
        <f>AV139</f>
        <v>0.93</v>
      </c>
      <c r="AG139" s="72">
        <f>((AW139-AV139)+(AX139-AW139)+(AY139-AX139)+(AZ139-AY139)+(BA139-AZ139))/5</f>
        <v>-0.11400000000000002</v>
      </c>
      <c r="AH139" s="4"/>
      <c r="AI139" s="72">
        <f>RSQ(AV139:BA139,AV138:BA138)</f>
        <v>0.85493541604825107</v>
      </c>
      <c r="AJ139" s="110">
        <f>SLOPE(AV139:BA139,AV138:BA138)</f>
        <v>-1.489011421422698E-7</v>
      </c>
      <c r="AK139" s="72">
        <f>INTERCEPT(AV139:BA139,AV138:BA138)</f>
        <v>0.84485642388245363</v>
      </c>
      <c r="AL139" s="72">
        <f>INDEX(LINEST(LN(AV139:BA139),LN(AV138:BA138),TRUE,TRUE),3,1)</f>
        <v>0.56189155602929042</v>
      </c>
      <c r="AM139" s="72">
        <f>INDEX(LINEST(LN(AV139:BA139),LN(AV138:BA138)),1)</f>
        <v>-8.297968446750012E-2</v>
      </c>
      <c r="AN139" s="72">
        <f>EXP(INDEX(LINEST(LN(AV139:BA139),LN(AV138:BA138)),1,2))</f>
        <v>1.797694456213542</v>
      </c>
      <c r="AO139" s="89">
        <f>INDEX(LINEST((AV139:BA139),LN(AV138:BA138),TRUE,TRUE),3,1)</f>
        <v>0.63538048532245084</v>
      </c>
      <c r="AP139" s="89">
        <f>INDEX(LINEST((AV139:BA139),LN(AV138:BA138)),1)</f>
        <v>-5.3476447006060905E-2</v>
      </c>
      <c r="AQ139" s="90">
        <f>INDEX(LINEST(LN(AV139:BA139),SQRT(AV138:BA138),TRUE,TRUE),3,1)</f>
        <v>0.97870208989889174</v>
      </c>
      <c r="AR139" s="117">
        <f>INDEX(LINEST(LN(AV139:BA139),SQRT((AV138:BA138))),1)</f>
        <v>-5.3588612901461308E-4</v>
      </c>
      <c r="AS139" s="91">
        <f>INDEX(LINEST(1/(AV139:BA139),1/(SQRT(AV138:BA138)),TRUE,TRUE),3,1)</f>
        <v>0.17480899645548734</v>
      </c>
      <c r="AT139" s="91">
        <f>INDEX(LINEST(1/(AV139:BA139),1/SQRT(AV138:BA138)),1)</f>
        <v>-12.019095779709707</v>
      </c>
      <c r="AU139" s="3"/>
      <c r="AV139" s="73">
        <v>0.93</v>
      </c>
      <c r="AW139" s="73">
        <v>0.87</v>
      </c>
      <c r="AX139" s="73">
        <v>0.84</v>
      </c>
      <c r="AY139" s="73">
        <v>0.7</v>
      </c>
      <c r="AZ139" s="73">
        <v>0.52</v>
      </c>
      <c r="BA139" s="73">
        <v>0.36</v>
      </c>
      <c r="BB139" s="53"/>
      <c r="BC139" s="53"/>
      <c r="BD139" s="53"/>
      <c r="BE139" s="53"/>
      <c r="BF139" s="53"/>
      <c r="BG139" s="53"/>
      <c r="BH139" s="53"/>
      <c r="BI139" s="53"/>
      <c r="BJ139" s="53"/>
      <c r="BK139" s="53"/>
      <c r="BL139" s="53"/>
      <c r="BM139" s="53"/>
      <c r="BN139" s="53"/>
      <c r="BO139" s="53"/>
      <c r="BP139" s="53"/>
      <c r="BQ139" s="53"/>
      <c r="BR139" s="53"/>
      <c r="BS139" s="53"/>
      <c r="BT139" s="53"/>
      <c r="BU139" s="53"/>
      <c r="BV139" s="53"/>
      <c r="BW139" s="53"/>
      <c r="BX139" s="53"/>
      <c r="BY139" s="53"/>
      <c r="BZ139" s="53"/>
      <c r="CA139" s="53"/>
      <c r="CB139" s="53"/>
      <c r="CC139" s="53"/>
      <c r="CD139" s="53"/>
      <c r="CE139" s="53"/>
      <c r="CF139" s="53"/>
      <c r="CG139" s="53"/>
      <c r="CH139" s="53"/>
      <c r="CI139" s="53"/>
      <c r="CJ139" s="53"/>
      <c r="CK139" s="53"/>
      <c r="CL139" s="53"/>
      <c r="CM139" s="53"/>
      <c r="CN139" s="53"/>
      <c r="CO139" s="53"/>
      <c r="CP139" s="53"/>
      <c r="CQ139" s="53"/>
      <c r="CR139" s="1"/>
      <c r="CS139" s="1"/>
      <c r="CT139" s="1"/>
      <c r="CU139" s="1"/>
    </row>
    <row r="140" spans="1:99" s="13" customFormat="1" ht="12" customHeight="1" x14ac:dyDescent="0.2">
      <c r="A140" s="68">
        <v>43509</v>
      </c>
      <c r="B140" s="70"/>
      <c r="C140" s="70"/>
      <c r="D140" s="69"/>
      <c r="E140" s="87"/>
      <c r="F140" s="69"/>
      <c r="G140" s="69"/>
      <c r="H140" s="69"/>
      <c r="I140" s="69"/>
      <c r="J140" s="69"/>
      <c r="K140" s="107"/>
      <c r="L140" s="107"/>
      <c r="M140" s="69"/>
      <c r="N140" s="69"/>
      <c r="O140" s="69"/>
      <c r="P140" s="69"/>
      <c r="Q140" s="69"/>
      <c r="R140" s="69"/>
      <c r="S140" s="69"/>
      <c r="T140" s="69"/>
      <c r="U140" s="69"/>
      <c r="V140" s="69"/>
      <c r="W140" s="69"/>
      <c r="X140" s="69"/>
      <c r="Y140" s="87"/>
      <c r="Z140" s="69"/>
      <c r="AA140" s="69"/>
      <c r="AB140" s="69"/>
      <c r="AC140" s="69"/>
      <c r="AD140" s="69"/>
      <c r="AE140" s="69"/>
      <c r="AF140" s="88"/>
      <c r="AG140" s="72"/>
      <c r="AH140" s="4"/>
      <c r="AI140" s="72"/>
      <c r="AJ140" s="110"/>
      <c r="AK140" s="72"/>
      <c r="AL140" s="72"/>
      <c r="AM140" s="72"/>
      <c r="AN140" s="72"/>
      <c r="AO140" s="72"/>
      <c r="AP140" s="72"/>
      <c r="AQ140" s="72"/>
      <c r="AR140" s="110"/>
      <c r="AS140" s="72"/>
      <c r="AT140" s="72"/>
      <c r="AU140" s="3"/>
      <c r="AV140" s="71">
        <f>5*60</f>
        <v>300</v>
      </c>
      <c r="AW140" s="71">
        <f>24*60*60*1</f>
        <v>86400</v>
      </c>
      <c r="AX140" s="71">
        <f>24*60*60*2</f>
        <v>172800</v>
      </c>
      <c r="AY140" s="71">
        <f>24*60*60*7</f>
        <v>604800</v>
      </c>
      <c r="AZ140" s="71">
        <f>24*60*60*14</f>
        <v>1209600</v>
      </c>
      <c r="BA140" s="71">
        <f>24*60*60*42</f>
        <v>3628800</v>
      </c>
      <c r="BB140" s="53"/>
      <c r="BC140" s="53"/>
      <c r="BD140" s="53"/>
      <c r="BE140" s="53"/>
      <c r="BF140" s="53"/>
      <c r="BG140" s="53"/>
      <c r="BH140" s="53"/>
      <c r="BI140" s="53"/>
      <c r="BJ140" s="53"/>
      <c r="BK140" s="53"/>
      <c r="BL140" s="53"/>
      <c r="BM140" s="53"/>
      <c r="BN140" s="53"/>
      <c r="BO140" s="53"/>
      <c r="BP140" s="53"/>
      <c r="BQ140" s="53"/>
      <c r="BR140" s="53"/>
      <c r="BS140" s="53"/>
      <c r="BT140" s="53"/>
      <c r="BU140" s="53"/>
      <c r="BV140" s="53"/>
      <c r="BW140" s="53"/>
      <c r="BX140" s="53"/>
      <c r="BY140" s="53"/>
      <c r="BZ140" s="53"/>
      <c r="CA140" s="53"/>
      <c r="CB140" s="53"/>
      <c r="CC140" s="53"/>
      <c r="CD140" s="53"/>
      <c r="CE140" s="53"/>
      <c r="CF140" s="53"/>
      <c r="CG140" s="53"/>
      <c r="CH140" s="53"/>
      <c r="CI140" s="53"/>
      <c r="CJ140" s="53"/>
      <c r="CK140" s="53"/>
      <c r="CL140" s="53"/>
      <c r="CM140" s="53"/>
      <c r="CN140" s="53"/>
      <c r="CO140" s="53"/>
      <c r="CP140" s="53"/>
      <c r="CQ140" s="53"/>
      <c r="CR140" s="1"/>
      <c r="CS140" s="1"/>
      <c r="CT140" s="1"/>
      <c r="CU140" s="1"/>
    </row>
    <row r="141" spans="1:99" s="13" customFormat="1" ht="12" customHeight="1" x14ac:dyDescent="0.2">
      <c r="A141" s="68">
        <v>43509</v>
      </c>
      <c r="B141" s="70" t="s">
        <v>143</v>
      </c>
      <c r="C141" s="70" t="s">
        <v>75</v>
      </c>
      <c r="D141" s="69">
        <v>2008</v>
      </c>
      <c r="E141" s="87">
        <v>3</v>
      </c>
      <c r="F141" s="69">
        <v>54</v>
      </c>
      <c r="G141" s="69">
        <v>54</v>
      </c>
      <c r="H141" s="69" t="s">
        <v>22</v>
      </c>
      <c r="I141" s="69" t="s">
        <v>648</v>
      </c>
      <c r="J141" s="69" t="s">
        <v>490</v>
      </c>
      <c r="K141" s="69">
        <f>IF(J141="syllables",1,IF(J141="trigrams",2,IF(J141="strings",3,IF(J141="visual array",4,IF(J141="characters",5,IF(J141="letters",6,IF(J141="free forms",7,IF(J141="odors",8,IF(J141="words",9,IF(J141="pictures",10,IF(J141="object pictures",11,IF(J141="faces",12,IF(J141="names",13,IF(J141="idioms",14,IF(J141="grades",15,IF(J141="syllable-digit pairs",16,IF(J141="trigram-word pairs",17,IF(J141="word-digit pairs",18,IF(J141="English-Swahili pairs",19,IF(J141="spatial position",20,IF(J141="word pairs",21,IF(J141="word triads",22,IF(J141="generated words",23,IF(J141="word definition pairs",24,IF(J141="math problems",25,IF(J141="famous faces",26,IF(J141="famous names",27,IF(J141="famous voices",28,IF(J141="television programs",29,IF(J141="race horses",30,IF(J141="new vocabulary",31,IF(J141="sentences",32,IF(J141="concepts",33,IF(J141="ad slides",34,IF(J141="scenes",35,IF(J141="famous scenes",36,IF(J141="poems",37,IF(J141="walk",38,IF(J141="faces and events",39,IF(J141="events and names",40,IF(J141="flashbulb",41,IF(J141="stories",42,IF(J141="course material",43,IF(J141="autobiographical",44,IF(J141="novels",45,IF(J141="public events",46,"99"))))))))))))))))))))))))))))))))))))))))))))))</f>
        <v>19</v>
      </c>
      <c r="L141" s="69">
        <f>IF(J141="syllables",1,IF(J141="trigrams",1,IF(J141="strings",1,IF(J141="visual array",1,IF(J141="characters",1,IF(J141="letters",1,IF(J141="free forms",1,IF(J141="odors",2,IF(J141="words",2,IF(J141="pictures",2,IF(J141="object pictures",2,IF(J141="faces",2,IF(J141="names",2,IF(J141="idioms","2",IF(J141="grades",2,IF(J141="syllable-digit pairs",3,IF(J141="trigram-word pairs",3,IF(J141="word-digit pairs",3,IF(J141="English-Swahili pairs",3,IF(J141="spatial position",3,IF(J141="word pairs",4,IF(J141="word triads",4,IF(J141="generated words",4,IF(J141="word definition pairs",4,IF(J141="math problems",4,IF(J141="famous faces",4,IF(J141="famous names",4,IF(J141="famous voices",4,IF(J141="television programs",4,IF(J141="race horses",4,IF(J141="new vocabulary",4,IF(J141="sentences",5,IF(J141="concepts",5,IF(J141="ad slides",5,IF(J141="scenes",5,IF(J141="famous scenes",5,IF(J141="poems",6,IF(J141="walk",6,IF(J141="faces and events",6,IF(J141="events and names",6,IF(J141="flashbulb",7,IF(J141="stories",7,IF(J141="course material",7,IF(J141="autobiographical",7,IF(J141="novels",7,IF(J141="public events",7,"99"))))))))))))))))))))))))))))))))))))))))))))))</f>
        <v>3</v>
      </c>
      <c r="M141" s="69">
        <v>1</v>
      </c>
      <c r="N141" s="69">
        <v>2</v>
      </c>
      <c r="O141" s="69">
        <v>0</v>
      </c>
      <c r="P141" s="69"/>
      <c r="Q141" s="69" t="s">
        <v>65</v>
      </c>
      <c r="R141" s="69">
        <f>IF(Q141="Free Recall",1,IF(Q141="Cued Recall",2,IF(Q141="Recognition",3,IF(Q141="Multiple Choice",4,IF(Q141="Savings",5,IF(Q141="Stem Completion",6,IF(Q141="Fragment Completion",7,IF(Q141="anagram solution",8,IF(Q141="Matching",9,IF(Q141="Problem Solving",10,"99"))))))))))</f>
        <v>2</v>
      </c>
      <c r="S141" s="69" t="s">
        <v>49</v>
      </c>
      <c r="T141" s="92" t="s">
        <v>581</v>
      </c>
      <c r="U141" s="69">
        <f>IF(T141="within",1,0)</f>
        <v>1</v>
      </c>
      <c r="V141" s="92">
        <v>60</v>
      </c>
      <c r="W141" s="69">
        <f>F141*V141</f>
        <v>3240</v>
      </c>
      <c r="X141" s="69">
        <v>6</v>
      </c>
      <c r="Y141" s="87">
        <f>AV140</f>
        <v>300</v>
      </c>
      <c r="Z141" s="69" t="s">
        <v>144</v>
      </c>
      <c r="AA141" s="69">
        <f>42*24*60*60</f>
        <v>3628800</v>
      </c>
      <c r="AB141" s="69" t="str">
        <f>IF(AA141&lt;60,"1",IF(AA141&lt;=43200,"2",IF(AA141&lt;=777600,"3","4")))</f>
        <v>4</v>
      </c>
      <c r="AC141" s="72">
        <f>AVERAGE(AV140:DA140)</f>
        <v>950450</v>
      </c>
      <c r="AD141" s="69" t="str">
        <f>IF(AC141&lt;60,"1",IF(AC141&lt;=43200,"2",IF(AC141&lt;=777600,"3","4")))</f>
        <v>4</v>
      </c>
      <c r="AE141" s="87">
        <f>AA141-Y141</f>
        <v>3628500</v>
      </c>
      <c r="AF141" s="88">
        <f>AV141</f>
        <v>0.59</v>
      </c>
      <c r="AG141" s="72">
        <f>((AW141-AV141)+(AX141-AW141)+(AY141-AX141)+(AZ141-AY141)+(BA141-AZ141))/5</f>
        <v>-7.9999999999999988E-2</v>
      </c>
      <c r="AH141" s="4"/>
      <c r="AI141" s="72">
        <f>RSQ(AV141:BA141,AV140:BA140)</f>
        <v>0.60487284939678887</v>
      </c>
      <c r="AJ141" s="110">
        <f>SLOPE(AV141:BA141,AV140:BA140)</f>
        <v>-8.1231877190821289E-8</v>
      </c>
      <c r="AK141" s="72">
        <f>INTERCEPT(AV141:BA141,AV140:BA140)</f>
        <v>0.43887350434268274</v>
      </c>
      <c r="AL141" s="72">
        <f>INDEX(LINEST(LN(AV141:BA141),LN(AV140:BA140),TRUE,TRUE),3,1)</f>
        <v>0.82315908489974188</v>
      </c>
      <c r="AM141" s="72">
        <f>INDEX(LINEST(LN(AV141:BA141),LN(AV140:BA140)),1)</f>
        <v>-0.11189128699965727</v>
      </c>
      <c r="AN141" s="72">
        <f>EXP(INDEX(LINEST(LN(AV141:BA141),LN(AV140:BA140)),1,2))</f>
        <v>1.2823122699988281</v>
      </c>
      <c r="AO141" s="89">
        <f>INDEX(LINEST((AV141:BA141),LN(AV140:BA140),TRUE,TRUE),3,1)</f>
        <v>0.92306306726375076</v>
      </c>
      <c r="AP141" s="89">
        <f>INDEX(LINEST((AV141:BA141),LN(AV140:BA140)),1)</f>
        <v>-4.1804628204079639E-2</v>
      </c>
      <c r="AQ141" s="90">
        <f>INDEX(LINEST(LN(AV141:BA141),SQRT(AV140:BA140),TRUE,TRUE),3,1)</f>
        <v>0.94406715125454088</v>
      </c>
      <c r="AR141" s="117">
        <f>INDEX(LINEST(LN(AV141:BA141),SQRT((AV140:BA140))),1)</f>
        <v>-5.8635084646039312E-4</v>
      </c>
      <c r="AS141" s="91">
        <f>INDEX(LINEST(1/(AV141:BA141),1/(SQRT(AV140:BA140)),TRUE,TRUE),3,1)</f>
        <v>0.34772134038205482</v>
      </c>
      <c r="AT141" s="91">
        <f>INDEX(LINEST(1/(AV141:BA141),1/SQRT(AV140:BA140)),1)</f>
        <v>-33.615943917135517</v>
      </c>
      <c r="AU141" s="3"/>
      <c r="AV141" s="73">
        <v>0.59</v>
      </c>
      <c r="AW141" s="73">
        <v>0.43</v>
      </c>
      <c r="AX141" s="73">
        <v>0.41</v>
      </c>
      <c r="AY141" s="73">
        <v>0.3</v>
      </c>
      <c r="AZ141" s="73">
        <v>0.25</v>
      </c>
      <c r="BA141" s="73">
        <v>0.19</v>
      </c>
      <c r="BB141" s="53"/>
      <c r="BC141" s="53"/>
      <c r="BD141" s="53"/>
      <c r="BE141" s="53"/>
      <c r="BF141" s="53"/>
      <c r="BG141" s="53"/>
      <c r="BH141" s="53"/>
      <c r="BI141" s="53"/>
      <c r="BJ141" s="53"/>
      <c r="BK141" s="53"/>
      <c r="BL141" s="53"/>
      <c r="BM141" s="53"/>
      <c r="BN141" s="53"/>
      <c r="BO141" s="53"/>
      <c r="BP141" s="53"/>
      <c r="BQ141" s="53"/>
      <c r="BR141" s="53"/>
      <c r="BS141" s="53"/>
      <c r="BT141" s="53"/>
      <c r="BU141" s="53"/>
      <c r="BV141" s="53"/>
      <c r="BW141" s="53"/>
      <c r="BX141" s="53"/>
      <c r="BY141" s="53"/>
      <c r="BZ141" s="53"/>
      <c r="CA141" s="53"/>
      <c r="CB141" s="53"/>
      <c r="CC141" s="53"/>
      <c r="CD141" s="53"/>
      <c r="CE141" s="53"/>
      <c r="CF141" s="53"/>
      <c r="CG141" s="53"/>
      <c r="CH141" s="53"/>
      <c r="CI141" s="53"/>
      <c r="CJ141" s="53"/>
      <c r="CK141" s="53"/>
      <c r="CL141" s="53"/>
      <c r="CM141" s="53"/>
      <c r="CN141" s="53"/>
      <c r="CO141" s="53"/>
      <c r="CP141" s="53"/>
      <c r="CQ141" s="53"/>
      <c r="CR141" s="1"/>
      <c r="CS141" s="1"/>
      <c r="CT141" s="1"/>
      <c r="CU141" s="1"/>
    </row>
    <row r="142" spans="1:99" s="13" customFormat="1" ht="12" customHeight="1" x14ac:dyDescent="0.2">
      <c r="A142" s="68">
        <v>43509</v>
      </c>
      <c r="B142" s="70"/>
      <c r="C142" s="70"/>
      <c r="D142" s="69"/>
      <c r="E142" s="87"/>
      <c r="F142" s="69"/>
      <c r="G142" s="69"/>
      <c r="H142" s="69"/>
      <c r="I142" s="69"/>
      <c r="J142" s="69"/>
      <c r="K142" s="107"/>
      <c r="L142" s="107"/>
      <c r="M142" s="69"/>
      <c r="N142" s="69"/>
      <c r="O142" s="69"/>
      <c r="P142" s="69"/>
      <c r="Q142" s="69"/>
      <c r="R142" s="69"/>
      <c r="S142" s="69"/>
      <c r="T142" s="69"/>
      <c r="U142" s="69"/>
      <c r="V142" s="69"/>
      <c r="W142" s="69"/>
      <c r="X142" s="69"/>
      <c r="Y142" s="87"/>
      <c r="Z142" s="69"/>
      <c r="AA142" s="69"/>
      <c r="AB142" s="69"/>
      <c r="AC142" s="69"/>
      <c r="AD142" s="69"/>
      <c r="AE142" s="69"/>
      <c r="AF142" s="88"/>
      <c r="AG142" s="72"/>
      <c r="AH142" s="4"/>
      <c r="AI142" s="72"/>
      <c r="AJ142" s="110"/>
      <c r="AK142" s="72"/>
      <c r="AL142" s="72"/>
      <c r="AM142" s="72"/>
      <c r="AN142" s="72"/>
      <c r="AO142" s="72"/>
      <c r="AP142" s="72"/>
      <c r="AQ142" s="72"/>
      <c r="AR142" s="110"/>
      <c r="AS142" s="72"/>
      <c r="AT142" s="72"/>
      <c r="AU142" s="3"/>
      <c r="AV142" s="71">
        <f>5*60</f>
        <v>300</v>
      </c>
      <c r="AW142" s="71">
        <f>24*60*60*1</f>
        <v>86400</v>
      </c>
      <c r="AX142" s="71">
        <f>24*60*60*2</f>
        <v>172800</v>
      </c>
      <c r="AY142" s="71">
        <f>24*60*60*7</f>
        <v>604800</v>
      </c>
      <c r="AZ142" s="71">
        <f>24*60*60*14</f>
        <v>1209600</v>
      </c>
      <c r="BA142" s="71">
        <f>24*60*60*42</f>
        <v>3628800</v>
      </c>
      <c r="BB142" s="53"/>
      <c r="BC142" s="53"/>
      <c r="BD142" s="53"/>
      <c r="BE142" s="53"/>
      <c r="BF142" s="53"/>
      <c r="BG142" s="53"/>
      <c r="BH142" s="53"/>
      <c r="BI142" s="53"/>
      <c r="BJ142" s="53"/>
      <c r="BK142" s="53"/>
      <c r="BL142" s="53"/>
      <c r="BM142" s="53"/>
      <c r="BN142" s="53"/>
      <c r="BO142" s="53"/>
      <c r="BP142" s="53"/>
      <c r="BQ142" s="53"/>
      <c r="BR142" s="53"/>
      <c r="BS142" s="53"/>
      <c r="BT142" s="53"/>
      <c r="BU142" s="53"/>
      <c r="BV142" s="53"/>
      <c r="BW142" s="53"/>
      <c r="BX142" s="53"/>
      <c r="BY142" s="53"/>
      <c r="BZ142" s="53"/>
      <c r="CA142" s="53"/>
      <c r="CB142" s="53"/>
      <c r="CC142" s="53"/>
      <c r="CD142" s="53"/>
      <c r="CE142" s="53"/>
      <c r="CF142" s="53"/>
      <c r="CG142" s="53"/>
      <c r="CH142" s="53"/>
      <c r="CI142" s="53"/>
      <c r="CJ142" s="53"/>
      <c r="CK142" s="53"/>
      <c r="CL142" s="53"/>
      <c r="CM142" s="53"/>
      <c r="CN142" s="53"/>
      <c r="CO142" s="53"/>
      <c r="CP142" s="53"/>
      <c r="CQ142" s="53"/>
      <c r="CR142" s="1"/>
      <c r="CS142" s="1"/>
      <c r="CT142" s="1"/>
      <c r="CU142" s="1"/>
    </row>
    <row r="143" spans="1:99" s="13" customFormat="1" ht="12" customHeight="1" x14ac:dyDescent="0.2">
      <c r="A143" s="68">
        <v>43509</v>
      </c>
      <c r="B143" s="70" t="s">
        <v>143</v>
      </c>
      <c r="C143" s="70" t="s">
        <v>75</v>
      </c>
      <c r="D143" s="69">
        <v>2008</v>
      </c>
      <c r="E143" s="87">
        <v>3</v>
      </c>
      <c r="F143" s="69">
        <v>54</v>
      </c>
      <c r="G143" s="69">
        <v>54</v>
      </c>
      <c r="H143" s="69" t="s">
        <v>22</v>
      </c>
      <c r="I143" s="69" t="s">
        <v>649</v>
      </c>
      <c r="J143" s="69" t="s">
        <v>490</v>
      </c>
      <c r="K143" s="69">
        <f>IF(J143="syllables",1,IF(J143="trigrams",2,IF(J143="strings",3,IF(J143="visual array",4,IF(J143="characters",5,IF(J143="letters",6,IF(J143="free forms",7,IF(J143="odors",8,IF(J143="words",9,IF(J143="pictures",10,IF(J143="object pictures",11,IF(J143="faces",12,IF(J143="names",13,IF(J143="idioms",14,IF(J143="grades",15,IF(J143="syllable-digit pairs",16,IF(J143="trigram-word pairs",17,IF(J143="word-digit pairs",18,IF(J143="English-Swahili pairs",19,IF(J143="spatial position",20,IF(J143="word pairs",21,IF(J143="word triads",22,IF(J143="generated words",23,IF(J143="word definition pairs",24,IF(J143="math problems",25,IF(J143="famous faces",26,IF(J143="famous names",27,IF(J143="famous voices",28,IF(J143="television programs",29,IF(J143="race horses",30,IF(J143="new vocabulary",31,IF(J143="sentences",32,IF(J143="concepts",33,IF(J143="ad slides",34,IF(J143="scenes",35,IF(J143="famous scenes",36,IF(J143="poems",37,IF(J143="walk",38,IF(J143="faces and events",39,IF(J143="events and names",40,IF(J143="flashbulb",41,IF(J143="stories",42,IF(J143="course material",43,IF(J143="autobiographical",44,IF(J143="novels",45,IF(J143="public events",46,"99"))))))))))))))))))))))))))))))))))))))))))))))</f>
        <v>19</v>
      </c>
      <c r="L143" s="69">
        <f>IF(J143="syllables",1,IF(J143="trigrams",1,IF(J143="strings",1,IF(J143="visual array",1,IF(J143="characters",1,IF(J143="letters",1,IF(J143="free forms",1,IF(J143="odors",2,IF(J143="words",2,IF(J143="pictures",2,IF(J143="object pictures",2,IF(J143="faces",2,IF(J143="names",2,IF(J143="idioms","2",IF(J143="grades",2,IF(J143="syllable-digit pairs",3,IF(J143="trigram-word pairs",3,IF(J143="word-digit pairs",3,IF(J143="English-Swahili pairs",3,IF(J143="spatial position",3,IF(J143="word pairs",4,IF(J143="word triads",4,IF(J143="generated words",4,IF(J143="word definition pairs",4,IF(J143="math problems",4,IF(J143="famous faces",4,IF(J143="famous names",4,IF(J143="famous voices",4,IF(J143="television programs",4,IF(J143="race horses",4,IF(J143="new vocabulary",4,IF(J143="sentences",5,IF(J143="concepts",5,IF(J143="ad slides",5,IF(J143="scenes",5,IF(J143="famous scenes",5,IF(J143="poems",6,IF(J143="walk",6,IF(J143="faces and events",6,IF(J143="events and names",6,IF(J143="flashbulb",7,IF(J143="stories",7,IF(J143="course material",7,IF(J143="autobiographical",7,IF(J143="novels",7,IF(J143="public events",7,"99"))))))))))))))))))))))))))))))))))))))))))))))</f>
        <v>3</v>
      </c>
      <c r="M143" s="69">
        <v>1</v>
      </c>
      <c r="N143" s="69">
        <v>2</v>
      </c>
      <c r="O143" s="69">
        <v>0</v>
      </c>
      <c r="P143" s="69"/>
      <c r="Q143" s="69" t="s">
        <v>65</v>
      </c>
      <c r="R143" s="69">
        <f>IF(Q143="Free Recall",1,IF(Q143="Cued Recall",2,IF(Q143="Recognition",3,IF(Q143="Multiple Choice",4,IF(Q143="Savings",5,IF(Q143="Stem Completion",6,IF(Q143="Fragment Completion",7,IF(Q143="anagram solution",8,IF(Q143="Matching",9,IF(Q143="Problem Solving",10,"99"))))))))))</f>
        <v>2</v>
      </c>
      <c r="S143" s="69" t="s">
        <v>49</v>
      </c>
      <c r="T143" s="92" t="s">
        <v>581</v>
      </c>
      <c r="U143" s="69">
        <f>IF(T143="within",1,0)</f>
        <v>1</v>
      </c>
      <c r="V143" s="92">
        <v>60</v>
      </c>
      <c r="W143" s="69">
        <f>F143*V143</f>
        <v>3240</v>
      </c>
      <c r="X143" s="69">
        <v>6</v>
      </c>
      <c r="Y143" s="87">
        <f>AV142</f>
        <v>300</v>
      </c>
      <c r="Z143" s="69" t="s">
        <v>144</v>
      </c>
      <c r="AA143" s="69">
        <f>42*24*60*60</f>
        <v>3628800</v>
      </c>
      <c r="AB143" s="69" t="str">
        <f>IF(AA143&lt;60,"1",IF(AA143&lt;=43200,"2",IF(AA143&lt;=777600,"3","4")))</f>
        <v>4</v>
      </c>
      <c r="AC143" s="72">
        <f>AVERAGE(AV142:DA142)</f>
        <v>950450</v>
      </c>
      <c r="AD143" s="69" t="str">
        <f>IF(AC143&lt;60,"1",IF(AC143&lt;=43200,"2",IF(AC143&lt;=777600,"3","4")))</f>
        <v>4</v>
      </c>
      <c r="AE143" s="87">
        <f>AA143-Y143</f>
        <v>3628500</v>
      </c>
      <c r="AF143" s="88">
        <f>AV143</f>
        <v>0.51</v>
      </c>
      <c r="AG143" s="72">
        <f>((AW143-AV143)+(AX143-AW143)+(AY143-AX143)+(AZ143-AY143)+(BA143-AZ143))/5</f>
        <v>-7.0000000000000021E-2</v>
      </c>
      <c r="AH143" s="4"/>
      <c r="AI143" s="72">
        <f>RSQ(AV143:BA143,AV142:BA142)</f>
        <v>0.47323791628981138</v>
      </c>
      <c r="AJ143" s="110">
        <f>SLOPE(AV143:BA143,AV142:BA142)</f>
        <v>-6.4606898979917916E-8</v>
      </c>
      <c r="AK143" s="72">
        <f>INTERCEPT(AV143:BA143,AV142:BA142)</f>
        <v>0.35140562713546297</v>
      </c>
      <c r="AL143" s="72">
        <f>INDEX(LINEST(LN(AV143:BA143),LN(AV142:BA142),TRUE,TRUE),3,1)</f>
        <v>0.88646295415362486</v>
      </c>
      <c r="AM143" s="72">
        <f>INDEX(LINEST(LN(AV143:BA143),LN(AV142:BA142)),1)</f>
        <v>-0.12166290531877358</v>
      </c>
      <c r="AN143" s="72">
        <f>EXP(INDEX(LINEST(LN(AV143:BA143),LN(AV142:BA142)),1,2))</f>
        <v>1.1433441094787642</v>
      </c>
      <c r="AO143" s="89">
        <f>INDEX(LINEST((AV143:BA143),LN(AV142:BA142),TRUE,TRUE),3,1)</f>
        <v>0.95492425645023737</v>
      </c>
      <c r="AP143" s="89">
        <f>INDEX(LINEST((AV143:BA143),LN(AV142:BA142)),1)</f>
        <v>-3.8232951508857596E-2</v>
      </c>
      <c r="AQ143" s="90">
        <f>INDEX(LINEST(LN(AV143:BA143),SQRT(AV142:BA142),TRUE,TRUE),3,1)</f>
        <v>0.84982370503279514</v>
      </c>
      <c r="AR143" s="117">
        <f>INDEX(LINEST(LN(AV143:BA143),SQRT((AV142:BA142))),1)</f>
        <v>-5.8289997957591952E-4</v>
      </c>
      <c r="AS143" s="91">
        <f>INDEX(LINEST(1/(AV143:BA143),1/(SQRT(AV142:BA142)),TRUE,TRUE),3,1)</f>
        <v>0.44095600968427573</v>
      </c>
      <c r="AT143" s="91">
        <f>INDEX(LINEST(1/(AV143:BA143),1/SQRT(AV142:BA142)),1)</f>
        <v>-46.28804131705666</v>
      </c>
      <c r="AU143" s="3"/>
      <c r="AV143" s="73">
        <v>0.51</v>
      </c>
      <c r="AW143" s="73">
        <v>0.36</v>
      </c>
      <c r="AX143" s="73">
        <v>0.3</v>
      </c>
      <c r="AY143" s="73">
        <v>0.21</v>
      </c>
      <c r="AZ143" s="73">
        <v>0.2</v>
      </c>
      <c r="BA143" s="73">
        <v>0.16</v>
      </c>
      <c r="BB143" s="53"/>
      <c r="BC143" s="53"/>
      <c r="BD143" s="53"/>
      <c r="BE143" s="53"/>
      <c r="BF143" s="53"/>
      <c r="BG143" s="53"/>
      <c r="BH143" s="53"/>
      <c r="BI143" s="53"/>
      <c r="BJ143" s="53"/>
      <c r="BK143" s="53"/>
      <c r="BL143" s="53"/>
      <c r="BM143" s="53"/>
      <c r="BN143" s="53"/>
      <c r="BO143" s="53"/>
      <c r="BP143" s="53"/>
      <c r="BQ143" s="53"/>
      <c r="BR143" s="53"/>
      <c r="BS143" s="53"/>
      <c r="BT143" s="53"/>
      <c r="BU143" s="53"/>
      <c r="BV143" s="53"/>
      <c r="BW143" s="53"/>
      <c r="BX143" s="53"/>
      <c r="BY143" s="53"/>
      <c r="BZ143" s="53"/>
      <c r="CA143" s="53"/>
      <c r="CB143" s="53"/>
      <c r="CC143" s="53"/>
      <c r="CD143" s="53"/>
      <c r="CE143" s="53"/>
      <c r="CF143" s="53"/>
      <c r="CG143" s="53"/>
      <c r="CH143" s="53"/>
      <c r="CI143" s="53"/>
      <c r="CJ143" s="53"/>
      <c r="CK143" s="53"/>
      <c r="CL143" s="53"/>
      <c r="CM143" s="53"/>
      <c r="CN143" s="53"/>
      <c r="CO143" s="53"/>
      <c r="CP143" s="53"/>
      <c r="CQ143" s="53"/>
      <c r="CR143" s="1"/>
      <c r="CS143" s="1"/>
      <c r="CT143" s="1"/>
      <c r="CU143" s="1"/>
    </row>
    <row r="144" spans="1:99" s="13" customFormat="1" ht="12" customHeight="1" x14ac:dyDescent="0.2">
      <c r="A144" s="65">
        <v>43648</v>
      </c>
      <c r="B144" s="1"/>
      <c r="C144" s="1"/>
      <c r="D144" s="60"/>
      <c r="E144" s="76"/>
      <c r="F144" s="60"/>
      <c r="G144" s="60"/>
      <c r="H144" s="60"/>
      <c r="I144" s="60"/>
      <c r="J144" s="60"/>
      <c r="K144" s="64"/>
      <c r="L144" s="64"/>
      <c r="M144" s="60"/>
      <c r="N144" s="60"/>
      <c r="O144" s="60"/>
      <c r="P144" s="60"/>
      <c r="Q144" s="60"/>
      <c r="R144" s="60"/>
      <c r="S144" s="60"/>
      <c r="T144" s="60"/>
      <c r="U144" s="60"/>
      <c r="V144" s="60"/>
      <c r="W144" s="60"/>
      <c r="X144" s="60"/>
      <c r="Y144" s="76"/>
      <c r="Z144" s="60"/>
      <c r="AA144" s="60"/>
      <c r="AB144" s="60"/>
      <c r="AC144" s="60"/>
      <c r="AD144" s="60"/>
      <c r="AE144" s="60"/>
      <c r="AF144" s="80"/>
      <c r="AG144" s="56"/>
      <c r="AH144" s="4"/>
      <c r="AI144" s="56"/>
      <c r="AJ144" s="109"/>
      <c r="AK144" s="56"/>
      <c r="AL144" s="56"/>
      <c r="AM144" s="56"/>
      <c r="AN144" s="56"/>
      <c r="AO144" s="56"/>
      <c r="AP144" s="56"/>
      <c r="AQ144" s="56"/>
      <c r="AR144" s="109"/>
      <c r="AS144" s="56"/>
      <c r="AT144" s="56"/>
      <c r="AU144" s="4"/>
      <c r="AV144" s="25">
        <f>1*365*24*3600</f>
        <v>31536000</v>
      </c>
      <c r="AW144" s="25">
        <f>3*365*24*3600</f>
        <v>94608000</v>
      </c>
      <c r="AX144" s="25">
        <f>5*365*24*3600</f>
        <v>157680000</v>
      </c>
      <c r="AY144" s="25">
        <f>7*365*24*3600</f>
        <v>220752000</v>
      </c>
      <c r="AZ144" s="25">
        <f>9*365*24*3600</f>
        <v>283824000</v>
      </c>
      <c r="BA144" s="25">
        <f>11*365*24*3600</f>
        <v>346896000</v>
      </c>
      <c r="BB144" s="25">
        <f>13*365*24*3600</f>
        <v>409968000</v>
      </c>
      <c r="BC144" s="25">
        <f>15*365*24*3600</f>
        <v>473040000</v>
      </c>
      <c r="BD144" s="25">
        <f>17*365*24*3600</f>
        <v>536112000</v>
      </c>
      <c r="BE144" s="25">
        <f>19*365*24*3600</f>
        <v>599184000</v>
      </c>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53"/>
      <c r="CD144" s="53"/>
      <c r="CE144" s="53"/>
      <c r="CF144" s="53"/>
      <c r="CG144" s="53"/>
      <c r="CH144" s="53"/>
      <c r="CI144" s="53"/>
      <c r="CJ144" s="53"/>
      <c r="CK144" s="53"/>
      <c r="CL144" s="53"/>
      <c r="CM144" s="53"/>
      <c r="CN144" s="53"/>
      <c r="CO144" s="53"/>
      <c r="CP144" s="53"/>
      <c r="CQ144" s="53"/>
      <c r="CR144" s="1"/>
      <c r="CS144" s="1"/>
      <c r="CT144" s="1"/>
      <c r="CU144" s="1"/>
    </row>
    <row r="145" spans="1:99" s="13" customFormat="1" ht="12" customHeight="1" x14ac:dyDescent="0.2">
      <c r="A145" s="65">
        <v>43648</v>
      </c>
      <c r="B145" s="1" t="s">
        <v>323</v>
      </c>
      <c r="C145" s="1" t="s">
        <v>75</v>
      </c>
      <c r="D145" s="60">
        <v>2004</v>
      </c>
      <c r="E145" s="76">
        <v>1</v>
      </c>
      <c r="F145" s="60">
        <v>1</v>
      </c>
      <c r="G145" s="60">
        <v>1</v>
      </c>
      <c r="H145" s="60" t="s">
        <v>43</v>
      </c>
      <c r="I145" s="60" t="s">
        <v>650</v>
      </c>
      <c r="J145" s="60" t="s">
        <v>622</v>
      </c>
      <c r="K145" s="60">
        <f>IF(J145="syllables",1,IF(J145="trigrams",2,IF(J145="strings",3,IF(J145="visual array",4,IF(J145="characters",5,IF(J145="letters",6,IF(J145="free forms",7,IF(J145="odors",8,IF(J145="words",9,IF(J145="pictures",10,IF(J145="object pictures",11,IF(J145="faces",12,IF(J145="names",13,IF(J145="idioms",14,IF(J145="grades",15,IF(J145="syllable-digit pairs",16,IF(J145="trigram-word pairs",17,IF(J145="word-digit pairs",18,IF(J145="English-Swahili pairs",19,IF(J145="spatial position",20,IF(J145="word pairs",21,IF(J145="word triads",22,IF(J145="generated words",23,IF(J145="word definition pairs",24,IF(J145="math problems",25,IF(J145="famous faces",26,IF(J145="famous names",27,IF(J145="famous voices",28,IF(J145="television programs",29,IF(J145="race horses",30,IF(J145="new vocabulary",31,IF(J145="sentences",32,IF(J145="concepts",33,IF(J145="ad slides",34,IF(J145="scenes",35,IF(J145="famous scenes",36,IF(J145="poems",37,IF(J145="walk",38,IF(J145="faces and events",39,IF(J145="events and names",40,IF(J145="flashbulb",41,IF(J145="stories",42,IF(J145="course material",43,IF(J145="autobiographical",44,IF(J145="novels",45,IF(J145="public events",46,"99"))))))))))))))))))))))))))))))))))))))))))))))</f>
        <v>44</v>
      </c>
      <c r="L145" s="60">
        <f>IF(J145="syllables",1,IF(J145="trigrams",1,IF(J145="strings",1,IF(J145="visual array",1,IF(J145="characters",1,IF(J145="letters",1,IF(J145="free forms",1,IF(J145="odors",2,IF(J145="words",2,IF(J145="pictures",2,IF(J145="object pictures",2,IF(J145="faces",2,IF(J145="names",2,IF(J145="idioms","2",IF(J145="grades",2,IF(J145="syllable-digit pairs",3,IF(J145="trigram-word pairs",3,IF(J145="word-digit pairs",3,IF(J145="English-Swahili pairs",3,IF(J145="spatial position",3,IF(J145="word pairs",4,IF(J145="word triads",4,IF(J145="generated words",4,IF(J145="word definition pairs",4,IF(J145="math problems",4,IF(J145="famous faces",4,IF(J145="famous names",4,IF(J145="famous voices",4,IF(J145="television programs",4,IF(J145="race horses",4,IF(J145="new vocabulary",4,IF(J145="sentences",5,IF(J145="concepts",5,IF(J145="ad slides",5,IF(J145="scenes",5,IF(J145="famous scenes",5,IF(J145="poems",6,IF(J145="walk",6,IF(J145="faces and events",6,IF(J145="events and names",6,IF(J145="flashbulb",7,IF(J145="stories",7,IF(J145="course material",7,IF(J145="autobiographical",7,IF(J145="novels",7,IF(J145="public events",7,"99"))))))))))))))))))))))))))))))))))))))))))))))</f>
        <v>7</v>
      </c>
      <c r="M145" s="60">
        <v>0</v>
      </c>
      <c r="N145" s="60">
        <v>2</v>
      </c>
      <c r="O145" s="60">
        <v>0</v>
      </c>
      <c r="P145" s="60"/>
      <c r="Q145" s="60" t="s">
        <v>65</v>
      </c>
      <c r="R145" s="60">
        <f>IF(Q145="Free Recall",1,IF(Q145="Cued Recall",2,IF(Q145="Recognition",3,IF(Q145="Multiple Choice",4,IF(Q145="Savings",5,IF(Q145="Stem Completion",6,IF(Q145="Fragment Completion",7,IF(Q145="anagram solution",8,IF(Q145="Matching",9,IF(Q145="Problem Solving",10,"99"))))))))))</f>
        <v>2</v>
      </c>
      <c r="S145" s="60" t="s">
        <v>49</v>
      </c>
      <c r="T145" s="59" t="s">
        <v>581</v>
      </c>
      <c r="U145" s="60">
        <f>IF(T145="within",1,0)</f>
        <v>1</v>
      </c>
      <c r="V145" s="59">
        <v>604</v>
      </c>
      <c r="W145" s="60">
        <f>F145*V145</f>
        <v>604</v>
      </c>
      <c r="X145" s="60">
        <v>10</v>
      </c>
      <c r="Y145" s="76">
        <f>AV144</f>
        <v>31536000</v>
      </c>
      <c r="Z145" s="60" t="s">
        <v>318</v>
      </c>
      <c r="AA145" s="60">
        <f>19*365*24*3600</f>
        <v>599184000</v>
      </c>
      <c r="AB145" s="60" t="str">
        <f>IF(AA145&lt;60,"1",IF(AA145&lt;=43200,"2",IF(AA145&lt;=777600,"3","4")))</f>
        <v>4</v>
      </c>
      <c r="AC145" s="56">
        <f>AVERAGE(AV144:DA144)</f>
        <v>315360000</v>
      </c>
      <c r="AD145" s="60" t="str">
        <f>IF(AC145&lt;60,"1",IF(AC145&lt;=43200,"2",IF(AC145&lt;=777600,"3","4")))</f>
        <v>4</v>
      </c>
      <c r="AE145" s="76">
        <f>AA145-Y145</f>
        <v>567648000</v>
      </c>
      <c r="AF145" s="80">
        <f>AV145</f>
        <v>0.76666666666666661</v>
      </c>
      <c r="AG145" s="56">
        <f>((AW145-AV145)+(AX145-AW145)+(AY145-AX145)+(AZ145-AY145)+(BA145-AZ145)+(BB145-BA145)+(BC145-BB145)+(BD145-BC145)+(BE145-BD145))/9</f>
        <v>-1.8518518518518514E-2</v>
      </c>
      <c r="AH145" s="4"/>
      <c r="AI145" s="56">
        <f>RSQ(AV145:BE145,AV144:BE144)</f>
        <v>0.53560343664252663</v>
      </c>
      <c r="AJ145" s="109">
        <f>SLOPE(AV145:BE145,AV144:BE144)</f>
        <v>-3.0268437802684389E-10</v>
      </c>
      <c r="AK145" s="56">
        <f>INTERCEPT(AV145:BE145,AV144:BE144)</f>
        <v>0.70712121212121204</v>
      </c>
      <c r="AL145" s="56">
        <f>INDEX(LINEST(LN(AV145:BE145),LN(AV144:BE144),TRUE,TRUE),3,1)</f>
        <v>0.68503516530102559</v>
      </c>
      <c r="AM145" s="56">
        <f>INDEX(LINEST(LN(AV145:BE145),LN(AV144:BE144)),1)</f>
        <v>-0.11051762327997081</v>
      </c>
      <c r="AN145" s="56">
        <f>EXP(INDEX(LINEST(LN(AV145:BE145),LN(AV144:BE144)),1,2))</f>
        <v>5.124652761478278</v>
      </c>
      <c r="AO145" s="82">
        <f>INDEX(LINEST((AV145:BE145),LN(AV144:BE144),TRUE,TRUE),3,1)</f>
        <v>0.69122887737947003</v>
      </c>
      <c r="AP145" s="82">
        <f>INDEX(LINEST((AV145:BE145),LN(AV144:BE144)),1)</f>
        <v>-7.1630561056445455E-2</v>
      </c>
      <c r="AQ145" s="83">
        <f>INDEX(LINEST(LN(AV145:BE145),SQRT(AV144:BE144),TRUE,TRUE),3,1)</f>
        <v>0.63360258257666946</v>
      </c>
      <c r="AR145" s="116">
        <f>INDEX(LINEST(LN(AV145:BE145),SQRT((AV144:BE144))),1)</f>
        <v>-1.5947653212870057E-5</v>
      </c>
      <c r="AS145" s="84">
        <f>INDEX(LINEST(1/(AV145:BE145),1/(SQRT(AV144:BE144)),TRUE,TRUE),3,1)</f>
        <v>0.64724680265227119</v>
      </c>
      <c r="AT145" s="84">
        <f>INDEX(LINEST(1/(AV145:BE145),1/SQRT(AV144:BE144)),1)</f>
        <v>-3686.8222315508333</v>
      </c>
      <c r="AU145" s="4"/>
      <c r="AV145" s="53">
        <f>4.6/6</f>
        <v>0.76666666666666661</v>
      </c>
      <c r="AW145" s="53">
        <f>3.8/6</f>
        <v>0.6333333333333333</v>
      </c>
      <c r="AX145" s="53">
        <f>4.4/6</f>
        <v>0.73333333333333339</v>
      </c>
      <c r="AY145" s="53">
        <f>3.5/6</f>
        <v>0.58333333333333337</v>
      </c>
      <c r="AZ145" s="53">
        <f>3.4/6</f>
        <v>0.56666666666666665</v>
      </c>
      <c r="BA145" s="53">
        <f>3.6/6</f>
        <v>0.6</v>
      </c>
      <c r="BB145" s="53">
        <f>3.3/6</f>
        <v>0.54999999999999993</v>
      </c>
      <c r="BC145" s="53">
        <f>3.2/6</f>
        <v>0.53333333333333333</v>
      </c>
      <c r="BD145" s="53">
        <f>3.3/6</f>
        <v>0.54999999999999993</v>
      </c>
      <c r="BE145" s="53">
        <f>3.6/6</f>
        <v>0.6</v>
      </c>
      <c r="BF145" s="53"/>
      <c r="BG145" s="53"/>
      <c r="BH145" s="53"/>
      <c r="BI145" s="53"/>
      <c r="BJ145" s="53"/>
      <c r="BK145" s="53"/>
      <c r="BL145" s="53"/>
      <c r="BM145" s="53"/>
      <c r="BN145" s="53"/>
      <c r="BO145" s="53"/>
      <c r="BP145" s="53"/>
      <c r="BQ145" s="53"/>
      <c r="BR145" s="53"/>
      <c r="BS145" s="53"/>
      <c r="BT145" s="53"/>
      <c r="BU145" s="53"/>
      <c r="BV145" s="53"/>
      <c r="BW145" s="53"/>
      <c r="BX145" s="53"/>
      <c r="BY145" s="53"/>
      <c r="BZ145" s="53"/>
      <c r="CA145" s="53"/>
      <c r="CB145" s="53"/>
      <c r="CC145" s="53"/>
      <c r="CD145" s="53"/>
      <c r="CE145" s="53"/>
      <c r="CF145" s="53"/>
      <c r="CG145" s="53"/>
      <c r="CH145" s="53"/>
      <c r="CI145" s="53"/>
      <c r="CJ145" s="53"/>
      <c r="CK145" s="53"/>
      <c r="CL145" s="53"/>
      <c r="CM145" s="53"/>
      <c r="CN145" s="53"/>
      <c r="CO145" s="53"/>
      <c r="CP145" s="53"/>
      <c r="CQ145" s="53"/>
      <c r="CR145" s="1"/>
      <c r="CS145" s="1"/>
      <c r="CT145" s="1"/>
      <c r="CU145" s="1"/>
    </row>
    <row r="146" spans="1:99" s="13" customFormat="1" ht="12" customHeight="1" x14ac:dyDescent="0.2">
      <c r="A146" s="65">
        <v>43648</v>
      </c>
      <c r="B146" s="1"/>
      <c r="C146" s="1"/>
      <c r="D146" s="60"/>
      <c r="E146" s="76"/>
      <c r="F146" s="60"/>
      <c r="G146" s="60"/>
      <c r="H146" s="60"/>
      <c r="I146" s="60"/>
      <c r="J146" s="60"/>
      <c r="K146" s="64"/>
      <c r="L146" s="64"/>
      <c r="M146" s="60"/>
      <c r="N146" s="60"/>
      <c r="O146" s="60"/>
      <c r="P146" s="60"/>
      <c r="Q146" s="60"/>
      <c r="R146" s="60"/>
      <c r="S146" s="60"/>
      <c r="T146" s="60"/>
      <c r="U146" s="60"/>
      <c r="V146" s="60"/>
      <c r="W146" s="60"/>
      <c r="X146" s="60"/>
      <c r="Y146" s="76"/>
      <c r="Z146" s="60"/>
      <c r="AA146" s="60"/>
      <c r="AB146" s="60"/>
      <c r="AC146" s="60"/>
      <c r="AD146" s="60"/>
      <c r="AE146" s="60"/>
      <c r="AF146" s="80"/>
      <c r="AG146" s="56"/>
      <c r="AH146" s="4"/>
      <c r="AI146" s="56"/>
      <c r="AJ146" s="109"/>
      <c r="AK146" s="56"/>
      <c r="AL146" s="56"/>
      <c r="AM146" s="56"/>
      <c r="AN146" s="56"/>
      <c r="AO146" s="56"/>
      <c r="AP146" s="56"/>
      <c r="AQ146" s="56"/>
      <c r="AR146" s="109"/>
      <c r="AS146" s="56"/>
      <c r="AT146" s="56"/>
      <c r="AU146" s="4"/>
      <c r="AV146" s="25">
        <f>1*365*24*3600</f>
        <v>31536000</v>
      </c>
      <c r="AW146" s="25">
        <f>3*365*24*3600</f>
        <v>94608000</v>
      </c>
      <c r="AX146" s="25">
        <f>5*365*24*3600</f>
        <v>157680000</v>
      </c>
      <c r="AY146" s="25">
        <f>7*365*24*3600</f>
        <v>220752000</v>
      </c>
      <c r="AZ146" s="25">
        <f>9*365*24*3600</f>
        <v>283824000</v>
      </c>
      <c r="BA146" s="25">
        <f>11*365*24*3600</f>
        <v>346896000</v>
      </c>
      <c r="BB146" s="25">
        <f>13*365*24*3600</f>
        <v>409968000</v>
      </c>
      <c r="BC146" s="25">
        <f>15*365*24*3600</f>
        <v>473040000</v>
      </c>
      <c r="BD146" s="25">
        <f>17*365*24*3600</f>
        <v>536112000</v>
      </c>
      <c r="BE146" s="25">
        <f>19*365*24*3600</f>
        <v>599184000</v>
      </c>
      <c r="BF146" s="53"/>
      <c r="BG146" s="53"/>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c r="CE146" s="53"/>
      <c r="CF146" s="53"/>
      <c r="CG146" s="53"/>
      <c r="CH146" s="53"/>
      <c r="CI146" s="53"/>
      <c r="CJ146" s="53"/>
      <c r="CK146" s="53"/>
      <c r="CL146" s="53"/>
      <c r="CM146" s="53"/>
      <c r="CN146" s="53"/>
      <c r="CO146" s="53"/>
      <c r="CP146" s="53"/>
      <c r="CQ146" s="53"/>
      <c r="CR146" s="1"/>
      <c r="CS146" s="1"/>
      <c r="CT146" s="1"/>
      <c r="CU146" s="1"/>
    </row>
    <row r="147" spans="1:99" s="13" customFormat="1" ht="12" customHeight="1" x14ac:dyDescent="0.2">
      <c r="A147" s="65">
        <v>43648</v>
      </c>
      <c r="B147" s="1" t="s">
        <v>323</v>
      </c>
      <c r="C147" s="1" t="s">
        <v>75</v>
      </c>
      <c r="D147" s="60">
        <v>2004</v>
      </c>
      <c r="E147" s="76">
        <v>1</v>
      </c>
      <c r="F147" s="60">
        <v>1</v>
      </c>
      <c r="G147" s="60">
        <v>1</v>
      </c>
      <c r="H147" s="60" t="s">
        <v>43</v>
      </c>
      <c r="I147" s="60" t="s">
        <v>651</v>
      </c>
      <c r="J147" s="60" t="s">
        <v>622</v>
      </c>
      <c r="K147" s="60">
        <f>IF(J147="syllables",1,IF(J147="trigrams",2,IF(J147="strings",3,IF(J147="visual array",4,IF(J147="characters",5,IF(J147="letters",6,IF(J147="free forms",7,IF(J147="odors",8,IF(J147="words",9,IF(J147="pictures",10,IF(J147="object pictures",11,IF(J147="faces",12,IF(J147="names",13,IF(J147="idioms",14,IF(J147="grades",15,IF(J147="syllable-digit pairs",16,IF(J147="trigram-word pairs",17,IF(J147="word-digit pairs",18,IF(J147="English-Swahili pairs",19,IF(J147="spatial position",20,IF(J147="word pairs",21,IF(J147="word triads",22,IF(J147="generated words",23,IF(J147="word definition pairs",24,IF(J147="math problems",25,IF(J147="famous faces",26,IF(J147="famous names",27,IF(J147="famous voices",28,IF(J147="television programs",29,IF(J147="race horses",30,IF(J147="new vocabulary",31,IF(J147="sentences",32,IF(J147="concepts",33,IF(J147="ad slides",34,IF(J147="scenes",35,IF(J147="famous scenes",36,IF(J147="poems",37,IF(J147="walk",38,IF(J147="faces and events",39,IF(J147="events and names",40,IF(J147="flashbulb",41,IF(J147="stories",42,IF(J147="course material",43,IF(J147="autobiographical",44,IF(J147="novels",45,IF(J147="public events",46,"99"))))))))))))))))))))))))))))))))))))))))))))))</f>
        <v>44</v>
      </c>
      <c r="L147" s="60">
        <f>IF(J147="syllables",1,IF(J147="trigrams",1,IF(J147="strings",1,IF(J147="visual array",1,IF(J147="characters",1,IF(J147="letters",1,IF(J147="free forms",1,IF(J147="odors",2,IF(J147="words",2,IF(J147="pictures",2,IF(J147="object pictures",2,IF(J147="faces",2,IF(J147="names",2,IF(J147="idioms","2",IF(J147="grades",2,IF(J147="syllable-digit pairs",3,IF(J147="trigram-word pairs",3,IF(J147="word-digit pairs",3,IF(J147="English-Swahili pairs",3,IF(J147="spatial position",3,IF(J147="word pairs",4,IF(J147="word triads",4,IF(J147="generated words",4,IF(J147="word definition pairs",4,IF(J147="math problems",4,IF(J147="famous faces",4,IF(J147="famous names",4,IF(J147="famous voices",4,IF(J147="television programs",4,IF(J147="race horses",4,IF(J147="new vocabulary",4,IF(J147="sentences",5,IF(J147="concepts",5,IF(J147="ad slides",5,IF(J147="scenes",5,IF(J147="famous scenes",5,IF(J147="poems",6,IF(J147="walk",6,IF(J147="faces and events",6,IF(J147="events and names",6,IF(J147="flashbulb",7,IF(J147="stories",7,IF(J147="course material",7,IF(J147="autobiographical",7,IF(J147="novels",7,IF(J147="public events",7,"99"))))))))))))))))))))))))))))))))))))))))))))))</f>
        <v>7</v>
      </c>
      <c r="M147" s="60">
        <v>0</v>
      </c>
      <c r="N147" s="60">
        <v>2</v>
      </c>
      <c r="O147" s="60">
        <v>0</v>
      </c>
      <c r="P147" s="60"/>
      <c r="Q147" s="60" t="s">
        <v>65</v>
      </c>
      <c r="R147" s="60">
        <f>IF(Q147="Free Recall",1,IF(Q147="Cued Recall",2,IF(Q147="Recognition",3,IF(Q147="Multiple Choice",4,IF(Q147="Savings",5,IF(Q147="Stem Completion",6,IF(Q147="Fragment Completion",7,IF(Q147="anagram solution",8,IF(Q147="Matching",9,IF(Q147="Problem Solving",10,"99"))))))))))</f>
        <v>2</v>
      </c>
      <c r="S147" s="60" t="s">
        <v>49</v>
      </c>
      <c r="T147" s="59" t="s">
        <v>581</v>
      </c>
      <c r="U147" s="60">
        <f>IF(T147="within",1,0)</f>
        <v>1</v>
      </c>
      <c r="V147" s="59">
        <v>524</v>
      </c>
      <c r="W147" s="60">
        <f>F147*V147</f>
        <v>524</v>
      </c>
      <c r="X147" s="60">
        <v>10</v>
      </c>
      <c r="Y147" s="76">
        <f>AV146</f>
        <v>31536000</v>
      </c>
      <c r="Z147" s="60" t="s">
        <v>318</v>
      </c>
      <c r="AA147" s="60">
        <f>19*365*24*3600</f>
        <v>599184000</v>
      </c>
      <c r="AB147" s="60" t="str">
        <f>IF(AA147&lt;60,"1",IF(AA147&lt;=43200,"2",IF(AA147&lt;=777600,"3","4")))</f>
        <v>4</v>
      </c>
      <c r="AC147" s="56">
        <f>AVERAGE(AV146:DA146)</f>
        <v>315360000</v>
      </c>
      <c r="AD147" s="60" t="str">
        <f>IF(AC147&lt;60,"1",IF(AC147&lt;=43200,"2",IF(AC147&lt;=777600,"3","4")))</f>
        <v>4</v>
      </c>
      <c r="AE147" s="76">
        <f>AA147-Y147</f>
        <v>567648000</v>
      </c>
      <c r="AF147" s="80">
        <f>AV147</f>
        <v>0.68333333333333324</v>
      </c>
      <c r="AG147" s="56">
        <f>((AW147-AV147)+(AX147-AW147)+(AY147-AX147)+(AZ147-AY147)+(BA147-AZ147)+(BB147-BA147)+(BC147-BB147)+(BD147-BC147)+(BE147-BD147))/9</f>
        <v>-3.1481481481481471E-2</v>
      </c>
      <c r="AH147" s="4"/>
      <c r="AI147" s="56">
        <f>RSQ(AV147:BE147,AV146:BE146)</f>
        <v>0.73265155007893568</v>
      </c>
      <c r="AJ147" s="109">
        <f>SLOPE(AV147:BE147,AV146:BE146)</f>
        <v>-3.6674456385263063E-10</v>
      </c>
      <c r="AK147" s="56">
        <f>INTERCEPT(AV147:BE147,AV146:BE146)</f>
        <v>0.60065656565656578</v>
      </c>
      <c r="AL147" s="56">
        <f>INDEX(LINEST(LN(AV147:BE147),LN(AV146:BE146),TRUE,TRUE),3,1)</f>
        <v>0.94565130103987016</v>
      </c>
      <c r="AM147" s="56">
        <f>INDEX(LINEST(LN(AV147:BE147),LN(AV146:BE146)),1)</f>
        <v>-0.16375524329559488</v>
      </c>
      <c r="AN147" s="56">
        <f>EXP(INDEX(LINEST(LN(AV147:BE147),LN(AV146:BE146)),1,2))</f>
        <v>11.30179509321208</v>
      </c>
      <c r="AO147" s="82">
        <f>INDEX(LINEST((AV147:BE147),LN(AV146:BE146),TRUE,TRUE),3,1)</f>
        <v>0.9416125582544469</v>
      </c>
      <c r="AP147" s="82">
        <f>INDEX(LINEST((AV147:BE147),LN(AV146:BE146)),1)</f>
        <v>-8.6610422359035516E-2</v>
      </c>
      <c r="AQ147" s="83">
        <f>INDEX(LINEST(LN(AV147:BE147),SQRT(AV146:BE146),TRUE,TRUE),3,1)</f>
        <v>0.88573338341530017</v>
      </c>
      <c r="AR147" s="116">
        <f>INDEX(LINEST(LN(AV147:BE147),SQRT((AV146:BE146))),1)</f>
        <v>-2.3779045578270796E-5</v>
      </c>
      <c r="AS147" s="84">
        <f>INDEX(LINEST(1/(AV147:BE147),1/(SQRT(AV146:BE146)),TRUE,TRUE),3,1)</f>
        <v>0.88283135497633025</v>
      </c>
      <c r="AT147" s="84">
        <f>INDEX(LINEST(1/(AV147:BE147),1/SQRT(AV146:BE146)),1)</f>
        <v>-6722.261644404799</v>
      </c>
      <c r="AU147" s="4"/>
      <c r="AV147" s="53">
        <f>4.1/6</f>
        <v>0.68333333333333324</v>
      </c>
      <c r="AW147" s="53">
        <f>3.3/6</f>
        <v>0.54999999999999993</v>
      </c>
      <c r="AX147" s="53">
        <f>2.9/6</f>
        <v>0.48333333333333334</v>
      </c>
      <c r="AY147" s="53">
        <f>3/6</f>
        <v>0.5</v>
      </c>
      <c r="AZ147" s="53">
        <f>2.8/6</f>
        <v>0.46666666666666662</v>
      </c>
      <c r="BA147" s="53">
        <f>2.7/6</f>
        <v>0.45</v>
      </c>
      <c r="BB147" s="53">
        <f>2.8/6</f>
        <v>0.46666666666666662</v>
      </c>
      <c r="BC147" s="53">
        <f>2.5/6</f>
        <v>0.41666666666666669</v>
      </c>
      <c r="BD147" s="53">
        <f>2.6/6</f>
        <v>0.43333333333333335</v>
      </c>
      <c r="BE147" s="53">
        <f>2.4/6</f>
        <v>0.39999999999999997</v>
      </c>
      <c r="BF147" s="53"/>
      <c r="BG147" s="53"/>
      <c r="BH147" s="53"/>
      <c r="BI147" s="53"/>
      <c r="BJ147" s="53"/>
      <c r="BK147" s="53"/>
      <c r="BL147" s="53"/>
      <c r="BM147" s="53"/>
      <c r="BN147" s="53"/>
      <c r="BO147" s="53"/>
      <c r="BP147" s="53"/>
      <c r="BQ147" s="53"/>
      <c r="BR147" s="53"/>
      <c r="BS147" s="53"/>
      <c r="BT147" s="53"/>
      <c r="BU147" s="53"/>
      <c r="BV147" s="53"/>
      <c r="BW147" s="53"/>
      <c r="BX147" s="53"/>
      <c r="BY147" s="53"/>
      <c r="BZ147" s="53"/>
      <c r="CA147" s="53"/>
      <c r="CB147" s="53"/>
      <c r="CC147" s="53"/>
      <c r="CD147" s="53"/>
      <c r="CE147" s="53"/>
      <c r="CF147" s="53"/>
      <c r="CG147" s="53"/>
      <c r="CH147" s="53"/>
      <c r="CI147" s="53"/>
      <c r="CJ147" s="53"/>
      <c r="CK147" s="53"/>
      <c r="CL147" s="53"/>
      <c r="CM147" s="53"/>
      <c r="CN147" s="53"/>
      <c r="CO147" s="53"/>
      <c r="CP147" s="53"/>
      <c r="CQ147" s="53"/>
      <c r="CR147" s="1"/>
      <c r="CS147" s="1"/>
      <c r="CT147" s="1"/>
      <c r="CU147" s="1"/>
    </row>
    <row r="148" spans="1:99" s="13" customFormat="1" ht="12" customHeight="1" x14ac:dyDescent="0.2">
      <c r="A148" s="68">
        <v>43509</v>
      </c>
      <c r="B148" s="70"/>
      <c r="C148" s="70"/>
      <c r="D148" s="69"/>
      <c r="E148" s="87"/>
      <c r="F148" s="69"/>
      <c r="G148" s="69"/>
      <c r="H148" s="69"/>
      <c r="I148" s="69"/>
      <c r="J148" s="69"/>
      <c r="K148" s="107"/>
      <c r="L148" s="107"/>
      <c r="M148" s="69"/>
      <c r="N148" s="69"/>
      <c r="O148" s="69"/>
      <c r="P148" s="69"/>
      <c r="Q148" s="69"/>
      <c r="R148" s="69"/>
      <c r="S148" s="69"/>
      <c r="T148" s="69"/>
      <c r="U148" s="69"/>
      <c r="V148" s="69"/>
      <c r="W148" s="69"/>
      <c r="X148" s="69"/>
      <c r="Y148" s="87"/>
      <c r="Z148" s="69"/>
      <c r="AA148" s="69"/>
      <c r="AB148" s="69"/>
      <c r="AC148" s="69"/>
      <c r="AD148" s="69"/>
      <c r="AE148" s="69"/>
      <c r="AF148" s="88"/>
      <c r="AG148" s="72"/>
      <c r="AH148" s="4"/>
      <c r="AI148" s="72"/>
      <c r="AJ148" s="110"/>
      <c r="AK148" s="72"/>
      <c r="AL148" s="72"/>
      <c r="AM148" s="72"/>
      <c r="AN148" s="72"/>
      <c r="AO148" s="72"/>
      <c r="AP148" s="72"/>
      <c r="AQ148" s="72"/>
      <c r="AR148" s="110"/>
      <c r="AS148" s="72"/>
      <c r="AT148" s="72"/>
      <c r="AU148" s="4"/>
      <c r="AV148" s="71">
        <f>24*3600*7</f>
        <v>604800</v>
      </c>
      <c r="AW148" s="71">
        <f>24*3600*35</f>
        <v>3024000</v>
      </c>
      <c r="AX148" s="71">
        <f>24*3600*70</f>
        <v>6048000</v>
      </c>
      <c r="AY148" s="71">
        <f>24*3600*350</f>
        <v>30240000</v>
      </c>
      <c r="AZ148" s="53"/>
      <c r="BA148" s="53"/>
      <c r="BB148" s="53"/>
      <c r="BC148" s="53"/>
      <c r="BD148" s="53"/>
      <c r="BE148" s="53"/>
      <c r="BF148" s="53"/>
      <c r="BG148" s="53"/>
      <c r="BH148" s="53"/>
      <c r="BI148" s="53"/>
      <c r="BJ148" s="53"/>
      <c r="BK148" s="53"/>
      <c r="BL148" s="53"/>
      <c r="BM148" s="53"/>
      <c r="BN148" s="53"/>
      <c r="BO148" s="53"/>
      <c r="BP148" s="53"/>
      <c r="BQ148" s="53"/>
      <c r="BR148" s="53"/>
      <c r="BS148" s="53"/>
      <c r="BT148" s="53"/>
      <c r="BU148" s="53"/>
      <c r="BV148" s="53"/>
      <c r="BW148" s="53"/>
      <c r="BX148" s="53"/>
      <c r="BY148" s="53"/>
      <c r="BZ148" s="53"/>
      <c r="CA148" s="53"/>
      <c r="CB148" s="53"/>
      <c r="CC148" s="53"/>
      <c r="CD148" s="53"/>
      <c r="CE148" s="53"/>
      <c r="CF148" s="53"/>
      <c r="CG148" s="53"/>
      <c r="CH148" s="53"/>
      <c r="CI148" s="53"/>
      <c r="CJ148" s="53"/>
      <c r="CK148" s="53"/>
      <c r="CL148" s="53"/>
      <c r="CM148" s="53"/>
      <c r="CN148" s="53"/>
      <c r="CO148" s="53"/>
      <c r="CP148" s="53"/>
      <c r="CQ148" s="53"/>
      <c r="CR148" s="1"/>
      <c r="CS148" s="1"/>
      <c r="CT148" s="1"/>
      <c r="CU148" s="1"/>
    </row>
    <row r="149" spans="1:99" s="19" customFormat="1" ht="12" customHeight="1" x14ac:dyDescent="0.2">
      <c r="A149" s="68">
        <v>43509</v>
      </c>
      <c r="B149" s="100" t="s">
        <v>176</v>
      </c>
      <c r="C149" s="100" t="s">
        <v>95</v>
      </c>
      <c r="D149" s="99">
        <v>2008</v>
      </c>
      <c r="E149" s="106">
        <v>1</v>
      </c>
      <c r="F149" s="99">
        <v>1354</v>
      </c>
      <c r="G149" s="99">
        <v>52.1</v>
      </c>
      <c r="H149" s="99" t="s">
        <v>32</v>
      </c>
      <c r="I149" s="99" t="s">
        <v>652</v>
      </c>
      <c r="J149" s="69" t="s">
        <v>475</v>
      </c>
      <c r="K149" s="69">
        <f>IF(J149="syllables",1,IF(J149="trigrams",2,IF(J149="strings",3,IF(J149="visual array",4,IF(J149="characters",5,IF(J149="letters",6,IF(J149="free forms",7,IF(J149="odors",8,IF(J149="words",9,IF(J149="pictures",10,IF(J149="object pictures",11,IF(J149="faces",12,IF(J149="names",13,IF(J149="idioms",14,IF(J149="grades",15,IF(J149="syllable-digit pairs",16,IF(J149="trigram-word pairs",17,IF(J149="word-digit pairs",18,IF(J149="English-Swahili pairs",19,IF(J149="spatial position",20,IF(J149="word pairs",21,IF(J149="word triads",22,IF(J149="generated words",23,IF(J149="word definition pairs",24,IF(J149="math problems",25,IF(J149="famous faces",26,IF(J149="famous names",27,IF(J149="famous voices",28,IF(J149="television programs",29,IF(J149="race horses",30,IF(J149="new vocabulary",31,IF(J149="sentences",32,IF(J149="concepts",33,IF(J149="ad slides",34,IF(J149="scenes",35,IF(J149="famous scenes",36,IF(J149="poems",37,IF(J149="walk",38,IF(J149="faces and events",39,IF(J149="events and names",40,IF(J149="flashbulb",41,IF(J149="stories",42,IF(J149="course material",43,IF(J149="autobiographical",44,IF(J149="novels",45,IF(J149="public events",46,"99"))))))))))))))))))))))))))))))))))))))))))))))</f>
        <v>32</v>
      </c>
      <c r="L149" s="69">
        <f>IF(J149="syllables",1,IF(J149="trigrams",1,IF(J149="strings",1,IF(J149="visual array",1,IF(J149="characters",1,IF(J149="letters",1,IF(J149="free forms",1,IF(J149="odors",2,IF(J149="words",2,IF(J149="pictures",2,IF(J149="object pictures",2,IF(J149="faces",2,IF(J149="names",2,IF(J149="idioms","2",IF(J149="grades",2,IF(J149="syllable-digit pairs",3,IF(J149="trigram-word pairs",3,IF(J149="word-digit pairs",3,IF(J149="English-Swahili pairs",3,IF(J149="spatial position",3,IF(J149="word pairs",4,IF(J149="word triads",4,IF(J149="generated words",4,IF(J149="word definition pairs",4,IF(J149="math problems",4,IF(J149="famous faces",4,IF(J149="famous names",4,IF(J149="famous voices",4,IF(J149="television programs",4,IF(J149="race horses",4,IF(J149="new vocabulary",4,IF(J149="sentences",5,IF(J149="concepts",5,IF(J149="ad slides",5,IF(J149="scenes",5,IF(J149="famous scenes",5,IF(J149="poems",6,IF(J149="walk",6,IF(J149="faces and events",6,IF(J149="events and names",6,IF(J149="flashbulb",7,IF(J149="stories",7,IF(J149="course material",7,IF(J149="autobiographical",7,IF(J149="novels",7,IF(J149="public events",7,"99"))))))))))))))))))))))))))))))))))))))))))))))</f>
        <v>5</v>
      </c>
      <c r="M149" s="99">
        <v>1</v>
      </c>
      <c r="N149" s="99">
        <v>4</v>
      </c>
      <c r="O149" s="99">
        <v>0</v>
      </c>
      <c r="P149" s="99"/>
      <c r="Q149" s="69" t="s">
        <v>174</v>
      </c>
      <c r="R149" s="69">
        <f>IF(Q149="Free Recall",1,IF(Q149="Cued Recall",2,IF(Q149="Recognition",3,IF(Q149="Multiple Choice",4,IF(Q149="Savings",5,IF(Q149="Stem Completion",6,IF(Q149="Fragment Completion",7,IF(Q149="anagram solution",8,IF(Q149="Matching",9,IF(Q149="Problem Solving",10,"99"))))))))))</f>
        <v>1</v>
      </c>
      <c r="S149" s="99" t="s">
        <v>49</v>
      </c>
      <c r="T149" s="99" t="s">
        <v>261</v>
      </c>
      <c r="U149" s="69">
        <f>IF(T149="within",1,0)</f>
        <v>0</v>
      </c>
      <c r="V149" s="99">
        <v>32</v>
      </c>
      <c r="W149" s="69">
        <f>F149*V149</f>
        <v>43328</v>
      </c>
      <c r="X149" s="99">
        <v>4</v>
      </c>
      <c r="Y149" s="87">
        <f>AV148</f>
        <v>604800</v>
      </c>
      <c r="Z149" s="99" t="s">
        <v>177</v>
      </c>
      <c r="AA149" s="99">
        <v>30240000</v>
      </c>
      <c r="AB149" s="69" t="str">
        <f>IF(AA149&lt;60,"1",IF(AA149&lt;=43200,"2",IF(AA149&lt;=777600,"3","4")))</f>
        <v>4</v>
      </c>
      <c r="AC149" s="72">
        <f>AVERAGE(AV148:DA148)</f>
        <v>9979200</v>
      </c>
      <c r="AD149" s="69" t="str">
        <f>IF(AC149&lt;60,"1",IF(AC149&lt;=43200,"2",IF(AC149&lt;=777600,"3","4")))</f>
        <v>4</v>
      </c>
      <c r="AE149" s="87">
        <f>AA149-Y149</f>
        <v>29635200</v>
      </c>
      <c r="AF149" s="88">
        <f>AV149</f>
        <v>0.89</v>
      </c>
      <c r="AG149" s="72">
        <f>((AW149-AV149)+(AX149-AW149)+(AY149-AX149))/3</f>
        <v>-0.25666666666666665</v>
      </c>
      <c r="AH149" s="4"/>
      <c r="AI149" s="72">
        <f>RSQ(AV149:AY149,AV148:AY148)</f>
        <v>0.6186314285292801</v>
      </c>
      <c r="AJ149" s="110">
        <f>SLOPE(AV149:AY149,AV148:AY148)</f>
        <v>-1.9046285108419134E-8</v>
      </c>
      <c r="AK149" s="72">
        <f>INTERCEPT(AV149:AY149,AV148:AY148)</f>
        <v>0.64756668835393627</v>
      </c>
      <c r="AL149" s="72">
        <f>INDEX(LINEST(LN(AV149:AY149),LN(AV148:AY148),TRUE,TRUE),3,1)</f>
        <v>0.97524501539840502</v>
      </c>
      <c r="AM149" s="72">
        <f>INDEX(LINEST(LN(AV149:AY149),LN(AV148:AY148)),1)</f>
        <v>-0.52076175220920773</v>
      </c>
      <c r="AN149" s="72">
        <f>EXP(INDEX(LINEST(LN(AV149:AY149),LN(AV148:AY148)),1,2))</f>
        <v>1020.1065670904101</v>
      </c>
      <c r="AO149" s="89">
        <f>INDEX(LINEST((AV149:AY149),LN(AV148:AY148),TRUE,TRUE),3,1)</f>
        <v>0.96235517679792959</v>
      </c>
      <c r="AP149" s="89">
        <f>INDEX(LINEST((AV149:AY149),LN(AV148:AY148)),1)</f>
        <v>-0.20049889153781347</v>
      </c>
      <c r="AQ149" s="90">
        <f>INDEX(LINEST(LN(AV149:AY149),SQRT(AV148:AY148),TRUE,TRUE),3,1)</f>
        <v>0.95864814218962657</v>
      </c>
      <c r="AR149" s="117">
        <f>INDEX(LINEST(LN(AV149:AY149),SQRT((AV148:AY148))),1)</f>
        <v>-4.1049760259548497E-4</v>
      </c>
      <c r="AS149" s="91">
        <f>INDEX(LINEST(1/(AV149:AY149),1/(SQRT(AV148:AY148)),TRUE,TRUE),3,1)</f>
        <v>0.60072473199349685</v>
      </c>
      <c r="AT149" s="91">
        <f>INDEX(LINEST(1/(AV149:AY149),1/SQRT(AV148:AY148)),1)</f>
        <v>-5256.1702665879811</v>
      </c>
      <c r="AU149" s="4"/>
      <c r="AV149" s="101">
        <v>0.89</v>
      </c>
      <c r="AW149" s="101">
        <v>0.52</v>
      </c>
      <c r="AX149" s="101">
        <v>0.3</v>
      </c>
      <c r="AY149" s="101">
        <v>0.12</v>
      </c>
      <c r="AZ149" s="18"/>
      <c r="BA149" s="18"/>
      <c r="BB149" s="18"/>
      <c r="BC149" s="18"/>
      <c r="BD149" s="18"/>
      <c r="BE149" s="18"/>
      <c r="BF149" s="18"/>
      <c r="BG149" s="18"/>
      <c r="BH149" s="18"/>
      <c r="BI149" s="18"/>
      <c r="BJ149" s="18"/>
      <c r="BK149" s="18"/>
      <c r="BL149" s="18"/>
      <c r="BM149" s="18"/>
      <c r="BN149" s="18"/>
      <c r="BO149" s="18"/>
      <c r="BP149" s="18"/>
      <c r="BQ149" s="18"/>
      <c r="BR149" s="18"/>
      <c r="BS149" s="18"/>
      <c r="BT149" s="18"/>
      <c r="BU149" s="18"/>
      <c r="BV149" s="18"/>
      <c r="BW149" s="18"/>
      <c r="BX149" s="18"/>
      <c r="BY149" s="18"/>
      <c r="BZ149" s="18"/>
      <c r="CA149" s="18"/>
      <c r="CB149" s="18"/>
      <c r="CC149" s="18"/>
      <c r="CD149" s="18"/>
      <c r="CE149" s="18"/>
      <c r="CF149" s="18"/>
      <c r="CG149" s="18"/>
      <c r="CH149" s="18"/>
      <c r="CI149" s="18"/>
      <c r="CJ149" s="18"/>
      <c r="CK149" s="18"/>
      <c r="CL149" s="18"/>
      <c r="CM149" s="18"/>
      <c r="CN149" s="18"/>
      <c r="CO149" s="18"/>
      <c r="CP149" s="18"/>
      <c r="CQ149" s="18"/>
      <c r="CR149" s="17"/>
      <c r="CS149" s="17"/>
      <c r="CT149" s="17"/>
      <c r="CU149" s="17"/>
    </row>
    <row r="150" spans="1:99" s="19" customFormat="1" ht="12" customHeight="1" x14ac:dyDescent="0.2">
      <c r="A150" s="68">
        <v>43509</v>
      </c>
      <c r="B150" s="100"/>
      <c r="C150" s="100"/>
      <c r="D150" s="99"/>
      <c r="E150" s="106"/>
      <c r="F150" s="99"/>
      <c r="G150" s="99"/>
      <c r="H150" s="99"/>
      <c r="I150" s="99"/>
      <c r="J150" s="99"/>
      <c r="K150" s="107"/>
      <c r="L150" s="107"/>
      <c r="M150" s="99"/>
      <c r="N150" s="99"/>
      <c r="O150" s="99"/>
      <c r="P150" s="99"/>
      <c r="Q150" s="99"/>
      <c r="R150" s="69"/>
      <c r="S150" s="99"/>
      <c r="T150" s="99"/>
      <c r="U150" s="69"/>
      <c r="V150" s="99"/>
      <c r="W150" s="69"/>
      <c r="X150" s="99"/>
      <c r="Y150" s="87"/>
      <c r="Z150" s="99"/>
      <c r="AA150" s="99"/>
      <c r="AB150" s="69"/>
      <c r="AC150" s="69"/>
      <c r="AD150" s="69"/>
      <c r="AE150" s="69"/>
      <c r="AF150" s="88"/>
      <c r="AG150" s="72"/>
      <c r="AH150" s="4"/>
      <c r="AI150" s="123"/>
      <c r="AJ150" s="124"/>
      <c r="AK150" s="123"/>
      <c r="AL150" s="123"/>
      <c r="AM150" s="123"/>
      <c r="AN150" s="123"/>
      <c r="AO150" s="123"/>
      <c r="AP150" s="123"/>
      <c r="AQ150" s="72"/>
      <c r="AR150" s="110"/>
      <c r="AS150" s="72"/>
      <c r="AT150" s="72"/>
      <c r="AU150" s="4"/>
      <c r="AV150" s="71">
        <f>24*3600*7</f>
        <v>604800</v>
      </c>
      <c r="AW150" s="71">
        <f>24*3600*35</f>
        <v>3024000</v>
      </c>
      <c r="AX150" s="71">
        <f>24*3600*70</f>
        <v>6048000</v>
      </c>
      <c r="AY150" s="71">
        <f>24*3600*350</f>
        <v>30240000</v>
      </c>
      <c r="AZ150" s="18"/>
      <c r="BA150" s="18"/>
      <c r="BB150" s="18"/>
      <c r="BC150" s="18"/>
      <c r="BD150" s="18"/>
      <c r="BE150" s="18"/>
      <c r="BF150" s="18"/>
      <c r="BG150" s="18"/>
      <c r="BH150" s="18"/>
      <c r="BI150" s="18"/>
      <c r="BJ150" s="18"/>
      <c r="BK150" s="18"/>
      <c r="BL150" s="18"/>
      <c r="BM150" s="18"/>
      <c r="BN150" s="18"/>
      <c r="BO150" s="18"/>
      <c r="BP150" s="18"/>
      <c r="BQ150" s="18"/>
      <c r="BR150" s="18"/>
      <c r="BS150" s="18"/>
      <c r="BT150" s="18"/>
      <c r="BU150" s="18"/>
      <c r="BV150" s="18"/>
      <c r="BW150" s="18"/>
      <c r="BX150" s="18"/>
      <c r="BY150" s="18"/>
      <c r="BZ150" s="18"/>
      <c r="CA150" s="18"/>
      <c r="CB150" s="18"/>
      <c r="CC150" s="18"/>
      <c r="CD150" s="18"/>
      <c r="CE150" s="18"/>
      <c r="CF150" s="18"/>
      <c r="CG150" s="18"/>
      <c r="CH150" s="18"/>
      <c r="CI150" s="18"/>
      <c r="CJ150" s="18"/>
      <c r="CK150" s="18"/>
      <c r="CL150" s="18"/>
      <c r="CM150" s="18"/>
      <c r="CN150" s="18"/>
      <c r="CO150" s="18"/>
      <c r="CP150" s="18"/>
      <c r="CQ150" s="18"/>
      <c r="CR150" s="17"/>
      <c r="CS150" s="17"/>
      <c r="CT150" s="17"/>
      <c r="CU150" s="17"/>
    </row>
    <row r="151" spans="1:99" s="19" customFormat="1" ht="12" customHeight="1" x14ac:dyDescent="0.2">
      <c r="A151" s="68">
        <v>43509</v>
      </c>
      <c r="B151" s="100" t="s">
        <v>176</v>
      </c>
      <c r="C151" s="100" t="s">
        <v>95</v>
      </c>
      <c r="D151" s="99">
        <v>2008</v>
      </c>
      <c r="E151" s="106">
        <v>1</v>
      </c>
      <c r="F151" s="99">
        <v>1354</v>
      </c>
      <c r="G151" s="99">
        <v>52.1</v>
      </c>
      <c r="H151" s="99" t="s">
        <v>32</v>
      </c>
      <c r="I151" s="99" t="s">
        <v>653</v>
      </c>
      <c r="J151" s="69" t="s">
        <v>475</v>
      </c>
      <c r="K151" s="69">
        <f>IF(J151="syllables",1,IF(J151="trigrams",2,IF(J151="strings",3,IF(J151="visual array",4,IF(J151="characters",5,IF(J151="letters",6,IF(J151="free forms",7,IF(J151="odors",8,IF(J151="words",9,IF(J151="pictures",10,IF(J151="object pictures",11,IF(J151="faces",12,IF(J151="names",13,IF(J151="idioms",14,IF(J151="grades",15,IF(J151="syllable-digit pairs",16,IF(J151="trigram-word pairs",17,IF(J151="word-digit pairs",18,IF(J151="English-Swahili pairs",19,IF(J151="spatial position",20,IF(J151="word pairs",21,IF(J151="word triads",22,IF(J151="generated words",23,IF(J151="word definition pairs",24,IF(J151="math problems",25,IF(J151="famous faces",26,IF(J151="famous names",27,IF(J151="famous voices",28,IF(J151="television programs",29,IF(J151="race horses",30,IF(J151="new vocabulary",31,IF(J151="sentences",32,IF(J151="concepts",33,IF(J151="ad slides",34,IF(J151="scenes",35,IF(J151="famous scenes",36,IF(J151="poems",37,IF(J151="walk",38,IF(J151="faces and events",39,IF(J151="events and names",40,IF(J151="flashbulb",41,IF(J151="stories",42,IF(J151="course material",43,IF(J151="autobiographical",44,IF(J151="novels",45,IF(J151="public events",46,"99"))))))))))))))))))))))))))))))))))))))))))))))</f>
        <v>32</v>
      </c>
      <c r="L151" s="69">
        <f>IF(J151="syllables",1,IF(J151="trigrams",1,IF(J151="strings",1,IF(J151="visual array",1,IF(J151="characters",1,IF(J151="letters",1,IF(J151="free forms",1,IF(J151="odors",2,IF(J151="words",2,IF(J151="pictures",2,IF(J151="object pictures",2,IF(J151="faces",2,IF(J151="names",2,IF(J151="idioms","2",IF(J151="grades",2,IF(J151="syllable-digit pairs",3,IF(J151="trigram-word pairs",3,IF(J151="word-digit pairs",3,IF(J151="English-Swahili pairs",3,IF(J151="spatial position",3,IF(J151="word pairs",4,IF(J151="word triads",4,IF(J151="generated words",4,IF(J151="word definition pairs",4,IF(J151="math problems",4,IF(J151="famous faces",4,IF(J151="famous names",4,IF(J151="famous voices",4,IF(J151="television programs",4,IF(J151="race horses",4,IF(J151="new vocabulary",4,IF(J151="sentences",5,IF(J151="concepts",5,IF(J151="ad slides",5,IF(J151="scenes",5,IF(J151="famous scenes",5,IF(J151="poems",6,IF(J151="walk",6,IF(J151="faces and events",6,IF(J151="events and names",6,IF(J151="flashbulb",7,IF(J151="stories",7,IF(J151="course material",7,IF(J151="autobiographical",7,IF(J151="novels",7,IF(J151="public events",7,"99"))))))))))))))))))))))))))))))))))))))))))))))</f>
        <v>5</v>
      </c>
      <c r="M151" s="99">
        <v>1</v>
      </c>
      <c r="N151" s="99">
        <v>4</v>
      </c>
      <c r="O151" s="99">
        <v>0</v>
      </c>
      <c r="P151" s="99"/>
      <c r="Q151" s="69" t="s">
        <v>174</v>
      </c>
      <c r="R151" s="69">
        <f>IF(Q151="Free Recall",1,IF(Q151="Cued Recall",2,IF(Q151="Recognition",3,IF(Q151="Multiple Choice",4,IF(Q151="Savings",5,IF(Q151="Stem Completion",6,IF(Q151="Fragment Completion",7,IF(Q151="anagram solution",8,IF(Q151="Matching",9,IF(Q151="Problem Solving",10,"99"))))))))))</f>
        <v>1</v>
      </c>
      <c r="S151" s="99" t="s">
        <v>49</v>
      </c>
      <c r="T151" s="99" t="s">
        <v>261</v>
      </c>
      <c r="U151" s="69">
        <f>IF(T151="within",1,0)</f>
        <v>0</v>
      </c>
      <c r="V151" s="99">
        <v>32</v>
      </c>
      <c r="W151" s="69">
        <f>F151*V151</f>
        <v>43328</v>
      </c>
      <c r="X151" s="99">
        <v>4</v>
      </c>
      <c r="Y151" s="87">
        <f>AV150</f>
        <v>604800</v>
      </c>
      <c r="Z151" s="99" t="s">
        <v>177</v>
      </c>
      <c r="AA151" s="99">
        <v>30240000</v>
      </c>
      <c r="AB151" s="69" t="str">
        <f>IF(AA151&lt;60,"1",IF(AA151&lt;=43200,"2",IF(AA151&lt;=777600,"3","4")))</f>
        <v>4</v>
      </c>
      <c r="AC151" s="72">
        <f>AVERAGE(AV150:DA150)</f>
        <v>9979200</v>
      </c>
      <c r="AD151" s="69" t="str">
        <f>IF(AC151&lt;60,"1",IF(AC151&lt;=43200,"2",IF(AC151&lt;=777600,"3","4")))</f>
        <v>4</v>
      </c>
      <c r="AE151" s="87">
        <f>AA151-Y151</f>
        <v>29635200</v>
      </c>
      <c r="AF151" s="88">
        <f>AV151</f>
        <v>0.98</v>
      </c>
      <c r="AG151" s="72">
        <f>((AW151-AV151)+(AX151-AW151)+(AY151-AX151))/3</f>
        <v>-0.28333333333333338</v>
      </c>
      <c r="AH151" s="4"/>
      <c r="AI151" s="72">
        <f>RSQ(AV151:AY151,AV150:AY150)</f>
        <v>0.76585316007177029</v>
      </c>
      <c r="AJ151" s="110">
        <f>SLOPE(AV151:AY151,AV150:AY150)</f>
        <v>-2.3198708746854484E-8</v>
      </c>
      <c r="AK151" s="72">
        <f>INTERCEPT(AV151:AY151,AV150:AY150)</f>
        <v>0.78900455432661021</v>
      </c>
      <c r="AL151" s="72">
        <f>INDEX(LINEST(LN(AV151:AY151),LN(AV150:AY150),TRUE,TRUE),3,1)</f>
        <v>0.92059077450383398</v>
      </c>
      <c r="AM151" s="72">
        <f>INDEX(LINEST(LN(AV151:AY151),LN(AV150:AY150)),1)</f>
        <v>-0.5214112085031487</v>
      </c>
      <c r="AN151" s="72">
        <f>EXP(INDEX(LINEST(LN(AV151:AY151),LN(AV150:AY150)),1,2))</f>
        <v>1264.4449660405814</v>
      </c>
      <c r="AO151" s="89">
        <f>INDEX(LINEST((AV151:AY151),LN(AV150:AY150),TRUE,TRUE),3,1)</f>
        <v>0.98525250185941826</v>
      </c>
      <c r="AP151" s="89">
        <f>INDEX(LINEST((AV151:AY151),LN(AV150:AY150)),1)</f>
        <v>-0.22208274799690472</v>
      </c>
      <c r="AQ151" s="90">
        <f>INDEX(LINEST(LN(AV151:AY151),SQRT(AV150:AY150),TRUE,TRUE),3,1)</f>
        <v>0.99401774346541827</v>
      </c>
      <c r="AR151" s="117">
        <f>INDEX(LINEST(LN(AV151:AY151),SQRT((AV150:AY150))),1)</f>
        <v>-4.3076748984350569E-4</v>
      </c>
      <c r="AS151" s="91">
        <f>INDEX(LINEST(1/(AV151:AY151),1/(SQRT(AV150:AY150)),TRUE,TRUE),3,1)</f>
        <v>0.50796695023227234</v>
      </c>
      <c r="AT151" s="91">
        <f>INDEX(LINEST(1/(AV151:AY151),1/SQRT(AV150:AY150)),1)</f>
        <v>-4624.161187438227</v>
      </c>
      <c r="AU151" s="4"/>
      <c r="AV151" s="101">
        <v>0.98</v>
      </c>
      <c r="AW151" s="101">
        <v>0.69</v>
      </c>
      <c r="AX151" s="101">
        <v>0.43</v>
      </c>
      <c r="AY151" s="101">
        <v>0.13</v>
      </c>
      <c r="AZ151" s="18"/>
      <c r="BA151" s="18"/>
      <c r="BB151" s="18"/>
      <c r="BC151" s="18"/>
      <c r="BD151" s="18"/>
      <c r="BE151" s="18"/>
      <c r="BF151" s="18"/>
      <c r="BG151" s="18"/>
      <c r="BH151" s="18"/>
      <c r="BI151" s="18"/>
      <c r="BJ151" s="18"/>
      <c r="BK151" s="18"/>
      <c r="BL151" s="18"/>
      <c r="BM151" s="18"/>
      <c r="BN151" s="18"/>
      <c r="BO151" s="18"/>
      <c r="BP151" s="18"/>
      <c r="BQ151" s="18"/>
      <c r="BR151" s="18"/>
      <c r="BS151" s="18"/>
      <c r="BT151" s="18"/>
      <c r="BU151" s="18"/>
      <c r="BV151" s="18"/>
      <c r="BW151" s="18"/>
      <c r="BX151" s="18"/>
      <c r="BY151" s="18"/>
      <c r="BZ151" s="18"/>
      <c r="CA151" s="18"/>
      <c r="CB151" s="18"/>
      <c r="CC151" s="18"/>
      <c r="CD151" s="18"/>
      <c r="CE151" s="18"/>
      <c r="CF151" s="18"/>
      <c r="CG151" s="18"/>
      <c r="CH151" s="18"/>
      <c r="CI151" s="18"/>
      <c r="CJ151" s="18"/>
      <c r="CK151" s="18"/>
      <c r="CL151" s="18"/>
      <c r="CM151" s="18"/>
      <c r="CN151" s="18"/>
      <c r="CO151" s="18"/>
      <c r="CP151" s="18"/>
      <c r="CQ151" s="18"/>
      <c r="CR151" s="17"/>
      <c r="CS151" s="17"/>
      <c r="CT151" s="17"/>
      <c r="CU151" s="17"/>
    </row>
    <row r="152" spans="1:99" s="19" customFormat="1" ht="12" customHeight="1" x14ac:dyDescent="0.2">
      <c r="A152" s="68">
        <v>43509</v>
      </c>
      <c r="B152" s="100"/>
      <c r="C152" s="100"/>
      <c r="D152" s="99"/>
      <c r="E152" s="106"/>
      <c r="F152" s="99"/>
      <c r="G152" s="99"/>
      <c r="H152" s="99"/>
      <c r="I152" s="99"/>
      <c r="J152" s="99"/>
      <c r="K152" s="107"/>
      <c r="L152" s="107"/>
      <c r="M152" s="99"/>
      <c r="N152" s="99"/>
      <c r="O152" s="99"/>
      <c r="P152" s="99"/>
      <c r="Q152" s="99"/>
      <c r="R152" s="69"/>
      <c r="S152" s="99"/>
      <c r="T152" s="99"/>
      <c r="U152" s="69"/>
      <c r="V152" s="99"/>
      <c r="W152" s="69"/>
      <c r="X152" s="99"/>
      <c r="Y152" s="87"/>
      <c r="Z152" s="99"/>
      <c r="AA152" s="99"/>
      <c r="AB152" s="69"/>
      <c r="AC152" s="69"/>
      <c r="AD152" s="69"/>
      <c r="AE152" s="69"/>
      <c r="AF152" s="88"/>
      <c r="AG152" s="72"/>
      <c r="AH152" s="4"/>
      <c r="AI152" s="123"/>
      <c r="AJ152" s="124"/>
      <c r="AK152" s="123"/>
      <c r="AL152" s="123"/>
      <c r="AM152" s="123"/>
      <c r="AN152" s="123"/>
      <c r="AO152" s="123"/>
      <c r="AP152" s="123"/>
      <c r="AQ152" s="72"/>
      <c r="AR152" s="110"/>
      <c r="AS152" s="72"/>
      <c r="AT152" s="72"/>
      <c r="AU152" s="4"/>
      <c r="AV152" s="71">
        <f>24*3600*7</f>
        <v>604800</v>
      </c>
      <c r="AW152" s="71">
        <f>24*3600*35</f>
        <v>3024000</v>
      </c>
      <c r="AX152" s="71">
        <f>24*3600*70</f>
        <v>6048000</v>
      </c>
      <c r="AY152" s="71">
        <f>24*3600*350</f>
        <v>30240000</v>
      </c>
      <c r="AZ152" s="18"/>
      <c r="BA152" s="18"/>
      <c r="BB152" s="18"/>
      <c r="BC152" s="18"/>
      <c r="BD152" s="18"/>
      <c r="BE152" s="18"/>
      <c r="BF152" s="18"/>
      <c r="BG152" s="18"/>
      <c r="BH152" s="18"/>
      <c r="BI152" s="18"/>
      <c r="BJ152" s="18"/>
      <c r="BK152" s="18"/>
      <c r="BL152" s="18"/>
      <c r="BM152" s="18"/>
      <c r="BN152" s="18"/>
      <c r="BO152" s="18"/>
      <c r="BP152" s="18"/>
      <c r="BQ152" s="18"/>
      <c r="BR152" s="18"/>
      <c r="BS152" s="18"/>
      <c r="BT152" s="18"/>
      <c r="BU152" s="18"/>
      <c r="BV152" s="18"/>
      <c r="BW152" s="18"/>
      <c r="BX152" s="18"/>
      <c r="BY152" s="18"/>
      <c r="BZ152" s="18"/>
      <c r="CA152" s="18"/>
      <c r="CB152" s="18"/>
      <c r="CC152" s="18"/>
      <c r="CD152" s="18"/>
      <c r="CE152" s="18"/>
      <c r="CF152" s="18"/>
      <c r="CG152" s="18"/>
      <c r="CH152" s="18"/>
      <c r="CI152" s="18"/>
      <c r="CJ152" s="18"/>
      <c r="CK152" s="18"/>
      <c r="CL152" s="18"/>
      <c r="CM152" s="18"/>
      <c r="CN152" s="18"/>
      <c r="CO152" s="18"/>
      <c r="CP152" s="18"/>
      <c r="CQ152" s="18"/>
      <c r="CR152" s="17"/>
      <c r="CS152" s="17"/>
      <c r="CT152" s="17"/>
      <c r="CU152" s="17"/>
    </row>
    <row r="153" spans="1:99" s="19" customFormat="1" ht="12" customHeight="1" x14ac:dyDescent="0.2">
      <c r="A153" s="68">
        <v>43509</v>
      </c>
      <c r="B153" s="100" t="s">
        <v>176</v>
      </c>
      <c r="C153" s="100" t="s">
        <v>95</v>
      </c>
      <c r="D153" s="99">
        <v>2008</v>
      </c>
      <c r="E153" s="106">
        <v>1</v>
      </c>
      <c r="F153" s="99">
        <v>1354</v>
      </c>
      <c r="G153" s="99">
        <v>52.1</v>
      </c>
      <c r="H153" s="99" t="s">
        <v>32</v>
      </c>
      <c r="I153" s="99" t="s">
        <v>654</v>
      </c>
      <c r="J153" s="69" t="s">
        <v>475</v>
      </c>
      <c r="K153" s="69">
        <f>IF(J153="syllables",1,IF(J153="trigrams",2,IF(J153="strings",3,IF(J153="visual array",4,IF(J153="characters",5,IF(J153="letters",6,IF(J153="free forms",7,IF(J153="odors",8,IF(J153="words",9,IF(J153="pictures",10,IF(J153="object pictures",11,IF(J153="faces",12,IF(J153="names",13,IF(J153="idioms",14,IF(J153="grades",15,IF(J153="syllable-digit pairs",16,IF(J153="trigram-word pairs",17,IF(J153="word-digit pairs",18,IF(J153="English-Swahili pairs",19,IF(J153="spatial position",20,IF(J153="word pairs",21,IF(J153="word triads",22,IF(J153="generated words",23,IF(J153="word definition pairs",24,IF(J153="math problems",25,IF(J153="famous faces",26,IF(J153="famous names",27,IF(J153="famous voices",28,IF(J153="television programs",29,IF(J153="race horses",30,IF(J153="new vocabulary",31,IF(J153="sentences",32,IF(J153="concepts",33,IF(J153="ad slides",34,IF(J153="scenes",35,IF(J153="famous scenes",36,IF(J153="poems",37,IF(J153="walk",38,IF(J153="faces and events",39,IF(J153="events and names",40,IF(J153="flashbulb",41,IF(J153="stories",42,IF(J153="course material",43,IF(J153="autobiographical",44,IF(J153="novels",45,IF(J153="public events",46,"99"))))))))))))))))))))))))))))))))))))))))))))))</f>
        <v>32</v>
      </c>
      <c r="L153" s="69">
        <f>IF(J153="syllables",1,IF(J153="trigrams",1,IF(J153="strings",1,IF(J153="visual array",1,IF(J153="characters",1,IF(J153="letters",1,IF(J153="free forms",1,IF(J153="odors",2,IF(J153="words",2,IF(J153="pictures",2,IF(J153="object pictures",2,IF(J153="faces",2,IF(J153="names",2,IF(J153="idioms","2",IF(J153="grades",2,IF(J153="syllable-digit pairs",3,IF(J153="trigram-word pairs",3,IF(J153="word-digit pairs",3,IF(J153="English-Swahili pairs",3,IF(J153="spatial position",3,IF(J153="word pairs",4,IF(J153="word triads",4,IF(J153="generated words",4,IF(J153="word definition pairs",4,IF(J153="math problems",4,IF(J153="famous faces",4,IF(J153="famous names",4,IF(J153="famous voices",4,IF(J153="television programs",4,IF(J153="race horses",4,IF(J153="new vocabulary",4,IF(J153="sentences",5,IF(J153="concepts",5,IF(J153="ad slides",5,IF(J153="scenes",5,IF(J153="famous scenes",5,IF(J153="poems",6,IF(J153="walk",6,IF(J153="faces and events",6,IF(J153="events and names",6,IF(J153="flashbulb",7,IF(J153="stories",7,IF(J153="course material",7,IF(J153="autobiographical",7,IF(J153="novels",7,IF(J153="public events",7,"99"))))))))))))))))))))))))))))))))))))))))))))))</f>
        <v>5</v>
      </c>
      <c r="M153" s="99">
        <v>1</v>
      </c>
      <c r="N153" s="99">
        <v>4</v>
      </c>
      <c r="O153" s="99">
        <v>0</v>
      </c>
      <c r="P153" s="99"/>
      <c r="Q153" s="69" t="s">
        <v>174</v>
      </c>
      <c r="R153" s="69">
        <f>IF(Q153="Free Recall",1,IF(Q153="Cued Recall",2,IF(Q153="Recognition",3,IF(Q153="Multiple Choice",4,IF(Q153="Savings",5,IF(Q153="Stem Completion",6,IF(Q153="Fragment Completion",7,IF(Q153="anagram solution",8,IF(Q153="Matching",9,IF(Q153="Problem Solving",10,"99"))))))))))</f>
        <v>1</v>
      </c>
      <c r="S153" s="99" t="s">
        <v>49</v>
      </c>
      <c r="T153" s="99" t="s">
        <v>261</v>
      </c>
      <c r="U153" s="69">
        <f>IF(T153="within",1,0)</f>
        <v>0</v>
      </c>
      <c r="V153" s="99">
        <v>32</v>
      </c>
      <c r="W153" s="69">
        <f>F153*V153</f>
        <v>43328</v>
      </c>
      <c r="X153" s="99">
        <v>4</v>
      </c>
      <c r="Y153" s="87">
        <f>AV152</f>
        <v>604800</v>
      </c>
      <c r="Z153" s="99" t="s">
        <v>177</v>
      </c>
      <c r="AA153" s="99">
        <v>30240000</v>
      </c>
      <c r="AB153" s="69" t="str">
        <f>IF(AA153&lt;60,"1",IF(AA153&lt;=43200,"2",IF(AA153&lt;=777600,"3","4")))</f>
        <v>4</v>
      </c>
      <c r="AC153" s="72">
        <f>AVERAGE(AV152:DA152)</f>
        <v>9979200</v>
      </c>
      <c r="AD153" s="69" t="str">
        <f>IF(AC153&lt;60,"1",IF(AC153&lt;=43200,"2",IF(AC153&lt;=777600,"3","4")))</f>
        <v>4</v>
      </c>
      <c r="AE153" s="87">
        <f>AA153-Y153</f>
        <v>29635200</v>
      </c>
      <c r="AF153" s="88">
        <f>AV153</f>
        <v>0.95</v>
      </c>
      <c r="AG153" s="72">
        <f>((AW153-AV153)+(AX153-AW153)+(AY153-AX153))/3</f>
        <v>-0.26666666666666666</v>
      </c>
      <c r="AH153" s="4"/>
      <c r="AI153" s="72">
        <f>RSQ(AV153:AY153,AV152:AY152)</f>
        <v>0.93944206949650599</v>
      </c>
      <c r="AJ153" s="110">
        <f>SLOPE(AV153:AY153,AV152:AY152)</f>
        <v>-2.4597193391923386E-8</v>
      </c>
      <c r="AK153" s="72">
        <f>INTERCEPT(AV153:AY153,AV152:AY152)</f>
        <v>0.87296031229668181</v>
      </c>
      <c r="AL153" s="72">
        <f>INDEX(LINEST(LN(AV153:AY153),LN(AV152:AY152),TRUE,TRUE),3,1)</f>
        <v>0.82052082151714656</v>
      </c>
      <c r="AM153" s="72">
        <f>INDEX(LINEST(LN(AV153:AY153),LN(AV152:AY152)),1)</f>
        <v>-0.46937964364704871</v>
      </c>
      <c r="AN153" s="72">
        <f>EXP(INDEX(LINEST(LN(AV153:AY153),LN(AV152:AY152)),1,2))</f>
        <v>665.36586606126309</v>
      </c>
      <c r="AO153" s="89">
        <f>INDEX(LINEST((AV153:AY153),LN(AV152:AY152),TRUE,TRUE),3,1)</f>
        <v>0.93052893022318917</v>
      </c>
      <c r="AP153" s="89">
        <f>INDEX(LINEST((AV153:AY153),LN(AV152:AY152)),1)</f>
        <v>-0.20661673037880743</v>
      </c>
      <c r="AQ153" s="90">
        <f>INDEX(LINEST(LN(AV153:AY153),SQRT(AV152:AY152),TRUE,TRUE),3,1)</f>
        <v>0.98105017333981503</v>
      </c>
      <c r="AR153" s="117">
        <f>INDEX(LINEST(LN(AV153:AY153),SQRT((AV152:AY152))),1)</f>
        <v>-4.0805983993045516E-4</v>
      </c>
      <c r="AS153" s="91">
        <f>INDEX(LINEST(1/(AV153:AY153),1/(SQRT(AV152:AY152)),TRUE,TRUE),3,1)</f>
        <v>0.43786809683746369</v>
      </c>
      <c r="AT153" s="91">
        <f>INDEX(LINEST(1/(AV153:AY153),1/SQRT(AV152:AY152)),1)</f>
        <v>-3727.8971790097903</v>
      </c>
      <c r="AU153" s="4"/>
      <c r="AV153" s="101">
        <v>0.95</v>
      </c>
      <c r="AW153" s="101">
        <v>0.8</v>
      </c>
      <c r="AX153" s="101">
        <v>0.61</v>
      </c>
      <c r="AY153" s="101">
        <v>0.15</v>
      </c>
      <c r="AZ153" s="18"/>
      <c r="BA153" s="18"/>
      <c r="BB153" s="18"/>
      <c r="BC153" s="18"/>
      <c r="BD153" s="18"/>
      <c r="BE153" s="18"/>
      <c r="BF153" s="18"/>
      <c r="BG153" s="18"/>
      <c r="BH153" s="18"/>
      <c r="BI153" s="18"/>
      <c r="BJ153" s="18"/>
      <c r="BK153" s="18"/>
      <c r="BL153" s="18"/>
      <c r="BM153" s="18"/>
      <c r="BN153" s="18"/>
      <c r="BO153" s="18"/>
      <c r="BP153" s="18"/>
      <c r="BQ153" s="18"/>
      <c r="BR153" s="18"/>
      <c r="BS153" s="18"/>
      <c r="BT153" s="18"/>
      <c r="BU153" s="18"/>
      <c r="BV153" s="18"/>
      <c r="BW153" s="18"/>
      <c r="BX153" s="18"/>
      <c r="BY153" s="18"/>
      <c r="BZ153" s="18"/>
      <c r="CA153" s="18"/>
      <c r="CB153" s="18"/>
      <c r="CC153" s="18"/>
      <c r="CD153" s="18"/>
      <c r="CE153" s="18"/>
      <c r="CF153" s="18"/>
      <c r="CG153" s="18"/>
      <c r="CH153" s="18"/>
      <c r="CI153" s="18"/>
      <c r="CJ153" s="18"/>
      <c r="CK153" s="18"/>
      <c r="CL153" s="18"/>
      <c r="CM153" s="18"/>
      <c r="CN153" s="18"/>
      <c r="CO153" s="18"/>
      <c r="CP153" s="18"/>
      <c r="CQ153" s="18"/>
      <c r="CR153" s="17"/>
      <c r="CS153" s="17"/>
      <c r="CT153" s="17"/>
      <c r="CU153" s="17"/>
    </row>
    <row r="154" spans="1:99" s="19" customFormat="1" ht="12" customHeight="1" x14ac:dyDescent="0.2">
      <c r="A154" s="68">
        <v>43509</v>
      </c>
      <c r="B154" s="100"/>
      <c r="C154" s="100"/>
      <c r="D154" s="99"/>
      <c r="E154" s="106"/>
      <c r="F154" s="99"/>
      <c r="G154" s="99"/>
      <c r="H154" s="99"/>
      <c r="I154" s="99"/>
      <c r="J154" s="99"/>
      <c r="K154" s="107"/>
      <c r="L154" s="107"/>
      <c r="M154" s="99"/>
      <c r="N154" s="99"/>
      <c r="O154" s="99"/>
      <c r="P154" s="99"/>
      <c r="Q154" s="99"/>
      <c r="R154" s="69"/>
      <c r="S154" s="99"/>
      <c r="T154" s="99"/>
      <c r="U154" s="69"/>
      <c r="V154" s="99"/>
      <c r="W154" s="69"/>
      <c r="X154" s="99"/>
      <c r="Y154" s="87"/>
      <c r="Z154" s="99"/>
      <c r="AA154" s="99"/>
      <c r="AB154" s="69"/>
      <c r="AC154" s="69"/>
      <c r="AD154" s="69"/>
      <c r="AE154" s="69"/>
      <c r="AF154" s="88"/>
      <c r="AG154" s="72"/>
      <c r="AH154" s="4"/>
      <c r="AI154" s="123"/>
      <c r="AJ154" s="124"/>
      <c r="AK154" s="123"/>
      <c r="AL154" s="123"/>
      <c r="AM154" s="123"/>
      <c r="AN154" s="123"/>
      <c r="AO154" s="123"/>
      <c r="AP154" s="123"/>
      <c r="AQ154" s="72"/>
      <c r="AR154" s="110"/>
      <c r="AS154" s="72"/>
      <c r="AT154" s="72"/>
      <c r="AU154" s="4"/>
      <c r="AV154" s="71">
        <f>24*3600*7</f>
        <v>604800</v>
      </c>
      <c r="AW154" s="71">
        <f>24*3600*35</f>
        <v>3024000</v>
      </c>
      <c r="AX154" s="71">
        <f>24*3600*70</f>
        <v>6048000</v>
      </c>
      <c r="AY154" s="71">
        <f>24*3600*350</f>
        <v>30240000</v>
      </c>
      <c r="AZ154" s="18"/>
      <c r="BA154" s="18"/>
      <c r="BB154" s="18"/>
      <c r="BC154" s="18"/>
      <c r="BD154" s="18"/>
      <c r="BE154" s="18"/>
      <c r="BF154" s="18"/>
      <c r="BG154" s="18"/>
      <c r="BH154" s="18"/>
      <c r="BI154" s="18"/>
      <c r="BJ154" s="18"/>
      <c r="BK154" s="18"/>
      <c r="BL154" s="18"/>
      <c r="BM154" s="18"/>
      <c r="BN154" s="18"/>
      <c r="BO154" s="18"/>
      <c r="BP154" s="18"/>
      <c r="BQ154" s="18"/>
      <c r="BR154" s="18"/>
      <c r="BS154" s="18"/>
      <c r="BT154" s="18"/>
      <c r="BU154" s="18"/>
      <c r="BV154" s="18"/>
      <c r="BW154" s="18"/>
      <c r="BX154" s="18"/>
      <c r="BY154" s="18"/>
      <c r="BZ154" s="18"/>
      <c r="CA154" s="18"/>
      <c r="CB154" s="18"/>
      <c r="CC154" s="18"/>
      <c r="CD154" s="18"/>
      <c r="CE154" s="18"/>
      <c r="CF154" s="18"/>
      <c r="CG154" s="18"/>
      <c r="CH154" s="18"/>
      <c r="CI154" s="18"/>
      <c r="CJ154" s="18"/>
      <c r="CK154" s="18"/>
      <c r="CL154" s="18"/>
      <c r="CM154" s="18"/>
      <c r="CN154" s="18"/>
      <c r="CO154" s="18"/>
      <c r="CP154" s="18"/>
      <c r="CQ154" s="18"/>
      <c r="CR154" s="17"/>
      <c r="CS154" s="17"/>
      <c r="CT154" s="17"/>
      <c r="CU154" s="17"/>
    </row>
    <row r="155" spans="1:99" s="19" customFormat="1" ht="12" customHeight="1" x14ac:dyDescent="0.2">
      <c r="A155" s="68">
        <v>43509</v>
      </c>
      <c r="B155" s="100" t="s">
        <v>176</v>
      </c>
      <c r="C155" s="100" t="s">
        <v>95</v>
      </c>
      <c r="D155" s="99">
        <v>2008</v>
      </c>
      <c r="E155" s="106">
        <v>1</v>
      </c>
      <c r="F155" s="99">
        <v>1354</v>
      </c>
      <c r="G155" s="99">
        <v>52.1</v>
      </c>
      <c r="H155" s="99" t="s">
        <v>32</v>
      </c>
      <c r="I155" s="99" t="s">
        <v>655</v>
      </c>
      <c r="J155" s="69" t="s">
        <v>475</v>
      </c>
      <c r="K155" s="69">
        <f>IF(J155="syllables",1,IF(J155="trigrams",2,IF(J155="strings",3,IF(J155="visual array",4,IF(J155="characters",5,IF(J155="letters",6,IF(J155="free forms",7,IF(J155="odors",8,IF(J155="words",9,IF(J155="pictures",10,IF(J155="object pictures",11,IF(J155="faces",12,IF(J155="names",13,IF(J155="idioms",14,IF(J155="grades",15,IF(J155="syllable-digit pairs",16,IF(J155="trigram-word pairs",17,IF(J155="word-digit pairs",18,IF(J155="English-Swahili pairs",19,IF(J155="spatial position",20,IF(J155="word pairs",21,IF(J155="word triads",22,IF(J155="generated words",23,IF(J155="word definition pairs",24,IF(J155="math problems",25,IF(J155="famous faces",26,IF(J155="famous names",27,IF(J155="famous voices",28,IF(J155="television programs",29,IF(J155="race horses",30,IF(J155="new vocabulary",31,IF(J155="sentences",32,IF(J155="concepts",33,IF(J155="ad slides",34,IF(J155="scenes",35,IF(J155="famous scenes",36,IF(J155="poems",37,IF(J155="walk",38,IF(J155="faces and events",39,IF(J155="events and names",40,IF(J155="flashbulb",41,IF(J155="stories",42,IF(J155="course material",43,IF(J155="autobiographical",44,IF(J155="novels",45,IF(J155="public events",46,"99"))))))))))))))))))))))))))))))))))))))))))))))</f>
        <v>32</v>
      </c>
      <c r="L155" s="69">
        <f>IF(J155="syllables",1,IF(J155="trigrams",1,IF(J155="strings",1,IF(J155="visual array",1,IF(J155="characters",1,IF(J155="letters",1,IF(J155="free forms",1,IF(J155="odors",2,IF(J155="words",2,IF(J155="pictures",2,IF(J155="object pictures",2,IF(J155="faces",2,IF(J155="names",2,IF(J155="idioms","2",IF(J155="grades",2,IF(J155="syllable-digit pairs",3,IF(J155="trigram-word pairs",3,IF(J155="word-digit pairs",3,IF(J155="English-Swahili pairs",3,IF(J155="spatial position",3,IF(J155="word pairs",4,IF(J155="word triads",4,IF(J155="generated words",4,IF(J155="word definition pairs",4,IF(J155="math problems",4,IF(J155="famous faces",4,IF(J155="famous names",4,IF(J155="famous voices",4,IF(J155="television programs",4,IF(J155="race horses",4,IF(J155="new vocabulary",4,IF(J155="sentences",5,IF(J155="concepts",5,IF(J155="ad slides",5,IF(J155="scenes",5,IF(J155="famous scenes",5,IF(J155="poems",6,IF(J155="walk",6,IF(J155="faces and events",6,IF(J155="events and names",6,IF(J155="flashbulb",7,IF(J155="stories",7,IF(J155="course material",7,IF(J155="autobiographical",7,IF(J155="novels",7,IF(J155="public events",7,"99"))))))))))))))))))))))))))))))))))))))))))))))</f>
        <v>5</v>
      </c>
      <c r="M155" s="99">
        <v>1</v>
      </c>
      <c r="N155" s="99">
        <v>4</v>
      </c>
      <c r="O155" s="99">
        <v>0</v>
      </c>
      <c r="P155" s="99"/>
      <c r="Q155" s="69" t="s">
        <v>174</v>
      </c>
      <c r="R155" s="69">
        <f>IF(Q155="Free Recall",1,IF(Q155="Cued Recall",2,IF(Q155="Recognition",3,IF(Q155="Multiple Choice",4,IF(Q155="Savings",5,IF(Q155="Stem Completion",6,IF(Q155="Fragment Completion",7,IF(Q155="anagram solution",8,IF(Q155="Matching",9,IF(Q155="Problem Solving",10,"99"))))))))))</f>
        <v>1</v>
      </c>
      <c r="S155" s="99" t="s">
        <v>49</v>
      </c>
      <c r="T155" s="99" t="s">
        <v>261</v>
      </c>
      <c r="U155" s="69">
        <f>IF(T155="within",1,0)</f>
        <v>0</v>
      </c>
      <c r="V155" s="99">
        <v>32</v>
      </c>
      <c r="W155" s="69">
        <f>F155*V155</f>
        <v>43328</v>
      </c>
      <c r="X155" s="99">
        <v>4</v>
      </c>
      <c r="Y155" s="87">
        <f>AV154</f>
        <v>604800</v>
      </c>
      <c r="Z155" s="99" t="s">
        <v>177</v>
      </c>
      <c r="AA155" s="99">
        <v>30240000</v>
      </c>
      <c r="AB155" s="69" t="str">
        <f>IF(AA155&lt;60,"1",IF(AA155&lt;=43200,"2",IF(AA155&lt;=777600,"3","4")))</f>
        <v>4</v>
      </c>
      <c r="AC155" s="72">
        <f>AVERAGE(AV154:DA154)</f>
        <v>9979200</v>
      </c>
      <c r="AD155" s="69" t="str">
        <f>IF(AC155&lt;60,"1",IF(AC155&lt;=43200,"2",IF(AC155&lt;=777600,"3","4")))</f>
        <v>4</v>
      </c>
      <c r="AE155" s="87">
        <f>AA155-Y155</f>
        <v>29635200</v>
      </c>
      <c r="AF155" s="88">
        <f>AV155</f>
        <v>0.94</v>
      </c>
      <c r="AG155" s="72">
        <f>((AW155-AV155)+(AX155-AW155)+(AY155-AX155))/3</f>
        <v>-0.23666666666666666</v>
      </c>
      <c r="AH155" s="4"/>
      <c r="AI155" s="72">
        <f>RSQ(AV155:AY155,AV154:AY154)</f>
        <v>0.91173400313906006</v>
      </c>
      <c r="AJ155" s="110">
        <f>SLOPE(AV155:AY155,AV154:AY154)</f>
        <v>-2.1052572695383367E-8</v>
      </c>
      <c r="AK155" s="72">
        <f>INTERCEPT(AV155:AY155,AV154:AY154)</f>
        <v>0.84508783344176974</v>
      </c>
      <c r="AL155" s="72">
        <f>INDEX(LINEST(LN(AV155:AY155),LN(AV154:AY154),TRUE,TRUE),3,1)</f>
        <v>0.87429094548962816</v>
      </c>
      <c r="AM155" s="72">
        <f>INDEX(LINEST(LN(AV155:AY155),LN(AV154:AY154)),1)</f>
        <v>-0.3585661426719528</v>
      </c>
      <c r="AN155" s="72">
        <f>EXP(INDEX(LINEST(LN(AV155:AY155),LN(AV154:AY154)),1,2))</f>
        <v>134.25688760632858</v>
      </c>
      <c r="AO155" s="89">
        <f>INDEX(LINEST((AV155:AY155),LN(AV154:AY154),TRUE,TRUE),3,1)</f>
        <v>0.96237140514587072</v>
      </c>
      <c r="AP155" s="89">
        <f>INDEX(LINEST((AV155:AY155),LN(AV154:AY154)),1)</f>
        <v>-0.18255445934357042</v>
      </c>
      <c r="AQ155" s="90">
        <f>INDEX(LINEST(LN(AV155:AY155),SQRT(AV154:AY154),TRUE,TRUE),3,1)</f>
        <v>0.9959813128129722</v>
      </c>
      <c r="AR155" s="117">
        <f>INDEX(LINEST(LN(AV155:AY155),SQRT((AV154:AY154))),1)</f>
        <v>-3.0427458693928124E-4</v>
      </c>
      <c r="AS155" s="91">
        <f>INDEX(LINEST(1/(AV155:AY155),1/(SQRT(AV154:AY154)),TRUE,TRUE),3,1)</f>
        <v>0.50063213941419626</v>
      </c>
      <c r="AT155" s="91">
        <f>INDEX(LINEST(1/(AV155:AY155),1/SQRT(AV154:AY154)),1)</f>
        <v>-2258.1419281121475</v>
      </c>
      <c r="AU155" s="4"/>
      <c r="AV155" s="101">
        <v>0.94</v>
      </c>
      <c r="AW155" s="101">
        <v>0.76</v>
      </c>
      <c r="AX155" s="101">
        <v>0.61</v>
      </c>
      <c r="AY155" s="101">
        <v>0.23</v>
      </c>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7"/>
      <c r="CS155" s="17"/>
      <c r="CT155" s="17"/>
      <c r="CU155" s="17"/>
    </row>
    <row r="156" spans="1:99" s="19" customFormat="1" ht="12" customHeight="1" x14ac:dyDescent="0.2">
      <c r="A156" s="68">
        <v>43509</v>
      </c>
      <c r="B156" s="100"/>
      <c r="C156" s="100"/>
      <c r="D156" s="99"/>
      <c r="E156" s="106"/>
      <c r="F156" s="99"/>
      <c r="G156" s="99"/>
      <c r="H156" s="99"/>
      <c r="I156" s="99"/>
      <c r="J156" s="99"/>
      <c r="K156" s="107"/>
      <c r="L156" s="107"/>
      <c r="M156" s="99"/>
      <c r="N156" s="99"/>
      <c r="O156" s="99"/>
      <c r="P156" s="99"/>
      <c r="Q156" s="99"/>
      <c r="R156" s="69"/>
      <c r="S156" s="99"/>
      <c r="T156" s="99"/>
      <c r="U156" s="69"/>
      <c r="V156" s="99"/>
      <c r="W156" s="69"/>
      <c r="X156" s="99"/>
      <c r="Y156" s="87"/>
      <c r="Z156" s="99"/>
      <c r="AA156" s="99"/>
      <c r="AB156" s="69"/>
      <c r="AC156" s="69"/>
      <c r="AD156" s="69"/>
      <c r="AE156" s="69"/>
      <c r="AF156" s="88"/>
      <c r="AG156" s="72"/>
      <c r="AH156" s="4"/>
      <c r="AI156" s="123"/>
      <c r="AJ156" s="124"/>
      <c r="AK156" s="123"/>
      <c r="AL156" s="123"/>
      <c r="AM156" s="123"/>
      <c r="AN156" s="123"/>
      <c r="AO156" s="123"/>
      <c r="AP156" s="123"/>
      <c r="AQ156" s="72"/>
      <c r="AR156" s="110"/>
      <c r="AS156" s="72"/>
      <c r="AT156" s="72"/>
      <c r="AU156" s="4"/>
      <c r="AV156" s="71">
        <f>24*3600*7</f>
        <v>604800</v>
      </c>
      <c r="AW156" s="71">
        <f>24*3600*35</f>
        <v>3024000</v>
      </c>
      <c r="AX156" s="71">
        <f>24*3600*70</f>
        <v>6048000</v>
      </c>
      <c r="AY156" s="71">
        <f>24*3600*350</f>
        <v>30240000</v>
      </c>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7"/>
      <c r="CS156" s="17"/>
      <c r="CT156" s="17"/>
      <c r="CU156" s="17"/>
    </row>
    <row r="157" spans="1:99" s="19" customFormat="1" ht="12" customHeight="1" x14ac:dyDescent="0.2">
      <c r="A157" s="68">
        <v>43509</v>
      </c>
      <c r="B157" s="100" t="s">
        <v>176</v>
      </c>
      <c r="C157" s="100" t="s">
        <v>95</v>
      </c>
      <c r="D157" s="99">
        <v>2008</v>
      </c>
      <c r="E157" s="106">
        <v>1</v>
      </c>
      <c r="F157" s="99">
        <v>1354</v>
      </c>
      <c r="G157" s="99">
        <v>52.1</v>
      </c>
      <c r="H157" s="99" t="s">
        <v>32</v>
      </c>
      <c r="I157" s="99" t="s">
        <v>656</v>
      </c>
      <c r="J157" s="69" t="s">
        <v>475</v>
      </c>
      <c r="K157" s="69">
        <f>IF(J157="syllables",1,IF(J157="trigrams",2,IF(J157="strings",3,IF(J157="visual array",4,IF(J157="characters",5,IF(J157="letters",6,IF(J157="free forms",7,IF(J157="odors",8,IF(J157="words",9,IF(J157="pictures",10,IF(J157="object pictures",11,IF(J157="faces",12,IF(J157="names",13,IF(J157="idioms",14,IF(J157="grades",15,IF(J157="syllable-digit pairs",16,IF(J157="trigram-word pairs",17,IF(J157="word-digit pairs",18,IF(J157="English-Swahili pairs",19,IF(J157="spatial position",20,IF(J157="word pairs",21,IF(J157="word triads",22,IF(J157="generated words",23,IF(J157="word definition pairs",24,IF(J157="math problems",25,IF(J157="famous faces",26,IF(J157="famous names",27,IF(J157="famous voices",28,IF(J157="television programs",29,IF(J157="race horses",30,IF(J157="new vocabulary",31,IF(J157="sentences",32,IF(J157="concepts",33,IF(J157="ad slides",34,IF(J157="scenes",35,IF(J157="famous scenes",36,IF(J157="poems",37,IF(J157="walk",38,IF(J157="faces and events",39,IF(J157="events and names",40,IF(J157="flashbulb",41,IF(J157="stories",42,IF(J157="course material",43,IF(J157="autobiographical",44,IF(J157="novels",45,IF(J157="public events",46,"99"))))))))))))))))))))))))))))))))))))))))))))))</f>
        <v>32</v>
      </c>
      <c r="L157" s="69">
        <f>IF(J157="syllables",1,IF(J157="trigrams",1,IF(J157="strings",1,IF(J157="visual array",1,IF(J157="characters",1,IF(J157="letters",1,IF(J157="free forms",1,IF(J157="odors",2,IF(J157="words",2,IF(J157="pictures",2,IF(J157="object pictures",2,IF(J157="faces",2,IF(J157="names",2,IF(J157="idioms","2",IF(J157="grades",2,IF(J157="syllable-digit pairs",3,IF(J157="trigram-word pairs",3,IF(J157="word-digit pairs",3,IF(J157="English-Swahili pairs",3,IF(J157="spatial position",3,IF(J157="word pairs",4,IF(J157="word triads",4,IF(J157="generated words",4,IF(J157="word definition pairs",4,IF(J157="math problems",4,IF(J157="famous faces",4,IF(J157="famous names",4,IF(J157="famous voices",4,IF(J157="television programs",4,IF(J157="race horses",4,IF(J157="new vocabulary",4,IF(J157="sentences",5,IF(J157="concepts",5,IF(J157="ad slides",5,IF(J157="scenes",5,IF(J157="famous scenes",5,IF(J157="poems",6,IF(J157="walk",6,IF(J157="faces and events",6,IF(J157="events and names",6,IF(J157="flashbulb",7,IF(J157="stories",7,IF(J157="course material",7,IF(J157="autobiographical",7,IF(J157="novels",7,IF(J157="public events",7,"99"))))))))))))))))))))))))))))))))))))))))))))))</f>
        <v>5</v>
      </c>
      <c r="M157" s="99">
        <v>1</v>
      </c>
      <c r="N157" s="99">
        <v>4</v>
      </c>
      <c r="O157" s="99">
        <v>0</v>
      </c>
      <c r="P157" s="99"/>
      <c r="Q157" s="69" t="s">
        <v>174</v>
      </c>
      <c r="R157" s="69">
        <f>IF(Q157="Free Recall",1,IF(Q157="Cued Recall",2,IF(Q157="Recognition",3,IF(Q157="Multiple Choice",4,IF(Q157="Savings",5,IF(Q157="Stem Completion",6,IF(Q157="Fragment Completion",7,IF(Q157="anagram solution",8,IF(Q157="Matching",9,IF(Q157="Problem Solving",10,"99"))))))))))</f>
        <v>1</v>
      </c>
      <c r="S157" s="99" t="s">
        <v>49</v>
      </c>
      <c r="T157" s="99" t="s">
        <v>261</v>
      </c>
      <c r="U157" s="69">
        <f>IF(T157="within",1,0)</f>
        <v>0</v>
      </c>
      <c r="V157" s="99">
        <v>32</v>
      </c>
      <c r="W157" s="69">
        <f>F157*V157</f>
        <v>43328</v>
      </c>
      <c r="X157" s="99">
        <v>4</v>
      </c>
      <c r="Y157" s="87">
        <f>AV156</f>
        <v>604800</v>
      </c>
      <c r="Z157" s="99" t="s">
        <v>177</v>
      </c>
      <c r="AA157" s="99">
        <v>30240000</v>
      </c>
      <c r="AB157" s="69" t="str">
        <f>IF(AA157&lt;60,"1",IF(AA157&lt;=43200,"2",IF(AA157&lt;=777600,"3","4")))</f>
        <v>4</v>
      </c>
      <c r="AC157" s="72">
        <f>AVERAGE(AV156:DA156)</f>
        <v>9979200</v>
      </c>
      <c r="AD157" s="69" t="str">
        <f>IF(AC157&lt;60,"1",IF(AC157&lt;=43200,"2",IF(AC157&lt;=777600,"3","4")))</f>
        <v>4</v>
      </c>
      <c r="AE157" s="87">
        <f>AA157-Y157</f>
        <v>29635200</v>
      </c>
      <c r="AF157" s="88">
        <f>AV157</f>
        <v>0.81</v>
      </c>
      <c r="AG157" s="72">
        <f>((AW157-AV157)+(AX157-AW157)+(AY157-AX157))/3</f>
        <v>-0.22333333333333336</v>
      </c>
      <c r="AH157" s="4"/>
      <c r="AI157" s="72">
        <f>RSQ(AV157:AY157,AV156:AY156)</f>
        <v>0.82330934284210855</v>
      </c>
      <c r="AJ157" s="110">
        <f>SLOPE(AV157:AY157,AV156:AY156)</f>
        <v>-1.8820376050369545E-8</v>
      </c>
      <c r="AK157" s="72">
        <f>INTERCEPT(AV157:AY157,AV156:AY156)</f>
        <v>0.68031229668184778</v>
      </c>
      <c r="AL157" s="72">
        <f>INDEX(LINEST(LN(AV157:AY157),LN(AV156:AY156),TRUE,TRUE),3,1)</f>
        <v>0.90904764807496408</v>
      </c>
      <c r="AM157" s="72">
        <f>INDEX(LINEST(LN(AV157:AY157),LN(AV156:AY156)),1)</f>
        <v>-0.45072171241934289</v>
      </c>
      <c r="AN157" s="72">
        <f>EXP(INDEX(LINEST(LN(AV157:AY157),LN(AV156:AY156)),1,2))</f>
        <v>400.66619051836255</v>
      </c>
      <c r="AO157" s="89">
        <f>INDEX(LINEST((AV157:AY157),LN(AV156:AY156),TRUE,TRUE),3,1)</f>
        <v>0.98740724048619621</v>
      </c>
      <c r="AP157" s="89">
        <f>INDEX(LINEST((AV157:AY157),LN(AV156:AY156)),1)</f>
        <v>-0.17395820592643071</v>
      </c>
      <c r="AQ157" s="90">
        <f>INDEX(LINEST(LN(AV157:AY157),SQRT(AV156:AY156),TRUE,TRUE),3,1)</f>
        <v>0.99776074022813988</v>
      </c>
      <c r="AR157" s="117">
        <f>INDEX(LINEST(LN(AV157:AY157),SQRT((AV156:AY156))),1)</f>
        <v>-3.7542843166492036E-4</v>
      </c>
      <c r="AS157" s="91">
        <f>INDEX(LINEST(1/(AV157:AY157),1/(SQRT(AV156:AY156)),TRUE,TRUE),3,1)</f>
        <v>0.51113303535761356</v>
      </c>
      <c r="AT157" s="91">
        <f>INDEX(LINEST(1/(AV157:AY157),1/SQRT(AV156:AY156)),1)</f>
        <v>-4094.9404237336698</v>
      </c>
      <c r="AU157" s="4"/>
      <c r="AV157" s="101">
        <v>0.81</v>
      </c>
      <c r="AW157" s="101">
        <v>0.6</v>
      </c>
      <c r="AX157" s="101">
        <v>0.42</v>
      </c>
      <c r="AY157" s="101">
        <v>0.14000000000000001</v>
      </c>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7"/>
      <c r="CS157" s="17"/>
      <c r="CT157" s="17"/>
      <c r="CU157" s="17"/>
    </row>
    <row r="158" spans="1:99" s="19" customFormat="1" ht="12" customHeight="1" x14ac:dyDescent="0.2">
      <c r="A158" s="68">
        <v>43509</v>
      </c>
      <c r="B158" s="100"/>
      <c r="C158" s="100"/>
      <c r="D158" s="99"/>
      <c r="E158" s="106"/>
      <c r="F158" s="99"/>
      <c r="G158" s="99"/>
      <c r="H158" s="99"/>
      <c r="I158" s="99"/>
      <c r="J158" s="99"/>
      <c r="K158" s="107"/>
      <c r="L158" s="107"/>
      <c r="M158" s="99"/>
      <c r="N158" s="99"/>
      <c r="O158" s="99"/>
      <c r="P158" s="99"/>
      <c r="Q158" s="99"/>
      <c r="R158" s="69"/>
      <c r="S158" s="99"/>
      <c r="T158" s="99"/>
      <c r="U158" s="69"/>
      <c r="V158" s="99"/>
      <c r="W158" s="69"/>
      <c r="X158" s="99"/>
      <c r="Y158" s="87"/>
      <c r="Z158" s="99"/>
      <c r="AA158" s="99"/>
      <c r="AB158" s="69"/>
      <c r="AC158" s="69"/>
      <c r="AD158" s="69"/>
      <c r="AE158" s="69"/>
      <c r="AF158" s="88"/>
      <c r="AG158" s="72"/>
      <c r="AH158" s="4"/>
      <c r="AI158" s="123"/>
      <c r="AJ158" s="124"/>
      <c r="AK158" s="123"/>
      <c r="AL158" s="123"/>
      <c r="AM158" s="123"/>
      <c r="AN158" s="123"/>
      <c r="AO158" s="123"/>
      <c r="AP158" s="123"/>
      <c r="AQ158" s="72"/>
      <c r="AR158" s="110"/>
      <c r="AS158" s="72"/>
      <c r="AT158" s="72"/>
      <c r="AU158" s="4"/>
      <c r="AV158" s="71">
        <f>24*3600*7</f>
        <v>604800</v>
      </c>
      <c r="AW158" s="71">
        <f>24*3600*35</f>
        <v>3024000</v>
      </c>
      <c r="AX158" s="71">
        <f>24*3600*70</f>
        <v>6048000</v>
      </c>
      <c r="AY158" s="71">
        <f>24*3600*350</f>
        <v>30240000</v>
      </c>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7"/>
      <c r="CS158" s="17"/>
      <c r="CT158" s="17"/>
      <c r="CU158" s="17"/>
    </row>
    <row r="159" spans="1:99" s="19" customFormat="1" ht="12" customHeight="1" x14ac:dyDescent="0.2">
      <c r="A159" s="68">
        <v>43509</v>
      </c>
      <c r="B159" s="100" t="s">
        <v>176</v>
      </c>
      <c r="C159" s="100" t="s">
        <v>95</v>
      </c>
      <c r="D159" s="99">
        <v>2008</v>
      </c>
      <c r="E159" s="106">
        <v>1</v>
      </c>
      <c r="F159" s="99">
        <v>1354</v>
      </c>
      <c r="G159" s="99">
        <v>52.1</v>
      </c>
      <c r="H159" s="99" t="s">
        <v>32</v>
      </c>
      <c r="I159" s="99" t="s">
        <v>657</v>
      </c>
      <c r="J159" s="69" t="s">
        <v>475</v>
      </c>
      <c r="K159" s="69">
        <f>IF(J159="syllables",1,IF(J159="trigrams",2,IF(J159="strings",3,IF(J159="visual array",4,IF(J159="characters",5,IF(J159="letters",6,IF(J159="free forms",7,IF(J159="odors",8,IF(J159="words",9,IF(J159="pictures",10,IF(J159="object pictures",11,IF(J159="faces",12,IF(J159="names",13,IF(J159="idioms",14,IF(J159="grades",15,IF(J159="syllable-digit pairs",16,IF(J159="trigram-word pairs",17,IF(J159="word-digit pairs",18,IF(J159="English-Swahili pairs",19,IF(J159="spatial position",20,IF(J159="word pairs",21,IF(J159="word triads",22,IF(J159="generated words",23,IF(J159="word definition pairs",24,IF(J159="math problems",25,IF(J159="famous faces",26,IF(J159="famous names",27,IF(J159="famous voices",28,IF(J159="television programs",29,IF(J159="race horses",30,IF(J159="new vocabulary",31,IF(J159="sentences",32,IF(J159="concepts",33,IF(J159="ad slides",34,IF(J159="scenes",35,IF(J159="famous scenes",36,IF(J159="poems",37,IF(J159="walk",38,IF(J159="faces and events",39,IF(J159="events and names",40,IF(J159="flashbulb",41,IF(J159="stories",42,IF(J159="course material",43,IF(J159="autobiographical",44,IF(J159="novels",45,IF(J159="public events",46,"99"))))))))))))))))))))))))))))))))))))))))))))))</f>
        <v>32</v>
      </c>
      <c r="L159" s="69">
        <f>IF(J159="syllables",1,IF(J159="trigrams",1,IF(J159="strings",1,IF(J159="visual array",1,IF(J159="characters",1,IF(J159="letters",1,IF(J159="free forms",1,IF(J159="odors",2,IF(J159="words",2,IF(J159="pictures",2,IF(J159="object pictures",2,IF(J159="faces",2,IF(J159="names",2,IF(J159="idioms","2",IF(J159="grades",2,IF(J159="syllable-digit pairs",3,IF(J159="trigram-word pairs",3,IF(J159="word-digit pairs",3,IF(J159="English-Swahili pairs",3,IF(J159="spatial position",3,IF(J159="word pairs",4,IF(J159="word triads",4,IF(J159="generated words",4,IF(J159="word definition pairs",4,IF(J159="math problems",4,IF(J159="famous faces",4,IF(J159="famous names",4,IF(J159="famous voices",4,IF(J159="television programs",4,IF(J159="race horses",4,IF(J159="new vocabulary",4,IF(J159="sentences",5,IF(J159="concepts",5,IF(J159="ad slides",5,IF(J159="scenes",5,IF(J159="famous scenes",5,IF(J159="poems",6,IF(J159="walk",6,IF(J159="faces and events",6,IF(J159="events and names",6,IF(J159="flashbulb",7,IF(J159="stories",7,IF(J159="course material",7,IF(J159="autobiographical",7,IF(J159="novels",7,IF(J159="public events",7,"99"))))))))))))))))))))))))))))))))))))))))))))))</f>
        <v>5</v>
      </c>
      <c r="M159" s="99">
        <v>1</v>
      </c>
      <c r="N159" s="99">
        <v>4</v>
      </c>
      <c r="O159" s="99">
        <v>0</v>
      </c>
      <c r="P159" s="99"/>
      <c r="Q159" s="99" t="s">
        <v>34</v>
      </c>
      <c r="R159" s="69">
        <f>IF(Q159="Free Recall",1,IF(Q159="Cued Recall",2,IF(Q159="Recognition",3,IF(Q159="Multiple Choice",4,IF(Q159="Savings",5,IF(Q159="Stem Completion",6,IF(Q159="Fragment Completion",7,IF(Q159="anagram solution",8,IF(Q159="Matching",9,IF(Q159="Problem Solving",10,"99"))))))))))</f>
        <v>3</v>
      </c>
      <c r="S159" s="99" t="s">
        <v>15</v>
      </c>
      <c r="T159" s="99" t="s">
        <v>261</v>
      </c>
      <c r="U159" s="69">
        <f>IF(T159="within",1,0)</f>
        <v>0</v>
      </c>
      <c r="V159" s="99">
        <v>32</v>
      </c>
      <c r="W159" s="69">
        <f>F159*V159</f>
        <v>43328</v>
      </c>
      <c r="X159" s="99">
        <v>4</v>
      </c>
      <c r="Y159" s="87">
        <f>AV158</f>
        <v>604800</v>
      </c>
      <c r="Z159" s="99" t="s">
        <v>177</v>
      </c>
      <c r="AA159" s="99">
        <v>30240000</v>
      </c>
      <c r="AB159" s="69" t="str">
        <f>IF(AA159&lt;60,"1",IF(AA159&lt;=43200,"2",IF(AA159&lt;=777600,"3","4")))</f>
        <v>4</v>
      </c>
      <c r="AC159" s="72">
        <f>AVERAGE(AV158:DA158)</f>
        <v>9979200</v>
      </c>
      <c r="AD159" s="69" t="str">
        <f>IF(AC159&lt;60,"1",IF(AC159&lt;=43200,"2",IF(AC159&lt;=777600,"3","4")))</f>
        <v>4</v>
      </c>
      <c r="AE159" s="87">
        <f>AA159-Y159</f>
        <v>29635200</v>
      </c>
      <c r="AF159" s="88">
        <f>AV159</f>
        <v>0.99</v>
      </c>
      <c r="AG159" s="72">
        <f>((AW159-AV159)+(AX159-AW159)+(AY159-AX159))/3</f>
        <v>-0.18666666666666668</v>
      </c>
      <c r="AH159" s="4"/>
      <c r="AI159" s="72">
        <f>RSQ(AV159:AY159,AV158:AY158)</f>
        <v>0.89570261239703164</v>
      </c>
      <c r="AJ159" s="110">
        <f>SLOPE(AV159:AY159,AV158:AY158)</f>
        <v>-1.6862497547273085E-8</v>
      </c>
      <c r="AK159" s="72">
        <f>INTERCEPT(AV159:AY159,AV158:AY158)</f>
        <v>0.9207742355237476</v>
      </c>
      <c r="AL159" s="72">
        <f>INDEX(LINEST(LN(AV159:AY159),LN(AV158:AY158),TRUE,TRUE),3,1)</f>
        <v>0.90436772567678769</v>
      </c>
      <c r="AM159" s="72">
        <f>INDEX(LINEST(LN(AV159:AY159),LN(AV158:AY158)),1)</f>
        <v>-0.21610621913419623</v>
      </c>
      <c r="AN159" s="72">
        <f>EXP(INDEX(LINEST(LN(AV159:AY159),LN(AV158:AY158)),1,2))</f>
        <v>19.46401464121049</v>
      </c>
      <c r="AO159" s="89">
        <f>INDEX(LINEST((AV159:AY159),LN(AV158:AY158),TRUE,TRUE),3,1)</f>
        <v>0.9459114333779276</v>
      </c>
      <c r="AP159" s="89">
        <f>INDEX(LINEST((AV159:AY159),LN(AV158:AY158)),1)</f>
        <v>-0.14625651062634551</v>
      </c>
      <c r="AQ159" s="90">
        <f>INDEX(LINEST(LN(AV159:AY159),SQRT(AV158:AY158),TRUE,TRUE),3,1)</f>
        <v>0.99076901916536741</v>
      </c>
      <c r="AR159" s="117">
        <f>INDEX(LINEST(LN(AV159:AY159),SQRT((AV158:AY158))),1)</f>
        <v>-1.7983728783363122E-4</v>
      </c>
      <c r="AS159" s="91">
        <f>INDEX(LINEST(1/(AV159:AY159),1/(SQRT(AV158:AY158)),TRUE,TRUE),3,1)</f>
        <v>0.58998130530877113</v>
      </c>
      <c r="AT159" s="91">
        <f>INDEX(LINEST(1/(AV159:AY159),1/SQRT(AV158:AY158)),1)</f>
        <v>-956.50597605354653</v>
      </c>
      <c r="AU159" s="4"/>
      <c r="AV159" s="101">
        <v>0.99</v>
      </c>
      <c r="AW159" s="101">
        <v>0.88</v>
      </c>
      <c r="AX159" s="101">
        <v>0.71</v>
      </c>
      <c r="AY159" s="101">
        <v>0.43</v>
      </c>
      <c r="AZ159" s="18"/>
      <c r="BA159" s="18"/>
      <c r="BB159" s="18"/>
      <c r="BC159" s="18"/>
      <c r="BD159" s="18"/>
      <c r="BE159" s="18"/>
      <c r="BF159" s="18"/>
      <c r="BG159" s="18"/>
      <c r="BH159" s="18"/>
      <c r="BI159" s="18"/>
      <c r="BJ159" s="18"/>
      <c r="BK159" s="18"/>
      <c r="BL159" s="18"/>
      <c r="BM159" s="18"/>
      <c r="BN159" s="18"/>
      <c r="BO159" s="18"/>
      <c r="BP159" s="18"/>
      <c r="BQ159" s="18"/>
      <c r="BR159" s="18"/>
      <c r="BS159" s="18"/>
      <c r="BT159" s="18"/>
      <c r="BU159" s="18"/>
      <c r="BV159" s="18"/>
      <c r="BW159" s="18"/>
      <c r="BX159" s="18"/>
      <c r="BY159" s="18"/>
      <c r="BZ159" s="18"/>
      <c r="CA159" s="18"/>
      <c r="CB159" s="18"/>
      <c r="CC159" s="18"/>
      <c r="CD159" s="18"/>
      <c r="CE159" s="18"/>
      <c r="CF159" s="18"/>
      <c r="CG159" s="18"/>
      <c r="CH159" s="18"/>
      <c r="CI159" s="18"/>
      <c r="CJ159" s="18"/>
      <c r="CK159" s="18"/>
      <c r="CL159" s="18"/>
      <c r="CM159" s="18"/>
      <c r="CN159" s="18"/>
      <c r="CO159" s="18"/>
      <c r="CP159" s="18"/>
      <c r="CQ159" s="18"/>
      <c r="CR159" s="17"/>
      <c r="CS159" s="17"/>
      <c r="CT159" s="17"/>
      <c r="CU159" s="17"/>
    </row>
    <row r="160" spans="1:99" s="19" customFormat="1" ht="12" customHeight="1" x14ac:dyDescent="0.2">
      <c r="A160" s="68">
        <v>43509</v>
      </c>
      <c r="B160" s="100"/>
      <c r="C160" s="100"/>
      <c r="D160" s="99"/>
      <c r="E160" s="106"/>
      <c r="F160" s="99"/>
      <c r="G160" s="99"/>
      <c r="H160" s="99"/>
      <c r="I160" s="99"/>
      <c r="J160" s="99"/>
      <c r="K160" s="107"/>
      <c r="L160" s="107"/>
      <c r="M160" s="99"/>
      <c r="N160" s="99"/>
      <c r="O160" s="99"/>
      <c r="P160" s="99"/>
      <c r="Q160" s="99"/>
      <c r="R160" s="69"/>
      <c r="S160" s="99"/>
      <c r="T160" s="99"/>
      <c r="U160" s="69"/>
      <c r="V160" s="99"/>
      <c r="W160" s="69"/>
      <c r="X160" s="99"/>
      <c r="Y160" s="87"/>
      <c r="Z160" s="99"/>
      <c r="AA160" s="99"/>
      <c r="AB160" s="69"/>
      <c r="AC160" s="69"/>
      <c r="AD160" s="69"/>
      <c r="AE160" s="69"/>
      <c r="AF160" s="88"/>
      <c r="AG160" s="72"/>
      <c r="AH160" s="4"/>
      <c r="AI160" s="123"/>
      <c r="AJ160" s="124"/>
      <c r="AK160" s="123"/>
      <c r="AL160" s="123"/>
      <c r="AM160" s="123"/>
      <c r="AN160" s="123"/>
      <c r="AO160" s="123"/>
      <c r="AP160" s="123"/>
      <c r="AQ160" s="72"/>
      <c r="AR160" s="110"/>
      <c r="AS160" s="72"/>
      <c r="AT160" s="72"/>
      <c r="AU160" s="4"/>
      <c r="AV160" s="71">
        <f>24*3600*7</f>
        <v>604800</v>
      </c>
      <c r="AW160" s="71">
        <f>24*3600*35</f>
        <v>3024000</v>
      </c>
      <c r="AX160" s="71">
        <f>24*3600*70</f>
        <v>6048000</v>
      </c>
      <c r="AY160" s="71">
        <f>24*3600*350</f>
        <v>30240000</v>
      </c>
      <c r="AZ160" s="18"/>
      <c r="BA160" s="18"/>
      <c r="BB160" s="18"/>
      <c r="BC160" s="18"/>
      <c r="BD160" s="18"/>
      <c r="BE160" s="18"/>
      <c r="BF160" s="18"/>
      <c r="BG160" s="18"/>
      <c r="BH160" s="18"/>
      <c r="BI160" s="18"/>
      <c r="BJ160" s="18"/>
      <c r="BK160" s="18"/>
      <c r="BL160" s="18"/>
      <c r="BM160" s="18"/>
      <c r="BN160" s="18"/>
      <c r="BO160" s="18"/>
      <c r="BP160" s="18"/>
      <c r="BQ160" s="18"/>
      <c r="BR160" s="18"/>
      <c r="BS160" s="18"/>
      <c r="BT160" s="18"/>
      <c r="BU160" s="18"/>
      <c r="BV160" s="18"/>
      <c r="BW160" s="18"/>
      <c r="BX160" s="18"/>
      <c r="BY160" s="18"/>
      <c r="BZ160" s="18"/>
      <c r="CA160" s="18"/>
      <c r="CB160" s="18"/>
      <c r="CC160" s="18"/>
      <c r="CD160" s="18"/>
      <c r="CE160" s="18"/>
      <c r="CF160" s="18"/>
      <c r="CG160" s="18"/>
      <c r="CH160" s="18"/>
      <c r="CI160" s="18"/>
      <c r="CJ160" s="18"/>
      <c r="CK160" s="18"/>
      <c r="CL160" s="18"/>
      <c r="CM160" s="18"/>
      <c r="CN160" s="18"/>
      <c r="CO160" s="18"/>
      <c r="CP160" s="18"/>
      <c r="CQ160" s="18"/>
      <c r="CR160" s="17"/>
      <c r="CS160" s="17"/>
      <c r="CT160" s="17"/>
      <c r="CU160" s="17"/>
    </row>
    <row r="161" spans="1:99" s="19" customFormat="1" ht="12" customHeight="1" x14ac:dyDescent="0.2">
      <c r="A161" s="68">
        <v>43509</v>
      </c>
      <c r="B161" s="100" t="s">
        <v>176</v>
      </c>
      <c r="C161" s="100" t="s">
        <v>95</v>
      </c>
      <c r="D161" s="99">
        <v>2008</v>
      </c>
      <c r="E161" s="106">
        <v>1</v>
      </c>
      <c r="F161" s="99">
        <v>1354</v>
      </c>
      <c r="G161" s="99">
        <v>52.1</v>
      </c>
      <c r="H161" s="99" t="s">
        <v>32</v>
      </c>
      <c r="I161" s="99" t="s">
        <v>658</v>
      </c>
      <c r="J161" s="69" t="s">
        <v>475</v>
      </c>
      <c r="K161" s="69">
        <f>IF(J161="syllables",1,IF(J161="trigrams",2,IF(J161="strings",3,IF(J161="visual array",4,IF(J161="characters",5,IF(J161="letters",6,IF(J161="free forms",7,IF(J161="odors",8,IF(J161="words",9,IF(J161="pictures",10,IF(J161="object pictures",11,IF(J161="faces",12,IF(J161="names",13,IF(J161="idioms",14,IF(J161="grades",15,IF(J161="syllable-digit pairs",16,IF(J161="trigram-word pairs",17,IF(J161="word-digit pairs",18,IF(J161="English-Swahili pairs",19,IF(J161="spatial position",20,IF(J161="word pairs",21,IF(J161="word triads",22,IF(J161="generated words",23,IF(J161="word definition pairs",24,IF(J161="math problems",25,IF(J161="famous faces",26,IF(J161="famous names",27,IF(J161="famous voices",28,IF(J161="television programs",29,IF(J161="race horses",30,IF(J161="new vocabulary",31,IF(J161="sentences",32,IF(J161="concepts",33,IF(J161="ad slides",34,IF(J161="scenes",35,IF(J161="famous scenes",36,IF(J161="poems",37,IF(J161="walk",38,IF(J161="faces and events",39,IF(J161="events and names",40,IF(J161="flashbulb",41,IF(J161="stories",42,IF(J161="course material",43,IF(J161="autobiographical",44,IF(J161="novels",45,IF(J161="public events",46,"99"))))))))))))))))))))))))))))))))))))))))))))))</f>
        <v>32</v>
      </c>
      <c r="L161" s="69">
        <f>IF(J161="syllables",1,IF(J161="trigrams",1,IF(J161="strings",1,IF(J161="visual array",1,IF(J161="characters",1,IF(J161="letters",1,IF(J161="free forms",1,IF(J161="odors",2,IF(J161="words",2,IF(J161="pictures",2,IF(J161="object pictures",2,IF(J161="faces",2,IF(J161="names",2,IF(J161="idioms","2",IF(J161="grades",2,IF(J161="syllable-digit pairs",3,IF(J161="trigram-word pairs",3,IF(J161="word-digit pairs",3,IF(J161="English-Swahili pairs",3,IF(J161="spatial position",3,IF(J161="word pairs",4,IF(J161="word triads",4,IF(J161="generated words",4,IF(J161="word definition pairs",4,IF(J161="math problems",4,IF(J161="famous faces",4,IF(J161="famous names",4,IF(J161="famous voices",4,IF(J161="television programs",4,IF(J161="race horses",4,IF(J161="new vocabulary",4,IF(J161="sentences",5,IF(J161="concepts",5,IF(J161="ad slides",5,IF(J161="scenes",5,IF(J161="famous scenes",5,IF(J161="poems",6,IF(J161="walk",6,IF(J161="faces and events",6,IF(J161="events and names",6,IF(J161="flashbulb",7,IF(J161="stories",7,IF(J161="course material",7,IF(J161="autobiographical",7,IF(J161="novels",7,IF(J161="public events",7,"99"))))))))))))))))))))))))))))))))))))))))))))))</f>
        <v>5</v>
      </c>
      <c r="M161" s="99">
        <v>1</v>
      </c>
      <c r="N161" s="99">
        <v>4</v>
      </c>
      <c r="O161" s="99">
        <v>0</v>
      </c>
      <c r="P161" s="99"/>
      <c r="Q161" s="99" t="s">
        <v>34</v>
      </c>
      <c r="R161" s="69">
        <f>IF(Q161="Free Recall",1,IF(Q161="Cued Recall",2,IF(Q161="Recognition",3,IF(Q161="Multiple Choice",4,IF(Q161="Savings",5,IF(Q161="Stem Completion",6,IF(Q161="Fragment Completion",7,IF(Q161="anagram solution",8,IF(Q161="Matching",9,IF(Q161="Problem Solving",10,"99"))))))))))</f>
        <v>3</v>
      </c>
      <c r="S161" s="99" t="s">
        <v>15</v>
      </c>
      <c r="T161" s="99" t="s">
        <v>261</v>
      </c>
      <c r="U161" s="69">
        <f>IF(T161="within",1,0)</f>
        <v>0</v>
      </c>
      <c r="V161" s="99">
        <v>32</v>
      </c>
      <c r="W161" s="69">
        <f>F161*V161</f>
        <v>43328</v>
      </c>
      <c r="X161" s="99">
        <v>4</v>
      </c>
      <c r="Y161" s="87">
        <f>AV160</f>
        <v>604800</v>
      </c>
      <c r="Z161" s="99" t="s">
        <v>177</v>
      </c>
      <c r="AA161" s="99">
        <v>30240000</v>
      </c>
      <c r="AB161" s="69" t="str">
        <f>IF(AA161&lt;60,"1",IF(AA161&lt;=43200,"2",IF(AA161&lt;=777600,"3","4")))</f>
        <v>4</v>
      </c>
      <c r="AC161" s="72">
        <f>AVERAGE(AV160:DA160)</f>
        <v>9979200</v>
      </c>
      <c r="AD161" s="69" t="str">
        <f>IF(AC161&lt;60,"1",IF(AC161&lt;=43200,"2",IF(AC161&lt;=777600,"3","4")))</f>
        <v>4</v>
      </c>
      <c r="AE161" s="87">
        <f>AA161-Y161</f>
        <v>29635200</v>
      </c>
      <c r="AF161" s="88">
        <f>AV161</f>
        <v>0.99</v>
      </c>
      <c r="AG161" s="72">
        <f>((AW161-AV161)+(AX161-AW161)+(AY161-AX161))/3</f>
        <v>-0.17666666666666667</v>
      </c>
      <c r="AH161" s="4"/>
      <c r="AI161" s="72">
        <f>RSQ(AV161:AY161,AV160:AY160)</f>
        <v>0.97729212379267472</v>
      </c>
      <c r="AJ161" s="110">
        <f>SLOPE(AV161:AY161,AV160:AY160)</f>
        <v>-1.7416512618204224E-8</v>
      </c>
      <c r="AK161" s="72">
        <f>INTERCEPT(AV161:AY161,AV160:AY160)</f>
        <v>0.9788028627195835</v>
      </c>
      <c r="AL161" s="72">
        <f>INDEX(LINEST(LN(AV161:AY161),LN(AV160:AY160),TRUE,TRUE),3,1)</f>
        <v>0.8085329128926475</v>
      </c>
      <c r="AM161" s="72">
        <f>INDEX(LINEST(LN(AV161:AY161),LN(AV160:AY160)),1)</f>
        <v>-0.19642734384411326</v>
      </c>
      <c r="AN161" s="72">
        <f>EXP(INDEX(LINEST(LN(AV161:AY161),LN(AV160:AY160)),1,2))</f>
        <v>15.488570937903619</v>
      </c>
      <c r="AO161" s="89">
        <f>INDEX(LINEST((AV161:AY161),LN(AV160:AY160),TRUE,TRUE),3,1)</f>
        <v>0.84967615320782863</v>
      </c>
      <c r="AP161" s="89">
        <f>INDEX(LINEST((AV161:AY161),LN(AV160:AY160)),1)</f>
        <v>-0.13706472704798339</v>
      </c>
      <c r="AQ161" s="90">
        <f>INDEX(LINEST(LN(AV161:AY161),SQRT(AV160:AY160),TRUE,TRUE),3,1)</f>
        <v>0.97518234680746485</v>
      </c>
      <c r="AR161" s="117">
        <f>INDEX(LINEST(LN(AV161:AY161),SQRT((AV160:AY160))),1)</f>
        <v>-1.7151211614970798E-4</v>
      </c>
      <c r="AS161" s="91">
        <f>INDEX(LINEST(1/(AV161:AY161),1/(SQRT(AV160:AY160)),TRUE,TRUE),3,1)</f>
        <v>0.48518323119499701</v>
      </c>
      <c r="AT161" s="91">
        <f>INDEX(LINEST(1/(AV161:AY161),1/SQRT(AV160:AY160)),1)</f>
        <v>-799.35003208564319</v>
      </c>
      <c r="AU161" s="4"/>
      <c r="AV161" s="101">
        <v>0.99</v>
      </c>
      <c r="AW161" s="101">
        <v>0.95</v>
      </c>
      <c r="AX161" s="101">
        <v>0.82</v>
      </c>
      <c r="AY161" s="101">
        <v>0.46</v>
      </c>
      <c r="AZ161" s="18"/>
      <c r="BA161" s="18"/>
      <c r="BB161" s="18"/>
      <c r="BC161" s="18"/>
      <c r="BD161" s="18"/>
      <c r="BE161" s="18"/>
      <c r="BF161" s="18"/>
      <c r="BG161" s="18"/>
      <c r="BH161" s="18"/>
      <c r="BI161" s="18"/>
      <c r="BJ161" s="18"/>
      <c r="BK161" s="18"/>
      <c r="BL161" s="18"/>
      <c r="BM161" s="18"/>
      <c r="BN161" s="18"/>
      <c r="BO161" s="18"/>
      <c r="BP161" s="18"/>
      <c r="BQ161" s="18"/>
      <c r="BR161" s="18"/>
      <c r="BS161" s="18"/>
      <c r="BT161" s="18"/>
      <c r="BU161" s="18"/>
      <c r="BV161" s="18"/>
      <c r="BW161" s="18"/>
      <c r="BX161" s="18"/>
      <c r="BY161" s="18"/>
      <c r="BZ161" s="18"/>
      <c r="CA161" s="18"/>
      <c r="CB161" s="18"/>
      <c r="CC161" s="18"/>
      <c r="CD161" s="18"/>
      <c r="CE161" s="18"/>
      <c r="CF161" s="18"/>
      <c r="CG161" s="18"/>
      <c r="CH161" s="18"/>
      <c r="CI161" s="18"/>
      <c r="CJ161" s="18"/>
      <c r="CK161" s="18"/>
      <c r="CL161" s="18"/>
      <c r="CM161" s="18"/>
      <c r="CN161" s="18"/>
      <c r="CO161" s="18"/>
      <c r="CP161" s="18"/>
      <c r="CQ161" s="18"/>
      <c r="CR161" s="17"/>
      <c r="CS161" s="17"/>
      <c r="CT161" s="17"/>
      <c r="CU161" s="17"/>
    </row>
    <row r="162" spans="1:99" s="19" customFormat="1" ht="12" customHeight="1" x14ac:dyDescent="0.2">
      <c r="A162" s="68">
        <v>43509</v>
      </c>
      <c r="B162" s="100"/>
      <c r="C162" s="100"/>
      <c r="D162" s="99"/>
      <c r="E162" s="106"/>
      <c r="F162" s="99"/>
      <c r="G162" s="99"/>
      <c r="H162" s="99"/>
      <c r="I162" s="99"/>
      <c r="J162" s="99"/>
      <c r="K162" s="107"/>
      <c r="L162" s="107"/>
      <c r="M162" s="99"/>
      <c r="N162" s="99"/>
      <c r="O162" s="99"/>
      <c r="P162" s="99"/>
      <c r="Q162" s="99"/>
      <c r="R162" s="69"/>
      <c r="S162" s="99"/>
      <c r="T162" s="99"/>
      <c r="U162" s="69"/>
      <c r="V162" s="99"/>
      <c r="W162" s="69"/>
      <c r="X162" s="99"/>
      <c r="Y162" s="87"/>
      <c r="Z162" s="99"/>
      <c r="AA162" s="99"/>
      <c r="AB162" s="69"/>
      <c r="AC162" s="69"/>
      <c r="AD162" s="69"/>
      <c r="AE162" s="69"/>
      <c r="AF162" s="88"/>
      <c r="AG162" s="72"/>
      <c r="AH162" s="4"/>
      <c r="AI162" s="123"/>
      <c r="AJ162" s="124"/>
      <c r="AK162" s="123"/>
      <c r="AL162" s="123"/>
      <c r="AM162" s="123"/>
      <c r="AN162" s="123"/>
      <c r="AO162" s="123"/>
      <c r="AP162" s="123"/>
      <c r="AQ162" s="72"/>
      <c r="AR162" s="110"/>
      <c r="AS162" s="72"/>
      <c r="AT162" s="72"/>
      <c r="AU162" s="4"/>
      <c r="AV162" s="71">
        <f>24*3600*7</f>
        <v>604800</v>
      </c>
      <c r="AW162" s="71">
        <f>24*3600*35</f>
        <v>3024000</v>
      </c>
      <c r="AX162" s="71">
        <f>24*3600*70</f>
        <v>6048000</v>
      </c>
      <c r="AY162" s="71">
        <f>24*3600*350</f>
        <v>30240000</v>
      </c>
      <c r="AZ162" s="18"/>
      <c r="BA162" s="18"/>
      <c r="BB162" s="18"/>
      <c r="BC162" s="18"/>
      <c r="BD162" s="18"/>
      <c r="BE162" s="18"/>
      <c r="BF162" s="18"/>
      <c r="BG162" s="18"/>
      <c r="BH162" s="18"/>
      <c r="BI162" s="18"/>
      <c r="BJ162" s="18"/>
      <c r="BK162" s="18"/>
      <c r="BL162" s="18"/>
      <c r="BM162" s="18"/>
      <c r="BN162" s="18"/>
      <c r="BO162" s="18"/>
      <c r="BP162" s="18"/>
      <c r="BQ162" s="18"/>
      <c r="BR162" s="18"/>
      <c r="BS162" s="18"/>
      <c r="BT162" s="18"/>
      <c r="BU162" s="18"/>
      <c r="BV162" s="18"/>
      <c r="BW162" s="18"/>
      <c r="BX162" s="18"/>
      <c r="BY162" s="18"/>
      <c r="BZ162" s="18"/>
      <c r="CA162" s="18"/>
      <c r="CB162" s="18"/>
      <c r="CC162" s="18"/>
      <c r="CD162" s="18"/>
      <c r="CE162" s="18"/>
      <c r="CF162" s="18"/>
      <c r="CG162" s="18"/>
      <c r="CH162" s="18"/>
      <c r="CI162" s="18"/>
      <c r="CJ162" s="18"/>
      <c r="CK162" s="18"/>
      <c r="CL162" s="18"/>
      <c r="CM162" s="18"/>
      <c r="CN162" s="18"/>
      <c r="CO162" s="18"/>
      <c r="CP162" s="18"/>
      <c r="CQ162" s="18"/>
      <c r="CR162" s="17"/>
      <c r="CS162" s="17"/>
      <c r="CT162" s="17"/>
      <c r="CU162" s="17"/>
    </row>
    <row r="163" spans="1:99" s="13" customFormat="1" ht="12" customHeight="1" x14ac:dyDescent="0.2">
      <c r="A163" s="68">
        <v>43509</v>
      </c>
      <c r="B163" s="70" t="s">
        <v>176</v>
      </c>
      <c r="C163" s="70" t="s">
        <v>95</v>
      </c>
      <c r="D163" s="69">
        <v>2008</v>
      </c>
      <c r="E163" s="87">
        <v>1</v>
      </c>
      <c r="F163" s="69">
        <v>1354</v>
      </c>
      <c r="G163" s="99">
        <v>52.1</v>
      </c>
      <c r="H163" s="99" t="s">
        <v>32</v>
      </c>
      <c r="I163" s="69" t="s">
        <v>659</v>
      </c>
      <c r="J163" s="69" t="s">
        <v>475</v>
      </c>
      <c r="K163" s="69">
        <f>IF(J163="syllables",1,IF(J163="trigrams",2,IF(J163="strings",3,IF(J163="visual array",4,IF(J163="characters",5,IF(J163="letters",6,IF(J163="free forms",7,IF(J163="odors",8,IF(J163="words",9,IF(J163="pictures",10,IF(J163="object pictures",11,IF(J163="faces",12,IF(J163="names",13,IF(J163="idioms",14,IF(J163="grades",15,IF(J163="syllable-digit pairs",16,IF(J163="trigram-word pairs",17,IF(J163="word-digit pairs",18,IF(J163="English-Swahili pairs",19,IF(J163="spatial position",20,IF(J163="word pairs",21,IF(J163="word triads",22,IF(J163="generated words",23,IF(J163="word definition pairs",24,IF(J163="math problems",25,IF(J163="famous faces",26,IF(J163="famous names",27,IF(J163="famous voices",28,IF(J163="television programs",29,IF(J163="race horses",30,IF(J163="new vocabulary",31,IF(J163="sentences",32,IF(J163="concepts",33,IF(J163="ad slides",34,IF(J163="scenes",35,IF(J163="famous scenes",36,IF(J163="poems",37,IF(J163="walk",38,IF(J163="faces and events",39,IF(J163="events and names",40,IF(J163="flashbulb",41,IF(J163="stories",42,IF(J163="course material",43,IF(J163="autobiographical",44,IF(J163="novels",45,IF(J163="public events",46,"99"))))))))))))))))))))))))))))))))))))))))))))))</f>
        <v>32</v>
      </c>
      <c r="L163" s="69">
        <f>IF(J163="syllables",1,IF(J163="trigrams",1,IF(J163="strings",1,IF(J163="visual array",1,IF(J163="characters",1,IF(J163="letters",1,IF(J163="free forms",1,IF(J163="odors",2,IF(J163="words",2,IF(J163="pictures",2,IF(J163="object pictures",2,IF(J163="faces",2,IF(J163="names",2,IF(J163="idioms","2",IF(J163="grades",2,IF(J163="syllable-digit pairs",3,IF(J163="trigram-word pairs",3,IF(J163="word-digit pairs",3,IF(J163="English-Swahili pairs",3,IF(J163="spatial position",3,IF(J163="word pairs",4,IF(J163="word triads",4,IF(J163="generated words",4,IF(J163="word definition pairs",4,IF(J163="math problems",4,IF(J163="famous faces",4,IF(J163="famous names",4,IF(J163="famous voices",4,IF(J163="television programs",4,IF(J163="race horses",4,IF(J163="new vocabulary",4,IF(J163="sentences",5,IF(J163="concepts",5,IF(J163="ad slides",5,IF(J163="scenes",5,IF(J163="famous scenes",5,IF(J163="poems",6,IF(J163="walk",6,IF(J163="faces and events",6,IF(J163="events and names",6,IF(J163="flashbulb",7,IF(J163="stories",7,IF(J163="course material",7,IF(J163="autobiographical",7,IF(J163="novels",7,IF(J163="public events",7,"99"))))))))))))))))))))))))))))))))))))))))))))))</f>
        <v>5</v>
      </c>
      <c r="M163" s="69">
        <v>1</v>
      </c>
      <c r="N163" s="69">
        <v>4</v>
      </c>
      <c r="O163" s="69">
        <v>0</v>
      </c>
      <c r="P163" s="69"/>
      <c r="Q163" s="69" t="s">
        <v>34</v>
      </c>
      <c r="R163" s="69">
        <f>IF(Q163="Free Recall",1,IF(Q163="Cued Recall",2,IF(Q163="Recognition",3,IF(Q163="Multiple Choice",4,IF(Q163="Savings",5,IF(Q163="Stem Completion",6,IF(Q163="Fragment Completion",7,IF(Q163="anagram solution",8,IF(Q163="Matching",9,IF(Q163="Problem Solving",10,"99"))))))))))</f>
        <v>3</v>
      </c>
      <c r="S163" s="69" t="s">
        <v>15</v>
      </c>
      <c r="T163" s="69" t="s">
        <v>261</v>
      </c>
      <c r="U163" s="69">
        <f>IF(T163="within",1,0)</f>
        <v>0</v>
      </c>
      <c r="V163" s="69">
        <v>32</v>
      </c>
      <c r="W163" s="69">
        <f>F163*V163</f>
        <v>43328</v>
      </c>
      <c r="X163" s="69">
        <v>4</v>
      </c>
      <c r="Y163" s="87">
        <f>AV162</f>
        <v>604800</v>
      </c>
      <c r="Z163" s="69" t="s">
        <v>177</v>
      </c>
      <c r="AA163" s="69">
        <v>30240000</v>
      </c>
      <c r="AB163" s="69" t="str">
        <f>IF(AA163&lt;60,"1",IF(AA163&lt;=43200,"2",IF(AA163&lt;=777600,"3","4")))</f>
        <v>4</v>
      </c>
      <c r="AC163" s="72">
        <f>AVERAGE(AV162:DA162)</f>
        <v>9979200</v>
      </c>
      <c r="AD163" s="69" t="str">
        <f>IF(AC163&lt;60,"1",IF(AC163&lt;=43200,"2",IF(AC163&lt;=777600,"3","4")))</f>
        <v>4</v>
      </c>
      <c r="AE163" s="87">
        <f>AA163-Y163</f>
        <v>29635200</v>
      </c>
      <c r="AF163" s="88">
        <f>AV163</f>
        <v>1</v>
      </c>
      <c r="AG163" s="72">
        <f>((AW163-AV163)+(AX163-AW163)+(AY163-AX163))/3</f>
        <v>-0.14333333333333334</v>
      </c>
      <c r="AH163" s="4"/>
      <c r="AI163" s="72">
        <f>RSQ(AV163:AY163,AV162:AY162)</f>
        <v>0.99895030784955341</v>
      </c>
      <c r="AJ163" s="110">
        <f>SLOPE(AV163:AY163,AV162:AY162)</f>
        <v>-1.4759391792573317E-8</v>
      </c>
      <c r="AK163" s="72">
        <f>INTERCEPT(AV163:AY163,AV162:AY162)</f>
        <v>1.0172869225764476</v>
      </c>
      <c r="AL163" s="72">
        <f>INDEX(LINEST(LN(AV163:AY163),LN(AV162:AY162),TRUE,TRUE),3,1)</f>
        <v>0.73813199371681304</v>
      </c>
      <c r="AM163" s="72">
        <f>INDEX(LINEST(LN(AV163:AY163),LN(AV162:AY162)),1)</f>
        <v>-0.14161603336344145</v>
      </c>
      <c r="AN163" s="72">
        <f>EXP(INDEX(LINEST(LN(AV163:AY163),LN(AV162:AY162)),1,2))</f>
        <v>7.3784577275153209</v>
      </c>
      <c r="AO163" s="89">
        <f>INDEX(LINEST((AV163:AY163),LN(AV162:AY162),TRUE,TRUE),3,1)</f>
        <v>0.76156203420300017</v>
      </c>
      <c r="AP163" s="89">
        <f>INDEX(LINEST((AV163:AY163),LN(AV162:AY162)),1)</f>
        <v>-0.10876750158667593</v>
      </c>
      <c r="AQ163" s="90">
        <f>INDEX(LINEST(LN(AV163:AY163),SQRT(AV162:AY162),TRUE,TRUE),3,1)</f>
        <v>0.94398776399434492</v>
      </c>
      <c r="AR163" s="117">
        <f>INDEX(LINEST(LN(AV163:AY163),SQRT((AV162:AY162))),1)</f>
        <v>-1.2732901835872708E-4</v>
      </c>
      <c r="AS163" s="91">
        <f>INDEX(LINEST(1/(AV163:AY163),1/(SQRT(AV162:AY162)),TRUE,TRUE),3,1)</f>
        <v>0.4317622101058502</v>
      </c>
      <c r="AT163" s="91">
        <f>INDEX(LINEST(1/(AV163:AY163),1/SQRT(AV162:AY162)),1)</f>
        <v>-499.52618945987444</v>
      </c>
      <c r="AU163" s="4"/>
      <c r="AV163" s="73">
        <v>1</v>
      </c>
      <c r="AW163" s="73">
        <v>0.98</v>
      </c>
      <c r="AX163" s="73">
        <v>0.93</v>
      </c>
      <c r="AY163" s="73">
        <v>0.56999999999999995</v>
      </c>
      <c r="AZ163" s="53"/>
      <c r="BA163" s="53"/>
      <c r="BB163" s="53"/>
      <c r="BC163" s="53"/>
      <c r="BD163" s="53"/>
      <c r="BE163" s="53"/>
      <c r="BF163" s="53"/>
      <c r="BG163" s="53"/>
      <c r="BH163" s="53"/>
      <c r="BI163" s="53"/>
      <c r="BJ163" s="53"/>
      <c r="BK163" s="53"/>
      <c r="BL163" s="53"/>
      <c r="BM163" s="53"/>
      <c r="BN163" s="53"/>
      <c r="BO163" s="53"/>
      <c r="BP163" s="53"/>
      <c r="BQ163" s="53"/>
      <c r="BR163" s="53"/>
      <c r="BS163" s="53"/>
      <c r="BT163" s="53"/>
      <c r="BU163" s="53"/>
      <c r="BV163" s="53"/>
      <c r="BW163" s="53"/>
      <c r="BX163" s="53"/>
      <c r="BY163" s="53"/>
      <c r="BZ163" s="53"/>
      <c r="CA163" s="53"/>
      <c r="CB163" s="53"/>
      <c r="CC163" s="53"/>
      <c r="CD163" s="53"/>
      <c r="CE163" s="53"/>
      <c r="CF163" s="53"/>
      <c r="CG163" s="53"/>
      <c r="CH163" s="53"/>
      <c r="CI163" s="53"/>
      <c r="CJ163" s="53"/>
      <c r="CK163" s="53"/>
      <c r="CL163" s="53"/>
      <c r="CM163" s="53"/>
      <c r="CN163" s="53"/>
      <c r="CO163" s="53"/>
      <c r="CP163" s="53"/>
      <c r="CQ163" s="53"/>
      <c r="CR163" s="1"/>
      <c r="CS163" s="1"/>
      <c r="CT163" s="1"/>
      <c r="CU163" s="1"/>
    </row>
    <row r="164" spans="1:99" s="13" customFormat="1" ht="12" customHeight="1" x14ac:dyDescent="0.2">
      <c r="A164" s="68">
        <v>43509</v>
      </c>
      <c r="B164" s="70"/>
      <c r="C164" s="70"/>
      <c r="D164" s="69"/>
      <c r="E164" s="87"/>
      <c r="F164" s="69"/>
      <c r="G164" s="69"/>
      <c r="H164" s="69"/>
      <c r="I164" s="69"/>
      <c r="J164" s="69"/>
      <c r="K164" s="107"/>
      <c r="L164" s="107"/>
      <c r="M164" s="69"/>
      <c r="N164" s="69"/>
      <c r="O164" s="69"/>
      <c r="P164" s="69"/>
      <c r="Q164" s="69"/>
      <c r="R164" s="69"/>
      <c r="S164" s="69"/>
      <c r="T164" s="69"/>
      <c r="U164" s="69"/>
      <c r="V164" s="69"/>
      <c r="W164" s="69"/>
      <c r="X164" s="69"/>
      <c r="Y164" s="87"/>
      <c r="Z164" s="69"/>
      <c r="AA164" s="69"/>
      <c r="AB164" s="69"/>
      <c r="AC164" s="69"/>
      <c r="AD164" s="69"/>
      <c r="AE164" s="69"/>
      <c r="AF164" s="88"/>
      <c r="AG164" s="72"/>
      <c r="AH164" s="4"/>
      <c r="AI164" s="72"/>
      <c r="AJ164" s="110"/>
      <c r="AK164" s="72"/>
      <c r="AL164" s="72"/>
      <c r="AM164" s="72"/>
      <c r="AN164" s="72"/>
      <c r="AO164" s="72"/>
      <c r="AP164" s="72"/>
      <c r="AQ164" s="72"/>
      <c r="AR164" s="110"/>
      <c r="AS164" s="72"/>
      <c r="AT164" s="72"/>
      <c r="AU164" s="4"/>
      <c r="AV164" s="71">
        <f>24*3600*7</f>
        <v>604800</v>
      </c>
      <c r="AW164" s="71">
        <f>24*3600*35</f>
        <v>3024000</v>
      </c>
      <c r="AX164" s="71">
        <f>24*3600*70</f>
        <v>6048000</v>
      </c>
      <c r="AY164" s="71">
        <f>24*3600*350</f>
        <v>30240000</v>
      </c>
      <c r="AZ164" s="53"/>
      <c r="BA164" s="53"/>
      <c r="BB164" s="53"/>
      <c r="BC164" s="53"/>
      <c r="BD164" s="53"/>
      <c r="BE164" s="53"/>
      <c r="BF164" s="53"/>
      <c r="BG164" s="53"/>
      <c r="BH164" s="53"/>
      <c r="BI164" s="53"/>
      <c r="BJ164" s="53"/>
      <c r="BK164" s="53"/>
      <c r="BL164" s="53"/>
      <c r="BM164" s="53"/>
      <c r="BN164" s="53"/>
      <c r="BO164" s="53"/>
      <c r="BP164" s="53"/>
      <c r="BQ164" s="53"/>
      <c r="BR164" s="53"/>
      <c r="BS164" s="53"/>
      <c r="BT164" s="53"/>
      <c r="BU164" s="53"/>
      <c r="BV164" s="53"/>
      <c r="BW164" s="53"/>
      <c r="BX164" s="53"/>
      <c r="BY164" s="53"/>
      <c r="BZ164" s="53"/>
      <c r="CA164" s="53"/>
      <c r="CB164" s="53"/>
      <c r="CC164" s="53"/>
      <c r="CD164" s="53"/>
      <c r="CE164" s="53"/>
      <c r="CF164" s="53"/>
      <c r="CG164" s="53"/>
      <c r="CH164" s="53"/>
      <c r="CI164" s="53"/>
      <c r="CJ164" s="53"/>
      <c r="CK164" s="53"/>
      <c r="CL164" s="53"/>
      <c r="CM164" s="53"/>
      <c r="CN164" s="53"/>
      <c r="CO164" s="53"/>
      <c r="CP164" s="53"/>
      <c r="CQ164" s="53"/>
      <c r="CR164" s="1"/>
      <c r="CS164" s="1"/>
      <c r="CT164" s="1"/>
      <c r="CU164" s="1"/>
    </row>
    <row r="165" spans="1:99" s="13" customFormat="1" ht="12" customHeight="1" x14ac:dyDescent="0.2">
      <c r="A165" s="68">
        <v>43509</v>
      </c>
      <c r="B165" s="70" t="s">
        <v>176</v>
      </c>
      <c r="C165" s="70" t="s">
        <v>95</v>
      </c>
      <c r="D165" s="69">
        <v>2008</v>
      </c>
      <c r="E165" s="87">
        <v>1</v>
      </c>
      <c r="F165" s="69">
        <v>1354</v>
      </c>
      <c r="G165" s="99">
        <v>52.1</v>
      </c>
      <c r="H165" s="99" t="s">
        <v>32</v>
      </c>
      <c r="I165" s="69" t="s">
        <v>660</v>
      </c>
      <c r="J165" s="69" t="s">
        <v>475</v>
      </c>
      <c r="K165" s="69">
        <f>IF(J165="syllables",1,IF(J165="trigrams",2,IF(J165="strings",3,IF(J165="visual array",4,IF(J165="characters",5,IF(J165="letters",6,IF(J165="free forms",7,IF(J165="odors",8,IF(J165="words",9,IF(J165="pictures",10,IF(J165="object pictures",11,IF(J165="faces",12,IF(J165="names",13,IF(J165="idioms",14,IF(J165="grades",15,IF(J165="syllable-digit pairs",16,IF(J165="trigram-word pairs",17,IF(J165="word-digit pairs",18,IF(J165="English-Swahili pairs",19,IF(J165="spatial position",20,IF(J165="word pairs",21,IF(J165="word triads",22,IF(J165="generated words",23,IF(J165="word definition pairs",24,IF(J165="math problems",25,IF(J165="famous faces",26,IF(J165="famous names",27,IF(J165="famous voices",28,IF(J165="television programs",29,IF(J165="race horses",30,IF(J165="new vocabulary",31,IF(J165="sentences",32,IF(J165="concepts",33,IF(J165="ad slides",34,IF(J165="scenes",35,IF(J165="famous scenes",36,IF(J165="poems",37,IF(J165="walk",38,IF(J165="faces and events",39,IF(J165="events and names",40,IF(J165="flashbulb",41,IF(J165="stories",42,IF(J165="course material",43,IF(J165="autobiographical",44,IF(J165="novels",45,IF(J165="public events",46,"99"))))))))))))))))))))))))))))))))))))))))))))))</f>
        <v>32</v>
      </c>
      <c r="L165" s="69">
        <f>IF(J165="syllables",1,IF(J165="trigrams",1,IF(J165="strings",1,IF(J165="visual array",1,IF(J165="characters",1,IF(J165="letters",1,IF(J165="free forms",1,IF(J165="odors",2,IF(J165="words",2,IF(J165="pictures",2,IF(J165="object pictures",2,IF(J165="faces",2,IF(J165="names",2,IF(J165="idioms","2",IF(J165="grades",2,IF(J165="syllable-digit pairs",3,IF(J165="trigram-word pairs",3,IF(J165="word-digit pairs",3,IF(J165="English-Swahili pairs",3,IF(J165="spatial position",3,IF(J165="word pairs",4,IF(J165="word triads",4,IF(J165="generated words",4,IF(J165="word definition pairs",4,IF(J165="math problems",4,IF(J165="famous faces",4,IF(J165="famous names",4,IF(J165="famous voices",4,IF(J165="television programs",4,IF(J165="race horses",4,IF(J165="new vocabulary",4,IF(J165="sentences",5,IF(J165="concepts",5,IF(J165="ad slides",5,IF(J165="scenes",5,IF(J165="famous scenes",5,IF(J165="poems",6,IF(J165="walk",6,IF(J165="faces and events",6,IF(J165="events and names",6,IF(J165="flashbulb",7,IF(J165="stories",7,IF(J165="course material",7,IF(J165="autobiographical",7,IF(J165="novels",7,IF(J165="public events",7,"99"))))))))))))))))))))))))))))))))))))))))))))))</f>
        <v>5</v>
      </c>
      <c r="M165" s="69">
        <v>1</v>
      </c>
      <c r="N165" s="69">
        <v>4</v>
      </c>
      <c r="O165" s="69">
        <v>0</v>
      </c>
      <c r="P165" s="69"/>
      <c r="Q165" s="69" t="s">
        <v>34</v>
      </c>
      <c r="R165" s="69">
        <f>IF(Q165="Free Recall",1,IF(Q165="Cued Recall",2,IF(Q165="Recognition",3,IF(Q165="Multiple Choice",4,IF(Q165="Savings",5,IF(Q165="Stem Completion",6,IF(Q165="Fragment Completion",7,IF(Q165="anagram solution",8,IF(Q165="Matching",9,IF(Q165="Problem Solving",10,"99"))))))))))</f>
        <v>3</v>
      </c>
      <c r="S165" s="69" t="s">
        <v>15</v>
      </c>
      <c r="T165" s="69" t="s">
        <v>261</v>
      </c>
      <c r="U165" s="69">
        <f>IF(T165="within",1,0)</f>
        <v>0</v>
      </c>
      <c r="V165" s="69">
        <v>32</v>
      </c>
      <c r="W165" s="69">
        <f>F165*V165</f>
        <v>43328</v>
      </c>
      <c r="X165" s="69">
        <v>4</v>
      </c>
      <c r="Y165" s="87">
        <f>AV164</f>
        <v>604800</v>
      </c>
      <c r="Z165" s="69" t="s">
        <v>177</v>
      </c>
      <c r="AA165" s="69">
        <v>30240000</v>
      </c>
      <c r="AB165" s="69" t="str">
        <f>IF(AA165&lt;60,"1",IF(AA165&lt;=43200,"2",IF(AA165&lt;=777600,"3","4")))</f>
        <v>4</v>
      </c>
      <c r="AC165" s="72">
        <f>AVERAGE(AV164:DA164)</f>
        <v>9979200</v>
      </c>
      <c r="AD165" s="69" t="str">
        <f>IF(AC165&lt;60,"1",IF(AC165&lt;=43200,"2",IF(AC165&lt;=777600,"3","4")))</f>
        <v>4</v>
      </c>
      <c r="AE165" s="87">
        <f>AA165-Y165</f>
        <v>29635200</v>
      </c>
      <c r="AF165" s="88">
        <f>AV165</f>
        <v>0.99</v>
      </c>
      <c r="AG165" s="72">
        <f>((AW165-AV165)+(AX165-AW165)+(AY165-AX165))/3</f>
        <v>-0.10000000000000002</v>
      </c>
      <c r="AH165" s="4"/>
      <c r="AI165" s="72">
        <f>RSQ(AV165:AY165,AV164:AY164)</f>
        <v>0.99764354990287396</v>
      </c>
      <c r="AJ165" s="110">
        <f>SLOPE(AV165:AY165,AV164:AY164)</f>
        <v>-9.9507561283748684E-9</v>
      </c>
      <c r="AK165" s="72">
        <f>INTERCEPT(AV165:AY165,AV164:AY164)</f>
        <v>0.98930058555627853</v>
      </c>
      <c r="AL165" s="72">
        <f>INDEX(LINEST(LN(AV165:AY165),LN(AV164:AY164),TRUE,TRUE),3,1)</f>
        <v>0.79747451708440986</v>
      </c>
      <c r="AM165" s="72">
        <f>INDEX(LINEST(LN(AV165:AY165),LN(AV164:AY164)),1)</f>
        <v>-9.134301524438973E-2</v>
      </c>
      <c r="AN165" s="72">
        <f>EXP(INDEX(LINEST(LN(AV165:AY165),LN(AV164:AY164)),1,2))</f>
        <v>3.555004960961559</v>
      </c>
      <c r="AO165" s="89">
        <f>INDEX(LINEST((AV165:AY165),LN(AV164:AY164),TRUE,TRUE),3,1)</f>
        <v>0.8192850336678541</v>
      </c>
      <c r="AP165" s="89">
        <f>INDEX(LINEST((AV165:AY165),LN(AV164:AY164)),1)</f>
        <v>-7.6108977134299149E-2</v>
      </c>
      <c r="AQ165" s="90">
        <f>INDEX(LINEST(LN(AV165:AY165),SQRT(AV164:AY164),TRUE,TRUE),3,1)</f>
        <v>0.97207527654447057</v>
      </c>
      <c r="AR165" s="117">
        <f>INDEX(LINEST(LN(AV165:AY165),SQRT((AV164:AY164))),1)</f>
        <v>-8.0179931869395443E-5</v>
      </c>
      <c r="AS165" s="91">
        <f>INDEX(LINEST(1/(AV165:AY165),1/(SQRT(AV164:AY164)),TRUE,TRUE),3,1)</f>
        <v>0.49830089371960229</v>
      </c>
      <c r="AT165" s="91">
        <f>INDEX(LINEST(1/(AV165:AY165),1/SQRT(AV164:AY164)),1)</f>
        <v>-301.83594894836898</v>
      </c>
      <c r="AU165" s="4"/>
      <c r="AV165" s="73">
        <v>0.99</v>
      </c>
      <c r="AW165" s="73">
        <v>0.96</v>
      </c>
      <c r="AX165" s="73">
        <v>0.92</v>
      </c>
      <c r="AY165" s="73">
        <v>0.69</v>
      </c>
      <c r="AZ165" s="53"/>
      <c r="BA165" s="53"/>
      <c r="BB165" s="53"/>
      <c r="BC165" s="53"/>
      <c r="BD165" s="53"/>
      <c r="BE165" s="53"/>
      <c r="BF165" s="53"/>
      <c r="BG165" s="53"/>
      <c r="BH165" s="53"/>
      <c r="BI165" s="53"/>
      <c r="BJ165" s="53"/>
      <c r="BK165" s="53"/>
      <c r="BL165" s="53"/>
      <c r="BM165" s="53"/>
      <c r="BN165" s="53"/>
      <c r="BO165" s="53"/>
      <c r="BP165" s="53"/>
      <c r="BQ165" s="53"/>
      <c r="BR165" s="53"/>
      <c r="BS165" s="53"/>
      <c r="BT165" s="53"/>
      <c r="BU165" s="53"/>
      <c r="BV165" s="53"/>
      <c r="BW165" s="53"/>
      <c r="BX165" s="53"/>
      <c r="BY165" s="53"/>
      <c r="BZ165" s="53"/>
      <c r="CA165" s="53"/>
      <c r="CB165" s="53"/>
      <c r="CC165" s="53"/>
      <c r="CD165" s="53"/>
      <c r="CE165" s="53"/>
      <c r="CF165" s="53"/>
      <c r="CG165" s="53"/>
      <c r="CH165" s="53"/>
      <c r="CI165" s="53"/>
      <c r="CJ165" s="53"/>
      <c r="CK165" s="53"/>
      <c r="CL165" s="53"/>
      <c r="CM165" s="53"/>
      <c r="CN165" s="53"/>
      <c r="CO165" s="53"/>
      <c r="CP165" s="53"/>
      <c r="CQ165" s="53"/>
      <c r="CR165" s="1"/>
      <c r="CS165" s="1"/>
      <c r="CT165" s="1"/>
      <c r="CU165" s="1"/>
    </row>
    <row r="166" spans="1:99" s="13" customFormat="1" ht="12" customHeight="1" x14ac:dyDescent="0.2">
      <c r="A166" s="68">
        <v>43509</v>
      </c>
      <c r="B166" s="70"/>
      <c r="C166" s="70"/>
      <c r="D166" s="69"/>
      <c r="E166" s="87"/>
      <c r="F166" s="69"/>
      <c r="G166" s="69"/>
      <c r="H166" s="69"/>
      <c r="I166" s="69"/>
      <c r="J166" s="69"/>
      <c r="K166" s="107"/>
      <c r="L166" s="107"/>
      <c r="M166" s="69"/>
      <c r="N166" s="69"/>
      <c r="O166" s="69"/>
      <c r="P166" s="69"/>
      <c r="Q166" s="69"/>
      <c r="R166" s="69"/>
      <c r="S166" s="69"/>
      <c r="T166" s="69"/>
      <c r="U166" s="69"/>
      <c r="V166" s="69"/>
      <c r="W166" s="69"/>
      <c r="X166" s="69"/>
      <c r="Y166" s="87"/>
      <c r="Z166" s="69"/>
      <c r="AA166" s="69"/>
      <c r="AB166" s="69"/>
      <c r="AC166" s="69"/>
      <c r="AD166" s="69"/>
      <c r="AE166" s="69"/>
      <c r="AF166" s="88"/>
      <c r="AG166" s="72"/>
      <c r="AH166" s="4"/>
      <c r="AI166" s="72"/>
      <c r="AJ166" s="110"/>
      <c r="AK166" s="72"/>
      <c r="AL166" s="72"/>
      <c r="AM166" s="72"/>
      <c r="AN166" s="72"/>
      <c r="AO166" s="72"/>
      <c r="AP166" s="72"/>
      <c r="AQ166" s="72"/>
      <c r="AR166" s="110"/>
      <c r="AS166" s="72"/>
      <c r="AT166" s="72"/>
      <c r="AU166" s="4"/>
      <c r="AV166" s="71">
        <f>24*3600*7</f>
        <v>604800</v>
      </c>
      <c r="AW166" s="71">
        <f>24*3600*35</f>
        <v>3024000</v>
      </c>
      <c r="AX166" s="71">
        <f>24*3600*70</f>
        <v>6048000</v>
      </c>
      <c r="AY166" s="71">
        <f>24*3600*350</f>
        <v>30240000</v>
      </c>
      <c r="AZ166" s="53"/>
      <c r="BA166" s="53"/>
      <c r="BB166" s="53"/>
      <c r="BC166" s="53"/>
      <c r="BD166" s="53"/>
      <c r="BE166" s="53"/>
      <c r="BF166" s="53"/>
      <c r="BG166" s="53"/>
      <c r="BH166" s="53"/>
      <c r="BI166" s="53"/>
      <c r="BJ166" s="53"/>
      <c r="BK166" s="53"/>
      <c r="BL166" s="53"/>
      <c r="BM166" s="53"/>
      <c r="BN166" s="53"/>
      <c r="BO166" s="53"/>
      <c r="BP166" s="53"/>
      <c r="BQ166" s="53"/>
      <c r="BR166" s="53"/>
      <c r="BS166" s="53"/>
      <c r="BT166" s="53"/>
      <c r="BU166" s="53"/>
      <c r="BV166" s="53"/>
      <c r="BW166" s="53"/>
      <c r="BX166" s="53"/>
      <c r="BY166" s="53"/>
      <c r="BZ166" s="53"/>
      <c r="CA166" s="53"/>
      <c r="CB166" s="53"/>
      <c r="CC166" s="53"/>
      <c r="CD166" s="53"/>
      <c r="CE166" s="53"/>
      <c r="CF166" s="53"/>
      <c r="CG166" s="53"/>
      <c r="CH166" s="53"/>
      <c r="CI166" s="53"/>
      <c r="CJ166" s="53"/>
      <c r="CK166" s="53"/>
      <c r="CL166" s="53"/>
      <c r="CM166" s="53"/>
      <c r="CN166" s="53"/>
      <c r="CO166" s="53"/>
      <c r="CP166" s="53"/>
      <c r="CQ166" s="53"/>
      <c r="CR166" s="1"/>
      <c r="CS166" s="1"/>
      <c r="CT166" s="1"/>
      <c r="CU166" s="1"/>
    </row>
    <row r="167" spans="1:99" s="13" customFormat="1" ht="12" customHeight="1" x14ac:dyDescent="0.2">
      <c r="A167" s="68">
        <v>43509</v>
      </c>
      <c r="B167" s="70" t="s">
        <v>176</v>
      </c>
      <c r="C167" s="70" t="s">
        <v>95</v>
      </c>
      <c r="D167" s="69">
        <v>2008</v>
      </c>
      <c r="E167" s="87">
        <v>1</v>
      </c>
      <c r="F167" s="69">
        <v>1354</v>
      </c>
      <c r="G167" s="99">
        <v>52.1</v>
      </c>
      <c r="H167" s="99" t="s">
        <v>32</v>
      </c>
      <c r="I167" s="69" t="s">
        <v>661</v>
      </c>
      <c r="J167" s="69" t="s">
        <v>475</v>
      </c>
      <c r="K167" s="69">
        <f>IF(J167="syllables",1,IF(J167="trigrams",2,IF(J167="strings",3,IF(J167="visual array",4,IF(J167="characters",5,IF(J167="letters",6,IF(J167="free forms",7,IF(J167="odors",8,IF(J167="words",9,IF(J167="pictures",10,IF(J167="object pictures",11,IF(J167="faces",12,IF(J167="names",13,IF(J167="idioms",14,IF(J167="grades",15,IF(J167="syllable-digit pairs",16,IF(J167="trigram-word pairs",17,IF(J167="word-digit pairs",18,IF(J167="English-Swahili pairs",19,IF(J167="spatial position",20,IF(J167="word pairs",21,IF(J167="word triads",22,IF(J167="generated words",23,IF(J167="word definition pairs",24,IF(J167="math problems",25,IF(J167="famous faces",26,IF(J167="famous names",27,IF(J167="famous voices",28,IF(J167="television programs",29,IF(J167="race horses",30,IF(J167="new vocabulary",31,IF(J167="sentences",32,IF(J167="concepts",33,IF(J167="ad slides",34,IF(J167="scenes",35,IF(J167="famous scenes",36,IF(J167="poems",37,IF(J167="walk",38,IF(J167="faces and events",39,IF(J167="events and names",40,IF(J167="flashbulb",41,IF(J167="stories",42,IF(J167="course material",43,IF(J167="autobiographical",44,IF(J167="novels",45,IF(J167="public events",46,"99"))))))))))))))))))))))))))))))))))))))))))))))</f>
        <v>32</v>
      </c>
      <c r="L167" s="69">
        <f>IF(J167="syllables",1,IF(J167="trigrams",1,IF(J167="strings",1,IF(J167="visual array",1,IF(J167="characters",1,IF(J167="letters",1,IF(J167="free forms",1,IF(J167="odors",2,IF(J167="words",2,IF(J167="pictures",2,IF(J167="object pictures",2,IF(J167="faces",2,IF(J167="names",2,IF(J167="idioms","2",IF(J167="grades",2,IF(J167="syllable-digit pairs",3,IF(J167="trigram-word pairs",3,IF(J167="word-digit pairs",3,IF(J167="English-Swahili pairs",3,IF(J167="spatial position",3,IF(J167="word pairs",4,IF(J167="word triads",4,IF(J167="generated words",4,IF(J167="word definition pairs",4,IF(J167="math problems",4,IF(J167="famous faces",4,IF(J167="famous names",4,IF(J167="famous voices",4,IF(J167="television programs",4,IF(J167="race horses",4,IF(J167="new vocabulary",4,IF(J167="sentences",5,IF(J167="concepts",5,IF(J167="ad slides",5,IF(J167="scenes",5,IF(J167="famous scenes",5,IF(J167="poems",6,IF(J167="walk",6,IF(J167="faces and events",6,IF(J167="events and names",6,IF(J167="flashbulb",7,IF(J167="stories",7,IF(J167="course material",7,IF(J167="autobiographical",7,IF(J167="novels",7,IF(J167="public events",7,"99"))))))))))))))))))))))))))))))))))))))))))))))</f>
        <v>5</v>
      </c>
      <c r="M167" s="69">
        <v>1</v>
      </c>
      <c r="N167" s="69">
        <v>4</v>
      </c>
      <c r="O167" s="69">
        <v>0</v>
      </c>
      <c r="P167" s="69"/>
      <c r="Q167" s="69" t="s">
        <v>34</v>
      </c>
      <c r="R167" s="69">
        <f>IF(Q167="Free Recall",1,IF(Q167="Cued Recall",2,IF(Q167="Recognition",3,IF(Q167="Multiple Choice",4,IF(Q167="Savings",5,IF(Q167="Stem Completion",6,IF(Q167="Fragment Completion",7,IF(Q167="anagram solution",8,IF(Q167="Matching",9,IF(Q167="Problem Solving",10,"99"))))))))))</f>
        <v>3</v>
      </c>
      <c r="S167" s="69" t="s">
        <v>15</v>
      </c>
      <c r="T167" s="69" t="s">
        <v>261</v>
      </c>
      <c r="U167" s="69">
        <f>IF(T167="within",1,0)</f>
        <v>0</v>
      </c>
      <c r="V167" s="69">
        <v>32</v>
      </c>
      <c r="W167" s="69">
        <f>F167*V167</f>
        <v>43328</v>
      </c>
      <c r="X167" s="69">
        <v>4</v>
      </c>
      <c r="Y167" s="87">
        <f>AV166</f>
        <v>604800</v>
      </c>
      <c r="Z167" s="69" t="s">
        <v>177</v>
      </c>
      <c r="AA167" s="69">
        <v>30240000</v>
      </c>
      <c r="AB167" s="69" t="str">
        <f>IF(AA167&lt;60,"1",IF(AA167&lt;=43200,"2",IF(AA167&lt;=777600,"3","4")))</f>
        <v>4</v>
      </c>
      <c r="AC167" s="72">
        <f>AVERAGE(AV166:DA166)</f>
        <v>9979200</v>
      </c>
      <c r="AD167" s="69" t="str">
        <f>IF(AC167&lt;60,"1",IF(AC167&lt;=43200,"2",IF(AC167&lt;=777600,"3","4")))</f>
        <v>4</v>
      </c>
      <c r="AE167" s="87">
        <f>AA167-Y167</f>
        <v>29635200</v>
      </c>
      <c r="AF167" s="88">
        <f>AV167</f>
        <v>0.97</v>
      </c>
      <c r="AG167" s="72">
        <f>((AW167-AV167)+(AX167-AW167)+(AY167-AX167))/3</f>
        <v>-0.15</v>
      </c>
      <c r="AH167" s="4"/>
      <c r="AI167" s="72">
        <f>RSQ(AV167:AY167,AV166:AY166)</f>
        <v>0.98267473596772292</v>
      </c>
      <c r="AJ167" s="110">
        <f>SLOPE(AV167:AY167,AV166:AY166)</f>
        <v>-1.4194619147449335E-8</v>
      </c>
      <c r="AK167" s="72">
        <f>INTERCEPT(AV167:AY167,AV166:AY166)</f>
        <v>0.94415094339622641</v>
      </c>
      <c r="AL167" s="72">
        <f>INDEX(LINEST(LN(AV167:AY167),LN(AV166:AY166),TRUE,TRUE),3,1)</f>
        <v>0.83401451238788715</v>
      </c>
      <c r="AM167" s="72">
        <f>INDEX(LINEST(LN(AV167:AY167),LN(AV166:AY166)),1)</f>
        <v>-0.15656389100607182</v>
      </c>
      <c r="AN167" s="72">
        <f>EXP(INDEX(LINEST(LN(AV167:AY167),LN(AV166:AY166)),1,2))</f>
        <v>8.5324661352976818</v>
      </c>
      <c r="AO167" s="89">
        <f>INDEX(LINEST((AV167:AY167),LN(AV166:AY166),TRUE,TRUE),3,1)</f>
        <v>0.87863528078719111</v>
      </c>
      <c r="AP167" s="89">
        <f>INDEX(LINEST((AV167:AY167),LN(AV166:AY166)),1)</f>
        <v>-0.11328519577648638</v>
      </c>
      <c r="AQ167" s="90">
        <f>INDEX(LINEST(LN(AV167:AY167),SQRT(AV166:AY166),TRUE,TRUE),3,1)</f>
        <v>0.9829132435168787</v>
      </c>
      <c r="AR167" s="117">
        <f>INDEX(LINEST(LN(AV167:AY167),SQRT((AV166:AY166))),1)</f>
        <v>-1.3513292993964712E-4</v>
      </c>
      <c r="AS167" s="91">
        <f>INDEX(LINEST(1/(AV167:AY167),1/(SQRT(AV166:AY166)),TRUE,TRUE),3,1)</f>
        <v>0.52116109074299632</v>
      </c>
      <c r="AT167" s="91">
        <f>INDEX(LINEST(1/(AV167:AY167),1/SQRT(AV166:AY166)),1)</f>
        <v>-616.44477331829307</v>
      </c>
      <c r="AU167" s="4"/>
      <c r="AV167" s="73">
        <v>0.97</v>
      </c>
      <c r="AW167" s="73">
        <v>0.88</v>
      </c>
      <c r="AX167" s="73">
        <v>0.84</v>
      </c>
      <c r="AY167" s="73">
        <v>0.52</v>
      </c>
      <c r="AZ167" s="53"/>
      <c r="BA167" s="53"/>
      <c r="BB167" s="53"/>
      <c r="BC167" s="53"/>
      <c r="BD167" s="53"/>
      <c r="BE167" s="53"/>
      <c r="BF167" s="53"/>
      <c r="BG167" s="53"/>
      <c r="BH167" s="53"/>
      <c r="BI167" s="53"/>
      <c r="BJ167" s="53"/>
      <c r="BK167" s="53"/>
      <c r="BL167" s="53"/>
      <c r="BM167" s="53"/>
      <c r="BN167" s="53"/>
      <c r="BO167" s="53"/>
      <c r="BP167" s="53"/>
      <c r="BQ167" s="53"/>
      <c r="BR167" s="53"/>
      <c r="BS167" s="53"/>
      <c r="BT167" s="53"/>
      <c r="BU167" s="53"/>
      <c r="BV167" s="53"/>
      <c r="BW167" s="53"/>
      <c r="BX167" s="53"/>
      <c r="BY167" s="53"/>
      <c r="BZ167" s="53"/>
      <c r="CA167" s="53"/>
      <c r="CB167" s="53"/>
      <c r="CC167" s="53"/>
      <c r="CD167" s="53"/>
      <c r="CE167" s="53"/>
      <c r="CF167" s="53"/>
      <c r="CG167" s="53"/>
      <c r="CH167" s="53"/>
      <c r="CI167" s="53"/>
      <c r="CJ167" s="53"/>
      <c r="CK167" s="53"/>
      <c r="CL167" s="53"/>
      <c r="CM167" s="53"/>
      <c r="CN167" s="53"/>
      <c r="CO167" s="53"/>
      <c r="CP167" s="53"/>
      <c r="CQ167" s="53"/>
      <c r="CR167" s="1"/>
      <c r="CS167" s="1"/>
      <c r="CT167" s="1"/>
      <c r="CU167" s="1"/>
    </row>
    <row r="168" spans="1:99" s="13" customFormat="1" ht="12" customHeight="1" x14ac:dyDescent="0.2">
      <c r="A168" s="65">
        <v>43906</v>
      </c>
      <c r="B168" s="1"/>
      <c r="C168" s="1"/>
      <c r="D168" s="60"/>
      <c r="E168" s="76"/>
      <c r="F168" s="60"/>
      <c r="G168" s="62"/>
      <c r="H168" s="60"/>
      <c r="I168" s="60"/>
      <c r="J168" s="60"/>
      <c r="K168" s="64"/>
      <c r="L168" s="64"/>
      <c r="M168" s="60"/>
      <c r="N168" s="61"/>
      <c r="O168" s="60"/>
      <c r="P168" s="60"/>
      <c r="Q168" s="60"/>
      <c r="R168" s="60"/>
      <c r="S168" s="60"/>
      <c r="T168" s="60"/>
      <c r="U168" s="60"/>
      <c r="V168" s="60"/>
      <c r="W168" s="60"/>
      <c r="X168" s="60"/>
      <c r="Y168" s="76"/>
      <c r="Z168" s="60"/>
      <c r="AA168" s="60"/>
      <c r="AB168" s="60"/>
      <c r="AC168" s="56"/>
      <c r="AD168" s="60"/>
      <c r="AE168" s="60"/>
      <c r="AF168" s="80"/>
      <c r="AG168" s="56"/>
      <c r="AH168" s="4"/>
      <c r="AI168" s="56"/>
      <c r="AJ168" s="109"/>
      <c r="AK168" s="56"/>
      <c r="AL168" s="56"/>
      <c r="AM168" s="56"/>
      <c r="AN168" s="56"/>
      <c r="AO168" s="82"/>
      <c r="AP168" s="82"/>
      <c r="AQ168" s="83"/>
      <c r="AR168" s="116"/>
      <c r="AS168" s="84"/>
      <c r="AT168" s="84"/>
      <c r="AU168" s="3"/>
      <c r="AV168" s="25">
        <v>300</v>
      </c>
      <c r="AW168" s="25">
        <f>60*60*24</f>
        <v>86400</v>
      </c>
      <c r="AX168" s="25">
        <f>AW168*2</f>
        <v>172800</v>
      </c>
      <c r="AY168" s="25">
        <f>AW168*4</f>
        <v>345600</v>
      </c>
      <c r="AZ168" s="25">
        <f>AW168*7</f>
        <v>604800</v>
      </c>
      <c r="BA168" s="25">
        <f>AW168*14</f>
        <v>1209600</v>
      </c>
      <c r="BB168" s="53"/>
      <c r="BC168" s="53"/>
      <c r="BD168" s="53"/>
      <c r="BE168" s="53"/>
      <c r="BF168" s="53"/>
      <c r="BG168" s="53"/>
      <c r="BH168" s="53"/>
      <c r="BI168" s="53"/>
      <c r="BJ168" s="53"/>
      <c r="BK168" s="53"/>
      <c r="BL168" s="53"/>
      <c r="BM168" s="53"/>
      <c r="BN168" s="53"/>
      <c r="BO168" s="53"/>
      <c r="BP168" s="53"/>
      <c r="BQ168" s="53"/>
      <c r="BR168" s="53"/>
      <c r="BS168" s="53"/>
      <c r="BT168" s="53"/>
      <c r="BU168" s="53"/>
      <c r="BV168" s="53"/>
      <c r="BW168" s="53"/>
      <c r="BX168" s="53"/>
      <c r="BY168" s="53"/>
      <c r="BZ168" s="53"/>
      <c r="CA168" s="53"/>
      <c r="CB168" s="53"/>
      <c r="CC168" s="53"/>
      <c r="CD168" s="53"/>
      <c r="CE168" s="53"/>
      <c r="CF168" s="53"/>
      <c r="CG168" s="53"/>
      <c r="CH168" s="53"/>
      <c r="CI168" s="53"/>
      <c r="CJ168" s="53"/>
      <c r="CK168" s="53"/>
      <c r="CL168" s="53"/>
      <c r="CM168" s="53"/>
      <c r="CN168" s="53"/>
      <c r="CO168" s="53"/>
      <c r="CP168" s="53"/>
      <c r="CQ168" s="53"/>
      <c r="CR168" s="1"/>
      <c r="CS168" s="1"/>
      <c r="CT168" s="1"/>
      <c r="CU168" s="1"/>
    </row>
    <row r="169" spans="1:99" s="13" customFormat="1" ht="12" customHeight="1" x14ac:dyDescent="0.2">
      <c r="A169" s="65">
        <v>43906</v>
      </c>
      <c r="B169" s="1" t="s">
        <v>489</v>
      </c>
      <c r="C169" s="1" t="s">
        <v>488</v>
      </c>
      <c r="D169" s="60">
        <v>2009</v>
      </c>
      <c r="E169" s="76">
        <v>1</v>
      </c>
      <c r="F169" s="60">
        <v>215</v>
      </c>
      <c r="G169" s="62">
        <v>35.799999999999997</v>
      </c>
      <c r="H169" s="60" t="s">
        <v>491</v>
      </c>
      <c r="I169" s="60"/>
      <c r="J169" s="60" t="s">
        <v>490</v>
      </c>
      <c r="K169" s="60">
        <f>IF(J169="syllables",1,IF(J169="trigrams",2,IF(J169="strings",3,IF(J169="visual array",4,IF(J169="characters",5,IF(J169="letters",6,IF(J169="free forms",7,IF(J169="odors",8,IF(J169="words",9,IF(J169="pictures",10,IF(J169="object pictures",11,IF(J169="faces",12,IF(J169="names",13,IF(J169="idioms",14,IF(J169="grades",15,IF(J169="syllable-digit pairs",16,IF(J169="trigram-word pairs",17,IF(J169="word-digit pairs",18,IF(J169="English-Swahili pairs",19,IF(J169="spatial position",20,IF(J169="word pairs",21,IF(J169="word triads",22,IF(J169="generated words",23,IF(J169="word definition pairs",24,IF(J169="math problems",25,IF(J169="famous faces",26,IF(J169="famous names",27,IF(J169="famous voices",28,IF(J169="television programs",29,IF(J169="race horses",30,IF(J169="new vocabulary",31,IF(J169="sentences",32,IF(J169="concepts",33,IF(J169="ad slides",34,IF(J169="scenes",35,IF(J169="famous scenes",36,IF(J169="poems",37,IF(J169="walk",38,IF(J169="faces and events",39,IF(J169="events and names",40,IF(J169="flashbulb",41,IF(J169="stories",42,IF(J169="course material",43,IF(J169="autobiographical",44,IF(J169="novels",45,IF(J169="public events",46,"99"))))))))))))))))))))))))))))))))))))))))))))))</f>
        <v>19</v>
      </c>
      <c r="L169" s="60">
        <f>IF(J169="syllables",1,IF(J169="trigrams",1,IF(J169="strings",1,IF(J169="visual array",1,IF(J169="characters",1,IF(J169="letters",1,IF(J169="free forms",1,IF(J169="odors",2,IF(J169="words",2,IF(J169="pictures",2,IF(J169="object pictures",2,IF(J169="faces",2,IF(J169="names",2,IF(J169="idioms","2",IF(J169="grades",2,IF(J169="syllable-digit pairs",3,IF(J169="trigram-word pairs",3,IF(J169="word-digit pairs",3,IF(J169="English-Swahili pairs",3,IF(J169="spatial position",3,IF(J169="word pairs",4,IF(J169="word triads",4,IF(J169="generated words",4,IF(J169="word definition pairs",4,IF(J169="math problems",4,IF(J169="famous faces",4,IF(J169="famous names",4,IF(J169="famous voices",4,IF(J169="television programs",4,IF(J169="race horses",4,IF(J169="new vocabulary",4,IF(J169="sentences",5,IF(J169="concepts",5,IF(J169="ad slides",5,IF(J169="scenes",5,IF(J169="famous scenes",5,IF(J169="poems",6,IF(J169="walk",6,IF(J169="faces and events",6,IF(J169="events and names",6,IF(J169="flashbulb",7,IF(J169="stories",7,IF(J169="course material",7,IF(J169="autobiographical",7,IF(J169="novels",7,IF(J169="public events",7,"99"))))))))))))))))))))))))))))))))))))))))))))))</f>
        <v>3</v>
      </c>
      <c r="M169" s="60">
        <v>1</v>
      </c>
      <c r="N169" s="61">
        <v>3</v>
      </c>
      <c r="O169" s="60">
        <v>0</v>
      </c>
      <c r="P169" s="60"/>
      <c r="Q169" s="60" t="s">
        <v>65</v>
      </c>
      <c r="R169" s="60">
        <f>IF(Q169="Free Recall",1,IF(Q169="Cued Recall",2,IF(Q169="Recognition",3,IF(Q169="Multiple Choice",4,IF(Q169="Savings",5,IF(Q169="Stem Completion",6,IF(Q169="Fragment Completion",7,IF(Q169="anagram solution",8,IF(Q169="Matching",9,IF(Q169="Problem Solving",10,"99"))))))))))</f>
        <v>2</v>
      </c>
      <c r="S169" s="60" t="s">
        <v>15</v>
      </c>
      <c r="T169" s="60" t="s">
        <v>261</v>
      </c>
      <c r="U169" s="60">
        <f>IF(T169="within",1,0)</f>
        <v>0</v>
      </c>
      <c r="V169" s="60">
        <v>40</v>
      </c>
      <c r="W169" s="60">
        <f>F169*V169</f>
        <v>8600</v>
      </c>
      <c r="X169" s="60">
        <v>6</v>
      </c>
      <c r="Y169" s="76">
        <f>AV168</f>
        <v>300</v>
      </c>
      <c r="Z169" s="60" t="s">
        <v>476</v>
      </c>
      <c r="AA169" s="60">
        <f>60*60*24*14</f>
        <v>1209600</v>
      </c>
      <c r="AB169" s="60" t="str">
        <f>IF(AA169&lt;60,"1",IF(AA169&lt;=43200,"2",IF(AA169&lt;=777600,"3","4")))</f>
        <v>4</v>
      </c>
      <c r="AC169" s="56">
        <f>AVERAGE(AV168:DA168)</f>
        <v>403250</v>
      </c>
      <c r="AD169" s="60" t="str">
        <f>IF(AC169&lt;60,"1",IF(AC169&lt;=43200,"2",IF(AC169&lt;=777600,"3","4")))</f>
        <v>3</v>
      </c>
      <c r="AE169" s="76">
        <f>AA169-Y169</f>
        <v>1209300</v>
      </c>
      <c r="AF169" s="80">
        <f>AV169</f>
        <v>0.92177419354838697</v>
      </c>
      <c r="AG169" s="56">
        <f>((AW169-AV169)+(AX169-AW169)+(AY169-AX169)+(AZ169-AY169)+(BA169-AZ169))/5</f>
        <v>-0.12763608870967741</v>
      </c>
      <c r="AH169" s="4"/>
      <c r="AI169" s="56">
        <f>RSQ(AV169:BA169,AV168:BA168)</f>
        <v>0.85653457588850723</v>
      </c>
      <c r="AJ169" s="109">
        <f>SLOPE(AV169:BA169,AV168:BA168)</f>
        <v>-5.0362723349508582E-7</v>
      </c>
      <c r="AK169" s="56">
        <f>INTERCEPT(AV169:BA169,AV168:BA168)</f>
        <v>0.81826889212503717</v>
      </c>
      <c r="AL169" s="56">
        <f>INDEX(LINEST(LN(AV169:BA169),LN(AV168:BA168),TRUE,TRUE),3,1)</f>
        <v>0.58236917726593951</v>
      </c>
      <c r="AM169" s="56">
        <f>INDEX(LINEST(LN(AV169:BA169),LN(AV168:BA168)),1)</f>
        <v>-0.11253363439233544</v>
      </c>
      <c r="AN169" s="56">
        <f>EXP(INDEX(LINEST(LN(AV169:BA169),LN(AV168:BA168)),1,2))</f>
        <v>2.0885774429442607</v>
      </c>
      <c r="AO169" s="82">
        <f>INDEX(LINEST((AV169:BA169),LN(AV168:BA168),TRUE,TRUE),3,1)</f>
        <v>0.68368591745718788</v>
      </c>
      <c r="AP169" s="82">
        <f>INDEX(LINEST((AV169:BA169),LN(AV168:BA168)),1)</f>
        <v>-6.7368311822507992E-2</v>
      </c>
      <c r="AQ169" s="83">
        <f>INDEX(LINEST(LN(AV169:BA169),SQRT(AV168:BA168),TRUE,TRUE),3,1)</f>
        <v>0.96856163784038229</v>
      </c>
      <c r="AR169" s="116">
        <f>INDEX(LINEST(LN(AV169:BA169),SQRT((AV168:BA168))),1)</f>
        <v>-1.1472371037217898E-3</v>
      </c>
      <c r="AS169" s="84">
        <f>INDEX(LINEST(1/(AV169:BA169),1/(SQRT(AV168:BA168)),TRUE,TRUE),3,1)</f>
        <v>0.22418293805439554</v>
      </c>
      <c r="AT169" s="84">
        <f>INDEX(LINEST(1/(AV169:BA169),1/SQRT(AV168:BA168)),1)</f>
        <v>-18.934535204172214</v>
      </c>
      <c r="AU169" s="3"/>
      <c r="AV169" s="53">
        <v>0.92177419354838697</v>
      </c>
      <c r="AW169" s="53">
        <v>0.83790322580645205</v>
      </c>
      <c r="AX169" s="53">
        <v>0.68833333333333302</v>
      </c>
      <c r="AY169" s="53">
        <v>0.52155172413793105</v>
      </c>
      <c r="AZ169" s="53">
        <v>0.437931034482759</v>
      </c>
      <c r="BA169" s="53">
        <v>0.28359374999999998</v>
      </c>
      <c r="BB169" s="53"/>
      <c r="BC169" s="53"/>
      <c r="BD169" s="53"/>
      <c r="BE169" s="53"/>
      <c r="BF169" s="53"/>
      <c r="BG169" s="53"/>
      <c r="BH169" s="53"/>
      <c r="BI169" s="53"/>
      <c r="BJ169" s="53"/>
      <c r="BK169" s="53"/>
      <c r="BL169" s="53"/>
      <c r="BM169" s="53"/>
      <c r="BN169" s="53"/>
      <c r="BO169" s="53"/>
      <c r="BP169" s="53"/>
      <c r="BQ169" s="53"/>
      <c r="BR169" s="53"/>
      <c r="BS169" s="53"/>
      <c r="BT169" s="53"/>
      <c r="BU169" s="53"/>
      <c r="BV169" s="53"/>
      <c r="BW169" s="53"/>
      <c r="BX169" s="53"/>
      <c r="BY169" s="53"/>
      <c r="BZ169" s="53"/>
      <c r="CA169" s="53"/>
      <c r="CB169" s="53"/>
      <c r="CC169" s="53"/>
      <c r="CD169" s="53"/>
      <c r="CE169" s="53"/>
      <c r="CF169" s="53"/>
      <c r="CG169" s="53"/>
      <c r="CH169" s="53"/>
      <c r="CI169" s="53"/>
      <c r="CJ169" s="53"/>
      <c r="CK169" s="53"/>
      <c r="CL169" s="53"/>
      <c r="CM169" s="53"/>
      <c r="CN169" s="53"/>
      <c r="CO169" s="53"/>
      <c r="CP169" s="53"/>
      <c r="CQ169" s="53"/>
      <c r="CR169" s="1"/>
      <c r="CS169" s="1"/>
      <c r="CT169" s="1"/>
      <c r="CU169" s="1"/>
    </row>
    <row r="170" spans="1:99" s="13" customFormat="1" ht="12" customHeight="1" x14ac:dyDescent="0.2">
      <c r="A170" s="65">
        <v>43906</v>
      </c>
      <c r="B170" s="1"/>
      <c r="C170" s="1"/>
      <c r="D170" s="60"/>
      <c r="E170" s="76"/>
      <c r="F170" s="60"/>
      <c r="G170" s="62"/>
      <c r="H170" s="60"/>
      <c r="I170" s="60"/>
      <c r="J170" s="60"/>
      <c r="K170" s="64"/>
      <c r="L170" s="64"/>
      <c r="M170" s="60"/>
      <c r="N170" s="61"/>
      <c r="O170" s="60"/>
      <c r="P170" s="60"/>
      <c r="Q170" s="60"/>
      <c r="R170" s="60"/>
      <c r="S170" s="60"/>
      <c r="T170" s="60"/>
      <c r="U170" s="60"/>
      <c r="V170" s="60"/>
      <c r="W170" s="60"/>
      <c r="X170" s="60"/>
      <c r="Y170" s="76"/>
      <c r="Z170" s="60"/>
      <c r="AA170" s="60"/>
      <c r="AB170" s="60"/>
      <c r="AC170" s="56"/>
      <c r="AD170" s="60"/>
      <c r="AE170" s="60"/>
      <c r="AF170" s="80"/>
      <c r="AG170" s="56"/>
      <c r="AH170" s="4"/>
      <c r="AI170" s="56"/>
      <c r="AJ170" s="109"/>
      <c r="AK170" s="56"/>
      <c r="AL170" s="56"/>
      <c r="AM170" s="56"/>
      <c r="AN170" s="56"/>
      <c r="AO170" s="82"/>
      <c r="AP170" s="82"/>
      <c r="AQ170" s="83"/>
      <c r="AR170" s="116"/>
      <c r="AS170" s="84"/>
      <c r="AT170" s="84"/>
      <c r="AU170" s="3"/>
      <c r="AV170" s="25">
        <v>300</v>
      </c>
      <c r="AW170" s="25">
        <f>60*60*24</f>
        <v>86400</v>
      </c>
      <c r="AX170" s="25">
        <f>AW170*7</f>
        <v>604800</v>
      </c>
      <c r="AY170" s="25">
        <f>AW170*28</f>
        <v>2419200</v>
      </c>
      <c r="AZ170" s="25">
        <f>AW170*84</f>
        <v>7257600</v>
      </c>
      <c r="BA170" s="25">
        <f>AW170*168</f>
        <v>14515200</v>
      </c>
      <c r="BB170" s="53"/>
      <c r="BC170" s="53"/>
      <c r="BD170" s="53"/>
      <c r="BE170" s="53"/>
      <c r="BF170" s="53"/>
      <c r="BG170" s="53"/>
      <c r="BH170" s="53"/>
      <c r="BI170" s="53"/>
      <c r="BJ170" s="53"/>
      <c r="BK170" s="53"/>
      <c r="BL170" s="53"/>
      <c r="BM170" s="53"/>
      <c r="BN170" s="53"/>
      <c r="BO170" s="53"/>
      <c r="BP170" s="53"/>
      <c r="BQ170" s="53"/>
      <c r="BR170" s="53"/>
      <c r="BS170" s="53"/>
      <c r="BT170" s="53"/>
      <c r="BU170" s="53"/>
      <c r="BV170" s="53"/>
      <c r="BW170" s="53"/>
      <c r="BX170" s="53"/>
      <c r="BY170" s="53"/>
      <c r="BZ170" s="53"/>
      <c r="CA170" s="53"/>
      <c r="CB170" s="53"/>
      <c r="CC170" s="53"/>
      <c r="CD170" s="53"/>
      <c r="CE170" s="53"/>
      <c r="CF170" s="53"/>
      <c r="CG170" s="53"/>
      <c r="CH170" s="53"/>
      <c r="CI170" s="53"/>
      <c r="CJ170" s="53"/>
      <c r="CK170" s="53"/>
      <c r="CL170" s="53"/>
      <c r="CM170" s="53"/>
      <c r="CN170" s="53"/>
      <c r="CO170" s="53"/>
      <c r="CP170" s="53"/>
      <c r="CQ170" s="53"/>
      <c r="CR170" s="1"/>
      <c r="CS170" s="1"/>
      <c r="CT170" s="1"/>
      <c r="CU170" s="1"/>
    </row>
    <row r="171" spans="1:99" s="13" customFormat="1" ht="12" customHeight="1" x14ac:dyDescent="0.2">
      <c r="A171" s="65">
        <v>43906</v>
      </c>
      <c r="B171" s="1" t="s">
        <v>489</v>
      </c>
      <c r="C171" s="1" t="s">
        <v>488</v>
      </c>
      <c r="D171" s="60">
        <v>2009</v>
      </c>
      <c r="E171" s="76">
        <v>2</v>
      </c>
      <c r="F171" s="60">
        <v>161</v>
      </c>
      <c r="G171" s="62">
        <v>26.8</v>
      </c>
      <c r="H171" s="60" t="s">
        <v>491</v>
      </c>
      <c r="I171" s="60"/>
      <c r="J171" s="60" t="s">
        <v>475</v>
      </c>
      <c r="K171" s="60">
        <f>IF(J171="syllables",1,IF(J171="trigrams",2,IF(J171="strings",3,IF(J171="visual array",4,IF(J171="characters",5,IF(J171="letters",6,IF(J171="free forms",7,IF(J171="odors",8,IF(J171="words",9,IF(J171="pictures",10,IF(J171="object pictures",11,IF(J171="faces",12,IF(J171="names",13,IF(J171="idioms",14,IF(J171="grades",15,IF(J171="syllable-digit pairs",16,IF(J171="trigram-word pairs",17,IF(J171="word-digit pairs",18,IF(J171="English-Swahili pairs",19,IF(J171="spatial position",20,IF(J171="word pairs",21,IF(J171="word triads",22,IF(J171="generated words",23,IF(J171="word definition pairs",24,IF(J171="math problems",25,IF(J171="famous faces",26,IF(J171="famous names",27,IF(J171="famous voices",28,IF(J171="television programs",29,IF(J171="race horses",30,IF(J171="new vocabulary",31,IF(J171="sentences",32,IF(J171="concepts",33,IF(J171="ad slides",34,IF(J171="scenes",35,IF(J171="famous scenes",36,IF(J171="poems",37,IF(J171="walk",38,IF(J171="faces and events",39,IF(J171="events and names",40,IF(J171="flashbulb",41,IF(J171="stories",42,IF(J171="course material",43,IF(J171="autobiographical",44,IF(J171="novels",45,IF(J171="public events",46,"99"))))))))))))))))))))))))))))))))))))))))))))))</f>
        <v>32</v>
      </c>
      <c r="L171" s="60">
        <f>IF(J171="syllables",1,IF(J171="trigrams",1,IF(J171="strings",1,IF(J171="visual array",1,IF(J171="characters",1,IF(J171="letters",1,IF(J171="free forms",1,IF(J171="odors",2,IF(J171="words",2,IF(J171="pictures",2,IF(J171="object pictures",2,IF(J171="faces",2,IF(J171="names",2,IF(J171="idioms","2",IF(J171="grades",2,IF(J171="syllable-digit pairs",3,IF(J171="trigram-word pairs",3,IF(J171="word-digit pairs",3,IF(J171="English-Swahili pairs",3,IF(J171="spatial position",3,IF(J171="word pairs",4,IF(J171="word triads",4,IF(J171="generated words",4,IF(J171="word definition pairs",4,IF(J171="math problems",4,IF(J171="famous faces",4,IF(J171="famous names",4,IF(J171="famous voices",4,IF(J171="television programs",4,IF(J171="race horses",4,IF(J171="new vocabulary",4,IF(J171="sentences",5,IF(J171="concepts",5,IF(J171="ad slides",5,IF(J171="scenes",5,IF(J171="famous scenes",5,IF(J171="poems",6,IF(J171="walk",6,IF(J171="faces and events",6,IF(J171="events and names",6,IF(J171="flashbulb",7,IF(J171="stories",7,IF(J171="course material",7,IF(J171="autobiographical",7,IF(J171="novels",7,IF(J171="public events",7,"99"))))))))))))))))))))))))))))))))))))))))))))))</f>
        <v>5</v>
      </c>
      <c r="M171" s="60">
        <v>1</v>
      </c>
      <c r="N171" s="61">
        <v>4</v>
      </c>
      <c r="O171" s="60">
        <v>0</v>
      </c>
      <c r="P171" s="60"/>
      <c r="Q171" s="60" t="s">
        <v>65</v>
      </c>
      <c r="R171" s="60">
        <f>IF(Q171="Free Recall",1,IF(Q171="Cued Recall",2,IF(Q171="Recognition",3,IF(Q171="Multiple Choice",4,IF(Q171="Savings",5,IF(Q171="Stem Completion",6,IF(Q171="Fragment Completion",7,IF(Q171="anagram solution",8,IF(Q171="Matching",9,IF(Q171="Problem Solving",10,"99"))))))))))</f>
        <v>2</v>
      </c>
      <c r="S171" s="60" t="s">
        <v>15</v>
      </c>
      <c r="T171" s="60" t="s">
        <v>261</v>
      </c>
      <c r="U171" s="60">
        <f>IF(T171="within",1,0)</f>
        <v>0</v>
      </c>
      <c r="V171" s="60">
        <v>23</v>
      </c>
      <c r="W171" s="60">
        <f>F171*V171</f>
        <v>3703</v>
      </c>
      <c r="X171" s="60">
        <v>6</v>
      </c>
      <c r="Y171" s="76">
        <f>AV170</f>
        <v>300</v>
      </c>
      <c r="Z171" s="60" t="s">
        <v>492</v>
      </c>
      <c r="AA171" s="60">
        <f>60*60*24*168</f>
        <v>14515200</v>
      </c>
      <c r="AB171" s="60" t="str">
        <f>IF(AA171&lt;60,"1",IF(AA171&lt;=43200,"2",IF(AA171&lt;=777600,"3","4")))</f>
        <v>4</v>
      </c>
      <c r="AC171" s="56">
        <f>AVERAGE(AV170:DA170)</f>
        <v>4147250</v>
      </c>
      <c r="AD171" s="60" t="str">
        <f>IF(AC171&lt;60,"1",IF(AC171&lt;=43200,"2",IF(AC171&lt;=777600,"3","4")))</f>
        <v>4</v>
      </c>
      <c r="AE171" s="76">
        <f>AA171-Y171</f>
        <v>14514900</v>
      </c>
      <c r="AF171" s="80">
        <f>AV171</f>
        <v>0.96</v>
      </c>
      <c r="AG171" s="56">
        <f>((AW171-AV171)+(AX171-AW171)+(AY171-AX171)+(AZ171-AY171)+(BA171-AZ171))/5</f>
        <v>-0.14799999999999999</v>
      </c>
      <c r="AH171" s="4"/>
      <c r="AI171" s="56">
        <f>RSQ(AV171:BA171,AV170:BA170)</f>
        <v>0.76281084952639533</v>
      </c>
      <c r="AJ171" s="109">
        <f>SLOPE(AV171:BA171,AV170:BA170)</f>
        <v>-4.924054395557486E-8</v>
      </c>
      <c r="AK171" s="56">
        <f>INTERCEPT(AV171:BA171,AV170:BA170)</f>
        <v>0.81254617925309114</v>
      </c>
      <c r="AL171" s="56">
        <f>INDEX(LINEST(LN(AV171:BA171),LN(AV170:BA170),TRUE,TRUE),3,1)</f>
        <v>0.65039308819117259</v>
      </c>
      <c r="AM171" s="56">
        <f>INDEX(LINEST(LN(AV171:BA171),LN(AV170:BA170)),1)</f>
        <v>-0.12863423140777697</v>
      </c>
      <c r="AN171" s="56">
        <f>EXP(INDEX(LINEST(LN(AV171:BA171),LN(AV170:BA170)),1,2))</f>
        <v>2.7508650139131889</v>
      </c>
      <c r="AO171" s="82">
        <f>INDEX(LINEST((AV171:BA171),LN(AV170:BA170),TRUE,TRUE),3,1)</f>
        <v>0.72823576947956759</v>
      </c>
      <c r="AP171" s="82">
        <f>INDEX(LINEST((AV171:BA171),LN(AV170:BA170)),1)</f>
        <v>-6.9898075649523828E-2</v>
      </c>
      <c r="AQ171" s="83">
        <f>INDEX(LINEST(LN(AV171:BA171),SQRT(AV170:BA170),TRUE,TRUE),3,1)</f>
        <v>0.97778881486569702</v>
      </c>
      <c r="AR171" s="116">
        <f>INDEX(LINEST(LN(AV171:BA171),SQRT((AV170:BA170))),1)</f>
        <v>-4.2347499767166774E-4</v>
      </c>
      <c r="AS171" s="84">
        <f>INDEX(LINEST(1/(AV171:BA171),1/(SQRT(AV170:BA170)),TRUE,TRUE),3,1)</f>
        <v>0.19461314854803363</v>
      </c>
      <c r="AT171" s="84">
        <f>INDEX(LINEST(1/(AV171:BA171),1/SQRT(AV170:BA170)),1)</f>
        <v>-28.08204143124323</v>
      </c>
      <c r="AU171" s="3"/>
      <c r="AV171" s="53">
        <v>0.96</v>
      </c>
      <c r="AW171" s="53">
        <v>0.92</v>
      </c>
      <c r="AX171" s="53">
        <v>0.79</v>
      </c>
      <c r="AY171" s="53">
        <v>0.48</v>
      </c>
      <c r="AZ171" s="53">
        <v>0.28000000000000003</v>
      </c>
      <c r="BA171" s="53">
        <v>0.22</v>
      </c>
      <c r="BB171" s="53"/>
      <c r="BC171" s="53"/>
      <c r="BD171" s="53"/>
      <c r="BE171" s="53"/>
      <c r="BF171" s="53"/>
      <c r="BG171" s="53"/>
      <c r="BH171" s="53"/>
      <c r="BI171" s="53"/>
      <c r="BJ171" s="53"/>
      <c r="BK171" s="53"/>
      <c r="BL171" s="53"/>
      <c r="BM171" s="53"/>
      <c r="BN171" s="53"/>
      <c r="BO171" s="53"/>
      <c r="BP171" s="53"/>
      <c r="BQ171" s="53"/>
      <c r="BR171" s="53"/>
      <c r="BS171" s="53"/>
      <c r="BT171" s="53"/>
      <c r="BU171" s="53"/>
      <c r="BV171" s="53"/>
      <c r="BW171" s="53"/>
      <c r="BX171" s="53"/>
      <c r="BY171" s="53"/>
      <c r="BZ171" s="53"/>
      <c r="CA171" s="53"/>
      <c r="CB171" s="53"/>
      <c r="CC171" s="53"/>
      <c r="CD171" s="53"/>
      <c r="CE171" s="53"/>
      <c r="CF171" s="53"/>
      <c r="CG171" s="53"/>
      <c r="CH171" s="53"/>
      <c r="CI171" s="53"/>
      <c r="CJ171" s="53"/>
      <c r="CK171" s="53"/>
      <c r="CL171" s="53"/>
      <c r="CM171" s="53"/>
      <c r="CN171" s="53"/>
      <c r="CO171" s="53"/>
      <c r="CP171" s="53"/>
      <c r="CQ171" s="53"/>
      <c r="CR171" s="1"/>
      <c r="CS171" s="1"/>
      <c r="CT171" s="1"/>
      <c r="CU171" s="1"/>
    </row>
    <row r="172" spans="1:99" s="13" customFormat="1" ht="12" customHeight="1" x14ac:dyDescent="0.2">
      <c r="A172" s="65">
        <v>43906</v>
      </c>
      <c r="B172" s="1"/>
      <c r="C172" s="1"/>
      <c r="D172" s="60"/>
      <c r="E172" s="76"/>
      <c r="F172" s="60"/>
      <c r="G172" s="62"/>
      <c r="H172" s="60"/>
      <c r="I172" s="60"/>
      <c r="J172" s="60"/>
      <c r="K172" s="64"/>
      <c r="L172" s="64"/>
      <c r="M172" s="60"/>
      <c r="N172" s="61"/>
      <c r="O172" s="60"/>
      <c r="P172" s="60"/>
      <c r="Q172" s="60"/>
      <c r="R172" s="60"/>
      <c r="S172" s="60"/>
      <c r="T172" s="60"/>
      <c r="U172" s="60"/>
      <c r="V172" s="60"/>
      <c r="W172" s="60"/>
      <c r="X172" s="60"/>
      <c r="Y172" s="76"/>
      <c r="Z172" s="60"/>
      <c r="AA172" s="60"/>
      <c r="AB172" s="60"/>
      <c r="AC172" s="56"/>
      <c r="AD172" s="60"/>
      <c r="AE172" s="60"/>
      <c r="AF172" s="80"/>
      <c r="AG172" s="56"/>
      <c r="AH172" s="4"/>
      <c r="AI172" s="56"/>
      <c r="AJ172" s="109"/>
      <c r="AK172" s="56"/>
      <c r="AL172" s="56"/>
      <c r="AM172" s="56"/>
      <c r="AN172" s="56"/>
      <c r="AO172" s="82"/>
      <c r="AP172" s="82"/>
      <c r="AQ172" s="83"/>
      <c r="AR172" s="116"/>
      <c r="AS172" s="84"/>
      <c r="AT172" s="84"/>
      <c r="AU172" s="3"/>
      <c r="AV172" s="25">
        <v>300</v>
      </c>
      <c r="AW172" s="25">
        <f>60*60*24</f>
        <v>86400</v>
      </c>
      <c r="AX172" s="25">
        <f>AW172*7</f>
        <v>604800</v>
      </c>
      <c r="AY172" s="25">
        <f>AW172*28</f>
        <v>2419200</v>
      </c>
      <c r="AZ172" s="25">
        <f>AW172*84</f>
        <v>7257600</v>
      </c>
      <c r="BA172" s="25">
        <f>AW172*168</f>
        <v>14515200</v>
      </c>
      <c r="BB172" s="53"/>
      <c r="BC172" s="53"/>
      <c r="BD172" s="53"/>
      <c r="BE172" s="53"/>
      <c r="BF172" s="53"/>
      <c r="BG172" s="53"/>
      <c r="BH172" s="53"/>
      <c r="BI172" s="53"/>
      <c r="BJ172" s="53"/>
      <c r="BK172" s="53"/>
      <c r="BL172" s="53"/>
      <c r="BM172" s="53"/>
      <c r="BN172" s="53"/>
      <c r="BO172" s="53"/>
      <c r="BP172" s="53"/>
      <c r="BQ172" s="53"/>
      <c r="BR172" s="53"/>
      <c r="BS172" s="53"/>
      <c r="BT172" s="53"/>
      <c r="BU172" s="53"/>
      <c r="BV172" s="53"/>
      <c r="BW172" s="53"/>
      <c r="BX172" s="53"/>
      <c r="BY172" s="53"/>
      <c r="BZ172" s="53"/>
      <c r="CA172" s="53"/>
      <c r="CB172" s="53"/>
      <c r="CC172" s="53"/>
      <c r="CD172" s="53"/>
      <c r="CE172" s="53"/>
      <c r="CF172" s="53"/>
      <c r="CG172" s="53"/>
      <c r="CH172" s="53"/>
      <c r="CI172" s="53"/>
      <c r="CJ172" s="53"/>
      <c r="CK172" s="53"/>
      <c r="CL172" s="53"/>
      <c r="CM172" s="53"/>
      <c r="CN172" s="53"/>
      <c r="CO172" s="53"/>
      <c r="CP172" s="53"/>
      <c r="CQ172" s="53"/>
      <c r="CR172" s="1"/>
      <c r="CS172" s="1"/>
      <c r="CT172" s="1"/>
      <c r="CU172" s="1"/>
    </row>
    <row r="173" spans="1:99" s="13" customFormat="1" ht="12" customHeight="1" x14ac:dyDescent="0.2">
      <c r="A173" s="65">
        <v>43906</v>
      </c>
      <c r="B173" s="1" t="s">
        <v>489</v>
      </c>
      <c r="C173" s="1" t="s">
        <v>488</v>
      </c>
      <c r="D173" s="60">
        <v>2009</v>
      </c>
      <c r="E173" s="76">
        <v>2</v>
      </c>
      <c r="F173" s="60">
        <v>161</v>
      </c>
      <c r="G173" s="62">
        <v>26.8</v>
      </c>
      <c r="H173" s="60" t="s">
        <v>491</v>
      </c>
      <c r="I173" s="60"/>
      <c r="J173" s="60" t="s">
        <v>676</v>
      </c>
      <c r="K173" s="60">
        <f>IF(J173="syllables",1,IF(J173="trigrams",2,IF(J173="strings",3,IF(J173="visual array",4,IF(J173="characters",5,IF(J173="letters",6,IF(J173="free forms",7,IF(J173="odors",8,IF(J173="words",9,IF(J173="pictures",10,IF(J173="object pictures",11,IF(J173="faces",12,IF(J173="names",13,IF(J173="idioms",14,IF(J173="grades",15,IF(J173="syllable-digit pairs",16,IF(J173="trigram-word pairs",17,IF(J173="word-digit pairs",18,IF(J173="English-Swahili pairs",19,IF(J173="spatial position",20,IF(J173="word pairs",21,IF(J173="word triads",22,IF(J173="generated words",23,IF(J173="word definition pairs",24,IF(J173="math problems",25,IF(J173="famous faces",26,IF(J173="famous names",27,IF(J173="famous voices",28,IF(J173="television programs",29,IF(J173="race horses",30,IF(J173="new vocabulary",31,IF(J173="sentences",32,IF(J173="concepts",33,IF(J173="ad slides",34,IF(J173="scenes",35,IF(J173="famous scenes",36,IF(J173="poems",37,IF(J173="walk",38,IF(J173="faces and events",39,IF(J173="events and names",40,IF(J173="flashbulb",41,IF(J173="stories",42,IF(J173="course material",43,IF(J173="autobiographical",44,IF(J173="novels",45,IF(J173="public events",46,"99"))))))))))))))))))))))))))))))))))))))))))))))</f>
        <v>11</v>
      </c>
      <c r="L173" s="60">
        <f>IF(J173="syllables",1,IF(J173="trigrams",1,IF(J173="strings",1,IF(J173="visual array",1,IF(J173="characters",1,IF(J173="letters",1,IF(J173="free forms",1,IF(J173="odors",2,IF(J173="words",2,IF(J173="pictures",2,IF(J173="object pictures",2,IF(J173="faces",2,IF(J173="names",2,IF(J173="idioms","2",IF(J173="grades",2,IF(J173="syllable-digit pairs",3,IF(J173="trigram-word pairs",3,IF(J173="word-digit pairs",3,IF(J173="English-Swahili pairs",3,IF(J173="spatial position",3,IF(J173="word pairs",4,IF(J173="word triads",4,IF(J173="generated words",4,IF(J173="word definition pairs",4,IF(J173="math problems",4,IF(J173="famous faces",4,IF(J173="famous names",4,IF(J173="famous voices",4,IF(J173="television programs",4,IF(J173="race horses",4,IF(J173="new vocabulary",4,IF(J173="sentences",5,IF(J173="concepts",5,IF(J173="ad slides",5,IF(J173="scenes",5,IF(J173="famous scenes",5,IF(J173="poems",6,IF(J173="walk",6,IF(J173="faces and events",6,IF(J173="events and names",6,IF(J173="flashbulb",7,IF(J173="stories",7,IF(J173="course material",7,IF(J173="autobiographical",7,IF(J173="novels",7,IF(J173="public events",7,"99"))))))))))))))))))))))))))))))))))))))))))))))</f>
        <v>2</v>
      </c>
      <c r="M173" s="60">
        <v>1</v>
      </c>
      <c r="N173" s="61">
        <v>3</v>
      </c>
      <c r="O173" s="60">
        <v>0</v>
      </c>
      <c r="P173" s="60"/>
      <c r="Q173" s="60" t="s">
        <v>65</v>
      </c>
      <c r="R173" s="60">
        <f>IF(Q173="Free Recall",1,IF(Q173="Cued Recall",2,IF(Q173="Recognition",3,IF(Q173="Multiple Choice",4,IF(Q173="Savings",5,IF(Q173="Stem Completion",6,IF(Q173="Fragment Completion",7,IF(Q173="anagram solution",8,IF(Q173="Matching",9,IF(Q173="Problem Solving",10,"99"))))))))))</f>
        <v>2</v>
      </c>
      <c r="S173" s="60" t="s">
        <v>15</v>
      </c>
      <c r="T173" s="60" t="s">
        <v>261</v>
      </c>
      <c r="U173" s="60">
        <f>IF(T173="within",1,0)</f>
        <v>0</v>
      </c>
      <c r="V173" s="60">
        <v>23</v>
      </c>
      <c r="W173" s="60">
        <f>F173*V173</f>
        <v>3703</v>
      </c>
      <c r="X173" s="60">
        <v>6</v>
      </c>
      <c r="Y173" s="76">
        <f>AV172</f>
        <v>300</v>
      </c>
      <c r="Z173" s="60" t="s">
        <v>492</v>
      </c>
      <c r="AA173" s="60">
        <f>60*60*24*168</f>
        <v>14515200</v>
      </c>
      <c r="AB173" s="60" t="str">
        <f>IF(AA173&lt;60,"1",IF(AA173&lt;=43200,"2",IF(AA173&lt;=777600,"3","4")))</f>
        <v>4</v>
      </c>
      <c r="AC173" s="56">
        <f>AVERAGE(AV172:DA172)</f>
        <v>4147250</v>
      </c>
      <c r="AD173" s="60" t="str">
        <f>IF(AC173&lt;60,"1",IF(AC173&lt;=43200,"2",IF(AC173&lt;=777600,"3","4")))</f>
        <v>4</v>
      </c>
      <c r="AE173" s="76">
        <f>AA173-Y173</f>
        <v>14514900</v>
      </c>
      <c r="AF173" s="80">
        <f>AV173</f>
        <v>0.93</v>
      </c>
      <c r="AG173" s="56">
        <f>((AW173-AV173)+(AX173-AW173)+(AY173-AX173)+(AZ173-AY173)+(BA173-AZ173))/5</f>
        <v>-0.17400000000000002</v>
      </c>
      <c r="AH173" s="4"/>
      <c r="AI173" s="56">
        <f>RSQ(AV173:BA173,AV172:BA172)</f>
        <v>0.65040284987659547</v>
      </c>
      <c r="AJ173" s="109">
        <f>SLOPE(AV173:BA173,AV172:BA172)</f>
        <v>-5.298936292699769E-8</v>
      </c>
      <c r="AK173" s="56">
        <f>INTERCEPT(AV173:BA173,AV172:BA172)</f>
        <v>0.67642680206565775</v>
      </c>
      <c r="AL173" s="56">
        <f>INDEX(LINEST(LN(AV173:BA173),LN(AV172:BA172),TRUE,TRUE),3,1)</f>
        <v>0.67524845173194803</v>
      </c>
      <c r="AM173" s="56">
        <f>INDEX(LINEST(LN(AV173:BA173),LN(AV172:BA172)),1)</f>
        <v>-0.2416812154323445</v>
      </c>
      <c r="AN173" s="56">
        <f>EXP(INDEX(LINEST(LN(AV173:BA173),LN(AV172:BA172)),1,2))</f>
        <v>6.5559922343117218</v>
      </c>
      <c r="AO173" s="82">
        <f>INDEX(LINEST((AV173:BA173),LN(AV172:BA172),TRUE,TRUE),3,1)</f>
        <v>0.81793991554029644</v>
      </c>
      <c r="AP173" s="82">
        <f>INDEX(LINEST((AV173:BA173),LN(AV172:BA172)),1)</f>
        <v>-8.6332235433962207E-2</v>
      </c>
      <c r="AQ173" s="83">
        <f>INDEX(LINEST(LN(AV173:BA173),SQRT(AV172:BA172),TRUE,TRUE),3,1)</f>
        <v>0.97883287374835826</v>
      </c>
      <c r="AR173" s="116">
        <f>INDEX(LINEST(LN(AV173:BA173),SQRT((AV172:BA172))),1)</f>
        <v>-7.8127156057026278E-4</v>
      </c>
      <c r="AS173" s="84">
        <f>INDEX(LINEST(1/(AV173:BA173),1/(SQRT(AV172:BA172)),TRUE,TRUE),3,1)</f>
        <v>0.1616311573122782</v>
      </c>
      <c r="AT173" s="84">
        <f>INDEX(LINEST(1/(AV173:BA173),1/SQRT(AV172:BA172)),1)</f>
        <v>-112.54390059434245</v>
      </c>
      <c r="AU173" s="3"/>
      <c r="AV173" s="53">
        <v>0.93</v>
      </c>
      <c r="AW173" s="53">
        <v>0.84</v>
      </c>
      <c r="AX173" s="53">
        <v>0.56999999999999995</v>
      </c>
      <c r="AY173" s="53">
        <v>0.25</v>
      </c>
      <c r="AZ173" s="53">
        <v>0.09</v>
      </c>
      <c r="BA173" s="53">
        <v>0.06</v>
      </c>
      <c r="BB173" s="53"/>
      <c r="BC173" s="53"/>
      <c r="BD173" s="53"/>
      <c r="BE173" s="53"/>
      <c r="BF173" s="53"/>
      <c r="BG173" s="53"/>
      <c r="BH173" s="53"/>
      <c r="BI173" s="53"/>
      <c r="BJ173" s="53"/>
      <c r="BK173" s="53"/>
      <c r="BL173" s="53"/>
      <c r="BM173" s="53"/>
      <c r="BN173" s="53"/>
      <c r="BO173" s="53"/>
      <c r="BP173" s="53"/>
      <c r="BQ173" s="53"/>
      <c r="BR173" s="53"/>
      <c r="BS173" s="53"/>
      <c r="BT173" s="53"/>
      <c r="BU173" s="53"/>
      <c r="BV173" s="53"/>
      <c r="BW173" s="53"/>
      <c r="BX173" s="53"/>
      <c r="BY173" s="53"/>
      <c r="BZ173" s="53"/>
      <c r="CA173" s="53"/>
      <c r="CB173" s="53"/>
      <c r="CC173" s="53"/>
      <c r="CD173" s="53"/>
      <c r="CE173" s="53"/>
      <c r="CF173" s="53"/>
      <c r="CG173" s="53"/>
      <c r="CH173" s="53"/>
      <c r="CI173" s="53"/>
      <c r="CJ173" s="53"/>
      <c r="CK173" s="53"/>
      <c r="CL173" s="53"/>
      <c r="CM173" s="53"/>
      <c r="CN173" s="53"/>
      <c r="CO173" s="53"/>
      <c r="CP173" s="53"/>
      <c r="CQ173" s="53"/>
      <c r="CR173" s="1"/>
      <c r="CS173" s="1"/>
      <c r="CT173" s="1"/>
      <c r="CU173" s="1"/>
    </row>
    <row r="174" spans="1:99" s="13" customFormat="1" ht="12" customHeight="1" x14ac:dyDescent="0.2">
      <c r="A174" s="68">
        <v>43895</v>
      </c>
      <c r="B174" s="70"/>
      <c r="C174" s="70"/>
      <c r="D174" s="69"/>
      <c r="E174" s="87"/>
      <c r="F174" s="69"/>
      <c r="G174" s="69"/>
      <c r="H174" s="69"/>
      <c r="I174" s="69"/>
      <c r="J174" s="69"/>
      <c r="K174" s="107"/>
      <c r="L174" s="107"/>
      <c r="M174" s="69"/>
      <c r="N174" s="92"/>
      <c r="O174" s="69"/>
      <c r="P174" s="69"/>
      <c r="Q174" s="69"/>
      <c r="R174" s="69"/>
      <c r="S174" s="69"/>
      <c r="T174" s="92"/>
      <c r="U174" s="69"/>
      <c r="V174" s="92"/>
      <c r="W174" s="69"/>
      <c r="X174" s="69"/>
      <c r="Y174" s="87"/>
      <c r="Z174" s="69"/>
      <c r="AA174" s="69"/>
      <c r="AB174" s="69"/>
      <c r="AC174" s="72"/>
      <c r="AD174" s="69"/>
      <c r="AE174" s="69"/>
      <c r="AF174" s="88"/>
      <c r="AG174" s="72"/>
      <c r="AH174" s="4"/>
      <c r="AI174" s="72"/>
      <c r="AJ174" s="110"/>
      <c r="AK174" s="72"/>
      <c r="AL174" s="72"/>
      <c r="AM174" s="72"/>
      <c r="AN174" s="72"/>
      <c r="AO174" s="89"/>
      <c r="AP174" s="89"/>
      <c r="AQ174" s="90"/>
      <c r="AR174" s="117"/>
      <c r="AS174" s="91"/>
      <c r="AT174" s="91"/>
      <c r="AU174" s="3"/>
      <c r="AV174" s="71">
        <v>157680000</v>
      </c>
      <c r="AW174" s="71">
        <v>473040000</v>
      </c>
      <c r="AX174" s="71">
        <v>788400000</v>
      </c>
      <c r="AY174" s="71">
        <v>1103760000</v>
      </c>
      <c r="AZ174" s="71">
        <v>1419120000</v>
      </c>
      <c r="BA174" s="53"/>
      <c r="BB174" s="53"/>
      <c r="BC174" s="53"/>
      <c r="BD174" s="53"/>
      <c r="BE174" s="53"/>
      <c r="BF174" s="53"/>
      <c r="BG174" s="53"/>
      <c r="BH174" s="53"/>
      <c r="BI174" s="53"/>
      <c r="BJ174" s="53"/>
      <c r="BK174" s="53"/>
      <c r="BL174" s="53"/>
      <c r="BM174" s="53"/>
      <c r="BN174" s="53"/>
      <c r="BO174" s="53"/>
      <c r="BP174" s="53"/>
      <c r="BQ174" s="53"/>
      <c r="BR174" s="53"/>
      <c r="BS174" s="53"/>
      <c r="BT174" s="53"/>
      <c r="BU174" s="53"/>
      <c r="BV174" s="53"/>
      <c r="BW174" s="53"/>
      <c r="BX174" s="53"/>
      <c r="BY174" s="53"/>
      <c r="BZ174" s="53"/>
      <c r="CA174" s="53"/>
      <c r="CB174" s="53"/>
      <c r="CC174" s="53"/>
      <c r="CD174" s="53"/>
      <c r="CE174" s="53"/>
      <c r="CF174" s="53"/>
      <c r="CG174" s="53"/>
      <c r="CH174" s="53"/>
      <c r="CI174" s="53"/>
      <c r="CJ174" s="53"/>
      <c r="CK174" s="53"/>
      <c r="CL174" s="53"/>
      <c r="CM174" s="53"/>
      <c r="CN174" s="53"/>
      <c r="CO174" s="53"/>
      <c r="CP174" s="53"/>
      <c r="CQ174" s="53"/>
      <c r="CR174" s="1"/>
      <c r="CS174" s="1"/>
      <c r="CT174" s="1"/>
      <c r="CU174" s="1"/>
    </row>
    <row r="175" spans="1:99" s="13" customFormat="1" ht="12" customHeight="1" x14ac:dyDescent="0.2">
      <c r="A175" s="68">
        <v>43895</v>
      </c>
      <c r="B175" s="70" t="s">
        <v>339</v>
      </c>
      <c r="C175" s="70" t="s">
        <v>54</v>
      </c>
      <c r="D175" s="69">
        <v>1983</v>
      </c>
      <c r="E175" s="87">
        <v>1</v>
      </c>
      <c r="F175" s="69">
        <v>10</v>
      </c>
      <c r="G175" s="69">
        <v>10</v>
      </c>
      <c r="H175" s="69" t="s">
        <v>232</v>
      </c>
      <c r="I175" s="69" t="s">
        <v>330</v>
      </c>
      <c r="J175" s="69" t="s">
        <v>342</v>
      </c>
      <c r="K175" s="69">
        <f>IF(J175="syllables",1,IF(J175="trigrams",2,IF(J175="strings",3,IF(J175="visual array",4,IF(J175="characters",5,IF(J175="letters",6,IF(J175="free forms",7,IF(J175="odors",8,IF(J175="words",9,IF(J175="pictures",10,IF(J175="object pictures",11,IF(J175="faces",12,IF(J175="names",13,IF(J175="idioms",14,IF(J175="grades",15,IF(J175="syllable-digit pairs",16,IF(J175="trigram-word pairs",17,IF(J175="word-digit pairs",18,IF(J175="English-Swahili pairs",19,IF(J175="spatial position",20,IF(J175="word pairs",21,IF(J175="word triads",22,IF(J175="generated words",23,IF(J175="word definition pairs",24,IF(J175="math problems",25,IF(J175="famous faces",26,IF(J175="famous names",27,IF(J175="famous voices",28,IF(J175="television programs",29,IF(J175="race horses",30,IF(J175="new vocabulary",31,IF(J175="sentences",32,IF(J175="concepts",33,IF(J175="ad slides",34,IF(J175="scenes",35,IF(J175="famous scenes",36,IF(J175="poems",37,IF(J175="walk",38,IF(J175="faces and events",39,IF(J175="events and names",40,IF(J175="flashbulb",41,IF(J175="stories",42,IF(J175="course material",43,IF(J175="autobiographical",44,IF(J175="novels",45,IF(J175="public events",46,"99"))))))))))))))))))))))))))))))))))))))))))))))</f>
        <v>26</v>
      </c>
      <c r="L175" s="69">
        <f>IF(J175="syllables",1,IF(J175="trigrams",1,IF(J175="strings",1,IF(J175="visual array",1,IF(J175="characters",1,IF(J175="letters",1,IF(J175="free forms",1,IF(J175="odors",2,IF(J175="words",2,IF(J175="pictures",2,IF(J175="object pictures",2,IF(J175="faces",2,IF(J175="names",2,IF(J175="idioms","2",IF(J175="grades",2,IF(J175="syllable-digit pairs",3,IF(J175="trigram-word pairs",3,IF(J175="word-digit pairs",3,IF(J175="English-Swahili pairs",3,IF(J175="spatial position",3,IF(J175="word pairs",4,IF(J175="word triads",4,IF(J175="generated words",4,IF(J175="word definition pairs",4,IF(J175="math problems",4,IF(J175="famous faces",4,IF(J175="famous names",4,IF(J175="famous voices",4,IF(J175="television programs",4,IF(J175="race horses",4,IF(J175="new vocabulary",4,IF(J175="sentences",5,IF(J175="concepts",5,IF(J175="ad slides",5,IF(J175="scenes",5,IF(J175="famous scenes",5,IF(J175="poems",6,IF(J175="walk",6,IF(J175="faces and events",6,IF(J175="events and names",6,IF(J175="flashbulb",7,IF(J175="stories",7,IF(J175="course material",7,IF(J175="autobiographical",7,IF(J175="novels",7,IF(J175="public events",7,"99"))))))))))))))))))))))))))))))))))))))))))))))</f>
        <v>4</v>
      </c>
      <c r="M175" s="99">
        <v>1</v>
      </c>
      <c r="N175" s="92">
        <v>3</v>
      </c>
      <c r="O175" s="99">
        <v>0</v>
      </c>
      <c r="P175" s="69"/>
      <c r="Q175" s="99" t="s">
        <v>34</v>
      </c>
      <c r="R175" s="69">
        <f>IF(Q175="Free Recall",1,IF(Q175="Cued Recall",2,IF(Q175="Recognition",3,IF(Q175="Multiple Choice",4,IF(Q175="Savings",5,IF(Q175="Stem Completion",6,IF(Q175="Fragment Completion",7,IF(Q175="anagram solution",8,IF(Q175="Matching",9,IF(Q175="Problem Solving",10,"99"))))))))))</f>
        <v>3</v>
      </c>
      <c r="S175" s="69" t="s">
        <v>15</v>
      </c>
      <c r="T175" s="92" t="s">
        <v>581</v>
      </c>
      <c r="U175" s="69">
        <f>IF(T175="within",1,0)</f>
        <v>1</v>
      </c>
      <c r="V175" s="92">
        <v>132</v>
      </c>
      <c r="W175" s="69">
        <f>F175*V175</f>
        <v>1320</v>
      </c>
      <c r="X175" s="69">
        <v>5</v>
      </c>
      <c r="Y175" s="87">
        <f>AV174</f>
        <v>157680000</v>
      </c>
      <c r="Z175" s="69" t="s">
        <v>373</v>
      </c>
      <c r="AA175" s="69">
        <f>45*365*24*60*60</f>
        <v>1419120000</v>
      </c>
      <c r="AB175" s="69" t="str">
        <f>IF(AA175&lt;60,"1",IF(AA175&lt;=43200,"2",IF(AA175&lt;=777600,"3","4")))</f>
        <v>4</v>
      </c>
      <c r="AC175" s="72">
        <f>AVERAGE(AV174:DA174)</f>
        <v>788400000</v>
      </c>
      <c r="AD175" s="69" t="str">
        <f>IF(AC175&lt;60,"1",IF(AC175&lt;=43200,"2",IF(AC175&lt;=777600,"3","4")))</f>
        <v>4</v>
      </c>
      <c r="AE175" s="87">
        <f>AA175-Y175</f>
        <v>1261440000</v>
      </c>
      <c r="AF175" s="88">
        <f>AV175</f>
        <v>0.79032258064516125</v>
      </c>
      <c r="AG175" s="93">
        <f>((AW175-AV175)+(AX175-AW175)+(AY175-AX175)+(AZ175-AY175))/4</f>
        <v>-3.7030941408821572E-3</v>
      </c>
      <c r="AH175" s="4"/>
      <c r="AI175" s="72">
        <f>RSQ(AV175:AZ175,AV174:AZ174)</f>
        <v>0.30255908766880374</v>
      </c>
      <c r="AJ175" s="110">
        <f>SLOPE(AV175:AZ175,AV174:AZ174)</f>
        <v>-4.1826985009757801E-11</v>
      </c>
      <c r="AK175" s="72">
        <f>INTERCEPT(AV175:AZ175,AV174:AZ174)</f>
        <v>0.81188897235945856</v>
      </c>
      <c r="AL175" s="72">
        <f>INDEX(LINEST(LN(AV175:AZ175),LN(AV174:AZ174),TRUE,TRUE),3,1)</f>
        <v>0.21939093081884997</v>
      </c>
      <c r="AM175" s="72">
        <f>INDEX(LINEST(LN(AV175:AZ175),LN(AV174:AZ174)),1)</f>
        <v>-2.6747660098469152E-2</v>
      </c>
      <c r="AN175" s="72">
        <f>EXP(INDEX(LINEST(LN(AV175:AZ175),LN(AV174:AZ174)),1,2))</f>
        <v>1.3373793676793584</v>
      </c>
      <c r="AO175" s="89">
        <f>INDEX(LINEST((AV175:AZ175),LN(AV174:AZ174),TRUE,TRUE),3,1)</f>
        <v>0.22023724423914182</v>
      </c>
      <c r="AP175" s="89">
        <f>INDEX(LINEST((AV175:AZ175),LN(AV174:AZ174)),1)</f>
        <v>-2.0465530274001848E-2</v>
      </c>
      <c r="AQ175" s="90">
        <f>INDEX(LINEST(LN(AV175:AZ175),SQRT(AV174:AZ174),TRUE,TRUE),3,1)</f>
        <v>0.27137636449008401</v>
      </c>
      <c r="AR175" s="117">
        <f>INDEX(LINEST(LN(AV175:AZ175),SQRT((AV174:AZ174))),1)</f>
        <v>-2.6216859755243383E-6</v>
      </c>
      <c r="AS175" s="91">
        <f>INDEX(LINEST(1/(AV175:AZ175),1/(SQRT(AV174:AZ174)),TRUE,TRUE),3,1)</f>
        <v>0.16013339106755831</v>
      </c>
      <c r="AT175" s="91">
        <f>INDEX(LINEST(1/(AV175:AZ175),1/SQRT(AV174:AZ174)),1)</f>
        <v>-1214.8265019391008</v>
      </c>
      <c r="AU175" s="3"/>
      <c r="AV175" s="73">
        <v>0.79032258064516125</v>
      </c>
      <c r="AW175" s="73">
        <v>0.81967213114754101</v>
      </c>
      <c r="AX175" s="73">
        <v>0.79166666666666663</v>
      </c>
      <c r="AY175" s="73">
        <v>0.71739130434782605</v>
      </c>
      <c r="AZ175" s="73">
        <v>0.77551020408163263</v>
      </c>
      <c r="BA175" s="53"/>
      <c r="BB175" s="53"/>
      <c r="BC175" s="53"/>
      <c r="BD175" s="53"/>
      <c r="BE175" s="53"/>
      <c r="BF175" s="53"/>
      <c r="BG175" s="53"/>
      <c r="BH175" s="53"/>
      <c r="BI175" s="53"/>
      <c r="BJ175" s="53"/>
      <c r="BK175" s="53"/>
      <c r="BL175" s="53"/>
      <c r="BM175" s="53"/>
      <c r="BN175" s="53"/>
      <c r="BO175" s="53"/>
      <c r="BP175" s="53"/>
      <c r="BQ175" s="53"/>
      <c r="BR175" s="53"/>
      <c r="BS175" s="53"/>
      <c r="BT175" s="53"/>
      <c r="BU175" s="53"/>
      <c r="BV175" s="53"/>
      <c r="BW175" s="53"/>
      <c r="BX175" s="53"/>
      <c r="BY175" s="53"/>
      <c r="BZ175" s="53"/>
      <c r="CA175" s="53"/>
      <c r="CB175" s="53"/>
      <c r="CC175" s="53"/>
      <c r="CD175" s="53"/>
      <c r="CE175" s="53"/>
      <c r="CF175" s="53"/>
      <c r="CG175" s="53"/>
      <c r="CH175" s="53"/>
      <c r="CI175" s="53"/>
      <c r="CJ175" s="53"/>
      <c r="CK175" s="53"/>
      <c r="CL175" s="53"/>
      <c r="CM175" s="53"/>
      <c r="CN175" s="53"/>
      <c r="CO175" s="53"/>
      <c r="CP175" s="53"/>
      <c r="CQ175" s="53"/>
      <c r="CR175" s="1"/>
      <c r="CS175" s="1"/>
      <c r="CT175" s="1"/>
      <c r="CU175" s="1"/>
    </row>
    <row r="176" spans="1:99" s="13" customFormat="1" ht="12" customHeight="1" x14ac:dyDescent="0.2">
      <c r="A176" s="68">
        <v>43895</v>
      </c>
      <c r="B176" s="70"/>
      <c r="C176" s="70"/>
      <c r="D176" s="69"/>
      <c r="E176" s="87"/>
      <c r="F176" s="69"/>
      <c r="G176" s="69"/>
      <c r="H176" s="69"/>
      <c r="I176" s="69"/>
      <c r="J176" s="69"/>
      <c r="K176" s="107"/>
      <c r="L176" s="107"/>
      <c r="M176" s="69"/>
      <c r="N176" s="86"/>
      <c r="O176" s="69"/>
      <c r="P176" s="69"/>
      <c r="Q176" s="69"/>
      <c r="R176" s="69"/>
      <c r="S176" s="69"/>
      <c r="T176" s="69"/>
      <c r="U176" s="69"/>
      <c r="V176" s="69"/>
      <c r="W176" s="69"/>
      <c r="X176" s="69"/>
      <c r="Y176" s="87"/>
      <c r="Z176" s="69"/>
      <c r="AA176" s="69"/>
      <c r="AB176" s="69"/>
      <c r="AC176" s="72"/>
      <c r="AD176" s="69"/>
      <c r="AE176" s="69"/>
      <c r="AF176" s="88"/>
      <c r="AG176" s="72"/>
      <c r="AH176" s="4"/>
      <c r="AI176" s="72"/>
      <c r="AJ176" s="110"/>
      <c r="AK176" s="72"/>
      <c r="AL176" s="72"/>
      <c r="AM176" s="72"/>
      <c r="AN176" s="72"/>
      <c r="AO176" s="89"/>
      <c r="AP176" s="89"/>
      <c r="AQ176" s="90"/>
      <c r="AR176" s="117"/>
      <c r="AS176" s="91"/>
      <c r="AT176" s="91"/>
      <c r="AU176" s="3"/>
      <c r="AV176" s="71">
        <v>157680000</v>
      </c>
      <c r="AW176" s="71">
        <v>473040000</v>
      </c>
      <c r="AX176" s="71">
        <v>788400000</v>
      </c>
      <c r="AY176" s="71">
        <v>1103760000</v>
      </c>
      <c r="AZ176" s="73"/>
      <c r="BA176" s="53"/>
      <c r="BB176" s="53"/>
      <c r="BC176" s="53"/>
      <c r="BD176" s="53"/>
      <c r="BE176" s="53"/>
      <c r="BF176" s="53"/>
      <c r="BG176" s="53"/>
      <c r="BH176" s="53"/>
      <c r="BI176" s="53"/>
      <c r="BJ176" s="53"/>
      <c r="BK176" s="53"/>
      <c r="BL176" s="53"/>
      <c r="BM176" s="53"/>
      <c r="BN176" s="53"/>
      <c r="BO176" s="53"/>
      <c r="BP176" s="53"/>
      <c r="BQ176" s="53"/>
      <c r="BR176" s="53"/>
      <c r="BS176" s="53"/>
      <c r="BT176" s="53"/>
      <c r="BU176" s="53"/>
      <c r="BV176" s="53"/>
      <c r="BW176" s="53"/>
      <c r="BX176" s="53"/>
      <c r="BY176" s="53"/>
      <c r="BZ176" s="53"/>
      <c r="CA176" s="53"/>
      <c r="CB176" s="53"/>
      <c r="CC176" s="53"/>
      <c r="CD176" s="53"/>
      <c r="CE176" s="53"/>
      <c r="CF176" s="53"/>
      <c r="CG176" s="53"/>
      <c r="CH176" s="53"/>
      <c r="CI176" s="53"/>
      <c r="CJ176" s="53"/>
      <c r="CK176" s="53"/>
      <c r="CL176" s="53"/>
      <c r="CM176" s="53"/>
      <c r="CN176" s="53"/>
      <c r="CO176" s="53"/>
      <c r="CP176" s="53"/>
      <c r="CQ176" s="53"/>
      <c r="CR176" s="1"/>
      <c r="CS176" s="1"/>
      <c r="CT176" s="1"/>
      <c r="CU176" s="1"/>
    </row>
    <row r="177" spans="1:99" s="13" customFormat="1" ht="12" customHeight="1" x14ac:dyDescent="0.2">
      <c r="A177" s="68">
        <v>43895</v>
      </c>
      <c r="B177" s="70" t="s">
        <v>343</v>
      </c>
      <c r="C177" s="70" t="s">
        <v>344</v>
      </c>
      <c r="D177" s="69">
        <v>1981</v>
      </c>
      <c r="E177" s="105">
        <v>1</v>
      </c>
      <c r="F177" s="69">
        <v>28</v>
      </c>
      <c r="G177" s="69">
        <v>28</v>
      </c>
      <c r="H177" s="69" t="s">
        <v>41</v>
      </c>
      <c r="I177" s="69" t="s">
        <v>330</v>
      </c>
      <c r="J177" s="69" t="s">
        <v>340</v>
      </c>
      <c r="K177" s="69">
        <f>IF(J177="syllables",1,IF(J177="trigrams",2,IF(J177="strings",3,IF(J177="visual array",4,IF(J177="characters",5,IF(J177="letters",6,IF(J177="free forms",7,IF(J177="odors",8,IF(J177="words",9,IF(J177="pictures",10,IF(J177="object pictures",11,IF(J177="faces",12,IF(J177="names",13,IF(J177="idioms",14,IF(J177="grades",15,IF(J177="syllable-digit pairs",16,IF(J177="trigram-word pairs",17,IF(J177="word-digit pairs",18,IF(J177="English-Swahili pairs",19,IF(J177="spatial position",20,IF(J177="word pairs",21,IF(J177="word triads",22,IF(J177="generated words",23,IF(J177="word definition pairs",24,IF(J177="math problems",25,IF(J177="famous faces",26,IF(J177="famous names",27,IF(J177="famous voices",28,IF(J177="television programs",29,IF(J177="race horses",30,IF(J177="new vocabulary",31,IF(J177="sentences",32,IF(J177="concepts",33,IF(J177="ad slides",34,IF(J177="scenes",35,IF(J177="famous scenes",36,IF(J177="poems",37,IF(J177="walk",38,IF(J177="faces and events",39,IF(J177="events and names",40,IF(J177="flashbulb",41,IF(J177="stories",42,IF(J177="course material",43,IF(J177="autobiographical",44,IF(J177="novels",45,IF(J177="public events",46,"99"))))))))))))))))))))))))))))))))))))))))))))))</f>
        <v>46</v>
      </c>
      <c r="L177" s="69">
        <f>IF(J177="syllables",1,IF(J177="trigrams",1,IF(J177="strings",1,IF(J177="visual array",1,IF(J177="characters",1,IF(J177="letters",1,IF(J177="free forms",1,IF(J177="odors",2,IF(J177="words",2,IF(J177="pictures",2,IF(J177="object pictures",2,IF(J177="faces",2,IF(J177="names",2,IF(J177="idioms","2",IF(J177="grades",2,IF(J177="syllable-digit pairs",3,IF(J177="trigram-word pairs",3,IF(J177="word-digit pairs",3,IF(J177="English-Swahili pairs",3,IF(J177="spatial position",3,IF(J177="word pairs",4,IF(J177="word triads",4,IF(J177="generated words",4,IF(J177="word definition pairs",4,IF(J177="math problems",4,IF(J177="famous faces",4,IF(J177="famous names",4,IF(J177="famous voices",4,IF(J177="television programs",4,IF(J177="race horses",4,IF(J177="new vocabulary",4,IF(J177="sentences",5,IF(J177="concepts",5,IF(J177="ad slides",5,IF(J177="scenes",5,IF(J177="famous scenes",5,IF(J177="poems",6,IF(J177="walk",6,IF(J177="faces and events",6,IF(J177="events and names",6,IF(J177="flashbulb",7,IF(J177="stories",7,IF(J177="course material",7,IF(J177="autobiographical",7,IF(J177="novels",7,IF(J177="public events",7,"99"))))))))))))))))))))))))))))))))))))))))))))))</f>
        <v>7</v>
      </c>
      <c r="M177" s="69">
        <v>1</v>
      </c>
      <c r="N177" s="86">
        <v>4</v>
      </c>
      <c r="O177" s="69">
        <v>0</v>
      </c>
      <c r="P177" s="69"/>
      <c r="Q177" s="69" t="s">
        <v>34</v>
      </c>
      <c r="R177" s="69">
        <f>IF(Q177="Free Recall",1,IF(Q177="Cued Recall",2,IF(Q177="Recognition",3,IF(Q177="Multiple Choice",4,IF(Q177="Savings",5,IF(Q177="Stem Completion",6,IF(Q177="Fragment Completion",7,IF(Q177="anagram solution",8,IF(Q177="Matching",9,IF(Q177="Problem Solving",10,"99"))))))))))</f>
        <v>3</v>
      </c>
      <c r="S177" s="92" t="s">
        <v>15</v>
      </c>
      <c r="T177" s="92" t="s">
        <v>581</v>
      </c>
      <c r="U177" s="69">
        <f>IF(T177="within",1,0)</f>
        <v>1</v>
      </c>
      <c r="V177" s="92">
        <v>88</v>
      </c>
      <c r="W177" s="69">
        <f>F177*V177</f>
        <v>2464</v>
      </c>
      <c r="X177" s="69">
        <v>4</v>
      </c>
      <c r="Y177" s="87">
        <f>AV176</f>
        <v>157680000</v>
      </c>
      <c r="Z177" s="92" t="s">
        <v>375</v>
      </c>
      <c r="AA177" s="69">
        <f>35*365*24*60*60</f>
        <v>1103760000</v>
      </c>
      <c r="AB177" s="69" t="str">
        <f>IF(AA177&lt;60,"1",IF(AA177&lt;=43200,"2",IF(AA177&lt;=777600,"3","4")))</f>
        <v>4</v>
      </c>
      <c r="AC177" s="72">
        <f>AVERAGE(AV176:DA176)</f>
        <v>630720000</v>
      </c>
      <c r="AD177" s="69" t="str">
        <f>IF(AC177&lt;60,"1",IF(AC177&lt;=43200,"2",IF(AC177&lt;=777600,"3","4")))</f>
        <v>4</v>
      </c>
      <c r="AE177" s="87">
        <f>AA177-Y177</f>
        <v>946080000</v>
      </c>
      <c r="AF177" s="88">
        <f>AV177</f>
        <v>0.90526315789473688</v>
      </c>
      <c r="AG177" s="72">
        <f>((AW177-AV177)+(AX177-AW177)+(AY177-AX177))/3</f>
        <v>-5.508771929824563E-2</v>
      </c>
      <c r="AH177" s="4"/>
      <c r="AI177" s="72">
        <f>RSQ(AV177:AY177,AV176:AY176)</f>
        <v>0.92109515417554022</v>
      </c>
      <c r="AJ177" s="110">
        <f>SLOPE(AV177:AY177,AV176:AY176)</f>
        <v>-1.6503770720826679E-10</v>
      </c>
      <c r="AK177" s="72">
        <f>INTERCEPT(AV177:AY177,AV176:AY176)</f>
        <v>0.91308616606829118</v>
      </c>
      <c r="AL177" s="72">
        <f>INDEX(LINEST(LN(AV177:AY177),LN(AV176:AY176),TRUE,TRUE),3,1)</f>
        <v>0.98561329669187936</v>
      </c>
      <c r="AM177" s="72">
        <f>INDEX(LINEST(LN(AV177:AY177),LN(AV176:AY176)),1)</f>
        <v>-9.9130471757127095E-2</v>
      </c>
      <c r="AN177" s="72">
        <f>EXP(INDEX(LINEST(LN(AV177:AY177),LN(AV176:AY176)),1,2))</f>
        <v>5.8816071037444573</v>
      </c>
      <c r="AO177" s="89">
        <f>INDEX(LINEST((AV177:AY177),LN(AV176:AY176),TRUE,TRUE),3,1)</f>
        <v>0.98775087632320036</v>
      </c>
      <c r="AP177" s="89">
        <f>INDEX(LINEST((AV177:AY177),LN(AV176:AY176)),1)</f>
        <v>-8.1831325989021403E-2</v>
      </c>
      <c r="AQ177" s="90">
        <f>INDEX(LINEST(LN(AV177:AY177),SQRT(AV176:AY176),TRUE,TRUE),3,1)</f>
        <v>0.97563957434515991</v>
      </c>
      <c r="AR177" s="117">
        <f>INDEX(LINEST(LN(AV177:AY177),SQRT((AV176:AY176))),1)</f>
        <v>-9.4220402674466619E-6</v>
      </c>
      <c r="AS177" s="91">
        <f>INDEX(LINEST(1/(AV177:AY177),1/(SQRT(AV176:AY176)),TRUE,TRUE),3,1)</f>
        <v>0.95492937004734824</v>
      </c>
      <c r="AT177" s="91">
        <f>INDEX(LINEST(1/(AV177:AY177),1/SQRT(AV176:AY176)),1)</f>
        <v>-4550.7773959199067</v>
      </c>
      <c r="AU177" s="3"/>
      <c r="AV177" s="95">
        <v>0.90526315789473688</v>
      </c>
      <c r="AW177" s="95">
        <v>0.80769230769230771</v>
      </c>
      <c r="AX177" s="95">
        <v>0.78301886792452824</v>
      </c>
      <c r="AY177" s="95">
        <v>0.74</v>
      </c>
      <c r="AZ177" s="73"/>
      <c r="BA177" s="53"/>
      <c r="BB177" s="53"/>
      <c r="BC177" s="53"/>
      <c r="BD177" s="53"/>
      <c r="BE177" s="53"/>
      <c r="BF177" s="53"/>
      <c r="BG177" s="53"/>
      <c r="BH177" s="53"/>
      <c r="BI177" s="53"/>
      <c r="BJ177" s="53"/>
      <c r="BK177" s="53"/>
      <c r="BL177" s="53"/>
      <c r="BM177" s="53"/>
      <c r="BN177" s="53"/>
      <c r="BO177" s="53"/>
      <c r="BP177" s="53"/>
      <c r="BQ177" s="53"/>
      <c r="BR177" s="53"/>
      <c r="BS177" s="53"/>
      <c r="BT177" s="53"/>
      <c r="BU177" s="53"/>
      <c r="BV177" s="53"/>
      <c r="BW177" s="53"/>
      <c r="BX177" s="53"/>
      <c r="BY177" s="53"/>
      <c r="BZ177" s="53"/>
      <c r="CA177" s="53"/>
      <c r="CB177" s="53"/>
      <c r="CC177" s="53"/>
      <c r="CD177" s="53"/>
      <c r="CE177" s="53"/>
      <c r="CF177" s="53"/>
      <c r="CG177" s="53"/>
      <c r="CH177" s="53"/>
      <c r="CI177" s="53"/>
      <c r="CJ177" s="53"/>
      <c r="CK177" s="53"/>
      <c r="CL177" s="53"/>
      <c r="CM177" s="53"/>
      <c r="CN177" s="53"/>
      <c r="CO177" s="53"/>
      <c r="CP177" s="53"/>
      <c r="CQ177" s="53"/>
      <c r="CR177" s="1"/>
      <c r="CS177" s="1"/>
      <c r="CT177" s="1"/>
      <c r="CU177" s="1"/>
    </row>
    <row r="178" spans="1:99" s="13" customFormat="1" ht="12" customHeight="1" x14ac:dyDescent="0.2">
      <c r="A178" s="68">
        <v>43895</v>
      </c>
      <c r="B178" s="70"/>
      <c r="C178" s="70"/>
      <c r="D178" s="69"/>
      <c r="E178" s="87"/>
      <c r="F178" s="69"/>
      <c r="G178" s="69"/>
      <c r="H178" s="69"/>
      <c r="I178" s="69"/>
      <c r="J178" s="69"/>
      <c r="K178" s="107"/>
      <c r="L178" s="107"/>
      <c r="M178" s="69"/>
      <c r="N178" s="86"/>
      <c r="O178" s="69"/>
      <c r="P178" s="69"/>
      <c r="Q178" s="69"/>
      <c r="R178" s="69"/>
      <c r="S178" s="69"/>
      <c r="T178" s="69"/>
      <c r="U178" s="69"/>
      <c r="V178" s="69"/>
      <c r="W178" s="69"/>
      <c r="X178" s="69"/>
      <c r="Y178" s="87"/>
      <c r="Z178" s="69"/>
      <c r="AA178" s="69"/>
      <c r="AB178" s="69"/>
      <c r="AC178" s="72"/>
      <c r="AD178" s="69"/>
      <c r="AE178" s="69"/>
      <c r="AF178" s="88"/>
      <c r="AG178" s="72"/>
      <c r="AH178" s="4"/>
      <c r="AI178" s="72"/>
      <c r="AJ178" s="110"/>
      <c r="AK178" s="72"/>
      <c r="AL178" s="72"/>
      <c r="AM178" s="72"/>
      <c r="AN178" s="72"/>
      <c r="AO178" s="89"/>
      <c r="AP178" s="89"/>
      <c r="AQ178" s="90"/>
      <c r="AR178" s="117"/>
      <c r="AS178" s="91"/>
      <c r="AT178" s="91"/>
      <c r="AU178" s="3"/>
      <c r="AV178" s="71">
        <v>157680000</v>
      </c>
      <c r="AW178" s="71">
        <v>473040000</v>
      </c>
      <c r="AX178" s="71">
        <v>788400000</v>
      </c>
      <c r="AY178" s="71">
        <v>1103760000</v>
      </c>
      <c r="AZ178" s="73"/>
      <c r="BA178" s="53"/>
      <c r="BB178" s="53"/>
      <c r="BC178" s="53"/>
      <c r="BD178" s="53"/>
      <c r="BE178" s="53"/>
      <c r="BF178" s="53"/>
      <c r="BG178" s="53"/>
      <c r="BH178" s="53"/>
      <c r="BI178" s="53"/>
      <c r="BJ178" s="53"/>
      <c r="BK178" s="53"/>
      <c r="BL178" s="53"/>
      <c r="BM178" s="53"/>
      <c r="BN178" s="53"/>
      <c r="BO178" s="53"/>
      <c r="BP178" s="53"/>
      <c r="BQ178" s="53"/>
      <c r="BR178" s="53"/>
      <c r="BS178" s="53"/>
      <c r="BT178" s="53"/>
      <c r="BU178" s="53"/>
      <c r="BV178" s="53"/>
      <c r="BW178" s="53"/>
      <c r="BX178" s="53"/>
      <c r="BY178" s="53"/>
      <c r="BZ178" s="53"/>
      <c r="CA178" s="53"/>
      <c r="CB178" s="53"/>
      <c r="CC178" s="53"/>
      <c r="CD178" s="53"/>
      <c r="CE178" s="53"/>
      <c r="CF178" s="53"/>
      <c r="CG178" s="53"/>
      <c r="CH178" s="53"/>
      <c r="CI178" s="53"/>
      <c r="CJ178" s="53"/>
      <c r="CK178" s="53"/>
      <c r="CL178" s="53"/>
      <c r="CM178" s="53"/>
      <c r="CN178" s="53"/>
      <c r="CO178" s="53"/>
      <c r="CP178" s="53"/>
      <c r="CQ178" s="53"/>
      <c r="CR178" s="1"/>
      <c r="CS178" s="1"/>
      <c r="CT178" s="1"/>
      <c r="CU178" s="1"/>
    </row>
    <row r="179" spans="1:99" s="13" customFormat="1" ht="12" customHeight="1" x14ac:dyDescent="0.2">
      <c r="A179" s="68">
        <v>43895</v>
      </c>
      <c r="B179" s="70" t="s">
        <v>343</v>
      </c>
      <c r="C179" s="70" t="s">
        <v>344</v>
      </c>
      <c r="D179" s="69">
        <v>1981</v>
      </c>
      <c r="E179" s="105">
        <v>1</v>
      </c>
      <c r="F179" s="69">
        <v>28</v>
      </c>
      <c r="G179" s="69">
        <v>28</v>
      </c>
      <c r="H179" s="69" t="s">
        <v>32</v>
      </c>
      <c r="I179" s="69" t="s">
        <v>330</v>
      </c>
      <c r="J179" s="69" t="s">
        <v>340</v>
      </c>
      <c r="K179" s="69">
        <f>IF(J179="syllables",1,IF(J179="trigrams",2,IF(J179="strings",3,IF(J179="visual array",4,IF(J179="characters",5,IF(J179="letters",6,IF(J179="free forms",7,IF(J179="odors",8,IF(J179="words",9,IF(J179="pictures",10,IF(J179="object pictures",11,IF(J179="faces",12,IF(J179="names",13,IF(J179="idioms",14,IF(J179="grades",15,IF(J179="syllable-digit pairs",16,IF(J179="trigram-word pairs",17,IF(J179="word-digit pairs",18,IF(J179="English-Swahili pairs",19,IF(J179="spatial position",20,IF(J179="word pairs",21,IF(J179="word triads",22,IF(J179="generated words",23,IF(J179="word definition pairs",24,IF(J179="math problems",25,IF(J179="famous faces",26,IF(J179="famous names",27,IF(J179="famous voices",28,IF(J179="television programs",29,IF(J179="race horses",30,IF(J179="new vocabulary",31,IF(J179="sentences",32,IF(J179="concepts",33,IF(J179="ad slides",34,IF(J179="scenes",35,IF(J179="famous scenes",36,IF(J179="poems",37,IF(J179="walk",38,IF(J179="faces and events",39,IF(J179="events and names",40,IF(J179="flashbulb",41,IF(J179="stories",42,IF(J179="course material",43,IF(J179="autobiographical",44,IF(J179="novels",45,IF(J179="public events",46,"99"))))))))))))))))))))))))))))))))))))))))))))))</f>
        <v>46</v>
      </c>
      <c r="L179" s="69">
        <f>IF(J179="syllables",1,IF(J179="trigrams",1,IF(J179="strings",1,IF(J179="visual array",1,IF(J179="characters",1,IF(J179="letters",1,IF(J179="free forms",1,IF(J179="odors",2,IF(J179="words",2,IF(J179="pictures",2,IF(J179="object pictures",2,IF(J179="faces",2,IF(J179="names",2,IF(J179="idioms","2",IF(J179="grades",2,IF(J179="syllable-digit pairs",3,IF(J179="trigram-word pairs",3,IF(J179="word-digit pairs",3,IF(J179="English-Swahili pairs",3,IF(J179="spatial position",3,IF(J179="word pairs",4,IF(J179="word triads",4,IF(J179="generated words",4,IF(J179="word definition pairs",4,IF(J179="math problems",4,IF(J179="famous faces",4,IF(J179="famous names",4,IF(J179="famous voices",4,IF(J179="television programs",4,IF(J179="race horses",4,IF(J179="new vocabulary",4,IF(J179="sentences",5,IF(J179="concepts",5,IF(J179="ad slides",5,IF(J179="scenes",5,IF(J179="famous scenes",5,IF(J179="poems",6,IF(J179="walk",6,IF(J179="faces and events",6,IF(J179="events and names",6,IF(J179="flashbulb",7,IF(J179="stories",7,IF(J179="course material",7,IF(J179="autobiographical",7,IF(J179="novels",7,IF(J179="public events",7,"99"))))))))))))))))))))))))))))))))))))))))))))))</f>
        <v>7</v>
      </c>
      <c r="M179" s="69">
        <v>1</v>
      </c>
      <c r="N179" s="86">
        <v>4</v>
      </c>
      <c r="O179" s="69">
        <v>0</v>
      </c>
      <c r="P179" s="69"/>
      <c r="Q179" s="69" t="s">
        <v>174</v>
      </c>
      <c r="R179" s="69">
        <f>IF(Q179="Free Recall",1,IF(Q179="Cued Recall",2,IF(Q179="Recognition",3,IF(Q179="Multiple Choice",4,IF(Q179="Savings",5,IF(Q179="Stem Completion",6,IF(Q179="Fragment Completion",7,IF(Q179="anagram solution",8,IF(Q179="Matching",9,IF(Q179="Problem Solving",10,"99"))))))))))</f>
        <v>1</v>
      </c>
      <c r="S179" s="99" t="s">
        <v>49</v>
      </c>
      <c r="T179" s="92" t="s">
        <v>581</v>
      </c>
      <c r="U179" s="69">
        <f>IF(T179="within",1,0)</f>
        <v>1</v>
      </c>
      <c r="V179" s="92">
        <v>88</v>
      </c>
      <c r="W179" s="69">
        <f>F179*V179</f>
        <v>2464</v>
      </c>
      <c r="X179" s="69">
        <v>4</v>
      </c>
      <c r="Y179" s="87">
        <f>AV178</f>
        <v>157680000</v>
      </c>
      <c r="Z179" s="92" t="s">
        <v>375</v>
      </c>
      <c r="AA179" s="69">
        <f>35*365*24*60*60</f>
        <v>1103760000</v>
      </c>
      <c r="AB179" s="69" t="str">
        <f>IF(AA179&lt;60,"1",IF(AA179&lt;=43200,"2",IF(AA179&lt;=777600,"3","4")))</f>
        <v>4</v>
      </c>
      <c r="AC179" s="72">
        <f>AVERAGE(AV178:DA178)</f>
        <v>630720000</v>
      </c>
      <c r="AD179" s="69" t="str">
        <f>IF(AC179&lt;60,"1",IF(AC179&lt;=43200,"2",IF(AC179&lt;=777600,"3","4")))</f>
        <v>4</v>
      </c>
      <c r="AE179" s="87">
        <f>AA179-Y179</f>
        <v>946080000</v>
      </c>
      <c r="AF179" s="88">
        <f>AV179</f>
        <v>0.51428571428571435</v>
      </c>
      <c r="AG179" s="72">
        <f>((AW179-AV179)+(AX179-AW179)+(AY179-AX179))/3</f>
        <v>-2.4206349206349214E-2</v>
      </c>
      <c r="AH179" s="4"/>
      <c r="AI179" s="72">
        <f>RSQ(AV179:AY179,AV178:AY178)</f>
        <v>4.8577335667091867E-2</v>
      </c>
      <c r="AJ179" s="110">
        <f>SLOPE(AV179:AY179,AV178:AY178)</f>
        <v>-4.4627573096779033E-11</v>
      </c>
      <c r="AK179" s="72">
        <f>INTERCEPT(AV179:AY179,AV178:AY178)</f>
        <v>0.56690331010452966</v>
      </c>
      <c r="AL179" s="72">
        <f>INDEX(LINEST(LN(AV179:AY179),LN(AV178:AY178),TRUE,TRUE),3,1)</f>
        <v>5.2470867309423359E-3</v>
      </c>
      <c r="AM179" s="72">
        <f>INDEX(LINEST(LN(AV179:AY179),LN(AV178:AY178)),1)</f>
        <v>-1.3160977738390256E-2</v>
      </c>
      <c r="AN179" s="72">
        <f>EXP(INDEX(LINEST(LN(AV179:AY179),LN(AV178:AY178)),1,2))</f>
        <v>0.6951413198332651</v>
      </c>
      <c r="AO179" s="89">
        <f>INDEX(LINEST((AV179:AY179),LN(AV178:AY178),TRUE,TRUE),3,1)</f>
        <v>4.8586777629351511E-4</v>
      </c>
      <c r="AP179" s="89">
        <f>INDEX(LINEST((AV179:AY179),LN(AV178:AY178)),1)</f>
        <v>-2.1370290046564015E-3</v>
      </c>
      <c r="AQ179" s="90">
        <f>INDEX(LINEST(LN(AV179:AY179),SQRT(AV178:AY178),TRUE,TRUE),3,1)</f>
        <v>2.9208776220730041E-2</v>
      </c>
      <c r="AR179" s="117">
        <f>INDEX(LINEST(LN(AV179:AY179),SQRT((AV178:AY178))),1)</f>
        <v>-2.9664161008687797E-6</v>
      </c>
      <c r="AS179" s="91">
        <f>INDEX(LINEST(1/(AV179:AY179),1/(SQRT(AV178:AY178)),TRUE,TRUE),3,1)</f>
        <v>1.5084192126494545E-3</v>
      </c>
      <c r="AT179" s="91">
        <f>INDEX(LINEST(1/(AV179:AY179),1/SQRT(AV178:AY178)),1)</f>
        <v>-513.72687135880517</v>
      </c>
      <c r="AU179" s="3"/>
      <c r="AV179" s="73">
        <v>0.51428571428571435</v>
      </c>
      <c r="AW179" s="73">
        <v>0.56097560975609762</v>
      </c>
      <c r="AX179" s="73">
        <v>0.63809523809523816</v>
      </c>
      <c r="AY179" s="73">
        <v>0.44166666666666671</v>
      </c>
      <c r="AZ179" s="102"/>
      <c r="BA179" s="53"/>
      <c r="BB179" s="53"/>
      <c r="BC179" s="53"/>
      <c r="BD179" s="53"/>
      <c r="BE179" s="53"/>
      <c r="BF179" s="53"/>
      <c r="BG179" s="53"/>
      <c r="BH179" s="53"/>
      <c r="BI179" s="53"/>
      <c r="BJ179" s="53"/>
      <c r="BK179" s="53"/>
      <c r="BL179" s="53"/>
      <c r="BM179" s="53"/>
      <c r="BN179" s="53"/>
      <c r="BO179" s="53"/>
      <c r="BP179" s="53"/>
      <c r="BQ179" s="53"/>
      <c r="BR179" s="53"/>
      <c r="BS179" s="53"/>
      <c r="BT179" s="53"/>
      <c r="BU179" s="53"/>
      <c r="BV179" s="53"/>
      <c r="BW179" s="53"/>
      <c r="BX179" s="53"/>
      <c r="BY179" s="53"/>
      <c r="BZ179" s="53"/>
      <c r="CA179" s="53"/>
      <c r="CB179" s="53"/>
      <c r="CC179" s="53"/>
      <c r="CD179" s="53"/>
      <c r="CE179" s="53"/>
      <c r="CF179" s="53"/>
      <c r="CG179" s="53"/>
      <c r="CH179" s="53"/>
      <c r="CI179" s="53"/>
      <c r="CJ179" s="53"/>
      <c r="CK179" s="53"/>
      <c r="CL179" s="53"/>
      <c r="CM179" s="53"/>
      <c r="CN179" s="53"/>
      <c r="CO179" s="53"/>
      <c r="CP179" s="53"/>
      <c r="CQ179" s="53"/>
      <c r="CR179" s="1"/>
      <c r="CS179" s="1"/>
      <c r="CT179" s="1"/>
      <c r="CU179" s="1"/>
    </row>
    <row r="180" spans="1:99" s="13" customFormat="1" ht="12" customHeight="1" x14ac:dyDescent="0.2">
      <c r="A180" s="68">
        <v>43895</v>
      </c>
      <c r="B180" s="70"/>
      <c r="C180" s="70"/>
      <c r="D180" s="69"/>
      <c r="E180" s="87"/>
      <c r="F180" s="69"/>
      <c r="G180" s="69"/>
      <c r="H180" s="69"/>
      <c r="I180" s="69"/>
      <c r="J180" s="69"/>
      <c r="K180" s="107"/>
      <c r="L180" s="107"/>
      <c r="M180" s="69"/>
      <c r="N180" s="86"/>
      <c r="O180" s="69"/>
      <c r="P180" s="69"/>
      <c r="Q180" s="69"/>
      <c r="R180" s="69"/>
      <c r="S180" s="99"/>
      <c r="T180" s="69"/>
      <c r="U180" s="69"/>
      <c r="V180" s="69"/>
      <c r="W180" s="69"/>
      <c r="X180" s="69"/>
      <c r="Y180" s="87"/>
      <c r="Z180" s="69"/>
      <c r="AA180" s="69"/>
      <c r="AB180" s="69"/>
      <c r="AC180" s="72"/>
      <c r="AD180" s="69"/>
      <c r="AE180" s="69"/>
      <c r="AF180" s="88"/>
      <c r="AG180" s="72"/>
      <c r="AH180" s="4"/>
      <c r="AI180" s="72"/>
      <c r="AJ180" s="110"/>
      <c r="AK180" s="72"/>
      <c r="AL180" s="72"/>
      <c r="AM180" s="72"/>
      <c r="AN180" s="72"/>
      <c r="AO180" s="89"/>
      <c r="AP180" s="89"/>
      <c r="AQ180" s="90"/>
      <c r="AR180" s="117"/>
      <c r="AS180" s="91"/>
      <c r="AT180" s="91"/>
      <c r="AU180" s="3"/>
      <c r="AV180" s="71">
        <v>157680000</v>
      </c>
      <c r="AW180" s="71">
        <v>473040000</v>
      </c>
      <c r="AX180" s="71">
        <v>788400000</v>
      </c>
      <c r="AY180" s="71">
        <v>1103760000</v>
      </c>
      <c r="AZ180" s="73">
        <v>1419120000</v>
      </c>
      <c r="BA180" s="53"/>
      <c r="BB180" s="53"/>
      <c r="BC180" s="53"/>
      <c r="BD180" s="53"/>
      <c r="BE180" s="53"/>
      <c r="BF180" s="53"/>
      <c r="BG180" s="53"/>
      <c r="BH180" s="53"/>
      <c r="BI180" s="53"/>
      <c r="BJ180" s="53"/>
      <c r="BK180" s="53"/>
      <c r="BL180" s="53"/>
      <c r="BM180" s="53"/>
      <c r="BN180" s="53"/>
      <c r="BO180" s="53"/>
      <c r="BP180" s="53"/>
      <c r="BQ180" s="53"/>
      <c r="BR180" s="53"/>
      <c r="BS180" s="53"/>
      <c r="BT180" s="53"/>
      <c r="BU180" s="53"/>
      <c r="BV180" s="53"/>
      <c r="BW180" s="53"/>
      <c r="BX180" s="53"/>
      <c r="BY180" s="53"/>
      <c r="BZ180" s="53"/>
      <c r="CA180" s="53"/>
      <c r="CB180" s="53"/>
      <c r="CC180" s="53"/>
      <c r="CD180" s="53"/>
      <c r="CE180" s="53"/>
      <c r="CF180" s="53"/>
      <c r="CG180" s="53"/>
      <c r="CH180" s="53"/>
      <c r="CI180" s="53"/>
      <c r="CJ180" s="53"/>
      <c r="CK180" s="53"/>
      <c r="CL180" s="53"/>
      <c r="CM180" s="53"/>
      <c r="CN180" s="53"/>
      <c r="CO180" s="53"/>
      <c r="CP180" s="53"/>
      <c r="CQ180" s="53"/>
      <c r="CR180" s="1"/>
      <c r="CS180" s="1"/>
      <c r="CT180" s="1"/>
      <c r="CU180" s="1"/>
    </row>
    <row r="181" spans="1:99" s="13" customFormat="1" ht="12" customHeight="1" x14ac:dyDescent="0.2">
      <c r="A181" s="68">
        <v>43895</v>
      </c>
      <c r="B181" s="70" t="s">
        <v>343</v>
      </c>
      <c r="C181" s="70" t="s">
        <v>344</v>
      </c>
      <c r="D181" s="69">
        <v>1981</v>
      </c>
      <c r="E181" s="105">
        <v>1</v>
      </c>
      <c r="F181" s="69">
        <v>28</v>
      </c>
      <c r="G181" s="69">
        <v>28</v>
      </c>
      <c r="H181" s="69" t="s">
        <v>43</v>
      </c>
      <c r="I181" s="69" t="s">
        <v>330</v>
      </c>
      <c r="J181" s="69" t="s">
        <v>342</v>
      </c>
      <c r="K181" s="69">
        <f>IF(J181="syllables",1,IF(J181="trigrams",2,IF(J181="strings",3,IF(J181="visual array",4,IF(J181="characters",5,IF(J181="letters",6,IF(J181="free forms",7,IF(J181="odors",8,IF(J181="words",9,IF(J181="pictures",10,IF(J181="object pictures",11,IF(J181="faces",12,IF(J181="names",13,IF(J181="idioms",14,IF(J181="grades",15,IF(J181="syllable-digit pairs",16,IF(J181="trigram-word pairs",17,IF(J181="word-digit pairs",18,IF(J181="English-Swahili pairs",19,IF(J181="spatial position",20,IF(J181="word pairs",21,IF(J181="word triads",22,IF(J181="generated words",23,IF(J181="word definition pairs",24,IF(J181="math problems",25,IF(J181="famous faces",26,IF(J181="famous names",27,IF(J181="famous voices",28,IF(J181="television programs",29,IF(J181="race horses",30,IF(J181="new vocabulary",31,IF(J181="sentences",32,IF(J181="concepts",33,IF(J181="ad slides",34,IF(J181="scenes",35,IF(J181="famous scenes",36,IF(J181="poems",37,IF(J181="walk",38,IF(J181="faces and events",39,IF(J181="events and names",40,IF(J181="flashbulb",41,IF(J181="stories",42,IF(J181="course material",43,IF(J181="autobiographical",44,IF(J181="novels",45,IF(J181="public events",46,"99"))))))))))))))))))))))))))))))))))))))))))))))</f>
        <v>26</v>
      </c>
      <c r="L181" s="69">
        <f>IF(J181="syllables",1,IF(J181="trigrams",1,IF(J181="strings",1,IF(J181="visual array",1,IF(J181="characters",1,IF(J181="letters",1,IF(J181="free forms",1,IF(J181="odors",2,IF(J181="words",2,IF(J181="pictures",2,IF(J181="object pictures",2,IF(J181="faces",2,IF(J181="names",2,IF(J181="idioms","2",IF(J181="grades",2,IF(J181="syllable-digit pairs",3,IF(J181="trigram-word pairs",3,IF(J181="word-digit pairs",3,IF(J181="English-Swahili pairs",3,IF(J181="spatial position",3,IF(J181="word pairs",4,IF(J181="word triads",4,IF(J181="generated words",4,IF(J181="word definition pairs",4,IF(J181="math problems",4,IF(J181="famous faces",4,IF(J181="famous names",4,IF(J181="famous voices",4,IF(J181="television programs",4,IF(J181="race horses",4,IF(J181="new vocabulary",4,IF(J181="sentences",5,IF(J181="concepts",5,IF(J181="ad slides",5,IF(J181="scenes",5,IF(J181="famous scenes",5,IF(J181="poems",6,IF(J181="walk",6,IF(J181="faces and events",6,IF(J181="events and names",6,IF(J181="flashbulb",7,IF(J181="stories",7,IF(J181="course material",7,IF(J181="autobiographical",7,IF(J181="novels",7,IF(J181="public events",7,"99"))))))))))))))))))))))))))))))))))))))))))))))</f>
        <v>4</v>
      </c>
      <c r="M181" s="69">
        <v>1</v>
      </c>
      <c r="N181" s="86">
        <v>2</v>
      </c>
      <c r="O181" s="69">
        <v>0</v>
      </c>
      <c r="P181" s="69"/>
      <c r="Q181" s="69" t="s">
        <v>174</v>
      </c>
      <c r="R181" s="69">
        <f>IF(Q181="Free Recall",1,IF(Q181="Cued Recall",2,IF(Q181="Recognition",3,IF(Q181="Multiple Choice",4,IF(Q181="Savings",5,IF(Q181="Stem Completion",6,IF(Q181="Fragment Completion",7,IF(Q181="anagram solution",8,IF(Q181="Matching",9,IF(Q181="Problem Solving",10,"99"))))))))))</f>
        <v>1</v>
      </c>
      <c r="S181" s="99" t="s">
        <v>49</v>
      </c>
      <c r="T181" s="92" t="s">
        <v>581</v>
      </c>
      <c r="U181" s="69">
        <f>IF(T181="within",1,0)</f>
        <v>1</v>
      </c>
      <c r="V181" s="92">
        <v>130</v>
      </c>
      <c r="W181" s="69">
        <f>F181*V181</f>
        <v>3640</v>
      </c>
      <c r="X181" s="69">
        <v>5</v>
      </c>
      <c r="Y181" s="87">
        <f>AV180</f>
        <v>157680000</v>
      </c>
      <c r="Z181" s="92" t="s">
        <v>373</v>
      </c>
      <c r="AA181" s="69">
        <f>45*365*24*60*60</f>
        <v>1419120000</v>
      </c>
      <c r="AB181" s="69" t="str">
        <f>IF(AA181&lt;60,"1",IF(AA181&lt;=43200,"2",IF(AA181&lt;=777600,"3","4")))</f>
        <v>4</v>
      </c>
      <c r="AC181" s="72">
        <f>AVERAGE(AV180:DA180)</f>
        <v>788400000</v>
      </c>
      <c r="AD181" s="69" t="str">
        <f>IF(AC181&lt;60,"1",IF(AC181&lt;=43200,"2",IF(AC181&lt;=777600,"3","4")))</f>
        <v>4</v>
      </c>
      <c r="AE181" s="87">
        <f>AA181-Y181</f>
        <v>1261440000</v>
      </c>
      <c r="AF181" s="88">
        <f>AV181</f>
        <v>0.63380281690140849</v>
      </c>
      <c r="AG181" s="72">
        <f>((AW181-AV181)+(AX181-AW181)+(AY181-AX181)+(AZ181-AY181))/4</f>
        <v>-4.08036454018227E-2</v>
      </c>
      <c r="AH181" s="4"/>
      <c r="AI181" s="72">
        <f>RSQ(AV181:AZ181,AV180:AZ180)</f>
        <v>0.9177679926717125</v>
      </c>
      <c r="AJ181" s="110">
        <f>SLOPE(AV181:AZ181,AV180:AZ180)</f>
        <v>-1.2216797210271225E-10</v>
      </c>
      <c r="AK181" s="72">
        <f>INTERCEPT(AV181:AZ181,AV180:AZ180)</f>
        <v>0.64491989627158974</v>
      </c>
      <c r="AL181" s="72">
        <f>INDEX(LINEST(LN(AV181:AZ181),LN(AV180:AZ180),TRUE,TRUE),3,1)</f>
        <v>0.87813828352088064</v>
      </c>
      <c r="AM181" s="72">
        <f>INDEX(LINEST(LN(AV181:AZ181),LN(AV180:AZ180)),1)</f>
        <v>-0.12458176230171633</v>
      </c>
      <c r="AN181" s="72">
        <f>EXP(INDEX(LINEST(LN(AV181:AZ181),LN(AV180:AZ180)),1,2))</f>
        <v>6.7977269062612145</v>
      </c>
      <c r="AO181" s="89">
        <f>INDEX(LINEST((AV181:AZ181),LN(AV180:AZ180),TRUE,TRUE),3,1)</f>
        <v>0.9002723459264026</v>
      </c>
      <c r="AP181" s="89">
        <f>INDEX(LINEST((AV181:AZ181),LN(AV180:AZ180)),1)</f>
        <v>-6.939114061838024E-2</v>
      </c>
      <c r="AQ181" s="90">
        <f>INDEX(LINEST(LN(AV181:AZ181),SQRT(AV180:AZ180),TRUE,TRUE),3,1)</f>
        <v>0.92023550463612735</v>
      </c>
      <c r="AR181" s="117">
        <f>INDEX(LINEST(LN(AV181:AZ181),SQRT((AV180:AZ180))),1)</f>
        <v>-1.1239337368825386E-5</v>
      </c>
      <c r="AS181" s="91">
        <f>INDEX(LINEST(1/(AV181:AZ181),1/(SQRT(AV180:AZ180)),TRUE,TRUE),3,1)</f>
        <v>0.76943859011240567</v>
      </c>
      <c r="AT181" s="91">
        <f>INDEX(LINEST(1/(AV181:AZ181),1/SQRT(AV180:AZ180)),1)</f>
        <v>-8664.1352871510971</v>
      </c>
      <c r="AU181" s="3"/>
      <c r="AV181" s="73">
        <v>0.63380281690140849</v>
      </c>
      <c r="AW181" s="73">
        <v>0.58904109589041098</v>
      </c>
      <c r="AX181" s="73">
        <v>0.51937984496124034</v>
      </c>
      <c r="AY181" s="73">
        <v>0.53020134228187921</v>
      </c>
      <c r="AZ181" s="73">
        <v>0.4705882352941177</v>
      </c>
      <c r="BA181" s="53"/>
      <c r="BB181" s="53"/>
      <c r="BC181" s="53"/>
      <c r="BD181" s="53"/>
      <c r="BE181" s="53"/>
      <c r="BF181" s="53"/>
      <c r="BG181" s="53"/>
      <c r="BH181" s="53"/>
      <c r="BI181" s="53"/>
      <c r="BJ181" s="53"/>
      <c r="BK181" s="53"/>
      <c r="BL181" s="53"/>
      <c r="BM181" s="53"/>
      <c r="BN181" s="53"/>
      <c r="BO181" s="53"/>
      <c r="BP181" s="53"/>
      <c r="BQ181" s="53"/>
      <c r="BR181" s="53"/>
      <c r="BS181" s="53"/>
      <c r="BT181" s="53"/>
      <c r="BU181" s="53"/>
      <c r="BV181" s="53"/>
      <c r="BW181" s="53"/>
      <c r="BX181" s="53"/>
      <c r="BY181" s="53"/>
      <c r="BZ181" s="53"/>
      <c r="CA181" s="53"/>
      <c r="CB181" s="53"/>
      <c r="CC181" s="53"/>
      <c r="CD181" s="53"/>
      <c r="CE181" s="53"/>
      <c r="CF181" s="53"/>
      <c r="CG181" s="53"/>
      <c r="CH181" s="53"/>
      <c r="CI181" s="53"/>
      <c r="CJ181" s="53"/>
      <c r="CK181" s="53"/>
      <c r="CL181" s="53"/>
      <c r="CM181" s="53"/>
      <c r="CN181" s="53"/>
      <c r="CO181" s="53"/>
      <c r="CP181" s="53"/>
      <c r="CQ181" s="53"/>
      <c r="CR181" s="1"/>
      <c r="CS181" s="1"/>
      <c r="CT181" s="1"/>
      <c r="CU181" s="1"/>
    </row>
    <row r="182" spans="1:99" s="13" customFormat="1" ht="12" customHeight="1" x14ac:dyDescent="0.2">
      <c r="A182" s="65">
        <v>43509</v>
      </c>
      <c r="B182" s="1"/>
      <c r="C182" s="1"/>
      <c r="D182" s="60"/>
      <c r="E182" s="76"/>
      <c r="F182" s="60"/>
      <c r="G182" s="60"/>
      <c r="H182" s="60"/>
      <c r="I182" s="60"/>
      <c r="J182" s="60"/>
      <c r="K182" s="64"/>
      <c r="L182" s="64"/>
      <c r="M182" s="60"/>
      <c r="N182" s="60"/>
      <c r="O182" s="60"/>
      <c r="P182" s="60"/>
      <c r="Q182" s="60"/>
      <c r="R182" s="60"/>
      <c r="S182" s="60"/>
      <c r="T182" s="60"/>
      <c r="U182" s="60"/>
      <c r="V182" s="60"/>
      <c r="W182" s="60"/>
      <c r="X182" s="60"/>
      <c r="Y182" s="76"/>
      <c r="Z182" s="60"/>
      <c r="AA182" s="60"/>
      <c r="AB182" s="60"/>
      <c r="AC182" s="60"/>
      <c r="AD182" s="60"/>
      <c r="AE182" s="60"/>
      <c r="AF182" s="80"/>
      <c r="AG182" s="56"/>
      <c r="AH182" s="4"/>
      <c r="AI182" s="56"/>
      <c r="AJ182" s="109"/>
      <c r="AK182" s="56"/>
      <c r="AL182" s="56"/>
      <c r="AM182" s="56"/>
      <c r="AN182" s="56"/>
      <c r="AO182" s="56"/>
      <c r="AP182" s="56"/>
      <c r="AQ182" s="56"/>
      <c r="AR182" s="109"/>
      <c r="AS182" s="56"/>
      <c r="AT182" s="56"/>
      <c r="AU182" s="4"/>
      <c r="AV182" s="25">
        <f>3*30*24*60*60</f>
        <v>7776000</v>
      </c>
      <c r="AW182" s="25">
        <f>(365*24*60*60)+(3*30*24*60*60)</f>
        <v>39312000</v>
      </c>
      <c r="AX182" s="25">
        <f>(2*365*24*60*60)+(3*30*24*60*60)</f>
        <v>70848000</v>
      </c>
      <c r="AY182" s="25">
        <f>(3*365*24*60*60)+(3*30*24*60*60)</f>
        <v>102384000</v>
      </c>
      <c r="AZ182" s="25">
        <f>(3*365*24*60*60)+(6*30*24*60*60)</f>
        <v>110160000</v>
      </c>
      <c r="BA182" s="25">
        <f>(4*365*24*60*60)+(6*30*24*60*60)</f>
        <v>141696000</v>
      </c>
      <c r="BB182" s="25">
        <f>(5*365*24*60*60)+(6*30*24*60*60)</f>
        <v>173232000</v>
      </c>
      <c r="BC182" s="25">
        <f>(6*365*24*60*60)+(6*30*24*60*60)</f>
        <v>204768000</v>
      </c>
      <c r="BD182" s="25">
        <f>(7*365*24*60*60)+(6*30*24*60*60)</f>
        <v>236304000</v>
      </c>
      <c r="BE182" s="25">
        <f>(8*365*24*60*60)+(6*30*24*60*60)</f>
        <v>267840000</v>
      </c>
      <c r="BF182" s="25">
        <f>(9*365*24*60*60)+(6*30*24*60*60)</f>
        <v>299376000</v>
      </c>
      <c r="BG182" s="25">
        <f>(10*365*24*60*60)+(6*30*24*60*60)</f>
        <v>330912000</v>
      </c>
      <c r="BH182" s="53"/>
      <c r="BI182" s="53"/>
      <c r="BJ182" s="53"/>
      <c r="BK182" s="53"/>
      <c r="BL182" s="53"/>
      <c r="BM182" s="53"/>
      <c r="BN182" s="53"/>
      <c r="BO182" s="53"/>
      <c r="BP182" s="53"/>
      <c r="BQ182" s="53"/>
      <c r="BR182" s="53"/>
      <c r="BS182" s="53"/>
      <c r="BT182" s="53"/>
      <c r="BU182" s="53"/>
      <c r="BV182" s="53"/>
      <c r="BW182" s="53"/>
      <c r="BX182" s="53"/>
      <c r="BY182" s="53"/>
      <c r="BZ182" s="53"/>
      <c r="CA182" s="53"/>
      <c r="CB182" s="53"/>
      <c r="CC182" s="53"/>
      <c r="CD182" s="53"/>
      <c r="CE182" s="53"/>
      <c r="CF182" s="53"/>
      <c r="CG182" s="53"/>
      <c r="CH182" s="53"/>
      <c r="CI182" s="53"/>
      <c r="CJ182" s="53"/>
      <c r="CK182" s="53"/>
      <c r="CL182" s="53"/>
      <c r="CM182" s="53"/>
      <c r="CN182" s="53"/>
      <c r="CO182" s="53"/>
      <c r="CP182" s="53"/>
      <c r="CQ182" s="53"/>
      <c r="CR182" s="1"/>
      <c r="CS182" s="1"/>
      <c r="CT182" s="1"/>
      <c r="CU182" s="1"/>
    </row>
    <row r="183" spans="1:99" s="13" customFormat="1" ht="12" customHeight="1" x14ac:dyDescent="0.2">
      <c r="A183" s="65">
        <v>43509</v>
      </c>
      <c r="B183" s="22" t="s">
        <v>213</v>
      </c>
      <c r="C183" s="1" t="s">
        <v>202</v>
      </c>
      <c r="D183" s="60">
        <v>1991</v>
      </c>
      <c r="E183" s="76">
        <v>1</v>
      </c>
      <c r="F183" s="60">
        <v>373</v>
      </c>
      <c r="G183" s="60">
        <v>31.1</v>
      </c>
      <c r="H183" s="60" t="s">
        <v>50</v>
      </c>
      <c r="I183" s="60" t="s">
        <v>93</v>
      </c>
      <c r="J183" s="60" t="s">
        <v>93</v>
      </c>
      <c r="K183" s="60">
        <f>IF(J183="syllables",1,IF(J183="trigrams",2,IF(J183="strings",3,IF(J183="visual array",4,IF(J183="characters",5,IF(J183="letters",6,IF(J183="free forms",7,IF(J183="odors",8,IF(J183="words",9,IF(J183="pictures",10,IF(J183="object pictures",11,IF(J183="faces",12,IF(J183="names",13,IF(J183="idioms",14,IF(J183="grades",15,IF(J183="syllable-digit pairs",16,IF(J183="trigram-word pairs",17,IF(J183="word-digit pairs",18,IF(J183="English-Swahili pairs",19,IF(J183="spatial position",20,IF(J183="word pairs",21,IF(J183="word triads",22,IF(J183="generated words",23,IF(J183="word definition pairs",24,IF(J183="math problems",25,IF(J183="famous faces",26,IF(J183="famous names",27,IF(J183="famous voices",28,IF(J183="television programs",29,IF(J183="race horses",30,IF(J183="new vocabulary",31,IF(J183="sentences",32,IF(J183="concepts",33,IF(J183="ad slides",34,IF(J183="scenes",35,IF(J183="famous scenes",36,IF(J183="poems",37,IF(J183="walk",38,IF(J183="faces and events",39,IF(J183="events and names",40,IF(J183="flashbulb",41,IF(J183="stories",42,IF(J183="course material",43,IF(J183="autobiographical",44,IF(J183="novels",45,IF(J183="public events",46,"99"))))))))))))))))))))))))))))))))))))))))))))))</f>
        <v>33</v>
      </c>
      <c r="L183" s="60">
        <f>IF(J183="syllables",1,IF(J183="trigrams",1,IF(J183="strings",1,IF(J183="visual array",1,IF(J183="characters",1,IF(J183="letters",1,IF(J183="free forms",1,IF(J183="odors",2,IF(J183="words",2,IF(J183="pictures",2,IF(J183="object pictures",2,IF(J183="faces",2,IF(J183="names",2,IF(J183="idioms","2",IF(J183="grades",2,IF(J183="syllable-digit pairs",3,IF(J183="trigram-word pairs",3,IF(J183="word-digit pairs",3,IF(J183="English-Swahili pairs",3,IF(J183="spatial position",3,IF(J183="word pairs",4,IF(J183="word triads",4,IF(J183="generated words",4,IF(J183="word definition pairs",4,IF(J183="math problems",4,IF(J183="famous faces",4,IF(J183="famous names",4,IF(J183="famous voices",4,IF(J183="television programs",4,IF(J183="race horses",4,IF(J183="new vocabulary",4,IF(J183="sentences",5,IF(J183="concepts",5,IF(J183="ad slides",5,IF(J183="scenes",5,IF(J183="famous scenes",5,IF(J183="poems",6,IF(J183="walk",6,IF(J183="faces and events",6,IF(J183="events and names",6,IF(J183="flashbulb",7,IF(J183="stories",7,IF(J183="course material",7,IF(J183="autobiographical",7,IF(J183="novels",7,IF(J183="public events",7,"99"))))))))))))))))))))))))))))))))))))))))))))))</f>
        <v>5</v>
      </c>
      <c r="M183" s="60">
        <v>1</v>
      </c>
      <c r="N183" s="60">
        <v>4</v>
      </c>
      <c r="O183" s="60">
        <v>0</v>
      </c>
      <c r="P183" s="60"/>
      <c r="Q183" s="60" t="s">
        <v>34</v>
      </c>
      <c r="R183" s="60">
        <f>IF(Q183="Free Recall",1,IF(Q183="Cued Recall",2,IF(Q183="Recognition",3,IF(Q183="Multiple Choice",4,IF(Q183="Savings",5,IF(Q183="Stem Completion",6,IF(Q183="Fragment Completion",7,IF(Q183="anagram solution",8,IF(Q183="Matching",9,IF(Q183="Problem Solving",10,"99"))))))))))</f>
        <v>3</v>
      </c>
      <c r="S183" s="60" t="s">
        <v>15</v>
      </c>
      <c r="T183" s="59" t="s">
        <v>261</v>
      </c>
      <c r="U183" s="60">
        <f>IF(T183="within",1,0)</f>
        <v>0</v>
      </c>
      <c r="V183" s="59">
        <v>16</v>
      </c>
      <c r="W183" s="60">
        <f>F183*V183</f>
        <v>5968</v>
      </c>
      <c r="X183" s="60">
        <v>12</v>
      </c>
      <c r="Y183" s="76">
        <f>AV182</f>
        <v>7776000</v>
      </c>
      <c r="Z183" s="60" t="s">
        <v>510</v>
      </c>
      <c r="AA183" s="76">
        <f>(10*365*24*60*60)+(6*30*24*60*60)</f>
        <v>330912000</v>
      </c>
      <c r="AB183" s="60" t="str">
        <f>IF(AA183&lt;60,"1",IF(AA183&lt;=43200,"2",IF(AA183&lt;=777600,"3","4")))</f>
        <v>4</v>
      </c>
      <c r="AC183" s="56">
        <f>AVERAGE(AV182:DA182)</f>
        <v>165384000</v>
      </c>
      <c r="AD183" s="60" t="str">
        <f>IF(AC183&lt;60,"1",IF(AC183&lt;=43200,"2",IF(AC183&lt;=777600,"3","4")))</f>
        <v>4</v>
      </c>
      <c r="AE183" s="76">
        <f>AA183-Y183</f>
        <v>323136000</v>
      </c>
      <c r="AF183" s="80">
        <f>AV183</f>
        <v>0.80394842868654293</v>
      </c>
      <c r="AG183" s="56">
        <f>((AW183-AV183)+(AX183-AW183)+(AY183-AX183)+(AZ183-AY183)+(BA183-AZ183)+(BB183-BA183)+(BC183-BB183)+(BD183-BC183)+(BE183-BD183)+(BF183-BE183)+(BG183-BF183))/11</f>
        <v>-1.1076111640172909E-2</v>
      </c>
      <c r="AH183" s="4"/>
      <c r="AI183" s="56">
        <f>RSQ(AV183:BG183,AV182:BG182)</f>
        <v>0.57837016706869138</v>
      </c>
      <c r="AJ183" s="109">
        <f>SLOPE(AV183:BG183,AV182:BG182)</f>
        <v>-4.0113704713773496E-10</v>
      </c>
      <c r="AK183" s="56">
        <f>INTERCEPT(AV183:BG183,AV182:BG182)</f>
        <v>0.75774643049434498</v>
      </c>
      <c r="AL183" s="56">
        <f>INDEX(LINEST(LN(AV183:BG183),LN(AV182:BG182),TRUE,TRUE),3,1)</f>
        <v>0.74164197747914307</v>
      </c>
      <c r="AM183" s="56">
        <f>INDEX(LINEST(LN(AV183:BG183),LN(AV182:BG182)),1)</f>
        <v>-6.2716517678125278E-2</v>
      </c>
      <c r="AN183" s="56">
        <f>EXP(INDEX(LINEST(LN(AV183:BG183),LN(AV182:BG182)),1,2))</f>
        <v>2.2124839556105758</v>
      </c>
      <c r="AO183" s="82">
        <f>INDEX(LINEST((AV183:BG183),LN(AV182:BG182),TRUE,TRUE),3,1)</f>
        <v>0.76082827403650133</v>
      </c>
      <c r="AP183" s="82">
        <f>INDEX(LINEST((AV183:BG183),LN(AV182:BG182)),1)</f>
        <v>-4.5105399412176346E-2</v>
      </c>
      <c r="AQ183" s="83">
        <f>INDEX(LINEST(LN(AV183:BG183),SQRT(AV182:BG182),TRUE,TRUE),3,1)</f>
        <v>0.6982080026785602</v>
      </c>
      <c r="AR183" s="116">
        <f>INDEX(LINEST(LN(AV183:BG183),SQRT((AV182:BG182))),1)</f>
        <v>-1.3868682165347466E-5</v>
      </c>
      <c r="AS183" s="84">
        <f>INDEX(LINEST(1/(AV183:BG183),1/(SQRT(AV182:BG182)),TRUE,TRUE),3,1)</f>
        <v>0.62024835671921807</v>
      </c>
      <c r="AT183" s="84">
        <f>INDEX(LINEST(1/(AV183:BG183),1/SQRT(AV182:BG182)),1)</f>
        <v>-1023.3754794771939</v>
      </c>
      <c r="AU183" s="3"/>
      <c r="AV183" s="53">
        <v>0.80394842868654293</v>
      </c>
      <c r="AW183" s="53">
        <v>0.75431103948428602</v>
      </c>
      <c r="AX183" s="53">
        <v>0.74141821112006401</v>
      </c>
      <c r="AY183" s="53">
        <v>0.74335213537469702</v>
      </c>
      <c r="AZ183" s="53">
        <v>0.65052377115229598</v>
      </c>
      <c r="BA183" s="53">
        <v>0.66180499597099096</v>
      </c>
      <c r="BB183" s="53">
        <v>0.67502014504431895</v>
      </c>
      <c r="BC183" s="53">
        <v>0.63634165995165093</v>
      </c>
      <c r="BD183" s="53">
        <v>0.66212731668009595</v>
      </c>
      <c r="BE183" s="53">
        <v>0.64149879129734</v>
      </c>
      <c r="BF183" s="53">
        <v>0.64439967767929007</v>
      </c>
      <c r="BG183" s="53">
        <v>0.68211120064464092</v>
      </c>
      <c r="BH183" s="53"/>
      <c r="BI183" s="53"/>
      <c r="BJ183" s="53"/>
      <c r="BK183" s="53"/>
      <c r="BL183" s="53"/>
      <c r="BM183" s="53"/>
      <c r="BN183" s="53"/>
      <c r="BO183" s="53"/>
      <c r="BP183" s="53"/>
      <c r="BQ183" s="53"/>
      <c r="BR183" s="53"/>
      <c r="BS183" s="53"/>
      <c r="BT183" s="53"/>
      <c r="BU183" s="53"/>
      <c r="BV183" s="53"/>
      <c r="BW183" s="53"/>
      <c r="BX183" s="53"/>
      <c r="BY183" s="53"/>
      <c r="BZ183" s="53"/>
      <c r="CA183" s="53"/>
      <c r="CB183" s="53"/>
      <c r="CC183" s="53"/>
      <c r="CD183" s="53"/>
      <c r="CE183" s="53"/>
      <c r="CF183" s="53"/>
      <c r="CG183" s="53"/>
      <c r="CH183" s="53"/>
      <c r="CI183" s="53"/>
      <c r="CJ183" s="53"/>
      <c r="CK183" s="53"/>
      <c r="CL183" s="53"/>
      <c r="CM183" s="53"/>
      <c r="CN183" s="53"/>
      <c r="CO183" s="53"/>
      <c r="CP183" s="53"/>
      <c r="CQ183" s="53"/>
      <c r="CR183" s="1"/>
      <c r="CS183" s="1"/>
      <c r="CT183" s="1"/>
      <c r="CU183" s="1"/>
    </row>
    <row r="184" spans="1:99" s="13" customFormat="1" ht="12" customHeight="1" x14ac:dyDescent="0.2">
      <c r="A184" s="65">
        <v>43509</v>
      </c>
      <c r="B184" s="1"/>
      <c r="C184" s="1"/>
      <c r="D184" s="60"/>
      <c r="E184" s="76"/>
      <c r="F184" s="60"/>
      <c r="G184" s="60"/>
      <c r="H184" s="60"/>
      <c r="I184" s="60"/>
      <c r="J184" s="60"/>
      <c r="K184" s="64"/>
      <c r="L184" s="64"/>
      <c r="M184" s="60"/>
      <c r="N184" s="60"/>
      <c r="O184" s="60"/>
      <c r="P184" s="60"/>
      <c r="Q184" s="60"/>
      <c r="R184" s="60"/>
      <c r="S184" s="60"/>
      <c r="T184" s="60"/>
      <c r="U184" s="60"/>
      <c r="V184" s="60"/>
      <c r="W184" s="60"/>
      <c r="X184" s="60"/>
      <c r="Y184" s="76"/>
      <c r="Z184" s="60"/>
      <c r="AA184" s="60"/>
      <c r="AB184" s="60"/>
      <c r="AC184" s="60"/>
      <c r="AD184" s="60"/>
      <c r="AE184" s="60"/>
      <c r="AF184" s="80"/>
      <c r="AG184" s="56"/>
      <c r="AH184" s="4"/>
      <c r="AI184" s="56"/>
      <c r="AJ184" s="109"/>
      <c r="AK184" s="56"/>
      <c r="AL184" s="56"/>
      <c r="AM184" s="56"/>
      <c r="AN184" s="56"/>
      <c r="AO184" s="56"/>
      <c r="AP184" s="56"/>
      <c r="AQ184" s="56"/>
      <c r="AR184" s="109"/>
      <c r="AS184" s="56"/>
      <c r="AT184" s="56"/>
      <c r="AU184" s="4"/>
      <c r="AV184" s="25">
        <f>3*30*24*60*60</f>
        <v>7776000</v>
      </c>
      <c r="AW184" s="25">
        <f>(365*24*60*60)+(3*30*24*60*60)</f>
        <v>39312000</v>
      </c>
      <c r="AX184" s="25">
        <f>(2*365*24*60*60)+(3*30*24*60*60)</f>
        <v>70848000</v>
      </c>
      <c r="AY184" s="25">
        <f>(3*365*24*60*60)+(3*30*24*60*60)</f>
        <v>102384000</v>
      </c>
      <c r="AZ184" s="25">
        <f>(3*365*24*60*60)+(6*30*24*60*60)</f>
        <v>110160000</v>
      </c>
      <c r="BA184" s="25">
        <f>(4*365*24*60*60)+(6*30*24*60*60)</f>
        <v>141696000</v>
      </c>
      <c r="BB184" s="25">
        <f>(5*365*24*60*60)+(6*30*24*60*60)</f>
        <v>173232000</v>
      </c>
      <c r="BC184" s="25">
        <f>(6*365*24*60*60)+(6*30*24*60*60)</f>
        <v>204768000</v>
      </c>
      <c r="BD184" s="25">
        <f>(7*365*24*60*60)+(6*30*24*60*60)</f>
        <v>236304000</v>
      </c>
      <c r="BE184" s="25">
        <f>(8*365*24*60*60)+(6*30*24*60*60)</f>
        <v>267840000</v>
      </c>
      <c r="BF184" s="25">
        <f>(9*365*24*60*60)+(6*30*24*60*60)</f>
        <v>299376000</v>
      </c>
      <c r="BG184" s="25">
        <f>(10*365*24*60*60)+(6*30*24*60*60)</f>
        <v>330912000</v>
      </c>
      <c r="BH184" s="53"/>
      <c r="BI184" s="53"/>
      <c r="BJ184" s="53"/>
      <c r="BK184" s="53"/>
      <c r="BL184" s="53"/>
      <c r="BM184" s="53"/>
      <c r="BN184" s="53"/>
      <c r="BO184" s="53"/>
      <c r="BP184" s="53"/>
      <c r="BQ184" s="53"/>
      <c r="BR184" s="53"/>
      <c r="BS184" s="53"/>
      <c r="BT184" s="53"/>
      <c r="BU184" s="53"/>
      <c r="BV184" s="53"/>
      <c r="BW184" s="53"/>
      <c r="BX184" s="53"/>
      <c r="BY184" s="53"/>
      <c r="BZ184" s="53"/>
      <c r="CA184" s="53"/>
      <c r="CB184" s="53"/>
      <c r="CC184" s="53"/>
      <c r="CD184" s="53"/>
      <c r="CE184" s="53"/>
      <c r="CF184" s="53"/>
      <c r="CG184" s="53"/>
      <c r="CH184" s="53"/>
      <c r="CI184" s="53"/>
      <c r="CJ184" s="53"/>
      <c r="CK184" s="53"/>
      <c r="CL184" s="53"/>
      <c r="CM184" s="53"/>
      <c r="CN184" s="53"/>
      <c r="CO184" s="53"/>
      <c r="CP184" s="53"/>
      <c r="CQ184" s="53"/>
      <c r="CR184" s="1"/>
      <c r="CS184" s="1"/>
      <c r="CT184" s="1"/>
      <c r="CU184" s="1"/>
    </row>
    <row r="185" spans="1:99" s="13" customFormat="1" ht="12" customHeight="1" x14ac:dyDescent="0.2">
      <c r="A185" s="65">
        <v>43509</v>
      </c>
      <c r="B185" s="1" t="s">
        <v>213</v>
      </c>
      <c r="C185" s="1" t="s">
        <v>202</v>
      </c>
      <c r="D185" s="60">
        <v>1991</v>
      </c>
      <c r="E185" s="76">
        <v>1</v>
      </c>
      <c r="F185" s="60">
        <v>373</v>
      </c>
      <c r="G185" s="60">
        <v>31.1</v>
      </c>
      <c r="H185" s="60" t="s">
        <v>50</v>
      </c>
      <c r="I185" s="60" t="s">
        <v>203</v>
      </c>
      <c r="J185" s="60" t="s">
        <v>203</v>
      </c>
      <c r="K185" s="60">
        <f>IF(J185="syllables",1,IF(J185="trigrams",2,IF(J185="strings",3,IF(J185="visual array",4,IF(J185="characters",5,IF(J185="letters",6,IF(J185="free forms",7,IF(J185="odors",8,IF(J185="words",9,IF(J185="pictures",10,IF(J185="object pictures",11,IF(J185="faces",12,IF(J185="names",13,IF(J185="idioms",14,IF(J185="grades",15,IF(J185="syllable-digit pairs",16,IF(J185="trigram-word pairs",17,IF(J185="word-digit pairs",18,IF(J185="English-Swahili pairs",19,IF(J185="spatial position",20,IF(J185="word pairs",21,IF(J185="word triads",22,IF(J185="generated words",23,IF(J185="word definition pairs",24,IF(J185="math problems",25,IF(J185="famous faces",26,IF(J185="famous names",27,IF(J185="famous voices",28,IF(J185="television programs",29,IF(J185="race horses",30,IF(J185="new vocabulary",31,IF(J185="sentences",32,IF(J185="concepts",33,IF(J185="ad slides",34,IF(J185="scenes",35,IF(J185="famous scenes",36,IF(J185="poems",37,IF(J185="walk",38,IF(J185="faces and events",39,IF(J185="events and names",40,IF(J185="flashbulb",41,IF(J185="stories",42,IF(J185="course material",43,IF(J185="autobiographical",44,IF(J185="novels",45,IF(J185="public events",46,"99"))))))))))))))))))))))))))))))))))))))))))))))</f>
        <v>13</v>
      </c>
      <c r="L185" s="60">
        <f>IF(J185="syllables",1,IF(J185="trigrams",1,IF(J185="strings",1,IF(J185="visual array",1,IF(J185="characters",1,IF(J185="letters",1,IF(J185="free forms",1,IF(J185="odors",2,IF(J185="words",2,IF(J185="pictures",2,IF(J185="object pictures",2,IF(J185="faces",2,IF(J185="names",2,IF(J185="idioms","2",IF(J185="grades",2,IF(J185="syllable-digit pairs",3,IF(J185="trigram-word pairs",3,IF(J185="word-digit pairs",3,IF(J185="English-Swahili pairs",3,IF(J185="spatial position",3,IF(J185="word pairs",4,IF(J185="word triads",4,IF(J185="generated words",4,IF(J185="word definition pairs",4,IF(J185="math problems",4,IF(J185="famous faces",4,IF(J185="famous names",4,IF(J185="famous voices",4,IF(J185="television programs",4,IF(J185="race horses",4,IF(J185="new vocabulary",4,IF(J185="sentences",5,IF(J185="concepts",5,IF(J185="ad slides",5,IF(J185="scenes",5,IF(J185="famous scenes",5,IF(J185="poems",6,IF(J185="walk",6,IF(J185="faces and events",6,IF(J185="events and names",6,IF(J185="flashbulb",7,IF(J185="stories",7,IF(J185="course material",7,IF(J185="autobiographical",7,IF(J185="novels",7,IF(J185="public events",7,"99"))))))))))))))))))))))))))))))))))))))))))))))</f>
        <v>2</v>
      </c>
      <c r="M185" s="60">
        <v>1</v>
      </c>
      <c r="N185" s="60">
        <v>2</v>
      </c>
      <c r="O185" s="60">
        <v>0</v>
      </c>
      <c r="P185" s="60"/>
      <c r="Q185" s="60" t="s">
        <v>34</v>
      </c>
      <c r="R185" s="60">
        <f>IF(Q185="Free Recall",1,IF(Q185="Cued Recall",2,IF(Q185="Recognition",3,IF(Q185="Multiple Choice",4,IF(Q185="Savings",5,IF(Q185="Stem Completion",6,IF(Q185="Fragment Completion",7,IF(Q185="anagram solution",8,IF(Q185="Matching",9,IF(Q185="Problem Solving",10,"99"))))))))))</f>
        <v>3</v>
      </c>
      <c r="S185" s="60" t="s">
        <v>15</v>
      </c>
      <c r="T185" s="59" t="s">
        <v>261</v>
      </c>
      <c r="U185" s="60">
        <f>IF(T185="within",1,0)</f>
        <v>0</v>
      </c>
      <c r="V185" s="59">
        <v>16</v>
      </c>
      <c r="W185" s="60">
        <f>F185*V185</f>
        <v>5968</v>
      </c>
      <c r="X185" s="60">
        <v>12</v>
      </c>
      <c r="Y185" s="76">
        <f>AV184</f>
        <v>7776000</v>
      </c>
      <c r="Z185" s="60" t="s">
        <v>510</v>
      </c>
      <c r="AA185" s="76">
        <f>(10*365*24*60*60)+(6*30*24*60*60)</f>
        <v>330912000</v>
      </c>
      <c r="AB185" s="60" t="str">
        <f>IF(AA185&lt;60,"1",IF(AA185&lt;=43200,"2",IF(AA185&lt;=777600,"3","4")))</f>
        <v>4</v>
      </c>
      <c r="AC185" s="56">
        <f>AVERAGE(AV184:DA184)</f>
        <v>165384000</v>
      </c>
      <c r="AD185" s="60" t="str">
        <f>IF(AC185&lt;60,"1",IF(AC185&lt;=43200,"2",IF(AC185&lt;=777600,"3","4")))</f>
        <v>4</v>
      </c>
      <c r="AE185" s="76">
        <f>AA185-Y185</f>
        <v>323136000</v>
      </c>
      <c r="AF185" s="80">
        <f>AV185</f>
        <v>0.78557614826752598</v>
      </c>
      <c r="AG185" s="56">
        <f>((AW185-AV185)+(AX185-AW185)+(AY185-AX185)+(AZ185-AY185)+(BA185-AZ185)+(BB185-BA185)+(BC185-BB185)+(BD185-BC185)+(BE185-BD185)+(BF185-BE185)+(BG185-BF185))/11</f>
        <v>-1.0506922569775085E-2</v>
      </c>
      <c r="AH185" s="4"/>
      <c r="AI185" s="56">
        <f>RSQ(AV185:BG185,AV184:BG184)</f>
        <v>0.51384930216801195</v>
      </c>
      <c r="AJ185" s="109">
        <f>SLOPE(AV185:BG185,AV184:BG184)</f>
        <v>-3.4037358578496057E-10</v>
      </c>
      <c r="AK185" s="56">
        <f>INTERCEPT(AV185:BG185,AV184:BG184)</f>
        <v>0.7275366373489025</v>
      </c>
      <c r="AL185" s="56">
        <f>INDEX(LINEST(LN(AV185:BG185),LN(AV184:BG184),TRUE,TRUE),3,1)</f>
        <v>0.79646201167969943</v>
      </c>
      <c r="AM185" s="56">
        <f>INDEX(LINEST(LN(AV185:BG185),LN(AV184:BG184)),1)</f>
        <v>-5.9485316904957383E-2</v>
      </c>
      <c r="AN185" s="56">
        <f>EXP(INDEX(LINEST(LN(AV185:BG185),LN(AV184:BG184)),1,2))</f>
        <v>2.0236194728204682</v>
      </c>
      <c r="AO185" s="82">
        <f>INDEX(LINEST((AV185:BG185),LN(AV184:BG184),TRUE,TRUE),3,1)</f>
        <v>0.8108721226657124</v>
      </c>
      <c r="AP185" s="82">
        <f>INDEX(LINEST((AV185:BG185),LN(AV184:BG184)),1)</f>
        <v>-4.1918866332267608E-2</v>
      </c>
      <c r="AQ185" s="83">
        <f>INDEX(LINEST(LN(AV185:BG185),SQRT(AV184:BG184),TRUE,TRUE),3,1)</f>
        <v>0.68071822723747355</v>
      </c>
      <c r="AR185" s="116">
        <f>INDEX(LINEST(LN(AV185:BG185),SQRT((AV184:BG184))),1)</f>
        <v>-1.2533401026060409E-5</v>
      </c>
      <c r="AS185" s="84">
        <f>INDEX(LINEST(1/(AV185:BG185),1/(SQRT(AV184:BG184)),TRUE,TRUE),3,1)</f>
        <v>0.73229583624597427</v>
      </c>
      <c r="AT185" s="84">
        <f>INDEX(LINEST(1/(AV185:BG185),1/SQRT(AV184:BG184)),1)</f>
        <v>-1035.2426528659148</v>
      </c>
      <c r="AU185" s="3"/>
      <c r="AV185" s="53">
        <v>0.78557614826752598</v>
      </c>
      <c r="AW185" s="53">
        <v>0.74625302175664698</v>
      </c>
      <c r="AX185" s="53">
        <v>0.682755842062852</v>
      </c>
      <c r="AY185" s="53">
        <v>0.68533440773569698</v>
      </c>
      <c r="AZ185" s="53">
        <v>0.63634165995165093</v>
      </c>
      <c r="BA185" s="53">
        <v>0.67340854149879104</v>
      </c>
      <c r="BB185" s="53">
        <v>0.62763900080580104</v>
      </c>
      <c r="BC185" s="53">
        <v>0.64278807413376304</v>
      </c>
      <c r="BD185" s="53">
        <v>0.63892022562449602</v>
      </c>
      <c r="BE185" s="53">
        <v>0.63827558420628494</v>
      </c>
      <c r="BF185" s="53">
        <v>0.62763900080580104</v>
      </c>
      <c r="BG185" s="53">
        <v>0.67</v>
      </c>
      <c r="BH185" s="53"/>
      <c r="BI185" s="53"/>
      <c r="BJ185" s="53"/>
      <c r="BK185" s="53"/>
      <c r="BL185" s="53"/>
      <c r="BM185" s="53"/>
      <c r="BN185" s="53"/>
      <c r="BO185" s="53"/>
      <c r="BP185" s="53"/>
      <c r="BQ185" s="53"/>
      <c r="BR185" s="53"/>
      <c r="BS185" s="53"/>
      <c r="BT185" s="53"/>
      <c r="BU185" s="53"/>
      <c r="BV185" s="53"/>
      <c r="BW185" s="53"/>
      <c r="BX185" s="53"/>
      <c r="BY185" s="53"/>
      <c r="BZ185" s="53"/>
      <c r="CA185" s="53"/>
      <c r="CB185" s="53"/>
      <c r="CC185" s="53"/>
      <c r="CD185" s="53"/>
      <c r="CE185" s="53"/>
      <c r="CF185" s="53"/>
      <c r="CG185" s="53"/>
      <c r="CH185" s="53"/>
      <c r="CI185" s="53"/>
      <c r="CJ185" s="53"/>
      <c r="CK185" s="53"/>
      <c r="CL185" s="53"/>
      <c r="CM185" s="53"/>
      <c r="CN185" s="53"/>
      <c r="CO185" s="53"/>
      <c r="CP185" s="53"/>
      <c r="CQ185" s="53"/>
      <c r="CR185" s="1"/>
      <c r="CS185" s="1"/>
      <c r="CT185" s="1"/>
      <c r="CU185" s="1"/>
    </row>
    <row r="186" spans="1:99" s="13" customFormat="1" ht="12" customHeight="1" x14ac:dyDescent="0.2">
      <c r="A186" s="65">
        <v>43509</v>
      </c>
      <c r="B186" s="1"/>
      <c r="C186" s="1"/>
      <c r="D186" s="60"/>
      <c r="E186" s="76"/>
      <c r="F186" s="60"/>
      <c r="G186" s="60"/>
      <c r="H186" s="60"/>
      <c r="I186" s="60"/>
      <c r="J186" s="60"/>
      <c r="K186" s="64"/>
      <c r="L186" s="64"/>
      <c r="M186" s="60"/>
      <c r="N186" s="60"/>
      <c r="O186" s="60"/>
      <c r="P186" s="60"/>
      <c r="Q186" s="60"/>
      <c r="R186" s="60"/>
      <c r="S186" s="60"/>
      <c r="T186" s="60"/>
      <c r="U186" s="60"/>
      <c r="V186" s="60"/>
      <c r="W186" s="60"/>
      <c r="X186" s="60"/>
      <c r="Y186" s="76"/>
      <c r="Z186" s="60"/>
      <c r="AA186" s="60"/>
      <c r="AB186" s="60"/>
      <c r="AC186" s="60"/>
      <c r="AD186" s="60"/>
      <c r="AE186" s="60"/>
      <c r="AF186" s="80"/>
      <c r="AG186" s="56"/>
      <c r="AH186" s="4"/>
      <c r="AI186" s="56"/>
      <c r="AJ186" s="109"/>
      <c r="AK186" s="56"/>
      <c r="AL186" s="56"/>
      <c r="AM186" s="56"/>
      <c r="AN186" s="56"/>
      <c r="AO186" s="56"/>
      <c r="AP186" s="56"/>
      <c r="AQ186" s="56"/>
      <c r="AR186" s="109"/>
      <c r="AS186" s="56"/>
      <c r="AT186" s="56"/>
      <c r="AU186" s="4"/>
      <c r="AV186" s="25">
        <f>3*30*24*60*60</f>
        <v>7776000</v>
      </c>
      <c r="AW186" s="25">
        <f>(365*24*60*60)+(3*30*24*60*60)</f>
        <v>39312000</v>
      </c>
      <c r="AX186" s="25">
        <f>(2*365*24*60*60)+(3*30*24*60*60)</f>
        <v>70848000</v>
      </c>
      <c r="AY186" s="25">
        <f>(3*365*24*60*60)+(3*30*24*60*60)</f>
        <v>102384000</v>
      </c>
      <c r="AZ186" s="25">
        <f>(3*365*24*60*60)+(6*30*24*60*60)</f>
        <v>110160000</v>
      </c>
      <c r="BA186" s="25">
        <f>(4*365*24*60*60)+(6*30*24*60*60)</f>
        <v>141696000</v>
      </c>
      <c r="BB186" s="25">
        <f>(5*365*24*60*60)+(6*30*24*60*60)</f>
        <v>173232000</v>
      </c>
      <c r="BC186" s="25">
        <f>(6*365*24*60*60)+(6*30*24*60*60)</f>
        <v>204768000</v>
      </c>
      <c r="BD186" s="25">
        <f>(7*365*24*60*60)+(6*30*24*60*60)</f>
        <v>236304000</v>
      </c>
      <c r="BE186" s="25">
        <f>(8*365*24*60*60)+(6*30*24*60*60)</f>
        <v>267840000</v>
      </c>
      <c r="BF186" s="25">
        <f>(9*365*24*60*60)+(6*30*24*60*60)</f>
        <v>299376000</v>
      </c>
      <c r="BG186" s="25">
        <f>(10*365*24*60*60)+(6*30*24*60*60)</f>
        <v>330912000</v>
      </c>
      <c r="BH186" s="53"/>
      <c r="BI186" s="53"/>
      <c r="BJ186" s="53"/>
      <c r="BK186" s="53"/>
      <c r="BL186" s="53"/>
      <c r="BM186" s="53"/>
      <c r="BN186" s="53"/>
      <c r="BO186" s="53"/>
      <c r="BP186" s="53"/>
      <c r="BQ186" s="53"/>
      <c r="BR186" s="53"/>
      <c r="BS186" s="53"/>
      <c r="BT186" s="53"/>
      <c r="BU186" s="53"/>
      <c r="BV186" s="53"/>
      <c r="BW186" s="53"/>
      <c r="BX186" s="53"/>
      <c r="BY186" s="53"/>
      <c r="BZ186" s="53"/>
      <c r="CA186" s="53"/>
      <c r="CB186" s="53"/>
      <c r="CC186" s="53"/>
      <c r="CD186" s="53"/>
      <c r="CE186" s="53"/>
      <c r="CF186" s="53"/>
      <c r="CG186" s="53"/>
      <c r="CH186" s="53"/>
      <c r="CI186" s="53"/>
      <c r="CJ186" s="53"/>
      <c r="CK186" s="53"/>
      <c r="CL186" s="53"/>
      <c r="CM186" s="53"/>
      <c r="CN186" s="53"/>
      <c r="CO186" s="53"/>
      <c r="CP186" s="53"/>
      <c r="CQ186" s="53"/>
      <c r="CR186" s="1"/>
      <c r="CS186" s="1"/>
      <c r="CT186" s="1"/>
      <c r="CU186" s="1"/>
    </row>
    <row r="187" spans="1:99" s="13" customFormat="1" ht="12" customHeight="1" x14ac:dyDescent="0.2">
      <c r="A187" s="65">
        <v>43509</v>
      </c>
      <c r="B187" s="1" t="s">
        <v>213</v>
      </c>
      <c r="C187" s="1" t="s">
        <v>202</v>
      </c>
      <c r="D187" s="60">
        <v>1991</v>
      </c>
      <c r="E187" s="76">
        <v>1</v>
      </c>
      <c r="F187" s="60">
        <v>373</v>
      </c>
      <c r="G187" s="60">
        <v>31.1</v>
      </c>
      <c r="H187" s="60" t="s">
        <v>41</v>
      </c>
      <c r="I187" s="60" t="s">
        <v>93</v>
      </c>
      <c r="J187" s="60" t="s">
        <v>93</v>
      </c>
      <c r="K187" s="60">
        <f>IF(J187="syllables",1,IF(J187="trigrams",2,IF(J187="strings",3,IF(J187="visual array",4,IF(J187="characters",5,IF(J187="letters",6,IF(J187="free forms",7,IF(J187="odors",8,IF(J187="words",9,IF(J187="pictures",10,IF(J187="object pictures",11,IF(J187="faces",12,IF(J187="names",13,IF(J187="idioms",14,IF(J187="grades",15,IF(J187="syllable-digit pairs",16,IF(J187="trigram-word pairs",17,IF(J187="word-digit pairs",18,IF(J187="English-Swahili pairs",19,IF(J187="spatial position",20,IF(J187="word pairs",21,IF(J187="word triads",22,IF(J187="generated words",23,IF(J187="word definition pairs",24,IF(J187="math problems",25,IF(J187="famous faces",26,IF(J187="famous names",27,IF(J187="famous voices",28,IF(J187="television programs",29,IF(J187="race horses",30,IF(J187="new vocabulary",31,IF(J187="sentences",32,IF(J187="concepts",33,IF(J187="ad slides",34,IF(J187="scenes",35,IF(J187="famous scenes",36,IF(J187="poems",37,IF(J187="walk",38,IF(J187="faces and events",39,IF(J187="events and names",40,IF(J187="flashbulb",41,IF(J187="stories",42,IF(J187="course material",43,IF(J187="autobiographical",44,IF(J187="novels",45,IF(J187="public events",46,"99"))))))))))))))))))))))))))))))))))))))))))))))</f>
        <v>33</v>
      </c>
      <c r="L187" s="60">
        <f>IF(J187="syllables",1,IF(J187="trigrams",1,IF(J187="strings",1,IF(J187="visual array",1,IF(J187="characters",1,IF(J187="letters",1,IF(J187="free forms",1,IF(J187="odors",2,IF(J187="words",2,IF(J187="pictures",2,IF(J187="object pictures",2,IF(J187="faces",2,IF(J187="names",2,IF(J187="idioms","2",IF(J187="grades",2,IF(J187="syllable-digit pairs",3,IF(J187="trigram-word pairs",3,IF(J187="word-digit pairs",3,IF(J187="English-Swahili pairs",3,IF(J187="spatial position",3,IF(J187="word pairs",4,IF(J187="word triads",4,IF(J187="generated words",4,IF(J187="word definition pairs",4,IF(J187="math problems",4,IF(J187="famous faces",4,IF(J187="famous names",4,IF(J187="famous voices",4,IF(J187="television programs",4,IF(J187="race horses",4,IF(J187="new vocabulary",4,IF(J187="sentences",5,IF(J187="concepts",5,IF(J187="ad slides",5,IF(J187="scenes",5,IF(J187="famous scenes",5,IF(J187="poems",6,IF(J187="walk",6,IF(J187="faces and events",6,IF(J187="events and names",6,IF(J187="flashbulb",7,IF(J187="stories",7,IF(J187="course material",7,IF(J187="autobiographical",7,IF(J187="novels",7,IF(J187="public events",7,"99"))))))))))))))))))))))))))))))))))))))))))))))</f>
        <v>5</v>
      </c>
      <c r="M187" s="60">
        <v>1</v>
      </c>
      <c r="N187" s="60">
        <v>4</v>
      </c>
      <c r="O187" s="60">
        <v>0</v>
      </c>
      <c r="P187" s="60"/>
      <c r="Q187" s="60" t="s">
        <v>174</v>
      </c>
      <c r="R187" s="60">
        <f>IF(Q187="Free Recall",1,IF(Q187="Cued Recall",2,IF(Q187="Recognition",3,IF(Q187="Multiple Choice",4,IF(Q187="Savings",5,IF(Q187="Stem Completion",6,IF(Q187="Fragment Completion",7,IF(Q187="anagram solution",8,IF(Q187="Matching",9,IF(Q187="Problem Solving",10,"99"))))))))))</f>
        <v>1</v>
      </c>
      <c r="S187" s="62" t="s">
        <v>49</v>
      </c>
      <c r="T187" s="59" t="s">
        <v>261</v>
      </c>
      <c r="U187" s="60">
        <f>IF(T187="within",1,0)</f>
        <v>0</v>
      </c>
      <c r="V187" s="59">
        <v>12</v>
      </c>
      <c r="W187" s="60">
        <f>F187*V187</f>
        <v>4476</v>
      </c>
      <c r="X187" s="60">
        <v>12</v>
      </c>
      <c r="Y187" s="76">
        <f>AV186</f>
        <v>7776000</v>
      </c>
      <c r="Z187" s="60" t="s">
        <v>510</v>
      </c>
      <c r="AA187" s="76">
        <f>(10*365*24*60*60)+(6*30*24*60*60)</f>
        <v>330912000</v>
      </c>
      <c r="AB187" s="60" t="str">
        <f>IF(AA187&lt;60,"1",IF(AA187&lt;=43200,"2",IF(AA187&lt;=777600,"3","4")))</f>
        <v>4</v>
      </c>
      <c r="AC187" s="56">
        <f>AVERAGE(AV186:DA186)</f>
        <v>165384000</v>
      </c>
      <c r="AD187" s="60" t="str">
        <f>IF(AC187&lt;60,"1",IF(AC187&lt;=43200,"2",IF(AC187&lt;=777600,"3","4")))</f>
        <v>4</v>
      </c>
      <c r="AE187" s="76">
        <f>AA187-Y187</f>
        <v>323136000</v>
      </c>
      <c r="AF187" s="80">
        <f>AV187</f>
        <v>0.60232787750619898</v>
      </c>
      <c r="AG187" s="56">
        <f>((AW187-AV187)+(AX187-AW187)+(AY187-AX187)+(AZ187-AY187)+(BA187-AZ187)+(BB187-BA187)+(BC187-BB187)+(BD187-BC187)+(BE187-BD187)+(BF187-BE187)+(BG187-BF187))/11</f>
        <v>-3.1739311133815347E-2</v>
      </c>
      <c r="AH187" s="4"/>
      <c r="AI187" s="56">
        <f>RSQ(AV187:BG187,AV186:BG186)</f>
        <v>0.60723157322830179</v>
      </c>
      <c r="AJ187" s="109">
        <f>SLOPE(AV187:BG187,AV186:BG186)</f>
        <v>-7.8874967450842775E-10</v>
      </c>
      <c r="AK187" s="56">
        <f>INTERCEPT(AV187:BG187,AV186:BG186)</f>
        <v>0.45291395579693183</v>
      </c>
      <c r="AL187" s="56">
        <f>INDEX(LINEST(LN(AV187:BG187),LN(AV186:BG186),TRUE,TRUE),3,1)</f>
        <v>0.90853591015193713</v>
      </c>
      <c r="AM187" s="56">
        <f>INDEX(LINEST(LN(AV187:BG187),LN(AV186:BG186)),1)</f>
        <v>-0.24881822357505426</v>
      </c>
      <c r="AN187" s="56">
        <f>EXP(INDEX(LINEST(LN(AV187:BG187),LN(AV186:BG186)),1,2))</f>
        <v>31.64897746607069</v>
      </c>
      <c r="AO187" s="82">
        <f>INDEX(LINEST((AV187:BG187),LN(AV186:BG186),TRUE,TRUE),3,1)</f>
        <v>0.93091793243095566</v>
      </c>
      <c r="AP187" s="82">
        <f>INDEX(LINEST((AV187:BG187),LN(AV186:BG186)),1)</f>
        <v>-9.5744337499546806E-2</v>
      </c>
      <c r="AQ187" s="83">
        <f>INDEX(LINEST(LN(AV187:BG187),SQRT(AV186:BG186),TRUE,TRUE),3,1)</f>
        <v>0.82568990287649957</v>
      </c>
      <c r="AR187" s="116">
        <f>INDEX(LINEST(LN(AV187:BG187),SQRT((AV186:BG186))),1)</f>
        <v>-5.4060196855414857E-5</v>
      </c>
      <c r="AS187" s="84">
        <f>INDEX(LINEST(1/(AV187:BG187),1/(SQRT(AV186:BG186)),TRUE,TRUE),3,1)</f>
        <v>0.72221485567093613</v>
      </c>
      <c r="AT187" s="84">
        <f>INDEX(LINEST(1/(AV187:BG187),1/SQRT(AV186:BG186)),1)</f>
        <v>-8030.2295919345861</v>
      </c>
      <c r="AU187" s="3"/>
      <c r="AV187" s="53">
        <v>0.60232787750619898</v>
      </c>
      <c r="AW187" s="53">
        <v>0.43752953022102403</v>
      </c>
      <c r="AX187" s="53">
        <v>0.36835989559743099</v>
      </c>
      <c r="AY187" s="53">
        <v>0.30743623916139001</v>
      </c>
      <c r="AZ187" s="53">
        <v>0.281068399323533</v>
      </c>
      <c r="BA187" s="53">
        <v>0.30258432201870999</v>
      </c>
      <c r="BB187" s="53">
        <v>0.289475347764175</v>
      </c>
      <c r="BC187" s="53">
        <v>0.26358813773057899</v>
      </c>
      <c r="BD187" s="53">
        <v>0.23564057362759802</v>
      </c>
      <c r="BE187" s="53">
        <v>0.30290756592774498</v>
      </c>
      <c r="BF187" s="53">
        <v>0.225495211623746</v>
      </c>
      <c r="BG187" s="53">
        <v>0.25319545503423002</v>
      </c>
      <c r="BH187" s="53"/>
      <c r="BI187" s="53"/>
      <c r="BJ187" s="53"/>
      <c r="BK187" s="53"/>
      <c r="BL187" s="53"/>
      <c r="BM187" s="53"/>
      <c r="BN187" s="53"/>
      <c r="BO187" s="53"/>
      <c r="BP187" s="53"/>
      <c r="BQ187" s="53"/>
      <c r="BR187" s="53"/>
      <c r="BS187" s="53"/>
      <c r="BT187" s="53"/>
      <c r="BU187" s="53"/>
      <c r="BV187" s="53"/>
      <c r="BW187" s="53"/>
      <c r="BX187" s="53"/>
      <c r="BY187" s="53"/>
      <c r="BZ187" s="53"/>
      <c r="CA187" s="53"/>
      <c r="CB187" s="53"/>
      <c r="CC187" s="53"/>
      <c r="CD187" s="53"/>
      <c r="CE187" s="53"/>
      <c r="CF187" s="53"/>
      <c r="CG187" s="53"/>
      <c r="CH187" s="53"/>
      <c r="CI187" s="53"/>
      <c r="CJ187" s="53"/>
      <c r="CK187" s="53"/>
      <c r="CL187" s="53"/>
      <c r="CM187" s="53"/>
      <c r="CN187" s="53"/>
      <c r="CO187" s="53"/>
      <c r="CP187" s="53"/>
      <c r="CQ187" s="53"/>
      <c r="CR187" s="1"/>
      <c r="CS187" s="1"/>
      <c r="CT187" s="1"/>
      <c r="CU187" s="1"/>
    </row>
    <row r="188" spans="1:99" s="13" customFormat="1" ht="12" customHeight="1" x14ac:dyDescent="0.2">
      <c r="A188" s="65">
        <v>43509</v>
      </c>
      <c r="B188" s="1"/>
      <c r="C188" s="1"/>
      <c r="D188" s="60"/>
      <c r="E188" s="76"/>
      <c r="F188" s="60"/>
      <c r="G188" s="60"/>
      <c r="H188" s="60"/>
      <c r="I188" s="60"/>
      <c r="J188" s="60"/>
      <c r="K188" s="64"/>
      <c r="L188" s="64"/>
      <c r="M188" s="60"/>
      <c r="N188" s="60"/>
      <c r="O188" s="60"/>
      <c r="P188" s="60"/>
      <c r="Q188" s="60"/>
      <c r="R188" s="60"/>
      <c r="S188" s="60"/>
      <c r="T188" s="60"/>
      <c r="U188" s="60"/>
      <c r="V188" s="60"/>
      <c r="W188" s="60"/>
      <c r="X188" s="60"/>
      <c r="Y188" s="76"/>
      <c r="Z188" s="60"/>
      <c r="AA188" s="60"/>
      <c r="AB188" s="60"/>
      <c r="AC188" s="60"/>
      <c r="AD188" s="60"/>
      <c r="AE188" s="60"/>
      <c r="AF188" s="80"/>
      <c r="AG188" s="56"/>
      <c r="AH188" s="4"/>
      <c r="AI188" s="56"/>
      <c r="AJ188" s="109"/>
      <c r="AK188" s="56"/>
      <c r="AL188" s="56"/>
      <c r="AM188" s="56"/>
      <c r="AN188" s="56"/>
      <c r="AO188" s="56"/>
      <c r="AP188" s="56"/>
      <c r="AQ188" s="56"/>
      <c r="AR188" s="109"/>
      <c r="AS188" s="56"/>
      <c r="AT188" s="56"/>
      <c r="AU188" s="4"/>
      <c r="AV188" s="25">
        <f>3*30*24*60*60</f>
        <v>7776000</v>
      </c>
      <c r="AW188" s="25">
        <f>(365*24*60*60)+(3*30*24*60*60)</f>
        <v>39312000</v>
      </c>
      <c r="AX188" s="25">
        <f>(2*365*24*60*60)+(3*30*24*60*60)</f>
        <v>70848000</v>
      </c>
      <c r="AY188" s="25">
        <f>(3*365*24*60*60)+(3*30*24*60*60)</f>
        <v>102384000</v>
      </c>
      <c r="AZ188" s="25">
        <f>(3*365*24*60*60)+(6*30*24*60*60)</f>
        <v>110160000</v>
      </c>
      <c r="BA188" s="25">
        <f>(4*365*24*60*60)+(6*30*24*60*60)</f>
        <v>141696000</v>
      </c>
      <c r="BB188" s="25">
        <f>(5*365*24*60*60)+(6*30*24*60*60)</f>
        <v>173232000</v>
      </c>
      <c r="BC188" s="25">
        <f>(6*365*24*60*60)+(6*30*24*60*60)</f>
        <v>204768000</v>
      </c>
      <c r="BD188" s="25">
        <f>(7*365*24*60*60)+(6*30*24*60*60)</f>
        <v>236304000</v>
      </c>
      <c r="BE188" s="25">
        <f>(8*365*24*60*60)+(6*30*24*60*60)</f>
        <v>267840000</v>
      </c>
      <c r="BF188" s="25">
        <f>(9*365*24*60*60)+(6*30*24*60*60)</f>
        <v>299376000</v>
      </c>
      <c r="BG188" s="25">
        <f>(10*365*24*60*60)+(6*30*24*60*60)</f>
        <v>330912000</v>
      </c>
      <c r="BH188" s="53"/>
      <c r="BI188" s="53"/>
      <c r="BJ188" s="53"/>
      <c r="BK188" s="53"/>
      <c r="BL188" s="53"/>
      <c r="BM188" s="53"/>
      <c r="BN188" s="53"/>
      <c r="BO188" s="53"/>
      <c r="BP188" s="53"/>
      <c r="BQ188" s="53"/>
      <c r="BR188" s="53"/>
      <c r="BS188" s="53"/>
      <c r="BT188" s="53"/>
      <c r="BU188" s="53"/>
      <c r="BV188" s="53"/>
      <c r="BW188" s="53"/>
      <c r="BX188" s="53"/>
      <c r="BY188" s="53"/>
      <c r="BZ188" s="53"/>
      <c r="CA188" s="53"/>
      <c r="CB188" s="53"/>
      <c r="CC188" s="53"/>
      <c r="CD188" s="53"/>
      <c r="CE188" s="53"/>
      <c r="CF188" s="53"/>
      <c r="CG188" s="53"/>
      <c r="CH188" s="53"/>
      <c r="CI188" s="53"/>
      <c r="CJ188" s="53"/>
      <c r="CK188" s="53"/>
      <c r="CL188" s="53"/>
      <c r="CM188" s="53"/>
      <c r="CN188" s="53"/>
      <c r="CO188" s="53"/>
      <c r="CP188" s="53"/>
      <c r="CQ188" s="53"/>
      <c r="CR188" s="1"/>
      <c r="CS188" s="1"/>
      <c r="CT188" s="1"/>
      <c r="CU188" s="1"/>
    </row>
    <row r="189" spans="1:99" s="13" customFormat="1" ht="12" customHeight="1" x14ac:dyDescent="0.2">
      <c r="A189" s="65">
        <v>43509</v>
      </c>
      <c r="B189" s="1" t="s">
        <v>213</v>
      </c>
      <c r="C189" s="1" t="s">
        <v>202</v>
      </c>
      <c r="D189" s="60">
        <v>1991</v>
      </c>
      <c r="E189" s="76">
        <v>1</v>
      </c>
      <c r="F189" s="60">
        <v>373</v>
      </c>
      <c r="G189" s="60">
        <v>31.1</v>
      </c>
      <c r="H189" s="60" t="s">
        <v>41</v>
      </c>
      <c r="I189" s="60" t="s">
        <v>203</v>
      </c>
      <c r="J189" s="60" t="s">
        <v>203</v>
      </c>
      <c r="K189" s="60">
        <f>IF(J189="syllables",1,IF(J189="trigrams",2,IF(J189="strings",3,IF(J189="visual array",4,IF(J189="characters",5,IF(J189="letters",6,IF(J189="free forms",7,IF(J189="odors",8,IF(J189="words",9,IF(J189="pictures",10,IF(J189="object pictures",11,IF(J189="faces",12,IF(J189="names",13,IF(J189="idioms",14,IF(J189="grades",15,IF(J189="syllable-digit pairs",16,IF(J189="trigram-word pairs",17,IF(J189="word-digit pairs",18,IF(J189="English-Swahili pairs",19,IF(J189="spatial position",20,IF(J189="word pairs",21,IF(J189="word triads",22,IF(J189="generated words",23,IF(J189="word definition pairs",24,IF(J189="math problems",25,IF(J189="famous faces",26,IF(J189="famous names",27,IF(J189="famous voices",28,IF(J189="television programs",29,IF(J189="race horses",30,IF(J189="new vocabulary",31,IF(J189="sentences",32,IF(J189="concepts",33,IF(J189="ad slides",34,IF(J189="scenes",35,IF(J189="famous scenes",36,IF(J189="poems",37,IF(J189="walk",38,IF(J189="faces and events",39,IF(J189="events and names",40,IF(J189="flashbulb",41,IF(J189="stories",42,IF(J189="course material",43,IF(J189="autobiographical",44,IF(J189="novels",45,IF(J189="public events",46,"99"))))))))))))))))))))))))))))))))))))))))))))))</f>
        <v>13</v>
      </c>
      <c r="L189" s="60">
        <f>IF(J189="syllables",1,IF(J189="trigrams",1,IF(J189="strings",1,IF(J189="visual array",1,IF(J189="characters",1,IF(J189="letters",1,IF(J189="free forms",1,IF(J189="odors",2,IF(J189="words",2,IF(J189="pictures",2,IF(J189="object pictures",2,IF(J189="faces",2,IF(J189="names",2,IF(J189="idioms","2",IF(J189="grades",2,IF(J189="syllable-digit pairs",3,IF(J189="trigram-word pairs",3,IF(J189="word-digit pairs",3,IF(J189="English-Swahili pairs",3,IF(J189="spatial position",3,IF(J189="word pairs",4,IF(J189="word triads",4,IF(J189="generated words",4,IF(J189="word definition pairs",4,IF(J189="math problems",4,IF(J189="famous faces",4,IF(J189="famous names",4,IF(J189="famous voices",4,IF(J189="television programs",4,IF(J189="race horses",4,IF(J189="new vocabulary",4,IF(J189="sentences",5,IF(J189="concepts",5,IF(J189="ad slides",5,IF(J189="scenes",5,IF(J189="famous scenes",5,IF(J189="poems",6,IF(J189="walk",6,IF(J189="faces and events",6,IF(J189="events and names",6,IF(J189="flashbulb",7,IF(J189="stories",7,IF(J189="course material",7,IF(J189="autobiographical",7,IF(J189="novels",7,IF(J189="public events",7,"99"))))))))))))))))))))))))))))))))))))))))))))))</f>
        <v>2</v>
      </c>
      <c r="M189" s="60">
        <v>1</v>
      </c>
      <c r="N189" s="60">
        <v>2</v>
      </c>
      <c r="O189" s="60">
        <v>0</v>
      </c>
      <c r="P189" s="60"/>
      <c r="Q189" s="60" t="s">
        <v>174</v>
      </c>
      <c r="R189" s="60">
        <f>IF(Q189="Free Recall",1,IF(Q189="Cued Recall",2,IF(Q189="Recognition",3,IF(Q189="Multiple Choice",4,IF(Q189="Savings",5,IF(Q189="Stem Completion",6,IF(Q189="Fragment Completion",7,IF(Q189="anagram solution",8,IF(Q189="Matching",9,IF(Q189="Problem Solving",10,"99"))))))))))</f>
        <v>1</v>
      </c>
      <c r="S189" s="62" t="s">
        <v>49</v>
      </c>
      <c r="T189" s="59" t="s">
        <v>261</v>
      </c>
      <c r="U189" s="60">
        <f>IF(T189="within",1,0)</f>
        <v>0</v>
      </c>
      <c r="V189" s="59">
        <v>12</v>
      </c>
      <c r="W189" s="60">
        <f>F189*V189</f>
        <v>4476</v>
      </c>
      <c r="X189" s="60">
        <v>12</v>
      </c>
      <c r="Y189" s="76">
        <f>AV188</f>
        <v>7776000</v>
      </c>
      <c r="Z189" s="60" t="s">
        <v>510</v>
      </c>
      <c r="AA189" s="76">
        <f>(10*365*24*60*60)+(6*30*24*60*60)</f>
        <v>330912000</v>
      </c>
      <c r="AB189" s="60" t="str">
        <f>IF(AA189&lt;60,"1",IF(AA189&lt;=43200,"2",IF(AA189&lt;=777600,"3","4")))</f>
        <v>4</v>
      </c>
      <c r="AC189" s="56">
        <f>AVERAGE(AV188:DA188)</f>
        <v>165384000</v>
      </c>
      <c r="AD189" s="60" t="str">
        <f>IF(AC189&lt;60,"1",IF(AC189&lt;=43200,"2",IF(AC189&lt;=777600,"3","4")))</f>
        <v>4</v>
      </c>
      <c r="AE189" s="76">
        <f>AA189-Y189</f>
        <v>323136000</v>
      </c>
      <c r="AF189" s="80">
        <f>AV189</f>
        <v>0.56316941956212097</v>
      </c>
      <c r="AG189" s="56">
        <f>((AW189-AV189)+(AX189-AW189)+(AY189-AX189)+(AZ189-AY189)+(BA189-AZ189)+(BB189-BA189)+(BC189-BB189)+(BD189-BC189)+(BE189-BD189)+(BF189-BE189)+(BG189-BF189))/11</f>
        <v>-1.7724649629018898E-2</v>
      </c>
      <c r="AH189" s="4"/>
      <c r="AI189" s="56">
        <f>RSQ(AV189:BG189,AV188:BG188)</f>
        <v>0.12192481258833034</v>
      </c>
      <c r="AJ189" s="109">
        <f>SLOPE(AV189:BG189,AV188:BG188)</f>
        <v>-3.334351685238285E-10</v>
      </c>
      <c r="AK189" s="56">
        <f>INTERCEPT(AV189:BG189,AV188:BG188)</f>
        <v>0.35655577550602702</v>
      </c>
      <c r="AL189" s="56">
        <f>INDEX(LINEST(LN(AV189:BG189),LN(AV188:BG188),TRUE,TRUE),3,1)</f>
        <v>0.32067986897926026</v>
      </c>
      <c r="AM189" s="56">
        <f>INDEX(LINEST(LN(AV189:BG189),LN(AV188:BG188)),1)</f>
        <v>-0.15770156066902088</v>
      </c>
      <c r="AN189" s="56">
        <f>EXP(INDEX(LINEST(LN(AV189:BG189),LN(AV188:BG188)),1,2))</f>
        <v>5.4180833158321384</v>
      </c>
      <c r="AO189" s="82">
        <f>INDEX(LINEST((AV189:BG189),LN(AV188:BG188),TRUE,TRUE),3,1)</f>
        <v>0.42208688625917956</v>
      </c>
      <c r="AP189" s="82">
        <f>INDEX(LINEST((AV189:BG189),LN(AV188:BG188)),1)</f>
        <v>-6.0822135632044645E-2</v>
      </c>
      <c r="AQ189" s="83">
        <f>INDEX(LINEST(LN(AV189:BG189),SQRT(AV188:BG188),TRUE,TRUE),3,1)</f>
        <v>0.18173029331150617</v>
      </c>
      <c r="AR189" s="116">
        <f>INDEX(LINEST(LN(AV189:BG189),SQRT((AV188:BG188))),1)</f>
        <v>-2.7056511829039438E-5</v>
      </c>
      <c r="AS189" s="84">
        <f>INDEX(LINEST(1/(AV189:BG189),1/(SQRT(AV188:BG188)),TRUE,TRUE),3,1)</f>
        <v>0.30612593261719384</v>
      </c>
      <c r="AT189" s="84">
        <f>INDEX(LINEST(1/(AV189:BG189),1/SQRT(AV188:BG188)),1)</f>
        <v>-6514.8513687229561</v>
      </c>
      <c r="AU189" s="3"/>
      <c r="AV189" s="53">
        <v>0.56316941956212097</v>
      </c>
      <c r="AW189" s="53">
        <v>0.319229754080465</v>
      </c>
      <c r="AX189" s="53">
        <v>0.217082723720954</v>
      </c>
      <c r="AY189" s="53">
        <v>0.232003427949519</v>
      </c>
      <c r="AZ189" s="53">
        <v>0.24726790468214802</v>
      </c>
      <c r="BA189" s="53">
        <v>0.32401943373662695</v>
      </c>
      <c r="BB189" s="53">
        <v>0.345121851874781</v>
      </c>
      <c r="BC189" s="53">
        <v>0.29821238297886099</v>
      </c>
      <c r="BD189" s="53">
        <v>0.23976323687065901</v>
      </c>
      <c r="BE189" s="53">
        <v>0.28147245420982797</v>
      </c>
      <c r="BF189" s="53">
        <v>0.18139033982971001</v>
      </c>
      <c r="BG189" s="53">
        <v>0.36819827364291302</v>
      </c>
      <c r="BH189" s="53"/>
      <c r="BI189" s="53"/>
      <c r="BJ189" s="53"/>
      <c r="BK189" s="53"/>
      <c r="BL189" s="53"/>
      <c r="BM189" s="53"/>
      <c r="BN189" s="53"/>
      <c r="BO189" s="53"/>
      <c r="BP189" s="53"/>
      <c r="BQ189" s="53"/>
      <c r="BR189" s="53"/>
      <c r="BS189" s="53"/>
      <c r="BT189" s="53"/>
      <c r="BU189" s="53"/>
      <c r="BV189" s="53"/>
      <c r="BW189" s="53"/>
      <c r="BX189" s="53"/>
      <c r="BY189" s="53"/>
      <c r="BZ189" s="53"/>
      <c r="CA189" s="53"/>
      <c r="CB189" s="53"/>
      <c r="CC189" s="53"/>
      <c r="CD189" s="53"/>
      <c r="CE189" s="53"/>
      <c r="CF189" s="53"/>
      <c r="CG189" s="53"/>
      <c r="CH189" s="53"/>
      <c r="CI189" s="53"/>
      <c r="CJ189" s="53"/>
      <c r="CK189" s="53"/>
      <c r="CL189" s="53"/>
      <c r="CM189" s="53"/>
      <c r="CN189" s="53"/>
      <c r="CO189" s="53"/>
      <c r="CP189" s="53"/>
      <c r="CQ189" s="53"/>
      <c r="CR189" s="1"/>
      <c r="CS189" s="1"/>
      <c r="CT189" s="1"/>
      <c r="CU189" s="1"/>
    </row>
    <row r="190" spans="1:99" ht="12" customHeight="1" x14ac:dyDescent="0.2">
      <c r="A190" s="68">
        <v>43509</v>
      </c>
      <c r="B190" s="127"/>
      <c r="C190" s="94"/>
      <c r="D190" s="92"/>
      <c r="E190" s="105"/>
      <c r="F190" s="92"/>
      <c r="G190" s="92"/>
      <c r="H190" s="92"/>
      <c r="I190" s="92"/>
      <c r="J190" s="92"/>
      <c r="K190" s="107"/>
      <c r="L190" s="107"/>
      <c r="M190" s="92"/>
      <c r="N190" s="92"/>
      <c r="O190" s="92"/>
      <c r="P190" s="92"/>
      <c r="Q190" s="92"/>
      <c r="R190" s="69"/>
      <c r="S190" s="92"/>
      <c r="T190" s="92"/>
      <c r="U190" s="69"/>
      <c r="V190" s="92"/>
      <c r="W190" s="69"/>
      <c r="X190" s="92"/>
      <c r="Y190" s="87"/>
      <c r="Z190" s="92"/>
      <c r="AA190" s="92"/>
      <c r="AB190" s="69"/>
      <c r="AC190" s="69"/>
      <c r="AD190" s="69"/>
      <c r="AE190" s="69"/>
      <c r="AF190" s="88"/>
      <c r="AG190" s="72"/>
      <c r="AH190" s="4"/>
      <c r="AI190" s="108"/>
      <c r="AJ190" s="113"/>
      <c r="AK190" s="108"/>
      <c r="AL190" s="108"/>
      <c r="AM190" s="108"/>
      <c r="AN190" s="108"/>
      <c r="AO190" s="108"/>
      <c r="AP190" s="108"/>
      <c r="AQ190" s="72"/>
      <c r="AR190" s="110"/>
      <c r="AS190" s="72"/>
      <c r="AT190" s="72"/>
      <c r="AU190" s="3"/>
      <c r="AV190" s="98">
        <v>60</v>
      </c>
      <c r="AW190" s="98">
        <f>2*24*3600</f>
        <v>172800</v>
      </c>
      <c r="AX190" s="98">
        <f>28*24*3600</f>
        <v>2419200</v>
      </c>
      <c r="AY190" s="11"/>
      <c r="AZ190" s="11"/>
      <c r="BA190" s="11"/>
      <c r="BB190" s="11"/>
      <c r="BC190" s="11"/>
      <c r="BD190" s="11"/>
      <c r="BE190" s="11"/>
      <c r="BF190" s="11"/>
      <c r="BG190" s="11"/>
      <c r="BH190" s="11"/>
      <c r="BI190" s="11"/>
      <c r="BJ190" s="11"/>
      <c r="BK190" s="11"/>
      <c r="BL190" s="11"/>
      <c r="BM190" s="11"/>
      <c r="BN190" s="11"/>
      <c r="BO190" s="11"/>
      <c r="BP190" s="11"/>
      <c r="BQ190" s="11"/>
      <c r="BR190" s="11"/>
      <c r="BS190" s="11"/>
      <c r="BT190" s="11"/>
      <c r="BU190" s="11"/>
      <c r="BV190" s="11"/>
      <c r="BW190" s="11"/>
      <c r="BX190" s="11"/>
      <c r="BY190" s="11"/>
      <c r="BZ190" s="11"/>
      <c r="CA190" s="11"/>
      <c r="CB190" s="11"/>
      <c r="CC190" s="11"/>
      <c r="CD190" s="11"/>
      <c r="CE190" s="11"/>
      <c r="CF190" s="11"/>
      <c r="CG190" s="11"/>
      <c r="CH190" s="11"/>
      <c r="CI190" s="11"/>
      <c r="CJ190" s="11"/>
      <c r="CK190" s="11"/>
      <c r="CL190" s="11"/>
      <c r="CM190" s="11"/>
      <c r="CN190" s="11"/>
      <c r="CO190" s="11"/>
      <c r="CP190" s="11"/>
      <c r="CQ190" s="11"/>
      <c r="CR190" s="15"/>
      <c r="CS190" s="15"/>
      <c r="CT190" s="15"/>
      <c r="CU190" s="15"/>
    </row>
    <row r="191" spans="1:99" ht="12" customHeight="1" x14ac:dyDescent="0.2">
      <c r="A191" s="68">
        <v>43509</v>
      </c>
      <c r="B191" s="94" t="s">
        <v>267</v>
      </c>
      <c r="C191" s="94" t="s">
        <v>142</v>
      </c>
      <c r="D191" s="92">
        <v>1981</v>
      </c>
      <c r="E191" s="105">
        <v>1</v>
      </c>
      <c r="F191" s="92">
        <v>192</v>
      </c>
      <c r="G191" s="92">
        <v>16</v>
      </c>
      <c r="H191" s="92" t="s">
        <v>50</v>
      </c>
      <c r="I191" s="92" t="s">
        <v>668</v>
      </c>
      <c r="J191" s="92" t="s">
        <v>172</v>
      </c>
      <c r="K191" s="69">
        <f>IF(J191="syllables",1,IF(J191="trigrams",2,IF(J191="strings",3,IF(J191="visual array",4,IF(J191="characters",5,IF(J191="letters",6,IF(J191="free forms",7,IF(J191="odors",8,IF(J191="words",9,IF(J191="pictures",10,IF(J191="object pictures",11,IF(J191="faces",12,IF(J191="names",13,IF(J191="idioms",14,IF(J191="grades",15,IF(J191="syllable-digit pairs",16,IF(J191="trigram-word pairs",17,IF(J191="word-digit pairs",18,IF(J191="English-Swahili pairs",19,IF(J191="spatial position",20,IF(J191="word pairs",21,IF(J191="word triads",22,IF(J191="generated words",23,IF(J191="word definition pairs",24,IF(J191="math problems",25,IF(J191="famous faces",26,IF(J191="famous names",27,IF(J191="famous voices",28,IF(J191="television programs",29,IF(J191="race horses",30,IF(J191="new vocabulary",31,IF(J191="sentences",32,IF(J191="concepts",33,IF(J191="ad slides",34,IF(J191="scenes",35,IF(J191="famous scenes",36,IF(J191="poems",37,IF(J191="walk",38,IF(J191="faces and events",39,IF(J191="events and names",40,IF(J191="flashbulb",41,IF(J191="stories",42,IF(J191="course material",43,IF(J191="autobiographical",44,IF(J191="novels",45,IF(J191="public events",46,"99"))))))))))))))))))))))))))))))))))))))))))))))</f>
        <v>12</v>
      </c>
      <c r="L191" s="69">
        <f>IF(J191="syllables",1,IF(J191="trigrams",1,IF(J191="strings",1,IF(J191="visual array",1,IF(J191="characters",1,IF(J191="letters",1,IF(J191="free forms",1,IF(J191="odors",2,IF(J191="words",2,IF(J191="pictures",2,IF(J191="object pictures",2,IF(J191="faces",2,IF(J191="names",2,IF(J191="idioms","2",IF(J191="grades",2,IF(J191="syllable-digit pairs",3,IF(J191="trigram-word pairs",3,IF(J191="word-digit pairs",3,IF(J191="English-Swahili pairs",3,IF(J191="spatial position",3,IF(J191="word pairs",4,IF(J191="word triads",4,IF(J191="generated words",4,IF(J191="word definition pairs",4,IF(J191="math problems",4,IF(J191="famous faces",4,IF(J191="famous names",4,IF(J191="famous voices",4,IF(J191="television programs",4,IF(J191="race horses",4,IF(J191="new vocabulary",4,IF(J191="sentences",5,IF(J191="concepts",5,IF(J191="ad slides",5,IF(J191="scenes",5,IF(J191="famous scenes",5,IF(J191="poems",6,IF(J191="walk",6,IF(J191="faces and events",6,IF(J191="events and names",6,IF(J191="flashbulb",7,IF(J191="stories",7,IF(J191="course material",7,IF(J191="autobiographical",7,IF(J191="novels",7,IF(J191="public events",7,"99"))))))))))))))))))))))))))))))))))))))))))))))</f>
        <v>2</v>
      </c>
      <c r="M191" s="92">
        <v>0</v>
      </c>
      <c r="N191" s="92">
        <v>1</v>
      </c>
      <c r="O191" s="92">
        <v>0</v>
      </c>
      <c r="P191" s="92"/>
      <c r="Q191" s="92" t="s">
        <v>34</v>
      </c>
      <c r="R191" s="69">
        <f>IF(Q191="Free Recall",1,IF(Q191="Cued Recall",2,IF(Q191="Recognition",3,IF(Q191="Multiple Choice",4,IF(Q191="Savings",5,IF(Q191="Stem Completion",6,IF(Q191="Fragment Completion",7,IF(Q191="anagram solution",8,IF(Q191="Matching",9,IF(Q191="Problem Solving",10,"99"))))))))))</f>
        <v>3</v>
      </c>
      <c r="S191" s="92" t="s">
        <v>15</v>
      </c>
      <c r="T191" s="92" t="s">
        <v>261</v>
      </c>
      <c r="U191" s="69">
        <f>IF(T191="within",1,0)</f>
        <v>0</v>
      </c>
      <c r="V191" s="92">
        <v>10</v>
      </c>
      <c r="W191" s="69">
        <f>F191*V191</f>
        <v>1920</v>
      </c>
      <c r="X191" s="92">
        <v>3</v>
      </c>
      <c r="Y191" s="87">
        <f>AV190</f>
        <v>60</v>
      </c>
      <c r="Z191" s="92" t="s">
        <v>18</v>
      </c>
      <c r="AA191" s="92">
        <f>28*24*3600</f>
        <v>2419200</v>
      </c>
      <c r="AB191" s="69" t="str">
        <f>IF(AA191&lt;60,"1",IF(AA191&lt;=43200,"2",IF(AA191&lt;=777600,"3","4")))</f>
        <v>4</v>
      </c>
      <c r="AC191" s="72">
        <f>AVERAGE(AV190:DA190)</f>
        <v>864020</v>
      </c>
      <c r="AD191" s="69" t="str">
        <f>IF(AC191&lt;60,"1",IF(AC191&lt;=43200,"2",IF(AC191&lt;=777600,"3","4")))</f>
        <v>4</v>
      </c>
      <c r="AE191" s="87">
        <f>AA191-Y191</f>
        <v>2419140</v>
      </c>
      <c r="AF191" s="88">
        <f>AV191</f>
        <v>0.86691729323308198</v>
      </c>
      <c r="AG191" s="72">
        <f>((AW191-AV191)+(AX191-AW191))/2</f>
        <v>-0.10958646616541345</v>
      </c>
      <c r="AH191" s="4"/>
      <c r="AI191" s="72">
        <f>RSQ(AV191:AX191,AV190:AX190)</f>
        <v>0.97974569343679185</v>
      </c>
      <c r="AJ191" s="110">
        <f>SLOPE(AV191:AX191,AV190:AX190)</f>
        <v>-8.4580990270789046E-8</v>
      </c>
      <c r="AK191" s="72">
        <f>INTERCEPT(AV191:AX191,AV190:AX190)</f>
        <v>0.85114984265236315</v>
      </c>
      <c r="AL191" s="72">
        <f>INDEX(LINEST(LN(AV191:AX191),LN(AV190:AX190),TRUE,TRUE),3,1)</f>
        <v>0.65943236761894208</v>
      </c>
      <c r="AM191" s="72">
        <f>INDEX(LINEST(LN(AV191:AX191),LN(AV190:AX190)),1)</f>
        <v>-2.2743344529909733E-2</v>
      </c>
      <c r="AN191" s="72">
        <f>EXP(INDEX(LINEST(LN(AV191:AX191),LN(AV190:AX190)),1,2))</f>
        <v>0.97551554189922385</v>
      </c>
      <c r="AO191" s="89">
        <f>INDEX(LINEST((AV191:AX191),LN(AV190:AX190),TRUE,TRUE),3,1)</f>
        <v>0.68210552630218801</v>
      </c>
      <c r="AP191" s="89">
        <f>INDEX(LINEST((AV191:AX191),LN(AV190:AX190)),1)</f>
        <v>-1.725226784714563E-2</v>
      </c>
      <c r="AQ191" s="90">
        <f>INDEX(LINEST(LN(AV191:AX191),SQRT(AV190:AX190),TRUE,TRUE),3,1)</f>
        <v>0.99447532705687758</v>
      </c>
      <c r="AR191" s="117">
        <f>INDEX(LINEST(LN(AV191:AX191),SQRT((AV190:AX190))),1)</f>
        <v>-1.9222949793299335E-4</v>
      </c>
      <c r="AS191" s="91">
        <f>INDEX(LINEST(1/(AV191:AX191),1/(SQRT(AV190:AX190)),TRUE,TRUE),3,1)</f>
        <v>0.4110001068427217</v>
      </c>
      <c r="AT191" s="91">
        <f>INDEX(LINEST(1/(AV191:AX191),1/SQRT(AV190:AX190)),1)</f>
        <v>-1.8170399167232871</v>
      </c>
      <c r="AU191" s="3"/>
      <c r="AV191" s="97">
        <v>0.86691729323308198</v>
      </c>
      <c r="AW191" s="97">
        <v>0.81954887218045103</v>
      </c>
      <c r="AX191" s="97">
        <v>0.64774436090225507</v>
      </c>
      <c r="AY191" s="11"/>
      <c r="AZ191" s="11"/>
      <c r="BA191" s="11"/>
      <c r="BB191" s="11"/>
      <c r="BC191" s="11"/>
      <c r="BD191" s="11"/>
      <c r="BE191" s="11"/>
      <c r="BF191" s="11"/>
      <c r="BG191" s="11"/>
      <c r="BH191" s="11"/>
      <c r="BI191" s="11"/>
      <c r="BJ191" s="11"/>
      <c r="BK191" s="11"/>
      <c r="BL191" s="11"/>
      <c r="BM191" s="11"/>
      <c r="BN191" s="11"/>
      <c r="BO191" s="11"/>
      <c r="BP191" s="11"/>
      <c r="BQ191" s="11"/>
      <c r="BR191" s="11"/>
      <c r="BS191" s="11"/>
      <c r="BT191" s="11"/>
      <c r="BU191" s="11"/>
      <c r="BV191" s="11"/>
      <c r="BW191" s="11"/>
      <c r="BX191" s="11"/>
      <c r="BY191" s="11"/>
      <c r="BZ191" s="11"/>
      <c r="CA191" s="11"/>
      <c r="CB191" s="11"/>
      <c r="CC191" s="11"/>
      <c r="CD191" s="11"/>
      <c r="CE191" s="11"/>
      <c r="CF191" s="11"/>
      <c r="CG191" s="11"/>
      <c r="CH191" s="11"/>
      <c r="CI191" s="11"/>
      <c r="CJ191" s="11"/>
      <c r="CK191" s="11"/>
      <c r="CL191" s="11"/>
      <c r="CM191" s="11"/>
      <c r="CN191" s="11"/>
      <c r="CO191" s="11"/>
      <c r="CP191" s="11"/>
      <c r="CQ191" s="11"/>
      <c r="CR191" s="15"/>
      <c r="CS191" s="15"/>
      <c r="CT191" s="15"/>
      <c r="CU191" s="15"/>
    </row>
    <row r="192" spans="1:99" ht="12" customHeight="1" x14ac:dyDescent="0.2">
      <c r="A192" s="68">
        <v>43509</v>
      </c>
      <c r="B192" s="127"/>
      <c r="C192" s="94"/>
      <c r="D192" s="92"/>
      <c r="E192" s="105"/>
      <c r="F192" s="92"/>
      <c r="G192" s="92"/>
      <c r="H192" s="92"/>
      <c r="I192" s="92"/>
      <c r="J192" s="92"/>
      <c r="K192" s="107"/>
      <c r="L192" s="107"/>
      <c r="M192" s="92"/>
      <c r="N192" s="92"/>
      <c r="O192" s="92"/>
      <c r="P192" s="92"/>
      <c r="Q192" s="92"/>
      <c r="R192" s="69"/>
      <c r="S192" s="92"/>
      <c r="T192" s="92"/>
      <c r="U192" s="69"/>
      <c r="V192" s="92"/>
      <c r="W192" s="69"/>
      <c r="X192" s="92"/>
      <c r="Y192" s="87"/>
      <c r="Z192" s="92"/>
      <c r="AA192" s="92"/>
      <c r="AB192" s="69"/>
      <c r="AC192" s="69"/>
      <c r="AD192" s="69"/>
      <c r="AE192" s="69"/>
      <c r="AF192" s="88"/>
      <c r="AG192" s="72"/>
      <c r="AH192" s="4"/>
      <c r="AI192" s="108"/>
      <c r="AJ192" s="113"/>
      <c r="AK192" s="108"/>
      <c r="AL192" s="108"/>
      <c r="AM192" s="108"/>
      <c r="AN192" s="108"/>
      <c r="AO192" s="108"/>
      <c r="AP192" s="108"/>
      <c r="AQ192" s="108"/>
      <c r="AR192" s="113"/>
      <c r="AS192" s="108"/>
      <c r="AT192" s="108"/>
      <c r="AU192" s="3"/>
      <c r="AV192" s="98">
        <v>60</v>
      </c>
      <c r="AW192" s="98">
        <f>2*24*3600</f>
        <v>172800</v>
      </c>
      <c r="AX192" s="98">
        <f>28*24*3600</f>
        <v>2419200</v>
      </c>
      <c r="AY192" s="11"/>
      <c r="AZ192" s="11"/>
      <c r="BA192" s="11"/>
      <c r="BB192" s="11"/>
      <c r="BC192" s="11"/>
      <c r="BD192" s="11"/>
      <c r="BE192" s="11"/>
      <c r="BF192" s="11"/>
      <c r="BG192" s="11"/>
      <c r="BH192" s="11"/>
      <c r="BI192" s="11"/>
      <c r="BJ192" s="11"/>
      <c r="BK192" s="11"/>
      <c r="BL192" s="11"/>
      <c r="BM192" s="11"/>
      <c r="BN192" s="11"/>
      <c r="BO192" s="11"/>
      <c r="BP192" s="11"/>
      <c r="BQ192" s="11"/>
      <c r="BR192" s="11"/>
      <c r="BS192" s="11"/>
      <c r="BT192" s="11"/>
      <c r="BU192" s="11"/>
      <c r="BV192" s="11"/>
      <c r="BW192" s="11"/>
      <c r="BX192" s="11"/>
      <c r="BY192" s="11"/>
      <c r="BZ192" s="11"/>
      <c r="CA192" s="11"/>
      <c r="CB192" s="11"/>
      <c r="CC192" s="11"/>
      <c r="CD192" s="11"/>
      <c r="CE192" s="11"/>
      <c r="CF192" s="11"/>
      <c r="CG192" s="11"/>
      <c r="CH192" s="11"/>
      <c r="CI192" s="11"/>
      <c r="CJ192" s="11"/>
      <c r="CK192" s="11"/>
      <c r="CL192" s="11"/>
      <c r="CM192" s="11"/>
      <c r="CN192" s="11"/>
      <c r="CO192" s="11"/>
      <c r="CP192" s="11"/>
      <c r="CQ192" s="11"/>
      <c r="CR192" s="15"/>
      <c r="CS192" s="15"/>
      <c r="CT192" s="15"/>
      <c r="CU192" s="15"/>
    </row>
    <row r="193" spans="1:99" ht="12" customHeight="1" x14ac:dyDescent="0.2">
      <c r="A193" s="68">
        <v>43509</v>
      </c>
      <c r="B193" s="94" t="s">
        <v>267</v>
      </c>
      <c r="C193" s="94" t="s">
        <v>142</v>
      </c>
      <c r="D193" s="92">
        <v>1981</v>
      </c>
      <c r="E193" s="105">
        <v>1</v>
      </c>
      <c r="F193" s="92">
        <v>192</v>
      </c>
      <c r="G193" s="92">
        <v>16</v>
      </c>
      <c r="H193" s="92" t="s">
        <v>50</v>
      </c>
      <c r="I193" s="92" t="s">
        <v>669</v>
      </c>
      <c r="J193" s="92" t="s">
        <v>172</v>
      </c>
      <c r="K193" s="69">
        <f>IF(J193="syllables",1,IF(J193="trigrams",2,IF(J193="strings",3,IF(J193="visual array",4,IF(J193="characters",5,IF(J193="letters",6,IF(J193="free forms",7,IF(J193="odors",8,IF(J193="words",9,IF(J193="pictures",10,IF(J193="object pictures",11,IF(J193="faces",12,IF(J193="names",13,IF(J193="idioms",14,IF(J193="grades",15,IF(J193="syllable-digit pairs",16,IF(J193="trigram-word pairs",17,IF(J193="word-digit pairs",18,IF(J193="English-Swahili pairs",19,IF(J193="spatial position",20,IF(J193="word pairs",21,IF(J193="word triads",22,IF(J193="generated words",23,IF(J193="word definition pairs",24,IF(J193="math problems",25,IF(J193="famous faces",26,IF(J193="famous names",27,IF(J193="famous voices",28,IF(J193="television programs",29,IF(J193="race horses",30,IF(J193="new vocabulary",31,IF(J193="sentences",32,IF(J193="concepts",33,IF(J193="ad slides",34,IF(J193="scenes",35,IF(J193="famous scenes",36,IF(J193="poems",37,IF(J193="walk",38,IF(J193="faces and events",39,IF(J193="events and names",40,IF(J193="flashbulb",41,IF(J193="stories",42,IF(J193="course material",43,IF(J193="autobiographical",44,IF(J193="novels",45,IF(J193="public events",46,"99"))))))))))))))))))))))))))))))))))))))))))))))</f>
        <v>12</v>
      </c>
      <c r="L193" s="69">
        <f>IF(J193="syllables",1,IF(J193="trigrams",1,IF(J193="strings",1,IF(J193="visual array",1,IF(J193="characters",1,IF(J193="letters",1,IF(J193="free forms",1,IF(J193="odors",2,IF(J193="words",2,IF(J193="pictures",2,IF(J193="object pictures",2,IF(J193="faces",2,IF(J193="names",2,IF(J193="idioms","2",IF(J193="grades",2,IF(J193="syllable-digit pairs",3,IF(J193="trigram-word pairs",3,IF(J193="word-digit pairs",3,IF(J193="English-Swahili pairs",3,IF(J193="spatial position",3,IF(J193="word pairs",4,IF(J193="word triads",4,IF(J193="generated words",4,IF(J193="word definition pairs",4,IF(J193="math problems",4,IF(J193="famous faces",4,IF(J193="famous names",4,IF(J193="famous voices",4,IF(J193="television programs",4,IF(J193="race horses",4,IF(J193="new vocabulary",4,IF(J193="sentences",5,IF(J193="concepts",5,IF(J193="ad slides",5,IF(J193="scenes",5,IF(J193="famous scenes",5,IF(J193="poems",6,IF(J193="walk",6,IF(J193="faces and events",6,IF(J193="events and names",6,IF(J193="flashbulb",7,IF(J193="stories",7,IF(J193="course material",7,IF(J193="autobiographical",7,IF(J193="novels",7,IF(J193="public events",7,"99"))))))))))))))))))))))))))))))))))))))))))))))</f>
        <v>2</v>
      </c>
      <c r="M193" s="92">
        <v>0</v>
      </c>
      <c r="N193" s="92">
        <v>1</v>
      </c>
      <c r="O193" s="92">
        <v>0</v>
      </c>
      <c r="P193" s="92"/>
      <c r="Q193" s="92" t="s">
        <v>34</v>
      </c>
      <c r="R193" s="69">
        <f>IF(Q193="Free Recall",1,IF(Q193="Cued Recall",2,IF(Q193="Recognition",3,IF(Q193="Multiple Choice",4,IF(Q193="Savings",5,IF(Q193="Stem Completion",6,IF(Q193="Fragment Completion",7,IF(Q193="anagram solution",8,IF(Q193="Matching",9,IF(Q193="Problem Solving",10,"99"))))))))))</f>
        <v>3</v>
      </c>
      <c r="S193" s="92" t="s">
        <v>15</v>
      </c>
      <c r="T193" s="92" t="s">
        <v>261</v>
      </c>
      <c r="U193" s="69">
        <f>IF(T193="within",1,0)</f>
        <v>0</v>
      </c>
      <c r="V193" s="92">
        <v>10</v>
      </c>
      <c r="W193" s="69">
        <f>F193*V193</f>
        <v>1920</v>
      </c>
      <c r="X193" s="92">
        <v>3</v>
      </c>
      <c r="Y193" s="87">
        <f>AV192</f>
        <v>60</v>
      </c>
      <c r="Z193" s="92" t="s">
        <v>18</v>
      </c>
      <c r="AA193" s="92">
        <f>28*24*3600</f>
        <v>2419200</v>
      </c>
      <c r="AB193" s="69" t="str">
        <f>IF(AA193&lt;60,"1",IF(AA193&lt;=43200,"2",IF(AA193&lt;=777600,"3","4")))</f>
        <v>4</v>
      </c>
      <c r="AC193" s="72">
        <f>AVERAGE(AV192:DA192)</f>
        <v>864020</v>
      </c>
      <c r="AD193" s="69" t="str">
        <f>IF(AC193&lt;60,"1",IF(AC193&lt;=43200,"2",IF(AC193&lt;=777600,"3","4")))</f>
        <v>4</v>
      </c>
      <c r="AE193" s="87">
        <f>AA193-Y193</f>
        <v>2419140</v>
      </c>
      <c r="AF193" s="88">
        <f>AV193</f>
        <v>0.91879699248120206</v>
      </c>
      <c r="AG193" s="72">
        <f>((AW193-AV193)+(AX193-AW193))/2</f>
        <v>-6.9360902255639012E-2</v>
      </c>
      <c r="AH193" s="4"/>
      <c r="AI193" s="72">
        <f>RSQ(AV193:AX193,AV192:AX192)</f>
        <v>0.50696808392744053</v>
      </c>
      <c r="AJ193" s="110">
        <f>SLOPE(AV193:AX193,AV192:AX192)</f>
        <v>-3.8535996413193247E-8</v>
      </c>
      <c r="AK193" s="72">
        <f>INTERCEPT(AV193:AX193,AV192:AX192)</f>
        <v>0.86951141046804414</v>
      </c>
      <c r="AL193" s="72">
        <f>INDEX(LINEST(LN(AV193:AX193),LN(AV192:AX192),TRUE,TRUE),3,1)</f>
        <v>0.99952627407092542</v>
      </c>
      <c r="AM193" s="72">
        <f>INDEX(LINEST(LN(AV193:AX193),LN(AV192:AX192)),1)</f>
        <v>-1.553238468963266E-2</v>
      </c>
      <c r="AN193" s="72">
        <f>EXP(INDEX(LINEST(LN(AV193:AX193),LN(AV192:AX192)),1,2))</f>
        <v>0.97862146418711426</v>
      </c>
      <c r="AO193" s="89">
        <f>INDEX(LINEST((AV193:AX193),LN(AV192:AX192),TRUE,TRUE),3,1)</f>
        <v>0.99865943048993921</v>
      </c>
      <c r="AP193" s="89">
        <f>INDEX(LINEST((AV193:AX193),LN(AV192:AX192)),1)</f>
        <v>-1.3221761261159336E-2</v>
      </c>
      <c r="AQ193" s="90">
        <f>INDEX(LINEST(LN(AV193:AX193),SQRT(AV192:AX192),TRUE,TRUE),3,1)</f>
        <v>0.70834042582951962</v>
      </c>
      <c r="AR193" s="117">
        <f>INDEX(LINEST(LN(AV193:AX193),SQRT((AV192:AX192))),1)</f>
        <v>-8.9994479598299543E-5</v>
      </c>
      <c r="AS193" s="91">
        <f>INDEX(LINEST(1/(AV193:AX193),1/(SQRT(AV192:AX192)),TRUE,TRUE),3,1)</f>
        <v>0.95106201002415636</v>
      </c>
      <c r="AT193" s="91">
        <f>INDEX(LINEST(1/(AV193:AX193),1/SQRT(AV192:AX192)),1)</f>
        <v>-1.3364892974789278</v>
      </c>
      <c r="AU193" s="3"/>
      <c r="AV193" s="97">
        <v>0.91879699248120206</v>
      </c>
      <c r="AW193" s="97">
        <v>0.80977443609022504</v>
      </c>
      <c r="AX193" s="97">
        <v>0.78007518796992403</v>
      </c>
      <c r="AY193" s="11"/>
      <c r="AZ193" s="11"/>
      <c r="BA193" s="11"/>
      <c r="BB193" s="11"/>
      <c r="BC193" s="11"/>
      <c r="BD193" s="11"/>
      <c r="BE193" s="11"/>
      <c r="BF193" s="11"/>
      <c r="BG193" s="11"/>
      <c r="BH193" s="11"/>
      <c r="BI193" s="11"/>
      <c r="BJ193" s="11"/>
      <c r="BK193" s="11"/>
      <c r="BL193" s="11"/>
      <c r="BM193" s="11"/>
      <c r="BN193" s="11"/>
      <c r="BO193" s="11"/>
      <c r="BP193" s="11"/>
      <c r="BQ193" s="11"/>
      <c r="BR193" s="11"/>
      <c r="BS193" s="11"/>
      <c r="BT193" s="11"/>
      <c r="BU193" s="11"/>
      <c r="BV193" s="11"/>
      <c r="BW193" s="11"/>
      <c r="BX193" s="11"/>
      <c r="BY193" s="11"/>
      <c r="BZ193" s="11"/>
      <c r="CA193" s="11"/>
      <c r="CB193" s="11"/>
      <c r="CC193" s="11"/>
      <c r="CD193" s="11"/>
      <c r="CE193" s="11"/>
      <c r="CF193" s="11"/>
      <c r="CG193" s="11"/>
      <c r="CH193" s="11"/>
      <c r="CI193" s="11"/>
      <c r="CJ193" s="11"/>
      <c r="CK193" s="11"/>
      <c r="CL193" s="11"/>
      <c r="CM193" s="11"/>
      <c r="CN193" s="11"/>
      <c r="CO193" s="11"/>
      <c r="CP193" s="11"/>
      <c r="CQ193" s="11"/>
      <c r="CR193" s="15"/>
      <c r="CS193" s="15"/>
      <c r="CT193" s="15"/>
      <c r="CU193" s="15"/>
    </row>
    <row r="194" spans="1:99" ht="12" customHeight="1" x14ac:dyDescent="0.2">
      <c r="A194" s="68">
        <v>43509</v>
      </c>
      <c r="B194" s="127"/>
      <c r="C194" s="94"/>
      <c r="D194" s="92"/>
      <c r="E194" s="105"/>
      <c r="F194" s="92"/>
      <c r="G194" s="92"/>
      <c r="H194" s="92"/>
      <c r="I194" s="92"/>
      <c r="J194" s="92"/>
      <c r="K194" s="107"/>
      <c r="L194" s="107"/>
      <c r="M194" s="92"/>
      <c r="N194" s="92"/>
      <c r="O194" s="92"/>
      <c r="P194" s="92"/>
      <c r="Q194" s="92"/>
      <c r="R194" s="69"/>
      <c r="S194" s="92"/>
      <c r="T194" s="92"/>
      <c r="U194" s="69"/>
      <c r="V194" s="92"/>
      <c r="W194" s="69"/>
      <c r="X194" s="92"/>
      <c r="Y194" s="87"/>
      <c r="Z194" s="92"/>
      <c r="AA194" s="92"/>
      <c r="AB194" s="69"/>
      <c r="AC194" s="69"/>
      <c r="AD194" s="69"/>
      <c r="AE194" s="69"/>
      <c r="AF194" s="88"/>
      <c r="AG194" s="72"/>
      <c r="AH194" s="4"/>
      <c r="AI194" s="108"/>
      <c r="AJ194" s="113"/>
      <c r="AK194" s="108"/>
      <c r="AL194" s="108"/>
      <c r="AM194" s="108"/>
      <c r="AN194" s="108"/>
      <c r="AO194" s="108"/>
      <c r="AP194" s="108"/>
      <c r="AQ194" s="108"/>
      <c r="AR194" s="113"/>
      <c r="AS194" s="108"/>
      <c r="AT194" s="108"/>
      <c r="AU194" s="3"/>
      <c r="AV194" s="98">
        <v>60</v>
      </c>
      <c r="AW194" s="98">
        <f>2*24*3600</f>
        <v>172800</v>
      </c>
      <c r="AX194" s="98">
        <f>28*24*3600</f>
        <v>2419200</v>
      </c>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c r="BV194" s="11"/>
      <c r="BW194" s="11"/>
      <c r="BX194" s="11"/>
      <c r="BY194" s="11"/>
      <c r="BZ194" s="11"/>
      <c r="CA194" s="11"/>
      <c r="CB194" s="11"/>
      <c r="CC194" s="11"/>
      <c r="CD194" s="11"/>
      <c r="CE194" s="11"/>
      <c r="CF194" s="11"/>
      <c r="CG194" s="11"/>
      <c r="CH194" s="11"/>
      <c r="CI194" s="11"/>
      <c r="CJ194" s="11"/>
      <c r="CK194" s="11"/>
      <c r="CL194" s="11"/>
      <c r="CM194" s="11"/>
      <c r="CN194" s="11"/>
      <c r="CO194" s="11"/>
      <c r="CP194" s="11"/>
      <c r="CQ194" s="11"/>
      <c r="CR194" s="15"/>
      <c r="CS194" s="15"/>
      <c r="CT194" s="15"/>
      <c r="CU194" s="15"/>
    </row>
    <row r="195" spans="1:99" ht="12" customHeight="1" x14ac:dyDescent="0.2">
      <c r="A195" s="68">
        <v>43509</v>
      </c>
      <c r="B195" s="94" t="s">
        <v>267</v>
      </c>
      <c r="C195" s="94" t="s">
        <v>142</v>
      </c>
      <c r="D195" s="92">
        <v>1981</v>
      </c>
      <c r="E195" s="105">
        <v>1</v>
      </c>
      <c r="F195" s="92">
        <v>192</v>
      </c>
      <c r="G195" s="92">
        <v>16</v>
      </c>
      <c r="H195" s="92" t="s">
        <v>50</v>
      </c>
      <c r="I195" s="92" t="s">
        <v>670</v>
      </c>
      <c r="J195" s="92" t="s">
        <v>172</v>
      </c>
      <c r="K195" s="69">
        <f>IF(J195="syllables",1,IF(J195="trigrams",2,IF(J195="strings",3,IF(J195="visual array",4,IF(J195="characters",5,IF(J195="letters",6,IF(J195="free forms",7,IF(J195="odors",8,IF(J195="words",9,IF(J195="pictures",10,IF(J195="object pictures",11,IF(J195="faces",12,IF(J195="names",13,IF(J195="idioms",14,IF(J195="grades",15,IF(J195="syllable-digit pairs",16,IF(J195="trigram-word pairs",17,IF(J195="word-digit pairs",18,IF(J195="English-Swahili pairs",19,IF(J195="spatial position",20,IF(J195="word pairs",21,IF(J195="word triads",22,IF(J195="generated words",23,IF(J195="word definition pairs",24,IF(J195="math problems",25,IF(J195="famous faces",26,IF(J195="famous names",27,IF(J195="famous voices",28,IF(J195="television programs",29,IF(J195="race horses",30,IF(J195="new vocabulary",31,IF(J195="sentences",32,IF(J195="concepts",33,IF(J195="ad slides",34,IF(J195="scenes",35,IF(J195="famous scenes",36,IF(J195="poems",37,IF(J195="walk",38,IF(J195="faces and events",39,IF(J195="events and names",40,IF(J195="flashbulb",41,IF(J195="stories",42,IF(J195="course material",43,IF(J195="autobiographical",44,IF(J195="novels",45,IF(J195="public events",46,"99"))))))))))))))))))))))))))))))))))))))))))))))</f>
        <v>12</v>
      </c>
      <c r="L195" s="69">
        <f>IF(J195="syllables",1,IF(J195="trigrams",1,IF(J195="strings",1,IF(J195="visual array",1,IF(J195="characters",1,IF(J195="letters",1,IF(J195="free forms",1,IF(J195="odors",2,IF(J195="words",2,IF(J195="pictures",2,IF(J195="object pictures",2,IF(J195="faces",2,IF(J195="names",2,IF(J195="idioms","2",IF(J195="grades",2,IF(J195="syllable-digit pairs",3,IF(J195="trigram-word pairs",3,IF(J195="word-digit pairs",3,IF(J195="English-Swahili pairs",3,IF(J195="spatial position",3,IF(J195="word pairs",4,IF(J195="word triads",4,IF(J195="generated words",4,IF(J195="word definition pairs",4,IF(J195="math problems",4,IF(J195="famous faces",4,IF(J195="famous names",4,IF(J195="famous voices",4,IF(J195="television programs",4,IF(J195="race horses",4,IF(J195="new vocabulary",4,IF(J195="sentences",5,IF(J195="concepts",5,IF(J195="ad slides",5,IF(J195="scenes",5,IF(J195="famous scenes",5,IF(J195="poems",6,IF(J195="walk",6,IF(J195="faces and events",6,IF(J195="events and names",6,IF(J195="flashbulb",7,IF(J195="stories",7,IF(J195="course material",7,IF(J195="autobiographical",7,IF(J195="novels",7,IF(J195="public events",7,"99"))))))))))))))))))))))))))))))))))))))))))))))</f>
        <v>2</v>
      </c>
      <c r="M195" s="92">
        <v>0</v>
      </c>
      <c r="N195" s="92">
        <v>1</v>
      </c>
      <c r="O195" s="92">
        <v>0</v>
      </c>
      <c r="P195" s="92"/>
      <c r="Q195" s="92" t="s">
        <v>34</v>
      </c>
      <c r="R195" s="69">
        <f>IF(Q195="Free Recall",1,IF(Q195="Cued Recall",2,IF(Q195="Recognition",3,IF(Q195="Multiple Choice",4,IF(Q195="Savings",5,IF(Q195="Stem Completion",6,IF(Q195="Fragment Completion",7,IF(Q195="anagram solution",8,IF(Q195="Matching",9,IF(Q195="Problem Solving",10,"99"))))))))))</f>
        <v>3</v>
      </c>
      <c r="S195" s="92" t="s">
        <v>15</v>
      </c>
      <c r="T195" s="92" t="s">
        <v>261</v>
      </c>
      <c r="U195" s="69">
        <f>IF(T195="within",1,0)</f>
        <v>0</v>
      </c>
      <c r="V195" s="92">
        <v>10</v>
      </c>
      <c r="W195" s="69">
        <f>F195*V195</f>
        <v>1920</v>
      </c>
      <c r="X195" s="92">
        <v>3</v>
      </c>
      <c r="Y195" s="87">
        <f>AV194</f>
        <v>60</v>
      </c>
      <c r="Z195" s="92" t="s">
        <v>18</v>
      </c>
      <c r="AA195" s="92">
        <f>28*24*3600</f>
        <v>2419200</v>
      </c>
      <c r="AB195" s="69" t="str">
        <f>IF(AA195&lt;60,"1",IF(AA195&lt;=43200,"2",IF(AA195&lt;=777600,"3","4")))</f>
        <v>4</v>
      </c>
      <c r="AC195" s="72">
        <f>AVERAGE(AV194:DA194)</f>
        <v>864020</v>
      </c>
      <c r="AD195" s="69" t="str">
        <f>IF(AC195&lt;60,"1",IF(AC195&lt;=43200,"2",IF(AC195&lt;=777600,"3","4")))</f>
        <v>4</v>
      </c>
      <c r="AE195" s="87">
        <f>AA195-Y195</f>
        <v>2419140</v>
      </c>
      <c r="AF195" s="88">
        <f>AV195</f>
        <v>0.98421052631578898</v>
      </c>
      <c r="AG195" s="72">
        <f>((AW195-AV195)+(AX195-AW195))/2</f>
        <v>-9.6804511278195504E-2</v>
      </c>
      <c r="AH195" s="4"/>
      <c r="AI195" s="72">
        <f>RSQ(AV195:AX195,AV194:AX194)</f>
        <v>0.85768808609240177</v>
      </c>
      <c r="AJ195" s="110">
        <f>SLOPE(AV195:AX195,AV194:AX194)</f>
        <v>-6.660514865845341E-8</v>
      </c>
      <c r="AK195" s="72">
        <f>INTERCEPT(AV195:AX195,AV194:AX194)</f>
        <v>0.94902687728573076</v>
      </c>
      <c r="AL195" s="72">
        <f>INDEX(LINEST(LN(AV195:AX195),LN(AV194:AX194),TRUE,TRUE),3,1)</f>
        <v>0.85859369925870888</v>
      </c>
      <c r="AM195" s="72">
        <f>INDEX(LINEST(LN(AV195:AX195),LN(AV194:AX194)),1)</f>
        <v>-1.8480787588194606E-2</v>
      </c>
      <c r="AN195" s="72">
        <f>EXP(INDEX(LINEST(LN(AV195:AX195),LN(AV194:AX194)),1,2))</f>
        <v>1.0737730958129117</v>
      </c>
      <c r="AO195" s="89">
        <f>INDEX(LINEST((AV195:AX195),LN(AV194:AX194),TRUE,TRUE),3,1)</f>
        <v>0.8791868860899168</v>
      </c>
      <c r="AP195" s="89">
        <f>INDEX(LINEST((AV195:AX195),LN(AV194:AX194)),1)</f>
        <v>-1.6484965328921537E-2</v>
      </c>
      <c r="AQ195" s="90">
        <f>INDEX(LINEST(LN(AV195:AX195),SQRT(AV194:AX194),TRUE,TRUE),3,1)</f>
        <v>0.97359610213336767</v>
      </c>
      <c r="AR195" s="117">
        <f>INDEX(LINEST(LN(AV195:AX195),SQRT((AV194:AX194))),1)</f>
        <v>-1.3544714808988773E-4</v>
      </c>
      <c r="AS195" s="91">
        <f>INDEX(LINEST(1/(AV195:AX195),1/(SQRT(AV194:AX194)),TRUE,TRUE),3,1)</f>
        <v>0.63870858821921439</v>
      </c>
      <c r="AT195" s="91">
        <f>INDEX(LINEST(1/(AV195:AX195),1/SQRT(AV194:AX194)),1)</f>
        <v>-1.361850912386712</v>
      </c>
      <c r="AU195" s="3"/>
      <c r="AV195" s="97">
        <v>0.98421052631578898</v>
      </c>
      <c r="AW195" s="97">
        <v>0.89962406015037499</v>
      </c>
      <c r="AX195" s="97">
        <v>0.79060150375939797</v>
      </c>
      <c r="AY195" s="11"/>
      <c r="AZ195" s="11"/>
      <c r="BA195" s="11"/>
      <c r="BB195" s="11"/>
      <c r="BC195" s="11"/>
      <c r="BD195" s="11"/>
      <c r="BE195" s="11"/>
      <c r="BF195" s="11"/>
      <c r="BG195" s="11"/>
      <c r="BH195" s="11"/>
      <c r="BI195" s="11"/>
      <c r="BJ195" s="11"/>
      <c r="BK195" s="11"/>
      <c r="BL195" s="11"/>
      <c r="BM195" s="11"/>
      <c r="BN195" s="11"/>
      <c r="BO195" s="11"/>
      <c r="BP195" s="11"/>
      <c r="BQ195" s="11"/>
      <c r="BR195" s="11"/>
      <c r="BS195" s="11"/>
      <c r="BT195" s="11"/>
      <c r="BU195" s="11"/>
      <c r="BV195" s="11"/>
      <c r="BW195" s="11"/>
      <c r="BX195" s="11"/>
      <c r="BY195" s="11"/>
      <c r="BZ195" s="11"/>
      <c r="CA195" s="11"/>
      <c r="CB195" s="11"/>
      <c r="CC195" s="11"/>
      <c r="CD195" s="11"/>
      <c r="CE195" s="11"/>
      <c r="CF195" s="11"/>
      <c r="CG195" s="11"/>
      <c r="CH195" s="11"/>
      <c r="CI195" s="11"/>
      <c r="CJ195" s="11"/>
      <c r="CK195" s="11"/>
      <c r="CL195" s="11"/>
      <c r="CM195" s="11"/>
      <c r="CN195" s="11"/>
      <c r="CO195" s="11"/>
      <c r="CP195" s="11"/>
      <c r="CQ195" s="11"/>
      <c r="CR195" s="15"/>
      <c r="CS195" s="15"/>
      <c r="CT195" s="15"/>
      <c r="CU195" s="15"/>
    </row>
    <row r="196" spans="1:99" ht="12" customHeight="1" x14ac:dyDescent="0.2">
      <c r="A196" s="68">
        <v>43509</v>
      </c>
      <c r="B196" s="127"/>
      <c r="C196" s="94"/>
      <c r="D196" s="92"/>
      <c r="E196" s="105"/>
      <c r="F196" s="92"/>
      <c r="G196" s="92"/>
      <c r="H196" s="92"/>
      <c r="I196" s="92"/>
      <c r="J196" s="92"/>
      <c r="K196" s="107"/>
      <c r="L196" s="107"/>
      <c r="M196" s="92"/>
      <c r="N196" s="92"/>
      <c r="O196" s="92"/>
      <c r="P196" s="92"/>
      <c r="Q196" s="92"/>
      <c r="R196" s="69"/>
      <c r="S196" s="92"/>
      <c r="T196" s="92"/>
      <c r="U196" s="69"/>
      <c r="V196" s="92"/>
      <c r="W196" s="69"/>
      <c r="X196" s="92"/>
      <c r="Y196" s="87"/>
      <c r="Z196" s="92"/>
      <c r="AA196" s="92"/>
      <c r="AB196" s="69"/>
      <c r="AC196" s="69"/>
      <c r="AD196" s="69"/>
      <c r="AE196" s="69"/>
      <c r="AF196" s="88"/>
      <c r="AG196" s="72"/>
      <c r="AH196" s="4"/>
      <c r="AI196" s="108"/>
      <c r="AJ196" s="113"/>
      <c r="AK196" s="108"/>
      <c r="AL196" s="108"/>
      <c r="AM196" s="108"/>
      <c r="AN196" s="108"/>
      <c r="AO196" s="108"/>
      <c r="AP196" s="108"/>
      <c r="AQ196" s="108"/>
      <c r="AR196" s="113"/>
      <c r="AS196" s="108"/>
      <c r="AT196" s="108"/>
      <c r="AU196" s="3"/>
      <c r="AV196" s="98">
        <v>60</v>
      </c>
      <c r="AW196" s="98">
        <f>2*24*3600</f>
        <v>172800</v>
      </c>
      <c r="AX196" s="98">
        <f>28*24*3600</f>
        <v>2419200</v>
      </c>
      <c r="AY196" s="11"/>
      <c r="AZ196" s="11"/>
      <c r="BA196" s="11"/>
      <c r="BB196" s="11"/>
      <c r="BC196" s="11"/>
      <c r="BD196" s="11"/>
      <c r="BE196" s="11"/>
      <c r="BF196" s="11"/>
      <c r="BG196" s="11"/>
      <c r="BH196" s="11"/>
      <c r="BI196" s="11"/>
      <c r="BJ196" s="11"/>
      <c r="BK196" s="11"/>
      <c r="BL196" s="11"/>
      <c r="BM196" s="11"/>
      <c r="BN196" s="11"/>
      <c r="BO196" s="11"/>
      <c r="BP196" s="11"/>
      <c r="BQ196" s="11"/>
      <c r="BR196" s="11"/>
      <c r="BS196" s="11"/>
      <c r="BT196" s="11"/>
      <c r="BU196" s="11"/>
      <c r="BV196" s="11"/>
      <c r="BW196" s="11"/>
      <c r="BX196" s="11"/>
      <c r="BY196" s="11"/>
      <c r="BZ196" s="11"/>
      <c r="CA196" s="11"/>
      <c r="CB196" s="11"/>
      <c r="CC196" s="11"/>
      <c r="CD196" s="11"/>
      <c r="CE196" s="11"/>
      <c r="CF196" s="11"/>
      <c r="CG196" s="11"/>
      <c r="CH196" s="11"/>
      <c r="CI196" s="11"/>
      <c r="CJ196" s="11"/>
      <c r="CK196" s="11"/>
      <c r="CL196" s="11"/>
      <c r="CM196" s="11"/>
      <c r="CN196" s="11"/>
      <c r="CO196" s="11"/>
      <c r="CP196" s="11"/>
      <c r="CQ196" s="11"/>
      <c r="CR196" s="15"/>
      <c r="CS196" s="15"/>
      <c r="CT196" s="15"/>
      <c r="CU196" s="15"/>
    </row>
    <row r="197" spans="1:99" ht="12" customHeight="1" x14ac:dyDescent="0.2">
      <c r="A197" s="68">
        <v>43509</v>
      </c>
      <c r="B197" s="94" t="s">
        <v>267</v>
      </c>
      <c r="C197" s="94" t="s">
        <v>142</v>
      </c>
      <c r="D197" s="92">
        <v>1981</v>
      </c>
      <c r="E197" s="105">
        <v>1</v>
      </c>
      <c r="F197" s="92">
        <v>192</v>
      </c>
      <c r="G197" s="92">
        <v>16</v>
      </c>
      <c r="H197" s="92" t="s">
        <v>50</v>
      </c>
      <c r="I197" s="92" t="s">
        <v>671</v>
      </c>
      <c r="J197" s="92" t="s">
        <v>172</v>
      </c>
      <c r="K197" s="69">
        <f>IF(J197="syllables",1,IF(J197="trigrams",2,IF(J197="strings",3,IF(J197="visual array",4,IF(J197="characters",5,IF(J197="letters",6,IF(J197="free forms",7,IF(J197="odors",8,IF(J197="words",9,IF(J197="pictures",10,IF(J197="object pictures",11,IF(J197="faces",12,IF(J197="names",13,IF(J197="idioms",14,IF(J197="grades",15,IF(J197="syllable-digit pairs",16,IF(J197="trigram-word pairs",17,IF(J197="word-digit pairs",18,IF(J197="English-Swahili pairs",19,IF(J197="spatial position",20,IF(J197="word pairs",21,IF(J197="word triads",22,IF(J197="generated words",23,IF(J197="word definition pairs",24,IF(J197="math problems",25,IF(J197="famous faces",26,IF(J197="famous names",27,IF(J197="famous voices",28,IF(J197="television programs",29,IF(J197="race horses",30,IF(J197="new vocabulary",31,IF(J197="sentences",32,IF(J197="concepts",33,IF(J197="ad slides",34,IF(J197="scenes",35,IF(J197="famous scenes",36,IF(J197="poems",37,IF(J197="walk",38,IF(J197="faces and events",39,IF(J197="events and names",40,IF(J197="flashbulb",41,IF(J197="stories",42,IF(J197="course material",43,IF(J197="autobiographical",44,IF(J197="novels",45,IF(J197="public events",46,"99"))))))))))))))))))))))))))))))))))))))))))))))</f>
        <v>12</v>
      </c>
      <c r="L197" s="69">
        <f>IF(J197="syllables",1,IF(J197="trigrams",1,IF(J197="strings",1,IF(J197="visual array",1,IF(J197="characters",1,IF(J197="letters",1,IF(J197="free forms",1,IF(J197="odors",2,IF(J197="words",2,IF(J197="pictures",2,IF(J197="object pictures",2,IF(J197="faces",2,IF(J197="names",2,IF(J197="idioms","2",IF(J197="grades",2,IF(J197="syllable-digit pairs",3,IF(J197="trigram-word pairs",3,IF(J197="word-digit pairs",3,IF(J197="English-Swahili pairs",3,IF(J197="spatial position",3,IF(J197="word pairs",4,IF(J197="word triads",4,IF(J197="generated words",4,IF(J197="word definition pairs",4,IF(J197="math problems",4,IF(J197="famous faces",4,IF(J197="famous names",4,IF(J197="famous voices",4,IF(J197="television programs",4,IF(J197="race horses",4,IF(J197="new vocabulary",4,IF(J197="sentences",5,IF(J197="concepts",5,IF(J197="ad slides",5,IF(J197="scenes",5,IF(J197="famous scenes",5,IF(J197="poems",6,IF(J197="walk",6,IF(J197="faces and events",6,IF(J197="events and names",6,IF(J197="flashbulb",7,IF(J197="stories",7,IF(J197="course material",7,IF(J197="autobiographical",7,IF(J197="novels",7,IF(J197="public events",7,"99"))))))))))))))))))))))))))))))))))))))))))))))</f>
        <v>2</v>
      </c>
      <c r="M197" s="92">
        <v>0</v>
      </c>
      <c r="N197" s="92">
        <v>1</v>
      </c>
      <c r="O197" s="92">
        <v>0</v>
      </c>
      <c r="P197" s="92"/>
      <c r="Q197" s="92" t="s">
        <v>34</v>
      </c>
      <c r="R197" s="69">
        <f>IF(Q197="Free Recall",1,IF(Q197="Cued Recall",2,IF(Q197="Recognition",3,IF(Q197="Multiple Choice",4,IF(Q197="Savings",5,IF(Q197="Stem Completion",6,IF(Q197="Fragment Completion",7,IF(Q197="anagram solution",8,IF(Q197="Matching",9,IF(Q197="Problem Solving",10,"99"))))))))))</f>
        <v>3</v>
      </c>
      <c r="S197" s="92" t="s">
        <v>15</v>
      </c>
      <c r="T197" s="92" t="s">
        <v>261</v>
      </c>
      <c r="U197" s="69">
        <f>IF(T197="within",1,0)</f>
        <v>0</v>
      </c>
      <c r="V197" s="92">
        <v>10</v>
      </c>
      <c r="W197" s="69">
        <f>F197*V197</f>
        <v>1920</v>
      </c>
      <c r="X197" s="92">
        <v>3</v>
      </c>
      <c r="Y197" s="87">
        <f>AV196</f>
        <v>60</v>
      </c>
      <c r="Z197" s="92" t="s">
        <v>18</v>
      </c>
      <c r="AA197" s="92">
        <f>28*24*3600</f>
        <v>2419200</v>
      </c>
      <c r="AB197" s="69" t="str">
        <f>IF(AA197&lt;60,"1",IF(AA197&lt;=43200,"2",IF(AA197&lt;=777600,"3","4")))</f>
        <v>4</v>
      </c>
      <c r="AC197" s="72">
        <f>AVERAGE(AV196:DA196)</f>
        <v>864020</v>
      </c>
      <c r="AD197" s="69" t="str">
        <f>IF(AC197&lt;60,"1",IF(AC197&lt;=43200,"2",IF(AC197&lt;=777600,"3","4")))</f>
        <v>4</v>
      </c>
      <c r="AE197" s="87">
        <f>AA197-Y197</f>
        <v>2419140</v>
      </c>
      <c r="AF197" s="88">
        <f>AV197</f>
        <v>0.97218045112781892</v>
      </c>
      <c r="AG197" s="72">
        <f>((AW197-AV197)+(AX197-AW197))/2</f>
        <v>-6.0902255639097957E-2</v>
      </c>
      <c r="AH197" s="4"/>
      <c r="AI197" s="72">
        <f>RSQ(AV197:AX197,AV196:AX196)</f>
        <v>0.96243601849299976</v>
      </c>
      <c r="AJ197" s="110">
        <f>SLOPE(AV197:AX197,AV196:AX196)</f>
        <v>-4.5865919683972612E-8</v>
      </c>
      <c r="AK197" s="72">
        <f>INTERCEPT(AV197:AX197,AV196:AX196)</f>
        <v>0.96043107693787666</v>
      </c>
      <c r="AL197" s="72">
        <f>INDEX(LINEST(LN(AV197:AX197),LN(AV196:AX196),TRUE,TRUE),3,1)</f>
        <v>0.7174366675057019</v>
      </c>
      <c r="AM197" s="72">
        <f>INDEX(LINEST(LN(AV197:AX197),LN(AV196:AX196)),1)</f>
        <v>-1.0679510028953815E-2</v>
      </c>
      <c r="AN197" s="72">
        <f>EXP(INDEX(LINEST(LN(AV197:AX197),LN(AV196:AX196)),1,2))</f>
        <v>1.0260573377725422</v>
      </c>
      <c r="AO197" s="89">
        <f>INDEX(LINEST((AV197:AX197),LN(AV196:AX196),TRUE,TRUE),3,1)</f>
        <v>0.72968150530855214</v>
      </c>
      <c r="AP197" s="89">
        <f>INDEX(LINEST((AV197:AX197),LN(AV196:AX196)),1)</f>
        <v>-9.7628173822194124E-3</v>
      </c>
      <c r="AQ197" s="90">
        <f>INDEX(LINEST(LN(AV197:AX197),SQRT(AV196:AX196),TRUE,TRUE),3,1)</f>
        <v>0.99986279603612405</v>
      </c>
      <c r="AR197" s="117">
        <f>INDEX(LINEST(LN(AV197:AX197),SQRT((AV196:AX196))),1)</f>
        <v>-8.6772792257081732E-5</v>
      </c>
      <c r="AS197" s="91">
        <f>INDEX(LINEST(1/(AV197:AX197),1/(SQRT(AV196:AX196)),TRUE,TRUE),3,1)</f>
        <v>0.48228037301602988</v>
      </c>
      <c r="AT197" s="91">
        <f>INDEX(LINEST(1/(AV197:AX197),1/SQRT(AV196:AX196)),1)</f>
        <v>-0.72511356188315401</v>
      </c>
      <c r="AU197" s="3"/>
      <c r="AV197" s="97">
        <v>0.97218045112781892</v>
      </c>
      <c r="AW197" s="97">
        <v>0.93984962406015005</v>
      </c>
      <c r="AX197" s="97">
        <v>0.85037593984962301</v>
      </c>
      <c r="AY197" s="11"/>
      <c r="AZ197" s="11"/>
      <c r="BA197" s="11"/>
      <c r="BB197" s="11"/>
      <c r="BC197" s="11"/>
      <c r="BD197" s="11"/>
      <c r="BE197" s="11"/>
      <c r="BF197" s="11"/>
      <c r="BG197" s="11"/>
      <c r="BH197" s="11"/>
      <c r="BI197" s="11"/>
      <c r="BJ197" s="11"/>
      <c r="BK197" s="11"/>
      <c r="BL197" s="11"/>
      <c r="BM197" s="11"/>
      <c r="BN197" s="11"/>
      <c r="BO197" s="11"/>
      <c r="BP197" s="11"/>
      <c r="BQ197" s="11"/>
      <c r="BR197" s="11"/>
      <c r="BS197" s="11"/>
      <c r="BT197" s="11"/>
      <c r="BU197" s="11"/>
      <c r="BV197" s="11"/>
      <c r="BW197" s="11"/>
      <c r="BX197" s="11"/>
      <c r="BY197" s="11"/>
      <c r="BZ197" s="11"/>
      <c r="CA197" s="11"/>
      <c r="CB197" s="11"/>
      <c r="CC197" s="11"/>
      <c r="CD197" s="11"/>
      <c r="CE197" s="11"/>
      <c r="CF197" s="11"/>
      <c r="CG197" s="11"/>
      <c r="CH197" s="11"/>
      <c r="CI197" s="11"/>
      <c r="CJ197" s="11"/>
      <c r="CK197" s="11"/>
      <c r="CL197" s="11"/>
      <c r="CM197" s="11"/>
      <c r="CN197" s="11"/>
      <c r="CO197" s="11"/>
      <c r="CP197" s="11"/>
      <c r="CQ197" s="11"/>
      <c r="CR197" s="15"/>
      <c r="CS197" s="15"/>
      <c r="CT197" s="15"/>
      <c r="CU197" s="15"/>
    </row>
    <row r="198" spans="1:99" s="13" customFormat="1" ht="12" customHeight="1" x14ac:dyDescent="0.2">
      <c r="A198" s="65">
        <v>43509</v>
      </c>
      <c r="B198" s="1"/>
      <c r="C198" s="1"/>
      <c r="D198" s="60"/>
      <c r="E198" s="76"/>
      <c r="F198" s="60"/>
      <c r="G198" s="60"/>
      <c r="H198" s="60"/>
      <c r="I198" s="60"/>
      <c r="J198" s="60"/>
      <c r="K198" s="64"/>
      <c r="L198" s="64"/>
      <c r="M198" s="60"/>
      <c r="N198" s="60"/>
      <c r="O198" s="60"/>
      <c r="P198" s="60"/>
      <c r="Q198" s="60"/>
      <c r="R198" s="60"/>
      <c r="S198" s="60"/>
      <c r="T198" s="60"/>
      <c r="U198" s="60"/>
      <c r="V198" s="60"/>
      <c r="W198" s="60"/>
      <c r="X198" s="60"/>
      <c r="Y198" s="76"/>
      <c r="Z198" s="60"/>
      <c r="AA198" s="60"/>
      <c r="AB198" s="60"/>
      <c r="AC198" s="60"/>
      <c r="AD198" s="60"/>
      <c r="AE198" s="60"/>
      <c r="AF198" s="80"/>
      <c r="AG198" s="56"/>
      <c r="AH198" s="4"/>
      <c r="AI198" s="56"/>
      <c r="AJ198" s="109"/>
      <c r="AK198" s="56"/>
      <c r="AL198" s="56"/>
      <c r="AM198" s="56"/>
      <c r="AN198" s="56"/>
      <c r="AO198" s="56"/>
      <c r="AP198" s="56"/>
      <c r="AQ198" s="56"/>
      <c r="AR198" s="109"/>
      <c r="AS198" s="56"/>
      <c r="AT198" s="56"/>
      <c r="AU198" s="4"/>
      <c r="AV198" s="25">
        <v>30</v>
      </c>
      <c r="AW198" s="25">
        <f>7*24*60*60*0.143</f>
        <v>86486.399999999994</v>
      </c>
      <c r="AX198" s="25">
        <f>7*24*60*60*1</f>
        <v>604800</v>
      </c>
      <c r="AY198" s="25">
        <f>7*24*60*60*4</f>
        <v>2419200</v>
      </c>
      <c r="AZ198" s="53" t="s">
        <v>511</v>
      </c>
      <c r="BA198" s="53"/>
      <c r="BB198" s="53"/>
      <c r="BC198" s="53"/>
      <c r="BD198" s="53"/>
      <c r="BE198" s="53"/>
      <c r="BF198" s="53"/>
      <c r="BG198" s="53"/>
      <c r="BH198" s="53"/>
      <c r="BI198" s="53"/>
      <c r="BJ198" s="53"/>
      <c r="BK198" s="53"/>
      <c r="BL198" s="53"/>
      <c r="BM198" s="53"/>
      <c r="BN198" s="53"/>
      <c r="BO198" s="53"/>
      <c r="BP198" s="53"/>
      <c r="BQ198" s="53"/>
      <c r="BR198" s="53"/>
      <c r="BS198" s="53"/>
      <c r="BT198" s="53"/>
      <c r="BU198" s="53"/>
      <c r="BV198" s="53"/>
      <c r="BW198" s="53"/>
      <c r="BX198" s="53"/>
      <c r="BY198" s="53"/>
      <c r="BZ198" s="53"/>
      <c r="CA198" s="53"/>
      <c r="CB198" s="53"/>
      <c r="CC198" s="53"/>
      <c r="CD198" s="53"/>
      <c r="CE198" s="53"/>
      <c r="CF198" s="53"/>
      <c r="CG198" s="53"/>
      <c r="CH198" s="53"/>
      <c r="CI198" s="53"/>
      <c r="CJ198" s="53"/>
      <c r="CK198" s="53"/>
      <c r="CL198" s="53"/>
      <c r="CM198" s="53"/>
      <c r="CN198" s="53"/>
      <c r="CO198" s="53"/>
      <c r="CP198" s="53"/>
      <c r="CQ198" s="53"/>
      <c r="CR198" s="1"/>
      <c r="CS198" s="1"/>
      <c r="CT198" s="1"/>
      <c r="CU198" s="1"/>
    </row>
    <row r="199" spans="1:99" s="13" customFormat="1" ht="12" customHeight="1" x14ac:dyDescent="0.2">
      <c r="A199" s="65">
        <v>43509</v>
      </c>
      <c r="B199" s="1" t="s">
        <v>145</v>
      </c>
      <c r="C199" s="1" t="s">
        <v>239</v>
      </c>
      <c r="D199" s="60">
        <v>1972</v>
      </c>
      <c r="E199" s="75">
        <v>1</v>
      </c>
      <c r="F199" s="60">
        <v>180</v>
      </c>
      <c r="G199" s="60">
        <v>15</v>
      </c>
      <c r="H199" s="60" t="s">
        <v>22</v>
      </c>
      <c r="I199" s="74">
        <v>1</v>
      </c>
      <c r="J199" s="60" t="s">
        <v>146</v>
      </c>
      <c r="K199" s="60">
        <f>IF(J199="syllables",1,IF(J199="trigrams",2,IF(J199="strings",3,IF(J199="visual array",4,IF(J199="characters",5,IF(J199="letters",6,IF(J199="free forms",7,IF(J199="odors",8,IF(J199="words",9,IF(J199="pictures",10,IF(J199="object pictures",11,IF(J199="faces",12,IF(J199="names",13,IF(J199="idioms",14,IF(J199="grades",15,IF(J199="syllable-digit pairs",16,IF(J199="trigram-word pairs",17,IF(J199="word-digit pairs",18,IF(J199="English-Swahili pairs",19,IF(J199="spatial position",20,IF(J199="word pairs",21,IF(J199="word triads",22,IF(J199="generated words",23,IF(J199="word definition pairs",24,IF(J199="math problems",25,IF(J199="famous faces",26,IF(J199="famous names",27,IF(J199="famous voices",28,IF(J199="television programs",29,IF(J199="race horses",30,IF(J199="new vocabulary",31,IF(J199="sentences",32,IF(J199="concepts",33,IF(J199="ad slides",34,IF(J199="scenes",35,IF(J199="famous scenes",36,IF(J199="poems",37,IF(J199="walk",38,IF(J199="faces and events",39,IF(J199="events and names",40,IF(J199="flashbulb",41,IF(J199="stories",42,IF(J199="course material",43,IF(J199="autobiographical",44,IF(J199="novels",45,IF(J199="public events",46,"99"))))))))))))))))))))))))))))))))))))))))))))))</f>
        <v>34</v>
      </c>
      <c r="L199" s="60">
        <f>IF(J199="syllables",1,IF(J199="trigrams",1,IF(J199="strings",1,IF(J199="visual array",1,IF(J199="characters",1,IF(J199="letters",1,IF(J199="free forms",1,IF(J199="odors",2,IF(J199="words",2,IF(J199="pictures",2,IF(J199="object pictures",2,IF(J199="faces",2,IF(J199="names",2,IF(J199="idioms","2",IF(J199="grades",2,IF(J199="syllable-digit pairs",3,IF(J199="trigram-word pairs",3,IF(J199="word-digit pairs",3,IF(J199="English-Swahili pairs",3,IF(J199="spatial position",3,IF(J199="word pairs",4,IF(J199="word triads",4,IF(J199="generated words",4,IF(J199="word definition pairs",4,IF(J199="math problems",4,IF(J199="famous faces",4,IF(J199="famous names",4,IF(J199="famous voices",4,IF(J199="television programs",4,IF(J199="race horses",4,IF(J199="new vocabulary",4,IF(J199="sentences",5,IF(J199="concepts",5,IF(J199="ad slides",5,IF(J199="scenes",5,IF(J199="famous scenes",5,IF(J199="poems",6,IF(J199="walk",6,IF(J199="faces and events",6,IF(J199="events and names",6,IF(J199="flashbulb",7,IF(J199="stories",7,IF(J199="course material",7,IF(J199="autobiographical",7,IF(J199="novels",7,IF(J199="public events",7,"99"))))))))))))))))))))))))))))))))))))))))))))))</f>
        <v>5</v>
      </c>
      <c r="M199" s="60">
        <v>1</v>
      </c>
      <c r="N199" s="60">
        <v>4</v>
      </c>
      <c r="O199" s="60">
        <v>0</v>
      </c>
      <c r="P199" s="60"/>
      <c r="Q199" s="60" t="s">
        <v>174</v>
      </c>
      <c r="R199" s="60">
        <f>IF(Q199="Free Recall",1,IF(Q199="Cued Recall",2,IF(Q199="Recognition",3,IF(Q199="Multiple Choice",4,IF(Q199="Savings",5,IF(Q199="Stem Completion",6,IF(Q199="Fragment Completion",7,IF(Q199="anagram solution",8,IF(Q199="Matching",9,IF(Q199="Problem Solving",10,"99"))))))))))</f>
        <v>1</v>
      </c>
      <c r="S199" s="60" t="s">
        <v>49</v>
      </c>
      <c r="T199" s="59" t="s">
        <v>261</v>
      </c>
      <c r="U199" s="60">
        <f>IF(T199="within",1,0)</f>
        <v>0</v>
      </c>
      <c r="V199" s="59">
        <v>100</v>
      </c>
      <c r="W199" s="60">
        <f>F199*V199</f>
        <v>18000</v>
      </c>
      <c r="X199" s="60">
        <v>4</v>
      </c>
      <c r="Y199" s="76">
        <f>AV198</f>
        <v>30</v>
      </c>
      <c r="Z199" s="60" t="s">
        <v>140</v>
      </c>
      <c r="AA199" s="60">
        <v>2419200</v>
      </c>
      <c r="AB199" s="60" t="str">
        <f>IF(AA199&lt;60,"1",IF(AA199&lt;=43200,"2",IF(AA199&lt;=777600,"3","4")))</f>
        <v>4</v>
      </c>
      <c r="AC199" s="56">
        <f>AVERAGE(AV198:DA198)</f>
        <v>777629.1</v>
      </c>
      <c r="AD199" s="60" t="str">
        <f>IF(AC199&lt;60,"1",IF(AC199&lt;=43200,"2",IF(AC199&lt;=777600,"3","4")))</f>
        <v>4</v>
      </c>
      <c r="AE199" s="76">
        <f>AA199-Y199</f>
        <v>2419170</v>
      </c>
      <c r="AF199" s="80">
        <f>AV199</f>
        <v>0.86699999999999999</v>
      </c>
      <c r="AG199" s="56">
        <f>((AW199-AV199)+(AX199-AW199)+(AY199-AX199))/3</f>
        <v>-0.21299999999999999</v>
      </c>
      <c r="AH199" s="4"/>
      <c r="AI199" s="56">
        <f>RSQ(AV199:AY199,AV198:AY198)</f>
        <v>0.62864030459507081</v>
      </c>
      <c r="AJ199" s="109">
        <f>SLOPE(AV199:AY199,AV198:AY198)</f>
        <v>-1.8911662175934427E-7</v>
      </c>
      <c r="AK199" s="56">
        <f>INTERCEPT(AV199:AY199,AV198:AY198)</f>
        <v>0.64981258837375933</v>
      </c>
      <c r="AL199" s="56">
        <f>INDEX(LINEST(LN(AV199:AY199),LN(AV198:AY198),TRUE,TRUE),3,1)</f>
        <v>0.84006674222292355</v>
      </c>
      <c r="AM199" s="56">
        <f>INDEX(LINEST(LN(AV199:AY199),LN(AV198:AY198)),1)</f>
        <v>-0.10015218682287769</v>
      </c>
      <c r="AN199" s="56">
        <f>EXP(INDEX(LINEST(LN(AV199:AY199),LN(AV198:AY198)),1,2))</f>
        <v>1.3135980196836357</v>
      </c>
      <c r="AO199" s="82">
        <f>INDEX(LINEST((AV199:AY199),LN(AV198:AY198),TRUE,TRUE),3,1)</f>
        <v>0.9630376958357586</v>
      </c>
      <c r="AP199" s="82">
        <f>INDEX(LINEST((AV199:AY199),LN(AV198:AY198)),1)</f>
        <v>-5.2204405995874052E-2</v>
      </c>
      <c r="AQ199" s="83">
        <f>INDEX(LINEST(LN(AV199:AY199),SQRT(AV198:AY198),TRUE,TRUE),3,1)</f>
        <v>0.94508527845528278</v>
      </c>
      <c r="AR199" s="116">
        <f>INDEX(LINEST(LN(AV199:AY199),SQRT((AV198:AY198))),1)</f>
        <v>-7.9172320515512773E-4</v>
      </c>
      <c r="AS199" s="84">
        <f>INDEX(LINEST(1/(AV199:AY199),1/(SQRT(AV198:AY198)),TRUE,TRUE),3,1)</f>
        <v>0.43113389714341349</v>
      </c>
      <c r="AT199" s="84">
        <f>INDEX(LINEST(1/(AV199:AY199),1/SQRT(AV198:AY198)),1)</f>
        <v>-9.962089865177095</v>
      </c>
      <c r="AU199" s="3"/>
      <c r="AV199" s="53">
        <v>0.86699999999999999</v>
      </c>
      <c r="AW199" s="53">
        <v>0.505</v>
      </c>
      <c r="AX199" s="53">
        <v>0.41099999999999998</v>
      </c>
      <c r="AY199" s="53">
        <v>0.22800000000000001</v>
      </c>
      <c r="AZ199" s="53"/>
      <c r="BA199" s="53"/>
      <c r="BB199" s="53"/>
      <c r="BC199" s="53"/>
      <c r="BD199" s="53"/>
      <c r="BE199" s="53"/>
      <c r="BF199" s="53"/>
      <c r="BG199" s="53"/>
      <c r="BH199" s="53"/>
      <c r="BI199" s="53"/>
      <c r="BJ199" s="53"/>
      <c r="BK199" s="53"/>
      <c r="BL199" s="53"/>
      <c r="BM199" s="53"/>
      <c r="BN199" s="53"/>
      <c r="BO199" s="53"/>
      <c r="BP199" s="53"/>
      <c r="BQ199" s="53"/>
      <c r="BR199" s="53"/>
      <c r="BS199" s="53"/>
      <c r="BT199" s="53"/>
      <c r="BU199" s="53"/>
      <c r="BV199" s="53"/>
      <c r="BW199" s="53"/>
      <c r="BX199" s="53"/>
      <c r="BY199" s="53"/>
      <c r="BZ199" s="53"/>
      <c r="CA199" s="53"/>
      <c r="CB199" s="53"/>
      <c r="CC199" s="53"/>
      <c r="CD199" s="53"/>
      <c r="CE199" s="53"/>
      <c r="CF199" s="53"/>
      <c r="CG199" s="53"/>
      <c r="CH199" s="53"/>
      <c r="CI199" s="53"/>
      <c r="CJ199" s="53"/>
      <c r="CK199" s="53"/>
      <c r="CL199" s="53"/>
      <c r="CM199" s="53"/>
      <c r="CN199" s="53"/>
      <c r="CO199" s="53"/>
      <c r="CP199" s="53"/>
      <c r="CQ199" s="53"/>
      <c r="CR199" s="1"/>
      <c r="CS199" s="1"/>
      <c r="CT199" s="1"/>
      <c r="CU199" s="1"/>
    </row>
    <row r="200" spans="1:99" s="13" customFormat="1" ht="12" customHeight="1" x14ac:dyDescent="0.2">
      <c r="A200" s="65">
        <v>43509</v>
      </c>
      <c r="B200" s="1"/>
      <c r="C200" s="1"/>
      <c r="D200" s="60"/>
      <c r="E200" s="76"/>
      <c r="F200" s="60"/>
      <c r="G200" s="60"/>
      <c r="H200" s="60"/>
      <c r="I200" s="74"/>
      <c r="J200" s="60"/>
      <c r="K200" s="64"/>
      <c r="L200" s="64"/>
      <c r="M200" s="60"/>
      <c r="N200" s="60"/>
      <c r="O200" s="60"/>
      <c r="P200" s="60"/>
      <c r="Q200" s="60"/>
      <c r="R200" s="60"/>
      <c r="S200" s="60"/>
      <c r="T200" s="60"/>
      <c r="U200" s="60"/>
      <c r="V200" s="60"/>
      <c r="W200" s="60"/>
      <c r="X200" s="60"/>
      <c r="Y200" s="76"/>
      <c r="Z200" s="60"/>
      <c r="AA200" s="60"/>
      <c r="AB200" s="60"/>
      <c r="AC200" s="60"/>
      <c r="AD200" s="60"/>
      <c r="AE200" s="60"/>
      <c r="AF200" s="80"/>
      <c r="AG200" s="56"/>
      <c r="AH200" s="4"/>
      <c r="AI200" s="56"/>
      <c r="AJ200" s="109"/>
      <c r="AK200" s="56"/>
      <c r="AL200" s="56"/>
      <c r="AM200" s="56"/>
      <c r="AN200" s="56"/>
      <c r="AO200" s="56"/>
      <c r="AP200" s="56"/>
      <c r="AQ200" s="56"/>
      <c r="AR200" s="109"/>
      <c r="AS200" s="56"/>
      <c r="AT200" s="56"/>
      <c r="AU200" s="4"/>
      <c r="AV200" s="25">
        <v>30</v>
      </c>
      <c r="AW200" s="25">
        <f>7*24*60*60*0.143</f>
        <v>86486.399999999994</v>
      </c>
      <c r="AX200" s="25">
        <f>7*24*60*60*1</f>
        <v>604800</v>
      </c>
      <c r="AY200" s="25">
        <f>7*24*60*60*4</f>
        <v>2419200</v>
      </c>
      <c r="AZ200" s="53"/>
      <c r="BA200" s="53"/>
      <c r="BB200" s="53"/>
      <c r="BC200" s="53"/>
      <c r="BD200" s="53"/>
      <c r="BE200" s="53"/>
      <c r="BF200" s="53"/>
      <c r="BG200" s="53"/>
      <c r="BH200" s="53"/>
      <c r="BI200" s="53"/>
      <c r="BJ200" s="53"/>
      <c r="BK200" s="53"/>
      <c r="BL200" s="53"/>
      <c r="BM200" s="53"/>
      <c r="BN200" s="53"/>
      <c r="BO200" s="53"/>
      <c r="BP200" s="53"/>
      <c r="BQ200" s="53"/>
      <c r="BR200" s="53"/>
      <c r="BS200" s="53"/>
      <c r="BT200" s="53"/>
      <c r="BU200" s="53"/>
      <c r="BV200" s="53"/>
      <c r="BW200" s="53"/>
      <c r="BX200" s="53"/>
      <c r="BY200" s="53"/>
      <c r="BZ200" s="53"/>
      <c r="CA200" s="53"/>
      <c r="CB200" s="53"/>
      <c r="CC200" s="53"/>
      <c r="CD200" s="53"/>
      <c r="CE200" s="53"/>
      <c r="CF200" s="53"/>
      <c r="CG200" s="53"/>
      <c r="CH200" s="53"/>
      <c r="CI200" s="53"/>
      <c r="CJ200" s="53"/>
      <c r="CK200" s="53"/>
      <c r="CL200" s="53"/>
      <c r="CM200" s="53"/>
      <c r="CN200" s="53"/>
      <c r="CO200" s="53"/>
      <c r="CP200" s="53"/>
      <c r="CQ200" s="53"/>
      <c r="CR200" s="1"/>
      <c r="CS200" s="1"/>
      <c r="CT200" s="1"/>
      <c r="CU200" s="1"/>
    </row>
    <row r="201" spans="1:99" s="13" customFormat="1" ht="12" customHeight="1" x14ac:dyDescent="0.2">
      <c r="A201" s="65">
        <v>43509</v>
      </c>
      <c r="B201" s="1" t="s">
        <v>145</v>
      </c>
      <c r="C201" s="1" t="s">
        <v>239</v>
      </c>
      <c r="D201" s="60">
        <v>1972</v>
      </c>
      <c r="E201" s="75">
        <v>1</v>
      </c>
      <c r="F201" s="60">
        <v>180</v>
      </c>
      <c r="G201" s="60">
        <v>15</v>
      </c>
      <c r="H201" s="60" t="s">
        <v>22</v>
      </c>
      <c r="I201" s="74">
        <v>2</v>
      </c>
      <c r="J201" s="60" t="s">
        <v>146</v>
      </c>
      <c r="K201" s="60">
        <f>IF(J201="syllables",1,IF(J201="trigrams",2,IF(J201="strings",3,IF(J201="visual array",4,IF(J201="characters",5,IF(J201="letters",6,IF(J201="free forms",7,IF(J201="odors",8,IF(J201="words",9,IF(J201="pictures",10,IF(J201="object pictures",11,IF(J201="faces",12,IF(J201="names",13,IF(J201="idioms",14,IF(J201="grades",15,IF(J201="syllable-digit pairs",16,IF(J201="trigram-word pairs",17,IF(J201="word-digit pairs",18,IF(J201="English-Swahili pairs",19,IF(J201="spatial position",20,IF(J201="word pairs",21,IF(J201="word triads",22,IF(J201="generated words",23,IF(J201="word definition pairs",24,IF(J201="math problems",25,IF(J201="famous faces",26,IF(J201="famous names",27,IF(J201="famous voices",28,IF(J201="television programs",29,IF(J201="race horses",30,IF(J201="new vocabulary",31,IF(J201="sentences",32,IF(J201="concepts",33,IF(J201="ad slides",34,IF(J201="scenes",35,IF(J201="famous scenes",36,IF(J201="poems",37,IF(J201="walk",38,IF(J201="faces and events",39,IF(J201="events and names",40,IF(J201="flashbulb",41,IF(J201="stories",42,IF(J201="course material",43,IF(J201="autobiographical",44,IF(J201="novels",45,IF(J201="public events",46,"99"))))))))))))))))))))))))))))))))))))))))))))))</f>
        <v>34</v>
      </c>
      <c r="L201" s="60">
        <f>IF(J201="syllables",1,IF(J201="trigrams",1,IF(J201="strings",1,IF(J201="visual array",1,IF(J201="characters",1,IF(J201="letters",1,IF(J201="free forms",1,IF(J201="odors",2,IF(J201="words",2,IF(J201="pictures",2,IF(J201="object pictures",2,IF(J201="faces",2,IF(J201="names",2,IF(J201="idioms","2",IF(J201="grades",2,IF(J201="syllable-digit pairs",3,IF(J201="trigram-word pairs",3,IF(J201="word-digit pairs",3,IF(J201="English-Swahili pairs",3,IF(J201="spatial position",3,IF(J201="word pairs",4,IF(J201="word triads",4,IF(J201="generated words",4,IF(J201="word definition pairs",4,IF(J201="math problems",4,IF(J201="famous faces",4,IF(J201="famous names",4,IF(J201="famous voices",4,IF(J201="television programs",4,IF(J201="race horses",4,IF(J201="new vocabulary",4,IF(J201="sentences",5,IF(J201="concepts",5,IF(J201="ad slides",5,IF(J201="scenes",5,IF(J201="famous scenes",5,IF(J201="poems",6,IF(J201="walk",6,IF(J201="faces and events",6,IF(J201="events and names",6,IF(J201="flashbulb",7,IF(J201="stories",7,IF(J201="course material",7,IF(J201="autobiographical",7,IF(J201="novels",7,IF(J201="public events",7,"99"))))))))))))))))))))))))))))))))))))))))))))))</f>
        <v>5</v>
      </c>
      <c r="M201" s="60">
        <v>1</v>
      </c>
      <c r="N201" s="60">
        <v>4</v>
      </c>
      <c r="O201" s="60">
        <v>0</v>
      </c>
      <c r="P201" s="60"/>
      <c r="Q201" s="60" t="s">
        <v>174</v>
      </c>
      <c r="R201" s="60">
        <f>IF(Q201="Free Recall",1,IF(Q201="Cued Recall",2,IF(Q201="Recognition",3,IF(Q201="Multiple Choice",4,IF(Q201="Savings",5,IF(Q201="Stem Completion",6,IF(Q201="Fragment Completion",7,IF(Q201="anagram solution",8,IF(Q201="Matching",9,IF(Q201="Problem Solving",10,"99"))))))))))</f>
        <v>1</v>
      </c>
      <c r="S201" s="60" t="s">
        <v>49</v>
      </c>
      <c r="T201" s="59" t="s">
        <v>261</v>
      </c>
      <c r="U201" s="60">
        <f>IF(T201="within",1,0)</f>
        <v>0</v>
      </c>
      <c r="V201" s="59">
        <v>100</v>
      </c>
      <c r="W201" s="60">
        <f>F201*V201</f>
        <v>18000</v>
      </c>
      <c r="X201" s="60">
        <v>4</v>
      </c>
      <c r="Y201" s="76">
        <f>AV200</f>
        <v>30</v>
      </c>
      <c r="Z201" s="60" t="s">
        <v>140</v>
      </c>
      <c r="AA201" s="60">
        <v>2419200</v>
      </c>
      <c r="AB201" s="60" t="str">
        <f>IF(AA201&lt;60,"1",IF(AA201&lt;=43200,"2",IF(AA201&lt;=777600,"3","4")))</f>
        <v>4</v>
      </c>
      <c r="AC201" s="56">
        <f>AVERAGE(AV200:DA200)</f>
        <v>777629.1</v>
      </c>
      <c r="AD201" s="60" t="str">
        <f>IF(AC201&lt;60,"1",IF(AC201&lt;=43200,"2",IF(AC201&lt;=777600,"3","4")))</f>
        <v>4</v>
      </c>
      <c r="AE201" s="76">
        <f>AA201-Y201</f>
        <v>2419170</v>
      </c>
      <c r="AF201" s="80">
        <f>AV201</f>
        <v>0.85599999999999998</v>
      </c>
      <c r="AG201" s="56">
        <f>((AW201-AV201)+(AX201-AW201)+(AY201-AX201))/3</f>
        <v>-0.15566666666666665</v>
      </c>
      <c r="AH201" s="4"/>
      <c r="AI201" s="56">
        <f>RSQ(AV201:AY201,AV200:AY200)</f>
        <v>0.69683533394613073</v>
      </c>
      <c r="AJ201" s="109">
        <f>SLOPE(AV201:AY201,AV200:AY200)</f>
        <v>-1.6274292294496232E-7</v>
      </c>
      <c r="AK201" s="56">
        <f>INTERCEPT(AV201:AY201,AV200:AY200)</f>
        <v>0.74080363270106031</v>
      </c>
      <c r="AL201" s="56">
        <f>INDEX(LINEST(LN(AV201:AY201),LN(AV200:AY200),TRUE,TRUE),3,1)</f>
        <v>0.73500283927905408</v>
      </c>
      <c r="AM201" s="56">
        <f>INDEX(LINEST(LN(AV201:AY201),LN(AV200:AY200)),1)</f>
        <v>-6.2836858409418064E-2</v>
      </c>
      <c r="AN201" s="56">
        <f>EXP(INDEX(LINEST(LN(AV201:AY201),LN(AV200:AY200)),1,2))</f>
        <v>1.1437978449171717</v>
      </c>
      <c r="AO201" s="82">
        <f>INDEX(LINEST((AV201:AY201),LN(AV200:AY200),TRUE,TRUE),3,1)</f>
        <v>0.78635076782022006</v>
      </c>
      <c r="AP201" s="82">
        <f>INDEX(LINEST((AV201:AY201),LN(AV200:AY200)),1)</f>
        <v>-3.855690027265319E-2</v>
      </c>
      <c r="AQ201" s="83">
        <f>INDEX(LINEST(LN(AV201:AY201),SQRT(AV200:AY200),TRUE,TRUE),3,1)</f>
        <v>0.92790621408383245</v>
      </c>
      <c r="AR201" s="116">
        <f>INDEX(LINEST(LN(AV201:AY201),SQRT((AV200:AY200))),1)</f>
        <v>-5.2620664900167704E-4</v>
      </c>
      <c r="AS201" s="84">
        <f>INDEX(LINEST(1/(AV201:AY201),1/(SQRT(AV200:AY200)),TRUE,TRUE),3,1)</f>
        <v>0.42683767963701036</v>
      </c>
      <c r="AT201" s="84">
        <f>INDEX(LINEST(1/(AV201:AY201),1/SQRT(AV200:AY200)),1)</f>
        <v>-4.7414281196427925</v>
      </c>
      <c r="AU201" s="3"/>
      <c r="AV201" s="53">
        <v>0.85599999999999998</v>
      </c>
      <c r="AW201" s="53">
        <v>0.73899999999999999</v>
      </c>
      <c r="AX201" s="53">
        <v>0.47299999999999998</v>
      </c>
      <c r="AY201" s="53">
        <v>0.38900000000000001</v>
      </c>
      <c r="AZ201" s="53"/>
      <c r="BA201" s="53"/>
      <c r="BB201" s="53"/>
      <c r="BC201" s="53"/>
      <c r="BD201" s="53"/>
      <c r="BE201" s="53"/>
      <c r="BF201" s="53"/>
      <c r="BG201" s="53"/>
      <c r="BH201" s="53"/>
      <c r="BI201" s="53"/>
      <c r="BJ201" s="53"/>
      <c r="BK201" s="53"/>
      <c r="BL201" s="53"/>
      <c r="BM201" s="53"/>
      <c r="BN201" s="53"/>
      <c r="BO201" s="53"/>
      <c r="BP201" s="53"/>
      <c r="BQ201" s="53"/>
      <c r="BR201" s="53"/>
      <c r="BS201" s="53"/>
      <c r="BT201" s="53"/>
      <c r="BU201" s="53"/>
      <c r="BV201" s="53"/>
      <c r="BW201" s="53"/>
      <c r="BX201" s="53"/>
      <c r="BY201" s="53"/>
      <c r="BZ201" s="53"/>
      <c r="CA201" s="53"/>
      <c r="CB201" s="53"/>
      <c r="CC201" s="53"/>
      <c r="CD201" s="53"/>
      <c r="CE201" s="53"/>
      <c r="CF201" s="53"/>
      <c r="CG201" s="53"/>
      <c r="CH201" s="53"/>
      <c r="CI201" s="53"/>
      <c r="CJ201" s="53"/>
      <c r="CK201" s="53"/>
      <c r="CL201" s="53"/>
      <c r="CM201" s="53"/>
      <c r="CN201" s="53"/>
      <c r="CO201" s="53"/>
      <c r="CP201" s="53"/>
      <c r="CQ201" s="53"/>
      <c r="CR201" s="1"/>
      <c r="CS201" s="1"/>
      <c r="CT201" s="1"/>
      <c r="CU201" s="1"/>
    </row>
    <row r="202" spans="1:99" s="13" customFormat="1" ht="12" customHeight="1" x14ac:dyDescent="0.2">
      <c r="A202" s="65">
        <v>43509</v>
      </c>
      <c r="B202" s="1"/>
      <c r="C202" s="1"/>
      <c r="D202" s="60"/>
      <c r="E202" s="76"/>
      <c r="F202" s="60"/>
      <c r="G202" s="60"/>
      <c r="H202" s="60"/>
      <c r="I202" s="74"/>
      <c r="J202" s="60"/>
      <c r="K202" s="64"/>
      <c r="L202" s="64"/>
      <c r="M202" s="60"/>
      <c r="N202" s="60"/>
      <c r="O202" s="60"/>
      <c r="P202" s="60"/>
      <c r="Q202" s="60"/>
      <c r="R202" s="60"/>
      <c r="S202" s="60"/>
      <c r="T202" s="60"/>
      <c r="U202" s="60"/>
      <c r="V202" s="60"/>
      <c r="W202" s="60"/>
      <c r="X202" s="60"/>
      <c r="Y202" s="76"/>
      <c r="Z202" s="60"/>
      <c r="AA202" s="60"/>
      <c r="AB202" s="60"/>
      <c r="AC202" s="60"/>
      <c r="AD202" s="60"/>
      <c r="AE202" s="60"/>
      <c r="AF202" s="80"/>
      <c r="AG202" s="56"/>
      <c r="AH202" s="4"/>
      <c r="AI202" s="56"/>
      <c r="AJ202" s="109"/>
      <c r="AK202" s="56"/>
      <c r="AL202" s="56"/>
      <c r="AM202" s="56"/>
      <c r="AN202" s="56"/>
      <c r="AO202" s="56"/>
      <c r="AP202" s="56"/>
      <c r="AQ202" s="56"/>
      <c r="AR202" s="109"/>
      <c r="AS202" s="56"/>
      <c r="AT202" s="56"/>
      <c r="AU202" s="4"/>
      <c r="AV202" s="25">
        <v>30</v>
      </c>
      <c r="AW202" s="25">
        <f>7*24*60*60*0.143</f>
        <v>86486.399999999994</v>
      </c>
      <c r="AX202" s="25">
        <f>7*24*60*60*1</f>
        <v>604800</v>
      </c>
      <c r="AY202" s="25">
        <f>7*24*60*60*4</f>
        <v>2419200</v>
      </c>
      <c r="AZ202" s="53"/>
      <c r="BA202" s="53"/>
      <c r="BB202" s="53"/>
      <c r="BC202" s="53"/>
      <c r="BD202" s="53"/>
      <c r="BE202" s="53"/>
      <c r="BF202" s="53"/>
      <c r="BG202" s="53"/>
      <c r="BH202" s="53"/>
      <c r="BI202" s="53"/>
      <c r="BJ202" s="53"/>
      <c r="BK202" s="53"/>
      <c r="BL202" s="53"/>
      <c r="BM202" s="53"/>
      <c r="BN202" s="53"/>
      <c r="BO202" s="53"/>
      <c r="BP202" s="53"/>
      <c r="BQ202" s="53"/>
      <c r="BR202" s="53"/>
      <c r="BS202" s="53"/>
      <c r="BT202" s="53"/>
      <c r="BU202" s="53"/>
      <c r="BV202" s="53"/>
      <c r="BW202" s="53"/>
      <c r="BX202" s="53"/>
      <c r="BY202" s="53"/>
      <c r="BZ202" s="53"/>
      <c r="CA202" s="53"/>
      <c r="CB202" s="53"/>
      <c r="CC202" s="53"/>
      <c r="CD202" s="53"/>
      <c r="CE202" s="53"/>
      <c r="CF202" s="53"/>
      <c r="CG202" s="53"/>
      <c r="CH202" s="53"/>
      <c r="CI202" s="53"/>
      <c r="CJ202" s="53"/>
      <c r="CK202" s="53"/>
      <c r="CL202" s="53"/>
      <c r="CM202" s="53"/>
      <c r="CN202" s="53"/>
      <c r="CO202" s="53"/>
      <c r="CP202" s="53"/>
      <c r="CQ202" s="53"/>
      <c r="CR202" s="1"/>
      <c r="CS202" s="1"/>
      <c r="CT202" s="1"/>
      <c r="CU202" s="1"/>
    </row>
    <row r="203" spans="1:99" s="13" customFormat="1" ht="12" customHeight="1" x14ac:dyDescent="0.2">
      <c r="A203" s="65">
        <v>43509</v>
      </c>
      <c r="B203" s="1" t="s">
        <v>145</v>
      </c>
      <c r="C203" s="1" t="s">
        <v>239</v>
      </c>
      <c r="D203" s="60">
        <v>1972</v>
      </c>
      <c r="E203" s="75">
        <v>1</v>
      </c>
      <c r="F203" s="60">
        <v>180</v>
      </c>
      <c r="G203" s="60">
        <v>15</v>
      </c>
      <c r="H203" s="60" t="s">
        <v>22</v>
      </c>
      <c r="I203" s="74">
        <v>3</v>
      </c>
      <c r="J203" s="60" t="s">
        <v>146</v>
      </c>
      <c r="K203" s="60">
        <f>IF(J203="syllables",1,IF(J203="trigrams",2,IF(J203="strings",3,IF(J203="visual array",4,IF(J203="characters",5,IF(J203="letters",6,IF(J203="free forms",7,IF(J203="odors",8,IF(J203="words",9,IF(J203="pictures",10,IF(J203="object pictures",11,IF(J203="faces",12,IF(J203="names",13,IF(J203="idioms",14,IF(J203="grades",15,IF(J203="syllable-digit pairs",16,IF(J203="trigram-word pairs",17,IF(J203="word-digit pairs",18,IF(J203="English-Swahili pairs",19,IF(J203="spatial position",20,IF(J203="word pairs",21,IF(J203="word triads",22,IF(J203="generated words",23,IF(J203="word definition pairs",24,IF(J203="math problems",25,IF(J203="famous faces",26,IF(J203="famous names",27,IF(J203="famous voices",28,IF(J203="television programs",29,IF(J203="race horses",30,IF(J203="new vocabulary",31,IF(J203="sentences",32,IF(J203="concepts",33,IF(J203="ad slides",34,IF(J203="scenes",35,IF(J203="famous scenes",36,IF(J203="poems",37,IF(J203="walk",38,IF(J203="faces and events",39,IF(J203="events and names",40,IF(J203="flashbulb",41,IF(J203="stories",42,IF(J203="course material",43,IF(J203="autobiographical",44,IF(J203="novels",45,IF(J203="public events",46,"99"))))))))))))))))))))))))))))))))))))))))))))))</f>
        <v>34</v>
      </c>
      <c r="L203" s="60">
        <f>IF(J203="syllables",1,IF(J203="trigrams",1,IF(J203="strings",1,IF(J203="visual array",1,IF(J203="characters",1,IF(J203="letters",1,IF(J203="free forms",1,IF(J203="odors",2,IF(J203="words",2,IF(J203="pictures",2,IF(J203="object pictures",2,IF(J203="faces",2,IF(J203="names",2,IF(J203="idioms","2",IF(J203="grades",2,IF(J203="syllable-digit pairs",3,IF(J203="trigram-word pairs",3,IF(J203="word-digit pairs",3,IF(J203="English-Swahili pairs",3,IF(J203="spatial position",3,IF(J203="word pairs",4,IF(J203="word triads",4,IF(J203="generated words",4,IF(J203="word definition pairs",4,IF(J203="math problems",4,IF(J203="famous faces",4,IF(J203="famous names",4,IF(J203="famous voices",4,IF(J203="television programs",4,IF(J203="race horses",4,IF(J203="new vocabulary",4,IF(J203="sentences",5,IF(J203="concepts",5,IF(J203="ad slides",5,IF(J203="scenes",5,IF(J203="famous scenes",5,IF(J203="poems",6,IF(J203="walk",6,IF(J203="faces and events",6,IF(J203="events and names",6,IF(J203="flashbulb",7,IF(J203="stories",7,IF(J203="course material",7,IF(J203="autobiographical",7,IF(J203="novels",7,IF(J203="public events",7,"99"))))))))))))))))))))))))))))))))))))))))))))))</f>
        <v>5</v>
      </c>
      <c r="M203" s="60">
        <v>1</v>
      </c>
      <c r="N203" s="60">
        <v>4</v>
      </c>
      <c r="O203" s="60">
        <v>0</v>
      </c>
      <c r="P203" s="60"/>
      <c r="Q203" s="60" t="s">
        <v>174</v>
      </c>
      <c r="R203" s="60">
        <f>IF(Q203="Free Recall",1,IF(Q203="Cued Recall",2,IF(Q203="Recognition",3,IF(Q203="Multiple Choice",4,IF(Q203="Savings",5,IF(Q203="Stem Completion",6,IF(Q203="Fragment Completion",7,IF(Q203="anagram solution",8,IF(Q203="Matching",9,IF(Q203="Problem Solving",10,"99"))))))))))</f>
        <v>1</v>
      </c>
      <c r="S203" s="60" t="s">
        <v>49</v>
      </c>
      <c r="T203" s="59" t="s">
        <v>261</v>
      </c>
      <c r="U203" s="60">
        <f>IF(T203="within",1,0)</f>
        <v>0</v>
      </c>
      <c r="V203" s="59">
        <v>100</v>
      </c>
      <c r="W203" s="60">
        <f>F203*V203</f>
        <v>18000</v>
      </c>
      <c r="X203" s="60">
        <v>4</v>
      </c>
      <c r="Y203" s="76">
        <f>AV202</f>
        <v>30</v>
      </c>
      <c r="Z203" s="60" t="s">
        <v>140</v>
      </c>
      <c r="AA203" s="60">
        <v>2419200</v>
      </c>
      <c r="AB203" s="60" t="str">
        <f>IF(AA203&lt;60,"1",IF(AA203&lt;=43200,"2",IF(AA203&lt;=777600,"3","4")))</f>
        <v>4</v>
      </c>
      <c r="AC203" s="56">
        <f>AVERAGE(AV202:DA202)</f>
        <v>777629.1</v>
      </c>
      <c r="AD203" s="60" t="str">
        <f>IF(AC203&lt;60,"1",IF(AC203&lt;=43200,"2",IF(AC203&lt;=777600,"3","4")))</f>
        <v>4</v>
      </c>
      <c r="AE203" s="76">
        <f>AA203-Y203</f>
        <v>2419170</v>
      </c>
      <c r="AF203" s="80">
        <f>AV203</f>
        <v>0.82799999999999996</v>
      </c>
      <c r="AG203" s="56">
        <f>((AW203-AV203)+(AX203-AW203)+(AY203-AX203))/3</f>
        <v>-0.17400000000000002</v>
      </c>
      <c r="AH203" s="4"/>
      <c r="AI203" s="56">
        <f>RSQ(AV203:AY203,AV202:AY202)</f>
        <v>0.85725034417509094</v>
      </c>
      <c r="AJ203" s="109">
        <f>SLOPE(AV203:AY203,AV202:AY202)</f>
        <v>-1.7652086225735336E-7</v>
      </c>
      <c r="AK203" s="56">
        <f>INTERCEPT(AV203:AY203,AV202:AY202)</f>
        <v>0.72101775924840961</v>
      </c>
      <c r="AL203" s="56">
        <f>INDEX(LINEST(LN(AV203:AY203),LN(AV202:AY202),TRUE,TRUE),3,1)</f>
        <v>0.64671078413454564</v>
      </c>
      <c r="AM203" s="56">
        <f>INDEX(LINEST(LN(AV203:AY203),LN(AV202:AY202)),1)</f>
        <v>-6.6866453136152262E-2</v>
      </c>
      <c r="AN203" s="56">
        <f>EXP(INDEX(LINEST(LN(AV203:AY203),LN(AV202:AY202)),1,2))</f>
        <v>1.1236363105767653</v>
      </c>
      <c r="AO203" s="82">
        <f>INDEX(LINEST((AV203:AY203),LN(AV202:AY202),TRUE,TRUE),3,1)</f>
        <v>0.78439809243611403</v>
      </c>
      <c r="AP203" s="82">
        <f>INDEX(LINEST((AV203:AY203),LN(AV202:AY202)),1)</f>
        <v>-3.7658879615104994E-2</v>
      </c>
      <c r="AQ203" s="83">
        <f>INDEX(LINEST(LN(AV203:AY203),SQRT(AV202:AY202),TRUE,TRUE),3,1)</f>
        <v>0.95064431348654532</v>
      </c>
      <c r="AR203" s="116">
        <f>INDEX(LINEST(LN(AV203:AY203),SQRT((AV202:AY202))),1)</f>
        <v>-6.0422208782252569E-4</v>
      </c>
      <c r="AS203" s="84">
        <f>INDEX(LINEST(1/(AV203:AY203),1/(SQRT(AV202:AY202)),TRUE,TRUE),3,1)</f>
        <v>0.3101302590129647</v>
      </c>
      <c r="AT203" s="84">
        <f>INDEX(LINEST(1/(AV203:AY203),1/SQRT(AV202:AY202)),1)</f>
        <v>-5.5726476473195117</v>
      </c>
      <c r="AU203" s="3"/>
      <c r="AV203" s="53">
        <v>0.82799999999999996</v>
      </c>
      <c r="AW203" s="53">
        <v>0.623</v>
      </c>
      <c r="AX203" s="53">
        <v>0.57799999999999996</v>
      </c>
      <c r="AY203" s="53">
        <v>0.30599999999999999</v>
      </c>
      <c r="AZ203" s="53"/>
      <c r="BA203" s="53"/>
      <c r="BB203" s="53"/>
      <c r="BC203" s="53"/>
      <c r="BD203" s="53"/>
      <c r="BE203" s="53"/>
      <c r="BF203" s="53"/>
      <c r="BG203" s="53"/>
      <c r="BH203" s="53"/>
      <c r="BI203" s="53"/>
      <c r="BJ203" s="53"/>
      <c r="BK203" s="53"/>
      <c r="BL203" s="53"/>
      <c r="BM203" s="53"/>
      <c r="BN203" s="53"/>
      <c r="BO203" s="53"/>
      <c r="BP203" s="53"/>
      <c r="BQ203" s="53"/>
      <c r="BR203" s="53"/>
      <c r="BS203" s="53"/>
      <c r="BT203" s="53"/>
      <c r="BU203" s="53"/>
      <c r="BV203" s="53"/>
      <c r="BW203" s="53"/>
      <c r="BX203" s="53"/>
      <c r="BY203" s="53"/>
      <c r="BZ203" s="53"/>
      <c r="CA203" s="53"/>
      <c r="CB203" s="53"/>
      <c r="CC203" s="53"/>
      <c r="CD203" s="53"/>
      <c r="CE203" s="53"/>
      <c r="CF203" s="53"/>
      <c r="CG203" s="53"/>
      <c r="CH203" s="53"/>
      <c r="CI203" s="53"/>
      <c r="CJ203" s="53"/>
      <c r="CK203" s="53"/>
      <c r="CL203" s="53"/>
      <c r="CM203" s="53"/>
      <c r="CN203" s="53"/>
      <c r="CO203" s="53"/>
      <c r="CP203" s="53"/>
      <c r="CQ203" s="53"/>
      <c r="CR203" s="1"/>
      <c r="CS203" s="1"/>
      <c r="CT203" s="1"/>
      <c r="CU203" s="1"/>
    </row>
    <row r="204" spans="1:99" s="13" customFormat="1" ht="12" customHeight="1" x14ac:dyDescent="0.2">
      <c r="A204" s="68">
        <v>43977</v>
      </c>
      <c r="B204" s="70"/>
      <c r="C204" s="70"/>
      <c r="D204" s="69"/>
      <c r="E204" s="105"/>
      <c r="F204" s="69"/>
      <c r="G204" s="69"/>
      <c r="H204" s="69"/>
      <c r="I204" s="104"/>
      <c r="J204" s="69"/>
      <c r="K204" s="69"/>
      <c r="L204" s="69"/>
      <c r="M204" s="69"/>
      <c r="N204" s="69"/>
      <c r="O204" s="69"/>
      <c r="P204" s="69"/>
      <c r="Q204" s="69"/>
      <c r="R204" s="69"/>
      <c r="S204" s="69"/>
      <c r="T204" s="92"/>
      <c r="U204" s="69"/>
      <c r="V204" s="92"/>
      <c r="W204" s="69"/>
      <c r="X204" s="69"/>
      <c r="Y204" s="87"/>
      <c r="Z204" s="69"/>
      <c r="AA204" s="69"/>
      <c r="AB204" s="69"/>
      <c r="AC204" s="72"/>
      <c r="AD204" s="69"/>
      <c r="AE204" s="87"/>
      <c r="AF204" s="88"/>
      <c r="AG204" s="72"/>
      <c r="AH204" s="4"/>
      <c r="AI204" s="72"/>
      <c r="AJ204" s="110"/>
      <c r="AK204" s="72"/>
      <c r="AL204" s="72"/>
      <c r="AM204" s="72"/>
      <c r="AN204" s="72"/>
      <c r="AO204" s="89"/>
      <c r="AP204" s="89"/>
      <c r="AQ204" s="90"/>
      <c r="AR204" s="117"/>
      <c r="AS204" s="91"/>
      <c r="AT204" s="91"/>
      <c r="AU204" s="3"/>
      <c r="AV204" s="71">
        <v>30</v>
      </c>
      <c r="AW204" s="71">
        <f>60*60</f>
        <v>3600</v>
      </c>
      <c r="AX204" s="71">
        <f>24*60*60</f>
        <v>86400</v>
      </c>
      <c r="AY204" s="71">
        <f>24*60*60*29</f>
        <v>2505600</v>
      </c>
      <c r="AZ204" s="53" t="s">
        <v>947</v>
      </c>
      <c r="BA204" s="53"/>
      <c r="BB204" s="53"/>
      <c r="BC204" s="53"/>
      <c r="BD204" s="53"/>
      <c r="BE204" s="53"/>
      <c r="BF204" s="53"/>
      <c r="BG204" s="53"/>
      <c r="BH204" s="53"/>
      <c r="BI204" s="53"/>
      <c r="BJ204" s="53"/>
      <c r="BK204" s="53"/>
      <c r="BL204" s="53"/>
      <c r="BM204" s="53"/>
      <c r="BN204" s="53"/>
      <c r="BO204" s="53"/>
      <c r="BP204" s="53"/>
      <c r="BQ204" s="53"/>
      <c r="BR204" s="53"/>
      <c r="BS204" s="53"/>
      <c r="BT204" s="53"/>
      <c r="BU204" s="53"/>
      <c r="BV204" s="53"/>
      <c r="BW204" s="53"/>
      <c r="BX204" s="53"/>
      <c r="BY204" s="53"/>
      <c r="BZ204" s="53"/>
      <c r="CA204" s="53"/>
      <c r="CB204" s="53"/>
      <c r="CC204" s="53"/>
      <c r="CD204" s="53"/>
      <c r="CE204" s="53"/>
      <c r="CF204" s="53"/>
      <c r="CG204" s="53"/>
      <c r="CH204" s="53"/>
      <c r="CI204" s="53"/>
      <c r="CJ204" s="53"/>
      <c r="CK204" s="53"/>
      <c r="CL204" s="53"/>
      <c r="CM204" s="53"/>
      <c r="CN204" s="53"/>
      <c r="CO204" s="53"/>
      <c r="CP204" s="53"/>
      <c r="CQ204" s="53"/>
      <c r="CR204" s="1"/>
      <c r="CS204" s="1"/>
      <c r="CT204" s="1"/>
      <c r="CU204" s="1"/>
    </row>
    <row r="205" spans="1:99" s="13" customFormat="1" ht="12" customHeight="1" x14ac:dyDescent="0.2">
      <c r="A205" s="68">
        <v>43977</v>
      </c>
      <c r="B205" s="186" t="s">
        <v>944</v>
      </c>
      <c r="C205" s="70" t="s">
        <v>945</v>
      </c>
      <c r="D205" s="69">
        <v>2006</v>
      </c>
      <c r="E205" s="105">
        <v>1</v>
      </c>
      <c r="F205" s="69">
        <v>1</v>
      </c>
      <c r="G205" s="69">
        <v>1</v>
      </c>
      <c r="H205" s="69" t="s">
        <v>22</v>
      </c>
      <c r="I205" s="104" t="s">
        <v>479</v>
      </c>
      <c r="J205" s="69" t="s">
        <v>16</v>
      </c>
      <c r="K205" s="69">
        <f>IF(J205="syllables",1,IF(J205="trigrams",2,IF(J205="strings",3,IF(J205="visual array",4,IF(J205="characters",5,IF(J205="letters",6,IF(J205="free forms",7,IF(J205="odors",8,IF(J205="words",9,IF(J205="pictures",10,IF(J205="object pictures",11,IF(J205="faces",12,IF(J205="names",13,IF(J205="idioms",14,IF(J205="grades",15,IF(J205="syllable-digit pairs",16,IF(J205="trigram-word pairs",17,IF(J205="word-digit pairs",18,IF(J205="English-Swahili pairs",19,IF(J205="spatial position",20,IF(J205="word pairs",21,IF(J205="word triads",22,IF(J205="generated words",23,IF(J205="word definition pairs",24,IF(J205="math problems",25,IF(J205="famous faces",26,IF(J205="famous names",27,IF(J205="famous voices",28,IF(J205="television programs",29,IF(J205="race horses",30,IF(J205="new vocabulary",31,IF(J205="sentences",32,IF(J205="concepts",33,IF(J205="ad slides",34,IF(J205="scenes",35,IF(J205="famous scenes",36,IF(J205="poems",37,IF(J205="walk",38,IF(J205="faces and events",39,IF(J205="events and names",40,IF(J205="flashbulb",41,IF(J205="stories",42,IF(J205="course material",43,IF(J205="autobiographical",44,IF(J205="novels",45,IF(J205="public events",46,"99"))))))))))))))))))))))))))))))))))))))))))))))</f>
        <v>9</v>
      </c>
      <c r="L205" s="69">
        <f>IF(J205="syllables",1,IF(J205="trigrams",1,IF(J205="strings",1,IF(J205="visual array",1,IF(J205="characters",1,IF(J205="letters",1,IF(J205="free forms",1,IF(J205="odors",2,IF(J205="words",2,IF(J205="pictures",2,IF(J205="object pictures",2,IF(J205="faces",2,IF(J205="names",2,IF(J205="idioms","2",IF(J205="grades",2,IF(J205="syllable-digit pairs",3,IF(J205="trigram-word pairs",3,IF(J205="word-digit pairs",3,IF(J205="English-Swahili pairs",3,IF(J205="spatial position",3,IF(J205="word pairs",4,IF(J205="word triads",4,IF(J205="generated words",4,IF(J205="word definition pairs",4,IF(J205="math problems",4,IF(J205="famous faces",4,IF(J205="famous names",4,IF(J205="famous voices",4,IF(J205="television programs",4,IF(J205="race horses",4,IF(J205="new vocabulary",4,IF(J205="sentences",5,IF(J205="concepts",5,IF(J205="ad slides",5,IF(J205="scenes",5,IF(J205="famous scenes",5,IF(J205="poems",6,IF(J205="walk",6,IF(J205="faces and events",6,IF(J205="events and names",6,IF(J205="flashbulb",7,IF(J205="stories",7,IF(J205="course material",7,IF(J205="autobiographical",7,IF(J205="novels",7,IF(J205="public events",7,"99"))))))))))))))))))))))))))))))))))))))))))))))</f>
        <v>2</v>
      </c>
      <c r="M205" s="69">
        <v>1</v>
      </c>
      <c r="N205" s="69">
        <v>2</v>
      </c>
      <c r="O205" s="69">
        <v>0</v>
      </c>
      <c r="P205" s="69"/>
      <c r="Q205" s="69" t="s">
        <v>174</v>
      </c>
      <c r="R205" s="69">
        <f>IF(Q205="Free Recall",1,IF(Q205="Cued Recall",2,IF(Q205="Recognition",3,IF(Q205="Multiple Choice",4,IF(Q205="Savings",5,IF(Q205="Stem Completion",6,IF(Q205="Fragment Completion",7,IF(Q205="anagram solution",8,IF(Q205="Matching",9,IF(Q205="Problem Solving",10,"99"))))))))))</f>
        <v>1</v>
      </c>
      <c r="S205" s="69" t="s">
        <v>49</v>
      </c>
      <c r="T205" s="92" t="s">
        <v>581</v>
      </c>
      <c r="U205" s="69">
        <f>IF(T205="within",1,0)</f>
        <v>1</v>
      </c>
      <c r="V205" s="92">
        <v>60</v>
      </c>
      <c r="W205" s="69">
        <f>F205*V205</f>
        <v>60</v>
      </c>
      <c r="X205" s="69">
        <v>4</v>
      </c>
      <c r="Y205" s="87">
        <f>AV204</f>
        <v>30</v>
      </c>
      <c r="Z205" s="69" t="s">
        <v>946</v>
      </c>
      <c r="AA205" s="69">
        <f>60*60*24*29</f>
        <v>2505600</v>
      </c>
      <c r="AB205" s="69" t="str">
        <f>IF(AA205&lt;60,"1",IF(AA205&lt;=43200,"2",IF(AA205&lt;=777600,"3","4")))</f>
        <v>4</v>
      </c>
      <c r="AC205" s="72">
        <f>AVERAGE(AV204:DA204)</f>
        <v>648907.5</v>
      </c>
      <c r="AD205" s="69" t="str">
        <f>IF(AC205&lt;60,"1",IF(AC205&lt;=43200,"2",IF(AC205&lt;=777600,"3","4")))</f>
        <v>3</v>
      </c>
      <c r="AE205" s="87">
        <f>AA205-Y205</f>
        <v>2505570</v>
      </c>
      <c r="AF205" s="88">
        <f>AV205</f>
        <v>0.93333333333333335</v>
      </c>
      <c r="AG205" s="72">
        <f>((AW205-AV205)+(AX205-AW205)+(AY205-AX205))/3</f>
        <v>-0.15555555555555556</v>
      </c>
      <c r="AH205" s="4"/>
      <c r="AI205" s="72">
        <f>RSQ(AV205:AY205,AV204:AY204)</f>
        <v>0.72650732629125614</v>
      </c>
      <c r="AJ205" s="110">
        <f>SLOPE(AV205:AY205,AV204:AY204)</f>
        <v>-1.3701110270069549E-7</v>
      </c>
      <c r="AK205" s="72">
        <f>INTERCEPT(AV205:AY205,AV204:AY204)</f>
        <v>0.80557419879241821</v>
      </c>
      <c r="AL205" s="72">
        <f>INDEX(LINEST(LN(AV205:AY205),LN(AV204:AY204),TRUE,TRUE),3,1)</f>
        <v>0.92214207588630637</v>
      </c>
      <c r="AM205" s="72">
        <f>INDEX(LINEST(LN(AV205:AY205),LN(AV204:AY204)),1)</f>
        <v>-5.9415478397388574E-2</v>
      </c>
      <c r="AN205" s="72">
        <f>EXP(INDEX(LINEST(LN(AV205:AY205),LN(AV204:AY204)),1,2))</f>
        <v>1.2152099685635247</v>
      </c>
      <c r="AO205" s="89">
        <f>INDEX(LINEST((AV205:AY205),LN(AV204:AY204),TRUE,TRUE),3,1)</f>
        <v>0.96723820537385019</v>
      </c>
      <c r="AP205" s="89">
        <f>INDEX(LINEST((AV205:AY205),LN(AV204:AY204)),1)</f>
        <v>-4.0597584551291047E-2</v>
      </c>
      <c r="AQ205" s="90">
        <f>INDEX(LINEST(LN(AV205:AY205),SQRT(AV204:AY204),TRUE,TRUE),3,1)</f>
        <v>0.90072525703321693</v>
      </c>
      <c r="AR205" s="117">
        <f>INDEX(LINEST(LN(AV205:AY205),SQRT((AV204:AY204))),1)</f>
        <v>-3.8156342135860807E-4</v>
      </c>
      <c r="AS205" s="91">
        <f>INDEX(LINEST(1/(AV205:AY205),1/(SQRT(AV204:AY204)),TRUE,TRUE),3,1)</f>
        <v>0.41886092839850886</v>
      </c>
      <c r="AT205" s="91">
        <f>INDEX(LINEST(1/(AV205:AY205),1/SQRT(AV204:AY204)),1)</f>
        <v>-3.4427462673384426</v>
      </c>
      <c r="AU205" s="3"/>
      <c r="AV205" s="73">
        <f>14/15</f>
        <v>0.93333333333333335</v>
      </c>
      <c r="AW205" s="73">
        <f>12/15</f>
        <v>0.8</v>
      </c>
      <c r="AX205" s="73">
        <f>10/15</f>
        <v>0.66666666666666663</v>
      </c>
      <c r="AY205" s="73">
        <f>7/15</f>
        <v>0.46666666666666667</v>
      </c>
      <c r="AZ205" s="53"/>
      <c r="BA205" s="53"/>
      <c r="BB205" s="53"/>
      <c r="BC205" s="53"/>
      <c r="BD205" s="53"/>
      <c r="BE205" s="53"/>
      <c r="BF205" s="53"/>
      <c r="BG205" s="53"/>
      <c r="BH205" s="53"/>
      <c r="BI205" s="53"/>
      <c r="BJ205" s="53"/>
      <c r="BK205" s="53"/>
      <c r="BL205" s="53"/>
      <c r="BM205" s="53"/>
      <c r="BN205" s="53"/>
      <c r="BO205" s="53"/>
      <c r="BP205" s="53"/>
      <c r="BQ205" s="53"/>
      <c r="BR205" s="53"/>
      <c r="BS205" s="53"/>
      <c r="BT205" s="53"/>
      <c r="BU205" s="53"/>
      <c r="BV205" s="53"/>
      <c r="BW205" s="53"/>
      <c r="BX205" s="53"/>
      <c r="BY205" s="53"/>
      <c r="BZ205" s="53"/>
      <c r="CA205" s="53"/>
      <c r="CB205" s="53"/>
      <c r="CC205" s="53"/>
      <c r="CD205" s="53"/>
      <c r="CE205" s="53"/>
      <c r="CF205" s="53"/>
      <c r="CG205" s="53"/>
      <c r="CH205" s="53"/>
      <c r="CI205" s="53"/>
      <c r="CJ205" s="53"/>
      <c r="CK205" s="53"/>
      <c r="CL205" s="53"/>
      <c r="CM205" s="53"/>
      <c r="CN205" s="53"/>
      <c r="CO205" s="53"/>
      <c r="CP205" s="53"/>
      <c r="CQ205" s="53"/>
      <c r="CR205" s="1"/>
      <c r="CS205" s="1"/>
      <c r="CT205" s="1"/>
      <c r="CU205" s="1"/>
    </row>
    <row r="206" spans="1:99" s="13" customFormat="1" ht="12" customHeight="1" x14ac:dyDescent="0.2">
      <c r="A206" s="68">
        <v>43977</v>
      </c>
      <c r="B206" s="70"/>
      <c r="C206" s="70"/>
      <c r="D206" s="69"/>
      <c r="E206" s="105"/>
      <c r="F206" s="69"/>
      <c r="G206" s="69"/>
      <c r="H206" s="69"/>
      <c r="I206" s="104"/>
      <c r="J206" s="69"/>
      <c r="K206" s="69"/>
      <c r="L206" s="69"/>
      <c r="M206" s="69"/>
      <c r="N206" s="69"/>
      <c r="O206" s="69"/>
      <c r="P206" s="69"/>
      <c r="Q206" s="69"/>
      <c r="R206" s="69"/>
      <c r="S206" s="69"/>
      <c r="T206" s="92"/>
      <c r="U206" s="69"/>
      <c r="V206" s="92"/>
      <c r="W206" s="69"/>
      <c r="X206" s="69"/>
      <c r="Y206" s="87"/>
      <c r="Z206" s="69"/>
      <c r="AA206" s="69"/>
      <c r="AB206" s="69"/>
      <c r="AC206" s="72"/>
      <c r="AD206" s="69"/>
      <c r="AE206" s="87"/>
      <c r="AF206" s="88"/>
      <c r="AG206" s="72"/>
      <c r="AH206" s="4"/>
      <c r="AI206" s="72"/>
      <c r="AJ206" s="110"/>
      <c r="AK206" s="72"/>
      <c r="AL206" s="72"/>
      <c r="AM206" s="72"/>
      <c r="AN206" s="72"/>
      <c r="AO206" s="89"/>
      <c r="AP206" s="89"/>
      <c r="AQ206" s="90"/>
      <c r="AR206" s="117"/>
      <c r="AS206" s="91"/>
      <c r="AT206" s="91"/>
      <c r="AU206" s="3"/>
      <c r="AV206" s="71">
        <v>30</v>
      </c>
      <c r="AW206" s="71">
        <f>60*60</f>
        <v>3600</v>
      </c>
      <c r="AX206" s="71">
        <f>24*60*60</f>
        <v>86400</v>
      </c>
      <c r="AY206" s="71">
        <f>24*60*60*29</f>
        <v>2505600</v>
      </c>
      <c r="AZ206" s="53"/>
      <c r="BA206" s="53"/>
      <c r="BB206" s="53"/>
      <c r="BC206" s="53"/>
      <c r="BD206" s="53"/>
      <c r="BE206" s="53"/>
      <c r="BF206" s="53"/>
      <c r="BG206" s="53"/>
      <c r="BH206" s="53"/>
      <c r="BI206" s="53"/>
      <c r="BJ206" s="53"/>
      <c r="BK206" s="53"/>
      <c r="BL206" s="53"/>
      <c r="BM206" s="53"/>
      <c r="BN206" s="53"/>
      <c r="BO206" s="53"/>
      <c r="BP206" s="53"/>
      <c r="BQ206" s="53"/>
      <c r="BR206" s="53"/>
      <c r="BS206" s="53"/>
      <c r="BT206" s="53"/>
      <c r="BU206" s="53"/>
      <c r="BV206" s="53"/>
      <c r="BW206" s="53"/>
      <c r="BX206" s="53"/>
      <c r="BY206" s="53"/>
      <c r="BZ206" s="53"/>
      <c r="CA206" s="53"/>
      <c r="CB206" s="53"/>
      <c r="CC206" s="53"/>
      <c r="CD206" s="53"/>
      <c r="CE206" s="53"/>
      <c r="CF206" s="53"/>
      <c r="CG206" s="53"/>
      <c r="CH206" s="53"/>
      <c r="CI206" s="53"/>
      <c r="CJ206" s="53"/>
      <c r="CK206" s="53"/>
      <c r="CL206" s="53"/>
      <c r="CM206" s="53"/>
      <c r="CN206" s="53"/>
      <c r="CO206" s="53"/>
      <c r="CP206" s="53"/>
      <c r="CQ206" s="53"/>
      <c r="CR206" s="1"/>
      <c r="CS206" s="1"/>
      <c r="CT206" s="1"/>
      <c r="CU206" s="1"/>
    </row>
    <row r="207" spans="1:99" s="13" customFormat="1" ht="12" customHeight="1" x14ac:dyDescent="0.2">
      <c r="A207" s="68">
        <v>43977</v>
      </c>
      <c r="B207" s="186" t="s">
        <v>944</v>
      </c>
      <c r="C207" s="70" t="s">
        <v>945</v>
      </c>
      <c r="D207" s="69">
        <v>2006</v>
      </c>
      <c r="E207" s="105">
        <v>1</v>
      </c>
      <c r="F207" s="69">
        <v>1</v>
      </c>
      <c r="G207" s="69">
        <v>1</v>
      </c>
      <c r="H207" s="69" t="s">
        <v>22</v>
      </c>
      <c r="I207" s="104" t="s">
        <v>479</v>
      </c>
      <c r="J207" s="69" t="s">
        <v>677</v>
      </c>
      <c r="K207" s="69">
        <f>IF(J207="syllables",1,IF(J207="trigrams",2,IF(J207="strings",3,IF(J207="visual array",4,IF(J207="characters",5,IF(J207="letters",6,IF(J207="free forms",7,IF(J207="odors",8,IF(J207="words",9,IF(J207="pictures",10,IF(J207="object pictures",11,IF(J207="faces",12,IF(J207="names",13,IF(J207="idioms",14,IF(J207="grades",15,IF(J207="syllable-digit pairs",16,IF(J207="trigram-word pairs",17,IF(J207="word-digit pairs",18,IF(J207="English-Swahili pairs",19,IF(J207="spatial position",20,IF(J207="word pairs",21,IF(J207="word triads",22,IF(J207="generated words",23,IF(J207="word definition pairs",24,IF(J207="math problems",25,IF(J207="famous faces",26,IF(J207="famous names",27,IF(J207="famous voices",28,IF(J207="television programs",29,IF(J207="race horses",30,IF(J207="new vocabulary",31,IF(J207="sentences",32,IF(J207="concepts",33,IF(J207="ad slides",34,IF(J207="scenes",35,IF(J207="famous scenes",36,IF(J207="poems",37,IF(J207="walk",38,IF(J207="faces and events",39,IF(J207="events and names",40,IF(J207="flashbulb",41,IF(J207="stories",42,IF(J207="course material",43,IF(J207="autobiographical",44,IF(J207="novels",45,IF(J207="public events",46,"99"))))))))))))))))))))))))))))))))))))))))))))))</f>
        <v>42</v>
      </c>
      <c r="L207" s="69">
        <f>IF(J207="syllables",1,IF(J207="trigrams",1,IF(J207="strings",1,IF(J207="visual array",1,IF(J207="characters",1,IF(J207="letters",1,IF(J207="free forms",1,IF(J207="odors",2,IF(J207="words",2,IF(J207="pictures",2,IF(J207="object pictures",2,IF(J207="faces",2,IF(J207="names",2,IF(J207="idioms","2",IF(J207="grades",2,IF(J207="syllable-digit pairs",3,IF(J207="trigram-word pairs",3,IF(J207="word-digit pairs",3,IF(J207="English-Swahili pairs",3,IF(J207="spatial position",3,IF(J207="word pairs",4,IF(J207="word triads",4,IF(J207="generated words",4,IF(J207="word definition pairs",4,IF(J207="math problems",4,IF(J207="famous faces",4,IF(J207="famous names",4,IF(J207="famous voices",4,IF(J207="television programs",4,IF(J207="race horses",4,IF(J207="new vocabulary",4,IF(J207="sentences",5,IF(J207="concepts",5,IF(J207="ad slides",5,IF(J207="scenes",5,IF(J207="famous scenes",5,IF(J207="poems",6,IF(J207="walk",6,IF(J207="faces and events",6,IF(J207="events and names",6,IF(J207="flashbulb",7,IF(J207="stories",7,IF(J207="course material",7,IF(J207="autobiographical",7,IF(J207="novels",7,IF(J207="public events",7,"99"))))))))))))))))))))))))))))))))))))))))))))))</f>
        <v>7</v>
      </c>
      <c r="M207" s="69">
        <v>0</v>
      </c>
      <c r="N207" s="69">
        <v>3</v>
      </c>
      <c r="O207" s="69">
        <v>0</v>
      </c>
      <c r="P207" s="69"/>
      <c r="Q207" s="69" t="s">
        <v>174</v>
      </c>
      <c r="R207" s="69">
        <f>IF(Q207="Free Recall",1,IF(Q207="Cued Recall",2,IF(Q207="Recognition",3,IF(Q207="Multiple Choice",4,IF(Q207="Savings",5,IF(Q207="Stem Completion",6,IF(Q207="Fragment Completion",7,IF(Q207="anagram solution",8,IF(Q207="Matching",9,IF(Q207="Problem Solving",10,"99"))))))))))</f>
        <v>1</v>
      </c>
      <c r="S207" s="69" t="s">
        <v>49</v>
      </c>
      <c r="T207" s="92" t="s">
        <v>581</v>
      </c>
      <c r="U207" s="69">
        <f>IF(T207="within",1,0)</f>
        <v>1</v>
      </c>
      <c r="V207" s="92">
        <f>4*88</f>
        <v>352</v>
      </c>
      <c r="W207" s="69">
        <f>F207*V207</f>
        <v>352</v>
      </c>
      <c r="X207" s="69">
        <v>4</v>
      </c>
      <c r="Y207" s="87">
        <f>AV206</f>
        <v>30</v>
      </c>
      <c r="Z207" s="69" t="s">
        <v>946</v>
      </c>
      <c r="AA207" s="69">
        <f>60*60*24*29</f>
        <v>2505600</v>
      </c>
      <c r="AB207" s="69" t="str">
        <f>IF(AA207&lt;60,"1",IF(AA207&lt;=43200,"2",IF(AA207&lt;=777600,"3","4")))</f>
        <v>4</v>
      </c>
      <c r="AC207" s="72">
        <f>AVERAGE(AV206:DA206)</f>
        <v>648907.5</v>
      </c>
      <c r="AD207" s="69" t="str">
        <f>IF(AC207&lt;60,"1",IF(AC207&lt;=43200,"2",IF(AC207&lt;=777600,"3","4")))</f>
        <v>3</v>
      </c>
      <c r="AE207" s="87">
        <f>AA207-Y207</f>
        <v>2505570</v>
      </c>
      <c r="AF207" s="88">
        <f>AV207</f>
        <v>0.46590909090909088</v>
      </c>
      <c r="AG207" s="72">
        <f>((AW207-AV207)+(AX207-AW207)+(AY207-AX207))/3</f>
        <v>-5.3030303030303018E-2</v>
      </c>
      <c r="AH207" s="4"/>
      <c r="AI207" s="72">
        <f>RSQ(AV207:AY207,AV206:AY206)</f>
        <v>0.93327136953288692</v>
      </c>
      <c r="AJ207" s="110">
        <f>SLOPE(AV207:AY207,AV206:AY206)</f>
        <v>-5.3859001190521297E-8</v>
      </c>
      <c r="AK207" s="72">
        <f>INTERCEPT(AV207:AY207,AV206:AY206)</f>
        <v>0.44119950981503819</v>
      </c>
      <c r="AL207" s="72">
        <f>INDEX(LINEST(LN(AV207:AY207),LN(AV206:AY206),TRUE,TRUE),3,1)</f>
        <v>0.7600377833057953</v>
      </c>
      <c r="AM207" s="72">
        <f>INDEX(LINEST(LN(AV207:AY207),LN(AV206:AY206)),1)</f>
        <v>-3.3316891270817953E-2</v>
      </c>
      <c r="AN207" s="72">
        <f>EXP(INDEX(LINEST(LN(AV207:AY207),LN(AV206:AY206)),1,2))</f>
        <v>0.5494021514980113</v>
      </c>
      <c r="AO207" s="89">
        <f>INDEX(LINEST((AV207:AY207),LN(AV206:AY206),TRUE,TRUE),3,1)</f>
        <v>0.79613359972921327</v>
      </c>
      <c r="AP207" s="89">
        <f>INDEX(LINEST((AV207:AY207),LN(AV206:AY206)),1)</f>
        <v>-1.2774532378379319E-2</v>
      </c>
      <c r="AQ207" s="90">
        <f>INDEX(LINEST(LN(AV207:AY207),SQRT(AV206:AY206),TRUE,TRUE),3,1)</f>
        <v>0.98076453103185279</v>
      </c>
      <c r="AR207" s="117">
        <f>INDEX(LINEST(LN(AV207:AY207),SQRT((AV206:AY206))),1)</f>
        <v>-2.4592299584868046E-4</v>
      </c>
      <c r="AS207" s="91">
        <f>INDEX(LINEST(1/(AV207:AY207),1/(SQRT(AV206:AY206)),TRUE,TRUE),3,1)</f>
        <v>0.30296306885831153</v>
      </c>
      <c r="AT207" s="91">
        <f>INDEX(LINEST(1/(AV207:AY207),1/SQRT(AV206:AY206)),1)</f>
        <v>-3.1186838733145614</v>
      </c>
      <c r="AU207" s="3"/>
      <c r="AV207" s="73">
        <f>41/88</f>
        <v>0.46590909090909088</v>
      </c>
      <c r="AW207" s="73">
        <f>38/88</f>
        <v>0.43181818181818182</v>
      </c>
      <c r="AX207" s="73">
        <f>37/88</f>
        <v>0.42045454545454547</v>
      </c>
      <c r="AY207" s="73">
        <f>27/88</f>
        <v>0.30681818181818182</v>
      </c>
      <c r="AZ207" s="53"/>
      <c r="BA207" s="53"/>
      <c r="BB207" s="53"/>
      <c r="BC207" s="53"/>
      <c r="BD207" s="53"/>
      <c r="BE207" s="53"/>
      <c r="BF207" s="53"/>
      <c r="BG207" s="53"/>
      <c r="BH207" s="53"/>
      <c r="BI207" s="53"/>
      <c r="BJ207" s="53"/>
      <c r="BK207" s="53"/>
      <c r="BL207" s="53"/>
      <c r="BM207" s="53"/>
      <c r="BN207" s="53"/>
      <c r="BO207" s="53"/>
      <c r="BP207" s="53"/>
      <c r="BQ207" s="53"/>
      <c r="BR207" s="53"/>
      <c r="BS207" s="53"/>
      <c r="BT207" s="53"/>
      <c r="BU207" s="53"/>
      <c r="BV207" s="53"/>
      <c r="BW207" s="53"/>
      <c r="BX207" s="53"/>
      <c r="BY207" s="53"/>
      <c r="BZ207" s="53"/>
      <c r="CA207" s="53"/>
      <c r="CB207" s="53"/>
      <c r="CC207" s="53"/>
      <c r="CD207" s="53"/>
      <c r="CE207" s="53"/>
      <c r="CF207" s="53"/>
      <c r="CG207" s="53"/>
      <c r="CH207" s="53"/>
      <c r="CI207" s="53"/>
      <c r="CJ207" s="53"/>
      <c r="CK207" s="53"/>
      <c r="CL207" s="53"/>
      <c r="CM207" s="53"/>
      <c r="CN207" s="53"/>
      <c r="CO207" s="53"/>
      <c r="CP207" s="53"/>
      <c r="CQ207" s="53"/>
      <c r="CR207" s="1"/>
      <c r="CS207" s="1"/>
      <c r="CT207" s="1"/>
      <c r="CU207" s="1"/>
    </row>
    <row r="208" spans="1:99" s="13" customFormat="1" ht="12" customHeight="1" x14ac:dyDescent="0.2">
      <c r="A208" s="68">
        <v>43977</v>
      </c>
      <c r="B208" s="70"/>
      <c r="C208" s="70"/>
      <c r="D208" s="69"/>
      <c r="E208" s="105"/>
      <c r="F208" s="69"/>
      <c r="G208" s="69"/>
      <c r="H208" s="69"/>
      <c r="I208" s="104"/>
      <c r="J208" s="69"/>
      <c r="K208" s="69"/>
      <c r="L208" s="69"/>
      <c r="M208" s="69"/>
      <c r="N208" s="69"/>
      <c r="O208" s="69"/>
      <c r="P208" s="69"/>
      <c r="Q208" s="69"/>
      <c r="R208" s="69"/>
      <c r="S208" s="69"/>
      <c r="T208" s="92"/>
      <c r="U208" s="69"/>
      <c r="V208" s="92"/>
      <c r="W208" s="69"/>
      <c r="X208" s="69"/>
      <c r="Y208" s="87"/>
      <c r="Z208" s="69"/>
      <c r="AA208" s="69"/>
      <c r="AB208" s="69"/>
      <c r="AC208" s="72"/>
      <c r="AD208" s="69"/>
      <c r="AE208" s="87"/>
      <c r="AF208" s="88"/>
      <c r="AG208" s="72"/>
      <c r="AH208" s="4"/>
      <c r="AI208" s="72"/>
      <c r="AJ208" s="110"/>
      <c r="AK208" s="72"/>
      <c r="AL208" s="72"/>
      <c r="AM208" s="72"/>
      <c r="AN208" s="72"/>
      <c r="AO208" s="89"/>
      <c r="AP208" s="89"/>
      <c r="AQ208" s="90"/>
      <c r="AR208" s="117"/>
      <c r="AS208" s="91"/>
      <c r="AT208" s="91"/>
      <c r="AU208" s="3"/>
      <c r="AV208" s="71">
        <v>30</v>
      </c>
      <c r="AW208" s="71">
        <f>60*60</f>
        <v>3600</v>
      </c>
      <c r="AX208" s="71">
        <f>24*60*60</f>
        <v>86400</v>
      </c>
      <c r="AY208" s="71">
        <f>24*60*60*29</f>
        <v>2505600</v>
      </c>
      <c r="AZ208" s="53"/>
      <c r="BA208" s="53"/>
      <c r="BB208" s="53"/>
      <c r="BC208" s="53"/>
      <c r="BD208" s="53"/>
      <c r="BE208" s="53"/>
      <c r="BF208" s="53"/>
      <c r="BG208" s="53"/>
      <c r="BH208" s="53"/>
      <c r="BI208" s="53"/>
      <c r="BJ208" s="53"/>
      <c r="BK208" s="53"/>
      <c r="BL208" s="53"/>
      <c r="BM208" s="53"/>
      <c r="BN208" s="53"/>
      <c r="BO208" s="53"/>
      <c r="BP208" s="53"/>
      <c r="BQ208" s="53"/>
      <c r="BR208" s="53"/>
      <c r="BS208" s="53"/>
      <c r="BT208" s="53"/>
      <c r="BU208" s="53"/>
      <c r="BV208" s="53"/>
      <c r="BW208" s="53"/>
      <c r="BX208" s="53"/>
      <c r="BY208" s="53"/>
      <c r="BZ208" s="53"/>
      <c r="CA208" s="53"/>
      <c r="CB208" s="53"/>
      <c r="CC208" s="53"/>
      <c r="CD208" s="53"/>
      <c r="CE208" s="53"/>
      <c r="CF208" s="53"/>
      <c r="CG208" s="53"/>
      <c r="CH208" s="53"/>
      <c r="CI208" s="53"/>
      <c r="CJ208" s="53"/>
      <c r="CK208" s="53"/>
      <c r="CL208" s="53"/>
      <c r="CM208" s="53"/>
      <c r="CN208" s="53"/>
      <c r="CO208" s="53"/>
      <c r="CP208" s="53"/>
      <c r="CQ208" s="53"/>
      <c r="CR208" s="1"/>
      <c r="CS208" s="1"/>
      <c r="CT208" s="1"/>
      <c r="CU208" s="1"/>
    </row>
    <row r="209" spans="1:99" s="13" customFormat="1" ht="12" customHeight="1" x14ac:dyDescent="0.2">
      <c r="A209" s="68">
        <v>43977</v>
      </c>
      <c r="B209" s="186" t="s">
        <v>944</v>
      </c>
      <c r="C209" s="70" t="s">
        <v>945</v>
      </c>
      <c r="D209" s="69">
        <v>2006</v>
      </c>
      <c r="E209" s="105">
        <v>1</v>
      </c>
      <c r="F209" s="69">
        <v>1</v>
      </c>
      <c r="G209" s="69">
        <v>1</v>
      </c>
      <c r="H209" s="69" t="s">
        <v>22</v>
      </c>
      <c r="I209" s="104" t="s">
        <v>479</v>
      </c>
      <c r="J209" s="69" t="s">
        <v>320</v>
      </c>
      <c r="K209" s="69">
        <f>IF(J209="syllables",1,IF(J209="trigrams",2,IF(J209="strings",3,IF(J209="visual array",4,IF(J209="characters",5,IF(J209="letters",6,IF(J209="free forms",7,IF(J209="odors",8,IF(J209="words",9,IF(J209="pictures",10,IF(J209="object pictures",11,IF(J209="faces",12,IF(J209="names",13,IF(J209="idioms",14,IF(J209="grades",15,IF(J209="syllable-digit pairs",16,IF(J209="trigram-word pairs",17,IF(J209="word-digit pairs",18,IF(J209="English-Swahili pairs",19,IF(J209="spatial position",20,IF(J209="word pairs",21,IF(J209="word triads",22,IF(J209="generated words",23,IF(J209="word definition pairs",24,IF(J209="math problems",25,IF(J209="famous faces",26,IF(J209="famous names",27,IF(J209="famous voices",28,IF(J209="television programs",29,IF(J209="race horses",30,IF(J209="new vocabulary",31,IF(J209="sentences",32,IF(J209="concepts",33,IF(J209="ad slides",34,IF(J209="scenes",35,IF(J209="famous scenes",36,IF(J209="poems",37,IF(J209="walk",38,IF(J209="faces and events",39,IF(J209="events and names",40,IF(J209="flashbulb",41,IF(J209="stories",42,IF(J209="course material",43,IF(J209="autobiographical",44,IF(J209="novels",45,IF(J209="public events",46,"99"))))))))))))))))))))))))))))))))))))))))))))))</f>
        <v>21</v>
      </c>
      <c r="L209" s="69">
        <f>IF(J209="syllables",1,IF(J209="trigrams",1,IF(J209="strings",1,IF(J209="visual array",1,IF(J209="characters",1,IF(J209="letters",1,IF(J209="free forms",1,IF(J209="odors",2,IF(J209="words",2,IF(J209="pictures",2,IF(J209="object pictures",2,IF(J209="faces",2,IF(J209="names",2,IF(J209="idioms","2",IF(J209="grades",2,IF(J209="syllable-digit pairs",3,IF(J209="trigram-word pairs",3,IF(J209="word-digit pairs",3,IF(J209="English-Swahili pairs",3,IF(J209="spatial position",3,IF(J209="word pairs",4,IF(J209="word triads",4,IF(J209="generated words",4,IF(J209="word definition pairs",4,IF(J209="math problems",4,IF(J209="famous faces",4,IF(J209="famous names",4,IF(J209="famous voices",4,IF(J209="television programs",4,IF(J209="race horses",4,IF(J209="new vocabulary",4,IF(J209="sentences",5,IF(J209="concepts",5,IF(J209="ad slides",5,IF(J209="scenes",5,IF(J209="famous scenes",5,IF(J209="poems",6,IF(J209="walk",6,IF(J209="faces and events",6,IF(J209="events and names",6,IF(J209="flashbulb",7,IF(J209="stories",7,IF(J209="course material",7,IF(J209="autobiographical",7,IF(J209="novels",7,IF(J209="public events",7,"99"))))))))))))))))))))))))))))))))))))))))))))))</f>
        <v>4</v>
      </c>
      <c r="M209" s="69">
        <v>1</v>
      </c>
      <c r="N209" s="69">
        <v>2</v>
      </c>
      <c r="O209" s="69">
        <v>0</v>
      </c>
      <c r="P209" s="69"/>
      <c r="Q209" s="69" t="s">
        <v>174</v>
      </c>
      <c r="R209" s="69">
        <f>IF(Q209="Free Recall",1,IF(Q209="Cued Recall",2,IF(Q209="Recognition",3,IF(Q209="Multiple Choice",4,IF(Q209="Savings",5,IF(Q209="Stem Completion",6,IF(Q209="Fragment Completion",7,IF(Q209="anagram solution",8,IF(Q209="Matching",9,IF(Q209="Problem Solving",10,"99"))))))))))</f>
        <v>1</v>
      </c>
      <c r="S209" s="69" t="s">
        <v>49</v>
      </c>
      <c r="T209" s="92" t="s">
        <v>581</v>
      </c>
      <c r="U209" s="69">
        <f>IF(T209="within",1,0)</f>
        <v>1</v>
      </c>
      <c r="V209" s="92">
        <f>12*4</f>
        <v>48</v>
      </c>
      <c r="W209" s="69">
        <f>F209*V209</f>
        <v>48</v>
      </c>
      <c r="X209" s="69">
        <v>4</v>
      </c>
      <c r="Y209" s="87">
        <f>AV208</f>
        <v>30</v>
      </c>
      <c r="Z209" s="69" t="s">
        <v>946</v>
      </c>
      <c r="AA209" s="69">
        <f>60*60*24*29</f>
        <v>2505600</v>
      </c>
      <c r="AB209" s="69" t="str">
        <f>IF(AA209&lt;60,"1",IF(AA209&lt;=43200,"2",IF(AA209&lt;=777600,"3","4")))</f>
        <v>4</v>
      </c>
      <c r="AC209" s="72">
        <f>AVERAGE(AV208:DA208)</f>
        <v>648907.5</v>
      </c>
      <c r="AD209" s="69" t="str">
        <f>IF(AC209&lt;60,"1",IF(AC209&lt;=43200,"2",IF(AC209&lt;=777600,"3","4")))</f>
        <v>3</v>
      </c>
      <c r="AE209" s="87">
        <f>AA209-Y209</f>
        <v>2505570</v>
      </c>
      <c r="AF209" s="88">
        <f>AV209</f>
        <v>0.83333333333333337</v>
      </c>
      <c r="AG209" s="72">
        <f>((AW209-AV209)+(AX209-AW209)+(AY209-AX209))/3</f>
        <v>-0.1388888888888889</v>
      </c>
      <c r="AH209" s="4"/>
      <c r="AI209" s="72">
        <f>RSQ(AV209:AY209,AV208:AY208)</f>
        <v>0.64883574846140468</v>
      </c>
      <c r="AJ209" s="110">
        <f>SLOPE(AV209:AY209,AV208:AY208)</f>
        <v>-1.4925949497226157E-7</v>
      </c>
      <c r="AK209" s="72">
        <f>INTERCEPT(AV209:AY209,AV208:AY208)</f>
        <v>0.78435560573371288</v>
      </c>
      <c r="AL209" s="72">
        <f>INDEX(LINEST(LN(AV209:AY209),LN(AV208:AY208),TRUE,TRUE),3,1)</f>
        <v>0.74368395690505773</v>
      </c>
      <c r="AM209" s="72">
        <f>INDEX(LINEST(LN(AV209:AY209),LN(AV208:AY208)),1)</f>
        <v>-6.4390400558397884E-2</v>
      </c>
      <c r="AN209" s="72">
        <f>EXP(INDEX(LINEST(LN(AV209:AY209),LN(AV208:AY208)),1,2))</f>
        <v>1.2041570317766304</v>
      </c>
      <c r="AO209" s="89">
        <f>INDEX(LINEST((AV209:AY209),LN(AV208:AY208),TRUE,TRUE),3,1)</f>
        <v>0.71222769740831315</v>
      </c>
      <c r="AP209" s="89">
        <f>INDEX(LINEST((AV209:AY209),LN(AV208:AY208)),1)</f>
        <v>-4.0158892130626421E-2</v>
      </c>
      <c r="AQ209" s="90">
        <f>INDEX(LINEST(LN(AV209:AY209),SQRT(AV208:AY208),TRUE,TRUE),3,1)</f>
        <v>0.83546669782696015</v>
      </c>
      <c r="AR209" s="117">
        <f>INDEX(LINEST(LN(AV209:AY209),SQRT((AV208:AY208))),1)</f>
        <v>-4.434670704666635E-4</v>
      </c>
      <c r="AS209" s="91">
        <f>INDEX(LINEST(1/(AV209:AY209),1/(SQRT(AV208:AY208)),TRUE,TRUE),3,1)</f>
        <v>0.26194925290612581</v>
      </c>
      <c r="AT209" s="91">
        <f>INDEX(LINEST(1/(AV209:AY209),1/SQRT(AV208:AY208)),1)</f>
        <v>-3.4724822930832469</v>
      </c>
      <c r="AU209" s="3"/>
      <c r="AV209" s="73">
        <f>10/12</f>
        <v>0.83333333333333337</v>
      </c>
      <c r="AW209" s="73">
        <f>11/12</f>
        <v>0.91666666666666663</v>
      </c>
      <c r="AX209" s="73">
        <f>7/12</f>
        <v>0.58333333333333337</v>
      </c>
      <c r="AY209" s="73">
        <f>5/12</f>
        <v>0.41666666666666669</v>
      </c>
      <c r="AZ209" s="53"/>
      <c r="BA209" s="53"/>
      <c r="BB209" s="53"/>
      <c r="BC209" s="53"/>
      <c r="BD209" s="53"/>
      <c r="BE209" s="53"/>
      <c r="BF209" s="53"/>
      <c r="BG209" s="53"/>
      <c r="BH209" s="53"/>
      <c r="BI209" s="53"/>
      <c r="BJ209" s="53"/>
      <c r="BK209" s="53"/>
      <c r="BL209" s="53"/>
      <c r="BM209" s="53"/>
      <c r="BN209" s="53"/>
      <c r="BO209" s="53"/>
      <c r="BP209" s="53"/>
      <c r="BQ209" s="53"/>
      <c r="BR209" s="53"/>
      <c r="BS209" s="53"/>
      <c r="BT209" s="53"/>
      <c r="BU209" s="53"/>
      <c r="BV209" s="53"/>
      <c r="BW209" s="53"/>
      <c r="BX209" s="53"/>
      <c r="BY209" s="53"/>
      <c r="BZ209" s="53"/>
      <c r="CA209" s="53"/>
      <c r="CB209" s="53"/>
      <c r="CC209" s="53"/>
      <c r="CD209" s="53"/>
      <c r="CE209" s="53"/>
      <c r="CF209" s="53"/>
      <c r="CG209" s="53"/>
      <c r="CH209" s="53"/>
      <c r="CI209" s="53"/>
      <c r="CJ209" s="53"/>
      <c r="CK209" s="53"/>
      <c r="CL209" s="53"/>
      <c r="CM209" s="53"/>
      <c r="CN209" s="53"/>
      <c r="CO209" s="53"/>
      <c r="CP209" s="53"/>
      <c r="CQ209" s="53"/>
      <c r="CR209" s="1"/>
      <c r="CS209" s="1"/>
      <c r="CT209" s="1"/>
      <c r="CU209" s="1"/>
    </row>
    <row r="210" spans="1:99" s="13" customFormat="1" ht="12" customHeight="1" x14ac:dyDescent="0.2">
      <c r="A210" s="68">
        <v>43977</v>
      </c>
      <c r="B210" s="70"/>
      <c r="C210" s="70"/>
      <c r="D210" s="69"/>
      <c r="E210" s="105"/>
      <c r="F210" s="69"/>
      <c r="G210" s="69"/>
      <c r="H210" s="69"/>
      <c r="I210" s="104"/>
      <c r="J210" s="69"/>
      <c r="K210" s="69"/>
      <c r="L210" s="69"/>
      <c r="M210" s="69"/>
      <c r="N210" s="69"/>
      <c r="O210" s="69"/>
      <c r="P210" s="69"/>
      <c r="Q210" s="69"/>
      <c r="R210" s="69"/>
      <c r="S210" s="69"/>
      <c r="T210" s="92"/>
      <c r="U210" s="69"/>
      <c r="V210" s="92"/>
      <c r="W210" s="69"/>
      <c r="X210" s="69"/>
      <c r="Y210" s="87"/>
      <c r="Z210" s="69"/>
      <c r="AA210" s="69"/>
      <c r="AB210" s="69"/>
      <c r="AC210" s="72"/>
      <c r="AD210" s="69"/>
      <c r="AE210" s="87"/>
      <c r="AF210" s="88"/>
      <c r="AG210" s="72"/>
      <c r="AH210" s="4"/>
      <c r="AI210" s="72"/>
      <c r="AJ210" s="110"/>
      <c r="AK210" s="72"/>
      <c r="AL210" s="72"/>
      <c r="AM210" s="72"/>
      <c r="AN210" s="72"/>
      <c r="AO210" s="89"/>
      <c r="AP210" s="89"/>
      <c r="AQ210" s="90"/>
      <c r="AR210" s="117"/>
      <c r="AS210" s="91"/>
      <c r="AT210" s="91"/>
      <c r="AU210" s="3"/>
      <c r="AV210" s="71">
        <v>30</v>
      </c>
      <c r="AW210" s="71">
        <f>60*60</f>
        <v>3600</v>
      </c>
      <c r="AX210" s="71">
        <f>24*60*60</f>
        <v>86400</v>
      </c>
      <c r="AY210" s="71">
        <f>24*60*60*29</f>
        <v>2505600</v>
      </c>
      <c r="AZ210" s="53"/>
      <c r="BA210" s="53"/>
      <c r="BB210" s="53"/>
      <c r="BC210" s="53"/>
      <c r="BD210" s="53"/>
      <c r="BE210" s="53"/>
      <c r="BF210" s="53"/>
      <c r="BG210" s="53"/>
      <c r="BH210" s="53"/>
      <c r="BI210" s="53"/>
      <c r="BJ210" s="53"/>
      <c r="BK210" s="53"/>
      <c r="BL210" s="53"/>
      <c r="BM210" s="53"/>
      <c r="BN210" s="53"/>
      <c r="BO210" s="53"/>
      <c r="BP210" s="53"/>
      <c r="BQ210" s="53"/>
      <c r="BR210" s="53"/>
      <c r="BS210" s="53"/>
      <c r="BT210" s="53"/>
      <c r="BU210" s="53"/>
      <c r="BV210" s="53"/>
      <c r="BW210" s="53"/>
      <c r="BX210" s="53"/>
      <c r="BY210" s="53"/>
      <c r="BZ210" s="53"/>
      <c r="CA210" s="53"/>
      <c r="CB210" s="53"/>
      <c r="CC210" s="53"/>
      <c r="CD210" s="53"/>
      <c r="CE210" s="53"/>
      <c r="CF210" s="53"/>
      <c r="CG210" s="53"/>
      <c r="CH210" s="53"/>
      <c r="CI210" s="53"/>
      <c r="CJ210" s="53"/>
      <c r="CK210" s="53"/>
      <c r="CL210" s="53"/>
      <c r="CM210" s="53"/>
      <c r="CN210" s="53"/>
      <c r="CO210" s="53"/>
      <c r="CP210" s="53"/>
      <c r="CQ210" s="53"/>
      <c r="CR210" s="1"/>
      <c r="CS210" s="1"/>
      <c r="CT210" s="1"/>
      <c r="CU210" s="1"/>
    </row>
    <row r="211" spans="1:99" s="13" customFormat="1" ht="12" customHeight="1" x14ac:dyDescent="0.2">
      <c r="A211" s="68">
        <v>43977</v>
      </c>
      <c r="B211" s="186" t="s">
        <v>944</v>
      </c>
      <c r="C211" s="70" t="s">
        <v>945</v>
      </c>
      <c r="D211" s="69">
        <v>2006</v>
      </c>
      <c r="E211" s="105">
        <v>1</v>
      </c>
      <c r="F211" s="69">
        <v>1</v>
      </c>
      <c r="G211" s="69">
        <v>1</v>
      </c>
      <c r="H211" s="69" t="s">
        <v>22</v>
      </c>
      <c r="I211" s="104" t="s">
        <v>479</v>
      </c>
      <c r="J211" s="69" t="s">
        <v>313</v>
      </c>
      <c r="K211" s="69">
        <f>IF(J211="syllables",1,IF(J211="trigrams",2,IF(J211="strings",3,IF(J211="visual array",4,IF(J211="characters",5,IF(J211="letters",6,IF(J211="free forms",7,IF(J211="odors",8,IF(J211="words",9,IF(J211="pictures",10,IF(J211="object pictures",11,IF(J211="faces",12,IF(J211="names",13,IF(J211="idioms",14,IF(J211="grades",15,IF(J211="syllable-digit pairs",16,IF(J211="trigram-word pairs",17,IF(J211="word-digit pairs",18,IF(J211="English-Swahili pairs",19,IF(J211="spatial position",20,IF(J211="word pairs",21,IF(J211="word triads",22,IF(J211="generated words",23,IF(J211="word definition pairs",24,IF(J211="math problems",25,IF(J211="famous faces",26,IF(J211="famous names",27,IF(J211="famous voices",28,IF(J211="television programs",29,IF(J211="race horses",30,IF(J211="new vocabulary",31,IF(J211="sentences",32,IF(J211="concepts",33,IF(J211="ad slides",34,IF(J211="scenes",35,IF(J211="famous scenes",36,IF(J211="poems",37,IF(J211="walk",38,IF(J211="faces and events",39,IF(J211="events and names",40,IF(J211="flashbulb",41,IF(J211="stories",42,IF(J211="course material",43,IF(J211="autobiographical",44,IF(J211="novels",45,IF(J211="public events",46,"99"))))))))))))))))))))))))))))))))))))))))))))))</f>
        <v>10</v>
      </c>
      <c r="L211" s="69">
        <f>IF(J211="syllables",1,IF(J211="trigrams",1,IF(J211="strings",1,IF(J211="visual array",1,IF(J211="characters",1,IF(J211="letters",1,IF(J211="free forms",1,IF(J211="odors",2,IF(J211="words",2,IF(J211="pictures",2,IF(J211="object pictures",2,IF(J211="faces",2,IF(J211="names",2,IF(J211="idioms","2",IF(J211="grades",2,IF(J211="syllable-digit pairs",3,IF(J211="trigram-word pairs",3,IF(J211="word-digit pairs",3,IF(J211="English-Swahili pairs",3,IF(J211="spatial position",3,IF(J211="word pairs",4,IF(J211="word triads",4,IF(J211="generated words",4,IF(J211="word definition pairs",4,IF(J211="math problems",4,IF(J211="famous faces",4,IF(J211="famous names",4,IF(J211="famous voices",4,IF(J211="television programs",4,IF(J211="race horses",4,IF(J211="new vocabulary",4,IF(J211="sentences",5,IF(J211="concepts",5,IF(J211="ad slides",5,IF(J211="scenes",5,IF(J211="famous scenes",5,IF(J211="poems",6,IF(J211="walk",6,IF(J211="faces and events",6,IF(J211="events and names",6,IF(J211="flashbulb",7,IF(J211="stories",7,IF(J211="course material",7,IF(J211="autobiographical",7,IF(J211="novels",7,IF(J211="public events",7,"99"))))))))))))))))))))))))))))))))))))))))))))))</f>
        <v>2</v>
      </c>
      <c r="M211" s="69">
        <v>1</v>
      </c>
      <c r="N211" s="69">
        <v>2</v>
      </c>
      <c r="O211" s="69">
        <v>0</v>
      </c>
      <c r="P211" s="69"/>
      <c r="Q211" s="69" t="s">
        <v>174</v>
      </c>
      <c r="R211" s="69">
        <f>IF(Q211="Free Recall",1,IF(Q211="Cued Recall",2,IF(Q211="Recognition",3,IF(Q211="Multiple Choice",4,IF(Q211="Savings",5,IF(Q211="Stem Completion",6,IF(Q211="Fragment Completion",7,IF(Q211="anagram solution",8,IF(Q211="Matching",9,IF(Q211="Problem Solving",10,"99"))))))))))</f>
        <v>1</v>
      </c>
      <c r="S211" s="69" t="s">
        <v>49</v>
      </c>
      <c r="T211" s="92" t="s">
        <v>581</v>
      </c>
      <c r="U211" s="69">
        <f>IF(T211="within",1,0)</f>
        <v>1</v>
      </c>
      <c r="V211" s="92">
        <v>60</v>
      </c>
      <c r="W211" s="69">
        <f>F211*V211</f>
        <v>60</v>
      </c>
      <c r="X211" s="69">
        <v>4</v>
      </c>
      <c r="Y211" s="87">
        <f>AV210</f>
        <v>30</v>
      </c>
      <c r="Z211" s="69" t="s">
        <v>946</v>
      </c>
      <c r="AA211" s="69">
        <f>60*60*24*29</f>
        <v>2505600</v>
      </c>
      <c r="AB211" s="69" t="str">
        <f>IF(AA211&lt;60,"1",IF(AA211&lt;=43200,"2",IF(AA211&lt;=777600,"3","4")))</f>
        <v>4</v>
      </c>
      <c r="AC211" s="72">
        <f>AVERAGE(AV210:DA210)</f>
        <v>648907.5</v>
      </c>
      <c r="AD211" s="69" t="str">
        <f>IF(AC211&lt;60,"1",IF(AC211&lt;=43200,"2",IF(AC211&lt;=777600,"3","4")))</f>
        <v>3</v>
      </c>
      <c r="AE211" s="87">
        <f>AA211-Y211</f>
        <v>2505570</v>
      </c>
      <c r="AF211" s="88">
        <f>AV211</f>
        <v>1</v>
      </c>
      <c r="AG211" s="72">
        <f>((AW211-AV211)+(AX211-AW211)+(AY211-AX211))/3</f>
        <v>-1.1111111111111108E-2</v>
      </c>
      <c r="AH211" s="4"/>
      <c r="AI211" s="72">
        <f>RSQ(AV211:AY211,AV210:AY210)</f>
        <v>0.36401810181206101</v>
      </c>
      <c r="AJ211" s="110">
        <f>SLOPE(AV211:AY211,AV210:AY210)</f>
        <v>-9.3757358701180268E-9</v>
      </c>
      <c r="AK211" s="72">
        <f>INTERCEPT(AV211:AY211,AV210:AY210)</f>
        <v>0.98941731865747196</v>
      </c>
      <c r="AL211" s="72">
        <f>INDEX(LINEST(LN(AV211:AY211),LN(AV210:AY210),TRUE,TRUE),3,1)</f>
        <v>0.75449106483023543</v>
      </c>
      <c r="AM211" s="72">
        <f>INDEX(LINEST(LN(AV211:AY211),LN(AV210:AY210)),1)</f>
        <v>-3.5254086548973502E-3</v>
      </c>
      <c r="AN211" s="72">
        <f>EXP(INDEX(LINEST(LN(AV211:AY211),LN(AV210:AY210)),1,2))</f>
        <v>1.0164010201701679</v>
      </c>
      <c r="AO211" s="89">
        <f>INDEX(LINEST((AV211:AY211),LN(AV210:AY210),TRUE,TRUE),3,1)</f>
        <v>0.75449106483023543</v>
      </c>
      <c r="AP211" s="89">
        <f>INDEX(LINEST((AV211:AY211),LN(AV210:AY210)),1)</f>
        <v>-3.4663198591646733E-3</v>
      </c>
      <c r="AQ211" s="90">
        <f>INDEX(LINEST(LN(AV211:AY211),SQRT(AV210:AY210),TRUE,TRUE),3,1)</f>
        <v>0.49638645568808132</v>
      </c>
      <c r="AR211" s="117">
        <f>INDEX(LINEST(LN(AV211:AY211),SQRT((AV210:AY210))),1)</f>
        <v>-1.8580708167388359E-5</v>
      </c>
      <c r="AS211" s="91">
        <f>INDEX(LINEST(1/(AV211:AY211),1/(SQRT(AV210:AY210)),TRUE,TRUE),3,1)</f>
        <v>0.40898435719290099</v>
      </c>
      <c r="AT211" s="91">
        <f>INDEX(LINEST(1/(AV211:AY211),1/SQRT(AV210:AY210)),1)</f>
        <v>-0.14449180958543617</v>
      </c>
      <c r="AU211" s="3"/>
      <c r="AV211" s="73">
        <f>15/15</f>
        <v>1</v>
      </c>
      <c r="AW211" s="73">
        <f>15/15</f>
        <v>1</v>
      </c>
      <c r="AX211" s="73">
        <f>14.5/15</f>
        <v>0.96666666666666667</v>
      </c>
      <c r="AY211" s="73">
        <f>14.5/15</f>
        <v>0.96666666666666667</v>
      </c>
      <c r="AZ211" s="53"/>
      <c r="BA211" s="53"/>
      <c r="BB211" s="53"/>
      <c r="BC211" s="53"/>
      <c r="BD211" s="53"/>
      <c r="BE211" s="53"/>
      <c r="BF211" s="53"/>
      <c r="BG211" s="53"/>
      <c r="BH211" s="53"/>
      <c r="BI211" s="53"/>
      <c r="BJ211" s="53"/>
      <c r="BK211" s="53"/>
      <c r="BL211" s="53"/>
      <c r="BM211" s="53"/>
      <c r="BN211" s="53"/>
      <c r="BO211" s="53"/>
      <c r="BP211" s="53"/>
      <c r="BQ211" s="53"/>
      <c r="BR211" s="53"/>
      <c r="BS211" s="53"/>
      <c r="BT211" s="53"/>
      <c r="BU211" s="53"/>
      <c r="BV211" s="53"/>
      <c r="BW211" s="53"/>
      <c r="BX211" s="53"/>
      <c r="BY211" s="53"/>
      <c r="BZ211" s="53"/>
      <c r="CA211" s="53"/>
      <c r="CB211" s="53"/>
      <c r="CC211" s="53"/>
      <c r="CD211" s="53"/>
      <c r="CE211" s="53"/>
      <c r="CF211" s="53"/>
      <c r="CG211" s="53"/>
      <c r="CH211" s="53"/>
      <c r="CI211" s="53"/>
      <c r="CJ211" s="53"/>
      <c r="CK211" s="53"/>
      <c r="CL211" s="53"/>
      <c r="CM211" s="53"/>
      <c r="CN211" s="53"/>
      <c r="CO211" s="53"/>
      <c r="CP211" s="53"/>
      <c r="CQ211" s="53"/>
      <c r="CR211" s="1"/>
      <c r="CS211" s="1"/>
      <c r="CT211" s="1"/>
      <c r="CU211" s="1"/>
    </row>
    <row r="212" spans="1:99" s="13" customFormat="1" ht="12" customHeight="1" x14ac:dyDescent="0.2">
      <c r="A212" s="68">
        <v>43977</v>
      </c>
      <c r="B212" s="70"/>
      <c r="C212" s="70"/>
      <c r="D212" s="69"/>
      <c r="E212" s="105"/>
      <c r="F212" s="69"/>
      <c r="G212" s="69"/>
      <c r="H212" s="69"/>
      <c r="I212" s="104"/>
      <c r="J212" s="69"/>
      <c r="K212" s="69"/>
      <c r="L212" s="69"/>
      <c r="M212" s="69"/>
      <c r="N212" s="69"/>
      <c r="O212" s="69"/>
      <c r="P212" s="69"/>
      <c r="Q212" s="69"/>
      <c r="R212" s="69"/>
      <c r="S212" s="69"/>
      <c r="T212" s="92"/>
      <c r="U212" s="69"/>
      <c r="V212" s="92"/>
      <c r="W212" s="69"/>
      <c r="X212" s="69"/>
      <c r="Y212" s="87"/>
      <c r="Z212" s="69"/>
      <c r="AA212" s="69"/>
      <c r="AB212" s="69"/>
      <c r="AC212" s="72"/>
      <c r="AD212" s="69"/>
      <c r="AE212" s="87"/>
      <c r="AF212" s="88"/>
      <c r="AG212" s="72"/>
      <c r="AH212" s="4"/>
      <c r="AI212" s="72"/>
      <c r="AJ212" s="110"/>
      <c r="AK212" s="72"/>
      <c r="AL212" s="72"/>
      <c r="AM212" s="72"/>
      <c r="AN212" s="72"/>
      <c r="AO212" s="89"/>
      <c r="AP212" s="89"/>
      <c r="AQ212" s="90"/>
      <c r="AR212" s="117"/>
      <c r="AS212" s="91"/>
      <c r="AT212" s="91"/>
      <c r="AU212" s="3"/>
      <c r="AV212" s="71">
        <v>30</v>
      </c>
      <c r="AW212" s="71">
        <f>60*60</f>
        <v>3600</v>
      </c>
      <c r="AX212" s="71">
        <f>24*60*60</f>
        <v>86400</v>
      </c>
      <c r="AY212" s="71">
        <f>24*60*60*29</f>
        <v>2505600</v>
      </c>
      <c r="AZ212" s="53"/>
      <c r="BA212" s="53"/>
      <c r="BB212" s="53"/>
      <c r="BC212" s="53"/>
      <c r="BD212" s="53"/>
      <c r="BE212" s="53"/>
      <c r="BF212" s="53"/>
      <c r="BG212" s="53"/>
      <c r="BH212" s="53"/>
      <c r="BI212" s="53"/>
      <c r="BJ212" s="53"/>
      <c r="BK212" s="53"/>
      <c r="BL212" s="53"/>
      <c r="BM212" s="53"/>
      <c r="BN212" s="53"/>
      <c r="BO212" s="53"/>
      <c r="BP212" s="53"/>
      <c r="BQ212" s="53"/>
      <c r="BR212" s="53"/>
      <c r="BS212" s="53"/>
      <c r="BT212" s="53"/>
      <c r="BU212" s="53"/>
      <c r="BV212" s="53"/>
      <c r="BW212" s="53"/>
      <c r="BX212" s="53"/>
      <c r="BY212" s="53"/>
      <c r="BZ212" s="53"/>
      <c r="CA212" s="53"/>
      <c r="CB212" s="53"/>
      <c r="CC212" s="53"/>
      <c r="CD212" s="53"/>
      <c r="CE212" s="53"/>
      <c r="CF212" s="53"/>
      <c r="CG212" s="53"/>
      <c r="CH212" s="53"/>
      <c r="CI212" s="53"/>
      <c r="CJ212" s="53"/>
      <c r="CK212" s="53"/>
      <c r="CL212" s="53"/>
      <c r="CM212" s="53"/>
      <c r="CN212" s="53"/>
      <c r="CO212" s="53"/>
      <c r="CP212" s="53"/>
      <c r="CQ212" s="53"/>
      <c r="CR212" s="1"/>
      <c r="CS212" s="1"/>
      <c r="CT212" s="1"/>
      <c r="CU212" s="1"/>
    </row>
    <row r="213" spans="1:99" s="13" customFormat="1" ht="12" customHeight="1" x14ac:dyDescent="0.2">
      <c r="A213" s="68">
        <v>43977</v>
      </c>
      <c r="B213" s="186" t="s">
        <v>944</v>
      </c>
      <c r="C213" s="70" t="s">
        <v>945</v>
      </c>
      <c r="D213" s="69">
        <v>2006</v>
      </c>
      <c r="E213" s="105">
        <v>1</v>
      </c>
      <c r="F213" s="69">
        <v>1</v>
      </c>
      <c r="G213" s="69">
        <v>1</v>
      </c>
      <c r="H213" s="69" t="s">
        <v>22</v>
      </c>
      <c r="I213" s="104" t="s">
        <v>479</v>
      </c>
      <c r="J213" s="69" t="s">
        <v>686</v>
      </c>
      <c r="K213" s="69">
        <f>IF(J213="syllables",1,IF(J213="trigrams",2,IF(J213="strings",3,IF(J213="visual array",4,IF(J213="characters",5,IF(J213="letters",6,IF(J213="free forms",7,IF(J213="odors",8,IF(J213="words",9,IF(J213="pictures",10,IF(J213="object pictures",11,IF(J213="faces",12,IF(J213="names",13,IF(J213="idioms",14,IF(J213="grades",15,IF(J213="syllable-digit pairs",16,IF(J213="trigram-word pairs",17,IF(J213="word-digit pairs",18,IF(J213="English-Swahili pairs",19,IF(J213="spatial position",20,IF(J213="word pairs",21,IF(J213="word triads",22,IF(J213="generated words",23,IF(J213="word definition pairs",24,IF(J213="math problems",25,IF(J213="famous faces",26,IF(J213="famous names",27,IF(J213="famous voices",28,IF(J213="television programs",29,IF(J213="race horses",30,IF(J213="new vocabulary",31,IF(J213="sentences",32,IF(J213="concepts",33,IF(J213="ad slides",34,IF(J213="scenes",35,IF(J213="famous scenes",36,IF(J213="poems",37,IF(J213="walk",38,IF(J213="faces and events",39,IF(J213="events and names",40,IF(J213="flashbulb",41,IF(J213="stories",42,IF(J213="course material",43,IF(J213="autobiographical",44,IF(J213="novels",45,IF(J213="public events",46,"99"))))))))))))))))))))))))))))))))))))))))))))))</f>
        <v>35</v>
      </c>
      <c r="L213" s="69">
        <f>IF(J213="syllables",1,IF(J213="trigrams",1,IF(J213="strings",1,IF(J213="visual array",1,IF(J213="characters",1,IF(J213="letters",1,IF(J213="free forms",1,IF(J213="odors",2,IF(J213="words",2,IF(J213="pictures",2,IF(J213="object pictures",2,IF(J213="faces",2,IF(J213="names",2,IF(J213="idioms","2",IF(J213="grades",2,IF(J213="syllable-digit pairs",3,IF(J213="trigram-word pairs",3,IF(J213="word-digit pairs",3,IF(J213="English-Swahili pairs",3,IF(J213="spatial position",3,IF(J213="word pairs",4,IF(J213="word triads",4,IF(J213="generated words",4,IF(J213="word definition pairs",4,IF(J213="math problems",4,IF(J213="famous faces",4,IF(J213="famous names",4,IF(J213="famous voices",4,IF(J213="television programs",4,IF(J213="race horses",4,IF(J213="new vocabulary",4,IF(J213="sentences",5,IF(J213="concepts",5,IF(J213="ad slides",5,IF(J213="scenes",5,IF(J213="famous scenes",5,IF(J213="poems",6,IF(J213="walk",6,IF(J213="faces and events",6,IF(J213="events and names",6,IF(J213="flashbulb",7,IF(J213="stories",7,IF(J213="course material",7,IF(J213="autobiographical",7,IF(J213="novels",7,IF(J213="public events",7,"99"))))))))))))))))))))))))))))))))))))))))))))))</f>
        <v>5</v>
      </c>
      <c r="M213" s="69">
        <v>0</v>
      </c>
      <c r="N213" s="69">
        <v>4</v>
      </c>
      <c r="O213" s="69">
        <v>0</v>
      </c>
      <c r="P213" s="69"/>
      <c r="Q213" s="69" t="s">
        <v>174</v>
      </c>
      <c r="R213" s="69">
        <f>IF(Q213="Free Recall",1,IF(Q213="Cued Recall",2,IF(Q213="Recognition",3,IF(Q213="Multiple Choice",4,IF(Q213="Savings",5,IF(Q213="Stem Completion",6,IF(Q213="Fragment Completion",7,IF(Q213="anagram solution",8,IF(Q213="Matching",9,IF(Q213="Problem Solving",10,"99"))))))))))</f>
        <v>1</v>
      </c>
      <c r="S213" s="69" t="s">
        <v>49</v>
      </c>
      <c r="T213" s="92" t="s">
        <v>581</v>
      </c>
      <c r="U213" s="69">
        <f>IF(T213="within",1,0)</f>
        <v>1</v>
      </c>
      <c r="V213" s="92">
        <f>36*4</f>
        <v>144</v>
      </c>
      <c r="W213" s="69">
        <f>F213*V213</f>
        <v>144</v>
      </c>
      <c r="X213" s="69">
        <v>4</v>
      </c>
      <c r="Y213" s="87">
        <f>AV212</f>
        <v>30</v>
      </c>
      <c r="Z213" s="69" t="s">
        <v>946</v>
      </c>
      <c r="AA213" s="69">
        <f>60*60*24*29</f>
        <v>2505600</v>
      </c>
      <c r="AB213" s="69" t="str">
        <f>IF(AA213&lt;60,"1",IF(AA213&lt;=43200,"2",IF(AA213&lt;=777600,"3","4")))</f>
        <v>4</v>
      </c>
      <c r="AC213" s="72">
        <f>AVERAGE(AV212:DA212)</f>
        <v>648907.5</v>
      </c>
      <c r="AD213" s="69" t="str">
        <f>IF(AC213&lt;60,"1",IF(AC213&lt;=43200,"2",IF(AC213&lt;=777600,"3","4")))</f>
        <v>3</v>
      </c>
      <c r="AE213" s="87">
        <f>AA213-Y213</f>
        <v>2505570</v>
      </c>
      <c r="AF213" s="88">
        <f>AV213</f>
        <v>1</v>
      </c>
      <c r="AG213" s="72">
        <f>((AW213-AV213)+(AX213-AW213)+(AY213-AX213))/3</f>
        <v>-6.4814814814814811E-2</v>
      </c>
      <c r="AH213" s="4"/>
      <c r="AI213" s="72">
        <f>RSQ(AV213:AY213,AV212:AY212)</f>
        <v>0.82522467796516141</v>
      </c>
      <c r="AJ213" s="110">
        <f>SLOPE(AV213:AY213,AV212:AY212)</f>
        <v>-5.9983997515337444E-8</v>
      </c>
      <c r="AK213" s="72">
        <f>INTERCEPT(AV213:AY213,AV212:AY212)</f>
        <v>0.95559073253435034</v>
      </c>
      <c r="AL213" s="72">
        <f>INDEX(LINEST(LN(AV213:AY213),LN(AV212:AY212),TRUE,TRUE),3,1)</f>
        <v>0.75746038413427619</v>
      </c>
      <c r="AM213" s="72">
        <f>INDEX(LINEST(LN(AV213:AY213),LN(AV212:AY212)),1)</f>
        <v>-1.6513926157402267E-2</v>
      </c>
      <c r="AN213" s="72">
        <f>EXP(INDEX(LINEST(LN(AV213:AY213),LN(AV212:AY212)),1,2))</f>
        <v>1.0677002146409713</v>
      </c>
      <c r="AO213" s="89">
        <f>INDEX(LINEST((AV213:AY213),LN(AV212:AY212),TRUE,TRUE),3,1)</f>
        <v>0.76966434259419469</v>
      </c>
      <c r="AP213" s="89">
        <f>INDEX(LINEST((AV213:AY213),LN(AV212:AY212)),1)</f>
        <v>-1.4876394825228215E-2</v>
      </c>
      <c r="AQ213" s="90">
        <f>INDEX(LINEST(LN(AV213:AY213),SQRT(AV212:AY212),TRUE,TRUE),3,1)</f>
        <v>0.86312654260682742</v>
      </c>
      <c r="AR213" s="117">
        <f>INDEX(LINEST(LN(AV213:AY213),SQRT((AV212:AY212))),1)</f>
        <v>-1.145453589139479E-4</v>
      </c>
      <c r="AS213" s="91">
        <f>INDEX(LINEST(1/(AV213:AY213),1/(SQRT(AV212:AY212)),TRUE,TRUE),3,1)</f>
        <v>0.43854270485234204</v>
      </c>
      <c r="AT213" s="91">
        <f>INDEX(LINEST(1/(AV213:AY213),1/SQRT(AV212:AY212)),1)</f>
        <v>-0.77311089558407664</v>
      </c>
      <c r="AU213" s="3"/>
      <c r="AV213" s="73">
        <v>1</v>
      </c>
      <c r="AW213" s="73">
        <f>33/36</f>
        <v>0.91666666666666663</v>
      </c>
      <c r="AX213" s="73">
        <f>34/36</f>
        <v>0.94444444444444442</v>
      </c>
      <c r="AY213" s="73">
        <f>29/36</f>
        <v>0.80555555555555558</v>
      </c>
      <c r="AZ213" s="53"/>
      <c r="BA213" s="53"/>
      <c r="BB213" s="53"/>
      <c r="BC213" s="53"/>
      <c r="BD213" s="53"/>
      <c r="BE213" s="53"/>
      <c r="BF213" s="53"/>
      <c r="BG213" s="53"/>
      <c r="BH213" s="53"/>
      <c r="BI213" s="53"/>
      <c r="BJ213" s="53"/>
      <c r="BK213" s="53"/>
      <c r="BL213" s="53"/>
      <c r="BM213" s="53"/>
      <c r="BN213" s="53"/>
      <c r="BO213" s="53"/>
      <c r="BP213" s="53"/>
      <c r="BQ213" s="53"/>
      <c r="BR213" s="53"/>
      <c r="BS213" s="53"/>
      <c r="BT213" s="53"/>
      <c r="BU213" s="53"/>
      <c r="BV213" s="53"/>
      <c r="BW213" s="53"/>
      <c r="BX213" s="53"/>
      <c r="BY213" s="53"/>
      <c r="BZ213" s="53"/>
      <c r="CA213" s="53"/>
      <c r="CB213" s="53"/>
      <c r="CC213" s="53"/>
      <c r="CD213" s="53"/>
      <c r="CE213" s="53"/>
      <c r="CF213" s="53"/>
      <c r="CG213" s="53"/>
      <c r="CH213" s="53"/>
      <c r="CI213" s="53"/>
      <c r="CJ213" s="53"/>
      <c r="CK213" s="53"/>
      <c r="CL213" s="53"/>
      <c r="CM213" s="53"/>
      <c r="CN213" s="53"/>
      <c r="CO213" s="53"/>
      <c r="CP213" s="53"/>
      <c r="CQ213" s="53"/>
      <c r="CR213" s="1"/>
      <c r="CS213" s="1"/>
      <c r="CT213" s="1"/>
      <c r="CU213" s="1"/>
    </row>
    <row r="214" spans="1:99" ht="12" customHeight="1" x14ac:dyDescent="0.2">
      <c r="A214" s="65">
        <v>43903</v>
      </c>
      <c r="B214" s="15"/>
      <c r="C214" s="15"/>
      <c r="D214" s="59"/>
      <c r="E214" s="75"/>
      <c r="F214" s="59"/>
      <c r="G214" s="59"/>
      <c r="H214" s="59"/>
      <c r="I214" s="59"/>
      <c r="M214" s="59"/>
      <c r="N214" s="60"/>
      <c r="O214" s="59"/>
      <c r="P214" s="59"/>
      <c r="Q214" s="59"/>
      <c r="R214" s="60"/>
      <c r="S214" s="59"/>
      <c r="T214" s="59"/>
      <c r="U214" s="60"/>
      <c r="V214" s="59"/>
      <c r="W214" s="60"/>
      <c r="X214" s="60"/>
      <c r="Y214" s="76"/>
      <c r="Z214" s="59"/>
      <c r="AA214" s="59"/>
      <c r="AB214" s="60"/>
      <c r="AC214" s="56"/>
      <c r="AD214" s="60"/>
      <c r="AE214" s="60"/>
      <c r="AF214" s="80"/>
      <c r="AG214" s="56"/>
      <c r="AH214" s="4"/>
      <c r="AI214" s="56"/>
      <c r="AJ214" s="109"/>
      <c r="AK214" s="56"/>
      <c r="AL214" s="56"/>
      <c r="AM214" s="56"/>
      <c r="AN214" s="56"/>
      <c r="AO214" s="82"/>
      <c r="AP214" s="82"/>
      <c r="AQ214" s="83"/>
      <c r="AR214" s="116"/>
      <c r="AS214" s="84"/>
      <c r="AT214" s="84"/>
      <c r="AU214" s="3"/>
      <c r="AV214" s="47">
        <v>15768000</v>
      </c>
      <c r="AW214" s="47">
        <f t="shared" ref="AW214:BC214" si="0">AV214+15768000</f>
        <v>31536000</v>
      </c>
      <c r="AX214" s="47">
        <f t="shared" si="0"/>
        <v>47304000</v>
      </c>
      <c r="AY214" s="47">
        <f t="shared" si="0"/>
        <v>63072000</v>
      </c>
      <c r="AZ214" s="47">
        <f t="shared" si="0"/>
        <v>78840000</v>
      </c>
      <c r="BA214" s="47">
        <f t="shared" si="0"/>
        <v>94608000</v>
      </c>
      <c r="BB214" s="47">
        <f t="shared" si="0"/>
        <v>110376000</v>
      </c>
      <c r="BC214" s="47">
        <f t="shared" si="0"/>
        <v>126144000</v>
      </c>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1"/>
      <c r="CN214" s="11"/>
      <c r="CO214" s="11"/>
      <c r="CP214" s="11"/>
      <c r="CQ214" s="11"/>
      <c r="CR214" s="15"/>
      <c r="CS214" s="15"/>
      <c r="CT214" s="15"/>
      <c r="CU214" s="15"/>
    </row>
    <row r="215" spans="1:99" ht="12" customHeight="1" x14ac:dyDescent="0.2">
      <c r="A215" s="65">
        <v>43903</v>
      </c>
      <c r="B215" s="15" t="s">
        <v>481</v>
      </c>
      <c r="C215" s="15" t="s">
        <v>262</v>
      </c>
      <c r="D215" s="59">
        <v>2020</v>
      </c>
      <c r="E215" s="75">
        <v>1</v>
      </c>
      <c r="F215" s="59">
        <v>230</v>
      </c>
      <c r="G215" s="59">
        <v>28.8</v>
      </c>
      <c r="H215" s="59" t="s">
        <v>747</v>
      </c>
      <c r="I215" s="59" t="s">
        <v>920</v>
      </c>
      <c r="J215" s="64" t="s">
        <v>483</v>
      </c>
      <c r="K215" s="60">
        <f t="shared" ref="K215" si="1">IF(J215="syllables",1,IF(J215="trigrams",2,IF(J215="strings",3,IF(J215="visual array",4,IF(J215="characters",5,IF(J215="letters",6,IF(J215="free forms",7,IF(J215="odors",8,IF(J215="words",9,IF(J215="pictures",10,IF(J215="object pictures",11,IF(J215="faces",12,IF(J215="names",13,IF(J215="idioms",14,IF(J215="grades",15,IF(J215="syllable-digit pairs",16,IF(J215="trigram-word pairs",17,IF(J215="word-digit pairs",18,IF(J215="English-Swahili pairs",19,IF(J215="spatial position",20,IF(J215="word pairs",21,IF(J215="word triads",22,IF(J215="generated words",23,IF(J215="word definition pairs",24,IF(J215="math problems",25,IF(J215="famous faces",26,IF(J215="famous names",27,IF(J215="famous voices",28,IF(J215="television programs",29,IF(J215="race horses",30,IF(J215="new vocabulary",31,IF(J215="sentences",32,IF(J215="concepts",33,IF(J215="ad slides",34,IF(J215="scenes",35,IF(J215="famous scenes",36,IF(J215="poems",37,IF(J215="walk",38,IF(J215="faces and events",39,IF(J215="events and names",40,IF(J215="flashbulb",41,IF(J215="stories",42,IF(J215="course material",43,IF(J215="autobiographical",44,IF(J215="novels",45,IF(J215="public events",46,"99"))))))))))))))))))))))))))))))))))))))))))))))</f>
        <v>45</v>
      </c>
      <c r="L215" s="60">
        <f t="shared" ref="L215" si="2">IF(J215="syllables",1,IF(J215="trigrams",1,IF(J215="strings",1,IF(J215="visual array",1,IF(J215="characters",1,IF(J215="letters",1,IF(J215="free forms",1,IF(J215="odors",2,IF(J215="words",2,IF(J215="pictures",2,IF(J215="object pictures",2,IF(J215="faces",2,IF(J215="names",2,IF(J215="idioms","2",IF(J215="grades",2,IF(J215="syllable-digit pairs",3,IF(J215="trigram-word pairs",3,IF(J215="word-digit pairs",3,IF(J215="English-Swahili pairs",3,IF(J215="spatial position",3,IF(J215="word pairs",4,IF(J215="word triads",4,IF(J215="generated words",4,IF(J215="word definition pairs",4,IF(J215="math problems",4,IF(J215="famous faces",4,IF(J215="famous names",4,IF(J215="famous voices",4,IF(J215="television programs",4,IF(J215="race horses",4,IF(J215="new vocabulary",4,IF(J215="sentences",5,IF(J215="concepts",5,IF(J215="ad slides",5,IF(J215="scenes",5,IF(J215="famous scenes",5,IF(J215="poems",6,IF(J215="walk",6,IF(J215="faces and events",6,IF(J215="events and names",6,IF(J215="flashbulb",7,IF(J215="stories",7,IF(J215="course material",7,IF(J215="autobiographical",7,IF(J215="novels",7,IF(J215="public events",7,"99"))))))))))))))))))))))))))))))))))))))))))))))</f>
        <v>7</v>
      </c>
      <c r="M215" s="59">
        <v>0</v>
      </c>
      <c r="N215" s="60">
        <v>3</v>
      </c>
      <c r="O215" s="59">
        <v>0</v>
      </c>
      <c r="P215" s="59"/>
      <c r="Q215" s="59" t="s">
        <v>182</v>
      </c>
      <c r="R215" s="60">
        <f t="shared" ref="R215" si="3">IF(Q215="Free Recall",1,IF(Q215="Cued Recall",2,IF(Q215="Recognition",3,IF(Q215="Multiple Choice",4,IF(Q215="Savings",5,IF(Q215="Stem Completion",6,IF(Q215="Fragment Completion",7,IF(Q215="anagram solution",8,IF(Q215="Matching",9,IF(Q215="Problem Solving",10,"99"))))))))))</f>
        <v>4</v>
      </c>
      <c r="S215" s="59" t="s">
        <v>482</v>
      </c>
      <c r="T215" s="59" t="s">
        <v>261</v>
      </c>
      <c r="U215" s="60">
        <f t="shared" ref="U215" si="4">IF(T215="within",1,0)</f>
        <v>0</v>
      </c>
      <c r="V215" s="59">
        <v>12</v>
      </c>
      <c r="W215" s="60">
        <f>F215*V215</f>
        <v>2760</v>
      </c>
      <c r="X215" s="60">
        <v>8</v>
      </c>
      <c r="Y215" s="76">
        <f>AV214</f>
        <v>15768000</v>
      </c>
      <c r="Z215" s="59" t="s">
        <v>484</v>
      </c>
      <c r="AA215" s="60">
        <f>7.5*365*24*60*60</f>
        <v>236520000</v>
      </c>
      <c r="AB215" s="60" t="str">
        <f>IF(AA215&lt;60,"1",IF(AA215&lt;=43200,"2",IF(AA215&lt;=777600,"3","4")))</f>
        <v>4</v>
      </c>
      <c r="AC215" s="56">
        <f>AVERAGE(AV214:DA214)</f>
        <v>70956000</v>
      </c>
      <c r="AD215" s="60" t="str">
        <f>IF(AC215&lt;60,"1",IF(AC215&lt;=43200,"2",IF(AC215&lt;=777600,"3","4")))</f>
        <v>4</v>
      </c>
      <c r="AE215" s="76">
        <f>AA215-Y215</f>
        <v>220752000</v>
      </c>
      <c r="AF215" s="80">
        <f>AV215</f>
        <v>0.5625</v>
      </c>
      <c r="AG215" s="56">
        <f>((AW215-AV215)+(AX215-AW215)+(AY215-AX215)+(AZ215-AY215)+(BA215-AZ215)+(BB215-BA215)+(BC215-BB215))/7</f>
        <v>-1.7351576999999983E-2</v>
      </c>
      <c r="AH215" s="4"/>
      <c r="AI215" s="56">
        <f>RSQ(AV215:BC215,AV214:BC214)</f>
        <v>0.90810275394255158</v>
      </c>
      <c r="AJ215" s="109">
        <f>SLOPE(AV215:BC215,AV214:BC214)</f>
        <v>-1.2746455374900246E-9</v>
      </c>
      <c r="AK215" s="56">
        <f>INTERCEPT(AV215:BC215,AV214:BC214)</f>
        <v>0.60209581761658237</v>
      </c>
      <c r="AL215" s="56">
        <f>INDEX(LINEST(LN(AV215:BC215),LN(AV214:BC214),TRUE,TRUE),3,1)</f>
        <v>0.76254830222151393</v>
      </c>
      <c r="AM215" s="56">
        <f>INDEX(LINEST(LN(AV215:BC215),LN(AV214:BC214)),1)</f>
        <v>-0.12632832890763682</v>
      </c>
      <c r="AN215" s="56">
        <f>EXP(INDEX(LINEST(LN(AV215:BC215),LN(AV214:BC214)),1,2))</f>
        <v>4.886822907385433</v>
      </c>
      <c r="AO215" s="82">
        <f>INDEX(LINEST((AV215:BC215),LN(AV214:BC214),TRUE,TRUE),3,1)</f>
        <v>0.77161942106670744</v>
      </c>
      <c r="AP215" s="82">
        <f>INDEX(LINEST((AV215:BC215),LN(AV214:BC214)),1)</f>
        <v>-6.4517362377310206E-2</v>
      </c>
      <c r="AQ215" s="83">
        <f>INDEX(LINEST(LN(AV215:BC215),SQRT(AV214:BC214),TRUE,TRUE),3,1)</f>
        <v>0.8581781033265018</v>
      </c>
      <c r="AR215" s="116">
        <f>INDEX(LINEST(LN(AV215:BC215),SQRT((AV214:BC214))),1)</f>
        <v>-3.7776661695339233E-5</v>
      </c>
      <c r="AS215" s="84">
        <f>INDEX(LINEST(1/(AV215:BC215),1/(SQRT(AV214:BC214)),TRUE,TRUE),3,1)</f>
        <v>0.62318823026935166</v>
      </c>
      <c r="AT215" s="84">
        <f>INDEX(LINEST(1/(AV215:BC215),1/SQRT(AV214:BC214)),1)</f>
        <v>-2914.3442727639167</v>
      </c>
      <c r="AU215" s="3"/>
      <c r="AV215" s="11">
        <v>0.5625</v>
      </c>
      <c r="AW215" s="11">
        <v>0.58041680664000006</v>
      </c>
      <c r="AX215" s="11">
        <v>0.54989693988679234</v>
      </c>
      <c r="AY215" s="11">
        <v>0.53100613213513514</v>
      </c>
      <c r="AZ215" s="11">
        <v>0.47659566151162791</v>
      </c>
      <c r="BA215" s="11">
        <v>0.4953404810689655</v>
      </c>
      <c r="BB215" s="11">
        <v>0.456421568625</v>
      </c>
      <c r="BC215" s="11">
        <v>0.44103896100000012</v>
      </c>
      <c r="BD215" s="11"/>
      <c r="BE215" s="11"/>
      <c r="BF215" s="11"/>
      <c r="BG215" s="11"/>
      <c r="BH215" s="11"/>
      <c r="BI215" s="11"/>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1"/>
      <c r="CN215" s="11"/>
      <c r="CO215" s="11"/>
      <c r="CP215" s="11"/>
      <c r="CQ215" s="11"/>
      <c r="CR215" s="15"/>
      <c r="CS215" s="15"/>
      <c r="CT215" s="15"/>
      <c r="CU215" s="15"/>
    </row>
    <row r="216" spans="1:99" ht="12" customHeight="1" x14ac:dyDescent="0.2">
      <c r="A216" s="65">
        <v>43903</v>
      </c>
      <c r="B216" s="15"/>
      <c r="C216" s="15"/>
      <c r="D216" s="59"/>
      <c r="E216" s="75"/>
      <c r="F216" s="59"/>
      <c r="G216" s="59"/>
      <c r="H216" s="59"/>
      <c r="I216" s="59"/>
      <c r="M216" s="59"/>
      <c r="N216" s="60"/>
      <c r="O216" s="59"/>
      <c r="P216" s="59"/>
      <c r="Q216" s="59"/>
      <c r="R216" s="60"/>
      <c r="S216" s="59"/>
      <c r="T216" s="59"/>
      <c r="U216" s="60"/>
      <c r="V216" s="59"/>
      <c r="W216" s="60"/>
      <c r="X216" s="60"/>
      <c r="Y216" s="76"/>
      <c r="Z216" s="59"/>
      <c r="AA216" s="59"/>
      <c r="AB216" s="60"/>
      <c r="AC216" s="56"/>
      <c r="AD216" s="60"/>
      <c r="AE216" s="60"/>
      <c r="AF216" s="80"/>
      <c r="AG216" s="56"/>
      <c r="AH216" s="4"/>
      <c r="AI216" s="56"/>
      <c r="AJ216" s="109"/>
      <c r="AK216" s="56"/>
      <c r="AL216" s="56"/>
      <c r="AM216" s="56"/>
      <c r="AN216" s="56"/>
      <c r="AO216" s="82"/>
      <c r="AP216" s="82"/>
      <c r="AQ216" s="83"/>
      <c r="AR216" s="116"/>
      <c r="AS216" s="84"/>
      <c r="AT216" s="84"/>
      <c r="AU216" s="3"/>
      <c r="AV216" s="47">
        <v>15768000</v>
      </c>
      <c r="AW216" s="47">
        <f t="shared" ref="AW216:BC216" si="5">AV216+15768000</f>
        <v>31536000</v>
      </c>
      <c r="AX216" s="47">
        <f t="shared" si="5"/>
        <v>47304000</v>
      </c>
      <c r="AY216" s="47">
        <f t="shared" si="5"/>
        <v>63072000</v>
      </c>
      <c r="AZ216" s="47">
        <f t="shared" si="5"/>
        <v>78840000</v>
      </c>
      <c r="BA216" s="47">
        <f t="shared" si="5"/>
        <v>94608000</v>
      </c>
      <c r="BB216" s="47">
        <f t="shared" si="5"/>
        <v>110376000</v>
      </c>
      <c r="BC216" s="47">
        <f t="shared" si="5"/>
        <v>126144000</v>
      </c>
      <c r="BD216" s="11"/>
      <c r="BE216" s="11"/>
      <c r="BF216" s="11"/>
      <c r="BG216" s="11"/>
      <c r="BH216" s="11"/>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1"/>
      <c r="CN216" s="11"/>
      <c r="CO216" s="11"/>
      <c r="CP216" s="11"/>
      <c r="CQ216" s="11"/>
      <c r="CR216" s="15"/>
      <c r="CS216" s="15"/>
      <c r="CT216" s="15"/>
      <c r="CU216" s="15"/>
    </row>
    <row r="217" spans="1:99" ht="12" customHeight="1" x14ac:dyDescent="0.2">
      <c r="A217" s="65">
        <v>43903</v>
      </c>
      <c r="B217" s="15" t="s">
        <v>481</v>
      </c>
      <c r="C217" s="15" t="s">
        <v>262</v>
      </c>
      <c r="D217" s="59">
        <v>2020</v>
      </c>
      <c r="E217" s="75">
        <v>1</v>
      </c>
      <c r="F217" s="59">
        <v>230</v>
      </c>
      <c r="G217" s="59">
        <v>28.8</v>
      </c>
      <c r="H217" s="59" t="s">
        <v>747</v>
      </c>
      <c r="I217" s="59" t="s">
        <v>709</v>
      </c>
      <c r="J217" s="64" t="s">
        <v>483</v>
      </c>
      <c r="K217" s="60">
        <f t="shared" ref="K217" si="6">IF(J217="syllables",1,IF(J217="trigrams",2,IF(J217="strings",3,IF(J217="visual array",4,IF(J217="characters",5,IF(J217="letters",6,IF(J217="free forms",7,IF(J217="odors",8,IF(J217="words",9,IF(J217="pictures",10,IF(J217="object pictures",11,IF(J217="faces",12,IF(J217="names",13,IF(J217="idioms",14,IF(J217="grades",15,IF(J217="syllable-digit pairs",16,IF(J217="trigram-word pairs",17,IF(J217="word-digit pairs",18,IF(J217="English-Swahili pairs",19,IF(J217="spatial position",20,IF(J217="word pairs",21,IF(J217="word triads",22,IF(J217="generated words",23,IF(J217="word definition pairs",24,IF(J217="math problems",25,IF(J217="famous faces",26,IF(J217="famous names",27,IF(J217="famous voices",28,IF(J217="television programs",29,IF(J217="race horses",30,IF(J217="new vocabulary",31,IF(J217="sentences",32,IF(J217="concepts",33,IF(J217="ad slides",34,IF(J217="scenes",35,IF(J217="famous scenes",36,IF(J217="poems",37,IF(J217="walk",38,IF(J217="faces and events",39,IF(J217="events and names",40,IF(J217="flashbulb",41,IF(J217="stories",42,IF(J217="course material",43,IF(J217="autobiographical",44,IF(J217="novels",45,IF(J217="public events",46,"99"))))))))))))))))))))))))))))))))))))))))))))))</f>
        <v>45</v>
      </c>
      <c r="L217" s="60">
        <f t="shared" ref="L217" si="7">IF(J217="syllables",1,IF(J217="trigrams",1,IF(J217="strings",1,IF(J217="visual array",1,IF(J217="characters",1,IF(J217="letters",1,IF(J217="free forms",1,IF(J217="odors",2,IF(J217="words",2,IF(J217="pictures",2,IF(J217="object pictures",2,IF(J217="faces",2,IF(J217="names",2,IF(J217="idioms","2",IF(J217="grades",2,IF(J217="syllable-digit pairs",3,IF(J217="trigram-word pairs",3,IF(J217="word-digit pairs",3,IF(J217="English-Swahili pairs",3,IF(J217="spatial position",3,IF(J217="word pairs",4,IF(J217="word triads",4,IF(J217="generated words",4,IF(J217="word definition pairs",4,IF(J217="math problems",4,IF(J217="famous faces",4,IF(J217="famous names",4,IF(J217="famous voices",4,IF(J217="television programs",4,IF(J217="race horses",4,IF(J217="new vocabulary",4,IF(J217="sentences",5,IF(J217="concepts",5,IF(J217="ad slides",5,IF(J217="scenes",5,IF(J217="famous scenes",5,IF(J217="poems",6,IF(J217="walk",6,IF(J217="faces and events",6,IF(J217="events and names",6,IF(J217="flashbulb",7,IF(J217="stories",7,IF(J217="course material",7,IF(J217="autobiographical",7,IF(J217="novels",7,IF(J217="public events",7,"99"))))))))))))))))))))))))))))))))))))))))))))))</f>
        <v>7</v>
      </c>
      <c r="M217" s="59">
        <v>0</v>
      </c>
      <c r="N217" s="60">
        <v>3</v>
      </c>
      <c r="O217" s="59">
        <v>0</v>
      </c>
      <c r="P217" s="59"/>
      <c r="Q217" s="59" t="s">
        <v>182</v>
      </c>
      <c r="R217" s="60">
        <f t="shared" ref="R217" si="8">IF(Q217="Free Recall",1,IF(Q217="Cued Recall",2,IF(Q217="Recognition",3,IF(Q217="Multiple Choice",4,IF(Q217="Savings",5,IF(Q217="Stem Completion",6,IF(Q217="Fragment Completion",7,IF(Q217="anagram solution",8,IF(Q217="Matching",9,IF(Q217="Problem Solving",10,"99"))))))))))</f>
        <v>4</v>
      </c>
      <c r="S217" s="59" t="s">
        <v>482</v>
      </c>
      <c r="T217" s="59" t="s">
        <v>261</v>
      </c>
      <c r="U217" s="60">
        <f t="shared" ref="U217" si="9">IF(T217="within",1,0)</f>
        <v>0</v>
      </c>
      <c r="V217" s="59">
        <v>12</v>
      </c>
      <c r="W217" s="60">
        <f>F217*V217</f>
        <v>2760</v>
      </c>
      <c r="X217" s="60">
        <v>8</v>
      </c>
      <c r="Y217" s="76">
        <f>AV216</f>
        <v>15768000</v>
      </c>
      <c r="Z217" s="59" t="s">
        <v>484</v>
      </c>
      <c r="AA217" s="60">
        <f>7.5*365*24*60*60</f>
        <v>236520000</v>
      </c>
      <c r="AB217" s="60" t="str">
        <f>IF(AA217&lt;60,"1",IF(AA217&lt;=43200,"2",IF(AA217&lt;=777600,"3","4")))</f>
        <v>4</v>
      </c>
      <c r="AC217" s="56">
        <f>AVERAGE(AV216:DA216)</f>
        <v>70956000</v>
      </c>
      <c r="AD217" s="60" t="str">
        <f>IF(AC217&lt;60,"1",IF(AC217&lt;=43200,"2",IF(AC217&lt;=777600,"3","4")))</f>
        <v>4</v>
      </c>
      <c r="AE217" s="76">
        <f>AA217-Y217</f>
        <v>220752000</v>
      </c>
      <c r="AF217" s="80">
        <f>AV217</f>
        <v>0.64663461524999999</v>
      </c>
      <c r="AG217" s="56">
        <f>((AW217-AV217)+(AX217-AW217)+(AY217-AX217)+(AZ217-AY217)+(BA217-AZ217)+(BB217-BA217)+(BC217-BB217))/7</f>
        <v>-3.6165917412337663E-2</v>
      </c>
      <c r="AH217" s="4"/>
      <c r="AI217" s="56">
        <f>RSQ(AV217:BC217,AV216:BC216)</f>
        <v>0.83002849011194324</v>
      </c>
      <c r="AJ217" s="109">
        <f>SLOPE(AV217:BC217,AV216:BC216)</f>
        <v>-1.89422433040743E-9</v>
      </c>
      <c r="AK217" s="56">
        <f>INTERCEPT(AV217:BC217,AV216:BC216)</f>
        <v>0.61792216386274101</v>
      </c>
      <c r="AL217" s="56">
        <f>INDEX(LINEST(LN(AV217:BC217),LN(AV216:BC216),TRUE,TRUE),3,1)</f>
        <v>0.94965337937174277</v>
      </c>
      <c r="AM217" s="56">
        <f>INDEX(LINEST(LN(AV217:BC217),LN(AV216:BC216)),1)</f>
        <v>-0.21741765996869467</v>
      </c>
      <c r="AN217" s="56">
        <f>EXP(INDEX(LINEST(LN(AV217:BC217),LN(AV216:BC216)),1,2))</f>
        <v>23.423220380769216</v>
      </c>
      <c r="AO217" s="82">
        <f>INDEX(LINEST((AV217:BC217),LN(AV216:BC216),TRUE,TRUE),3,1)</f>
        <v>0.94744056769378016</v>
      </c>
      <c r="AP217" s="82">
        <f>INDEX(LINEST((AV217:BC217),LN(AV216:BC216)),1)</f>
        <v>-0.11112556824087604</v>
      </c>
      <c r="AQ217" s="83">
        <f>INDEX(LINEST(LN(AV217:BC217),SQRT(AV216:BC216),TRUE,TRUE),3,1)</f>
        <v>0.92448674681678134</v>
      </c>
      <c r="AR217" s="116">
        <f>INDEX(LINEST(LN(AV217:BC217),SQRT((AV216:BC216))),1)</f>
        <v>-6.0468666770249532E-5</v>
      </c>
      <c r="AS217" s="84">
        <f>INDEX(LINEST(1/(AV217:BC217),1/(SQRT(AV216:BC216)),TRUE,TRUE),3,1)</f>
        <v>0.90343128502000325</v>
      </c>
      <c r="AT217" s="84">
        <f>INDEX(LINEST(1/(AV217:BC217),1/SQRT(AV216:BC216)),1)</f>
        <v>-5458.5911813880803</v>
      </c>
      <c r="AU217" s="3"/>
      <c r="AV217" s="11">
        <v>0.64663461524999999</v>
      </c>
      <c r="AW217" s="11">
        <v>0.52451282051999992</v>
      </c>
      <c r="AX217" s="11">
        <v>0.52694726658490565</v>
      </c>
      <c r="AY217" s="11">
        <v>0.46517671524324317</v>
      </c>
      <c r="AZ217" s="11">
        <v>0.44102564102325592</v>
      </c>
      <c r="BA217" s="11">
        <v>0.43050397879310343</v>
      </c>
      <c r="BB217" s="11">
        <v>0.43985042741666663</v>
      </c>
      <c r="BC217" s="11">
        <v>0.39347319336363634</v>
      </c>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1"/>
      <c r="CN217" s="11"/>
      <c r="CO217" s="11"/>
      <c r="CP217" s="11"/>
      <c r="CQ217" s="11"/>
      <c r="CR217" s="15"/>
      <c r="CS217" s="15"/>
      <c r="CT217" s="15"/>
      <c r="CU217" s="15"/>
    </row>
    <row r="218" spans="1:99" ht="12" customHeight="1" x14ac:dyDescent="0.2">
      <c r="A218" s="65">
        <v>43903</v>
      </c>
      <c r="B218" s="15"/>
      <c r="C218" s="15"/>
      <c r="D218" s="59"/>
      <c r="E218" s="75"/>
      <c r="F218" s="59"/>
      <c r="G218" s="59"/>
      <c r="H218" s="59"/>
      <c r="I218" s="59"/>
      <c r="M218" s="59"/>
      <c r="N218" s="60"/>
      <c r="O218" s="59"/>
      <c r="P218" s="59"/>
      <c r="Q218" s="59"/>
      <c r="R218" s="60"/>
      <c r="S218" s="59"/>
      <c r="T218" s="59"/>
      <c r="U218" s="60"/>
      <c r="V218" s="59"/>
      <c r="W218" s="60"/>
      <c r="X218" s="60"/>
      <c r="Y218" s="76"/>
      <c r="Z218" s="59"/>
      <c r="AA218" s="59"/>
      <c r="AB218" s="60"/>
      <c r="AC218" s="56"/>
      <c r="AD218" s="60"/>
      <c r="AE218" s="60"/>
      <c r="AF218" s="80"/>
      <c r="AG218" s="56"/>
      <c r="AH218" s="4"/>
      <c r="AI218" s="56"/>
      <c r="AJ218" s="109"/>
      <c r="AK218" s="56"/>
      <c r="AL218" s="56"/>
      <c r="AM218" s="56"/>
      <c r="AN218" s="56"/>
      <c r="AO218" s="82"/>
      <c r="AP218" s="82"/>
      <c r="AQ218" s="83"/>
      <c r="AR218" s="116"/>
      <c r="AS218" s="84"/>
      <c r="AT218" s="84"/>
      <c r="AU218" s="3"/>
      <c r="AV218" s="47">
        <v>15768000</v>
      </c>
      <c r="AW218" s="47">
        <f t="shared" ref="AW218:BC218" si="10">AV218+15768000</f>
        <v>31536000</v>
      </c>
      <c r="AX218" s="47">
        <f t="shared" si="10"/>
        <v>47304000</v>
      </c>
      <c r="AY218" s="47">
        <f t="shared" si="10"/>
        <v>63072000</v>
      </c>
      <c r="AZ218" s="47">
        <f t="shared" si="10"/>
        <v>78840000</v>
      </c>
      <c r="BA218" s="47">
        <f t="shared" si="10"/>
        <v>94608000</v>
      </c>
      <c r="BB218" s="47">
        <f t="shared" si="10"/>
        <v>110376000</v>
      </c>
      <c r="BC218" s="47">
        <f t="shared" si="10"/>
        <v>126144000</v>
      </c>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1"/>
      <c r="CN218" s="11"/>
      <c r="CO218" s="11"/>
      <c r="CP218" s="11"/>
      <c r="CQ218" s="11"/>
      <c r="CR218" s="15"/>
      <c r="CS218" s="15"/>
      <c r="CT218" s="15"/>
      <c r="CU218" s="15"/>
    </row>
    <row r="219" spans="1:99" ht="12" customHeight="1" x14ac:dyDescent="0.2">
      <c r="A219" s="65">
        <v>43903</v>
      </c>
      <c r="B219" s="15" t="s">
        <v>481</v>
      </c>
      <c r="C219" s="15" t="s">
        <v>262</v>
      </c>
      <c r="D219" s="59">
        <v>2020</v>
      </c>
      <c r="E219" s="75">
        <v>1</v>
      </c>
      <c r="F219" s="59">
        <v>230</v>
      </c>
      <c r="G219" s="59">
        <v>28.8</v>
      </c>
      <c r="H219" s="59" t="s">
        <v>747</v>
      </c>
      <c r="I219" s="59" t="s">
        <v>864</v>
      </c>
      <c r="J219" s="64" t="s">
        <v>483</v>
      </c>
      <c r="K219" s="60">
        <f t="shared" ref="K219" si="11">IF(J219="syllables",1,IF(J219="trigrams",2,IF(J219="strings",3,IF(J219="visual array",4,IF(J219="characters",5,IF(J219="letters",6,IF(J219="free forms",7,IF(J219="odors",8,IF(J219="words",9,IF(J219="pictures",10,IF(J219="object pictures",11,IF(J219="faces",12,IF(J219="names",13,IF(J219="idioms",14,IF(J219="grades",15,IF(J219="syllable-digit pairs",16,IF(J219="trigram-word pairs",17,IF(J219="word-digit pairs",18,IF(J219="English-Swahili pairs",19,IF(J219="spatial position",20,IF(J219="word pairs",21,IF(J219="word triads",22,IF(J219="generated words",23,IF(J219="word definition pairs",24,IF(J219="math problems",25,IF(J219="famous faces",26,IF(J219="famous names",27,IF(J219="famous voices",28,IF(J219="television programs",29,IF(J219="race horses",30,IF(J219="new vocabulary",31,IF(J219="sentences",32,IF(J219="concepts",33,IF(J219="ad slides",34,IF(J219="scenes",35,IF(J219="famous scenes",36,IF(J219="poems",37,IF(J219="walk",38,IF(J219="faces and events",39,IF(J219="events and names",40,IF(J219="flashbulb",41,IF(J219="stories",42,IF(J219="course material",43,IF(J219="autobiographical",44,IF(J219="novels",45,IF(J219="public events",46,"99"))))))))))))))))))))))))))))))))))))))))))))))</f>
        <v>45</v>
      </c>
      <c r="L219" s="60">
        <f t="shared" ref="L219" si="12">IF(J219="syllables",1,IF(J219="trigrams",1,IF(J219="strings",1,IF(J219="visual array",1,IF(J219="characters",1,IF(J219="letters",1,IF(J219="free forms",1,IF(J219="odors",2,IF(J219="words",2,IF(J219="pictures",2,IF(J219="object pictures",2,IF(J219="faces",2,IF(J219="names",2,IF(J219="idioms","2",IF(J219="grades",2,IF(J219="syllable-digit pairs",3,IF(J219="trigram-word pairs",3,IF(J219="word-digit pairs",3,IF(J219="English-Swahili pairs",3,IF(J219="spatial position",3,IF(J219="word pairs",4,IF(J219="word triads",4,IF(J219="generated words",4,IF(J219="word definition pairs",4,IF(J219="math problems",4,IF(J219="famous faces",4,IF(J219="famous names",4,IF(J219="famous voices",4,IF(J219="television programs",4,IF(J219="race horses",4,IF(J219="new vocabulary",4,IF(J219="sentences",5,IF(J219="concepts",5,IF(J219="ad slides",5,IF(J219="scenes",5,IF(J219="famous scenes",5,IF(J219="poems",6,IF(J219="walk",6,IF(J219="faces and events",6,IF(J219="events and names",6,IF(J219="flashbulb",7,IF(J219="stories",7,IF(J219="course material",7,IF(J219="autobiographical",7,IF(J219="novels",7,IF(J219="public events",7,"99"))))))))))))))))))))))))))))))))))))))))))))))</f>
        <v>7</v>
      </c>
      <c r="M219" s="59">
        <v>0</v>
      </c>
      <c r="N219" s="60">
        <v>3</v>
      </c>
      <c r="O219" s="59">
        <v>0</v>
      </c>
      <c r="P219" s="59"/>
      <c r="Q219" s="59" t="s">
        <v>182</v>
      </c>
      <c r="R219" s="60">
        <f t="shared" ref="R219" si="13">IF(Q219="Free Recall",1,IF(Q219="Cued Recall",2,IF(Q219="Recognition",3,IF(Q219="Multiple Choice",4,IF(Q219="Savings",5,IF(Q219="Stem Completion",6,IF(Q219="Fragment Completion",7,IF(Q219="anagram solution",8,IF(Q219="Matching",9,IF(Q219="Problem Solving",10,"99"))))))))))</f>
        <v>4</v>
      </c>
      <c r="S219" s="59" t="s">
        <v>482</v>
      </c>
      <c r="T219" s="59" t="s">
        <v>261</v>
      </c>
      <c r="U219" s="60">
        <f t="shared" ref="U219" si="14">IF(T219="within",1,0)</f>
        <v>0</v>
      </c>
      <c r="V219" s="59">
        <v>12</v>
      </c>
      <c r="W219" s="60">
        <f>F219*V219</f>
        <v>2760</v>
      </c>
      <c r="X219" s="60">
        <v>8</v>
      </c>
      <c r="Y219" s="76">
        <f>AV218</f>
        <v>15768000</v>
      </c>
      <c r="Z219" s="59" t="s">
        <v>484</v>
      </c>
      <c r="AA219" s="60">
        <f>7.5*365*24*60*60</f>
        <v>236520000</v>
      </c>
      <c r="AB219" s="60" t="str">
        <f>IF(AA219&lt;60,"1",IF(AA219&lt;=43200,"2",IF(AA219&lt;=777600,"3","4")))</f>
        <v>4</v>
      </c>
      <c r="AC219" s="56">
        <f>AVERAGE(AV218:DA218)</f>
        <v>70956000</v>
      </c>
      <c r="AD219" s="60" t="str">
        <f>IF(AC219&lt;60,"1",IF(AC219&lt;=43200,"2",IF(AC219&lt;=777600,"3","4")))</f>
        <v>4</v>
      </c>
      <c r="AE219" s="76">
        <f>AA219-Y219</f>
        <v>220752000</v>
      </c>
      <c r="AF219" s="80">
        <f>AV219</f>
        <v>0.68750000025000002</v>
      </c>
      <c r="AG219" s="56">
        <f>((AW219-AV219)+(AX219-AW219)+(AY219-AX219)+(AZ219-AY219)+(BA219-AZ219)+(BB219-BA219)+(BC219-BB219))/7</f>
        <v>-2.7497721620129867E-2</v>
      </c>
      <c r="AH219" s="4"/>
      <c r="AI219" s="56">
        <f>RSQ(AV219:BC219,AV218:BC218)</f>
        <v>0.80547480444593145</v>
      </c>
      <c r="AJ219" s="109">
        <f>SLOPE(AV219:BC219,AV218:BC218)</f>
        <v>-1.5914279440176091E-9</v>
      </c>
      <c r="AK219" s="56">
        <f>INTERCEPT(AV219:BC219,AV218:BC218)</f>
        <v>0.69466482070690316</v>
      </c>
      <c r="AL219" s="56">
        <f>INDEX(LINEST(LN(AV219:BC219),LN(AV218:BC218),TRUE,TRUE),3,1)</f>
        <v>0.85253904311675921</v>
      </c>
      <c r="AM219" s="56">
        <f>INDEX(LINEST(LN(AV219:BC219),LN(AV218:BC218)),1)</f>
        <v>-0.15112086460236174</v>
      </c>
      <c r="AN219" s="56">
        <f>EXP(INDEX(LINEST(LN(AV219:BC219),LN(AV218:BC218)),1,2))</f>
        <v>8.6478706921455295</v>
      </c>
      <c r="AO219" s="82">
        <f>INDEX(LINEST((AV219:BC219),LN(AV218:BC218),TRUE,TRUE),3,1)</f>
        <v>0.86484960375888653</v>
      </c>
      <c r="AP219" s="82">
        <f>INDEX(LINEST((AV219:BC219),LN(AV218:BC218)),1)</f>
        <v>-9.0549152648145004E-2</v>
      </c>
      <c r="AQ219" s="83">
        <f>INDEX(LINEST(LN(AV219:BC219),SQRT(AV218:BC218),TRUE,TRUE),3,1)</f>
        <v>0.85025449840224887</v>
      </c>
      <c r="AR219" s="116">
        <f>INDEX(LINEST(LN(AV219:BC219),SQRT((AV218:BC218))),1)</f>
        <v>-4.2541181798394445E-5</v>
      </c>
      <c r="AS219" s="84">
        <f>INDEX(LINEST(1/(AV219:BC219),1/(SQRT(AV218:BC218)),TRUE,TRUE),3,1)</f>
        <v>0.78603390551837471</v>
      </c>
      <c r="AT219" s="84">
        <f>INDEX(LINEST(1/(AV219:BC219),1/SQRT(AV218:BC218)),1)</f>
        <v>-3170.963394000205</v>
      </c>
      <c r="AU219" s="3"/>
      <c r="AV219" s="11">
        <v>0.68750000025000002</v>
      </c>
      <c r="AW219" s="11">
        <v>0.67526315784000024</v>
      </c>
      <c r="AX219" s="11">
        <v>0.6042287321320754</v>
      </c>
      <c r="AY219" s="11">
        <v>0.53390232329729737</v>
      </c>
      <c r="AZ219" s="11">
        <v>0.55806303551162806</v>
      </c>
      <c r="BA219" s="11">
        <v>0.54775408348275856</v>
      </c>
      <c r="BB219" s="11">
        <v>0.55222039466666661</v>
      </c>
      <c r="BC219" s="11">
        <v>0.49501594890909095</v>
      </c>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1"/>
      <c r="CN219" s="11"/>
      <c r="CO219" s="11"/>
      <c r="CP219" s="11"/>
      <c r="CQ219" s="11"/>
      <c r="CR219" s="15"/>
      <c r="CS219" s="15"/>
      <c r="CT219" s="15"/>
      <c r="CU219" s="15"/>
    </row>
    <row r="220" spans="1:99" ht="12" customHeight="1" x14ac:dyDescent="0.2">
      <c r="A220" s="65">
        <v>43903</v>
      </c>
      <c r="B220" s="15"/>
      <c r="C220" s="15"/>
      <c r="D220" s="59"/>
      <c r="E220" s="75"/>
      <c r="F220" s="59"/>
      <c r="G220" s="59"/>
      <c r="H220" s="59"/>
      <c r="I220" s="59"/>
      <c r="M220" s="59"/>
      <c r="N220" s="60"/>
      <c r="O220" s="59"/>
      <c r="P220" s="59"/>
      <c r="Q220" s="59"/>
      <c r="R220" s="60"/>
      <c r="S220" s="59"/>
      <c r="T220" s="59"/>
      <c r="U220" s="60"/>
      <c r="V220" s="59"/>
      <c r="W220" s="60"/>
      <c r="X220" s="60"/>
      <c r="Y220" s="76"/>
      <c r="Z220" s="59"/>
      <c r="AA220" s="59"/>
      <c r="AB220" s="60"/>
      <c r="AC220" s="56"/>
      <c r="AD220" s="60"/>
      <c r="AE220" s="60"/>
      <c r="AF220" s="80"/>
      <c r="AG220" s="56"/>
      <c r="AH220" s="4"/>
      <c r="AI220" s="56"/>
      <c r="AJ220" s="109"/>
      <c r="AK220" s="56"/>
      <c r="AL220" s="56"/>
      <c r="AM220" s="56"/>
      <c r="AN220" s="56"/>
      <c r="AO220" s="82"/>
      <c r="AP220" s="82"/>
      <c r="AQ220" s="83"/>
      <c r="AR220" s="116"/>
      <c r="AS220" s="84"/>
      <c r="AT220" s="84"/>
      <c r="AU220" s="3"/>
      <c r="AV220" s="47">
        <v>15768000</v>
      </c>
      <c r="AW220" s="47">
        <f t="shared" ref="AW220:BC220" si="15">AV220+15768000</f>
        <v>31536000</v>
      </c>
      <c r="AX220" s="47">
        <f t="shared" si="15"/>
        <v>47304000</v>
      </c>
      <c r="AY220" s="47">
        <f t="shared" si="15"/>
        <v>63072000</v>
      </c>
      <c r="AZ220" s="47">
        <f t="shared" si="15"/>
        <v>78840000</v>
      </c>
      <c r="BA220" s="47">
        <f t="shared" si="15"/>
        <v>94608000</v>
      </c>
      <c r="BB220" s="47">
        <f t="shared" si="15"/>
        <v>110376000</v>
      </c>
      <c r="BC220" s="47">
        <f t="shared" si="15"/>
        <v>126144000</v>
      </c>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1"/>
      <c r="CN220" s="11"/>
      <c r="CO220" s="11"/>
      <c r="CP220" s="11"/>
      <c r="CQ220" s="11"/>
      <c r="CR220" s="15"/>
      <c r="CS220" s="15"/>
      <c r="CT220" s="15"/>
      <c r="CU220" s="15"/>
    </row>
    <row r="221" spans="1:99" ht="12" customHeight="1" x14ac:dyDescent="0.2">
      <c r="A221" s="65">
        <v>43903</v>
      </c>
      <c r="B221" s="15" t="s">
        <v>481</v>
      </c>
      <c r="C221" s="15" t="s">
        <v>262</v>
      </c>
      <c r="D221" s="59">
        <v>2020</v>
      </c>
      <c r="E221" s="75">
        <v>1</v>
      </c>
      <c r="F221" s="59">
        <v>230</v>
      </c>
      <c r="G221" s="59">
        <v>28.8</v>
      </c>
      <c r="H221" s="59" t="s">
        <v>747</v>
      </c>
      <c r="I221" s="59" t="s">
        <v>719</v>
      </c>
      <c r="J221" s="64" t="s">
        <v>483</v>
      </c>
      <c r="K221" s="60">
        <f t="shared" ref="K221" si="16">IF(J221="syllables",1,IF(J221="trigrams",2,IF(J221="strings",3,IF(J221="visual array",4,IF(J221="characters",5,IF(J221="letters",6,IF(J221="free forms",7,IF(J221="odors",8,IF(J221="words",9,IF(J221="pictures",10,IF(J221="object pictures",11,IF(J221="faces",12,IF(J221="names",13,IF(J221="idioms",14,IF(J221="grades",15,IF(J221="syllable-digit pairs",16,IF(J221="trigram-word pairs",17,IF(J221="word-digit pairs",18,IF(J221="English-Swahili pairs",19,IF(J221="spatial position",20,IF(J221="word pairs",21,IF(J221="word triads",22,IF(J221="generated words",23,IF(J221="word definition pairs",24,IF(J221="math problems",25,IF(J221="famous faces",26,IF(J221="famous names",27,IF(J221="famous voices",28,IF(J221="television programs",29,IF(J221="race horses",30,IF(J221="new vocabulary",31,IF(J221="sentences",32,IF(J221="concepts",33,IF(J221="ad slides",34,IF(J221="scenes",35,IF(J221="famous scenes",36,IF(J221="poems",37,IF(J221="walk",38,IF(J221="faces and events",39,IF(J221="events and names",40,IF(J221="flashbulb",41,IF(J221="stories",42,IF(J221="course material",43,IF(J221="autobiographical",44,IF(J221="novels",45,IF(J221="public events",46,"99"))))))))))))))))))))))))))))))))))))))))))))))</f>
        <v>45</v>
      </c>
      <c r="L221" s="60">
        <f t="shared" ref="L221" si="17">IF(J221="syllables",1,IF(J221="trigrams",1,IF(J221="strings",1,IF(J221="visual array",1,IF(J221="characters",1,IF(J221="letters",1,IF(J221="free forms",1,IF(J221="odors",2,IF(J221="words",2,IF(J221="pictures",2,IF(J221="object pictures",2,IF(J221="faces",2,IF(J221="names",2,IF(J221="idioms","2",IF(J221="grades",2,IF(J221="syllable-digit pairs",3,IF(J221="trigram-word pairs",3,IF(J221="word-digit pairs",3,IF(J221="English-Swahili pairs",3,IF(J221="spatial position",3,IF(J221="word pairs",4,IF(J221="word triads",4,IF(J221="generated words",4,IF(J221="word definition pairs",4,IF(J221="math problems",4,IF(J221="famous faces",4,IF(J221="famous names",4,IF(J221="famous voices",4,IF(J221="television programs",4,IF(J221="race horses",4,IF(J221="new vocabulary",4,IF(J221="sentences",5,IF(J221="concepts",5,IF(J221="ad slides",5,IF(J221="scenes",5,IF(J221="famous scenes",5,IF(J221="poems",6,IF(J221="walk",6,IF(J221="faces and events",6,IF(J221="events and names",6,IF(J221="flashbulb",7,IF(J221="stories",7,IF(J221="course material",7,IF(J221="autobiographical",7,IF(J221="novels",7,IF(J221="public events",7,"99"))))))))))))))))))))))))))))))))))))))))))))))</f>
        <v>7</v>
      </c>
      <c r="M221" s="59">
        <v>0</v>
      </c>
      <c r="N221" s="60">
        <v>3</v>
      </c>
      <c r="O221" s="59">
        <v>0</v>
      </c>
      <c r="P221" s="59"/>
      <c r="Q221" s="59" t="s">
        <v>182</v>
      </c>
      <c r="R221" s="60">
        <f t="shared" ref="R221" si="18">IF(Q221="Free Recall",1,IF(Q221="Cued Recall",2,IF(Q221="Recognition",3,IF(Q221="Multiple Choice",4,IF(Q221="Savings",5,IF(Q221="Stem Completion",6,IF(Q221="Fragment Completion",7,IF(Q221="anagram solution",8,IF(Q221="Matching",9,IF(Q221="Problem Solving",10,"99"))))))))))</f>
        <v>4</v>
      </c>
      <c r="S221" s="59" t="s">
        <v>482</v>
      </c>
      <c r="T221" s="59" t="s">
        <v>261</v>
      </c>
      <c r="U221" s="60">
        <f t="shared" ref="U221" si="19">IF(T221="within",1,0)</f>
        <v>0</v>
      </c>
      <c r="V221" s="59">
        <v>12</v>
      </c>
      <c r="W221" s="60">
        <f>F221*V221</f>
        <v>2760</v>
      </c>
      <c r="X221" s="60">
        <v>8</v>
      </c>
      <c r="Y221" s="76">
        <f>AV220</f>
        <v>15768000</v>
      </c>
      <c r="Z221" s="59" t="s">
        <v>484</v>
      </c>
      <c r="AA221" s="60">
        <f>7.5*365*24*60*60</f>
        <v>236520000</v>
      </c>
      <c r="AB221" s="60" t="str">
        <f>IF(AA221&lt;60,"1",IF(AA221&lt;=43200,"2",IF(AA221&lt;=777600,"3","4")))</f>
        <v>4</v>
      </c>
      <c r="AC221" s="56">
        <f>AVERAGE(AV220:DA220)</f>
        <v>70956000</v>
      </c>
      <c r="AD221" s="60" t="str">
        <f>IF(AC221&lt;60,"1",IF(AC221&lt;=43200,"2",IF(AC221&lt;=777600,"3","4")))</f>
        <v>4</v>
      </c>
      <c r="AE221" s="76">
        <f>AA221-Y221</f>
        <v>220752000</v>
      </c>
      <c r="AF221" s="80">
        <f>AV221</f>
        <v>0.6015625</v>
      </c>
      <c r="AG221" s="56">
        <f>((AW221-AV221)+(AX221-AW221)+(AY221-AX221)+(AZ221-AY221)+(BA221-AZ221)+(BB221-BA221)+(BC221-BB221))/7</f>
        <v>-2.8486022896103889E-2</v>
      </c>
      <c r="AH221" s="4"/>
      <c r="AI221" s="56">
        <f>RSQ(AV221:BC221,AV220:BC220)</f>
        <v>0.60253659064521203</v>
      </c>
      <c r="AJ221" s="109">
        <f>SLOPE(AV221:BC221,AV220:BC220)</f>
        <v>-1.5449780861855331E-9</v>
      </c>
      <c r="AK221" s="56">
        <f>INTERCEPT(AV221:BC221,AV220:BC220)</f>
        <v>0.54348654606854818</v>
      </c>
      <c r="AL221" s="56">
        <f>INDEX(LINEST(LN(AV221:BC221),LN(AV220:BC220),TRUE,TRUE),3,1)</f>
        <v>0.84151935390177801</v>
      </c>
      <c r="AM221" s="56">
        <f>INDEX(LINEST(LN(AV221:BC221),LN(AV220:BC220)),1)</f>
        <v>-0.21018429189648599</v>
      </c>
      <c r="AN221" s="56">
        <f>EXP(INDEX(LINEST(LN(AV221:BC221),LN(AV220:BC220)),1,2))</f>
        <v>18.448358164308612</v>
      </c>
      <c r="AO221" s="82">
        <f>INDEX(LINEST((AV221:BC221),LN(AV220:BC220),TRUE,TRUE),3,1)</f>
        <v>0.83740034803917929</v>
      </c>
      <c r="AP221" s="82">
        <f>INDEX(LINEST((AV221:BC221),LN(AV220:BC220)),1)</f>
        <v>-0.1000115769377309</v>
      </c>
      <c r="AQ221" s="83">
        <f>INDEX(LINEST(LN(AV221:BC221),SQRT(AV220:BC220),TRUE,TRUE),3,1)</f>
        <v>0.73775472093281991</v>
      </c>
      <c r="AR221" s="116">
        <f>INDEX(LINEST(LN(AV221:BC221),SQRT((AV220:BC220))),1)</f>
        <v>-5.5474320401217755E-5</v>
      </c>
      <c r="AS221" s="84">
        <f>INDEX(LINEST(1/(AV221:BC221),1/(SQRT(AV220:BC220)),TRUE,TRUE),3,1)</f>
        <v>0.88891316076645965</v>
      </c>
      <c r="AT221" s="84">
        <f>INDEX(LINEST(1/(AV221:BC221),1/SQRT(AV220:BC220)),1)</f>
        <v>-5962.2904377180612</v>
      </c>
      <c r="AU221" s="3"/>
      <c r="AV221" s="11">
        <v>0.6015625</v>
      </c>
      <c r="AW221" s="11">
        <v>0.48881868139999995</v>
      </c>
      <c r="AX221" s="11">
        <v>0.41492587611320758</v>
      </c>
      <c r="AY221" s="11">
        <v>0.40911790927027025</v>
      </c>
      <c r="AZ221" s="11">
        <v>0.37579862011627913</v>
      </c>
      <c r="BA221" s="11">
        <v>0.41043008737931036</v>
      </c>
      <c r="BB221" s="11">
        <v>0.36807463387500006</v>
      </c>
      <c r="BC221" s="11">
        <v>0.40216033972727278</v>
      </c>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1"/>
      <c r="CN221" s="11"/>
      <c r="CO221" s="11"/>
      <c r="CP221" s="11"/>
      <c r="CQ221" s="11"/>
      <c r="CR221" s="15"/>
      <c r="CS221" s="15"/>
      <c r="CT221" s="15"/>
      <c r="CU221" s="15"/>
    </row>
    <row r="222" spans="1:99" ht="12" customHeight="1" x14ac:dyDescent="0.2">
      <c r="A222" s="65">
        <v>43903</v>
      </c>
      <c r="B222" s="15"/>
      <c r="C222" s="15"/>
      <c r="D222" s="59"/>
      <c r="E222" s="75"/>
      <c r="F222" s="59"/>
      <c r="G222" s="59"/>
      <c r="H222" s="59"/>
      <c r="I222" s="59"/>
      <c r="M222" s="59"/>
      <c r="N222" s="60"/>
      <c r="O222" s="59"/>
      <c r="P222" s="59"/>
      <c r="Q222" s="59"/>
      <c r="R222" s="60"/>
      <c r="S222" s="59"/>
      <c r="T222" s="59"/>
      <c r="U222" s="60"/>
      <c r="V222" s="59"/>
      <c r="W222" s="60"/>
      <c r="X222" s="60"/>
      <c r="Y222" s="76"/>
      <c r="Z222" s="59"/>
      <c r="AA222" s="59"/>
      <c r="AB222" s="60"/>
      <c r="AC222" s="56"/>
      <c r="AD222" s="60"/>
      <c r="AE222" s="60"/>
      <c r="AF222" s="80"/>
      <c r="AG222" s="56"/>
      <c r="AH222" s="4"/>
      <c r="AI222" s="56"/>
      <c r="AJ222" s="109"/>
      <c r="AK222" s="56"/>
      <c r="AL222" s="56"/>
      <c r="AM222" s="56"/>
      <c r="AN222" s="56"/>
      <c r="AO222" s="82"/>
      <c r="AP222" s="82"/>
      <c r="AQ222" s="83"/>
      <c r="AR222" s="116"/>
      <c r="AS222" s="84"/>
      <c r="AT222" s="84"/>
      <c r="AU222" s="3"/>
      <c r="AV222" s="47">
        <v>15768000</v>
      </c>
      <c r="AW222" s="47">
        <f t="shared" ref="AW222:BC222" si="20">AV222+15768000</f>
        <v>31536000</v>
      </c>
      <c r="AX222" s="47">
        <f t="shared" si="20"/>
        <v>47304000</v>
      </c>
      <c r="AY222" s="47">
        <f t="shared" si="20"/>
        <v>63072000</v>
      </c>
      <c r="AZ222" s="47">
        <f t="shared" si="20"/>
        <v>78840000</v>
      </c>
      <c r="BA222" s="47">
        <f t="shared" si="20"/>
        <v>94608000</v>
      </c>
      <c r="BB222" s="47">
        <f t="shared" si="20"/>
        <v>110376000</v>
      </c>
      <c r="BC222" s="47">
        <f t="shared" si="20"/>
        <v>126144000</v>
      </c>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1"/>
      <c r="CN222" s="11"/>
      <c r="CO222" s="11"/>
      <c r="CP222" s="11"/>
      <c r="CQ222" s="11"/>
      <c r="CR222" s="15"/>
      <c r="CS222" s="15"/>
      <c r="CT222" s="15"/>
      <c r="CU222" s="15"/>
    </row>
    <row r="223" spans="1:99" ht="12" customHeight="1" x14ac:dyDescent="0.2">
      <c r="A223" s="65">
        <v>43903</v>
      </c>
      <c r="B223" s="15" t="s">
        <v>481</v>
      </c>
      <c r="C223" s="15" t="s">
        <v>262</v>
      </c>
      <c r="D223" s="59">
        <v>2020</v>
      </c>
      <c r="E223" s="75">
        <v>1</v>
      </c>
      <c r="F223" s="59">
        <v>230</v>
      </c>
      <c r="G223" s="59">
        <v>28.8</v>
      </c>
      <c r="H223" s="59" t="s">
        <v>747</v>
      </c>
      <c r="I223" s="59" t="s">
        <v>921</v>
      </c>
      <c r="J223" s="64" t="s">
        <v>483</v>
      </c>
      <c r="K223" s="60">
        <f t="shared" ref="K223" si="21">IF(J223="syllables",1,IF(J223="trigrams",2,IF(J223="strings",3,IF(J223="visual array",4,IF(J223="characters",5,IF(J223="letters",6,IF(J223="free forms",7,IF(J223="odors",8,IF(J223="words",9,IF(J223="pictures",10,IF(J223="object pictures",11,IF(J223="faces",12,IF(J223="names",13,IF(J223="idioms",14,IF(J223="grades",15,IF(J223="syllable-digit pairs",16,IF(J223="trigram-word pairs",17,IF(J223="word-digit pairs",18,IF(J223="English-Swahili pairs",19,IF(J223="spatial position",20,IF(J223="word pairs",21,IF(J223="word triads",22,IF(J223="generated words",23,IF(J223="word definition pairs",24,IF(J223="math problems",25,IF(J223="famous faces",26,IF(J223="famous names",27,IF(J223="famous voices",28,IF(J223="television programs",29,IF(J223="race horses",30,IF(J223="new vocabulary",31,IF(J223="sentences",32,IF(J223="concepts",33,IF(J223="ad slides",34,IF(J223="scenes",35,IF(J223="famous scenes",36,IF(J223="poems",37,IF(J223="walk",38,IF(J223="faces and events",39,IF(J223="events and names",40,IF(J223="flashbulb",41,IF(J223="stories",42,IF(J223="course material",43,IF(J223="autobiographical",44,IF(J223="novels",45,IF(J223="public events",46,"99"))))))))))))))))))))))))))))))))))))))))))))))</f>
        <v>45</v>
      </c>
      <c r="L223" s="60">
        <f t="shared" ref="L223" si="22">IF(J223="syllables",1,IF(J223="trigrams",1,IF(J223="strings",1,IF(J223="visual array",1,IF(J223="characters",1,IF(J223="letters",1,IF(J223="free forms",1,IF(J223="odors",2,IF(J223="words",2,IF(J223="pictures",2,IF(J223="object pictures",2,IF(J223="faces",2,IF(J223="names",2,IF(J223="idioms","2",IF(J223="grades",2,IF(J223="syllable-digit pairs",3,IF(J223="trigram-word pairs",3,IF(J223="word-digit pairs",3,IF(J223="English-Swahili pairs",3,IF(J223="spatial position",3,IF(J223="word pairs",4,IF(J223="word triads",4,IF(J223="generated words",4,IF(J223="word definition pairs",4,IF(J223="math problems",4,IF(J223="famous faces",4,IF(J223="famous names",4,IF(J223="famous voices",4,IF(J223="television programs",4,IF(J223="race horses",4,IF(J223="new vocabulary",4,IF(J223="sentences",5,IF(J223="concepts",5,IF(J223="ad slides",5,IF(J223="scenes",5,IF(J223="famous scenes",5,IF(J223="poems",6,IF(J223="walk",6,IF(J223="faces and events",6,IF(J223="events and names",6,IF(J223="flashbulb",7,IF(J223="stories",7,IF(J223="course material",7,IF(J223="autobiographical",7,IF(J223="novels",7,IF(J223="public events",7,"99"))))))))))))))))))))))))))))))))))))))))))))))</f>
        <v>7</v>
      </c>
      <c r="M223" s="59">
        <v>0</v>
      </c>
      <c r="N223" s="60">
        <v>3</v>
      </c>
      <c r="O223" s="59">
        <v>0</v>
      </c>
      <c r="P223" s="59"/>
      <c r="Q223" s="59" t="s">
        <v>182</v>
      </c>
      <c r="R223" s="60">
        <f t="shared" ref="R223" si="23">IF(Q223="Free Recall",1,IF(Q223="Cued Recall",2,IF(Q223="Recognition",3,IF(Q223="Multiple Choice",4,IF(Q223="Savings",5,IF(Q223="Stem Completion",6,IF(Q223="Fragment Completion",7,IF(Q223="anagram solution",8,IF(Q223="Matching",9,IF(Q223="Problem Solving",10,"99"))))))))))</f>
        <v>4</v>
      </c>
      <c r="S223" s="59" t="s">
        <v>482</v>
      </c>
      <c r="T223" s="59" t="s">
        <v>261</v>
      </c>
      <c r="U223" s="60">
        <f t="shared" ref="U223" si="24">IF(T223="within",1,0)</f>
        <v>0</v>
      </c>
      <c r="V223" s="59">
        <v>12</v>
      </c>
      <c r="W223" s="60">
        <f>F223*V223</f>
        <v>2760</v>
      </c>
      <c r="X223" s="60">
        <v>8</v>
      </c>
      <c r="Y223" s="76">
        <f>AV222</f>
        <v>15768000</v>
      </c>
      <c r="Z223" s="59" t="s">
        <v>484</v>
      </c>
      <c r="AA223" s="60">
        <f>7.5*365*24*60*60</f>
        <v>236520000</v>
      </c>
      <c r="AB223" s="60" t="str">
        <f>IF(AA223&lt;60,"1",IF(AA223&lt;=43200,"2",IF(AA223&lt;=777600,"3","4")))</f>
        <v>4</v>
      </c>
      <c r="AC223" s="56">
        <f>AVERAGE(AV222:DA222)</f>
        <v>70956000</v>
      </c>
      <c r="AD223" s="60" t="str">
        <f>IF(AC223&lt;60,"1",IF(AC223&lt;=43200,"2",IF(AC223&lt;=777600,"3","4")))</f>
        <v>4</v>
      </c>
      <c r="AE223" s="76">
        <f>AA223-Y223</f>
        <v>220752000</v>
      </c>
      <c r="AF223" s="80">
        <f>AV223</f>
        <v>0.34855769237500001</v>
      </c>
      <c r="AG223" s="56">
        <f>((AW223-AV223)+(AX223-AW223)+(AY223-AX223)+(AZ223-AY223)+(BA223-AZ223)+(BB223-BA223)+(BC223-BB223))/7</f>
        <v>-1.0000416274350641E-2</v>
      </c>
      <c r="AH223" s="4"/>
      <c r="AI223" s="56">
        <f>RSQ(AV223:BC223,AV222:BC222)</f>
        <v>0.48094919062519187</v>
      </c>
      <c r="AJ223" s="109">
        <f>SLOPE(AV223:BC223,AV222:BC222)</f>
        <v>-9.0487614569265724E-10</v>
      </c>
      <c r="AK223" s="56">
        <f>INTERCEPT(AV223:BC223,AV222:BC222)</f>
        <v>0.40797815210325844</v>
      </c>
      <c r="AL223" s="56">
        <f>INDEX(LINEST(LN(AV223:BC223),LN(AV222:BC222),TRUE,TRUE),3,1)</f>
        <v>0.34494861473606819</v>
      </c>
      <c r="AM223" s="56">
        <f>INDEX(LINEST(LN(AV223:BC223),LN(AV222:BC222)),1)</f>
        <v>-0.12162549739752275</v>
      </c>
      <c r="AN223" s="56">
        <f>EXP(INDEX(LINEST(LN(AV223:BC223),LN(AV222:BC222)),1,2))</f>
        <v>3.0038487053197565</v>
      </c>
      <c r="AO223" s="82">
        <f>INDEX(LINEST((AV223:BC223),LN(AV222:BC222),TRUE,TRUE),3,1)</f>
        <v>0.33285443558040656</v>
      </c>
      <c r="AP223" s="82">
        <f>INDEX(LINEST((AV223:BC223),LN(AV222:BC222)),1)</f>
        <v>-4.1335177830104299E-2</v>
      </c>
      <c r="AQ223" s="83">
        <f>INDEX(LINEST(LN(AV223:BC223),SQRT(AV222:BC222),TRUE,TRUE),3,1)</f>
        <v>0.43398912396035083</v>
      </c>
      <c r="AR223" s="116">
        <f>INDEX(LINEST(LN(AV223:BC223),SQRT((AV222:BC222))),1)</f>
        <v>-3.8455161536802804E-5</v>
      </c>
      <c r="AS223" s="84">
        <f>INDEX(LINEST(1/(AV223:BC223),1/(SQRT(AV222:BC222)),TRUE,TRUE),3,1)</f>
        <v>0.25664073449106151</v>
      </c>
      <c r="AT223" s="84">
        <f>INDEX(LINEST(1/(AV223:BC223),1/SQRT(AV222:BC222)),1)</f>
        <v>-3973.9443175244664</v>
      </c>
      <c r="AU223" s="3"/>
      <c r="AV223" s="11">
        <v>0.34855769237500001</v>
      </c>
      <c r="AW223" s="11">
        <v>0.43205128211999999</v>
      </c>
      <c r="AX223" s="11">
        <v>0.37893081771698106</v>
      </c>
      <c r="AY223" s="11">
        <v>0.30405405408108116</v>
      </c>
      <c r="AZ223" s="11">
        <v>0.35927251048837205</v>
      </c>
      <c r="BA223" s="11">
        <v>0.35521662244827584</v>
      </c>
      <c r="BB223" s="11">
        <v>0.29353632479166664</v>
      </c>
      <c r="BC223" s="11">
        <v>0.27855477845454552</v>
      </c>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1"/>
      <c r="CN223" s="11"/>
      <c r="CO223" s="11"/>
      <c r="CP223" s="11"/>
      <c r="CQ223" s="11"/>
      <c r="CR223" s="15"/>
      <c r="CS223" s="15"/>
      <c r="CT223" s="15"/>
      <c r="CU223" s="15"/>
    </row>
    <row r="224" spans="1:99" ht="12" customHeight="1" x14ac:dyDescent="0.2">
      <c r="A224" s="65">
        <v>43903</v>
      </c>
      <c r="B224" s="15"/>
      <c r="C224" s="15"/>
      <c r="D224" s="59"/>
      <c r="E224" s="75"/>
      <c r="F224" s="59"/>
      <c r="G224" s="59"/>
      <c r="H224" s="59"/>
      <c r="I224" s="59"/>
      <c r="M224" s="59"/>
      <c r="N224" s="60"/>
      <c r="O224" s="59"/>
      <c r="P224" s="59"/>
      <c r="Q224" s="59"/>
      <c r="R224" s="60"/>
      <c r="S224" s="59"/>
      <c r="T224" s="59"/>
      <c r="U224" s="60"/>
      <c r="V224" s="59"/>
      <c r="W224" s="60"/>
      <c r="X224" s="60"/>
      <c r="Y224" s="76"/>
      <c r="Z224" s="59"/>
      <c r="AA224" s="59"/>
      <c r="AB224" s="60"/>
      <c r="AC224" s="56"/>
      <c r="AD224" s="60"/>
      <c r="AE224" s="60"/>
      <c r="AF224" s="80"/>
      <c r="AG224" s="56"/>
      <c r="AH224" s="4"/>
      <c r="AI224" s="56"/>
      <c r="AJ224" s="109"/>
      <c r="AK224" s="56"/>
      <c r="AL224" s="56"/>
      <c r="AM224" s="56"/>
      <c r="AN224" s="56"/>
      <c r="AO224" s="82"/>
      <c r="AP224" s="82"/>
      <c r="AQ224" s="83"/>
      <c r="AR224" s="116"/>
      <c r="AS224" s="84"/>
      <c r="AT224" s="84"/>
      <c r="AU224" s="3"/>
      <c r="AV224" s="47">
        <v>15768000</v>
      </c>
      <c r="AW224" s="47">
        <f t="shared" ref="AW224:BC224" si="25">AV224+15768000</f>
        <v>31536000</v>
      </c>
      <c r="AX224" s="47">
        <f t="shared" si="25"/>
        <v>47304000</v>
      </c>
      <c r="AY224" s="47">
        <f t="shared" si="25"/>
        <v>63072000</v>
      </c>
      <c r="AZ224" s="47">
        <f t="shared" si="25"/>
        <v>78840000</v>
      </c>
      <c r="BA224" s="47">
        <f t="shared" si="25"/>
        <v>94608000</v>
      </c>
      <c r="BB224" s="47">
        <f t="shared" si="25"/>
        <v>110376000</v>
      </c>
      <c r="BC224" s="47">
        <f t="shared" si="25"/>
        <v>126144000</v>
      </c>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1"/>
      <c r="CN224" s="11"/>
      <c r="CO224" s="11"/>
      <c r="CP224" s="11"/>
      <c r="CQ224" s="11"/>
      <c r="CR224" s="15"/>
      <c r="CS224" s="15"/>
      <c r="CT224" s="15"/>
      <c r="CU224" s="15"/>
    </row>
    <row r="225" spans="1:99" ht="12" customHeight="1" x14ac:dyDescent="0.2">
      <c r="A225" s="65">
        <v>43903</v>
      </c>
      <c r="B225" s="15" t="s">
        <v>481</v>
      </c>
      <c r="C225" s="15" t="s">
        <v>262</v>
      </c>
      <c r="D225" s="59">
        <v>2020</v>
      </c>
      <c r="E225" s="75">
        <v>1</v>
      </c>
      <c r="F225" s="59">
        <v>230</v>
      </c>
      <c r="G225" s="59">
        <v>28.8</v>
      </c>
      <c r="H225" s="59" t="s">
        <v>747</v>
      </c>
      <c r="I225" s="59" t="s">
        <v>876</v>
      </c>
      <c r="J225" s="64" t="s">
        <v>483</v>
      </c>
      <c r="K225" s="60">
        <f t="shared" ref="K225" si="26">IF(J225="syllables",1,IF(J225="trigrams",2,IF(J225="strings",3,IF(J225="visual array",4,IF(J225="characters",5,IF(J225="letters",6,IF(J225="free forms",7,IF(J225="odors",8,IF(J225="words",9,IF(J225="pictures",10,IF(J225="object pictures",11,IF(J225="faces",12,IF(J225="names",13,IF(J225="idioms",14,IF(J225="grades",15,IF(J225="syllable-digit pairs",16,IF(J225="trigram-word pairs",17,IF(J225="word-digit pairs",18,IF(J225="English-Swahili pairs",19,IF(J225="spatial position",20,IF(J225="word pairs",21,IF(J225="word triads",22,IF(J225="generated words",23,IF(J225="word definition pairs",24,IF(J225="math problems",25,IF(J225="famous faces",26,IF(J225="famous names",27,IF(J225="famous voices",28,IF(J225="television programs",29,IF(J225="race horses",30,IF(J225="new vocabulary",31,IF(J225="sentences",32,IF(J225="concepts",33,IF(J225="ad slides",34,IF(J225="scenes",35,IF(J225="famous scenes",36,IF(J225="poems",37,IF(J225="walk",38,IF(J225="faces and events",39,IF(J225="events and names",40,IF(J225="flashbulb",41,IF(J225="stories",42,IF(J225="course material",43,IF(J225="autobiographical",44,IF(J225="novels",45,IF(J225="public events",46,"99"))))))))))))))))))))))))))))))))))))))))))))))</f>
        <v>45</v>
      </c>
      <c r="L225" s="60">
        <f t="shared" ref="L225" si="27">IF(J225="syllables",1,IF(J225="trigrams",1,IF(J225="strings",1,IF(J225="visual array",1,IF(J225="characters",1,IF(J225="letters",1,IF(J225="free forms",1,IF(J225="odors",2,IF(J225="words",2,IF(J225="pictures",2,IF(J225="object pictures",2,IF(J225="faces",2,IF(J225="names",2,IF(J225="idioms","2",IF(J225="grades",2,IF(J225="syllable-digit pairs",3,IF(J225="trigram-word pairs",3,IF(J225="word-digit pairs",3,IF(J225="English-Swahili pairs",3,IF(J225="spatial position",3,IF(J225="word pairs",4,IF(J225="word triads",4,IF(J225="generated words",4,IF(J225="word definition pairs",4,IF(J225="math problems",4,IF(J225="famous faces",4,IF(J225="famous names",4,IF(J225="famous voices",4,IF(J225="television programs",4,IF(J225="race horses",4,IF(J225="new vocabulary",4,IF(J225="sentences",5,IF(J225="concepts",5,IF(J225="ad slides",5,IF(J225="scenes",5,IF(J225="famous scenes",5,IF(J225="poems",6,IF(J225="walk",6,IF(J225="faces and events",6,IF(J225="events and names",6,IF(J225="flashbulb",7,IF(J225="stories",7,IF(J225="course material",7,IF(J225="autobiographical",7,IF(J225="novels",7,IF(J225="public events",7,"99"))))))))))))))))))))))))))))))))))))))))))))))</f>
        <v>7</v>
      </c>
      <c r="M225" s="59">
        <v>0</v>
      </c>
      <c r="N225" s="60">
        <v>3</v>
      </c>
      <c r="O225" s="59">
        <v>0</v>
      </c>
      <c r="P225" s="59"/>
      <c r="Q225" s="59" t="s">
        <v>182</v>
      </c>
      <c r="R225" s="60">
        <f t="shared" ref="R225" si="28">IF(Q225="Free Recall",1,IF(Q225="Cued Recall",2,IF(Q225="Recognition",3,IF(Q225="Multiple Choice",4,IF(Q225="Savings",5,IF(Q225="Stem Completion",6,IF(Q225="Fragment Completion",7,IF(Q225="anagram solution",8,IF(Q225="Matching",9,IF(Q225="Problem Solving",10,"99"))))))))))</f>
        <v>4</v>
      </c>
      <c r="S225" s="59" t="s">
        <v>482</v>
      </c>
      <c r="T225" s="59" t="s">
        <v>261</v>
      </c>
      <c r="U225" s="60">
        <f t="shared" ref="U225" si="29">IF(T225="within",1,0)</f>
        <v>0</v>
      </c>
      <c r="V225" s="59">
        <v>12</v>
      </c>
      <c r="W225" s="60">
        <f>F225*V225</f>
        <v>2760</v>
      </c>
      <c r="X225" s="60">
        <v>8</v>
      </c>
      <c r="Y225" s="76">
        <f>AV224</f>
        <v>15768000</v>
      </c>
      <c r="Z225" s="59" t="s">
        <v>484</v>
      </c>
      <c r="AA225" s="60">
        <f>7.5*365*24*60*60</f>
        <v>236520000</v>
      </c>
      <c r="AB225" s="60" t="str">
        <f>IF(AA225&lt;60,"1",IF(AA225&lt;=43200,"2",IF(AA225&lt;=777600,"3","4")))</f>
        <v>4</v>
      </c>
      <c r="AC225" s="56">
        <f>AVERAGE(AV224:DA224)</f>
        <v>70956000</v>
      </c>
      <c r="AD225" s="60" t="str">
        <f>IF(AC225&lt;60,"1",IF(AC225&lt;=43200,"2",IF(AC225&lt;=777600,"3","4")))</f>
        <v>4</v>
      </c>
      <c r="AE225" s="76">
        <f>AA225-Y225</f>
        <v>220752000</v>
      </c>
      <c r="AF225" s="80">
        <f>AV225</f>
        <v>0.64434523787499998</v>
      </c>
      <c r="AG225" s="56">
        <f>((AW225-AV225)+(AX225-AW225)+(AY225-AX225)+(AZ225-AY225)+(BA225-AZ225)+(BB225-BA225)+(BC225-BB225))/7</f>
        <v>-3.5463048839285707E-2</v>
      </c>
      <c r="AH225" s="4"/>
      <c r="AI225" s="56">
        <f>RSQ(AV225:BC225,AV224:BC224)</f>
        <v>0.75747435581590861</v>
      </c>
      <c r="AJ225" s="109">
        <f>SLOPE(AV225:BC225,AV224:BC224)</f>
        <v>-2.1007903644135666E-9</v>
      </c>
      <c r="AK225" s="56">
        <f>INTERCEPT(AV225:BC225,AV224:BC224)</f>
        <v>0.60234301210134489</v>
      </c>
      <c r="AL225" s="56">
        <f>INDEX(LINEST(LN(AV225:BC225),LN(AV224:BC224),TRUE,TRUE),3,1)</f>
        <v>0.88899559745602985</v>
      </c>
      <c r="AM225" s="56">
        <f>INDEX(LINEST(LN(AV225:BC225),LN(AV224:BC224)),1)</f>
        <v>-0.26002428706625635</v>
      </c>
      <c r="AN225" s="56">
        <f>EXP(INDEX(LINEST(LN(AV225:BC225),LN(AV224:BC224)),1,2))</f>
        <v>46.799940767628094</v>
      </c>
      <c r="AO225" s="82">
        <f>INDEX(LINEST((AV225:BC225),LN(AV224:BC224),TRUE,TRUE),3,1)</f>
        <v>0.90563775339500319</v>
      </c>
      <c r="AP225" s="82">
        <f>INDEX(LINEST((AV225:BC225),LN(AV224:BC224)),1)</f>
        <v>-0.12613311014326475</v>
      </c>
      <c r="AQ225" s="83">
        <f>INDEX(LINEST(LN(AV225:BC225),SQRT(AV224:BC224),TRUE,TRUE),3,1)</f>
        <v>0.84907287770681383</v>
      </c>
      <c r="AR225" s="116">
        <f>INDEX(LINEST(LN(AV225:BC225),SQRT((AV224:BC224))),1)</f>
        <v>-7.1631555748135709E-5</v>
      </c>
      <c r="AS225" s="84">
        <f>INDEX(LINEST(1/(AV225:BC225),1/(SQRT(AV224:BC224)),TRUE,TRUE),3,1)</f>
        <v>0.82452129208008595</v>
      </c>
      <c r="AT225" s="84">
        <f>INDEX(LINEST(1/(AV225:BC225),1/SQRT(AV224:BC224)),1)</f>
        <v>-6981.8826863062131</v>
      </c>
      <c r="AU225" s="3"/>
      <c r="AV225" s="11">
        <v>0.64434523787499998</v>
      </c>
      <c r="AW225" s="11">
        <v>0.50238095231999991</v>
      </c>
      <c r="AX225" s="11">
        <v>0.48876909258490581</v>
      </c>
      <c r="AY225" s="11">
        <v>0.43564993570270261</v>
      </c>
      <c r="AZ225" s="11">
        <v>0.39424141755813941</v>
      </c>
      <c r="BA225" s="11">
        <v>0.42446633824137936</v>
      </c>
      <c r="BB225" s="11">
        <v>0.34027777775000007</v>
      </c>
      <c r="BC225" s="11">
        <v>0.39610389600000001</v>
      </c>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1"/>
      <c r="CN225" s="11"/>
      <c r="CO225" s="11"/>
      <c r="CP225" s="11"/>
      <c r="CQ225" s="11"/>
      <c r="CR225" s="15"/>
      <c r="CS225" s="15"/>
      <c r="CT225" s="15"/>
      <c r="CU225" s="15"/>
    </row>
    <row r="226" spans="1:99" ht="12" customHeight="1" x14ac:dyDescent="0.2">
      <c r="A226" s="65">
        <v>43903</v>
      </c>
      <c r="B226" s="15"/>
      <c r="C226" s="15"/>
      <c r="D226" s="59"/>
      <c r="E226" s="75"/>
      <c r="F226" s="59"/>
      <c r="G226" s="59"/>
      <c r="H226" s="59"/>
      <c r="I226" s="59"/>
      <c r="M226" s="59"/>
      <c r="N226" s="60"/>
      <c r="O226" s="59"/>
      <c r="P226" s="59"/>
      <c r="Q226" s="59"/>
      <c r="R226" s="60"/>
      <c r="S226" s="59"/>
      <c r="T226" s="59"/>
      <c r="U226" s="60"/>
      <c r="V226" s="59"/>
      <c r="W226" s="60"/>
      <c r="X226" s="60"/>
      <c r="Y226" s="76"/>
      <c r="Z226" s="59"/>
      <c r="AA226" s="59"/>
      <c r="AB226" s="60"/>
      <c r="AC226" s="56"/>
      <c r="AD226" s="60"/>
      <c r="AE226" s="60"/>
      <c r="AF226" s="80"/>
      <c r="AG226" s="56"/>
      <c r="AH226" s="4"/>
      <c r="AI226" s="56"/>
      <c r="AJ226" s="109"/>
      <c r="AK226" s="56"/>
      <c r="AL226" s="56"/>
      <c r="AM226" s="56"/>
      <c r="AN226" s="56"/>
      <c r="AO226" s="82"/>
      <c r="AP226" s="82"/>
      <c r="AQ226" s="83"/>
      <c r="AR226" s="116"/>
      <c r="AS226" s="84"/>
      <c r="AT226" s="84"/>
      <c r="AU226" s="3"/>
      <c r="AV226" s="47">
        <v>15768000</v>
      </c>
      <c r="AW226" s="47">
        <f t="shared" ref="AW226:BC226" si="30">AV226+15768000</f>
        <v>31536000</v>
      </c>
      <c r="AX226" s="47">
        <f t="shared" si="30"/>
        <v>47304000</v>
      </c>
      <c r="AY226" s="47">
        <f t="shared" si="30"/>
        <v>63072000</v>
      </c>
      <c r="AZ226" s="47">
        <f t="shared" si="30"/>
        <v>78840000</v>
      </c>
      <c r="BA226" s="47">
        <f t="shared" si="30"/>
        <v>94608000</v>
      </c>
      <c r="BB226" s="47">
        <f t="shared" si="30"/>
        <v>110376000</v>
      </c>
      <c r="BC226" s="47">
        <f t="shared" si="30"/>
        <v>126144000</v>
      </c>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1"/>
      <c r="CN226" s="11"/>
      <c r="CO226" s="11"/>
      <c r="CP226" s="11"/>
      <c r="CQ226" s="11"/>
      <c r="CR226" s="15"/>
      <c r="CS226" s="15"/>
      <c r="CT226" s="15"/>
      <c r="CU226" s="15"/>
    </row>
    <row r="227" spans="1:99" ht="12" customHeight="1" x14ac:dyDescent="0.2">
      <c r="A227" s="65">
        <v>43903</v>
      </c>
      <c r="B227" s="15" t="s">
        <v>481</v>
      </c>
      <c r="C227" s="15" t="s">
        <v>262</v>
      </c>
      <c r="D227" s="59">
        <v>2020</v>
      </c>
      <c r="E227" s="75">
        <v>1</v>
      </c>
      <c r="F227" s="59">
        <v>230</v>
      </c>
      <c r="G227" s="59">
        <v>28.8</v>
      </c>
      <c r="H227" s="59" t="s">
        <v>747</v>
      </c>
      <c r="I227" s="59" t="s">
        <v>923</v>
      </c>
      <c r="J227" s="64" t="s">
        <v>483</v>
      </c>
      <c r="K227" s="60">
        <f t="shared" ref="K227" si="31">IF(J227="syllables",1,IF(J227="trigrams",2,IF(J227="strings",3,IF(J227="visual array",4,IF(J227="characters",5,IF(J227="letters",6,IF(J227="free forms",7,IF(J227="odors",8,IF(J227="words",9,IF(J227="pictures",10,IF(J227="object pictures",11,IF(J227="faces",12,IF(J227="names",13,IF(J227="idioms",14,IF(J227="grades",15,IF(J227="syllable-digit pairs",16,IF(J227="trigram-word pairs",17,IF(J227="word-digit pairs",18,IF(J227="English-Swahili pairs",19,IF(J227="spatial position",20,IF(J227="word pairs",21,IF(J227="word triads",22,IF(J227="generated words",23,IF(J227="word definition pairs",24,IF(J227="math problems",25,IF(J227="famous faces",26,IF(J227="famous names",27,IF(J227="famous voices",28,IF(J227="television programs",29,IF(J227="race horses",30,IF(J227="new vocabulary",31,IF(J227="sentences",32,IF(J227="concepts",33,IF(J227="ad slides",34,IF(J227="scenes",35,IF(J227="famous scenes",36,IF(J227="poems",37,IF(J227="walk",38,IF(J227="faces and events",39,IF(J227="events and names",40,IF(J227="flashbulb",41,IF(J227="stories",42,IF(J227="course material",43,IF(J227="autobiographical",44,IF(J227="novels",45,IF(J227="public events",46,"99"))))))))))))))))))))))))))))))))))))))))))))))</f>
        <v>45</v>
      </c>
      <c r="L227" s="60">
        <f t="shared" ref="L227" si="32">IF(J227="syllables",1,IF(J227="trigrams",1,IF(J227="strings",1,IF(J227="visual array",1,IF(J227="characters",1,IF(J227="letters",1,IF(J227="free forms",1,IF(J227="odors",2,IF(J227="words",2,IF(J227="pictures",2,IF(J227="object pictures",2,IF(J227="faces",2,IF(J227="names",2,IF(J227="idioms","2",IF(J227="grades",2,IF(J227="syllable-digit pairs",3,IF(J227="trigram-word pairs",3,IF(J227="word-digit pairs",3,IF(J227="English-Swahili pairs",3,IF(J227="spatial position",3,IF(J227="word pairs",4,IF(J227="word triads",4,IF(J227="generated words",4,IF(J227="word definition pairs",4,IF(J227="math problems",4,IF(J227="famous faces",4,IF(J227="famous names",4,IF(J227="famous voices",4,IF(J227="television programs",4,IF(J227="race horses",4,IF(J227="new vocabulary",4,IF(J227="sentences",5,IF(J227="concepts",5,IF(J227="ad slides",5,IF(J227="scenes",5,IF(J227="famous scenes",5,IF(J227="poems",6,IF(J227="walk",6,IF(J227="faces and events",6,IF(J227="events and names",6,IF(J227="flashbulb",7,IF(J227="stories",7,IF(J227="course material",7,IF(J227="autobiographical",7,IF(J227="novels",7,IF(J227="public events",7,"99"))))))))))))))))))))))))))))))))))))))))))))))</f>
        <v>7</v>
      </c>
      <c r="M227" s="59">
        <v>0</v>
      </c>
      <c r="N227" s="60">
        <v>3</v>
      </c>
      <c r="O227" s="59">
        <v>0</v>
      </c>
      <c r="P227" s="59"/>
      <c r="Q227" s="59" t="s">
        <v>182</v>
      </c>
      <c r="R227" s="60">
        <f t="shared" ref="R227" si="33">IF(Q227="Free Recall",1,IF(Q227="Cued Recall",2,IF(Q227="Recognition",3,IF(Q227="Multiple Choice",4,IF(Q227="Savings",5,IF(Q227="Stem Completion",6,IF(Q227="Fragment Completion",7,IF(Q227="anagram solution",8,IF(Q227="Matching",9,IF(Q227="Problem Solving",10,"99"))))))))))</f>
        <v>4</v>
      </c>
      <c r="S227" s="59" t="s">
        <v>482</v>
      </c>
      <c r="T227" s="59" t="s">
        <v>261</v>
      </c>
      <c r="U227" s="60">
        <f t="shared" ref="U227" si="34">IF(T227="within",1,0)</f>
        <v>0</v>
      </c>
      <c r="V227" s="59">
        <v>12</v>
      </c>
      <c r="W227" s="60">
        <f>F227*V227</f>
        <v>2760</v>
      </c>
      <c r="X227" s="60">
        <v>8</v>
      </c>
      <c r="Y227" s="76">
        <f>AV226</f>
        <v>15768000</v>
      </c>
      <c r="Z227" s="59" t="s">
        <v>484</v>
      </c>
      <c r="AA227" s="60">
        <f>7.5*365*24*60*60</f>
        <v>236520000</v>
      </c>
      <c r="AB227" s="60" t="str">
        <f>IF(AA227&lt;60,"1",IF(AA227&lt;=43200,"2",IF(AA227&lt;=777600,"3","4")))</f>
        <v>4</v>
      </c>
      <c r="AC227" s="56">
        <f>AVERAGE(AV226:DA226)</f>
        <v>70956000</v>
      </c>
      <c r="AD227" s="60" t="str">
        <f>IF(AC227&lt;60,"1",IF(AC227&lt;=43200,"2",IF(AC227&lt;=777600,"3","4")))</f>
        <v>4</v>
      </c>
      <c r="AE227" s="76">
        <f>AA227-Y227</f>
        <v>220752000</v>
      </c>
      <c r="AF227" s="80">
        <f>AV227</f>
        <v>0.55833333337500002</v>
      </c>
      <c r="AG227" s="56">
        <f>((AW227-AV227)+(AX227-AW227)+(AY227-AX227)+(AZ227-AY227)+(BA227-AZ227)+(BB227-BA227)+(BC227-BB227))/7</f>
        <v>-1.6406212845779224E-2</v>
      </c>
      <c r="AH227" s="4"/>
      <c r="AI227" s="56">
        <f>RSQ(AV227:BC227,AV226:BC226)</f>
        <v>0.7435493717943682</v>
      </c>
      <c r="AJ227" s="109">
        <f>SLOPE(AV227:BC227,AV226:BC226)</f>
        <v>-9.792244059704596E-10</v>
      </c>
      <c r="AK227" s="56">
        <f>INTERCEPT(AV227:BC227,AV226:BC226)</f>
        <v>0.54486231740455915</v>
      </c>
      <c r="AL227" s="56">
        <f>INDEX(LINEST(LN(AV227:BC227),LN(AV226:BC226),TRUE,TRUE),3,1)</f>
        <v>0.90122566130962967</v>
      </c>
      <c r="AM227" s="56">
        <f>INDEX(LINEST(LN(AV227:BC227),LN(AV226:BC226)),1)</f>
        <v>-0.11998941029435654</v>
      </c>
      <c r="AN227" s="56">
        <f>EXP(INDEX(LINEST(LN(AV227:BC227),LN(AV226:BC226)),1,2))</f>
        <v>4.057286730837963</v>
      </c>
      <c r="AO227" s="82">
        <f>INDEX(LINEST((AV227:BC227),LN(AV226:BC226),TRUE,TRUE),3,1)</f>
        <v>0.90374183107219108</v>
      </c>
      <c r="AP227" s="82">
        <f>INDEX(LINEST((AV227:BC227),LN(AV226:BC226)),1)</f>
        <v>-5.9279237898389084E-2</v>
      </c>
      <c r="AQ227" s="83">
        <f>INDEX(LINEST(LN(AV227:BC227),SQRT(AV226:BC226),TRUE,TRUE),3,1)</f>
        <v>0.84151556197073063</v>
      </c>
      <c r="AR227" s="116">
        <f>INDEX(LINEST(LN(AV227:BC227),SQRT((AV226:BC226))),1)</f>
        <v>-3.2683233029608168E-5</v>
      </c>
      <c r="AS227" s="84">
        <f>INDEX(LINEST(1/(AV227:BC227),1/(SQRT(AV226:BC226)),TRUE,TRUE),3,1)</f>
        <v>0.90147324340133839</v>
      </c>
      <c r="AT227" s="84">
        <f>INDEX(LINEST(1/(AV227:BC227),1/SQRT(AV226:BC226)),1)</f>
        <v>-3149.5351062109639</v>
      </c>
      <c r="AU227" s="3"/>
      <c r="AV227" s="11">
        <v>0.55833333337500002</v>
      </c>
      <c r="AW227" s="11">
        <v>0.52455677667999989</v>
      </c>
      <c r="AX227" s="11">
        <v>0.47548552071698119</v>
      </c>
      <c r="AY227" s="11">
        <v>0.46107811113513519</v>
      </c>
      <c r="AZ227" s="11">
        <v>0.43855524325581402</v>
      </c>
      <c r="BA227" s="11">
        <v>0.46452570431034484</v>
      </c>
      <c r="BB227" s="11">
        <v>0.43701923070833332</v>
      </c>
      <c r="BC227" s="11">
        <v>0.44348984345454545</v>
      </c>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1"/>
      <c r="CN227" s="11"/>
      <c r="CO227" s="11"/>
      <c r="CP227" s="11"/>
      <c r="CQ227" s="11"/>
      <c r="CR227" s="15"/>
      <c r="CS227" s="15"/>
      <c r="CT227" s="15"/>
      <c r="CU227" s="15"/>
    </row>
    <row r="228" spans="1:99" ht="12" customHeight="1" x14ac:dyDescent="0.2">
      <c r="A228" s="65">
        <v>43903</v>
      </c>
      <c r="B228" s="15"/>
      <c r="C228" s="15"/>
      <c r="D228" s="59"/>
      <c r="E228" s="75"/>
      <c r="F228" s="59"/>
      <c r="G228" s="59"/>
      <c r="H228" s="59"/>
      <c r="I228" s="59"/>
      <c r="M228" s="59"/>
      <c r="N228" s="60"/>
      <c r="O228" s="59"/>
      <c r="P228" s="59"/>
      <c r="Q228" s="59"/>
      <c r="R228" s="60"/>
      <c r="S228" s="59"/>
      <c r="T228" s="59"/>
      <c r="U228" s="60"/>
      <c r="V228" s="59"/>
      <c r="W228" s="60"/>
      <c r="X228" s="60"/>
      <c r="Y228" s="76"/>
      <c r="Z228" s="59"/>
      <c r="AA228" s="59"/>
      <c r="AB228" s="60"/>
      <c r="AC228" s="56"/>
      <c r="AD228" s="60"/>
      <c r="AE228" s="60"/>
      <c r="AF228" s="80"/>
      <c r="AG228" s="56"/>
      <c r="AH228" s="4"/>
      <c r="AI228" s="56"/>
      <c r="AJ228" s="109"/>
      <c r="AK228" s="56"/>
      <c r="AL228" s="56"/>
      <c r="AM228" s="56"/>
      <c r="AN228" s="56"/>
      <c r="AO228" s="82"/>
      <c r="AP228" s="82"/>
      <c r="AQ228" s="83"/>
      <c r="AR228" s="116"/>
      <c r="AS228" s="84"/>
      <c r="AT228" s="84"/>
      <c r="AU228" s="3"/>
      <c r="AV228" s="47">
        <v>31536000</v>
      </c>
      <c r="AW228" s="47">
        <v>47304000</v>
      </c>
      <c r="AX228" s="47">
        <v>63072000</v>
      </c>
      <c r="AY228" s="47">
        <v>78840000</v>
      </c>
      <c r="AZ228" s="47">
        <v>94608000</v>
      </c>
      <c r="BA228" s="47">
        <v>110376000</v>
      </c>
      <c r="BB228" s="47">
        <v>126144000</v>
      </c>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1"/>
      <c r="CN228" s="11"/>
      <c r="CO228" s="11"/>
      <c r="CP228" s="11"/>
      <c r="CQ228" s="11"/>
      <c r="CR228" s="15"/>
      <c r="CS228" s="15"/>
      <c r="CT228" s="15"/>
      <c r="CU228" s="15"/>
    </row>
    <row r="229" spans="1:99" ht="12" customHeight="1" x14ac:dyDescent="0.2">
      <c r="A229" s="65">
        <v>43903</v>
      </c>
      <c r="B229" s="15" t="s">
        <v>481</v>
      </c>
      <c r="C229" s="15" t="s">
        <v>262</v>
      </c>
      <c r="D229" s="59">
        <v>2020</v>
      </c>
      <c r="E229" s="75">
        <v>2</v>
      </c>
      <c r="F229" s="59">
        <v>142</v>
      </c>
      <c r="G229" s="59">
        <v>17.75</v>
      </c>
      <c r="H229" s="59" t="s">
        <v>747</v>
      </c>
      <c r="I229" s="59" t="s">
        <v>920</v>
      </c>
      <c r="J229" s="64" t="s">
        <v>483</v>
      </c>
      <c r="K229" s="60">
        <f>IF(J229="syllables",1,IF(J229="trigrams",2,IF(J229="strings",3,IF(J229="visual array",4,IF(J229="characters",5,IF(J229="letters",6,IF(J229="free forms",7,IF(J229="odors",8,IF(J229="words",9,IF(J229="pictures",10,IF(J229="object pictures",11,IF(J229="faces",12,IF(J229="names",13,IF(J229="idioms",14,IF(J229="grades",15,IF(J229="syllable-digit pairs",16,IF(J229="trigram-word pairs",17,IF(J229="word-digit pairs",18,IF(J229="English-Swahili pairs",19,IF(J229="spatial position",20,IF(J229="word pairs",21,IF(J229="word triads",22,IF(J229="generated words",23,IF(J229="word definition pairs",24,IF(J229="math problems",25,IF(J229="famous faces",26,IF(J229="famous names",27,IF(J229="famous voices",28,IF(J229="television programs",29,IF(J229="race horses",30,IF(J229="new vocabulary",31,IF(J229="sentences",32,IF(J229="concepts",33,IF(J229="ad slides",34,IF(J229="scenes",35,IF(J229="famous scenes",36,IF(J229="poems",37,IF(J229="walk",38,IF(J229="faces and events",39,IF(J229="events and names",40,IF(J229="flashbulb",41,IF(J229="stories",42,IF(J229="course material",43,IF(J229="autobiographical",44,IF(J229="novels",45,IF(J229="public events",46,"99"))))))))))))))))))))))))))))))))))))))))))))))</f>
        <v>45</v>
      </c>
      <c r="L229" s="60">
        <f>IF(J229="syllables",1,IF(J229="trigrams",1,IF(J229="strings",1,IF(J229="visual array",1,IF(J229="characters",1,IF(J229="letters",1,IF(J229="free forms",1,IF(J229="odors",2,IF(J229="words",2,IF(J229="pictures",2,IF(J229="object pictures",2,IF(J229="faces",2,IF(J229="names",2,IF(J229="idioms","2",IF(J229="grades",2,IF(J229="syllable-digit pairs",3,IF(J229="trigram-word pairs",3,IF(J229="word-digit pairs",3,IF(J229="English-Swahili pairs",3,IF(J229="spatial position",3,IF(J229="word pairs",4,IF(J229="word triads",4,IF(J229="generated words",4,IF(J229="word definition pairs",4,IF(J229="math problems",4,IF(J229="famous faces",4,IF(J229="famous names",4,IF(J229="famous voices",4,IF(J229="television programs",4,IF(J229="race horses",4,IF(J229="new vocabulary",4,IF(J229="sentences",5,IF(J229="concepts",5,IF(J229="ad slides",5,IF(J229="scenes",5,IF(J229="famous scenes",5,IF(J229="poems",6,IF(J229="walk",6,IF(J229="faces and events",6,IF(J229="events and names",6,IF(J229="flashbulb",7,IF(J229="stories",7,IF(J229="course material",7,IF(J229="autobiographical",7,IF(J229="novels",7,IF(J229="public events",7,"99"))))))))))))))))))))))))))))))))))))))))))))))</f>
        <v>7</v>
      </c>
      <c r="M229" s="59">
        <v>0</v>
      </c>
      <c r="N229" s="60">
        <v>3</v>
      </c>
      <c r="O229" s="59">
        <v>0</v>
      </c>
      <c r="P229" s="59"/>
      <c r="Q229" s="59" t="s">
        <v>182</v>
      </c>
      <c r="R229" s="60">
        <f>IF(Q229="Free Recall",1,IF(Q229="Cued Recall",2,IF(Q229="Recognition",3,IF(Q229="Multiple Choice",4,IF(Q229="Savings",5,IF(Q229="Stem Completion",6,IF(Q229="Fragment Completion",7,IF(Q229="anagram solution",8,IF(Q229="Matching",9,IF(Q229="Problem Solving",10,"99"))))))))))</f>
        <v>4</v>
      </c>
      <c r="S229" s="59" t="s">
        <v>482</v>
      </c>
      <c r="T229" s="59" t="s">
        <v>261</v>
      </c>
      <c r="U229" s="60">
        <f t="shared" ref="U229" si="35">IF(T229="within",1,0)</f>
        <v>0</v>
      </c>
      <c r="V229" s="59">
        <v>12</v>
      </c>
      <c r="W229" s="60">
        <f>F229*V229</f>
        <v>1704</v>
      </c>
      <c r="X229" s="60">
        <v>7</v>
      </c>
      <c r="Y229" s="76">
        <f>AV228</f>
        <v>31536000</v>
      </c>
      <c r="Z229" s="59" t="s">
        <v>484</v>
      </c>
      <c r="AA229" s="60">
        <f>7.5*365*24*60*60</f>
        <v>236520000</v>
      </c>
      <c r="AB229" s="60" t="str">
        <f>IF(AA229&lt;60,"1",IF(AA229&lt;=43200,"2",IF(AA229&lt;=777600,"3","4")))</f>
        <v>4</v>
      </c>
      <c r="AC229" s="56">
        <f>AVERAGE(AV228:DA228)</f>
        <v>78840000</v>
      </c>
      <c r="AD229" s="60" t="str">
        <f>IF(AC229&lt;60,"1",IF(AC229&lt;=43200,"2",IF(AC229&lt;=777600,"3","4")))</f>
        <v>4</v>
      </c>
      <c r="AE229" s="76">
        <f>AA229-Y229</f>
        <v>204984000</v>
      </c>
      <c r="AF229" s="80">
        <f>AV229</f>
        <v>0.56302521008403306</v>
      </c>
      <c r="AG229" s="56">
        <f>((AW229-AV229)+(AX229-AW229)+(AY229-AX229)+(AZ229-AY229)+(BA229-AZ229)+(BB229-BA229))/6</f>
        <v>-6.3916475681181266E-3</v>
      </c>
      <c r="AH229" s="4"/>
      <c r="AI229" s="56">
        <f>RSQ(AV229:BB229,AV228:BB228)</f>
        <v>4.5483388842338616E-4</v>
      </c>
      <c r="AJ229" s="109">
        <f>SLOPE(AV229:BB229,AV228:BB228)</f>
        <v>-1.5754896478113712E-11</v>
      </c>
      <c r="AK229" s="56">
        <f>INTERCEPT(AV229:BB229,AV228:BB228)</f>
        <v>0.52668386465697337</v>
      </c>
      <c r="AL229" s="56">
        <f>INDEX(LINEST(LN(AV229:BB229),LN(AV228:BB228),TRUE,TRUE),3,1)</f>
        <v>2.1561163009798479E-2</v>
      </c>
      <c r="AM229" s="56">
        <f>INDEX(LINEST(LN(AV229:BB229),LN(AV228:BB228)),1)</f>
        <v>-1.4103545186359603E-2</v>
      </c>
      <c r="AN229" s="56">
        <f>EXP(INDEX(LINEST(LN(AV229:BB229),LN(AV228:BB228)),1,2))</f>
        <v>0.67748239269209698</v>
      </c>
      <c r="AO229" s="82">
        <f>INDEX(LINEST((AV229:BB229),LN(AV228:BB228),TRUE,TRUE),3,1)</f>
        <v>2.4395223571680242E-2</v>
      </c>
      <c r="AP229" s="82">
        <f>INDEX(LINEST((AV229:BB229),LN(AV228:BB228)),1)</f>
        <v>-7.9806655138697172E-3</v>
      </c>
      <c r="AQ229" s="83">
        <f>INDEX(LINEST(LN(AV229:BB229),SQRT(AV228:BB228),TRUE,TRUE),3,1)</f>
        <v>5.734222896000671E-3</v>
      </c>
      <c r="AR229" s="116">
        <f>INDEX(LINEST(LN(AV229:BB229),SQRT((AV228:BB228))),1)</f>
        <v>-1.7849346834744763E-6</v>
      </c>
      <c r="AS229" s="84">
        <f>INDEX(LINEST(1/(AV229:BB229),1/(SQRT(AV228:BB228)),TRUE,TRUE),3,1)</f>
        <v>4.485065609036773E-2</v>
      </c>
      <c r="AT229" s="84">
        <f>INDEX(LINEST(1/(AV229:BB229),1/SQRT(AV228:BB228)),1)</f>
        <v>-597.91715196308314</v>
      </c>
      <c r="AU229" s="3"/>
      <c r="AV229" s="11">
        <v>0.56302521008403306</v>
      </c>
      <c r="AW229" s="11">
        <v>0.49985210084033577</v>
      </c>
      <c r="AX229" s="11">
        <v>0.5101260504201679</v>
      </c>
      <c r="AY229" s="11">
        <v>0.51950630252100805</v>
      </c>
      <c r="AZ229" s="11">
        <v>0.50389044506691516</v>
      </c>
      <c r="BA229" s="11">
        <v>0.55701680672268872</v>
      </c>
      <c r="BB229" s="11">
        <v>0.52467532467532429</v>
      </c>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1"/>
      <c r="CN229" s="11"/>
      <c r="CO229" s="11"/>
      <c r="CP229" s="11"/>
      <c r="CQ229" s="11"/>
      <c r="CR229" s="15"/>
      <c r="CS229" s="15"/>
      <c r="CT229" s="15"/>
      <c r="CU229" s="15"/>
    </row>
    <row r="230" spans="1:99" ht="12" customHeight="1" x14ac:dyDescent="0.2">
      <c r="A230" s="65">
        <v>43903</v>
      </c>
      <c r="B230" s="15"/>
      <c r="C230" s="15"/>
      <c r="D230" s="59"/>
      <c r="E230" s="75"/>
      <c r="F230" s="59"/>
      <c r="G230" s="59"/>
      <c r="H230" s="59"/>
      <c r="I230" s="59"/>
      <c r="K230" s="60"/>
      <c r="L230" s="60"/>
      <c r="M230" s="59"/>
      <c r="N230" s="60"/>
      <c r="O230" s="59"/>
      <c r="P230" s="59"/>
      <c r="Q230" s="59"/>
      <c r="R230" s="60"/>
      <c r="S230" s="59"/>
      <c r="T230" s="59"/>
      <c r="U230" s="60"/>
      <c r="V230" s="59"/>
      <c r="W230" s="60"/>
      <c r="X230" s="60"/>
      <c r="Y230" s="76"/>
      <c r="Z230" s="59"/>
      <c r="AA230" s="59"/>
      <c r="AB230" s="60"/>
      <c r="AC230" s="56"/>
      <c r="AD230" s="60"/>
      <c r="AE230" s="60"/>
      <c r="AF230" s="80"/>
      <c r="AG230" s="56"/>
      <c r="AH230" s="4"/>
      <c r="AI230" s="56"/>
      <c r="AJ230" s="109"/>
      <c r="AK230" s="56"/>
      <c r="AL230" s="56"/>
      <c r="AM230" s="56"/>
      <c r="AN230" s="56"/>
      <c r="AO230" s="82"/>
      <c r="AP230" s="82"/>
      <c r="AQ230" s="83"/>
      <c r="AR230" s="116"/>
      <c r="AS230" s="84"/>
      <c r="AT230" s="84"/>
      <c r="AU230" s="3"/>
      <c r="AV230" s="47">
        <v>31536000</v>
      </c>
      <c r="AW230" s="47">
        <v>47304000</v>
      </c>
      <c r="AX230" s="47">
        <v>63072000</v>
      </c>
      <c r="AY230" s="47">
        <v>78840000</v>
      </c>
      <c r="AZ230" s="47">
        <v>94608000</v>
      </c>
      <c r="BA230" s="47">
        <v>110376000</v>
      </c>
      <c r="BB230" s="47">
        <v>126144000</v>
      </c>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1"/>
      <c r="CN230" s="11"/>
      <c r="CO230" s="11"/>
      <c r="CP230" s="11"/>
      <c r="CQ230" s="11"/>
      <c r="CR230" s="15"/>
      <c r="CS230" s="15"/>
      <c r="CT230" s="15"/>
      <c r="CU230" s="15"/>
    </row>
    <row r="231" spans="1:99" ht="12" customHeight="1" x14ac:dyDescent="0.2">
      <c r="A231" s="65">
        <v>43903</v>
      </c>
      <c r="B231" s="15" t="s">
        <v>481</v>
      </c>
      <c r="C231" s="15" t="s">
        <v>262</v>
      </c>
      <c r="D231" s="59">
        <v>2020</v>
      </c>
      <c r="E231" s="75">
        <v>2</v>
      </c>
      <c r="F231" s="59">
        <v>142</v>
      </c>
      <c r="G231" s="59">
        <v>17.75</v>
      </c>
      <c r="H231" s="59" t="s">
        <v>747</v>
      </c>
      <c r="I231" s="59" t="s">
        <v>709</v>
      </c>
      <c r="J231" s="64" t="s">
        <v>483</v>
      </c>
      <c r="K231" s="60">
        <f>IF(J231="syllables",1,IF(J231="trigrams",2,IF(J231="strings",3,IF(J231="visual array",4,IF(J231="characters",5,IF(J231="letters",6,IF(J231="free forms",7,IF(J231="odors",8,IF(J231="words",9,IF(J231="pictures",10,IF(J231="object pictures",11,IF(J231="faces",12,IF(J231="names",13,IF(J231="idioms",14,IF(J231="grades",15,IF(J231="syllable-digit pairs",16,IF(J231="trigram-word pairs",17,IF(J231="word-digit pairs",18,IF(J231="English-Swahili pairs",19,IF(J231="spatial position",20,IF(J231="word pairs",21,IF(J231="word triads",22,IF(J231="generated words",23,IF(J231="word definition pairs",24,IF(J231="math problems",25,IF(J231="famous faces",26,IF(J231="famous names",27,IF(J231="famous voices",28,IF(J231="television programs",29,IF(J231="race horses",30,IF(J231="new vocabulary",31,IF(J231="sentences",32,IF(J231="concepts",33,IF(J231="ad slides",34,IF(J231="scenes",35,IF(J231="famous scenes",36,IF(J231="poems",37,IF(J231="walk",38,IF(J231="faces and events",39,IF(J231="events and names",40,IF(J231="flashbulb",41,IF(J231="stories",42,IF(J231="course material",43,IF(J231="autobiographical",44,IF(J231="novels",45,IF(J231="public events",46,"99"))))))))))))))))))))))))))))))))))))))))))))))</f>
        <v>45</v>
      </c>
      <c r="L231" s="60">
        <f>IF(J231="syllables",1,IF(J231="trigrams",1,IF(J231="strings",1,IF(J231="visual array",1,IF(J231="characters",1,IF(J231="letters",1,IF(J231="free forms",1,IF(J231="odors",2,IF(J231="words",2,IF(J231="pictures",2,IF(J231="object pictures",2,IF(J231="faces",2,IF(J231="names",2,IF(J231="idioms","2",IF(J231="grades",2,IF(J231="syllable-digit pairs",3,IF(J231="trigram-word pairs",3,IF(J231="word-digit pairs",3,IF(J231="English-Swahili pairs",3,IF(J231="spatial position",3,IF(J231="word pairs",4,IF(J231="word triads",4,IF(J231="generated words",4,IF(J231="word definition pairs",4,IF(J231="math problems",4,IF(J231="famous faces",4,IF(J231="famous names",4,IF(J231="famous voices",4,IF(J231="television programs",4,IF(J231="race horses",4,IF(J231="new vocabulary",4,IF(J231="sentences",5,IF(J231="concepts",5,IF(J231="ad slides",5,IF(J231="scenes",5,IF(J231="famous scenes",5,IF(J231="poems",6,IF(J231="walk",6,IF(J231="faces and events",6,IF(J231="events and names",6,IF(J231="flashbulb",7,IF(J231="stories",7,IF(J231="course material",7,IF(J231="autobiographical",7,IF(J231="novels",7,IF(J231="public events",7,"99"))))))))))))))))))))))))))))))))))))))))))))))</f>
        <v>7</v>
      </c>
      <c r="M231" s="59">
        <v>0</v>
      </c>
      <c r="N231" s="60">
        <v>3</v>
      </c>
      <c r="O231" s="59">
        <v>0</v>
      </c>
      <c r="P231" s="59"/>
      <c r="Q231" s="59" t="s">
        <v>182</v>
      </c>
      <c r="R231" s="60">
        <f>IF(Q231="Free Recall",1,IF(Q231="Cued Recall",2,IF(Q231="Recognition",3,IF(Q231="Multiple Choice",4,IF(Q231="Savings",5,IF(Q231="Stem Completion",6,IF(Q231="Fragment Completion",7,IF(Q231="anagram solution",8,IF(Q231="Matching",9,IF(Q231="Problem Solving",10,"99"))))))))))</f>
        <v>4</v>
      </c>
      <c r="S231" s="59" t="s">
        <v>482</v>
      </c>
      <c r="T231" s="59" t="s">
        <v>261</v>
      </c>
      <c r="U231" s="60">
        <f t="shared" ref="U231" si="36">IF(T231="within",1,0)</f>
        <v>0</v>
      </c>
      <c r="V231" s="59">
        <v>12</v>
      </c>
      <c r="W231" s="60">
        <f>F231*V231</f>
        <v>1704</v>
      </c>
      <c r="X231" s="60">
        <v>7</v>
      </c>
      <c r="Y231" s="76">
        <f>AV230</f>
        <v>31536000</v>
      </c>
      <c r="Z231" s="59" t="s">
        <v>484</v>
      </c>
      <c r="AA231" s="60">
        <f>7.5*365*24*60*60</f>
        <v>236520000</v>
      </c>
      <c r="AB231" s="60" t="str">
        <f>IF(AA231&lt;60,"1",IF(AA231&lt;=43200,"2",IF(AA231&lt;=777600,"3","4")))</f>
        <v>4</v>
      </c>
      <c r="AC231" s="56">
        <f>AVERAGE(AV230:DA230)</f>
        <v>78840000</v>
      </c>
      <c r="AD231" s="60" t="str">
        <f>IF(AC231&lt;60,"1",IF(AC231&lt;=43200,"2",IF(AC231&lt;=777600,"3","4")))</f>
        <v>4</v>
      </c>
      <c r="AE231" s="76">
        <f>AA231-Y231</f>
        <v>204984000</v>
      </c>
      <c r="AF231" s="80">
        <f>AV231</f>
        <v>0.61089743589743573</v>
      </c>
      <c r="AG231" s="56">
        <f>((AW231-AV231)+(AX231-AW231)+(AY231-AX231)+(AZ231-AY231)+(BA231-AZ231)+(BB231-BA231))/6</f>
        <v>-2.1085858585858624E-2</v>
      </c>
      <c r="AH231" s="4"/>
      <c r="AI231" s="56">
        <f>RSQ(AV231:BB231,AV230:BB230)</f>
        <v>0.2246856686823101</v>
      </c>
      <c r="AJ231" s="109">
        <f>SLOPE(AV231:BB231,AV230:BB230)</f>
        <v>-7.9431203516904562E-10</v>
      </c>
      <c r="AK231" s="56">
        <f>INTERCEPT(AV231:BB231,AV230:BB230)</f>
        <v>0.56137954483787778</v>
      </c>
      <c r="AL231" s="56">
        <f>INDEX(LINEST(LN(AV231:BB231),LN(AV230:BB230),TRUE,TRUE),3,1)</f>
        <v>0.32049606414750936</v>
      </c>
      <c r="AM231" s="56">
        <f>INDEX(LINEST(LN(AV231:BB231),LN(AV230:BB230)),1)</f>
        <v>-0.12571446897933886</v>
      </c>
      <c r="AN231" s="56">
        <f>EXP(INDEX(LINEST(LN(AV231:BB231),LN(AV230:BB230)),1,2))</f>
        <v>4.8213811226250218</v>
      </c>
      <c r="AO231" s="82">
        <f>INDEX(LINEST((AV231:BB231),LN(AV230:BB230),TRUE,TRUE),3,1)</f>
        <v>0.35064080833738442</v>
      </c>
      <c r="AP231" s="82">
        <f>INDEX(LINEST((AV231:BB231),LN(AV230:BB230)),1)</f>
        <v>-6.8632883847185397E-2</v>
      </c>
      <c r="AQ231" s="83">
        <f>INDEX(LINEST(LN(AV231:BB231),SQRT(AV230:BB230),TRUE,TRUE),3,1)</f>
        <v>0.25663056785626587</v>
      </c>
      <c r="AR231" s="116">
        <f>INDEX(LINEST(LN(AV231:BB231),SQRT((AV230:BB230))),1)</f>
        <v>-2.7607110140280592E-5</v>
      </c>
      <c r="AS231" s="84">
        <f>INDEX(LINEST(1/(AV231:BB231),1/(SQRT(AV230:BB230)),TRUE,TRUE),3,1)</f>
        <v>0.35388941643019822</v>
      </c>
      <c r="AT231" s="84">
        <f>INDEX(LINEST(1/(AV231:BB231),1/SQRT(AV230:BB230)),1)</f>
        <v>-3997.1067616601094</v>
      </c>
      <c r="AU231" s="3"/>
      <c r="AV231" s="11">
        <v>0.61089743589743573</v>
      </c>
      <c r="AW231" s="11">
        <v>0.48548717948717912</v>
      </c>
      <c r="AX231" s="11">
        <v>0.44086538461538405</v>
      </c>
      <c r="AY231" s="11">
        <v>0.52512019230769191</v>
      </c>
      <c r="AZ231" s="11">
        <v>0.44838556505223143</v>
      </c>
      <c r="BA231" s="11">
        <v>0.49615384615384589</v>
      </c>
      <c r="BB231" s="11">
        <v>0.48438228438228398</v>
      </c>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1"/>
      <c r="CN231" s="11"/>
      <c r="CO231" s="11"/>
      <c r="CP231" s="11"/>
      <c r="CQ231" s="11"/>
      <c r="CR231" s="15"/>
      <c r="CS231" s="15"/>
      <c r="CT231" s="15"/>
      <c r="CU231" s="15"/>
    </row>
    <row r="232" spans="1:99" ht="12" customHeight="1" x14ac:dyDescent="0.2">
      <c r="A232" s="65">
        <v>43903</v>
      </c>
      <c r="B232" s="15"/>
      <c r="C232" s="15"/>
      <c r="D232" s="59"/>
      <c r="E232" s="75"/>
      <c r="F232" s="59"/>
      <c r="G232" s="59"/>
      <c r="H232" s="59"/>
      <c r="I232" s="59"/>
      <c r="K232" s="60"/>
      <c r="L232" s="60"/>
      <c r="M232" s="59"/>
      <c r="N232" s="60"/>
      <c r="O232" s="59"/>
      <c r="P232" s="59"/>
      <c r="Q232" s="59"/>
      <c r="R232" s="60"/>
      <c r="S232" s="59"/>
      <c r="T232" s="59"/>
      <c r="U232" s="60"/>
      <c r="V232" s="59"/>
      <c r="W232" s="60"/>
      <c r="X232" s="60"/>
      <c r="Y232" s="76"/>
      <c r="Z232" s="59"/>
      <c r="AA232" s="59"/>
      <c r="AB232" s="60"/>
      <c r="AC232" s="56"/>
      <c r="AD232" s="60"/>
      <c r="AE232" s="60"/>
      <c r="AF232" s="80"/>
      <c r="AG232" s="56"/>
      <c r="AH232" s="4"/>
      <c r="AI232" s="56"/>
      <c r="AJ232" s="109"/>
      <c r="AK232" s="56"/>
      <c r="AL232" s="56"/>
      <c r="AM232" s="56"/>
      <c r="AN232" s="56"/>
      <c r="AO232" s="82"/>
      <c r="AP232" s="82"/>
      <c r="AQ232" s="83"/>
      <c r="AR232" s="116"/>
      <c r="AS232" s="84"/>
      <c r="AT232" s="84"/>
      <c r="AU232" s="3"/>
      <c r="AV232" s="47">
        <v>31536000</v>
      </c>
      <c r="AW232" s="47">
        <v>47304000</v>
      </c>
      <c r="AX232" s="47">
        <v>63072000</v>
      </c>
      <c r="AY232" s="47">
        <v>78840000</v>
      </c>
      <c r="AZ232" s="47">
        <v>94608000</v>
      </c>
      <c r="BA232" s="47">
        <v>110376000</v>
      </c>
      <c r="BB232" s="47">
        <v>126144000</v>
      </c>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1"/>
      <c r="CN232" s="11"/>
      <c r="CO232" s="11"/>
      <c r="CP232" s="11"/>
      <c r="CQ232" s="11"/>
      <c r="CR232" s="15"/>
      <c r="CS232" s="15"/>
      <c r="CT232" s="15"/>
      <c r="CU232" s="15"/>
    </row>
    <row r="233" spans="1:99" ht="12" customHeight="1" x14ac:dyDescent="0.2">
      <c r="A233" s="65">
        <v>43903</v>
      </c>
      <c r="B233" s="15" t="s">
        <v>481</v>
      </c>
      <c r="C233" s="15" t="s">
        <v>262</v>
      </c>
      <c r="D233" s="59">
        <v>2020</v>
      </c>
      <c r="E233" s="75">
        <v>2</v>
      </c>
      <c r="F233" s="59">
        <v>142</v>
      </c>
      <c r="G233" s="59">
        <v>17.75</v>
      </c>
      <c r="H233" s="59" t="s">
        <v>747</v>
      </c>
      <c r="I233" s="59" t="s">
        <v>864</v>
      </c>
      <c r="J233" s="64" t="s">
        <v>483</v>
      </c>
      <c r="K233" s="60">
        <f>IF(J233="syllables",1,IF(J233="trigrams",2,IF(J233="strings",3,IF(J233="visual array",4,IF(J233="characters",5,IF(J233="letters",6,IF(J233="free forms",7,IF(J233="odors",8,IF(J233="words",9,IF(J233="pictures",10,IF(J233="object pictures",11,IF(J233="faces",12,IF(J233="names",13,IF(J233="idioms",14,IF(J233="grades",15,IF(J233="syllable-digit pairs",16,IF(J233="trigram-word pairs",17,IF(J233="word-digit pairs",18,IF(J233="English-Swahili pairs",19,IF(J233="spatial position",20,IF(J233="word pairs",21,IF(J233="word triads",22,IF(J233="generated words",23,IF(J233="word definition pairs",24,IF(J233="math problems",25,IF(J233="famous faces",26,IF(J233="famous names",27,IF(J233="famous voices",28,IF(J233="television programs",29,IF(J233="race horses",30,IF(J233="new vocabulary",31,IF(J233="sentences",32,IF(J233="concepts",33,IF(J233="ad slides",34,IF(J233="scenes",35,IF(J233="famous scenes",36,IF(J233="poems",37,IF(J233="walk",38,IF(J233="faces and events",39,IF(J233="events and names",40,IF(J233="flashbulb",41,IF(J233="stories",42,IF(J233="course material",43,IF(J233="autobiographical",44,IF(J233="novels",45,IF(J233="public events",46,"99"))))))))))))))))))))))))))))))))))))))))))))))</f>
        <v>45</v>
      </c>
      <c r="L233" s="60">
        <f>IF(J233="syllables",1,IF(J233="trigrams",1,IF(J233="strings",1,IF(J233="visual array",1,IF(J233="characters",1,IF(J233="letters",1,IF(J233="free forms",1,IF(J233="odors",2,IF(J233="words",2,IF(J233="pictures",2,IF(J233="object pictures",2,IF(J233="faces",2,IF(J233="names",2,IF(J233="idioms","2",IF(J233="grades",2,IF(J233="syllable-digit pairs",3,IF(J233="trigram-word pairs",3,IF(J233="word-digit pairs",3,IF(J233="English-Swahili pairs",3,IF(J233="spatial position",3,IF(J233="word pairs",4,IF(J233="word triads",4,IF(J233="generated words",4,IF(J233="word definition pairs",4,IF(J233="math problems",4,IF(J233="famous faces",4,IF(J233="famous names",4,IF(J233="famous voices",4,IF(J233="television programs",4,IF(J233="race horses",4,IF(J233="new vocabulary",4,IF(J233="sentences",5,IF(J233="concepts",5,IF(J233="ad slides",5,IF(J233="scenes",5,IF(J233="famous scenes",5,IF(J233="poems",6,IF(J233="walk",6,IF(J233="faces and events",6,IF(J233="events and names",6,IF(J233="flashbulb",7,IF(J233="stories",7,IF(J233="course material",7,IF(J233="autobiographical",7,IF(J233="novels",7,IF(J233="public events",7,"99"))))))))))))))))))))))))))))))))))))))))))))))</f>
        <v>7</v>
      </c>
      <c r="M233" s="59">
        <v>0</v>
      </c>
      <c r="N233" s="60">
        <v>3</v>
      </c>
      <c r="O233" s="59">
        <v>0</v>
      </c>
      <c r="P233" s="59"/>
      <c r="Q233" s="59" t="s">
        <v>182</v>
      </c>
      <c r="R233" s="60">
        <f>IF(Q233="Free Recall",1,IF(Q233="Cued Recall",2,IF(Q233="Recognition",3,IF(Q233="Multiple Choice",4,IF(Q233="Savings",5,IF(Q233="Stem Completion",6,IF(Q233="Fragment Completion",7,IF(Q233="anagram solution",8,IF(Q233="Matching",9,IF(Q233="Problem Solving",10,"99"))))))))))</f>
        <v>4</v>
      </c>
      <c r="S233" s="59" t="s">
        <v>482</v>
      </c>
      <c r="T233" s="59" t="s">
        <v>261</v>
      </c>
      <c r="U233" s="60">
        <f t="shared" ref="U233" si="37">IF(T233="within",1,0)</f>
        <v>0</v>
      </c>
      <c r="V233" s="59">
        <v>12</v>
      </c>
      <c r="W233" s="60">
        <f>F233*V233</f>
        <v>1704</v>
      </c>
      <c r="X233" s="60">
        <v>7</v>
      </c>
      <c r="Y233" s="76">
        <f>AV232</f>
        <v>31536000</v>
      </c>
      <c r="Z233" s="59" t="s">
        <v>484</v>
      </c>
      <c r="AA233" s="60">
        <f>7.5*365*24*60*60</f>
        <v>236520000</v>
      </c>
      <c r="AB233" s="60" t="str">
        <f>IF(AA233&lt;60,"1",IF(AA233&lt;=43200,"2",IF(AA233&lt;=777600,"3","4")))</f>
        <v>4</v>
      </c>
      <c r="AC233" s="56">
        <f>AVERAGE(AV232:DA232)</f>
        <v>78840000</v>
      </c>
      <c r="AD233" s="60" t="str">
        <f>IF(AC233&lt;60,"1",IF(AC233&lt;=43200,"2",IF(AC233&lt;=777600,"3","4")))</f>
        <v>4</v>
      </c>
      <c r="AE233" s="76">
        <f>AA233-Y233</f>
        <v>204984000</v>
      </c>
      <c r="AF233" s="80">
        <f>AV233</f>
        <v>0.64407894736842075</v>
      </c>
      <c r="AG233" s="56">
        <f>((AW233-AV233)+(AX233-AW233)+(AY233-AX233)+(AZ233-AY233)+(BA233-AZ233)+(BB233-BA233))/6</f>
        <v>-1.4908958001063252E-2</v>
      </c>
      <c r="AH233" s="4"/>
      <c r="AI233" s="56">
        <f>RSQ(AV233:BB233,AV232:BB232)</f>
        <v>0.3671788319735072</v>
      </c>
      <c r="AJ233" s="109">
        <f>SLOPE(AV233:BB233,AV232:BB232)</f>
        <v>-5.503408239636453E-10</v>
      </c>
      <c r="AK233" s="56">
        <f>INTERCEPT(AV233:BB233,AV232:BB232)</f>
        <v>0.62729996287013789</v>
      </c>
      <c r="AL233" s="56">
        <f>INDEX(LINEST(LN(AV233:BB233),LN(AV232:BB232),TRUE,TRUE),3,1)</f>
        <v>0.45307473611146498</v>
      </c>
      <c r="AM233" s="56">
        <f>INDEX(LINEST(LN(AV233:BB233),LN(AV232:BB232)),1)</f>
        <v>-7.0723711191251898E-2</v>
      </c>
      <c r="AN233" s="56">
        <f>EXP(INDEX(LINEST(LN(AV233:BB233),LN(AV232:BB232)),1,2))</f>
        <v>2.0961644786070162</v>
      </c>
      <c r="AO233" s="82">
        <f>INDEX(LINEST((AV233:BB233),LN(AV232:BB232),TRUE,TRUE),3,1)</f>
        <v>0.46146596522157385</v>
      </c>
      <c r="AP233" s="82">
        <f>INDEX(LINEST((AV233:BB233),LN(AV232:BB232)),1)</f>
        <v>-4.267370111605745E-2</v>
      </c>
      <c r="AQ233" s="83">
        <f>INDEX(LINEST(LN(AV233:BB233),SQRT(AV232:BB232),TRUE,TRUE),3,1)</f>
        <v>0.40554077618771556</v>
      </c>
      <c r="AR233" s="116">
        <f>INDEX(LINEST(LN(AV233:BB233),SQRT((AV232:BB232))),1)</f>
        <v>-1.6420645425455173E-5</v>
      </c>
      <c r="AS233" s="84">
        <f>INDEX(LINEST(1/(AV233:BB233),1/(SQRT(AV232:BB232)),TRUE,TRUE),3,1)</f>
        <v>0.4912426990367374</v>
      </c>
      <c r="AT233" s="84">
        <f>INDEX(LINEST(1/(AV233:BB233),1/SQRT(AV232:BB232)),1)</f>
        <v>-1928.2264927294427</v>
      </c>
      <c r="AU233" s="3"/>
      <c r="AV233" s="11">
        <v>0.64407894736842075</v>
      </c>
      <c r="AW233" s="11">
        <v>0.57732456140350841</v>
      </c>
      <c r="AX233" s="11">
        <v>0.55587536549707572</v>
      </c>
      <c r="AY233" s="11">
        <v>0.60125411184210475</v>
      </c>
      <c r="AZ233" s="11">
        <v>0.57253086419753052</v>
      </c>
      <c r="BA233" s="11">
        <v>0.58168859649122762</v>
      </c>
      <c r="BB233" s="11">
        <v>0.55462519936204124</v>
      </c>
      <c r="BD233" s="11"/>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1"/>
      <c r="CN233" s="11"/>
      <c r="CO233" s="11"/>
      <c r="CP233" s="11"/>
      <c r="CQ233" s="11"/>
      <c r="CR233" s="15"/>
      <c r="CS233" s="15"/>
      <c r="CT233" s="15"/>
      <c r="CU233" s="15"/>
    </row>
    <row r="234" spans="1:99" ht="12" customHeight="1" x14ac:dyDescent="0.2">
      <c r="A234" s="65">
        <v>43903</v>
      </c>
      <c r="B234" s="15"/>
      <c r="C234" s="15"/>
      <c r="D234" s="59"/>
      <c r="E234" s="75"/>
      <c r="F234" s="59"/>
      <c r="G234" s="59"/>
      <c r="H234" s="59"/>
      <c r="I234" s="59"/>
      <c r="K234" s="60"/>
      <c r="L234" s="60"/>
      <c r="M234" s="59"/>
      <c r="N234" s="60"/>
      <c r="O234" s="59"/>
      <c r="P234" s="59"/>
      <c r="Q234" s="59"/>
      <c r="R234" s="60"/>
      <c r="S234" s="59"/>
      <c r="T234" s="59"/>
      <c r="U234" s="60"/>
      <c r="V234" s="59"/>
      <c r="W234" s="60"/>
      <c r="X234" s="60"/>
      <c r="Y234" s="76"/>
      <c r="Z234" s="59"/>
      <c r="AA234" s="59"/>
      <c r="AB234" s="60"/>
      <c r="AC234" s="56"/>
      <c r="AD234" s="60"/>
      <c r="AE234" s="60"/>
      <c r="AF234" s="80"/>
      <c r="AG234" s="56"/>
      <c r="AH234" s="4"/>
      <c r="AI234" s="56"/>
      <c r="AJ234" s="109"/>
      <c r="AK234" s="56"/>
      <c r="AL234" s="56"/>
      <c r="AM234" s="56"/>
      <c r="AN234" s="56"/>
      <c r="AO234" s="82"/>
      <c r="AP234" s="82"/>
      <c r="AQ234" s="83"/>
      <c r="AR234" s="116"/>
      <c r="AS234" s="84"/>
      <c r="AT234" s="84"/>
      <c r="AU234" s="3"/>
      <c r="AV234" s="47">
        <v>31536000</v>
      </c>
      <c r="AW234" s="47">
        <v>47304000</v>
      </c>
      <c r="AX234" s="47">
        <v>63072000</v>
      </c>
      <c r="AY234" s="47">
        <v>78840000</v>
      </c>
      <c r="AZ234" s="47">
        <v>94608000</v>
      </c>
      <c r="BA234" s="47">
        <v>110376000</v>
      </c>
      <c r="BB234" s="47">
        <v>126144000</v>
      </c>
      <c r="BD234" s="11"/>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1"/>
      <c r="CN234" s="11"/>
      <c r="CO234" s="11"/>
      <c r="CP234" s="11"/>
      <c r="CQ234" s="11"/>
      <c r="CR234" s="15"/>
      <c r="CS234" s="15"/>
      <c r="CT234" s="15"/>
      <c r="CU234" s="15"/>
    </row>
    <row r="235" spans="1:99" ht="12" customHeight="1" x14ac:dyDescent="0.2">
      <c r="A235" s="65">
        <v>43903</v>
      </c>
      <c r="B235" s="15" t="s">
        <v>481</v>
      </c>
      <c r="C235" s="15" t="s">
        <v>262</v>
      </c>
      <c r="D235" s="59">
        <v>2020</v>
      </c>
      <c r="E235" s="75">
        <v>2</v>
      </c>
      <c r="F235" s="59">
        <v>142</v>
      </c>
      <c r="G235" s="59">
        <v>17.75</v>
      </c>
      <c r="H235" s="59" t="s">
        <v>747</v>
      </c>
      <c r="I235" s="59" t="s">
        <v>719</v>
      </c>
      <c r="J235" s="64" t="s">
        <v>483</v>
      </c>
      <c r="K235" s="60">
        <f>IF(J235="syllables",1,IF(J235="trigrams",2,IF(J235="strings",3,IF(J235="visual array",4,IF(J235="characters",5,IF(J235="letters",6,IF(J235="free forms",7,IF(J235="odors",8,IF(J235="words",9,IF(J235="pictures",10,IF(J235="object pictures",11,IF(J235="faces",12,IF(J235="names",13,IF(J235="idioms",14,IF(J235="grades",15,IF(J235="syllable-digit pairs",16,IF(J235="trigram-word pairs",17,IF(J235="word-digit pairs",18,IF(J235="English-Swahili pairs",19,IF(J235="spatial position",20,IF(J235="word pairs",21,IF(J235="word triads",22,IF(J235="generated words",23,IF(J235="word definition pairs",24,IF(J235="math problems",25,IF(J235="famous faces",26,IF(J235="famous names",27,IF(J235="famous voices",28,IF(J235="television programs",29,IF(J235="race horses",30,IF(J235="new vocabulary",31,IF(J235="sentences",32,IF(J235="concepts",33,IF(J235="ad slides",34,IF(J235="scenes",35,IF(J235="famous scenes",36,IF(J235="poems",37,IF(J235="walk",38,IF(J235="faces and events",39,IF(J235="events and names",40,IF(J235="flashbulb",41,IF(J235="stories",42,IF(J235="course material",43,IF(J235="autobiographical",44,IF(J235="novels",45,IF(J235="public events",46,"99"))))))))))))))))))))))))))))))))))))))))))))))</f>
        <v>45</v>
      </c>
      <c r="L235" s="60">
        <f>IF(J235="syllables",1,IF(J235="trigrams",1,IF(J235="strings",1,IF(J235="visual array",1,IF(J235="characters",1,IF(J235="letters",1,IF(J235="free forms",1,IF(J235="odors",2,IF(J235="words",2,IF(J235="pictures",2,IF(J235="object pictures",2,IF(J235="faces",2,IF(J235="names",2,IF(J235="idioms","2",IF(J235="grades",2,IF(J235="syllable-digit pairs",3,IF(J235="trigram-word pairs",3,IF(J235="word-digit pairs",3,IF(J235="English-Swahili pairs",3,IF(J235="spatial position",3,IF(J235="word pairs",4,IF(J235="word triads",4,IF(J235="generated words",4,IF(J235="word definition pairs",4,IF(J235="math problems",4,IF(J235="famous faces",4,IF(J235="famous names",4,IF(J235="famous voices",4,IF(J235="television programs",4,IF(J235="race horses",4,IF(J235="new vocabulary",4,IF(J235="sentences",5,IF(J235="concepts",5,IF(J235="ad slides",5,IF(J235="scenes",5,IF(J235="famous scenes",5,IF(J235="poems",6,IF(J235="walk",6,IF(J235="faces and events",6,IF(J235="events and names",6,IF(J235="flashbulb",7,IF(J235="stories",7,IF(J235="course material",7,IF(J235="autobiographical",7,IF(J235="novels",7,IF(J235="public events",7,"99"))))))))))))))))))))))))))))))))))))))))))))))</f>
        <v>7</v>
      </c>
      <c r="M235" s="59">
        <v>0</v>
      </c>
      <c r="N235" s="60">
        <v>3</v>
      </c>
      <c r="O235" s="59">
        <v>0</v>
      </c>
      <c r="P235" s="59"/>
      <c r="Q235" s="59" t="s">
        <v>182</v>
      </c>
      <c r="R235" s="60">
        <f>IF(Q235="Free Recall",1,IF(Q235="Cued Recall",2,IF(Q235="Recognition",3,IF(Q235="Multiple Choice",4,IF(Q235="Savings",5,IF(Q235="Stem Completion",6,IF(Q235="Fragment Completion",7,IF(Q235="anagram solution",8,IF(Q235="Matching",9,IF(Q235="Problem Solving",10,"99"))))))))))</f>
        <v>4</v>
      </c>
      <c r="S235" s="59" t="s">
        <v>482</v>
      </c>
      <c r="T235" s="59" t="s">
        <v>261</v>
      </c>
      <c r="U235" s="60">
        <f t="shared" ref="U235" si="38">IF(T235="within",1,0)</f>
        <v>0</v>
      </c>
      <c r="V235" s="59">
        <v>12</v>
      </c>
      <c r="W235" s="60">
        <f>F235*V235</f>
        <v>1704</v>
      </c>
      <c r="X235" s="60">
        <v>7</v>
      </c>
      <c r="Y235" s="76">
        <f>AV234</f>
        <v>31536000</v>
      </c>
      <c r="Z235" s="59" t="s">
        <v>484</v>
      </c>
      <c r="AA235" s="60">
        <f>7.5*365*24*60*60</f>
        <v>236520000</v>
      </c>
      <c r="AB235" s="60" t="str">
        <f>IF(AA235&lt;60,"1",IF(AA235&lt;=43200,"2",IF(AA235&lt;=777600,"3","4")))</f>
        <v>4</v>
      </c>
      <c r="AC235" s="56">
        <f>AVERAGE(AV234:DA234)</f>
        <v>78840000</v>
      </c>
      <c r="AD235" s="60" t="str">
        <f>IF(AC235&lt;60,"1",IF(AC235&lt;=43200,"2",IF(AC235&lt;=777600,"3","4")))</f>
        <v>4</v>
      </c>
      <c r="AE235" s="76">
        <f>AA235-Y235</f>
        <v>204984000</v>
      </c>
      <c r="AF235" s="80">
        <f>AV235</f>
        <v>0.49855769230769198</v>
      </c>
      <c r="AG235" s="56">
        <f>((AW235-AV235)+(AX235-AW235)+(AY235-AX235)+(AZ235-AY235)+(BA235-AZ235)+(BB235-BA235))/6</f>
        <v>-1.2985972360972384E-2</v>
      </c>
      <c r="AH235" s="4"/>
      <c r="AI235" s="56">
        <f>RSQ(AV235:BB235,AV234:BB234)</f>
        <v>0.1922365713238566</v>
      </c>
      <c r="AJ235" s="109">
        <f>SLOPE(AV235:BB235,AV234:BB234)</f>
        <v>-5.6455537181646165E-10</v>
      </c>
      <c r="AK235" s="56">
        <f>INTERCEPT(AV235:BB235,AV234:BB234)</f>
        <v>0.45250797193877512</v>
      </c>
      <c r="AL235" s="56">
        <f>INDEX(LINEST(LN(AV235:BB235),LN(AV234:BB234),TRUE,TRUE),3,1)</f>
        <v>0.29351715217494045</v>
      </c>
      <c r="AM235" s="56">
        <f>INDEX(LINEST(LN(AV235:BB235),LN(AV234:BB234)),1)</f>
        <v>-0.11173740271049858</v>
      </c>
      <c r="AN235" s="56">
        <f>EXP(INDEX(LINEST(LN(AV235:BB235),LN(AV234:BB234)),1,2))</f>
        <v>3.0650789980858821</v>
      </c>
      <c r="AO235" s="82">
        <f>INDEX(LINEST((AV235:BB235),LN(AV234:BB234),TRUE,TRUE),3,1)</f>
        <v>0.31904338742696825</v>
      </c>
      <c r="AP235" s="82">
        <f>INDEX(LINEST((AV235:BB235),LN(AV234:BB234)),1)</f>
        <v>-5.0304979175589619E-2</v>
      </c>
      <c r="AQ235" s="83">
        <f>INDEX(LINEST(LN(AV235:BB235),SQRT(AV234:BB234),TRUE,TRUE),3,1)</f>
        <v>0.22954726283324439</v>
      </c>
      <c r="AR235" s="116">
        <f>INDEX(LINEST(LN(AV235:BB235),SQRT((AV234:BB234))),1)</f>
        <v>-2.4249943402447946E-5</v>
      </c>
      <c r="AS235" s="84">
        <f>INDEX(LINEST(1/(AV235:BB235),1/(SQRT(AV234:BB234)),TRUE,TRUE),3,1)</f>
        <v>0.332281323965886</v>
      </c>
      <c r="AT235" s="84">
        <f>INDEX(LINEST(1/(AV235:BB235),1/SQRT(AV234:BB234)),1)</f>
        <v>-4340.9653537803342</v>
      </c>
      <c r="AU235" s="3"/>
      <c r="AV235" s="11">
        <v>0.49855769230769198</v>
      </c>
      <c r="AW235" s="11">
        <v>0.37162087912087871</v>
      </c>
      <c r="AX235" s="11">
        <v>0.40230082417582363</v>
      </c>
      <c r="AY235" s="11">
        <v>0.4014208447802195</v>
      </c>
      <c r="AZ235" s="11">
        <v>0.39285714285714246</v>
      </c>
      <c r="BA235" s="11">
        <v>0.36858974358974322</v>
      </c>
      <c r="BB235" s="11">
        <v>0.42064185814185767</v>
      </c>
      <c r="BD235" s="11"/>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1"/>
      <c r="CN235" s="11"/>
      <c r="CO235" s="11"/>
      <c r="CP235" s="11"/>
      <c r="CQ235" s="11"/>
      <c r="CR235" s="15"/>
      <c r="CS235" s="15"/>
      <c r="CT235" s="15"/>
      <c r="CU235" s="15"/>
    </row>
    <row r="236" spans="1:99" ht="12" customHeight="1" x14ac:dyDescent="0.2">
      <c r="A236" s="65">
        <v>43903</v>
      </c>
      <c r="B236" s="15"/>
      <c r="C236" s="15"/>
      <c r="D236" s="59"/>
      <c r="E236" s="75"/>
      <c r="F236" s="59"/>
      <c r="G236" s="59"/>
      <c r="H236" s="59"/>
      <c r="I236" s="59"/>
      <c r="K236" s="60"/>
      <c r="L236" s="60"/>
      <c r="M236" s="59"/>
      <c r="N236" s="60"/>
      <c r="O236" s="59"/>
      <c r="P236" s="59"/>
      <c r="Q236" s="59"/>
      <c r="R236" s="60"/>
      <c r="S236" s="59"/>
      <c r="T236" s="59"/>
      <c r="U236" s="60"/>
      <c r="V236" s="59"/>
      <c r="W236" s="60"/>
      <c r="X236" s="60"/>
      <c r="Y236" s="76"/>
      <c r="Z236" s="59"/>
      <c r="AA236" s="59"/>
      <c r="AB236" s="60"/>
      <c r="AC236" s="56"/>
      <c r="AD236" s="60"/>
      <c r="AE236" s="60"/>
      <c r="AF236" s="80"/>
      <c r="AG236" s="56"/>
      <c r="AH236" s="4"/>
      <c r="AI236" s="56"/>
      <c r="AJ236" s="109"/>
      <c r="AK236" s="56"/>
      <c r="AL236" s="56"/>
      <c r="AM236" s="56"/>
      <c r="AN236" s="56"/>
      <c r="AO236" s="82"/>
      <c r="AP236" s="82"/>
      <c r="AQ236" s="83"/>
      <c r="AR236" s="116"/>
      <c r="AS236" s="84"/>
      <c r="AT236" s="84"/>
      <c r="AU236" s="3"/>
      <c r="AV236" s="47">
        <v>31536000</v>
      </c>
      <c r="AW236" s="47">
        <v>47304000</v>
      </c>
      <c r="AX236" s="47">
        <v>63072000</v>
      </c>
      <c r="AY236" s="47">
        <v>78840000</v>
      </c>
      <c r="AZ236" s="47">
        <v>94608000</v>
      </c>
      <c r="BA236" s="47">
        <v>110376000</v>
      </c>
      <c r="BB236" s="47">
        <v>126144000</v>
      </c>
      <c r="BD236" s="11"/>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1"/>
      <c r="CN236" s="11"/>
      <c r="CO236" s="11"/>
      <c r="CP236" s="11"/>
      <c r="CQ236" s="11"/>
      <c r="CR236" s="15"/>
      <c r="CS236" s="15"/>
      <c r="CT236" s="15"/>
      <c r="CU236" s="15"/>
    </row>
    <row r="237" spans="1:99" ht="12" customHeight="1" x14ac:dyDescent="0.2">
      <c r="A237" s="65">
        <v>43903</v>
      </c>
      <c r="B237" s="15" t="s">
        <v>481</v>
      </c>
      <c r="C237" s="15" t="s">
        <v>262</v>
      </c>
      <c r="D237" s="59">
        <v>2020</v>
      </c>
      <c r="E237" s="75">
        <v>2</v>
      </c>
      <c r="F237" s="59">
        <v>142</v>
      </c>
      <c r="G237" s="59">
        <v>17.75</v>
      </c>
      <c r="H237" s="59" t="s">
        <v>747</v>
      </c>
      <c r="I237" s="59" t="s">
        <v>921</v>
      </c>
      <c r="J237" s="64" t="s">
        <v>483</v>
      </c>
      <c r="K237" s="60">
        <f>IF(J237="syllables",1,IF(J237="trigrams",2,IF(J237="strings",3,IF(J237="visual array",4,IF(J237="characters",5,IF(J237="letters",6,IF(J237="free forms",7,IF(J237="odors",8,IF(J237="words",9,IF(J237="pictures",10,IF(J237="object pictures",11,IF(J237="faces",12,IF(J237="names",13,IF(J237="idioms",14,IF(J237="grades",15,IF(J237="syllable-digit pairs",16,IF(J237="trigram-word pairs",17,IF(J237="word-digit pairs",18,IF(J237="English-Swahili pairs",19,IF(J237="spatial position",20,IF(J237="word pairs",21,IF(J237="word triads",22,IF(J237="generated words",23,IF(J237="word definition pairs",24,IF(J237="math problems",25,IF(J237="famous faces",26,IF(J237="famous names",27,IF(J237="famous voices",28,IF(J237="television programs",29,IF(J237="race horses",30,IF(J237="new vocabulary",31,IF(J237="sentences",32,IF(J237="concepts",33,IF(J237="ad slides",34,IF(J237="scenes",35,IF(J237="famous scenes",36,IF(J237="poems",37,IF(J237="walk",38,IF(J237="faces and events",39,IF(J237="events and names",40,IF(J237="flashbulb",41,IF(J237="stories",42,IF(J237="course material",43,IF(J237="autobiographical",44,IF(J237="novels",45,IF(J237="public events",46,"99"))))))))))))))))))))))))))))))))))))))))))))))</f>
        <v>45</v>
      </c>
      <c r="L237" s="60">
        <f>IF(J237="syllables",1,IF(J237="trigrams",1,IF(J237="strings",1,IF(J237="visual array",1,IF(J237="characters",1,IF(J237="letters",1,IF(J237="free forms",1,IF(J237="odors",2,IF(J237="words",2,IF(J237="pictures",2,IF(J237="object pictures",2,IF(J237="faces",2,IF(J237="names",2,IF(J237="idioms","2",IF(J237="grades",2,IF(J237="syllable-digit pairs",3,IF(J237="trigram-word pairs",3,IF(J237="word-digit pairs",3,IF(J237="English-Swahili pairs",3,IF(J237="spatial position",3,IF(J237="word pairs",4,IF(J237="word triads",4,IF(J237="generated words",4,IF(J237="word definition pairs",4,IF(J237="math problems",4,IF(J237="famous faces",4,IF(J237="famous names",4,IF(J237="famous voices",4,IF(J237="television programs",4,IF(J237="race horses",4,IF(J237="new vocabulary",4,IF(J237="sentences",5,IF(J237="concepts",5,IF(J237="ad slides",5,IF(J237="scenes",5,IF(J237="famous scenes",5,IF(J237="poems",6,IF(J237="walk",6,IF(J237="faces and events",6,IF(J237="events and names",6,IF(J237="flashbulb",7,IF(J237="stories",7,IF(J237="course material",7,IF(J237="autobiographical",7,IF(J237="novels",7,IF(J237="public events",7,"99"))))))))))))))))))))))))))))))))))))))))))))))</f>
        <v>7</v>
      </c>
      <c r="M237" s="59">
        <v>0</v>
      </c>
      <c r="N237" s="60">
        <v>3</v>
      </c>
      <c r="O237" s="59">
        <v>0</v>
      </c>
      <c r="P237" s="59"/>
      <c r="Q237" s="59" t="s">
        <v>182</v>
      </c>
      <c r="R237" s="60">
        <f>IF(Q237="Free Recall",1,IF(Q237="Cued Recall",2,IF(Q237="Recognition",3,IF(Q237="Multiple Choice",4,IF(Q237="Savings",5,IF(Q237="Stem Completion",6,IF(Q237="Fragment Completion",7,IF(Q237="anagram solution",8,IF(Q237="Matching",9,IF(Q237="Problem Solving",10,"99"))))))))))</f>
        <v>4</v>
      </c>
      <c r="S237" s="59" t="s">
        <v>482</v>
      </c>
      <c r="T237" s="59" t="s">
        <v>261</v>
      </c>
      <c r="U237" s="60">
        <f t="shared" ref="U237" si="39">IF(T237="within",1,0)</f>
        <v>0</v>
      </c>
      <c r="V237" s="59">
        <v>12</v>
      </c>
      <c r="W237" s="60">
        <f>F237*V237</f>
        <v>1704</v>
      </c>
      <c r="X237" s="60">
        <v>7</v>
      </c>
      <c r="Y237" s="76">
        <f>AV236</f>
        <v>31536000</v>
      </c>
      <c r="Z237" s="59" t="s">
        <v>484</v>
      </c>
      <c r="AA237" s="60">
        <f>7.5*365*24*60*60</f>
        <v>236520000</v>
      </c>
      <c r="AB237" s="60" t="str">
        <f>IF(AA237&lt;60,"1",IF(AA237&lt;=43200,"2",IF(AA237&lt;=777600,"3","4")))</f>
        <v>4</v>
      </c>
      <c r="AC237" s="56">
        <f>AVERAGE(AV236:DA236)</f>
        <v>78840000</v>
      </c>
      <c r="AD237" s="60" t="str">
        <f>IF(AC237&lt;60,"1",IF(AC237&lt;=43200,"2",IF(AC237&lt;=777600,"3","4")))</f>
        <v>4</v>
      </c>
      <c r="AE237" s="76">
        <f>AA237-Y237</f>
        <v>204984000</v>
      </c>
      <c r="AF237" s="80">
        <f>AV237</f>
        <v>0.3807692307692303</v>
      </c>
      <c r="AG237" s="56">
        <f>((AW237-AV237)+(AX237-AW237)+(AY237-AX237)+(AZ237-AY237)+(BA237-AZ237)+(BB237-BA237))/6</f>
        <v>-1.4898989898989893E-2</v>
      </c>
      <c r="AH237" s="4"/>
      <c r="AI237" s="56">
        <f>RSQ(AV237:BB237,AV236:BB236)</f>
        <v>0.71240257802110141</v>
      </c>
      <c r="AJ237" s="109">
        <f>SLOPE(AV237:BB237,AV236:BB236)</f>
        <v>-8.6295117502837712E-10</v>
      </c>
      <c r="AK237" s="56">
        <f>INTERCEPT(AV237:BB237,AV236:BB236)</f>
        <v>0.40460334418667709</v>
      </c>
      <c r="AL237" s="56">
        <f>INDEX(LINEST(LN(AV237:BB237),LN(AV236:BB236),TRUE,TRUE),3,1)</f>
        <v>0.66493530837282666</v>
      </c>
      <c r="AM237" s="56">
        <f>INDEX(LINEST(LN(AV237:BB237),LN(AV236:BB236)),1)</f>
        <v>-0.17435575550386112</v>
      </c>
      <c r="AN237" s="56">
        <f>EXP(INDEX(LINEST(LN(AV237:BB237),LN(AV236:BB236)),1,2))</f>
        <v>7.8473231768417246</v>
      </c>
      <c r="AO237" s="82">
        <f>INDEX(LINEST((AV237:BB237),LN(AV236:BB236),TRUE,TRUE),3,1)</f>
        <v>0.68296216837313706</v>
      </c>
      <c r="AP237" s="82">
        <f>INDEX(LINEST((AV237:BB237),LN(AV236:BB236)),1)</f>
        <v>-5.8441232760913293E-2</v>
      </c>
      <c r="AQ237" s="83">
        <f>INDEX(LINEST(LN(AV237:BB237),SQRT(AV236:BB236),TRUE,TRUE),3,1)</f>
        <v>0.68957537001270841</v>
      </c>
      <c r="AR237" s="116">
        <f>INDEX(LINEST(LN(AV237:BB237),SQRT((AV236:BB236))),1)</f>
        <v>-4.3574288217883655E-5</v>
      </c>
      <c r="AS237" s="84">
        <f>INDEX(LINEST(1/(AV237:BB237),1/(SQRT(AV236:BB236)),TRUE,TRUE),3,1)</f>
        <v>0.60683873857508386</v>
      </c>
      <c r="AT237" s="84">
        <f>INDEX(LINEST(1/(AV237:BB237),1/SQRT(AV236:BB236)),1)</f>
        <v>-7918.4232191357296</v>
      </c>
      <c r="AU237" s="3"/>
      <c r="AV237" s="11">
        <v>0.3807692307692303</v>
      </c>
      <c r="AW237" s="11">
        <v>0.34743589743589703</v>
      </c>
      <c r="AX237" s="11">
        <v>0.36939102564102533</v>
      </c>
      <c r="AY237" s="11">
        <v>0.34515224358974317</v>
      </c>
      <c r="AZ237" s="11">
        <v>0.29226020892687515</v>
      </c>
      <c r="BA237" s="11">
        <v>0.32959401709401687</v>
      </c>
      <c r="BB237" s="11">
        <v>0.29137529137529095</v>
      </c>
      <c r="BD237" s="11"/>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1"/>
      <c r="CN237" s="11"/>
      <c r="CO237" s="11"/>
      <c r="CP237" s="11"/>
      <c r="CQ237" s="11"/>
      <c r="CR237" s="15"/>
      <c r="CS237" s="15"/>
      <c r="CT237" s="15"/>
      <c r="CU237" s="15"/>
    </row>
    <row r="238" spans="1:99" ht="12" customHeight="1" x14ac:dyDescent="0.2">
      <c r="A238" s="65">
        <v>43903</v>
      </c>
      <c r="B238" s="15"/>
      <c r="C238" s="15"/>
      <c r="D238" s="59"/>
      <c r="E238" s="75"/>
      <c r="F238" s="59"/>
      <c r="G238" s="59"/>
      <c r="H238" s="59"/>
      <c r="I238" s="59"/>
      <c r="K238" s="60"/>
      <c r="L238" s="60"/>
      <c r="M238" s="59"/>
      <c r="N238" s="60"/>
      <c r="O238" s="59"/>
      <c r="P238" s="59"/>
      <c r="Q238" s="59"/>
      <c r="R238" s="60"/>
      <c r="S238" s="59"/>
      <c r="T238" s="59"/>
      <c r="U238" s="60"/>
      <c r="V238" s="59"/>
      <c r="W238" s="60"/>
      <c r="X238" s="60"/>
      <c r="Y238" s="76"/>
      <c r="Z238" s="59"/>
      <c r="AA238" s="59"/>
      <c r="AB238" s="60"/>
      <c r="AC238" s="56"/>
      <c r="AD238" s="60"/>
      <c r="AE238" s="60"/>
      <c r="AF238" s="80"/>
      <c r="AG238" s="56"/>
      <c r="AH238" s="4"/>
      <c r="AI238" s="56"/>
      <c r="AJ238" s="109"/>
      <c r="AK238" s="56"/>
      <c r="AL238" s="56"/>
      <c r="AM238" s="56"/>
      <c r="AN238" s="56"/>
      <c r="AO238" s="82"/>
      <c r="AP238" s="82"/>
      <c r="AQ238" s="83"/>
      <c r="AR238" s="116"/>
      <c r="AS238" s="84"/>
      <c r="AT238" s="84"/>
      <c r="AU238" s="3"/>
      <c r="AV238" s="47">
        <v>31536000</v>
      </c>
      <c r="AW238" s="47">
        <v>47304000</v>
      </c>
      <c r="AX238" s="47">
        <v>63072000</v>
      </c>
      <c r="AY238" s="47">
        <v>78840000</v>
      </c>
      <c r="AZ238" s="47">
        <v>94608000</v>
      </c>
      <c r="BA238" s="47">
        <v>110376000</v>
      </c>
      <c r="BB238" s="47">
        <v>126144000</v>
      </c>
      <c r="BD238" s="11"/>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1"/>
      <c r="CN238" s="11"/>
      <c r="CO238" s="11"/>
      <c r="CP238" s="11"/>
      <c r="CQ238" s="11"/>
      <c r="CR238" s="15"/>
      <c r="CS238" s="15"/>
      <c r="CT238" s="15"/>
      <c r="CU238" s="15"/>
    </row>
    <row r="239" spans="1:99" ht="12" customHeight="1" x14ac:dyDescent="0.2">
      <c r="A239" s="65">
        <v>43903</v>
      </c>
      <c r="B239" s="15" t="s">
        <v>481</v>
      </c>
      <c r="C239" s="15" t="s">
        <v>262</v>
      </c>
      <c r="D239" s="59">
        <v>2020</v>
      </c>
      <c r="E239" s="75">
        <v>2</v>
      </c>
      <c r="F239" s="59">
        <v>142</v>
      </c>
      <c r="G239" s="59">
        <v>17.75</v>
      </c>
      <c r="H239" s="59" t="s">
        <v>747</v>
      </c>
      <c r="I239" s="59" t="s">
        <v>922</v>
      </c>
      <c r="J239" s="64" t="s">
        <v>483</v>
      </c>
      <c r="K239" s="60">
        <f>IF(J239="syllables",1,IF(J239="trigrams",2,IF(J239="strings",3,IF(J239="visual array",4,IF(J239="characters",5,IF(J239="letters",6,IF(J239="free forms",7,IF(J239="odors",8,IF(J239="words",9,IF(J239="pictures",10,IF(J239="object pictures",11,IF(J239="faces",12,IF(J239="names",13,IF(J239="idioms",14,IF(J239="grades",15,IF(J239="syllable-digit pairs",16,IF(J239="trigram-word pairs",17,IF(J239="word-digit pairs",18,IF(J239="English-Swahili pairs",19,IF(J239="spatial position",20,IF(J239="word pairs",21,IF(J239="word triads",22,IF(J239="generated words",23,IF(J239="word definition pairs",24,IF(J239="math problems",25,IF(J239="famous faces",26,IF(J239="famous names",27,IF(J239="famous voices",28,IF(J239="television programs",29,IF(J239="race horses",30,IF(J239="new vocabulary",31,IF(J239="sentences",32,IF(J239="concepts",33,IF(J239="ad slides",34,IF(J239="scenes",35,IF(J239="famous scenes",36,IF(J239="poems",37,IF(J239="walk",38,IF(J239="faces and events",39,IF(J239="events and names",40,IF(J239="flashbulb",41,IF(J239="stories",42,IF(J239="course material",43,IF(J239="autobiographical",44,IF(J239="novels",45,IF(J239="public events",46,"99"))))))))))))))))))))))))))))))))))))))))))))))</f>
        <v>45</v>
      </c>
      <c r="L239" s="60">
        <f>IF(J239="syllables",1,IF(J239="trigrams",1,IF(J239="strings",1,IF(J239="visual array",1,IF(J239="characters",1,IF(J239="letters",1,IF(J239="free forms",1,IF(J239="odors",2,IF(J239="words",2,IF(J239="pictures",2,IF(J239="object pictures",2,IF(J239="faces",2,IF(J239="names",2,IF(J239="idioms","2",IF(J239="grades",2,IF(J239="syllable-digit pairs",3,IF(J239="trigram-word pairs",3,IF(J239="word-digit pairs",3,IF(J239="English-Swahili pairs",3,IF(J239="spatial position",3,IF(J239="word pairs",4,IF(J239="word triads",4,IF(J239="generated words",4,IF(J239="word definition pairs",4,IF(J239="math problems",4,IF(J239="famous faces",4,IF(J239="famous names",4,IF(J239="famous voices",4,IF(J239="television programs",4,IF(J239="race horses",4,IF(J239="new vocabulary",4,IF(J239="sentences",5,IF(J239="concepts",5,IF(J239="ad slides",5,IF(J239="scenes",5,IF(J239="famous scenes",5,IF(J239="poems",6,IF(J239="walk",6,IF(J239="faces and events",6,IF(J239="events and names",6,IF(J239="flashbulb",7,IF(J239="stories",7,IF(J239="course material",7,IF(J239="autobiographical",7,IF(J239="novels",7,IF(J239="public events",7,"99"))))))))))))))))))))))))))))))))))))))))))))))</f>
        <v>7</v>
      </c>
      <c r="M239" s="59">
        <v>0</v>
      </c>
      <c r="N239" s="60">
        <v>3</v>
      </c>
      <c r="O239" s="59">
        <v>0</v>
      </c>
      <c r="P239" s="59"/>
      <c r="Q239" s="59" t="s">
        <v>182</v>
      </c>
      <c r="R239" s="60">
        <f>IF(Q239="Free Recall",1,IF(Q239="Cued Recall",2,IF(Q239="Recognition",3,IF(Q239="Multiple Choice",4,IF(Q239="Savings",5,IF(Q239="Stem Completion",6,IF(Q239="Fragment Completion",7,IF(Q239="anagram solution",8,IF(Q239="Matching",9,IF(Q239="Problem Solving",10,"99"))))))))))</f>
        <v>4</v>
      </c>
      <c r="S239" s="59" t="s">
        <v>482</v>
      </c>
      <c r="T239" s="59" t="s">
        <v>261</v>
      </c>
      <c r="U239" s="60">
        <f t="shared" ref="U239" si="40">IF(T239="within",1,0)</f>
        <v>0</v>
      </c>
      <c r="V239" s="59">
        <v>12</v>
      </c>
      <c r="W239" s="60">
        <f>F239*V239</f>
        <v>1704</v>
      </c>
      <c r="X239" s="60">
        <v>7</v>
      </c>
      <c r="Y239" s="76">
        <f>AV238</f>
        <v>31536000</v>
      </c>
      <c r="Z239" s="59" t="s">
        <v>484</v>
      </c>
      <c r="AA239" s="60">
        <f>7.5*365*24*60*60</f>
        <v>236520000</v>
      </c>
      <c r="AB239" s="60" t="str">
        <f>IF(AA239&lt;60,"1",IF(AA239&lt;=43200,"2",IF(AA239&lt;=777600,"3","4")))</f>
        <v>4</v>
      </c>
      <c r="AC239" s="56">
        <f>AVERAGE(AV238:DA238)</f>
        <v>78840000</v>
      </c>
      <c r="AD239" s="60" t="str">
        <f>IF(AC239&lt;60,"1",IF(AC239&lt;=43200,"2",IF(AC239&lt;=777600,"3","4")))</f>
        <v>4</v>
      </c>
      <c r="AE239" s="76">
        <f>AA239-Y239</f>
        <v>204984000</v>
      </c>
      <c r="AF239" s="80">
        <f>AV239</f>
        <v>0.38333333333333297</v>
      </c>
      <c r="AG239" s="56">
        <f>((AW239-AV239)+(AX239-AW239)+(AY239-AX239)+(AZ239-AY239)+(BA239-AZ239)+(BB239-BA239))/6</f>
        <v>-2.0959595959595928E-2</v>
      </c>
      <c r="AH239" s="4"/>
      <c r="AI239" s="56">
        <f>RSQ(AV239:BB239,AV238:BB238)</f>
        <v>0.52073793351367859</v>
      </c>
      <c r="AJ239" s="109">
        <f>SLOPE(AV239:BB239,AV238:BB238)</f>
        <v>-9.902764162446209E-10</v>
      </c>
      <c r="AK239" s="56">
        <f>INTERCEPT(AV239:BB239,AV238:BB238)</f>
        <v>0.35913966049382678</v>
      </c>
      <c r="AL239" s="56">
        <f>INDEX(LINEST(LN(AV239:BB239),LN(AV238:BB238),TRUE,TRUE),3,1)</f>
        <v>0.7203142792796966</v>
      </c>
      <c r="AM239" s="56">
        <f>INDEX(LINEST(LN(AV239:BB239),LN(AV238:BB238)),1)</f>
        <v>-0.25573163049038727</v>
      </c>
      <c r="AN239" s="56">
        <f>EXP(INDEX(LINEST(LN(AV239:BB239),LN(AV238:BB238)),1,2))</f>
        <v>28.401292052047669</v>
      </c>
      <c r="AO239" s="82">
        <f>INDEX(LINEST((AV239:BB239),LN(AV238:BB238),TRUE,TRUE),3,1)</f>
        <v>0.70285392731901009</v>
      </c>
      <c r="AP239" s="82">
        <f>INDEX(LINEST((AV239:BB239),LN(AV238:BB238)),1)</f>
        <v>-7.9575051451195034E-2</v>
      </c>
      <c r="AQ239" s="83">
        <f>INDEX(LINEST(LN(AV239:BB239),SQRT(AV238:BB238),TRUE,TRUE),3,1)</f>
        <v>0.62873565545146248</v>
      </c>
      <c r="AR239" s="116">
        <f>INDEX(LINEST(LN(AV239:BB239),SQRT((AV238:BB238))),1)</f>
        <v>-5.8634107763531945E-5</v>
      </c>
      <c r="AS239" s="84">
        <f>INDEX(LINEST(1/(AV239:BB239),1/(SQRT(AV238:BB238)),TRUE,TRUE),3,1)</f>
        <v>0.81757224662304206</v>
      </c>
      <c r="AT239" s="84">
        <f>INDEX(LINEST(1/(AV239:BB239),1/SQRT(AV238:BB238)),1)</f>
        <v>-13720.145467463428</v>
      </c>
      <c r="AU239" s="3"/>
      <c r="AV239" s="11">
        <v>0.38333333333333297</v>
      </c>
      <c r="AW239" s="11">
        <v>0.28999999999999976</v>
      </c>
      <c r="AX239" s="11">
        <v>0.26388888888888856</v>
      </c>
      <c r="AY239" s="11">
        <v>0.25260416666666641</v>
      </c>
      <c r="AZ239" s="11">
        <v>0.25617283950617253</v>
      </c>
      <c r="BA239" s="11">
        <v>0.26388888888888856</v>
      </c>
      <c r="BB239" s="11">
        <v>0.2575757575757574</v>
      </c>
      <c r="BD239" s="11"/>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1"/>
      <c r="CN239" s="11"/>
      <c r="CO239" s="11"/>
      <c r="CP239" s="11"/>
      <c r="CQ239" s="11"/>
      <c r="CR239" s="15"/>
      <c r="CS239" s="15"/>
      <c r="CT239" s="15"/>
      <c r="CU239" s="15"/>
    </row>
    <row r="240" spans="1:99" ht="12" customHeight="1" x14ac:dyDescent="0.2">
      <c r="A240" s="65">
        <v>43903</v>
      </c>
      <c r="B240" s="15"/>
      <c r="C240" s="15"/>
      <c r="D240" s="59"/>
      <c r="E240" s="75"/>
      <c r="F240" s="59"/>
      <c r="G240" s="59"/>
      <c r="H240" s="59"/>
      <c r="I240" s="59"/>
      <c r="K240" s="60"/>
      <c r="L240" s="60"/>
      <c r="M240" s="59"/>
      <c r="N240" s="60"/>
      <c r="O240" s="59"/>
      <c r="P240" s="59"/>
      <c r="Q240" s="59"/>
      <c r="R240" s="60"/>
      <c r="S240" s="59"/>
      <c r="T240" s="59"/>
      <c r="U240" s="60"/>
      <c r="V240" s="59"/>
      <c r="W240" s="60"/>
      <c r="X240" s="60"/>
      <c r="Y240" s="76"/>
      <c r="Z240" s="59"/>
      <c r="AA240" s="59"/>
      <c r="AB240" s="60"/>
      <c r="AC240" s="56"/>
      <c r="AD240" s="60"/>
      <c r="AE240" s="60"/>
      <c r="AF240" s="80"/>
      <c r="AG240" s="56"/>
      <c r="AH240" s="4"/>
      <c r="AI240" s="56"/>
      <c r="AJ240" s="109"/>
      <c r="AK240" s="56"/>
      <c r="AL240" s="56"/>
      <c r="AM240" s="56"/>
      <c r="AN240" s="56"/>
      <c r="AO240" s="82"/>
      <c r="AP240" s="82"/>
      <c r="AQ240" s="83"/>
      <c r="AR240" s="116"/>
      <c r="AS240" s="84"/>
      <c r="AT240" s="84"/>
      <c r="AU240" s="3"/>
      <c r="AV240" s="47">
        <v>31536000</v>
      </c>
      <c r="AW240" s="47">
        <v>47304000</v>
      </c>
      <c r="AX240" s="47">
        <v>63072000</v>
      </c>
      <c r="AY240" s="47">
        <v>78840000</v>
      </c>
      <c r="AZ240" s="47">
        <v>94608000</v>
      </c>
      <c r="BA240" s="47">
        <v>110376000</v>
      </c>
      <c r="BB240" s="47">
        <v>126144000</v>
      </c>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1"/>
      <c r="CN240" s="11"/>
      <c r="CO240" s="11"/>
      <c r="CP240" s="11"/>
      <c r="CQ240" s="11"/>
      <c r="CR240" s="15"/>
      <c r="CS240" s="15"/>
      <c r="CT240" s="15"/>
      <c r="CU240" s="15"/>
    </row>
    <row r="241" spans="1:99" ht="12" customHeight="1" x14ac:dyDescent="0.2">
      <c r="A241" s="65">
        <v>43903</v>
      </c>
      <c r="B241" s="15" t="s">
        <v>481</v>
      </c>
      <c r="C241" s="15" t="s">
        <v>262</v>
      </c>
      <c r="D241" s="59">
        <v>2020</v>
      </c>
      <c r="E241" s="75">
        <v>2</v>
      </c>
      <c r="F241" s="59">
        <v>142</v>
      </c>
      <c r="G241" s="59">
        <v>17.75</v>
      </c>
      <c r="H241" s="59" t="s">
        <v>747</v>
      </c>
      <c r="I241" s="59" t="s">
        <v>876</v>
      </c>
      <c r="J241" s="64" t="s">
        <v>483</v>
      </c>
      <c r="K241" s="60">
        <f>IF(J241="syllables",1,IF(J241="trigrams",2,IF(J241="strings",3,IF(J241="visual array",4,IF(J241="characters",5,IF(J241="letters",6,IF(J241="free forms",7,IF(J241="odors",8,IF(J241="words",9,IF(J241="pictures",10,IF(J241="object pictures",11,IF(J241="faces",12,IF(J241="names",13,IF(J241="idioms",14,IF(J241="grades",15,IF(J241="syllable-digit pairs",16,IF(J241="trigram-word pairs",17,IF(J241="word-digit pairs",18,IF(J241="English-Swahili pairs",19,IF(J241="spatial position",20,IF(J241="word pairs",21,IF(J241="word triads",22,IF(J241="generated words",23,IF(J241="word definition pairs",24,IF(J241="math problems",25,IF(J241="famous faces",26,IF(J241="famous names",27,IF(J241="famous voices",28,IF(J241="television programs",29,IF(J241="race horses",30,IF(J241="new vocabulary",31,IF(J241="sentences",32,IF(J241="concepts",33,IF(J241="ad slides",34,IF(J241="scenes",35,IF(J241="famous scenes",36,IF(J241="poems",37,IF(J241="walk",38,IF(J241="faces and events",39,IF(J241="events and names",40,IF(J241="flashbulb",41,IF(J241="stories",42,IF(J241="course material",43,IF(J241="autobiographical",44,IF(J241="novels",45,IF(J241="public events",46,"99"))))))))))))))))))))))))))))))))))))))))))))))</f>
        <v>45</v>
      </c>
      <c r="L241" s="60">
        <f>IF(J241="syllables",1,IF(J241="trigrams",1,IF(J241="strings",1,IF(J241="visual array",1,IF(J241="characters",1,IF(J241="letters",1,IF(J241="free forms",1,IF(J241="odors",2,IF(J241="words",2,IF(J241="pictures",2,IF(J241="object pictures",2,IF(J241="faces",2,IF(J241="names",2,IF(J241="idioms","2",IF(J241="grades",2,IF(J241="syllable-digit pairs",3,IF(J241="trigram-word pairs",3,IF(J241="word-digit pairs",3,IF(J241="English-Swahili pairs",3,IF(J241="spatial position",3,IF(J241="word pairs",4,IF(J241="word triads",4,IF(J241="generated words",4,IF(J241="word definition pairs",4,IF(J241="math problems",4,IF(J241="famous faces",4,IF(J241="famous names",4,IF(J241="famous voices",4,IF(J241="television programs",4,IF(J241="race horses",4,IF(J241="new vocabulary",4,IF(J241="sentences",5,IF(J241="concepts",5,IF(J241="ad slides",5,IF(J241="scenes",5,IF(J241="famous scenes",5,IF(J241="poems",6,IF(J241="walk",6,IF(J241="faces and events",6,IF(J241="events and names",6,IF(J241="flashbulb",7,IF(J241="stories",7,IF(J241="course material",7,IF(J241="autobiographical",7,IF(J241="novels",7,IF(J241="public events",7,"99"))))))))))))))))))))))))))))))))))))))))))))))</f>
        <v>7</v>
      </c>
      <c r="M241" s="59">
        <v>0</v>
      </c>
      <c r="N241" s="60">
        <v>3</v>
      </c>
      <c r="O241" s="59">
        <v>0</v>
      </c>
      <c r="P241" s="59"/>
      <c r="Q241" s="59" t="s">
        <v>182</v>
      </c>
      <c r="R241" s="60">
        <f>IF(Q241="Free Recall",1,IF(Q241="Cued Recall",2,IF(Q241="Recognition",3,IF(Q241="Multiple Choice",4,IF(Q241="Savings",5,IF(Q241="Stem Completion",6,IF(Q241="Fragment Completion",7,IF(Q241="anagram solution",8,IF(Q241="Matching",9,IF(Q241="Problem Solving",10,"99"))))))))))</f>
        <v>4</v>
      </c>
      <c r="S241" s="59" t="s">
        <v>482</v>
      </c>
      <c r="T241" s="59" t="s">
        <v>261</v>
      </c>
      <c r="U241" s="60">
        <f t="shared" ref="U241" si="41">IF(T241="within",1,0)</f>
        <v>0</v>
      </c>
      <c r="V241" s="59">
        <v>12</v>
      </c>
      <c r="W241" s="60">
        <f>F241*V241</f>
        <v>1704</v>
      </c>
      <c r="X241" s="60">
        <v>7</v>
      </c>
      <c r="Y241" s="76">
        <f>AV240</f>
        <v>31536000</v>
      </c>
      <c r="Z241" s="59" t="s">
        <v>484</v>
      </c>
      <c r="AA241" s="60">
        <f>7.5*365*24*60*60</f>
        <v>236520000</v>
      </c>
      <c r="AB241" s="60" t="str">
        <f>IF(AA241&lt;60,"1",IF(AA241&lt;=43200,"2",IF(AA241&lt;=777600,"3","4")))</f>
        <v>4</v>
      </c>
      <c r="AC241" s="56">
        <f>AVERAGE(AV240:DA240)</f>
        <v>78840000</v>
      </c>
      <c r="AD241" s="60" t="str">
        <f>IF(AC241&lt;60,"1",IF(AC241&lt;=43200,"2",IF(AC241&lt;=777600,"3","4")))</f>
        <v>4</v>
      </c>
      <c r="AE241" s="76">
        <f>AA241-Y241</f>
        <v>204984000</v>
      </c>
      <c r="AF241" s="80">
        <f>AV241</f>
        <v>0.5142857142857139</v>
      </c>
      <c r="AG241" s="56">
        <f>((AW241-AV241)+(AX241-AW241)+(AY241-AX241)+(AZ241-AY241)+(BA241-AZ241)+(BB241-BA241))/6</f>
        <v>-1.8434343434343432E-2</v>
      </c>
      <c r="AH241" s="4"/>
      <c r="AI241" s="56">
        <f>RSQ(AV241:BB241,AV240:BB240)</f>
        <v>0.22061055371373686</v>
      </c>
      <c r="AJ241" s="109">
        <f>SLOPE(AV241:BB241,AV240:BB240)</f>
        <v>-7.0156480309804677E-10</v>
      </c>
      <c r="AK241" s="56">
        <f>INTERCEPT(AV241:BB241,AV240:BB240)</f>
        <v>0.46933492378432823</v>
      </c>
      <c r="AL241" s="56">
        <f>INDEX(LINEST(LN(AV241:BB241),LN(AV240:BB240),TRUE,TRUE),3,1)</f>
        <v>0.32412237614109013</v>
      </c>
      <c r="AM241" s="56">
        <f>INDEX(LINEST(LN(AV241:BB241),LN(AV240:BB240)),1)</f>
        <v>-0.13570917735172788</v>
      </c>
      <c r="AN241" s="56">
        <f>EXP(INDEX(LINEST(LN(AV241:BB241),LN(AV240:BB240)),1,2))</f>
        <v>4.7915400178867591</v>
      </c>
      <c r="AO241" s="82">
        <f>INDEX(LINEST((AV241:BB241),LN(AV240:BB240),TRUE,TRUE),3,1)</f>
        <v>0.35744785142173385</v>
      </c>
      <c r="AP241" s="82">
        <f>INDEX(LINEST((AV241:BB241),LN(AV240:BB240)),1)</f>
        <v>-6.1767291420725234E-2</v>
      </c>
      <c r="AQ241" s="83">
        <f>INDEX(LINEST(LN(AV241:BB241),SQRT(AV240:BB240),TRUE,TRUE),3,1)</f>
        <v>0.25554605208481496</v>
      </c>
      <c r="AR241" s="116">
        <f>INDEX(LINEST(LN(AV241:BB241),SQRT((AV240:BB240))),1)</f>
        <v>-2.9572098172028613E-5</v>
      </c>
      <c r="AS241" s="84">
        <f>INDEX(LINEST(1/(AV241:BB241),1/(SQRT(AV240:BB240)),TRUE,TRUE),3,1)</f>
        <v>0.35643337522566382</v>
      </c>
      <c r="AT241" s="84">
        <f>INDEX(LINEST(1/(AV241:BB241),1/SQRT(AV240:BB240)),1)</f>
        <v>-5201.1910981736974</v>
      </c>
      <c r="AU241" s="3"/>
      <c r="AV241" s="11">
        <v>0.5142857142857139</v>
      </c>
      <c r="AW241" s="11">
        <v>0.38857142857142818</v>
      </c>
      <c r="AX241" s="11">
        <v>0.43005952380952345</v>
      </c>
      <c r="AY241" s="11">
        <v>0.35491071428571397</v>
      </c>
      <c r="AZ241" s="11">
        <v>0.38403880070546703</v>
      </c>
      <c r="BA241" s="11">
        <v>0.42261904761904728</v>
      </c>
      <c r="BB241" s="11">
        <v>0.40367965367965331</v>
      </c>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1"/>
      <c r="CN241" s="11"/>
      <c r="CO241" s="11"/>
      <c r="CP241" s="11"/>
      <c r="CQ241" s="11"/>
      <c r="CR241" s="15"/>
      <c r="CS241" s="15"/>
      <c r="CT241" s="15"/>
      <c r="CU241" s="15"/>
    </row>
    <row r="242" spans="1:99" ht="12" customHeight="1" x14ac:dyDescent="0.2">
      <c r="A242" s="65">
        <v>43903</v>
      </c>
      <c r="B242" s="15"/>
      <c r="C242" s="15"/>
      <c r="D242" s="59"/>
      <c r="E242" s="75"/>
      <c r="F242" s="59"/>
      <c r="G242" s="59"/>
      <c r="H242" s="59"/>
      <c r="I242" s="59"/>
      <c r="K242" s="60"/>
      <c r="L242" s="60"/>
      <c r="M242" s="59"/>
      <c r="N242" s="60"/>
      <c r="O242" s="59"/>
      <c r="P242" s="59"/>
      <c r="Q242" s="59"/>
      <c r="R242" s="60"/>
      <c r="S242" s="59"/>
      <c r="T242" s="59"/>
      <c r="U242" s="60"/>
      <c r="V242" s="59"/>
      <c r="W242" s="60"/>
      <c r="X242" s="60"/>
      <c r="Y242" s="76"/>
      <c r="Z242" s="59"/>
      <c r="AA242" s="59"/>
      <c r="AB242" s="60"/>
      <c r="AC242" s="56"/>
      <c r="AD242" s="60"/>
      <c r="AE242" s="60"/>
      <c r="AF242" s="80"/>
      <c r="AG242" s="56"/>
      <c r="AH242" s="4"/>
      <c r="AI242" s="56"/>
      <c r="AJ242" s="109"/>
      <c r="AK242" s="56"/>
      <c r="AL242" s="56"/>
      <c r="AM242" s="56"/>
      <c r="AN242" s="56"/>
      <c r="AO242" s="82"/>
      <c r="AP242" s="82"/>
      <c r="AQ242" s="83"/>
      <c r="AR242" s="116"/>
      <c r="AS242" s="84"/>
      <c r="AT242" s="84"/>
      <c r="AU242" s="3"/>
      <c r="AV242" s="47">
        <v>31536000</v>
      </c>
      <c r="AW242" s="47">
        <v>47304000</v>
      </c>
      <c r="AX242" s="47">
        <v>63072000</v>
      </c>
      <c r="AY242" s="47">
        <v>78840000</v>
      </c>
      <c r="AZ242" s="47">
        <v>94608000</v>
      </c>
      <c r="BA242" s="47">
        <v>110376000</v>
      </c>
      <c r="BB242" s="47">
        <v>126144000</v>
      </c>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1"/>
      <c r="CN242" s="11"/>
      <c r="CO242" s="11"/>
      <c r="CP242" s="11"/>
      <c r="CQ242" s="11"/>
      <c r="CR242" s="15"/>
      <c r="CS242" s="15"/>
      <c r="CT242" s="15"/>
      <c r="CU242" s="15"/>
    </row>
    <row r="243" spans="1:99" ht="12" customHeight="1" x14ac:dyDescent="0.2">
      <c r="A243" s="65">
        <v>43903</v>
      </c>
      <c r="B243" s="15" t="s">
        <v>481</v>
      </c>
      <c r="C243" s="15" t="s">
        <v>262</v>
      </c>
      <c r="D243" s="59">
        <v>2020</v>
      </c>
      <c r="E243" s="75">
        <v>2</v>
      </c>
      <c r="F243" s="59">
        <v>142</v>
      </c>
      <c r="G243" s="59">
        <v>17.75</v>
      </c>
      <c r="H243" s="59" t="s">
        <v>747</v>
      </c>
      <c r="I243" s="59" t="s">
        <v>923</v>
      </c>
      <c r="J243" s="64" t="s">
        <v>483</v>
      </c>
      <c r="K243" s="60">
        <f>IF(J243="syllables",1,IF(J243="trigrams",2,IF(J243="strings",3,IF(J243="visual array",4,IF(J243="characters",5,IF(J243="letters",6,IF(J243="free forms",7,IF(J243="odors",8,IF(J243="words",9,IF(J243="pictures",10,IF(J243="object pictures",11,IF(J243="faces",12,IF(J243="names",13,IF(J243="idioms",14,IF(J243="grades",15,IF(J243="syllable-digit pairs",16,IF(J243="trigram-word pairs",17,IF(J243="word-digit pairs",18,IF(J243="English-Swahili pairs",19,IF(J243="spatial position",20,IF(J243="word pairs",21,IF(J243="word triads",22,IF(J243="generated words",23,IF(J243="word definition pairs",24,IF(J243="math problems",25,IF(J243="famous faces",26,IF(J243="famous names",27,IF(J243="famous voices",28,IF(J243="television programs",29,IF(J243="race horses",30,IF(J243="new vocabulary",31,IF(J243="sentences",32,IF(J243="concepts",33,IF(J243="ad slides",34,IF(J243="scenes",35,IF(J243="famous scenes",36,IF(J243="poems",37,IF(J243="walk",38,IF(J243="faces and events",39,IF(J243="events and names",40,IF(J243="flashbulb",41,IF(J243="stories",42,IF(J243="course material",43,IF(J243="autobiographical",44,IF(J243="novels",45,IF(J243="public events",46,"99"))))))))))))))))))))))))))))))))))))))))))))))</f>
        <v>45</v>
      </c>
      <c r="L243" s="60">
        <f>IF(J243="syllables",1,IF(J243="trigrams",1,IF(J243="strings",1,IF(J243="visual array",1,IF(J243="characters",1,IF(J243="letters",1,IF(J243="free forms",1,IF(J243="odors",2,IF(J243="words",2,IF(J243="pictures",2,IF(J243="object pictures",2,IF(J243="faces",2,IF(J243="names",2,IF(J243="idioms","2",IF(J243="grades",2,IF(J243="syllable-digit pairs",3,IF(J243="trigram-word pairs",3,IF(J243="word-digit pairs",3,IF(J243="English-Swahili pairs",3,IF(J243="spatial position",3,IF(J243="word pairs",4,IF(J243="word triads",4,IF(J243="generated words",4,IF(J243="word definition pairs",4,IF(J243="math problems",4,IF(J243="famous faces",4,IF(J243="famous names",4,IF(J243="famous voices",4,IF(J243="television programs",4,IF(J243="race horses",4,IF(J243="new vocabulary",4,IF(J243="sentences",5,IF(J243="concepts",5,IF(J243="ad slides",5,IF(J243="scenes",5,IF(J243="famous scenes",5,IF(J243="poems",6,IF(J243="walk",6,IF(J243="faces and events",6,IF(J243="events and names",6,IF(J243="flashbulb",7,IF(J243="stories",7,IF(J243="course material",7,IF(J243="autobiographical",7,IF(J243="novels",7,IF(J243="public events",7,"99"))))))))))))))))))))))))))))))))))))))))))))))</f>
        <v>7</v>
      </c>
      <c r="M243" s="59">
        <v>0</v>
      </c>
      <c r="N243" s="60">
        <v>3</v>
      </c>
      <c r="O243" s="59">
        <v>0</v>
      </c>
      <c r="P243" s="59"/>
      <c r="Q243" s="59" t="s">
        <v>182</v>
      </c>
      <c r="R243" s="60">
        <f>IF(Q243="Free Recall",1,IF(Q243="Cued Recall",2,IF(Q243="Recognition",3,IF(Q243="Multiple Choice",4,IF(Q243="Savings",5,IF(Q243="Stem Completion",6,IF(Q243="Fragment Completion",7,IF(Q243="anagram solution",8,IF(Q243="Matching",9,IF(Q243="Problem Solving",10,"99"))))))))))</f>
        <v>4</v>
      </c>
      <c r="S243" s="59" t="s">
        <v>482</v>
      </c>
      <c r="T243" s="59" t="s">
        <v>261</v>
      </c>
      <c r="U243" s="60">
        <f t="shared" ref="U243" si="42">IF(T243="within",1,0)</f>
        <v>0</v>
      </c>
      <c r="V243" s="59">
        <v>12</v>
      </c>
      <c r="W243" s="60">
        <f>F243*V243</f>
        <v>1704</v>
      </c>
      <c r="X243" s="60">
        <v>7</v>
      </c>
      <c r="Y243" s="76">
        <f>AV242</f>
        <v>31536000</v>
      </c>
      <c r="Z243" s="59" t="s">
        <v>484</v>
      </c>
      <c r="AA243" s="60">
        <f>7.5*365*24*60*60</f>
        <v>236520000</v>
      </c>
      <c r="AB243" s="60" t="str">
        <f>IF(AA243&lt;60,"1",IF(AA243&lt;=43200,"2",IF(AA243&lt;=777600,"3","4")))</f>
        <v>4</v>
      </c>
      <c r="AC243" s="56">
        <f>AVERAGE(AV242:DA242)</f>
        <v>78840000</v>
      </c>
      <c r="AD243" s="60" t="str">
        <f>IF(AC243&lt;60,"1",IF(AC243&lt;=43200,"2",IF(AC243&lt;=777600,"3","4")))</f>
        <v>4</v>
      </c>
      <c r="AE243" s="76">
        <f>AA243-Y243</f>
        <v>204984000</v>
      </c>
      <c r="AF243" s="80">
        <f>AV243</f>
        <v>0.59780219780219745</v>
      </c>
      <c r="AG243" s="56">
        <f>((AW243-AV243)+(AX243-AW243)+(AY243-AX243)+(AZ243-AY243)+(BA243-AZ243)+(BB243-BA243))/6</f>
        <v>-2.258019758019757E-2</v>
      </c>
      <c r="AH243" s="4"/>
      <c r="AI243" s="56">
        <f>RSQ(AV243:BB243,AV242:BB242)</f>
        <v>0.24054458260726366</v>
      </c>
      <c r="AJ243" s="109">
        <f>SLOPE(AV243:BB243,AV242:BB242)</f>
        <v>-7.9461091705601392E-10</v>
      </c>
      <c r="AK243" s="56">
        <f>INTERCEPT(AV243:BB243,AV242:BB242)</f>
        <v>0.54541312358276606</v>
      </c>
      <c r="AL243" s="56">
        <f>INDEX(LINEST(LN(AV243:BB243),LN(AV242:BB242),TRUE,TRUE),3,1)</f>
        <v>0.34525875320329158</v>
      </c>
      <c r="AM243" s="56">
        <f>INDEX(LINEST(LN(AV243:BB243),LN(AV242:BB242)),1)</f>
        <v>-0.12802922936849193</v>
      </c>
      <c r="AN243" s="56">
        <f>EXP(INDEX(LINEST(LN(AV243:BB243),LN(AV242:BB242)),1,2))</f>
        <v>4.8670129770584039</v>
      </c>
      <c r="AO243" s="82">
        <f>INDEX(LINEST((AV243:BB243),LN(AV242:BB242),TRUE,TRUE),3,1)</f>
        <v>0.37339606117032054</v>
      </c>
      <c r="AP243" s="82">
        <f>INDEX(LINEST((AV243:BB243),LN(AV242:BB242)),1)</f>
        <v>-6.8476123253142701E-2</v>
      </c>
      <c r="AQ243" s="83">
        <f>INDEX(LINEST(LN(AV243:BB243),SQRT(AV242:BB242),TRUE,TRUE),3,1)</f>
        <v>0.27687388857504375</v>
      </c>
      <c r="AR243" s="116">
        <f>INDEX(LINEST(LN(AV243:BB243),SQRT((AV242:BB242))),1)</f>
        <v>-2.8136535633724081E-5</v>
      </c>
      <c r="AS243" s="84">
        <f>INDEX(LINEST(1/(AV243:BB243),1/(SQRT(AV242:BB242)),TRUE,TRUE),3,1)</f>
        <v>0.38646008330635151</v>
      </c>
      <c r="AT243" s="84">
        <f>INDEX(LINEST(1/(AV243:BB243),1/SQRT(AV242:BB242)),1)</f>
        <v>-4156.5132013057237</v>
      </c>
      <c r="AU243" s="3"/>
      <c r="AV243" s="11">
        <v>0.59780219780219745</v>
      </c>
      <c r="AW243" s="11">
        <v>0.46212454212454168</v>
      </c>
      <c r="AX243" s="11">
        <v>0.42999084249084202</v>
      </c>
      <c r="AY243" s="11">
        <v>0.4979567307692303</v>
      </c>
      <c r="AZ243" s="11">
        <v>0.44847374847374799</v>
      </c>
      <c r="BA243" s="11">
        <v>0.48069291819291765</v>
      </c>
      <c r="BB243" s="11">
        <v>0.46232101232101203</v>
      </c>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1"/>
      <c r="CN243" s="11"/>
      <c r="CO243" s="11"/>
      <c r="CP243" s="11"/>
      <c r="CQ243" s="11"/>
      <c r="CR243" s="15"/>
      <c r="CS243" s="15"/>
      <c r="CT243" s="15"/>
      <c r="CU243" s="15"/>
    </row>
    <row r="244" spans="1:99" s="13" customFormat="1" ht="12" customHeight="1" x14ac:dyDescent="0.2">
      <c r="A244" s="68">
        <v>43509</v>
      </c>
      <c r="B244" s="70"/>
      <c r="C244" s="70"/>
      <c r="D244" s="69"/>
      <c r="E244" s="87"/>
      <c r="F244" s="69"/>
      <c r="G244" s="69"/>
      <c r="H244" s="69"/>
      <c r="I244" s="69"/>
      <c r="J244" s="69"/>
      <c r="K244" s="107"/>
      <c r="L244" s="107"/>
      <c r="M244" s="69"/>
      <c r="N244" s="69"/>
      <c r="O244" s="69"/>
      <c r="P244" s="69"/>
      <c r="Q244" s="69"/>
      <c r="R244" s="69"/>
      <c r="S244" s="69"/>
      <c r="T244" s="69"/>
      <c r="U244" s="69"/>
      <c r="V244" s="69"/>
      <c r="W244" s="69"/>
      <c r="X244" s="69"/>
      <c r="Y244" s="87"/>
      <c r="Z244" s="69"/>
      <c r="AA244" s="69"/>
      <c r="AB244" s="69"/>
      <c r="AC244" s="69"/>
      <c r="AD244" s="69"/>
      <c r="AE244" s="69"/>
      <c r="AF244" s="88"/>
      <c r="AG244" s="72"/>
      <c r="AH244" s="4"/>
      <c r="AI244" s="72"/>
      <c r="AJ244" s="110"/>
      <c r="AK244" s="72"/>
      <c r="AL244" s="72"/>
      <c r="AM244" s="72"/>
      <c r="AN244" s="72"/>
      <c r="AO244" s="72"/>
      <c r="AP244" s="72"/>
      <c r="AQ244" s="89"/>
      <c r="AR244" s="118"/>
      <c r="AS244" s="89"/>
      <c r="AT244" s="89"/>
      <c r="AU244" s="4"/>
      <c r="AV244" s="71">
        <v>30</v>
      </c>
      <c r="AW244" s="71">
        <f>19*60</f>
        <v>1140</v>
      </c>
      <c r="AX244" s="71">
        <f>63*60</f>
        <v>3780</v>
      </c>
      <c r="AY244" s="71">
        <f>525*60</f>
        <v>31500</v>
      </c>
      <c r="AZ244" s="71">
        <f>24*60*60</f>
        <v>86400</v>
      </c>
      <c r="BA244" s="71">
        <f>2*24*60*60</f>
        <v>172800</v>
      </c>
      <c r="BB244" s="71">
        <f>6*24*60*60</f>
        <v>518400</v>
      </c>
      <c r="BC244" s="71">
        <f>31*24*60*60</f>
        <v>2678400</v>
      </c>
      <c r="BD244" s="53"/>
      <c r="BE244" s="53"/>
      <c r="BF244" s="53"/>
      <c r="BG244" s="53"/>
      <c r="BH244" s="53"/>
      <c r="BI244" s="53"/>
      <c r="BJ244" s="53"/>
      <c r="BK244" s="53"/>
      <c r="BL244" s="53"/>
      <c r="BM244" s="53"/>
      <c r="BN244" s="53"/>
      <c r="BO244" s="53"/>
      <c r="BP244" s="53"/>
      <c r="BQ244" s="53"/>
      <c r="BR244" s="53"/>
      <c r="BS244" s="53"/>
      <c r="BT244" s="53"/>
      <c r="BU244" s="53"/>
      <c r="BV244" s="53"/>
      <c r="BW244" s="53"/>
      <c r="BX244" s="53"/>
      <c r="BY244" s="53"/>
      <c r="BZ244" s="53"/>
      <c r="CA244" s="53"/>
      <c r="CB244" s="53"/>
      <c r="CC244" s="53"/>
      <c r="CD244" s="53"/>
      <c r="CE244" s="53"/>
      <c r="CF244" s="53"/>
      <c r="CG244" s="53"/>
      <c r="CH244" s="53"/>
      <c r="CI244" s="53"/>
      <c r="CJ244" s="53"/>
      <c r="CK244" s="53"/>
      <c r="CL244" s="53"/>
      <c r="CM244" s="53"/>
      <c r="CN244" s="53"/>
      <c r="CO244" s="53"/>
      <c r="CP244" s="53"/>
      <c r="CQ244" s="53"/>
      <c r="CR244" s="1"/>
      <c r="CS244" s="1"/>
      <c r="CT244" s="1"/>
      <c r="CU244" s="1"/>
    </row>
    <row r="245" spans="1:99" s="13" customFormat="1" ht="12" customHeight="1" x14ac:dyDescent="0.2">
      <c r="A245" s="68">
        <v>43509</v>
      </c>
      <c r="B245" s="70" t="s">
        <v>147</v>
      </c>
      <c r="C245" s="70" t="s">
        <v>139</v>
      </c>
      <c r="D245" s="69">
        <v>1885</v>
      </c>
      <c r="E245" s="87">
        <v>1</v>
      </c>
      <c r="F245" s="69">
        <v>1</v>
      </c>
      <c r="G245" s="69">
        <v>1</v>
      </c>
      <c r="H245" s="86" t="s">
        <v>238</v>
      </c>
      <c r="I245" s="69"/>
      <c r="J245" s="69" t="s">
        <v>281</v>
      </c>
      <c r="K245" s="69">
        <f>IF(J245="syllables",1,IF(J245="trigrams",2,IF(J245="strings",3,IF(J245="visual array",4,IF(J245="characters",5,IF(J245="letters",6,IF(J245="free forms",7,IF(J245="odors",8,IF(J245="words",9,IF(J245="pictures",10,IF(J245="object pictures",11,IF(J245="faces",12,IF(J245="names",13,IF(J245="idioms",14,IF(J245="grades",15,IF(J245="syllable-digit pairs",16,IF(J245="trigram-word pairs",17,IF(J245="word-digit pairs",18,IF(J245="English-Swahili pairs",19,IF(J245="spatial position",20,IF(J245="word pairs",21,IF(J245="word triads",22,IF(J245="generated words",23,IF(J245="word definition pairs",24,IF(J245="math problems",25,IF(J245="famous faces",26,IF(J245="famous names",27,IF(J245="famous voices",28,IF(J245="television programs",29,IF(J245="race horses",30,IF(J245="new vocabulary",31,IF(J245="sentences",32,IF(J245="concepts",33,IF(J245="ad slides",34,IF(J245="scenes",35,IF(J245="famous scenes",36,IF(J245="poems",37,IF(J245="walk",38,IF(J245="faces and events",39,IF(J245="events and names",40,IF(J245="flashbulb",41,IF(J245="stories",42,IF(J245="course material",43,IF(J245="autobiographical",44,IF(J245="novels",45,IF(J245="public events",46,"99"))))))))))))))))))))))))))))))))))))))))))))))</f>
        <v>1</v>
      </c>
      <c r="L245" s="69">
        <f>IF(J245="syllables",1,IF(J245="trigrams",1,IF(J245="strings",1,IF(J245="visual array",1,IF(J245="characters",1,IF(J245="letters",1,IF(J245="free forms",1,IF(J245="odors",2,IF(J245="words",2,IF(J245="pictures",2,IF(J245="object pictures",2,IF(J245="faces",2,IF(J245="names",2,IF(J245="idioms","2",IF(J245="grades",2,IF(J245="syllable-digit pairs",3,IF(J245="trigram-word pairs",3,IF(J245="word-digit pairs",3,IF(J245="English-Swahili pairs",3,IF(J245="spatial position",3,IF(J245="word pairs",4,IF(J245="word triads",4,IF(J245="generated words",4,IF(J245="word definition pairs",4,IF(J245="math problems",4,IF(J245="famous faces",4,IF(J245="famous names",4,IF(J245="famous voices",4,IF(J245="television programs",4,IF(J245="race horses",4,IF(J245="new vocabulary",4,IF(J245="sentences",5,IF(J245="concepts",5,IF(J245="ad slides",5,IF(J245="scenes",5,IF(J245="famous scenes",5,IF(J245="poems",6,IF(J245="walk",6,IF(J245="faces and events",6,IF(J245="events and names",6,IF(J245="flashbulb",7,IF(J245="stories",7,IF(J245="course material",7,IF(J245="autobiographical",7,IF(J245="novels",7,IF(J245="public events",7,"99"))))))))))))))))))))))))))))))))))))))))))))))</f>
        <v>1</v>
      </c>
      <c r="M245" s="69">
        <v>1</v>
      </c>
      <c r="N245" s="69">
        <v>2</v>
      </c>
      <c r="O245" s="69">
        <v>0</v>
      </c>
      <c r="P245" s="69"/>
      <c r="Q245" s="69" t="s">
        <v>87</v>
      </c>
      <c r="R245" s="69">
        <f>IF(Q245="Free Recall",1,IF(Q245="Cued Recall",2,IF(Q245="Recognition",3,IF(Q245="Multiple Choice",4,IF(Q245="Savings",5,IF(Q245="Stem Completion",6,IF(Q245="Fragment Completion",7,IF(Q245="anagram solution",8,IF(Q245="Matching",9,IF(Q245="Problem Solving",10,"99"))))))))))</f>
        <v>5</v>
      </c>
      <c r="S245" s="69" t="s">
        <v>87</v>
      </c>
      <c r="T245" s="92" t="s">
        <v>581</v>
      </c>
      <c r="U245" s="69">
        <f>IF(T245="within",1,0)</f>
        <v>1</v>
      </c>
      <c r="V245" s="92">
        <v>15964</v>
      </c>
      <c r="W245" s="69">
        <f>F245*V245</f>
        <v>15964</v>
      </c>
      <c r="X245" s="69">
        <v>8</v>
      </c>
      <c r="Y245" s="87">
        <f>AV244</f>
        <v>30</v>
      </c>
      <c r="Z245" s="69" t="s">
        <v>148</v>
      </c>
      <c r="AA245" s="69">
        <v>2678659.2000000002</v>
      </c>
      <c r="AB245" s="69" t="str">
        <f>IF(AA245&lt;60,"1",IF(AA245&lt;=43200,"2",IF(AA245&lt;=777600,"3","4")))</f>
        <v>4</v>
      </c>
      <c r="AC245" s="72">
        <f>AVERAGE(AV244:DA244)</f>
        <v>436556.25</v>
      </c>
      <c r="AD245" s="69" t="str">
        <f>IF(AC245&lt;60,"1",IF(AC245&lt;=43200,"2",IF(AC245&lt;=777600,"3","4")))</f>
        <v>3</v>
      </c>
      <c r="AE245" s="87">
        <f>AA245-Y245</f>
        <v>2678629.2000000002</v>
      </c>
      <c r="AF245" s="88">
        <f>AV245</f>
        <v>1</v>
      </c>
      <c r="AG245" s="72">
        <f>((AW245-AV245)+(AX245-AW245)+(AY245-AX245)+(AZ245-AY245)+(BA245-AZ245)+(BB245-BA245)+(BC245-BB245))/7</f>
        <v>-0.11271428571428573</v>
      </c>
      <c r="AH245" s="4"/>
      <c r="AI245" s="72">
        <f>RSQ(AV245:BC245,AV244:BC244)</f>
        <v>0.18954698259697439</v>
      </c>
      <c r="AJ245" s="110">
        <f>SLOPE(AV245:BC245,AV244:BC244)</f>
        <v>-1.2151029190786024E-7</v>
      </c>
      <c r="AK245" s="72">
        <f>INTERCEPT(AV245:BC245,AV244:BC244)</f>
        <v>0.48579607737170083</v>
      </c>
      <c r="AL245" s="72">
        <f>INDEX(LINEST(LN(AV245:BC245),LN(AV244:BC244),TRUE,TRUE),3,1)</f>
        <v>0.98757172762302359</v>
      </c>
      <c r="AM245" s="72">
        <f>INDEX(LINEST(LN(AV245:BC245),LN(AV244:BC244)),1)</f>
        <v>-0.13567423012773172</v>
      </c>
      <c r="AN245" s="72">
        <f>EXP(INDEX(LINEST(LN(AV245:BC245),LN(AV244:BC244)),1,2))</f>
        <v>1.4978019607104573</v>
      </c>
      <c r="AO245" s="89">
        <f>INDEX(LINEST((AV245:BC245),LN(AV244:BC244),TRUE,TRUE),3,1)</f>
        <v>0.9057178616219479</v>
      </c>
      <c r="AP245" s="89">
        <f>INDEX(LINEST((AV245:BC245),LN(AV244:BC244)),1)</f>
        <v>-6.66277516676613E-2</v>
      </c>
      <c r="AQ245" s="90">
        <f>INDEX(LINEST(LN(AV245:BC245),SQRT(AV244:BC244),TRUE,TRUE),3,1)</f>
        <v>0.54987649060603716</v>
      </c>
      <c r="AR245" s="117">
        <f>INDEX(LINEST(LN(AV245:BC245),SQRT((AV244:BC244))),1)</f>
        <v>-6.8062447918154135E-4</v>
      </c>
      <c r="AS245" s="91">
        <f>INDEX(LINEST(1/(AV245:BC245),1/(SQRT(AV244:BC244)),TRUE,TRUE),3,1)</f>
        <v>0.51929840920415204</v>
      </c>
      <c r="AT245" s="91">
        <f>INDEX(LINEST(1/(AV245:BC245),1/SQRT(AV244:BC244)),1)</f>
        <v>-14.066988468289154</v>
      </c>
      <c r="AU245" s="3"/>
      <c r="AV245" s="73">
        <v>1</v>
      </c>
      <c r="AW245" s="73">
        <v>0.58199999999999996</v>
      </c>
      <c r="AX245" s="73">
        <v>0.442</v>
      </c>
      <c r="AY245" s="73">
        <v>0.35799999999999998</v>
      </c>
      <c r="AZ245" s="73">
        <v>0.33700000000000002</v>
      </c>
      <c r="BA245" s="73">
        <v>0.27800000000000002</v>
      </c>
      <c r="BB245" s="73">
        <v>0.254</v>
      </c>
      <c r="BC245" s="73">
        <v>0.21099999999999999</v>
      </c>
      <c r="BD245" s="53"/>
      <c r="BE245" s="53"/>
      <c r="BF245" s="53"/>
      <c r="BG245" s="53"/>
      <c r="BH245" s="53"/>
      <c r="BI245" s="53"/>
      <c r="BJ245" s="53"/>
      <c r="BK245" s="53"/>
      <c r="BL245" s="53"/>
      <c r="BM245" s="53"/>
      <c r="BN245" s="53"/>
      <c r="BO245" s="53"/>
      <c r="BP245" s="53"/>
      <c r="BQ245" s="53"/>
      <c r="BR245" s="53"/>
      <c r="BS245" s="53"/>
      <c r="BT245" s="53"/>
      <c r="BU245" s="53"/>
      <c r="BV245" s="53"/>
      <c r="BW245" s="53"/>
      <c r="BX245" s="53"/>
      <c r="BY245" s="53"/>
      <c r="BZ245" s="53"/>
      <c r="CA245" s="53"/>
      <c r="CB245" s="53"/>
      <c r="CC245" s="53"/>
      <c r="CD245" s="53"/>
      <c r="CE245" s="53"/>
      <c r="CF245" s="53"/>
      <c r="CG245" s="53"/>
      <c r="CH245" s="53"/>
      <c r="CI245" s="53"/>
      <c r="CJ245" s="53"/>
      <c r="CK245" s="53"/>
      <c r="CL245" s="53"/>
      <c r="CM245" s="53"/>
      <c r="CN245" s="53"/>
      <c r="CO245" s="53"/>
      <c r="CP245" s="53"/>
      <c r="CQ245" s="53"/>
      <c r="CR245" s="1"/>
      <c r="CS245" s="1"/>
      <c r="CT245" s="1"/>
      <c r="CU245" s="1"/>
    </row>
    <row r="246" spans="1:99" s="13" customFormat="1" ht="12" customHeight="1" x14ac:dyDescent="0.2">
      <c r="A246" s="65">
        <v>43509</v>
      </c>
      <c r="B246" s="1"/>
      <c r="C246" s="1"/>
      <c r="D246" s="60"/>
      <c r="E246" s="76"/>
      <c r="F246" s="60"/>
      <c r="G246" s="60"/>
      <c r="H246" s="60"/>
      <c r="I246" s="60"/>
      <c r="J246" s="60"/>
      <c r="K246" s="64"/>
      <c r="L246" s="64"/>
      <c r="M246" s="60"/>
      <c r="N246" s="60"/>
      <c r="O246" s="60"/>
      <c r="P246" s="60"/>
      <c r="Q246" s="60"/>
      <c r="R246" s="60"/>
      <c r="S246" s="60"/>
      <c r="T246" s="60"/>
      <c r="U246" s="60"/>
      <c r="V246" s="60"/>
      <c r="W246" s="60"/>
      <c r="X246" s="60"/>
      <c r="Y246" s="76"/>
      <c r="Z246" s="60"/>
      <c r="AA246" s="60"/>
      <c r="AB246" s="60"/>
      <c r="AC246" s="60"/>
      <c r="AD246" s="60"/>
      <c r="AE246" s="60"/>
      <c r="AF246" s="80"/>
      <c r="AG246" s="56"/>
      <c r="AH246" s="4"/>
      <c r="AI246" s="56"/>
      <c r="AJ246" s="109"/>
      <c r="AK246" s="56"/>
      <c r="AL246" s="56"/>
      <c r="AM246" s="56"/>
      <c r="AN246" s="56"/>
      <c r="AO246" s="56"/>
      <c r="AP246" s="56"/>
      <c r="AQ246" s="82"/>
      <c r="AR246" s="115"/>
      <c r="AS246" s="82"/>
      <c r="AT246" s="82"/>
      <c r="AU246" s="3"/>
      <c r="AV246" s="25">
        <f>365*24*60*60*3</f>
        <v>94608000</v>
      </c>
      <c r="AW246" s="25">
        <f>365*24*60*60*4</f>
        <v>126144000</v>
      </c>
      <c r="AX246" s="25">
        <f>365*24*60*60*5</f>
        <v>157680000</v>
      </c>
      <c r="AY246" s="25">
        <f>365*24*60*60*6</f>
        <v>189216000</v>
      </c>
      <c r="AZ246" s="25">
        <f>365*24*60*60*7</f>
        <v>220752000</v>
      </c>
      <c r="BA246" s="25">
        <f>365*24*60*60*8</f>
        <v>252288000</v>
      </c>
      <c r="BB246" s="25">
        <f>365*24*60*60*9</f>
        <v>283824000</v>
      </c>
      <c r="BC246" s="25">
        <f>365*24*60*60*10</f>
        <v>315360000</v>
      </c>
      <c r="BD246" s="25">
        <f>365*24*60*60*11</f>
        <v>346896000</v>
      </c>
      <c r="BE246" s="25">
        <f>365*24*60*60*12</f>
        <v>378432000</v>
      </c>
      <c r="BF246" s="25">
        <f>365*24*60*60*13</f>
        <v>409968000</v>
      </c>
      <c r="BG246" s="25">
        <f>365*24*60*60*14</f>
        <v>441504000</v>
      </c>
      <c r="BH246" s="25">
        <f>365*24*60*60*15</f>
        <v>473040000</v>
      </c>
      <c r="BI246" s="25">
        <f>365*24*60*60*16</f>
        <v>504576000</v>
      </c>
      <c r="BJ246" s="53"/>
      <c r="BK246" s="53"/>
      <c r="BL246" s="53"/>
      <c r="BM246" s="53"/>
      <c r="BN246" s="53"/>
      <c r="BO246" s="53"/>
      <c r="BP246" s="53"/>
      <c r="BQ246" s="53"/>
      <c r="BR246" s="53"/>
      <c r="BS246" s="53"/>
      <c r="BT246" s="53"/>
      <c r="BU246" s="53"/>
      <c r="BV246" s="53"/>
      <c r="BW246" s="53"/>
      <c r="BX246" s="53"/>
      <c r="BY246" s="53"/>
      <c r="BZ246" s="53"/>
      <c r="CA246" s="53"/>
      <c r="CB246" s="53"/>
      <c r="CC246" s="53"/>
      <c r="CD246" s="53"/>
      <c r="CE246" s="53"/>
      <c r="CF246" s="53"/>
      <c r="CG246" s="53"/>
      <c r="CH246" s="53"/>
      <c r="CI246" s="53"/>
      <c r="CJ246" s="53"/>
      <c r="CK246" s="53"/>
      <c r="CL246" s="53"/>
      <c r="CM246" s="53"/>
      <c r="CN246" s="53"/>
      <c r="CO246" s="53"/>
      <c r="CP246" s="53"/>
      <c r="CQ246" s="53"/>
      <c r="CR246" s="1"/>
      <c r="CS246" s="1"/>
      <c r="CT246" s="1"/>
      <c r="CU246" s="1"/>
    </row>
    <row r="247" spans="1:99" s="13" customFormat="1" ht="12" customHeight="1" x14ac:dyDescent="0.2">
      <c r="A247" s="65">
        <v>43509</v>
      </c>
      <c r="B247" s="22" t="s">
        <v>214</v>
      </c>
      <c r="C247" s="1" t="s">
        <v>215</v>
      </c>
      <c r="D247" s="60">
        <v>1998</v>
      </c>
      <c r="E247" s="76">
        <v>1</v>
      </c>
      <c r="F247" s="60">
        <v>670</v>
      </c>
      <c r="G247" s="60">
        <v>47.9</v>
      </c>
      <c r="H247" s="60" t="s">
        <v>50</v>
      </c>
      <c r="I247" s="60" t="s">
        <v>674</v>
      </c>
      <c r="J247" s="60" t="s">
        <v>617</v>
      </c>
      <c r="K247" s="60">
        <f>IF(J247="syllables",1,IF(J247="trigrams",2,IF(J247="strings",3,IF(J247="visual array",4,IF(J247="characters",5,IF(J247="letters",6,IF(J247="free forms",7,IF(J247="odors",8,IF(J247="words",9,IF(J247="pictures",10,IF(J247="object pictures",11,IF(J247="faces",12,IF(J247="names",13,IF(J247="idioms",14,IF(J247="grades",15,IF(J247="syllable-digit pairs",16,IF(J247="trigram-word pairs",17,IF(J247="word-digit pairs",18,IF(J247="English-Swahili pairs",19,IF(J247="spatial position",20,IF(J247="word pairs",21,IF(J247="word triads",22,IF(J247="generated words",23,IF(J247="word definition pairs",24,IF(J247="math problems",25,IF(J247="famous faces",26,IF(J247="famous names",27,IF(J247="famous voices",28,IF(J247="television programs",29,IF(J247="race horses",30,IF(J247="new vocabulary",31,IF(J247="sentences",32,IF(J247="concepts",33,IF(J247="ad slides",34,IF(J247="scenes",35,IF(J247="famous scenes",36,IF(J247="poems",37,IF(J247="walk",38,IF(J247="faces and events",39,IF(J247="events and names",40,IF(J247="flashbulb",41,IF(J247="stories",42,IF(J247="course material",43,IF(J247="autobiographical",44,IF(J247="novels",45,IF(J247="public events",46,"99"))))))))))))))))))))))))))))))))))))))))))))))</f>
        <v>15</v>
      </c>
      <c r="L247" s="60">
        <f>IF(J247="syllables",1,IF(J247="trigrams",1,IF(J247="strings",1,IF(J247="visual array",1,IF(J247="characters",1,IF(J247="letters",1,IF(J247="free forms",1,IF(J247="odors",2,IF(J247="words",2,IF(J247="pictures",2,IF(J247="object pictures",2,IF(J247="faces",2,IF(J247="names",2,IF(J247="idioms","2",IF(J247="grades",2,IF(J247="syllable-digit pairs",3,IF(J247="trigram-word pairs",3,IF(J247="word-digit pairs",3,IF(J247="English-Swahili pairs",3,IF(J247="spatial position",3,IF(J247="word pairs",4,IF(J247="word triads",4,IF(J247="generated words",4,IF(J247="word definition pairs",4,IF(J247="math problems",4,IF(J247="famous faces",4,IF(J247="famous names",4,IF(J247="famous voices",4,IF(J247="television programs",4,IF(J247="race horses",4,IF(J247="new vocabulary",4,IF(J247="sentences",5,IF(J247="concepts",5,IF(J247="ad slides",5,IF(J247="scenes",5,IF(J247="famous scenes",5,IF(J247="poems",6,IF(J247="walk",6,IF(J247="faces and events",6,IF(J247="events and names",6,IF(J247="flashbulb",7,IF(J247="stories",7,IF(J247="course material",7,IF(J247="autobiographical",7,IF(J247="novels",7,IF(J247="public events",7,"99"))))))))))))))))))))))))))))))))))))))))))))))</f>
        <v>2</v>
      </c>
      <c r="M247" s="60">
        <v>0</v>
      </c>
      <c r="N247" s="60">
        <v>1</v>
      </c>
      <c r="O247" s="60">
        <v>0</v>
      </c>
      <c r="P247" s="60"/>
      <c r="Q247" s="60" t="s">
        <v>174</v>
      </c>
      <c r="R247" s="60">
        <f>IF(Q247="Free Recall",1,IF(Q247="Cued Recall",2,IF(Q247="Recognition",3,IF(Q247="Multiple Choice",4,IF(Q247="Savings",5,IF(Q247="Stem Completion",6,IF(Q247="Fragment Completion",7,IF(Q247="anagram solution",8,IF(Q247="Matching",9,IF(Q247="Problem Solving",10,"99"))))))))))</f>
        <v>1</v>
      </c>
      <c r="S247" s="60" t="s">
        <v>49</v>
      </c>
      <c r="T247" s="59" t="s">
        <v>261</v>
      </c>
      <c r="U247" s="60">
        <f>IF(T247="within",1,0)</f>
        <v>0</v>
      </c>
      <c r="V247" s="59">
        <v>40</v>
      </c>
      <c r="W247" s="60">
        <f>F247*V247</f>
        <v>26800</v>
      </c>
      <c r="X247" s="60">
        <v>14</v>
      </c>
      <c r="Y247" s="76">
        <f>AV246</f>
        <v>94608000</v>
      </c>
      <c r="Z247" s="60" t="s">
        <v>217</v>
      </c>
      <c r="AA247" s="60">
        <f>16*365*24*60*60</f>
        <v>504576000</v>
      </c>
      <c r="AB247" s="60" t="str">
        <f>IF(AA247&lt;60,"1",IF(AA247&lt;=43200,"2",IF(AA247&lt;=777600,"3","4")))</f>
        <v>4</v>
      </c>
      <c r="AC247" s="56">
        <f>AVERAGE(AV246:DA246)</f>
        <v>299592000</v>
      </c>
      <c r="AD247" s="60" t="str">
        <f>IF(AC247&lt;60,"1",IF(AC247&lt;=43200,"2",IF(AC247&lt;=777600,"3","4")))</f>
        <v>4</v>
      </c>
      <c r="AE247" s="76">
        <f>AA247-Y247</f>
        <v>409968000</v>
      </c>
      <c r="AF247" s="80">
        <f>AV247</f>
        <v>0.48</v>
      </c>
      <c r="AG247" s="56">
        <f>((AW247-AV247)+(AX247-AW247)+(AY247-AX247)+(AZ247-AY247)+(BA247-AZ247)+(BB247-BA247)+(BC247-BB247)+(BD247-BC247)+(BE247-BD247)+(BF247-BE247)+(BG247-BF247)+(BH247-BG247)+(BI247-BH247))/13</f>
        <v>-1.6999999999999998E-2</v>
      </c>
      <c r="AH247" s="4"/>
      <c r="AI247" s="56">
        <f>RSQ(AV247:BI247,AV246:BI246)</f>
        <v>0.7514052558229658</v>
      </c>
      <c r="AJ247" s="109">
        <f>SLOPE(AV247:BI247,AV246:BI246)</f>
        <v>-4.601055970918983E-10</v>
      </c>
      <c r="AK247" s="56">
        <f>INTERCEPT(AV247:BI247,AV246:BI246)</f>
        <v>0.45141538461538461</v>
      </c>
      <c r="AL247" s="56">
        <f>INDEX(LINEST(LN(AV247:BI247),LN(AV246:BI246),TRUE,TRUE),3,1)</f>
        <v>0.8813154216833462</v>
      </c>
      <c r="AM247" s="56">
        <f>INDEX(LINEST(LN(AV247:BI247),LN(AV246:BI246)),1)</f>
        <v>-0.37807976225248124</v>
      </c>
      <c r="AN247" s="56">
        <f>EXP(INDEX(LINEST(LN(AV247:BI247),LN(AV246:BI246)),1,2))</f>
        <v>472.0410688033997</v>
      </c>
      <c r="AO247" s="82">
        <f>INDEX(LINEST((AV247:BI247),LN(AV246:BI246),TRUE,TRUE),3,1)</f>
        <v>0.8823111470417454</v>
      </c>
      <c r="AP247" s="82">
        <f>INDEX(LINEST((AV247:BI247),LN(AV246:BI246)),1)</f>
        <v>-0.12741489728667174</v>
      </c>
      <c r="AQ247" s="83">
        <f>INDEX(LINEST(LN(AV247:BI247),SQRT(AV246:BI246),TRUE,TRUE),3,1)</f>
        <v>0.84071150639732384</v>
      </c>
      <c r="AR247" s="116">
        <f>INDEX(LINEST(LN(AV247:BI247),SQRT((AV246:BI246))),1)</f>
        <v>-4.7390045162174556E-5</v>
      </c>
      <c r="AS247" s="84">
        <f>INDEX(LINEST(1/(AV247:BI247),1/(SQRT(AV246:BI246)),TRUE,TRUE),3,1)</f>
        <v>0.84864338869579459</v>
      </c>
      <c r="AT247" s="84">
        <f>INDEX(LINEST(1/(AV247:BI247),1/SQRT(AV246:BI246)),1)</f>
        <v>-34064.538069150694</v>
      </c>
      <c r="AU247" s="3"/>
      <c r="AV247" s="53">
        <v>0.48</v>
      </c>
      <c r="AW247" s="53">
        <v>0.42399999999999999</v>
      </c>
      <c r="AX247" s="53">
        <v>0.36099999999999999</v>
      </c>
      <c r="AY247" s="53">
        <v>0.34499999999999997</v>
      </c>
      <c r="AZ247" s="53">
        <v>0.30299999999999999</v>
      </c>
      <c r="BA247" s="53">
        <v>0.32400000000000001</v>
      </c>
      <c r="BB247" s="53">
        <v>0.29199999999999998</v>
      </c>
      <c r="BC247" s="53">
        <v>0.27600000000000002</v>
      </c>
      <c r="BD247" s="53">
        <v>0.28599999999999998</v>
      </c>
      <c r="BE247" s="53">
        <v>0.27900000000000003</v>
      </c>
      <c r="BF247" s="53">
        <v>0.23200000000000001</v>
      </c>
      <c r="BG247" s="53">
        <v>0.29699999999999999</v>
      </c>
      <c r="BH247" s="53">
        <v>0.23200000000000001</v>
      </c>
      <c r="BI247" s="53">
        <v>0.25900000000000001</v>
      </c>
      <c r="BJ247" s="53"/>
      <c r="BK247" s="53"/>
      <c r="BL247" s="53"/>
      <c r="BM247" s="53"/>
      <c r="BN247" s="53"/>
      <c r="BO247" s="53"/>
      <c r="BP247" s="53"/>
      <c r="BQ247" s="53"/>
      <c r="BR247" s="53"/>
      <c r="BS247" s="53"/>
      <c r="BT247" s="53"/>
      <c r="BU247" s="53"/>
      <c r="BV247" s="53"/>
      <c r="BW247" s="53"/>
      <c r="BX247" s="53"/>
      <c r="BY247" s="53"/>
      <c r="BZ247" s="53"/>
      <c r="CA247" s="53"/>
      <c r="CB247" s="53"/>
      <c r="CC247" s="53"/>
      <c r="CD247" s="53"/>
      <c r="CE247" s="53"/>
      <c r="CF247" s="53"/>
      <c r="CG247" s="53"/>
      <c r="CH247" s="53"/>
      <c r="CI247" s="53"/>
      <c r="CJ247" s="53"/>
      <c r="CK247" s="53"/>
      <c r="CL247" s="53"/>
      <c r="CM247" s="53"/>
      <c r="CN247" s="53"/>
      <c r="CO247" s="53"/>
      <c r="CP247" s="53"/>
      <c r="CQ247" s="53"/>
      <c r="CR247" s="1"/>
      <c r="CS247" s="1"/>
      <c r="CT247" s="1"/>
      <c r="CU247" s="1"/>
    </row>
    <row r="248" spans="1:99" s="13" customFormat="1" ht="12" customHeight="1" x14ac:dyDescent="0.2">
      <c r="A248" s="65">
        <v>43509</v>
      </c>
      <c r="B248" s="1"/>
      <c r="C248" s="1"/>
      <c r="D248" s="60"/>
      <c r="E248" s="76"/>
      <c r="F248" s="60"/>
      <c r="G248" s="60"/>
      <c r="H248" s="60"/>
      <c r="I248" s="60"/>
      <c r="J248" s="60"/>
      <c r="K248" s="64"/>
      <c r="L248" s="64"/>
      <c r="M248" s="60"/>
      <c r="N248" s="60"/>
      <c r="O248" s="60"/>
      <c r="P248" s="60"/>
      <c r="Q248" s="60"/>
      <c r="R248" s="60"/>
      <c r="S248" s="60"/>
      <c r="T248" s="60"/>
      <c r="U248" s="60"/>
      <c r="V248" s="60"/>
      <c r="W248" s="60"/>
      <c r="X248" s="60"/>
      <c r="Y248" s="76"/>
      <c r="Z248" s="60"/>
      <c r="AA248" s="60"/>
      <c r="AB248" s="60"/>
      <c r="AC248" s="60"/>
      <c r="AD248" s="60"/>
      <c r="AE248" s="60"/>
      <c r="AF248" s="80"/>
      <c r="AG248" s="56"/>
      <c r="AH248" s="4"/>
      <c r="AI248" s="56"/>
      <c r="AJ248" s="109"/>
      <c r="AK248" s="56"/>
      <c r="AL248" s="56"/>
      <c r="AM248" s="56"/>
      <c r="AN248" s="56"/>
      <c r="AO248" s="56"/>
      <c r="AP248" s="56"/>
      <c r="AQ248" s="56"/>
      <c r="AR248" s="109"/>
      <c r="AS248" s="56"/>
      <c r="AT248" s="56"/>
      <c r="AU248" s="3"/>
      <c r="AV248" s="25">
        <f>365*24*60*60*3</f>
        <v>94608000</v>
      </c>
      <c r="AW248" s="25">
        <f>365*24*60*60*4</f>
        <v>126144000</v>
      </c>
      <c r="AX248" s="25">
        <f>365*24*60*60*5</f>
        <v>157680000</v>
      </c>
      <c r="AY248" s="25">
        <f>365*24*60*60*6</f>
        <v>189216000</v>
      </c>
      <c r="AZ248" s="25">
        <f>365*24*60*60*7</f>
        <v>220752000</v>
      </c>
      <c r="BA248" s="25">
        <f>365*24*60*60*8</f>
        <v>252288000</v>
      </c>
      <c r="BB248" s="25">
        <f>365*24*60*60*9</f>
        <v>283824000</v>
      </c>
      <c r="BC248" s="25">
        <f>365*24*60*60*10</f>
        <v>315360000</v>
      </c>
      <c r="BD248" s="25">
        <f>365*24*60*60*11</f>
        <v>346896000</v>
      </c>
      <c r="BE248" s="25">
        <f>365*24*60*60*12</f>
        <v>378432000</v>
      </c>
      <c r="BF248" s="25">
        <f>365*24*60*60*13</f>
        <v>409968000</v>
      </c>
      <c r="BG248" s="25">
        <f>365*24*60*60*14</f>
        <v>441504000</v>
      </c>
      <c r="BH248" s="25">
        <f>365*24*60*60*15</f>
        <v>473040000</v>
      </c>
      <c r="BI248" s="25">
        <f>365*24*60*60*16</f>
        <v>504576000</v>
      </c>
      <c r="BJ248" s="53"/>
      <c r="BK248" s="53"/>
      <c r="BL248" s="53"/>
      <c r="BM248" s="53"/>
      <c r="BN248" s="53"/>
      <c r="BO248" s="53"/>
      <c r="BP248" s="53"/>
      <c r="BQ248" s="53"/>
      <c r="BR248" s="53"/>
      <c r="BS248" s="53"/>
      <c r="BT248" s="53"/>
      <c r="BU248" s="53"/>
      <c r="BV248" s="53"/>
      <c r="BW248" s="53"/>
      <c r="BX248" s="53"/>
      <c r="BY248" s="53"/>
      <c r="BZ248" s="53"/>
      <c r="CA248" s="53"/>
      <c r="CB248" s="53"/>
      <c r="CC248" s="53"/>
      <c r="CD248" s="53"/>
      <c r="CE248" s="53"/>
      <c r="CF248" s="53"/>
      <c r="CG248" s="53"/>
      <c r="CH248" s="53"/>
      <c r="CI248" s="53"/>
      <c r="CJ248" s="53"/>
      <c r="CK248" s="53"/>
      <c r="CL248" s="53"/>
      <c r="CM248" s="53"/>
      <c r="CN248" s="53"/>
      <c r="CO248" s="53"/>
      <c r="CP248" s="53"/>
      <c r="CQ248" s="53"/>
      <c r="CR248" s="1"/>
      <c r="CS248" s="1"/>
      <c r="CT248" s="1"/>
      <c r="CU248" s="1"/>
    </row>
    <row r="249" spans="1:99" s="13" customFormat="1" ht="12" customHeight="1" x14ac:dyDescent="0.2">
      <c r="A249" s="65">
        <v>43509</v>
      </c>
      <c r="B249" s="1" t="s">
        <v>214</v>
      </c>
      <c r="C249" s="1" t="s">
        <v>215</v>
      </c>
      <c r="D249" s="60">
        <v>1998</v>
      </c>
      <c r="E249" s="76">
        <v>1</v>
      </c>
      <c r="F249" s="60">
        <v>371</v>
      </c>
      <c r="G249" s="60">
        <v>26.5</v>
      </c>
      <c r="H249" s="60" t="s">
        <v>50</v>
      </c>
      <c r="I249" s="60" t="s">
        <v>675</v>
      </c>
      <c r="J249" s="60" t="s">
        <v>617</v>
      </c>
      <c r="K249" s="60">
        <f>IF(J249="syllables",1,IF(J249="trigrams",2,IF(J249="strings",3,IF(J249="visual array",4,IF(J249="characters",5,IF(J249="letters",6,IF(J249="free forms",7,IF(J249="odors",8,IF(J249="words",9,IF(J249="pictures",10,IF(J249="object pictures",11,IF(J249="faces",12,IF(J249="names",13,IF(J249="idioms",14,IF(J249="grades",15,IF(J249="syllable-digit pairs",16,IF(J249="trigram-word pairs",17,IF(J249="word-digit pairs",18,IF(J249="English-Swahili pairs",19,IF(J249="spatial position",20,IF(J249="word pairs",21,IF(J249="word triads",22,IF(J249="generated words",23,IF(J249="word definition pairs",24,IF(J249="math problems",25,IF(J249="famous faces",26,IF(J249="famous names",27,IF(J249="famous voices",28,IF(J249="television programs",29,IF(J249="race horses",30,IF(J249="new vocabulary",31,IF(J249="sentences",32,IF(J249="concepts",33,IF(J249="ad slides",34,IF(J249="scenes",35,IF(J249="famous scenes",36,IF(J249="poems",37,IF(J249="walk",38,IF(J249="faces and events",39,IF(J249="events and names",40,IF(J249="flashbulb",41,IF(J249="stories",42,IF(J249="course material",43,IF(J249="autobiographical",44,IF(J249="novels",45,IF(J249="public events",46,"99"))))))))))))))))))))))))))))))))))))))))))))))</f>
        <v>15</v>
      </c>
      <c r="L249" s="60">
        <f>IF(J249="syllables",1,IF(J249="trigrams",1,IF(J249="strings",1,IF(J249="visual array",1,IF(J249="characters",1,IF(J249="letters",1,IF(J249="free forms",1,IF(J249="odors",2,IF(J249="words",2,IF(J249="pictures",2,IF(J249="object pictures",2,IF(J249="faces",2,IF(J249="names",2,IF(J249="idioms","2",IF(J249="grades",2,IF(J249="syllable-digit pairs",3,IF(J249="trigram-word pairs",3,IF(J249="word-digit pairs",3,IF(J249="English-Swahili pairs",3,IF(J249="spatial position",3,IF(J249="word pairs",4,IF(J249="word triads",4,IF(J249="generated words",4,IF(J249="word definition pairs",4,IF(J249="math problems",4,IF(J249="famous faces",4,IF(J249="famous names",4,IF(J249="famous voices",4,IF(J249="television programs",4,IF(J249="race horses",4,IF(J249="new vocabulary",4,IF(J249="sentences",5,IF(J249="concepts",5,IF(J249="ad slides",5,IF(J249="scenes",5,IF(J249="famous scenes",5,IF(J249="poems",6,IF(J249="walk",6,IF(J249="faces and events",6,IF(J249="events and names",6,IF(J249="flashbulb",7,IF(J249="stories",7,IF(J249="course material",7,IF(J249="autobiographical",7,IF(J249="novels",7,IF(J249="public events",7,"99"))))))))))))))))))))))))))))))))))))))))))))))</f>
        <v>2</v>
      </c>
      <c r="M249" s="60">
        <v>0</v>
      </c>
      <c r="N249" s="60">
        <v>1</v>
      </c>
      <c r="O249" s="60">
        <v>0</v>
      </c>
      <c r="P249" s="60"/>
      <c r="Q249" s="60" t="s">
        <v>174</v>
      </c>
      <c r="R249" s="60">
        <f>IF(Q249="Free Recall",1,IF(Q249="Cued Recall",2,IF(Q249="Recognition",3,IF(Q249="Multiple Choice",4,IF(Q249="Savings",5,IF(Q249="Stem Completion",6,IF(Q249="Fragment Completion",7,IF(Q249="anagram solution",8,IF(Q249="Matching",9,IF(Q249="Problem Solving",10,"99"))))))))))</f>
        <v>1</v>
      </c>
      <c r="S249" s="60" t="s">
        <v>49</v>
      </c>
      <c r="T249" s="59" t="s">
        <v>261</v>
      </c>
      <c r="U249" s="60">
        <f>IF(T249="within",1,0)</f>
        <v>0</v>
      </c>
      <c r="V249" s="59">
        <v>40</v>
      </c>
      <c r="W249" s="60">
        <f>F249*V249</f>
        <v>14840</v>
      </c>
      <c r="X249" s="60">
        <v>14</v>
      </c>
      <c r="Y249" s="76">
        <f>AV248</f>
        <v>94608000</v>
      </c>
      <c r="Z249" s="60" t="s">
        <v>217</v>
      </c>
      <c r="AA249" s="60">
        <f>16*365*24*60*60</f>
        <v>504576000</v>
      </c>
      <c r="AB249" s="60" t="str">
        <f>IF(AA249&lt;60,"1",IF(AA249&lt;=43200,"2",IF(AA249&lt;=777600,"3","4")))</f>
        <v>4</v>
      </c>
      <c r="AC249" s="56">
        <f>AVERAGE(AV248:DA248)</f>
        <v>299592000</v>
      </c>
      <c r="AD249" s="60" t="str">
        <f>IF(AC249&lt;60,"1",IF(AC249&lt;=43200,"2",IF(AC249&lt;=777600,"3","4")))</f>
        <v>4</v>
      </c>
      <c r="AE249" s="76">
        <f>AA249-Y249</f>
        <v>409968000</v>
      </c>
      <c r="AF249" s="80">
        <f>AV249</f>
        <v>0.31900000000000001</v>
      </c>
      <c r="AG249" s="56">
        <f>((AW249-AV249)+(AX249-AW249)+(AY249-AX249)+(AZ249-AY249)+(BA249-AZ249)+(BB249-BA249)+(BC249-BB249)+(BD249-BC249)+(BE249-BD249)+(BF249-BE249)+(BG249-BF249)+(BH249-BG249)+(BI249-BH249))/13</f>
        <v>-1.3615384615384619E-2</v>
      </c>
      <c r="AH249" s="4"/>
      <c r="AI249" s="56">
        <f>RSQ(AV249:BI249,AV248:BI248)</f>
        <v>0.45361040823416776</v>
      </c>
      <c r="AJ249" s="109">
        <f>SLOPE(AV249:BI249,AV248:BI248)</f>
        <v>-2.9737512614224948E-10</v>
      </c>
      <c r="AK249" s="56">
        <f>INTERCEPT(AV249:BI249,AV248:BI248)</f>
        <v>0.28487692307692308</v>
      </c>
      <c r="AL249" s="56">
        <f>INDEX(LINEST(LN(AV249:BI249),LN(AV248:BI248),TRUE,TRUE),3,1)</f>
        <v>0.4351337533124463</v>
      </c>
      <c r="AM249" s="56">
        <f>INDEX(LINEST(LN(AV249:BI249),LN(AV248:BI248)),1)</f>
        <v>-0.3977072828056179</v>
      </c>
      <c r="AN249" s="56">
        <f>EXP(INDEX(LINEST(LN(AV249:BI249),LN(AV248:BI248)),1,2))</f>
        <v>421.8644823131454</v>
      </c>
      <c r="AO249" s="82">
        <f>INDEX(LINEST((AV249:BI249),LN(AV248:BI248),TRUE,TRUE),3,1)</f>
        <v>0.52333542395223231</v>
      </c>
      <c r="AP249" s="82">
        <f>INDEX(LINEST((AV249:BI249),LN(AV248:BI248)),1)</f>
        <v>-8.1628557760380138E-2</v>
      </c>
      <c r="AQ249" s="83">
        <f>INDEX(LINEST(LN(AV249:BI249),SQRT(AV248:BI248),TRUE,TRUE),3,1)</f>
        <v>0.41623678717154683</v>
      </c>
      <c r="AR249" s="116">
        <f>INDEX(LINEST(LN(AV249:BI249),SQRT((AV248:BI248))),1)</f>
        <v>-4.991927488903844E-5</v>
      </c>
      <c r="AS249" s="84">
        <f>INDEX(LINEST(1/(AV249:BI249),1/(SQRT(AV248:BI248)),TRUE,TRUE),3,1)</f>
        <v>0.33884725111065567</v>
      </c>
      <c r="AT249" s="84">
        <f>INDEX(LINEST(1/(AV249:BI249),1/SQRT(AV248:BI248)),1)</f>
        <v>-60781.412039502509</v>
      </c>
      <c r="AU249" s="3"/>
      <c r="AV249" s="53">
        <v>0.31900000000000001</v>
      </c>
      <c r="AW249" s="53">
        <v>0.23499999999999999</v>
      </c>
      <c r="AX249" s="53">
        <v>0.22500000000000001</v>
      </c>
      <c r="AY249" s="53">
        <v>0.224</v>
      </c>
      <c r="AZ249" s="53">
        <v>0.25900000000000001</v>
      </c>
      <c r="BA249" s="53">
        <v>0.108</v>
      </c>
      <c r="BB249" s="53">
        <v>0.17199999999999999</v>
      </c>
      <c r="BC249" s="53">
        <v>0.18</v>
      </c>
      <c r="BD249" s="53">
        <v>0.217</v>
      </c>
      <c r="BE249" s="53">
        <v>0.14299999999999999</v>
      </c>
      <c r="BF249" s="53">
        <v>0.21099999999999999</v>
      </c>
      <c r="BG249" s="53">
        <v>0.193</v>
      </c>
      <c r="BH249" s="53">
        <v>0.113</v>
      </c>
      <c r="BI249" s="53">
        <v>0.14199999999999999</v>
      </c>
      <c r="BJ249" s="53"/>
      <c r="BK249" s="53"/>
      <c r="BL249" s="53"/>
      <c r="BM249" s="53"/>
      <c r="BN249" s="53"/>
      <c r="BO249" s="53"/>
      <c r="BP249" s="53"/>
      <c r="BQ249" s="53"/>
      <c r="BR249" s="53"/>
      <c r="BS249" s="53"/>
      <c r="BT249" s="53"/>
      <c r="BU249" s="53"/>
      <c r="BV249" s="53"/>
      <c r="BW249" s="53"/>
      <c r="BX249" s="53"/>
      <c r="BY249" s="53"/>
      <c r="BZ249" s="53"/>
      <c r="CA249" s="53"/>
      <c r="CB249" s="53"/>
      <c r="CC249" s="53"/>
      <c r="CD249" s="53"/>
      <c r="CE249" s="53"/>
      <c r="CF249" s="53"/>
      <c r="CG249" s="53"/>
      <c r="CH249" s="53"/>
      <c r="CI249" s="53"/>
      <c r="CJ249" s="53"/>
      <c r="CK249" s="53"/>
      <c r="CL249" s="53"/>
      <c r="CM249" s="53"/>
      <c r="CN249" s="53"/>
      <c r="CO249" s="53"/>
      <c r="CP249" s="53"/>
      <c r="CQ249" s="53"/>
      <c r="CR249" s="1"/>
      <c r="CS249" s="1"/>
      <c r="CT249" s="1"/>
      <c r="CU249" s="1"/>
    </row>
    <row r="250" spans="1:99" ht="12" customHeight="1" x14ac:dyDescent="0.2">
      <c r="A250" s="68">
        <v>43899</v>
      </c>
      <c r="B250" s="94"/>
      <c r="C250" s="94"/>
      <c r="D250" s="92"/>
      <c r="E250" s="105"/>
      <c r="F250" s="92"/>
      <c r="G250" s="92"/>
      <c r="H250" s="92"/>
      <c r="I250" s="92"/>
      <c r="J250" s="92"/>
      <c r="K250" s="107"/>
      <c r="L250" s="107"/>
      <c r="M250" s="92"/>
      <c r="N250" s="92"/>
      <c r="O250" s="92"/>
      <c r="P250" s="92"/>
      <c r="Q250" s="92"/>
      <c r="R250" s="69"/>
      <c r="S250" s="92"/>
      <c r="T250" s="92"/>
      <c r="U250" s="69"/>
      <c r="V250" s="92"/>
      <c r="W250" s="69"/>
      <c r="X250" s="92"/>
      <c r="Y250" s="87"/>
      <c r="Z250" s="92"/>
      <c r="AA250" s="92"/>
      <c r="AB250" s="69"/>
      <c r="AC250" s="72"/>
      <c r="AD250" s="69"/>
      <c r="AE250" s="69"/>
      <c r="AF250" s="88"/>
      <c r="AG250" s="72"/>
      <c r="AH250" s="4"/>
      <c r="AI250" s="72"/>
      <c r="AJ250" s="110"/>
      <c r="AK250" s="72"/>
      <c r="AL250" s="72"/>
      <c r="AM250" s="72"/>
      <c r="AN250" s="72"/>
      <c r="AO250" s="89"/>
      <c r="AP250" s="89"/>
      <c r="AQ250" s="90"/>
      <c r="AR250" s="117"/>
      <c r="AS250" s="91"/>
      <c r="AT250" s="91"/>
      <c r="AU250" s="3"/>
      <c r="AV250" s="98">
        <v>900</v>
      </c>
      <c r="AW250" s="98">
        <v>18000</v>
      </c>
      <c r="AX250" s="98">
        <v>181440</v>
      </c>
      <c r="AY250" s="11"/>
      <c r="AZ250" s="11"/>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1"/>
      <c r="CN250" s="11"/>
      <c r="CO250" s="11"/>
      <c r="CP250" s="11"/>
      <c r="CQ250" s="11"/>
      <c r="CR250" s="15"/>
      <c r="CS250" s="15"/>
      <c r="CT250" s="15"/>
      <c r="CU250" s="15"/>
    </row>
    <row r="251" spans="1:99" ht="12" customHeight="1" x14ac:dyDescent="0.2">
      <c r="A251" s="68">
        <v>43899</v>
      </c>
      <c r="B251" s="94" t="s">
        <v>386</v>
      </c>
      <c r="C251" s="94" t="s">
        <v>387</v>
      </c>
      <c r="D251" s="92">
        <v>1976</v>
      </c>
      <c r="E251" s="105">
        <v>1</v>
      </c>
      <c r="F251" s="92">
        <v>59</v>
      </c>
      <c r="G251" s="92">
        <v>59</v>
      </c>
      <c r="H251" s="92" t="s">
        <v>50</v>
      </c>
      <c r="I251" s="92" t="s">
        <v>388</v>
      </c>
      <c r="J251" s="92" t="s">
        <v>320</v>
      </c>
      <c r="K251" s="69">
        <f>IF(J251="syllables",1,IF(J251="trigrams",2,IF(J251="strings",3,IF(J251="visual array",4,IF(J251="characters",5,IF(J251="letters",6,IF(J251="free forms",7,IF(J251="odors",8,IF(J251="words",9,IF(J251="pictures",10,IF(J251="object pictures",11,IF(J251="faces",12,IF(J251="names",13,IF(J251="idioms",14,IF(J251="grades",15,IF(J251="syllable-digit pairs",16,IF(J251="trigram-word pairs",17,IF(J251="word-digit pairs",18,IF(J251="English-Swahili pairs",19,IF(J251="spatial position",20,IF(J251="word pairs",21,IF(J251="word triads",22,IF(J251="generated words",23,IF(J251="word definition pairs",24,IF(J251="math problems",25,IF(J251="famous faces",26,IF(J251="famous names",27,IF(J251="famous voices",28,IF(J251="television programs",29,IF(J251="race horses",30,IF(J251="new vocabulary",31,IF(J251="sentences",32,IF(J251="concepts",33,IF(J251="ad slides",34,IF(J251="scenes",35,IF(J251="famous scenes",36,IF(J251="poems",37,IF(J251="walk",38,IF(J251="faces and events",39,IF(J251="events and names",40,IF(J251="flashbulb",41,IF(J251="stories",42,IF(J251="course material",43,IF(J251="autobiographical",44,IF(J251="novels",45,IF(J251="public events",46,"99"))))))))))))))))))))))))))))))))))))))))))))))</f>
        <v>21</v>
      </c>
      <c r="L251" s="69">
        <f>IF(J251="syllables",1,IF(J251="trigrams",1,IF(J251="strings",1,IF(J251="visual array",1,IF(J251="characters",1,IF(J251="letters",1,IF(J251="free forms",1,IF(J251="odors",2,IF(J251="words",2,IF(J251="pictures",2,IF(J251="object pictures",2,IF(J251="faces",2,IF(J251="names",2,IF(J251="idioms","2",IF(J251="grades",2,IF(J251="syllable-digit pairs",3,IF(J251="trigram-word pairs",3,IF(J251="word-digit pairs",3,IF(J251="English-Swahili pairs",3,IF(J251="spatial position",3,IF(J251="word pairs",4,IF(J251="word triads",4,IF(J251="generated words",4,IF(J251="word definition pairs",4,IF(J251="math problems",4,IF(J251="famous faces",4,IF(J251="famous names",4,IF(J251="famous voices",4,IF(J251="television programs",4,IF(J251="race horses",4,IF(J251="new vocabulary",4,IF(J251="sentences",5,IF(J251="concepts",5,IF(J251="ad slides",5,IF(J251="scenes",5,IF(J251="famous scenes",5,IF(J251="poems",6,IF(J251="walk",6,IF(J251="faces and events",6,IF(J251="events and names",6,IF(J251="flashbulb",7,IF(J251="stories",7,IF(J251="course material",7,IF(J251="autobiographical",7,IF(J251="novels",7,IF(J251="public events",7,"99"))))))))))))))))))))))))))))))))))))))))))))))</f>
        <v>4</v>
      </c>
      <c r="M251" s="92">
        <v>0</v>
      </c>
      <c r="N251" s="92">
        <v>1</v>
      </c>
      <c r="O251" s="92">
        <v>0</v>
      </c>
      <c r="P251" s="92"/>
      <c r="Q251" s="92" t="s">
        <v>174</v>
      </c>
      <c r="R251" s="69">
        <f>IF(Q251="Free Recall",1,IF(Q251="Cued Recall",2,IF(Q251="Recognition",3,IF(Q251="Multiple Choice",4,IF(Q251="Savings",5,IF(Q251="Stem Completion",6,IF(Q251="Fragment Completion",7,IF(Q251="anagram solution",8,IF(Q251="Matching",9,IF(Q251="Problem Solving",10,"99"))))))))))</f>
        <v>1</v>
      </c>
      <c r="S251" s="69" t="s">
        <v>49</v>
      </c>
      <c r="T251" s="92" t="s">
        <v>581</v>
      </c>
      <c r="U251" s="69">
        <f>IF(T251="within",1,0)</f>
        <v>1</v>
      </c>
      <c r="V251" s="92">
        <v>15</v>
      </c>
      <c r="W251" s="69">
        <f>F251*V251</f>
        <v>885</v>
      </c>
      <c r="X251" s="92">
        <v>3</v>
      </c>
      <c r="Y251" s="87">
        <f>AV250</f>
        <v>900</v>
      </c>
      <c r="Z251" s="92" t="s">
        <v>389</v>
      </c>
      <c r="AA251" s="92">
        <v>1814400</v>
      </c>
      <c r="AB251" s="69" t="str">
        <f>IF(AA251&lt;60,"1",IF(AA251&lt;=43200,"2",IF(AA251&lt;=777600,"3","4")))</f>
        <v>4</v>
      </c>
      <c r="AC251" s="72">
        <f>AVERAGE(AV250:DA250)</f>
        <v>66780</v>
      </c>
      <c r="AD251" s="69" t="str">
        <f>IF(AC251&lt;60,"1",IF(AC251&lt;=43200,"2",IF(AC251&lt;=777600,"3","4")))</f>
        <v>3</v>
      </c>
      <c r="AE251" s="87">
        <f>AA251-Y251</f>
        <v>1813500</v>
      </c>
      <c r="AF251" s="88">
        <f>AV251</f>
        <v>0.85</v>
      </c>
      <c r="AG251" s="72">
        <f>((AW251-AV251)+(AX251-AW251))/2</f>
        <v>-9.9999999999999978E-2</v>
      </c>
      <c r="AH251" s="4"/>
      <c r="AI251" s="72">
        <f>RSQ(AV251:AX251,AV250:AX250)</f>
        <v>0.89940214524202888</v>
      </c>
      <c r="AJ251" s="110">
        <f>SLOPE(AV251:AX251,AV250:AX250)</f>
        <v>-9.5787002758361246E-7</v>
      </c>
      <c r="AK251" s="72">
        <f>INTERCEPT(AV251:AX251,AV250:AX250)</f>
        <v>0.82063322710870035</v>
      </c>
      <c r="AL251" s="72">
        <f>INDEX(LINEST(LN(AV251:AX251),LN(AV250:AX250),TRUE,TRUE),3,1)</f>
        <v>0.95016046756314154</v>
      </c>
      <c r="AM251" s="72">
        <f>INDEX(LINEST(LN(AV251:AX251),LN(AV250:AX250)),1)</f>
        <v>-4.9707177621142622E-2</v>
      </c>
      <c r="AN251" s="72">
        <f>EXP(INDEX(LINEST(LN(AV251:AX251),LN(AV250:AX250)),1,2))</f>
        <v>1.2102120588113143</v>
      </c>
      <c r="AO251" s="89">
        <f>INDEX(LINEST((AV251:AX251),LN(AV250:AX250),TRUE,TRUE),3,1)</f>
        <v>0.96456409415027067</v>
      </c>
      <c r="AP251" s="89">
        <f>INDEX(LINEST((AV251:AX251),LN(AV250:AX250)),1)</f>
        <v>-3.7160158921915203E-2</v>
      </c>
      <c r="AQ251" s="90">
        <f>INDEX(LINEST(LN(AV251:AX251),SQRT(AV250:AX250),TRUE,TRUE),3,1)</f>
        <v>0.98653098298506448</v>
      </c>
      <c r="AR251" s="117">
        <f>INDEX(LINEST(LN(AV251:AX251),SQRT((AV250:AX250))),1)</f>
        <v>-6.5651952049921756E-4</v>
      </c>
      <c r="AS251" s="91">
        <f>INDEX(LINEST(1/(AV251:AX251),1/(SQRT(AV250:AX250)),TRUE,TRUE),3,1)</f>
        <v>0.72267457665884827</v>
      </c>
      <c r="AT251" s="91">
        <f>INDEX(LINEST(1/(AV251:AX251),1/SQRT(AV250:AX250)),1)</f>
        <v>-9.423035798361191</v>
      </c>
      <c r="AU251" s="3"/>
      <c r="AV251" s="97">
        <v>0.85</v>
      </c>
      <c r="AW251" s="97">
        <v>0.77</v>
      </c>
      <c r="AX251" s="97">
        <v>0.65</v>
      </c>
      <c r="AY251" s="11"/>
      <c r="AZ251" s="11"/>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1"/>
      <c r="CN251" s="11"/>
      <c r="CO251" s="11"/>
      <c r="CP251" s="11"/>
      <c r="CQ251" s="11"/>
      <c r="CR251" s="15"/>
      <c r="CS251" s="15"/>
      <c r="CT251" s="15"/>
      <c r="CU251" s="15"/>
    </row>
    <row r="252" spans="1:99" ht="12" customHeight="1" x14ac:dyDescent="0.2">
      <c r="A252" s="68">
        <v>43899</v>
      </c>
      <c r="B252" s="94"/>
      <c r="C252" s="94"/>
      <c r="D252" s="92"/>
      <c r="E252" s="105"/>
      <c r="F252" s="92"/>
      <c r="G252" s="92"/>
      <c r="H252" s="92"/>
      <c r="I252" s="92"/>
      <c r="J252" s="92"/>
      <c r="K252" s="107"/>
      <c r="L252" s="107"/>
      <c r="M252" s="92"/>
      <c r="N252" s="92"/>
      <c r="O252" s="92"/>
      <c r="P252" s="92"/>
      <c r="Q252" s="92"/>
      <c r="R252" s="69"/>
      <c r="S252" s="92"/>
      <c r="T252" s="92"/>
      <c r="U252" s="69"/>
      <c r="V252" s="92"/>
      <c r="W252" s="69"/>
      <c r="X252" s="92"/>
      <c r="Y252" s="87"/>
      <c r="Z252" s="92"/>
      <c r="AA252" s="92"/>
      <c r="AB252" s="69"/>
      <c r="AC252" s="72"/>
      <c r="AD252" s="69"/>
      <c r="AE252" s="69"/>
      <c r="AF252" s="88"/>
      <c r="AG252" s="72"/>
      <c r="AH252" s="4"/>
      <c r="AI252" s="72"/>
      <c r="AJ252" s="110"/>
      <c r="AK252" s="72"/>
      <c r="AL252" s="72"/>
      <c r="AM252" s="72"/>
      <c r="AN252" s="72"/>
      <c r="AO252" s="89"/>
      <c r="AP252" s="89"/>
      <c r="AQ252" s="90"/>
      <c r="AR252" s="117"/>
      <c r="AS252" s="91"/>
      <c r="AT252" s="91"/>
      <c r="AU252" s="3"/>
      <c r="AV252" s="98">
        <v>900</v>
      </c>
      <c r="AW252" s="98">
        <v>18000</v>
      </c>
      <c r="AX252" s="98">
        <v>181440</v>
      </c>
      <c r="AY252" s="11"/>
      <c r="AZ252" s="11"/>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1"/>
      <c r="CN252" s="11"/>
      <c r="CO252" s="11"/>
      <c r="CP252" s="11"/>
      <c r="CQ252" s="11"/>
      <c r="CR252" s="15"/>
      <c r="CS252" s="15"/>
      <c r="CT252" s="15"/>
      <c r="CU252" s="15"/>
    </row>
    <row r="253" spans="1:99" ht="12" customHeight="1" x14ac:dyDescent="0.2">
      <c r="A253" s="68">
        <v>43899</v>
      </c>
      <c r="B253" s="94" t="s">
        <v>386</v>
      </c>
      <c r="C253" s="94" t="s">
        <v>387</v>
      </c>
      <c r="D253" s="92">
        <v>1976</v>
      </c>
      <c r="E253" s="105">
        <v>1</v>
      </c>
      <c r="F253" s="92">
        <v>59</v>
      </c>
      <c r="G253" s="92">
        <v>59</v>
      </c>
      <c r="H253" s="92" t="s">
        <v>50</v>
      </c>
      <c r="I253" s="92" t="s">
        <v>390</v>
      </c>
      <c r="J253" s="92" t="s">
        <v>320</v>
      </c>
      <c r="K253" s="69">
        <f>IF(J253="syllables",1,IF(J253="trigrams",2,IF(J253="strings",3,IF(J253="visual array",4,IF(J253="characters",5,IF(J253="letters",6,IF(J253="free forms",7,IF(J253="odors",8,IF(J253="words",9,IF(J253="pictures",10,IF(J253="object pictures",11,IF(J253="faces",12,IF(J253="names",13,IF(J253="idioms",14,IF(J253="grades",15,IF(J253="syllable-digit pairs",16,IF(J253="trigram-word pairs",17,IF(J253="word-digit pairs",18,IF(J253="English-Swahili pairs",19,IF(J253="spatial position",20,IF(J253="word pairs",21,IF(J253="word triads",22,IF(J253="generated words",23,IF(J253="word definition pairs",24,IF(J253="math problems",25,IF(J253="famous faces",26,IF(J253="famous names",27,IF(J253="famous voices",28,IF(J253="television programs",29,IF(J253="race horses",30,IF(J253="new vocabulary",31,IF(J253="sentences",32,IF(J253="concepts",33,IF(J253="ad slides",34,IF(J253="scenes",35,IF(J253="famous scenes",36,IF(J253="poems",37,IF(J253="walk",38,IF(J253="faces and events",39,IF(J253="events and names",40,IF(J253="flashbulb",41,IF(J253="stories",42,IF(J253="course material",43,IF(J253="autobiographical",44,IF(J253="novels",45,IF(J253="public events",46,"99"))))))))))))))))))))))))))))))))))))))))))))))</f>
        <v>21</v>
      </c>
      <c r="L253" s="69">
        <f>IF(J253="syllables",1,IF(J253="trigrams",1,IF(J253="strings",1,IF(J253="visual array",1,IF(J253="characters",1,IF(J253="letters",1,IF(J253="free forms",1,IF(J253="odors",2,IF(J253="words",2,IF(J253="pictures",2,IF(J253="object pictures",2,IF(J253="faces",2,IF(J253="names",2,IF(J253="idioms","2",IF(J253="grades",2,IF(J253="syllable-digit pairs",3,IF(J253="trigram-word pairs",3,IF(J253="word-digit pairs",3,IF(J253="English-Swahili pairs",3,IF(J253="spatial position",3,IF(J253="word pairs",4,IF(J253="word triads",4,IF(J253="generated words",4,IF(J253="word definition pairs",4,IF(J253="math problems",4,IF(J253="famous faces",4,IF(J253="famous names",4,IF(J253="famous voices",4,IF(J253="television programs",4,IF(J253="race horses",4,IF(J253="new vocabulary",4,IF(J253="sentences",5,IF(J253="concepts",5,IF(J253="ad slides",5,IF(J253="scenes",5,IF(J253="famous scenes",5,IF(J253="poems",6,IF(J253="walk",6,IF(J253="faces and events",6,IF(J253="events and names",6,IF(J253="flashbulb",7,IF(J253="stories",7,IF(J253="course material",7,IF(J253="autobiographical",7,IF(J253="novels",7,IF(J253="public events",7,"99"))))))))))))))))))))))))))))))))))))))))))))))</f>
        <v>4</v>
      </c>
      <c r="M253" s="92">
        <v>0</v>
      </c>
      <c r="N253" s="92">
        <v>1</v>
      </c>
      <c r="O253" s="92">
        <v>0</v>
      </c>
      <c r="P253" s="92"/>
      <c r="Q253" s="92" t="s">
        <v>174</v>
      </c>
      <c r="R253" s="69">
        <f>IF(Q253="Free Recall",1,IF(Q253="Cued Recall",2,IF(Q253="Recognition",3,IF(Q253="Multiple Choice",4,IF(Q253="Savings",5,IF(Q253="Stem Completion",6,IF(Q253="Fragment Completion",7,IF(Q253="anagram solution",8,IF(Q253="Matching",9,IF(Q253="Problem Solving",10,"99"))))))))))</f>
        <v>1</v>
      </c>
      <c r="S253" s="69" t="s">
        <v>49</v>
      </c>
      <c r="T253" s="92" t="s">
        <v>581</v>
      </c>
      <c r="U253" s="69">
        <f>IF(T253="within",1,0)</f>
        <v>1</v>
      </c>
      <c r="V253" s="92">
        <v>15</v>
      </c>
      <c r="W253" s="69">
        <f>F253*V253</f>
        <v>885</v>
      </c>
      <c r="X253" s="92">
        <v>3</v>
      </c>
      <c r="Y253" s="87">
        <f>AV252</f>
        <v>900</v>
      </c>
      <c r="Z253" s="92" t="s">
        <v>389</v>
      </c>
      <c r="AA253" s="92">
        <v>1814400</v>
      </c>
      <c r="AB253" s="69" t="str">
        <f>IF(AA253&lt;60,"1",IF(AA253&lt;=43200,"2",IF(AA253&lt;=777600,"3","4")))</f>
        <v>4</v>
      </c>
      <c r="AC253" s="72">
        <f>AVERAGE(AV252:DA252)</f>
        <v>66780</v>
      </c>
      <c r="AD253" s="69" t="str">
        <f>IF(AC253&lt;60,"1",IF(AC253&lt;=43200,"2",IF(AC253&lt;=777600,"3","4")))</f>
        <v>3</v>
      </c>
      <c r="AE253" s="87">
        <f>AA253-Y253</f>
        <v>1813500</v>
      </c>
      <c r="AF253" s="88">
        <f>AV253</f>
        <v>0.8</v>
      </c>
      <c r="AG253" s="72">
        <f>((AW253-AV253)+(AX253-AW253))/2</f>
        <v>-0.10500000000000004</v>
      </c>
      <c r="AH253" s="4"/>
      <c r="AI253" s="72">
        <f>RSQ(AV253:AX253,AV252:AX252)</f>
        <v>0.50443306777335406</v>
      </c>
      <c r="AJ253" s="110">
        <f>SLOPE(AV253:AX253,AV252:AX252)</f>
        <v>-7.9460084581046969E-7</v>
      </c>
      <c r="AK253" s="72">
        <f>INTERCEPT(AV253:AX253,AV252:AX252)</f>
        <v>0.72639677781655654</v>
      </c>
      <c r="AL253" s="72">
        <f>INDEX(LINEST(LN(AV253:AX253),LN(AV252:AX252),TRUE,TRUE),3,1)</f>
        <v>0.94207562158453195</v>
      </c>
      <c r="AM253" s="72">
        <f>INDEX(LINEST(LN(AV253:AX253),LN(AV252:AX252)),1)</f>
        <v>-5.8463487871096113E-2</v>
      </c>
      <c r="AN253" s="72">
        <f>EXP(INDEX(LINEST(LN(AV253:AX253),LN(AV252:AX252)),1,2))</f>
        <v>1.1679025471326401</v>
      </c>
      <c r="AO253" s="89">
        <f>INDEX(LINEST((AV253:AX253),LN(AV252:AX252),TRUE,TRUE),3,1)</f>
        <v>0.92944690670705854</v>
      </c>
      <c r="AP253" s="89">
        <f>INDEX(LINEST((AV253:AX253),LN(AV252:AX252)),1)</f>
        <v>-4.0405634808057249E-2</v>
      </c>
      <c r="AQ253" s="90">
        <f>INDEX(LINEST(LN(AV253:AX253),SQRT(AV252:AX252),TRUE,TRUE),3,1)</f>
        <v>0.69551378369482963</v>
      </c>
      <c r="AR253" s="117">
        <f>INDEX(LINEST(LN(AV253:AX253),SQRT((AV252:AX252))),1)</f>
        <v>-6.5112798626657041E-4</v>
      </c>
      <c r="AS253" s="91">
        <f>INDEX(LINEST(1/(AV253:AX253),1/(SQRT(AV252:AX252)),TRUE,TRUE),3,1)</f>
        <v>0.99367067158478006</v>
      </c>
      <c r="AT253" s="91">
        <f>INDEX(LINEST(1/(AV253:AX253),1/SQRT(AV252:AX252)),1)</f>
        <v>-13.928451757558641</v>
      </c>
      <c r="AU253" s="3"/>
      <c r="AV253" s="97">
        <v>0.8</v>
      </c>
      <c r="AW253" s="97">
        <v>0.63</v>
      </c>
      <c r="AX253" s="97">
        <v>0.59</v>
      </c>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1"/>
      <c r="CN253" s="11"/>
      <c r="CO253" s="11"/>
      <c r="CP253" s="11"/>
      <c r="CQ253" s="11"/>
      <c r="CR253" s="15"/>
      <c r="CS253" s="15"/>
      <c r="CT253" s="15"/>
      <c r="CU253" s="15"/>
    </row>
    <row r="254" spans="1:99" ht="12" customHeight="1" x14ac:dyDescent="0.2">
      <c r="A254" s="68">
        <v>43899</v>
      </c>
      <c r="B254" s="94"/>
      <c r="C254" s="94"/>
      <c r="D254" s="92"/>
      <c r="E254" s="105"/>
      <c r="F254" s="92"/>
      <c r="G254" s="92"/>
      <c r="H254" s="92"/>
      <c r="I254" s="92"/>
      <c r="J254" s="92"/>
      <c r="K254" s="107"/>
      <c r="L254" s="107"/>
      <c r="M254" s="92"/>
      <c r="N254" s="92"/>
      <c r="O254" s="92"/>
      <c r="P254" s="92"/>
      <c r="Q254" s="92"/>
      <c r="R254" s="69"/>
      <c r="S254" s="92"/>
      <c r="T254" s="92"/>
      <c r="U254" s="69"/>
      <c r="V254" s="92"/>
      <c r="W254" s="69"/>
      <c r="X254" s="92"/>
      <c r="Y254" s="87"/>
      <c r="Z254" s="92"/>
      <c r="AA254" s="92"/>
      <c r="AB254" s="69"/>
      <c r="AC254" s="72"/>
      <c r="AD254" s="69"/>
      <c r="AE254" s="69"/>
      <c r="AF254" s="88"/>
      <c r="AG254" s="72"/>
      <c r="AH254" s="4"/>
      <c r="AI254" s="72"/>
      <c r="AJ254" s="110"/>
      <c r="AK254" s="72"/>
      <c r="AL254" s="72"/>
      <c r="AM254" s="72"/>
      <c r="AN254" s="72"/>
      <c r="AO254" s="89"/>
      <c r="AP254" s="89"/>
      <c r="AQ254" s="90"/>
      <c r="AR254" s="117"/>
      <c r="AS254" s="91"/>
      <c r="AT254" s="91"/>
      <c r="AU254" s="3"/>
      <c r="AV254" s="98">
        <v>900</v>
      </c>
      <c r="AW254" s="98">
        <v>18000</v>
      </c>
      <c r="AX254" s="98">
        <v>181440</v>
      </c>
      <c r="AY254" s="11"/>
      <c r="AZ254" s="11"/>
      <c r="BA254" s="11"/>
      <c r="BB254" s="11"/>
      <c r="BC254" s="11"/>
      <c r="BD254" s="11"/>
      <c r="BE254" s="11"/>
      <c r="BF254" s="11"/>
      <c r="BG254" s="11"/>
      <c r="BH254" s="11"/>
      <c r="BI254" s="11"/>
      <c r="BJ254" s="11"/>
      <c r="BK254" s="11"/>
      <c r="BL254" s="11"/>
      <c r="BM254" s="11"/>
      <c r="BN254" s="11"/>
      <c r="BO254" s="11"/>
      <c r="BP254" s="11"/>
      <c r="BQ254" s="11"/>
      <c r="BR254" s="11"/>
      <c r="BS254" s="11"/>
      <c r="BT254" s="11"/>
      <c r="BU254" s="11"/>
      <c r="BV254" s="11"/>
      <c r="BW254" s="11"/>
      <c r="BX254" s="11"/>
      <c r="BY254" s="11"/>
      <c r="BZ254" s="11"/>
      <c r="CA254" s="11"/>
      <c r="CB254" s="11"/>
      <c r="CC254" s="11"/>
      <c r="CD254" s="11"/>
      <c r="CE254" s="11"/>
      <c r="CF254" s="11"/>
      <c r="CG254" s="11"/>
      <c r="CH254" s="11"/>
      <c r="CI254" s="11"/>
      <c r="CJ254" s="11"/>
      <c r="CK254" s="11"/>
      <c r="CL254" s="11"/>
      <c r="CM254" s="11"/>
      <c r="CN254" s="11"/>
      <c r="CO254" s="11"/>
      <c r="CP254" s="11"/>
      <c r="CQ254" s="11"/>
      <c r="CR254" s="15"/>
      <c r="CS254" s="15"/>
      <c r="CT254" s="15"/>
      <c r="CU254" s="15"/>
    </row>
    <row r="255" spans="1:99" ht="12" customHeight="1" x14ac:dyDescent="0.2">
      <c r="A255" s="68">
        <v>43899</v>
      </c>
      <c r="B255" s="94" t="s">
        <v>386</v>
      </c>
      <c r="C255" s="94" t="s">
        <v>387</v>
      </c>
      <c r="D255" s="92">
        <v>1976</v>
      </c>
      <c r="E255" s="105">
        <v>1</v>
      </c>
      <c r="F255" s="92">
        <v>59</v>
      </c>
      <c r="G255" s="92">
        <v>59</v>
      </c>
      <c r="H255" s="92" t="s">
        <v>50</v>
      </c>
      <c r="I255" s="92" t="s">
        <v>391</v>
      </c>
      <c r="J255" s="92" t="s">
        <v>320</v>
      </c>
      <c r="K255" s="69">
        <f>IF(J255="syllables",1,IF(J255="trigrams",2,IF(J255="strings",3,IF(J255="visual array",4,IF(J255="characters",5,IF(J255="letters",6,IF(J255="free forms",7,IF(J255="odors",8,IF(J255="words",9,IF(J255="pictures",10,IF(J255="object pictures",11,IF(J255="faces",12,IF(J255="names",13,IF(J255="idioms",14,IF(J255="grades",15,IF(J255="syllable-digit pairs",16,IF(J255="trigram-word pairs",17,IF(J255="word-digit pairs",18,IF(J255="English-Swahili pairs",19,IF(J255="spatial position",20,IF(J255="word pairs",21,IF(J255="word triads",22,IF(J255="generated words",23,IF(J255="word definition pairs",24,IF(J255="math problems",25,IF(J255="famous faces",26,IF(J255="famous names",27,IF(J255="famous voices",28,IF(J255="television programs",29,IF(J255="race horses",30,IF(J255="new vocabulary",31,IF(J255="sentences",32,IF(J255="concepts",33,IF(J255="ad slides",34,IF(J255="scenes",35,IF(J255="famous scenes",36,IF(J255="poems",37,IF(J255="walk",38,IF(J255="faces and events",39,IF(J255="events and names",40,IF(J255="flashbulb",41,IF(J255="stories",42,IF(J255="course material",43,IF(J255="autobiographical",44,IF(J255="novels",45,IF(J255="public events",46,"99"))))))))))))))))))))))))))))))))))))))))))))))</f>
        <v>21</v>
      </c>
      <c r="L255" s="69">
        <f>IF(J255="syllables",1,IF(J255="trigrams",1,IF(J255="strings",1,IF(J255="visual array",1,IF(J255="characters",1,IF(J255="letters",1,IF(J255="free forms",1,IF(J255="odors",2,IF(J255="words",2,IF(J255="pictures",2,IF(J255="object pictures",2,IF(J255="faces",2,IF(J255="names",2,IF(J255="idioms","2",IF(J255="grades",2,IF(J255="syllable-digit pairs",3,IF(J255="trigram-word pairs",3,IF(J255="word-digit pairs",3,IF(J255="English-Swahili pairs",3,IF(J255="spatial position",3,IF(J255="word pairs",4,IF(J255="word triads",4,IF(J255="generated words",4,IF(J255="word definition pairs",4,IF(J255="math problems",4,IF(J255="famous faces",4,IF(J255="famous names",4,IF(J255="famous voices",4,IF(J255="television programs",4,IF(J255="race horses",4,IF(J255="new vocabulary",4,IF(J255="sentences",5,IF(J255="concepts",5,IF(J255="ad slides",5,IF(J255="scenes",5,IF(J255="famous scenes",5,IF(J255="poems",6,IF(J255="walk",6,IF(J255="faces and events",6,IF(J255="events and names",6,IF(J255="flashbulb",7,IF(J255="stories",7,IF(J255="course material",7,IF(J255="autobiographical",7,IF(J255="novels",7,IF(J255="public events",7,"99"))))))))))))))))))))))))))))))))))))))))))))))</f>
        <v>4</v>
      </c>
      <c r="M255" s="92">
        <v>0</v>
      </c>
      <c r="N255" s="92">
        <v>1</v>
      </c>
      <c r="O255" s="92">
        <v>0</v>
      </c>
      <c r="P255" s="92"/>
      <c r="Q255" s="92" t="s">
        <v>174</v>
      </c>
      <c r="R255" s="69">
        <f>IF(Q255="Free Recall",1,IF(Q255="Cued Recall",2,IF(Q255="Recognition",3,IF(Q255="Multiple Choice",4,IF(Q255="Savings",5,IF(Q255="Stem Completion",6,IF(Q255="Fragment Completion",7,IF(Q255="anagram solution",8,IF(Q255="Matching",9,IF(Q255="Problem Solving",10,"99"))))))))))</f>
        <v>1</v>
      </c>
      <c r="S255" s="69" t="s">
        <v>49</v>
      </c>
      <c r="T255" s="92" t="s">
        <v>581</v>
      </c>
      <c r="U255" s="69">
        <f>IF(T255="within",1,0)</f>
        <v>1</v>
      </c>
      <c r="V255" s="92">
        <v>15</v>
      </c>
      <c r="W255" s="69">
        <f>F255*V255</f>
        <v>885</v>
      </c>
      <c r="X255" s="92">
        <v>3</v>
      </c>
      <c r="Y255" s="87">
        <f>AV254</f>
        <v>900</v>
      </c>
      <c r="Z255" s="92" t="s">
        <v>389</v>
      </c>
      <c r="AA255" s="92">
        <v>1814400</v>
      </c>
      <c r="AB255" s="69" t="str">
        <f>IF(AA255&lt;60,"1",IF(AA255&lt;=43200,"2",IF(AA255&lt;=777600,"3","4")))</f>
        <v>4</v>
      </c>
      <c r="AC255" s="72">
        <f>AVERAGE(AV254:DA254)</f>
        <v>66780</v>
      </c>
      <c r="AD255" s="69" t="str">
        <f>IF(AC255&lt;60,"1",IF(AC255&lt;=43200,"2",IF(AC255&lt;=777600,"3","4")))</f>
        <v>3</v>
      </c>
      <c r="AE255" s="87">
        <f>AA255-Y255</f>
        <v>1813500</v>
      </c>
      <c r="AF255" s="88">
        <f>AV255</f>
        <v>0.43</v>
      </c>
      <c r="AG255" s="72">
        <f>((AW255-AV255)+(AX255-AW255))/2</f>
        <v>-0.14499999999999999</v>
      </c>
      <c r="AH255" s="4"/>
      <c r="AI255" s="72">
        <f>RSQ(AV255:AX255,AV254:AX254)</f>
        <v>0.4517708653332953</v>
      </c>
      <c r="AJ255" s="110">
        <f>SLOPE(AV255:AX255,AV254:AX254)</f>
        <v>-1.0598906150844777E-6</v>
      </c>
      <c r="AK255" s="72">
        <f>INTERCEPT(AV255:AX255,AV254:AX254)</f>
        <v>0.32077949527534144</v>
      </c>
      <c r="AL255" s="72">
        <f>INDEX(LINEST(LN(AV255:AX255),LN(AV254:AX254),TRUE,TRUE),3,1)</f>
        <v>0.94616837554052724</v>
      </c>
      <c r="AM255" s="72">
        <f>INDEX(LINEST(LN(AV255:AX255),LN(AV254:AX254)),1)</f>
        <v>-0.21530283029307667</v>
      </c>
      <c r="AN255" s="72">
        <f>EXP(INDEX(LINEST(LN(AV255:AX255),LN(AV254:AX254)),1,2))</f>
        <v>1.7368915283104613</v>
      </c>
      <c r="AO255" s="89">
        <f>INDEX(LINEST((AV255:AX255),LN(AV254:AX254),TRUE,TRUE),3,1)</f>
        <v>0.90010075522342836</v>
      </c>
      <c r="AP255" s="89">
        <f>INDEX(LINEST((AV255:AX255),LN(AV254:AX254)),1)</f>
        <v>-5.6044099087546824E-2</v>
      </c>
      <c r="AQ255" s="90">
        <f>INDEX(LINEST(LN(AV255:AX255),SQRT(AV254:AX254),TRUE,TRUE),3,1)</f>
        <v>0.70368370248567602</v>
      </c>
      <c r="AR255" s="117">
        <f>INDEX(LINEST(LN(AV255:AX255),SQRT((AV254:AX254))),1)</f>
        <v>-2.406721979770743E-3</v>
      </c>
      <c r="AS255" s="91">
        <f>INDEX(LINEST(1/(AV255:AX255),1/(SQRT(AV254:AX254)),TRUE,TRUE),3,1)</f>
        <v>0.96971142669757682</v>
      </c>
      <c r="AT255" s="91">
        <f>INDEX(LINEST(1/(AV255:AX255),1/SQRT(AV254:AX254)),1)</f>
        <v>-145.51335982913466</v>
      </c>
      <c r="AU255" s="3"/>
      <c r="AV255" s="97">
        <v>0.43</v>
      </c>
      <c r="AW255" s="97">
        <v>0.18</v>
      </c>
      <c r="AX255" s="97">
        <v>0.14000000000000001</v>
      </c>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c r="BV255" s="11"/>
      <c r="BW255" s="11"/>
      <c r="BX255" s="11"/>
      <c r="BY255" s="11"/>
      <c r="BZ255" s="11"/>
      <c r="CA255" s="11"/>
      <c r="CB255" s="11"/>
      <c r="CC255" s="11"/>
      <c r="CD255" s="11"/>
      <c r="CE255" s="11"/>
      <c r="CF255" s="11"/>
      <c r="CG255" s="11"/>
      <c r="CH255" s="11"/>
      <c r="CI255" s="11"/>
      <c r="CJ255" s="11"/>
      <c r="CK255" s="11"/>
      <c r="CL255" s="11"/>
      <c r="CM255" s="11"/>
      <c r="CN255" s="11"/>
      <c r="CO255" s="11"/>
      <c r="CP255" s="11"/>
      <c r="CQ255" s="11"/>
      <c r="CR255" s="15"/>
      <c r="CS255" s="15"/>
      <c r="CT255" s="15"/>
      <c r="CU255" s="15"/>
    </row>
    <row r="256" spans="1:99" ht="12" customHeight="1" x14ac:dyDescent="0.2">
      <c r="A256" s="68">
        <v>43899</v>
      </c>
      <c r="B256" s="94"/>
      <c r="C256" s="94"/>
      <c r="D256" s="92"/>
      <c r="E256" s="105"/>
      <c r="F256" s="92"/>
      <c r="G256" s="92"/>
      <c r="H256" s="92"/>
      <c r="I256" s="92"/>
      <c r="J256" s="92"/>
      <c r="K256" s="107"/>
      <c r="L256" s="107"/>
      <c r="M256" s="92"/>
      <c r="N256" s="92"/>
      <c r="O256" s="92"/>
      <c r="P256" s="92"/>
      <c r="Q256" s="92"/>
      <c r="R256" s="69"/>
      <c r="S256" s="92"/>
      <c r="T256" s="92"/>
      <c r="U256" s="69"/>
      <c r="V256" s="92"/>
      <c r="W256" s="69"/>
      <c r="X256" s="92"/>
      <c r="Y256" s="87"/>
      <c r="Z256" s="92"/>
      <c r="AA256" s="92"/>
      <c r="AB256" s="69"/>
      <c r="AC256" s="72"/>
      <c r="AD256" s="69"/>
      <c r="AE256" s="69"/>
      <c r="AF256" s="88"/>
      <c r="AG256" s="72"/>
      <c r="AH256" s="4"/>
      <c r="AI256" s="72"/>
      <c r="AJ256" s="110"/>
      <c r="AK256" s="72"/>
      <c r="AL256" s="72"/>
      <c r="AM256" s="72"/>
      <c r="AN256" s="72"/>
      <c r="AO256" s="89"/>
      <c r="AP256" s="89"/>
      <c r="AQ256" s="90"/>
      <c r="AR256" s="117"/>
      <c r="AS256" s="91"/>
      <c r="AT256" s="91"/>
      <c r="AU256" s="3"/>
      <c r="AV256" s="98">
        <v>900</v>
      </c>
      <c r="AW256" s="98">
        <v>18000</v>
      </c>
      <c r="AX256" s="98">
        <v>181440</v>
      </c>
      <c r="AY256" s="11"/>
      <c r="AZ256" s="11"/>
      <c r="BA256" s="11"/>
      <c r="BB256" s="11"/>
      <c r="BC256" s="11"/>
      <c r="BD256" s="11"/>
      <c r="BE256" s="11"/>
      <c r="BF256" s="11"/>
      <c r="BG256" s="11"/>
      <c r="BH256" s="11"/>
      <c r="BI256" s="11"/>
      <c r="BJ256" s="11"/>
      <c r="BK256" s="11"/>
      <c r="BL256" s="11"/>
      <c r="BM256" s="11"/>
      <c r="BN256" s="11"/>
      <c r="BO256" s="11"/>
      <c r="BP256" s="11"/>
      <c r="BQ256" s="11"/>
      <c r="BR256" s="11"/>
      <c r="BS256" s="11"/>
      <c r="BT256" s="11"/>
      <c r="BU256" s="11"/>
      <c r="BV256" s="11"/>
      <c r="BW256" s="11"/>
      <c r="BX256" s="11"/>
      <c r="BY256" s="11"/>
      <c r="BZ256" s="11"/>
      <c r="CA256" s="11"/>
      <c r="CB256" s="11"/>
      <c r="CC256" s="11"/>
      <c r="CD256" s="11"/>
      <c r="CE256" s="11"/>
      <c r="CF256" s="11"/>
      <c r="CG256" s="11"/>
      <c r="CH256" s="11"/>
      <c r="CI256" s="11"/>
      <c r="CJ256" s="11"/>
      <c r="CK256" s="11"/>
      <c r="CL256" s="11"/>
      <c r="CM256" s="11"/>
      <c r="CN256" s="11"/>
      <c r="CO256" s="11"/>
      <c r="CP256" s="11"/>
      <c r="CQ256" s="11"/>
      <c r="CR256" s="15"/>
      <c r="CS256" s="15"/>
      <c r="CT256" s="15"/>
      <c r="CU256" s="15"/>
    </row>
    <row r="257" spans="1:99" ht="12" customHeight="1" x14ac:dyDescent="0.2">
      <c r="A257" s="68">
        <v>43899</v>
      </c>
      <c r="B257" s="94" t="s">
        <v>386</v>
      </c>
      <c r="C257" s="94" t="s">
        <v>387</v>
      </c>
      <c r="D257" s="92">
        <v>1976</v>
      </c>
      <c r="E257" s="105">
        <v>1</v>
      </c>
      <c r="F257" s="92">
        <v>59</v>
      </c>
      <c r="G257" s="92">
        <v>59</v>
      </c>
      <c r="H257" s="92" t="s">
        <v>50</v>
      </c>
      <c r="I257" s="92" t="s">
        <v>392</v>
      </c>
      <c r="J257" s="92" t="s">
        <v>320</v>
      </c>
      <c r="K257" s="69">
        <f>IF(J257="syllables",1,IF(J257="trigrams",2,IF(J257="strings",3,IF(J257="visual array",4,IF(J257="characters",5,IF(J257="letters",6,IF(J257="free forms",7,IF(J257="odors",8,IF(J257="words",9,IF(J257="pictures",10,IF(J257="object pictures",11,IF(J257="faces",12,IF(J257="names",13,IF(J257="idioms",14,IF(J257="grades",15,IF(J257="syllable-digit pairs",16,IF(J257="trigram-word pairs",17,IF(J257="word-digit pairs",18,IF(J257="English-Swahili pairs",19,IF(J257="spatial position",20,IF(J257="word pairs",21,IF(J257="word triads",22,IF(J257="generated words",23,IF(J257="word definition pairs",24,IF(J257="math problems",25,IF(J257="famous faces",26,IF(J257="famous names",27,IF(J257="famous voices",28,IF(J257="television programs",29,IF(J257="race horses",30,IF(J257="new vocabulary",31,IF(J257="sentences",32,IF(J257="concepts",33,IF(J257="ad slides",34,IF(J257="scenes",35,IF(J257="famous scenes",36,IF(J257="poems",37,IF(J257="walk",38,IF(J257="faces and events",39,IF(J257="events and names",40,IF(J257="flashbulb",41,IF(J257="stories",42,IF(J257="course material",43,IF(J257="autobiographical",44,IF(J257="novels",45,IF(J257="public events",46,"99"))))))))))))))))))))))))))))))))))))))))))))))</f>
        <v>21</v>
      </c>
      <c r="L257" s="69">
        <f>IF(J257="syllables",1,IF(J257="trigrams",1,IF(J257="strings",1,IF(J257="visual array",1,IF(J257="characters",1,IF(J257="letters",1,IF(J257="free forms",1,IF(J257="odors",2,IF(J257="words",2,IF(J257="pictures",2,IF(J257="object pictures",2,IF(J257="faces",2,IF(J257="names",2,IF(J257="idioms","2",IF(J257="grades",2,IF(J257="syllable-digit pairs",3,IF(J257="trigram-word pairs",3,IF(J257="word-digit pairs",3,IF(J257="English-Swahili pairs",3,IF(J257="spatial position",3,IF(J257="word pairs",4,IF(J257="word triads",4,IF(J257="generated words",4,IF(J257="word definition pairs",4,IF(J257="math problems",4,IF(J257="famous faces",4,IF(J257="famous names",4,IF(J257="famous voices",4,IF(J257="television programs",4,IF(J257="race horses",4,IF(J257="new vocabulary",4,IF(J257="sentences",5,IF(J257="concepts",5,IF(J257="ad slides",5,IF(J257="scenes",5,IF(J257="famous scenes",5,IF(J257="poems",6,IF(J257="walk",6,IF(J257="faces and events",6,IF(J257="events and names",6,IF(J257="flashbulb",7,IF(J257="stories",7,IF(J257="course material",7,IF(J257="autobiographical",7,IF(J257="novels",7,IF(J257="public events",7,"99"))))))))))))))))))))))))))))))))))))))))))))))</f>
        <v>4</v>
      </c>
      <c r="M257" s="92">
        <v>0</v>
      </c>
      <c r="N257" s="92">
        <v>1</v>
      </c>
      <c r="O257" s="92">
        <v>0</v>
      </c>
      <c r="P257" s="92"/>
      <c r="Q257" s="92" t="s">
        <v>174</v>
      </c>
      <c r="R257" s="69">
        <f>IF(Q257="Free Recall",1,IF(Q257="Cued Recall",2,IF(Q257="Recognition",3,IF(Q257="Multiple Choice",4,IF(Q257="Savings",5,IF(Q257="Stem Completion",6,IF(Q257="Fragment Completion",7,IF(Q257="anagram solution",8,IF(Q257="Matching",9,IF(Q257="Problem Solving",10,"99"))))))))))</f>
        <v>1</v>
      </c>
      <c r="S257" s="69" t="s">
        <v>49</v>
      </c>
      <c r="T257" s="92" t="s">
        <v>581</v>
      </c>
      <c r="U257" s="69">
        <f>IF(T257="within",1,0)</f>
        <v>1</v>
      </c>
      <c r="V257" s="92">
        <v>15</v>
      </c>
      <c r="W257" s="69">
        <f>F257*V257</f>
        <v>885</v>
      </c>
      <c r="X257" s="92">
        <v>3</v>
      </c>
      <c r="Y257" s="87">
        <f>AV256</f>
        <v>900</v>
      </c>
      <c r="Z257" s="92" t="s">
        <v>389</v>
      </c>
      <c r="AA257" s="92">
        <v>1814400</v>
      </c>
      <c r="AB257" s="69" t="str">
        <f>IF(AA257&lt;60,"1",IF(AA257&lt;=43200,"2",IF(AA257&lt;=777600,"3","4")))</f>
        <v>4</v>
      </c>
      <c r="AC257" s="72">
        <f>AVERAGE(AV256:DA256)</f>
        <v>66780</v>
      </c>
      <c r="AD257" s="69" t="str">
        <f>IF(AC257&lt;60,"1",IF(AC257&lt;=43200,"2",IF(AC257&lt;=777600,"3","4")))</f>
        <v>3</v>
      </c>
      <c r="AE257" s="87">
        <f>AA257-Y257</f>
        <v>1813500</v>
      </c>
      <c r="AF257" s="88">
        <f>AV257</f>
        <v>0.22</v>
      </c>
      <c r="AG257" s="72">
        <f>((AW257-AV257)+(AX257-AW257))/2</f>
        <v>-9.5000000000000001E-2</v>
      </c>
      <c r="AH257" s="4"/>
      <c r="AI257" s="72">
        <f>RSQ(AV257:AX257,AV256:AX256)</f>
        <v>0.37230149195825563</v>
      </c>
      <c r="AJ257" s="110">
        <f>SLOPE(AV257:AX257,AV256:AX256)</f>
        <v>-6.546170023923194E-7</v>
      </c>
      <c r="AK257" s="72">
        <f>INTERCEPT(AV257:AX257,AV256:AX256)</f>
        <v>0.14038199008642577</v>
      </c>
      <c r="AL257" s="72">
        <f>INDEX(LINEST(LN(AV257:AX257),LN(AV256:AX256),TRUE,TRUE),3,1)</f>
        <v>0.903884269420554</v>
      </c>
      <c r="AM257" s="72">
        <f>INDEX(LINEST(LN(AV257:AX257),LN(AV256:AX256)),1)</f>
        <v>-0.38484057447004455</v>
      </c>
      <c r="AN257" s="72">
        <f>EXP(INDEX(LINEST(LN(AV257:AX257),LN(AV256:AX256)),1,2))</f>
        <v>2.5505307070774919</v>
      </c>
      <c r="AO257" s="89">
        <f>INDEX(LINEST((AV257:AX257),LN(AV256:AX256),TRUE,TRUE),3,1)</f>
        <v>0.84662228080443125</v>
      </c>
      <c r="AP257" s="89">
        <f>INDEX(LINEST((AV257:AX257),LN(AV256:AX256)),1)</f>
        <v>-3.6980019182387018E-2</v>
      </c>
      <c r="AQ257" s="90">
        <f>INDEX(LINEST(LN(AV257:AX257),SQRT(AV256:AX256),TRUE,TRUE),3,1)</f>
        <v>0.62729827819263817</v>
      </c>
      <c r="AR257" s="117">
        <f>INDEX(LINEST(LN(AV257:AX257),SQRT((AV256:AX256))),1)</f>
        <v>-4.1555942904803276E-3</v>
      </c>
      <c r="AS257" s="91">
        <f>INDEX(LINEST(1/(AV257:AX257),1/(SQRT(AV256:AX256)),TRUE,TRUE),3,1)</f>
        <v>0.98297684073972758</v>
      </c>
      <c r="AT257" s="91">
        <f>INDEX(LINEST(1/(AV257:AX257),1/SQRT(AV256:AX256)),1)</f>
        <v>-884.03894523574468</v>
      </c>
      <c r="AU257" s="3"/>
      <c r="AV257" s="97">
        <v>0.22</v>
      </c>
      <c r="AW257" s="97">
        <v>0.04</v>
      </c>
      <c r="AX257" s="97">
        <v>0.03</v>
      </c>
      <c r="AY257" s="11"/>
      <c r="AZ257" s="11"/>
      <c r="BA257" s="11"/>
      <c r="BB257" s="11"/>
      <c r="BC257" s="11"/>
      <c r="BD257" s="11"/>
      <c r="BE257" s="11"/>
      <c r="BF257" s="11"/>
      <c r="BG257" s="11"/>
      <c r="BH257" s="11"/>
      <c r="BI257" s="11"/>
      <c r="BJ257" s="11"/>
      <c r="BK257" s="11"/>
      <c r="BL257" s="11"/>
      <c r="BM257" s="11"/>
      <c r="BN257" s="11"/>
      <c r="BO257" s="11"/>
      <c r="BP257" s="11"/>
      <c r="BQ257" s="11"/>
      <c r="BR257" s="11"/>
      <c r="BS257" s="11"/>
      <c r="BT257" s="11"/>
      <c r="BU257" s="11"/>
      <c r="BV257" s="11"/>
      <c r="BW257" s="11"/>
      <c r="BX257" s="11"/>
      <c r="BY257" s="11"/>
      <c r="BZ257" s="11"/>
      <c r="CA257" s="11"/>
      <c r="CB257" s="11"/>
      <c r="CC257" s="11"/>
      <c r="CD257" s="11"/>
      <c r="CE257" s="11"/>
      <c r="CF257" s="11"/>
      <c r="CG257" s="11"/>
      <c r="CH257" s="11"/>
      <c r="CI257" s="11"/>
      <c r="CJ257" s="11"/>
      <c r="CK257" s="11"/>
      <c r="CL257" s="11"/>
      <c r="CM257" s="11"/>
      <c r="CN257" s="11"/>
      <c r="CO257" s="11"/>
      <c r="CP257" s="11"/>
      <c r="CQ257" s="11"/>
      <c r="CR257" s="15"/>
      <c r="CS257" s="15"/>
      <c r="CT257" s="15"/>
      <c r="CU257" s="15"/>
    </row>
    <row r="258" spans="1:99" s="13" customFormat="1" ht="12" customHeight="1" x14ac:dyDescent="0.2">
      <c r="A258" s="65">
        <v>43903</v>
      </c>
      <c r="D258" s="61"/>
      <c r="E258" s="76"/>
      <c r="F258" s="60"/>
      <c r="G258" s="60"/>
      <c r="H258" s="60"/>
      <c r="I258" s="60"/>
      <c r="J258" s="60"/>
      <c r="K258" s="64"/>
      <c r="L258" s="64"/>
      <c r="M258" s="60"/>
      <c r="N258" s="60"/>
      <c r="O258" s="60"/>
      <c r="P258" s="60"/>
      <c r="Q258" s="60"/>
      <c r="R258" s="60"/>
      <c r="S258" s="60"/>
      <c r="T258" s="60"/>
      <c r="U258" s="60"/>
      <c r="V258" s="60"/>
      <c r="W258" s="60"/>
      <c r="X258" s="60"/>
      <c r="Y258" s="76"/>
      <c r="Z258" s="60"/>
      <c r="AA258" s="60"/>
      <c r="AB258" s="60"/>
      <c r="AC258" s="56"/>
      <c r="AD258" s="60"/>
      <c r="AE258" s="60"/>
      <c r="AF258" s="80"/>
      <c r="AG258" s="56"/>
      <c r="AH258" s="4"/>
      <c r="AI258" s="56"/>
      <c r="AJ258" s="109"/>
      <c r="AK258" s="56"/>
      <c r="AL258" s="56"/>
      <c r="AM258" s="56"/>
      <c r="AN258" s="56"/>
      <c r="AO258" s="82"/>
      <c r="AP258" s="82"/>
      <c r="AQ258" s="83"/>
      <c r="AR258" s="116"/>
      <c r="AS258" s="84"/>
      <c r="AT258" s="84"/>
      <c r="AU258" s="3"/>
      <c r="AV258" s="25">
        <v>60</v>
      </c>
      <c r="AW258" s="25">
        <v>86400</v>
      </c>
      <c r="AX258" s="25">
        <v>259200</v>
      </c>
      <c r="AY258" s="25">
        <v>604800</v>
      </c>
      <c r="AZ258" s="25">
        <v>864000</v>
      </c>
      <c r="BA258" s="25">
        <v>1209600</v>
      </c>
      <c r="BB258" s="43" t="s">
        <v>512</v>
      </c>
      <c r="BC258" s="53"/>
      <c r="BD258" s="53"/>
      <c r="BE258" s="53"/>
      <c r="BF258" s="53"/>
      <c r="BG258" s="53"/>
      <c r="BH258" s="53"/>
      <c r="BI258" s="53"/>
      <c r="BJ258" s="53"/>
      <c r="BK258" s="53"/>
      <c r="BL258" s="53"/>
      <c r="BM258" s="53"/>
      <c r="BN258" s="53"/>
      <c r="BO258" s="53"/>
      <c r="BP258" s="53"/>
      <c r="BQ258" s="53"/>
      <c r="BR258" s="53"/>
      <c r="BS258" s="53"/>
      <c r="BT258" s="53"/>
      <c r="BU258" s="53"/>
      <c r="BV258" s="53"/>
      <c r="BW258" s="53"/>
      <c r="BX258" s="53"/>
      <c r="BY258" s="53"/>
      <c r="BZ258" s="53"/>
      <c r="CA258" s="53"/>
      <c r="CB258" s="53"/>
      <c r="CC258" s="53"/>
      <c r="CD258" s="53"/>
      <c r="CE258" s="53"/>
      <c r="CF258" s="53"/>
      <c r="CG258" s="53"/>
      <c r="CH258" s="53"/>
      <c r="CI258" s="53"/>
      <c r="CJ258" s="53"/>
      <c r="CK258" s="53"/>
      <c r="CL258" s="53"/>
      <c r="CM258" s="53"/>
      <c r="CN258" s="53"/>
      <c r="CO258" s="53"/>
      <c r="CP258" s="53"/>
      <c r="CQ258" s="53"/>
      <c r="CR258" s="1"/>
      <c r="CS258" s="1"/>
      <c r="CT258" s="1"/>
      <c r="CU258" s="1"/>
    </row>
    <row r="259" spans="1:99" s="13" customFormat="1" ht="12" customHeight="1" x14ac:dyDescent="0.2">
      <c r="A259" s="65">
        <v>43903</v>
      </c>
      <c r="B259" s="1" t="s">
        <v>473</v>
      </c>
      <c r="C259" s="1" t="s">
        <v>474</v>
      </c>
      <c r="D259" s="60">
        <v>2020</v>
      </c>
      <c r="E259" s="76">
        <v>1</v>
      </c>
      <c r="F259" s="60">
        <v>144</v>
      </c>
      <c r="G259" s="60">
        <v>24</v>
      </c>
      <c r="H259" s="60"/>
      <c r="I259" s="60" t="s">
        <v>649</v>
      </c>
      <c r="J259" s="60" t="s">
        <v>475</v>
      </c>
      <c r="K259" s="60">
        <f>IF(J259="syllables",1,IF(J259="trigrams",2,IF(J259="strings",3,IF(J259="visual array",4,IF(J259="characters",5,IF(J259="letters",6,IF(J259="free forms",7,IF(J259="odors",8,IF(J259="words",9,IF(J259="pictures",10,IF(J259="object pictures",11,IF(J259="faces",12,IF(J259="names",13,IF(J259="idioms",14,IF(J259="grades",15,IF(J259="syllable-digit pairs",16,IF(J259="trigram-word pairs",17,IF(J259="word-digit pairs",18,IF(J259="English-Swahili pairs",19,IF(J259="spatial position",20,IF(J259="word pairs",21,IF(J259="word triads",22,IF(J259="generated words",23,IF(J259="word definition pairs",24,IF(J259="math problems",25,IF(J259="famous faces",26,IF(J259="famous names",27,IF(J259="famous voices",28,IF(J259="television programs",29,IF(J259="race horses",30,IF(J259="new vocabulary",31,IF(J259="sentences",32,IF(J259="concepts",33,IF(J259="ad slides",34,IF(J259="scenes",35,IF(J259="famous scenes",36,IF(J259="poems",37,IF(J259="walk",38,IF(J259="faces and events",39,IF(J259="events and names",40,IF(J259="flashbulb",41,IF(J259="stories",42,IF(J259="course material",43,IF(J259="autobiographical",44,IF(J259="novels",45,IF(J259="public events",46,"99"))))))))))))))))))))))))))))))))))))))))))))))</f>
        <v>32</v>
      </c>
      <c r="L259" s="60">
        <f>IF(J259="syllables",1,IF(J259="trigrams",1,IF(J259="strings",1,IF(J259="visual array",1,IF(J259="characters",1,IF(J259="letters",1,IF(J259="free forms",1,IF(J259="odors",2,IF(J259="words",2,IF(J259="pictures",2,IF(J259="object pictures",2,IF(J259="faces",2,IF(J259="names",2,IF(J259="idioms","2",IF(J259="grades",2,IF(J259="syllable-digit pairs",3,IF(J259="trigram-word pairs",3,IF(J259="word-digit pairs",3,IF(J259="English-Swahili pairs",3,IF(J259="spatial position",3,IF(J259="word pairs",4,IF(J259="word triads",4,IF(J259="generated words",4,IF(J259="word definition pairs",4,IF(J259="math problems",4,IF(J259="famous faces",4,IF(J259="famous names",4,IF(J259="famous voices",4,IF(J259="television programs",4,IF(J259="race horses",4,IF(J259="new vocabulary",4,IF(J259="sentences",5,IF(J259="concepts",5,IF(J259="ad slides",5,IF(J259="scenes",5,IF(J259="famous scenes",5,IF(J259="poems",6,IF(J259="walk",6,IF(J259="faces and events",6,IF(J259="events and names",6,IF(J259="flashbulb",7,IF(J259="stories",7,IF(J259="course material",7,IF(J259="autobiographical",7,IF(J259="novels",7,IF(J259="public events",7,"99"))))))))))))))))))))))))))))))))))))))))))))))</f>
        <v>5</v>
      </c>
      <c r="M259" s="60">
        <v>0</v>
      </c>
      <c r="N259" s="60">
        <v>2</v>
      </c>
      <c r="O259" s="60">
        <v>0</v>
      </c>
      <c r="P259" s="60"/>
      <c r="Q259" s="60" t="s">
        <v>34</v>
      </c>
      <c r="R259" s="60">
        <f>IF(Q259="Free Recall",1,IF(Q259="Cued Recall",2,IF(Q259="Recognition",3,IF(Q259="Multiple Choice",4,IF(Q259="Savings",5,IF(Q259="Stem Completion",6,IF(Q259="Fragment Completion",7,IF(Q259="anagram solution",8,IF(Q259="Matching",9,IF(Q259="Problem Solving",10,"99"))))))))))</f>
        <v>3</v>
      </c>
      <c r="S259" s="60" t="s">
        <v>15</v>
      </c>
      <c r="T259" s="60" t="s">
        <v>261</v>
      </c>
      <c r="U259" s="60">
        <f>IF(T259="within",1,0)</f>
        <v>0</v>
      </c>
      <c r="V259" s="60">
        <v>18</v>
      </c>
      <c r="W259" s="60">
        <f>F259*V259</f>
        <v>2592</v>
      </c>
      <c r="X259" s="60">
        <v>6</v>
      </c>
      <c r="Y259" s="76">
        <f>AV258</f>
        <v>60</v>
      </c>
      <c r="Z259" s="60" t="s">
        <v>476</v>
      </c>
      <c r="AA259" s="60">
        <v>1209600</v>
      </c>
      <c r="AB259" s="60" t="str">
        <f>IF(AA259&lt;60,"1",IF(AA259&lt;=43200,"2",IF(AA259&lt;=777600,"3","4")))</f>
        <v>4</v>
      </c>
      <c r="AC259" s="56">
        <f>AVERAGE(AV258:DA258)</f>
        <v>504010</v>
      </c>
      <c r="AD259" s="60" t="str">
        <f>IF(AC259&lt;60,"1",IF(AC259&lt;=43200,"2",IF(AC259&lt;=777600,"3","4")))</f>
        <v>3</v>
      </c>
      <c r="AE259" s="76">
        <f>AA259-Y259</f>
        <v>1209540</v>
      </c>
      <c r="AF259" s="80">
        <f>AV259</f>
        <v>0.7997685185185186</v>
      </c>
      <c r="AG259" s="56">
        <f>((AW259-AV259)+(AX259-AW259)+(AY259-AX259)+(AZ259-AY259)+(BA259-AZ259))/5</f>
        <v>-4.4444444444444488E-2</v>
      </c>
      <c r="AH259" s="4"/>
      <c r="AI259" s="56">
        <f>RSQ(AV259:BA259,AV258:BA258)</f>
        <v>0.59939760618864746</v>
      </c>
      <c r="AJ259" s="109">
        <f>SLOPE(AV259:BA259,AV258:BA258)</f>
        <v>-1.4454180495721897E-7</v>
      </c>
      <c r="AK259" s="56">
        <f>INTERCEPT(AV259:BA259,AV258:BA258)</f>
        <v>0.71000329289426567</v>
      </c>
      <c r="AL259" s="56">
        <f>INDEX(LINEST(LN(AV259:BA259),LN(AV258:BA258),TRUE,TRUE),3,1)</f>
        <v>0.91942521885389472</v>
      </c>
      <c r="AM259" s="56">
        <f>INDEX(LINEST(LN(AV259:BA259),LN(AV258:BA258)),1)</f>
        <v>-3.3609155370252476E-2</v>
      </c>
      <c r="AN259" s="56">
        <f>EXP(INDEX(LINEST(LN(AV259:BA259),LN(AV258:BA258)),1,2))</f>
        <v>0.93036843305304107</v>
      </c>
      <c r="AO259" s="82">
        <f>INDEX(LINEST((AV259:BA259),LN(AV258:BA258),TRUE,TRUE),3,1)</f>
        <v>0.9433009479165444</v>
      </c>
      <c r="AP259" s="82">
        <f>INDEX(LINEST((AV259:BA259),LN(AV258:BA258)),1)</f>
        <v>-2.2986231716034235E-2</v>
      </c>
      <c r="AQ259" s="83">
        <f>INDEX(LINEST(LN(AV259:BA259),SQRT(AV258:BA258),TRUE,TRUE),3,1)</f>
        <v>0.84440289865513285</v>
      </c>
      <c r="AR259" s="116">
        <f>INDEX(LINEST(LN(AV259:BA259),SQRT((AV258:BA258))),1)</f>
        <v>-2.9369942631143144E-4</v>
      </c>
      <c r="AS259" s="84">
        <f>INDEX(LINEST(1/(AV259:BA259),1/(SQRT(AV258:BA258)),TRUE,TRUE),3,1)</f>
        <v>0.73852144434427336</v>
      </c>
      <c r="AT259" s="84">
        <f>INDEX(LINEST(1/(AV259:BA259),1/SQRT(AV258:BA258)),1)</f>
        <v>-3.2506690190414016</v>
      </c>
      <c r="AU259" s="3"/>
      <c r="AV259" s="53">
        <v>0.7997685185185186</v>
      </c>
      <c r="AW259" s="53">
        <v>0.67129629629629628</v>
      </c>
      <c r="AX259" s="53">
        <v>0.60763888888888895</v>
      </c>
      <c r="AY259" s="53">
        <v>0.60995370370370372</v>
      </c>
      <c r="AZ259" s="53">
        <v>0.55671296296296313</v>
      </c>
      <c r="BA259" s="53">
        <v>0.57754629629629617</v>
      </c>
      <c r="BB259" s="43"/>
      <c r="BC259" s="53"/>
      <c r="BD259" s="53"/>
      <c r="BE259" s="53"/>
      <c r="BF259" s="53"/>
      <c r="BG259" s="53"/>
      <c r="BH259" s="53"/>
      <c r="BI259" s="53"/>
      <c r="BJ259" s="53"/>
      <c r="BK259" s="53"/>
      <c r="BL259" s="53"/>
      <c r="BM259" s="53"/>
      <c r="BN259" s="53"/>
      <c r="BO259" s="53"/>
      <c r="BP259" s="53"/>
      <c r="BQ259" s="53"/>
      <c r="BR259" s="53"/>
      <c r="BS259" s="53"/>
      <c r="BT259" s="53"/>
      <c r="BU259" s="53"/>
      <c r="BV259" s="53"/>
      <c r="BW259" s="53"/>
      <c r="BX259" s="53"/>
      <c r="BY259" s="53"/>
      <c r="BZ259" s="53"/>
      <c r="CA259" s="53"/>
      <c r="CB259" s="53"/>
      <c r="CC259" s="53"/>
      <c r="CD259" s="53"/>
      <c r="CE259" s="53"/>
      <c r="CF259" s="53"/>
      <c r="CG259" s="53"/>
      <c r="CH259" s="53"/>
      <c r="CI259" s="53"/>
      <c r="CJ259" s="53"/>
      <c r="CK259" s="53"/>
      <c r="CL259" s="53"/>
      <c r="CM259" s="53"/>
      <c r="CN259" s="53"/>
      <c r="CO259" s="53"/>
      <c r="CP259" s="53"/>
      <c r="CQ259" s="53"/>
      <c r="CR259" s="1"/>
      <c r="CS259" s="1"/>
      <c r="CT259" s="1"/>
      <c r="CU259" s="1"/>
    </row>
    <row r="260" spans="1:99" s="13" customFormat="1" ht="12" customHeight="1" x14ac:dyDescent="0.2">
      <c r="A260" s="65">
        <v>43903</v>
      </c>
      <c r="D260" s="61"/>
      <c r="E260" s="76"/>
      <c r="F260" s="60"/>
      <c r="G260" s="60"/>
      <c r="H260" s="60"/>
      <c r="I260" s="60"/>
      <c r="J260" s="60"/>
      <c r="K260" s="64"/>
      <c r="L260" s="64"/>
      <c r="M260" s="60"/>
      <c r="N260" s="60"/>
      <c r="O260" s="60"/>
      <c r="P260" s="60"/>
      <c r="Q260" s="60"/>
      <c r="R260" s="60"/>
      <c r="S260" s="60"/>
      <c r="T260" s="60"/>
      <c r="U260" s="60"/>
      <c r="V260" s="60"/>
      <c r="W260" s="60"/>
      <c r="X260" s="60"/>
      <c r="Y260" s="76"/>
      <c r="Z260" s="60"/>
      <c r="AA260" s="60"/>
      <c r="AB260" s="60"/>
      <c r="AC260" s="56"/>
      <c r="AD260" s="60"/>
      <c r="AE260" s="60"/>
      <c r="AF260" s="80"/>
      <c r="AG260" s="56"/>
      <c r="AH260" s="4"/>
      <c r="AI260" s="56"/>
      <c r="AJ260" s="109"/>
      <c r="AK260" s="56"/>
      <c r="AL260" s="56"/>
      <c r="AM260" s="56"/>
      <c r="AN260" s="56"/>
      <c r="AO260" s="82"/>
      <c r="AP260" s="82"/>
      <c r="AQ260" s="83"/>
      <c r="AR260" s="116"/>
      <c r="AS260" s="84"/>
      <c r="AT260" s="84"/>
      <c r="AU260" s="3"/>
      <c r="AV260" s="25">
        <v>60</v>
      </c>
      <c r="AW260" s="25">
        <v>86400</v>
      </c>
      <c r="AX260" s="25">
        <v>259200</v>
      </c>
      <c r="AY260" s="25">
        <v>604800</v>
      </c>
      <c r="AZ260" s="25">
        <v>864000</v>
      </c>
      <c r="BA260" s="25">
        <v>1209600</v>
      </c>
      <c r="BB260" s="43"/>
      <c r="BC260" s="53"/>
      <c r="BD260" s="53"/>
      <c r="BE260" s="53"/>
      <c r="BF260" s="53"/>
      <c r="BG260" s="53"/>
      <c r="BH260" s="53"/>
      <c r="BI260" s="53"/>
      <c r="BJ260" s="53"/>
      <c r="BK260" s="53"/>
      <c r="BL260" s="53"/>
      <c r="BM260" s="53"/>
      <c r="BN260" s="53"/>
      <c r="BO260" s="53"/>
      <c r="BP260" s="53"/>
      <c r="BQ260" s="53"/>
      <c r="BR260" s="53"/>
      <c r="BS260" s="53"/>
      <c r="BT260" s="53"/>
      <c r="BU260" s="53"/>
      <c r="BV260" s="53"/>
      <c r="BW260" s="53"/>
      <c r="BX260" s="53"/>
      <c r="BY260" s="53"/>
      <c r="BZ260" s="53"/>
      <c r="CA260" s="53"/>
      <c r="CB260" s="53"/>
      <c r="CC260" s="53"/>
      <c r="CD260" s="53"/>
      <c r="CE260" s="53"/>
      <c r="CF260" s="53"/>
      <c r="CG260" s="53"/>
      <c r="CH260" s="53"/>
      <c r="CI260" s="53"/>
      <c r="CJ260" s="53"/>
      <c r="CK260" s="53"/>
      <c r="CL260" s="53"/>
      <c r="CM260" s="53"/>
      <c r="CN260" s="53"/>
      <c r="CO260" s="53"/>
      <c r="CP260" s="53"/>
      <c r="CQ260" s="53"/>
      <c r="CR260" s="1"/>
      <c r="CS260" s="1"/>
      <c r="CT260" s="1"/>
      <c r="CU260" s="1"/>
    </row>
    <row r="261" spans="1:99" s="13" customFormat="1" ht="12" customHeight="1" x14ac:dyDescent="0.2">
      <c r="A261" s="65">
        <v>43903</v>
      </c>
      <c r="B261" s="1" t="s">
        <v>473</v>
      </c>
      <c r="C261" s="1" t="s">
        <v>474</v>
      </c>
      <c r="D261" s="60">
        <v>2020</v>
      </c>
      <c r="E261" s="76">
        <v>1</v>
      </c>
      <c r="F261" s="60">
        <v>144</v>
      </c>
      <c r="G261" s="60">
        <v>24</v>
      </c>
      <c r="H261" s="60"/>
      <c r="I261" s="60" t="s">
        <v>682</v>
      </c>
      <c r="J261" s="60" t="s">
        <v>475</v>
      </c>
      <c r="K261" s="60">
        <f>IF(J261="syllables",1,IF(J261="trigrams",2,IF(J261="strings",3,IF(J261="visual array",4,IF(J261="characters",5,IF(J261="letters",6,IF(J261="free forms",7,IF(J261="odors",8,IF(J261="words",9,IF(J261="pictures",10,IF(J261="object pictures",11,IF(J261="faces",12,IF(J261="names",13,IF(J261="idioms",14,IF(J261="grades",15,IF(J261="syllable-digit pairs",16,IF(J261="trigram-word pairs",17,IF(J261="word-digit pairs",18,IF(J261="English-Swahili pairs",19,IF(J261="spatial position",20,IF(J261="word pairs",21,IF(J261="word triads",22,IF(J261="generated words",23,IF(J261="word definition pairs",24,IF(J261="math problems",25,IF(J261="famous faces",26,IF(J261="famous names",27,IF(J261="famous voices",28,IF(J261="television programs",29,IF(J261="race horses",30,IF(J261="new vocabulary",31,IF(J261="sentences",32,IF(J261="concepts",33,IF(J261="ad slides",34,IF(J261="scenes",35,IF(J261="famous scenes",36,IF(J261="poems",37,IF(J261="walk",38,IF(J261="faces and events",39,IF(J261="events and names",40,IF(J261="flashbulb",41,IF(J261="stories",42,IF(J261="course material",43,IF(J261="autobiographical",44,IF(J261="novels",45,IF(J261="public events",46,"99"))))))))))))))))))))))))))))))))))))))))))))))</f>
        <v>32</v>
      </c>
      <c r="L261" s="60">
        <f>IF(J261="syllables",1,IF(J261="trigrams",1,IF(J261="strings",1,IF(J261="visual array",1,IF(J261="characters",1,IF(J261="letters",1,IF(J261="free forms",1,IF(J261="odors",2,IF(J261="words",2,IF(J261="pictures",2,IF(J261="object pictures",2,IF(J261="faces",2,IF(J261="names",2,IF(J261="idioms","2",IF(J261="grades",2,IF(J261="syllable-digit pairs",3,IF(J261="trigram-word pairs",3,IF(J261="word-digit pairs",3,IF(J261="English-Swahili pairs",3,IF(J261="spatial position",3,IF(J261="word pairs",4,IF(J261="word triads",4,IF(J261="generated words",4,IF(J261="word definition pairs",4,IF(J261="math problems",4,IF(J261="famous faces",4,IF(J261="famous names",4,IF(J261="famous voices",4,IF(J261="television programs",4,IF(J261="race horses",4,IF(J261="new vocabulary",4,IF(J261="sentences",5,IF(J261="concepts",5,IF(J261="ad slides",5,IF(J261="scenes",5,IF(J261="famous scenes",5,IF(J261="poems",6,IF(J261="walk",6,IF(J261="faces and events",6,IF(J261="events and names",6,IF(J261="flashbulb",7,IF(J261="stories",7,IF(J261="course material",7,IF(J261="autobiographical",7,IF(J261="novels",7,IF(J261="public events",7,"99"))))))))))))))))))))))))))))))))))))))))))))))</f>
        <v>5</v>
      </c>
      <c r="M261" s="60">
        <v>1</v>
      </c>
      <c r="N261" s="60">
        <v>4</v>
      </c>
      <c r="O261" s="60">
        <v>0</v>
      </c>
      <c r="P261" s="60"/>
      <c r="Q261" s="60" t="s">
        <v>34</v>
      </c>
      <c r="R261" s="60">
        <f>IF(Q261="Free Recall",1,IF(Q261="Cued Recall",2,IF(Q261="Recognition",3,IF(Q261="Multiple Choice",4,IF(Q261="Savings",5,IF(Q261="Stem Completion",6,IF(Q261="Fragment Completion",7,IF(Q261="anagram solution",8,IF(Q261="Matching",9,IF(Q261="Problem Solving",10,"99"))))))))))</f>
        <v>3</v>
      </c>
      <c r="S261" s="60" t="s">
        <v>15</v>
      </c>
      <c r="T261" s="60" t="s">
        <v>261</v>
      </c>
      <c r="U261" s="60">
        <f>IF(T261="within",1,0)</f>
        <v>0</v>
      </c>
      <c r="V261" s="60">
        <v>18</v>
      </c>
      <c r="W261" s="60">
        <f>F261*V261</f>
        <v>2592</v>
      </c>
      <c r="X261" s="60">
        <v>6</v>
      </c>
      <c r="Y261" s="76">
        <f>AV260</f>
        <v>60</v>
      </c>
      <c r="Z261" s="60" t="s">
        <v>476</v>
      </c>
      <c r="AA261" s="60">
        <v>1209600</v>
      </c>
      <c r="AB261" s="60" t="str">
        <f>IF(AA261&lt;60,"1",IF(AA261&lt;=43200,"2",IF(AA261&lt;=777600,"3","4")))</f>
        <v>4</v>
      </c>
      <c r="AC261" s="56">
        <f>AVERAGE(AV260:DA260)</f>
        <v>504010</v>
      </c>
      <c r="AD261" s="60" t="str">
        <f>IF(AC261&lt;60,"1",IF(AC261&lt;=43200,"2",IF(AC261&lt;=777600,"3","4")))</f>
        <v>3</v>
      </c>
      <c r="AE261" s="76">
        <f>AA261-Y261</f>
        <v>1209540</v>
      </c>
      <c r="AF261" s="80">
        <f>AV261</f>
        <v>0.90509259259259256</v>
      </c>
      <c r="AG261" s="56">
        <f>((AW261-AV261)+(AX261-AW261)+(AY261-AX261)+(AZ261-AY261)+(BA261-AZ261))/5</f>
        <v>-5.2546296296296299E-2</v>
      </c>
      <c r="AH261" s="4"/>
      <c r="AI261" s="56">
        <f>RSQ(AV261:BA261,AV260:BA260)</f>
        <v>0.87202622027826249</v>
      </c>
      <c r="AJ261" s="109">
        <f>SLOPE(AV261:BA261,AV260:BA260)</f>
        <v>-1.9579104073363328E-7</v>
      </c>
      <c r="AK261" s="56">
        <f>INTERCEPT(AV261:BA261,AV260:BA260)</f>
        <v>0.8700926794771956</v>
      </c>
      <c r="AL261" s="56">
        <f>INDEX(LINEST(LN(AV261:BA261),LN(AV260:BA260),TRUE,TRUE),3,1)</f>
        <v>0.63007191650754135</v>
      </c>
      <c r="AM261" s="56">
        <f>INDEX(LINEST(LN(AV261:BA261),LN(AV260:BA260)),1)</f>
        <v>-2.7351483884457073E-2</v>
      </c>
      <c r="AN261" s="56">
        <f>EXP(INDEX(LINEST(LN(AV261:BA261),LN(AV260:BA260)),1,2))</f>
        <v>1.048844636127074</v>
      </c>
      <c r="AO261" s="82">
        <f>INDEX(LINEST((AV261:BA261),LN(AV260:BA260),TRUE,TRUE),3,1)</f>
        <v>0.66329630856597788</v>
      </c>
      <c r="AP261" s="82">
        <f>INDEX(LINEST((AV261:BA261),LN(AV260:BA260)),1)</f>
        <v>-2.1646540915901034E-2</v>
      </c>
      <c r="AQ261" s="83">
        <f>INDEX(LINEST(LN(AV261:BA261),SQRT(AV260:BA260),TRUE,TRUE),3,1)</f>
        <v>0.91890438195743196</v>
      </c>
      <c r="AR261" s="116">
        <f>INDEX(LINEST(LN(AV261:BA261),SQRT((AV260:BA260))),1)</f>
        <v>-3.0119644439943603E-4</v>
      </c>
      <c r="AS261" s="84">
        <f>INDEX(LINEST(1/(AV261:BA261),1/(SQRT(AV260:BA260)),TRUE,TRUE),3,1)</f>
        <v>0.38362312279226013</v>
      </c>
      <c r="AT261" s="84">
        <f>INDEX(LINEST(1/(AV261:BA261),1/SQRT(AV260:BA260)),1)</f>
        <v>-2.0132458530117385</v>
      </c>
      <c r="AU261" s="3"/>
      <c r="AV261" s="53">
        <v>0.90509259259259256</v>
      </c>
      <c r="AW261" s="53">
        <v>0.86689814814814825</v>
      </c>
      <c r="AX261" s="53">
        <v>0.75115740740740744</v>
      </c>
      <c r="AY261" s="53">
        <v>0.76504629629629617</v>
      </c>
      <c r="AZ261" s="53">
        <v>0.69791666666666663</v>
      </c>
      <c r="BA261" s="53">
        <v>0.64236111111111105</v>
      </c>
      <c r="BB261" s="43"/>
      <c r="BC261" s="53"/>
      <c r="BD261" s="53"/>
      <c r="BE261" s="53"/>
      <c r="BF261" s="53"/>
      <c r="BG261" s="53"/>
      <c r="BH261" s="53"/>
      <c r="BI261" s="53"/>
      <c r="BJ261" s="53"/>
      <c r="BK261" s="53"/>
      <c r="BL261" s="53"/>
      <c r="BM261" s="53"/>
      <c r="BN261" s="53"/>
      <c r="BO261" s="53"/>
      <c r="BP261" s="53"/>
      <c r="BQ261" s="53"/>
      <c r="BR261" s="53"/>
      <c r="BS261" s="53"/>
      <c r="BT261" s="53"/>
      <c r="BU261" s="53"/>
      <c r="BV261" s="53"/>
      <c r="BW261" s="53"/>
      <c r="BX261" s="53"/>
      <c r="BY261" s="53"/>
      <c r="BZ261" s="53"/>
      <c r="CA261" s="53"/>
      <c r="CB261" s="53"/>
      <c r="CC261" s="53"/>
      <c r="CD261" s="53"/>
      <c r="CE261" s="53"/>
      <c r="CF261" s="53"/>
      <c r="CG261" s="53"/>
      <c r="CH261" s="53"/>
      <c r="CI261" s="53"/>
      <c r="CJ261" s="53"/>
      <c r="CK261" s="53"/>
      <c r="CL261" s="53"/>
      <c r="CM261" s="53"/>
      <c r="CN261" s="53"/>
      <c r="CO261" s="53"/>
      <c r="CP261" s="53"/>
      <c r="CQ261" s="53"/>
      <c r="CR261" s="1"/>
      <c r="CS261" s="1"/>
      <c r="CT261" s="1"/>
      <c r="CU261" s="1"/>
    </row>
    <row r="262" spans="1:99" s="13" customFormat="1" ht="12" customHeight="1" x14ac:dyDescent="0.2">
      <c r="A262" s="65">
        <v>43903</v>
      </c>
      <c r="D262" s="61"/>
      <c r="E262" s="76"/>
      <c r="F262" s="60"/>
      <c r="G262" s="60"/>
      <c r="H262" s="60"/>
      <c r="I262" s="60"/>
      <c r="J262" s="60"/>
      <c r="K262" s="64"/>
      <c r="L262" s="64"/>
      <c r="M262" s="60"/>
      <c r="N262" s="60"/>
      <c r="O262" s="60"/>
      <c r="P262" s="60"/>
      <c r="Q262" s="60"/>
      <c r="R262" s="60"/>
      <c r="S262" s="60"/>
      <c r="T262" s="60"/>
      <c r="U262" s="60"/>
      <c r="V262" s="60"/>
      <c r="W262" s="60"/>
      <c r="X262" s="60"/>
      <c r="Y262" s="76"/>
      <c r="Z262" s="60"/>
      <c r="AA262" s="60"/>
      <c r="AB262" s="60"/>
      <c r="AC262" s="56"/>
      <c r="AD262" s="60"/>
      <c r="AE262" s="60"/>
      <c r="AF262" s="80"/>
      <c r="AG262" s="56"/>
      <c r="AH262" s="4"/>
      <c r="AI262" s="56"/>
      <c r="AJ262" s="109"/>
      <c r="AK262" s="56"/>
      <c r="AL262" s="56"/>
      <c r="AM262" s="56"/>
      <c r="AN262" s="56"/>
      <c r="AO262" s="82"/>
      <c r="AP262" s="82"/>
      <c r="AQ262" s="83"/>
      <c r="AR262" s="116"/>
      <c r="AS262" s="84"/>
      <c r="AT262" s="84"/>
      <c r="AU262" s="3"/>
      <c r="AV262" s="25">
        <v>60</v>
      </c>
      <c r="AW262" s="25">
        <v>86400</v>
      </c>
      <c r="AX262" s="25">
        <v>259200</v>
      </c>
      <c r="AY262" s="25">
        <v>604800</v>
      </c>
      <c r="AZ262" s="25">
        <v>864000</v>
      </c>
      <c r="BA262" s="25">
        <v>1209600</v>
      </c>
      <c r="BB262" s="43"/>
      <c r="BC262" s="53"/>
      <c r="BD262" s="53"/>
      <c r="BE262" s="53"/>
      <c r="BF262" s="53"/>
      <c r="BG262" s="53"/>
      <c r="BH262" s="53"/>
      <c r="BI262" s="53"/>
      <c r="BJ262" s="53"/>
      <c r="BK262" s="53"/>
      <c r="BL262" s="53"/>
      <c r="BM262" s="53"/>
      <c r="BN262" s="53"/>
      <c r="BO262" s="53"/>
      <c r="BP262" s="53"/>
      <c r="BQ262" s="53"/>
      <c r="BR262" s="53"/>
      <c r="BS262" s="53"/>
      <c r="BT262" s="53"/>
      <c r="BU262" s="53"/>
      <c r="BV262" s="53"/>
      <c r="BW262" s="53"/>
      <c r="BX262" s="53"/>
      <c r="BY262" s="53"/>
      <c r="BZ262" s="53"/>
      <c r="CA262" s="53"/>
      <c r="CB262" s="53"/>
      <c r="CC262" s="53"/>
      <c r="CD262" s="53"/>
      <c r="CE262" s="53"/>
      <c r="CF262" s="53"/>
      <c r="CG262" s="53"/>
      <c r="CH262" s="53"/>
      <c r="CI262" s="53"/>
      <c r="CJ262" s="53"/>
      <c r="CK262" s="53"/>
      <c r="CL262" s="53"/>
      <c r="CM262" s="53"/>
      <c r="CN262" s="53"/>
      <c r="CO262" s="53"/>
      <c r="CP262" s="53"/>
      <c r="CQ262" s="53"/>
      <c r="CR262" s="1"/>
      <c r="CS262" s="1"/>
      <c r="CT262" s="1"/>
      <c r="CU262" s="1"/>
    </row>
    <row r="263" spans="1:99" s="13" customFormat="1" ht="12" customHeight="1" x14ac:dyDescent="0.2">
      <c r="A263" s="65">
        <v>43903</v>
      </c>
      <c r="B263" s="1" t="s">
        <v>473</v>
      </c>
      <c r="C263" s="1" t="s">
        <v>474</v>
      </c>
      <c r="D263" s="60">
        <v>2020</v>
      </c>
      <c r="E263" s="76">
        <v>1</v>
      </c>
      <c r="F263" s="60">
        <v>144</v>
      </c>
      <c r="G263" s="60">
        <v>24</v>
      </c>
      <c r="H263" s="60"/>
      <c r="I263" s="60" t="s">
        <v>683</v>
      </c>
      <c r="J263" s="60" t="s">
        <v>475</v>
      </c>
      <c r="K263" s="60">
        <f>IF(J263="syllables",1,IF(J263="trigrams",2,IF(J263="strings",3,IF(J263="visual array",4,IF(J263="characters",5,IF(J263="letters",6,IF(J263="free forms",7,IF(J263="odors",8,IF(J263="words",9,IF(J263="pictures",10,IF(J263="object pictures",11,IF(J263="faces",12,IF(J263="names",13,IF(J263="idioms",14,IF(J263="grades",15,IF(J263="syllable-digit pairs",16,IF(J263="trigram-word pairs",17,IF(J263="word-digit pairs",18,IF(J263="English-Swahili pairs",19,IF(J263="spatial position",20,IF(J263="word pairs",21,IF(J263="word triads",22,IF(J263="generated words",23,IF(J263="word definition pairs",24,IF(J263="math problems",25,IF(J263="famous faces",26,IF(J263="famous names",27,IF(J263="famous voices",28,IF(J263="television programs",29,IF(J263="race horses",30,IF(J263="new vocabulary",31,IF(J263="sentences",32,IF(J263="concepts",33,IF(J263="ad slides",34,IF(J263="scenes",35,IF(J263="famous scenes",36,IF(J263="poems",37,IF(J263="walk",38,IF(J263="faces and events",39,IF(J263="events and names",40,IF(J263="flashbulb",41,IF(J263="stories",42,IF(J263="course material",43,IF(J263="autobiographical",44,IF(J263="novels",45,IF(J263="public events",46,"99"))))))))))))))))))))))))))))))))))))))))))))))</f>
        <v>32</v>
      </c>
      <c r="L263" s="60">
        <f>IF(J263="syllables",1,IF(J263="trigrams",1,IF(J263="strings",1,IF(J263="visual array",1,IF(J263="characters",1,IF(J263="letters",1,IF(J263="free forms",1,IF(J263="odors",2,IF(J263="words",2,IF(J263="pictures",2,IF(J263="object pictures",2,IF(J263="faces",2,IF(J263="names",2,IF(J263="idioms","2",IF(J263="grades",2,IF(J263="syllable-digit pairs",3,IF(J263="trigram-word pairs",3,IF(J263="word-digit pairs",3,IF(J263="English-Swahili pairs",3,IF(J263="spatial position",3,IF(J263="word pairs",4,IF(J263="word triads",4,IF(J263="generated words",4,IF(J263="word definition pairs",4,IF(J263="math problems",4,IF(J263="famous faces",4,IF(J263="famous names",4,IF(J263="famous voices",4,IF(J263="television programs",4,IF(J263="race horses",4,IF(J263="new vocabulary",4,IF(J263="sentences",5,IF(J263="concepts",5,IF(J263="ad slides",5,IF(J263="scenes",5,IF(J263="famous scenes",5,IF(J263="poems",6,IF(J263="walk",6,IF(J263="faces and events",6,IF(J263="events and names",6,IF(J263="flashbulb",7,IF(J263="stories",7,IF(J263="course material",7,IF(J263="autobiographical",7,IF(J263="novels",7,IF(J263="public events",7,"99"))))))))))))))))))))))))))))))))))))))))))))))</f>
        <v>5</v>
      </c>
      <c r="M263" s="60">
        <v>1</v>
      </c>
      <c r="N263" s="60">
        <v>4</v>
      </c>
      <c r="O263" s="60">
        <v>0</v>
      </c>
      <c r="P263" s="60"/>
      <c r="Q263" s="60" t="s">
        <v>34</v>
      </c>
      <c r="R263" s="60">
        <f>IF(Q263="Free Recall",1,IF(Q263="Cued Recall",2,IF(Q263="Recognition",3,IF(Q263="Multiple Choice",4,IF(Q263="Savings",5,IF(Q263="Stem Completion",6,IF(Q263="Fragment Completion",7,IF(Q263="anagram solution",8,IF(Q263="Matching",9,IF(Q263="Problem Solving",10,"99"))))))))))</f>
        <v>3</v>
      </c>
      <c r="S263" s="60" t="s">
        <v>15</v>
      </c>
      <c r="T263" s="60" t="s">
        <v>261</v>
      </c>
      <c r="U263" s="60">
        <f>IF(T263="within",1,0)</f>
        <v>0</v>
      </c>
      <c r="V263" s="60">
        <v>18</v>
      </c>
      <c r="W263" s="60">
        <f>F263*V263</f>
        <v>2592</v>
      </c>
      <c r="X263" s="60">
        <v>6</v>
      </c>
      <c r="Y263" s="76">
        <f>AV262</f>
        <v>60</v>
      </c>
      <c r="Z263" s="60" t="s">
        <v>476</v>
      </c>
      <c r="AA263" s="60">
        <v>1209600</v>
      </c>
      <c r="AB263" s="60" t="str">
        <f>IF(AA263&lt;60,"1",IF(AA263&lt;=43200,"2",IF(AA263&lt;=777600,"3","4")))</f>
        <v>4</v>
      </c>
      <c r="AC263" s="56">
        <f>AVERAGE(AV262:DA262)</f>
        <v>504010</v>
      </c>
      <c r="AD263" s="60" t="str">
        <f>IF(AC263&lt;60,"1",IF(AC263&lt;=43200,"2",IF(AC263&lt;=777600,"3","4")))</f>
        <v>3</v>
      </c>
      <c r="AE263" s="76">
        <f>AA263-Y263</f>
        <v>1209540</v>
      </c>
      <c r="AF263" s="80">
        <f>AV263</f>
        <v>0.97106481481481455</v>
      </c>
      <c r="AG263" s="56">
        <f>((AW263-AV263)+(AX263-AW263)+(AY263-AX263)+(AZ263-AY263)+(BA263-AZ263))/5</f>
        <v>-3.6805555555555536E-2</v>
      </c>
      <c r="AH263" s="4"/>
      <c r="AI263" s="56">
        <f>RSQ(AV263:BA263,AV262:BA262)</f>
        <v>0.95813308557581955</v>
      </c>
      <c r="AJ263" s="109">
        <f>SLOPE(AV263:BA263,AV262:BA262)</f>
        <v>-1.535308651753127E-7</v>
      </c>
      <c r="AK263" s="56">
        <f>INTERCEPT(AV263:BA263,AV262:BA262)</f>
        <v>0.95508170864095987</v>
      </c>
      <c r="AL263" s="56">
        <f>INDEX(LINEST(LN(AV263:BA263),LN(AV262:BA262),TRUE,TRUE),3,1)</f>
        <v>0.60763874959763764</v>
      </c>
      <c r="AM263" s="56">
        <f>INDEX(LINEST(LN(AV263:BA263),LN(AV262:BA262)),1)</f>
        <v>-1.7680539009255279E-2</v>
      </c>
      <c r="AN263" s="56">
        <f>EXP(INDEX(LINEST(LN(AV263:BA263),LN(AV262:BA262)),1,2))</f>
        <v>1.072103200841718</v>
      </c>
      <c r="AO263" s="82">
        <f>INDEX(LINEST((AV263:BA263),LN(AV262:BA262),TRUE,TRUE),3,1)</f>
        <v>0.62571672665906986</v>
      </c>
      <c r="AP263" s="82">
        <f>INDEX(LINEST((AV263:BA263),LN(AV262:BA262)),1)</f>
        <v>-1.5728175060977869E-2</v>
      </c>
      <c r="AQ263" s="83">
        <f>INDEX(LINEST(LN(AV263:BA263),SQRT(AV262:BA262),TRUE,TRUE),3,1)</f>
        <v>0.9754830067836785</v>
      </c>
      <c r="AR263" s="116">
        <f>INDEX(LINEST(LN(AV263:BA263),SQRT((AV262:BA262))),1)</f>
        <v>-2.0427323759287933E-4</v>
      </c>
      <c r="AS263" s="84">
        <f>INDEX(LINEST(1/(AV263:BA263),1/(SQRT(AV262:BA262)),TRUE,TRUE),3,1)</f>
        <v>0.35969147120495071</v>
      </c>
      <c r="AT263" s="84">
        <f>INDEX(LINEST(1/(AV263:BA263),1/SQRT(AV262:BA262)),1)</f>
        <v>-1.1208027037702282</v>
      </c>
      <c r="AU263" s="3"/>
      <c r="AV263" s="53">
        <v>0.97106481481481455</v>
      </c>
      <c r="AW263" s="53">
        <v>0.94444444444444431</v>
      </c>
      <c r="AX263" s="53">
        <v>0.90856481481481477</v>
      </c>
      <c r="AY263" s="53">
        <v>0.84027777777777779</v>
      </c>
      <c r="AZ263" s="53">
        <v>0.81481481481481488</v>
      </c>
      <c r="BA263" s="53">
        <v>0.78703703703703687</v>
      </c>
      <c r="BB263" s="43"/>
      <c r="BC263" s="53"/>
      <c r="BD263" s="53"/>
      <c r="BE263" s="53"/>
      <c r="BF263" s="53"/>
      <c r="BG263" s="53"/>
      <c r="BH263" s="53"/>
      <c r="BI263" s="53"/>
      <c r="BJ263" s="53"/>
      <c r="BK263" s="53"/>
      <c r="BL263" s="53"/>
      <c r="BM263" s="53"/>
      <c r="BN263" s="53"/>
      <c r="BO263" s="53"/>
      <c r="BP263" s="53"/>
      <c r="BQ263" s="53"/>
      <c r="BR263" s="53"/>
      <c r="BS263" s="53"/>
      <c r="BT263" s="53"/>
      <c r="BU263" s="53"/>
      <c r="BV263" s="53"/>
      <c r="BW263" s="53"/>
      <c r="BX263" s="53"/>
      <c r="BY263" s="53"/>
      <c r="BZ263" s="53"/>
      <c r="CA263" s="53"/>
      <c r="CB263" s="53"/>
      <c r="CC263" s="53"/>
      <c r="CD263" s="53"/>
      <c r="CE263" s="53"/>
      <c r="CF263" s="53"/>
      <c r="CG263" s="53"/>
      <c r="CH263" s="53"/>
      <c r="CI263" s="53"/>
      <c r="CJ263" s="53"/>
      <c r="CK263" s="53"/>
      <c r="CL263" s="53"/>
      <c r="CM263" s="53"/>
      <c r="CN263" s="53"/>
      <c r="CO263" s="53"/>
      <c r="CP263" s="53"/>
      <c r="CQ263" s="53"/>
      <c r="CR263" s="1"/>
      <c r="CS263" s="1"/>
      <c r="CT263" s="1"/>
      <c r="CU263" s="1"/>
    </row>
    <row r="264" spans="1:99" s="13" customFormat="1" ht="12" customHeight="1" x14ac:dyDescent="0.2">
      <c r="A264" s="65">
        <v>43903</v>
      </c>
      <c r="D264" s="61"/>
      <c r="E264" s="76"/>
      <c r="F264" s="60"/>
      <c r="G264" s="60"/>
      <c r="H264" s="60"/>
      <c r="I264" s="60"/>
      <c r="J264" s="60"/>
      <c r="K264" s="64"/>
      <c r="L264" s="64"/>
      <c r="M264" s="60"/>
      <c r="N264" s="61"/>
      <c r="O264" s="60"/>
      <c r="P264" s="60"/>
      <c r="Q264" s="60"/>
      <c r="R264" s="60"/>
      <c r="S264" s="60"/>
      <c r="T264" s="60"/>
      <c r="U264" s="60"/>
      <c r="V264" s="60"/>
      <c r="W264" s="60"/>
      <c r="X264" s="60"/>
      <c r="Y264" s="76"/>
      <c r="Z264" s="60"/>
      <c r="AA264" s="60"/>
      <c r="AB264" s="60"/>
      <c r="AC264" s="56"/>
      <c r="AD264" s="60"/>
      <c r="AE264" s="60"/>
      <c r="AF264" s="80"/>
      <c r="AG264" s="56"/>
      <c r="AH264" s="4"/>
      <c r="AI264" s="56"/>
      <c r="AJ264" s="109"/>
      <c r="AK264" s="56"/>
      <c r="AL264" s="56"/>
      <c r="AM264" s="56"/>
      <c r="AN264" s="56"/>
      <c r="AO264" s="82"/>
      <c r="AP264" s="82"/>
      <c r="AQ264" s="83"/>
      <c r="AR264" s="116"/>
      <c r="AS264" s="84"/>
      <c r="AT264" s="84"/>
      <c r="AU264" s="3"/>
      <c r="AV264" s="25">
        <v>60</v>
      </c>
      <c r="AW264" s="25">
        <v>86400</v>
      </c>
      <c r="AX264" s="25">
        <v>259200</v>
      </c>
      <c r="AY264" s="25">
        <v>604800</v>
      </c>
      <c r="AZ264" s="25">
        <v>864000</v>
      </c>
      <c r="BA264" s="25">
        <v>1209600</v>
      </c>
      <c r="BB264" s="43"/>
      <c r="BC264" s="53"/>
      <c r="BD264" s="53"/>
      <c r="BE264" s="53"/>
      <c r="BF264" s="53"/>
      <c r="BG264" s="53"/>
      <c r="BH264" s="53"/>
      <c r="BI264" s="53"/>
      <c r="BJ264" s="53"/>
      <c r="BK264" s="53"/>
      <c r="BL264" s="53"/>
      <c r="BM264" s="53"/>
      <c r="BN264" s="53"/>
      <c r="BO264" s="53"/>
      <c r="BP264" s="53"/>
      <c r="BQ264" s="53"/>
      <c r="BR264" s="53"/>
      <c r="BS264" s="53"/>
      <c r="BT264" s="53"/>
      <c r="BU264" s="53"/>
      <c r="BV264" s="53"/>
      <c r="BW264" s="53"/>
      <c r="BX264" s="53"/>
      <c r="BY264" s="53"/>
      <c r="BZ264" s="53"/>
      <c r="CA264" s="53"/>
      <c r="CB264" s="53"/>
      <c r="CC264" s="53"/>
      <c r="CD264" s="53"/>
      <c r="CE264" s="53"/>
      <c r="CF264" s="53"/>
      <c r="CG264" s="53"/>
      <c r="CH264" s="53"/>
      <c r="CI264" s="53"/>
      <c r="CJ264" s="53"/>
      <c r="CK264" s="53"/>
      <c r="CL264" s="53"/>
      <c r="CM264" s="53"/>
      <c r="CN264" s="53"/>
      <c r="CO264" s="53"/>
      <c r="CP264" s="53"/>
      <c r="CQ264" s="53"/>
      <c r="CR264" s="1"/>
      <c r="CS264" s="1"/>
      <c r="CT264" s="1"/>
      <c r="CU264" s="1"/>
    </row>
    <row r="265" spans="1:99" s="13" customFormat="1" ht="12" customHeight="1" x14ac:dyDescent="0.2">
      <c r="A265" s="65">
        <v>43903</v>
      </c>
      <c r="B265" s="1" t="s">
        <v>473</v>
      </c>
      <c r="C265" s="1" t="s">
        <v>474</v>
      </c>
      <c r="D265" s="60">
        <v>2020</v>
      </c>
      <c r="E265" s="76">
        <v>2</v>
      </c>
      <c r="F265" s="60">
        <v>144</v>
      </c>
      <c r="G265" s="60">
        <v>24</v>
      </c>
      <c r="H265" s="60"/>
      <c r="I265" s="60" t="s">
        <v>649</v>
      </c>
      <c r="J265" s="60" t="s">
        <v>475</v>
      </c>
      <c r="K265" s="60">
        <f>IF(J265="syllables",1,IF(J265="trigrams",2,IF(J265="strings",3,IF(J265="visual array",4,IF(J265="characters",5,IF(J265="letters",6,IF(J265="free forms",7,IF(J265="odors",8,IF(J265="words",9,IF(J265="pictures",10,IF(J265="object pictures",11,IF(J265="faces",12,IF(J265="names",13,IF(J265="idioms",14,IF(J265="grades",15,IF(J265="syllable-digit pairs",16,IF(J265="trigram-word pairs",17,IF(J265="word-digit pairs",18,IF(J265="English-Swahili pairs",19,IF(J265="spatial position",20,IF(J265="word pairs",21,IF(J265="word triads",22,IF(J265="generated words",23,IF(J265="word definition pairs",24,IF(J265="math problems",25,IF(J265="famous faces",26,IF(J265="famous names",27,IF(J265="famous voices",28,IF(J265="television programs",29,IF(J265="race horses",30,IF(J265="new vocabulary",31,IF(J265="sentences",32,IF(J265="concepts",33,IF(J265="ad slides",34,IF(J265="scenes",35,IF(J265="famous scenes",36,IF(J265="poems",37,IF(J265="walk",38,IF(J265="faces and events",39,IF(J265="events and names",40,IF(J265="flashbulb",41,IF(J265="stories",42,IF(J265="course material",43,IF(J265="autobiographical",44,IF(J265="novels",45,IF(J265="public events",46,"99"))))))))))))))))))))))))))))))))))))))))))))))</f>
        <v>32</v>
      </c>
      <c r="L265" s="60">
        <f>IF(J265="syllables",1,IF(J265="trigrams",1,IF(J265="strings",1,IF(J265="visual array",1,IF(J265="characters",1,IF(J265="letters",1,IF(J265="free forms",1,IF(J265="odors",2,IF(J265="words",2,IF(J265="pictures",2,IF(J265="object pictures",2,IF(J265="faces",2,IF(J265="names",2,IF(J265="idioms","2",IF(J265="grades",2,IF(J265="syllable-digit pairs",3,IF(J265="trigram-word pairs",3,IF(J265="word-digit pairs",3,IF(J265="English-Swahili pairs",3,IF(J265="spatial position",3,IF(J265="word pairs",4,IF(J265="word triads",4,IF(J265="generated words",4,IF(J265="word definition pairs",4,IF(J265="math problems",4,IF(J265="famous faces",4,IF(J265="famous names",4,IF(J265="famous voices",4,IF(J265="television programs",4,IF(J265="race horses",4,IF(J265="new vocabulary",4,IF(J265="sentences",5,IF(J265="concepts",5,IF(J265="ad slides",5,IF(J265="scenes",5,IF(J265="famous scenes",5,IF(J265="poems",6,IF(J265="walk",6,IF(J265="faces and events",6,IF(J265="events and names",6,IF(J265="flashbulb",7,IF(J265="stories",7,IF(J265="course material",7,IF(J265="autobiographical",7,IF(J265="novels",7,IF(J265="public events",7,"99"))))))))))))))))))))))))))))))))))))))))))))))</f>
        <v>5</v>
      </c>
      <c r="M265" s="60">
        <v>0</v>
      </c>
      <c r="N265" s="60">
        <v>2</v>
      </c>
      <c r="O265" s="60">
        <v>0</v>
      </c>
      <c r="P265" s="60"/>
      <c r="Q265" s="60" t="s">
        <v>34</v>
      </c>
      <c r="R265" s="60">
        <f>IF(Q265="Free Recall",1,IF(Q265="Cued Recall",2,IF(Q265="Recognition",3,IF(Q265="Multiple Choice",4,IF(Q265="Savings",5,IF(Q265="Stem Completion",6,IF(Q265="Fragment Completion",7,IF(Q265="anagram solution",8,IF(Q265="Matching",9,IF(Q265="Problem Solving",10,"99"))))))))))</f>
        <v>3</v>
      </c>
      <c r="S265" s="60" t="s">
        <v>15</v>
      </c>
      <c r="T265" s="60" t="s">
        <v>261</v>
      </c>
      <c r="U265" s="60">
        <f>IF(T265="within",1,0)</f>
        <v>0</v>
      </c>
      <c r="V265" s="60">
        <v>18</v>
      </c>
      <c r="W265" s="60">
        <f>F265*V265</f>
        <v>2592</v>
      </c>
      <c r="X265" s="60">
        <v>6</v>
      </c>
      <c r="Y265" s="76">
        <f>AV264</f>
        <v>60</v>
      </c>
      <c r="Z265" s="60" t="s">
        <v>476</v>
      </c>
      <c r="AA265" s="60">
        <v>1209600</v>
      </c>
      <c r="AB265" s="60" t="str">
        <f>IF(AA265&lt;60,"1",IF(AA265&lt;=43200,"2",IF(AA265&lt;=777600,"3","4")))</f>
        <v>4</v>
      </c>
      <c r="AC265" s="56">
        <f>AVERAGE(AV264:DA264)</f>
        <v>504010</v>
      </c>
      <c r="AD265" s="60" t="str">
        <f>IF(AC265&lt;60,"1",IF(AC265&lt;=43200,"2",IF(AC265&lt;=777600,"3","4")))</f>
        <v>3</v>
      </c>
      <c r="AE265" s="76">
        <f>AA265-Y265</f>
        <v>1209540</v>
      </c>
      <c r="AF265" s="80">
        <f>AV265</f>
        <v>0.82754629629629639</v>
      </c>
      <c r="AG265" s="56">
        <f>((AW265-AV265)+(AX265-AW265)+(AY265-AX265)+(AZ265-AY265)+(BA265-AZ265))/5</f>
        <v>-5.3009259259259277E-2</v>
      </c>
      <c r="AH265" s="4"/>
      <c r="AI265" s="56">
        <f>RSQ(AV265:BA265,AV264:BA264)</f>
        <v>0.53376568844814343</v>
      </c>
      <c r="AJ265" s="109">
        <f>SLOPE(AV265:BA265,AV264:BA264)</f>
        <v>-1.4143239085669429E-7</v>
      </c>
      <c r="AK265" s="56">
        <f>INTERCEPT(AV265:BA265,AV264:BA264)</f>
        <v>0.72116759857494184</v>
      </c>
      <c r="AL265" s="56">
        <f>INDEX(LINEST(LN(AV265:BA265),LN(AV264:BA264),TRUE,TRUE),3,1)</f>
        <v>0.92310888803363178</v>
      </c>
      <c r="AM265" s="56">
        <f>INDEX(LINEST(LN(AV265:BA265),LN(AV264:BA264)),1)</f>
        <v>-3.3739237523484067E-2</v>
      </c>
      <c r="AN265" s="56">
        <f>EXP(INDEX(LINEST(LN(AV265:BA265),LN(AV264:BA264)),1,2))</f>
        <v>0.95028288543450923</v>
      </c>
      <c r="AO265" s="82">
        <f>INDEX(LINEST((AV265:BA265),LN(AV264:BA264),TRUE,TRUE),3,1)</f>
        <v>0.94144641211640723</v>
      </c>
      <c r="AP265" s="82">
        <f>INDEX(LINEST((AV265:BA265),LN(AV264:BA264)),1)</f>
        <v>-2.3811021776241423E-2</v>
      </c>
      <c r="AQ265" s="83">
        <f>INDEX(LINEST(LN(AV265:BA265),SQRT(AV264:BA264),TRUE,TRUE),3,1)</f>
        <v>0.74666804387500796</v>
      </c>
      <c r="AR265" s="116">
        <f>INDEX(LINEST(LN(AV265:BA265),SQRT((AV264:BA264))),1)</f>
        <v>-2.7669507418438079E-4</v>
      </c>
      <c r="AS265" s="84">
        <f>INDEX(LINEST(1/(AV265:BA265),1/(SQRT(AV264:BA264)),TRUE,TRUE),3,1)</f>
        <v>0.82701769821623017</v>
      </c>
      <c r="AT265" s="84">
        <f>INDEX(LINEST(1/(AV265:BA265),1/SQRT(AV264:BA264)),1)</f>
        <v>-3.3360934431139566</v>
      </c>
      <c r="AU265" s="3"/>
      <c r="AV265" s="53">
        <v>0.82754629629629639</v>
      </c>
      <c r="AW265" s="53">
        <v>0.62615740740740733</v>
      </c>
      <c r="AX265" s="53">
        <v>0.65162037037037046</v>
      </c>
      <c r="AY265" s="53">
        <v>0.62268518518518523</v>
      </c>
      <c r="AZ265" s="53">
        <v>0.60879629629629639</v>
      </c>
      <c r="BA265" s="53">
        <v>0.5625</v>
      </c>
      <c r="BB265" s="43"/>
      <c r="BC265" s="53"/>
      <c r="BD265" s="53"/>
      <c r="BE265" s="53"/>
      <c r="BF265" s="53"/>
      <c r="BG265" s="53"/>
      <c r="BH265" s="53"/>
      <c r="BI265" s="53"/>
      <c r="BJ265" s="53"/>
      <c r="BK265" s="53"/>
      <c r="BL265" s="53"/>
      <c r="BM265" s="53"/>
      <c r="BN265" s="53"/>
      <c r="BO265" s="53"/>
      <c r="BP265" s="53"/>
      <c r="BQ265" s="53"/>
      <c r="BR265" s="53"/>
      <c r="BS265" s="53"/>
      <c r="BT265" s="53"/>
      <c r="BU265" s="53"/>
      <c r="BV265" s="53"/>
      <c r="BW265" s="53"/>
      <c r="BX265" s="53"/>
      <c r="BY265" s="53"/>
      <c r="BZ265" s="53"/>
      <c r="CA265" s="53"/>
      <c r="CB265" s="53"/>
      <c r="CC265" s="53"/>
      <c r="CD265" s="53"/>
      <c r="CE265" s="53"/>
      <c r="CF265" s="53"/>
      <c r="CG265" s="53"/>
      <c r="CH265" s="53"/>
      <c r="CI265" s="53"/>
      <c r="CJ265" s="53"/>
      <c r="CK265" s="53"/>
      <c r="CL265" s="53"/>
      <c r="CM265" s="53"/>
      <c r="CN265" s="53"/>
      <c r="CO265" s="53"/>
      <c r="CP265" s="53"/>
      <c r="CQ265" s="53"/>
      <c r="CR265" s="1"/>
      <c r="CS265" s="1"/>
      <c r="CT265" s="1"/>
      <c r="CU265" s="1"/>
    </row>
    <row r="266" spans="1:99" s="13" customFormat="1" ht="12" customHeight="1" x14ac:dyDescent="0.2">
      <c r="A266" s="65">
        <v>43903</v>
      </c>
      <c r="D266" s="61"/>
      <c r="E266" s="76"/>
      <c r="F266" s="60"/>
      <c r="G266" s="60"/>
      <c r="H266" s="60"/>
      <c r="I266" s="60"/>
      <c r="J266" s="60"/>
      <c r="K266" s="64"/>
      <c r="L266" s="64"/>
      <c r="M266" s="60"/>
      <c r="N266" s="60"/>
      <c r="O266" s="60"/>
      <c r="P266" s="60"/>
      <c r="Q266" s="60"/>
      <c r="R266" s="60"/>
      <c r="S266" s="60"/>
      <c r="T266" s="60"/>
      <c r="U266" s="60"/>
      <c r="V266" s="60"/>
      <c r="W266" s="60"/>
      <c r="X266" s="60"/>
      <c r="Y266" s="76"/>
      <c r="Z266" s="60"/>
      <c r="AA266" s="60"/>
      <c r="AB266" s="60"/>
      <c r="AC266" s="56"/>
      <c r="AD266" s="60"/>
      <c r="AE266" s="60"/>
      <c r="AF266" s="80"/>
      <c r="AG266" s="56"/>
      <c r="AH266" s="4"/>
      <c r="AI266" s="56"/>
      <c r="AJ266" s="109"/>
      <c r="AK266" s="56"/>
      <c r="AL266" s="56"/>
      <c r="AM266" s="56"/>
      <c r="AN266" s="56"/>
      <c r="AO266" s="82"/>
      <c r="AP266" s="82"/>
      <c r="AQ266" s="83"/>
      <c r="AR266" s="116"/>
      <c r="AS266" s="84"/>
      <c r="AT266" s="84"/>
      <c r="AU266" s="3"/>
      <c r="AV266" s="25">
        <v>60</v>
      </c>
      <c r="AW266" s="25">
        <v>86400</v>
      </c>
      <c r="AX266" s="25">
        <v>259200</v>
      </c>
      <c r="AY266" s="25">
        <v>604800</v>
      </c>
      <c r="AZ266" s="25">
        <v>864000</v>
      </c>
      <c r="BA266" s="25">
        <v>1209600</v>
      </c>
      <c r="BB266" s="43"/>
      <c r="BC266" s="53"/>
      <c r="BD266" s="53"/>
      <c r="BE266" s="53"/>
      <c r="BF266" s="53"/>
      <c r="BG266" s="53"/>
      <c r="BH266" s="53"/>
      <c r="BI266" s="53"/>
      <c r="BJ266" s="53"/>
      <c r="BK266" s="53"/>
      <c r="BL266" s="53"/>
      <c r="BM266" s="53"/>
      <c r="BN266" s="53"/>
      <c r="BO266" s="53"/>
      <c r="BP266" s="53"/>
      <c r="BQ266" s="53"/>
      <c r="BR266" s="53"/>
      <c r="BS266" s="53"/>
      <c r="BT266" s="53"/>
      <c r="BU266" s="53"/>
      <c r="BV266" s="53"/>
      <c r="BW266" s="53"/>
      <c r="BX266" s="53"/>
      <c r="BY266" s="53"/>
      <c r="BZ266" s="53"/>
      <c r="CA266" s="53"/>
      <c r="CB266" s="53"/>
      <c r="CC266" s="53"/>
      <c r="CD266" s="53"/>
      <c r="CE266" s="53"/>
      <c r="CF266" s="53"/>
      <c r="CG266" s="53"/>
      <c r="CH266" s="53"/>
      <c r="CI266" s="53"/>
      <c r="CJ266" s="53"/>
      <c r="CK266" s="53"/>
      <c r="CL266" s="53"/>
      <c r="CM266" s="53"/>
      <c r="CN266" s="53"/>
      <c r="CO266" s="53"/>
      <c r="CP266" s="53"/>
      <c r="CQ266" s="53"/>
      <c r="CR266" s="1"/>
      <c r="CS266" s="1"/>
      <c r="CT266" s="1"/>
      <c r="CU266" s="1"/>
    </row>
    <row r="267" spans="1:99" s="13" customFormat="1" ht="12" customHeight="1" x14ac:dyDescent="0.2">
      <c r="A267" s="65">
        <v>43903</v>
      </c>
      <c r="B267" s="1" t="s">
        <v>473</v>
      </c>
      <c r="C267" s="1" t="s">
        <v>474</v>
      </c>
      <c r="D267" s="60">
        <v>2020</v>
      </c>
      <c r="E267" s="76">
        <v>2</v>
      </c>
      <c r="F267" s="60">
        <v>144</v>
      </c>
      <c r="G267" s="60">
        <v>24</v>
      </c>
      <c r="H267" s="60"/>
      <c r="I267" s="60" t="s">
        <v>685</v>
      </c>
      <c r="J267" s="60" t="s">
        <v>475</v>
      </c>
      <c r="K267" s="60">
        <f>IF(J267="syllables",1,IF(J267="trigrams",2,IF(J267="strings",3,IF(J267="visual array",4,IF(J267="characters",5,IF(J267="letters",6,IF(J267="free forms",7,IF(J267="odors",8,IF(J267="words",9,IF(J267="pictures",10,IF(J267="object pictures",11,IF(J267="faces",12,IF(J267="names",13,IF(J267="idioms",14,IF(J267="grades",15,IF(J267="syllable-digit pairs",16,IF(J267="trigram-word pairs",17,IF(J267="word-digit pairs",18,IF(J267="English-Swahili pairs",19,IF(J267="spatial position",20,IF(J267="word pairs",21,IF(J267="word triads",22,IF(J267="generated words",23,IF(J267="word definition pairs",24,IF(J267="math problems",25,IF(J267="famous faces",26,IF(J267="famous names",27,IF(J267="famous voices",28,IF(J267="television programs",29,IF(J267="race horses",30,IF(J267="new vocabulary",31,IF(J267="sentences",32,IF(J267="concepts",33,IF(J267="ad slides",34,IF(J267="scenes",35,IF(J267="famous scenes",36,IF(J267="poems",37,IF(J267="walk",38,IF(J267="faces and events",39,IF(J267="events and names",40,IF(J267="flashbulb",41,IF(J267="stories",42,IF(J267="course material",43,IF(J267="autobiographical",44,IF(J267="novels",45,IF(J267="public events",46,"99"))))))))))))))))))))))))))))))))))))))))))))))</f>
        <v>32</v>
      </c>
      <c r="L267" s="60">
        <f>IF(J267="syllables",1,IF(J267="trigrams",1,IF(J267="strings",1,IF(J267="visual array",1,IF(J267="characters",1,IF(J267="letters",1,IF(J267="free forms",1,IF(J267="odors",2,IF(J267="words",2,IF(J267="pictures",2,IF(J267="object pictures",2,IF(J267="faces",2,IF(J267="names",2,IF(J267="idioms","2",IF(J267="grades",2,IF(J267="syllable-digit pairs",3,IF(J267="trigram-word pairs",3,IF(J267="word-digit pairs",3,IF(J267="English-Swahili pairs",3,IF(J267="spatial position",3,IF(J267="word pairs",4,IF(J267="word triads",4,IF(J267="generated words",4,IF(J267="word definition pairs",4,IF(J267="math problems",4,IF(J267="famous faces",4,IF(J267="famous names",4,IF(J267="famous voices",4,IF(J267="television programs",4,IF(J267="race horses",4,IF(J267="new vocabulary",4,IF(J267="sentences",5,IF(J267="concepts",5,IF(J267="ad slides",5,IF(J267="scenes",5,IF(J267="famous scenes",5,IF(J267="poems",6,IF(J267="walk",6,IF(J267="faces and events",6,IF(J267="events and names",6,IF(J267="flashbulb",7,IF(J267="stories",7,IF(J267="course material",7,IF(J267="autobiographical",7,IF(J267="novels",7,IF(J267="public events",7,"99"))))))))))))))))))))))))))))))))))))))))))))))</f>
        <v>5</v>
      </c>
      <c r="M267" s="60">
        <v>1</v>
      </c>
      <c r="N267" s="60">
        <v>4</v>
      </c>
      <c r="O267" s="60">
        <v>0</v>
      </c>
      <c r="P267" s="60"/>
      <c r="Q267" s="60" t="s">
        <v>34</v>
      </c>
      <c r="R267" s="60">
        <f>IF(Q267="Free Recall",1,IF(Q267="Cued Recall",2,IF(Q267="Recognition",3,IF(Q267="Multiple Choice",4,IF(Q267="Savings",5,IF(Q267="Stem Completion",6,IF(Q267="Fragment Completion",7,IF(Q267="anagram solution",8,IF(Q267="Matching",9,IF(Q267="Problem Solving",10,"99"))))))))))</f>
        <v>3</v>
      </c>
      <c r="S267" s="60" t="s">
        <v>15</v>
      </c>
      <c r="T267" s="60" t="s">
        <v>261</v>
      </c>
      <c r="U267" s="60">
        <f>IF(T267="within",1,0)</f>
        <v>0</v>
      </c>
      <c r="V267" s="60">
        <v>18</v>
      </c>
      <c r="W267" s="60">
        <f>F267*V267</f>
        <v>2592</v>
      </c>
      <c r="X267" s="60">
        <v>6</v>
      </c>
      <c r="Y267" s="76">
        <f>AV266</f>
        <v>60</v>
      </c>
      <c r="Z267" s="60" t="s">
        <v>476</v>
      </c>
      <c r="AA267" s="60">
        <v>1209600</v>
      </c>
      <c r="AB267" s="60" t="str">
        <f>IF(AA267&lt;60,"1",IF(AA267&lt;=43200,"2",IF(AA267&lt;=777600,"3","4")))</f>
        <v>4</v>
      </c>
      <c r="AC267" s="56">
        <f>AVERAGE(AV266:DA266)</f>
        <v>504010</v>
      </c>
      <c r="AD267" s="60" t="str">
        <f>IF(AC267&lt;60,"1",IF(AC267&lt;=43200,"2",IF(AC267&lt;=777600,"3","4")))</f>
        <v>3</v>
      </c>
      <c r="AE267" s="76">
        <f>AA267-Y267</f>
        <v>1209540</v>
      </c>
      <c r="AF267" s="80">
        <f>AV267</f>
        <v>0.80439814814814803</v>
      </c>
      <c r="AG267" s="56">
        <f>((AW267-AV267)+(AX267-AW267)+(AY267-AX267)+(AZ267-AY267)+(BA267-AZ267))/5</f>
        <v>-4.4675925925925862E-2</v>
      </c>
      <c r="AH267" s="4"/>
      <c r="AI267" s="56">
        <f>RSQ(AV267:BA267,AV266:BA266)</f>
        <v>0.8649140033705669</v>
      </c>
      <c r="AJ267" s="109">
        <f>SLOPE(AV267:BA267,AV266:BA266)</f>
        <v>-1.5412757980810297E-7</v>
      </c>
      <c r="AK267" s="56">
        <f>INTERCEPT(AV267:BA267,AV266:BA266)</f>
        <v>0.75595013955904666</v>
      </c>
      <c r="AL267" s="56">
        <f>INDEX(LINEST(LN(AV267:BA267),LN(AV266:BA266),TRUE,TRUE),3,1)</f>
        <v>0.78260996076833589</v>
      </c>
      <c r="AM267" s="56">
        <f>INDEX(LINEST(LN(AV267:BA267),LN(AV266:BA266)),1)</f>
        <v>-2.7014341730541673E-2</v>
      </c>
      <c r="AN267" s="56">
        <f>EXP(INDEX(LINEST(LN(AV267:BA267),LN(AV266:BA266)),1,2))</f>
        <v>0.91995872671015366</v>
      </c>
      <c r="AO267" s="82">
        <f>INDEX(LINEST((AV267:BA267),LN(AV266:BA266),TRUE,TRUE),3,1)</f>
        <v>0.82304055119304054</v>
      </c>
      <c r="AP267" s="82">
        <f>INDEX(LINEST((AV267:BA267),LN(AV266:BA266)),1)</f>
        <v>-1.9059486017818768E-2</v>
      </c>
      <c r="AQ267" s="83">
        <f>INDEX(LINEST(LN(AV267:BA267),SQRT(AV266:BA266),TRUE,TRUE),3,1)</f>
        <v>0.97250895008233929</v>
      </c>
      <c r="AR267" s="116">
        <f>INDEX(LINEST(LN(AV267:BA267),SQRT((AV266:BA266))),1)</f>
        <v>-2.7459799080162349E-4</v>
      </c>
      <c r="AS267" s="84">
        <f>INDEX(LINEST(1/(AV267:BA267),1/(SQRT(AV266:BA266)),TRUE,TRUE),3,1)</f>
        <v>0.53575294241279414</v>
      </c>
      <c r="AT267" s="84">
        <f>INDEX(LINEST(1/(AV267:BA267),1/SQRT(AV266:BA266)),1)</f>
        <v>-2.3624070018552161</v>
      </c>
      <c r="AU267" s="3"/>
      <c r="AV267" s="53">
        <v>0.80439814814814803</v>
      </c>
      <c r="AW267" s="53">
        <v>0.71412037037037013</v>
      </c>
      <c r="AX267" s="53">
        <v>0.7002314814814814</v>
      </c>
      <c r="AY267" s="53">
        <v>0.63888888888888895</v>
      </c>
      <c r="AZ267" s="53">
        <v>0.63095238095238082</v>
      </c>
      <c r="BA267" s="53">
        <v>0.58101851851851871</v>
      </c>
      <c r="BB267" s="43"/>
      <c r="BC267" s="53"/>
      <c r="BD267" s="53"/>
      <c r="BE267" s="53"/>
      <c r="BF267" s="53"/>
      <c r="BG267" s="53"/>
      <c r="BH267" s="53"/>
      <c r="BI267" s="53"/>
      <c r="BJ267" s="53"/>
      <c r="BK267" s="53"/>
      <c r="BL267" s="53"/>
      <c r="BM267" s="53"/>
      <c r="BN267" s="53"/>
      <c r="BO267" s="53"/>
      <c r="BP267" s="53"/>
      <c r="BQ267" s="53"/>
      <c r="BR267" s="53"/>
      <c r="BS267" s="53"/>
      <c r="BT267" s="53"/>
      <c r="BU267" s="53"/>
      <c r="BV267" s="53"/>
      <c r="BW267" s="53"/>
      <c r="BX267" s="53"/>
      <c r="BY267" s="53"/>
      <c r="BZ267" s="53"/>
      <c r="CA267" s="53"/>
      <c r="CB267" s="53"/>
      <c r="CC267" s="53"/>
      <c r="CD267" s="53"/>
      <c r="CE267" s="53"/>
      <c r="CF267" s="53"/>
      <c r="CG267" s="53"/>
      <c r="CH267" s="53"/>
      <c r="CI267" s="53"/>
      <c r="CJ267" s="53"/>
      <c r="CK267" s="53"/>
      <c r="CL267" s="53"/>
      <c r="CM267" s="53"/>
      <c r="CN267" s="53"/>
      <c r="CO267" s="53"/>
      <c r="CP267" s="53"/>
      <c r="CQ267" s="53"/>
      <c r="CR267" s="1"/>
      <c r="CS267" s="1"/>
      <c r="CT267" s="1"/>
      <c r="CU267" s="1"/>
    </row>
    <row r="268" spans="1:99" s="13" customFormat="1" ht="12" customHeight="1" x14ac:dyDescent="0.2">
      <c r="A268" s="65">
        <v>43903</v>
      </c>
      <c r="D268" s="61"/>
      <c r="E268" s="76"/>
      <c r="F268" s="60"/>
      <c r="G268" s="60"/>
      <c r="H268" s="60"/>
      <c r="I268" s="60"/>
      <c r="J268" s="60"/>
      <c r="K268" s="64"/>
      <c r="L268" s="64"/>
      <c r="M268" s="60"/>
      <c r="N268" s="60"/>
      <c r="O268" s="60"/>
      <c r="P268" s="60"/>
      <c r="Q268" s="60"/>
      <c r="R268" s="60"/>
      <c r="S268" s="60"/>
      <c r="T268" s="60"/>
      <c r="U268" s="60"/>
      <c r="V268" s="60"/>
      <c r="W268" s="60"/>
      <c r="X268" s="60"/>
      <c r="Y268" s="76"/>
      <c r="Z268" s="60"/>
      <c r="AA268" s="60"/>
      <c r="AB268" s="60"/>
      <c r="AC268" s="56"/>
      <c r="AD268" s="60"/>
      <c r="AE268" s="60"/>
      <c r="AF268" s="80"/>
      <c r="AG268" s="56"/>
      <c r="AH268" s="4"/>
      <c r="AI268" s="56"/>
      <c r="AJ268" s="109"/>
      <c r="AK268" s="56"/>
      <c r="AL268" s="56"/>
      <c r="AM268" s="56"/>
      <c r="AN268" s="56"/>
      <c r="AO268" s="82"/>
      <c r="AP268" s="82"/>
      <c r="AQ268" s="83"/>
      <c r="AR268" s="116"/>
      <c r="AS268" s="84"/>
      <c r="AT268" s="84"/>
      <c r="AU268" s="3"/>
      <c r="AV268" s="25">
        <v>60</v>
      </c>
      <c r="AW268" s="25">
        <v>86400</v>
      </c>
      <c r="AX268" s="25">
        <v>259200</v>
      </c>
      <c r="AY268" s="25">
        <v>604800</v>
      </c>
      <c r="AZ268" s="25">
        <v>864000</v>
      </c>
      <c r="BA268" s="25">
        <v>1209600</v>
      </c>
      <c r="BB268" s="43"/>
      <c r="BC268" s="53"/>
      <c r="BD268" s="53"/>
      <c r="BE268" s="53"/>
      <c r="BF268" s="53"/>
      <c r="BG268" s="53"/>
      <c r="BH268" s="53"/>
      <c r="BI268" s="53"/>
      <c r="BJ268" s="53"/>
      <c r="BK268" s="53"/>
      <c r="BL268" s="53"/>
      <c r="BM268" s="53"/>
      <c r="BN268" s="53"/>
      <c r="BO268" s="53"/>
      <c r="BP268" s="53"/>
      <c r="BQ268" s="53"/>
      <c r="BR268" s="53"/>
      <c r="BS268" s="53"/>
      <c r="BT268" s="53"/>
      <c r="BU268" s="53"/>
      <c r="BV268" s="53"/>
      <c r="BW268" s="53"/>
      <c r="BX268" s="53"/>
      <c r="BY268" s="53"/>
      <c r="BZ268" s="53"/>
      <c r="CA268" s="53"/>
      <c r="CB268" s="53"/>
      <c r="CC268" s="53"/>
      <c r="CD268" s="53"/>
      <c r="CE268" s="53"/>
      <c r="CF268" s="53"/>
      <c r="CG268" s="53"/>
      <c r="CH268" s="53"/>
      <c r="CI268" s="53"/>
      <c r="CJ268" s="53"/>
      <c r="CK268" s="53"/>
      <c r="CL268" s="53"/>
      <c r="CM268" s="53"/>
      <c r="CN268" s="53"/>
      <c r="CO268" s="53"/>
      <c r="CP268" s="53"/>
      <c r="CQ268" s="53"/>
      <c r="CR268" s="1"/>
      <c r="CS268" s="1"/>
      <c r="CT268" s="1"/>
      <c r="CU268" s="1"/>
    </row>
    <row r="269" spans="1:99" s="13" customFormat="1" ht="12" customHeight="1" x14ac:dyDescent="0.2">
      <c r="A269" s="65">
        <v>43903</v>
      </c>
      <c r="B269" s="1" t="s">
        <v>473</v>
      </c>
      <c r="C269" s="1" t="s">
        <v>474</v>
      </c>
      <c r="D269" s="60">
        <v>2020</v>
      </c>
      <c r="E269" s="76">
        <v>2</v>
      </c>
      <c r="F269" s="60">
        <v>144</v>
      </c>
      <c r="G269" s="60">
        <v>24</v>
      </c>
      <c r="H269" s="60"/>
      <c r="I269" s="60" t="s">
        <v>684</v>
      </c>
      <c r="J269" s="60" t="s">
        <v>475</v>
      </c>
      <c r="K269" s="60">
        <f>IF(J269="syllables",1,IF(J269="trigrams",2,IF(J269="strings",3,IF(J269="visual array",4,IF(J269="characters",5,IF(J269="letters",6,IF(J269="free forms",7,IF(J269="odors",8,IF(J269="words",9,IF(J269="pictures",10,IF(J269="object pictures",11,IF(J269="faces",12,IF(J269="names",13,IF(J269="idioms",14,IF(J269="grades",15,IF(J269="syllable-digit pairs",16,IF(J269="trigram-word pairs",17,IF(J269="word-digit pairs",18,IF(J269="English-Swahili pairs",19,IF(J269="spatial position",20,IF(J269="word pairs",21,IF(J269="word triads",22,IF(J269="generated words",23,IF(J269="word definition pairs",24,IF(J269="math problems",25,IF(J269="famous faces",26,IF(J269="famous names",27,IF(J269="famous voices",28,IF(J269="television programs",29,IF(J269="race horses",30,IF(J269="new vocabulary",31,IF(J269="sentences",32,IF(J269="concepts",33,IF(J269="ad slides",34,IF(J269="scenes",35,IF(J269="famous scenes",36,IF(J269="poems",37,IF(J269="walk",38,IF(J269="faces and events",39,IF(J269="events and names",40,IF(J269="flashbulb",41,IF(J269="stories",42,IF(J269="course material",43,IF(J269="autobiographical",44,IF(J269="novels",45,IF(J269="public events",46,"99"))))))))))))))))))))))))))))))))))))))))))))))</f>
        <v>32</v>
      </c>
      <c r="L269" s="60">
        <f>IF(J269="syllables",1,IF(J269="trigrams",1,IF(J269="strings",1,IF(J269="visual array",1,IF(J269="characters",1,IF(J269="letters",1,IF(J269="free forms",1,IF(J269="odors",2,IF(J269="words",2,IF(J269="pictures",2,IF(J269="object pictures",2,IF(J269="faces",2,IF(J269="names",2,IF(J269="idioms","2",IF(J269="grades",2,IF(J269="syllable-digit pairs",3,IF(J269="trigram-word pairs",3,IF(J269="word-digit pairs",3,IF(J269="English-Swahili pairs",3,IF(J269="spatial position",3,IF(J269="word pairs",4,IF(J269="word triads",4,IF(J269="generated words",4,IF(J269="word definition pairs",4,IF(J269="math problems",4,IF(J269="famous faces",4,IF(J269="famous names",4,IF(J269="famous voices",4,IF(J269="television programs",4,IF(J269="race horses",4,IF(J269="new vocabulary",4,IF(J269="sentences",5,IF(J269="concepts",5,IF(J269="ad slides",5,IF(J269="scenes",5,IF(J269="famous scenes",5,IF(J269="poems",6,IF(J269="walk",6,IF(J269="faces and events",6,IF(J269="events and names",6,IF(J269="flashbulb",7,IF(J269="stories",7,IF(J269="course material",7,IF(J269="autobiographical",7,IF(J269="novels",7,IF(J269="public events",7,"99"))))))))))))))))))))))))))))))))))))))))))))))</f>
        <v>5</v>
      </c>
      <c r="M269" s="60">
        <v>1</v>
      </c>
      <c r="N269" s="60">
        <v>4</v>
      </c>
      <c r="O269" s="60">
        <v>0</v>
      </c>
      <c r="P269" s="60"/>
      <c r="Q269" s="60" t="s">
        <v>34</v>
      </c>
      <c r="R269" s="60">
        <f>IF(Q269="Free Recall",1,IF(Q269="Cued Recall",2,IF(Q269="Recognition",3,IF(Q269="Multiple Choice",4,IF(Q269="Savings",5,IF(Q269="Stem Completion",6,IF(Q269="Fragment Completion",7,IF(Q269="anagram solution",8,IF(Q269="Matching",9,IF(Q269="Problem Solving",10,"99"))))))))))</f>
        <v>3</v>
      </c>
      <c r="S269" s="60" t="s">
        <v>15</v>
      </c>
      <c r="T269" s="60" t="s">
        <v>261</v>
      </c>
      <c r="U269" s="60">
        <f>IF(T269="within",1,0)</f>
        <v>0</v>
      </c>
      <c r="V269" s="60">
        <v>18</v>
      </c>
      <c r="W269" s="60">
        <f>F269*V269</f>
        <v>2592</v>
      </c>
      <c r="X269" s="60">
        <v>6</v>
      </c>
      <c r="Y269" s="76">
        <f>AV268</f>
        <v>60</v>
      </c>
      <c r="Z269" s="60" t="s">
        <v>476</v>
      </c>
      <c r="AA269" s="60">
        <v>1209600</v>
      </c>
      <c r="AB269" s="60" t="str">
        <f>IF(AA269&lt;60,"1",IF(AA269&lt;=43200,"2",IF(AA269&lt;=777600,"3","4")))</f>
        <v>4</v>
      </c>
      <c r="AC269" s="56">
        <f>AVERAGE(AV268:DA268)</f>
        <v>504010</v>
      </c>
      <c r="AD269" s="60" t="str">
        <f>IF(AC269&lt;60,"1",IF(AC269&lt;=43200,"2",IF(AC269&lt;=777600,"3","4")))</f>
        <v>3</v>
      </c>
      <c r="AE269" s="76">
        <f>AA269-Y269</f>
        <v>1209540</v>
      </c>
      <c r="AF269" s="80">
        <f>AV269</f>
        <v>0.87384259259259245</v>
      </c>
      <c r="AG269" s="56">
        <f>((AW269-AV269)+(AX269-AW269)+(AY269-AX269)+(AZ269-AY269)+(BA269-AZ269))/5</f>
        <v>-5.6481481481481396E-2</v>
      </c>
      <c r="AH269" s="4"/>
      <c r="AI269" s="56">
        <f>RSQ(AV269:BA269,AV268:BA268)</f>
        <v>0.73149444226144356</v>
      </c>
      <c r="AJ269" s="109">
        <f>SLOPE(AV269:BA269,AV268:BA268)</f>
        <v>-1.659767762588181E-7</v>
      </c>
      <c r="AK269" s="56">
        <f>INTERCEPT(AV269:BA269,AV268:BA268)</f>
        <v>0.80143944882936746</v>
      </c>
      <c r="AL269" s="56">
        <f>INDEX(LINEST(LN(AV269:BA269),LN(AV268:BA268),TRUE,TRUE),3,1)</f>
        <v>0.780178760108862</v>
      </c>
      <c r="AM269" s="56">
        <f>INDEX(LINEST(LN(AV269:BA269),LN(AV268:BA268)),1)</f>
        <v>-2.9843925761553459E-2</v>
      </c>
      <c r="AN269" s="56">
        <f>EXP(INDEX(LINEST(LN(AV269:BA269),LN(AV268:BA268)),1,2))</f>
        <v>1.0044866059907047</v>
      </c>
      <c r="AO269" s="82">
        <f>INDEX(LINEST((AV269:BA269),LN(AV268:BA268),TRUE,TRUE),3,1)</f>
        <v>0.83733140211294699</v>
      </c>
      <c r="AP269" s="82">
        <f>INDEX(LINEST((AV269:BA269),LN(AV268:BA268)),1)</f>
        <v>-2.2511123594373534E-2</v>
      </c>
      <c r="AQ269" s="83">
        <f>INDEX(LINEST(LN(AV269:BA269),SQRT(AV268:BA268),TRUE,TRUE),3,1)</f>
        <v>0.84938810844202284</v>
      </c>
      <c r="AR269" s="116">
        <f>INDEX(LINEST(LN(AV269:BA269),SQRT((AV268:BA268))),1)</f>
        <v>-2.8394931535671982E-4</v>
      </c>
      <c r="AS269" s="84">
        <f>INDEX(LINEST(1/(AV269:BA269),1/(SQRT(AV268:BA268)),TRUE,TRUE),3,1)</f>
        <v>0.56117176178401584</v>
      </c>
      <c r="AT269" s="84">
        <f>INDEX(LINEST(1/(AV269:BA269),1/SQRT(AV268:BA268)),1)</f>
        <v>-2.5469430889936686</v>
      </c>
      <c r="AU269" s="3"/>
      <c r="AV269" s="53">
        <v>0.87384259259259245</v>
      </c>
      <c r="AW269" s="53">
        <v>0.74652777777777768</v>
      </c>
      <c r="AX269" s="53">
        <v>0.7002314814814814</v>
      </c>
      <c r="AY269" s="53">
        <v>0.70486111111111116</v>
      </c>
      <c r="AZ269" s="53">
        <v>0.68981481481481488</v>
      </c>
      <c r="BA269" s="53">
        <v>0.59143518518518545</v>
      </c>
      <c r="BB269" s="43"/>
      <c r="BC269" s="53"/>
      <c r="BD269" s="53"/>
      <c r="BE269" s="53"/>
      <c r="BF269" s="53"/>
      <c r="BG269" s="53"/>
      <c r="BH269" s="53"/>
      <c r="BI269" s="53"/>
      <c r="BJ269" s="53"/>
      <c r="BK269" s="53"/>
      <c r="BL269" s="53"/>
      <c r="BM269" s="53"/>
      <c r="BN269" s="53"/>
      <c r="BO269" s="53"/>
      <c r="BP269" s="53"/>
      <c r="BQ269" s="53"/>
      <c r="BR269" s="53"/>
      <c r="BS269" s="53"/>
      <c r="BT269" s="53"/>
      <c r="BU269" s="53"/>
      <c r="BV269" s="53"/>
      <c r="BW269" s="53"/>
      <c r="BX269" s="53"/>
      <c r="BY269" s="53"/>
      <c r="BZ269" s="53"/>
      <c r="CA269" s="53"/>
      <c r="CB269" s="53"/>
      <c r="CC269" s="53"/>
      <c r="CD269" s="53"/>
      <c r="CE269" s="53"/>
      <c r="CF269" s="53"/>
      <c r="CG269" s="53"/>
      <c r="CH269" s="53"/>
      <c r="CI269" s="53"/>
      <c r="CJ269" s="53"/>
      <c r="CK269" s="53"/>
      <c r="CL269" s="53"/>
      <c r="CM269" s="53"/>
      <c r="CN269" s="53"/>
      <c r="CO269" s="53"/>
      <c r="CP269" s="53"/>
      <c r="CQ269" s="53"/>
      <c r="CR269" s="1"/>
      <c r="CS269" s="1"/>
      <c r="CT269" s="1"/>
      <c r="CU269" s="1"/>
    </row>
    <row r="270" spans="1:99" s="13" customFormat="1" ht="12" customHeight="1" x14ac:dyDescent="0.2">
      <c r="A270" s="68">
        <v>43509</v>
      </c>
      <c r="B270" s="70"/>
      <c r="C270" s="70"/>
      <c r="D270" s="69"/>
      <c r="E270" s="87"/>
      <c r="F270" s="69"/>
      <c r="G270" s="69"/>
      <c r="H270" s="69"/>
      <c r="I270" s="69"/>
      <c r="J270" s="69"/>
      <c r="K270" s="107"/>
      <c r="L270" s="107"/>
      <c r="M270" s="69"/>
      <c r="N270" s="69"/>
      <c r="O270" s="69"/>
      <c r="P270" s="69"/>
      <c r="Q270" s="69"/>
      <c r="R270" s="69"/>
      <c r="S270" s="69"/>
      <c r="T270" s="69"/>
      <c r="U270" s="69"/>
      <c r="V270" s="69"/>
      <c r="W270" s="69"/>
      <c r="X270" s="69"/>
      <c r="Y270" s="87"/>
      <c r="Z270" s="69"/>
      <c r="AA270" s="69"/>
      <c r="AB270" s="69"/>
      <c r="AC270" s="69"/>
      <c r="AD270" s="69"/>
      <c r="AE270" s="69"/>
      <c r="AF270" s="88"/>
      <c r="AG270" s="72"/>
      <c r="AH270" s="4"/>
      <c r="AI270" s="72"/>
      <c r="AJ270" s="110"/>
      <c r="AK270" s="72"/>
      <c r="AL270" s="72"/>
      <c r="AM270" s="72"/>
      <c r="AN270" s="72"/>
      <c r="AO270" s="72"/>
      <c r="AP270" s="72"/>
      <c r="AQ270" s="72"/>
      <c r="AR270" s="110"/>
      <c r="AS270" s="72"/>
      <c r="AT270" s="72"/>
      <c r="AU270" s="4"/>
      <c r="AV270" s="71">
        <v>60</v>
      </c>
      <c r="AW270" s="71">
        <v>3600</v>
      </c>
      <c r="AX270" s="71">
        <v>86400</v>
      </c>
      <c r="AY270" s="71">
        <v>604800</v>
      </c>
      <c r="AZ270" s="71">
        <v>2419200</v>
      </c>
      <c r="BA270" s="71">
        <v>7257600</v>
      </c>
      <c r="BB270" s="53"/>
      <c r="BC270" s="53"/>
      <c r="BD270" s="53"/>
      <c r="BE270" s="53"/>
      <c r="BF270" s="53"/>
      <c r="BG270" s="53"/>
      <c r="BH270" s="53"/>
      <c r="BI270" s="53"/>
      <c r="BJ270" s="53"/>
      <c r="BK270" s="53"/>
      <c r="BL270" s="53"/>
      <c r="BM270" s="53"/>
      <c r="BN270" s="53"/>
      <c r="BO270" s="53"/>
      <c r="BP270" s="53"/>
      <c r="BQ270" s="53"/>
      <c r="BR270" s="53"/>
      <c r="BS270" s="53"/>
      <c r="BT270" s="53"/>
      <c r="BU270" s="53"/>
      <c r="BV270" s="53"/>
      <c r="BW270" s="53"/>
      <c r="BX270" s="53"/>
      <c r="BY270" s="53"/>
      <c r="BZ270" s="53"/>
      <c r="CA270" s="53"/>
      <c r="CB270" s="53"/>
      <c r="CC270" s="53"/>
      <c r="CD270" s="53"/>
      <c r="CE270" s="53"/>
      <c r="CF270" s="53"/>
      <c r="CG270" s="53"/>
      <c r="CH270" s="53"/>
      <c r="CI270" s="53"/>
      <c r="CJ270" s="53"/>
      <c r="CK270" s="53"/>
      <c r="CL270" s="53"/>
      <c r="CM270" s="53"/>
      <c r="CN270" s="53"/>
      <c r="CO270" s="53"/>
      <c r="CP270" s="53"/>
      <c r="CQ270" s="53"/>
      <c r="CR270" s="1"/>
      <c r="CS270" s="1"/>
      <c r="CT270" s="1"/>
      <c r="CU270" s="1"/>
    </row>
    <row r="271" spans="1:99" s="13" customFormat="1" ht="12" customHeight="1" x14ac:dyDescent="0.2">
      <c r="A271" s="68">
        <v>43509</v>
      </c>
      <c r="B271" s="164" t="s">
        <v>291</v>
      </c>
      <c r="C271" s="70" t="s">
        <v>107</v>
      </c>
      <c r="D271" s="69">
        <v>2018</v>
      </c>
      <c r="E271" s="87">
        <v>1</v>
      </c>
      <c r="F271" s="69">
        <v>288</v>
      </c>
      <c r="G271" s="69">
        <v>48</v>
      </c>
      <c r="H271" s="69" t="s">
        <v>32</v>
      </c>
      <c r="I271" s="69"/>
      <c r="J271" s="69" t="s">
        <v>16</v>
      </c>
      <c r="K271" s="69">
        <f>IF(J271="syllables",1,IF(J271="trigrams",2,IF(J271="strings",3,IF(J271="visual array",4,IF(J271="characters",5,IF(J271="letters",6,IF(J271="free forms",7,IF(J271="odors",8,IF(J271="words",9,IF(J271="pictures",10,IF(J271="object pictures",11,IF(J271="faces",12,IF(J271="names",13,IF(J271="idioms",14,IF(J271="grades",15,IF(J271="syllable-digit pairs",16,IF(J271="trigram-word pairs",17,IF(J271="word-digit pairs",18,IF(J271="English-Swahili pairs",19,IF(J271="spatial position",20,IF(J271="word pairs",21,IF(J271="word triads",22,IF(J271="generated words",23,IF(J271="word definition pairs",24,IF(J271="math problems",25,IF(J271="famous faces",26,IF(J271="famous names",27,IF(J271="famous voices",28,IF(J271="television programs",29,IF(J271="race horses",30,IF(J271="new vocabulary",31,IF(J271="sentences",32,IF(J271="concepts",33,IF(J271="ad slides",34,IF(J271="scenes",35,IF(J271="famous scenes",36,IF(J271="poems",37,IF(J271="walk",38,IF(J271="faces and events",39,IF(J271="events and names",40,IF(J271="flashbulb",41,IF(J271="stories",42,IF(J271="course material",43,IF(J271="autobiographical",44,IF(J271="novels",45,IF(J271="public events",46,"99"))))))))))))))))))))))))))))))))))))))))))))))</f>
        <v>9</v>
      </c>
      <c r="L271" s="69">
        <f>IF(J271="syllables",1,IF(J271="trigrams",1,IF(J271="strings",1,IF(J271="visual array",1,IF(J271="characters",1,IF(J271="letters",1,IF(J271="free forms",1,IF(J271="odors",2,IF(J271="words",2,IF(J271="pictures",2,IF(J271="object pictures",2,IF(J271="faces",2,IF(J271="names",2,IF(J271="idioms","2",IF(J271="grades",2,IF(J271="syllable-digit pairs",3,IF(J271="trigram-word pairs",3,IF(J271="word-digit pairs",3,IF(J271="English-Swahili pairs",3,IF(J271="spatial position",3,IF(J271="word pairs",4,IF(J271="word triads",4,IF(J271="generated words",4,IF(J271="word definition pairs",4,IF(J271="math problems",4,IF(J271="famous faces",4,IF(J271="famous names",4,IF(J271="famous voices",4,IF(J271="television programs",4,IF(J271="race horses",4,IF(J271="new vocabulary",4,IF(J271="sentences",5,IF(J271="concepts",5,IF(J271="ad slides",5,IF(J271="scenes",5,IF(J271="famous scenes",5,IF(J271="poems",6,IF(J271="walk",6,IF(J271="faces and events",6,IF(J271="events and names",6,IF(J271="flashbulb",7,IF(J271="stories",7,IF(J271="course material",7,IF(J271="autobiographical",7,IF(J271="novels",7,IF(J271="public events",7,"99"))))))))))))))))))))))))))))))))))))))))))))))</f>
        <v>2</v>
      </c>
      <c r="M271" s="69">
        <v>0</v>
      </c>
      <c r="N271" s="69">
        <v>2</v>
      </c>
      <c r="O271" s="69">
        <v>1</v>
      </c>
      <c r="P271" s="69" t="s">
        <v>290</v>
      </c>
      <c r="Q271" s="69" t="s">
        <v>174</v>
      </c>
      <c r="R271" s="69">
        <f>IF(Q271="Free Recall",1,IF(Q271="Cued Recall",2,IF(Q271="Recognition",3,IF(Q271="Multiple Choice",4,IF(Q271="Savings",5,IF(Q271="Stem Completion",6,IF(Q271="Fragment Completion",7,IF(Q271="anagram solution",8,IF(Q271="Matching",9,IF(Q271="Problem Solving",10,"99"))))))))))</f>
        <v>1</v>
      </c>
      <c r="S271" s="69" t="s">
        <v>49</v>
      </c>
      <c r="T271" s="69" t="s">
        <v>261</v>
      </c>
      <c r="U271" s="69">
        <f>IF(T271="within",1,0)</f>
        <v>0</v>
      </c>
      <c r="V271" s="69">
        <v>20</v>
      </c>
      <c r="W271" s="69">
        <f>F271*V271</f>
        <v>5760</v>
      </c>
      <c r="X271" s="69">
        <v>6</v>
      </c>
      <c r="Y271" s="87">
        <f>AV270</f>
        <v>60</v>
      </c>
      <c r="Z271" s="69" t="s">
        <v>173</v>
      </c>
      <c r="AA271" s="69">
        <v>7257600</v>
      </c>
      <c r="AB271" s="69" t="str">
        <f>IF(AA271&lt;60,"1",IF(AA271&lt;=43200,"2",IF(AA271&lt;=777600,"3","4")))</f>
        <v>4</v>
      </c>
      <c r="AC271" s="72">
        <f>AVERAGE(AV270:DA270)</f>
        <v>1728610</v>
      </c>
      <c r="AD271" s="69" t="str">
        <f>IF(AC271&lt;60,"1",IF(AC271&lt;=43200,"2",IF(AC271&lt;=777600,"3","4")))</f>
        <v>4</v>
      </c>
      <c r="AE271" s="87">
        <f>AA271-Y271</f>
        <v>7257540</v>
      </c>
      <c r="AF271" s="88">
        <f>AV271</f>
        <v>0.45208333333333323</v>
      </c>
      <c r="AG271" s="72">
        <f>((AW271-AV271)+(AX271-AW271)+(AY271-AX271)+(AZ271-AY271)+(BA271-AZ271))/5</f>
        <v>-8.6666666666666642E-2</v>
      </c>
      <c r="AH271" s="4"/>
      <c r="AI271" s="72">
        <f>RSQ(AV271:BA271,AV270:BA270)</f>
        <v>0.43380317961689591</v>
      </c>
      <c r="AJ271" s="110">
        <f>SLOPE(AV271:BA271,AV270:BA270)</f>
        <v>-3.8096202666711515E-8</v>
      </c>
      <c r="AK271" s="72">
        <f>INTERCEPT(AV271:BA271,AV270:BA270)</f>
        <v>0.24502014355837087</v>
      </c>
      <c r="AL271" s="72">
        <f>INDEX(LINEST(LN(AV271:BA271),LN(AV270:BA270),TRUE,TRUE),3,1)</f>
        <v>0.82875371868913139</v>
      </c>
      <c r="AM271" s="72">
        <f>INDEX(LINEST(LN(AV271:BA271),LN(AV270:BA270)),1)</f>
        <v>-0.25494616483910487</v>
      </c>
      <c r="AN271" s="72">
        <f>EXP(INDEX(LINEST(LN(AV271:BA271),LN(AV270:BA270)),1,2))</f>
        <v>1.8874386771014482</v>
      </c>
      <c r="AO271" s="89">
        <f>INDEX(LINEST((AV271:BA271),LN(AV270:BA270),TRUE,TRUE),3,1)</f>
        <v>0.94845461074780446</v>
      </c>
      <c r="AP271" s="89">
        <f>INDEX(LINEST((AV271:BA271),LN(AV270:BA270)),1)</f>
        <v>-3.6530525950614498E-2</v>
      </c>
      <c r="AQ271" s="90">
        <f>INDEX(LINEST(LN(AV271:BA271),SQRT(AV270:BA270),TRUE,TRUE),3,1)</f>
        <v>0.92887820134697296</v>
      </c>
      <c r="AR271" s="117">
        <f>INDEX(LINEST(LN(AV271:BA271),SQRT((AV270:BA270))),1)</f>
        <v>-1.1326575911937021E-3</v>
      </c>
      <c r="AS271" s="91">
        <f>INDEX(LINEST(1/(AV271:BA271),1/(SQRT(AV270:BA270)),TRUE,TRUE),3,1)</f>
        <v>0.18021017540867584</v>
      </c>
      <c r="AT271" s="91">
        <f>INDEX(LINEST(1/(AV271:BA271),1/SQRT(AV270:BA270)),1)</f>
        <v>-165.89237132114539</v>
      </c>
      <c r="AU271" s="3"/>
      <c r="AV271" s="73">
        <v>0.45208333333333323</v>
      </c>
      <c r="AW271" s="73">
        <v>0.24375000000000002</v>
      </c>
      <c r="AX271" s="73">
        <v>0.23854166666666668</v>
      </c>
      <c r="AY271" s="73">
        <v>8.5416666666666655E-2</v>
      </c>
      <c r="AZ271" s="73">
        <v>3.6458333333333336E-2</v>
      </c>
      <c r="BA271" s="73">
        <v>1.8749999999999999E-2</v>
      </c>
      <c r="BB271" s="53"/>
      <c r="BC271" s="53"/>
      <c r="BD271" s="53"/>
      <c r="BE271" s="53"/>
      <c r="BF271" s="53"/>
      <c r="BG271" s="53"/>
      <c r="BH271" s="53"/>
      <c r="BI271" s="53"/>
      <c r="BJ271" s="53"/>
      <c r="BK271" s="53"/>
      <c r="BL271" s="53"/>
      <c r="BM271" s="53"/>
      <c r="BN271" s="53"/>
      <c r="BO271" s="53"/>
      <c r="BP271" s="53"/>
      <c r="BQ271" s="53"/>
      <c r="BR271" s="53"/>
      <c r="BS271" s="53"/>
      <c r="BT271" s="53"/>
      <c r="BU271" s="53"/>
      <c r="BV271" s="53"/>
      <c r="BW271" s="53"/>
      <c r="BX271" s="53"/>
      <c r="BY271" s="53"/>
      <c r="BZ271" s="53"/>
      <c r="CA271" s="53"/>
      <c r="CB271" s="53"/>
      <c r="CC271" s="53"/>
      <c r="CD271" s="53"/>
      <c r="CE271" s="53"/>
      <c r="CF271" s="53"/>
      <c r="CG271" s="53"/>
      <c r="CH271" s="53"/>
      <c r="CI271" s="53"/>
      <c r="CJ271" s="53"/>
      <c r="CK271" s="53"/>
      <c r="CL271" s="53"/>
      <c r="CM271" s="53"/>
      <c r="CN271" s="53"/>
      <c r="CO271" s="53"/>
      <c r="CP271" s="53"/>
      <c r="CQ271" s="53"/>
      <c r="CR271" s="1"/>
      <c r="CS271" s="1"/>
      <c r="CT271" s="1"/>
      <c r="CU271" s="1"/>
    </row>
    <row r="272" spans="1:99" s="13" customFormat="1" ht="12" customHeight="1" x14ac:dyDescent="0.2">
      <c r="A272" s="65">
        <v>43509</v>
      </c>
      <c r="B272" s="1"/>
      <c r="C272" s="1"/>
      <c r="D272" s="60"/>
      <c r="E272" s="76"/>
      <c r="F272" s="60"/>
      <c r="G272" s="60"/>
      <c r="H272" s="61"/>
      <c r="I272" s="60"/>
      <c r="J272" s="60"/>
      <c r="K272" s="64"/>
      <c r="L272" s="64"/>
      <c r="M272" s="60"/>
      <c r="N272" s="60"/>
      <c r="O272" s="60"/>
      <c r="P272" s="60"/>
      <c r="Q272" s="60"/>
      <c r="R272" s="60"/>
      <c r="S272" s="60"/>
      <c r="T272" s="60"/>
      <c r="U272" s="60"/>
      <c r="V272" s="60"/>
      <c r="W272" s="60"/>
      <c r="X272" s="60"/>
      <c r="Y272" s="76"/>
      <c r="Z272" s="60"/>
      <c r="AA272" s="60"/>
      <c r="AB272" s="60"/>
      <c r="AC272" s="60"/>
      <c r="AD272" s="60"/>
      <c r="AE272" s="60"/>
      <c r="AF272" s="80"/>
      <c r="AG272" s="56"/>
      <c r="AH272" s="4"/>
      <c r="AI272" s="56"/>
      <c r="AJ272" s="109"/>
      <c r="AK272" s="56"/>
      <c r="AL272" s="56"/>
      <c r="AM272" s="56"/>
      <c r="AN272" s="56"/>
      <c r="AO272" s="56"/>
      <c r="AP272" s="56"/>
      <c r="AQ272" s="56"/>
      <c r="AR272" s="109"/>
      <c r="AS272" s="56"/>
      <c r="AT272" s="56"/>
      <c r="AU272" s="4"/>
      <c r="AV272" s="25">
        <v>60</v>
      </c>
      <c r="AW272" s="25">
        <v>86400</v>
      </c>
      <c r="AX272" s="25">
        <v>259200</v>
      </c>
      <c r="AY272" s="25">
        <v>604800</v>
      </c>
      <c r="AZ272" s="25">
        <v>1209600</v>
      </c>
      <c r="BA272" s="25">
        <v>2419200</v>
      </c>
      <c r="BB272" s="25">
        <v>3628800</v>
      </c>
      <c r="BC272" s="25">
        <v>4838400</v>
      </c>
      <c r="BD272" s="25">
        <v>7257600</v>
      </c>
      <c r="BE272" s="53"/>
      <c r="BF272" s="53"/>
      <c r="BG272" s="53"/>
      <c r="BH272" s="53"/>
      <c r="BI272" s="53"/>
      <c r="BJ272" s="53"/>
      <c r="BK272" s="53"/>
      <c r="BL272" s="53"/>
      <c r="BM272" s="53"/>
      <c r="BN272" s="53"/>
      <c r="BO272" s="53"/>
      <c r="BP272" s="53"/>
      <c r="BQ272" s="53"/>
      <c r="BR272" s="53"/>
      <c r="BS272" s="53"/>
      <c r="BT272" s="53"/>
      <c r="BU272" s="53"/>
      <c r="BV272" s="53"/>
      <c r="BW272" s="53"/>
      <c r="BX272" s="53"/>
      <c r="BY272" s="53"/>
      <c r="BZ272" s="53"/>
      <c r="CA272" s="53"/>
      <c r="CB272" s="53"/>
      <c r="CC272" s="53"/>
      <c r="CD272" s="53"/>
      <c r="CE272" s="53"/>
      <c r="CF272" s="53"/>
      <c r="CG272" s="53"/>
      <c r="CH272" s="53"/>
      <c r="CI272" s="53"/>
      <c r="CJ272" s="53"/>
      <c r="CK272" s="53"/>
      <c r="CL272" s="53"/>
      <c r="CM272" s="53"/>
      <c r="CN272" s="53"/>
      <c r="CO272" s="53"/>
      <c r="CP272" s="53"/>
      <c r="CQ272" s="53"/>
      <c r="CR272" s="1"/>
      <c r="CS272" s="1"/>
      <c r="CT272" s="1"/>
      <c r="CU272" s="1"/>
    </row>
    <row r="273" spans="1:99" s="13" customFormat="1" ht="12" customHeight="1" x14ac:dyDescent="0.2">
      <c r="A273" s="65">
        <v>43509</v>
      </c>
      <c r="B273" s="1" t="s">
        <v>471</v>
      </c>
      <c r="C273" s="1" t="s">
        <v>107</v>
      </c>
      <c r="D273" s="60">
        <v>2019</v>
      </c>
      <c r="E273" s="76">
        <v>2</v>
      </c>
      <c r="F273" s="60">
        <v>144</v>
      </c>
      <c r="G273" s="60">
        <v>16</v>
      </c>
      <c r="H273" s="60" t="s">
        <v>32</v>
      </c>
      <c r="I273" s="60"/>
      <c r="J273" s="60" t="s">
        <v>475</v>
      </c>
      <c r="K273" s="60">
        <f>IF(J273="syllables",1,IF(J273="trigrams",2,IF(J273="strings",3,IF(J273="visual array",4,IF(J273="characters",5,IF(J273="letters",6,IF(J273="free forms",7,IF(J273="odors",8,IF(J273="words",9,IF(J273="pictures",10,IF(J273="object pictures",11,IF(J273="faces",12,IF(J273="names",13,IF(J273="idioms",14,IF(J273="grades",15,IF(J273="syllable-digit pairs",16,IF(J273="trigram-word pairs",17,IF(J273="word-digit pairs",18,IF(J273="English-Swahili pairs",19,IF(J273="spatial position",20,IF(J273="word pairs",21,IF(J273="word triads",22,IF(J273="generated words",23,IF(J273="word definition pairs",24,IF(J273="math problems",25,IF(J273="famous faces",26,IF(J273="famous names",27,IF(J273="famous voices",28,IF(J273="television programs",29,IF(J273="race horses",30,IF(J273="new vocabulary",31,IF(J273="sentences",32,IF(J273="concepts",33,IF(J273="ad slides",34,IF(J273="scenes",35,IF(J273="famous scenes",36,IF(J273="poems",37,IF(J273="walk",38,IF(J273="faces and events",39,IF(J273="events and names",40,IF(J273="flashbulb",41,IF(J273="stories",42,IF(J273="course material",43,IF(J273="autobiographical",44,IF(J273="novels",45,IF(J273="public events",46,"99"))))))))))))))))))))))))))))))))))))))))))))))</f>
        <v>32</v>
      </c>
      <c r="L273" s="60">
        <f>IF(J273="syllables",1,IF(J273="trigrams",1,IF(J273="strings",1,IF(J273="visual array",1,IF(J273="characters",1,IF(J273="letters",1,IF(J273="free forms",1,IF(J273="odors",2,IF(J273="words",2,IF(J273="pictures",2,IF(J273="object pictures",2,IF(J273="faces",2,IF(J273="names",2,IF(J273="idioms","2",IF(J273="grades",2,IF(J273="syllable-digit pairs",3,IF(J273="trigram-word pairs",3,IF(J273="word-digit pairs",3,IF(J273="English-Swahili pairs",3,IF(J273="spatial position",3,IF(J273="word pairs",4,IF(J273="word triads",4,IF(J273="generated words",4,IF(J273="word definition pairs",4,IF(J273="math problems",4,IF(J273="famous faces",4,IF(J273="famous names",4,IF(J273="famous voices",4,IF(J273="television programs",4,IF(J273="race horses",4,IF(J273="new vocabulary",4,IF(J273="sentences",5,IF(J273="concepts",5,IF(J273="ad slides",5,IF(J273="scenes",5,IF(J273="famous scenes",5,IF(J273="poems",6,IF(J273="walk",6,IF(J273="faces and events",6,IF(J273="events and names",6,IF(J273="flashbulb",7,IF(J273="stories",7,IF(J273="course material",7,IF(J273="autobiographical",7,IF(J273="novels",7,IF(J273="public events",7,"99"))))))))))))))))))))))))))))))))))))))))))))))</f>
        <v>5</v>
      </c>
      <c r="M273" s="60">
        <v>1</v>
      </c>
      <c r="N273" s="60">
        <v>4</v>
      </c>
      <c r="O273" s="60">
        <v>0</v>
      </c>
      <c r="P273" s="60"/>
      <c r="Q273" s="60" t="s">
        <v>34</v>
      </c>
      <c r="R273" s="60">
        <f>IF(Q273="Free Recall",1,IF(Q273="Cued Recall",2,IF(Q273="Recognition",3,IF(Q273="Multiple Choice",4,IF(Q273="Savings",5,IF(Q273="Stem Completion",6,IF(Q273="Fragment Completion",7,IF(Q273="anagram solution",8,IF(Q273="Matching",9,IF(Q273="Problem Solving",10,"99"))))))))))</f>
        <v>3</v>
      </c>
      <c r="S273" s="60" t="s">
        <v>15</v>
      </c>
      <c r="T273" s="60" t="s">
        <v>261</v>
      </c>
      <c r="U273" s="60">
        <f>IF(T273="within",1,0)</f>
        <v>0</v>
      </c>
      <c r="V273" s="60">
        <v>18</v>
      </c>
      <c r="W273" s="60">
        <f>F273*V273</f>
        <v>2592</v>
      </c>
      <c r="X273" s="60">
        <v>9</v>
      </c>
      <c r="Y273" s="76">
        <f>AV272</f>
        <v>60</v>
      </c>
      <c r="Z273" s="60" t="s">
        <v>173</v>
      </c>
      <c r="AA273" s="60">
        <v>7257600</v>
      </c>
      <c r="AB273" s="60" t="str">
        <f>IF(AA273&lt;60,"1",IF(AA273&lt;=43200,"2",IF(AA273&lt;=777600,"3","4")))</f>
        <v>4</v>
      </c>
      <c r="AC273" s="56">
        <f>AVERAGE(AV272:DA272)</f>
        <v>2256006.6666666665</v>
      </c>
      <c r="AD273" s="60" t="str">
        <f>IF(AC273&lt;60,"1",IF(AC273&lt;=43200,"2",IF(AC273&lt;=777600,"3","4")))</f>
        <v>4</v>
      </c>
      <c r="AE273" s="76">
        <f>AA273-Y273</f>
        <v>7257540</v>
      </c>
      <c r="AF273" s="80">
        <f>AV273</f>
        <v>1</v>
      </c>
      <c r="AG273" s="56">
        <f>((AW273-AV273)+(AX273-AW273)+(AY273-AX273)+(AZ273-AY273)+(BA273-AZ273)+(BB273-BA273)+(BC273-BB273)+(BD273-BC273))/8</f>
        <v>-3.8750000000000007E-2</v>
      </c>
      <c r="AH273" s="4"/>
      <c r="AI273" s="56">
        <f>RSQ(AV273:BD273,AV272:BD272)</f>
        <v>0.9576538922675969</v>
      </c>
      <c r="AJ273" s="109">
        <f>SLOPE(AV273:BD273,AV272:BD272)</f>
        <v>-4.576017067918815E-8</v>
      </c>
      <c r="AK273" s="56">
        <f>INTERCEPT(AV273:BD273,AV272:BD272)</f>
        <v>0.99101302789783074</v>
      </c>
      <c r="AL273" s="56">
        <f>INDEX(LINEST(LN(AV273:BD273),LN(AV272:BD272),TRUE,TRUE),3,1)</f>
        <v>0.42714412216732872</v>
      </c>
      <c r="AM273" s="56">
        <f>INDEX(LINEST(LN(AV273:BD273),LN(AV272:BD272)),1)</f>
        <v>-2.515431825260913E-2</v>
      </c>
      <c r="AN273" s="56">
        <f>EXP(INDEX(LINEST(LN(AV273:BD273),LN(AV272:BD272)),1,2))</f>
        <v>1.2183578556967045</v>
      </c>
      <c r="AO273" s="82">
        <f>INDEX(LINEST((AV273:BD273),LN(AV272:BD272),TRUE,TRUE),3,1)</f>
        <v>0.44523418578156537</v>
      </c>
      <c r="AP273" s="82">
        <f>INDEX(LINEST((AV273:BD273),LN(AV272:BD272)),1)</f>
        <v>-2.1874635521936966E-2</v>
      </c>
      <c r="AQ273" s="83">
        <f>INDEX(LINEST(LN(AV273:BD273),SQRT(AV272:BD272),TRUE,TRUE),3,1)</f>
        <v>0.94444965104936185</v>
      </c>
      <c r="AR273" s="116">
        <f>INDEX(LINEST(LN(AV273:BD273),SQRT((AV272:BD272))),1)</f>
        <v>-1.4687309355269527E-4</v>
      </c>
      <c r="AS273" s="84">
        <f>INDEX(LINEST(1/(AV273:BD273),1/(SQRT(AV272:BD272)),TRUE,TRUE),3,1)</f>
        <v>0.12035334699306682</v>
      </c>
      <c r="AT273" s="84">
        <f>INDEX(LINEST(1/(AV273:BD273),1/SQRT(AV272:BD272)),1)</f>
        <v>-1.3422830117068729</v>
      </c>
      <c r="AU273" s="3"/>
      <c r="AV273" s="53">
        <v>1</v>
      </c>
      <c r="AW273" s="53">
        <v>0.99</v>
      </c>
      <c r="AX273" s="53">
        <v>1</v>
      </c>
      <c r="AY273" s="53">
        <v>0.98</v>
      </c>
      <c r="AZ273" s="53">
        <v>0.93</v>
      </c>
      <c r="BA273" s="53">
        <v>0.83</v>
      </c>
      <c r="BB273" s="53">
        <v>0.82</v>
      </c>
      <c r="BC273" s="53">
        <v>0.75</v>
      </c>
      <c r="BD273" s="53">
        <v>0.69</v>
      </c>
      <c r="BE273" s="53"/>
      <c r="BF273" s="53"/>
      <c r="BG273" s="53"/>
      <c r="BH273" s="53"/>
      <c r="BI273" s="53"/>
      <c r="BJ273" s="53"/>
      <c r="BK273" s="53"/>
      <c r="BL273" s="53"/>
      <c r="BM273" s="53"/>
      <c r="BN273" s="53"/>
      <c r="BO273" s="53"/>
      <c r="BP273" s="53"/>
      <c r="BQ273" s="53"/>
      <c r="BR273" s="53"/>
      <c r="BS273" s="53"/>
      <c r="BT273" s="53"/>
      <c r="BU273" s="53"/>
      <c r="BV273" s="53"/>
      <c r="BW273" s="53"/>
      <c r="BX273" s="53"/>
      <c r="BY273" s="53"/>
      <c r="BZ273" s="53"/>
      <c r="CA273" s="53"/>
      <c r="CB273" s="53"/>
      <c r="CC273" s="53"/>
      <c r="CD273" s="53"/>
      <c r="CE273" s="53"/>
      <c r="CF273" s="53"/>
      <c r="CG273" s="53"/>
      <c r="CH273" s="53"/>
      <c r="CI273" s="53"/>
      <c r="CJ273" s="53"/>
      <c r="CK273" s="53"/>
      <c r="CL273" s="53"/>
      <c r="CM273" s="53"/>
      <c r="CN273" s="53"/>
      <c r="CO273" s="53"/>
      <c r="CP273" s="53"/>
      <c r="CQ273" s="53"/>
      <c r="CR273" s="1"/>
      <c r="CS273" s="1"/>
      <c r="CT273" s="1"/>
      <c r="CU273" s="1"/>
    </row>
    <row r="274" spans="1:99" s="13" customFormat="1" ht="12" customHeight="1" x14ac:dyDescent="0.2">
      <c r="A274" s="65">
        <v>43509</v>
      </c>
      <c r="B274" s="1"/>
      <c r="C274" s="1"/>
      <c r="D274" s="60"/>
      <c r="E274" s="76"/>
      <c r="F274" s="60"/>
      <c r="G274" s="60"/>
      <c r="H274" s="61"/>
      <c r="I274" s="60"/>
      <c r="J274" s="60"/>
      <c r="K274" s="64"/>
      <c r="L274" s="64"/>
      <c r="M274" s="60"/>
      <c r="N274" s="60"/>
      <c r="O274" s="60"/>
      <c r="P274" s="60"/>
      <c r="Q274" s="60"/>
      <c r="R274" s="60"/>
      <c r="S274" s="60"/>
      <c r="T274" s="60"/>
      <c r="U274" s="60"/>
      <c r="V274" s="60"/>
      <c r="W274" s="60"/>
      <c r="X274" s="60"/>
      <c r="Y274" s="76"/>
      <c r="Z274" s="60"/>
      <c r="AA274" s="60"/>
      <c r="AB274" s="60"/>
      <c r="AC274" s="60"/>
      <c r="AD274" s="60"/>
      <c r="AE274" s="60"/>
      <c r="AF274" s="80"/>
      <c r="AG274" s="56"/>
      <c r="AH274" s="4"/>
      <c r="AI274" s="56"/>
      <c r="AJ274" s="109"/>
      <c r="AK274" s="56"/>
      <c r="AL274" s="56"/>
      <c r="AM274" s="56"/>
      <c r="AN274" s="56"/>
      <c r="AO274" s="56"/>
      <c r="AP274" s="56"/>
      <c r="AQ274" s="82"/>
      <c r="AR274" s="115"/>
      <c r="AS274" s="82"/>
      <c r="AT274" s="82"/>
      <c r="AU274" s="4"/>
      <c r="AV274" s="25">
        <v>60</v>
      </c>
      <c r="AW274" s="25">
        <v>86400</v>
      </c>
      <c r="AX274" s="25">
        <v>259200</v>
      </c>
      <c r="AY274" s="25">
        <v>604800</v>
      </c>
      <c r="AZ274" s="25">
        <v>864000</v>
      </c>
      <c r="BA274" s="25">
        <v>1209600</v>
      </c>
      <c r="BB274" s="53"/>
      <c r="BC274" s="53"/>
      <c r="BD274" s="53"/>
      <c r="BE274" s="53"/>
      <c r="BF274" s="53"/>
      <c r="BG274" s="53"/>
      <c r="BH274" s="53"/>
      <c r="BI274" s="53"/>
      <c r="BJ274" s="53"/>
      <c r="BK274" s="53"/>
      <c r="BL274" s="53"/>
      <c r="BM274" s="53"/>
      <c r="BN274" s="53"/>
      <c r="BO274" s="53"/>
      <c r="BP274" s="53"/>
      <c r="BQ274" s="53"/>
      <c r="BR274" s="53"/>
      <c r="BS274" s="53"/>
      <c r="BT274" s="53"/>
      <c r="BU274" s="53"/>
      <c r="BV274" s="53"/>
      <c r="BW274" s="53"/>
      <c r="BX274" s="53"/>
      <c r="BY274" s="53"/>
      <c r="BZ274" s="53"/>
      <c r="CA274" s="53"/>
      <c r="CB274" s="53"/>
      <c r="CC274" s="53"/>
      <c r="CD274" s="53"/>
      <c r="CE274" s="53"/>
      <c r="CF274" s="53"/>
      <c r="CG274" s="53"/>
      <c r="CH274" s="53"/>
      <c r="CI274" s="53"/>
      <c r="CJ274" s="53"/>
      <c r="CK274" s="53"/>
      <c r="CL274" s="53"/>
      <c r="CM274" s="53"/>
      <c r="CN274" s="53"/>
      <c r="CO274" s="53"/>
      <c r="CP274" s="53"/>
      <c r="CQ274" s="53"/>
      <c r="CR274" s="1"/>
      <c r="CS274" s="1"/>
      <c r="CT274" s="1"/>
      <c r="CU274" s="1"/>
    </row>
    <row r="275" spans="1:99" s="13" customFormat="1" ht="12" customHeight="1" x14ac:dyDescent="0.2">
      <c r="A275" s="65">
        <v>43509</v>
      </c>
      <c r="B275" s="1" t="s">
        <v>471</v>
      </c>
      <c r="C275" s="1" t="s">
        <v>107</v>
      </c>
      <c r="D275" s="60">
        <v>2019</v>
      </c>
      <c r="E275" s="76">
        <v>3</v>
      </c>
      <c r="F275" s="60">
        <v>144</v>
      </c>
      <c r="G275" s="60">
        <v>24</v>
      </c>
      <c r="H275" s="60" t="s">
        <v>17</v>
      </c>
      <c r="I275" s="60"/>
      <c r="J275" s="60" t="s">
        <v>320</v>
      </c>
      <c r="K275" s="60">
        <f>IF(J275="syllables",1,IF(J275="trigrams",2,IF(J275="strings",3,IF(J275="visual array",4,IF(J275="characters",5,IF(J275="letters",6,IF(J275="free forms",7,IF(J275="odors",8,IF(J275="words",9,IF(J275="pictures",10,IF(J275="object pictures",11,IF(J275="faces",12,IF(J275="names",13,IF(J275="idioms",14,IF(J275="grades",15,IF(J275="syllable-digit pairs",16,IF(J275="trigram-word pairs",17,IF(J275="word-digit pairs",18,IF(J275="English-Swahili pairs",19,IF(J275="spatial position",20,IF(J275="word pairs",21,IF(J275="word triads",22,IF(J275="generated words",23,IF(J275="word definition pairs",24,IF(J275="math problems",25,IF(J275="famous faces",26,IF(J275="famous names",27,IF(J275="famous voices",28,IF(J275="television programs",29,IF(J275="race horses",30,IF(J275="new vocabulary",31,IF(J275="sentences",32,IF(J275="concepts",33,IF(J275="ad slides",34,IF(J275="scenes",35,IF(J275="famous scenes",36,IF(J275="poems",37,IF(J275="walk",38,IF(J275="faces and events",39,IF(J275="events and names",40,IF(J275="flashbulb",41,IF(J275="stories",42,IF(J275="course material",43,IF(J275="autobiographical",44,IF(J275="novels",45,IF(J275="public events",46,"99"))))))))))))))))))))))))))))))))))))))))))))))</f>
        <v>21</v>
      </c>
      <c r="L275" s="60">
        <f>IF(J275="syllables",1,IF(J275="trigrams",1,IF(J275="strings",1,IF(J275="visual array",1,IF(J275="characters",1,IF(J275="letters",1,IF(J275="free forms",1,IF(J275="odors",2,IF(J275="words",2,IF(J275="pictures",2,IF(J275="object pictures",2,IF(J275="faces",2,IF(J275="names",2,IF(J275="idioms","2",IF(J275="grades",2,IF(J275="syllable-digit pairs",3,IF(J275="trigram-word pairs",3,IF(J275="word-digit pairs",3,IF(J275="English-Swahili pairs",3,IF(J275="spatial position",3,IF(J275="word pairs",4,IF(J275="word triads",4,IF(J275="generated words",4,IF(J275="word definition pairs",4,IF(J275="math problems",4,IF(J275="famous faces",4,IF(J275="famous names",4,IF(J275="famous voices",4,IF(J275="television programs",4,IF(J275="race horses",4,IF(J275="new vocabulary",4,IF(J275="sentences",5,IF(J275="concepts",5,IF(J275="ad slides",5,IF(J275="scenes",5,IF(J275="famous scenes",5,IF(J275="poems",6,IF(J275="walk",6,IF(J275="faces and events",6,IF(J275="events and names",6,IF(J275="flashbulb",7,IF(J275="stories",7,IF(J275="course material",7,IF(J275="autobiographical",7,IF(J275="novels",7,IF(J275="public events",7,"99"))))))))))))))))))))))))))))))))))))))))))))))</f>
        <v>4</v>
      </c>
      <c r="M275" s="60">
        <v>1</v>
      </c>
      <c r="N275" s="60">
        <v>4</v>
      </c>
      <c r="O275" s="60">
        <v>0</v>
      </c>
      <c r="P275" s="60"/>
      <c r="Q275" s="60" t="s">
        <v>34</v>
      </c>
      <c r="R275" s="60">
        <f>IF(Q275="Free Recall",1,IF(Q275="Cued Recall",2,IF(Q275="Recognition",3,IF(Q275="Multiple Choice",4,IF(Q275="Savings",5,IF(Q275="Stem Completion",6,IF(Q275="Fragment Completion",7,IF(Q275="anagram solution",8,IF(Q275="Matching",9,IF(Q275="Problem Solving",10,"99"))))))))))</f>
        <v>3</v>
      </c>
      <c r="S275" s="60" t="s">
        <v>15</v>
      </c>
      <c r="T275" s="60" t="s">
        <v>261</v>
      </c>
      <c r="U275" s="60">
        <f>IF(T275="within",1,0)</f>
        <v>0</v>
      </c>
      <c r="V275" s="60">
        <v>18</v>
      </c>
      <c r="W275" s="60">
        <f>F275*V275</f>
        <v>2592</v>
      </c>
      <c r="X275" s="60">
        <v>6</v>
      </c>
      <c r="Y275" s="76">
        <f>AV274</f>
        <v>60</v>
      </c>
      <c r="Z275" s="60" t="s">
        <v>170</v>
      </c>
      <c r="AA275" s="60">
        <f>14*24*2600</f>
        <v>873600</v>
      </c>
      <c r="AB275" s="60" t="str">
        <f>IF(AA275&lt;60,"1",IF(AA275&lt;=43200,"2",IF(AA275&lt;=777600,"3","4")))</f>
        <v>4</v>
      </c>
      <c r="AC275" s="56">
        <f>AVERAGE(AV274:DA274)</f>
        <v>504010</v>
      </c>
      <c r="AD275" s="60" t="str">
        <f>IF(AC275&lt;60,"1",IF(AC275&lt;=43200,"2",IF(AC275&lt;=777600,"3","4")))</f>
        <v>3</v>
      </c>
      <c r="AE275" s="76">
        <f>AA275-Y275</f>
        <v>873540</v>
      </c>
      <c r="AF275" s="80">
        <f>AV275</f>
        <v>0.96467391304347827</v>
      </c>
      <c r="AG275" s="56">
        <f>((AW275-AV275)+(AX275-AW275)+(AY275-AX275)+(AZ275-AY275)+(BA275-AZ275))/5</f>
        <v>-3.3152173913043481E-2</v>
      </c>
      <c r="AH275" s="4"/>
      <c r="AI275" s="56">
        <f>RSQ(AV275:BA275,AV274:BA274)</f>
        <v>0.9341051079853373</v>
      </c>
      <c r="AJ275" s="109">
        <f>SLOPE(AV275:BA275,AV274:BA274)</f>
        <v>-1.5623538958867493E-7</v>
      </c>
      <c r="AK275" s="56">
        <f>INTERCEPT(AV275:BA275,AV274:BA274)</f>
        <v>0.96393441609789243</v>
      </c>
      <c r="AL275" s="56">
        <f>INDEX(LINEST(LN(AV275:BA275),LN(AV274:BA274),TRUE,TRUE),3,1)</f>
        <v>0.4763967731021696</v>
      </c>
      <c r="AM275" s="56">
        <f>INDEX(LINEST(LN(AV275:BA275),LN(AV274:BA274)),1)</f>
        <v>-1.6099550602488931E-2</v>
      </c>
      <c r="AN275" s="56">
        <f>EXP(INDEX(LINEST(LN(AV275:BA275),LN(AV274:BA274)),1,2))</f>
        <v>1.0616248232865657</v>
      </c>
      <c r="AO275" s="82">
        <f>INDEX(LINEST((AV275:BA275),LN(AV274:BA274),TRUE,TRUE),3,1)</f>
        <v>0.485579578416234</v>
      </c>
      <c r="AP275" s="82">
        <f>INDEX(LINEST((AV275:BA275),LN(AV274:BA274)),1)</f>
        <v>-1.4279678231667354E-2</v>
      </c>
      <c r="AQ275" s="83">
        <f>INDEX(LINEST(LN(AV275:BA275),SQRT(AV274:BA274),TRUE,TRUE),3,1)</f>
        <v>0.8930031176324783</v>
      </c>
      <c r="AR275" s="116">
        <f>INDEX(LINEST(LN(AV275:BA275),SQRT((AV274:BA274))),1)</f>
        <v>-2.0099473596771561E-4</v>
      </c>
      <c r="AS275" s="84">
        <f>INDEX(LINEST(1/(AV275:BA275),1/(SQRT(AV274:BA274)),TRUE,TRUE),3,1)</f>
        <v>0.25614957778536462</v>
      </c>
      <c r="AT275" s="84">
        <f>INDEX(LINEST(1/(AV275:BA275),1/SQRT(AV274:BA274)),1)</f>
        <v>-0.96993422840949683</v>
      </c>
      <c r="AU275" s="3"/>
      <c r="AV275" s="53">
        <v>0.96467391304347827</v>
      </c>
      <c r="AW275" s="53">
        <v>0.95244565217391308</v>
      </c>
      <c r="AX275" s="53">
        <v>0.94157608695652173</v>
      </c>
      <c r="AY275" s="53">
        <v>0.85054347826086951</v>
      </c>
      <c r="AZ275" s="53">
        <v>0.80298913043478259</v>
      </c>
      <c r="BA275" s="53">
        <v>0.79891304347826086</v>
      </c>
      <c r="BB275" s="53"/>
      <c r="BC275" s="53"/>
      <c r="BD275" s="53"/>
      <c r="BE275" s="53"/>
      <c r="BF275" s="53"/>
      <c r="BG275" s="53"/>
      <c r="BH275" s="53"/>
      <c r="BI275" s="53"/>
      <c r="BJ275" s="53"/>
      <c r="BK275" s="53"/>
      <c r="BL275" s="53"/>
      <c r="BM275" s="53"/>
      <c r="BN275" s="53"/>
      <c r="BO275" s="53"/>
      <c r="BP275" s="53"/>
      <c r="BQ275" s="53"/>
      <c r="BR275" s="53"/>
      <c r="BS275" s="53"/>
      <c r="BT275" s="53"/>
      <c r="BU275" s="53"/>
      <c r="BV275" s="53"/>
      <c r="BW275" s="53"/>
      <c r="BX275" s="53"/>
      <c r="BY275" s="53"/>
      <c r="BZ275" s="53"/>
      <c r="CA275" s="53"/>
      <c r="CB275" s="53"/>
      <c r="CC275" s="53"/>
      <c r="CD275" s="53"/>
      <c r="CE275" s="53"/>
      <c r="CF275" s="53"/>
      <c r="CG275" s="53"/>
      <c r="CH275" s="53"/>
      <c r="CI275" s="53"/>
      <c r="CJ275" s="53"/>
      <c r="CK275" s="53"/>
      <c r="CL275" s="53"/>
      <c r="CM275" s="53"/>
      <c r="CN275" s="53"/>
      <c r="CO275" s="53"/>
      <c r="CP275" s="53"/>
      <c r="CQ275" s="53"/>
      <c r="CR275" s="1"/>
      <c r="CS275" s="1"/>
      <c r="CT275" s="1"/>
      <c r="CU275" s="1"/>
    </row>
    <row r="276" spans="1:99" s="13" customFormat="1" ht="12" customHeight="1" x14ac:dyDescent="0.2">
      <c r="A276" s="65">
        <v>43509</v>
      </c>
      <c r="B276" s="1"/>
      <c r="C276" s="1"/>
      <c r="D276" s="60"/>
      <c r="E276" s="76"/>
      <c r="F276" s="60"/>
      <c r="G276" s="60"/>
      <c r="H276" s="60"/>
      <c r="I276" s="60"/>
      <c r="J276" s="60"/>
      <c r="K276" s="64"/>
      <c r="L276" s="64"/>
      <c r="M276" s="60"/>
      <c r="N276" s="60"/>
      <c r="O276" s="60"/>
      <c r="P276" s="60"/>
      <c r="Q276" s="60"/>
      <c r="R276" s="60"/>
      <c r="S276" s="60"/>
      <c r="T276" s="60"/>
      <c r="U276" s="60"/>
      <c r="V276" s="60"/>
      <c r="W276" s="60"/>
      <c r="X276" s="60"/>
      <c r="Y276" s="76"/>
      <c r="Z276" s="60"/>
      <c r="AA276" s="60"/>
      <c r="AB276" s="60"/>
      <c r="AC276" s="60"/>
      <c r="AD276" s="60"/>
      <c r="AE276" s="60"/>
      <c r="AF276" s="80"/>
      <c r="AG276" s="56"/>
      <c r="AH276" s="4"/>
      <c r="AI276" s="56"/>
      <c r="AJ276" s="109"/>
      <c r="AK276" s="56"/>
      <c r="AL276" s="56"/>
      <c r="AM276" s="56"/>
      <c r="AN276" s="56"/>
      <c r="AO276" s="56"/>
      <c r="AP276" s="56"/>
      <c r="AQ276" s="56"/>
      <c r="AR276" s="109"/>
      <c r="AS276" s="56"/>
      <c r="AT276" s="56"/>
      <c r="AU276" s="4"/>
      <c r="AV276" s="25">
        <f>10*60</f>
        <v>600</v>
      </c>
      <c r="AW276" s="25">
        <f>60*60</f>
        <v>3600</v>
      </c>
      <c r="AX276" s="25">
        <f>24*60*60</f>
        <v>86400</v>
      </c>
      <c r="AY276" s="25">
        <f>7*24*60*60</f>
        <v>604800</v>
      </c>
      <c r="AZ276" s="25">
        <f>30*24*60*60*1</f>
        <v>2592000</v>
      </c>
      <c r="BA276" s="25">
        <f>30*24*60*60*3</f>
        <v>7776000</v>
      </c>
      <c r="BB276" s="53"/>
      <c r="BC276" s="53"/>
      <c r="BD276" s="53"/>
      <c r="BE276" s="53"/>
      <c r="BF276" s="53"/>
      <c r="BG276" s="53"/>
      <c r="BH276" s="53"/>
      <c r="BI276" s="53"/>
      <c r="BJ276" s="53"/>
      <c r="BK276" s="53"/>
      <c r="BL276" s="53"/>
      <c r="BM276" s="53"/>
      <c r="BN276" s="53"/>
      <c r="BO276" s="53"/>
      <c r="BP276" s="53"/>
      <c r="BQ276" s="53"/>
      <c r="BR276" s="53"/>
      <c r="BS276" s="53"/>
      <c r="BT276" s="53"/>
      <c r="BU276" s="53"/>
      <c r="BV276" s="53"/>
      <c r="BW276" s="53"/>
      <c r="BX276" s="53"/>
      <c r="BY276" s="53"/>
      <c r="BZ276" s="53"/>
      <c r="CA276" s="53"/>
      <c r="CB276" s="53"/>
      <c r="CC276" s="53"/>
      <c r="CD276" s="53"/>
      <c r="CE276" s="53"/>
      <c r="CF276" s="53"/>
      <c r="CG276" s="53"/>
      <c r="CH276" s="53"/>
      <c r="CI276" s="53"/>
      <c r="CJ276" s="53"/>
      <c r="CK276" s="53"/>
      <c r="CL276" s="53"/>
      <c r="CM276" s="53"/>
      <c r="CN276" s="53"/>
      <c r="CO276" s="53"/>
      <c r="CP276" s="53"/>
      <c r="CQ276" s="53"/>
      <c r="CR276" s="1"/>
      <c r="CS276" s="1"/>
      <c r="CT276" s="1"/>
      <c r="CU276" s="1"/>
    </row>
    <row r="277" spans="1:99" s="13" customFormat="1" ht="12" customHeight="1" x14ac:dyDescent="0.2">
      <c r="A277" s="65">
        <v>43509</v>
      </c>
      <c r="B277" s="22" t="s">
        <v>178</v>
      </c>
      <c r="C277" s="1" t="s">
        <v>75</v>
      </c>
      <c r="D277" s="60">
        <v>1976</v>
      </c>
      <c r="E277" s="76">
        <v>1</v>
      </c>
      <c r="F277" s="60">
        <v>124</v>
      </c>
      <c r="G277" s="60">
        <v>20.7</v>
      </c>
      <c r="H277" s="60" t="s">
        <v>41</v>
      </c>
      <c r="I277" s="60" t="s">
        <v>16</v>
      </c>
      <c r="J277" s="60" t="s">
        <v>16</v>
      </c>
      <c r="K277" s="60">
        <f>IF(J277="syllables",1,IF(J277="trigrams",2,IF(J277="strings",3,IF(J277="visual array",4,IF(J277="characters",5,IF(J277="letters",6,IF(J277="free forms",7,IF(J277="odors",8,IF(J277="words",9,IF(J277="pictures",10,IF(J277="object pictures",11,IF(J277="faces",12,IF(J277="names",13,IF(J277="idioms",14,IF(J277="grades",15,IF(J277="syllable-digit pairs",16,IF(J277="trigram-word pairs",17,IF(J277="word-digit pairs",18,IF(J277="English-Swahili pairs",19,IF(J277="spatial position",20,IF(J277="word pairs",21,IF(J277="word triads",22,IF(J277="generated words",23,IF(J277="word definition pairs",24,IF(J277="math problems",25,IF(J277="famous faces",26,IF(J277="famous names",27,IF(J277="famous voices",28,IF(J277="television programs",29,IF(J277="race horses",30,IF(J277="new vocabulary",31,IF(J277="sentences",32,IF(J277="concepts",33,IF(J277="ad slides",34,IF(J277="scenes",35,IF(J277="famous scenes",36,IF(J277="poems",37,IF(J277="walk",38,IF(J277="faces and events",39,IF(J277="events and names",40,IF(J277="flashbulb",41,IF(J277="stories",42,IF(J277="course material",43,IF(J277="autobiographical",44,IF(J277="novels",45,IF(J277="public events",46,"99"))))))))))))))))))))))))))))))))))))))))))))))</f>
        <v>9</v>
      </c>
      <c r="L277" s="60">
        <f>IF(J277="syllables",1,IF(J277="trigrams",1,IF(J277="strings",1,IF(J277="visual array",1,IF(J277="characters",1,IF(J277="letters",1,IF(J277="free forms",1,IF(J277="odors",2,IF(J277="words",2,IF(J277="pictures",2,IF(J277="object pictures",2,IF(J277="faces",2,IF(J277="names",2,IF(J277="idioms","2",IF(J277="grades",2,IF(J277="syllable-digit pairs",3,IF(J277="trigram-word pairs",3,IF(J277="word-digit pairs",3,IF(J277="English-Swahili pairs",3,IF(J277="spatial position",3,IF(J277="word pairs",4,IF(J277="word triads",4,IF(J277="generated words",4,IF(J277="word definition pairs",4,IF(J277="math problems",4,IF(J277="famous faces",4,IF(J277="famous names",4,IF(J277="famous voices",4,IF(J277="television programs",4,IF(J277="race horses",4,IF(J277="new vocabulary",4,IF(J277="sentences",5,IF(J277="concepts",5,IF(J277="ad slides",5,IF(J277="scenes",5,IF(J277="famous scenes",5,IF(J277="poems",6,IF(J277="walk",6,IF(J277="faces and events",6,IF(J277="events and names",6,IF(J277="flashbulb",7,IF(J277="stories",7,IF(J277="course material",7,IF(J277="autobiographical",7,IF(J277="novels",7,IF(J277="public events",7,"99"))))))))))))))))))))))))))))))))))))))))))))))</f>
        <v>2</v>
      </c>
      <c r="M277" s="60">
        <v>0</v>
      </c>
      <c r="N277" s="60">
        <v>1</v>
      </c>
      <c r="O277" s="60">
        <v>0</v>
      </c>
      <c r="P277" s="60"/>
      <c r="Q277" s="60" t="s">
        <v>34</v>
      </c>
      <c r="R277" s="60">
        <f>IF(Q277="Free Recall",1,IF(Q277="Cued Recall",2,IF(Q277="Recognition",3,IF(Q277="Multiple Choice",4,IF(Q277="Savings",5,IF(Q277="Stem Completion",6,IF(Q277="Fragment Completion",7,IF(Q277="anagram solution",8,IF(Q277="Matching",9,IF(Q277="Problem Solving",10,"99"))))))))))</f>
        <v>3</v>
      </c>
      <c r="S277" s="60" t="s">
        <v>15</v>
      </c>
      <c r="T277" s="60" t="s">
        <v>261</v>
      </c>
      <c r="U277" s="60">
        <f>IF(T277="within",1,0)</f>
        <v>0</v>
      </c>
      <c r="V277" s="60">
        <v>70</v>
      </c>
      <c r="W277" s="60">
        <f>F277*V277</f>
        <v>8680</v>
      </c>
      <c r="X277" s="60">
        <v>6</v>
      </c>
      <c r="Y277" s="76">
        <f>AV276</f>
        <v>600</v>
      </c>
      <c r="Z277" s="60" t="s">
        <v>179</v>
      </c>
      <c r="AA277" s="60">
        <v>7776000</v>
      </c>
      <c r="AB277" s="60" t="str">
        <f>IF(AA277&lt;60,"1",IF(AA277&lt;=43200,"2",IF(AA277&lt;=777600,"3","4")))</f>
        <v>4</v>
      </c>
      <c r="AC277" s="56">
        <f>AVERAGE(AV276:DA276)</f>
        <v>1843900</v>
      </c>
      <c r="AD277" s="60" t="str">
        <f>IF(AC277&lt;60,"1",IF(AC277&lt;=43200,"2",IF(AC277&lt;=777600,"3","4")))</f>
        <v>4</v>
      </c>
      <c r="AE277" s="76">
        <f>AA277-Y277</f>
        <v>7775400</v>
      </c>
      <c r="AF277" s="80">
        <f>AV277</f>
        <v>0.52400000000000002</v>
      </c>
      <c r="AG277" s="56">
        <f>((AW277-AV277)+(AX277-AW277)+(AY277-AX277)+(AZ277-AY277)+(BA277-AZ277))/5</f>
        <v>-7.4800000000000005E-2</v>
      </c>
      <c r="AH277" s="4"/>
      <c r="AI277" s="56">
        <f>RSQ(AV277:BA277,AV276:BA276)</f>
        <v>0.51198298856257207</v>
      </c>
      <c r="AJ277" s="109">
        <f>SLOPE(AV277:BA277,AV276:BA276)</f>
        <v>-3.6021696588329291E-8</v>
      </c>
      <c r="AK277" s="56">
        <f>INTERCEPT(AV277:BA277,AV276:BA276)</f>
        <v>0.38058707300588701</v>
      </c>
      <c r="AL277" s="56">
        <f>INDEX(LINEST(LN(AV277:BA277),LN(AV276:BA276),TRUE,TRUE),3,1)</f>
        <v>0.95727869668187693</v>
      </c>
      <c r="AM277" s="56">
        <f>INDEX(LINEST(LN(AV277:BA277),LN(AV276:BA276)),1)</f>
        <v>-0.13643061076973123</v>
      </c>
      <c r="AN277" s="56">
        <f>EXP(INDEX(LINEST(LN(AV277:BA277),LN(AV276:BA276)),1,2))</f>
        <v>1.380434283147109</v>
      </c>
      <c r="AO277" s="82">
        <f>INDEX(LINEST((AV277:BA277),LN(AV276:BA276),TRUE,TRUE),3,1)</f>
        <v>0.98923303792230832</v>
      </c>
      <c r="AP277" s="82">
        <f>INDEX(LINEST((AV277:BA277),LN(AV276:BA276)),1)</f>
        <v>-4.1120673523316026E-2</v>
      </c>
      <c r="AQ277" s="83">
        <f>INDEX(LINEST(LN(AV277:BA277),SQRT(AV276:BA276),TRUE,TRUE),3,1)</f>
        <v>0.8504494173796785</v>
      </c>
      <c r="AR277" s="116">
        <f>INDEX(LINEST(LN(AV277:BA277),SQRT((AV276:BA276))),1)</f>
        <v>-4.4189658231641091E-4</v>
      </c>
      <c r="AS277" s="84">
        <f>INDEX(LINEST(1/(AV277:BA277),1/(SQRT(AV276:BA276)),TRUE,TRUE),3,1)</f>
        <v>0.51048555523026073</v>
      </c>
      <c r="AT277" s="84">
        <f>INDEX(LINEST(1/(AV277:BA277),1/SQRT(AV276:BA276)),1)</f>
        <v>-88.71533930743648</v>
      </c>
      <c r="AU277" s="3"/>
      <c r="AV277" s="53">
        <v>0.52400000000000002</v>
      </c>
      <c r="AW277" s="53">
        <v>0.45400000000000001</v>
      </c>
      <c r="AX277" s="53">
        <v>0.35299999999999998</v>
      </c>
      <c r="AY277" s="53">
        <v>0.23599999999999999</v>
      </c>
      <c r="AZ277" s="53">
        <v>0.16800000000000001</v>
      </c>
      <c r="BA277" s="53">
        <v>0.15</v>
      </c>
      <c r="BB277" s="53"/>
      <c r="BC277" s="53"/>
      <c r="BD277" s="53"/>
      <c r="BE277" s="53"/>
      <c r="BF277" s="53"/>
      <c r="BG277" s="53"/>
      <c r="BH277" s="53"/>
      <c r="BI277" s="53"/>
      <c r="BJ277" s="53"/>
      <c r="BK277" s="53"/>
      <c r="BL277" s="53"/>
      <c r="BM277" s="53"/>
      <c r="BN277" s="53"/>
      <c r="BO277" s="53"/>
      <c r="BP277" s="53"/>
      <c r="BQ277" s="53"/>
      <c r="BR277" s="53"/>
      <c r="BS277" s="53"/>
      <c r="BT277" s="53"/>
      <c r="BU277" s="53"/>
      <c r="BV277" s="53"/>
      <c r="BW277" s="53"/>
      <c r="BX277" s="53"/>
      <c r="BY277" s="53"/>
      <c r="BZ277" s="53"/>
      <c r="CA277" s="53"/>
      <c r="CB277" s="53"/>
      <c r="CC277" s="53"/>
      <c r="CD277" s="53"/>
      <c r="CE277" s="53"/>
      <c r="CF277" s="53"/>
      <c r="CG277" s="53"/>
      <c r="CH277" s="53"/>
      <c r="CI277" s="53"/>
      <c r="CJ277" s="53"/>
      <c r="CK277" s="53"/>
      <c r="CL277" s="53"/>
      <c r="CM277" s="53"/>
      <c r="CN277" s="53"/>
      <c r="CO277" s="53"/>
      <c r="CP277" s="53"/>
      <c r="CQ277" s="53"/>
      <c r="CR277" s="1"/>
      <c r="CS277" s="1"/>
      <c r="CT277" s="1"/>
      <c r="CU277" s="1"/>
    </row>
    <row r="278" spans="1:99" s="13" customFormat="1" ht="12" customHeight="1" x14ac:dyDescent="0.2">
      <c r="A278" s="65">
        <v>43509</v>
      </c>
      <c r="B278" s="1"/>
      <c r="C278" s="1"/>
      <c r="D278" s="60"/>
      <c r="E278" s="76"/>
      <c r="F278" s="60"/>
      <c r="G278" s="60"/>
      <c r="H278" s="60"/>
      <c r="I278" s="60"/>
      <c r="J278" s="60"/>
      <c r="K278" s="64"/>
      <c r="L278" s="64"/>
      <c r="M278" s="60"/>
      <c r="N278" s="60"/>
      <c r="O278" s="60"/>
      <c r="P278" s="60"/>
      <c r="Q278" s="60"/>
      <c r="R278" s="60"/>
      <c r="S278" s="60"/>
      <c r="T278" s="60"/>
      <c r="U278" s="60"/>
      <c r="V278" s="60"/>
      <c r="W278" s="60"/>
      <c r="X278" s="60"/>
      <c r="Y278" s="76"/>
      <c r="Z278" s="60"/>
      <c r="AA278" s="60"/>
      <c r="AB278" s="60"/>
      <c r="AC278" s="60"/>
      <c r="AD278" s="60"/>
      <c r="AE278" s="60"/>
      <c r="AF278" s="80"/>
      <c r="AG278" s="56"/>
      <c r="AH278" s="4"/>
      <c r="AI278" s="56"/>
      <c r="AJ278" s="109"/>
      <c r="AK278" s="56"/>
      <c r="AL278" s="56"/>
      <c r="AM278" s="56"/>
      <c r="AN278" s="56"/>
      <c r="AO278" s="56"/>
      <c r="AP278" s="56"/>
      <c r="AQ278" s="56"/>
      <c r="AR278" s="109"/>
      <c r="AS278" s="56"/>
      <c r="AT278" s="56"/>
      <c r="AU278" s="4"/>
      <c r="AV278" s="25">
        <f>10*60</f>
        <v>600</v>
      </c>
      <c r="AW278" s="25">
        <f>60*60</f>
        <v>3600</v>
      </c>
      <c r="AX278" s="25">
        <f>24*60*60</f>
        <v>86400</v>
      </c>
      <c r="AY278" s="25">
        <f>7*24*60*60</f>
        <v>604800</v>
      </c>
      <c r="AZ278" s="25">
        <f>30*24*60*60*1</f>
        <v>2592000</v>
      </c>
      <c r="BA278" s="25">
        <f>30*24*60*60*3</f>
        <v>7776000</v>
      </c>
      <c r="BB278" s="53"/>
      <c r="BC278" s="53"/>
      <c r="BD278" s="53"/>
      <c r="BE278" s="53"/>
      <c r="BF278" s="53"/>
      <c r="BG278" s="53"/>
      <c r="BH278" s="53"/>
      <c r="BI278" s="53"/>
      <c r="BJ278" s="53"/>
      <c r="BK278" s="53"/>
      <c r="BL278" s="53"/>
      <c r="BM278" s="53"/>
      <c r="BN278" s="53"/>
      <c r="BO278" s="53"/>
      <c r="BP278" s="53"/>
      <c r="BQ278" s="53"/>
      <c r="BR278" s="53"/>
      <c r="BS278" s="53"/>
      <c r="BT278" s="53"/>
      <c r="BU278" s="53"/>
      <c r="BV278" s="53"/>
      <c r="BW278" s="53"/>
      <c r="BX278" s="53"/>
      <c r="BY278" s="53"/>
      <c r="BZ278" s="53"/>
      <c r="CA278" s="53"/>
      <c r="CB278" s="53"/>
      <c r="CC278" s="53"/>
      <c r="CD278" s="53"/>
      <c r="CE278" s="53"/>
      <c r="CF278" s="53"/>
      <c r="CG278" s="53"/>
      <c r="CH278" s="53"/>
      <c r="CI278" s="53"/>
      <c r="CJ278" s="53"/>
      <c r="CK278" s="53"/>
      <c r="CL278" s="53"/>
      <c r="CM278" s="53"/>
      <c r="CN278" s="53"/>
      <c r="CO278" s="53"/>
      <c r="CP278" s="53"/>
      <c r="CQ278" s="53"/>
      <c r="CR278" s="1"/>
      <c r="CS278" s="1"/>
      <c r="CT278" s="1"/>
      <c r="CU278" s="1"/>
    </row>
    <row r="279" spans="1:99" s="13" customFormat="1" ht="12" customHeight="1" x14ac:dyDescent="0.2">
      <c r="A279" s="65">
        <v>43509</v>
      </c>
      <c r="B279" s="1" t="s">
        <v>178</v>
      </c>
      <c r="C279" s="1" t="s">
        <v>75</v>
      </c>
      <c r="D279" s="60">
        <v>1976</v>
      </c>
      <c r="E279" s="76">
        <v>1</v>
      </c>
      <c r="F279" s="60">
        <v>124</v>
      </c>
      <c r="G279" s="60">
        <v>20.7</v>
      </c>
      <c r="H279" s="60" t="s">
        <v>41</v>
      </c>
      <c r="I279" s="60" t="s">
        <v>313</v>
      </c>
      <c r="J279" s="60" t="s">
        <v>313</v>
      </c>
      <c r="K279" s="60">
        <f>IF(J279="syllables",1,IF(J279="trigrams",2,IF(J279="strings",3,IF(J279="visual array",4,IF(J279="characters",5,IF(J279="letters",6,IF(J279="free forms",7,IF(J279="odors",8,IF(J279="words",9,IF(J279="pictures",10,IF(J279="object pictures",11,IF(J279="faces",12,IF(J279="names",13,IF(J279="idioms",14,IF(J279="grades",15,IF(J279="syllable-digit pairs",16,IF(J279="trigram-word pairs",17,IF(J279="word-digit pairs",18,IF(J279="English-Swahili pairs",19,IF(J279="spatial position",20,IF(J279="word pairs",21,IF(J279="word triads",22,IF(J279="generated words",23,IF(J279="word definition pairs",24,IF(J279="math problems",25,IF(J279="famous faces",26,IF(J279="famous names",27,IF(J279="famous voices",28,IF(J279="television programs",29,IF(J279="race horses",30,IF(J279="new vocabulary",31,IF(J279="sentences",32,IF(J279="concepts",33,IF(J279="ad slides",34,IF(J279="scenes",35,IF(J279="famous scenes",36,IF(J279="poems",37,IF(J279="walk",38,IF(J279="faces and events",39,IF(J279="events and names",40,IF(J279="flashbulb",41,IF(J279="stories",42,IF(J279="course material",43,IF(J279="autobiographical",44,IF(J279="novels",45,IF(J279="public events",46,"99"))))))))))))))))))))))))))))))))))))))))))))))</f>
        <v>10</v>
      </c>
      <c r="L279" s="60">
        <f>IF(J279="syllables",1,IF(J279="trigrams",1,IF(J279="strings",1,IF(J279="visual array",1,IF(J279="characters",1,IF(J279="letters",1,IF(J279="free forms",1,IF(J279="odors",2,IF(J279="words",2,IF(J279="pictures",2,IF(J279="object pictures",2,IF(J279="faces",2,IF(J279="names",2,IF(J279="idioms","2",IF(J279="grades",2,IF(J279="syllable-digit pairs",3,IF(J279="trigram-word pairs",3,IF(J279="word-digit pairs",3,IF(J279="English-Swahili pairs",3,IF(J279="spatial position",3,IF(J279="word pairs",4,IF(J279="word triads",4,IF(J279="generated words",4,IF(J279="word definition pairs",4,IF(J279="math problems",4,IF(J279="famous faces",4,IF(J279="famous names",4,IF(J279="famous voices",4,IF(J279="television programs",4,IF(J279="race horses",4,IF(J279="new vocabulary",4,IF(J279="sentences",5,IF(J279="concepts",5,IF(J279="ad slides",5,IF(J279="scenes",5,IF(J279="famous scenes",5,IF(J279="poems",6,IF(J279="walk",6,IF(J279="faces and events",6,IF(J279="events and names",6,IF(J279="flashbulb",7,IF(J279="stories",7,IF(J279="course material",7,IF(J279="autobiographical",7,IF(J279="novels",7,IF(J279="public events",7,"99"))))))))))))))))))))))))))))))))))))))))))))))</f>
        <v>2</v>
      </c>
      <c r="M279" s="60">
        <v>0</v>
      </c>
      <c r="N279" s="60">
        <v>1</v>
      </c>
      <c r="O279" s="60">
        <v>0</v>
      </c>
      <c r="P279" s="60"/>
      <c r="Q279" s="60" t="s">
        <v>34</v>
      </c>
      <c r="R279" s="60">
        <f>IF(Q279="Free Recall",1,IF(Q279="Cued Recall",2,IF(Q279="Recognition",3,IF(Q279="Multiple Choice",4,IF(Q279="Savings",5,IF(Q279="Stem Completion",6,IF(Q279="Fragment Completion",7,IF(Q279="anagram solution",8,IF(Q279="Matching",9,IF(Q279="Problem Solving",10,"99"))))))))))</f>
        <v>3</v>
      </c>
      <c r="S279" s="60" t="s">
        <v>15</v>
      </c>
      <c r="T279" s="60" t="s">
        <v>261</v>
      </c>
      <c r="U279" s="60">
        <f>IF(T279="within",1,0)</f>
        <v>0</v>
      </c>
      <c r="V279" s="60">
        <v>70</v>
      </c>
      <c r="W279" s="60">
        <f>F279*V279</f>
        <v>8680</v>
      </c>
      <c r="X279" s="60">
        <v>6</v>
      </c>
      <c r="Y279" s="76">
        <f>AV278</f>
        <v>600</v>
      </c>
      <c r="Z279" s="60" t="s">
        <v>179</v>
      </c>
      <c r="AA279" s="60">
        <v>7776000</v>
      </c>
      <c r="AB279" s="60" t="str">
        <f>IF(AA279&lt;60,"1",IF(AA279&lt;=43200,"2",IF(AA279&lt;=777600,"3","4")))</f>
        <v>4</v>
      </c>
      <c r="AC279" s="56">
        <f>AVERAGE(AV278:DA278)</f>
        <v>1843900</v>
      </c>
      <c r="AD279" s="60" t="str">
        <f>IF(AC279&lt;60,"1",IF(AC279&lt;=43200,"2",IF(AC279&lt;=777600,"3","4")))</f>
        <v>4</v>
      </c>
      <c r="AE279" s="76">
        <f>AA279-Y279</f>
        <v>7775400</v>
      </c>
      <c r="AF279" s="80">
        <f>AV279</f>
        <v>0.73399999999999999</v>
      </c>
      <c r="AG279" s="56">
        <f>((AW279-AV279)+(AX279-AW279)+(AY279-AX279)+(AZ279-AY279)+(BA279-AZ279))/5</f>
        <v>-0.10440000000000001</v>
      </c>
      <c r="AH279" s="4"/>
      <c r="AI279" s="56">
        <f>RSQ(AV279:BA279,AV278:BA278)</f>
        <v>0.60505030916663527</v>
      </c>
      <c r="AJ279" s="109">
        <f>SLOPE(AV279:BA279,AV278:BA278)</f>
        <v>-5.2474887703306165E-8</v>
      </c>
      <c r="AK279" s="56">
        <f>INTERCEPT(AV279:BA279,AV278:BA278)</f>
        <v>0.56359177876945965</v>
      </c>
      <c r="AL279" s="56">
        <f>INDEX(LINEST(LN(AV279:BA279),LN(AV278:BA278),TRUE,TRUE),3,1)</f>
        <v>0.93649480365385929</v>
      </c>
      <c r="AM279" s="56">
        <f>INDEX(LINEST(LN(AV279:BA279),LN(AV278:BA278)),1)</f>
        <v>-0.12476404999902357</v>
      </c>
      <c r="AN279" s="56">
        <f>EXP(INDEX(LINEST(LN(AV279:BA279),LN(AV278:BA278)),1,2))</f>
        <v>1.8227879122536301</v>
      </c>
      <c r="AO279" s="82">
        <f>INDEX(LINEST((AV279:BA279),LN(AV278:BA278),TRUE,TRUE),3,1)</f>
        <v>0.99171307925829255</v>
      </c>
      <c r="AP279" s="82">
        <f>INDEX(LINEST((AV279:BA279),LN(AV278:BA278)),1)</f>
        <v>-5.5172582122364262E-2</v>
      </c>
      <c r="AQ279" s="83">
        <f>INDEX(LINEST(LN(AV279:BA279),SQRT(AV278:BA278),TRUE,TRUE),3,1)</f>
        <v>0.92946056541598954</v>
      </c>
      <c r="AR279" s="116">
        <f>INDEX(LINEST(LN(AV279:BA279),SQRT((AV278:BA278))),1)</f>
        <v>-4.2712602576634251E-4</v>
      </c>
      <c r="AS279" s="84">
        <f>INDEX(LINEST(1/(AV279:BA279),1/(SQRT(AV278:BA278)),TRUE,TRUE),3,1)</f>
        <v>0.44727569653100541</v>
      </c>
      <c r="AT279" s="84">
        <f>INDEX(LINEST(1/(AV279:BA279),1/SQRT(AV278:BA278)),1)</f>
        <v>-53.481867109743362</v>
      </c>
      <c r="AU279" s="3"/>
      <c r="AV279" s="53">
        <v>0.73399999999999999</v>
      </c>
      <c r="AW279" s="53">
        <v>0.66900000000000004</v>
      </c>
      <c r="AX279" s="53">
        <v>0.503</v>
      </c>
      <c r="AY279" s="53">
        <v>0.39</v>
      </c>
      <c r="AZ279" s="53">
        <v>0.29299999999999998</v>
      </c>
      <c r="BA279" s="53">
        <v>0.21199999999999999</v>
      </c>
      <c r="BB279" s="53"/>
      <c r="BC279" s="53"/>
      <c r="BD279" s="53"/>
      <c r="BE279" s="53"/>
      <c r="BF279" s="53"/>
      <c r="BG279" s="53"/>
      <c r="BH279" s="53"/>
      <c r="BI279" s="53"/>
      <c r="BJ279" s="53"/>
      <c r="BK279" s="53"/>
      <c r="BL279" s="53"/>
      <c r="BM279" s="53"/>
      <c r="BN279" s="53"/>
      <c r="BO279" s="53"/>
      <c r="BP279" s="53"/>
      <c r="BQ279" s="53"/>
      <c r="BR279" s="53"/>
      <c r="BS279" s="53"/>
      <c r="BT279" s="53"/>
      <c r="BU279" s="53"/>
      <c r="BV279" s="53"/>
      <c r="BW279" s="53"/>
      <c r="BX279" s="53"/>
      <c r="BY279" s="53"/>
      <c r="BZ279" s="53"/>
      <c r="CA279" s="53"/>
      <c r="CB279" s="53"/>
      <c r="CC279" s="53"/>
      <c r="CD279" s="53"/>
      <c r="CE279" s="53"/>
      <c r="CF279" s="53"/>
      <c r="CG279" s="53"/>
      <c r="CH279" s="53"/>
      <c r="CI279" s="53"/>
      <c r="CJ279" s="53"/>
      <c r="CK279" s="53"/>
      <c r="CL279" s="53"/>
      <c r="CM279" s="53"/>
      <c r="CN279" s="53"/>
      <c r="CO279" s="53"/>
      <c r="CP279" s="53"/>
      <c r="CQ279" s="53"/>
      <c r="CR279" s="1"/>
      <c r="CS279" s="1"/>
      <c r="CT279" s="1"/>
      <c r="CU279" s="1"/>
    </row>
    <row r="280" spans="1:99" s="13" customFormat="1" ht="12" customHeight="1" x14ac:dyDescent="0.2">
      <c r="A280" s="65">
        <v>43509</v>
      </c>
      <c r="B280" s="1"/>
      <c r="C280" s="1"/>
      <c r="D280" s="60"/>
      <c r="E280" s="76"/>
      <c r="F280" s="60"/>
      <c r="G280" s="60"/>
      <c r="H280" s="60"/>
      <c r="I280" s="60"/>
      <c r="J280" s="60"/>
      <c r="K280" s="64"/>
      <c r="L280" s="64"/>
      <c r="M280" s="60"/>
      <c r="N280" s="60"/>
      <c r="O280" s="60"/>
      <c r="P280" s="60"/>
      <c r="Q280" s="60"/>
      <c r="R280" s="60"/>
      <c r="S280" s="60"/>
      <c r="T280" s="60"/>
      <c r="U280" s="60"/>
      <c r="V280" s="60"/>
      <c r="W280" s="60"/>
      <c r="X280" s="60"/>
      <c r="Y280" s="76"/>
      <c r="Z280" s="60"/>
      <c r="AA280" s="60"/>
      <c r="AB280" s="60"/>
      <c r="AC280" s="56"/>
      <c r="AD280" s="60"/>
      <c r="AE280" s="60"/>
      <c r="AF280" s="80"/>
      <c r="AG280" s="56"/>
      <c r="AH280" s="4"/>
      <c r="AI280" s="56"/>
      <c r="AJ280" s="109"/>
      <c r="AK280" s="56"/>
      <c r="AL280" s="56"/>
      <c r="AM280" s="56"/>
      <c r="AN280" s="56"/>
      <c r="AO280" s="82"/>
      <c r="AP280" s="82"/>
      <c r="AQ280" s="83"/>
      <c r="AR280" s="116"/>
      <c r="AS280" s="84"/>
      <c r="AT280" s="84"/>
      <c r="AU280" s="3"/>
      <c r="AV280" s="25">
        <v>900</v>
      </c>
      <c r="AW280" s="25">
        <v>2592000</v>
      </c>
      <c r="AX280" s="25">
        <v>5270400</v>
      </c>
      <c r="AY280" s="53"/>
      <c r="AZ280" s="53"/>
      <c r="BA280" s="53"/>
      <c r="BB280" s="53"/>
      <c r="BC280" s="53"/>
      <c r="BD280" s="53"/>
      <c r="BE280" s="53"/>
      <c r="BF280" s="53"/>
      <c r="BG280" s="53"/>
      <c r="BH280" s="53"/>
      <c r="BI280" s="53"/>
      <c r="BJ280" s="53"/>
      <c r="BK280" s="53"/>
      <c r="BL280" s="53"/>
      <c r="BM280" s="53"/>
      <c r="BN280" s="53"/>
      <c r="BO280" s="53"/>
      <c r="BP280" s="53"/>
      <c r="BQ280" s="53"/>
      <c r="BR280" s="53"/>
      <c r="BS280" s="53"/>
      <c r="BT280" s="53"/>
      <c r="BU280" s="53"/>
      <c r="BV280" s="53"/>
      <c r="BW280" s="53"/>
      <c r="BX280" s="53"/>
      <c r="BY280" s="53"/>
      <c r="BZ280" s="53"/>
      <c r="CA280" s="53"/>
      <c r="CB280" s="53"/>
      <c r="CC280" s="53"/>
      <c r="CD280" s="53"/>
      <c r="CE280" s="53"/>
      <c r="CF280" s="53"/>
      <c r="CG280" s="53"/>
      <c r="CH280" s="53"/>
      <c r="CI280" s="53"/>
      <c r="CJ280" s="53"/>
      <c r="CK280" s="53"/>
      <c r="CL280" s="53"/>
      <c r="CM280" s="53"/>
      <c r="CN280" s="53"/>
      <c r="CO280" s="53"/>
      <c r="CP280" s="53"/>
      <c r="CQ280" s="53"/>
      <c r="CR280" s="1"/>
      <c r="CS280" s="1"/>
      <c r="CT280" s="1"/>
      <c r="CU280" s="1"/>
    </row>
    <row r="281" spans="1:99" s="13" customFormat="1" ht="12" customHeight="1" x14ac:dyDescent="0.2">
      <c r="A281" s="65">
        <v>43509</v>
      </c>
      <c r="B281" s="22" t="s">
        <v>178</v>
      </c>
      <c r="C281" s="1" t="s">
        <v>75</v>
      </c>
      <c r="D281" s="60">
        <v>1976</v>
      </c>
      <c r="E281" s="76">
        <v>2</v>
      </c>
      <c r="F281" s="60">
        <v>100</v>
      </c>
      <c r="G281" s="60">
        <v>33.299999999999997</v>
      </c>
      <c r="H281" s="60" t="s">
        <v>38</v>
      </c>
      <c r="I281" s="60" t="s">
        <v>16</v>
      </c>
      <c r="J281" s="60" t="s">
        <v>16</v>
      </c>
      <c r="K281" s="60">
        <f>IF(J281="syllables",1,IF(J281="trigrams",2,IF(J281="strings",3,IF(J281="visual array",4,IF(J281="characters",5,IF(J281="letters",6,IF(J281="free forms",7,IF(J281="odors",8,IF(J281="words",9,IF(J281="pictures",10,IF(J281="object pictures",11,IF(J281="faces",12,IF(J281="names",13,IF(J281="idioms",14,IF(J281="grades",15,IF(J281="syllable-digit pairs",16,IF(J281="trigram-word pairs",17,IF(J281="word-digit pairs",18,IF(J281="English-Swahili pairs",19,IF(J281="spatial position",20,IF(J281="word pairs",21,IF(J281="word triads",22,IF(J281="generated words",23,IF(J281="word definition pairs",24,IF(J281="math problems",25,IF(J281="famous faces",26,IF(J281="famous names",27,IF(J281="famous voices",28,IF(J281="television programs",29,IF(J281="race horses",30,IF(J281="new vocabulary",31,IF(J281="sentences",32,IF(J281="concepts",33,IF(J281="ad slides",34,IF(J281="scenes",35,IF(J281="famous scenes",36,IF(J281="poems",37,IF(J281="walk",38,IF(J281="faces and events",39,IF(J281="events and names",40,IF(J281="flashbulb",41,IF(J281="stories",42,IF(J281="course material",43,IF(J281="autobiographical",44,IF(J281="novels",45,IF(J281="public events",46,"99"))))))))))))))))))))))))))))))))))))))))))))))</f>
        <v>9</v>
      </c>
      <c r="L281" s="60">
        <f>IF(J281="syllables",1,IF(J281="trigrams",1,IF(J281="strings",1,IF(J281="visual array",1,IF(J281="characters",1,IF(J281="letters",1,IF(J281="free forms",1,IF(J281="odors",2,IF(J281="words",2,IF(J281="pictures",2,IF(J281="object pictures",2,IF(J281="faces",2,IF(J281="names",2,IF(J281="idioms","2",IF(J281="grades",2,IF(J281="syllable-digit pairs",3,IF(J281="trigram-word pairs",3,IF(J281="word-digit pairs",3,IF(J281="English-Swahili pairs",3,IF(J281="spatial position",3,IF(J281="word pairs",4,IF(J281="word triads",4,IF(J281="generated words",4,IF(J281="word definition pairs",4,IF(J281="math problems",4,IF(J281="famous faces",4,IF(J281="famous names",4,IF(J281="famous voices",4,IF(J281="television programs",4,IF(J281="race horses",4,IF(J281="new vocabulary",4,IF(J281="sentences",5,IF(J281="concepts",5,IF(J281="ad slides",5,IF(J281="scenes",5,IF(J281="famous scenes",5,IF(J281="poems",6,IF(J281="walk",6,IF(J281="faces and events",6,IF(J281="events and names",6,IF(J281="flashbulb",7,IF(J281="stories",7,IF(J281="course material",7,IF(J281="autobiographical",7,IF(J281="novels",7,IF(J281="public events",7,"99"))))))))))))))))))))))))))))))))))))))))))))))</f>
        <v>2</v>
      </c>
      <c r="M281" s="60">
        <v>0</v>
      </c>
      <c r="N281" s="60">
        <v>1</v>
      </c>
      <c r="O281" s="60">
        <v>0</v>
      </c>
      <c r="P281" s="60"/>
      <c r="Q281" s="60" t="s">
        <v>34</v>
      </c>
      <c r="R281" s="60">
        <f>IF(Q281="Free Recall",1,IF(Q281="Cued Recall",2,IF(Q281="Recognition",3,IF(Q281="Multiple Choice",4,IF(Q281="Savings",5,IF(Q281="Stem Completion",6,IF(Q281="Fragment Completion",7,IF(Q281="anagram solution",8,IF(Q281="Matching",9,IF(Q281="Problem Solving",10,"99"))))))))))</f>
        <v>3</v>
      </c>
      <c r="S281" s="60" t="s">
        <v>15</v>
      </c>
      <c r="T281" s="60" t="s">
        <v>261</v>
      </c>
      <c r="U281" s="60">
        <f>IF(T281="within",1,0)</f>
        <v>0</v>
      </c>
      <c r="V281" s="60">
        <v>70</v>
      </c>
      <c r="W281" s="60">
        <f>F281*V281</f>
        <v>7000</v>
      </c>
      <c r="X281" s="60">
        <v>3</v>
      </c>
      <c r="Y281" s="76">
        <f>AV280</f>
        <v>900</v>
      </c>
      <c r="Z281" s="60" t="s">
        <v>193</v>
      </c>
      <c r="AA281" s="60">
        <v>5270400</v>
      </c>
      <c r="AB281" s="60" t="str">
        <f>IF(AA281&lt;60,"1",IF(AA281&lt;=43200,"2",IF(AA281&lt;=777600,"3","4")))</f>
        <v>4</v>
      </c>
      <c r="AC281" s="56">
        <f>AVERAGE(AV280:DA280)</f>
        <v>2621100</v>
      </c>
      <c r="AD281" s="60" t="str">
        <f>IF(AC281&lt;60,"1",IF(AC281&lt;=43200,"2",IF(AC281&lt;=777600,"3","4")))</f>
        <v>4</v>
      </c>
      <c r="AE281" s="76">
        <f>AA281-Y281</f>
        <v>5269500</v>
      </c>
      <c r="AF281" s="80">
        <f>AV281</f>
        <v>0.76200000000000001</v>
      </c>
      <c r="AG281" s="56">
        <f>((AW281-AV281)+(AX281-AW281))/2</f>
        <v>-0.10425000000000001</v>
      </c>
      <c r="AH281" s="4"/>
      <c r="AI281" s="56">
        <f>RSQ(AV281:AX281,AV280:AX280)</f>
        <v>0.86200494294906194</v>
      </c>
      <c r="AJ281" s="109">
        <f>SLOPE(AV281:AX281,AV280:AX280)</f>
        <v>-3.941647361887947E-8</v>
      </c>
      <c r="AK281" s="56">
        <f>INTERCEPT(AV281:AX281,AV280:AX280)</f>
        <v>0.73764785233577834</v>
      </c>
      <c r="AL281" s="56">
        <f>INDEX(LINEST(LN(AV281:AX281),LN(AV280:AX280),TRUE,TRUE),3,1)</f>
        <v>0.98952623315950439</v>
      </c>
      <c r="AM281" s="56">
        <f>INDEX(LINEST(LN(AV281:AX281),LN(AV280:AX280)),1)</f>
        <v>-3.5106235397858558E-2</v>
      </c>
      <c r="AN281" s="56">
        <f>EXP(INDEX(LINEST(LN(AV281:AX281),LN(AV280:AX280)),1,2))</f>
        <v>0.96896926356501933</v>
      </c>
      <c r="AO281" s="82">
        <f>INDEX(LINEST((AV281:AX281),LN(AV280:AX280),TRUE,TRUE),3,1)</f>
        <v>0.9937984340578826</v>
      </c>
      <c r="AP281" s="82">
        <f>INDEX(LINEST((AV281:AX281),LN(AV280:AX280)),1)</f>
        <v>-2.3150852996013285E-2</v>
      </c>
      <c r="AQ281" s="83">
        <f>INDEX(LINEST(LN(AV281:AX281),SQRT(AV280:AX280),TRUE,TRUE),3,1)</f>
        <v>0.98487125848108759</v>
      </c>
      <c r="AR281" s="116">
        <f>INDEX(LINEST(LN(AV281:AX281),SQRT((AV280:AX280))),1)</f>
        <v>-1.4519585205238186E-4</v>
      </c>
      <c r="AS281" s="84">
        <f>INDEX(LINEST(1/(AV281:AX281),1/(SQRT(AV280:AX280)),TRUE,TRUE),3,1)</f>
        <v>0.96163783524923085</v>
      </c>
      <c r="AT281" s="84">
        <f>INDEX(LINEST(1/(AV281:AX281),1/SQRT(AV280:AX280)),1)</f>
        <v>-13.48890420973197</v>
      </c>
      <c r="AU281" s="3"/>
      <c r="AV281" s="53">
        <v>0.76200000000000001</v>
      </c>
      <c r="AW281" s="53">
        <v>0.58750000000000002</v>
      </c>
      <c r="AX281" s="53">
        <v>0.55349999999999999</v>
      </c>
      <c r="AY281" s="53"/>
      <c r="AZ281" s="53"/>
      <c r="BA281" s="53"/>
      <c r="BB281" s="53"/>
      <c r="BC281" s="53"/>
      <c r="BD281" s="53"/>
      <c r="BE281" s="53"/>
      <c r="BF281" s="53"/>
      <c r="BG281" s="53"/>
      <c r="BH281" s="53"/>
      <c r="BI281" s="53"/>
      <c r="BJ281" s="53"/>
      <c r="BK281" s="53"/>
      <c r="BL281" s="53"/>
      <c r="BM281" s="53"/>
      <c r="BN281" s="53"/>
      <c r="BO281" s="53"/>
      <c r="BP281" s="53"/>
      <c r="BQ281" s="53"/>
      <c r="BR281" s="53"/>
      <c r="BS281" s="53"/>
      <c r="BT281" s="53"/>
      <c r="BU281" s="53"/>
      <c r="BV281" s="53"/>
      <c r="BW281" s="53"/>
      <c r="BX281" s="53"/>
      <c r="BY281" s="53"/>
      <c r="BZ281" s="53"/>
      <c r="CA281" s="53"/>
      <c r="CB281" s="53"/>
      <c r="CC281" s="53"/>
      <c r="CD281" s="53"/>
      <c r="CE281" s="53"/>
      <c r="CF281" s="53"/>
      <c r="CG281" s="53"/>
      <c r="CH281" s="53"/>
      <c r="CI281" s="53"/>
      <c r="CJ281" s="53"/>
      <c r="CK281" s="53"/>
      <c r="CL281" s="53"/>
      <c r="CM281" s="53"/>
      <c r="CN281" s="53"/>
      <c r="CO281" s="53"/>
      <c r="CP281" s="53"/>
      <c r="CQ281" s="53"/>
      <c r="CR281" s="1"/>
      <c r="CS281" s="1"/>
      <c r="CT281" s="1"/>
      <c r="CU281" s="1"/>
    </row>
    <row r="282" spans="1:99" s="13" customFormat="1" ht="12" customHeight="1" x14ac:dyDescent="0.2">
      <c r="A282" s="65">
        <v>43509</v>
      </c>
      <c r="B282" s="1"/>
      <c r="C282" s="1"/>
      <c r="D282" s="60"/>
      <c r="E282" s="76"/>
      <c r="F282" s="60"/>
      <c r="G282" s="60"/>
      <c r="H282" s="60"/>
      <c r="I282" s="60"/>
      <c r="J282" s="60"/>
      <c r="K282" s="64"/>
      <c r="L282" s="64"/>
      <c r="M282" s="60"/>
      <c r="N282" s="60"/>
      <c r="O282" s="60"/>
      <c r="P282" s="60"/>
      <c r="Q282" s="60"/>
      <c r="R282" s="60"/>
      <c r="S282" s="60"/>
      <c r="T282" s="60"/>
      <c r="U282" s="60"/>
      <c r="V282" s="60"/>
      <c r="W282" s="60"/>
      <c r="X282" s="60"/>
      <c r="Y282" s="76"/>
      <c r="Z282" s="60"/>
      <c r="AA282" s="60"/>
      <c r="AB282" s="60"/>
      <c r="AC282" s="56"/>
      <c r="AD282" s="60"/>
      <c r="AE282" s="60"/>
      <c r="AF282" s="80"/>
      <c r="AG282" s="56"/>
      <c r="AH282" s="4"/>
      <c r="AI282" s="56"/>
      <c r="AJ282" s="109"/>
      <c r="AK282" s="56"/>
      <c r="AL282" s="56"/>
      <c r="AM282" s="56"/>
      <c r="AN282" s="56"/>
      <c r="AO282" s="82"/>
      <c r="AP282" s="82"/>
      <c r="AQ282" s="83"/>
      <c r="AR282" s="116"/>
      <c r="AS282" s="84"/>
      <c r="AT282" s="84"/>
      <c r="AU282" s="3"/>
      <c r="AV282" s="25">
        <v>900</v>
      </c>
      <c r="AW282" s="25">
        <v>2592000</v>
      </c>
      <c r="AX282" s="25">
        <v>5270400</v>
      </c>
      <c r="AY282" s="53"/>
      <c r="AZ282" s="53"/>
      <c r="BA282" s="53"/>
      <c r="BB282" s="53"/>
      <c r="BC282" s="53"/>
      <c r="BD282" s="53"/>
      <c r="BE282" s="53"/>
      <c r="BF282" s="53"/>
      <c r="BG282" s="53"/>
      <c r="BH282" s="53"/>
      <c r="BI282" s="53"/>
      <c r="BJ282" s="53"/>
      <c r="BK282" s="53"/>
      <c r="BL282" s="53"/>
      <c r="BM282" s="53"/>
      <c r="BN282" s="53"/>
      <c r="BO282" s="53"/>
      <c r="BP282" s="53"/>
      <c r="BQ282" s="53"/>
      <c r="BR282" s="53"/>
      <c r="BS282" s="53"/>
      <c r="BT282" s="53"/>
      <c r="BU282" s="53"/>
      <c r="BV282" s="53"/>
      <c r="BW282" s="53"/>
      <c r="BX282" s="53"/>
      <c r="BY282" s="53"/>
      <c r="BZ282" s="53"/>
      <c r="CA282" s="53"/>
      <c r="CB282" s="53"/>
      <c r="CC282" s="53"/>
      <c r="CD282" s="53"/>
      <c r="CE282" s="53"/>
      <c r="CF282" s="53"/>
      <c r="CG282" s="53"/>
      <c r="CH282" s="53"/>
      <c r="CI282" s="53"/>
      <c r="CJ282" s="53"/>
      <c r="CK282" s="53"/>
      <c r="CL282" s="53"/>
      <c r="CM282" s="53"/>
      <c r="CN282" s="53"/>
      <c r="CO282" s="53"/>
      <c r="CP282" s="53"/>
      <c r="CQ282" s="53"/>
      <c r="CR282" s="1"/>
      <c r="CS282" s="1"/>
      <c r="CT282" s="1"/>
      <c r="CU282" s="1"/>
    </row>
    <row r="283" spans="1:99" s="13" customFormat="1" ht="12" customHeight="1" x14ac:dyDescent="0.2">
      <c r="A283" s="65">
        <v>43509</v>
      </c>
      <c r="B283" s="1" t="s">
        <v>178</v>
      </c>
      <c r="C283" s="1" t="s">
        <v>75</v>
      </c>
      <c r="D283" s="60">
        <v>1976</v>
      </c>
      <c r="E283" s="76">
        <v>2</v>
      </c>
      <c r="F283" s="60">
        <v>100</v>
      </c>
      <c r="G283" s="60">
        <v>33.299999999999997</v>
      </c>
      <c r="H283" s="60" t="s">
        <v>38</v>
      </c>
      <c r="I283" s="60" t="s">
        <v>313</v>
      </c>
      <c r="J283" s="60" t="s">
        <v>313</v>
      </c>
      <c r="K283" s="60">
        <f>IF(J283="syllables",1,IF(J283="trigrams",2,IF(J283="strings",3,IF(J283="visual array",4,IF(J283="characters",5,IF(J283="letters",6,IF(J283="free forms",7,IF(J283="odors",8,IF(J283="words",9,IF(J283="pictures",10,IF(J283="object pictures",11,IF(J283="faces",12,IF(J283="names",13,IF(J283="idioms",14,IF(J283="grades",15,IF(J283="syllable-digit pairs",16,IF(J283="trigram-word pairs",17,IF(J283="word-digit pairs",18,IF(J283="English-Swahili pairs",19,IF(J283="spatial position",20,IF(J283="word pairs",21,IF(J283="word triads",22,IF(J283="generated words",23,IF(J283="word definition pairs",24,IF(J283="math problems",25,IF(J283="famous faces",26,IF(J283="famous names",27,IF(J283="famous voices",28,IF(J283="television programs",29,IF(J283="race horses",30,IF(J283="new vocabulary",31,IF(J283="sentences",32,IF(J283="concepts",33,IF(J283="ad slides",34,IF(J283="scenes",35,IF(J283="famous scenes",36,IF(J283="poems",37,IF(J283="walk",38,IF(J283="faces and events",39,IF(J283="events and names",40,IF(J283="flashbulb",41,IF(J283="stories",42,IF(J283="course material",43,IF(J283="autobiographical",44,IF(J283="novels",45,IF(J283="public events",46,"99"))))))))))))))))))))))))))))))))))))))))))))))</f>
        <v>10</v>
      </c>
      <c r="L283" s="60">
        <f>IF(J283="syllables",1,IF(J283="trigrams",1,IF(J283="strings",1,IF(J283="visual array",1,IF(J283="characters",1,IF(J283="letters",1,IF(J283="free forms",1,IF(J283="odors",2,IF(J283="words",2,IF(J283="pictures",2,IF(J283="object pictures",2,IF(J283="faces",2,IF(J283="names",2,IF(J283="idioms","2",IF(J283="grades",2,IF(J283="syllable-digit pairs",3,IF(J283="trigram-word pairs",3,IF(J283="word-digit pairs",3,IF(J283="English-Swahili pairs",3,IF(J283="spatial position",3,IF(J283="word pairs",4,IF(J283="word triads",4,IF(J283="generated words",4,IF(J283="word definition pairs",4,IF(J283="math problems",4,IF(J283="famous faces",4,IF(J283="famous names",4,IF(J283="famous voices",4,IF(J283="television programs",4,IF(J283="race horses",4,IF(J283="new vocabulary",4,IF(J283="sentences",5,IF(J283="concepts",5,IF(J283="ad slides",5,IF(J283="scenes",5,IF(J283="famous scenes",5,IF(J283="poems",6,IF(J283="walk",6,IF(J283="faces and events",6,IF(J283="events and names",6,IF(J283="flashbulb",7,IF(J283="stories",7,IF(J283="course material",7,IF(J283="autobiographical",7,IF(J283="novels",7,IF(J283="public events",7,"99"))))))))))))))))))))))))))))))))))))))))))))))</f>
        <v>2</v>
      </c>
      <c r="M283" s="60">
        <v>0</v>
      </c>
      <c r="N283" s="60">
        <v>1</v>
      </c>
      <c r="O283" s="60">
        <v>0</v>
      </c>
      <c r="P283" s="60"/>
      <c r="Q283" s="60" t="s">
        <v>34</v>
      </c>
      <c r="R283" s="60">
        <f>IF(Q283="Free Recall",1,IF(Q283="Cued Recall",2,IF(Q283="Recognition",3,IF(Q283="Multiple Choice",4,IF(Q283="Savings",5,IF(Q283="Stem Completion",6,IF(Q283="Fragment Completion",7,IF(Q283="anagram solution",8,IF(Q283="Matching",9,IF(Q283="Problem Solving",10,"99"))))))))))</f>
        <v>3</v>
      </c>
      <c r="S283" s="60" t="s">
        <v>15</v>
      </c>
      <c r="T283" s="60" t="s">
        <v>261</v>
      </c>
      <c r="U283" s="60">
        <f>IF(T283="within",1,0)</f>
        <v>0</v>
      </c>
      <c r="V283" s="60">
        <v>70</v>
      </c>
      <c r="W283" s="60">
        <f>F283*V283</f>
        <v>7000</v>
      </c>
      <c r="X283" s="60">
        <v>3</v>
      </c>
      <c r="Y283" s="76">
        <f>AV282</f>
        <v>900</v>
      </c>
      <c r="Z283" s="60" t="s">
        <v>193</v>
      </c>
      <c r="AA283" s="60">
        <v>5270400</v>
      </c>
      <c r="AB283" s="60" t="str">
        <f>IF(AA283&lt;60,"1",IF(AA283&lt;=43200,"2",IF(AA283&lt;=777600,"3","4")))</f>
        <v>4</v>
      </c>
      <c r="AC283" s="56">
        <f>AVERAGE(AV282:DA282)</f>
        <v>2621100</v>
      </c>
      <c r="AD283" s="60" t="str">
        <f>IF(AC283&lt;60,"1",IF(AC283&lt;=43200,"2",IF(AC283&lt;=777600,"3","4")))</f>
        <v>4</v>
      </c>
      <c r="AE283" s="76">
        <f>AA283-Y283</f>
        <v>5269500</v>
      </c>
      <c r="AF283" s="80">
        <f>AV283</f>
        <v>0.9305000000000001</v>
      </c>
      <c r="AG283" s="56">
        <f>((AW283-AV283)+(AX283-AW283))/2</f>
        <v>-0.14250000000000007</v>
      </c>
      <c r="AH283" s="4"/>
      <c r="AI283" s="56">
        <f>RSQ(AV283:AX283,AV282:AX282)</f>
        <v>0.88457010994203922</v>
      </c>
      <c r="AJ283" s="109">
        <f>SLOPE(AV283:AX283,AV282:AX282)</f>
        <v>-5.3898595627932991E-8</v>
      </c>
      <c r="AK283" s="56">
        <f>INTERCEPT(AV283:AX283,AV282:AX282)</f>
        <v>0.90044027566704177</v>
      </c>
      <c r="AL283" s="56">
        <f>INDEX(LINEST(LN(AV283:AX283),LN(AV282:AX282),TRUE,TRUE),3,1)</f>
        <v>0.97911696082497668</v>
      </c>
      <c r="AM283" s="56">
        <f>INDEX(LINEST(LN(AV283:AX283),LN(AV282:AX282)),1)</f>
        <v>-3.9377200187181965E-2</v>
      </c>
      <c r="AN283" s="56">
        <f>EXP(INDEX(LINEST(LN(AV283:AX283),LN(AV282:AX282)),1,2))</f>
        <v>1.2191846586362629</v>
      </c>
      <c r="AO283" s="82">
        <f>INDEX(LINEST((AV283:AX283),LN(AV282:AX282),TRUE,TRUE),3,1)</f>
        <v>0.98733449774335746</v>
      </c>
      <c r="AP283" s="82">
        <f>INDEX(LINEST((AV283:AX283),LN(AV282:AX282)),1)</f>
        <v>-3.1148592618525813E-2</v>
      </c>
      <c r="AQ283" s="83">
        <f>INDEX(LINEST(LN(AV283:AX283),SQRT(AV282:AX282),TRUE,TRUE),3,1)</f>
        <v>0.99348318465103347</v>
      </c>
      <c r="AR283" s="116">
        <f>INDEX(LINEST(LN(AV283:AX283),SQRT((AV282:AX282))),1)</f>
        <v>-1.6443780857855705E-4</v>
      </c>
      <c r="AS283" s="84">
        <f>INDEX(LINEST(1/(AV283:AX283),1/(SQRT(AV282:AX282)),TRUE,TRUE),3,1)</f>
        <v>0.93925187380888708</v>
      </c>
      <c r="AT283" s="84">
        <f>INDEX(LINEST(1/(AV283:AX283),1/SQRT(AV282:AX282)),1)</f>
        <v>-12.594900326428547</v>
      </c>
      <c r="AU283" s="3"/>
      <c r="AV283" s="53">
        <v>0.9305000000000001</v>
      </c>
      <c r="AW283" s="53">
        <v>0.70150000000000001</v>
      </c>
      <c r="AX283" s="53">
        <v>0.64549999999999996</v>
      </c>
      <c r="AY283" s="53"/>
      <c r="AZ283" s="53"/>
      <c r="BA283" s="53"/>
      <c r="BB283" s="53"/>
      <c r="BC283" s="53"/>
      <c r="BD283" s="53"/>
      <c r="BE283" s="53"/>
      <c r="BF283" s="53"/>
      <c r="BG283" s="53"/>
      <c r="BH283" s="53"/>
      <c r="BI283" s="53"/>
      <c r="BJ283" s="53"/>
      <c r="BK283" s="53"/>
      <c r="BL283" s="53"/>
      <c r="BM283" s="53"/>
      <c r="BN283" s="53"/>
      <c r="BO283" s="53"/>
      <c r="BP283" s="53"/>
      <c r="BQ283" s="53"/>
      <c r="BR283" s="53"/>
      <c r="BS283" s="53"/>
      <c r="BT283" s="53"/>
      <c r="BU283" s="53"/>
      <c r="BV283" s="53"/>
      <c r="BW283" s="53"/>
      <c r="BX283" s="53"/>
      <c r="BY283" s="53"/>
      <c r="BZ283" s="53"/>
      <c r="CA283" s="53"/>
      <c r="CB283" s="53"/>
      <c r="CC283" s="53"/>
      <c r="CD283" s="53"/>
      <c r="CE283" s="53"/>
      <c r="CF283" s="53"/>
      <c r="CG283" s="53"/>
      <c r="CH283" s="53"/>
      <c r="CI283" s="53"/>
      <c r="CJ283" s="53"/>
      <c r="CK283" s="53"/>
      <c r="CL283" s="53"/>
      <c r="CM283" s="53"/>
      <c r="CN283" s="53"/>
      <c r="CO283" s="53"/>
      <c r="CP283" s="53"/>
      <c r="CQ283" s="53"/>
      <c r="CR283" s="1"/>
      <c r="CS283" s="1"/>
      <c r="CT283" s="1"/>
      <c r="CU283" s="1"/>
    </row>
    <row r="284" spans="1:99" ht="12" customHeight="1" x14ac:dyDescent="0.2">
      <c r="A284" s="65">
        <v>43509</v>
      </c>
      <c r="B284" s="15"/>
      <c r="C284" s="15"/>
      <c r="D284" s="59"/>
      <c r="E284" s="75"/>
      <c r="F284" s="59"/>
      <c r="G284" s="59"/>
      <c r="H284" s="59"/>
      <c r="I284" s="59"/>
      <c r="J284" s="59"/>
      <c r="M284" s="59"/>
      <c r="N284" s="59"/>
      <c r="O284" s="59"/>
      <c r="P284" s="59"/>
      <c r="Q284" s="59"/>
      <c r="R284" s="60"/>
      <c r="S284" s="59"/>
      <c r="T284" s="59"/>
      <c r="U284" s="60"/>
      <c r="V284" s="59"/>
      <c r="W284" s="60"/>
      <c r="X284" s="59"/>
      <c r="Y284" s="76"/>
      <c r="Z284" s="59"/>
      <c r="AA284" s="59"/>
      <c r="AB284" s="60"/>
      <c r="AC284" s="60"/>
      <c r="AD284" s="60"/>
      <c r="AE284" s="60"/>
      <c r="AF284" s="80"/>
      <c r="AG284" s="56"/>
      <c r="AH284" s="4"/>
      <c r="AN284" s="55"/>
      <c r="AO284" s="55"/>
      <c r="AP284" s="55"/>
      <c r="AQ284" s="55"/>
      <c r="AR284" s="111"/>
      <c r="AS284" s="55"/>
      <c r="AT284" s="55"/>
      <c r="AU284" s="4"/>
      <c r="AV284" s="45">
        <v>60</v>
      </c>
      <c r="AW284" s="47">
        <f>48*3600</f>
        <v>172800</v>
      </c>
      <c r="AX284" s="50">
        <f>7*24*3600</f>
        <v>604800</v>
      </c>
      <c r="AY284" s="50">
        <f>30*24*3600</f>
        <v>2592000</v>
      </c>
      <c r="AZ284" s="11" t="s">
        <v>513</v>
      </c>
      <c r="BA284" s="11"/>
      <c r="BB284" s="11"/>
      <c r="BC284" s="11"/>
      <c r="BD284" s="11"/>
      <c r="BE284" s="11"/>
      <c r="BF284" s="11"/>
      <c r="BG284" s="11"/>
      <c r="BH284" s="11"/>
      <c r="BI284" s="11"/>
      <c r="BJ284" s="11"/>
      <c r="BK284" s="11"/>
      <c r="BL284" s="11"/>
      <c r="BM284" s="11"/>
      <c r="BN284" s="11"/>
      <c r="BO284" s="11"/>
      <c r="BP284" s="11"/>
      <c r="BQ284" s="11"/>
      <c r="BR284" s="11"/>
      <c r="BS284" s="11"/>
      <c r="BT284" s="11"/>
      <c r="BU284" s="11"/>
      <c r="BV284" s="11"/>
      <c r="BW284" s="11"/>
      <c r="BX284" s="11"/>
      <c r="BY284" s="11"/>
      <c r="BZ284" s="11"/>
      <c r="CA284" s="11"/>
      <c r="CB284" s="11"/>
      <c r="CC284" s="11"/>
      <c r="CD284" s="11"/>
      <c r="CE284" s="11"/>
      <c r="CF284" s="11"/>
      <c r="CG284" s="11"/>
      <c r="CH284" s="11"/>
      <c r="CI284" s="11"/>
      <c r="CJ284" s="11"/>
      <c r="CK284" s="11"/>
      <c r="CL284" s="11"/>
      <c r="CM284" s="11"/>
      <c r="CN284" s="11"/>
      <c r="CO284" s="11"/>
      <c r="CP284" s="11"/>
      <c r="CQ284" s="11"/>
      <c r="CR284" s="15"/>
      <c r="CS284" s="15"/>
      <c r="CT284" s="15"/>
      <c r="CU284" s="15"/>
    </row>
    <row r="285" spans="1:99" ht="12" customHeight="1" x14ac:dyDescent="0.2">
      <c r="A285" s="65">
        <v>43509</v>
      </c>
      <c r="B285" s="15" t="s">
        <v>285</v>
      </c>
      <c r="C285" s="15" t="s">
        <v>268</v>
      </c>
      <c r="D285" s="59">
        <v>1948</v>
      </c>
      <c r="E285" s="75">
        <v>1</v>
      </c>
      <c r="F285" s="59">
        <v>88</v>
      </c>
      <c r="G285" s="59">
        <v>88</v>
      </c>
      <c r="H285" s="59" t="s">
        <v>286</v>
      </c>
      <c r="I285" s="59"/>
      <c r="J285" s="59" t="s">
        <v>686</v>
      </c>
      <c r="K285" s="60">
        <f>IF(J285="syllables",1,IF(J285="trigrams",2,IF(J285="strings",3,IF(J285="visual array",4,IF(J285="characters",5,IF(J285="letters",6,IF(J285="free forms",7,IF(J285="odors",8,IF(J285="words",9,IF(J285="pictures",10,IF(J285="object pictures",11,IF(J285="faces",12,IF(J285="names",13,IF(J285="idioms",14,IF(J285="grades",15,IF(J285="syllable-digit pairs",16,IF(J285="trigram-word pairs",17,IF(J285="word-digit pairs",18,IF(J285="English-Swahili pairs",19,IF(J285="spatial position",20,IF(J285="word pairs",21,IF(J285="word triads",22,IF(J285="generated words",23,IF(J285="word definition pairs",24,IF(J285="math problems",25,IF(J285="famous faces",26,IF(J285="famous names",27,IF(J285="famous voices",28,IF(J285="television programs",29,IF(J285="race horses",30,IF(J285="new vocabulary",31,IF(J285="sentences",32,IF(J285="concepts",33,IF(J285="ad slides",34,IF(J285="scenes",35,IF(J285="famous scenes",36,IF(J285="poems",37,IF(J285="walk",38,IF(J285="faces and events",39,IF(J285="events and names",40,IF(J285="flashbulb",41,IF(J285="stories",42,IF(J285="course material",43,IF(J285="autobiographical",44,IF(J285="novels",45,IF(J285="public events",46,"99"))))))))))))))))))))))))))))))))))))))))))))))</f>
        <v>35</v>
      </c>
      <c r="L285" s="60">
        <f>IF(J285="syllables",1,IF(J285="trigrams",1,IF(J285="strings",1,IF(J285="visual array",1,IF(J285="characters",1,IF(J285="letters",1,IF(J285="free forms",1,IF(J285="odors",2,IF(J285="words",2,IF(J285="pictures",2,IF(J285="object pictures",2,IF(J285="faces",2,IF(J285="names",2,IF(J285="idioms","2",IF(J285="grades",2,IF(J285="syllable-digit pairs",3,IF(J285="trigram-word pairs",3,IF(J285="word-digit pairs",3,IF(J285="English-Swahili pairs",3,IF(J285="spatial position",3,IF(J285="word pairs",4,IF(J285="word triads",4,IF(J285="generated words",4,IF(J285="word definition pairs",4,IF(J285="math problems",4,IF(J285="famous faces",4,IF(J285="famous names",4,IF(J285="famous voices",4,IF(J285="television programs",4,IF(J285="race horses",4,IF(J285="new vocabulary",4,IF(J285="sentences",5,IF(J285="concepts",5,IF(J285="ad slides",5,IF(J285="scenes",5,IF(J285="famous scenes",5,IF(J285="poems",6,IF(J285="walk",6,IF(J285="faces and events",6,IF(J285="events and names",6,IF(J285="flashbulb",7,IF(J285="stories",7,IF(J285="course material",7,IF(J285="autobiographical",7,IF(J285="novels",7,IF(J285="public events",7,"99"))))))))))))))))))))))))))))))))))))))))))))))</f>
        <v>5</v>
      </c>
      <c r="M285" s="59">
        <v>0</v>
      </c>
      <c r="N285" s="59">
        <v>3</v>
      </c>
      <c r="O285" s="59">
        <v>0</v>
      </c>
      <c r="P285" s="59"/>
      <c r="Q285" s="59" t="s">
        <v>174</v>
      </c>
      <c r="R285" s="60">
        <f>IF(Q285="Free Recall",1,IF(Q285="Cued Recall",2,IF(Q285="Recognition",3,IF(Q285="Multiple Choice",4,IF(Q285="Savings",5,IF(Q285="Stem Completion",6,IF(Q285="Fragment Completion",7,IF(Q285="anagram solution",8,IF(Q285="Matching",9,IF(Q285="Problem Solving",10,"99"))))))))))</f>
        <v>1</v>
      </c>
      <c r="S285" s="59" t="s">
        <v>15</v>
      </c>
      <c r="T285" s="59" t="s">
        <v>581</v>
      </c>
      <c r="U285" s="60">
        <f>IF(T285="within",1,0)</f>
        <v>1</v>
      </c>
      <c r="V285" s="59">
        <v>33</v>
      </c>
      <c r="W285" s="60">
        <f>F285*V285</f>
        <v>2904</v>
      </c>
      <c r="X285" s="59">
        <v>4</v>
      </c>
      <c r="Y285" s="76">
        <f>AV284</f>
        <v>60</v>
      </c>
      <c r="Z285" s="59" t="s">
        <v>273</v>
      </c>
      <c r="AA285" s="59">
        <f>30*24*3600</f>
        <v>2592000</v>
      </c>
      <c r="AB285" s="60" t="str">
        <f>IF(AA285&lt;60,"1",IF(AA285&lt;=43200,"2",IF(AA285&lt;=777600,"3","4")))</f>
        <v>4</v>
      </c>
      <c r="AC285" s="56">
        <f>AVERAGE(AV284:DA284)</f>
        <v>842415</v>
      </c>
      <c r="AD285" s="60" t="str">
        <f>IF(AC285&lt;60,"1",IF(AC285&lt;=43200,"2",IF(AC285&lt;=777600,"3","4")))</f>
        <v>4</v>
      </c>
      <c r="AE285" s="76">
        <f>AA285-Y285</f>
        <v>2591940</v>
      </c>
      <c r="AF285" s="80">
        <f>AV285</f>
        <v>1</v>
      </c>
      <c r="AG285" s="56">
        <f>((AW285-AV285)+(AX285-AW285)+(AY285-AX285))/3</f>
        <v>-0.10000000000000002</v>
      </c>
      <c r="AH285" s="4"/>
      <c r="AI285" s="56">
        <f>RSQ(AV285:AY285,AV284:AY284)</f>
        <v>0.64944330052025634</v>
      </c>
      <c r="AJ285" s="109">
        <f>SLOPE(AV285:AY285,AV284:AY284)</f>
        <v>-8.4241301958362656E-8</v>
      </c>
      <c r="AK285" s="56">
        <f>INTERCEPT(AV285:AY285,AV284:AY284)</f>
        <v>0.90221613638925413</v>
      </c>
      <c r="AL285" s="56">
        <f>INDEX(LINEST(LN(AV285:AY285),LN(AV284:AY284),TRUE,TRUE),3,1)</f>
        <v>0.91794619593095195</v>
      </c>
      <c r="AM285" s="56">
        <f>INDEX(LINEST(LN(AV285:AY285),LN(AV284:AY284)),1)</f>
        <v>-2.9535312735414349E-2</v>
      </c>
      <c r="AN285" s="56">
        <f>EXP(INDEX(LINEST(LN(AV285:AY285),LN(AV284:AY284)),1,2))</f>
        <v>1.1429067223471086</v>
      </c>
      <c r="AO285" s="82">
        <f>INDEX(LINEST((AV285:AY285),LN(AV284:AY284),TRUE,TRUE),3,1)</f>
        <v>0.94687931094744526</v>
      </c>
      <c r="AP285" s="82">
        <f>INDEX(LINEST((AV285:AY285),LN(AV284:AY284)),1)</f>
        <v>-2.5441612914587831E-2</v>
      </c>
      <c r="AQ285" s="83">
        <f>INDEX(LINEST(LN(AV285:AY285),SQRT(AV284:AY284),TRUE,TRUE),3,1)</f>
        <v>0.89749075282165547</v>
      </c>
      <c r="AR285" s="116">
        <f>INDEX(LINEST(LN(AV285:AY285),SQRT((AV284:AY284))),1)</f>
        <v>-2.044796404031818E-4</v>
      </c>
      <c r="AS285" s="84">
        <f>INDEX(LINEST(1/(AV285:AY285),1/(SQRT(AV284:AY284)),TRUE,TRUE),3,1)</f>
        <v>0.72120654020714814</v>
      </c>
      <c r="AT285" s="84">
        <f>INDEX(LINEST(1/(AV285:AY285),1/SQRT(AV284:AY284)),1)</f>
        <v>-2.3402706905204971</v>
      </c>
      <c r="AU285" s="3"/>
      <c r="AV285" s="45">
        <v>1</v>
      </c>
      <c r="AW285" s="11">
        <v>0.82499999999999996</v>
      </c>
      <c r="AX285" s="45">
        <v>0.8</v>
      </c>
      <c r="AY285" s="45">
        <v>0.7</v>
      </c>
      <c r="AZ285" s="11"/>
      <c r="BA285" s="11"/>
      <c r="BB285" s="11"/>
      <c r="BC285" s="11"/>
      <c r="BD285" s="11"/>
      <c r="BE285" s="11"/>
      <c r="BF285" s="11"/>
      <c r="BG285" s="11"/>
      <c r="BH285" s="11"/>
      <c r="BI285" s="11"/>
      <c r="BJ285" s="11"/>
      <c r="BK285" s="11"/>
      <c r="BL285" s="11"/>
      <c r="BM285" s="11"/>
      <c r="BN285" s="11"/>
      <c r="BO285" s="11"/>
      <c r="BP285" s="11"/>
      <c r="BQ285" s="11"/>
      <c r="BR285" s="11"/>
      <c r="BS285" s="11"/>
      <c r="BT285" s="11"/>
      <c r="BU285" s="11"/>
      <c r="BV285" s="11"/>
      <c r="BW285" s="11"/>
      <c r="BX285" s="11"/>
      <c r="BY285" s="11"/>
      <c r="BZ285" s="11"/>
      <c r="CA285" s="11"/>
      <c r="CB285" s="11"/>
      <c r="CC285" s="11"/>
      <c r="CD285" s="11"/>
      <c r="CE285" s="11"/>
      <c r="CF285" s="11"/>
      <c r="CG285" s="11"/>
      <c r="CH285" s="11"/>
      <c r="CI285" s="11"/>
      <c r="CJ285" s="11"/>
      <c r="CK285" s="11"/>
      <c r="CL285" s="11"/>
      <c r="CM285" s="11"/>
      <c r="CN285" s="11"/>
      <c r="CO285" s="11"/>
      <c r="CP285" s="11"/>
      <c r="CQ285" s="11"/>
      <c r="CR285" s="15"/>
      <c r="CS285" s="15"/>
      <c r="CT285" s="15"/>
      <c r="CU285" s="15"/>
    </row>
    <row r="286" spans="1:99" ht="12" customHeight="1" x14ac:dyDescent="0.2">
      <c r="A286" s="68">
        <v>43978</v>
      </c>
      <c r="B286" s="94"/>
      <c r="C286" s="94"/>
      <c r="D286" s="92"/>
      <c r="E286" s="105"/>
      <c r="F286" s="92"/>
      <c r="G286" s="92"/>
      <c r="H286" s="92"/>
      <c r="I286" s="92"/>
      <c r="J286" s="92"/>
      <c r="K286" s="69"/>
      <c r="L286" s="69"/>
      <c r="M286" s="92"/>
      <c r="N286" s="92"/>
      <c r="O286" s="92"/>
      <c r="P286" s="92"/>
      <c r="Q286" s="92"/>
      <c r="R286" s="69"/>
      <c r="S286" s="92"/>
      <c r="T286" s="92"/>
      <c r="U286" s="69"/>
      <c r="V286" s="92"/>
      <c r="W286" s="69"/>
      <c r="X286" s="92"/>
      <c r="Y286" s="87"/>
      <c r="Z286" s="92"/>
      <c r="AA286" s="92"/>
      <c r="AB286" s="69"/>
      <c r="AC286" s="72"/>
      <c r="AD286" s="69"/>
      <c r="AE286" s="87"/>
      <c r="AF286" s="88"/>
      <c r="AG286" s="72"/>
      <c r="AH286" s="4"/>
      <c r="AI286" s="72"/>
      <c r="AJ286" s="110"/>
      <c r="AK286" s="72"/>
      <c r="AL286" s="72"/>
      <c r="AM286" s="72"/>
      <c r="AN286" s="72"/>
      <c r="AO286" s="89"/>
      <c r="AP286" s="89"/>
      <c r="AQ286" s="90"/>
      <c r="AR286" s="117"/>
      <c r="AS286" s="91"/>
      <c r="AT286" s="91"/>
      <c r="AU286" s="3"/>
      <c r="AV286" s="122">
        <f>60*60</f>
        <v>3600</v>
      </c>
      <c r="AW286" s="122">
        <f>60*60*24</f>
        <v>86400</v>
      </c>
      <c r="AX286" s="122">
        <f>60*60*24*3</f>
        <v>259200</v>
      </c>
      <c r="AY286" s="122">
        <f>60*60*24*6</f>
        <v>518400</v>
      </c>
      <c r="AZ286" s="122">
        <f>60*60*24*13</f>
        <v>1123200</v>
      </c>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c r="BY286" s="11"/>
      <c r="BZ286" s="11"/>
      <c r="CA286" s="11"/>
      <c r="CB286" s="11"/>
      <c r="CC286" s="11"/>
      <c r="CD286" s="11"/>
      <c r="CE286" s="11"/>
      <c r="CF286" s="11"/>
      <c r="CG286" s="11"/>
      <c r="CH286" s="11"/>
      <c r="CI286" s="11"/>
      <c r="CJ286" s="11"/>
      <c r="CK286" s="11"/>
      <c r="CL286" s="11"/>
      <c r="CM286" s="11"/>
      <c r="CN286" s="11"/>
      <c r="CO286" s="11"/>
      <c r="CP286" s="11"/>
      <c r="CQ286" s="11"/>
      <c r="CR286" s="15"/>
      <c r="CS286" s="15"/>
      <c r="CT286" s="15"/>
      <c r="CU286" s="15"/>
    </row>
    <row r="287" spans="1:99" ht="12" customHeight="1" x14ac:dyDescent="0.2">
      <c r="A287" s="68">
        <v>43978</v>
      </c>
      <c r="B287" s="94" t="s">
        <v>965</v>
      </c>
      <c r="C287" s="94" t="s">
        <v>964</v>
      </c>
      <c r="D287" s="92">
        <v>1995</v>
      </c>
      <c r="E287" s="105">
        <v>1</v>
      </c>
      <c r="F287" s="92">
        <v>25</v>
      </c>
      <c r="G287" s="92">
        <v>25</v>
      </c>
      <c r="H287" s="92" t="s">
        <v>17</v>
      </c>
      <c r="I287" s="92" t="s">
        <v>330</v>
      </c>
      <c r="J287" s="92" t="s">
        <v>317</v>
      </c>
      <c r="K287" s="69">
        <f>IF(J287="syllables",1,IF(J287="trigrams",2,IF(J287="strings",3,IF(J287="visual array",4,IF(J287="characters",5,IF(J287="letters",6,IF(J287="free forms",7,IF(J287="odors",8,IF(J287="words",9,IF(J287="pictures",10,IF(J287="object pictures",11,IF(J287="faces",12,IF(J287="names",13,IF(J287="idioms",14,IF(J287="grades",15,IF(J287="syllable-digit pairs",16,IF(J287="trigram-word pairs",17,IF(J287="word-digit pairs",18,IF(J287="English-Swahili pairs",19,IF(J287="spatial position",20,IF(J287="word pairs",21,IF(J287="word triads",22,IF(J287="generated words",23,IF(J287="word definition pairs",24,IF(J287="math problems",25,IF(J287="famous faces",26,IF(J287="famous names",27,IF(J287="famous voices",28,IF(J287="television programs",29,IF(J287="race horses",30,IF(J287="new vocabulary",31,IF(J287="sentences",32,IF(J287="concepts",33,IF(J287="ad slides",34,IF(J287="scenes",35,IF(J287="famous scenes",36,IF(J287="poems",37,IF(J287="walk",38,IF(J287="faces and events",39,IF(J287="events and names",40,IF(J287="flashbulb",41,IF(J287="stories",42,IF(J287="course material",43,IF(J287="autobiographical",44,IF(J287="novels",45,IF(J287="public events",46,"99"))))))))))))))))))))))))))))))))))))))))))))))</f>
        <v>7</v>
      </c>
      <c r="L287" s="69">
        <f>IF(J287="syllables",1,IF(J287="trigrams",1,IF(J287="strings",1,IF(J287="visual array",1,IF(J287="characters",1,IF(J287="letters",1,IF(J287="free forms",1,IF(J287="odors",2,IF(J287="words",2,IF(J287="pictures",2,IF(J287="object pictures",2,IF(J287="faces",2,IF(J287="names",2,IF(J287="idioms","2",IF(J287="grades",2,IF(J287="syllable-digit pairs",3,IF(J287="trigram-word pairs",3,IF(J287="word-digit pairs",3,IF(J287="English-Swahili pairs",3,IF(J287="spatial position",3,IF(J287="word pairs",4,IF(J287="word triads",4,IF(J287="generated words",4,IF(J287="word definition pairs",4,IF(J287="math problems",4,IF(J287="famous faces",4,IF(J287="famous names",4,IF(J287="famous voices",4,IF(J287="television programs",4,IF(J287="race horses",4,IF(J287="new vocabulary",4,IF(J287="sentences",5,IF(J287="concepts",5,IF(J287="ad slides",5,IF(J287="scenes",5,IF(J287="famous scenes",5,IF(J287="poems",6,IF(J287="walk",6,IF(J287="faces and events",6,IF(J287="events and names",6,IF(J287="flashbulb",7,IF(J287="stories",7,IF(J287="course material",7,IF(J287="autobiographical",7,IF(J287="novels",7,IF(J287="public events",7,"99"))))))))))))))))))))))))))))))))))))))))))))))</f>
        <v>1</v>
      </c>
      <c r="M287" s="92">
        <v>1</v>
      </c>
      <c r="N287" s="92">
        <v>2</v>
      </c>
      <c r="O287" s="92">
        <v>0</v>
      </c>
      <c r="P287" s="92"/>
      <c r="Q287" s="92" t="s">
        <v>174</v>
      </c>
      <c r="R287" s="69">
        <f>IF(Q287="Free Recall",1,IF(Q287="Cued Recall",2,IF(Q287="Recognition",3,IF(Q287="Multiple Choice",4,IF(Q287="Savings",5,IF(Q287="Stem Completion",6,IF(Q287="Fragment Completion",7,IF(Q287="anagram solution",8,IF(Q287="Matching",9,IF(Q287="Problem Solving",10,"99"))))))))))</f>
        <v>1</v>
      </c>
      <c r="S287" s="99" t="s">
        <v>49</v>
      </c>
      <c r="T287" s="69" t="s">
        <v>581</v>
      </c>
      <c r="U287" s="69">
        <f>IF(T287="within",1,0)</f>
        <v>1</v>
      </c>
      <c r="V287" s="69">
        <v>50</v>
      </c>
      <c r="W287" s="69">
        <f>F287*V287</f>
        <v>1250</v>
      </c>
      <c r="X287" s="69">
        <v>5</v>
      </c>
      <c r="Y287" s="87">
        <f>AV286</f>
        <v>3600</v>
      </c>
      <c r="Z287" s="69" t="s">
        <v>966</v>
      </c>
      <c r="AA287" s="69">
        <f>60*60*24*13</f>
        <v>1123200</v>
      </c>
      <c r="AB287" s="69" t="str">
        <f>IF(AA287&lt;60,"1",IF(AA287&lt;=43200,"2",IF(AA287&lt;=777600,"3","4")))</f>
        <v>4</v>
      </c>
      <c r="AC287" s="72">
        <f>AVERAGE(AV286:DA286)</f>
        <v>398160</v>
      </c>
      <c r="AD287" s="69" t="str">
        <f>IF(AC287&lt;60,"1",IF(AC287&lt;=43200,"2",IF(AC287&lt;=777600,"3","4")))</f>
        <v>3</v>
      </c>
      <c r="AE287" s="87">
        <f>AA287-Y287</f>
        <v>1119600</v>
      </c>
      <c r="AF287" s="88">
        <f>AV287</f>
        <v>0.947922466569739</v>
      </c>
      <c r="AG287" s="72">
        <f>((AW287-AV287)+(AX287-AW287)+(AY287-AX287)+(AZ287-AY287))/4</f>
        <v>-1.9560261400409007E-2</v>
      </c>
      <c r="AH287" s="4"/>
      <c r="AI287" s="72">
        <f>RSQ(AV287:AZ287,AV286:AZ286)</f>
        <v>0.93887997943133428</v>
      </c>
      <c r="AJ287" s="110">
        <f>SLOPE(AV287:AZ287,AV286:AZ286)</f>
        <v>-6.4636535633427933E-8</v>
      </c>
      <c r="AK287" s="72">
        <f>INTERCEPT(AV287:AZ287,AV286:AZ286)</f>
        <v>0.93760280086444991</v>
      </c>
      <c r="AL287" s="72">
        <f>INDEX(LINEST(LN(AV287:AZ287),LN(AV286:AZ286),TRUE,TRUE),3,1)</f>
        <v>0.82208276315014173</v>
      </c>
      <c r="AM287" s="72">
        <f>INDEX(LINEST(LN(AV287:AZ287),LN(AV286:AZ286)),1)</f>
        <v>-1.3408736112626381E-2</v>
      </c>
      <c r="AN287" s="72">
        <f>EXP(INDEX(LINEST(LN(AV287:AZ287),LN(AV286:AZ286)),1,2))</f>
        <v>1.0680369630588322</v>
      </c>
      <c r="AO287" s="89">
        <f>INDEX(LINEST((AV287:AZ287),LN(AV286:AZ286),TRUE,TRUE),3,1)</f>
        <v>0.83174139505521438</v>
      </c>
      <c r="AP287" s="89">
        <f>INDEX(LINEST((AV287:AZ287),LN(AV286:AZ286)),1)</f>
        <v>-1.2242641080706348E-2</v>
      </c>
      <c r="AQ287" s="90">
        <f>INDEX(LINEST(LN(AV287:AZ287),SQRT(AV286:AZ286),TRUE,TRUE),3,1)</f>
        <v>0.99809438047614851</v>
      </c>
      <c r="AR287" s="117">
        <f>INDEX(LINEST(LN(AV287:AZ287),SQRT((AV286:AZ286))),1)</f>
        <v>-8.5868422072295664E-5</v>
      </c>
      <c r="AS287" s="91">
        <f>INDEX(LINEST(1/(AV287:AZ287),1/(SQRT(AV286:AZ286)),TRUE,TRUE),3,1)</f>
        <v>0.55107610906269533</v>
      </c>
      <c r="AT287" s="91">
        <f>INDEX(LINEST(1/(AV287:AZ287),1/SQRT(AV286:AZ286)),1)</f>
        <v>-4.0710751233790834</v>
      </c>
      <c r="AU287" s="3"/>
      <c r="AV287" s="121">
        <v>0.947922466569739</v>
      </c>
      <c r="AW287" s="97">
        <v>0.92950447366762501</v>
      </c>
      <c r="AX287" s="121">
        <v>0.91499662057169895</v>
      </c>
      <c r="AY287" s="121">
        <v>0.89723060740605509</v>
      </c>
      <c r="AZ287" s="97">
        <v>0.86968142096810297</v>
      </c>
      <c r="BA287" s="11"/>
      <c r="BB287" s="11"/>
      <c r="BC287" s="11"/>
      <c r="BD287" s="11"/>
      <c r="BE287" s="11"/>
      <c r="BF287" s="11"/>
      <c r="BG287" s="11"/>
      <c r="BH287" s="11"/>
      <c r="BI287" s="11"/>
      <c r="BJ287" s="11"/>
      <c r="BK287" s="11"/>
      <c r="BL287" s="11"/>
      <c r="BM287" s="11"/>
      <c r="BN287" s="11"/>
      <c r="BO287" s="11"/>
      <c r="BP287" s="11"/>
      <c r="BQ287" s="11"/>
      <c r="BR287" s="11"/>
      <c r="BS287" s="11"/>
      <c r="BT287" s="11"/>
      <c r="BU287" s="11"/>
      <c r="BV287" s="11"/>
      <c r="BW287" s="11"/>
      <c r="BX287" s="11"/>
      <c r="BY287" s="11"/>
      <c r="BZ287" s="11"/>
      <c r="CA287" s="11"/>
      <c r="CB287" s="11"/>
      <c r="CC287" s="11"/>
      <c r="CD287" s="11"/>
      <c r="CE287" s="11"/>
      <c r="CF287" s="11"/>
      <c r="CG287" s="11"/>
      <c r="CH287" s="11"/>
      <c r="CI287" s="11"/>
      <c r="CJ287" s="11"/>
      <c r="CK287" s="11"/>
      <c r="CL287" s="11"/>
      <c r="CM287" s="11"/>
      <c r="CN287" s="11"/>
      <c r="CO287" s="11"/>
      <c r="CP287" s="11"/>
      <c r="CQ287" s="11"/>
      <c r="CR287" s="15"/>
      <c r="CS287" s="15"/>
      <c r="CT287" s="15"/>
      <c r="CU287" s="15"/>
    </row>
    <row r="288" spans="1:99" s="13" customFormat="1" ht="12" customHeight="1" x14ac:dyDescent="0.2">
      <c r="A288" s="68">
        <v>43509</v>
      </c>
      <c r="B288" s="70"/>
      <c r="C288" s="70"/>
      <c r="D288" s="69"/>
      <c r="E288" s="87"/>
      <c r="F288" s="69"/>
      <c r="G288" s="69"/>
      <c r="H288" s="69"/>
      <c r="I288" s="69"/>
      <c r="J288" s="69"/>
      <c r="K288" s="107"/>
      <c r="L288" s="107"/>
      <c r="M288" s="69"/>
      <c r="N288" s="69"/>
      <c r="O288" s="69"/>
      <c r="P288" s="69"/>
      <c r="Q288" s="69"/>
      <c r="R288" s="69"/>
      <c r="S288" s="69"/>
      <c r="T288" s="69"/>
      <c r="U288" s="69"/>
      <c r="V288" s="69"/>
      <c r="W288" s="69"/>
      <c r="X288" s="69"/>
      <c r="Y288" s="87"/>
      <c r="Z288" s="69"/>
      <c r="AA288" s="69"/>
      <c r="AB288" s="69"/>
      <c r="AC288" s="69"/>
      <c r="AD288" s="69"/>
      <c r="AE288" s="69"/>
      <c r="AF288" s="88"/>
      <c r="AG288" s="72"/>
      <c r="AH288" s="4"/>
      <c r="AI288" s="72"/>
      <c r="AJ288" s="110"/>
      <c r="AK288" s="72"/>
      <c r="AL288" s="72"/>
      <c r="AM288" s="72"/>
      <c r="AN288" s="72"/>
      <c r="AO288" s="72"/>
      <c r="AP288" s="72"/>
      <c r="AQ288" s="72"/>
      <c r="AR288" s="110"/>
      <c r="AS288" s="72"/>
      <c r="AT288" s="72"/>
      <c r="AU288" s="4"/>
      <c r="AV288" s="71">
        <f>30*24*60*60*4</f>
        <v>10368000</v>
      </c>
      <c r="AW288" s="71">
        <f>30*24*60*60*7</f>
        <v>18144000</v>
      </c>
      <c r="AX288" s="71">
        <f>30*24*60*60*10</f>
        <v>25920000</v>
      </c>
      <c r="AY288" s="71">
        <f>30*24*60*60*13</f>
        <v>33696000</v>
      </c>
      <c r="AZ288" s="71">
        <f>30*24*60*60*16</f>
        <v>41472000</v>
      </c>
      <c r="BA288" s="53"/>
      <c r="BB288" s="53"/>
      <c r="BC288" s="53"/>
      <c r="BD288" s="53"/>
      <c r="BE288" s="53"/>
      <c r="BF288" s="53"/>
      <c r="BG288" s="53"/>
      <c r="BH288" s="53"/>
      <c r="BI288" s="53"/>
      <c r="BJ288" s="53"/>
      <c r="BK288" s="53"/>
      <c r="BL288" s="53"/>
      <c r="BM288" s="53"/>
      <c r="BN288" s="53"/>
      <c r="BO288" s="53"/>
      <c r="BP288" s="53"/>
      <c r="BQ288" s="53"/>
      <c r="BR288" s="53"/>
      <c r="BS288" s="53"/>
      <c r="BT288" s="53"/>
      <c r="BU288" s="53"/>
      <c r="BV288" s="53"/>
      <c r="BW288" s="53"/>
      <c r="BX288" s="53"/>
      <c r="BY288" s="53"/>
      <c r="BZ288" s="53"/>
      <c r="CA288" s="53"/>
      <c r="CB288" s="53"/>
      <c r="CC288" s="53"/>
      <c r="CD288" s="53"/>
      <c r="CE288" s="53"/>
      <c r="CF288" s="53"/>
      <c r="CG288" s="53"/>
      <c r="CH288" s="53"/>
      <c r="CI288" s="53"/>
      <c r="CJ288" s="53"/>
      <c r="CK288" s="53"/>
      <c r="CL288" s="53"/>
      <c r="CM288" s="53"/>
      <c r="CN288" s="53"/>
      <c r="CO288" s="53"/>
      <c r="CP288" s="53"/>
      <c r="CQ288" s="53"/>
      <c r="CR288" s="1"/>
      <c r="CS288" s="1"/>
      <c r="CT288" s="1"/>
      <c r="CU288" s="1"/>
    </row>
    <row r="289" spans="1:99" s="13" customFormat="1" ht="12" customHeight="1" x14ac:dyDescent="0.2">
      <c r="A289" s="68">
        <v>43509</v>
      </c>
      <c r="B289" s="70" t="s">
        <v>180</v>
      </c>
      <c r="C289" s="70" t="s">
        <v>181</v>
      </c>
      <c r="D289" s="69">
        <v>1978</v>
      </c>
      <c r="E289" s="87">
        <v>1</v>
      </c>
      <c r="F289" s="69">
        <v>207</v>
      </c>
      <c r="G289" s="69">
        <v>41.4</v>
      </c>
      <c r="H289" s="69" t="s">
        <v>38</v>
      </c>
      <c r="I289" s="69" t="s">
        <v>687</v>
      </c>
      <c r="J289" s="69" t="s">
        <v>585</v>
      </c>
      <c r="K289" s="69">
        <f>IF(J289="syllables",1,IF(J289="trigrams",2,IF(J289="strings",3,IF(J289="visual array",4,IF(J289="characters",5,IF(J289="letters",6,IF(J289="free forms",7,IF(J289="odors",8,IF(J289="words",9,IF(J289="pictures",10,IF(J289="object pictures",11,IF(J289="faces",12,IF(J289="names",13,IF(J289="idioms",14,IF(J289="grades",15,IF(J289="syllable-digit pairs",16,IF(J289="trigram-word pairs",17,IF(J289="word-digit pairs",18,IF(J289="English-Swahili pairs",19,IF(J289="spatial position",20,IF(J289="word pairs",21,IF(J289="word triads",22,IF(J289="generated words",23,IF(J289="word definition pairs",24,IF(J289="math problems",25,IF(J289="famous faces",26,IF(J289="famous names",27,IF(J289="famous voices",28,IF(J289="television programs",29,IF(J289="race horses",30,IF(J289="new vocabulary",31,IF(J289="sentences",32,IF(J289="concepts",33,IF(J289="ad slides",34,IF(J289="scenes",35,IF(J289="famous scenes",36,IF(J289="poems",37,IF(J289="walk",38,IF(J289="faces and events",39,IF(J289="events and names",40,IF(J289="flashbulb",41,IF(J289="stories",42,IF(J289="course material",43,IF(J289="autobiographical",44,IF(J289="novels",45,IF(J289="public events",46,"99"))))))))))))))))))))))))))))))))))))))))))))))</f>
        <v>43</v>
      </c>
      <c r="L289" s="69">
        <f>IF(J289="syllables",1,IF(J289="trigrams",1,IF(J289="strings",1,IF(J289="visual array",1,IF(J289="characters",1,IF(J289="letters",1,IF(J289="free forms",1,IF(J289="odors",2,IF(J289="words",2,IF(J289="pictures",2,IF(J289="object pictures",2,IF(J289="faces",2,IF(J289="names",2,IF(J289="idioms","2",IF(J289="grades",2,IF(J289="syllable-digit pairs",3,IF(J289="trigram-word pairs",3,IF(J289="word-digit pairs",3,IF(J289="English-Swahili pairs",3,IF(J289="spatial position",3,IF(J289="word pairs",4,IF(J289="word triads",4,IF(J289="generated words",4,IF(J289="word definition pairs",4,IF(J289="math problems",4,IF(J289="famous faces",4,IF(J289="famous names",4,IF(J289="famous voices",4,IF(J289="television programs",4,IF(J289="race horses",4,IF(J289="new vocabulary",4,IF(J289="sentences",5,IF(J289="concepts",5,IF(J289="ad slides",5,IF(J289="scenes",5,IF(J289="famous scenes",5,IF(J289="poems",6,IF(J289="walk",6,IF(J289="faces and events",6,IF(J289="events and names",6,IF(J289="flashbulb",7,IF(J289="stories",7,IF(J289="course material",7,IF(J289="autobiographical",7,IF(J289="novels",7,IF(J289="public events",7,"99"))))))))))))))))))))))))))))))))))))))))))))))</f>
        <v>7</v>
      </c>
      <c r="M289" s="69">
        <v>1</v>
      </c>
      <c r="N289" s="69">
        <v>4</v>
      </c>
      <c r="O289" s="69">
        <v>0</v>
      </c>
      <c r="P289" s="69"/>
      <c r="Q289" s="69" t="s">
        <v>182</v>
      </c>
      <c r="R289" s="69">
        <f>IF(Q289="Free Recall",1,IF(Q289="Cued Recall",2,IF(Q289="Recognition",3,IF(Q289="Multiple Choice",4,IF(Q289="Savings",5,IF(Q289="Stem Completion",6,IF(Q289="Fragment Completion",7,IF(Q289="anagram solution",8,IF(Q289="Matching",9,IF(Q289="Problem Solving",10,"99"))))))))))</f>
        <v>4</v>
      </c>
      <c r="S289" s="69" t="s">
        <v>15</v>
      </c>
      <c r="T289" s="69" t="s">
        <v>261</v>
      </c>
      <c r="U289" s="69">
        <f>IF(T289="within",1,0)</f>
        <v>0</v>
      </c>
      <c r="V289" s="69">
        <v>9</v>
      </c>
      <c r="W289" s="69">
        <f>F289*V289</f>
        <v>1863</v>
      </c>
      <c r="X289" s="69">
        <v>5</v>
      </c>
      <c r="Y289" s="87">
        <f>AV288</f>
        <v>10368000</v>
      </c>
      <c r="Z289" s="69" t="s">
        <v>183</v>
      </c>
      <c r="AA289" s="69">
        <v>41472000</v>
      </c>
      <c r="AB289" s="69" t="str">
        <f>IF(AA289&lt;60,"1",IF(AA289&lt;=43200,"2",IF(AA289&lt;=777600,"3","4")))</f>
        <v>4</v>
      </c>
      <c r="AC289" s="72">
        <f>AVERAGE(AV288:DA288)</f>
        <v>25920000</v>
      </c>
      <c r="AD289" s="69" t="str">
        <f>IF(AC289&lt;60,"1",IF(AC289&lt;=43200,"2",IF(AC289&lt;=777600,"3","4")))</f>
        <v>4</v>
      </c>
      <c r="AE289" s="87">
        <f>AA289-Y289</f>
        <v>31104000</v>
      </c>
      <c r="AF289" s="88">
        <f>AV289</f>
        <v>0.66222222222222227</v>
      </c>
      <c r="AG289" s="72">
        <f>((AW289-AV289)+(AX289-AW289)+(AY289-AX289)+(AZ289-AY289))/4</f>
        <v>-2.1944444444444461E-2</v>
      </c>
      <c r="AH289" s="4"/>
      <c r="AI289" s="72">
        <f>RSQ(AV289:AZ289,AV288:AZ288)</f>
        <v>0.96959495002630181</v>
      </c>
      <c r="AJ289" s="110">
        <f>SLOPE(AV289:AZ289,AV288:AZ288)</f>
        <v>-2.7434842249657086E-9</v>
      </c>
      <c r="AK289" s="72">
        <f>INTERCEPT(AV289:AZ289,AV288:AZ288)</f>
        <v>0.68333333333333335</v>
      </c>
      <c r="AL289" s="72">
        <f>INDEX(LINEST(LN(AV289:AZ289),LN(AV288:AZ288),TRUE,TRUE),3,1)</f>
        <v>0.99726515926245407</v>
      </c>
      <c r="AM289" s="72">
        <f>INDEX(LINEST(LN(AV289:AZ289),LN(AV288:AZ288)),1)</f>
        <v>-0.10115046335486202</v>
      </c>
      <c r="AN289" s="72">
        <f>EXP(INDEX(LINEST(LN(AV289:AZ289),LN(AV288:AZ288)),1,2))</f>
        <v>3.4002824587932872</v>
      </c>
      <c r="AO289" s="89">
        <f>INDEX(LINEST((AV289:AZ289),LN(AV288:AZ288),TRUE,TRUE),3,1)</f>
        <v>0.9988753722847481</v>
      </c>
      <c r="AP289" s="89">
        <f>INDEX(LINEST((AV289:AZ289),LN(AV288:AZ288)),1)</f>
        <v>-6.2556664073580723E-2</v>
      </c>
      <c r="AQ289" s="90">
        <f>INDEX(LINEST(LN(AV289:AZ289),SQRT(AV288:AZ288),TRUE,TRUE),3,1)</f>
        <v>0.99651733123483932</v>
      </c>
      <c r="AR289" s="117">
        <f>INDEX(LINEST(LN(AV289:AZ289),SQRT((AV288:AZ288))),1)</f>
        <v>-4.3614441202230193E-5</v>
      </c>
      <c r="AS289" s="91">
        <f>INDEX(LINEST(1/(AV289:AZ289),1/(SQRT(AV288:AZ288)),TRUE,TRUE),3,1)</f>
        <v>0.97159293967676108</v>
      </c>
      <c r="AT289" s="91">
        <f>INDEX(LINEST(1/(AV289:AZ289),1/SQRT(AV288:AZ288)),1)</f>
        <v>-1434.6481786457152</v>
      </c>
      <c r="AU289" s="3"/>
      <c r="AV289" s="73">
        <v>0.66222222222222227</v>
      </c>
      <c r="AW289" s="73">
        <v>0.62777777777777777</v>
      </c>
      <c r="AX289" s="73">
        <v>0.60666666666666669</v>
      </c>
      <c r="AY289" s="73">
        <v>0.59</v>
      </c>
      <c r="AZ289" s="73">
        <v>0.57444444444444442</v>
      </c>
      <c r="BA289" s="53"/>
      <c r="BB289" s="53"/>
      <c r="BC289" s="53"/>
      <c r="BD289" s="53"/>
      <c r="BE289" s="53"/>
      <c r="BF289" s="53"/>
      <c r="BG289" s="53"/>
      <c r="BH289" s="53"/>
      <c r="BI289" s="53"/>
      <c r="BJ289" s="53"/>
      <c r="BK289" s="53"/>
      <c r="BL289" s="53"/>
      <c r="BM289" s="53"/>
      <c r="BN289" s="53"/>
      <c r="BO289" s="53"/>
      <c r="BP289" s="53"/>
      <c r="BQ289" s="53"/>
      <c r="BR289" s="53"/>
      <c r="BS289" s="53"/>
      <c r="BT289" s="53"/>
      <c r="BU289" s="53"/>
      <c r="BV289" s="53"/>
      <c r="BW289" s="53"/>
      <c r="BX289" s="53"/>
      <c r="BY289" s="53"/>
      <c r="BZ289" s="53"/>
      <c r="CA289" s="53"/>
      <c r="CB289" s="53"/>
      <c r="CC289" s="53"/>
      <c r="CD289" s="53"/>
      <c r="CE289" s="53"/>
      <c r="CF289" s="53"/>
      <c r="CG289" s="53"/>
      <c r="CH289" s="53"/>
      <c r="CI289" s="53"/>
      <c r="CJ289" s="53"/>
      <c r="CK289" s="53"/>
      <c r="CL289" s="53"/>
      <c r="CM289" s="53"/>
      <c r="CN289" s="53"/>
      <c r="CO289" s="53"/>
      <c r="CP289" s="53"/>
      <c r="CQ289" s="53"/>
      <c r="CR289" s="1"/>
      <c r="CS289" s="1"/>
      <c r="CT289" s="1"/>
      <c r="CU289" s="1"/>
    </row>
    <row r="290" spans="1:99" s="13" customFormat="1" ht="12" customHeight="1" x14ac:dyDescent="0.2">
      <c r="A290" s="68">
        <v>43509</v>
      </c>
      <c r="B290" s="70"/>
      <c r="C290" s="70"/>
      <c r="D290" s="69"/>
      <c r="E290" s="87"/>
      <c r="F290" s="69"/>
      <c r="G290" s="69"/>
      <c r="H290" s="69"/>
      <c r="I290" s="69"/>
      <c r="J290" s="69"/>
      <c r="K290" s="107"/>
      <c r="L290" s="107"/>
      <c r="M290" s="69"/>
      <c r="N290" s="69"/>
      <c r="O290" s="69"/>
      <c r="P290" s="69"/>
      <c r="Q290" s="69"/>
      <c r="R290" s="69"/>
      <c r="S290" s="69"/>
      <c r="T290" s="69"/>
      <c r="U290" s="69"/>
      <c r="V290" s="69"/>
      <c r="W290" s="69"/>
      <c r="X290" s="69"/>
      <c r="Y290" s="87"/>
      <c r="Z290" s="69"/>
      <c r="AA290" s="69"/>
      <c r="AB290" s="69"/>
      <c r="AC290" s="69"/>
      <c r="AD290" s="69"/>
      <c r="AE290" s="69"/>
      <c r="AF290" s="88"/>
      <c r="AG290" s="72"/>
      <c r="AH290" s="4"/>
      <c r="AI290" s="72"/>
      <c r="AJ290" s="110"/>
      <c r="AK290" s="72"/>
      <c r="AL290" s="72"/>
      <c r="AM290" s="72"/>
      <c r="AN290" s="72"/>
      <c r="AO290" s="72"/>
      <c r="AP290" s="72"/>
      <c r="AQ290" s="89"/>
      <c r="AR290" s="118"/>
      <c r="AS290" s="89"/>
      <c r="AT290" s="89"/>
      <c r="AU290" s="4"/>
      <c r="AV290" s="71">
        <f>30*24*60*60*4</f>
        <v>10368000</v>
      </c>
      <c r="AW290" s="71">
        <f>30*24*60*60*7</f>
        <v>18144000</v>
      </c>
      <c r="AX290" s="71">
        <f>30*24*60*60*10</f>
        <v>25920000</v>
      </c>
      <c r="AY290" s="71">
        <f>30*24*60*60*13</f>
        <v>33696000</v>
      </c>
      <c r="AZ290" s="71">
        <f>30*24*60*60*16</f>
        <v>41472000</v>
      </c>
      <c r="BA290" s="53"/>
      <c r="BB290" s="53"/>
      <c r="BC290" s="53"/>
      <c r="BD290" s="53"/>
      <c r="BE290" s="53"/>
      <c r="BF290" s="53"/>
      <c r="BG290" s="53"/>
      <c r="BH290" s="53"/>
      <c r="BI290" s="53"/>
      <c r="BJ290" s="53"/>
      <c r="BK290" s="53"/>
      <c r="BL290" s="53"/>
      <c r="BM290" s="53"/>
      <c r="BN290" s="53"/>
      <c r="BO290" s="53"/>
      <c r="BP290" s="53"/>
      <c r="BQ290" s="53"/>
      <c r="BR290" s="53"/>
      <c r="BS290" s="53"/>
      <c r="BT290" s="53"/>
      <c r="BU290" s="53"/>
      <c r="BV290" s="53"/>
      <c r="BW290" s="53"/>
      <c r="BX290" s="53"/>
      <c r="BY290" s="53"/>
      <c r="BZ290" s="53"/>
      <c r="CA290" s="53"/>
      <c r="CB290" s="53"/>
      <c r="CC290" s="53"/>
      <c r="CD290" s="53"/>
      <c r="CE290" s="53"/>
      <c r="CF290" s="53"/>
      <c r="CG290" s="53"/>
      <c r="CH290" s="53"/>
      <c r="CI290" s="53"/>
      <c r="CJ290" s="53"/>
      <c r="CK290" s="53"/>
      <c r="CL290" s="53"/>
      <c r="CM290" s="53"/>
      <c r="CN290" s="53"/>
      <c r="CO290" s="53"/>
      <c r="CP290" s="53"/>
      <c r="CQ290" s="53"/>
      <c r="CR290" s="1"/>
      <c r="CS290" s="1"/>
      <c r="CT290" s="1"/>
      <c r="CU290" s="1"/>
    </row>
    <row r="291" spans="1:99" s="13" customFormat="1" ht="12" customHeight="1" x14ac:dyDescent="0.2">
      <c r="A291" s="68">
        <v>43509</v>
      </c>
      <c r="B291" s="70" t="s">
        <v>180</v>
      </c>
      <c r="C291" s="70" t="s">
        <v>181</v>
      </c>
      <c r="D291" s="69">
        <v>1978</v>
      </c>
      <c r="E291" s="87">
        <v>1</v>
      </c>
      <c r="F291" s="69">
        <v>207</v>
      </c>
      <c r="G291" s="69">
        <v>41.4</v>
      </c>
      <c r="H291" s="69" t="s">
        <v>38</v>
      </c>
      <c r="I291" s="69" t="s">
        <v>688</v>
      </c>
      <c r="J291" s="69" t="s">
        <v>585</v>
      </c>
      <c r="K291" s="69">
        <f>IF(J291="syllables",1,IF(J291="trigrams",2,IF(J291="strings",3,IF(J291="visual array",4,IF(J291="characters",5,IF(J291="letters",6,IF(J291="free forms",7,IF(J291="odors",8,IF(J291="words",9,IF(J291="pictures",10,IF(J291="object pictures",11,IF(J291="faces",12,IF(J291="names",13,IF(J291="idioms",14,IF(J291="grades",15,IF(J291="syllable-digit pairs",16,IF(J291="trigram-word pairs",17,IF(J291="word-digit pairs",18,IF(J291="English-Swahili pairs",19,IF(J291="spatial position",20,IF(J291="word pairs",21,IF(J291="word triads",22,IF(J291="generated words",23,IF(J291="word definition pairs",24,IF(J291="math problems",25,IF(J291="famous faces",26,IF(J291="famous names",27,IF(J291="famous voices",28,IF(J291="television programs",29,IF(J291="race horses",30,IF(J291="new vocabulary",31,IF(J291="sentences",32,IF(J291="concepts",33,IF(J291="ad slides",34,IF(J291="scenes",35,IF(J291="famous scenes",36,IF(J291="poems",37,IF(J291="walk",38,IF(J291="faces and events",39,IF(J291="events and names",40,IF(J291="flashbulb",41,IF(J291="stories",42,IF(J291="course material",43,IF(J291="autobiographical",44,IF(J291="novels",45,IF(J291="public events",46,"99"))))))))))))))))))))))))))))))))))))))))))))))</f>
        <v>43</v>
      </c>
      <c r="L291" s="69">
        <f>IF(J291="syllables",1,IF(J291="trigrams",1,IF(J291="strings",1,IF(J291="visual array",1,IF(J291="characters",1,IF(J291="letters",1,IF(J291="free forms",1,IF(J291="odors",2,IF(J291="words",2,IF(J291="pictures",2,IF(J291="object pictures",2,IF(J291="faces",2,IF(J291="names",2,IF(J291="idioms","2",IF(J291="grades",2,IF(J291="syllable-digit pairs",3,IF(J291="trigram-word pairs",3,IF(J291="word-digit pairs",3,IF(J291="English-Swahili pairs",3,IF(J291="spatial position",3,IF(J291="word pairs",4,IF(J291="word triads",4,IF(J291="generated words",4,IF(J291="word definition pairs",4,IF(J291="math problems",4,IF(J291="famous faces",4,IF(J291="famous names",4,IF(J291="famous voices",4,IF(J291="television programs",4,IF(J291="race horses",4,IF(J291="new vocabulary",4,IF(J291="sentences",5,IF(J291="concepts",5,IF(J291="ad slides",5,IF(J291="scenes",5,IF(J291="famous scenes",5,IF(J291="poems",6,IF(J291="walk",6,IF(J291="faces and events",6,IF(J291="events and names",6,IF(J291="flashbulb",7,IF(J291="stories",7,IF(J291="course material",7,IF(J291="autobiographical",7,IF(J291="novels",7,IF(J291="public events",7,"99"))))))))))))))))))))))))))))))))))))))))))))))</f>
        <v>7</v>
      </c>
      <c r="M291" s="69">
        <v>1</v>
      </c>
      <c r="N291" s="69">
        <v>4</v>
      </c>
      <c r="O291" s="69">
        <v>0</v>
      </c>
      <c r="P291" s="69"/>
      <c r="Q291" s="69" t="s">
        <v>182</v>
      </c>
      <c r="R291" s="69">
        <f>IF(Q291="Free Recall",1,IF(Q291="Cued Recall",2,IF(Q291="Recognition",3,IF(Q291="Multiple Choice",4,IF(Q291="Savings",5,IF(Q291="Stem Completion",6,IF(Q291="Fragment Completion",7,IF(Q291="anagram solution",8,IF(Q291="Matching",9,IF(Q291="Problem Solving",10,"99"))))))))))</f>
        <v>4</v>
      </c>
      <c r="S291" s="69" t="s">
        <v>15</v>
      </c>
      <c r="T291" s="69" t="s">
        <v>261</v>
      </c>
      <c r="U291" s="69">
        <f>IF(T291="within",1,0)</f>
        <v>0</v>
      </c>
      <c r="V291" s="69">
        <v>6</v>
      </c>
      <c r="W291" s="69">
        <f>F291*V291</f>
        <v>1242</v>
      </c>
      <c r="X291" s="69">
        <v>5</v>
      </c>
      <c r="Y291" s="87">
        <f>AV290</f>
        <v>10368000</v>
      </c>
      <c r="Z291" s="69" t="s">
        <v>183</v>
      </c>
      <c r="AA291" s="69">
        <v>41472000</v>
      </c>
      <c r="AB291" s="69" t="str">
        <f>IF(AA291&lt;60,"1",IF(AA291&lt;=43200,"2",IF(AA291&lt;=777600,"3","4")))</f>
        <v>4</v>
      </c>
      <c r="AC291" s="72">
        <f>AVERAGE(AV290:DA290)</f>
        <v>25920000</v>
      </c>
      <c r="AD291" s="69" t="str">
        <f>IF(AC291&lt;60,"1",IF(AC291&lt;=43200,"2",IF(AC291&lt;=777600,"3","4")))</f>
        <v>4</v>
      </c>
      <c r="AE291" s="87">
        <f>AA291-Y291</f>
        <v>31104000</v>
      </c>
      <c r="AF291" s="88">
        <f>AV291</f>
        <v>0.72499999999999998</v>
      </c>
      <c r="AG291" s="72">
        <f>((AW291-AV291)+(AX291-AW291)+(AY291-AX291)+(AZ291-AY291))/4</f>
        <v>-1.1666666666666659E-2</v>
      </c>
      <c r="AH291" s="4"/>
      <c r="AI291" s="72">
        <f>RSQ(AV291:AZ291,AV290:AZ290)</f>
        <v>0.12270662240083899</v>
      </c>
      <c r="AJ291" s="110">
        <f>SLOPE(AV291:AZ291,AV290:AZ290)</f>
        <v>-1.1359739368998637E-9</v>
      </c>
      <c r="AK291" s="72">
        <f>INTERCEPT(AV291:AZ291,AV290:AZ290)</f>
        <v>0.69511111111111112</v>
      </c>
      <c r="AL291" s="72">
        <f>INDEX(LINEST(LN(AV291:AZ291),LN(AV290:AZ290),TRUE,TRUE),3,1)</f>
        <v>0.25855362296587237</v>
      </c>
      <c r="AM291" s="72">
        <f>INDEX(LINEST(LN(AV291:AZ291),LN(AV290:AZ290)),1)</f>
        <v>-5.5198547833092602E-2</v>
      </c>
      <c r="AN291" s="72">
        <f>EXP(INDEX(LINEST(LN(AV291:AZ291),LN(AV290:AZ290)),1,2))</f>
        <v>1.6953931401354716</v>
      </c>
      <c r="AO291" s="89">
        <f>INDEX(LINEST((AV291:AZ291),LN(AV290:AZ290),TRUE,TRUE),3,1)</f>
        <v>0.27510514207256409</v>
      </c>
      <c r="AP291" s="89">
        <f>INDEX(LINEST((AV291:AZ291),LN(AV290:AZ290)),1)</f>
        <v>-3.8211523542508126E-2</v>
      </c>
      <c r="AQ291" s="90">
        <f>INDEX(LINEST(LN(AV291:AZ291),SQRT(AV290:AZ290),TRUE,TRUE),3,1)</f>
        <v>0.17823287269527288</v>
      </c>
      <c r="AR291" s="117">
        <f>INDEX(LINEST(LN(AV291:AZ291),SQRT((AV290:AZ290))),1)</f>
        <v>-1.9768402420076484E-5</v>
      </c>
      <c r="AS291" s="91">
        <f>INDEX(LINEST(1/(AV291:AZ291),1/(SQRT(AV290:AZ290)),TRUE,TRUE),3,1)</f>
        <v>0.32540942646264603</v>
      </c>
      <c r="AT291" s="91">
        <f>INDEX(LINEST(1/(AV291:AZ291),1/SQRT(AV290:AZ290)),1)</f>
        <v>-820.07979287991191</v>
      </c>
      <c r="AU291" s="3"/>
      <c r="AV291" s="73">
        <v>0.72499999999999998</v>
      </c>
      <c r="AW291" s="73">
        <v>0.65166666666666673</v>
      </c>
      <c r="AX291" s="73">
        <v>0.6166666666666667</v>
      </c>
      <c r="AY291" s="73">
        <v>0.65666666666666662</v>
      </c>
      <c r="AZ291" s="73">
        <v>0.67833333333333334</v>
      </c>
      <c r="BA291" s="53"/>
      <c r="BB291" s="53"/>
      <c r="BC291" s="53"/>
      <c r="BD291" s="53"/>
      <c r="BE291" s="53"/>
      <c r="BF291" s="53"/>
      <c r="BG291" s="53"/>
      <c r="BH291" s="53"/>
      <c r="BI291" s="53"/>
      <c r="BJ291" s="53"/>
      <c r="BK291" s="53"/>
      <c r="BL291" s="53"/>
      <c r="BM291" s="53"/>
      <c r="BN291" s="53"/>
      <c r="BO291" s="53"/>
      <c r="BP291" s="53"/>
      <c r="BQ291" s="53"/>
      <c r="BR291" s="53"/>
      <c r="BS291" s="53"/>
      <c r="BT291" s="53"/>
      <c r="BU291" s="53"/>
      <c r="BV291" s="53"/>
      <c r="BW291" s="53"/>
      <c r="BX291" s="53"/>
      <c r="BY291" s="53"/>
      <c r="BZ291" s="53"/>
      <c r="CA291" s="53"/>
      <c r="CB291" s="53"/>
      <c r="CC291" s="53"/>
      <c r="CD291" s="53"/>
      <c r="CE291" s="53"/>
      <c r="CF291" s="53"/>
      <c r="CG291" s="53"/>
      <c r="CH291" s="53"/>
      <c r="CI291" s="53"/>
      <c r="CJ291" s="53"/>
      <c r="CK291" s="53"/>
      <c r="CL291" s="53"/>
      <c r="CM291" s="53"/>
      <c r="CN291" s="53"/>
      <c r="CO291" s="53"/>
      <c r="CP291" s="53"/>
      <c r="CQ291" s="53"/>
      <c r="CR291" s="1"/>
      <c r="CS291" s="1"/>
      <c r="CT291" s="1"/>
      <c r="CU291" s="1"/>
    </row>
    <row r="292" spans="1:99" s="13" customFormat="1" ht="12" customHeight="1" x14ac:dyDescent="0.2">
      <c r="A292" s="68">
        <v>43509</v>
      </c>
      <c r="B292" s="70"/>
      <c r="C292" s="70"/>
      <c r="D292" s="69"/>
      <c r="E292" s="87"/>
      <c r="F292" s="69"/>
      <c r="G292" s="69"/>
      <c r="H292" s="69"/>
      <c r="I292" s="69"/>
      <c r="J292" s="69"/>
      <c r="K292" s="107"/>
      <c r="L292" s="107"/>
      <c r="M292" s="69"/>
      <c r="N292" s="69"/>
      <c r="O292" s="69"/>
      <c r="P292" s="69"/>
      <c r="Q292" s="69"/>
      <c r="R292" s="69"/>
      <c r="S292" s="69"/>
      <c r="T292" s="69"/>
      <c r="U292" s="69"/>
      <c r="V292" s="69"/>
      <c r="W292" s="69"/>
      <c r="X292" s="69"/>
      <c r="Y292" s="87"/>
      <c r="Z292" s="69"/>
      <c r="AA292" s="69"/>
      <c r="AB292" s="69"/>
      <c r="AC292" s="69"/>
      <c r="AD292" s="69"/>
      <c r="AE292" s="69"/>
      <c r="AF292" s="88"/>
      <c r="AG292" s="72"/>
      <c r="AH292" s="4"/>
      <c r="AI292" s="72"/>
      <c r="AJ292" s="110"/>
      <c r="AK292" s="72"/>
      <c r="AL292" s="72"/>
      <c r="AM292" s="72"/>
      <c r="AN292" s="72"/>
      <c r="AO292" s="72"/>
      <c r="AP292" s="72"/>
      <c r="AQ292" s="89"/>
      <c r="AR292" s="118"/>
      <c r="AS292" s="89"/>
      <c r="AT292" s="89"/>
      <c r="AU292" s="4"/>
      <c r="AV292" s="71">
        <f>30*24*60*60*4</f>
        <v>10368000</v>
      </c>
      <c r="AW292" s="71">
        <f>30*24*60*60*7</f>
        <v>18144000</v>
      </c>
      <c r="AX292" s="71">
        <f>30*24*60*60*10</f>
        <v>25920000</v>
      </c>
      <c r="AY292" s="71">
        <f>30*24*60*60*13</f>
        <v>33696000</v>
      </c>
      <c r="AZ292" s="71">
        <f>30*24*60*60*16</f>
        <v>41472000</v>
      </c>
      <c r="BA292" s="53"/>
      <c r="BB292" s="53"/>
      <c r="BC292" s="53"/>
      <c r="BD292" s="53"/>
      <c r="BE292" s="53"/>
      <c r="BF292" s="53"/>
      <c r="BG292" s="53"/>
      <c r="BH292" s="53"/>
      <c r="BI292" s="53"/>
      <c r="BJ292" s="53"/>
      <c r="BK292" s="53"/>
      <c r="BL292" s="53"/>
      <c r="BM292" s="53"/>
      <c r="BN292" s="53"/>
      <c r="BO292" s="53"/>
      <c r="BP292" s="53"/>
      <c r="BQ292" s="53"/>
      <c r="BR292" s="53"/>
      <c r="BS292" s="53"/>
      <c r="BT292" s="53"/>
      <c r="BU292" s="53"/>
      <c r="BV292" s="53"/>
      <c r="BW292" s="53"/>
      <c r="BX292" s="53"/>
      <c r="BY292" s="53"/>
      <c r="BZ292" s="53"/>
      <c r="CA292" s="53"/>
      <c r="CB292" s="53"/>
      <c r="CC292" s="53"/>
      <c r="CD292" s="53"/>
      <c r="CE292" s="53"/>
      <c r="CF292" s="53"/>
      <c r="CG292" s="53"/>
      <c r="CH292" s="53"/>
      <c r="CI292" s="53"/>
      <c r="CJ292" s="53"/>
      <c r="CK292" s="53"/>
      <c r="CL292" s="53"/>
      <c r="CM292" s="53"/>
      <c r="CN292" s="53"/>
      <c r="CO292" s="53"/>
      <c r="CP292" s="53"/>
      <c r="CQ292" s="53"/>
      <c r="CR292" s="1"/>
      <c r="CS292" s="1"/>
      <c r="CT292" s="1"/>
      <c r="CU292" s="1"/>
    </row>
    <row r="293" spans="1:99" s="13" customFormat="1" ht="12" customHeight="1" x14ac:dyDescent="0.2">
      <c r="A293" s="68">
        <v>43509</v>
      </c>
      <c r="B293" s="70" t="s">
        <v>180</v>
      </c>
      <c r="C293" s="70" t="s">
        <v>181</v>
      </c>
      <c r="D293" s="69">
        <v>1978</v>
      </c>
      <c r="E293" s="87">
        <v>1</v>
      </c>
      <c r="F293" s="69">
        <v>207</v>
      </c>
      <c r="G293" s="69">
        <v>41.4</v>
      </c>
      <c r="H293" s="69" t="s">
        <v>38</v>
      </c>
      <c r="I293" s="69" t="s">
        <v>690</v>
      </c>
      <c r="J293" s="69" t="s">
        <v>585</v>
      </c>
      <c r="K293" s="69">
        <f>IF(J293="syllables",1,IF(J293="trigrams",2,IF(J293="strings",3,IF(J293="visual array",4,IF(J293="characters",5,IF(J293="letters",6,IF(J293="free forms",7,IF(J293="odors",8,IF(J293="words",9,IF(J293="pictures",10,IF(J293="object pictures",11,IF(J293="faces",12,IF(J293="names",13,IF(J293="idioms",14,IF(J293="grades",15,IF(J293="syllable-digit pairs",16,IF(J293="trigram-word pairs",17,IF(J293="word-digit pairs",18,IF(J293="English-Swahili pairs",19,IF(J293="spatial position",20,IF(J293="word pairs",21,IF(J293="word triads",22,IF(J293="generated words",23,IF(J293="word definition pairs",24,IF(J293="math problems",25,IF(J293="famous faces",26,IF(J293="famous names",27,IF(J293="famous voices",28,IF(J293="television programs",29,IF(J293="race horses",30,IF(J293="new vocabulary",31,IF(J293="sentences",32,IF(J293="concepts",33,IF(J293="ad slides",34,IF(J293="scenes",35,IF(J293="famous scenes",36,IF(J293="poems",37,IF(J293="walk",38,IF(J293="faces and events",39,IF(J293="events and names",40,IF(J293="flashbulb",41,IF(J293="stories",42,IF(J293="course material",43,IF(J293="autobiographical",44,IF(J293="novels",45,IF(J293="public events",46,"99"))))))))))))))))))))))))))))))))))))))))))))))</f>
        <v>43</v>
      </c>
      <c r="L293" s="69">
        <f>IF(J293="syllables",1,IF(J293="trigrams",1,IF(J293="strings",1,IF(J293="visual array",1,IF(J293="characters",1,IF(J293="letters",1,IF(J293="free forms",1,IF(J293="odors",2,IF(J293="words",2,IF(J293="pictures",2,IF(J293="object pictures",2,IF(J293="faces",2,IF(J293="names",2,IF(J293="idioms","2",IF(J293="grades",2,IF(J293="syllable-digit pairs",3,IF(J293="trigram-word pairs",3,IF(J293="word-digit pairs",3,IF(J293="English-Swahili pairs",3,IF(J293="spatial position",3,IF(J293="word pairs",4,IF(J293="word triads",4,IF(J293="generated words",4,IF(J293="word definition pairs",4,IF(J293="math problems",4,IF(J293="famous faces",4,IF(J293="famous names",4,IF(J293="famous voices",4,IF(J293="television programs",4,IF(J293="race horses",4,IF(J293="new vocabulary",4,IF(J293="sentences",5,IF(J293="concepts",5,IF(J293="ad slides",5,IF(J293="scenes",5,IF(J293="famous scenes",5,IF(J293="poems",6,IF(J293="walk",6,IF(J293="faces and events",6,IF(J293="events and names",6,IF(J293="flashbulb",7,IF(J293="stories",7,IF(J293="course material",7,IF(J293="autobiographical",7,IF(J293="novels",7,IF(J293="public events",7,"99"))))))))))))))))))))))))))))))))))))))))))))))</f>
        <v>7</v>
      </c>
      <c r="M293" s="69">
        <v>1</v>
      </c>
      <c r="N293" s="69">
        <v>4</v>
      </c>
      <c r="O293" s="69">
        <v>0</v>
      </c>
      <c r="P293" s="69"/>
      <c r="Q293" s="69" t="s">
        <v>182</v>
      </c>
      <c r="R293" s="69">
        <f>IF(Q293="Free Recall",1,IF(Q293="Cued Recall",2,IF(Q293="Recognition",3,IF(Q293="Multiple Choice",4,IF(Q293="Savings",5,IF(Q293="Stem Completion",6,IF(Q293="Fragment Completion",7,IF(Q293="anagram solution",8,IF(Q293="Matching",9,IF(Q293="Problem Solving",10,"99"))))))))))</f>
        <v>4</v>
      </c>
      <c r="S293" s="69" t="s">
        <v>15</v>
      </c>
      <c r="T293" s="69" t="s">
        <v>261</v>
      </c>
      <c r="U293" s="69">
        <f>IF(T293="within",1,0)</f>
        <v>0</v>
      </c>
      <c r="V293" s="69">
        <v>3</v>
      </c>
      <c r="W293" s="69">
        <f>F293*V293</f>
        <v>621</v>
      </c>
      <c r="X293" s="69">
        <v>5</v>
      </c>
      <c r="Y293" s="87">
        <f>AV292</f>
        <v>10368000</v>
      </c>
      <c r="Z293" s="69" t="s">
        <v>183</v>
      </c>
      <c r="AA293" s="69">
        <v>41472000</v>
      </c>
      <c r="AB293" s="69" t="str">
        <f>IF(AA293&lt;60,"1",IF(AA293&lt;=43200,"2",IF(AA293&lt;=777600,"3","4")))</f>
        <v>4</v>
      </c>
      <c r="AC293" s="72">
        <f>AVERAGE(AV292:DA292)</f>
        <v>25920000</v>
      </c>
      <c r="AD293" s="69" t="str">
        <f>IF(AC293&lt;60,"1",IF(AC293&lt;=43200,"2",IF(AC293&lt;=777600,"3","4")))</f>
        <v>4</v>
      </c>
      <c r="AE293" s="87">
        <f>AA293-Y293</f>
        <v>31104000</v>
      </c>
      <c r="AF293" s="88">
        <f>AV293</f>
        <v>0.51666666666666672</v>
      </c>
      <c r="AG293" s="93">
        <f>((AW293-AV293)+(AX293-AW293)+(AY293-AX293)+(AZ293-AY293))/4</f>
        <v>-2.5000000000000022E-3</v>
      </c>
      <c r="AH293" s="4"/>
      <c r="AI293" s="72">
        <f>RSQ(AV293:AZ293,AV292:AZ292)</f>
        <v>0.1669928245270714</v>
      </c>
      <c r="AJ293" s="110">
        <f>SLOPE(AV293:AZ293,AV292:AZ292)</f>
        <v>-1.3717421124828541E-9</v>
      </c>
      <c r="AK293" s="72">
        <f>INTERCEPT(AV293:AZ293,AV292:AZ292)</f>
        <v>0.54355555555555557</v>
      </c>
      <c r="AL293" s="72">
        <f>INDEX(LINEST(LN(AV293:AZ293),LN(AV292:AZ292),TRUE,TRUE),3,1)</f>
        <v>0.1385854496188042</v>
      </c>
      <c r="AM293" s="72">
        <f>INDEX(LINEST(LN(AV293:AZ293),LN(AV292:AZ292)),1)</f>
        <v>-5.743500690022494E-2</v>
      </c>
      <c r="AN293" s="72">
        <f>EXP(INDEX(LINEST(LN(AV293:AZ293),LN(AV292:AZ292)),1,2))</f>
        <v>1.3420295224620298</v>
      </c>
      <c r="AO293" s="89">
        <f>INDEX(LINEST((AV293:AZ293),LN(AV292:AZ292),TRUE,TRUE),3,1)</f>
        <v>0.13394520236673521</v>
      </c>
      <c r="AP293" s="89">
        <f>INDEX(LINEST((AV293:AZ293),LN(AV292:AZ292)),1)</f>
        <v>-2.7599281837453943E-2</v>
      </c>
      <c r="AQ293" s="90">
        <f>INDEX(LINEST(LN(AV293:AZ293),SQRT(AV292:AZ292),TRUE,TRUE),3,1)</f>
        <v>0.15653258515264634</v>
      </c>
      <c r="AR293" s="117">
        <f>INDEX(LINEST(LN(AV293:AZ293),SQRT((AV292:AZ292))),1)</f>
        <v>-2.6329679343925486E-5</v>
      </c>
      <c r="AS293" s="91">
        <f>INDEX(LINEST(1/(AV293:AZ293),1/(SQRT(AV292:AZ292)),TRUE,TRUE),3,1)</f>
        <v>0.12217769065079481</v>
      </c>
      <c r="AT293" s="91">
        <f>INDEX(LINEST(1/(AV293:AZ293),1/SQRT(AV292:AZ292)),1)</f>
        <v>-982.41706402604905</v>
      </c>
      <c r="AU293" s="3"/>
      <c r="AV293" s="73">
        <v>0.51666666666666672</v>
      </c>
      <c r="AW293" s="73">
        <v>0.52666666666666673</v>
      </c>
      <c r="AX293" s="73">
        <v>0.54999999999999993</v>
      </c>
      <c r="AY293" s="73">
        <v>0.44</v>
      </c>
      <c r="AZ293" s="73">
        <v>0.50666666666666671</v>
      </c>
      <c r="BA293" s="53"/>
      <c r="BB293" s="53"/>
      <c r="BC293" s="53"/>
      <c r="BD293" s="53"/>
      <c r="BE293" s="53"/>
      <c r="BF293" s="53"/>
      <c r="BG293" s="53"/>
      <c r="BH293" s="53"/>
      <c r="BI293" s="53"/>
      <c r="BJ293" s="53"/>
      <c r="BK293" s="53"/>
      <c r="BL293" s="53"/>
      <c r="BM293" s="53"/>
      <c r="BN293" s="53"/>
      <c r="BO293" s="53"/>
      <c r="BP293" s="53"/>
      <c r="BQ293" s="53"/>
      <c r="BR293" s="53"/>
      <c r="BS293" s="53"/>
      <c r="BT293" s="53"/>
      <c r="BU293" s="53"/>
      <c r="BV293" s="53"/>
      <c r="BW293" s="53"/>
      <c r="BX293" s="53"/>
      <c r="BY293" s="53"/>
      <c r="BZ293" s="53"/>
      <c r="CA293" s="53"/>
      <c r="CB293" s="53"/>
      <c r="CC293" s="53"/>
      <c r="CD293" s="53"/>
      <c r="CE293" s="53"/>
      <c r="CF293" s="53"/>
      <c r="CG293" s="53"/>
      <c r="CH293" s="53"/>
      <c r="CI293" s="53"/>
      <c r="CJ293" s="53"/>
      <c r="CK293" s="53"/>
      <c r="CL293" s="53"/>
      <c r="CM293" s="53"/>
      <c r="CN293" s="53"/>
      <c r="CO293" s="53"/>
      <c r="CP293" s="53"/>
      <c r="CQ293" s="53"/>
      <c r="CR293" s="1"/>
      <c r="CS293" s="1"/>
      <c r="CT293" s="1"/>
      <c r="CU293" s="1"/>
    </row>
    <row r="294" spans="1:99" s="13" customFormat="1" ht="12" customHeight="1" x14ac:dyDescent="0.2">
      <c r="A294" s="68">
        <v>43509</v>
      </c>
      <c r="B294" s="70"/>
      <c r="C294" s="70"/>
      <c r="D294" s="69"/>
      <c r="E294" s="87"/>
      <c r="F294" s="69"/>
      <c r="G294" s="69"/>
      <c r="H294" s="69"/>
      <c r="I294" s="69"/>
      <c r="J294" s="69"/>
      <c r="K294" s="107"/>
      <c r="L294" s="107"/>
      <c r="M294" s="69"/>
      <c r="N294" s="69"/>
      <c r="O294" s="69"/>
      <c r="P294" s="69"/>
      <c r="Q294" s="69"/>
      <c r="R294" s="69"/>
      <c r="S294" s="69"/>
      <c r="T294" s="69"/>
      <c r="U294" s="69"/>
      <c r="V294" s="69"/>
      <c r="W294" s="69"/>
      <c r="X294" s="69"/>
      <c r="Y294" s="87"/>
      <c r="Z294" s="69"/>
      <c r="AA294" s="69"/>
      <c r="AB294" s="69"/>
      <c r="AC294" s="69"/>
      <c r="AD294" s="69"/>
      <c r="AE294" s="69"/>
      <c r="AF294" s="88"/>
      <c r="AG294" s="72"/>
      <c r="AH294" s="4"/>
      <c r="AI294" s="72"/>
      <c r="AJ294" s="110"/>
      <c r="AK294" s="72"/>
      <c r="AL294" s="72"/>
      <c r="AM294" s="72"/>
      <c r="AN294" s="72"/>
      <c r="AO294" s="72"/>
      <c r="AP294" s="72"/>
      <c r="AQ294" s="72"/>
      <c r="AR294" s="110"/>
      <c r="AS294" s="72"/>
      <c r="AT294" s="72"/>
      <c r="AU294" s="4"/>
      <c r="AV294" s="71">
        <f>30*24*60*60*4</f>
        <v>10368000</v>
      </c>
      <c r="AW294" s="71">
        <f>30*24*60*60*7</f>
        <v>18144000</v>
      </c>
      <c r="AX294" s="71">
        <f>30*24*60*60*10</f>
        <v>25920000</v>
      </c>
      <c r="AY294" s="71">
        <f>30*24*60*60*13</f>
        <v>33696000</v>
      </c>
      <c r="AZ294" s="71">
        <f>30*24*60*60*16</f>
        <v>41472000</v>
      </c>
      <c r="BA294" s="53"/>
      <c r="BB294" s="53"/>
      <c r="BC294" s="53"/>
      <c r="BD294" s="53"/>
      <c r="BE294" s="53"/>
      <c r="BF294" s="53"/>
      <c r="BG294" s="53"/>
      <c r="BH294" s="53"/>
      <c r="BI294" s="53"/>
      <c r="BJ294" s="53"/>
      <c r="BK294" s="53"/>
      <c r="BL294" s="53"/>
      <c r="BM294" s="53"/>
      <c r="BN294" s="53"/>
      <c r="BO294" s="53"/>
      <c r="BP294" s="53"/>
      <c r="BQ294" s="53"/>
      <c r="BR294" s="53"/>
      <c r="BS294" s="53"/>
      <c r="BT294" s="53"/>
      <c r="BU294" s="53"/>
      <c r="BV294" s="53"/>
      <c r="BW294" s="53"/>
      <c r="BX294" s="53"/>
      <c r="BY294" s="53"/>
      <c r="BZ294" s="53"/>
      <c r="CA294" s="53"/>
      <c r="CB294" s="53"/>
      <c r="CC294" s="53"/>
      <c r="CD294" s="53"/>
      <c r="CE294" s="53"/>
      <c r="CF294" s="53"/>
      <c r="CG294" s="53"/>
      <c r="CH294" s="53"/>
      <c r="CI294" s="53"/>
      <c r="CJ294" s="53"/>
      <c r="CK294" s="53"/>
      <c r="CL294" s="53"/>
      <c r="CM294" s="53"/>
      <c r="CN294" s="53"/>
      <c r="CO294" s="53"/>
      <c r="CP294" s="53"/>
      <c r="CQ294" s="53"/>
      <c r="CR294" s="1"/>
      <c r="CS294" s="1"/>
      <c r="CT294" s="1"/>
      <c r="CU294" s="1"/>
    </row>
    <row r="295" spans="1:99" s="13" customFormat="1" ht="12" customHeight="1" x14ac:dyDescent="0.2">
      <c r="A295" s="68">
        <v>43509</v>
      </c>
      <c r="B295" s="70" t="s">
        <v>180</v>
      </c>
      <c r="C295" s="70" t="s">
        <v>181</v>
      </c>
      <c r="D295" s="69">
        <v>1978</v>
      </c>
      <c r="E295" s="87">
        <v>1</v>
      </c>
      <c r="F295" s="69">
        <v>189</v>
      </c>
      <c r="G295" s="69">
        <v>37.799999999999997</v>
      </c>
      <c r="H295" s="69" t="s">
        <v>38</v>
      </c>
      <c r="I295" s="69" t="s">
        <v>691</v>
      </c>
      <c r="J295" s="69" t="s">
        <v>585</v>
      </c>
      <c r="K295" s="69">
        <f>IF(J295="syllables",1,IF(J295="trigrams",2,IF(J295="strings",3,IF(J295="visual array",4,IF(J295="characters",5,IF(J295="letters",6,IF(J295="free forms",7,IF(J295="odors",8,IF(J295="words",9,IF(J295="pictures",10,IF(J295="object pictures",11,IF(J295="faces",12,IF(J295="names",13,IF(J295="idioms",14,IF(J295="grades",15,IF(J295="syllable-digit pairs",16,IF(J295="trigram-word pairs",17,IF(J295="word-digit pairs",18,IF(J295="English-Swahili pairs",19,IF(J295="spatial position",20,IF(J295="word pairs",21,IF(J295="word triads",22,IF(J295="generated words",23,IF(J295="word definition pairs",24,IF(J295="math problems",25,IF(J295="famous faces",26,IF(J295="famous names",27,IF(J295="famous voices",28,IF(J295="television programs",29,IF(J295="race horses",30,IF(J295="new vocabulary",31,IF(J295="sentences",32,IF(J295="concepts",33,IF(J295="ad slides",34,IF(J295="scenes",35,IF(J295="famous scenes",36,IF(J295="poems",37,IF(J295="walk",38,IF(J295="faces and events",39,IF(J295="events and names",40,IF(J295="flashbulb",41,IF(J295="stories",42,IF(J295="course material",43,IF(J295="autobiographical",44,IF(J295="novels",45,IF(J295="public events",46,"99"))))))))))))))))))))))))))))))))))))))))))))))</f>
        <v>43</v>
      </c>
      <c r="L295" s="69">
        <f>IF(J295="syllables",1,IF(J295="trigrams",1,IF(J295="strings",1,IF(J295="visual array",1,IF(J295="characters",1,IF(J295="letters",1,IF(J295="free forms",1,IF(J295="odors",2,IF(J295="words",2,IF(J295="pictures",2,IF(J295="object pictures",2,IF(J295="faces",2,IF(J295="names",2,IF(J295="idioms","2",IF(J295="grades",2,IF(J295="syllable-digit pairs",3,IF(J295="trigram-word pairs",3,IF(J295="word-digit pairs",3,IF(J295="English-Swahili pairs",3,IF(J295="spatial position",3,IF(J295="word pairs",4,IF(J295="word triads",4,IF(J295="generated words",4,IF(J295="word definition pairs",4,IF(J295="math problems",4,IF(J295="famous faces",4,IF(J295="famous names",4,IF(J295="famous voices",4,IF(J295="television programs",4,IF(J295="race horses",4,IF(J295="new vocabulary",4,IF(J295="sentences",5,IF(J295="concepts",5,IF(J295="ad slides",5,IF(J295="scenes",5,IF(J295="famous scenes",5,IF(J295="poems",6,IF(J295="walk",6,IF(J295="faces and events",6,IF(J295="events and names",6,IF(J295="flashbulb",7,IF(J295="stories",7,IF(J295="course material",7,IF(J295="autobiographical",7,IF(J295="novels",7,IF(J295="public events",7,"99"))))))))))))))))))))))))))))))))))))))))))))))</f>
        <v>7</v>
      </c>
      <c r="M295" s="69">
        <v>1</v>
      </c>
      <c r="N295" s="69">
        <v>4</v>
      </c>
      <c r="O295" s="69">
        <v>0</v>
      </c>
      <c r="P295" s="69"/>
      <c r="Q295" s="69" t="s">
        <v>182</v>
      </c>
      <c r="R295" s="69">
        <f>IF(Q295="Free Recall",1,IF(Q295="Cued Recall",2,IF(Q295="Recognition",3,IF(Q295="Multiple Choice",4,IF(Q295="Savings",5,IF(Q295="Stem Completion",6,IF(Q295="Fragment Completion",7,IF(Q295="anagram solution",8,IF(Q295="Matching",9,IF(Q295="Problem Solving",10,"99"))))))))))</f>
        <v>4</v>
      </c>
      <c r="S295" s="69" t="s">
        <v>15</v>
      </c>
      <c r="T295" s="69" t="s">
        <v>261</v>
      </c>
      <c r="U295" s="69">
        <f>IF(T295="within",1,0)</f>
        <v>0</v>
      </c>
      <c r="V295" s="69">
        <v>9</v>
      </c>
      <c r="W295" s="69">
        <f>F295*V295</f>
        <v>1701</v>
      </c>
      <c r="X295" s="69">
        <v>5</v>
      </c>
      <c r="Y295" s="87">
        <f>AV294</f>
        <v>10368000</v>
      </c>
      <c r="Z295" s="69" t="s">
        <v>183</v>
      </c>
      <c r="AA295" s="69">
        <v>41472000</v>
      </c>
      <c r="AB295" s="69" t="str">
        <f>IF(AA295&lt;60,"1",IF(AA295&lt;=43200,"2",IF(AA295&lt;=777600,"3","4")))</f>
        <v>4</v>
      </c>
      <c r="AC295" s="72">
        <f>AVERAGE(AV294:DA294)</f>
        <v>25920000</v>
      </c>
      <c r="AD295" s="69" t="str">
        <f>IF(AC295&lt;60,"1",IF(AC295&lt;=43200,"2",IF(AC295&lt;=777600,"3","4")))</f>
        <v>4</v>
      </c>
      <c r="AE295" s="87">
        <f>AA295-Y295</f>
        <v>31104000</v>
      </c>
      <c r="AF295" s="88">
        <f>AV295</f>
        <v>0.65333333333333332</v>
      </c>
      <c r="AG295" s="72">
        <f>((AW295-AV295)+(AX295-AW295)+(AY295-AX295)+(AZ295-AY295))/4</f>
        <v>-4.416666666666666E-2</v>
      </c>
      <c r="AH295" s="4"/>
      <c r="AI295" s="72">
        <f>RSQ(AV295:AZ295,AV294:AZ294)</f>
        <v>0.80006192376496477</v>
      </c>
      <c r="AJ295" s="110">
        <f>SLOPE(AV295:AZ295,AV294:AZ294)</f>
        <v>-4.8725422953817999E-9</v>
      </c>
      <c r="AK295" s="72">
        <f>INTERCEPT(AV295:AZ295,AV294:AZ294)</f>
        <v>0.68296296296296288</v>
      </c>
      <c r="AL295" s="72">
        <f>INDEX(LINEST(LN(AV295:AZ295),LN(AV294:AZ294),TRUE,TRUE),3,1)</f>
        <v>0.83414789545755663</v>
      </c>
      <c r="AM295" s="72">
        <f>INDEX(LINEST(LN(AV295:AZ295),LN(AV294:AZ294)),1)</f>
        <v>-0.19913673194180401</v>
      </c>
      <c r="AN295" s="72">
        <f>EXP(INDEX(LINEST(LN(AV295:AZ295),LN(AV294:AZ294)),1,2))</f>
        <v>16.221304568570641</v>
      </c>
      <c r="AO295" s="89">
        <f>INDEX(LINEST((AV295:AZ295),LN(AV294:AZ294),TRUE,TRUE),3,1)</f>
        <v>0.85009517358111308</v>
      </c>
      <c r="AP295" s="89">
        <f>INDEX(LINEST((AV295:AZ295),LN(AV294:AZ294)),1)</f>
        <v>-0.11283354302654863</v>
      </c>
      <c r="AQ295" s="90">
        <f>INDEX(LINEST(LN(AV295:AZ295),SQRT(AV294:AZ294),TRUE,TRUE),3,1)</f>
        <v>0.82388332690335464</v>
      </c>
      <c r="AR295" s="117">
        <f>INDEX(LINEST(LN(AV295:AZ295),SQRT((AV294:AZ294))),1)</f>
        <v>-8.5366609835536408E-5</v>
      </c>
      <c r="AS295" s="91">
        <f>INDEX(LINEST(1/(AV295:AZ295),1/(SQRT(AV294:AZ294)),TRUE,TRUE),3,1)</f>
        <v>0.80234989257175504</v>
      </c>
      <c r="AT295" s="91">
        <f>INDEX(LINEST(1/(AV295:AZ295),1/SQRT(AV294:AZ294)),1)</f>
        <v>-3115.1884519486975</v>
      </c>
      <c r="AU295" s="3"/>
      <c r="AV295" s="73">
        <v>0.65333333333333332</v>
      </c>
      <c r="AW295" s="73">
        <v>0.58111111111111113</v>
      </c>
      <c r="AX295" s="73">
        <v>0.51666666666666672</v>
      </c>
      <c r="AY295" s="73">
        <v>0.55555555555555558</v>
      </c>
      <c r="AZ295" s="73">
        <v>0.47666666666666668</v>
      </c>
      <c r="BA295" s="53"/>
      <c r="BB295" s="53"/>
      <c r="BC295" s="53"/>
      <c r="BD295" s="53"/>
      <c r="BE295" s="53"/>
      <c r="BF295" s="53"/>
      <c r="BG295" s="53"/>
      <c r="BH295" s="53"/>
      <c r="BI295" s="53"/>
      <c r="BJ295" s="53"/>
      <c r="BK295" s="53"/>
      <c r="BL295" s="53"/>
      <c r="BM295" s="53"/>
      <c r="BN295" s="53"/>
      <c r="BO295" s="53"/>
      <c r="BP295" s="53"/>
      <c r="BQ295" s="53"/>
      <c r="BR295" s="53"/>
      <c r="BS295" s="53"/>
      <c r="BT295" s="53"/>
      <c r="BU295" s="53"/>
      <c r="BV295" s="53"/>
      <c r="BW295" s="53"/>
      <c r="BX295" s="53"/>
      <c r="BY295" s="53"/>
      <c r="BZ295" s="53"/>
      <c r="CA295" s="53"/>
      <c r="CB295" s="53"/>
      <c r="CC295" s="53"/>
      <c r="CD295" s="53"/>
      <c r="CE295" s="53"/>
      <c r="CF295" s="53"/>
      <c r="CG295" s="53"/>
      <c r="CH295" s="53"/>
      <c r="CI295" s="53"/>
      <c r="CJ295" s="53"/>
      <c r="CK295" s="53"/>
      <c r="CL295" s="53"/>
      <c r="CM295" s="53"/>
      <c r="CN295" s="53"/>
      <c r="CO295" s="53"/>
      <c r="CP295" s="53"/>
      <c r="CQ295" s="53"/>
      <c r="CR295" s="1"/>
      <c r="CS295" s="1"/>
      <c r="CT295" s="1"/>
      <c r="CU295" s="1"/>
    </row>
    <row r="296" spans="1:99" s="13" customFormat="1" ht="12" customHeight="1" x14ac:dyDescent="0.2">
      <c r="A296" s="68">
        <v>43509</v>
      </c>
      <c r="B296" s="70"/>
      <c r="C296" s="70"/>
      <c r="D296" s="69"/>
      <c r="E296" s="87"/>
      <c r="F296" s="69"/>
      <c r="G296" s="69"/>
      <c r="H296" s="69"/>
      <c r="I296" s="69"/>
      <c r="J296" s="69"/>
      <c r="K296" s="107"/>
      <c r="L296" s="107"/>
      <c r="M296" s="69"/>
      <c r="N296" s="69"/>
      <c r="O296" s="69"/>
      <c r="P296" s="69"/>
      <c r="Q296" s="69"/>
      <c r="R296" s="69"/>
      <c r="S296" s="69"/>
      <c r="T296" s="69"/>
      <c r="U296" s="69"/>
      <c r="V296" s="69"/>
      <c r="W296" s="69"/>
      <c r="X296" s="69"/>
      <c r="Y296" s="87"/>
      <c r="Z296" s="69"/>
      <c r="AA296" s="69"/>
      <c r="AB296" s="69"/>
      <c r="AC296" s="69"/>
      <c r="AD296" s="69"/>
      <c r="AE296" s="69"/>
      <c r="AF296" s="88"/>
      <c r="AG296" s="72"/>
      <c r="AH296" s="4"/>
      <c r="AI296" s="72"/>
      <c r="AJ296" s="110"/>
      <c r="AK296" s="72"/>
      <c r="AL296" s="72"/>
      <c r="AM296" s="72"/>
      <c r="AN296" s="72"/>
      <c r="AO296" s="72"/>
      <c r="AP296" s="72"/>
      <c r="AQ296" s="89"/>
      <c r="AR296" s="118"/>
      <c r="AS296" s="89"/>
      <c r="AT296" s="89"/>
      <c r="AU296" s="4"/>
      <c r="AV296" s="71">
        <f>30*24*60*60*4</f>
        <v>10368000</v>
      </c>
      <c r="AW296" s="71">
        <f>30*24*60*60*7</f>
        <v>18144000</v>
      </c>
      <c r="AX296" s="71">
        <f>30*24*60*60*10</f>
        <v>25920000</v>
      </c>
      <c r="AY296" s="71">
        <f>30*24*60*60*13</f>
        <v>33696000</v>
      </c>
      <c r="AZ296" s="71">
        <f>30*24*60*60*16</f>
        <v>41472000</v>
      </c>
      <c r="BA296" s="53"/>
      <c r="BB296" s="53"/>
      <c r="BC296" s="53"/>
      <c r="BD296" s="53"/>
      <c r="BE296" s="53"/>
      <c r="BF296" s="53"/>
      <c r="BG296" s="53"/>
      <c r="BH296" s="53"/>
      <c r="BI296" s="53"/>
      <c r="BJ296" s="53"/>
      <c r="BK296" s="53"/>
      <c r="BL296" s="53"/>
      <c r="BM296" s="53"/>
      <c r="BN296" s="53"/>
      <c r="BO296" s="53"/>
      <c r="BP296" s="53"/>
      <c r="BQ296" s="53"/>
      <c r="BR296" s="53"/>
      <c r="BS296" s="53"/>
      <c r="BT296" s="53"/>
      <c r="BU296" s="53"/>
      <c r="BV296" s="53"/>
      <c r="BW296" s="53"/>
      <c r="BX296" s="53"/>
      <c r="BY296" s="53"/>
      <c r="BZ296" s="53"/>
      <c r="CA296" s="53"/>
      <c r="CB296" s="53"/>
      <c r="CC296" s="53"/>
      <c r="CD296" s="53"/>
      <c r="CE296" s="53"/>
      <c r="CF296" s="53"/>
      <c r="CG296" s="53"/>
      <c r="CH296" s="53"/>
      <c r="CI296" s="53"/>
      <c r="CJ296" s="53"/>
      <c r="CK296" s="53"/>
      <c r="CL296" s="53"/>
      <c r="CM296" s="53"/>
      <c r="CN296" s="53"/>
      <c r="CO296" s="53"/>
      <c r="CP296" s="53"/>
      <c r="CQ296" s="53"/>
      <c r="CR296" s="1"/>
      <c r="CS296" s="1"/>
      <c r="CT296" s="1"/>
      <c r="CU296" s="1"/>
    </row>
    <row r="297" spans="1:99" s="13" customFormat="1" ht="12" customHeight="1" x14ac:dyDescent="0.2">
      <c r="A297" s="68">
        <v>43509</v>
      </c>
      <c r="B297" s="70" t="s">
        <v>180</v>
      </c>
      <c r="C297" s="70" t="s">
        <v>181</v>
      </c>
      <c r="D297" s="69">
        <v>1978</v>
      </c>
      <c r="E297" s="87">
        <v>1</v>
      </c>
      <c r="F297" s="69">
        <v>189</v>
      </c>
      <c r="G297" s="69">
        <v>37.799999999999997</v>
      </c>
      <c r="H297" s="69" t="s">
        <v>38</v>
      </c>
      <c r="I297" s="69" t="s">
        <v>692</v>
      </c>
      <c r="J297" s="69" t="s">
        <v>585</v>
      </c>
      <c r="K297" s="69">
        <f>IF(J297="syllables",1,IF(J297="trigrams",2,IF(J297="strings",3,IF(J297="visual array",4,IF(J297="characters",5,IF(J297="letters",6,IF(J297="free forms",7,IF(J297="odors",8,IF(J297="words",9,IF(J297="pictures",10,IF(J297="object pictures",11,IF(J297="faces",12,IF(J297="names",13,IF(J297="idioms",14,IF(J297="grades",15,IF(J297="syllable-digit pairs",16,IF(J297="trigram-word pairs",17,IF(J297="word-digit pairs",18,IF(J297="English-Swahili pairs",19,IF(J297="spatial position",20,IF(J297="word pairs",21,IF(J297="word triads",22,IF(J297="generated words",23,IF(J297="word definition pairs",24,IF(J297="math problems",25,IF(J297="famous faces",26,IF(J297="famous names",27,IF(J297="famous voices",28,IF(J297="television programs",29,IF(J297="race horses",30,IF(J297="new vocabulary",31,IF(J297="sentences",32,IF(J297="concepts",33,IF(J297="ad slides",34,IF(J297="scenes",35,IF(J297="famous scenes",36,IF(J297="poems",37,IF(J297="walk",38,IF(J297="faces and events",39,IF(J297="events and names",40,IF(J297="flashbulb",41,IF(J297="stories",42,IF(J297="course material",43,IF(J297="autobiographical",44,IF(J297="novels",45,IF(J297="public events",46,"99"))))))))))))))))))))))))))))))))))))))))))))))</f>
        <v>43</v>
      </c>
      <c r="L297" s="69">
        <f>IF(J297="syllables",1,IF(J297="trigrams",1,IF(J297="strings",1,IF(J297="visual array",1,IF(J297="characters",1,IF(J297="letters",1,IF(J297="free forms",1,IF(J297="odors",2,IF(J297="words",2,IF(J297="pictures",2,IF(J297="object pictures",2,IF(J297="faces",2,IF(J297="names",2,IF(J297="idioms","2",IF(J297="grades",2,IF(J297="syllable-digit pairs",3,IF(J297="trigram-word pairs",3,IF(J297="word-digit pairs",3,IF(J297="English-Swahili pairs",3,IF(J297="spatial position",3,IF(J297="word pairs",4,IF(J297="word triads",4,IF(J297="generated words",4,IF(J297="word definition pairs",4,IF(J297="math problems",4,IF(J297="famous faces",4,IF(J297="famous names",4,IF(J297="famous voices",4,IF(J297="television programs",4,IF(J297="race horses",4,IF(J297="new vocabulary",4,IF(J297="sentences",5,IF(J297="concepts",5,IF(J297="ad slides",5,IF(J297="scenes",5,IF(J297="famous scenes",5,IF(J297="poems",6,IF(J297="walk",6,IF(J297="faces and events",6,IF(J297="events and names",6,IF(J297="flashbulb",7,IF(J297="stories",7,IF(J297="course material",7,IF(J297="autobiographical",7,IF(J297="novels",7,IF(J297="public events",7,"99"))))))))))))))))))))))))))))))))))))))))))))))</f>
        <v>7</v>
      </c>
      <c r="M297" s="69">
        <v>1</v>
      </c>
      <c r="N297" s="69">
        <v>4</v>
      </c>
      <c r="O297" s="69">
        <v>0</v>
      </c>
      <c r="P297" s="69"/>
      <c r="Q297" s="69" t="s">
        <v>182</v>
      </c>
      <c r="R297" s="69">
        <f>IF(Q297="Free Recall",1,IF(Q297="Cued Recall",2,IF(Q297="Recognition",3,IF(Q297="Multiple Choice",4,IF(Q297="Savings",5,IF(Q297="Stem Completion",6,IF(Q297="Fragment Completion",7,IF(Q297="anagram solution",8,IF(Q297="Matching",9,IF(Q297="Problem Solving",10,"99"))))))))))</f>
        <v>4</v>
      </c>
      <c r="S297" s="69" t="s">
        <v>15</v>
      </c>
      <c r="T297" s="69" t="s">
        <v>261</v>
      </c>
      <c r="U297" s="69">
        <f>IF(T297="within",1,0)</f>
        <v>0</v>
      </c>
      <c r="V297" s="69">
        <v>6</v>
      </c>
      <c r="W297" s="69">
        <f>F297*V297</f>
        <v>1134</v>
      </c>
      <c r="X297" s="69">
        <v>5</v>
      </c>
      <c r="Y297" s="87">
        <f>AV296</f>
        <v>10368000</v>
      </c>
      <c r="Z297" s="69" t="s">
        <v>183</v>
      </c>
      <c r="AA297" s="69">
        <v>41472000</v>
      </c>
      <c r="AB297" s="69" t="str">
        <f>IF(AA297&lt;60,"1",IF(AA297&lt;=43200,"2",IF(AA297&lt;=777600,"3","4")))</f>
        <v>4</v>
      </c>
      <c r="AC297" s="72">
        <f>AVERAGE(AV296:DA296)</f>
        <v>25920000</v>
      </c>
      <c r="AD297" s="69" t="str">
        <f>IF(AC297&lt;60,"1",IF(AC297&lt;=43200,"2",IF(AC297&lt;=777600,"3","4")))</f>
        <v>4</v>
      </c>
      <c r="AE297" s="87">
        <f>AA297-Y297</f>
        <v>31104000</v>
      </c>
      <c r="AF297" s="88">
        <f>AV297</f>
        <v>0.73166666666666658</v>
      </c>
      <c r="AG297" s="72">
        <f>((AW297-AV297)+(AX297-AW297)+(AY297-AX297)+(AZ297-AY297))/4</f>
        <v>-3.3333333333333326E-2</v>
      </c>
      <c r="AH297" s="4"/>
      <c r="AI297" s="72">
        <f>RSQ(AV297:AZ297,AV296:AZ296)</f>
        <v>0.20508892744821614</v>
      </c>
      <c r="AJ297" s="110">
        <f>SLOPE(AV297:AZ297,AV296:AZ296)</f>
        <v>-2.6363168724279833E-9</v>
      </c>
      <c r="AK297" s="72">
        <f>INTERCEPT(AV297:AZ297,AV296:AZ296)</f>
        <v>0.68033333333333335</v>
      </c>
      <c r="AL297" s="72">
        <f>INDEX(LINEST(LN(AV297:AZ297),LN(AV296:AZ296),TRUE,TRUE),3,1)</f>
        <v>0.32749230254305395</v>
      </c>
      <c r="AM297" s="72">
        <f>INDEX(LINEST(LN(AV297:AZ297),LN(AV296:AZ296)),1)</f>
        <v>-0.11669377570214917</v>
      </c>
      <c r="AN297" s="72">
        <f>EXP(INDEX(LINEST(LN(AV297:AZ297),LN(AV296:AZ296)),1,2))</f>
        <v>4.4072230624886064</v>
      </c>
      <c r="AO297" s="89">
        <f>INDEX(LINEST((AV297:AZ297),LN(AV296:AZ296),TRUE,TRUE),3,1)</f>
        <v>0.36268253805380002</v>
      </c>
      <c r="AP297" s="89">
        <f>INDEX(LINEST((AV297:AZ297),LN(AV296:AZ296)),1)</f>
        <v>-7.875904817639158E-2</v>
      </c>
      <c r="AQ297" s="90">
        <f>INDEX(LINEST(LN(AV297:AZ297),SQRT(AV296:AZ296),TRUE,TRUE),3,1)</f>
        <v>0.24552753682820774</v>
      </c>
      <c r="AR297" s="117">
        <f>INDEX(LINEST(LN(AV297:AZ297),SQRT((AV296:AZ296))),1)</f>
        <v>-4.3583547638155153E-5</v>
      </c>
      <c r="AS297" s="91">
        <f>INDEX(LINEST(1/(AV297:AZ297),1/(SQRT(AV296:AZ296)),TRUE,TRUE),3,1)</f>
        <v>0.37801334367698886</v>
      </c>
      <c r="AT297" s="91">
        <f>INDEX(LINEST(1/(AV297:AZ297),1/SQRT(AV296:AZ296)),1)</f>
        <v>-1745.8213549593206</v>
      </c>
      <c r="AU297" s="3"/>
      <c r="AV297" s="73">
        <v>0.73166666666666658</v>
      </c>
      <c r="AW297" s="73">
        <v>0.55333333333333334</v>
      </c>
      <c r="AX297" s="73">
        <v>0.56166666666666665</v>
      </c>
      <c r="AY297" s="73">
        <v>0.61499999999999999</v>
      </c>
      <c r="AZ297" s="73">
        <v>0.59833333333333327</v>
      </c>
      <c r="BA297" s="53"/>
      <c r="BB297" s="53"/>
      <c r="BC297" s="53"/>
      <c r="BD297" s="53"/>
      <c r="BE297" s="53"/>
      <c r="BF297" s="53"/>
      <c r="BG297" s="53"/>
      <c r="BH297" s="53"/>
      <c r="BI297" s="53"/>
      <c r="BJ297" s="53"/>
      <c r="BK297" s="53"/>
      <c r="BL297" s="53"/>
      <c r="BM297" s="53"/>
      <c r="BN297" s="53"/>
      <c r="BO297" s="53"/>
      <c r="BP297" s="53"/>
      <c r="BQ297" s="53"/>
      <c r="BR297" s="53"/>
      <c r="BS297" s="53"/>
      <c r="BT297" s="53"/>
      <c r="BU297" s="53"/>
      <c r="BV297" s="53"/>
      <c r="BW297" s="53"/>
      <c r="BX297" s="53"/>
      <c r="BY297" s="53"/>
      <c r="BZ297" s="53"/>
      <c r="CA297" s="53"/>
      <c r="CB297" s="53"/>
      <c r="CC297" s="53"/>
      <c r="CD297" s="53"/>
      <c r="CE297" s="53"/>
      <c r="CF297" s="53"/>
      <c r="CG297" s="53"/>
      <c r="CH297" s="53"/>
      <c r="CI297" s="53"/>
      <c r="CJ297" s="53"/>
      <c r="CK297" s="53"/>
      <c r="CL297" s="53"/>
      <c r="CM297" s="53"/>
      <c r="CN297" s="53"/>
      <c r="CO297" s="53"/>
      <c r="CP297" s="53"/>
      <c r="CQ297" s="53"/>
      <c r="CR297" s="1"/>
      <c r="CS297" s="1"/>
      <c r="CT297" s="1"/>
      <c r="CU297" s="1"/>
    </row>
    <row r="298" spans="1:99" s="13" customFormat="1" ht="12" customHeight="1" x14ac:dyDescent="0.2">
      <c r="A298" s="65">
        <v>43899</v>
      </c>
      <c r="B298" s="1"/>
      <c r="C298" s="1"/>
      <c r="D298" s="60"/>
      <c r="E298" s="76"/>
      <c r="F298" s="60"/>
      <c r="G298" s="60"/>
      <c r="H298" s="60"/>
      <c r="I298" s="60"/>
      <c r="J298" s="60"/>
      <c r="K298" s="64"/>
      <c r="L298" s="64"/>
      <c r="M298" s="60"/>
      <c r="N298" s="61"/>
      <c r="O298" s="60"/>
      <c r="P298" s="60"/>
      <c r="Q298" s="60"/>
      <c r="R298" s="60"/>
      <c r="S298" s="60"/>
      <c r="T298" s="60"/>
      <c r="U298" s="60"/>
      <c r="V298" s="60"/>
      <c r="W298" s="60"/>
      <c r="X298" s="60"/>
      <c r="Y298" s="76"/>
      <c r="Z298" s="60"/>
      <c r="AA298" s="60"/>
      <c r="AB298" s="60"/>
      <c r="AC298" s="56"/>
      <c r="AD298" s="60"/>
      <c r="AE298" s="60"/>
      <c r="AF298" s="80"/>
      <c r="AG298" s="56"/>
      <c r="AH298" s="4"/>
      <c r="AI298" s="56"/>
      <c r="AJ298" s="109"/>
      <c r="AK298" s="56"/>
      <c r="AL298" s="56"/>
      <c r="AM298" s="56"/>
      <c r="AN298" s="56"/>
      <c r="AO298" s="82"/>
      <c r="AP298" s="82"/>
      <c r="AQ298" s="83"/>
      <c r="AR298" s="116"/>
      <c r="AS298" s="84"/>
      <c r="AT298" s="84"/>
      <c r="AU298" s="3"/>
      <c r="AV298" s="25">
        <v>157680000</v>
      </c>
      <c r="AW298" s="25">
        <v>473040000</v>
      </c>
      <c r="AX298" s="25">
        <v>788400000</v>
      </c>
      <c r="AY298" s="25">
        <v>1103760000</v>
      </c>
      <c r="AZ298" s="25">
        <v>1419120000</v>
      </c>
      <c r="BA298" s="25">
        <v>1734480000</v>
      </c>
      <c r="BB298" s="53"/>
      <c r="BC298" s="53"/>
      <c r="BD298" s="53"/>
      <c r="BE298" s="53"/>
      <c r="BF298" s="53"/>
      <c r="BG298" s="53"/>
      <c r="BH298" s="53"/>
      <c r="BI298" s="53"/>
      <c r="BJ298" s="53"/>
      <c r="BK298" s="53"/>
      <c r="BL298" s="53"/>
      <c r="BM298" s="53"/>
      <c r="BN298" s="53"/>
      <c r="BO298" s="53"/>
      <c r="BP298" s="53"/>
      <c r="BQ298" s="53"/>
      <c r="BR298" s="53"/>
      <c r="BS298" s="53"/>
      <c r="BT298" s="53"/>
      <c r="BU298" s="53"/>
      <c r="BV298" s="53"/>
      <c r="BW298" s="53"/>
      <c r="BX298" s="53"/>
      <c r="BY298" s="53"/>
      <c r="BZ298" s="53"/>
      <c r="CA298" s="53"/>
      <c r="CB298" s="53"/>
      <c r="CC298" s="53"/>
      <c r="CD298" s="53"/>
      <c r="CE298" s="53"/>
      <c r="CF298" s="53"/>
      <c r="CG298" s="53"/>
      <c r="CH298" s="53"/>
      <c r="CI298" s="53"/>
      <c r="CJ298" s="53"/>
      <c r="CK298" s="53"/>
      <c r="CL298" s="53"/>
      <c r="CM298" s="53"/>
      <c r="CN298" s="53"/>
      <c r="CO298" s="53"/>
      <c r="CP298" s="53"/>
      <c r="CQ298" s="53"/>
      <c r="CR298" s="1"/>
      <c r="CS298" s="1"/>
      <c r="CT298" s="1"/>
      <c r="CU298" s="1"/>
    </row>
    <row r="299" spans="1:99" s="13" customFormat="1" ht="12" customHeight="1" x14ac:dyDescent="0.2">
      <c r="A299" s="65">
        <v>43899</v>
      </c>
      <c r="B299" s="1" t="s">
        <v>394</v>
      </c>
      <c r="C299" s="1" t="s">
        <v>395</v>
      </c>
      <c r="D299" s="60">
        <v>2001</v>
      </c>
      <c r="E299" s="76">
        <v>1</v>
      </c>
      <c r="F299" s="60">
        <v>8</v>
      </c>
      <c r="G299" s="60">
        <v>8</v>
      </c>
      <c r="H299" s="60" t="s">
        <v>41</v>
      </c>
      <c r="I299" s="60"/>
      <c r="J299" s="60" t="s">
        <v>342</v>
      </c>
      <c r="K299" s="60">
        <f>IF(J299="syllables",1,IF(J299="trigrams",2,IF(J299="strings",3,IF(J299="visual array",4,IF(J299="characters",5,IF(J299="letters",6,IF(J299="free forms",7,IF(J299="odors",8,IF(J299="words",9,IF(J299="pictures",10,IF(J299="object pictures",11,IF(J299="faces",12,IF(J299="names",13,IF(J299="idioms",14,IF(J299="grades",15,IF(J299="syllable-digit pairs",16,IF(J299="trigram-word pairs",17,IF(J299="word-digit pairs",18,IF(J299="English-Swahili pairs",19,IF(J299="spatial position",20,IF(J299="word pairs",21,IF(J299="word triads",22,IF(J299="generated words",23,IF(J299="word definition pairs",24,IF(J299="math problems",25,IF(J299="famous faces",26,IF(J299="famous names",27,IF(J299="famous voices",28,IF(J299="television programs",29,IF(J299="race horses",30,IF(J299="new vocabulary",31,IF(J299="sentences",32,IF(J299="concepts",33,IF(J299="ad slides",34,IF(J299="scenes",35,IF(J299="famous scenes",36,IF(J299="poems",37,IF(J299="walk",38,IF(J299="faces and events",39,IF(J299="events and names",40,IF(J299="flashbulb",41,IF(J299="stories",42,IF(J299="course material",43,IF(J299="autobiographical",44,IF(J299="novels",45,IF(J299="public events",46,"99"))))))))))))))))))))))))))))))))))))))))))))))</f>
        <v>26</v>
      </c>
      <c r="L299" s="60">
        <f>IF(J299="syllables",1,IF(J299="trigrams",1,IF(J299="strings",1,IF(J299="visual array",1,IF(J299="characters",1,IF(J299="letters",1,IF(J299="free forms",1,IF(J299="odors",2,IF(J299="words",2,IF(J299="pictures",2,IF(J299="object pictures",2,IF(J299="faces",2,IF(J299="names",2,IF(J299="idioms","2",IF(J299="grades",2,IF(J299="syllable-digit pairs",3,IF(J299="trigram-word pairs",3,IF(J299="word-digit pairs",3,IF(J299="English-Swahili pairs",3,IF(J299="spatial position",3,IF(J299="word pairs",4,IF(J299="word triads",4,IF(J299="generated words",4,IF(J299="word definition pairs",4,IF(J299="math problems",4,IF(J299="famous faces",4,IF(J299="famous names",4,IF(J299="famous voices",4,IF(J299="television programs",4,IF(J299="race horses",4,IF(J299="new vocabulary",4,IF(J299="sentences",5,IF(J299="concepts",5,IF(J299="ad slides",5,IF(J299="scenes",5,IF(J299="famous scenes",5,IF(J299="poems",6,IF(J299="walk",6,IF(J299="faces and events",6,IF(J299="events and names",6,IF(J299="flashbulb",7,IF(J299="stories",7,IF(J299="course material",7,IF(J299="autobiographical",7,IF(J299="novels",7,IF(J299="public events",7,"99"))))))))))))))))))))))))))))))))))))))))))))))</f>
        <v>4</v>
      </c>
      <c r="M299" s="60">
        <v>1</v>
      </c>
      <c r="N299" s="61">
        <v>2</v>
      </c>
      <c r="O299" s="60">
        <v>0</v>
      </c>
      <c r="P299" s="60"/>
      <c r="Q299" s="60" t="s">
        <v>174</v>
      </c>
      <c r="R299" s="60">
        <f>IF(Q299="Free Recall",1,IF(Q299="Cued Recall",2,IF(Q299="Recognition",3,IF(Q299="Multiple Choice",4,IF(Q299="Savings",5,IF(Q299="Stem Completion",6,IF(Q299="Fragment Completion",7,IF(Q299="anagram solution",8,IF(Q299="Matching",9,IF(Q299="Problem Solving",10,"99"))))))))))</f>
        <v>1</v>
      </c>
      <c r="S299" s="60" t="s">
        <v>49</v>
      </c>
      <c r="T299" s="59" t="s">
        <v>581</v>
      </c>
      <c r="U299" s="60">
        <f>IF(T299="within",1,0)</f>
        <v>1</v>
      </c>
      <c r="V299" s="59">
        <v>78</v>
      </c>
      <c r="W299" s="60">
        <f>F299*V299</f>
        <v>624</v>
      </c>
      <c r="X299" s="60">
        <v>6</v>
      </c>
      <c r="Y299" s="76">
        <f>AV298</f>
        <v>157680000</v>
      </c>
      <c r="Z299" s="60" t="s">
        <v>374</v>
      </c>
      <c r="AA299" s="60">
        <f>55*365*24*60*60</f>
        <v>1734480000</v>
      </c>
      <c r="AB299" s="60" t="str">
        <f>IF(AA299&lt;60,"1",IF(AA299&lt;=43200,"2",IF(AA299&lt;=777600,"3","4")))</f>
        <v>4</v>
      </c>
      <c r="AC299" s="56">
        <f>AVERAGE(AV298:DA298)</f>
        <v>946080000</v>
      </c>
      <c r="AD299" s="60" t="str">
        <f>IF(AC299&lt;60,"1",IF(AC299&lt;=43200,"2",IF(AC299&lt;=777600,"3","4")))</f>
        <v>4</v>
      </c>
      <c r="AE299" s="76">
        <f>AA299-Y299</f>
        <v>1576800000</v>
      </c>
      <c r="AF299" s="80">
        <f>AV299</f>
        <v>0.47</v>
      </c>
      <c r="AG299" s="58">
        <f>((AW299-AV299)+(AX299-AW299)+(AY299-AX299)+(AZ299-AY299)+(BA299-AZ299))/5</f>
        <v>-1.9999999999999905E-3</v>
      </c>
      <c r="AH299" s="4"/>
      <c r="AI299" s="56">
        <f>RSQ(AV299:BA299,AV298:BA298)</f>
        <v>9.07111115071622E-32</v>
      </c>
      <c r="AJ299" s="109">
        <f>SLOPE(AV299:BA299,AV298:BA298)</f>
        <v>2.0334451587518194E-26</v>
      </c>
      <c r="AK299" s="56">
        <f>INTERCEPT(AV299:BA299,AV298:BA298)</f>
        <v>0.47666666666666663</v>
      </c>
      <c r="AL299" s="56">
        <f>INDEX(LINEST(LN(AV299:BA299),LN(AV298:BA298),TRUE,TRUE),3,1)</f>
        <v>2.9383221163841974E-5</v>
      </c>
      <c r="AM299" s="56">
        <f>INDEX(LINEST(LN(AV299:BA299),LN(AV298:BA298)),1)</f>
        <v>-5.2778466108937237E-4</v>
      </c>
      <c r="AN299" s="56">
        <f>EXP(INDEX(LINEST(LN(AV299:BA299),LN(AV298:BA298)),1,2))</f>
        <v>0.48037624328510686</v>
      </c>
      <c r="AO299" s="82">
        <f>INDEX(LINEST((AV299:BA299),LN(AV298:BA298),TRUE,TRUE),3,1)</f>
        <v>7.0707195243694792E-6</v>
      </c>
      <c r="AP299" s="82">
        <f>INDEX(LINEST((AV299:BA299),LN(AV298:BA298)),1)</f>
        <v>-1.1986960198224103E-4</v>
      </c>
      <c r="AQ299" s="83">
        <f>INDEX(LINEST(LN(AV299:BA299),SQRT(AV298:BA298),TRUE,TRUE),3,1)</f>
        <v>1.2421917355466826E-6</v>
      </c>
      <c r="AR299" s="116">
        <f>INDEX(LINEST(LN(AV299:BA299),SQRT((AV298:BA298))),1)</f>
        <v>-8.929106313854037E-9</v>
      </c>
      <c r="AS299" s="84">
        <f>INDEX(LINEST(1/(AV299:BA299),1/(SQRT(AV298:BA298)),TRUE,TRUE),3,1)</f>
        <v>9.7115963227519455E-5</v>
      </c>
      <c r="AT299" s="84">
        <f>INDEX(LINEST(1/(AV299:BA299),1/SQRT(AV298:BA298)),1)</f>
        <v>-88.609728018099048</v>
      </c>
      <c r="AU299" s="3"/>
      <c r="AV299" s="53">
        <v>0.47</v>
      </c>
      <c r="AW299" s="53">
        <v>0.52</v>
      </c>
      <c r="AX299" s="53">
        <v>0.41</v>
      </c>
      <c r="AY299" s="53">
        <v>0.49</v>
      </c>
      <c r="AZ299" s="53">
        <v>0.51</v>
      </c>
      <c r="BA299" s="53">
        <v>0.46</v>
      </c>
      <c r="BB299" s="53"/>
      <c r="BC299" s="53"/>
      <c r="BD299" s="53"/>
      <c r="BE299" s="53"/>
      <c r="BF299" s="53"/>
      <c r="BG299" s="53"/>
      <c r="BH299" s="53"/>
      <c r="BI299" s="53"/>
      <c r="BJ299" s="53"/>
      <c r="BK299" s="53"/>
      <c r="BL299" s="53"/>
      <c r="BM299" s="53"/>
      <c r="BN299" s="53"/>
      <c r="BO299" s="53"/>
      <c r="BP299" s="53"/>
      <c r="BQ299" s="53"/>
      <c r="BR299" s="53"/>
      <c r="BS299" s="53"/>
      <c r="BT299" s="53"/>
      <c r="BU299" s="53"/>
      <c r="BV299" s="53"/>
      <c r="BW299" s="53"/>
      <c r="BX299" s="53"/>
      <c r="BY299" s="53"/>
      <c r="BZ299" s="53"/>
      <c r="CA299" s="53"/>
      <c r="CB299" s="53"/>
      <c r="CC299" s="53"/>
      <c r="CD299" s="53"/>
      <c r="CE299" s="53"/>
      <c r="CF299" s="53"/>
      <c r="CG299" s="53"/>
      <c r="CH299" s="53"/>
      <c r="CI299" s="53"/>
      <c r="CJ299" s="53"/>
      <c r="CK299" s="53"/>
      <c r="CL299" s="53"/>
      <c r="CM299" s="53"/>
      <c r="CN299" s="53"/>
      <c r="CO299" s="53"/>
      <c r="CP299" s="53"/>
      <c r="CQ299" s="53"/>
      <c r="CR299" s="1"/>
      <c r="CS299" s="1"/>
      <c r="CT299" s="1"/>
      <c r="CU299" s="1"/>
    </row>
    <row r="300" spans="1:99" s="13" customFormat="1" ht="12" customHeight="1" x14ac:dyDescent="0.2">
      <c r="A300" s="65">
        <v>43899</v>
      </c>
      <c r="B300" s="1"/>
      <c r="C300" s="1"/>
      <c r="D300" s="60"/>
      <c r="E300" s="76"/>
      <c r="F300" s="60"/>
      <c r="G300" s="60"/>
      <c r="H300" s="60"/>
      <c r="I300" s="60"/>
      <c r="J300" s="60"/>
      <c r="K300" s="64"/>
      <c r="L300" s="64"/>
      <c r="M300" s="60"/>
      <c r="N300" s="61"/>
      <c r="O300" s="60"/>
      <c r="P300" s="60"/>
      <c r="Q300" s="60"/>
      <c r="R300" s="60"/>
      <c r="S300" s="60"/>
      <c r="T300" s="60"/>
      <c r="U300" s="60"/>
      <c r="V300" s="60"/>
      <c r="W300" s="60"/>
      <c r="X300" s="60"/>
      <c r="Y300" s="76"/>
      <c r="Z300" s="60"/>
      <c r="AA300" s="60"/>
      <c r="AB300" s="60"/>
      <c r="AC300" s="56"/>
      <c r="AD300" s="60"/>
      <c r="AE300" s="60"/>
      <c r="AF300" s="80"/>
      <c r="AG300" s="56"/>
      <c r="AH300" s="4"/>
      <c r="AI300" s="56"/>
      <c r="AJ300" s="109"/>
      <c r="AK300" s="56"/>
      <c r="AL300" s="56"/>
      <c r="AM300" s="56"/>
      <c r="AN300" s="56"/>
      <c r="AO300" s="82"/>
      <c r="AP300" s="82"/>
      <c r="AQ300" s="83"/>
      <c r="AR300" s="116"/>
      <c r="AS300" s="84"/>
      <c r="AT300" s="84"/>
      <c r="AU300" s="3"/>
      <c r="AV300" s="25">
        <v>157680000</v>
      </c>
      <c r="AW300" s="25">
        <v>473040000</v>
      </c>
      <c r="AX300" s="25">
        <v>788400000</v>
      </c>
      <c r="AY300" s="25">
        <v>1103760000</v>
      </c>
      <c r="AZ300" s="25">
        <v>1419120000</v>
      </c>
      <c r="BA300" s="25">
        <v>1734480000</v>
      </c>
      <c r="BB300" s="53"/>
      <c r="BC300" s="53"/>
      <c r="BD300" s="53"/>
      <c r="BE300" s="53"/>
      <c r="BF300" s="53"/>
      <c r="BG300" s="53"/>
      <c r="BH300" s="53"/>
      <c r="BI300" s="53"/>
      <c r="BJ300" s="53"/>
      <c r="BK300" s="53"/>
      <c r="BL300" s="53"/>
      <c r="BM300" s="53"/>
      <c r="BN300" s="53"/>
      <c r="BO300" s="53"/>
      <c r="BP300" s="53"/>
      <c r="BQ300" s="53"/>
      <c r="BR300" s="53"/>
      <c r="BS300" s="53"/>
      <c r="BT300" s="53"/>
      <c r="BU300" s="53"/>
      <c r="BV300" s="53"/>
      <c r="BW300" s="53"/>
      <c r="BX300" s="53"/>
      <c r="BY300" s="53"/>
      <c r="BZ300" s="53"/>
      <c r="CA300" s="53"/>
      <c r="CB300" s="53"/>
      <c r="CC300" s="53"/>
      <c r="CD300" s="53"/>
      <c r="CE300" s="53"/>
      <c r="CF300" s="53"/>
      <c r="CG300" s="53"/>
      <c r="CH300" s="53"/>
      <c r="CI300" s="53"/>
      <c r="CJ300" s="53"/>
      <c r="CK300" s="53"/>
      <c r="CL300" s="53"/>
      <c r="CM300" s="53"/>
      <c r="CN300" s="53"/>
      <c r="CO300" s="53"/>
      <c r="CP300" s="53"/>
      <c r="CQ300" s="53"/>
      <c r="CR300" s="1"/>
      <c r="CS300" s="1"/>
      <c r="CT300" s="1"/>
      <c r="CU300" s="1"/>
    </row>
    <row r="301" spans="1:99" s="13" customFormat="1" ht="12" customHeight="1" x14ac:dyDescent="0.2">
      <c r="A301" s="65">
        <v>43899</v>
      </c>
      <c r="B301" s="1" t="s">
        <v>394</v>
      </c>
      <c r="C301" s="1" t="s">
        <v>395</v>
      </c>
      <c r="D301" s="60">
        <v>2001</v>
      </c>
      <c r="E301" s="76">
        <v>1</v>
      </c>
      <c r="F301" s="60">
        <v>8</v>
      </c>
      <c r="G301" s="60">
        <v>8</v>
      </c>
      <c r="H301" s="60" t="s">
        <v>41</v>
      </c>
      <c r="I301" s="60"/>
      <c r="J301" s="60" t="s">
        <v>342</v>
      </c>
      <c r="K301" s="60">
        <f>IF(J301="syllables",1,IF(J301="trigrams",2,IF(J301="strings",3,IF(J301="visual array",4,IF(J301="characters",5,IF(J301="letters",6,IF(J301="free forms",7,IF(J301="odors",8,IF(J301="words",9,IF(J301="pictures",10,IF(J301="object pictures",11,IF(J301="faces",12,IF(J301="names",13,IF(J301="idioms",14,IF(J301="grades",15,IF(J301="syllable-digit pairs",16,IF(J301="trigram-word pairs",17,IF(J301="word-digit pairs",18,IF(J301="English-Swahili pairs",19,IF(J301="spatial position",20,IF(J301="word pairs",21,IF(J301="word triads",22,IF(J301="generated words",23,IF(J301="word definition pairs",24,IF(J301="math problems",25,IF(J301="famous faces",26,IF(J301="famous names",27,IF(J301="famous voices",28,IF(J301="television programs",29,IF(J301="race horses",30,IF(J301="new vocabulary",31,IF(J301="sentences",32,IF(J301="concepts",33,IF(J301="ad slides",34,IF(J301="scenes",35,IF(J301="famous scenes",36,IF(J301="poems",37,IF(J301="walk",38,IF(J301="faces and events",39,IF(J301="events and names",40,IF(J301="flashbulb",41,IF(J301="stories",42,IF(J301="course material",43,IF(J301="autobiographical",44,IF(J301="novels",45,IF(J301="public events",46,"99"))))))))))))))))))))))))))))))))))))))))))))))</f>
        <v>26</v>
      </c>
      <c r="L301" s="60">
        <f>IF(J301="syllables",1,IF(J301="trigrams",1,IF(J301="strings",1,IF(J301="visual array",1,IF(J301="characters",1,IF(J301="letters",1,IF(J301="free forms",1,IF(J301="odors",2,IF(J301="words",2,IF(J301="pictures",2,IF(J301="object pictures",2,IF(J301="faces",2,IF(J301="names",2,IF(J301="idioms","2",IF(J301="grades",2,IF(J301="syllable-digit pairs",3,IF(J301="trigram-word pairs",3,IF(J301="word-digit pairs",3,IF(J301="English-Swahili pairs",3,IF(J301="spatial position",3,IF(J301="word pairs",4,IF(J301="word triads",4,IF(J301="generated words",4,IF(J301="word definition pairs",4,IF(J301="math problems",4,IF(J301="famous faces",4,IF(J301="famous names",4,IF(J301="famous voices",4,IF(J301="television programs",4,IF(J301="race horses",4,IF(J301="new vocabulary",4,IF(J301="sentences",5,IF(J301="concepts",5,IF(J301="ad slides",5,IF(J301="scenes",5,IF(J301="famous scenes",5,IF(J301="poems",6,IF(J301="walk",6,IF(J301="faces and events",6,IF(J301="events and names",6,IF(J301="flashbulb",7,IF(J301="stories",7,IF(J301="course material",7,IF(J301="autobiographical",7,IF(J301="novels",7,IF(J301="public events",7,"99"))))))))))))))))))))))))))))))))))))))))))))))</f>
        <v>4</v>
      </c>
      <c r="M301" s="60">
        <v>1</v>
      </c>
      <c r="N301" s="61">
        <v>2</v>
      </c>
      <c r="O301" s="60">
        <v>0</v>
      </c>
      <c r="P301" s="60"/>
      <c r="Q301" s="60" t="s">
        <v>34</v>
      </c>
      <c r="R301" s="60">
        <f>IF(Q301="Free Recall",1,IF(Q301="Cued Recall",2,IF(Q301="Recognition",3,IF(Q301="Multiple Choice",4,IF(Q301="Savings",5,IF(Q301="Stem Completion",6,IF(Q301="Fragment Completion",7,IF(Q301="anagram solution",8,IF(Q301="Matching",9,IF(Q301="Problem Solving",10,"99"))))))))))</f>
        <v>3</v>
      </c>
      <c r="S301" s="60" t="s">
        <v>15</v>
      </c>
      <c r="T301" s="59" t="s">
        <v>581</v>
      </c>
      <c r="U301" s="60">
        <f>IF(T301="within",1,0)</f>
        <v>1</v>
      </c>
      <c r="V301" s="59">
        <v>78</v>
      </c>
      <c r="W301" s="60">
        <f>F301*V301</f>
        <v>624</v>
      </c>
      <c r="X301" s="60">
        <v>6</v>
      </c>
      <c r="Y301" s="76">
        <f>AV300</f>
        <v>157680000</v>
      </c>
      <c r="Z301" s="60" t="s">
        <v>374</v>
      </c>
      <c r="AA301" s="60">
        <f>55*365*24*60*60</f>
        <v>1734480000</v>
      </c>
      <c r="AB301" s="60" t="str">
        <f>IF(AA301&lt;60,"1",IF(AA301&lt;=43200,"2",IF(AA301&lt;=777600,"3","4")))</f>
        <v>4</v>
      </c>
      <c r="AC301" s="56">
        <f>AVERAGE(AV300:DA300)</f>
        <v>946080000</v>
      </c>
      <c r="AD301" s="60" t="str">
        <f>IF(AC301&lt;60,"1",IF(AC301&lt;=43200,"2",IF(AC301&lt;=777600,"3","4")))</f>
        <v>4</v>
      </c>
      <c r="AE301" s="76">
        <f>AA301-Y301</f>
        <v>1576800000</v>
      </c>
      <c r="AF301" s="80">
        <f>AV301</f>
        <v>0.86</v>
      </c>
      <c r="AG301" s="56">
        <f>((AW301-AV301)+(AX301-AW301)+(AY301-AX301)+(AZ301-AY301)+(BA301-AZ301))/5</f>
        <v>-6.0000000000000053E-3</v>
      </c>
      <c r="AH301" s="4"/>
      <c r="AI301" s="56">
        <f>RSQ(AV301:BA301,AV300:BA300)</f>
        <v>3.931847968545274E-3</v>
      </c>
      <c r="AJ301" s="109">
        <f>SLOPE(AV301:BA301,AV300:BA300)</f>
        <v>-4.5299702833949753E-12</v>
      </c>
      <c r="AK301" s="56">
        <f>INTERCEPT(AV301:BA301,AV300:BA300)</f>
        <v>0.88595238095238105</v>
      </c>
      <c r="AL301" s="56">
        <f>INDEX(LINEST(LN(AV301:BA301),LN(AV300:BA300),TRUE,TRUE),3,1)</f>
        <v>2.7293526535743123E-3</v>
      </c>
      <c r="AM301" s="56">
        <f>INDEX(LINEST(LN(AV301:BA301),LN(AV300:BA300)),1)</f>
        <v>2.8480854992779629E-3</v>
      </c>
      <c r="AN301" s="56">
        <f>EXP(INDEX(LINEST(LN(AV301:BA301),LN(AV300:BA300)),1,2))</f>
        <v>0.83105324100014266</v>
      </c>
      <c r="AO301" s="82">
        <f>INDEX(LINEST((AV301:BA301),LN(AV300:BA300),TRUE,TRUE),3,1)</f>
        <v>3.8234940350894879E-3</v>
      </c>
      <c r="AP301" s="82">
        <f>INDEX(LINEST((AV301:BA301),LN(AV300:BA300)),1)</f>
        <v>2.9826496392287953E-3</v>
      </c>
      <c r="AQ301" s="83">
        <f>INDEX(LINEST(LN(AV301:BA301),SQRT(AV300:BA300),TRUE,TRUE),3,1)</f>
        <v>1.6603561623714034E-4</v>
      </c>
      <c r="AR301" s="116">
        <f>INDEX(LINEST(LN(AV301:BA301),SQRT((AV300:BA300))),1)</f>
        <v>-5.7800346111300691E-8</v>
      </c>
      <c r="AS301" s="84">
        <f>INDEX(LINEST(1/(AV301:BA301),1/(SQRT(AV300:BA300)),TRUE,TRUE),3,1)</f>
        <v>1.0623857402604756E-2</v>
      </c>
      <c r="AT301" s="84">
        <f>INDEX(LINEST(1/(AV301:BA301),1/SQRT(AV300:BA300)),1)</f>
        <v>270.32706103734574</v>
      </c>
      <c r="AU301" s="3"/>
      <c r="AV301" s="53">
        <v>0.86</v>
      </c>
      <c r="AW301" s="53">
        <v>0.92</v>
      </c>
      <c r="AX301" s="53">
        <v>0.85</v>
      </c>
      <c r="AY301" s="53">
        <v>0.89</v>
      </c>
      <c r="AZ301" s="53">
        <v>0.94</v>
      </c>
      <c r="BA301" s="53">
        <v>0.83</v>
      </c>
      <c r="BB301" s="53"/>
      <c r="BC301" s="53"/>
      <c r="BD301" s="53"/>
      <c r="BE301" s="53"/>
      <c r="BF301" s="53"/>
      <c r="BG301" s="53"/>
      <c r="BH301" s="53"/>
      <c r="BI301" s="53"/>
      <c r="BJ301" s="53"/>
      <c r="BK301" s="53"/>
      <c r="BL301" s="53"/>
      <c r="BM301" s="53"/>
      <c r="BN301" s="53"/>
      <c r="BO301" s="53"/>
      <c r="BP301" s="53"/>
      <c r="BQ301" s="53"/>
      <c r="BR301" s="53"/>
      <c r="BS301" s="53"/>
      <c r="BT301" s="53"/>
      <c r="BU301" s="53"/>
      <c r="BV301" s="53"/>
      <c r="BW301" s="53"/>
      <c r="BX301" s="53"/>
      <c r="BY301" s="53"/>
      <c r="BZ301" s="53"/>
      <c r="CA301" s="53"/>
      <c r="CB301" s="53"/>
      <c r="CC301" s="53"/>
      <c r="CD301" s="53"/>
      <c r="CE301" s="53"/>
      <c r="CF301" s="53"/>
      <c r="CG301" s="53"/>
      <c r="CH301" s="53"/>
      <c r="CI301" s="53"/>
      <c r="CJ301" s="53"/>
      <c r="CK301" s="53"/>
      <c r="CL301" s="53"/>
      <c r="CM301" s="53"/>
      <c r="CN301" s="53"/>
      <c r="CO301" s="53"/>
      <c r="CP301" s="53"/>
      <c r="CQ301" s="53"/>
      <c r="CR301" s="1"/>
      <c r="CS301" s="1"/>
      <c r="CT301" s="1"/>
      <c r="CU301" s="1"/>
    </row>
    <row r="302" spans="1:99" s="13" customFormat="1" ht="12" customHeight="1" x14ac:dyDescent="0.2">
      <c r="A302" s="65">
        <v>43509</v>
      </c>
      <c r="B302" s="1"/>
      <c r="C302" s="1"/>
      <c r="D302" s="60"/>
      <c r="E302" s="76"/>
      <c r="F302" s="60"/>
      <c r="G302" s="60"/>
      <c r="H302" s="60"/>
      <c r="I302" s="60"/>
      <c r="J302" s="60"/>
      <c r="K302" s="64"/>
      <c r="L302" s="64"/>
      <c r="M302" s="60"/>
      <c r="N302" s="60"/>
      <c r="O302" s="60"/>
      <c r="P302" s="60"/>
      <c r="Q302" s="60"/>
      <c r="R302" s="60"/>
      <c r="S302" s="60"/>
      <c r="T302" s="60"/>
      <c r="U302" s="60"/>
      <c r="V302" s="60"/>
      <c r="W302" s="60"/>
      <c r="X302" s="60"/>
      <c r="Y302" s="76"/>
      <c r="Z302" s="60"/>
      <c r="AA302" s="60"/>
      <c r="AB302" s="60"/>
      <c r="AC302" s="60"/>
      <c r="AD302" s="60"/>
      <c r="AE302" s="60"/>
      <c r="AF302" s="80"/>
      <c r="AG302" s="56"/>
      <c r="AH302" s="4"/>
      <c r="AI302" s="56"/>
      <c r="AJ302" s="109"/>
      <c r="AK302" s="56"/>
      <c r="AL302" s="56"/>
      <c r="AM302" s="56"/>
      <c r="AN302" s="56"/>
      <c r="AO302" s="56"/>
      <c r="AP302" s="56"/>
      <c r="AQ302" s="56"/>
      <c r="AR302" s="109"/>
      <c r="AS302" s="56"/>
      <c r="AT302" s="56"/>
      <c r="AU302" s="4"/>
      <c r="AV302" s="25">
        <f>365*24*60*60*0.022</f>
        <v>693792</v>
      </c>
      <c r="AW302" s="25">
        <f>365*24*60*60*0.929</f>
        <v>29296944</v>
      </c>
      <c r="AX302" s="25">
        <f>365*24*60*60*2.926</f>
        <v>92274336</v>
      </c>
      <c r="AY302" s="25">
        <f>365*24*60*60*9.907</f>
        <v>312427152</v>
      </c>
      <c r="AZ302" s="53"/>
      <c r="BA302" s="53"/>
      <c r="BB302" s="53"/>
      <c r="BC302" s="53"/>
      <c r="BD302" s="53"/>
      <c r="BE302" s="53"/>
      <c r="BF302" s="53"/>
      <c r="BG302" s="53"/>
      <c r="BH302" s="53"/>
      <c r="BI302" s="53"/>
      <c r="BJ302" s="53"/>
      <c r="BK302" s="53"/>
      <c r="BL302" s="53"/>
      <c r="BM302" s="53"/>
      <c r="BN302" s="53"/>
      <c r="BO302" s="53"/>
      <c r="BP302" s="53"/>
      <c r="BQ302" s="53"/>
      <c r="BR302" s="53"/>
      <c r="BS302" s="53"/>
      <c r="BT302" s="53"/>
      <c r="BU302" s="53"/>
      <c r="BV302" s="53"/>
      <c r="BW302" s="53"/>
      <c r="BX302" s="53"/>
      <c r="BY302" s="53"/>
      <c r="BZ302" s="53"/>
      <c r="CA302" s="53"/>
      <c r="CB302" s="53"/>
      <c r="CC302" s="53"/>
      <c r="CD302" s="53"/>
      <c r="CE302" s="53"/>
      <c r="CF302" s="53"/>
      <c r="CG302" s="53"/>
      <c r="CH302" s="53"/>
      <c r="CI302" s="53"/>
      <c r="CJ302" s="53"/>
      <c r="CK302" s="53"/>
      <c r="CL302" s="53"/>
      <c r="CM302" s="53"/>
      <c r="CN302" s="53"/>
      <c r="CO302" s="53"/>
      <c r="CP302" s="53"/>
      <c r="CQ302" s="53"/>
      <c r="CR302" s="1"/>
      <c r="CS302" s="1"/>
      <c r="CT302" s="1"/>
      <c r="CU302" s="1"/>
    </row>
    <row r="303" spans="1:99" s="13" customFormat="1" ht="12" customHeight="1" x14ac:dyDescent="0.2">
      <c r="A303" s="65">
        <v>43509</v>
      </c>
      <c r="B303" s="1" t="s">
        <v>218</v>
      </c>
      <c r="C303" s="1" t="s">
        <v>202</v>
      </c>
      <c r="D303" s="60">
        <v>2015</v>
      </c>
      <c r="E303" s="76">
        <v>1</v>
      </c>
      <c r="F303" s="60">
        <v>1121</v>
      </c>
      <c r="G303" s="60">
        <v>124.6</v>
      </c>
      <c r="H303" s="60" t="s">
        <v>227</v>
      </c>
      <c r="I303" s="60" t="s">
        <v>705</v>
      </c>
      <c r="J303" s="60" t="s">
        <v>704</v>
      </c>
      <c r="K303" s="60">
        <f>IF(J303="syllables",1,IF(J303="trigrams",2,IF(J303="strings",3,IF(J303="visual array",4,IF(J303="characters",5,IF(J303="letters",6,IF(J303="free forms",7,IF(J303="odors",8,IF(J303="words",9,IF(J303="pictures",10,IF(J303="object pictures",11,IF(J303="faces",12,IF(J303="names",13,IF(J303="idioms",14,IF(J303="grades",15,IF(J303="syllable-digit pairs",16,IF(J303="trigram-word pairs",17,IF(J303="word-digit pairs",18,IF(J303="English-Swahili pairs",19,IF(J303="spatial position",20,IF(J303="word pairs",21,IF(J303="word triads",22,IF(J303="generated words",23,IF(J303="word definition pairs",24,IF(J303="math problems",25,IF(J303="famous faces",26,IF(J303="famous names",27,IF(J303="famous voices",28,IF(J303="television programs",29,IF(J303="race horses",30,IF(J303="new vocabulary",31,IF(J303="sentences",32,IF(J303="concepts",33,IF(J303="ad slides",34,IF(J303="scenes",35,IF(J303="famous scenes",36,IF(J303="poems",37,IF(J303="walk",38,IF(J303="faces and events",39,IF(J303="events and names",40,IF(J303="flashbulb",41,IF(J303="stories",42,IF(J303="course material",43,IF(J303="autobiographical",44,IF(J303="novels",45,IF(J303="public events",46,"99"))))))))))))))))))))))))))))))))))))))))))))))</f>
        <v>41</v>
      </c>
      <c r="L303" s="60">
        <f>IF(J303="syllables",1,IF(J303="trigrams",1,IF(J303="strings",1,IF(J303="visual array",1,IF(J303="characters",1,IF(J303="letters",1,IF(J303="free forms",1,IF(J303="odors",2,IF(J303="words",2,IF(J303="pictures",2,IF(J303="object pictures",2,IF(J303="faces",2,IF(J303="names",2,IF(J303="idioms","2",IF(J303="grades",2,IF(J303="syllable-digit pairs",3,IF(J303="trigram-word pairs",3,IF(J303="word-digit pairs",3,IF(J303="English-Swahili pairs",3,IF(J303="spatial position",3,IF(J303="word pairs",4,IF(J303="word triads",4,IF(J303="generated words",4,IF(J303="word definition pairs",4,IF(J303="math problems",4,IF(J303="famous faces",4,IF(J303="famous names",4,IF(J303="famous voices",4,IF(J303="television programs",4,IF(J303="race horses",4,IF(J303="new vocabulary",4,IF(J303="sentences",5,IF(J303="concepts",5,IF(J303="ad slides",5,IF(J303="scenes",5,IF(J303="famous scenes",5,IF(J303="poems",6,IF(J303="walk",6,IF(J303="faces and events",6,IF(J303="events and names",6,IF(J303="flashbulb",7,IF(J303="stories",7,IF(J303="course material",7,IF(J303="autobiographical",7,IF(J303="novels",7,IF(J303="public events",7,"99"))))))))))))))))))))))))))))))))))))))))))))))</f>
        <v>7</v>
      </c>
      <c r="M303" s="60">
        <v>1</v>
      </c>
      <c r="N303" s="60">
        <v>4</v>
      </c>
      <c r="O303" s="60">
        <v>0</v>
      </c>
      <c r="P303" s="60"/>
      <c r="Q303" s="60" t="s">
        <v>174</v>
      </c>
      <c r="R303" s="60">
        <f>IF(Q303="Free Recall",1,IF(Q303="Cued Recall",2,IF(Q303="Recognition",3,IF(Q303="Multiple Choice",4,IF(Q303="Savings",5,IF(Q303="Stem Completion",6,IF(Q303="Fragment Completion",7,IF(Q303="anagram solution",8,IF(Q303="Matching",9,IF(Q303="Problem Solving",10,"99"))))))))))</f>
        <v>1</v>
      </c>
      <c r="S303" s="60" t="s">
        <v>15</v>
      </c>
      <c r="T303" s="60" t="s">
        <v>261</v>
      </c>
      <c r="U303" s="60">
        <f>IF(T303="within",1,0)</f>
        <v>0</v>
      </c>
      <c r="V303" s="60">
        <v>12</v>
      </c>
      <c r="W303" s="60">
        <f>F303*V303</f>
        <v>13452</v>
      </c>
      <c r="X303" s="60">
        <v>4</v>
      </c>
      <c r="Y303" s="76">
        <f>AV302</f>
        <v>693792</v>
      </c>
      <c r="Z303" s="60" t="s">
        <v>219</v>
      </c>
      <c r="AA303" s="60">
        <v>312427152</v>
      </c>
      <c r="AB303" s="60" t="str">
        <f>IF(AA303&lt;60,"1",IF(AA303&lt;=43200,"2",IF(AA303&lt;=777600,"3","4")))</f>
        <v>4</v>
      </c>
      <c r="AC303" s="56">
        <f>AVERAGE(AV302:DA302)</f>
        <v>108673056</v>
      </c>
      <c r="AD303" s="60" t="str">
        <f>IF(AC303&lt;60,"1",IF(AC303&lt;=43200,"2",IF(AC303&lt;=777600,"3","4")))</f>
        <v>4</v>
      </c>
      <c r="AE303" s="76">
        <f>AA303-Y303</f>
        <v>311733360</v>
      </c>
      <c r="AF303" s="80">
        <f>AV303</f>
        <v>0.91</v>
      </c>
      <c r="AG303" s="56">
        <f>((AW303-AV303)+(AX303-AW303)+(AY303-AX303))/3</f>
        <v>-3.3333333333333326E-2</v>
      </c>
      <c r="AH303" s="4"/>
      <c r="AI303" s="56">
        <f>RSQ(AV303:AY303,AV302:AY302)</f>
        <v>0.20745290581770823</v>
      </c>
      <c r="AJ303" s="109">
        <f>SLOPE(AV303:AY303,AV302:AY302)</f>
        <v>-1.6744847446962547E-10</v>
      </c>
      <c r="AK303" s="56">
        <f>INTERCEPT(AV303:AY303,AV302:AY302)</f>
        <v>0.85069713744315223</v>
      </c>
      <c r="AL303" s="56">
        <f>INDEX(LINEST(LN(AV303:AY303),LN(AV302:AY302),TRUE,TRUE),3,1)</f>
        <v>0.80266519869482433</v>
      </c>
      <c r="AM303" s="56">
        <f>INDEX(LINEST(LN(AV303:AY303),LN(AV302:AY302)),1)</f>
        <v>-2.054809097565808E-2</v>
      </c>
      <c r="AN303" s="56">
        <f>EXP(INDEX(LINEST(LN(AV303:AY303),LN(AV302:AY302)),1,2))</f>
        <v>1.1822073022858959</v>
      </c>
      <c r="AO303" s="82">
        <f>INDEX(LINEST((AV303:AY303),LN(AV302:AY302),TRUE,TRUE),3,1)</f>
        <v>0.80686830506998442</v>
      </c>
      <c r="AP303" s="82">
        <f>INDEX(LINEST((AV303:AY303),LN(AV302:AY302)),1)</f>
        <v>-1.7649592653409929E-2</v>
      </c>
      <c r="AQ303" s="83">
        <f>INDEX(LINEST(LN(AV303:AY303),SQRT(AV302:AY302),TRUE,TRUE),3,1)</f>
        <v>0.41919361923263876</v>
      </c>
      <c r="AR303" s="116">
        <f>INDEX(LINEST(LN(AV303:AY303),SQRT((AV302:AY302))),1)</f>
        <v>-5.478335892915269E-6</v>
      </c>
      <c r="AS303" s="84">
        <f>INDEX(LINEST(1/(AV303:AY303),1/(SQRT(AV302:AY302)),TRUE,TRUE),3,1)</f>
        <v>0.96183791266144225</v>
      </c>
      <c r="AT303" s="84">
        <f>INDEX(LINEST(1/(AV303:AY303),1/SQRT(AV302:AY302)),1)</f>
        <v>-127.30365836830035</v>
      </c>
      <c r="AU303" s="3"/>
      <c r="AV303" s="53">
        <v>0.91</v>
      </c>
      <c r="AW303" s="53">
        <v>0.8</v>
      </c>
      <c r="AX303" s="53">
        <v>0.81</v>
      </c>
      <c r="AY303" s="53">
        <v>0.81</v>
      </c>
      <c r="AZ303" s="53"/>
      <c r="BA303" s="53"/>
      <c r="BB303" s="53"/>
      <c r="BC303" s="53"/>
      <c r="BD303" s="53"/>
      <c r="BE303" s="53"/>
      <c r="BF303" s="53"/>
      <c r="BG303" s="53"/>
      <c r="BH303" s="53"/>
      <c r="BI303" s="53"/>
      <c r="BJ303" s="53"/>
      <c r="BK303" s="53"/>
      <c r="BL303" s="53"/>
      <c r="BM303" s="53"/>
      <c r="BN303" s="53"/>
      <c r="BO303" s="53"/>
      <c r="BP303" s="53"/>
      <c r="BQ303" s="53"/>
      <c r="BR303" s="53"/>
      <c r="BS303" s="53"/>
      <c r="BT303" s="53"/>
      <c r="BU303" s="53"/>
      <c r="BV303" s="53"/>
      <c r="BW303" s="53"/>
      <c r="BX303" s="53"/>
      <c r="BY303" s="53"/>
      <c r="BZ303" s="53"/>
      <c r="CA303" s="53"/>
      <c r="CB303" s="53"/>
      <c r="CC303" s="53"/>
      <c r="CD303" s="53"/>
      <c r="CE303" s="53"/>
      <c r="CF303" s="53"/>
      <c r="CG303" s="53"/>
      <c r="CH303" s="53"/>
      <c r="CI303" s="53"/>
      <c r="CJ303" s="53"/>
      <c r="CK303" s="53"/>
      <c r="CL303" s="53"/>
      <c r="CM303" s="53"/>
      <c r="CN303" s="53"/>
      <c r="CO303" s="53"/>
      <c r="CP303" s="53"/>
      <c r="CQ303" s="53"/>
      <c r="CR303" s="1"/>
      <c r="CS303" s="1"/>
      <c r="CT303" s="1"/>
      <c r="CU303" s="1"/>
    </row>
    <row r="304" spans="1:99" s="13" customFormat="1" ht="12" customHeight="1" x14ac:dyDescent="0.2">
      <c r="A304" s="65">
        <v>43902</v>
      </c>
      <c r="B304" s="1"/>
      <c r="C304" s="1"/>
      <c r="D304" s="60"/>
      <c r="E304" s="76"/>
      <c r="F304" s="60"/>
      <c r="G304" s="60"/>
      <c r="H304" s="60"/>
      <c r="I304" s="60"/>
      <c r="J304" s="60"/>
      <c r="K304" s="64"/>
      <c r="L304" s="64"/>
      <c r="M304" s="60"/>
      <c r="N304" s="61"/>
      <c r="O304" s="60"/>
      <c r="P304" s="60"/>
      <c r="Q304" s="60"/>
      <c r="R304" s="60"/>
      <c r="S304" s="60"/>
      <c r="T304" s="60"/>
      <c r="U304" s="60"/>
      <c r="V304" s="60"/>
      <c r="W304" s="60"/>
      <c r="X304" s="60"/>
      <c r="Y304" s="76"/>
      <c r="Z304" s="60"/>
      <c r="AA304" s="60"/>
      <c r="AB304" s="60"/>
      <c r="AC304" s="56"/>
      <c r="AD304" s="60"/>
      <c r="AE304" s="60"/>
      <c r="AF304" s="80"/>
      <c r="AG304" s="56"/>
      <c r="AH304" s="4"/>
      <c r="AI304" s="56"/>
      <c r="AJ304" s="109"/>
      <c r="AK304" s="56"/>
      <c r="AL304" s="56"/>
      <c r="AM304" s="56"/>
      <c r="AN304" s="56"/>
      <c r="AO304" s="82"/>
      <c r="AP304" s="82"/>
      <c r="AQ304" s="83"/>
      <c r="AR304" s="116"/>
      <c r="AS304" s="84"/>
      <c r="AT304" s="84"/>
      <c r="AU304" s="3"/>
      <c r="AV304" s="25">
        <v>315360000</v>
      </c>
      <c r="AW304" s="25">
        <v>630720000</v>
      </c>
      <c r="AX304" s="25">
        <v>946080000</v>
      </c>
      <c r="AY304" s="25">
        <v>1261440000</v>
      </c>
      <c r="AZ304" s="25">
        <v>1576800000</v>
      </c>
      <c r="BA304" s="25">
        <v>1892160000</v>
      </c>
      <c r="BB304" s="53"/>
      <c r="BC304" s="53"/>
      <c r="BD304" s="53"/>
      <c r="BE304" s="53"/>
      <c r="BF304" s="53"/>
      <c r="BG304" s="53"/>
      <c r="BH304" s="53"/>
      <c r="BI304" s="53"/>
      <c r="BJ304" s="53"/>
      <c r="BK304" s="53"/>
      <c r="BL304" s="53"/>
      <c r="BM304" s="53"/>
      <c r="BN304" s="53"/>
      <c r="BO304" s="53"/>
      <c r="BP304" s="53"/>
      <c r="BQ304" s="53"/>
      <c r="BR304" s="53"/>
      <c r="BS304" s="53"/>
      <c r="BT304" s="53"/>
      <c r="BU304" s="53"/>
      <c r="BV304" s="53"/>
      <c r="BW304" s="53"/>
      <c r="BX304" s="53"/>
      <c r="BY304" s="53"/>
      <c r="BZ304" s="53"/>
      <c r="CA304" s="53"/>
      <c r="CB304" s="53"/>
      <c r="CC304" s="53"/>
      <c r="CD304" s="53"/>
      <c r="CE304" s="53"/>
      <c r="CF304" s="53"/>
      <c r="CG304" s="53"/>
      <c r="CH304" s="53"/>
      <c r="CI304" s="53"/>
      <c r="CJ304" s="53"/>
      <c r="CK304" s="53"/>
      <c r="CL304" s="53"/>
      <c r="CM304" s="53"/>
      <c r="CN304" s="53"/>
      <c r="CO304" s="53"/>
      <c r="CP304" s="53"/>
      <c r="CQ304" s="53"/>
      <c r="CR304" s="1"/>
      <c r="CS304" s="1"/>
      <c r="CT304" s="1"/>
      <c r="CU304" s="1"/>
    </row>
    <row r="305" spans="1:99" s="13" customFormat="1" ht="12" customHeight="1" x14ac:dyDescent="0.2">
      <c r="A305" s="65">
        <v>43902</v>
      </c>
      <c r="B305" s="1" t="s">
        <v>454</v>
      </c>
      <c r="C305" s="1" t="s">
        <v>425</v>
      </c>
      <c r="D305" s="60">
        <v>1986</v>
      </c>
      <c r="E305" s="76">
        <v>1</v>
      </c>
      <c r="F305" s="60">
        <v>18</v>
      </c>
      <c r="G305" s="60">
        <v>18</v>
      </c>
      <c r="H305" s="60" t="s">
        <v>50</v>
      </c>
      <c r="I305" s="60" t="s">
        <v>330</v>
      </c>
      <c r="J305" s="60" t="s">
        <v>336</v>
      </c>
      <c r="K305" s="60">
        <f>IF(J305="syllables",1,IF(J305="trigrams",2,IF(J305="strings",3,IF(J305="visual array",4,IF(J305="characters",5,IF(J305="letters",6,IF(J305="free forms",7,IF(J305="odors",8,IF(J305="words",9,IF(J305="pictures",10,IF(J305="object pictures",11,IF(J305="faces",12,IF(J305="names",13,IF(J305="idioms",14,IF(J305="grades",15,IF(J305="syllable-digit pairs",16,IF(J305="trigram-word pairs",17,IF(J305="word-digit pairs",18,IF(J305="English-Swahili pairs",19,IF(J305="spatial position",20,IF(J305="word pairs",21,IF(J305="word triads",22,IF(J305="generated words",23,IF(J305="word definition pairs",24,IF(J305="math problems",25,IF(J305="famous faces",26,IF(J305="famous names",27,IF(J305="famous voices",28,IF(J305="television programs",29,IF(J305="race horses",30,IF(J305="new vocabulary",31,IF(J305="sentences",32,IF(J305="concepts",33,IF(J305="ad slides",34,IF(J305="scenes",35,IF(J305="famous scenes",36,IF(J305="poems",37,IF(J305="walk",38,IF(J305="faces and events",39,IF(J305="events and names",40,IF(J305="flashbulb",41,IF(J305="stories",42,IF(J305="course material",43,IF(J305="autobiographical",44,IF(J305="novels",45,IF(J305="public events",46,"99"))))))))))))))))))))))))))))))))))))))))))))))</f>
        <v>39</v>
      </c>
      <c r="L305" s="60">
        <f>IF(J305="syllables",1,IF(J305="trigrams",1,IF(J305="strings",1,IF(J305="visual array",1,IF(J305="characters",1,IF(J305="letters",1,IF(J305="free forms",1,IF(J305="odors",2,IF(J305="words",2,IF(J305="pictures",2,IF(J305="object pictures",2,IF(J305="faces",2,IF(J305="names",2,IF(J305="idioms","2",IF(J305="grades",2,IF(J305="syllable-digit pairs",3,IF(J305="trigram-word pairs",3,IF(J305="word-digit pairs",3,IF(J305="English-Swahili pairs",3,IF(J305="spatial position",3,IF(J305="word pairs",4,IF(J305="word triads",4,IF(J305="generated words",4,IF(J305="word definition pairs",4,IF(J305="math problems",4,IF(J305="famous faces",4,IF(J305="famous names",4,IF(J305="famous voices",4,IF(J305="television programs",4,IF(J305="race horses",4,IF(J305="new vocabulary",4,IF(J305="sentences",5,IF(J305="concepts",5,IF(J305="ad slides",5,IF(J305="scenes",5,IF(J305="famous scenes",5,IF(J305="poems",6,IF(J305="walk",6,IF(J305="faces and events",6,IF(J305="events and names",6,IF(J305="flashbulb",7,IF(J305="stories",7,IF(J305="course material",7,IF(J305="autobiographical",7,IF(J305="novels",7,IF(J305="public events",7,"99"))))))))))))))))))))))))))))))))))))))))))))))</f>
        <v>6</v>
      </c>
      <c r="M305" s="60">
        <v>1</v>
      </c>
      <c r="N305" s="61">
        <v>3</v>
      </c>
      <c r="O305" s="60">
        <v>0</v>
      </c>
      <c r="P305" s="60"/>
      <c r="Q305" s="60" t="s">
        <v>174</v>
      </c>
      <c r="R305" s="60">
        <f>IF(Q305="Free Recall",1,IF(Q305="Cued Recall",2,IF(Q305="Recognition",3,IF(Q305="Multiple Choice",4,IF(Q305="Savings",5,IF(Q305="Stem Completion",6,IF(Q305="Fragment Completion",7,IF(Q305="anagram solution",8,IF(Q305="Matching",9,IF(Q305="Problem Solving",10,"99"))))))))))</f>
        <v>1</v>
      </c>
      <c r="S305" s="60" t="s">
        <v>49</v>
      </c>
      <c r="T305" s="59" t="s">
        <v>581</v>
      </c>
      <c r="U305" s="60">
        <f>IF(T305="within",1,0)</f>
        <v>1</v>
      </c>
      <c r="V305" s="59">
        <v>48</v>
      </c>
      <c r="W305" s="60">
        <f>F305*V305</f>
        <v>864</v>
      </c>
      <c r="X305" s="60">
        <v>6</v>
      </c>
      <c r="Y305" s="76">
        <f>AV304</f>
        <v>315360000</v>
      </c>
      <c r="Z305" s="60" t="s">
        <v>419</v>
      </c>
      <c r="AA305" s="60">
        <f>60*365*24*60*60</f>
        <v>1892160000</v>
      </c>
      <c r="AB305" s="60" t="str">
        <f>IF(AA305&lt;60,"1",IF(AA305&lt;=43200,"2",IF(AA305&lt;=777600,"3","4")))</f>
        <v>4</v>
      </c>
      <c r="AC305" s="56">
        <f>AVERAGE(AV304:DA304)</f>
        <v>1103760000</v>
      </c>
      <c r="AD305" s="60" t="str">
        <f>IF(AC305&lt;60,"1",IF(AC305&lt;=43200,"2",IF(AC305&lt;=777600,"3","4")))</f>
        <v>4</v>
      </c>
      <c r="AE305" s="76">
        <f>AA305-Y305</f>
        <v>1576800000</v>
      </c>
      <c r="AF305" s="80">
        <f>AV305</f>
        <v>0.68750000000000011</v>
      </c>
      <c r="AG305" s="56">
        <f>((AW305-AV305)+(AX305-AW305)+(AY305-AX305)+(AZ305-AY305)+(BA305-AZ305))/5</f>
        <v>-5.5851063829787332E-3</v>
      </c>
      <c r="AH305" s="4"/>
      <c r="AI305" s="56">
        <f>RSQ(AV305:BA305,AV304:BA304)</f>
        <v>0.22036183337134405</v>
      </c>
      <c r="AJ305" s="109">
        <f>SLOPE(AV305:BA305,AV304:BA304)</f>
        <v>-3.2311391266144378E-11</v>
      </c>
      <c r="AK305" s="56">
        <f>INTERCEPT(AV305:BA305,AV304:BA304)</f>
        <v>0.7358602656465747</v>
      </c>
      <c r="AL305" s="56">
        <f>INDEX(LINEST(LN(AV305:BA305),LN(AV304:BA304),TRUE,TRUE),3,1)</f>
        <v>0.10170480668612422</v>
      </c>
      <c r="AM305" s="56">
        <f>INDEX(LINEST(LN(AV305:BA305),LN(AV304:BA304)),1)</f>
        <v>-2.7645195459682675E-2</v>
      </c>
      <c r="AN305" s="56">
        <f>EXP(INDEX(LINEST(LN(AV305:BA305),LN(AV304:BA304)),1,2))</f>
        <v>1.2380417407700253</v>
      </c>
      <c r="AO305" s="82">
        <f>INDEX(LINEST((AV305:BA305),LN(AV304:BA304),TRUE,TRUE),3,1)</f>
        <v>9.6490031901509357E-2</v>
      </c>
      <c r="AP305" s="82">
        <f>INDEX(LINEST((AV305:BA305),LN(AV304:BA304)),1)</f>
        <v>-1.9036600043536141E-2</v>
      </c>
      <c r="AQ305" s="83">
        <f>INDEX(LINEST(LN(AV305:BA305),SQRT(AV304:BA304),TRUE,TRUE),3,1)</f>
        <v>0.16464072751717032</v>
      </c>
      <c r="AR305" s="116">
        <f>INDEX(LINEST(LN(AV305:BA305),SQRT((AV304:BA304))),1)</f>
        <v>-2.4412061272716184E-6</v>
      </c>
      <c r="AS305" s="84">
        <f>INDEX(LINEST(1/(AV305:BA305),1/(SQRT(AV304:BA304)),TRUE,TRUE),3,1)</f>
        <v>5.467696893961628E-2</v>
      </c>
      <c r="AT305" s="84">
        <f>INDEX(LINEST(1/(AV305:BA305),1/SQRT(AV304:BA304)),1)</f>
        <v>-1536.9561239437085</v>
      </c>
      <c r="AU305" s="3"/>
      <c r="AV305" s="53">
        <v>0.68750000000000011</v>
      </c>
      <c r="AW305" s="53">
        <v>0.73626373626373631</v>
      </c>
      <c r="AX305" s="53">
        <v>0.76</v>
      </c>
      <c r="AY305" s="53">
        <v>0.66086956521739137</v>
      </c>
      <c r="AZ305" s="53">
        <v>0.69696969696969691</v>
      </c>
      <c r="BA305" s="53">
        <v>0.65957446808510645</v>
      </c>
      <c r="BB305" s="53"/>
      <c r="BC305" s="53"/>
      <c r="BD305" s="53"/>
      <c r="BE305" s="53"/>
      <c r="BF305" s="53"/>
      <c r="BG305" s="53"/>
      <c r="BH305" s="53"/>
      <c r="BI305" s="53"/>
      <c r="BJ305" s="53"/>
      <c r="BK305" s="53"/>
      <c r="BL305" s="53"/>
      <c r="BM305" s="53"/>
      <c r="BN305" s="53"/>
      <c r="BO305" s="53"/>
      <c r="BP305" s="53"/>
      <c r="BQ305" s="53"/>
      <c r="BR305" s="53"/>
      <c r="BS305" s="53"/>
      <c r="BT305" s="53"/>
      <c r="BU305" s="53"/>
      <c r="BV305" s="53"/>
      <c r="BW305" s="53"/>
      <c r="BX305" s="53"/>
      <c r="BY305" s="53"/>
      <c r="BZ305" s="53"/>
      <c r="CA305" s="53"/>
      <c r="CB305" s="53"/>
      <c r="CC305" s="53"/>
      <c r="CD305" s="53"/>
      <c r="CE305" s="53"/>
      <c r="CF305" s="53"/>
      <c r="CG305" s="53"/>
      <c r="CH305" s="53"/>
      <c r="CI305" s="53"/>
      <c r="CJ305" s="53"/>
      <c r="CK305" s="53"/>
      <c r="CL305" s="53"/>
      <c r="CM305" s="53"/>
      <c r="CN305" s="53"/>
      <c r="CO305" s="53"/>
      <c r="CP305" s="53"/>
      <c r="CQ305" s="53"/>
      <c r="CR305" s="1"/>
      <c r="CS305" s="1"/>
      <c r="CT305" s="1"/>
      <c r="CU305" s="1"/>
    </row>
    <row r="306" spans="1:99" s="13" customFormat="1" ht="12" customHeight="1" x14ac:dyDescent="0.2">
      <c r="A306" s="65">
        <v>43902</v>
      </c>
      <c r="B306" s="1"/>
      <c r="C306" s="1"/>
      <c r="D306" s="60"/>
      <c r="E306" s="76"/>
      <c r="F306" s="60"/>
      <c r="G306" s="60"/>
      <c r="H306" s="60"/>
      <c r="I306" s="60"/>
      <c r="J306" s="60"/>
      <c r="K306" s="64"/>
      <c r="L306" s="64"/>
      <c r="M306" s="60"/>
      <c r="N306" s="61"/>
      <c r="O306" s="60"/>
      <c r="P306" s="60"/>
      <c r="Q306" s="60"/>
      <c r="R306" s="60"/>
      <c r="S306" s="60"/>
      <c r="T306" s="60"/>
      <c r="U306" s="60"/>
      <c r="V306" s="60"/>
      <c r="W306" s="60"/>
      <c r="X306" s="60"/>
      <c r="Y306" s="76"/>
      <c r="Z306" s="60"/>
      <c r="AA306" s="60"/>
      <c r="AB306" s="60"/>
      <c r="AC306" s="56"/>
      <c r="AD306" s="60"/>
      <c r="AE306" s="60"/>
      <c r="AF306" s="80"/>
      <c r="AG306" s="56"/>
      <c r="AH306" s="4"/>
      <c r="AI306" s="56"/>
      <c r="AJ306" s="109"/>
      <c r="AK306" s="56"/>
      <c r="AL306" s="56"/>
      <c r="AM306" s="56"/>
      <c r="AN306" s="56"/>
      <c r="AO306" s="82"/>
      <c r="AP306" s="82"/>
      <c r="AQ306" s="83"/>
      <c r="AR306" s="116"/>
      <c r="AS306" s="84"/>
      <c r="AT306" s="84"/>
      <c r="AU306" s="3"/>
      <c r="AV306" s="25">
        <v>315360000</v>
      </c>
      <c r="AW306" s="25">
        <v>630720000</v>
      </c>
      <c r="AX306" s="25">
        <v>946080000</v>
      </c>
      <c r="AY306" s="25">
        <v>1261440000</v>
      </c>
      <c r="AZ306" s="25">
        <v>1576800000</v>
      </c>
      <c r="BA306" s="25">
        <v>1892160000</v>
      </c>
      <c r="BB306" s="53"/>
      <c r="BC306" s="53"/>
      <c r="BD306" s="53"/>
      <c r="BE306" s="53"/>
      <c r="BF306" s="53"/>
      <c r="BG306" s="53"/>
      <c r="BH306" s="53"/>
      <c r="BI306" s="53"/>
      <c r="BJ306" s="53"/>
      <c r="BK306" s="53"/>
      <c r="BL306" s="53"/>
      <c r="BM306" s="53"/>
      <c r="BN306" s="53"/>
      <c r="BO306" s="53"/>
      <c r="BP306" s="53"/>
      <c r="BQ306" s="53"/>
      <c r="BR306" s="53"/>
      <c r="BS306" s="53"/>
      <c r="BT306" s="53"/>
      <c r="BU306" s="53"/>
      <c r="BV306" s="53"/>
      <c r="BW306" s="53"/>
      <c r="BX306" s="53"/>
      <c r="BY306" s="53"/>
      <c r="BZ306" s="53"/>
      <c r="CA306" s="53"/>
      <c r="CB306" s="53"/>
      <c r="CC306" s="53"/>
      <c r="CD306" s="53"/>
      <c r="CE306" s="53"/>
      <c r="CF306" s="53"/>
      <c r="CG306" s="53"/>
      <c r="CH306" s="53"/>
      <c r="CI306" s="53"/>
      <c r="CJ306" s="53"/>
      <c r="CK306" s="53"/>
      <c r="CL306" s="53"/>
      <c r="CM306" s="53"/>
      <c r="CN306" s="53"/>
      <c r="CO306" s="53"/>
      <c r="CP306" s="53"/>
      <c r="CQ306" s="53"/>
      <c r="CR306" s="1"/>
      <c r="CS306" s="1"/>
      <c r="CT306" s="1"/>
      <c r="CU306" s="1"/>
    </row>
    <row r="307" spans="1:99" s="13" customFormat="1" ht="12" customHeight="1" x14ac:dyDescent="0.2">
      <c r="A307" s="65">
        <v>43902</v>
      </c>
      <c r="B307" s="1" t="s">
        <v>454</v>
      </c>
      <c r="C307" s="1" t="s">
        <v>425</v>
      </c>
      <c r="D307" s="60">
        <v>1986</v>
      </c>
      <c r="E307" s="76">
        <v>1</v>
      </c>
      <c r="F307" s="60">
        <v>18</v>
      </c>
      <c r="G307" s="60">
        <v>18</v>
      </c>
      <c r="H307" s="60" t="s">
        <v>41</v>
      </c>
      <c r="I307" s="60" t="s">
        <v>330</v>
      </c>
      <c r="J307" s="60" t="s">
        <v>336</v>
      </c>
      <c r="K307" s="60">
        <f>IF(J307="syllables",1,IF(J307="trigrams",2,IF(J307="strings",3,IF(J307="visual array",4,IF(J307="characters",5,IF(J307="letters",6,IF(J307="free forms",7,IF(J307="odors",8,IF(J307="words",9,IF(J307="pictures",10,IF(J307="object pictures",11,IF(J307="faces",12,IF(J307="names",13,IF(J307="idioms",14,IF(J307="grades",15,IF(J307="syllable-digit pairs",16,IF(J307="trigram-word pairs",17,IF(J307="word-digit pairs",18,IF(J307="English-Swahili pairs",19,IF(J307="spatial position",20,IF(J307="word pairs",21,IF(J307="word triads",22,IF(J307="generated words",23,IF(J307="word definition pairs",24,IF(J307="math problems",25,IF(J307="famous faces",26,IF(J307="famous names",27,IF(J307="famous voices",28,IF(J307="television programs",29,IF(J307="race horses",30,IF(J307="new vocabulary",31,IF(J307="sentences",32,IF(J307="concepts",33,IF(J307="ad slides",34,IF(J307="scenes",35,IF(J307="famous scenes",36,IF(J307="poems",37,IF(J307="walk",38,IF(J307="faces and events",39,IF(J307="events and names",40,IF(J307="flashbulb",41,IF(J307="stories",42,IF(J307="course material",43,IF(J307="autobiographical",44,IF(J307="novels",45,IF(J307="public events",46,"99"))))))))))))))))))))))))))))))))))))))))))))))</f>
        <v>39</v>
      </c>
      <c r="L307" s="60">
        <f>IF(J307="syllables",1,IF(J307="trigrams",1,IF(J307="strings",1,IF(J307="visual array",1,IF(J307="characters",1,IF(J307="letters",1,IF(J307="free forms",1,IF(J307="odors",2,IF(J307="words",2,IF(J307="pictures",2,IF(J307="object pictures",2,IF(J307="faces",2,IF(J307="names",2,IF(J307="idioms","2",IF(J307="grades",2,IF(J307="syllable-digit pairs",3,IF(J307="trigram-word pairs",3,IF(J307="word-digit pairs",3,IF(J307="English-Swahili pairs",3,IF(J307="spatial position",3,IF(J307="word pairs",4,IF(J307="word triads",4,IF(J307="generated words",4,IF(J307="word definition pairs",4,IF(J307="math problems",4,IF(J307="famous faces",4,IF(J307="famous names",4,IF(J307="famous voices",4,IF(J307="television programs",4,IF(J307="race horses",4,IF(J307="new vocabulary",4,IF(J307="sentences",5,IF(J307="concepts",5,IF(J307="ad slides",5,IF(J307="scenes",5,IF(J307="famous scenes",5,IF(J307="poems",6,IF(J307="walk",6,IF(J307="faces and events",6,IF(J307="events and names",6,IF(J307="flashbulb",7,IF(J307="stories",7,IF(J307="course material",7,IF(J307="autobiographical",7,IF(J307="novels",7,IF(J307="public events",7,"99"))))))))))))))))))))))))))))))))))))))))))))))</f>
        <v>6</v>
      </c>
      <c r="M307" s="60">
        <v>1</v>
      </c>
      <c r="N307" s="61">
        <v>3</v>
      </c>
      <c r="O307" s="60">
        <v>0</v>
      </c>
      <c r="P307" s="60"/>
      <c r="Q307" s="60" t="s">
        <v>34</v>
      </c>
      <c r="R307" s="60">
        <f>IF(Q307="Free Recall",1,IF(Q307="Cued Recall",2,IF(Q307="Recognition",3,IF(Q307="Multiple Choice",4,IF(Q307="Savings",5,IF(Q307="Stem Completion",6,IF(Q307="Fragment Completion",7,IF(Q307="anagram solution",8,IF(Q307="Matching",9,IF(Q307="Problem Solving",10,"99"))))))))))</f>
        <v>3</v>
      </c>
      <c r="S307" s="60" t="s">
        <v>15</v>
      </c>
      <c r="T307" s="59" t="s">
        <v>581</v>
      </c>
      <c r="U307" s="60">
        <f>IF(T307="within",1,0)</f>
        <v>1</v>
      </c>
      <c r="V307" s="59">
        <v>48</v>
      </c>
      <c r="W307" s="60">
        <f>F307*V307</f>
        <v>864</v>
      </c>
      <c r="X307" s="60">
        <v>6</v>
      </c>
      <c r="Y307" s="76">
        <f>AV306</f>
        <v>315360000</v>
      </c>
      <c r="Z307" s="60" t="s">
        <v>419</v>
      </c>
      <c r="AA307" s="60">
        <f>60*365*24*60*60</f>
        <v>1892160000</v>
      </c>
      <c r="AB307" s="60" t="str">
        <f>IF(AA307&lt;60,"1",IF(AA307&lt;=43200,"2",IF(AA307&lt;=777600,"3","4")))</f>
        <v>4</v>
      </c>
      <c r="AC307" s="56">
        <f>AVERAGE(AV306:DA306)</f>
        <v>1103760000</v>
      </c>
      <c r="AD307" s="60" t="str">
        <f>IF(AC307&lt;60,"1",IF(AC307&lt;=43200,"2",IF(AC307&lt;=777600,"3","4")))</f>
        <v>4</v>
      </c>
      <c r="AE307" s="76">
        <f>AA307-Y307</f>
        <v>1576800000</v>
      </c>
      <c r="AF307" s="80">
        <f>AV307</f>
        <v>0.69902912621359214</v>
      </c>
      <c r="AG307" s="56">
        <f>((AW307-AV307)+(AX307-AW307)+(AY307-AX307)+(AZ307-AY307)+(BA307-AZ307))/5</f>
        <v>-2.7736859725477035E-2</v>
      </c>
      <c r="AH307" s="4"/>
      <c r="AI307" s="56">
        <f>RSQ(AV307:BA307,AV306:BA306)</f>
        <v>0.28312690619523756</v>
      </c>
      <c r="AJ307" s="109">
        <f>SLOPE(AV307:BA307,AV306:BA306)</f>
        <v>-8.0009429499955656E-11</v>
      </c>
      <c r="AK307" s="56">
        <f>INTERCEPT(AV307:BA307,AV306:BA306)</f>
        <v>0.76902904520520321</v>
      </c>
      <c r="AL307" s="56">
        <f>INDEX(LINEST(LN(AV307:BA307),LN(AV306:BA306),TRUE,TRUE),3,1)</f>
        <v>0.22914177288032941</v>
      </c>
      <c r="AM307" s="56">
        <f>INDEX(LINEST(LN(AV307:BA307),LN(AV306:BA306)),1)</f>
        <v>-9.5086939803385256E-2</v>
      </c>
      <c r="AN307" s="56">
        <f>EXP(INDEX(LINEST(LN(AV307:BA307),LN(AV306:BA306)),1,2))</f>
        <v>4.8223880086574908</v>
      </c>
      <c r="AO307" s="82">
        <f>INDEX(LINEST((AV307:BA307),LN(AV306:BA306),TRUE,TRUE),3,1)</f>
        <v>0.21049084456662323</v>
      </c>
      <c r="AP307" s="82">
        <f>INDEX(LINEST((AV307:BA307),LN(AV306:BA306)),1)</f>
        <v>-6.1422557862815336E-2</v>
      </c>
      <c r="AQ307" s="83">
        <f>INDEX(LINEST(LN(AV307:BA307),SQRT(AV306:BA306),TRUE,TRUE),3,1)</f>
        <v>0.27324424206955289</v>
      </c>
      <c r="AR307" s="116">
        <f>INDEX(LINEST(LN(AV307:BA307),SQRT((AV306:BA306))),1)</f>
        <v>-7.2066118799243266E-6</v>
      </c>
      <c r="AS307" s="84">
        <f>INDEX(LINEST(1/(AV307:BA307),1/(SQRT(AV306:BA306)),TRUE,TRUE),3,1)</f>
        <v>0.19620139180878096</v>
      </c>
      <c r="AT307" s="84">
        <f>INDEX(LINEST(1/(AV307:BA307),1/SQRT(AV306:BA306)),1)</f>
        <v>-7066.4490275645367</v>
      </c>
      <c r="AU307" s="3"/>
      <c r="AV307" s="53">
        <v>0.69902912621359214</v>
      </c>
      <c r="AW307" s="53">
        <v>0.8</v>
      </c>
      <c r="AX307" s="53">
        <v>0.66</v>
      </c>
      <c r="AY307" s="53">
        <v>0.61224489795918369</v>
      </c>
      <c r="AZ307" s="53">
        <v>0.75268817204301064</v>
      </c>
      <c r="BA307" s="53">
        <v>0.56034482758620696</v>
      </c>
      <c r="BB307" s="53"/>
      <c r="BC307" s="53"/>
      <c r="BD307" s="53"/>
      <c r="BE307" s="53"/>
      <c r="BF307" s="53"/>
      <c r="BG307" s="53"/>
      <c r="BH307" s="53"/>
      <c r="BI307" s="53"/>
      <c r="BJ307" s="53"/>
      <c r="BK307" s="53"/>
      <c r="BL307" s="53"/>
      <c r="BM307" s="53"/>
      <c r="BN307" s="53"/>
      <c r="BO307" s="53"/>
      <c r="BP307" s="53"/>
      <c r="BQ307" s="53"/>
      <c r="BR307" s="53"/>
      <c r="BS307" s="53"/>
      <c r="BT307" s="53"/>
      <c r="BU307" s="53"/>
      <c r="BV307" s="53"/>
      <c r="BW307" s="53"/>
      <c r="BX307" s="53"/>
      <c r="BY307" s="53"/>
      <c r="BZ307" s="53"/>
      <c r="CA307" s="53"/>
      <c r="CB307" s="53"/>
      <c r="CC307" s="53"/>
      <c r="CD307" s="53"/>
      <c r="CE307" s="53"/>
      <c r="CF307" s="53"/>
      <c r="CG307" s="53"/>
      <c r="CH307" s="53"/>
      <c r="CI307" s="53"/>
      <c r="CJ307" s="53"/>
      <c r="CK307" s="53"/>
      <c r="CL307" s="53"/>
      <c r="CM307" s="53"/>
      <c r="CN307" s="53"/>
      <c r="CO307" s="53"/>
      <c r="CP307" s="53"/>
      <c r="CQ307" s="53"/>
      <c r="CR307" s="1"/>
      <c r="CS307" s="1"/>
      <c r="CT307" s="1"/>
      <c r="CU307" s="1"/>
    </row>
    <row r="308" spans="1:99" s="13" customFormat="1" ht="12" customHeight="1" x14ac:dyDescent="0.2">
      <c r="A308" s="65">
        <v>43902</v>
      </c>
      <c r="B308" s="1"/>
      <c r="C308" s="1"/>
      <c r="D308" s="60"/>
      <c r="E308" s="76"/>
      <c r="F308" s="60"/>
      <c r="G308" s="60"/>
      <c r="H308" s="60"/>
      <c r="I308" s="60"/>
      <c r="J308" s="60"/>
      <c r="K308" s="64"/>
      <c r="L308" s="64"/>
      <c r="M308" s="60"/>
      <c r="N308" s="61"/>
      <c r="O308" s="60"/>
      <c r="P308" s="60"/>
      <c r="Q308" s="60"/>
      <c r="R308" s="60"/>
      <c r="S308" s="60"/>
      <c r="T308" s="60"/>
      <c r="U308" s="60"/>
      <c r="V308" s="60"/>
      <c r="W308" s="60"/>
      <c r="X308" s="60"/>
      <c r="Y308" s="76"/>
      <c r="Z308" s="60"/>
      <c r="AA308" s="60"/>
      <c r="AB308" s="60"/>
      <c r="AC308" s="56"/>
      <c r="AD308" s="60"/>
      <c r="AE308" s="60"/>
      <c r="AF308" s="80"/>
      <c r="AG308" s="56"/>
      <c r="AH308" s="4"/>
      <c r="AI308" s="56"/>
      <c r="AJ308" s="109"/>
      <c r="AK308" s="56"/>
      <c r="AL308" s="56"/>
      <c r="AM308" s="56"/>
      <c r="AN308" s="56"/>
      <c r="AO308" s="82"/>
      <c r="AP308" s="82"/>
      <c r="AQ308" s="83"/>
      <c r="AR308" s="116"/>
      <c r="AS308" s="84"/>
      <c r="AT308" s="84"/>
      <c r="AU308" s="3"/>
      <c r="AV308" s="25">
        <v>315360000</v>
      </c>
      <c r="AW308" s="25">
        <v>630720000</v>
      </c>
      <c r="AX308" s="25">
        <v>946080000</v>
      </c>
      <c r="AY308" s="25">
        <v>1261440000</v>
      </c>
      <c r="AZ308" s="25">
        <v>1576800000</v>
      </c>
      <c r="BA308" s="25">
        <v>1892160000</v>
      </c>
      <c r="BB308" s="53"/>
      <c r="BC308" s="53"/>
      <c r="BD308" s="53"/>
      <c r="BE308" s="53"/>
      <c r="BF308" s="53"/>
      <c r="BG308" s="53"/>
      <c r="BH308" s="53"/>
      <c r="BI308" s="53"/>
      <c r="BJ308" s="53"/>
      <c r="BK308" s="53"/>
      <c r="BL308" s="53"/>
      <c r="BM308" s="53"/>
      <c r="BN308" s="53"/>
      <c r="BO308" s="53"/>
      <c r="BP308" s="53"/>
      <c r="BQ308" s="53"/>
      <c r="BR308" s="53"/>
      <c r="BS308" s="53"/>
      <c r="BT308" s="53"/>
      <c r="BU308" s="53"/>
      <c r="BV308" s="53"/>
      <c r="BW308" s="53"/>
      <c r="BX308" s="53"/>
      <c r="BY308" s="53"/>
      <c r="BZ308" s="53"/>
      <c r="CA308" s="53"/>
      <c r="CB308" s="53"/>
      <c r="CC308" s="53"/>
      <c r="CD308" s="53"/>
      <c r="CE308" s="53"/>
      <c r="CF308" s="53"/>
      <c r="CG308" s="53"/>
      <c r="CH308" s="53"/>
      <c r="CI308" s="53"/>
      <c r="CJ308" s="53"/>
      <c r="CK308" s="53"/>
      <c r="CL308" s="53"/>
      <c r="CM308" s="53"/>
      <c r="CN308" s="53"/>
      <c r="CO308" s="53"/>
      <c r="CP308" s="53"/>
      <c r="CQ308" s="53"/>
      <c r="CR308" s="1"/>
      <c r="CS308" s="1"/>
      <c r="CT308" s="1"/>
      <c r="CU308" s="1"/>
    </row>
    <row r="309" spans="1:99" s="13" customFormat="1" ht="12" customHeight="1" x14ac:dyDescent="0.2">
      <c r="A309" s="65">
        <v>43902</v>
      </c>
      <c r="B309" s="1" t="s">
        <v>454</v>
      </c>
      <c r="C309" s="1" t="s">
        <v>425</v>
      </c>
      <c r="D309" s="60">
        <v>1986</v>
      </c>
      <c r="E309" s="76">
        <v>1</v>
      </c>
      <c r="F309" s="60">
        <v>18</v>
      </c>
      <c r="G309" s="60">
        <v>18</v>
      </c>
      <c r="H309" s="60" t="s">
        <v>32</v>
      </c>
      <c r="I309" s="60" t="s">
        <v>330</v>
      </c>
      <c r="J309" s="60" t="s">
        <v>342</v>
      </c>
      <c r="K309" s="60">
        <f>IF(J309="syllables",1,IF(J309="trigrams",2,IF(J309="strings",3,IF(J309="visual array",4,IF(J309="characters",5,IF(J309="letters",6,IF(J309="free forms",7,IF(J309="odors",8,IF(J309="words",9,IF(J309="pictures",10,IF(J309="object pictures",11,IF(J309="faces",12,IF(J309="names",13,IF(J309="idioms",14,IF(J309="grades",15,IF(J309="syllable-digit pairs",16,IF(J309="trigram-word pairs",17,IF(J309="word-digit pairs",18,IF(J309="English-Swahili pairs",19,IF(J309="spatial position",20,IF(J309="word pairs",21,IF(J309="word triads",22,IF(J309="generated words",23,IF(J309="word definition pairs",24,IF(J309="math problems",25,IF(J309="famous faces",26,IF(J309="famous names",27,IF(J309="famous voices",28,IF(J309="television programs",29,IF(J309="race horses",30,IF(J309="new vocabulary",31,IF(J309="sentences",32,IF(J309="concepts",33,IF(J309="ad slides",34,IF(J309="scenes",35,IF(J309="famous scenes",36,IF(J309="poems",37,IF(J309="walk",38,IF(J309="faces and events",39,IF(J309="events and names",40,IF(J309="flashbulb",41,IF(J309="stories",42,IF(J309="course material",43,IF(J309="autobiographical",44,IF(J309="novels",45,IF(J309="public events",46,"99"))))))))))))))))))))))))))))))))))))))))))))))</f>
        <v>26</v>
      </c>
      <c r="L309" s="60">
        <f>IF(J309="syllables",1,IF(J309="trigrams",1,IF(J309="strings",1,IF(J309="visual array",1,IF(J309="characters",1,IF(J309="letters",1,IF(J309="free forms",1,IF(J309="odors",2,IF(J309="words",2,IF(J309="pictures",2,IF(J309="object pictures",2,IF(J309="faces",2,IF(J309="names",2,IF(J309="idioms","2",IF(J309="grades",2,IF(J309="syllable-digit pairs",3,IF(J309="trigram-word pairs",3,IF(J309="word-digit pairs",3,IF(J309="English-Swahili pairs",3,IF(J309="spatial position",3,IF(J309="word pairs",4,IF(J309="word triads",4,IF(J309="generated words",4,IF(J309="word definition pairs",4,IF(J309="math problems",4,IF(J309="famous faces",4,IF(J309="famous names",4,IF(J309="famous voices",4,IF(J309="television programs",4,IF(J309="race horses",4,IF(J309="new vocabulary",4,IF(J309="sentences",5,IF(J309="concepts",5,IF(J309="ad slides",5,IF(J309="scenes",5,IF(J309="famous scenes",5,IF(J309="poems",6,IF(J309="walk",6,IF(J309="faces and events",6,IF(J309="events and names",6,IF(J309="flashbulb",7,IF(J309="stories",7,IF(J309="course material",7,IF(J309="autobiographical",7,IF(J309="novels",7,IF(J309="public events",7,"99"))))))))))))))))))))))))))))))))))))))))))))))</f>
        <v>4</v>
      </c>
      <c r="M309" s="60">
        <v>1</v>
      </c>
      <c r="N309" s="61">
        <v>3</v>
      </c>
      <c r="O309" s="60">
        <v>0</v>
      </c>
      <c r="P309" s="60"/>
      <c r="Q309" s="60" t="s">
        <v>174</v>
      </c>
      <c r="R309" s="60">
        <f>IF(Q309="Free Recall",1,IF(Q309="Cued Recall",2,IF(Q309="Recognition",3,IF(Q309="Multiple Choice",4,IF(Q309="Savings",5,IF(Q309="Stem Completion",6,IF(Q309="Fragment Completion",7,IF(Q309="anagram solution",8,IF(Q309="Matching",9,IF(Q309="Problem Solving",10,"99"))))))))))</f>
        <v>1</v>
      </c>
      <c r="S309" s="60" t="s">
        <v>49</v>
      </c>
      <c r="T309" s="59" t="s">
        <v>581</v>
      </c>
      <c r="U309" s="60">
        <f>IF(T309="within",1,0)</f>
        <v>1</v>
      </c>
      <c r="V309" s="59">
        <v>48</v>
      </c>
      <c r="W309" s="60">
        <f>F309*V309</f>
        <v>864</v>
      </c>
      <c r="X309" s="60">
        <v>6</v>
      </c>
      <c r="Y309" s="76">
        <f>AV308</f>
        <v>315360000</v>
      </c>
      <c r="Z309" s="60" t="s">
        <v>419</v>
      </c>
      <c r="AA309" s="60">
        <f>60*365*24*60*60</f>
        <v>1892160000</v>
      </c>
      <c r="AB309" s="60" t="str">
        <f>IF(AA309&lt;60,"1",IF(AA309&lt;=43200,"2",IF(AA309&lt;=777600,"3","4")))</f>
        <v>4</v>
      </c>
      <c r="AC309" s="56">
        <f>AVERAGE(AV308:DA308)</f>
        <v>1103760000</v>
      </c>
      <c r="AD309" s="60" t="str">
        <f>IF(AC309&lt;60,"1",IF(AC309&lt;=43200,"2",IF(AC309&lt;=777600,"3","4")))</f>
        <v>4</v>
      </c>
      <c r="AE309" s="76">
        <f>AA309-Y309</f>
        <v>1576800000</v>
      </c>
      <c r="AF309" s="80">
        <f>AV309</f>
        <v>0.76</v>
      </c>
      <c r="AG309" s="56">
        <f>((AW309-AV309)+(AX309-AW309)+(AY309-AX309)+(AZ309-AY309)+(BA309-AZ309))/5</f>
        <v>-1.9857142857142861E-2</v>
      </c>
      <c r="AH309" s="4"/>
      <c r="AI309" s="56">
        <f>RSQ(AV309:BA309,AV308:BA308)</f>
        <v>0.47372846453818918</v>
      </c>
      <c r="AJ309" s="109">
        <f>SLOPE(AV309:BA309,AV308:BA308)</f>
        <v>-7.0960463392963584E-11</v>
      </c>
      <c r="AK309" s="56">
        <f>INTERCEPT(AV309:BA309,AV308:BA308)</f>
        <v>0.79425503340341808</v>
      </c>
      <c r="AL309" s="56">
        <f>INDEX(LINEST(LN(AV309:BA309),LN(AV308:BA308),TRUE,TRUE),3,1)</f>
        <v>0.43006279401480618</v>
      </c>
      <c r="AM309" s="56">
        <f>INDEX(LINEST(LN(AV309:BA309),LN(AV308:BA308)),1)</f>
        <v>-8.3914012528416307E-2</v>
      </c>
      <c r="AN309" s="56">
        <f>EXP(INDEX(LINEST(LN(AV309:BA309),LN(AV308:BA308)),1,2))</f>
        <v>4.042958074276509</v>
      </c>
      <c r="AO309" s="82">
        <f>INDEX(LINEST((AV309:BA309),LN(AV308:BA308),TRUE,TRUE),3,1)</f>
        <v>0.42800099394821794</v>
      </c>
      <c r="AP309" s="82">
        <f>INDEX(LINEST((AV309:BA309),LN(AV308:BA308)),1)</f>
        <v>-6.0053010269276758E-2</v>
      </c>
      <c r="AQ309" s="83">
        <f>INDEX(LINEST(LN(AV309:BA309),SQRT(AV308:BA308),TRUE,TRUE),3,1)</f>
        <v>0.46102479213329722</v>
      </c>
      <c r="AR309" s="116">
        <f>INDEX(LINEST(LN(AV309:BA309),SQRT((AV308:BA308))),1)</f>
        <v>-6.0300037213201625E-6</v>
      </c>
      <c r="AS309" s="84">
        <f>INDEX(LINEST(1/(AV309:BA309),1/(SQRT(AV308:BA308)),TRUE,TRUE),3,1)</f>
        <v>0.38714361760116761</v>
      </c>
      <c r="AT309" s="84">
        <f>INDEX(LINEST(1/(AV309:BA309),1/SQRT(AV308:BA308)),1)</f>
        <v>-5953.175942638527</v>
      </c>
      <c r="AU309" s="3"/>
      <c r="AV309" s="53">
        <v>0.76</v>
      </c>
      <c r="AW309" s="53">
        <v>0.79166666666666674</v>
      </c>
      <c r="AX309" s="53">
        <v>0.66055045871559626</v>
      </c>
      <c r="AY309" s="53">
        <v>0.75961538461538458</v>
      </c>
      <c r="AZ309" s="53">
        <v>0.66304347826086951</v>
      </c>
      <c r="BA309" s="53">
        <v>0.6607142857142857</v>
      </c>
      <c r="BB309" s="53"/>
      <c r="BC309" s="53"/>
      <c r="BD309" s="53"/>
      <c r="BE309" s="53"/>
      <c r="BF309" s="53"/>
      <c r="BG309" s="53"/>
      <c r="BH309" s="53"/>
      <c r="BI309" s="53"/>
      <c r="BJ309" s="53"/>
      <c r="BK309" s="53"/>
      <c r="BL309" s="53"/>
      <c r="BM309" s="53"/>
      <c r="BN309" s="53"/>
      <c r="BO309" s="53"/>
      <c r="BP309" s="53"/>
      <c r="BQ309" s="53"/>
      <c r="BR309" s="53"/>
      <c r="BS309" s="53"/>
      <c r="BT309" s="53"/>
      <c r="BU309" s="53"/>
      <c r="BV309" s="53"/>
      <c r="BW309" s="53"/>
      <c r="BX309" s="53"/>
      <c r="BY309" s="53"/>
      <c r="BZ309" s="53"/>
      <c r="CA309" s="53"/>
      <c r="CB309" s="53"/>
      <c r="CC309" s="53"/>
      <c r="CD309" s="53"/>
      <c r="CE309" s="53"/>
      <c r="CF309" s="53"/>
      <c r="CG309" s="53"/>
      <c r="CH309" s="53"/>
      <c r="CI309" s="53"/>
      <c r="CJ309" s="53"/>
      <c r="CK309" s="53"/>
      <c r="CL309" s="53"/>
      <c r="CM309" s="53"/>
      <c r="CN309" s="53"/>
      <c r="CO309" s="53"/>
      <c r="CP309" s="53"/>
      <c r="CQ309" s="53"/>
      <c r="CR309" s="1"/>
      <c r="CS309" s="1"/>
      <c r="CT309" s="1"/>
      <c r="CU309" s="1"/>
    </row>
    <row r="310" spans="1:99" s="13" customFormat="1" ht="12" customHeight="1" x14ac:dyDescent="0.2">
      <c r="A310" s="68">
        <v>43895</v>
      </c>
      <c r="B310" s="67"/>
      <c r="C310" s="67"/>
      <c r="D310" s="86"/>
      <c r="E310" s="87"/>
      <c r="F310" s="69"/>
      <c r="G310" s="69"/>
      <c r="H310" s="69"/>
      <c r="I310" s="69"/>
      <c r="J310" s="69"/>
      <c r="K310" s="107"/>
      <c r="L310" s="107"/>
      <c r="M310" s="69"/>
      <c r="N310" s="92"/>
      <c r="O310" s="69"/>
      <c r="P310" s="69"/>
      <c r="Q310" s="69"/>
      <c r="R310" s="69"/>
      <c r="S310" s="69"/>
      <c r="T310" s="69"/>
      <c r="U310" s="69"/>
      <c r="V310" s="69"/>
      <c r="W310" s="69"/>
      <c r="X310" s="69"/>
      <c r="Y310" s="87"/>
      <c r="Z310" s="69"/>
      <c r="AA310" s="69"/>
      <c r="AB310" s="69"/>
      <c r="AC310" s="72"/>
      <c r="AD310" s="69"/>
      <c r="AE310" s="69"/>
      <c r="AF310" s="88"/>
      <c r="AG310" s="72"/>
      <c r="AH310" s="4"/>
      <c r="AI310" s="72"/>
      <c r="AJ310" s="110"/>
      <c r="AK310" s="72"/>
      <c r="AL310" s="72"/>
      <c r="AM310" s="72"/>
      <c r="AN310" s="72"/>
      <c r="AO310" s="72"/>
      <c r="AP310" s="72"/>
      <c r="AQ310" s="72"/>
      <c r="AR310" s="110"/>
      <c r="AS310" s="72"/>
      <c r="AT310" s="72"/>
      <c r="AU310" s="5"/>
      <c r="AV310" s="71">
        <v>31536000</v>
      </c>
      <c r="AW310" s="71">
        <v>315360000</v>
      </c>
      <c r="AX310" s="71">
        <v>630720000</v>
      </c>
      <c r="AY310" s="73"/>
      <c r="AZ310" s="73"/>
      <c r="BA310" s="73"/>
      <c r="BB310" s="53"/>
      <c r="BC310" s="53"/>
      <c r="BD310" s="53"/>
      <c r="BE310" s="53"/>
      <c r="BF310" s="53"/>
      <c r="BG310" s="53"/>
      <c r="BH310" s="53"/>
      <c r="BI310" s="53"/>
      <c r="BJ310" s="53"/>
      <c r="BK310" s="53"/>
      <c r="BL310" s="53"/>
      <c r="BM310" s="53"/>
      <c r="BN310" s="53"/>
      <c r="BO310" s="53"/>
      <c r="BP310" s="53"/>
      <c r="BQ310" s="53"/>
      <c r="BR310" s="53"/>
      <c r="BS310" s="53"/>
      <c r="BT310" s="53"/>
      <c r="BU310" s="53"/>
      <c r="BV310" s="53"/>
      <c r="BW310" s="53"/>
      <c r="BX310" s="53"/>
      <c r="BY310" s="53"/>
      <c r="BZ310" s="53"/>
      <c r="CA310" s="53"/>
      <c r="CB310" s="53"/>
      <c r="CC310" s="53"/>
      <c r="CD310" s="53"/>
      <c r="CE310" s="53"/>
      <c r="CF310" s="53"/>
      <c r="CG310" s="53"/>
      <c r="CH310" s="53"/>
      <c r="CI310" s="53"/>
      <c r="CJ310" s="53"/>
      <c r="CK310" s="53"/>
      <c r="CL310" s="53"/>
      <c r="CM310" s="53"/>
      <c r="CN310" s="53"/>
      <c r="CO310" s="53"/>
      <c r="CP310" s="53"/>
      <c r="CQ310" s="53"/>
      <c r="CR310" s="1"/>
      <c r="CS310" s="1"/>
      <c r="CT310" s="1"/>
      <c r="CU310" s="1"/>
    </row>
    <row r="311" spans="1:99" s="13" customFormat="1" ht="12" customHeight="1" x14ac:dyDescent="0.2">
      <c r="A311" s="68">
        <v>43895</v>
      </c>
      <c r="B311" s="70" t="s">
        <v>349</v>
      </c>
      <c r="C311" s="70" t="s">
        <v>54</v>
      </c>
      <c r="D311" s="69">
        <v>1995</v>
      </c>
      <c r="E311" s="87">
        <v>1</v>
      </c>
      <c r="F311" s="69">
        <v>6</v>
      </c>
      <c r="G311" s="69">
        <v>6</v>
      </c>
      <c r="H311" s="69" t="s">
        <v>38</v>
      </c>
      <c r="I311" s="69" t="s">
        <v>330</v>
      </c>
      <c r="J311" s="69" t="s">
        <v>342</v>
      </c>
      <c r="K311" s="69">
        <f>IF(J311="syllables",1,IF(J311="trigrams",2,IF(J311="strings",3,IF(J311="visual array",4,IF(J311="characters",5,IF(J311="letters",6,IF(J311="free forms",7,IF(J311="odors",8,IF(J311="words",9,IF(J311="pictures",10,IF(J311="object pictures",11,IF(J311="faces",12,IF(J311="names",13,IF(J311="idioms",14,IF(J311="grades",15,IF(J311="syllable-digit pairs",16,IF(J311="trigram-word pairs",17,IF(J311="word-digit pairs",18,IF(J311="English-Swahili pairs",19,IF(J311="spatial position",20,IF(J311="word pairs",21,IF(J311="word triads",22,IF(J311="generated words",23,IF(J311="word definition pairs",24,IF(J311="math problems",25,IF(J311="famous faces",26,IF(J311="famous names",27,IF(J311="famous voices",28,IF(J311="television programs",29,IF(J311="race horses",30,IF(J311="new vocabulary",31,IF(J311="sentences",32,IF(J311="concepts",33,IF(J311="ad slides",34,IF(J311="scenes",35,IF(J311="famous scenes",36,IF(J311="poems",37,IF(J311="walk",38,IF(J311="faces and events",39,IF(J311="events and names",40,IF(J311="flashbulb",41,IF(J311="stories",42,IF(J311="course material",43,IF(J311="autobiographical",44,IF(J311="novels",45,IF(J311="public events",46,"99"))))))))))))))))))))))))))))))))))))))))))))))</f>
        <v>26</v>
      </c>
      <c r="L311" s="69">
        <f>IF(J311="syllables",1,IF(J311="trigrams",1,IF(J311="strings",1,IF(J311="visual array",1,IF(J311="characters",1,IF(J311="letters",1,IF(J311="free forms",1,IF(J311="odors",2,IF(J311="words",2,IF(J311="pictures",2,IF(J311="object pictures",2,IF(J311="faces",2,IF(J311="names",2,IF(J311="idioms","2",IF(J311="grades",2,IF(J311="syllable-digit pairs",3,IF(J311="trigram-word pairs",3,IF(J311="word-digit pairs",3,IF(J311="English-Swahili pairs",3,IF(J311="spatial position",3,IF(J311="word pairs",4,IF(J311="word triads",4,IF(J311="generated words",4,IF(J311="word definition pairs",4,IF(J311="math problems",4,IF(J311="famous faces",4,IF(J311="famous names",4,IF(J311="famous voices",4,IF(J311="television programs",4,IF(J311="race horses",4,IF(J311="new vocabulary",4,IF(J311="sentences",5,IF(J311="concepts",5,IF(J311="ad slides",5,IF(J311="scenes",5,IF(J311="famous scenes",5,IF(J311="poems",6,IF(J311="walk",6,IF(J311="faces and events",6,IF(J311="events and names",6,IF(J311="flashbulb",7,IF(J311="stories",7,IF(J311="course material",7,IF(J311="autobiographical",7,IF(J311="novels",7,IF(J311="public events",7,"99"))))))))))))))))))))))))))))))))))))))))))))))</f>
        <v>4</v>
      </c>
      <c r="M311" s="69">
        <v>1</v>
      </c>
      <c r="N311" s="86">
        <v>3</v>
      </c>
      <c r="O311" s="69">
        <v>0</v>
      </c>
      <c r="P311" s="69"/>
      <c r="Q311" s="69" t="s">
        <v>174</v>
      </c>
      <c r="R311" s="69">
        <f>IF(Q311="Free Recall",1,IF(Q311="Cued Recall",2,IF(Q311="Recognition",3,IF(Q311="Multiple Choice",4,IF(Q311="Savings",5,IF(Q311="Stem Completion",6,IF(Q311="Fragment Completion",7,IF(Q311="anagram solution",8,IF(Q311="Matching",9,IF(Q311="Problem Solving",10,"99"))))))))))</f>
        <v>1</v>
      </c>
      <c r="S311" s="99" t="s">
        <v>49</v>
      </c>
      <c r="T311" s="92" t="s">
        <v>581</v>
      </c>
      <c r="U311" s="69">
        <f>IF(T311="within",1,0)</f>
        <v>1</v>
      </c>
      <c r="V311" s="92">
        <v>24</v>
      </c>
      <c r="W311" s="69">
        <f>F311*V311</f>
        <v>144</v>
      </c>
      <c r="X311" s="69">
        <v>3</v>
      </c>
      <c r="Y311" s="87">
        <f>AV310</f>
        <v>31536000</v>
      </c>
      <c r="Z311" s="92" t="s">
        <v>333</v>
      </c>
      <c r="AA311" s="69">
        <f>20*365*24*60*60</f>
        <v>630720000</v>
      </c>
      <c r="AB311" s="69" t="str">
        <f>IF(AA311&lt;60,"1",IF(AA311&lt;=43200,"2",IF(AA311&lt;=777600,"3","4")))</f>
        <v>4</v>
      </c>
      <c r="AC311" s="72">
        <f>AVERAGE(AV310:DA310)</f>
        <v>325872000</v>
      </c>
      <c r="AD311" s="69" t="str">
        <f>IF(AC311&lt;60,"1",IF(AC311&lt;=43200,"2",IF(AC311&lt;=777600,"3","4")))</f>
        <v>4</v>
      </c>
      <c r="AE311" s="87">
        <f>AA311-Y311</f>
        <v>599184000</v>
      </c>
      <c r="AF311" s="88">
        <f>AV311</f>
        <v>0.78125</v>
      </c>
      <c r="AG311" s="72">
        <f>((AW311-AV311)+(AX311-AW311))/2</f>
        <v>-3.7993421052631537E-2</v>
      </c>
      <c r="AH311" s="4"/>
      <c r="AI311" s="72">
        <f>RSQ(AV311:AX311,AV310:AX310)</f>
        <v>0.13856570877539223</v>
      </c>
      <c r="AJ311" s="110">
        <f>SLOPE(AV311:AX311,AV310:AX310)</f>
        <v>-1.1788559888945648E-10</v>
      </c>
      <c r="AK311" s="72">
        <f>INTERCEPT(AV311:AX311,AV310:AX310)</f>
        <v>0.73145086604374809</v>
      </c>
      <c r="AL311" s="72">
        <f>INDEX(LINEST(LN(AV311:AX311),LN(AV310:AX310),TRUE,TRUE),3,1)</f>
        <v>0.39109744593545037</v>
      </c>
      <c r="AM311" s="72">
        <f>INDEX(LINEST(LN(AV311:AX311),LN(AV310:AX310)),1)</f>
        <v>-5.5722996349914955E-2</v>
      </c>
      <c r="AN311" s="72">
        <f>EXP(INDEX(LINEST(LN(AV311:AX311),LN(AV310:AX310)),1,2))</f>
        <v>1.9886661613693482</v>
      </c>
      <c r="AO311" s="89">
        <f>INDEX(LINEST((AV311:AX311),LN(AV310:AX310),TRUE,TRUE),3,1)</f>
        <v>0.42743014837219478</v>
      </c>
      <c r="AP311" s="89">
        <f>INDEX(LINEST((AV311:AX311),LN(AV310:AX310)),1)</f>
        <v>-3.9570919814244418E-2</v>
      </c>
      <c r="AQ311" s="90">
        <f>INDEX(LINEST(LN(AV311:AX311),SQRT(AV310:AX310),TRUE,TRUE),3,1)</f>
        <v>0.24314895171692216</v>
      </c>
      <c r="AR311" s="117">
        <f>INDEX(LINEST(LN(AV311:AX311),SQRT((AV310:AX310))),1)</f>
        <v>-6.9977545450586129E-6</v>
      </c>
      <c r="AS311" s="91">
        <f>INDEX(LINEST(1/(AV311:AX311),1/(SQRT(AV310:AX310)),TRUE,TRUE),3,1)</f>
        <v>0.46794920044306643</v>
      </c>
      <c r="AT311" s="91">
        <f>INDEX(LINEST(1/(AV311:AX311),1/SQRT(AV310:AX310)),1)</f>
        <v>-1877.6425168973019</v>
      </c>
      <c r="AU311" s="3"/>
      <c r="AV311" s="73">
        <v>0.78125</v>
      </c>
      <c r="AW311" s="73">
        <v>0.59259259259259256</v>
      </c>
      <c r="AX311" s="73">
        <v>0.70526315789473693</v>
      </c>
      <c r="AY311" s="73"/>
      <c r="AZ311" s="73"/>
      <c r="BA311" s="73"/>
      <c r="BB311" s="53"/>
      <c r="BC311" s="53"/>
      <c r="BD311" s="53"/>
      <c r="BE311" s="53"/>
      <c r="BF311" s="53"/>
      <c r="BG311" s="53"/>
      <c r="BH311" s="53"/>
      <c r="BI311" s="53"/>
      <c r="BJ311" s="53"/>
      <c r="BK311" s="53"/>
      <c r="BL311" s="53"/>
      <c r="BM311" s="53"/>
      <c r="BN311" s="53"/>
      <c r="BO311" s="53"/>
      <c r="BP311" s="53"/>
      <c r="BQ311" s="53"/>
      <c r="BR311" s="53"/>
      <c r="BS311" s="53"/>
      <c r="BT311" s="53"/>
      <c r="BU311" s="53"/>
      <c r="BV311" s="53"/>
      <c r="BW311" s="53"/>
      <c r="BX311" s="53"/>
      <c r="BY311" s="53"/>
      <c r="BZ311" s="53"/>
      <c r="CA311" s="53"/>
      <c r="CB311" s="53"/>
      <c r="CC311" s="53"/>
      <c r="CD311" s="53"/>
      <c r="CE311" s="53"/>
      <c r="CF311" s="53"/>
      <c r="CG311" s="53"/>
      <c r="CH311" s="53"/>
      <c r="CI311" s="53"/>
      <c r="CJ311" s="53"/>
      <c r="CK311" s="53"/>
      <c r="CL311" s="53"/>
      <c r="CM311" s="53"/>
      <c r="CN311" s="53"/>
      <c r="CO311" s="53"/>
      <c r="CP311" s="53"/>
      <c r="CQ311" s="53"/>
      <c r="CR311" s="1"/>
      <c r="CS311" s="1"/>
      <c r="CT311" s="1"/>
      <c r="CU311" s="1"/>
    </row>
    <row r="312" spans="1:99" s="13" customFormat="1" ht="12" customHeight="1" x14ac:dyDescent="0.2">
      <c r="A312" s="68">
        <v>43895</v>
      </c>
      <c r="B312" s="70"/>
      <c r="C312" s="67"/>
      <c r="D312" s="86"/>
      <c r="E312" s="87"/>
      <c r="F312" s="69"/>
      <c r="G312" s="69"/>
      <c r="H312" s="69"/>
      <c r="I312" s="69"/>
      <c r="J312" s="69"/>
      <c r="K312" s="107"/>
      <c r="L312" s="107"/>
      <c r="M312" s="69"/>
      <c r="N312" s="92"/>
      <c r="O312" s="69"/>
      <c r="P312" s="69"/>
      <c r="Q312" s="69"/>
      <c r="R312" s="69"/>
      <c r="S312" s="69"/>
      <c r="T312" s="69"/>
      <c r="U312" s="60"/>
      <c r="V312" s="69"/>
      <c r="W312" s="69"/>
      <c r="X312" s="69"/>
      <c r="Y312" s="87"/>
      <c r="Z312" s="69"/>
      <c r="AA312" s="69"/>
      <c r="AB312" s="69"/>
      <c r="AC312" s="72"/>
      <c r="AD312" s="69"/>
      <c r="AE312" s="69"/>
      <c r="AF312" s="88"/>
      <c r="AG312" s="72"/>
      <c r="AH312" s="4"/>
      <c r="AI312" s="72"/>
      <c r="AJ312" s="110"/>
      <c r="AK312" s="72"/>
      <c r="AL312" s="72"/>
      <c r="AM312" s="72"/>
      <c r="AN312" s="72"/>
      <c r="AO312" s="89"/>
      <c r="AP312" s="89"/>
      <c r="AQ312" s="90"/>
      <c r="AR312" s="117"/>
      <c r="AS312" s="91"/>
      <c r="AT312" s="91"/>
      <c r="AU312" s="3"/>
      <c r="AV312" s="71">
        <v>315360000</v>
      </c>
      <c r="AW312" s="71">
        <v>630720000</v>
      </c>
      <c r="AX312" s="71">
        <v>946080000</v>
      </c>
      <c r="AY312" s="71">
        <v>1261440000</v>
      </c>
      <c r="AZ312" s="53"/>
      <c r="BA312" s="53"/>
      <c r="BB312" s="53"/>
      <c r="BC312" s="53"/>
      <c r="BD312" s="53"/>
      <c r="BE312" s="53"/>
      <c r="BF312" s="53"/>
      <c r="BG312" s="53"/>
      <c r="BH312" s="53"/>
      <c r="BI312" s="53"/>
      <c r="BJ312" s="53"/>
      <c r="BK312" s="53"/>
      <c r="BL312" s="53"/>
      <c r="BM312" s="53"/>
      <c r="BN312" s="53"/>
      <c r="BO312" s="53"/>
      <c r="BP312" s="53"/>
      <c r="BQ312" s="53"/>
      <c r="BR312" s="53"/>
      <c r="BS312" s="53"/>
      <c r="BT312" s="53"/>
      <c r="BU312" s="53"/>
      <c r="BV312" s="53"/>
      <c r="BW312" s="53"/>
      <c r="BX312" s="53"/>
      <c r="BY312" s="53"/>
      <c r="BZ312" s="53"/>
      <c r="CA312" s="53"/>
      <c r="CB312" s="53"/>
      <c r="CC312" s="53"/>
      <c r="CD312" s="53"/>
      <c r="CE312" s="53"/>
      <c r="CF312" s="53"/>
      <c r="CG312" s="53"/>
      <c r="CH312" s="53"/>
      <c r="CI312" s="53"/>
      <c r="CJ312" s="53"/>
      <c r="CK312" s="53"/>
      <c r="CL312" s="53"/>
      <c r="CM312" s="53"/>
      <c r="CN312" s="53"/>
      <c r="CO312" s="53"/>
      <c r="CP312" s="53"/>
      <c r="CQ312" s="53"/>
      <c r="CR312" s="1"/>
      <c r="CS312" s="1"/>
      <c r="CT312" s="1"/>
      <c r="CU312" s="1"/>
    </row>
    <row r="313" spans="1:99" s="13" customFormat="1" ht="12" customHeight="1" x14ac:dyDescent="0.2">
      <c r="A313" s="68">
        <v>43895</v>
      </c>
      <c r="B313" s="70" t="s">
        <v>350</v>
      </c>
      <c r="C313" s="70" t="s">
        <v>393</v>
      </c>
      <c r="D313" s="69">
        <v>1991</v>
      </c>
      <c r="E313" s="87">
        <v>1</v>
      </c>
      <c r="F313" s="69">
        <v>7</v>
      </c>
      <c r="G313" s="69">
        <v>7</v>
      </c>
      <c r="H313" s="69" t="s">
        <v>38</v>
      </c>
      <c r="I313" s="69" t="s">
        <v>330</v>
      </c>
      <c r="J313" s="69" t="s">
        <v>342</v>
      </c>
      <c r="K313" s="69">
        <f>IF(J313="syllables",1,IF(J313="trigrams",2,IF(J313="strings",3,IF(J313="visual array",4,IF(J313="characters",5,IF(J313="letters",6,IF(J313="free forms",7,IF(J313="odors",8,IF(J313="words",9,IF(J313="pictures",10,IF(J313="object pictures",11,IF(J313="faces",12,IF(J313="names",13,IF(J313="idioms",14,IF(J313="grades",15,IF(J313="syllable-digit pairs",16,IF(J313="trigram-word pairs",17,IF(J313="word-digit pairs",18,IF(J313="English-Swahili pairs",19,IF(J313="spatial position",20,IF(J313="word pairs",21,IF(J313="word triads",22,IF(J313="generated words",23,IF(J313="word definition pairs",24,IF(J313="math problems",25,IF(J313="famous faces",26,IF(J313="famous names",27,IF(J313="famous voices",28,IF(J313="television programs",29,IF(J313="race horses",30,IF(J313="new vocabulary",31,IF(J313="sentences",32,IF(J313="concepts",33,IF(J313="ad slides",34,IF(J313="scenes",35,IF(J313="famous scenes",36,IF(J313="poems",37,IF(J313="walk",38,IF(J313="faces and events",39,IF(J313="events and names",40,IF(J313="flashbulb",41,IF(J313="stories",42,IF(J313="course material",43,IF(J313="autobiographical",44,IF(J313="novels",45,IF(J313="public events",46,"99"))))))))))))))))))))))))))))))))))))))))))))))</f>
        <v>26</v>
      </c>
      <c r="L313" s="69">
        <f>IF(J313="syllables",1,IF(J313="trigrams",1,IF(J313="strings",1,IF(J313="visual array",1,IF(J313="characters",1,IF(J313="letters",1,IF(J313="free forms",1,IF(J313="odors",2,IF(J313="words",2,IF(J313="pictures",2,IF(J313="object pictures",2,IF(J313="faces",2,IF(J313="names",2,IF(J313="idioms","2",IF(J313="grades",2,IF(J313="syllable-digit pairs",3,IF(J313="trigram-word pairs",3,IF(J313="word-digit pairs",3,IF(J313="English-Swahili pairs",3,IF(J313="spatial position",3,IF(J313="word pairs",4,IF(J313="word triads",4,IF(J313="generated words",4,IF(J313="word definition pairs",4,IF(J313="math problems",4,IF(J313="famous faces",4,IF(J313="famous names",4,IF(J313="famous voices",4,IF(J313="television programs",4,IF(J313="race horses",4,IF(J313="new vocabulary",4,IF(J313="sentences",5,IF(J313="concepts",5,IF(J313="ad slides",5,IF(J313="scenes",5,IF(J313="famous scenes",5,IF(J313="poems",6,IF(J313="walk",6,IF(J313="faces and events",6,IF(J313="events and names",6,IF(J313="flashbulb",7,IF(J313="stories",7,IF(J313="course material",7,IF(J313="autobiographical",7,IF(J313="novels",7,IF(J313="public events",7,"99"))))))))))))))))))))))))))))))))))))))))))))))</f>
        <v>4</v>
      </c>
      <c r="M313" s="69">
        <v>1</v>
      </c>
      <c r="N313" s="86">
        <v>2</v>
      </c>
      <c r="O313" s="69">
        <v>0</v>
      </c>
      <c r="P313" s="69"/>
      <c r="Q313" s="69" t="s">
        <v>174</v>
      </c>
      <c r="R313" s="69">
        <f>IF(Q313="Free Recall",1,IF(Q313="Cued Recall",2,IF(Q313="Recognition",3,IF(Q313="Multiple Choice",4,IF(Q313="Savings",5,IF(Q313="Stem Completion",6,IF(Q313="Fragment Completion",7,IF(Q313="anagram solution",8,IF(Q313="Matching",9,IF(Q313="Problem Solving",10,"99"))))))))))</f>
        <v>1</v>
      </c>
      <c r="S313" s="69" t="s">
        <v>49</v>
      </c>
      <c r="T313" s="92" t="s">
        <v>581</v>
      </c>
      <c r="U313" s="60">
        <f>IF(T313="within",1,0)</f>
        <v>1</v>
      </c>
      <c r="V313" s="92">
        <v>160</v>
      </c>
      <c r="W313" s="69">
        <f>F313*V313</f>
        <v>1120</v>
      </c>
      <c r="X313" s="69">
        <v>4</v>
      </c>
      <c r="Y313" s="87">
        <f>AV312</f>
        <v>315360000</v>
      </c>
      <c r="Z313" s="92" t="s">
        <v>329</v>
      </c>
      <c r="AA313" s="69">
        <f>40*365*24*60*60</f>
        <v>1261440000</v>
      </c>
      <c r="AB313" s="69" t="str">
        <f>IF(AA313&lt;60,"1",IF(AA313&lt;=43200,"2",IF(AA313&lt;=777600,"3","4")))</f>
        <v>4</v>
      </c>
      <c r="AC313" s="72">
        <f>AVERAGE(AV312:DA312)</f>
        <v>788400000</v>
      </c>
      <c r="AD313" s="69" t="str">
        <f>IF(AC313&lt;60,"1",IF(AC313&lt;=43200,"2",IF(AC313&lt;=777600,"3","4")))</f>
        <v>4</v>
      </c>
      <c r="AE313" s="87">
        <f>AA313-Y313</f>
        <v>946080000</v>
      </c>
      <c r="AF313" s="88">
        <f>AV313</f>
        <v>0.98039215686274506</v>
      </c>
      <c r="AG313" s="72">
        <f>((AW313-AV313)+(AX313-AW313)+(AY313-AX313))/3</f>
        <v>-0.16419575960465485</v>
      </c>
      <c r="AH313" s="4"/>
      <c r="AI313" s="72">
        <f>RSQ(AV313:AY313,AV312:AY312)</f>
        <v>0.84186208892881986</v>
      </c>
      <c r="AJ313" s="110">
        <f>SLOPE(AV313:AY313,AV312:AY312)</f>
        <v>-5.3535266115910935E-10</v>
      </c>
      <c r="AK313" s="72">
        <f>INTERCEPT(AV313:AY313,AV312:AY312)</f>
        <v>1.2364897178383549</v>
      </c>
      <c r="AL313" s="72">
        <f>INDEX(LINEST(LN(AV313:AY313),LN(AV312:AY312),TRUE,TRUE),3,1)</f>
        <v>0.63805176473178205</v>
      </c>
      <c r="AM313" s="72">
        <f>INDEX(LINEST(LN(AV313:AY313),LN(AV312:AY312)),1)</f>
        <v>-0.4436014153946779</v>
      </c>
      <c r="AN313" s="72">
        <f>EXP(INDEX(LINEST(LN(AV313:AY313),LN(AV312:AY312)),1,2))</f>
        <v>6567.4150129818217</v>
      </c>
      <c r="AO313" s="89">
        <f>INDEX(LINEST((AV313:AY313),LN(AV312:AY312),TRUE,TRUE),3,1)</f>
        <v>0.67334575830689347</v>
      </c>
      <c r="AP313" s="89">
        <f>INDEX(LINEST((AV313:AY313),LN(AV312:AY312)),1)</f>
        <v>-0.32424550239382299</v>
      </c>
      <c r="AQ313" s="90">
        <f>INDEX(LINEST(LN(AV313:AY313),SQRT(AV312:AY312),TRUE,TRUE),3,1)</f>
        <v>0.72961485232202106</v>
      </c>
      <c r="AR313" s="117">
        <f>INDEX(LINEST(LN(AV313:AY313),SQRT((AV312:AY312))),1)</f>
        <v>-3.7306331374605766E-5</v>
      </c>
      <c r="AS313" s="91">
        <f>INDEX(LINEST(1/(AV313:AY313),1/(SQRT(AV312:AY312)),TRUE,TRUE),3,1)</f>
        <v>0.50809390877642768</v>
      </c>
      <c r="AT313" s="91">
        <f>INDEX(LINEST(1/(AV313:AY313),1/SQRT(AV312:AY312)),1)</f>
        <v>-28347.255353939465</v>
      </c>
      <c r="AU313" s="3"/>
      <c r="AV313" s="95">
        <v>0.98039215686274506</v>
      </c>
      <c r="AW313" s="95">
        <v>1</v>
      </c>
      <c r="AX313" s="95">
        <v>0.78947368421052644</v>
      </c>
      <c r="AY313" s="95">
        <v>0.48780487804878053</v>
      </c>
      <c r="AZ313" s="53"/>
      <c r="BA313" s="53"/>
      <c r="BB313" s="53"/>
      <c r="BC313" s="53"/>
      <c r="BD313" s="53"/>
      <c r="BE313" s="53"/>
      <c r="BF313" s="53"/>
      <c r="BG313" s="53"/>
      <c r="BH313" s="53"/>
      <c r="BI313" s="53"/>
      <c r="BJ313" s="53"/>
      <c r="BK313" s="53"/>
      <c r="BL313" s="53"/>
      <c r="BM313" s="53"/>
      <c r="BN313" s="53"/>
      <c r="BO313" s="53"/>
      <c r="BP313" s="53"/>
      <c r="BQ313" s="53"/>
      <c r="BR313" s="53"/>
      <c r="BS313" s="53"/>
      <c r="BT313" s="53"/>
      <c r="BU313" s="53"/>
      <c r="BV313" s="53"/>
      <c r="BW313" s="53"/>
      <c r="BX313" s="53"/>
      <c r="BY313" s="53"/>
      <c r="BZ313" s="53"/>
      <c r="CA313" s="53"/>
      <c r="CB313" s="53"/>
      <c r="CC313" s="53"/>
      <c r="CD313" s="53"/>
      <c r="CE313" s="53"/>
      <c r="CF313" s="53"/>
      <c r="CG313" s="53"/>
      <c r="CH313" s="53"/>
      <c r="CI313" s="53"/>
      <c r="CJ313" s="53"/>
      <c r="CK313" s="53"/>
      <c r="CL313" s="53"/>
      <c r="CM313" s="53"/>
      <c r="CN313" s="53"/>
      <c r="CO313" s="53"/>
      <c r="CP313" s="53"/>
      <c r="CQ313" s="53"/>
      <c r="CR313" s="1"/>
      <c r="CS313" s="1"/>
      <c r="CT313" s="1"/>
      <c r="CU313" s="1"/>
    </row>
    <row r="314" spans="1:99" s="13" customFormat="1" ht="12" customHeight="1" x14ac:dyDescent="0.2">
      <c r="A314" s="68">
        <v>43978</v>
      </c>
      <c r="B314" s="70"/>
      <c r="C314" s="70"/>
      <c r="D314" s="69"/>
      <c r="E314" s="87"/>
      <c r="F314" s="69"/>
      <c r="G314" s="69"/>
      <c r="H314" s="69"/>
      <c r="I314" s="69"/>
      <c r="J314" s="69"/>
      <c r="K314" s="69"/>
      <c r="L314" s="69"/>
      <c r="M314" s="69"/>
      <c r="N314" s="86"/>
      <c r="O314" s="69"/>
      <c r="P314" s="69"/>
      <c r="Q314" s="69"/>
      <c r="R314" s="69"/>
      <c r="S314" s="69"/>
      <c r="T314" s="92"/>
      <c r="U314" s="69"/>
      <c r="V314" s="92"/>
      <c r="W314" s="69"/>
      <c r="X314" s="69"/>
      <c r="Y314" s="87"/>
      <c r="Z314" s="92"/>
      <c r="AA314" s="87"/>
      <c r="AB314" s="69"/>
      <c r="AC314" s="72"/>
      <c r="AD314" s="69"/>
      <c r="AE314" s="87"/>
      <c r="AF314" s="88"/>
      <c r="AG314" s="72"/>
      <c r="AH314" s="4"/>
      <c r="AI314" s="72"/>
      <c r="AJ314" s="110"/>
      <c r="AK314" s="72"/>
      <c r="AL314" s="72"/>
      <c r="AM314" s="72"/>
      <c r="AN314" s="72"/>
      <c r="AO314" s="89"/>
      <c r="AP314" s="89"/>
      <c r="AQ314" s="90"/>
      <c r="AR314" s="117"/>
      <c r="AS314" s="91"/>
      <c r="AT314" s="91"/>
      <c r="AU314" s="3"/>
      <c r="AV314" s="96">
        <f>60*30</f>
        <v>1800</v>
      </c>
      <c r="AW314" s="96">
        <f>60*60*24</f>
        <v>86400</v>
      </c>
      <c r="AX314" s="96">
        <f>60*60*24*7</f>
        <v>604800</v>
      </c>
      <c r="AY314" s="96">
        <f>60*60*24*7*2</f>
        <v>1209600</v>
      </c>
      <c r="AZ314" s="96">
        <f>60*60*24*7*4</f>
        <v>2419200</v>
      </c>
      <c r="BA314" s="53"/>
      <c r="BB314" s="53"/>
      <c r="BC314" s="53"/>
      <c r="BD314" s="53"/>
      <c r="BE314" s="53"/>
      <c r="BF314" s="53"/>
      <c r="BG314" s="53"/>
      <c r="BH314" s="53"/>
      <c r="BI314" s="53"/>
      <c r="BJ314" s="53"/>
      <c r="BK314" s="53"/>
      <c r="BL314" s="53"/>
      <c r="BM314" s="53"/>
      <c r="BN314" s="53"/>
      <c r="BO314" s="53"/>
      <c r="BP314" s="53"/>
      <c r="BQ314" s="53"/>
      <c r="BR314" s="53"/>
      <c r="BS314" s="53"/>
      <c r="BT314" s="53"/>
      <c r="BU314" s="53"/>
      <c r="BV314" s="53"/>
      <c r="BW314" s="53"/>
      <c r="BX314" s="53"/>
      <c r="BY314" s="53"/>
      <c r="BZ314" s="53"/>
      <c r="CA314" s="53"/>
      <c r="CB314" s="53"/>
      <c r="CC314" s="53"/>
      <c r="CD314" s="53"/>
      <c r="CE314" s="53"/>
      <c r="CF314" s="53"/>
      <c r="CG314" s="53"/>
      <c r="CH314" s="53"/>
      <c r="CI314" s="53"/>
      <c r="CJ314" s="53"/>
      <c r="CK314" s="53"/>
      <c r="CL314" s="53"/>
      <c r="CM314" s="53"/>
      <c r="CN314" s="53"/>
      <c r="CO314" s="53"/>
      <c r="CP314" s="53"/>
      <c r="CQ314" s="53"/>
      <c r="CR314" s="1"/>
      <c r="CS314" s="1"/>
      <c r="CT314" s="1"/>
      <c r="CU314" s="1"/>
    </row>
    <row r="315" spans="1:99" s="13" customFormat="1" ht="12" customHeight="1" x14ac:dyDescent="0.2">
      <c r="A315" s="68">
        <v>43978</v>
      </c>
      <c r="B315" s="70" t="s">
        <v>967</v>
      </c>
      <c r="C315" s="70" t="s">
        <v>54</v>
      </c>
      <c r="D315" s="69">
        <v>2010</v>
      </c>
      <c r="E315" s="87">
        <v>1</v>
      </c>
      <c r="F315" s="69">
        <v>8</v>
      </c>
      <c r="G315" s="69">
        <v>8</v>
      </c>
      <c r="H315" s="69" t="s">
        <v>41</v>
      </c>
      <c r="I315" s="69" t="s">
        <v>330</v>
      </c>
      <c r="J315" s="69" t="s">
        <v>677</v>
      </c>
      <c r="K315" s="69">
        <f>IF(J315="syllables",1,IF(J315="trigrams",2,IF(J315="strings",3,IF(J315="visual array",4,IF(J315="characters",5,IF(J315="letters",6,IF(J315="free forms",7,IF(J315="odors",8,IF(J315="words",9,IF(J315="pictures",10,IF(J315="object pictures",11,IF(J315="faces",12,IF(J315="names",13,IF(J315="idioms",14,IF(J315="grades",15,IF(J315="syllable-digit pairs",16,IF(J315="trigram-word pairs",17,IF(J315="word-digit pairs",18,IF(J315="English-Swahili pairs",19,IF(J315="spatial position",20,IF(J315="word pairs",21,IF(J315="word triads",22,IF(J315="generated words",23,IF(J315="word definition pairs",24,IF(J315="math problems",25,IF(J315="famous faces",26,IF(J315="famous names",27,IF(J315="famous voices",28,IF(J315="television programs",29,IF(J315="race horses",30,IF(J315="new vocabulary",31,IF(J315="sentences",32,IF(J315="concepts",33,IF(J315="ad slides",34,IF(J315="scenes",35,IF(J315="famous scenes",36,IF(J315="poems",37,IF(J315="walk",38,IF(J315="faces and events",39,IF(J315="events and names",40,IF(J315="flashbulb",41,IF(J315="stories",42,IF(J315="course material",43,IF(J315="autobiographical",44,IF(J315="novels",45,IF(J315="public events",46,"99"))))))))))))))))))))))))))))))))))))))))))))))</f>
        <v>42</v>
      </c>
      <c r="L315" s="69">
        <f>IF(J315="syllables",1,IF(J315="trigrams",1,IF(J315="strings",1,IF(J315="visual array",1,IF(J315="characters",1,IF(J315="letters",1,IF(J315="free forms",1,IF(J315="odors",2,IF(J315="words",2,IF(J315="pictures",2,IF(J315="object pictures",2,IF(J315="faces",2,IF(J315="names",2,IF(J315="idioms","2",IF(J315="grades",2,IF(J315="syllable-digit pairs",3,IF(J315="trigram-word pairs",3,IF(J315="word-digit pairs",3,IF(J315="English-Swahili pairs",3,IF(J315="spatial position",3,IF(J315="word pairs",4,IF(J315="word triads",4,IF(J315="generated words",4,IF(J315="word definition pairs",4,IF(J315="math problems",4,IF(J315="famous faces",4,IF(J315="famous names",4,IF(J315="famous voices",4,IF(J315="television programs",4,IF(J315="race horses",4,IF(J315="new vocabulary",4,IF(J315="sentences",5,IF(J315="concepts",5,IF(J315="ad slides",5,IF(J315="scenes",5,IF(J315="famous scenes",5,IF(J315="poems",6,IF(J315="walk",6,IF(J315="faces and events",6,IF(J315="events and names",6,IF(J315="flashbulb",7,IF(J315="stories",7,IF(J315="course material",7,IF(J315="autobiographical",7,IF(J315="novels",7,IF(J315="public events",7,"99"))))))))))))))))))))))))))))))))))))))))))))))</f>
        <v>7</v>
      </c>
      <c r="M315" s="69">
        <v>0</v>
      </c>
      <c r="N315" s="86">
        <v>3</v>
      </c>
      <c r="O315" s="69">
        <v>0</v>
      </c>
      <c r="P315" s="69"/>
      <c r="Q315" s="69" t="s">
        <v>174</v>
      </c>
      <c r="R315" s="69">
        <f>IF(Q315="Free Recall",1,IF(Q315="Cued Recall",2,IF(Q315="Recognition",3,IF(Q315="Multiple Choice",4,IF(Q315="Savings",5,IF(Q315="Stem Completion",6,IF(Q315="Fragment Completion",7,IF(Q315="anagram solution",8,IF(Q315="Matching",9,IF(Q315="Problem Solving",10,"99"))))))))))</f>
        <v>1</v>
      </c>
      <c r="S315" s="69" t="s">
        <v>49</v>
      </c>
      <c r="T315" s="92" t="s">
        <v>581</v>
      </c>
      <c r="U315" s="69">
        <f>IF(T315="within",1,0)</f>
        <v>1</v>
      </c>
      <c r="V315" s="92">
        <v>100</v>
      </c>
      <c r="W315" s="69">
        <f>F315*V315</f>
        <v>800</v>
      </c>
      <c r="X315" s="69">
        <v>5</v>
      </c>
      <c r="Y315" s="87">
        <f>AV314</f>
        <v>1800</v>
      </c>
      <c r="Z315" s="69" t="s">
        <v>140</v>
      </c>
      <c r="AA315" s="69">
        <f>60*60*24*7*4</f>
        <v>2419200</v>
      </c>
      <c r="AB315" s="69" t="str">
        <f>IF(AA315&lt;60,"1",IF(AA315&lt;=43200,"2",IF(AA315&lt;=777600,"3","4")))</f>
        <v>4</v>
      </c>
      <c r="AC315" s="72">
        <f>AVERAGE(AV314:DA314)</f>
        <v>864360</v>
      </c>
      <c r="AD315" s="69" t="str">
        <f>IF(AC315&lt;60,"1",IF(AC315&lt;=43200,"2",IF(AC315&lt;=777600,"3","4")))</f>
        <v>4</v>
      </c>
      <c r="AE315" s="87">
        <f>AA315-Y315</f>
        <v>2417400</v>
      </c>
      <c r="AF315" s="88">
        <f>AV315</f>
        <v>0.69290777276523996</v>
      </c>
      <c r="AG315" s="72">
        <f>((AW315-AV315)+(AX315-AW315)+(AY315-AX315)+(AZ315-AY315))/4</f>
        <v>-0.14579812441953977</v>
      </c>
      <c r="AH315" s="4"/>
      <c r="AI315" s="72">
        <f>RSQ(AV315:AZ315,AV314:AZ314)</f>
        <v>0.82385463315680851</v>
      </c>
      <c r="AJ315" s="110">
        <f>SLOPE(AV315:AZ315,AV314:AZ314)</f>
        <v>-2.4050688725064167E-7</v>
      </c>
      <c r="AK315" s="72">
        <f>INTERCEPT(AV315:AZ315,AV314:AZ314)</f>
        <v>0.60106508567192218</v>
      </c>
      <c r="AL315" s="72">
        <f>INDEX(LINEST(LN(AV315:AZ315),LN(AV314:AZ314),TRUE,TRUE),3,1)</f>
        <v>0.71676751604264255</v>
      </c>
      <c r="AM315" s="72">
        <f>INDEX(LINEST(LN(AV315:AZ315),LN(AV314:AZ314)),1)</f>
        <v>-0.23360480330926128</v>
      </c>
      <c r="AN315" s="72">
        <f>EXP(INDEX(LINEST(LN(AV315:AZ315),LN(AV314:AZ314)),1,2))</f>
        <v>5.3839294601427516</v>
      </c>
      <c r="AO315" s="89">
        <f>INDEX(LINEST((AV315:AZ315),LN(AV314:AZ314),TRUE,TRUE),3,1)</f>
        <v>0.81727141866027808</v>
      </c>
      <c r="AP315" s="89">
        <f>INDEX(LINEST((AV315:AZ315),LN(AV314:AZ314)),1)</f>
        <v>-8.2207258993542406E-2</v>
      </c>
      <c r="AQ315" s="90">
        <f>INDEX(LINEST(LN(AV315:AZ315),SQRT(AV314:AZ314),TRUE,TRUE),3,1)</f>
        <v>0.97699843241319606</v>
      </c>
      <c r="AR315" s="117">
        <f>INDEX(LINEST(LN(AV315:AZ315),SQRT((AV314:AZ314))),1)</f>
        <v>-1.2987138114729179E-3</v>
      </c>
      <c r="AS315" s="91">
        <f>INDEX(LINEST(1/(AV315:AZ315),1/(SQRT(AV314:AZ314)),TRUE,TRUE),3,1)</f>
        <v>0.28502685854304305</v>
      </c>
      <c r="AT315" s="91">
        <f>INDEX(LINEST(1/(AV315:AZ315),1/SQRT(AV314:AZ314)),1)</f>
        <v>-175.2076316551433</v>
      </c>
      <c r="AU315" s="3"/>
      <c r="AV315" s="95">
        <v>0.69290777276523996</v>
      </c>
      <c r="AW315" s="95">
        <v>0.63717920136448247</v>
      </c>
      <c r="AX315" s="95">
        <v>0.34663873318003502</v>
      </c>
      <c r="AY315" s="95">
        <v>0.17946178064294999</v>
      </c>
      <c r="AZ315" s="73">
        <v>0.10971527508708101</v>
      </c>
      <c r="BA315" s="53"/>
      <c r="BB315" s="53"/>
      <c r="BC315" s="53"/>
      <c r="BD315" s="53"/>
      <c r="BE315" s="53"/>
      <c r="BF315" s="53"/>
      <c r="BG315" s="53"/>
      <c r="BH315" s="53"/>
      <c r="BI315" s="53"/>
      <c r="BJ315" s="53"/>
      <c r="BK315" s="53"/>
      <c r="BL315" s="53"/>
      <c r="BM315" s="53"/>
      <c r="BN315" s="53"/>
      <c r="BO315" s="53"/>
      <c r="BP315" s="53"/>
      <c r="BQ315" s="53"/>
      <c r="BR315" s="53"/>
      <c r="BS315" s="53"/>
      <c r="BT315" s="53"/>
      <c r="BU315" s="53"/>
      <c r="BV315" s="53"/>
      <c r="BW315" s="53"/>
      <c r="BX315" s="53"/>
      <c r="BY315" s="53"/>
      <c r="BZ315" s="53"/>
      <c r="CA315" s="53"/>
      <c r="CB315" s="53"/>
      <c r="CC315" s="53"/>
      <c r="CD315" s="53"/>
      <c r="CE315" s="53"/>
      <c r="CF315" s="53"/>
      <c r="CG315" s="53"/>
      <c r="CH315" s="53"/>
      <c r="CI315" s="53"/>
      <c r="CJ315" s="53"/>
      <c r="CK315" s="53"/>
      <c r="CL315" s="53"/>
      <c r="CM315" s="53"/>
      <c r="CN315" s="53"/>
      <c r="CO315" s="53"/>
      <c r="CP315" s="53"/>
      <c r="CQ315" s="53"/>
      <c r="CR315" s="1"/>
      <c r="CS315" s="1"/>
      <c r="CT315" s="1"/>
      <c r="CU315" s="1"/>
    </row>
    <row r="316" spans="1:99" s="13" customFormat="1" ht="12" customHeight="1" x14ac:dyDescent="0.2">
      <c r="A316" s="68">
        <v>43978</v>
      </c>
      <c r="B316" s="70"/>
      <c r="C316" s="70"/>
      <c r="D316" s="69"/>
      <c r="E316" s="87"/>
      <c r="F316" s="69"/>
      <c r="G316" s="69"/>
      <c r="H316" s="69"/>
      <c r="I316" s="69"/>
      <c r="J316" s="69"/>
      <c r="K316" s="69"/>
      <c r="L316" s="69"/>
      <c r="M316" s="69"/>
      <c r="N316" s="86"/>
      <c r="O316" s="69"/>
      <c r="P316" s="69"/>
      <c r="Q316" s="69"/>
      <c r="R316" s="69"/>
      <c r="S316" s="69"/>
      <c r="T316" s="92"/>
      <c r="U316" s="69"/>
      <c r="V316" s="92"/>
      <c r="W316" s="69"/>
      <c r="X316" s="69"/>
      <c r="Y316" s="87"/>
      <c r="Z316" s="92"/>
      <c r="AA316" s="87"/>
      <c r="AB316" s="69"/>
      <c r="AC316" s="72"/>
      <c r="AD316" s="69"/>
      <c r="AE316" s="87"/>
      <c r="AF316" s="88"/>
      <c r="AG316" s="72"/>
      <c r="AH316" s="4"/>
      <c r="AI316" s="72"/>
      <c r="AJ316" s="110"/>
      <c r="AK316" s="72"/>
      <c r="AL316" s="72"/>
      <c r="AM316" s="72"/>
      <c r="AN316" s="72"/>
      <c r="AO316" s="89"/>
      <c r="AP316" s="89"/>
      <c r="AQ316" s="90"/>
      <c r="AR316" s="117"/>
      <c r="AS316" s="91"/>
      <c r="AT316" s="91"/>
      <c r="AU316" s="3"/>
      <c r="AV316" s="96">
        <f>60*30</f>
        <v>1800</v>
      </c>
      <c r="AW316" s="96">
        <f>60*60*24</f>
        <v>86400</v>
      </c>
      <c r="AX316" s="96">
        <f>60*60*24*7</f>
        <v>604800</v>
      </c>
      <c r="AY316" s="96">
        <f>60*60*24*7*2</f>
        <v>1209600</v>
      </c>
      <c r="AZ316" s="96">
        <f>60*60*24*7*4</f>
        <v>2419200</v>
      </c>
      <c r="BA316" s="53"/>
      <c r="BB316" s="53"/>
      <c r="BC316" s="53"/>
      <c r="BD316" s="53"/>
      <c r="BE316" s="53"/>
      <c r="BF316" s="53"/>
      <c r="BG316" s="53"/>
      <c r="BH316" s="53"/>
      <c r="BI316" s="53"/>
      <c r="BJ316" s="53"/>
      <c r="BK316" s="53"/>
      <c r="BL316" s="53"/>
      <c r="BM316" s="53"/>
      <c r="BN316" s="53"/>
      <c r="BO316" s="53"/>
      <c r="BP316" s="53"/>
      <c r="BQ316" s="53"/>
      <c r="BR316" s="53"/>
      <c r="BS316" s="53"/>
      <c r="BT316" s="53"/>
      <c r="BU316" s="53"/>
      <c r="BV316" s="53"/>
      <c r="BW316" s="53"/>
      <c r="BX316" s="53"/>
      <c r="BY316" s="53"/>
      <c r="BZ316" s="53"/>
      <c r="CA316" s="53"/>
      <c r="CB316" s="53"/>
      <c r="CC316" s="53"/>
      <c r="CD316" s="53"/>
      <c r="CE316" s="53"/>
      <c r="CF316" s="53"/>
      <c r="CG316" s="53"/>
      <c r="CH316" s="53"/>
      <c r="CI316" s="53"/>
      <c r="CJ316" s="53"/>
      <c r="CK316" s="53"/>
      <c r="CL316" s="53"/>
      <c r="CM316" s="53"/>
      <c r="CN316" s="53"/>
      <c r="CO316" s="53"/>
      <c r="CP316" s="53"/>
      <c r="CQ316" s="53"/>
      <c r="CR316" s="1"/>
      <c r="CS316" s="1"/>
      <c r="CT316" s="1"/>
      <c r="CU316" s="1"/>
    </row>
    <row r="317" spans="1:99" s="13" customFormat="1" ht="12" customHeight="1" x14ac:dyDescent="0.2">
      <c r="A317" s="68">
        <v>43978</v>
      </c>
      <c r="B317" s="70" t="s">
        <v>967</v>
      </c>
      <c r="C317" s="70" t="s">
        <v>54</v>
      </c>
      <c r="D317" s="69">
        <v>2010</v>
      </c>
      <c r="E317" s="87">
        <v>1</v>
      </c>
      <c r="F317" s="69">
        <v>8</v>
      </c>
      <c r="G317" s="69">
        <v>8</v>
      </c>
      <c r="H317" s="69" t="s">
        <v>43</v>
      </c>
      <c r="I317" s="69" t="s">
        <v>330</v>
      </c>
      <c r="J317" s="69" t="s">
        <v>677</v>
      </c>
      <c r="K317" s="69">
        <f>IF(J317="syllables",1,IF(J317="trigrams",2,IF(J317="strings",3,IF(J317="visual array",4,IF(J317="characters",5,IF(J317="letters",6,IF(J317="free forms",7,IF(J317="odors",8,IF(J317="words",9,IF(J317="pictures",10,IF(J317="object pictures",11,IF(J317="faces",12,IF(J317="names",13,IF(J317="idioms",14,IF(J317="grades",15,IF(J317="syllable-digit pairs",16,IF(J317="trigram-word pairs",17,IF(J317="word-digit pairs",18,IF(J317="English-Swahili pairs",19,IF(J317="spatial position",20,IF(J317="word pairs",21,IF(J317="word triads",22,IF(J317="generated words",23,IF(J317="word definition pairs",24,IF(J317="math problems",25,IF(J317="famous faces",26,IF(J317="famous names",27,IF(J317="famous voices",28,IF(J317="television programs",29,IF(J317="race horses",30,IF(J317="new vocabulary",31,IF(J317="sentences",32,IF(J317="concepts",33,IF(J317="ad slides",34,IF(J317="scenes",35,IF(J317="famous scenes",36,IF(J317="poems",37,IF(J317="walk",38,IF(J317="faces and events",39,IF(J317="events and names",40,IF(J317="flashbulb",41,IF(J317="stories",42,IF(J317="course material",43,IF(J317="autobiographical",44,IF(J317="novels",45,IF(J317="public events",46,"99"))))))))))))))))))))))))))))))))))))))))))))))</f>
        <v>42</v>
      </c>
      <c r="L317" s="69">
        <f>IF(J317="syllables",1,IF(J317="trigrams",1,IF(J317="strings",1,IF(J317="visual array",1,IF(J317="characters",1,IF(J317="letters",1,IF(J317="free forms",1,IF(J317="odors",2,IF(J317="words",2,IF(J317="pictures",2,IF(J317="object pictures",2,IF(J317="faces",2,IF(J317="names",2,IF(J317="idioms","2",IF(J317="grades",2,IF(J317="syllable-digit pairs",3,IF(J317="trigram-word pairs",3,IF(J317="word-digit pairs",3,IF(J317="English-Swahili pairs",3,IF(J317="spatial position",3,IF(J317="word pairs",4,IF(J317="word triads",4,IF(J317="generated words",4,IF(J317="word definition pairs",4,IF(J317="math problems",4,IF(J317="famous faces",4,IF(J317="famous names",4,IF(J317="famous voices",4,IF(J317="television programs",4,IF(J317="race horses",4,IF(J317="new vocabulary",4,IF(J317="sentences",5,IF(J317="concepts",5,IF(J317="ad slides",5,IF(J317="scenes",5,IF(J317="famous scenes",5,IF(J317="poems",6,IF(J317="walk",6,IF(J317="faces and events",6,IF(J317="events and names",6,IF(J317="flashbulb",7,IF(J317="stories",7,IF(J317="course material",7,IF(J317="autobiographical",7,IF(J317="novels",7,IF(J317="public events",7,"99"))))))))))))))))))))))))))))))))))))))))))))))</f>
        <v>7</v>
      </c>
      <c r="M317" s="69">
        <v>0</v>
      </c>
      <c r="N317" s="86">
        <v>3</v>
      </c>
      <c r="O317" s="69">
        <v>0</v>
      </c>
      <c r="P317" s="69"/>
      <c r="Q317" s="69" t="s">
        <v>182</v>
      </c>
      <c r="R317" s="69">
        <f>IF(Q317="Free Recall",1,IF(Q317="Cued Recall",2,IF(Q317="Recognition",3,IF(Q317="Multiple Choice",4,IF(Q317="Savings",5,IF(Q317="Stem Completion",6,IF(Q317="Fragment Completion",7,IF(Q317="anagram solution",8,IF(Q317="Matching",9,IF(Q317="Problem Solving",10,"99"))))))))))</f>
        <v>4</v>
      </c>
      <c r="S317" s="69" t="s">
        <v>15</v>
      </c>
      <c r="T317" s="92" t="s">
        <v>581</v>
      </c>
      <c r="U317" s="69">
        <f>IF(T317="within",1,0)</f>
        <v>1</v>
      </c>
      <c r="V317" s="92">
        <v>60</v>
      </c>
      <c r="W317" s="69">
        <f>F317*V317</f>
        <v>480</v>
      </c>
      <c r="X317" s="69">
        <v>5</v>
      </c>
      <c r="Y317" s="87">
        <f>AV316</f>
        <v>1800</v>
      </c>
      <c r="Z317" s="69" t="s">
        <v>140</v>
      </c>
      <c r="AA317" s="69">
        <f>60*60*24*7*4</f>
        <v>2419200</v>
      </c>
      <c r="AB317" s="69" t="str">
        <f>IF(AA317&lt;60,"1",IF(AA317&lt;=43200,"2",IF(AA317&lt;=777600,"3","4")))</f>
        <v>4</v>
      </c>
      <c r="AC317" s="72">
        <f>AVERAGE(AV316:DA316)</f>
        <v>864360</v>
      </c>
      <c r="AD317" s="69" t="str">
        <f>IF(AC317&lt;60,"1",IF(AC317&lt;=43200,"2",IF(AC317&lt;=777600,"3","4")))</f>
        <v>4</v>
      </c>
      <c r="AE317" s="87">
        <f>AA317-Y317</f>
        <v>2417400</v>
      </c>
      <c r="AF317" s="88">
        <f>AV317</f>
        <v>1</v>
      </c>
      <c r="AG317" s="72">
        <f>((AW317-AV317)+(AX317-AW317)+(AY317-AX317)+(AZ317-AY317))/4</f>
        <v>-9.6049783549783746E-2</v>
      </c>
      <c r="AH317" s="4"/>
      <c r="AI317" s="72">
        <f>RSQ(AV317:AZ317,AV316:AZ316)</f>
        <v>0.92338458603030005</v>
      </c>
      <c r="AJ317" s="110">
        <f>SLOPE(AV317:AZ317,AV316:AZ316)</f>
        <v>-1.583930504747049E-7</v>
      </c>
      <c r="AK317" s="72">
        <f>INTERCEPT(AV317:AZ317,AV316:AZ316)</f>
        <v>0.96194469214438827</v>
      </c>
      <c r="AL317" s="72">
        <f>INDEX(LINEST(LN(AV317:AZ317),LN(AV316:AZ316),TRUE,TRUE),3,1)</f>
        <v>0.70063300002171425</v>
      </c>
      <c r="AM317" s="72">
        <f>INDEX(LINEST(LN(AV317:AZ317),LN(AV316:AZ316)),1)</f>
        <v>-5.9748803239064709E-2</v>
      </c>
      <c r="AN317" s="72">
        <f>EXP(INDEX(LINEST(LN(AV317:AZ317),LN(AV316:AZ316)),1,2))</f>
        <v>1.6795285636145603</v>
      </c>
      <c r="AO317" s="89">
        <f>INDEX(LINEST((AV317:AZ317),LN(AV316:AZ316),TRUE,TRUE),3,1)</f>
        <v>0.7416958165877493</v>
      </c>
      <c r="AP317" s="89">
        <f>INDEX(LINEST((AV317:AZ317),LN(AV316:AZ316)),1)</f>
        <v>-4.871722208643095E-2</v>
      </c>
      <c r="AQ317" s="90">
        <f>INDEX(LINEST(LN(AV317:AZ317),SQRT(AV316:AZ316),TRUE,TRUE),3,1)</f>
        <v>0.95707358315765789</v>
      </c>
      <c r="AR317" s="117">
        <f>INDEX(LINEST(LN(AV317:AZ317),SQRT((AV316:AZ316))),1)</f>
        <v>-3.3252974228787638E-4</v>
      </c>
      <c r="AS317" s="91">
        <f>INDEX(LINEST(1/(AV317:AZ317),1/(SQRT(AV316:AZ316)),TRUE,TRUE),3,1)</f>
        <v>0.36752245524422511</v>
      </c>
      <c r="AT317" s="91">
        <f>INDEX(LINEST(1/(AV317:AZ317),1/SQRT(AV316:AZ316)),1)</f>
        <v>-16.284731214684022</v>
      </c>
      <c r="AU317" s="3"/>
      <c r="AV317" s="95">
        <v>1</v>
      </c>
      <c r="AW317" s="95">
        <v>0.9476911976911917</v>
      </c>
      <c r="AX317" s="95">
        <v>0.86471861471860834</v>
      </c>
      <c r="AY317" s="95">
        <v>0.69696969696969668</v>
      </c>
      <c r="AZ317" s="73">
        <v>0.61580086580086502</v>
      </c>
      <c r="BA317" s="53"/>
      <c r="BB317" s="53"/>
      <c r="BC317" s="53"/>
      <c r="BD317" s="53"/>
      <c r="BE317" s="53"/>
      <c r="BF317" s="53"/>
      <c r="BG317" s="53"/>
      <c r="BH317" s="53"/>
      <c r="BI317" s="53"/>
      <c r="BJ317" s="53"/>
      <c r="BK317" s="53"/>
      <c r="BL317" s="53"/>
      <c r="BM317" s="53"/>
      <c r="BN317" s="53"/>
      <c r="BO317" s="53"/>
      <c r="BP317" s="53"/>
      <c r="BQ317" s="53"/>
      <c r="BR317" s="53"/>
      <c r="BS317" s="53"/>
      <c r="BT317" s="53"/>
      <c r="BU317" s="53"/>
      <c r="BV317" s="53"/>
      <c r="BW317" s="53"/>
      <c r="BX317" s="53"/>
      <c r="BY317" s="53"/>
      <c r="BZ317" s="53"/>
      <c r="CA317" s="53"/>
      <c r="CB317" s="53"/>
      <c r="CC317" s="53"/>
      <c r="CD317" s="53"/>
      <c r="CE317" s="53"/>
      <c r="CF317" s="53"/>
      <c r="CG317" s="53"/>
      <c r="CH317" s="53"/>
      <c r="CI317" s="53"/>
      <c r="CJ317" s="53"/>
      <c r="CK317" s="53"/>
      <c r="CL317" s="53"/>
      <c r="CM317" s="53"/>
      <c r="CN317" s="53"/>
      <c r="CO317" s="53"/>
      <c r="CP317" s="53"/>
      <c r="CQ317" s="53"/>
      <c r="CR317" s="1"/>
      <c r="CS317" s="1"/>
      <c r="CT317" s="1"/>
      <c r="CU317" s="1"/>
    </row>
    <row r="318" spans="1:99" s="13" customFormat="1" ht="12" customHeight="1" x14ac:dyDescent="0.2">
      <c r="A318" s="68">
        <v>43978</v>
      </c>
      <c r="B318" s="70"/>
      <c r="C318" s="70"/>
      <c r="D318" s="69"/>
      <c r="E318" s="87"/>
      <c r="F318" s="69"/>
      <c r="G318" s="69"/>
      <c r="H318" s="69"/>
      <c r="I318" s="69"/>
      <c r="J318" s="69"/>
      <c r="K318" s="69"/>
      <c r="L318" s="69"/>
      <c r="M318" s="69"/>
      <c r="N318" s="86"/>
      <c r="O318" s="69"/>
      <c r="P318" s="69"/>
      <c r="Q318" s="69"/>
      <c r="R318" s="69"/>
      <c r="S318" s="69"/>
      <c r="T318" s="92"/>
      <c r="U318" s="69"/>
      <c r="V318" s="92"/>
      <c r="W318" s="69"/>
      <c r="X318" s="69"/>
      <c r="Y318" s="87"/>
      <c r="Z318" s="92"/>
      <c r="AA318" s="87"/>
      <c r="AB318" s="69"/>
      <c r="AC318" s="72"/>
      <c r="AD318" s="69"/>
      <c r="AE318" s="87"/>
      <c r="AF318" s="88"/>
      <c r="AG318" s="72"/>
      <c r="AH318" s="4"/>
      <c r="AI318" s="72"/>
      <c r="AJ318" s="110"/>
      <c r="AK318" s="72"/>
      <c r="AL318" s="72"/>
      <c r="AM318" s="72"/>
      <c r="AN318" s="72"/>
      <c r="AO318" s="89"/>
      <c r="AP318" s="89"/>
      <c r="AQ318" s="90"/>
      <c r="AR318" s="117"/>
      <c r="AS318" s="91"/>
      <c r="AT318" s="91"/>
      <c r="AU318" s="3"/>
      <c r="AV318" s="96">
        <v>30</v>
      </c>
      <c r="AW318" s="96">
        <f>60*30</f>
        <v>1800</v>
      </c>
      <c r="AX318" s="96">
        <f>60*60*24</f>
        <v>86400</v>
      </c>
      <c r="AY318" s="96">
        <f>60*60*24*7</f>
        <v>604800</v>
      </c>
      <c r="AZ318" s="96">
        <f>60*60*24*7*4</f>
        <v>2419200</v>
      </c>
      <c r="BA318" s="53"/>
      <c r="BB318" s="11" t="s">
        <v>947</v>
      </c>
      <c r="BC318" s="53"/>
      <c r="BD318" s="53"/>
      <c r="BE318" s="53"/>
      <c r="BF318" s="53"/>
      <c r="BG318" s="53"/>
      <c r="BH318" s="53"/>
      <c r="BI318" s="53"/>
      <c r="BJ318" s="53"/>
      <c r="BK318" s="53"/>
      <c r="BL318" s="53"/>
      <c r="BM318" s="53"/>
      <c r="BN318" s="53"/>
      <c r="BO318" s="53"/>
      <c r="BP318" s="53"/>
      <c r="BQ318" s="53"/>
      <c r="BR318" s="53"/>
      <c r="BS318" s="53"/>
      <c r="BT318" s="53"/>
      <c r="BU318" s="53"/>
      <c r="BV318" s="53"/>
      <c r="BW318" s="53"/>
      <c r="BX318" s="53"/>
      <c r="BY318" s="53"/>
      <c r="BZ318" s="53"/>
      <c r="CA318" s="53"/>
      <c r="CB318" s="53"/>
      <c r="CC318" s="53"/>
      <c r="CD318" s="53"/>
      <c r="CE318" s="53"/>
      <c r="CF318" s="53"/>
      <c r="CG318" s="53"/>
      <c r="CH318" s="53"/>
      <c r="CI318" s="53"/>
      <c r="CJ318" s="53"/>
      <c r="CK318" s="53"/>
      <c r="CL318" s="53"/>
      <c r="CM318" s="53"/>
      <c r="CN318" s="53"/>
      <c r="CO318" s="53"/>
      <c r="CP318" s="53"/>
      <c r="CQ318" s="53"/>
      <c r="CR318" s="1"/>
      <c r="CS318" s="1"/>
      <c r="CT318" s="1"/>
      <c r="CU318" s="1"/>
    </row>
    <row r="319" spans="1:99" s="13" customFormat="1" ht="12" customHeight="1" x14ac:dyDescent="0.2">
      <c r="A319" s="68">
        <v>43978</v>
      </c>
      <c r="B319" s="70" t="s">
        <v>967</v>
      </c>
      <c r="C319" s="70" t="s">
        <v>54</v>
      </c>
      <c r="D319" s="69">
        <v>2010</v>
      </c>
      <c r="E319" s="87">
        <v>2</v>
      </c>
      <c r="F319" s="69">
        <v>6</v>
      </c>
      <c r="G319" s="69">
        <v>6</v>
      </c>
      <c r="H319" s="69" t="s">
        <v>17</v>
      </c>
      <c r="I319" s="69" t="s">
        <v>330</v>
      </c>
      <c r="J319" s="69" t="s">
        <v>677</v>
      </c>
      <c r="K319" s="69">
        <f>IF(J319="syllables",1,IF(J319="trigrams",2,IF(J319="strings",3,IF(J319="visual array",4,IF(J319="characters",5,IF(J319="letters",6,IF(J319="free forms",7,IF(J319="odors",8,IF(J319="words",9,IF(J319="pictures",10,IF(J319="object pictures",11,IF(J319="faces",12,IF(J319="names",13,IF(J319="idioms",14,IF(J319="grades",15,IF(J319="syllable-digit pairs",16,IF(J319="trigram-word pairs",17,IF(J319="word-digit pairs",18,IF(J319="English-Swahili pairs",19,IF(J319="spatial position",20,IF(J319="word pairs",21,IF(J319="word triads",22,IF(J319="generated words",23,IF(J319="word definition pairs",24,IF(J319="math problems",25,IF(J319="famous faces",26,IF(J319="famous names",27,IF(J319="famous voices",28,IF(J319="television programs",29,IF(J319="race horses",30,IF(J319="new vocabulary",31,IF(J319="sentences",32,IF(J319="concepts",33,IF(J319="ad slides",34,IF(J319="scenes",35,IF(J319="famous scenes",36,IF(J319="poems",37,IF(J319="walk",38,IF(J319="faces and events",39,IF(J319="events and names",40,IF(J319="flashbulb",41,IF(J319="stories",42,IF(J319="course material",43,IF(J319="autobiographical",44,IF(J319="novels",45,IF(J319="public events",46,"99"))))))))))))))))))))))))))))))))))))))))))))))</f>
        <v>42</v>
      </c>
      <c r="L319" s="69">
        <f>IF(J319="syllables",1,IF(J319="trigrams",1,IF(J319="strings",1,IF(J319="visual array",1,IF(J319="characters",1,IF(J319="letters",1,IF(J319="free forms",1,IF(J319="odors",2,IF(J319="words",2,IF(J319="pictures",2,IF(J319="object pictures",2,IF(J319="faces",2,IF(J319="names",2,IF(J319="idioms","2",IF(J319="grades",2,IF(J319="syllable-digit pairs",3,IF(J319="trigram-word pairs",3,IF(J319="word-digit pairs",3,IF(J319="English-Swahili pairs",3,IF(J319="spatial position",3,IF(J319="word pairs",4,IF(J319="word triads",4,IF(J319="generated words",4,IF(J319="word definition pairs",4,IF(J319="math problems",4,IF(J319="famous faces",4,IF(J319="famous names",4,IF(J319="famous voices",4,IF(J319="television programs",4,IF(J319="race horses",4,IF(J319="new vocabulary",4,IF(J319="sentences",5,IF(J319="concepts",5,IF(J319="ad slides",5,IF(J319="scenes",5,IF(J319="famous scenes",5,IF(J319="poems",6,IF(J319="walk",6,IF(J319="faces and events",6,IF(J319="events and names",6,IF(J319="flashbulb",7,IF(J319="stories",7,IF(J319="course material",7,IF(J319="autobiographical",7,IF(J319="novels",7,IF(J319="public events",7,"99"))))))))))))))))))))))))))))))))))))))))))))))</f>
        <v>7</v>
      </c>
      <c r="M319" s="69">
        <v>0</v>
      </c>
      <c r="N319" s="86">
        <v>3</v>
      </c>
      <c r="O319" s="69">
        <v>0</v>
      </c>
      <c r="P319" s="69"/>
      <c r="Q319" s="69" t="s">
        <v>174</v>
      </c>
      <c r="R319" s="69">
        <f>IF(Q319="Free Recall",1,IF(Q319="Cued Recall",2,IF(Q319="Recognition",3,IF(Q319="Multiple Choice",4,IF(Q319="Savings",5,IF(Q319="Stem Completion",6,IF(Q319="Fragment Completion",7,IF(Q319="anagram solution",8,IF(Q319="Matching",9,IF(Q319="Problem Solving",10,"99"))))))))))</f>
        <v>1</v>
      </c>
      <c r="S319" s="69" t="s">
        <v>49</v>
      </c>
      <c r="T319" s="92" t="s">
        <v>581</v>
      </c>
      <c r="U319" s="69">
        <f>IF(T319="within",1,0)</f>
        <v>1</v>
      </c>
      <c r="V319" s="92">
        <v>100</v>
      </c>
      <c r="W319" s="69">
        <f>F319*V319</f>
        <v>600</v>
      </c>
      <c r="X319" s="69">
        <v>5</v>
      </c>
      <c r="Y319" s="87">
        <f>AV318</f>
        <v>30</v>
      </c>
      <c r="Z319" s="69" t="s">
        <v>140</v>
      </c>
      <c r="AA319" s="69">
        <f>60*60*24*7*4</f>
        <v>2419200</v>
      </c>
      <c r="AB319" s="69" t="str">
        <f>IF(AA319&lt;60,"1",IF(AA319&lt;=43200,"2",IF(AA319&lt;=777600,"3","4")))</f>
        <v>4</v>
      </c>
      <c r="AC319" s="72">
        <f>AVERAGE(AV318:DA318)</f>
        <v>622446</v>
      </c>
      <c r="AD319" s="69" t="str">
        <f>IF(AC319&lt;60,"1",IF(AC319&lt;=43200,"2",IF(AC319&lt;=777600,"3","4")))</f>
        <v>3</v>
      </c>
      <c r="AE319" s="87">
        <f>AA319-Y319</f>
        <v>2419170</v>
      </c>
      <c r="AF319" s="88">
        <f>AV319</f>
        <v>0.86427919708029</v>
      </c>
      <c r="AG319" s="72">
        <f>((AW319-AV319)+(AX319-AW319)+(AY319-AX319)+(AZ319-AY319))/4</f>
        <v>-0.15787522810218918</v>
      </c>
      <c r="AH319" s="4"/>
      <c r="AI319" s="72">
        <f>RSQ(AV319:AZ319,AV318:AZ318)</f>
        <v>0.7805368808605565</v>
      </c>
      <c r="AJ319" s="110">
        <f>SLOPE(AV319:AZ319,AV318:AZ318)</f>
        <v>-2.2337629377032454E-7</v>
      </c>
      <c r="AK319" s="72">
        <f>INTERCEPT(AV319:AZ319,AV318:AZ318)</f>
        <v>0.72549041047917007</v>
      </c>
      <c r="AL319" s="72">
        <f>INDEX(LINEST(LN(AV319:AZ319),LN(AV318:AZ318),TRUE,TRUE),3,1)</f>
        <v>0.74817148307312331</v>
      </c>
      <c r="AM319" s="72">
        <f>INDEX(LINEST(LN(AV319:AZ319),LN(AV318:AZ318)),1)</f>
        <v>-0.10180611561737737</v>
      </c>
      <c r="AN319" s="72">
        <f>EXP(INDEX(LINEST(LN(AV319:AZ319),LN(AV318:AZ318)),1,2))</f>
        <v>1.4726490539837489</v>
      </c>
      <c r="AO319" s="89">
        <f>INDEX(LINEST((AV319:AZ319),LN(AV318:AZ318),TRUE,TRUE),3,1)</f>
        <v>0.85804872842697533</v>
      </c>
      <c r="AP319" s="89">
        <f>INDEX(LINEST((AV319:AZ319),LN(AV318:AZ318)),1)</f>
        <v>-5.2692927792355668E-2</v>
      </c>
      <c r="AQ319" s="90">
        <f>INDEX(LINEST(LN(AV319:AZ319),SQRT(AV318:AZ318),TRUE,TRUE),3,1)</f>
        <v>0.99310549068712317</v>
      </c>
      <c r="AR319" s="117">
        <f>INDEX(LINEST(LN(AV319:AZ319),SQRT((AV318:AZ318))),1)</f>
        <v>-8.3264907917431161E-4</v>
      </c>
      <c r="AS319" s="91">
        <f>INDEX(LINEST(1/(AV319:AZ319),1/(SQRT(AV318:AZ318)),TRUE,TRUE),3,1)</f>
        <v>0.23778181025826914</v>
      </c>
      <c r="AT319" s="91">
        <f>INDEX(LINEST(1/(AV319:AZ319),1/SQRT(AV318:AZ318)),1)</f>
        <v>-8.0540841792942253</v>
      </c>
      <c r="AU319" s="3"/>
      <c r="AV319" s="95">
        <v>0.86427919708029</v>
      </c>
      <c r="AW319" s="95">
        <v>0.77326642335766249</v>
      </c>
      <c r="AX319" s="95">
        <v>0.65510948905109501</v>
      </c>
      <c r="AY319" s="95">
        <v>0.40682025547445255</v>
      </c>
      <c r="AZ319" s="73">
        <v>0.23277828467153325</v>
      </c>
      <c r="BA319" s="53"/>
      <c r="BB319" s="53"/>
      <c r="BC319" s="53"/>
      <c r="BD319" s="53"/>
      <c r="BE319" s="53"/>
      <c r="BF319" s="53"/>
      <c r="BG319" s="53"/>
      <c r="BH319" s="53"/>
      <c r="BI319" s="53"/>
      <c r="BJ319" s="53"/>
      <c r="BK319" s="53"/>
      <c r="BL319" s="53"/>
      <c r="BM319" s="53"/>
      <c r="BN319" s="53"/>
      <c r="BO319" s="53"/>
      <c r="BP319" s="53"/>
      <c r="BQ319" s="53"/>
      <c r="BR319" s="53"/>
      <c r="BS319" s="53"/>
      <c r="BT319" s="53"/>
      <c r="BU319" s="53"/>
      <c r="BV319" s="53"/>
      <c r="BW319" s="53"/>
      <c r="BX319" s="53"/>
      <c r="BY319" s="53"/>
      <c r="BZ319" s="53"/>
      <c r="CA319" s="53"/>
      <c r="CB319" s="53"/>
      <c r="CC319" s="53"/>
      <c r="CD319" s="53"/>
      <c r="CE319" s="53"/>
      <c r="CF319" s="53"/>
      <c r="CG319" s="53"/>
      <c r="CH319" s="53"/>
      <c r="CI319" s="53"/>
      <c r="CJ319" s="53"/>
      <c r="CK319" s="53"/>
      <c r="CL319" s="53"/>
      <c r="CM319" s="53"/>
      <c r="CN319" s="53"/>
      <c r="CO319" s="53"/>
      <c r="CP319" s="53"/>
      <c r="CQ319" s="53"/>
      <c r="CR319" s="1"/>
      <c r="CS319" s="1"/>
      <c r="CT319" s="1"/>
      <c r="CU319" s="1"/>
    </row>
    <row r="320" spans="1:99" s="13" customFormat="1" ht="12" customHeight="1" x14ac:dyDescent="0.2">
      <c r="A320" s="68">
        <v>43978</v>
      </c>
      <c r="B320" s="70"/>
      <c r="C320" s="70"/>
      <c r="D320" s="69"/>
      <c r="E320" s="87"/>
      <c r="F320" s="69"/>
      <c r="G320" s="69"/>
      <c r="H320" s="69"/>
      <c r="I320" s="69"/>
      <c r="J320" s="69"/>
      <c r="K320" s="69"/>
      <c r="L320" s="69"/>
      <c r="M320" s="69"/>
      <c r="N320" s="86"/>
      <c r="O320" s="69"/>
      <c r="P320" s="69"/>
      <c r="Q320" s="69"/>
      <c r="R320" s="69"/>
      <c r="S320" s="69"/>
      <c r="T320" s="92"/>
      <c r="U320" s="69"/>
      <c r="V320" s="92"/>
      <c r="W320" s="69"/>
      <c r="X320" s="69"/>
      <c r="Y320" s="87"/>
      <c r="Z320" s="92"/>
      <c r="AA320" s="87"/>
      <c r="AB320" s="69"/>
      <c r="AC320" s="72"/>
      <c r="AD320" s="69"/>
      <c r="AE320" s="87"/>
      <c r="AF320" s="88"/>
      <c r="AG320" s="72"/>
      <c r="AH320" s="4"/>
      <c r="AI320" s="72"/>
      <c r="AJ320" s="110"/>
      <c r="AK320" s="72"/>
      <c r="AL320" s="72"/>
      <c r="AM320" s="72"/>
      <c r="AN320" s="72"/>
      <c r="AO320" s="89"/>
      <c r="AP320" s="89"/>
      <c r="AQ320" s="90"/>
      <c r="AR320" s="117"/>
      <c r="AS320" s="91"/>
      <c r="AT320" s="91"/>
      <c r="AU320" s="3"/>
      <c r="AV320" s="96">
        <f>60*30</f>
        <v>1800</v>
      </c>
      <c r="AW320" s="96">
        <f>60*60*24</f>
        <v>86400</v>
      </c>
      <c r="AX320" s="96">
        <f>60*60*24*7</f>
        <v>604800</v>
      </c>
      <c r="AY320" s="96">
        <f>60*60*24*7*4</f>
        <v>2419200</v>
      </c>
      <c r="AZ320" s="96"/>
      <c r="BA320" s="53"/>
      <c r="BB320" s="53"/>
      <c r="BC320" s="53"/>
      <c r="BD320" s="53"/>
      <c r="BE320" s="53"/>
      <c r="BF320" s="53"/>
      <c r="BG320" s="53"/>
      <c r="BH320" s="53"/>
      <c r="BI320" s="53"/>
      <c r="BJ320" s="53"/>
      <c r="BK320" s="53"/>
      <c r="BL320" s="53"/>
      <c r="BM320" s="53"/>
      <c r="BN320" s="53"/>
      <c r="BO320" s="53"/>
      <c r="BP320" s="53"/>
      <c r="BQ320" s="53"/>
      <c r="BR320" s="53"/>
      <c r="BS320" s="53"/>
      <c r="BT320" s="53"/>
      <c r="BU320" s="53"/>
      <c r="BV320" s="53"/>
      <c r="BW320" s="53"/>
      <c r="BX320" s="53"/>
      <c r="BY320" s="53"/>
      <c r="BZ320" s="53"/>
      <c r="CA320" s="53"/>
      <c r="CB320" s="53"/>
      <c r="CC320" s="53"/>
      <c r="CD320" s="53"/>
      <c r="CE320" s="53"/>
      <c r="CF320" s="53"/>
      <c r="CG320" s="53"/>
      <c r="CH320" s="53"/>
      <c r="CI320" s="53"/>
      <c r="CJ320" s="53"/>
      <c r="CK320" s="53"/>
      <c r="CL320" s="53"/>
      <c r="CM320" s="53"/>
      <c r="CN320" s="53"/>
      <c r="CO320" s="53"/>
      <c r="CP320" s="53"/>
      <c r="CQ320" s="53"/>
      <c r="CR320" s="1"/>
      <c r="CS320" s="1"/>
      <c r="CT320" s="1"/>
      <c r="CU320" s="1"/>
    </row>
    <row r="321" spans="1:99" s="13" customFormat="1" ht="12" customHeight="1" x14ac:dyDescent="0.2">
      <c r="A321" s="68">
        <v>43978</v>
      </c>
      <c r="B321" s="70" t="s">
        <v>967</v>
      </c>
      <c r="C321" s="70" t="s">
        <v>54</v>
      </c>
      <c r="D321" s="69">
        <v>2010</v>
      </c>
      <c r="E321" s="87">
        <v>2</v>
      </c>
      <c r="F321" s="69">
        <v>6</v>
      </c>
      <c r="G321" s="69">
        <v>6</v>
      </c>
      <c r="H321" s="69" t="s">
        <v>341</v>
      </c>
      <c r="I321" s="69" t="s">
        <v>330</v>
      </c>
      <c r="J321" s="69" t="s">
        <v>677</v>
      </c>
      <c r="K321" s="69">
        <f>IF(J321="syllables",1,IF(J321="trigrams",2,IF(J321="strings",3,IF(J321="visual array",4,IF(J321="characters",5,IF(J321="letters",6,IF(J321="free forms",7,IF(J321="odors",8,IF(J321="words",9,IF(J321="pictures",10,IF(J321="object pictures",11,IF(J321="faces",12,IF(J321="names",13,IF(J321="idioms",14,IF(J321="grades",15,IF(J321="syllable-digit pairs",16,IF(J321="trigram-word pairs",17,IF(J321="word-digit pairs",18,IF(J321="English-Swahili pairs",19,IF(J321="spatial position",20,IF(J321="word pairs",21,IF(J321="word triads",22,IF(J321="generated words",23,IF(J321="word definition pairs",24,IF(J321="math problems",25,IF(J321="famous faces",26,IF(J321="famous names",27,IF(J321="famous voices",28,IF(J321="television programs",29,IF(J321="race horses",30,IF(J321="new vocabulary",31,IF(J321="sentences",32,IF(J321="concepts",33,IF(J321="ad slides",34,IF(J321="scenes",35,IF(J321="famous scenes",36,IF(J321="poems",37,IF(J321="walk",38,IF(J321="faces and events",39,IF(J321="events and names",40,IF(J321="flashbulb",41,IF(J321="stories",42,IF(J321="course material",43,IF(J321="autobiographical",44,IF(J321="novels",45,IF(J321="public events",46,"99"))))))))))))))))))))))))))))))))))))))))))))))</f>
        <v>42</v>
      </c>
      <c r="L321" s="69">
        <f>IF(J321="syllables",1,IF(J321="trigrams",1,IF(J321="strings",1,IF(J321="visual array",1,IF(J321="characters",1,IF(J321="letters",1,IF(J321="free forms",1,IF(J321="odors",2,IF(J321="words",2,IF(J321="pictures",2,IF(J321="object pictures",2,IF(J321="faces",2,IF(J321="names",2,IF(J321="idioms","2",IF(J321="grades",2,IF(J321="syllable-digit pairs",3,IF(J321="trigram-word pairs",3,IF(J321="word-digit pairs",3,IF(J321="English-Swahili pairs",3,IF(J321="spatial position",3,IF(J321="word pairs",4,IF(J321="word triads",4,IF(J321="generated words",4,IF(J321="word definition pairs",4,IF(J321="math problems",4,IF(J321="famous faces",4,IF(J321="famous names",4,IF(J321="famous voices",4,IF(J321="television programs",4,IF(J321="race horses",4,IF(J321="new vocabulary",4,IF(J321="sentences",5,IF(J321="concepts",5,IF(J321="ad slides",5,IF(J321="scenes",5,IF(J321="famous scenes",5,IF(J321="poems",6,IF(J321="walk",6,IF(J321="faces and events",6,IF(J321="events and names",6,IF(J321="flashbulb",7,IF(J321="stories",7,IF(J321="course material",7,IF(J321="autobiographical",7,IF(J321="novels",7,IF(J321="public events",7,"99"))))))))))))))))))))))))))))))))))))))))))))))</f>
        <v>7</v>
      </c>
      <c r="M321" s="69">
        <v>0</v>
      </c>
      <c r="N321" s="86">
        <v>3</v>
      </c>
      <c r="O321" s="69">
        <v>0</v>
      </c>
      <c r="P321" s="69"/>
      <c r="Q321" s="69" t="s">
        <v>182</v>
      </c>
      <c r="R321" s="69">
        <f>IF(Q321="Free Recall",1,IF(Q321="Cued Recall",2,IF(Q321="Recognition",3,IF(Q321="Multiple Choice",4,IF(Q321="Savings",5,IF(Q321="Stem Completion",6,IF(Q321="Fragment Completion",7,IF(Q321="anagram solution",8,IF(Q321="Matching",9,IF(Q321="Problem Solving",10,"99"))))))))))</f>
        <v>4</v>
      </c>
      <c r="S321" s="69" t="s">
        <v>15</v>
      </c>
      <c r="T321" s="92" t="s">
        <v>581</v>
      </c>
      <c r="U321" s="69">
        <f>IF(T321="within",1,0)</f>
        <v>1</v>
      </c>
      <c r="V321" s="92">
        <v>60</v>
      </c>
      <c r="W321" s="69">
        <f>F321*V321</f>
        <v>360</v>
      </c>
      <c r="X321" s="69">
        <v>4</v>
      </c>
      <c r="Y321" s="87">
        <f>AV320</f>
        <v>1800</v>
      </c>
      <c r="Z321" s="69" t="s">
        <v>140</v>
      </c>
      <c r="AA321" s="69">
        <f>60*60*24*7*4</f>
        <v>2419200</v>
      </c>
      <c r="AB321" s="69" t="str">
        <f>IF(AA321&lt;60,"1",IF(AA321&lt;=43200,"2",IF(AA321&lt;=777600,"3","4")))</f>
        <v>4</v>
      </c>
      <c r="AC321" s="72">
        <f>AVERAGE(AV320:DA320)</f>
        <v>778050</v>
      </c>
      <c r="AD321" s="69" t="str">
        <f>IF(AC321&lt;60,"1",IF(AC321&lt;=43200,"2",IF(AC321&lt;=777600,"3","4")))</f>
        <v>4</v>
      </c>
      <c r="AE321" s="87">
        <f>AA321-Y321</f>
        <v>2417400</v>
      </c>
      <c r="AF321" s="88">
        <f>AV321</f>
        <v>0.90253411306042508</v>
      </c>
      <c r="AG321" s="72">
        <f>((AW321-AV321)+(AX321-AW321)+(AY321-AX321))/3</f>
        <v>-6.4435780810048637E-2</v>
      </c>
      <c r="AH321" s="4"/>
      <c r="AI321" s="72">
        <f>RSQ(AV321:AY321,AV320:AY320)</f>
        <v>0.84279284444656577</v>
      </c>
      <c r="AJ321" s="110">
        <f>SLOPE(AV321:AY321,AV320:AY320)</f>
        <v>-9.2317218240727427E-8</v>
      </c>
      <c r="AK321" s="72">
        <f>INTERCEPT(AV321:AY321,AV320:AY320)</f>
        <v>0.92278582620710159</v>
      </c>
      <c r="AL321" s="72">
        <f>INDEX(LINEST(LN(AV321:AY321),LN(AV320:AY320),TRUE,TRUE),3,1)</f>
        <v>0.49319656352748104</v>
      </c>
      <c r="AM321" s="72">
        <f>INDEX(LINEST(LN(AV321:AY321),LN(AV320:AY320)),1)</f>
        <v>-3.0566825183116993E-2</v>
      </c>
      <c r="AN321" s="72">
        <f>EXP(INDEX(LINEST(LN(AV321:AY321),LN(AV320:AY320)),1,2))</f>
        <v>1.2091957695632403</v>
      </c>
      <c r="AO321" s="89">
        <f>INDEX(LINEST((AV321:AY321),LN(AV320:AY320),TRUE,TRUE),3,1)</f>
        <v>0.47507217279366926</v>
      </c>
      <c r="AP321" s="89">
        <f>INDEX(LINEST((AV321:AY321),LN(AV320:AY320)),1)</f>
        <v>-2.4940454015267403E-2</v>
      </c>
      <c r="AQ321" s="90">
        <f>INDEX(LINEST(LN(AV321:AY321),SQRT(AV320:AY320),TRUE,TRUE),3,1)</f>
        <v>0.86074966965334221</v>
      </c>
      <c r="AR321" s="117">
        <f>INDEX(LINEST(LN(AV321:AY321),SQRT((AV320:AY320))),1)</f>
        <v>-1.8974493219686773E-4</v>
      </c>
      <c r="AS321" s="91">
        <f>INDEX(LINEST(1/(AV321:AY321),1/(SQRT(AV320:AY320)),TRUE,TRUE),3,1)</f>
        <v>0.18638893798785794</v>
      </c>
      <c r="AT321" s="91">
        <f>INDEX(LINEST(1/(AV321:AY321),1/SQRT(AV320:AY320)),1)</f>
        <v>-6.517214132517295</v>
      </c>
      <c r="AU321" s="3"/>
      <c r="AV321" s="95">
        <v>0.90253411306042508</v>
      </c>
      <c r="AW321" s="95">
        <v>0.97238466536711676</v>
      </c>
      <c r="AX321" s="95">
        <v>0.81968810916179324</v>
      </c>
      <c r="AY321" s="95">
        <v>0.70922677063027917</v>
      </c>
      <c r="AZ321" s="73"/>
      <c r="BA321" s="53"/>
      <c r="BB321" s="53"/>
      <c r="BC321" s="53"/>
      <c r="BD321" s="53"/>
      <c r="BE321" s="53"/>
      <c r="BF321" s="53"/>
      <c r="BG321" s="53"/>
      <c r="BH321" s="53"/>
      <c r="BI321" s="53"/>
      <c r="BJ321" s="53"/>
      <c r="BK321" s="53"/>
      <c r="BL321" s="53"/>
      <c r="BM321" s="53"/>
      <c r="BN321" s="53"/>
      <c r="BO321" s="53"/>
      <c r="BP321" s="53"/>
      <c r="BQ321" s="53"/>
      <c r="BR321" s="53"/>
      <c r="BS321" s="53"/>
      <c r="BT321" s="53"/>
      <c r="BU321" s="53"/>
      <c r="BV321" s="53"/>
      <c r="BW321" s="53"/>
      <c r="BX321" s="53"/>
      <c r="BY321" s="53"/>
      <c r="BZ321" s="53"/>
      <c r="CA321" s="53"/>
      <c r="CB321" s="53"/>
      <c r="CC321" s="53"/>
      <c r="CD321" s="53"/>
      <c r="CE321" s="53"/>
      <c r="CF321" s="53"/>
      <c r="CG321" s="53"/>
      <c r="CH321" s="53"/>
      <c r="CI321" s="53"/>
      <c r="CJ321" s="53"/>
      <c r="CK321" s="53"/>
      <c r="CL321" s="53"/>
      <c r="CM321" s="53"/>
      <c r="CN321" s="53"/>
      <c r="CO321" s="53"/>
      <c r="CP321" s="53"/>
      <c r="CQ321" s="53"/>
      <c r="CR321" s="1"/>
      <c r="CS321" s="1"/>
      <c r="CT321" s="1"/>
      <c r="CU321" s="1"/>
    </row>
    <row r="322" spans="1:99" ht="12" customHeight="1" x14ac:dyDescent="0.2">
      <c r="A322" s="68">
        <v>43509</v>
      </c>
      <c r="B322" s="94"/>
      <c r="C322" s="94"/>
      <c r="D322" s="92"/>
      <c r="E322" s="105"/>
      <c r="F322" s="92"/>
      <c r="G322" s="92"/>
      <c r="H322" s="92"/>
      <c r="I322" s="92"/>
      <c r="J322" s="92"/>
      <c r="K322" s="107"/>
      <c r="L322" s="107"/>
      <c r="M322" s="92"/>
      <c r="N322" s="92"/>
      <c r="O322" s="92"/>
      <c r="P322" s="92"/>
      <c r="Q322" s="92"/>
      <c r="R322" s="69"/>
      <c r="S322" s="69"/>
      <c r="T322" s="92"/>
      <c r="U322" s="60"/>
      <c r="V322" s="92"/>
      <c r="W322" s="69"/>
      <c r="X322" s="92"/>
      <c r="Y322" s="87"/>
      <c r="Z322" s="92"/>
      <c r="AA322" s="92"/>
      <c r="AB322" s="69"/>
      <c r="AC322" s="69"/>
      <c r="AD322" s="69"/>
      <c r="AE322" s="69"/>
      <c r="AF322" s="88"/>
      <c r="AG322" s="72"/>
      <c r="AH322" s="4"/>
      <c r="AI322" s="119"/>
      <c r="AJ322" s="120"/>
      <c r="AK322" s="119"/>
      <c r="AL322" s="119"/>
      <c r="AM322" s="119"/>
      <c r="AN322" s="108"/>
      <c r="AO322" s="108"/>
      <c r="AP322" s="108"/>
      <c r="AQ322" s="108"/>
      <c r="AR322" s="113"/>
      <c r="AS322" s="108"/>
      <c r="AT322" s="108"/>
      <c r="AU322" s="4"/>
      <c r="AV322" s="122">
        <f>10*60</f>
        <v>600</v>
      </c>
      <c r="AW322" s="98">
        <f>24*3600</f>
        <v>86400</v>
      </c>
      <c r="AX322" s="122">
        <f>7*24*3600</f>
        <v>604800</v>
      </c>
      <c r="AY322" s="122">
        <f>30*24*3600</f>
        <v>2592000</v>
      </c>
      <c r="AZ322" s="11" t="s">
        <v>516</v>
      </c>
      <c r="BA322" s="11"/>
      <c r="BB322" s="11"/>
      <c r="BC322" s="11"/>
      <c r="BD322" s="11"/>
      <c r="BE322" s="11"/>
      <c r="BF322" s="11"/>
      <c r="BG322" s="11"/>
      <c r="BH322" s="11"/>
      <c r="BI322" s="11"/>
      <c r="BJ322" s="11"/>
      <c r="BK322" s="11"/>
      <c r="BL322" s="11"/>
      <c r="BM322" s="11"/>
      <c r="BN322" s="11"/>
      <c r="BO322" s="11"/>
      <c r="BP322" s="11"/>
      <c r="BQ322" s="11"/>
      <c r="BR322" s="11"/>
      <c r="BS322" s="11"/>
      <c r="BT322" s="11"/>
      <c r="BU322" s="11"/>
      <c r="BV322" s="11"/>
      <c r="BW322" s="11"/>
      <c r="BX322" s="11"/>
      <c r="BY322" s="11"/>
      <c r="BZ322" s="11"/>
      <c r="CA322" s="11"/>
      <c r="CB322" s="11"/>
      <c r="CC322" s="11"/>
      <c r="CD322" s="11"/>
      <c r="CE322" s="11"/>
      <c r="CF322" s="11"/>
      <c r="CG322" s="11"/>
      <c r="CH322" s="11"/>
      <c r="CI322" s="11"/>
      <c r="CJ322" s="11"/>
      <c r="CK322" s="11"/>
      <c r="CL322" s="11"/>
      <c r="CM322" s="11"/>
      <c r="CN322" s="11"/>
      <c r="CO322" s="11"/>
      <c r="CP322" s="11"/>
      <c r="CQ322" s="11"/>
      <c r="CR322" s="15"/>
      <c r="CS322" s="15"/>
      <c r="CT322" s="15"/>
      <c r="CU322" s="15"/>
    </row>
    <row r="323" spans="1:99" ht="12" customHeight="1" x14ac:dyDescent="0.2">
      <c r="A323" s="68">
        <v>43509</v>
      </c>
      <c r="B323" s="94" t="s">
        <v>287</v>
      </c>
      <c r="C323" s="94" t="s">
        <v>70</v>
      </c>
      <c r="D323" s="92">
        <v>2008</v>
      </c>
      <c r="E323" s="105">
        <v>1</v>
      </c>
      <c r="F323" s="92">
        <v>128</v>
      </c>
      <c r="G323" s="92">
        <v>32</v>
      </c>
      <c r="H323" s="92" t="s">
        <v>38</v>
      </c>
      <c r="I323" s="92" t="s">
        <v>708</v>
      </c>
      <c r="J323" s="69" t="s">
        <v>715</v>
      </c>
      <c r="K323" s="69">
        <f>IF(J323="syllables",1,IF(J323="trigrams",2,IF(J323="strings",3,IF(J323="visual array",4,IF(J323="characters",5,IF(J323="letters",6,IF(J323="free forms",7,IF(J323="odors",8,IF(J323="words",9,IF(J323="pictures",10,IF(J323="object pictures",11,IF(J323="faces",12,IF(J323="names",13,IF(J323="idioms",14,IF(J323="grades",15,IF(J323="syllable-digit pairs",16,IF(J323="trigram-word pairs",17,IF(J323="word-digit pairs",18,IF(J323="English-Swahili pairs",19,IF(J323="spatial position",20,IF(J323="word pairs",21,IF(J323="word triads",22,IF(J323="generated words",23,IF(J323="word definition pairs",24,IF(J323="math problems",25,IF(J323="famous faces",26,IF(J323="famous names",27,IF(J323="famous voices",28,IF(J323="television programs",29,IF(J323="race horses",30,IF(J323="new vocabulary",31,IF(J323="sentences",32,IF(J323="concepts",33,IF(J323="ad slides",34,IF(J323="scenes",35,IF(J323="famous scenes",36,IF(J323="poems",37,IF(J323="walk",38,IF(J323="faces and events",39,IF(J323="events and names",40,IF(J323="flashbulb",41,IF(J323="stories",42,IF(J323="course material",43,IF(J323="autobiographical",44,IF(J323="novels",45,IF(J323="public events",46,"99"))))))))))))))))))))))))))))))))))))))))))))))</f>
        <v>38</v>
      </c>
      <c r="L323" s="69">
        <f>IF(J323="syllables",1,IF(J323="trigrams",1,IF(J323="strings",1,IF(J323="visual array",1,IF(J323="characters",1,IF(J323="letters",1,IF(J323="free forms",1,IF(J323="odors",2,IF(J323="words",2,IF(J323="pictures",2,IF(J323="object pictures",2,IF(J323="faces",2,IF(J323="names",2,IF(J323="idioms","2",IF(J323="grades",2,IF(J323="syllable-digit pairs",3,IF(J323="trigram-word pairs",3,IF(J323="word-digit pairs",3,IF(J323="English-Swahili pairs",3,IF(J323="spatial position",3,IF(J323="word pairs",4,IF(J323="word triads",4,IF(J323="generated words",4,IF(J323="word definition pairs",4,IF(J323="math problems",4,IF(J323="famous faces",4,IF(J323="famous names",4,IF(J323="famous voices",4,IF(J323="television programs",4,IF(J323="race horses",4,IF(J323="new vocabulary",4,IF(J323="sentences",5,IF(J323="concepts",5,IF(J323="ad slides",5,IF(J323="scenes",5,IF(J323="famous scenes",5,IF(J323="poems",6,IF(J323="walk",6,IF(J323="faces and events",6,IF(J323="events and names",6,IF(J323="flashbulb",7,IF(J323="stories",7,IF(J323="course material",7,IF(J323="autobiographical",7,IF(J323="novels",7,IF(J323="public events",7,"99"))))))))))))))))))))))))))))))))))))))))))))))</f>
        <v>6</v>
      </c>
      <c r="M323" s="92">
        <v>0</v>
      </c>
      <c r="N323" s="92">
        <v>2</v>
      </c>
      <c r="O323" s="92">
        <v>0</v>
      </c>
      <c r="P323" s="92"/>
      <c r="Q323" s="69" t="s">
        <v>174</v>
      </c>
      <c r="R323" s="69">
        <f>IF(Q323="Free Recall",1,IF(Q323="Cued Recall",2,IF(Q323="Recognition",3,IF(Q323="Multiple Choice",4,IF(Q323="Savings",5,IF(Q323="Stem Completion",6,IF(Q323="Fragment Completion",7,IF(Q323="anagram solution",8,IF(Q323="Matching",9,IF(Q323="Problem Solving",10,"99"))))))))))</f>
        <v>1</v>
      </c>
      <c r="S323" s="69" t="s">
        <v>49</v>
      </c>
      <c r="T323" s="92" t="s">
        <v>261</v>
      </c>
      <c r="U323" s="60">
        <f>IF(T323="within",1,0)</f>
        <v>0</v>
      </c>
      <c r="V323" s="92">
        <v>7</v>
      </c>
      <c r="W323" s="69">
        <f>F323*V323</f>
        <v>896</v>
      </c>
      <c r="X323" s="92">
        <v>4</v>
      </c>
      <c r="Y323" s="87">
        <f>AV322</f>
        <v>600</v>
      </c>
      <c r="Z323" s="92" t="s">
        <v>185</v>
      </c>
      <c r="AA323" s="92">
        <f>30*24*3600</f>
        <v>2592000</v>
      </c>
      <c r="AB323" s="69" t="str">
        <f>IF(AA323&lt;60,"1",IF(AA323&lt;=43200,"2",IF(AA323&lt;=777600,"3","4")))</f>
        <v>4</v>
      </c>
      <c r="AC323" s="72">
        <f>AVERAGE(AV322:DA322)</f>
        <v>820950</v>
      </c>
      <c r="AD323" s="69" t="str">
        <f>IF(AC323&lt;60,"1",IF(AC323&lt;=43200,"2",IF(AC323&lt;=777600,"3","4")))</f>
        <v>4</v>
      </c>
      <c r="AE323" s="87">
        <f>AA323-Y323</f>
        <v>2591400</v>
      </c>
      <c r="AF323" s="88">
        <f>AV323</f>
        <v>0.16</v>
      </c>
      <c r="AG323" s="72">
        <f>((AW323-AV323)+(AX323-AW323)+(AY323-AX323))/3</f>
        <v>-0.02</v>
      </c>
      <c r="AH323" s="4"/>
      <c r="AI323" s="72">
        <f>RSQ(AV323:AY323,AV322:AY322)</f>
        <v>0.974301249460645</v>
      </c>
      <c r="AJ323" s="110">
        <f>SLOPE(AV323:AY323,AV322:AY322)</f>
        <v>-2.5352621635718063E-8</v>
      </c>
      <c r="AK323" s="72">
        <f>INTERCEPT(AV323:AY323,AV322:AY322)</f>
        <v>0.16581323473184273</v>
      </c>
      <c r="AL323" s="72">
        <f>INDEX(LINEST(LN(AV323:AY323),LN(AV322:AY322),TRUE,TRUE),3,1)</f>
        <v>0.40837107875534878</v>
      </c>
      <c r="AM323" s="72">
        <f>INDEX(LINEST(LN(AV323:AY323),LN(AV322:AY322)),1)</f>
        <v>-4.1967432260001207E-2</v>
      </c>
      <c r="AN323" s="72">
        <f>EXP(INDEX(LINEST(LN(AV323:AY323),LN(AV322:AY322)),1,2))</f>
        <v>0.22990954882281231</v>
      </c>
      <c r="AO323" s="89">
        <f>INDEX(LINEST((AV323:AY323),LN(AV322:AY322),TRUE,TRUE),3,1)</f>
        <v>0.40902116950180967</v>
      </c>
      <c r="AP323" s="89">
        <f>INDEX(LINEST((AV323:AY323),LN(AV322:AY322)),1)</f>
        <v>-5.44431567781835E-3</v>
      </c>
      <c r="AQ323" s="90">
        <f>INDEX(LINEST(LN(AV323:AY323),SQRT(AV322:AY322),TRUE,TRUE),3,1)</f>
        <v>0.87499720120561086</v>
      </c>
      <c r="AR323" s="117">
        <f>INDEX(LINEST(LN(AV323:AY323),SQRT((AV322:AY322))),1)</f>
        <v>-3.2238437426126867E-4</v>
      </c>
      <c r="AS323" s="91">
        <f>INDEX(LINEST(1/(AV323:AY323),1/(SQRT(AV322:AY322)),TRUE,TRUE),3,1)</f>
        <v>0.14411314813708054</v>
      </c>
      <c r="AT323" s="91">
        <f>INDEX(LINEST(1/(AV323:AY323),1/SQRT(AV322:AY322)),1)</f>
        <v>-36.754729698797917</v>
      </c>
      <c r="AU323" s="3"/>
      <c r="AV323" s="121">
        <v>0.16</v>
      </c>
      <c r="AW323" s="97">
        <v>0.17</v>
      </c>
      <c r="AX323" s="121">
        <v>0.15</v>
      </c>
      <c r="AY323" s="121">
        <v>0.1</v>
      </c>
      <c r="AZ323" s="11"/>
      <c r="BA323" s="11"/>
      <c r="BB323" s="11"/>
      <c r="BC323" s="11"/>
      <c r="BD323" s="11"/>
      <c r="BE323" s="11"/>
      <c r="BF323" s="11"/>
      <c r="BG323" s="11"/>
      <c r="BH323" s="11"/>
      <c r="BI323" s="11"/>
      <c r="BJ323" s="11"/>
      <c r="BK323" s="11"/>
      <c r="BL323" s="11"/>
      <c r="BM323" s="11"/>
      <c r="BN323" s="11"/>
      <c r="BO323" s="11"/>
      <c r="BP323" s="11"/>
      <c r="BQ323" s="11"/>
      <c r="BR323" s="11"/>
      <c r="BS323" s="11"/>
      <c r="BT323" s="11"/>
      <c r="BU323" s="11"/>
      <c r="BV323" s="11"/>
      <c r="BW323" s="11"/>
      <c r="BX323" s="11"/>
      <c r="BY323" s="11"/>
      <c r="BZ323" s="11"/>
      <c r="CA323" s="11"/>
      <c r="CB323" s="11"/>
      <c r="CC323" s="11"/>
      <c r="CD323" s="11"/>
      <c r="CE323" s="11"/>
      <c r="CF323" s="11"/>
      <c r="CG323" s="11"/>
      <c r="CH323" s="11"/>
      <c r="CI323" s="11"/>
      <c r="CJ323" s="11"/>
      <c r="CK323" s="11"/>
      <c r="CL323" s="11"/>
      <c r="CM323" s="11"/>
      <c r="CN323" s="11"/>
      <c r="CO323" s="11"/>
      <c r="CP323" s="11"/>
      <c r="CQ323" s="11"/>
      <c r="CR323" s="15"/>
      <c r="CS323" s="15"/>
      <c r="CT323" s="15"/>
      <c r="CU323" s="15"/>
    </row>
    <row r="324" spans="1:99" ht="12" customHeight="1" x14ac:dyDescent="0.2">
      <c r="A324" s="68">
        <v>43509</v>
      </c>
      <c r="B324" s="94"/>
      <c r="C324" s="94"/>
      <c r="D324" s="92"/>
      <c r="E324" s="105"/>
      <c r="F324" s="92"/>
      <c r="G324" s="92"/>
      <c r="H324" s="92"/>
      <c r="I324" s="92"/>
      <c r="J324" s="92"/>
      <c r="K324" s="107"/>
      <c r="L324" s="107"/>
      <c r="M324" s="92"/>
      <c r="N324" s="92"/>
      <c r="O324" s="92"/>
      <c r="P324" s="92"/>
      <c r="Q324" s="92"/>
      <c r="R324" s="69"/>
      <c r="S324" s="69"/>
      <c r="T324" s="92"/>
      <c r="U324" s="60"/>
      <c r="V324" s="92"/>
      <c r="W324" s="69"/>
      <c r="X324" s="92"/>
      <c r="Y324" s="87"/>
      <c r="Z324" s="92"/>
      <c r="AA324" s="92"/>
      <c r="AB324" s="69"/>
      <c r="AC324" s="69"/>
      <c r="AD324" s="69"/>
      <c r="AE324" s="69"/>
      <c r="AF324" s="88"/>
      <c r="AG324" s="72"/>
      <c r="AH324" s="4"/>
      <c r="AI324" s="119"/>
      <c r="AJ324" s="120"/>
      <c r="AK324" s="119"/>
      <c r="AL324" s="119"/>
      <c r="AM324" s="119"/>
      <c r="AN324" s="108"/>
      <c r="AO324" s="108"/>
      <c r="AP324" s="108"/>
      <c r="AQ324" s="72"/>
      <c r="AR324" s="110"/>
      <c r="AS324" s="72"/>
      <c r="AT324" s="72"/>
      <c r="AU324" s="4"/>
      <c r="AV324" s="122">
        <f>10*60</f>
        <v>600</v>
      </c>
      <c r="AW324" s="98">
        <f>24*3600</f>
        <v>86400</v>
      </c>
      <c r="AX324" s="122">
        <f>7*24*3600</f>
        <v>604800</v>
      </c>
      <c r="AY324" s="122">
        <f>30*24*3600</f>
        <v>2592000</v>
      </c>
      <c r="AZ324" s="11"/>
      <c r="BA324" s="11"/>
      <c r="BB324" s="11"/>
      <c r="BC324" s="11"/>
      <c r="BD324" s="11"/>
      <c r="BE324" s="11"/>
      <c r="BF324" s="11"/>
      <c r="BG324" s="11"/>
      <c r="BH324" s="11"/>
      <c r="BI324" s="11"/>
      <c r="BJ324" s="11"/>
      <c r="BK324" s="11"/>
      <c r="BL324" s="11"/>
      <c r="BM324" s="11"/>
      <c r="BN324" s="11"/>
      <c r="BO324" s="11"/>
      <c r="BP324" s="11"/>
      <c r="BQ324" s="11"/>
      <c r="BR324" s="11"/>
      <c r="BS324" s="11"/>
      <c r="BT324" s="11"/>
      <c r="BU324" s="11"/>
      <c r="BV324" s="11"/>
      <c r="BW324" s="11"/>
      <c r="BX324" s="11"/>
      <c r="BY324" s="11"/>
      <c r="BZ324" s="11"/>
      <c r="CA324" s="11"/>
      <c r="CB324" s="11"/>
      <c r="CC324" s="11"/>
      <c r="CD324" s="11"/>
      <c r="CE324" s="11"/>
      <c r="CF324" s="11"/>
      <c r="CG324" s="11"/>
      <c r="CH324" s="11"/>
      <c r="CI324" s="11"/>
      <c r="CJ324" s="11"/>
      <c r="CK324" s="11"/>
      <c r="CL324" s="11"/>
      <c r="CM324" s="11"/>
      <c r="CN324" s="11"/>
      <c r="CO324" s="11"/>
      <c r="CP324" s="11"/>
      <c r="CQ324" s="11"/>
      <c r="CR324" s="15"/>
      <c r="CS324" s="15"/>
      <c r="CT324" s="15"/>
      <c r="CU324" s="15"/>
    </row>
    <row r="325" spans="1:99" ht="12" customHeight="1" x14ac:dyDescent="0.2">
      <c r="A325" s="68">
        <v>43509</v>
      </c>
      <c r="B325" s="94" t="s">
        <v>287</v>
      </c>
      <c r="C325" s="94" t="s">
        <v>70</v>
      </c>
      <c r="D325" s="92">
        <v>2008</v>
      </c>
      <c r="E325" s="105">
        <v>1</v>
      </c>
      <c r="F325" s="92">
        <v>128</v>
      </c>
      <c r="G325" s="92">
        <v>32</v>
      </c>
      <c r="H325" s="92" t="s">
        <v>38</v>
      </c>
      <c r="I325" s="92" t="s">
        <v>710</v>
      </c>
      <c r="J325" s="92" t="s">
        <v>715</v>
      </c>
      <c r="K325" s="69">
        <f>IF(J325="syllables",1,IF(J325="trigrams",2,IF(J325="strings",3,IF(J325="visual array",4,IF(J325="characters",5,IF(J325="letters",6,IF(J325="free forms",7,IF(J325="odors",8,IF(J325="words",9,IF(J325="pictures",10,IF(J325="object pictures",11,IF(J325="faces",12,IF(J325="names",13,IF(J325="idioms",14,IF(J325="grades",15,IF(J325="syllable-digit pairs",16,IF(J325="trigram-word pairs",17,IF(J325="word-digit pairs",18,IF(J325="English-Swahili pairs",19,IF(J325="spatial position",20,IF(J325="word pairs",21,IF(J325="word triads",22,IF(J325="generated words",23,IF(J325="word definition pairs",24,IF(J325="math problems",25,IF(J325="famous faces",26,IF(J325="famous names",27,IF(J325="famous voices",28,IF(J325="television programs",29,IF(J325="race horses",30,IF(J325="new vocabulary",31,IF(J325="sentences",32,IF(J325="concepts",33,IF(J325="ad slides",34,IF(J325="scenes",35,IF(J325="famous scenes",36,IF(J325="poems",37,IF(J325="walk",38,IF(J325="faces and events",39,IF(J325="events and names",40,IF(J325="flashbulb",41,IF(J325="stories",42,IF(J325="course material",43,IF(J325="autobiographical",44,IF(J325="novels",45,IF(J325="public events",46,"99"))))))))))))))))))))))))))))))))))))))))))))))</f>
        <v>38</v>
      </c>
      <c r="L325" s="69">
        <f>IF(J325="syllables",1,IF(J325="trigrams",1,IF(J325="strings",1,IF(J325="visual array",1,IF(J325="characters",1,IF(J325="letters",1,IF(J325="free forms",1,IF(J325="odors",2,IF(J325="words",2,IF(J325="pictures",2,IF(J325="object pictures",2,IF(J325="faces",2,IF(J325="names",2,IF(J325="idioms","2",IF(J325="grades",2,IF(J325="syllable-digit pairs",3,IF(J325="trigram-word pairs",3,IF(J325="word-digit pairs",3,IF(J325="English-Swahili pairs",3,IF(J325="spatial position",3,IF(J325="word pairs",4,IF(J325="word triads",4,IF(J325="generated words",4,IF(J325="word definition pairs",4,IF(J325="math problems",4,IF(J325="famous faces",4,IF(J325="famous names",4,IF(J325="famous voices",4,IF(J325="television programs",4,IF(J325="race horses",4,IF(J325="new vocabulary",4,IF(J325="sentences",5,IF(J325="concepts",5,IF(J325="ad slides",5,IF(J325="scenes",5,IF(J325="famous scenes",5,IF(J325="poems",6,IF(J325="walk",6,IF(J325="faces and events",6,IF(J325="events and names",6,IF(J325="flashbulb",7,IF(J325="stories",7,IF(J325="course material",7,IF(J325="autobiographical",7,IF(J325="novels",7,IF(J325="public events",7,"99"))))))))))))))))))))))))))))))))))))))))))))))</f>
        <v>6</v>
      </c>
      <c r="M325" s="92">
        <v>0</v>
      </c>
      <c r="N325" s="92">
        <v>2</v>
      </c>
      <c r="O325" s="92">
        <v>0</v>
      </c>
      <c r="P325" s="92"/>
      <c r="Q325" s="69" t="s">
        <v>174</v>
      </c>
      <c r="R325" s="69">
        <f>IF(Q325="Free Recall",1,IF(Q325="Cued Recall",2,IF(Q325="Recognition",3,IF(Q325="Multiple Choice",4,IF(Q325="Savings",5,IF(Q325="Stem Completion",6,IF(Q325="Fragment Completion",7,IF(Q325="anagram solution",8,IF(Q325="Matching",9,IF(Q325="Problem Solving",10,"99"))))))))))</f>
        <v>1</v>
      </c>
      <c r="S325" s="69" t="s">
        <v>49</v>
      </c>
      <c r="T325" s="92" t="s">
        <v>261</v>
      </c>
      <c r="U325" s="60">
        <f>IF(T325="within",1,0)</f>
        <v>0</v>
      </c>
      <c r="V325" s="92">
        <v>7</v>
      </c>
      <c r="W325" s="69">
        <f>F325*V325</f>
        <v>896</v>
      </c>
      <c r="X325" s="92">
        <v>4</v>
      </c>
      <c r="Y325" s="87">
        <f>AV324</f>
        <v>600</v>
      </c>
      <c r="Z325" s="92" t="s">
        <v>185</v>
      </c>
      <c r="AA325" s="92">
        <f>30*24*3600</f>
        <v>2592000</v>
      </c>
      <c r="AB325" s="69" t="str">
        <f>IF(AA325&lt;60,"1",IF(AA325&lt;=43200,"2",IF(AA325&lt;=777600,"3","4")))</f>
        <v>4</v>
      </c>
      <c r="AC325" s="72">
        <f>AVERAGE(AV324:DA324)</f>
        <v>820950</v>
      </c>
      <c r="AD325" s="69" t="str">
        <f>IF(AC325&lt;60,"1",IF(AC325&lt;=43200,"2",IF(AC325&lt;=777600,"3","4")))</f>
        <v>4</v>
      </c>
      <c r="AE325" s="87">
        <f>AA325-Y325</f>
        <v>2591400</v>
      </c>
      <c r="AF325" s="88">
        <f>AV325</f>
        <v>0.18</v>
      </c>
      <c r="AG325" s="72">
        <f>((AW325-AV325)+(AX325-AW325)+(AY325-AX325))/3</f>
        <v>-2.3333333333333331E-2</v>
      </c>
      <c r="AH325" s="4"/>
      <c r="AI325" s="72">
        <f>RSQ(AV325:AY325,AV324:AY324)</f>
        <v>0.61419082675250525</v>
      </c>
      <c r="AJ325" s="110">
        <f>SLOPE(AV325:AY325,AV324:AY324)</f>
        <v>-1.9059679050373741E-8</v>
      </c>
      <c r="AK325" s="72">
        <f>INTERCEPT(AV325:AY325,AV324:AY324)</f>
        <v>0.15564704351640435</v>
      </c>
      <c r="AL325" s="72">
        <f>INDEX(LINEST(LN(AV325:AY325),LN(AV324:AY324),TRUE,TRUE),3,1)</f>
        <v>0.9679827616941209</v>
      </c>
      <c r="AM325" s="72">
        <f>INDEX(LINEST(LN(AV325:AY325),LN(AV324:AY324)),1)</f>
        <v>-5.5159960492932612E-2</v>
      </c>
      <c r="AN325" s="72">
        <f>EXP(INDEX(LINEST(LN(AV325:AY325),LN(AV324:AY324)),1,2))</f>
        <v>0.25926365022647396</v>
      </c>
      <c r="AO325" s="89">
        <f>INDEX(LINEST((AV325:AY325),LN(AV324:AY324),TRUE,TRUE),3,1)</f>
        <v>0.98593797398143912</v>
      </c>
      <c r="AP325" s="89">
        <f>INDEX(LINEST((AV325:AY325),LN(AV324:AY324)),1)</f>
        <v>-8.0035539718811468E-3</v>
      </c>
      <c r="AQ325" s="90">
        <f>INDEX(LINEST(LN(AV325:AY325),SQRT(AV324:AY324),TRUE,TRUE),3,1)</f>
        <v>0.86001122725115164</v>
      </c>
      <c r="AR325" s="117">
        <f>INDEX(LINEST(LN(AV325:AY325),SQRT((AV324:AY324))),1)</f>
        <v>-2.7285250016351653E-4</v>
      </c>
      <c r="AS325" s="91">
        <f>INDEX(LINEST(1/(AV325:AY325),1/(SQRT(AV324:AY324)),TRUE,TRUE),3,1)</f>
        <v>0.7317543000104294</v>
      </c>
      <c r="AT325" s="91">
        <f>INDEX(LINEST(1/(AV325:AY325),1/SQRT(AV324:AY324)),1)</f>
        <v>-63.911195845707638</v>
      </c>
      <c r="AU325" s="3"/>
      <c r="AV325" s="121">
        <v>0.18</v>
      </c>
      <c r="AW325" s="97">
        <v>0.14000000000000001</v>
      </c>
      <c r="AX325" s="121">
        <v>0.13</v>
      </c>
      <c r="AY325" s="121">
        <v>0.11</v>
      </c>
      <c r="AZ325" s="11"/>
      <c r="BA325" s="11"/>
      <c r="BB325" s="11"/>
      <c r="BC325" s="11"/>
      <c r="BD325" s="11"/>
      <c r="BE325" s="11"/>
      <c r="BF325" s="11"/>
      <c r="BG325" s="11"/>
      <c r="BH325" s="11"/>
      <c r="BI325" s="11"/>
      <c r="BJ325" s="11"/>
      <c r="BK325" s="11"/>
      <c r="BL325" s="11"/>
      <c r="BM325" s="11"/>
      <c r="BN325" s="11"/>
      <c r="BO325" s="11"/>
      <c r="BP325" s="11"/>
      <c r="BQ325" s="11"/>
      <c r="BR325" s="11"/>
      <c r="BS325" s="11"/>
      <c r="BT325" s="11"/>
      <c r="BU325" s="11"/>
      <c r="BV325" s="11"/>
      <c r="BW325" s="11"/>
      <c r="BX325" s="11"/>
      <c r="BY325" s="11"/>
      <c r="BZ325" s="11"/>
      <c r="CA325" s="11"/>
      <c r="CB325" s="11"/>
      <c r="CC325" s="11"/>
      <c r="CD325" s="11"/>
      <c r="CE325" s="11"/>
      <c r="CF325" s="11"/>
      <c r="CG325" s="11"/>
      <c r="CH325" s="11"/>
      <c r="CI325" s="11"/>
      <c r="CJ325" s="11"/>
      <c r="CK325" s="11"/>
      <c r="CL325" s="11"/>
      <c r="CM325" s="11"/>
      <c r="CN325" s="11"/>
      <c r="CO325" s="11"/>
      <c r="CP325" s="11"/>
      <c r="CQ325" s="11"/>
      <c r="CR325" s="15"/>
      <c r="CS325" s="15"/>
      <c r="CT325" s="15"/>
      <c r="CU325" s="15"/>
    </row>
    <row r="326" spans="1:99" ht="12" customHeight="1" x14ac:dyDescent="0.2">
      <c r="A326" s="68">
        <v>43509</v>
      </c>
      <c r="B326" s="94"/>
      <c r="C326" s="94"/>
      <c r="D326" s="92"/>
      <c r="E326" s="105"/>
      <c r="F326" s="92"/>
      <c r="G326" s="92"/>
      <c r="H326" s="92"/>
      <c r="I326" s="92"/>
      <c r="J326" s="92"/>
      <c r="K326" s="107"/>
      <c r="L326" s="107"/>
      <c r="M326" s="92"/>
      <c r="N326" s="92"/>
      <c r="O326" s="92"/>
      <c r="P326" s="92"/>
      <c r="Q326" s="92"/>
      <c r="R326" s="69"/>
      <c r="S326" s="69"/>
      <c r="T326" s="92"/>
      <c r="U326" s="60"/>
      <c r="V326" s="92"/>
      <c r="W326" s="69"/>
      <c r="X326" s="92"/>
      <c r="Y326" s="87"/>
      <c r="Z326" s="92"/>
      <c r="AA326" s="92"/>
      <c r="AB326" s="69"/>
      <c r="AC326" s="69"/>
      <c r="AD326" s="69"/>
      <c r="AE326" s="69"/>
      <c r="AF326" s="88"/>
      <c r="AG326" s="72"/>
      <c r="AH326" s="4"/>
      <c r="AI326" s="119"/>
      <c r="AJ326" s="120"/>
      <c r="AK326" s="119"/>
      <c r="AL326" s="119"/>
      <c r="AM326" s="119"/>
      <c r="AN326" s="108"/>
      <c r="AO326" s="108"/>
      <c r="AP326" s="108"/>
      <c r="AQ326" s="72"/>
      <c r="AR326" s="110"/>
      <c r="AS326" s="72"/>
      <c r="AT326" s="72"/>
      <c r="AU326" s="4"/>
      <c r="AV326" s="122">
        <f>10*60</f>
        <v>600</v>
      </c>
      <c r="AW326" s="98">
        <f>24*3600</f>
        <v>86400</v>
      </c>
      <c r="AX326" s="122">
        <f>7*24*3600</f>
        <v>604800</v>
      </c>
      <c r="AY326" s="122">
        <f>30*24*3600</f>
        <v>2592000</v>
      </c>
      <c r="AZ326" s="11"/>
      <c r="BA326" s="11"/>
      <c r="BB326" s="11"/>
      <c r="BC326" s="11"/>
      <c r="BD326" s="11"/>
      <c r="BE326" s="11"/>
      <c r="BF326" s="11"/>
      <c r="BG326" s="11"/>
      <c r="BH326" s="11"/>
      <c r="BI326" s="11"/>
      <c r="BJ326" s="11"/>
      <c r="BK326" s="11"/>
      <c r="BL326" s="11"/>
      <c r="BM326" s="11"/>
      <c r="BN326" s="11"/>
      <c r="BO326" s="11"/>
      <c r="BP326" s="11"/>
      <c r="BQ326" s="11"/>
      <c r="BR326" s="11"/>
      <c r="BS326" s="11"/>
      <c r="BT326" s="11"/>
      <c r="BU326" s="11"/>
      <c r="BV326" s="11"/>
      <c r="BW326" s="11"/>
      <c r="BX326" s="11"/>
      <c r="BY326" s="11"/>
      <c r="BZ326" s="11"/>
      <c r="CA326" s="11"/>
      <c r="CB326" s="11"/>
      <c r="CC326" s="11"/>
      <c r="CD326" s="11"/>
      <c r="CE326" s="11"/>
      <c r="CF326" s="11"/>
      <c r="CG326" s="11"/>
      <c r="CH326" s="11"/>
      <c r="CI326" s="11"/>
      <c r="CJ326" s="11"/>
      <c r="CK326" s="11"/>
      <c r="CL326" s="11"/>
      <c r="CM326" s="11"/>
      <c r="CN326" s="11"/>
      <c r="CO326" s="11"/>
      <c r="CP326" s="11"/>
      <c r="CQ326" s="11"/>
      <c r="CR326" s="15"/>
      <c r="CS326" s="15"/>
      <c r="CT326" s="15"/>
      <c r="CU326" s="15"/>
    </row>
    <row r="327" spans="1:99" ht="12" customHeight="1" x14ac:dyDescent="0.2">
      <c r="A327" s="68">
        <v>43509</v>
      </c>
      <c r="B327" s="94" t="s">
        <v>287</v>
      </c>
      <c r="C327" s="94" t="s">
        <v>70</v>
      </c>
      <c r="D327" s="92">
        <v>2008</v>
      </c>
      <c r="E327" s="105">
        <v>1</v>
      </c>
      <c r="F327" s="92">
        <v>128</v>
      </c>
      <c r="G327" s="92">
        <v>32</v>
      </c>
      <c r="H327" s="92" t="s">
        <v>38</v>
      </c>
      <c r="I327" s="92" t="s">
        <v>916</v>
      </c>
      <c r="J327" s="92" t="s">
        <v>715</v>
      </c>
      <c r="K327" s="69">
        <f>IF(J327="syllables",1,IF(J327="trigrams",2,IF(J327="strings",3,IF(J327="visual array",4,IF(J327="characters",5,IF(J327="letters",6,IF(J327="free forms",7,IF(J327="odors",8,IF(J327="words",9,IF(J327="pictures",10,IF(J327="object pictures",11,IF(J327="faces",12,IF(J327="names",13,IF(J327="idioms",14,IF(J327="grades",15,IF(J327="syllable-digit pairs",16,IF(J327="trigram-word pairs",17,IF(J327="word-digit pairs",18,IF(J327="English-Swahili pairs",19,IF(J327="spatial position",20,IF(J327="word pairs",21,IF(J327="word triads",22,IF(J327="generated words",23,IF(J327="word definition pairs",24,IF(J327="math problems",25,IF(J327="famous faces",26,IF(J327="famous names",27,IF(J327="famous voices",28,IF(J327="television programs",29,IF(J327="race horses",30,IF(J327="new vocabulary",31,IF(J327="sentences",32,IF(J327="concepts",33,IF(J327="ad slides",34,IF(J327="scenes",35,IF(J327="famous scenes",36,IF(J327="poems",37,IF(J327="walk",38,IF(J327="faces and events",39,IF(J327="events and names",40,IF(J327="flashbulb",41,IF(J327="stories",42,IF(J327="course material",43,IF(J327="autobiographical",44,IF(J327="novels",45,IF(J327="public events",46,"99"))))))))))))))))))))))))))))))))))))))))))))))</f>
        <v>38</v>
      </c>
      <c r="L327" s="69">
        <f>IF(J327="syllables",1,IF(J327="trigrams",1,IF(J327="strings",1,IF(J327="visual array",1,IF(J327="characters",1,IF(J327="letters",1,IF(J327="free forms",1,IF(J327="odors",2,IF(J327="words",2,IF(J327="pictures",2,IF(J327="object pictures",2,IF(J327="faces",2,IF(J327="names",2,IF(J327="idioms","2",IF(J327="grades",2,IF(J327="syllable-digit pairs",3,IF(J327="trigram-word pairs",3,IF(J327="word-digit pairs",3,IF(J327="English-Swahili pairs",3,IF(J327="spatial position",3,IF(J327="word pairs",4,IF(J327="word triads",4,IF(J327="generated words",4,IF(J327="word definition pairs",4,IF(J327="math problems",4,IF(J327="famous faces",4,IF(J327="famous names",4,IF(J327="famous voices",4,IF(J327="television programs",4,IF(J327="race horses",4,IF(J327="new vocabulary",4,IF(J327="sentences",5,IF(J327="concepts",5,IF(J327="ad slides",5,IF(J327="scenes",5,IF(J327="famous scenes",5,IF(J327="poems",6,IF(J327="walk",6,IF(J327="faces and events",6,IF(J327="events and names",6,IF(J327="flashbulb",7,IF(J327="stories",7,IF(J327="course material",7,IF(J327="autobiographical",7,IF(J327="novels",7,IF(J327="public events",7,"99"))))))))))))))))))))))))))))))))))))))))))))))</f>
        <v>6</v>
      </c>
      <c r="M327" s="92">
        <v>0</v>
      </c>
      <c r="N327" s="92">
        <v>2</v>
      </c>
      <c r="O327" s="92">
        <v>0</v>
      </c>
      <c r="P327" s="92"/>
      <c r="Q327" s="69" t="s">
        <v>174</v>
      </c>
      <c r="R327" s="69">
        <f>IF(Q327="Free Recall",1,IF(Q327="Cued Recall",2,IF(Q327="Recognition",3,IF(Q327="Multiple Choice",4,IF(Q327="Savings",5,IF(Q327="Stem Completion",6,IF(Q327="Fragment Completion",7,IF(Q327="anagram solution",8,IF(Q327="Matching",9,IF(Q327="Problem Solving",10,"99"))))))))))</f>
        <v>1</v>
      </c>
      <c r="S327" s="69" t="s">
        <v>49</v>
      </c>
      <c r="T327" s="92" t="s">
        <v>261</v>
      </c>
      <c r="U327" s="60">
        <f>IF(T327="within",1,0)</f>
        <v>0</v>
      </c>
      <c r="V327" s="92">
        <v>7</v>
      </c>
      <c r="W327" s="69">
        <f>F327*V327</f>
        <v>896</v>
      </c>
      <c r="X327" s="92">
        <v>4</v>
      </c>
      <c r="Y327" s="87">
        <f>AV326</f>
        <v>600</v>
      </c>
      <c r="Z327" s="92" t="s">
        <v>185</v>
      </c>
      <c r="AA327" s="92">
        <f>30*24*3600</f>
        <v>2592000</v>
      </c>
      <c r="AB327" s="69" t="str">
        <f>IF(AA327&lt;60,"1",IF(AA327&lt;=43200,"2",IF(AA327&lt;=777600,"3","4")))</f>
        <v>4</v>
      </c>
      <c r="AC327" s="72">
        <f>AVERAGE(AV326:DA326)</f>
        <v>820950</v>
      </c>
      <c r="AD327" s="69" t="str">
        <f>IF(AC327&lt;60,"1",IF(AC327&lt;=43200,"2",IF(AC327&lt;=777600,"3","4")))</f>
        <v>4</v>
      </c>
      <c r="AE327" s="87">
        <f>AA327-Y327</f>
        <v>2591400</v>
      </c>
      <c r="AF327" s="88">
        <f>AV327</f>
        <v>0.26</v>
      </c>
      <c r="AG327" s="72">
        <f>((AW327-AV327)+(AX327-AW327)+(AY327-AX327))/3</f>
        <v>-6.6666666666666723E-3</v>
      </c>
      <c r="AH327" s="4"/>
      <c r="AI327" s="72">
        <f>RSQ(AV327:AY327,AV326:AY326)</f>
        <v>0.95138187620933634</v>
      </c>
      <c r="AJ327" s="110">
        <f>SLOPE(AV327:AY327,AV326:AY326)</f>
        <v>-8.0577782350244539E-9</v>
      </c>
      <c r="AK327" s="72">
        <f>INTERCEPT(AV327:AY327,AV326:AY326)</f>
        <v>0.26161503304204331</v>
      </c>
      <c r="AL327" s="72">
        <f>INDEX(LINEST(LN(AV327:AY327),LN(AV326:AY326),TRUE,TRUE),3,1)</f>
        <v>0.3643483434663104</v>
      </c>
      <c r="AM327" s="72">
        <f>INDEX(LINEST(LN(AV327:AY327),LN(AV326:AY326)),1)</f>
        <v>-6.6142744251778728E-3</v>
      </c>
      <c r="AN327" s="72">
        <f>EXP(INDEX(LINEST(LN(AV327:AY327),LN(AV326:AY326)),1,2))</f>
        <v>0.27491929812000332</v>
      </c>
      <c r="AO327" s="89">
        <f>INDEX(LINEST((AV327:AY327),LN(AV326:AY326),TRUE,TRUE),3,1)</f>
        <v>0.36434834346631062</v>
      </c>
      <c r="AP327" s="89">
        <f>INDEX(LINEST((AV327:AY327),LN(AV326:AY326)),1)</f>
        <v>-1.6526863264433673E-3</v>
      </c>
      <c r="AQ327" s="90">
        <f>INDEX(LINEST(LN(AV327:AY327),SQRT(AV326:AY326),TRUE,TRUE),3,1)</f>
        <v>0.79952398834155891</v>
      </c>
      <c r="AR327" s="117">
        <f>INDEX(LINEST(LN(AV327:AY327),SQRT((AV326:AY326))),1)</f>
        <v>-5.1419198373589748E-5</v>
      </c>
      <c r="AS327" s="91">
        <f>INDEX(LINEST(1/(AV327:AY327),1/(SQRT(AV326:AY326)),TRUE,TRUE),3,1)</f>
        <v>0.13827977209146772</v>
      </c>
      <c r="AT327" s="91">
        <f>INDEX(LINEST(1/(AV327:AY327),1/SQRT(AV326:AY326)),1)</f>
        <v>-3.0461223412901752</v>
      </c>
      <c r="AU327" s="3"/>
      <c r="AV327" s="121">
        <v>0.26</v>
      </c>
      <c r="AW327" s="97">
        <v>0.26</v>
      </c>
      <c r="AX327" s="121">
        <v>0.26</v>
      </c>
      <c r="AY327" s="121">
        <v>0.24</v>
      </c>
      <c r="AZ327" s="11"/>
      <c r="BA327" s="11"/>
      <c r="BB327" s="11"/>
      <c r="BC327" s="11"/>
      <c r="BD327" s="11"/>
      <c r="BE327" s="11"/>
      <c r="BF327" s="11"/>
      <c r="BG327" s="11"/>
      <c r="BH327" s="11"/>
      <c r="BI327" s="11"/>
      <c r="BJ327" s="11"/>
      <c r="BK327" s="11"/>
      <c r="BL327" s="11"/>
      <c r="BM327" s="11"/>
      <c r="BN327" s="11"/>
      <c r="BO327" s="11"/>
      <c r="BP327" s="11"/>
      <c r="BQ327" s="11"/>
      <c r="BR327" s="11"/>
      <c r="BS327" s="11"/>
      <c r="BT327" s="11"/>
      <c r="BU327" s="11"/>
      <c r="BV327" s="11"/>
      <c r="BW327" s="11"/>
      <c r="BX327" s="11"/>
      <c r="BY327" s="11"/>
      <c r="BZ327" s="11"/>
      <c r="CA327" s="11"/>
      <c r="CB327" s="11"/>
      <c r="CC327" s="11"/>
      <c r="CD327" s="11"/>
      <c r="CE327" s="11"/>
      <c r="CF327" s="11"/>
      <c r="CG327" s="11"/>
      <c r="CH327" s="11"/>
      <c r="CI327" s="11"/>
      <c r="CJ327" s="11"/>
      <c r="CK327" s="11"/>
      <c r="CL327" s="11"/>
      <c r="CM327" s="11"/>
      <c r="CN327" s="11"/>
      <c r="CO327" s="11"/>
      <c r="CP327" s="11"/>
      <c r="CQ327" s="11"/>
      <c r="CR327" s="15"/>
      <c r="CS327" s="15"/>
      <c r="CT327" s="15"/>
      <c r="CU327" s="15"/>
    </row>
    <row r="328" spans="1:99" ht="12" customHeight="1" x14ac:dyDescent="0.2">
      <c r="A328" s="68">
        <v>43509</v>
      </c>
      <c r="B328" s="94"/>
      <c r="C328" s="94"/>
      <c r="D328" s="92"/>
      <c r="E328" s="105"/>
      <c r="F328" s="92"/>
      <c r="G328" s="92"/>
      <c r="H328" s="92"/>
      <c r="I328" s="92"/>
      <c r="J328" s="92"/>
      <c r="K328" s="107"/>
      <c r="L328" s="107"/>
      <c r="M328" s="92"/>
      <c r="N328" s="92"/>
      <c r="O328" s="92"/>
      <c r="P328" s="92"/>
      <c r="Q328" s="92"/>
      <c r="R328" s="69"/>
      <c r="S328" s="69"/>
      <c r="T328" s="92"/>
      <c r="U328" s="60"/>
      <c r="V328" s="92"/>
      <c r="W328" s="69"/>
      <c r="X328" s="92"/>
      <c r="Y328" s="87"/>
      <c r="Z328" s="92"/>
      <c r="AA328" s="92"/>
      <c r="AB328" s="69"/>
      <c r="AC328" s="69"/>
      <c r="AD328" s="69"/>
      <c r="AE328" s="69"/>
      <c r="AF328" s="88"/>
      <c r="AG328" s="72"/>
      <c r="AH328" s="4"/>
      <c r="AI328" s="119"/>
      <c r="AJ328" s="120"/>
      <c r="AK328" s="119"/>
      <c r="AL328" s="119"/>
      <c r="AM328" s="119"/>
      <c r="AN328" s="108"/>
      <c r="AO328" s="108"/>
      <c r="AP328" s="108"/>
      <c r="AQ328" s="72"/>
      <c r="AR328" s="110"/>
      <c r="AS328" s="72"/>
      <c r="AT328" s="72"/>
      <c r="AU328" s="4"/>
      <c r="AV328" s="122">
        <f>10*60</f>
        <v>600</v>
      </c>
      <c r="AW328" s="98">
        <f>24*3600</f>
        <v>86400</v>
      </c>
      <c r="AX328" s="122">
        <f>7*24*3600</f>
        <v>604800</v>
      </c>
      <c r="AY328" s="122">
        <f>30*24*3600</f>
        <v>2592000</v>
      </c>
      <c r="AZ328" s="11"/>
      <c r="BA328" s="11"/>
      <c r="BB328" s="11"/>
      <c r="BC328" s="11"/>
      <c r="BD328" s="11"/>
      <c r="BE328" s="11"/>
      <c r="BF328" s="11"/>
      <c r="BG328" s="11"/>
      <c r="BH328" s="11"/>
      <c r="BI328" s="11"/>
      <c r="BJ328" s="11"/>
      <c r="BK328" s="11"/>
      <c r="BL328" s="11"/>
      <c r="BM328" s="11"/>
      <c r="BN328" s="11"/>
      <c r="BO328" s="11"/>
      <c r="BP328" s="11"/>
      <c r="BQ328" s="11"/>
      <c r="BR328" s="11"/>
      <c r="BS328" s="11"/>
      <c r="BT328" s="11"/>
      <c r="BU328" s="11"/>
      <c r="BV328" s="11"/>
      <c r="BW328" s="11"/>
      <c r="BX328" s="11"/>
      <c r="BY328" s="11"/>
      <c r="BZ328" s="11"/>
      <c r="CA328" s="11"/>
      <c r="CB328" s="11"/>
      <c r="CC328" s="11"/>
      <c r="CD328" s="11"/>
      <c r="CE328" s="11"/>
      <c r="CF328" s="11"/>
      <c r="CG328" s="11"/>
      <c r="CH328" s="11"/>
      <c r="CI328" s="11"/>
      <c r="CJ328" s="11"/>
      <c r="CK328" s="11"/>
      <c r="CL328" s="11"/>
      <c r="CM328" s="11"/>
      <c r="CN328" s="11"/>
      <c r="CO328" s="11"/>
      <c r="CP328" s="11"/>
      <c r="CQ328" s="11"/>
      <c r="CR328" s="15"/>
      <c r="CS328" s="15"/>
      <c r="CT328" s="15"/>
      <c r="CU328" s="15"/>
    </row>
    <row r="329" spans="1:99" ht="12" customHeight="1" x14ac:dyDescent="0.2">
      <c r="A329" s="68">
        <v>43509</v>
      </c>
      <c r="B329" s="94" t="s">
        <v>287</v>
      </c>
      <c r="C329" s="94" t="s">
        <v>70</v>
      </c>
      <c r="D329" s="92">
        <v>2008</v>
      </c>
      <c r="E329" s="105">
        <v>1</v>
      </c>
      <c r="F329" s="92">
        <v>128</v>
      </c>
      <c r="G329" s="92">
        <v>32</v>
      </c>
      <c r="H329" s="92" t="s">
        <v>38</v>
      </c>
      <c r="I329" s="92" t="s">
        <v>712</v>
      </c>
      <c r="J329" s="92" t="s">
        <v>715</v>
      </c>
      <c r="K329" s="69">
        <f>IF(J329="syllables",1,IF(J329="trigrams",2,IF(J329="strings",3,IF(J329="visual array",4,IF(J329="characters",5,IF(J329="letters",6,IF(J329="free forms",7,IF(J329="odors",8,IF(J329="words",9,IF(J329="pictures",10,IF(J329="object pictures",11,IF(J329="faces",12,IF(J329="names",13,IF(J329="idioms",14,IF(J329="grades",15,IF(J329="syllable-digit pairs",16,IF(J329="trigram-word pairs",17,IF(J329="word-digit pairs",18,IF(J329="English-Swahili pairs",19,IF(J329="spatial position",20,IF(J329="word pairs",21,IF(J329="word triads",22,IF(J329="generated words",23,IF(J329="word definition pairs",24,IF(J329="math problems",25,IF(J329="famous faces",26,IF(J329="famous names",27,IF(J329="famous voices",28,IF(J329="television programs",29,IF(J329="race horses",30,IF(J329="new vocabulary",31,IF(J329="sentences",32,IF(J329="concepts",33,IF(J329="ad slides",34,IF(J329="scenes",35,IF(J329="famous scenes",36,IF(J329="poems",37,IF(J329="walk",38,IF(J329="faces and events",39,IF(J329="events and names",40,IF(J329="flashbulb",41,IF(J329="stories",42,IF(J329="course material",43,IF(J329="autobiographical",44,IF(J329="novels",45,IF(J329="public events",46,"99"))))))))))))))))))))))))))))))))))))))))))))))</f>
        <v>38</v>
      </c>
      <c r="L329" s="69">
        <f>IF(J329="syllables",1,IF(J329="trigrams",1,IF(J329="strings",1,IF(J329="visual array",1,IF(J329="characters",1,IF(J329="letters",1,IF(J329="free forms",1,IF(J329="odors",2,IF(J329="words",2,IF(J329="pictures",2,IF(J329="object pictures",2,IF(J329="faces",2,IF(J329="names",2,IF(J329="idioms","2",IF(J329="grades",2,IF(J329="syllable-digit pairs",3,IF(J329="trigram-word pairs",3,IF(J329="word-digit pairs",3,IF(J329="English-Swahili pairs",3,IF(J329="spatial position",3,IF(J329="word pairs",4,IF(J329="word triads",4,IF(J329="generated words",4,IF(J329="word definition pairs",4,IF(J329="math problems",4,IF(J329="famous faces",4,IF(J329="famous names",4,IF(J329="famous voices",4,IF(J329="television programs",4,IF(J329="race horses",4,IF(J329="new vocabulary",4,IF(J329="sentences",5,IF(J329="concepts",5,IF(J329="ad slides",5,IF(J329="scenes",5,IF(J329="famous scenes",5,IF(J329="poems",6,IF(J329="walk",6,IF(J329="faces and events",6,IF(J329="events and names",6,IF(J329="flashbulb",7,IF(J329="stories",7,IF(J329="course material",7,IF(J329="autobiographical",7,IF(J329="novels",7,IF(J329="public events",7,"99"))))))))))))))))))))))))))))))))))))))))))))))</f>
        <v>6</v>
      </c>
      <c r="M329" s="92">
        <v>0</v>
      </c>
      <c r="N329" s="92">
        <v>2</v>
      </c>
      <c r="O329" s="92">
        <v>0</v>
      </c>
      <c r="P329" s="92"/>
      <c r="Q329" s="69" t="s">
        <v>174</v>
      </c>
      <c r="R329" s="69">
        <f>IF(Q329="Free Recall",1,IF(Q329="Cued Recall",2,IF(Q329="Recognition",3,IF(Q329="Multiple Choice",4,IF(Q329="Savings",5,IF(Q329="Stem Completion",6,IF(Q329="Fragment Completion",7,IF(Q329="anagram solution",8,IF(Q329="Matching",9,IF(Q329="Problem Solving",10,"99"))))))))))</f>
        <v>1</v>
      </c>
      <c r="S329" s="69" t="s">
        <v>49</v>
      </c>
      <c r="T329" s="92" t="s">
        <v>261</v>
      </c>
      <c r="U329" s="60">
        <f>IF(T329="within",1,0)</f>
        <v>0</v>
      </c>
      <c r="V329" s="92">
        <v>7</v>
      </c>
      <c r="W329" s="69">
        <f>F329*V329</f>
        <v>896</v>
      </c>
      <c r="X329" s="92">
        <v>4</v>
      </c>
      <c r="Y329" s="87">
        <f>AV328</f>
        <v>600</v>
      </c>
      <c r="Z329" s="92" t="s">
        <v>185</v>
      </c>
      <c r="AA329" s="92">
        <f>30*24*3600</f>
        <v>2592000</v>
      </c>
      <c r="AB329" s="69" t="str">
        <f>IF(AA329&lt;60,"1",IF(AA329&lt;=43200,"2",IF(AA329&lt;=777600,"3","4")))</f>
        <v>4</v>
      </c>
      <c r="AC329" s="72">
        <f>AVERAGE(AV328:DA328)</f>
        <v>820950</v>
      </c>
      <c r="AD329" s="69" t="str">
        <f>IF(AC329&lt;60,"1",IF(AC329&lt;=43200,"2",IF(AC329&lt;=777600,"3","4")))</f>
        <v>4</v>
      </c>
      <c r="AE329" s="87">
        <f>AA329-Y329</f>
        <v>2591400</v>
      </c>
      <c r="AF329" s="88">
        <f>AV329</f>
        <v>7.0000000000000007E-2</v>
      </c>
      <c r="AG329" s="72">
        <f>((AW329-AV329)+(AX329-AW329)+(AY329-AX329))/3</f>
        <v>-6.666666666666668E-3</v>
      </c>
      <c r="AH329" s="4"/>
      <c r="AI329" s="72">
        <f>RSQ(AV329:AY329,AV328:AY328)</f>
        <v>0.71408182224399275</v>
      </c>
      <c r="AJ329" s="110">
        <f>SLOPE(AV329:AY329,AV328:AY328)</f>
        <v>-1.1399773662898988E-8</v>
      </c>
      <c r="AK329" s="72">
        <f>INTERCEPT(AV329:AY329,AV328:AY328)</f>
        <v>7.9358644188556926E-2</v>
      </c>
      <c r="AL329" s="72">
        <f>INDEX(LINEST(LN(AV329:AY329),LN(AV328:AY328),TRUE,TRUE),3,1)</f>
        <v>0.18486019106647461</v>
      </c>
      <c r="AM329" s="72">
        <f>INDEX(LINEST(LN(AV329:AY329),LN(AV328:AY328)),1)</f>
        <v>-2.8396505986087468E-2</v>
      </c>
      <c r="AN329" s="72">
        <f>EXP(INDEX(LINEST(LN(AV329:AY329),LN(AV328:AY328)),1,2))</f>
        <v>9.4884468815301964E-2</v>
      </c>
      <c r="AO329" s="89">
        <f>INDEX(LINEST((AV329:AY329),LN(AV328:AY328),TRUE,TRUE),3,1)</f>
        <v>0.14453615269488837</v>
      </c>
      <c r="AP329" s="89">
        <f>INDEX(LINEST((AV329:AY329),LN(AV328:AY328)),1)</f>
        <v>-1.6998266960237859E-3</v>
      </c>
      <c r="AQ329" s="90">
        <f>INDEX(LINEST(LN(AV329:AY329),SQRT(AV328:AY328),TRUE,TRUE),3,1)</f>
        <v>0.66346869250863216</v>
      </c>
      <c r="AR329" s="117">
        <f>INDEX(LINEST(LN(AV329:AY329),SQRT((AV328:AY328))),1)</f>
        <v>-2.8231838879614804E-4</v>
      </c>
      <c r="AS329" s="91">
        <f>INDEX(LINEST(1/(AV329:AY329),1/(SQRT(AV328:AY328)),TRUE,TRUE),3,1)</f>
        <v>2.8283671566077195E-2</v>
      </c>
      <c r="AT329" s="91">
        <f>INDEX(LINEST(1/(AV329:AY329),1/SQRT(AV328:AY328)),1)</f>
        <v>-31.825804979023701</v>
      </c>
      <c r="AU329" s="3"/>
      <c r="AV329" s="121">
        <v>7.0000000000000007E-2</v>
      </c>
      <c r="AW329" s="97">
        <v>0.09</v>
      </c>
      <c r="AX329" s="121">
        <v>7.0000000000000007E-2</v>
      </c>
      <c r="AY329" s="121">
        <v>0.05</v>
      </c>
      <c r="AZ329" s="11"/>
      <c r="BA329" s="11"/>
      <c r="BB329" s="11"/>
      <c r="BC329" s="11"/>
      <c r="BD329" s="11"/>
      <c r="BE329" s="11"/>
      <c r="BF329" s="11"/>
      <c r="BG329" s="11"/>
      <c r="BH329" s="11"/>
      <c r="BI329" s="11"/>
      <c r="BJ329" s="11"/>
      <c r="BK329" s="11"/>
      <c r="BL329" s="11"/>
      <c r="BM329" s="11"/>
      <c r="BN329" s="11"/>
      <c r="BO329" s="11"/>
      <c r="BP329" s="11"/>
      <c r="BQ329" s="11"/>
      <c r="BR329" s="11"/>
      <c r="BS329" s="11"/>
      <c r="BT329" s="11"/>
      <c r="BU329" s="11"/>
      <c r="BV329" s="11"/>
      <c r="BW329" s="11"/>
      <c r="BX329" s="11"/>
      <c r="BY329" s="11"/>
      <c r="BZ329" s="11"/>
      <c r="CA329" s="11"/>
      <c r="CB329" s="11"/>
      <c r="CC329" s="11"/>
      <c r="CD329" s="11"/>
      <c r="CE329" s="11"/>
      <c r="CF329" s="11"/>
      <c r="CG329" s="11"/>
      <c r="CH329" s="11"/>
      <c r="CI329" s="11"/>
      <c r="CJ329" s="11"/>
      <c r="CK329" s="11"/>
      <c r="CL329" s="11"/>
      <c r="CM329" s="11"/>
      <c r="CN329" s="11"/>
      <c r="CO329" s="11"/>
      <c r="CP329" s="11"/>
      <c r="CQ329" s="11"/>
      <c r="CR329" s="15"/>
      <c r="CS329" s="15"/>
      <c r="CT329" s="15"/>
      <c r="CU329" s="15"/>
    </row>
    <row r="330" spans="1:99" ht="12" customHeight="1" x14ac:dyDescent="0.2">
      <c r="A330" s="68">
        <v>43509</v>
      </c>
      <c r="B330" s="94"/>
      <c r="C330" s="94"/>
      <c r="D330" s="92"/>
      <c r="E330" s="105"/>
      <c r="F330" s="92"/>
      <c r="G330" s="92"/>
      <c r="H330" s="92"/>
      <c r="I330" s="92"/>
      <c r="J330" s="92"/>
      <c r="K330" s="107"/>
      <c r="L330" s="107"/>
      <c r="M330" s="92"/>
      <c r="N330" s="92"/>
      <c r="O330" s="92"/>
      <c r="P330" s="92"/>
      <c r="Q330" s="92"/>
      <c r="R330" s="69"/>
      <c r="S330" s="69"/>
      <c r="T330" s="92"/>
      <c r="U330" s="60"/>
      <c r="V330" s="92"/>
      <c r="W330" s="69"/>
      <c r="X330" s="92"/>
      <c r="Y330" s="87"/>
      <c r="Z330" s="92"/>
      <c r="AA330" s="92"/>
      <c r="AB330" s="69"/>
      <c r="AC330" s="69"/>
      <c r="AD330" s="69"/>
      <c r="AE330" s="69"/>
      <c r="AF330" s="88"/>
      <c r="AG330" s="72"/>
      <c r="AH330" s="4"/>
      <c r="AI330" s="119"/>
      <c r="AJ330" s="120"/>
      <c r="AK330" s="119"/>
      <c r="AL330" s="119"/>
      <c r="AM330" s="119"/>
      <c r="AN330" s="108"/>
      <c r="AO330" s="108"/>
      <c r="AP330" s="108"/>
      <c r="AQ330" s="72"/>
      <c r="AR330" s="110"/>
      <c r="AS330" s="72"/>
      <c r="AT330" s="72"/>
      <c r="AU330" s="4"/>
      <c r="AV330" s="122">
        <f>10*60</f>
        <v>600</v>
      </c>
      <c r="AW330" s="98">
        <f>24*3600</f>
        <v>86400</v>
      </c>
      <c r="AX330" s="122">
        <f>7*24*3600</f>
        <v>604800</v>
      </c>
      <c r="AY330" s="122">
        <f>30*24*3600</f>
        <v>2592000</v>
      </c>
      <c r="AZ330" s="11"/>
      <c r="BA330" s="11"/>
      <c r="BB330" s="11"/>
      <c r="BC330" s="11"/>
      <c r="BD330" s="11"/>
      <c r="BE330" s="11"/>
      <c r="BF330" s="11"/>
      <c r="BG330" s="11"/>
      <c r="BH330" s="11"/>
      <c r="BI330" s="11"/>
      <c r="BJ330" s="11"/>
      <c r="BK330" s="11"/>
      <c r="BL330" s="11"/>
      <c r="BM330" s="11"/>
      <c r="BN330" s="11"/>
      <c r="BO330" s="11"/>
      <c r="BP330" s="11"/>
      <c r="BQ330" s="11"/>
      <c r="BR330" s="11"/>
      <c r="BS330" s="11"/>
      <c r="BT330" s="11"/>
      <c r="BU330" s="11"/>
      <c r="BV330" s="11"/>
      <c r="BW330" s="11"/>
      <c r="BX330" s="11"/>
      <c r="BY330" s="11"/>
      <c r="BZ330" s="11"/>
      <c r="CA330" s="11"/>
      <c r="CB330" s="11"/>
      <c r="CC330" s="11"/>
      <c r="CD330" s="11"/>
      <c r="CE330" s="11"/>
      <c r="CF330" s="11"/>
      <c r="CG330" s="11"/>
      <c r="CH330" s="11"/>
      <c r="CI330" s="11"/>
      <c r="CJ330" s="11"/>
      <c r="CK330" s="11"/>
      <c r="CL330" s="11"/>
      <c r="CM330" s="11"/>
      <c r="CN330" s="11"/>
      <c r="CO330" s="11"/>
      <c r="CP330" s="11"/>
      <c r="CQ330" s="11"/>
      <c r="CR330" s="15"/>
      <c r="CS330" s="15"/>
      <c r="CT330" s="15"/>
      <c r="CU330" s="15"/>
    </row>
    <row r="331" spans="1:99" ht="12" customHeight="1" x14ac:dyDescent="0.2">
      <c r="A331" s="68">
        <v>43509</v>
      </c>
      <c r="B331" s="94" t="s">
        <v>287</v>
      </c>
      <c r="C331" s="94" t="s">
        <v>70</v>
      </c>
      <c r="D331" s="92">
        <v>2008</v>
      </c>
      <c r="E331" s="105">
        <v>1</v>
      </c>
      <c r="F331" s="92">
        <v>128</v>
      </c>
      <c r="G331" s="92">
        <v>32</v>
      </c>
      <c r="H331" s="92" t="s">
        <v>38</v>
      </c>
      <c r="I331" s="92" t="s">
        <v>713</v>
      </c>
      <c r="J331" s="92" t="s">
        <v>715</v>
      </c>
      <c r="K331" s="69">
        <f>IF(J331="syllables",1,IF(J331="trigrams",2,IF(J331="strings",3,IF(J331="visual array",4,IF(J331="characters",5,IF(J331="letters",6,IF(J331="free forms",7,IF(J331="odors",8,IF(J331="words",9,IF(J331="pictures",10,IF(J331="object pictures",11,IF(J331="faces",12,IF(J331="names",13,IF(J331="idioms",14,IF(J331="grades",15,IF(J331="syllable-digit pairs",16,IF(J331="trigram-word pairs",17,IF(J331="word-digit pairs",18,IF(J331="English-Swahili pairs",19,IF(J331="spatial position",20,IF(J331="word pairs",21,IF(J331="word triads",22,IF(J331="generated words",23,IF(J331="word definition pairs",24,IF(J331="math problems",25,IF(J331="famous faces",26,IF(J331="famous names",27,IF(J331="famous voices",28,IF(J331="television programs",29,IF(J331="race horses",30,IF(J331="new vocabulary",31,IF(J331="sentences",32,IF(J331="concepts",33,IF(J331="ad slides",34,IF(J331="scenes",35,IF(J331="famous scenes",36,IF(J331="poems",37,IF(J331="walk",38,IF(J331="faces and events",39,IF(J331="events and names",40,IF(J331="flashbulb",41,IF(J331="stories",42,IF(J331="course material",43,IF(J331="autobiographical",44,IF(J331="novels",45,IF(J331="public events",46,"99"))))))))))))))))))))))))))))))))))))))))))))))</f>
        <v>38</v>
      </c>
      <c r="L331" s="69">
        <f>IF(J331="syllables",1,IF(J331="trigrams",1,IF(J331="strings",1,IF(J331="visual array",1,IF(J331="characters",1,IF(J331="letters",1,IF(J331="free forms",1,IF(J331="odors",2,IF(J331="words",2,IF(J331="pictures",2,IF(J331="object pictures",2,IF(J331="faces",2,IF(J331="names",2,IF(J331="idioms","2",IF(J331="grades",2,IF(J331="syllable-digit pairs",3,IF(J331="trigram-word pairs",3,IF(J331="word-digit pairs",3,IF(J331="English-Swahili pairs",3,IF(J331="spatial position",3,IF(J331="word pairs",4,IF(J331="word triads",4,IF(J331="generated words",4,IF(J331="word definition pairs",4,IF(J331="math problems",4,IF(J331="famous faces",4,IF(J331="famous names",4,IF(J331="famous voices",4,IF(J331="television programs",4,IF(J331="race horses",4,IF(J331="new vocabulary",4,IF(J331="sentences",5,IF(J331="concepts",5,IF(J331="ad slides",5,IF(J331="scenes",5,IF(J331="famous scenes",5,IF(J331="poems",6,IF(J331="walk",6,IF(J331="faces and events",6,IF(J331="events and names",6,IF(J331="flashbulb",7,IF(J331="stories",7,IF(J331="course material",7,IF(J331="autobiographical",7,IF(J331="novels",7,IF(J331="public events",7,"99"))))))))))))))))))))))))))))))))))))))))))))))</f>
        <v>6</v>
      </c>
      <c r="M331" s="92">
        <v>0</v>
      </c>
      <c r="N331" s="92">
        <v>2</v>
      </c>
      <c r="O331" s="92">
        <v>0</v>
      </c>
      <c r="P331" s="92"/>
      <c r="Q331" s="69" t="s">
        <v>174</v>
      </c>
      <c r="R331" s="69">
        <f>IF(Q331="Free Recall",1,IF(Q331="Cued Recall",2,IF(Q331="Recognition",3,IF(Q331="Multiple Choice",4,IF(Q331="Savings",5,IF(Q331="Stem Completion",6,IF(Q331="Fragment Completion",7,IF(Q331="anagram solution",8,IF(Q331="Matching",9,IF(Q331="Problem Solving",10,"99"))))))))))</f>
        <v>1</v>
      </c>
      <c r="S331" s="69" t="s">
        <v>49</v>
      </c>
      <c r="T331" s="92" t="s">
        <v>261</v>
      </c>
      <c r="U331" s="60">
        <f>IF(T331="within",1,0)</f>
        <v>0</v>
      </c>
      <c r="V331" s="92">
        <v>7</v>
      </c>
      <c r="W331" s="69">
        <f>F331*V331</f>
        <v>896</v>
      </c>
      <c r="X331" s="92">
        <v>4</v>
      </c>
      <c r="Y331" s="87">
        <f>AV330</f>
        <v>600</v>
      </c>
      <c r="Z331" s="92" t="s">
        <v>185</v>
      </c>
      <c r="AA331" s="92">
        <f>30*24*3600</f>
        <v>2592000</v>
      </c>
      <c r="AB331" s="69" t="str">
        <f>IF(AA331&lt;60,"1",IF(AA331&lt;=43200,"2",IF(AA331&lt;=777600,"3","4")))</f>
        <v>4</v>
      </c>
      <c r="AC331" s="72">
        <f>AVERAGE(AV330:DA330)</f>
        <v>820950</v>
      </c>
      <c r="AD331" s="69" t="str">
        <f>IF(AC331&lt;60,"1",IF(AC331&lt;=43200,"2",IF(AC331&lt;=777600,"3","4")))</f>
        <v>4</v>
      </c>
      <c r="AE331" s="87">
        <f>AA331-Y331</f>
        <v>2591400</v>
      </c>
      <c r="AF331" s="88">
        <f>AV331</f>
        <v>0.13</v>
      </c>
      <c r="AG331" s="93">
        <f>((AW331-AV331)+(AX331-AW331)+(AY331-AX331))/3</f>
        <v>-3.3333333333333361E-3</v>
      </c>
      <c r="AH331" s="4"/>
      <c r="AI331" s="72">
        <f>RSQ(AV331:AY331,AV330:AY330)</f>
        <v>0.25057372939798056</v>
      </c>
      <c r="AJ331" s="110">
        <f>SLOPE(AV331:AY331,AV330:AY330)</f>
        <v>-1.36631446730166E-8</v>
      </c>
      <c r="AK331" s="72">
        <f>INTERCEPT(AV331:AY331,AV330:AY330)</f>
        <v>0.16371675861931301</v>
      </c>
      <c r="AL331" s="72">
        <f>INDEX(LINEST(LN(AV331:AY331),LN(AV330:AY330),TRUE,TRUE),3,1)</f>
        <v>3.000714663327592E-2</v>
      </c>
      <c r="AM331" s="72">
        <f>INDEX(LINEST(LN(AV331:AY331),LN(AV330:AY330)),1)</f>
        <v>1.031189540628568E-2</v>
      </c>
      <c r="AN331" s="72">
        <f>EXP(INDEX(LINEST(LN(AV331:AY331),LN(AV330:AY330)),1,2))</f>
        <v>0.13312344511257129</v>
      </c>
      <c r="AO331" s="89">
        <f>INDEX(LINEST((AV331:AY331),LN(AV330:AY330),TRUE,TRUE),3,1)</f>
        <v>4.2069324894305857E-2</v>
      </c>
      <c r="AP331" s="89">
        <f>INDEX(LINEST((AV331:AY331),LN(AV330:AY330)),1)</f>
        <v>1.8554951798057228E-3</v>
      </c>
      <c r="AQ331" s="90">
        <f>INDEX(LINEST(LN(AV331:AY331),SQRT(AV330:AY330),TRUE,TRUE),3,1)</f>
        <v>9.3706486608619521E-2</v>
      </c>
      <c r="AR331" s="117">
        <f>INDEX(LINEST(LN(AV331:AY331),SQRT((AV330:AY330))),1)</f>
        <v>-9.5630564381157806E-5</v>
      </c>
      <c r="AS331" s="91">
        <f>INDEX(LINEST(1/(AV331:AY331),1/(SQRT(AV330:AY330)),TRUE,TRUE),3,1)</f>
        <v>0.14587507411031103</v>
      </c>
      <c r="AT331" s="91">
        <f>INDEX(LINEST(1/(AV331:AY331),1/SQRT(AV330:AY330)),1)</f>
        <v>28.405744178689922</v>
      </c>
      <c r="AU331" s="3"/>
      <c r="AV331" s="121">
        <v>0.13</v>
      </c>
      <c r="AW331" s="97">
        <v>0.17</v>
      </c>
      <c r="AX331" s="121">
        <v>0.19</v>
      </c>
      <c r="AY331" s="121">
        <v>0.12</v>
      </c>
      <c r="AZ331" s="11"/>
      <c r="BA331" s="11"/>
      <c r="BB331" s="11"/>
      <c r="BC331" s="11"/>
      <c r="BD331" s="11"/>
      <c r="BE331" s="11"/>
      <c r="BF331" s="11"/>
      <c r="BG331" s="11"/>
      <c r="BH331" s="11"/>
      <c r="BI331" s="11"/>
      <c r="BJ331" s="11"/>
      <c r="BK331" s="11"/>
      <c r="BL331" s="11"/>
      <c r="BM331" s="11"/>
      <c r="BN331" s="11"/>
      <c r="BO331" s="11"/>
      <c r="BP331" s="11"/>
      <c r="BQ331" s="11"/>
      <c r="BR331" s="11"/>
      <c r="BS331" s="11"/>
      <c r="BT331" s="11"/>
      <c r="BU331" s="11"/>
      <c r="BV331" s="11"/>
      <c r="BW331" s="11"/>
      <c r="BX331" s="11"/>
      <c r="BY331" s="11"/>
      <c r="BZ331" s="11"/>
      <c r="CA331" s="11"/>
      <c r="CB331" s="11"/>
      <c r="CC331" s="11"/>
      <c r="CD331" s="11"/>
      <c r="CE331" s="11"/>
      <c r="CF331" s="11"/>
      <c r="CG331" s="11"/>
      <c r="CH331" s="11"/>
      <c r="CI331" s="11"/>
      <c r="CJ331" s="11"/>
      <c r="CK331" s="11"/>
      <c r="CL331" s="11"/>
      <c r="CM331" s="11"/>
      <c r="CN331" s="11"/>
      <c r="CO331" s="11"/>
      <c r="CP331" s="11"/>
      <c r="CQ331" s="11"/>
      <c r="CR331" s="15"/>
      <c r="CS331" s="15"/>
      <c r="CT331" s="15"/>
      <c r="CU331" s="15"/>
    </row>
    <row r="332" spans="1:99" ht="12" customHeight="1" x14ac:dyDescent="0.2">
      <c r="A332" s="68">
        <v>43509</v>
      </c>
      <c r="B332" s="94"/>
      <c r="C332" s="94"/>
      <c r="D332" s="92"/>
      <c r="E332" s="105"/>
      <c r="F332" s="92"/>
      <c r="G332" s="92"/>
      <c r="H332" s="92"/>
      <c r="I332" s="92"/>
      <c r="J332" s="92"/>
      <c r="K332" s="107"/>
      <c r="L332" s="107"/>
      <c r="M332" s="92"/>
      <c r="N332" s="92"/>
      <c r="O332" s="92"/>
      <c r="P332" s="92"/>
      <c r="Q332" s="92"/>
      <c r="R332" s="69"/>
      <c r="S332" s="69"/>
      <c r="T332" s="92"/>
      <c r="U332" s="60"/>
      <c r="V332" s="92"/>
      <c r="W332" s="69"/>
      <c r="X332" s="92"/>
      <c r="Y332" s="87"/>
      <c r="Z332" s="92"/>
      <c r="AA332" s="92"/>
      <c r="AB332" s="69"/>
      <c r="AC332" s="69"/>
      <c r="AD332" s="69"/>
      <c r="AE332" s="69"/>
      <c r="AF332" s="88"/>
      <c r="AG332" s="72"/>
      <c r="AH332" s="4"/>
      <c r="AI332" s="119"/>
      <c r="AJ332" s="120"/>
      <c r="AK332" s="119"/>
      <c r="AL332" s="119"/>
      <c r="AM332" s="119"/>
      <c r="AN332" s="108"/>
      <c r="AO332" s="108"/>
      <c r="AP332" s="108"/>
      <c r="AQ332" s="72"/>
      <c r="AR332" s="110"/>
      <c r="AS332" s="72"/>
      <c r="AT332" s="72"/>
      <c r="AU332" s="4"/>
      <c r="AV332" s="122">
        <f>10*60</f>
        <v>600</v>
      </c>
      <c r="AW332" s="98">
        <f>24*3600</f>
        <v>86400</v>
      </c>
      <c r="AX332" s="122">
        <f>7*24*3600</f>
        <v>604800</v>
      </c>
      <c r="AY332" s="122">
        <f>30*24*3600</f>
        <v>2592000</v>
      </c>
      <c r="AZ332" s="11"/>
      <c r="BA332" s="11"/>
      <c r="BB332" s="11"/>
      <c r="BC332" s="11"/>
      <c r="BD332" s="11"/>
      <c r="BE332" s="11"/>
      <c r="BF332" s="11"/>
      <c r="BG332" s="11"/>
      <c r="BH332" s="11"/>
      <c r="BI332" s="11"/>
      <c r="BJ332" s="11"/>
      <c r="BK332" s="11"/>
      <c r="BL332" s="11"/>
      <c r="BM332" s="11"/>
      <c r="BN332" s="11"/>
      <c r="BO332" s="11"/>
      <c r="BP332" s="11"/>
      <c r="BQ332" s="11"/>
      <c r="BR332" s="11"/>
      <c r="BS332" s="11"/>
      <c r="BT332" s="11"/>
      <c r="BU332" s="11"/>
      <c r="BV332" s="11"/>
      <c r="BW332" s="11"/>
      <c r="BX332" s="11"/>
      <c r="BY332" s="11"/>
      <c r="BZ332" s="11"/>
      <c r="CA332" s="11"/>
      <c r="CB332" s="11"/>
      <c r="CC332" s="11"/>
      <c r="CD332" s="11"/>
      <c r="CE332" s="11"/>
      <c r="CF332" s="11"/>
      <c r="CG332" s="11"/>
      <c r="CH332" s="11"/>
      <c r="CI332" s="11"/>
      <c r="CJ332" s="11"/>
      <c r="CK332" s="11"/>
      <c r="CL332" s="11"/>
      <c r="CM332" s="11"/>
      <c r="CN332" s="11"/>
      <c r="CO332" s="11"/>
      <c r="CP332" s="11"/>
      <c r="CQ332" s="11"/>
      <c r="CR332" s="15"/>
      <c r="CS332" s="15"/>
      <c r="CT332" s="15"/>
      <c r="CU332" s="15"/>
    </row>
    <row r="333" spans="1:99" ht="12" customHeight="1" x14ac:dyDescent="0.2">
      <c r="A333" s="68">
        <v>43509</v>
      </c>
      <c r="B333" s="94" t="s">
        <v>287</v>
      </c>
      <c r="C333" s="94" t="s">
        <v>70</v>
      </c>
      <c r="D333" s="92">
        <v>2008</v>
      </c>
      <c r="E333" s="105">
        <v>1</v>
      </c>
      <c r="F333" s="92">
        <v>128</v>
      </c>
      <c r="G333" s="92">
        <v>32</v>
      </c>
      <c r="H333" s="92" t="s">
        <v>38</v>
      </c>
      <c r="I333" s="92" t="s">
        <v>714</v>
      </c>
      <c r="J333" s="92" t="s">
        <v>715</v>
      </c>
      <c r="K333" s="69">
        <f>IF(J333="syllables",1,IF(J333="trigrams",2,IF(J333="strings",3,IF(J333="visual array",4,IF(J333="characters",5,IF(J333="letters",6,IF(J333="free forms",7,IF(J333="odors",8,IF(J333="words",9,IF(J333="pictures",10,IF(J333="object pictures",11,IF(J333="faces",12,IF(J333="names",13,IF(J333="idioms",14,IF(J333="grades",15,IF(J333="syllable-digit pairs",16,IF(J333="trigram-word pairs",17,IF(J333="word-digit pairs",18,IF(J333="English-Swahili pairs",19,IF(J333="spatial position",20,IF(J333="word pairs",21,IF(J333="word triads",22,IF(J333="generated words",23,IF(J333="word definition pairs",24,IF(J333="math problems",25,IF(J333="famous faces",26,IF(J333="famous names",27,IF(J333="famous voices",28,IF(J333="television programs",29,IF(J333="race horses",30,IF(J333="new vocabulary",31,IF(J333="sentences",32,IF(J333="concepts",33,IF(J333="ad slides",34,IF(J333="scenes",35,IF(J333="famous scenes",36,IF(J333="poems",37,IF(J333="walk",38,IF(J333="faces and events",39,IF(J333="events and names",40,IF(J333="flashbulb",41,IF(J333="stories",42,IF(J333="course material",43,IF(J333="autobiographical",44,IF(J333="novels",45,IF(J333="public events",46,"99"))))))))))))))))))))))))))))))))))))))))))))))</f>
        <v>38</v>
      </c>
      <c r="L333" s="69">
        <f>IF(J333="syllables",1,IF(J333="trigrams",1,IF(J333="strings",1,IF(J333="visual array",1,IF(J333="characters",1,IF(J333="letters",1,IF(J333="free forms",1,IF(J333="odors",2,IF(J333="words",2,IF(J333="pictures",2,IF(J333="object pictures",2,IF(J333="faces",2,IF(J333="names",2,IF(J333="idioms","2",IF(J333="grades",2,IF(J333="syllable-digit pairs",3,IF(J333="trigram-word pairs",3,IF(J333="word-digit pairs",3,IF(J333="English-Swahili pairs",3,IF(J333="spatial position",3,IF(J333="word pairs",4,IF(J333="word triads",4,IF(J333="generated words",4,IF(J333="word definition pairs",4,IF(J333="math problems",4,IF(J333="famous faces",4,IF(J333="famous names",4,IF(J333="famous voices",4,IF(J333="television programs",4,IF(J333="race horses",4,IF(J333="new vocabulary",4,IF(J333="sentences",5,IF(J333="concepts",5,IF(J333="ad slides",5,IF(J333="scenes",5,IF(J333="famous scenes",5,IF(J333="poems",6,IF(J333="walk",6,IF(J333="faces and events",6,IF(J333="events and names",6,IF(J333="flashbulb",7,IF(J333="stories",7,IF(J333="course material",7,IF(J333="autobiographical",7,IF(J333="novels",7,IF(J333="public events",7,"99"))))))))))))))))))))))))))))))))))))))))))))))</f>
        <v>6</v>
      </c>
      <c r="M333" s="92">
        <v>0</v>
      </c>
      <c r="N333" s="92">
        <v>2</v>
      </c>
      <c r="O333" s="92">
        <v>0</v>
      </c>
      <c r="P333" s="92"/>
      <c r="Q333" s="69" t="s">
        <v>174</v>
      </c>
      <c r="R333" s="69">
        <f>IF(Q333="Free Recall",1,IF(Q333="Cued Recall",2,IF(Q333="Recognition",3,IF(Q333="Multiple Choice",4,IF(Q333="Savings",5,IF(Q333="Stem Completion",6,IF(Q333="Fragment Completion",7,IF(Q333="anagram solution",8,IF(Q333="Matching",9,IF(Q333="Problem Solving",10,"99"))))))))))</f>
        <v>1</v>
      </c>
      <c r="S333" s="69" t="s">
        <v>49</v>
      </c>
      <c r="T333" s="92" t="s">
        <v>261</v>
      </c>
      <c r="U333" s="60">
        <f>IF(T333="within",1,0)</f>
        <v>0</v>
      </c>
      <c r="V333" s="92">
        <v>7</v>
      </c>
      <c r="W333" s="69">
        <f>F333*V333</f>
        <v>896</v>
      </c>
      <c r="X333" s="92">
        <v>4</v>
      </c>
      <c r="Y333" s="87">
        <f>AV332</f>
        <v>600</v>
      </c>
      <c r="Z333" s="92" t="s">
        <v>185</v>
      </c>
      <c r="AA333" s="92">
        <f>30*24*3600</f>
        <v>2592000</v>
      </c>
      <c r="AB333" s="69" t="str">
        <f>IF(AA333&lt;60,"1",IF(AA333&lt;=43200,"2",IF(AA333&lt;=777600,"3","4")))</f>
        <v>4</v>
      </c>
      <c r="AC333" s="72">
        <f>AVERAGE(AV332:DA332)</f>
        <v>820950</v>
      </c>
      <c r="AD333" s="69" t="str">
        <f>IF(AC333&lt;60,"1",IF(AC333&lt;=43200,"2",IF(AC333&lt;=777600,"3","4")))</f>
        <v>4</v>
      </c>
      <c r="AE333" s="87">
        <f>AA333-Y333</f>
        <v>2591400</v>
      </c>
      <c r="AF333" s="88">
        <f>AV333</f>
        <v>0.12</v>
      </c>
      <c r="AG333" s="72">
        <f>((AW333-AV333)+(AX333-AW333)+(AY333-AX333))/3</f>
        <v>-1.3333333333333331E-2</v>
      </c>
      <c r="AH333" s="4"/>
      <c r="AI333" s="72">
        <f>RSQ(AV333:AY333,AV332:AY332)</f>
        <v>0.94283810526130074</v>
      </c>
      <c r="AJ333" s="110">
        <f>SLOPE(AV333:AY333,AV332:AY332)</f>
        <v>-1.7786554183986163E-8</v>
      </c>
      <c r="AK333" s="72">
        <f>INTERCEPT(AV333:AY333,AV332:AY332)</f>
        <v>0.12710187165734343</v>
      </c>
      <c r="AL333" s="72">
        <f>INDEX(LINEST(LN(AV333:AY333),LN(AV332:AY332),TRUE,TRUE),3,1)</f>
        <v>0.31477046023892158</v>
      </c>
      <c r="AM333" s="72">
        <f>INDEX(LINEST(LN(AV333:AY333),LN(AV332:AY332)),1)</f>
        <v>-3.3693994142109641E-2</v>
      </c>
      <c r="AN333" s="72">
        <f>EXP(INDEX(LINEST(LN(AV333:AY333),LN(AV332:AY332)),1,2))</f>
        <v>0.16276464319838804</v>
      </c>
      <c r="AO333" s="89">
        <f>INDEX(LINEST((AV333:AY333),LN(AV332:AY332),TRUE,TRUE),3,1)</f>
        <v>0.30066151495930704</v>
      </c>
      <c r="AP333" s="89">
        <f>INDEX(LINEST((AV333:AY333),LN(AV332:AY332)),1)</f>
        <v>-3.3289428376769414E-3</v>
      </c>
      <c r="AQ333" s="90">
        <f>INDEX(LINEST(LN(AV333:AY333),SQRT(AV332:AY332),TRUE,TRUE),3,1)</f>
        <v>0.79801519697850587</v>
      </c>
      <c r="AR333" s="117">
        <f>INDEX(LINEST(LN(AV333:AY333),SQRT((AV332:AY332))),1)</f>
        <v>-2.8154436191771081E-4</v>
      </c>
      <c r="AS333" s="91">
        <f>INDEX(LINEST(1/(AV333:AY333),1/(SQRT(AV332:AY332)),TRUE,TRUE),3,1)</f>
        <v>9.6243370186999799E-2</v>
      </c>
      <c r="AT333" s="91">
        <f>INDEX(LINEST(1/(AV333:AY333),1/SQRT(AV332:AY332)),1)</f>
        <v>-35.059914475045815</v>
      </c>
      <c r="AU333" s="3"/>
      <c r="AV333" s="121">
        <v>0.12</v>
      </c>
      <c r="AW333" s="97">
        <v>0.13</v>
      </c>
      <c r="AX333" s="121">
        <v>0.12</v>
      </c>
      <c r="AY333" s="121">
        <v>0.08</v>
      </c>
      <c r="AZ333" s="11"/>
      <c r="BA333" s="11"/>
      <c r="BB333" s="11"/>
      <c r="BC333" s="11"/>
      <c r="BD333" s="11"/>
      <c r="BE333" s="11"/>
      <c r="BF333" s="11"/>
      <c r="BG333" s="11"/>
      <c r="BH333" s="11"/>
      <c r="BI333" s="11"/>
      <c r="BJ333" s="11"/>
      <c r="BK333" s="11"/>
      <c r="BL333" s="11"/>
      <c r="BM333" s="11"/>
      <c r="BN333" s="11"/>
      <c r="BO333" s="11"/>
      <c r="BP333" s="11"/>
      <c r="BQ333" s="11"/>
      <c r="BR333" s="11"/>
      <c r="BS333" s="11"/>
      <c r="BT333" s="11"/>
      <c r="BU333" s="11"/>
      <c r="BV333" s="11"/>
      <c r="BW333" s="11"/>
      <c r="BX333" s="11"/>
      <c r="BY333" s="11"/>
      <c r="BZ333" s="11"/>
      <c r="CA333" s="11"/>
      <c r="CB333" s="11"/>
      <c r="CC333" s="11"/>
      <c r="CD333" s="11"/>
      <c r="CE333" s="11"/>
      <c r="CF333" s="11"/>
      <c r="CG333" s="11"/>
      <c r="CH333" s="11"/>
      <c r="CI333" s="11"/>
      <c r="CJ333" s="11"/>
      <c r="CK333" s="11"/>
      <c r="CL333" s="11"/>
      <c r="CM333" s="11"/>
      <c r="CN333" s="11"/>
      <c r="CO333" s="11"/>
      <c r="CP333" s="11"/>
      <c r="CQ333" s="11"/>
      <c r="CR333" s="15"/>
      <c r="CS333" s="15"/>
      <c r="CT333" s="15"/>
      <c r="CU333" s="15"/>
    </row>
    <row r="334" spans="1:99" ht="12" customHeight="1" x14ac:dyDescent="0.2">
      <c r="A334" s="65">
        <v>43509</v>
      </c>
      <c r="B334" s="15"/>
      <c r="C334" s="15"/>
      <c r="D334" s="59"/>
      <c r="E334" s="75"/>
      <c r="F334" s="59"/>
      <c r="G334" s="59"/>
      <c r="H334" s="59"/>
      <c r="I334" s="59"/>
      <c r="J334" s="59"/>
      <c r="M334" s="59"/>
      <c r="N334" s="59"/>
      <c r="O334" s="59"/>
      <c r="P334" s="59"/>
      <c r="Q334" s="59"/>
      <c r="R334" s="60"/>
      <c r="S334" s="59"/>
      <c r="T334" s="59"/>
      <c r="U334" s="60"/>
      <c r="V334" s="59"/>
      <c r="W334" s="60"/>
      <c r="X334" s="59"/>
      <c r="Y334" s="76"/>
      <c r="AB334" s="60"/>
      <c r="AC334" s="60"/>
      <c r="AD334" s="60"/>
      <c r="AE334" s="60"/>
      <c r="AF334" s="80"/>
      <c r="AG334" s="56"/>
      <c r="AI334" s="55"/>
      <c r="AJ334" s="111"/>
      <c r="AK334" s="55"/>
      <c r="AL334" s="55"/>
      <c r="AM334" s="55"/>
      <c r="AN334" s="55"/>
      <c r="AO334" s="55"/>
      <c r="AP334" s="55"/>
      <c r="AQ334" s="56"/>
      <c r="AR334" s="109"/>
      <c r="AS334" s="56"/>
      <c r="AT334" s="56"/>
      <c r="AU334" s="4"/>
      <c r="AV334" s="50">
        <f>10*60</f>
        <v>600</v>
      </c>
      <c r="AW334" s="47">
        <f>3.5*24*3600</f>
        <v>302400</v>
      </c>
      <c r="AX334" s="47">
        <f>7*24*3600</f>
        <v>604800</v>
      </c>
      <c r="AY334" s="47">
        <f>14*24*3600</f>
        <v>1209600</v>
      </c>
      <c r="AZ334" s="47">
        <f>8*7*24*3600</f>
        <v>4838400</v>
      </c>
      <c r="BA334" s="11" t="s">
        <v>517</v>
      </c>
      <c r="BB334" s="11"/>
      <c r="BC334" s="11"/>
      <c r="BD334" s="11"/>
      <c r="BE334" s="11"/>
      <c r="BF334" s="11"/>
      <c r="BG334" s="11"/>
      <c r="BH334" s="11"/>
      <c r="BI334" s="11"/>
      <c r="BJ334" s="11"/>
      <c r="BK334" s="11"/>
      <c r="BL334" s="11"/>
      <c r="BM334" s="11"/>
      <c r="BN334" s="11"/>
      <c r="BO334" s="11"/>
      <c r="BP334" s="11"/>
      <c r="BQ334" s="11"/>
      <c r="BR334" s="11"/>
      <c r="BS334" s="11"/>
      <c r="BT334" s="11"/>
      <c r="BU334" s="11"/>
      <c r="BV334" s="11"/>
      <c r="BW334" s="11"/>
      <c r="BX334" s="11"/>
      <c r="BY334" s="11"/>
      <c r="BZ334" s="11"/>
      <c r="CA334" s="11"/>
      <c r="CB334" s="11"/>
      <c r="CC334" s="11"/>
      <c r="CD334" s="11"/>
      <c r="CE334" s="11"/>
      <c r="CF334" s="11"/>
      <c r="CG334" s="11"/>
      <c r="CH334" s="11"/>
      <c r="CI334" s="11"/>
      <c r="CJ334" s="11"/>
      <c r="CK334" s="11"/>
      <c r="CL334" s="11"/>
      <c r="CM334" s="11"/>
      <c r="CN334" s="11"/>
      <c r="CO334" s="11"/>
      <c r="CP334" s="11"/>
      <c r="CQ334" s="11"/>
      <c r="CR334" s="15"/>
      <c r="CS334" s="15"/>
      <c r="CT334" s="15"/>
      <c r="CU334" s="15"/>
    </row>
    <row r="335" spans="1:99" ht="12" customHeight="1" x14ac:dyDescent="0.2">
      <c r="A335" s="65">
        <v>43509</v>
      </c>
      <c r="B335" s="15" t="s">
        <v>278</v>
      </c>
      <c r="C335" s="15" t="s">
        <v>277</v>
      </c>
      <c r="D335" s="59">
        <v>1923</v>
      </c>
      <c r="E335" s="75" t="s">
        <v>716</v>
      </c>
      <c r="F335" s="59">
        <v>69</v>
      </c>
      <c r="G335" s="59">
        <v>69</v>
      </c>
      <c r="H335" s="64" t="s">
        <v>275</v>
      </c>
      <c r="I335" s="59"/>
      <c r="J335" s="59" t="s">
        <v>585</v>
      </c>
      <c r="K335" s="60">
        <f>IF(J335="syllables",1,IF(J335="trigrams",2,IF(J335="strings",3,IF(J335="visual array",4,IF(J335="characters",5,IF(J335="letters",6,IF(J335="free forms",7,IF(J335="odors",8,IF(J335="words",9,IF(J335="pictures",10,IF(J335="object pictures",11,IF(J335="faces",12,IF(J335="names",13,IF(J335="idioms",14,IF(J335="grades",15,IF(J335="syllable-digit pairs",16,IF(J335="trigram-word pairs",17,IF(J335="word-digit pairs",18,IF(J335="English-Swahili pairs",19,IF(J335="spatial position",20,IF(J335="word pairs",21,IF(J335="word triads",22,IF(J335="generated words",23,IF(J335="word definition pairs",24,IF(J335="math problems",25,IF(J335="famous faces",26,IF(J335="famous names",27,IF(J335="famous voices",28,IF(J335="television programs",29,IF(J335="race horses",30,IF(J335="new vocabulary",31,IF(J335="sentences",32,IF(J335="concepts",33,IF(J335="ad slides",34,IF(J335="scenes",35,IF(J335="famous scenes",36,IF(J335="poems",37,IF(J335="walk",38,IF(J335="faces and events",39,IF(J335="events and names",40,IF(J335="flashbulb",41,IF(J335="stories",42,IF(J335="course material",43,IF(J335="autobiographical",44,IF(J335="novels",45,IF(J335="public events",46,"99"))))))))))))))))))))))))))))))))))))))))))))))</f>
        <v>43</v>
      </c>
      <c r="L335" s="60">
        <f>IF(J335="syllables",1,IF(J335="trigrams",1,IF(J335="strings",1,IF(J335="visual array",1,IF(J335="characters",1,IF(J335="letters",1,IF(J335="free forms",1,IF(J335="odors",2,IF(J335="words",2,IF(J335="pictures",2,IF(J335="object pictures",2,IF(J335="faces",2,IF(J335="names",2,IF(J335="idioms","2",IF(J335="grades",2,IF(J335="syllable-digit pairs",3,IF(J335="trigram-word pairs",3,IF(J335="word-digit pairs",3,IF(J335="English-Swahili pairs",3,IF(J335="spatial position",3,IF(J335="word pairs",4,IF(J335="word triads",4,IF(J335="generated words",4,IF(J335="word definition pairs",4,IF(J335="math problems",4,IF(J335="famous faces",4,IF(J335="famous names",4,IF(J335="famous voices",4,IF(J335="television programs",4,IF(J335="race horses",4,IF(J335="new vocabulary",4,IF(J335="sentences",5,IF(J335="concepts",5,IF(J335="ad slides",5,IF(J335="scenes",5,IF(J335="famous scenes",5,IF(J335="poems",6,IF(J335="walk",6,IF(J335="faces and events",6,IF(J335="events and names",6,IF(J335="flashbulb",7,IF(J335="stories",7,IF(J335="course material",7,IF(J335="autobiographical",7,IF(J335="novels",7,IF(J335="public events",7,"99"))))))))))))))))))))))))))))))))))))))))))))))</f>
        <v>7</v>
      </c>
      <c r="M335" s="59">
        <v>0</v>
      </c>
      <c r="N335" s="59">
        <v>2</v>
      </c>
      <c r="O335" s="59">
        <v>0</v>
      </c>
      <c r="P335" s="59"/>
      <c r="Q335" s="59" t="s">
        <v>65</v>
      </c>
      <c r="R335" s="60">
        <f>IF(Q335="Free Recall",1,IF(Q335="Cued Recall",2,IF(Q335="Recognition",3,IF(Q335="Multiple Choice",4,IF(Q335="Savings",5,IF(Q335="Stem Completion",6,IF(Q335="Fragment Completion",7,IF(Q335="anagram solution",8,IF(Q335="Matching",9,IF(Q335="Problem Solving",10,"99"))))))))))</f>
        <v>2</v>
      </c>
      <c r="S335" s="59" t="s">
        <v>49</v>
      </c>
      <c r="T335" s="59" t="s">
        <v>581</v>
      </c>
      <c r="U335" s="60">
        <f>IF(T335="within",1,0)</f>
        <v>1</v>
      </c>
      <c r="V335" s="59">
        <v>15</v>
      </c>
      <c r="W335" s="60">
        <f>F335*V335</f>
        <v>1035</v>
      </c>
      <c r="X335" s="59">
        <v>5</v>
      </c>
      <c r="Y335" s="76">
        <f>AV334</f>
        <v>600</v>
      </c>
      <c r="Z335" s="59" t="s">
        <v>276</v>
      </c>
      <c r="AA335" s="59">
        <f>8*7*24*3600</f>
        <v>4838400</v>
      </c>
      <c r="AB335" s="60" t="str">
        <f>IF(AA335&lt;60,"1",IF(AA335&lt;=43200,"2",IF(AA335&lt;=777600,"3","4")))</f>
        <v>4</v>
      </c>
      <c r="AC335" s="56">
        <f>AVERAGE(AV334:DA334)</f>
        <v>1391160</v>
      </c>
      <c r="AD335" s="60" t="str">
        <f>IF(AC335&lt;60,"1",IF(AC335&lt;=43200,"2",IF(AC335&lt;=777600,"3","4")))</f>
        <v>4</v>
      </c>
      <c r="AE335" s="76">
        <f>AA335-Y335</f>
        <v>4837800</v>
      </c>
      <c r="AF335" s="80">
        <f>AV335</f>
        <v>0.62</v>
      </c>
      <c r="AG335" s="56">
        <f>((AW335-AV335)+(AX335-AW335)+(AY335-AX335)+(AZ335-AY335))/4</f>
        <v>-9.4750000000000001E-2</v>
      </c>
      <c r="AH335" s="4"/>
      <c r="AI335" s="56">
        <f>RSQ(AV335:AZ335,AV334:AZ334)</f>
        <v>0.52715069349108135</v>
      </c>
      <c r="AJ335" s="109">
        <f>SLOPE(AV335:AZ335,AV334:AZ334)</f>
        <v>-5.4440845154975766E-8</v>
      </c>
      <c r="AK335" s="56">
        <f>INTERCEPT(AV335:AZ335,AV334:AZ334)</f>
        <v>0.46893592614579616</v>
      </c>
      <c r="AL335" s="56">
        <f>INDEX(LINEST(LN(AV335:AZ335),LN(AV334:AZ334),TRUE,TRUE),3,1)</f>
        <v>0.85854703014004896</v>
      </c>
      <c r="AM335" s="56">
        <f>INDEX(LINEST(LN(AV335:AZ335),LN(AV334:AZ334)),1)</f>
        <v>-9.7071033538941989E-2</v>
      </c>
      <c r="AN335" s="56">
        <f>EXP(INDEX(LINEST(LN(AV335:AZ335),LN(AV334:AZ334)),1,2))</f>
        <v>1.234556286232392</v>
      </c>
      <c r="AO335" s="82">
        <f>INDEX(LINEST((AV335:AZ335),LN(AV334:AZ334),TRUE,TRUE),3,1)</f>
        <v>0.92608293036332501</v>
      </c>
      <c r="AP335" s="82">
        <f>INDEX(LINEST((AV335:AZ335),LN(AV334:AZ334)),1)</f>
        <v>-4.1021964800964823E-2</v>
      </c>
      <c r="AQ335" s="83">
        <f>INDEX(LINEST(LN(AV335:AZ335),SQRT(AV334:AZ334),TRUE,TRUE),3,1)</f>
        <v>0.88295553724469877</v>
      </c>
      <c r="AR335" s="116">
        <f>INDEX(LINEST(LN(AV335:AZ335),SQRT((AV334:AZ334))),1)</f>
        <v>-4.2257713377437373E-4</v>
      </c>
      <c r="AS335" s="84">
        <f>INDEX(LINEST(1/(AV335:AZ335),1/(SQRT(AV334:AZ334)),TRUE,TRUE),3,1)</f>
        <v>0.51104340825533201</v>
      </c>
      <c r="AT335" s="84">
        <f>INDEX(LINEST(1/(AV335:AZ335),1/SQRT(AV334:AZ334)),1)</f>
        <v>-39.247219785133851</v>
      </c>
      <c r="AU335" s="3"/>
      <c r="AV335" s="11">
        <v>0.62</v>
      </c>
      <c r="AW335" s="11">
        <v>0.45300000000000001</v>
      </c>
      <c r="AX335" s="11">
        <v>0.34599999999999997</v>
      </c>
      <c r="AY335" s="11">
        <v>0.30599999999999999</v>
      </c>
      <c r="AZ335" s="11">
        <v>0.24099999999999999</v>
      </c>
      <c r="BA335" s="11"/>
      <c r="BB335" s="11"/>
      <c r="BC335" s="11"/>
      <c r="BD335" s="11"/>
      <c r="BE335" s="11"/>
      <c r="BF335" s="11"/>
      <c r="BG335" s="11"/>
      <c r="BH335" s="11"/>
      <c r="BI335" s="11"/>
      <c r="BJ335" s="11"/>
      <c r="BK335" s="11"/>
      <c r="BL335" s="11"/>
      <c r="BM335" s="11"/>
      <c r="BN335" s="11"/>
      <c r="BO335" s="11"/>
      <c r="BP335" s="11"/>
      <c r="BQ335" s="11"/>
      <c r="BR335" s="11"/>
      <c r="BS335" s="11"/>
      <c r="BT335" s="11"/>
      <c r="BU335" s="11"/>
      <c r="BV335" s="11"/>
      <c r="BW335" s="11"/>
      <c r="BX335" s="11"/>
      <c r="BY335" s="11"/>
      <c r="BZ335" s="11"/>
      <c r="CA335" s="11"/>
      <c r="CB335" s="11"/>
      <c r="CC335" s="11"/>
      <c r="CD335" s="11"/>
      <c r="CE335" s="11"/>
      <c r="CF335" s="11"/>
      <c r="CG335" s="11"/>
      <c r="CH335" s="11"/>
      <c r="CI335" s="11"/>
      <c r="CJ335" s="11"/>
      <c r="CK335" s="11"/>
      <c r="CL335" s="11"/>
      <c r="CM335" s="11"/>
      <c r="CN335" s="11"/>
      <c r="CO335" s="11"/>
      <c r="CP335" s="11"/>
      <c r="CQ335" s="11"/>
      <c r="CR335" s="15"/>
      <c r="CS335" s="15"/>
      <c r="CT335" s="15"/>
      <c r="CU335" s="15"/>
    </row>
    <row r="336" spans="1:99" s="13" customFormat="1" ht="12" customHeight="1" x14ac:dyDescent="0.2">
      <c r="A336" s="65">
        <v>43896</v>
      </c>
      <c r="B336" s="1"/>
      <c r="D336" s="61"/>
      <c r="E336" s="76"/>
      <c r="F336" s="60"/>
      <c r="G336" s="60"/>
      <c r="H336" s="60"/>
      <c r="I336" s="60"/>
      <c r="J336" s="60"/>
      <c r="K336" s="64"/>
      <c r="L336" s="64"/>
      <c r="M336" s="60"/>
      <c r="N336" s="59"/>
      <c r="O336" s="60"/>
      <c r="P336" s="60"/>
      <c r="Q336" s="60"/>
      <c r="R336" s="60"/>
      <c r="S336" s="60"/>
      <c r="T336" s="60"/>
      <c r="U336" s="60"/>
      <c r="V336" s="60"/>
      <c r="W336" s="60"/>
      <c r="X336" s="60"/>
      <c r="Y336" s="76"/>
      <c r="Z336" s="60"/>
      <c r="AA336" s="60"/>
      <c r="AB336" s="60"/>
      <c r="AC336" s="56"/>
      <c r="AD336" s="60"/>
      <c r="AE336" s="60"/>
      <c r="AF336" s="80"/>
      <c r="AG336" s="56"/>
      <c r="AH336" s="4"/>
      <c r="AI336" s="56"/>
      <c r="AJ336" s="109"/>
      <c r="AK336" s="56"/>
      <c r="AL336" s="56"/>
      <c r="AM336" s="56"/>
      <c r="AN336" s="56"/>
      <c r="AO336" s="82"/>
      <c r="AP336" s="82"/>
      <c r="AQ336" s="83"/>
      <c r="AR336" s="116"/>
      <c r="AS336" s="84"/>
      <c r="AT336" s="84"/>
      <c r="AU336" s="3"/>
      <c r="AV336" s="25">
        <v>315360000</v>
      </c>
      <c r="AW336" s="25">
        <v>630720000</v>
      </c>
      <c r="AX336" s="25">
        <v>646080000</v>
      </c>
      <c r="AY336" s="25">
        <v>12614400000</v>
      </c>
      <c r="AZ336" s="25">
        <v>1576800000</v>
      </c>
      <c r="BA336" s="25">
        <v>1892160000</v>
      </c>
      <c r="BB336" s="53"/>
      <c r="BC336" s="53"/>
      <c r="BD336" s="53"/>
      <c r="BE336" s="53"/>
      <c r="BF336" s="53"/>
      <c r="BG336" s="53"/>
      <c r="BH336" s="53"/>
      <c r="BI336" s="53"/>
      <c r="BJ336" s="53"/>
      <c r="BK336" s="53"/>
      <c r="BL336" s="53"/>
      <c r="BM336" s="53"/>
      <c r="BN336" s="53"/>
      <c r="BO336" s="53"/>
      <c r="BP336" s="53"/>
      <c r="BQ336" s="53"/>
      <c r="BR336" s="53"/>
      <c r="BS336" s="53"/>
      <c r="BT336" s="53"/>
      <c r="BU336" s="53"/>
      <c r="BV336" s="53"/>
      <c r="BW336" s="53"/>
      <c r="BX336" s="53"/>
      <c r="BY336" s="53"/>
      <c r="BZ336" s="53"/>
      <c r="CA336" s="53"/>
      <c r="CB336" s="53"/>
      <c r="CC336" s="53"/>
      <c r="CD336" s="53"/>
      <c r="CE336" s="53"/>
      <c r="CF336" s="53"/>
      <c r="CG336" s="53"/>
      <c r="CH336" s="53"/>
      <c r="CI336" s="53"/>
      <c r="CJ336" s="53"/>
      <c r="CK336" s="53"/>
      <c r="CL336" s="53"/>
      <c r="CM336" s="53"/>
      <c r="CN336" s="53"/>
      <c r="CO336" s="53"/>
      <c r="CP336" s="53"/>
      <c r="CQ336" s="53"/>
      <c r="CR336" s="1"/>
      <c r="CS336" s="1"/>
      <c r="CT336" s="1"/>
      <c r="CU336" s="1"/>
    </row>
    <row r="337" spans="1:99" s="13" customFormat="1" ht="12" customHeight="1" x14ac:dyDescent="0.2">
      <c r="A337" s="65">
        <v>43896</v>
      </c>
      <c r="B337" s="1" t="s">
        <v>352</v>
      </c>
      <c r="C337" s="1" t="s">
        <v>54</v>
      </c>
      <c r="D337" s="60">
        <v>1986</v>
      </c>
      <c r="E337" s="76">
        <v>1</v>
      </c>
      <c r="F337" s="60">
        <v>5</v>
      </c>
      <c r="G337" s="60">
        <v>5</v>
      </c>
      <c r="H337" s="60" t="s">
        <v>38</v>
      </c>
      <c r="I337" s="60" t="s">
        <v>330</v>
      </c>
      <c r="J337" s="60" t="s">
        <v>340</v>
      </c>
      <c r="K337" s="60">
        <f>IF(J337="syllables",1,IF(J337="trigrams",2,IF(J337="strings",3,IF(J337="visual array",4,IF(J337="characters",5,IF(J337="letters",6,IF(J337="free forms",7,IF(J337="odors",8,IF(J337="words",9,IF(J337="pictures",10,IF(J337="object pictures",11,IF(J337="faces",12,IF(J337="names",13,IF(J337="idioms",14,IF(J337="grades",15,IF(J337="syllable-digit pairs",16,IF(J337="trigram-word pairs",17,IF(J337="word-digit pairs",18,IF(J337="English-Swahili pairs",19,IF(J337="spatial position",20,IF(J337="word pairs",21,IF(J337="word triads",22,IF(J337="generated words",23,IF(J337="word definition pairs",24,IF(J337="math problems",25,IF(J337="famous faces",26,IF(J337="famous names",27,IF(J337="famous voices",28,IF(J337="television programs",29,IF(J337="race horses",30,IF(J337="new vocabulary",31,IF(J337="sentences",32,IF(J337="concepts",33,IF(J337="ad slides",34,IF(J337="scenes",35,IF(J337="famous scenes",36,IF(J337="poems",37,IF(J337="walk",38,IF(J337="faces and events",39,IF(J337="events and names",40,IF(J337="flashbulb",41,IF(J337="stories",42,IF(J337="course material",43,IF(J337="autobiographical",44,IF(J337="novels",45,IF(J337="public events",46,"99"))))))))))))))))))))))))))))))))))))))))))))))</f>
        <v>46</v>
      </c>
      <c r="L337" s="60">
        <f>IF(J337="syllables",1,IF(J337="trigrams",1,IF(J337="strings",1,IF(J337="visual array",1,IF(J337="characters",1,IF(J337="letters",1,IF(J337="free forms",1,IF(J337="odors",2,IF(J337="words",2,IF(J337="pictures",2,IF(J337="object pictures",2,IF(J337="faces",2,IF(J337="names",2,IF(J337="idioms","2",IF(J337="grades",2,IF(J337="syllable-digit pairs",3,IF(J337="trigram-word pairs",3,IF(J337="word-digit pairs",3,IF(J337="English-Swahili pairs",3,IF(J337="spatial position",3,IF(J337="word pairs",4,IF(J337="word triads",4,IF(J337="generated words",4,IF(J337="word definition pairs",4,IF(J337="math problems",4,IF(J337="famous faces",4,IF(J337="famous names",4,IF(J337="famous voices",4,IF(J337="television programs",4,IF(J337="race horses",4,IF(J337="new vocabulary",4,IF(J337="sentences",5,IF(J337="concepts",5,IF(J337="ad slides",5,IF(J337="scenes",5,IF(J337="famous scenes",5,IF(J337="poems",6,IF(J337="walk",6,IF(J337="faces and events",6,IF(J337="events and names",6,IF(J337="flashbulb",7,IF(J337="stories",7,IF(J337="course material",7,IF(J337="autobiographical",7,IF(J337="novels",7,IF(J337="public events",7,"99"))))))))))))))))))))))))))))))))))))))))))))))</f>
        <v>7</v>
      </c>
      <c r="M337" s="60">
        <v>1</v>
      </c>
      <c r="N337" s="59">
        <v>4</v>
      </c>
      <c r="O337" s="60">
        <v>0</v>
      </c>
      <c r="P337" s="60"/>
      <c r="Q337" s="60" t="s">
        <v>174</v>
      </c>
      <c r="R337" s="60">
        <f>IF(Q337="Free Recall",1,IF(Q337="Cued Recall",2,IF(Q337="Recognition",3,IF(Q337="Multiple Choice",4,IF(Q337="Savings",5,IF(Q337="Stem Completion",6,IF(Q337="Fragment Completion",7,IF(Q337="anagram solution",8,IF(Q337="Matching",9,IF(Q337="Problem Solving",10,"99"))))))))))</f>
        <v>1</v>
      </c>
      <c r="S337" s="60" t="s">
        <v>49</v>
      </c>
      <c r="T337" s="59" t="s">
        <v>581</v>
      </c>
      <c r="U337" s="60">
        <f>IF(T337="within",1,0)</f>
        <v>1</v>
      </c>
      <c r="V337" s="59">
        <v>80</v>
      </c>
      <c r="W337" s="60">
        <f>F337*V337</f>
        <v>400</v>
      </c>
      <c r="X337" s="60">
        <v>6</v>
      </c>
      <c r="Y337" s="76">
        <f>AV336</f>
        <v>315360000</v>
      </c>
      <c r="Z337" s="59" t="s">
        <v>419</v>
      </c>
      <c r="AA337" s="60">
        <f>60*365*24*60*60</f>
        <v>1892160000</v>
      </c>
      <c r="AB337" s="60" t="str">
        <f>IF(AA337&lt;60,"1",IF(AA337&lt;=43200,"2",IF(AA337&lt;=777600,"3","4")))</f>
        <v>4</v>
      </c>
      <c r="AC337" s="56">
        <f>AVERAGE(AV336:DA336)</f>
        <v>2945920000</v>
      </c>
      <c r="AD337" s="60" t="str">
        <f>IF(AC337&lt;60,"1",IF(AC337&lt;=43200,"2",IF(AC337&lt;=777600,"3","4")))</f>
        <v>4</v>
      </c>
      <c r="AE337" s="76">
        <f>AA337-Y337</f>
        <v>1576800000</v>
      </c>
      <c r="AF337" s="80">
        <f>AV337</f>
        <v>0.64102564102564097</v>
      </c>
      <c r="AG337" s="56">
        <f>((AW337-AV337)+(AX337-AW337)+(AY337-AX337)+(AZ337-AY337)+(BA337-AZ337))/5</f>
        <v>-0.11619311619311619</v>
      </c>
      <c r="AH337" s="4"/>
      <c r="AI337" s="56">
        <f>RSQ(AV337:BA337,AV336:BA336)</f>
        <v>1.5812427452449642E-4</v>
      </c>
      <c r="AJ337" s="109">
        <f>SLOPE(AV337:BA337,AV336:BA336)</f>
        <v>5.3527357686623139E-13</v>
      </c>
      <c r="AK337" s="56">
        <f>INTERCEPT(AV337:BA337,AV336:BA336)</f>
        <v>0.40510793091623393</v>
      </c>
      <c r="AL337" s="56">
        <f>INDEX(LINEST(LN(AV337:BA337),LN(AV336:BA336),TRUE,TRUE),3,1)</f>
        <v>5.3976173266513904E-2</v>
      </c>
      <c r="AM337" s="56">
        <f>INDEX(LINEST(LN(AV337:BA337),LN(AV336:BA336)),1)</f>
        <v>-0.15567545715976089</v>
      </c>
      <c r="AN337" s="56">
        <f>EXP(INDEX(LINEST(LN(AV337:BA337),LN(AV336:BA336)),1,2))</f>
        <v>8.6416202459170179</v>
      </c>
      <c r="AO337" s="82">
        <f>INDEX(LINEST((AV337:BA337),LN(AV336:BA336),TRUE,TRUE),3,1)</f>
        <v>0.11536029244654912</v>
      </c>
      <c r="AP337" s="82">
        <f>INDEX(LINEST((AV337:BA337),LN(AV336:BA336)),1)</f>
        <v>-5.3395643915034534E-2</v>
      </c>
      <c r="AQ337" s="83">
        <f>INDEX(LINEST(LN(AV337:BA337),SQRT(AV336:BA336),TRUE,TRUE),3,1)</f>
        <v>1.929573603041223E-3</v>
      </c>
      <c r="AR337" s="116">
        <f>INDEX(LINEST(LN(AV337:BA337),SQRT((AV336:BA336))),1)</f>
        <v>-1.0918309905305978E-6</v>
      </c>
      <c r="AS337" s="84">
        <f>INDEX(LINEST(1/(AV337:BA337),1/(SQRT(AV336:BA336)),TRUE,TRUE),3,1)</f>
        <v>9.6218128317737517E-2</v>
      </c>
      <c r="AT337" s="84">
        <f>INDEX(LINEST(1/(AV337:BA337),1/SQRT(AV336:BA336)),1)</f>
        <v>-110930.58868884285</v>
      </c>
      <c r="AU337" s="3"/>
      <c r="AV337" s="53">
        <v>0.64102564102564097</v>
      </c>
      <c r="AW337" s="53">
        <v>0.56000000000000005</v>
      </c>
      <c r="AX337" s="53">
        <v>0.37974683544303794</v>
      </c>
      <c r="AY337" s="53">
        <v>0.45977011494252878</v>
      </c>
      <c r="AZ337" s="53">
        <v>0.33950617283950618</v>
      </c>
      <c r="BA337" s="53">
        <v>6.006006006006006E-2</v>
      </c>
      <c r="BB337" s="53"/>
      <c r="BC337" s="53"/>
      <c r="BD337" s="53"/>
      <c r="BE337" s="53"/>
      <c r="BF337" s="53"/>
      <c r="BG337" s="53"/>
      <c r="BH337" s="53"/>
      <c r="BI337" s="53"/>
      <c r="BJ337" s="53"/>
      <c r="BK337" s="53"/>
      <c r="BL337" s="53"/>
      <c r="BM337" s="53"/>
      <c r="BN337" s="53"/>
      <c r="BO337" s="53"/>
      <c r="BP337" s="53"/>
      <c r="BQ337" s="53"/>
      <c r="BR337" s="53"/>
      <c r="BS337" s="53"/>
      <c r="BT337" s="53"/>
      <c r="BU337" s="53"/>
      <c r="BV337" s="53"/>
      <c r="BW337" s="53"/>
      <c r="BX337" s="53"/>
      <c r="BY337" s="53"/>
      <c r="BZ337" s="53"/>
      <c r="CA337" s="53"/>
      <c r="CB337" s="53"/>
      <c r="CC337" s="53"/>
      <c r="CD337" s="53"/>
      <c r="CE337" s="53"/>
      <c r="CF337" s="53"/>
      <c r="CG337" s="53"/>
      <c r="CH337" s="53"/>
      <c r="CI337" s="53"/>
      <c r="CJ337" s="53"/>
      <c r="CK337" s="53"/>
      <c r="CL337" s="53"/>
      <c r="CM337" s="53"/>
      <c r="CN337" s="53"/>
      <c r="CO337" s="53"/>
      <c r="CP337" s="53"/>
      <c r="CQ337" s="53"/>
      <c r="CR337" s="1"/>
      <c r="CS337" s="1"/>
      <c r="CT337" s="1"/>
      <c r="CU337" s="1"/>
    </row>
    <row r="338" spans="1:99" s="13" customFormat="1" ht="12" customHeight="1" x14ac:dyDescent="0.2">
      <c r="A338" s="65">
        <v>43896</v>
      </c>
      <c r="B338" s="1"/>
      <c r="D338" s="61"/>
      <c r="E338" s="76"/>
      <c r="F338" s="60"/>
      <c r="G338" s="60"/>
      <c r="H338" s="60"/>
      <c r="I338" s="60"/>
      <c r="J338" s="60"/>
      <c r="K338" s="64"/>
      <c r="L338" s="64"/>
      <c r="M338" s="60"/>
      <c r="N338" s="59"/>
      <c r="O338" s="60"/>
      <c r="P338" s="60"/>
      <c r="Q338" s="60"/>
      <c r="R338" s="60"/>
      <c r="S338" s="60"/>
      <c r="T338" s="59"/>
      <c r="U338" s="60"/>
      <c r="V338" s="59"/>
      <c r="W338" s="60"/>
      <c r="X338" s="60"/>
      <c r="Y338" s="76"/>
      <c r="Z338" s="59"/>
      <c r="AA338" s="59"/>
      <c r="AB338" s="60"/>
      <c r="AC338" s="56"/>
      <c r="AD338" s="60"/>
      <c r="AE338" s="60"/>
      <c r="AF338" s="80"/>
      <c r="AG338" s="56"/>
      <c r="AH338" s="4"/>
      <c r="AI338" s="56"/>
      <c r="AJ338" s="109"/>
      <c r="AK338" s="56"/>
      <c r="AL338" s="56"/>
      <c r="AM338" s="56"/>
      <c r="AN338" s="56"/>
      <c r="AO338" s="82"/>
      <c r="AP338" s="82"/>
      <c r="AQ338" s="83"/>
      <c r="AR338" s="116"/>
      <c r="AS338" s="84"/>
      <c r="AT338" s="84"/>
      <c r="AU338" s="3"/>
      <c r="AV338" s="25">
        <v>315360000</v>
      </c>
      <c r="AW338" s="25">
        <v>630720000</v>
      </c>
      <c r="AX338" s="25">
        <v>646080000</v>
      </c>
      <c r="AY338" s="25">
        <v>12614400000</v>
      </c>
      <c r="AZ338" s="25">
        <v>1576800000</v>
      </c>
      <c r="BA338" s="25">
        <v>1892160000</v>
      </c>
      <c r="BB338" s="53"/>
      <c r="BC338" s="53"/>
      <c r="BD338" s="53"/>
      <c r="BE338" s="53"/>
      <c r="BF338" s="53"/>
      <c r="BG338" s="53"/>
      <c r="BH338" s="53"/>
      <c r="BI338" s="53"/>
      <c r="BJ338" s="53"/>
      <c r="BK338" s="53"/>
      <c r="BL338" s="53"/>
      <c r="BM338" s="53"/>
      <c r="BN338" s="53"/>
      <c r="BO338" s="53"/>
      <c r="BP338" s="53"/>
      <c r="BQ338" s="53"/>
      <c r="BR338" s="53"/>
      <c r="BS338" s="53"/>
      <c r="BT338" s="53"/>
      <c r="BU338" s="53"/>
      <c r="BV338" s="53"/>
      <c r="BW338" s="53"/>
      <c r="BX338" s="53"/>
      <c r="BY338" s="53"/>
      <c r="BZ338" s="53"/>
      <c r="CA338" s="53"/>
      <c r="CB338" s="53"/>
      <c r="CC338" s="53"/>
      <c r="CD338" s="53"/>
      <c r="CE338" s="53"/>
      <c r="CF338" s="53"/>
      <c r="CG338" s="53"/>
      <c r="CH338" s="53"/>
      <c r="CI338" s="53"/>
      <c r="CJ338" s="53"/>
      <c r="CK338" s="53"/>
      <c r="CL338" s="53"/>
      <c r="CM338" s="53"/>
      <c r="CN338" s="53"/>
      <c r="CO338" s="53"/>
      <c r="CP338" s="53"/>
      <c r="CQ338" s="53"/>
      <c r="CR338" s="1"/>
      <c r="CS338" s="1"/>
      <c r="CT338" s="1"/>
      <c r="CU338" s="1"/>
    </row>
    <row r="339" spans="1:99" s="13" customFormat="1" ht="12" customHeight="1" x14ac:dyDescent="0.2">
      <c r="A339" s="65">
        <v>43896</v>
      </c>
      <c r="B339" s="1" t="s">
        <v>352</v>
      </c>
      <c r="C339" s="1" t="s">
        <v>54</v>
      </c>
      <c r="D339" s="60">
        <v>1986</v>
      </c>
      <c r="E339" s="76">
        <v>1</v>
      </c>
      <c r="F339" s="60">
        <v>5</v>
      </c>
      <c r="G339" s="60">
        <v>5</v>
      </c>
      <c r="H339" s="60" t="s">
        <v>38</v>
      </c>
      <c r="I339" s="60" t="s">
        <v>330</v>
      </c>
      <c r="J339" s="60" t="s">
        <v>340</v>
      </c>
      <c r="K339" s="60">
        <f>IF(J339="syllables",1,IF(J339="trigrams",2,IF(J339="strings",3,IF(J339="visual array",4,IF(J339="characters",5,IF(J339="letters",6,IF(J339="free forms",7,IF(J339="odors",8,IF(J339="words",9,IF(J339="pictures",10,IF(J339="object pictures",11,IF(J339="faces",12,IF(J339="names",13,IF(J339="idioms",14,IF(J339="grades",15,IF(J339="syllable-digit pairs",16,IF(J339="trigram-word pairs",17,IF(J339="word-digit pairs",18,IF(J339="English-Swahili pairs",19,IF(J339="spatial position",20,IF(J339="word pairs",21,IF(J339="word triads",22,IF(J339="generated words",23,IF(J339="word definition pairs",24,IF(J339="math problems",25,IF(J339="famous faces",26,IF(J339="famous names",27,IF(J339="famous voices",28,IF(J339="television programs",29,IF(J339="race horses",30,IF(J339="new vocabulary",31,IF(J339="sentences",32,IF(J339="concepts",33,IF(J339="ad slides",34,IF(J339="scenes",35,IF(J339="famous scenes",36,IF(J339="poems",37,IF(J339="walk",38,IF(J339="faces and events",39,IF(J339="events and names",40,IF(J339="flashbulb",41,IF(J339="stories",42,IF(J339="course material",43,IF(J339="autobiographical",44,IF(J339="novels",45,IF(J339="public events",46,"99"))))))))))))))))))))))))))))))))))))))))))))))</f>
        <v>46</v>
      </c>
      <c r="L339" s="60">
        <f>IF(J339="syllables",1,IF(J339="trigrams",1,IF(J339="strings",1,IF(J339="visual array",1,IF(J339="characters",1,IF(J339="letters",1,IF(J339="free forms",1,IF(J339="odors",2,IF(J339="words",2,IF(J339="pictures",2,IF(J339="object pictures",2,IF(J339="faces",2,IF(J339="names",2,IF(J339="idioms","2",IF(J339="grades",2,IF(J339="syllable-digit pairs",3,IF(J339="trigram-word pairs",3,IF(J339="word-digit pairs",3,IF(J339="English-Swahili pairs",3,IF(J339="spatial position",3,IF(J339="word pairs",4,IF(J339="word triads",4,IF(J339="generated words",4,IF(J339="word definition pairs",4,IF(J339="math problems",4,IF(J339="famous faces",4,IF(J339="famous names",4,IF(J339="famous voices",4,IF(J339="television programs",4,IF(J339="race horses",4,IF(J339="new vocabulary",4,IF(J339="sentences",5,IF(J339="concepts",5,IF(J339="ad slides",5,IF(J339="scenes",5,IF(J339="famous scenes",5,IF(J339="poems",6,IF(J339="walk",6,IF(J339="faces and events",6,IF(J339="events and names",6,IF(J339="flashbulb",7,IF(J339="stories",7,IF(J339="course material",7,IF(J339="autobiographical",7,IF(J339="novels",7,IF(J339="public events",7,"99"))))))))))))))))))))))))))))))))))))))))))))))</f>
        <v>7</v>
      </c>
      <c r="M339" s="60">
        <v>1</v>
      </c>
      <c r="N339" s="59">
        <v>4</v>
      </c>
      <c r="O339" s="60">
        <v>0</v>
      </c>
      <c r="P339" s="60"/>
      <c r="Q339" s="60" t="s">
        <v>34</v>
      </c>
      <c r="R339" s="60">
        <f>IF(Q339="Free Recall",1,IF(Q339="Cued Recall",2,IF(Q339="Recognition",3,IF(Q339="Multiple Choice",4,IF(Q339="Savings",5,IF(Q339="Stem Completion",6,IF(Q339="Fragment Completion",7,IF(Q339="anagram solution",8,IF(Q339="Matching",9,IF(Q339="Problem Solving",10,"99"))))))))))</f>
        <v>3</v>
      </c>
      <c r="S339" s="60" t="s">
        <v>15</v>
      </c>
      <c r="T339" s="59" t="s">
        <v>581</v>
      </c>
      <c r="U339" s="60">
        <f>IF(T339="within",1,0)</f>
        <v>1</v>
      </c>
      <c r="V339" s="59">
        <v>80</v>
      </c>
      <c r="W339" s="60">
        <f>F339*V339</f>
        <v>400</v>
      </c>
      <c r="X339" s="60">
        <v>6</v>
      </c>
      <c r="Y339" s="76">
        <f>AV338</f>
        <v>315360000</v>
      </c>
      <c r="Z339" s="59" t="s">
        <v>419</v>
      </c>
      <c r="AA339" s="60">
        <f>60*365*24*60*60</f>
        <v>1892160000</v>
      </c>
      <c r="AB339" s="60" t="str">
        <f>IF(AA339&lt;60,"1",IF(AA339&lt;=43200,"2",IF(AA339&lt;=777600,"3","4")))</f>
        <v>4</v>
      </c>
      <c r="AC339" s="56">
        <f>AVERAGE(AV338:DA338)</f>
        <v>2945920000</v>
      </c>
      <c r="AD339" s="60" t="str">
        <f>IF(AC339&lt;60,"1",IF(AC339&lt;=43200,"2",IF(AC339&lt;=777600,"3","4")))</f>
        <v>4</v>
      </c>
      <c r="AE339" s="76">
        <f>AA339-Y339</f>
        <v>1576800000</v>
      </c>
      <c r="AF339" s="80">
        <f>AV339</f>
        <v>0.83333333333333337</v>
      </c>
      <c r="AG339" s="56">
        <f>((AW339-AV339)+(AX339-AW339)+(AY339-AX339)+(AZ339-AY339)+(BA339-AZ339))/5</f>
        <v>-0.12068965517241378</v>
      </c>
      <c r="AH339" s="4"/>
      <c r="AI339" s="56">
        <f>RSQ(AV339:BA339,AV338:BA338)</f>
        <v>3.376924157785319E-3</v>
      </c>
      <c r="AJ339" s="109">
        <f>SLOPE(AV339:BA339,AV338:BA338)</f>
        <v>-2.6217097552020363E-12</v>
      </c>
      <c r="AK339" s="56">
        <f>INTERCEPT(AV339:BA339,AV338:BA338)</f>
        <v>0.64119441054142257</v>
      </c>
      <c r="AL339" s="56">
        <f>INDEX(LINEST(LN(AV339:BA339),LN(AV338:BA338),TRUE,TRUE),3,1)</f>
        <v>8.4968416715099651E-2</v>
      </c>
      <c r="AM339" s="56">
        <f>INDEX(LINEST(LN(AV339:BA339),LN(AV338:BA338)),1)</f>
        <v>-0.10705750353645044</v>
      </c>
      <c r="AN339" s="56">
        <f>EXP(INDEX(LINEST(LN(AV339:BA339),LN(AV338:BA338)),1,2))</f>
        <v>5.5581651261611142</v>
      </c>
      <c r="AO339" s="82">
        <f>INDEX(LINEST((AV339:BA339),LN(AV338:BA338),TRUE,TRUE),3,1)</f>
        <v>0.1432980083002818</v>
      </c>
      <c r="AP339" s="82">
        <f>INDEX(LINEST((AV339:BA339),LN(AV338:BA338)),1)</f>
        <v>-6.3073242090405005E-2</v>
      </c>
      <c r="AQ339" s="83">
        <f>INDEX(LINEST(LN(AV339:BA339),SQRT(AV338:BA338),TRUE,TRUE),3,1)</f>
        <v>1.2789417948527311E-2</v>
      </c>
      <c r="AR339" s="116">
        <f>INDEX(LINEST(LN(AV339:BA339),SQRT((AV338:BA338))),1)</f>
        <v>-1.5407045936171615E-6</v>
      </c>
      <c r="AS339" s="84">
        <f>INDEX(LINEST(1/(AV339:BA339),1/(SQRT(AV338:BA338)),TRUE,TRUE),3,1)</f>
        <v>0.13400322788130217</v>
      </c>
      <c r="AT339" s="84">
        <f>INDEX(LINEST(1/(AV339:BA339),1/SQRT(AV338:BA338)),1)</f>
        <v>-26732.83228559907</v>
      </c>
      <c r="AU339" s="3"/>
      <c r="AV339" s="53">
        <v>0.83333333333333337</v>
      </c>
      <c r="AW339" s="53">
        <v>0.79746835443037967</v>
      </c>
      <c r="AX339" s="53">
        <v>0.67</v>
      </c>
      <c r="AY339" s="53">
        <v>0.65789473684210531</v>
      </c>
      <c r="AZ339" s="53">
        <v>0.61224489795918369</v>
      </c>
      <c r="BA339" s="53">
        <v>0.22988505747126439</v>
      </c>
      <c r="BB339" s="53"/>
      <c r="BC339" s="53"/>
      <c r="BD339" s="53"/>
      <c r="BE339" s="53"/>
      <c r="BF339" s="53"/>
      <c r="BG339" s="53"/>
      <c r="BH339" s="53"/>
      <c r="BI339" s="53"/>
      <c r="BJ339" s="53"/>
      <c r="BK339" s="53"/>
      <c r="BL339" s="53"/>
      <c r="BM339" s="53"/>
      <c r="BN339" s="53"/>
      <c r="BO339" s="53"/>
      <c r="BP339" s="53"/>
      <c r="BQ339" s="53"/>
      <c r="BR339" s="53"/>
      <c r="BS339" s="53"/>
      <c r="BT339" s="53"/>
      <c r="BU339" s="53"/>
      <c r="BV339" s="53"/>
      <c r="BW339" s="53"/>
      <c r="BX339" s="53"/>
      <c r="BY339" s="53"/>
      <c r="BZ339" s="53"/>
      <c r="CA339" s="53"/>
      <c r="CB339" s="53"/>
      <c r="CC339" s="53"/>
      <c r="CD339" s="53"/>
      <c r="CE339" s="53"/>
      <c r="CF339" s="53"/>
      <c r="CG339" s="53"/>
      <c r="CH339" s="53"/>
      <c r="CI339" s="53"/>
      <c r="CJ339" s="53"/>
      <c r="CK339" s="53"/>
      <c r="CL339" s="53"/>
      <c r="CM339" s="53"/>
      <c r="CN339" s="53"/>
      <c r="CO339" s="53"/>
      <c r="CP339" s="53"/>
      <c r="CQ339" s="53"/>
      <c r="CR339" s="1"/>
      <c r="CS339" s="1"/>
      <c r="CT339" s="1"/>
      <c r="CU339" s="1"/>
    </row>
    <row r="340" spans="1:99" s="13" customFormat="1" ht="12" customHeight="1" x14ac:dyDescent="0.2">
      <c r="A340" s="65">
        <v>43896</v>
      </c>
      <c r="B340" s="1"/>
      <c r="D340" s="61"/>
      <c r="E340" s="76"/>
      <c r="F340" s="60"/>
      <c r="G340" s="60"/>
      <c r="H340" s="60"/>
      <c r="I340" s="60"/>
      <c r="J340" s="60"/>
      <c r="K340" s="64"/>
      <c r="L340" s="64"/>
      <c r="M340" s="60"/>
      <c r="N340" s="59"/>
      <c r="O340" s="60"/>
      <c r="P340" s="60"/>
      <c r="Q340" s="60"/>
      <c r="R340" s="60"/>
      <c r="S340" s="60"/>
      <c r="T340" s="59"/>
      <c r="U340" s="60"/>
      <c r="V340" s="59"/>
      <c r="W340" s="60"/>
      <c r="X340" s="60"/>
      <c r="Y340" s="76"/>
      <c r="Z340" s="59"/>
      <c r="AA340" s="59"/>
      <c r="AB340" s="60"/>
      <c r="AC340" s="56"/>
      <c r="AD340" s="60"/>
      <c r="AE340" s="60"/>
      <c r="AF340" s="80"/>
      <c r="AG340" s="56"/>
      <c r="AH340" s="4"/>
      <c r="AI340" s="56"/>
      <c r="AJ340" s="109"/>
      <c r="AK340" s="56"/>
      <c r="AL340" s="56"/>
      <c r="AM340" s="56"/>
      <c r="AN340" s="56"/>
      <c r="AO340" s="82"/>
      <c r="AP340" s="82"/>
      <c r="AQ340" s="83"/>
      <c r="AR340" s="116"/>
      <c r="AS340" s="84"/>
      <c r="AT340" s="84"/>
      <c r="AU340" s="3"/>
      <c r="AV340" s="25">
        <v>315360000</v>
      </c>
      <c r="AW340" s="25">
        <v>630720000</v>
      </c>
      <c r="AX340" s="25">
        <v>646080000</v>
      </c>
      <c r="AY340" s="25">
        <v>12614400000</v>
      </c>
      <c r="AZ340" s="25">
        <v>1576800000</v>
      </c>
      <c r="BA340" s="53"/>
      <c r="BB340" s="53"/>
      <c r="BC340" s="53"/>
      <c r="BD340" s="53"/>
      <c r="BE340" s="53"/>
      <c r="BF340" s="53"/>
      <c r="BG340" s="53"/>
      <c r="BH340" s="53"/>
      <c r="BI340" s="53"/>
      <c r="BJ340" s="53"/>
      <c r="BK340" s="53"/>
      <c r="BL340" s="53"/>
      <c r="BM340" s="53"/>
      <c r="BN340" s="53"/>
      <c r="BO340" s="53"/>
      <c r="BP340" s="53"/>
      <c r="BQ340" s="53"/>
      <c r="BR340" s="53"/>
      <c r="BS340" s="53"/>
      <c r="BT340" s="53"/>
      <c r="BU340" s="53"/>
      <c r="BV340" s="53"/>
      <c r="BW340" s="53"/>
      <c r="BX340" s="53"/>
      <c r="BY340" s="53"/>
      <c r="BZ340" s="53"/>
      <c r="CA340" s="53"/>
      <c r="CB340" s="53"/>
      <c r="CC340" s="53"/>
      <c r="CD340" s="53"/>
      <c r="CE340" s="53"/>
      <c r="CF340" s="53"/>
      <c r="CG340" s="53"/>
      <c r="CH340" s="53"/>
      <c r="CI340" s="53"/>
      <c r="CJ340" s="53"/>
      <c r="CK340" s="53"/>
      <c r="CL340" s="53"/>
      <c r="CM340" s="53"/>
      <c r="CN340" s="53"/>
      <c r="CO340" s="53"/>
      <c r="CP340" s="53"/>
      <c r="CQ340" s="53"/>
      <c r="CR340" s="1"/>
      <c r="CS340" s="1"/>
      <c r="CT340" s="1"/>
      <c r="CU340" s="1"/>
    </row>
    <row r="341" spans="1:99" s="13" customFormat="1" ht="12" customHeight="1" x14ac:dyDescent="0.2">
      <c r="A341" s="65">
        <v>43896</v>
      </c>
      <c r="B341" s="1" t="s">
        <v>352</v>
      </c>
      <c r="C341" s="1" t="s">
        <v>54</v>
      </c>
      <c r="D341" s="60">
        <v>1986</v>
      </c>
      <c r="E341" s="76">
        <v>1</v>
      </c>
      <c r="F341" s="60">
        <v>5</v>
      </c>
      <c r="G341" s="60">
        <v>5</v>
      </c>
      <c r="H341" s="60" t="s">
        <v>30</v>
      </c>
      <c r="I341" s="60" t="s">
        <v>330</v>
      </c>
      <c r="J341" s="60" t="s">
        <v>353</v>
      </c>
      <c r="K341" s="60">
        <f>IF(J341="syllables",1,IF(J341="trigrams",2,IF(J341="strings",3,IF(J341="visual array",4,IF(J341="characters",5,IF(J341="letters",6,IF(J341="free forms",7,IF(J341="odors",8,IF(J341="words",9,IF(J341="pictures",10,IF(J341="object pictures",11,IF(J341="faces",12,IF(J341="names",13,IF(J341="idioms",14,IF(J341="grades",15,IF(J341="syllable-digit pairs",16,IF(J341="trigram-word pairs",17,IF(J341="word-digit pairs",18,IF(J341="English-Swahili pairs",19,IF(J341="spatial position",20,IF(J341="word pairs",21,IF(J341="word triads",22,IF(J341="generated words",23,IF(J341="word definition pairs",24,IF(J341="math problems",25,IF(J341="famous faces",26,IF(J341="famous names",27,IF(J341="famous voices",28,IF(J341="television programs",29,IF(J341="race horses",30,IF(J341="new vocabulary",31,IF(J341="sentences",32,IF(J341="concepts",33,IF(J341="ad slides",34,IF(J341="scenes",35,IF(J341="famous scenes",36,IF(J341="poems",37,IF(J341="walk",38,IF(J341="faces and events",39,IF(J341="events and names",40,IF(J341="flashbulb",41,IF(J341="stories",42,IF(J341="course material",43,IF(J341="autobiographical",44,IF(J341="novels",45,IF(J341="public events",46,"99"))))))))))))))))))))))))))))))))))))))))))))))</f>
        <v>28</v>
      </c>
      <c r="L341" s="60">
        <f>IF(J341="syllables",1,IF(J341="trigrams",1,IF(J341="strings",1,IF(J341="visual array",1,IF(J341="characters",1,IF(J341="letters",1,IF(J341="free forms",1,IF(J341="odors",2,IF(J341="words",2,IF(J341="pictures",2,IF(J341="object pictures",2,IF(J341="faces",2,IF(J341="names",2,IF(J341="idioms","2",IF(J341="grades",2,IF(J341="syllable-digit pairs",3,IF(J341="trigram-word pairs",3,IF(J341="word-digit pairs",3,IF(J341="English-Swahili pairs",3,IF(J341="spatial position",3,IF(J341="word pairs",4,IF(J341="word triads",4,IF(J341="generated words",4,IF(J341="word definition pairs",4,IF(J341="math problems",4,IF(J341="famous faces",4,IF(J341="famous names",4,IF(J341="famous voices",4,IF(J341="television programs",4,IF(J341="race horses",4,IF(J341="new vocabulary",4,IF(J341="sentences",5,IF(J341="concepts",5,IF(J341="ad slides",5,IF(J341="scenes",5,IF(J341="famous scenes",5,IF(J341="poems",6,IF(J341="walk",6,IF(J341="faces and events",6,IF(J341="events and names",6,IF(J341="flashbulb",7,IF(J341="stories",7,IF(J341="course material",7,IF(J341="autobiographical",7,IF(J341="novels",7,IF(J341="public events",7,"99"))))))))))))))))))))))))))))))))))))))))))))))</f>
        <v>4</v>
      </c>
      <c r="M341" s="60">
        <v>1</v>
      </c>
      <c r="N341" s="59">
        <v>2</v>
      </c>
      <c r="O341" s="60">
        <v>0</v>
      </c>
      <c r="P341" s="60"/>
      <c r="Q341" s="60" t="s">
        <v>174</v>
      </c>
      <c r="R341" s="60">
        <f>IF(Q341="Free Recall",1,IF(Q341="Cued Recall",2,IF(Q341="Recognition",3,IF(Q341="Multiple Choice",4,IF(Q341="Savings",5,IF(Q341="Stem Completion",6,IF(Q341="Fragment Completion",7,IF(Q341="anagram solution",8,IF(Q341="Matching",9,IF(Q341="Problem Solving",10,"99"))))))))))</f>
        <v>1</v>
      </c>
      <c r="S341" s="60" t="s">
        <v>49</v>
      </c>
      <c r="T341" s="59" t="s">
        <v>581</v>
      </c>
      <c r="U341" s="60">
        <f>IF(T341="within",1,0)</f>
        <v>1</v>
      </c>
      <c r="V341" s="59">
        <v>80</v>
      </c>
      <c r="W341" s="60">
        <f>F341*V341</f>
        <v>400</v>
      </c>
      <c r="X341" s="60">
        <v>5</v>
      </c>
      <c r="Y341" s="76">
        <f>AV340</f>
        <v>315360000</v>
      </c>
      <c r="Z341" s="59" t="s">
        <v>209</v>
      </c>
      <c r="AA341" s="60">
        <f>50*365*24*60*60</f>
        <v>1576800000</v>
      </c>
      <c r="AB341" s="60" t="str">
        <f>IF(AA341&lt;60,"1",IF(AA341&lt;=43200,"2",IF(AA341&lt;=777600,"3","4")))</f>
        <v>4</v>
      </c>
      <c r="AC341" s="56">
        <f>AVERAGE(AV340:DA340)</f>
        <v>3156672000</v>
      </c>
      <c r="AD341" s="60" t="str">
        <f>IF(AC341&lt;60,"1",IF(AC341&lt;=43200,"2",IF(AC341&lt;=777600,"3","4")))</f>
        <v>4</v>
      </c>
      <c r="AE341" s="76">
        <f>AA341-Y341</f>
        <v>1261440000</v>
      </c>
      <c r="AF341" s="80">
        <f>AV341</f>
        <v>0.64</v>
      </c>
      <c r="AG341" s="56">
        <f>((AW341-AV341)+(AX341-AW341)+(AY341-AX341)+(AZ341-AY341))/4</f>
        <v>-8.7500000000000008E-2</v>
      </c>
      <c r="AH341" s="4"/>
      <c r="AI341" s="56">
        <f>RSQ(AV341:AZ341,AV340:AZ340)</f>
        <v>4.0767331629309566E-4</v>
      </c>
      <c r="AJ341" s="109">
        <f>SLOPE(AV341:AZ341,AV340:AZ340)</f>
        <v>-5.4236438688837065E-13</v>
      </c>
      <c r="AK341" s="56">
        <f>INTERCEPT(AV341:AZ341,AV340:AZ340)</f>
        <v>0.47769201634857439</v>
      </c>
      <c r="AL341" s="56">
        <f>INDEX(LINEST(LN(AV341:AZ341),LN(AV340:AZ340),TRUE,TRUE),3,1)</f>
        <v>5.9608053657885768E-2</v>
      </c>
      <c r="AM341" s="56">
        <f>INDEX(LINEST(LN(AV341:AZ341),LN(AV340:AZ340)),1)</f>
        <v>-5.4899457248047401E-2</v>
      </c>
      <c r="AN341" s="56">
        <f>EXP(INDEX(LINEST(LN(AV341:AZ341),LN(AV340:AZ340)),1,2))</f>
        <v>1.4422049608199381</v>
      </c>
      <c r="AO341" s="82">
        <f>INDEX(LINEST((AV341:AZ341),LN(AV340:AZ340),TRUE,TRUE),3,1)</f>
        <v>8.9657513259645993E-2</v>
      </c>
      <c r="AP341" s="82">
        <f>INDEX(LINEST((AV341:AZ341),LN(AV340:AZ340)),1)</f>
        <v>-2.9833585659729312E-2</v>
      </c>
      <c r="AQ341" s="83">
        <f>INDEX(LINEST(LN(AV341:AZ341),SQRT(AV340:AZ340),TRUE,TRUE),3,1)</f>
        <v>4.0908888490707547E-3</v>
      </c>
      <c r="AR341" s="116">
        <f>INDEX(LINEST(LN(AV341:AZ341),SQRT((AV340:AZ340))),1)</f>
        <v>-5.2809400000042343E-7</v>
      </c>
      <c r="AS341" s="84">
        <f>INDEX(LINEST(1/(AV341:AZ341),1/(SQRT(AV340:AZ340)),TRUE,TRUE),3,1)</f>
        <v>0.1569913058104897</v>
      </c>
      <c r="AT341" s="84">
        <f>INDEX(LINEST(1/(AV341:AZ341),1/SQRT(AV340:AZ340)),1)</f>
        <v>-17100.67023125679</v>
      </c>
      <c r="AU341" s="3"/>
      <c r="AV341" s="53">
        <v>0.64</v>
      </c>
      <c r="AW341" s="53">
        <v>0.57894736842105265</v>
      </c>
      <c r="AX341" s="53">
        <v>0.38095238095238099</v>
      </c>
      <c r="AY341" s="53">
        <v>0.49</v>
      </c>
      <c r="AZ341" s="53">
        <v>0.28999999999999998</v>
      </c>
      <c r="BA341" s="53"/>
      <c r="BB341" s="53"/>
      <c r="BC341" s="53"/>
      <c r="BD341" s="53"/>
      <c r="BE341" s="53"/>
      <c r="BF341" s="53"/>
      <c r="BG341" s="53"/>
      <c r="BH341" s="53"/>
      <c r="BI341" s="53"/>
      <c r="BJ341" s="53"/>
      <c r="BK341" s="53"/>
      <c r="BL341" s="53"/>
      <c r="BM341" s="53"/>
      <c r="BN341" s="53"/>
      <c r="BO341" s="53"/>
      <c r="BP341" s="53"/>
      <c r="BQ341" s="53"/>
      <c r="BR341" s="53"/>
      <c r="BS341" s="53"/>
      <c r="BT341" s="53"/>
      <c r="BU341" s="53"/>
      <c r="BV341" s="53"/>
      <c r="BW341" s="53"/>
      <c r="BX341" s="53"/>
      <c r="BY341" s="53"/>
      <c r="BZ341" s="53"/>
      <c r="CA341" s="53"/>
      <c r="CB341" s="53"/>
      <c r="CC341" s="53"/>
      <c r="CD341" s="53"/>
      <c r="CE341" s="53"/>
      <c r="CF341" s="53"/>
      <c r="CG341" s="53"/>
      <c r="CH341" s="53"/>
      <c r="CI341" s="53"/>
      <c r="CJ341" s="53"/>
      <c r="CK341" s="53"/>
      <c r="CL341" s="53"/>
      <c r="CM341" s="53"/>
      <c r="CN341" s="53"/>
      <c r="CO341" s="53"/>
      <c r="CP341" s="53"/>
      <c r="CQ341" s="53"/>
      <c r="CR341" s="1"/>
      <c r="CS341" s="1"/>
      <c r="CT341" s="1"/>
      <c r="CU341" s="1"/>
    </row>
    <row r="342" spans="1:99" s="13" customFormat="1" ht="12" customHeight="1" x14ac:dyDescent="0.2">
      <c r="A342" s="65">
        <v>43896</v>
      </c>
      <c r="B342" s="1"/>
      <c r="D342" s="61"/>
      <c r="E342" s="76"/>
      <c r="F342" s="60"/>
      <c r="G342" s="60"/>
      <c r="H342" s="60"/>
      <c r="I342" s="60"/>
      <c r="J342" s="60"/>
      <c r="K342" s="64"/>
      <c r="L342" s="64"/>
      <c r="M342" s="60"/>
      <c r="N342" s="59"/>
      <c r="O342" s="60"/>
      <c r="P342" s="60"/>
      <c r="Q342" s="60"/>
      <c r="R342" s="60"/>
      <c r="S342" s="60"/>
      <c r="T342" s="59"/>
      <c r="U342" s="60"/>
      <c r="V342" s="59"/>
      <c r="W342" s="60"/>
      <c r="X342" s="60"/>
      <c r="Y342" s="76"/>
      <c r="Z342" s="59"/>
      <c r="AA342" s="59"/>
      <c r="AB342" s="60"/>
      <c r="AC342" s="56"/>
      <c r="AD342" s="60"/>
      <c r="AE342" s="60"/>
      <c r="AF342" s="80"/>
      <c r="AG342" s="56"/>
      <c r="AH342" s="4"/>
      <c r="AI342" s="56"/>
      <c r="AJ342" s="109"/>
      <c r="AK342" s="56"/>
      <c r="AL342" s="56"/>
      <c r="AM342" s="56"/>
      <c r="AN342" s="56"/>
      <c r="AO342" s="82"/>
      <c r="AP342" s="82"/>
      <c r="AQ342" s="83"/>
      <c r="AR342" s="116"/>
      <c r="AS342" s="84"/>
      <c r="AT342" s="84"/>
      <c r="AU342" s="3"/>
      <c r="AV342" s="25">
        <v>315360000</v>
      </c>
      <c r="AW342" s="25">
        <v>630720000</v>
      </c>
      <c r="AX342" s="25">
        <v>646080000</v>
      </c>
      <c r="AY342" s="25">
        <v>12614400000</v>
      </c>
      <c r="AZ342" s="25">
        <v>1576800000</v>
      </c>
      <c r="BA342" s="53"/>
      <c r="BB342" s="53"/>
      <c r="BC342" s="53"/>
      <c r="BD342" s="53"/>
      <c r="BE342" s="53"/>
      <c r="BF342" s="53"/>
      <c r="BG342" s="53"/>
      <c r="BH342" s="53"/>
      <c r="BI342" s="53"/>
      <c r="BJ342" s="53"/>
      <c r="BK342" s="53"/>
      <c r="BL342" s="53"/>
      <c r="BM342" s="53"/>
      <c r="BN342" s="53"/>
      <c r="BO342" s="53"/>
      <c r="BP342" s="53"/>
      <c r="BQ342" s="53"/>
      <c r="BR342" s="53"/>
      <c r="BS342" s="53"/>
      <c r="BT342" s="53"/>
      <c r="BU342" s="53"/>
      <c r="BV342" s="53"/>
      <c r="BW342" s="53"/>
      <c r="BX342" s="53"/>
      <c r="BY342" s="53"/>
      <c r="BZ342" s="53"/>
      <c r="CA342" s="53"/>
      <c r="CB342" s="53"/>
      <c r="CC342" s="53"/>
      <c r="CD342" s="53"/>
      <c r="CE342" s="53"/>
      <c r="CF342" s="53"/>
      <c r="CG342" s="53"/>
      <c r="CH342" s="53"/>
      <c r="CI342" s="53"/>
      <c r="CJ342" s="53"/>
      <c r="CK342" s="53"/>
      <c r="CL342" s="53"/>
      <c r="CM342" s="53"/>
      <c r="CN342" s="53"/>
      <c r="CO342" s="53"/>
      <c r="CP342" s="53"/>
      <c r="CQ342" s="53"/>
      <c r="CR342" s="1"/>
      <c r="CS342" s="1"/>
      <c r="CT342" s="1"/>
      <c r="CU342" s="1"/>
    </row>
    <row r="343" spans="1:99" s="13" customFormat="1" ht="12" customHeight="1" x14ac:dyDescent="0.2">
      <c r="A343" s="65">
        <v>43896</v>
      </c>
      <c r="B343" s="1" t="s">
        <v>352</v>
      </c>
      <c r="C343" s="1" t="s">
        <v>54</v>
      </c>
      <c r="D343" s="60">
        <v>1986</v>
      </c>
      <c r="E343" s="76">
        <v>1</v>
      </c>
      <c r="F343" s="60">
        <v>5</v>
      </c>
      <c r="G343" s="60">
        <v>5</v>
      </c>
      <c r="H343" s="60" t="s">
        <v>30</v>
      </c>
      <c r="I343" s="60" t="s">
        <v>330</v>
      </c>
      <c r="J343" s="60" t="s">
        <v>353</v>
      </c>
      <c r="K343" s="60">
        <f>IF(J343="syllables",1,IF(J343="trigrams",2,IF(J343="strings",3,IF(J343="visual array",4,IF(J343="characters",5,IF(J343="letters",6,IF(J343="free forms",7,IF(J343="odors",8,IF(J343="words",9,IF(J343="pictures",10,IF(J343="object pictures",11,IF(J343="faces",12,IF(J343="names",13,IF(J343="idioms",14,IF(J343="grades",15,IF(J343="syllable-digit pairs",16,IF(J343="trigram-word pairs",17,IF(J343="word-digit pairs",18,IF(J343="English-Swahili pairs",19,IF(J343="spatial position",20,IF(J343="word pairs",21,IF(J343="word triads",22,IF(J343="generated words",23,IF(J343="word definition pairs",24,IF(J343="math problems",25,IF(J343="famous faces",26,IF(J343="famous names",27,IF(J343="famous voices",28,IF(J343="television programs",29,IF(J343="race horses",30,IF(J343="new vocabulary",31,IF(J343="sentences",32,IF(J343="concepts",33,IF(J343="ad slides",34,IF(J343="scenes",35,IF(J343="famous scenes",36,IF(J343="poems",37,IF(J343="walk",38,IF(J343="faces and events",39,IF(J343="events and names",40,IF(J343="flashbulb",41,IF(J343="stories",42,IF(J343="course material",43,IF(J343="autobiographical",44,IF(J343="novels",45,IF(J343="public events",46,"99"))))))))))))))))))))))))))))))))))))))))))))))</f>
        <v>28</v>
      </c>
      <c r="L343" s="60">
        <f>IF(J343="syllables",1,IF(J343="trigrams",1,IF(J343="strings",1,IF(J343="visual array",1,IF(J343="characters",1,IF(J343="letters",1,IF(J343="free forms",1,IF(J343="odors",2,IF(J343="words",2,IF(J343="pictures",2,IF(J343="object pictures",2,IF(J343="faces",2,IF(J343="names",2,IF(J343="idioms","2",IF(J343="grades",2,IF(J343="syllable-digit pairs",3,IF(J343="trigram-word pairs",3,IF(J343="word-digit pairs",3,IF(J343="English-Swahili pairs",3,IF(J343="spatial position",3,IF(J343="word pairs",4,IF(J343="word triads",4,IF(J343="generated words",4,IF(J343="word definition pairs",4,IF(J343="math problems",4,IF(J343="famous faces",4,IF(J343="famous names",4,IF(J343="famous voices",4,IF(J343="television programs",4,IF(J343="race horses",4,IF(J343="new vocabulary",4,IF(J343="sentences",5,IF(J343="concepts",5,IF(J343="ad slides",5,IF(J343="scenes",5,IF(J343="famous scenes",5,IF(J343="poems",6,IF(J343="walk",6,IF(J343="faces and events",6,IF(J343="events and names",6,IF(J343="flashbulb",7,IF(J343="stories",7,IF(J343="course material",7,IF(J343="autobiographical",7,IF(J343="novels",7,IF(J343="public events",7,"99"))))))))))))))))))))))))))))))))))))))))))))))</f>
        <v>4</v>
      </c>
      <c r="M343" s="60">
        <v>1</v>
      </c>
      <c r="N343" s="59">
        <v>2</v>
      </c>
      <c r="O343" s="60">
        <v>0</v>
      </c>
      <c r="P343" s="60"/>
      <c r="Q343" s="60" t="s">
        <v>182</v>
      </c>
      <c r="R343" s="60">
        <f>IF(Q343="Free Recall",1,IF(Q343="Cued Recall",2,IF(Q343="Recognition",3,IF(Q343="Multiple Choice",4,IF(Q343="Savings",5,IF(Q343="Stem Completion",6,IF(Q343="Fragment Completion",7,IF(Q343="anagram solution",8,IF(Q343="Matching",9,IF(Q343="Problem Solving",10,"99"))))))))))</f>
        <v>4</v>
      </c>
      <c r="S343" s="60" t="s">
        <v>15</v>
      </c>
      <c r="T343" s="59" t="s">
        <v>581</v>
      </c>
      <c r="U343" s="60">
        <f>IF(T343="within",1,0)</f>
        <v>1</v>
      </c>
      <c r="V343" s="59">
        <v>80</v>
      </c>
      <c r="W343" s="60">
        <f>F343*V343</f>
        <v>400</v>
      </c>
      <c r="X343" s="60">
        <v>5</v>
      </c>
      <c r="Y343" s="76">
        <f>AV342</f>
        <v>315360000</v>
      </c>
      <c r="Z343" s="59" t="s">
        <v>209</v>
      </c>
      <c r="AA343" s="60">
        <f>50*365*24*60*60</f>
        <v>1576800000</v>
      </c>
      <c r="AB343" s="60" t="str">
        <f>IF(AA343&lt;60,"1",IF(AA343&lt;=43200,"2",IF(AA343&lt;=777600,"3","4")))</f>
        <v>4</v>
      </c>
      <c r="AC343" s="56">
        <f>AVERAGE(AV342:DA342)</f>
        <v>3156672000</v>
      </c>
      <c r="AD343" s="60" t="str">
        <f>IF(AC343&lt;60,"1",IF(AC343&lt;=43200,"2",IF(AC343&lt;=777600,"3","4")))</f>
        <v>4</v>
      </c>
      <c r="AE343" s="76">
        <f>AA343-Y343</f>
        <v>1261440000</v>
      </c>
      <c r="AF343" s="80">
        <f>AV343</f>
        <v>0.92105263157894735</v>
      </c>
      <c r="AG343" s="56">
        <f>((AW343-AV343)+(AX343-AW343)+(AY343-AX343)+(AZ343-AY343))/4</f>
        <v>-0.11040014419610671</v>
      </c>
      <c r="AH343" s="4"/>
      <c r="AI343" s="56">
        <f>RSQ(AV343:AZ343,AV342:AZ342)</f>
        <v>4.3665703774176015E-2</v>
      </c>
      <c r="AJ343" s="109">
        <f>SLOPE(AV343:AZ343,AV342:AZ342)</f>
        <v>7.0952699202415158E-12</v>
      </c>
      <c r="AK343" s="56">
        <f>INTERCEPT(AV343:AZ343,AV342:AZ342)</f>
        <v>0.76462904295627021</v>
      </c>
      <c r="AL343" s="56">
        <f>INDEX(LINEST(LN(AV343:AZ343),LN(AV342:AZ342),TRUE,TRUE),3,1)</f>
        <v>8.0474348484729473E-3</v>
      </c>
      <c r="AM343" s="56">
        <f>INDEX(LINEST(LN(AV343:AZ343),LN(AV342:AZ342)),1)</f>
        <v>-1.6937645279540448E-2</v>
      </c>
      <c r="AN343" s="56">
        <f>EXP(INDEX(LINEST(LN(AV343:AZ343),LN(AV342:AZ342)),1,2))</f>
        <v>1.0925509769859314</v>
      </c>
      <c r="AO343" s="82">
        <f>INDEX(LINEST((AV343:AZ343),LN(AV342:AZ342),TRUE,TRUE),3,1)</f>
        <v>7.9110591799683994E-3</v>
      </c>
      <c r="AP343" s="82">
        <f>INDEX(LINEST((AV343:AZ343),LN(AV342:AZ342)),1)</f>
        <v>-1.1201936171086528E-2</v>
      </c>
      <c r="AQ343" s="83">
        <f>INDEX(LINEST(LN(AV343:AZ343),SQRT(AV342:AZ342),TRUE,TRUE),3,1)</f>
        <v>8.9185675576066766E-3</v>
      </c>
      <c r="AR343" s="116">
        <f>INDEX(LINEST(LN(AV343:AZ343),SQRT((AV342:AZ342))),1)</f>
        <v>6.5472460901359124E-7</v>
      </c>
      <c r="AS343" s="84">
        <f>INDEX(LINEST(1/(AV343:AZ343),1/(SQRT(AV342:AZ342)),TRUE,TRUE),3,1)</f>
        <v>8.1119968720971769E-2</v>
      </c>
      <c r="AT343" s="84">
        <f>INDEX(LINEST(1/(AV343:AZ343),1/SQRT(AV342:AZ342)),1)</f>
        <v>-6720.0066728945785</v>
      </c>
      <c r="AU343" s="3"/>
      <c r="AV343" s="53">
        <v>0.92105263157894735</v>
      </c>
      <c r="AW343" s="53">
        <v>0.87804878048780488</v>
      </c>
      <c r="AX343" s="53">
        <v>0.77499999999999991</v>
      </c>
      <c r="AY343" s="53">
        <v>0.88157894736842113</v>
      </c>
      <c r="AZ343" s="53">
        <v>0.47945205479452052</v>
      </c>
      <c r="BA343" s="53"/>
      <c r="BB343" s="53"/>
      <c r="BC343" s="53"/>
      <c r="BD343" s="53"/>
      <c r="BE343" s="53"/>
      <c r="BF343" s="53"/>
      <c r="BG343" s="53"/>
      <c r="BH343" s="53"/>
      <c r="BI343" s="53"/>
      <c r="BJ343" s="53"/>
      <c r="BK343" s="53"/>
      <c r="BL343" s="53"/>
      <c r="BM343" s="53"/>
      <c r="BN343" s="53"/>
      <c r="BO343" s="53"/>
      <c r="BP343" s="53"/>
      <c r="BQ343" s="53"/>
      <c r="BR343" s="53"/>
      <c r="BS343" s="53"/>
      <c r="BT343" s="53"/>
      <c r="BU343" s="53"/>
      <c r="BV343" s="53"/>
      <c r="BW343" s="53"/>
      <c r="BX343" s="53"/>
      <c r="BY343" s="53"/>
      <c r="BZ343" s="53"/>
      <c r="CA343" s="53"/>
      <c r="CB343" s="53"/>
      <c r="CC343" s="53"/>
      <c r="CD343" s="53"/>
      <c r="CE343" s="53"/>
      <c r="CF343" s="53"/>
      <c r="CG343" s="53"/>
      <c r="CH343" s="53"/>
      <c r="CI343" s="53"/>
      <c r="CJ343" s="53"/>
      <c r="CK343" s="53"/>
      <c r="CL343" s="53"/>
      <c r="CM343" s="53"/>
      <c r="CN343" s="53"/>
      <c r="CO343" s="53"/>
      <c r="CP343" s="53"/>
      <c r="CQ343" s="53"/>
      <c r="CR343" s="1"/>
      <c r="CS343" s="1"/>
      <c r="CT343" s="1"/>
      <c r="CU343" s="1"/>
    </row>
    <row r="344" spans="1:99" s="13" customFormat="1" ht="12" customHeight="1" x14ac:dyDescent="0.2">
      <c r="A344" s="68">
        <v>43978</v>
      </c>
      <c r="B344" s="70"/>
      <c r="C344" s="70"/>
      <c r="D344" s="69"/>
      <c r="E344" s="87"/>
      <c r="F344" s="69"/>
      <c r="G344" s="69"/>
      <c r="H344" s="69"/>
      <c r="I344" s="69"/>
      <c r="J344" s="69"/>
      <c r="K344" s="69"/>
      <c r="L344" s="69"/>
      <c r="M344" s="69"/>
      <c r="N344" s="92"/>
      <c r="O344" s="69"/>
      <c r="P344" s="69"/>
      <c r="Q344" s="69"/>
      <c r="R344" s="69"/>
      <c r="S344" s="69"/>
      <c r="T344" s="92"/>
      <c r="U344" s="69"/>
      <c r="V344" s="92"/>
      <c r="W344" s="69"/>
      <c r="X344" s="69"/>
      <c r="Y344" s="87"/>
      <c r="Z344" s="92"/>
      <c r="AA344" s="69"/>
      <c r="AB344" s="69"/>
      <c r="AC344" s="72"/>
      <c r="AD344" s="69"/>
      <c r="AE344" s="87"/>
      <c r="AF344" s="88"/>
      <c r="AG344" s="72"/>
      <c r="AH344" s="4"/>
      <c r="AI344" s="72"/>
      <c r="AJ344" s="110"/>
      <c r="AK344" s="72"/>
      <c r="AL344" s="72"/>
      <c r="AM344" s="72"/>
      <c r="AN344" s="72"/>
      <c r="AO344" s="89"/>
      <c r="AP344" s="89"/>
      <c r="AQ344" s="90"/>
      <c r="AR344" s="117"/>
      <c r="AS344" s="91"/>
      <c r="AT344" s="91"/>
      <c r="AU344" s="3"/>
      <c r="AV344" s="71">
        <v>30</v>
      </c>
      <c r="AW344" s="71">
        <f>60*30</f>
        <v>1800</v>
      </c>
      <c r="AX344" s="71">
        <f>60*60*24*7*6</f>
        <v>3628800</v>
      </c>
      <c r="AY344" s="73"/>
      <c r="AZ344" s="97" t="s">
        <v>947</v>
      </c>
      <c r="BA344" s="53"/>
      <c r="BB344" s="53"/>
      <c r="BC344" s="53"/>
      <c r="BD344" s="53"/>
      <c r="BE344" s="53"/>
      <c r="BF344" s="53"/>
      <c r="BG344" s="53"/>
      <c r="BH344" s="53"/>
      <c r="BI344" s="53"/>
      <c r="BJ344" s="53"/>
      <c r="BK344" s="53"/>
      <c r="BL344" s="53"/>
      <c r="BM344" s="53"/>
      <c r="BN344" s="53"/>
      <c r="BO344" s="53"/>
      <c r="BP344" s="53"/>
      <c r="BQ344" s="53"/>
      <c r="BR344" s="53"/>
      <c r="BS344" s="53"/>
      <c r="BT344" s="53"/>
      <c r="BU344" s="53"/>
      <c r="BV344" s="53"/>
      <c r="BW344" s="53"/>
      <c r="BX344" s="53"/>
      <c r="BY344" s="53"/>
      <c r="BZ344" s="53"/>
      <c r="CA344" s="53"/>
      <c r="CB344" s="53"/>
      <c r="CC344" s="53"/>
      <c r="CD344" s="53"/>
      <c r="CE344" s="53"/>
      <c r="CF344" s="53"/>
      <c r="CG344" s="53"/>
      <c r="CH344" s="53"/>
      <c r="CI344" s="53"/>
      <c r="CJ344" s="53"/>
      <c r="CK344" s="53"/>
      <c r="CL344" s="53"/>
      <c r="CM344" s="53"/>
      <c r="CN344" s="53"/>
      <c r="CO344" s="53"/>
      <c r="CP344" s="53"/>
      <c r="CQ344" s="53"/>
      <c r="CR344" s="1"/>
      <c r="CS344" s="1"/>
      <c r="CT344" s="1"/>
      <c r="CU344" s="1"/>
    </row>
    <row r="345" spans="1:99" s="13" customFormat="1" ht="12" customHeight="1" x14ac:dyDescent="0.2">
      <c r="A345" s="68">
        <v>43978</v>
      </c>
      <c r="B345" s="70" t="s">
        <v>968</v>
      </c>
      <c r="C345" s="70" t="s">
        <v>408</v>
      </c>
      <c r="D345" s="69">
        <v>1997</v>
      </c>
      <c r="E345" s="87">
        <v>1</v>
      </c>
      <c r="F345" s="69">
        <v>4</v>
      </c>
      <c r="G345" s="69">
        <v>4</v>
      </c>
      <c r="H345" s="69" t="s">
        <v>22</v>
      </c>
      <c r="I345" s="69" t="s">
        <v>330</v>
      </c>
      <c r="J345" s="69" t="s">
        <v>677</v>
      </c>
      <c r="K345" s="69">
        <f>IF(J345="syllables",1,IF(J345="trigrams",2,IF(J345="strings",3,IF(J345="visual array",4,IF(J345="characters",5,IF(J345="letters",6,IF(J345="free forms",7,IF(J345="odors",8,IF(J345="words",9,IF(J345="pictures",10,IF(J345="object pictures",11,IF(J345="faces",12,IF(J345="names",13,IF(J345="idioms",14,IF(J345="grades",15,IF(J345="syllable-digit pairs",16,IF(J345="trigram-word pairs",17,IF(J345="word-digit pairs",18,IF(J345="English-Swahili pairs",19,IF(J345="spatial position",20,IF(J345="word pairs",21,IF(J345="word triads",22,IF(J345="generated words",23,IF(J345="word definition pairs",24,IF(J345="math problems",25,IF(J345="famous faces",26,IF(J345="famous names",27,IF(J345="famous voices",28,IF(J345="television programs",29,IF(J345="race horses",30,IF(J345="new vocabulary",31,IF(J345="sentences",32,IF(J345="concepts",33,IF(J345="ad slides",34,IF(J345="scenes",35,IF(J345="famous scenes",36,IF(J345="poems",37,IF(J345="walk",38,IF(J345="faces and events",39,IF(J345="events and names",40,IF(J345="flashbulb",41,IF(J345="stories",42,IF(J345="course material",43,IF(J345="autobiographical",44,IF(J345="novels",45,IF(J345="public events",46,"99"))))))))))))))))))))))))))))))))))))))))))))))</f>
        <v>42</v>
      </c>
      <c r="L345" s="69">
        <f>IF(J345="syllables",1,IF(J345="trigrams",1,IF(J345="strings",1,IF(J345="visual array",1,IF(J345="characters",1,IF(J345="letters",1,IF(J345="free forms",1,IF(J345="odors",2,IF(J345="words",2,IF(J345="pictures",2,IF(J345="object pictures",2,IF(J345="faces",2,IF(J345="names",2,IF(J345="idioms","2",IF(J345="grades",2,IF(J345="syllable-digit pairs",3,IF(J345="trigram-word pairs",3,IF(J345="word-digit pairs",3,IF(J345="English-Swahili pairs",3,IF(J345="spatial position",3,IF(J345="word pairs",4,IF(J345="word triads",4,IF(J345="generated words",4,IF(J345="word definition pairs",4,IF(J345="math problems",4,IF(J345="famous faces",4,IF(J345="famous names",4,IF(J345="famous voices",4,IF(J345="television programs",4,IF(J345="race horses",4,IF(J345="new vocabulary",4,IF(J345="sentences",5,IF(J345="concepts",5,IF(J345="ad slides",5,IF(J345="scenes",5,IF(J345="famous scenes",5,IF(J345="poems",6,IF(J345="walk",6,IF(J345="faces and events",6,IF(J345="events and names",6,IF(J345="flashbulb",7,IF(J345="stories",7,IF(J345="course material",7,IF(J345="autobiographical",7,IF(J345="novels",7,IF(J345="public events",7,"99"))))))))))))))))))))))))))))))))))))))))))))))</f>
        <v>7</v>
      </c>
      <c r="M345" s="69">
        <v>0</v>
      </c>
      <c r="N345" s="92">
        <v>1</v>
      </c>
      <c r="O345" s="69">
        <v>0</v>
      </c>
      <c r="P345" s="69"/>
      <c r="Q345" s="69" t="s">
        <v>174</v>
      </c>
      <c r="R345" s="69">
        <f>IF(Q345="Free Recall",1,IF(Q345="Cued Recall",2,IF(Q345="Recognition",3,IF(Q345="Multiple Choice",4,IF(Q345="Savings",5,IF(Q345="Stem Completion",6,IF(Q345="Fragment Completion",7,IF(Q345="anagram solution",8,IF(Q345="Matching",9,IF(Q345="Problem Solving",10,"99"))))))))))</f>
        <v>1</v>
      </c>
      <c r="S345" s="69" t="s">
        <v>49</v>
      </c>
      <c r="T345" s="92" t="s">
        <v>581</v>
      </c>
      <c r="U345" s="69">
        <f>IF(T345="within",1,0)</f>
        <v>1</v>
      </c>
      <c r="V345" s="92">
        <v>150</v>
      </c>
      <c r="W345" s="69">
        <f>F345*V345</f>
        <v>600</v>
      </c>
      <c r="X345" s="69">
        <v>3</v>
      </c>
      <c r="Y345" s="87">
        <f>AV344</f>
        <v>30</v>
      </c>
      <c r="Z345" s="69" t="s">
        <v>160</v>
      </c>
      <c r="AA345" s="69">
        <f>60*60*24*7*6</f>
        <v>3628800</v>
      </c>
      <c r="AB345" s="69" t="str">
        <f>IF(AA345&lt;60,"1",IF(AA345&lt;=43200,"2",IF(AA345&lt;=777600,"3","4")))</f>
        <v>4</v>
      </c>
      <c r="AC345" s="72">
        <f>AVERAGE(AV344:DA344)</f>
        <v>1210210</v>
      </c>
      <c r="AD345" s="69" t="str">
        <f>IF(AC345&lt;60,"1",IF(AC345&lt;=43200,"2",IF(AC345&lt;=777600,"3","4")))</f>
        <v>4</v>
      </c>
      <c r="AE345" s="87">
        <f>AA345-Y345</f>
        <v>3628770</v>
      </c>
      <c r="AF345" s="88">
        <f>AV345</f>
        <v>0.49</v>
      </c>
      <c r="AG345" s="72">
        <f>((AW345-AV345)+(AX345-AW345))/2</f>
        <v>-0.13500000000000001</v>
      </c>
      <c r="AH345" s="4"/>
      <c r="AI345" s="72">
        <f>RSQ(AV345:AX345,AV344:AX344)</f>
        <v>0.87999487255070041</v>
      </c>
      <c r="AJ345" s="110">
        <f>SLOPE(AV345:AX345,AV344:AX344)</f>
        <v>-6.1340070664107058E-8</v>
      </c>
      <c r="AK345" s="72">
        <f>INTERCEPT(AV345:AX345,AV344:AX344)</f>
        <v>0.44256770025174236</v>
      </c>
      <c r="AL345" s="72">
        <f>INDEX(LINEST(LN(AV345:AX345),LN(AV344:AX344),TRUE,TRUE),3,1)</f>
        <v>0.99212745077403541</v>
      </c>
      <c r="AM345" s="72">
        <f>INDEX(LINEST(LN(AV345:AX345),LN(AV344:AX344)),1)</f>
        <v>-6.9497098352175088E-2</v>
      </c>
      <c r="AN345" s="72">
        <f>EXP(INDEX(LINEST(LN(AV345:AX345),LN(AV344:AX344)),1,2))</f>
        <v>0.63776790870952771</v>
      </c>
      <c r="AO345" s="89">
        <f>INDEX(LINEST((AV345:AX345),LN(AV344:AX344),TRUE,TRUE),3,1)</f>
        <v>0.99999494932460864</v>
      </c>
      <c r="AP345" s="89">
        <f>INDEX(LINEST((AV345:AX345),LN(AV344:AX344)),1)</f>
        <v>-2.3061597223995287E-2</v>
      </c>
      <c r="AQ345" s="90">
        <f>INDEX(LINEST(LN(AV345:AX345),SQRT(AV344:AX344),TRUE,TRUE),3,1)</f>
        <v>0.9406617035778817</v>
      </c>
      <c r="AR345" s="117">
        <f>INDEX(LINEST(LN(AV345:AX345),SQRT((AV344:AX344))),1)</f>
        <v>-3.700137171590177E-4</v>
      </c>
      <c r="AS345" s="91">
        <f>INDEX(LINEST(1/(AV345:AX345),1/(SQRT(AV344:AX344)),TRUE,TRUE),3,1)</f>
        <v>0.54063678195372422</v>
      </c>
      <c r="AT345" s="91">
        <f>INDEX(LINEST(1/(AV345:AX345),1/SQRT(AV344:AX344)),1)</f>
        <v>-9.8450921812398686</v>
      </c>
      <c r="AU345" s="3"/>
      <c r="AV345" s="73">
        <f>24.5/50</f>
        <v>0.49</v>
      </c>
      <c r="AW345" s="73">
        <f>19.75/50</f>
        <v>0.39500000000000002</v>
      </c>
      <c r="AX345" s="73">
        <f>11/50</f>
        <v>0.22</v>
      </c>
      <c r="AY345" s="73"/>
      <c r="AZ345" s="73"/>
      <c r="BA345" s="53"/>
      <c r="BB345" s="53"/>
      <c r="BC345" s="53"/>
      <c r="BD345" s="53"/>
      <c r="BE345" s="53"/>
      <c r="BF345" s="53"/>
      <c r="BG345" s="53"/>
      <c r="BH345" s="53"/>
      <c r="BI345" s="53"/>
      <c r="BJ345" s="53"/>
      <c r="BK345" s="53"/>
      <c r="BL345" s="53"/>
      <c r="BM345" s="53"/>
      <c r="BN345" s="53"/>
      <c r="BO345" s="53"/>
      <c r="BP345" s="53"/>
      <c r="BQ345" s="53"/>
      <c r="BR345" s="53"/>
      <c r="BS345" s="53"/>
      <c r="BT345" s="53"/>
      <c r="BU345" s="53"/>
      <c r="BV345" s="53"/>
      <c r="BW345" s="53"/>
      <c r="BX345" s="53"/>
      <c r="BY345" s="53"/>
      <c r="BZ345" s="53"/>
      <c r="CA345" s="53"/>
      <c r="CB345" s="53"/>
      <c r="CC345" s="53"/>
      <c r="CD345" s="53"/>
      <c r="CE345" s="53"/>
      <c r="CF345" s="53"/>
      <c r="CG345" s="53"/>
      <c r="CH345" s="53"/>
      <c r="CI345" s="53"/>
      <c r="CJ345" s="53"/>
      <c r="CK345" s="53"/>
      <c r="CL345" s="53"/>
      <c r="CM345" s="53"/>
      <c r="CN345" s="53"/>
      <c r="CO345" s="53"/>
      <c r="CP345" s="53"/>
      <c r="CQ345" s="53"/>
      <c r="CR345" s="1"/>
      <c r="CS345" s="1"/>
      <c r="CT345" s="1"/>
      <c r="CU345" s="1"/>
    </row>
    <row r="346" spans="1:99" s="13" customFormat="1" ht="12" customHeight="1" x14ac:dyDescent="0.2">
      <c r="A346" s="68">
        <v>43978</v>
      </c>
      <c r="B346" s="70"/>
      <c r="C346" s="70"/>
      <c r="D346" s="69"/>
      <c r="E346" s="87"/>
      <c r="F346" s="69"/>
      <c r="G346" s="69"/>
      <c r="H346" s="69"/>
      <c r="I346" s="69"/>
      <c r="J346" s="69"/>
      <c r="K346" s="69"/>
      <c r="L346" s="69"/>
      <c r="M346" s="69"/>
      <c r="N346" s="92"/>
      <c r="O346" s="69"/>
      <c r="P346" s="69"/>
      <c r="Q346" s="69"/>
      <c r="R346" s="69"/>
      <c r="S346" s="69"/>
      <c r="T346" s="92"/>
      <c r="U346" s="69"/>
      <c r="V346" s="92"/>
      <c r="W346" s="69"/>
      <c r="X346" s="69"/>
      <c r="Y346" s="87"/>
      <c r="Z346" s="92"/>
      <c r="AA346" s="69"/>
      <c r="AB346" s="69"/>
      <c r="AC346" s="72"/>
      <c r="AD346" s="69"/>
      <c r="AE346" s="87"/>
      <c r="AF346" s="88"/>
      <c r="AG346" s="72"/>
      <c r="AH346" s="4"/>
      <c r="AI346" s="72"/>
      <c r="AJ346" s="110"/>
      <c r="AK346" s="72"/>
      <c r="AL346" s="72"/>
      <c r="AM346" s="72"/>
      <c r="AN346" s="72"/>
      <c r="AO346" s="89"/>
      <c r="AP346" s="89"/>
      <c r="AQ346" s="90"/>
      <c r="AR346" s="117"/>
      <c r="AS346" s="91"/>
      <c r="AT346" s="91"/>
      <c r="AU346" s="3"/>
      <c r="AV346" s="71">
        <v>30</v>
      </c>
      <c r="AW346" s="71">
        <f>60*30</f>
        <v>1800</v>
      </c>
      <c r="AX346" s="71">
        <f>60*60*24*7*6</f>
        <v>3628800</v>
      </c>
      <c r="AY346" s="73"/>
      <c r="AZ346" s="97"/>
      <c r="BA346" s="53"/>
      <c r="BB346" s="53"/>
      <c r="BC346" s="53"/>
      <c r="BD346" s="53"/>
      <c r="BE346" s="53"/>
      <c r="BF346" s="53"/>
      <c r="BG346" s="53"/>
      <c r="BH346" s="53"/>
      <c r="BI346" s="53"/>
      <c r="BJ346" s="53"/>
      <c r="BK346" s="53"/>
      <c r="BL346" s="53"/>
      <c r="BM346" s="53"/>
      <c r="BN346" s="53"/>
      <c r="BO346" s="53"/>
      <c r="BP346" s="53"/>
      <c r="BQ346" s="53"/>
      <c r="BR346" s="53"/>
      <c r="BS346" s="53"/>
      <c r="BT346" s="53"/>
      <c r="BU346" s="53"/>
      <c r="BV346" s="53"/>
      <c r="BW346" s="53"/>
      <c r="BX346" s="53"/>
      <c r="BY346" s="53"/>
      <c r="BZ346" s="53"/>
      <c r="CA346" s="53"/>
      <c r="CB346" s="53"/>
      <c r="CC346" s="53"/>
      <c r="CD346" s="53"/>
      <c r="CE346" s="53"/>
      <c r="CF346" s="53"/>
      <c r="CG346" s="53"/>
      <c r="CH346" s="53"/>
      <c r="CI346" s="53"/>
      <c r="CJ346" s="53"/>
      <c r="CK346" s="53"/>
      <c r="CL346" s="53"/>
      <c r="CM346" s="53"/>
      <c r="CN346" s="53"/>
      <c r="CO346" s="53"/>
      <c r="CP346" s="53"/>
      <c r="CQ346" s="53"/>
      <c r="CR346" s="1"/>
      <c r="CS346" s="1"/>
      <c r="CT346" s="1"/>
      <c r="CU346" s="1"/>
    </row>
    <row r="347" spans="1:99" s="13" customFormat="1" ht="12" customHeight="1" x14ac:dyDescent="0.2">
      <c r="A347" s="68">
        <v>43978</v>
      </c>
      <c r="B347" s="70" t="s">
        <v>968</v>
      </c>
      <c r="C347" s="70" t="s">
        <v>408</v>
      </c>
      <c r="D347" s="69">
        <v>1997</v>
      </c>
      <c r="E347" s="87">
        <v>1</v>
      </c>
      <c r="F347" s="69">
        <v>4</v>
      </c>
      <c r="G347" s="69">
        <v>4</v>
      </c>
      <c r="H347" s="69" t="s">
        <v>22</v>
      </c>
      <c r="I347" s="69" t="s">
        <v>330</v>
      </c>
      <c r="J347" s="69" t="s">
        <v>764</v>
      </c>
      <c r="K347" s="69">
        <f>IF(J347="syllables",1,IF(J347="trigrams",2,IF(J347="strings",3,IF(J347="visual array",4,IF(J347="characters",5,IF(J347="letters",6,IF(J347="free forms",7,IF(J347="odors",8,IF(J347="words",9,IF(J347="pictures",10,IF(J347="object pictures",11,IF(J347="faces",12,IF(J347="names",13,IF(J347="idioms",14,IF(J347="grades",15,IF(J347="syllable-digit pairs",16,IF(J347="trigram-word pairs",17,IF(J347="word-digit pairs",18,IF(J347="English-Swahili pairs",19,IF(J347="spatial position",20,IF(J347="word pairs",21,IF(J347="word triads",22,IF(J347="generated words",23,IF(J347="word definition pairs",24,IF(J347="math problems",25,IF(J347="famous faces",26,IF(J347="famous names",27,IF(J347="famous voices",28,IF(J347="television programs",29,IF(J347="race horses",30,IF(J347="new vocabulary",31,IF(J347="sentences",32,IF(J347="concepts",33,IF(J347="ad slides",34,IF(J347="scenes",35,IF(J347="famous scenes",36,IF(J347="poems",37,IF(J347="walk",38,IF(J347="faces and events",39,IF(J347="events and names",40,IF(J347="flashbulb",41,IF(J347="stories",42,IF(J347="course material",43,IF(J347="autobiographical",44,IF(J347="novels",45,IF(J347="public events",46,"99"))))))))))))))))))))))))))))))))))))))))))))))</f>
        <v>4</v>
      </c>
      <c r="L347" s="69">
        <f>IF(J347="syllables",1,IF(J347="trigrams",1,IF(J347="strings",1,IF(J347="visual array",1,IF(J347="characters",1,IF(J347="letters",1,IF(J347="free forms",1,IF(J347="odors",2,IF(J347="words",2,IF(J347="pictures",2,IF(J347="object pictures",2,IF(J347="faces",2,IF(J347="names",2,IF(J347="idioms","2",IF(J347="grades",2,IF(J347="syllable-digit pairs",3,IF(J347="trigram-word pairs",3,IF(J347="word-digit pairs",3,IF(J347="English-Swahili pairs",3,IF(J347="spatial position",3,IF(J347="word pairs",4,IF(J347="word triads",4,IF(J347="generated words",4,IF(J347="word definition pairs",4,IF(J347="math problems",4,IF(J347="famous faces",4,IF(J347="famous names",4,IF(J347="famous voices",4,IF(J347="television programs",4,IF(J347="race horses",4,IF(J347="new vocabulary",4,IF(J347="sentences",5,IF(J347="concepts",5,IF(J347="ad slides",5,IF(J347="scenes",5,IF(J347="famous scenes",5,IF(J347="poems",6,IF(J347="walk",6,IF(J347="faces and events",6,IF(J347="events and names",6,IF(J347="flashbulb",7,IF(J347="stories",7,IF(J347="course material",7,IF(J347="autobiographical",7,IF(J347="novels",7,IF(J347="public events",7,"99"))))))))))))))))))))))))))))))))))))))))))))))</f>
        <v>1</v>
      </c>
      <c r="M347" s="69">
        <v>0</v>
      </c>
      <c r="N347" s="92">
        <v>1</v>
      </c>
      <c r="O347" s="69">
        <v>0</v>
      </c>
      <c r="P347" s="69"/>
      <c r="Q347" s="69" t="s">
        <v>174</v>
      </c>
      <c r="R347" s="69">
        <f>IF(Q347="Free Recall",1,IF(Q347="Cued Recall",2,IF(Q347="Recognition",3,IF(Q347="Multiple Choice",4,IF(Q347="Savings",5,IF(Q347="Stem Completion",6,IF(Q347="Fragment Completion",7,IF(Q347="anagram solution",8,IF(Q347="Matching",9,IF(Q347="Problem Solving",10,"99"))))))))))</f>
        <v>1</v>
      </c>
      <c r="S347" s="69" t="s">
        <v>49</v>
      </c>
      <c r="T347" s="92" t="s">
        <v>581</v>
      </c>
      <c r="U347" s="69">
        <f>IF(T347="within",1,0)</f>
        <v>1</v>
      </c>
      <c r="V347" s="92">
        <v>123</v>
      </c>
      <c r="W347" s="69">
        <f>F347*V347</f>
        <v>492</v>
      </c>
      <c r="X347" s="69">
        <v>3</v>
      </c>
      <c r="Y347" s="87">
        <f>AV346</f>
        <v>30</v>
      </c>
      <c r="Z347" s="69" t="s">
        <v>160</v>
      </c>
      <c r="AA347" s="69">
        <f>60*60*24*7*6</f>
        <v>3628800</v>
      </c>
      <c r="AB347" s="69" t="str">
        <f>IF(AA347&lt;60,"1",IF(AA347&lt;=43200,"2",IF(AA347&lt;=777600,"3","4")))</f>
        <v>4</v>
      </c>
      <c r="AC347" s="72">
        <f>AVERAGE(AV346:DA346)</f>
        <v>1210210</v>
      </c>
      <c r="AD347" s="69" t="str">
        <f>IF(AC347&lt;60,"1",IF(AC347&lt;=43200,"2",IF(AC347&lt;=777600,"3","4")))</f>
        <v>4</v>
      </c>
      <c r="AE347" s="87">
        <f>AA347-Y347</f>
        <v>3628770</v>
      </c>
      <c r="AF347" s="88">
        <f>AV347</f>
        <v>0.76829268292682928</v>
      </c>
      <c r="AG347" s="72">
        <f>((AW347-AV347)+(AX347-AW347))/2</f>
        <v>-0.29878048780487804</v>
      </c>
      <c r="AH347" s="4"/>
      <c r="AI347" s="72">
        <f>RSQ(AV347:AX347,AV346:AX346)</f>
        <v>0.88355067941170973</v>
      </c>
      <c r="AJ347" s="110">
        <f>SLOPE(AV347:AX347,AV346:AX346)</f>
        <v>-1.3616148566010184E-7</v>
      </c>
      <c r="AK347" s="72">
        <f>INTERCEPT(AV347:AX347,AV346:AX346)</f>
        <v>0.66478399156071188</v>
      </c>
      <c r="AL347" s="72">
        <f>INDEX(LINEST(LN(AV347:AX347),LN(AV346:AX346),TRUE,TRUE),3,1)</f>
        <v>0.97695554529697126</v>
      </c>
      <c r="AM347" s="72">
        <f>INDEX(LINEST(LN(AV347:AX347),LN(AV346:AX346)),1)</f>
        <v>-0.13203417914226587</v>
      </c>
      <c r="AN347" s="72">
        <f>EXP(INDEX(LINEST(LN(AV347:AX347),LN(AV346:AX346)),1,2))</f>
        <v>1.3159675213811464</v>
      </c>
      <c r="AO347" s="89">
        <f>INDEX(LINEST((AV347:AX347),LN(AV346:AX346),TRUE,TRUE),3,1)</f>
        <v>0.99998937756165318</v>
      </c>
      <c r="AP347" s="89">
        <f>INDEX(LINEST((AV347:AX347),LN(AV346:AX346)),1)</f>
        <v>-5.1088425764394131E-2</v>
      </c>
      <c r="AQ347" s="90">
        <f>INDEX(LINEST(LN(AV347:AX347),SQRT(AV346:AX346),TRUE,TRUE),3,1)</f>
        <v>0.9670542564262925</v>
      </c>
      <c r="AR347" s="117">
        <f>INDEX(LINEST(LN(AV347:AX347),SQRT((AV346:AX346))),1)</f>
        <v>-7.1827796356624927E-4</v>
      </c>
      <c r="AS347" s="91">
        <f>INDEX(LINEST(1/(AV347:AX347),1/(SQRT(AV346:AX346)),TRUE,TRUE),3,1)</f>
        <v>0.45102776702363601</v>
      </c>
      <c r="AT347" s="91">
        <f>INDEX(LINEST(1/(AV347:AX347),1/SQRT(AV346:AX346)),1)</f>
        <v>-16.957237363411991</v>
      </c>
      <c r="AU347" s="3"/>
      <c r="AV347" s="73">
        <f>31.5/41</f>
        <v>0.76829268292682928</v>
      </c>
      <c r="AW347" s="73">
        <f>23/41</f>
        <v>0.56097560975609762</v>
      </c>
      <c r="AX347" s="73">
        <f>7/41</f>
        <v>0.17073170731707318</v>
      </c>
      <c r="AY347" s="73"/>
      <c r="AZ347" s="73"/>
      <c r="BA347" s="53"/>
      <c r="BB347" s="53"/>
      <c r="BC347" s="53"/>
      <c r="BD347" s="53"/>
      <c r="BE347" s="53"/>
      <c r="BF347" s="53"/>
      <c r="BG347" s="53"/>
      <c r="BH347" s="53"/>
      <c r="BI347" s="53"/>
      <c r="BJ347" s="53"/>
      <c r="BK347" s="53"/>
      <c r="BL347" s="53"/>
      <c r="BM347" s="53"/>
      <c r="BN347" s="53"/>
      <c r="BO347" s="53"/>
      <c r="BP347" s="53"/>
      <c r="BQ347" s="53"/>
      <c r="BR347" s="53"/>
      <c r="BS347" s="53"/>
      <c r="BT347" s="53"/>
      <c r="BU347" s="53"/>
      <c r="BV347" s="53"/>
      <c r="BW347" s="53"/>
      <c r="BX347" s="53"/>
      <c r="BY347" s="53"/>
      <c r="BZ347" s="53"/>
      <c r="CA347" s="53"/>
      <c r="CB347" s="53"/>
      <c r="CC347" s="53"/>
      <c r="CD347" s="53"/>
      <c r="CE347" s="53"/>
      <c r="CF347" s="53"/>
      <c r="CG347" s="53"/>
      <c r="CH347" s="53"/>
      <c r="CI347" s="53"/>
      <c r="CJ347" s="53"/>
      <c r="CK347" s="53"/>
      <c r="CL347" s="53"/>
      <c r="CM347" s="53"/>
      <c r="CN347" s="53"/>
      <c r="CO347" s="53"/>
      <c r="CP347" s="53"/>
      <c r="CQ347" s="53"/>
      <c r="CR347" s="1"/>
      <c r="CS347" s="1"/>
      <c r="CT347" s="1"/>
      <c r="CU347" s="1"/>
    </row>
    <row r="348" spans="1:99" s="13" customFormat="1" ht="12" customHeight="1" x14ac:dyDescent="0.2">
      <c r="A348" s="68">
        <v>43978</v>
      </c>
      <c r="B348" s="70"/>
      <c r="C348" s="70"/>
      <c r="D348" s="69"/>
      <c r="E348" s="87"/>
      <c r="F348" s="69"/>
      <c r="G348" s="69"/>
      <c r="H348" s="69"/>
      <c r="I348" s="69"/>
      <c r="J348" s="69"/>
      <c r="K348" s="69"/>
      <c r="L348" s="69"/>
      <c r="M348" s="69"/>
      <c r="N348" s="92"/>
      <c r="O348" s="69"/>
      <c r="P348" s="69"/>
      <c r="Q348" s="69"/>
      <c r="R348" s="69"/>
      <c r="S348" s="69"/>
      <c r="T348" s="92"/>
      <c r="U348" s="69"/>
      <c r="V348" s="92"/>
      <c r="W348" s="69"/>
      <c r="X348" s="69"/>
      <c r="Y348" s="87"/>
      <c r="Z348" s="92"/>
      <c r="AA348" s="69"/>
      <c r="AB348" s="69"/>
      <c r="AC348" s="72"/>
      <c r="AD348" s="69"/>
      <c r="AE348" s="87"/>
      <c r="AF348" s="88"/>
      <c r="AG348" s="72"/>
      <c r="AH348" s="4"/>
      <c r="AI348" s="72"/>
      <c r="AJ348" s="110"/>
      <c r="AK348" s="72"/>
      <c r="AL348" s="72"/>
      <c r="AM348" s="72"/>
      <c r="AN348" s="72"/>
      <c r="AO348" s="89"/>
      <c r="AP348" s="89"/>
      <c r="AQ348" s="90"/>
      <c r="AR348" s="117"/>
      <c r="AS348" s="91"/>
      <c r="AT348" s="91"/>
      <c r="AU348" s="3"/>
      <c r="AV348" s="71">
        <f>60*60*24*265*5</f>
        <v>114480000</v>
      </c>
      <c r="AW348" s="71">
        <f>60*60*24*265*15</f>
        <v>343440000</v>
      </c>
      <c r="AX348" s="71">
        <f>60*60*24*265*25</f>
        <v>572400000</v>
      </c>
      <c r="AY348" s="71">
        <f>60*60*24*265*35</f>
        <v>801360000</v>
      </c>
      <c r="AZ348" s="71">
        <f>60*60*24*265*45</f>
        <v>1030320000</v>
      </c>
      <c r="BA348" s="53"/>
      <c r="BB348" s="53"/>
      <c r="BC348" s="53"/>
      <c r="BD348" s="53"/>
      <c r="BE348" s="53"/>
      <c r="BF348" s="53"/>
      <c r="BG348" s="53"/>
      <c r="BH348" s="53"/>
      <c r="BI348" s="53"/>
      <c r="BJ348" s="53"/>
      <c r="BK348" s="53"/>
      <c r="BL348" s="53"/>
      <c r="BM348" s="53"/>
      <c r="BN348" s="53"/>
      <c r="BO348" s="53"/>
      <c r="BP348" s="53"/>
      <c r="BQ348" s="53"/>
      <c r="BR348" s="53"/>
      <c r="BS348" s="53"/>
      <c r="BT348" s="53"/>
      <c r="BU348" s="53"/>
      <c r="BV348" s="53"/>
      <c r="BW348" s="53"/>
      <c r="BX348" s="53"/>
      <c r="BY348" s="53"/>
      <c r="BZ348" s="53"/>
      <c r="CA348" s="53"/>
      <c r="CB348" s="53"/>
      <c r="CC348" s="53"/>
      <c r="CD348" s="53"/>
      <c r="CE348" s="53"/>
      <c r="CF348" s="53"/>
      <c r="CG348" s="53"/>
      <c r="CH348" s="53"/>
      <c r="CI348" s="53"/>
      <c r="CJ348" s="53"/>
      <c r="CK348" s="53"/>
      <c r="CL348" s="53"/>
      <c r="CM348" s="53"/>
      <c r="CN348" s="53"/>
      <c r="CO348" s="53"/>
      <c r="CP348" s="53"/>
      <c r="CQ348" s="53"/>
      <c r="CR348" s="1"/>
      <c r="CS348" s="1"/>
      <c r="CT348" s="1"/>
      <c r="CU348" s="1"/>
    </row>
    <row r="349" spans="1:99" s="13" customFormat="1" ht="12" customHeight="1" x14ac:dyDescent="0.2">
      <c r="A349" s="68">
        <v>43978</v>
      </c>
      <c r="B349" s="70" t="s">
        <v>968</v>
      </c>
      <c r="C349" s="70" t="s">
        <v>408</v>
      </c>
      <c r="D349" s="69">
        <v>1997</v>
      </c>
      <c r="E349" s="87">
        <v>1</v>
      </c>
      <c r="F349" s="69">
        <v>4</v>
      </c>
      <c r="G349" s="69">
        <v>4</v>
      </c>
      <c r="H349" s="69" t="s">
        <v>17</v>
      </c>
      <c r="I349" s="69" t="s">
        <v>330</v>
      </c>
      <c r="J349" s="69" t="s">
        <v>340</v>
      </c>
      <c r="K349" s="69">
        <f>IF(J349="syllables",1,IF(J349="trigrams",2,IF(J349="strings",3,IF(J349="visual array",4,IF(J349="characters",5,IF(J349="letters",6,IF(J349="free forms",7,IF(J349="odors",8,IF(J349="words",9,IF(J349="pictures",10,IF(J349="object pictures",11,IF(J349="faces",12,IF(J349="names",13,IF(J349="idioms",14,IF(J349="grades",15,IF(J349="syllable-digit pairs",16,IF(J349="trigram-word pairs",17,IF(J349="word-digit pairs",18,IF(J349="English-Swahili pairs",19,IF(J349="spatial position",20,IF(J349="word pairs",21,IF(J349="word triads",22,IF(J349="generated words",23,IF(J349="word definition pairs",24,IF(J349="math problems",25,IF(J349="famous faces",26,IF(J349="famous names",27,IF(J349="famous voices",28,IF(J349="television programs",29,IF(J349="race horses",30,IF(J349="new vocabulary",31,IF(J349="sentences",32,IF(J349="concepts",33,IF(J349="ad slides",34,IF(J349="scenes",35,IF(J349="famous scenes",36,IF(J349="poems",37,IF(J349="walk",38,IF(J349="faces and events",39,IF(J349="events and names",40,IF(J349="flashbulb",41,IF(J349="stories",42,IF(J349="course material",43,IF(J349="autobiographical",44,IF(J349="novels",45,IF(J349="public events",46,"99"))))))))))))))))))))))))))))))))))))))))))))))</f>
        <v>46</v>
      </c>
      <c r="L349" s="69">
        <f>IF(J349="syllables",1,IF(J349="trigrams",1,IF(J349="strings",1,IF(J349="visual array",1,IF(J349="characters",1,IF(J349="letters",1,IF(J349="free forms",1,IF(J349="odors",2,IF(J349="words",2,IF(J349="pictures",2,IF(J349="object pictures",2,IF(J349="faces",2,IF(J349="names",2,IF(J349="idioms","2",IF(J349="grades",2,IF(J349="syllable-digit pairs",3,IF(J349="trigram-word pairs",3,IF(J349="word-digit pairs",3,IF(J349="English-Swahili pairs",3,IF(J349="spatial position",3,IF(J349="word pairs",4,IF(J349="word triads",4,IF(J349="generated words",4,IF(J349="word definition pairs",4,IF(J349="math problems",4,IF(J349="famous faces",4,IF(J349="famous names",4,IF(J349="famous voices",4,IF(J349="television programs",4,IF(J349="race horses",4,IF(J349="new vocabulary",4,IF(J349="sentences",5,IF(J349="concepts",5,IF(J349="ad slides",5,IF(J349="scenes",5,IF(J349="famous scenes",5,IF(J349="poems",6,IF(J349="walk",6,IF(J349="faces and events",6,IF(J349="events and names",6,IF(J349="flashbulb",7,IF(J349="stories",7,IF(J349="course material",7,IF(J349="autobiographical",7,IF(J349="novels",7,IF(J349="public events",7,"99"))))))))))))))))))))))))))))))))))))))))))))))</f>
        <v>7</v>
      </c>
      <c r="M349" s="69">
        <v>1</v>
      </c>
      <c r="N349" s="92">
        <v>4</v>
      </c>
      <c r="O349" s="69">
        <v>0</v>
      </c>
      <c r="P349" s="69"/>
      <c r="Q349" s="69" t="s">
        <v>182</v>
      </c>
      <c r="R349" s="69">
        <f>IF(Q349="Free Recall",1,IF(Q349="Cued Recall",2,IF(Q349="Recognition",3,IF(Q349="Multiple Choice",4,IF(Q349="Savings",5,IF(Q349="Stem Completion",6,IF(Q349="Fragment Completion",7,IF(Q349="anagram solution",8,IF(Q349="Matching",9,IF(Q349="Problem Solving",10,"99"))))))))))</f>
        <v>4</v>
      </c>
      <c r="S349" s="69" t="s">
        <v>15</v>
      </c>
      <c r="T349" s="92" t="s">
        <v>581</v>
      </c>
      <c r="U349" s="69">
        <f>IF(T349="within",1,0)</f>
        <v>1</v>
      </c>
      <c r="V349" s="92">
        <v>94</v>
      </c>
      <c r="W349" s="69">
        <f>F349*V349</f>
        <v>376</v>
      </c>
      <c r="X349" s="69">
        <v>5</v>
      </c>
      <c r="Y349" s="87">
        <f>AV348</f>
        <v>114480000</v>
      </c>
      <c r="Z349" s="92" t="s">
        <v>373</v>
      </c>
      <c r="AA349" s="69">
        <f>60*60*24*365*45</f>
        <v>1419120000</v>
      </c>
      <c r="AB349" s="69" t="str">
        <f>IF(AA349&lt;60,"1",IF(AA349&lt;=43200,"2",IF(AA349&lt;=777600,"3","4")))</f>
        <v>4</v>
      </c>
      <c r="AC349" s="72">
        <f>AVERAGE(AV348:DA348)</f>
        <v>572400000</v>
      </c>
      <c r="AD349" s="69" t="str">
        <f>IF(AC349&lt;60,"1",IF(AC349&lt;=43200,"2",IF(AC349&lt;=777600,"3","4")))</f>
        <v>4</v>
      </c>
      <c r="AE349" s="87">
        <f>AA349-Y349</f>
        <v>1304640000</v>
      </c>
      <c r="AF349" s="88">
        <f>AV349</f>
        <v>0.61</v>
      </c>
      <c r="AG349" s="72">
        <f>((AW349-AV349)+(AX349-AW349)+(AY349-AX349)+(AZ349-AY349))/4</f>
        <v>-4.8931704849767499E-2</v>
      </c>
      <c r="AH349" s="4"/>
      <c r="AI349" s="72">
        <f>RSQ(AV349:AZ349,AV348:AZ348)</f>
        <v>0.49067137770424346</v>
      </c>
      <c r="AJ349" s="110">
        <f>SLOPE(AV349:AZ349,AV348:AZ348)</f>
        <v>-2.0836292105184793E-10</v>
      </c>
      <c r="AK349" s="72">
        <f>INTERCEPT(AV349:AZ349,AV348:AZ348)</f>
        <v>0.64726832482973917</v>
      </c>
      <c r="AL349" s="72">
        <f>INDEX(LINEST(LN(AV349:AZ349),LN(AV348:AZ348),TRUE,TRUE),3,1)</f>
        <v>0.4263886858403631</v>
      </c>
      <c r="AM349" s="72">
        <f>INDEX(LINEST(LN(AV349:AZ349),LN(AV348:AZ348)),1)</f>
        <v>-0.15811696857948115</v>
      </c>
      <c r="AN349" s="72">
        <f>EXP(INDEX(LINEST(LN(AV349:AZ349),LN(AV348:AZ348)),1,2))</f>
        <v>12.117229711310106</v>
      </c>
      <c r="AO349" s="89">
        <f>INDEX(LINEST((AV349:AZ349),LN(AV348:AZ348),TRUE,TRUE),3,1)</f>
        <v>0.43731729304159439</v>
      </c>
      <c r="AP349" s="89">
        <f>INDEX(LINEST((AV349:AZ349),LN(AV348:AZ348)),1)</f>
        <v>-8.1903520536440885E-2</v>
      </c>
      <c r="AQ349" s="90">
        <f>INDEX(LINEST(LN(AV349:AZ349),SQRT(AV348:AZ348),TRUE,TRUE),3,1)</f>
        <v>0.46402787703792703</v>
      </c>
      <c r="AR349" s="117">
        <f>INDEX(LINEST(LN(AV349:AZ349),SQRT((AV348:AZ348))),1)</f>
        <v>-1.7060406508265118E-5</v>
      </c>
      <c r="AS349" s="91">
        <f>INDEX(LINEST(1/(AV349:AZ349),1/(SQRT(AV348:AZ348)),TRUE,TRUE),3,1)</f>
        <v>0.36184924848483002</v>
      </c>
      <c r="AT349" s="91">
        <f>INDEX(LINEST(1/(AV349:AZ349),1/SQRT(AV348:AZ348)),1)</f>
        <v>-9991.1491569357786</v>
      </c>
      <c r="AU349" s="3"/>
      <c r="AV349" s="102">
        <v>0.61</v>
      </c>
      <c r="AW349" s="73">
        <v>0.64292868762205901</v>
      </c>
      <c r="AX349" s="73">
        <v>0.41549049349542999</v>
      </c>
      <c r="AY349" s="73">
        <v>0.55731458237988796</v>
      </c>
      <c r="AZ349" s="73">
        <v>0.41427318060092999</v>
      </c>
      <c r="BA349" s="53"/>
      <c r="BB349" s="53"/>
      <c r="BC349" s="53"/>
      <c r="BD349" s="53"/>
      <c r="BE349" s="53"/>
      <c r="BF349" s="53"/>
      <c r="BG349" s="53"/>
      <c r="BH349" s="53"/>
      <c r="BI349" s="53"/>
      <c r="BJ349" s="53"/>
      <c r="BK349" s="53"/>
      <c r="BL349" s="53"/>
      <c r="BM349" s="53"/>
      <c r="BN349" s="53"/>
      <c r="BO349" s="53"/>
      <c r="BP349" s="53"/>
      <c r="BQ349" s="53"/>
      <c r="BR349" s="53"/>
      <c r="BS349" s="53"/>
      <c r="BT349" s="53"/>
      <c r="BU349" s="53"/>
      <c r="BV349" s="53"/>
      <c r="BW349" s="53"/>
      <c r="BX349" s="53"/>
      <c r="BY349" s="53"/>
      <c r="BZ349" s="53"/>
      <c r="CA349" s="53"/>
      <c r="CB349" s="53"/>
      <c r="CC349" s="53"/>
      <c r="CD349" s="53"/>
      <c r="CE349" s="53"/>
      <c r="CF349" s="53"/>
      <c r="CG349" s="53"/>
      <c r="CH349" s="53"/>
      <c r="CI349" s="53"/>
      <c r="CJ349" s="53"/>
      <c r="CK349" s="53"/>
      <c r="CL349" s="53"/>
      <c r="CM349" s="53"/>
      <c r="CN349" s="53"/>
      <c r="CO349" s="53"/>
      <c r="CP349" s="53"/>
      <c r="CQ349" s="53"/>
      <c r="CR349" s="1"/>
      <c r="CS349" s="1"/>
      <c r="CT349" s="1"/>
      <c r="CU349" s="1"/>
    </row>
    <row r="350" spans="1:99" s="13" customFormat="1" ht="12" customHeight="1" x14ac:dyDescent="0.2">
      <c r="A350" s="68">
        <v>43896</v>
      </c>
      <c r="B350" s="70"/>
      <c r="C350" s="67"/>
      <c r="D350" s="86"/>
      <c r="E350" s="87"/>
      <c r="F350" s="69"/>
      <c r="G350" s="69"/>
      <c r="H350" s="69"/>
      <c r="I350" s="69"/>
      <c r="J350" s="69"/>
      <c r="K350" s="107"/>
      <c r="L350" s="107"/>
      <c r="M350" s="69"/>
      <c r="N350" s="92"/>
      <c r="O350" s="69"/>
      <c r="P350" s="69"/>
      <c r="Q350" s="69"/>
      <c r="R350" s="69"/>
      <c r="S350" s="69"/>
      <c r="T350" s="69"/>
      <c r="U350" s="69"/>
      <c r="V350" s="69"/>
      <c r="W350" s="69"/>
      <c r="X350" s="69"/>
      <c r="Y350" s="87"/>
      <c r="Z350" s="69"/>
      <c r="AA350" s="69"/>
      <c r="AB350" s="69"/>
      <c r="AC350" s="72"/>
      <c r="AD350" s="69"/>
      <c r="AE350" s="69"/>
      <c r="AF350" s="88"/>
      <c r="AG350" s="72"/>
      <c r="AH350" s="4"/>
      <c r="AI350" s="72"/>
      <c r="AJ350" s="110"/>
      <c r="AK350" s="72"/>
      <c r="AL350" s="72"/>
      <c r="AM350" s="72"/>
      <c r="AN350" s="72"/>
      <c r="AO350" s="72"/>
      <c r="AP350" s="72"/>
      <c r="AQ350" s="72"/>
      <c r="AR350" s="110"/>
      <c r="AS350" s="72"/>
      <c r="AT350" s="72"/>
      <c r="AU350" s="5"/>
      <c r="AV350" s="71">
        <v>315360000</v>
      </c>
      <c r="AW350" s="71">
        <v>630720000</v>
      </c>
      <c r="AX350" s="71">
        <v>946080000</v>
      </c>
      <c r="AY350" s="53"/>
      <c r="AZ350" s="53"/>
      <c r="BA350" s="53"/>
      <c r="BB350" s="53"/>
      <c r="BC350" s="53"/>
      <c r="BD350" s="53"/>
      <c r="BE350" s="53"/>
      <c r="BF350" s="53"/>
      <c r="BG350" s="53"/>
      <c r="BH350" s="53"/>
      <c r="BI350" s="53"/>
      <c r="BJ350" s="53"/>
      <c r="BK350" s="53"/>
      <c r="BL350" s="53"/>
      <c r="BM350" s="53"/>
      <c r="BN350" s="53"/>
      <c r="BO350" s="53"/>
      <c r="BP350" s="53"/>
      <c r="BQ350" s="53"/>
      <c r="BR350" s="53"/>
      <c r="BS350" s="53"/>
      <c r="BT350" s="53"/>
      <c r="BU350" s="53"/>
      <c r="BV350" s="53"/>
      <c r="BW350" s="53"/>
      <c r="BX350" s="53"/>
      <c r="BY350" s="53"/>
      <c r="BZ350" s="53"/>
      <c r="CA350" s="53"/>
      <c r="CB350" s="53"/>
      <c r="CC350" s="53"/>
      <c r="CD350" s="53"/>
      <c r="CE350" s="53"/>
      <c r="CF350" s="53"/>
      <c r="CG350" s="53"/>
      <c r="CH350" s="53"/>
      <c r="CI350" s="53"/>
      <c r="CJ350" s="53"/>
      <c r="CK350" s="53"/>
      <c r="CL350" s="53"/>
      <c r="CM350" s="53"/>
      <c r="CN350" s="53"/>
      <c r="CO350" s="53"/>
      <c r="CP350" s="53"/>
      <c r="CQ350" s="53"/>
      <c r="CR350" s="1"/>
      <c r="CS350" s="1"/>
      <c r="CT350" s="1"/>
      <c r="CU350" s="1"/>
    </row>
    <row r="351" spans="1:99" s="13" customFormat="1" ht="12" customHeight="1" x14ac:dyDescent="0.2">
      <c r="A351" s="68">
        <v>43896</v>
      </c>
      <c r="B351" s="70" t="s">
        <v>354</v>
      </c>
      <c r="C351" s="70" t="s">
        <v>355</v>
      </c>
      <c r="D351" s="69">
        <v>1996</v>
      </c>
      <c r="E351" s="87">
        <v>2</v>
      </c>
      <c r="F351" s="69">
        <v>4</v>
      </c>
      <c r="G351" s="69">
        <v>4</v>
      </c>
      <c r="H351" s="69" t="s">
        <v>17</v>
      </c>
      <c r="I351" s="69" t="s">
        <v>330</v>
      </c>
      <c r="J351" s="69" t="s">
        <v>340</v>
      </c>
      <c r="K351" s="69">
        <f>IF(J351="syllables",1,IF(J351="trigrams",2,IF(J351="strings",3,IF(J351="visual array",4,IF(J351="characters",5,IF(J351="letters",6,IF(J351="free forms",7,IF(J351="odors",8,IF(J351="words",9,IF(J351="pictures",10,IF(J351="object pictures",11,IF(J351="faces",12,IF(J351="names",13,IF(J351="idioms",14,IF(J351="grades",15,IF(J351="syllable-digit pairs",16,IF(J351="trigram-word pairs",17,IF(J351="word-digit pairs",18,IF(J351="English-Swahili pairs",19,IF(J351="spatial position",20,IF(J351="word pairs",21,IF(J351="word triads",22,IF(J351="generated words",23,IF(J351="word definition pairs",24,IF(J351="math problems",25,IF(J351="famous faces",26,IF(J351="famous names",27,IF(J351="famous voices",28,IF(J351="television programs",29,IF(J351="race horses",30,IF(J351="new vocabulary",31,IF(J351="sentences",32,IF(J351="concepts",33,IF(J351="ad slides",34,IF(J351="scenes",35,IF(J351="famous scenes",36,IF(J351="poems",37,IF(J351="walk",38,IF(J351="faces and events",39,IF(J351="events and names",40,IF(J351="flashbulb",41,IF(J351="stories",42,IF(J351="course material",43,IF(J351="autobiographical",44,IF(J351="novels",45,IF(J351="public events",46,"99"))))))))))))))))))))))))))))))))))))))))))))))</f>
        <v>46</v>
      </c>
      <c r="L351" s="69">
        <f>IF(J351="syllables",1,IF(J351="trigrams",1,IF(J351="strings",1,IF(J351="visual array",1,IF(J351="characters",1,IF(J351="letters",1,IF(J351="free forms",1,IF(J351="odors",2,IF(J351="words",2,IF(J351="pictures",2,IF(J351="object pictures",2,IF(J351="faces",2,IF(J351="names",2,IF(J351="idioms","2",IF(J351="grades",2,IF(J351="syllable-digit pairs",3,IF(J351="trigram-word pairs",3,IF(J351="word-digit pairs",3,IF(J351="English-Swahili pairs",3,IF(J351="spatial position",3,IF(J351="word pairs",4,IF(J351="word triads",4,IF(J351="generated words",4,IF(J351="word definition pairs",4,IF(J351="math problems",4,IF(J351="famous faces",4,IF(J351="famous names",4,IF(J351="famous voices",4,IF(J351="television programs",4,IF(J351="race horses",4,IF(J351="new vocabulary",4,IF(J351="sentences",5,IF(J351="concepts",5,IF(J351="ad slides",5,IF(J351="scenes",5,IF(J351="famous scenes",5,IF(J351="poems",6,IF(J351="walk",6,IF(J351="faces and events",6,IF(J351="events and names",6,IF(J351="flashbulb",7,IF(J351="stories",7,IF(J351="course material",7,IF(J351="autobiographical",7,IF(J351="novels",7,IF(J351="public events",7,"99"))))))))))))))))))))))))))))))))))))))))))))))</f>
        <v>7</v>
      </c>
      <c r="M351" s="69">
        <v>1</v>
      </c>
      <c r="N351" s="92">
        <v>4</v>
      </c>
      <c r="O351" s="69">
        <v>0</v>
      </c>
      <c r="P351" s="69"/>
      <c r="Q351" s="69" t="s">
        <v>174</v>
      </c>
      <c r="R351" s="69">
        <f>IF(Q351="Free Recall",1,IF(Q351="Cued Recall",2,IF(Q351="Recognition",3,IF(Q351="Multiple Choice",4,IF(Q351="Savings",5,IF(Q351="Stem Completion",6,IF(Q351="Fragment Completion",7,IF(Q351="anagram solution",8,IF(Q351="Matching",9,IF(Q351="Problem Solving",10,"99"))))))))))</f>
        <v>1</v>
      </c>
      <c r="S351" s="69" t="s">
        <v>49</v>
      </c>
      <c r="T351" s="92" t="s">
        <v>581</v>
      </c>
      <c r="U351" s="69">
        <f>IF(T351="within",1,0)</f>
        <v>1</v>
      </c>
      <c r="V351" s="92">
        <v>30</v>
      </c>
      <c r="W351" s="69">
        <f>F351*V351</f>
        <v>120</v>
      </c>
      <c r="X351" s="69">
        <v>3</v>
      </c>
      <c r="Y351" s="87">
        <f>AV350</f>
        <v>315360000</v>
      </c>
      <c r="Z351" s="92" t="s">
        <v>332</v>
      </c>
      <c r="AA351" s="69">
        <f>30*365*24*60*60</f>
        <v>946080000</v>
      </c>
      <c r="AB351" s="69" t="str">
        <f>IF(AA351&lt;60,"1",IF(AA351&lt;=43200,"2",IF(AA351&lt;=777600,"3","4")))</f>
        <v>4</v>
      </c>
      <c r="AC351" s="72">
        <f>AVERAGE(AV350:DA350)</f>
        <v>630720000</v>
      </c>
      <c r="AD351" s="69" t="str">
        <f>IF(AC351&lt;60,"1",IF(AC351&lt;=43200,"2",IF(AC351&lt;=777600,"3","4")))</f>
        <v>4</v>
      </c>
      <c r="AE351" s="87">
        <f>AA351-Y351</f>
        <v>630720000</v>
      </c>
      <c r="AF351" s="88">
        <f>AV351</f>
        <v>0.59090909090909094</v>
      </c>
      <c r="AG351" s="72">
        <f>((AW351-AV351)+(AX351-AW351))/2</f>
        <v>-1.2845849802371578E-2</v>
      </c>
      <c r="AH351" s="4"/>
      <c r="AI351" s="72">
        <f>RSQ(AV351:AX351,AV350:AX350)</f>
        <v>5.4600991425409699E-3</v>
      </c>
      <c r="AJ351" s="110">
        <f>SLOPE(AV351:AX351,AV350:AX350)</f>
        <v>-4.0733922508788623E-11</v>
      </c>
      <c r="AK351" s="72">
        <f>INTERCEPT(AV351:AX351,AV350:AX350)</f>
        <v>0.50365978626848207</v>
      </c>
      <c r="AL351" s="72">
        <f>INDEX(LINEST(LN(AV351:AX351),LN(AV350:AX350),TRUE,TRUE),3,1)</f>
        <v>4.0467150218354973E-2</v>
      </c>
      <c r="AM351" s="72">
        <f>INDEX(LINEST(LN(AV351:AX351),LN(AV350:AX350)),1)</f>
        <v>-0.15337101198759301</v>
      </c>
      <c r="AN351" s="72">
        <f>EXP(INDEX(LINEST(LN(AV351:AX351),LN(AV350:AX350)),1,2))</f>
        <v>9.9784652043438875</v>
      </c>
      <c r="AO351" s="89">
        <f>INDEX(LINEST((AV351:AX351),LN(AV350:AX350),TRUE,TRUE),3,1)</f>
        <v>4.9345947846071173E-2</v>
      </c>
      <c r="AP351" s="89">
        <f>INDEX(LINEST((AV351:AX351),LN(AV350:AX350)),1)</f>
        <v>-6.9513066573456184E-2</v>
      </c>
      <c r="AQ351" s="90">
        <f>INDEX(LINEST(LN(AV351:AX351),SQRT(AV350:AX350),TRUE,TRUE),3,1)</f>
        <v>1.6386496008256157E-2</v>
      </c>
      <c r="AR351" s="117">
        <f>INDEX(LINEST(LN(AV351:AX351),SQRT((AV350:AX350))),1)</f>
        <v>-8.3174732894637526E-6</v>
      </c>
      <c r="AS351" s="91">
        <f>INDEX(LINEST(1/(AV351:AX351),1/(SQRT(AV350:AX350)),TRUE,TRUE),3,1)</f>
        <v>6.3573993015720587E-2</v>
      </c>
      <c r="AT351" s="91">
        <f>INDEX(LINEST(1/(AV351:AX351),1/SQRT(AV350:AX350)),1)</f>
        <v>-22332.930360615093</v>
      </c>
      <c r="AU351" s="3"/>
      <c r="AV351" s="73">
        <v>0.59090909090909094</v>
      </c>
      <c r="AW351" s="73">
        <v>0.27777777777777779</v>
      </c>
      <c r="AX351" s="73">
        <v>0.56521739130434778</v>
      </c>
      <c r="AY351" s="53"/>
      <c r="AZ351" s="53"/>
      <c r="BA351" s="53"/>
      <c r="BB351" s="53"/>
      <c r="BC351" s="53"/>
      <c r="BD351" s="53"/>
      <c r="BE351" s="53"/>
      <c r="BF351" s="53"/>
      <c r="BG351" s="53"/>
      <c r="BH351" s="53"/>
      <c r="BI351" s="53"/>
      <c r="BJ351" s="53"/>
      <c r="BK351" s="53"/>
      <c r="BL351" s="53"/>
      <c r="BM351" s="53"/>
      <c r="BN351" s="53"/>
      <c r="BO351" s="53"/>
      <c r="BP351" s="53"/>
      <c r="BQ351" s="53"/>
      <c r="BR351" s="53"/>
      <c r="BS351" s="53"/>
      <c r="BT351" s="53"/>
      <c r="BU351" s="53"/>
      <c r="BV351" s="53"/>
      <c r="BW351" s="53"/>
      <c r="BX351" s="53"/>
      <c r="BY351" s="53"/>
      <c r="BZ351" s="53"/>
      <c r="CA351" s="53"/>
      <c r="CB351" s="53"/>
      <c r="CC351" s="53"/>
      <c r="CD351" s="53"/>
      <c r="CE351" s="53"/>
      <c r="CF351" s="53"/>
      <c r="CG351" s="53"/>
      <c r="CH351" s="53"/>
      <c r="CI351" s="53"/>
      <c r="CJ351" s="53"/>
      <c r="CK351" s="53"/>
      <c r="CL351" s="53"/>
      <c r="CM351" s="53"/>
      <c r="CN351" s="53"/>
      <c r="CO351" s="53"/>
      <c r="CP351" s="53"/>
      <c r="CQ351" s="53"/>
      <c r="CR351" s="1"/>
      <c r="CS351" s="1"/>
      <c r="CT351" s="1"/>
      <c r="CU351" s="1"/>
    </row>
    <row r="352" spans="1:99" s="13" customFormat="1" ht="12" customHeight="1" x14ac:dyDescent="0.2">
      <c r="A352" s="68">
        <v>43896</v>
      </c>
      <c r="B352" s="70"/>
      <c r="C352" s="67"/>
      <c r="D352" s="86"/>
      <c r="E352" s="87"/>
      <c r="F352" s="69"/>
      <c r="G352" s="69"/>
      <c r="H352" s="69"/>
      <c r="I352" s="69"/>
      <c r="J352" s="69"/>
      <c r="K352" s="107"/>
      <c r="L352" s="107"/>
      <c r="M352" s="69"/>
      <c r="N352" s="92"/>
      <c r="O352" s="69"/>
      <c r="P352" s="69"/>
      <c r="Q352" s="69"/>
      <c r="R352" s="69"/>
      <c r="S352" s="69"/>
      <c r="T352" s="69"/>
      <c r="U352" s="69"/>
      <c r="V352" s="69"/>
      <c r="W352" s="69"/>
      <c r="X352" s="69"/>
      <c r="Y352" s="87"/>
      <c r="Z352" s="69"/>
      <c r="AA352" s="69"/>
      <c r="AB352" s="69"/>
      <c r="AC352" s="72"/>
      <c r="AD352" s="69"/>
      <c r="AE352" s="69"/>
      <c r="AF352" s="88"/>
      <c r="AG352" s="72"/>
      <c r="AH352" s="4"/>
      <c r="AI352" s="72"/>
      <c r="AJ352" s="110"/>
      <c r="AK352" s="72"/>
      <c r="AL352" s="72"/>
      <c r="AM352" s="72"/>
      <c r="AN352" s="72"/>
      <c r="AO352" s="72"/>
      <c r="AP352" s="72"/>
      <c r="AQ352" s="72"/>
      <c r="AR352" s="110"/>
      <c r="AS352" s="72"/>
      <c r="AT352" s="72"/>
      <c r="AU352" s="5"/>
      <c r="AV352" s="71">
        <v>315360000</v>
      </c>
      <c r="AW352" s="71">
        <v>630720000</v>
      </c>
      <c r="AX352" s="71">
        <v>946080000</v>
      </c>
      <c r="AY352" s="53"/>
      <c r="AZ352" s="53"/>
      <c r="BA352" s="53"/>
      <c r="BB352" s="53"/>
      <c r="BC352" s="53"/>
      <c r="BD352" s="53"/>
      <c r="BE352" s="53"/>
      <c r="BF352" s="53"/>
      <c r="BG352" s="53"/>
      <c r="BH352" s="53"/>
      <c r="BI352" s="53"/>
      <c r="BJ352" s="53"/>
      <c r="BK352" s="53"/>
      <c r="BL352" s="53"/>
      <c r="BM352" s="53"/>
      <c r="BN352" s="53"/>
      <c r="BO352" s="53"/>
      <c r="BP352" s="53"/>
      <c r="BQ352" s="53"/>
      <c r="BR352" s="53"/>
      <c r="BS352" s="53"/>
      <c r="BT352" s="53"/>
      <c r="BU352" s="53"/>
      <c r="BV352" s="53"/>
      <c r="BW352" s="53"/>
      <c r="BX352" s="53"/>
      <c r="BY352" s="53"/>
      <c r="BZ352" s="53"/>
      <c r="CA352" s="53"/>
      <c r="CB352" s="53"/>
      <c r="CC352" s="53"/>
      <c r="CD352" s="53"/>
      <c r="CE352" s="53"/>
      <c r="CF352" s="53"/>
      <c r="CG352" s="53"/>
      <c r="CH352" s="53"/>
      <c r="CI352" s="53"/>
      <c r="CJ352" s="53"/>
      <c r="CK352" s="53"/>
      <c r="CL352" s="53"/>
      <c r="CM352" s="53"/>
      <c r="CN352" s="53"/>
      <c r="CO352" s="53"/>
      <c r="CP352" s="53"/>
      <c r="CQ352" s="53"/>
      <c r="CR352" s="1"/>
      <c r="CS352" s="1"/>
      <c r="CT352" s="1"/>
      <c r="CU352" s="1"/>
    </row>
    <row r="353" spans="1:99" s="13" customFormat="1" ht="12" customHeight="1" x14ac:dyDescent="0.2">
      <c r="A353" s="68">
        <v>43896</v>
      </c>
      <c r="B353" s="70" t="s">
        <v>354</v>
      </c>
      <c r="C353" s="70" t="s">
        <v>355</v>
      </c>
      <c r="D353" s="69">
        <v>1996</v>
      </c>
      <c r="E353" s="87">
        <v>2</v>
      </c>
      <c r="F353" s="69">
        <v>4</v>
      </c>
      <c r="G353" s="69">
        <v>4</v>
      </c>
      <c r="H353" s="69" t="s">
        <v>17</v>
      </c>
      <c r="I353" s="69" t="s">
        <v>330</v>
      </c>
      <c r="J353" s="69" t="s">
        <v>340</v>
      </c>
      <c r="K353" s="69">
        <f>IF(J353="syllables",1,IF(J353="trigrams",2,IF(J353="strings",3,IF(J353="visual array",4,IF(J353="characters",5,IF(J353="letters",6,IF(J353="free forms",7,IF(J353="odors",8,IF(J353="words",9,IF(J353="pictures",10,IF(J353="object pictures",11,IF(J353="faces",12,IF(J353="names",13,IF(J353="idioms",14,IF(J353="grades",15,IF(J353="syllable-digit pairs",16,IF(J353="trigram-word pairs",17,IF(J353="word-digit pairs",18,IF(J353="English-Swahili pairs",19,IF(J353="spatial position",20,IF(J353="word pairs",21,IF(J353="word triads",22,IF(J353="generated words",23,IF(J353="word definition pairs",24,IF(J353="math problems",25,IF(J353="famous faces",26,IF(J353="famous names",27,IF(J353="famous voices",28,IF(J353="television programs",29,IF(J353="race horses",30,IF(J353="new vocabulary",31,IF(J353="sentences",32,IF(J353="concepts",33,IF(J353="ad slides",34,IF(J353="scenes",35,IF(J353="famous scenes",36,IF(J353="poems",37,IF(J353="walk",38,IF(J353="faces and events",39,IF(J353="events and names",40,IF(J353="flashbulb",41,IF(J353="stories",42,IF(J353="course material",43,IF(J353="autobiographical",44,IF(J353="novels",45,IF(J353="public events",46,"99"))))))))))))))))))))))))))))))))))))))))))))))</f>
        <v>46</v>
      </c>
      <c r="L353" s="69">
        <f>IF(J353="syllables",1,IF(J353="trigrams",1,IF(J353="strings",1,IF(J353="visual array",1,IF(J353="characters",1,IF(J353="letters",1,IF(J353="free forms",1,IF(J353="odors",2,IF(J353="words",2,IF(J353="pictures",2,IF(J353="object pictures",2,IF(J353="faces",2,IF(J353="names",2,IF(J353="idioms","2",IF(J353="grades",2,IF(J353="syllable-digit pairs",3,IF(J353="trigram-word pairs",3,IF(J353="word-digit pairs",3,IF(J353="English-Swahili pairs",3,IF(J353="spatial position",3,IF(J353="word pairs",4,IF(J353="word triads",4,IF(J353="generated words",4,IF(J353="word definition pairs",4,IF(J353="math problems",4,IF(J353="famous faces",4,IF(J353="famous names",4,IF(J353="famous voices",4,IF(J353="television programs",4,IF(J353="race horses",4,IF(J353="new vocabulary",4,IF(J353="sentences",5,IF(J353="concepts",5,IF(J353="ad slides",5,IF(J353="scenes",5,IF(J353="famous scenes",5,IF(J353="poems",6,IF(J353="walk",6,IF(J353="faces and events",6,IF(J353="events and names",6,IF(J353="flashbulb",7,IF(J353="stories",7,IF(J353="course material",7,IF(J353="autobiographical",7,IF(J353="novels",7,IF(J353="public events",7,"99"))))))))))))))))))))))))))))))))))))))))))))))</f>
        <v>7</v>
      </c>
      <c r="M353" s="69">
        <v>1</v>
      </c>
      <c r="N353" s="92">
        <v>4</v>
      </c>
      <c r="O353" s="69">
        <v>0</v>
      </c>
      <c r="P353" s="69"/>
      <c r="Q353" s="69" t="s">
        <v>182</v>
      </c>
      <c r="R353" s="69">
        <f>IF(Q353="Free Recall",1,IF(Q353="Cued Recall",2,IF(Q353="Recognition",3,IF(Q353="Multiple Choice",4,IF(Q353="Savings",5,IF(Q353="Stem Completion",6,IF(Q353="Fragment Completion",7,IF(Q353="anagram solution",8,IF(Q353="Matching",9,IF(Q353="Problem Solving",10,"99"))))))))))</f>
        <v>4</v>
      </c>
      <c r="S353" s="69" t="s">
        <v>15</v>
      </c>
      <c r="T353" s="92" t="s">
        <v>581</v>
      </c>
      <c r="U353" s="69">
        <f>IF(T353="within",1,0)</f>
        <v>1</v>
      </c>
      <c r="V353" s="92">
        <v>30</v>
      </c>
      <c r="W353" s="69">
        <f>F353*V353</f>
        <v>120</v>
      </c>
      <c r="X353" s="69">
        <v>3</v>
      </c>
      <c r="Y353" s="87">
        <f>AV352</f>
        <v>315360000</v>
      </c>
      <c r="Z353" s="92" t="s">
        <v>332</v>
      </c>
      <c r="AA353" s="69">
        <f>30*365*24*60*60</f>
        <v>946080000</v>
      </c>
      <c r="AB353" s="69" t="str">
        <f>IF(AA353&lt;60,"1",IF(AA353&lt;=43200,"2",IF(AA353&lt;=777600,"3","4")))</f>
        <v>4</v>
      </c>
      <c r="AC353" s="72">
        <f>AVERAGE(AV352:DA352)</f>
        <v>630720000</v>
      </c>
      <c r="AD353" s="69" t="str">
        <f>IF(AC353&lt;60,"1",IF(AC353&lt;=43200,"2",IF(AC353&lt;=777600,"3","4")))</f>
        <v>4</v>
      </c>
      <c r="AE353" s="87">
        <f>AA353-Y353</f>
        <v>630720000</v>
      </c>
      <c r="AF353" s="88">
        <f>AV353</f>
        <v>0.94736842105263175</v>
      </c>
      <c r="AG353" s="72">
        <f>((AW353-AV353)+(AX353-AW353))/2</f>
        <v>-1.9736842105263275E-2</v>
      </c>
      <c r="AH353" s="4"/>
      <c r="AI353" s="72">
        <f>RSQ(AV353:AX353,AV352:AX352)</f>
        <v>6.1524269088845333E-2</v>
      </c>
      <c r="AJ353" s="110">
        <f>SLOPE(AV353:AX353,AV352:AX352)</f>
        <v>-6.2585115757430473E-11</v>
      </c>
      <c r="AK353" s="72">
        <f>INTERCEPT(AV353:AX353,AV352:AX352)</f>
        <v>0.92260061919504677</v>
      </c>
      <c r="AL353" s="72">
        <f>INDEX(LINEST(LN(AV353:AX353),LN(AV352:AX352),TRUE,TRUE),3,1)</f>
        <v>0.13982724723980744</v>
      </c>
      <c r="AM353" s="72">
        <f>INDEX(LINEST(LN(AV353:AX353),LN(AV352:AX352)),1)</f>
        <v>-6.1980810106602814E-2</v>
      </c>
      <c r="AN353" s="72">
        <f>EXP(INDEX(LINEST(LN(AV353:AX353),LN(AV352:AX352)),1,2))</f>
        <v>3.0736387064552058</v>
      </c>
      <c r="AO353" s="89">
        <f>INDEX(LINEST((AV353:AX353),LN(AV352:AX352),TRUE,TRUE),3,1)</f>
        <v>0.15215324986027096</v>
      </c>
      <c r="AP353" s="89">
        <f>INDEX(LINEST((AV353:AX353),LN(AV352:AX352)),1)</f>
        <v>-5.5869293102102272E-2</v>
      </c>
      <c r="AQ353" s="90">
        <f>INDEX(LINEST(LN(AV353:AX353),SQRT(AV352:AX352),TRUE,TRUE),3,1)</f>
        <v>9.2517289553371615E-2</v>
      </c>
      <c r="AR353" s="117">
        <f>INDEX(LINEST(LN(AV353:AX353),SQRT((AV352:AX352))),1)</f>
        <v>-4.2966421940461913E-6</v>
      </c>
      <c r="AS353" s="91">
        <f>INDEX(LINEST(1/(AV353:AX353),1/(SQRT(AV352:AX352)),TRUE,TRUE),3,1)</f>
        <v>0.17812477423890216</v>
      </c>
      <c r="AT353" s="91">
        <f>INDEX(LINEST(1/(AV353:AX353),1/SQRT(AV352:AX352)),1)</f>
        <v>-3698.9380524000608</v>
      </c>
      <c r="AU353" s="3"/>
      <c r="AV353" s="73">
        <v>0.94736842105263175</v>
      </c>
      <c r="AW353" s="73">
        <v>0.79411764705882348</v>
      </c>
      <c r="AX353" s="73">
        <v>0.9078947368421052</v>
      </c>
      <c r="AY353" s="53"/>
      <c r="AZ353" s="53"/>
      <c r="BA353" s="53"/>
      <c r="BB353" s="53"/>
      <c r="BC353" s="53"/>
      <c r="BD353" s="53"/>
      <c r="BE353" s="53"/>
      <c r="BF353" s="53"/>
      <c r="BG353" s="53"/>
      <c r="BH353" s="53"/>
      <c r="BI353" s="53"/>
      <c r="BJ353" s="53"/>
      <c r="BK353" s="53"/>
      <c r="BL353" s="53"/>
      <c r="BM353" s="53"/>
      <c r="BN353" s="53"/>
      <c r="BO353" s="53"/>
      <c r="BP353" s="53"/>
      <c r="BQ353" s="53"/>
      <c r="BR353" s="53"/>
      <c r="BS353" s="53"/>
      <c r="BT353" s="53"/>
      <c r="BU353" s="53"/>
      <c r="BV353" s="53"/>
      <c r="BW353" s="53"/>
      <c r="BX353" s="53"/>
      <c r="BY353" s="53"/>
      <c r="BZ353" s="53"/>
      <c r="CA353" s="53"/>
      <c r="CB353" s="53"/>
      <c r="CC353" s="53"/>
      <c r="CD353" s="53"/>
      <c r="CE353" s="53"/>
      <c r="CF353" s="53"/>
      <c r="CG353" s="53"/>
      <c r="CH353" s="53"/>
      <c r="CI353" s="53"/>
      <c r="CJ353" s="53"/>
      <c r="CK353" s="53"/>
      <c r="CL353" s="53"/>
      <c r="CM353" s="53"/>
      <c r="CN353" s="53"/>
      <c r="CO353" s="53"/>
      <c r="CP353" s="53"/>
      <c r="CQ353" s="53"/>
      <c r="CR353" s="1"/>
      <c r="CS353" s="1"/>
      <c r="CT353" s="1"/>
      <c r="CU353" s="1"/>
    </row>
    <row r="354" spans="1:99" s="13" customFormat="1" ht="12" customHeight="1" x14ac:dyDescent="0.2">
      <c r="A354" s="65">
        <v>43896</v>
      </c>
      <c r="B354" s="1"/>
      <c r="C354" s="1"/>
      <c r="D354" s="60"/>
      <c r="E354" s="76"/>
      <c r="F354" s="60"/>
      <c r="G354" s="60"/>
      <c r="H354" s="60"/>
      <c r="I354" s="60"/>
      <c r="J354" s="60"/>
      <c r="K354" s="64"/>
      <c r="L354" s="64"/>
      <c r="M354" s="60"/>
      <c r="N354" s="59"/>
      <c r="O354" s="60"/>
      <c r="P354" s="60"/>
      <c r="Q354" s="60"/>
      <c r="R354" s="60"/>
      <c r="S354" s="60"/>
      <c r="T354" s="59"/>
      <c r="U354" s="60"/>
      <c r="V354" s="59"/>
      <c r="W354" s="60"/>
      <c r="X354" s="60"/>
      <c r="Y354" s="76"/>
      <c r="Z354" s="59"/>
      <c r="AA354" s="59"/>
      <c r="AB354" s="60"/>
      <c r="AC354" s="56"/>
      <c r="AD354" s="60"/>
      <c r="AE354" s="60"/>
      <c r="AF354" s="80"/>
      <c r="AG354" s="56"/>
      <c r="AH354" s="4"/>
      <c r="AI354" s="56"/>
      <c r="AJ354" s="109"/>
      <c r="AK354" s="56"/>
      <c r="AL354" s="56"/>
      <c r="AM354" s="56"/>
      <c r="AN354" s="56"/>
      <c r="AO354" s="82"/>
      <c r="AP354" s="82"/>
      <c r="AQ354" s="83"/>
      <c r="AR354" s="116"/>
      <c r="AS354" s="84"/>
      <c r="AT354" s="84"/>
      <c r="AU354" s="3"/>
      <c r="AV354" s="25">
        <v>157680000</v>
      </c>
      <c r="AW354" s="25">
        <v>473040000</v>
      </c>
      <c r="AX354" s="25">
        <v>788400000</v>
      </c>
      <c r="AY354" s="25">
        <v>1103760000</v>
      </c>
      <c r="AZ354" s="25">
        <v>1419120000</v>
      </c>
      <c r="BA354" s="25">
        <v>1576800000</v>
      </c>
      <c r="BB354" s="53"/>
      <c r="BC354" s="53"/>
      <c r="BD354" s="53"/>
      <c r="BE354" s="53"/>
      <c r="BF354" s="53"/>
      <c r="BG354" s="53"/>
      <c r="BH354" s="53"/>
      <c r="BI354" s="53"/>
      <c r="BJ354" s="53"/>
      <c r="BK354" s="53"/>
      <c r="BL354" s="53"/>
      <c r="BM354" s="53"/>
      <c r="BN354" s="53"/>
      <c r="BO354" s="53"/>
      <c r="BP354" s="53"/>
      <c r="BQ354" s="53"/>
      <c r="BR354" s="53"/>
      <c r="BS354" s="53"/>
      <c r="BT354" s="53"/>
      <c r="BU354" s="53"/>
      <c r="BV354" s="53"/>
      <c r="BW354" s="53"/>
      <c r="BX354" s="53"/>
      <c r="BY354" s="53"/>
      <c r="BZ354" s="53"/>
      <c r="CA354" s="53"/>
      <c r="CB354" s="53"/>
      <c r="CC354" s="53"/>
      <c r="CD354" s="53"/>
      <c r="CE354" s="53"/>
      <c r="CF354" s="53"/>
      <c r="CG354" s="53"/>
      <c r="CH354" s="53"/>
      <c r="CI354" s="53"/>
      <c r="CJ354" s="53"/>
      <c r="CK354" s="53"/>
      <c r="CL354" s="53"/>
      <c r="CM354" s="53"/>
      <c r="CN354" s="53"/>
      <c r="CO354" s="53"/>
      <c r="CP354" s="53"/>
      <c r="CQ354" s="53"/>
      <c r="CR354" s="1"/>
      <c r="CS354" s="1"/>
      <c r="CT354" s="1"/>
      <c r="CU354" s="1"/>
    </row>
    <row r="355" spans="1:99" s="13" customFormat="1" ht="12" customHeight="1" x14ac:dyDescent="0.2">
      <c r="A355" s="65">
        <v>43896</v>
      </c>
      <c r="B355" s="1" t="s">
        <v>356</v>
      </c>
      <c r="C355" s="1" t="s">
        <v>357</v>
      </c>
      <c r="D355" s="60">
        <v>1989</v>
      </c>
      <c r="E355" s="76">
        <v>1</v>
      </c>
      <c r="F355" s="60">
        <v>5</v>
      </c>
      <c r="G355" s="60">
        <v>5</v>
      </c>
      <c r="H355" s="60" t="s">
        <v>50</v>
      </c>
      <c r="I355" s="60" t="s">
        <v>330</v>
      </c>
      <c r="J355" s="60" t="s">
        <v>406</v>
      </c>
      <c r="K355" s="60">
        <f>IF(J355="syllables",1,IF(J355="trigrams",2,IF(J355="strings",3,IF(J355="visual array",4,IF(J355="characters",5,IF(J355="letters",6,IF(J355="free forms",7,IF(J355="odors",8,IF(J355="words",9,IF(J355="pictures",10,IF(J355="object pictures",11,IF(J355="faces",12,IF(J355="names",13,IF(J355="idioms",14,IF(J355="grades",15,IF(J355="syllable-digit pairs",16,IF(J355="trigram-word pairs",17,IF(J355="word-digit pairs",18,IF(J355="English-Swahili pairs",19,IF(J355="spatial position",20,IF(J355="word pairs",21,IF(J355="word triads",22,IF(J355="generated words",23,IF(J355="word definition pairs",24,IF(J355="math problems",25,IF(J355="famous faces",26,IF(J355="famous names",27,IF(J355="famous voices",28,IF(J355="television programs",29,IF(J355="race horses",30,IF(J355="new vocabulary",31,IF(J355="sentences",32,IF(J355="concepts",33,IF(J355="ad slides",34,IF(J355="scenes",35,IF(J355="famous scenes",36,IF(J355="poems",37,IF(J355="walk",38,IF(J355="faces and events",39,IF(J355="events and names",40,IF(J355="flashbulb",41,IF(J355="stories",42,IF(J355="course material",43,IF(J355="autobiographical",44,IF(J355="novels",45,IF(J355="public events",46,"99"))))))))))))))))))))))))))))))))))))))))))))))</f>
        <v>36</v>
      </c>
      <c r="L355" s="60">
        <f>IF(J355="syllables",1,IF(J355="trigrams",1,IF(J355="strings",1,IF(J355="visual array",1,IF(J355="characters",1,IF(J355="letters",1,IF(J355="free forms",1,IF(J355="odors",2,IF(J355="words",2,IF(J355="pictures",2,IF(J355="object pictures",2,IF(J355="faces",2,IF(J355="names",2,IF(J355="idioms","2",IF(J355="grades",2,IF(J355="syllable-digit pairs",3,IF(J355="trigram-word pairs",3,IF(J355="word-digit pairs",3,IF(J355="English-Swahili pairs",3,IF(J355="spatial position",3,IF(J355="word pairs",4,IF(J355="word triads",4,IF(J355="generated words",4,IF(J355="word definition pairs",4,IF(J355="math problems",4,IF(J355="famous faces",4,IF(J355="famous names",4,IF(J355="famous voices",4,IF(J355="television programs",4,IF(J355="race horses",4,IF(J355="new vocabulary",4,IF(J355="sentences",5,IF(J355="concepts",5,IF(J355="ad slides",5,IF(J355="scenes",5,IF(J355="famous scenes",5,IF(J355="poems",6,IF(J355="walk",6,IF(J355="faces and events",6,IF(J355="events and names",6,IF(J355="flashbulb",7,IF(J355="stories",7,IF(J355="course material",7,IF(J355="autobiographical",7,IF(J355="novels",7,IF(J355="public events",7,"99"))))))))))))))))))))))))))))))))))))))))))))))</f>
        <v>5</v>
      </c>
      <c r="M355" s="60">
        <v>1</v>
      </c>
      <c r="N355" s="59">
        <v>2</v>
      </c>
      <c r="O355" s="60">
        <v>0</v>
      </c>
      <c r="P355" s="60"/>
      <c r="Q355" s="60" t="s">
        <v>174</v>
      </c>
      <c r="R355" s="60">
        <f>IF(Q355="Free Recall",1,IF(Q355="Cued Recall",2,IF(Q355="Recognition",3,IF(Q355="Multiple Choice",4,IF(Q355="Savings",5,IF(Q355="Stem Completion",6,IF(Q355="Fragment Completion",7,IF(Q355="anagram solution",8,IF(Q355="Matching",9,IF(Q355="Problem Solving",10,"99"))))))))))</f>
        <v>1</v>
      </c>
      <c r="S355" s="60" t="s">
        <v>49</v>
      </c>
      <c r="T355" s="59" t="s">
        <v>581</v>
      </c>
      <c r="U355" s="60">
        <f>IF(T355="within",1,0)</f>
        <v>1</v>
      </c>
      <c r="V355" s="59">
        <v>50</v>
      </c>
      <c r="W355" s="60">
        <f>F355*V355</f>
        <v>250</v>
      </c>
      <c r="X355" s="60">
        <v>6</v>
      </c>
      <c r="Y355" s="76">
        <f>AV354</f>
        <v>157680000</v>
      </c>
      <c r="Z355" s="59" t="s">
        <v>209</v>
      </c>
      <c r="AA355" s="60">
        <f>50*365*24*60*60</f>
        <v>1576800000</v>
      </c>
      <c r="AB355" s="60" t="str">
        <f>IF(AA355&lt;60,"1",IF(AA355&lt;=43200,"2",IF(AA355&lt;=777600,"3","4")))</f>
        <v>4</v>
      </c>
      <c r="AC355" s="56">
        <f>AVERAGE(AV354:DA354)</f>
        <v>919800000</v>
      </c>
      <c r="AD355" s="60" t="str">
        <f>IF(AC355&lt;60,"1",IF(AC355&lt;=43200,"2",IF(AC355&lt;=777600,"3","4")))</f>
        <v>4</v>
      </c>
      <c r="AE355" s="76">
        <f>AA355-Y355</f>
        <v>1419120000</v>
      </c>
      <c r="AF355" s="80">
        <f>AV355</f>
        <v>0.54838709677419362</v>
      </c>
      <c r="AG355" s="58">
        <f>((AW355-AV355)+(AX355-AW355)+(AY355-AX355)+(AZ355-AY355)+(BA355-AZ355))/5</f>
        <v>-4.4142614601018872E-3</v>
      </c>
      <c r="AH355" s="4"/>
      <c r="AI355" s="56">
        <f>RSQ(AV355:BA355,AV354:BA354)</f>
        <v>6.0804030603599565E-3</v>
      </c>
      <c r="AJ355" s="109">
        <f>SLOPE(AV355:BA355,AV354:BA354)</f>
        <v>1.2301701099570879E-11</v>
      </c>
      <c r="AK355" s="56">
        <f>INTERCEPT(AV355:BA355,AV354:BA354)</f>
        <v>0.4500242652588165</v>
      </c>
      <c r="AL355" s="56">
        <f>INDEX(LINEST(LN(AV355:BA355),LN(AV354:BA354),TRUE,TRUE),3,1)</f>
        <v>3.0519225971509051E-2</v>
      </c>
      <c r="AM355" s="56">
        <f>INDEX(LINEST(LN(AV355:BA355),LN(AV354:BA354)),1)</f>
        <v>-3.9940156449601992E-2</v>
      </c>
      <c r="AN355" s="56">
        <f>EXP(INDEX(LINEST(LN(AV355:BA355),LN(AV354:BA354)),1,2))</f>
        <v>1.0257774710762311</v>
      </c>
      <c r="AO355" s="82">
        <f>INDEX(LINEST((AV355:BA355),LN(AV354:BA354),TRUE,TRUE),3,1)</f>
        <v>3.1283857192090848E-2</v>
      </c>
      <c r="AP355" s="82">
        <f>INDEX(LINEST((AV355:BA355),LN(AV354:BA354)),1)</f>
        <v>-1.7725249339361929E-2</v>
      </c>
      <c r="AQ355" s="83">
        <f>INDEX(LINEST(LN(AV355:BA355),SQRT(AV354:BA354),TRUE,TRUE),3,1)</f>
        <v>2.5683776752583425E-3</v>
      </c>
      <c r="AR355" s="116">
        <f>INDEX(LINEST(LN(AV355:BA355),SQRT((AV354:BA354))),1)</f>
        <v>-9.731673335397144E-7</v>
      </c>
      <c r="AS355" s="84">
        <f>INDEX(LINEST(1/(AV355:BA355),1/(SQRT(AV354:BA354)),TRUE,TRUE),3,1)</f>
        <v>7.5349279000194475E-2</v>
      </c>
      <c r="AT355" s="84">
        <f>INDEX(LINEST(1/(AV355:BA355),1/SQRT(AV354:BA354)),1)</f>
        <v>-6151.8516676914087</v>
      </c>
      <c r="AU355" s="3"/>
      <c r="AV355" s="53">
        <v>0.54838709677419362</v>
      </c>
      <c r="AW355" s="53">
        <v>0.4</v>
      </c>
      <c r="AX355" s="53">
        <v>0.43</v>
      </c>
      <c r="AY355" s="53">
        <v>0.33333333333333331</v>
      </c>
      <c r="AZ355" s="53">
        <v>0.53</v>
      </c>
      <c r="BA355" s="53">
        <v>0.52631578947368418</v>
      </c>
      <c r="BB355" s="53"/>
      <c r="BC355" s="53"/>
      <c r="BD355" s="53"/>
      <c r="BE355" s="53"/>
      <c r="BF355" s="53"/>
      <c r="BG355" s="53"/>
      <c r="BH355" s="53"/>
      <c r="BI355" s="53"/>
      <c r="BJ355" s="53"/>
      <c r="BK355" s="53"/>
      <c r="BL355" s="53"/>
      <c r="BM355" s="53"/>
      <c r="BN355" s="53"/>
      <c r="BO355" s="53"/>
      <c r="BP355" s="53"/>
      <c r="BQ355" s="53"/>
      <c r="BR355" s="53"/>
      <c r="BS355" s="53"/>
      <c r="BT355" s="53"/>
      <c r="BU355" s="53"/>
      <c r="BV355" s="53"/>
      <c r="BW355" s="53"/>
      <c r="BX355" s="53"/>
      <c r="BY355" s="53"/>
      <c r="BZ355" s="53"/>
      <c r="CA355" s="53"/>
      <c r="CB355" s="53"/>
      <c r="CC355" s="53"/>
      <c r="CD355" s="53"/>
      <c r="CE355" s="53"/>
      <c r="CF355" s="53"/>
      <c r="CG355" s="53"/>
      <c r="CH355" s="53"/>
      <c r="CI355" s="53"/>
      <c r="CJ355" s="53"/>
      <c r="CK355" s="53"/>
      <c r="CL355" s="53"/>
      <c r="CM355" s="53"/>
      <c r="CN355" s="53"/>
      <c r="CO355" s="53"/>
      <c r="CP355" s="53"/>
      <c r="CQ355" s="53"/>
      <c r="CR355" s="1"/>
      <c r="CS355" s="1"/>
      <c r="CT355" s="1"/>
      <c r="CU355" s="1"/>
    </row>
    <row r="356" spans="1:99" s="13" customFormat="1" ht="12" customHeight="1" x14ac:dyDescent="0.2">
      <c r="A356" s="65">
        <v>43896</v>
      </c>
      <c r="B356" s="1"/>
      <c r="C356" s="1"/>
      <c r="D356" s="60"/>
      <c r="E356" s="76"/>
      <c r="F356" s="60"/>
      <c r="G356" s="60"/>
      <c r="H356" s="60"/>
      <c r="I356" s="60"/>
      <c r="J356" s="60"/>
      <c r="K356" s="64"/>
      <c r="L356" s="64"/>
      <c r="M356" s="60"/>
      <c r="N356" s="59"/>
      <c r="O356" s="60"/>
      <c r="P356" s="60"/>
      <c r="Q356" s="60"/>
      <c r="R356" s="60"/>
      <c r="S356" s="60"/>
      <c r="T356" s="60"/>
      <c r="U356" s="60"/>
      <c r="V356" s="60"/>
      <c r="W356" s="60"/>
      <c r="X356" s="60"/>
      <c r="Y356" s="76"/>
      <c r="Z356" s="59"/>
      <c r="AA356" s="59"/>
      <c r="AB356" s="60"/>
      <c r="AC356" s="56"/>
      <c r="AD356" s="60"/>
      <c r="AE356" s="60"/>
      <c r="AF356" s="80"/>
      <c r="AG356" s="56"/>
      <c r="AH356" s="4"/>
      <c r="AI356" s="56"/>
      <c r="AJ356" s="109"/>
      <c r="AK356" s="56"/>
      <c r="AL356" s="56"/>
      <c r="AM356" s="56"/>
      <c r="AN356" s="56"/>
      <c r="AO356" s="82"/>
      <c r="AP356" s="82"/>
      <c r="AQ356" s="83"/>
      <c r="AR356" s="116"/>
      <c r="AS356" s="84"/>
      <c r="AT356" s="84"/>
      <c r="AU356" s="3"/>
      <c r="AV356" s="25">
        <v>157680000</v>
      </c>
      <c r="AW356" s="25">
        <v>473040000</v>
      </c>
      <c r="AX356" s="25">
        <v>788400000</v>
      </c>
      <c r="AY356" s="25">
        <v>1103760000</v>
      </c>
      <c r="AZ356" s="25">
        <v>1419120000</v>
      </c>
      <c r="BA356" s="25">
        <v>1576800000</v>
      </c>
      <c r="BB356" s="53"/>
      <c r="BC356" s="53"/>
      <c r="BD356" s="53"/>
      <c r="BE356" s="53"/>
      <c r="BF356" s="53"/>
      <c r="BG356" s="53"/>
      <c r="BH356" s="53"/>
      <c r="BI356" s="53"/>
      <c r="BJ356" s="53"/>
      <c r="BK356" s="53"/>
      <c r="BL356" s="53"/>
      <c r="BM356" s="53"/>
      <c r="BN356" s="53"/>
      <c r="BO356" s="53"/>
      <c r="BP356" s="53"/>
      <c r="BQ356" s="53"/>
      <c r="BR356" s="53"/>
      <c r="BS356" s="53"/>
      <c r="BT356" s="53"/>
      <c r="BU356" s="53"/>
      <c r="BV356" s="53"/>
      <c r="BW356" s="53"/>
      <c r="BX356" s="53"/>
      <c r="BY356" s="53"/>
      <c r="BZ356" s="53"/>
      <c r="CA356" s="53"/>
      <c r="CB356" s="53"/>
      <c r="CC356" s="53"/>
      <c r="CD356" s="53"/>
      <c r="CE356" s="53"/>
      <c r="CF356" s="53"/>
      <c r="CG356" s="53"/>
      <c r="CH356" s="53"/>
      <c r="CI356" s="53"/>
      <c r="CJ356" s="53"/>
      <c r="CK356" s="53"/>
      <c r="CL356" s="53"/>
      <c r="CM356" s="53"/>
      <c r="CN356" s="53"/>
      <c r="CO356" s="53"/>
      <c r="CP356" s="53"/>
      <c r="CQ356" s="53"/>
      <c r="CR356" s="1"/>
      <c r="CS356" s="1"/>
      <c r="CT356" s="1"/>
      <c r="CU356" s="1"/>
    </row>
    <row r="357" spans="1:99" s="13" customFormat="1" ht="12" customHeight="1" x14ac:dyDescent="0.2">
      <c r="A357" s="65">
        <v>43896</v>
      </c>
      <c r="B357" s="1" t="s">
        <v>356</v>
      </c>
      <c r="C357" s="1" t="s">
        <v>357</v>
      </c>
      <c r="D357" s="60">
        <v>1989</v>
      </c>
      <c r="E357" s="76">
        <v>1</v>
      </c>
      <c r="F357" s="60">
        <v>5</v>
      </c>
      <c r="G357" s="60">
        <v>5</v>
      </c>
      <c r="H357" s="60" t="s">
        <v>50</v>
      </c>
      <c r="I357" s="60" t="s">
        <v>330</v>
      </c>
      <c r="J357" s="60" t="s">
        <v>406</v>
      </c>
      <c r="K357" s="60">
        <f>IF(J357="syllables",1,IF(J357="trigrams",2,IF(J357="strings",3,IF(J357="visual array",4,IF(J357="characters",5,IF(J357="letters",6,IF(J357="free forms",7,IF(J357="odors",8,IF(J357="words",9,IF(J357="pictures",10,IF(J357="object pictures",11,IF(J357="faces",12,IF(J357="names",13,IF(J357="idioms",14,IF(J357="grades",15,IF(J357="syllable-digit pairs",16,IF(J357="trigram-word pairs",17,IF(J357="word-digit pairs",18,IF(J357="English-Swahili pairs",19,IF(J357="spatial position",20,IF(J357="word pairs",21,IF(J357="word triads",22,IF(J357="generated words",23,IF(J357="word definition pairs",24,IF(J357="math problems",25,IF(J357="famous faces",26,IF(J357="famous names",27,IF(J357="famous voices",28,IF(J357="television programs",29,IF(J357="race horses",30,IF(J357="new vocabulary",31,IF(J357="sentences",32,IF(J357="concepts",33,IF(J357="ad slides",34,IF(J357="scenes",35,IF(J357="famous scenes",36,IF(J357="poems",37,IF(J357="walk",38,IF(J357="faces and events",39,IF(J357="events and names",40,IF(J357="flashbulb",41,IF(J357="stories",42,IF(J357="course material",43,IF(J357="autobiographical",44,IF(J357="novels",45,IF(J357="public events",46,"99"))))))))))))))))))))))))))))))))))))))))))))))</f>
        <v>36</v>
      </c>
      <c r="L357" s="60">
        <f>IF(J357="syllables",1,IF(J357="trigrams",1,IF(J357="strings",1,IF(J357="visual array",1,IF(J357="characters",1,IF(J357="letters",1,IF(J357="free forms",1,IF(J357="odors",2,IF(J357="words",2,IF(J357="pictures",2,IF(J357="object pictures",2,IF(J357="faces",2,IF(J357="names",2,IF(J357="idioms","2",IF(J357="grades",2,IF(J357="syllable-digit pairs",3,IF(J357="trigram-word pairs",3,IF(J357="word-digit pairs",3,IF(J357="English-Swahili pairs",3,IF(J357="spatial position",3,IF(J357="word pairs",4,IF(J357="word triads",4,IF(J357="generated words",4,IF(J357="word definition pairs",4,IF(J357="math problems",4,IF(J357="famous faces",4,IF(J357="famous names",4,IF(J357="famous voices",4,IF(J357="television programs",4,IF(J357="race horses",4,IF(J357="new vocabulary",4,IF(J357="sentences",5,IF(J357="concepts",5,IF(J357="ad slides",5,IF(J357="scenes",5,IF(J357="famous scenes",5,IF(J357="poems",6,IF(J357="walk",6,IF(J357="faces and events",6,IF(J357="events and names",6,IF(J357="flashbulb",7,IF(J357="stories",7,IF(J357="course material",7,IF(J357="autobiographical",7,IF(J357="novels",7,IF(J357="public events",7,"99"))))))))))))))))))))))))))))))))))))))))))))))</f>
        <v>5</v>
      </c>
      <c r="M357" s="60">
        <v>1</v>
      </c>
      <c r="N357" s="59">
        <v>2</v>
      </c>
      <c r="O357" s="60">
        <v>0</v>
      </c>
      <c r="P357" s="60"/>
      <c r="Q357" s="60" t="s">
        <v>182</v>
      </c>
      <c r="R357" s="60">
        <f>IF(Q357="Free Recall",1,IF(Q357="Cued Recall",2,IF(Q357="Recognition",3,IF(Q357="Multiple Choice",4,IF(Q357="Savings",5,IF(Q357="Stem Completion",6,IF(Q357="Fragment Completion",7,IF(Q357="anagram solution",8,IF(Q357="Matching",9,IF(Q357="Problem Solving",10,"99"))))))))))</f>
        <v>4</v>
      </c>
      <c r="S357" s="60" t="s">
        <v>15</v>
      </c>
      <c r="T357" s="59" t="s">
        <v>581</v>
      </c>
      <c r="U357" s="60">
        <f>IF(T357="within",1,0)</f>
        <v>1</v>
      </c>
      <c r="V357" s="59">
        <v>50</v>
      </c>
      <c r="W357" s="60">
        <f>F357*V357</f>
        <v>250</v>
      </c>
      <c r="X357" s="60">
        <v>6</v>
      </c>
      <c r="Y357" s="76">
        <f>AV356</f>
        <v>157680000</v>
      </c>
      <c r="Z357" s="59" t="s">
        <v>209</v>
      </c>
      <c r="AA357" s="60">
        <f>50*365*24*60*60</f>
        <v>1576800000</v>
      </c>
      <c r="AB357" s="60" t="str">
        <f>IF(AA357&lt;60,"1",IF(AA357&lt;=43200,"2",IF(AA357&lt;=777600,"3","4")))</f>
        <v>4</v>
      </c>
      <c r="AC357" s="56">
        <f>AVERAGE(AV356:DA356)</f>
        <v>919800000</v>
      </c>
      <c r="AD357" s="60" t="str">
        <f>IF(AC357&lt;60,"1",IF(AC357&lt;=43200,"2",IF(AC357&lt;=777600,"3","4")))</f>
        <v>4</v>
      </c>
      <c r="AE357" s="76">
        <f>AA357-Y357</f>
        <v>1419120000</v>
      </c>
      <c r="AF357" s="80">
        <f>AV357</f>
        <v>0.78</v>
      </c>
      <c r="AG357" s="56">
        <f>((AW357-AV357)+(AX357-AW357)+(AY357-AX357)+(AZ357-AY357)+(BA357-AZ357))/5</f>
        <v>-1.9636363636363653E-2</v>
      </c>
      <c r="AH357" s="4"/>
      <c r="AI357" s="56">
        <f>RSQ(AV357:BA357,AV356:BA356)</f>
        <v>0.42085468549317068</v>
      </c>
      <c r="AJ357" s="109">
        <f>SLOPE(AV357:BA357,AV356:BA356)</f>
        <v>-5.8902746548415208E-11</v>
      </c>
      <c r="AK357" s="56">
        <f>INTERCEPT(AV357:BA357,AV356:BA356)</f>
        <v>0.81630266100784277</v>
      </c>
      <c r="AL357" s="56">
        <f>INDEX(LINEST(LN(AV357:BA357),LN(AV356:BA356),TRUE,TRUE),3,1)</f>
        <v>0.22106641232410407</v>
      </c>
      <c r="AM357" s="56">
        <f>INDEX(LINEST(LN(AV357:BA357),LN(AV356:BA356)),1)</f>
        <v>-3.6025596386846631E-2</v>
      </c>
      <c r="AN357" s="56">
        <f>EXP(INDEX(LINEST(LN(AV357:BA357),LN(AV356:BA356)),1,2))</f>
        <v>1.5864828962655713</v>
      </c>
      <c r="AO357" s="82">
        <f>INDEX(LINEST((AV357:BA357),LN(AV356:BA356),TRUE,TRUE),3,1)</f>
        <v>0.21050409344536361</v>
      </c>
      <c r="AP357" s="82">
        <f>INDEX(LINEST((AV357:BA357),LN(AV356:BA356)),1)</f>
        <v>-2.6462626970925905E-2</v>
      </c>
      <c r="AQ357" s="83">
        <f>INDEX(LINEST(LN(AV357:BA357),SQRT(AV356:BA356),TRUE,TRUE),3,1)</f>
        <v>0.32573241108472656</v>
      </c>
      <c r="AR357" s="116">
        <f>INDEX(LINEST(LN(AV357:BA357),SQRT((AV356:BA356))),1)</f>
        <v>-3.672952902553189E-6</v>
      </c>
      <c r="AS357" s="84">
        <f>INDEX(LINEST(1/(AV357:BA357),1/(SQRT(AV356:BA356)),TRUE,TRUE),3,1)</f>
        <v>0.1478109464975792</v>
      </c>
      <c r="AT357" s="84">
        <f>INDEX(LINEST(1/(AV357:BA357),1/SQRT(AV356:BA356)),1)</f>
        <v>-1651.6141572291006</v>
      </c>
      <c r="AU357" s="3"/>
      <c r="AV357" s="53">
        <v>0.78</v>
      </c>
      <c r="AW357" s="53">
        <v>0.76923076923076927</v>
      </c>
      <c r="AX357" s="53">
        <v>0.83333333333333337</v>
      </c>
      <c r="AY357" s="53">
        <v>0.76923076923076927</v>
      </c>
      <c r="AZ357" s="53">
        <v>0.73913043478260876</v>
      </c>
      <c r="BA357" s="53">
        <v>0.68181818181818177</v>
      </c>
      <c r="BB357" s="53"/>
      <c r="BC357" s="53"/>
      <c r="BD357" s="53"/>
      <c r="BE357" s="53"/>
      <c r="BF357" s="53"/>
      <c r="BG357" s="53"/>
      <c r="BH357" s="53"/>
      <c r="BI357" s="53"/>
      <c r="BJ357" s="53"/>
      <c r="BK357" s="53"/>
      <c r="BL357" s="53"/>
      <c r="BM357" s="53"/>
      <c r="BN357" s="53"/>
      <c r="BO357" s="53"/>
      <c r="BP357" s="53"/>
      <c r="BQ357" s="53"/>
      <c r="BR357" s="53"/>
      <c r="BS357" s="53"/>
      <c r="BT357" s="53"/>
      <c r="BU357" s="53"/>
      <c r="BV357" s="53"/>
      <c r="BW357" s="53"/>
      <c r="BX357" s="53"/>
      <c r="BY357" s="53"/>
      <c r="BZ357" s="53"/>
      <c r="CA357" s="53"/>
      <c r="CB357" s="53"/>
      <c r="CC357" s="53"/>
      <c r="CD357" s="53"/>
      <c r="CE357" s="53"/>
      <c r="CF357" s="53"/>
      <c r="CG357" s="53"/>
      <c r="CH357" s="53"/>
      <c r="CI357" s="53"/>
      <c r="CJ357" s="53"/>
      <c r="CK357" s="53"/>
      <c r="CL357" s="53"/>
      <c r="CM357" s="53"/>
      <c r="CN357" s="53"/>
      <c r="CO357" s="53"/>
      <c r="CP357" s="53"/>
      <c r="CQ357" s="53"/>
      <c r="CR357" s="1"/>
      <c r="CS357" s="1"/>
      <c r="CT357" s="1"/>
      <c r="CU357" s="1"/>
    </row>
    <row r="358" spans="1:99" s="13" customFormat="1" ht="12" customHeight="1" x14ac:dyDescent="0.2">
      <c r="A358" s="65">
        <v>43978</v>
      </c>
      <c r="B358" s="1"/>
      <c r="C358" s="1"/>
      <c r="D358" s="60"/>
      <c r="E358" s="76"/>
      <c r="F358" s="60"/>
      <c r="G358" s="60"/>
      <c r="H358" s="60"/>
      <c r="I358" s="60"/>
      <c r="J358" s="60"/>
      <c r="K358" s="60"/>
      <c r="L358" s="60"/>
      <c r="M358" s="60"/>
      <c r="N358" s="61"/>
      <c r="O358" s="60"/>
      <c r="P358" s="60"/>
      <c r="Q358" s="60"/>
      <c r="R358" s="60"/>
      <c r="S358" s="60"/>
      <c r="T358" s="59"/>
      <c r="U358" s="60"/>
      <c r="V358" s="59"/>
      <c r="W358" s="60"/>
      <c r="X358" s="60"/>
      <c r="Y358" s="76"/>
      <c r="Z358" s="59"/>
      <c r="AA358" s="59"/>
      <c r="AB358" s="60"/>
      <c r="AC358" s="56"/>
      <c r="AD358" s="60"/>
      <c r="AE358" s="76"/>
      <c r="AF358" s="80"/>
      <c r="AG358" s="56"/>
      <c r="AH358" s="4"/>
      <c r="AI358" s="56"/>
      <c r="AJ358" s="109"/>
      <c r="AK358" s="56"/>
      <c r="AL358" s="56"/>
      <c r="AM358" s="56"/>
      <c r="AN358" s="56"/>
      <c r="AO358" s="82"/>
      <c r="AP358" s="82"/>
      <c r="AQ358" s="83"/>
      <c r="AR358" s="116"/>
      <c r="AS358" s="84"/>
      <c r="AT358" s="84"/>
      <c r="AU358" s="3"/>
      <c r="AV358" s="25">
        <v>30</v>
      </c>
      <c r="AW358" s="25">
        <f>60*20</f>
        <v>1200</v>
      </c>
      <c r="AX358" s="25">
        <f>60*60*24*4</f>
        <v>345600</v>
      </c>
      <c r="AY358" s="25">
        <f>60*60*24*11</f>
        <v>950400</v>
      </c>
      <c r="AZ358" s="25">
        <f>60*60*24*30</f>
        <v>2592000</v>
      </c>
      <c r="BA358" s="53"/>
      <c r="BB358" s="11" t="s">
        <v>947</v>
      </c>
      <c r="BC358" s="53"/>
      <c r="BD358" s="53"/>
      <c r="BE358" s="53"/>
      <c r="BF358" s="53"/>
      <c r="BG358" s="53"/>
      <c r="BH358" s="53"/>
      <c r="BI358" s="53"/>
      <c r="BJ358" s="53"/>
      <c r="BK358" s="53"/>
      <c r="BL358" s="53"/>
      <c r="BM358" s="53"/>
      <c r="BN358" s="53"/>
      <c r="BO358" s="53"/>
      <c r="BP358" s="53"/>
      <c r="BQ358" s="53"/>
      <c r="BR358" s="53"/>
      <c r="BS358" s="53"/>
      <c r="BT358" s="53"/>
      <c r="BU358" s="53"/>
      <c r="BV358" s="53"/>
      <c r="BW358" s="53"/>
      <c r="BX358" s="53"/>
      <c r="BY358" s="53"/>
      <c r="BZ358" s="53"/>
      <c r="CA358" s="53"/>
      <c r="CB358" s="53"/>
      <c r="CC358" s="53"/>
      <c r="CD358" s="53"/>
      <c r="CE358" s="53"/>
      <c r="CF358" s="53"/>
      <c r="CG358" s="53"/>
      <c r="CH358" s="53"/>
      <c r="CI358" s="53"/>
      <c r="CJ358" s="53"/>
      <c r="CK358" s="53"/>
      <c r="CL358" s="53"/>
      <c r="CM358" s="53"/>
      <c r="CN358" s="53"/>
      <c r="CO358" s="53"/>
      <c r="CP358" s="53"/>
      <c r="CQ358" s="53"/>
      <c r="CR358" s="1"/>
      <c r="CS358" s="1"/>
      <c r="CT358" s="1"/>
      <c r="CU358" s="1"/>
    </row>
    <row r="359" spans="1:99" s="13" customFormat="1" ht="12" customHeight="1" x14ac:dyDescent="0.2">
      <c r="A359" s="65">
        <v>43978</v>
      </c>
      <c r="B359" s="1" t="s">
        <v>969</v>
      </c>
      <c r="C359" s="1" t="s">
        <v>970</v>
      </c>
      <c r="D359" s="60">
        <v>2012</v>
      </c>
      <c r="E359" s="76">
        <v>1</v>
      </c>
      <c r="F359" s="60">
        <v>10</v>
      </c>
      <c r="G359" s="60">
        <v>10</v>
      </c>
      <c r="H359" s="60" t="s">
        <v>38</v>
      </c>
      <c r="I359" s="60" t="s">
        <v>330</v>
      </c>
      <c r="J359" s="60" t="s">
        <v>677</v>
      </c>
      <c r="K359" s="60">
        <f>IF(J359="syllables",1,IF(J359="trigrams",2,IF(J359="strings",3,IF(J359="visual array",4,IF(J359="characters",5,IF(J359="letters",6,IF(J359="free forms",7,IF(J359="odors",8,IF(J359="words",9,IF(J359="pictures",10,IF(J359="object pictures",11,IF(J359="faces",12,IF(J359="names",13,IF(J359="idioms",14,IF(J359="grades",15,IF(J359="syllable-digit pairs",16,IF(J359="trigram-word pairs",17,IF(J359="word-digit pairs",18,IF(J359="English-Swahili pairs",19,IF(J359="spatial position",20,IF(J359="word pairs",21,IF(J359="word triads",22,IF(J359="generated words",23,IF(J359="word definition pairs",24,IF(J359="math problems",25,IF(J359="famous faces",26,IF(J359="famous names",27,IF(J359="famous voices",28,IF(J359="television programs",29,IF(J359="race horses",30,IF(J359="new vocabulary",31,IF(J359="sentences",32,IF(J359="concepts",33,IF(J359="ad slides",34,IF(J359="scenes",35,IF(J359="famous scenes",36,IF(J359="poems",37,IF(J359="walk",38,IF(J359="faces and events",39,IF(J359="events and names",40,IF(J359="flashbulb",41,IF(J359="stories",42,IF(J359="course material",43,IF(J359="autobiographical",44,IF(J359="novels",45,IF(J359="public events",46,"99"))))))))))))))))))))))))))))))))))))))))))))))</f>
        <v>42</v>
      </c>
      <c r="L359" s="60">
        <f>IF(J359="syllables",1,IF(J359="trigrams",1,IF(J359="strings",1,IF(J359="visual array",1,IF(J359="characters",1,IF(J359="letters",1,IF(J359="free forms",1,IF(J359="odors",2,IF(J359="words",2,IF(J359="pictures",2,IF(J359="object pictures",2,IF(J359="faces",2,IF(J359="names",2,IF(J359="idioms","2",IF(J359="grades",2,IF(J359="syllable-digit pairs",3,IF(J359="trigram-word pairs",3,IF(J359="word-digit pairs",3,IF(J359="English-Swahili pairs",3,IF(J359="spatial position",3,IF(J359="word pairs",4,IF(J359="word triads",4,IF(J359="generated words",4,IF(J359="word definition pairs",4,IF(J359="math problems",4,IF(J359="famous faces",4,IF(J359="famous names",4,IF(J359="famous voices",4,IF(J359="television programs",4,IF(J359="race horses",4,IF(J359="new vocabulary",4,IF(J359="sentences",5,IF(J359="concepts",5,IF(J359="ad slides",5,IF(J359="scenes",5,IF(J359="famous scenes",5,IF(J359="poems",6,IF(J359="walk",6,IF(J359="faces and events",6,IF(J359="events and names",6,IF(J359="flashbulb",7,IF(J359="stories",7,IF(J359="course material",7,IF(J359="autobiographical",7,IF(J359="novels",7,IF(J359="public events",7,"99"))))))))))))))))))))))))))))))))))))))))))))))</f>
        <v>7</v>
      </c>
      <c r="M359" s="60">
        <v>1</v>
      </c>
      <c r="N359" s="61">
        <v>4</v>
      </c>
      <c r="O359" s="60">
        <v>0</v>
      </c>
      <c r="P359" s="60"/>
      <c r="Q359" s="60" t="s">
        <v>174</v>
      </c>
      <c r="R359" s="60">
        <f>IF(Q359="Free Recall",1,IF(Q359="Cued Recall",2,IF(Q359="Recognition",3,IF(Q359="Multiple Choice",4,IF(Q359="Savings",5,IF(Q359="Stem Completion",6,IF(Q359="Fragment Completion",7,IF(Q359="anagram solution",8,IF(Q359="Matching",9,IF(Q359="Problem Solving",10,"99"))))))))))</f>
        <v>1</v>
      </c>
      <c r="S359" s="60" t="s">
        <v>49</v>
      </c>
      <c r="T359" s="59" t="s">
        <v>581</v>
      </c>
      <c r="U359" s="60">
        <f>IF(T359="within",1,0)</f>
        <v>1</v>
      </c>
      <c r="V359" s="59">
        <v>32</v>
      </c>
      <c r="W359" s="60">
        <f>F359*V359</f>
        <v>320</v>
      </c>
      <c r="X359" s="60">
        <v>5</v>
      </c>
      <c r="Y359" s="76">
        <f>AV358</f>
        <v>30</v>
      </c>
      <c r="Z359" s="59" t="s">
        <v>273</v>
      </c>
      <c r="AA359" s="59">
        <f>60*60*24*30</f>
        <v>2592000</v>
      </c>
      <c r="AB359" s="60" t="str">
        <f>IF(AA359&lt;60,"1",IF(AA359&lt;=43200,"2",IF(AA359&lt;=777600,"3","4")))</f>
        <v>4</v>
      </c>
      <c r="AC359" s="56">
        <f>AVERAGE(AV358:DA358)</f>
        <v>777846</v>
      </c>
      <c r="AD359" s="60" t="str">
        <f>IF(AC359&lt;60,"1",IF(AC359&lt;=43200,"2",IF(AC359&lt;=777600,"3","4")))</f>
        <v>4</v>
      </c>
      <c r="AE359" s="76">
        <f>AA359-Y359</f>
        <v>2591970</v>
      </c>
      <c r="AF359" s="80">
        <f>AV359</f>
        <v>0.83260000000000001</v>
      </c>
      <c r="AG359" s="56">
        <f>((AW359-AV359)+(AX359-AW359)+(AY359-AX359)+(AZ359-AY359))/4</f>
        <v>-2.8362500000000013E-2</v>
      </c>
      <c r="AH359" s="4"/>
      <c r="AI359" s="56">
        <f>RSQ(AV359:AZ359,AV358:AZ358)</f>
        <v>0.11944694903737858</v>
      </c>
      <c r="AJ359" s="109">
        <f>SLOPE(AV359:AZ359,AV358:AZ358)</f>
        <v>-1.6505282511243056E-8</v>
      </c>
      <c r="AK359" s="56">
        <f>INTERCEPT(AV359:AZ359,AV358:AZ358)</f>
        <v>0.77126856798024035</v>
      </c>
      <c r="AL359" s="56">
        <f>INDEX(LINEST(LN(AV359:AZ359),LN(AV358:AZ358),TRUE,TRUE),3,1)</f>
        <v>0.19508581846272266</v>
      </c>
      <c r="AM359" s="56">
        <f>INDEX(LINEST(LN(AV359:AZ359),LN(AV358:AZ358)),1)</f>
        <v>-6.0850286552710138E-3</v>
      </c>
      <c r="AN359" s="56">
        <f>EXP(INDEX(LINEST(LN(AV359:AZ359),LN(AV358:AZ358)),1,2))</f>
        <v>0.80627676643443114</v>
      </c>
      <c r="AO359" s="82">
        <f>INDEX(LINEST((AV359:AZ359),LN(AV358:AZ358),TRUE,TRUE),3,1)</f>
        <v>0.20890151713166855</v>
      </c>
      <c r="AP359" s="82">
        <f>INDEX(LINEST((AV359:AZ359),LN(AV358:AZ358)),1)</f>
        <v>-4.8412740312753751E-3</v>
      </c>
      <c r="AQ359" s="83">
        <f>INDEX(LINEST(LN(AV359:AZ359),SQRT(AV358:AZ358),TRUE,TRUE),3,1)</f>
        <v>9.2754264409526388E-2</v>
      </c>
      <c r="AR359" s="116">
        <f>INDEX(LINEST(LN(AV359:AZ359),SQRT((AV358:AZ358))),1)</f>
        <v>-3.0412063524152263E-5</v>
      </c>
      <c r="AS359" s="84">
        <f>INDEX(LINEST(1/(AV359:AZ359),1/(SQRT(AV358:AZ358)),TRUE,TRUE),3,1)</f>
        <v>0.50902105101901529</v>
      </c>
      <c r="AT359" s="84">
        <f>INDEX(LINEST(1/(AV359:AZ359),1/SQRT(AV358:AZ358)),1)</f>
        <v>-0.7942968091736976</v>
      </c>
      <c r="AU359" s="3"/>
      <c r="AV359" s="53">
        <f>(0.8118+0.8534)/2</f>
        <v>0.83260000000000001</v>
      </c>
      <c r="AW359" s="53">
        <f>(0.7059+0.7133)/2</f>
        <v>0.70960000000000001</v>
      </c>
      <c r="AX359" s="53">
        <f>(0.6012+0.88)/2</f>
        <v>0.74059999999999993</v>
      </c>
      <c r="AY359" s="53">
        <f>(0.6471+0.9333)/2</f>
        <v>0.79020000000000001</v>
      </c>
      <c r="AZ359" s="53">
        <f>(0.5383+0.9)/2</f>
        <v>0.71914999999999996</v>
      </c>
      <c r="BA359" s="53"/>
      <c r="BB359" s="53"/>
      <c r="BC359" s="53"/>
      <c r="BD359" s="53"/>
      <c r="BE359" s="53"/>
      <c r="BF359" s="53"/>
      <c r="BG359" s="53"/>
      <c r="BH359" s="53"/>
      <c r="BI359" s="53"/>
      <c r="BJ359" s="53"/>
      <c r="BK359" s="53"/>
      <c r="BL359" s="53"/>
      <c r="BM359" s="53"/>
      <c r="BN359" s="53"/>
      <c r="BO359" s="53"/>
      <c r="BP359" s="53"/>
      <c r="BQ359" s="53"/>
      <c r="BR359" s="53"/>
      <c r="BS359" s="53"/>
      <c r="BT359" s="53"/>
      <c r="BU359" s="53"/>
      <c r="BV359" s="53"/>
      <c r="BW359" s="53"/>
      <c r="BX359" s="53"/>
      <c r="BY359" s="53"/>
      <c r="BZ359" s="53"/>
      <c r="CA359" s="53"/>
      <c r="CB359" s="53"/>
      <c r="CC359" s="53"/>
      <c r="CD359" s="53"/>
      <c r="CE359" s="53"/>
      <c r="CF359" s="53"/>
      <c r="CG359" s="53"/>
      <c r="CH359" s="53"/>
      <c r="CI359" s="53"/>
      <c r="CJ359" s="53"/>
      <c r="CK359" s="53"/>
      <c r="CL359" s="53"/>
      <c r="CM359" s="53"/>
      <c r="CN359" s="53"/>
      <c r="CO359" s="53"/>
      <c r="CP359" s="53"/>
      <c r="CQ359" s="53"/>
      <c r="CR359" s="1"/>
      <c r="CS359" s="1"/>
      <c r="CT359" s="1"/>
      <c r="CU359" s="1"/>
    </row>
    <row r="360" spans="1:99" s="13" customFormat="1" ht="12" customHeight="1" x14ac:dyDescent="0.2">
      <c r="A360" s="65">
        <v>43978</v>
      </c>
      <c r="B360" s="1"/>
      <c r="C360" s="1"/>
      <c r="D360" s="60"/>
      <c r="E360" s="76"/>
      <c r="F360" s="60"/>
      <c r="G360" s="60"/>
      <c r="H360" s="60"/>
      <c r="I360" s="60"/>
      <c r="J360" s="60"/>
      <c r="K360" s="60"/>
      <c r="L360" s="60"/>
      <c r="M360" s="60"/>
      <c r="N360" s="61"/>
      <c r="O360" s="60"/>
      <c r="P360" s="60"/>
      <c r="Q360" s="60"/>
      <c r="R360" s="60"/>
      <c r="S360" s="60"/>
      <c r="T360" s="59"/>
      <c r="U360" s="60"/>
      <c r="V360" s="59"/>
      <c r="W360" s="60"/>
      <c r="X360" s="60"/>
      <c r="Y360" s="76"/>
      <c r="Z360" s="59"/>
      <c r="AA360" s="59"/>
      <c r="AB360" s="60"/>
      <c r="AC360" s="56"/>
      <c r="AD360" s="60"/>
      <c r="AE360" s="76"/>
      <c r="AF360" s="80"/>
      <c r="AG360" s="56"/>
      <c r="AH360" s="4"/>
      <c r="AI360" s="56"/>
      <c r="AJ360" s="109"/>
      <c r="AK360" s="56"/>
      <c r="AL360" s="56"/>
      <c r="AM360" s="56"/>
      <c r="AN360" s="56"/>
      <c r="AO360" s="82"/>
      <c r="AP360" s="82"/>
      <c r="AQ360" s="83"/>
      <c r="AR360" s="116"/>
      <c r="AS360" s="84"/>
      <c r="AT360" s="84"/>
      <c r="AU360" s="3"/>
      <c r="AV360" s="25">
        <v>30</v>
      </c>
      <c r="AW360" s="25">
        <f>60*20</f>
        <v>1200</v>
      </c>
      <c r="AX360" s="25">
        <f>60*60*24*4</f>
        <v>345600</v>
      </c>
      <c r="AY360" s="25">
        <f>60*60*24*11</f>
        <v>950400</v>
      </c>
      <c r="AZ360" s="25">
        <f>60*60*24*30</f>
        <v>2592000</v>
      </c>
      <c r="BA360" s="53"/>
      <c r="BB360" s="53"/>
      <c r="BC360" s="53"/>
      <c r="BD360" s="53"/>
      <c r="BE360" s="53"/>
      <c r="BF360" s="53"/>
      <c r="BG360" s="53"/>
      <c r="BH360" s="53"/>
      <c r="BI360" s="53"/>
      <c r="BJ360" s="53"/>
      <c r="BK360" s="53"/>
      <c r="BL360" s="53"/>
      <c r="BM360" s="53"/>
      <c r="BN360" s="53"/>
      <c r="BO360" s="53"/>
      <c r="BP360" s="53"/>
      <c r="BQ360" s="53"/>
      <c r="BR360" s="53"/>
      <c r="BS360" s="53"/>
      <c r="BT360" s="53"/>
      <c r="BU360" s="53"/>
      <c r="BV360" s="53"/>
      <c r="BW360" s="53"/>
      <c r="BX360" s="53"/>
      <c r="BY360" s="53"/>
      <c r="BZ360" s="53"/>
      <c r="CA360" s="53"/>
      <c r="CB360" s="53"/>
      <c r="CC360" s="53"/>
      <c r="CD360" s="53"/>
      <c r="CE360" s="53"/>
      <c r="CF360" s="53"/>
      <c r="CG360" s="53"/>
      <c r="CH360" s="53"/>
      <c r="CI360" s="53"/>
      <c r="CJ360" s="53"/>
      <c r="CK360" s="53"/>
      <c r="CL360" s="53"/>
      <c r="CM360" s="53"/>
      <c r="CN360" s="53"/>
      <c r="CO360" s="53"/>
      <c r="CP360" s="53"/>
      <c r="CQ360" s="53"/>
      <c r="CR360" s="1"/>
      <c r="CS360" s="1"/>
      <c r="CT360" s="1"/>
      <c r="CU360" s="1"/>
    </row>
    <row r="361" spans="1:99" s="13" customFormat="1" ht="12" customHeight="1" x14ac:dyDescent="0.2">
      <c r="A361" s="65">
        <v>43978</v>
      </c>
      <c r="B361" s="1" t="s">
        <v>969</v>
      </c>
      <c r="C361" s="1" t="s">
        <v>970</v>
      </c>
      <c r="D361" s="60">
        <v>2012</v>
      </c>
      <c r="E361" s="76">
        <v>1</v>
      </c>
      <c r="F361" s="60">
        <v>10</v>
      </c>
      <c r="G361" s="60">
        <v>10</v>
      </c>
      <c r="H361" s="60" t="s">
        <v>38</v>
      </c>
      <c r="I361" s="60" t="s">
        <v>330</v>
      </c>
      <c r="J361" s="60" t="s">
        <v>686</v>
      </c>
      <c r="K361" s="60">
        <f>IF(J361="syllables",1,IF(J361="trigrams",2,IF(J361="strings",3,IF(J361="visual array",4,IF(J361="characters",5,IF(J361="letters",6,IF(J361="free forms",7,IF(J361="odors",8,IF(J361="words",9,IF(J361="pictures",10,IF(J361="object pictures",11,IF(J361="faces",12,IF(J361="names",13,IF(J361="idioms",14,IF(J361="grades",15,IF(J361="syllable-digit pairs",16,IF(J361="trigram-word pairs",17,IF(J361="word-digit pairs",18,IF(J361="English-Swahili pairs",19,IF(J361="spatial position",20,IF(J361="word pairs",21,IF(J361="word triads",22,IF(J361="generated words",23,IF(J361="word definition pairs",24,IF(J361="math problems",25,IF(J361="famous faces",26,IF(J361="famous names",27,IF(J361="famous voices",28,IF(J361="television programs",29,IF(J361="race horses",30,IF(J361="new vocabulary",31,IF(J361="sentences",32,IF(J361="concepts",33,IF(J361="ad slides",34,IF(J361="scenes",35,IF(J361="famous scenes",36,IF(J361="poems",37,IF(J361="walk",38,IF(J361="faces and events",39,IF(J361="events and names",40,IF(J361="flashbulb",41,IF(J361="stories",42,IF(J361="course material",43,IF(J361="autobiographical",44,IF(J361="novels",45,IF(J361="public events",46,"99"))))))))))))))))))))))))))))))))))))))))))))))</f>
        <v>35</v>
      </c>
      <c r="L361" s="60">
        <f>IF(J361="syllables",1,IF(J361="trigrams",1,IF(J361="strings",1,IF(J361="visual array",1,IF(J361="characters",1,IF(J361="letters",1,IF(J361="free forms",1,IF(J361="odors",2,IF(J361="words",2,IF(J361="pictures",2,IF(J361="object pictures",2,IF(J361="faces",2,IF(J361="names",2,IF(J361="idioms","2",IF(J361="grades",2,IF(J361="syllable-digit pairs",3,IF(J361="trigram-word pairs",3,IF(J361="word-digit pairs",3,IF(J361="English-Swahili pairs",3,IF(J361="spatial position",3,IF(J361="word pairs",4,IF(J361="word triads",4,IF(J361="generated words",4,IF(J361="word definition pairs",4,IF(J361="math problems",4,IF(J361="famous faces",4,IF(J361="famous names",4,IF(J361="famous voices",4,IF(J361="television programs",4,IF(J361="race horses",4,IF(J361="new vocabulary",4,IF(J361="sentences",5,IF(J361="concepts",5,IF(J361="ad slides",5,IF(J361="scenes",5,IF(J361="famous scenes",5,IF(J361="poems",6,IF(J361="walk",6,IF(J361="faces and events",6,IF(J361="events and names",6,IF(J361="flashbulb",7,IF(J361="stories",7,IF(J361="course material",7,IF(J361="autobiographical",7,IF(J361="novels",7,IF(J361="public events",7,"99"))))))))))))))))))))))))))))))))))))))))))))))</f>
        <v>5</v>
      </c>
      <c r="M361" s="60">
        <v>1</v>
      </c>
      <c r="N361" s="61">
        <v>4</v>
      </c>
      <c r="O361" s="60">
        <v>0</v>
      </c>
      <c r="P361" s="60"/>
      <c r="Q361" s="60" t="s">
        <v>174</v>
      </c>
      <c r="R361" s="60">
        <f>IF(Q361="Free Recall",1,IF(Q361="Cued Recall",2,IF(Q361="Recognition",3,IF(Q361="Multiple Choice",4,IF(Q361="Savings",5,IF(Q361="Stem Completion",6,IF(Q361="Fragment Completion",7,IF(Q361="anagram solution",8,IF(Q361="Matching",9,IF(Q361="Problem Solving",10,"99"))))))))))</f>
        <v>1</v>
      </c>
      <c r="S361" s="60" t="s">
        <v>49</v>
      </c>
      <c r="T361" s="59" t="s">
        <v>581</v>
      </c>
      <c r="U361" s="60">
        <f>IF(T361="within",1,0)</f>
        <v>1</v>
      </c>
      <c r="V361" s="59">
        <v>32</v>
      </c>
      <c r="W361" s="60">
        <f>F361*V361</f>
        <v>320</v>
      </c>
      <c r="X361" s="60">
        <v>5</v>
      </c>
      <c r="Y361" s="76">
        <f>AV360</f>
        <v>30</v>
      </c>
      <c r="Z361" s="59" t="s">
        <v>273</v>
      </c>
      <c r="AA361" s="59">
        <f>60*60*24*30</f>
        <v>2592000</v>
      </c>
      <c r="AB361" s="60" t="str">
        <f>IF(AA361&lt;60,"1",IF(AA361&lt;=43200,"2",IF(AA361&lt;=777600,"3","4")))</f>
        <v>4</v>
      </c>
      <c r="AC361" s="56">
        <f>AVERAGE(AV360:DA360)</f>
        <v>777846</v>
      </c>
      <c r="AD361" s="60" t="str">
        <f>IF(AC361&lt;60,"1",IF(AC361&lt;=43200,"2",IF(AC361&lt;=777600,"3","4")))</f>
        <v>4</v>
      </c>
      <c r="AE361" s="76">
        <f>AA361-Y361</f>
        <v>2591970</v>
      </c>
      <c r="AF361" s="80">
        <f>AV361</f>
        <v>0.87809999999999999</v>
      </c>
      <c r="AG361" s="56">
        <f>((AW361-AV361)+(AX361-AW361)+(AY361-AX361)+(AZ361-AY361))/4</f>
        <v>-4.9999999999999989E-2</v>
      </c>
      <c r="AH361" s="4"/>
      <c r="AI361" s="56">
        <f>RSQ(AV361:AZ361,AV360:AZ360)</f>
        <v>0.61317609700265152</v>
      </c>
      <c r="AJ361" s="109">
        <f>SLOPE(AV361:AZ361,AV360:AZ360)</f>
        <v>-6.6606098188573892E-8</v>
      </c>
      <c r="AK361" s="56">
        <f>INTERCEPT(AV361:AZ361,AV360:AZ360)</f>
        <v>0.8179092870515895</v>
      </c>
      <c r="AL361" s="56">
        <f>INDEX(LINEST(LN(AV361:AZ361),LN(AV360:AZ360),TRUE,TRUE),3,1)</f>
        <v>0.94219359588695695</v>
      </c>
      <c r="AM361" s="56">
        <f>INDEX(LINEST(LN(AV361:AZ361),LN(AV360:AZ360)),1)</f>
        <v>-2.3720604581557066E-2</v>
      </c>
      <c r="AN361" s="56">
        <f>EXP(INDEX(LINEST(LN(AV361:AZ361),LN(AV360:AZ360)),1,2))</f>
        <v>0.9737868394615572</v>
      </c>
      <c r="AO361" s="82">
        <f>INDEX(LINEST((AV361:AZ361),LN(AV360:AZ360),TRUE,TRUE),3,1)</f>
        <v>0.95319427012560876</v>
      </c>
      <c r="AP361" s="82">
        <f>INDEX(LINEST((AV361:AZ361),LN(AV360:AZ360)),1)</f>
        <v>-1.8418978185228672E-2</v>
      </c>
      <c r="AQ361" s="83">
        <f>INDEX(LINEST(LN(AV361:AZ361),SQRT(AV360:AZ360),TRUE,TRUE),3,1)</f>
        <v>0.87405953221148391</v>
      </c>
      <c r="AR361" s="116">
        <f>INDEX(LINEST(LN(AV361:AZ361),SQRT((AV360:AZ360))),1)</f>
        <v>-1.6559810211985051E-4</v>
      </c>
      <c r="AS361" s="84">
        <f>INDEX(LINEST(1/(AV361:AZ361),1/(SQRT(AV360:AZ360)),TRUE,TRUE),3,1)</f>
        <v>0.56135723446405394</v>
      </c>
      <c r="AT361" s="84">
        <f>INDEX(LINEST(1/(AV361:AZ361),1/SQRT(AV360:AZ360)),1)</f>
        <v>-1.4785818665374522</v>
      </c>
      <c r="AU361" s="3"/>
      <c r="AV361" s="53">
        <v>0.87809999999999999</v>
      </c>
      <c r="AW361" s="53">
        <v>0.84689999999999999</v>
      </c>
      <c r="AX361" s="53">
        <v>0.74380000000000002</v>
      </c>
      <c r="AY361" s="53">
        <v>0.68359999999999999</v>
      </c>
      <c r="AZ361" s="53">
        <v>0.67810000000000004</v>
      </c>
      <c r="BA361" s="53"/>
      <c r="BB361" s="53"/>
      <c r="BC361" s="53"/>
      <c r="BD361" s="53"/>
      <c r="BE361" s="53"/>
      <c r="BF361" s="53"/>
      <c r="BG361" s="53"/>
      <c r="BH361" s="53"/>
      <c r="BI361" s="53"/>
      <c r="BJ361" s="53"/>
      <c r="BK361" s="53"/>
      <c r="BL361" s="53"/>
      <c r="BM361" s="53"/>
      <c r="BN361" s="53"/>
      <c r="BO361" s="53"/>
      <c r="BP361" s="53"/>
      <c r="BQ361" s="53"/>
      <c r="BR361" s="53"/>
      <c r="BS361" s="53"/>
      <c r="BT361" s="53"/>
      <c r="BU361" s="53"/>
      <c r="BV361" s="53"/>
      <c r="BW361" s="53"/>
      <c r="BX361" s="53"/>
      <c r="BY361" s="53"/>
      <c r="BZ361" s="53"/>
      <c r="CA361" s="53"/>
      <c r="CB361" s="53"/>
      <c r="CC361" s="53"/>
      <c r="CD361" s="53"/>
      <c r="CE361" s="53"/>
      <c r="CF361" s="53"/>
      <c r="CG361" s="53"/>
      <c r="CH361" s="53"/>
      <c r="CI361" s="53"/>
      <c r="CJ361" s="53"/>
      <c r="CK361" s="53"/>
      <c r="CL361" s="53"/>
      <c r="CM361" s="53"/>
      <c r="CN361" s="53"/>
      <c r="CO361" s="53"/>
      <c r="CP361" s="53"/>
      <c r="CQ361" s="53"/>
      <c r="CR361" s="1"/>
      <c r="CS361" s="1"/>
      <c r="CT361" s="1"/>
      <c r="CU361" s="1"/>
    </row>
    <row r="362" spans="1:99" s="13" customFormat="1" ht="12" customHeight="1" x14ac:dyDescent="0.2">
      <c r="A362" s="65">
        <v>43978</v>
      </c>
      <c r="B362" s="1"/>
      <c r="C362" s="1"/>
      <c r="D362" s="60"/>
      <c r="E362" s="76"/>
      <c r="F362" s="60"/>
      <c r="G362" s="60"/>
      <c r="H362" s="60"/>
      <c r="I362" s="60"/>
      <c r="J362" s="60"/>
      <c r="K362" s="60"/>
      <c r="L362" s="60"/>
      <c r="M362" s="60"/>
      <c r="N362" s="61"/>
      <c r="O362" s="60"/>
      <c r="P362" s="60"/>
      <c r="Q362" s="60"/>
      <c r="R362" s="60"/>
      <c r="S362" s="60"/>
      <c r="T362" s="59"/>
      <c r="U362" s="60"/>
      <c r="V362" s="59"/>
      <c r="W362" s="60"/>
      <c r="X362" s="60"/>
      <c r="Y362" s="76"/>
      <c r="Z362" s="59"/>
      <c r="AA362" s="59"/>
      <c r="AB362" s="60"/>
      <c r="AC362" s="56"/>
      <c r="AD362" s="60"/>
      <c r="AE362" s="76"/>
      <c r="AF362" s="80"/>
      <c r="AG362" s="56"/>
      <c r="AH362" s="4"/>
      <c r="AI362" s="56"/>
      <c r="AJ362" s="109"/>
      <c r="AK362" s="56"/>
      <c r="AL362" s="56"/>
      <c r="AM362" s="56"/>
      <c r="AN362" s="56"/>
      <c r="AO362" s="82"/>
      <c r="AP362" s="82"/>
      <c r="AQ362" s="83"/>
      <c r="AR362" s="116"/>
      <c r="AS362" s="84"/>
      <c r="AT362" s="84"/>
      <c r="AU362" s="3"/>
      <c r="AV362" s="25">
        <v>30</v>
      </c>
      <c r="AW362" s="25">
        <f>60*20</f>
        <v>1200</v>
      </c>
      <c r="AX362" s="25">
        <f>60*60*24*4</f>
        <v>345600</v>
      </c>
      <c r="AY362" s="25">
        <f>60*60*24*11</f>
        <v>950400</v>
      </c>
      <c r="AZ362" s="25">
        <f>60*60*24*30</f>
        <v>2592000</v>
      </c>
      <c r="BA362" s="53"/>
      <c r="BB362" s="53"/>
      <c r="BC362" s="53"/>
      <c r="BD362" s="53"/>
      <c r="BE362" s="53"/>
      <c r="BF362" s="53"/>
      <c r="BG362" s="53"/>
      <c r="BH362" s="53"/>
      <c r="BI362" s="53"/>
      <c r="BJ362" s="53"/>
      <c r="BK362" s="53"/>
      <c r="BL362" s="53"/>
      <c r="BM362" s="53"/>
      <c r="BN362" s="53"/>
      <c r="BO362" s="53"/>
      <c r="BP362" s="53"/>
      <c r="BQ362" s="53"/>
      <c r="BR362" s="53"/>
      <c r="BS362" s="53"/>
      <c r="BT362" s="53"/>
      <c r="BU362" s="53"/>
      <c r="BV362" s="53"/>
      <c r="BW362" s="53"/>
      <c r="BX362" s="53"/>
      <c r="BY362" s="53"/>
      <c r="BZ362" s="53"/>
      <c r="CA362" s="53"/>
      <c r="CB362" s="53"/>
      <c r="CC362" s="53"/>
      <c r="CD362" s="53"/>
      <c r="CE362" s="53"/>
      <c r="CF362" s="53"/>
      <c r="CG362" s="53"/>
      <c r="CH362" s="53"/>
      <c r="CI362" s="53"/>
      <c r="CJ362" s="53"/>
      <c r="CK362" s="53"/>
      <c r="CL362" s="53"/>
      <c r="CM362" s="53"/>
      <c r="CN362" s="53"/>
      <c r="CO362" s="53"/>
      <c r="CP362" s="53"/>
      <c r="CQ362" s="53"/>
      <c r="CR362" s="1"/>
      <c r="CS362" s="1"/>
      <c r="CT362" s="1"/>
      <c r="CU362" s="1"/>
    </row>
    <row r="363" spans="1:99" s="13" customFormat="1" ht="12" customHeight="1" x14ac:dyDescent="0.2">
      <c r="A363" s="65">
        <v>43978</v>
      </c>
      <c r="B363" s="1" t="s">
        <v>969</v>
      </c>
      <c r="C363" s="1" t="s">
        <v>970</v>
      </c>
      <c r="D363" s="60">
        <v>2012</v>
      </c>
      <c r="E363" s="76">
        <v>2</v>
      </c>
      <c r="F363" s="60">
        <v>4</v>
      </c>
      <c r="G363" s="60">
        <v>4</v>
      </c>
      <c r="H363" s="60" t="s">
        <v>227</v>
      </c>
      <c r="I363" s="60" t="s">
        <v>330</v>
      </c>
      <c r="J363" s="60" t="s">
        <v>16</v>
      </c>
      <c r="K363" s="60">
        <f>IF(J363="syllables",1,IF(J363="trigrams",2,IF(J363="strings",3,IF(J363="visual array",4,IF(J363="characters",5,IF(J363="letters",6,IF(J363="free forms",7,IF(J363="odors",8,IF(J363="words",9,IF(J363="pictures",10,IF(J363="object pictures",11,IF(J363="faces",12,IF(J363="names",13,IF(J363="idioms",14,IF(J363="grades",15,IF(J363="syllable-digit pairs",16,IF(J363="trigram-word pairs",17,IF(J363="word-digit pairs",18,IF(J363="English-Swahili pairs",19,IF(J363="spatial position",20,IF(J363="word pairs",21,IF(J363="word triads",22,IF(J363="generated words",23,IF(J363="word definition pairs",24,IF(J363="math problems",25,IF(J363="famous faces",26,IF(J363="famous names",27,IF(J363="famous voices",28,IF(J363="television programs",29,IF(J363="race horses",30,IF(J363="new vocabulary",31,IF(J363="sentences",32,IF(J363="concepts",33,IF(J363="ad slides",34,IF(J363="scenes",35,IF(J363="famous scenes",36,IF(J363="poems",37,IF(J363="walk",38,IF(J363="faces and events",39,IF(J363="events and names",40,IF(J363="flashbulb",41,IF(J363="stories",42,IF(J363="course material",43,IF(J363="autobiographical",44,IF(J363="novels",45,IF(J363="public events",46,"99"))))))))))))))))))))))))))))))))))))))))))))))</f>
        <v>9</v>
      </c>
      <c r="L363" s="60">
        <f>IF(J363="syllables",1,IF(J363="trigrams",1,IF(J363="strings",1,IF(J363="visual array",1,IF(J363="characters",1,IF(J363="letters",1,IF(J363="free forms",1,IF(J363="odors",2,IF(J363="words",2,IF(J363="pictures",2,IF(J363="object pictures",2,IF(J363="faces",2,IF(J363="names",2,IF(J363="idioms","2",IF(J363="grades",2,IF(J363="syllable-digit pairs",3,IF(J363="trigram-word pairs",3,IF(J363="word-digit pairs",3,IF(J363="English-Swahili pairs",3,IF(J363="spatial position",3,IF(J363="word pairs",4,IF(J363="word triads",4,IF(J363="generated words",4,IF(J363="word definition pairs",4,IF(J363="math problems",4,IF(J363="famous faces",4,IF(J363="famous names",4,IF(J363="famous voices",4,IF(J363="television programs",4,IF(J363="race horses",4,IF(J363="new vocabulary",4,IF(J363="sentences",5,IF(J363="concepts",5,IF(J363="ad slides",5,IF(J363="scenes",5,IF(J363="famous scenes",5,IF(J363="poems",6,IF(J363="walk",6,IF(J363="faces and events",6,IF(J363="events and names",6,IF(J363="flashbulb",7,IF(J363="stories",7,IF(J363="course material",7,IF(J363="autobiographical",7,IF(J363="novels",7,IF(J363="public events",7,"99"))))))))))))))))))))))))))))))))))))))))))))))</f>
        <v>2</v>
      </c>
      <c r="M363" s="60">
        <v>1</v>
      </c>
      <c r="N363" s="61">
        <v>2</v>
      </c>
      <c r="O363" s="60">
        <v>0</v>
      </c>
      <c r="P363" s="60"/>
      <c r="Q363" s="60" t="s">
        <v>174</v>
      </c>
      <c r="R363" s="60">
        <f>IF(Q363="Free Recall",1,IF(Q363="Cued Recall",2,IF(Q363="Recognition",3,IF(Q363="Multiple Choice",4,IF(Q363="Savings",5,IF(Q363="Stem Completion",6,IF(Q363="Fragment Completion",7,IF(Q363="anagram solution",8,IF(Q363="Matching",9,IF(Q363="Problem Solving",10,"99"))))))))))</f>
        <v>1</v>
      </c>
      <c r="S363" s="60" t="s">
        <v>49</v>
      </c>
      <c r="T363" s="59" t="s">
        <v>581</v>
      </c>
      <c r="U363" s="60">
        <f>IF(T363="within",1,0)</f>
        <v>1</v>
      </c>
      <c r="V363" s="59">
        <v>15</v>
      </c>
      <c r="W363" s="60">
        <f>F363*V363</f>
        <v>60</v>
      </c>
      <c r="X363" s="60">
        <v>5</v>
      </c>
      <c r="Y363" s="76">
        <f>AV362</f>
        <v>30</v>
      </c>
      <c r="Z363" s="59" t="s">
        <v>273</v>
      </c>
      <c r="AA363" s="59">
        <f>60*60*24*30</f>
        <v>2592000</v>
      </c>
      <c r="AB363" s="60" t="str">
        <f>IF(AA363&lt;60,"1",IF(AA363&lt;=43200,"2",IF(AA363&lt;=777600,"3","4")))</f>
        <v>4</v>
      </c>
      <c r="AC363" s="56">
        <f>AVERAGE(AV362:DA362)</f>
        <v>777846</v>
      </c>
      <c r="AD363" s="60" t="str">
        <f>IF(AC363&lt;60,"1",IF(AC363&lt;=43200,"2",IF(AC363&lt;=777600,"3","4")))</f>
        <v>4</v>
      </c>
      <c r="AE363" s="76">
        <f>AA363-Y363</f>
        <v>2591970</v>
      </c>
      <c r="AF363" s="80">
        <f>AV363</f>
        <v>0.8</v>
      </c>
      <c r="AG363" s="56">
        <f>((AW363-AV363)+(AX363-AW363)+(AY363-AX363)+(AZ363-AY363))/4</f>
        <v>-0.17915000000000003</v>
      </c>
      <c r="AH363" s="4"/>
      <c r="AI363" s="56">
        <f>RSQ(AV363:AZ363,AV362:AZ362)</f>
        <v>0.60297003500170554</v>
      </c>
      <c r="AJ363" s="109">
        <f>SLOPE(AV363:AZ363,AV362:AZ362)</f>
        <v>-2.1065924323886873E-7</v>
      </c>
      <c r="AK363" s="56">
        <f>INTERCEPT(AV363:AZ363,AV362:AZ362)</f>
        <v>0.55158044971638098</v>
      </c>
      <c r="AL363" s="56">
        <f>INDEX(LINEST(LN(AV363:AZ363),LN(AV362:AZ362),TRUE,TRUE),3,1)</f>
        <v>0.85486498228257024</v>
      </c>
      <c r="AM363" s="56">
        <f>INDEX(LINEST(LN(AV363:AZ363),LN(AV362:AZ362)),1)</f>
        <v>-0.16794010933010456</v>
      </c>
      <c r="AN363" s="56">
        <f>EXP(INDEX(LINEST(LN(AV363:AZ363),LN(AV362:AZ362)),1,2))</f>
        <v>1.6679998957789528</v>
      </c>
      <c r="AO363" s="82">
        <f>INDEX(LINEST((AV363:AZ363),LN(AV362:AZ362),TRUE,TRUE),3,1)</f>
        <v>0.99092130846433635</v>
      </c>
      <c r="AP363" s="82">
        <f>INDEX(LINEST((AV363:AZ363),LN(AV362:AZ362)),1)</f>
        <v>-5.9897083387676936E-2</v>
      </c>
      <c r="AQ363" s="83">
        <f>INDEX(LINEST(LN(AV363:AZ363),SQRT(AV362:AZ362),TRUE,TRUE),3,1)</f>
        <v>0.96257802991326591</v>
      </c>
      <c r="AR363" s="116">
        <f>INDEX(LINEST(LN(AV363:AZ363),SQRT((AV362:AZ362))),1)</f>
        <v>-1.2916736758146461E-3</v>
      </c>
      <c r="AS363" s="84">
        <f>INDEX(LINEST(1/(AV363:AZ363),1/(SQRT(AV362:AZ362)),TRUE,TRUE),3,1)</f>
        <v>0.27208258782842504</v>
      </c>
      <c r="AT363" s="84">
        <f>INDEX(LINEST(1/(AV363:AZ363),1/SQRT(AV362:AZ362)),1)</f>
        <v>-28.504760909348615</v>
      </c>
      <c r="AU363" s="3"/>
      <c r="AV363" s="53">
        <v>0.8</v>
      </c>
      <c r="AW363" s="53">
        <v>0.58299999999999996</v>
      </c>
      <c r="AX363" s="53">
        <v>0.25</v>
      </c>
      <c r="AY363" s="53">
        <v>0.22220000000000001</v>
      </c>
      <c r="AZ363" s="53">
        <v>8.3400000000000002E-2</v>
      </c>
      <c r="BA363" s="53"/>
      <c r="BB363" s="53"/>
      <c r="BC363" s="53"/>
      <c r="BD363" s="53"/>
      <c r="BE363" s="53"/>
      <c r="BF363" s="53"/>
      <c r="BG363" s="53"/>
      <c r="BH363" s="53"/>
      <c r="BI363" s="53"/>
      <c r="BJ363" s="53"/>
      <c r="BK363" s="53"/>
      <c r="BL363" s="53"/>
      <c r="BM363" s="53"/>
      <c r="BN363" s="53"/>
      <c r="BO363" s="53"/>
      <c r="BP363" s="53"/>
      <c r="BQ363" s="53"/>
      <c r="BR363" s="53"/>
      <c r="BS363" s="53"/>
      <c r="BT363" s="53"/>
      <c r="BU363" s="53"/>
      <c r="BV363" s="53"/>
      <c r="BW363" s="53"/>
      <c r="BX363" s="53"/>
      <c r="BY363" s="53"/>
      <c r="BZ363" s="53"/>
      <c r="CA363" s="53"/>
      <c r="CB363" s="53"/>
      <c r="CC363" s="53"/>
      <c r="CD363" s="53"/>
      <c r="CE363" s="53"/>
      <c r="CF363" s="53"/>
      <c r="CG363" s="53"/>
      <c r="CH363" s="53"/>
      <c r="CI363" s="53"/>
      <c r="CJ363" s="53"/>
      <c r="CK363" s="53"/>
      <c r="CL363" s="53"/>
      <c r="CM363" s="53"/>
      <c r="CN363" s="53"/>
      <c r="CO363" s="53"/>
      <c r="CP363" s="53"/>
      <c r="CQ363" s="53"/>
      <c r="CR363" s="1"/>
      <c r="CS363" s="1"/>
      <c r="CT363" s="1"/>
      <c r="CU363" s="1"/>
    </row>
    <row r="364" spans="1:99" s="13" customFormat="1" ht="12" customHeight="1" x14ac:dyDescent="0.2">
      <c r="A364" s="65">
        <v>43978</v>
      </c>
      <c r="B364" s="1"/>
      <c r="C364" s="1"/>
      <c r="D364" s="60"/>
      <c r="E364" s="76"/>
      <c r="F364" s="60"/>
      <c r="G364" s="60"/>
      <c r="H364" s="60"/>
      <c r="I364" s="60"/>
      <c r="J364" s="60"/>
      <c r="K364" s="60"/>
      <c r="L364" s="60"/>
      <c r="M364" s="60"/>
      <c r="N364" s="61"/>
      <c r="O364" s="60"/>
      <c r="P364" s="60"/>
      <c r="Q364" s="60"/>
      <c r="R364" s="60"/>
      <c r="S364" s="60"/>
      <c r="T364" s="59"/>
      <c r="U364" s="60"/>
      <c r="V364" s="59"/>
      <c r="W364" s="60"/>
      <c r="X364" s="60"/>
      <c r="Y364" s="76"/>
      <c r="Z364" s="59"/>
      <c r="AA364" s="59"/>
      <c r="AB364" s="60"/>
      <c r="AC364" s="56"/>
      <c r="AD364" s="60"/>
      <c r="AE364" s="76"/>
      <c r="AF364" s="80"/>
      <c r="AG364" s="56"/>
      <c r="AH364" s="4"/>
      <c r="AI364" s="56"/>
      <c r="AJ364" s="109"/>
      <c r="AK364" s="56"/>
      <c r="AL364" s="56"/>
      <c r="AM364" s="56"/>
      <c r="AN364" s="56"/>
      <c r="AO364" s="82"/>
      <c r="AP364" s="82"/>
      <c r="AQ364" s="83"/>
      <c r="AR364" s="116"/>
      <c r="AS364" s="84"/>
      <c r="AT364" s="84"/>
      <c r="AU364" s="3"/>
      <c r="AV364" s="25">
        <v>30</v>
      </c>
      <c r="AW364" s="25">
        <f>60*20</f>
        <v>1200</v>
      </c>
      <c r="AX364" s="25">
        <f>60*60*24*4</f>
        <v>345600</v>
      </c>
      <c r="AY364" s="25">
        <f>60*60*24*11</f>
        <v>950400</v>
      </c>
      <c r="AZ364" s="25">
        <f>60*60*24*30</f>
        <v>2592000</v>
      </c>
      <c r="BA364" s="53"/>
      <c r="BB364" s="53"/>
      <c r="BC364" s="53"/>
      <c r="BD364" s="53"/>
      <c r="BE364" s="53"/>
      <c r="BF364" s="53"/>
      <c r="BG364" s="53"/>
      <c r="BH364" s="53"/>
      <c r="BI364" s="53"/>
      <c r="BJ364" s="53"/>
      <c r="BK364" s="53"/>
      <c r="BL364" s="53"/>
      <c r="BM364" s="53"/>
      <c r="BN364" s="53"/>
      <c r="BO364" s="53"/>
      <c r="BP364" s="53"/>
      <c r="BQ364" s="53"/>
      <c r="BR364" s="53"/>
      <c r="BS364" s="53"/>
      <c r="BT364" s="53"/>
      <c r="BU364" s="53"/>
      <c r="BV364" s="53"/>
      <c r="BW364" s="53"/>
      <c r="BX364" s="53"/>
      <c r="BY364" s="53"/>
      <c r="BZ364" s="53"/>
      <c r="CA364" s="53"/>
      <c r="CB364" s="53"/>
      <c r="CC364" s="53"/>
      <c r="CD364" s="53"/>
      <c r="CE364" s="53"/>
      <c r="CF364" s="53"/>
      <c r="CG364" s="53"/>
      <c r="CH364" s="53"/>
      <c r="CI364" s="53"/>
      <c r="CJ364" s="53"/>
      <c r="CK364" s="53"/>
      <c r="CL364" s="53"/>
      <c r="CM364" s="53"/>
      <c r="CN364" s="53"/>
      <c r="CO364" s="53"/>
      <c r="CP364" s="53"/>
      <c r="CQ364" s="53"/>
      <c r="CR364" s="1"/>
      <c r="CS364" s="1"/>
      <c r="CT364" s="1"/>
      <c r="CU364" s="1"/>
    </row>
    <row r="365" spans="1:99" s="13" customFormat="1" ht="12" customHeight="1" x14ac:dyDescent="0.2">
      <c r="A365" s="65">
        <v>43978</v>
      </c>
      <c r="B365" s="1" t="s">
        <v>969</v>
      </c>
      <c r="C365" s="1" t="s">
        <v>970</v>
      </c>
      <c r="D365" s="60">
        <v>2012</v>
      </c>
      <c r="E365" s="76">
        <v>2</v>
      </c>
      <c r="F365" s="60">
        <v>4</v>
      </c>
      <c r="G365" s="60">
        <v>4</v>
      </c>
      <c r="H365" s="60" t="s">
        <v>227</v>
      </c>
      <c r="I365" s="60" t="s">
        <v>330</v>
      </c>
      <c r="J365" s="60" t="s">
        <v>677</v>
      </c>
      <c r="K365" s="60">
        <f>IF(J365="syllables",1,IF(J365="trigrams",2,IF(J365="strings",3,IF(J365="visual array",4,IF(J365="characters",5,IF(J365="letters",6,IF(J365="free forms",7,IF(J365="odors",8,IF(J365="words",9,IF(J365="pictures",10,IF(J365="object pictures",11,IF(J365="faces",12,IF(J365="names",13,IF(J365="idioms",14,IF(J365="grades",15,IF(J365="syllable-digit pairs",16,IF(J365="trigram-word pairs",17,IF(J365="word-digit pairs",18,IF(J365="English-Swahili pairs",19,IF(J365="spatial position",20,IF(J365="word pairs",21,IF(J365="word triads",22,IF(J365="generated words",23,IF(J365="word definition pairs",24,IF(J365="math problems",25,IF(J365="famous faces",26,IF(J365="famous names",27,IF(J365="famous voices",28,IF(J365="television programs",29,IF(J365="race horses",30,IF(J365="new vocabulary",31,IF(J365="sentences",32,IF(J365="concepts",33,IF(J365="ad slides",34,IF(J365="scenes",35,IF(J365="famous scenes",36,IF(J365="poems",37,IF(J365="walk",38,IF(J365="faces and events",39,IF(J365="events and names",40,IF(J365="flashbulb",41,IF(J365="stories",42,IF(J365="course material",43,IF(J365="autobiographical",44,IF(J365="novels",45,IF(J365="public events",46,"99"))))))))))))))))))))))))))))))))))))))))))))))</f>
        <v>42</v>
      </c>
      <c r="L365" s="60">
        <f>IF(J365="syllables",1,IF(J365="trigrams",1,IF(J365="strings",1,IF(J365="visual array",1,IF(J365="characters",1,IF(J365="letters",1,IF(J365="free forms",1,IF(J365="odors",2,IF(J365="words",2,IF(J365="pictures",2,IF(J365="object pictures",2,IF(J365="faces",2,IF(J365="names",2,IF(J365="idioms","2",IF(J365="grades",2,IF(J365="syllable-digit pairs",3,IF(J365="trigram-word pairs",3,IF(J365="word-digit pairs",3,IF(J365="English-Swahili pairs",3,IF(J365="spatial position",3,IF(J365="word pairs",4,IF(J365="word triads",4,IF(J365="generated words",4,IF(J365="word definition pairs",4,IF(J365="math problems",4,IF(J365="famous faces",4,IF(J365="famous names",4,IF(J365="famous voices",4,IF(J365="television programs",4,IF(J365="race horses",4,IF(J365="new vocabulary",4,IF(J365="sentences",5,IF(J365="concepts",5,IF(J365="ad slides",5,IF(J365="scenes",5,IF(J365="famous scenes",5,IF(J365="poems",6,IF(J365="walk",6,IF(J365="faces and events",6,IF(J365="events and names",6,IF(J365="flashbulb",7,IF(J365="stories",7,IF(J365="course material",7,IF(J365="autobiographical",7,IF(J365="novels",7,IF(J365="public events",7,"99"))))))))))))))))))))))))))))))))))))))))))))))</f>
        <v>7</v>
      </c>
      <c r="M365" s="60">
        <v>1</v>
      </c>
      <c r="N365" s="61">
        <v>2</v>
      </c>
      <c r="O365" s="60">
        <v>0</v>
      </c>
      <c r="P365" s="60"/>
      <c r="Q365" s="60" t="s">
        <v>174</v>
      </c>
      <c r="R365" s="60">
        <f>IF(Q365="Free Recall",1,IF(Q365="Cued Recall",2,IF(Q365="Recognition",3,IF(Q365="Multiple Choice",4,IF(Q365="Savings",5,IF(Q365="Stem Completion",6,IF(Q365="Fragment Completion",7,IF(Q365="anagram solution",8,IF(Q365="Matching",9,IF(Q365="Problem Solving",10,"99"))))))))))</f>
        <v>1</v>
      </c>
      <c r="S365" s="60" t="s">
        <v>49</v>
      </c>
      <c r="T365" s="59" t="s">
        <v>581</v>
      </c>
      <c r="U365" s="60">
        <f>IF(T365="within",1,0)</f>
        <v>1</v>
      </c>
      <c r="V365" s="59">
        <v>32</v>
      </c>
      <c r="W365" s="60">
        <f>F365*V365</f>
        <v>128</v>
      </c>
      <c r="X365" s="60">
        <v>5</v>
      </c>
      <c r="Y365" s="76">
        <f>AV364</f>
        <v>30</v>
      </c>
      <c r="Z365" s="59" t="s">
        <v>273</v>
      </c>
      <c r="AA365" s="59">
        <f>60*60*24*30</f>
        <v>2592000</v>
      </c>
      <c r="AB365" s="60" t="str">
        <f>IF(AA365&lt;60,"1",IF(AA365&lt;=43200,"2",IF(AA365&lt;=777600,"3","4")))</f>
        <v>4</v>
      </c>
      <c r="AC365" s="56">
        <f>AVERAGE(AV364:DA364)</f>
        <v>777846</v>
      </c>
      <c r="AD365" s="60" t="str">
        <f>IF(AC365&lt;60,"1",IF(AC365&lt;=43200,"2",IF(AC365&lt;=777600,"3","4")))</f>
        <v>4</v>
      </c>
      <c r="AE365" s="76">
        <f>AA365-Y365</f>
        <v>2591970</v>
      </c>
      <c r="AF365" s="80">
        <f>AV365</f>
        <v>0.84870000000000001</v>
      </c>
      <c r="AG365" s="56">
        <f>((AW365-AV365)+(AX365-AW365)+(AY365-AX365)+(AZ365-AY365))/4</f>
        <v>-6.8950000000000011E-2</v>
      </c>
      <c r="AH365" s="4"/>
      <c r="AI365" s="56">
        <f>RSQ(AV365:AZ365,AV364:AZ364)</f>
        <v>0.26908496486897349</v>
      </c>
      <c r="AJ365" s="109">
        <f>SLOPE(AV365:AZ365,AV364:AZ364)</f>
        <v>-5.2452790560959109E-8</v>
      </c>
      <c r="AK365" s="56">
        <f>INTERCEPT(AV365:AZ365,AV364:AZ364)</f>
        <v>0.70245019332667991</v>
      </c>
      <c r="AL365" s="56">
        <f>INDEX(LINEST(LN(AV365:AZ365),LN(AV364:AZ364),TRUE,TRUE),3,1)</f>
        <v>0.4896514852088702</v>
      </c>
      <c r="AM365" s="56">
        <f>INDEX(LINEST(LN(AV365:AZ365),LN(AV364:AZ364)),1)</f>
        <v>-2.2122079847556309E-2</v>
      </c>
      <c r="AN365" s="56">
        <f>EXP(INDEX(LINEST(LN(AV365:AZ365),LN(AV364:AZ364)),1,2))</f>
        <v>0.82368025578961857</v>
      </c>
      <c r="AO365" s="82">
        <f>INDEX(LINEST((AV365:AZ365),LN(AV364:AZ364),TRUE,TRUE),3,1)</f>
        <v>0.51430447655498723</v>
      </c>
      <c r="AP365" s="82">
        <f>INDEX(LINEST((AV365:AZ365),LN(AV364:AZ364)),1)</f>
        <v>-1.6083755832188514E-2</v>
      </c>
      <c r="AQ365" s="83">
        <f>INDEX(LINEST(LN(AV365:AZ365),SQRT(AV364:AZ364),TRUE,TRUE),3,1)</f>
        <v>0.31484355875880704</v>
      </c>
      <c r="AR365" s="116">
        <f>INDEX(LINEST(LN(AV365:AZ365),SQRT((AV364:AZ364))),1)</f>
        <v>-1.2857572808017874E-4</v>
      </c>
      <c r="AS365" s="84">
        <f>INDEX(LINEST(1/(AV365:AZ365),1/(SQRT(AV364:AZ364)),TRUE,TRUE),3,1)</f>
        <v>0.77730645150325772</v>
      </c>
      <c r="AT365" s="84">
        <f>INDEX(LINEST(1/(AV365:AZ365),1/SQRT(AV364:AZ364)),1)</f>
        <v>-2.4718383474925285</v>
      </c>
      <c r="AU365" s="3"/>
      <c r="AV365" s="53">
        <f>(0.853+0.8444)/2</f>
        <v>0.84870000000000001</v>
      </c>
      <c r="AW365" s="53">
        <f>(0.5824+0.6)/2</f>
        <v>0.59119999999999995</v>
      </c>
      <c r="AX365" s="53">
        <f>(0.4706+0.8222)/2</f>
        <v>0.64640000000000009</v>
      </c>
      <c r="AY365" s="53">
        <f>(0.4314+0.8667)/2</f>
        <v>0.64905000000000002</v>
      </c>
      <c r="AZ365" s="53">
        <f>(0.3236+0.8222)/2</f>
        <v>0.57289999999999996</v>
      </c>
      <c r="BA365" s="53"/>
      <c r="BB365" s="53"/>
      <c r="BC365" s="53"/>
      <c r="BD365" s="53"/>
      <c r="BE365" s="53"/>
      <c r="BF365" s="53"/>
      <c r="BG365" s="53"/>
      <c r="BH365" s="53"/>
      <c r="BI365" s="53"/>
      <c r="BJ365" s="53"/>
      <c r="BK365" s="53"/>
      <c r="BL365" s="53"/>
      <c r="BM365" s="53"/>
      <c r="BN365" s="53"/>
      <c r="BO365" s="53"/>
      <c r="BP365" s="53"/>
      <c r="BQ365" s="53"/>
      <c r="BR365" s="53"/>
      <c r="BS365" s="53"/>
      <c r="BT365" s="53"/>
      <c r="BU365" s="53"/>
      <c r="BV365" s="53"/>
      <c r="BW365" s="53"/>
      <c r="BX365" s="53"/>
      <c r="BY365" s="53"/>
      <c r="BZ365" s="53"/>
      <c r="CA365" s="53"/>
      <c r="CB365" s="53"/>
      <c r="CC365" s="53"/>
      <c r="CD365" s="53"/>
      <c r="CE365" s="53"/>
      <c r="CF365" s="53"/>
      <c r="CG365" s="53"/>
      <c r="CH365" s="53"/>
      <c r="CI365" s="53"/>
      <c r="CJ365" s="53"/>
      <c r="CK365" s="53"/>
      <c r="CL365" s="53"/>
      <c r="CM365" s="53"/>
      <c r="CN365" s="53"/>
      <c r="CO365" s="53"/>
      <c r="CP365" s="53"/>
      <c r="CQ365" s="53"/>
      <c r="CR365" s="1"/>
      <c r="CS365" s="1"/>
      <c r="CT365" s="1"/>
      <c r="CU365" s="1"/>
    </row>
    <row r="366" spans="1:99" s="13" customFormat="1" ht="12" customHeight="1" x14ac:dyDescent="0.2">
      <c r="A366" s="65">
        <v>43978</v>
      </c>
      <c r="B366" s="1"/>
      <c r="C366" s="1"/>
      <c r="D366" s="60"/>
      <c r="E366" s="76"/>
      <c r="F366" s="60"/>
      <c r="G366" s="60"/>
      <c r="H366" s="60"/>
      <c r="I366" s="60"/>
      <c r="J366" s="60"/>
      <c r="K366" s="60"/>
      <c r="L366" s="60"/>
      <c r="M366" s="60"/>
      <c r="N366" s="61"/>
      <c r="O366" s="60"/>
      <c r="P366" s="60"/>
      <c r="Q366" s="60"/>
      <c r="R366" s="60"/>
      <c r="S366" s="60"/>
      <c r="T366" s="59"/>
      <c r="U366" s="60"/>
      <c r="V366" s="59"/>
      <c r="W366" s="60"/>
      <c r="X366" s="60"/>
      <c r="Y366" s="76"/>
      <c r="Z366" s="59"/>
      <c r="AA366" s="59"/>
      <c r="AB366" s="60"/>
      <c r="AC366" s="56"/>
      <c r="AD366" s="60"/>
      <c r="AE366" s="76"/>
      <c r="AF366" s="80"/>
      <c r="AG366" s="56"/>
      <c r="AH366" s="4"/>
      <c r="AI366" s="56"/>
      <c r="AJ366" s="109"/>
      <c r="AK366" s="56"/>
      <c r="AL366" s="56"/>
      <c r="AM366" s="56"/>
      <c r="AN366" s="56"/>
      <c r="AO366" s="82"/>
      <c r="AP366" s="82"/>
      <c r="AQ366" s="83"/>
      <c r="AR366" s="116"/>
      <c r="AS366" s="84"/>
      <c r="AT366" s="84"/>
      <c r="AU366" s="3"/>
      <c r="AV366" s="25">
        <v>30</v>
      </c>
      <c r="AW366" s="25">
        <f>60*20</f>
        <v>1200</v>
      </c>
      <c r="AX366" s="25">
        <f>60*60*24*4</f>
        <v>345600</v>
      </c>
      <c r="AY366" s="25">
        <f>60*60*24*11</f>
        <v>950400</v>
      </c>
      <c r="AZ366" s="25">
        <f>60*60*24*30</f>
        <v>2592000</v>
      </c>
      <c r="BA366" s="53"/>
      <c r="BB366" s="53"/>
      <c r="BC366" s="53"/>
      <c r="BD366" s="53"/>
      <c r="BE366" s="53"/>
      <c r="BF366" s="53"/>
      <c r="BG366" s="53"/>
      <c r="BH366" s="53"/>
      <c r="BI366" s="53"/>
      <c r="BJ366" s="53"/>
      <c r="BK366" s="53"/>
      <c r="BL366" s="53"/>
      <c r="BM366" s="53"/>
      <c r="BN366" s="53"/>
      <c r="BO366" s="53"/>
      <c r="BP366" s="53"/>
      <c r="BQ366" s="53"/>
      <c r="BR366" s="53"/>
      <c r="BS366" s="53"/>
      <c r="BT366" s="53"/>
      <c r="BU366" s="53"/>
      <c r="BV366" s="53"/>
      <c r="BW366" s="53"/>
      <c r="BX366" s="53"/>
      <c r="BY366" s="53"/>
      <c r="BZ366" s="53"/>
      <c r="CA366" s="53"/>
      <c r="CB366" s="53"/>
      <c r="CC366" s="53"/>
      <c r="CD366" s="53"/>
      <c r="CE366" s="53"/>
      <c r="CF366" s="53"/>
      <c r="CG366" s="53"/>
      <c r="CH366" s="53"/>
      <c r="CI366" s="53"/>
      <c r="CJ366" s="53"/>
      <c r="CK366" s="53"/>
      <c r="CL366" s="53"/>
      <c r="CM366" s="53"/>
      <c r="CN366" s="53"/>
      <c r="CO366" s="53"/>
      <c r="CP366" s="53"/>
      <c r="CQ366" s="53"/>
      <c r="CR366" s="1"/>
      <c r="CS366" s="1"/>
      <c r="CT366" s="1"/>
      <c r="CU366" s="1"/>
    </row>
    <row r="367" spans="1:99" s="13" customFormat="1" ht="12" customHeight="1" x14ac:dyDescent="0.2">
      <c r="A367" s="65">
        <v>43978</v>
      </c>
      <c r="B367" s="1" t="s">
        <v>969</v>
      </c>
      <c r="C367" s="1" t="s">
        <v>970</v>
      </c>
      <c r="D367" s="60">
        <v>2012</v>
      </c>
      <c r="E367" s="76">
        <v>2</v>
      </c>
      <c r="F367" s="60">
        <v>4</v>
      </c>
      <c r="G367" s="60">
        <v>4</v>
      </c>
      <c r="H367" s="60" t="s">
        <v>227</v>
      </c>
      <c r="I367" s="60" t="s">
        <v>330</v>
      </c>
      <c r="J367" s="60" t="s">
        <v>686</v>
      </c>
      <c r="K367" s="60">
        <f>IF(J367="syllables",1,IF(J367="trigrams",2,IF(J367="strings",3,IF(J367="visual array",4,IF(J367="characters",5,IF(J367="letters",6,IF(J367="free forms",7,IF(J367="odors",8,IF(J367="words",9,IF(J367="pictures",10,IF(J367="object pictures",11,IF(J367="faces",12,IF(J367="names",13,IF(J367="idioms",14,IF(J367="grades",15,IF(J367="syllable-digit pairs",16,IF(J367="trigram-word pairs",17,IF(J367="word-digit pairs",18,IF(J367="English-Swahili pairs",19,IF(J367="spatial position",20,IF(J367="word pairs",21,IF(J367="word triads",22,IF(J367="generated words",23,IF(J367="word definition pairs",24,IF(J367="math problems",25,IF(J367="famous faces",26,IF(J367="famous names",27,IF(J367="famous voices",28,IF(J367="television programs",29,IF(J367="race horses",30,IF(J367="new vocabulary",31,IF(J367="sentences",32,IF(J367="concepts",33,IF(J367="ad slides",34,IF(J367="scenes",35,IF(J367="famous scenes",36,IF(J367="poems",37,IF(J367="walk",38,IF(J367="faces and events",39,IF(J367="events and names",40,IF(J367="flashbulb",41,IF(J367="stories",42,IF(J367="course material",43,IF(J367="autobiographical",44,IF(J367="novels",45,IF(J367="public events",46,"99"))))))))))))))))))))))))))))))))))))))))))))))</f>
        <v>35</v>
      </c>
      <c r="L367" s="60">
        <f>IF(J367="syllables",1,IF(J367="trigrams",1,IF(J367="strings",1,IF(J367="visual array",1,IF(J367="characters",1,IF(J367="letters",1,IF(J367="free forms",1,IF(J367="odors",2,IF(J367="words",2,IF(J367="pictures",2,IF(J367="object pictures",2,IF(J367="faces",2,IF(J367="names",2,IF(J367="idioms","2",IF(J367="grades",2,IF(J367="syllable-digit pairs",3,IF(J367="trigram-word pairs",3,IF(J367="word-digit pairs",3,IF(J367="English-Swahili pairs",3,IF(J367="spatial position",3,IF(J367="word pairs",4,IF(J367="word triads",4,IF(J367="generated words",4,IF(J367="word definition pairs",4,IF(J367="math problems",4,IF(J367="famous faces",4,IF(J367="famous names",4,IF(J367="famous voices",4,IF(J367="television programs",4,IF(J367="race horses",4,IF(J367="new vocabulary",4,IF(J367="sentences",5,IF(J367="concepts",5,IF(J367="ad slides",5,IF(J367="scenes",5,IF(J367="famous scenes",5,IF(J367="poems",6,IF(J367="walk",6,IF(J367="faces and events",6,IF(J367="events and names",6,IF(J367="flashbulb",7,IF(J367="stories",7,IF(J367="course material",7,IF(J367="autobiographical",7,IF(J367="novels",7,IF(J367="public events",7,"99"))))))))))))))))))))))))))))))))))))))))))))))</f>
        <v>5</v>
      </c>
      <c r="M367" s="60">
        <v>1</v>
      </c>
      <c r="N367" s="61">
        <v>2</v>
      </c>
      <c r="O367" s="60">
        <v>0</v>
      </c>
      <c r="P367" s="60"/>
      <c r="Q367" s="60" t="s">
        <v>174</v>
      </c>
      <c r="R367" s="60">
        <f>IF(Q367="Free Recall",1,IF(Q367="Cued Recall",2,IF(Q367="Recognition",3,IF(Q367="Multiple Choice",4,IF(Q367="Savings",5,IF(Q367="Stem Completion",6,IF(Q367="Fragment Completion",7,IF(Q367="anagram solution",8,IF(Q367="Matching",9,IF(Q367="Problem Solving",10,"99"))))))))))</f>
        <v>1</v>
      </c>
      <c r="S367" s="60" t="s">
        <v>49</v>
      </c>
      <c r="T367" s="59" t="s">
        <v>581</v>
      </c>
      <c r="U367" s="60">
        <f>IF(T367="within",1,0)</f>
        <v>1</v>
      </c>
      <c r="V367" s="59">
        <v>32</v>
      </c>
      <c r="W367" s="60">
        <f>F367*V367</f>
        <v>128</v>
      </c>
      <c r="X367" s="60">
        <v>5</v>
      </c>
      <c r="Y367" s="76">
        <f>AV366</f>
        <v>30</v>
      </c>
      <c r="Z367" s="59" t="s">
        <v>273</v>
      </c>
      <c r="AA367" s="59">
        <f>60*60*24*30</f>
        <v>2592000</v>
      </c>
      <c r="AB367" s="60" t="str">
        <f>IF(AA367&lt;60,"1",IF(AA367&lt;=43200,"2",IF(AA367&lt;=777600,"3","4")))</f>
        <v>4</v>
      </c>
      <c r="AC367" s="56">
        <f>AVERAGE(AV366:DA366)</f>
        <v>777846</v>
      </c>
      <c r="AD367" s="60" t="str">
        <f>IF(AC367&lt;60,"1",IF(AC367&lt;=43200,"2",IF(AC367&lt;=777600,"3","4")))</f>
        <v>4</v>
      </c>
      <c r="AE367" s="76">
        <f>AA367-Y367</f>
        <v>2591970</v>
      </c>
      <c r="AF367" s="80">
        <f>AV367</f>
        <v>0.85940000000000005</v>
      </c>
      <c r="AG367" s="56">
        <f>((AW367-AV367)+(AX367-AW367)+(AY367-AX367)+(AZ367-AY367))/4</f>
        <v>-0.12052500000000001</v>
      </c>
      <c r="AH367" s="4"/>
      <c r="AI367" s="56">
        <f>RSQ(AV367:AZ367,AV366:AZ366)</f>
        <v>0.80176590865227393</v>
      </c>
      <c r="AJ367" s="109">
        <f>SLOPE(AV367:AZ367,AV366:AZ366)</f>
        <v>-1.7254826016803393E-7</v>
      </c>
      <c r="AK367" s="56">
        <f>INTERCEPT(AV367:AZ367,AV366:AZ366)</f>
        <v>0.77845597397866451</v>
      </c>
      <c r="AL367" s="56">
        <f>INDEX(LINEST(LN(AV367:AZ367),LN(AV366:AZ366),TRUE,TRUE),3,1)</f>
        <v>0.81043467094826593</v>
      </c>
      <c r="AM367" s="56">
        <f>INDEX(LINEST(LN(AV367:AZ367),LN(AV366:AZ366)),1)</f>
        <v>-6.3602407780228104E-2</v>
      </c>
      <c r="AN367" s="56">
        <f>EXP(INDEX(LINEST(LN(AV367:AZ367),LN(AV366:AZ366)),1,2))</f>
        <v>1.1890254523716046</v>
      </c>
      <c r="AO367" s="82">
        <f>INDEX(LINEST((AV367:AZ367),LN(AV366:AZ366),TRUE,TRUE),3,1)</f>
        <v>0.87765579099732849</v>
      </c>
      <c r="AP367" s="82">
        <f>INDEX(LINEST((AV367:AZ367),LN(AV366:AZ366)),1)</f>
        <v>-4.0040762582998088E-2</v>
      </c>
      <c r="AQ367" s="83">
        <f>INDEX(LINEST(LN(AV367:AZ367),SQRT(AV366:AZ366),TRUE,TRUE),3,1)</f>
        <v>0.99292947730461012</v>
      </c>
      <c r="AR367" s="116">
        <f>INDEX(LINEST(LN(AV367:AZ367),SQRT((AV366:AZ366))),1)</f>
        <v>-5.102733901528806E-4</v>
      </c>
      <c r="AS367" s="84">
        <f>INDEX(LINEST(1/(AV367:AZ367),1/(SQRT(AV366:AZ366)),TRUE,TRUE),3,1)</f>
        <v>0.34570417637522866</v>
      </c>
      <c r="AT367" s="84">
        <f>INDEX(LINEST(1/(AV367:AZ367),1/SQRT(AV366:AZ366)),1)</f>
        <v>-4.5622120232244221</v>
      </c>
      <c r="AU367" s="3"/>
      <c r="AV367" s="53">
        <v>0.85940000000000005</v>
      </c>
      <c r="AW367" s="53">
        <v>0.85160000000000002</v>
      </c>
      <c r="AX367" s="53">
        <v>0.60160000000000002</v>
      </c>
      <c r="AY367" s="53">
        <v>0.53129999999999999</v>
      </c>
      <c r="AZ367" s="53">
        <v>0.37730000000000002</v>
      </c>
      <c r="BA367" s="53"/>
      <c r="BB367" s="53"/>
      <c r="BC367" s="53"/>
      <c r="BD367" s="53"/>
      <c r="BE367" s="53"/>
      <c r="BF367" s="53"/>
      <c r="BG367" s="53"/>
      <c r="BH367" s="53"/>
      <c r="BI367" s="53"/>
      <c r="BJ367" s="53"/>
      <c r="BK367" s="53"/>
      <c r="BL367" s="53"/>
      <c r="BM367" s="53"/>
      <c r="BN367" s="53"/>
      <c r="BO367" s="53"/>
      <c r="BP367" s="53"/>
      <c r="BQ367" s="53"/>
      <c r="BR367" s="53"/>
      <c r="BS367" s="53"/>
      <c r="BT367" s="53"/>
      <c r="BU367" s="53"/>
      <c r="BV367" s="53"/>
      <c r="BW367" s="53"/>
      <c r="BX367" s="53"/>
      <c r="BY367" s="53"/>
      <c r="BZ367" s="53"/>
      <c r="CA367" s="53"/>
      <c r="CB367" s="53"/>
      <c r="CC367" s="53"/>
      <c r="CD367" s="53"/>
      <c r="CE367" s="53"/>
      <c r="CF367" s="53"/>
      <c r="CG367" s="53"/>
      <c r="CH367" s="53"/>
      <c r="CI367" s="53"/>
      <c r="CJ367" s="53"/>
      <c r="CK367" s="53"/>
      <c r="CL367" s="53"/>
      <c r="CM367" s="53"/>
      <c r="CN367" s="53"/>
      <c r="CO367" s="53"/>
      <c r="CP367" s="53"/>
      <c r="CQ367" s="53"/>
      <c r="CR367" s="1"/>
      <c r="CS367" s="1"/>
      <c r="CT367" s="1"/>
      <c r="CU367" s="1"/>
    </row>
    <row r="368" spans="1:99" s="13" customFormat="1" ht="12" customHeight="1" x14ac:dyDescent="0.2">
      <c r="A368" s="68">
        <v>43906</v>
      </c>
      <c r="B368" s="70"/>
      <c r="C368" s="70"/>
      <c r="D368" s="69"/>
      <c r="E368" s="87"/>
      <c r="F368" s="69"/>
      <c r="G368" s="69"/>
      <c r="H368" s="69"/>
      <c r="I368" s="69"/>
      <c r="J368" s="69"/>
      <c r="K368" s="107"/>
      <c r="L368" s="107"/>
      <c r="M368" s="69"/>
      <c r="N368" s="92"/>
      <c r="O368" s="69"/>
      <c r="P368" s="69"/>
      <c r="Q368" s="69"/>
      <c r="R368" s="69"/>
      <c r="S368" s="69"/>
      <c r="T368" s="92"/>
      <c r="U368" s="69"/>
      <c r="V368" s="92"/>
      <c r="W368" s="69"/>
      <c r="X368" s="69"/>
      <c r="Y368" s="87"/>
      <c r="Z368" s="92"/>
      <c r="AA368" s="69"/>
      <c r="AB368" s="69"/>
      <c r="AC368" s="72"/>
      <c r="AD368" s="69"/>
      <c r="AE368" s="69"/>
      <c r="AF368" s="88"/>
      <c r="AG368" s="72"/>
      <c r="AH368" s="4"/>
      <c r="AI368" s="72"/>
      <c r="AJ368" s="110"/>
      <c r="AK368" s="72"/>
      <c r="AL368" s="72"/>
      <c r="AM368" s="72"/>
      <c r="AN368" s="72"/>
      <c r="AO368" s="72"/>
      <c r="AP368" s="72"/>
      <c r="AQ368" s="72"/>
      <c r="AR368" s="110"/>
      <c r="AS368" s="72"/>
      <c r="AT368" s="72"/>
      <c r="AU368" s="5"/>
      <c r="AV368" s="71">
        <f>8*60</f>
        <v>480</v>
      </c>
      <c r="AW368" s="71">
        <f>60*60*24*7</f>
        <v>604800</v>
      </c>
      <c r="AX368" s="71">
        <f>60*60*24*35</f>
        <v>3024000</v>
      </c>
      <c r="AY368" s="53"/>
      <c r="AZ368" s="53"/>
      <c r="BA368" s="53"/>
      <c r="BB368" s="53"/>
      <c r="BC368" s="53"/>
      <c r="BD368" s="53"/>
      <c r="BE368" s="53"/>
      <c r="BF368" s="53"/>
      <c r="BG368" s="53"/>
      <c r="BH368" s="53"/>
      <c r="BI368" s="53"/>
      <c r="BJ368" s="53"/>
      <c r="BK368" s="53"/>
      <c r="BL368" s="53"/>
      <c r="BM368" s="53"/>
      <c r="BN368" s="53"/>
      <c r="BO368" s="53"/>
      <c r="BP368" s="53"/>
      <c r="BQ368" s="53"/>
      <c r="BR368" s="53"/>
      <c r="BS368" s="53"/>
      <c r="BT368" s="53"/>
      <c r="BU368" s="53"/>
      <c r="BV368" s="53"/>
      <c r="BW368" s="53"/>
      <c r="BX368" s="53"/>
      <c r="BY368" s="53"/>
      <c r="BZ368" s="53"/>
      <c r="CA368" s="53"/>
      <c r="CB368" s="53"/>
      <c r="CC368" s="53"/>
      <c r="CD368" s="53"/>
      <c r="CE368" s="53"/>
      <c r="CF368" s="53"/>
      <c r="CG368" s="53"/>
      <c r="CH368" s="53"/>
      <c r="CI368" s="53"/>
      <c r="CJ368" s="53"/>
      <c r="CK368" s="53"/>
      <c r="CL368" s="53"/>
      <c r="CM368" s="53"/>
      <c r="CN368" s="53"/>
      <c r="CO368" s="53"/>
      <c r="CP368" s="53"/>
      <c r="CQ368" s="53"/>
      <c r="CR368" s="1"/>
      <c r="CS368" s="1"/>
      <c r="CT368" s="1"/>
      <c r="CU368" s="1"/>
    </row>
    <row r="369" spans="1:99" s="13" customFormat="1" ht="12" customHeight="1" x14ac:dyDescent="0.2">
      <c r="A369" s="68">
        <v>43906</v>
      </c>
      <c r="B369" s="70" t="s">
        <v>498</v>
      </c>
      <c r="C369" s="70" t="s">
        <v>499</v>
      </c>
      <c r="D369" s="69">
        <v>1985</v>
      </c>
      <c r="E369" s="87">
        <v>1</v>
      </c>
      <c r="F369" s="69">
        <v>18</v>
      </c>
      <c r="G369" s="69">
        <v>18</v>
      </c>
      <c r="H369" s="69" t="s">
        <v>50</v>
      </c>
      <c r="I369" s="69" t="s">
        <v>315</v>
      </c>
      <c r="J369" s="69" t="s">
        <v>16</v>
      </c>
      <c r="K369" s="69">
        <f>IF(J369="syllables",1,IF(J369="trigrams",2,IF(J369="strings",3,IF(J369="visual array",4,IF(J369="characters",5,IF(J369="letters",6,IF(J369="free forms",7,IF(J369="odors",8,IF(J369="words",9,IF(J369="pictures",10,IF(J369="object pictures",11,IF(J369="faces",12,IF(J369="names",13,IF(J369="idioms",14,IF(J369="grades",15,IF(J369="syllable-digit pairs",16,IF(J369="trigram-word pairs",17,IF(J369="word-digit pairs",18,IF(J369="English-Swahili pairs",19,IF(J369="spatial position",20,IF(J369="word pairs",21,IF(J369="word triads",22,IF(J369="generated words",23,IF(J369="word definition pairs",24,IF(J369="math problems",25,IF(J369="famous faces",26,IF(J369="famous names",27,IF(J369="famous voices",28,IF(J369="television programs",29,IF(J369="race horses",30,IF(J369="new vocabulary",31,IF(J369="sentences",32,IF(J369="concepts",33,IF(J369="ad slides",34,IF(J369="scenes",35,IF(J369="famous scenes",36,IF(J369="poems",37,IF(J369="walk",38,IF(J369="faces and events",39,IF(J369="events and names",40,IF(J369="flashbulb",41,IF(J369="stories",42,IF(J369="course material",43,IF(J369="autobiographical",44,IF(J369="novels",45,IF(J369="public events",46,"99"))))))))))))))))))))))))))))))))))))))))))))))</f>
        <v>9</v>
      </c>
      <c r="L369" s="69">
        <f>IF(J369="syllables",1,IF(J369="trigrams",1,IF(J369="strings",1,IF(J369="visual array",1,IF(J369="characters",1,IF(J369="letters",1,IF(J369="free forms",1,IF(J369="odors",2,IF(J369="words",2,IF(J369="pictures",2,IF(J369="object pictures",2,IF(J369="faces",2,IF(J369="names",2,IF(J369="idioms","2",IF(J369="grades",2,IF(J369="syllable-digit pairs",3,IF(J369="trigram-word pairs",3,IF(J369="word-digit pairs",3,IF(J369="English-Swahili pairs",3,IF(J369="spatial position",3,IF(J369="word pairs",4,IF(J369="word triads",4,IF(J369="generated words",4,IF(J369="word definition pairs",4,IF(J369="math problems",4,IF(J369="famous faces",4,IF(J369="famous names",4,IF(J369="famous voices",4,IF(J369="television programs",4,IF(J369="race horses",4,IF(J369="new vocabulary",4,IF(J369="sentences",5,IF(J369="concepts",5,IF(J369="ad slides",5,IF(J369="scenes",5,IF(J369="famous scenes",5,IF(J369="poems",6,IF(J369="walk",6,IF(J369="faces and events",6,IF(J369="events and names",6,IF(J369="flashbulb",7,IF(J369="stories",7,IF(J369="course material",7,IF(J369="autobiographical",7,IF(J369="novels",7,IF(J369="public events",7,"99"))))))))))))))))))))))))))))))))))))))))))))))</f>
        <v>2</v>
      </c>
      <c r="M369" s="69">
        <v>0</v>
      </c>
      <c r="N369" s="69">
        <v>1</v>
      </c>
      <c r="O369" s="69">
        <v>0</v>
      </c>
      <c r="P369" s="69"/>
      <c r="Q369" s="69" t="s">
        <v>34</v>
      </c>
      <c r="R369" s="69">
        <f>IF(Q369="Free Recall",1,IF(Q369="Cued Recall",2,IF(Q369="Recognition",3,IF(Q369="Multiple Choice",4,IF(Q369="Savings",5,IF(Q369="Stem Completion",6,IF(Q369="Fragment Completion",7,IF(Q369="anagram solution",8,IF(Q369="Matching",9,IF(Q369="Problem Solving",10,"99"))))))))))</f>
        <v>3</v>
      </c>
      <c r="S369" s="69" t="s">
        <v>15</v>
      </c>
      <c r="T369" s="92" t="s">
        <v>581</v>
      </c>
      <c r="U369" s="69">
        <f>IF(T369="within",1,0)</f>
        <v>1</v>
      </c>
      <c r="V369" s="92">
        <v>30</v>
      </c>
      <c r="W369" s="69">
        <f>F369*V369</f>
        <v>540</v>
      </c>
      <c r="X369" s="69">
        <v>3</v>
      </c>
      <c r="Y369" s="87">
        <f>AV368</f>
        <v>480</v>
      </c>
      <c r="Z369" s="92" t="s">
        <v>500</v>
      </c>
      <c r="AA369" s="69">
        <f>60*60*24*35</f>
        <v>3024000</v>
      </c>
      <c r="AB369" s="69" t="str">
        <f>IF(AA369&lt;60,"1",IF(AA369&lt;=43200,"2",IF(AA369&lt;=777600,"3","4")))</f>
        <v>4</v>
      </c>
      <c r="AC369" s="72">
        <f>AVERAGE(AV368:DA368)</f>
        <v>1209760</v>
      </c>
      <c r="AD369" s="69" t="str">
        <f>IF(AC369&lt;60,"1",IF(AC369&lt;=43200,"2",IF(AC369&lt;=777600,"3","4")))</f>
        <v>4</v>
      </c>
      <c r="AE369" s="87">
        <f>AA369-Y369</f>
        <v>3023520</v>
      </c>
      <c r="AF369" s="88">
        <f>AV369</f>
        <v>0.68</v>
      </c>
      <c r="AG369" s="72">
        <f>((AW369-AV369)+(AX369-AW369))/2</f>
        <v>-0.24500000000000002</v>
      </c>
      <c r="AH369" s="4"/>
      <c r="AI369" s="72">
        <f>RSQ(AV369:AX369,AV368:AX368)</f>
        <v>0.76292810522102383</v>
      </c>
      <c r="AJ369" s="110">
        <f>SLOPE(AV369:AX369,AV368:AX368)</f>
        <v>-1.3582370338498023E-7</v>
      </c>
      <c r="AK369" s="72">
        <f>INTERCEPT(AV369:AX369,AV368:AX368)</f>
        <v>0.57431408340701362</v>
      </c>
      <c r="AL369" s="72">
        <f>INDEX(LINEST(LN(AV369:AX369),LN(AV368:AX368),TRUE,TRUE),3,1)</f>
        <v>0.8815806843646895</v>
      </c>
      <c r="AM369" s="72">
        <f>INDEX(LINEST(LN(AV369:AX369),LN(AV368:AX368)),1)</f>
        <v>-0.12855663071896861</v>
      </c>
      <c r="AN369" s="72">
        <f>EXP(INDEX(LINEST(LN(AV369:AX369),LN(AV368:AX368)),1,2))</f>
        <v>1.5711375735746325</v>
      </c>
      <c r="AO369" s="89">
        <f>INDEX(LINEST((AV369:AX369),LN(AV368:AX368),TRUE,TRUE),3,1)</f>
        <v>0.96969681515011841</v>
      </c>
      <c r="AP369" s="89">
        <f>INDEX(LINEST((AV369:AX369),LN(AV368:AX368)),1)</f>
        <v>-5.2616594298015594E-2</v>
      </c>
      <c r="AQ369" s="90">
        <f>INDEX(LINEST(LN(AV369:AX369),SQRT(AV368:AX368),TRUE,TRUE),3,1)</f>
        <v>0.99543886534329806</v>
      </c>
      <c r="AR369" s="117">
        <f>INDEX(LINEST(LN(AV369:AX369),SQRT((AV368:AX368))),1)</f>
        <v>-7.3913284254552292E-4</v>
      </c>
      <c r="AS369" s="91">
        <f>INDEX(LINEST(1/(AV369:AX369),1/(SQRT(AV368:AX368)),TRUE,TRUE),3,1)</f>
        <v>0.59746645067157544</v>
      </c>
      <c r="AT369" s="91">
        <f>INDEX(LINEST(1/(AV369:AX369),1/SQRT(AV368:AX368)),1)</f>
        <v>-57.679385194851044</v>
      </c>
      <c r="AU369" s="3"/>
      <c r="AV369" s="73">
        <v>0.68</v>
      </c>
      <c r="AW369" s="73">
        <v>0.36</v>
      </c>
      <c r="AX369" s="73">
        <v>0.19</v>
      </c>
      <c r="AY369" s="53"/>
      <c r="AZ369" s="53"/>
      <c r="BA369" s="53"/>
      <c r="BB369" s="53"/>
      <c r="BC369" s="53"/>
      <c r="BD369" s="53"/>
      <c r="BE369" s="53"/>
      <c r="BF369" s="53"/>
      <c r="BG369" s="53"/>
      <c r="BH369" s="53"/>
      <c r="BI369" s="53"/>
      <c r="BJ369" s="53"/>
      <c r="BK369" s="53"/>
      <c r="BL369" s="53"/>
      <c r="BM369" s="53"/>
      <c r="BN369" s="53"/>
      <c r="BO369" s="53"/>
      <c r="BP369" s="53"/>
      <c r="BQ369" s="53"/>
      <c r="BR369" s="53"/>
      <c r="BS369" s="53"/>
      <c r="BT369" s="53"/>
      <c r="BU369" s="53"/>
      <c r="BV369" s="53"/>
      <c r="BW369" s="53"/>
      <c r="BX369" s="53"/>
      <c r="BY369" s="53"/>
      <c r="BZ369" s="53"/>
      <c r="CA369" s="53"/>
      <c r="CB369" s="53"/>
      <c r="CC369" s="53"/>
      <c r="CD369" s="53"/>
      <c r="CE369" s="53"/>
      <c r="CF369" s="53"/>
      <c r="CG369" s="53"/>
      <c r="CH369" s="53"/>
      <c r="CI369" s="53"/>
      <c r="CJ369" s="53"/>
      <c r="CK369" s="53"/>
      <c r="CL369" s="53"/>
      <c r="CM369" s="53"/>
      <c r="CN369" s="53"/>
      <c r="CO369" s="53"/>
      <c r="CP369" s="53"/>
      <c r="CQ369" s="53"/>
      <c r="CR369" s="1"/>
      <c r="CS369" s="1"/>
      <c r="CT369" s="1"/>
      <c r="CU369" s="1"/>
    </row>
    <row r="370" spans="1:99" s="13" customFormat="1" ht="12" customHeight="1" x14ac:dyDescent="0.2">
      <c r="A370" s="68">
        <v>43906</v>
      </c>
      <c r="B370" s="70"/>
      <c r="C370" s="70"/>
      <c r="D370" s="69"/>
      <c r="E370" s="87"/>
      <c r="F370" s="69"/>
      <c r="G370" s="69"/>
      <c r="H370" s="69"/>
      <c r="I370" s="69"/>
      <c r="J370" s="69"/>
      <c r="K370" s="107"/>
      <c r="L370" s="107"/>
      <c r="M370" s="69"/>
      <c r="N370" s="92"/>
      <c r="O370" s="69"/>
      <c r="P370" s="69"/>
      <c r="Q370" s="69"/>
      <c r="R370" s="69"/>
      <c r="S370" s="69"/>
      <c r="T370" s="92"/>
      <c r="U370" s="69"/>
      <c r="V370" s="92"/>
      <c r="W370" s="69"/>
      <c r="X370" s="69"/>
      <c r="Y370" s="87"/>
      <c r="Z370" s="92"/>
      <c r="AA370" s="69"/>
      <c r="AB370" s="69"/>
      <c r="AC370" s="72"/>
      <c r="AD370" s="69"/>
      <c r="AE370" s="69"/>
      <c r="AF370" s="88"/>
      <c r="AG370" s="72"/>
      <c r="AH370" s="4"/>
      <c r="AI370" s="72"/>
      <c r="AJ370" s="110"/>
      <c r="AK370" s="72"/>
      <c r="AL370" s="72"/>
      <c r="AM370" s="72"/>
      <c r="AN370" s="72"/>
      <c r="AO370" s="72"/>
      <c r="AP370" s="72"/>
      <c r="AQ370" s="72"/>
      <c r="AR370" s="110"/>
      <c r="AS370" s="72"/>
      <c r="AT370" s="72"/>
      <c r="AU370" s="5"/>
      <c r="AV370" s="71">
        <f>8*60</f>
        <v>480</v>
      </c>
      <c r="AW370" s="71">
        <f>60*60*24*7</f>
        <v>604800</v>
      </c>
      <c r="AX370" s="71">
        <f>60*60*24*35</f>
        <v>3024000</v>
      </c>
      <c r="AY370" s="53"/>
      <c r="AZ370" s="53"/>
      <c r="BA370" s="53"/>
      <c r="BB370" s="53"/>
      <c r="BC370" s="53"/>
      <c r="BD370" s="53"/>
      <c r="BE370" s="53"/>
      <c r="BF370" s="53"/>
      <c r="BG370" s="53"/>
      <c r="BH370" s="53"/>
      <c r="BI370" s="53"/>
      <c r="BJ370" s="53"/>
      <c r="BK370" s="53"/>
      <c r="BL370" s="53"/>
      <c r="BM370" s="53"/>
      <c r="BN370" s="53"/>
      <c r="BO370" s="53"/>
      <c r="BP370" s="53"/>
      <c r="BQ370" s="53"/>
      <c r="BR370" s="53"/>
      <c r="BS370" s="53"/>
      <c r="BT370" s="53"/>
      <c r="BU370" s="53"/>
      <c r="BV370" s="53"/>
      <c r="BW370" s="53"/>
      <c r="BX370" s="53"/>
      <c r="BY370" s="53"/>
      <c r="BZ370" s="53"/>
      <c r="CA370" s="53"/>
      <c r="CB370" s="53"/>
      <c r="CC370" s="53"/>
      <c r="CD370" s="53"/>
      <c r="CE370" s="53"/>
      <c r="CF370" s="53"/>
      <c r="CG370" s="53"/>
      <c r="CH370" s="53"/>
      <c r="CI370" s="53"/>
      <c r="CJ370" s="53"/>
      <c r="CK370" s="53"/>
      <c r="CL370" s="53"/>
      <c r="CM370" s="53"/>
      <c r="CN370" s="53"/>
      <c r="CO370" s="53"/>
      <c r="CP370" s="53"/>
      <c r="CQ370" s="53"/>
      <c r="CR370" s="1"/>
      <c r="CS370" s="1"/>
      <c r="CT370" s="1"/>
      <c r="CU370" s="1"/>
    </row>
    <row r="371" spans="1:99" s="13" customFormat="1" ht="12" customHeight="1" x14ac:dyDescent="0.2">
      <c r="A371" s="68">
        <v>43906</v>
      </c>
      <c r="B371" s="70" t="s">
        <v>498</v>
      </c>
      <c r="C371" s="70" t="s">
        <v>499</v>
      </c>
      <c r="D371" s="69">
        <v>1985</v>
      </c>
      <c r="E371" s="87">
        <v>1</v>
      </c>
      <c r="F371" s="69">
        <v>18</v>
      </c>
      <c r="G371" s="69">
        <v>18</v>
      </c>
      <c r="H371" s="69" t="s">
        <v>50</v>
      </c>
      <c r="I371" s="69" t="s">
        <v>722</v>
      </c>
      <c r="J371" s="69" t="s">
        <v>16</v>
      </c>
      <c r="K371" s="69">
        <f>IF(J371="syllables",1,IF(J371="trigrams",2,IF(J371="strings",3,IF(J371="visual array",4,IF(J371="characters",5,IF(J371="letters",6,IF(J371="free forms",7,IF(J371="odors",8,IF(J371="words",9,IF(J371="pictures",10,IF(J371="object pictures",11,IF(J371="faces",12,IF(J371="names",13,IF(J371="idioms",14,IF(J371="grades",15,IF(J371="syllable-digit pairs",16,IF(J371="trigram-word pairs",17,IF(J371="word-digit pairs",18,IF(J371="English-Swahili pairs",19,IF(J371="spatial position",20,IF(J371="word pairs",21,IF(J371="word triads",22,IF(J371="generated words",23,IF(J371="word definition pairs",24,IF(J371="math problems",25,IF(J371="famous faces",26,IF(J371="famous names",27,IF(J371="famous voices",28,IF(J371="television programs",29,IF(J371="race horses",30,IF(J371="new vocabulary",31,IF(J371="sentences",32,IF(J371="concepts",33,IF(J371="ad slides",34,IF(J371="scenes",35,IF(J371="famous scenes",36,IF(J371="poems",37,IF(J371="walk",38,IF(J371="faces and events",39,IF(J371="events and names",40,IF(J371="flashbulb",41,IF(J371="stories",42,IF(J371="course material",43,IF(J371="autobiographical",44,IF(J371="novels",45,IF(J371="public events",46,"99"))))))))))))))))))))))))))))))))))))))))))))))</f>
        <v>9</v>
      </c>
      <c r="L371" s="69">
        <f>IF(J371="syllables",1,IF(J371="trigrams",1,IF(J371="strings",1,IF(J371="visual array",1,IF(J371="characters",1,IF(J371="letters",1,IF(J371="free forms",1,IF(J371="odors",2,IF(J371="words",2,IF(J371="pictures",2,IF(J371="object pictures",2,IF(J371="faces",2,IF(J371="names",2,IF(J371="idioms","2",IF(J371="grades",2,IF(J371="syllable-digit pairs",3,IF(J371="trigram-word pairs",3,IF(J371="word-digit pairs",3,IF(J371="English-Swahili pairs",3,IF(J371="spatial position",3,IF(J371="word pairs",4,IF(J371="word triads",4,IF(J371="generated words",4,IF(J371="word definition pairs",4,IF(J371="math problems",4,IF(J371="famous faces",4,IF(J371="famous names",4,IF(J371="famous voices",4,IF(J371="television programs",4,IF(J371="race horses",4,IF(J371="new vocabulary",4,IF(J371="sentences",5,IF(J371="concepts",5,IF(J371="ad slides",5,IF(J371="scenes",5,IF(J371="famous scenes",5,IF(J371="poems",6,IF(J371="walk",6,IF(J371="faces and events",6,IF(J371="events and names",6,IF(J371="flashbulb",7,IF(J371="stories",7,IF(J371="course material",7,IF(J371="autobiographical",7,IF(J371="novels",7,IF(J371="public events",7,"99"))))))))))))))))))))))))))))))))))))))))))))))</f>
        <v>2</v>
      </c>
      <c r="M371" s="69">
        <v>0</v>
      </c>
      <c r="N371" s="69">
        <v>1</v>
      </c>
      <c r="O371" s="69">
        <v>0</v>
      </c>
      <c r="P371" s="69"/>
      <c r="Q371" s="69" t="s">
        <v>125</v>
      </c>
      <c r="R371" s="69">
        <f>IF(Q371="Free Recall",1,IF(Q371="Cued Recall",2,IF(Q371="Recognition",3,IF(Q371="Multiple Choice",4,IF(Q371="Savings",5,IF(Q371="Stem Completion",6,IF(Q371="Fragment Completion",7,IF(Q371="anagram solution",8,IF(Q371="Matching",9,IF(Q371="Problem Solving",10,"99"))))))))))</f>
        <v>7</v>
      </c>
      <c r="S371" s="69" t="s">
        <v>15</v>
      </c>
      <c r="T371" s="92" t="s">
        <v>581</v>
      </c>
      <c r="U371" s="69">
        <f>IF(T371="within",1,0)</f>
        <v>1</v>
      </c>
      <c r="V371" s="92">
        <v>30</v>
      </c>
      <c r="W371" s="69">
        <f>F371*V371</f>
        <v>540</v>
      </c>
      <c r="X371" s="69">
        <v>3</v>
      </c>
      <c r="Y371" s="87">
        <f>AV370</f>
        <v>480</v>
      </c>
      <c r="Z371" s="92" t="s">
        <v>500</v>
      </c>
      <c r="AA371" s="69">
        <f>60*60*24*35</f>
        <v>3024000</v>
      </c>
      <c r="AB371" s="69" t="str">
        <f>IF(AA371&lt;60,"1",IF(AA371&lt;=43200,"2",IF(AA371&lt;=777600,"3","4")))</f>
        <v>4</v>
      </c>
      <c r="AC371" s="72">
        <f>AVERAGE(AV370:DA370)</f>
        <v>1209760</v>
      </c>
      <c r="AD371" s="69" t="str">
        <f>IF(AC371&lt;60,"1",IF(AC371&lt;=43200,"2",IF(AC371&lt;=777600,"3","4")))</f>
        <v>4</v>
      </c>
      <c r="AE371" s="87">
        <f>AA371-Y371</f>
        <v>3023520</v>
      </c>
      <c r="AF371" s="88">
        <f>AV371</f>
        <v>0.43</v>
      </c>
      <c r="AG371" s="72">
        <f>((AW371-AV371)+(AX371-AW371))/2</f>
        <v>-6.5000000000000002E-2</v>
      </c>
      <c r="AH371" s="4"/>
      <c r="AI371" s="72">
        <f>RSQ(AV371:AX371,AV370:AX370)</f>
        <v>0.99896384292171525</v>
      </c>
      <c r="AJ371" s="110">
        <f>SLOPE(AV371:AX371,AV370:AX370)</f>
        <v>-4.2521648564314845E-8</v>
      </c>
      <c r="AK371" s="72">
        <f>INTERCEPT(AV371:AX371,AV370:AX370)</f>
        <v>0.42810765623383223</v>
      </c>
      <c r="AL371" s="72">
        <f>INDEX(LINEST(LN(AV371:AX371),LN(AV370:AX370),TRUE,TRUE),3,1)</f>
        <v>0.60221353663893085</v>
      </c>
      <c r="AM371" s="72">
        <f>INDEX(LINEST(LN(AV371:AX371),LN(AV370:AX370)),1)</f>
        <v>-3.1738159437455275E-2</v>
      </c>
      <c r="AN371" s="72">
        <f>EXP(INDEX(LINEST(LN(AV371:AX371),LN(AV370:AX370)),1,2))</f>
        <v>0.53576656308326864</v>
      </c>
      <c r="AO371" s="89">
        <f>INDEX(LINEST((AV371:AX371),LN(AV370:AX370),TRUE,TRUE),3,1)</f>
        <v>0.63248477587928542</v>
      </c>
      <c r="AP371" s="89">
        <f>INDEX(LINEST((AV371:AX371),LN(AV370:AX370)),1)</f>
        <v>-1.1626024558314118E-2</v>
      </c>
      <c r="AQ371" s="90">
        <f>INDEX(LINEST(LN(AV371:AX371),SQRT(AV370:AX370),TRUE,TRUE),3,1)</f>
        <v>0.93212527487458641</v>
      </c>
      <c r="AR371" s="117">
        <f>INDEX(LINEST(LN(AV371:AX371),SQRT((AV370:AX370))),1)</f>
        <v>-2.1364630091162852E-4</v>
      </c>
      <c r="AS371" s="91">
        <f>INDEX(LINEST(1/(AV371:AX371),1/(SQRT(AV370:AX370)),TRUE,TRUE),3,1)</f>
        <v>0.4150211786050515</v>
      </c>
      <c r="AT371" s="91">
        <f>INDEX(LINEST(1/(AV371:AX371),1/SQRT(AV370:AX370)),1)</f>
        <v>-13.439175394178482</v>
      </c>
      <c r="AU371" s="3"/>
      <c r="AV371" s="73">
        <v>0.43</v>
      </c>
      <c r="AW371" s="73">
        <v>0.4</v>
      </c>
      <c r="AX371" s="73">
        <v>0.3</v>
      </c>
      <c r="AY371" s="53"/>
      <c r="AZ371" s="53"/>
      <c r="BA371" s="53"/>
      <c r="BB371" s="53"/>
      <c r="BC371" s="53"/>
      <c r="BD371" s="53"/>
      <c r="BE371" s="53"/>
      <c r="BF371" s="53"/>
      <c r="BG371" s="53"/>
      <c r="BH371" s="53"/>
      <c r="BI371" s="53"/>
      <c r="BJ371" s="53"/>
      <c r="BK371" s="53"/>
      <c r="BL371" s="53"/>
      <c r="BM371" s="53"/>
      <c r="BN371" s="53"/>
      <c r="BO371" s="53"/>
      <c r="BP371" s="53"/>
      <c r="BQ371" s="53"/>
      <c r="BR371" s="53"/>
      <c r="BS371" s="53"/>
      <c r="BT371" s="53"/>
      <c r="BU371" s="53"/>
      <c r="BV371" s="53"/>
      <c r="BW371" s="53"/>
      <c r="BX371" s="53"/>
      <c r="BY371" s="53"/>
      <c r="BZ371" s="53"/>
      <c r="CA371" s="53"/>
      <c r="CB371" s="53"/>
      <c r="CC371" s="53"/>
      <c r="CD371" s="53"/>
      <c r="CE371" s="53"/>
      <c r="CF371" s="53"/>
      <c r="CG371" s="53"/>
      <c r="CH371" s="53"/>
      <c r="CI371" s="53"/>
      <c r="CJ371" s="53"/>
      <c r="CK371" s="53"/>
      <c r="CL371" s="53"/>
      <c r="CM371" s="53"/>
      <c r="CN371" s="53"/>
      <c r="CO371" s="53"/>
      <c r="CP371" s="53"/>
      <c r="CQ371" s="53"/>
      <c r="CR371" s="1"/>
      <c r="CS371" s="1"/>
      <c r="CT371" s="1"/>
      <c r="CU371" s="1"/>
    </row>
    <row r="372" spans="1:99" s="13" customFormat="1" ht="12" customHeight="1" x14ac:dyDescent="0.2">
      <c r="A372" s="68">
        <v>43906</v>
      </c>
      <c r="B372" s="70"/>
      <c r="C372" s="70"/>
      <c r="D372" s="69"/>
      <c r="E372" s="87"/>
      <c r="F372" s="69"/>
      <c r="G372" s="69"/>
      <c r="H372" s="69"/>
      <c r="I372" s="69"/>
      <c r="J372" s="69"/>
      <c r="K372" s="107"/>
      <c r="L372" s="107"/>
      <c r="M372" s="69"/>
      <c r="N372" s="92"/>
      <c r="O372" s="69"/>
      <c r="P372" s="69"/>
      <c r="Q372" s="69"/>
      <c r="R372" s="69"/>
      <c r="S372" s="69"/>
      <c r="T372" s="92"/>
      <c r="U372" s="69"/>
      <c r="V372" s="92"/>
      <c r="W372" s="69"/>
      <c r="X372" s="69"/>
      <c r="Y372" s="87"/>
      <c r="Z372" s="92"/>
      <c r="AA372" s="69"/>
      <c r="AB372" s="69"/>
      <c r="AC372" s="72"/>
      <c r="AD372" s="69"/>
      <c r="AE372" s="69"/>
      <c r="AF372" s="88"/>
      <c r="AG372" s="72"/>
      <c r="AH372" s="4"/>
      <c r="AI372" s="72"/>
      <c r="AJ372" s="110"/>
      <c r="AK372" s="72"/>
      <c r="AL372" s="72"/>
      <c r="AM372" s="72"/>
      <c r="AN372" s="72"/>
      <c r="AO372" s="72"/>
      <c r="AP372" s="72"/>
      <c r="AQ372" s="72"/>
      <c r="AR372" s="110"/>
      <c r="AS372" s="72"/>
      <c r="AT372" s="72"/>
      <c r="AU372" s="5"/>
      <c r="AV372" s="71">
        <f>8*60</f>
        <v>480</v>
      </c>
      <c r="AW372" s="71">
        <f>60*60*24*7</f>
        <v>604800</v>
      </c>
      <c r="AX372" s="71">
        <f>60*60*24*35</f>
        <v>3024000</v>
      </c>
      <c r="AY372" s="53"/>
      <c r="AZ372" s="53"/>
      <c r="BA372" s="53"/>
      <c r="BB372" s="53"/>
      <c r="BC372" s="53"/>
      <c r="BD372" s="53"/>
      <c r="BE372" s="53"/>
      <c r="BF372" s="53"/>
      <c r="BG372" s="53"/>
      <c r="BH372" s="53"/>
      <c r="BI372" s="53"/>
      <c r="BJ372" s="53"/>
      <c r="BK372" s="53"/>
      <c r="BL372" s="53"/>
      <c r="BM372" s="53"/>
      <c r="BN372" s="53"/>
      <c r="BO372" s="53"/>
      <c r="BP372" s="53"/>
      <c r="BQ372" s="53"/>
      <c r="BR372" s="53"/>
      <c r="BS372" s="53"/>
      <c r="BT372" s="53"/>
      <c r="BU372" s="53"/>
      <c r="BV372" s="53"/>
      <c r="BW372" s="53"/>
      <c r="BX372" s="53"/>
      <c r="BY372" s="53"/>
      <c r="BZ372" s="53"/>
      <c r="CA372" s="53"/>
      <c r="CB372" s="53"/>
      <c r="CC372" s="53"/>
      <c r="CD372" s="53"/>
      <c r="CE372" s="53"/>
      <c r="CF372" s="53"/>
      <c r="CG372" s="53"/>
      <c r="CH372" s="53"/>
      <c r="CI372" s="53"/>
      <c r="CJ372" s="53"/>
      <c r="CK372" s="53"/>
      <c r="CL372" s="53"/>
      <c r="CM372" s="53"/>
      <c r="CN372" s="53"/>
      <c r="CO372" s="53"/>
      <c r="CP372" s="53"/>
      <c r="CQ372" s="53"/>
      <c r="CR372" s="1"/>
      <c r="CS372" s="1"/>
      <c r="CT372" s="1"/>
      <c r="CU372" s="1"/>
    </row>
    <row r="373" spans="1:99" s="13" customFormat="1" ht="12" customHeight="1" x14ac:dyDescent="0.2">
      <c r="A373" s="68">
        <v>43906</v>
      </c>
      <c r="B373" s="70" t="s">
        <v>498</v>
      </c>
      <c r="C373" s="70" t="s">
        <v>499</v>
      </c>
      <c r="D373" s="69">
        <v>1985</v>
      </c>
      <c r="E373" s="87">
        <v>2</v>
      </c>
      <c r="F373" s="69">
        <v>48</v>
      </c>
      <c r="G373" s="69">
        <v>48</v>
      </c>
      <c r="H373" s="69" t="s">
        <v>41</v>
      </c>
      <c r="I373" s="69" t="s">
        <v>722</v>
      </c>
      <c r="J373" s="69" t="s">
        <v>16</v>
      </c>
      <c r="K373" s="69">
        <f>IF(J373="syllables",1,IF(J373="trigrams",2,IF(J373="strings",3,IF(J373="visual array",4,IF(J373="characters",5,IF(J373="letters",6,IF(J373="free forms",7,IF(J373="odors",8,IF(J373="words",9,IF(J373="pictures",10,IF(J373="object pictures",11,IF(J373="faces",12,IF(J373="names",13,IF(J373="idioms",14,IF(J373="grades",15,IF(J373="syllable-digit pairs",16,IF(J373="trigram-word pairs",17,IF(J373="word-digit pairs",18,IF(J373="English-Swahili pairs",19,IF(J373="spatial position",20,IF(J373="word pairs",21,IF(J373="word triads",22,IF(J373="generated words",23,IF(J373="word definition pairs",24,IF(J373="math problems",25,IF(J373="famous faces",26,IF(J373="famous names",27,IF(J373="famous voices",28,IF(J373="television programs",29,IF(J373="race horses",30,IF(J373="new vocabulary",31,IF(J373="sentences",32,IF(J373="concepts",33,IF(J373="ad slides",34,IF(J373="scenes",35,IF(J373="famous scenes",36,IF(J373="poems",37,IF(J373="walk",38,IF(J373="faces and events",39,IF(J373="events and names",40,IF(J373="flashbulb",41,IF(J373="stories",42,IF(J373="course material",43,IF(J373="autobiographical",44,IF(J373="novels",45,IF(J373="public events",46,"99"))))))))))))))))))))))))))))))))))))))))))))))</f>
        <v>9</v>
      </c>
      <c r="L373" s="69">
        <f>IF(J373="syllables",1,IF(J373="trigrams",1,IF(J373="strings",1,IF(J373="visual array",1,IF(J373="characters",1,IF(J373="letters",1,IF(J373="free forms",1,IF(J373="odors",2,IF(J373="words",2,IF(J373="pictures",2,IF(J373="object pictures",2,IF(J373="faces",2,IF(J373="names",2,IF(J373="idioms","2",IF(J373="grades",2,IF(J373="syllable-digit pairs",3,IF(J373="trigram-word pairs",3,IF(J373="word-digit pairs",3,IF(J373="English-Swahili pairs",3,IF(J373="spatial position",3,IF(J373="word pairs",4,IF(J373="word triads",4,IF(J373="generated words",4,IF(J373="word definition pairs",4,IF(J373="math problems",4,IF(J373="famous faces",4,IF(J373="famous names",4,IF(J373="famous voices",4,IF(J373="television programs",4,IF(J373="race horses",4,IF(J373="new vocabulary",4,IF(J373="sentences",5,IF(J373="concepts",5,IF(J373="ad slides",5,IF(J373="scenes",5,IF(J373="famous scenes",5,IF(J373="poems",6,IF(J373="walk",6,IF(J373="faces and events",6,IF(J373="events and names",6,IF(J373="flashbulb",7,IF(J373="stories",7,IF(J373="course material",7,IF(J373="autobiographical",7,IF(J373="novels",7,IF(J373="public events",7,"99"))))))))))))))))))))))))))))))))))))))))))))))</f>
        <v>2</v>
      </c>
      <c r="M373" s="69">
        <v>0</v>
      </c>
      <c r="N373" s="69">
        <v>1</v>
      </c>
      <c r="O373" s="69">
        <v>0</v>
      </c>
      <c r="P373" s="69"/>
      <c r="Q373" s="69" t="s">
        <v>125</v>
      </c>
      <c r="R373" s="69">
        <f>IF(Q373="Free Recall",1,IF(Q373="Cued Recall",2,IF(Q373="Recognition",3,IF(Q373="Multiple Choice",4,IF(Q373="Savings",5,IF(Q373="Stem Completion",6,IF(Q373="Fragment Completion",7,IF(Q373="anagram solution",8,IF(Q373="Matching",9,IF(Q373="Problem Solving",10,"99"))))))))))</f>
        <v>7</v>
      </c>
      <c r="S373" s="69" t="s">
        <v>15</v>
      </c>
      <c r="T373" s="92" t="s">
        <v>581</v>
      </c>
      <c r="U373" s="69">
        <f>IF(T373="within",1,0)</f>
        <v>1</v>
      </c>
      <c r="V373" s="92">
        <v>25</v>
      </c>
      <c r="W373" s="69">
        <f>F373*V373</f>
        <v>1200</v>
      </c>
      <c r="X373" s="69">
        <v>3</v>
      </c>
      <c r="Y373" s="87">
        <f>AV372</f>
        <v>480</v>
      </c>
      <c r="Z373" s="92" t="s">
        <v>500</v>
      </c>
      <c r="AA373" s="69">
        <f>60*60*24*35</f>
        <v>3024000</v>
      </c>
      <c r="AB373" s="69" t="str">
        <f>IF(AA373&lt;60,"1",IF(AA373&lt;=43200,"2",IF(AA373&lt;=777600,"3","4")))</f>
        <v>4</v>
      </c>
      <c r="AC373" s="72">
        <f>AVERAGE(AV372:DA372)</f>
        <v>1209760</v>
      </c>
      <c r="AD373" s="69" t="str">
        <f>IF(AC373&lt;60,"1",IF(AC373&lt;=43200,"2",IF(AC373&lt;=777600,"3","4")))</f>
        <v>4</v>
      </c>
      <c r="AE373" s="87">
        <f>AA373-Y373</f>
        <v>3023520</v>
      </c>
      <c r="AF373" s="88">
        <f>AV373</f>
        <v>0.42</v>
      </c>
      <c r="AG373" s="72">
        <f>((AW373-AV373)+(AX373-AW373))/2</f>
        <v>-1.999999999999999E-2</v>
      </c>
      <c r="AH373" s="4"/>
      <c r="AI373" s="72">
        <f>RSQ(AV373:AX373,AV372:AX372)</f>
        <v>0.99723902353386551</v>
      </c>
      <c r="AJ373" s="110">
        <f>SLOPE(AV373:AX373,AV372:AX372)</f>
        <v>-1.2992691226638849E-8</v>
      </c>
      <c r="AK373" s="72">
        <f>INTERCEPT(AV373:AX373,AV372:AX372)</f>
        <v>0.41905137147167193</v>
      </c>
      <c r="AL373" s="72">
        <f>INDEX(LINEST(LN(AV373:AX373),LN(AV372:AX372),TRUE,TRUE),3,1)</f>
        <v>0.64264585833138443</v>
      </c>
      <c r="AM373" s="72">
        <f>INDEX(LINEST(LN(AV373:AX373),LN(AV372:AX372)),1)</f>
        <v>-8.9931235466484474E-3</v>
      </c>
      <c r="AN373" s="72">
        <f>EXP(INDEX(LINEST(LN(AV373:AX373),LN(AV372:AX372)),1,2))</f>
        <v>0.44675384578066613</v>
      </c>
      <c r="AO373" s="89">
        <f>INDEX(LINEST((AV373:AX373),LN(AV372:AX372),TRUE,TRUE),3,1)</f>
        <v>0.652015370606846</v>
      </c>
      <c r="AP373" s="89">
        <f>INDEX(LINEST((AV373:AX373),LN(AV372:AX372)),1)</f>
        <v>-3.6099350721369178E-3</v>
      </c>
      <c r="AQ373" s="90">
        <f>INDEX(LINEST(LN(AV373:AX373),SQRT(AV372:AX372),TRUE,TRUE),3,1)</f>
        <v>0.95158362210662173</v>
      </c>
      <c r="AR373" s="117">
        <f>INDEX(LINEST(LN(AV373:AX373),SQRT((AV372:AX372))),1)</f>
        <v>-5.9210664841435022E-5</v>
      </c>
      <c r="AS373" s="91">
        <f>INDEX(LINEST(1/(AV373:AX373),1/(SQRT(AV372:AX372)),TRUE,TRUE),3,1)</f>
        <v>0.47515490986818776</v>
      </c>
      <c r="AT373" s="91">
        <f>INDEX(LINEST(1/(AV373:AX373),1/SQRT(AV372:AX372)),1)</f>
        <v>-3.502674428852393</v>
      </c>
      <c r="AU373" s="3"/>
      <c r="AV373" s="73">
        <v>0.42</v>
      </c>
      <c r="AW373" s="73">
        <v>0.41</v>
      </c>
      <c r="AX373" s="73">
        <v>0.38</v>
      </c>
      <c r="AY373" s="53"/>
      <c r="AZ373" s="53"/>
      <c r="BA373" s="53"/>
      <c r="BB373" s="53"/>
      <c r="BC373" s="53"/>
      <c r="BD373" s="53"/>
      <c r="BE373" s="53"/>
      <c r="BF373" s="53"/>
      <c r="BG373" s="53"/>
      <c r="BH373" s="53"/>
      <c r="BI373" s="53"/>
      <c r="BJ373" s="53"/>
      <c r="BK373" s="53"/>
      <c r="BL373" s="53"/>
      <c r="BM373" s="53"/>
      <c r="BN373" s="53"/>
      <c r="BO373" s="53"/>
      <c r="BP373" s="53"/>
      <c r="BQ373" s="53"/>
      <c r="BR373" s="53"/>
      <c r="BS373" s="53"/>
      <c r="BT373" s="53"/>
      <c r="BU373" s="53"/>
      <c r="BV373" s="53"/>
      <c r="BW373" s="53"/>
      <c r="BX373" s="53"/>
      <c r="BY373" s="53"/>
      <c r="BZ373" s="53"/>
      <c r="CA373" s="53"/>
      <c r="CB373" s="53"/>
      <c r="CC373" s="53"/>
      <c r="CD373" s="53"/>
      <c r="CE373" s="53"/>
      <c r="CF373" s="53"/>
      <c r="CG373" s="53"/>
      <c r="CH373" s="53"/>
      <c r="CI373" s="53"/>
      <c r="CJ373" s="53"/>
      <c r="CK373" s="53"/>
      <c r="CL373" s="53"/>
      <c r="CM373" s="53"/>
      <c r="CN373" s="53"/>
      <c r="CO373" s="53"/>
      <c r="CP373" s="53"/>
      <c r="CQ373" s="53"/>
      <c r="CR373" s="1"/>
      <c r="CS373" s="1"/>
      <c r="CT373" s="1"/>
      <c r="CU373" s="1"/>
    </row>
    <row r="374" spans="1:99" s="13" customFormat="1" ht="12" customHeight="1" x14ac:dyDescent="0.2">
      <c r="A374" s="65">
        <v>43896</v>
      </c>
      <c r="B374" s="1"/>
      <c r="C374" s="1"/>
      <c r="D374" s="60"/>
      <c r="E374" s="76"/>
      <c r="F374" s="60"/>
      <c r="G374" s="60"/>
      <c r="H374" s="60"/>
      <c r="I374" s="60"/>
      <c r="J374" s="60"/>
      <c r="K374" s="64"/>
      <c r="L374" s="64"/>
      <c r="M374" s="60"/>
      <c r="N374" s="59"/>
      <c r="O374" s="60"/>
      <c r="P374" s="60"/>
      <c r="Q374" s="60"/>
      <c r="R374" s="60"/>
      <c r="S374" s="60"/>
      <c r="T374" s="60"/>
      <c r="U374" s="60"/>
      <c r="V374" s="60"/>
      <c r="W374" s="60"/>
      <c r="X374" s="60"/>
      <c r="Y374" s="76"/>
      <c r="Z374" s="59"/>
      <c r="AA374" s="59"/>
      <c r="AB374" s="60"/>
      <c r="AC374" s="56"/>
      <c r="AD374" s="60"/>
      <c r="AE374" s="60"/>
      <c r="AF374" s="80"/>
      <c r="AG374" s="56"/>
      <c r="AH374" s="4"/>
      <c r="AI374" s="56"/>
      <c r="AJ374" s="109"/>
      <c r="AK374" s="56"/>
      <c r="AL374" s="56"/>
      <c r="AM374" s="56"/>
      <c r="AN374" s="56"/>
      <c r="AO374" s="82"/>
      <c r="AP374" s="82"/>
      <c r="AQ374" s="83"/>
      <c r="AR374" s="116"/>
      <c r="AS374" s="84"/>
      <c r="AT374" s="84"/>
      <c r="AU374" s="3"/>
      <c r="AV374" s="25">
        <v>315360000</v>
      </c>
      <c r="AW374" s="25">
        <v>630720000</v>
      </c>
      <c r="AX374" s="25">
        <v>646080000</v>
      </c>
      <c r="AY374" s="25">
        <v>12614400000</v>
      </c>
      <c r="AZ374" s="25">
        <v>1576800000</v>
      </c>
      <c r="BA374" s="53"/>
      <c r="BB374" s="53"/>
      <c r="BC374" s="53"/>
      <c r="BD374" s="53"/>
      <c r="BE374" s="53"/>
      <c r="BF374" s="53"/>
      <c r="BG374" s="53"/>
      <c r="BH374" s="53"/>
      <c r="BI374" s="53"/>
      <c r="BJ374" s="53"/>
      <c r="BK374" s="53"/>
      <c r="BL374" s="53"/>
      <c r="BM374" s="53"/>
      <c r="BN374" s="53"/>
      <c r="BO374" s="53"/>
      <c r="BP374" s="53"/>
      <c r="BQ374" s="53"/>
      <c r="BR374" s="53"/>
      <c r="BS374" s="53"/>
      <c r="BT374" s="53"/>
      <c r="BU374" s="53"/>
      <c r="BV374" s="53"/>
      <c r="BW374" s="53"/>
      <c r="BX374" s="53"/>
      <c r="BY374" s="53"/>
      <c r="BZ374" s="53"/>
      <c r="CA374" s="53"/>
      <c r="CB374" s="53"/>
      <c r="CC374" s="53"/>
      <c r="CD374" s="53"/>
      <c r="CE374" s="53"/>
      <c r="CF374" s="53"/>
      <c r="CG374" s="53"/>
      <c r="CH374" s="53"/>
      <c r="CI374" s="53"/>
      <c r="CJ374" s="53"/>
      <c r="CK374" s="53"/>
      <c r="CL374" s="53"/>
      <c r="CM374" s="53"/>
      <c r="CN374" s="53"/>
      <c r="CO374" s="53"/>
      <c r="CP374" s="53"/>
      <c r="CQ374" s="53"/>
      <c r="CR374" s="1"/>
      <c r="CS374" s="1"/>
      <c r="CT374" s="1"/>
      <c r="CU374" s="1"/>
    </row>
    <row r="375" spans="1:99" s="13" customFormat="1" ht="12" customHeight="1" x14ac:dyDescent="0.2">
      <c r="A375" s="65">
        <v>43896</v>
      </c>
      <c r="B375" s="1" t="s">
        <v>358</v>
      </c>
      <c r="C375" s="1" t="s">
        <v>54</v>
      </c>
      <c r="D375" s="60">
        <v>1989</v>
      </c>
      <c r="E375" s="76">
        <v>1</v>
      </c>
      <c r="F375" s="60">
        <v>16</v>
      </c>
      <c r="G375" s="60">
        <v>16</v>
      </c>
      <c r="H375" s="60" t="s">
        <v>41</v>
      </c>
      <c r="I375" s="60" t="s">
        <v>330</v>
      </c>
      <c r="J375" s="60" t="s">
        <v>340</v>
      </c>
      <c r="K375" s="60">
        <f>IF(J375="syllables",1,IF(J375="trigrams",2,IF(J375="strings",3,IF(J375="visual array",4,IF(J375="characters",5,IF(J375="letters",6,IF(J375="free forms",7,IF(J375="odors",8,IF(J375="words",9,IF(J375="pictures",10,IF(J375="object pictures",11,IF(J375="faces",12,IF(J375="names",13,IF(J375="idioms",14,IF(J375="grades",15,IF(J375="syllable-digit pairs",16,IF(J375="trigram-word pairs",17,IF(J375="word-digit pairs",18,IF(J375="English-Swahili pairs",19,IF(J375="spatial position",20,IF(J375="word pairs",21,IF(J375="word triads",22,IF(J375="generated words",23,IF(J375="word definition pairs",24,IF(J375="math problems",25,IF(J375="famous faces",26,IF(J375="famous names",27,IF(J375="famous voices",28,IF(J375="television programs",29,IF(J375="race horses",30,IF(J375="new vocabulary",31,IF(J375="sentences",32,IF(J375="concepts",33,IF(J375="ad slides",34,IF(J375="scenes",35,IF(J375="famous scenes",36,IF(J375="poems",37,IF(J375="walk",38,IF(J375="faces and events",39,IF(J375="events and names",40,IF(J375="flashbulb",41,IF(J375="stories",42,IF(J375="course material",43,IF(J375="autobiographical",44,IF(J375="novels",45,IF(J375="public events",46,"99"))))))))))))))))))))))))))))))))))))))))))))))</f>
        <v>46</v>
      </c>
      <c r="L375" s="60">
        <f>IF(J375="syllables",1,IF(J375="trigrams",1,IF(J375="strings",1,IF(J375="visual array",1,IF(J375="characters",1,IF(J375="letters",1,IF(J375="free forms",1,IF(J375="odors",2,IF(J375="words",2,IF(J375="pictures",2,IF(J375="object pictures",2,IF(J375="faces",2,IF(J375="names",2,IF(J375="idioms","2",IF(J375="grades",2,IF(J375="syllable-digit pairs",3,IF(J375="trigram-word pairs",3,IF(J375="word-digit pairs",3,IF(J375="English-Swahili pairs",3,IF(J375="spatial position",3,IF(J375="word pairs",4,IF(J375="word triads",4,IF(J375="generated words",4,IF(J375="word definition pairs",4,IF(J375="math problems",4,IF(J375="famous faces",4,IF(J375="famous names",4,IF(J375="famous voices",4,IF(J375="television programs",4,IF(J375="race horses",4,IF(J375="new vocabulary",4,IF(J375="sentences",5,IF(J375="concepts",5,IF(J375="ad slides",5,IF(J375="scenes",5,IF(J375="famous scenes",5,IF(J375="poems",6,IF(J375="walk",6,IF(J375="faces and events",6,IF(J375="events and names",6,IF(J375="flashbulb",7,IF(J375="stories",7,IF(J375="course material",7,IF(J375="autobiographical",7,IF(J375="novels",7,IF(J375="public events",7,"99"))))))))))))))))))))))))))))))))))))))))))))))</f>
        <v>7</v>
      </c>
      <c r="M375" s="60">
        <v>1</v>
      </c>
      <c r="N375" s="59">
        <v>4</v>
      </c>
      <c r="O375" s="60">
        <v>0</v>
      </c>
      <c r="P375" s="60"/>
      <c r="Q375" s="60" t="s">
        <v>174</v>
      </c>
      <c r="R375" s="60">
        <f>IF(Q375="Free Recall",1,IF(Q375="Cued Recall",2,IF(Q375="Recognition",3,IF(Q375="Multiple Choice",4,IF(Q375="Savings",5,IF(Q375="Stem Completion",6,IF(Q375="Fragment Completion",7,IF(Q375="anagram solution",8,IF(Q375="Matching",9,IF(Q375="Problem Solving",10,"99"))))))))))</f>
        <v>1</v>
      </c>
      <c r="S375" s="60" t="s">
        <v>49</v>
      </c>
      <c r="T375" s="59" t="s">
        <v>581</v>
      </c>
      <c r="U375" s="60">
        <f>IF(T375="within",1,0)</f>
        <v>1</v>
      </c>
      <c r="V375" s="59">
        <v>50</v>
      </c>
      <c r="W375" s="60">
        <f>F375*V375</f>
        <v>800</v>
      </c>
      <c r="X375" s="60">
        <v>5</v>
      </c>
      <c r="Y375" s="76">
        <f>AV374</f>
        <v>315360000</v>
      </c>
      <c r="Z375" s="59" t="s">
        <v>209</v>
      </c>
      <c r="AA375" s="60">
        <f>50*365*24*60*60</f>
        <v>1576800000</v>
      </c>
      <c r="AB375" s="60" t="str">
        <f>IF(AA375&lt;60,"1",IF(AA375&lt;=43200,"2",IF(AA375&lt;=777600,"3","4")))</f>
        <v>4</v>
      </c>
      <c r="AC375" s="56">
        <f>AVERAGE(AV374:DA374)</f>
        <v>3156672000</v>
      </c>
      <c r="AD375" s="60" t="str">
        <f>IF(AC375&lt;60,"1",IF(AC375&lt;=43200,"2",IF(AC375&lt;=777600,"3","4")))</f>
        <v>4</v>
      </c>
      <c r="AE375" s="76">
        <f>AA375-Y375</f>
        <v>1261440000</v>
      </c>
      <c r="AF375" s="80">
        <f>AV375</f>
        <v>0.66666666666666674</v>
      </c>
      <c r="AG375" s="56">
        <f>((AW375-AV375)+(AX375-AW375)+(AY375-AX375)+(AZ375-AY375))/4</f>
        <v>-2.6041666666666657E-2</v>
      </c>
      <c r="AH375" s="4"/>
      <c r="AI375" s="56">
        <f>RSQ(AV375:AZ375,AV374:AZ374)</f>
        <v>0.34108354806196128</v>
      </c>
      <c r="AJ375" s="109">
        <f>SLOPE(AV375:AZ375,AV374:AZ374)</f>
        <v>-5.9162530680544804E-12</v>
      </c>
      <c r="AK375" s="56">
        <f>INTERCEPT(AV375:AZ375,AV374:AZ374)</f>
        <v>0.59466773389690519</v>
      </c>
      <c r="AL375" s="56">
        <f>INDEX(LINEST(LN(AV375:AZ375),LN(AV374:AZ374),TRUE,TRUE),3,1)</f>
        <v>0.59628035336701501</v>
      </c>
      <c r="AM375" s="56">
        <f>INDEX(LINEST(LN(AV375:AZ375),LN(AV374:AZ374)),1)</f>
        <v>-4.8463934323627805E-2</v>
      </c>
      <c r="AN375" s="56">
        <f>EXP(INDEX(LINEST(LN(AV375:AZ375),LN(AV374:AZ374)),1,2))</f>
        <v>1.5816294583612749</v>
      </c>
      <c r="AO375" s="82">
        <f>INDEX(LINEST((AV375:AZ375),LN(AV374:AZ374),TRUE,TRUE),3,1)</f>
        <v>0.56639905020568171</v>
      </c>
      <c r="AP375" s="82">
        <f>INDEX(LINEST((AV375:AZ375),LN(AV374:AZ374)),1)</f>
        <v>-2.8278391475438095E-2</v>
      </c>
      <c r="AQ375" s="83">
        <f>INDEX(LINEST(LN(AV375:AZ375),SQRT(AV374:AZ374),TRUE,TRUE),3,1)</f>
        <v>0.44985289340621376</v>
      </c>
      <c r="AR375" s="116">
        <f>INDEX(LINEST(LN(AV375:AZ375),SQRT((AV374:AZ374))),1)</f>
        <v>-1.545665415309348E-6</v>
      </c>
      <c r="AS375" s="84">
        <f>INDEX(LINEST(1/(AV375:AZ375),1/(SQRT(AV374:AZ374)),TRUE,TRUE),3,1)</f>
        <v>0.7861401864935218</v>
      </c>
      <c r="AT375" s="84">
        <f>INDEX(LINEST(1/(AV375:AZ375),1/SQRT(AV374:AZ374)),1)</f>
        <v>-7514.0184880640663</v>
      </c>
      <c r="AU375" s="3"/>
      <c r="AV375" s="53">
        <v>0.66666666666666674</v>
      </c>
      <c r="AW375" s="53">
        <v>0.55555555555555558</v>
      </c>
      <c r="AX375" s="53">
        <v>0.5714285714285714</v>
      </c>
      <c r="AY375" s="53">
        <v>0.52380952380952384</v>
      </c>
      <c r="AZ375" s="53">
        <v>0.56250000000000011</v>
      </c>
      <c r="BA375" s="53"/>
      <c r="BB375" s="53"/>
      <c r="BC375" s="53"/>
      <c r="BD375" s="53"/>
      <c r="BE375" s="53"/>
      <c r="BF375" s="53"/>
      <c r="BG375" s="53"/>
      <c r="BH375" s="53"/>
      <c r="BI375" s="53"/>
      <c r="BJ375" s="53"/>
      <c r="BK375" s="53"/>
      <c r="BL375" s="53"/>
      <c r="BM375" s="53"/>
      <c r="BN375" s="53"/>
      <c r="BO375" s="53"/>
      <c r="BP375" s="53"/>
      <c r="BQ375" s="53"/>
      <c r="BR375" s="53"/>
      <c r="BS375" s="53"/>
      <c r="BT375" s="53"/>
      <c r="BU375" s="53"/>
      <c r="BV375" s="53"/>
      <c r="BW375" s="53"/>
      <c r="BX375" s="53"/>
      <c r="BY375" s="53"/>
      <c r="BZ375" s="53"/>
      <c r="CA375" s="53"/>
      <c r="CB375" s="53"/>
      <c r="CC375" s="53"/>
      <c r="CD375" s="53"/>
      <c r="CE375" s="53"/>
      <c r="CF375" s="53"/>
      <c r="CG375" s="53"/>
      <c r="CH375" s="53"/>
      <c r="CI375" s="53"/>
      <c r="CJ375" s="53"/>
      <c r="CK375" s="53"/>
      <c r="CL375" s="53"/>
      <c r="CM375" s="53"/>
      <c r="CN375" s="53"/>
      <c r="CO375" s="53"/>
      <c r="CP375" s="53"/>
      <c r="CQ375" s="53"/>
      <c r="CR375" s="1"/>
      <c r="CS375" s="1"/>
      <c r="CT375" s="1"/>
      <c r="CU375" s="1"/>
    </row>
    <row r="376" spans="1:99" s="13" customFormat="1" ht="12" customHeight="1" x14ac:dyDescent="0.2">
      <c r="A376" s="65">
        <v>43896</v>
      </c>
      <c r="B376" s="1"/>
      <c r="C376" s="1"/>
      <c r="D376" s="60"/>
      <c r="E376" s="76"/>
      <c r="F376" s="60"/>
      <c r="G376" s="60"/>
      <c r="H376" s="60"/>
      <c r="I376" s="60"/>
      <c r="J376" s="60"/>
      <c r="K376" s="64"/>
      <c r="L376" s="64"/>
      <c r="M376" s="60"/>
      <c r="N376" s="59"/>
      <c r="O376" s="60"/>
      <c r="P376" s="60"/>
      <c r="Q376" s="60"/>
      <c r="R376" s="60"/>
      <c r="S376" s="60"/>
      <c r="T376" s="60"/>
      <c r="U376" s="60"/>
      <c r="V376" s="60"/>
      <c r="W376" s="60"/>
      <c r="X376" s="60"/>
      <c r="Y376" s="76"/>
      <c r="Z376" s="59"/>
      <c r="AA376" s="59"/>
      <c r="AB376" s="60"/>
      <c r="AC376" s="56"/>
      <c r="AD376" s="60"/>
      <c r="AE376" s="60"/>
      <c r="AF376" s="80"/>
      <c r="AG376" s="56"/>
      <c r="AH376" s="4"/>
      <c r="AI376" s="56"/>
      <c r="AJ376" s="109"/>
      <c r="AK376" s="56"/>
      <c r="AL376" s="56"/>
      <c r="AM376" s="56"/>
      <c r="AN376" s="56"/>
      <c r="AO376" s="82"/>
      <c r="AP376" s="82"/>
      <c r="AQ376" s="83"/>
      <c r="AR376" s="116"/>
      <c r="AS376" s="84"/>
      <c r="AT376" s="84"/>
      <c r="AU376" s="3"/>
      <c r="AV376" s="25">
        <v>315360000</v>
      </c>
      <c r="AW376" s="25">
        <v>630720000</v>
      </c>
      <c r="AX376" s="25">
        <v>646080000</v>
      </c>
      <c r="AY376" s="25">
        <v>12614400000</v>
      </c>
      <c r="AZ376" s="25">
        <v>1576800000</v>
      </c>
      <c r="BA376" s="53"/>
      <c r="BB376" s="53"/>
      <c r="BC376" s="53"/>
      <c r="BD376" s="53"/>
      <c r="BE376" s="53"/>
      <c r="BF376" s="53"/>
      <c r="BG376" s="53"/>
      <c r="BH376" s="53"/>
      <c r="BI376" s="53"/>
      <c r="BJ376" s="53"/>
      <c r="BK376" s="53"/>
      <c r="BL376" s="53"/>
      <c r="BM376" s="53"/>
      <c r="BN376" s="53"/>
      <c r="BO376" s="53"/>
      <c r="BP376" s="53"/>
      <c r="BQ376" s="53"/>
      <c r="BR376" s="53"/>
      <c r="BS376" s="53"/>
      <c r="BT376" s="53"/>
      <c r="BU376" s="53"/>
      <c r="BV376" s="53"/>
      <c r="BW376" s="53"/>
      <c r="BX376" s="53"/>
      <c r="BY376" s="53"/>
      <c r="BZ376" s="53"/>
      <c r="CA376" s="53"/>
      <c r="CB376" s="53"/>
      <c r="CC376" s="53"/>
      <c r="CD376" s="53"/>
      <c r="CE376" s="53"/>
      <c r="CF376" s="53"/>
      <c r="CG376" s="53"/>
      <c r="CH376" s="53"/>
      <c r="CI376" s="53"/>
      <c r="CJ376" s="53"/>
      <c r="CK376" s="53"/>
      <c r="CL376" s="53"/>
      <c r="CM376" s="53"/>
      <c r="CN376" s="53"/>
      <c r="CO376" s="53"/>
      <c r="CP376" s="53"/>
      <c r="CQ376" s="53"/>
      <c r="CR376" s="1"/>
      <c r="CS376" s="1"/>
      <c r="CT376" s="1"/>
      <c r="CU376" s="1"/>
    </row>
    <row r="377" spans="1:99" s="13" customFormat="1" ht="12" customHeight="1" x14ac:dyDescent="0.2">
      <c r="A377" s="65">
        <v>43896</v>
      </c>
      <c r="B377" s="1" t="s">
        <v>358</v>
      </c>
      <c r="C377" s="1" t="s">
        <v>54</v>
      </c>
      <c r="D377" s="60">
        <v>1989</v>
      </c>
      <c r="E377" s="76">
        <v>1</v>
      </c>
      <c r="F377" s="60">
        <v>16</v>
      </c>
      <c r="G377" s="60">
        <v>16</v>
      </c>
      <c r="H377" s="60" t="s">
        <v>17</v>
      </c>
      <c r="I377" s="60" t="s">
        <v>330</v>
      </c>
      <c r="J377" s="60" t="s">
        <v>340</v>
      </c>
      <c r="K377" s="60">
        <f>IF(J377="syllables",1,IF(J377="trigrams",2,IF(J377="strings",3,IF(J377="visual array",4,IF(J377="characters",5,IF(J377="letters",6,IF(J377="free forms",7,IF(J377="odors",8,IF(J377="words",9,IF(J377="pictures",10,IF(J377="object pictures",11,IF(J377="faces",12,IF(J377="names",13,IF(J377="idioms",14,IF(J377="grades",15,IF(J377="syllable-digit pairs",16,IF(J377="trigram-word pairs",17,IF(J377="word-digit pairs",18,IF(J377="English-Swahili pairs",19,IF(J377="spatial position",20,IF(J377="word pairs",21,IF(J377="word triads",22,IF(J377="generated words",23,IF(J377="word definition pairs",24,IF(J377="math problems",25,IF(J377="famous faces",26,IF(J377="famous names",27,IF(J377="famous voices",28,IF(J377="television programs",29,IF(J377="race horses",30,IF(J377="new vocabulary",31,IF(J377="sentences",32,IF(J377="concepts",33,IF(J377="ad slides",34,IF(J377="scenes",35,IF(J377="famous scenes",36,IF(J377="poems",37,IF(J377="walk",38,IF(J377="faces and events",39,IF(J377="events and names",40,IF(J377="flashbulb",41,IF(J377="stories",42,IF(J377="course material",43,IF(J377="autobiographical",44,IF(J377="novels",45,IF(J377="public events",46,"99"))))))))))))))))))))))))))))))))))))))))))))))</f>
        <v>46</v>
      </c>
      <c r="L377" s="60">
        <f>IF(J377="syllables",1,IF(J377="trigrams",1,IF(J377="strings",1,IF(J377="visual array",1,IF(J377="characters",1,IF(J377="letters",1,IF(J377="free forms",1,IF(J377="odors",2,IF(J377="words",2,IF(J377="pictures",2,IF(J377="object pictures",2,IF(J377="faces",2,IF(J377="names",2,IF(J377="idioms","2",IF(J377="grades",2,IF(J377="syllable-digit pairs",3,IF(J377="trigram-word pairs",3,IF(J377="word-digit pairs",3,IF(J377="English-Swahili pairs",3,IF(J377="spatial position",3,IF(J377="word pairs",4,IF(J377="word triads",4,IF(J377="generated words",4,IF(J377="word definition pairs",4,IF(J377="math problems",4,IF(J377="famous faces",4,IF(J377="famous names",4,IF(J377="famous voices",4,IF(J377="television programs",4,IF(J377="race horses",4,IF(J377="new vocabulary",4,IF(J377="sentences",5,IF(J377="concepts",5,IF(J377="ad slides",5,IF(J377="scenes",5,IF(J377="famous scenes",5,IF(J377="poems",6,IF(J377="walk",6,IF(J377="faces and events",6,IF(J377="events and names",6,IF(J377="flashbulb",7,IF(J377="stories",7,IF(J377="course material",7,IF(J377="autobiographical",7,IF(J377="novels",7,IF(J377="public events",7,"99"))))))))))))))))))))))))))))))))))))))))))))))</f>
        <v>7</v>
      </c>
      <c r="M377" s="60">
        <v>1</v>
      </c>
      <c r="N377" s="59">
        <v>4</v>
      </c>
      <c r="O377" s="60">
        <v>0</v>
      </c>
      <c r="P377" s="60"/>
      <c r="Q377" s="60" t="s">
        <v>182</v>
      </c>
      <c r="R377" s="60">
        <f>IF(Q377="Free Recall",1,IF(Q377="Cued Recall",2,IF(Q377="Recognition",3,IF(Q377="Multiple Choice",4,IF(Q377="Savings",5,IF(Q377="Stem Completion",6,IF(Q377="Fragment Completion",7,IF(Q377="anagram solution",8,IF(Q377="Matching",9,IF(Q377="Problem Solving",10,"99"))))))))))</f>
        <v>4</v>
      </c>
      <c r="S377" s="60" t="s">
        <v>15</v>
      </c>
      <c r="T377" s="59" t="s">
        <v>581</v>
      </c>
      <c r="U377" s="60">
        <f>IF(T377="within",1,0)</f>
        <v>1</v>
      </c>
      <c r="V377" s="59">
        <v>50</v>
      </c>
      <c r="W377" s="60">
        <f>F377*V377</f>
        <v>800</v>
      </c>
      <c r="X377" s="60">
        <v>5</v>
      </c>
      <c r="Y377" s="76">
        <f>AV376</f>
        <v>315360000</v>
      </c>
      <c r="Z377" s="59" t="s">
        <v>209</v>
      </c>
      <c r="AA377" s="60">
        <f>50*365*24*60*60</f>
        <v>1576800000</v>
      </c>
      <c r="AB377" s="60" t="str">
        <f>IF(AA377&lt;60,"1",IF(AA377&lt;=43200,"2",IF(AA377&lt;=777600,"3","4")))</f>
        <v>4</v>
      </c>
      <c r="AC377" s="56">
        <f>AVERAGE(AV376:DA376)</f>
        <v>3156672000</v>
      </c>
      <c r="AD377" s="60" t="str">
        <f>IF(AC377&lt;60,"1",IF(AC377&lt;=43200,"2",IF(AC377&lt;=777600,"3","4")))</f>
        <v>4</v>
      </c>
      <c r="AE377" s="76">
        <f>AA377-Y377</f>
        <v>1261440000</v>
      </c>
      <c r="AF377" s="80">
        <f>AV377</f>
        <v>0.79999999999999993</v>
      </c>
      <c r="AG377" s="56">
        <f>((AW377-AV377)+(AX377-AW377)+(AY377-AX377)+(AZ377-AY377))/4</f>
        <v>-2.5757575757575729E-2</v>
      </c>
      <c r="AH377" s="4"/>
      <c r="AI377" s="56">
        <f>RSQ(AV377:AZ377,AV376:AZ376)</f>
        <v>0.52674193610151787</v>
      </c>
      <c r="AJ377" s="109">
        <f>SLOPE(AV377:AZ377,AV376:AZ376)</f>
        <v>-8.8660153617345873E-12</v>
      </c>
      <c r="AK377" s="56">
        <f>INTERCEPT(AV377:AZ377,AV376:AZ376)</f>
        <v>0.78665214158214225</v>
      </c>
      <c r="AL377" s="56">
        <f>INDEX(LINEST(LN(AV377:AZ377),LN(AV376:AZ376),TRUE,TRUE),3,1)</f>
        <v>0.73438148508132028</v>
      </c>
      <c r="AM377" s="56">
        <f>INDEX(LINEST(LN(AV377:AZ377),LN(AV376:AZ376)),1)</f>
        <v>-5.1964405657588801E-2</v>
      </c>
      <c r="AN377" s="56">
        <f>EXP(INDEX(LINEST(LN(AV377:AZ377),LN(AV376:AZ376)),1,2))</f>
        <v>2.2421792570433676</v>
      </c>
      <c r="AO377" s="82">
        <f>INDEX(LINEST((AV377:AZ377),LN(AV376:AZ376),TRUE,TRUE),3,1)</f>
        <v>0.72390729972168566</v>
      </c>
      <c r="AP377" s="82">
        <f>INDEX(LINEST((AV377:AZ377),LN(AV376:AZ376)),1)</f>
        <v>-3.8552105083907266E-2</v>
      </c>
      <c r="AQ377" s="83">
        <f>INDEX(LINEST(LN(AV377:AZ377),SQRT(AV376:AZ376),TRUE,TRUE),3,1)</f>
        <v>0.62767151499197682</v>
      </c>
      <c r="AR377" s="116">
        <f>INDEX(LINEST(LN(AV377:AZ377),SQRT((AV376:AZ376))),1)</f>
        <v>-1.7639981607066108E-6</v>
      </c>
      <c r="AS377" s="84">
        <f>INDEX(LINEST(1/(AV377:AZ377),1/(SQRT(AV376:AZ376)),TRUE,TRUE),3,1)</f>
        <v>0.75053807135019446</v>
      </c>
      <c r="AT377" s="84">
        <f>INDEX(LINEST(1/(AV377:AZ377),1/SQRT(AV376:AZ376)),1)</f>
        <v>-5666.0918557274344</v>
      </c>
      <c r="AU377" s="3"/>
      <c r="AV377" s="53">
        <v>0.79999999999999993</v>
      </c>
      <c r="AW377" s="53">
        <v>0.79166666666666674</v>
      </c>
      <c r="AX377" s="53">
        <v>0.82352941176470584</v>
      </c>
      <c r="AY377" s="53">
        <v>0.6811594202898551</v>
      </c>
      <c r="AZ377" s="53">
        <v>0.69696969696969702</v>
      </c>
      <c r="BA377" s="53"/>
      <c r="BB377" s="53"/>
      <c r="BC377" s="53"/>
      <c r="BD377" s="53"/>
      <c r="BE377" s="53"/>
      <c r="BF377" s="53"/>
      <c r="BG377" s="53"/>
      <c r="BH377" s="53"/>
      <c r="BI377" s="53"/>
      <c r="BJ377" s="53"/>
      <c r="BK377" s="53"/>
      <c r="BL377" s="53"/>
      <c r="BM377" s="53"/>
      <c r="BN377" s="53"/>
      <c r="BO377" s="53"/>
      <c r="BP377" s="53"/>
      <c r="BQ377" s="53"/>
      <c r="BR377" s="53"/>
      <c r="BS377" s="53"/>
      <c r="BT377" s="53"/>
      <c r="BU377" s="53"/>
      <c r="BV377" s="53"/>
      <c r="BW377" s="53"/>
      <c r="BX377" s="53"/>
      <c r="BY377" s="53"/>
      <c r="BZ377" s="53"/>
      <c r="CA377" s="53"/>
      <c r="CB377" s="53"/>
      <c r="CC377" s="53"/>
      <c r="CD377" s="53"/>
      <c r="CE377" s="53"/>
      <c r="CF377" s="53"/>
      <c r="CG377" s="53"/>
      <c r="CH377" s="53"/>
      <c r="CI377" s="53"/>
      <c r="CJ377" s="53"/>
      <c r="CK377" s="53"/>
      <c r="CL377" s="53"/>
      <c r="CM377" s="53"/>
      <c r="CN377" s="53"/>
      <c r="CO377" s="53"/>
      <c r="CP377" s="53"/>
      <c r="CQ377" s="53"/>
      <c r="CR377" s="1"/>
      <c r="CS377" s="1"/>
      <c r="CT377" s="1"/>
      <c r="CU377" s="1"/>
    </row>
    <row r="378" spans="1:99" s="145" customFormat="1" ht="12" customHeight="1" x14ac:dyDescent="0.2">
      <c r="A378" s="150">
        <v>43896</v>
      </c>
      <c r="B378" s="151"/>
      <c r="C378" s="151"/>
      <c r="D378" s="151"/>
      <c r="E378" s="152"/>
      <c r="F378" s="151"/>
      <c r="G378" s="151"/>
      <c r="H378" s="151"/>
      <c r="I378" s="151"/>
      <c r="J378" s="151"/>
      <c r="K378" s="152"/>
      <c r="L378" s="152"/>
      <c r="M378" s="151"/>
      <c r="N378" s="152"/>
      <c r="O378" s="151"/>
      <c r="P378" s="151"/>
      <c r="Q378" s="151"/>
      <c r="R378" s="151"/>
      <c r="S378" s="151"/>
      <c r="T378" s="151"/>
      <c r="U378" s="60"/>
      <c r="V378" s="151"/>
      <c r="W378" s="151"/>
      <c r="X378" s="151"/>
      <c r="Y378" s="151"/>
      <c r="Z378" s="151"/>
      <c r="AA378" s="151"/>
      <c r="AB378" s="151"/>
      <c r="AC378" s="131"/>
      <c r="AD378" s="151"/>
      <c r="AE378" s="151"/>
      <c r="AF378" s="151"/>
      <c r="AG378" s="138"/>
      <c r="AH378" s="147"/>
      <c r="AI378" s="131"/>
      <c r="AJ378" s="131"/>
      <c r="AK378" s="131"/>
      <c r="AL378" s="131"/>
      <c r="AM378" s="131"/>
      <c r="AN378" s="131"/>
      <c r="AO378" s="131"/>
      <c r="AP378" s="131"/>
      <c r="AQ378" s="131"/>
      <c r="AR378" s="131"/>
      <c r="AS378" s="131"/>
      <c r="AT378" s="131"/>
      <c r="AU378" s="148"/>
      <c r="AV378" s="130">
        <v>315360000</v>
      </c>
      <c r="AW378" s="130">
        <v>630720000</v>
      </c>
      <c r="AX378" s="130">
        <v>946080000</v>
      </c>
      <c r="AY378" s="146"/>
      <c r="AZ378" s="146"/>
      <c r="BA378" s="146"/>
      <c r="BB378" s="146"/>
      <c r="BC378" s="146"/>
      <c r="BD378" s="146"/>
      <c r="BE378" s="146"/>
      <c r="BF378" s="146"/>
      <c r="BG378" s="146"/>
      <c r="BH378" s="146"/>
      <c r="BI378" s="146"/>
      <c r="BJ378" s="146"/>
      <c r="BK378" s="146"/>
      <c r="BL378" s="146"/>
      <c r="BM378" s="146"/>
      <c r="BN378" s="146"/>
      <c r="BO378" s="146"/>
      <c r="BP378" s="146"/>
      <c r="BQ378" s="146"/>
      <c r="BR378" s="146"/>
      <c r="BS378" s="146"/>
      <c r="BT378" s="146"/>
      <c r="BU378" s="146"/>
      <c r="BV378" s="146"/>
      <c r="BW378" s="146"/>
      <c r="BX378" s="146"/>
      <c r="BY378" s="146"/>
      <c r="BZ378" s="146"/>
      <c r="CA378" s="146"/>
      <c r="CB378" s="146"/>
      <c r="CC378" s="146"/>
      <c r="CD378" s="146"/>
      <c r="CE378" s="146"/>
      <c r="CF378" s="146"/>
      <c r="CG378" s="146"/>
      <c r="CH378" s="146"/>
      <c r="CI378" s="146"/>
      <c r="CJ378" s="146"/>
      <c r="CK378" s="146"/>
      <c r="CL378" s="146"/>
      <c r="CM378" s="146"/>
      <c r="CN378" s="146"/>
      <c r="CO378" s="146"/>
      <c r="CP378" s="146"/>
      <c r="CQ378" s="146"/>
      <c r="CR378" s="144"/>
      <c r="CS378" s="144"/>
      <c r="CT378" s="144"/>
      <c r="CU378" s="144"/>
    </row>
    <row r="379" spans="1:99" s="145" customFormat="1" ht="12" customHeight="1" x14ac:dyDescent="0.2">
      <c r="A379" s="150">
        <v>43896</v>
      </c>
      <c r="B379" s="151" t="s">
        <v>902</v>
      </c>
      <c r="C379" s="151" t="s">
        <v>54</v>
      </c>
      <c r="D379" s="153">
        <v>1999</v>
      </c>
      <c r="E379" s="69">
        <v>1</v>
      </c>
      <c r="F379" s="153">
        <v>20</v>
      </c>
      <c r="G379" s="153">
        <v>20</v>
      </c>
      <c r="H379" s="153" t="s">
        <v>43</v>
      </c>
      <c r="I379" s="69" t="s">
        <v>330</v>
      </c>
      <c r="J379" s="69" t="s">
        <v>340</v>
      </c>
      <c r="K379" s="69">
        <f>IF(J379="syllables",1,IF(J379="trigrams",2,IF(J379="strings",3,IF(J379="visual array",4,IF(J379="characters",5,IF(J379="letters",6,IF(J379="free forms",7,IF(J379="odors",8,IF(J379="words",9,IF(J379="pictures",10,IF(J379="object pictures",11,IF(J379="faces",12,IF(J379="names",13,IF(J379="idioms",14,IF(J379="grades",15,IF(J379="syllable-digit pairs",16,IF(J379="trigram-word pairs",17,IF(J379="word-digit pairs",18,IF(J379="English-Swahili pairs",19,IF(J379="spatial position",20,IF(J379="word pairs",21,IF(J379="word triads",22,IF(J379="generated words",23,IF(J379="word definition pairs",24,IF(J379="math problems",25,IF(J379="famous faces",26,IF(J379="famous names",27,IF(J379="famous voices",28,IF(J379="television programs",29,IF(J379="race horses",30,IF(J379="new vocabulary",31,IF(J379="sentences",32,IF(J379="concepts",33,IF(J379="ad slides",34,IF(J379="scenes",35,IF(J379="famous scenes",36,IF(J379="poems",37,IF(J379="walk",38,IF(J379="faces and events",39,IF(J379="events and names",40,IF(J379="flashbulb",41,IF(J379="stories",42,IF(J379="course material",43,IF(J379="autobiographical",44,IF(J379="novels",45,IF(J379="public events",46,"99"))))))))))))))))))))))))))))))))))))))))))))))</f>
        <v>46</v>
      </c>
      <c r="L379" s="69">
        <f>IF(J379="syllables",1,IF(J379="trigrams",1,IF(J379="strings",1,IF(J379="visual array",1,IF(J379="characters",1,IF(J379="letters",1,IF(J379="free forms",1,IF(J379="odors",2,IF(J379="words",2,IF(J379="pictures",2,IF(J379="object pictures",2,IF(J379="faces",2,IF(J379="names",2,IF(J379="idioms","2",IF(J379="grades",2,IF(J379="syllable-digit pairs",3,IF(J379="trigram-word pairs",3,IF(J379="word-digit pairs",3,IF(J379="English-Swahili pairs",3,IF(J379="spatial position",3,IF(J379="word pairs",4,IF(J379="word triads",4,IF(J379="generated words",4,IF(J379="word definition pairs",4,IF(J379="math problems",4,IF(J379="famous faces",4,IF(J379="famous names",4,IF(J379="famous voices",4,IF(J379="television programs",4,IF(J379="race horses",4,IF(J379="new vocabulary",4,IF(J379="sentences",5,IF(J379="concepts",5,IF(J379="ad slides",5,IF(J379="scenes",5,IF(J379="famous scenes",5,IF(J379="poems",6,IF(J379="walk",6,IF(J379="faces and events",6,IF(J379="events and names",6,IF(J379="flashbulb",7,IF(J379="stories",7,IF(J379="course material",7,IF(J379="autobiographical",7,IF(J379="novels",7,IF(J379="public events",7,"99"))))))))))))))))))))))))))))))))))))))))))))))</f>
        <v>7</v>
      </c>
      <c r="M379" s="69">
        <v>1</v>
      </c>
      <c r="N379" s="69">
        <v>4</v>
      </c>
      <c r="O379" s="69">
        <v>0</v>
      </c>
      <c r="P379" s="151"/>
      <c r="Q379" s="153" t="s">
        <v>174</v>
      </c>
      <c r="R379" s="69">
        <f>IF(Q379="Free Recall",1,IF(Q379="Cued Recall",2,IF(Q379="Recognition",3,IF(Q379="Multiple Choice",4,IF(Q379="Savings",5,IF(Q379="Stem Completion",6,IF(Q379="Fragment Completion",7,IF(Q379="anagram solution",8,IF(Q379="Matching",9,IF(Q379="Problem Solving",10,"99"))))))))))</f>
        <v>1</v>
      </c>
      <c r="S379" s="153" t="s">
        <v>49</v>
      </c>
      <c r="T379" s="92" t="s">
        <v>581</v>
      </c>
      <c r="U379" s="60">
        <f>IF(T379="within",1,0)</f>
        <v>1</v>
      </c>
      <c r="V379" s="92">
        <v>50</v>
      </c>
      <c r="W379" s="69">
        <f>F379*V379</f>
        <v>1000</v>
      </c>
      <c r="X379" s="153">
        <v>3</v>
      </c>
      <c r="Y379" s="87">
        <f>AV378</f>
        <v>315360000</v>
      </c>
      <c r="Z379" s="154" t="s">
        <v>332</v>
      </c>
      <c r="AA379" s="153">
        <f>30*365*24*60*60</f>
        <v>946080000</v>
      </c>
      <c r="AB379" s="153" t="str">
        <f>IF(AA379&lt;60,"1",IF(AA379&lt;=43200,"2",IF(AA379&lt;=777600,"3","4")))</f>
        <v>4</v>
      </c>
      <c r="AC379" s="138">
        <f>AVERAGE(AV378:DA378)</f>
        <v>630720000</v>
      </c>
      <c r="AD379" s="153" t="str">
        <f>IF(AC379&lt;60,"1",IF(AC379&lt;=43200,"2",IF(AC379&lt;=777600,"3","4")))</f>
        <v>4</v>
      </c>
      <c r="AE379" s="87">
        <f>AA379-Y379</f>
        <v>630720000</v>
      </c>
      <c r="AF379" s="88">
        <f>AV379</f>
        <v>0.79591836734693877</v>
      </c>
      <c r="AG379" s="138">
        <f>((AW379-AV379)+(AX379-AW379))/2</f>
        <v>-5.585392051557464E-2</v>
      </c>
      <c r="AH379" s="147"/>
      <c r="AI379" s="138">
        <f>RSQ(AV379:AX379,AV378:AX378)</f>
        <v>0.47290952638234263</v>
      </c>
      <c r="AJ379" s="138">
        <f>SLOPE(AV379:AX379,AV378:AX378)</f>
        <v>-1.7711162010265932E-10</v>
      </c>
      <c r="AK379" s="138">
        <f>INTERCEPT(AV379:AX379,AV378:AX378)</f>
        <v>0.81772781707964493</v>
      </c>
      <c r="AL379" s="138">
        <f>INDEX(LINEST(LN(AV379:AX379),LN(AV378:AX378),TRUE,TRUE),3,1)</f>
        <v>0.59641729718599623</v>
      </c>
      <c r="AM379" s="138">
        <f>INDEX(LINEST(LN(AV379:AX379),LN(AV378:AX378)),1)</f>
        <v>-0.15720750371087649</v>
      </c>
      <c r="AN379" s="138">
        <f>EXP(INDEX(LINEST(LN(AV379:AX379),LN(AV378:AX378)),1,2))</f>
        <v>16.741610975241624</v>
      </c>
      <c r="AO379" s="155">
        <f>INDEX(LINEST((AV379:AX379),LN(AV378:AX378),TRUE,TRUE),3,1)</f>
        <v>0.62170942673824081</v>
      </c>
      <c r="AP379" s="155">
        <f>INDEX(LINEST((AV379:AX379),LN(AV378:AX378)),1)</f>
        <v>-0.11527535867998195</v>
      </c>
      <c r="AQ379" s="90">
        <f>INDEX(LINEST(LN(AV379:AX379),SQRT(AV378:AX378),TRUE,TRUE),3,1)</f>
        <v>0.52283252444101214</v>
      </c>
      <c r="AR379" s="91">
        <f>INDEX(LINEST(LN(AV379:AX379),SQRT((AV378:AX378))),1)</f>
        <v>-1.2543994324659125E-5</v>
      </c>
      <c r="AS379" s="91">
        <f>INDEX(LINEST(1/(AV379:AX379),1/(SQRT(AV378:AX378)),TRUE,TRUE),3,1)</f>
        <v>0.63751749055198004</v>
      </c>
      <c r="AT379" s="91">
        <f>INDEX(LINEST(1/(AV379:AX379),1/SQRT(AV378:AX378)),1)</f>
        <v>-10359.640507301059</v>
      </c>
      <c r="AU379" s="149"/>
      <c r="AV379" s="131">
        <v>0.79591836734693877</v>
      </c>
      <c r="AW379" s="131">
        <v>0.63793103448275867</v>
      </c>
      <c r="AX379" s="131">
        <v>0.68421052631578949</v>
      </c>
      <c r="AY379" s="146"/>
      <c r="AZ379" s="146"/>
      <c r="BA379" s="146"/>
      <c r="BB379" s="146"/>
      <c r="BC379" s="146"/>
      <c r="BD379" s="146"/>
      <c r="BE379" s="146"/>
      <c r="BF379" s="146"/>
      <c r="BG379" s="146"/>
      <c r="BH379" s="146"/>
      <c r="BI379" s="146"/>
      <c r="BJ379" s="146"/>
      <c r="BK379" s="146"/>
      <c r="BL379" s="146"/>
      <c r="BM379" s="146"/>
      <c r="BN379" s="146"/>
      <c r="BO379" s="146"/>
      <c r="BP379" s="146"/>
      <c r="BQ379" s="146"/>
      <c r="BR379" s="146"/>
      <c r="BS379" s="146"/>
      <c r="BT379" s="146"/>
      <c r="BU379" s="146"/>
      <c r="BV379" s="146"/>
      <c r="BW379" s="146"/>
      <c r="BX379" s="146"/>
      <c r="BY379" s="146"/>
      <c r="BZ379" s="146"/>
      <c r="CA379" s="146"/>
      <c r="CB379" s="146"/>
      <c r="CC379" s="146"/>
      <c r="CD379" s="146"/>
      <c r="CE379" s="146"/>
      <c r="CF379" s="146"/>
      <c r="CG379" s="146"/>
      <c r="CH379" s="146"/>
      <c r="CI379" s="146"/>
      <c r="CJ379" s="146"/>
      <c r="CK379" s="146"/>
      <c r="CL379" s="146"/>
      <c r="CM379" s="146"/>
      <c r="CN379" s="146"/>
      <c r="CO379" s="146"/>
      <c r="CP379" s="146"/>
      <c r="CQ379" s="146"/>
      <c r="CR379" s="144"/>
      <c r="CS379" s="144"/>
      <c r="CT379" s="144"/>
      <c r="CU379" s="144"/>
    </row>
    <row r="380" spans="1:99" s="145" customFormat="1" ht="12" customHeight="1" x14ac:dyDescent="0.2">
      <c r="A380" s="150">
        <v>43896</v>
      </c>
      <c r="B380" s="151"/>
      <c r="C380" s="151"/>
      <c r="D380" s="153"/>
      <c r="E380" s="152"/>
      <c r="F380" s="153"/>
      <c r="G380" s="153"/>
      <c r="H380" s="153"/>
      <c r="I380" s="153"/>
      <c r="J380" s="153"/>
      <c r="K380" s="152"/>
      <c r="L380" s="152"/>
      <c r="M380" s="151"/>
      <c r="N380" s="152"/>
      <c r="O380" s="151"/>
      <c r="P380" s="151"/>
      <c r="Q380" s="69"/>
      <c r="R380" s="151"/>
      <c r="S380" s="153"/>
      <c r="T380" s="151"/>
      <c r="U380" s="60"/>
      <c r="V380" s="151"/>
      <c r="W380" s="151"/>
      <c r="X380" s="153"/>
      <c r="Y380" s="153"/>
      <c r="Z380" s="153"/>
      <c r="AA380" s="153"/>
      <c r="AB380" s="153"/>
      <c r="AC380" s="138"/>
      <c r="AD380" s="153"/>
      <c r="AE380" s="153"/>
      <c r="AF380" s="153"/>
      <c r="AG380" s="138"/>
      <c r="AH380" s="147"/>
      <c r="AI380" s="138"/>
      <c r="AJ380" s="138"/>
      <c r="AK380" s="138"/>
      <c r="AL380" s="138"/>
      <c r="AM380" s="138"/>
      <c r="AN380" s="138"/>
      <c r="AO380" s="138"/>
      <c r="AP380" s="138"/>
      <c r="AQ380" s="138"/>
      <c r="AR380" s="138"/>
      <c r="AS380" s="138"/>
      <c r="AT380" s="138"/>
      <c r="AU380" s="148"/>
      <c r="AV380" s="130">
        <v>315360000</v>
      </c>
      <c r="AW380" s="130">
        <v>630720000</v>
      </c>
      <c r="AX380" s="130">
        <v>946080000</v>
      </c>
      <c r="AY380" s="146"/>
      <c r="AZ380" s="146"/>
      <c r="BA380" s="146"/>
      <c r="BB380" s="146"/>
      <c r="BC380" s="146"/>
      <c r="BD380" s="146"/>
      <c r="BE380" s="146"/>
      <c r="BF380" s="146"/>
      <c r="BG380" s="146"/>
      <c r="BH380" s="146"/>
      <c r="BI380" s="146"/>
      <c r="BJ380" s="146"/>
      <c r="BK380" s="146"/>
      <c r="BL380" s="146"/>
      <c r="BM380" s="146"/>
      <c r="BN380" s="146"/>
      <c r="BO380" s="146"/>
      <c r="BP380" s="146"/>
      <c r="BQ380" s="146"/>
      <c r="BR380" s="146"/>
      <c r="BS380" s="146"/>
      <c r="BT380" s="146"/>
      <c r="BU380" s="146"/>
      <c r="BV380" s="146"/>
      <c r="BW380" s="146"/>
      <c r="BX380" s="146"/>
      <c r="BY380" s="146"/>
      <c r="BZ380" s="146"/>
      <c r="CA380" s="146"/>
      <c r="CB380" s="146"/>
      <c r="CC380" s="146"/>
      <c r="CD380" s="146"/>
      <c r="CE380" s="146"/>
      <c r="CF380" s="146"/>
      <c r="CG380" s="146"/>
      <c r="CH380" s="146"/>
      <c r="CI380" s="146"/>
      <c r="CJ380" s="146"/>
      <c r="CK380" s="146"/>
      <c r="CL380" s="146"/>
      <c r="CM380" s="146"/>
      <c r="CN380" s="146"/>
      <c r="CO380" s="146"/>
      <c r="CP380" s="146"/>
      <c r="CQ380" s="146"/>
      <c r="CR380" s="144"/>
      <c r="CS380" s="144"/>
      <c r="CT380" s="144"/>
      <c r="CU380" s="144"/>
    </row>
    <row r="381" spans="1:99" s="145" customFormat="1" ht="12" customHeight="1" x14ac:dyDescent="0.2">
      <c r="A381" s="150">
        <v>43896</v>
      </c>
      <c r="B381" s="151" t="s">
        <v>902</v>
      </c>
      <c r="C381" s="151" t="s">
        <v>54</v>
      </c>
      <c r="D381" s="153">
        <v>1999</v>
      </c>
      <c r="E381" s="69">
        <v>1</v>
      </c>
      <c r="F381" s="153">
        <v>20</v>
      </c>
      <c r="G381" s="153">
        <v>20</v>
      </c>
      <c r="H381" s="153" t="s">
        <v>769</v>
      </c>
      <c r="I381" s="69" t="s">
        <v>330</v>
      </c>
      <c r="J381" s="69" t="s">
        <v>340</v>
      </c>
      <c r="K381" s="69">
        <f>IF(J381="syllables",1,IF(J381="trigrams",2,IF(J381="strings",3,IF(J381="visual array",4,IF(J381="characters",5,IF(J381="letters",6,IF(J381="free forms",7,IF(J381="odors",8,IF(J381="words",9,IF(J381="pictures",10,IF(J381="object pictures",11,IF(J381="faces",12,IF(J381="names",13,IF(J381="idioms",14,IF(J381="grades",15,IF(J381="syllable-digit pairs",16,IF(J381="trigram-word pairs",17,IF(J381="word-digit pairs",18,IF(J381="English-Swahili pairs",19,IF(J381="spatial position",20,IF(J381="word pairs",21,IF(J381="word triads",22,IF(J381="generated words",23,IF(J381="word definition pairs",24,IF(J381="math problems",25,IF(J381="famous faces",26,IF(J381="famous names",27,IF(J381="famous voices",28,IF(J381="television programs",29,IF(J381="race horses",30,IF(J381="new vocabulary",31,IF(J381="sentences",32,IF(J381="concepts",33,IF(J381="ad slides",34,IF(J381="scenes",35,IF(J381="famous scenes",36,IF(J381="poems",37,IF(J381="walk",38,IF(J381="faces and events",39,IF(J381="events and names",40,IF(J381="flashbulb",41,IF(J381="stories",42,IF(J381="course material",43,IF(J381="autobiographical",44,IF(J381="novels",45,IF(J381="public events",46,"99"))))))))))))))))))))))))))))))))))))))))))))))</f>
        <v>46</v>
      </c>
      <c r="L381" s="69">
        <f>IF(J381="syllables",1,IF(J381="trigrams",1,IF(J381="strings",1,IF(J381="visual array",1,IF(J381="characters",1,IF(J381="letters",1,IF(J381="free forms",1,IF(J381="odors",2,IF(J381="words",2,IF(J381="pictures",2,IF(J381="object pictures",2,IF(J381="faces",2,IF(J381="names",2,IF(J381="idioms","2",IF(J381="grades",2,IF(J381="syllable-digit pairs",3,IF(J381="trigram-word pairs",3,IF(J381="word-digit pairs",3,IF(J381="English-Swahili pairs",3,IF(J381="spatial position",3,IF(J381="word pairs",4,IF(J381="word triads",4,IF(J381="generated words",4,IF(J381="word definition pairs",4,IF(J381="math problems",4,IF(J381="famous faces",4,IF(J381="famous names",4,IF(J381="famous voices",4,IF(J381="television programs",4,IF(J381="race horses",4,IF(J381="new vocabulary",4,IF(J381="sentences",5,IF(J381="concepts",5,IF(J381="ad slides",5,IF(J381="scenes",5,IF(J381="famous scenes",5,IF(J381="poems",6,IF(J381="walk",6,IF(J381="faces and events",6,IF(J381="events and names",6,IF(J381="flashbulb",7,IF(J381="stories",7,IF(J381="course material",7,IF(J381="autobiographical",7,IF(J381="novels",7,IF(J381="public events",7,"99"))))))))))))))))))))))))))))))))))))))))))))))</f>
        <v>7</v>
      </c>
      <c r="M381" s="69">
        <v>1</v>
      </c>
      <c r="N381" s="69">
        <v>4</v>
      </c>
      <c r="O381" s="69">
        <v>0</v>
      </c>
      <c r="P381" s="151"/>
      <c r="Q381" s="69" t="s">
        <v>182</v>
      </c>
      <c r="R381" s="69">
        <f>IF(Q381="Free Recall",1,IF(Q381="Cued Recall",2,IF(Q381="Recognition",3,IF(Q381="Multiple Choice",4,IF(Q381="Savings",5,IF(Q381="Stem Completion",6,IF(Q381="Fragment Completion",7,IF(Q381="anagram solution",8,IF(Q381="Matching",9,IF(Q381="Problem Solving",10,"99"))))))))))</f>
        <v>4</v>
      </c>
      <c r="S381" s="153" t="s">
        <v>15</v>
      </c>
      <c r="T381" s="92" t="s">
        <v>581</v>
      </c>
      <c r="U381" s="60">
        <f>IF(T381="within",1,0)</f>
        <v>1</v>
      </c>
      <c r="V381" s="92">
        <v>50</v>
      </c>
      <c r="W381" s="69">
        <f>F381*V381</f>
        <v>1000</v>
      </c>
      <c r="X381" s="153">
        <v>3</v>
      </c>
      <c r="Y381" s="87">
        <f>AV380</f>
        <v>315360000</v>
      </c>
      <c r="Z381" s="154" t="s">
        <v>332</v>
      </c>
      <c r="AA381" s="153">
        <f>30*365*24*60*60</f>
        <v>946080000</v>
      </c>
      <c r="AB381" s="153" t="str">
        <f>IF(AA381&lt;60,"1",IF(AA381&lt;=43200,"2",IF(AA381&lt;=777600,"3","4")))</f>
        <v>4</v>
      </c>
      <c r="AC381" s="138">
        <f t="shared" ref="AC381" si="43">AVERAGE(AV380:DA380)</f>
        <v>630720000</v>
      </c>
      <c r="AD381" s="153" t="str">
        <f>IF(AC381&lt;60,"1",IF(AC381&lt;=43200,"2",IF(AC381&lt;=777600,"3","4")))</f>
        <v>4</v>
      </c>
      <c r="AE381" s="87">
        <f>AA381-Y381</f>
        <v>630720000</v>
      </c>
      <c r="AF381" s="88">
        <f>AV381</f>
        <v>0.90410958904109595</v>
      </c>
      <c r="AG381" s="138">
        <f>((AW381-AV381)+(AX381-AW381))/2</f>
        <v>-2.1947267638827539E-2</v>
      </c>
      <c r="AH381" s="147"/>
      <c r="AI381" s="138">
        <f>RSQ(AV381:AX381,AV380:AX380)</f>
        <v>0.64364117611807792</v>
      </c>
      <c r="AJ381" s="138">
        <f>SLOPE(AV381:AX381,AV380:AX380)</f>
        <v>-6.9594329143922939E-11</v>
      </c>
      <c r="AK381" s="138">
        <f>INTERCEPT(AV381:AX381,AV380:AX380)</f>
        <v>0.93548533661051059</v>
      </c>
      <c r="AL381" s="138">
        <f>INDEX(LINEST(LN(AV381:AX381),LN(AV380:AX380),TRUE,TRUE),3,1)</f>
        <v>0.49864449333197652</v>
      </c>
      <c r="AM381" s="138">
        <f>INDEX(LINEST(LN(AV381:AX381),LN(AV380:AX380)),1)</f>
        <v>-3.9337551682560964E-2</v>
      </c>
      <c r="AN381" s="138">
        <f>EXP(INDEX(LINEST(LN(AV381:AX381),LN(AV380:AX380)),1,2))</f>
        <v>1.9703958367291514</v>
      </c>
      <c r="AO381" s="155">
        <f>INDEX(LINEST((AV381:AX381),LN(AV380:AX380),TRUE,TRUE),3,1)</f>
        <v>0.49564590874898901</v>
      </c>
      <c r="AP381" s="155">
        <f>INDEX(LINEST((AV381:AX381),LN(AV380:AX380)),1)</f>
        <v>-3.4667493064620331E-2</v>
      </c>
      <c r="AQ381" s="90">
        <f>INDEX(LINEST(LN(AV381:AX381),SQRT(AV380:AX380),TRUE,TRUE),3,1)</f>
        <v>0.57257184230867242</v>
      </c>
      <c r="AR381" s="91">
        <f>INDEX(LINEST(LN(AV381:AX381),SQRT((AV380:AX380))),1)</f>
        <v>-3.5923876966682484E-6</v>
      </c>
      <c r="AS381" s="91">
        <f>INDEX(LINEST(1/(AV381:AX381),1/(SQRT(AV380:AX380)),TRUE,TRUE),3,1)</f>
        <v>0.43258130544787327</v>
      </c>
      <c r="AT381" s="91">
        <f>INDEX(LINEST(1/(AV381:AX381),1/SQRT(AV380:AX380)),1)</f>
        <v>-1889.219459722618</v>
      </c>
      <c r="AU381" s="149"/>
      <c r="AV381" s="131">
        <v>0.90410958904109595</v>
      </c>
      <c r="AW381" s="131">
        <v>0.91044776119402981</v>
      </c>
      <c r="AX381" s="131">
        <v>0.86021505376344087</v>
      </c>
      <c r="AY381" s="146"/>
      <c r="AZ381" s="146"/>
      <c r="BA381" s="146"/>
      <c r="BB381" s="146"/>
      <c r="BC381" s="146"/>
      <c r="BD381" s="146"/>
      <c r="BE381" s="146"/>
      <c r="BF381" s="146"/>
      <c r="BG381" s="146"/>
      <c r="BH381" s="146"/>
      <c r="BI381" s="146"/>
      <c r="BJ381" s="146"/>
      <c r="BK381" s="146"/>
      <c r="BL381" s="146"/>
      <c r="BM381" s="146"/>
      <c r="BN381" s="146"/>
      <c r="BO381" s="146"/>
      <c r="BP381" s="146"/>
      <c r="BQ381" s="146"/>
      <c r="BR381" s="146"/>
      <c r="BS381" s="146"/>
      <c r="BT381" s="146"/>
      <c r="BU381" s="146"/>
      <c r="BV381" s="146"/>
      <c r="BW381" s="146"/>
      <c r="BX381" s="146"/>
      <c r="BY381" s="146"/>
      <c r="BZ381" s="146"/>
      <c r="CA381" s="146"/>
      <c r="CB381" s="146"/>
      <c r="CC381" s="146"/>
      <c r="CD381" s="146"/>
      <c r="CE381" s="146"/>
      <c r="CF381" s="146"/>
      <c r="CG381" s="146"/>
      <c r="CH381" s="146"/>
      <c r="CI381" s="146"/>
      <c r="CJ381" s="146"/>
      <c r="CK381" s="146"/>
      <c r="CL381" s="146"/>
      <c r="CM381" s="146"/>
      <c r="CN381" s="146"/>
      <c r="CO381" s="146"/>
      <c r="CP381" s="146"/>
      <c r="CQ381" s="146"/>
      <c r="CR381" s="144"/>
      <c r="CS381" s="144"/>
      <c r="CT381" s="144"/>
      <c r="CU381" s="144"/>
    </row>
    <row r="382" spans="1:99" s="145" customFormat="1" ht="12" customHeight="1" x14ac:dyDescent="0.2">
      <c r="A382" s="150">
        <v>43896</v>
      </c>
      <c r="B382" s="151"/>
      <c r="C382" s="151"/>
      <c r="D382" s="153"/>
      <c r="E382" s="152"/>
      <c r="F382" s="153"/>
      <c r="G382" s="153"/>
      <c r="H382" s="153"/>
      <c r="I382" s="153"/>
      <c r="J382" s="153"/>
      <c r="K382" s="152"/>
      <c r="L382" s="152"/>
      <c r="M382" s="151"/>
      <c r="N382" s="152"/>
      <c r="O382" s="151"/>
      <c r="P382" s="151"/>
      <c r="Q382" s="153"/>
      <c r="R382" s="151"/>
      <c r="S382" s="153"/>
      <c r="T382" s="152"/>
      <c r="U382" s="60"/>
      <c r="V382" s="152"/>
      <c r="W382" s="152"/>
      <c r="X382" s="153"/>
      <c r="Y382" s="153"/>
      <c r="Z382" s="153"/>
      <c r="AA382" s="153"/>
      <c r="AB382" s="153"/>
      <c r="AC382" s="138"/>
      <c r="AD382" s="153"/>
      <c r="AE382" s="153"/>
      <c r="AF382" s="153"/>
      <c r="AG382" s="138"/>
      <c r="AH382" s="147"/>
      <c r="AI382" s="138"/>
      <c r="AJ382" s="138"/>
      <c r="AK382" s="138"/>
      <c r="AL382" s="138"/>
      <c r="AM382" s="138"/>
      <c r="AN382" s="138"/>
      <c r="AO382" s="138"/>
      <c r="AP382" s="138"/>
      <c r="AQ382" s="138"/>
      <c r="AR382" s="138"/>
      <c r="AS382" s="138"/>
      <c r="AT382" s="138"/>
      <c r="AU382" s="148"/>
      <c r="AV382" s="130">
        <v>315360000</v>
      </c>
      <c r="AW382" s="130">
        <v>630720000</v>
      </c>
      <c r="AX382" s="130">
        <v>946080000</v>
      </c>
      <c r="AY382" s="146"/>
      <c r="AZ382" s="146"/>
      <c r="BA382" s="146"/>
      <c r="BB382" s="146"/>
      <c r="BC382" s="146"/>
      <c r="BD382" s="146"/>
      <c r="BE382" s="146"/>
      <c r="BF382" s="146"/>
      <c r="BG382" s="146"/>
      <c r="BH382" s="146"/>
      <c r="BI382" s="146"/>
      <c r="BJ382" s="146"/>
      <c r="BK382" s="146"/>
      <c r="BL382" s="146"/>
      <c r="BM382" s="146"/>
      <c r="BN382" s="146"/>
      <c r="BO382" s="146"/>
      <c r="BP382" s="146"/>
      <c r="BQ382" s="146"/>
      <c r="BR382" s="146"/>
      <c r="BS382" s="146"/>
      <c r="BT382" s="146"/>
      <c r="BU382" s="146"/>
      <c r="BV382" s="146"/>
      <c r="BW382" s="146"/>
      <c r="BX382" s="146"/>
      <c r="BY382" s="146"/>
      <c r="BZ382" s="146"/>
      <c r="CA382" s="146"/>
      <c r="CB382" s="146"/>
      <c r="CC382" s="146"/>
      <c r="CD382" s="146"/>
      <c r="CE382" s="146"/>
      <c r="CF382" s="146"/>
      <c r="CG382" s="146"/>
      <c r="CH382" s="146"/>
      <c r="CI382" s="146"/>
      <c r="CJ382" s="146"/>
      <c r="CK382" s="146"/>
      <c r="CL382" s="146"/>
      <c r="CM382" s="146"/>
      <c r="CN382" s="146"/>
      <c r="CO382" s="146"/>
      <c r="CP382" s="146"/>
      <c r="CQ382" s="146"/>
      <c r="CR382" s="144"/>
      <c r="CS382" s="144"/>
      <c r="CT382" s="144"/>
      <c r="CU382" s="144"/>
    </row>
    <row r="383" spans="1:99" s="145" customFormat="1" ht="12" customHeight="1" x14ac:dyDescent="0.2">
      <c r="A383" s="150">
        <v>43896</v>
      </c>
      <c r="B383" s="151" t="s">
        <v>902</v>
      </c>
      <c r="C383" s="151" t="s">
        <v>54</v>
      </c>
      <c r="D383" s="153">
        <v>1999</v>
      </c>
      <c r="E383" s="69">
        <v>1</v>
      </c>
      <c r="F383" s="153">
        <v>20</v>
      </c>
      <c r="G383" s="153">
        <v>20</v>
      </c>
      <c r="H383" s="153" t="s">
        <v>341</v>
      </c>
      <c r="I383" s="69" t="s">
        <v>330</v>
      </c>
      <c r="J383" s="69" t="s">
        <v>342</v>
      </c>
      <c r="K383" s="69">
        <f>IF(J383="syllables",1,IF(J383="trigrams",2,IF(J383="strings",3,IF(J383="visual array",4,IF(J383="characters",5,IF(J383="letters",6,IF(J383="free forms",7,IF(J383="odors",8,IF(J383="words",9,IF(J383="pictures",10,IF(J383="object pictures",11,IF(J383="faces",12,IF(J383="names",13,IF(J383="idioms",14,IF(J383="grades",15,IF(J383="syllable-digit pairs",16,IF(J383="trigram-word pairs",17,IF(J383="word-digit pairs",18,IF(J383="English-Swahili pairs",19,IF(J383="spatial position",20,IF(J383="word pairs",21,IF(J383="word triads",22,IF(J383="generated words",23,IF(J383="word definition pairs",24,IF(J383="math problems",25,IF(J383="famous faces",26,IF(J383="famous names",27,IF(J383="famous voices",28,IF(J383="television programs",29,IF(J383="race horses",30,IF(J383="new vocabulary",31,IF(J383="sentences",32,IF(J383="concepts",33,IF(J383="ad slides",34,IF(J383="scenes",35,IF(J383="famous scenes",36,IF(J383="poems",37,IF(J383="walk",38,IF(J383="faces and events",39,IF(J383="events and names",40,IF(J383="flashbulb",41,IF(J383="stories",42,IF(J383="course material",43,IF(J383="autobiographical",44,IF(J383="novels",45,IF(J383="public events",46,"99"))))))))))))))))))))))))))))))))))))))))))))))</f>
        <v>26</v>
      </c>
      <c r="L383" s="69">
        <f>IF(J383="syllables",1,IF(J383="trigrams",1,IF(J383="strings",1,IF(J383="visual array",1,IF(J383="characters",1,IF(J383="letters",1,IF(J383="free forms",1,IF(J383="odors",2,IF(J383="words",2,IF(J383="pictures",2,IF(J383="object pictures",2,IF(J383="faces",2,IF(J383="names",2,IF(J383="idioms","2",IF(J383="grades",2,IF(J383="syllable-digit pairs",3,IF(J383="trigram-word pairs",3,IF(J383="word-digit pairs",3,IF(J383="English-Swahili pairs",3,IF(J383="spatial position",3,IF(J383="word pairs",4,IF(J383="word triads",4,IF(J383="generated words",4,IF(J383="word definition pairs",4,IF(J383="math problems",4,IF(J383="famous faces",4,IF(J383="famous names",4,IF(J383="famous voices",4,IF(J383="television programs",4,IF(J383="race horses",4,IF(J383="new vocabulary",4,IF(J383="sentences",5,IF(J383="concepts",5,IF(J383="ad slides",5,IF(J383="scenes",5,IF(J383="famous scenes",5,IF(J383="poems",6,IF(J383="walk",6,IF(J383="faces and events",6,IF(J383="events and names",6,IF(J383="flashbulb",7,IF(J383="stories",7,IF(J383="course material",7,IF(J383="autobiographical",7,IF(J383="novels",7,IF(J383="public events",7,"99"))))))))))))))))))))))))))))))))))))))))))))))</f>
        <v>4</v>
      </c>
      <c r="M383" s="69">
        <v>1</v>
      </c>
      <c r="N383" s="69">
        <v>2</v>
      </c>
      <c r="O383" s="69">
        <v>0</v>
      </c>
      <c r="P383" s="151"/>
      <c r="Q383" s="153" t="s">
        <v>174</v>
      </c>
      <c r="R383" s="69">
        <f>IF(Q383="Free Recall",1,IF(Q383="Cued Recall",2,IF(Q383="Recognition",3,IF(Q383="Multiple Choice",4,IF(Q383="Savings",5,IF(Q383="Stem Completion",6,IF(Q383="Fragment Completion",7,IF(Q383="anagram solution",8,IF(Q383="Matching",9,IF(Q383="Problem Solving",10,"99"))))))))))</f>
        <v>1</v>
      </c>
      <c r="S383" s="153" t="s">
        <v>49</v>
      </c>
      <c r="T383" s="92" t="s">
        <v>581</v>
      </c>
      <c r="U383" s="60">
        <f>IF(T383="within",1,0)</f>
        <v>1</v>
      </c>
      <c r="V383" s="92">
        <v>50</v>
      </c>
      <c r="W383" s="69">
        <f>F383*V383</f>
        <v>1000</v>
      </c>
      <c r="X383" s="153">
        <v>3</v>
      </c>
      <c r="Y383" s="87">
        <f>AV382</f>
        <v>315360000</v>
      </c>
      <c r="Z383" s="154" t="s">
        <v>332</v>
      </c>
      <c r="AA383" s="153">
        <f>30*365*24*60*60</f>
        <v>946080000</v>
      </c>
      <c r="AB383" s="153" t="str">
        <f>IF(AA383&lt;60,"1",IF(AA383&lt;=43200,"2",IF(AA383&lt;=777600,"3","4")))</f>
        <v>4</v>
      </c>
      <c r="AC383" s="138">
        <f t="shared" ref="AC383" si="44">AVERAGE(AV382:DA382)</f>
        <v>630720000</v>
      </c>
      <c r="AD383" s="153" t="str">
        <f>IF(AC383&lt;60,"1",IF(AC383&lt;=43200,"2",IF(AC383&lt;=777600,"3","4")))</f>
        <v>4</v>
      </c>
      <c r="AE383" s="87">
        <f>AA383-Y383</f>
        <v>630720000</v>
      </c>
      <c r="AF383" s="88">
        <f>AV383</f>
        <v>0.71641791044776115</v>
      </c>
      <c r="AG383" s="138">
        <f>((AW383-AV383)+(AX383-AW383))/2</f>
        <v>-5.9507656522581887E-2</v>
      </c>
      <c r="AH383" s="147"/>
      <c r="AI383" s="138">
        <f>RSQ(AV383:AX383,AV382:AX382)</f>
        <v>0.76343209229863662</v>
      </c>
      <c r="AJ383" s="138">
        <f>SLOPE(AV383:AX383,AV382:AX382)</f>
        <v>-1.8869754097723837E-10</v>
      </c>
      <c r="AK383" s="138">
        <f>INTERCEPT(AV383:AX383,AV382:AX382)</f>
        <v>0.79505072042385472</v>
      </c>
      <c r="AL383" s="138">
        <f>INDEX(LINEST(LN(AV383:AX383),LN(AV382:AX382),TRUE,TRUE),3,1)</f>
        <v>0.62474437168921071</v>
      </c>
      <c r="AM383" s="138">
        <f>INDEX(LINEST(LN(AV383:AX383),LN(AV382:AX382)),1)</f>
        <v>-0.14802152911127761</v>
      </c>
      <c r="AN383" s="138">
        <f>EXP(INDEX(LINEST(LN(AV383:AX383),LN(AV382:AX382)),1,2))</f>
        <v>13.330176426808137</v>
      </c>
      <c r="AO383" s="155">
        <f>INDEX(LINEST((AV383:AX383),LN(AV382:AX382),TRUE,TRUE),3,1)</f>
        <v>0.62603089289127245</v>
      </c>
      <c r="AP383" s="155">
        <f>INDEX(LINEST((AV383:AX383),LN(AV382:AX382)),1)</f>
        <v>-9.6998194061359774E-2</v>
      </c>
      <c r="AQ383" s="90">
        <f>INDEX(LINEST(LN(AV383:AX383),SQRT(AV382:AX382),TRUE,TRUE),3,1)</f>
        <v>0.69494930100310393</v>
      </c>
      <c r="AR383" s="91">
        <f>INDEX(LINEST(LN(AV383:AX383),SQRT((AV382:AX382))),1)</f>
        <v>-1.3304748379916902E-5</v>
      </c>
      <c r="AS383" s="91">
        <f>INDEX(LINEST(1/(AV383:AX383),1/(SQRT(AV382:AX382)),TRUE,TRUE),3,1)</f>
        <v>0.55549227170087734</v>
      </c>
      <c r="AT383" s="91">
        <f>INDEX(LINEST(1/(AV383:AX383),1/SQRT(AV382:AX382)),1)</f>
        <v>-9741.972993791409</v>
      </c>
      <c r="AU383" s="149"/>
      <c r="AV383" s="131">
        <v>0.71641791044776115</v>
      </c>
      <c r="AW383" s="131">
        <v>0.7142857142857143</v>
      </c>
      <c r="AX383" s="131">
        <v>0.59740259740259738</v>
      </c>
      <c r="AY383" s="146"/>
      <c r="AZ383" s="146"/>
      <c r="BA383" s="146"/>
      <c r="BB383" s="146"/>
      <c r="BC383" s="146"/>
      <c r="BD383" s="146"/>
      <c r="BE383" s="146"/>
      <c r="BF383" s="146"/>
      <c r="BG383" s="146"/>
      <c r="BH383" s="146"/>
      <c r="BI383" s="146"/>
      <c r="BJ383" s="146"/>
      <c r="BK383" s="146"/>
      <c r="BL383" s="146"/>
      <c r="BM383" s="146"/>
      <c r="BN383" s="146"/>
      <c r="BO383" s="146"/>
      <c r="BP383" s="146"/>
      <c r="BQ383" s="146"/>
      <c r="BR383" s="146"/>
      <c r="BS383" s="146"/>
      <c r="BT383" s="146"/>
      <c r="BU383" s="146"/>
      <c r="BV383" s="146"/>
      <c r="BW383" s="146"/>
      <c r="BX383" s="146"/>
      <c r="BY383" s="146"/>
      <c r="BZ383" s="146"/>
      <c r="CA383" s="146"/>
      <c r="CB383" s="146"/>
      <c r="CC383" s="146"/>
      <c r="CD383" s="146"/>
      <c r="CE383" s="146"/>
      <c r="CF383" s="146"/>
      <c r="CG383" s="146"/>
      <c r="CH383" s="146"/>
      <c r="CI383" s="146"/>
      <c r="CJ383" s="146"/>
      <c r="CK383" s="146"/>
      <c r="CL383" s="146"/>
      <c r="CM383" s="146"/>
      <c r="CN383" s="146"/>
      <c r="CO383" s="146"/>
      <c r="CP383" s="146"/>
      <c r="CQ383" s="146"/>
      <c r="CR383" s="144"/>
      <c r="CS383" s="144"/>
      <c r="CT383" s="144"/>
      <c r="CU383" s="144"/>
    </row>
    <row r="384" spans="1:99" s="13" customFormat="1" ht="12" customHeight="1" x14ac:dyDescent="0.2">
      <c r="A384" s="68">
        <v>43509</v>
      </c>
      <c r="B384" s="70"/>
      <c r="C384" s="70"/>
      <c r="D384" s="69"/>
      <c r="E384" s="87"/>
      <c r="F384" s="69"/>
      <c r="G384" s="69"/>
      <c r="H384" s="69"/>
      <c r="I384" s="69"/>
      <c r="J384" s="69"/>
      <c r="K384" s="107"/>
      <c r="L384" s="107"/>
      <c r="M384" s="69"/>
      <c r="N384" s="69"/>
      <c r="O384" s="69"/>
      <c r="P384" s="69"/>
      <c r="Q384" s="69"/>
      <c r="R384" s="69"/>
      <c r="S384" s="69"/>
      <c r="T384" s="69"/>
      <c r="U384" s="60"/>
      <c r="V384" s="69"/>
      <c r="W384" s="69"/>
      <c r="X384" s="69"/>
      <c r="Y384" s="87"/>
      <c r="Z384" s="69"/>
      <c r="AA384" s="69"/>
      <c r="AB384" s="69"/>
      <c r="AC384" s="69"/>
      <c r="AD384" s="69"/>
      <c r="AE384" s="69"/>
      <c r="AF384" s="88"/>
      <c r="AG384" s="72"/>
      <c r="AH384" s="4"/>
      <c r="AI384" s="72"/>
      <c r="AJ384" s="110"/>
      <c r="AK384" s="72"/>
      <c r="AL384" s="72"/>
      <c r="AM384" s="72"/>
      <c r="AN384" s="72"/>
      <c r="AO384" s="72"/>
      <c r="AP384" s="72"/>
      <c r="AQ384" s="72"/>
      <c r="AR384" s="110"/>
      <c r="AS384" s="72"/>
      <c r="AT384" s="72"/>
      <c r="AU384" s="4"/>
      <c r="AV384" s="71">
        <f>2*24*3600</f>
        <v>172800</v>
      </c>
      <c r="AW384" s="71">
        <f>7*24*3600*1</f>
        <v>604800</v>
      </c>
      <c r="AX384" s="71">
        <f>7*24*3600*2.143</f>
        <v>1296086.3999999999</v>
      </c>
      <c r="AY384" s="71">
        <f>7*24*3600*4.429</f>
        <v>2678659.2000000002</v>
      </c>
      <c r="AZ384" s="71">
        <f>7*24*3600*6.571</f>
        <v>3974140.8</v>
      </c>
      <c r="BA384" s="53"/>
      <c r="BB384" s="53"/>
      <c r="BC384" s="53"/>
      <c r="BD384" s="53"/>
      <c r="BE384" s="53"/>
      <c r="BF384" s="53"/>
      <c r="BG384" s="53"/>
      <c r="BH384" s="53"/>
      <c r="BI384" s="53"/>
      <c r="BJ384" s="53"/>
      <c r="BK384" s="53"/>
      <c r="BL384" s="53"/>
      <c r="BM384" s="53"/>
      <c r="BN384" s="53"/>
      <c r="BO384" s="53"/>
      <c r="BP384" s="53"/>
      <c r="BQ384" s="53"/>
      <c r="BR384" s="53"/>
      <c r="BS384" s="53"/>
      <c r="BT384" s="53"/>
      <c r="BU384" s="53"/>
      <c r="BV384" s="53"/>
      <c r="BW384" s="53"/>
      <c r="BX384" s="53"/>
      <c r="BY384" s="53"/>
      <c r="BZ384" s="53"/>
      <c r="CA384" s="53"/>
      <c r="CB384" s="53"/>
      <c r="CC384" s="53"/>
      <c r="CD384" s="53"/>
      <c r="CE384" s="53"/>
      <c r="CF384" s="53"/>
      <c r="CG384" s="53"/>
      <c r="CH384" s="53"/>
      <c r="CI384" s="53"/>
      <c r="CJ384" s="53"/>
      <c r="CK384" s="53"/>
      <c r="CL384" s="53"/>
      <c r="CM384" s="53"/>
      <c r="CN384" s="53"/>
      <c r="CO384" s="53"/>
      <c r="CP384" s="53"/>
      <c r="CQ384" s="53"/>
      <c r="CR384" s="1"/>
      <c r="CS384" s="1"/>
      <c r="CT384" s="1"/>
      <c r="CU384" s="1"/>
    </row>
    <row r="385" spans="1:99" s="13" customFormat="1" ht="12" customHeight="1" x14ac:dyDescent="0.2">
      <c r="A385" s="68">
        <v>43509</v>
      </c>
      <c r="B385" s="70" t="s">
        <v>151</v>
      </c>
      <c r="C385" s="70" t="s">
        <v>70</v>
      </c>
      <c r="D385" s="69">
        <v>2009</v>
      </c>
      <c r="E385" s="87">
        <v>1</v>
      </c>
      <c r="F385" s="69">
        <v>878</v>
      </c>
      <c r="G385" s="69">
        <v>175.6</v>
      </c>
      <c r="H385" s="69" t="s">
        <v>22</v>
      </c>
      <c r="I385" s="69" t="s">
        <v>864</v>
      </c>
      <c r="J385" s="69" t="s">
        <v>622</v>
      </c>
      <c r="K385" s="69">
        <f>IF(J385="syllables",1,IF(J385="trigrams",2,IF(J385="strings",3,IF(J385="visual array",4,IF(J385="characters",5,IF(J385="letters",6,IF(J385="free forms",7,IF(J385="odors",8,IF(J385="words",9,IF(J385="pictures",10,IF(J385="object pictures",11,IF(J385="faces",12,IF(J385="names",13,IF(J385="idioms",14,IF(J385="grades",15,IF(J385="syllable-digit pairs",16,IF(J385="trigram-word pairs",17,IF(J385="word-digit pairs",18,IF(J385="English-Swahili pairs",19,IF(J385="spatial position",20,IF(J385="word pairs",21,IF(J385="word triads",22,IF(J385="generated words",23,IF(J385="word definition pairs",24,IF(J385="math problems",25,IF(J385="famous faces",26,IF(J385="famous names",27,IF(J385="famous voices",28,IF(J385="television programs",29,IF(J385="race horses",30,IF(J385="new vocabulary",31,IF(J385="sentences",32,IF(J385="concepts",33,IF(J385="ad slides",34,IF(J385="scenes",35,IF(J385="famous scenes",36,IF(J385="poems",37,IF(J385="walk",38,IF(J385="faces and events",39,IF(J385="events and names",40,IF(J385="flashbulb",41,IF(J385="stories",42,IF(J385="course material",43,IF(J385="autobiographical",44,IF(J385="novels",45,IF(J385="public events",46,"99"))))))))))))))))))))))))))))))))))))))))))))))</f>
        <v>44</v>
      </c>
      <c r="L385" s="69">
        <f>IF(J385="syllables",1,IF(J385="trigrams",1,IF(J385="strings",1,IF(J385="visual array",1,IF(J385="characters",1,IF(J385="letters",1,IF(J385="free forms",1,IF(J385="odors",2,IF(J385="words",2,IF(J385="pictures",2,IF(J385="object pictures",2,IF(J385="faces",2,IF(J385="names",2,IF(J385="idioms","2",IF(J385="grades",2,IF(J385="syllable-digit pairs",3,IF(J385="trigram-word pairs",3,IF(J385="word-digit pairs",3,IF(J385="English-Swahili pairs",3,IF(J385="spatial position",3,IF(J385="word pairs",4,IF(J385="word triads",4,IF(J385="generated words",4,IF(J385="word definition pairs",4,IF(J385="math problems",4,IF(J385="famous faces",4,IF(J385="famous names",4,IF(J385="famous voices",4,IF(J385="television programs",4,IF(J385="race horses",4,IF(J385="new vocabulary",4,IF(J385="sentences",5,IF(J385="concepts",5,IF(J385="ad slides",5,IF(J385="scenes",5,IF(J385="famous scenes",5,IF(J385="poems",6,IF(J385="walk",6,IF(J385="faces and events",6,IF(J385="events and names",6,IF(J385="flashbulb",7,IF(J385="stories",7,IF(J385="course material",7,IF(J385="autobiographical",7,IF(J385="novels",7,IF(J385="public events",7,"99"))))))))))))))))))))))))))))))))))))))))))))))</f>
        <v>7</v>
      </c>
      <c r="M385" s="92">
        <v>0</v>
      </c>
      <c r="N385" s="69">
        <v>2</v>
      </c>
      <c r="O385" s="69">
        <v>0</v>
      </c>
      <c r="P385" s="69"/>
      <c r="Q385" s="69" t="s">
        <v>174</v>
      </c>
      <c r="R385" s="69">
        <f>IF(Q385="Free Recall",1,IF(Q385="Cued Recall",2,IF(Q385="Recognition",3,IF(Q385="Multiple Choice",4,IF(Q385="Savings",5,IF(Q385="Stem Completion",6,IF(Q385="Fragment Completion",7,IF(Q385="anagram solution",8,IF(Q385="Matching",9,IF(Q385="Problem Solving",10,"99"))))))))))</f>
        <v>1</v>
      </c>
      <c r="S385" s="69" t="s">
        <v>49</v>
      </c>
      <c r="T385" s="69" t="s">
        <v>261</v>
      </c>
      <c r="U385" s="60">
        <f>IF(T385="within",1,0)</f>
        <v>0</v>
      </c>
      <c r="V385" s="69">
        <v>3</v>
      </c>
      <c r="W385" s="69">
        <f>F385*V385</f>
        <v>2634</v>
      </c>
      <c r="X385" s="69">
        <v>5</v>
      </c>
      <c r="Y385" s="87">
        <f>AV384</f>
        <v>172800</v>
      </c>
      <c r="Z385" s="69" t="s">
        <v>152</v>
      </c>
      <c r="AA385" s="69">
        <v>3974140.8</v>
      </c>
      <c r="AB385" s="69" t="str">
        <f>IF(AA385&lt;60,"1",IF(AA385&lt;=43200,"2",IF(AA385&lt;=777600,"3","4")))</f>
        <v>4</v>
      </c>
      <c r="AC385" s="72">
        <f>AVERAGE(AV384:DA384)</f>
        <v>1745297.2799999998</v>
      </c>
      <c r="AD385" s="69" t="str">
        <f>IF(AC385&lt;60,"1",IF(AC385&lt;=43200,"2",IF(AC385&lt;=777600,"3","4")))</f>
        <v>4</v>
      </c>
      <c r="AE385" s="87">
        <f>AA385-Y385</f>
        <v>3801340.8</v>
      </c>
      <c r="AF385" s="88">
        <f>AV385</f>
        <v>0.88</v>
      </c>
      <c r="AG385" s="72">
        <f>((AW385-AV385)+(AX385-AW385)+(AY385-AX385)+(AZ385-AY385))/4</f>
        <v>-7.0000000000000007E-2</v>
      </c>
      <c r="AH385" s="4"/>
      <c r="AI385" s="72">
        <f>RSQ(AV385:AZ385,AV384:AZ384)</f>
        <v>0.91813407865515395</v>
      </c>
      <c r="AJ385" s="110">
        <f>SLOPE(AV385:AZ385,AV384:AZ384)</f>
        <v>-7.1554799122475902E-8</v>
      </c>
      <c r="AK385" s="72">
        <f>INTERCEPT(AV385:AZ385,AV384:AZ384)</f>
        <v>0.85288439627940349</v>
      </c>
      <c r="AL385" s="72">
        <f>INDEX(LINEST(LN(AV385:AZ385),LN(AV384:AZ384),TRUE,TRUE),3,1)</f>
        <v>0.9501343604980208</v>
      </c>
      <c r="AM385" s="72">
        <f>INDEX(LINEST(LN(AV385:AZ385),LN(AV384:AZ384)),1)</f>
        <v>-0.1257962676550925</v>
      </c>
      <c r="AN385" s="72">
        <f>EXP(INDEX(LINEST(LN(AV385:AZ385),LN(AV384:AZ384)),1,2))</f>
        <v>4.1342737659336253</v>
      </c>
      <c r="AO385" s="89">
        <f>INDEX(LINEST((AV385:AZ385),LN(AV384:AZ384),TRUE,TRUE),3,1)</f>
        <v>0.96832785187858916</v>
      </c>
      <c r="AP385" s="89">
        <f>INDEX(LINEST((AV385:AZ385),LN(AV384:AZ384)),1)</f>
        <v>-9.2082031070168546E-2</v>
      </c>
      <c r="AQ385" s="90">
        <f>INDEX(LINEST(LN(AV385:AZ385),SQRT(AV384:AZ384),TRUE,TRUE),3,1)</f>
        <v>0.98561288195948671</v>
      </c>
      <c r="AR385" s="117">
        <f>INDEX(LINEST(LN(AV385:AZ385),SQRT((AV384:AZ384))),1)</f>
        <v>-2.5187031400673941E-4</v>
      </c>
      <c r="AS385" s="91">
        <f>INDEX(LINEST(1/(AV385:AZ385),1/(SQRT(AV384:AZ384)),TRUE,TRUE),3,1)</f>
        <v>0.78941999316643185</v>
      </c>
      <c r="AT385" s="91">
        <f>INDEX(LINEST(1/(AV385:AZ385),1/SQRT(AV384:AZ384)),1)</f>
        <v>-259.64869594332549</v>
      </c>
      <c r="AU385" s="3"/>
      <c r="AV385" s="73">
        <v>0.88</v>
      </c>
      <c r="AW385" s="73">
        <v>0.79500000000000004</v>
      </c>
      <c r="AX385" s="73">
        <v>0.74</v>
      </c>
      <c r="AY385" s="73">
        <v>0.625</v>
      </c>
      <c r="AZ385" s="73">
        <v>0.6</v>
      </c>
      <c r="BA385" s="53"/>
      <c r="BB385" s="53"/>
      <c r="BC385" s="53"/>
      <c r="BD385" s="53"/>
      <c r="BE385" s="53"/>
      <c r="BF385" s="53"/>
      <c r="BG385" s="53"/>
      <c r="BH385" s="53"/>
      <c r="BI385" s="53"/>
      <c r="BJ385" s="53"/>
      <c r="BK385" s="53"/>
      <c r="BL385" s="53"/>
      <c r="BM385" s="53"/>
      <c r="BN385" s="53"/>
      <c r="BO385" s="53"/>
      <c r="BP385" s="53"/>
      <c r="BQ385" s="53"/>
      <c r="BR385" s="53"/>
      <c r="BS385" s="53"/>
      <c r="BT385" s="53"/>
      <c r="BU385" s="53"/>
      <c r="BV385" s="53"/>
      <c r="BW385" s="53"/>
      <c r="BX385" s="53"/>
      <c r="BY385" s="53"/>
      <c r="BZ385" s="53"/>
      <c r="CA385" s="53"/>
      <c r="CB385" s="53"/>
      <c r="CC385" s="53"/>
      <c r="CD385" s="53"/>
      <c r="CE385" s="53"/>
      <c r="CF385" s="53"/>
      <c r="CG385" s="53"/>
      <c r="CH385" s="53"/>
      <c r="CI385" s="53"/>
      <c r="CJ385" s="53"/>
      <c r="CK385" s="53"/>
      <c r="CL385" s="53"/>
      <c r="CM385" s="53"/>
      <c r="CN385" s="53"/>
      <c r="CO385" s="53"/>
      <c r="CP385" s="53"/>
      <c r="CQ385" s="53"/>
      <c r="CR385" s="1"/>
      <c r="CS385" s="1"/>
      <c r="CT385" s="1"/>
      <c r="CU385" s="1"/>
    </row>
    <row r="386" spans="1:99" s="13" customFormat="1" ht="12" customHeight="1" x14ac:dyDescent="0.2">
      <c r="A386" s="68">
        <v>43509</v>
      </c>
      <c r="B386" s="70"/>
      <c r="C386" s="70"/>
      <c r="D386" s="69"/>
      <c r="E386" s="87"/>
      <c r="F386" s="69"/>
      <c r="G386" s="69"/>
      <c r="H386" s="69"/>
      <c r="I386" s="69"/>
      <c r="J386" s="69"/>
      <c r="K386" s="107"/>
      <c r="L386" s="107"/>
      <c r="M386" s="69"/>
      <c r="N386" s="69"/>
      <c r="O386" s="69"/>
      <c r="P386" s="69"/>
      <c r="Q386" s="69"/>
      <c r="R386" s="69"/>
      <c r="S386" s="69"/>
      <c r="T386" s="69"/>
      <c r="U386" s="60"/>
      <c r="V386" s="69"/>
      <c r="W386" s="69"/>
      <c r="X386" s="69"/>
      <c r="Y386" s="87"/>
      <c r="Z386" s="69"/>
      <c r="AA386" s="69"/>
      <c r="AB386" s="69"/>
      <c r="AC386" s="69"/>
      <c r="AD386" s="69"/>
      <c r="AE386" s="69"/>
      <c r="AF386" s="88"/>
      <c r="AG386" s="72"/>
      <c r="AH386" s="4"/>
      <c r="AI386" s="72"/>
      <c r="AJ386" s="110"/>
      <c r="AK386" s="72"/>
      <c r="AL386" s="72"/>
      <c r="AM386" s="72"/>
      <c r="AN386" s="72"/>
      <c r="AO386" s="72"/>
      <c r="AP386" s="72"/>
      <c r="AQ386" s="72"/>
      <c r="AR386" s="110"/>
      <c r="AS386" s="72"/>
      <c r="AT386" s="72"/>
      <c r="AU386" s="4"/>
      <c r="AV386" s="71">
        <f>2*24*3600</f>
        <v>172800</v>
      </c>
      <c r="AW386" s="71">
        <f>7*24*3600*1</f>
        <v>604800</v>
      </c>
      <c r="AX386" s="71">
        <f>7*24*3600*2.143</f>
        <v>1296086.3999999999</v>
      </c>
      <c r="AY386" s="71">
        <f>7*24*3600*4.429</f>
        <v>2678659.2000000002</v>
      </c>
      <c r="AZ386" s="71">
        <f>7*24*3600*6.571</f>
        <v>3974140.8</v>
      </c>
      <c r="BA386" s="53"/>
      <c r="BB386" s="53"/>
      <c r="BC386" s="53"/>
      <c r="BD386" s="53"/>
      <c r="BE386" s="53"/>
      <c r="BF386" s="53"/>
      <c r="BG386" s="53"/>
      <c r="BH386" s="53"/>
      <c r="BI386" s="53"/>
      <c r="BJ386" s="53"/>
      <c r="BK386" s="53"/>
      <c r="BL386" s="53"/>
      <c r="BM386" s="53"/>
      <c r="BN386" s="53"/>
      <c r="BO386" s="53"/>
      <c r="BP386" s="53"/>
      <c r="BQ386" s="53"/>
      <c r="BR386" s="53"/>
      <c r="BS386" s="53"/>
      <c r="BT386" s="53"/>
      <c r="BU386" s="53"/>
      <c r="BV386" s="53"/>
      <c r="BW386" s="53"/>
      <c r="BX386" s="53"/>
      <c r="BY386" s="53"/>
      <c r="BZ386" s="53"/>
      <c r="CA386" s="53"/>
      <c r="CB386" s="53"/>
      <c r="CC386" s="53"/>
      <c r="CD386" s="53"/>
      <c r="CE386" s="53"/>
      <c r="CF386" s="53"/>
      <c r="CG386" s="53"/>
      <c r="CH386" s="53"/>
      <c r="CI386" s="53"/>
      <c r="CJ386" s="53"/>
      <c r="CK386" s="53"/>
      <c r="CL386" s="53"/>
      <c r="CM386" s="53"/>
      <c r="CN386" s="53"/>
      <c r="CO386" s="53"/>
      <c r="CP386" s="53"/>
      <c r="CQ386" s="53"/>
      <c r="CR386" s="1"/>
      <c r="CS386" s="1"/>
      <c r="CT386" s="1"/>
      <c r="CU386" s="1"/>
    </row>
    <row r="387" spans="1:99" s="13" customFormat="1" ht="12" customHeight="1" x14ac:dyDescent="0.2">
      <c r="A387" s="68">
        <v>43509</v>
      </c>
      <c r="B387" s="70" t="s">
        <v>151</v>
      </c>
      <c r="C387" s="70" t="s">
        <v>70</v>
      </c>
      <c r="D387" s="69">
        <v>2009</v>
      </c>
      <c r="E387" s="87">
        <v>1</v>
      </c>
      <c r="F387" s="69">
        <v>878</v>
      </c>
      <c r="G387" s="69">
        <v>175.6</v>
      </c>
      <c r="H387" s="69" t="s">
        <v>22</v>
      </c>
      <c r="I387" s="69" t="s">
        <v>865</v>
      </c>
      <c r="J387" s="69" t="s">
        <v>622</v>
      </c>
      <c r="K387" s="69">
        <f>IF(J387="syllables",1,IF(J387="trigrams",2,IF(J387="strings",3,IF(J387="visual array",4,IF(J387="characters",5,IF(J387="letters",6,IF(J387="free forms",7,IF(J387="odors",8,IF(J387="words",9,IF(J387="pictures",10,IF(J387="object pictures",11,IF(J387="faces",12,IF(J387="names",13,IF(J387="idioms",14,IF(J387="grades",15,IF(J387="syllable-digit pairs",16,IF(J387="trigram-word pairs",17,IF(J387="word-digit pairs",18,IF(J387="English-Swahili pairs",19,IF(J387="spatial position",20,IF(J387="word pairs",21,IF(J387="word triads",22,IF(J387="generated words",23,IF(J387="word definition pairs",24,IF(J387="math problems",25,IF(J387="famous faces",26,IF(J387="famous names",27,IF(J387="famous voices",28,IF(J387="television programs",29,IF(J387="race horses",30,IF(J387="new vocabulary",31,IF(J387="sentences",32,IF(J387="concepts",33,IF(J387="ad slides",34,IF(J387="scenes",35,IF(J387="famous scenes",36,IF(J387="poems",37,IF(J387="walk",38,IF(J387="faces and events",39,IF(J387="events and names",40,IF(J387="flashbulb",41,IF(J387="stories",42,IF(J387="course material",43,IF(J387="autobiographical",44,IF(J387="novels",45,IF(J387="public events",46,"99"))))))))))))))))))))))))))))))))))))))))))))))</f>
        <v>44</v>
      </c>
      <c r="L387" s="69">
        <f>IF(J387="syllables",1,IF(J387="trigrams",1,IF(J387="strings",1,IF(J387="visual array",1,IF(J387="characters",1,IF(J387="letters",1,IF(J387="free forms",1,IF(J387="odors",2,IF(J387="words",2,IF(J387="pictures",2,IF(J387="object pictures",2,IF(J387="faces",2,IF(J387="names",2,IF(J387="idioms","2",IF(J387="grades",2,IF(J387="syllable-digit pairs",3,IF(J387="trigram-word pairs",3,IF(J387="word-digit pairs",3,IF(J387="English-Swahili pairs",3,IF(J387="spatial position",3,IF(J387="word pairs",4,IF(J387="word triads",4,IF(J387="generated words",4,IF(J387="word definition pairs",4,IF(J387="math problems",4,IF(J387="famous faces",4,IF(J387="famous names",4,IF(J387="famous voices",4,IF(J387="television programs",4,IF(J387="race horses",4,IF(J387="new vocabulary",4,IF(J387="sentences",5,IF(J387="concepts",5,IF(J387="ad slides",5,IF(J387="scenes",5,IF(J387="famous scenes",5,IF(J387="poems",6,IF(J387="walk",6,IF(J387="faces and events",6,IF(J387="events and names",6,IF(J387="flashbulb",7,IF(J387="stories",7,IF(J387="course material",7,IF(J387="autobiographical",7,IF(J387="novels",7,IF(J387="public events",7,"99"))))))))))))))))))))))))))))))))))))))))))))))</f>
        <v>7</v>
      </c>
      <c r="M387" s="92">
        <v>0</v>
      </c>
      <c r="N387" s="69">
        <v>2</v>
      </c>
      <c r="O387" s="69">
        <v>0</v>
      </c>
      <c r="P387" s="69"/>
      <c r="Q387" s="69" t="s">
        <v>174</v>
      </c>
      <c r="R387" s="69">
        <f>IF(Q387="Free Recall",1,IF(Q387="Cued Recall",2,IF(Q387="Recognition",3,IF(Q387="Multiple Choice",4,IF(Q387="Savings",5,IF(Q387="Stem Completion",6,IF(Q387="Fragment Completion",7,IF(Q387="anagram solution",8,IF(Q387="Matching",9,IF(Q387="Problem Solving",10,"99"))))))))))</f>
        <v>1</v>
      </c>
      <c r="S387" s="69" t="s">
        <v>49</v>
      </c>
      <c r="T387" s="69" t="s">
        <v>261</v>
      </c>
      <c r="U387" s="60">
        <f>IF(T387="within",1,0)</f>
        <v>0</v>
      </c>
      <c r="V387" s="69">
        <v>3</v>
      </c>
      <c r="W387" s="69">
        <f>F387*V387</f>
        <v>2634</v>
      </c>
      <c r="X387" s="69">
        <v>5</v>
      </c>
      <c r="Y387" s="87">
        <f>AV386</f>
        <v>172800</v>
      </c>
      <c r="Z387" s="69" t="s">
        <v>152</v>
      </c>
      <c r="AA387" s="69">
        <v>3974140.8</v>
      </c>
      <c r="AB387" s="69" t="str">
        <f>IF(AA387&lt;60,"1",IF(AA387&lt;=43200,"2",IF(AA387&lt;=777600,"3","4")))</f>
        <v>4</v>
      </c>
      <c r="AC387" s="72">
        <f>AVERAGE(AV386:DA386)</f>
        <v>1745297.2799999998</v>
      </c>
      <c r="AD387" s="69" t="str">
        <f>IF(AC387&lt;60,"1",IF(AC387&lt;=43200,"2",IF(AC387&lt;=777600,"3","4")))</f>
        <v>4</v>
      </c>
      <c r="AE387" s="87">
        <f>AA387-Y387</f>
        <v>3801340.8</v>
      </c>
      <c r="AF387" s="88">
        <f>AV387</f>
        <v>0.84</v>
      </c>
      <c r="AG387" s="72">
        <f>((AW387-AV387)+(AX387-AW387)+(AY387-AX387)+(AZ387-AY387))/4</f>
        <v>-5.3749999999999992E-2</v>
      </c>
      <c r="AH387" s="4"/>
      <c r="AI387" s="72">
        <f>RSQ(AV387:AZ387,AV386:AZ386)</f>
        <v>0.93163491043340141</v>
      </c>
      <c r="AJ387" s="110">
        <f>SLOPE(AV387:AZ387,AV386:AZ386)</f>
        <v>-6.0946783445559305E-8</v>
      </c>
      <c r="AK387" s="72">
        <f>INTERCEPT(AV387:AZ387,AV386:AZ386)</f>
        <v>0.83937025537228371</v>
      </c>
      <c r="AL387" s="72">
        <f>INDEX(LINEST(LN(AV387:AZ387),LN(AV386:AZ386),TRUE,TRUE),3,1)</f>
        <v>0.87316572889450128</v>
      </c>
      <c r="AM387" s="72">
        <f>INDEX(LINEST(LN(AV387:AZ387),LN(AV386:AZ386)),1)</f>
        <v>-0.10245942774086458</v>
      </c>
      <c r="AN387" s="72">
        <f>EXP(INDEX(LINEST(LN(AV387:AZ387),LN(AV386:AZ386)),1,2))</f>
        <v>3.0191643539951887</v>
      </c>
      <c r="AO387" s="89">
        <f>INDEX(LINEST((AV387:AZ387),LN(AV386:AZ386),TRUE,TRUE),3,1)</f>
        <v>0.8896002791291554</v>
      </c>
      <c r="AP387" s="89">
        <f>INDEX(LINEST((AV387:AZ387),LN(AV386:AZ386)),1)</f>
        <v>-7.4628263000733899E-2</v>
      </c>
      <c r="AQ387" s="90">
        <f>INDEX(LINEST(LN(AV387:AZ387),SQRT(AV386:AZ386),TRUE,TRUE),3,1)</f>
        <v>0.95287015176830736</v>
      </c>
      <c r="AR387" s="117">
        <f>INDEX(LINEST(LN(AV387:AZ387),SQRT((AV386:AZ386))),1)</f>
        <v>-2.1041127154444836E-4</v>
      </c>
      <c r="AS387" s="91">
        <f>INDEX(LINEST(1/(AV387:AZ387),1/(SQRT(AV386:AZ386)),TRUE,TRUE),3,1)</f>
        <v>0.68943392951956162</v>
      </c>
      <c r="AT387" s="91">
        <f>INDEX(LINEST(1/(AV387:AZ387),1/SQRT(AV386:AZ386)),1)</f>
        <v>-205.97012961377115</v>
      </c>
      <c r="AU387" s="3"/>
      <c r="AV387" s="73">
        <v>0.84</v>
      </c>
      <c r="AW387" s="73">
        <v>0.81</v>
      </c>
      <c r="AX387" s="73">
        <v>0.755</v>
      </c>
      <c r="AY387" s="73">
        <v>0.63500000000000001</v>
      </c>
      <c r="AZ387" s="73">
        <v>0.625</v>
      </c>
      <c r="BA387" s="53"/>
      <c r="BB387" s="53"/>
      <c r="BC387" s="53"/>
      <c r="BD387" s="53"/>
      <c r="BE387" s="53"/>
      <c r="BF387" s="53"/>
      <c r="BG387" s="53"/>
      <c r="BH387" s="53"/>
      <c r="BI387" s="53"/>
      <c r="BJ387" s="53"/>
      <c r="BK387" s="53"/>
      <c r="BL387" s="53"/>
      <c r="BM387" s="53"/>
      <c r="BN387" s="53"/>
      <c r="BO387" s="53"/>
      <c r="BP387" s="53"/>
      <c r="BQ387" s="53"/>
      <c r="BR387" s="53"/>
      <c r="BS387" s="53"/>
      <c r="BT387" s="53"/>
      <c r="BU387" s="53"/>
      <c r="BV387" s="53"/>
      <c r="BW387" s="53"/>
      <c r="BX387" s="53"/>
      <c r="BY387" s="53"/>
      <c r="BZ387" s="53"/>
      <c r="CA387" s="53"/>
      <c r="CB387" s="53"/>
      <c r="CC387" s="53"/>
      <c r="CD387" s="53"/>
      <c r="CE387" s="53"/>
      <c r="CF387" s="53"/>
      <c r="CG387" s="53"/>
      <c r="CH387" s="53"/>
      <c r="CI387" s="53"/>
      <c r="CJ387" s="53"/>
      <c r="CK387" s="53"/>
      <c r="CL387" s="53"/>
      <c r="CM387" s="53"/>
      <c r="CN387" s="53"/>
      <c r="CO387" s="53"/>
      <c r="CP387" s="53"/>
      <c r="CQ387" s="53"/>
      <c r="CR387" s="1"/>
      <c r="CS387" s="1"/>
      <c r="CT387" s="1"/>
      <c r="CU387" s="1"/>
    </row>
    <row r="388" spans="1:99" s="13" customFormat="1" ht="12" customHeight="1" x14ac:dyDescent="0.2">
      <c r="A388" s="68">
        <v>43509</v>
      </c>
      <c r="B388" s="70"/>
      <c r="C388" s="70"/>
      <c r="D388" s="69"/>
      <c r="E388" s="87"/>
      <c r="F388" s="69"/>
      <c r="G388" s="69"/>
      <c r="H388" s="69"/>
      <c r="I388" s="69"/>
      <c r="J388" s="69"/>
      <c r="K388" s="107"/>
      <c r="L388" s="107"/>
      <c r="M388" s="69"/>
      <c r="N388" s="69"/>
      <c r="O388" s="69"/>
      <c r="P388" s="69"/>
      <c r="Q388" s="69"/>
      <c r="R388" s="69"/>
      <c r="S388" s="69"/>
      <c r="T388" s="69"/>
      <c r="U388" s="60"/>
      <c r="V388" s="69"/>
      <c r="W388" s="69"/>
      <c r="X388" s="69"/>
      <c r="Y388" s="87"/>
      <c r="Z388" s="69"/>
      <c r="AA388" s="69"/>
      <c r="AB388" s="69"/>
      <c r="AC388" s="69"/>
      <c r="AD388" s="69"/>
      <c r="AE388" s="69"/>
      <c r="AF388" s="88"/>
      <c r="AG388" s="72"/>
      <c r="AH388" s="4"/>
      <c r="AI388" s="72"/>
      <c r="AJ388" s="110"/>
      <c r="AK388" s="72"/>
      <c r="AL388" s="72"/>
      <c r="AM388" s="72"/>
      <c r="AN388" s="72"/>
      <c r="AO388" s="72"/>
      <c r="AP388" s="72"/>
      <c r="AQ388" s="72"/>
      <c r="AR388" s="110"/>
      <c r="AS388" s="72"/>
      <c r="AT388" s="72"/>
      <c r="AU388" s="4"/>
      <c r="AV388" s="71">
        <f>2*24*3600</f>
        <v>172800</v>
      </c>
      <c r="AW388" s="71">
        <f>7*24*3600*1</f>
        <v>604800</v>
      </c>
      <c r="AX388" s="71">
        <f>7*24*3600*2.143</f>
        <v>1296086.3999999999</v>
      </c>
      <c r="AY388" s="71">
        <f>7*24*3600*4.429</f>
        <v>2678659.2000000002</v>
      </c>
      <c r="AZ388" s="71">
        <f>7*24*3600*6.571</f>
        <v>3974140.8</v>
      </c>
      <c r="BA388" s="53"/>
      <c r="BB388" s="53"/>
      <c r="BC388" s="53"/>
      <c r="BD388" s="53"/>
      <c r="BE388" s="53"/>
      <c r="BF388" s="53"/>
      <c r="BG388" s="53"/>
      <c r="BH388" s="53"/>
      <c r="BI388" s="53"/>
      <c r="BJ388" s="53"/>
      <c r="BK388" s="53"/>
      <c r="BL388" s="53"/>
      <c r="BM388" s="53"/>
      <c r="BN388" s="53"/>
      <c r="BO388" s="53"/>
      <c r="BP388" s="53"/>
      <c r="BQ388" s="53"/>
      <c r="BR388" s="53"/>
      <c r="BS388" s="53"/>
      <c r="BT388" s="53"/>
      <c r="BU388" s="53"/>
      <c r="BV388" s="53"/>
      <c r="BW388" s="53"/>
      <c r="BX388" s="53"/>
      <c r="BY388" s="53"/>
      <c r="BZ388" s="53"/>
      <c r="CA388" s="53"/>
      <c r="CB388" s="53"/>
      <c r="CC388" s="53"/>
      <c r="CD388" s="53"/>
      <c r="CE388" s="53"/>
      <c r="CF388" s="53"/>
      <c r="CG388" s="53"/>
      <c r="CH388" s="53"/>
      <c r="CI388" s="53"/>
      <c r="CJ388" s="53"/>
      <c r="CK388" s="53"/>
      <c r="CL388" s="53"/>
      <c r="CM388" s="53"/>
      <c r="CN388" s="53"/>
      <c r="CO388" s="53"/>
      <c r="CP388" s="53"/>
      <c r="CQ388" s="53"/>
      <c r="CR388" s="1"/>
      <c r="CS388" s="1"/>
      <c r="CT388" s="1"/>
      <c r="CU388" s="1"/>
    </row>
    <row r="389" spans="1:99" s="13" customFormat="1" ht="12" customHeight="1" x14ac:dyDescent="0.2">
      <c r="A389" s="68">
        <v>43509</v>
      </c>
      <c r="B389" s="70" t="s">
        <v>151</v>
      </c>
      <c r="C389" s="70" t="s">
        <v>70</v>
      </c>
      <c r="D389" s="69">
        <v>2009</v>
      </c>
      <c r="E389" s="87">
        <v>1</v>
      </c>
      <c r="F389" s="69">
        <v>878</v>
      </c>
      <c r="G389" s="69">
        <v>175.6</v>
      </c>
      <c r="H389" s="69" t="s">
        <v>22</v>
      </c>
      <c r="I389" s="69" t="s">
        <v>866</v>
      </c>
      <c r="J389" s="69" t="s">
        <v>622</v>
      </c>
      <c r="K389" s="69">
        <f>IF(J389="syllables",1,IF(J389="trigrams",2,IF(J389="strings",3,IF(J389="visual array",4,IF(J389="characters",5,IF(J389="letters",6,IF(J389="free forms",7,IF(J389="odors",8,IF(J389="words",9,IF(J389="pictures",10,IF(J389="object pictures",11,IF(J389="faces",12,IF(J389="names",13,IF(J389="idioms",14,IF(J389="grades",15,IF(J389="syllable-digit pairs",16,IF(J389="trigram-word pairs",17,IF(J389="word-digit pairs",18,IF(J389="English-Swahili pairs",19,IF(J389="spatial position",20,IF(J389="word pairs",21,IF(J389="word triads",22,IF(J389="generated words",23,IF(J389="word definition pairs",24,IF(J389="math problems",25,IF(J389="famous faces",26,IF(J389="famous names",27,IF(J389="famous voices",28,IF(J389="television programs",29,IF(J389="race horses",30,IF(J389="new vocabulary",31,IF(J389="sentences",32,IF(J389="concepts",33,IF(J389="ad slides",34,IF(J389="scenes",35,IF(J389="famous scenes",36,IF(J389="poems",37,IF(J389="walk",38,IF(J389="faces and events",39,IF(J389="events and names",40,IF(J389="flashbulb",41,IF(J389="stories",42,IF(J389="course material",43,IF(J389="autobiographical",44,IF(J389="novels",45,IF(J389="public events",46,"99"))))))))))))))))))))))))))))))))))))))))))))))</f>
        <v>44</v>
      </c>
      <c r="L389" s="69">
        <f>IF(J389="syllables",1,IF(J389="trigrams",1,IF(J389="strings",1,IF(J389="visual array",1,IF(J389="characters",1,IF(J389="letters",1,IF(J389="free forms",1,IF(J389="odors",2,IF(J389="words",2,IF(J389="pictures",2,IF(J389="object pictures",2,IF(J389="faces",2,IF(J389="names",2,IF(J389="idioms","2",IF(J389="grades",2,IF(J389="syllable-digit pairs",3,IF(J389="trigram-word pairs",3,IF(J389="word-digit pairs",3,IF(J389="English-Swahili pairs",3,IF(J389="spatial position",3,IF(J389="word pairs",4,IF(J389="word triads",4,IF(J389="generated words",4,IF(J389="word definition pairs",4,IF(J389="math problems",4,IF(J389="famous faces",4,IF(J389="famous names",4,IF(J389="famous voices",4,IF(J389="television programs",4,IF(J389="race horses",4,IF(J389="new vocabulary",4,IF(J389="sentences",5,IF(J389="concepts",5,IF(J389="ad slides",5,IF(J389="scenes",5,IF(J389="famous scenes",5,IF(J389="poems",6,IF(J389="walk",6,IF(J389="faces and events",6,IF(J389="events and names",6,IF(J389="flashbulb",7,IF(J389="stories",7,IF(J389="course material",7,IF(J389="autobiographical",7,IF(J389="novels",7,IF(J389="public events",7,"99"))))))))))))))))))))))))))))))))))))))))))))))</f>
        <v>7</v>
      </c>
      <c r="M389" s="92">
        <v>0</v>
      </c>
      <c r="N389" s="69">
        <v>2</v>
      </c>
      <c r="O389" s="69">
        <v>0</v>
      </c>
      <c r="P389" s="69"/>
      <c r="Q389" s="69" t="s">
        <v>174</v>
      </c>
      <c r="R389" s="69">
        <f>IF(Q389="Free Recall",1,IF(Q389="Cued Recall",2,IF(Q389="Recognition",3,IF(Q389="Multiple Choice",4,IF(Q389="Savings",5,IF(Q389="Stem Completion",6,IF(Q389="Fragment Completion",7,IF(Q389="anagram solution",8,IF(Q389="Matching",9,IF(Q389="Problem Solving",10,"99"))))))))))</f>
        <v>1</v>
      </c>
      <c r="S389" s="69" t="s">
        <v>49</v>
      </c>
      <c r="T389" s="69" t="s">
        <v>261</v>
      </c>
      <c r="U389" s="60">
        <f>IF(T389="within",1,0)</f>
        <v>0</v>
      </c>
      <c r="V389" s="69">
        <v>3</v>
      </c>
      <c r="W389" s="69">
        <f>F389*V389</f>
        <v>2634</v>
      </c>
      <c r="X389" s="69">
        <v>5</v>
      </c>
      <c r="Y389" s="87">
        <f>AV388</f>
        <v>172800</v>
      </c>
      <c r="Z389" s="69" t="s">
        <v>152</v>
      </c>
      <c r="AA389" s="69">
        <v>3974140.8</v>
      </c>
      <c r="AB389" s="69" t="str">
        <f>IF(AA389&lt;60,"1",IF(AA389&lt;=43200,"2",IF(AA389&lt;=777600,"3","4")))</f>
        <v>4</v>
      </c>
      <c r="AC389" s="72">
        <f>AVERAGE(AV388:DA388)</f>
        <v>1745297.2799999998</v>
      </c>
      <c r="AD389" s="69" t="str">
        <f>IF(AC389&lt;60,"1",IF(AC389&lt;=43200,"2",IF(AC389&lt;=777600,"3","4")))</f>
        <v>4</v>
      </c>
      <c r="AE389" s="87">
        <f>AA389-Y389</f>
        <v>3801340.8</v>
      </c>
      <c r="AF389" s="88">
        <f>AV389</f>
        <v>0.86</v>
      </c>
      <c r="AG389" s="72">
        <f>((AW389-AV389)+(AX389-AW389)+(AY389-AX389)+(AZ389-AY389))/4</f>
        <v>-0.06</v>
      </c>
      <c r="AH389" s="4"/>
      <c r="AI389" s="72">
        <f>RSQ(AV389:AZ389,AV388:AZ388)</f>
        <v>0.97506700522563494</v>
      </c>
      <c r="AJ389" s="110">
        <f>SLOPE(AV389:AZ389,AV388:AZ388)</f>
        <v>-6.3472506494494615E-8</v>
      </c>
      <c r="AK389" s="72">
        <f>INTERCEPT(AV389:AZ389,AV388:AZ388)</f>
        <v>0.85577839293962377</v>
      </c>
      <c r="AL389" s="72">
        <f>INDEX(LINEST(LN(AV389:AZ389),LN(AV388:AZ388),TRUE,TRUE),3,1)</f>
        <v>0.90063980509529684</v>
      </c>
      <c r="AM389" s="72">
        <f>INDEX(LINEST(LN(AV389:AZ389),LN(AV388:AZ388)),1)</f>
        <v>-0.10446228159936932</v>
      </c>
      <c r="AN389" s="72">
        <f>EXP(INDEX(LINEST(LN(AV389:AZ389),LN(AV388:AZ388)),1,2))</f>
        <v>3.1550098206316584</v>
      </c>
      <c r="AO389" s="89">
        <f>INDEX(LINEST((AV389:AZ389),LN(AV388:AZ388),TRUE,TRUE),3,1)</f>
        <v>0.92126432625947863</v>
      </c>
      <c r="AP389" s="89">
        <f>INDEX(LINEST((AV389:AZ389),LN(AV388:AZ388)),1)</f>
        <v>-7.7310505098930643E-2</v>
      </c>
      <c r="AQ389" s="90">
        <f>INDEX(LINEST(LN(AV389:AZ389),SQRT(AV388:AZ388),TRUE,TRUE),3,1)</f>
        <v>0.9874642625644291</v>
      </c>
      <c r="AR389" s="117">
        <f>INDEX(LINEST(LN(AV389:AZ389),SQRT((AV388:AZ388))),1)</f>
        <v>-2.1502709429739993E-4</v>
      </c>
      <c r="AS389" s="91">
        <f>INDEX(LINEST(1/(AV389:AZ389),1/(SQRT(AV388:AZ388)),TRUE,TRUE),3,1)</f>
        <v>0.70864116869967009</v>
      </c>
      <c r="AT389" s="91">
        <f>INDEX(LINEST(1/(AV389:AZ389),1/SQRT(AV388:AZ388)),1)</f>
        <v>-207.08717465718385</v>
      </c>
      <c r="AU389" s="3"/>
      <c r="AV389" s="73">
        <v>0.86</v>
      </c>
      <c r="AW389" s="73">
        <v>0.81499999999999995</v>
      </c>
      <c r="AX389" s="73">
        <v>0.76500000000000001</v>
      </c>
      <c r="AY389" s="73">
        <v>0.66500000000000004</v>
      </c>
      <c r="AZ389" s="73">
        <v>0.62</v>
      </c>
      <c r="BA389" s="53"/>
      <c r="BB389" s="53"/>
      <c r="BC389" s="53"/>
      <c r="BD389" s="53"/>
      <c r="BE389" s="53"/>
      <c r="BF389" s="53"/>
      <c r="BG389" s="53"/>
      <c r="BH389" s="53"/>
      <c r="BI389" s="53"/>
      <c r="BJ389" s="53"/>
      <c r="BK389" s="53"/>
      <c r="BL389" s="53"/>
      <c r="BM389" s="53"/>
      <c r="BN389" s="53"/>
      <c r="BO389" s="53"/>
      <c r="BP389" s="53"/>
      <c r="BQ389" s="53"/>
      <c r="BR389" s="53"/>
      <c r="BS389" s="53"/>
      <c r="BT389" s="53"/>
      <c r="BU389" s="53"/>
      <c r="BV389" s="53"/>
      <c r="BW389" s="53"/>
      <c r="BX389" s="53"/>
      <c r="BY389" s="53"/>
      <c r="BZ389" s="53"/>
      <c r="CA389" s="53"/>
      <c r="CB389" s="53"/>
      <c r="CC389" s="53"/>
      <c r="CD389" s="53"/>
      <c r="CE389" s="53"/>
      <c r="CF389" s="53"/>
      <c r="CG389" s="53"/>
      <c r="CH389" s="53"/>
      <c r="CI389" s="53"/>
      <c r="CJ389" s="53"/>
      <c r="CK389" s="53"/>
      <c r="CL389" s="53"/>
      <c r="CM389" s="53"/>
      <c r="CN389" s="53"/>
      <c r="CO389" s="53"/>
      <c r="CP389" s="53"/>
      <c r="CQ389" s="53"/>
      <c r="CR389" s="1"/>
      <c r="CS389" s="1"/>
      <c r="CT389" s="1"/>
      <c r="CU389" s="1"/>
    </row>
    <row r="390" spans="1:99" s="13" customFormat="1" ht="12" customHeight="1" x14ac:dyDescent="0.2">
      <c r="A390" s="68">
        <v>43509</v>
      </c>
      <c r="B390" s="70"/>
      <c r="C390" s="70"/>
      <c r="D390" s="69"/>
      <c r="E390" s="87"/>
      <c r="F390" s="69"/>
      <c r="G390" s="69"/>
      <c r="H390" s="69"/>
      <c r="I390" s="69"/>
      <c r="J390" s="69"/>
      <c r="K390" s="107"/>
      <c r="L390" s="107"/>
      <c r="M390" s="69"/>
      <c r="N390" s="69"/>
      <c r="O390" s="69"/>
      <c r="P390" s="69"/>
      <c r="Q390" s="69"/>
      <c r="R390" s="69"/>
      <c r="S390" s="69"/>
      <c r="T390" s="69"/>
      <c r="U390" s="60"/>
      <c r="V390" s="69"/>
      <c r="W390" s="69"/>
      <c r="X390" s="69"/>
      <c r="Y390" s="87"/>
      <c r="Z390" s="69"/>
      <c r="AA390" s="69"/>
      <c r="AB390" s="69"/>
      <c r="AC390" s="69"/>
      <c r="AD390" s="69"/>
      <c r="AE390" s="69"/>
      <c r="AF390" s="88"/>
      <c r="AG390" s="72"/>
      <c r="AH390" s="4"/>
      <c r="AI390" s="72"/>
      <c r="AJ390" s="110"/>
      <c r="AK390" s="72"/>
      <c r="AL390" s="72"/>
      <c r="AM390" s="72"/>
      <c r="AN390" s="72"/>
      <c r="AO390" s="72"/>
      <c r="AP390" s="72"/>
      <c r="AQ390" s="72"/>
      <c r="AR390" s="110"/>
      <c r="AS390" s="72"/>
      <c r="AT390" s="72"/>
      <c r="AU390" s="4"/>
      <c r="AV390" s="71">
        <f>2*24*3600</f>
        <v>172800</v>
      </c>
      <c r="AW390" s="71">
        <f>7*24*3600*1</f>
        <v>604800</v>
      </c>
      <c r="AX390" s="71">
        <f>7*24*3600*2.143</f>
        <v>1296086.3999999999</v>
      </c>
      <c r="AY390" s="71">
        <f>7*24*3600*4.429</f>
        <v>2678659.2000000002</v>
      </c>
      <c r="AZ390" s="71">
        <f>7*24*3600*6.571</f>
        <v>3974140.8</v>
      </c>
      <c r="BA390" s="53"/>
      <c r="BB390" s="53"/>
      <c r="BC390" s="53"/>
      <c r="BD390" s="53"/>
      <c r="BE390" s="53"/>
      <c r="BF390" s="53"/>
      <c r="BG390" s="53"/>
      <c r="BH390" s="53"/>
      <c r="BI390" s="53"/>
      <c r="BJ390" s="53"/>
      <c r="BK390" s="53"/>
      <c r="BL390" s="53"/>
      <c r="BM390" s="53"/>
      <c r="BN390" s="53"/>
      <c r="BO390" s="53"/>
      <c r="BP390" s="53"/>
      <c r="BQ390" s="53"/>
      <c r="BR390" s="53"/>
      <c r="BS390" s="53"/>
      <c r="BT390" s="53"/>
      <c r="BU390" s="53"/>
      <c r="BV390" s="53"/>
      <c r="BW390" s="53"/>
      <c r="BX390" s="53"/>
      <c r="BY390" s="53"/>
      <c r="BZ390" s="53"/>
      <c r="CA390" s="53"/>
      <c r="CB390" s="53"/>
      <c r="CC390" s="53"/>
      <c r="CD390" s="53"/>
      <c r="CE390" s="53"/>
      <c r="CF390" s="53"/>
      <c r="CG390" s="53"/>
      <c r="CH390" s="53"/>
      <c r="CI390" s="53"/>
      <c r="CJ390" s="53"/>
      <c r="CK390" s="53"/>
      <c r="CL390" s="53"/>
      <c r="CM390" s="53"/>
      <c r="CN390" s="53"/>
      <c r="CO390" s="53"/>
      <c r="CP390" s="53"/>
      <c r="CQ390" s="53"/>
      <c r="CR390" s="1"/>
      <c r="CS390" s="1"/>
      <c r="CT390" s="1"/>
      <c r="CU390" s="1"/>
    </row>
    <row r="391" spans="1:99" s="13" customFormat="1" ht="12" customHeight="1" x14ac:dyDescent="0.2">
      <c r="A391" s="68">
        <v>43509</v>
      </c>
      <c r="B391" s="70" t="s">
        <v>151</v>
      </c>
      <c r="C391" s="70" t="s">
        <v>70</v>
      </c>
      <c r="D391" s="69">
        <v>2009</v>
      </c>
      <c r="E391" s="87">
        <v>1</v>
      </c>
      <c r="F391" s="69">
        <v>878</v>
      </c>
      <c r="G391" s="69">
        <v>175.6</v>
      </c>
      <c r="H391" s="69" t="s">
        <v>22</v>
      </c>
      <c r="I391" s="69" t="s">
        <v>867</v>
      </c>
      <c r="J391" s="69" t="s">
        <v>622</v>
      </c>
      <c r="K391" s="69">
        <f>IF(J391="syllables",1,IF(J391="trigrams",2,IF(J391="strings",3,IF(J391="visual array",4,IF(J391="characters",5,IF(J391="letters",6,IF(J391="free forms",7,IF(J391="odors",8,IF(J391="words",9,IF(J391="pictures",10,IF(J391="object pictures",11,IF(J391="faces",12,IF(J391="names",13,IF(J391="idioms",14,IF(J391="grades",15,IF(J391="syllable-digit pairs",16,IF(J391="trigram-word pairs",17,IF(J391="word-digit pairs",18,IF(J391="English-Swahili pairs",19,IF(J391="spatial position",20,IF(J391="word pairs",21,IF(J391="word triads",22,IF(J391="generated words",23,IF(J391="word definition pairs",24,IF(J391="math problems",25,IF(J391="famous faces",26,IF(J391="famous names",27,IF(J391="famous voices",28,IF(J391="television programs",29,IF(J391="race horses",30,IF(J391="new vocabulary",31,IF(J391="sentences",32,IF(J391="concepts",33,IF(J391="ad slides",34,IF(J391="scenes",35,IF(J391="famous scenes",36,IF(J391="poems",37,IF(J391="walk",38,IF(J391="faces and events",39,IF(J391="events and names",40,IF(J391="flashbulb",41,IF(J391="stories",42,IF(J391="course material",43,IF(J391="autobiographical",44,IF(J391="novels",45,IF(J391="public events",46,"99"))))))))))))))))))))))))))))))))))))))))))))))</f>
        <v>44</v>
      </c>
      <c r="L391" s="69">
        <f>IF(J391="syllables",1,IF(J391="trigrams",1,IF(J391="strings",1,IF(J391="visual array",1,IF(J391="characters",1,IF(J391="letters",1,IF(J391="free forms",1,IF(J391="odors",2,IF(J391="words",2,IF(J391="pictures",2,IF(J391="object pictures",2,IF(J391="faces",2,IF(J391="names",2,IF(J391="idioms","2",IF(J391="grades",2,IF(J391="syllable-digit pairs",3,IF(J391="trigram-word pairs",3,IF(J391="word-digit pairs",3,IF(J391="English-Swahili pairs",3,IF(J391="spatial position",3,IF(J391="word pairs",4,IF(J391="word triads",4,IF(J391="generated words",4,IF(J391="word definition pairs",4,IF(J391="math problems",4,IF(J391="famous faces",4,IF(J391="famous names",4,IF(J391="famous voices",4,IF(J391="television programs",4,IF(J391="race horses",4,IF(J391="new vocabulary",4,IF(J391="sentences",5,IF(J391="concepts",5,IF(J391="ad slides",5,IF(J391="scenes",5,IF(J391="famous scenes",5,IF(J391="poems",6,IF(J391="walk",6,IF(J391="faces and events",6,IF(J391="events and names",6,IF(J391="flashbulb",7,IF(J391="stories",7,IF(J391="course material",7,IF(J391="autobiographical",7,IF(J391="novels",7,IF(J391="public events",7,"99"))))))))))))))))))))))))))))))))))))))))))))))</f>
        <v>7</v>
      </c>
      <c r="M391" s="92">
        <v>0</v>
      </c>
      <c r="N391" s="69">
        <v>2</v>
      </c>
      <c r="O391" s="69">
        <v>0</v>
      </c>
      <c r="P391" s="69"/>
      <c r="Q391" s="69" t="s">
        <v>174</v>
      </c>
      <c r="R391" s="69">
        <f>IF(Q391="Free Recall",1,IF(Q391="Cued Recall",2,IF(Q391="Recognition",3,IF(Q391="Multiple Choice",4,IF(Q391="Savings",5,IF(Q391="Stem Completion",6,IF(Q391="Fragment Completion",7,IF(Q391="anagram solution",8,IF(Q391="Matching",9,IF(Q391="Problem Solving",10,"99"))))))))))</f>
        <v>1</v>
      </c>
      <c r="S391" s="69" t="s">
        <v>49</v>
      </c>
      <c r="T391" s="69" t="s">
        <v>261</v>
      </c>
      <c r="U391" s="60">
        <f>IF(T391="within",1,0)</f>
        <v>0</v>
      </c>
      <c r="V391" s="69">
        <v>3</v>
      </c>
      <c r="W391" s="69">
        <f>F391*V391</f>
        <v>2634</v>
      </c>
      <c r="X391" s="69">
        <v>5</v>
      </c>
      <c r="Y391" s="87">
        <f>AV390</f>
        <v>172800</v>
      </c>
      <c r="Z391" s="69" t="s">
        <v>152</v>
      </c>
      <c r="AA391" s="69">
        <v>3974140.8</v>
      </c>
      <c r="AB391" s="69" t="str">
        <f>IF(AA391&lt;60,"1",IF(AA391&lt;=43200,"2",IF(AA391&lt;=777600,"3","4")))</f>
        <v>4</v>
      </c>
      <c r="AC391" s="72">
        <f>AVERAGE(AV390:DA390)</f>
        <v>1745297.2799999998</v>
      </c>
      <c r="AD391" s="69" t="str">
        <f>IF(AC391&lt;60,"1",IF(AC391&lt;=43200,"2",IF(AC391&lt;=777600,"3","4")))</f>
        <v>4</v>
      </c>
      <c r="AE391" s="87">
        <f>AA391-Y391</f>
        <v>3801340.8</v>
      </c>
      <c r="AF391" s="88">
        <f>AV391</f>
        <v>0.92</v>
      </c>
      <c r="AG391" s="72">
        <f>((AW391-AV391)+(AX391-AW391)+(AY391-AX391)+(AZ391-AY391))/4</f>
        <v>-5.2500000000000019E-2</v>
      </c>
      <c r="AH391" s="4"/>
      <c r="AI391" s="72">
        <f>RSQ(AV391:AZ391,AV390:AZ390)</f>
        <v>0.78797568772700499</v>
      </c>
      <c r="AJ391" s="110">
        <f>SLOPE(AV391:AZ391,AV390:AZ390)</f>
        <v>-4.5583905754243094E-8</v>
      </c>
      <c r="AK391" s="72">
        <f>INTERCEPT(AV391:AZ391,AV390:AZ390)</f>
        <v>0.87755746672465684</v>
      </c>
      <c r="AL391" s="72">
        <f>INDEX(LINEST(LN(AV391:AZ391),LN(AV390:AZ390),TRUE,TRUE),3,1)</f>
        <v>0.97115643228600135</v>
      </c>
      <c r="AM391" s="72">
        <f>INDEX(LINEST(LN(AV391:AZ391),LN(AV390:AZ390)),1)</f>
        <v>-7.7860164813678023E-2</v>
      </c>
      <c r="AN391" s="72">
        <f>EXP(INDEX(LINEST(LN(AV391:AZ391),LN(AV390:AZ390)),1,2))</f>
        <v>2.3438071976388102</v>
      </c>
      <c r="AO391" s="89">
        <f>INDEX(LINEST((AV391:AZ391),LN(AV390:AZ390),TRUE,TRUE),3,1)</f>
        <v>0.97143530087677687</v>
      </c>
      <c r="AP391" s="89">
        <f>INDEX(LINEST((AV391:AZ391),LN(AV390:AZ390)),1)</f>
        <v>-6.3422014235396812E-2</v>
      </c>
      <c r="AQ391" s="90">
        <f>INDEX(LINEST(LN(AV391:AZ391),SQRT(AV390:AZ390),TRUE,TRUE),3,1)</f>
        <v>0.91402098542302657</v>
      </c>
      <c r="AR391" s="117">
        <f>INDEX(LINEST(LN(AV391:AZ391),SQRT((AV390:AZ390))),1)</f>
        <v>-1.4849005255020487E-4</v>
      </c>
      <c r="AS391" s="91">
        <f>INDEX(LINEST(1/(AV391:AZ391),1/(SQRT(AV390:AZ390)),TRUE,TRUE),3,1)</f>
        <v>0.92137985158047997</v>
      </c>
      <c r="AT391" s="91">
        <f>INDEX(LINEST(1/(AV391:AZ391),1/SQRT(AV390:AZ390)),1)</f>
        <v>-151.92766419040564</v>
      </c>
      <c r="AU391" s="3"/>
      <c r="AV391" s="73">
        <v>0.92</v>
      </c>
      <c r="AW391" s="73">
        <v>0.83</v>
      </c>
      <c r="AX391" s="73">
        <v>0.77</v>
      </c>
      <c r="AY391" s="73">
        <v>0.76</v>
      </c>
      <c r="AZ391" s="73">
        <v>0.71</v>
      </c>
      <c r="BA391" s="53"/>
      <c r="BB391" s="53"/>
      <c r="BC391" s="53"/>
      <c r="BD391" s="53"/>
      <c r="BE391" s="53"/>
      <c r="BF391" s="53"/>
      <c r="BG391" s="53"/>
      <c r="BH391" s="53"/>
      <c r="BI391" s="53"/>
      <c r="BJ391" s="53"/>
      <c r="BK391" s="53"/>
      <c r="BL391" s="53"/>
      <c r="BM391" s="53"/>
      <c r="BN391" s="53"/>
      <c r="BO391" s="53"/>
      <c r="BP391" s="53"/>
      <c r="BQ391" s="53"/>
      <c r="BR391" s="53"/>
      <c r="BS391" s="53"/>
      <c r="BT391" s="53"/>
      <c r="BU391" s="53"/>
      <c r="BV391" s="53"/>
      <c r="BW391" s="53"/>
      <c r="BX391" s="53"/>
      <c r="BY391" s="53"/>
      <c r="BZ391" s="53"/>
      <c r="CA391" s="53"/>
      <c r="CB391" s="53"/>
      <c r="CC391" s="53"/>
      <c r="CD391" s="53"/>
      <c r="CE391" s="53"/>
      <c r="CF391" s="53"/>
      <c r="CG391" s="53"/>
      <c r="CH391" s="53"/>
      <c r="CI391" s="53"/>
      <c r="CJ391" s="53"/>
      <c r="CK391" s="53"/>
      <c r="CL391" s="53"/>
      <c r="CM391" s="53"/>
      <c r="CN391" s="53"/>
      <c r="CO391" s="53"/>
      <c r="CP391" s="53"/>
      <c r="CQ391" s="53"/>
      <c r="CR391" s="1"/>
      <c r="CS391" s="1"/>
      <c r="CT391" s="1"/>
      <c r="CU391" s="1"/>
    </row>
    <row r="392" spans="1:99" s="13" customFormat="1" ht="12" customHeight="1" x14ac:dyDescent="0.2">
      <c r="A392" s="68">
        <v>43509</v>
      </c>
      <c r="B392" s="70"/>
      <c r="C392" s="70"/>
      <c r="D392" s="69"/>
      <c r="E392" s="87"/>
      <c r="F392" s="69"/>
      <c r="G392" s="69"/>
      <c r="H392" s="69"/>
      <c r="I392" s="69"/>
      <c r="J392" s="69"/>
      <c r="K392" s="107"/>
      <c r="L392" s="107"/>
      <c r="M392" s="69"/>
      <c r="N392" s="69"/>
      <c r="O392" s="69"/>
      <c r="P392" s="69"/>
      <c r="Q392" s="69"/>
      <c r="R392" s="69"/>
      <c r="S392" s="69"/>
      <c r="T392" s="69"/>
      <c r="U392" s="60"/>
      <c r="V392" s="69"/>
      <c r="W392" s="69"/>
      <c r="X392" s="69"/>
      <c r="Y392" s="87"/>
      <c r="Z392" s="69"/>
      <c r="AA392" s="69"/>
      <c r="AB392" s="69"/>
      <c r="AC392" s="69"/>
      <c r="AD392" s="69"/>
      <c r="AE392" s="69"/>
      <c r="AF392" s="88"/>
      <c r="AG392" s="72"/>
      <c r="AH392" s="4"/>
      <c r="AI392" s="72"/>
      <c r="AJ392" s="110"/>
      <c r="AK392" s="72"/>
      <c r="AL392" s="72"/>
      <c r="AM392" s="72"/>
      <c r="AN392" s="72"/>
      <c r="AO392" s="72"/>
      <c r="AP392" s="72"/>
      <c r="AQ392" s="72"/>
      <c r="AR392" s="110"/>
      <c r="AS392" s="72"/>
      <c r="AT392" s="72"/>
      <c r="AU392" s="4"/>
      <c r="AV392" s="71">
        <f>2*24*3600</f>
        <v>172800</v>
      </c>
      <c r="AW392" s="71">
        <f>7*24*3600*1</f>
        <v>604800</v>
      </c>
      <c r="AX392" s="71">
        <f>7*24*3600*2.143</f>
        <v>1296086.3999999999</v>
      </c>
      <c r="AY392" s="71">
        <f>7*24*3600*4.429</f>
        <v>2678659.2000000002</v>
      </c>
      <c r="AZ392" s="71">
        <f>7*24*3600*6.571</f>
        <v>3974140.8</v>
      </c>
      <c r="BA392" s="53"/>
      <c r="BB392" s="53"/>
      <c r="BC392" s="53"/>
      <c r="BD392" s="53"/>
      <c r="BE392" s="53"/>
      <c r="BF392" s="53"/>
      <c r="BG392" s="53"/>
      <c r="BH392" s="53"/>
      <c r="BI392" s="53"/>
      <c r="BJ392" s="53"/>
      <c r="BK392" s="53"/>
      <c r="BL392" s="53"/>
      <c r="BM392" s="53"/>
      <c r="BN392" s="53"/>
      <c r="BO392" s="53"/>
      <c r="BP392" s="53"/>
      <c r="BQ392" s="53"/>
      <c r="BR392" s="53"/>
      <c r="BS392" s="53"/>
      <c r="BT392" s="53"/>
      <c r="BU392" s="53"/>
      <c r="BV392" s="53"/>
      <c r="BW392" s="53"/>
      <c r="BX392" s="53"/>
      <c r="BY392" s="53"/>
      <c r="BZ392" s="53"/>
      <c r="CA392" s="53"/>
      <c r="CB392" s="53"/>
      <c r="CC392" s="53"/>
      <c r="CD392" s="53"/>
      <c r="CE392" s="53"/>
      <c r="CF392" s="53"/>
      <c r="CG392" s="53"/>
      <c r="CH392" s="53"/>
      <c r="CI392" s="53"/>
      <c r="CJ392" s="53"/>
      <c r="CK392" s="53"/>
      <c r="CL392" s="53"/>
      <c r="CM392" s="53"/>
      <c r="CN392" s="53"/>
      <c r="CO392" s="53"/>
      <c r="CP392" s="53"/>
      <c r="CQ392" s="53"/>
      <c r="CR392" s="1"/>
      <c r="CS392" s="1"/>
      <c r="CT392" s="1"/>
      <c r="CU392" s="1"/>
    </row>
    <row r="393" spans="1:99" s="13" customFormat="1" ht="12" customHeight="1" x14ac:dyDescent="0.2">
      <c r="A393" s="68">
        <v>43509</v>
      </c>
      <c r="B393" s="70" t="s">
        <v>151</v>
      </c>
      <c r="C393" s="70" t="s">
        <v>70</v>
      </c>
      <c r="D393" s="69">
        <v>2009</v>
      </c>
      <c r="E393" s="87">
        <v>1</v>
      </c>
      <c r="F393" s="69">
        <v>878</v>
      </c>
      <c r="G393" s="69">
        <v>175.6</v>
      </c>
      <c r="H393" s="69" t="s">
        <v>22</v>
      </c>
      <c r="I393" s="69" t="s">
        <v>868</v>
      </c>
      <c r="J393" s="69" t="s">
        <v>622</v>
      </c>
      <c r="K393" s="69">
        <f>IF(J393="syllables",1,IF(J393="trigrams",2,IF(J393="strings",3,IF(J393="visual array",4,IF(J393="characters",5,IF(J393="letters",6,IF(J393="free forms",7,IF(J393="odors",8,IF(J393="words",9,IF(J393="pictures",10,IF(J393="object pictures",11,IF(J393="faces",12,IF(J393="names",13,IF(J393="idioms",14,IF(J393="grades",15,IF(J393="syllable-digit pairs",16,IF(J393="trigram-word pairs",17,IF(J393="word-digit pairs",18,IF(J393="English-Swahili pairs",19,IF(J393="spatial position",20,IF(J393="word pairs",21,IF(J393="word triads",22,IF(J393="generated words",23,IF(J393="word definition pairs",24,IF(J393="math problems",25,IF(J393="famous faces",26,IF(J393="famous names",27,IF(J393="famous voices",28,IF(J393="television programs",29,IF(J393="race horses",30,IF(J393="new vocabulary",31,IF(J393="sentences",32,IF(J393="concepts",33,IF(J393="ad slides",34,IF(J393="scenes",35,IF(J393="famous scenes",36,IF(J393="poems",37,IF(J393="walk",38,IF(J393="faces and events",39,IF(J393="events and names",40,IF(J393="flashbulb",41,IF(J393="stories",42,IF(J393="course material",43,IF(J393="autobiographical",44,IF(J393="novels",45,IF(J393="public events",46,"99"))))))))))))))))))))))))))))))))))))))))))))))</f>
        <v>44</v>
      </c>
      <c r="L393" s="69">
        <f>IF(J393="syllables",1,IF(J393="trigrams",1,IF(J393="strings",1,IF(J393="visual array",1,IF(J393="characters",1,IF(J393="letters",1,IF(J393="free forms",1,IF(J393="odors",2,IF(J393="words",2,IF(J393="pictures",2,IF(J393="object pictures",2,IF(J393="faces",2,IF(J393="names",2,IF(J393="idioms","2",IF(J393="grades",2,IF(J393="syllable-digit pairs",3,IF(J393="trigram-word pairs",3,IF(J393="word-digit pairs",3,IF(J393="English-Swahili pairs",3,IF(J393="spatial position",3,IF(J393="word pairs",4,IF(J393="word triads",4,IF(J393="generated words",4,IF(J393="word definition pairs",4,IF(J393="math problems",4,IF(J393="famous faces",4,IF(J393="famous names",4,IF(J393="famous voices",4,IF(J393="television programs",4,IF(J393="race horses",4,IF(J393="new vocabulary",4,IF(J393="sentences",5,IF(J393="concepts",5,IF(J393="ad slides",5,IF(J393="scenes",5,IF(J393="famous scenes",5,IF(J393="poems",6,IF(J393="walk",6,IF(J393="faces and events",6,IF(J393="events and names",6,IF(J393="flashbulb",7,IF(J393="stories",7,IF(J393="course material",7,IF(J393="autobiographical",7,IF(J393="novels",7,IF(J393="public events",7,"99"))))))))))))))))))))))))))))))))))))))))))))))</f>
        <v>7</v>
      </c>
      <c r="M393" s="92">
        <v>0</v>
      </c>
      <c r="N393" s="69">
        <v>2</v>
      </c>
      <c r="O393" s="69">
        <v>0</v>
      </c>
      <c r="P393" s="69"/>
      <c r="Q393" s="69" t="s">
        <v>174</v>
      </c>
      <c r="R393" s="69">
        <f>IF(Q393="Free Recall",1,IF(Q393="Cued Recall",2,IF(Q393="Recognition",3,IF(Q393="Multiple Choice",4,IF(Q393="Savings",5,IF(Q393="Stem Completion",6,IF(Q393="Fragment Completion",7,IF(Q393="anagram solution",8,IF(Q393="Matching",9,IF(Q393="Problem Solving",10,"99"))))))))))</f>
        <v>1</v>
      </c>
      <c r="S393" s="69" t="s">
        <v>49</v>
      </c>
      <c r="T393" s="69" t="s">
        <v>261</v>
      </c>
      <c r="U393" s="60">
        <f>IF(T393="within",1,0)</f>
        <v>0</v>
      </c>
      <c r="V393" s="69">
        <v>3</v>
      </c>
      <c r="W393" s="69">
        <f>F393*V393</f>
        <v>2634</v>
      </c>
      <c r="X393" s="69">
        <v>5</v>
      </c>
      <c r="Y393" s="87">
        <f>AV392</f>
        <v>172800</v>
      </c>
      <c r="Z393" s="69" t="s">
        <v>152</v>
      </c>
      <c r="AA393" s="69">
        <v>3974140.8</v>
      </c>
      <c r="AB393" s="69" t="str">
        <f>IF(AA393&lt;60,"1",IF(AA393&lt;=43200,"2",IF(AA393&lt;=777600,"3","4")))</f>
        <v>4</v>
      </c>
      <c r="AC393" s="72">
        <f>AVERAGE(AV392:DA392)</f>
        <v>1745297.2799999998</v>
      </c>
      <c r="AD393" s="69" t="str">
        <f>IF(AC393&lt;60,"1",IF(AC393&lt;=43200,"2",IF(AC393&lt;=777600,"3","4")))</f>
        <v>4</v>
      </c>
      <c r="AE393" s="87">
        <f>AA393-Y393</f>
        <v>3801340.8</v>
      </c>
      <c r="AF393" s="88">
        <f>AV393</f>
        <v>0.95</v>
      </c>
      <c r="AG393" s="72">
        <f>((AW393-AV393)+(AX393-AW393)+(AY393-AX393)+(AZ393-AY393))/4</f>
        <v>-3.2500000000000001E-2</v>
      </c>
      <c r="AH393" s="4"/>
      <c r="AI393" s="72">
        <f>RSQ(AV393:AZ393,AV392:AZ392)</f>
        <v>0.88867603212942903</v>
      </c>
      <c r="AJ393" s="110">
        <f>SLOPE(AV393:AZ393,AV392:AZ392)</f>
        <v>-3.1674852621221954E-8</v>
      </c>
      <c r="AK393" s="72">
        <f>INTERCEPT(AV393:AZ393,AV392:AZ392)</f>
        <v>0.9332820341242194</v>
      </c>
      <c r="AL393" s="72">
        <f>INDEX(LINEST(LN(AV393:AZ393),LN(AV392:AZ392),TRUE,TRUE),3,1)</f>
        <v>0.98829752468617504</v>
      </c>
      <c r="AM393" s="72">
        <f>INDEX(LINEST(LN(AV393:AZ393),LN(AV392:AZ392)),1)</f>
        <v>-4.7376859656874416E-2</v>
      </c>
      <c r="AN393" s="72">
        <f>EXP(INDEX(LINEST(LN(AV393:AZ393),LN(AV392:AZ392)),1,2))</f>
        <v>1.6929446052426196</v>
      </c>
      <c r="AO393" s="89">
        <f>INDEX(LINEST((AV393:AZ393),LN(AV392:AZ392),TRUE,TRUE),3,1)</f>
        <v>0.99152431841332411</v>
      </c>
      <c r="AP393" s="89">
        <f>INDEX(LINEST((AV393:AZ393),LN(AV392:AZ392)),1)</f>
        <v>-4.1924946736067822E-2</v>
      </c>
      <c r="AQ393" s="90">
        <f>INDEX(LINEST(LN(AV393:AZ393),SQRT(AV392:AZ392),TRUE,TRUE),3,1)</f>
        <v>0.97970733330864523</v>
      </c>
      <c r="AR393" s="117">
        <f>INDEX(LINEST(LN(AV393:AZ393),SQRT((AV392:AZ392))),1)</f>
        <v>-9.2729763099123211E-5</v>
      </c>
      <c r="AS393" s="91">
        <f>INDEX(LINEST(1/(AV393:AZ393),1/(SQRT(AV392:AZ392)),TRUE,TRUE),3,1)</f>
        <v>0.88867356015604115</v>
      </c>
      <c r="AT393" s="91">
        <f>INDEX(LINEST(1/(AV393:AZ393),1/SQRT(AV392:AZ392)),1)</f>
        <v>-82.586118373620309</v>
      </c>
      <c r="AU393" s="3"/>
      <c r="AV393" s="73">
        <v>0.95</v>
      </c>
      <c r="AW393" s="73">
        <v>0.91</v>
      </c>
      <c r="AX393" s="73">
        <v>0.87</v>
      </c>
      <c r="AY393" s="73">
        <v>0.84</v>
      </c>
      <c r="AZ393" s="73">
        <v>0.82</v>
      </c>
      <c r="BA393" s="53"/>
      <c r="BB393" s="53"/>
      <c r="BC393" s="53"/>
      <c r="BD393" s="53"/>
      <c r="BE393" s="53"/>
      <c r="BF393" s="53"/>
      <c r="BG393" s="53"/>
      <c r="BH393" s="53"/>
      <c r="BI393" s="53"/>
      <c r="BJ393" s="53"/>
      <c r="BK393" s="53"/>
      <c r="BL393" s="53"/>
      <c r="BM393" s="53"/>
      <c r="BN393" s="53"/>
      <c r="BO393" s="53"/>
      <c r="BP393" s="53"/>
      <c r="BQ393" s="53"/>
      <c r="BR393" s="53"/>
      <c r="BS393" s="53"/>
      <c r="BT393" s="53"/>
      <c r="BU393" s="53"/>
      <c r="BV393" s="53"/>
      <c r="BW393" s="53"/>
      <c r="BX393" s="53"/>
      <c r="BY393" s="53"/>
      <c r="BZ393" s="53"/>
      <c r="CA393" s="53"/>
      <c r="CB393" s="53"/>
      <c r="CC393" s="53"/>
      <c r="CD393" s="53"/>
      <c r="CE393" s="53"/>
      <c r="CF393" s="53"/>
      <c r="CG393" s="53"/>
      <c r="CH393" s="53"/>
      <c r="CI393" s="53"/>
      <c r="CJ393" s="53"/>
      <c r="CK393" s="53"/>
      <c r="CL393" s="53"/>
      <c r="CM393" s="53"/>
      <c r="CN393" s="53"/>
      <c r="CO393" s="53"/>
      <c r="CP393" s="53"/>
      <c r="CQ393" s="53"/>
      <c r="CR393" s="1"/>
      <c r="CS393" s="1"/>
      <c r="CT393" s="1"/>
      <c r="CU393" s="1"/>
    </row>
    <row r="394" spans="1:99" s="13" customFormat="1" ht="12" customHeight="1" x14ac:dyDescent="0.2">
      <c r="A394" s="68">
        <v>43509</v>
      </c>
      <c r="B394" s="70"/>
      <c r="C394" s="70"/>
      <c r="D394" s="69"/>
      <c r="E394" s="87"/>
      <c r="F394" s="69"/>
      <c r="G394" s="69"/>
      <c r="H394" s="69"/>
      <c r="I394" s="69"/>
      <c r="J394" s="69"/>
      <c r="K394" s="107"/>
      <c r="L394" s="107"/>
      <c r="M394" s="69"/>
      <c r="N394" s="69"/>
      <c r="O394" s="69"/>
      <c r="P394" s="69"/>
      <c r="Q394" s="69"/>
      <c r="R394" s="69"/>
      <c r="S394" s="69"/>
      <c r="T394" s="69"/>
      <c r="U394" s="60"/>
      <c r="V394" s="69"/>
      <c r="W394" s="69"/>
      <c r="X394" s="69"/>
      <c r="Y394" s="87"/>
      <c r="Z394" s="69"/>
      <c r="AA394" s="69"/>
      <c r="AB394" s="69"/>
      <c r="AC394" s="69"/>
      <c r="AD394" s="69"/>
      <c r="AE394" s="69"/>
      <c r="AF394" s="88"/>
      <c r="AG394" s="72"/>
      <c r="AH394" s="4"/>
      <c r="AI394" s="72"/>
      <c r="AJ394" s="110"/>
      <c r="AK394" s="72"/>
      <c r="AL394" s="72"/>
      <c r="AM394" s="72"/>
      <c r="AN394" s="72"/>
      <c r="AO394" s="72"/>
      <c r="AP394" s="72"/>
      <c r="AQ394" s="72"/>
      <c r="AR394" s="110"/>
      <c r="AS394" s="72"/>
      <c r="AT394" s="72"/>
      <c r="AU394" s="4"/>
      <c r="AV394" s="71">
        <f>2*24*3600</f>
        <v>172800</v>
      </c>
      <c r="AW394" s="71">
        <f>7*24*3600*1</f>
        <v>604800</v>
      </c>
      <c r="AX394" s="71">
        <f>7*24*3600*2.143</f>
        <v>1296086.3999999999</v>
      </c>
      <c r="AY394" s="71">
        <f>7*24*3600*4.429</f>
        <v>2678659.2000000002</v>
      </c>
      <c r="AZ394" s="71">
        <f>7*24*3600*6.571</f>
        <v>3974140.8</v>
      </c>
      <c r="BA394" s="53"/>
      <c r="BB394" s="53"/>
      <c r="BC394" s="53"/>
      <c r="BD394" s="53"/>
      <c r="BE394" s="53"/>
      <c r="BF394" s="53"/>
      <c r="BG394" s="53"/>
      <c r="BH394" s="53"/>
      <c r="BI394" s="53"/>
      <c r="BJ394" s="53"/>
      <c r="BK394" s="53"/>
      <c r="BL394" s="53"/>
      <c r="BM394" s="53"/>
      <c r="BN394" s="53"/>
      <c r="BO394" s="53"/>
      <c r="BP394" s="53"/>
      <c r="BQ394" s="53"/>
      <c r="BR394" s="53"/>
      <c r="BS394" s="53"/>
      <c r="BT394" s="53"/>
      <c r="BU394" s="53"/>
      <c r="BV394" s="53"/>
      <c r="BW394" s="53"/>
      <c r="BX394" s="53"/>
      <c r="BY394" s="53"/>
      <c r="BZ394" s="53"/>
      <c r="CA394" s="53"/>
      <c r="CB394" s="53"/>
      <c r="CC394" s="53"/>
      <c r="CD394" s="53"/>
      <c r="CE394" s="53"/>
      <c r="CF394" s="53"/>
      <c r="CG394" s="53"/>
      <c r="CH394" s="53"/>
      <c r="CI394" s="53"/>
      <c r="CJ394" s="53"/>
      <c r="CK394" s="53"/>
      <c r="CL394" s="53"/>
      <c r="CM394" s="53"/>
      <c r="CN394" s="53"/>
      <c r="CO394" s="53"/>
      <c r="CP394" s="53"/>
      <c r="CQ394" s="53"/>
      <c r="CR394" s="1"/>
      <c r="CS394" s="1"/>
      <c r="CT394" s="1"/>
      <c r="CU394" s="1"/>
    </row>
    <row r="395" spans="1:99" s="13" customFormat="1" ht="12" customHeight="1" x14ac:dyDescent="0.2">
      <c r="A395" s="68">
        <v>43509</v>
      </c>
      <c r="B395" s="70" t="s">
        <v>151</v>
      </c>
      <c r="C395" s="70" t="s">
        <v>70</v>
      </c>
      <c r="D395" s="69">
        <v>2009</v>
      </c>
      <c r="E395" s="87">
        <v>1</v>
      </c>
      <c r="F395" s="69">
        <v>878</v>
      </c>
      <c r="G395" s="69">
        <v>175.6</v>
      </c>
      <c r="H395" s="69" t="s">
        <v>22</v>
      </c>
      <c r="I395" s="69" t="s">
        <v>869</v>
      </c>
      <c r="J395" s="69" t="s">
        <v>622</v>
      </c>
      <c r="K395" s="69">
        <f>IF(J395="syllables",1,IF(J395="trigrams",2,IF(J395="strings",3,IF(J395="visual array",4,IF(J395="characters",5,IF(J395="letters",6,IF(J395="free forms",7,IF(J395="odors",8,IF(J395="words",9,IF(J395="pictures",10,IF(J395="object pictures",11,IF(J395="faces",12,IF(J395="names",13,IF(J395="idioms",14,IF(J395="grades",15,IF(J395="syllable-digit pairs",16,IF(J395="trigram-word pairs",17,IF(J395="word-digit pairs",18,IF(J395="English-Swahili pairs",19,IF(J395="spatial position",20,IF(J395="word pairs",21,IF(J395="word triads",22,IF(J395="generated words",23,IF(J395="word definition pairs",24,IF(J395="math problems",25,IF(J395="famous faces",26,IF(J395="famous names",27,IF(J395="famous voices",28,IF(J395="television programs",29,IF(J395="race horses",30,IF(J395="new vocabulary",31,IF(J395="sentences",32,IF(J395="concepts",33,IF(J395="ad slides",34,IF(J395="scenes",35,IF(J395="famous scenes",36,IF(J395="poems",37,IF(J395="walk",38,IF(J395="faces and events",39,IF(J395="events and names",40,IF(J395="flashbulb",41,IF(J395="stories",42,IF(J395="course material",43,IF(J395="autobiographical",44,IF(J395="novels",45,IF(J395="public events",46,"99"))))))))))))))))))))))))))))))))))))))))))))))</f>
        <v>44</v>
      </c>
      <c r="L395" s="69">
        <f>IF(J395="syllables",1,IF(J395="trigrams",1,IF(J395="strings",1,IF(J395="visual array",1,IF(J395="characters",1,IF(J395="letters",1,IF(J395="free forms",1,IF(J395="odors",2,IF(J395="words",2,IF(J395="pictures",2,IF(J395="object pictures",2,IF(J395="faces",2,IF(J395="names",2,IF(J395="idioms","2",IF(J395="grades",2,IF(J395="syllable-digit pairs",3,IF(J395="trigram-word pairs",3,IF(J395="word-digit pairs",3,IF(J395="English-Swahili pairs",3,IF(J395="spatial position",3,IF(J395="word pairs",4,IF(J395="word triads",4,IF(J395="generated words",4,IF(J395="word definition pairs",4,IF(J395="math problems",4,IF(J395="famous faces",4,IF(J395="famous names",4,IF(J395="famous voices",4,IF(J395="television programs",4,IF(J395="race horses",4,IF(J395="new vocabulary",4,IF(J395="sentences",5,IF(J395="concepts",5,IF(J395="ad slides",5,IF(J395="scenes",5,IF(J395="famous scenes",5,IF(J395="poems",6,IF(J395="walk",6,IF(J395="faces and events",6,IF(J395="events and names",6,IF(J395="flashbulb",7,IF(J395="stories",7,IF(J395="course material",7,IF(J395="autobiographical",7,IF(J395="novels",7,IF(J395="public events",7,"99"))))))))))))))))))))))))))))))))))))))))))))))</f>
        <v>7</v>
      </c>
      <c r="M395" s="92">
        <v>0</v>
      </c>
      <c r="N395" s="69">
        <v>2</v>
      </c>
      <c r="O395" s="69">
        <v>0</v>
      </c>
      <c r="P395" s="69"/>
      <c r="Q395" s="69" t="s">
        <v>174</v>
      </c>
      <c r="R395" s="69">
        <f>IF(Q395="Free Recall",1,IF(Q395="Cued Recall",2,IF(Q395="Recognition",3,IF(Q395="Multiple Choice",4,IF(Q395="Savings",5,IF(Q395="Stem Completion",6,IF(Q395="Fragment Completion",7,IF(Q395="anagram solution",8,IF(Q395="Matching",9,IF(Q395="Problem Solving",10,"99"))))))))))</f>
        <v>1</v>
      </c>
      <c r="S395" s="69" t="s">
        <v>49</v>
      </c>
      <c r="T395" s="69" t="s">
        <v>261</v>
      </c>
      <c r="U395" s="60">
        <f>IF(T395="within",1,0)</f>
        <v>0</v>
      </c>
      <c r="V395" s="69">
        <v>3</v>
      </c>
      <c r="W395" s="69">
        <f>F395*V395</f>
        <v>2634</v>
      </c>
      <c r="X395" s="69">
        <v>5</v>
      </c>
      <c r="Y395" s="87">
        <f>AV394</f>
        <v>172800</v>
      </c>
      <c r="Z395" s="69" t="s">
        <v>152</v>
      </c>
      <c r="AA395" s="69">
        <v>3974140.8</v>
      </c>
      <c r="AB395" s="69" t="str">
        <f>IF(AA395&lt;60,"1",IF(AA395&lt;=43200,"2",IF(AA395&lt;=777600,"3","4")))</f>
        <v>4</v>
      </c>
      <c r="AC395" s="72">
        <f>AVERAGE(AV394:DA394)</f>
        <v>1745297.2799999998</v>
      </c>
      <c r="AD395" s="69" t="str">
        <f>IF(AC395&lt;60,"1",IF(AC395&lt;=43200,"2",IF(AC395&lt;=777600,"3","4")))</f>
        <v>4</v>
      </c>
      <c r="AE395" s="87">
        <f>AA395-Y395</f>
        <v>3801340.8</v>
      </c>
      <c r="AF395" s="88">
        <f>AV395</f>
        <v>0.78</v>
      </c>
      <c r="AG395" s="72">
        <f>((AW395-AV395)+(AX395-AW395)+(AY395-AX395)+(AZ395-AY395))/4</f>
        <v>-0.13250000000000001</v>
      </c>
      <c r="AH395" s="4"/>
      <c r="AI395" s="72">
        <f>RSQ(AV395:AZ395,AV394:AZ394)</f>
        <v>0.81928618548267718</v>
      </c>
      <c r="AJ395" s="110">
        <f>SLOPE(AV395:AZ395,AV394:AZ394)</f>
        <v>-1.3731870355831144E-7</v>
      </c>
      <c r="AK395" s="72">
        <f>INTERCEPT(AV395:AZ395,AV394:AZ394)</f>
        <v>0.70766195981344726</v>
      </c>
      <c r="AL395" s="72">
        <f>INDEX(LINEST(LN(AV395:AZ395),LN(AV394:AZ394),TRUE,TRUE),3,1)</f>
        <v>0.93581919306822547</v>
      </c>
      <c r="AM395" s="72">
        <f>INDEX(LINEST(LN(AV395:AZ395),LN(AV394:AZ394)),1)</f>
        <v>-0.40127212015301539</v>
      </c>
      <c r="AN395" s="72">
        <f>EXP(INDEX(LINEST(LN(AV395:AZ395),LN(AV394:AZ394)),1,2))</f>
        <v>110.76063528802553</v>
      </c>
      <c r="AO395" s="89">
        <f>INDEX(LINEST((AV395:AZ395),LN(AV394:AZ394),TRUE,TRUE),3,1)</f>
        <v>0.95746895326498316</v>
      </c>
      <c r="AP395" s="89">
        <f>INDEX(LINEST((AV395:AZ395),LN(AV394:AZ394)),1)</f>
        <v>-0.18601681067242992</v>
      </c>
      <c r="AQ395" s="90">
        <f>INDEX(LINEST(LN(AV395:AZ395),SQRT(AV394:AZ394),TRUE,TRUE),3,1)</f>
        <v>0.95372704166038302</v>
      </c>
      <c r="AR395" s="117">
        <f>INDEX(LINEST(LN(AV395:AZ395),SQRT((AV394:AZ394))),1)</f>
        <v>-7.9634932287135814E-4</v>
      </c>
      <c r="AS395" s="91">
        <f>INDEX(LINEST(1/(AV395:AZ395),1/(SQRT(AV394:AZ394)),TRUE,TRUE),3,1)</f>
        <v>0.73889169907592933</v>
      </c>
      <c r="AT395" s="91">
        <f>INDEX(LINEST(1/(AV395:AZ395),1/SQRT(AV394:AZ394)),1)</f>
        <v>-1407.8600811472882</v>
      </c>
      <c r="AU395" s="3"/>
      <c r="AV395" s="73">
        <v>0.78</v>
      </c>
      <c r="AW395" s="73">
        <v>0.65</v>
      </c>
      <c r="AX395" s="73">
        <v>0.4</v>
      </c>
      <c r="AY395" s="73">
        <v>0.26</v>
      </c>
      <c r="AZ395" s="73">
        <v>0.25</v>
      </c>
      <c r="BA395" s="53"/>
      <c r="BB395" s="53"/>
      <c r="BC395" s="53"/>
      <c r="BD395" s="53"/>
      <c r="BE395" s="53"/>
      <c r="BF395" s="53"/>
      <c r="BG395" s="53"/>
      <c r="BH395" s="53"/>
      <c r="BI395" s="53"/>
      <c r="BJ395" s="53"/>
      <c r="BK395" s="53"/>
      <c r="BL395" s="53"/>
      <c r="BM395" s="53"/>
      <c r="BN395" s="53"/>
      <c r="BO395" s="53"/>
      <c r="BP395" s="53"/>
      <c r="BQ395" s="53"/>
      <c r="BR395" s="53"/>
      <c r="BS395" s="53"/>
      <c r="BT395" s="53"/>
      <c r="BU395" s="53"/>
      <c r="BV395" s="53"/>
      <c r="BW395" s="53"/>
      <c r="BX395" s="53"/>
      <c r="BY395" s="53"/>
      <c r="BZ395" s="53"/>
      <c r="CA395" s="53"/>
      <c r="CB395" s="53"/>
      <c r="CC395" s="53"/>
      <c r="CD395" s="53"/>
      <c r="CE395" s="53"/>
      <c r="CF395" s="53"/>
      <c r="CG395" s="53"/>
      <c r="CH395" s="53"/>
      <c r="CI395" s="53"/>
      <c r="CJ395" s="53"/>
      <c r="CK395" s="53"/>
      <c r="CL395" s="53"/>
      <c r="CM395" s="53"/>
      <c r="CN395" s="53"/>
      <c r="CO395" s="53"/>
      <c r="CP395" s="53"/>
      <c r="CQ395" s="53"/>
      <c r="CR395" s="1"/>
      <c r="CS395" s="1"/>
      <c r="CT395" s="1"/>
      <c r="CU395" s="1"/>
    </row>
    <row r="396" spans="1:99" s="13" customFormat="1" ht="12" customHeight="1" x14ac:dyDescent="0.2">
      <c r="A396" s="68">
        <v>43509</v>
      </c>
      <c r="B396" s="70"/>
      <c r="C396" s="70"/>
      <c r="D396" s="69"/>
      <c r="E396" s="87"/>
      <c r="F396" s="69"/>
      <c r="G396" s="69"/>
      <c r="H396" s="69"/>
      <c r="I396" s="69"/>
      <c r="J396" s="69"/>
      <c r="K396" s="107"/>
      <c r="L396" s="107"/>
      <c r="M396" s="69"/>
      <c r="N396" s="69"/>
      <c r="O396" s="69"/>
      <c r="P396" s="69"/>
      <c r="Q396" s="69"/>
      <c r="R396" s="69"/>
      <c r="S396" s="69"/>
      <c r="T396" s="69"/>
      <c r="U396" s="60"/>
      <c r="V396" s="69"/>
      <c r="W396" s="69"/>
      <c r="X396" s="69"/>
      <c r="Y396" s="87"/>
      <c r="Z396" s="69"/>
      <c r="AA396" s="69"/>
      <c r="AB396" s="69"/>
      <c r="AC396" s="69"/>
      <c r="AD396" s="69"/>
      <c r="AE396" s="69"/>
      <c r="AF396" s="88"/>
      <c r="AG396" s="72"/>
      <c r="AH396" s="4"/>
      <c r="AI396" s="72"/>
      <c r="AJ396" s="110"/>
      <c r="AK396" s="72"/>
      <c r="AL396" s="72"/>
      <c r="AM396" s="72"/>
      <c r="AN396" s="72"/>
      <c r="AO396" s="72"/>
      <c r="AP396" s="72"/>
      <c r="AQ396" s="72"/>
      <c r="AR396" s="110"/>
      <c r="AS396" s="72"/>
      <c r="AT396" s="72"/>
      <c r="AU396" s="4"/>
      <c r="AV396" s="71">
        <f>2*24*3600</f>
        <v>172800</v>
      </c>
      <c r="AW396" s="71">
        <f>7*24*3600*1</f>
        <v>604800</v>
      </c>
      <c r="AX396" s="71">
        <f>7*24*3600*2.143</f>
        <v>1296086.3999999999</v>
      </c>
      <c r="AY396" s="71">
        <f>7*24*3600*4.429</f>
        <v>2678659.2000000002</v>
      </c>
      <c r="AZ396" s="71">
        <f>7*24*3600*6.571</f>
        <v>3974140.8</v>
      </c>
      <c r="BA396" s="53"/>
      <c r="BB396" s="53"/>
      <c r="BC396" s="53"/>
      <c r="BD396" s="53"/>
      <c r="BE396" s="53"/>
      <c r="BF396" s="53"/>
      <c r="BG396" s="53"/>
      <c r="BH396" s="53"/>
      <c r="BI396" s="53"/>
      <c r="BJ396" s="53"/>
      <c r="BK396" s="53"/>
      <c r="BL396" s="53"/>
      <c r="BM396" s="53"/>
      <c r="BN396" s="53"/>
      <c r="BO396" s="53"/>
      <c r="BP396" s="53"/>
      <c r="BQ396" s="53"/>
      <c r="BR396" s="53"/>
      <c r="BS396" s="53"/>
      <c r="BT396" s="53"/>
      <c r="BU396" s="53"/>
      <c r="BV396" s="53"/>
      <c r="BW396" s="53"/>
      <c r="BX396" s="53"/>
      <c r="BY396" s="53"/>
      <c r="BZ396" s="53"/>
      <c r="CA396" s="53"/>
      <c r="CB396" s="53"/>
      <c r="CC396" s="53"/>
      <c r="CD396" s="53"/>
      <c r="CE396" s="53"/>
      <c r="CF396" s="53"/>
      <c r="CG396" s="53"/>
      <c r="CH396" s="53"/>
      <c r="CI396" s="53"/>
      <c r="CJ396" s="53"/>
      <c r="CK396" s="53"/>
      <c r="CL396" s="53"/>
      <c r="CM396" s="53"/>
      <c r="CN396" s="53"/>
      <c r="CO396" s="53"/>
      <c r="CP396" s="53"/>
      <c r="CQ396" s="53"/>
      <c r="CR396" s="1"/>
      <c r="CS396" s="1"/>
      <c r="CT396" s="1"/>
      <c r="CU396" s="1"/>
    </row>
    <row r="397" spans="1:99" s="13" customFormat="1" ht="12" customHeight="1" x14ac:dyDescent="0.2">
      <c r="A397" s="68">
        <v>43509</v>
      </c>
      <c r="B397" s="70" t="s">
        <v>151</v>
      </c>
      <c r="C397" s="70" t="s">
        <v>70</v>
      </c>
      <c r="D397" s="69">
        <v>2009</v>
      </c>
      <c r="E397" s="87">
        <v>1</v>
      </c>
      <c r="F397" s="69">
        <v>878</v>
      </c>
      <c r="G397" s="69">
        <v>175.6</v>
      </c>
      <c r="H397" s="69" t="s">
        <v>22</v>
      </c>
      <c r="I397" s="69" t="s">
        <v>870</v>
      </c>
      <c r="J397" s="69" t="s">
        <v>622</v>
      </c>
      <c r="K397" s="69">
        <f>IF(J397="syllables",1,IF(J397="trigrams",2,IF(J397="strings",3,IF(J397="visual array",4,IF(J397="characters",5,IF(J397="letters",6,IF(J397="free forms",7,IF(J397="odors",8,IF(J397="words",9,IF(J397="pictures",10,IF(J397="object pictures",11,IF(J397="faces",12,IF(J397="names",13,IF(J397="idioms",14,IF(J397="grades",15,IF(J397="syllable-digit pairs",16,IF(J397="trigram-word pairs",17,IF(J397="word-digit pairs",18,IF(J397="English-Swahili pairs",19,IF(J397="spatial position",20,IF(J397="word pairs",21,IF(J397="word triads",22,IF(J397="generated words",23,IF(J397="word definition pairs",24,IF(J397="math problems",25,IF(J397="famous faces",26,IF(J397="famous names",27,IF(J397="famous voices",28,IF(J397="television programs",29,IF(J397="race horses",30,IF(J397="new vocabulary",31,IF(J397="sentences",32,IF(J397="concepts",33,IF(J397="ad slides",34,IF(J397="scenes",35,IF(J397="famous scenes",36,IF(J397="poems",37,IF(J397="walk",38,IF(J397="faces and events",39,IF(J397="events and names",40,IF(J397="flashbulb",41,IF(J397="stories",42,IF(J397="course material",43,IF(J397="autobiographical",44,IF(J397="novels",45,IF(J397="public events",46,"99"))))))))))))))))))))))))))))))))))))))))))))))</f>
        <v>44</v>
      </c>
      <c r="L397" s="69">
        <f>IF(J397="syllables",1,IF(J397="trigrams",1,IF(J397="strings",1,IF(J397="visual array",1,IF(J397="characters",1,IF(J397="letters",1,IF(J397="free forms",1,IF(J397="odors",2,IF(J397="words",2,IF(J397="pictures",2,IF(J397="object pictures",2,IF(J397="faces",2,IF(J397="names",2,IF(J397="idioms","2",IF(J397="grades",2,IF(J397="syllable-digit pairs",3,IF(J397="trigram-word pairs",3,IF(J397="word-digit pairs",3,IF(J397="English-Swahili pairs",3,IF(J397="spatial position",3,IF(J397="word pairs",4,IF(J397="word triads",4,IF(J397="generated words",4,IF(J397="word definition pairs",4,IF(J397="math problems",4,IF(J397="famous faces",4,IF(J397="famous names",4,IF(J397="famous voices",4,IF(J397="television programs",4,IF(J397="race horses",4,IF(J397="new vocabulary",4,IF(J397="sentences",5,IF(J397="concepts",5,IF(J397="ad slides",5,IF(J397="scenes",5,IF(J397="famous scenes",5,IF(J397="poems",6,IF(J397="walk",6,IF(J397="faces and events",6,IF(J397="events and names",6,IF(J397="flashbulb",7,IF(J397="stories",7,IF(J397="course material",7,IF(J397="autobiographical",7,IF(J397="novels",7,IF(J397="public events",7,"99"))))))))))))))))))))))))))))))))))))))))))))))</f>
        <v>7</v>
      </c>
      <c r="M397" s="92">
        <v>0</v>
      </c>
      <c r="N397" s="69">
        <v>2</v>
      </c>
      <c r="O397" s="69">
        <v>0</v>
      </c>
      <c r="P397" s="69"/>
      <c r="Q397" s="69" t="s">
        <v>174</v>
      </c>
      <c r="R397" s="69">
        <f>IF(Q397="Free Recall",1,IF(Q397="Cued Recall",2,IF(Q397="Recognition",3,IF(Q397="Multiple Choice",4,IF(Q397="Savings",5,IF(Q397="Stem Completion",6,IF(Q397="Fragment Completion",7,IF(Q397="anagram solution",8,IF(Q397="Matching",9,IF(Q397="Problem Solving",10,"99"))))))))))</f>
        <v>1</v>
      </c>
      <c r="S397" s="69" t="s">
        <v>49</v>
      </c>
      <c r="T397" s="69" t="s">
        <v>261</v>
      </c>
      <c r="U397" s="60">
        <f>IF(T397="within",1,0)</f>
        <v>0</v>
      </c>
      <c r="V397" s="69">
        <v>3</v>
      </c>
      <c r="W397" s="69">
        <f>F397*V397</f>
        <v>2634</v>
      </c>
      <c r="X397" s="69">
        <v>5</v>
      </c>
      <c r="Y397" s="87">
        <f>AV396</f>
        <v>172800</v>
      </c>
      <c r="Z397" s="69" t="s">
        <v>152</v>
      </c>
      <c r="AA397" s="69">
        <v>3974140.8</v>
      </c>
      <c r="AB397" s="69" t="str">
        <f>IF(AA397&lt;60,"1",IF(AA397&lt;=43200,"2",IF(AA397&lt;=777600,"3","4")))</f>
        <v>4</v>
      </c>
      <c r="AC397" s="72">
        <f>AVERAGE(AV396:DA396)</f>
        <v>1745297.2799999998</v>
      </c>
      <c r="AD397" s="69" t="str">
        <f>IF(AC397&lt;60,"1",IF(AC397&lt;=43200,"2",IF(AC397&lt;=777600,"3","4")))</f>
        <v>4</v>
      </c>
      <c r="AE397" s="87">
        <f>AA397-Y397</f>
        <v>3801340.8</v>
      </c>
      <c r="AF397" s="88">
        <f>AV397</f>
        <v>0.94</v>
      </c>
      <c r="AG397" s="72">
        <f>((AW397-AV397)+(AX397-AW397)+(AY397-AX397)+(AZ397-AY397))/4</f>
        <v>-7.4999999999999983E-2</v>
      </c>
      <c r="AH397" s="4"/>
      <c r="AI397" s="72">
        <f>RSQ(AV397:AZ397,AV396:AZ396)</f>
        <v>0.98968631417438124</v>
      </c>
      <c r="AJ397" s="110">
        <f>SLOPE(AV397:AZ397,AV396:AZ396)</f>
        <v>-8.0461715055234576E-8</v>
      </c>
      <c r="AK397" s="72">
        <f>INTERCEPT(AV397:AZ397,AV396:AZ396)</f>
        <v>0.96042961243003588</v>
      </c>
      <c r="AL397" s="72">
        <f>INDEX(LINEST(LN(AV397:AZ397),LN(AV396:AZ396),TRUE,TRUE),3,1)</f>
        <v>0.80455333071384361</v>
      </c>
      <c r="AM397" s="72">
        <f>INDEX(LINEST(LN(AV397:AZ397),LN(AV396:AZ396)),1)</f>
        <v>-0.11567753955703121</v>
      </c>
      <c r="AN397" s="72">
        <f>EXP(INDEX(LINEST(LN(AV397:AZ397),LN(AV396:AZ396)),1,2))</f>
        <v>4.0473326058991406</v>
      </c>
      <c r="AO397" s="89">
        <f>INDEX(LINEST((AV397:AZ397),LN(AV396:AZ396),TRUE,TRUE),3,1)</f>
        <v>0.83297530706067668</v>
      </c>
      <c r="AP397" s="89">
        <f>INDEX(LINEST((AV397:AZ397),LN(AV396:AZ396)),1)</f>
        <v>-9.2498466299529541E-2</v>
      </c>
      <c r="AQ397" s="90">
        <f>INDEX(LINEST(LN(AV397:AZ397),SQRT(AV396:AZ396),TRUE,TRUE),3,1)</f>
        <v>0.94108107689844855</v>
      </c>
      <c r="AR397" s="117">
        <f>INDEX(LINEST(LN(AV397:AZ397),SQRT((AV396:AZ396))),1)</f>
        <v>-2.4594256537726201E-4</v>
      </c>
      <c r="AS397" s="91">
        <f>INDEX(LINEST(1/(AV397:AZ397),1/(SQRT(AV396:AZ396)),TRUE,TRUE),3,1)</f>
        <v>0.58079664673807496</v>
      </c>
      <c r="AT397" s="91">
        <f>INDEX(LINEST(1/(AV397:AZ397),1/SQRT(AV396:AZ396)),1)</f>
        <v>-205.64612602694407</v>
      </c>
      <c r="AU397" s="3"/>
      <c r="AV397" s="73">
        <v>0.94</v>
      </c>
      <c r="AW397" s="73">
        <v>0.93</v>
      </c>
      <c r="AX397" s="73">
        <v>0.84</v>
      </c>
      <c r="AY397" s="73">
        <v>0.75</v>
      </c>
      <c r="AZ397" s="73">
        <v>0.64</v>
      </c>
      <c r="BA397" s="53"/>
      <c r="BB397" s="53"/>
      <c r="BC397" s="53"/>
      <c r="BD397" s="53"/>
      <c r="BE397" s="53"/>
      <c r="BF397" s="53"/>
      <c r="BG397" s="53"/>
      <c r="BH397" s="53"/>
      <c r="BI397" s="53"/>
      <c r="BJ397" s="53"/>
      <c r="BK397" s="53"/>
      <c r="BL397" s="53"/>
      <c r="BM397" s="53"/>
      <c r="BN397" s="53"/>
      <c r="BO397" s="53"/>
      <c r="BP397" s="53"/>
      <c r="BQ397" s="53"/>
      <c r="BR397" s="53"/>
      <c r="BS397" s="53"/>
      <c r="BT397" s="53"/>
      <c r="BU397" s="53"/>
      <c r="BV397" s="53"/>
      <c r="BW397" s="53"/>
      <c r="BX397" s="53"/>
      <c r="BY397" s="53"/>
      <c r="BZ397" s="53"/>
      <c r="CA397" s="53"/>
      <c r="CB397" s="53"/>
      <c r="CC397" s="53"/>
      <c r="CD397" s="53"/>
      <c r="CE397" s="53"/>
      <c r="CF397" s="53"/>
      <c r="CG397" s="53"/>
      <c r="CH397" s="53"/>
      <c r="CI397" s="53"/>
      <c r="CJ397" s="53"/>
      <c r="CK397" s="53"/>
      <c r="CL397" s="53"/>
      <c r="CM397" s="53"/>
      <c r="CN397" s="53"/>
      <c r="CO397" s="53"/>
      <c r="CP397" s="53"/>
      <c r="CQ397" s="53"/>
      <c r="CR397" s="1"/>
      <c r="CS397" s="1"/>
      <c r="CT397" s="1"/>
      <c r="CU397" s="1"/>
    </row>
    <row r="398" spans="1:99" s="13" customFormat="1" ht="12" customHeight="1" x14ac:dyDescent="0.2">
      <c r="A398" s="68">
        <v>43509</v>
      </c>
      <c r="B398" s="70"/>
      <c r="C398" s="70"/>
      <c r="D398" s="69"/>
      <c r="E398" s="87"/>
      <c r="F398" s="69"/>
      <c r="G398" s="69"/>
      <c r="H398" s="69"/>
      <c r="I398" s="69"/>
      <c r="J398" s="69"/>
      <c r="K398" s="107"/>
      <c r="L398" s="107"/>
      <c r="M398" s="69"/>
      <c r="N398" s="69"/>
      <c r="O398" s="69"/>
      <c r="P398" s="69"/>
      <c r="Q398" s="69"/>
      <c r="R398" s="69"/>
      <c r="S398" s="69"/>
      <c r="T398" s="69"/>
      <c r="U398" s="60"/>
      <c r="V398" s="69"/>
      <c r="W398" s="69"/>
      <c r="X398" s="69"/>
      <c r="Y398" s="87"/>
      <c r="Z398" s="69"/>
      <c r="AA398" s="69"/>
      <c r="AB398" s="69"/>
      <c r="AC398" s="69"/>
      <c r="AD398" s="69"/>
      <c r="AE398" s="69"/>
      <c r="AF398" s="88"/>
      <c r="AG398" s="72"/>
      <c r="AH398" s="4"/>
      <c r="AI398" s="72"/>
      <c r="AJ398" s="110"/>
      <c r="AK398" s="72"/>
      <c r="AL398" s="72"/>
      <c r="AM398" s="72"/>
      <c r="AN398" s="72"/>
      <c r="AO398" s="72"/>
      <c r="AP398" s="72"/>
      <c r="AQ398" s="72"/>
      <c r="AR398" s="110"/>
      <c r="AS398" s="72"/>
      <c r="AT398" s="72"/>
      <c r="AU398" s="4"/>
      <c r="AV398" s="71">
        <f>2*24*3600</f>
        <v>172800</v>
      </c>
      <c r="AW398" s="71">
        <f>7*24*3600*1</f>
        <v>604800</v>
      </c>
      <c r="AX398" s="71">
        <f>7*24*3600*2.143</f>
        <v>1296086.3999999999</v>
      </c>
      <c r="AY398" s="71">
        <f>7*24*3600*4.429</f>
        <v>2678659.2000000002</v>
      </c>
      <c r="AZ398" s="71">
        <f>7*24*3600*6.571</f>
        <v>3974140.8</v>
      </c>
      <c r="BA398" s="53"/>
      <c r="BB398" s="53"/>
      <c r="BC398" s="53"/>
      <c r="BD398" s="53"/>
      <c r="BE398" s="53"/>
      <c r="BF398" s="53"/>
      <c r="BG398" s="53"/>
      <c r="BH398" s="53"/>
      <c r="BI398" s="53"/>
      <c r="BJ398" s="53"/>
      <c r="BK398" s="53"/>
      <c r="BL398" s="53"/>
      <c r="BM398" s="53"/>
      <c r="BN398" s="53"/>
      <c r="BO398" s="53"/>
      <c r="BP398" s="53"/>
      <c r="BQ398" s="53"/>
      <c r="BR398" s="53"/>
      <c r="BS398" s="53"/>
      <c r="BT398" s="53"/>
      <c r="BU398" s="53"/>
      <c r="BV398" s="53"/>
      <c r="BW398" s="53"/>
      <c r="BX398" s="53"/>
      <c r="BY398" s="53"/>
      <c r="BZ398" s="53"/>
      <c r="CA398" s="53"/>
      <c r="CB398" s="53"/>
      <c r="CC398" s="53"/>
      <c r="CD398" s="53"/>
      <c r="CE398" s="53"/>
      <c r="CF398" s="53"/>
      <c r="CG398" s="53"/>
      <c r="CH398" s="53"/>
      <c r="CI398" s="53"/>
      <c r="CJ398" s="53"/>
      <c r="CK398" s="53"/>
      <c r="CL398" s="53"/>
      <c r="CM398" s="53"/>
      <c r="CN398" s="53"/>
      <c r="CO398" s="53"/>
      <c r="CP398" s="53"/>
      <c r="CQ398" s="53"/>
      <c r="CR398" s="1"/>
      <c r="CS398" s="1"/>
      <c r="CT398" s="1"/>
      <c r="CU398" s="1"/>
    </row>
    <row r="399" spans="1:99" s="13" customFormat="1" ht="12" customHeight="1" x14ac:dyDescent="0.2">
      <c r="A399" s="68">
        <v>43509</v>
      </c>
      <c r="B399" s="70" t="s">
        <v>151</v>
      </c>
      <c r="C399" s="70" t="s">
        <v>70</v>
      </c>
      <c r="D399" s="69">
        <v>2009</v>
      </c>
      <c r="E399" s="87">
        <v>1</v>
      </c>
      <c r="F399" s="69">
        <v>878</v>
      </c>
      <c r="G399" s="69">
        <v>175.6</v>
      </c>
      <c r="H399" s="69" t="s">
        <v>22</v>
      </c>
      <c r="I399" s="69" t="s">
        <v>871</v>
      </c>
      <c r="J399" s="69" t="s">
        <v>622</v>
      </c>
      <c r="K399" s="69">
        <f>IF(J399="syllables",1,IF(J399="trigrams",2,IF(J399="strings",3,IF(J399="visual array",4,IF(J399="characters",5,IF(J399="letters",6,IF(J399="free forms",7,IF(J399="odors",8,IF(J399="words",9,IF(J399="pictures",10,IF(J399="object pictures",11,IF(J399="faces",12,IF(J399="names",13,IF(J399="idioms",14,IF(J399="grades",15,IF(J399="syllable-digit pairs",16,IF(J399="trigram-word pairs",17,IF(J399="word-digit pairs",18,IF(J399="English-Swahili pairs",19,IF(J399="spatial position",20,IF(J399="word pairs",21,IF(J399="word triads",22,IF(J399="generated words",23,IF(J399="word definition pairs",24,IF(J399="math problems",25,IF(J399="famous faces",26,IF(J399="famous names",27,IF(J399="famous voices",28,IF(J399="television programs",29,IF(J399="race horses",30,IF(J399="new vocabulary",31,IF(J399="sentences",32,IF(J399="concepts",33,IF(J399="ad slides",34,IF(J399="scenes",35,IF(J399="famous scenes",36,IF(J399="poems",37,IF(J399="walk",38,IF(J399="faces and events",39,IF(J399="events and names",40,IF(J399="flashbulb",41,IF(J399="stories",42,IF(J399="course material",43,IF(J399="autobiographical",44,IF(J399="novels",45,IF(J399="public events",46,"99"))))))))))))))))))))))))))))))))))))))))))))))</f>
        <v>44</v>
      </c>
      <c r="L399" s="69">
        <f>IF(J399="syllables",1,IF(J399="trigrams",1,IF(J399="strings",1,IF(J399="visual array",1,IF(J399="characters",1,IF(J399="letters",1,IF(J399="free forms",1,IF(J399="odors",2,IF(J399="words",2,IF(J399="pictures",2,IF(J399="object pictures",2,IF(J399="faces",2,IF(J399="names",2,IF(J399="idioms","2",IF(J399="grades",2,IF(J399="syllable-digit pairs",3,IF(J399="trigram-word pairs",3,IF(J399="word-digit pairs",3,IF(J399="English-Swahili pairs",3,IF(J399="spatial position",3,IF(J399="word pairs",4,IF(J399="word triads",4,IF(J399="generated words",4,IF(J399="word definition pairs",4,IF(J399="math problems",4,IF(J399="famous faces",4,IF(J399="famous names",4,IF(J399="famous voices",4,IF(J399="television programs",4,IF(J399="race horses",4,IF(J399="new vocabulary",4,IF(J399="sentences",5,IF(J399="concepts",5,IF(J399="ad slides",5,IF(J399="scenes",5,IF(J399="famous scenes",5,IF(J399="poems",6,IF(J399="walk",6,IF(J399="faces and events",6,IF(J399="events and names",6,IF(J399="flashbulb",7,IF(J399="stories",7,IF(J399="course material",7,IF(J399="autobiographical",7,IF(J399="novels",7,IF(J399="public events",7,"99"))))))))))))))))))))))))))))))))))))))))))))))</f>
        <v>7</v>
      </c>
      <c r="M399" s="92">
        <v>0</v>
      </c>
      <c r="N399" s="69">
        <v>2</v>
      </c>
      <c r="O399" s="69">
        <v>0</v>
      </c>
      <c r="P399" s="69"/>
      <c r="Q399" s="69" t="s">
        <v>174</v>
      </c>
      <c r="R399" s="69">
        <f>IF(Q399="Free Recall",1,IF(Q399="Cued Recall",2,IF(Q399="Recognition",3,IF(Q399="Multiple Choice",4,IF(Q399="Savings",5,IF(Q399="Stem Completion",6,IF(Q399="Fragment Completion",7,IF(Q399="anagram solution",8,IF(Q399="Matching",9,IF(Q399="Problem Solving",10,"99"))))))))))</f>
        <v>1</v>
      </c>
      <c r="S399" s="69" t="s">
        <v>49</v>
      </c>
      <c r="T399" s="69" t="s">
        <v>261</v>
      </c>
      <c r="U399" s="60">
        <f>IF(T399="within",1,0)</f>
        <v>0</v>
      </c>
      <c r="V399" s="69">
        <v>3</v>
      </c>
      <c r="W399" s="69">
        <f>F399*V399</f>
        <v>2634</v>
      </c>
      <c r="X399" s="69">
        <v>5</v>
      </c>
      <c r="Y399" s="87">
        <f>AV398</f>
        <v>172800</v>
      </c>
      <c r="Z399" s="69" t="s">
        <v>152</v>
      </c>
      <c r="AA399" s="69">
        <v>3974140.8</v>
      </c>
      <c r="AB399" s="69" t="str">
        <f>IF(AA399&lt;60,"1",IF(AA399&lt;=43200,"2",IF(AA399&lt;=777600,"3","4")))</f>
        <v>4</v>
      </c>
      <c r="AC399" s="72">
        <f>AVERAGE(AV398:DA398)</f>
        <v>1745297.2799999998</v>
      </c>
      <c r="AD399" s="69" t="str">
        <f>IF(AC399&lt;60,"1",IF(AC399&lt;=43200,"2",IF(AC399&lt;=777600,"3","4")))</f>
        <v>4</v>
      </c>
      <c r="AE399" s="87">
        <f>AA399-Y399</f>
        <v>3801340.8</v>
      </c>
      <c r="AF399" s="88">
        <f>AV399</f>
        <v>0.68500000000000005</v>
      </c>
      <c r="AG399" s="72">
        <f>((AW399-AV399)+(AX399-AW399)+(AY399-AX399)+(AZ399-AY399))/4</f>
        <v>-7.6250000000000012E-2</v>
      </c>
      <c r="AH399" s="4"/>
      <c r="AI399" s="72">
        <f>RSQ(AV399:AZ399,AV398:AZ398)</f>
        <v>0.73527370444209106</v>
      </c>
      <c r="AJ399" s="110">
        <f>SLOPE(AV399:AZ399,AV398:AZ398)</f>
        <v>-6.3446245390840788E-8</v>
      </c>
      <c r="AK399" s="72">
        <f>INTERCEPT(AV399:AZ399,AV398:AZ398)</f>
        <v>0.6077325595068469</v>
      </c>
      <c r="AL399" s="72">
        <f>INDEX(LINEST(LN(AV399:AZ399),LN(AV398:AZ398),TRUE,TRUE),3,1)</f>
        <v>0.96399323037859252</v>
      </c>
      <c r="AM399" s="72">
        <f>INDEX(LINEST(LN(AV399:AZ399),LN(AV398:AZ398)),1)</f>
        <v>-0.17331820916494636</v>
      </c>
      <c r="AN399" s="72">
        <f>EXP(INDEX(LINEST(LN(AV399:AZ399),LN(AV398:AZ398)),1,2))</f>
        <v>5.4077199840609209</v>
      </c>
      <c r="AO399" s="89">
        <f>INDEX(LINEST((AV399:AZ399),LN(AV398:AZ398),TRUE,TRUE),3,1)</f>
        <v>0.9493728231527897</v>
      </c>
      <c r="AP399" s="89">
        <f>INDEX(LINEST((AV399:AZ399),LN(AV398:AZ398)),1)</f>
        <v>-9.0339518639965921E-2</v>
      </c>
      <c r="AQ399" s="90">
        <f>INDEX(LINEST(LN(AV399:AZ399),SQRT(AV398:AZ398),TRUE,TRUE),3,1)</f>
        <v>0.90478207154807366</v>
      </c>
      <c r="AR399" s="117">
        <f>INDEX(LINEST(LN(AV399:AZ399),SQRT((AV398:AZ398))),1)</f>
        <v>-3.3008648905028708E-4</v>
      </c>
      <c r="AS399" s="91">
        <f>INDEX(LINEST(1/(AV399:AZ399),1/(SQRT(AV398:AZ398)),TRUE,TRUE),3,1)</f>
        <v>0.90281200574799458</v>
      </c>
      <c r="AT399" s="91">
        <f>INDEX(LINEST(1/(AV399:AZ399),1/SQRT(AV398:AZ398)),1)</f>
        <v>-536.60926660136238</v>
      </c>
      <c r="AU399" s="3"/>
      <c r="AV399" s="73">
        <v>0.68500000000000005</v>
      </c>
      <c r="AW399" s="73">
        <v>0.505</v>
      </c>
      <c r="AX399" s="73">
        <v>0.48499999999999999</v>
      </c>
      <c r="AY399" s="73">
        <v>0.43</v>
      </c>
      <c r="AZ399" s="73">
        <v>0.38</v>
      </c>
      <c r="BA399" s="53"/>
      <c r="BB399" s="53"/>
      <c r="BC399" s="53"/>
      <c r="BD399" s="53"/>
      <c r="BE399" s="53"/>
      <c r="BF399" s="53"/>
      <c r="BG399" s="53"/>
      <c r="BH399" s="53"/>
      <c r="BI399" s="53"/>
      <c r="BJ399" s="53"/>
      <c r="BK399" s="53"/>
      <c r="BL399" s="53"/>
      <c r="BM399" s="53"/>
      <c r="BN399" s="53"/>
      <c r="BO399" s="53"/>
      <c r="BP399" s="53"/>
      <c r="BQ399" s="53"/>
      <c r="BR399" s="53"/>
      <c r="BS399" s="53"/>
      <c r="BT399" s="53"/>
      <c r="BU399" s="53"/>
      <c r="BV399" s="53"/>
      <c r="BW399" s="53"/>
      <c r="BX399" s="53"/>
      <c r="BY399" s="53"/>
      <c r="BZ399" s="53"/>
      <c r="CA399" s="53"/>
      <c r="CB399" s="53"/>
      <c r="CC399" s="53"/>
      <c r="CD399" s="53"/>
      <c r="CE399" s="53"/>
      <c r="CF399" s="53"/>
      <c r="CG399" s="53"/>
      <c r="CH399" s="53"/>
      <c r="CI399" s="53"/>
      <c r="CJ399" s="53"/>
      <c r="CK399" s="53"/>
      <c r="CL399" s="53"/>
      <c r="CM399" s="53"/>
      <c r="CN399" s="53"/>
      <c r="CO399" s="53"/>
      <c r="CP399" s="53"/>
      <c r="CQ399" s="53"/>
      <c r="CR399" s="1"/>
      <c r="CS399" s="1"/>
      <c r="CT399" s="1"/>
      <c r="CU399" s="1"/>
    </row>
    <row r="400" spans="1:99" s="13" customFormat="1" ht="12" customHeight="1" x14ac:dyDescent="0.2">
      <c r="A400" s="68">
        <v>43509</v>
      </c>
      <c r="B400" s="70"/>
      <c r="C400" s="70"/>
      <c r="D400" s="69"/>
      <c r="E400" s="87"/>
      <c r="F400" s="69"/>
      <c r="G400" s="69"/>
      <c r="H400" s="69"/>
      <c r="I400" s="69"/>
      <c r="J400" s="69"/>
      <c r="K400" s="107"/>
      <c r="L400" s="107"/>
      <c r="M400" s="69"/>
      <c r="N400" s="69"/>
      <c r="O400" s="69"/>
      <c r="P400" s="69"/>
      <c r="Q400" s="69"/>
      <c r="R400" s="69"/>
      <c r="S400" s="69"/>
      <c r="T400" s="69"/>
      <c r="U400" s="60"/>
      <c r="V400" s="69"/>
      <c r="W400" s="69"/>
      <c r="X400" s="69"/>
      <c r="Y400" s="87"/>
      <c r="Z400" s="69"/>
      <c r="AA400" s="69"/>
      <c r="AB400" s="69"/>
      <c r="AC400" s="69"/>
      <c r="AD400" s="69"/>
      <c r="AE400" s="69"/>
      <c r="AF400" s="88"/>
      <c r="AG400" s="72"/>
      <c r="AH400" s="4"/>
      <c r="AI400" s="72"/>
      <c r="AJ400" s="110"/>
      <c r="AK400" s="72"/>
      <c r="AL400" s="72"/>
      <c r="AM400" s="72"/>
      <c r="AN400" s="72"/>
      <c r="AO400" s="72"/>
      <c r="AP400" s="72"/>
      <c r="AQ400" s="72"/>
      <c r="AR400" s="110"/>
      <c r="AS400" s="72"/>
      <c r="AT400" s="72"/>
      <c r="AU400" s="4"/>
      <c r="AV400" s="71">
        <f>2*24*3600</f>
        <v>172800</v>
      </c>
      <c r="AW400" s="71">
        <f>7*24*3600*1</f>
        <v>604800</v>
      </c>
      <c r="AX400" s="71">
        <f>7*24*3600*2.143</f>
        <v>1296086.3999999999</v>
      </c>
      <c r="AY400" s="71">
        <f>7*24*3600*4.429</f>
        <v>2678659.2000000002</v>
      </c>
      <c r="AZ400" s="71">
        <f>7*24*3600*6.571</f>
        <v>3974140.8</v>
      </c>
      <c r="BA400" s="53"/>
      <c r="BB400" s="53"/>
      <c r="BC400" s="53"/>
      <c r="BD400" s="53"/>
      <c r="BE400" s="53"/>
      <c r="BF400" s="53"/>
      <c r="BG400" s="53"/>
      <c r="BH400" s="53"/>
      <c r="BI400" s="53"/>
      <c r="BJ400" s="53"/>
      <c r="BK400" s="53"/>
      <c r="BL400" s="53"/>
      <c r="BM400" s="53"/>
      <c r="BN400" s="53"/>
      <c r="BO400" s="53"/>
      <c r="BP400" s="53"/>
      <c r="BQ400" s="53"/>
      <c r="BR400" s="53"/>
      <c r="BS400" s="53"/>
      <c r="BT400" s="53"/>
      <c r="BU400" s="53"/>
      <c r="BV400" s="53"/>
      <c r="BW400" s="53"/>
      <c r="BX400" s="53"/>
      <c r="BY400" s="53"/>
      <c r="BZ400" s="53"/>
      <c r="CA400" s="53"/>
      <c r="CB400" s="53"/>
      <c r="CC400" s="53"/>
      <c r="CD400" s="53"/>
      <c r="CE400" s="53"/>
      <c r="CF400" s="53"/>
      <c r="CG400" s="53"/>
      <c r="CH400" s="53"/>
      <c r="CI400" s="53"/>
      <c r="CJ400" s="53"/>
      <c r="CK400" s="53"/>
      <c r="CL400" s="53"/>
      <c r="CM400" s="53"/>
      <c r="CN400" s="53"/>
      <c r="CO400" s="53"/>
      <c r="CP400" s="53"/>
      <c r="CQ400" s="53"/>
      <c r="CR400" s="1"/>
      <c r="CS400" s="1"/>
      <c r="CT400" s="1"/>
      <c r="CU400" s="1"/>
    </row>
    <row r="401" spans="1:99" s="13" customFormat="1" ht="12" customHeight="1" x14ac:dyDescent="0.2">
      <c r="A401" s="68">
        <v>43509</v>
      </c>
      <c r="B401" s="70" t="s">
        <v>151</v>
      </c>
      <c r="C401" s="70" t="s">
        <v>70</v>
      </c>
      <c r="D401" s="69">
        <v>2009</v>
      </c>
      <c r="E401" s="87">
        <v>1</v>
      </c>
      <c r="F401" s="69">
        <v>878</v>
      </c>
      <c r="G401" s="69">
        <v>175.6</v>
      </c>
      <c r="H401" s="69" t="s">
        <v>22</v>
      </c>
      <c r="I401" s="69" t="s">
        <v>872</v>
      </c>
      <c r="J401" s="69" t="s">
        <v>622</v>
      </c>
      <c r="K401" s="69">
        <f>IF(J401="syllables",1,IF(J401="trigrams",2,IF(J401="strings",3,IF(J401="visual array",4,IF(J401="characters",5,IF(J401="letters",6,IF(J401="free forms",7,IF(J401="odors",8,IF(J401="words",9,IF(J401="pictures",10,IF(J401="object pictures",11,IF(J401="faces",12,IF(J401="names",13,IF(J401="idioms",14,IF(J401="grades",15,IF(J401="syllable-digit pairs",16,IF(J401="trigram-word pairs",17,IF(J401="word-digit pairs",18,IF(J401="English-Swahili pairs",19,IF(J401="spatial position",20,IF(J401="word pairs",21,IF(J401="word triads",22,IF(J401="generated words",23,IF(J401="word definition pairs",24,IF(J401="math problems",25,IF(J401="famous faces",26,IF(J401="famous names",27,IF(J401="famous voices",28,IF(J401="television programs",29,IF(J401="race horses",30,IF(J401="new vocabulary",31,IF(J401="sentences",32,IF(J401="concepts",33,IF(J401="ad slides",34,IF(J401="scenes",35,IF(J401="famous scenes",36,IF(J401="poems",37,IF(J401="walk",38,IF(J401="faces and events",39,IF(J401="events and names",40,IF(J401="flashbulb",41,IF(J401="stories",42,IF(J401="course material",43,IF(J401="autobiographical",44,IF(J401="novels",45,IF(J401="public events",46,"99"))))))))))))))))))))))))))))))))))))))))))))))</f>
        <v>44</v>
      </c>
      <c r="L401" s="69">
        <f>IF(J401="syllables",1,IF(J401="trigrams",1,IF(J401="strings",1,IF(J401="visual array",1,IF(J401="characters",1,IF(J401="letters",1,IF(J401="free forms",1,IF(J401="odors",2,IF(J401="words",2,IF(J401="pictures",2,IF(J401="object pictures",2,IF(J401="faces",2,IF(J401="names",2,IF(J401="idioms","2",IF(J401="grades",2,IF(J401="syllable-digit pairs",3,IF(J401="trigram-word pairs",3,IF(J401="word-digit pairs",3,IF(J401="English-Swahili pairs",3,IF(J401="spatial position",3,IF(J401="word pairs",4,IF(J401="word triads",4,IF(J401="generated words",4,IF(J401="word definition pairs",4,IF(J401="math problems",4,IF(J401="famous faces",4,IF(J401="famous names",4,IF(J401="famous voices",4,IF(J401="television programs",4,IF(J401="race horses",4,IF(J401="new vocabulary",4,IF(J401="sentences",5,IF(J401="concepts",5,IF(J401="ad slides",5,IF(J401="scenes",5,IF(J401="famous scenes",5,IF(J401="poems",6,IF(J401="walk",6,IF(J401="faces and events",6,IF(J401="events and names",6,IF(J401="flashbulb",7,IF(J401="stories",7,IF(J401="course material",7,IF(J401="autobiographical",7,IF(J401="novels",7,IF(J401="public events",7,"99"))))))))))))))))))))))))))))))))))))))))))))))</f>
        <v>7</v>
      </c>
      <c r="M401" s="92">
        <v>0</v>
      </c>
      <c r="N401" s="69">
        <v>2</v>
      </c>
      <c r="O401" s="69">
        <v>0</v>
      </c>
      <c r="P401" s="69"/>
      <c r="Q401" s="69" t="s">
        <v>174</v>
      </c>
      <c r="R401" s="69">
        <f>IF(Q401="Free Recall",1,IF(Q401="Cued Recall",2,IF(Q401="Recognition",3,IF(Q401="Multiple Choice",4,IF(Q401="Savings",5,IF(Q401="Stem Completion",6,IF(Q401="Fragment Completion",7,IF(Q401="anagram solution",8,IF(Q401="Matching",9,IF(Q401="Problem Solving",10,"99"))))))))))</f>
        <v>1</v>
      </c>
      <c r="S401" s="69" t="s">
        <v>49</v>
      </c>
      <c r="T401" s="69" t="s">
        <v>261</v>
      </c>
      <c r="U401" s="60">
        <f>IF(T401="within",1,0)</f>
        <v>0</v>
      </c>
      <c r="V401" s="69">
        <v>3</v>
      </c>
      <c r="W401" s="69">
        <f>F401*V401</f>
        <v>2634</v>
      </c>
      <c r="X401" s="69">
        <v>5</v>
      </c>
      <c r="Y401" s="87">
        <f>AV400</f>
        <v>172800</v>
      </c>
      <c r="Z401" s="69" t="s">
        <v>152</v>
      </c>
      <c r="AA401" s="69">
        <v>3974140.8</v>
      </c>
      <c r="AB401" s="69" t="str">
        <f>IF(AA401&lt;60,"1",IF(AA401&lt;=43200,"2",IF(AA401&lt;=777600,"3","4")))</f>
        <v>4</v>
      </c>
      <c r="AC401" s="72">
        <f>AVERAGE(AV400:DA400)</f>
        <v>1745297.2799999998</v>
      </c>
      <c r="AD401" s="69" t="str">
        <f>IF(AC401&lt;60,"1",IF(AC401&lt;=43200,"2",IF(AC401&lt;=777600,"3","4")))</f>
        <v>4</v>
      </c>
      <c r="AE401" s="87">
        <f>AA401-Y401</f>
        <v>3801340.8</v>
      </c>
      <c r="AF401" s="88">
        <f>AV401</f>
        <v>0.65</v>
      </c>
      <c r="AG401" s="72">
        <f>((AW401-AV401)+(AX401-AW401)+(AY401-AX401)+(AZ401-AY401))/4</f>
        <v>-0.10375000000000001</v>
      </c>
      <c r="AH401" s="4"/>
      <c r="AI401" s="72">
        <f>RSQ(AV401:AZ401,AV400:AZ400)</f>
        <v>0.72647266197119453</v>
      </c>
      <c r="AJ401" s="110">
        <f>SLOPE(AV401:AZ401,AV400:AZ400)</f>
        <v>-9.4436548599419464E-8</v>
      </c>
      <c r="AK401" s="72">
        <f>INTERCEPT(AV401:AZ401,AV400:AZ400)</f>
        <v>0.5418198514031547</v>
      </c>
      <c r="AL401" s="72">
        <f>INDEX(LINEST(LN(AV401:AZ401),LN(AV400:AZ400),TRUE,TRUE),3,1)</f>
        <v>0.94768089742660278</v>
      </c>
      <c r="AM401" s="72">
        <f>INDEX(LINEST(LN(AV401:AZ401),LN(AV400:AZ400)),1)</f>
        <v>-0.34508941196526083</v>
      </c>
      <c r="AN401" s="72">
        <f>EXP(INDEX(LINEST(LN(AV401:AZ401),LN(AV400:AZ400)),1,2))</f>
        <v>41.97442670623154</v>
      </c>
      <c r="AO401" s="89">
        <f>INDEX(LINEST((AV401:AZ401),LN(AV400:AZ400),TRUE,TRUE),3,1)</f>
        <v>0.95567011176106231</v>
      </c>
      <c r="AP401" s="89">
        <f>INDEX(LINEST((AV401:AZ401),LN(AV400:AZ400)),1)</f>
        <v>-0.13572580792048036</v>
      </c>
      <c r="AQ401" s="90">
        <f>INDEX(LINEST(LN(AV401:AZ401),SQRT(AV400:AZ400),TRUE,TRUE),3,1)</f>
        <v>0.90944474384658358</v>
      </c>
      <c r="AR401" s="117">
        <f>INDEX(LINEST(LN(AV401:AZ401),SQRT((AV400:AZ400))),1)</f>
        <v>-6.645647231698302E-4</v>
      </c>
      <c r="AS401" s="91">
        <f>INDEX(LINEST(1/(AV401:AZ401),1/(SQRT(AV400:AZ400)),TRUE,TRUE),3,1)</f>
        <v>0.78435370026421292</v>
      </c>
      <c r="AT401" s="91">
        <f>INDEX(LINEST(1/(AV401:AZ401),1/SQRT(AV400:AZ400)),1)</f>
        <v>-1459.1332524117729</v>
      </c>
      <c r="AU401" s="3"/>
      <c r="AV401" s="73">
        <v>0.65</v>
      </c>
      <c r="AW401" s="73">
        <v>0.41</v>
      </c>
      <c r="AX401" s="73">
        <v>0.37</v>
      </c>
      <c r="AY401" s="73">
        <v>0.22</v>
      </c>
      <c r="AZ401" s="73">
        <v>0.23499999999999999</v>
      </c>
      <c r="BA401" s="53"/>
      <c r="BB401" s="53"/>
      <c r="BC401" s="53"/>
      <c r="BD401" s="53"/>
      <c r="BE401" s="53"/>
      <c r="BF401" s="53"/>
      <c r="BG401" s="53"/>
      <c r="BH401" s="53"/>
      <c r="BI401" s="53"/>
      <c r="BJ401" s="53"/>
      <c r="BK401" s="53"/>
      <c r="BL401" s="53"/>
      <c r="BM401" s="53"/>
      <c r="BN401" s="53"/>
      <c r="BO401" s="53"/>
      <c r="BP401" s="53"/>
      <c r="BQ401" s="53"/>
      <c r="BR401" s="53"/>
      <c r="BS401" s="53"/>
      <c r="BT401" s="53"/>
      <c r="BU401" s="53"/>
      <c r="BV401" s="53"/>
      <c r="BW401" s="53"/>
      <c r="BX401" s="53"/>
      <c r="BY401" s="53"/>
      <c r="BZ401" s="53"/>
      <c r="CA401" s="53"/>
      <c r="CB401" s="53"/>
      <c r="CC401" s="53"/>
      <c r="CD401" s="53"/>
      <c r="CE401" s="53"/>
      <c r="CF401" s="53"/>
      <c r="CG401" s="53"/>
      <c r="CH401" s="53"/>
      <c r="CI401" s="53"/>
      <c r="CJ401" s="53"/>
      <c r="CK401" s="53"/>
      <c r="CL401" s="53"/>
      <c r="CM401" s="53"/>
      <c r="CN401" s="53"/>
      <c r="CO401" s="53"/>
      <c r="CP401" s="53"/>
      <c r="CQ401" s="53"/>
      <c r="CR401" s="1"/>
      <c r="CS401" s="1"/>
      <c r="CT401" s="1"/>
      <c r="CU401" s="1"/>
    </row>
    <row r="402" spans="1:99" s="13" customFormat="1" ht="12" customHeight="1" x14ac:dyDescent="0.2">
      <c r="A402" s="65">
        <v>43509</v>
      </c>
      <c r="B402" s="1"/>
      <c r="C402" s="1"/>
      <c r="D402" s="60"/>
      <c r="E402" s="76"/>
      <c r="F402" s="60"/>
      <c r="G402" s="60"/>
      <c r="H402" s="60"/>
      <c r="I402" s="60"/>
      <c r="J402" s="60"/>
      <c r="K402" s="64"/>
      <c r="L402" s="64"/>
      <c r="M402" s="60"/>
      <c r="N402" s="60"/>
      <c r="O402" s="60"/>
      <c r="P402" s="60"/>
      <c r="Q402" s="60"/>
      <c r="R402" s="60"/>
      <c r="S402" s="60"/>
      <c r="T402" s="60"/>
      <c r="U402" s="60"/>
      <c r="V402" s="60"/>
      <c r="W402" s="60"/>
      <c r="X402" s="60"/>
      <c r="Y402" s="76"/>
      <c r="Z402" s="60"/>
      <c r="AA402" s="60"/>
      <c r="AB402" s="60"/>
      <c r="AC402" s="60"/>
      <c r="AD402" s="60"/>
      <c r="AE402" s="60"/>
      <c r="AF402" s="80"/>
      <c r="AG402" s="56"/>
      <c r="AH402" s="4"/>
      <c r="AI402" s="56"/>
      <c r="AJ402" s="109"/>
      <c r="AK402" s="56"/>
      <c r="AL402" s="56"/>
      <c r="AM402" s="56"/>
      <c r="AN402" s="56"/>
      <c r="AO402" s="56"/>
      <c r="AP402" s="56"/>
      <c r="AQ402" s="56"/>
      <c r="AR402" s="109"/>
      <c r="AS402" s="56"/>
      <c r="AT402" s="56"/>
      <c r="AU402" s="4"/>
      <c r="AV402" s="25">
        <f>24*3600</f>
        <v>86400</v>
      </c>
      <c r="AW402" s="25">
        <f>2*24*3600</f>
        <v>172800</v>
      </c>
      <c r="AX402" s="25">
        <f>4*24*3600</f>
        <v>345600</v>
      </c>
      <c r="AY402" s="25">
        <f>7*24*3600*1</f>
        <v>604800</v>
      </c>
      <c r="AZ402" s="25">
        <f>7*24*3600*2</f>
        <v>1209600</v>
      </c>
      <c r="BA402" s="25">
        <f>7*24*3600*4</f>
        <v>2419200</v>
      </c>
      <c r="BB402" s="53"/>
      <c r="BC402" s="53"/>
      <c r="BD402" s="53"/>
      <c r="BE402" s="53"/>
      <c r="BF402" s="53"/>
      <c r="BG402" s="53"/>
      <c r="BH402" s="53"/>
      <c r="BI402" s="53"/>
      <c r="BJ402" s="53"/>
      <c r="BK402" s="53"/>
      <c r="BL402" s="53"/>
      <c r="BM402" s="53"/>
      <c r="BN402" s="53"/>
      <c r="BO402" s="53"/>
      <c r="BP402" s="53"/>
      <c r="BQ402" s="53"/>
      <c r="BR402" s="53"/>
      <c r="BS402" s="53"/>
      <c r="BT402" s="53"/>
      <c r="BU402" s="53"/>
      <c r="BV402" s="53"/>
      <c r="BW402" s="53"/>
      <c r="BX402" s="53"/>
      <c r="BY402" s="53"/>
      <c r="BZ402" s="53"/>
      <c r="CA402" s="53"/>
      <c r="CB402" s="53"/>
      <c r="CC402" s="53"/>
      <c r="CD402" s="53"/>
      <c r="CE402" s="53"/>
      <c r="CF402" s="53"/>
      <c r="CG402" s="53"/>
      <c r="CH402" s="53"/>
      <c r="CI402" s="53"/>
      <c r="CJ402" s="53"/>
      <c r="CK402" s="53"/>
      <c r="CL402" s="53"/>
      <c r="CM402" s="53"/>
      <c r="CN402" s="53"/>
      <c r="CO402" s="53"/>
      <c r="CP402" s="53"/>
      <c r="CQ402" s="53"/>
      <c r="CR402" s="1"/>
      <c r="CS402" s="1"/>
      <c r="CT402" s="1"/>
      <c r="CU402" s="1"/>
    </row>
    <row r="403" spans="1:99" s="13" customFormat="1" ht="12" customHeight="1" x14ac:dyDescent="0.2">
      <c r="A403" s="65">
        <v>43509</v>
      </c>
      <c r="B403" s="1" t="s">
        <v>153</v>
      </c>
      <c r="C403" s="1" t="s">
        <v>119</v>
      </c>
      <c r="D403" s="60">
        <v>1929</v>
      </c>
      <c r="E403" s="76">
        <v>1</v>
      </c>
      <c r="F403" s="60">
        <v>120</v>
      </c>
      <c r="G403" s="60">
        <v>20</v>
      </c>
      <c r="H403" s="60" t="s">
        <v>647</v>
      </c>
      <c r="I403" s="74">
        <v>1</v>
      </c>
      <c r="J403" s="60" t="s">
        <v>16</v>
      </c>
      <c r="K403" s="60">
        <f>IF(J403="syllables",1,IF(J403="trigrams",2,IF(J403="strings",3,IF(J403="visual array",4,IF(J403="characters",5,IF(J403="letters",6,IF(J403="free forms",7,IF(J403="odors",8,IF(J403="words",9,IF(J403="pictures",10,IF(J403="object pictures",11,IF(J403="faces",12,IF(J403="names",13,IF(J403="idioms",14,IF(J403="grades",15,IF(J403="syllable-digit pairs",16,IF(J403="trigram-word pairs",17,IF(J403="word-digit pairs",18,IF(J403="English-Swahili pairs",19,IF(J403="spatial position",20,IF(J403="word pairs",21,IF(J403="word triads",22,IF(J403="generated words",23,IF(J403="word definition pairs",24,IF(J403="math problems",25,IF(J403="famous faces",26,IF(J403="famous names",27,IF(J403="famous voices",28,IF(J403="television programs",29,IF(J403="race horses",30,IF(J403="new vocabulary",31,IF(J403="sentences",32,IF(J403="concepts",33,IF(J403="ad slides",34,IF(J403="scenes",35,IF(J403="famous scenes",36,IF(J403="poems",37,IF(J403="walk",38,IF(J403="faces and events",39,IF(J403="events and names",40,IF(J403="flashbulb",41,IF(J403="stories",42,IF(J403="course material",43,IF(J403="autobiographical",44,IF(J403="novels",45,IF(J403="public events",46,"99"))))))))))))))))))))))))))))))))))))))))))))))</f>
        <v>9</v>
      </c>
      <c r="L403" s="60">
        <f>IF(J403="syllables",1,IF(J403="trigrams",1,IF(J403="strings",1,IF(J403="visual array",1,IF(J403="characters",1,IF(J403="letters",1,IF(J403="free forms",1,IF(J403="odors",2,IF(J403="words",2,IF(J403="pictures",2,IF(J403="object pictures",2,IF(J403="faces",2,IF(J403="names",2,IF(J403="idioms","2",IF(J403="grades",2,IF(J403="syllable-digit pairs",3,IF(J403="trigram-word pairs",3,IF(J403="word-digit pairs",3,IF(J403="English-Swahili pairs",3,IF(J403="spatial position",3,IF(J403="word pairs",4,IF(J403="word triads",4,IF(J403="generated words",4,IF(J403="word definition pairs",4,IF(J403="math problems",4,IF(J403="famous faces",4,IF(J403="famous names",4,IF(J403="famous voices",4,IF(J403="television programs",4,IF(J403="race horses",4,IF(J403="new vocabulary",4,IF(J403="sentences",5,IF(J403="concepts",5,IF(J403="ad slides",5,IF(J403="scenes",5,IF(J403="famous scenes",5,IF(J403="poems",6,IF(J403="walk",6,IF(J403="faces and events",6,IF(J403="events and names",6,IF(J403="flashbulb",7,IF(J403="stories",7,IF(J403="course material",7,IF(J403="autobiographical",7,IF(J403="novels",7,IF(J403="public events",7,"99"))))))))))))))))))))))))))))))))))))))))))))))</f>
        <v>2</v>
      </c>
      <c r="M403" s="60">
        <v>1</v>
      </c>
      <c r="N403" s="60">
        <v>2</v>
      </c>
      <c r="O403" s="60">
        <v>0</v>
      </c>
      <c r="P403" s="60"/>
      <c r="Q403" s="60" t="s">
        <v>87</v>
      </c>
      <c r="R403" s="60">
        <f>IF(Q403="Free Recall",1,IF(Q403="Cued Recall",2,IF(Q403="Recognition",3,IF(Q403="Multiple Choice",4,IF(Q403="Savings",5,IF(Q403="Stem Completion",6,IF(Q403="Fragment Completion",7,IF(Q403="anagram solution",8,IF(Q403="Matching",9,IF(Q403="Problem Solving",10,"99"))))))))))</f>
        <v>5</v>
      </c>
      <c r="S403" s="60" t="s">
        <v>87</v>
      </c>
      <c r="T403" s="60" t="s">
        <v>261</v>
      </c>
      <c r="U403" s="60">
        <f>IF(T403="within",1,0)</f>
        <v>0</v>
      </c>
      <c r="V403" s="60">
        <v>12</v>
      </c>
      <c r="W403" s="60">
        <f>F403*V403</f>
        <v>1440</v>
      </c>
      <c r="X403" s="60">
        <v>6</v>
      </c>
      <c r="Y403" s="76">
        <f>AV402</f>
        <v>86400</v>
      </c>
      <c r="Z403" s="60" t="s">
        <v>140</v>
      </c>
      <c r="AA403" s="60">
        <v>2419200</v>
      </c>
      <c r="AB403" s="60" t="str">
        <f>IF(AA403&lt;60,"1",IF(AA403&lt;=43200,"2",IF(AA403&lt;=777600,"3","4")))</f>
        <v>4</v>
      </c>
      <c r="AC403" s="56">
        <f>AVERAGE(AV402:DA402)</f>
        <v>806400</v>
      </c>
      <c r="AD403" s="60" t="str">
        <f>IF(AC403&lt;60,"1",IF(AC403&lt;=43200,"2",IF(AC403&lt;=777600,"3","4")))</f>
        <v>4</v>
      </c>
      <c r="AE403" s="76">
        <f>AA403-Y403</f>
        <v>2332800</v>
      </c>
      <c r="AF403" s="80">
        <f>AV403</f>
        <v>0.21729999999999999</v>
      </c>
      <c r="AG403" s="56">
        <f>((AW403-AV403)+(AX403-AW403)+(AY403-AX403)+(AZ403-AY403)+(BA403-AZ403))/5</f>
        <v>-4.0459999999999996E-2</v>
      </c>
      <c r="AH403" s="4"/>
      <c r="AI403" s="56">
        <f>RSQ(AV403:BA403,AV402:BA402)</f>
        <v>0.37548280553205715</v>
      </c>
      <c r="AJ403" s="109">
        <f>SLOPE(AV403:BA403,AV402:BA402)</f>
        <v>-5.8353233131994188E-8</v>
      </c>
      <c r="AK403" s="56">
        <f>INTERCEPT(AV403:BA403,AV402:BA402)</f>
        <v>0.11943938053097346</v>
      </c>
      <c r="AL403" s="56">
        <f>INDEX(LINEST(LN(AV403:BA403),LN(AV402:BA402),TRUE,TRUE),3,1)</f>
        <v>0.86497512137647259</v>
      </c>
      <c r="AM403" s="56">
        <f>INDEX(LINEST(LN(AV403:BA403),LN(AV402:BA402)),1)</f>
        <v>-0.87843214499940236</v>
      </c>
      <c r="AN403" s="56">
        <f>EXP(INDEX(LINEST(LN(AV403:BA403),LN(AV402:BA402)),1,2))</f>
        <v>3779.0578315735438</v>
      </c>
      <c r="AO403" s="82">
        <f>INDEX(LINEST((AV403:BA403),LN(AV402:BA402),TRUE,TRUE),3,1)</f>
        <v>0.766218327679418</v>
      </c>
      <c r="AP403" s="82">
        <f>INDEX(LINEST((AV403:BA403),LN(AV402:BA402)),1)</f>
        <v>-5.9985772404347874E-2</v>
      </c>
      <c r="AQ403" s="83">
        <f>INDEX(LINEST(LN(AV403:BA403),SQRT(AV402:BA402),TRUE,TRUE),3,1)</f>
        <v>0.68761792794250554</v>
      </c>
      <c r="AR403" s="116">
        <f>INDEX(LINEST(LN(AV403:BA403),SQRT((AV402:BA402))),1)</f>
        <v>-2.0505752389602034E-3</v>
      </c>
      <c r="AS403" s="84">
        <f>INDEX(LINEST(1/(AV403:BA403),1/(SQRT(AV402:BA402)),TRUE,TRUE),3,1)</f>
        <v>0.89196533510462694</v>
      </c>
      <c r="AT403" s="84">
        <f>INDEX(LINEST(1/(AV403:BA403),1/SQRT(AV402:BA402)),1)</f>
        <v>-25342.724187590098</v>
      </c>
      <c r="AU403" s="3"/>
      <c r="AV403" s="53">
        <v>0.21729999999999999</v>
      </c>
      <c r="AW403" s="53">
        <v>0.13400000000000001</v>
      </c>
      <c r="AX403" s="53">
        <v>3.4000000000000002E-2</v>
      </c>
      <c r="AY403" s="53">
        <v>1.7500000000000002E-2</v>
      </c>
      <c r="AZ403" s="53">
        <v>1.6500000000000001E-2</v>
      </c>
      <c r="BA403" s="53">
        <v>1.4999999999999999E-2</v>
      </c>
      <c r="BB403" s="53"/>
      <c r="BC403" s="53"/>
      <c r="BD403" s="53"/>
      <c r="BE403" s="53"/>
      <c r="BF403" s="53"/>
      <c r="BG403" s="53"/>
      <c r="BH403" s="53"/>
      <c r="BI403" s="53"/>
      <c r="BJ403" s="53"/>
      <c r="BK403" s="53"/>
      <c r="BL403" s="53"/>
      <c r="BM403" s="53"/>
      <c r="BN403" s="53"/>
      <c r="BO403" s="53"/>
      <c r="BP403" s="53"/>
      <c r="BQ403" s="53"/>
      <c r="BR403" s="53"/>
      <c r="BS403" s="53"/>
      <c r="BT403" s="53"/>
      <c r="BU403" s="53"/>
      <c r="BV403" s="53"/>
      <c r="BW403" s="53"/>
      <c r="BX403" s="53"/>
      <c r="BY403" s="53"/>
      <c r="BZ403" s="53"/>
      <c r="CA403" s="53"/>
      <c r="CB403" s="53"/>
      <c r="CC403" s="53"/>
      <c r="CD403" s="53"/>
      <c r="CE403" s="53"/>
      <c r="CF403" s="53"/>
      <c r="CG403" s="53"/>
      <c r="CH403" s="53"/>
      <c r="CI403" s="53"/>
      <c r="CJ403" s="53"/>
      <c r="CK403" s="53"/>
      <c r="CL403" s="53"/>
      <c r="CM403" s="53"/>
      <c r="CN403" s="53"/>
      <c r="CO403" s="53"/>
      <c r="CP403" s="53"/>
      <c r="CQ403" s="53"/>
      <c r="CR403" s="1"/>
      <c r="CS403" s="1"/>
      <c r="CT403" s="1"/>
      <c r="CU403" s="1"/>
    </row>
    <row r="404" spans="1:99" s="13" customFormat="1" ht="12" customHeight="1" x14ac:dyDescent="0.2">
      <c r="A404" s="65">
        <v>43509</v>
      </c>
      <c r="B404" s="1"/>
      <c r="C404" s="1"/>
      <c r="D404" s="60"/>
      <c r="E404" s="76"/>
      <c r="F404" s="60"/>
      <c r="G404" s="60"/>
      <c r="H404" s="60"/>
      <c r="I404" s="74"/>
      <c r="J404" s="60"/>
      <c r="K404" s="64"/>
      <c r="L404" s="64"/>
      <c r="M404" s="60"/>
      <c r="N404" s="60"/>
      <c r="O404" s="60"/>
      <c r="P404" s="60"/>
      <c r="Q404" s="60"/>
      <c r="R404" s="60"/>
      <c r="S404" s="60"/>
      <c r="T404" s="60"/>
      <c r="U404" s="60"/>
      <c r="V404" s="60"/>
      <c r="W404" s="60"/>
      <c r="X404" s="60"/>
      <c r="Y404" s="76"/>
      <c r="Z404" s="60"/>
      <c r="AA404" s="60"/>
      <c r="AB404" s="60"/>
      <c r="AC404" s="60"/>
      <c r="AD404" s="60"/>
      <c r="AE404" s="60"/>
      <c r="AF404" s="80"/>
      <c r="AG404" s="56"/>
      <c r="AH404" s="4"/>
      <c r="AI404" s="56"/>
      <c r="AJ404" s="109"/>
      <c r="AK404" s="56"/>
      <c r="AL404" s="56"/>
      <c r="AM404" s="56"/>
      <c r="AN404" s="56"/>
      <c r="AO404" s="56"/>
      <c r="AP404" s="56"/>
      <c r="AQ404" s="56"/>
      <c r="AR404" s="109"/>
      <c r="AS404" s="56"/>
      <c r="AT404" s="56"/>
      <c r="AU404" s="4"/>
      <c r="AV404" s="25">
        <f>24*3600</f>
        <v>86400</v>
      </c>
      <c r="AW404" s="25">
        <f>2*24*3600</f>
        <v>172800</v>
      </c>
      <c r="AX404" s="25">
        <f>4*24*3600</f>
        <v>345600</v>
      </c>
      <c r="AY404" s="25">
        <f>7*24*3600*1</f>
        <v>604800</v>
      </c>
      <c r="AZ404" s="25">
        <f>7*24*3600*2</f>
        <v>1209600</v>
      </c>
      <c r="BA404" s="25">
        <f>7*24*3600*4</f>
        <v>2419200</v>
      </c>
      <c r="BB404" s="53"/>
      <c r="BC404" s="53"/>
      <c r="BD404" s="53"/>
      <c r="BE404" s="53"/>
      <c r="BF404" s="53"/>
      <c r="BG404" s="53"/>
      <c r="BH404" s="53"/>
      <c r="BI404" s="53"/>
      <c r="BJ404" s="53"/>
      <c r="BK404" s="53"/>
      <c r="BL404" s="53"/>
      <c r="BM404" s="53"/>
      <c r="BN404" s="53"/>
      <c r="BO404" s="53"/>
      <c r="BP404" s="53"/>
      <c r="BQ404" s="53"/>
      <c r="BR404" s="53"/>
      <c r="BS404" s="53"/>
      <c r="BT404" s="53"/>
      <c r="BU404" s="53"/>
      <c r="BV404" s="53"/>
      <c r="BW404" s="53"/>
      <c r="BX404" s="53"/>
      <c r="BY404" s="53"/>
      <c r="BZ404" s="53"/>
      <c r="CA404" s="53"/>
      <c r="CB404" s="53"/>
      <c r="CC404" s="53"/>
      <c r="CD404" s="53"/>
      <c r="CE404" s="53"/>
      <c r="CF404" s="53"/>
      <c r="CG404" s="53"/>
      <c r="CH404" s="53"/>
      <c r="CI404" s="53"/>
      <c r="CJ404" s="53"/>
      <c r="CK404" s="53"/>
      <c r="CL404" s="53"/>
      <c r="CM404" s="53"/>
      <c r="CN404" s="53"/>
      <c r="CO404" s="53"/>
      <c r="CP404" s="53"/>
      <c r="CQ404" s="53"/>
      <c r="CR404" s="1"/>
      <c r="CS404" s="1"/>
      <c r="CT404" s="1"/>
      <c r="CU404" s="1"/>
    </row>
    <row r="405" spans="1:99" s="13" customFormat="1" ht="12" customHeight="1" x14ac:dyDescent="0.2">
      <c r="A405" s="65">
        <v>43509</v>
      </c>
      <c r="B405" s="1" t="s">
        <v>153</v>
      </c>
      <c r="C405" s="1" t="s">
        <v>119</v>
      </c>
      <c r="D405" s="60">
        <v>1929</v>
      </c>
      <c r="E405" s="76">
        <v>1</v>
      </c>
      <c r="F405" s="60">
        <v>120</v>
      </c>
      <c r="G405" s="60">
        <v>20</v>
      </c>
      <c r="H405" s="60" t="s">
        <v>647</v>
      </c>
      <c r="I405" s="74">
        <v>1.5</v>
      </c>
      <c r="J405" s="60" t="s">
        <v>16</v>
      </c>
      <c r="K405" s="60">
        <f>IF(J405="syllables",1,IF(J405="trigrams",2,IF(J405="strings",3,IF(J405="visual array",4,IF(J405="characters",5,IF(J405="letters",6,IF(J405="free forms",7,IF(J405="odors",8,IF(J405="words",9,IF(J405="pictures",10,IF(J405="object pictures",11,IF(J405="faces",12,IF(J405="names",13,IF(J405="idioms",14,IF(J405="grades",15,IF(J405="syllable-digit pairs",16,IF(J405="trigram-word pairs",17,IF(J405="word-digit pairs",18,IF(J405="English-Swahili pairs",19,IF(J405="spatial position",20,IF(J405="word pairs",21,IF(J405="word triads",22,IF(J405="generated words",23,IF(J405="word definition pairs",24,IF(J405="math problems",25,IF(J405="famous faces",26,IF(J405="famous names",27,IF(J405="famous voices",28,IF(J405="television programs",29,IF(J405="race horses",30,IF(J405="new vocabulary",31,IF(J405="sentences",32,IF(J405="concepts",33,IF(J405="ad slides",34,IF(J405="scenes",35,IF(J405="famous scenes",36,IF(J405="poems",37,IF(J405="walk",38,IF(J405="faces and events",39,IF(J405="events and names",40,IF(J405="flashbulb",41,IF(J405="stories",42,IF(J405="course material",43,IF(J405="autobiographical",44,IF(J405="novels",45,IF(J405="public events",46,"99"))))))))))))))))))))))))))))))))))))))))))))))</f>
        <v>9</v>
      </c>
      <c r="L405" s="60">
        <f>IF(J405="syllables",1,IF(J405="trigrams",1,IF(J405="strings",1,IF(J405="visual array",1,IF(J405="characters",1,IF(J405="letters",1,IF(J405="free forms",1,IF(J405="odors",2,IF(J405="words",2,IF(J405="pictures",2,IF(J405="object pictures",2,IF(J405="faces",2,IF(J405="names",2,IF(J405="idioms","2",IF(J405="grades",2,IF(J405="syllable-digit pairs",3,IF(J405="trigram-word pairs",3,IF(J405="word-digit pairs",3,IF(J405="English-Swahili pairs",3,IF(J405="spatial position",3,IF(J405="word pairs",4,IF(J405="word triads",4,IF(J405="generated words",4,IF(J405="word definition pairs",4,IF(J405="math problems",4,IF(J405="famous faces",4,IF(J405="famous names",4,IF(J405="famous voices",4,IF(J405="television programs",4,IF(J405="race horses",4,IF(J405="new vocabulary",4,IF(J405="sentences",5,IF(J405="concepts",5,IF(J405="ad slides",5,IF(J405="scenes",5,IF(J405="famous scenes",5,IF(J405="poems",6,IF(J405="walk",6,IF(J405="faces and events",6,IF(J405="events and names",6,IF(J405="flashbulb",7,IF(J405="stories",7,IF(J405="course material",7,IF(J405="autobiographical",7,IF(J405="novels",7,IF(J405="public events",7,"99"))))))))))))))))))))))))))))))))))))))))))))))</f>
        <v>2</v>
      </c>
      <c r="M405" s="60">
        <v>1</v>
      </c>
      <c r="N405" s="60">
        <v>2</v>
      </c>
      <c r="O405" s="60">
        <v>0</v>
      </c>
      <c r="P405" s="60"/>
      <c r="Q405" s="60" t="s">
        <v>87</v>
      </c>
      <c r="R405" s="60">
        <f>IF(Q405="Free Recall",1,IF(Q405="Cued Recall",2,IF(Q405="Recognition",3,IF(Q405="Multiple Choice",4,IF(Q405="Savings",5,IF(Q405="Stem Completion",6,IF(Q405="Fragment Completion",7,IF(Q405="anagram solution",8,IF(Q405="Matching",9,IF(Q405="Problem Solving",10,"99"))))))))))</f>
        <v>5</v>
      </c>
      <c r="S405" s="60" t="s">
        <v>87</v>
      </c>
      <c r="T405" s="60" t="s">
        <v>261</v>
      </c>
      <c r="U405" s="60">
        <f>IF(T405="within",1,0)</f>
        <v>0</v>
      </c>
      <c r="V405" s="60">
        <v>12</v>
      </c>
      <c r="W405" s="60">
        <f>F405*V405</f>
        <v>1440</v>
      </c>
      <c r="X405" s="60">
        <v>6</v>
      </c>
      <c r="Y405" s="76">
        <f>AV404</f>
        <v>86400</v>
      </c>
      <c r="Z405" s="60" t="s">
        <v>140</v>
      </c>
      <c r="AA405" s="60">
        <v>2419200</v>
      </c>
      <c r="AB405" s="60" t="str">
        <f>IF(AA405&lt;60,"1",IF(AA405&lt;=43200,"2",IF(AA405&lt;=777600,"3","4")))</f>
        <v>4</v>
      </c>
      <c r="AC405" s="56">
        <f>AVERAGE(AV404:DA404)</f>
        <v>806400</v>
      </c>
      <c r="AD405" s="60" t="str">
        <f>IF(AC405&lt;60,"1",IF(AC405&lt;=43200,"2",IF(AC405&lt;=777600,"3","4")))</f>
        <v>4</v>
      </c>
      <c r="AE405" s="76">
        <f>AA405-Y405</f>
        <v>2332800</v>
      </c>
      <c r="AF405" s="80">
        <f>AV405</f>
        <v>0.36149999999999999</v>
      </c>
      <c r="AG405" s="56">
        <f>((AW405-AV405)+(AX405-AW405)+(AY405-AX405)+(AZ405-AY405)+(BA405-AZ405))/5</f>
        <v>-3.1300000000000001E-2</v>
      </c>
      <c r="AH405" s="4"/>
      <c r="AI405" s="56">
        <f>RSQ(AV405:BA405,AV404:BA404)</f>
        <v>0.65014511982705481</v>
      </c>
      <c r="AJ405" s="109">
        <f>SLOPE(AV405:BA405,AV404:BA404)</f>
        <v>-6.1345519033572139E-8</v>
      </c>
      <c r="AK405" s="56">
        <f>INTERCEPT(AV405:BA405,AV404:BA404)</f>
        <v>0.32246902654867254</v>
      </c>
      <c r="AL405" s="56">
        <f>INDEX(LINEST(LN(AV405:BA405),LN(AV404:BA404),TRUE,TRUE),3,1)</f>
        <v>0.93613361982131083</v>
      </c>
      <c r="AM405" s="56">
        <f>INDEX(LINEST(LN(AV405:BA405),LN(AV404:BA404)),1)</f>
        <v>-0.19437002776632611</v>
      </c>
      <c r="AN405" s="56">
        <f>EXP(INDEX(LINEST(LN(AV405:BA405),LN(AV404:BA404)),1,2))</f>
        <v>3.3512923674009731</v>
      </c>
      <c r="AO405" s="82">
        <f>INDEX(LINEST((AV405:BA405),LN(AV404:BA404),TRUE,TRUE),3,1)</f>
        <v>0.93433865528220783</v>
      </c>
      <c r="AP405" s="82">
        <f>INDEX(LINEST((AV405:BA405),LN(AV404:BA404)),1)</f>
        <v>-5.2921475114349678E-2</v>
      </c>
      <c r="AQ405" s="83">
        <f>INDEX(LINEST(LN(AV405:BA405),SQRT(AV404:BA404),TRUE,TRUE),3,1)</f>
        <v>0.8395074902923777</v>
      </c>
      <c r="AR405" s="116">
        <f>INDEX(LINEST(LN(AV405:BA405),SQRT((AV404:BA404))),1)</f>
        <v>-4.819126924277476E-4</v>
      </c>
      <c r="AS405" s="84">
        <f>INDEX(LINEST(1/(AV405:BA405),1/(SQRT(AV404:BA404)),TRUE,TRUE),3,1)</f>
        <v>0.87440110355663014</v>
      </c>
      <c r="AT405" s="84">
        <f>INDEX(LINEST(1/(AV405:BA405),1/SQRT(AV404:BA404)),1)</f>
        <v>-846.53780948294889</v>
      </c>
      <c r="AU405" s="3"/>
      <c r="AV405" s="53">
        <v>0.36149999999999999</v>
      </c>
      <c r="AW405" s="53">
        <v>0.33450000000000002</v>
      </c>
      <c r="AX405" s="53">
        <v>0.29749999999999999</v>
      </c>
      <c r="AY405" s="53">
        <v>0.23150000000000001</v>
      </c>
      <c r="AZ405" s="53">
        <v>0.20799999999999999</v>
      </c>
      <c r="BA405" s="53">
        <v>0.20499999999999999</v>
      </c>
      <c r="BB405" s="53"/>
      <c r="BC405" s="53"/>
      <c r="BD405" s="53"/>
      <c r="BE405" s="53"/>
      <c r="BF405" s="53"/>
      <c r="BG405" s="53"/>
      <c r="BH405" s="53"/>
      <c r="BI405" s="53"/>
      <c r="BJ405" s="53"/>
      <c r="BK405" s="53"/>
      <c r="BL405" s="53"/>
      <c r="BM405" s="53"/>
      <c r="BN405" s="53"/>
      <c r="BO405" s="53"/>
      <c r="BP405" s="53"/>
      <c r="BQ405" s="53"/>
      <c r="BR405" s="53"/>
      <c r="BS405" s="53"/>
      <c r="BT405" s="53"/>
      <c r="BU405" s="53"/>
      <c r="BV405" s="53"/>
      <c r="BW405" s="53"/>
      <c r="BX405" s="53"/>
      <c r="BY405" s="53"/>
      <c r="BZ405" s="53"/>
      <c r="CA405" s="53"/>
      <c r="CB405" s="53"/>
      <c r="CC405" s="53"/>
      <c r="CD405" s="53"/>
      <c r="CE405" s="53"/>
      <c r="CF405" s="53"/>
      <c r="CG405" s="53"/>
      <c r="CH405" s="53"/>
      <c r="CI405" s="53"/>
      <c r="CJ405" s="53"/>
      <c r="CK405" s="53"/>
      <c r="CL405" s="53"/>
      <c r="CM405" s="53"/>
      <c r="CN405" s="53"/>
      <c r="CO405" s="53"/>
      <c r="CP405" s="53"/>
      <c r="CQ405" s="53"/>
      <c r="CR405" s="1"/>
      <c r="CS405" s="1"/>
      <c r="CT405" s="1"/>
      <c r="CU405" s="1"/>
    </row>
    <row r="406" spans="1:99" s="13" customFormat="1" ht="12" customHeight="1" x14ac:dyDescent="0.2">
      <c r="A406" s="65">
        <v>43509</v>
      </c>
      <c r="B406" s="1"/>
      <c r="C406" s="1"/>
      <c r="D406" s="60"/>
      <c r="E406" s="76"/>
      <c r="F406" s="60"/>
      <c r="G406" s="60"/>
      <c r="H406" s="60"/>
      <c r="I406" s="74"/>
      <c r="J406" s="60"/>
      <c r="K406" s="64"/>
      <c r="L406" s="64"/>
      <c r="M406" s="60"/>
      <c r="N406" s="60"/>
      <c r="O406" s="60"/>
      <c r="P406" s="60"/>
      <c r="Q406" s="60"/>
      <c r="R406" s="60"/>
      <c r="S406" s="60"/>
      <c r="T406" s="60"/>
      <c r="U406" s="60"/>
      <c r="V406" s="60"/>
      <c r="W406" s="60"/>
      <c r="X406" s="60"/>
      <c r="Y406" s="76"/>
      <c r="Z406" s="60"/>
      <c r="AA406" s="60"/>
      <c r="AB406" s="60"/>
      <c r="AC406" s="60"/>
      <c r="AD406" s="60"/>
      <c r="AE406" s="60"/>
      <c r="AF406" s="80"/>
      <c r="AG406" s="56"/>
      <c r="AH406" s="4"/>
      <c r="AI406" s="56"/>
      <c r="AJ406" s="109"/>
      <c r="AK406" s="56"/>
      <c r="AL406" s="56"/>
      <c r="AM406" s="56"/>
      <c r="AN406" s="56"/>
      <c r="AO406" s="56"/>
      <c r="AP406" s="56"/>
      <c r="AQ406" s="56"/>
      <c r="AR406" s="109"/>
      <c r="AS406" s="56"/>
      <c r="AT406" s="56"/>
      <c r="AU406" s="4"/>
      <c r="AV406" s="25">
        <f>24*3600</f>
        <v>86400</v>
      </c>
      <c r="AW406" s="25">
        <f>2*24*3600</f>
        <v>172800</v>
      </c>
      <c r="AX406" s="25">
        <f>4*24*3600</f>
        <v>345600</v>
      </c>
      <c r="AY406" s="25">
        <f>7*24*3600*1</f>
        <v>604800</v>
      </c>
      <c r="AZ406" s="25">
        <f>7*24*3600*2</f>
        <v>1209600</v>
      </c>
      <c r="BA406" s="25">
        <f>7*24*3600*4</f>
        <v>2419200</v>
      </c>
      <c r="BB406" s="53"/>
      <c r="BC406" s="53"/>
      <c r="BD406" s="53"/>
      <c r="BE406" s="53"/>
      <c r="BF406" s="53"/>
      <c r="BG406" s="53"/>
      <c r="BH406" s="53"/>
      <c r="BI406" s="53"/>
      <c r="BJ406" s="53"/>
      <c r="BK406" s="53"/>
      <c r="BL406" s="53"/>
      <c r="BM406" s="53"/>
      <c r="BN406" s="53"/>
      <c r="BO406" s="53"/>
      <c r="BP406" s="53"/>
      <c r="BQ406" s="53"/>
      <c r="BR406" s="53"/>
      <c r="BS406" s="53"/>
      <c r="BT406" s="53"/>
      <c r="BU406" s="53"/>
      <c r="BV406" s="53"/>
      <c r="BW406" s="53"/>
      <c r="BX406" s="53"/>
      <c r="BY406" s="53"/>
      <c r="BZ406" s="53"/>
      <c r="CA406" s="53"/>
      <c r="CB406" s="53"/>
      <c r="CC406" s="53"/>
      <c r="CD406" s="53"/>
      <c r="CE406" s="53"/>
      <c r="CF406" s="53"/>
      <c r="CG406" s="53"/>
      <c r="CH406" s="53"/>
      <c r="CI406" s="53"/>
      <c r="CJ406" s="53"/>
      <c r="CK406" s="53"/>
      <c r="CL406" s="53"/>
      <c r="CM406" s="53"/>
      <c r="CN406" s="53"/>
      <c r="CO406" s="53"/>
      <c r="CP406" s="53"/>
      <c r="CQ406" s="53"/>
      <c r="CR406" s="1"/>
      <c r="CS406" s="1"/>
      <c r="CT406" s="1"/>
      <c r="CU406" s="1"/>
    </row>
    <row r="407" spans="1:99" s="13" customFormat="1" ht="12" customHeight="1" x14ac:dyDescent="0.2">
      <c r="A407" s="65">
        <v>43509</v>
      </c>
      <c r="B407" s="1" t="s">
        <v>153</v>
      </c>
      <c r="C407" s="1" t="s">
        <v>119</v>
      </c>
      <c r="D407" s="60">
        <v>1929</v>
      </c>
      <c r="E407" s="76">
        <v>1</v>
      </c>
      <c r="F407" s="60">
        <v>120</v>
      </c>
      <c r="G407" s="60">
        <v>20</v>
      </c>
      <c r="H407" s="60" t="s">
        <v>647</v>
      </c>
      <c r="I407" s="74">
        <v>2</v>
      </c>
      <c r="J407" s="60" t="s">
        <v>16</v>
      </c>
      <c r="K407" s="60">
        <f>IF(J407="syllables",1,IF(J407="trigrams",2,IF(J407="strings",3,IF(J407="visual array",4,IF(J407="characters",5,IF(J407="letters",6,IF(J407="free forms",7,IF(J407="odors",8,IF(J407="words",9,IF(J407="pictures",10,IF(J407="object pictures",11,IF(J407="faces",12,IF(J407="names",13,IF(J407="idioms",14,IF(J407="grades",15,IF(J407="syllable-digit pairs",16,IF(J407="trigram-word pairs",17,IF(J407="word-digit pairs",18,IF(J407="English-Swahili pairs",19,IF(J407="spatial position",20,IF(J407="word pairs",21,IF(J407="word triads",22,IF(J407="generated words",23,IF(J407="word definition pairs",24,IF(J407="math problems",25,IF(J407="famous faces",26,IF(J407="famous names",27,IF(J407="famous voices",28,IF(J407="television programs",29,IF(J407="race horses",30,IF(J407="new vocabulary",31,IF(J407="sentences",32,IF(J407="concepts",33,IF(J407="ad slides",34,IF(J407="scenes",35,IF(J407="famous scenes",36,IF(J407="poems",37,IF(J407="walk",38,IF(J407="faces and events",39,IF(J407="events and names",40,IF(J407="flashbulb",41,IF(J407="stories",42,IF(J407="course material",43,IF(J407="autobiographical",44,IF(J407="novels",45,IF(J407="public events",46,"99"))))))))))))))))))))))))))))))))))))))))))))))</f>
        <v>9</v>
      </c>
      <c r="L407" s="60">
        <f>IF(J407="syllables",1,IF(J407="trigrams",1,IF(J407="strings",1,IF(J407="visual array",1,IF(J407="characters",1,IF(J407="letters",1,IF(J407="free forms",1,IF(J407="odors",2,IF(J407="words",2,IF(J407="pictures",2,IF(J407="object pictures",2,IF(J407="faces",2,IF(J407="names",2,IF(J407="idioms","2",IF(J407="grades",2,IF(J407="syllable-digit pairs",3,IF(J407="trigram-word pairs",3,IF(J407="word-digit pairs",3,IF(J407="English-Swahili pairs",3,IF(J407="spatial position",3,IF(J407="word pairs",4,IF(J407="word triads",4,IF(J407="generated words",4,IF(J407="word definition pairs",4,IF(J407="math problems",4,IF(J407="famous faces",4,IF(J407="famous names",4,IF(J407="famous voices",4,IF(J407="television programs",4,IF(J407="race horses",4,IF(J407="new vocabulary",4,IF(J407="sentences",5,IF(J407="concepts",5,IF(J407="ad slides",5,IF(J407="scenes",5,IF(J407="famous scenes",5,IF(J407="poems",6,IF(J407="walk",6,IF(J407="faces and events",6,IF(J407="events and names",6,IF(J407="flashbulb",7,IF(J407="stories",7,IF(J407="course material",7,IF(J407="autobiographical",7,IF(J407="novels",7,IF(J407="public events",7,"99"))))))))))))))))))))))))))))))))))))))))))))))</f>
        <v>2</v>
      </c>
      <c r="M407" s="60">
        <v>1</v>
      </c>
      <c r="N407" s="60">
        <v>2</v>
      </c>
      <c r="O407" s="60">
        <v>0</v>
      </c>
      <c r="P407" s="60"/>
      <c r="Q407" s="60" t="s">
        <v>87</v>
      </c>
      <c r="R407" s="60">
        <f>IF(Q407="Free Recall",1,IF(Q407="Cued Recall",2,IF(Q407="Recognition",3,IF(Q407="Multiple Choice",4,IF(Q407="Savings",5,IF(Q407="Stem Completion",6,IF(Q407="Fragment Completion",7,IF(Q407="anagram solution",8,IF(Q407="Matching",9,IF(Q407="Problem Solving",10,"99"))))))))))</f>
        <v>5</v>
      </c>
      <c r="S407" s="60" t="s">
        <v>87</v>
      </c>
      <c r="T407" s="60" t="s">
        <v>261</v>
      </c>
      <c r="U407" s="60">
        <f>IF(T407="within",1,0)</f>
        <v>0</v>
      </c>
      <c r="V407" s="60">
        <v>12</v>
      </c>
      <c r="W407" s="60">
        <f>F407*V407</f>
        <v>1440</v>
      </c>
      <c r="X407" s="60">
        <v>6</v>
      </c>
      <c r="Y407" s="76">
        <f>AV406</f>
        <v>86400</v>
      </c>
      <c r="Z407" s="60" t="s">
        <v>140</v>
      </c>
      <c r="AA407" s="60">
        <v>2419200</v>
      </c>
      <c r="AB407" s="60" t="str">
        <f>IF(AA407&lt;60,"1",IF(AA407&lt;=43200,"2",IF(AA407&lt;=777600,"3","4")))</f>
        <v>4</v>
      </c>
      <c r="AC407" s="56">
        <f>AVERAGE(AV406:DA406)</f>
        <v>806400</v>
      </c>
      <c r="AD407" s="60" t="str">
        <f>IF(AC407&lt;60,"1",IF(AC407&lt;=43200,"2",IF(AC407&lt;=777600,"3","4")))</f>
        <v>4</v>
      </c>
      <c r="AE407" s="76">
        <f>AA407-Y407</f>
        <v>2332800</v>
      </c>
      <c r="AF407" s="80">
        <f>AV407</f>
        <v>0.47099999999999997</v>
      </c>
      <c r="AG407" s="56">
        <f>((AW407-AV407)+(AX407-AW407)+(AY407-AX407)+(AZ407-AY407)+(BA407-AZ407))/5</f>
        <v>-4.3999999999999997E-2</v>
      </c>
      <c r="AH407" s="4"/>
      <c r="AI407" s="56">
        <f>RSQ(AV407:BA407,AV406:BA406)</f>
        <v>0.54069909532616967</v>
      </c>
      <c r="AJ407" s="109">
        <f>SLOPE(AV407:BA407,AV406:BA406)</f>
        <v>-7.6844682071451963E-8</v>
      </c>
      <c r="AK407" s="56">
        <f>INTERCEPT(AV407:BA407,AV406:BA406)</f>
        <v>0.39455088495575213</v>
      </c>
      <c r="AL407" s="56">
        <f>INDEX(LINEST(LN(AV407:BA407),LN(AV406:BA406),TRUE,TRUE),3,1)</f>
        <v>0.920417777394131</v>
      </c>
      <c r="AM407" s="56">
        <f>INDEX(LINEST(LN(AV407:BA407),LN(AV406:BA406)),1)</f>
        <v>-0.20807610380928487</v>
      </c>
      <c r="AN407" s="56">
        <f>EXP(INDEX(LINEST(LN(AV407:BA407),LN(AV406:BA406)),1,2))</f>
        <v>4.8563368730996137</v>
      </c>
      <c r="AO407" s="82">
        <f>INDEX(LINEST((AV407:BA407),LN(AV406:BA406),TRUE,TRUE),3,1)</f>
        <v>0.89671262836736432</v>
      </c>
      <c r="AP407" s="82">
        <f>INDEX(LINEST((AV407:BA407),LN(AV406:BA406)),1)</f>
        <v>-7.1213893459317182E-2</v>
      </c>
      <c r="AQ407" s="83">
        <f>INDEX(LINEST(LN(AV407:BA407),SQRT(AV406:BA406),TRUE,TRUE),3,1)</f>
        <v>0.76503279476562192</v>
      </c>
      <c r="AR407" s="116">
        <f>INDEX(LINEST(LN(AV407:BA407),SQRT((AV406:BA406))),1)</f>
        <v>-4.9666714952908064E-4</v>
      </c>
      <c r="AS407" s="84">
        <f>INDEX(LINEST(1/(AV407:BA407),1/(SQRT(AV406:BA406)),TRUE,TRUE),3,1)</f>
        <v>0.94694248441620554</v>
      </c>
      <c r="AT407" s="84">
        <f>INDEX(LINEST(1/(AV407:BA407),1/SQRT(AV406:BA406)),1)</f>
        <v>-752.97254723256583</v>
      </c>
      <c r="AU407" s="3"/>
      <c r="AV407" s="53">
        <v>0.47099999999999997</v>
      </c>
      <c r="AW407" s="53">
        <v>0.42049999999999998</v>
      </c>
      <c r="AX407" s="53">
        <v>0.32300000000000001</v>
      </c>
      <c r="AY407" s="53">
        <v>0.27550000000000002</v>
      </c>
      <c r="AZ407" s="53">
        <v>0.2545</v>
      </c>
      <c r="BA407" s="53">
        <v>0.251</v>
      </c>
      <c r="BB407" s="53"/>
      <c r="BC407" s="53"/>
      <c r="BD407" s="53"/>
      <c r="BE407" s="53"/>
      <c r="BF407" s="53"/>
      <c r="BG407" s="53"/>
      <c r="BH407" s="53"/>
      <c r="BI407" s="53"/>
      <c r="BJ407" s="53"/>
      <c r="BK407" s="53"/>
      <c r="BL407" s="53"/>
      <c r="BM407" s="53"/>
      <c r="BN407" s="53"/>
      <c r="BO407" s="53"/>
      <c r="BP407" s="53"/>
      <c r="BQ407" s="53"/>
      <c r="BR407" s="53"/>
      <c r="BS407" s="53"/>
      <c r="BT407" s="53"/>
      <c r="BU407" s="53"/>
      <c r="BV407" s="53"/>
      <c r="BW407" s="53"/>
      <c r="BX407" s="53"/>
      <c r="BY407" s="53"/>
      <c r="BZ407" s="53"/>
      <c r="CA407" s="53"/>
      <c r="CB407" s="53"/>
      <c r="CC407" s="53"/>
      <c r="CD407" s="53"/>
      <c r="CE407" s="53"/>
      <c r="CF407" s="53"/>
      <c r="CG407" s="53"/>
      <c r="CH407" s="53"/>
      <c r="CI407" s="53"/>
      <c r="CJ407" s="53"/>
      <c r="CK407" s="53"/>
      <c r="CL407" s="53"/>
      <c r="CM407" s="53"/>
      <c r="CN407" s="53"/>
      <c r="CO407" s="53"/>
      <c r="CP407" s="53"/>
      <c r="CQ407" s="53"/>
      <c r="CR407" s="1"/>
      <c r="CS407" s="1"/>
      <c r="CT407" s="1"/>
      <c r="CU407" s="1"/>
    </row>
    <row r="408" spans="1:99" s="13" customFormat="1" ht="12" customHeight="1" x14ac:dyDescent="0.2">
      <c r="A408" s="68">
        <v>43509</v>
      </c>
      <c r="B408" s="70"/>
      <c r="C408" s="70"/>
      <c r="D408" s="69"/>
      <c r="E408" s="87"/>
      <c r="F408" s="69"/>
      <c r="G408" s="69"/>
      <c r="H408" s="69"/>
      <c r="I408" s="69"/>
      <c r="J408" s="69"/>
      <c r="K408" s="107"/>
      <c r="L408" s="107"/>
      <c r="M408" s="69"/>
      <c r="N408" s="69"/>
      <c r="O408" s="69"/>
      <c r="P408" s="69"/>
      <c r="Q408" s="69"/>
      <c r="R408" s="69"/>
      <c r="S408" s="69"/>
      <c r="T408" s="69"/>
      <c r="U408" s="69"/>
      <c r="V408" s="69"/>
      <c r="W408" s="69"/>
      <c r="X408" s="69"/>
      <c r="Y408" s="87"/>
      <c r="Z408" s="69"/>
      <c r="AA408" s="69"/>
      <c r="AB408" s="69"/>
      <c r="AC408" s="69"/>
      <c r="AD408" s="69"/>
      <c r="AE408" s="69"/>
      <c r="AF408" s="88"/>
      <c r="AG408" s="72"/>
      <c r="AH408" s="4"/>
      <c r="AI408" s="72"/>
      <c r="AJ408" s="110"/>
      <c r="AK408" s="72"/>
      <c r="AL408" s="72"/>
      <c r="AM408" s="72"/>
      <c r="AN408" s="72"/>
      <c r="AO408" s="72"/>
      <c r="AP408" s="72"/>
      <c r="AQ408" s="72"/>
      <c r="AR408" s="110"/>
      <c r="AS408" s="72"/>
      <c r="AT408" s="72"/>
      <c r="AU408" s="5"/>
      <c r="AV408" s="71">
        <f>30*24*60*60*((5/60)/24)/30</f>
        <v>300</v>
      </c>
      <c r="AW408" s="71">
        <f>30*24*60*60*(1/24)/30</f>
        <v>3600</v>
      </c>
      <c r="AX408" s="71">
        <f>30*24*60*60*1/30</f>
        <v>86400</v>
      </c>
      <c r="AY408" s="71">
        <f>30*24*60*60*7/30</f>
        <v>604800</v>
      </c>
      <c r="AZ408" s="71">
        <f>30*24*60*60*1</f>
        <v>2592000</v>
      </c>
      <c r="BA408" s="53"/>
      <c r="BB408" s="53"/>
      <c r="BC408" s="53"/>
      <c r="BD408" s="53"/>
      <c r="BE408" s="53"/>
      <c r="BF408" s="53"/>
      <c r="BG408" s="53"/>
      <c r="BH408" s="53"/>
      <c r="BI408" s="53"/>
      <c r="BJ408" s="53"/>
      <c r="BK408" s="53"/>
      <c r="BL408" s="53"/>
      <c r="BM408" s="53"/>
      <c r="BN408" s="53"/>
      <c r="BO408" s="53"/>
      <c r="BP408" s="53"/>
      <c r="BQ408" s="53"/>
      <c r="BR408" s="53"/>
      <c r="BS408" s="53"/>
      <c r="BT408" s="53"/>
      <c r="BU408" s="53"/>
      <c r="BV408" s="53"/>
      <c r="BW408" s="53"/>
      <c r="BX408" s="53"/>
      <c r="BY408" s="53"/>
      <c r="BZ408" s="53"/>
      <c r="CA408" s="53"/>
      <c r="CB408" s="53"/>
      <c r="CC408" s="53"/>
      <c r="CD408" s="53"/>
      <c r="CE408" s="53"/>
      <c r="CF408" s="53"/>
      <c r="CG408" s="53"/>
      <c r="CH408" s="53"/>
      <c r="CI408" s="53"/>
      <c r="CJ408" s="53"/>
      <c r="CK408" s="53"/>
      <c r="CL408" s="53"/>
      <c r="CM408" s="53"/>
      <c r="CN408" s="53"/>
      <c r="CO408" s="53"/>
      <c r="CP408" s="53"/>
      <c r="CQ408" s="53"/>
      <c r="CR408" s="1"/>
      <c r="CS408" s="1"/>
      <c r="CT408" s="1"/>
      <c r="CU408" s="1"/>
    </row>
    <row r="409" spans="1:99" s="13" customFormat="1" ht="12" customHeight="1" x14ac:dyDescent="0.2">
      <c r="A409" s="68">
        <v>43509</v>
      </c>
      <c r="B409" s="70" t="s">
        <v>184</v>
      </c>
      <c r="C409" s="70" t="s">
        <v>167</v>
      </c>
      <c r="D409" s="69">
        <v>1971</v>
      </c>
      <c r="E409" s="87">
        <v>1</v>
      </c>
      <c r="F409" s="69">
        <v>50</v>
      </c>
      <c r="G409" s="69">
        <v>10</v>
      </c>
      <c r="H409" s="69" t="s">
        <v>32</v>
      </c>
      <c r="I409" s="69" t="s">
        <v>718</v>
      </c>
      <c r="J409" s="69" t="s">
        <v>16</v>
      </c>
      <c r="K409" s="69">
        <f>IF(J409="syllables",1,IF(J409="trigrams",2,IF(J409="strings",3,IF(J409="visual array",4,IF(J409="characters",5,IF(J409="letters",6,IF(J409="free forms",7,IF(J409="odors",8,IF(J409="words",9,IF(J409="pictures",10,IF(J409="object pictures",11,IF(J409="faces",12,IF(J409="names",13,IF(J409="idioms",14,IF(J409="grades",15,IF(J409="syllable-digit pairs",16,IF(J409="trigram-word pairs",17,IF(J409="word-digit pairs",18,IF(J409="English-Swahili pairs",19,IF(J409="spatial position",20,IF(J409="word pairs",21,IF(J409="word triads",22,IF(J409="generated words",23,IF(J409="word definition pairs",24,IF(J409="math problems",25,IF(J409="famous faces",26,IF(J409="famous names",27,IF(J409="famous voices",28,IF(J409="television programs",29,IF(J409="race horses",30,IF(J409="new vocabulary",31,IF(J409="sentences",32,IF(J409="concepts",33,IF(J409="ad slides",34,IF(J409="scenes",35,IF(J409="famous scenes",36,IF(J409="poems",37,IF(J409="walk",38,IF(J409="faces and events",39,IF(J409="events and names",40,IF(J409="flashbulb",41,IF(J409="stories",42,IF(J409="course material",43,IF(J409="autobiographical",44,IF(J409="novels",45,IF(J409="public events",46,"99"))))))))))))))))))))))))))))))))))))))))))))))</f>
        <v>9</v>
      </c>
      <c r="L409" s="69">
        <f>IF(J409="syllables",1,IF(J409="trigrams",1,IF(J409="strings",1,IF(J409="visual array",1,IF(J409="characters",1,IF(J409="letters",1,IF(J409="free forms",1,IF(J409="odors",2,IF(J409="words",2,IF(J409="pictures",2,IF(J409="object pictures",2,IF(J409="faces",2,IF(J409="names",2,IF(J409="idioms","2",IF(J409="grades",2,IF(J409="syllable-digit pairs",3,IF(J409="trigram-word pairs",3,IF(J409="word-digit pairs",3,IF(J409="English-Swahili pairs",3,IF(J409="spatial position",3,IF(J409="word pairs",4,IF(J409="word triads",4,IF(J409="generated words",4,IF(J409="word definition pairs",4,IF(J409="math problems",4,IF(J409="famous faces",4,IF(J409="famous names",4,IF(J409="famous voices",4,IF(J409="television programs",4,IF(J409="race horses",4,IF(J409="new vocabulary",4,IF(J409="sentences",5,IF(J409="concepts",5,IF(J409="ad slides",5,IF(J409="scenes",5,IF(J409="famous scenes",5,IF(J409="poems",6,IF(J409="walk",6,IF(J409="faces and events",6,IF(J409="events and names",6,IF(J409="flashbulb",7,IF(J409="stories",7,IF(J409="course material",7,IF(J409="autobiographical",7,IF(J409="novels",7,IF(J409="public events",7,"99"))))))))))))))))))))))))))))))))))))))))))))))</f>
        <v>2</v>
      </c>
      <c r="M409" s="69">
        <v>0</v>
      </c>
      <c r="N409" s="69">
        <v>3</v>
      </c>
      <c r="O409" s="69">
        <v>0</v>
      </c>
      <c r="P409" s="69"/>
      <c r="Q409" s="69" t="s">
        <v>65</v>
      </c>
      <c r="R409" s="69">
        <f>IF(Q409="Free Recall",1,IF(Q409="Cued Recall",2,IF(Q409="Recognition",3,IF(Q409="Multiple Choice",4,IF(Q409="Savings",5,IF(Q409="Stem Completion",6,IF(Q409="Fragment Completion",7,IF(Q409="anagram solution",8,IF(Q409="Matching",9,IF(Q409="Problem Solving",10,"99"))))))))))</f>
        <v>2</v>
      </c>
      <c r="S409" s="69" t="s">
        <v>15</v>
      </c>
      <c r="T409" s="69" t="s">
        <v>261</v>
      </c>
      <c r="U409" s="69">
        <f>IF(T409="within",1,0)</f>
        <v>0</v>
      </c>
      <c r="V409" s="69">
        <v>8</v>
      </c>
      <c r="W409" s="69">
        <f>F409*V409</f>
        <v>400</v>
      </c>
      <c r="X409" s="69">
        <v>5</v>
      </c>
      <c r="Y409" s="87">
        <f>AV408</f>
        <v>300</v>
      </c>
      <c r="Z409" s="69" t="s">
        <v>185</v>
      </c>
      <c r="AA409" s="69">
        <v>2628002.88</v>
      </c>
      <c r="AB409" s="69" t="str">
        <f>IF(AA409&lt;60,"1",IF(AA409&lt;=43200,"2",IF(AA409&lt;=777600,"3","4")))</f>
        <v>4</v>
      </c>
      <c r="AC409" s="72">
        <f>AVERAGE(AV408:DA408)</f>
        <v>657420</v>
      </c>
      <c r="AD409" s="69" t="str">
        <f>IF(AC409&lt;60,"1",IF(AC409&lt;=43200,"2",IF(AC409&lt;=777600,"3","4")))</f>
        <v>3</v>
      </c>
      <c r="AE409" s="87">
        <f>AA409-Y409</f>
        <v>2627702.88</v>
      </c>
      <c r="AF409" s="88">
        <f>AV409</f>
        <v>0.36249999999999999</v>
      </c>
      <c r="AG409" s="72">
        <f>((AW409-AV409)+(AX409-AW409)+(AY409-AX409)+(AZ409-AY409))/4</f>
        <v>-6.25E-2</v>
      </c>
      <c r="AH409" s="4"/>
      <c r="AI409" s="72">
        <f>RSQ(AV409:AZ409,AV408:AZ408)</f>
        <v>0.76071226605551423</v>
      </c>
      <c r="AJ409" s="110">
        <f>SLOPE(AV409:AZ409,AV408:AZ408)</f>
        <v>-7.0332125190043847E-8</v>
      </c>
      <c r="AK409" s="72">
        <f>INTERCEPT(AV409:AZ409,AV408:AZ408)</f>
        <v>0.28873774574243866</v>
      </c>
      <c r="AL409" s="72">
        <f>INDEX(LINEST(LN(AV409:AZ409),LN(AV408:AZ408),TRUE,TRUE),3,1)</f>
        <v>0.74457961368865933</v>
      </c>
      <c r="AM409" s="72">
        <f>INDEX(LINEST(LN(AV409:AZ409),LN(AV408:AZ408)),1)</f>
        <v>-0.10017691213249223</v>
      </c>
      <c r="AN409" s="72">
        <f>EXP(INDEX(LINEST(LN(AV409:AZ409),LN(AV408:AZ408)),1,2))</f>
        <v>0.66079355665019002</v>
      </c>
      <c r="AO409" s="89">
        <f>INDEX(LINEST((AV409:AZ409),LN(AV408:AZ408),TRUE,TRUE),3,1)</f>
        <v>0.84183925467245402</v>
      </c>
      <c r="AP409" s="89">
        <f>INDEX(LINEST((AV409:AZ409),LN(AV408:AZ408)),1)</f>
        <v>-2.2136396591228302E-2</v>
      </c>
      <c r="AQ409" s="90">
        <f>INDEX(LINEST(LN(AV409:AZ409),SQRT(AV408:AZ408),TRUE,TRUE),3,1)</f>
        <v>0.90908269596479974</v>
      </c>
      <c r="AR409" s="117">
        <f>INDEX(LINEST(LN(AV409:AZ409),SQRT((AV408:AZ408))),1)</f>
        <v>-6.1840844321196244E-4</v>
      </c>
      <c r="AS409" s="91">
        <f>INDEX(LINEST(1/(AV409:AZ409),1/(SQRT(AV408:AZ408)),TRUE,TRUE),3,1)</f>
        <v>0.33421395223980982</v>
      </c>
      <c r="AT409" s="91">
        <f>INDEX(LINEST(1/(AV409:AZ409),1/SQRT(AV408:AZ408)),1)</f>
        <v>-56.685452277463</v>
      </c>
      <c r="AU409" s="3"/>
      <c r="AV409" s="73">
        <f>2.9/8</f>
        <v>0.36249999999999999</v>
      </c>
      <c r="AW409" s="73">
        <f>2.1/8</f>
        <v>0.26250000000000001</v>
      </c>
      <c r="AX409" s="73">
        <f>2/8</f>
        <v>0.25</v>
      </c>
      <c r="AY409" s="73">
        <f>1.8/8</f>
        <v>0.22500000000000001</v>
      </c>
      <c r="AZ409" s="73">
        <f>0.9/8</f>
        <v>0.1125</v>
      </c>
      <c r="BA409" s="53"/>
      <c r="BB409" s="53"/>
      <c r="BC409" s="53"/>
      <c r="BD409" s="53"/>
      <c r="BE409" s="53"/>
      <c r="BF409" s="53"/>
      <c r="BG409" s="53"/>
      <c r="BH409" s="53"/>
      <c r="BI409" s="53"/>
      <c r="BJ409" s="53"/>
      <c r="BK409" s="53"/>
      <c r="BL409" s="53"/>
      <c r="BM409" s="53"/>
      <c r="BN409" s="53"/>
      <c r="BO409" s="53"/>
      <c r="BP409" s="53"/>
      <c r="BQ409" s="53"/>
      <c r="BR409" s="53"/>
      <c r="BS409" s="53"/>
      <c r="BT409" s="53"/>
      <c r="BU409" s="53"/>
      <c r="BV409" s="53"/>
      <c r="BW409" s="53"/>
      <c r="BX409" s="53"/>
      <c r="BY409" s="53"/>
      <c r="BZ409" s="53"/>
      <c r="CA409" s="53"/>
      <c r="CB409" s="53"/>
      <c r="CC409" s="53"/>
      <c r="CD409" s="53"/>
      <c r="CE409" s="53"/>
      <c r="CF409" s="53"/>
      <c r="CG409" s="53"/>
      <c r="CH409" s="53"/>
      <c r="CI409" s="53"/>
      <c r="CJ409" s="53"/>
      <c r="CK409" s="53"/>
      <c r="CL409" s="53"/>
      <c r="CM409" s="53"/>
      <c r="CN409" s="53"/>
      <c r="CO409" s="53"/>
      <c r="CP409" s="53"/>
      <c r="CQ409" s="53"/>
      <c r="CR409" s="1"/>
      <c r="CS409" s="1"/>
      <c r="CT409" s="1"/>
      <c r="CU409" s="1"/>
    </row>
    <row r="410" spans="1:99" ht="12" customHeight="1" x14ac:dyDescent="0.2">
      <c r="A410" s="65">
        <v>43648</v>
      </c>
      <c r="B410" s="15"/>
      <c r="C410" s="15"/>
      <c r="D410" s="59"/>
      <c r="E410" s="75"/>
      <c r="F410" s="59"/>
      <c r="G410" s="59"/>
      <c r="H410" s="59"/>
      <c r="I410" s="59"/>
      <c r="J410" s="59"/>
      <c r="M410" s="59"/>
      <c r="N410" s="59"/>
      <c r="O410" s="59"/>
      <c r="P410" s="59"/>
      <c r="Q410" s="59"/>
      <c r="R410" s="60"/>
      <c r="S410" s="59"/>
      <c r="T410" s="60"/>
      <c r="U410" s="60"/>
      <c r="V410" s="60"/>
      <c r="W410" s="60"/>
      <c r="X410" s="59"/>
      <c r="Y410" s="76"/>
      <c r="Z410" s="59"/>
      <c r="AA410" s="59"/>
      <c r="AB410" s="60"/>
      <c r="AC410" s="60"/>
      <c r="AD410" s="60"/>
      <c r="AE410" s="60"/>
      <c r="AF410" s="80"/>
      <c r="AG410" s="56"/>
      <c r="AH410" s="4"/>
      <c r="AI410" s="55"/>
      <c r="AJ410" s="111"/>
      <c r="AK410" s="55"/>
      <c r="AL410" s="55"/>
      <c r="AM410" s="55"/>
      <c r="AN410" s="55"/>
      <c r="AO410" s="55"/>
      <c r="AP410" s="55"/>
      <c r="AQ410" s="56"/>
      <c r="AR410" s="109"/>
      <c r="AS410" s="56"/>
      <c r="AT410" s="56"/>
      <c r="AU410" s="4"/>
      <c r="AV410" s="47">
        <f>20*60</f>
        <v>1200</v>
      </c>
      <c r="AW410" s="47">
        <f>1*7*(24*(3600))</f>
        <v>604800</v>
      </c>
      <c r="AX410" s="47">
        <f>4*7*(24*(3600))</f>
        <v>2419200</v>
      </c>
      <c r="AY410" s="47">
        <f>120*24*3600</f>
        <v>10368000</v>
      </c>
      <c r="AZ410" s="11"/>
      <c r="BA410" s="11"/>
      <c r="BB410" s="11"/>
      <c r="BC410" s="11"/>
      <c r="BD410" s="11"/>
      <c r="BE410" s="11"/>
      <c r="BF410" s="11"/>
      <c r="BG410" s="11"/>
      <c r="BH410" s="11"/>
      <c r="BI410" s="11"/>
      <c r="BJ410" s="11"/>
      <c r="BK410" s="11"/>
      <c r="BL410" s="11"/>
      <c r="BM410" s="11"/>
      <c r="BN410" s="11"/>
      <c r="BO410" s="11"/>
      <c r="BP410" s="11"/>
      <c r="BQ410" s="11"/>
      <c r="BR410" s="11"/>
      <c r="BS410" s="11"/>
      <c r="BT410" s="11"/>
      <c r="BU410" s="11"/>
      <c r="BV410" s="11"/>
      <c r="BW410" s="11"/>
      <c r="BX410" s="11"/>
      <c r="BY410" s="11"/>
      <c r="BZ410" s="11"/>
      <c r="CA410" s="11"/>
      <c r="CB410" s="11"/>
      <c r="CC410" s="11"/>
      <c r="CD410" s="11"/>
      <c r="CE410" s="11"/>
      <c r="CF410" s="11"/>
      <c r="CG410" s="11"/>
      <c r="CH410" s="11"/>
      <c r="CI410" s="11"/>
      <c r="CJ410" s="11"/>
      <c r="CK410" s="11"/>
      <c r="CL410" s="11"/>
      <c r="CM410" s="11"/>
      <c r="CN410" s="11"/>
      <c r="CO410" s="11"/>
      <c r="CP410" s="11"/>
      <c r="CQ410" s="11"/>
      <c r="CR410" s="15"/>
      <c r="CS410" s="15"/>
      <c r="CT410" s="15"/>
      <c r="CU410" s="15"/>
    </row>
    <row r="411" spans="1:99" ht="12" customHeight="1" x14ac:dyDescent="0.2">
      <c r="A411" s="65">
        <v>43648</v>
      </c>
      <c r="B411" s="15" t="s">
        <v>306</v>
      </c>
      <c r="C411" s="15" t="s">
        <v>308</v>
      </c>
      <c r="D411" s="59">
        <v>1978</v>
      </c>
      <c r="E411" s="76">
        <v>1</v>
      </c>
      <c r="F411" s="59">
        <v>60</v>
      </c>
      <c r="G411" s="59">
        <v>15</v>
      </c>
      <c r="H411" s="59" t="s">
        <v>41</v>
      </c>
      <c r="I411" s="59" t="s">
        <v>313</v>
      </c>
      <c r="J411" s="59" t="s">
        <v>313</v>
      </c>
      <c r="K411" s="60">
        <f>IF(J411="syllables",1,IF(J411="trigrams",2,IF(J411="strings",3,IF(J411="visual array",4,IF(J411="characters",5,IF(J411="letters",6,IF(J411="free forms",7,IF(J411="odors",8,IF(J411="words",9,IF(J411="pictures",10,IF(J411="object pictures",11,IF(J411="faces",12,IF(J411="names",13,IF(J411="idioms",14,IF(J411="grades",15,IF(J411="syllable-digit pairs",16,IF(J411="trigram-word pairs",17,IF(J411="word-digit pairs",18,IF(J411="English-Swahili pairs",19,IF(J411="spatial position",20,IF(J411="word pairs",21,IF(J411="word triads",22,IF(J411="generated words",23,IF(J411="word definition pairs",24,IF(J411="math problems",25,IF(J411="famous faces",26,IF(J411="famous names",27,IF(J411="famous voices",28,IF(J411="television programs",29,IF(J411="race horses",30,IF(J411="new vocabulary",31,IF(J411="sentences",32,IF(J411="concepts",33,IF(J411="ad slides",34,IF(J411="scenes",35,IF(J411="famous scenes",36,IF(J411="poems",37,IF(J411="walk",38,IF(J411="faces and events",39,IF(J411="events and names",40,IF(J411="flashbulb",41,IF(J411="stories",42,IF(J411="course material",43,IF(J411="autobiographical",44,IF(J411="novels",45,IF(J411="public events",46,"99"))))))))))))))))))))))))))))))))))))))))))))))</f>
        <v>10</v>
      </c>
      <c r="L411" s="60">
        <f>IF(J411="syllables",1,IF(J411="trigrams",1,IF(J411="strings",1,IF(J411="visual array",1,IF(J411="characters",1,IF(J411="letters",1,IF(J411="free forms",1,IF(J411="odors",2,IF(J411="words",2,IF(J411="pictures",2,IF(J411="object pictures",2,IF(J411="faces",2,IF(J411="names",2,IF(J411="idioms","2",IF(J411="grades",2,IF(J411="syllable-digit pairs",3,IF(J411="trigram-word pairs",3,IF(J411="word-digit pairs",3,IF(J411="English-Swahili pairs",3,IF(J411="spatial position",3,IF(J411="word pairs",4,IF(J411="word triads",4,IF(J411="generated words",4,IF(J411="word definition pairs",4,IF(J411="math problems",4,IF(J411="famous faces",4,IF(J411="famous names",4,IF(J411="famous voices",4,IF(J411="television programs",4,IF(J411="race horses",4,IF(J411="new vocabulary",4,IF(J411="sentences",5,IF(J411="concepts",5,IF(J411="ad slides",5,IF(J411="scenes",5,IF(J411="famous scenes",5,IF(J411="poems",6,IF(J411="walk",6,IF(J411="faces and events",6,IF(J411="events and names",6,IF(J411="flashbulb",7,IF(J411="stories",7,IF(J411="course material",7,IF(J411="autobiographical",7,IF(J411="novels",7,IF(J411="public events",7,"99"))))))))))))))))))))))))))))))))))))))))))))))</f>
        <v>2</v>
      </c>
      <c r="M411" s="59">
        <v>0</v>
      </c>
      <c r="N411" s="59">
        <v>1</v>
      </c>
      <c r="O411" s="59">
        <v>0</v>
      </c>
      <c r="P411" s="59"/>
      <c r="Q411" s="59" t="s">
        <v>315</v>
      </c>
      <c r="R411" s="60">
        <f>IF(Q411="Free Recall",1,IF(Q411="Cued Recall",2,IF(Q411="Recognition",3,IF(Q411="Multiple Choice",4,IF(Q411="Savings",5,IF(Q411="Stem Completion",6,IF(Q411="Fragment Completion",7,IF(Q411="anagram solution",8,IF(Q411="Matching",9,IF(Q411="Problem Solving",10,"99"))))))))))</f>
        <v>3</v>
      </c>
      <c r="S411" s="59" t="s">
        <v>15</v>
      </c>
      <c r="T411" s="60" t="s">
        <v>261</v>
      </c>
      <c r="U411" s="60">
        <f>IF(T411="within",1,0)</f>
        <v>0</v>
      </c>
      <c r="V411" s="60">
        <v>24</v>
      </c>
      <c r="W411" s="60">
        <f>F411*V411</f>
        <v>1440</v>
      </c>
      <c r="X411" s="59">
        <v>4</v>
      </c>
      <c r="Y411" s="76">
        <f>AV410</f>
        <v>1200</v>
      </c>
      <c r="Z411" s="59" t="s">
        <v>316</v>
      </c>
      <c r="AA411" s="59">
        <f>120*24*3600</f>
        <v>10368000</v>
      </c>
      <c r="AB411" s="60" t="str">
        <f>IF(AA411&lt;60,"1",IF(AA411&lt;=43200,"2",IF(AA411&lt;=777600,"3","4")))</f>
        <v>4</v>
      </c>
      <c r="AC411" s="56">
        <f>AVERAGE(AV410:DA410)</f>
        <v>3348300</v>
      </c>
      <c r="AD411" s="60" t="str">
        <f>IF(AC411&lt;60,"1",IF(AC411&lt;=43200,"2",IF(AC411&lt;=777600,"3","4")))</f>
        <v>4</v>
      </c>
      <c r="AE411" s="76">
        <f>AA411-Y411</f>
        <v>10366800</v>
      </c>
      <c r="AF411" s="80">
        <f>AV411</f>
        <v>1</v>
      </c>
      <c r="AG411" s="56">
        <f>((AW411-AV411)+(AX411-AW411)+(AY411-AX411))/3</f>
        <v>-6.3333333333333311E-2</v>
      </c>
      <c r="AH411" s="4"/>
      <c r="AI411" s="56">
        <f>RSQ(AV411:AY411,AV410:AY410)</f>
        <v>0.99400448935237706</v>
      </c>
      <c r="AJ411" s="109">
        <f>SLOPE(AV411:AY411,AV410:AY410)</f>
        <v>-1.8563209848985685E-8</v>
      </c>
      <c r="AK411" s="56">
        <f>INTERCEPT(AV411:AY411,AV410:AY410)</f>
        <v>1.0046551955373588</v>
      </c>
      <c r="AL411" s="56">
        <f>INDEX(LINEST(LN(AV411:AY411),LN(AV410:AY410),TRUE,TRUE),3,1)</f>
        <v>0.41495166724546584</v>
      </c>
      <c r="AM411" s="56">
        <f>INDEX(LINEST(LN(AV411:AY411),LN(AV410:AY410)),1)</f>
        <v>-1.6057300874033925E-2</v>
      </c>
      <c r="AN411" s="56">
        <f>EXP(INDEX(LINEST(LN(AV411:AY411),LN(AV410:AY410)),1,2))</f>
        <v>1.1536724129802147</v>
      </c>
      <c r="AO411" s="82">
        <f>INDEX(LINEST((AV411:AY411),LN(AV410:AY410),TRUE,TRUE),3,1)</f>
        <v>0.42538824084025983</v>
      </c>
      <c r="AP411" s="82">
        <f>INDEX(LINEST((AV411:AY411),LN(AV410:AY410)),1)</f>
        <v>-1.4588291993186713E-2</v>
      </c>
      <c r="AQ411" s="83">
        <f>INDEX(LINEST(LN(AV411:AY411),SQRT(AV410:AY410),TRUE,TRUE),3,1)</f>
        <v>0.8841648580836855</v>
      </c>
      <c r="AR411" s="116">
        <f>INDEX(LINEST(LN(AV411:AY411),SQRT((AV410:AY410))),1)</f>
        <v>-6.8498607924500298E-5</v>
      </c>
      <c r="AS411" s="84">
        <f>INDEX(LINEST(1/(AV411:AY411),1/(SQRT(AV410:AY410)),TRUE,TRUE),3,1)</f>
        <v>0.1885533773729467</v>
      </c>
      <c r="AT411" s="84">
        <f>INDEX(LINEST(1/(AV411:AY411),1/SQRT(AV410:AY410)),1)</f>
        <v>-3.4325477461966125</v>
      </c>
      <c r="AU411" s="4"/>
      <c r="AV411" s="142">
        <v>1</v>
      </c>
      <c r="AW411" s="142">
        <v>0.99</v>
      </c>
      <c r="AX411" s="142">
        <v>0.97</v>
      </c>
      <c r="AY411" s="11">
        <v>0.81</v>
      </c>
      <c r="AZ411" s="11"/>
      <c r="BA411" s="11"/>
      <c r="BB411" s="11"/>
      <c r="BC411" s="11"/>
      <c r="BD411" s="11"/>
      <c r="BE411" s="11"/>
      <c r="BF411" s="11"/>
      <c r="BG411" s="11"/>
      <c r="BH411" s="11"/>
      <c r="BI411" s="11"/>
      <c r="BJ411" s="11"/>
      <c r="BK411" s="11"/>
      <c r="BL411" s="11"/>
      <c r="BM411" s="11"/>
      <c r="BN411" s="11"/>
      <c r="BO411" s="11"/>
      <c r="BP411" s="11"/>
      <c r="BQ411" s="11"/>
      <c r="BR411" s="11"/>
      <c r="BS411" s="11"/>
      <c r="BT411" s="11"/>
      <c r="BU411" s="11"/>
      <c r="BV411" s="11"/>
      <c r="BW411" s="11"/>
      <c r="BX411" s="11"/>
      <c r="BY411" s="11"/>
      <c r="BZ411" s="11"/>
      <c r="CA411" s="11"/>
      <c r="CB411" s="11"/>
      <c r="CC411" s="11"/>
      <c r="CD411" s="11"/>
      <c r="CE411" s="11"/>
      <c r="CF411" s="11"/>
      <c r="CG411" s="11"/>
      <c r="CH411" s="11"/>
      <c r="CI411" s="11"/>
      <c r="CJ411" s="11"/>
      <c r="CK411" s="11"/>
      <c r="CL411" s="11"/>
      <c r="CM411" s="11"/>
      <c r="CN411" s="11"/>
      <c r="CO411" s="11"/>
      <c r="CP411" s="11"/>
      <c r="CQ411" s="11"/>
      <c r="CR411" s="15"/>
      <c r="CS411" s="15"/>
      <c r="CT411" s="15"/>
      <c r="CU411" s="15"/>
    </row>
    <row r="412" spans="1:99" ht="12" customHeight="1" x14ac:dyDescent="0.2">
      <c r="A412" s="65">
        <v>43648</v>
      </c>
      <c r="B412" s="15"/>
      <c r="C412" s="15"/>
      <c r="D412" s="59"/>
      <c r="E412" s="75"/>
      <c r="F412" s="59"/>
      <c r="G412" s="59"/>
      <c r="H412" s="59"/>
      <c r="I412" s="59"/>
      <c r="J412" s="59"/>
      <c r="M412" s="59"/>
      <c r="N412" s="59"/>
      <c r="O412" s="59"/>
      <c r="P412" s="59"/>
      <c r="Q412" s="59"/>
      <c r="R412" s="60"/>
      <c r="S412" s="59"/>
      <c r="T412" s="59"/>
      <c r="U412" s="60"/>
      <c r="V412" s="59"/>
      <c r="W412" s="60"/>
      <c r="X412" s="59"/>
      <c r="Y412" s="76"/>
      <c r="Z412" s="59"/>
      <c r="AA412" s="59"/>
      <c r="AB412" s="60"/>
      <c r="AC412" s="60"/>
      <c r="AD412" s="60"/>
      <c r="AE412" s="60"/>
      <c r="AF412" s="80"/>
      <c r="AG412" s="56"/>
      <c r="AH412" s="4"/>
      <c r="AI412" s="55"/>
      <c r="AJ412" s="111"/>
      <c r="AK412" s="55"/>
      <c r="AL412" s="55"/>
      <c r="AM412" s="55"/>
      <c r="AN412" s="55"/>
      <c r="AO412" s="55"/>
      <c r="AP412" s="55"/>
      <c r="AQ412" s="56"/>
      <c r="AR412" s="109"/>
      <c r="AS412" s="56"/>
      <c r="AT412" s="56"/>
      <c r="AU412" s="4"/>
      <c r="AV412" s="47">
        <f>20*60</f>
        <v>1200</v>
      </c>
      <c r="AW412" s="47">
        <f>1*7*(24*(3600))</f>
        <v>604800</v>
      </c>
      <c r="AX412" s="47">
        <f>4*7*(24*(3600))</f>
        <v>2419200</v>
      </c>
      <c r="AY412" s="47">
        <f>120*24*3600</f>
        <v>10368000</v>
      </c>
      <c r="AZ412" s="11"/>
      <c r="BA412" s="11"/>
      <c r="BB412" s="11"/>
      <c r="BC412" s="11"/>
      <c r="BD412" s="11"/>
      <c r="BE412" s="11"/>
      <c r="BF412" s="11"/>
      <c r="BG412" s="11"/>
      <c r="BH412" s="11"/>
      <c r="BI412" s="11"/>
      <c r="BJ412" s="11"/>
      <c r="BK412" s="11"/>
      <c r="BL412" s="11"/>
      <c r="BM412" s="11"/>
      <c r="BN412" s="11"/>
      <c r="BO412" s="11"/>
      <c r="BP412" s="11"/>
      <c r="BQ412" s="11"/>
      <c r="BR412" s="11"/>
      <c r="BS412" s="11"/>
      <c r="BT412" s="11"/>
      <c r="BU412" s="11"/>
      <c r="BV412" s="11"/>
      <c r="BW412" s="11"/>
      <c r="BX412" s="11"/>
      <c r="BY412" s="11"/>
      <c r="BZ412" s="11"/>
      <c r="CA412" s="11"/>
      <c r="CB412" s="11"/>
      <c r="CC412" s="11"/>
      <c r="CD412" s="11"/>
      <c r="CE412" s="11"/>
      <c r="CF412" s="11"/>
      <c r="CG412" s="11"/>
      <c r="CH412" s="11"/>
      <c r="CI412" s="11"/>
      <c r="CJ412" s="11"/>
      <c r="CK412" s="11"/>
      <c r="CL412" s="11"/>
      <c r="CM412" s="11"/>
      <c r="CN412" s="11"/>
      <c r="CO412" s="11"/>
      <c r="CP412" s="11"/>
      <c r="CQ412" s="11"/>
      <c r="CR412" s="15"/>
      <c r="CS412" s="15"/>
      <c r="CT412" s="15"/>
      <c r="CU412" s="15"/>
    </row>
    <row r="413" spans="1:99" ht="12" customHeight="1" x14ac:dyDescent="0.2">
      <c r="A413" s="65">
        <v>43648</v>
      </c>
      <c r="B413" s="15" t="s">
        <v>306</v>
      </c>
      <c r="C413" s="15" t="s">
        <v>308</v>
      </c>
      <c r="D413" s="59">
        <v>1978</v>
      </c>
      <c r="E413" s="76">
        <v>1</v>
      </c>
      <c r="F413" s="59">
        <v>60</v>
      </c>
      <c r="G413" s="59">
        <v>15</v>
      </c>
      <c r="H413" s="59" t="s">
        <v>41</v>
      </c>
      <c r="I413" s="59" t="s">
        <v>309</v>
      </c>
      <c r="J413" s="59" t="s">
        <v>309</v>
      </c>
      <c r="K413" s="60">
        <f>IF(J413="syllables",1,IF(J413="trigrams",2,IF(J413="strings",3,IF(J413="visual array",4,IF(J413="characters",5,IF(J413="letters",6,IF(J413="free forms",7,IF(J413="odors",8,IF(J413="words",9,IF(J413="pictures",10,IF(J413="object pictures",11,IF(J413="faces",12,IF(J413="names",13,IF(J413="idioms",14,IF(J413="grades",15,IF(J413="syllable-digit pairs",16,IF(J413="trigram-word pairs",17,IF(J413="word-digit pairs",18,IF(J413="English-Swahili pairs",19,IF(J413="spatial position",20,IF(J413="word pairs",21,IF(J413="word triads",22,IF(J413="generated words",23,IF(J413="word definition pairs",24,IF(J413="math problems",25,IF(J413="famous faces",26,IF(J413="famous names",27,IF(J413="famous voices",28,IF(J413="television programs",29,IF(J413="race horses",30,IF(J413="new vocabulary",31,IF(J413="sentences",32,IF(J413="concepts",33,IF(J413="ad slides",34,IF(J413="scenes",35,IF(J413="famous scenes",36,IF(J413="poems",37,IF(J413="walk",38,IF(J413="faces and events",39,IF(J413="events and names",40,IF(J413="flashbulb",41,IF(J413="stories",42,IF(J413="course material",43,IF(J413="autobiographical",44,IF(J413="novels",45,IF(J413="public events",46,"99"))))))))))))))))))))))))))))))))))))))))))))))</f>
        <v>8</v>
      </c>
      <c r="L413" s="60">
        <f>IF(J413="syllables",1,IF(J413="trigrams",1,IF(J413="strings",1,IF(J413="visual array",1,IF(J413="characters",1,IF(J413="letters",1,IF(J413="free forms",1,IF(J413="odors",2,IF(J413="words",2,IF(J413="pictures",2,IF(J413="object pictures",2,IF(J413="faces",2,IF(J413="names",2,IF(J413="idioms","2",IF(J413="grades",2,IF(J413="syllable-digit pairs",3,IF(J413="trigram-word pairs",3,IF(J413="word-digit pairs",3,IF(J413="English-Swahili pairs",3,IF(J413="spatial position",3,IF(J413="word pairs",4,IF(J413="word triads",4,IF(J413="generated words",4,IF(J413="word definition pairs",4,IF(J413="math problems",4,IF(J413="famous faces",4,IF(J413="famous names",4,IF(J413="famous voices",4,IF(J413="television programs",4,IF(J413="race horses",4,IF(J413="new vocabulary",4,IF(J413="sentences",5,IF(J413="concepts",5,IF(J413="ad slides",5,IF(J413="scenes",5,IF(J413="famous scenes",5,IF(J413="poems",6,IF(J413="walk",6,IF(J413="faces and events",6,IF(J413="events and names",6,IF(J413="flashbulb",7,IF(J413="stories",7,IF(J413="course material",7,IF(J413="autobiographical",7,IF(J413="novels",7,IF(J413="public events",7,"99"))))))))))))))))))))))))))))))))))))))))))))))</f>
        <v>2</v>
      </c>
      <c r="M413" s="59">
        <v>0</v>
      </c>
      <c r="N413" s="59">
        <v>1</v>
      </c>
      <c r="O413" s="59">
        <v>0</v>
      </c>
      <c r="P413" s="59"/>
      <c r="Q413" s="59" t="s">
        <v>315</v>
      </c>
      <c r="R413" s="60">
        <f>IF(Q413="Free Recall",1,IF(Q413="Cued Recall",2,IF(Q413="Recognition",3,IF(Q413="Multiple Choice",4,IF(Q413="Savings",5,IF(Q413="Stem Completion",6,IF(Q413="Fragment Completion",7,IF(Q413="anagram solution",8,IF(Q413="Matching",9,IF(Q413="Problem Solving",10,"99"))))))))))</f>
        <v>3</v>
      </c>
      <c r="S413" s="59" t="s">
        <v>15</v>
      </c>
      <c r="T413" s="60" t="s">
        <v>261</v>
      </c>
      <c r="U413" s="60">
        <f>IF(T413="within",1,0)</f>
        <v>0</v>
      </c>
      <c r="V413" s="60">
        <v>24</v>
      </c>
      <c r="W413" s="60">
        <f>F413*V413</f>
        <v>1440</v>
      </c>
      <c r="X413" s="59">
        <v>4</v>
      </c>
      <c r="Y413" s="76">
        <f>AV412</f>
        <v>1200</v>
      </c>
      <c r="Z413" s="59" t="s">
        <v>316</v>
      </c>
      <c r="AA413" s="59">
        <f>120*24*3600</f>
        <v>10368000</v>
      </c>
      <c r="AB413" s="60" t="str">
        <f>IF(AA413&lt;60,"1",IF(AA413&lt;=43200,"2",IF(AA413&lt;=777600,"3","4")))</f>
        <v>4</v>
      </c>
      <c r="AC413" s="56">
        <f>AVERAGE(AV412:DA412)</f>
        <v>3348300</v>
      </c>
      <c r="AD413" s="60" t="str">
        <f>IF(AC413&lt;60,"1",IF(AC413&lt;=43200,"2",IF(AC413&lt;=777600,"3","4")))</f>
        <v>4</v>
      </c>
      <c r="AE413" s="76">
        <f>AA413-Y413</f>
        <v>10366800</v>
      </c>
      <c r="AF413" s="80">
        <f>AV413</f>
        <v>0.91</v>
      </c>
      <c r="AG413" s="56">
        <f>((AW413-AV413)+(AX413-AW413)+(AY413-AX413))/3</f>
        <v>-6.3333333333333353E-2</v>
      </c>
      <c r="AH413" s="4"/>
      <c r="AI413" s="56">
        <f>RSQ(AV413:AY413,AV412:AY412)</f>
        <v>0.69358586191880423</v>
      </c>
      <c r="AJ413" s="109">
        <f>SLOPE(AV413:AY413,AV412:AY412)</f>
        <v>-1.4952500111284735E-8</v>
      </c>
      <c r="AK413" s="56">
        <f>INTERCEPT(AV413:AY413,AV412:AY412)</f>
        <v>0.86006545612261476</v>
      </c>
      <c r="AL413" s="56">
        <f>INDEX(LINEST(LN(AV413:AY413),LN(AV412:AY412),TRUE,TRUE),3,1)</f>
        <v>0.82977428463246061</v>
      </c>
      <c r="AM413" s="56">
        <f>INDEX(LINEST(LN(AV413:AY413),LN(AV412:AY412)),1)</f>
        <v>-2.4219616948029557E-2</v>
      </c>
      <c r="AN413" s="56">
        <f>EXP(INDEX(LINEST(LN(AV413:AY413),LN(AV412:AY412)),1,2))</f>
        <v>1.1001065172153568</v>
      </c>
      <c r="AO413" s="82">
        <f>INDEX(LINEST((AV413:AY413),LN(AV412:AY412),TRUE,TRUE),3,1)</f>
        <v>0.84706278549707237</v>
      </c>
      <c r="AP413" s="82">
        <f>INDEX(LINEST((AV413:AY413),LN(AV412:AY412)),1)</f>
        <v>-1.9850630493030902E-2</v>
      </c>
      <c r="AQ413" s="83">
        <f>INDEX(LINEST(LN(AV413:AY413),SQRT(AV412:AY412),TRUE,TRUE),3,1)</f>
        <v>0.90592233272490141</v>
      </c>
      <c r="AR413" s="116">
        <f>INDEX(LINEST(LN(AV413:AY413),SQRT((AV412:AY412))),1)</f>
        <v>-7.3956116868037594E-5</v>
      </c>
      <c r="AS413" s="84">
        <f>INDEX(LINEST(1/(AV413:AY413),1/(SQRT(AV412:AY412)),TRUE,TRUE),3,1)</f>
        <v>0.57851721266373402</v>
      </c>
      <c r="AT413" s="84">
        <f>INDEX(LINEST(1/(AV413:AY413),1/SQRT(AV412:AY412)),1)</f>
        <v>-7.1022769570531965</v>
      </c>
      <c r="AU413" s="4"/>
      <c r="AV413" s="11">
        <v>0.91</v>
      </c>
      <c r="AW413" s="11">
        <v>0.85</v>
      </c>
      <c r="AX413" s="11">
        <v>0.76</v>
      </c>
      <c r="AY413" s="11">
        <v>0.72</v>
      </c>
      <c r="AZ413" s="11"/>
      <c r="BA413" s="11"/>
      <c r="BB413" s="11"/>
      <c r="BC413" s="11"/>
      <c r="BD413" s="11"/>
      <c r="BE413" s="11"/>
      <c r="BF413" s="11"/>
      <c r="BG413" s="11"/>
      <c r="BH413" s="11"/>
      <c r="BI413" s="11"/>
      <c r="BJ413" s="11"/>
      <c r="BK413" s="11"/>
      <c r="BL413" s="11"/>
      <c r="BM413" s="11"/>
      <c r="BN413" s="11"/>
      <c r="BO413" s="11"/>
      <c r="BP413" s="11"/>
      <c r="BQ413" s="11"/>
      <c r="BR413" s="11"/>
      <c r="BS413" s="11"/>
      <c r="BT413" s="11"/>
      <c r="BU413" s="11"/>
      <c r="BV413" s="11"/>
      <c r="BW413" s="11"/>
      <c r="BX413" s="11"/>
      <c r="BY413" s="11"/>
      <c r="BZ413" s="11"/>
      <c r="CA413" s="11"/>
      <c r="CB413" s="11"/>
      <c r="CC413" s="11"/>
      <c r="CD413" s="11"/>
      <c r="CE413" s="11"/>
      <c r="CF413" s="11"/>
      <c r="CG413" s="11"/>
      <c r="CH413" s="11"/>
      <c r="CI413" s="11"/>
      <c r="CJ413" s="11"/>
      <c r="CK413" s="11"/>
      <c r="CL413" s="11"/>
      <c r="CM413" s="11"/>
      <c r="CN413" s="11"/>
      <c r="CO413" s="11"/>
      <c r="CP413" s="11"/>
      <c r="CQ413" s="11"/>
      <c r="CR413" s="15"/>
      <c r="CS413" s="15"/>
      <c r="CT413" s="15"/>
      <c r="CU413" s="15"/>
    </row>
    <row r="414" spans="1:99" ht="12" customHeight="1" x14ac:dyDescent="0.2">
      <c r="A414" s="65">
        <v>43648</v>
      </c>
      <c r="B414" s="15"/>
      <c r="C414" s="15"/>
      <c r="D414" s="59"/>
      <c r="E414" s="75"/>
      <c r="F414" s="59"/>
      <c r="G414" s="59"/>
      <c r="H414" s="59"/>
      <c r="I414" s="59"/>
      <c r="J414" s="59"/>
      <c r="M414" s="59"/>
      <c r="N414" s="59"/>
      <c r="O414" s="59"/>
      <c r="P414" s="59"/>
      <c r="Q414" s="59"/>
      <c r="R414" s="60"/>
      <c r="S414" s="59"/>
      <c r="T414" s="60"/>
      <c r="U414" s="60"/>
      <c r="V414" s="60"/>
      <c r="W414" s="60"/>
      <c r="X414" s="59"/>
      <c r="Y414" s="76"/>
      <c r="Z414" s="59"/>
      <c r="AA414" s="59"/>
      <c r="AB414" s="60"/>
      <c r="AC414" s="60"/>
      <c r="AD414" s="60"/>
      <c r="AE414" s="60"/>
      <c r="AF414" s="80"/>
      <c r="AG414" s="56"/>
      <c r="AH414" s="4"/>
      <c r="AI414" s="55"/>
      <c r="AJ414" s="111"/>
      <c r="AK414" s="55"/>
      <c r="AL414" s="55"/>
      <c r="AM414" s="55"/>
      <c r="AN414" s="55"/>
      <c r="AO414" s="55"/>
      <c r="AP414" s="55"/>
      <c r="AQ414" s="56"/>
      <c r="AR414" s="109"/>
      <c r="AS414" s="56"/>
      <c r="AT414" s="56"/>
      <c r="AU414" s="4"/>
      <c r="AV414" s="47">
        <f>20*60</f>
        <v>1200</v>
      </c>
      <c r="AW414" s="47">
        <f>1*7*(24*(3600))</f>
        <v>604800</v>
      </c>
      <c r="AX414" s="47">
        <f>4*7*(24*(3600))</f>
        <v>2419200</v>
      </c>
      <c r="AY414" s="47">
        <f>120*24*3600</f>
        <v>10368000</v>
      </c>
      <c r="AZ414" s="11"/>
      <c r="BA414" s="11"/>
      <c r="BB414" s="11"/>
      <c r="BC414" s="11"/>
      <c r="BD414" s="11"/>
      <c r="BE414" s="11"/>
      <c r="BF414" s="11"/>
      <c r="BG414" s="11"/>
      <c r="BH414" s="11"/>
      <c r="BI414" s="11"/>
      <c r="BJ414" s="11"/>
      <c r="BK414" s="11"/>
      <c r="BL414" s="11"/>
      <c r="BM414" s="11"/>
      <c r="BN414" s="11"/>
      <c r="BO414" s="11"/>
      <c r="BP414" s="11"/>
      <c r="BQ414" s="11"/>
      <c r="BR414" s="11"/>
      <c r="BS414" s="11"/>
      <c r="BT414" s="11"/>
      <c r="BU414" s="11"/>
      <c r="BV414" s="11"/>
      <c r="BW414" s="11"/>
      <c r="BX414" s="11"/>
      <c r="BY414" s="11"/>
      <c r="BZ414" s="11"/>
      <c r="CA414" s="11"/>
      <c r="CB414" s="11"/>
      <c r="CC414" s="11"/>
      <c r="CD414" s="11"/>
      <c r="CE414" s="11"/>
      <c r="CF414" s="11"/>
      <c r="CG414" s="11"/>
      <c r="CH414" s="11"/>
      <c r="CI414" s="11"/>
      <c r="CJ414" s="11"/>
      <c r="CK414" s="11"/>
      <c r="CL414" s="11"/>
      <c r="CM414" s="11"/>
      <c r="CN414" s="11"/>
      <c r="CO414" s="11"/>
      <c r="CP414" s="11"/>
      <c r="CQ414" s="11"/>
      <c r="CR414" s="15"/>
      <c r="CS414" s="15"/>
      <c r="CT414" s="15"/>
      <c r="CU414" s="15"/>
    </row>
    <row r="415" spans="1:99" ht="12" customHeight="1" x14ac:dyDescent="0.2">
      <c r="A415" s="65">
        <v>43648</v>
      </c>
      <c r="B415" s="15" t="s">
        <v>306</v>
      </c>
      <c r="C415" s="15" t="s">
        <v>308</v>
      </c>
      <c r="D415" s="59">
        <v>1978</v>
      </c>
      <c r="E415" s="76">
        <v>1</v>
      </c>
      <c r="F415" s="59">
        <v>60</v>
      </c>
      <c r="G415" s="59">
        <v>15</v>
      </c>
      <c r="H415" s="59" t="s">
        <v>41</v>
      </c>
      <c r="I415" s="59" t="s">
        <v>317</v>
      </c>
      <c r="J415" s="59" t="s">
        <v>317</v>
      </c>
      <c r="K415" s="60">
        <f>IF(J415="syllables",1,IF(J415="trigrams",2,IF(J415="strings",3,IF(J415="visual array",4,IF(J415="characters",5,IF(J415="letters",6,IF(J415="free forms",7,IF(J415="odors",8,IF(J415="words",9,IF(J415="pictures",10,IF(J415="object pictures",11,IF(J415="faces",12,IF(J415="names",13,IF(J415="idioms",14,IF(J415="grades",15,IF(J415="syllable-digit pairs",16,IF(J415="trigram-word pairs",17,IF(J415="word-digit pairs",18,IF(J415="English-Swahili pairs",19,IF(J415="spatial position",20,IF(J415="word pairs",21,IF(J415="word triads",22,IF(J415="generated words",23,IF(J415="word definition pairs",24,IF(J415="math problems",25,IF(J415="famous faces",26,IF(J415="famous names",27,IF(J415="famous voices",28,IF(J415="television programs",29,IF(J415="race horses",30,IF(J415="new vocabulary",31,IF(J415="sentences",32,IF(J415="concepts",33,IF(J415="ad slides",34,IF(J415="scenes",35,IF(J415="famous scenes",36,IF(J415="poems",37,IF(J415="walk",38,IF(J415="faces and events",39,IF(J415="events and names",40,IF(J415="flashbulb",41,IF(J415="stories",42,IF(J415="course material",43,IF(J415="autobiographical",44,IF(J415="novels",45,IF(J415="public events",46,"99"))))))))))))))))))))))))))))))))))))))))))))))</f>
        <v>7</v>
      </c>
      <c r="L415" s="60">
        <f>IF(J415="syllables",1,IF(J415="trigrams",1,IF(J415="strings",1,IF(J415="visual array",1,IF(J415="characters",1,IF(J415="letters",1,IF(J415="free forms",1,IF(J415="odors",2,IF(J415="words",2,IF(J415="pictures",2,IF(J415="object pictures",2,IF(J415="faces",2,IF(J415="names",2,IF(J415="idioms","2",IF(J415="grades",2,IF(J415="syllable-digit pairs",3,IF(J415="trigram-word pairs",3,IF(J415="word-digit pairs",3,IF(J415="English-Swahili pairs",3,IF(J415="spatial position",3,IF(J415="word pairs",4,IF(J415="word triads",4,IF(J415="generated words",4,IF(J415="word definition pairs",4,IF(J415="math problems",4,IF(J415="famous faces",4,IF(J415="famous names",4,IF(J415="famous voices",4,IF(J415="television programs",4,IF(J415="race horses",4,IF(J415="new vocabulary",4,IF(J415="sentences",5,IF(J415="concepts",5,IF(J415="ad slides",5,IF(J415="scenes",5,IF(J415="famous scenes",5,IF(J415="poems",6,IF(J415="walk",6,IF(J415="faces and events",6,IF(J415="events and names",6,IF(J415="flashbulb",7,IF(J415="stories",7,IF(J415="course material",7,IF(J415="autobiographical",7,IF(J415="novels",7,IF(J415="public events",7,"99"))))))))))))))))))))))))))))))))))))))))))))))</f>
        <v>1</v>
      </c>
      <c r="M415" s="59">
        <v>0</v>
      </c>
      <c r="N415" s="59">
        <v>1</v>
      </c>
      <c r="O415" s="59">
        <v>0</v>
      </c>
      <c r="P415" s="59"/>
      <c r="Q415" s="59" t="s">
        <v>315</v>
      </c>
      <c r="R415" s="60">
        <f>IF(Q415="Free Recall",1,IF(Q415="Cued Recall",2,IF(Q415="Recognition",3,IF(Q415="Multiple Choice",4,IF(Q415="Savings",5,IF(Q415="Stem Completion",6,IF(Q415="Fragment Completion",7,IF(Q415="anagram solution",8,IF(Q415="Matching",9,IF(Q415="Problem Solving",10,"99"))))))))))</f>
        <v>3</v>
      </c>
      <c r="S415" s="59" t="s">
        <v>15</v>
      </c>
      <c r="T415" s="60" t="s">
        <v>261</v>
      </c>
      <c r="U415" s="60">
        <f>IF(T415="within",1,0)</f>
        <v>0</v>
      </c>
      <c r="V415" s="60">
        <v>24</v>
      </c>
      <c r="W415" s="60">
        <f>F415*V415</f>
        <v>1440</v>
      </c>
      <c r="X415" s="59">
        <v>4</v>
      </c>
      <c r="Y415" s="76">
        <f>AV414</f>
        <v>1200</v>
      </c>
      <c r="Z415" s="59" t="s">
        <v>316</v>
      </c>
      <c r="AA415" s="59">
        <f>120*24*3600</f>
        <v>10368000</v>
      </c>
      <c r="AB415" s="60" t="str">
        <f>IF(AA415&lt;60,"1",IF(AA415&lt;=43200,"2",IF(AA415&lt;=777600,"3","4")))</f>
        <v>4</v>
      </c>
      <c r="AC415" s="56">
        <f>AVERAGE(AV414:DA414)</f>
        <v>3348300</v>
      </c>
      <c r="AD415" s="60" t="str">
        <f>IF(AC415&lt;60,"1",IF(AC415&lt;=43200,"2",IF(AC415&lt;=777600,"3","4")))</f>
        <v>4</v>
      </c>
      <c r="AE415" s="76">
        <f>AA415-Y415</f>
        <v>10366800</v>
      </c>
      <c r="AF415" s="80">
        <f>AV415</f>
        <v>0.85</v>
      </c>
      <c r="AG415" s="56">
        <f>((AW415-AV415)+(AX415-AW415)+(AY415-AX415))/3</f>
        <v>-4.6666666666666669E-2</v>
      </c>
      <c r="AH415" s="4"/>
      <c r="AI415" s="56">
        <f>RSQ(AV415:AY415,AV414:AY414)</f>
        <v>0.42193712022038776</v>
      </c>
      <c r="AJ415" s="109">
        <f>SLOPE(AV415:AY415,AV414:AY414)</f>
        <v>-9.4577429503393882E-9</v>
      </c>
      <c r="AK415" s="56">
        <f>INTERCEPT(AV415:AY415,AV414:AY414)</f>
        <v>0.79166736072062138</v>
      </c>
      <c r="AL415" s="56">
        <f>INDEX(LINEST(LN(AV415:AY415),LN(AV414:AY414),TRUE,TRUE),3,1)</f>
        <v>0.87045830140466229</v>
      </c>
      <c r="AM415" s="56">
        <f>INDEX(LINEST(LN(AV415:AY415),LN(AV414:AY414)),1)</f>
        <v>-2.116388690400554E-2</v>
      </c>
      <c r="AN415" s="56">
        <f>EXP(INDEX(LINEST(LN(AV415:AY415),LN(AV414:AY414)),1,2))</f>
        <v>0.99367726941952461</v>
      </c>
      <c r="AO415" s="82">
        <f>INDEX(LINEST((AV415:AY415),LN(AV414:AY414),TRUE,TRUE),3,1)</f>
        <v>0.88508660909906889</v>
      </c>
      <c r="AP415" s="82">
        <f>INDEX(LINEST((AV415:AY415),LN(AV414:AY414)),1)</f>
        <v>-1.6455433585399564E-2</v>
      </c>
      <c r="AQ415" s="83">
        <f>INDEX(LINEST(LN(AV415:AY415),SQRT(AV414:AY414),TRUE,TRUE),3,1)</f>
        <v>0.68081133991613196</v>
      </c>
      <c r="AR415" s="116">
        <f>INDEX(LINEST(LN(AV415:AY415),SQRT((AV414:AY414))),1)</f>
        <v>-5.4698594803887693E-5</v>
      </c>
      <c r="AS415" s="84">
        <f>INDEX(LINEST(1/(AV415:AY415),1/(SQRT(AV414:AY414)),TRUE,TRUE),3,1)</f>
        <v>0.71987489253049153</v>
      </c>
      <c r="AT415" s="84">
        <f>INDEX(LINEST(1/(AV415:AY415),1/SQRT(AV414:AY414)),1)</f>
        <v>-7.1021435079347901</v>
      </c>
      <c r="AU415" s="4"/>
      <c r="AV415" s="11">
        <v>0.85</v>
      </c>
      <c r="AW415" s="11">
        <v>0.78</v>
      </c>
      <c r="AX415" s="11">
        <v>0.7</v>
      </c>
      <c r="AY415" s="11">
        <v>0.71</v>
      </c>
      <c r="AZ415" s="11"/>
      <c r="BA415" s="11"/>
      <c r="BB415" s="11"/>
      <c r="BC415" s="11"/>
      <c r="BD415" s="11"/>
      <c r="BE415" s="11"/>
      <c r="BF415" s="11"/>
      <c r="BG415" s="11"/>
      <c r="BH415" s="11"/>
      <c r="BI415" s="11"/>
      <c r="BJ415" s="11"/>
      <c r="BK415" s="11"/>
      <c r="BL415" s="11"/>
      <c r="BM415" s="11"/>
      <c r="BN415" s="11"/>
      <c r="BO415" s="11"/>
      <c r="BP415" s="11"/>
      <c r="BQ415" s="11"/>
      <c r="BR415" s="11"/>
      <c r="BS415" s="11"/>
      <c r="BT415" s="11"/>
      <c r="BU415" s="11"/>
      <c r="BV415" s="11"/>
      <c r="BW415" s="11"/>
      <c r="BX415" s="11"/>
      <c r="BY415" s="11"/>
      <c r="BZ415" s="11"/>
      <c r="CA415" s="11"/>
      <c r="CB415" s="11"/>
      <c r="CC415" s="11"/>
      <c r="CD415" s="11"/>
      <c r="CE415" s="11"/>
      <c r="CF415" s="11"/>
      <c r="CG415" s="11"/>
      <c r="CH415" s="11"/>
      <c r="CI415" s="11"/>
      <c r="CJ415" s="11"/>
      <c r="CK415" s="11"/>
      <c r="CL415" s="11"/>
      <c r="CM415" s="11"/>
      <c r="CN415" s="11"/>
      <c r="CO415" s="11"/>
      <c r="CP415" s="11"/>
      <c r="CQ415" s="11"/>
      <c r="CR415" s="15"/>
      <c r="CS415" s="15"/>
      <c r="CT415" s="15"/>
      <c r="CU415" s="15"/>
    </row>
    <row r="416" spans="1:99" s="13" customFormat="1" ht="12" customHeight="1" x14ac:dyDescent="0.2">
      <c r="A416" s="65">
        <v>43978</v>
      </c>
      <c r="B416" s="1"/>
      <c r="C416" s="1"/>
      <c r="D416" s="60"/>
      <c r="E416" s="76"/>
      <c r="F416" s="60"/>
      <c r="G416" s="60"/>
      <c r="H416" s="60"/>
      <c r="I416" s="60"/>
      <c r="J416" s="60"/>
      <c r="K416" s="60"/>
      <c r="L416" s="60"/>
      <c r="M416" s="60"/>
      <c r="N416" s="60"/>
      <c r="O416" s="60"/>
      <c r="P416" s="60"/>
      <c r="Q416" s="178"/>
      <c r="R416" s="60"/>
      <c r="S416" s="59"/>
      <c r="T416" s="59"/>
      <c r="U416" s="60"/>
      <c r="V416" s="59"/>
      <c r="W416" s="60"/>
      <c r="X416" s="60"/>
      <c r="Y416" s="76"/>
      <c r="Z416" s="60"/>
      <c r="AA416" s="60"/>
      <c r="AB416" s="60"/>
      <c r="AC416" s="56"/>
      <c r="AD416" s="60"/>
      <c r="AE416" s="76"/>
      <c r="AF416" s="80"/>
      <c r="AG416" s="56"/>
      <c r="AH416" s="4"/>
      <c r="AI416" s="56"/>
      <c r="AJ416" s="109"/>
      <c r="AK416" s="56"/>
      <c r="AL416" s="56"/>
      <c r="AM416" s="56"/>
      <c r="AN416" s="56"/>
      <c r="AO416" s="82"/>
      <c r="AP416" s="82"/>
      <c r="AQ416" s="83"/>
      <c r="AR416" s="116"/>
      <c r="AS416" s="84"/>
      <c r="AT416" s="84"/>
      <c r="AU416" s="3"/>
      <c r="AV416" s="25">
        <v>30</v>
      </c>
      <c r="AW416" s="25">
        <f>60*30</f>
        <v>1800</v>
      </c>
      <c r="AX416" s="25">
        <f>60*60</f>
        <v>3600</v>
      </c>
      <c r="AY416" s="25">
        <f>60*60*24</f>
        <v>86400</v>
      </c>
      <c r="AZ416" s="25">
        <f>60*60*24*7</f>
        <v>604800</v>
      </c>
      <c r="BA416" s="25">
        <f>60*60*24*41</f>
        <v>3542400</v>
      </c>
      <c r="BB416" s="25"/>
      <c r="BC416" s="53"/>
      <c r="BD416" s="53"/>
      <c r="BE416" s="53"/>
      <c r="BF416" s="53"/>
      <c r="BG416" s="53"/>
      <c r="BH416" s="53"/>
      <c r="BI416" s="53"/>
      <c r="BJ416" s="53"/>
      <c r="BK416" s="53"/>
      <c r="BL416" s="53"/>
      <c r="BM416" s="53"/>
      <c r="BN416" s="53"/>
      <c r="BO416" s="53"/>
      <c r="BP416" s="53"/>
      <c r="BQ416" s="53"/>
      <c r="BR416" s="53"/>
      <c r="BS416" s="53"/>
      <c r="BT416" s="53"/>
      <c r="BU416" s="53"/>
      <c r="BV416" s="53"/>
      <c r="BW416" s="53"/>
      <c r="BX416" s="53"/>
      <c r="BY416" s="53"/>
      <c r="BZ416" s="53"/>
      <c r="CA416" s="53"/>
      <c r="CB416" s="53"/>
      <c r="CC416" s="53"/>
      <c r="CD416" s="53"/>
      <c r="CE416" s="53"/>
      <c r="CF416" s="53"/>
      <c r="CG416" s="53"/>
      <c r="CH416" s="53"/>
      <c r="CI416" s="53"/>
      <c r="CJ416" s="53"/>
      <c r="CK416" s="53"/>
      <c r="CL416" s="53"/>
      <c r="CM416" s="53"/>
      <c r="CN416" s="53"/>
      <c r="CO416" s="53"/>
      <c r="CP416" s="53"/>
      <c r="CQ416" s="53"/>
      <c r="CR416" s="1"/>
      <c r="CS416" s="1"/>
      <c r="CT416" s="1"/>
      <c r="CU416" s="1"/>
    </row>
    <row r="417" spans="1:99" s="13" customFormat="1" ht="12" customHeight="1" x14ac:dyDescent="0.2">
      <c r="A417" s="65">
        <v>43978</v>
      </c>
      <c r="B417" s="1" t="s">
        <v>971</v>
      </c>
      <c r="C417" s="1" t="s">
        <v>972</v>
      </c>
      <c r="D417" s="60">
        <v>1998</v>
      </c>
      <c r="E417" s="76">
        <v>1</v>
      </c>
      <c r="F417" s="60">
        <v>2</v>
      </c>
      <c r="G417" s="60">
        <v>2</v>
      </c>
      <c r="H417" s="60" t="s">
        <v>41</v>
      </c>
      <c r="I417" s="60" t="s">
        <v>330</v>
      </c>
      <c r="J417" s="60" t="s">
        <v>677</v>
      </c>
      <c r="K417" s="60">
        <f>IF(J417="syllables",1,IF(J417="trigrams",2,IF(J417="strings",3,IF(J417="visual array",4,IF(J417="characters",5,IF(J417="letters",6,IF(J417="free forms",7,IF(J417="odors",8,IF(J417="words",9,IF(J417="pictures",10,IF(J417="object pictures",11,IF(J417="faces",12,IF(J417="names",13,IF(J417="idioms",14,IF(J417="grades",15,IF(J417="syllable-digit pairs",16,IF(J417="trigram-word pairs",17,IF(J417="word-digit pairs",18,IF(J417="English-Swahili pairs",19,IF(J417="spatial position",20,IF(J417="word pairs",21,IF(J417="word triads",22,IF(J417="generated words",23,IF(J417="word definition pairs",24,IF(J417="math problems",25,IF(J417="famous faces",26,IF(J417="famous names",27,IF(J417="famous voices",28,IF(J417="television programs",29,IF(J417="race horses",30,IF(J417="new vocabulary",31,IF(J417="sentences",32,IF(J417="concepts",33,IF(J417="ad slides",34,IF(J417="scenes",35,IF(J417="famous scenes",36,IF(J417="poems",37,IF(J417="walk",38,IF(J417="faces and events",39,IF(J417="events and names",40,IF(J417="flashbulb",41,IF(J417="stories",42,IF(J417="course material",43,IF(J417="autobiographical",44,IF(J417="novels",45,IF(J417="public events",46,"99"))))))))))))))))))))))))))))))))))))))))))))))</f>
        <v>42</v>
      </c>
      <c r="L417" s="60">
        <f>IF(J417="syllables",1,IF(J417="trigrams",1,IF(J417="strings",1,IF(J417="visual array",1,IF(J417="characters",1,IF(J417="letters",1,IF(J417="free forms",1,IF(J417="odors",2,IF(J417="words",2,IF(J417="pictures",2,IF(J417="object pictures",2,IF(J417="faces",2,IF(J417="names",2,IF(J417="idioms","2",IF(J417="grades",2,IF(J417="syllable-digit pairs",3,IF(J417="trigram-word pairs",3,IF(J417="word-digit pairs",3,IF(J417="English-Swahili pairs",3,IF(J417="spatial position",3,IF(J417="word pairs",4,IF(J417="word triads",4,IF(J417="generated words",4,IF(J417="word definition pairs",4,IF(J417="math problems",4,IF(J417="famous faces",4,IF(J417="famous names",4,IF(J417="famous voices",4,IF(J417="television programs",4,IF(J417="race horses",4,IF(J417="new vocabulary",4,IF(J417="sentences",5,IF(J417="concepts",5,IF(J417="ad slides",5,IF(J417="scenes",5,IF(J417="famous scenes",5,IF(J417="poems",6,IF(J417="walk",6,IF(J417="faces and events",6,IF(J417="events and names",6,IF(J417="flashbulb",7,IF(J417="stories",7,IF(J417="course material",7,IF(J417="autobiographical",7,IF(J417="novels",7,IF(J417="public events",7,"99"))))))))))))))))))))))))))))))))))))))))))))))</f>
        <v>7</v>
      </c>
      <c r="M417" s="60">
        <v>1</v>
      </c>
      <c r="N417" s="60">
        <v>4</v>
      </c>
      <c r="O417" s="60">
        <v>0</v>
      </c>
      <c r="P417" s="60"/>
      <c r="Q417" s="178" t="s">
        <v>174</v>
      </c>
      <c r="R417" s="60">
        <f>IF(Q417="Free Recall",1,IF(Q417="Cued Recall",2,IF(Q417="Recognition",3,IF(Q417="Multiple Choice",4,IF(Q417="Savings",5,IF(Q417="Stem Completion",6,IF(Q417="Fragment Completion",7,IF(Q417="anagram solution",8,IF(Q417="Matching",9,IF(Q417="Problem Solving",10,"99"))))))))))</f>
        <v>1</v>
      </c>
      <c r="S417" s="60" t="s">
        <v>49</v>
      </c>
      <c r="T417" s="59" t="s">
        <v>581</v>
      </c>
      <c r="U417" s="60">
        <f>IF(T417="within",1,0)</f>
        <v>1</v>
      </c>
      <c r="V417" s="59">
        <v>8</v>
      </c>
      <c r="W417" s="60">
        <f>F417*V417</f>
        <v>16</v>
      </c>
      <c r="X417" s="60">
        <v>6</v>
      </c>
      <c r="Y417" s="76">
        <f>AV416</f>
        <v>30</v>
      </c>
      <c r="Z417" s="60" t="s">
        <v>973</v>
      </c>
      <c r="AA417" s="76">
        <f>60*60*24*41</f>
        <v>3542400</v>
      </c>
      <c r="AB417" s="60" t="str">
        <f>IF(AA417&lt;60,"1",IF(AA417&lt;=43200,"2",IF(AA417&lt;=777600,"3","4")))</f>
        <v>4</v>
      </c>
      <c r="AC417" s="56">
        <f>AVERAGE(AV416:DA416)</f>
        <v>706505</v>
      </c>
      <c r="AD417" s="60" t="str">
        <f>IF(AC417&lt;60,"1",IF(AC417&lt;=43200,"2",IF(AC417&lt;=777600,"3","4")))</f>
        <v>3</v>
      </c>
      <c r="AE417" s="76">
        <f>AA417-Y417</f>
        <v>3542370</v>
      </c>
      <c r="AF417" s="80">
        <f>AV417</f>
        <v>0.70500000000000007</v>
      </c>
      <c r="AG417" s="56">
        <f>((AW417-AV417)+(AX417-AW417)+(AY417-AX417)+(AZ417-AY417)+(BA417-AZ417))/5</f>
        <v>-2.0999999999999998E-2</v>
      </c>
      <c r="AH417" s="4"/>
      <c r="AI417" s="56">
        <f>RSQ(AV417:BA417,AV416:BA416)</f>
        <v>0.48180198562205073</v>
      </c>
      <c r="AJ417" s="109">
        <f>SLOPE(AV417:BA417,AV416:BA416)</f>
        <v>-4.9107700331161615E-8</v>
      </c>
      <c r="AK417" s="56">
        <f>INTERCEPT(AV417:BA417,AV416:BA416)</f>
        <v>0.77219483582246751</v>
      </c>
      <c r="AL417" s="56">
        <f>INDEX(LINEST(LN(AV417:BA417),LN(AV416:BA416),TRUE,TRUE),3,1)</f>
        <v>8.8772772627733823E-2</v>
      </c>
      <c r="AM417" s="56">
        <f>INDEX(LINEST(LN(AV417:BA417),LN(AV416:BA416)),1)</f>
        <v>-9.410267272012841E-3</v>
      </c>
      <c r="AN417" s="56">
        <f>EXP(INDEX(LINEST(LN(AV417:BA417),LN(AV416:BA416)),1,2))</f>
        <v>0.80267979047702254</v>
      </c>
      <c r="AO417" s="82">
        <f>INDEX(LINEST((AV417:BA417),LN(AV416:BA416),TRUE,TRUE),3,1)</f>
        <v>7.4046924327976854E-2</v>
      </c>
      <c r="AP417" s="82">
        <f>INDEX(LINEST((AV417:BA417),LN(AV416:BA416)),1)</f>
        <v>-6.3402162038255711E-3</v>
      </c>
      <c r="AQ417" s="83">
        <f>INDEX(LINEST(LN(AV417:BA417),SQRT(AV416:BA416),TRUE,TRUE),3,1)</f>
        <v>0.47532516057817153</v>
      </c>
      <c r="AR417" s="116">
        <f>INDEX(LINEST(LN(AV417:BA417),SQRT((AV416:BA416))),1)</f>
        <v>-1.2732905060834908E-4</v>
      </c>
      <c r="AS417" s="84">
        <f>INDEX(LINEST(1/(AV417:BA417),1/(SQRT(AV416:BA416)),TRUE,TRUE),3,1)</f>
        <v>4.8376925087935726E-3</v>
      </c>
      <c r="AT417" s="84">
        <f>INDEX(LINEST(1/(AV417:BA417),1/SQRT(AV416:BA416)),1)</f>
        <v>0.18111109126545416</v>
      </c>
      <c r="AU417" s="3"/>
      <c r="AV417" s="53">
        <f>(0.86+0.55)/2</f>
        <v>0.70500000000000007</v>
      </c>
      <c r="AW417" s="53">
        <f>(0.84+0.55)/2</f>
        <v>0.69500000000000006</v>
      </c>
      <c r="AX417" s="53">
        <f>(0.94+0.83)/2</f>
        <v>0.88500000000000001</v>
      </c>
      <c r="AY417" s="53">
        <f>(0.8+0.83)/2</f>
        <v>0.81499999999999995</v>
      </c>
      <c r="AZ417" s="53">
        <f>(0.8+0.65)/2</f>
        <v>0.72500000000000009</v>
      </c>
      <c r="BA417" s="53">
        <f>(0.55+0.65)/2</f>
        <v>0.60000000000000009</v>
      </c>
      <c r="BB417" s="53"/>
      <c r="BC417" s="53"/>
      <c r="BD417" s="53"/>
      <c r="BE417" s="53"/>
      <c r="BF417" s="53"/>
      <c r="BG417" s="53"/>
      <c r="BH417" s="53"/>
      <c r="BI417" s="53"/>
      <c r="BJ417" s="53"/>
      <c r="BK417" s="53"/>
      <c r="BL417" s="53"/>
      <c r="BM417" s="53"/>
      <c r="BN417" s="53"/>
      <c r="BO417" s="53"/>
      <c r="BP417" s="53"/>
      <c r="BQ417" s="53"/>
      <c r="BR417" s="53"/>
      <c r="BS417" s="53"/>
      <c r="BT417" s="53"/>
      <c r="BU417" s="53"/>
      <c r="BV417" s="53"/>
      <c r="BW417" s="53"/>
      <c r="BX417" s="53"/>
      <c r="BY417" s="53"/>
      <c r="BZ417" s="53"/>
      <c r="CA417" s="53"/>
      <c r="CB417" s="53"/>
      <c r="CC417" s="53"/>
      <c r="CD417" s="53"/>
      <c r="CE417" s="53"/>
      <c r="CF417" s="53"/>
      <c r="CG417" s="53"/>
      <c r="CH417" s="53"/>
      <c r="CI417" s="53"/>
      <c r="CJ417" s="53"/>
      <c r="CK417" s="53"/>
      <c r="CL417" s="53"/>
      <c r="CM417" s="53"/>
      <c r="CN417" s="53"/>
      <c r="CO417" s="53"/>
      <c r="CP417" s="53"/>
      <c r="CQ417" s="53"/>
      <c r="CR417" s="1"/>
      <c r="CS417" s="1"/>
      <c r="CT417" s="1"/>
      <c r="CU417" s="1"/>
    </row>
    <row r="418" spans="1:99" s="13" customFormat="1" ht="12" customHeight="1" x14ac:dyDescent="0.2">
      <c r="A418" s="65">
        <v>43978</v>
      </c>
      <c r="B418" s="1"/>
      <c r="C418" s="1"/>
      <c r="D418" s="60"/>
      <c r="E418" s="76"/>
      <c r="F418" s="60"/>
      <c r="G418" s="60"/>
      <c r="H418" s="60"/>
      <c r="I418" s="60"/>
      <c r="J418" s="60"/>
      <c r="K418" s="60"/>
      <c r="L418" s="60"/>
      <c r="M418" s="60"/>
      <c r="N418" s="60"/>
      <c r="O418" s="60"/>
      <c r="P418" s="60"/>
      <c r="Q418" s="178"/>
      <c r="R418" s="60"/>
      <c r="S418" s="59"/>
      <c r="T418" s="59"/>
      <c r="U418" s="60"/>
      <c r="V418" s="59"/>
      <c r="W418" s="60"/>
      <c r="X418" s="60"/>
      <c r="Y418" s="76"/>
      <c r="Z418" s="60"/>
      <c r="AA418" s="60"/>
      <c r="AB418" s="60"/>
      <c r="AC418" s="56"/>
      <c r="AD418" s="60"/>
      <c r="AE418" s="76"/>
      <c r="AF418" s="80"/>
      <c r="AG418" s="56"/>
      <c r="AH418" s="4"/>
      <c r="AI418" s="56"/>
      <c r="AJ418" s="109"/>
      <c r="AK418" s="56"/>
      <c r="AL418" s="56"/>
      <c r="AM418" s="56"/>
      <c r="AN418" s="56"/>
      <c r="AO418" s="82"/>
      <c r="AP418" s="82"/>
      <c r="AQ418" s="83"/>
      <c r="AR418" s="116"/>
      <c r="AS418" s="84"/>
      <c r="AT418" s="84"/>
      <c r="AU418" s="3"/>
      <c r="AV418" s="25">
        <v>30</v>
      </c>
      <c r="AW418" s="25">
        <f>60*30</f>
        <v>1800</v>
      </c>
      <c r="AX418" s="25">
        <f>60*60</f>
        <v>3600</v>
      </c>
      <c r="AY418" s="25">
        <f>60*60*24</f>
        <v>86400</v>
      </c>
      <c r="AZ418" s="25">
        <f>60*60*24*7</f>
        <v>604800</v>
      </c>
      <c r="BA418" s="25">
        <f>60*60*24*41</f>
        <v>3542400</v>
      </c>
      <c r="BB418" s="53"/>
      <c r="BC418" s="53"/>
      <c r="BD418" s="53"/>
      <c r="BE418" s="53"/>
      <c r="BF418" s="53"/>
      <c r="BG418" s="53"/>
      <c r="BH418" s="53"/>
      <c r="BI418" s="53"/>
      <c r="BJ418" s="53"/>
      <c r="BK418" s="53"/>
      <c r="BL418" s="53"/>
      <c r="BM418" s="53"/>
      <c r="BN418" s="53"/>
      <c r="BO418" s="53"/>
      <c r="BP418" s="53"/>
      <c r="BQ418" s="53"/>
      <c r="BR418" s="53"/>
      <c r="BS418" s="53"/>
      <c r="BT418" s="53"/>
      <c r="BU418" s="53"/>
      <c r="BV418" s="53"/>
      <c r="BW418" s="53"/>
      <c r="BX418" s="53"/>
      <c r="BY418" s="53"/>
      <c r="BZ418" s="53"/>
      <c r="CA418" s="53"/>
      <c r="CB418" s="53"/>
      <c r="CC418" s="53"/>
      <c r="CD418" s="53"/>
      <c r="CE418" s="53"/>
      <c r="CF418" s="53"/>
      <c r="CG418" s="53"/>
      <c r="CH418" s="53"/>
      <c r="CI418" s="53"/>
      <c r="CJ418" s="53"/>
      <c r="CK418" s="53"/>
      <c r="CL418" s="53"/>
      <c r="CM418" s="53"/>
      <c r="CN418" s="53"/>
      <c r="CO418" s="53"/>
      <c r="CP418" s="53"/>
      <c r="CQ418" s="53"/>
      <c r="CR418" s="1"/>
      <c r="CS418" s="1"/>
      <c r="CT418" s="1"/>
      <c r="CU418" s="1"/>
    </row>
    <row r="419" spans="1:99" s="13" customFormat="1" ht="12" customHeight="1" x14ac:dyDescent="0.2">
      <c r="A419" s="65">
        <v>43978</v>
      </c>
      <c r="B419" s="1" t="s">
        <v>971</v>
      </c>
      <c r="C419" s="1" t="s">
        <v>972</v>
      </c>
      <c r="D419" s="60">
        <v>1998</v>
      </c>
      <c r="E419" s="76">
        <v>1</v>
      </c>
      <c r="F419" s="60">
        <v>2</v>
      </c>
      <c r="G419" s="60">
        <v>2</v>
      </c>
      <c r="H419" s="60" t="s">
        <v>41</v>
      </c>
      <c r="I419" s="60" t="s">
        <v>330</v>
      </c>
      <c r="J419" s="60" t="s">
        <v>317</v>
      </c>
      <c r="K419" s="60">
        <f>IF(J419="syllables",1,IF(J419="trigrams",2,IF(J419="strings",3,IF(J419="visual array",4,IF(J419="characters",5,IF(J419="letters",6,IF(J419="free forms",7,IF(J419="odors",8,IF(J419="words",9,IF(J419="pictures",10,IF(J419="object pictures",11,IF(J419="faces",12,IF(J419="names",13,IF(J419="idioms",14,IF(J419="grades",15,IF(J419="syllable-digit pairs",16,IF(J419="trigram-word pairs",17,IF(J419="word-digit pairs",18,IF(J419="English-Swahili pairs",19,IF(J419="spatial position",20,IF(J419="word pairs",21,IF(J419="word triads",22,IF(J419="generated words",23,IF(J419="word definition pairs",24,IF(J419="math problems",25,IF(J419="famous faces",26,IF(J419="famous names",27,IF(J419="famous voices",28,IF(J419="television programs",29,IF(J419="race horses",30,IF(J419="new vocabulary",31,IF(J419="sentences",32,IF(J419="concepts",33,IF(J419="ad slides",34,IF(J419="scenes",35,IF(J419="famous scenes",36,IF(J419="poems",37,IF(J419="walk",38,IF(J419="faces and events",39,IF(J419="events and names",40,IF(J419="flashbulb",41,IF(J419="stories",42,IF(J419="course material",43,IF(J419="autobiographical",44,IF(J419="novels",45,IF(J419="public events",46,"99"))))))))))))))))))))))))))))))))))))))))))))))</f>
        <v>7</v>
      </c>
      <c r="L419" s="60">
        <f>IF(J419="syllables",1,IF(J419="trigrams",1,IF(J419="strings",1,IF(J419="visual array",1,IF(J419="characters",1,IF(J419="letters",1,IF(J419="free forms",1,IF(J419="odors",2,IF(J419="words",2,IF(J419="pictures",2,IF(J419="object pictures",2,IF(J419="faces",2,IF(J419="names",2,IF(J419="idioms","2",IF(J419="grades",2,IF(J419="syllable-digit pairs",3,IF(J419="trigram-word pairs",3,IF(J419="word-digit pairs",3,IF(J419="English-Swahili pairs",3,IF(J419="spatial position",3,IF(J419="word pairs",4,IF(J419="word triads",4,IF(J419="generated words",4,IF(J419="word definition pairs",4,IF(J419="math problems",4,IF(J419="famous faces",4,IF(J419="famous names",4,IF(J419="famous voices",4,IF(J419="television programs",4,IF(J419="race horses",4,IF(J419="new vocabulary",4,IF(J419="sentences",5,IF(J419="concepts",5,IF(J419="ad slides",5,IF(J419="scenes",5,IF(J419="famous scenes",5,IF(J419="poems",6,IF(J419="walk",6,IF(J419="faces and events",6,IF(J419="events and names",6,IF(J419="flashbulb",7,IF(J419="stories",7,IF(J419="course material",7,IF(J419="autobiographical",7,IF(J419="novels",7,IF(J419="public events",7,"99"))))))))))))))))))))))))))))))))))))))))))))))</f>
        <v>1</v>
      </c>
      <c r="M419" s="60">
        <v>1</v>
      </c>
      <c r="N419" s="60">
        <v>2</v>
      </c>
      <c r="O419" s="60">
        <v>0</v>
      </c>
      <c r="P419" s="60"/>
      <c r="Q419" s="178" t="s">
        <v>174</v>
      </c>
      <c r="R419" s="60">
        <f>IF(Q419="Free Recall",1,IF(Q419="Cued Recall",2,IF(Q419="Recognition",3,IF(Q419="Multiple Choice",4,IF(Q419="Savings",5,IF(Q419="Stem Completion",6,IF(Q419="Fragment Completion",7,IF(Q419="anagram solution",8,IF(Q419="Matching",9,IF(Q419="Problem Solving",10,"99"))))))))))</f>
        <v>1</v>
      </c>
      <c r="S419" s="60" t="s">
        <v>49</v>
      </c>
      <c r="T419" s="59" t="s">
        <v>581</v>
      </c>
      <c r="U419" s="60">
        <f>IF(T419="within",1,0)</f>
        <v>1</v>
      </c>
      <c r="V419" s="59">
        <v>8</v>
      </c>
      <c r="W419" s="60">
        <f>F419*V419</f>
        <v>16</v>
      </c>
      <c r="X419" s="60">
        <v>6</v>
      </c>
      <c r="Y419" s="76">
        <f>AV418</f>
        <v>30</v>
      </c>
      <c r="Z419" s="60" t="s">
        <v>973</v>
      </c>
      <c r="AA419" s="76">
        <f>60*60*24*41</f>
        <v>3542400</v>
      </c>
      <c r="AB419" s="60" t="str">
        <f>IF(AA419&lt;60,"1",IF(AA419&lt;=43200,"2",IF(AA419&lt;=777600,"3","4")))</f>
        <v>4</v>
      </c>
      <c r="AC419" s="56">
        <f>AVERAGE(AV418:DA418)</f>
        <v>706505</v>
      </c>
      <c r="AD419" s="60" t="str">
        <f>IF(AC419&lt;60,"1",IF(AC419&lt;=43200,"2",IF(AC419&lt;=777600,"3","4")))</f>
        <v>3</v>
      </c>
      <c r="AE419" s="76">
        <f>AA419-Y419</f>
        <v>3542370</v>
      </c>
      <c r="AF419" s="80">
        <f>AV419</f>
        <v>0.99</v>
      </c>
      <c r="AG419" s="56">
        <f>((AW419-AV419)+(AX419-AW419)+(AY419-AX419)+(AZ419-AY419)+(BA419-AZ419))/5</f>
        <v>-0.16599999999999998</v>
      </c>
      <c r="AH419" s="4"/>
      <c r="AI419" s="56">
        <f>RSQ(AV419:BA419,AV418:BA418)</f>
        <v>0.62356885119057182</v>
      </c>
      <c r="AJ419" s="109">
        <f>SLOPE(AV419:BA419,AV418:BA418)</f>
        <v>-1.5057311462001099E-7</v>
      </c>
      <c r="AK419" s="56">
        <f>INTERCEPT(AV419:BA419,AV418:BA418)</f>
        <v>0.66971399167794421</v>
      </c>
      <c r="AL419" s="56">
        <f>INDEX(LINEST(LN(AV419:BA419),LN(AV418:BA418),TRUE,TRUE),3,1)</f>
        <v>0.75234033542866263</v>
      </c>
      <c r="AM419" s="56">
        <f>INDEX(LINEST(LN(AV419:BA419),LN(AV418:BA418)),1)</f>
        <v>-0.12376574433129726</v>
      </c>
      <c r="AN419" s="56">
        <f>EXP(INDEX(LINEST(LN(AV419:BA419),LN(AV418:BA418)),1,2))</f>
        <v>1.6695920350654296</v>
      </c>
      <c r="AO419" s="82">
        <f>INDEX(LINEST((AV419:BA419),LN(AV418:BA418),TRUE,TRUE),3,1)</f>
        <v>0.89344098399317007</v>
      </c>
      <c r="AP419" s="82">
        <f>INDEX(LINEST((AV419:BA419),LN(AV418:BA418)),1)</f>
        <v>-5.9357201094800652E-2</v>
      </c>
      <c r="AQ419" s="83">
        <f>INDEX(LINEST(LN(AV419:BA419),SQRT(AV418:BA418),TRUE,TRUE),3,1)</f>
        <v>0.91651280206509655</v>
      </c>
      <c r="AR419" s="116">
        <f>INDEX(LINEST(LN(AV419:BA419),SQRT((AV418:BA418))),1)</f>
        <v>-7.9878993769156052E-4</v>
      </c>
      <c r="AS419" s="84">
        <f>INDEX(LINEST(1/(AV419:BA419),1/(SQRT(AV418:BA418)),TRUE,TRUE),3,1)</f>
        <v>0.17978820373245047</v>
      </c>
      <c r="AT419" s="84">
        <f>INDEX(LINEST(1/(AV419:BA419),1/SQRT(AV418:BA418)),1)</f>
        <v>-11.357996798864082</v>
      </c>
      <c r="AU419" s="3"/>
      <c r="AV419" s="53">
        <f>(1+0.98)/2</f>
        <v>0.99</v>
      </c>
      <c r="AW419" s="53">
        <f>(0.71+0.5)/2</f>
        <v>0.60499999999999998</v>
      </c>
      <c r="AX419" s="53">
        <f>(0.68+0.55)/2</f>
        <v>0.61499999999999999</v>
      </c>
      <c r="AY419" s="53">
        <f>(0.56+0.55)/2</f>
        <v>0.55500000000000005</v>
      </c>
      <c r="AZ419" s="53">
        <f>(0.52+0.39)/2</f>
        <v>0.45500000000000002</v>
      </c>
      <c r="BA419" s="53">
        <f>(0.22+0.1)/2</f>
        <v>0.16</v>
      </c>
      <c r="BB419" s="53"/>
      <c r="BC419" s="53"/>
      <c r="BD419" s="53"/>
      <c r="BE419" s="53"/>
      <c r="BF419" s="53"/>
      <c r="BG419" s="53"/>
      <c r="BH419" s="53"/>
      <c r="BI419" s="53"/>
      <c r="BJ419" s="53"/>
      <c r="BK419" s="53"/>
      <c r="BL419" s="53"/>
      <c r="BM419" s="53"/>
      <c r="BN419" s="53"/>
      <c r="BO419" s="53"/>
      <c r="BP419" s="53"/>
      <c r="BQ419" s="53"/>
      <c r="BR419" s="53"/>
      <c r="BS419" s="53"/>
      <c r="BT419" s="53"/>
      <c r="BU419" s="53"/>
      <c r="BV419" s="53"/>
      <c r="BW419" s="53"/>
      <c r="BX419" s="53"/>
      <c r="BY419" s="53"/>
      <c r="BZ419" s="53"/>
      <c r="CA419" s="53"/>
      <c r="CB419" s="53"/>
      <c r="CC419" s="53"/>
      <c r="CD419" s="53"/>
      <c r="CE419" s="53"/>
      <c r="CF419" s="53"/>
      <c r="CG419" s="53"/>
      <c r="CH419" s="53"/>
      <c r="CI419" s="53"/>
      <c r="CJ419" s="53"/>
      <c r="CK419" s="53"/>
      <c r="CL419" s="53"/>
      <c r="CM419" s="53"/>
      <c r="CN419" s="53"/>
      <c r="CO419" s="53"/>
      <c r="CP419" s="53"/>
      <c r="CQ419" s="53"/>
      <c r="CR419" s="1"/>
      <c r="CS419" s="1"/>
      <c r="CT419" s="1"/>
      <c r="CU419" s="1"/>
    </row>
    <row r="420" spans="1:99" s="13" customFormat="1" ht="12" customHeight="1" x14ac:dyDescent="0.2">
      <c r="A420" s="68">
        <v>43509</v>
      </c>
      <c r="B420" s="70"/>
      <c r="C420" s="70"/>
      <c r="D420" s="69"/>
      <c r="E420" s="87"/>
      <c r="F420" s="69"/>
      <c r="G420" s="69"/>
      <c r="H420" s="69"/>
      <c r="I420" s="69"/>
      <c r="J420" s="69"/>
      <c r="K420" s="107"/>
      <c r="L420" s="107"/>
      <c r="M420" s="69"/>
      <c r="N420" s="69"/>
      <c r="O420" s="69"/>
      <c r="P420" s="69"/>
      <c r="Q420" s="69"/>
      <c r="R420" s="69"/>
      <c r="S420" s="69"/>
      <c r="T420" s="69"/>
      <c r="U420" s="69"/>
      <c r="V420" s="69"/>
      <c r="W420" s="69"/>
      <c r="X420" s="69"/>
      <c r="Y420" s="87"/>
      <c r="Z420" s="69"/>
      <c r="AA420" s="69"/>
      <c r="AB420" s="69"/>
      <c r="AC420" s="69"/>
      <c r="AD420" s="69"/>
      <c r="AE420" s="69"/>
      <c r="AF420" s="88"/>
      <c r="AG420" s="72"/>
      <c r="AH420" s="4"/>
      <c r="AI420" s="72"/>
      <c r="AJ420" s="110"/>
      <c r="AK420" s="72"/>
      <c r="AL420" s="72"/>
      <c r="AM420" s="72"/>
      <c r="AN420" s="72"/>
      <c r="AO420" s="72"/>
      <c r="AP420" s="72"/>
      <c r="AQ420" s="72"/>
      <c r="AR420" s="110"/>
      <c r="AS420" s="72"/>
      <c r="AT420" s="72"/>
      <c r="AU420" s="4"/>
      <c r="AV420" s="71">
        <f>30*24*60*60*0.5</f>
        <v>1296000</v>
      </c>
      <c r="AW420" s="71">
        <f>30*24*60*60*1</f>
        <v>2592000</v>
      </c>
      <c r="AX420" s="71">
        <f>30*24*60*60*1.5</f>
        <v>3888000</v>
      </c>
      <c r="AY420" s="71">
        <f>30*24*60*60*2</f>
        <v>5184000</v>
      </c>
      <c r="AZ420" s="71">
        <f>30*24*60*60*2.5</f>
        <v>6480000</v>
      </c>
      <c r="BA420" s="53"/>
      <c r="BB420" s="53"/>
      <c r="BC420" s="53"/>
      <c r="BD420" s="53"/>
      <c r="BE420" s="53"/>
      <c r="BF420" s="53"/>
      <c r="BG420" s="53"/>
      <c r="BH420" s="53"/>
      <c r="BI420" s="53"/>
      <c r="BJ420" s="53"/>
      <c r="BK420" s="53"/>
      <c r="BL420" s="53"/>
      <c r="BM420" s="53"/>
      <c r="BN420" s="53"/>
      <c r="BO420" s="53"/>
      <c r="BP420" s="53"/>
      <c r="BQ420" s="53"/>
      <c r="BR420" s="53"/>
      <c r="BS420" s="53"/>
      <c r="BT420" s="53"/>
      <c r="BU420" s="53"/>
      <c r="BV420" s="53"/>
      <c r="BW420" s="53"/>
      <c r="BX420" s="53"/>
      <c r="BY420" s="53"/>
      <c r="BZ420" s="53"/>
      <c r="CA420" s="53"/>
      <c r="CB420" s="53"/>
      <c r="CC420" s="53"/>
      <c r="CD420" s="53"/>
      <c r="CE420" s="53"/>
      <c r="CF420" s="53"/>
      <c r="CG420" s="53"/>
      <c r="CH420" s="53"/>
      <c r="CI420" s="53"/>
      <c r="CJ420" s="53"/>
      <c r="CK420" s="53"/>
      <c r="CL420" s="53"/>
      <c r="CM420" s="53"/>
      <c r="CN420" s="53"/>
      <c r="CO420" s="53"/>
      <c r="CP420" s="53"/>
      <c r="CQ420" s="53"/>
      <c r="CR420" s="1"/>
      <c r="CS420" s="1"/>
      <c r="CT420" s="1"/>
      <c r="CU420" s="1"/>
    </row>
    <row r="421" spans="1:99" s="13" customFormat="1" ht="12" customHeight="1" x14ac:dyDescent="0.2">
      <c r="A421" s="68">
        <v>43509</v>
      </c>
      <c r="B421" s="70" t="s">
        <v>878</v>
      </c>
      <c r="C421" s="70" t="s">
        <v>45</v>
      </c>
      <c r="D421" s="69">
        <v>1988</v>
      </c>
      <c r="E421" s="87">
        <v>2</v>
      </c>
      <c r="F421" s="69">
        <v>80</v>
      </c>
      <c r="G421" s="69">
        <v>16</v>
      </c>
      <c r="H421" s="69" t="s">
        <v>30</v>
      </c>
      <c r="I421" s="69"/>
      <c r="J421" s="69" t="s">
        <v>320</v>
      </c>
      <c r="K421" s="69">
        <f>IF(J421="syllables",1,IF(J421="trigrams",2,IF(J421="strings",3,IF(J421="visual array",4,IF(J421="characters",5,IF(J421="letters",6,IF(J421="free forms",7,IF(J421="odors",8,IF(J421="words",9,IF(J421="pictures",10,IF(J421="object pictures",11,IF(J421="faces",12,IF(J421="names",13,IF(J421="idioms",14,IF(J421="grades",15,IF(J421="syllable-digit pairs",16,IF(J421="trigram-word pairs",17,IF(J421="word-digit pairs",18,IF(J421="English-Swahili pairs",19,IF(J421="spatial position",20,IF(J421="word pairs",21,IF(J421="word triads",22,IF(J421="generated words",23,IF(J421="word definition pairs",24,IF(J421="math problems",25,IF(J421="famous faces",26,IF(J421="famous names",27,IF(J421="famous voices",28,IF(J421="television programs",29,IF(J421="race horses",30,IF(J421="new vocabulary",31,IF(J421="sentences",32,IF(J421="concepts",33,IF(J421="ad slides",34,IF(J421="scenes",35,IF(J421="famous scenes",36,IF(J421="poems",37,IF(J421="walk",38,IF(J421="faces and events",39,IF(J421="events and names",40,IF(J421="flashbulb",41,IF(J421="stories",42,IF(J421="course material",43,IF(J421="autobiographical",44,IF(J421="novels",45,IF(J421="public events",46,"99"))))))))))))))))))))))))))))))))))))))))))))))</f>
        <v>21</v>
      </c>
      <c r="L421" s="69">
        <f>IF(J421="syllables",1,IF(J421="trigrams",1,IF(J421="strings",1,IF(J421="visual array",1,IF(J421="characters",1,IF(J421="letters",1,IF(J421="free forms",1,IF(J421="odors",2,IF(J421="words",2,IF(J421="pictures",2,IF(J421="object pictures",2,IF(J421="faces",2,IF(J421="names",2,IF(J421="idioms","2",IF(J421="grades",2,IF(J421="syllable-digit pairs",3,IF(J421="trigram-word pairs",3,IF(J421="word-digit pairs",3,IF(J421="English-Swahili pairs",3,IF(J421="spatial position",3,IF(J421="word pairs",4,IF(J421="word triads",4,IF(J421="generated words",4,IF(J421="word definition pairs",4,IF(J421="math problems",4,IF(J421="famous faces",4,IF(J421="famous names",4,IF(J421="famous voices",4,IF(J421="television programs",4,IF(J421="race horses",4,IF(J421="new vocabulary",4,IF(J421="sentences",5,IF(J421="concepts",5,IF(J421="ad slides",5,IF(J421="scenes",5,IF(J421="famous scenes",5,IF(J421="poems",6,IF(J421="walk",6,IF(J421="faces and events",6,IF(J421="events and names",6,IF(J421="flashbulb",7,IF(J421="stories",7,IF(J421="course material",7,IF(J421="autobiographical",7,IF(J421="novels",7,IF(J421="public events",7,"99"))))))))))))))))))))))))))))))))))))))))))))))</f>
        <v>4</v>
      </c>
      <c r="M421" s="69">
        <v>1</v>
      </c>
      <c r="N421" s="69">
        <v>1</v>
      </c>
      <c r="O421" s="69">
        <v>1</v>
      </c>
      <c r="P421" s="69" t="s">
        <v>27</v>
      </c>
      <c r="Q421" s="69" t="s">
        <v>34</v>
      </c>
      <c r="R421" s="69">
        <f>IF(Q421="Free Recall",1,IF(Q421="Cued Recall",2,IF(Q421="Recognition",3,IF(Q421="Multiple Choice",4,IF(Q421="Savings",5,IF(Q421="Stem Completion",6,IF(Q421="Fragment Completion",7,IF(Q421="anagram solution",8,IF(Q421="Matching",9,IF(Q421="Problem Solving",10,"99"))))))))))</f>
        <v>3</v>
      </c>
      <c r="S421" s="69" t="s">
        <v>15</v>
      </c>
      <c r="T421" s="69" t="s">
        <v>261</v>
      </c>
      <c r="U421" s="69">
        <f>IF(T421="within",1,0)</f>
        <v>0</v>
      </c>
      <c r="V421" s="69">
        <v>20</v>
      </c>
      <c r="W421" s="69">
        <f>F421*V421</f>
        <v>1600</v>
      </c>
      <c r="X421" s="69">
        <v>5</v>
      </c>
      <c r="Y421" s="87">
        <f>AV420</f>
        <v>1296000</v>
      </c>
      <c r="Z421" s="69" t="s">
        <v>186</v>
      </c>
      <c r="AA421" s="69">
        <f>30*24*60*60*2.5</f>
        <v>6480000</v>
      </c>
      <c r="AB421" s="69" t="str">
        <f>IF(AA421&lt;60,"1",IF(AA421&lt;=43200,"2",IF(AA421&lt;=777600,"3","4")))</f>
        <v>4</v>
      </c>
      <c r="AC421" s="72">
        <f>AVERAGE(AV420:DA420)</f>
        <v>3888000</v>
      </c>
      <c r="AD421" s="69" t="str">
        <f>IF(AC421&lt;60,"1",IF(AC421&lt;=43200,"2",IF(AC421&lt;=777600,"3","4")))</f>
        <v>4</v>
      </c>
      <c r="AE421" s="87">
        <f>AA421-Y421</f>
        <v>5184000</v>
      </c>
      <c r="AF421" s="88">
        <f>AV421</f>
        <v>0.8</v>
      </c>
      <c r="AG421" s="72">
        <f>((AW421-AV421)+(AX421-AW421)+(AY421-AX421)+(AZ421-AY421))/4</f>
        <v>-4.7500000000000014E-2</v>
      </c>
      <c r="AH421" s="4"/>
      <c r="AI421" s="72">
        <f>RSQ(AV421:AZ421,AV420:AZ420)</f>
        <v>0.74611398963730569</v>
      </c>
      <c r="AJ421" s="110">
        <f>SLOPE(AV421:AZ421,AV420:AZ420)</f>
        <v>-3.703703703703705E-8</v>
      </c>
      <c r="AK421" s="72">
        <f>INTERCEPT(AV421:AZ421,AV420:AZ420)</f>
        <v>0.82200000000000006</v>
      </c>
      <c r="AL421" s="72">
        <f>INDEX(LINEST(LN(AV421:AZ421),LN(AV420:AZ420),TRUE,TRUE),3,1)</f>
        <v>0.76651333664583599</v>
      </c>
      <c r="AM421" s="72">
        <f>INDEX(LINEST(LN(AV421:AZ421),LN(AV420:AZ420)),1)</f>
        <v>-0.17739196345789193</v>
      </c>
      <c r="AN421" s="72">
        <f>EXP(INDEX(LINEST(LN(AV421:AZ421),LN(AV420:AZ420)),1,2))</f>
        <v>9.6923894616613904</v>
      </c>
      <c r="AO421" s="89">
        <f>INDEX(LINEST((AV421:AZ421),LN(AV420:AZ420),TRUE,TRUE),3,1)</f>
        <v>0.78404724750039745</v>
      </c>
      <c r="AP421" s="89">
        <f>INDEX(LINEST((AV421:AZ421),LN(AV420:AZ420)),1)</f>
        <v>-0.12242151853005373</v>
      </c>
      <c r="AQ421" s="90">
        <f>INDEX(LINEST(LN(AV421:AZ421),SQRT(AV420:AZ420),TRUE,TRUE),3,1)</f>
        <v>0.76350387970834332</v>
      </c>
      <c r="AR421" s="117">
        <f>INDEX(LINEST(LN(AV421:AZ421),SQRT((AV420:AZ420))),1)</f>
        <v>-2.0308845512981405E-4</v>
      </c>
      <c r="AS421" s="91">
        <f>INDEX(LINEST(1/(AV421:AZ421),1/(SQRT(AV420:AZ420)),TRUE,TRUE),3,1)</f>
        <v>0.72448664135099916</v>
      </c>
      <c r="AT421" s="91">
        <f>INDEX(LINEST(1/(AV421:AZ421),1/SQRT(AV420:AZ420)),1)</f>
        <v>-837.07533259576701</v>
      </c>
      <c r="AU421" s="3"/>
      <c r="AV421" s="73">
        <v>0.8</v>
      </c>
      <c r="AW421" s="73">
        <v>0.68</v>
      </c>
      <c r="AX421" s="73">
        <v>0.72</v>
      </c>
      <c r="AY421" s="73">
        <v>0.57999999999999996</v>
      </c>
      <c r="AZ421" s="73">
        <v>0.61</v>
      </c>
      <c r="BA421" s="53"/>
      <c r="BB421" s="53"/>
      <c r="BC421" s="53"/>
      <c r="BD421" s="53"/>
      <c r="BE421" s="53"/>
      <c r="BF421" s="53"/>
      <c r="BG421" s="53"/>
      <c r="BH421" s="53"/>
      <c r="BI421" s="53"/>
      <c r="BJ421" s="53"/>
      <c r="BK421" s="53"/>
      <c r="BL421" s="53"/>
      <c r="BM421" s="53"/>
      <c r="BN421" s="53"/>
      <c r="BO421" s="53"/>
      <c r="BP421" s="53"/>
      <c r="BQ421" s="53"/>
      <c r="BR421" s="53"/>
      <c r="BS421" s="53"/>
      <c r="BT421" s="53"/>
      <c r="BU421" s="53"/>
      <c r="BV421" s="53"/>
      <c r="BW421" s="53"/>
      <c r="BX421" s="53"/>
      <c r="BY421" s="53"/>
      <c r="BZ421" s="53"/>
      <c r="CA421" s="53"/>
      <c r="CB421" s="53"/>
      <c r="CC421" s="53"/>
      <c r="CD421" s="53"/>
      <c r="CE421" s="53"/>
      <c r="CF421" s="53"/>
      <c r="CG421" s="53"/>
      <c r="CH421" s="53"/>
      <c r="CI421" s="53"/>
      <c r="CJ421" s="53"/>
      <c r="CK421" s="53"/>
      <c r="CL421" s="53"/>
      <c r="CM421" s="53"/>
      <c r="CN421" s="53"/>
      <c r="CO421" s="53"/>
      <c r="CP421" s="53"/>
      <c r="CQ421" s="53"/>
      <c r="CR421" s="1"/>
      <c r="CS421" s="1"/>
      <c r="CT421" s="1"/>
      <c r="CU421" s="1"/>
    </row>
    <row r="422" spans="1:99" s="13" customFormat="1" ht="12" customHeight="1" x14ac:dyDescent="0.2">
      <c r="A422" s="68">
        <v>43978</v>
      </c>
      <c r="B422" s="70"/>
      <c r="C422" s="70"/>
      <c r="D422" s="69"/>
      <c r="E422" s="87"/>
      <c r="F422" s="69"/>
      <c r="G422" s="69"/>
      <c r="H422" s="69"/>
      <c r="I422" s="69"/>
      <c r="J422" s="69"/>
      <c r="K422" s="69"/>
      <c r="L422" s="69"/>
      <c r="M422" s="69"/>
      <c r="N422" s="69"/>
      <c r="O422" s="69"/>
      <c r="P422" s="69"/>
      <c r="Q422" s="69"/>
      <c r="R422" s="69"/>
      <c r="S422" s="69"/>
      <c r="T422" s="69"/>
      <c r="U422" s="69"/>
      <c r="V422" s="69"/>
      <c r="W422" s="69"/>
      <c r="X422" s="69"/>
      <c r="Y422" s="87"/>
      <c r="Z422" s="69"/>
      <c r="AA422" s="69"/>
      <c r="AB422" s="69"/>
      <c r="AC422" s="72"/>
      <c r="AD422" s="69"/>
      <c r="AE422" s="87"/>
      <c r="AF422" s="88"/>
      <c r="AG422" s="72"/>
      <c r="AH422" s="4"/>
      <c r="AI422" s="72"/>
      <c r="AJ422" s="110"/>
      <c r="AK422" s="72"/>
      <c r="AL422" s="72"/>
      <c r="AM422" s="72"/>
      <c r="AN422" s="72"/>
      <c r="AO422" s="89"/>
      <c r="AP422" s="89"/>
      <c r="AQ422" s="90"/>
      <c r="AR422" s="117"/>
      <c r="AS422" s="91"/>
      <c r="AT422" s="91"/>
      <c r="AU422" s="3"/>
      <c r="AV422" s="71">
        <v>30</v>
      </c>
      <c r="AW422" s="71">
        <f>60*30</f>
        <v>1800</v>
      </c>
      <c r="AX422" s="71">
        <f>60*60*24*7*4</f>
        <v>2419200</v>
      </c>
      <c r="AY422" s="53"/>
      <c r="AZ422" s="53"/>
      <c r="BA422" s="53"/>
      <c r="BB422" s="53"/>
      <c r="BC422" s="53"/>
      <c r="BD422" s="53"/>
      <c r="BE422" s="53"/>
      <c r="BF422" s="53"/>
      <c r="BG422" s="53"/>
      <c r="BH422" s="53"/>
      <c r="BI422" s="53"/>
      <c r="BJ422" s="53"/>
      <c r="BK422" s="53"/>
      <c r="BL422" s="53"/>
      <c r="BM422" s="53"/>
      <c r="BN422" s="53"/>
      <c r="BO422" s="53"/>
      <c r="BP422" s="53"/>
      <c r="BQ422" s="53"/>
      <c r="BR422" s="53"/>
      <c r="BS422" s="53"/>
      <c r="BT422" s="53"/>
      <c r="BU422" s="53"/>
      <c r="BV422" s="53"/>
      <c r="BW422" s="53"/>
      <c r="BX422" s="53"/>
      <c r="BY422" s="53"/>
      <c r="BZ422" s="53"/>
      <c r="CA422" s="53"/>
      <c r="CB422" s="53"/>
      <c r="CC422" s="53"/>
      <c r="CD422" s="53"/>
      <c r="CE422" s="53"/>
      <c r="CF422" s="53"/>
      <c r="CG422" s="53"/>
      <c r="CH422" s="53"/>
      <c r="CI422" s="53"/>
      <c r="CJ422" s="53"/>
      <c r="CK422" s="53"/>
      <c r="CL422" s="53"/>
      <c r="CM422" s="53"/>
      <c r="CN422" s="53"/>
      <c r="CO422" s="53"/>
      <c r="CP422" s="53"/>
      <c r="CQ422" s="53"/>
      <c r="CR422" s="1"/>
      <c r="CS422" s="1"/>
      <c r="CT422" s="1"/>
      <c r="CU422" s="1"/>
    </row>
    <row r="423" spans="1:99" s="13" customFormat="1" ht="12" customHeight="1" x14ac:dyDescent="0.2">
      <c r="A423" s="68">
        <v>43978</v>
      </c>
      <c r="B423" s="70" t="s">
        <v>975</v>
      </c>
      <c r="C423" s="70" t="s">
        <v>976</v>
      </c>
      <c r="D423" s="69">
        <v>2006</v>
      </c>
      <c r="E423" s="87">
        <v>1</v>
      </c>
      <c r="F423" s="69">
        <v>59</v>
      </c>
      <c r="G423" s="69">
        <v>59</v>
      </c>
      <c r="H423" s="69" t="s">
        <v>38</v>
      </c>
      <c r="I423" s="69" t="s">
        <v>330</v>
      </c>
      <c r="J423" s="69" t="s">
        <v>16</v>
      </c>
      <c r="K423" s="69">
        <f>IF(J423="syllables",1,IF(J423="trigrams",2,IF(J423="strings",3,IF(J423="visual array",4,IF(J423="characters",5,IF(J423="letters",6,IF(J423="free forms",7,IF(J423="odors",8,IF(J423="words",9,IF(J423="pictures",10,IF(J423="object pictures",11,IF(J423="faces",12,IF(J423="names",13,IF(J423="idioms",14,IF(J423="grades",15,IF(J423="syllable-digit pairs",16,IF(J423="trigram-word pairs",17,IF(J423="word-digit pairs",18,IF(J423="English-Swahili pairs",19,IF(J423="spatial position",20,IF(J423="word pairs",21,IF(J423="word triads",22,IF(J423="generated words",23,IF(J423="word definition pairs",24,IF(J423="math problems",25,IF(J423="famous faces",26,IF(J423="famous names",27,IF(J423="famous voices",28,IF(J423="television programs",29,IF(J423="race horses",30,IF(J423="new vocabulary",31,IF(J423="sentences",32,IF(J423="concepts",33,IF(J423="ad slides",34,IF(J423="scenes",35,IF(J423="famous scenes",36,IF(J423="poems",37,IF(J423="walk",38,IF(J423="faces and events",39,IF(J423="events and names",40,IF(J423="flashbulb",41,IF(J423="stories",42,IF(J423="course material",43,IF(J423="autobiographical",44,IF(J423="novels",45,IF(J423="public events",46,"99"))))))))))))))))))))))))))))))))))))))))))))))</f>
        <v>9</v>
      </c>
      <c r="L423" s="69">
        <f>IF(J423="syllables",1,IF(J423="trigrams",1,IF(J423="strings",1,IF(J423="visual array",1,IF(J423="characters",1,IF(J423="letters",1,IF(J423="free forms",1,IF(J423="odors",2,IF(J423="words",2,IF(J423="pictures",2,IF(J423="object pictures",2,IF(J423="faces",2,IF(J423="names",2,IF(J423="idioms","2",IF(J423="grades",2,IF(J423="syllable-digit pairs",3,IF(J423="trigram-word pairs",3,IF(J423="word-digit pairs",3,IF(J423="English-Swahili pairs",3,IF(J423="spatial position",3,IF(J423="word pairs",4,IF(J423="word triads",4,IF(J423="generated words",4,IF(J423="word definition pairs",4,IF(J423="math problems",4,IF(J423="famous faces",4,IF(J423="famous names",4,IF(J423="famous voices",4,IF(J423="television programs",4,IF(J423="race horses",4,IF(J423="new vocabulary",4,IF(J423="sentences",5,IF(J423="concepts",5,IF(J423="ad slides",5,IF(J423="scenes",5,IF(J423="famous scenes",5,IF(J423="poems",6,IF(J423="walk",6,IF(J423="faces and events",6,IF(J423="events and names",6,IF(J423="flashbulb",7,IF(J423="stories",7,IF(J423="course material",7,IF(J423="autobiographical",7,IF(J423="novels",7,IF(J423="public events",7,"99"))))))))))))))))))))))))))))))))))))))))))))))</f>
        <v>2</v>
      </c>
      <c r="M423" s="69">
        <v>1</v>
      </c>
      <c r="N423" s="69">
        <v>2</v>
      </c>
      <c r="O423" s="69">
        <v>0</v>
      </c>
      <c r="P423" s="69"/>
      <c r="Q423" s="69" t="s">
        <v>174</v>
      </c>
      <c r="R423" s="69">
        <f>IF(Q423="Free Recall",1,IF(Q423="Cued Recall",2,IF(Q423="Recognition",3,IF(Q423="Multiple Choice",4,IF(Q423="Savings",5,IF(Q423="Stem Completion",6,IF(Q423="Fragment Completion",7,IF(Q423="anagram solution",8,IF(Q423="Matching",9,IF(Q423="Problem Solving",10,"99"))))))))))</f>
        <v>1</v>
      </c>
      <c r="S423" s="69" t="s">
        <v>49</v>
      </c>
      <c r="T423" s="69" t="s">
        <v>581</v>
      </c>
      <c r="U423" s="69">
        <f>IF(T423="within",1,0)</f>
        <v>1</v>
      </c>
      <c r="V423" s="69">
        <v>45</v>
      </c>
      <c r="W423" s="69">
        <f>F423*V423</f>
        <v>2655</v>
      </c>
      <c r="X423" s="69">
        <v>3</v>
      </c>
      <c r="Y423" s="87">
        <f>AV422</f>
        <v>30</v>
      </c>
      <c r="Z423" s="92" t="s">
        <v>140</v>
      </c>
      <c r="AA423" s="69">
        <f>60*60*24*7*4</f>
        <v>2419200</v>
      </c>
      <c r="AB423" s="69" t="str">
        <f>IF(AA423&lt;60,"1",IF(AA423&lt;=43200,"2",IF(AA423&lt;=777600,"3","4")))</f>
        <v>4</v>
      </c>
      <c r="AC423" s="72">
        <f>AVERAGE(AV422:DA422)</f>
        <v>807010</v>
      </c>
      <c r="AD423" s="69" t="str">
        <f>IF(AC423&lt;60,"1",IF(AC423&lt;=43200,"2",IF(AC423&lt;=777600,"3","4")))</f>
        <v>4</v>
      </c>
      <c r="AE423" s="87">
        <f>AA423-Y423</f>
        <v>2419170</v>
      </c>
      <c r="AF423" s="88">
        <f>AV423</f>
        <v>0.94666666666666666</v>
      </c>
      <c r="AG423" s="72">
        <f>((AW423-AV423)+(AX423-AW423))/2</f>
        <v>-0.20666666666666667</v>
      </c>
      <c r="AH423" s="4"/>
      <c r="AI423" s="72">
        <f>RSQ(AV423:AX423,AV422:AX422)</f>
        <v>0.98608091627917394</v>
      </c>
      <c r="AJ423" s="110">
        <f>SLOPE(AV423:AX423,AV422:AX422)</f>
        <v>-1.5990496911847955E-7</v>
      </c>
      <c r="AK423" s="72">
        <f>INTERCEPT(AV423:AX423,AV422:AX422)</f>
        <v>0.92015602023941523</v>
      </c>
      <c r="AL423" s="72">
        <f>INDEX(LINEST(LN(AV423:AX423),LN(AV422:AX422),TRUE,TRUE),3,1)</f>
        <v>0.92672352581825501</v>
      </c>
      <c r="AM423" s="72">
        <f>INDEX(LINEST(LN(AV423:AX423),LN(AV422:AX422)),1)</f>
        <v>-5.3164123577759008E-2</v>
      </c>
      <c r="AN423" s="72">
        <f>EXP(INDEX(LINEST(LN(AV423:AX423),LN(AV422:AX422)),1,2))</f>
        <v>1.2070587578600684</v>
      </c>
      <c r="AO423" s="89">
        <f>INDEX(LINEST((AV423:AX423),LN(AV422:AX422),TRUE,TRUE),3,1)</f>
        <v>0.94015304706243197</v>
      </c>
      <c r="AP423" s="89">
        <f>INDEX(LINEST((AV423:AX423),LN(AV422:AX422)),1)</f>
        <v>-3.8113284599088186E-2</v>
      </c>
      <c r="AQ423" s="90">
        <f>INDEX(LINEST(LN(AV423:AX423),SQRT(AV422:AX422),TRUE,TRUE),3,1)</f>
        <v>0.99496391994943245</v>
      </c>
      <c r="AR423" s="117">
        <f>INDEX(LINEST(LN(AV423:AX423),SQRT((AV422:AX422))),1)</f>
        <v>-3.5628094631879584E-4</v>
      </c>
      <c r="AS423" s="91">
        <f>INDEX(LINEST(1/(AV423:AX423),1/(SQRT(AV422:AX422)),TRUE,TRUE),3,1)</f>
        <v>0.42372949783099845</v>
      </c>
      <c r="AT423" s="91">
        <f>INDEX(LINEST(1/(AV423:AX423),1/SQRT(AV422:AX422)),1)</f>
        <v>-2.9927150945732723</v>
      </c>
      <c r="AU423" s="3"/>
      <c r="AV423" s="73">
        <f>14.2/15</f>
        <v>0.94666666666666666</v>
      </c>
      <c r="AW423" s="73">
        <f>13.4/15</f>
        <v>0.89333333333333331</v>
      </c>
      <c r="AX423" s="73">
        <f>8/15</f>
        <v>0.53333333333333333</v>
      </c>
      <c r="AY423" s="53"/>
      <c r="AZ423" s="53"/>
      <c r="BA423" s="53"/>
      <c r="BB423" s="53"/>
      <c r="BC423" s="53"/>
      <c r="BD423" s="53"/>
      <c r="BE423" s="53"/>
      <c r="BF423" s="53"/>
      <c r="BG423" s="53"/>
      <c r="BH423" s="53"/>
      <c r="BI423" s="53"/>
      <c r="BJ423" s="53"/>
      <c r="BK423" s="53"/>
      <c r="BL423" s="53"/>
      <c r="BM423" s="53"/>
      <c r="BN423" s="53"/>
      <c r="BO423" s="53"/>
      <c r="BP423" s="53"/>
      <c r="BQ423" s="53"/>
      <c r="BR423" s="53"/>
      <c r="BS423" s="53"/>
      <c r="BT423" s="53"/>
      <c r="BU423" s="53"/>
      <c r="BV423" s="53"/>
      <c r="BW423" s="53"/>
      <c r="BX423" s="53"/>
      <c r="BY423" s="53"/>
      <c r="BZ423" s="53"/>
      <c r="CA423" s="53"/>
      <c r="CB423" s="53"/>
      <c r="CC423" s="53"/>
      <c r="CD423" s="53"/>
      <c r="CE423" s="53"/>
      <c r="CF423" s="53"/>
      <c r="CG423" s="53"/>
      <c r="CH423" s="53"/>
      <c r="CI423" s="53"/>
      <c r="CJ423" s="53"/>
      <c r="CK423" s="53"/>
      <c r="CL423" s="53"/>
      <c r="CM423" s="53"/>
      <c r="CN423" s="53"/>
      <c r="CO423" s="53"/>
      <c r="CP423" s="53"/>
      <c r="CQ423" s="53"/>
      <c r="CR423" s="1"/>
      <c r="CS423" s="1"/>
      <c r="CT423" s="1"/>
      <c r="CU423" s="1"/>
    </row>
    <row r="424" spans="1:99" s="13" customFormat="1" ht="12" customHeight="1" x14ac:dyDescent="0.2">
      <c r="A424" s="68">
        <v>43978</v>
      </c>
      <c r="B424" s="70"/>
      <c r="C424" s="70"/>
      <c r="D424" s="69"/>
      <c r="E424" s="87"/>
      <c r="F424" s="69"/>
      <c r="G424" s="69"/>
      <c r="H424" s="69"/>
      <c r="I424" s="69"/>
      <c r="J424" s="69"/>
      <c r="K424" s="69"/>
      <c r="L424" s="69"/>
      <c r="M424" s="69"/>
      <c r="N424" s="69"/>
      <c r="O424" s="69"/>
      <c r="P424" s="69"/>
      <c r="Q424" s="69"/>
      <c r="R424" s="69"/>
      <c r="S424" s="69"/>
      <c r="T424" s="69"/>
      <c r="U424" s="69"/>
      <c r="V424" s="69"/>
      <c r="W424" s="69"/>
      <c r="X424" s="69"/>
      <c r="Y424" s="87"/>
      <c r="Z424" s="69"/>
      <c r="AA424" s="69"/>
      <c r="AB424" s="69"/>
      <c r="AC424" s="72"/>
      <c r="AD424" s="69"/>
      <c r="AE424" s="87"/>
      <c r="AF424" s="88"/>
      <c r="AG424" s="72"/>
      <c r="AH424" s="4"/>
      <c r="AI424" s="72"/>
      <c r="AJ424" s="110"/>
      <c r="AK424" s="72"/>
      <c r="AL424" s="72"/>
      <c r="AM424" s="72"/>
      <c r="AN424" s="72"/>
      <c r="AO424" s="89"/>
      <c r="AP424" s="89"/>
      <c r="AQ424" s="90"/>
      <c r="AR424" s="117"/>
      <c r="AS424" s="91"/>
      <c r="AT424" s="91"/>
      <c r="AU424" s="3"/>
      <c r="AV424" s="71">
        <v>30</v>
      </c>
      <c r="AW424" s="71">
        <f>60*30</f>
        <v>1800</v>
      </c>
      <c r="AX424" s="71">
        <f>60*60*24*7*4</f>
        <v>2419200</v>
      </c>
      <c r="AY424" s="53"/>
      <c r="AZ424" s="53"/>
      <c r="BA424" s="53"/>
      <c r="BB424" s="53"/>
      <c r="BC424" s="53"/>
      <c r="BD424" s="53"/>
      <c r="BE424" s="53"/>
      <c r="BF424" s="53"/>
      <c r="BG424" s="53"/>
      <c r="BH424" s="53"/>
      <c r="BI424" s="53"/>
      <c r="BJ424" s="53"/>
      <c r="BK424" s="53"/>
      <c r="BL424" s="53"/>
      <c r="BM424" s="53"/>
      <c r="BN424" s="53"/>
      <c r="BO424" s="53"/>
      <c r="BP424" s="53"/>
      <c r="BQ424" s="53"/>
      <c r="BR424" s="53"/>
      <c r="BS424" s="53"/>
      <c r="BT424" s="53"/>
      <c r="BU424" s="53"/>
      <c r="BV424" s="53"/>
      <c r="BW424" s="53"/>
      <c r="BX424" s="53"/>
      <c r="BY424" s="53"/>
      <c r="BZ424" s="53"/>
      <c r="CA424" s="53"/>
      <c r="CB424" s="53"/>
      <c r="CC424" s="53"/>
      <c r="CD424" s="53"/>
      <c r="CE424" s="53"/>
      <c r="CF424" s="53"/>
      <c r="CG424" s="53"/>
      <c r="CH424" s="53"/>
      <c r="CI424" s="53"/>
      <c r="CJ424" s="53"/>
      <c r="CK424" s="53"/>
      <c r="CL424" s="53"/>
      <c r="CM424" s="53"/>
      <c r="CN424" s="53"/>
      <c r="CO424" s="53"/>
      <c r="CP424" s="53"/>
      <c r="CQ424" s="53"/>
      <c r="CR424" s="1"/>
      <c r="CS424" s="1"/>
      <c r="CT424" s="1"/>
      <c r="CU424" s="1"/>
    </row>
    <row r="425" spans="1:99" s="13" customFormat="1" ht="12" customHeight="1" x14ac:dyDescent="0.2">
      <c r="A425" s="68">
        <v>43978</v>
      </c>
      <c r="B425" s="70" t="s">
        <v>975</v>
      </c>
      <c r="C425" s="70" t="s">
        <v>976</v>
      </c>
      <c r="D425" s="69">
        <v>2006</v>
      </c>
      <c r="E425" s="87">
        <v>1</v>
      </c>
      <c r="F425" s="69">
        <v>59</v>
      </c>
      <c r="G425" s="69">
        <v>59</v>
      </c>
      <c r="H425" s="69" t="s">
        <v>38</v>
      </c>
      <c r="I425" s="69" t="s">
        <v>330</v>
      </c>
      <c r="J425" s="69" t="s">
        <v>677</v>
      </c>
      <c r="K425" s="69">
        <f>IF(J425="syllables",1,IF(J425="trigrams",2,IF(J425="strings",3,IF(J425="visual array",4,IF(J425="characters",5,IF(J425="letters",6,IF(J425="free forms",7,IF(J425="odors",8,IF(J425="words",9,IF(J425="pictures",10,IF(J425="object pictures",11,IF(J425="faces",12,IF(J425="names",13,IF(J425="idioms",14,IF(J425="grades",15,IF(J425="syllable-digit pairs",16,IF(J425="trigram-word pairs",17,IF(J425="word-digit pairs",18,IF(J425="English-Swahili pairs",19,IF(J425="spatial position",20,IF(J425="word pairs",21,IF(J425="word triads",22,IF(J425="generated words",23,IF(J425="word definition pairs",24,IF(J425="math problems",25,IF(J425="famous faces",26,IF(J425="famous names",27,IF(J425="famous voices",28,IF(J425="television programs",29,IF(J425="race horses",30,IF(J425="new vocabulary",31,IF(J425="sentences",32,IF(J425="concepts",33,IF(J425="ad slides",34,IF(J425="scenes",35,IF(J425="famous scenes",36,IF(J425="poems",37,IF(J425="walk",38,IF(J425="faces and events",39,IF(J425="events and names",40,IF(J425="flashbulb",41,IF(J425="stories",42,IF(J425="course material",43,IF(J425="autobiographical",44,IF(J425="novels",45,IF(J425="public events",46,"99"))))))))))))))))))))))))))))))))))))))))))))))</f>
        <v>42</v>
      </c>
      <c r="L425" s="69">
        <f>IF(J425="syllables",1,IF(J425="trigrams",1,IF(J425="strings",1,IF(J425="visual array",1,IF(J425="characters",1,IF(J425="letters",1,IF(J425="free forms",1,IF(J425="odors",2,IF(J425="words",2,IF(J425="pictures",2,IF(J425="object pictures",2,IF(J425="faces",2,IF(J425="names",2,IF(J425="idioms","2",IF(J425="grades",2,IF(J425="syllable-digit pairs",3,IF(J425="trigram-word pairs",3,IF(J425="word-digit pairs",3,IF(J425="English-Swahili pairs",3,IF(J425="spatial position",3,IF(J425="word pairs",4,IF(J425="word triads",4,IF(J425="generated words",4,IF(J425="word definition pairs",4,IF(J425="math problems",4,IF(J425="famous faces",4,IF(J425="famous names",4,IF(J425="famous voices",4,IF(J425="television programs",4,IF(J425="race horses",4,IF(J425="new vocabulary",4,IF(J425="sentences",5,IF(J425="concepts",5,IF(J425="ad slides",5,IF(J425="scenes",5,IF(J425="famous scenes",5,IF(J425="poems",6,IF(J425="walk",6,IF(J425="faces and events",6,IF(J425="events and names",6,IF(J425="flashbulb",7,IF(J425="stories",7,IF(J425="course material",7,IF(J425="autobiographical",7,IF(J425="novels",7,IF(J425="public events",7,"99"))))))))))))))))))))))))))))))))))))))))))))))</f>
        <v>7</v>
      </c>
      <c r="M425" s="69">
        <v>1</v>
      </c>
      <c r="N425" s="69">
        <v>4</v>
      </c>
      <c r="O425" s="69">
        <v>0</v>
      </c>
      <c r="P425" s="69"/>
      <c r="Q425" s="69" t="s">
        <v>174</v>
      </c>
      <c r="R425" s="69">
        <f>IF(Q425="Free Recall",1,IF(Q425="Cued Recall",2,IF(Q425="Recognition",3,IF(Q425="Multiple Choice",4,IF(Q425="Savings",5,IF(Q425="Stem Completion",6,IF(Q425="Fragment Completion",7,IF(Q425="anagram solution",8,IF(Q425="Matching",9,IF(Q425="Problem Solving",10,"99"))))))))))</f>
        <v>1</v>
      </c>
      <c r="S425" s="69" t="s">
        <v>49</v>
      </c>
      <c r="T425" s="69" t="s">
        <v>581</v>
      </c>
      <c r="U425" s="69">
        <f>IF(T425="within",1,0)</f>
        <v>1</v>
      </c>
      <c r="V425" s="69">
        <v>48</v>
      </c>
      <c r="W425" s="69">
        <f>F425*V425</f>
        <v>2832</v>
      </c>
      <c r="X425" s="69">
        <v>3</v>
      </c>
      <c r="Y425" s="87">
        <f>AV424</f>
        <v>30</v>
      </c>
      <c r="Z425" s="92" t="s">
        <v>140</v>
      </c>
      <c r="AA425" s="69">
        <f>60*60*24*7*4</f>
        <v>2419200</v>
      </c>
      <c r="AB425" s="69" t="str">
        <f>IF(AA425&lt;60,"1",IF(AA425&lt;=43200,"2",IF(AA425&lt;=777600,"3","4")))</f>
        <v>4</v>
      </c>
      <c r="AC425" s="72">
        <f>AVERAGE(AV424:DA424)</f>
        <v>807010</v>
      </c>
      <c r="AD425" s="69" t="str">
        <f>IF(AC425&lt;60,"1",IF(AC425&lt;=43200,"2",IF(AC425&lt;=777600,"3","4")))</f>
        <v>4</v>
      </c>
      <c r="AE425" s="87">
        <f>AA425-Y425</f>
        <v>2419170</v>
      </c>
      <c r="AF425" s="88">
        <f>AV425</f>
        <v>0.6958333333333333</v>
      </c>
      <c r="AG425" s="72">
        <f>((AW425-AV425)+(AX425-AW425))/2</f>
        <v>-0.109375</v>
      </c>
      <c r="AH425" s="4"/>
      <c r="AI425" s="72">
        <f>RSQ(AV425:AX425,AV424:AX424)</f>
        <v>0.85038105707002531</v>
      </c>
      <c r="AJ425" s="110">
        <f>SLOPE(AV425:AX425,AV424:AX424)</f>
        <v>-7.2815439361511529E-8</v>
      </c>
      <c r="AK425" s="72">
        <f>INTERCEPT(AV425:AX425,AV424:AX424)</f>
        <v>0.6532072321635779</v>
      </c>
      <c r="AL425" s="72">
        <f>INDEX(LINEST(LN(AV425:AX425),LN(AV424:AX424),TRUE,TRUE),3,1)</f>
        <v>0.99970118030169108</v>
      </c>
      <c r="AM425" s="72">
        <f>INDEX(LINEST(LN(AV425:AX425),LN(AV424:AX424)),1)</f>
        <v>-3.3498580021113722E-2</v>
      </c>
      <c r="AN425" s="72">
        <f>EXP(INDEX(LINEST(LN(AV425:AX425),LN(AV424:AX424)),1,2))</f>
        <v>0.78168676000509674</v>
      </c>
      <c r="AO425" s="89">
        <f>INDEX(LINEST((AV425:AX425),LN(AV424:AX424),TRUE,TRUE),3,1)</f>
        <v>0.99899124081089652</v>
      </c>
      <c r="AP425" s="89">
        <f>INDEX(LINEST((AV425:AX425),LN(AV424:AX424)),1)</f>
        <v>-1.9264996827098726E-2</v>
      </c>
      <c r="AQ425" s="90">
        <f>INDEX(LINEST(LN(AV425:AX425),SQRT(AV424:AX424),TRUE,TRUE),3,1)</f>
        <v>0.89630821059967047</v>
      </c>
      <c r="AR425" s="117">
        <f>INDEX(LINEST(LN(AV425:AX425),SQRT((AV424:AX424))),1)</f>
        <v>-2.0514708448630782E-4</v>
      </c>
      <c r="AS425" s="91">
        <f>INDEX(LINEST(1/(AV425:AX425),1/(SQRT(AV424:AX424)),TRUE,TRUE),3,1)</f>
        <v>0.65394189072153819</v>
      </c>
      <c r="AT425" s="91">
        <f>INDEX(LINEST(1/(AV425:AX425),1/SQRT(AV424:AX424)),1)</f>
        <v>-2.7561335410504557</v>
      </c>
      <c r="AU425" s="3"/>
      <c r="AV425" s="73">
        <f>33.4/48</f>
        <v>0.6958333333333333</v>
      </c>
      <c r="AW425" s="73">
        <f>29.3/48</f>
        <v>0.61041666666666672</v>
      </c>
      <c r="AX425" s="73">
        <f>22.9/48</f>
        <v>0.4770833333333333</v>
      </c>
      <c r="AY425" s="53"/>
      <c r="AZ425" s="53"/>
      <c r="BA425" s="53"/>
      <c r="BB425" s="53"/>
      <c r="BC425" s="53"/>
      <c r="BD425" s="53"/>
      <c r="BE425" s="53"/>
      <c r="BF425" s="53"/>
      <c r="BG425" s="53"/>
      <c r="BH425" s="53"/>
      <c r="BI425" s="53"/>
      <c r="BJ425" s="53"/>
      <c r="BK425" s="53"/>
      <c r="BL425" s="53"/>
      <c r="BM425" s="53"/>
      <c r="BN425" s="53"/>
      <c r="BO425" s="53"/>
      <c r="BP425" s="53"/>
      <c r="BQ425" s="53"/>
      <c r="BR425" s="53"/>
      <c r="BS425" s="53"/>
      <c r="BT425" s="53"/>
      <c r="BU425" s="53"/>
      <c r="BV425" s="53"/>
      <c r="BW425" s="53"/>
      <c r="BX425" s="53"/>
      <c r="BY425" s="53"/>
      <c r="BZ425" s="53"/>
      <c r="CA425" s="53"/>
      <c r="CB425" s="53"/>
      <c r="CC425" s="53"/>
      <c r="CD425" s="53"/>
      <c r="CE425" s="53"/>
      <c r="CF425" s="53"/>
      <c r="CG425" s="53"/>
      <c r="CH425" s="53"/>
      <c r="CI425" s="53"/>
      <c r="CJ425" s="53"/>
      <c r="CK425" s="53"/>
      <c r="CL425" s="53"/>
      <c r="CM425" s="53"/>
      <c r="CN425" s="53"/>
      <c r="CO425" s="53"/>
      <c r="CP425" s="53"/>
      <c r="CQ425" s="53"/>
      <c r="CR425" s="1"/>
      <c r="CS425" s="1"/>
      <c r="CT425" s="1"/>
      <c r="CU425" s="1"/>
    </row>
    <row r="426" spans="1:99" s="13" customFormat="1" ht="12" customHeight="1" x14ac:dyDescent="0.2">
      <c r="A426" s="68">
        <v>43978</v>
      </c>
      <c r="B426" s="70"/>
      <c r="C426" s="70"/>
      <c r="D426" s="69"/>
      <c r="E426" s="87"/>
      <c r="F426" s="69"/>
      <c r="G426" s="69"/>
      <c r="H426" s="69"/>
      <c r="I426" s="69"/>
      <c r="J426" s="69"/>
      <c r="K426" s="69"/>
      <c r="L426" s="69"/>
      <c r="M426" s="69"/>
      <c r="N426" s="69"/>
      <c r="O426" s="69"/>
      <c r="P426" s="69"/>
      <c r="Q426" s="69"/>
      <c r="R426" s="69"/>
      <c r="S426" s="69"/>
      <c r="T426" s="69"/>
      <c r="U426" s="69"/>
      <c r="V426" s="69"/>
      <c r="W426" s="69"/>
      <c r="X426" s="69"/>
      <c r="Y426" s="87"/>
      <c r="Z426" s="69"/>
      <c r="AA426" s="69"/>
      <c r="AB426" s="69"/>
      <c r="AC426" s="72"/>
      <c r="AD426" s="69"/>
      <c r="AE426" s="87"/>
      <c r="AF426" s="88"/>
      <c r="AG426" s="72"/>
      <c r="AH426" s="4"/>
      <c r="AI426" s="72"/>
      <c r="AJ426" s="110"/>
      <c r="AK426" s="72"/>
      <c r="AL426" s="72"/>
      <c r="AM426" s="72"/>
      <c r="AN426" s="72"/>
      <c r="AO426" s="89"/>
      <c r="AP426" s="89"/>
      <c r="AQ426" s="90"/>
      <c r="AR426" s="117"/>
      <c r="AS426" s="91"/>
      <c r="AT426" s="91"/>
      <c r="AU426" s="3"/>
      <c r="AV426" s="71">
        <v>30</v>
      </c>
      <c r="AW426" s="71">
        <f>60*30</f>
        <v>1800</v>
      </c>
      <c r="AX426" s="71">
        <f>60*60*24*7*4</f>
        <v>2419200</v>
      </c>
      <c r="AY426" s="53"/>
      <c r="AZ426" s="53"/>
      <c r="BA426" s="53"/>
      <c r="BB426" s="53"/>
      <c r="BC426" s="53"/>
      <c r="BD426" s="53"/>
      <c r="BE426" s="53"/>
      <c r="BF426" s="53"/>
      <c r="BG426" s="53"/>
      <c r="BH426" s="53"/>
      <c r="BI426" s="53"/>
      <c r="BJ426" s="53"/>
      <c r="BK426" s="53"/>
      <c r="BL426" s="53"/>
      <c r="BM426" s="53"/>
      <c r="BN426" s="53"/>
      <c r="BO426" s="53"/>
      <c r="BP426" s="53"/>
      <c r="BQ426" s="53"/>
      <c r="BR426" s="53"/>
      <c r="BS426" s="53"/>
      <c r="BT426" s="53"/>
      <c r="BU426" s="53"/>
      <c r="BV426" s="53"/>
      <c r="BW426" s="53"/>
      <c r="BX426" s="53"/>
      <c r="BY426" s="53"/>
      <c r="BZ426" s="53"/>
      <c r="CA426" s="53"/>
      <c r="CB426" s="53"/>
      <c r="CC426" s="53"/>
      <c r="CD426" s="53"/>
      <c r="CE426" s="53"/>
      <c r="CF426" s="53"/>
      <c r="CG426" s="53"/>
      <c r="CH426" s="53"/>
      <c r="CI426" s="53"/>
      <c r="CJ426" s="53"/>
      <c r="CK426" s="53"/>
      <c r="CL426" s="53"/>
      <c r="CM426" s="53"/>
      <c r="CN426" s="53"/>
      <c r="CO426" s="53"/>
      <c r="CP426" s="53"/>
      <c r="CQ426" s="53"/>
      <c r="CR426" s="1"/>
      <c r="CS426" s="1"/>
      <c r="CT426" s="1"/>
      <c r="CU426" s="1"/>
    </row>
    <row r="427" spans="1:99" s="13" customFormat="1" ht="12" customHeight="1" x14ac:dyDescent="0.2">
      <c r="A427" s="68">
        <v>43978</v>
      </c>
      <c r="B427" s="70" t="s">
        <v>975</v>
      </c>
      <c r="C427" s="70" t="s">
        <v>976</v>
      </c>
      <c r="D427" s="69">
        <v>2006</v>
      </c>
      <c r="E427" s="87">
        <v>1</v>
      </c>
      <c r="F427" s="69">
        <v>59</v>
      </c>
      <c r="G427" s="69">
        <v>59</v>
      </c>
      <c r="H427" s="69" t="s">
        <v>38</v>
      </c>
      <c r="I427" s="69" t="s">
        <v>330</v>
      </c>
      <c r="J427" s="69" t="s">
        <v>317</v>
      </c>
      <c r="K427" s="69">
        <f>IF(J427="syllables",1,IF(J427="trigrams",2,IF(J427="strings",3,IF(J427="visual array",4,IF(J427="characters",5,IF(J427="letters",6,IF(J427="free forms",7,IF(J427="odors",8,IF(J427="words",9,IF(J427="pictures",10,IF(J427="object pictures",11,IF(J427="faces",12,IF(J427="names",13,IF(J427="idioms",14,IF(J427="grades",15,IF(J427="syllable-digit pairs",16,IF(J427="trigram-word pairs",17,IF(J427="word-digit pairs",18,IF(J427="English-Swahili pairs",19,IF(J427="spatial position",20,IF(J427="word pairs",21,IF(J427="word triads",22,IF(J427="generated words",23,IF(J427="word definition pairs",24,IF(J427="math problems",25,IF(J427="famous faces",26,IF(J427="famous names",27,IF(J427="famous voices",28,IF(J427="television programs",29,IF(J427="race horses",30,IF(J427="new vocabulary",31,IF(J427="sentences",32,IF(J427="concepts",33,IF(J427="ad slides",34,IF(J427="scenes",35,IF(J427="famous scenes",36,IF(J427="poems",37,IF(J427="walk",38,IF(J427="faces and events",39,IF(J427="events and names",40,IF(J427="flashbulb",41,IF(J427="stories",42,IF(J427="course material",43,IF(J427="autobiographical",44,IF(J427="novels",45,IF(J427="public events",46,"99"))))))))))))))))))))))))))))))))))))))))))))))</f>
        <v>7</v>
      </c>
      <c r="L427" s="69">
        <f>IF(J427="syllables",1,IF(J427="trigrams",1,IF(J427="strings",1,IF(J427="visual array",1,IF(J427="characters",1,IF(J427="letters",1,IF(J427="free forms",1,IF(J427="odors",2,IF(J427="words",2,IF(J427="pictures",2,IF(J427="object pictures",2,IF(J427="faces",2,IF(J427="names",2,IF(J427="idioms","2",IF(J427="grades",2,IF(J427="syllable-digit pairs",3,IF(J427="trigram-word pairs",3,IF(J427="word-digit pairs",3,IF(J427="English-Swahili pairs",3,IF(J427="spatial position",3,IF(J427="word pairs",4,IF(J427="word triads",4,IF(J427="generated words",4,IF(J427="word definition pairs",4,IF(J427="math problems",4,IF(J427="famous faces",4,IF(J427="famous names",4,IF(J427="famous voices",4,IF(J427="television programs",4,IF(J427="race horses",4,IF(J427="new vocabulary",4,IF(J427="sentences",5,IF(J427="concepts",5,IF(J427="ad slides",5,IF(J427="scenes",5,IF(J427="famous scenes",5,IF(J427="poems",6,IF(J427="walk",6,IF(J427="faces and events",6,IF(J427="events and names",6,IF(J427="flashbulb",7,IF(J427="stories",7,IF(J427="course material",7,IF(J427="autobiographical",7,IF(J427="novels",7,IF(J427="public events",7,"99"))))))))))))))))))))))))))))))))))))))))))))))</f>
        <v>1</v>
      </c>
      <c r="M427" s="69">
        <v>1</v>
      </c>
      <c r="N427" s="69">
        <v>2</v>
      </c>
      <c r="O427" s="69">
        <v>0</v>
      </c>
      <c r="P427" s="69"/>
      <c r="Q427" s="69" t="s">
        <v>174</v>
      </c>
      <c r="R427" s="69">
        <f>IF(Q427="Free Recall",1,IF(Q427="Cued Recall",2,IF(Q427="Recognition",3,IF(Q427="Multiple Choice",4,IF(Q427="Savings",5,IF(Q427="Stem Completion",6,IF(Q427="Fragment Completion",7,IF(Q427="anagram solution",8,IF(Q427="Matching",9,IF(Q427="Problem Solving",10,"99"))))))))))</f>
        <v>1</v>
      </c>
      <c r="S427" s="69" t="s">
        <v>49</v>
      </c>
      <c r="T427" s="69" t="s">
        <v>581</v>
      </c>
      <c r="U427" s="69">
        <f>IF(T427="within",1,0)</f>
        <v>1</v>
      </c>
      <c r="V427" s="69">
        <v>36</v>
      </c>
      <c r="W427" s="69">
        <f>F427*V427</f>
        <v>2124</v>
      </c>
      <c r="X427" s="69">
        <v>3</v>
      </c>
      <c r="Y427" s="87">
        <f>AV426</f>
        <v>30</v>
      </c>
      <c r="Z427" s="92" t="s">
        <v>140</v>
      </c>
      <c r="AA427" s="69">
        <f>60*60*24*7*4</f>
        <v>2419200</v>
      </c>
      <c r="AB427" s="69" t="str">
        <f>IF(AA427&lt;60,"1",IF(AA427&lt;=43200,"2",IF(AA427&lt;=777600,"3","4")))</f>
        <v>4</v>
      </c>
      <c r="AC427" s="72">
        <f>AVERAGE(AV426:DA426)</f>
        <v>807010</v>
      </c>
      <c r="AD427" s="69" t="str">
        <f>IF(AC427&lt;60,"1",IF(AC427&lt;=43200,"2",IF(AC427&lt;=777600,"3","4")))</f>
        <v>4</v>
      </c>
      <c r="AE427" s="87">
        <f>AA427-Y427</f>
        <v>2419170</v>
      </c>
      <c r="AF427" s="88">
        <f>AV427</f>
        <v>0.99722222222222223</v>
      </c>
      <c r="AG427" s="72">
        <f>((AW427-AV427)+(AX427-AW427))/2</f>
        <v>-0.23333333333333334</v>
      </c>
      <c r="AH427" s="4"/>
      <c r="AI427" s="72">
        <f>RSQ(AV427:AX427,AV426:AX426)</f>
        <v>0.7015975523786635</v>
      </c>
      <c r="AJ427" s="110">
        <f>SLOPE(AV427:AX427,AV426:AX426)</f>
        <v>-1.4019399617493716E-7</v>
      </c>
      <c r="AK427" s="72">
        <f>INTERCEPT(AV427:AX427,AV426:AX426)</f>
        <v>0.86961943833461741</v>
      </c>
      <c r="AL427" s="72">
        <f>INDEX(LINEST(LN(AV427:AX427),LN(AV426:AX426),TRUE,TRUE),3,1)</f>
        <v>0.98519223757164154</v>
      </c>
      <c r="AM427" s="72">
        <f>INDEX(LINEST(LN(AV427:AX427),LN(AV426:AX426)),1)</f>
        <v>-5.4788942536359318E-2</v>
      </c>
      <c r="AN427" s="72">
        <f>EXP(INDEX(LINEST(LN(AV427:AX427),LN(AV426:AX426)),1,2))</f>
        <v>1.168394983187216</v>
      </c>
      <c r="AO427" s="89">
        <f>INDEX(LINEST((AV427:AX427),LN(AV426:AX426),TRUE,TRUE),3,1)</f>
        <v>0.95552097488287169</v>
      </c>
      <c r="AP427" s="89">
        <f>INDEX(LINEST((AV427:AX427),LN(AV426:AX426)),1)</f>
        <v>-3.9937135434539986E-2</v>
      </c>
      <c r="AQ427" s="90">
        <f>INDEX(LINEST(LN(AV427:AX427),SQRT(AV426:AX426),TRUE,TRUE),3,1)</f>
        <v>0.79720621412961779</v>
      </c>
      <c r="AR427" s="117">
        <f>INDEX(LINEST(LN(AV427:AX427),SQRT((AV426:AX426))),1)</f>
        <v>-3.1875949607667719E-4</v>
      </c>
      <c r="AS427" s="91">
        <f>INDEX(LINEST(1/(AV427:AX427),1/(SQRT(AV426:AX426)),TRUE,TRUE),3,1)</f>
        <v>0.74268601383558897</v>
      </c>
      <c r="AT427" s="91">
        <f>INDEX(LINEST(1/(AV427:AX427),1/SQRT(AV426:AX426)),1)</f>
        <v>-3.8655926669712311</v>
      </c>
      <c r="AU427" s="3"/>
      <c r="AV427" s="73">
        <f>35.9/36</f>
        <v>0.99722222222222223</v>
      </c>
      <c r="AW427" s="73">
        <f>26.7/36</f>
        <v>0.7416666666666667</v>
      </c>
      <c r="AX427" s="73">
        <f>19.1/36</f>
        <v>0.53055555555555556</v>
      </c>
      <c r="AY427" s="53"/>
      <c r="AZ427" s="53"/>
      <c r="BA427" s="53"/>
      <c r="BB427" s="53"/>
      <c r="BC427" s="53"/>
      <c r="BD427" s="53"/>
      <c r="BE427" s="53"/>
      <c r="BF427" s="53"/>
      <c r="BG427" s="53"/>
      <c r="BH427" s="53"/>
      <c r="BI427" s="53"/>
      <c r="BJ427" s="53"/>
      <c r="BK427" s="53"/>
      <c r="BL427" s="53"/>
      <c r="BM427" s="53"/>
      <c r="BN427" s="53"/>
      <c r="BO427" s="53"/>
      <c r="BP427" s="53"/>
      <c r="BQ427" s="53"/>
      <c r="BR427" s="53"/>
      <c r="BS427" s="53"/>
      <c r="BT427" s="53"/>
      <c r="BU427" s="53"/>
      <c r="BV427" s="53"/>
      <c r="BW427" s="53"/>
      <c r="BX427" s="53"/>
      <c r="BY427" s="53"/>
      <c r="BZ427" s="53"/>
      <c r="CA427" s="53"/>
      <c r="CB427" s="53"/>
      <c r="CC427" s="53"/>
      <c r="CD427" s="53"/>
      <c r="CE427" s="53"/>
      <c r="CF427" s="53"/>
      <c r="CG427" s="53"/>
      <c r="CH427" s="53"/>
      <c r="CI427" s="53"/>
      <c r="CJ427" s="53"/>
      <c r="CK427" s="53"/>
      <c r="CL427" s="53"/>
      <c r="CM427" s="53"/>
      <c r="CN427" s="53"/>
      <c r="CO427" s="53"/>
      <c r="CP427" s="53"/>
      <c r="CQ427" s="53"/>
      <c r="CR427" s="1"/>
      <c r="CS427" s="1"/>
      <c r="CT427" s="1"/>
      <c r="CU427" s="1"/>
    </row>
    <row r="428" spans="1:99" s="13" customFormat="1" ht="12" customHeight="1" x14ac:dyDescent="0.2">
      <c r="A428" s="68">
        <v>43978</v>
      </c>
      <c r="B428" s="70"/>
      <c r="C428" s="70"/>
      <c r="D428" s="69"/>
      <c r="E428" s="87"/>
      <c r="F428" s="69"/>
      <c r="G428" s="69"/>
      <c r="H428" s="69"/>
      <c r="I428" s="69"/>
      <c r="J428" s="69"/>
      <c r="K428" s="69"/>
      <c r="L428" s="69"/>
      <c r="M428" s="69"/>
      <c r="N428" s="69"/>
      <c r="O428" s="69"/>
      <c r="P428" s="69"/>
      <c r="Q428" s="69"/>
      <c r="R428" s="69"/>
      <c r="S428" s="69"/>
      <c r="T428" s="69"/>
      <c r="U428" s="69"/>
      <c r="V428" s="69"/>
      <c r="W428" s="69"/>
      <c r="X428" s="69"/>
      <c r="Y428" s="87"/>
      <c r="Z428" s="92"/>
      <c r="AA428" s="69"/>
      <c r="AB428" s="69"/>
      <c r="AC428" s="72"/>
      <c r="AD428" s="69"/>
      <c r="AE428" s="87"/>
      <c r="AF428" s="88"/>
      <c r="AG428" s="72"/>
      <c r="AH428" s="4"/>
      <c r="AI428" s="72"/>
      <c r="AJ428" s="110"/>
      <c r="AK428" s="72"/>
      <c r="AL428" s="72"/>
      <c r="AM428" s="72"/>
      <c r="AN428" s="72"/>
      <c r="AO428" s="89"/>
      <c r="AP428" s="89"/>
      <c r="AQ428" s="90"/>
      <c r="AR428" s="117"/>
      <c r="AS428" s="91"/>
      <c r="AT428" s="91"/>
      <c r="AU428" s="3"/>
      <c r="AV428" s="71">
        <v>30</v>
      </c>
      <c r="AW428" s="71">
        <f>60*30</f>
        <v>1800</v>
      </c>
      <c r="AX428" s="71">
        <f>60*60*24*7*6</f>
        <v>3628800</v>
      </c>
      <c r="AY428" s="53"/>
      <c r="AZ428" s="11" t="s">
        <v>947</v>
      </c>
      <c r="BA428" s="53"/>
      <c r="BB428" s="53"/>
      <c r="BC428" s="53"/>
      <c r="BD428" s="53"/>
      <c r="BE428" s="53"/>
      <c r="BF428" s="53"/>
      <c r="BG428" s="53"/>
      <c r="BH428" s="53"/>
      <c r="BI428" s="53"/>
      <c r="BJ428" s="53"/>
      <c r="BK428" s="53"/>
      <c r="BL428" s="53"/>
      <c r="BM428" s="53"/>
      <c r="BN428" s="53"/>
      <c r="BO428" s="53"/>
      <c r="BP428" s="53"/>
      <c r="BQ428" s="53"/>
      <c r="BR428" s="53"/>
      <c r="BS428" s="53"/>
      <c r="BT428" s="53"/>
      <c r="BU428" s="53"/>
      <c r="BV428" s="53"/>
      <c r="BW428" s="53"/>
      <c r="BX428" s="53"/>
      <c r="BY428" s="53"/>
      <c r="BZ428" s="53"/>
      <c r="CA428" s="53"/>
      <c r="CB428" s="53"/>
      <c r="CC428" s="53"/>
      <c r="CD428" s="53"/>
      <c r="CE428" s="53"/>
      <c r="CF428" s="53"/>
      <c r="CG428" s="53"/>
      <c r="CH428" s="53"/>
      <c r="CI428" s="53"/>
      <c r="CJ428" s="53"/>
      <c r="CK428" s="53"/>
      <c r="CL428" s="53"/>
      <c r="CM428" s="53"/>
      <c r="CN428" s="53"/>
      <c r="CO428" s="53"/>
      <c r="CP428" s="53"/>
      <c r="CQ428" s="53"/>
      <c r="CR428" s="1"/>
      <c r="CS428" s="1"/>
      <c r="CT428" s="1"/>
      <c r="CU428" s="1"/>
    </row>
    <row r="429" spans="1:99" s="13" customFormat="1" ht="12" customHeight="1" x14ac:dyDescent="0.2">
      <c r="A429" s="68">
        <v>43978</v>
      </c>
      <c r="B429" s="70" t="s">
        <v>977</v>
      </c>
      <c r="C429" s="70" t="s">
        <v>360</v>
      </c>
      <c r="D429" s="69">
        <v>2005</v>
      </c>
      <c r="E429" s="87">
        <v>1</v>
      </c>
      <c r="F429" s="69">
        <v>7</v>
      </c>
      <c r="G429" s="69">
        <v>7</v>
      </c>
      <c r="H429" s="69" t="s">
        <v>38</v>
      </c>
      <c r="I429" s="69" t="s">
        <v>330</v>
      </c>
      <c r="J429" s="69" t="s">
        <v>677</v>
      </c>
      <c r="K429" s="69">
        <f>IF(J429="syllables",1,IF(J429="trigrams",2,IF(J429="strings",3,IF(J429="visual array",4,IF(J429="characters",5,IF(J429="letters",6,IF(J429="free forms",7,IF(J429="odors",8,IF(J429="words",9,IF(J429="pictures",10,IF(J429="object pictures",11,IF(J429="faces",12,IF(J429="names",13,IF(J429="idioms",14,IF(J429="grades",15,IF(J429="syllable-digit pairs",16,IF(J429="trigram-word pairs",17,IF(J429="word-digit pairs",18,IF(J429="English-Swahili pairs",19,IF(J429="spatial position",20,IF(J429="word pairs",21,IF(J429="word triads",22,IF(J429="generated words",23,IF(J429="word definition pairs",24,IF(J429="math problems",25,IF(J429="famous faces",26,IF(J429="famous names",27,IF(J429="famous voices",28,IF(J429="television programs",29,IF(J429="race horses",30,IF(J429="new vocabulary",31,IF(J429="sentences",32,IF(J429="concepts",33,IF(J429="ad slides",34,IF(J429="scenes",35,IF(J429="famous scenes",36,IF(J429="poems",37,IF(J429="walk",38,IF(J429="faces and events",39,IF(J429="events and names",40,IF(J429="flashbulb",41,IF(J429="stories",42,IF(J429="course material",43,IF(J429="autobiographical",44,IF(J429="novels",45,IF(J429="public events",46,"99"))))))))))))))))))))))))))))))))))))))))))))))</f>
        <v>42</v>
      </c>
      <c r="L429" s="69">
        <f>IF(J429="syllables",1,IF(J429="trigrams",1,IF(J429="strings",1,IF(J429="visual array",1,IF(J429="characters",1,IF(J429="letters",1,IF(J429="free forms",1,IF(J429="odors",2,IF(J429="words",2,IF(J429="pictures",2,IF(J429="object pictures",2,IF(J429="faces",2,IF(J429="names",2,IF(J429="idioms","2",IF(J429="grades",2,IF(J429="syllable-digit pairs",3,IF(J429="trigram-word pairs",3,IF(J429="word-digit pairs",3,IF(J429="English-Swahili pairs",3,IF(J429="spatial position",3,IF(J429="word pairs",4,IF(J429="word triads",4,IF(J429="generated words",4,IF(J429="word definition pairs",4,IF(J429="math problems",4,IF(J429="famous faces",4,IF(J429="famous names",4,IF(J429="famous voices",4,IF(J429="television programs",4,IF(J429="race horses",4,IF(J429="new vocabulary",4,IF(J429="sentences",5,IF(J429="concepts",5,IF(J429="ad slides",5,IF(J429="scenes",5,IF(J429="famous scenes",5,IF(J429="poems",6,IF(J429="walk",6,IF(J429="faces and events",6,IF(J429="events and names",6,IF(J429="flashbulb",7,IF(J429="stories",7,IF(J429="course material",7,IF(J429="autobiographical",7,IF(J429="novels",7,IF(J429="public events",7,"99"))))))))))))))))))))))))))))))))))))))))))))))</f>
        <v>7</v>
      </c>
      <c r="M429" s="69">
        <v>0</v>
      </c>
      <c r="N429" s="69">
        <v>3</v>
      </c>
      <c r="O429" s="69">
        <v>0</v>
      </c>
      <c r="P429" s="69"/>
      <c r="Q429" s="69" t="s">
        <v>174</v>
      </c>
      <c r="R429" s="69">
        <f>IF(Q429="Free Recall",1,IF(Q429="Cued Recall",2,IF(Q429="Recognition",3,IF(Q429="Multiple Choice",4,IF(Q429="Savings",5,IF(Q429="Stem Completion",6,IF(Q429="Fragment Completion",7,IF(Q429="anagram solution",8,IF(Q429="Matching",9,IF(Q429="Problem Solving",10,"99"))))))))))</f>
        <v>1</v>
      </c>
      <c r="S429" s="69" t="s">
        <v>49</v>
      </c>
      <c r="T429" s="69" t="s">
        <v>581</v>
      </c>
      <c r="U429" s="69">
        <f>IF(T429="within",1,0)</f>
        <v>1</v>
      </c>
      <c r="V429" s="69">
        <v>150</v>
      </c>
      <c r="W429" s="69">
        <f>F429*V429</f>
        <v>1050</v>
      </c>
      <c r="X429" s="69">
        <v>3</v>
      </c>
      <c r="Y429" s="87">
        <f>AV428</f>
        <v>30</v>
      </c>
      <c r="Z429" s="92" t="s">
        <v>160</v>
      </c>
      <c r="AA429" s="69">
        <f>60*60*24*7*6</f>
        <v>3628800</v>
      </c>
      <c r="AB429" s="69" t="str">
        <f>IF(AA429&lt;60,"1",IF(AA429&lt;=43200,"2",IF(AA429&lt;=777600,"3","4")))</f>
        <v>4</v>
      </c>
      <c r="AC429" s="72">
        <f>AVERAGE(AV428:DA428)</f>
        <v>1210210</v>
      </c>
      <c r="AD429" s="69" t="str">
        <f>IF(AC429&lt;60,"1",IF(AC429&lt;=43200,"2",IF(AC429&lt;=777600,"3","4")))</f>
        <v>4</v>
      </c>
      <c r="AE429" s="87">
        <f>AA429-Y429</f>
        <v>3628770</v>
      </c>
      <c r="AF429" s="88">
        <f>AV429</f>
        <v>0.52</v>
      </c>
      <c r="AG429" s="72">
        <f>((AW429-AV429)+(AX429-AW429))/2</f>
        <v>-0.14200000000000002</v>
      </c>
      <c r="AH429" s="4"/>
      <c r="AI429" s="72">
        <f>RSQ(AV429:AX429,AV428:AX428)</f>
        <v>0.98318263243973891</v>
      </c>
      <c r="AJ429" s="110">
        <f>SLOPE(AV429:AX429,AV428:AX428)</f>
        <v>-7.2773693072887726E-8</v>
      </c>
      <c r="AK429" s="72">
        <f>INTERCEPT(AV429:AX429,AV428:AX428)</f>
        <v>0.50007145109373941</v>
      </c>
      <c r="AL429" s="72">
        <f>INDEX(LINEST(LN(AV429:AX429),LN(AV428:AX428),TRUE,TRUE),3,1)</f>
        <v>0.93402970875967029</v>
      </c>
      <c r="AM429" s="72">
        <f>INDEX(LINEST(LN(AV429:AX429),LN(AV428:AX428)),1)</f>
        <v>-7.0763197295137165E-2</v>
      </c>
      <c r="AN429" s="72">
        <f>EXP(INDEX(LINEST(LN(AV429:AX429),LN(AV428:AX428)),1,2))</f>
        <v>0.71846988246412591</v>
      </c>
      <c r="AO429" s="89">
        <f>INDEX(LINEST((AV429:AX429),LN(AV428:AX428),TRUE,TRUE),3,1)</f>
        <v>0.95175457548661024</v>
      </c>
      <c r="AP429" s="89">
        <f>INDEX(LINEST((AV429:AX429),LN(AV428:AX428)),1)</f>
        <v>-2.5252598903831931E-2</v>
      </c>
      <c r="AQ429" s="90">
        <f>INDEX(LINEST(LN(AV429:AX429),SQRT(AV428:AX428),TRUE,TRUE),3,1)</f>
        <v>0.99436214597385386</v>
      </c>
      <c r="AR429" s="117">
        <f>INDEX(LINEST(LN(AV429:AX429),SQRT((AV428:AX428))),1)</f>
        <v>-3.9922483266062773E-4</v>
      </c>
      <c r="AS429" s="91">
        <f>INDEX(LINEST(1/(AV429:AX429),1/(SQRT(AV428:AX428)),TRUE,TRUE),3,1)</f>
        <v>0.41713342774098361</v>
      </c>
      <c r="AT429" s="91">
        <f>INDEX(LINEST(1/(AV429:AX429),1/SQRT(AV428:AX428)),1)</f>
        <v>-8.4202868328174016</v>
      </c>
      <c r="AU429" s="3"/>
      <c r="AV429" s="73">
        <f>26/50</f>
        <v>0.52</v>
      </c>
      <c r="AW429" s="73">
        <f>24/50</f>
        <v>0.48</v>
      </c>
      <c r="AX429" s="73">
        <f>11.8/50</f>
        <v>0.23600000000000002</v>
      </c>
      <c r="AY429" s="53"/>
      <c r="AZ429" s="53"/>
      <c r="BA429" s="53"/>
      <c r="BB429" s="53"/>
      <c r="BC429" s="53"/>
      <c r="BD429" s="53"/>
      <c r="BE429" s="53"/>
      <c r="BF429" s="53"/>
      <c r="BG429" s="53"/>
      <c r="BH429" s="53"/>
      <c r="BI429" s="53"/>
      <c r="BJ429" s="53"/>
      <c r="BK429" s="53"/>
      <c r="BL429" s="53"/>
      <c r="BM429" s="53"/>
      <c r="BN429" s="53"/>
      <c r="BO429" s="53"/>
      <c r="BP429" s="53"/>
      <c r="BQ429" s="53"/>
      <c r="BR429" s="53"/>
      <c r="BS429" s="53"/>
      <c r="BT429" s="53"/>
      <c r="BU429" s="53"/>
      <c r="BV429" s="53"/>
      <c r="BW429" s="53"/>
      <c r="BX429" s="53"/>
      <c r="BY429" s="53"/>
      <c r="BZ429" s="53"/>
      <c r="CA429" s="53"/>
      <c r="CB429" s="53"/>
      <c r="CC429" s="53"/>
      <c r="CD429" s="53"/>
      <c r="CE429" s="53"/>
      <c r="CF429" s="53"/>
      <c r="CG429" s="53"/>
      <c r="CH429" s="53"/>
      <c r="CI429" s="53"/>
      <c r="CJ429" s="53"/>
      <c r="CK429" s="53"/>
      <c r="CL429" s="53"/>
      <c r="CM429" s="53"/>
      <c r="CN429" s="53"/>
      <c r="CO429" s="53"/>
      <c r="CP429" s="53"/>
      <c r="CQ429" s="53"/>
      <c r="CR429" s="1"/>
      <c r="CS429" s="1"/>
      <c r="CT429" s="1"/>
      <c r="CU429" s="1"/>
    </row>
    <row r="430" spans="1:99" s="13" customFormat="1" ht="12" customHeight="1" x14ac:dyDescent="0.2">
      <c r="A430" s="68">
        <v>43978</v>
      </c>
      <c r="B430" s="70"/>
      <c r="C430" s="70"/>
      <c r="D430" s="69"/>
      <c r="E430" s="87"/>
      <c r="F430" s="69"/>
      <c r="G430" s="69"/>
      <c r="H430" s="69"/>
      <c r="I430" s="69"/>
      <c r="J430" s="69"/>
      <c r="K430" s="69"/>
      <c r="L430" s="69"/>
      <c r="M430" s="69"/>
      <c r="N430" s="69"/>
      <c r="O430" s="69"/>
      <c r="P430" s="69"/>
      <c r="Q430" s="69"/>
      <c r="R430" s="69"/>
      <c r="S430" s="69"/>
      <c r="T430" s="69"/>
      <c r="U430" s="69"/>
      <c r="V430" s="69"/>
      <c r="W430" s="69"/>
      <c r="X430" s="69"/>
      <c r="Y430" s="87"/>
      <c r="Z430" s="92"/>
      <c r="AA430" s="69"/>
      <c r="AB430" s="69"/>
      <c r="AC430" s="72"/>
      <c r="AD430" s="69"/>
      <c r="AE430" s="87"/>
      <c r="AF430" s="88"/>
      <c r="AG430" s="72"/>
      <c r="AH430" s="4"/>
      <c r="AI430" s="72"/>
      <c r="AJ430" s="110"/>
      <c r="AK430" s="72"/>
      <c r="AL430" s="72"/>
      <c r="AM430" s="72"/>
      <c r="AN430" s="72"/>
      <c r="AO430" s="89"/>
      <c r="AP430" s="89"/>
      <c r="AQ430" s="90"/>
      <c r="AR430" s="117"/>
      <c r="AS430" s="91"/>
      <c r="AT430" s="91"/>
      <c r="AU430" s="3"/>
      <c r="AV430" s="71">
        <v>30</v>
      </c>
      <c r="AW430" s="71">
        <f>60*30</f>
        <v>1800</v>
      </c>
      <c r="AX430" s="71">
        <f>60*60*24*7*6</f>
        <v>3628800</v>
      </c>
      <c r="AY430" s="53"/>
      <c r="AZ430" s="53"/>
      <c r="BA430" s="53"/>
      <c r="BB430" s="53"/>
      <c r="BC430" s="53"/>
      <c r="BD430" s="53"/>
      <c r="BE430" s="53"/>
      <c r="BF430" s="53"/>
      <c r="BG430" s="53"/>
      <c r="BH430" s="53"/>
      <c r="BI430" s="53"/>
      <c r="BJ430" s="53"/>
      <c r="BK430" s="53"/>
      <c r="BL430" s="53"/>
      <c r="BM430" s="53"/>
      <c r="BN430" s="53"/>
      <c r="BO430" s="53"/>
      <c r="BP430" s="53"/>
      <c r="BQ430" s="53"/>
      <c r="BR430" s="53"/>
      <c r="BS430" s="53"/>
      <c r="BT430" s="53"/>
      <c r="BU430" s="53"/>
      <c r="BV430" s="53"/>
      <c r="BW430" s="53"/>
      <c r="BX430" s="53"/>
      <c r="BY430" s="53"/>
      <c r="BZ430" s="53"/>
      <c r="CA430" s="53"/>
      <c r="CB430" s="53"/>
      <c r="CC430" s="53"/>
      <c r="CD430" s="53"/>
      <c r="CE430" s="53"/>
      <c r="CF430" s="53"/>
      <c r="CG430" s="53"/>
      <c r="CH430" s="53"/>
      <c r="CI430" s="53"/>
      <c r="CJ430" s="53"/>
      <c r="CK430" s="53"/>
      <c r="CL430" s="53"/>
      <c r="CM430" s="53"/>
      <c r="CN430" s="53"/>
      <c r="CO430" s="53"/>
      <c r="CP430" s="53"/>
      <c r="CQ430" s="53"/>
      <c r="CR430" s="1"/>
      <c r="CS430" s="1"/>
      <c r="CT430" s="1"/>
      <c r="CU430" s="1"/>
    </row>
    <row r="431" spans="1:99" s="13" customFormat="1" ht="12" customHeight="1" x14ac:dyDescent="0.2">
      <c r="A431" s="68">
        <v>43978</v>
      </c>
      <c r="B431" s="70" t="s">
        <v>977</v>
      </c>
      <c r="C431" s="70" t="s">
        <v>360</v>
      </c>
      <c r="D431" s="69">
        <v>2005</v>
      </c>
      <c r="E431" s="87">
        <v>1</v>
      </c>
      <c r="F431" s="69">
        <v>7</v>
      </c>
      <c r="G431" s="69">
        <v>7</v>
      </c>
      <c r="H431" s="69" t="s">
        <v>38</v>
      </c>
      <c r="I431" s="69" t="s">
        <v>330</v>
      </c>
      <c r="J431" s="69" t="s">
        <v>317</v>
      </c>
      <c r="K431" s="69">
        <f>IF(J431="syllables",1,IF(J431="trigrams",2,IF(J431="strings",3,IF(J431="visual array",4,IF(J431="characters",5,IF(J431="letters",6,IF(J431="free forms",7,IF(J431="odors",8,IF(J431="words",9,IF(J431="pictures",10,IF(J431="object pictures",11,IF(J431="faces",12,IF(J431="names",13,IF(J431="idioms",14,IF(J431="grades",15,IF(J431="syllable-digit pairs",16,IF(J431="trigram-word pairs",17,IF(J431="word-digit pairs",18,IF(J431="English-Swahili pairs",19,IF(J431="spatial position",20,IF(J431="word pairs",21,IF(J431="word triads",22,IF(J431="generated words",23,IF(J431="word definition pairs",24,IF(J431="math problems",25,IF(J431="famous faces",26,IF(J431="famous names",27,IF(J431="famous voices",28,IF(J431="television programs",29,IF(J431="race horses",30,IF(J431="new vocabulary",31,IF(J431="sentences",32,IF(J431="concepts",33,IF(J431="ad slides",34,IF(J431="scenes",35,IF(J431="famous scenes",36,IF(J431="poems",37,IF(J431="walk",38,IF(J431="faces and events",39,IF(J431="events and names",40,IF(J431="flashbulb",41,IF(J431="stories",42,IF(J431="course material",43,IF(J431="autobiographical",44,IF(J431="novels",45,IF(J431="public events",46,"99"))))))))))))))))))))))))))))))))))))))))))))))</f>
        <v>7</v>
      </c>
      <c r="L431" s="69">
        <f>IF(J431="syllables",1,IF(J431="trigrams",1,IF(J431="strings",1,IF(J431="visual array",1,IF(J431="characters",1,IF(J431="letters",1,IF(J431="free forms",1,IF(J431="odors",2,IF(J431="words",2,IF(J431="pictures",2,IF(J431="object pictures",2,IF(J431="faces",2,IF(J431="names",2,IF(J431="idioms","2",IF(J431="grades",2,IF(J431="syllable-digit pairs",3,IF(J431="trigram-word pairs",3,IF(J431="word-digit pairs",3,IF(J431="English-Swahili pairs",3,IF(J431="spatial position",3,IF(J431="word pairs",4,IF(J431="word triads",4,IF(J431="generated words",4,IF(J431="word definition pairs",4,IF(J431="math problems",4,IF(J431="famous faces",4,IF(J431="famous names",4,IF(J431="famous voices",4,IF(J431="television programs",4,IF(J431="race horses",4,IF(J431="new vocabulary",4,IF(J431="sentences",5,IF(J431="concepts",5,IF(J431="ad slides",5,IF(J431="scenes",5,IF(J431="famous scenes",5,IF(J431="poems",6,IF(J431="walk",6,IF(J431="faces and events",6,IF(J431="events and names",6,IF(J431="flashbulb",7,IF(J431="stories",7,IF(J431="course material",7,IF(J431="autobiographical",7,IF(J431="novels",7,IF(J431="public events",7,"99"))))))))))))))))))))))))))))))))))))))))))))))</f>
        <v>1</v>
      </c>
      <c r="M431" s="69">
        <v>0</v>
      </c>
      <c r="N431" s="69">
        <v>1</v>
      </c>
      <c r="O431" s="69">
        <v>0</v>
      </c>
      <c r="P431" s="69"/>
      <c r="Q431" s="69" t="s">
        <v>174</v>
      </c>
      <c r="R431" s="69">
        <f>IF(Q431="Free Recall",1,IF(Q431="Cued Recall",2,IF(Q431="Recognition",3,IF(Q431="Multiple Choice",4,IF(Q431="Savings",5,IF(Q431="Stem Completion",6,IF(Q431="Fragment Completion",7,IF(Q431="anagram solution",8,IF(Q431="Matching",9,IF(Q431="Problem Solving",10,"99"))))))))))</f>
        <v>1</v>
      </c>
      <c r="S431" s="69" t="s">
        <v>49</v>
      </c>
      <c r="T431" s="69" t="s">
        <v>581</v>
      </c>
      <c r="U431" s="69">
        <f>IF(T431="within",1,0)</f>
        <v>1</v>
      </c>
      <c r="V431" s="69">
        <f>3*41</f>
        <v>123</v>
      </c>
      <c r="W431" s="69">
        <f>F431*V431</f>
        <v>861</v>
      </c>
      <c r="X431" s="69">
        <v>3</v>
      </c>
      <c r="Y431" s="87">
        <f>AV430</f>
        <v>30</v>
      </c>
      <c r="Z431" s="92" t="s">
        <v>160</v>
      </c>
      <c r="AA431" s="69">
        <f>60*60*24*7*6</f>
        <v>3628800</v>
      </c>
      <c r="AB431" s="69" t="str">
        <f>IF(AA431&lt;60,"1",IF(AA431&lt;=43200,"2",IF(AA431&lt;=777600,"3","4")))</f>
        <v>4</v>
      </c>
      <c r="AC431" s="72">
        <f>AVERAGE(AV430:DA430)</f>
        <v>1210210</v>
      </c>
      <c r="AD431" s="69" t="str">
        <f>IF(AC431&lt;60,"1",IF(AC431&lt;=43200,"2",IF(AC431&lt;=777600,"3","4")))</f>
        <v>4</v>
      </c>
      <c r="AE431" s="87">
        <f>AA431-Y431</f>
        <v>3628770</v>
      </c>
      <c r="AF431" s="88">
        <f>AV431</f>
        <v>0.73170731707317072</v>
      </c>
      <c r="AG431" s="72">
        <f>((AW431-AV431)+(AX431-AW431))/2</f>
        <v>-0.32560975609756093</v>
      </c>
      <c r="AH431" s="4"/>
      <c r="AI431" s="72">
        <f>RSQ(AV431:AX431,AV430:AX430)</f>
        <v>0.82260380987301007</v>
      </c>
      <c r="AJ431" s="110">
        <f>SLOPE(AV431:AX431,AV430:AX430)</f>
        <v>-1.4154676689074929E-7</v>
      </c>
      <c r="AK431" s="72">
        <f>INTERCEPT(AV431:AX431,AV430:AX430)</f>
        <v>0.59406554040113013</v>
      </c>
      <c r="AL431" s="72">
        <f>INDEX(LINEST(LN(AV431:AX431),LN(AV430:AX430),TRUE,TRUE),3,1)</f>
        <v>0.97850438785155369</v>
      </c>
      <c r="AM431" s="72">
        <f>INDEX(LINEST(LN(AV431:AX431),LN(AV430:AX430)),1)</f>
        <v>-0.193578675770681</v>
      </c>
      <c r="AN431" s="72">
        <f>EXP(INDEX(LINEST(LN(AV431:AX431),LN(AV430:AX430)),1,2))</f>
        <v>1.6033019834392768</v>
      </c>
      <c r="AO431" s="89">
        <f>INDEX(LINEST((AV431:AX431),LN(AV430:AX430),TRUE,TRUE),3,1)</f>
        <v>0.99308567567686457</v>
      </c>
      <c r="AP431" s="89">
        <f>INDEX(LINEST((AV431:AX431),LN(AV430:AX430)),1)</f>
        <v>-5.4850959992760059E-2</v>
      </c>
      <c r="AQ431" s="90">
        <f>INDEX(LINEST(LN(AV431:AX431),SQRT(AV430:AX430),TRUE,TRUE),3,1)</f>
        <v>0.96515473809531616</v>
      </c>
      <c r="AR431" s="117">
        <f>INDEX(LINEST(LN(AV431:AX431),SQRT((AV430:AX430))),1)</f>
        <v>-1.0512179137722273E-3</v>
      </c>
      <c r="AS431" s="91">
        <f>INDEX(LINEST(1/(AV431:AX431),1/(SQRT(AV430:AX430)),TRUE,TRUE),3,1)</f>
        <v>0.42211355548581286</v>
      </c>
      <c r="AT431" s="91">
        <f>INDEX(LINEST(1/(AV431:AX431),1/SQRT(AV430:AX430)),1)</f>
        <v>-40.371780178974021</v>
      </c>
      <c r="AU431" s="3"/>
      <c r="AV431" s="73">
        <f>30/41</f>
        <v>0.73170731707317072</v>
      </c>
      <c r="AW431" s="73">
        <f>18.7/41</f>
        <v>0.45609756097560972</v>
      </c>
      <c r="AX431" s="73">
        <f>3.3/41</f>
        <v>8.0487804878048783E-2</v>
      </c>
      <c r="AY431" s="53"/>
      <c r="AZ431" s="53"/>
      <c r="BA431" s="53"/>
      <c r="BB431" s="53"/>
      <c r="BC431" s="53"/>
      <c r="BD431" s="53"/>
      <c r="BE431" s="53"/>
      <c r="BF431" s="53"/>
      <c r="BG431" s="53"/>
      <c r="BH431" s="53"/>
      <c r="BI431" s="53"/>
      <c r="BJ431" s="53"/>
      <c r="BK431" s="53"/>
      <c r="BL431" s="53"/>
      <c r="BM431" s="53"/>
      <c r="BN431" s="53"/>
      <c r="BO431" s="53"/>
      <c r="BP431" s="53"/>
      <c r="BQ431" s="53"/>
      <c r="BR431" s="53"/>
      <c r="BS431" s="53"/>
      <c r="BT431" s="53"/>
      <c r="BU431" s="53"/>
      <c r="BV431" s="53"/>
      <c r="BW431" s="53"/>
      <c r="BX431" s="53"/>
      <c r="BY431" s="53"/>
      <c r="BZ431" s="53"/>
      <c r="CA431" s="53"/>
      <c r="CB431" s="53"/>
      <c r="CC431" s="53"/>
      <c r="CD431" s="53"/>
      <c r="CE431" s="53"/>
      <c r="CF431" s="53"/>
      <c r="CG431" s="53"/>
      <c r="CH431" s="53"/>
      <c r="CI431" s="53"/>
      <c r="CJ431" s="53"/>
      <c r="CK431" s="53"/>
      <c r="CL431" s="53"/>
      <c r="CM431" s="53"/>
      <c r="CN431" s="53"/>
      <c r="CO431" s="53"/>
      <c r="CP431" s="53"/>
      <c r="CQ431" s="53"/>
      <c r="CR431" s="1"/>
      <c r="CS431" s="1"/>
      <c r="CT431" s="1"/>
      <c r="CU431" s="1"/>
    </row>
    <row r="432" spans="1:99" s="13" customFormat="1" ht="12" customHeight="1" x14ac:dyDescent="0.2">
      <c r="A432" s="65">
        <v>43896</v>
      </c>
      <c r="B432" s="1"/>
      <c r="D432" s="61"/>
      <c r="E432" s="76"/>
      <c r="F432" s="60"/>
      <c r="G432" s="60"/>
      <c r="H432" s="60"/>
      <c r="I432" s="60"/>
      <c r="J432" s="60"/>
      <c r="K432" s="64"/>
      <c r="L432" s="64"/>
      <c r="M432" s="60"/>
      <c r="N432" s="59"/>
      <c r="O432" s="60"/>
      <c r="P432" s="60"/>
      <c r="Q432" s="60"/>
      <c r="R432" s="60"/>
      <c r="S432" s="60"/>
      <c r="T432" s="60"/>
      <c r="U432" s="60"/>
      <c r="V432" s="60"/>
      <c r="W432" s="60"/>
      <c r="X432" s="60"/>
      <c r="Y432" s="76"/>
      <c r="Z432" s="60"/>
      <c r="AA432" s="60"/>
      <c r="AB432" s="60"/>
      <c r="AC432" s="56"/>
      <c r="AD432" s="60"/>
      <c r="AE432" s="60"/>
      <c r="AF432" s="80"/>
      <c r="AG432" s="56"/>
      <c r="AH432" s="4"/>
      <c r="AI432" s="56"/>
      <c r="AJ432" s="109"/>
      <c r="AK432" s="56"/>
      <c r="AL432" s="56"/>
      <c r="AM432" s="56"/>
      <c r="AN432" s="56"/>
      <c r="AO432" s="56"/>
      <c r="AP432" s="56"/>
      <c r="AQ432" s="56"/>
      <c r="AR432" s="109"/>
      <c r="AS432" s="56"/>
      <c r="AT432" s="56"/>
      <c r="AU432" s="5"/>
      <c r="AV432" s="25">
        <v>157680000</v>
      </c>
      <c r="AW432" s="25">
        <v>473040000</v>
      </c>
      <c r="AX432" s="25">
        <v>788400000</v>
      </c>
      <c r="AY432" s="53"/>
      <c r="AZ432" s="53"/>
      <c r="BA432" s="53"/>
      <c r="BB432" s="53"/>
      <c r="BC432" s="53"/>
      <c r="BD432" s="53"/>
      <c r="BE432" s="53"/>
      <c r="BF432" s="53"/>
      <c r="BG432" s="53"/>
      <c r="BH432" s="53"/>
      <c r="BI432" s="53"/>
      <c r="BJ432" s="53"/>
      <c r="BK432" s="53"/>
      <c r="BL432" s="53"/>
      <c r="BM432" s="53"/>
      <c r="BN432" s="53"/>
      <c r="BO432" s="53"/>
      <c r="BP432" s="53"/>
      <c r="BQ432" s="53"/>
      <c r="BR432" s="53"/>
      <c r="BS432" s="53"/>
      <c r="BT432" s="53"/>
      <c r="BU432" s="53"/>
      <c r="BV432" s="53"/>
      <c r="BW432" s="53"/>
      <c r="BX432" s="53"/>
      <c r="BY432" s="53"/>
      <c r="BZ432" s="53"/>
      <c r="CA432" s="53"/>
      <c r="CB432" s="53"/>
      <c r="CC432" s="53"/>
      <c r="CD432" s="53"/>
      <c r="CE432" s="53"/>
      <c r="CF432" s="53"/>
      <c r="CG432" s="53"/>
      <c r="CH432" s="53"/>
      <c r="CI432" s="53"/>
      <c r="CJ432" s="53"/>
      <c r="CK432" s="53"/>
      <c r="CL432" s="53"/>
      <c r="CM432" s="53"/>
      <c r="CN432" s="53"/>
      <c r="CO432" s="53"/>
      <c r="CP432" s="53"/>
      <c r="CQ432" s="53"/>
      <c r="CR432" s="1"/>
      <c r="CS432" s="1"/>
      <c r="CT432" s="1"/>
      <c r="CU432" s="1"/>
    </row>
    <row r="433" spans="1:99" s="13" customFormat="1" ht="12" customHeight="1" x14ac:dyDescent="0.2">
      <c r="A433" s="65">
        <v>43896</v>
      </c>
      <c r="B433" s="1" t="s">
        <v>351</v>
      </c>
      <c r="C433" s="1" t="s">
        <v>361</v>
      </c>
      <c r="D433" s="60">
        <v>1997</v>
      </c>
      <c r="E433" s="76">
        <v>1</v>
      </c>
      <c r="F433" s="60">
        <v>6</v>
      </c>
      <c r="G433" s="60">
        <v>6</v>
      </c>
      <c r="H433" s="60" t="s">
        <v>38</v>
      </c>
      <c r="I433" s="60" t="s">
        <v>330</v>
      </c>
      <c r="J433" s="60" t="s">
        <v>342</v>
      </c>
      <c r="K433" s="60">
        <f>IF(J433="syllables",1,IF(J433="trigrams",2,IF(J433="strings",3,IF(J433="visual array",4,IF(J433="characters",5,IF(J433="letters",6,IF(J433="free forms",7,IF(J433="odors",8,IF(J433="words",9,IF(J433="pictures",10,IF(J433="object pictures",11,IF(J433="faces",12,IF(J433="names",13,IF(J433="idioms",14,IF(J433="grades",15,IF(J433="syllable-digit pairs",16,IF(J433="trigram-word pairs",17,IF(J433="word-digit pairs",18,IF(J433="English-Swahili pairs",19,IF(J433="spatial position",20,IF(J433="word pairs",21,IF(J433="word triads",22,IF(J433="generated words",23,IF(J433="word definition pairs",24,IF(J433="math problems",25,IF(J433="famous faces",26,IF(J433="famous names",27,IF(J433="famous voices",28,IF(J433="television programs",29,IF(J433="race horses",30,IF(J433="new vocabulary",31,IF(J433="sentences",32,IF(J433="concepts",33,IF(J433="ad slides",34,IF(J433="scenes",35,IF(J433="famous scenes",36,IF(J433="poems",37,IF(J433="walk",38,IF(J433="faces and events",39,IF(J433="events and names",40,IF(J433="flashbulb",41,IF(J433="stories",42,IF(J433="course material",43,IF(J433="autobiographical",44,IF(J433="novels",45,IF(J433="public events",46,"99"))))))))))))))))))))))))))))))))))))))))))))))</f>
        <v>26</v>
      </c>
      <c r="L433" s="60">
        <f>IF(J433="syllables",1,IF(J433="trigrams",1,IF(J433="strings",1,IF(J433="visual array",1,IF(J433="characters",1,IF(J433="letters",1,IF(J433="free forms",1,IF(J433="odors",2,IF(J433="words",2,IF(J433="pictures",2,IF(J433="object pictures",2,IF(J433="faces",2,IF(J433="names",2,IF(J433="idioms","2",IF(J433="grades",2,IF(J433="syllable-digit pairs",3,IF(J433="trigram-word pairs",3,IF(J433="word-digit pairs",3,IF(J433="English-Swahili pairs",3,IF(J433="spatial position",3,IF(J433="word pairs",4,IF(J433="word triads",4,IF(J433="generated words",4,IF(J433="word definition pairs",4,IF(J433="math problems",4,IF(J433="famous faces",4,IF(J433="famous names",4,IF(J433="famous voices",4,IF(J433="television programs",4,IF(J433="race horses",4,IF(J433="new vocabulary",4,IF(J433="sentences",5,IF(J433="concepts",5,IF(J433="ad slides",5,IF(J433="scenes",5,IF(J433="famous scenes",5,IF(J433="poems",6,IF(J433="walk",6,IF(J433="faces and events",6,IF(J433="events and names",6,IF(J433="flashbulb",7,IF(J433="stories",7,IF(J433="course material",7,IF(J433="autobiographical",7,IF(J433="novels",7,IF(J433="public events",7,"99"))))))))))))))))))))))))))))))))))))))))))))))</f>
        <v>4</v>
      </c>
      <c r="M433" s="60">
        <v>1</v>
      </c>
      <c r="N433" s="61">
        <v>2</v>
      </c>
      <c r="O433" s="60">
        <v>0</v>
      </c>
      <c r="P433" s="60"/>
      <c r="Q433" s="60" t="s">
        <v>174</v>
      </c>
      <c r="R433" s="60">
        <f>IF(Q433="Free Recall",1,IF(Q433="Cued Recall",2,IF(Q433="Recognition",3,IF(Q433="Multiple Choice",4,IF(Q433="Savings",5,IF(Q433="Stem Completion",6,IF(Q433="Fragment Completion",7,IF(Q433="anagram solution",8,IF(Q433="Matching",9,IF(Q433="Problem Solving",10,"99"))))))))))</f>
        <v>1</v>
      </c>
      <c r="S433" s="60" t="s">
        <v>49</v>
      </c>
      <c r="T433" s="59" t="s">
        <v>581</v>
      </c>
      <c r="U433" s="60">
        <f>IF(T433="within",1,0)</f>
        <v>1</v>
      </c>
      <c r="V433" s="59">
        <v>240</v>
      </c>
      <c r="W433" s="60">
        <f>F433*V433</f>
        <v>1440</v>
      </c>
      <c r="X433" s="60">
        <v>3</v>
      </c>
      <c r="Y433" s="76">
        <f>AV432</f>
        <v>157680000</v>
      </c>
      <c r="Z433" s="59" t="s">
        <v>428</v>
      </c>
      <c r="AA433" s="60">
        <f>25*365*24*60*60</f>
        <v>788400000</v>
      </c>
      <c r="AB433" s="60" t="str">
        <f>IF(AA433&lt;60,"1",IF(AA433&lt;=43200,"2",IF(AA433&lt;=777600,"3","4")))</f>
        <v>4</v>
      </c>
      <c r="AC433" s="56">
        <f>AVERAGE(AV432:DA432)</f>
        <v>473040000</v>
      </c>
      <c r="AD433" s="60" t="str">
        <f>IF(AC433&lt;60,"1",IF(AC433&lt;=43200,"2",IF(AC433&lt;=777600,"3","4")))</f>
        <v>4</v>
      </c>
      <c r="AE433" s="76">
        <f>AA433-Y433</f>
        <v>630720000</v>
      </c>
      <c r="AF433" s="80">
        <f>AV433</f>
        <v>0.75</v>
      </c>
      <c r="AG433" s="56">
        <f>((AW433-AV433)+(AX433-AW433))/2</f>
        <v>-0.06</v>
      </c>
      <c r="AH433" s="4"/>
      <c r="AI433" s="56">
        <f>RSQ(AV433:AX433,AV432:AX432)</f>
        <v>0.74999999999999989</v>
      </c>
      <c r="AJ433" s="109">
        <f>SLOPE(AV433:AX433,AV432:AX432)</f>
        <v>-1.9025875190258752E-10</v>
      </c>
      <c r="AK433" s="56">
        <f>INTERCEPT(AV433:AX433,AV432:AX432)</f>
        <v>0.7599999999999999</v>
      </c>
      <c r="AL433" s="56">
        <f>INDEX(LINEST(LN(AV433:AX433),LN(AV432:AX432),TRUE,TRUE),3,1)</f>
        <v>0.9035493700903664</v>
      </c>
      <c r="AM433" s="56">
        <f>INDEX(LINEST(LN(AV433:AX433),LN(AV432:AX432)),1)</f>
        <v>-0.11634709952102547</v>
      </c>
      <c r="AN433" s="56">
        <f>EXP(INDEX(LINEST(LN(AV433:AX433),LN(AV432:AX432)),1,2))</f>
        <v>6.6677594093740797</v>
      </c>
      <c r="AO433" s="82">
        <f>INDEX(LINEST((AV433:AX433),LN(AV432:AX432),TRUE,TRUE),3,1)</f>
        <v>0.90354937009036662</v>
      </c>
      <c r="AP433" s="82">
        <f>INDEX(LINEST((AV433:AX433),LN(AV432:AX432)),1)</f>
        <v>-8.0076746263206905E-2</v>
      </c>
      <c r="AQ433" s="83">
        <f>INDEX(LINEST(LN(AV433:AX433),SQRT(AV432:AX432),TRUE,TRUE),3,1)</f>
        <v>0.83559812660742483</v>
      </c>
      <c r="AR433" s="116">
        <f>INDEX(LINEST(LN(AV433:AX433),SQRT((AV432:AX432))),1)</f>
        <v>-1.1790120122349022E-5</v>
      </c>
      <c r="AS433" s="84">
        <f>INDEX(LINEST(1/(AV433:AX433),1/(SQRT(AV432:AX432)),TRUE,TRUE),3,1)</f>
        <v>0.94930903127098454</v>
      </c>
      <c r="AT433" s="84">
        <f>INDEX(LINEST(1/(AV433:AX433),1/SQRT(AV432:AX432)),1)</f>
        <v>-6207.3539059462682</v>
      </c>
      <c r="AU433" s="3"/>
      <c r="AV433" s="53">
        <v>0.75</v>
      </c>
      <c r="AW433" s="53">
        <v>0.63</v>
      </c>
      <c r="AX433" s="53">
        <v>0.63</v>
      </c>
      <c r="AY433" s="53"/>
      <c r="AZ433" s="53"/>
      <c r="BA433" s="53"/>
      <c r="BB433" s="53"/>
      <c r="BC433" s="53"/>
      <c r="BD433" s="53"/>
      <c r="BE433" s="53"/>
      <c r="BF433" s="53"/>
      <c r="BG433" s="53"/>
      <c r="BH433" s="53"/>
      <c r="BI433" s="53"/>
      <c r="BJ433" s="53"/>
      <c r="BK433" s="53"/>
      <c r="BL433" s="53"/>
      <c r="BM433" s="53"/>
      <c r="BN433" s="53"/>
      <c r="BO433" s="53"/>
      <c r="BP433" s="53"/>
      <c r="BQ433" s="53"/>
      <c r="BR433" s="53"/>
      <c r="BS433" s="53"/>
      <c r="BT433" s="53"/>
      <c r="BU433" s="53"/>
      <c r="BV433" s="53"/>
      <c r="BW433" s="53"/>
      <c r="BX433" s="53"/>
      <c r="BY433" s="53"/>
      <c r="BZ433" s="53"/>
      <c r="CA433" s="53"/>
      <c r="CB433" s="53"/>
      <c r="CC433" s="53"/>
      <c r="CD433" s="53"/>
      <c r="CE433" s="53"/>
      <c r="CF433" s="53"/>
      <c r="CG433" s="53"/>
      <c r="CH433" s="53"/>
      <c r="CI433" s="53"/>
      <c r="CJ433" s="53"/>
      <c r="CK433" s="53"/>
      <c r="CL433" s="53"/>
      <c r="CM433" s="53"/>
      <c r="CN433" s="53"/>
      <c r="CO433" s="53"/>
      <c r="CP433" s="53"/>
      <c r="CQ433" s="53"/>
      <c r="CR433" s="1"/>
      <c r="CS433" s="1"/>
      <c r="CT433" s="1"/>
      <c r="CU433" s="1"/>
    </row>
    <row r="434" spans="1:99" s="13" customFormat="1" ht="12" customHeight="1" x14ac:dyDescent="0.2">
      <c r="A434" s="68">
        <v>43896</v>
      </c>
      <c r="B434" s="70"/>
      <c r="C434" s="67"/>
      <c r="D434" s="86"/>
      <c r="E434" s="87"/>
      <c r="F434" s="69"/>
      <c r="G434" s="69"/>
      <c r="H434" s="69"/>
      <c r="I434" s="69"/>
      <c r="J434" s="69"/>
      <c r="K434" s="107"/>
      <c r="L434" s="107"/>
      <c r="M434" s="69"/>
      <c r="N434" s="92"/>
      <c r="O434" s="69"/>
      <c r="P434" s="69"/>
      <c r="Q434" s="69"/>
      <c r="R434" s="69"/>
      <c r="S434" s="69"/>
      <c r="T434" s="92"/>
      <c r="U434" s="69"/>
      <c r="V434" s="92"/>
      <c r="W434" s="69"/>
      <c r="X434" s="69"/>
      <c r="Y434" s="87"/>
      <c r="Z434" s="92"/>
      <c r="AA434" s="92"/>
      <c r="AB434" s="69"/>
      <c r="AC434" s="72"/>
      <c r="AD434" s="69"/>
      <c r="AE434" s="69"/>
      <c r="AF434" s="88"/>
      <c r="AG434" s="72"/>
      <c r="AH434" s="4"/>
      <c r="AI434" s="72"/>
      <c r="AJ434" s="110"/>
      <c r="AK434" s="72"/>
      <c r="AL434" s="72"/>
      <c r="AM434" s="72"/>
      <c r="AN434" s="72"/>
      <c r="AO434" s="89"/>
      <c r="AP434" s="89"/>
      <c r="AQ434" s="90"/>
      <c r="AR434" s="117"/>
      <c r="AS434" s="91"/>
      <c r="AT434" s="91"/>
      <c r="AU434" s="3"/>
      <c r="AV434" s="71">
        <v>315360000</v>
      </c>
      <c r="AW434" s="71">
        <v>630720000</v>
      </c>
      <c r="AX434" s="71">
        <v>646080000</v>
      </c>
      <c r="AY434" s="71">
        <v>12614400000</v>
      </c>
      <c r="AZ434" s="71">
        <v>1576800000</v>
      </c>
      <c r="BA434" s="53"/>
      <c r="BB434" s="53"/>
      <c r="BC434" s="53"/>
      <c r="BD434" s="53"/>
      <c r="BE434" s="53"/>
      <c r="BF434" s="53"/>
      <c r="BG434" s="53"/>
      <c r="BH434" s="53"/>
      <c r="BI434" s="53"/>
      <c r="BJ434" s="53"/>
      <c r="BK434" s="53"/>
      <c r="BL434" s="53"/>
      <c r="BM434" s="53"/>
      <c r="BN434" s="53"/>
      <c r="BO434" s="53"/>
      <c r="BP434" s="53"/>
      <c r="BQ434" s="53"/>
      <c r="BR434" s="53"/>
      <c r="BS434" s="53"/>
      <c r="BT434" s="53"/>
      <c r="BU434" s="53"/>
      <c r="BV434" s="53"/>
      <c r="BW434" s="53"/>
      <c r="BX434" s="53"/>
      <c r="BY434" s="53"/>
      <c r="BZ434" s="53"/>
      <c r="CA434" s="53"/>
      <c r="CB434" s="53"/>
      <c r="CC434" s="53"/>
      <c r="CD434" s="53"/>
      <c r="CE434" s="53"/>
      <c r="CF434" s="53"/>
      <c r="CG434" s="53"/>
      <c r="CH434" s="53"/>
      <c r="CI434" s="53"/>
      <c r="CJ434" s="53"/>
      <c r="CK434" s="53"/>
      <c r="CL434" s="53"/>
      <c r="CM434" s="53"/>
      <c r="CN434" s="53"/>
      <c r="CO434" s="53"/>
      <c r="CP434" s="53"/>
      <c r="CQ434" s="53"/>
      <c r="CR434" s="1"/>
      <c r="CS434" s="1"/>
      <c r="CT434" s="1"/>
      <c r="CU434" s="1"/>
    </row>
    <row r="435" spans="1:99" s="13" customFormat="1" ht="12" customHeight="1" x14ac:dyDescent="0.2">
      <c r="A435" s="68">
        <v>43896</v>
      </c>
      <c r="B435" s="70" t="s">
        <v>364</v>
      </c>
      <c r="C435" s="70" t="s">
        <v>54</v>
      </c>
      <c r="D435" s="69">
        <v>1975</v>
      </c>
      <c r="E435" s="87">
        <v>1</v>
      </c>
      <c r="F435" s="69">
        <v>15</v>
      </c>
      <c r="G435" s="69">
        <v>15</v>
      </c>
      <c r="H435" s="69" t="s">
        <v>365</v>
      </c>
      <c r="I435" s="69" t="s">
        <v>330</v>
      </c>
      <c r="J435" s="69" t="s">
        <v>342</v>
      </c>
      <c r="K435" s="69">
        <f>IF(J435="syllables",1,IF(J435="trigrams",2,IF(J435="strings",3,IF(J435="visual array",4,IF(J435="characters",5,IF(J435="letters",6,IF(J435="free forms",7,IF(J435="odors",8,IF(J435="words",9,IF(J435="pictures",10,IF(J435="object pictures",11,IF(J435="faces",12,IF(J435="names",13,IF(J435="idioms",14,IF(J435="grades",15,IF(J435="syllable-digit pairs",16,IF(J435="trigram-word pairs",17,IF(J435="word-digit pairs",18,IF(J435="English-Swahili pairs",19,IF(J435="spatial position",20,IF(J435="word pairs",21,IF(J435="word triads",22,IF(J435="generated words",23,IF(J435="word definition pairs",24,IF(J435="math problems",25,IF(J435="famous faces",26,IF(J435="famous names",27,IF(J435="famous voices",28,IF(J435="television programs",29,IF(J435="race horses",30,IF(J435="new vocabulary",31,IF(J435="sentences",32,IF(J435="concepts",33,IF(J435="ad slides",34,IF(J435="scenes",35,IF(J435="famous scenes",36,IF(J435="poems",37,IF(J435="walk",38,IF(J435="faces and events",39,IF(J435="events and names",40,IF(J435="flashbulb",41,IF(J435="stories",42,IF(J435="course material",43,IF(J435="autobiographical",44,IF(J435="novels",45,IF(J435="public events",46,"99"))))))))))))))))))))))))))))))))))))))))))))))</f>
        <v>26</v>
      </c>
      <c r="L435" s="69">
        <f>IF(J435="syllables",1,IF(J435="trigrams",1,IF(J435="strings",1,IF(J435="visual array",1,IF(J435="characters",1,IF(J435="letters",1,IF(J435="free forms",1,IF(J435="odors",2,IF(J435="words",2,IF(J435="pictures",2,IF(J435="object pictures",2,IF(J435="faces",2,IF(J435="names",2,IF(J435="idioms","2",IF(J435="grades",2,IF(J435="syllable-digit pairs",3,IF(J435="trigram-word pairs",3,IF(J435="word-digit pairs",3,IF(J435="English-Swahili pairs",3,IF(J435="spatial position",3,IF(J435="word pairs",4,IF(J435="word triads",4,IF(J435="generated words",4,IF(J435="word definition pairs",4,IF(J435="math problems",4,IF(J435="famous faces",4,IF(J435="famous names",4,IF(J435="famous voices",4,IF(J435="television programs",4,IF(J435="race horses",4,IF(J435="new vocabulary",4,IF(J435="sentences",5,IF(J435="concepts",5,IF(J435="ad slides",5,IF(J435="scenes",5,IF(J435="famous scenes",5,IF(J435="poems",6,IF(J435="walk",6,IF(J435="faces and events",6,IF(J435="events and names",6,IF(J435="flashbulb",7,IF(J435="stories",7,IF(J435="course material",7,IF(J435="autobiographical",7,IF(J435="novels",7,IF(J435="public events",7,"99"))))))))))))))))))))))))))))))))))))))))))))))</f>
        <v>4</v>
      </c>
      <c r="M435" s="69">
        <v>1</v>
      </c>
      <c r="N435" s="86">
        <v>2</v>
      </c>
      <c r="O435" s="69">
        <v>0</v>
      </c>
      <c r="P435" s="69"/>
      <c r="Q435" s="69" t="s">
        <v>174</v>
      </c>
      <c r="R435" s="69">
        <f>IF(Q435="Free Recall",1,IF(Q435="Cued Recall",2,IF(Q435="Recognition",3,IF(Q435="Multiple Choice",4,IF(Q435="Savings",5,IF(Q435="Stem Completion",6,IF(Q435="Fragment Completion",7,IF(Q435="anagram solution",8,IF(Q435="Matching",9,IF(Q435="Problem Solving",10,"99"))))))))))</f>
        <v>1</v>
      </c>
      <c r="S435" s="69" t="s">
        <v>49</v>
      </c>
      <c r="T435" s="92" t="s">
        <v>581</v>
      </c>
      <c r="U435" s="69">
        <f>IF(T435="within",1,0)</f>
        <v>1</v>
      </c>
      <c r="V435" s="92">
        <v>85</v>
      </c>
      <c r="W435" s="69">
        <f>F435*V435</f>
        <v>1275</v>
      </c>
      <c r="X435" s="69">
        <v>5</v>
      </c>
      <c r="Y435" s="87">
        <f>AV434</f>
        <v>315360000</v>
      </c>
      <c r="Z435" s="92" t="s">
        <v>209</v>
      </c>
      <c r="AA435" s="69">
        <f>50*365*24*60*60</f>
        <v>1576800000</v>
      </c>
      <c r="AB435" s="69" t="str">
        <f>IF(AA435&lt;60,"1",IF(AA435&lt;=43200,"2",IF(AA435&lt;=777600,"3","4")))</f>
        <v>4</v>
      </c>
      <c r="AC435" s="72">
        <f>AVERAGE(AV434:DA434)</f>
        <v>3156672000</v>
      </c>
      <c r="AD435" s="69" t="str">
        <f>IF(AC435&lt;60,"1",IF(AC435&lt;=43200,"2",IF(AC435&lt;=777600,"3","4")))</f>
        <v>4</v>
      </c>
      <c r="AE435" s="87">
        <f>AA435-Y435</f>
        <v>1261440000</v>
      </c>
      <c r="AF435" s="88">
        <f>AV435</f>
        <v>0.75</v>
      </c>
      <c r="AG435" s="72">
        <f>((AW435-AV435)+(AX435-AW435)+(AY435-AX435)+(AZ435-AY435))/4</f>
        <v>-9.2499999999999999E-2</v>
      </c>
      <c r="AH435" s="4"/>
      <c r="AI435" s="72">
        <f>RSQ(AV435:AZ435,AV434:AZ434)</f>
        <v>9.9372201196184187E-2</v>
      </c>
      <c r="AJ435" s="110">
        <f>SLOPE(AV435:AZ435,AV434:AZ434)</f>
        <v>-1.0578723515463009E-11</v>
      </c>
      <c r="AK435" s="72">
        <f>INTERCEPT(AV435:AZ435,AV434:AZ434)</f>
        <v>0.6793935603170036</v>
      </c>
      <c r="AL435" s="72">
        <f>INDEX(LINEST(LN(AV435:AZ435),LN(AV434:AZ434),TRUE,TRUE),3,1)</f>
        <v>0.22438971023580714</v>
      </c>
      <c r="AM435" s="72">
        <f>INDEX(LINEST(LN(AV435:AZ435),LN(AV434:AZ434)),1)</f>
        <v>-0.10289085895850124</v>
      </c>
      <c r="AN435" s="72">
        <f>EXP(INDEX(LINEST(LN(AV435:AZ435),LN(AV434:AZ434)),1,2))</f>
        <v>5.3601192335798968</v>
      </c>
      <c r="AO435" s="89">
        <f>INDEX(LINEST((AV435:AZ435),LN(AV434:AZ434),TRUE,TRUE),3,1)</f>
        <v>0.2792522153560118</v>
      </c>
      <c r="AP435" s="89">
        <f>INDEX(LINEST((AV435:AZ435),LN(AV434:AZ434)),1)</f>
        <v>-6.5777325732570738E-2</v>
      </c>
      <c r="AQ435" s="90">
        <f>INDEX(LINEST(LN(AV435:AZ435),SQRT(AV434:AZ434),TRUE,TRUE),3,1)</f>
        <v>0.1131976393388448</v>
      </c>
      <c r="AR435" s="117">
        <f>INDEX(LINEST(LN(AV435:AZ435),SQRT((AV434:AZ434))),1)</f>
        <v>-2.6833716190459296E-6</v>
      </c>
      <c r="AS435" s="91">
        <f>INDEX(LINEST(1/(AV435:AZ435),1/(SQRT(AV434:AZ434)),TRUE,TRUE),3,1)</f>
        <v>0.28716852998211084</v>
      </c>
      <c r="AT435" s="91">
        <f>INDEX(LINEST(1/(AV435:AZ435),1/SQRT(AV434:AZ434)),1)</f>
        <v>-17316.496844570713</v>
      </c>
      <c r="AU435" s="3"/>
      <c r="AV435" s="73">
        <v>0.75</v>
      </c>
      <c r="AW435" s="73">
        <v>0.69</v>
      </c>
      <c r="AX435" s="73">
        <v>0.84</v>
      </c>
      <c r="AY435" s="73">
        <v>0.56999999999999995</v>
      </c>
      <c r="AZ435" s="73">
        <v>0.38</v>
      </c>
      <c r="BA435" s="53"/>
      <c r="BB435" s="53"/>
      <c r="BC435" s="53"/>
      <c r="BD435" s="53"/>
      <c r="BE435" s="53"/>
      <c r="BF435" s="53"/>
      <c r="BG435" s="53"/>
      <c r="BH435" s="53"/>
      <c r="BI435" s="53"/>
      <c r="BJ435" s="53"/>
      <c r="BK435" s="53"/>
      <c r="BL435" s="53"/>
      <c r="BM435" s="53"/>
      <c r="BN435" s="53"/>
      <c r="BO435" s="53"/>
      <c r="BP435" s="53"/>
      <c r="BQ435" s="53"/>
      <c r="BR435" s="53"/>
      <c r="BS435" s="53"/>
      <c r="BT435" s="53"/>
      <c r="BU435" s="53"/>
      <c r="BV435" s="53"/>
      <c r="BW435" s="53"/>
      <c r="BX435" s="53"/>
      <c r="BY435" s="53"/>
      <c r="BZ435" s="53"/>
      <c r="CA435" s="53"/>
      <c r="CB435" s="53"/>
      <c r="CC435" s="53"/>
      <c r="CD435" s="53"/>
      <c r="CE435" s="53"/>
      <c r="CF435" s="53"/>
      <c r="CG435" s="53"/>
      <c r="CH435" s="53"/>
      <c r="CI435" s="53"/>
      <c r="CJ435" s="53"/>
      <c r="CK435" s="53"/>
      <c r="CL435" s="53"/>
      <c r="CM435" s="53"/>
      <c r="CN435" s="53"/>
      <c r="CO435" s="53"/>
      <c r="CP435" s="53"/>
      <c r="CQ435" s="53"/>
      <c r="CR435" s="1"/>
      <c r="CS435" s="1"/>
      <c r="CT435" s="1"/>
      <c r="CU435" s="1"/>
    </row>
    <row r="436" spans="1:99" s="13" customFormat="1" ht="12" customHeight="1" x14ac:dyDescent="0.2">
      <c r="A436" s="68">
        <v>43896</v>
      </c>
      <c r="B436" s="70"/>
      <c r="C436" s="70"/>
      <c r="D436" s="69"/>
      <c r="E436" s="87"/>
      <c r="F436" s="69"/>
      <c r="G436" s="69"/>
      <c r="H436" s="69"/>
      <c r="I436" s="69"/>
      <c r="J436" s="69"/>
      <c r="K436" s="107"/>
      <c r="L436" s="107"/>
      <c r="M436" s="69"/>
      <c r="N436" s="69"/>
      <c r="O436" s="69"/>
      <c r="P436" s="69"/>
      <c r="Q436" s="69"/>
      <c r="R436" s="69"/>
      <c r="S436" s="69"/>
      <c r="T436" s="92"/>
      <c r="U436" s="69"/>
      <c r="V436" s="92"/>
      <c r="W436" s="69"/>
      <c r="X436" s="69"/>
      <c r="Y436" s="87"/>
      <c r="Z436" s="69"/>
      <c r="AA436" s="87"/>
      <c r="AB436" s="69"/>
      <c r="AC436" s="72"/>
      <c r="AD436" s="69"/>
      <c r="AE436" s="69"/>
      <c r="AF436" s="88"/>
      <c r="AG436" s="72"/>
      <c r="AH436" s="4"/>
      <c r="AI436" s="72"/>
      <c r="AJ436" s="110"/>
      <c r="AK436" s="72"/>
      <c r="AL436" s="72"/>
      <c r="AM436" s="72"/>
      <c r="AN436" s="72"/>
      <c r="AO436" s="89"/>
      <c r="AP436" s="89"/>
      <c r="AQ436" s="90"/>
      <c r="AR436" s="117"/>
      <c r="AS436" s="91"/>
      <c r="AT436" s="91"/>
      <c r="AU436" s="3"/>
      <c r="AV436" s="71">
        <v>94608000</v>
      </c>
      <c r="AW436" s="71">
        <v>252288000</v>
      </c>
      <c r="AX436" s="71">
        <v>409968000</v>
      </c>
      <c r="AY436" s="71">
        <v>567648000</v>
      </c>
      <c r="AZ436" s="53"/>
      <c r="BA436" s="53"/>
      <c r="BB436" s="53"/>
      <c r="BC436" s="53"/>
      <c r="BD436" s="53"/>
      <c r="BE436" s="53"/>
      <c r="BF436" s="53"/>
      <c r="BG436" s="53"/>
      <c r="BH436" s="53"/>
      <c r="BI436" s="53"/>
      <c r="BJ436" s="53"/>
      <c r="BK436" s="53"/>
      <c r="BL436" s="53"/>
      <c r="BM436" s="53"/>
      <c r="BN436" s="53"/>
      <c r="BO436" s="53"/>
      <c r="BP436" s="53"/>
      <c r="BQ436" s="53"/>
      <c r="BR436" s="53"/>
      <c r="BS436" s="53"/>
      <c r="BT436" s="53"/>
      <c r="BU436" s="53"/>
      <c r="BV436" s="53"/>
      <c r="BW436" s="53"/>
      <c r="BX436" s="53"/>
      <c r="BY436" s="53"/>
      <c r="BZ436" s="53"/>
      <c r="CA436" s="53"/>
      <c r="CB436" s="53"/>
      <c r="CC436" s="53"/>
      <c r="CD436" s="53"/>
      <c r="CE436" s="53"/>
      <c r="CF436" s="53"/>
      <c r="CG436" s="53"/>
      <c r="CH436" s="53"/>
      <c r="CI436" s="53"/>
      <c r="CJ436" s="53"/>
      <c r="CK436" s="53"/>
      <c r="CL436" s="53"/>
      <c r="CM436" s="53"/>
      <c r="CN436" s="53"/>
      <c r="CO436" s="53"/>
      <c r="CP436" s="53"/>
      <c r="CQ436" s="53"/>
      <c r="CR436" s="1"/>
      <c r="CS436" s="1"/>
      <c r="CT436" s="1"/>
      <c r="CU436" s="1"/>
    </row>
    <row r="437" spans="1:99" s="13" customFormat="1" ht="12" customHeight="1" x14ac:dyDescent="0.2">
      <c r="A437" s="68">
        <v>43896</v>
      </c>
      <c r="B437" s="70" t="s">
        <v>366</v>
      </c>
      <c r="C437" s="70" t="s">
        <v>357</v>
      </c>
      <c r="D437" s="69">
        <v>1997</v>
      </c>
      <c r="E437" s="87">
        <v>1</v>
      </c>
      <c r="F437" s="69">
        <v>10</v>
      </c>
      <c r="G437" s="69">
        <v>10</v>
      </c>
      <c r="H437" s="69" t="s">
        <v>50</v>
      </c>
      <c r="I437" s="69" t="s">
        <v>330</v>
      </c>
      <c r="J437" s="69" t="s">
        <v>340</v>
      </c>
      <c r="K437" s="69">
        <f>IF(J437="syllables",1,IF(J437="trigrams",2,IF(J437="strings",3,IF(J437="visual array",4,IF(J437="characters",5,IF(J437="letters",6,IF(J437="free forms",7,IF(J437="odors",8,IF(J437="words",9,IF(J437="pictures",10,IF(J437="object pictures",11,IF(J437="faces",12,IF(J437="names",13,IF(J437="idioms",14,IF(J437="grades",15,IF(J437="syllable-digit pairs",16,IF(J437="trigram-word pairs",17,IF(J437="word-digit pairs",18,IF(J437="English-Swahili pairs",19,IF(J437="spatial position",20,IF(J437="word pairs",21,IF(J437="word triads",22,IF(J437="generated words",23,IF(J437="word definition pairs",24,IF(J437="math problems",25,IF(J437="famous faces",26,IF(J437="famous names",27,IF(J437="famous voices",28,IF(J437="television programs",29,IF(J437="race horses",30,IF(J437="new vocabulary",31,IF(J437="sentences",32,IF(J437="concepts",33,IF(J437="ad slides",34,IF(J437="scenes",35,IF(J437="famous scenes",36,IF(J437="poems",37,IF(J437="walk",38,IF(J437="faces and events",39,IF(J437="events and names",40,IF(J437="flashbulb",41,IF(J437="stories",42,IF(J437="course material",43,IF(J437="autobiographical",44,IF(J437="novels",45,IF(J437="public events",46,"99"))))))))))))))))))))))))))))))))))))))))))))))</f>
        <v>46</v>
      </c>
      <c r="L437" s="69">
        <f>IF(J437="syllables",1,IF(J437="trigrams",1,IF(J437="strings",1,IF(J437="visual array",1,IF(J437="characters",1,IF(J437="letters",1,IF(J437="free forms",1,IF(J437="odors",2,IF(J437="words",2,IF(J437="pictures",2,IF(J437="object pictures",2,IF(J437="faces",2,IF(J437="names",2,IF(J437="idioms","2",IF(J437="grades",2,IF(J437="syllable-digit pairs",3,IF(J437="trigram-word pairs",3,IF(J437="word-digit pairs",3,IF(J437="English-Swahili pairs",3,IF(J437="spatial position",3,IF(J437="word pairs",4,IF(J437="word triads",4,IF(J437="generated words",4,IF(J437="word definition pairs",4,IF(J437="math problems",4,IF(J437="famous faces",4,IF(J437="famous names",4,IF(J437="famous voices",4,IF(J437="television programs",4,IF(J437="race horses",4,IF(J437="new vocabulary",4,IF(J437="sentences",5,IF(J437="concepts",5,IF(J437="ad slides",5,IF(J437="scenes",5,IF(J437="famous scenes",5,IF(J437="poems",6,IF(J437="walk",6,IF(J437="faces and events",6,IF(J437="events and names",6,IF(J437="flashbulb",7,IF(J437="stories",7,IF(J437="course material",7,IF(J437="autobiographical",7,IF(J437="novels",7,IF(J437="public events",7,"99"))))))))))))))))))))))))))))))))))))))))))))))</f>
        <v>7</v>
      </c>
      <c r="M437" s="69">
        <v>1</v>
      </c>
      <c r="N437" s="69">
        <v>4</v>
      </c>
      <c r="O437" s="69">
        <v>0</v>
      </c>
      <c r="P437" s="69"/>
      <c r="Q437" s="69" t="s">
        <v>174</v>
      </c>
      <c r="R437" s="69">
        <f>IF(Q437="Free Recall",1,IF(Q437="Cued Recall",2,IF(Q437="Recognition",3,IF(Q437="Multiple Choice",4,IF(Q437="Savings",5,IF(Q437="Stem Completion",6,IF(Q437="Fragment Completion",7,IF(Q437="anagram solution",8,IF(Q437="Matching",9,IF(Q437="Problem Solving",10,"99"))))))))))</f>
        <v>1</v>
      </c>
      <c r="S437" s="69" t="s">
        <v>49</v>
      </c>
      <c r="T437" s="92" t="s">
        <v>581</v>
      </c>
      <c r="U437" s="69">
        <f>IF(T437="within",1,0)</f>
        <v>1</v>
      </c>
      <c r="V437" s="92">
        <v>40</v>
      </c>
      <c r="W437" s="69">
        <f>F437*V437</f>
        <v>400</v>
      </c>
      <c r="X437" s="69">
        <v>4</v>
      </c>
      <c r="Y437" s="87">
        <f>AV436</f>
        <v>94608000</v>
      </c>
      <c r="Z437" s="92" t="s">
        <v>377</v>
      </c>
      <c r="AA437" s="69">
        <f>18*365*24*60*60</f>
        <v>567648000</v>
      </c>
      <c r="AB437" s="69" t="str">
        <f>IF(AA437&lt;60,"1",IF(AA437&lt;=43200,"2",IF(AA437&lt;=777600,"3","4")))</f>
        <v>4</v>
      </c>
      <c r="AC437" s="72">
        <f>AVERAGE(AV436:DA436)</f>
        <v>331128000</v>
      </c>
      <c r="AD437" s="69" t="str">
        <f>IF(AC437&lt;60,"1",IF(AC437&lt;=43200,"2",IF(AC437&lt;=777600,"3","4")))</f>
        <v>4</v>
      </c>
      <c r="AE437" s="87">
        <f>AA437-Y437</f>
        <v>473040000</v>
      </c>
      <c r="AF437" s="88">
        <f>AV437</f>
        <v>0.97</v>
      </c>
      <c r="AG437" s="72">
        <f>((AW437-AV437)+(AX437-AW437)+(AY437-AX437))/3</f>
        <v>-5.6666666666666643E-2</v>
      </c>
      <c r="AH437" s="4"/>
      <c r="AI437" s="72">
        <f>RSQ(AV437:AY437,AV436:AY436)</f>
        <v>0.95706984667802386</v>
      </c>
      <c r="AJ437" s="110">
        <f>SLOPE(AV437:AY437,AV436:AY436)</f>
        <v>-3.361237950279045E-10</v>
      </c>
      <c r="AK437" s="72">
        <f>INTERCEPT(AV437:AY437,AV436:AY436)</f>
        <v>0.99879999999999991</v>
      </c>
      <c r="AL437" s="72">
        <f>INDEX(LINEST(LN(AV437:AY437),LN(AV436:AY436),TRUE,TRUE),3,1)</f>
        <v>0.88158954190447458</v>
      </c>
      <c r="AM437" s="72">
        <f>INDEX(LINEST(LN(AV437:AY437),LN(AV436:AY436)),1)</f>
        <v>-9.5459256484472982E-2</v>
      </c>
      <c r="AN437" s="72">
        <f>EXP(INDEX(LINEST(LN(AV437:AY437),LN(AV436:AY436)),1,2))</f>
        <v>5.6553125213511697</v>
      </c>
      <c r="AO437" s="89">
        <f>INDEX(LINEST((AV437:AY437),LN(AV436:AY436),TRUE,TRUE),3,1)</f>
        <v>0.90035742732873492</v>
      </c>
      <c r="AP437" s="89">
        <f>INDEX(LINEST((AV437:AY437),LN(AV436:AY436)),1)</f>
        <v>-8.49606175454585E-2</v>
      </c>
      <c r="AQ437" s="90">
        <f>INDEX(LINEST(LN(AV437:AY437),SQRT(AV436:AY436),TRUE,TRUE),3,1)</f>
        <v>0.92909763001653811</v>
      </c>
      <c r="AR437" s="117">
        <f>INDEX(LINEST(LN(AV437:AY437),SQRT((AV436:AY436))),1)</f>
        <v>-1.260872019998919E-5</v>
      </c>
      <c r="AS437" s="91">
        <f>INDEX(LINEST(1/(AV437:AY437),1/(SQRT(AV436:AY436)),TRUE,TRUE),3,1)</f>
        <v>0.79422694793442006</v>
      </c>
      <c r="AT437" s="91">
        <f>INDEX(LINEST(1/(AV437:AY437),1/SQRT(AV436:AY436)),1)</f>
        <v>-2975.9079009167422</v>
      </c>
      <c r="AU437" s="3"/>
      <c r="AV437" s="73">
        <v>0.97</v>
      </c>
      <c r="AW437" s="73">
        <v>0.9</v>
      </c>
      <c r="AX437" s="73">
        <v>0.88</v>
      </c>
      <c r="AY437" s="73">
        <v>0.8</v>
      </c>
      <c r="AZ437" s="53"/>
      <c r="BA437" s="53"/>
      <c r="BB437" s="53"/>
      <c r="BC437" s="53"/>
      <c r="BD437" s="53"/>
      <c r="BE437" s="53"/>
      <c r="BF437" s="53"/>
      <c r="BG437" s="53"/>
      <c r="BH437" s="53"/>
      <c r="BI437" s="53"/>
      <c r="BJ437" s="53"/>
      <c r="BK437" s="53"/>
      <c r="BL437" s="53"/>
      <c r="BM437" s="53"/>
      <c r="BN437" s="53"/>
      <c r="BO437" s="53"/>
      <c r="BP437" s="53"/>
      <c r="BQ437" s="53"/>
      <c r="BR437" s="53"/>
      <c r="BS437" s="53"/>
      <c r="BT437" s="53"/>
      <c r="BU437" s="53"/>
      <c r="BV437" s="53"/>
      <c r="BW437" s="53"/>
      <c r="BX437" s="53"/>
      <c r="BY437" s="53"/>
      <c r="BZ437" s="53"/>
      <c r="CA437" s="53"/>
      <c r="CB437" s="53"/>
      <c r="CC437" s="53"/>
      <c r="CD437" s="53"/>
      <c r="CE437" s="53"/>
      <c r="CF437" s="53"/>
      <c r="CG437" s="53"/>
      <c r="CH437" s="53"/>
      <c r="CI437" s="53"/>
      <c r="CJ437" s="53"/>
      <c r="CK437" s="53"/>
      <c r="CL437" s="53"/>
      <c r="CM437" s="53"/>
      <c r="CN437" s="53"/>
      <c r="CO437" s="53"/>
      <c r="CP437" s="53"/>
      <c r="CQ437" s="53"/>
      <c r="CR437" s="1"/>
      <c r="CS437" s="1"/>
      <c r="CT437" s="1"/>
      <c r="CU437" s="1"/>
    </row>
    <row r="438" spans="1:99" s="13" customFormat="1" ht="12" customHeight="1" x14ac:dyDescent="0.2">
      <c r="A438" s="65">
        <v>43979</v>
      </c>
      <c r="B438" s="1"/>
      <c r="C438" s="1"/>
      <c r="D438" s="60"/>
      <c r="E438" s="76"/>
      <c r="F438" s="60"/>
      <c r="G438" s="60"/>
      <c r="H438" s="60"/>
      <c r="I438" s="60"/>
      <c r="J438" s="60"/>
      <c r="K438" s="60"/>
      <c r="L438" s="60"/>
      <c r="M438" s="60"/>
      <c r="N438" s="61"/>
      <c r="O438" s="60"/>
      <c r="P438" s="60"/>
      <c r="Q438" s="60"/>
      <c r="R438" s="60"/>
      <c r="S438" s="60"/>
      <c r="T438" s="59"/>
      <c r="U438" s="60"/>
      <c r="V438" s="59"/>
      <c r="W438" s="60"/>
      <c r="X438" s="60"/>
      <c r="Y438" s="76"/>
      <c r="Z438" s="59"/>
      <c r="AA438" s="60"/>
      <c r="AB438" s="60"/>
      <c r="AC438" s="56"/>
      <c r="AD438" s="60"/>
      <c r="AE438" s="76"/>
      <c r="AF438" s="80"/>
      <c r="AG438" s="56"/>
      <c r="AH438" s="4"/>
      <c r="AI438" s="56"/>
      <c r="AJ438" s="109"/>
      <c r="AK438" s="56"/>
      <c r="AL438" s="56"/>
      <c r="AM438" s="56"/>
      <c r="AN438" s="56"/>
      <c r="AO438" s="82"/>
      <c r="AP438" s="82"/>
      <c r="AQ438" s="83"/>
      <c r="AR438" s="116"/>
      <c r="AS438" s="84"/>
      <c r="AT438" s="84"/>
      <c r="AU438" s="3"/>
      <c r="AV438" s="25">
        <v>20</v>
      </c>
      <c r="AW438" s="25">
        <f>60*30</f>
        <v>1800</v>
      </c>
      <c r="AX438" s="25">
        <f>60*60*24*7*3</f>
        <v>1814400</v>
      </c>
      <c r="AY438" s="53"/>
      <c r="AZ438" s="53"/>
      <c r="BA438" s="53"/>
      <c r="BB438" s="53"/>
      <c r="BC438" s="53"/>
      <c r="BD438" s="53"/>
      <c r="BE438" s="53"/>
      <c r="BF438" s="53"/>
      <c r="BG438" s="53"/>
      <c r="BH438" s="53"/>
      <c r="BI438" s="53"/>
      <c r="BJ438" s="53"/>
      <c r="BK438" s="53"/>
      <c r="BL438" s="53"/>
      <c r="BM438" s="53"/>
      <c r="BN438" s="53"/>
      <c r="BO438" s="53"/>
      <c r="BP438" s="53"/>
      <c r="BQ438" s="53"/>
      <c r="BR438" s="53"/>
      <c r="BS438" s="53"/>
      <c r="BT438" s="53"/>
      <c r="BU438" s="53"/>
      <c r="BV438" s="53"/>
      <c r="BW438" s="53"/>
      <c r="BX438" s="53"/>
      <c r="BY438" s="53"/>
      <c r="BZ438" s="53"/>
      <c r="CA438" s="53"/>
      <c r="CB438" s="53"/>
      <c r="CC438" s="53"/>
      <c r="CD438" s="53"/>
      <c r="CE438" s="53"/>
      <c r="CF438" s="53"/>
      <c r="CG438" s="53"/>
      <c r="CH438" s="53"/>
      <c r="CI438" s="53"/>
      <c r="CJ438" s="53"/>
      <c r="CK438" s="53"/>
      <c r="CL438" s="53"/>
      <c r="CM438" s="53"/>
      <c r="CN438" s="53"/>
      <c r="CO438" s="53"/>
      <c r="CP438" s="53"/>
      <c r="CQ438" s="53"/>
      <c r="CR438" s="1"/>
      <c r="CS438" s="1"/>
      <c r="CT438" s="1"/>
      <c r="CU438" s="1"/>
    </row>
    <row r="439" spans="1:99" s="13" customFormat="1" ht="12" customHeight="1" x14ac:dyDescent="0.2">
      <c r="A439" s="65">
        <v>43979</v>
      </c>
      <c r="B439" s="1" t="s">
        <v>979</v>
      </c>
      <c r="C439" s="1" t="s">
        <v>357</v>
      </c>
      <c r="D439" s="60">
        <v>2003</v>
      </c>
      <c r="E439" s="76">
        <v>1</v>
      </c>
      <c r="F439" s="60">
        <v>10</v>
      </c>
      <c r="G439" s="60">
        <v>10</v>
      </c>
      <c r="H439" s="60" t="s">
        <v>452</v>
      </c>
      <c r="I439" s="60" t="s">
        <v>330</v>
      </c>
      <c r="J439" s="60" t="s">
        <v>677</v>
      </c>
      <c r="K439" s="60">
        <f>IF(J439="syllables",1,IF(J439="trigrams",2,IF(J439="strings",3,IF(J439="visual array",4,IF(J439="characters",5,IF(J439="letters",6,IF(J439="free forms",7,IF(J439="odors",8,IF(J439="words",9,IF(J439="pictures",10,IF(J439="object pictures",11,IF(J439="faces",12,IF(J439="names",13,IF(J439="idioms",14,IF(J439="grades",15,IF(J439="syllable-digit pairs",16,IF(J439="trigram-word pairs",17,IF(J439="word-digit pairs",18,IF(J439="English-Swahili pairs",19,IF(J439="spatial position",20,IF(J439="word pairs",21,IF(J439="word triads",22,IF(J439="generated words",23,IF(J439="word definition pairs",24,IF(J439="math problems",25,IF(J439="famous faces",26,IF(J439="famous names",27,IF(J439="famous voices",28,IF(J439="television programs",29,IF(J439="race horses",30,IF(J439="new vocabulary",31,IF(J439="sentences",32,IF(J439="concepts",33,IF(J439="ad slides",34,IF(J439="scenes",35,IF(J439="famous scenes",36,IF(J439="poems",37,IF(J439="walk",38,IF(J439="faces and events",39,IF(J439="events and names",40,IF(J439="flashbulb",41,IF(J439="stories",42,IF(J439="course material",43,IF(J439="autobiographical",44,IF(J439="novels",45,IF(J439="public events",46,"99"))))))))))))))))))))))))))))))))))))))))))))))</f>
        <v>42</v>
      </c>
      <c r="L439" s="60">
        <f>IF(J439="syllables",1,IF(J439="trigrams",1,IF(J439="strings",1,IF(J439="visual array",1,IF(J439="characters",1,IF(J439="letters",1,IF(J439="free forms",1,IF(J439="odors",2,IF(J439="words",2,IF(J439="pictures",2,IF(J439="object pictures",2,IF(J439="faces",2,IF(J439="names",2,IF(J439="idioms","2",IF(J439="grades",2,IF(J439="syllable-digit pairs",3,IF(J439="trigram-word pairs",3,IF(J439="word-digit pairs",3,IF(J439="English-Swahili pairs",3,IF(J439="spatial position",3,IF(J439="word pairs",4,IF(J439="word triads",4,IF(J439="generated words",4,IF(J439="word definition pairs",4,IF(J439="math problems",4,IF(J439="famous faces",4,IF(J439="famous names",4,IF(J439="famous voices",4,IF(J439="television programs",4,IF(J439="race horses",4,IF(J439="new vocabulary",4,IF(J439="sentences",5,IF(J439="concepts",5,IF(J439="ad slides",5,IF(J439="scenes",5,IF(J439="famous scenes",5,IF(J439="poems",6,IF(J439="walk",6,IF(J439="faces and events",6,IF(J439="events and names",6,IF(J439="flashbulb",7,IF(J439="stories",7,IF(J439="course material",7,IF(J439="autobiographical",7,IF(J439="novels",7,IF(J439="public events",7,"99"))))))))))))))))))))))))))))))))))))))))))))))</f>
        <v>7</v>
      </c>
      <c r="M439" s="60">
        <v>0</v>
      </c>
      <c r="N439" s="61">
        <v>3</v>
      </c>
      <c r="O439" s="60">
        <v>0</v>
      </c>
      <c r="P439" s="60"/>
      <c r="Q439" s="60" t="s">
        <v>174</v>
      </c>
      <c r="R439" s="60">
        <f>IF(Q439="Free Recall",1,IF(Q439="Cued Recall",2,IF(Q439="Recognition",3,IF(Q439="Multiple Choice",4,IF(Q439="Savings",5,IF(Q439="Stem Completion",6,IF(Q439="Fragment Completion",7,IF(Q439="anagram solution",8,IF(Q439="Matching",9,IF(Q439="Problem Solving",10,"99"))))))))))</f>
        <v>1</v>
      </c>
      <c r="S439" s="60" t="s">
        <v>49</v>
      </c>
      <c r="T439" s="59" t="s">
        <v>581</v>
      </c>
      <c r="U439" s="60">
        <f>IF(T439="within",1,0)</f>
        <v>1</v>
      </c>
      <c r="V439" s="59">
        <v>100</v>
      </c>
      <c r="W439" s="60">
        <f>F439*V439</f>
        <v>1000</v>
      </c>
      <c r="X439" s="60">
        <v>3</v>
      </c>
      <c r="Y439" s="76">
        <f>AV438</f>
        <v>20</v>
      </c>
      <c r="Z439" s="59" t="s">
        <v>165</v>
      </c>
      <c r="AA439" s="60">
        <f>60*60*24*7*3</f>
        <v>1814400</v>
      </c>
      <c r="AB439" s="60" t="str">
        <f>IF(AA439&lt;60,"1",IF(AA439&lt;=43200,"2",IF(AA439&lt;=777600,"3","4")))</f>
        <v>4</v>
      </c>
      <c r="AC439" s="56">
        <f>AVERAGE(AV438:DA438)</f>
        <v>605406.66666666663</v>
      </c>
      <c r="AD439" s="60" t="str">
        <f>IF(AC439&lt;60,"1",IF(AC439&lt;=43200,"2",IF(AC439&lt;=777600,"3","4")))</f>
        <v>3</v>
      </c>
      <c r="AE439" s="76">
        <f>AA439-Y439</f>
        <v>1814380</v>
      </c>
      <c r="AF439" s="80">
        <f>AV439</f>
        <v>0.32800000000000001</v>
      </c>
      <c r="AG439" s="56">
        <f>((AW439-AV439)+(AX439-AW439))/2</f>
        <v>-5.2000000000000005E-2</v>
      </c>
      <c r="AH439" s="4"/>
      <c r="AI439" s="56">
        <f>RSQ(AV439:AX439,AV438:AX438)</f>
        <v>0.98802560572758469</v>
      </c>
      <c r="AJ439" s="109">
        <f>SLOPE(AV439:AX439,AV438:AX438)</f>
        <v>-6.1202219868329481E-8</v>
      </c>
      <c r="AK439" s="56">
        <f>INTERCEPT(AV439:AX439,AV438:AX438)</f>
        <v>0.33505223192308575</v>
      </c>
      <c r="AL439" s="56">
        <f>INDEX(LINEST(LN(AV439:AX439),LN(AV438:AX438),TRUE,TRUE),3,1)</f>
        <v>0.77705076806684892</v>
      </c>
      <c r="AM439" s="56">
        <f>INDEX(LINEST(LN(AV439:AX439),LN(AV438:AX438)),1)</f>
        <v>-3.5747405860801697E-2</v>
      </c>
      <c r="AN439" s="56">
        <f>EXP(INDEX(LINEST(LN(AV439:AX439),LN(AV438:AX438)),1,2))</f>
        <v>0.39408128530542003</v>
      </c>
      <c r="AO439" s="82">
        <f>INDEX(LINEST((AV439:AX439),LN(AV438:AX438),TRUE,TRUE),3,1)</f>
        <v>0.7609909895088558</v>
      </c>
      <c r="AP439" s="82">
        <f>INDEX(LINEST((AV439:AX439),LN(AV438:AX438)),1)</f>
        <v>-9.780101387685914E-3</v>
      </c>
      <c r="AQ439" s="83">
        <f>INDEX(LINEST(LN(AV439:AX439),SQRT(AV438:AX438),TRUE,TRUE),3,1)</f>
        <v>0.98693078707503867</v>
      </c>
      <c r="AR439" s="116">
        <f>INDEX(LINEST(LN(AV439:AX439),SQRT((AV438:AX438))),1)</f>
        <v>-3.0306417503530973E-4</v>
      </c>
      <c r="AS439" s="84">
        <f>INDEX(LINEST(1/(AV439:AX439),1/(SQRT(AV438:AX438)),TRUE,TRUE),3,1)</f>
        <v>0.26771145048578238</v>
      </c>
      <c r="AT439" s="84">
        <f>INDEX(LINEST(1/(AV439:AX439),1/SQRT(AV438:AX438)),1)</f>
        <v>-3.6102754654817728</v>
      </c>
      <c r="AU439" s="3"/>
      <c r="AV439" s="53">
        <v>0.32800000000000001</v>
      </c>
      <c r="AW439" s="53">
        <v>0.34200000000000003</v>
      </c>
      <c r="AX439" s="53">
        <v>0.224</v>
      </c>
      <c r="AY439" s="53"/>
      <c r="AZ439" s="53"/>
      <c r="BA439" s="53"/>
      <c r="BB439" s="53"/>
      <c r="BC439" s="53"/>
      <c r="BD439" s="53"/>
      <c r="BE439" s="53"/>
      <c r="BF439" s="53"/>
      <c r="BG439" s="53"/>
      <c r="BH439" s="53"/>
      <c r="BI439" s="53"/>
      <c r="BJ439" s="53"/>
      <c r="BK439" s="53"/>
      <c r="BL439" s="53"/>
      <c r="BM439" s="53"/>
      <c r="BN439" s="53"/>
      <c r="BO439" s="53"/>
      <c r="BP439" s="53"/>
      <c r="BQ439" s="53"/>
      <c r="BR439" s="53"/>
      <c r="BS439" s="53"/>
      <c r="BT439" s="53"/>
      <c r="BU439" s="53"/>
      <c r="BV439" s="53"/>
      <c r="BW439" s="53"/>
      <c r="BX439" s="53"/>
      <c r="BY439" s="53"/>
      <c r="BZ439" s="53"/>
      <c r="CA439" s="53"/>
      <c r="CB439" s="53"/>
      <c r="CC439" s="53"/>
      <c r="CD439" s="53"/>
      <c r="CE439" s="53"/>
      <c r="CF439" s="53"/>
      <c r="CG439" s="53"/>
      <c r="CH439" s="53"/>
      <c r="CI439" s="53"/>
      <c r="CJ439" s="53"/>
      <c r="CK439" s="53"/>
      <c r="CL439" s="53"/>
      <c r="CM439" s="53"/>
      <c r="CN439" s="53"/>
      <c r="CO439" s="53"/>
      <c r="CP439" s="53"/>
      <c r="CQ439" s="53"/>
      <c r="CR439" s="1"/>
      <c r="CS439" s="1"/>
      <c r="CT439" s="1"/>
      <c r="CU439" s="1"/>
    </row>
    <row r="440" spans="1:99" s="13" customFormat="1" ht="12" customHeight="1" x14ac:dyDescent="0.2">
      <c r="A440" s="65">
        <v>43979</v>
      </c>
      <c r="B440" s="1"/>
      <c r="C440" s="1"/>
      <c r="D440" s="60"/>
      <c r="E440" s="76"/>
      <c r="F440" s="60"/>
      <c r="G440" s="60"/>
      <c r="H440" s="60"/>
      <c r="I440" s="60"/>
      <c r="J440" s="60"/>
      <c r="K440" s="60"/>
      <c r="L440" s="60"/>
      <c r="M440" s="60"/>
      <c r="N440" s="61"/>
      <c r="O440" s="60"/>
      <c r="P440" s="60"/>
      <c r="Q440" s="60"/>
      <c r="R440" s="60"/>
      <c r="S440" s="60"/>
      <c r="T440" s="59"/>
      <c r="U440" s="60"/>
      <c r="V440" s="59"/>
      <c r="W440" s="60"/>
      <c r="X440" s="60"/>
      <c r="Y440" s="76"/>
      <c r="Z440" s="59"/>
      <c r="AA440" s="60"/>
      <c r="AB440" s="60"/>
      <c r="AC440" s="56"/>
      <c r="AD440" s="60"/>
      <c r="AE440" s="76"/>
      <c r="AF440" s="80"/>
      <c r="AG440" s="56"/>
      <c r="AH440" s="4"/>
      <c r="AI440" s="56"/>
      <c r="AJ440" s="109"/>
      <c r="AK440" s="56"/>
      <c r="AL440" s="56"/>
      <c r="AM440" s="56"/>
      <c r="AN440" s="56"/>
      <c r="AO440" s="82"/>
      <c r="AP440" s="82"/>
      <c r="AQ440" s="83"/>
      <c r="AR440" s="116"/>
      <c r="AS440" s="84"/>
      <c r="AT440" s="84"/>
      <c r="AU440" s="3"/>
      <c r="AV440" s="25">
        <v>20</v>
      </c>
      <c r="AW440" s="25">
        <f>60*30</f>
        <v>1800</v>
      </c>
      <c r="AX440" s="25">
        <f>60*60*24*7*3</f>
        <v>1814400</v>
      </c>
      <c r="AY440" s="53"/>
      <c r="AZ440" s="53"/>
      <c r="BA440" s="53"/>
      <c r="BB440" s="53"/>
      <c r="BC440" s="53"/>
      <c r="BD440" s="53"/>
      <c r="BE440" s="53"/>
      <c r="BF440" s="53"/>
      <c r="BG440" s="53"/>
      <c r="BH440" s="53"/>
      <c r="BI440" s="53"/>
      <c r="BJ440" s="53"/>
      <c r="BK440" s="53"/>
      <c r="BL440" s="53"/>
      <c r="BM440" s="53"/>
      <c r="BN440" s="53"/>
      <c r="BO440" s="53"/>
      <c r="BP440" s="53"/>
      <c r="BQ440" s="53"/>
      <c r="BR440" s="53"/>
      <c r="BS440" s="53"/>
      <c r="BT440" s="53"/>
      <c r="BU440" s="53"/>
      <c r="BV440" s="53"/>
      <c r="BW440" s="53"/>
      <c r="BX440" s="53"/>
      <c r="BY440" s="53"/>
      <c r="BZ440" s="53"/>
      <c r="CA440" s="53"/>
      <c r="CB440" s="53"/>
      <c r="CC440" s="53"/>
      <c r="CD440" s="53"/>
      <c r="CE440" s="53"/>
      <c r="CF440" s="53"/>
      <c r="CG440" s="53"/>
      <c r="CH440" s="53"/>
      <c r="CI440" s="53"/>
      <c r="CJ440" s="53"/>
      <c r="CK440" s="53"/>
      <c r="CL440" s="53"/>
      <c r="CM440" s="53"/>
      <c r="CN440" s="53"/>
      <c r="CO440" s="53"/>
      <c r="CP440" s="53"/>
      <c r="CQ440" s="53"/>
      <c r="CR440" s="1"/>
      <c r="CS440" s="1"/>
      <c r="CT440" s="1"/>
      <c r="CU440" s="1"/>
    </row>
    <row r="441" spans="1:99" s="13" customFormat="1" ht="12" customHeight="1" x14ac:dyDescent="0.2">
      <c r="A441" s="65">
        <v>43979</v>
      </c>
      <c r="B441" s="1" t="s">
        <v>979</v>
      </c>
      <c r="C441" s="1" t="s">
        <v>357</v>
      </c>
      <c r="D441" s="60">
        <v>2003</v>
      </c>
      <c r="E441" s="76">
        <v>1</v>
      </c>
      <c r="F441" s="60">
        <v>10</v>
      </c>
      <c r="G441" s="60">
        <v>10</v>
      </c>
      <c r="H441" s="60" t="s">
        <v>452</v>
      </c>
      <c r="I441" s="60" t="s">
        <v>330</v>
      </c>
      <c r="J441" s="60" t="s">
        <v>677</v>
      </c>
      <c r="K441" s="60">
        <f>IF(J441="syllables",1,IF(J441="trigrams",2,IF(J441="strings",3,IF(J441="visual array",4,IF(J441="characters",5,IF(J441="letters",6,IF(J441="free forms",7,IF(J441="odors",8,IF(J441="words",9,IF(J441="pictures",10,IF(J441="object pictures",11,IF(J441="faces",12,IF(J441="names",13,IF(J441="idioms",14,IF(J441="grades",15,IF(J441="syllable-digit pairs",16,IF(J441="trigram-word pairs",17,IF(J441="word-digit pairs",18,IF(J441="English-Swahili pairs",19,IF(J441="spatial position",20,IF(J441="word pairs",21,IF(J441="word triads",22,IF(J441="generated words",23,IF(J441="word definition pairs",24,IF(J441="math problems",25,IF(J441="famous faces",26,IF(J441="famous names",27,IF(J441="famous voices",28,IF(J441="television programs",29,IF(J441="race horses",30,IF(J441="new vocabulary",31,IF(J441="sentences",32,IF(J441="concepts",33,IF(J441="ad slides",34,IF(J441="scenes",35,IF(J441="famous scenes",36,IF(J441="poems",37,IF(J441="walk",38,IF(J441="faces and events",39,IF(J441="events and names",40,IF(J441="flashbulb",41,IF(J441="stories",42,IF(J441="course material",43,IF(J441="autobiographical",44,IF(J441="novels",45,IF(J441="public events",46,"99"))))))))))))))))))))))))))))))))))))))))))))))</f>
        <v>42</v>
      </c>
      <c r="L441" s="60">
        <f>IF(J441="syllables",1,IF(J441="trigrams",1,IF(J441="strings",1,IF(J441="visual array",1,IF(J441="characters",1,IF(J441="letters",1,IF(J441="free forms",1,IF(J441="odors",2,IF(J441="words",2,IF(J441="pictures",2,IF(J441="object pictures",2,IF(J441="faces",2,IF(J441="names",2,IF(J441="idioms","2",IF(J441="grades",2,IF(J441="syllable-digit pairs",3,IF(J441="trigram-word pairs",3,IF(J441="word-digit pairs",3,IF(J441="English-Swahili pairs",3,IF(J441="spatial position",3,IF(J441="word pairs",4,IF(J441="word triads",4,IF(J441="generated words",4,IF(J441="word definition pairs",4,IF(J441="math problems",4,IF(J441="famous faces",4,IF(J441="famous names",4,IF(J441="famous voices",4,IF(J441="television programs",4,IF(J441="race horses",4,IF(J441="new vocabulary",4,IF(J441="sentences",5,IF(J441="concepts",5,IF(J441="ad slides",5,IF(J441="scenes",5,IF(J441="famous scenes",5,IF(J441="poems",6,IF(J441="walk",6,IF(J441="faces and events",6,IF(J441="events and names",6,IF(J441="flashbulb",7,IF(J441="stories",7,IF(J441="course material",7,IF(J441="autobiographical",7,IF(J441="novels",7,IF(J441="public events",7,"99"))))))))))))))))))))))))))))))))))))))))))))))</f>
        <v>7</v>
      </c>
      <c r="M441" s="60">
        <v>0</v>
      </c>
      <c r="N441" s="61">
        <v>3</v>
      </c>
      <c r="O441" s="60">
        <v>0</v>
      </c>
      <c r="P441" s="60"/>
      <c r="Q441" s="60" t="s">
        <v>182</v>
      </c>
      <c r="R441" s="60">
        <f>IF(Q441="Free Recall",1,IF(Q441="Cued Recall",2,IF(Q441="Recognition",3,IF(Q441="Multiple Choice",4,IF(Q441="Savings",5,IF(Q441="Stem Completion",6,IF(Q441="Fragment Completion",7,IF(Q441="anagram solution",8,IF(Q441="Matching",9,IF(Q441="Problem Solving",10,"99"))))))))))</f>
        <v>4</v>
      </c>
      <c r="S441" s="60" t="s">
        <v>15</v>
      </c>
      <c r="T441" s="59" t="s">
        <v>581</v>
      </c>
      <c r="U441" s="60">
        <f>IF(T441="within",1,0)</f>
        <v>1</v>
      </c>
      <c r="V441" s="59">
        <v>36</v>
      </c>
      <c r="W441" s="60">
        <f>F441*V441</f>
        <v>360</v>
      </c>
      <c r="X441" s="60">
        <v>3</v>
      </c>
      <c r="Y441" s="76">
        <f>AV440</f>
        <v>20</v>
      </c>
      <c r="Z441" s="59" t="s">
        <v>165</v>
      </c>
      <c r="AA441" s="60">
        <f>60*60*24*7*3</f>
        <v>1814400</v>
      </c>
      <c r="AB441" s="60" t="str">
        <f>IF(AA441&lt;60,"1",IF(AA441&lt;=43200,"2",IF(AA441&lt;=777600,"3","4")))</f>
        <v>4</v>
      </c>
      <c r="AC441" s="56">
        <f>AVERAGE(AV440:DA440)</f>
        <v>605406.66666666663</v>
      </c>
      <c r="AD441" s="60" t="str">
        <f>IF(AC441&lt;60,"1",IF(AC441&lt;=43200,"2",IF(AC441&lt;=777600,"3","4")))</f>
        <v>3</v>
      </c>
      <c r="AE441" s="76">
        <f>AA441-Y441</f>
        <v>1814380</v>
      </c>
      <c r="AF441" s="80">
        <f>AV441</f>
        <v>0.90833333333333333</v>
      </c>
      <c r="AG441" s="56">
        <f>((AW441-AV441)+(AX441-AW441))/2</f>
        <v>-0.10416666666666663</v>
      </c>
      <c r="AH441" s="4"/>
      <c r="AI441" s="56">
        <f>RSQ(AV441:AX441,AV440:AX440)</f>
        <v>0.64555027142614685</v>
      </c>
      <c r="AJ441" s="109">
        <f>SLOPE(AV441:AX441,AV440:AX440)</f>
        <v>-8.0466529508614036E-8</v>
      </c>
      <c r="AK441" s="56">
        <f>INTERCEPT(AV441:AX441,AV440:AX440)</f>
        <v>0.84593719563026715</v>
      </c>
      <c r="AL441" s="56">
        <f>INDEX(LINEST(LN(AV441:AX441),LN(AV440:AX440),TRUE,TRUE),3,1)</f>
        <v>0.96043005336436826</v>
      </c>
      <c r="AM441" s="56">
        <f>INDEX(LINEST(LN(AV441:AX441),LN(AV440:AX440)),1)</f>
        <v>-2.2270177520680771E-2</v>
      </c>
      <c r="AN441" s="56">
        <f>EXP(INDEX(LINEST(LN(AV441:AX441),LN(AV440:AX440)),1,2))</f>
        <v>0.95363215620082431</v>
      </c>
      <c r="AO441" s="82">
        <f>INDEX(LINEST((AV441:AX441),LN(AV440:AX440),TRUE,TRUE),3,1)</f>
        <v>0.94508224858077294</v>
      </c>
      <c r="AP441" s="82">
        <f>INDEX(LINEST((AV441:AX441),LN(AV440:AX440)),1)</f>
        <v>-1.772782943850874E-2</v>
      </c>
      <c r="AQ441" s="83">
        <f>INDEX(LINEST(LN(AV441:AX441),SQRT(AV440:AX440),TRUE,TRUE),3,1)</f>
        <v>0.70201126923910306</v>
      </c>
      <c r="AR441" s="116">
        <f>INDEX(LINEST(LN(AV441:AX441),SQRT((AV440:AX440))),1)</f>
        <v>-1.4323009150943691E-4</v>
      </c>
      <c r="AS441" s="84">
        <f>INDEX(LINEST(1/(AV441:AX441),1/(SQRT(AV440:AX440)),TRUE,TRUE),3,1)</f>
        <v>0.85641636842115176</v>
      </c>
      <c r="AT441" s="84">
        <f>INDEX(LINEST(1/(AV441:AX441),1/SQRT(AV440:AX440)),1)</f>
        <v>-1.2375662498862186</v>
      </c>
      <c r="AU441" s="3"/>
      <c r="AV441" s="53">
        <f>10.9/12</f>
        <v>0.90833333333333333</v>
      </c>
      <c r="AW441" s="53">
        <f>9.4/12</f>
        <v>0.78333333333333333</v>
      </c>
      <c r="AX441" s="53">
        <f>8.4/12</f>
        <v>0.70000000000000007</v>
      </c>
      <c r="AY441" s="53"/>
      <c r="AZ441" s="53"/>
      <c r="BA441" s="53"/>
      <c r="BB441" s="53"/>
      <c r="BC441" s="53"/>
      <c r="BD441" s="53"/>
      <c r="BE441" s="53"/>
      <c r="BF441" s="53"/>
      <c r="BG441" s="53"/>
      <c r="BH441" s="53"/>
      <c r="BI441" s="53"/>
      <c r="BJ441" s="53"/>
      <c r="BK441" s="53"/>
      <c r="BL441" s="53"/>
      <c r="BM441" s="53"/>
      <c r="BN441" s="53"/>
      <c r="BO441" s="53"/>
      <c r="BP441" s="53"/>
      <c r="BQ441" s="53"/>
      <c r="BR441" s="53"/>
      <c r="BS441" s="53"/>
      <c r="BT441" s="53"/>
      <c r="BU441" s="53"/>
      <c r="BV441" s="53"/>
      <c r="BW441" s="53"/>
      <c r="BX441" s="53"/>
      <c r="BY441" s="53"/>
      <c r="BZ441" s="53"/>
      <c r="CA441" s="53"/>
      <c r="CB441" s="53"/>
      <c r="CC441" s="53"/>
      <c r="CD441" s="53"/>
      <c r="CE441" s="53"/>
      <c r="CF441" s="53"/>
      <c r="CG441" s="53"/>
      <c r="CH441" s="53"/>
      <c r="CI441" s="53"/>
      <c r="CJ441" s="53"/>
      <c r="CK441" s="53"/>
      <c r="CL441" s="53"/>
      <c r="CM441" s="53"/>
      <c r="CN441" s="53"/>
      <c r="CO441" s="53"/>
      <c r="CP441" s="53"/>
      <c r="CQ441" s="53"/>
      <c r="CR441" s="1"/>
      <c r="CS441" s="1"/>
      <c r="CT441" s="1"/>
      <c r="CU441" s="1"/>
    </row>
    <row r="442" spans="1:99" s="13" customFormat="1" ht="12" customHeight="1" x14ac:dyDescent="0.2">
      <c r="A442" s="65">
        <v>43979</v>
      </c>
      <c r="B442" s="1"/>
      <c r="C442" s="1"/>
      <c r="D442" s="60"/>
      <c r="E442" s="76"/>
      <c r="F442" s="60"/>
      <c r="G442" s="60"/>
      <c r="H442" s="60"/>
      <c r="I442" s="60"/>
      <c r="J442" s="60"/>
      <c r="K442" s="60"/>
      <c r="L442" s="60"/>
      <c r="M442" s="60"/>
      <c r="N442" s="61"/>
      <c r="O442" s="60"/>
      <c r="P442" s="60"/>
      <c r="Q442" s="60"/>
      <c r="R442" s="60"/>
      <c r="S442" s="60"/>
      <c r="T442" s="59"/>
      <c r="U442" s="60"/>
      <c r="V442" s="59"/>
      <c r="W442" s="60"/>
      <c r="X442" s="60"/>
      <c r="Y442" s="76"/>
      <c r="Z442" s="59"/>
      <c r="AA442" s="60"/>
      <c r="AB442" s="60"/>
      <c r="AC442" s="56"/>
      <c r="AD442" s="60"/>
      <c r="AE442" s="76"/>
      <c r="AF442" s="80"/>
      <c r="AG442" s="56"/>
      <c r="AH442" s="4"/>
      <c r="AI442" s="56"/>
      <c r="AJ442" s="109"/>
      <c r="AK442" s="56"/>
      <c r="AL442" s="56"/>
      <c r="AM442" s="56"/>
      <c r="AN442" s="56"/>
      <c r="AO442" s="82"/>
      <c r="AP442" s="82"/>
      <c r="AQ442" s="83"/>
      <c r="AR442" s="116"/>
      <c r="AS442" s="84"/>
      <c r="AT442" s="84"/>
      <c r="AU442" s="3"/>
      <c r="AV442" s="25">
        <v>20</v>
      </c>
      <c r="AW442" s="25">
        <f>60*30</f>
        <v>1800</v>
      </c>
      <c r="AX442" s="25">
        <f>60*60*24*7*3</f>
        <v>1814400</v>
      </c>
      <c r="AY442" s="53"/>
      <c r="AZ442" s="53"/>
      <c r="BA442" s="53"/>
      <c r="BB442" s="53"/>
      <c r="BC442" s="53"/>
      <c r="BD442" s="53"/>
      <c r="BE442" s="53"/>
      <c r="BF442" s="53"/>
      <c r="BG442" s="53"/>
      <c r="BH442" s="53"/>
      <c r="BI442" s="53"/>
      <c r="BJ442" s="53"/>
      <c r="BK442" s="53"/>
      <c r="BL442" s="53"/>
      <c r="BM442" s="53"/>
      <c r="BN442" s="53"/>
      <c r="BO442" s="53"/>
      <c r="BP442" s="53"/>
      <c r="BQ442" s="53"/>
      <c r="BR442" s="53"/>
      <c r="BS442" s="53"/>
      <c r="BT442" s="53"/>
      <c r="BU442" s="53"/>
      <c r="BV442" s="53"/>
      <c r="BW442" s="53"/>
      <c r="BX442" s="53"/>
      <c r="BY442" s="53"/>
      <c r="BZ442" s="53"/>
      <c r="CA442" s="53"/>
      <c r="CB442" s="53"/>
      <c r="CC442" s="53"/>
      <c r="CD442" s="53"/>
      <c r="CE442" s="53"/>
      <c r="CF442" s="53"/>
      <c r="CG442" s="53"/>
      <c r="CH442" s="53"/>
      <c r="CI442" s="53"/>
      <c r="CJ442" s="53"/>
      <c r="CK442" s="53"/>
      <c r="CL442" s="53"/>
      <c r="CM442" s="53"/>
      <c r="CN442" s="53"/>
      <c r="CO442" s="53"/>
      <c r="CP442" s="53"/>
      <c r="CQ442" s="53"/>
      <c r="CR442" s="1"/>
      <c r="CS442" s="1"/>
      <c r="CT442" s="1"/>
      <c r="CU442" s="1"/>
    </row>
    <row r="443" spans="1:99" s="13" customFormat="1" ht="12" customHeight="1" x14ac:dyDescent="0.2">
      <c r="A443" s="65">
        <v>43979</v>
      </c>
      <c r="B443" s="1" t="s">
        <v>979</v>
      </c>
      <c r="C443" s="1" t="s">
        <v>357</v>
      </c>
      <c r="D443" s="60">
        <v>2003</v>
      </c>
      <c r="E443" s="76">
        <v>1</v>
      </c>
      <c r="F443" s="60">
        <v>10</v>
      </c>
      <c r="G443" s="60">
        <v>10</v>
      </c>
      <c r="H443" s="60" t="s">
        <v>452</v>
      </c>
      <c r="I443" s="60" t="s">
        <v>330</v>
      </c>
      <c r="J443" s="60" t="s">
        <v>317</v>
      </c>
      <c r="K443" s="60">
        <f>IF(J443="syllables",1,IF(J443="trigrams",2,IF(J443="strings",3,IF(J443="visual array",4,IF(J443="characters",5,IF(J443="letters",6,IF(J443="free forms",7,IF(J443="odors",8,IF(J443="words",9,IF(J443="pictures",10,IF(J443="object pictures",11,IF(J443="faces",12,IF(J443="names",13,IF(J443="idioms",14,IF(J443="grades",15,IF(J443="syllable-digit pairs",16,IF(J443="trigram-word pairs",17,IF(J443="word-digit pairs",18,IF(J443="English-Swahili pairs",19,IF(J443="spatial position",20,IF(J443="word pairs",21,IF(J443="word triads",22,IF(J443="generated words",23,IF(J443="word definition pairs",24,IF(J443="math problems",25,IF(J443="famous faces",26,IF(J443="famous names",27,IF(J443="famous voices",28,IF(J443="television programs",29,IF(J443="race horses",30,IF(J443="new vocabulary",31,IF(J443="sentences",32,IF(J443="concepts",33,IF(J443="ad slides",34,IF(J443="scenes",35,IF(J443="famous scenes",36,IF(J443="poems",37,IF(J443="walk",38,IF(J443="faces and events",39,IF(J443="events and names",40,IF(J443="flashbulb",41,IF(J443="stories",42,IF(J443="course material",43,IF(J443="autobiographical",44,IF(J443="novels",45,IF(J443="public events",46,"99"))))))))))))))))))))))))))))))))))))))))))))))</f>
        <v>7</v>
      </c>
      <c r="L443" s="60">
        <f>IF(J443="syllables",1,IF(J443="trigrams",1,IF(J443="strings",1,IF(J443="visual array",1,IF(J443="characters",1,IF(J443="letters",1,IF(J443="free forms",1,IF(J443="odors",2,IF(J443="words",2,IF(J443="pictures",2,IF(J443="object pictures",2,IF(J443="faces",2,IF(J443="names",2,IF(J443="idioms","2",IF(J443="grades",2,IF(J443="syllable-digit pairs",3,IF(J443="trigram-word pairs",3,IF(J443="word-digit pairs",3,IF(J443="English-Swahili pairs",3,IF(J443="spatial position",3,IF(J443="word pairs",4,IF(J443="word triads",4,IF(J443="generated words",4,IF(J443="word definition pairs",4,IF(J443="math problems",4,IF(J443="famous faces",4,IF(J443="famous names",4,IF(J443="famous voices",4,IF(J443="television programs",4,IF(J443="race horses",4,IF(J443="new vocabulary",4,IF(J443="sentences",5,IF(J443="concepts",5,IF(J443="ad slides",5,IF(J443="scenes",5,IF(J443="famous scenes",5,IF(J443="poems",6,IF(J443="walk",6,IF(J443="faces and events",6,IF(J443="events and names",6,IF(J443="flashbulb",7,IF(J443="stories",7,IF(J443="course material",7,IF(J443="autobiographical",7,IF(J443="novels",7,IF(J443="public events",7,"99"))))))))))))))))))))))))))))))))))))))))))))))</f>
        <v>1</v>
      </c>
      <c r="M443" s="60">
        <v>0</v>
      </c>
      <c r="N443" s="61">
        <v>1</v>
      </c>
      <c r="O443" s="60">
        <v>0</v>
      </c>
      <c r="P443" s="60"/>
      <c r="Q443" s="60" t="s">
        <v>174</v>
      </c>
      <c r="R443" s="60">
        <f>IF(Q443="Free Recall",1,IF(Q443="Cued Recall",2,IF(Q443="Recognition",3,IF(Q443="Multiple Choice",4,IF(Q443="Savings",5,IF(Q443="Stem Completion",6,IF(Q443="Fragment Completion",7,IF(Q443="anagram solution",8,IF(Q443="Matching",9,IF(Q443="Problem Solving",10,"99"))))))))))</f>
        <v>1</v>
      </c>
      <c r="S443" s="60" t="s">
        <v>49</v>
      </c>
      <c r="T443" s="59" t="s">
        <v>581</v>
      </c>
      <c r="U443" s="60">
        <f>IF(T443="within",1,0)</f>
        <v>1</v>
      </c>
      <c r="V443" s="59">
        <v>90</v>
      </c>
      <c r="W443" s="60">
        <f>F443*V443</f>
        <v>900</v>
      </c>
      <c r="X443" s="60">
        <v>3</v>
      </c>
      <c r="Y443" s="76">
        <f>AV442</f>
        <v>20</v>
      </c>
      <c r="Z443" s="59" t="s">
        <v>165</v>
      </c>
      <c r="AA443" s="60">
        <f>60*60*24*7*3</f>
        <v>1814400</v>
      </c>
      <c r="AB443" s="60" t="str">
        <f>IF(AA443&lt;60,"1",IF(AA443&lt;=43200,"2",IF(AA443&lt;=777600,"3","4")))</f>
        <v>4</v>
      </c>
      <c r="AC443" s="56">
        <f>AVERAGE(AV442:DA442)</f>
        <v>605406.66666666663</v>
      </c>
      <c r="AD443" s="60" t="str">
        <f>IF(AC443&lt;60,"1",IF(AC443&lt;=43200,"2",IF(AC443&lt;=777600,"3","4")))</f>
        <v>3</v>
      </c>
      <c r="AE443" s="76">
        <f>AA443-Y443</f>
        <v>1814380</v>
      </c>
      <c r="AF443" s="80">
        <f>AV443</f>
        <v>0.74666666666666659</v>
      </c>
      <c r="AG443" s="56">
        <f>((AW443-AV443)+(AX443-AW443))/2</f>
        <v>-0.11833333333333329</v>
      </c>
      <c r="AH443" s="4"/>
      <c r="AI443" s="56">
        <f>RSQ(AV443:AX443,AV442:AX442)</f>
        <v>0.9818842786929296</v>
      </c>
      <c r="AJ443" s="109">
        <f>SLOPE(AV443:AX443,AV442:AX442)</f>
        <v>-1.415155502632586E-7</v>
      </c>
      <c r="AK443" s="56">
        <f>INTERCEPT(AV443:AX443,AV442:AX442)</f>
        <v>0.76678556867748948</v>
      </c>
      <c r="AL443" s="56">
        <f>INDEX(LINEST(LN(AV443:AX443),LN(AV442:AX442),TRUE,TRUE),3,1)</f>
        <v>0.75953005635477955</v>
      </c>
      <c r="AM443" s="56">
        <f>INDEX(LINEST(LN(AV443:AX443),LN(AV442:AX442)),1)</f>
        <v>-3.5859183422681816E-2</v>
      </c>
      <c r="AN443" s="56">
        <f>EXP(INDEX(LINEST(LN(AV443:AX443),LN(AV442:AX442)),1,2))</f>
        <v>0.90109105184865146</v>
      </c>
      <c r="AO443" s="82">
        <f>INDEX(LINEST((AV443:AX443),LN(AV442:AX442),TRUE,TRUE),3,1)</f>
        <v>0.73903608342283178</v>
      </c>
      <c r="AP443" s="82">
        <f>INDEX(LINEST((AV443:AX443),LN(AV442:AX442)),1)</f>
        <v>-2.2355138137705979E-2</v>
      </c>
      <c r="AQ443" s="83">
        <f>INDEX(LINEST(LN(AV443:AX443),SQRT(AV442:AX442),TRUE,TRUE),3,1)</f>
        <v>0.98179536877842544</v>
      </c>
      <c r="AR443" s="116">
        <f>INDEX(LINEST(LN(AV443:AX443),SQRT((AV442:AX442))),1)</f>
        <v>-3.0669720785868061E-4</v>
      </c>
      <c r="AS443" s="84">
        <f>INDEX(LINEST(1/(AV443:AX443),1/(SQRT(AV442:AX442)),TRUE,TRUE),3,1)</f>
        <v>0.25303825176368672</v>
      </c>
      <c r="AT443" s="84">
        <f>INDEX(LINEST(1/(AV443:AX443),1/SQRT(AV442:AX442)),1)</f>
        <v>-1.5590124011608113</v>
      </c>
      <c r="AU443" s="3"/>
      <c r="AV443" s="53">
        <f>22.4/30</f>
        <v>0.74666666666666659</v>
      </c>
      <c r="AW443" s="53">
        <f>23.6/30</f>
        <v>0.78666666666666674</v>
      </c>
      <c r="AX443" s="53">
        <f>15.3/30</f>
        <v>0.51</v>
      </c>
      <c r="AY443" s="53"/>
      <c r="AZ443" s="53"/>
      <c r="BA443" s="53"/>
      <c r="BB443" s="53"/>
      <c r="BC443" s="53"/>
      <c r="BD443" s="53"/>
      <c r="BE443" s="53"/>
      <c r="BF443" s="53"/>
      <c r="BG443" s="53"/>
      <c r="BH443" s="53"/>
      <c r="BI443" s="53"/>
      <c r="BJ443" s="53"/>
      <c r="BK443" s="53"/>
      <c r="BL443" s="53"/>
      <c r="BM443" s="53"/>
      <c r="BN443" s="53"/>
      <c r="BO443" s="53"/>
      <c r="BP443" s="53"/>
      <c r="BQ443" s="53"/>
      <c r="BR443" s="53"/>
      <c r="BS443" s="53"/>
      <c r="BT443" s="53"/>
      <c r="BU443" s="53"/>
      <c r="BV443" s="53"/>
      <c r="BW443" s="53"/>
      <c r="BX443" s="53"/>
      <c r="BY443" s="53"/>
      <c r="BZ443" s="53"/>
      <c r="CA443" s="53"/>
      <c r="CB443" s="53"/>
      <c r="CC443" s="53"/>
      <c r="CD443" s="53"/>
      <c r="CE443" s="53"/>
      <c r="CF443" s="53"/>
      <c r="CG443" s="53"/>
      <c r="CH443" s="53"/>
      <c r="CI443" s="53"/>
      <c r="CJ443" s="53"/>
      <c r="CK443" s="53"/>
      <c r="CL443" s="53"/>
      <c r="CM443" s="53"/>
      <c r="CN443" s="53"/>
      <c r="CO443" s="53"/>
      <c r="CP443" s="53"/>
      <c r="CQ443" s="53"/>
      <c r="CR443" s="1"/>
      <c r="CS443" s="1"/>
      <c r="CT443" s="1"/>
      <c r="CU443" s="1"/>
    </row>
    <row r="444" spans="1:99" s="13" customFormat="1" ht="12" customHeight="1" x14ac:dyDescent="0.2">
      <c r="A444" s="65">
        <v>43979</v>
      </c>
      <c r="B444" s="1"/>
      <c r="C444" s="1"/>
      <c r="D444" s="60"/>
      <c r="E444" s="76"/>
      <c r="F444" s="60"/>
      <c r="G444" s="60"/>
      <c r="H444" s="60"/>
      <c r="I444" s="60"/>
      <c r="J444" s="60"/>
      <c r="K444" s="60"/>
      <c r="L444" s="60"/>
      <c r="M444" s="60"/>
      <c r="N444" s="61"/>
      <c r="O444" s="60"/>
      <c r="P444" s="60"/>
      <c r="Q444" s="60"/>
      <c r="R444" s="60"/>
      <c r="S444" s="60"/>
      <c r="T444" s="59"/>
      <c r="U444" s="60"/>
      <c r="V444" s="59"/>
      <c r="W444" s="60"/>
      <c r="X444" s="60"/>
      <c r="Y444" s="76"/>
      <c r="Z444" s="59"/>
      <c r="AA444" s="60"/>
      <c r="AB444" s="60"/>
      <c r="AC444" s="56"/>
      <c r="AD444" s="60"/>
      <c r="AE444" s="76"/>
      <c r="AF444" s="80"/>
      <c r="AG444" s="56"/>
      <c r="AH444" s="4"/>
      <c r="AI444" s="56"/>
      <c r="AJ444" s="109"/>
      <c r="AK444" s="56"/>
      <c r="AL444" s="56"/>
      <c r="AM444" s="56"/>
      <c r="AN444" s="56"/>
      <c r="AO444" s="82"/>
      <c r="AP444" s="82"/>
      <c r="AQ444" s="83"/>
      <c r="AR444" s="116"/>
      <c r="AS444" s="84"/>
      <c r="AT444" s="84"/>
      <c r="AU444" s="3"/>
      <c r="AV444" s="25">
        <v>20</v>
      </c>
      <c r="AW444" s="25">
        <f>60*30</f>
        <v>1800</v>
      </c>
      <c r="AX444" s="25">
        <f>60*60*24*7*3</f>
        <v>1814400</v>
      </c>
      <c r="AY444" s="53"/>
      <c r="AZ444" s="53"/>
      <c r="BA444" s="53"/>
      <c r="BB444" s="53"/>
      <c r="BC444" s="53"/>
      <c r="BD444" s="53"/>
      <c r="BE444" s="53"/>
      <c r="BF444" s="53"/>
      <c r="BG444" s="53"/>
      <c r="BH444" s="53"/>
      <c r="BI444" s="53"/>
      <c r="BJ444" s="53"/>
      <c r="BK444" s="53"/>
      <c r="BL444" s="53"/>
      <c r="BM444" s="53"/>
      <c r="BN444" s="53"/>
      <c r="BO444" s="53"/>
      <c r="BP444" s="53"/>
      <c r="BQ444" s="53"/>
      <c r="BR444" s="53"/>
      <c r="BS444" s="53"/>
      <c r="BT444" s="53"/>
      <c r="BU444" s="53"/>
      <c r="BV444" s="53"/>
      <c r="BW444" s="53"/>
      <c r="BX444" s="53"/>
      <c r="BY444" s="53"/>
      <c r="BZ444" s="53"/>
      <c r="CA444" s="53"/>
      <c r="CB444" s="53"/>
      <c r="CC444" s="53"/>
      <c r="CD444" s="53"/>
      <c r="CE444" s="53"/>
      <c r="CF444" s="53"/>
      <c r="CG444" s="53"/>
      <c r="CH444" s="53"/>
      <c r="CI444" s="53"/>
      <c r="CJ444" s="53"/>
      <c r="CK444" s="53"/>
      <c r="CL444" s="53"/>
      <c r="CM444" s="53"/>
      <c r="CN444" s="53"/>
      <c r="CO444" s="53"/>
      <c r="CP444" s="53"/>
      <c r="CQ444" s="53"/>
      <c r="CR444" s="1"/>
      <c r="CS444" s="1"/>
      <c r="CT444" s="1"/>
      <c r="CU444" s="1"/>
    </row>
    <row r="445" spans="1:99" s="13" customFormat="1" ht="12" customHeight="1" x14ac:dyDescent="0.2">
      <c r="A445" s="65">
        <v>43979</v>
      </c>
      <c r="B445" s="1" t="s">
        <v>979</v>
      </c>
      <c r="C445" s="1" t="s">
        <v>357</v>
      </c>
      <c r="D445" s="60">
        <v>2003</v>
      </c>
      <c r="E445" s="76">
        <v>1</v>
      </c>
      <c r="F445" s="60">
        <v>10</v>
      </c>
      <c r="G445" s="60">
        <v>10</v>
      </c>
      <c r="H445" s="60" t="s">
        <v>452</v>
      </c>
      <c r="I445" s="60" t="s">
        <v>330</v>
      </c>
      <c r="J445" s="60" t="s">
        <v>317</v>
      </c>
      <c r="K445" s="60">
        <f>IF(J445="syllables",1,IF(J445="trigrams",2,IF(J445="strings",3,IF(J445="visual array",4,IF(J445="characters",5,IF(J445="letters",6,IF(J445="free forms",7,IF(J445="odors",8,IF(J445="words",9,IF(J445="pictures",10,IF(J445="object pictures",11,IF(J445="faces",12,IF(J445="names",13,IF(J445="idioms",14,IF(J445="grades",15,IF(J445="syllable-digit pairs",16,IF(J445="trigram-word pairs",17,IF(J445="word-digit pairs",18,IF(J445="English-Swahili pairs",19,IF(J445="spatial position",20,IF(J445="word pairs",21,IF(J445="word triads",22,IF(J445="generated words",23,IF(J445="word definition pairs",24,IF(J445="math problems",25,IF(J445="famous faces",26,IF(J445="famous names",27,IF(J445="famous voices",28,IF(J445="television programs",29,IF(J445="race horses",30,IF(J445="new vocabulary",31,IF(J445="sentences",32,IF(J445="concepts",33,IF(J445="ad slides",34,IF(J445="scenes",35,IF(J445="famous scenes",36,IF(J445="poems",37,IF(J445="walk",38,IF(J445="faces and events",39,IF(J445="events and names",40,IF(J445="flashbulb",41,IF(J445="stories",42,IF(J445="course material",43,IF(J445="autobiographical",44,IF(J445="novels",45,IF(J445="public events",46,"99"))))))))))))))))))))))))))))))))))))))))))))))</f>
        <v>7</v>
      </c>
      <c r="L445" s="60">
        <f>IF(J445="syllables",1,IF(J445="trigrams",1,IF(J445="strings",1,IF(J445="visual array",1,IF(J445="characters",1,IF(J445="letters",1,IF(J445="free forms",1,IF(J445="odors",2,IF(J445="words",2,IF(J445="pictures",2,IF(J445="object pictures",2,IF(J445="faces",2,IF(J445="names",2,IF(J445="idioms","2",IF(J445="grades",2,IF(J445="syllable-digit pairs",3,IF(J445="trigram-word pairs",3,IF(J445="word-digit pairs",3,IF(J445="English-Swahili pairs",3,IF(J445="spatial position",3,IF(J445="word pairs",4,IF(J445="word triads",4,IF(J445="generated words",4,IF(J445="word definition pairs",4,IF(J445="math problems",4,IF(J445="famous faces",4,IF(J445="famous names",4,IF(J445="famous voices",4,IF(J445="television programs",4,IF(J445="race horses",4,IF(J445="new vocabulary",4,IF(J445="sentences",5,IF(J445="concepts",5,IF(J445="ad slides",5,IF(J445="scenes",5,IF(J445="famous scenes",5,IF(J445="poems",6,IF(J445="walk",6,IF(J445="faces and events",6,IF(J445="events and names",6,IF(J445="flashbulb",7,IF(J445="stories",7,IF(J445="course material",7,IF(J445="autobiographical",7,IF(J445="novels",7,IF(J445="public events",7,"99"))))))))))))))))))))))))))))))))))))))))))))))</f>
        <v>1</v>
      </c>
      <c r="M445" s="60">
        <v>0</v>
      </c>
      <c r="N445" s="61">
        <v>1</v>
      </c>
      <c r="O445" s="60">
        <v>0</v>
      </c>
      <c r="P445" s="60"/>
      <c r="Q445" s="60" t="s">
        <v>182</v>
      </c>
      <c r="R445" s="60">
        <f>IF(Q445="Free Recall",1,IF(Q445="Cued Recall",2,IF(Q445="Recognition",3,IF(Q445="Multiple Choice",4,IF(Q445="Savings",5,IF(Q445="Stem Completion",6,IF(Q445="Fragment Completion",7,IF(Q445="anagram solution",8,IF(Q445="Matching",9,IF(Q445="Problem Solving",10,"99"))))))))))</f>
        <v>4</v>
      </c>
      <c r="S445" s="60" t="s">
        <v>15</v>
      </c>
      <c r="T445" s="59" t="s">
        <v>581</v>
      </c>
      <c r="U445" s="60">
        <f>IF(T445="within",1,0)</f>
        <v>1</v>
      </c>
      <c r="V445" s="59">
        <v>15</v>
      </c>
      <c r="W445" s="60">
        <f>F445*V445</f>
        <v>150</v>
      </c>
      <c r="X445" s="60">
        <v>3</v>
      </c>
      <c r="Y445" s="76">
        <f>AV444</f>
        <v>20</v>
      </c>
      <c r="Z445" s="59" t="s">
        <v>165</v>
      </c>
      <c r="AA445" s="60">
        <f>60*60*24*7*3</f>
        <v>1814400</v>
      </c>
      <c r="AB445" s="60" t="str">
        <f>IF(AA445&lt;60,"1",IF(AA445&lt;=43200,"2",IF(AA445&lt;=777600,"3","4")))</f>
        <v>4</v>
      </c>
      <c r="AC445" s="56">
        <f>AVERAGE(AV444:DA444)</f>
        <v>605406.66666666663</v>
      </c>
      <c r="AD445" s="60" t="str">
        <f>IF(AC445&lt;60,"1",IF(AC445&lt;=43200,"2",IF(AC445&lt;=777600,"3","4")))</f>
        <v>3</v>
      </c>
      <c r="AE445" s="76">
        <f>AA445-Y445</f>
        <v>1814380</v>
      </c>
      <c r="AF445" s="80">
        <f>AV445</f>
        <v>0.82</v>
      </c>
      <c r="AG445" s="56">
        <f>((AW445-AV445)+(AX445-AW445))/2</f>
        <v>-0.12</v>
      </c>
      <c r="AH445" s="4"/>
      <c r="AI445" s="56">
        <f>RSQ(AV445:AX445,AV444:AX444)</f>
        <v>0.99448749183031082</v>
      </c>
      <c r="AJ445" s="109">
        <f>SLOPE(AV445:AX445,AV444:AX444)</f>
        <v>-1.2683530474086107E-7</v>
      </c>
      <c r="AK445" s="56">
        <f>INTERCEPT(AV445:AX445,AV444:AX444)</f>
        <v>0.81012027239214901</v>
      </c>
      <c r="AL445" s="56">
        <f>INDEX(LINEST(LN(AV445:AX445),LN(AV444:AX444),TRUE,TRUE),3,1)</f>
        <v>0.89000127463873746</v>
      </c>
      <c r="AM445" s="56">
        <f>INDEX(LINEST(LN(AV445:AX445),LN(AV444:AX444)),1)</f>
        <v>-3.1695277143817535E-2</v>
      </c>
      <c r="AN445" s="56">
        <f>EXP(INDEX(LINEST(LN(AV445:AX445),LN(AV444:AX444)),1,2))</f>
        <v>0.9426977283417054</v>
      </c>
      <c r="AO445" s="82">
        <f>INDEX(LINEST((AV445:AX445),LN(AV444:AX444),TRUE,TRUE),3,1)</f>
        <v>0.8969196532379119</v>
      </c>
      <c r="AP445" s="82">
        <f>INDEX(LINEST((AV445:AX445),LN(AV444:AX444)),1)</f>
        <v>-2.193248238706013E-2</v>
      </c>
      <c r="AQ445" s="83">
        <f>INDEX(LINEST(LN(AV445:AX445),SQRT(AV444:AX444),TRUE,TRUE),3,1)</f>
        <v>0.99847023732058837</v>
      </c>
      <c r="AR445" s="116">
        <f>INDEX(LINEST(LN(AV445:AX445),SQRT((AV444:AX444))),1)</f>
        <v>-2.5254467777207468E-4</v>
      </c>
      <c r="AS445" s="84">
        <f>INDEX(LINEST(1/(AV445:AX445),1/(SQRT(AV444:AX444)),TRUE,TRUE),3,1)</f>
        <v>0.38632687823243039</v>
      </c>
      <c r="AT445" s="84">
        <f>INDEX(LINEST(1/(AV445:AX445),1/SQRT(AV444:AX444)),1)</f>
        <v>-1.4343590768561645</v>
      </c>
      <c r="AU445" s="3"/>
      <c r="AV445" s="53">
        <f>4.1/5</f>
        <v>0.82</v>
      </c>
      <c r="AW445" s="53">
        <f>4/5</f>
        <v>0.8</v>
      </c>
      <c r="AX445" s="53">
        <f>2.9/5</f>
        <v>0.57999999999999996</v>
      </c>
      <c r="AY445" s="53"/>
      <c r="AZ445" s="53"/>
      <c r="BA445" s="53"/>
      <c r="BB445" s="53"/>
      <c r="BC445" s="53"/>
      <c r="BD445" s="53"/>
      <c r="BE445" s="53"/>
      <c r="BF445" s="53"/>
      <c r="BG445" s="53"/>
      <c r="BH445" s="53"/>
      <c r="BI445" s="53"/>
      <c r="BJ445" s="53"/>
      <c r="BK445" s="53"/>
      <c r="BL445" s="53"/>
      <c r="BM445" s="53"/>
      <c r="BN445" s="53"/>
      <c r="BO445" s="53"/>
      <c r="BP445" s="53"/>
      <c r="BQ445" s="53"/>
      <c r="BR445" s="53"/>
      <c r="BS445" s="53"/>
      <c r="BT445" s="53"/>
      <c r="BU445" s="53"/>
      <c r="BV445" s="53"/>
      <c r="BW445" s="53"/>
      <c r="BX445" s="53"/>
      <c r="BY445" s="53"/>
      <c r="BZ445" s="53"/>
      <c r="CA445" s="53"/>
      <c r="CB445" s="53"/>
      <c r="CC445" s="53"/>
      <c r="CD445" s="53"/>
      <c r="CE445" s="53"/>
      <c r="CF445" s="53"/>
      <c r="CG445" s="53"/>
      <c r="CH445" s="53"/>
      <c r="CI445" s="53"/>
      <c r="CJ445" s="53"/>
      <c r="CK445" s="53"/>
      <c r="CL445" s="53"/>
      <c r="CM445" s="53"/>
      <c r="CN445" s="53"/>
      <c r="CO445" s="53"/>
      <c r="CP445" s="53"/>
      <c r="CQ445" s="53"/>
      <c r="CR445" s="1"/>
      <c r="CS445" s="1"/>
      <c r="CT445" s="1"/>
      <c r="CU445" s="1"/>
    </row>
    <row r="446" spans="1:99" s="13" customFormat="1" ht="12" customHeight="1" x14ac:dyDescent="0.2">
      <c r="A446" s="65">
        <v>43979</v>
      </c>
      <c r="B446" s="1"/>
      <c r="C446" s="1"/>
      <c r="D446" s="60"/>
      <c r="E446" s="76"/>
      <c r="F446" s="60"/>
      <c r="G446" s="60"/>
      <c r="H446" s="60"/>
      <c r="I446" s="60"/>
      <c r="J446" s="60"/>
      <c r="K446" s="60"/>
      <c r="L446" s="60"/>
      <c r="M446" s="60"/>
      <c r="N446" s="61"/>
      <c r="O446" s="60"/>
      <c r="P446" s="60"/>
      <c r="Q446" s="60"/>
      <c r="R446" s="60"/>
      <c r="S446" s="60"/>
      <c r="T446" s="59"/>
      <c r="U446" s="60"/>
      <c r="V446" s="59"/>
      <c r="W446" s="60"/>
      <c r="X446" s="60"/>
      <c r="Y446" s="76"/>
      <c r="Z446" s="59"/>
      <c r="AA446" s="60"/>
      <c r="AB446" s="60"/>
      <c r="AC446" s="56"/>
      <c r="AD446" s="60"/>
      <c r="AE446" s="76"/>
      <c r="AF446" s="80"/>
      <c r="AG446" s="56"/>
      <c r="AH446" s="4"/>
      <c r="AI446" s="56"/>
      <c r="AJ446" s="109"/>
      <c r="AK446" s="56"/>
      <c r="AL446" s="56"/>
      <c r="AM446" s="56"/>
      <c r="AN446" s="56"/>
      <c r="AO446" s="82"/>
      <c r="AP446" s="82"/>
      <c r="AQ446" s="83"/>
      <c r="AR446" s="116"/>
      <c r="AS446" s="84"/>
      <c r="AT446" s="84"/>
      <c r="AU446" s="3"/>
      <c r="AV446" s="25">
        <v>20</v>
      </c>
      <c r="AW446" s="25">
        <f>60*30</f>
        <v>1800</v>
      </c>
      <c r="AX446" s="25">
        <f>60*60*24*7*3</f>
        <v>1814400</v>
      </c>
      <c r="AY446" s="53"/>
      <c r="AZ446" s="53"/>
      <c r="BA446" s="53"/>
      <c r="BB446" s="53"/>
      <c r="BC446" s="53"/>
      <c r="BD446" s="53"/>
      <c r="BE446" s="53"/>
      <c r="BF446" s="53"/>
      <c r="BG446" s="53"/>
      <c r="BH446" s="53"/>
      <c r="BI446" s="53"/>
      <c r="BJ446" s="53"/>
      <c r="BK446" s="53"/>
      <c r="BL446" s="53"/>
      <c r="BM446" s="53"/>
      <c r="BN446" s="53"/>
      <c r="BO446" s="53"/>
      <c r="BP446" s="53"/>
      <c r="BQ446" s="53"/>
      <c r="BR446" s="53"/>
      <c r="BS446" s="53"/>
      <c r="BT446" s="53"/>
      <c r="BU446" s="53"/>
      <c r="BV446" s="53"/>
      <c r="BW446" s="53"/>
      <c r="BX446" s="53"/>
      <c r="BY446" s="53"/>
      <c r="BZ446" s="53"/>
      <c r="CA446" s="53"/>
      <c r="CB446" s="53"/>
      <c r="CC446" s="53"/>
      <c r="CD446" s="53"/>
      <c r="CE446" s="53"/>
      <c r="CF446" s="53"/>
      <c r="CG446" s="53"/>
      <c r="CH446" s="53"/>
      <c r="CI446" s="53"/>
      <c r="CJ446" s="53"/>
      <c r="CK446" s="53"/>
      <c r="CL446" s="53"/>
      <c r="CM446" s="53"/>
      <c r="CN446" s="53"/>
      <c r="CO446" s="53"/>
      <c r="CP446" s="53"/>
      <c r="CQ446" s="53"/>
      <c r="CR446" s="1"/>
      <c r="CS446" s="1"/>
      <c r="CT446" s="1"/>
      <c r="CU446" s="1"/>
    </row>
    <row r="447" spans="1:99" s="13" customFormat="1" ht="12" customHeight="1" x14ac:dyDescent="0.2">
      <c r="A447" s="65">
        <v>43979</v>
      </c>
      <c r="B447" s="1" t="s">
        <v>979</v>
      </c>
      <c r="C447" s="1" t="s">
        <v>357</v>
      </c>
      <c r="D447" s="60">
        <v>2003</v>
      </c>
      <c r="E447" s="76">
        <v>1</v>
      </c>
      <c r="F447" s="60">
        <v>10</v>
      </c>
      <c r="G447" s="60">
        <v>10</v>
      </c>
      <c r="H447" s="60" t="s">
        <v>452</v>
      </c>
      <c r="I447" s="60" t="s">
        <v>330</v>
      </c>
      <c r="J447" s="60" t="s">
        <v>16</v>
      </c>
      <c r="K447" s="60">
        <f>IF(J447="syllables",1,IF(J447="trigrams",2,IF(J447="strings",3,IF(J447="visual array",4,IF(J447="characters",5,IF(J447="letters",6,IF(J447="free forms",7,IF(J447="odors",8,IF(J447="words",9,IF(J447="pictures",10,IF(J447="object pictures",11,IF(J447="faces",12,IF(J447="names",13,IF(J447="idioms",14,IF(J447="grades",15,IF(J447="syllable-digit pairs",16,IF(J447="trigram-word pairs",17,IF(J447="word-digit pairs",18,IF(J447="English-Swahili pairs",19,IF(J447="spatial position",20,IF(J447="word pairs",21,IF(J447="word triads",22,IF(J447="generated words",23,IF(J447="word definition pairs",24,IF(J447="math problems",25,IF(J447="famous faces",26,IF(J447="famous names",27,IF(J447="famous voices",28,IF(J447="television programs",29,IF(J447="race horses",30,IF(J447="new vocabulary",31,IF(J447="sentences",32,IF(J447="concepts",33,IF(J447="ad slides",34,IF(J447="scenes",35,IF(J447="famous scenes",36,IF(J447="poems",37,IF(J447="walk",38,IF(J447="faces and events",39,IF(J447="events and names",40,IF(J447="flashbulb",41,IF(J447="stories",42,IF(J447="course material",43,IF(J447="autobiographical",44,IF(J447="novels",45,IF(J447="public events",46,"99"))))))))))))))))))))))))))))))))))))))))))))))</f>
        <v>9</v>
      </c>
      <c r="L447" s="60">
        <f>IF(J447="syllables",1,IF(J447="trigrams",1,IF(J447="strings",1,IF(J447="visual array",1,IF(J447="characters",1,IF(J447="letters",1,IF(J447="free forms",1,IF(J447="odors",2,IF(J447="words",2,IF(J447="pictures",2,IF(J447="object pictures",2,IF(J447="faces",2,IF(J447="names",2,IF(J447="idioms","2",IF(J447="grades",2,IF(J447="syllable-digit pairs",3,IF(J447="trigram-word pairs",3,IF(J447="word-digit pairs",3,IF(J447="English-Swahili pairs",3,IF(J447="spatial position",3,IF(J447="word pairs",4,IF(J447="word triads",4,IF(J447="generated words",4,IF(J447="word definition pairs",4,IF(J447="math problems",4,IF(J447="famous faces",4,IF(J447="famous names",4,IF(J447="famous voices",4,IF(J447="television programs",4,IF(J447="race horses",4,IF(J447="new vocabulary",4,IF(J447="sentences",5,IF(J447="concepts",5,IF(J447="ad slides",5,IF(J447="scenes",5,IF(J447="famous scenes",5,IF(J447="poems",6,IF(J447="walk",6,IF(J447="faces and events",6,IF(J447="events and names",6,IF(J447="flashbulb",7,IF(J447="stories",7,IF(J447="course material",7,IF(J447="autobiographical",7,IF(J447="novels",7,IF(J447="public events",7,"99"))))))))))))))))))))))))))))))))))))))))))))))</f>
        <v>2</v>
      </c>
      <c r="M447" s="60">
        <v>0</v>
      </c>
      <c r="N447" s="61">
        <v>1</v>
      </c>
      <c r="O447" s="60">
        <v>0</v>
      </c>
      <c r="P447" s="60"/>
      <c r="Q447" s="60" t="s">
        <v>182</v>
      </c>
      <c r="R447" s="60">
        <f>IF(Q447="Free Recall",1,IF(Q447="Cued Recall",2,IF(Q447="Recognition",3,IF(Q447="Multiple Choice",4,IF(Q447="Savings",5,IF(Q447="Stem Completion",6,IF(Q447="Fragment Completion",7,IF(Q447="anagram solution",8,IF(Q447="Matching",9,IF(Q447="Problem Solving",10,"99"))))))))))</f>
        <v>4</v>
      </c>
      <c r="S447" s="60" t="s">
        <v>15</v>
      </c>
      <c r="T447" s="59" t="s">
        <v>581</v>
      </c>
      <c r="U447" s="60">
        <f>IF(T447="within",1,0)</f>
        <v>1</v>
      </c>
      <c r="V447" s="59">
        <v>150</v>
      </c>
      <c r="W447" s="60">
        <f>F447*V447</f>
        <v>1500</v>
      </c>
      <c r="X447" s="60">
        <v>3</v>
      </c>
      <c r="Y447" s="76">
        <f>AV446</f>
        <v>20</v>
      </c>
      <c r="Z447" s="59" t="s">
        <v>165</v>
      </c>
      <c r="AA447" s="60">
        <f>60*60*24*7*3</f>
        <v>1814400</v>
      </c>
      <c r="AB447" s="60" t="str">
        <f>IF(AA447&lt;60,"1",IF(AA447&lt;=43200,"2",IF(AA447&lt;=777600,"3","4")))</f>
        <v>4</v>
      </c>
      <c r="AC447" s="56">
        <f>AVERAGE(AV446:DA446)</f>
        <v>605406.66666666663</v>
      </c>
      <c r="AD447" s="60" t="str">
        <f>IF(AC447&lt;60,"1",IF(AC447&lt;=43200,"2",IF(AC447&lt;=777600,"3","4")))</f>
        <v>3</v>
      </c>
      <c r="AE447" s="76">
        <f>AA447-Y447</f>
        <v>1814380</v>
      </c>
      <c r="AF447" s="80">
        <f>AV447</f>
        <v>0.95200000000000007</v>
      </c>
      <c r="AG447" s="56">
        <f>((AW447-AV447)+(AX447-AW447))/2</f>
        <v>-0.14200000000000007</v>
      </c>
      <c r="AH447" s="4"/>
      <c r="AI447" s="56">
        <f>RSQ(AV447:AX447,AV446:AX446)</f>
        <v>0.99527037646260141</v>
      </c>
      <c r="AJ447" s="109">
        <f>SLOPE(AV447:AX447,AV446:AX446)</f>
        <v>-1.5054728618457463E-7</v>
      </c>
      <c r="AK447" s="56">
        <f>INTERCEPT(AV447:AX447,AV446:AX446)</f>
        <v>0.94114233070471598</v>
      </c>
      <c r="AL447" s="56">
        <f>INDEX(LINEST(LN(AV447:AX447),LN(AV446:AX446),TRUE,TRUE),3,1)</f>
        <v>0.88690581232497678</v>
      </c>
      <c r="AM447" s="56">
        <f>INDEX(LINEST(LN(AV447:AX447),LN(AV446:AX446)),1)</f>
        <v>-3.245051501258598E-2</v>
      </c>
      <c r="AN447" s="56">
        <f>EXP(INDEX(LINEST(LN(AV447:AX447),LN(AV446:AX446)),1,2))</f>
        <v>1.0988791777202964</v>
      </c>
      <c r="AO447" s="82">
        <f>INDEX(LINEST((AV447:AX447),LN(AV446:AX446),TRUE,TRUE),3,1)</f>
        <v>0.89355836705785707</v>
      </c>
      <c r="AP447" s="82">
        <f>INDEX(LINEST((AV447:AX447),LN(AV446:AX446)),1)</f>
        <v>-2.597373349772409E-2</v>
      </c>
      <c r="AQ447" s="83">
        <f>INDEX(LINEST(LN(AV447:AX447),SQRT(AV446:AX446),TRUE,TRUE),3,1)</f>
        <v>0.9988304321732735</v>
      </c>
      <c r="AR447" s="116">
        <f>INDEX(LINEST(LN(AV447:AX447),SQRT((AV446:AX446))),1)</f>
        <v>-2.5905987129000435E-4</v>
      </c>
      <c r="AS447" s="84">
        <f>INDEX(LINEST(1/(AV447:AX447),1/(SQRT(AV446:AX446)),TRUE,TRUE),3,1)</f>
        <v>0.38207119015909125</v>
      </c>
      <c r="AT447" s="84">
        <f>INDEX(LINEST(1/(AV447:AX447),1/SQRT(AV446:AX446)),1)</f>
        <v>-1.2651956620167515</v>
      </c>
      <c r="AU447" s="3"/>
      <c r="AV447" s="53">
        <f>47.6/50</f>
        <v>0.95200000000000007</v>
      </c>
      <c r="AW447" s="53">
        <f>46.5/50</f>
        <v>0.93</v>
      </c>
      <c r="AX447" s="53">
        <f>33.4/50</f>
        <v>0.66799999999999993</v>
      </c>
      <c r="AY447" s="53"/>
      <c r="AZ447" s="53"/>
      <c r="BA447" s="53"/>
      <c r="BB447" s="53"/>
      <c r="BC447" s="53"/>
      <c r="BD447" s="53"/>
      <c r="BE447" s="53"/>
      <c r="BF447" s="53"/>
      <c r="BG447" s="53"/>
      <c r="BH447" s="53"/>
      <c r="BI447" s="53"/>
      <c r="BJ447" s="53"/>
      <c r="BK447" s="53"/>
      <c r="BL447" s="53"/>
      <c r="BM447" s="53"/>
      <c r="BN447" s="53"/>
      <c r="BO447" s="53"/>
      <c r="BP447" s="53"/>
      <c r="BQ447" s="53"/>
      <c r="BR447" s="53"/>
      <c r="BS447" s="53"/>
      <c r="BT447" s="53"/>
      <c r="BU447" s="53"/>
      <c r="BV447" s="53"/>
      <c r="BW447" s="53"/>
      <c r="BX447" s="53"/>
      <c r="BY447" s="53"/>
      <c r="BZ447" s="53"/>
      <c r="CA447" s="53"/>
      <c r="CB447" s="53"/>
      <c r="CC447" s="53"/>
      <c r="CD447" s="53"/>
      <c r="CE447" s="53"/>
      <c r="CF447" s="53"/>
      <c r="CG447" s="53"/>
      <c r="CH447" s="53"/>
      <c r="CI447" s="53"/>
      <c r="CJ447" s="53"/>
      <c r="CK447" s="53"/>
      <c r="CL447" s="53"/>
      <c r="CM447" s="53"/>
      <c r="CN447" s="53"/>
      <c r="CO447" s="53"/>
      <c r="CP447" s="53"/>
      <c r="CQ447" s="53"/>
      <c r="CR447" s="1"/>
      <c r="CS447" s="1"/>
      <c r="CT447" s="1"/>
      <c r="CU447" s="1"/>
    </row>
    <row r="448" spans="1:99" s="13" customFormat="1" ht="12" customHeight="1" x14ac:dyDescent="0.2">
      <c r="A448" s="65">
        <v>43979</v>
      </c>
      <c r="B448" s="1"/>
      <c r="C448" s="1"/>
      <c r="D448" s="60"/>
      <c r="E448" s="76"/>
      <c r="F448" s="60"/>
      <c r="G448" s="60"/>
      <c r="H448" s="60"/>
      <c r="I448" s="60"/>
      <c r="J448" s="60"/>
      <c r="K448" s="60"/>
      <c r="L448" s="60"/>
      <c r="M448" s="60"/>
      <c r="N448" s="61"/>
      <c r="O448" s="60"/>
      <c r="P448" s="60"/>
      <c r="Q448" s="60"/>
      <c r="R448" s="60"/>
      <c r="S448" s="60"/>
      <c r="T448" s="59"/>
      <c r="U448" s="60"/>
      <c r="V448" s="59"/>
      <c r="W448" s="60"/>
      <c r="X448" s="60"/>
      <c r="Y448" s="76"/>
      <c r="Z448" s="59"/>
      <c r="AA448" s="60"/>
      <c r="AB448" s="60"/>
      <c r="AC448" s="56"/>
      <c r="AD448" s="60"/>
      <c r="AE448" s="76"/>
      <c r="AF448" s="80"/>
      <c r="AG448" s="56"/>
      <c r="AH448" s="4"/>
      <c r="AI448" s="56"/>
      <c r="AJ448" s="109"/>
      <c r="AK448" s="56"/>
      <c r="AL448" s="56"/>
      <c r="AM448" s="56"/>
      <c r="AN448" s="56"/>
      <c r="AO448" s="82"/>
      <c r="AP448" s="82"/>
      <c r="AQ448" s="83"/>
      <c r="AR448" s="116"/>
      <c r="AS448" s="84"/>
      <c r="AT448" s="84"/>
      <c r="AU448" s="3"/>
      <c r="AV448" s="25">
        <v>20</v>
      </c>
      <c r="AW448" s="25">
        <f>60*30</f>
        <v>1800</v>
      </c>
      <c r="AX448" s="25">
        <f>60*60*24*7*3</f>
        <v>1814400</v>
      </c>
      <c r="AY448" s="53"/>
      <c r="AZ448" s="53"/>
      <c r="BA448" s="53"/>
      <c r="BB448" s="53"/>
      <c r="BC448" s="53"/>
      <c r="BD448" s="53"/>
      <c r="BE448" s="53"/>
      <c r="BF448" s="53"/>
      <c r="BG448" s="53"/>
      <c r="BH448" s="53"/>
      <c r="BI448" s="53"/>
      <c r="BJ448" s="53"/>
      <c r="BK448" s="53"/>
      <c r="BL448" s="53"/>
      <c r="BM448" s="53"/>
      <c r="BN448" s="53"/>
      <c r="BO448" s="53"/>
      <c r="BP448" s="53"/>
      <c r="BQ448" s="53"/>
      <c r="BR448" s="53"/>
      <c r="BS448" s="53"/>
      <c r="BT448" s="53"/>
      <c r="BU448" s="53"/>
      <c r="BV448" s="53"/>
      <c r="BW448" s="53"/>
      <c r="BX448" s="53"/>
      <c r="BY448" s="53"/>
      <c r="BZ448" s="53"/>
      <c r="CA448" s="53"/>
      <c r="CB448" s="53"/>
      <c r="CC448" s="53"/>
      <c r="CD448" s="53"/>
      <c r="CE448" s="53"/>
      <c r="CF448" s="53"/>
      <c r="CG448" s="53"/>
      <c r="CH448" s="53"/>
      <c r="CI448" s="53"/>
      <c r="CJ448" s="53"/>
      <c r="CK448" s="53"/>
      <c r="CL448" s="53"/>
      <c r="CM448" s="53"/>
      <c r="CN448" s="53"/>
      <c r="CO448" s="53"/>
      <c r="CP448" s="53"/>
      <c r="CQ448" s="53"/>
      <c r="CR448" s="1"/>
      <c r="CS448" s="1"/>
      <c r="CT448" s="1"/>
      <c r="CU448" s="1"/>
    </row>
    <row r="449" spans="1:99" s="13" customFormat="1" ht="12" customHeight="1" x14ac:dyDescent="0.2">
      <c r="A449" s="65">
        <v>43979</v>
      </c>
      <c r="B449" s="1" t="s">
        <v>979</v>
      </c>
      <c r="C449" s="1" t="s">
        <v>357</v>
      </c>
      <c r="D449" s="60">
        <v>2003</v>
      </c>
      <c r="E449" s="76">
        <v>1</v>
      </c>
      <c r="F449" s="60">
        <v>10</v>
      </c>
      <c r="G449" s="60">
        <v>10</v>
      </c>
      <c r="H449" s="60" t="s">
        <v>452</v>
      </c>
      <c r="I449" s="60" t="s">
        <v>330</v>
      </c>
      <c r="J449" s="60" t="s">
        <v>328</v>
      </c>
      <c r="K449" s="60">
        <f>IF(J449="syllables",1,IF(J449="trigrams",2,IF(J449="strings",3,IF(J449="visual array",4,IF(J449="characters",5,IF(J449="letters",6,IF(J449="free forms",7,IF(J449="odors",8,IF(J449="words",9,IF(J449="pictures",10,IF(J449="object pictures",11,IF(J449="faces",12,IF(J449="names",13,IF(J449="idioms",14,IF(J449="grades",15,IF(J449="syllable-digit pairs",16,IF(J449="trigram-word pairs",17,IF(J449="word-digit pairs",18,IF(J449="English-Swahili pairs",19,IF(J449="spatial position",20,IF(J449="word pairs",21,IF(J449="word triads",22,IF(J449="generated words",23,IF(J449="word definition pairs",24,IF(J449="math problems",25,IF(J449="famous faces",26,IF(J449="famous names",27,IF(J449="famous voices",28,IF(J449="television programs",29,IF(J449="race horses",30,IF(J449="new vocabulary",31,IF(J449="sentences",32,IF(J449="concepts",33,IF(J449="ad slides",34,IF(J449="scenes",35,IF(J449="famous scenes",36,IF(J449="poems",37,IF(J449="walk",38,IF(J449="faces and events",39,IF(J449="events and names",40,IF(J449="flashbulb",41,IF(J449="stories",42,IF(J449="course material",43,IF(J449="autobiographical",44,IF(J449="novels",45,IF(J449="public events",46,"99"))))))))))))))))))))))))))))))))))))))))))))))</f>
        <v>12</v>
      </c>
      <c r="L449" s="60">
        <f>IF(J449="syllables",1,IF(J449="trigrams",1,IF(J449="strings",1,IF(J449="visual array",1,IF(J449="characters",1,IF(J449="letters",1,IF(J449="free forms",1,IF(J449="odors",2,IF(J449="words",2,IF(J449="pictures",2,IF(J449="object pictures",2,IF(J449="faces",2,IF(J449="names",2,IF(J449="idioms","2",IF(J449="grades",2,IF(J449="syllable-digit pairs",3,IF(J449="trigram-word pairs",3,IF(J449="word-digit pairs",3,IF(J449="English-Swahili pairs",3,IF(J449="spatial position",3,IF(J449="word pairs",4,IF(J449="word triads",4,IF(J449="generated words",4,IF(J449="word definition pairs",4,IF(J449="math problems",4,IF(J449="famous faces",4,IF(J449="famous names",4,IF(J449="famous voices",4,IF(J449="television programs",4,IF(J449="race horses",4,IF(J449="new vocabulary",4,IF(J449="sentences",5,IF(J449="concepts",5,IF(J449="ad slides",5,IF(J449="scenes",5,IF(J449="famous scenes",5,IF(J449="poems",6,IF(J449="walk",6,IF(J449="faces and events",6,IF(J449="events and names",6,IF(J449="flashbulb",7,IF(J449="stories",7,IF(J449="course material",7,IF(J449="autobiographical",7,IF(J449="novels",7,IF(J449="public events",7,"99"))))))))))))))))))))))))))))))))))))))))))))))</f>
        <v>2</v>
      </c>
      <c r="M449" s="60">
        <v>0</v>
      </c>
      <c r="N449" s="61">
        <v>1</v>
      </c>
      <c r="O449" s="60">
        <v>0</v>
      </c>
      <c r="P449" s="60"/>
      <c r="Q449" s="60" t="s">
        <v>182</v>
      </c>
      <c r="R449" s="60">
        <f>IF(Q449="Free Recall",1,IF(Q449="Cued Recall",2,IF(Q449="Recognition",3,IF(Q449="Multiple Choice",4,IF(Q449="Savings",5,IF(Q449="Stem Completion",6,IF(Q449="Fragment Completion",7,IF(Q449="anagram solution",8,IF(Q449="Matching",9,IF(Q449="Problem Solving",10,"99"))))))))))</f>
        <v>4</v>
      </c>
      <c r="S449" s="60" t="s">
        <v>15</v>
      </c>
      <c r="T449" s="59" t="s">
        <v>581</v>
      </c>
      <c r="U449" s="60">
        <f>IF(T449="within",1,0)</f>
        <v>1</v>
      </c>
      <c r="V449" s="59">
        <v>150</v>
      </c>
      <c r="W449" s="60">
        <f>F449*V449</f>
        <v>1500</v>
      </c>
      <c r="X449" s="60">
        <v>3</v>
      </c>
      <c r="Y449" s="76">
        <f>AV448</f>
        <v>20</v>
      </c>
      <c r="Z449" s="59" t="s">
        <v>165</v>
      </c>
      <c r="AA449" s="60">
        <f>60*60*24*7*3</f>
        <v>1814400</v>
      </c>
      <c r="AB449" s="60" t="str">
        <f>IF(AA449&lt;60,"1",IF(AA449&lt;=43200,"2",IF(AA449&lt;=777600,"3","4")))</f>
        <v>4</v>
      </c>
      <c r="AC449" s="56">
        <f>AVERAGE(AV448:DA448)</f>
        <v>605406.66666666663</v>
      </c>
      <c r="AD449" s="60" t="str">
        <f>IF(AC449&lt;60,"1",IF(AC449&lt;=43200,"2",IF(AC449&lt;=777600,"3","4")))</f>
        <v>3</v>
      </c>
      <c r="AE449" s="76">
        <f>AA449-Y449</f>
        <v>1814380</v>
      </c>
      <c r="AF449" s="80">
        <f>AV449</f>
        <v>0.88400000000000001</v>
      </c>
      <c r="AG449" s="56">
        <f>((AW449-AV449)+(AX449-AW449))/2</f>
        <v>-8.9000000000000024E-2</v>
      </c>
      <c r="AH449" s="4"/>
      <c r="AI449" s="56">
        <f>RSQ(AV449:AX449,AV448:AX448)</f>
        <v>0.963738621202198</v>
      </c>
      <c r="AJ449" s="109">
        <f>SLOPE(AV449:AX449,AV448:AX448)</f>
        <v>-8.8242221219282349E-8</v>
      </c>
      <c r="AK449" s="56">
        <f>INTERCEPT(AV449:AX449,AV448:AX448)</f>
        <v>0.86608909567429482</v>
      </c>
      <c r="AL449" s="56">
        <f>INDEX(LINEST(LN(AV449:AX449),LN(AV448:AX448),TRUE,TRUE),3,1)</f>
        <v>0.94919304613758848</v>
      </c>
      <c r="AM449" s="56">
        <f>INDEX(LINEST(LN(AV449:AX449),LN(AV448:AX448)),1)</f>
        <v>-2.0269115675704209E-2</v>
      </c>
      <c r="AN449" s="56">
        <f>EXP(INDEX(LINEST(LN(AV449:AX449),LN(AV448:AX448)),1,2))</f>
        <v>0.95709417902807392</v>
      </c>
      <c r="AO449" s="82">
        <f>INDEX(LINEST((AV449:AX449),LN(AV448:AX448),TRUE,TRUE),3,1)</f>
        <v>0.9567195197211239</v>
      </c>
      <c r="AP449" s="82">
        <f>INDEX(LINEST((AV449:AX449),LN(AV448:AX448)),1)</f>
        <v>-1.6008831822842375E-2</v>
      </c>
      <c r="AQ449" s="83">
        <f>INDEX(LINEST(LN(AV449:AX449),SQRT(AV448:AX448),TRUE,TRUE),3,1)</f>
        <v>0.97771913105154673</v>
      </c>
      <c r="AR449" s="116">
        <f>INDEX(LINEST(LN(AV449:AX449),SQRT((AV448:AX448))),1)</f>
        <v>-1.5475190470558064E-4</v>
      </c>
      <c r="AS449" s="84">
        <f>INDEX(LINEST(1/(AV449:AX449),1/(SQRT(AV448:AX448)),TRUE,TRUE),3,1)</f>
        <v>0.48932649981933685</v>
      </c>
      <c r="AT449" s="84">
        <f>INDEX(LINEST(1/(AV449:AX449),1/SQRT(AV448:AX448)),1)</f>
        <v>-0.87117595215390142</v>
      </c>
      <c r="AU449" s="3"/>
      <c r="AV449" s="53">
        <f>44.2/50</f>
        <v>0.88400000000000001</v>
      </c>
      <c r="AW449" s="53">
        <f>42.4/50</f>
        <v>0.84799999999999998</v>
      </c>
      <c r="AX449" s="53">
        <f>35.3/50</f>
        <v>0.70599999999999996</v>
      </c>
      <c r="AY449" s="53"/>
      <c r="AZ449" s="53"/>
      <c r="BA449" s="53"/>
      <c r="BB449" s="53"/>
      <c r="BC449" s="53"/>
      <c r="BD449" s="53"/>
      <c r="BE449" s="53"/>
      <c r="BF449" s="53"/>
      <c r="BG449" s="53"/>
      <c r="BH449" s="53"/>
      <c r="BI449" s="53"/>
      <c r="BJ449" s="53"/>
      <c r="BK449" s="53"/>
      <c r="BL449" s="53"/>
      <c r="BM449" s="53"/>
      <c r="BN449" s="53"/>
      <c r="BO449" s="53"/>
      <c r="BP449" s="53"/>
      <c r="BQ449" s="53"/>
      <c r="BR449" s="53"/>
      <c r="BS449" s="53"/>
      <c r="BT449" s="53"/>
      <c r="BU449" s="53"/>
      <c r="BV449" s="53"/>
      <c r="BW449" s="53"/>
      <c r="BX449" s="53"/>
      <c r="BY449" s="53"/>
      <c r="BZ449" s="53"/>
      <c r="CA449" s="53"/>
      <c r="CB449" s="53"/>
      <c r="CC449" s="53"/>
      <c r="CD449" s="53"/>
      <c r="CE449" s="53"/>
      <c r="CF449" s="53"/>
      <c r="CG449" s="53"/>
      <c r="CH449" s="53"/>
      <c r="CI449" s="53"/>
      <c r="CJ449" s="53"/>
      <c r="CK449" s="53"/>
      <c r="CL449" s="53"/>
      <c r="CM449" s="53"/>
      <c r="CN449" s="53"/>
      <c r="CO449" s="53"/>
      <c r="CP449" s="53"/>
      <c r="CQ449" s="53"/>
      <c r="CR449" s="1"/>
      <c r="CS449" s="1"/>
      <c r="CT449" s="1"/>
      <c r="CU449" s="1"/>
    </row>
    <row r="450" spans="1:99" s="13" customFormat="1" ht="12" customHeight="1" x14ac:dyDescent="0.2">
      <c r="A450" s="65">
        <v>43902</v>
      </c>
      <c r="B450" s="1"/>
      <c r="C450" s="1"/>
      <c r="D450" s="60"/>
      <c r="E450" s="76"/>
      <c r="F450" s="60"/>
      <c r="G450" s="60"/>
      <c r="H450" s="60"/>
      <c r="I450" s="60"/>
      <c r="J450" s="60"/>
      <c r="K450" s="64"/>
      <c r="L450" s="64"/>
      <c r="M450" s="60"/>
      <c r="N450" s="59"/>
      <c r="O450" s="60"/>
      <c r="P450" s="60"/>
      <c r="Q450" s="60"/>
      <c r="R450" s="60"/>
      <c r="S450" s="60"/>
      <c r="T450" s="59"/>
      <c r="U450" s="60"/>
      <c r="V450" s="59"/>
      <c r="W450" s="60"/>
      <c r="X450" s="60"/>
      <c r="Y450" s="76"/>
      <c r="Z450" s="59"/>
      <c r="AA450" s="59"/>
      <c r="AB450" s="60"/>
      <c r="AC450" s="56"/>
      <c r="AD450" s="60"/>
      <c r="AE450" s="60"/>
      <c r="AF450" s="80"/>
      <c r="AG450" s="56"/>
      <c r="AH450" s="4"/>
      <c r="AI450" s="56"/>
      <c r="AJ450" s="109"/>
      <c r="AK450" s="56"/>
      <c r="AL450" s="56"/>
      <c r="AM450" s="56"/>
      <c r="AN450" s="56"/>
      <c r="AO450" s="82"/>
      <c r="AP450" s="82"/>
      <c r="AQ450" s="83"/>
      <c r="AR450" s="116"/>
      <c r="AS450" s="84"/>
      <c r="AT450" s="84"/>
      <c r="AU450" s="3"/>
      <c r="AV450" s="25">
        <v>315360000</v>
      </c>
      <c r="AW450" s="25">
        <v>630720000</v>
      </c>
      <c r="AX450" s="25">
        <v>946080000</v>
      </c>
      <c r="AY450" s="25">
        <v>1261440000</v>
      </c>
      <c r="AZ450" s="25">
        <v>1576800000</v>
      </c>
      <c r="BA450" s="53"/>
      <c r="BB450" s="53"/>
      <c r="BC450" s="53"/>
      <c r="BD450" s="53"/>
      <c r="BE450" s="53"/>
      <c r="BF450" s="53"/>
      <c r="BG450" s="53"/>
      <c r="BH450" s="53"/>
      <c r="BI450" s="53"/>
      <c r="BJ450" s="53"/>
      <c r="BK450" s="53"/>
      <c r="BL450" s="53"/>
      <c r="BM450" s="53"/>
      <c r="BN450" s="53"/>
      <c r="BO450" s="53"/>
      <c r="BP450" s="53"/>
      <c r="BQ450" s="53"/>
      <c r="BR450" s="53"/>
      <c r="BS450" s="53"/>
      <c r="BT450" s="53"/>
      <c r="BU450" s="53"/>
      <c r="BV450" s="53"/>
      <c r="BW450" s="53"/>
      <c r="BX450" s="53"/>
      <c r="BY450" s="53"/>
      <c r="BZ450" s="53"/>
      <c r="CA450" s="53"/>
      <c r="CB450" s="53"/>
      <c r="CC450" s="53"/>
      <c r="CD450" s="53"/>
      <c r="CE450" s="53"/>
      <c r="CF450" s="53"/>
      <c r="CG450" s="53"/>
      <c r="CH450" s="53"/>
      <c r="CI450" s="53"/>
      <c r="CJ450" s="53"/>
      <c r="CK450" s="53"/>
      <c r="CL450" s="53"/>
      <c r="CM450" s="53"/>
      <c r="CN450" s="53"/>
      <c r="CO450" s="53"/>
      <c r="CP450" s="53"/>
      <c r="CQ450" s="53"/>
      <c r="CR450" s="1"/>
      <c r="CS450" s="1"/>
      <c r="CT450" s="1"/>
      <c r="CU450" s="1"/>
    </row>
    <row r="451" spans="1:99" s="13" customFormat="1" ht="12" customHeight="1" x14ac:dyDescent="0.2">
      <c r="A451" s="65">
        <v>43902</v>
      </c>
      <c r="B451" s="1" t="s">
        <v>448</v>
      </c>
      <c r="C451" s="1" t="s">
        <v>357</v>
      </c>
      <c r="D451" s="60">
        <v>1988</v>
      </c>
      <c r="E451" s="76">
        <v>1</v>
      </c>
      <c r="F451" s="60">
        <v>5</v>
      </c>
      <c r="G451" s="60">
        <v>5</v>
      </c>
      <c r="H451" s="60" t="s">
        <v>451</v>
      </c>
      <c r="I451" s="60" t="s">
        <v>330</v>
      </c>
      <c r="J451" s="59" t="s">
        <v>353</v>
      </c>
      <c r="K451" s="60">
        <f>IF(J451="syllables",1,IF(J451="trigrams",2,IF(J451="strings",3,IF(J451="visual array",4,IF(J451="characters",5,IF(J451="letters",6,IF(J451="free forms",7,IF(J451="odors",8,IF(J451="words",9,IF(J451="pictures",10,IF(J451="object pictures",11,IF(J451="faces",12,IF(J451="names",13,IF(J451="idioms",14,IF(J451="grades",15,IF(J451="syllable-digit pairs",16,IF(J451="trigram-word pairs",17,IF(J451="word-digit pairs",18,IF(J451="English-Swahili pairs",19,IF(J451="spatial position",20,IF(J451="word pairs",21,IF(J451="word triads",22,IF(J451="generated words",23,IF(J451="word definition pairs",24,IF(J451="math problems",25,IF(J451="famous faces",26,IF(J451="famous names",27,IF(J451="famous voices",28,IF(J451="television programs",29,IF(J451="race horses",30,IF(J451="new vocabulary",31,IF(J451="sentences",32,IF(J451="concepts",33,IF(J451="ad slides",34,IF(J451="scenes",35,IF(J451="famous scenes",36,IF(J451="poems",37,IF(J451="walk",38,IF(J451="faces and events",39,IF(J451="events and names",40,IF(J451="flashbulb",41,IF(J451="stories",42,IF(J451="course material",43,IF(J451="autobiographical",44,IF(J451="novels",45,IF(J451="public events",46,"99"))))))))))))))))))))))))))))))))))))))))))))))</f>
        <v>28</v>
      </c>
      <c r="L451" s="60">
        <f>IF(J451="syllables",1,IF(J451="trigrams",1,IF(J451="strings",1,IF(J451="visual array",1,IF(J451="characters",1,IF(J451="letters",1,IF(J451="free forms",1,IF(J451="odors",2,IF(J451="words",2,IF(J451="pictures",2,IF(J451="object pictures",2,IF(J451="faces",2,IF(J451="names",2,IF(J451="idioms","2",IF(J451="grades",2,IF(J451="syllable-digit pairs",3,IF(J451="trigram-word pairs",3,IF(J451="word-digit pairs",3,IF(J451="English-Swahili pairs",3,IF(J451="spatial position",3,IF(J451="word pairs",4,IF(J451="word triads",4,IF(J451="generated words",4,IF(J451="word definition pairs",4,IF(J451="math problems",4,IF(J451="famous faces",4,IF(J451="famous names",4,IF(J451="famous voices",4,IF(J451="television programs",4,IF(J451="race horses",4,IF(J451="new vocabulary",4,IF(J451="sentences",5,IF(J451="concepts",5,IF(J451="ad slides",5,IF(J451="scenes",5,IF(J451="famous scenes",5,IF(J451="poems",6,IF(J451="walk",6,IF(J451="faces and events",6,IF(J451="events and names",6,IF(J451="flashbulb",7,IF(J451="stories",7,IF(J451="course material",7,IF(J451="autobiographical",7,IF(J451="novels",7,IF(J451="public events",7,"99"))))))))))))))))))))))))))))))))))))))))))))))</f>
        <v>4</v>
      </c>
      <c r="M451" s="60">
        <v>1</v>
      </c>
      <c r="N451" s="59">
        <v>3</v>
      </c>
      <c r="O451" s="60">
        <v>0</v>
      </c>
      <c r="P451" s="60"/>
      <c r="Q451" s="60" t="s">
        <v>174</v>
      </c>
      <c r="R451" s="60">
        <f>IF(Q451="Free Recall",1,IF(Q451="Cued Recall",2,IF(Q451="Recognition",3,IF(Q451="Multiple Choice",4,IF(Q451="Savings",5,IF(Q451="Stem Completion",6,IF(Q451="Fragment Completion",7,IF(Q451="anagram solution",8,IF(Q451="Matching",9,IF(Q451="Problem Solving",10,"99"))))))))))</f>
        <v>1</v>
      </c>
      <c r="S451" s="60" t="s">
        <v>49</v>
      </c>
      <c r="T451" s="59" t="s">
        <v>581</v>
      </c>
      <c r="U451" s="60">
        <f>IF(T451="within",1,0)</f>
        <v>1</v>
      </c>
      <c r="V451" s="59">
        <v>75</v>
      </c>
      <c r="W451" s="60">
        <f>F451*V451</f>
        <v>375</v>
      </c>
      <c r="X451" s="60">
        <v>5</v>
      </c>
      <c r="Y451" s="76">
        <f>AV450</f>
        <v>315360000</v>
      </c>
      <c r="Z451" s="59" t="s">
        <v>209</v>
      </c>
      <c r="AA451" s="60">
        <f>50*365*24*60*60</f>
        <v>1576800000</v>
      </c>
      <c r="AB451" s="60" t="str">
        <f>IF(AA451&lt;60,"1",IF(AA451&lt;=43200,"2",IF(AA451&lt;=777600,"3","4")))</f>
        <v>4</v>
      </c>
      <c r="AC451" s="56">
        <f>AVERAGE(AV450:DA450)</f>
        <v>946080000</v>
      </c>
      <c r="AD451" s="60" t="str">
        <f>IF(AC451&lt;60,"1",IF(AC451&lt;=43200,"2",IF(AC451&lt;=777600,"3","4")))</f>
        <v>4</v>
      </c>
      <c r="AE451" s="76">
        <f>AA451-Y451</f>
        <v>1261440000</v>
      </c>
      <c r="AF451" s="80">
        <f>AV451</f>
        <v>0.64</v>
      </c>
      <c r="AG451" s="56">
        <f>((AW451-AV451)+(AX451-AW451)+(AY451-AX451)+(AZ451-AY451))/4</f>
        <v>-8.7500000000000008E-2</v>
      </c>
      <c r="AH451" s="4"/>
      <c r="AI451" s="56">
        <f>RSQ(AV451:AZ451,AV450:AZ450)</f>
        <v>0.76370533529123807</v>
      </c>
      <c r="AJ451" s="109">
        <f>SLOPE(AV451:AZ451,AV450:AZ450)</f>
        <v>-2.5050735667174024E-10</v>
      </c>
      <c r="AK451" s="56">
        <f>INTERCEPT(AV451:AZ451,AV450:AZ450)</f>
        <v>0.71299999999999997</v>
      </c>
      <c r="AL451" s="56">
        <f>INDEX(LINEST(LN(AV451:AZ451),LN(AV450:AZ450),TRUE,TRUE),3,1)</f>
        <v>0.68429305295440535</v>
      </c>
      <c r="AM451" s="56">
        <f>INDEX(LINEST(LN(AV451:AZ451),LN(AV450:AZ450)),1)</f>
        <v>-0.41976270112104347</v>
      </c>
      <c r="AN451" s="56">
        <f>EXP(INDEX(LINEST(LN(AV451:AZ451),LN(AV450:AZ450)),1,2))</f>
        <v>2525.9903857627628</v>
      </c>
      <c r="AO451" s="82">
        <f>INDEX(LINEST((AV451:AZ451),LN(AV450:AZ450),TRUE,TRUE),3,1)</f>
        <v>0.74363999085354504</v>
      </c>
      <c r="AP451" s="82">
        <f>INDEX(LINEST((AV451:AZ451),LN(AV450:AZ450)),1)</f>
        <v>-0.19395168034166685</v>
      </c>
      <c r="AQ451" s="83">
        <f>INDEX(LINEST(LN(AV451:AZ451),SQRT(AV450:AZ450),TRUE,TRUE),3,1)</f>
        <v>0.71968419487952484</v>
      </c>
      <c r="AR451" s="116">
        <f>INDEX(LINEST(LN(AV451:AZ451),SQRT((AV450:AZ450))),1)</f>
        <v>-3.1656178720381467E-5</v>
      </c>
      <c r="AS451" s="84">
        <f>INDEX(LINEST(1/(AV451:AZ451),1/(SQRT(AV450:AZ450)),TRUE,TRUE),3,1)</f>
        <v>0.56281582614682635</v>
      </c>
      <c r="AT451" s="84">
        <f>INDEX(LINEST(1/(AV451:AZ451),1/SQRT(AV450:AZ450)),1)</f>
        <v>-46488.591402182086</v>
      </c>
      <c r="AU451" s="3"/>
      <c r="AV451" s="53">
        <v>0.64</v>
      </c>
      <c r="AW451" s="53">
        <v>0.57999999999999996</v>
      </c>
      <c r="AX451" s="53">
        <v>0.38</v>
      </c>
      <c r="AY451" s="53">
        <v>0.49</v>
      </c>
      <c r="AZ451" s="53">
        <v>0.28999999999999998</v>
      </c>
      <c r="BA451" s="53"/>
      <c r="BB451" s="53"/>
      <c r="BC451" s="53"/>
      <c r="BD451" s="53"/>
      <c r="BE451" s="53"/>
      <c r="BF451" s="53"/>
      <c r="BG451" s="53"/>
      <c r="BH451" s="53"/>
      <c r="BI451" s="53"/>
      <c r="BJ451" s="53"/>
      <c r="BK451" s="53"/>
      <c r="BL451" s="53"/>
      <c r="BM451" s="53"/>
      <c r="BN451" s="53"/>
      <c r="BO451" s="53"/>
      <c r="BP451" s="53"/>
      <c r="BQ451" s="53"/>
      <c r="BR451" s="53"/>
      <c r="BS451" s="53"/>
      <c r="BT451" s="53"/>
      <c r="BU451" s="53"/>
      <c r="BV451" s="53"/>
      <c r="BW451" s="53"/>
      <c r="BX451" s="53"/>
      <c r="BY451" s="53"/>
      <c r="BZ451" s="53"/>
      <c r="CA451" s="53"/>
      <c r="CB451" s="53"/>
      <c r="CC451" s="53"/>
      <c r="CD451" s="53"/>
      <c r="CE451" s="53"/>
      <c r="CF451" s="53"/>
      <c r="CG451" s="53"/>
      <c r="CH451" s="53"/>
      <c r="CI451" s="53"/>
      <c r="CJ451" s="53"/>
      <c r="CK451" s="53"/>
      <c r="CL451" s="53"/>
      <c r="CM451" s="53"/>
      <c r="CN451" s="53"/>
      <c r="CO451" s="53"/>
      <c r="CP451" s="53"/>
      <c r="CQ451" s="53"/>
      <c r="CR451" s="1"/>
      <c r="CS451" s="1"/>
      <c r="CT451" s="1"/>
      <c r="CU451" s="1"/>
    </row>
    <row r="452" spans="1:99" s="13" customFormat="1" ht="12" customHeight="1" x14ac:dyDescent="0.2">
      <c r="A452" s="65">
        <v>43902</v>
      </c>
      <c r="B452" s="1"/>
      <c r="C452" s="1"/>
      <c r="D452" s="60"/>
      <c r="E452" s="76"/>
      <c r="F452" s="60"/>
      <c r="G452" s="60"/>
      <c r="H452" s="60"/>
      <c r="I452" s="60"/>
      <c r="J452" s="60"/>
      <c r="K452" s="64"/>
      <c r="L452" s="64"/>
      <c r="M452" s="60"/>
      <c r="N452" s="59"/>
      <c r="O452" s="60"/>
      <c r="P452" s="60"/>
      <c r="Q452" s="60"/>
      <c r="R452" s="60"/>
      <c r="S452" s="60"/>
      <c r="T452" s="59"/>
      <c r="U452" s="60"/>
      <c r="V452" s="59"/>
      <c r="W452" s="60"/>
      <c r="X452" s="60"/>
      <c r="Y452" s="76"/>
      <c r="Z452" s="59"/>
      <c r="AA452" s="59"/>
      <c r="AB452" s="60"/>
      <c r="AC452" s="56"/>
      <c r="AD452" s="60"/>
      <c r="AE452" s="60"/>
      <c r="AF452" s="80"/>
      <c r="AG452" s="56"/>
      <c r="AH452" s="4"/>
      <c r="AI452" s="56"/>
      <c r="AJ452" s="109"/>
      <c r="AK452" s="56"/>
      <c r="AL452" s="56"/>
      <c r="AM452" s="56"/>
      <c r="AN452" s="56"/>
      <c r="AO452" s="82"/>
      <c r="AP452" s="82"/>
      <c r="AQ452" s="83"/>
      <c r="AR452" s="116"/>
      <c r="AS452" s="84"/>
      <c r="AT452" s="84"/>
      <c r="AU452" s="3"/>
      <c r="AV452" s="25">
        <v>315360000</v>
      </c>
      <c r="AW452" s="25">
        <v>630720000</v>
      </c>
      <c r="AX452" s="25">
        <v>946080000</v>
      </c>
      <c r="AY452" s="25">
        <v>1261440000</v>
      </c>
      <c r="AZ452" s="25">
        <v>1576800000</v>
      </c>
      <c r="BA452" s="53"/>
      <c r="BB452" s="53"/>
      <c r="BC452" s="53"/>
      <c r="BD452" s="53"/>
      <c r="BE452" s="53"/>
      <c r="BF452" s="53"/>
      <c r="BG452" s="53"/>
      <c r="BH452" s="53"/>
      <c r="BI452" s="53"/>
      <c r="BJ452" s="53"/>
      <c r="BK452" s="53"/>
      <c r="BL452" s="53"/>
      <c r="BM452" s="53"/>
      <c r="BN452" s="53"/>
      <c r="BO452" s="53"/>
      <c r="BP452" s="53"/>
      <c r="BQ452" s="53"/>
      <c r="BR452" s="53"/>
      <c r="BS452" s="53"/>
      <c r="BT452" s="53"/>
      <c r="BU452" s="53"/>
      <c r="BV452" s="53"/>
      <c r="BW452" s="53"/>
      <c r="BX452" s="53"/>
      <c r="BY452" s="53"/>
      <c r="BZ452" s="53"/>
      <c r="CA452" s="53"/>
      <c r="CB452" s="53"/>
      <c r="CC452" s="53"/>
      <c r="CD452" s="53"/>
      <c r="CE452" s="53"/>
      <c r="CF452" s="53"/>
      <c r="CG452" s="53"/>
      <c r="CH452" s="53"/>
      <c r="CI452" s="53"/>
      <c r="CJ452" s="53"/>
      <c r="CK452" s="53"/>
      <c r="CL452" s="53"/>
      <c r="CM452" s="53"/>
      <c r="CN452" s="53"/>
      <c r="CO452" s="53"/>
      <c r="CP452" s="53"/>
      <c r="CQ452" s="53"/>
      <c r="CR452" s="1"/>
      <c r="CS452" s="1"/>
      <c r="CT452" s="1"/>
      <c r="CU452" s="1"/>
    </row>
    <row r="453" spans="1:99" s="13" customFormat="1" ht="12" customHeight="1" x14ac:dyDescent="0.2">
      <c r="A453" s="65">
        <v>43902</v>
      </c>
      <c r="B453" s="1" t="s">
        <v>448</v>
      </c>
      <c r="C453" s="1" t="s">
        <v>357</v>
      </c>
      <c r="D453" s="60">
        <v>1988</v>
      </c>
      <c r="E453" s="76">
        <v>1</v>
      </c>
      <c r="F453" s="60">
        <v>5</v>
      </c>
      <c r="G453" s="60">
        <v>5</v>
      </c>
      <c r="H453" s="60" t="s">
        <v>451</v>
      </c>
      <c r="I453" s="60" t="s">
        <v>330</v>
      </c>
      <c r="J453" s="59" t="s">
        <v>353</v>
      </c>
      <c r="K453" s="60">
        <f>IF(J453="syllables",1,IF(J453="trigrams",2,IF(J453="strings",3,IF(J453="visual array",4,IF(J453="characters",5,IF(J453="letters",6,IF(J453="free forms",7,IF(J453="odors",8,IF(J453="words",9,IF(J453="pictures",10,IF(J453="object pictures",11,IF(J453="faces",12,IF(J453="names",13,IF(J453="idioms",14,IF(J453="grades",15,IF(J453="syllable-digit pairs",16,IF(J453="trigram-word pairs",17,IF(J453="word-digit pairs",18,IF(J453="English-Swahili pairs",19,IF(J453="spatial position",20,IF(J453="word pairs",21,IF(J453="word triads",22,IF(J453="generated words",23,IF(J453="word definition pairs",24,IF(J453="math problems",25,IF(J453="famous faces",26,IF(J453="famous names",27,IF(J453="famous voices",28,IF(J453="television programs",29,IF(J453="race horses",30,IF(J453="new vocabulary",31,IF(J453="sentences",32,IF(J453="concepts",33,IF(J453="ad slides",34,IF(J453="scenes",35,IF(J453="famous scenes",36,IF(J453="poems",37,IF(J453="walk",38,IF(J453="faces and events",39,IF(J453="events and names",40,IF(J453="flashbulb",41,IF(J453="stories",42,IF(J453="course material",43,IF(J453="autobiographical",44,IF(J453="novels",45,IF(J453="public events",46,"99"))))))))))))))))))))))))))))))))))))))))))))))</f>
        <v>28</v>
      </c>
      <c r="L453" s="60">
        <f>IF(J453="syllables",1,IF(J453="trigrams",1,IF(J453="strings",1,IF(J453="visual array",1,IF(J453="characters",1,IF(J453="letters",1,IF(J453="free forms",1,IF(J453="odors",2,IF(J453="words",2,IF(J453="pictures",2,IF(J453="object pictures",2,IF(J453="faces",2,IF(J453="names",2,IF(J453="idioms","2",IF(J453="grades",2,IF(J453="syllable-digit pairs",3,IF(J453="trigram-word pairs",3,IF(J453="word-digit pairs",3,IF(J453="English-Swahili pairs",3,IF(J453="spatial position",3,IF(J453="word pairs",4,IF(J453="word triads",4,IF(J453="generated words",4,IF(J453="word definition pairs",4,IF(J453="math problems",4,IF(J453="famous faces",4,IF(J453="famous names",4,IF(J453="famous voices",4,IF(J453="television programs",4,IF(J453="race horses",4,IF(J453="new vocabulary",4,IF(J453="sentences",5,IF(J453="concepts",5,IF(J453="ad slides",5,IF(J453="scenes",5,IF(J453="famous scenes",5,IF(J453="poems",6,IF(J453="walk",6,IF(J453="faces and events",6,IF(J453="events and names",6,IF(J453="flashbulb",7,IF(J453="stories",7,IF(J453="course material",7,IF(J453="autobiographical",7,IF(J453="novels",7,IF(J453="public events",7,"99"))))))))))))))))))))))))))))))))))))))))))))))</f>
        <v>4</v>
      </c>
      <c r="M453" s="60">
        <v>1</v>
      </c>
      <c r="N453" s="59">
        <v>3</v>
      </c>
      <c r="O453" s="60">
        <v>0</v>
      </c>
      <c r="P453" s="60"/>
      <c r="Q453" s="60" t="s">
        <v>182</v>
      </c>
      <c r="R453" s="60">
        <f>IF(Q453="Free Recall",1,IF(Q453="Cued Recall",2,IF(Q453="Recognition",3,IF(Q453="Multiple Choice",4,IF(Q453="Savings",5,IF(Q453="Stem Completion",6,IF(Q453="Fragment Completion",7,IF(Q453="anagram solution",8,IF(Q453="Matching",9,IF(Q453="Problem Solving",10,"99"))))))))))</f>
        <v>4</v>
      </c>
      <c r="S453" s="60" t="s">
        <v>15</v>
      </c>
      <c r="T453" s="59" t="s">
        <v>581</v>
      </c>
      <c r="U453" s="60">
        <f>IF(T453="within",1,0)</f>
        <v>1</v>
      </c>
      <c r="V453" s="59">
        <v>75</v>
      </c>
      <c r="W453" s="60">
        <f>F453*V453</f>
        <v>375</v>
      </c>
      <c r="X453" s="60">
        <v>5</v>
      </c>
      <c r="Y453" s="76">
        <f>AV452</f>
        <v>315360000</v>
      </c>
      <c r="Z453" s="59" t="s">
        <v>209</v>
      </c>
      <c r="AA453" s="60">
        <f>50*365*24*60*60</f>
        <v>1576800000</v>
      </c>
      <c r="AB453" s="60" t="str">
        <f>IF(AA453&lt;60,"1",IF(AA453&lt;=43200,"2",IF(AA453&lt;=777600,"3","4")))</f>
        <v>4</v>
      </c>
      <c r="AC453" s="56">
        <f>AVERAGE(AV452:DA452)</f>
        <v>946080000</v>
      </c>
      <c r="AD453" s="60" t="str">
        <f>IF(AC453&lt;60,"1",IF(AC453&lt;=43200,"2",IF(AC453&lt;=777600,"3","4")))</f>
        <v>4</v>
      </c>
      <c r="AE453" s="76">
        <f>AA453-Y453</f>
        <v>1261440000</v>
      </c>
      <c r="AF453" s="80">
        <f>AV453</f>
        <v>0.92</v>
      </c>
      <c r="AG453" s="56">
        <f>((AW453-AV453)+(AX453-AW453)+(AY453-AX453)+(AZ453-AY453))/4</f>
        <v>-0.11000000000000001</v>
      </c>
      <c r="AH453" s="4"/>
      <c r="AI453" s="56">
        <f>RSQ(AV453:AZ453,AV452:AZ452)</f>
        <v>0.59900990099009899</v>
      </c>
      <c r="AJ453" s="109">
        <f>SLOPE(AV453:AZ453,AV452:AZ452)</f>
        <v>-2.7904616945712838E-10</v>
      </c>
      <c r="AK453" s="56">
        <f>INTERCEPT(AV453:AZ453,AV452:AZ452)</f>
        <v>1.052</v>
      </c>
      <c r="AL453" s="56">
        <f>INDEX(LINEST(LN(AV453:AZ453),LN(AV452:AZ452),TRUE,TRUE),3,1)</f>
        <v>0.4401675434526473</v>
      </c>
      <c r="AM453" s="56">
        <f>INDEX(LINEST(LN(AV453:AZ453),LN(AV452:AZ452)),1)</f>
        <v>-0.28149290710271108</v>
      </c>
      <c r="AN453" s="56">
        <f>EXP(INDEX(LINEST(LN(AV453:AZ453),LN(AV452:AZ452)),1,2))</f>
        <v>248.09986942386752</v>
      </c>
      <c r="AO453" s="82">
        <f>INDEX(LINEST((AV453:AZ453),LN(AV452:AZ452),TRUE,TRUE),3,1)</f>
        <v>0.46964806146866789</v>
      </c>
      <c r="AP453" s="82">
        <f>INDEX(LINEST((AV453:AZ453),LN(AV452:AZ452)),1)</f>
        <v>-0.1938652358734009</v>
      </c>
      <c r="AQ453" s="83">
        <f>INDEX(LINEST(LN(AV453:AZ453),SQRT(AV452:AZ452),TRUE,TRUE),3,1)</f>
        <v>0.51309379991300741</v>
      </c>
      <c r="AR453" s="116">
        <f>INDEX(LINEST(LN(AV453:AZ453),SQRT((AV452:AZ452))),1)</f>
        <v>-2.2349178176397365E-5</v>
      </c>
      <c r="AS453" s="84">
        <f>INDEX(LINEST(1/(AV453:AZ453),1/(SQRT(AV452:AZ452)),TRUE,TRUE),3,1)</f>
        <v>0.34144569867690416</v>
      </c>
      <c r="AT453" s="84">
        <f>INDEX(LINEST(1/(AV453:AZ453),1/SQRT(AV452:AZ452)),1)</f>
        <v>-19719.570036715031</v>
      </c>
      <c r="AU453" s="3"/>
      <c r="AV453" s="53">
        <v>0.92</v>
      </c>
      <c r="AW453" s="53">
        <v>0.88</v>
      </c>
      <c r="AX453" s="53">
        <v>0.78</v>
      </c>
      <c r="AY453" s="53">
        <v>0.88</v>
      </c>
      <c r="AZ453" s="53">
        <v>0.48</v>
      </c>
      <c r="BA453" s="53"/>
      <c r="BB453" s="53"/>
      <c r="BC453" s="53"/>
      <c r="BD453" s="53"/>
      <c r="BE453" s="53"/>
      <c r="BF453" s="53"/>
      <c r="BG453" s="53"/>
      <c r="BH453" s="53"/>
      <c r="BI453" s="53"/>
      <c r="BJ453" s="53"/>
      <c r="BK453" s="53"/>
      <c r="BL453" s="53"/>
      <c r="BM453" s="53"/>
      <c r="BN453" s="53"/>
      <c r="BO453" s="53"/>
      <c r="BP453" s="53"/>
      <c r="BQ453" s="53"/>
      <c r="BR453" s="53"/>
      <c r="BS453" s="53"/>
      <c r="BT453" s="53"/>
      <c r="BU453" s="53"/>
      <c r="BV453" s="53"/>
      <c r="BW453" s="53"/>
      <c r="BX453" s="53"/>
      <c r="BY453" s="53"/>
      <c r="BZ453" s="53"/>
      <c r="CA453" s="53"/>
      <c r="CB453" s="53"/>
      <c r="CC453" s="53"/>
      <c r="CD453" s="53"/>
      <c r="CE453" s="53"/>
      <c r="CF453" s="53"/>
      <c r="CG453" s="53"/>
      <c r="CH453" s="53"/>
      <c r="CI453" s="53"/>
      <c r="CJ453" s="53"/>
      <c r="CK453" s="53"/>
      <c r="CL453" s="53"/>
      <c r="CM453" s="53"/>
      <c r="CN453" s="53"/>
      <c r="CO453" s="53"/>
      <c r="CP453" s="53"/>
      <c r="CQ453" s="53"/>
      <c r="CR453" s="1"/>
      <c r="CS453" s="1"/>
      <c r="CT453" s="1"/>
      <c r="CU453" s="1"/>
    </row>
    <row r="454" spans="1:99" s="13" customFormat="1" ht="12" customHeight="1" x14ac:dyDescent="0.2">
      <c r="A454" s="65">
        <v>43902</v>
      </c>
      <c r="B454" s="1"/>
      <c r="C454" s="1"/>
      <c r="D454" s="60"/>
      <c r="E454" s="76"/>
      <c r="F454" s="60"/>
      <c r="G454" s="60"/>
      <c r="H454" s="60"/>
      <c r="I454" s="60"/>
      <c r="J454" s="60"/>
      <c r="K454" s="64"/>
      <c r="L454" s="64"/>
      <c r="M454" s="60"/>
      <c r="N454" s="59"/>
      <c r="O454" s="60"/>
      <c r="P454" s="60"/>
      <c r="Q454" s="60"/>
      <c r="R454" s="60"/>
      <c r="S454" s="60"/>
      <c r="T454" s="59"/>
      <c r="U454" s="60"/>
      <c r="V454" s="59"/>
      <c r="W454" s="60"/>
      <c r="X454" s="60"/>
      <c r="Y454" s="76"/>
      <c r="Z454" s="59"/>
      <c r="AA454" s="59"/>
      <c r="AB454" s="60"/>
      <c r="AC454" s="56"/>
      <c r="AD454" s="60"/>
      <c r="AE454" s="60"/>
      <c r="AF454" s="80"/>
      <c r="AG454" s="56"/>
      <c r="AH454" s="4"/>
      <c r="AI454" s="56"/>
      <c r="AJ454" s="109"/>
      <c r="AK454" s="56"/>
      <c r="AL454" s="56"/>
      <c r="AM454" s="56"/>
      <c r="AN454" s="56"/>
      <c r="AO454" s="82"/>
      <c r="AP454" s="82"/>
      <c r="AQ454" s="83"/>
      <c r="AR454" s="116"/>
      <c r="AS454" s="84"/>
      <c r="AT454" s="84"/>
      <c r="AU454" s="3"/>
      <c r="AV454" s="25">
        <v>315360000</v>
      </c>
      <c r="AW454" s="25">
        <v>630720000</v>
      </c>
      <c r="AX454" s="25">
        <v>946080000</v>
      </c>
      <c r="AY454" s="25">
        <v>1261440000</v>
      </c>
      <c r="AZ454" s="25">
        <v>1576800000</v>
      </c>
      <c r="BA454" s="53"/>
      <c r="BB454" s="53"/>
      <c r="BC454" s="53"/>
      <c r="BD454" s="53"/>
      <c r="BE454" s="53"/>
      <c r="BF454" s="53"/>
      <c r="BG454" s="53"/>
      <c r="BH454" s="53"/>
      <c r="BI454" s="53"/>
      <c r="BJ454" s="53"/>
      <c r="BK454" s="53"/>
      <c r="BL454" s="53"/>
      <c r="BM454" s="53"/>
      <c r="BN454" s="53"/>
      <c r="BO454" s="53"/>
      <c r="BP454" s="53"/>
      <c r="BQ454" s="53"/>
      <c r="BR454" s="53"/>
      <c r="BS454" s="53"/>
      <c r="BT454" s="53"/>
      <c r="BU454" s="53"/>
      <c r="BV454" s="53"/>
      <c r="BW454" s="53"/>
      <c r="BX454" s="53"/>
      <c r="BY454" s="53"/>
      <c r="BZ454" s="53"/>
      <c r="CA454" s="53"/>
      <c r="CB454" s="53"/>
      <c r="CC454" s="53"/>
      <c r="CD454" s="53"/>
      <c r="CE454" s="53"/>
      <c r="CF454" s="53"/>
      <c r="CG454" s="53"/>
      <c r="CH454" s="53"/>
      <c r="CI454" s="53"/>
      <c r="CJ454" s="53"/>
      <c r="CK454" s="53"/>
      <c r="CL454" s="53"/>
      <c r="CM454" s="53"/>
      <c r="CN454" s="53"/>
      <c r="CO454" s="53"/>
      <c r="CP454" s="53"/>
      <c r="CQ454" s="53"/>
      <c r="CR454" s="1"/>
      <c r="CS454" s="1"/>
      <c r="CT454" s="1"/>
      <c r="CU454" s="1"/>
    </row>
    <row r="455" spans="1:99" s="13" customFormat="1" ht="12" customHeight="1" x14ac:dyDescent="0.2">
      <c r="A455" s="65">
        <v>43902</v>
      </c>
      <c r="B455" s="1" t="s">
        <v>448</v>
      </c>
      <c r="C455" s="1" t="s">
        <v>357</v>
      </c>
      <c r="D455" s="60">
        <v>1988</v>
      </c>
      <c r="E455" s="76">
        <v>1</v>
      </c>
      <c r="F455" s="60">
        <v>8</v>
      </c>
      <c r="G455" s="60">
        <v>8</v>
      </c>
      <c r="H455" s="60" t="s">
        <v>452</v>
      </c>
      <c r="I455" s="60" t="s">
        <v>330</v>
      </c>
      <c r="J455" s="60" t="s">
        <v>340</v>
      </c>
      <c r="K455" s="60">
        <f>IF(J455="syllables",1,IF(J455="trigrams",2,IF(J455="strings",3,IF(J455="visual array",4,IF(J455="characters",5,IF(J455="letters",6,IF(J455="free forms",7,IF(J455="odors",8,IF(J455="words",9,IF(J455="pictures",10,IF(J455="object pictures",11,IF(J455="faces",12,IF(J455="names",13,IF(J455="idioms",14,IF(J455="grades",15,IF(J455="syllable-digit pairs",16,IF(J455="trigram-word pairs",17,IF(J455="word-digit pairs",18,IF(J455="English-Swahili pairs",19,IF(J455="spatial position",20,IF(J455="word pairs",21,IF(J455="word triads",22,IF(J455="generated words",23,IF(J455="word definition pairs",24,IF(J455="math problems",25,IF(J455="famous faces",26,IF(J455="famous names",27,IF(J455="famous voices",28,IF(J455="television programs",29,IF(J455="race horses",30,IF(J455="new vocabulary",31,IF(J455="sentences",32,IF(J455="concepts",33,IF(J455="ad slides",34,IF(J455="scenes",35,IF(J455="famous scenes",36,IF(J455="poems",37,IF(J455="walk",38,IF(J455="faces and events",39,IF(J455="events and names",40,IF(J455="flashbulb",41,IF(J455="stories",42,IF(J455="course material",43,IF(J455="autobiographical",44,IF(J455="novels",45,IF(J455="public events",46,"99"))))))))))))))))))))))))))))))))))))))))))))))</f>
        <v>46</v>
      </c>
      <c r="L455" s="60">
        <f>IF(J455="syllables",1,IF(J455="trigrams",1,IF(J455="strings",1,IF(J455="visual array",1,IF(J455="characters",1,IF(J455="letters",1,IF(J455="free forms",1,IF(J455="odors",2,IF(J455="words",2,IF(J455="pictures",2,IF(J455="object pictures",2,IF(J455="faces",2,IF(J455="names",2,IF(J455="idioms","2",IF(J455="grades",2,IF(J455="syllable-digit pairs",3,IF(J455="trigram-word pairs",3,IF(J455="word-digit pairs",3,IF(J455="English-Swahili pairs",3,IF(J455="spatial position",3,IF(J455="word pairs",4,IF(J455="word triads",4,IF(J455="generated words",4,IF(J455="word definition pairs",4,IF(J455="math problems",4,IF(J455="famous faces",4,IF(J455="famous names",4,IF(J455="famous voices",4,IF(J455="television programs",4,IF(J455="race horses",4,IF(J455="new vocabulary",4,IF(J455="sentences",5,IF(J455="concepts",5,IF(J455="ad slides",5,IF(J455="scenes",5,IF(J455="famous scenes",5,IF(J455="poems",6,IF(J455="walk",6,IF(J455="faces and events",6,IF(J455="events and names",6,IF(J455="flashbulb",7,IF(J455="stories",7,IF(J455="course material",7,IF(J455="autobiographical",7,IF(J455="novels",7,IF(J455="public events",7,"99"))))))))))))))))))))))))))))))))))))))))))))))</f>
        <v>7</v>
      </c>
      <c r="M455" s="60">
        <v>1</v>
      </c>
      <c r="N455" s="59">
        <v>4</v>
      </c>
      <c r="O455" s="60">
        <v>0</v>
      </c>
      <c r="P455" s="60"/>
      <c r="Q455" s="60" t="s">
        <v>174</v>
      </c>
      <c r="R455" s="60">
        <f>IF(Q455="Free Recall",1,IF(Q455="Cued Recall",2,IF(Q455="Recognition",3,IF(Q455="Multiple Choice",4,IF(Q455="Savings",5,IF(Q455="Stem Completion",6,IF(Q455="Fragment Completion",7,IF(Q455="anagram solution",8,IF(Q455="Matching",9,IF(Q455="Problem Solving",10,"99"))))))))))</f>
        <v>1</v>
      </c>
      <c r="S455" s="60" t="s">
        <v>49</v>
      </c>
      <c r="T455" s="59" t="s">
        <v>581</v>
      </c>
      <c r="U455" s="60">
        <f>IF(T455="within",1,0)</f>
        <v>1</v>
      </c>
      <c r="V455" s="59">
        <v>75</v>
      </c>
      <c r="W455" s="60">
        <f>F455*V455</f>
        <v>600</v>
      </c>
      <c r="X455" s="60">
        <v>5</v>
      </c>
      <c r="Y455" s="76">
        <f>AV454</f>
        <v>315360000</v>
      </c>
      <c r="Z455" s="59" t="s">
        <v>209</v>
      </c>
      <c r="AA455" s="60">
        <f>50*365*24*60*60</f>
        <v>1576800000</v>
      </c>
      <c r="AB455" s="60" t="str">
        <f>IF(AA455&lt;60,"1",IF(AA455&lt;=43200,"2",IF(AA455&lt;=777600,"3","4")))</f>
        <v>4</v>
      </c>
      <c r="AC455" s="56">
        <f>AVERAGE(AV454:DA454)</f>
        <v>946080000</v>
      </c>
      <c r="AD455" s="60" t="str">
        <f>IF(AC455&lt;60,"1",IF(AC455&lt;=43200,"2",IF(AC455&lt;=777600,"3","4")))</f>
        <v>4</v>
      </c>
      <c r="AE455" s="76">
        <f>AA455-Y455</f>
        <v>1261440000</v>
      </c>
      <c r="AF455" s="80">
        <f>AV455</f>
        <v>0.64</v>
      </c>
      <c r="AG455" s="56">
        <f>((AW455-AV455)+(AX455-AW455)+(AY455-AX455)+(AZ455-AY455))/4</f>
        <v>-7.4999999999999997E-2</v>
      </c>
      <c r="AH455" s="4"/>
      <c r="AI455" s="56">
        <f>RSQ(AV455:AZ455,AV454:AZ454)</f>
        <v>0.79134366925064592</v>
      </c>
      <c r="AJ455" s="109">
        <f>SLOPE(AV455:AZ455,AV454:AZ454)</f>
        <v>-2.219685438863521E-10</v>
      </c>
      <c r="AK455" s="56">
        <f>INTERCEPT(AV455:AZ455,AV454:AZ454)</f>
        <v>0.68599999999999994</v>
      </c>
      <c r="AL455" s="56">
        <f>INDEX(LINEST(LN(AV455:AZ455),LN(AV454:AZ454),TRUE,TRUE),3,1)</f>
        <v>0.78834199201300792</v>
      </c>
      <c r="AM455" s="56">
        <f>INDEX(LINEST(LN(AV455:AZ455),LN(AV454:AZ454)),1)</f>
        <v>-0.36659852691459716</v>
      </c>
      <c r="AN455" s="56">
        <f>EXP(INDEX(LINEST(LN(AV455:AZ455),LN(AV454:AZ454)),1,2))</f>
        <v>858.5638694230405</v>
      </c>
      <c r="AO455" s="82">
        <f>INDEX(LINEST((AV455:AZ455),LN(AV454:AZ454),TRUE,TRUE),3,1)</f>
        <v>0.83094918826328734</v>
      </c>
      <c r="AP455" s="82">
        <f>INDEX(LINEST((AV455:AZ455),LN(AV454:AZ454)),1)</f>
        <v>-0.17846403457054849</v>
      </c>
      <c r="AQ455" s="83">
        <f>INDEX(LINEST(LN(AV455:AZ455),SQRT(AV454:AZ454),TRUE,TRUE),3,1)</f>
        <v>0.79270064317151567</v>
      </c>
      <c r="AR455" s="116">
        <f>INDEX(LINEST(LN(AV455:AZ455),SQRT((AV454:AZ454))),1)</f>
        <v>-2.7032904914994559E-5</v>
      </c>
      <c r="AS455" s="84">
        <f>INDEX(LINEST(1/(AV455:AZ455),1/(SQRT(AV454:AZ454)),TRUE,TRUE),3,1)</f>
        <v>0.70446287075016867</v>
      </c>
      <c r="AT455" s="84">
        <f>INDEX(LINEST(1/(AV455:AZ455),1/SQRT(AV454:AZ454)),1)</f>
        <v>-38709.767931215516</v>
      </c>
      <c r="AU455" s="3"/>
      <c r="AV455" s="53">
        <v>0.64</v>
      </c>
      <c r="AW455" s="53">
        <v>0.56000000000000005</v>
      </c>
      <c r="AX455" s="53">
        <v>0.38</v>
      </c>
      <c r="AY455" s="53">
        <v>0.46</v>
      </c>
      <c r="AZ455" s="53">
        <v>0.34</v>
      </c>
      <c r="BA455" s="53"/>
      <c r="BB455" s="53"/>
      <c r="BC455" s="53"/>
      <c r="BD455" s="53"/>
      <c r="BE455" s="53"/>
      <c r="BF455" s="53"/>
      <c r="BG455" s="53"/>
      <c r="BH455" s="53"/>
      <c r="BI455" s="53"/>
      <c r="BJ455" s="53"/>
      <c r="BK455" s="53"/>
      <c r="BL455" s="53"/>
      <c r="BM455" s="53"/>
      <c r="BN455" s="53"/>
      <c r="BO455" s="53"/>
      <c r="BP455" s="53"/>
      <c r="BQ455" s="53"/>
      <c r="BR455" s="53"/>
      <c r="BS455" s="53"/>
      <c r="BT455" s="53"/>
      <c r="BU455" s="53"/>
      <c r="BV455" s="53"/>
      <c r="BW455" s="53"/>
      <c r="BX455" s="53"/>
      <c r="BY455" s="53"/>
      <c r="BZ455" s="53"/>
      <c r="CA455" s="53"/>
      <c r="CB455" s="53"/>
      <c r="CC455" s="53"/>
      <c r="CD455" s="53"/>
      <c r="CE455" s="53"/>
      <c r="CF455" s="53"/>
      <c r="CG455" s="53"/>
      <c r="CH455" s="53"/>
      <c r="CI455" s="53"/>
      <c r="CJ455" s="53"/>
      <c r="CK455" s="53"/>
      <c r="CL455" s="53"/>
      <c r="CM455" s="53"/>
      <c r="CN455" s="53"/>
      <c r="CO455" s="53"/>
      <c r="CP455" s="53"/>
      <c r="CQ455" s="53"/>
      <c r="CR455" s="1"/>
      <c r="CS455" s="1"/>
      <c r="CT455" s="1"/>
      <c r="CU455" s="1"/>
    </row>
    <row r="456" spans="1:99" s="13" customFormat="1" ht="12" customHeight="1" x14ac:dyDescent="0.2">
      <c r="A456" s="65">
        <v>43902</v>
      </c>
      <c r="B456" s="1"/>
      <c r="C456" s="1"/>
      <c r="D456" s="60"/>
      <c r="E456" s="76"/>
      <c r="F456" s="60"/>
      <c r="G456" s="60"/>
      <c r="H456" s="60"/>
      <c r="I456" s="60"/>
      <c r="J456" s="60"/>
      <c r="K456" s="64"/>
      <c r="L456" s="64"/>
      <c r="M456" s="60"/>
      <c r="N456" s="59"/>
      <c r="O456" s="60"/>
      <c r="P456" s="60"/>
      <c r="Q456" s="60"/>
      <c r="R456" s="60"/>
      <c r="S456" s="60"/>
      <c r="T456" s="59"/>
      <c r="U456" s="60"/>
      <c r="V456" s="59"/>
      <c r="W456" s="60"/>
      <c r="X456" s="60"/>
      <c r="Y456" s="76"/>
      <c r="Z456" s="59"/>
      <c r="AA456" s="59"/>
      <c r="AB456" s="60"/>
      <c r="AC456" s="56"/>
      <c r="AD456" s="60"/>
      <c r="AE456" s="60"/>
      <c r="AF456" s="80"/>
      <c r="AG456" s="56"/>
      <c r="AH456" s="4"/>
      <c r="AI456" s="56"/>
      <c r="AJ456" s="109"/>
      <c r="AK456" s="56"/>
      <c r="AL456" s="56"/>
      <c r="AM456" s="56"/>
      <c r="AN456" s="56"/>
      <c r="AO456" s="82"/>
      <c r="AP456" s="82"/>
      <c r="AQ456" s="83"/>
      <c r="AR456" s="116"/>
      <c r="AS456" s="84"/>
      <c r="AT456" s="84"/>
      <c r="AU456" s="3"/>
      <c r="AV456" s="25">
        <v>315360000</v>
      </c>
      <c r="AW456" s="25">
        <v>630720000</v>
      </c>
      <c r="AX456" s="25">
        <v>946080000</v>
      </c>
      <c r="AY456" s="25">
        <v>1261440000</v>
      </c>
      <c r="AZ456" s="25">
        <v>1576800000</v>
      </c>
      <c r="BA456" s="53"/>
      <c r="BB456" s="53"/>
      <c r="BC456" s="53"/>
      <c r="BD456" s="53"/>
      <c r="BE456" s="53"/>
      <c r="BF456" s="53"/>
      <c r="BG456" s="53"/>
      <c r="BH456" s="53"/>
      <c r="BI456" s="53"/>
      <c r="BJ456" s="53"/>
      <c r="BK456" s="53"/>
      <c r="BL456" s="53"/>
      <c r="BM456" s="53"/>
      <c r="BN456" s="53"/>
      <c r="BO456" s="53"/>
      <c r="BP456" s="53"/>
      <c r="BQ456" s="53"/>
      <c r="BR456" s="53"/>
      <c r="BS456" s="53"/>
      <c r="BT456" s="53"/>
      <c r="BU456" s="53"/>
      <c r="BV456" s="53"/>
      <c r="BW456" s="53"/>
      <c r="BX456" s="53"/>
      <c r="BY456" s="53"/>
      <c r="BZ456" s="53"/>
      <c r="CA456" s="53"/>
      <c r="CB456" s="53"/>
      <c r="CC456" s="53"/>
      <c r="CD456" s="53"/>
      <c r="CE456" s="53"/>
      <c r="CF456" s="53"/>
      <c r="CG456" s="53"/>
      <c r="CH456" s="53"/>
      <c r="CI456" s="53"/>
      <c r="CJ456" s="53"/>
      <c r="CK456" s="53"/>
      <c r="CL456" s="53"/>
      <c r="CM456" s="53"/>
      <c r="CN456" s="53"/>
      <c r="CO456" s="53"/>
      <c r="CP456" s="53"/>
      <c r="CQ456" s="53"/>
      <c r="CR456" s="1"/>
      <c r="CS456" s="1"/>
      <c r="CT456" s="1"/>
      <c r="CU456" s="1"/>
    </row>
    <row r="457" spans="1:99" s="13" customFormat="1" ht="12" customHeight="1" x14ac:dyDescent="0.2">
      <c r="A457" s="65">
        <v>43902</v>
      </c>
      <c r="B457" s="1" t="s">
        <v>448</v>
      </c>
      <c r="C457" s="1" t="s">
        <v>357</v>
      </c>
      <c r="D457" s="60">
        <v>1988</v>
      </c>
      <c r="E457" s="76">
        <v>1</v>
      </c>
      <c r="F457" s="60">
        <v>8</v>
      </c>
      <c r="G457" s="60">
        <v>8</v>
      </c>
      <c r="H457" s="60" t="s">
        <v>452</v>
      </c>
      <c r="I457" s="60" t="s">
        <v>330</v>
      </c>
      <c r="J457" s="60" t="s">
        <v>340</v>
      </c>
      <c r="K457" s="60">
        <f>IF(J457="syllables",1,IF(J457="trigrams",2,IF(J457="strings",3,IF(J457="visual array",4,IF(J457="characters",5,IF(J457="letters",6,IF(J457="free forms",7,IF(J457="odors",8,IF(J457="words",9,IF(J457="pictures",10,IF(J457="object pictures",11,IF(J457="faces",12,IF(J457="names",13,IF(J457="idioms",14,IF(J457="grades",15,IF(J457="syllable-digit pairs",16,IF(J457="trigram-word pairs",17,IF(J457="word-digit pairs",18,IF(J457="English-Swahili pairs",19,IF(J457="spatial position",20,IF(J457="word pairs",21,IF(J457="word triads",22,IF(J457="generated words",23,IF(J457="word definition pairs",24,IF(J457="math problems",25,IF(J457="famous faces",26,IF(J457="famous names",27,IF(J457="famous voices",28,IF(J457="television programs",29,IF(J457="race horses",30,IF(J457="new vocabulary",31,IF(J457="sentences",32,IF(J457="concepts",33,IF(J457="ad slides",34,IF(J457="scenes",35,IF(J457="famous scenes",36,IF(J457="poems",37,IF(J457="walk",38,IF(J457="faces and events",39,IF(J457="events and names",40,IF(J457="flashbulb",41,IF(J457="stories",42,IF(J457="course material",43,IF(J457="autobiographical",44,IF(J457="novels",45,IF(J457="public events",46,"99"))))))))))))))))))))))))))))))))))))))))))))))</f>
        <v>46</v>
      </c>
      <c r="L457" s="60">
        <f>IF(J457="syllables",1,IF(J457="trigrams",1,IF(J457="strings",1,IF(J457="visual array",1,IF(J457="characters",1,IF(J457="letters",1,IF(J457="free forms",1,IF(J457="odors",2,IF(J457="words",2,IF(J457="pictures",2,IF(J457="object pictures",2,IF(J457="faces",2,IF(J457="names",2,IF(J457="idioms","2",IF(J457="grades",2,IF(J457="syllable-digit pairs",3,IF(J457="trigram-word pairs",3,IF(J457="word-digit pairs",3,IF(J457="English-Swahili pairs",3,IF(J457="spatial position",3,IF(J457="word pairs",4,IF(J457="word triads",4,IF(J457="generated words",4,IF(J457="word definition pairs",4,IF(J457="math problems",4,IF(J457="famous faces",4,IF(J457="famous names",4,IF(J457="famous voices",4,IF(J457="television programs",4,IF(J457="race horses",4,IF(J457="new vocabulary",4,IF(J457="sentences",5,IF(J457="concepts",5,IF(J457="ad slides",5,IF(J457="scenes",5,IF(J457="famous scenes",5,IF(J457="poems",6,IF(J457="walk",6,IF(J457="faces and events",6,IF(J457="events and names",6,IF(J457="flashbulb",7,IF(J457="stories",7,IF(J457="course material",7,IF(J457="autobiographical",7,IF(J457="novels",7,IF(J457="public events",7,"99"))))))))))))))))))))))))))))))))))))))))))))))</f>
        <v>7</v>
      </c>
      <c r="M457" s="60">
        <v>1</v>
      </c>
      <c r="N457" s="59">
        <v>4</v>
      </c>
      <c r="O457" s="60">
        <v>0</v>
      </c>
      <c r="P457" s="60"/>
      <c r="Q457" s="60" t="s">
        <v>182</v>
      </c>
      <c r="R457" s="60">
        <f>IF(Q457="Free Recall",1,IF(Q457="Cued Recall",2,IF(Q457="Recognition",3,IF(Q457="Multiple Choice",4,IF(Q457="Savings",5,IF(Q457="Stem Completion",6,IF(Q457="Fragment Completion",7,IF(Q457="anagram solution",8,IF(Q457="Matching",9,IF(Q457="Problem Solving",10,"99"))))))))))</f>
        <v>4</v>
      </c>
      <c r="S457" s="60" t="s">
        <v>15</v>
      </c>
      <c r="T457" s="59" t="s">
        <v>581</v>
      </c>
      <c r="U457" s="60">
        <f>IF(T457="within",1,0)</f>
        <v>1</v>
      </c>
      <c r="V457" s="59">
        <v>75</v>
      </c>
      <c r="W457" s="60">
        <f>F457*V457</f>
        <v>600</v>
      </c>
      <c r="X457" s="60">
        <v>5</v>
      </c>
      <c r="Y457" s="76">
        <f>AV456</f>
        <v>315360000</v>
      </c>
      <c r="Z457" s="59" t="s">
        <v>209</v>
      </c>
      <c r="AA457" s="60">
        <f>50*365*24*60*60</f>
        <v>1576800000</v>
      </c>
      <c r="AB457" s="60" t="str">
        <f>IF(AA457&lt;60,"1",IF(AA457&lt;=43200,"2",IF(AA457&lt;=777600,"3","4")))</f>
        <v>4</v>
      </c>
      <c r="AC457" s="56">
        <f>AVERAGE(AV456:DA456)</f>
        <v>946080000</v>
      </c>
      <c r="AD457" s="60" t="str">
        <f>IF(AC457&lt;60,"1",IF(AC457&lt;=43200,"2",IF(AC457&lt;=777600,"3","4")))</f>
        <v>4</v>
      </c>
      <c r="AE457" s="76">
        <f>AA457-Y457</f>
        <v>1261440000</v>
      </c>
      <c r="AF457" s="80">
        <f>AV457</f>
        <v>0.83</v>
      </c>
      <c r="AG457" s="56">
        <f>((AW457-AV457)+(AX457-AW457)+(AY457-AX457)+(AZ457-AY457))/4</f>
        <v>-5.4999999999999993E-2</v>
      </c>
      <c r="AH457" s="4"/>
      <c r="AI457" s="56">
        <f>RSQ(AV457:AZ457,AV456:AZ456)</f>
        <v>0.92113910186199377</v>
      </c>
      <c r="AJ457" s="109">
        <f>SLOPE(AV457:AZ457,AV456:AZ456)</f>
        <v>-1.8391679350583459E-10</v>
      </c>
      <c r="AK457" s="56">
        <f>INTERCEPT(AV457:AZ457,AV456:AZ456)</f>
        <v>0.8879999999999999</v>
      </c>
      <c r="AL457" s="56">
        <f>INDEX(LINEST(LN(AV457:AZ457),LN(AV456:AZ456),TRUE,TRUE),3,1)</f>
        <v>0.8982901060774412</v>
      </c>
      <c r="AM457" s="56">
        <f>INDEX(LINEST(LN(AV457:AZ457),LN(AV456:AZ456)),1)</f>
        <v>-0.19779592563291784</v>
      </c>
      <c r="AN457" s="56">
        <f>EXP(INDEX(LINEST(LN(AV457:AZ457),LN(AV456:AZ456)),1,2))</f>
        <v>41.105824712179611</v>
      </c>
      <c r="AO457" s="82">
        <f>INDEX(LINEST((AV457:AZ457),LN(AV456:AZ456),TRUE,TRUE),3,1)</f>
        <v>0.90422254487926623</v>
      </c>
      <c r="AP457" s="82">
        <f>INDEX(LINEST((AV457:AZ457),LN(AV456:AZ456)),1)</f>
        <v>-0.14297201864804351</v>
      </c>
      <c r="AQ457" s="83">
        <f>INDEX(LINEST(LN(AV457:AZ457),SQRT(AV456:AZ456),TRUE,TRUE),3,1)</f>
        <v>0.92825996102427388</v>
      </c>
      <c r="AR457" s="116">
        <f>INDEX(LINEST(LN(AV457:AZ457),SQRT((AV456:AZ456))),1)</f>
        <v>-1.478592737119345E-5</v>
      </c>
      <c r="AS457" s="84">
        <f>INDEX(LINEST(1/(AV457:AZ457),1/(SQRT(AV456:AZ456)),TRUE,TRUE),3,1)</f>
        <v>0.82936915812726009</v>
      </c>
      <c r="AT457" s="84">
        <f>INDEX(LINEST(1/(AV457:AZ457),1/SQRT(AV456:AZ456)),1)</f>
        <v>-13600.906338574458</v>
      </c>
      <c r="AU457" s="3"/>
      <c r="AV457" s="53">
        <v>0.83</v>
      </c>
      <c r="AW457" s="53">
        <v>0.8</v>
      </c>
      <c r="AX457" s="53">
        <v>0.67</v>
      </c>
      <c r="AY457" s="53">
        <v>0.66</v>
      </c>
      <c r="AZ457" s="53">
        <v>0.61</v>
      </c>
      <c r="BA457" s="53"/>
      <c r="BB457" s="53"/>
      <c r="BC457" s="53"/>
      <c r="BD457" s="53"/>
      <c r="BE457" s="53"/>
      <c r="BF457" s="53"/>
      <c r="BG457" s="53"/>
      <c r="BH457" s="53"/>
      <c r="BI457" s="53"/>
      <c r="BJ457" s="53"/>
      <c r="BK457" s="53"/>
      <c r="BL457" s="53"/>
      <c r="BM457" s="53"/>
      <c r="BN457" s="53"/>
      <c r="BO457" s="53"/>
      <c r="BP457" s="53"/>
      <c r="BQ457" s="53"/>
      <c r="BR457" s="53"/>
      <c r="BS457" s="53"/>
      <c r="BT457" s="53"/>
      <c r="BU457" s="53"/>
      <c r="BV457" s="53"/>
      <c r="BW457" s="53"/>
      <c r="BX457" s="53"/>
      <c r="BY457" s="53"/>
      <c r="BZ457" s="53"/>
      <c r="CA457" s="53"/>
      <c r="CB457" s="53"/>
      <c r="CC457" s="53"/>
      <c r="CD457" s="53"/>
      <c r="CE457" s="53"/>
      <c r="CF457" s="53"/>
      <c r="CG457" s="53"/>
      <c r="CH457" s="53"/>
      <c r="CI457" s="53"/>
      <c r="CJ457" s="53"/>
      <c r="CK457" s="53"/>
      <c r="CL457" s="53"/>
      <c r="CM457" s="53"/>
      <c r="CN457" s="53"/>
      <c r="CO457" s="53"/>
      <c r="CP457" s="53"/>
      <c r="CQ457" s="53"/>
      <c r="CR457" s="1"/>
      <c r="CS457" s="1"/>
      <c r="CT457" s="1"/>
      <c r="CU457" s="1"/>
    </row>
    <row r="458" spans="1:99" s="13" customFormat="1" ht="12" customHeight="1" x14ac:dyDescent="0.2">
      <c r="A458" s="68">
        <v>43509</v>
      </c>
      <c r="B458" s="70"/>
      <c r="C458" s="70"/>
      <c r="D458" s="69"/>
      <c r="E458" s="87"/>
      <c r="F458" s="69"/>
      <c r="G458" s="69"/>
      <c r="H458" s="69"/>
      <c r="I458" s="69"/>
      <c r="J458" s="69"/>
      <c r="K458" s="107"/>
      <c r="L458" s="107"/>
      <c r="M458" s="69"/>
      <c r="N458" s="69"/>
      <c r="O458" s="69"/>
      <c r="P458" s="69"/>
      <c r="Q458" s="69"/>
      <c r="R458" s="69"/>
      <c r="S458" s="69"/>
      <c r="T458" s="69"/>
      <c r="U458" s="60"/>
      <c r="V458" s="69"/>
      <c r="W458" s="69"/>
      <c r="X458" s="69"/>
      <c r="Y458" s="87"/>
      <c r="Z458" s="69"/>
      <c r="AA458" s="69"/>
      <c r="AB458" s="69"/>
      <c r="AC458" s="69"/>
      <c r="AD458" s="69"/>
      <c r="AE458" s="69"/>
      <c r="AF458" s="88"/>
      <c r="AG458" s="72"/>
      <c r="AH458" s="4"/>
      <c r="AI458" s="72"/>
      <c r="AJ458" s="110"/>
      <c r="AK458" s="72"/>
      <c r="AL458" s="72"/>
      <c r="AM458" s="72"/>
      <c r="AN458" s="72"/>
      <c r="AO458" s="72"/>
      <c r="AP458" s="72"/>
      <c r="AQ458" s="72"/>
      <c r="AR458" s="110"/>
      <c r="AS458" s="72"/>
      <c r="AT458" s="72"/>
      <c r="AU458" s="5"/>
      <c r="AV458" s="71">
        <f>24*60*60</f>
        <v>86400</v>
      </c>
      <c r="AW458" s="71">
        <f>4*24*60*60</f>
        <v>345600</v>
      </c>
      <c r="AX458" s="71">
        <f>7*24*60*60</f>
        <v>604800</v>
      </c>
      <c r="AY458" s="71">
        <f>10*24*60*60</f>
        <v>864000</v>
      </c>
      <c r="AZ458" s="71">
        <f>13*24*60*60</f>
        <v>1123200</v>
      </c>
      <c r="BA458" s="71">
        <f>16*24*60*60</f>
        <v>1382400</v>
      </c>
      <c r="BB458" s="71">
        <f>19*24*60*60</f>
        <v>1641600</v>
      </c>
      <c r="BC458" s="71">
        <f>22*24*60*60</f>
        <v>1900800</v>
      </c>
      <c r="BD458" s="71">
        <f>25*24*60*60</f>
        <v>2160000</v>
      </c>
      <c r="BE458" s="71">
        <f>28*24*60*60</f>
        <v>2419200</v>
      </c>
      <c r="BF458" s="71">
        <f>31*24*60*60</f>
        <v>2678400</v>
      </c>
      <c r="BG458" s="71">
        <f>34*24*60*60</f>
        <v>2937600</v>
      </c>
      <c r="BH458" s="71">
        <f>37*24*60*60</f>
        <v>3196800</v>
      </c>
      <c r="BI458" s="71">
        <f>40*24*60*60</f>
        <v>3456000</v>
      </c>
      <c r="BJ458" s="71">
        <f>43*24*60*60</f>
        <v>3715200</v>
      </c>
      <c r="BK458" s="71">
        <f>46*24*60*60</f>
        <v>3974400</v>
      </c>
      <c r="BL458" s="71">
        <f>49*24*60*60</f>
        <v>4233600</v>
      </c>
      <c r="BM458" s="71">
        <f>52*24*60*60</f>
        <v>4492800</v>
      </c>
      <c r="BN458" s="71">
        <f>55*24*60*60</f>
        <v>4752000</v>
      </c>
      <c r="BO458" s="71">
        <f>58*24*60*60</f>
        <v>5011200</v>
      </c>
      <c r="BP458" s="71">
        <f>64.5*24*60*60</f>
        <v>5572800</v>
      </c>
      <c r="BQ458" s="71">
        <f>74.5*24*60*60</f>
        <v>6436800</v>
      </c>
      <c r="BR458" s="71">
        <f>84.5*24*60*60</f>
        <v>7300800</v>
      </c>
      <c r="BS458" s="71">
        <f>94.5*24*60*60</f>
        <v>8164800</v>
      </c>
      <c r="BT458" s="71">
        <f>104.5*24*60*60</f>
        <v>9028800</v>
      </c>
      <c r="BU458" s="71">
        <f>114.5*24*60*60</f>
        <v>9892800</v>
      </c>
      <c r="BV458" s="71">
        <f>124.5*24*60*60</f>
        <v>10756800</v>
      </c>
      <c r="BW458" s="71">
        <f>134.5*24*60*60</f>
        <v>11620800</v>
      </c>
      <c r="BX458" s="71">
        <f>144.5*24*60*60</f>
        <v>12484800</v>
      </c>
      <c r="BY458" s="71">
        <f>154.5*24*60*60</f>
        <v>13348800</v>
      </c>
      <c r="BZ458" s="71">
        <f>164.5*24*60*60</f>
        <v>14212800</v>
      </c>
      <c r="CA458" s="71">
        <f>174.5*24*60*60</f>
        <v>15076800</v>
      </c>
      <c r="CB458" s="71">
        <f>184.5*24*60*60</f>
        <v>15940800</v>
      </c>
      <c r="CC458" s="71">
        <f>194.5*24*60*60</f>
        <v>16804800</v>
      </c>
      <c r="CD458" s="71">
        <f>204.5*24*60*60</f>
        <v>17668800</v>
      </c>
      <c r="CE458" s="71">
        <f>214.5*24*60*60</f>
        <v>18532800</v>
      </c>
      <c r="CF458" s="71">
        <f>224.5*24*60*60</f>
        <v>19396800</v>
      </c>
      <c r="CG458" s="71">
        <f>234.5*24*60*60</f>
        <v>20260800</v>
      </c>
      <c r="CH458" s="71">
        <f>244.5*24*60*60</f>
        <v>21124800</v>
      </c>
      <c r="CI458" s="71">
        <f>254.5*24*60*60</f>
        <v>21988800</v>
      </c>
      <c r="CJ458" s="71">
        <f>264.5*24*60*60</f>
        <v>22852800</v>
      </c>
      <c r="CK458" s="71">
        <f>274.5*24*60*60</f>
        <v>23716800</v>
      </c>
      <c r="CL458" s="71">
        <f>284.5*24*60*60</f>
        <v>24580800</v>
      </c>
      <c r="CM458" s="71">
        <f>294.5*24*60*60</f>
        <v>25444800</v>
      </c>
      <c r="CN458" s="71">
        <f>304.5*24*60*60</f>
        <v>26308800</v>
      </c>
      <c r="CO458" s="71">
        <f>314.5*24*60*60</f>
        <v>27172800</v>
      </c>
      <c r="CP458" s="71">
        <f>324.5*24*60*60</f>
        <v>28036800</v>
      </c>
      <c r="CQ458" s="71">
        <f>334.5*24*60*60</f>
        <v>28900800</v>
      </c>
      <c r="CR458" s="71">
        <f>344.5*24*60*60</f>
        <v>29764800</v>
      </c>
      <c r="CS458" s="71">
        <f>354.5*24*60*60</f>
        <v>30628800</v>
      </c>
      <c r="CT458" s="71">
        <f>364.5*24*60*60</f>
        <v>31492800</v>
      </c>
      <c r="CU458" s="71">
        <f>374.5*24*60*60</f>
        <v>32356800</v>
      </c>
    </row>
    <row r="459" spans="1:99" s="13" customFormat="1" ht="12" customHeight="1" x14ac:dyDescent="0.2">
      <c r="A459" s="68">
        <v>43509</v>
      </c>
      <c r="B459" s="70" t="s">
        <v>187</v>
      </c>
      <c r="C459" s="70" t="s">
        <v>188</v>
      </c>
      <c r="D459" s="69">
        <v>2005</v>
      </c>
      <c r="E459" s="87">
        <v>1</v>
      </c>
      <c r="F459" s="69">
        <v>4239</v>
      </c>
      <c r="G459" s="69">
        <v>81.5</v>
      </c>
      <c r="H459" s="69" t="s">
        <v>41</v>
      </c>
      <c r="I459" s="69" t="s">
        <v>739</v>
      </c>
      <c r="J459" s="69" t="s">
        <v>677</v>
      </c>
      <c r="K459" s="69">
        <f>IF(J459="syllables",1,IF(J459="trigrams",2,IF(J459="strings",3,IF(J459="visual array",4,IF(J459="characters",5,IF(J459="letters",6,IF(J459="free forms",7,IF(J459="odors",8,IF(J459="words",9,IF(J459="pictures",10,IF(J459="object pictures",11,IF(J459="faces",12,IF(J459="names",13,IF(J459="idioms",14,IF(J459="grades",15,IF(J459="syllable-digit pairs",16,IF(J459="trigram-word pairs",17,IF(J459="word-digit pairs",18,IF(J459="English-Swahili pairs",19,IF(J459="spatial position",20,IF(J459="word pairs",21,IF(J459="word triads",22,IF(J459="generated words",23,IF(J459="word definition pairs",24,IF(J459="math problems",25,IF(J459="famous faces",26,IF(J459="famous names",27,IF(J459="famous voices",28,IF(J459="television programs",29,IF(J459="race horses",30,IF(J459="new vocabulary",31,IF(J459="sentences",32,IF(J459="concepts",33,IF(J459="ad slides",34,IF(J459="scenes",35,IF(J459="famous scenes",36,IF(J459="poems",37,IF(J459="walk",38,IF(J459="faces and events",39,IF(J459="events and names",40,IF(J459="flashbulb",41,IF(J459="stories",42,IF(J459="course material",43,IF(J459="autobiographical",44,IF(J459="novels",45,IF(J459="public events",46,"99"))))))))))))))))))))))))))))))))))))))))))))))</f>
        <v>42</v>
      </c>
      <c r="L459" s="69">
        <f>IF(J459="syllables",1,IF(J459="trigrams",1,IF(J459="strings",1,IF(J459="visual array",1,IF(J459="characters",1,IF(J459="letters",1,IF(J459="free forms",1,IF(J459="odors",2,IF(J459="words",2,IF(J459="pictures",2,IF(J459="object pictures",2,IF(J459="faces",2,IF(J459="names",2,IF(J459="idioms","2",IF(J459="grades",2,IF(J459="syllable-digit pairs",3,IF(J459="trigram-word pairs",3,IF(J459="word-digit pairs",3,IF(J459="English-Swahili pairs",3,IF(J459="spatial position",3,IF(J459="word pairs",4,IF(J459="word triads",4,IF(J459="generated words",4,IF(J459="word definition pairs",4,IF(J459="math problems",4,IF(J459="famous faces",4,IF(J459="famous names",4,IF(J459="famous voices",4,IF(J459="television programs",4,IF(J459="race horses",4,IF(J459="new vocabulary",4,IF(J459="sentences",5,IF(J459="concepts",5,IF(J459="ad slides",5,IF(J459="scenes",5,IF(J459="famous scenes",5,IF(J459="poems",6,IF(J459="walk",6,IF(J459="faces and events",6,IF(J459="events and names",6,IF(J459="flashbulb",7,IF(J459="stories",7,IF(J459="course material",7,IF(J459="autobiographical",7,IF(J459="novels",7,IF(J459="public events",7,"99"))))))))))))))))))))))))))))))))))))))))))))))</f>
        <v>7</v>
      </c>
      <c r="M459" s="69">
        <v>0</v>
      </c>
      <c r="N459" s="69">
        <v>3</v>
      </c>
      <c r="O459" s="69">
        <v>0</v>
      </c>
      <c r="P459" s="69"/>
      <c r="Q459" s="69" t="s">
        <v>182</v>
      </c>
      <c r="R459" s="69">
        <f>IF(Q459="Free Recall",1,IF(Q459="Cued Recall",2,IF(Q459="Recognition",3,IF(Q459="Multiple Choice",4,IF(Q459="Savings",5,IF(Q459="Stem Completion",6,IF(Q459="Fragment Completion",7,IF(Q459="anagram solution",8,IF(Q459="Matching",9,IF(Q459="Problem Solving",10,"99"))))))))))</f>
        <v>4</v>
      </c>
      <c r="S459" s="69" t="s">
        <v>15</v>
      </c>
      <c r="T459" s="69" t="s">
        <v>261</v>
      </c>
      <c r="U459" s="60">
        <f>IF(T459="within",1,0)</f>
        <v>0</v>
      </c>
      <c r="V459" s="69">
        <v>30</v>
      </c>
      <c r="W459" s="69">
        <f>F459*V459</f>
        <v>127170</v>
      </c>
      <c r="X459" s="69">
        <v>52</v>
      </c>
      <c r="Y459" s="87">
        <f>AV458</f>
        <v>86400</v>
      </c>
      <c r="Z459" s="69" t="s">
        <v>189</v>
      </c>
      <c r="AA459" s="87">
        <f>374.5*24*60*60</f>
        <v>32356800</v>
      </c>
      <c r="AB459" s="69" t="str">
        <f>IF(AA459&lt;60,"1",IF(AA459&lt;=43200,"2",IF(AA459&lt;=777600,"3","4")))</f>
        <v>4</v>
      </c>
      <c r="AC459" s="72">
        <f>AVERAGE(AV458:DA458)</f>
        <v>12650953.846153846</v>
      </c>
      <c r="AD459" s="69" t="str">
        <f>IF(AC459&lt;60,"1",IF(AC459&lt;=43200,"2",IF(AC459&lt;=777600,"3","4")))</f>
        <v>4</v>
      </c>
      <c r="AE459" s="87">
        <f>AA459-Y459</f>
        <v>32270400</v>
      </c>
      <c r="AF459" s="88">
        <f>AV459</f>
        <v>0.78902439024390203</v>
      </c>
      <c r="AG459" s="93">
        <f>((AW459-AV459)+(AX459-AW459)+(AY459-AX459)+(AZ459-AY459)+(BA459-AZ459)+(BB459-BA459)+(BC459-BB459)+(BD459-BC459)+(BE459-BD459)+(BF459-BE459)+(BG459-BF459)+(BH459-BG459)+(BI459-BH459)+(BJ459-BI459)+(BK459-BJ459)+(BL459-BK459)+(BM459-BL459)+(BN459-BM459)+(BO459-BN459)+(BP459-BO459)+(BQ459-BP459)+(BR459-BQ459)+(BS459-BR459)+(BT459-BS459)+(BU459-BT459)+(BV459-BU459)+(BW459-BV459)+(BX459-BW459)+(BY459-BX459)+(BZ459-BY459)+(CA459-BZ459)+(CB459-CA459)+(CC459-CB459)+(CD459-CC459)+(CE459-CD459)+(CF459-CE459)+(CG459-CF459)+(CH459-CG459)+(CI459-CH459)+(CJ459-CI459)+(CK459-CJ459)+(CL459-CK459)+(CM459-CL459)+(CN459-CM459)+(CO459-CN459)+(CP459-CO459)+(CQ459-CP459)+(CR459-CQ459)+(CS459-CR459)+(CT459-CS459)+(CU459-CT459))/51</f>
        <v>-4.3519846963175485E-3</v>
      </c>
      <c r="AH459" s="4"/>
      <c r="AI459" s="72">
        <f>RSQ(AV459:CU459,AV458:CU458)</f>
        <v>0.77652397228479209</v>
      </c>
      <c r="AJ459" s="110">
        <f>SLOPE(AV459:CU459,AV458:CU458)</f>
        <v>-5.2070740796136494E-9</v>
      </c>
      <c r="AK459" s="72">
        <f>INTERCEPT(AV459:CU459,AV458:CU458)</f>
        <v>0.69950484785094358</v>
      </c>
      <c r="AL459" s="72">
        <f>INDEX(LINEST(LN(AV459:CU459),LN(AV458:CU458),TRUE,TRUE),3,1)</f>
        <v>0.91005477002053914</v>
      </c>
      <c r="AM459" s="72">
        <f>INDEX(LINEST(LN(AV459:CU459),LN(AV458:CU458)),1)</f>
        <v>-6.812349177381842E-2</v>
      </c>
      <c r="AN459" s="72">
        <f>EXP(INDEX(LINEST(LN(AV459:CU459),LN(AV458:CU458)),1,2))</f>
        <v>1.8505792786453077</v>
      </c>
      <c r="AO459" s="89">
        <f>INDEX(LINEST((AV459:CU459),LN(AV458:CU458),TRUE,TRUE),3,1)</f>
        <v>0.92521043973231809</v>
      </c>
      <c r="AP459" s="89">
        <f>INDEX(LINEST((AV459:CU459),LN(AV458:CU458)),1)</f>
        <v>-4.4458207079897054E-2</v>
      </c>
      <c r="AQ459" s="90">
        <f>INDEX(LINEST(LN(AV459:CU459),SQRT(AV458:CU458),TRUE,TRUE),3,1)</f>
        <v>0.90143938215654074</v>
      </c>
      <c r="AR459" s="117">
        <f>INDEX(LINEST(LN(AV459:CU459),SQRT((AV458:CU458))),1)</f>
        <v>-5.6174076245665551E-5</v>
      </c>
      <c r="AS459" s="91">
        <f>INDEX(LINEST(1/(AV459:CU459),1/(SQRT(AV458:CU458)),TRUE,TRUE),3,1)</f>
        <v>0.54842157308642014</v>
      </c>
      <c r="AT459" s="91">
        <f>INDEX(LINEST(1/(AV459:CU459),1/SQRT(AV458:CU458)),1)</f>
        <v>-210.88356575788177</v>
      </c>
      <c r="AU459" s="3"/>
      <c r="AV459" s="73">
        <v>0.78902439024390203</v>
      </c>
      <c r="AW459" s="73">
        <v>0.76951219512195101</v>
      </c>
      <c r="AX459" s="73">
        <v>0.75731707317073105</v>
      </c>
      <c r="AY459" s="73">
        <v>0.732926829268292</v>
      </c>
      <c r="AZ459" s="73">
        <v>0.71341463414634099</v>
      </c>
      <c r="BA459" s="73">
        <v>0.70365853658536504</v>
      </c>
      <c r="BB459" s="73">
        <v>0.69146341463414596</v>
      </c>
      <c r="BC459" s="73">
        <v>0.698780487804878</v>
      </c>
      <c r="BD459" s="73">
        <v>0.70853658536585296</v>
      </c>
      <c r="BE459" s="73">
        <v>0.71097560975609697</v>
      </c>
      <c r="BF459" s="73">
        <v>0.68170731707317</v>
      </c>
      <c r="BG459" s="73">
        <v>0.65731707317073096</v>
      </c>
      <c r="BH459" s="73">
        <v>0.66463414634146301</v>
      </c>
      <c r="BI459" s="73">
        <v>0.65487804878048705</v>
      </c>
      <c r="BJ459" s="73">
        <v>0.68414634146341402</v>
      </c>
      <c r="BK459" s="73">
        <v>0.66707317073170702</v>
      </c>
      <c r="BL459" s="73">
        <v>0.68414634146341402</v>
      </c>
      <c r="BM459" s="73">
        <v>0.65975609756097497</v>
      </c>
      <c r="BN459" s="73">
        <v>0.63536585365853604</v>
      </c>
      <c r="BO459" s="73">
        <v>0.63536585365853604</v>
      </c>
      <c r="BP459" s="73">
        <v>0.65</v>
      </c>
      <c r="BQ459" s="73">
        <v>0.65975609756097497</v>
      </c>
      <c r="BR459" s="73">
        <v>0.66951219512195104</v>
      </c>
      <c r="BS459" s="73">
        <v>0.63780487804878006</v>
      </c>
      <c r="BT459" s="73">
        <v>0.64756097560975601</v>
      </c>
      <c r="BU459" s="73">
        <v>0.59878048780487803</v>
      </c>
      <c r="BV459" s="73">
        <v>0.60609756097560896</v>
      </c>
      <c r="BW459" s="73">
        <v>0.58902439024390196</v>
      </c>
      <c r="BX459" s="73">
        <v>0.58170731707317003</v>
      </c>
      <c r="BY459" s="73">
        <v>0.60853658536585298</v>
      </c>
      <c r="BZ459" s="73">
        <v>0.63048780487804801</v>
      </c>
      <c r="CA459" s="73">
        <v>0.60609756097560896</v>
      </c>
      <c r="CB459" s="73">
        <v>0.59634146341463401</v>
      </c>
      <c r="CC459" s="73">
        <v>0.60853658536585298</v>
      </c>
      <c r="CD459" s="73">
        <v>0.61341463414634101</v>
      </c>
      <c r="CE459" s="73">
        <v>0.59390243902438999</v>
      </c>
      <c r="CF459" s="73">
        <v>0.57926829268292601</v>
      </c>
      <c r="CG459" s="73">
        <v>0.57926829268292601</v>
      </c>
      <c r="CH459" s="73">
        <v>0.56951219512195095</v>
      </c>
      <c r="CI459" s="73">
        <v>0.59146341463414598</v>
      </c>
      <c r="CJ459" s="73">
        <v>0.59878048780487803</v>
      </c>
      <c r="CK459" s="73">
        <v>0.59878048780487803</v>
      </c>
      <c r="CL459" s="73">
        <v>0.54999999999999905</v>
      </c>
      <c r="CM459" s="73">
        <v>0.56951219512195095</v>
      </c>
      <c r="CN459" s="73">
        <v>0.58658536585365795</v>
      </c>
      <c r="CO459" s="73">
        <v>0.559756097560975</v>
      </c>
      <c r="CP459" s="73">
        <v>0.56707317073170704</v>
      </c>
      <c r="CQ459" s="73">
        <v>0.56707317073170704</v>
      </c>
      <c r="CR459" s="156">
        <v>0.55243902439024395</v>
      </c>
      <c r="CS459" s="156">
        <v>0.55487804878048697</v>
      </c>
      <c r="CT459" s="156">
        <v>0.559756097560975</v>
      </c>
      <c r="CU459" s="156">
        <v>0.56707317073170704</v>
      </c>
    </row>
    <row r="460" spans="1:99" s="13" customFormat="1" ht="12" customHeight="1" x14ac:dyDescent="0.2">
      <c r="A460" s="68">
        <v>43509</v>
      </c>
      <c r="B460" s="70"/>
      <c r="C460" s="70"/>
      <c r="D460" s="69"/>
      <c r="E460" s="87"/>
      <c r="F460" s="69"/>
      <c r="G460" s="69"/>
      <c r="H460" s="69"/>
      <c r="I460" s="69"/>
      <c r="J460" s="69"/>
      <c r="K460" s="107"/>
      <c r="L460" s="107"/>
      <c r="M460" s="69"/>
      <c r="N460" s="69"/>
      <c r="O460" s="69"/>
      <c r="P460" s="69"/>
      <c r="Q460" s="69"/>
      <c r="R460" s="69"/>
      <c r="S460" s="69"/>
      <c r="T460" s="69"/>
      <c r="U460" s="60"/>
      <c r="V460" s="69"/>
      <c r="W460" s="69"/>
      <c r="X460" s="69"/>
      <c r="Y460" s="87"/>
      <c r="Z460" s="69"/>
      <c r="AA460" s="69"/>
      <c r="AB460" s="69"/>
      <c r="AC460" s="69"/>
      <c r="AD460" s="69"/>
      <c r="AE460" s="69"/>
      <c r="AF460" s="88"/>
      <c r="AG460" s="72"/>
      <c r="AH460" s="4"/>
      <c r="AI460" s="72"/>
      <c r="AJ460" s="110"/>
      <c r="AK460" s="72"/>
      <c r="AL460" s="72"/>
      <c r="AM460" s="72"/>
      <c r="AN460" s="72"/>
      <c r="AO460" s="72"/>
      <c r="AP460" s="72"/>
      <c r="AQ460" s="72"/>
      <c r="AR460" s="110"/>
      <c r="AS460" s="72"/>
      <c r="AT460" s="72"/>
      <c r="AU460" s="5"/>
      <c r="AV460" s="71">
        <f>24*60*60</f>
        <v>86400</v>
      </c>
      <c r="AW460" s="71">
        <f>4*24*60*60</f>
        <v>345600</v>
      </c>
      <c r="AX460" s="71">
        <f>7*24*60*60</f>
        <v>604800</v>
      </c>
      <c r="AY460" s="71">
        <f>10*24*60*60</f>
        <v>864000</v>
      </c>
      <c r="AZ460" s="71">
        <f>13*24*60*60</f>
        <v>1123200</v>
      </c>
      <c r="BA460" s="71">
        <f>16*24*60*60</f>
        <v>1382400</v>
      </c>
      <c r="BB460" s="71">
        <f>19*24*60*60</f>
        <v>1641600</v>
      </c>
      <c r="BC460" s="71">
        <f>22*24*60*60</f>
        <v>1900800</v>
      </c>
      <c r="BD460" s="71">
        <f>25*24*60*60</f>
        <v>2160000</v>
      </c>
      <c r="BE460" s="71">
        <f>28*24*60*60</f>
        <v>2419200</v>
      </c>
      <c r="BF460" s="71">
        <f>31*24*60*60</f>
        <v>2678400</v>
      </c>
      <c r="BG460" s="71">
        <f>34*24*60*60</f>
        <v>2937600</v>
      </c>
      <c r="BH460" s="71">
        <f>37*24*60*60</f>
        <v>3196800</v>
      </c>
      <c r="BI460" s="71">
        <f>40*24*60*60</f>
        <v>3456000</v>
      </c>
      <c r="BJ460" s="71">
        <f>43*24*60*60</f>
        <v>3715200</v>
      </c>
      <c r="BK460" s="71">
        <f>46*24*60*60</f>
        <v>3974400</v>
      </c>
      <c r="BL460" s="71">
        <f>49*24*60*60</f>
        <v>4233600</v>
      </c>
      <c r="BM460" s="71">
        <f>52*24*60*60</f>
        <v>4492800</v>
      </c>
      <c r="BN460" s="71">
        <f>55*24*60*60</f>
        <v>4752000</v>
      </c>
      <c r="BO460" s="71">
        <f>58*24*60*60</f>
        <v>5011200</v>
      </c>
      <c r="BP460" s="71">
        <f>64.5*24*60*60</f>
        <v>5572800</v>
      </c>
      <c r="BQ460" s="71">
        <f>74.5*24*60*60</f>
        <v>6436800</v>
      </c>
      <c r="BR460" s="71">
        <f>84.5*24*60*60</f>
        <v>7300800</v>
      </c>
      <c r="BS460" s="71">
        <f>94.5*24*60*60</f>
        <v>8164800</v>
      </c>
      <c r="BT460" s="71">
        <f>104.5*24*60*60</f>
        <v>9028800</v>
      </c>
      <c r="BU460" s="71">
        <f>114.5*24*60*60</f>
        <v>9892800</v>
      </c>
      <c r="BV460" s="71">
        <f>124.5*24*60*60</f>
        <v>10756800</v>
      </c>
      <c r="BW460" s="71">
        <f>134.5*24*60*60</f>
        <v>11620800</v>
      </c>
      <c r="BX460" s="71">
        <f>144.5*24*60*60</f>
        <v>12484800</v>
      </c>
      <c r="BY460" s="71">
        <f>154.5*24*60*60</f>
        <v>13348800</v>
      </c>
      <c r="BZ460" s="71">
        <f>164.5*24*60*60</f>
        <v>14212800</v>
      </c>
      <c r="CA460" s="71">
        <f>174.5*24*60*60</f>
        <v>15076800</v>
      </c>
      <c r="CB460" s="71">
        <f>184.5*24*60*60</f>
        <v>15940800</v>
      </c>
      <c r="CC460" s="71">
        <f>194.5*24*60*60</f>
        <v>16804800</v>
      </c>
      <c r="CD460" s="71">
        <f>204.5*24*60*60</f>
        <v>17668800</v>
      </c>
      <c r="CE460" s="71">
        <f>214.5*24*60*60</f>
        <v>18532800</v>
      </c>
      <c r="CF460" s="71">
        <f>224.5*24*60*60</f>
        <v>19396800</v>
      </c>
      <c r="CG460" s="71">
        <f>234.5*24*60*60</f>
        <v>20260800</v>
      </c>
      <c r="CH460" s="71">
        <f>244.5*24*60*60</f>
        <v>21124800</v>
      </c>
      <c r="CI460" s="71">
        <f>254.5*24*60*60</f>
        <v>21988800</v>
      </c>
      <c r="CJ460" s="71">
        <f>264.5*24*60*60</f>
        <v>22852800</v>
      </c>
      <c r="CK460" s="71">
        <f>274.5*24*60*60</f>
        <v>23716800</v>
      </c>
      <c r="CL460" s="71">
        <f>284.5*24*60*60</f>
        <v>24580800</v>
      </c>
      <c r="CM460" s="71">
        <f>294.5*24*60*60</f>
        <v>25444800</v>
      </c>
      <c r="CN460" s="71">
        <f>304.5*24*60*60</f>
        <v>26308800</v>
      </c>
      <c r="CO460" s="71">
        <f>314.5*24*60*60</f>
        <v>27172800</v>
      </c>
      <c r="CP460" s="71">
        <f>324.5*24*60*60</f>
        <v>28036800</v>
      </c>
      <c r="CQ460" s="71">
        <f>334.5*24*60*60</f>
        <v>28900800</v>
      </c>
      <c r="CR460" s="71">
        <f>344.5*24*60*60</f>
        <v>29764800</v>
      </c>
      <c r="CS460" s="71">
        <f>354.5*24*60*60</f>
        <v>30628800</v>
      </c>
      <c r="CT460" s="71">
        <f>364.5*24*60*60</f>
        <v>31492800</v>
      </c>
      <c r="CU460" s="71">
        <f>374.5*24*60*60</f>
        <v>32356800</v>
      </c>
    </row>
    <row r="461" spans="1:99" s="13" customFormat="1" ht="12" customHeight="1" x14ac:dyDescent="0.2">
      <c r="A461" s="68">
        <v>43509</v>
      </c>
      <c r="B461" s="70" t="s">
        <v>187</v>
      </c>
      <c r="C461" s="70" t="s">
        <v>188</v>
      </c>
      <c r="D461" s="69">
        <v>2005</v>
      </c>
      <c r="E461" s="87">
        <v>1</v>
      </c>
      <c r="F461" s="69">
        <v>4239</v>
      </c>
      <c r="G461" s="69">
        <v>81.5</v>
      </c>
      <c r="H461" s="69" t="s">
        <v>41</v>
      </c>
      <c r="I461" s="69" t="s">
        <v>740</v>
      </c>
      <c r="J461" s="69" t="s">
        <v>677</v>
      </c>
      <c r="K461" s="69">
        <f>IF(J461="syllables",1,IF(J461="trigrams",2,IF(J461="strings",3,IF(J461="visual array",4,IF(J461="characters",5,IF(J461="letters",6,IF(J461="free forms",7,IF(J461="odors",8,IF(J461="words",9,IF(J461="pictures",10,IF(J461="object pictures",11,IF(J461="faces",12,IF(J461="names",13,IF(J461="idioms",14,IF(J461="grades",15,IF(J461="syllable-digit pairs",16,IF(J461="trigram-word pairs",17,IF(J461="word-digit pairs",18,IF(J461="English-Swahili pairs",19,IF(J461="spatial position",20,IF(J461="word pairs",21,IF(J461="word triads",22,IF(J461="generated words",23,IF(J461="word definition pairs",24,IF(J461="math problems",25,IF(J461="famous faces",26,IF(J461="famous names",27,IF(J461="famous voices",28,IF(J461="television programs",29,IF(J461="race horses",30,IF(J461="new vocabulary",31,IF(J461="sentences",32,IF(J461="concepts",33,IF(J461="ad slides",34,IF(J461="scenes",35,IF(J461="famous scenes",36,IF(J461="poems",37,IF(J461="walk",38,IF(J461="faces and events",39,IF(J461="events and names",40,IF(J461="flashbulb",41,IF(J461="stories",42,IF(J461="course material",43,IF(J461="autobiographical",44,IF(J461="novels",45,IF(J461="public events",46,"99"))))))))))))))))))))))))))))))))))))))))))))))</f>
        <v>42</v>
      </c>
      <c r="L461" s="69">
        <f>IF(J461="syllables",1,IF(J461="trigrams",1,IF(J461="strings",1,IF(J461="visual array",1,IF(J461="characters",1,IF(J461="letters",1,IF(J461="free forms",1,IF(J461="odors",2,IF(J461="words",2,IF(J461="pictures",2,IF(J461="object pictures",2,IF(J461="faces",2,IF(J461="names",2,IF(J461="idioms","2",IF(J461="grades",2,IF(J461="syllable-digit pairs",3,IF(J461="trigram-word pairs",3,IF(J461="word-digit pairs",3,IF(J461="English-Swahili pairs",3,IF(J461="spatial position",3,IF(J461="word pairs",4,IF(J461="word triads",4,IF(J461="generated words",4,IF(J461="word definition pairs",4,IF(J461="math problems",4,IF(J461="famous faces",4,IF(J461="famous names",4,IF(J461="famous voices",4,IF(J461="television programs",4,IF(J461="race horses",4,IF(J461="new vocabulary",4,IF(J461="sentences",5,IF(J461="concepts",5,IF(J461="ad slides",5,IF(J461="scenes",5,IF(J461="famous scenes",5,IF(J461="poems",6,IF(J461="walk",6,IF(J461="faces and events",6,IF(J461="events and names",6,IF(J461="flashbulb",7,IF(J461="stories",7,IF(J461="course material",7,IF(J461="autobiographical",7,IF(J461="novels",7,IF(J461="public events",7,"99"))))))))))))))))))))))))))))))))))))))))))))))</f>
        <v>7</v>
      </c>
      <c r="M461" s="69">
        <v>0</v>
      </c>
      <c r="N461" s="69">
        <v>3</v>
      </c>
      <c r="O461" s="69">
        <v>0</v>
      </c>
      <c r="P461" s="69"/>
      <c r="Q461" s="69" t="s">
        <v>65</v>
      </c>
      <c r="R461" s="69">
        <f>IF(Q461="Free Recall",1,IF(Q461="Cued Recall",2,IF(Q461="Recognition",3,IF(Q461="Multiple Choice",4,IF(Q461="Savings",5,IF(Q461="Stem Completion",6,IF(Q461="Fragment Completion",7,IF(Q461="anagram solution",8,IF(Q461="Matching",9,IF(Q461="Problem Solving",10,"99"))))))))))</f>
        <v>2</v>
      </c>
      <c r="S461" s="69" t="s">
        <v>15</v>
      </c>
      <c r="T461" s="69" t="s">
        <v>261</v>
      </c>
      <c r="U461" s="60">
        <f>IF(T461="within",1,0)</f>
        <v>0</v>
      </c>
      <c r="V461" s="69">
        <v>30</v>
      </c>
      <c r="W461" s="69">
        <f>F461*V461</f>
        <v>127170</v>
      </c>
      <c r="X461" s="69">
        <v>52</v>
      </c>
      <c r="Y461" s="87">
        <f>AV460</f>
        <v>86400</v>
      </c>
      <c r="Z461" s="69" t="s">
        <v>189</v>
      </c>
      <c r="AA461" s="87">
        <f>374.5*24*60*60</f>
        <v>32356800</v>
      </c>
      <c r="AB461" s="69" t="str">
        <f>IF(AA461&lt;60,"1",IF(AA461&lt;=43200,"2",IF(AA461&lt;=777600,"3","4")))</f>
        <v>4</v>
      </c>
      <c r="AC461" s="72">
        <f>AVERAGE(AV460:DA460)</f>
        <v>12650953.846153846</v>
      </c>
      <c r="AD461" s="69" t="str">
        <f>IF(AC461&lt;60,"1",IF(AC461&lt;=43200,"2",IF(AC461&lt;=777600,"3","4")))</f>
        <v>4</v>
      </c>
      <c r="AE461" s="87">
        <f>AA461-Y461</f>
        <v>32270400</v>
      </c>
      <c r="AF461" s="88">
        <f>AV461</f>
        <v>0.62560975609756098</v>
      </c>
      <c r="AG461" s="72">
        <f>((AW461-AV461)+(AX461-AW461)+(AY461-AX461)+(AZ461-AY461)+(BA461-AZ461)+(BB461-BA461)+(BC461-BB461)+(BD461-BC461)+(BE461-BD461)+(BF461-BE461)+(BG461-BF461)+(BH461-BG461)+(BI461-BH461)+(BJ461-BI461)+(BK461-BJ461)+(BL461-BK461)+(BM461-BL461)+(BN461-BM461)+(BO461-BN461)+(BP461-BO461)+(BQ461-BP461)+(BR461-BQ461)+(BS461-BR461)+(BT461-BS461)+(BU461-BT461)+(BV461-BU461)+(BW461-BV461)+(BX461-BW461)+(BY461-BX461)+(BZ461-BY461)+(CA461-BZ461)+(CB461-CA461)+(CC461-CB461)+(CD461-CC461)+(CE461-CD461)+(CF461-CE461)+(CG461-CF461)+(CH461-CG461)+(CI461-CH461)+(CJ461-CI461)+(CK461-CJ461)+(CL461-CK461)+(CM461-CL461)+(CN461-CM461)+(CO461-CN461)+(CP461-CO461)+(CQ461-CP461)+(CR461-CQ461)+(CS461-CR461)+(CT461-CS461)+(CU461-CT461))/51</f>
        <v>-6.0736489717838427E-3</v>
      </c>
      <c r="AH461" s="4"/>
      <c r="AI461" s="72">
        <f>RSQ(AV461:CU461,AV460:CU460)</f>
        <v>0.76456434156351927</v>
      </c>
      <c r="AJ461" s="110">
        <f>SLOPE(AV461:CU461,AV460:CU460)</f>
        <v>-7.9386611615569551E-9</v>
      </c>
      <c r="AK461" s="72">
        <f>INTERCEPT(AV461:CU461,AV460:CU460)</f>
        <v>0.5065291969307204</v>
      </c>
      <c r="AL461" s="72">
        <f>INDEX(LINEST(LN(AV461:CU461),LN(AV460:CU460),TRUE,TRUE),3,1)</f>
        <v>0.88586791126068598</v>
      </c>
      <c r="AM461" s="72">
        <f>INDEX(LINEST(LN(AV461:CU461),LN(AV460:CU460)),1)</f>
        <v>-0.1593494789550107</v>
      </c>
      <c r="AN461" s="72">
        <f>EXP(INDEX(LINEST(LN(AV461:CU461),LN(AV460:CU460)),1,2))</f>
        <v>4.9103795715116103</v>
      </c>
      <c r="AO461" s="89">
        <f>INDEX(LINEST((AV461:CU461),LN(AV460:CU460),TRUE,TRUE),3,1)</f>
        <v>0.91825482678518033</v>
      </c>
      <c r="AP461" s="89">
        <f>INDEX(LINEST((AV461:CU461),LN(AV460:CU460)),1)</f>
        <v>-6.8051423731975078E-2</v>
      </c>
      <c r="AQ461" s="90">
        <f>INDEX(LINEST(LN(AV461:CU461),SQRT(AV460:CU460),TRUE,TRUE),3,1)</f>
        <v>0.90866370308973077</v>
      </c>
      <c r="AR461" s="117">
        <f>INDEX(LINEST(LN(AV461:CU461),SQRT((AV460:CU460))),1)</f>
        <v>-1.3371258752841868E-4</v>
      </c>
      <c r="AS461" s="91">
        <f>INDEX(LINEST(1/(AV461:CU461),1/(SQRT(AV460:CU460)),TRUE,TRUE),3,1)</f>
        <v>0.46066038912968427</v>
      </c>
      <c r="AT461" s="91">
        <f>INDEX(LINEST(1/(AV461:CU461),1/SQRT(AV460:CU460)),1)</f>
        <v>-730.51802000417695</v>
      </c>
      <c r="AU461" s="3"/>
      <c r="AV461" s="73">
        <v>0.62560975609756098</v>
      </c>
      <c r="AW461" s="73">
        <v>0.63536585365853604</v>
      </c>
      <c r="AX461" s="73">
        <v>0.59146341463414598</v>
      </c>
      <c r="AY461" s="73">
        <v>0.57804878048780495</v>
      </c>
      <c r="AZ461" s="73">
        <v>0.51219512195121897</v>
      </c>
      <c r="BA461" s="73">
        <v>0.49878048780487799</v>
      </c>
      <c r="BB461" s="73">
        <v>0.49390243902439002</v>
      </c>
      <c r="BC461" s="73">
        <v>0.51097560975609702</v>
      </c>
      <c r="BD461" s="73">
        <v>0.48170731707316999</v>
      </c>
      <c r="BE461" s="73">
        <v>0.50365853658536497</v>
      </c>
      <c r="BF461" s="73">
        <v>0.48902439024390199</v>
      </c>
      <c r="BG461" s="73">
        <v>0.46707317073170701</v>
      </c>
      <c r="BH461" s="73">
        <v>0.45243902439024303</v>
      </c>
      <c r="BI461" s="73">
        <v>0.45243902439024303</v>
      </c>
      <c r="BJ461" s="73">
        <v>0.49634146341463398</v>
      </c>
      <c r="BK461" s="73">
        <v>0.48658536585365803</v>
      </c>
      <c r="BL461" s="73">
        <v>0.46707317073170701</v>
      </c>
      <c r="BM461" s="73">
        <v>0.48414634146341401</v>
      </c>
      <c r="BN461" s="73">
        <v>0.41829268292682897</v>
      </c>
      <c r="BO461" s="73">
        <v>0.413414634146341</v>
      </c>
      <c r="BP461" s="73">
        <v>0.42073170731707299</v>
      </c>
      <c r="BQ461" s="73">
        <v>0.440243902439024</v>
      </c>
      <c r="BR461" s="73">
        <v>0.48902439024390199</v>
      </c>
      <c r="BS461" s="73">
        <v>0.413414634146341</v>
      </c>
      <c r="BT461" s="73">
        <v>0.40609756097560901</v>
      </c>
      <c r="BU461" s="73">
        <v>0.39146341463414602</v>
      </c>
      <c r="BV461" s="73">
        <v>0.34024390243902403</v>
      </c>
      <c r="BW461" s="73">
        <v>0.36707317073170698</v>
      </c>
      <c r="BX461" s="73">
        <v>0.37317073170731702</v>
      </c>
      <c r="BY461" s="73">
        <v>0.35487804878048701</v>
      </c>
      <c r="BZ461" s="73">
        <v>0.35975609756097499</v>
      </c>
      <c r="CA461" s="73">
        <v>0.319512195121951</v>
      </c>
      <c r="CB461" s="73">
        <v>0.345121951219512</v>
      </c>
      <c r="CC461" s="73">
        <v>0.29024390243902398</v>
      </c>
      <c r="CD461" s="73">
        <v>0.35731707317073103</v>
      </c>
      <c r="CE461" s="73">
        <v>0.326829268292682</v>
      </c>
      <c r="CF461" s="73">
        <v>0.31707317073170699</v>
      </c>
      <c r="CG461" s="73">
        <v>0.32317073170731703</v>
      </c>
      <c r="CH461" s="73">
        <v>0.34146341463414598</v>
      </c>
      <c r="CI461" s="73">
        <v>0.32560975609755999</v>
      </c>
      <c r="CJ461" s="73">
        <v>0.34878048780487703</v>
      </c>
      <c r="CK461" s="73">
        <v>0.30487804878048702</v>
      </c>
      <c r="CL461" s="73">
        <v>0.32317073170731703</v>
      </c>
      <c r="CM461" s="73">
        <v>0.32317073170731703</v>
      </c>
      <c r="CN461" s="73">
        <v>0.30365853658536501</v>
      </c>
      <c r="CO461" s="73">
        <v>0.29878048780487798</v>
      </c>
      <c r="CP461" s="73">
        <v>0.32926829268292601</v>
      </c>
      <c r="CQ461" s="73">
        <v>0.31219512195121901</v>
      </c>
      <c r="CR461" s="156">
        <v>0.27926829268292602</v>
      </c>
      <c r="CS461" s="156">
        <v>0.29024390243902398</v>
      </c>
      <c r="CT461" s="156">
        <v>0.326829268292682</v>
      </c>
      <c r="CU461" s="156">
        <v>0.31585365853658498</v>
      </c>
    </row>
    <row r="462" spans="1:99" s="13" customFormat="1" ht="12" customHeight="1" x14ac:dyDescent="0.2">
      <c r="A462" s="65">
        <v>43896</v>
      </c>
      <c r="B462" s="1"/>
      <c r="C462" s="1"/>
      <c r="D462" s="60"/>
      <c r="E462" s="76"/>
      <c r="F462" s="60"/>
      <c r="G462" s="60"/>
      <c r="H462" s="60"/>
      <c r="I462" s="60"/>
      <c r="J462" s="60"/>
      <c r="K462" s="64"/>
      <c r="L462" s="64"/>
      <c r="M462" s="60"/>
      <c r="N462" s="60"/>
      <c r="O462" s="60"/>
      <c r="P462" s="60"/>
      <c r="Q462" s="60"/>
      <c r="R462" s="60"/>
      <c r="S462" s="60"/>
      <c r="T462" s="60"/>
      <c r="U462" s="60"/>
      <c r="V462" s="60"/>
      <c r="W462" s="60"/>
      <c r="X462" s="60"/>
      <c r="Y462" s="76"/>
      <c r="Z462" s="59"/>
      <c r="AA462" s="59"/>
      <c r="AB462" s="60"/>
      <c r="AC462" s="56"/>
      <c r="AD462" s="60"/>
      <c r="AE462" s="60"/>
      <c r="AF462" s="80"/>
      <c r="AG462" s="56"/>
      <c r="AH462" s="4"/>
      <c r="AI462" s="56"/>
      <c r="AJ462" s="109"/>
      <c r="AK462" s="56"/>
      <c r="AL462" s="56"/>
      <c r="AM462" s="56"/>
      <c r="AN462" s="56"/>
      <c r="AO462" s="82"/>
      <c r="AP462" s="82"/>
      <c r="AQ462" s="83"/>
      <c r="AR462" s="116"/>
      <c r="AS462" s="84"/>
      <c r="AT462" s="84"/>
      <c r="AU462" s="3"/>
      <c r="AV462" s="25">
        <v>157680000</v>
      </c>
      <c r="AW462" s="25">
        <v>473040000</v>
      </c>
      <c r="AX462" s="25">
        <v>788400000</v>
      </c>
      <c r="AY462" s="25">
        <v>1103760000</v>
      </c>
      <c r="AZ462" s="25">
        <v>1419120000</v>
      </c>
      <c r="BA462" s="53"/>
      <c r="BB462" s="53"/>
      <c r="BC462" s="53"/>
      <c r="BD462" s="53"/>
      <c r="BE462" s="53"/>
      <c r="BF462" s="53"/>
      <c r="BG462" s="53"/>
      <c r="BH462" s="53"/>
      <c r="BI462" s="53"/>
      <c r="BJ462" s="53"/>
      <c r="BK462" s="53"/>
      <c r="BL462" s="53"/>
      <c r="BM462" s="53"/>
      <c r="BN462" s="53"/>
      <c r="BO462" s="53"/>
      <c r="BP462" s="53"/>
      <c r="BQ462" s="53"/>
      <c r="BR462" s="53"/>
      <c r="BS462" s="53"/>
      <c r="BT462" s="53"/>
      <c r="BU462" s="53"/>
      <c r="BV462" s="53"/>
      <c r="BW462" s="53"/>
      <c r="BX462" s="53"/>
      <c r="BY462" s="53"/>
      <c r="BZ462" s="53"/>
      <c r="CA462" s="53"/>
      <c r="CB462" s="53"/>
      <c r="CC462" s="53"/>
      <c r="CD462" s="53"/>
      <c r="CE462" s="53"/>
      <c r="CF462" s="53"/>
      <c r="CG462" s="53"/>
      <c r="CH462" s="53"/>
      <c r="CI462" s="53"/>
      <c r="CJ462" s="53"/>
      <c r="CK462" s="53"/>
      <c r="CL462" s="53"/>
      <c r="CM462" s="53"/>
      <c r="CN462" s="53"/>
      <c r="CO462" s="53"/>
      <c r="CP462" s="53"/>
      <c r="CQ462" s="53"/>
      <c r="CR462" s="16"/>
      <c r="CS462" s="16"/>
      <c r="CT462" s="16"/>
      <c r="CU462" s="16"/>
    </row>
    <row r="463" spans="1:99" s="13" customFormat="1" ht="12" customHeight="1" x14ac:dyDescent="0.2">
      <c r="A463" s="65">
        <v>43896</v>
      </c>
      <c r="B463" s="1" t="s">
        <v>368</v>
      </c>
      <c r="C463" s="1" t="s">
        <v>54</v>
      </c>
      <c r="D463" s="60">
        <v>1980</v>
      </c>
      <c r="E463" s="76">
        <v>1</v>
      </c>
      <c r="F463" s="60">
        <v>5</v>
      </c>
      <c r="G463" s="60">
        <v>5</v>
      </c>
      <c r="H463" s="60" t="s">
        <v>50</v>
      </c>
      <c r="I463" s="60" t="s">
        <v>330</v>
      </c>
      <c r="J463" s="59" t="s">
        <v>353</v>
      </c>
      <c r="K463" s="60">
        <f>IF(J463="syllables",1,IF(J463="trigrams",2,IF(J463="strings",3,IF(J463="visual array",4,IF(J463="characters",5,IF(J463="letters",6,IF(J463="free forms",7,IF(J463="odors",8,IF(J463="words",9,IF(J463="pictures",10,IF(J463="object pictures",11,IF(J463="faces",12,IF(J463="names",13,IF(J463="idioms",14,IF(J463="grades",15,IF(J463="syllable-digit pairs",16,IF(J463="trigram-word pairs",17,IF(J463="word-digit pairs",18,IF(J463="English-Swahili pairs",19,IF(J463="spatial position",20,IF(J463="word pairs",21,IF(J463="word triads",22,IF(J463="generated words",23,IF(J463="word definition pairs",24,IF(J463="math problems",25,IF(J463="famous faces",26,IF(J463="famous names",27,IF(J463="famous voices",28,IF(J463="television programs",29,IF(J463="race horses",30,IF(J463="new vocabulary",31,IF(J463="sentences",32,IF(J463="concepts",33,IF(J463="ad slides",34,IF(J463="scenes",35,IF(J463="famous scenes",36,IF(J463="poems",37,IF(J463="walk",38,IF(J463="faces and events",39,IF(J463="events and names",40,IF(J463="flashbulb",41,IF(J463="stories",42,IF(J463="course material",43,IF(J463="autobiographical",44,IF(J463="novels",45,IF(J463="public events",46,"99"))))))))))))))))))))))))))))))))))))))))))))))</f>
        <v>28</v>
      </c>
      <c r="L463" s="60">
        <f>IF(J463="syllables",1,IF(J463="trigrams",1,IF(J463="strings",1,IF(J463="visual array",1,IF(J463="characters",1,IF(J463="letters",1,IF(J463="free forms",1,IF(J463="odors",2,IF(J463="words",2,IF(J463="pictures",2,IF(J463="object pictures",2,IF(J463="faces",2,IF(J463="names",2,IF(J463="idioms","2",IF(J463="grades",2,IF(J463="syllable-digit pairs",3,IF(J463="trigram-word pairs",3,IF(J463="word-digit pairs",3,IF(J463="English-Swahili pairs",3,IF(J463="spatial position",3,IF(J463="word pairs",4,IF(J463="word triads",4,IF(J463="generated words",4,IF(J463="word definition pairs",4,IF(J463="math problems",4,IF(J463="famous faces",4,IF(J463="famous names",4,IF(J463="famous voices",4,IF(J463="television programs",4,IF(J463="race horses",4,IF(J463="new vocabulary",4,IF(J463="sentences",5,IF(J463="concepts",5,IF(J463="ad slides",5,IF(J463="scenes",5,IF(J463="famous scenes",5,IF(J463="poems",6,IF(J463="walk",6,IF(J463="faces and events",6,IF(J463="events and names",6,IF(J463="flashbulb",7,IF(J463="stories",7,IF(J463="course material",7,IF(J463="autobiographical",7,IF(J463="novels",7,IF(J463="public events",7,"99"))))))))))))))))))))))))))))))))))))))))))))))</f>
        <v>4</v>
      </c>
      <c r="M463" s="60">
        <v>1</v>
      </c>
      <c r="N463" s="60">
        <v>2</v>
      </c>
      <c r="O463" s="60">
        <v>0</v>
      </c>
      <c r="P463" s="60"/>
      <c r="Q463" s="60" t="s">
        <v>174</v>
      </c>
      <c r="R463" s="60">
        <f>IF(Q463="Free Recall",1,IF(Q463="Cued Recall",2,IF(Q463="Recognition",3,IF(Q463="Multiple Choice",4,IF(Q463="Savings",5,IF(Q463="Stem Completion",6,IF(Q463="Fragment Completion",7,IF(Q463="anagram solution",8,IF(Q463="Matching",9,IF(Q463="Problem Solving",10,"99"))))))))))</f>
        <v>1</v>
      </c>
      <c r="S463" s="60" t="s">
        <v>49</v>
      </c>
      <c r="T463" s="59" t="s">
        <v>581</v>
      </c>
      <c r="U463" s="60">
        <f>IF(T463="within",1,0)</f>
        <v>1</v>
      </c>
      <c r="V463" s="59">
        <v>80</v>
      </c>
      <c r="W463" s="60">
        <f>F463*V463</f>
        <v>400</v>
      </c>
      <c r="X463" s="60">
        <v>5</v>
      </c>
      <c r="Y463" s="76">
        <f>AV462</f>
        <v>157680000</v>
      </c>
      <c r="Z463" s="60" t="s">
        <v>373</v>
      </c>
      <c r="AA463" s="60">
        <f>45*365*24*60*60</f>
        <v>1419120000</v>
      </c>
      <c r="AB463" s="60" t="str">
        <f>IF(AA463&lt;60,"1",IF(AA463&lt;=43200,"2",IF(AA463&lt;=777600,"3","4")))</f>
        <v>4</v>
      </c>
      <c r="AC463" s="56">
        <f>AVERAGE(AV462:DA462)</f>
        <v>788400000</v>
      </c>
      <c r="AD463" s="60" t="str">
        <f>IF(AC463&lt;60,"1",IF(AC463&lt;=43200,"2",IF(AC463&lt;=777600,"3","4")))</f>
        <v>4</v>
      </c>
      <c r="AE463" s="76">
        <f>AA463-Y463</f>
        <v>1261440000</v>
      </c>
      <c r="AF463" s="80">
        <f>AV463</f>
        <v>0.63157894736842102</v>
      </c>
      <c r="AG463" s="56">
        <f>((AW463-AV463)+(AX463-AW463)+(AY463-AX463)+(AZ463-AY463))/4</f>
        <v>-8.2313341493268036E-2</v>
      </c>
      <c r="AH463" s="4"/>
      <c r="AI463" s="56">
        <f>RSQ(AV463:AZ463,AV462:AZ462)</f>
        <v>0.74291117948532459</v>
      </c>
      <c r="AJ463" s="109">
        <f>SLOPE(AV463:AZ463,AV462:AZ462)</f>
        <v>-2.435123966927623E-10</v>
      </c>
      <c r="AK463" s="56">
        <f>INTERCEPT(AV463:AZ463,AV462:AZ462)</f>
        <v>0.67255496252817326</v>
      </c>
      <c r="AL463" s="56">
        <f>INDEX(LINEST(LN(AV463:AZ463),LN(AV462:AZ462),TRUE,TRUE),3,1)</f>
        <v>0.6330801143760495</v>
      </c>
      <c r="AM463" s="56">
        <f>INDEX(LINEST(LN(AV463:AZ463),LN(AV462:AZ462)),1)</f>
        <v>-0.28550487306301897</v>
      </c>
      <c r="AN463" s="56">
        <f>EXP(INDEX(LINEST(LN(AV463:AZ463),LN(AV462:AZ462)),1,2))</f>
        <v>149.94802274061576</v>
      </c>
      <c r="AO463" s="82">
        <f>INDEX(LINEST((AV463:AZ463),LN(AV462:AZ462),TRUE,TRUE),3,1)</f>
        <v>0.68486312324743626</v>
      </c>
      <c r="AP463" s="82">
        <f>INDEX(LINEST((AV463:AZ463),LN(AV462:AZ462)),1)</f>
        <v>-0.1340851491326111</v>
      </c>
      <c r="AQ463" s="83">
        <f>INDEX(LINEST(LN(AV463:AZ463),SQRT(AV462:AZ462),TRUE,TRUE),3,1)</f>
        <v>0.69332543686257131</v>
      </c>
      <c r="AR463" s="116">
        <f>INDEX(LINEST(LN(AV463:AZ463),SQRT((AV462:AZ462))),1)</f>
        <v>-2.633121848574387E-5</v>
      </c>
      <c r="AS463" s="84">
        <f>INDEX(LINEST(1/(AV463:AZ463),1/(SQRT(AV462:AZ462)),TRUE,TRUE),3,1)</f>
        <v>0.4940418702587176</v>
      </c>
      <c r="AT463" s="84">
        <f>INDEX(LINEST(1/(AV463:AZ463),1/SQRT(AV462:AZ462)),1)</f>
        <v>-23752.20815122603</v>
      </c>
      <c r="AU463" s="3"/>
      <c r="AV463" s="53">
        <v>0.63157894736842102</v>
      </c>
      <c r="AW463" s="53">
        <v>0.6</v>
      </c>
      <c r="AX463" s="53">
        <v>0.3783783783783784</v>
      </c>
      <c r="AY463" s="53">
        <v>0.49056603773584906</v>
      </c>
      <c r="AZ463" s="53">
        <v>0.30232558139534887</v>
      </c>
      <c r="BA463" s="53"/>
      <c r="BB463" s="53"/>
      <c r="BC463" s="53"/>
      <c r="BD463" s="53"/>
      <c r="BE463" s="53"/>
      <c r="BF463" s="53"/>
      <c r="BG463" s="53"/>
      <c r="BH463" s="53"/>
      <c r="BI463" s="53"/>
      <c r="BJ463" s="53"/>
      <c r="BK463" s="53"/>
      <c r="BL463" s="53"/>
      <c r="BM463" s="53"/>
      <c r="BN463" s="53"/>
      <c r="BO463" s="53"/>
      <c r="BP463" s="53"/>
      <c r="BQ463" s="53"/>
      <c r="BR463" s="53"/>
      <c r="BS463" s="53"/>
      <c r="BT463" s="53"/>
      <c r="BU463" s="53"/>
      <c r="BV463" s="53"/>
      <c r="BW463" s="53"/>
      <c r="BX463" s="53"/>
      <c r="BY463" s="53"/>
      <c r="BZ463" s="53"/>
      <c r="CA463" s="53"/>
      <c r="CB463" s="53"/>
      <c r="CC463" s="53"/>
      <c r="CD463" s="53"/>
      <c r="CE463" s="53"/>
      <c r="CF463" s="53"/>
      <c r="CG463" s="53"/>
      <c r="CH463" s="53"/>
      <c r="CI463" s="53"/>
      <c r="CJ463" s="53"/>
      <c r="CK463" s="53"/>
      <c r="CL463" s="53"/>
      <c r="CM463" s="53"/>
      <c r="CN463" s="53"/>
      <c r="CO463" s="53"/>
      <c r="CP463" s="53"/>
      <c r="CQ463" s="53"/>
      <c r="CR463" s="16"/>
      <c r="CS463" s="16"/>
      <c r="CT463" s="16"/>
      <c r="CU463" s="16"/>
    </row>
    <row r="464" spans="1:99" s="13" customFormat="1" ht="12" customHeight="1" x14ac:dyDescent="0.2">
      <c r="A464" s="65">
        <v>43896</v>
      </c>
      <c r="B464" s="1"/>
      <c r="C464" s="1"/>
      <c r="D464" s="60"/>
      <c r="E464" s="76"/>
      <c r="F464" s="60"/>
      <c r="G464" s="60"/>
      <c r="H464" s="60"/>
      <c r="I464" s="60"/>
      <c r="J464" s="60"/>
      <c r="K464" s="64"/>
      <c r="L464" s="64"/>
      <c r="M464" s="60"/>
      <c r="N464" s="60"/>
      <c r="O464" s="60"/>
      <c r="P464" s="60"/>
      <c r="Q464" s="60"/>
      <c r="R464" s="60"/>
      <c r="S464" s="60"/>
      <c r="T464" s="60"/>
      <c r="U464" s="60"/>
      <c r="V464" s="60"/>
      <c r="W464" s="60"/>
      <c r="X464" s="60"/>
      <c r="Y464" s="76"/>
      <c r="Z464" s="59"/>
      <c r="AA464" s="59"/>
      <c r="AB464" s="60"/>
      <c r="AC464" s="56"/>
      <c r="AD464" s="60"/>
      <c r="AE464" s="60"/>
      <c r="AF464" s="80"/>
      <c r="AG464" s="56"/>
      <c r="AH464" s="4"/>
      <c r="AI464" s="56"/>
      <c r="AJ464" s="109"/>
      <c r="AK464" s="56"/>
      <c r="AL464" s="56"/>
      <c r="AM464" s="56"/>
      <c r="AN464" s="56"/>
      <c r="AO464" s="82"/>
      <c r="AP464" s="82"/>
      <c r="AQ464" s="83"/>
      <c r="AR464" s="116"/>
      <c r="AS464" s="84"/>
      <c r="AT464" s="84"/>
      <c r="AU464" s="3"/>
      <c r="AV464" s="25">
        <v>157680000</v>
      </c>
      <c r="AW464" s="25">
        <v>473040000</v>
      </c>
      <c r="AX464" s="25">
        <v>788400000</v>
      </c>
      <c r="AY464" s="25">
        <v>1103760000</v>
      </c>
      <c r="AZ464" s="25">
        <v>1419120000</v>
      </c>
      <c r="BA464" s="53"/>
      <c r="BB464" s="53"/>
      <c r="BC464" s="53"/>
      <c r="BD464" s="53"/>
      <c r="BE464" s="53"/>
      <c r="BF464" s="53"/>
      <c r="BG464" s="53"/>
      <c r="BH464" s="53"/>
      <c r="BI464" s="53"/>
      <c r="BJ464" s="53"/>
      <c r="BK464" s="53"/>
      <c r="BL464" s="53"/>
      <c r="BM464" s="53"/>
      <c r="BN464" s="53"/>
      <c r="BO464" s="53"/>
      <c r="BP464" s="53"/>
      <c r="BQ464" s="53"/>
      <c r="BR464" s="53"/>
      <c r="BS464" s="53"/>
      <c r="BT464" s="53"/>
      <c r="BU464" s="53"/>
      <c r="BV464" s="53"/>
      <c r="BW464" s="53"/>
      <c r="BX464" s="53"/>
      <c r="BY464" s="53"/>
      <c r="BZ464" s="53"/>
      <c r="CA464" s="53"/>
      <c r="CB464" s="53"/>
      <c r="CC464" s="53"/>
      <c r="CD464" s="53"/>
      <c r="CE464" s="53"/>
      <c r="CF464" s="53"/>
      <c r="CG464" s="53"/>
      <c r="CH464" s="53"/>
      <c r="CI464" s="53"/>
      <c r="CJ464" s="53"/>
      <c r="CK464" s="53"/>
      <c r="CL464" s="53"/>
      <c r="CM464" s="53"/>
      <c r="CN464" s="53"/>
      <c r="CO464" s="53"/>
      <c r="CP464" s="53"/>
      <c r="CQ464" s="53"/>
      <c r="CR464" s="16"/>
      <c r="CS464" s="16"/>
      <c r="CT464" s="16"/>
      <c r="CU464" s="16"/>
    </row>
    <row r="465" spans="1:99" s="13" customFormat="1" ht="12" customHeight="1" x14ac:dyDescent="0.2">
      <c r="A465" s="65">
        <v>43896</v>
      </c>
      <c r="B465" s="1" t="s">
        <v>368</v>
      </c>
      <c r="C465" s="1" t="s">
        <v>54</v>
      </c>
      <c r="D465" s="60">
        <v>1980</v>
      </c>
      <c r="E465" s="76">
        <v>1</v>
      </c>
      <c r="F465" s="60">
        <v>5</v>
      </c>
      <c r="G465" s="60">
        <v>5</v>
      </c>
      <c r="H465" s="60" t="s">
        <v>50</v>
      </c>
      <c r="I465" s="60" t="s">
        <v>330</v>
      </c>
      <c r="J465" s="59" t="s">
        <v>353</v>
      </c>
      <c r="K465" s="60">
        <f>IF(J465="syllables",1,IF(J465="trigrams",2,IF(J465="strings",3,IF(J465="visual array",4,IF(J465="characters",5,IF(J465="letters",6,IF(J465="free forms",7,IF(J465="odors",8,IF(J465="words",9,IF(J465="pictures",10,IF(J465="object pictures",11,IF(J465="faces",12,IF(J465="names",13,IF(J465="idioms",14,IF(J465="grades",15,IF(J465="syllable-digit pairs",16,IF(J465="trigram-word pairs",17,IF(J465="word-digit pairs",18,IF(J465="English-Swahili pairs",19,IF(J465="spatial position",20,IF(J465="word pairs",21,IF(J465="word triads",22,IF(J465="generated words",23,IF(J465="word definition pairs",24,IF(J465="math problems",25,IF(J465="famous faces",26,IF(J465="famous names",27,IF(J465="famous voices",28,IF(J465="television programs",29,IF(J465="race horses",30,IF(J465="new vocabulary",31,IF(J465="sentences",32,IF(J465="concepts",33,IF(J465="ad slides",34,IF(J465="scenes",35,IF(J465="famous scenes",36,IF(J465="poems",37,IF(J465="walk",38,IF(J465="faces and events",39,IF(J465="events and names",40,IF(J465="flashbulb",41,IF(J465="stories",42,IF(J465="course material",43,IF(J465="autobiographical",44,IF(J465="novels",45,IF(J465="public events",46,"99"))))))))))))))))))))))))))))))))))))))))))))))</f>
        <v>28</v>
      </c>
      <c r="L465" s="60">
        <f>IF(J465="syllables",1,IF(J465="trigrams",1,IF(J465="strings",1,IF(J465="visual array",1,IF(J465="characters",1,IF(J465="letters",1,IF(J465="free forms",1,IF(J465="odors",2,IF(J465="words",2,IF(J465="pictures",2,IF(J465="object pictures",2,IF(J465="faces",2,IF(J465="names",2,IF(J465="idioms","2",IF(J465="grades",2,IF(J465="syllable-digit pairs",3,IF(J465="trigram-word pairs",3,IF(J465="word-digit pairs",3,IF(J465="English-Swahili pairs",3,IF(J465="spatial position",3,IF(J465="word pairs",4,IF(J465="word triads",4,IF(J465="generated words",4,IF(J465="word definition pairs",4,IF(J465="math problems",4,IF(J465="famous faces",4,IF(J465="famous names",4,IF(J465="famous voices",4,IF(J465="television programs",4,IF(J465="race horses",4,IF(J465="new vocabulary",4,IF(J465="sentences",5,IF(J465="concepts",5,IF(J465="ad slides",5,IF(J465="scenes",5,IF(J465="famous scenes",5,IF(J465="poems",6,IF(J465="walk",6,IF(J465="faces and events",6,IF(J465="events and names",6,IF(J465="flashbulb",7,IF(J465="stories",7,IF(J465="course material",7,IF(J465="autobiographical",7,IF(J465="novels",7,IF(J465="public events",7,"99"))))))))))))))))))))))))))))))))))))))))))))))</f>
        <v>4</v>
      </c>
      <c r="M465" s="60">
        <v>1</v>
      </c>
      <c r="N465" s="60">
        <v>2</v>
      </c>
      <c r="O465" s="60">
        <v>0</v>
      </c>
      <c r="P465" s="60"/>
      <c r="Q465" s="60" t="s">
        <v>34</v>
      </c>
      <c r="R465" s="60">
        <f>IF(Q465="Free Recall",1,IF(Q465="Cued Recall",2,IF(Q465="Recognition",3,IF(Q465="Multiple Choice",4,IF(Q465="Savings",5,IF(Q465="Stem Completion",6,IF(Q465="Fragment Completion",7,IF(Q465="anagram solution",8,IF(Q465="Matching",9,IF(Q465="Problem Solving",10,"99"))))))))))</f>
        <v>3</v>
      </c>
      <c r="S465" s="60" t="s">
        <v>15</v>
      </c>
      <c r="T465" s="59" t="s">
        <v>581</v>
      </c>
      <c r="U465" s="60">
        <f>IF(T465="within",1,0)</f>
        <v>1</v>
      </c>
      <c r="V465" s="59">
        <v>80</v>
      </c>
      <c r="W465" s="60">
        <f>F465*V465</f>
        <v>400</v>
      </c>
      <c r="X465" s="60">
        <v>5</v>
      </c>
      <c r="Y465" s="76">
        <f>AV464</f>
        <v>157680000</v>
      </c>
      <c r="Z465" s="60" t="s">
        <v>373</v>
      </c>
      <c r="AA465" s="60">
        <f>45*365*24*60*60</f>
        <v>1419120000</v>
      </c>
      <c r="AB465" s="60" t="str">
        <f>IF(AA465&lt;60,"1",IF(AA465&lt;=43200,"2",IF(AA465&lt;=777600,"3","4")))</f>
        <v>4</v>
      </c>
      <c r="AC465" s="56">
        <f>AVERAGE(AV464:DA464)</f>
        <v>788400000</v>
      </c>
      <c r="AD465" s="60" t="str">
        <f>IF(AC465&lt;60,"1",IF(AC465&lt;=43200,"2",IF(AC465&lt;=777600,"3","4")))</f>
        <v>4</v>
      </c>
      <c r="AE465" s="76">
        <f>AA465-Y465</f>
        <v>1261440000</v>
      </c>
      <c r="AF465" s="80">
        <f>AV465</f>
        <v>0.90624999999999989</v>
      </c>
      <c r="AG465" s="56">
        <f>((AW465-AV465)+(AX465-AW465)+(AY465-AX465)+(AZ465-AY465))/4</f>
        <v>-0.10422207446808507</v>
      </c>
      <c r="AH465" s="4"/>
      <c r="AI465" s="56">
        <f>RSQ(AV465:AZ465,AV464:AZ464)</f>
        <v>0.58066452422558823</v>
      </c>
      <c r="AJ465" s="109">
        <f>SLOPE(AV465:AZ465,AV464:AZ464)</f>
        <v>-2.6342206216922747E-10</v>
      </c>
      <c r="AK465" s="56">
        <f>INTERCEPT(AV465:AZ465,AV464:AZ464)</f>
        <v>0.9943371272603887</v>
      </c>
      <c r="AL465" s="56">
        <f>INDEX(LINEST(LN(AV465:AZ465),LN(AV464:AZ464),TRUE,TRUE),3,1)</f>
        <v>0.37995294015537817</v>
      </c>
      <c r="AM465" s="56">
        <f>INDEX(LINEST(LN(AV465:AZ465),LN(AV464:AZ464)),1)</f>
        <v>-0.182793811559819</v>
      </c>
      <c r="AN465" s="56">
        <f>EXP(INDEX(LINEST(LN(AV465:AZ465),LN(AV464:AZ464)),1,2))</f>
        <v>31.095191816908233</v>
      </c>
      <c r="AO465" s="82">
        <f>INDEX(LINEST((AV465:AZ465),LN(AV464:AZ464),TRUE,TRUE),3,1)</f>
        <v>0.40520089959568656</v>
      </c>
      <c r="AP465" s="82">
        <f>INDEX(LINEST((AV465:AZ465),LN(AV464:AZ464)),1)</f>
        <v>-0.12619753123240668</v>
      </c>
      <c r="AQ465" s="83">
        <f>INDEX(LINEST(LN(AV465:AZ465),SQRT(AV464:AZ464),TRUE,TRUE),3,1)</f>
        <v>0.47711341162366294</v>
      </c>
      <c r="AR465" s="116">
        <f>INDEX(LINEST(LN(AV465:AZ465),SQRT((AV464:AZ464))),1)</f>
        <v>-1.8052011304237449E-5</v>
      </c>
      <c r="AS465" s="84">
        <f>INDEX(LINEST(1/(AV465:AZ465),1/(SQRT(AV464:AZ464)),TRUE,TRUE),3,1)</f>
        <v>0.2698044468937128</v>
      </c>
      <c r="AT465" s="84">
        <f>INDEX(LINEST(1/(AV465:AZ465),1/SQRT(AV464:AZ464)),1)</f>
        <v>-9642.1315711000861</v>
      </c>
      <c r="AU465" s="3"/>
      <c r="AV465" s="53">
        <v>0.90624999999999989</v>
      </c>
      <c r="AW465" s="53">
        <v>0.87500000000000011</v>
      </c>
      <c r="AX465" s="53">
        <v>0.7846153846153846</v>
      </c>
      <c r="AY465" s="53">
        <v>0.87804878048780488</v>
      </c>
      <c r="AZ465" s="53">
        <v>0.48936170212765961</v>
      </c>
      <c r="BA465" s="53"/>
      <c r="BB465" s="53"/>
      <c r="BC465" s="53"/>
      <c r="BD465" s="53"/>
      <c r="BE465" s="53"/>
      <c r="BF465" s="53"/>
      <c r="BG465" s="53"/>
      <c r="BH465" s="53"/>
      <c r="BI465" s="53"/>
      <c r="BJ465" s="53"/>
      <c r="BK465" s="53"/>
      <c r="BL465" s="53"/>
      <c r="BM465" s="53"/>
      <c r="BN465" s="53"/>
      <c r="BO465" s="53"/>
      <c r="BP465" s="53"/>
      <c r="BQ465" s="53"/>
      <c r="BR465" s="53"/>
      <c r="BS465" s="53"/>
      <c r="BT465" s="53"/>
      <c r="BU465" s="53"/>
      <c r="BV465" s="53"/>
      <c r="BW465" s="53"/>
      <c r="BX465" s="53"/>
      <c r="BY465" s="53"/>
      <c r="BZ465" s="53"/>
      <c r="CA465" s="53"/>
      <c r="CB465" s="53"/>
      <c r="CC465" s="53"/>
      <c r="CD465" s="53"/>
      <c r="CE465" s="53"/>
      <c r="CF465" s="53"/>
      <c r="CG465" s="53"/>
      <c r="CH465" s="53"/>
      <c r="CI465" s="53"/>
      <c r="CJ465" s="53"/>
      <c r="CK465" s="53"/>
      <c r="CL465" s="53"/>
      <c r="CM465" s="53"/>
      <c r="CN465" s="53"/>
      <c r="CO465" s="53"/>
      <c r="CP465" s="53"/>
      <c r="CQ465" s="53"/>
      <c r="CR465" s="16"/>
      <c r="CS465" s="16"/>
      <c r="CT465" s="16"/>
      <c r="CU465" s="16"/>
    </row>
    <row r="466" spans="1:99" s="13" customFormat="1" ht="12" customHeight="1" x14ac:dyDescent="0.2">
      <c r="A466" s="68">
        <v>43902</v>
      </c>
      <c r="B466" s="70"/>
      <c r="C466" s="70"/>
      <c r="D466" s="69"/>
      <c r="E466" s="87"/>
      <c r="F466" s="69"/>
      <c r="G466" s="69"/>
      <c r="H466" s="69"/>
      <c r="I466" s="69"/>
      <c r="J466" s="69"/>
      <c r="K466" s="107"/>
      <c r="L466" s="107"/>
      <c r="M466" s="69"/>
      <c r="N466" s="69"/>
      <c r="O466" s="69"/>
      <c r="P466" s="69"/>
      <c r="Q466" s="69"/>
      <c r="R466" s="69"/>
      <c r="S466" s="69"/>
      <c r="T466" s="92"/>
      <c r="U466" s="60"/>
      <c r="V466" s="92"/>
      <c r="W466" s="69"/>
      <c r="X466" s="69"/>
      <c r="Y466" s="87"/>
      <c r="Z466" s="69"/>
      <c r="AA466" s="87"/>
      <c r="AB466" s="69"/>
      <c r="AC466" s="72"/>
      <c r="AD466" s="69"/>
      <c r="AE466" s="69"/>
      <c r="AF466" s="88"/>
      <c r="AG466" s="72"/>
      <c r="AH466" s="4"/>
      <c r="AI466" s="72"/>
      <c r="AJ466" s="110"/>
      <c r="AK466" s="72"/>
      <c r="AL466" s="72"/>
      <c r="AM466" s="72"/>
      <c r="AN466" s="72"/>
      <c r="AO466" s="89"/>
      <c r="AP466" s="89"/>
      <c r="AQ466" s="90"/>
      <c r="AR466" s="117"/>
      <c r="AS466" s="91"/>
      <c r="AT466" s="91"/>
      <c r="AU466" s="3"/>
      <c r="AV466" s="71">
        <v>157680000</v>
      </c>
      <c r="AW466" s="71">
        <v>473040000</v>
      </c>
      <c r="AX466" s="71">
        <v>788400000</v>
      </c>
      <c r="AY466" s="71">
        <v>1103760000</v>
      </c>
      <c r="AZ466" s="71">
        <v>1419120000</v>
      </c>
      <c r="BA466" s="53"/>
      <c r="BB466" s="53"/>
      <c r="BC466" s="53"/>
      <c r="BD466" s="53"/>
      <c r="BE466" s="53"/>
      <c r="BF466" s="53"/>
      <c r="BG466" s="53"/>
      <c r="BH466" s="53"/>
      <c r="BI466" s="53"/>
      <c r="BJ466" s="53"/>
      <c r="BK466" s="53"/>
      <c r="BL466" s="53"/>
      <c r="BM466" s="53"/>
      <c r="BN466" s="53"/>
      <c r="BO466" s="53"/>
      <c r="BP466" s="53"/>
      <c r="BQ466" s="53"/>
      <c r="BR466" s="53"/>
      <c r="BS466" s="53"/>
      <c r="BT466" s="53"/>
      <c r="BU466" s="53"/>
      <c r="BV466" s="53"/>
      <c r="BW466" s="53"/>
      <c r="BX466" s="53"/>
      <c r="BY466" s="53"/>
      <c r="BZ466" s="53"/>
      <c r="CA466" s="53"/>
      <c r="CB466" s="53"/>
      <c r="CC466" s="53"/>
      <c r="CD466" s="53"/>
      <c r="CE466" s="53"/>
      <c r="CF466" s="53"/>
      <c r="CG466" s="53"/>
      <c r="CH466" s="53"/>
      <c r="CI466" s="53"/>
      <c r="CJ466" s="53"/>
      <c r="CK466" s="53"/>
      <c r="CL466" s="53"/>
      <c r="CM466" s="53"/>
      <c r="CN466" s="53"/>
      <c r="CO466" s="53"/>
      <c r="CP466" s="53"/>
      <c r="CQ466" s="53"/>
      <c r="CR466" s="16"/>
      <c r="CS466" s="16"/>
      <c r="CT466" s="16"/>
      <c r="CU466" s="16"/>
    </row>
    <row r="467" spans="1:99" s="13" customFormat="1" ht="12" customHeight="1" x14ac:dyDescent="0.2">
      <c r="A467" s="68">
        <v>43902</v>
      </c>
      <c r="B467" s="70" t="s">
        <v>455</v>
      </c>
      <c r="C467" s="70" t="s">
        <v>139</v>
      </c>
      <c r="D467" s="69">
        <v>1989</v>
      </c>
      <c r="E467" s="87">
        <v>1</v>
      </c>
      <c r="F467" s="69">
        <v>23</v>
      </c>
      <c r="G467" s="69">
        <v>23</v>
      </c>
      <c r="H467" s="69" t="s">
        <v>50</v>
      </c>
      <c r="I467" s="69" t="s">
        <v>330</v>
      </c>
      <c r="J467" s="69" t="s">
        <v>342</v>
      </c>
      <c r="K467" s="69">
        <f>IF(J467="syllables",1,IF(J467="trigrams",2,IF(J467="strings",3,IF(J467="visual array",4,IF(J467="characters",5,IF(J467="letters",6,IF(J467="free forms",7,IF(J467="odors",8,IF(J467="words",9,IF(J467="pictures",10,IF(J467="object pictures",11,IF(J467="faces",12,IF(J467="names",13,IF(J467="idioms",14,IF(J467="grades",15,IF(J467="syllable-digit pairs",16,IF(J467="trigram-word pairs",17,IF(J467="word-digit pairs",18,IF(J467="English-Swahili pairs",19,IF(J467="spatial position",20,IF(J467="word pairs",21,IF(J467="word triads",22,IF(J467="generated words",23,IF(J467="word definition pairs",24,IF(J467="math problems",25,IF(J467="famous faces",26,IF(J467="famous names",27,IF(J467="famous voices",28,IF(J467="television programs",29,IF(J467="race horses",30,IF(J467="new vocabulary",31,IF(J467="sentences",32,IF(J467="concepts",33,IF(J467="ad slides",34,IF(J467="scenes",35,IF(J467="famous scenes",36,IF(J467="poems",37,IF(J467="walk",38,IF(J467="faces and events",39,IF(J467="events and names",40,IF(J467="flashbulb",41,IF(J467="stories",42,IF(J467="course material",43,IF(J467="autobiographical",44,IF(J467="novels",45,IF(J467="public events",46,"99"))))))))))))))))))))))))))))))))))))))))))))))</f>
        <v>26</v>
      </c>
      <c r="L467" s="69">
        <f>IF(J467="syllables",1,IF(J467="trigrams",1,IF(J467="strings",1,IF(J467="visual array",1,IF(J467="characters",1,IF(J467="letters",1,IF(J467="free forms",1,IF(J467="odors",2,IF(J467="words",2,IF(J467="pictures",2,IF(J467="object pictures",2,IF(J467="faces",2,IF(J467="names",2,IF(J467="idioms","2",IF(J467="grades",2,IF(J467="syllable-digit pairs",3,IF(J467="trigram-word pairs",3,IF(J467="word-digit pairs",3,IF(J467="English-Swahili pairs",3,IF(J467="spatial position",3,IF(J467="word pairs",4,IF(J467="word triads",4,IF(J467="generated words",4,IF(J467="word definition pairs",4,IF(J467="math problems",4,IF(J467="famous faces",4,IF(J467="famous names",4,IF(J467="famous voices",4,IF(J467="television programs",4,IF(J467="race horses",4,IF(J467="new vocabulary",4,IF(J467="sentences",5,IF(J467="concepts",5,IF(J467="ad slides",5,IF(J467="scenes",5,IF(J467="famous scenes",5,IF(J467="poems",6,IF(J467="walk",6,IF(J467="faces and events",6,IF(J467="events and names",6,IF(J467="flashbulb",7,IF(J467="stories",7,IF(J467="course material",7,IF(J467="autobiographical",7,IF(J467="novels",7,IF(J467="public events",7,"99"))))))))))))))))))))))))))))))))))))))))))))))</f>
        <v>4</v>
      </c>
      <c r="M467" s="69">
        <v>1</v>
      </c>
      <c r="N467" s="86">
        <v>3</v>
      </c>
      <c r="O467" s="69">
        <v>0</v>
      </c>
      <c r="P467" s="69"/>
      <c r="Q467" s="69" t="s">
        <v>174</v>
      </c>
      <c r="R467" s="69">
        <f>IF(Q467="Free Recall",1,IF(Q467="Cued Recall",2,IF(Q467="Recognition",3,IF(Q467="Multiple Choice",4,IF(Q467="Savings",5,IF(Q467="Stem Completion",6,IF(Q467="Fragment Completion",7,IF(Q467="anagram solution",8,IF(Q467="Matching",9,IF(Q467="Problem Solving",10,"99"))))))))))</f>
        <v>1</v>
      </c>
      <c r="S467" s="69" t="s">
        <v>49</v>
      </c>
      <c r="T467" s="92" t="s">
        <v>581</v>
      </c>
      <c r="U467" s="60">
        <f>IF(T467="within",1,0)</f>
        <v>1</v>
      </c>
      <c r="V467" s="92">
        <v>132</v>
      </c>
      <c r="W467" s="69">
        <f>F467*V467</f>
        <v>3036</v>
      </c>
      <c r="X467" s="69">
        <v>5</v>
      </c>
      <c r="Y467" s="87">
        <f>AV466</f>
        <v>157680000</v>
      </c>
      <c r="Z467" s="69" t="s">
        <v>373</v>
      </c>
      <c r="AA467" s="69">
        <f>45*365*24*60*60</f>
        <v>1419120000</v>
      </c>
      <c r="AB467" s="69" t="str">
        <f>IF(AA467&lt;60,"1",IF(AA467&lt;=43200,"2",IF(AA467&lt;=777600,"3","4")))</f>
        <v>4</v>
      </c>
      <c r="AC467" s="72">
        <f>AVERAGE(AV466:DA466)</f>
        <v>788400000</v>
      </c>
      <c r="AD467" s="69" t="str">
        <f>IF(AC467&lt;60,"1",IF(AC467&lt;=43200,"2",IF(AC467&lt;=777600,"3","4")))</f>
        <v>4</v>
      </c>
      <c r="AE467" s="87">
        <f>AA467-Y467</f>
        <v>1261440000</v>
      </c>
      <c r="AF467" s="88">
        <f>AV467</f>
        <v>0.81132075471698106</v>
      </c>
      <c r="AG467" s="72">
        <f>((AW467-AV467)+(AX467-AW467)+(AY467-AX467)+(AZ467-AY467))/4</f>
        <v>-3.6163522012578608E-2</v>
      </c>
      <c r="AH467" s="4"/>
      <c r="AI467" s="72">
        <f>RSQ(AV467:AZ467,AV466:AZ466)</f>
        <v>0.86508677842846893</v>
      </c>
      <c r="AJ467" s="110">
        <f>SLOPE(AV467:AZ467,AV466:AZ466)</f>
        <v>-9.9084482269543754E-11</v>
      </c>
      <c r="AK467" s="72">
        <f>INTERCEPT(AV467:AZ467,AV466:AZ466)</f>
        <v>0.82700201531950213</v>
      </c>
      <c r="AL467" s="72">
        <f>INDEX(LINEST(LN(AV467:AZ467),LN(AV466:AZ466),TRUE,TRUE),3,1)</f>
        <v>0.71303554731401952</v>
      </c>
      <c r="AM467" s="72">
        <f>INDEX(LINEST(LN(AV467:AZ467),LN(AV466:AZ466)),1)</f>
        <v>-7.0402760275188284E-2</v>
      </c>
      <c r="AN467" s="72">
        <f>EXP(INDEX(LINEST(LN(AV467:AZ467),LN(AV466:AZ466)),1,2))</f>
        <v>3.1085420990615136</v>
      </c>
      <c r="AO467" s="89">
        <f>INDEX(LINEST((AV467:AZ467),LN(AV466:AZ466),TRUE,TRUE),3,1)</f>
        <v>0.73793849554548396</v>
      </c>
      <c r="AP467" s="89">
        <f>INDEX(LINEST((AV467:AZ467),LN(AV466:AZ466)),1)</f>
        <v>-5.2482202250693992E-2</v>
      </c>
      <c r="AQ467" s="90">
        <f>INDEX(LINEST(LN(AV467:AZ467),SQRT(AV466:AZ466),TRUE,TRUE),3,1)</f>
        <v>0.79525835004526857</v>
      </c>
      <c r="AR467" s="117">
        <f>INDEX(LINEST(LN(AV467:AZ467),SQRT((AV466:AZ466))),1)</f>
        <v>-6.552490734007736E-6</v>
      </c>
      <c r="AS467" s="91">
        <f>INDEX(LINEST(1/(AV467:AZ467),1/(SQRT(AV466:AZ466)),TRUE,TRUE),3,1)</f>
        <v>0.59423591502222761</v>
      </c>
      <c r="AT467" s="91">
        <f>INDEX(LINEST(1/(AV467:AZ467),1/SQRT(AV466:AZ466)),1)</f>
        <v>-3568.8036609443288</v>
      </c>
      <c r="AU467" s="3"/>
      <c r="AV467" s="73">
        <v>0.81132075471698106</v>
      </c>
      <c r="AW467" s="73">
        <v>0.76086956521739124</v>
      </c>
      <c r="AX467" s="73">
        <v>0.76785714285714279</v>
      </c>
      <c r="AY467" s="73">
        <v>0.73770491803278693</v>
      </c>
      <c r="AZ467" s="73">
        <v>0.66666666666666663</v>
      </c>
      <c r="BA467" s="53"/>
      <c r="BB467" s="53"/>
      <c r="BC467" s="53"/>
      <c r="BD467" s="53"/>
      <c r="BE467" s="53"/>
      <c r="BF467" s="53"/>
      <c r="BG467" s="53"/>
      <c r="BH467" s="53"/>
      <c r="BI467" s="53"/>
      <c r="BJ467" s="53"/>
      <c r="BK467" s="53"/>
      <c r="BL467" s="53"/>
      <c r="BM467" s="53"/>
      <c r="BN467" s="53"/>
      <c r="BO467" s="53"/>
      <c r="BP467" s="53"/>
      <c r="BQ467" s="53"/>
      <c r="BR467" s="53"/>
      <c r="BS467" s="53"/>
      <c r="BT467" s="53"/>
      <c r="BU467" s="53"/>
      <c r="BV467" s="53"/>
      <c r="BW467" s="53"/>
      <c r="BX467" s="53"/>
      <c r="BY467" s="53"/>
      <c r="BZ467" s="53"/>
      <c r="CA467" s="53"/>
      <c r="CB467" s="53"/>
      <c r="CC467" s="53"/>
      <c r="CD467" s="53"/>
      <c r="CE467" s="53"/>
      <c r="CF467" s="53"/>
      <c r="CG467" s="53"/>
      <c r="CH467" s="53"/>
      <c r="CI467" s="53"/>
      <c r="CJ467" s="53"/>
      <c r="CK467" s="53"/>
      <c r="CL467" s="53"/>
      <c r="CM467" s="53"/>
      <c r="CN467" s="53"/>
      <c r="CO467" s="53"/>
      <c r="CP467" s="53"/>
      <c r="CQ467" s="53"/>
      <c r="CR467" s="16"/>
      <c r="CS467" s="16"/>
      <c r="CT467" s="16"/>
      <c r="CU467" s="16"/>
    </row>
    <row r="468" spans="1:99" s="13" customFormat="1" ht="12" customHeight="1" x14ac:dyDescent="0.2">
      <c r="A468" s="68">
        <v>43979</v>
      </c>
      <c r="B468" s="70"/>
      <c r="C468" s="70"/>
      <c r="D468" s="69"/>
      <c r="E468" s="87"/>
      <c r="F468" s="69"/>
      <c r="G468" s="69"/>
      <c r="H468" s="69"/>
      <c r="I468" s="69"/>
      <c r="J468" s="69"/>
      <c r="K468" s="69"/>
      <c r="L468" s="69"/>
      <c r="M468" s="69"/>
      <c r="N468" s="86"/>
      <c r="O468" s="69"/>
      <c r="P468" s="69"/>
      <c r="Q468" s="69"/>
      <c r="R468" s="69"/>
      <c r="S468" s="69"/>
      <c r="T468" s="92"/>
      <c r="U468" s="69"/>
      <c r="V468" s="92"/>
      <c r="W468" s="69"/>
      <c r="X468" s="69"/>
      <c r="Y468" s="87"/>
      <c r="Z468" s="69"/>
      <c r="AA468" s="69"/>
      <c r="AB468" s="69"/>
      <c r="AC468" s="72"/>
      <c r="AD468" s="69"/>
      <c r="AE468" s="87"/>
      <c r="AF468" s="88"/>
      <c r="AG468" s="72"/>
      <c r="AH468" s="4"/>
      <c r="AI468" s="72"/>
      <c r="AJ468" s="110"/>
      <c r="AK468" s="72"/>
      <c r="AL468" s="72"/>
      <c r="AM468" s="72"/>
      <c r="AN468" s="72"/>
      <c r="AO468" s="89"/>
      <c r="AP468" s="89"/>
      <c r="AQ468" s="90"/>
      <c r="AR468" s="117"/>
      <c r="AS468" s="91"/>
      <c r="AT468" s="91"/>
      <c r="AU468" s="3"/>
      <c r="AV468" s="71">
        <v>40</v>
      </c>
      <c r="AW468" s="71">
        <f>60*30</f>
        <v>1800</v>
      </c>
      <c r="AX468" s="71">
        <f>60*60*24*7*3</f>
        <v>1814400</v>
      </c>
      <c r="AY468" s="53"/>
      <c r="AZ468" s="53"/>
      <c r="BA468" s="53"/>
      <c r="BB468" s="53"/>
      <c r="BC468" s="53"/>
      <c r="BD468" s="53"/>
      <c r="BE468" s="53"/>
      <c r="BF468" s="53"/>
      <c r="BG468" s="53"/>
      <c r="BH468" s="53"/>
      <c r="BI468" s="53"/>
      <c r="BJ468" s="53"/>
      <c r="BK468" s="53"/>
      <c r="BL468" s="53"/>
      <c r="BM468" s="53"/>
      <c r="BN468" s="53"/>
      <c r="BO468" s="53"/>
      <c r="BP468" s="53"/>
      <c r="BQ468" s="53"/>
      <c r="BR468" s="53"/>
      <c r="BS468" s="53"/>
      <c r="BT468" s="53"/>
      <c r="BU468" s="53"/>
      <c r="BV468" s="53"/>
      <c r="BW468" s="53"/>
      <c r="BX468" s="53"/>
      <c r="BY468" s="53"/>
      <c r="BZ468" s="53"/>
      <c r="CA468" s="53"/>
      <c r="CB468" s="53"/>
      <c r="CC468" s="53"/>
      <c r="CD468" s="53"/>
      <c r="CE468" s="53"/>
      <c r="CF468" s="53"/>
      <c r="CG468" s="53"/>
      <c r="CH468" s="53"/>
      <c r="CI468" s="53"/>
      <c r="CJ468" s="53"/>
      <c r="CK468" s="53"/>
      <c r="CL468" s="53"/>
      <c r="CM468" s="53"/>
      <c r="CN468" s="53"/>
      <c r="CO468" s="53"/>
      <c r="CP468" s="53"/>
      <c r="CQ468" s="53"/>
      <c r="CR468" s="16"/>
      <c r="CS468" s="16"/>
      <c r="CT468" s="16"/>
      <c r="CU468" s="16"/>
    </row>
    <row r="469" spans="1:99" s="13" customFormat="1" ht="12" customHeight="1" x14ac:dyDescent="0.2">
      <c r="A469" s="68">
        <v>43979</v>
      </c>
      <c r="B469" s="70" t="s">
        <v>986</v>
      </c>
      <c r="C469" s="70" t="s">
        <v>54</v>
      </c>
      <c r="D469" s="69">
        <v>2011</v>
      </c>
      <c r="E469" s="87">
        <v>1</v>
      </c>
      <c r="F469" s="69">
        <v>15</v>
      </c>
      <c r="G469" s="69">
        <v>15</v>
      </c>
      <c r="H469" s="69" t="s">
        <v>41</v>
      </c>
      <c r="I469" s="69" t="s">
        <v>987</v>
      </c>
      <c r="J469" s="69" t="s">
        <v>686</v>
      </c>
      <c r="K469" s="69">
        <f>IF(J469="syllables",1,IF(J469="trigrams",2,IF(J469="strings",3,IF(J469="visual array",4,IF(J469="characters",5,IF(J469="letters",6,IF(J469="free forms",7,IF(J469="odors",8,IF(J469="words",9,IF(J469="pictures",10,IF(J469="object pictures",11,IF(J469="faces",12,IF(J469="names",13,IF(J469="idioms",14,IF(J469="grades",15,IF(J469="syllable-digit pairs",16,IF(J469="trigram-word pairs",17,IF(J469="word-digit pairs",18,IF(J469="English-Swahili pairs",19,IF(J469="spatial position",20,IF(J469="word pairs",21,IF(J469="word triads",22,IF(J469="generated words",23,IF(J469="word definition pairs",24,IF(J469="math problems",25,IF(J469="famous faces",26,IF(J469="famous names",27,IF(J469="famous voices",28,IF(J469="television programs",29,IF(J469="race horses",30,IF(J469="new vocabulary",31,IF(J469="sentences",32,IF(J469="concepts",33,IF(J469="ad slides",34,IF(J469="scenes",35,IF(J469="famous scenes",36,IF(J469="poems",37,IF(J469="walk",38,IF(J469="faces and events",39,IF(J469="events and names",40,IF(J469="flashbulb",41,IF(J469="stories",42,IF(J469="course material",43,IF(J469="autobiographical",44,IF(J469="novels",45,IF(J469="public events",46,"99"))))))))))))))))))))))))))))))))))))))))))))))</f>
        <v>35</v>
      </c>
      <c r="L469" s="69">
        <f>IF(J469="syllables",1,IF(J469="trigrams",1,IF(J469="strings",1,IF(J469="visual array",1,IF(J469="characters",1,IF(J469="letters",1,IF(J469="free forms",1,IF(J469="odors",2,IF(J469="words",2,IF(J469="pictures",2,IF(J469="object pictures",2,IF(J469="faces",2,IF(J469="names",2,IF(J469="idioms","2",IF(J469="grades",2,IF(J469="syllable-digit pairs",3,IF(J469="trigram-word pairs",3,IF(J469="word-digit pairs",3,IF(J469="English-Swahili pairs",3,IF(J469="spatial position",3,IF(J469="word pairs",4,IF(J469="word triads",4,IF(J469="generated words",4,IF(J469="word definition pairs",4,IF(J469="math problems",4,IF(J469="famous faces",4,IF(J469="famous names",4,IF(J469="famous voices",4,IF(J469="television programs",4,IF(J469="race horses",4,IF(J469="new vocabulary",4,IF(J469="sentences",5,IF(J469="concepts",5,IF(J469="ad slides",5,IF(J469="scenes",5,IF(J469="famous scenes",5,IF(J469="poems",6,IF(J469="walk",6,IF(J469="faces and events",6,IF(J469="events and names",6,IF(J469="flashbulb",7,IF(J469="stories",7,IF(J469="course material",7,IF(J469="autobiographical",7,IF(J469="novels",7,IF(J469="public events",7,"99"))))))))))))))))))))))))))))))))))))))))))))))</f>
        <v>5</v>
      </c>
      <c r="M469" s="69">
        <v>0</v>
      </c>
      <c r="N469" s="86">
        <v>3</v>
      </c>
      <c r="O469" s="69">
        <v>0</v>
      </c>
      <c r="P469" s="69"/>
      <c r="Q469" s="69" t="s">
        <v>174</v>
      </c>
      <c r="R469" s="69">
        <f>IF(Q469="Free Recall",1,IF(Q469="Cued Recall",2,IF(Q469="Recognition",3,IF(Q469="Multiple Choice",4,IF(Q469="Savings",5,IF(Q469="Stem Completion",6,IF(Q469="Fragment Completion",7,IF(Q469="anagram solution",8,IF(Q469="Matching",9,IF(Q469="Problem Solving",10,"99"))))))))))</f>
        <v>1</v>
      </c>
      <c r="S469" s="69" t="s">
        <v>49</v>
      </c>
      <c r="T469" s="92" t="s">
        <v>581</v>
      </c>
      <c r="U469" s="69">
        <f>IF(T469="within",1,0)</f>
        <v>1</v>
      </c>
      <c r="V469" s="92">
        <v>60</v>
      </c>
      <c r="W469" s="69">
        <f>F469*V469</f>
        <v>900</v>
      </c>
      <c r="X469" s="69">
        <v>3</v>
      </c>
      <c r="Y469" s="87">
        <f>AV468</f>
        <v>40</v>
      </c>
      <c r="Z469" s="69" t="s">
        <v>165</v>
      </c>
      <c r="AA469" s="69">
        <f>60*60*24*7*3</f>
        <v>1814400</v>
      </c>
      <c r="AB469" s="69" t="str">
        <f>IF(AA469&lt;60,"1",IF(AA469&lt;=43200,"2",IF(AA469&lt;=777600,"3","4")))</f>
        <v>4</v>
      </c>
      <c r="AC469" s="72">
        <f>AVERAGE(AV468:DA468)</f>
        <v>605413.33333333337</v>
      </c>
      <c r="AD469" s="69" t="str">
        <f>IF(AC469&lt;60,"1",IF(AC469&lt;=43200,"2",IF(AC469&lt;=777600,"3","4")))</f>
        <v>3</v>
      </c>
      <c r="AE469" s="87">
        <f>AA469-Y469</f>
        <v>1814360</v>
      </c>
      <c r="AF469" s="88">
        <f>AV469</f>
        <v>0.83366141732283006</v>
      </c>
      <c r="AG469" s="72">
        <f>((AW469-AV469)+(AX469-AW469))/2</f>
        <v>-3.0511811023619995E-2</v>
      </c>
      <c r="AH469" s="4"/>
      <c r="AI469" s="72">
        <f>RSQ(AV469:AX469,AV468:AX468)</f>
        <v>0.9358149219305153</v>
      </c>
      <c r="AJ469" s="110">
        <f>SLOPE(AV469:AX469,AV468:AX468)</f>
        <v>-3.9611455171626265E-8</v>
      </c>
      <c r="AK469" s="72">
        <f>INTERCEPT(AV469:AX469,AV468:AX468)</f>
        <v>0.8445193608564181</v>
      </c>
      <c r="AL469" s="72">
        <f>INDEX(LINEST(LN(AV469:AX469),LN(AV468:AX468),TRUE,TRUE),3,1)</f>
        <v>0.67867827756176258</v>
      </c>
      <c r="AM469" s="72">
        <f>INDEX(LINEST(LN(AV469:AX469),LN(AV468:AX468)),1)</f>
        <v>-8.0125213049529343E-3</v>
      </c>
      <c r="AN469" s="72">
        <f>EXP(INDEX(LINEST(LN(AV469:AX469),LN(AV468:AX468)),1,2))</f>
        <v>0.87778160858338528</v>
      </c>
      <c r="AO469" s="89">
        <f>INDEX(LINEST((AV469:AX469),LN(AV468:AX468),TRUE,TRUE),3,1)</f>
        <v>0.66897673185097672</v>
      </c>
      <c r="AP469" s="89">
        <f>INDEX(LINEST((AV469:AX469),LN(AV468:AX468)),1)</f>
        <v>-6.4508986719673733E-3</v>
      </c>
      <c r="AQ469" s="90">
        <f>INDEX(LINEST(LN(AV469:AX469),SQRT(AV468:AX468),TRUE,TRUE),3,1)</f>
        <v>0.92957962092637458</v>
      </c>
      <c r="AR469" s="117">
        <f>INDEX(LINEST(LN(AV469:AX469),SQRT((AV468:AX468))),1)</f>
        <v>-6.6734093460847936E-5</v>
      </c>
      <c r="AS469" s="91">
        <f>INDEX(LINEST(1/(AV469:AX469),1/(SQRT(AV468:AX468)),TRUE,TRUE),3,1)</f>
        <v>0.1688007294917899</v>
      </c>
      <c r="AT469" s="91">
        <f>INDEX(LINEST(1/(AV469:AX469),1/SQRT(AV468:AX468)),1)</f>
        <v>-0.31527608578278027</v>
      </c>
      <c r="AU469" s="3"/>
      <c r="AV469" s="73">
        <v>0.83366141732283006</v>
      </c>
      <c r="AW469" s="73">
        <v>0.85531496062992007</v>
      </c>
      <c r="AX469" s="73">
        <v>0.77263779527559007</v>
      </c>
      <c r="AY469" s="53"/>
      <c r="AZ469" s="53"/>
      <c r="BA469" s="53"/>
      <c r="BB469" s="53"/>
      <c r="BC469" s="53"/>
      <c r="BD469" s="53"/>
      <c r="BE469" s="53"/>
      <c r="BF469" s="53"/>
      <c r="BG469" s="53"/>
      <c r="BH469" s="53"/>
      <c r="BI469" s="53"/>
      <c r="BJ469" s="53"/>
      <c r="BK469" s="53"/>
      <c r="BL469" s="53"/>
      <c r="BM469" s="53"/>
      <c r="BN469" s="53"/>
      <c r="BO469" s="53"/>
      <c r="BP469" s="53"/>
      <c r="BQ469" s="53"/>
      <c r="BR469" s="53"/>
      <c r="BS469" s="53"/>
      <c r="BT469" s="53"/>
      <c r="BU469" s="53"/>
      <c r="BV469" s="53"/>
      <c r="BW469" s="53"/>
      <c r="BX469" s="53"/>
      <c r="BY469" s="53"/>
      <c r="BZ469" s="53"/>
      <c r="CA469" s="53"/>
      <c r="CB469" s="53"/>
      <c r="CC469" s="53"/>
      <c r="CD469" s="53"/>
      <c r="CE469" s="53"/>
      <c r="CF469" s="53"/>
      <c r="CG469" s="53"/>
      <c r="CH469" s="53"/>
      <c r="CI469" s="53"/>
      <c r="CJ469" s="53"/>
      <c r="CK469" s="53"/>
      <c r="CL469" s="53"/>
      <c r="CM469" s="53"/>
      <c r="CN469" s="53"/>
      <c r="CO469" s="53"/>
      <c r="CP469" s="53"/>
      <c r="CQ469" s="53"/>
      <c r="CR469" s="16"/>
      <c r="CS469" s="16"/>
      <c r="CT469" s="16"/>
      <c r="CU469" s="16"/>
    </row>
    <row r="470" spans="1:99" s="13" customFormat="1" ht="12" customHeight="1" x14ac:dyDescent="0.2">
      <c r="A470" s="68">
        <v>43979</v>
      </c>
      <c r="B470" s="70"/>
      <c r="C470" s="70"/>
      <c r="D470" s="69"/>
      <c r="E470" s="87"/>
      <c r="F470" s="69"/>
      <c r="G470" s="69"/>
      <c r="H470" s="69"/>
      <c r="I470" s="69"/>
      <c r="J470" s="69"/>
      <c r="K470" s="69"/>
      <c r="L470" s="69"/>
      <c r="M470" s="69"/>
      <c r="N470" s="86"/>
      <c r="O470" s="69"/>
      <c r="P470" s="69"/>
      <c r="Q470" s="69"/>
      <c r="R470" s="69"/>
      <c r="S470" s="69"/>
      <c r="T470" s="92"/>
      <c r="U470" s="69"/>
      <c r="V470" s="92"/>
      <c r="W470" s="69"/>
      <c r="X470" s="69"/>
      <c r="Y470" s="87"/>
      <c r="Z470" s="69"/>
      <c r="AA470" s="69"/>
      <c r="AB470" s="69"/>
      <c r="AC470" s="72"/>
      <c r="AD470" s="69"/>
      <c r="AE470" s="87"/>
      <c r="AF470" s="88"/>
      <c r="AG470" s="72"/>
      <c r="AH470" s="4"/>
      <c r="AI470" s="72"/>
      <c r="AJ470" s="110"/>
      <c r="AK470" s="72"/>
      <c r="AL470" s="72"/>
      <c r="AM470" s="72"/>
      <c r="AN470" s="72"/>
      <c r="AO470" s="89"/>
      <c r="AP470" s="89"/>
      <c r="AQ470" s="90"/>
      <c r="AR470" s="117"/>
      <c r="AS470" s="91"/>
      <c r="AT470" s="91"/>
      <c r="AU470" s="3"/>
      <c r="AV470" s="71">
        <v>40</v>
      </c>
      <c r="AW470" s="71">
        <f>60*30</f>
        <v>1800</v>
      </c>
      <c r="AX470" s="71">
        <f>60*60*24*7*3</f>
        <v>1814400</v>
      </c>
      <c r="AY470" s="53"/>
      <c r="AZ470" s="53"/>
      <c r="BA470" s="53"/>
      <c r="BB470" s="53"/>
      <c r="BC470" s="53"/>
      <c r="BD470" s="53"/>
      <c r="BE470" s="53"/>
      <c r="BF470" s="53"/>
      <c r="BG470" s="53"/>
      <c r="BH470" s="53"/>
      <c r="BI470" s="53"/>
      <c r="BJ470" s="53"/>
      <c r="BK470" s="53"/>
      <c r="BL470" s="53"/>
      <c r="BM470" s="53"/>
      <c r="BN470" s="53"/>
      <c r="BO470" s="53"/>
      <c r="BP470" s="53"/>
      <c r="BQ470" s="53"/>
      <c r="BR470" s="53"/>
      <c r="BS470" s="53"/>
      <c r="BT470" s="53"/>
      <c r="BU470" s="53"/>
      <c r="BV470" s="53"/>
      <c r="BW470" s="53"/>
      <c r="BX470" s="53"/>
      <c r="BY470" s="53"/>
      <c r="BZ470" s="53"/>
      <c r="CA470" s="53"/>
      <c r="CB470" s="53"/>
      <c r="CC470" s="53"/>
      <c r="CD470" s="53"/>
      <c r="CE470" s="53"/>
      <c r="CF470" s="53"/>
      <c r="CG470" s="53"/>
      <c r="CH470" s="53"/>
      <c r="CI470" s="53"/>
      <c r="CJ470" s="53"/>
      <c r="CK470" s="53"/>
      <c r="CL470" s="53"/>
      <c r="CM470" s="53"/>
      <c r="CN470" s="53"/>
      <c r="CO470" s="53"/>
      <c r="CP470" s="53"/>
      <c r="CQ470" s="53"/>
      <c r="CR470" s="16"/>
      <c r="CS470" s="16"/>
      <c r="CT470" s="16"/>
      <c r="CU470" s="16"/>
    </row>
    <row r="471" spans="1:99" s="13" customFormat="1" ht="12" customHeight="1" x14ac:dyDescent="0.2">
      <c r="A471" s="68">
        <v>43979</v>
      </c>
      <c r="B471" s="70" t="s">
        <v>986</v>
      </c>
      <c r="C471" s="70" t="s">
        <v>54</v>
      </c>
      <c r="D471" s="69">
        <v>2011</v>
      </c>
      <c r="E471" s="87">
        <v>1</v>
      </c>
      <c r="F471" s="69">
        <v>10</v>
      </c>
      <c r="G471" s="69">
        <v>10</v>
      </c>
      <c r="H471" s="69" t="s">
        <v>41</v>
      </c>
      <c r="I471" s="69" t="s">
        <v>988</v>
      </c>
      <c r="J471" s="69" t="s">
        <v>686</v>
      </c>
      <c r="K471" s="69">
        <f>IF(J471="syllables",1,IF(J471="trigrams",2,IF(J471="strings",3,IF(J471="visual array",4,IF(J471="characters",5,IF(J471="letters",6,IF(J471="free forms",7,IF(J471="odors",8,IF(J471="words",9,IF(J471="pictures",10,IF(J471="object pictures",11,IF(J471="faces",12,IF(J471="names",13,IF(J471="idioms",14,IF(J471="grades",15,IF(J471="syllable-digit pairs",16,IF(J471="trigram-word pairs",17,IF(J471="word-digit pairs",18,IF(J471="English-Swahili pairs",19,IF(J471="spatial position",20,IF(J471="word pairs",21,IF(J471="word triads",22,IF(J471="generated words",23,IF(J471="word definition pairs",24,IF(J471="math problems",25,IF(J471="famous faces",26,IF(J471="famous names",27,IF(J471="famous voices",28,IF(J471="television programs",29,IF(J471="race horses",30,IF(J471="new vocabulary",31,IF(J471="sentences",32,IF(J471="concepts",33,IF(J471="ad slides",34,IF(J471="scenes",35,IF(J471="famous scenes",36,IF(J471="poems",37,IF(J471="walk",38,IF(J471="faces and events",39,IF(J471="events and names",40,IF(J471="flashbulb",41,IF(J471="stories",42,IF(J471="course material",43,IF(J471="autobiographical",44,IF(J471="novels",45,IF(J471="public events",46,"99"))))))))))))))))))))))))))))))))))))))))))))))</f>
        <v>35</v>
      </c>
      <c r="L471" s="69">
        <f>IF(J471="syllables",1,IF(J471="trigrams",1,IF(J471="strings",1,IF(J471="visual array",1,IF(J471="characters",1,IF(J471="letters",1,IF(J471="free forms",1,IF(J471="odors",2,IF(J471="words",2,IF(J471="pictures",2,IF(J471="object pictures",2,IF(J471="faces",2,IF(J471="names",2,IF(J471="idioms","2",IF(J471="grades",2,IF(J471="syllable-digit pairs",3,IF(J471="trigram-word pairs",3,IF(J471="word-digit pairs",3,IF(J471="English-Swahili pairs",3,IF(J471="spatial position",3,IF(J471="word pairs",4,IF(J471="word triads",4,IF(J471="generated words",4,IF(J471="word definition pairs",4,IF(J471="math problems",4,IF(J471="famous faces",4,IF(J471="famous names",4,IF(J471="famous voices",4,IF(J471="television programs",4,IF(J471="race horses",4,IF(J471="new vocabulary",4,IF(J471="sentences",5,IF(J471="concepts",5,IF(J471="ad slides",5,IF(J471="scenes",5,IF(J471="famous scenes",5,IF(J471="poems",6,IF(J471="walk",6,IF(J471="faces and events",6,IF(J471="events and names",6,IF(J471="flashbulb",7,IF(J471="stories",7,IF(J471="course material",7,IF(J471="autobiographical",7,IF(J471="novels",7,IF(J471="public events",7,"99"))))))))))))))))))))))))))))))))))))))))))))))</f>
        <v>5</v>
      </c>
      <c r="M471" s="69">
        <v>0</v>
      </c>
      <c r="N471" s="86">
        <v>3</v>
      </c>
      <c r="O471" s="69">
        <v>0</v>
      </c>
      <c r="P471" s="69"/>
      <c r="Q471" s="69" t="s">
        <v>174</v>
      </c>
      <c r="R471" s="69">
        <f>IF(Q471="Free Recall",1,IF(Q471="Cued Recall",2,IF(Q471="Recognition",3,IF(Q471="Multiple Choice",4,IF(Q471="Savings",5,IF(Q471="Stem Completion",6,IF(Q471="Fragment Completion",7,IF(Q471="anagram solution",8,IF(Q471="Matching",9,IF(Q471="Problem Solving",10,"99"))))))))))</f>
        <v>1</v>
      </c>
      <c r="S471" s="69" t="s">
        <v>49</v>
      </c>
      <c r="T471" s="92" t="s">
        <v>581</v>
      </c>
      <c r="U471" s="69">
        <f>IF(T471="within",1,0)</f>
        <v>1</v>
      </c>
      <c r="V471" s="92">
        <v>60</v>
      </c>
      <c r="W471" s="69">
        <f>F471*V471</f>
        <v>600</v>
      </c>
      <c r="X471" s="69">
        <v>3</v>
      </c>
      <c r="Y471" s="87">
        <f>AV470</f>
        <v>40</v>
      </c>
      <c r="Z471" s="69" t="s">
        <v>165</v>
      </c>
      <c r="AA471" s="69">
        <f>60*60*24*7*3</f>
        <v>1814400</v>
      </c>
      <c r="AB471" s="69" t="str">
        <f>IF(AA471&lt;60,"1",IF(AA471&lt;=43200,"2",IF(AA471&lt;=777600,"3","4")))</f>
        <v>4</v>
      </c>
      <c r="AC471" s="72">
        <f>AVERAGE(AV470:DA470)</f>
        <v>605413.33333333337</v>
      </c>
      <c r="AD471" s="69" t="str">
        <f>IF(AC471&lt;60,"1",IF(AC471&lt;=43200,"2",IF(AC471&lt;=777600,"3","4")))</f>
        <v>3</v>
      </c>
      <c r="AE471" s="87">
        <f>AA471-Y471</f>
        <v>1814360</v>
      </c>
      <c r="AF471" s="88">
        <f>AV471</f>
        <v>0.8228346456692901</v>
      </c>
      <c r="AG471" s="72">
        <f>((AW471-AV471)+(AX471-AW471))/2</f>
        <v>-5.019685039370253E-2</v>
      </c>
      <c r="AH471" s="4"/>
      <c r="AI471" s="72">
        <f>RSQ(AV471:AX471,AV470:AX470)</f>
        <v>0.98759313399476145</v>
      </c>
      <c r="AJ471" s="110">
        <f>SLOPE(AV471:AX471,AV470:AX470)</f>
        <v>-5.9153317882171334E-8</v>
      </c>
      <c r="AK471" s="72">
        <f>INTERCEPT(AV471:AX471,AV470:AX470)</f>
        <v>0.829775461949945</v>
      </c>
      <c r="AL471" s="72">
        <f>INDEX(LINEST(LN(AV471:AX471),LN(AV470:AX470),TRUE,TRUE),3,1)</f>
        <v>0.80190601739456713</v>
      </c>
      <c r="AM471" s="72">
        <f>INDEX(LINEST(LN(AV471:AX471),LN(AV470:AX470)),1)</f>
        <v>-1.3236682347725693E-2</v>
      </c>
      <c r="AN471" s="72">
        <f>EXP(INDEX(LINEST(LN(AV471:AX471),LN(AV470:AX470)),1,2))</f>
        <v>0.88700620083285175</v>
      </c>
      <c r="AO471" s="89">
        <f>INDEX(LINEST((AV471:AX471),LN(AV470:AX470),TRUE,TRUE),3,1)</f>
        <v>0.7960993694373294</v>
      </c>
      <c r="AP471" s="89">
        <f>INDEX(LINEST((AV471:AX471),LN(AV470:AX470)),1)</f>
        <v>-1.0229693412254806E-2</v>
      </c>
      <c r="AQ471" s="90">
        <f>INDEX(LINEST(LN(AV471:AX471),SQRT(AV470:AX470),TRUE,TRUE),3,1)</f>
        <v>0.98391562988868064</v>
      </c>
      <c r="AR471" s="117">
        <f>INDEX(LINEST(LN(AV471:AX471),SQRT((AV470:AX470))),1)</f>
        <v>-1.0434306406788991E-4</v>
      </c>
      <c r="AS471" s="91">
        <f>INDEX(LINEST(1/(AV471:AX471),1/(SQRT(AV470:AX470)),TRUE,TRUE),3,1)</f>
        <v>0.28362345802300309</v>
      </c>
      <c r="AT471" s="91">
        <f>INDEX(LINEST(1/(AV471:AX471),1/SQRT(AV470:AX470)),1)</f>
        <v>-0.64986201060893944</v>
      </c>
      <c r="AU471" s="3"/>
      <c r="AV471" s="73">
        <v>0.8228346456692901</v>
      </c>
      <c r="AW471" s="73">
        <v>0.83661417322834508</v>
      </c>
      <c r="AX471" s="73">
        <v>0.72244094488188504</v>
      </c>
      <c r="AY471" s="53"/>
      <c r="AZ471" s="53"/>
      <c r="BA471" s="53"/>
      <c r="BB471" s="53"/>
      <c r="BC471" s="53"/>
      <c r="BD471" s="53"/>
      <c r="BE471" s="53"/>
      <c r="BF471" s="53"/>
      <c r="BG471" s="53"/>
      <c r="BH471" s="53"/>
      <c r="BI471" s="53"/>
      <c r="BJ471" s="53"/>
      <c r="BK471" s="53"/>
      <c r="BL471" s="53"/>
      <c r="BM471" s="53"/>
      <c r="BN471" s="53"/>
      <c r="BO471" s="53"/>
      <c r="BP471" s="53"/>
      <c r="BQ471" s="53"/>
      <c r="BR471" s="53"/>
      <c r="BS471" s="53"/>
      <c r="BT471" s="53"/>
      <c r="BU471" s="53"/>
      <c r="BV471" s="53"/>
      <c r="BW471" s="53"/>
      <c r="BX471" s="53"/>
      <c r="BY471" s="53"/>
      <c r="BZ471" s="53"/>
      <c r="CA471" s="53"/>
      <c r="CB471" s="53"/>
      <c r="CC471" s="53"/>
      <c r="CD471" s="53"/>
      <c r="CE471" s="53"/>
      <c r="CF471" s="53"/>
      <c r="CG471" s="53"/>
      <c r="CH471" s="53"/>
      <c r="CI471" s="53"/>
      <c r="CJ471" s="53"/>
      <c r="CK471" s="53"/>
      <c r="CL471" s="53"/>
      <c r="CM471" s="53"/>
      <c r="CN471" s="53"/>
      <c r="CO471" s="53"/>
      <c r="CP471" s="53"/>
      <c r="CQ471" s="53"/>
      <c r="CR471" s="16"/>
      <c r="CS471" s="16"/>
      <c r="CT471" s="16"/>
      <c r="CU471" s="16"/>
    </row>
    <row r="472" spans="1:99" s="13" customFormat="1" ht="12" customHeight="1" x14ac:dyDescent="0.2">
      <c r="A472" s="68">
        <v>43979</v>
      </c>
      <c r="B472" s="70"/>
      <c r="C472" s="70"/>
      <c r="D472" s="69"/>
      <c r="E472" s="87"/>
      <c r="F472" s="69"/>
      <c r="G472" s="69"/>
      <c r="H472" s="69"/>
      <c r="I472" s="69"/>
      <c r="J472" s="69"/>
      <c r="K472" s="69"/>
      <c r="L472" s="69"/>
      <c r="M472" s="69"/>
      <c r="N472" s="86"/>
      <c r="O472" s="69"/>
      <c r="P472" s="69"/>
      <c r="Q472" s="69"/>
      <c r="R472" s="69"/>
      <c r="S472" s="69"/>
      <c r="T472" s="92"/>
      <c r="U472" s="69"/>
      <c r="V472" s="92"/>
      <c r="W472" s="69"/>
      <c r="X472" s="69"/>
      <c r="Y472" s="87"/>
      <c r="Z472" s="69"/>
      <c r="AA472" s="69"/>
      <c r="AB472" s="69"/>
      <c r="AC472" s="72"/>
      <c r="AD472" s="69"/>
      <c r="AE472" s="87"/>
      <c r="AF472" s="88"/>
      <c r="AG472" s="72"/>
      <c r="AH472" s="4"/>
      <c r="AI472" s="72"/>
      <c r="AJ472" s="110"/>
      <c r="AK472" s="72"/>
      <c r="AL472" s="72"/>
      <c r="AM472" s="72"/>
      <c r="AN472" s="72"/>
      <c r="AO472" s="89"/>
      <c r="AP472" s="89"/>
      <c r="AQ472" s="90"/>
      <c r="AR472" s="117"/>
      <c r="AS472" s="91"/>
      <c r="AT472" s="91"/>
      <c r="AU472" s="3"/>
      <c r="AV472" s="71">
        <v>40</v>
      </c>
      <c r="AW472" s="71">
        <f>60*30</f>
        <v>1800</v>
      </c>
      <c r="AX472" s="71">
        <f>60*60*24*7*3</f>
        <v>1814400</v>
      </c>
      <c r="AY472" s="53"/>
      <c r="AZ472" s="53"/>
      <c r="BA472" s="53"/>
      <c r="BB472" s="53"/>
      <c r="BC472" s="53"/>
      <c r="BD472" s="53"/>
      <c r="BE472" s="53"/>
      <c r="BF472" s="53"/>
      <c r="BG472" s="53"/>
      <c r="BH472" s="53"/>
      <c r="BI472" s="53"/>
      <c r="BJ472" s="53"/>
      <c r="BK472" s="53"/>
      <c r="BL472" s="53"/>
      <c r="BM472" s="53"/>
      <c r="BN472" s="53"/>
      <c r="BO472" s="53"/>
      <c r="BP472" s="53"/>
      <c r="BQ472" s="53"/>
      <c r="BR472" s="53"/>
      <c r="BS472" s="53"/>
      <c r="BT472" s="53"/>
      <c r="BU472" s="53"/>
      <c r="BV472" s="53"/>
      <c r="BW472" s="53"/>
      <c r="BX472" s="53"/>
      <c r="BY472" s="53"/>
      <c r="BZ472" s="53"/>
      <c r="CA472" s="53"/>
      <c r="CB472" s="53"/>
      <c r="CC472" s="53"/>
      <c r="CD472" s="53"/>
      <c r="CE472" s="53"/>
      <c r="CF472" s="53"/>
      <c r="CG472" s="53"/>
      <c r="CH472" s="53"/>
      <c r="CI472" s="53"/>
      <c r="CJ472" s="53"/>
      <c r="CK472" s="53"/>
      <c r="CL472" s="53"/>
      <c r="CM472" s="53"/>
      <c r="CN472" s="53"/>
      <c r="CO472" s="53"/>
      <c r="CP472" s="53"/>
      <c r="CQ472" s="53"/>
      <c r="CR472" s="16"/>
      <c r="CS472" s="16"/>
      <c r="CT472" s="16"/>
      <c r="CU472" s="16"/>
    </row>
    <row r="473" spans="1:99" s="13" customFormat="1" ht="12" customHeight="1" x14ac:dyDescent="0.2">
      <c r="A473" s="68">
        <v>43979</v>
      </c>
      <c r="B473" s="70" t="s">
        <v>986</v>
      </c>
      <c r="C473" s="70" t="s">
        <v>54</v>
      </c>
      <c r="D473" s="69">
        <v>2011</v>
      </c>
      <c r="E473" s="87">
        <v>1</v>
      </c>
      <c r="F473" s="69">
        <v>15</v>
      </c>
      <c r="G473" s="69">
        <v>15</v>
      </c>
      <c r="H473" s="69" t="s">
        <v>41</v>
      </c>
      <c r="I473" s="69" t="s">
        <v>989</v>
      </c>
      <c r="J473" s="69" t="s">
        <v>686</v>
      </c>
      <c r="K473" s="69">
        <f>IF(J473="syllables",1,IF(J473="trigrams",2,IF(J473="strings",3,IF(J473="visual array",4,IF(J473="characters",5,IF(J473="letters",6,IF(J473="free forms",7,IF(J473="odors",8,IF(J473="words",9,IF(J473="pictures",10,IF(J473="object pictures",11,IF(J473="faces",12,IF(J473="names",13,IF(J473="idioms",14,IF(J473="grades",15,IF(J473="syllable-digit pairs",16,IF(J473="trigram-word pairs",17,IF(J473="word-digit pairs",18,IF(J473="English-Swahili pairs",19,IF(J473="spatial position",20,IF(J473="word pairs",21,IF(J473="word triads",22,IF(J473="generated words",23,IF(J473="word definition pairs",24,IF(J473="math problems",25,IF(J473="famous faces",26,IF(J473="famous names",27,IF(J473="famous voices",28,IF(J473="television programs",29,IF(J473="race horses",30,IF(J473="new vocabulary",31,IF(J473="sentences",32,IF(J473="concepts",33,IF(J473="ad slides",34,IF(J473="scenes",35,IF(J473="famous scenes",36,IF(J473="poems",37,IF(J473="walk",38,IF(J473="faces and events",39,IF(J473="events and names",40,IF(J473="flashbulb",41,IF(J473="stories",42,IF(J473="course material",43,IF(J473="autobiographical",44,IF(J473="novels",45,IF(J473="public events",46,"99"))))))))))))))))))))))))))))))))))))))))))))))</f>
        <v>35</v>
      </c>
      <c r="L473" s="69">
        <f>IF(J473="syllables",1,IF(J473="trigrams",1,IF(J473="strings",1,IF(J473="visual array",1,IF(J473="characters",1,IF(J473="letters",1,IF(J473="free forms",1,IF(J473="odors",2,IF(J473="words",2,IF(J473="pictures",2,IF(J473="object pictures",2,IF(J473="faces",2,IF(J473="names",2,IF(J473="idioms","2",IF(J473="grades",2,IF(J473="syllable-digit pairs",3,IF(J473="trigram-word pairs",3,IF(J473="word-digit pairs",3,IF(J473="English-Swahili pairs",3,IF(J473="spatial position",3,IF(J473="word pairs",4,IF(J473="word triads",4,IF(J473="generated words",4,IF(J473="word definition pairs",4,IF(J473="math problems",4,IF(J473="famous faces",4,IF(J473="famous names",4,IF(J473="famous voices",4,IF(J473="television programs",4,IF(J473="race horses",4,IF(J473="new vocabulary",4,IF(J473="sentences",5,IF(J473="concepts",5,IF(J473="ad slides",5,IF(J473="scenes",5,IF(J473="famous scenes",5,IF(J473="poems",6,IF(J473="walk",6,IF(J473="faces and events",6,IF(J473="events and names",6,IF(J473="flashbulb",7,IF(J473="stories",7,IF(J473="course material",7,IF(J473="autobiographical",7,IF(J473="novels",7,IF(J473="public events",7,"99"))))))))))))))))))))))))))))))))))))))))))))))</f>
        <v>5</v>
      </c>
      <c r="M473" s="69">
        <v>0</v>
      </c>
      <c r="N473" s="86">
        <v>3</v>
      </c>
      <c r="O473" s="69">
        <v>0</v>
      </c>
      <c r="P473" s="69"/>
      <c r="Q473" s="69" t="s">
        <v>174</v>
      </c>
      <c r="R473" s="69">
        <f>IF(Q473="Free Recall",1,IF(Q473="Cued Recall",2,IF(Q473="Recognition",3,IF(Q473="Multiple Choice",4,IF(Q473="Savings",5,IF(Q473="Stem Completion",6,IF(Q473="Fragment Completion",7,IF(Q473="anagram solution",8,IF(Q473="Matching",9,IF(Q473="Problem Solving",10,"99"))))))))))</f>
        <v>1</v>
      </c>
      <c r="S473" s="69" t="s">
        <v>49</v>
      </c>
      <c r="T473" s="92" t="s">
        <v>581</v>
      </c>
      <c r="U473" s="69">
        <f>IF(T473="within",1,0)</f>
        <v>1</v>
      </c>
      <c r="V473" s="92">
        <v>24</v>
      </c>
      <c r="W473" s="69">
        <f>F473*V473</f>
        <v>360</v>
      </c>
      <c r="X473" s="69">
        <v>3</v>
      </c>
      <c r="Y473" s="87">
        <f>AV472</f>
        <v>40</v>
      </c>
      <c r="Z473" s="69" t="s">
        <v>165</v>
      </c>
      <c r="AA473" s="69">
        <f>60*60*24*7*3</f>
        <v>1814400</v>
      </c>
      <c r="AB473" s="69" t="str">
        <f>IF(AA473&lt;60,"1",IF(AA473&lt;=43200,"2",IF(AA473&lt;=777600,"3","4")))</f>
        <v>4</v>
      </c>
      <c r="AC473" s="72">
        <f>AVERAGE(AV472:DA472)</f>
        <v>605413.33333333337</v>
      </c>
      <c r="AD473" s="69" t="str">
        <f>IF(AC473&lt;60,"1",IF(AC473&lt;=43200,"2",IF(AC473&lt;=777600,"3","4")))</f>
        <v>3</v>
      </c>
      <c r="AE473" s="87">
        <f>AA473-Y473</f>
        <v>1814360</v>
      </c>
      <c r="AF473" s="88">
        <f>AV473</f>
        <v>0.98695955070872377</v>
      </c>
      <c r="AG473" s="72">
        <f>((AW473-AV473)+(AX473-AW473))/2</f>
        <v>-7.8181822281041258E-2</v>
      </c>
      <c r="AH473" s="4"/>
      <c r="AI473" s="72">
        <f>RSQ(AV473:AX473,AV472:AX472)</f>
        <v>0.99966817936839747</v>
      </c>
      <c r="AJ473" s="110">
        <f>SLOPE(AV473:AX473,AV472:AX472)</f>
        <v>-8.5285799804815157E-8</v>
      </c>
      <c r="AK473" s="72">
        <f>INTERCEPT(AV473:AX473,AV472:AX472)</f>
        <v>0.98533688242012873</v>
      </c>
      <c r="AL473" s="72">
        <f>INDEX(LINEST(LN(AV473:AX473),LN(AV472:AX472),TRUE,TRUE),3,1)</f>
        <v>0.88865495999214583</v>
      </c>
      <c r="AM473" s="72">
        <f>INDEX(LINEST(LN(AV473:AX473),LN(AV472:AX472)),1)</f>
        <v>-1.7099796840932026E-2</v>
      </c>
      <c r="AN473" s="72">
        <f>EXP(INDEX(LINEST(LN(AV473:AX473),LN(AV472:AX472)),1,2))</f>
        <v>1.0769367287550693</v>
      </c>
      <c r="AO473" s="89">
        <f>INDEX(LINEST((AV473:AX473),LN(AV472:AX472),TRUE,TRUE),3,1)</f>
        <v>0.88962059623727585</v>
      </c>
      <c r="AP473" s="89">
        <f>INDEX(LINEST((AV473:AX473),LN(AV472:AX472)),1)</f>
        <v>-1.5496731446574218E-2</v>
      </c>
      <c r="AQ473" s="90">
        <f>INDEX(LINEST(LN(AV473:AX473),SQRT(AV472:AX472),TRUE,TRUE),3,1)</f>
        <v>0.99996261033441414</v>
      </c>
      <c r="AR473" s="117">
        <f>INDEX(LINEST(LN(AV473:AX473),SQRT((AV472:AX472))),1)</f>
        <v>-1.2908729257264141E-4</v>
      </c>
      <c r="AS473" s="91">
        <f>INDEX(LINEST(1/(AV473:AX473),1/(SQRT(AV472:AX472)),TRUE,TRUE),3,1)</f>
        <v>0.38980694065105215</v>
      </c>
      <c r="AT473" s="91">
        <f>INDEX(LINEST(1/(AV473:AX473),1/SQRT(AV472:AX472)),1)</f>
        <v>-0.80120353021905077</v>
      </c>
      <c r="AU473" s="3"/>
      <c r="AV473" s="73">
        <v>0.98695955070872377</v>
      </c>
      <c r="AW473" s="73">
        <v>0.98355570936752379</v>
      </c>
      <c r="AX473" s="73">
        <v>0.83059590614664125</v>
      </c>
      <c r="AY473" s="53"/>
      <c r="AZ473" s="53"/>
      <c r="BA473" s="53"/>
      <c r="BB473" s="53"/>
      <c r="BC473" s="53"/>
      <c r="BD473" s="53"/>
      <c r="BE473" s="53"/>
      <c r="BF473" s="53"/>
      <c r="BG473" s="53"/>
      <c r="BH473" s="53"/>
      <c r="BI473" s="53"/>
      <c r="BJ473" s="53"/>
      <c r="BK473" s="53"/>
      <c r="BL473" s="53"/>
      <c r="BM473" s="53"/>
      <c r="BN473" s="53"/>
      <c r="BO473" s="53"/>
      <c r="BP473" s="53"/>
      <c r="BQ473" s="53"/>
      <c r="BR473" s="53"/>
      <c r="BS473" s="53"/>
      <c r="BT473" s="53"/>
      <c r="BU473" s="53"/>
      <c r="BV473" s="53"/>
      <c r="BW473" s="53"/>
      <c r="BX473" s="53"/>
      <c r="BY473" s="53"/>
      <c r="BZ473" s="53"/>
      <c r="CA473" s="53"/>
      <c r="CB473" s="53"/>
      <c r="CC473" s="53"/>
      <c r="CD473" s="53"/>
      <c r="CE473" s="53"/>
      <c r="CF473" s="53"/>
      <c r="CG473" s="53"/>
      <c r="CH473" s="53"/>
      <c r="CI473" s="53"/>
      <c r="CJ473" s="53"/>
      <c r="CK473" s="53"/>
      <c r="CL473" s="53"/>
      <c r="CM473" s="53"/>
      <c r="CN473" s="53"/>
      <c r="CO473" s="53"/>
      <c r="CP473" s="53"/>
      <c r="CQ473" s="53"/>
      <c r="CR473" s="16"/>
      <c r="CS473" s="16"/>
      <c r="CT473" s="16"/>
      <c r="CU473" s="16"/>
    </row>
    <row r="474" spans="1:99" s="13" customFormat="1" ht="12" customHeight="1" x14ac:dyDescent="0.2">
      <c r="A474" s="68">
        <v>43979</v>
      </c>
      <c r="B474" s="70"/>
      <c r="C474" s="70"/>
      <c r="D474" s="69"/>
      <c r="E474" s="87"/>
      <c r="F474" s="69"/>
      <c r="G474" s="69"/>
      <c r="H474" s="69"/>
      <c r="I474" s="69"/>
      <c r="J474" s="69"/>
      <c r="K474" s="69"/>
      <c r="L474" s="69"/>
      <c r="M474" s="69"/>
      <c r="N474" s="86"/>
      <c r="O474" s="69"/>
      <c r="P474" s="69"/>
      <c r="Q474" s="69"/>
      <c r="R474" s="69"/>
      <c r="S474" s="69"/>
      <c r="T474" s="92"/>
      <c r="U474" s="69"/>
      <c r="V474" s="92"/>
      <c r="W474" s="69"/>
      <c r="X474" s="69"/>
      <c r="Y474" s="87"/>
      <c r="Z474" s="69"/>
      <c r="AA474" s="69"/>
      <c r="AB474" s="69"/>
      <c r="AC474" s="72"/>
      <c r="AD474" s="69"/>
      <c r="AE474" s="87"/>
      <c r="AF474" s="88"/>
      <c r="AG474" s="72"/>
      <c r="AH474" s="4"/>
      <c r="AI474" s="72"/>
      <c r="AJ474" s="110"/>
      <c r="AK474" s="72"/>
      <c r="AL474" s="72"/>
      <c r="AM474" s="72"/>
      <c r="AN474" s="72"/>
      <c r="AO474" s="89"/>
      <c r="AP474" s="89"/>
      <c r="AQ474" s="90"/>
      <c r="AR474" s="117"/>
      <c r="AS474" s="91"/>
      <c r="AT474" s="91"/>
      <c r="AU474" s="3"/>
      <c r="AV474" s="71">
        <v>40</v>
      </c>
      <c r="AW474" s="71">
        <f>60*30</f>
        <v>1800</v>
      </c>
      <c r="AX474" s="71">
        <f>60*60*24*7*3</f>
        <v>1814400</v>
      </c>
      <c r="AY474" s="53"/>
      <c r="AZ474" s="53"/>
      <c r="BA474" s="53"/>
      <c r="BB474" s="53"/>
      <c r="BC474" s="53"/>
      <c r="BD474" s="53"/>
      <c r="BE474" s="53"/>
      <c r="BF474" s="53"/>
      <c r="BG474" s="53"/>
      <c r="BH474" s="53"/>
      <c r="BI474" s="53"/>
      <c r="BJ474" s="53"/>
      <c r="BK474" s="53"/>
      <c r="BL474" s="53"/>
      <c r="BM474" s="53"/>
      <c r="BN474" s="53"/>
      <c r="BO474" s="53"/>
      <c r="BP474" s="53"/>
      <c r="BQ474" s="53"/>
      <c r="BR474" s="53"/>
      <c r="BS474" s="53"/>
      <c r="BT474" s="53"/>
      <c r="BU474" s="53"/>
      <c r="BV474" s="53"/>
      <c r="BW474" s="53"/>
      <c r="BX474" s="53"/>
      <c r="BY474" s="53"/>
      <c r="BZ474" s="53"/>
      <c r="CA474" s="53"/>
      <c r="CB474" s="53"/>
      <c r="CC474" s="53"/>
      <c r="CD474" s="53"/>
      <c r="CE474" s="53"/>
      <c r="CF474" s="53"/>
      <c r="CG474" s="53"/>
      <c r="CH474" s="53"/>
      <c r="CI474" s="53"/>
      <c r="CJ474" s="53"/>
      <c r="CK474" s="53"/>
      <c r="CL474" s="53"/>
      <c r="CM474" s="53"/>
      <c r="CN474" s="53"/>
      <c r="CO474" s="53"/>
      <c r="CP474" s="53"/>
      <c r="CQ474" s="53"/>
      <c r="CR474" s="16"/>
      <c r="CS474" s="16"/>
      <c r="CT474" s="16"/>
      <c r="CU474" s="16"/>
    </row>
    <row r="475" spans="1:99" s="13" customFormat="1" ht="12" customHeight="1" x14ac:dyDescent="0.2">
      <c r="A475" s="68">
        <v>43979</v>
      </c>
      <c r="B475" s="70" t="s">
        <v>986</v>
      </c>
      <c r="C475" s="70" t="s">
        <v>54</v>
      </c>
      <c r="D475" s="69">
        <v>2011</v>
      </c>
      <c r="E475" s="87">
        <v>1</v>
      </c>
      <c r="F475" s="69">
        <v>10</v>
      </c>
      <c r="G475" s="69">
        <v>10</v>
      </c>
      <c r="H475" s="69" t="s">
        <v>41</v>
      </c>
      <c r="I475" s="69" t="s">
        <v>990</v>
      </c>
      <c r="J475" s="69" t="s">
        <v>686</v>
      </c>
      <c r="K475" s="69">
        <f>IF(J475="syllables",1,IF(J475="trigrams",2,IF(J475="strings",3,IF(J475="visual array",4,IF(J475="characters",5,IF(J475="letters",6,IF(J475="free forms",7,IF(J475="odors",8,IF(J475="words",9,IF(J475="pictures",10,IF(J475="object pictures",11,IF(J475="faces",12,IF(J475="names",13,IF(J475="idioms",14,IF(J475="grades",15,IF(J475="syllable-digit pairs",16,IF(J475="trigram-word pairs",17,IF(J475="word-digit pairs",18,IF(J475="English-Swahili pairs",19,IF(J475="spatial position",20,IF(J475="word pairs",21,IF(J475="word triads",22,IF(J475="generated words",23,IF(J475="word definition pairs",24,IF(J475="math problems",25,IF(J475="famous faces",26,IF(J475="famous names",27,IF(J475="famous voices",28,IF(J475="television programs",29,IF(J475="race horses",30,IF(J475="new vocabulary",31,IF(J475="sentences",32,IF(J475="concepts",33,IF(J475="ad slides",34,IF(J475="scenes",35,IF(J475="famous scenes",36,IF(J475="poems",37,IF(J475="walk",38,IF(J475="faces and events",39,IF(J475="events and names",40,IF(J475="flashbulb",41,IF(J475="stories",42,IF(J475="course material",43,IF(J475="autobiographical",44,IF(J475="novels",45,IF(J475="public events",46,"99"))))))))))))))))))))))))))))))))))))))))))))))</f>
        <v>35</v>
      </c>
      <c r="L475" s="69">
        <f>IF(J475="syllables",1,IF(J475="trigrams",1,IF(J475="strings",1,IF(J475="visual array",1,IF(J475="characters",1,IF(J475="letters",1,IF(J475="free forms",1,IF(J475="odors",2,IF(J475="words",2,IF(J475="pictures",2,IF(J475="object pictures",2,IF(J475="faces",2,IF(J475="names",2,IF(J475="idioms","2",IF(J475="grades",2,IF(J475="syllable-digit pairs",3,IF(J475="trigram-word pairs",3,IF(J475="word-digit pairs",3,IF(J475="English-Swahili pairs",3,IF(J475="spatial position",3,IF(J475="word pairs",4,IF(J475="word triads",4,IF(J475="generated words",4,IF(J475="word definition pairs",4,IF(J475="math problems",4,IF(J475="famous faces",4,IF(J475="famous names",4,IF(J475="famous voices",4,IF(J475="television programs",4,IF(J475="race horses",4,IF(J475="new vocabulary",4,IF(J475="sentences",5,IF(J475="concepts",5,IF(J475="ad slides",5,IF(J475="scenes",5,IF(J475="famous scenes",5,IF(J475="poems",6,IF(J475="walk",6,IF(J475="faces and events",6,IF(J475="events and names",6,IF(J475="flashbulb",7,IF(J475="stories",7,IF(J475="course material",7,IF(J475="autobiographical",7,IF(J475="novels",7,IF(J475="public events",7,"99"))))))))))))))))))))))))))))))))))))))))))))))</f>
        <v>5</v>
      </c>
      <c r="M475" s="69">
        <v>0</v>
      </c>
      <c r="N475" s="86">
        <v>3</v>
      </c>
      <c r="O475" s="69">
        <v>0</v>
      </c>
      <c r="P475" s="69"/>
      <c r="Q475" s="69" t="s">
        <v>174</v>
      </c>
      <c r="R475" s="69">
        <f>IF(Q475="Free Recall",1,IF(Q475="Cued Recall",2,IF(Q475="Recognition",3,IF(Q475="Multiple Choice",4,IF(Q475="Savings",5,IF(Q475="Stem Completion",6,IF(Q475="Fragment Completion",7,IF(Q475="anagram solution",8,IF(Q475="Matching",9,IF(Q475="Problem Solving",10,"99"))))))))))</f>
        <v>1</v>
      </c>
      <c r="S475" s="69" t="s">
        <v>49</v>
      </c>
      <c r="T475" s="92" t="s">
        <v>581</v>
      </c>
      <c r="U475" s="69">
        <f>IF(T475="within",1,0)</f>
        <v>1</v>
      </c>
      <c r="V475" s="92">
        <v>24</v>
      </c>
      <c r="W475" s="69">
        <f>F475*V475</f>
        <v>240</v>
      </c>
      <c r="X475" s="69">
        <v>3</v>
      </c>
      <c r="Y475" s="87">
        <f>AV474</f>
        <v>40</v>
      </c>
      <c r="Z475" s="69" t="s">
        <v>165</v>
      </c>
      <c r="AA475" s="69">
        <f>60*60*24*7*3</f>
        <v>1814400</v>
      </c>
      <c r="AB475" s="69" t="str">
        <f>IF(AA475&lt;60,"1",IF(AA475&lt;=43200,"2",IF(AA475&lt;=777600,"3","4")))</f>
        <v>4</v>
      </c>
      <c r="AC475" s="72">
        <f>AVERAGE(AV474:DA474)</f>
        <v>605413.33333333337</v>
      </c>
      <c r="AD475" s="69" t="str">
        <f>IF(AC475&lt;60,"1",IF(AC475&lt;=43200,"2",IF(AC475&lt;=777600,"3","4")))</f>
        <v>3</v>
      </c>
      <c r="AE475" s="87">
        <f>AA475-Y475</f>
        <v>1814360</v>
      </c>
      <c r="AF475" s="88">
        <f>AV475</f>
        <v>0.969964017017515</v>
      </c>
      <c r="AG475" s="72">
        <f>((AW475-AV475)+(AX475-AW475))/2</f>
        <v>-0.11500350586076252</v>
      </c>
      <c r="AH475" s="4"/>
      <c r="AI475" s="72">
        <f>RSQ(AV475:AX475,AV474:AX474)</f>
        <v>0.99884557521650552</v>
      </c>
      <c r="AJ475" s="110">
        <f>SLOPE(AV475:AX475,AV474:AX474)</f>
        <v>-1.2433463902364323E-7</v>
      </c>
      <c r="AK475" s="72">
        <f>INTERCEPT(AV475:AX475,AV474:AX474)</f>
        <v>0.96554547919554434</v>
      </c>
      <c r="AL475" s="72">
        <f>INDEX(LINEST(LN(AV475:AX475),LN(AV474:AX474),TRUE,TRUE),3,1)</f>
        <v>0.89673896708152878</v>
      </c>
      <c r="AM475" s="72">
        <f>INDEX(LINEST(LN(AV475:AX475),LN(AV474:AX474)),1)</f>
        <v>-2.6763552856926078E-2</v>
      </c>
      <c r="AN475" s="72">
        <f>EXP(INDEX(LINEST(LN(AV475:AX475),LN(AV474:AX474)),1,2))</f>
        <v>1.1101482534550551</v>
      </c>
      <c r="AO475" s="89">
        <f>INDEX(LINEST((AV475:AX475),LN(AV474:AX474),TRUE,TRUE),3,1)</f>
        <v>0.89930646480190712</v>
      </c>
      <c r="AP475" s="89">
        <f>INDEX(LINEST((AV475:AX475),LN(AV474:AX474)),1)</f>
        <v>-2.2724049174646817E-2</v>
      </c>
      <c r="AQ475" s="90">
        <f>INDEX(LINEST(LN(AV475:AX475),SQRT(AV474:AX474),TRUE,TRUE),3,1)</f>
        <v>0.99995173604113086</v>
      </c>
      <c r="AR475" s="117">
        <f>INDEX(LINEST(LN(AV475:AX475),SQRT((AV474:AX474))),1)</f>
        <v>-2.011256724265467E-4</v>
      </c>
      <c r="AS475" s="91">
        <f>INDEX(LINEST(1/(AV475:AX475),1/(SQRT(AV474:AX474)),TRUE,TRUE),3,1)</f>
        <v>0.40020078863247027</v>
      </c>
      <c r="AT475" s="91">
        <f>INDEX(LINEST(1/(AV475:AX475),1/SQRT(AV474:AX474)),1)</f>
        <v>-1.3559813942446997</v>
      </c>
      <c r="AU475" s="3"/>
      <c r="AV475" s="73">
        <v>0.969964017017515</v>
      </c>
      <c r="AW475" s="73">
        <v>0.96089387049282626</v>
      </c>
      <c r="AX475" s="73">
        <v>0.73995700529598996</v>
      </c>
      <c r="AY475" s="53"/>
      <c r="AZ475" s="53"/>
      <c r="BA475" s="53"/>
      <c r="BB475" s="53"/>
      <c r="BC475" s="53"/>
      <c r="BD475" s="53"/>
      <c r="BE475" s="53"/>
      <c r="BF475" s="53"/>
      <c r="BG475" s="53"/>
      <c r="BH475" s="53"/>
      <c r="BI475" s="53"/>
      <c r="BJ475" s="53"/>
      <c r="BK475" s="53"/>
      <c r="BL475" s="53"/>
      <c r="BM475" s="53"/>
      <c r="BN475" s="53"/>
      <c r="BO475" s="53"/>
      <c r="BP475" s="53"/>
      <c r="BQ475" s="53"/>
      <c r="BR475" s="53"/>
      <c r="BS475" s="53"/>
      <c r="BT475" s="53"/>
      <c r="BU475" s="53"/>
      <c r="BV475" s="53"/>
      <c r="BW475" s="53"/>
      <c r="BX475" s="53"/>
      <c r="BY475" s="53"/>
      <c r="BZ475" s="53"/>
      <c r="CA475" s="53"/>
      <c r="CB475" s="53"/>
      <c r="CC475" s="53"/>
      <c r="CD475" s="53"/>
      <c r="CE475" s="53"/>
      <c r="CF475" s="53"/>
      <c r="CG475" s="53"/>
      <c r="CH475" s="53"/>
      <c r="CI475" s="53"/>
      <c r="CJ475" s="53"/>
      <c r="CK475" s="53"/>
      <c r="CL475" s="53"/>
      <c r="CM475" s="53"/>
      <c r="CN475" s="53"/>
      <c r="CO475" s="53"/>
      <c r="CP475" s="53"/>
      <c r="CQ475" s="53"/>
      <c r="CR475" s="16"/>
      <c r="CS475" s="16"/>
      <c r="CT475" s="16"/>
      <c r="CU475" s="16"/>
    </row>
    <row r="476" spans="1:99" s="13" customFormat="1" ht="12" customHeight="1" x14ac:dyDescent="0.2">
      <c r="A476" s="68">
        <v>43979</v>
      </c>
      <c r="B476" s="70"/>
      <c r="C476" s="70"/>
      <c r="D476" s="69"/>
      <c r="E476" s="87"/>
      <c r="F476" s="69"/>
      <c r="G476" s="69"/>
      <c r="H476" s="69"/>
      <c r="I476" s="69"/>
      <c r="J476" s="69"/>
      <c r="K476" s="69"/>
      <c r="L476" s="69"/>
      <c r="M476" s="69"/>
      <c r="N476" s="86"/>
      <c r="O476" s="69"/>
      <c r="P476" s="69"/>
      <c r="Q476" s="69"/>
      <c r="R476" s="69"/>
      <c r="S476" s="69"/>
      <c r="T476" s="92"/>
      <c r="U476" s="69"/>
      <c r="V476" s="92"/>
      <c r="W476" s="69"/>
      <c r="X476" s="69"/>
      <c r="Y476" s="87"/>
      <c r="Z476" s="69"/>
      <c r="AA476" s="69"/>
      <c r="AB476" s="69"/>
      <c r="AC476" s="72"/>
      <c r="AD476" s="69"/>
      <c r="AE476" s="87"/>
      <c r="AF476" s="88"/>
      <c r="AG476" s="72"/>
      <c r="AH476" s="4"/>
      <c r="AI476" s="72"/>
      <c r="AJ476" s="110"/>
      <c r="AK476" s="72"/>
      <c r="AL476" s="72"/>
      <c r="AM476" s="72"/>
      <c r="AN476" s="72"/>
      <c r="AO476" s="89"/>
      <c r="AP476" s="89"/>
      <c r="AQ476" s="90"/>
      <c r="AR476" s="117"/>
      <c r="AS476" s="91"/>
      <c r="AT476" s="91"/>
      <c r="AU476" s="3"/>
      <c r="AV476" s="71">
        <v>40</v>
      </c>
      <c r="AW476" s="71">
        <f>60*30</f>
        <v>1800</v>
      </c>
      <c r="AX476" s="71">
        <f>60*60*24*7*3</f>
        <v>1814400</v>
      </c>
      <c r="AY476" s="53"/>
      <c r="AZ476" s="53"/>
      <c r="BA476" s="53"/>
      <c r="BB476" s="53"/>
      <c r="BC476" s="53"/>
      <c r="BD476" s="53"/>
      <c r="BE476" s="53"/>
      <c r="BF476" s="53"/>
      <c r="BG476" s="53"/>
      <c r="BH476" s="53"/>
      <c r="BI476" s="53"/>
      <c r="BJ476" s="53"/>
      <c r="BK476" s="53"/>
      <c r="BL476" s="53"/>
      <c r="BM476" s="53"/>
      <c r="BN476" s="53"/>
      <c r="BO476" s="53"/>
      <c r="BP476" s="53"/>
      <c r="BQ476" s="53"/>
      <c r="BR476" s="53"/>
      <c r="BS476" s="53"/>
      <c r="BT476" s="53"/>
      <c r="BU476" s="53"/>
      <c r="BV476" s="53"/>
      <c r="BW476" s="53"/>
      <c r="BX476" s="53"/>
      <c r="BY476" s="53"/>
      <c r="BZ476" s="53"/>
      <c r="CA476" s="53"/>
      <c r="CB476" s="53"/>
      <c r="CC476" s="53"/>
      <c r="CD476" s="53"/>
      <c r="CE476" s="53"/>
      <c r="CF476" s="53"/>
      <c r="CG476" s="53"/>
      <c r="CH476" s="53"/>
      <c r="CI476" s="53"/>
      <c r="CJ476" s="53"/>
      <c r="CK476" s="53"/>
      <c r="CL476" s="53"/>
      <c r="CM476" s="53"/>
      <c r="CN476" s="53"/>
      <c r="CO476" s="53"/>
      <c r="CP476" s="53"/>
      <c r="CQ476" s="53"/>
      <c r="CR476" s="16"/>
      <c r="CS476" s="16"/>
      <c r="CT476" s="16"/>
      <c r="CU476" s="16"/>
    </row>
    <row r="477" spans="1:99" s="13" customFormat="1" ht="12" customHeight="1" x14ac:dyDescent="0.2">
      <c r="A477" s="68">
        <v>43979</v>
      </c>
      <c r="B477" s="70" t="s">
        <v>986</v>
      </c>
      <c r="C477" s="70" t="s">
        <v>54</v>
      </c>
      <c r="D477" s="69">
        <v>2011</v>
      </c>
      <c r="E477" s="87">
        <v>1</v>
      </c>
      <c r="F477" s="69">
        <v>15</v>
      </c>
      <c r="G477" s="69">
        <v>15</v>
      </c>
      <c r="H477" s="69" t="s">
        <v>41</v>
      </c>
      <c r="I477" s="69" t="s">
        <v>991</v>
      </c>
      <c r="J477" s="69" t="s">
        <v>686</v>
      </c>
      <c r="K477" s="69">
        <f>IF(J477="syllables",1,IF(J477="trigrams",2,IF(J477="strings",3,IF(J477="visual array",4,IF(J477="characters",5,IF(J477="letters",6,IF(J477="free forms",7,IF(J477="odors",8,IF(J477="words",9,IF(J477="pictures",10,IF(J477="object pictures",11,IF(J477="faces",12,IF(J477="names",13,IF(J477="idioms",14,IF(J477="grades",15,IF(J477="syllable-digit pairs",16,IF(J477="trigram-word pairs",17,IF(J477="word-digit pairs",18,IF(J477="English-Swahili pairs",19,IF(J477="spatial position",20,IF(J477="word pairs",21,IF(J477="word triads",22,IF(J477="generated words",23,IF(J477="word definition pairs",24,IF(J477="math problems",25,IF(J477="famous faces",26,IF(J477="famous names",27,IF(J477="famous voices",28,IF(J477="television programs",29,IF(J477="race horses",30,IF(J477="new vocabulary",31,IF(J477="sentences",32,IF(J477="concepts",33,IF(J477="ad slides",34,IF(J477="scenes",35,IF(J477="famous scenes",36,IF(J477="poems",37,IF(J477="walk",38,IF(J477="faces and events",39,IF(J477="events and names",40,IF(J477="flashbulb",41,IF(J477="stories",42,IF(J477="course material",43,IF(J477="autobiographical",44,IF(J477="novels",45,IF(J477="public events",46,"99"))))))))))))))))))))))))))))))))))))))))))))))</f>
        <v>35</v>
      </c>
      <c r="L477" s="69">
        <f>IF(J477="syllables",1,IF(J477="trigrams",1,IF(J477="strings",1,IF(J477="visual array",1,IF(J477="characters",1,IF(J477="letters",1,IF(J477="free forms",1,IF(J477="odors",2,IF(J477="words",2,IF(J477="pictures",2,IF(J477="object pictures",2,IF(J477="faces",2,IF(J477="names",2,IF(J477="idioms","2",IF(J477="grades",2,IF(J477="syllable-digit pairs",3,IF(J477="trigram-word pairs",3,IF(J477="word-digit pairs",3,IF(J477="English-Swahili pairs",3,IF(J477="spatial position",3,IF(J477="word pairs",4,IF(J477="word triads",4,IF(J477="generated words",4,IF(J477="word definition pairs",4,IF(J477="math problems",4,IF(J477="famous faces",4,IF(J477="famous names",4,IF(J477="famous voices",4,IF(J477="television programs",4,IF(J477="race horses",4,IF(J477="new vocabulary",4,IF(J477="sentences",5,IF(J477="concepts",5,IF(J477="ad slides",5,IF(J477="scenes",5,IF(J477="famous scenes",5,IF(J477="poems",6,IF(J477="walk",6,IF(J477="faces and events",6,IF(J477="events and names",6,IF(J477="flashbulb",7,IF(J477="stories",7,IF(J477="course material",7,IF(J477="autobiographical",7,IF(J477="novels",7,IF(J477="public events",7,"99"))))))))))))))))))))))))))))))))))))))))))))))</f>
        <v>5</v>
      </c>
      <c r="M477" s="69">
        <v>0</v>
      </c>
      <c r="N477" s="86">
        <v>3</v>
      </c>
      <c r="O477" s="69">
        <v>0</v>
      </c>
      <c r="P477" s="69"/>
      <c r="Q477" s="69" t="s">
        <v>174</v>
      </c>
      <c r="R477" s="69">
        <f>IF(Q477="Free Recall",1,IF(Q477="Cued Recall",2,IF(Q477="Recognition",3,IF(Q477="Multiple Choice",4,IF(Q477="Savings",5,IF(Q477="Stem Completion",6,IF(Q477="Fragment Completion",7,IF(Q477="anagram solution",8,IF(Q477="Matching",9,IF(Q477="Problem Solving",10,"99"))))))))))</f>
        <v>1</v>
      </c>
      <c r="S477" s="69" t="s">
        <v>49</v>
      </c>
      <c r="T477" s="92" t="s">
        <v>581</v>
      </c>
      <c r="U477" s="69">
        <f>IF(T477="within",1,0)</f>
        <v>1</v>
      </c>
      <c r="V477" s="92">
        <f>60*3</f>
        <v>180</v>
      </c>
      <c r="W477" s="69">
        <f>F477*V477</f>
        <v>2700</v>
      </c>
      <c r="X477" s="69">
        <v>3</v>
      </c>
      <c r="Y477" s="87">
        <f>AV476</f>
        <v>40</v>
      </c>
      <c r="Z477" s="69" t="s">
        <v>165</v>
      </c>
      <c r="AA477" s="69">
        <f>60*60*24*7*3</f>
        <v>1814400</v>
      </c>
      <c r="AB477" s="69" t="str">
        <f>IF(AA477&lt;60,"1",IF(AA477&lt;=43200,"2",IF(AA477&lt;=777600,"3","4")))</f>
        <v>4</v>
      </c>
      <c r="AC477" s="72">
        <f>AVERAGE(AV476:DA476)</f>
        <v>605413.33333333337</v>
      </c>
      <c r="AD477" s="69" t="str">
        <f>IF(AC477&lt;60,"1",IF(AC477&lt;=43200,"2",IF(AC477&lt;=777600,"3","4")))</f>
        <v>3</v>
      </c>
      <c r="AE477" s="87">
        <f>AA477-Y477</f>
        <v>1814360</v>
      </c>
      <c r="AF477" s="88">
        <f>AV477</f>
        <v>0.90106382978723398</v>
      </c>
      <c r="AG477" s="72">
        <f>((AW477-AV477)+(AX477-AW477))/2</f>
        <v>-8.5106382978724637E-3</v>
      </c>
      <c r="AH477" s="4"/>
      <c r="AI477" s="72">
        <f>RSQ(AV477:AX477,AV476:AX476)</f>
        <v>0.96397310898932853</v>
      </c>
      <c r="AJ477" s="110">
        <f>SLOPE(AV477:AX477,AV476:AX476)</f>
        <v>-1.0557505610083529E-8</v>
      </c>
      <c r="AK477" s="72">
        <f>INTERCEPT(AV477:AX477,AV476:AX476)</f>
        <v>0.90320016530138358</v>
      </c>
      <c r="AL477" s="72">
        <f>INDEX(LINEST(LN(AV477:AX477),LN(AV476:AX476),TRUE,TRUE),3,1)</f>
        <v>0.73044146743931315</v>
      </c>
      <c r="AM477" s="72">
        <f>INDEX(LINEST(LN(AV477:AX477),LN(AV476:AX476)),1)</f>
        <v>-1.9799636788292896E-3</v>
      </c>
      <c r="AN477" s="72">
        <f>EXP(INDEX(LINEST(LN(AV477:AX477),LN(AV476:AX476)),1,2))</f>
        <v>0.91203872713661449</v>
      </c>
      <c r="AO477" s="89">
        <f>INDEX(LINEST((AV477:AX477),LN(AV476:AX476),TRUE,TRUE),3,1)</f>
        <v>0.72870838260849469</v>
      </c>
      <c r="AP477" s="89">
        <f>INDEX(LINEST((AV477:AX477),LN(AV476:AX476)),1)</f>
        <v>-1.768050412887199E-3</v>
      </c>
      <c r="AQ477" s="90">
        <f>INDEX(LINEST(LN(AV477:AX477),SQRT(AV476:AX476),TRUE,TRUE),3,1)</f>
        <v>0.95580381514663704</v>
      </c>
      <c r="AR477" s="117">
        <f>INDEX(LINEST(LN(AV477:AX477),SQRT((AV476:AX476))),1)</f>
        <v>-1.6118185087166273E-5</v>
      </c>
      <c r="AS477" s="91">
        <f>INDEX(LINEST(1/(AV477:AX477),1/(SQRT(AV476:AX476)),TRUE,TRUE),3,1)</f>
        <v>0.20671575335629136</v>
      </c>
      <c r="AT477" s="91">
        <f>INDEX(LINEST(1/(AV477:AX477),1/SQRT(AV476:AX476)),1)</f>
        <v>-7.5312714167434597E-2</v>
      </c>
      <c r="AU477" s="3"/>
      <c r="AV477" s="73">
        <v>0.90106382978723398</v>
      </c>
      <c r="AW477" s="73">
        <v>0.90531914893617005</v>
      </c>
      <c r="AX477" s="73">
        <v>0.88404255319148906</v>
      </c>
      <c r="AY477" s="53"/>
      <c r="AZ477" s="53"/>
      <c r="BA477" s="53"/>
      <c r="BB477" s="53"/>
      <c r="BC477" s="53"/>
      <c r="BD477" s="53"/>
      <c r="BE477" s="53"/>
      <c r="BF477" s="53"/>
      <c r="BG477" s="53"/>
      <c r="BH477" s="53"/>
      <c r="BI477" s="53"/>
      <c r="BJ477" s="53"/>
      <c r="BK477" s="53"/>
      <c r="BL477" s="53"/>
      <c r="BM477" s="53"/>
      <c r="BN477" s="53"/>
      <c r="BO477" s="53"/>
      <c r="BP477" s="53"/>
      <c r="BQ477" s="53"/>
      <c r="BR477" s="53"/>
      <c r="BS477" s="53"/>
      <c r="BT477" s="53"/>
      <c r="BU477" s="53"/>
      <c r="BV477" s="53"/>
      <c r="BW477" s="53"/>
      <c r="BX477" s="53"/>
      <c r="BY477" s="53"/>
      <c r="BZ477" s="53"/>
      <c r="CA477" s="53"/>
      <c r="CB477" s="53"/>
      <c r="CC477" s="53"/>
      <c r="CD477" s="53"/>
      <c r="CE477" s="53"/>
      <c r="CF477" s="53"/>
      <c r="CG477" s="53"/>
      <c r="CH477" s="53"/>
      <c r="CI477" s="53"/>
      <c r="CJ477" s="53"/>
      <c r="CK477" s="53"/>
      <c r="CL477" s="53"/>
      <c r="CM477" s="53"/>
      <c r="CN477" s="53"/>
      <c r="CO477" s="53"/>
      <c r="CP477" s="53"/>
      <c r="CQ477" s="53"/>
      <c r="CR477" s="16"/>
      <c r="CS477" s="16"/>
      <c r="CT477" s="16"/>
      <c r="CU477" s="16"/>
    </row>
    <row r="478" spans="1:99" s="13" customFormat="1" ht="12" customHeight="1" x14ac:dyDescent="0.2">
      <c r="A478" s="68">
        <v>43979</v>
      </c>
      <c r="B478" s="70"/>
      <c r="C478" s="70"/>
      <c r="D478" s="69"/>
      <c r="E478" s="87"/>
      <c r="F478" s="69"/>
      <c r="G478" s="69"/>
      <c r="H478" s="69"/>
      <c r="I478" s="69"/>
      <c r="J478" s="69"/>
      <c r="K478" s="69"/>
      <c r="L478" s="69"/>
      <c r="M478" s="69"/>
      <c r="N478" s="86"/>
      <c r="O478" s="69"/>
      <c r="P478" s="69"/>
      <c r="Q478" s="69"/>
      <c r="R478" s="69"/>
      <c r="S478" s="69"/>
      <c r="T478" s="92"/>
      <c r="U478" s="69"/>
      <c r="V478" s="92"/>
      <c r="W478" s="69"/>
      <c r="X478" s="69"/>
      <c r="Y478" s="87"/>
      <c r="Z478" s="69"/>
      <c r="AA478" s="69"/>
      <c r="AB478" s="69"/>
      <c r="AC478" s="72"/>
      <c r="AD478" s="69"/>
      <c r="AE478" s="87"/>
      <c r="AF478" s="88"/>
      <c r="AG478" s="72"/>
      <c r="AH478" s="4"/>
      <c r="AI478" s="72"/>
      <c r="AJ478" s="110"/>
      <c r="AK478" s="72"/>
      <c r="AL478" s="72"/>
      <c r="AM478" s="72"/>
      <c r="AN478" s="72"/>
      <c r="AO478" s="89"/>
      <c r="AP478" s="89"/>
      <c r="AQ478" s="90"/>
      <c r="AR478" s="117"/>
      <c r="AS478" s="91"/>
      <c r="AT478" s="91"/>
      <c r="AU478" s="3"/>
      <c r="AV478" s="71">
        <v>40</v>
      </c>
      <c r="AW478" s="71">
        <f>60*30</f>
        <v>1800</v>
      </c>
      <c r="AX478" s="71">
        <f>60*60*24*7*3</f>
        <v>1814400</v>
      </c>
      <c r="AY478" s="53"/>
      <c r="AZ478" s="53"/>
      <c r="BA478" s="53"/>
      <c r="BB478" s="53"/>
      <c r="BC478" s="53"/>
      <c r="BD478" s="53"/>
      <c r="BE478" s="53"/>
      <c r="BF478" s="53"/>
      <c r="BG478" s="53"/>
      <c r="BH478" s="53"/>
      <c r="BI478" s="53"/>
      <c r="BJ478" s="53"/>
      <c r="BK478" s="53"/>
      <c r="BL478" s="53"/>
      <c r="BM478" s="53"/>
      <c r="BN478" s="53"/>
      <c r="BO478" s="53"/>
      <c r="BP478" s="53"/>
      <c r="BQ478" s="53"/>
      <c r="BR478" s="53"/>
      <c r="BS478" s="53"/>
      <c r="BT478" s="53"/>
      <c r="BU478" s="53"/>
      <c r="BV478" s="53"/>
      <c r="BW478" s="53"/>
      <c r="BX478" s="53"/>
      <c r="BY478" s="53"/>
      <c r="BZ478" s="53"/>
      <c r="CA478" s="53"/>
      <c r="CB478" s="53"/>
      <c r="CC478" s="53"/>
      <c r="CD478" s="53"/>
      <c r="CE478" s="53"/>
      <c r="CF478" s="53"/>
      <c r="CG478" s="53"/>
      <c r="CH478" s="53"/>
      <c r="CI478" s="53"/>
      <c r="CJ478" s="53"/>
      <c r="CK478" s="53"/>
      <c r="CL478" s="53"/>
      <c r="CM478" s="53"/>
      <c r="CN478" s="53"/>
      <c r="CO478" s="53"/>
      <c r="CP478" s="53"/>
      <c r="CQ478" s="53"/>
      <c r="CR478" s="16"/>
      <c r="CS478" s="16"/>
      <c r="CT478" s="16"/>
      <c r="CU478" s="16"/>
    </row>
    <row r="479" spans="1:99" s="13" customFormat="1" ht="12" customHeight="1" x14ac:dyDescent="0.2">
      <c r="A479" s="68">
        <v>43979</v>
      </c>
      <c r="B479" s="70" t="s">
        <v>986</v>
      </c>
      <c r="C479" s="70" t="s">
        <v>54</v>
      </c>
      <c r="D479" s="69">
        <v>2011</v>
      </c>
      <c r="E479" s="87">
        <v>1</v>
      </c>
      <c r="F479" s="69">
        <v>10</v>
      </c>
      <c r="G479" s="69">
        <v>10</v>
      </c>
      <c r="H479" s="69" t="s">
        <v>41</v>
      </c>
      <c r="I479" s="69" t="s">
        <v>992</v>
      </c>
      <c r="J479" s="69" t="s">
        <v>686</v>
      </c>
      <c r="K479" s="69">
        <f>IF(J479="syllables",1,IF(J479="trigrams",2,IF(J479="strings",3,IF(J479="visual array",4,IF(J479="characters",5,IF(J479="letters",6,IF(J479="free forms",7,IF(J479="odors",8,IF(J479="words",9,IF(J479="pictures",10,IF(J479="object pictures",11,IF(J479="faces",12,IF(J479="names",13,IF(J479="idioms",14,IF(J479="grades",15,IF(J479="syllable-digit pairs",16,IF(J479="trigram-word pairs",17,IF(J479="word-digit pairs",18,IF(J479="English-Swahili pairs",19,IF(J479="spatial position",20,IF(J479="word pairs",21,IF(J479="word triads",22,IF(J479="generated words",23,IF(J479="word definition pairs",24,IF(J479="math problems",25,IF(J479="famous faces",26,IF(J479="famous names",27,IF(J479="famous voices",28,IF(J479="television programs",29,IF(J479="race horses",30,IF(J479="new vocabulary",31,IF(J479="sentences",32,IF(J479="concepts",33,IF(J479="ad slides",34,IF(J479="scenes",35,IF(J479="famous scenes",36,IF(J479="poems",37,IF(J479="walk",38,IF(J479="faces and events",39,IF(J479="events and names",40,IF(J479="flashbulb",41,IF(J479="stories",42,IF(J479="course material",43,IF(J479="autobiographical",44,IF(J479="novels",45,IF(J479="public events",46,"99"))))))))))))))))))))))))))))))))))))))))))))))</f>
        <v>35</v>
      </c>
      <c r="L479" s="69">
        <f>IF(J479="syllables",1,IF(J479="trigrams",1,IF(J479="strings",1,IF(J479="visual array",1,IF(J479="characters",1,IF(J479="letters",1,IF(J479="free forms",1,IF(J479="odors",2,IF(J479="words",2,IF(J479="pictures",2,IF(J479="object pictures",2,IF(J479="faces",2,IF(J479="names",2,IF(J479="idioms","2",IF(J479="grades",2,IF(J479="syllable-digit pairs",3,IF(J479="trigram-word pairs",3,IF(J479="word-digit pairs",3,IF(J479="English-Swahili pairs",3,IF(J479="spatial position",3,IF(J479="word pairs",4,IF(J479="word triads",4,IF(J479="generated words",4,IF(J479="word definition pairs",4,IF(J479="math problems",4,IF(J479="famous faces",4,IF(J479="famous names",4,IF(J479="famous voices",4,IF(J479="television programs",4,IF(J479="race horses",4,IF(J479="new vocabulary",4,IF(J479="sentences",5,IF(J479="concepts",5,IF(J479="ad slides",5,IF(J479="scenes",5,IF(J479="famous scenes",5,IF(J479="poems",6,IF(J479="walk",6,IF(J479="faces and events",6,IF(J479="events and names",6,IF(J479="flashbulb",7,IF(J479="stories",7,IF(J479="course material",7,IF(J479="autobiographical",7,IF(J479="novels",7,IF(J479="public events",7,"99"))))))))))))))))))))))))))))))))))))))))))))))</f>
        <v>5</v>
      </c>
      <c r="M479" s="69">
        <v>0</v>
      </c>
      <c r="N479" s="86">
        <v>3</v>
      </c>
      <c r="O479" s="69">
        <v>0</v>
      </c>
      <c r="P479" s="69"/>
      <c r="Q479" s="69" t="s">
        <v>174</v>
      </c>
      <c r="R479" s="69">
        <f>IF(Q479="Free Recall",1,IF(Q479="Cued Recall",2,IF(Q479="Recognition",3,IF(Q479="Multiple Choice",4,IF(Q479="Savings",5,IF(Q479="Stem Completion",6,IF(Q479="Fragment Completion",7,IF(Q479="anagram solution",8,IF(Q479="Matching",9,IF(Q479="Problem Solving",10,"99"))))))))))</f>
        <v>1</v>
      </c>
      <c r="S479" s="69" t="s">
        <v>49</v>
      </c>
      <c r="T479" s="92" t="s">
        <v>581</v>
      </c>
      <c r="U479" s="69">
        <f>IF(T479="within",1,0)</f>
        <v>1</v>
      </c>
      <c r="V479" s="92">
        <f>60*3</f>
        <v>180</v>
      </c>
      <c r="W479" s="69">
        <f>F479*V479</f>
        <v>1800</v>
      </c>
      <c r="X479" s="69">
        <v>3</v>
      </c>
      <c r="Y479" s="87">
        <f>AV478</f>
        <v>40</v>
      </c>
      <c r="Z479" s="69" t="s">
        <v>165</v>
      </c>
      <c r="AA479" s="69">
        <f>60*60*24*7*3</f>
        <v>1814400</v>
      </c>
      <c r="AB479" s="69" t="str">
        <f>IF(AA479&lt;60,"1",IF(AA479&lt;=43200,"2",IF(AA479&lt;=777600,"3","4")))</f>
        <v>4</v>
      </c>
      <c r="AC479" s="72">
        <f>AVERAGE(AV478:DA478)</f>
        <v>605413.33333333337</v>
      </c>
      <c r="AD479" s="69" t="str">
        <f>IF(AC479&lt;60,"1",IF(AC479&lt;=43200,"2",IF(AC479&lt;=777600,"3","4")))</f>
        <v>3</v>
      </c>
      <c r="AE479" s="87">
        <f>AA479-Y479</f>
        <v>1814360</v>
      </c>
      <c r="AF479" s="88">
        <f>AV479</f>
        <v>0.90106382978723398</v>
      </c>
      <c r="AG479" s="72">
        <f>((AW479-AV479)+(AX479-AW479))/2</f>
        <v>-6.3829787234044866E-3</v>
      </c>
      <c r="AH479" s="4"/>
      <c r="AI479" s="72">
        <f>RSQ(AV479:AX479,AV478:AX478)</f>
        <v>0.89233667225183044</v>
      </c>
      <c r="AJ479" s="110">
        <f>SLOPE(AV479:AX479,AV478:AX478)</f>
        <v>-8.7967826951134003E-9</v>
      </c>
      <c r="AK479" s="72">
        <f>INTERCEPT(AV479:AX479,AV478:AX478)</f>
        <v>0.90426185974682316</v>
      </c>
      <c r="AL479" s="72">
        <f>INDEX(LINEST(LN(AV479:AX479),LN(AV478:AX478),TRUE,TRUE),3,1)</f>
        <v>0.59622340073218894</v>
      </c>
      <c r="AM479" s="72">
        <f>INDEX(LINEST(LN(AV479:AX479),LN(AV478:AX478)),1)</f>
        <v>-1.5433919466815139E-3</v>
      </c>
      <c r="AN479" s="72">
        <f>EXP(INDEX(LINEST(LN(AV479:AX479),LN(AV478:AX478)),1,2))</f>
        <v>0.91081589434018417</v>
      </c>
      <c r="AO479" s="89">
        <f>INDEX(LINEST((AV479:AX479),LN(AV478:AX478),TRUE,TRUE),3,1)</f>
        <v>0.59364025208041737</v>
      </c>
      <c r="AP479" s="89">
        <f>INDEX(LINEST((AV479:AX479),LN(AV478:AX478)),1)</f>
        <v>-1.3820064291961945E-3</v>
      </c>
      <c r="AQ479" s="90">
        <f>INDEX(LINEST(LN(AV479:AX479),SQRT(AV478:AX478),TRUE,TRUE),3,1)</f>
        <v>0.87952195280929257</v>
      </c>
      <c r="AR479" s="117">
        <f>INDEX(LINEST(LN(AV479:AX479),SQRT((AV478:AX478))),1)</f>
        <v>-1.3340199008528806E-5</v>
      </c>
      <c r="AS479" s="91">
        <f>INDEX(LINEST(1/(AV479:AX479),1/(SQRT(AV478:AX478)),TRUE,TRUE),3,1)</f>
        <v>0.10500762682904399</v>
      </c>
      <c r="AT479" s="91">
        <f>INDEX(LINEST(1/(AV479:AX479),1/SQRT(AV478:AX478)),1)</f>
        <v>-4.613962106834938E-2</v>
      </c>
      <c r="AU479" s="3"/>
      <c r="AV479" s="73">
        <v>0.90106382978723398</v>
      </c>
      <c r="AW479" s="73">
        <v>0.90744680851063808</v>
      </c>
      <c r="AX479" s="73">
        <v>0.88829787234042501</v>
      </c>
      <c r="AY479" s="53"/>
      <c r="AZ479" s="53"/>
      <c r="BA479" s="53"/>
      <c r="BB479" s="53"/>
      <c r="BC479" s="53"/>
      <c r="BD479" s="53"/>
      <c r="BE479" s="53"/>
      <c r="BF479" s="53"/>
      <c r="BG479" s="53"/>
      <c r="BH479" s="53"/>
      <c r="BI479" s="53"/>
      <c r="BJ479" s="53"/>
      <c r="BK479" s="53"/>
      <c r="BL479" s="53"/>
      <c r="BM479" s="53"/>
      <c r="BN479" s="53"/>
      <c r="BO479" s="53"/>
      <c r="BP479" s="53"/>
      <c r="BQ479" s="53"/>
      <c r="BR479" s="53"/>
      <c r="BS479" s="53"/>
      <c r="BT479" s="53"/>
      <c r="BU479" s="53"/>
      <c r="BV479" s="53"/>
      <c r="BW479" s="53"/>
      <c r="BX479" s="53"/>
      <c r="BY479" s="53"/>
      <c r="BZ479" s="53"/>
      <c r="CA479" s="53"/>
      <c r="CB479" s="53"/>
      <c r="CC479" s="53"/>
      <c r="CD479" s="53"/>
      <c r="CE479" s="53"/>
      <c r="CF479" s="53"/>
      <c r="CG479" s="53"/>
      <c r="CH479" s="53"/>
      <c r="CI479" s="53"/>
      <c r="CJ479" s="53"/>
      <c r="CK479" s="53"/>
      <c r="CL479" s="53"/>
      <c r="CM479" s="53"/>
      <c r="CN479" s="53"/>
      <c r="CO479" s="53"/>
      <c r="CP479" s="53"/>
      <c r="CQ479" s="53"/>
      <c r="CR479" s="16"/>
      <c r="CS479" s="16"/>
      <c r="CT479" s="16"/>
      <c r="CU479" s="16"/>
    </row>
    <row r="480" spans="1:99" s="13" customFormat="1" ht="12" customHeight="1" x14ac:dyDescent="0.2">
      <c r="A480" s="68">
        <v>43979</v>
      </c>
      <c r="B480" s="70"/>
      <c r="C480" s="70"/>
      <c r="D480" s="69"/>
      <c r="E480" s="87"/>
      <c r="F480" s="69"/>
      <c r="G480" s="69"/>
      <c r="H480" s="69"/>
      <c r="I480" s="69"/>
      <c r="J480" s="69"/>
      <c r="K480" s="69"/>
      <c r="L480" s="69"/>
      <c r="M480" s="69"/>
      <c r="N480" s="86"/>
      <c r="O480" s="69"/>
      <c r="P480" s="69"/>
      <c r="Q480" s="69"/>
      <c r="R480" s="69"/>
      <c r="S480" s="69"/>
      <c r="T480" s="92"/>
      <c r="U480" s="69"/>
      <c r="V480" s="92"/>
      <c r="W480" s="69"/>
      <c r="X480" s="69"/>
      <c r="Y480" s="87"/>
      <c r="Z480" s="69"/>
      <c r="AA480" s="69"/>
      <c r="AB480" s="69"/>
      <c r="AC480" s="72"/>
      <c r="AD480" s="69"/>
      <c r="AE480" s="87"/>
      <c r="AF480" s="88"/>
      <c r="AG480" s="72"/>
      <c r="AH480" s="4"/>
      <c r="AI480" s="72"/>
      <c r="AJ480" s="110"/>
      <c r="AK480" s="72"/>
      <c r="AL480" s="72"/>
      <c r="AM480" s="72"/>
      <c r="AN480" s="72"/>
      <c r="AO480" s="89"/>
      <c r="AP480" s="89"/>
      <c r="AQ480" s="90"/>
      <c r="AR480" s="117"/>
      <c r="AS480" s="91"/>
      <c r="AT480" s="91"/>
      <c r="AU480" s="3"/>
      <c r="AV480" s="71">
        <v>40</v>
      </c>
      <c r="AW480" s="71">
        <f>60*30</f>
        <v>1800</v>
      </c>
      <c r="AX480" s="71">
        <f>60*60*24*7*3</f>
        <v>1814400</v>
      </c>
      <c r="AY480" s="53"/>
      <c r="AZ480" s="53"/>
      <c r="BA480" s="53"/>
      <c r="BB480" s="53"/>
      <c r="BC480" s="53"/>
      <c r="BD480" s="53"/>
      <c r="BE480" s="53"/>
      <c r="BF480" s="53"/>
      <c r="BG480" s="53"/>
      <c r="BH480" s="53"/>
      <c r="BI480" s="53"/>
      <c r="BJ480" s="53"/>
      <c r="BK480" s="53"/>
      <c r="BL480" s="53"/>
      <c r="BM480" s="53"/>
      <c r="BN480" s="53"/>
      <c r="BO480" s="53"/>
      <c r="BP480" s="53"/>
      <c r="BQ480" s="53"/>
      <c r="BR480" s="53"/>
      <c r="BS480" s="53"/>
      <c r="BT480" s="53"/>
      <c r="BU480" s="53"/>
      <c r="BV480" s="53"/>
      <c r="BW480" s="53"/>
      <c r="BX480" s="53"/>
      <c r="BY480" s="53"/>
      <c r="BZ480" s="53"/>
      <c r="CA480" s="53"/>
      <c r="CB480" s="53"/>
      <c r="CC480" s="53"/>
      <c r="CD480" s="53"/>
      <c r="CE480" s="53"/>
      <c r="CF480" s="53"/>
      <c r="CG480" s="53"/>
      <c r="CH480" s="53"/>
      <c r="CI480" s="53"/>
      <c r="CJ480" s="53"/>
      <c r="CK480" s="53"/>
      <c r="CL480" s="53"/>
      <c r="CM480" s="53"/>
      <c r="CN480" s="53"/>
      <c r="CO480" s="53"/>
      <c r="CP480" s="53"/>
      <c r="CQ480" s="53"/>
      <c r="CR480" s="16"/>
      <c r="CS480" s="16"/>
      <c r="CT480" s="16"/>
      <c r="CU480" s="16"/>
    </row>
    <row r="481" spans="1:99" s="13" customFormat="1" ht="12" customHeight="1" x14ac:dyDescent="0.2">
      <c r="A481" s="68">
        <v>43979</v>
      </c>
      <c r="B481" s="70" t="s">
        <v>986</v>
      </c>
      <c r="C481" s="70" t="s">
        <v>54</v>
      </c>
      <c r="D481" s="69">
        <v>2011</v>
      </c>
      <c r="E481" s="87">
        <v>1</v>
      </c>
      <c r="F481" s="69">
        <v>15</v>
      </c>
      <c r="G481" s="69">
        <v>15</v>
      </c>
      <c r="H481" s="69" t="s">
        <v>32</v>
      </c>
      <c r="I481" s="69" t="s">
        <v>994</v>
      </c>
      <c r="J481" s="69" t="s">
        <v>686</v>
      </c>
      <c r="K481" s="69">
        <f>IF(J481="syllables",1,IF(J481="trigrams",2,IF(J481="strings",3,IF(J481="visual array",4,IF(J481="characters",5,IF(J481="letters",6,IF(J481="free forms",7,IF(J481="odors",8,IF(J481="words",9,IF(J481="pictures",10,IF(J481="object pictures",11,IF(J481="faces",12,IF(J481="names",13,IF(J481="idioms",14,IF(J481="grades",15,IF(J481="syllable-digit pairs",16,IF(J481="trigram-word pairs",17,IF(J481="word-digit pairs",18,IF(J481="English-Swahili pairs",19,IF(J481="spatial position",20,IF(J481="word pairs",21,IF(J481="word triads",22,IF(J481="generated words",23,IF(J481="word definition pairs",24,IF(J481="math problems",25,IF(J481="famous faces",26,IF(J481="famous names",27,IF(J481="famous voices",28,IF(J481="television programs",29,IF(J481="race horses",30,IF(J481="new vocabulary",31,IF(J481="sentences",32,IF(J481="concepts",33,IF(J481="ad slides",34,IF(J481="scenes",35,IF(J481="famous scenes",36,IF(J481="poems",37,IF(J481="walk",38,IF(J481="faces and events",39,IF(J481="events and names",40,IF(J481="flashbulb",41,IF(J481="stories",42,IF(J481="course material",43,IF(J481="autobiographical",44,IF(J481="novels",45,IF(J481="public events",46,"99"))))))))))))))))))))))))))))))))))))))))))))))</f>
        <v>35</v>
      </c>
      <c r="L481" s="69">
        <f>IF(J481="syllables",1,IF(J481="trigrams",1,IF(J481="strings",1,IF(J481="visual array",1,IF(J481="characters",1,IF(J481="letters",1,IF(J481="free forms",1,IF(J481="odors",2,IF(J481="words",2,IF(J481="pictures",2,IF(J481="object pictures",2,IF(J481="faces",2,IF(J481="names",2,IF(J481="idioms","2",IF(J481="grades",2,IF(J481="syllable-digit pairs",3,IF(J481="trigram-word pairs",3,IF(J481="word-digit pairs",3,IF(J481="English-Swahili pairs",3,IF(J481="spatial position",3,IF(J481="word pairs",4,IF(J481="word triads",4,IF(J481="generated words",4,IF(J481="word definition pairs",4,IF(J481="math problems",4,IF(J481="famous faces",4,IF(J481="famous names",4,IF(J481="famous voices",4,IF(J481="television programs",4,IF(J481="race horses",4,IF(J481="new vocabulary",4,IF(J481="sentences",5,IF(J481="concepts",5,IF(J481="ad slides",5,IF(J481="scenes",5,IF(J481="famous scenes",5,IF(J481="poems",6,IF(J481="walk",6,IF(J481="faces and events",6,IF(J481="events and names",6,IF(J481="flashbulb",7,IF(J481="stories",7,IF(J481="course material",7,IF(J481="autobiographical",7,IF(J481="novels",7,IF(J481="public events",7,"99"))))))))))))))))))))))))))))))))))))))))))))))</f>
        <v>5</v>
      </c>
      <c r="M481" s="69">
        <v>0</v>
      </c>
      <c r="N481" s="86">
        <v>3</v>
      </c>
      <c r="O481" s="69">
        <v>0</v>
      </c>
      <c r="P481" s="69"/>
      <c r="Q481" s="69" t="s">
        <v>182</v>
      </c>
      <c r="R481" s="69">
        <f>IF(Q481="Free Recall",1,IF(Q481="Cued Recall",2,IF(Q481="Recognition",3,IF(Q481="Multiple Choice",4,IF(Q481="Savings",5,IF(Q481="Stem Completion",6,IF(Q481="Fragment Completion",7,IF(Q481="anagram solution",8,IF(Q481="Matching",9,IF(Q481="Problem Solving",10,"99"))))))))))</f>
        <v>4</v>
      </c>
      <c r="S481" s="69" t="s">
        <v>15</v>
      </c>
      <c r="T481" s="92" t="s">
        <v>581</v>
      </c>
      <c r="U481" s="69">
        <f>IF(T481="within",1,0)</f>
        <v>1</v>
      </c>
      <c r="V481" s="92">
        <v>18</v>
      </c>
      <c r="W481" s="69">
        <f>F481*V481</f>
        <v>270</v>
      </c>
      <c r="X481" s="69">
        <v>3</v>
      </c>
      <c r="Y481" s="87">
        <f>AV480</f>
        <v>40</v>
      </c>
      <c r="Z481" s="69" t="s">
        <v>165</v>
      </c>
      <c r="AA481" s="69">
        <f>60*60*24*7*3</f>
        <v>1814400</v>
      </c>
      <c r="AB481" s="69" t="str">
        <f>IF(AA481&lt;60,"1",IF(AA481&lt;=43200,"2",IF(AA481&lt;=777600,"3","4")))</f>
        <v>4</v>
      </c>
      <c r="AC481" s="72">
        <f>AVERAGE(AV480:DA480)</f>
        <v>605413.33333333337</v>
      </c>
      <c r="AD481" s="69" t="str">
        <f>IF(AC481&lt;60,"1",IF(AC481&lt;=43200,"2",IF(AC481&lt;=777600,"3","4")))</f>
        <v>3</v>
      </c>
      <c r="AE481" s="87">
        <f>AA481-Y481</f>
        <v>1814360</v>
      </c>
      <c r="AF481" s="88">
        <f>AV481</f>
        <v>0.89677632727988843</v>
      </c>
      <c r="AG481" s="72">
        <f>((AW481-AV481)+(AX481-AW481))/2</f>
        <v>-6.2437802625760042E-2</v>
      </c>
      <c r="AH481" s="4"/>
      <c r="AI481" s="72">
        <f>RSQ(AV481:AX481,AV480:AX480)</f>
        <v>0.99677446997483099</v>
      </c>
      <c r="AJ481" s="110">
        <f>SLOPE(AV481:AX481,AV480:AX480)</f>
        <v>-6.6641792392522329E-8</v>
      </c>
      <c r="AK481" s="72">
        <f>INTERCEPT(AV481:AX481,AV480:AX480)</f>
        <v>0.89281173801654823</v>
      </c>
      <c r="AL481" s="72">
        <f>INDEX(LINEST(LN(AV481:AX481),LN(AV480:AX480),TRUE,TRUE),3,1)</f>
        <v>0.91036797922204538</v>
      </c>
      <c r="AM481" s="72">
        <f>INDEX(LINEST(LN(AV481:AX481),LN(AV480:AX480)),1)</f>
        <v>-1.4760147964970787E-2</v>
      </c>
      <c r="AN481" s="72">
        <f>EXP(INDEX(LINEST(LN(AV481:AX481),LN(AV480:AX480)),1,2))</f>
        <v>0.96463247698128785</v>
      </c>
      <c r="AO481" s="89">
        <f>INDEX(LINEST((AV481:AX481),LN(AV480:AX480),TRUE,TRUE),3,1)</f>
        <v>0.91263182884918626</v>
      </c>
      <c r="AP481" s="89">
        <f>INDEX(LINEST((AV481:AX481),LN(AV480:AX480)),1)</f>
        <v>-1.228244764994787E-2</v>
      </c>
      <c r="AQ481" s="90">
        <f>INDEX(LINEST(LN(AV481:AX481),SQRT(AV480:AX480),TRUE,TRUE),3,1)</f>
        <v>0.99909756830891872</v>
      </c>
      <c r="AR481" s="117">
        <f>INDEX(LINEST(LN(AV481:AX481),SQRT((AV480:AX480))),1)</f>
        <v>-1.1004071931297462E-4</v>
      </c>
      <c r="AS481" s="91">
        <f>INDEX(LINEST(1/(AV481:AX481),1/(SQRT(AV480:AX480)),TRUE,TRUE),3,1)</f>
        <v>0.42301595125315161</v>
      </c>
      <c r="AT481" s="91">
        <f>INDEX(LINEST(1/(AV481:AX481),1/SQRT(AV480:AX480)),1)</f>
        <v>-0.77524007736917278</v>
      </c>
      <c r="AU481" s="3"/>
      <c r="AV481" s="73">
        <v>0.89677632727988843</v>
      </c>
      <c r="AW481" s="73">
        <v>0.88872067572639335</v>
      </c>
      <c r="AX481" s="73">
        <v>0.77190072202836835</v>
      </c>
      <c r="AY481" s="53"/>
      <c r="AZ481" s="53"/>
      <c r="BA481" s="53"/>
      <c r="BB481" s="53"/>
      <c r="BC481" s="53"/>
      <c r="BD481" s="53"/>
      <c r="BE481" s="53"/>
      <c r="BF481" s="53"/>
      <c r="BG481" s="53"/>
      <c r="BH481" s="53"/>
      <c r="BI481" s="53"/>
      <c r="BJ481" s="53"/>
      <c r="BK481" s="53"/>
      <c r="BL481" s="53"/>
      <c r="BM481" s="53"/>
      <c r="BN481" s="53"/>
      <c r="BO481" s="53"/>
      <c r="BP481" s="53"/>
      <c r="BQ481" s="53"/>
      <c r="BR481" s="53"/>
      <c r="BS481" s="53"/>
      <c r="BT481" s="53"/>
      <c r="BU481" s="53"/>
      <c r="BV481" s="53"/>
      <c r="BW481" s="53"/>
      <c r="BX481" s="53"/>
      <c r="BY481" s="53"/>
      <c r="BZ481" s="53"/>
      <c r="CA481" s="53"/>
      <c r="CB481" s="53"/>
      <c r="CC481" s="53"/>
      <c r="CD481" s="53"/>
      <c r="CE481" s="53"/>
      <c r="CF481" s="53"/>
      <c r="CG481" s="53"/>
      <c r="CH481" s="53"/>
      <c r="CI481" s="53"/>
      <c r="CJ481" s="53"/>
      <c r="CK481" s="53"/>
      <c r="CL481" s="53"/>
      <c r="CM481" s="53"/>
      <c r="CN481" s="53"/>
      <c r="CO481" s="53"/>
      <c r="CP481" s="53"/>
      <c r="CQ481" s="53"/>
      <c r="CR481" s="16"/>
      <c r="CS481" s="16"/>
      <c r="CT481" s="16"/>
      <c r="CU481" s="16"/>
    </row>
    <row r="482" spans="1:99" s="13" customFormat="1" ht="12" customHeight="1" x14ac:dyDescent="0.2">
      <c r="A482" s="68">
        <v>43979</v>
      </c>
      <c r="B482" s="70"/>
      <c r="C482" s="70"/>
      <c r="D482" s="69"/>
      <c r="E482" s="87"/>
      <c r="F482" s="69"/>
      <c r="G482" s="69"/>
      <c r="H482" s="69"/>
      <c r="I482" s="69"/>
      <c r="J482" s="69"/>
      <c r="K482" s="69"/>
      <c r="L482" s="69"/>
      <c r="M482" s="69"/>
      <c r="N482" s="86"/>
      <c r="O482" s="69"/>
      <c r="P482" s="69"/>
      <c r="Q482" s="69"/>
      <c r="R482" s="69"/>
      <c r="S482" s="69"/>
      <c r="T482" s="92"/>
      <c r="U482" s="69"/>
      <c r="V482" s="92"/>
      <c r="W482" s="69"/>
      <c r="X482" s="69"/>
      <c r="Y482" s="87"/>
      <c r="Z482" s="69"/>
      <c r="AA482" s="69"/>
      <c r="AB482" s="69"/>
      <c r="AC482" s="72"/>
      <c r="AD482" s="69"/>
      <c r="AE482" s="87"/>
      <c r="AF482" s="88"/>
      <c r="AG482" s="72"/>
      <c r="AH482" s="4"/>
      <c r="AI482" s="72"/>
      <c r="AJ482" s="110"/>
      <c r="AK482" s="72"/>
      <c r="AL482" s="72"/>
      <c r="AM482" s="72"/>
      <c r="AN482" s="72"/>
      <c r="AO482" s="89"/>
      <c r="AP482" s="89"/>
      <c r="AQ482" s="90"/>
      <c r="AR482" s="117"/>
      <c r="AS482" s="91"/>
      <c r="AT482" s="91"/>
      <c r="AU482" s="3"/>
      <c r="AV482" s="71">
        <v>40</v>
      </c>
      <c r="AW482" s="71">
        <f>60*30</f>
        <v>1800</v>
      </c>
      <c r="AX482" s="71">
        <f>60*60*24*7*3</f>
        <v>1814400</v>
      </c>
      <c r="AY482" s="53"/>
      <c r="AZ482" s="53"/>
      <c r="BA482" s="53"/>
      <c r="BB482" s="53"/>
      <c r="BC482" s="53"/>
      <c r="BD482" s="53"/>
      <c r="BE482" s="53"/>
      <c r="BF482" s="53"/>
      <c r="BG482" s="53"/>
      <c r="BH482" s="53"/>
      <c r="BI482" s="53"/>
      <c r="BJ482" s="53"/>
      <c r="BK482" s="53"/>
      <c r="BL482" s="53"/>
      <c r="BM482" s="53"/>
      <c r="BN482" s="53"/>
      <c r="BO482" s="53"/>
      <c r="BP482" s="53"/>
      <c r="BQ482" s="53"/>
      <c r="BR482" s="53"/>
      <c r="BS482" s="53"/>
      <c r="BT482" s="53"/>
      <c r="BU482" s="53"/>
      <c r="BV482" s="53"/>
      <c r="BW482" s="53"/>
      <c r="BX482" s="53"/>
      <c r="BY482" s="53"/>
      <c r="BZ482" s="53"/>
      <c r="CA482" s="53"/>
      <c r="CB482" s="53"/>
      <c r="CC482" s="53"/>
      <c r="CD482" s="53"/>
      <c r="CE482" s="53"/>
      <c r="CF482" s="53"/>
      <c r="CG482" s="53"/>
      <c r="CH482" s="53"/>
      <c r="CI482" s="53"/>
      <c r="CJ482" s="53"/>
      <c r="CK482" s="53"/>
      <c r="CL482" s="53"/>
      <c r="CM482" s="53"/>
      <c r="CN482" s="53"/>
      <c r="CO482" s="53"/>
      <c r="CP482" s="53"/>
      <c r="CQ482" s="53"/>
      <c r="CR482" s="16"/>
      <c r="CS482" s="16"/>
      <c r="CT482" s="16"/>
      <c r="CU482" s="16"/>
    </row>
    <row r="483" spans="1:99" s="13" customFormat="1" ht="12" customHeight="1" x14ac:dyDescent="0.2">
      <c r="A483" s="68">
        <v>43979</v>
      </c>
      <c r="B483" s="70" t="s">
        <v>986</v>
      </c>
      <c r="C483" s="70" t="s">
        <v>54</v>
      </c>
      <c r="D483" s="69">
        <v>2011</v>
      </c>
      <c r="E483" s="87">
        <v>1</v>
      </c>
      <c r="F483" s="69">
        <v>10</v>
      </c>
      <c r="G483" s="69">
        <v>10</v>
      </c>
      <c r="H483" s="69" t="s">
        <v>32</v>
      </c>
      <c r="I483" s="69" t="s">
        <v>995</v>
      </c>
      <c r="J483" s="69" t="s">
        <v>686</v>
      </c>
      <c r="K483" s="69">
        <f>IF(J483="syllables",1,IF(J483="trigrams",2,IF(J483="strings",3,IF(J483="visual array",4,IF(J483="characters",5,IF(J483="letters",6,IF(J483="free forms",7,IF(J483="odors",8,IF(J483="words",9,IF(J483="pictures",10,IF(J483="object pictures",11,IF(J483="faces",12,IF(J483="names",13,IF(J483="idioms",14,IF(J483="grades",15,IF(J483="syllable-digit pairs",16,IF(J483="trigram-word pairs",17,IF(J483="word-digit pairs",18,IF(J483="English-Swahili pairs",19,IF(J483="spatial position",20,IF(J483="word pairs",21,IF(J483="word triads",22,IF(J483="generated words",23,IF(J483="word definition pairs",24,IF(J483="math problems",25,IF(J483="famous faces",26,IF(J483="famous names",27,IF(J483="famous voices",28,IF(J483="television programs",29,IF(J483="race horses",30,IF(J483="new vocabulary",31,IF(J483="sentences",32,IF(J483="concepts",33,IF(J483="ad slides",34,IF(J483="scenes",35,IF(J483="famous scenes",36,IF(J483="poems",37,IF(J483="walk",38,IF(J483="faces and events",39,IF(J483="events and names",40,IF(J483="flashbulb",41,IF(J483="stories",42,IF(J483="course material",43,IF(J483="autobiographical",44,IF(J483="novels",45,IF(J483="public events",46,"99"))))))))))))))))))))))))))))))))))))))))))))))</f>
        <v>35</v>
      </c>
      <c r="L483" s="69">
        <f>IF(J483="syllables",1,IF(J483="trigrams",1,IF(J483="strings",1,IF(J483="visual array",1,IF(J483="characters",1,IF(J483="letters",1,IF(J483="free forms",1,IF(J483="odors",2,IF(J483="words",2,IF(J483="pictures",2,IF(J483="object pictures",2,IF(J483="faces",2,IF(J483="names",2,IF(J483="idioms","2",IF(J483="grades",2,IF(J483="syllable-digit pairs",3,IF(J483="trigram-word pairs",3,IF(J483="word-digit pairs",3,IF(J483="English-Swahili pairs",3,IF(J483="spatial position",3,IF(J483="word pairs",4,IF(J483="word triads",4,IF(J483="generated words",4,IF(J483="word definition pairs",4,IF(J483="math problems",4,IF(J483="famous faces",4,IF(J483="famous names",4,IF(J483="famous voices",4,IF(J483="television programs",4,IF(J483="race horses",4,IF(J483="new vocabulary",4,IF(J483="sentences",5,IF(J483="concepts",5,IF(J483="ad slides",5,IF(J483="scenes",5,IF(J483="famous scenes",5,IF(J483="poems",6,IF(J483="walk",6,IF(J483="faces and events",6,IF(J483="events and names",6,IF(J483="flashbulb",7,IF(J483="stories",7,IF(J483="course material",7,IF(J483="autobiographical",7,IF(J483="novels",7,IF(J483="public events",7,"99"))))))))))))))))))))))))))))))))))))))))))))))</f>
        <v>5</v>
      </c>
      <c r="M483" s="69">
        <v>0</v>
      </c>
      <c r="N483" s="86">
        <v>3</v>
      </c>
      <c r="O483" s="69">
        <v>0</v>
      </c>
      <c r="P483" s="69"/>
      <c r="Q483" s="69" t="s">
        <v>182</v>
      </c>
      <c r="R483" s="69">
        <f>IF(Q483="Free Recall",1,IF(Q483="Cued Recall",2,IF(Q483="Recognition",3,IF(Q483="Multiple Choice",4,IF(Q483="Savings",5,IF(Q483="Stem Completion",6,IF(Q483="Fragment Completion",7,IF(Q483="anagram solution",8,IF(Q483="Matching",9,IF(Q483="Problem Solving",10,"99"))))))))))</f>
        <v>4</v>
      </c>
      <c r="S483" s="69" t="s">
        <v>15</v>
      </c>
      <c r="T483" s="92" t="s">
        <v>581</v>
      </c>
      <c r="U483" s="69">
        <f>IF(T483="within",1,0)</f>
        <v>1</v>
      </c>
      <c r="V483" s="92">
        <v>18</v>
      </c>
      <c r="W483" s="69">
        <f>F483*V483</f>
        <v>180</v>
      </c>
      <c r="X483" s="69">
        <v>3</v>
      </c>
      <c r="Y483" s="87">
        <f>AV482</f>
        <v>40</v>
      </c>
      <c r="Z483" s="69" t="s">
        <v>165</v>
      </c>
      <c r="AA483" s="69">
        <f>60*60*24*7*3</f>
        <v>1814400</v>
      </c>
      <c r="AB483" s="69" t="str">
        <f>IF(AA483&lt;60,"1",IF(AA483&lt;=43200,"2",IF(AA483&lt;=777600,"3","4")))</f>
        <v>4</v>
      </c>
      <c r="AC483" s="72">
        <f>AVERAGE(AV482:DA482)</f>
        <v>605413.33333333337</v>
      </c>
      <c r="AD483" s="69" t="str">
        <f>IF(AC483&lt;60,"1",IF(AC483&lt;=43200,"2",IF(AC483&lt;=777600,"3","4")))</f>
        <v>3</v>
      </c>
      <c r="AE483" s="87">
        <f>AA483-Y483</f>
        <v>1814360</v>
      </c>
      <c r="AF483" s="88">
        <f>AV483</f>
        <v>0.90583977138865002</v>
      </c>
      <c r="AG483" s="72">
        <f>((AW483-AV483)+(AX483-AW483))/2</f>
        <v>-8.2580275953817561E-2</v>
      </c>
      <c r="AH483" s="4"/>
      <c r="AI483" s="72">
        <f>RSQ(AV483:AX483,AV482:AX482)</f>
        <v>0.98896250570358402</v>
      </c>
      <c r="AJ483" s="110">
        <f>SLOPE(AV483:AX483,AV482:AX482)</f>
        <v>-8.5806169089660223E-8</v>
      </c>
      <c r="AK483" s="72">
        <f>INTERCEPT(AV483:AX483,AV482:AX482)</f>
        <v>0.8963567214842092</v>
      </c>
      <c r="AL483" s="72">
        <f>INDEX(LINEST(LN(AV483:AX483),LN(AV482:AX482),TRUE,TRUE),3,1)</f>
        <v>0.93339112466341123</v>
      </c>
      <c r="AM483" s="72">
        <f>INDEX(LINEST(LN(AV483:AX483),LN(AV482:AX482)),1)</f>
        <v>-1.9652187665199831E-2</v>
      </c>
      <c r="AN483" s="72">
        <f>EXP(INDEX(LINEST(LN(AV483:AX483),LN(AV482:AX482)),1,2))</f>
        <v>0.99457795068734367</v>
      </c>
      <c r="AO483" s="89">
        <f>INDEX(LINEST((AV483:AX483),LN(AV482:AX482),TRUE,TRUE),3,1)</f>
        <v>0.93800539989567921</v>
      </c>
      <c r="AP483" s="89">
        <f>INDEX(LINEST((AV483:AX483),LN(AV482:AX482)),1)</f>
        <v>-1.6096081736059725E-2</v>
      </c>
      <c r="AQ483" s="90">
        <f>INDEX(LINEST(LN(AV483:AX483),SQRT(AV482:AX482),TRUE,TRUE),3,1)</f>
        <v>0.99467280098832223</v>
      </c>
      <c r="AR483" s="117">
        <f>INDEX(LINEST(LN(AV483:AX483),SQRT((AV482:AX482))),1)</f>
        <v>-1.443731511835275E-4</v>
      </c>
      <c r="AS483" s="91">
        <f>INDEX(LINEST(1/(AV483:AX483),1/(SQRT(AV482:AX482)),TRUE,TRUE),3,1)</f>
        <v>0.4607064331851814</v>
      </c>
      <c r="AT483" s="91">
        <f>INDEX(LINEST(1/(AV483:AX483),1/SQRT(AV482:AX482)),1)</f>
        <v>-1.0836822144234408</v>
      </c>
      <c r="AU483" s="3"/>
      <c r="AV483" s="73">
        <v>0.90583977138865002</v>
      </c>
      <c r="AW483" s="73">
        <v>0.88670657703555833</v>
      </c>
      <c r="AX483" s="73">
        <v>0.74067921948101489</v>
      </c>
      <c r="AY483" s="53"/>
      <c r="AZ483" s="53"/>
      <c r="BA483" s="53"/>
      <c r="BB483" s="53"/>
      <c r="BC483" s="53"/>
      <c r="BD483" s="53"/>
      <c r="BE483" s="53"/>
      <c r="BF483" s="53"/>
      <c r="BG483" s="53"/>
      <c r="BH483" s="53"/>
      <c r="BI483" s="53"/>
      <c r="BJ483" s="53"/>
      <c r="BK483" s="53"/>
      <c r="BL483" s="53"/>
      <c r="BM483" s="53"/>
      <c r="BN483" s="53"/>
      <c r="BO483" s="53"/>
      <c r="BP483" s="53"/>
      <c r="BQ483" s="53"/>
      <c r="BR483" s="53"/>
      <c r="BS483" s="53"/>
      <c r="BT483" s="53"/>
      <c r="BU483" s="53"/>
      <c r="BV483" s="53"/>
      <c r="BW483" s="53"/>
      <c r="BX483" s="53"/>
      <c r="BY483" s="53"/>
      <c r="BZ483" s="53"/>
      <c r="CA483" s="53"/>
      <c r="CB483" s="53"/>
      <c r="CC483" s="53"/>
      <c r="CD483" s="53"/>
      <c r="CE483" s="53"/>
      <c r="CF483" s="53"/>
      <c r="CG483" s="53"/>
      <c r="CH483" s="53"/>
      <c r="CI483" s="53"/>
      <c r="CJ483" s="53"/>
      <c r="CK483" s="53"/>
      <c r="CL483" s="53"/>
      <c r="CM483" s="53"/>
      <c r="CN483" s="53"/>
      <c r="CO483" s="53"/>
      <c r="CP483" s="53"/>
      <c r="CQ483" s="53"/>
      <c r="CR483" s="16"/>
      <c r="CS483" s="16"/>
      <c r="CT483" s="16"/>
      <c r="CU483" s="16"/>
    </row>
    <row r="484" spans="1:99" s="13" customFormat="1" ht="12" customHeight="1" x14ac:dyDescent="0.2">
      <c r="A484" s="68">
        <v>43979</v>
      </c>
      <c r="B484" s="70"/>
      <c r="C484" s="70"/>
      <c r="D484" s="69"/>
      <c r="E484" s="87"/>
      <c r="F484" s="69"/>
      <c r="G484" s="69"/>
      <c r="H484" s="69"/>
      <c r="I484" s="69"/>
      <c r="J484" s="69"/>
      <c r="K484" s="69"/>
      <c r="L484" s="69"/>
      <c r="M484" s="69"/>
      <c r="N484" s="86"/>
      <c r="O484" s="69"/>
      <c r="P484" s="69"/>
      <c r="Q484" s="69"/>
      <c r="R484" s="69"/>
      <c r="S484" s="69"/>
      <c r="T484" s="92"/>
      <c r="U484" s="69"/>
      <c r="V484" s="92"/>
      <c r="W484" s="69"/>
      <c r="X484" s="69"/>
      <c r="Y484" s="87"/>
      <c r="Z484" s="69"/>
      <c r="AA484" s="69"/>
      <c r="AB484" s="69"/>
      <c r="AC484" s="72"/>
      <c r="AD484" s="69"/>
      <c r="AE484" s="87"/>
      <c r="AF484" s="88"/>
      <c r="AG484" s="72"/>
      <c r="AH484" s="4"/>
      <c r="AI484" s="72"/>
      <c r="AJ484" s="110"/>
      <c r="AK484" s="72"/>
      <c r="AL484" s="72"/>
      <c r="AM484" s="72"/>
      <c r="AN484" s="72"/>
      <c r="AO484" s="89"/>
      <c r="AP484" s="89"/>
      <c r="AQ484" s="90"/>
      <c r="AR484" s="117"/>
      <c r="AS484" s="91"/>
      <c r="AT484" s="91"/>
      <c r="AU484" s="3"/>
      <c r="AV484" s="71">
        <v>40</v>
      </c>
      <c r="AW484" s="71">
        <f>60*30</f>
        <v>1800</v>
      </c>
      <c r="AX484" s="71">
        <f>60*60*24*7*3</f>
        <v>1814400</v>
      </c>
      <c r="AY484" s="53"/>
      <c r="AZ484" s="53"/>
      <c r="BA484" s="53"/>
      <c r="BB484" s="53"/>
      <c r="BC484" s="53"/>
      <c r="BD484" s="53"/>
      <c r="BE484" s="53"/>
      <c r="BF484" s="53"/>
      <c r="BG484" s="53"/>
      <c r="BH484" s="53"/>
      <c r="BI484" s="53"/>
      <c r="BJ484" s="53"/>
      <c r="BK484" s="53"/>
      <c r="BL484" s="53"/>
      <c r="BM484" s="53"/>
      <c r="BN484" s="53"/>
      <c r="BO484" s="53"/>
      <c r="BP484" s="53"/>
      <c r="BQ484" s="53"/>
      <c r="BR484" s="53"/>
      <c r="BS484" s="53"/>
      <c r="BT484" s="53"/>
      <c r="BU484" s="53"/>
      <c r="BV484" s="53"/>
      <c r="BW484" s="53"/>
      <c r="BX484" s="53"/>
      <c r="BY484" s="53"/>
      <c r="BZ484" s="53"/>
      <c r="CA484" s="53"/>
      <c r="CB484" s="53"/>
      <c r="CC484" s="53"/>
      <c r="CD484" s="53"/>
      <c r="CE484" s="53"/>
      <c r="CF484" s="53"/>
      <c r="CG484" s="53"/>
      <c r="CH484" s="53"/>
      <c r="CI484" s="53"/>
      <c r="CJ484" s="53"/>
      <c r="CK484" s="53"/>
      <c r="CL484" s="53"/>
      <c r="CM484" s="53"/>
      <c r="CN484" s="53"/>
      <c r="CO484" s="53"/>
      <c r="CP484" s="53"/>
      <c r="CQ484" s="53"/>
      <c r="CR484" s="16"/>
      <c r="CS484" s="16"/>
      <c r="CT484" s="16"/>
      <c r="CU484" s="16"/>
    </row>
    <row r="485" spans="1:99" s="13" customFormat="1" ht="12" customHeight="1" x14ac:dyDescent="0.2">
      <c r="A485" s="68">
        <v>43979</v>
      </c>
      <c r="B485" s="70" t="s">
        <v>986</v>
      </c>
      <c r="C485" s="70" t="s">
        <v>54</v>
      </c>
      <c r="D485" s="69">
        <v>2011</v>
      </c>
      <c r="E485" s="87">
        <v>1</v>
      </c>
      <c r="F485" s="69">
        <v>15</v>
      </c>
      <c r="G485" s="69">
        <v>15</v>
      </c>
      <c r="H485" s="69" t="s">
        <v>32</v>
      </c>
      <c r="I485" s="69" t="s">
        <v>330</v>
      </c>
      <c r="J485" s="69" t="s">
        <v>677</v>
      </c>
      <c r="K485" s="69">
        <f>IF(J485="syllables",1,IF(J485="trigrams",2,IF(J485="strings",3,IF(J485="visual array",4,IF(J485="characters",5,IF(J485="letters",6,IF(J485="free forms",7,IF(J485="odors",8,IF(J485="words",9,IF(J485="pictures",10,IF(J485="object pictures",11,IF(J485="faces",12,IF(J485="names",13,IF(J485="idioms",14,IF(J485="grades",15,IF(J485="syllable-digit pairs",16,IF(J485="trigram-word pairs",17,IF(J485="word-digit pairs",18,IF(J485="English-Swahili pairs",19,IF(J485="spatial position",20,IF(J485="word pairs",21,IF(J485="word triads",22,IF(J485="generated words",23,IF(J485="word definition pairs",24,IF(J485="math problems",25,IF(J485="famous faces",26,IF(J485="famous names",27,IF(J485="famous voices",28,IF(J485="television programs",29,IF(J485="race horses",30,IF(J485="new vocabulary",31,IF(J485="sentences",32,IF(J485="concepts",33,IF(J485="ad slides",34,IF(J485="scenes",35,IF(J485="famous scenes",36,IF(J485="poems",37,IF(J485="walk",38,IF(J485="faces and events",39,IF(J485="events and names",40,IF(J485="flashbulb",41,IF(J485="stories",42,IF(J485="course material",43,IF(J485="autobiographical",44,IF(J485="novels",45,IF(J485="public events",46,"99"))))))))))))))))))))))))))))))))))))))))))))))</f>
        <v>42</v>
      </c>
      <c r="L485" s="69">
        <f>IF(J485="syllables",1,IF(J485="trigrams",1,IF(J485="strings",1,IF(J485="visual array",1,IF(J485="characters",1,IF(J485="letters",1,IF(J485="free forms",1,IF(J485="odors",2,IF(J485="words",2,IF(J485="pictures",2,IF(J485="object pictures",2,IF(J485="faces",2,IF(J485="names",2,IF(J485="idioms","2",IF(J485="grades",2,IF(J485="syllable-digit pairs",3,IF(J485="trigram-word pairs",3,IF(J485="word-digit pairs",3,IF(J485="English-Swahili pairs",3,IF(J485="spatial position",3,IF(J485="word pairs",4,IF(J485="word triads",4,IF(J485="generated words",4,IF(J485="word definition pairs",4,IF(J485="math problems",4,IF(J485="famous faces",4,IF(J485="famous names",4,IF(J485="famous voices",4,IF(J485="television programs",4,IF(J485="race horses",4,IF(J485="new vocabulary",4,IF(J485="sentences",5,IF(J485="concepts",5,IF(J485="ad slides",5,IF(J485="scenes",5,IF(J485="famous scenes",5,IF(J485="poems",6,IF(J485="walk",6,IF(J485="faces and events",6,IF(J485="events and names",6,IF(J485="flashbulb",7,IF(J485="stories",7,IF(J485="course material",7,IF(J485="autobiographical",7,IF(J485="novels",7,IF(J485="public events",7,"99"))))))))))))))))))))))))))))))))))))))))))))))</f>
        <v>7</v>
      </c>
      <c r="M485" s="69">
        <v>0</v>
      </c>
      <c r="N485" s="86">
        <v>3</v>
      </c>
      <c r="O485" s="69">
        <v>0</v>
      </c>
      <c r="P485" s="69"/>
      <c r="Q485" s="69" t="s">
        <v>174</v>
      </c>
      <c r="R485" s="69">
        <f>IF(Q485="Free Recall",1,IF(Q485="Cued Recall",2,IF(Q485="Recognition",3,IF(Q485="Multiple Choice",4,IF(Q485="Savings",5,IF(Q485="Stem Completion",6,IF(Q485="Fragment Completion",7,IF(Q485="anagram solution",8,IF(Q485="Matching",9,IF(Q485="Problem Solving",10,"99"))))))))))</f>
        <v>1</v>
      </c>
      <c r="S485" s="69" t="s">
        <v>15</v>
      </c>
      <c r="T485" s="92" t="s">
        <v>581</v>
      </c>
      <c r="U485" s="69">
        <f>IF(T485="within",1,0)</f>
        <v>1</v>
      </c>
      <c r="V485" s="92">
        <f>152*3</f>
        <v>456</v>
      </c>
      <c r="W485" s="69">
        <f>F485*V485</f>
        <v>6840</v>
      </c>
      <c r="X485" s="69">
        <v>3</v>
      </c>
      <c r="Y485" s="87">
        <f>AV484</f>
        <v>40</v>
      </c>
      <c r="Z485" s="69" t="s">
        <v>165</v>
      </c>
      <c r="AA485" s="69">
        <f>60*60*24*7*3</f>
        <v>1814400</v>
      </c>
      <c r="AB485" s="69" t="str">
        <f>IF(AA485&lt;60,"1",IF(AA485&lt;=43200,"2",IF(AA485&lt;=777600,"3","4")))</f>
        <v>4</v>
      </c>
      <c r="AC485" s="72">
        <f>AVERAGE(AV484:DA484)</f>
        <v>605413.33333333337</v>
      </c>
      <c r="AD485" s="69" t="str">
        <f>IF(AC485&lt;60,"1",IF(AC485&lt;=43200,"2",IF(AC485&lt;=777600,"3","4")))</f>
        <v>3</v>
      </c>
      <c r="AE485" s="87">
        <f>AA485-Y485</f>
        <v>1814360</v>
      </c>
      <c r="AF485" s="88">
        <f>AV485</f>
        <v>0.37295249422489868</v>
      </c>
      <c r="AG485" s="72">
        <f>((AW485-AV485)+(AX485-AW485))/2</f>
        <v>-5.4415753794964467E-2</v>
      </c>
      <c r="AH485" s="4"/>
      <c r="AI485" s="72">
        <f>RSQ(AV485:AX485,AV484:AX484)</f>
        <v>0.93356016917510265</v>
      </c>
      <c r="AJ485" s="110">
        <f>SLOPE(AV485:AX485,AV484:AX484)</f>
        <v>-7.0879180602908351E-8</v>
      </c>
      <c r="AK485" s="72">
        <f>INTERCEPT(AV485:AX485,AV484:AX484)</f>
        <v>0.39274338574587975</v>
      </c>
      <c r="AL485" s="72">
        <f>INDEX(LINEST(LN(AV485:AX485),LN(AV484:AX484),TRUE,TRUE),3,1)</f>
        <v>0.70458151483580556</v>
      </c>
      <c r="AM485" s="72">
        <f>INDEX(LINEST(LN(AV485:AX485),LN(AV484:AX484)),1)</f>
        <v>-3.6092156247544707E-2</v>
      </c>
      <c r="AN485" s="72">
        <f>EXP(INDEX(LINEST(LN(AV485:AX485),LN(AV484:AX484)),1,2))</f>
        <v>0.46773591504021078</v>
      </c>
      <c r="AO485" s="89">
        <f>INDEX(LINEST((AV485:AX485),LN(AV484:AX484),TRUE,TRUE),3,1)</f>
        <v>0.6646752019190626</v>
      </c>
      <c r="AP485" s="89">
        <f>INDEX(LINEST((AV485:AX485),LN(AV484:AX484)),1)</f>
        <v>-1.1519700001551744E-2</v>
      </c>
      <c r="AQ485" s="90">
        <f>INDEX(LINEST(LN(AV485:AX485),SQRT(AV484:AX484),TRUE,TRUE),3,1)</f>
        <v>0.94324983628356762</v>
      </c>
      <c r="AR485" s="117">
        <f>INDEX(LINEST(LN(AV485:AX485),SQRT((AV484:AX484))),1)</f>
        <v>-2.9718564027728984E-4</v>
      </c>
      <c r="AS485" s="91">
        <f>INDEX(LINEST(1/(AV485:AX485),1/(SQRT(AV484:AX484)),TRUE,TRUE),3,1)</f>
        <v>0.21317756146448372</v>
      </c>
      <c r="AT485" s="91">
        <f>INDEX(LINEST(1/(AV485:AX485),1/SQRT(AV484:AX484)),1)</f>
        <v>-3.927808544054495</v>
      </c>
      <c r="AU485" s="3"/>
      <c r="AV485" s="73">
        <v>0.37295249422489868</v>
      </c>
      <c r="AW485" s="73">
        <v>0.41242307339954476</v>
      </c>
      <c r="AX485" s="73">
        <v>0.26412098663496975</v>
      </c>
      <c r="AY485" s="53"/>
      <c r="AZ485" s="53"/>
      <c r="BA485" s="53"/>
      <c r="BB485" s="53"/>
      <c r="BC485" s="53"/>
      <c r="BD485" s="53"/>
      <c r="BE485" s="53"/>
      <c r="BF485" s="53"/>
      <c r="BG485" s="53"/>
      <c r="BH485" s="53"/>
      <c r="BI485" s="53"/>
      <c r="BJ485" s="53"/>
      <c r="BK485" s="53"/>
      <c r="BL485" s="53"/>
      <c r="BM485" s="53"/>
      <c r="BN485" s="53"/>
      <c r="BO485" s="53"/>
      <c r="BP485" s="53"/>
      <c r="BQ485" s="53"/>
      <c r="BR485" s="53"/>
      <c r="BS485" s="53"/>
      <c r="BT485" s="53"/>
      <c r="BU485" s="53"/>
      <c r="BV485" s="53"/>
      <c r="BW485" s="53"/>
      <c r="BX485" s="53"/>
      <c r="BY485" s="53"/>
      <c r="BZ485" s="53"/>
      <c r="CA485" s="53"/>
      <c r="CB485" s="53"/>
      <c r="CC485" s="53"/>
      <c r="CD485" s="53"/>
      <c r="CE485" s="53"/>
      <c r="CF485" s="53"/>
      <c r="CG485" s="53"/>
      <c r="CH485" s="53"/>
      <c r="CI485" s="53"/>
      <c r="CJ485" s="53"/>
      <c r="CK485" s="53"/>
      <c r="CL485" s="53"/>
      <c r="CM485" s="53"/>
      <c r="CN485" s="53"/>
      <c r="CO485" s="53"/>
      <c r="CP485" s="53"/>
      <c r="CQ485" s="53"/>
      <c r="CR485" s="16"/>
      <c r="CS485" s="16"/>
      <c r="CT485" s="16"/>
      <c r="CU485" s="16"/>
    </row>
    <row r="486" spans="1:99" s="13" customFormat="1" ht="12" customHeight="1" x14ac:dyDescent="0.2">
      <c r="A486" s="68">
        <v>43979</v>
      </c>
      <c r="B486" s="70"/>
      <c r="C486" s="70"/>
      <c r="D486" s="69"/>
      <c r="E486" s="87"/>
      <c r="F486" s="69"/>
      <c r="G486" s="69"/>
      <c r="H486" s="69"/>
      <c r="I486" s="69"/>
      <c r="J486" s="69"/>
      <c r="K486" s="69"/>
      <c r="L486" s="69"/>
      <c r="M486" s="69"/>
      <c r="N486" s="86"/>
      <c r="O486" s="69"/>
      <c r="P486" s="69"/>
      <c r="Q486" s="69"/>
      <c r="R486" s="69"/>
      <c r="S486" s="69"/>
      <c r="T486" s="92"/>
      <c r="U486" s="69"/>
      <c r="V486" s="92"/>
      <c r="W486" s="69"/>
      <c r="X486" s="69"/>
      <c r="Y486" s="87"/>
      <c r="Z486" s="69"/>
      <c r="AA486" s="69"/>
      <c r="AB486" s="69"/>
      <c r="AC486" s="72"/>
      <c r="AD486" s="69"/>
      <c r="AE486" s="87"/>
      <c r="AF486" s="88"/>
      <c r="AG486" s="72"/>
      <c r="AH486" s="4"/>
      <c r="AI486" s="72"/>
      <c r="AJ486" s="110"/>
      <c r="AK486" s="72"/>
      <c r="AL486" s="72"/>
      <c r="AM486" s="72"/>
      <c r="AN486" s="72"/>
      <c r="AO486" s="89"/>
      <c r="AP486" s="89"/>
      <c r="AQ486" s="90"/>
      <c r="AR486" s="117"/>
      <c r="AS486" s="91"/>
      <c r="AT486" s="91"/>
      <c r="AU486" s="3"/>
      <c r="AV486" s="71">
        <v>40</v>
      </c>
      <c r="AW486" s="71">
        <f>60*30</f>
        <v>1800</v>
      </c>
      <c r="AX486" s="71">
        <f>60*60*24*7*3</f>
        <v>1814400</v>
      </c>
      <c r="AY486" s="53"/>
      <c r="AZ486" s="53"/>
      <c r="BA486" s="53"/>
      <c r="BB486" s="53"/>
      <c r="BC486" s="53"/>
      <c r="BD486" s="53"/>
      <c r="BE486" s="53"/>
      <c r="BF486" s="53"/>
      <c r="BG486" s="53"/>
      <c r="BH486" s="53"/>
      <c r="BI486" s="53"/>
      <c r="BJ486" s="53"/>
      <c r="BK486" s="53"/>
      <c r="BL486" s="53"/>
      <c r="BM486" s="53"/>
      <c r="BN486" s="53"/>
      <c r="BO486" s="53"/>
      <c r="BP486" s="53"/>
      <c r="BQ486" s="53"/>
      <c r="BR486" s="53"/>
      <c r="BS486" s="53"/>
      <c r="BT486" s="53"/>
      <c r="BU486" s="53"/>
      <c r="BV486" s="53"/>
      <c r="BW486" s="53"/>
      <c r="BX486" s="53"/>
      <c r="BY486" s="53"/>
      <c r="BZ486" s="53"/>
      <c r="CA486" s="53"/>
      <c r="CB486" s="53"/>
      <c r="CC486" s="53"/>
      <c r="CD486" s="53"/>
      <c r="CE486" s="53"/>
      <c r="CF486" s="53"/>
      <c r="CG486" s="53"/>
      <c r="CH486" s="53"/>
      <c r="CI486" s="53"/>
      <c r="CJ486" s="53"/>
      <c r="CK486" s="53"/>
      <c r="CL486" s="53"/>
      <c r="CM486" s="53"/>
      <c r="CN486" s="53"/>
      <c r="CO486" s="53"/>
      <c r="CP486" s="53"/>
      <c r="CQ486" s="53"/>
      <c r="CR486" s="16"/>
      <c r="CS486" s="16"/>
      <c r="CT486" s="16"/>
      <c r="CU486" s="16"/>
    </row>
    <row r="487" spans="1:99" s="13" customFormat="1" ht="12" customHeight="1" x14ac:dyDescent="0.2">
      <c r="A487" s="68">
        <v>43979</v>
      </c>
      <c r="B487" s="70" t="s">
        <v>986</v>
      </c>
      <c r="C487" s="70" t="s">
        <v>54</v>
      </c>
      <c r="D487" s="69">
        <v>2011</v>
      </c>
      <c r="E487" s="87">
        <v>1</v>
      </c>
      <c r="F487" s="69">
        <v>10</v>
      </c>
      <c r="G487" s="69">
        <v>10</v>
      </c>
      <c r="H487" s="69" t="s">
        <v>32</v>
      </c>
      <c r="I487" s="69" t="s">
        <v>330</v>
      </c>
      <c r="J487" s="69" t="s">
        <v>677</v>
      </c>
      <c r="K487" s="69">
        <f>IF(J487="syllables",1,IF(J487="trigrams",2,IF(J487="strings",3,IF(J487="visual array",4,IF(J487="characters",5,IF(J487="letters",6,IF(J487="free forms",7,IF(J487="odors",8,IF(J487="words",9,IF(J487="pictures",10,IF(J487="object pictures",11,IF(J487="faces",12,IF(J487="names",13,IF(J487="idioms",14,IF(J487="grades",15,IF(J487="syllable-digit pairs",16,IF(J487="trigram-word pairs",17,IF(J487="word-digit pairs",18,IF(J487="English-Swahili pairs",19,IF(J487="spatial position",20,IF(J487="word pairs",21,IF(J487="word triads",22,IF(J487="generated words",23,IF(J487="word definition pairs",24,IF(J487="math problems",25,IF(J487="famous faces",26,IF(J487="famous names",27,IF(J487="famous voices",28,IF(J487="television programs",29,IF(J487="race horses",30,IF(J487="new vocabulary",31,IF(J487="sentences",32,IF(J487="concepts",33,IF(J487="ad slides",34,IF(J487="scenes",35,IF(J487="famous scenes",36,IF(J487="poems",37,IF(J487="walk",38,IF(J487="faces and events",39,IF(J487="events and names",40,IF(J487="flashbulb",41,IF(J487="stories",42,IF(J487="course material",43,IF(J487="autobiographical",44,IF(J487="novels",45,IF(J487="public events",46,"99"))))))))))))))))))))))))))))))))))))))))))))))</f>
        <v>42</v>
      </c>
      <c r="L487" s="69">
        <f>IF(J487="syllables",1,IF(J487="trigrams",1,IF(J487="strings",1,IF(J487="visual array",1,IF(J487="characters",1,IF(J487="letters",1,IF(J487="free forms",1,IF(J487="odors",2,IF(J487="words",2,IF(J487="pictures",2,IF(J487="object pictures",2,IF(J487="faces",2,IF(J487="names",2,IF(J487="idioms","2",IF(J487="grades",2,IF(J487="syllable-digit pairs",3,IF(J487="trigram-word pairs",3,IF(J487="word-digit pairs",3,IF(J487="English-Swahili pairs",3,IF(J487="spatial position",3,IF(J487="word pairs",4,IF(J487="word triads",4,IF(J487="generated words",4,IF(J487="word definition pairs",4,IF(J487="math problems",4,IF(J487="famous faces",4,IF(J487="famous names",4,IF(J487="famous voices",4,IF(J487="television programs",4,IF(J487="race horses",4,IF(J487="new vocabulary",4,IF(J487="sentences",5,IF(J487="concepts",5,IF(J487="ad slides",5,IF(J487="scenes",5,IF(J487="famous scenes",5,IF(J487="poems",6,IF(J487="walk",6,IF(J487="faces and events",6,IF(J487="events and names",6,IF(J487="flashbulb",7,IF(J487="stories",7,IF(J487="course material",7,IF(J487="autobiographical",7,IF(J487="novels",7,IF(J487="public events",7,"99"))))))))))))))))))))))))))))))))))))))))))))))</f>
        <v>7</v>
      </c>
      <c r="M487" s="69">
        <v>0</v>
      </c>
      <c r="N487" s="86">
        <v>3</v>
      </c>
      <c r="O487" s="69">
        <v>0</v>
      </c>
      <c r="P487" s="69"/>
      <c r="Q487" s="69" t="s">
        <v>174</v>
      </c>
      <c r="R487" s="69">
        <f>IF(Q487="Free Recall",1,IF(Q487="Cued Recall",2,IF(Q487="Recognition",3,IF(Q487="Multiple Choice",4,IF(Q487="Savings",5,IF(Q487="Stem Completion",6,IF(Q487="Fragment Completion",7,IF(Q487="anagram solution",8,IF(Q487="Matching",9,IF(Q487="Problem Solving",10,"99"))))))))))</f>
        <v>1</v>
      </c>
      <c r="S487" s="69" t="s">
        <v>15</v>
      </c>
      <c r="T487" s="92" t="s">
        <v>581</v>
      </c>
      <c r="U487" s="69">
        <f>IF(T487="within",1,0)</f>
        <v>1</v>
      </c>
      <c r="V487" s="92">
        <f>152*3</f>
        <v>456</v>
      </c>
      <c r="W487" s="69">
        <f>F487*V487</f>
        <v>4560</v>
      </c>
      <c r="X487" s="69">
        <v>3</v>
      </c>
      <c r="Y487" s="87">
        <f>AV486</f>
        <v>40</v>
      </c>
      <c r="Z487" s="69" t="s">
        <v>165</v>
      </c>
      <c r="AA487" s="69">
        <f>60*60*24*7*3</f>
        <v>1814400</v>
      </c>
      <c r="AB487" s="69" t="str">
        <f>IF(AA487&lt;60,"1",IF(AA487&lt;=43200,"2",IF(AA487&lt;=777600,"3","4")))</f>
        <v>4</v>
      </c>
      <c r="AC487" s="72">
        <f>AVERAGE(AV486:DA486)</f>
        <v>605413.33333333337</v>
      </c>
      <c r="AD487" s="69" t="str">
        <f>IF(AC487&lt;60,"1",IF(AC487&lt;=43200,"2",IF(AC487&lt;=777600,"3","4")))</f>
        <v>3</v>
      </c>
      <c r="AE487" s="87">
        <f>AA487-Y487</f>
        <v>1814360</v>
      </c>
      <c r="AF487" s="88">
        <f>AV487</f>
        <v>0.35694961699780459</v>
      </c>
      <c r="AG487" s="72">
        <f>((AW487-AV487)+(AX487-AW487))/2</f>
        <v>-6.7484770197090468E-2</v>
      </c>
      <c r="AH487" s="4"/>
      <c r="AI487" s="72">
        <f>RSQ(AV487:AX487,AV486:AX486)</f>
        <v>0.95204388217253566</v>
      </c>
      <c r="AJ487" s="110">
        <f>SLOPE(AV487:AX487,AV486:AX486)</f>
        <v>-8.5439220139339903E-8</v>
      </c>
      <c r="AK487" s="72">
        <f>INTERCEPT(AV487:AX487,AV486:AX486)</f>
        <v>0.37702048273355249</v>
      </c>
      <c r="AL487" s="72">
        <f>INDEX(LINEST(LN(AV487:AX487),LN(AV486:AX486),TRUE,TRUE),3,1)</f>
        <v>0.74427145528357219</v>
      </c>
      <c r="AM487" s="72">
        <f>INDEX(LINEST(LN(AV487:AX487),LN(AV486:AX486)),1)</f>
        <v>-4.9120702232254843E-2</v>
      </c>
      <c r="AN487" s="72">
        <f>EXP(INDEX(LINEST(LN(AV487:AX487),LN(AV486:AX486)),1,2))</f>
        <v>0.47998744570704321</v>
      </c>
      <c r="AO487" s="89">
        <f>INDEX(LINEST((AV487:AX487),LN(AV486:AX486),TRUE,TRUE),3,1)</f>
        <v>0.70180731899927462</v>
      </c>
      <c r="AP487" s="89">
        <f>INDEX(LINEST((AV487:AX487),LN(AV486:AX486)),1)</f>
        <v>-1.4129494957171026E-2</v>
      </c>
      <c r="AQ487" s="90">
        <f>INDEX(LINEST(LN(AV487:AX487),SQRT(AV486:AX486),TRUE,TRUE),3,1)</f>
        <v>0.96203731432868478</v>
      </c>
      <c r="AR487" s="117">
        <f>INDEX(LINEST(LN(AV487:AX487),SQRT((AV486:AX486))),1)</f>
        <v>-3.9743132015725185E-4</v>
      </c>
      <c r="AS487" s="91">
        <f>INDEX(LINEST(1/(AV487:AX487),1/(SQRT(AV486:AX486)),TRUE,TRUE),3,1)</f>
        <v>0.25246445244070842</v>
      </c>
      <c r="AT487" s="91">
        <f>INDEX(LINEST(1/(AV487:AX487),1/SQRT(AV486:AX486)),1)</f>
        <v>-6.3474668140103363</v>
      </c>
      <c r="AU487" s="3"/>
      <c r="AV487" s="73">
        <v>0.35694961699780459</v>
      </c>
      <c r="AW487" s="73">
        <v>0.3969536254133546</v>
      </c>
      <c r="AX487" s="73">
        <v>0.22198007660362365</v>
      </c>
      <c r="AY487" s="53"/>
      <c r="AZ487" s="53"/>
      <c r="BA487" s="53"/>
      <c r="BB487" s="53"/>
      <c r="BC487" s="53"/>
      <c r="BD487" s="53"/>
      <c r="BE487" s="53"/>
      <c r="BF487" s="53"/>
      <c r="BG487" s="53"/>
      <c r="BH487" s="53"/>
      <c r="BI487" s="53"/>
      <c r="BJ487" s="53"/>
      <c r="BK487" s="53"/>
      <c r="BL487" s="53"/>
      <c r="BM487" s="53"/>
      <c r="BN487" s="53"/>
      <c r="BO487" s="53"/>
      <c r="BP487" s="53"/>
      <c r="BQ487" s="53"/>
      <c r="BR487" s="53"/>
      <c r="BS487" s="53"/>
      <c r="BT487" s="53"/>
      <c r="BU487" s="53"/>
      <c r="BV487" s="53"/>
      <c r="BW487" s="53"/>
      <c r="BX487" s="53"/>
      <c r="BY487" s="53"/>
      <c r="BZ487" s="53"/>
      <c r="CA487" s="53"/>
      <c r="CB487" s="53"/>
      <c r="CC487" s="53"/>
      <c r="CD487" s="53"/>
      <c r="CE487" s="53"/>
      <c r="CF487" s="53"/>
      <c r="CG487" s="53"/>
      <c r="CH487" s="53"/>
      <c r="CI487" s="53"/>
      <c r="CJ487" s="53"/>
      <c r="CK487" s="53"/>
      <c r="CL487" s="53"/>
      <c r="CM487" s="53"/>
      <c r="CN487" s="53"/>
      <c r="CO487" s="53"/>
      <c r="CP487" s="53"/>
      <c r="CQ487" s="53"/>
      <c r="CR487" s="16"/>
      <c r="CS487" s="16"/>
      <c r="CT487" s="16"/>
      <c r="CU487" s="16"/>
    </row>
    <row r="488" spans="1:99" s="13" customFormat="1" ht="12" customHeight="1" x14ac:dyDescent="0.2">
      <c r="A488" s="68">
        <v>43979</v>
      </c>
      <c r="B488" s="70"/>
      <c r="C488" s="70"/>
      <c r="D488" s="69"/>
      <c r="E488" s="87"/>
      <c r="F488" s="69"/>
      <c r="G488" s="69"/>
      <c r="H488" s="69"/>
      <c r="I488" s="69"/>
      <c r="J488" s="69"/>
      <c r="K488" s="69"/>
      <c r="L488" s="69"/>
      <c r="M488" s="69"/>
      <c r="N488" s="86"/>
      <c r="O488" s="69"/>
      <c r="P488" s="69"/>
      <c r="Q488" s="69"/>
      <c r="R488" s="69"/>
      <c r="S488" s="69"/>
      <c r="T488" s="92"/>
      <c r="U488" s="69"/>
      <c r="V488" s="92"/>
      <c r="W488" s="69"/>
      <c r="X488" s="69"/>
      <c r="Y488" s="87"/>
      <c r="Z488" s="69"/>
      <c r="AA488" s="69"/>
      <c r="AB488" s="69"/>
      <c r="AC488" s="72"/>
      <c r="AD488" s="69"/>
      <c r="AE488" s="87"/>
      <c r="AF488" s="88"/>
      <c r="AG488" s="72"/>
      <c r="AH488" s="4"/>
      <c r="AI488" s="72"/>
      <c r="AJ488" s="110"/>
      <c r="AK488" s="72"/>
      <c r="AL488" s="72"/>
      <c r="AM488" s="72"/>
      <c r="AN488" s="72"/>
      <c r="AO488" s="89"/>
      <c r="AP488" s="89"/>
      <c r="AQ488" s="90"/>
      <c r="AR488" s="117"/>
      <c r="AS488" s="91"/>
      <c r="AT488" s="91"/>
      <c r="AU488" s="3"/>
      <c r="AV488" s="71">
        <v>40</v>
      </c>
      <c r="AW488" s="71">
        <f>60*30</f>
        <v>1800</v>
      </c>
      <c r="AX488" s="71">
        <f>60*60*24*7*3</f>
        <v>1814400</v>
      </c>
      <c r="AY488" s="53"/>
      <c r="AZ488" s="53"/>
      <c r="BA488" s="53"/>
      <c r="BB488" s="53"/>
      <c r="BC488" s="53"/>
      <c r="BD488" s="53"/>
      <c r="BE488" s="53"/>
      <c r="BF488" s="53"/>
      <c r="BG488" s="53"/>
      <c r="BH488" s="53"/>
      <c r="BI488" s="53"/>
      <c r="BJ488" s="53"/>
      <c r="BK488" s="53"/>
      <c r="BL488" s="53"/>
      <c r="BM488" s="53"/>
      <c r="BN488" s="53"/>
      <c r="BO488" s="53"/>
      <c r="BP488" s="53"/>
      <c r="BQ488" s="53"/>
      <c r="BR488" s="53"/>
      <c r="BS488" s="53"/>
      <c r="BT488" s="53"/>
      <c r="BU488" s="53"/>
      <c r="BV488" s="53"/>
      <c r="BW488" s="53"/>
      <c r="BX488" s="53"/>
      <c r="BY488" s="53"/>
      <c r="BZ488" s="53"/>
      <c r="CA488" s="53"/>
      <c r="CB488" s="53"/>
      <c r="CC488" s="53"/>
      <c r="CD488" s="53"/>
      <c r="CE488" s="53"/>
      <c r="CF488" s="53"/>
      <c r="CG488" s="53"/>
      <c r="CH488" s="53"/>
      <c r="CI488" s="53"/>
      <c r="CJ488" s="53"/>
      <c r="CK488" s="53"/>
      <c r="CL488" s="53"/>
      <c r="CM488" s="53"/>
      <c r="CN488" s="53"/>
      <c r="CO488" s="53"/>
      <c r="CP488" s="53"/>
      <c r="CQ488" s="53"/>
      <c r="CR488" s="16"/>
      <c r="CS488" s="16"/>
      <c r="CT488" s="16"/>
      <c r="CU488" s="16"/>
    </row>
    <row r="489" spans="1:99" s="13" customFormat="1" ht="12" customHeight="1" x14ac:dyDescent="0.2">
      <c r="A489" s="68">
        <v>43979</v>
      </c>
      <c r="B489" s="70" t="s">
        <v>986</v>
      </c>
      <c r="C489" s="70" t="s">
        <v>54</v>
      </c>
      <c r="D489" s="69">
        <v>2011</v>
      </c>
      <c r="E489" s="87">
        <v>1</v>
      </c>
      <c r="F489" s="69">
        <v>15</v>
      </c>
      <c r="G489" s="69">
        <v>15</v>
      </c>
      <c r="H489" s="69" t="s">
        <v>32</v>
      </c>
      <c r="I489" s="69" t="s">
        <v>330</v>
      </c>
      <c r="J489" s="69" t="s">
        <v>677</v>
      </c>
      <c r="K489" s="69">
        <f>IF(J489="syllables",1,IF(J489="trigrams",2,IF(J489="strings",3,IF(J489="visual array",4,IF(J489="characters",5,IF(J489="letters",6,IF(J489="free forms",7,IF(J489="odors",8,IF(J489="words",9,IF(J489="pictures",10,IF(J489="object pictures",11,IF(J489="faces",12,IF(J489="names",13,IF(J489="idioms",14,IF(J489="grades",15,IF(J489="syllable-digit pairs",16,IF(J489="trigram-word pairs",17,IF(J489="word-digit pairs",18,IF(J489="English-Swahili pairs",19,IF(J489="spatial position",20,IF(J489="word pairs",21,IF(J489="word triads",22,IF(J489="generated words",23,IF(J489="word definition pairs",24,IF(J489="math problems",25,IF(J489="famous faces",26,IF(J489="famous names",27,IF(J489="famous voices",28,IF(J489="television programs",29,IF(J489="race horses",30,IF(J489="new vocabulary",31,IF(J489="sentences",32,IF(J489="concepts",33,IF(J489="ad slides",34,IF(J489="scenes",35,IF(J489="famous scenes",36,IF(J489="poems",37,IF(J489="walk",38,IF(J489="faces and events",39,IF(J489="events and names",40,IF(J489="flashbulb",41,IF(J489="stories",42,IF(J489="course material",43,IF(J489="autobiographical",44,IF(J489="novels",45,IF(J489="public events",46,"99"))))))))))))))))))))))))))))))))))))))))))))))</f>
        <v>42</v>
      </c>
      <c r="L489" s="69">
        <f>IF(J489="syllables",1,IF(J489="trigrams",1,IF(J489="strings",1,IF(J489="visual array",1,IF(J489="characters",1,IF(J489="letters",1,IF(J489="free forms",1,IF(J489="odors",2,IF(J489="words",2,IF(J489="pictures",2,IF(J489="object pictures",2,IF(J489="faces",2,IF(J489="names",2,IF(J489="idioms","2",IF(J489="grades",2,IF(J489="syllable-digit pairs",3,IF(J489="trigram-word pairs",3,IF(J489="word-digit pairs",3,IF(J489="English-Swahili pairs",3,IF(J489="spatial position",3,IF(J489="word pairs",4,IF(J489="word triads",4,IF(J489="generated words",4,IF(J489="word definition pairs",4,IF(J489="math problems",4,IF(J489="famous faces",4,IF(J489="famous names",4,IF(J489="famous voices",4,IF(J489="television programs",4,IF(J489="race horses",4,IF(J489="new vocabulary",4,IF(J489="sentences",5,IF(J489="concepts",5,IF(J489="ad slides",5,IF(J489="scenes",5,IF(J489="famous scenes",5,IF(J489="poems",6,IF(J489="walk",6,IF(J489="faces and events",6,IF(J489="events and names",6,IF(J489="flashbulb",7,IF(J489="stories",7,IF(J489="course material",7,IF(J489="autobiographical",7,IF(J489="novels",7,IF(J489="public events",7,"99"))))))))))))))))))))))))))))))))))))))))))))))</f>
        <v>7</v>
      </c>
      <c r="M489" s="69">
        <v>0</v>
      </c>
      <c r="N489" s="86">
        <v>3</v>
      </c>
      <c r="O489" s="69">
        <v>0</v>
      </c>
      <c r="P489" s="69"/>
      <c r="Q489" s="69" t="s">
        <v>182</v>
      </c>
      <c r="R489" s="69">
        <f>IF(Q489="Free Recall",1,IF(Q489="Cued Recall",2,IF(Q489="Recognition",3,IF(Q489="Multiple Choice",4,IF(Q489="Savings",5,IF(Q489="Stem Completion",6,IF(Q489="Fragment Completion",7,IF(Q489="anagram solution",8,IF(Q489="Matching",9,IF(Q489="Problem Solving",10,"99"))))))))))</f>
        <v>4</v>
      </c>
      <c r="S489" s="69" t="s">
        <v>15</v>
      </c>
      <c r="T489" s="92" t="s">
        <v>581</v>
      </c>
      <c r="U489" s="69">
        <f>IF(T489="within",1,0)</f>
        <v>1</v>
      </c>
      <c r="V489" s="92">
        <f>12*3</f>
        <v>36</v>
      </c>
      <c r="W489" s="69">
        <f>F489*V489</f>
        <v>540</v>
      </c>
      <c r="X489" s="69">
        <v>3</v>
      </c>
      <c r="Y489" s="87">
        <f>AV488</f>
        <v>40</v>
      </c>
      <c r="Z489" s="69" t="s">
        <v>165</v>
      </c>
      <c r="AA489" s="69">
        <f>60*60*24*7*3</f>
        <v>1814400</v>
      </c>
      <c r="AB489" s="69" t="str">
        <f>IF(AA489&lt;60,"1",IF(AA489&lt;=43200,"2",IF(AA489&lt;=777600,"3","4")))</f>
        <v>4</v>
      </c>
      <c r="AC489" s="72">
        <f>AVERAGE(AV488:DA488)</f>
        <v>605413.33333333337</v>
      </c>
      <c r="AD489" s="69" t="str">
        <f>IF(AC489&lt;60,"1",IF(AC489&lt;=43200,"2",IF(AC489&lt;=777600,"3","4")))</f>
        <v>3</v>
      </c>
      <c r="AE489" s="87">
        <f>AA489-Y489</f>
        <v>1814360</v>
      </c>
      <c r="AF489" s="88">
        <f>AV489</f>
        <v>0.86202365308804163</v>
      </c>
      <c r="AG489" s="72">
        <f>((AW489-AV489)+(AX489-AW489))/2</f>
        <v>-5.1741130091984167E-2</v>
      </c>
      <c r="AH489" s="4"/>
      <c r="AI489" s="72">
        <f>RSQ(AV489:AX489,AV488:AX488)</f>
        <v>0.99654483686097228</v>
      </c>
      <c r="AJ489" s="110">
        <f>SLOPE(AV489:AX489,AV488:AX488)</f>
        <v>-5.5163443969516944E-8</v>
      </c>
      <c r="AK489" s="72">
        <f>INTERCEPT(AV489:AX489,AV488:AX488)</f>
        <v>0.85862664506991737</v>
      </c>
      <c r="AL489" s="72">
        <f>INDEX(LINEST(LN(AV489:AX489),LN(AV488:AX488),TRUE,TRUE),3,1)</f>
        <v>0.91175726323079698</v>
      </c>
      <c r="AM489" s="72">
        <f>INDEX(LINEST(LN(AV489:AX489),LN(AV488:AX488)),1)</f>
        <v>-1.2582240343330695E-2</v>
      </c>
      <c r="AN489" s="72">
        <f>EXP(INDEX(LINEST(LN(AV489:AX489),LN(AV488:AX488)),1,2))</f>
        <v>0.91720060364447287</v>
      </c>
      <c r="AO489" s="89">
        <f>INDEX(LINEST((AV489:AX489),LN(AV488:AX488),TRUE,TRUE),3,1)</f>
        <v>0.91375252458866574</v>
      </c>
      <c r="AP489" s="89">
        <f>INDEX(LINEST((AV489:AX489),LN(AV488:AX488)),1)</f>
        <v>-1.0174337631425416E-2</v>
      </c>
      <c r="AQ489" s="90">
        <f>INDEX(LINEST(LN(AV489:AX489),SQRT(AV488:AX488),TRUE,TRUE),3,1)</f>
        <v>0.99894507338396865</v>
      </c>
      <c r="AR489" s="117">
        <f>INDEX(LINEST(LN(AV489:AX489),SQRT((AV488:AX488))),1)</f>
        <v>-9.3725207570924372E-5</v>
      </c>
      <c r="AS489" s="91">
        <f>INDEX(LINEST(1/(AV489:AX489),1/(SQRT(AV488:AX488)),TRUE,TRUE),3,1)</f>
        <v>0.4258284617683602</v>
      </c>
      <c r="AT489" s="91">
        <f>INDEX(LINEST(1/(AV489:AX489),1/SQRT(AV488:AX488)),1)</f>
        <v>-0.68136427073619654</v>
      </c>
      <c r="AU489" s="3" t="s">
        <v>993</v>
      </c>
      <c r="AV489" s="73">
        <v>0.86202365308804163</v>
      </c>
      <c r="AW489" s="73">
        <v>0.85512483574244158</v>
      </c>
      <c r="AX489" s="73">
        <v>0.7585413929040733</v>
      </c>
      <c r="AY489" s="53"/>
      <c r="AZ489" s="53"/>
      <c r="BA489" s="53"/>
      <c r="BB489" s="53"/>
      <c r="BC489" s="53"/>
      <c r="BD489" s="53"/>
      <c r="BE489" s="53"/>
      <c r="BF489" s="53"/>
      <c r="BG489" s="53"/>
      <c r="BH489" s="53"/>
      <c r="BI489" s="53"/>
      <c r="BJ489" s="53"/>
      <c r="BK489" s="53"/>
      <c r="BL489" s="53"/>
      <c r="BM489" s="53"/>
      <c r="BN489" s="53"/>
      <c r="BO489" s="53"/>
      <c r="BP489" s="53"/>
      <c r="BQ489" s="53"/>
      <c r="BR489" s="53"/>
      <c r="BS489" s="53"/>
      <c r="BT489" s="53"/>
      <c r="BU489" s="53"/>
      <c r="BV489" s="53"/>
      <c r="BW489" s="53"/>
      <c r="BX489" s="53"/>
      <c r="BY489" s="53"/>
      <c r="BZ489" s="53"/>
      <c r="CA489" s="53"/>
      <c r="CB489" s="53"/>
      <c r="CC489" s="53"/>
      <c r="CD489" s="53"/>
      <c r="CE489" s="53"/>
      <c r="CF489" s="53"/>
      <c r="CG489" s="53"/>
      <c r="CH489" s="53"/>
      <c r="CI489" s="53"/>
      <c r="CJ489" s="53"/>
      <c r="CK489" s="53"/>
      <c r="CL489" s="53"/>
      <c r="CM489" s="53"/>
      <c r="CN489" s="53"/>
      <c r="CO489" s="53"/>
      <c r="CP489" s="53"/>
      <c r="CQ489" s="53"/>
      <c r="CR489" s="16"/>
      <c r="CS489" s="16"/>
      <c r="CT489" s="16"/>
      <c r="CU489" s="16"/>
    </row>
    <row r="490" spans="1:99" s="13" customFormat="1" ht="12" customHeight="1" x14ac:dyDescent="0.2">
      <c r="A490" s="68">
        <v>43979</v>
      </c>
      <c r="B490" s="70"/>
      <c r="C490" s="70"/>
      <c r="D490" s="69"/>
      <c r="E490" s="87"/>
      <c r="F490" s="69"/>
      <c r="G490" s="69"/>
      <c r="H490" s="69"/>
      <c r="I490" s="69"/>
      <c r="J490" s="69"/>
      <c r="K490" s="69"/>
      <c r="L490" s="69"/>
      <c r="M490" s="69"/>
      <c r="N490" s="86"/>
      <c r="O490" s="69"/>
      <c r="P490" s="69"/>
      <c r="Q490" s="69"/>
      <c r="R490" s="69"/>
      <c r="S490" s="69"/>
      <c r="T490" s="92"/>
      <c r="U490" s="69"/>
      <c r="V490" s="92"/>
      <c r="W490" s="69"/>
      <c r="X490" s="69"/>
      <c r="Y490" s="87"/>
      <c r="Z490" s="69"/>
      <c r="AA490" s="69"/>
      <c r="AB490" s="69"/>
      <c r="AC490" s="72"/>
      <c r="AD490" s="69"/>
      <c r="AE490" s="87"/>
      <c r="AF490" s="88"/>
      <c r="AG490" s="72"/>
      <c r="AH490" s="4"/>
      <c r="AI490" s="72"/>
      <c r="AJ490" s="110"/>
      <c r="AK490" s="72"/>
      <c r="AL490" s="72"/>
      <c r="AM490" s="72"/>
      <c r="AN490" s="72"/>
      <c r="AO490" s="89"/>
      <c r="AP490" s="89"/>
      <c r="AQ490" s="90"/>
      <c r="AR490" s="117"/>
      <c r="AS490" s="91"/>
      <c r="AT490" s="91"/>
      <c r="AU490" s="3"/>
      <c r="AV490" s="71">
        <v>40</v>
      </c>
      <c r="AW490" s="71">
        <f>60*30</f>
        <v>1800</v>
      </c>
      <c r="AX490" s="71">
        <f>60*60*24*7*3</f>
        <v>1814400</v>
      </c>
      <c r="AY490" s="53"/>
      <c r="AZ490" s="53"/>
      <c r="BA490" s="53"/>
      <c r="BB490" s="53"/>
      <c r="BC490" s="53"/>
      <c r="BD490" s="53"/>
      <c r="BE490" s="53"/>
      <c r="BF490" s="53"/>
      <c r="BG490" s="53"/>
      <c r="BH490" s="53"/>
      <c r="BI490" s="53"/>
      <c r="BJ490" s="53"/>
      <c r="BK490" s="53"/>
      <c r="BL490" s="53"/>
      <c r="BM490" s="53"/>
      <c r="BN490" s="53"/>
      <c r="BO490" s="53"/>
      <c r="BP490" s="53"/>
      <c r="BQ490" s="53"/>
      <c r="BR490" s="53"/>
      <c r="BS490" s="53"/>
      <c r="BT490" s="53"/>
      <c r="BU490" s="53"/>
      <c r="BV490" s="53"/>
      <c r="BW490" s="53"/>
      <c r="BX490" s="53"/>
      <c r="BY490" s="53"/>
      <c r="BZ490" s="53"/>
      <c r="CA490" s="53"/>
      <c r="CB490" s="53"/>
      <c r="CC490" s="53"/>
      <c r="CD490" s="53"/>
      <c r="CE490" s="53"/>
      <c r="CF490" s="53"/>
      <c r="CG490" s="53"/>
      <c r="CH490" s="53"/>
      <c r="CI490" s="53"/>
      <c r="CJ490" s="53"/>
      <c r="CK490" s="53"/>
      <c r="CL490" s="53"/>
      <c r="CM490" s="53"/>
      <c r="CN490" s="53"/>
      <c r="CO490" s="53"/>
      <c r="CP490" s="53"/>
      <c r="CQ490" s="53"/>
      <c r="CR490" s="16"/>
      <c r="CS490" s="16"/>
      <c r="CT490" s="16"/>
      <c r="CU490" s="16"/>
    </row>
    <row r="491" spans="1:99" s="13" customFormat="1" ht="12" customHeight="1" x14ac:dyDescent="0.2">
      <c r="A491" s="68">
        <v>43979</v>
      </c>
      <c r="B491" s="70" t="s">
        <v>986</v>
      </c>
      <c r="C491" s="70" t="s">
        <v>54</v>
      </c>
      <c r="D491" s="69">
        <v>2011</v>
      </c>
      <c r="E491" s="87">
        <v>1</v>
      </c>
      <c r="F491" s="69">
        <v>10</v>
      </c>
      <c r="G491" s="69">
        <v>10</v>
      </c>
      <c r="H491" s="69" t="s">
        <v>32</v>
      </c>
      <c r="I491" s="69" t="s">
        <v>330</v>
      </c>
      <c r="J491" s="69" t="s">
        <v>677</v>
      </c>
      <c r="K491" s="69">
        <f>IF(J491="syllables",1,IF(J491="trigrams",2,IF(J491="strings",3,IF(J491="visual array",4,IF(J491="characters",5,IF(J491="letters",6,IF(J491="free forms",7,IF(J491="odors",8,IF(J491="words",9,IF(J491="pictures",10,IF(J491="object pictures",11,IF(J491="faces",12,IF(J491="names",13,IF(J491="idioms",14,IF(J491="grades",15,IF(J491="syllable-digit pairs",16,IF(J491="trigram-word pairs",17,IF(J491="word-digit pairs",18,IF(J491="English-Swahili pairs",19,IF(J491="spatial position",20,IF(J491="word pairs",21,IF(J491="word triads",22,IF(J491="generated words",23,IF(J491="word definition pairs",24,IF(J491="math problems",25,IF(J491="famous faces",26,IF(J491="famous names",27,IF(J491="famous voices",28,IF(J491="television programs",29,IF(J491="race horses",30,IF(J491="new vocabulary",31,IF(J491="sentences",32,IF(J491="concepts",33,IF(J491="ad slides",34,IF(J491="scenes",35,IF(J491="famous scenes",36,IF(J491="poems",37,IF(J491="walk",38,IF(J491="faces and events",39,IF(J491="events and names",40,IF(J491="flashbulb",41,IF(J491="stories",42,IF(J491="course material",43,IF(J491="autobiographical",44,IF(J491="novels",45,IF(J491="public events",46,"99"))))))))))))))))))))))))))))))))))))))))))))))</f>
        <v>42</v>
      </c>
      <c r="L491" s="69">
        <f>IF(J491="syllables",1,IF(J491="trigrams",1,IF(J491="strings",1,IF(J491="visual array",1,IF(J491="characters",1,IF(J491="letters",1,IF(J491="free forms",1,IF(J491="odors",2,IF(J491="words",2,IF(J491="pictures",2,IF(J491="object pictures",2,IF(J491="faces",2,IF(J491="names",2,IF(J491="idioms","2",IF(J491="grades",2,IF(J491="syllable-digit pairs",3,IF(J491="trigram-word pairs",3,IF(J491="word-digit pairs",3,IF(J491="English-Swahili pairs",3,IF(J491="spatial position",3,IF(J491="word pairs",4,IF(J491="word triads",4,IF(J491="generated words",4,IF(J491="word definition pairs",4,IF(J491="math problems",4,IF(J491="famous faces",4,IF(J491="famous names",4,IF(J491="famous voices",4,IF(J491="television programs",4,IF(J491="race horses",4,IF(J491="new vocabulary",4,IF(J491="sentences",5,IF(J491="concepts",5,IF(J491="ad slides",5,IF(J491="scenes",5,IF(J491="famous scenes",5,IF(J491="poems",6,IF(J491="walk",6,IF(J491="faces and events",6,IF(J491="events and names",6,IF(J491="flashbulb",7,IF(J491="stories",7,IF(J491="course material",7,IF(J491="autobiographical",7,IF(J491="novels",7,IF(J491="public events",7,"99"))))))))))))))))))))))))))))))))))))))))))))))</f>
        <v>7</v>
      </c>
      <c r="M491" s="69">
        <v>0</v>
      </c>
      <c r="N491" s="86">
        <v>3</v>
      </c>
      <c r="O491" s="69">
        <v>0</v>
      </c>
      <c r="P491" s="69"/>
      <c r="Q491" s="69" t="s">
        <v>182</v>
      </c>
      <c r="R491" s="69">
        <f>IF(Q491="Free Recall",1,IF(Q491="Cued Recall",2,IF(Q491="Recognition",3,IF(Q491="Multiple Choice",4,IF(Q491="Savings",5,IF(Q491="Stem Completion",6,IF(Q491="Fragment Completion",7,IF(Q491="anagram solution",8,IF(Q491="Matching",9,IF(Q491="Problem Solving",10,"99"))))))))))</f>
        <v>4</v>
      </c>
      <c r="S491" s="69" t="s">
        <v>15</v>
      </c>
      <c r="T491" s="92" t="s">
        <v>581</v>
      </c>
      <c r="U491" s="69">
        <f>IF(T491="within",1,0)</f>
        <v>1</v>
      </c>
      <c r="V491" s="92">
        <f>12*3</f>
        <v>36</v>
      </c>
      <c r="W491" s="69">
        <f>F491*V491</f>
        <v>360</v>
      </c>
      <c r="X491" s="69">
        <v>3</v>
      </c>
      <c r="Y491" s="87">
        <f>AV490</f>
        <v>40</v>
      </c>
      <c r="Z491" s="69" t="s">
        <v>165</v>
      </c>
      <c r="AA491" s="69">
        <f>60*60*24*7*3</f>
        <v>1814400</v>
      </c>
      <c r="AB491" s="69" t="str">
        <f>IF(AA491&lt;60,"1",IF(AA491&lt;=43200,"2",IF(AA491&lt;=777600,"3","4")))</f>
        <v>4</v>
      </c>
      <c r="AC491" s="72">
        <f>AVERAGE(AV490:DA490)</f>
        <v>605413.33333333337</v>
      </c>
      <c r="AD491" s="69" t="str">
        <f>IF(AC491&lt;60,"1",IF(AC491&lt;=43200,"2",IF(AC491&lt;=777600,"3","4")))</f>
        <v>3</v>
      </c>
      <c r="AE491" s="87">
        <f>AA491-Y491</f>
        <v>1814360</v>
      </c>
      <c r="AF491" s="88">
        <f>AV491</f>
        <v>0.884691195795</v>
      </c>
      <c r="AG491" s="72">
        <f>((AW491-AV491)+(AX491-AW491))/2</f>
        <v>-6.4060446780548785E-2</v>
      </c>
      <c r="AH491" s="4"/>
      <c r="AI491" s="72">
        <f>RSQ(AV491:AX491,AV490:AX490)</f>
        <v>0.88438127462016358</v>
      </c>
      <c r="AJ491" s="110">
        <f>SLOPE(AV491:AX491,AV490:AX490)</f>
        <v>-5.8439205230934507E-8</v>
      </c>
      <c r="AK491" s="72">
        <f>INTERCEPT(AV491:AX491,AV490:AX490)</f>
        <v>0.86258092528456431</v>
      </c>
      <c r="AL491" s="72">
        <f>INDEX(LINEST(LN(AV491:AX491),LN(AV490:AX490),TRUE,TRUE),3,1)</f>
        <v>0.99913836426692693</v>
      </c>
      <c r="AM491" s="72">
        <f>INDEX(LINEST(LN(AV491:AX491),LN(AV490:AX490)),1)</f>
        <v>-1.4662416901925495E-2</v>
      </c>
      <c r="AN491" s="72">
        <f>EXP(INDEX(LINEST(LN(AV491:AX491),LN(AV490:AX490)),1,2))</f>
        <v>0.93546689892969104</v>
      </c>
      <c r="AO491" s="89">
        <f>INDEX(LINEST((AV491:AX491),LN(AV490:AX490),TRUE,TRUE),3,1)</f>
        <v>0.99990116265622409</v>
      </c>
      <c r="AP491" s="89">
        <f>INDEX(LINEST((AV491:AX491),LN(AV490:AX490)),1)</f>
        <v>-1.1968837435104837E-2</v>
      </c>
      <c r="AQ491" s="90">
        <f>INDEX(LINEST(LN(AV491:AX491),SQRT(AV490:AX490),TRUE,TRUE),3,1)</f>
        <v>0.90997500537961029</v>
      </c>
      <c r="AR491" s="117">
        <f>INDEX(LINEST(LN(AV491:AX491),SQRT((AV490:AX490))),1)</f>
        <v>-9.9580596492972141E-5</v>
      </c>
      <c r="AS491" s="91">
        <f>INDEX(LINEST(1/(AV491:AX491),1/(SQRT(AV490:AX490)),TRUE,TRUE),3,1)</f>
        <v>0.67826014604307105</v>
      </c>
      <c r="AT491" s="91">
        <f>INDEX(LINEST(1/(AV491:AX491),1/SQRT(AV490:AX490)),1)</f>
        <v>-0.94857037619716189</v>
      </c>
      <c r="AU491" s="3"/>
      <c r="AV491" s="73">
        <v>0.884691195795</v>
      </c>
      <c r="AW491" s="73">
        <v>0.84034165571615826</v>
      </c>
      <c r="AX491" s="73">
        <v>0.75657030223390243</v>
      </c>
      <c r="AY491" s="53"/>
      <c r="AZ491" s="53"/>
      <c r="BA491" s="53"/>
      <c r="BB491" s="53"/>
      <c r="BC491" s="53"/>
      <c r="BD491" s="53"/>
      <c r="BE491" s="53"/>
      <c r="BF491" s="53"/>
      <c r="BG491" s="53"/>
      <c r="BH491" s="53"/>
      <c r="BI491" s="53"/>
      <c r="BJ491" s="53"/>
      <c r="BK491" s="53"/>
      <c r="BL491" s="53"/>
      <c r="BM491" s="53"/>
      <c r="BN491" s="53"/>
      <c r="BO491" s="53"/>
      <c r="BP491" s="53"/>
      <c r="BQ491" s="53"/>
      <c r="BR491" s="53"/>
      <c r="BS491" s="53"/>
      <c r="BT491" s="53"/>
      <c r="BU491" s="53"/>
      <c r="BV491" s="53"/>
      <c r="BW491" s="53"/>
      <c r="BX491" s="53"/>
      <c r="BY491" s="53"/>
      <c r="BZ491" s="53"/>
      <c r="CA491" s="53"/>
      <c r="CB491" s="53"/>
      <c r="CC491" s="53"/>
      <c r="CD491" s="53"/>
      <c r="CE491" s="53"/>
      <c r="CF491" s="53"/>
      <c r="CG491" s="53"/>
      <c r="CH491" s="53"/>
      <c r="CI491" s="53"/>
      <c r="CJ491" s="53"/>
      <c r="CK491" s="53"/>
      <c r="CL491" s="53"/>
      <c r="CM491" s="53"/>
      <c r="CN491" s="53"/>
      <c r="CO491" s="53"/>
      <c r="CP491" s="53"/>
      <c r="CQ491" s="53"/>
      <c r="CR491" s="16"/>
      <c r="CS491" s="16"/>
      <c r="CT491" s="16"/>
      <c r="CU491" s="16"/>
    </row>
    <row r="492" spans="1:99" s="13" customFormat="1" ht="12" customHeight="1" x14ac:dyDescent="0.2">
      <c r="A492" s="65">
        <v>43979</v>
      </c>
      <c r="B492" s="1"/>
      <c r="C492" s="1"/>
      <c r="D492" s="60"/>
      <c r="E492" s="76"/>
      <c r="F492" s="60"/>
      <c r="G492" s="60"/>
      <c r="H492" s="60"/>
      <c r="I492" s="60"/>
      <c r="J492" s="60"/>
      <c r="K492" s="60"/>
      <c r="L492" s="60"/>
      <c r="M492" s="60"/>
      <c r="N492" s="61"/>
      <c r="O492" s="60"/>
      <c r="P492" s="60"/>
      <c r="Q492" s="60"/>
      <c r="R492" s="60"/>
      <c r="S492" s="60"/>
      <c r="T492" s="59"/>
      <c r="U492" s="60"/>
      <c r="V492" s="59"/>
      <c r="W492" s="60"/>
      <c r="X492" s="60"/>
      <c r="Y492" s="76"/>
      <c r="Z492" s="60"/>
      <c r="AA492" s="60"/>
      <c r="AB492" s="60"/>
      <c r="AC492" s="56"/>
      <c r="AD492" s="60"/>
      <c r="AE492" s="76"/>
      <c r="AF492" s="80"/>
      <c r="AG492" s="56"/>
      <c r="AH492" s="4"/>
      <c r="AI492" s="56"/>
      <c r="AJ492" s="109"/>
      <c r="AK492" s="56"/>
      <c r="AL492" s="56"/>
      <c r="AM492" s="56"/>
      <c r="AN492" s="56"/>
      <c r="AO492" s="82"/>
      <c r="AP492" s="82"/>
      <c r="AQ492" s="83"/>
      <c r="AR492" s="116"/>
      <c r="AS492" s="84"/>
      <c r="AT492" s="84"/>
      <c r="AU492" s="3"/>
      <c r="AV492" s="25">
        <f>60*60*3</f>
        <v>10800</v>
      </c>
      <c r="AW492" s="25">
        <f>60*60*24</f>
        <v>86400</v>
      </c>
      <c r="AX492" s="25">
        <f>60*60*24*7</f>
        <v>604800</v>
      </c>
      <c r="AY492" s="25">
        <f>60*60*24*7*3</f>
        <v>1814400</v>
      </c>
      <c r="AZ492" s="53"/>
      <c r="BA492" s="53"/>
      <c r="BB492" s="53"/>
      <c r="BC492" s="53"/>
      <c r="BD492" s="53"/>
      <c r="BE492" s="53"/>
      <c r="BF492" s="53"/>
      <c r="BG492" s="53"/>
      <c r="BH492" s="53"/>
      <c r="BI492" s="53"/>
      <c r="BJ492" s="53"/>
      <c r="BK492" s="53"/>
      <c r="BL492" s="53"/>
      <c r="BM492" s="53"/>
      <c r="BN492" s="53"/>
      <c r="BO492" s="53"/>
      <c r="BP492" s="53"/>
      <c r="BQ492" s="53"/>
      <c r="BR492" s="53"/>
      <c r="BS492" s="53"/>
      <c r="BT492" s="53"/>
      <c r="BU492" s="53"/>
      <c r="BV492" s="53"/>
      <c r="BW492" s="53"/>
      <c r="BX492" s="53"/>
      <c r="BY492" s="53"/>
      <c r="BZ492" s="53"/>
      <c r="CA492" s="53"/>
      <c r="CB492" s="53"/>
      <c r="CC492" s="53"/>
      <c r="CD492" s="53"/>
      <c r="CE492" s="53"/>
      <c r="CF492" s="53"/>
      <c r="CG492" s="53"/>
      <c r="CH492" s="53"/>
      <c r="CI492" s="53"/>
      <c r="CJ492" s="53"/>
      <c r="CK492" s="53"/>
      <c r="CL492" s="53"/>
      <c r="CM492" s="53"/>
      <c r="CN492" s="53"/>
      <c r="CO492" s="53"/>
      <c r="CP492" s="53"/>
      <c r="CQ492" s="53"/>
      <c r="CR492" s="16"/>
      <c r="CS492" s="16"/>
      <c r="CT492" s="16"/>
      <c r="CU492" s="16"/>
    </row>
    <row r="493" spans="1:99" s="13" customFormat="1" ht="12" customHeight="1" x14ac:dyDescent="0.2">
      <c r="A493" s="65">
        <v>43979</v>
      </c>
      <c r="B493" s="1" t="s">
        <v>996</v>
      </c>
      <c r="C493" s="1" t="s">
        <v>54</v>
      </c>
      <c r="D493" s="60">
        <v>2010</v>
      </c>
      <c r="E493" s="76">
        <v>1</v>
      </c>
      <c r="F493" s="60">
        <v>11</v>
      </c>
      <c r="G493" s="60">
        <v>11</v>
      </c>
      <c r="H493" s="60" t="s">
        <v>32</v>
      </c>
      <c r="I493" s="60" t="s">
        <v>998</v>
      </c>
      <c r="J493" s="60" t="s">
        <v>622</v>
      </c>
      <c r="K493" s="60">
        <f>IF(J493="syllables",1,IF(J493="trigrams",2,IF(J493="strings",3,IF(J493="visual array",4,IF(J493="characters",5,IF(J493="letters",6,IF(J493="free forms",7,IF(J493="odors",8,IF(J493="words",9,IF(J493="pictures",10,IF(J493="object pictures",11,IF(J493="faces",12,IF(J493="names",13,IF(J493="idioms",14,IF(J493="grades",15,IF(J493="syllable-digit pairs",16,IF(J493="trigram-word pairs",17,IF(J493="word-digit pairs",18,IF(J493="English-Swahili pairs",19,IF(J493="spatial position",20,IF(J493="word pairs",21,IF(J493="word triads",22,IF(J493="generated words",23,IF(J493="word definition pairs",24,IF(J493="math problems",25,IF(J493="famous faces",26,IF(J493="famous names",27,IF(J493="famous voices",28,IF(J493="television programs",29,IF(J493="race horses",30,IF(J493="new vocabulary",31,IF(J493="sentences",32,IF(J493="concepts",33,IF(J493="ad slides",34,IF(J493="scenes",35,IF(J493="famous scenes",36,IF(J493="poems",37,IF(J493="walk",38,IF(J493="faces and events",39,IF(J493="events and names",40,IF(J493="flashbulb",41,IF(J493="stories",42,IF(J493="course material",43,IF(J493="autobiographical",44,IF(J493="novels",45,IF(J493="public events",46,"99"))))))))))))))))))))))))))))))))))))))))))))))</f>
        <v>44</v>
      </c>
      <c r="L493" s="60">
        <f>IF(J493="syllables",1,IF(J493="trigrams",1,IF(J493="strings",1,IF(J493="visual array",1,IF(J493="characters",1,IF(J493="letters",1,IF(J493="free forms",1,IF(J493="odors",2,IF(J493="words",2,IF(J493="pictures",2,IF(J493="object pictures",2,IF(J493="faces",2,IF(J493="names",2,IF(J493="idioms","2",IF(J493="grades",2,IF(J493="syllable-digit pairs",3,IF(J493="trigram-word pairs",3,IF(J493="word-digit pairs",3,IF(J493="English-Swahili pairs",3,IF(J493="spatial position",3,IF(J493="word pairs",4,IF(J493="word triads",4,IF(J493="generated words",4,IF(J493="word definition pairs",4,IF(J493="math problems",4,IF(J493="famous faces",4,IF(J493="famous names",4,IF(J493="famous voices",4,IF(J493="television programs",4,IF(J493="race horses",4,IF(J493="new vocabulary",4,IF(J493="sentences",5,IF(J493="concepts",5,IF(J493="ad slides",5,IF(J493="scenes",5,IF(J493="famous scenes",5,IF(J493="poems",6,IF(J493="walk",6,IF(J493="faces and events",6,IF(J493="events and names",6,IF(J493="flashbulb",7,IF(J493="stories",7,IF(J493="course material",7,IF(J493="autobiographical",7,IF(J493="novels",7,IF(J493="public events",7,"99"))))))))))))))))))))))))))))))))))))))))))))))</f>
        <v>7</v>
      </c>
      <c r="M493" s="60">
        <v>0</v>
      </c>
      <c r="N493" s="61">
        <v>3</v>
      </c>
      <c r="O493" s="60">
        <v>0</v>
      </c>
      <c r="P493" s="60"/>
      <c r="Q493" s="60" t="s">
        <v>174</v>
      </c>
      <c r="R493" s="60">
        <f>IF(Q493="Free Recall",1,IF(Q493="Cued Recall",2,IF(Q493="Recognition",3,IF(Q493="Multiple Choice",4,IF(Q493="Savings",5,IF(Q493="Stem Completion",6,IF(Q493="Fragment Completion",7,IF(Q493="anagram solution",8,IF(Q493="Matching",9,IF(Q493="Problem Solving",10,"99"))))))))))</f>
        <v>1</v>
      </c>
      <c r="S493" s="60" t="s">
        <v>15</v>
      </c>
      <c r="T493" s="59" t="s">
        <v>581</v>
      </c>
      <c r="U493" s="60">
        <f>IF(T493="within",1,0)</f>
        <v>1</v>
      </c>
      <c r="V493" s="59">
        <v>40</v>
      </c>
      <c r="W493" s="60">
        <f>F493*V493</f>
        <v>440</v>
      </c>
      <c r="X493" s="60">
        <v>4</v>
      </c>
      <c r="Y493" s="76">
        <f>AV492</f>
        <v>10800</v>
      </c>
      <c r="Z493" s="60" t="s">
        <v>165</v>
      </c>
      <c r="AA493" s="60">
        <f>60*60*24*7*3</f>
        <v>1814400</v>
      </c>
      <c r="AB493" s="60" t="str">
        <f>IF(AA493&lt;60,"1",IF(AA493&lt;=43200,"2",IF(AA493&lt;=777600,"3","4")))</f>
        <v>4</v>
      </c>
      <c r="AC493" s="56">
        <f>AVERAGE(AV492:DA492)</f>
        <v>629100</v>
      </c>
      <c r="AD493" s="60" t="str">
        <f>IF(AC493&lt;60,"1",IF(AC493&lt;=43200,"2",IF(AC493&lt;=777600,"3","4")))</f>
        <v>3</v>
      </c>
      <c r="AE493" s="76">
        <f>AA493-Y493</f>
        <v>1803600</v>
      </c>
      <c r="AF493" s="80">
        <f>AV493</f>
        <v>0.88722493887530507</v>
      </c>
      <c r="AG493" s="58">
        <f>((AW493-AV493)+(AX493-AW493)+(AY493-AX493))/3</f>
        <v>-2.1393643031783669E-3</v>
      </c>
      <c r="AH493" s="4"/>
      <c r="AI493" s="56">
        <f>RSQ(AV493:AY493,AV492:AY492)</f>
        <v>1.627219441281874E-3</v>
      </c>
      <c r="AJ493" s="109">
        <f>SLOPE(AV493:AY493,AV492:AY492)</f>
        <v>1.3861736528887394E-9</v>
      </c>
      <c r="AK493" s="56">
        <f>INTERCEPT(AV493:AY493,AV492:AY492)</f>
        <v>0.86480644226254699</v>
      </c>
      <c r="AL493" s="56">
        <f>INDEX(LINEST(LN(AV493:AY493),LN(AV492:AY492),TRUE,TRUE),3,1)</f>
        <v>0.16879329139880955</v>
      </c>
      <c r="AM493" s="56">
        <f>INDEX(LINEST(LN(AV493:AY493),LN(AV492:AY492)),1)</f>
        <v>-6.1115221213029116E-3</v>
      </c>
      <c r="AN493" s="56">
        <f>EXP(INDEX(LINEST(LN(AV493:AY493),LN(AV492:AY492)),1,2))</f>
        <v>0.93170031783907981</v>
      </c>
      <c r="AO493" s="82">
        <f>INDEX(LINEST((AV493:AY493),LN(AV492:AY492),TRUE,TRUE),3,1)</f>
        <v>0.17022703107303505</v>
      </c>
      <c r="AP493" s="82">
        <f>INDEX(LINEST((AV493:AY493),LN(AV492:AY492)),1)</f>
        <v>-5.2370834087365073E-3</v>
      </c>
      <c r="AQ493" s="83">
        <f>INDEX(LINEST(LN(AV493:AY493),SQRT(AV492:AY492),TRUE,TRUE),3,1)</f>
        <v>3.0457092529913389E-2</v>
      </c>
      <c r="AR493" s="116">
        <f>INDEX(LINEST(LN(AV493:AY493),SQRT((AV492:AY492))),1)</f>
        <v>-1.0541506048369215E-5</v>
      </c>
      <c r="AS493" s="84">
        <f>INDEX(LINEST(1/(AV493:AY493),1/(SQRT(AV492:AY492)),TRUE,TRUE),3,1)</f>
        <v>0.26411387501985062</v>
      </c>
      <c r="AT493" s="84">
        <f>INDEX(LINEST(1/(AV493:AY493),1/SQRT(AV492:AY492)),1)</f>
        <v>-4.9656523687648244</v>
      </c>
      <c r="AU493" s="3"/>
      <c r="AV493" s="53">
        <v>0.88722493887530507</v>
      </c>
      <c r="AW493" s="53">
        <v>0.87072127139364297</v>
      </c>
      <c r="AX493" s="53">
        <v>0.82396088019559899</v>
      </c>
      <c r="AY493" s="53">
        <v>0.88080684596576997</v>
      </c>
      <c r="AZ493" s="53"/>
      <c r="BA493" s="53"/>
      <c r="BB493" s="53"/>
      <c r="BC493" s="53"/>
      <c r="BD493" s="53"/>
      <c r="BE493" s="53"/>
      <c r="BF493" s="53"/>
      <c r="BG493" s="53"/>
      <c r="BH493" s="53"/>
      <c r="BI493" s="53"/>
      <c r="BJ493" s="53"/>
      <c r="BK493" s="53"/>
      <c r="BL493" s="53"/>
      <c r="BM493" s="53"/>
      <c r="BN493" s="53"/>
      <c r="BO493" s="53"/>
      <c r="BP493" s="53"/>
      <c r="BQ493" s="53"/>
      <c r="BR493" s="53"/>
      <c r="BS493" s="53"/>
      <c r="BT493" s="53"/>
      <c r="BU493" s="53"/>
      <c r="BV493" s="53"/>
      <c r="BW493" s="53"/>
      <c r="BX493" s="53"/>
      <c r="BY493" s="53"/>
      <c r="BZ493" s="53"/>
      <c r="CA493" s="53"/>
      <c r="CB493" s="53"/>
      <c r="CC493" s="53"/>
      <c r="CD493" s="53"/>
      <c r="CE493" s="53"/>
      <c r="CF493" s="53"/>
      <c r="CG493" s="53"/>
      <c r="CH493" s="53"/>
      <c r="CI493" s="53"/>
      <c r="CJ493" s="53"/>
      <c r="CK493" s="53"/>
      <c r="CL493" s="53"/>
      <c r="CM493" s="53"/>
      <c r="CN493" s="53"/>
      <c r="CO493" s="53"/>
      <c r="CP493" s="53"/>
      <c r="CQ493" s="53"/>
      <c r="CR493" s="16"/>
      <c r="CS493" s="16"/>
      <c r="CT493" s="16"/>
      <c r="CU493" s="16"/>
    </row>
    <row r="494" spans="1:99" s="13" customFormat="1" ht="12" customHeight="1" x14ac:dyDescent="0.2">
      <c r="A494" s="65">
        <v>43979</v>
      </c>
      <c r="B494" s="1"/>
      <c r="C494" s="1"/>
      <c r="D494" s="60"/>
      <c r="E494" s="76"/>
      <c r="F494" s="60"/>
      <c r="G494" s="60"/>
      <c r="H494" s="60"/>
      <c r="I494" s="60"/>
      <c r="J494" s="60"/>
      <c r="K494" s="60"/>
      <c r="L494" s="60"/>
      <c r="M494" s="60"/>
      <c r="N494" s="61"/>
      <c r="O494" s="60"/>
      <c r="P494" s="60"/>
      <c r="Q494" s="60"/>
      <c r="R494" s="60"/>
      <c r="S494" s="60"/>
      <c r="T494" s="59"/>
      <c r="U494" s="60"/>
      <c r="V494" s="59"/>
      <c r="W494" s="60"/>
      <c r="X494" s="60"/>
      <c r="Y494" s="76"/>
      <c r="Z494" s="60"/>
      <c r="AA494" s="60"/>
      <c r="AB494" s="60"/>
      <c r="AC494" s="56"/>
      <c r="AD494" s="60"/>
      <c r="AE494" s="76"/>
      <c r="AF494" s="80"/>
      <c r="AG494" s="56"/>
      <c r="AH494" s="4"/>
      <c r="AI494" s="56"/>
      <c r="AJ494" s="109"/>
      <c r="AK494" s="56"/>
      <c r="AL494" s="56"/>
      <c r="AM494" s="56"/>
      <c r="AN494" s="56"/>
      <c r="AO494" s="82"/>
      <c r="AP494" s="82"/>
      <c r="AQ494" s="83"/>
      <c r="AR494" s="116"/>
      <c r="AS494" s="84"/>
      <c r="AT494" s="84"/>
      <c r="AU494" s="3"/>
      <c r="AV494" s="25">
        <f>60*60*3</f>
        <v>10800</v>
      </c>
      <c r="AW494" s="25">
        <f>60*60*24</f>
        <v>86400</v>
      </c>
      <c r="AX494" s="25">
        <f>60*60*24*7</f>
        <v>604800</v>
      </c>
      <c r="AY494" s="25">
        <f>60*60*24*7*3</f>
        <v>1814400</v>
      </c>
      <c r="AZ494" s="53"/>
      <c r="BA494" s="53"/>
      <c r="BB494" s="53"/>
      <c r="BC494" s="53"/>
      <c r="BD494" s="53"/>
      <c r="BE494" s="53"/>
      <c r="BF494" s="53"/>
      <c r="BG494" s="53"/>
      <c r="BH494" s="53"/>
      <c r="BI494" s="53"/>
      <c r="BJ494" s="53"/>
      <c r="BK494" s="53"/>
      <c r="BL494" s="53"/>
      <c r="BM494" s="53"/>
      <c r="BN494" s="53"/>
      <c r="BO494" s="53"/>
      <c r="BP494" s="53"/>
      <c r="BQ494" s="53"/>
      <c r="BR494" s="53"/>
      <c r="BS494" s="53"/>
      <c r="BT494" s="53"/>
      <c r="BU494" s="53"/>
      <c r="BV494" s="53"/>
      <c r="BW494" s="53"/>
      <c r="BX494" s="53"/>
      <c r="BY494" s="53"/>
      <c r="BZ494" s="53"/>
      <c r="CA494" s="53"/>
      <c r="CB494" s="53"/>
      <c r="CC494" s="53"/>
      <c r="CD494" s="53"/>
      <c r="CE494" s="53"/>
      <c r="CF494" s="53"/>
      <c r="CG494" s="53"/>
      <c r="CH494" s="53"/>
      <c r="CI494" s="53"/>
      <c r="CJ494" s="53"/>
      <c r="CK494" s="53"/>
      <c r="CL494" s="53"/>
      <c r="CM494" s="53"/>
      <c r="CN494" s="53"/>
      <c r="CO494" s="53"/>
      <c r="CP494" s="53"/>
      <c r="CQ494" s="53"/>
      <c r="CR494" s="16"/>
      <c r="CS494" s="16"/>
      <c r="CT494" s="16"/>
      <c r="CU494" s="16"/>
    </row>
    <row r="495" spans="1:99" s="13" customFormat="1" ht="12" customHeight="1" x14ac:dyDescent="0.2">
      <c r="A495" s="65">
        <v>43979</v>
      </c>
      <c r="B495" s="1" t="s">
        <v>996</v>
      </c>
      <c r="C495" s="1" t="s">
        <v>54</v>
      </c>
      <c r="D495" s="60">
        <v>2010</v>
      </c>
      <c r="E495" s="76">
        <v>1</v>
      </c>
      <c r="F495" s="60">
        <v>11</v>
      </c>
      <c r="G495" s="60">
        <v>11</v>
      </c>
      <c r="H495" s="60" t="s">
        <v>32</v>
      </c>
      <c r="I495" s="60" t="s">
        <v>999</v>
      </c>
      <c r="J495" s="60" t="s">
        <v>622</v>
      </c>
      <c r="K495" s="60">
        <f>IF(J495="syllables",1,IF(J495="trigrams",2,IF(J495="strings",3,IF(J495="visual array",4,IF(J495="characters",5,IF(J495="letters",6,IF(J495="free forms",7,IF(J495="odors",8,IF(J495="words",9,IF(J495="pictures",10,IF(J495="object pictures",11,IF(J495="faces",12,IF(J495="names",13,IF(J495="idioms",14,IF(J495="grades",15,IF(J495="syllable-digit pairs",16,IF(J495="trigram-word pairs",17,IF(J495="word-digit pairs",18,IF(J495="English-Swahili pairs",19,IF(J495="spatial position",20,IF(J495="word pairs",21,IF(J495="word triads",22,IF(J495="generated words",23,IF(J495="word definition pairs",24,IF(J495="math problems",25,IF(J495="famous faces",26,IF(J495="famous names",27,IF(J495="famous voices",28,IF(J495="television programs",29,IF(J495="race horses",30,IF(J495="new vocabulary",31,IF(J495="sentences",32,IF(J495="concepts",33,IF(J495="ad slides",34,IF(J495="scenes",35,IF(J495="famous scenes",36,IF(J495="poems",37,IF(J495="walk",38,IF(J495="faces and events",39,IF(J495="events and names",40,IF(J495="flashbulb",41,IF(J495="stories",42,IF(J495="course material",43,IF(J495="autobiographical",44,IF(J495="novels",45,IF(J495="public events",46,"99"))))))))))))))))))))))))))))))))))))))))))))))</f>
        <v>44</v>
      </c>
      <c r="L495" s="60">
        <f>IF(J495="syllables",1,IF(J495="trigrams",1,IF(J495="strings",1,IF(J495="visual array",1,IF(J495="characters",1,IF(J495="letters",1,IF(J495="free forms",1,IF(J495="odors",2,IF(J495="words",2,IF(J495="pictures",2,IF(J495="object pictures",2,IF(J495="faces",2,IF(J495="names",2,IF(J495="idioms","2",IF(J495="grades",2,IF(J495="syllable-digit pairs",3,IF(J495="trigram-word pairs",3,IF(J495="word-digit pairs",3,IF(J495="English-Swahili pairs",3,IF(J495="spatial position",3,IF(J495="word pairs",4,IF(J495="word triads",4,IF(J495="generated words",4,IF(J495="word definition pairs",4,IF(J495="math problems",4,IF(J495="famous faces",4,IF(J495="famous names",4,IF(J495="famous voices",4,IF(J495="television programs",4,IF(J495="race horses",4,IF(J495="new vocabulary",4,IF(J495="sentences",5,IF(J495="concepts",5,IF(J495="ad slides",5,IF(J495="scenes",5,IF(J495="famous scenes",5,IF(J495="poems",6,IF(J495="walk",6,IF(J495="faces and events",6,IF(J495="events and names",6,IF(J495="flashbulb",7,IF(J495="stories",7,IF(J495="course material",7,IF(J495="autobiographical",7,IF(J495="novels",7,IF(J495="public events",7,"99"))))))))))))))))))))))))))))))))))))))))))))))</f>
        <v>7</v>
      </c>
      <c r="M495" s="60">
        <v>0</v>
      </c>
      <c r="N495" s="61">
        <v>3</v>
      </c>
      <c r="O495" s="60">
        <v>0</v>
      </c>
      <c r="P495" s="60"/>
      <c r="Q495" s="60" t="s">
        <v>174</v>
      </c>
      <c r="R495" s="60">
        <f>IF(Q495="Free Recall",1,IF(Q495="Cued Recall",2,IF(Q495="Recognition",3,IF(Q495="Multiple Choice",4,IF(Q495="Savings",5,IF(Q495="Stem Completion",6,IF(Q495="Fragment Completion",7,IF(Q495="anagram solution",8,IF(Q495="Matching",9,IF(Q495="Problem Solving",10,"99"))))))))))</f>
        <v>1</v>
      </c>
      <c r="S495" s="60" t="s">
        <v>15</v>
      </c>
      <c r="T495" s="59" t="s">
        <v>581</v>
      </c>
      <c r="U495" s="60">
        <f>IF(T495="within",1,0)</f>
        <v>1</v>
      </c>
      <c r="V495" s="59">
        <v>40</v>
      </c>
      <c r="W495" s="60">
        <f>F495*V495</f>
        <v>440</v>
      </c>
      <c r="X495" s="60">
        <v>4</v>
      </c>
      <c r="Y495" s="76">
        <f>AV494</f>
        <v>10800</v>
      </c>
      <c r="Z495" s="60" t="s">
        <v>165</v>
      </c>
      <c r="AA495" s="60">
        <f>60*60*24*7*3</f>
        <v>1814400</v>
      </c>
      <c r="AB495" s="60" t="str">
        <f>IF(AA495&lt;60,"1",IF(AA495&lt;=43200,"2",IF(AA495&lt;=777600,"3","4")))</f>
        <v>4</v>
      </c>
      <c r="AC495" s="56">
        <f>AVERAGE(AV494:DA494)</f>
        <v>629100</v>
      </c>
      <c r="AD495" s="60" t="str">
        <f>IF(AC495&lt;60,"1",IF(AC495&lt;=43200,"2",IF(AC495&lt;=777600,"3","4")))</f>
        <v>3</v>
      </c>
      <c r="AE495" s="76">
        <f>AA495-Y495</f>
        <v>1803600</v>
      </c>
      <c r="AF495" s="80">
        <f>AV495</f>
        <v>0.83031927876254696</v>
      </c>
      <c r="AG495" s="58">
        <f>((AW495-AV495)+(AX495-AW495)+(AY495-AX495))/3</f>
        <v>-2.672548585898667E-2</v>
      </c>
      <c r="AH495" s="4"/>
      <c r="AI495" s="56">
        <f>RSQ(AV495:AY495,AV494:AY494)</f>
        <v>0.86048333934124466</v>
      </c>
      <c r="AJ495" s="109">
        <f>SLOPE(AV495:AY495,AV494:AY494)</f>
        <v>-5.5278610017150303E-8</v>
      </c>
      <c r="AK495" s="56">
        <f>INTERCEPT(AV495:AY495,AV494:AY494)</f>
        <v>0.84818289784100909</v>
      </c>
      <c r="AL495" s="56">
        <f>INDEX(LINEST(LN(AV495:AY495),LN(AV494:AY494),TRUE,TRUE),3,1)</f>
        <v>0.53974398262131162</v>
      </c>
      <c r="AM495" s="56">
        <f>INDEX(LINEST(LN(AV495:AY495),LN(AV494:AY494)),1)</f>
        <v>-2.0057967977810107E-2</v>
      </c>
      <c r="AN495" s="56">
        <f>EXP(INDEX(LINEST(LN(AV495:AY495),LN(AV494:AY494)),1,2))</f>
        <v>1.03526133060083</v>
      </c>
      <c r="AO495" s="82">
        <f>INDEX(LINEST((AV495:AY495),LN(AV494:AY494),TRUE,TRUE),3,1)</f>
        <v>0.53060755857755748</v>
      </c>
      <c r="AP495" s="82">
        <f>INDEX(LINEST((AV495:AY495),LN(AV494:AY494)),1)</f>
        <v>-1.6034419735631921E-2</v>
      </c>
      <c r="AQ495" s="83">
        <f>INDEX(LINEST(LN(AV495:AY495),SQRT(AV494:AY494),TRUE,TRUE),3,1)</f>
        <v>0.81213564137798999</v>
      </c>
      <c r="AR495" s="116">
        <f>INDEX(LINEST(LN(AV495:AY495),SQRT((AV494:AY494))),1)</f>
        <v>-9.9906549052019523E-5</v>
      </c>
      <c r="AS495" s="84">
        <f>INDEX(LINEST(1/(AV495:AY495),1/(SQRT(AV494:AY494)),TRUE,TRUE),3,1)</f>
        <v>0.2470703199944598</v>
      </c>
      <c r="AT495" s="84">
        <f>INDEX(LINEST(1/(AV495:AY495),1/SQRT(AV494:AY494)),1)</f>
        <v>-9.3457051588124678</v>
      </c>
      <c r="AU495" s="3"/>
      <c r="AV495" s="53">
        <v>0.83031927876254696</v>
      </c>
      <c r="AW495" s="53">
        <v>0.86845882783659212</v>
      </c>
      <c r="AX495" s="53">
        <v>0.80470756933215304</v>
      </c>
      <c r="AY495" s="53">
        <v>0.75014282118558695</v>
      </c>
      <c r="AZ495" s="53"/>
      <c r="BA495" s="53"/>
      <c r="BB495" s="53"/>
      <c r="BC495" s="53"/>
      <c r="BD495" s="53"/>
      <c r="BE495" s="53"/>
      <c r="BF495" s="53"/>
      <c r="BG495" s="53"/>
      <c r="BH495" s="53"/>
      <c r="BI495" s="53"/>
      <c r="BJ495" s="53"/>
      <c r="BK495" s="53"/>
      <c r="BL495" s="53"/>
      <c r="BM495" s="53"/>
      <c r="BN495" s="53"/>
      <c r="BO495" s="53"/>
      <c r="BP495" s="53"/>
      <c r="BQ495" s="53"/>
      <c r="BR495" s="53"/>
      <c r="BS495" s="53"/>
      <c r="BT495" s="53"/>
      <c r="BU495" s="53"/>
      <c r="BV495" s="53"/>
      <c r="BW495" s="53"/>
      <c r="BX495" s="53"/>
      <c r="BY495" s="53"/>
      <c r="BZ495" s="53"/>
      <c r="CA495" s="53"/>
      <c r="CB495" s="53"/>
      <c r="CC495" s="53"/>
      <c r="CD495" s="53"/>
      <c r="CE495" s="53"/>
      <c r="CF495" s="53"/>
      <c r="CG495" s="53"/>
      <c r="CH495" s="53"/>
      <c r="CI495" s="53"/>
      <c r="CJ495" s="53"/>
      <c r="CK495" s="53"/>
      <c r="CL495" s="53"/>
      <c r="CM495" s="53"/>
      <c r="CN495" s="53"/>
      <c r="CO495" s="53"/>
      <c r="CP495" s="53"/>
      <c r="CQ495" s="53"/>
      <c r="CR495" s="16"/>
      <c r="CS495" s="16"/>
      <c r="CT495" s="16"/>
      <c r="CU495" s="16"/>
    </row>
    <row r="496" spans="1:99" s="13" customFormat="1" ht="12" customHeight="1" x14ac:dyDescent="0.2">
      <c r="A496" s="65">
        <v>43979</v>
      </c>
      <c r="B496" s="1"/>
      <c r="C496" s="1"/>
      <c r="D496" s="60"/>
      <c r="E496" s="76"/>
      <c r="F496" s="60"/>
      <c r="G496" s="60"/>
      <c r="H496" s="60"/>
      <c r="I496" s="60"/>
      <c r="J496" s="60"/>
      <c r="K496" s="60"/>
      <c r="L496" s="60"/>
      <c r="M496" s="60"/>
      <c r="N496" s="61"/>
      <c r="O496" s="60"/>
      <c r="P496" s="60"/>
      <c r="Q496" s="60"/>
      <c r="R496" s="60"/>
      <c r="S496" s="60"/>
      <c r="T496" s="59"/>
      <c r="U496" s="60"/>
      <c r="V496" s="59"/>
      <c r="W496" s="60"/>
      <c r="X496" s="60"/>
      <c r="Y496" s="76"/>
      <c r="Z496" s="60"/>
      <c r="AA496" s="60"/>
      <c r="AB496" s="60"/>
      <c r="AC496" s="56"/>
      <c r="AD496" s="60"/>
      <c r="AE496" s="76"/>
      <c r="AF496" s="80"/>
      <c r="AG496" s="56"/>
      <c r="AH496" s="4"/>
      <c r="AI496" s="56"/>
      <c r="AJ496" s="109"/>
      <c r="AK496" s="56"/>
      <c r="AL496" s="56"/>
      <c r="AM496" s="56"/>
      <c r="AN496" s="56"/>
      <c r="AO496" s="82"/>
      <c r="AP496" s="82"/>
      <c r="AQ496" s="83"/>
      <c r="AR496" s="116"/>
      <c r="AS496" s="84"/>
      <c r="AT496" s="84"/>
      <c r="AU496" s="3"/>
      <c r="AV496" s="25">
        <v>2</v>
      </c>
      <c r="AW496" s="25">
        <v>40</v>
      </c>
      <c r="AX496" s="25">
        <f>60*30</f>
        <v>1800</v>
      </c>
      <c r="AY496" s="25">
        <f>60*60*24</f>
        <v>86400</v>
      </c>
      <c r="AZ496" s="25">
        <f>60*60*24*7</f>
        <v>604800</v>
      </c>
      <c r="BA496" s="25">
        <f>60*60*24*7*3</f>
        <v>1814400</v>
      </c>
      <c r="BB496" s="53"/>
      <c r="BC496" s="53"/>
      <c r="BD496" s="53"/>
      <c r="BE496" s="53"/>
      <c r="BF496" s="53"/>
      <c r="BG496" s="53"/>
      <c r="BH496" s="53"/>
      <c r="BI496" s="53"/>
      <c r="BJ496" s="53"/>
      <c r="BK496" s="53"/>
      <c r="BL496" s="53"/>
      <c r="BM496" s="53"/>
      <c r="BN496" s="53"/>
      <c r="BO496" s="53"/>
      <c r="BP496" s="53"/>
      <c r="BQ496" s="53"/>
      <c r="BR496" s="53"/>
      <c r="BS496" s="53"/>
      <c r="BT496" s="53"/>
      <c r="BU496" s="53"/>
      <c r="BV496" s="53"/>
      <c r="BW496" s="53"/>
      <c r="BX496" s="53"/>
      <c r="BY496" s="53"/>
      <c r="BZ496" s="53"/>
      <c r="CA496" s="53"/>
      <c r="CB496" s="53"/>
      <c r="CC496" s="53"/>
      <c r="CD496" s="53"/>
      <c r="CE496" s="53"/>
      <c r="CF496" s="53"/>
      <c r="CG496" s="53"/>
      <c r="CH496" s="53"/>
      <c r="CI496" s="53"/>
      <c r="CJ496" s="53"/>
      <c r="CK496" s="53"/>
      <c r="CL496" s="53"/>
      <c r="CM496" s="53"/>
      <c r="CN496" s="53"/>
      <c r="CO496" s="53"/>
      <c r="CP496" s="53"/>
      <c r="CQ496" s="53"/>
      <c r="CR496" s="16"/>
      <c r="CS496" s="16"/>
      <c r="CT496" s="16"/>
      <c r="CU496" s="16"/>
    </row>
    <row r="497" spans="1:99" s="13" customFormat="1" ht="12" customHeight="1" x14ac:dyDescent="0.2">
      <c r="A497" s="65">
        <v>43979</v>
      </c>
      <c r="B497" s="1" t="s">
        <v>996</v>
      </c>
      <c r="C497" s="1" t="s">
        <v>54</v>
      </c>
      <c r="D497" s="60">
        <v>2010</v>
      </c>
      <c r="E497" s="76">
        <v>1</v>
      </c>
      <c r="F497" s="60">
        <v>11</v>
      </c>
      <c r="G497" s="60">
        <v>11</v>
      </c>
      <c r="H497" s="60" t="s">
        <v>43</v>
      </c>
      <c r="I497" s="60" t="s">
        <v>330</v>
      </c>
      <c r="J497" s="60" t="s">
        <v>16</v>
      </c>
      <c r="K497" s="60">
        <f>IF(J497="syllables",1,IF(J497="trigrams",2,IF(J497="strings",3,IF(J497="visual array",4,IF(J497="characters",5,IF(J497="letters",6,IF(J497="free forms",7,IF(J497="odors",8,IF(J497="words",9,IF(J497="pictures",10,IF(J497="object pictures",11,IF(J497="faces",12,IF(J497="names",13,IF(J497="idioms",14,IF(J497="grades",15,IF(J497="syllable-digit pairs",16,IF(J497="trigram-word pairs",17,IF(J497="word-digit pairs",18,IF(J497="English-Swahili pairs",19,IF(J497="spatial position",20,IF(J497="word pairs",21,IF(J497="word triads",22,IF(J497="generated words",23,IF(J497="word definition pairs",24,IF(J497="math problems",25,IF(J497="famous faces",26,IF(J497="famous names",27,IF(J497="famous voices",28,IF(J497="television programs",29,IF(J497="race horses",30,IF(J497="new vocabulary",31,IF(J497="sentences",32,IF(J497="concepts",33,IF(J497="ad slides",34,IF(J497="scenes",35,IF(J497="famous scenes",36,IF(J497="poems",37,IF(J497="walk",38,IF(J497="faces and events",39,IF(J497="events and names",40,IF(J497="flashbulb",41,IF(J497="stories",42,IF(J497="course material",43,IF(J497="autobiographical",44,IF(J497="novels",45,IF(J497="public events",46,"99"))))))))))))))))))))))))))))))))))))))))))))))</f>
        <v>9</v>
      </c>
      <c r="L497" s="60">
        <f>IF(J497="syllables",1,IF(J497="trigrams",1,IF(J497="strings",1,IF(J497="visual array",1,IF(J497="characters",1,IF(J497="letters",1,IF(J497="free forms",1,IF(J497="odors",2,IF(J497="words",2,IF(J497="pictures",2,IF(J497="object pictures",2,IF(J497="faces",2,IF(J497="names",2,IF(J497="idioms","2",IF(J497="grades",2,IF(J497="syllable-digit pairs",3,IF(J497="trigram-word pairs",3,IF(J497="word-digit pairs",3,IF(J497="English-Swahili pairs",3,IF(J497="spatial position",3,IF(J497="word pairs",4,IF(J497="word triads",4,IF(J497="generated words",4,IF(J497="word definition pairs",4,IF(J497="math problems",4,IF(J497="famous faces",4,IF(J497="famous names",4,IF(J497="famous voices",4,IF(J497="television programs",4,IF(J497="race horses",4,IF(J497="new vocabulary",4,IF(J497="sentences",5,IF(J497="concepts",5,IF(J497="ad slides",5,IF(J497="scenes",5,IF(J497="famous scenes",5,IF(J497="poems",6,IF(J497="walk",6,IF(J497="faces and events",6,IF(J497="events and names",6,IF(J497="flashbulb",7,IF(J497="stories",7,IF(J497="course material",7,IF(J497="autobiographical",7,IF(J497="novels",7,IF(J497="public events",7,"99"))))))))))))))))))))))))))))))))))))))))))))))</f>
        <v>2</v>
      </c>
      <c r="M497" s="60">
        <v>1</v>
      </c>
      <c r="N497" s="61">
        <v>1</v>
      </c>
      <c r="O497" s="60">
        <v>0</v>
      </c>
      <c r="P497" s="60"/>
      <c r="Q497" s="60" t="s">
        <v>174</v>
      </c>
      <c r="R497" s="60">
        <f>IF(Q497="Free Recall",1,IF(Q497="Cued Recall",2,IF(Q497="Recognition",3,IF(Q497="Multiple Choice",4,IF(Q497="Savings",5,IF(Q497="Stem Completion",6,IF(Q497="Fragment Completion",7,IF(Q497="anagram solution",8,IF(Q497="Matching",9,IF(Q497="Problem Solving",10,"99"))))))))))</f>
        <v>1</v>
      </c>
      <c r="S497" s="60" t="s">
        <v>15</v>
      </c>
      <c r="T497" s="59" t="s">
        <v>581</v>
      </c>
      <c r="U497" s="60">
        <f>IF(T497="within",1,0)</f>
        <v>1</v>
      </c>
      <c r="V497" s="59">
        <v>120</v>
      </c>
      <c r="W497" s="60">
        <f>F497*V497</f>
        <v>1320</v>
      </c>
      <c r="X497" s="60">
        <v>6</v>
      </c>
      <c r="Y497" s="76">
        <f>AV496</f>
        <v>2</v>
      </c>
      <c r="Z497" s="60" t="s">
        <v>165</v>
      </c>
      <c r="AA497" s="60">
        <f>60*60*24*7*3</f>
        <v>1814400</v>
      </c>
      <c r="AB497" s="60" t="str">
        <f>IF(AA497&lt;60,"1",IF(AA497&lt;=43200,"2",IF(AA497&lt;=777600,"3","4")))</f>
        <v>4</v>
      </c>
      <c r="AC497" s="56">
        <f>AVERAGE(AV496:DA496)</f>
        <v>417907</v>
      </c>
      <c r="AD497" s="60" t="str">
        <f>IF(AC497&lt;60,"1",IF(AC497&lt;=43200,"2",IF(AC497&lt;=777600,"3","4")))</f>
        <v>3</v>
      </c>
      <c r="AE497" s="76">
        <f>AA497-Y497</f>
        <v>1814398</v>
      </c>
      <c r="AF497" s="80">
        <f>AV497</f>
        <v>0.84312749003984</v>
      </c>
      <c r="AG497" s="56">
        <f>((AW497-AV497)+(AX497-AW497)+(AY497-AX497)+(AZ497-AY497)+(BA497-AZ497))/5</f>
        <v>-4.795816733067719E-2</v>
      </c>
      <c r="AH497" s="4"/>
      <c r="AI497" s="56">
        <f>RSQ(AV497:BA497,AV496:BA496)</f>
        <v>0.4827664481227153</v>
      </c>
      <c r="AJ497" s="109">
        <f>SLOPE(AV497:BA497,AV496:BA496)</f>
        <v>-8.8703440771287719E-8</v>
      </c>
      <c r="AK497" s="56">
        <f>INTERCEPT(AV497:BA497,AV496:BA496)</f>
        <v>0.74025703981842195</v>
      </c>
      <c r="AL497" s="56">
        <f>INDEX(LINEST(LN(AV497:BA497),LN(AV496:BA496),TRUE,TRUE),3,1)</f>
        <v>0.97217173662312839</v>
      </c>
      <c r="AM497" s="56">
        <f>INDEX(LINEST(LN(AV497:BA497),LN(AV496:BA496)),1)</f>
        <v>-2.3219369023365778E-2</v>
      </c>
      <c r="AN497" s="56">
        <f>EXP(INDEX(LINEST(LN(AV497:BA497),LN(AV496:BA496)),1,2))</f>
        <v>0.85048315016090148</v>
      </c>
      <c r="AO497" s="82">
        <f>INDEX(LINEST((AV497:BA497),LN(AV496:BA496),TRUE,TRUE),3,1)</f>
        <v>0.97095956827307817</v>
      </c>
      <c r="AP497" s="82">
        <f>INDEX(LINEST((AV497:BA497),LN(AV496:BA496)),1)</f>
        <v>-1.6539020331656856E-2</v>
      </c>
      <c r="AQ497" s="83">
        <f>INDEX(LINEST(LN(AV497:BA497),SQRT(AV496:BA496),TRUE,TRUE),3,1)</f>
        <v>0.71559194053924247</v>
      </c>
      <c r="AR497" s="116">
        <f>INDEX(LINEST(LN(AV497:BA497),SQRT((AV496:BA496))),1)</f>
        <v>-2.0071590993617236E-4</v>
      </c>
      <c r="AS497" s="84">
        <f>INDEX(LINEST(1/(AV497:BA497),1/(SQRT(AV496:BA496)),TRUE,TRUE),3,1)</f>
        <v>0.61560797977741999</v>
      </c>
      <c r="AT497" s="84">
        <f>INDEX(LINEST(1/(AV497:BA497),1/SQRT(AV496:BA496)),1)</f>
        <v>-0.51417333975166979</v>
      </c>
      <c r="AU497" s="3"/>
      <c r="AV497" s="53">
        <v>0.84312749003984</v>
      </c>
      <c r="AW497" s="53">
        <v>0.75722111553784799</v>
      </c>
      <c r="AX497" s="53">
        <v>0.74003984063744999</v>
      </c>
      <c r="AY497" s="53">
        <v>0.64890438247011906</v>
      </c>
      <c r="AZ497" s="53">
        <v>0.62649402390438202</v>
      </c>
      <c r="BA497" s="53">
        <v>0.60333665338645404</v>
      </c>
      <c r="BB497" s="53"/>
      <c r="BC497" s="53"/>
      <c r="BD497" s="53"/>
      <c r="BE497" s="53"/>
      <c r="BF497" s="53"/>
      <c r="BG497" s="53"/>
      <c r="BH497" s="53"/>
      <c r="BI497" s="53"/>
      <c r="BJ497" s="53"/>
      <c r="BK497" s="53"/>
      <c r="BL497" s="53"/>
      <c r="BM497" s="53"/>
      <c r="BN497" s="53"/>
      <c r="BO497" s="53"/>
      <c r="BP497" s="53"/>
      <c r="BQ497" s="53"/>
      <c r="BR497" s="53"/>
      <c r="BS497" s="53"/>
      <c r="BT497" s="53"/>
      <c r="BU497" s="53"/>
      <c r="BV497" s="53"/>
      <c r="BW497" s="53"/>
      <c r="BX497" s="53"/>
      <c r="BY497" s="53"/>
      <c r="BZ497" s="53"/>
      <c r="CA497" s="53"/>
      <c r="CB497" s="53"/>
      <c r="CC497" s="53"/>
      <c r="CD497" s="53"/>
      <c r="CE497" s="53"/>
      <c r="CF497" s="53"/>
      <c r="CG497" s="53"/>
      <c r="CH497" s="53"/>
      <c r="CI497" s="53"/>
      <c r="CJ497" s="53"/>
      <c r="CK497" s="53"/>
      <c r="CL497" s="53"/>
      <c r="CM497" s="53"/>
      <c r="CN497" s="53"/>
      <c r="CO497" s="53"/>
      <c r="CP497" s="53"/>
      <c r="CQ497" s="53"/>
      <c r="CR497" s="16"/>
      <c r="CS497" s="16"/>
      <c r="CT497" s="16"/>
      <c r="CU497" s="16"/>
    </row>
    <row r="498" spans="1:99" ht="12" customHeight="1" x14ac:dyDescent="0.2">
      <c r="A498" s="68">
        <v>43509</v>
      </c>
      <c r="B498" s="94"/>
      <c r="C498" s="94"/>
      <c r="D498" s="92"/>
      <c r="E498" s="105"/>
      <c r="F498" s="92"/>
      <c r="G498" s="92"/>
      <c r="H498" s="92"/>
      <c r="I498" s="92"/>
      <c r="J498" s="92"/>
      <c r="K498" s="107"/>
      <c r="L498" s="107"/>
      <c r="M498" s="92"/>
      <c r="N498" s="92"/>
      <c r="O498" s="92"/>
      <c r="P498" s="92"/>
      <c r="Q498" s="92"/>
      <c r="R498" s="69"/>
      <c r="S498" s="92"/>
      <c r="T498" s="92"/>
      <c r="U498" s="60"/>
      <c r="V498" s="92"/>
      <c r="W498" s="69"/>
      <c r="X498" s="92"/>
      <c r="Y498" s="87"/>
      <c r="Z498" s="107"/>
      <c r="AA498" s="107"/>
      <c r="AB498" s="69"/>
      <c r="AC498" s="69"/>
      <c r="AD498" s="69"/>
      <c r="AE498" s="69"/>
      <c r="AF498" s="88"/>
      <c r="AG498" s="72"/>
      <c r="AI498" s="108"/>
      <c r="AJ498" s="113"/>
      <c r="AK498" s="108"/>
      <c r="AL498" s="108"/>
      <c r="AM498" s="108"/>
      <c r="AN498" s="108"/>
      <c r="AO498" s="108"/>
      <c r="AP498" s="108"/>
      <c r="AQ498" s="72"/>
      <c r="AR498" s="110"/>
      <c r="AS498" s="72"/>
      <c r="AT498" s="72"/>
      <c r="AU498" s="4"/>
      <c r="AV498" s="140">
        <v>30</v>
      </c>
      <c r="AW498" s="98">
        <f>20*60</f>
        <v>1200</v>
      </c>
      <c r="AX498" s="98">
        <f>3600</f>
        <v>3600</v>
      </c>
      <c r="AY498" s="98">
        <f>9*3600</f>
        <v>32400</v>
      </c>
      <c r="AZ498" s="98">
        <f>1*24*3600</f>
        <v>86400</v>
      </c>
      <c r="BA498" s="98">
        <f>2*24*3600</f>
        <v>172800</v>
      </c>
      <c r="BB498" s="98">
        <f>6*24*3600</f>
        <v>518400</v>
      </c>
      <c r="BC498" s="98">
        <f>31*24*3600</f>
        <v>2678400</v>
      </c>
      <c r="BD498" s="11" t="s">
        <v>898</v>
      </c>
      <c r="BE498" s="11"/>
      <c r="BF498" s="11"/>
      <c r="BG498" s="11"/>
      <c r="BH498" s="11"/>
      <c r="BI498" s="11"/>
      <c r="BJ498" s="11"/>
      <c r="BK498" s="11"/>
      <c r="BL498" s="11"/>
      <c r="BM498" s="11"/>
      <c r="BN498" s="11"/>
      <c r="BO498" s="11"/>
      <c r="BP498" s="11"/>
      <c r="BQ498" s="11"/>
      <c r="BR498" s="11"/>
      <c r="BS498" s="11"/>
      <c r="BT498" s="11"/>
      <c r="BU498" s="11"/>
      <c r="BV498" s="11"/>
      <c r="BW498" s="11"/>
      <c r="BX498" s="11"/>
      <c r="BY498" s="11"/>
      <c r="BZ498" s="11"/>
      <c r="CA498" s="11"/>
      <c r="CB498" s="11"/>
      <c r="CC498" s="11"/>
      <c r="CD498" s="11"/>
      <c r="CE498" s="11"/>
      <c r="CF498" s="11"/>
      <c r="CG498" s="11"/>
      <c r="CH498" s="11"/>
      <c r="CI498" s="11"/>
      <c r="CJ498" s="11"/>
      <c r="CK498" s="11"/>
      <c r="CL498" s="11"/>
      <c r="CM498" s="11"/>
      <c r="CN498" s="11"/>
      <c r="CO498" s="11"/>
      <c r="CP498" s="11"/>
      <c r="CQ498" s="11"/>
      <c r="CR498" s="15"/>
      <c r="CS498" s="15"/>
      <c r="CT498" s="15"/>
      <c r="CU498" s="15"/>
    </row>
    <row r="499" spans="1:99" ht="12" customHeight="1" x14ac:dyDescent="0.2">
      <c r="A499" s="68">
        <v>43509</v>
      </c>
      <c r="B499" s="94" t="s">
        <v>279</v>
      </c>
      <c r="C499" s="94" t="s">
        <v>280</v>
      </c>
      <c r="D499" s="92">
        <v>2015</v>
      </c>
      <c r="E499" s="105">
        <v>1</v>
      </c>
      <c r="F499" s="92">
        <v>1</v>
      </c>
      <c r="G499" s="92">
        <v>1</v>
      </c>
      <c r="H499" s="107" t="s">
        <v>30</v>
      </c>
      <c r="I499" s="92" t="s">
        <v>895</v>
      </c>
      <c r="J499" s="92" t="s">
        <v>281</v>
      </c>
      <c r="K499" s="69">
        <f>IF(J499="syllables",1,IF(J499="trigrams",2,IF(J499="strings",3,IF(J499="visual array",4,IF(J499="characters",5,IF(J499="letters",6,IF(J499="free forms",7,IF(J499="odors",8,IF(J499="words",9,IF(J499="pictures",10,IF(J499="object pictures",11,IF(J499="faces",12,IF(J499="names",13,IF(J499="idioms",14,IF(J499="grades",15,IF(J499="syllable-digit pairs",16,IF(J499="trigram-word pairs",17,IF(J499="word-digit pairs",18,IF(J499="English-Swahili pairs",19,IF(J499="spatial position",20,IF(J499="word pairs",21,IF(J499="word triads",22,IF(J499="generated words",23,IF(J499="word definition pairs",24,IF(J499="math problems",25,IF(J499="famous faces",26,IF(J499="famous names",27,IF(J499="famous voices",28,IF(J499="television programs",29,IF(J499="race horses",30,IF(J499="new vocabulary",31,IF(J499="sentences",32,IF(J499="concepts",33,IF(J499="ad slides",34,IF(J499="scenes",35,IF(J499="famous scenes",36,IF(J499="poems",37,IF(J499="walk",38,IF(J499="faces and events",39,IF(J499="events and names",40,IF(J499="flashbulb",41,IF(J499="stories",42,IF(J499="course material",43,IF(J499="autobiographical",44,IF(J499="novels",45,IF(J499="public events",46,"99"))))))))))))))))))))))))))))))))))))))))))))))</f>
        <v>1</v>
      </c>
      <c r="L499" s="69">
        <f>IF(J499="syllables",1,IF(J499="trigrams",1,IF(J499="strings",1,IF(J499="visual array",1,IF(J499="characters",1,IF(J499="letters",1,IF(J499="free forms",1,IF(J499="odors",2,IF(J499="words",2,IF(J499="pictures",2,IF(J499="object pictures",2,IF(J499="faces",2,IF(J499="names",2,IF(J499="idioms","2",IF(J499="grades",2,IF(J499="syllable-digit pairs",3,IF(J499="trigram-word pairs",3,IF(J499="word-digit pairs",3,IF(J499="English-Swahili pairs",3,IF(J499="spatial position",3,IF(J499="word pairs",4,IF(J499="word triads",4,IF(J499="generated words",4,IF(J499="word definition pairs",4,IF(J499="math problems",4,IF(J499="famous faces",4,IF(J499="famous names",4,IF(J499="famous voices",4,IF(J499="television programs",4,IF(J499="race horses",4,IF(J499="new vocabulary",4,IF(J499="sentences",5,IF(J499="concepts",5,IF(J499="ad slides",5,IF(J499="scenes",5,IF(J499="famous scenes",5,IF(J499="poems",6,IF(J499="walk",6,IF(J499="faces and events",6,IF(J499="events and names",6,IF(J499="flashbulb",7,IF(J499="stories",7,IF(J499="course material",7,IF(J499="autobiographical",7,IF(J499="novels",7,IF(J499="public events",7,"99"))))))))))))))))))))))))))))))))))))))))))))))</f>
        <v>1</v>
      </c>
      <c r="M499" s="92">
        <v>1</v>
      </c>
      <c r="N499" s="92">
        <v>3</v>
      </c>
      <c r="O499" s="92">
        <v>0</v>
      </c>
      <c r="P499" s="92"/>
      <c r="Q499" s="92" t="s">
        <v>87</v>
      </c>
      <c r="R499" s="69">
        <f>IF(Q499="Free Recall",1,IF(Q499="Cued Recall",2,IF(Q499="Recognition",3,IF(Q499="Multiple Choice",4,IF(Q499="Savings",5,IF(Q499="Stem Completion",6,IF(Q499="Fragment Completion",7,IF(Q499="anagram solution",8,IF(Q499="Matching",9,IF(Q499="Problem Solving",10,"99"))))))))))</f>
        <v>5</v>
      </c>
      <c r="S499" s="92" t="s">
        <v>99</v>
      </c>
      <c r="T499" s="92" t="s">
        <v>581</v>
      </c>
      <c r="U499" s="60">
        <f>IF(T499="within",1,0)</f>
        <v>1</v>
      </c>
      <c r="V499" s="92">
        <v>7280</v>
      </c>
      <c r="W499" s="69">
        <f>F499*V499</f>
        <v>7280</v>
      </c>
      <c r="X499" s="92">
        <v>7</v>
      </c>
      <c r="Y499" s="87">
        <f>AV498</f>
        <v>30</v>
      </c>
      <c r="Z499" s="92" t="s">
        <v>282</v>
      </c>
      <c r="AA499" s="92">
        <f>31*24*3600</f>
        <v>2678400</v>
      </c>
      <c r="AB499" s="69" t="str">
        <f>IF(AA499&lt;60,"1",IF(AA499&lt;=43200,"2",IF(AA499&lt;=777600,"3","4")))</f>
        <v>4</v>
      </c>
      <c r="AC499" s="72">
        <f>AVERAGE(AW498:DA498)</f>
        <v>499028.57142857142</v>
      </c>
      <c r="AD499" s="69" t="str">
        <f>IF(AC499&lt;60,"1",IF(AC499&lt;=43200,"2",IF(AC499&lt;=777600,"3","4")))</f>
        <v>3</v>
      </c>
      <c r="AE499" s="87">
        <f>AA499-Y499</f>
        <v>2678370</v>
      </c>
      <c r="AF499" s="88">
        <f>AV499</f>
        <v>1</v>
      </c>
      <c r="AG499" s="72">
        <f>((AW499-AV499)+(AX499-AW499)+(AY499-AX499)+(AZ499-AY499)+(BA499-AZ499)+(BB499-BA499))/6</f>
        <v>-0.11516666666666668</v>
      </c>
      <c r="AH499" s="4"/>
      <c r="AI499" s="72">
        <f>RSQ(AV499:BB499,AW498:BC498)</f>
        <v>0.11810622482071136</v>
      </c>
      <c r="AJ499" s="110">
        <f>SLOPE(AV499:BB499,AW498:BC498)</f>
        <v>-8.8731037396807888E-8</v>
      </c>
      <c r="AK499" s="72">
        <f>INTERCEPT(AV499:BB499,AW498:BC498)</f>
        <v>0.50870789426207563</v>
      </c>
      <c r="AL499" s="72">
        <f>INDEX(LINEST(LN(AV499:BB499),LN(AW498:BC498),TRUE,TRUE),3,1)</f>
        <v>0.71497827408420123</v>
      </c>
      <c r="AM499" s="72">
        <f>INDEX(LINEST(LN(AV499:BB499),LN(AW498:BC498)),1)</f>
        <v>-0.13771605010460941</v>
      </c>
      <c r="AN499" s="72">
        <f>EXP(INDEX(LINEST(LN(AV499:BB499),LN(AW498:BC498)),1,2))</f>
        <v>1.9219576543336088</v>
      </c>
      <c r="AO499" s="89">
        <f>INDEX(LINEST((AV499:BB499),LN(AW498:BC498),TRUE,TRUE),3,1)</f>
        <v>0.65847913554599591</v>
      </c>
      <c r="AP499" s="89">
        <f>INDEX(LINEST((AV499:BB499),LN(AW498:BC498)),1)</f>
        <v>-7.5717981478367835E-2</v>
      </c>
      <c r="AQ499" s="90">
        <f>INDEX(LINEST(LN(AV499:BB499),SQRT(AW498:BC498),TRUE,TRUE),3,1)</f>
        <v>0.29038802909340444</v>
      </c>
      <c r="AR499" s="117">
        <f>INDEX(LINEST(LN(AV499:BB499),SQRT((AW498:BC498))),1)</f>
        <v>-4.221608682359574E-4</v>
      </c>
      <c r="AS499" s="91">
        <f>INDEX(LINEST(1/(AV499:BB499),1/(SQRT(AW498:BC498)),TRUE,TRUE),3,1)</f>
        <v>0.85437768456775209</v>
      </c>
      <c r="AT499" s="91">
        <f>INDEX(LINEST(1/(AV499:BB499),1/SQRT(AW498:BC498)),1)</f>
        <v>-78.203638632846605</v>
      </c>
      <c r="AU499" s="3"/>
      <c r="AV499" s="97">
        <v>1</v>
      </c>
      <c r="AW499" s="97">
        <v>0.54400000000000004</v>
      </c>
      <c r="AX499" s="97">
        <v>0.432</v>
      </c>
      <c r="AY499" s="97">
        <v>0.28499999999999998</v>
      </c>
      <c r="AZ499" s="97">
        <v>0.316</v>
      </c>
      <c r="BA499" s="97">
        <v>0.36499999999999999</v>
      </c>
      <c r="BB499" s="97">
        <v>0.309</v>
      </c>
      <c r="BC499" s="97">
        <v>0.25800000000000001</v>
      </c>
      <c r="BD499" s="11"/>
      <c r="BE499" s="11"/>
      <c r="BF499" s="11"/>
      <c r="BG499" s="11"/>
      <c r="BH499" s="11"/>
      <c r="BI499" s="11"/>
      <c r="BJ499" s="11"/>
      <c r="BK499" s="11"/>
      <c r="BL499" s="11"/>
      <c r="BM499" s="11"/>
      <c r="BN499" s="11"/>
      <c r="BO499" s="11"/>
      <c r="BP499" s="11"/>
      <c r="BQ499" s="11"/>
      <c r="BR499" s="11"/>
      <c r="BS499" s="11"/>
      <c r="BT499" s="11"/>
      <c r="BU499" s="11"/>
      <c r="BV499" s="11"/>
      <c r="BW499" s="11"/>
      <c r="BX499" s="11"/>
      <c r="BY499" s="11"/>
      <c r="BZ499" s="11"/>
      <c r="CA499" s="11"/>
      <c r="CB499" s="11"/>
      <c r="CC499" s="11"/>
      <c r="CD499" s="11"/>
      <c r="CE499" s="11"/>
      <c r="CF499" s="11"/>
      <c r="CG499" s="11"/>
      <c r="CH499" s="11"/>
      <c r="CI499" s="11"/>
      <c r="CJ499" s="11"/>
      <c r="CK499" s="11"/>
      <c r="CL499" s="11"/>
      <c r="CM499" s="11"/>
      <c r="CN499" s="11"/>
      <c r="CO499" s="11"/>
      <c r="CP499" s="11"/>
      <c r="CQ499" s="11"/>
      <c r="CR499" s="15"/>
      <c r="CS499" s="15"/>
      <c r="CT499" s="15"/>
      <c r="CU499" s="15"/>
    </row>
    <row r="500" spans="1:99" ht="12" customHeight="1" x14ac:dyDescent="0.2">
      <c r="A500" s="68">
        <v>43509</v>
      </c>
      <c r="B500" s="94"/>
      <c r="C500" s="94"/>
      <c r="D500" s="92"/>
      <c r="E500" s="105"/>
      <c r="F500" s="92"/>
      <c r="G500" s="92"/>
      <c r="H500" s="92"/>
      <c r="I500" s="92"/>
      <c r="J500" s="92"/>
      <c r="K500" s="107"/>
      <c r="L500" s="107"/>
      <c r="M500" s="92"/>
      <c r="N500" s="92"/>
      <c r="O500" s="92"/>
      <c r="P500" s="92"/>
      <c r="Q500" s="92"/>
      <c r="R500" s="69"/>
      <c r="S500" s="92"/>
      <c r="T500" s="92"/>
      <c r="U500" s="60"/>
      <c r="V500" s="92"/>
      <c r="W500" s="69"/>
      <c r="X500" s="92"/>
      <c r="Y500" s="87"/>
      <c r="Z500" s="107"/>
      <c r="AA500" s="107"/>
      <c r="AB500" s="69"/>
      <c r="AC500" s="69"/>
      <c r="AD500" s="69"/>
      <c r="AE500" s="69"/>
      <c r="AF500" s="88"/>
      <c r="AG500" s="72"/>
      <c r="AI500" s="108"/>
      <c r="AJ500" s="113"/>
      <c r="AK500" s="108"/>
      <c r="AL500" s="108"/>
      <c r="AM500" s="108"/>
      <c r="AN500" s="108"/>
      <c r="AO500" s="108"/>
      <c r="AP500" s="108"/>
      <c r="AQ500" s="72"/>
      <c r="AR500" s="110"/>
      <c r="AS500" s="72"/>
      <c r="AT500" s="72"/>
      <c r="AU500" s="4"/>
      <c r="AV500" s="140">
        <v>30</v>
      </c>
      <c r="AW500" s="98">
        <f>20*60</f>
        <v>1200</v>
      </c>
      <c r="AX500" s="98">
        <f>3600</f>
        <v>3600</v>
      </c>
      <c r="AY500" s="98">
        <f>9*3600</f>
        <v>32400</v>
      </c>
      <c r="AZ500" s="98">
        <f>1*24*3600</f>
        <v>86400</v>
      </c>
      <c r="BA500" s="98">
        <f>2*24*3600</f>
        <v>172800</v>
      </c>
      <c r="BB500" s="98">
        <f>6*24*3600</f>
        <v>518400</v>
      </c>
      <c r="BC500" s="98">
        <f>31*24*3600</f>
        <v>2678400</v>
      </c>
      <c r="BD500" s="11"/>
      <c r="BE500" s="11"/>
      <c r="BF500" s="11"/>
      <c r="BG500" s="11"/>
      <c r="BH500" s="11"/>
      <c r="BI500" s="11"/>
      <c r="BJ500" s="11"/>
      <c r="BK500" s="11"/>
      <c r="BL500" s="11"/>
      <c r="BM500" s="11"/>
      <c r="BN500" s="11"/>
      <c r="BO500" s="11"/>
      <c r="BP500" s="11"/>
      <c r="BQ500" s="11"/>
      <c r="BR500" s="11"/>
      <c r="BS500" s="11"/>
      <c r="BT500" s="11"/>
      <c r="BU500" s="11"/>
      <c r="BV500" s="11"/>
      <c r="BW500" s="11"/>
      <c r="BX500" s="11"/>
      <c r="BY500" s="11"/>
      <c r="BZ500" s="11"/>
      <c r="CA500" s="11"/>
      <c r="CB500" s="11"/>
      <c r="CC500" s="11"/>
      <c r="CD500" s="11"/>
      <c r="CE500" s="11"/>
      <c r="CF500" s="11"/>
      <c r="CG500" s="11"/>
      <c r="CH500" s="11"/>
      <c r="CI500" s="11"/>
      <c r="CJ500" s="11"/>
      <c r="CK500" s="11"/>
      <c r="CL500" s="11"/>
      <c r="CM500" s="11"/>
      <c r="CN500" s="11"/>
      <c r="CO500" s="11"/>
      <c r="CP500" s="11"/>
      <c r="CQ500" s="11"/>
      <c r="CR500" s="15"/>
      <c r="CS500" s="15"/>
      <c r="CT500" s="15"/>
      <c r="CU500" s="15"/>
    </row>
    <row r="501" spans="1:99" ht="12" customHeight="1" x14ac:dyDescent="0.2">
      <c r="A501" s="68">
        <v>43509</v>
      </c>
      <c r="B501" s="94" t="s">
        <v>279</v>
      </c>
      <c r="C501" s="94" t="s">
        <v>280</v>
      </c>
      <c r="D501" s="92">
        <v>2015</v>
      </c>
      <c r="E501" s="105">
        <v>1</v>
      </c>
      <c r="F501" s="92">
        <v>1</v>
      </c>
      <c r="G501" s="92">
        <v>1</v>
      </c>
      <c r="H501" s="107" t="s">
        <v>30</v>
      </c>
      <c r="I501" s="92" t="s">
        <v>896</v>
      </c>
      <c r="J501" s="92" t="s">
        <v>281</v>
      </c>
      <c r="K501" s="69">
        <f>IF(J501="syllables",1,IF(J501="trigrams",2,IF(J501="strings",3,IF(J501="visual array",4,IF(J501="characters",5,IF(J501="letters",6,IF(J501="free forms",7,IF(J501="odors",8,IF(J501="words",9,IF(J501="pictures",10,IF(J501="object pictures",11,IF(J501="faces",12,IF(J501="names",13,IF(J501="idioms",14,IF(J501="grades",15,IF(J501="syllable-digit pairs",16,IF(J501="trigram-word pairs",17,IF(J501="word-digit pairs",18,IF(J501="English-Swahili pairs",19,IF(J501="spatial position",20,IF(J501="word pairs",21,IF(J501="word triads",22,IF(J501="generated words",23,IF(J501="word definition pairs",24,IF(J501="math problems",25,IF(J501="famous faces",26,IF(J501="famous names",27,IF(J501="famous voices",28,IF(J501="television programs",29,IF(J501="race horses",30,IF(J501="new vocabulary",31,IF(J501="sentences",32,IF(J501="concepts",33,IF(J501="ad slides",34,IF(J501="scenes",35,IF(J501="famous scenes",36,IF(J501="poems",37,IF(J501="walk",38,IF(J501="faces and events",39,IF(J501="events and names",40,IF(J501="flashbulb",41,IF(J501="stories",42,IF(J501="course material",43,IF(J501="autobiographical",44,IF(J501="novels",45,IF(J501="public events",46,"99"))))))))))))))))))))))))))))))))))))))))))))))</f>
        <v>1</v>
      </c>
      <c r="L501" s="69">
        <f>IF(J501="syllables",1,IF(J501="trigrams",1,IF(J501="strings",1,IF(J501="visual array",1,IF(J501="characters",1,IF(J501="letters",1,IF(J501="free forms",1,IF(J501="odors",2,IF(J501="words",2,IF(J501="pictures",2,IF(J501="object pictures",2,IF(J501="faces",2,IF(J501="names",2,IF(J501="idioms","2",IF(J501="grades",2,IF(J501="syllable-digit pairs",3,IF(J501="trigram-word pairs",3,IF(J501="word-digit pairs",3,IF(J501="English-Swahili pairs",3,IF(J501="spatial position",3,IF(J501="word pairs",4,IF(J501="word triads",4,IF(J501="generated words",4,IF(J501="word definition pairs",4,IF(J501="math problems",4,IF(J501="famous faces",4,IF(J501="famous names",4,IF(J501="famous voices",4,IF(J501="television programs",4,IF(J501="race horses",4,IF(J501="new vocabulary",4,IF(J501="sentences",5,IF(J501="concepts",5,IF(J501="ad slides",5,IF(J501="scenes",5,IF(J501="famous scenes",5,IF(J501="poems",6,IF(J501="walk",6,IF(J501="faces and events",6,IF(J501="events and names",6,IF(J501="flashbulb",7,IF(J501="stories",7,IF(J501="course material",7,IF(J501="autobiographical",7,IF(J501="novels",7,IF(J501="public events",7,"99"))))))))))))))))))))))))))))))))))))))))))))))</f>
        <v>1</v>
      </c>
      <c r="M501" s="92">
        <v>1</v>
      </c>
      <c r="N501" s="92">
        <v>3</v>
      </c>
      <c r="O501" s="92">
        <v>0</v>
      </c>
      <c r="P501" s="92"/>
      <c r="Q501" s="92" t="s">
        <v>87</v>
      </c>
      <c r="R501" s="69">
        <f>IF(Q501="Free Recall",1,IF(Q501="Cued Recall",2,IF(Q501="Recognition",3,IF(Q501="Multiple Choice",4,IF(Q501="Savings",5,IF(Q501="Stem Completion",6,IF(Q501="Fragment Completion",7,IF(Q501="anagram solution",8,IF(Q501="Matching",9,IF(Q501="Problem Solving",10,"99"))))))))))</f>
        <v>5</v>
      </c>
      <c r="S501" s="92" t="s">
        <v>99</v>
      </c>
      <c r="T501" s="92" t="s">
        <v>581</v>
      </c>
      <c r="U501" s="60">
        <f>IF(T501="within",1,0)</f>
        <v>1</v>
      </c>
      <c r="V501" s="92">
        <v>7280</v>
      </c>
      <c r="W501" s="69">
        <f>F501*V501</f>
        <v>7280</v>
      </c>
      <c r="X501" s="92">
        <v>7</v>
      </c>
      <c r="Y501" s="87">
        <f>AV500</f>
        <v>30</v>
      </c>
      <c r="Z501" s="92" t="s">
        <v>282</v>
      </c>
      <c r="AA501" s="92">
        <f>31*24*3600</f>
        <v>2678400</v>
      </c>
      <c r="AB501" s="69" t="str">
        <f>IF(AA501&lt;60,"1",IF(AA501&lt;=43200,"2",IF(AA501&lt;=777600,"3","4")))</f>
        <v>4</v>
      </c>
      <c r="AC501" s="72">
        <f>AVERAGE(AV500:DA500)</f>
        <v>436653.75</v>
      </c>
      <c r="AD501" s="69" t="str">
        <f>IF(AC501&lt;60,"1",IF(AC501&lt;=43200,"2",IF(AC501&lt;=777600,"3","4")))</f>
        <v>3</v>
      </c>
      <c r="AE501" s="87">
        <f>AA501-Y501</f>
        <v>2678370</v>
      </c>
      <c r="AF501" s="88">
        <f>AV501</f>
        <v>1</v>
      </c>
      <c r="AG501" s="72">
        <f>((AW501-AV501)+(AX501-AW501)+(AY501-AX501)+(AZ501-AY501)+(BA501-AZ501)+(BB501-BA501))/6</f>
        <v>-0.13250000000000001</v>
      </c>
      <c r="AH501" s="4"/>
      <c r="AI501" s="72">
        <f>RSQ(AV501:BB501,AV500:BB500)</f>
        <v>0.19435733971480346</v>
      </c>
      <c r="AJ501" s="110">
        <f>SLOPE(AV501:BB501,AV500:BB500)</f>
        <v>-6.4692537262221053E-7</v>
      </c>
      <c r="AK501" s="72">
        <f>INTERCEPT(AV501:BB501,AV500:BB500)</f>
        <v>0.47216202876767938</v>
      </c>
      <c r="AL501" s="72">
        <f>INDEX(LINEST(LN(AV501:BB501),LN(AV500:BB500),TRUE,TRUE),3,1)</f>
        <v>0.92279764624619454</v>
      </c>
      <c r="AM501" s="72">
        <f>INDEX(LINEST(LN(AV501:BB501),LN(AV500:BB500)),1)</f>
        <v>-0.14901517490609484</v>
      </c>
      <c r="AN501" s="72">
        <f>EXP(INDEX(LINEST(LN(AV501:BB501),LN(AV500:BB500)),1,2))</f>
        <v>1.3919522317769082</v>
      </c>
      <c r="AO501" s="89">
        <f>INDEX(LINEST((AV501:BB501),LN(AV500:BB500),TRUE,TRUE),3,1)</f>
        <v>0.81997855540148301</v>
      </c>
      <c r="AP501" s="89">
        <f>INDEX(LINEST((AV501:BB501),LN(AV500:BB500)),1)</f>
        <v>-7.3795186148611636E-2</v>
      </c>
      <c r="AQ501" s="90">
        <f>INDEX(LINEST(LN(AV501:BB501),SQRT(AV500:BB500),TRUE,TRUE),3,1)</f>
        <v>0.51787043414274037</v>
      </c>
      <c r="AR501" s="117">
        <f>INDEX(LINEST(LN(AV501:BB501),SQRT((AV500:BB500))),1)</f>
        <v>-1.4694314664775619E-3</v>
      </c>
      <c r="AS501" s="91">
        <f>INDEX(LINEST(1/(AV501:BB501),1/(SQRT(AV500:BB500)),TRUE,TRUE),3,1)</f>
        <v>0.72535912469500485</v>
      </c>
      <c r="AT501" s="91">
        <f>INDEX(LINEST(1/(AV501:BB501),1/SQRT(AV500:BB500)),1)</f>
        <v>-16.104458210004129</v>
      </c>
      <c r="AU501" s="3"/>
      <c r="AV501" s="97">
        <v>1</v>
      </c>
      <c r="AW501" s="97">
        <v>0.442</v>
      </c>
      <c r="AX501" s="97">
        <v>0.32500000000000001</v>
      </c>
      <c r="AY501" s="97">
        <v>0.27</v>
      </c>
      <c r="AZ501" s="97">
        <v>0.27</v>
      </c>
      <c r="BA501" s="97">
        <v>0.26600000000000001</v>
      </c>
      <c r="BB501" s="97">
        <v>0.20499999999999999</v>
      </c>
      <c r="BC501" s="97">
        <v>0.20100000000000001</v>
      </c>
      <c r="BD501" s="11"/>
      <c r="BE501" s="11"/>
      <c r="BF501" s="11"/>
      <c r="BG501" s="11"/>
      <c r="BH501" s="11"/>
      <c r="BI501" s="11"/>
      <c r="BJ501" s="11"/>
      <c r="BK501" s="11"/>
      <c r="BL501" s="11"/>
      <c r="BM501" s="11"/>
      <c r="BN501" s="11"/>
      <c r="BO501" s="11"/>
      <c r="BP501" s="11"/>
      <c r="BQ501" s="11"/>
      <c r="BR501" s="11"/>
      <c r="BS501" s="11"/>
      <c r="BT501" s="11"/>
      <c r="BU501" s="11"/>
      <c r="BV501" s="11"/>
      <c r="BW501" s="11"/>
      <c r="BX501" s="11"/>
      <c r="BY501" s="11"/>
      <c r="BZ501" s="11"/>
      <c r="CA501" s="11"/>
      <c r="CB501" s="11"/>
      <c r="CC501" s="11"/>
      <c r="CD501" s="11"/>
      <c r="CE501" s="11"/>
      <c r="CF501" s="11"/>
      <c r="CG501" s="11"/>
      <c r="CH501" s="11"/>
      <c r="CI501" s="11"/>
      <c r="CJ501" s="11"/>
      <c r="CK501" s="11"/>
      <c r="CL501" s="11"/>
      <c r="CM501" s="11"/>
      <c r="CN501" s="11"/>
      <c r="CO501" s="11"/>
      <c r="CP501" s="11"/>
      <c r="CQ501" s="11"/>
      <c r="CR501" s="15"/>
      <c r="CS501" s="15"/>
      <c r="CT501" s="15"/>
      <c r="CU501" s="15"/>
    </row>
    <row r="502" spans="1:99" ht="12" customHeight="1" x14ac:dyDescent="0.2">
      <c r="A502" s="68">
        <v>43509</v>
      </c>
      <c r="B502" s="94"/>
      <c r="C502" s="94"/>
      <c r="D502" s="92"/>
      <c r="E502" s="105"/>
      <c r="F502" s="92"/>
      <c r="G502" s="92"/>
      <c r="H502" s="92"/>
      <c r="I502" s="92"/>
      <c r="J502" s="92"/>
      <c r="K502" s="107"/>
      <c r="L502" s="107"/>
      <c r="M502" s="92"/>
      <c r="N502" s="92"/>
      <c r="O502" s="92"/>
      <c r="P502" s="92"/>
      <c r="Q502" s="92"/>
      <c r="R502" s="69"/>
      <c r="S502" s="92"/>
      <c r="T502" s="92"/>
      <c r="U502" s="60"/>
      <c r="V502" s="92"/>
      <c r="W502" s="69"/>
      <c r="X502" s="92"/>
      <c r="Y502" s="87"/>
      <c r="Z502" s="107"/>
      <c r="AA502" s="107"/>
      <c r="AB502" s="69"/>
      <c r="AC502" s="69"/>
      <c r="AD502" s="69"/>
      <c r="AE502" s="69"/>
      <c r="AF502" s="88"/>
      <c r="AG502" s="72"/>
      <c r="AI502" s="108"/>
      <c r="AJ502" s="113"/>
      <c r="AK502" s="108"/>
      <c r="AL502" s="108"/>
      <c r="AM502" s="108"/>
      <c r="AN502" s="108"/>
      <c r="AO502" s="108"/>
      <c r="AP502" s="108"/>
      <c r="AQ502" s="72"/>
      <c r="AR502" s="110"/>
      <c r="AS502" s="72"/>
      <c r="AT502" s="72"/>
      <c r="AU502" s="4"/>
      <c r="AV502" s="140">
        <v>30</v>
      </c>
      <c r="AW502" s="98">
        <f>20*60</f>
        <v>1200</v>
      </c>
      <c r="AX502" s="98">
        <f>3600</f>
        <v>3600</v>
      </c>
      <c r="AY502" s="98">
        <f>9*3600</f>
        <v>32400</v>
      </c>
      <c r="AZ502" s="98">
        <f>1*24*3600</f>
        <v>86400</v>
      </c>
      <c r="BA502" s="98">
        <f>2*24*3600</f>
        <v>172800</v>
      </c>
      <c r="BB502" s="98">
        <f>6*24*3600</f>
        <v>518400</v>
      </c>
      <c r="BC502" s="98">
        <f>31*24*3600</f>
        <v>2678400</v>
      </c>
      <c r="BD502" s="11"/>
      <c r="BE502" s="11"/>
      <c r="BF502" s="11"/>
      <c r="BG502" s="11"/>
      <c r="BH502" s="11"/>
      <c r="BI502" s="11"/>
      <c r="BJ502" s="11"/>
      <c r="BK502" s="11"/>
      <c r="BL502" s="11"/>
      <c r="BM502" s="11"/>
      <c r="BN502" s="11"/>
      <c r="BO502" s="11"/>
      <c r="BP502" s="11"/>
      <c r="BQ502" s="11"/>
      <c r="BR502" s="11"/>
      <c r="BS502" s="11"/>
      <c r="BT502" s="11"/>
      <c r="BU502" s="11"/>
      <c r="BV502" s="11"/>
      <c r="BW502" s="11"/>
      <c r="BX502" s="11"/>
      <c r="BY502" s="11"/>
      <c r="BZ502" s="11"/>
      <c r="CA502" s="11"/>
      <c r="CB502" s="11"/>
      <c r="CC502" s="11"/>
      <c r="CD502" s="11"/>
      <c r="CE502" s="11"/>
      <c r="CF502" s="11"/>
      <c r="CG502" s="11"/>
      <c r="CH502" s="11"/>
      <c r="CI502" s="11"/>
      <c r="CJ502" s="11"/>
      <c r="CK502" s="11"/>
      <c r="CL502" s="11"/>
      <c r="CM502" s="11"/>
      <c r="CN502" s="11"/>
      <c r="CO502" s="11"/>
      <c r="CP502" s="11"/>
      <c r="CQ502" s="11"/>
      <c r="CR502" s="15"/>
      <c r="CS502" s="15"/>
      <c r="CT502" s="15"/>
      <c r="CU502" s="15"/>
    </row>
    <row r="503" spans="1:99" ht="12" customHeight="1" x14ac:dyDescent="0.2">
      <c r="A503" s="68">
        <v>43509</v>
      </c>
      <c r="B503" s="94" t="s">
        <v>279</v>
      </c>
      <c r="C503" s="94" t="s">
        <v>280</v>
      </c>
      <c r="D503" s="92">
        <v>2015</v>
      </c>
      <c r="E503" s="105">
        <v>1</v>
      </c>
      <c r="F503" s="92">
        <v>1</v>
      </c>
      <c r="G503" s="92">
        <v>1</v>
      </c>
      <c r="H503" s="107" t="s">
        <v>30</v>
      </c>
      <c r="I503" s="92" t="s">
        <v>897</v>
      </c>
      <c r="J503" s="92" t="s">
        <v>281</v>
      </c>
      <c r="K503" s="69">
        <f>IF(J503="syllables",1,IF(J503="trigrams",2,IF(J503="strings",3,IF(J503="visual array",4,IF(J503="characters",5,IF(J503="letters",6,IF(J503="free forms",7,IF(J503="odors",8,IF(J503="words",9,IF(J503="pictures",10,IF(J503="object pictures",11,IF(J503="faces",12,IF(J503="names",13,IF(J503="idioms",14,IF(J503="grades",15,IF(J503="syllable-digit pairs",16,IF(J503="trigram-word pairs",17,IF(J503="word-digit pairs",18,IF(J503="English-Swahili pairs",19,IF(J503="spatial position",20,IF(J503="word pairs",21,IF(J503="word triads",22,IF(J503="generated words",23,IF(J503="word definition pairs",24,IF(J503="math problems",25,IF(J503="famous faces",26,IF(J503="famous names",27,IF(J503="famous voices",28,IF(J503="television programs",29,IF(J503="race horses",30,IF(J503="new vocabulary",31,IF(J503="sentences",32,IF(J503="concepts",33,IF(J503="ad slides",34,IF(J503="scenes",35,IF(J503="famous scenes",36,IF(J503="poems",37,IF(J503="walk",38,IF(J503="faces and events",39,IF(J503="events and names",40,IF(J503="flashbulb",41,IF(J503="stories",42,IF(J503="course material",43,IF(J503="autobiographical",44,IF(J503="novels",45,IF(J503="public events",46,"99"))))))))))))))))))))))))))))))))))))))))))))))</f>
        <v>1</v>
      </c>
      <c r="L503" s="69">
        <f>IF(J503="syllables",1,IF(J503="trigrams",1,IF(J503="strings",1,IF(J503="visual array",1,IF(J503="characters",1,IF(J503="letters",1,IF(J503="free forms",1,IF(J503="odors",2,IF(J503="words",2,IF(J503="pictures",2,IF(J503="object pictures",2,IF(J503="faces",2,IF(J503="names",2,IF(J503="idioms","2",IF(J503="grades",2,IF(J503="syllable-digit pairs",3,IF(J503="trigram-word pairs",3,IF(J503="word-digit pairs",3,IF(J503="English-Swahili pairs",3,IF(J503="spatial position",3,IF(J503="word pairs",4,IF(J503="word triads",4,IF(J503="generated words",4,IF(J503="word definition pairs",4,IF(J503="math problems",4,IF(J503="famous faces",4,IF(J503="famous names",4,IF(J503="famous voices",4,IF(J503="television programs",4,IF(J503="race horses",4,IF(J503="new vocabulary",4,IF(J503="sentences",5,IF(J503="concepts",5,IF(J503="ad slides",5,IF(J503="scenes",5,IF(J503="famous scenes",5,IF(J503="poems",6,IF(J503="walk",6,IF(J503="faces and events",6,IF(J503="events and names",6,IF(J503="flashbulb",7,IF(J503="stories",7,IF(J503="course material",7,IF(J503="autobiographical",7,IF(J503="novels",7,IF(J503="public events",7,"99"))))))))))))))))))))))))))))))))))))))))))))))</f>
        <v>1</v>
      </c>
      <c r="M503" s="92">
        <v>1</v>
      </c>
      <c r="N503" s="92">
        <v>3</v>
      </c>
      <c r="O503" s="92">
        <v>0</v>
      </c>
      <c r="P503" s="92"/>
      <c r="Q503" s="92" t="s">
        <v>87</v>
      </c>
      <c r="R503" s="69">
        <f>IF(Q503="Free Recall",1,IF(Q503="Cued Recall",2,IF(Q503="Recognition",3,IF(Q503="Multiple Choice",4,IF(Q503="Savings",5,IF(Q503="Stem Completion",6,IF(Q503="Fragment Completion",7,IF(Q503="anagram solution",8,IF(Q503="Matching",9,IF(Q503="Problem Solving",10,"99"))))))))))</f>
        <v>5</v>
      </c>
      <c r="S503" s="92" t="s">
        <v>99</v>
      </c>
      <c r="T503" s="92" t="s">
        <v>581</v>
      </c>
      <c r="U503" s="60">
        <f>IF(T503="within",1,0)</f>
        <v>1</v>
      </c>
      <c r="V503" s="92">
        <v>7280</v>
      </c>
      <c r="W503" s="69">
        <f>F503*V503</f>
        <v>7280</v>
      </c>
      <c r="X503" s="92">
        <v>7</v>
      </c>
      <c r="Y503" s="87">
        <f>AV502</f>
        <v>30</v>
      </c>
      <c r="Z503" s="92" t="s">
        <v>282</v>
      </c>
      <c r="AA503" s="92">
        <f>31*24*3600</f>
        <v>2678400</v>
      </c>
      <c r="AB503" s="69" t="str">
        <f>IF(AA503&lt;60,"1",IF(AA503&lt;=43200,"2",IF(AA503&lt;=777600,"3","4")))</f>
        <v>4</v>
      </c>
      <c r="AC503" s="72">
        <f>AVERAGE(AV502:DA502)</f>
        <v>436653.75</v>
      </c>
      <c r="AD503" s="69" t="str">
        <f>IF(AC503&lt;60,"1",IF(AC503&lt;=43200,"2",IF(AC503&lt;=777600,"3","4")))</f>
        <v>3</v>
      </c>
      <c r="AE503" s="87">
        <f>AA503-Y503</f>
        <v>2678370</v>
      </c>
      <c r="AF503" s="88">
        <f>AW503</f>
        <v>0.47199999999999998</v>
      </c>
      <c r="AG503" s="72">
        <f>((AX503-AW503)+(AY503-AX503)+(AZ503-AY503)+(BA503-AZ503)+(BB503-BA503)+(BC503-BB503))/6</f>
        <v>-7.1833333333333318E-2</v>
      </c>
      <c r="AH503" s="4"/>
      <c r="AI503" s="72">
        <f>RSQ(AW503:BC503,AV502:BB502)</f>
        <v>0.7445172714999545</v>
      </c>
      <c r="AJ503" s="110">
        <f>SLOPE(AW503:BC503,AV502:BB502)</f>
        <v>-6.4353349004341637E-7</v>
      </c>
      <c r="AK503" s="72">
        <f>INTERCEPT(AW503:BC503,AV502:BB502)</f>
        <v>0.34305291338458244</v>
      </c>
      <c r="AL503" s="72">
        <f>INDEX(LINEST(LN(AW503:BC503),LN(AV502:BB502),TRUE,TRUE),3,1)</f>
        <v>0.59033183013662915</v>
      </c>
      <c r="AM503" s="72">
        <f>INDEX(LINEST(LN(AW503:BC503),LN(AV502:BB502)),1)</f>
        <v>-0.18391190913912323</v>
      </c>
      <c r="AN503" s="72">
        <f>EXP(INDEX(LINEST(LN(AW503:BC503),LN(AV502:BB502)),1,2))</f>
        <v>1.2307192889180767</v>
      </c>
      <c r="AO503" s="89">
        <f>INDEX(LINEST((AW503:BC503),LN(AV502:BB502),TRUE,TRUE),3,1)</f>
        <v>0.84564832102592769</v>
      </c>
      <c r="AP503" s="89">
        <f>INDEX(LINEST((AW503:BC503),LN(AV502:BB502)),1)</f>
        <v>-3.8089189681043911E-2</v>
      </c>
      <c r="AQ503" s="90">
        <f>INDEX(LINEST(LN(AW503:BC503),SQRT(AV502:BB502),TRUE,TRUE),3,1)</f>
        <v>0.92156159613228783</v>
      </c>
      <c r="AR503" s="117">
        <f>INDEX(LINEST(LN(AW503:BC503),SQRT((AV502:BB502))),1)</f>
        <v>-3.0247219340505532E-3</v>
      </c>
      <c r="AS503" s="91">
        <f>INDEX(LINEST(1/(AW503:BC503),1/(SQRT(AV502:BB502)),TRUE,TRUE),3,1)</f>
        <v>9.8280775320060285E-2</v>
      </c>
      <c r="AT503" s="91">
        <f>INDEX(LINEST(1/(AW503:BC503),1/SQRT(AV502:BB502)),1)</f>
        <v>-37.658475319928669</v>
      </c>
      <c r="AU503" s="3"/>
      <c r="AV503" s="121">
        <v>1</v>
      </c>
      <c r="AW503" s="97">
        <v>0.47199999999999998</v>
      </c>
      <c r="AX503" s="97">
        <v>0.373</v>
      </c>
      <c r="AY503" s="97">
        <v>0.27600000000000002</v>
      </c>
      <c r="AZ503" s="97">
        <v>0.317</v>
      </c>
      <c r="BA503" s="97">
        <v>0.23</v>
      </c>
      <c r="BB503" s="97">
        <v>0.16800000000000001</v>
      </c>
      <c r="BC503" s="97">
        <v>4.1000000000000002E-2</v>
      </c>
      <c r="BD503" s="11"/>
      <c r="BE503" s="11"/>
      <c r="BF503" s="11"/>
      <c r="BG503" s="11"/>
      <c r="BH503" s="11"/>
      <c r="BI503" s="11"/>
      <c r="BJ503" s="11"/>
      <c r="BK503" s="11"/>
      <c r="BL503" s="11"/>
      <c r="BM503" s="11"/>
      <c r="BN503" s="11"/>
      <c r="BO503" s="11"/>
      <c r="BP503" s="11"/>
      <c r="BQ503" s="11"/>
      <c r="BR503" s="11"/>
      <c r="BS503" s="11"/>
      <c r="BT503" s="11"/>
      <c r="BU503" s="11"/>
      <c r="BV503" s="11"/>
      <c r="BW503" s="11"/>
      <c r="BX503" s="11"/>
      <c r="BY503" s="11"/>
      <c r="BZ503" s="11"/>
      <c r="CA503" s="11"/>
      <c r="CB503" s="11"/>
      <c r="CC503" s="11"/>
      <c r="CD503" s="11"/>
      <c r="CE503" s="11"/>
      <c r="CF503" s="11"/>
      <c r="CG503" s="11"/>
      <c r="CH503" s="11"/>
      <c r="CI503" s="11"/>
      <c r="CJ503" s="11"/>
      <c r="CK503" s="11"/>
      <c r="CL503" s="11"/>
      <c r="CM503" s="11"/>
      <c r="CN503" s="11"/>
      <c r="CO503" s="11"/>
      <c r="CP503" s="11"/>
      <c r="CQ503" s="11"/>
      <c r="CR503" s="15"/>
      <c r="CS503" s="15"/>
      <c r="CT503" s="15"/>
      <c r="CU503" s="15"/>
    </row>
    <row r="504" spans="1:99" s="13" customFormat="1" ht="12" customHeight="1" x14ac:dyDescent="0.2">
      <c r="A504" s="65">
        <v>43509</v>
      </c>
      <c r="B504" s="1"/>
      <c r="C504" s="1"/>
      <c r="D504" s="60"/>
      <c r="E504" s="76"/>
      <c r="F504" s="60"/>
      <c r="G504" s="60"/>
      <c r="H504" s="60"/>
      <c r="I504" s="60"/>
      <c r="J504" s="60"/>
      <c r="K504" s="64"/>
      <c r="L504" s="64"/>
      <c r="M504" s="60"/>
      <c r="N504" s="60"/>
      <c r="O504" s="60"/>
      <c r="P504" s="60"/>
      <c r="Q504" s="60"/>
      <c r="R504" s="60"/>
      <c r="S504" s="60"/>
      <c r="T504" s="60"/>
      <c r="U504" s="60"/>
      <c r="V504" s="60"/>
      <c r="W504" s="60"/>
      <c r="X504" s="60"/>
      <c r="Y504" s="76"/>
      <c r="Z504" s="60"/>
      <c r="AA504" s="60"/>
      <c r="AB504" s="60"/>
      <c r="AC504" s="60"/>
      <c r="AD504" s="60"/>
      <c r="AE504" s="60"/>
      <c r="AF504" s="80"/>
      <c r="AG504" s="56"/>
      <c r="AH504" s="4"/>
      <c r="AI504" s="56"/>
      <c r="AJ504" s="109"/>
      <c r="AK504" s="56"/>
      <c r="AL504" s="56"/>
      <c r="AM504" s="56"/>
      <c r="AN504" s="56"/>
      <c r="AO504" s="56"/>
      <c r="AP504" s="56"/>
      <c r="AQ504" s="56"/>
      <c r="AR504" s="109"/>
      <c r="AS504" s="56"/>
      <c r="AT504" s="56"/>
      <c r="AU504" s="4"/>
      <c r="AV504" s="25">
        <f>7*24*3600*1</f>
        <v>604800</v>
      </c>
      <c r="AW504" s="25">
        <f>7*24*3600*3</f>
        <v>1814400</v>
      </c>
      <c r="AX504" s="25">
        <f>7*24*3600*4</f>
        <v>2419200</v>
      </c>
      <c r="AY504" s="25">
        <f>7*24*3600*5</f>
        <v>3024000</v>
      </c>
      <c r="AZ504" s="25">
        <f>7*24*3600*7</f>
        <v>4233600</v>
      </c>
      <c r="BA504" s="53"/>
      <c r="BB504" s="53"/>
      <c r="BC504" s="53"/>
      <c r="BD504" s="53"/>
      <c r="BE504" s="53"/>
      <c r="BF504" s="53"/>
      <c r="BG504" s="53"/>
      <c r="BH504" s="53"/>
      <c r="BI504" s="53"/>
      <c r="BJ504" s="53"/>
      <c r="BK504" s="53"/>
      <c r="BL504" s="53"/>
      <c r="BM504" s="53"/>
      <c r="BN504" s="53"/>
      <c r="BO504" s="53"/>
      <c r="BP504" s="53"/>
      <c r="BQ504" s="53"/>
      <c r="BR504" s="53"/>
      <c r="BS504" s="53"/>
      <c r="BT504" s="53"/>
      <c r="BU504" s="53"/>
      <c r="BV504" s="53"/>
      <c r="BW504" s="53"/>
      <c r="BX504" s="53"/>
      <c r="BY504" s="53"/>
      <c r="BZ504" s="53"/>
      <c r="CA504" s="53"/>
      <c r="CB504" s="53"/>
      <c r="CC504" s="53"/>
      <c r="CD504" s="53"/>
      <c r="CE504" s="53"/>
      <c r="CF504" s="53"/>
      <c r="CG504" s="53"/>
      <c r="CH504" s="53"/>
      <c r="CI504" s="53"/>
      <c r="CJ504" s="53"/>
      <c r="CK504" s="53"/>
      <c r="CL504" s="53"/>
      <c r="CM504" s="53"/>
      <c r="CN504" s="53"/>
      <c r="CO504" s="53"/>
      <c r="CP504" s="53"/>
      <c r="CQ504" s="53"/>
      <c r="CR504" s="1"/>
      <c r="CS504" s="1"/>
      <c r="CT504" s="1"/>
      <c r="CU504" s="1"/>
    </row>
    <row r="505" spans="1:99" s="13" customFormat="1" ht="12" customHeight="1" x14ac:dyDescent="0.2">
      <c r="A505" s="65">
        <v>43509</v>
      </c>
      <c r="B505" s="1" t="s">
        <v>249</v>
      </c>
      <c r="C505" s="1" t="s">
        <v>156</v>
      </c>
      <c r="D505" s="60">
        <v>1980</v>
      </c>
      <c r="E505" s="76">
        <v>1</v>
      </c>
      <c r="F505" s="60">
        <v>126</v>
      </c>
      <c r="G505" s="60">
        <v>21</v>
      </c>
      <c r="H505" s="60" t="s">
        <v>50</v>
      </c>
      <c r="I505" s="60" t="s">
        <v>904</v>
      </c>
      <c r="J505" s="60" t="s">
        <v>90</v>
      </c>
      <c r="K505" s="60">
        <f>IF(J505="syllables",1,IF(J505="trigrams",2,IF(J505="strings",3,IF(J505="visual array",4,IF(J505="characters",5,IF(J505="letters",6,IF(J505="free forms",7,IF(J505="odors",8,IF(J505="words",9,IF(J505="pictures",10,IF(J505="object pictures",11,IF(J505="faces",12,IF(J505="names",13,IF(J505="idioms",14,IF(J505="grades",15,IF(J505="syllable-digit pairs",16,IF(J505="trigram-word pairs",17,IF(J505="word-digit pairs",18,IF(J505="English-Swahili pairs",19,IF(J505="spatial position",20,IF(J505="word pairs",21,IF(J505="word triads",22,IF(J505="generated words",23,IF(J505="word definition pairs",24,IF(J505="math problems",25,IF(J505="famous faces",26,IF(J505="famous names",27,IF(J505="famous voices",28,IF(J505="television programs",29,IF(J505="race horses",30,IF(J505="new vocabulary",31,IF(J505="sentences",32,IF(J505="concepts",33,IF(J505="ad slides",34,IF(J505="scenes",35,IF(J505="famous scenes",36,IF(J505="poems",37,IF(J505="walk",38,IF(J505="faces and events",39,IF(J505="events and names",40,IF(J505="flashbulb",41,IF(J505="stories",42,IF(J505="course material",43,IF(J505="autobiographical",44,IF(J505="novels",45,IF(J505="public events",46,"99"))))))))))))))))))))))))))))))))))))))))))))))</f>
        <v>18</v>
      </c>
      <c r="L505" s="60">
        <f>IF(J505="syllables",1,IF(J505="trigrams",1,IF(J505="strings",1,IF(J505="visual array",1,IF(J505="characters",1,IF(J505="letters",1,IF(J505="free forms",1,IF(J505="odors",2,IF(J505="words",2,IF(J505="pictures",2,IF(J505="object pictures",2,IF(J505="faces",2,IF(J505="names",2,IF(J505="idioms","2",IF(J505="grades",2,IF(J505="syllable-digit pairs",3,IF(J505="trigram-word pairs",3,IF(J505="word-digit pairs",3,IF(J505="English-Swahili pairs",3,IF(J505="spatial position",3,IF(J505="word pairs",4,IF(J505="word triads",4,IF(J505="generated words",4,IF(J505="word definition pairs",4,IF(J505="math problems",4,IF(J505="famous faces",4,IF(J505="famous names",4,IF(J505="famous voices",4,IF(J505="television programs",4,IF(J505="race horses",4,IF(J505="new vocabulary",4,IF(J505="sentences",5,IF(J505="concepts",5,IF(J505="ad slides",5,IF(J505="scenes",5,IF(J505="famous scenes",5,IF(J505="poems",6,IF(J505="walk",6,IF(J505="faces and events",6,IF(J505="events and names",6,IF(J505="flashbulb",7,IF(J505="stories",7,IF(J505="course material",7,IF(J505="autobiographical",7,IF(J505="novels",7,IF(J505="public events",7,"99"))))))))))))))))))))))))))))))))))))))))))))))</f>
        <v>3</v>
      </c>
      <c r="M505" s="60">
        <v>1</v>
      </c>
      <c r="N505" s="60">
        <v>2</v>
      </c>
      <c r="O505" s="60">
        <v>0</v>
      </c>
      <c r="P505" s="60"/>
      <c r="Q505" s="60" t="s">
        <v>174</v>
      </c>
      <c r="R505" s="60">
        <f>IF(Q505="Free Recall",1,IF(Q505="Cued Recall",2,IF(Q505="Recognition",3,IF(Q505="Multiple Choice",4,IF(Q505="Savings",5,IF(Q505="Stem Completion",6,IF(Q505="Fragment Completion",7,IF(Q505="anagram solution",8,IF(Q505="Matching",9,IF(Q505="Problem Solving",10,"99"))))))))))</f>
        <v>1</v>
      </c>
      <c r="S505" s="60" t="s">
        <v>49</v>
      </c>
      <c r="T505" s="60" t="s">
        <v>261</v>
      </c>
      <c r="U505" s="60">
        <f>IF(T505="within",1,0)</f>
        <v>0</v>
      </c>
      <c r="V505" s="60">
        <v>20</v>
      </c>
      <c r="W505" s="60">
        <f>F505*V505</f>
        <v>2520</v>
      </c>
      <c r="X505" s="60">
        <v>5</v>
      </c>
      <c r="Y505" s="76">
        <f>AV504</f>
        <v>604800</v>
      </c>
      <c r="Z505" s="60" t="s">
        <v>157</v>
      </c>
      <c r="AA505" s="60">
        <v>4233600</v>
      </c>
      <c r="AB505" s="60" t="str">
        <f>IF(AA505&lt;60,"1",IF(AA505&lt;=43200,"2",IF(AA505&lt;=777600,"3","4")))</f>
        <v>4</v>
      </c>
      <c r="AC505" s="56">
        <f>AVERAGE(AV504:DA504)</f>
        <v>2419200</v>
      </c>
      <c r="AD505" s="60" t="str">
        <f>IF(AC505&lt;60,"1",IF(AC505&lt;=43200,"2",IF(AC505&lt;=777600,"3","4")))</f>
        <v>4</v>
      </c>
      <c r="AE505" s="76">
        <f>AA505-Y505</f>
        <v>3628800</v>
      </c>
      <c r="AF505" s="80">
        <f>AV505</f>
        <v>0.411373036524952</v>
      </c>
      <c r="AG505" s="56">
        <f>((AW505-AV505)+(AX505-AW505)+(AY505-AX505)+(AZ505-AY505))/4</f>
        <v>-6.7294820455050003E-2</v>
      </c>
      <c r="AH505" s="4"/>
      <c r="AI505" s="56">
        <f>RSQ(AV505:AZ505,AV504:AZ504)</f>
        <v>0.83758852264875328</v>
      </c>
      <c r="AJ505" s="109">
        <f>SLOPE(AV505:AZ505,AV504:AZ504)</f>
        <v>-7.8085891061785882E-8</v>
      </c>
      <c r="AK505" s="56">
        <f>INTERCEPT(AV505:AZ505,AV504:AZ504)</f>
        <v>0.41996800581277521</v>
      </c>
      <c r="AL505" s="56">
        <f>INDEX(LINEST(LN(AV505:AZ505),LN(AV504:AZ504),TRUE,TRUE),3,1)</f>
        <v>0.90942449303650286</v>
      </c>
      <c r="AM505" s="56">
        <f>INDEX(LINEST(LN(AV505:AZ505),LN(AV504:AZ504)),1)</f>
        <v>-0.59517119578547173</v>
      </c>
      <c r="AN505" s="56">
        <f>EXP(INDEX(LINEST(LN(AV505:AZ505),LN(AV504:AZ504)),1,2))</f>
        <v>1195.8922019718161</v>
      </c>
      <c r="AO505" s="82">
        <f>INDEX(LINEST((AV505:AZ505),LN(AV504:AZ504),TRUE,TRUE),3,1)</f>
        <v>0.94501006722139846</v>
      </c>
      <c r="AP505" s="82">
        <f>INDEX(LINEST((AV505:AZ505),LN(AV504:AZ504)),1)</f>
        <v>-0.15095085660822027</v>
      </c>
      <c r="AQ505" s="83">
        <f>INDEX(LINEST(LN(AV505:AZ505),SQRT(AV504:AZ504),TRUE,TRUE),3,1)</f>
        <v>0.91216347158154898</v>
      </c>
      <c r="AR505" s="116">
        <f>INDEX(LINEST(LN(AV505:AZ505),SQRT((AV504:AZ504))),1)</f>
        <v>-9.2553381903205266E-4</v>
      </c>
      <c r="AS505" s="84">
        <f>INDEX(LINEST(1/(AV505:AZ505),1/(SQRT(AV504:AZ504)),TRUE,TRUE),3,1)</f>
        <v>0.78686403011097705</v>
      </c>
      <c r="AT505" s="84">
        <f>INDEX(LINEST(1/(AV505:AZ505),1/SQRT(AV504:AZ504)),1)</f>
        <v>-5798.636299518771</v>
      </c>
      <c r="AU505" s="3"/>
      <c r="AV505" s="53">
        <v>0.411373036524952</v>
      </c>
      <c r="AW505" s="53">
        <v>0.27969281095098197</v>
      </c>
      <c r="AX505" s="53">
        <v>0.17934977047160799</v>
      </c>
      <c r="AY505" s="53">
        <v>0.14270371812822</v>
      </c>
      <c r="AZ505" s="53">
        <v>0.14219375470475198</v>
      </c>
      <c r="BA505" s="53"/>
      <c r="BB505" s="53"/>
      <c r="BC505" s="53"/>
      <c r="BD505" s="53"/>
      <c r="BE505" s="53"/>
      <c r="BF505" s="53"/>
      <c r="BG505" s="53"/>
      <c r="BH505" s="53"/>
      <c r="BI505" s="53"/>
      <c r="BJ505" s="53"/>
      <c r="BK505" s="53"/>
      <c r="BL505" s="53"/>
      <c r="BM505" s="53"/>
      <c r="BN505" s="53"/>
      <c r="BO505" s="53"/>
      <c r="BP505" s="53"/>
      <c r="BQ505" s="53"/>
      <c r="BR505" s="53"/>
      <c r="BS505" s="53"/>
      <c r="BT505" s="53"/>
      <c r="BU505" s="53"/>
      <c r="BV505" s="53"/>
      <c r="BW505" s="53"/>
      <c r="BX505" s="53"/>
      <c r="BY505" s="53"/>
      <c r="BZ505" s="53"/>
      <c r="CA505" s="53"/>
      <c r="CB505" s="53"/>
      <c r="CC505" s="53"/>
      <c r="CD505" s="53"/>
      <c r="CE505" s="53"/>
      <c r="CF505" s="53"/>
      <c r="CG505" s="53"/>
      <c r="CH505" s="53"/>
      <c r="CI505" s="53"/>
      <c r="CJ505" s="53"/>
      <c r="CK505" s="53"/>
      <c r="CL505" s="53"/>
      <c r="CM505" s="53"/>
      <c r="CN505" s="53"/>
      <c r="CO505" s="53"/>
      <c r="CP505" s="53"/>
      <c r="CQ505" s="53"/>
      <c r="CR505" s="1"/>
      <c r="CS505" s="1"/>
      <c r="CT505" s="1"/>
      <c r="CU505" s="1"/>
    </row>
    <row r="506" spans="1:99" s="13" customFormat="1" ht="12" customHeight="1" x14ac:dyDescent="0.2">
      <c r="A506" s="65">
        <v>43509</v>
      </c>
      <c r="B506" s="1"/>
      <c r="C506" s="1"/>
      <c r="D506" s="60"/>
      <c r="E506" s="76"/>
      <c r="F506" s="60"/>
      <c r="G506" s="60"/>
      <c r="H506" s="60"/>
      <c r="I506" s="60"/>
      <c r="J506" s="60"/>
      <c r="K506" s="60"/>
      <c r="L506" s="60"/>
      <c r="M506" s="60"/>
      <c r="N506" s="60"/>
      <c r="O506" s="60"/>
      <c r="P506" s="60"/>
      <c r="Q506" s="60"/>
      <c r="R506" s="60"/>
      <c r="S506" s="60"/>
      <c r="T506" s="60"/>
      <c r="U506" s="60"/>
      <c r="V506" s="60"/>
      <c r="W506" s="60"/>
      <c r="X506" s="60"/>
      <c r="Y506" s="76"/>
      <c r="Z506" s="60"/>
      <c r="AA506" s="60"/>
      <c r="AB506" s="60"/>
      <c r="AC506" s="56"/>
      <c r="AD506" s="60"/>
      <c r="AE506" s="76"/>
      <c r="AF506" s="80"/>
      <c r="AG506" s="56"/>
      <c r="AH506" s="4"/>
      <c r="AI506" s="56"/>
      <c r="AJ506" s="109"/>
      <c r="AK506" s="56"/>
      <c r="AL506" s="56"/>
      <c r="AM506" s="56"/>
      <c r="AN506" s="56"/>
      <c r="AO506" s="82"/>
      <c r="AP506" s="82"/>
      <c r="AQ506" s="83"/>
      <c r="AR506" s="116"/>
      <c r="AS506" s="84"/>
      <c r="AT506" s="84"/>
      <c r="AU506" s="3"/>
      <c r="AV506" s="25">
        <f>7*24*3600*1</f>
        <v>604800</v>
      </c>
      <c r="AW506" s="25">
        <f>7*24*3600*2</f>
        <v>1209600</v>
      </c>
      <c r="AX506" s="25">
        <f>7*24*3600*4</f>
        <v>2419200</v>
      </c>
      <c r="AY506" s="25"/>
      <c r="AZ506" s="25"/>
      <c r="BA506" s="53"/>
      <c r="BB506" s="53"/>
      <c r="BC506" s="53"/>
      <c r="BD506" s="53"/>
      <c r="BE506" s="53"/>
      <c r="BF506" s="53"/>
      <c r="BG506" s="53"/>
      <c r="BH506" s="53"/>
      <c r="BI506" s="53"/>
      <c r="BJ506" s="53"/>
      <c r="BK506" s="53"/>
      <c r="BL506" s="53"/>
      <c r="BM506" s="53"/>
      <c r="BN506" s="53"/>
      <c r="BO506" s="53"/>
      <c r="BP506" s="53"/>
      <c r="BQ506" s="53"/>
      <c r="BR506" s="53"/>
      <c r="BS506" s="53"/>
      <c r="BT506" s="53"/>
      <c r="BU506" s="53"/>
      <c r="BV506" s="53"/>
      <c r="BW506" s="53"/>
      <c r="BX506" s="53"/>
      <c r="BY506" s="53"/>
      <c r="BZ506" s="53"/>
      <c r="CA506" s="53"/>
      <c r="CB506" s="53"/>
      <c r="CC506" s="53"/>
      <c r="CD506" s="53"/>
      <c r="CE506" s="53"/>
      <c r="CF506" s="53"/>
      <c r="CG506" s="53"/>
      <c r="CH506" s="53"/>
      <c r="CI506" s="53"/>
      <c r="CJ506" s="53"/>
      <c r="CK506" s="53"/>
      <c r="CL506" s="53"/>
      <c r="CM506" s="53"/>
      <c r="CN506" s="53"/>
      <c r="CO506" s="53"/>
      <c r="CP506" s="53"/>
      <c r="CQ506" s="53"/>
      <c r="CR506" s="1"/>
      <c r="CS506" s="1"/>
      <c r="CT506" s="1"/>
      <c r="CU506" s="1"/>
    </row>
    <row r="507" spans="1:99" s="13" customFormat="1" ht="12" customHeight="1" x14ac:dyDescent="0.2">
      <c r="A507" s="65">
        <v>43509</v>
      </c>
      <c r="B507" s="1" t="s">
        <v>249</v>
      </c>
      <c r="C507" s="1" t="s">
        <v>156</v>
      </c>
      <c r="D507" s="60">
        <v>1980</v>
      </c>
      <c r="E507" s="76">
        <v>1</v>
      </c>
      <c r="F507" s="60">
        <v>63</v>
      </c>
      <c r="G507" s="60">
        <v>21</v>
      </c>
      <c r="H507" s="60" t="s">
        <v>50</v>
      </c>
      <c r="I507" s="60" t="s">
        <v>903</v>
      </c>
      <c r="J507" s="60" t="s">
        <v>90</v>
      </c>
      <c r="K507" s="60">
        <f>IF(J507="syllables",1,IF(J507="trigrams",2,IF(J507="strings",3,IF(J507="visual array",4,IF(J507="characters",5,IF(J507="letters",6,IF(J507="free forms",7,IF(J507="odors",8,IF(J507="words",9,IF(J507="pictures",10,IF(J507="object pictures",11,IF(J507="faces",12,IF(J507="names",13,IF(J507="idioms",14,IF(J507="grades",15,IF(J507="syllable-digit pairs",16,IF(J507="trigram-word pairs",17,IF(J507="word-digit pairs",18,IF(J507="English-Swahili pairs",19,IF(J507="spatial position",20,IF(J507="word pairs",21,IF(J507="word triads",22,IF(J507="generated words",23,IF(J507="word definition pairs",24,IF(J507="math problems",25,IF(J507="famous faces",26,IF(J507="famous names",27,IF(J507="famous voices",28,IF(J507="television programs",29,IF(J507="race horses",30,IF(J507="new vocabulary",31,IF(J507="sentences",32,IF(J507="concepts",33,IF(J507="ad slides",34,IF(J507="scenes",35,IF(J507="famous scenes",36,IF(J507="poems",37,IF(J507="walk",38,IF(J507="faces and events",39,IF(J507="events and names",40,IF(J507="flashbulb",41,IF(J507="stories",42,IF(J507="course material",43,IF(J507="autobiographical",44,IF(J507="novels",45,IF(J507="public events",46,"99"))))))))))))))))))))))))))))))))))))))))))))))</f>
        <v>18</v>
      </c>
      <c r="L507" s="60">
        <f>IF(J507="syllables",1,IF(J507="trigrams",1,IF(J507="strings",1,IF(J507="visual array",1,IF(J507="characters",1,IF(J507="letters",1,IF(J507="free forms",1,IF(J507="odors",2,IF(J507="words",2,IF(J507="pictures",2,IF(J507="object pictures",2,IF(J507="faces",2,IF(J507="names",2,IF(J507="idioms","2",IF(J507="grades",2,IF(J507="syllable-digit pairs",3,IF(J507="trigram-word pairs",3,IF(J507="word-digit pairs",3,IF(J507="English-Swahili pairs",3,IF(J507="spatial position",3,IF(J507="word pairs",4,IF(J507="word triads",4,IF(J507="generated words",4,IF(J507="word definition pairs",4,IF(J507="math problems",4,IF(J507="famous faces",4,IF(J507="famous names",4,IF(J507="famous voices",4,IF(J507="television programs",4,IF(J507="race horses",4,IF(J507="new vocabulary",4,IF(J507="sentences",5,IF(J507="concepts",5,IF(J507="ad slides",5,IF(J507="scenes",5,IF(J507="famous scenes",5,IF(J507="poems",6,IF(J507="walk",6,IF(J507="faces and events",6,IF(J507="events and names",6,IF(J507="flashbulb",7,IF(J507="stories",7,IF(J507="course material",7,IF(J507="autobiographical",7,IF(J507="novels",7,IF(J507="public events",7,"99"))))))))))))))))))))))))))))))))))))))))))))))</f>
        <v>3</v>
      </c>
      <c r="M507" s="60">
        <v>1</v>
      </c>
      <c r="N507" s="60">
        <v>2</v>
      </c>
      <c r="O507" s="60">
        <v>0</v>
      </c>
      <c r="P507" s="60"/>
      <c r="Q507" s="60" t="s">
        <v>174</v>
      </c>
      <c r="R507" s="60">
        <f>IF(Q507="Free Recall",1,IF(Q507="Cued Recall",2,IF(Q507="Recognition",3,IF(Q507="Multiple Choice",4,IF(Q507="Savings",5,IF(Q507="Stem Completion",6,IF(Q507="Fragment Completion",7,IF(Q507="anagram solution",8,IF(Q507="Matching",9,IF(Q507="Problem Solving",10,"99"))))))))))</f>
        <v>1</v>
      </c>
      <c r="S507" s="60" t="s">
        <v>49</v>
      </c>
      <c r="T507" s="60" t="s">
        <v>261</v>
      </c>
      <c r="U507" s="60">
        <f>IF(T507="within",1,0)</f>
        <v>0</v>
      </c>
      <c r="V507" s="60">
        <v>20</v>
      </c>
      <c r="W507" s="60">
        <f>F507*V507</f>
        <v>1260</v>
      </c>
      <c r="X507" s="60">
        <v>3</v>
      </c>
      <c r="Y507" s="76">
        <f>AV506</f>
        <v>604800</v>
      </c>
      <c r="Z507" s="60" t="s">
        <v>140</v>
      </c>
      <c r="AA507" s="60">
        <f>60*60*24*28</f>
        <v>2419200</v>
      </c>
      <c r="AB507" s="60" t="str">
        <f>IF(AA507&lt;60,"1",IF(AA507&lt;=43200,"2",IF(AA507&lt;=777600,"3","4")))</f>
        <v>4</v>
      </c>
      <c r="AC507" s="56">
        <f>AVERAGE(AV506:DA506)</f>
        <v>1411200</v>
      </c>
      <c r="AD507" s="60" t="str">
        <f>IF(AC507&lt;60,"1",IF(AC507&lt;=43200,"2",IF(AC507&lt;=777600,"3","4")))</f>
        <v>4</v>
      </c>
      <c r="AE507" s="76">
        <f>AA507-Y507</f>
        <v>1814400</v>
      </c>
      <c r="AF507" s="80">
        <f>AV507</f>
        <v>0.86251238092817506</v>
      </c>
      <c r="AG507" s="56">
        <f>((AW507-AV507)+(AX507-AW507))/2</f>
        <v>-0.2422514638461945</v>
      </c>
      <c r="AH507" s="4"/>
      <c r="AI507" s="56">
        <f>RSQ(AV507:AX507,AV506:AX506)</f>
        <v>0.99999464518306502</v>
      </c>
      <c r="AJ507" s="109">
        <f>SLOPE(AV507:AX507,AV506:AX506)</f>
        <v>-2.6691316978657E-7</v>
      </c>
      <c r="AK507" s="56">
        <f>INTERCEPT(AV507:AX507,AV506:AX506)</f>
        <v>1.0235101211518201</v>
      </c>
      <c r="AL507" s="56">
        <f>INDEX(LINEST(LN(AV507:AX507),LN(AV506:AX506),TRUE,TRUE),3,1)</f>
        <v>0.92481133956556438</v>
      </c>
      <c r="AM507" s="56">
        <f>INDEX(LINEST(LN(AV507:AX507),LN(AV506:AX506)),1)</f>
        <v>-0.59506142618098612</v>
      </c>
      <c r="AN507" s="56">
        <f>EXP(INDEX(LINEST(LN(AV507:AX507),LN(AV506:AX506)),1,2))</f>
        <v>2544.8871255963995</v>
      </c>
      <c r="AO507" s="82">
        <f>INDEX(LINEST((AV507:AX507),LN(AV506:AX506),TRUE,TRUE),3,1)</f>
        <v>0.9651396071390943</v>
      </c>
      <c r="AP507" s="82">
        <f>INDEX(LINEST((AV507:AX507),LN(AV506:AX506)),1)</f>
        <v>-0.34949498553899677</v>
      </c>
      <c r="AQ507" s="83">
        <f>INDEX(LINEST(LN(AV507:AX507),SQRT(AV506:AX506),TRUE,TRUE),3,1)</f>
        <v>0.96828997115828797</v>
      </c>
      <c r="AR507" s="116">
        <f>INDEX(LINEST(LN(AV507:AX507),SQRT((AV506:AX506))),1)</f>
        <v>-1.0801079301765756E-3</v>
      </c>
      <c r="AS507" s="84">
        <f>INDEX(LINEST(1/(AV507:AX507),1/(SQRT(AV506:AX506)),TRUE,TRUE),3,1)</f>
        <v>0.80960049228901521</v>
      </c>
      <c r="AT507" s="84">
        <f>INDEX(LINEST(1/(AV507:AX507),1/SQRT(AV506:AX506)),1)</f>
        <v>-2205.3993192365965</v>
      </c>
      <c r="AU507" s="3"/>
      <c r="AV507" s="53">
        <v>0.86251238092817506</v>
      </c>
      <c r="AW507" s="53">
        <v>0.70000493368307604</v>
      </c>
      <c r="AX507" s="53">
        <v>0.37800945323578605</v>
      </c>
      <c r="AY507" s="25"/>
      <c r="AZ507" s="25"/>
      <c r="BA507" s="53"/>
      <c r="BB507" s="53"/>
      <c r="BC507" s="53"/>
      <c r="BD507" s="53"/>
      <c r="BE507" s="53"/>
      <c r="BF507" s="53"/>
      <c r="BG507" s="53"/>
      <c r="BH507" s="53"/>
      <c r="BI507" s="53"/>
      <c r="BJ507" s="53"/>
      <c r="BK507" s="53"/>
      <c r="BL507" s="53"/>
      <c r="BM507" s="53"/>
      <c r="BN507" s="53"/>
      <c r="BO507" s="53"/>
      <c r="BP507" s="53"/>
      <c r="BQ507" s="53"/>
      <c r="BR507" s="53"/>
      <c r="BS507" s="53"/>
      <c r="BT507" s="53"/>
      <c r="BU507" s="53"/>
      <c r="BV507" s="53"/>
      <c r="BW507" s="53"/>
      <c r="BX507" s="53"/>
      <c r="BY507" s="53"/>
      <c r="BZ507" s="53"/>
      <c r="CA507" s="53"/>
      <c r="CB507" s="53"/>
      <c r="CC507" s="53"/>
      <c r="CD507" s="53"/>
      <c r="CE507" s="53"/>
      <c r="CF507" s="53"/>
      <c r="CG507" s="53"/>
      <c r="CH507" s="53"/>
      <c r="CI507" s="53"/>
      <c r="CJ507" s="53"/>
      <c r="CK507" s="53"/>
      <c r="CL507" s="53"/>
      <c r="CM507" s="53"/>
      <c r="CN507" s="53"/>
      <c r="CO507" s="53"/>
      <c r="CP507" s="53"/>
      <c r="CQ507" s="53"/>
      <c r="CR507" s="1"/>
      <c r="CS507" s="1"/>
      <c r="CT507" s="1"/>
      <c r="CU507" s="1"/>
    </row>
    <row r="508" spans="1:99" s="13" customFormat="1" ht="12" customHeight="1" x14ac:dyDescent="0.2">
      <c r="A508" s="68">
        <v>43509</v>
      </c>
      <c r="B508" s="70"/>
      <c r="C508" s="70"/>
      <c r="D508" s="69"/>
      <c r="E508" s="87"/>
      <c r="F508" s="69"/>
      <c r="G508" s="69"/>
      <c r="H508" s="69"/>
      <c r="I508" s="69"/>
      <c r="J508" s="69"/>
      <c r="K508" s="107"/>
      <c r="L508" s="107"/>
      <c r="M508" s="69"/>
      <c r="N508" s="69"/>
      <c r="O508" s="69"/>
      <c r="P508" s="69"/>
      <c r="Q508" s="69"/>
      <c r="R508" s="69"/>
      <c r="S508" s="69"/>
      <c r="T508" s="69"/>
      <c r="U508" s="60"/>
      <c r="V508" s="69"/>
      <c r="W508" s="69"/>
      <c r="X508" s="69"/>
      <c r="Y508" s="87"/>
      <c r="Z508" s="69"/>
      <c r="AA508" s="69"/>
      <c r="AB508" s="69"/>
      <c r="AC508" s="69"/>
      <c r="AD508" s="69"/>
      <c r="AE508" s="69"/>
      <c r="AF508" s="88"/>
      <c r="AG508" s="72"/>
      <c r="AH508" s="4"/>
      <c r="AI508" s="72"/>
      <c r="AJ508" s="110"/>
      <c r="AK508" s="72"/>
      <c r="AL508" s="72"/>
      <c r="AM508" s="72"/>
      <c r="AN508" s="72"/>
      <c r="AO508" s="72"/>
      <c r="AP508" s="72"/>
      <c r="AQ508" s="72"/>
      <c r="AR508" s="110"/>
      <c r="AS508" s="72"/>
      <c r="AT508" s="72"/>
      <c r="AU508" s="4"/>
      <c r="AV508" s="71">
        <v>40</v>
      </c>
      <c r="AW508" s="71">
        <f>24*3600</f>
        <v>86400</v>
      </c>
      <c r="AX508" s="71">
        <f>7*24*3600*1</f>
        <v>604800</v>
      </c>
      <c r="AY508" s="71">
        <f>7*24*3600*6</f>
        <v>3628800</v>
      </c>
      <c r="AZ508" s="53" t="s">
        <v>518</v>
      </c>
      <c r="BB508" s="53"/>
      <c r="BC508" s="53"/>
      <c r="BD508" s="53"/>
      <c r="BE508" s="53"/>
      <c r="BF508" s="53"/>
      <c r="BG508" s="53"/>
      <c r="BH508" s="53"/>
      <c r="BI508" s="53"/>
      <c r="BJ508" s="53"/>
      <c r="BK508" s="53"/>
      <c r="BL508" s="53"/>
      <c r="BM508" s="53"/>
      <c r="BN508" s="53"/>
      <c r="BO508" s="53"/>
      <c r="BP508" s="53"/>
      <c r="BQ508" s="53"/>
      <c r="BR508" s="53"/>
      <c r="BS508" s="53"/>
      <c r="BT508" s="53"/>
      <c r="BU508" s="53"/>
      <c r="BV508" s="53"/>
      <c r="BW508" s="53"/>
      <c r="BX508" s="53"/>
      <c r="BY508" s="53"/>
      <c r="BZ508" s="53"/>
      <c r="CA508" s="53"/>
      <c r="CB508" s="53"/>
      <c r="CC508" s="53"/>
      <c r="CD508" s="53"/>
      <c r="CE508" s="53"/>
      <c r="CF508" s="53"/>
      <c r="CG508" s="53"/>
      <c r="CH508" s="53"/>
      <c r="CI508" s="53"/>
      <c r="CJ508" s="53"/>
      <c r="CK508" s="53"/>
      <c r="CL508" s="53"/>
      <c r="CM508" s="53"/>
      <c r="CN508" s="53"/>
      <c r="CO508" s="53"/>
      <c r="CP508" s="53"/>
      <c r="CQ508" s="53"/>
      <c r="CR508" s="1"/>
      <c r="CS508" s="1"/>
      <c r="CT508" s="1"/>
      <c r="CU508" s="1"/>
    </row>
    <row r="509" spans="1:99" s="13" customFormat="1" ht="12" customHeight="1" x14ac:dyDescent="0.2">
      <c r="A509" s="68">
        <v>43509</v>
      </c>
      <c r="B509" s="70" t="s">
        <v>158</v>
      </c>
      <c r="C509" s="70" t="s">
        <v>159</v>
      </c>
      <c r="D509" s="69">
        <v>2016</v>
      </c>
      <c r="E509" s="87">
        <v>1</v>
      </c>
      <c r="F509" s="69">
        <v>95</v>
      </c>
      <c r="G509" s="69">
        <v>23.8</v>
      </c>
      <c r="H509" s="69" t="s">
        <v>746</v>
      </c>
      <c r="I509" s="69" t="s">
        <v>742</v>
      </c>
      <c r="J509" s="69" t="s">
        <v>317</v>
      </c>
      <c r="K509" s="69">
        <f>IF(J509="syllables",1,IF(J509="trigrams",2,IF(J509="strings",3,IF(J509="visual array",4,IF(J509="characters",5,IF(J509="letters",6,IF(J509="free forms",7,IF(J509="odors",8,IF(J509="words",9,IF(J509="pictures",10,IF(J509="object pictures",11,IF(J509="faces",12,IF(J509="names",13,IF(J509="idioms",14,IF(J509="grades",15,IF(J509="syllable-digit pairs",16,IF(J509="trigram-word pairs",17,IF(J509="word-digit pairs",18,IF(J509="English-Swahili pairs",19,IF(J509="spatial position",20,IF(J509="word pairs",21,IF(J509="word triads",22,IF(J509="generated words",23,IF(J509="word definition pairs",24,IF(J509="math problems",25,IF(J509="famous faces",26,IF(J509="famous names",27,IF(J509="famous voices",28,IF(J509="television programs",29,IF(J509="race horses",30,IF(J509="new vocabulary",31,IF(J509="sentences",32,IF(J509="concepts",33,IF(J509="ad slides",34,IF(J509="scenes",35,IF(J509="famous scenes",36,IF(J509="poems",37,IF(J509="walk",38,IF(J509="faces and events",39,IF(J509="events and names",40,IF(J509="flashbulb",41,IF(J509="stories",42,IF(J509="course material",43,IF(J509="autobiographical",44,IF(J509="novels",45,IF(J509="public events",46,"99"))))))))))))))))))))))))))))))))))))))))))))))</f>
        <v>7</v>
      </c>
      <c r="L509" s="69">
        <f>IF(J509="syllables",1,IF(J509="trigrams",1,IF(J509="strings",1,IF(J509="visual array",1,IF(J509="characters",1,IF(J509="letters",1,IF(J509="free forms",1,IF(J509="odors",2,IF(J509="words",2,IF(J509="pictures",2,IF(J509="object pictures",2,IF(J509="faces",2,IF(J509="names",2,IF(J509="idioms","2",IF(J509="grades",2,IF(J509="syllable-digit pairs",3,IF(J509="trigram-word pairs",3,IF(J509="word-digit pairs",3,IF(J509="English-Swahili pairs",3,IF(J509="spatial position",3,IF(J509="word pairs",4,IF(J509="word triads",4,IF(J509="generated words",4,IF(J509="word definition pairs",4,IF(J509="math problems",4,IF(J509="famous faces",4,IF(J509="famous names",4,IF(J509="famous voices",4,IF(J509="television programs",4,IF(J509="race horses",4,IF(J509="new vocabulary",4,IF(J509="sentences",5,IF(J509="concepts",5,IF(J509="ad slides",5,IF(J509="scenes",5,IF(J509="famous scenes",5,IF(J509="poems",6,IF(J509="walk",6,IF(J509="faces and events",6,IF(J509="events and names",6,IF(J509="flashbulb",7,IF(J509="stories",7,IF(J509="course material",7,IF(J509="autobiographical",7,IF(J509="novels",7,IF(J509="public events",7,"99"))))))))))))))))))))))))))))))))))))))))))))))</f>
        <v>1</v>
      </c>
      <c r="M509" s="69">
        <v>1</v>
      </c>
      <c r="N509" s="69">
        <v>2</v>
      </c>
      <c r="O509" s="69">
        <v>0</v>
      </c>
      <c r="P509" s="69"/>
      <c r="Q509" s="69" t="s">
        <v>34</v>
      </c>
      <c r="R509" s="69">
        <f>IF(Q509="Free Recall",1,IF(Q509="Cued Recall",2,IF(Q509="Recognition",3,IF(Q509="Multiple Choice",4,IF(Q509="Savings",5,IF(Q509="Stem Completion",6,IF(Q509="Fragment Completion",7,IF(Q509="anagram solution",8,IF(Q509="Matching",9,IF(Q509="Problem Solving",10,"99"))))))))))</f>
        <v>3</v>
      </c>
      <c r="S509" s="99" t="s">
        <v>15</v>
      </c>
      <c r="T509" s="69" t="s">
        <v>261</v>
      </c>
      <c r="U509" s="60">
        <f>IF(T509="within",1,0)</f>
        <v>0</v>
      </c>
      <c r="V509" s="69">
        <v>40</v>
      </c>
      <c r="W509" s="69">
        <f>F509*V509</f>
        <v>3800</v>
      </c>
      <c r="X509" s="69">
        <v>4</v>
      </c>
      <c r="Y509" s="87">
        <f>AV508</f>
        <v>40</v>
      </c>
      <c r="Z509" s="69" t="s">
        <v>160</v>
      </c>
      <c r="AA509" s="69">
        <v>3628800</v>
      </c>
      <c r="AB509" s="69" t="str">
        <f>IF(AA509&lt;60,"1",IF(AA509&lt;=43200,"2",IF(AA509&lt;=777600,"3","4")))</f>
        <v>4</v>
      </c>
      <c r="AC509" s="72">
        <f>AVERAGE(AV508:DA508)</f>
        <v>1080010</v>
      </c>
      <c r="AD509" s="69" t="str">
        <f>IF(AC509&lt;60,"1",IF(AC509&lt;=43200,"2",IF(AC509&lt;=777600,"3","4")))</f>
        <v>4</v>
      </c>
      <c r="AE509" s="87">
        <f>AA509-Y509</f>
        <v>3628760</v>
      </c>
      <c r="AF509" s="88">
        <f>AV509</f>
        <v>0.8208333333333333</v>
      </c>
      <c r="AG509" s="72">
        <f>((AW509-AV509)+(AX509-AW509)+(AY509-AX509))/3</f>
        <v>-1.4009661835748774E-2</v>
      </c>
      <c r="AH509" s="4"/>
      <c r="AI509" s="72">
        <f>RSQ(AV509:AY509,AV508:AY508)</f>
        <v>0.89692672641344839</v>
      </c>
      <c r="AJ509" s="110">
        <f>SLOPE(AV509:AY509,AV508:AY508)</f>
        <v>-1.4201142210680998E-8</v>
      </c>
      <c r="AK509" s="72">
        <f>INTERCEPT(AV509:AY509,AV508:AY508)</f>
        <v>0.83178325422214605</v>
      </c>
      <c r="AL509" s="72">
        <f>INDEX(LINEST(LN(AV509:AY509),LN(AV508:AY508),TRUE,TRUE),3,1)</f>
        <v>0.14425810382320323</v>
      </c>
      <c r="AM509" s="72">
        <f>INDEX(LINEST(LN(AV509:AY509),LN(AV508:AY508)),1)</f>
        <v>-2.4218402444285553E-3</v>
      </c>
      <c r="AN509" s="72">
        <f>EXP(INDEX(LINEST(LN(AV509:AY509),LN(AV508:AY508)),1,2))</f>
        <v>0.83790133188251625</v>
      </c>
      <c r="AO509" s="89">
        <f>INDEX(LINEST((AV509:AY509),LN(AV508:AY508),TRUE,TRUE),3,1)</f>
        <v>0.14024471020063992</v>
      </c>
      <c r="AP509" s="89">
        <f>INDEX(LINEST((AV509:AY509),LN(AV508:AY508)),1)</f>
        <v>-1.9226849664697181E-3</v>
      </c>
      <c r="AQ509" s="90">
        <f>INDEX(LINEST(LN(AV509:AY509),SQRT(AV508:AY508),TRUE,TRUE),3,1)</f>
        <v>0.72100739274293879</v>
      </c>
      <c r="AR509" s="117">
        <f>INDEX(LINEST(LN(AV509:AY509),SQRT((AV508:AY508))),1)</f>
        <v>-3.254398273459573E-5</v>
      </c>
      <c r="AS509" s="91">
        <f>INDEX(LINEST(1/(AV509:AY509),1/(SQRT(AV508:AY508)),TRUE,TRUE),3,1)</f>
        <v>1.8741089002515268E-2</v>
      </c>
      <c r="AT509" s="91">
        <f>INDEX(LINEST(1/(AV509:AY509),1/SQRT(AV508:AY508)),1)</f>
        <v>-6.9677289912485868E-2</v>
      </c>
      <c r="AU509" s="3"/>
      <c r="AV509" s="73">
        <v>0.8208333333333333</v>
      </c>
      <c r="AW509" s="73">
        <v>0.83489583333333339</v>
      </c>
      <c r="AX509" s="73">
        <v>0.83125000000000004</v>
      </c>
      <c r="AY509" s="73">
        <v>0.77880434782608698</v>
      </c>
      <c r="AZ509" s="53"/>
      <c r="BA509" s="53"/>
      <c r="BB509" s="53"/>
      <c r="BC509" s="53"/>
      <c r="BD509" s="53"/>
      <c r="BE509" s="53"/>
      <c r="BF509" s="53"/>
      <c r="BG509" s="53"/>
      <c r="BH509" s="53"/>
      <c r="BI509" s="53"/>
      <c r="BJ509" s="53"/>
      <c r="BK509" s="53"/>
      <c r="BL509" s="53"/>
      <c r="BM509" s="53"/>
      <c r="BN509" s="53"/>
      <c r="BO509" s="53"/>
      <c r="BP509" s="53"/>
      <c r="BQ509" s="53"/>
      <c r="BR509" s="53"/>
      <c r="BS509" s="53"/>
      <c r="BT509" s="53"/>
      <c r="BU509" s="53"/>
      <c r="BV509" s="53"/>
      <c r="BW509" s="53"/>
      <c r="BX509" s="53"/>
      <c r="BY509" s="53"/>
      <c r="BZ509" s="53"/>
      <c r="CA509" s="53"/>
      <c r="CB509" s="53"/>
      <c r="CC509" s="53"/>
      <c r="CD509" s="53"/>
      <c r="CE509" s="53"/>
      <c r="CF509" s="53"/>
      <c r="CG509" s="53"/>
      <c r="CH509" s="53"/>
      <c r="CI509" s="53"/>
      <c r="CJ509" s="53"/>
      <c r="CK509" s="53"/>
      <c r="CL509" s="53"/>
      <c r="CM509" s="53"/>
      <c r="CN509" s="53"/>
      <c r="CO509" s="53"/>
      <c r="CP509" s="53"/>
      <c r="CQ509" s="53"/>
      <c r="CR509" s="1"/>
      <c r="CS509" s="1"/>
      <c r="CT509" s="1"/>
      <c r="CU509" s="1"/>
    </row>
    <row r="510" spans="1:99" s="13" customFormat="1" ht="12" customHeight="1" x14ac:dyDescent="0.2">
      <c r="A510" s="68">
        <v>43509</v>
      </c>
      <c r="B510" s="70"/>
      <c r="C510" s="70"/>
      <c r="D510" s="69"/>
      <c r="E510" s="87"/>
      <c r="F510" s="69"/>
      <c r="G510" s="69"/>
      <c r="H510" s="69"/>
      <c r="I510" s="69"/>
      <c r="J510" s="69"/>
      <c r="K510" s="107"/>
      <c r="L510" s="107"/>
      <c r="M510" s="69"/>
      <c r="N510" s="69"/>
      <c r="O510" s="69"/>
      <c r="P510" s="69"/>
      <c r="Q510" s="69"/>
      <c r="R510" s="69"/>
      <c r="S510" s="69"/>
      <c r="T510" s="69"/>
      <c r="U510" s="60"/>
      <c r="V510" s="69"/>
      <c r="W510" s="69"/>
      <c r="X510" s="69"/>
      <c r="Y510" s="87"/>
      <c r="Z510" s="69"/>
      <c r="AA510" s="69"/>
      <c r="AB510" s="69"/>
      <c r="AC510" s="69"/>
      <c r="AD510" s="69"/>
      <c r="AE510" s="69"/>
      <c r="AF510" s="88"/>
      <c r="AG510" s="72"/>
      <c r="AH510" s="4"/>
      <c r="AI510" s="72"/>
      <c r="AJ510" s="110"/>
      <c r="AK510" s="72"/>
      <c r="AL510" s="72"/>
      <c r="AM510" s="72"/>
      <c r="AN510" s="72"/>
      <c r="AO510" s="72"/>
      <c r="AP510" s="72"/>
      <c r="AQ510" s="72"/>
      <c r="AR510" s="110"/>
      <c r="AS510" s="72"/>
      <c r="AT510" s="72"/>
      <c r="AU510" s="4"/>
      <c r="AV510" s="71">
        <v>40</v>
      </c>
      <c r="AW510" s="71">
        <f>24*3600</f>
        <v>86400</v>
      </c>
      <c r="AX510" s="71">
        <f>7*24*3600*1</f>
        <v>604800</v>
      </c>
      <c r="AY510" s="71">
        <f>7*24*3600*6</f>
        <v>3628800</v>
      </c>
      <c r="AZ510" s="53"/>
      <c r="BA510" s="53"/>
      <c r="BB510" s="53"/>
      <c r="BC510" s="53"/>
      <c r="BD510" s="53"/>
      <c r="BE510" s="53"/>
      <c r="BF510" s="53"/>
      <c r="BG510" s="53"/>
      <c r="BH510" s="53"/>
      <c r="BI510" s="53"/>
      <c r="BJ510" s="53"/>
      <c r="BK510" s="53"/>
      <c r="BL510" s="53"/>
      <c r="BM510" s="53"/>
      <c r="BN510" s="53"/>
      <c r="BO510" s="53"/>
      <c r="BP510" s="53"/>
      <c r="BQ510" s="53"/>
      <c r="BR510" s="53"/>
      <c r="BS510" s="53"/>
      <c r="BT510" s="53"/>
      <c r="BU510" s="53"/>
      <c r="BV510" s="53"/>
      <c r="BW510" s="53"/>
      <c r="BX510" s="53"/>
      <c r="BY510" s="53"/>
      <c r="BZ510" s="53"/>
      <c r="CA510" s="53"/>
      <c r="CB510" s="53"/>
      <c r="CC510" s="53"/>
      <c r="CD510" s="53"/>
      <c r="CE510" s="53"/>
      <c r="CF510" s="53"/>
      <c r="CG510" s="53"/>
      <c r="CH510" s="53"/>
      <c r="CI510" s="53"/>
      <c r="CJ510" s="53"/>
      <c r="CK510" s="53"/>
      <c r="CL510" s="53"/>
      <c r="CM510" s="53"/>
      <c r="CN510" s="53"/>
      <c r="CO510" s="53"/>
      <c r="CP510" s="53"/>
      <c r="CQ510" s="53"/>
      <c r="CR510" s="1"/>
      <c r="CS510" s="1"/>
      <c r="CT510" s="1"/>
      <c r="CU510" s="1"/>
    </row>
    <row r="511" spans="1:99" s="13" customFormat="1" ht="12" customHeight="1" x14ac:dyDescent="0.2">
      <c r="A511" s="68">
        <v>43509</v>
      </c>
      <c r="B511" s="70" t="s">
        <v>158</v>
      </c>
      <c r="C511" s="70" t="s">
        <v>159</v>
      </c>
      <c r="D511" s="69">
        <v>2016</v>
      </c>
      <c r="E511" s="87">
        <v>1</v>
      </c>
      <c r="F511" s="69">
        <v>95</v>
      </c>
      <c r="G511" s="69">
        <v>23.8</v>
      </c>
      <c r="H511" s="69" t="s">
        <v>746</v>
      </c>
      <c r="I511" s="69" t="s">
        <v>743</v>
      </c>
      <c r="J511" s="69" t="s">
        <v>317</v>
      </c>
      <c r="K511" s="69">
        <f>IF(J511="syllables",1,IF(J511="trigrams",2,IF(J511="strings",3,IF(J511="visual array",4,IF(J511="characters",5,IF(J511="letters",6,IF(J511="free forms",7,IF(J511="odors",8,IF(J511="words",9,IF(J511="pictures",10,IF(J511="object pictures",11,IF(J511="faces",12,IF(J511="names",13,IF(J511="idioms",14,IF(J511="grades",15,IF(J511="syllable-digit pairs",16,IF(J511="trigram-word pairs",17,IF(J511="word-digit pairs",18,IF(J511="English-Swahili pairs",19,IF(J511="spatial position",20,IF(J511="word pairs",21,IF(J511="word triads",22,IF(J511="generated words",23,IF(J511="word definition pairs",24,IF(J511="math problems",25,IF(J511="famous faces",26,IF(J511="famous names",27,IF(J511="famous voices",28,IF(J511="television programs",29,IF(J511="race horses",30,IF(J511="new vocabulary",31,IF(J511="sentences",32,IF(J511="concepts",33,IF(J511="ad slides",34,IF(J511="scenes",35,IF(J511="famous scenes",36,IF(J511="poems",37,IF(J511="walk",38,IF(J511="faces and events",39,IF(J511="events and names",40,IF(J511="flashbulb",41,IF(J511="stories",42,IF(J511="course material",43,IF(J511="autobiographical",44,IF(J511="novels",45,IF(J511="public events",46,"99"))))))))))))))))))))))))))))))))))))))))))))))</f>
        <v>7</v>
      </c>
      <c r="L511" s="69">
        <f>IF(J511="syllables",1,IF(J511="trigrams",1,IF(J511="strings",1,IF(J511="visual array",1,IF(J511="characters",1,IF(J511="letters",1,IF(J511="free forms",1,IF(J511="odors",2,IF(J511="words",2,IF(J511="pictures",2,IF(J511="object pictures",2,IF(J511="faces",2,IF(J511="names",2,IF(J511="idioms","2",IF(J511="grades",2,IF(J511="syllable-digit pairs",3,IF(J511="trigram-word pairs",3,IF(J511="word-digit pairs",3,IF(J511="English-Swahili pairs",3,IF(J511="spatial position",3,IF(J511="word pairs",4,IF(J511="word triads",4,IF(J511="generated words",4,IF(J511="word definition pairs",4,IF(J511="math problems",4,IF(J511="famous faces",4,IF(J511="famous names",4,IF(J511="famous voices",4,IF(J511="television programs",4,IF(J511="race horses",4,IF(J511="new vocabulary",4,IF(J511="sentences",5,IF(J511="concepts",5,IF(J511="ad slides",5,IF(J511="scenes",5,IF(J511="famous scenes",5,IF(J511="poems",6,IF(J511="walk",6,IF(J511="faces and events",6,IF(J511="events and names",6,IF(J511="flashbulb",7,IF(J511="stories",7,IF(J511="course material",7,IF(J511="autobiographical",7,IF(J511="novels",7,IF(J511="public events",7,"99"))))))))))))))))))))))))))))))))))))))))))))))</f>
        <v>1</v>
      </c>
      <c r="M511" s="69">
        <v>0</v>
      </c>
      <c r="N511" s="69">
        <v>1</v>
      </c>
      <c r="O511" s="69">
        <v>0</v>
      </c>
      <c r="P511" s="69"/>
      <c r="Q511" s="69" t="s">
        <v>34</v>
      </c>
      <c r="R511" s="69">
        <f>IF(Q511="Free Recall",1,IF(Q511="Cued Recall",2,IF(Q511="Recognition",3,IF(Q511="Multiple Choice",4,IF(Q511="Savings",5,IF(Q511="Stem Completion",6,IF(Q511="Fragment Completion",7,IF(Q511="anagram solution",8,IF(Q511="Matching",9,IF(Q511="Problem Solving",10,"99"))))))))))</f>
        <v>3</v>
      </c>
      <c r="S511" s="99" t="s">
        <v>15</v>
      </c>
      <c r="T511" s="69" t="s">
        <v>261</v>
      </c>
      <c r="U511" s="60">
        <f>IF(T511="within",1,0)</f>
        <v>0</v>
      </c>
      <c r="V511" s="69">
        <v>40</v>
      </c>
      <c r="W511" s="69">
        <f>F511*V511</f>
        <v>3800</v>
      </c>
      <c r="X511" s="69">
        <v>4</v>
      </c>
      <c r="Y511" s="87">
        <f>AV510</f>
        <v>40</v>
      </c>
      <c r="Z511" s="69" t="s">
        <v>160</v>
      </c>
      <c r="AA511" s="69">
        <v>3628800</v>
      </c>
      <c r="AB511" s="69" t="str">
        <f>IF(AA511&lt;60,"1",IF(AA511&lt;=43200,"2",IF(AA511&lt;=777600,"3","4")))</f>
        <v>4</v>
      </c>
      <c r="AC511" s="72">
        <f>AVERAGE(AV510:DA510)</f>
        <v>1080010</v>
      </c>
      <c r="AD511" s="69" t="str">
        <f>IF(AC511&lt;60,"1",IF(AC511&lt;=43200,"2",IF(AC511&lt;=777600,"3","4")))</f>
        <v>4</v>
      </c>
      <c r="AE511" s="87">
        <f>AA511-Y511</f>
        <v>3628760</v>
      </c>
      <c r="AF511" s="88">
        <f>AV511</f>
        <v>0.66249999999999998</v>
      </c>
      <c r="AG511" s="72">
        <f>((AW511-AV511)+(AX511-AW511)+(AY511-AX511))/3</f>
        <v>-3.2246376811594181E-2</v>
      </c>
      <c r="AH511" s="4"/>
      <c r="AI511" s="72">
        <f>RSQ(AV511:AY511,AV510:AY510)</f>
        <v>0.73649351990294543</v>
      </c>
      <c r="AJ511" s="110">
        <f>SLOPE(AV511:AY511,AV510:AY510)</f>
        <v>-2.3685828246347442E-8</v>
      </c>
      <c r="AK511" s="72">
        <f>INTERCEPT(AV511:AY511,AV510:AY510)</f>
        <v>0.64605760708897531</v>
      </c>
      <c r="AL511" s="72">
        <f>INDEX(LINEST(LN(AV511:AY511),LN(AV510:AY510),TRUE,TRUE),3,1)</f>
        <v>0.64188401333215428</v>
      </c>
      <c r="AM511" s="72">
        <f>INDEX(LINEST(LN(AV511:AY511),LN(AV510:AY510)),1)</f>
        <v>-1.230302890150585E-2</v>
      </c>
      <c r="AN511" s="72">
        <f>EXP(INDEX(LINEST(LN(AV511:AY511),LN(AV510:AY510)),1,2))</f>
        <v>0.70767127056120571</v>
      </c>
      <c r="AO511" s="89">
        <f>INDEX(LINEST((AV511:AY511),LN(AV510:AY510),TRUE,TRUE),3,1)</f>
        <v>0.64614149232424745</v>
      </c>
      <c r="AP511" s="89">
        <f>INDEX(LINEST((AV511:AY511),LN(AV510:AY510)),1)</f>
        <v>-7.5960535534413077E-3</v>
      </c>
      <c r="AQ511" s="90">
        <f>INDEX(LINEST(LN(AV511:AY511),SQRT(AV510:AY510),TRUE,TRUE),3,1)</f>
        <v>0.89666964591064413</v>
      </c>
      <c r="AR511" s="117">
        <f>INDEX(LINEST(LN(AV511:AY511),SQRT((AV510:AY510))),1)</f>
        <v>-8.7402822721113283E-5</v>
      </c>
      <c r="AS511" s="91">
        <f>INDEX(LINEST(1/(AV511:AY511),1/(SQRT(AV510:AY510)),TRUE,TRUE),3,1)</f>
        <v>0.35195629180485566</v>
      </c>
      <c r="AT511" s="91">
        <f>INDEX(LINEST(1/(AV511:AY511),1/SQRT(AV510:AY510)),1)</f>
        <v>-0.95311230422845017</v>
      </c>
      <c r="AU511" s="3"/>
      <c r="AV511" s="73">
        <v>0.66249999999999998</v>
      </c>
      <c r="AW511" s="73">
        <v>0.65781249999999991</v>
      </c>
      <c r="AX511" s="73">
        <v>0.59583333333333333</v>
      </c>
      <c r="AY511" s="73">
        <v>0.56576086956521743</v>
      </c>
      <c r="AZ511" s="53"/>
      <c r="BA511" s="53"/>
      <c r="BB511" s="53"/>
      <c r="BC511" s="53"/>
      <c r="BD511" s="53"/>
      <c r="BE511" s="53"/>
      <c r="BF511" s="53"/>
      <c r="BG511" s="53"/>
      <c r="BH511" s="53"/>
      <c r="BI511" s="53"/>
      <c r="BJ511" s="53"/>
      <c r="BK511" s="53"/>
      <c r="BL511" s="53"/>
      <c r="BM511" s="53"/>
      <c r="BN511" s="53"/>
      <c r="BO511" s="53"/>
      <c r="BP511" s="53"/>
      <c r="BQ511" s="53"/>
      <c r="BR511" s="53"/>
      <c r="BS511" s="53"/>
      <c r="BT511" s="53"/>
      <c r="BU511" s="53"/>
      <c r="BV511" s="53"/>
      <c r="BW511" s="53"/>
      <c r="BX511" s="53"/>
      <c r="BY511" s="53"/>
      <c r="BZ511" s="53"/>
      <c r="CA511" s="53"/>
      <c r="CB511" s="53"/>
      <c r="CC511" s="53"/>
      <c r="CD511" s="53"/>
      <c r="CE511" s="53"/>
      <c r="CF511" s="53"/>
      <c r="CG511" s="53"/>
      <c r="CH511" s="53"/>
      <c r="CI511" s="53"/>
      <c r="CJ511" s="53"/>
      <c r="CK511" s="53"/>
      <c r="CL511" s="53"/>
      <c r="CM511" s="53"/>
      <c r="CN511" s="53"/>
      <c r="CO511" s="53"/>
      <c r="CP511" s="53"/>
      <c r="CQ511" s="53"/>
      <c r="CR511" s="1"/>
      <c r="CS511" s="1"/>
      <c r="CT511" s="1"/>
      <c r="CU511" s="1"/>
    </row>
    <row r="512" spans="1:99" s="13" customFormat="1" ht="12" customHeight="1" x14ac:dyDescent="0.2">
      <c r="A512" s="68">
        <v>43509</v>
      </c>
      <c r="B512" s="70"/>
      <c r="C512" s="70"/>
      <c r="D512" s="69"/>
      <c r="E512" s="87"/>
      <c r="F512" s="69"/>
      <c r="G512" s="69"/>
      <c r="H512" s="69"/>
      <c r="I512" s="69"/>
      <c r="J512" s="69"/>
      <c r="K512" s="107"/>
      <c r="L512" s="107"/>
      <c r="M512" s="69"/>
      <c r="N512" s="69"/>
      <c r="O512" s="69"/>
      <c r="P512" s="69"/>
      <c r="Q512" s="69"/>
      <c r="R512" s="69"/>
      <c r="S512" s="69"/>
      <c r="T512" s="69"/>
      <c r="U512" s="60"/>
      <c r="V512" s="69"/>
      <c r="W512" s="69"/>
      <c r="X512" s="69"/>
      <c r="Y512" s="87"/>
      <c r="Z512" s="69"/>
      <c r="AA512" s="69"/>
      <c r="AB512" s="69"/>
      <c r="AC512" s="69"/>
      <c r="AD512" s="69"/>
      <c r="AE512" s="69"/>
      <c r="AF512" s="88"/>
      <c r="AG512" s="72"/>
      <c r="AH512" s="4"/>
      <c r="AI512" s="72"/>
      <c r="AJ512" s="110"/>
      <c r="AK512" s="72"/>
      <c r="AL512" s="72"/>
      <c r="AM512" s="72"/>
      <c r="AN512" s="72"/>
      <c r="AO512" s="72"/>
      <c r="AP512" s="72"/>
      <c r="AQ512" s="72"/>
      <c r="AR512" s="110"/>
      <c r="AS512" s="72"/>
      <c r="AT512" s="72"/>
      <c r="AU512" s="4"/>
      <c r="AV512" s="71">
        <v>40</v>
      </c>
      <c r="AW512" s="71">
        <f>24*3600</f>
        <v>86400</v>
      </c>
      <c r="AX512" s="71">
        <f>7*24*3600*1</f>
        <v>604800</v>
      </c>
      <c r="AY512" s="71">
        <f>7*24*3600*6</f>
        <v>3628800</v>
      </c>
      <c r="AZ512" s="53"/>
      <c r="BA512" s="53"/>
      <c r="BB512" s="53"/>
      <c r="BC512" s="53"/>
      <c r="BD512" s="53"/>
      <c r="BE512" s="53"/>
      <c r="BF512" s="53"/>
      <c r="BG512" s="53"/>
      <c r="BH512" s="53"/>
      <c r="BI512" s="53"/>
      <c r="BJ512" s="53"/>
      <c r="BK512" s="53"/>
      <c r="BL512" s="53"/>
      <c r="BM512" s="53"/>
      <c r="BN512" s="53"/>
      <c r="BO512" s="53"/>
      <c r="BP512" s="53"/>
      <c r="BQ512" s="53"/>
      <c r="BR512" s="53"/>
      <c r="BS512" s="53"/>
      <c r="BT512" s="53"/>
      <c r="BU512" s="53"/>
      <c r="BV512" s="53"/>
      <c r="BW512" s="53"/>
      <c r="BX512" s="53"/>
      <c r="BY512" s="53"/>
      <c r="BZ512" s="53"/>
      <c r="CA512" s="53"/>
      <c r="CB512" s="53"/>
      <c r="CC512" s="53"/>
      <c r="CD512" s="53"/>
      <c r="CE512" s="53"/>
      <c r="CF512" s="53"/>
      <c r="CG512" s="53"/>
      <c r="CH512" s="53"/>
      <c r="CI512" s="53"/>
      <c r="CJ512" s="53"/>
      <c r="CK512" s="53"/>
      <c r="CL512" s="53"/>
      <c r="CM512" s="53"/>
      <c r="CN512" s="53"/>
      <c r="CO512" s="53"/>
      <c r="CP512" s="53"/>
      <c r="CQ512" s="53"/>
      <c r="CR512" s="1"/>
      <c r="CS512" s="1"/>
      <c r="CT512" s="1"/>
      <c r="CU512" s="1"/>
    </row>
    <row r="513" spans="1:133" s="13" customFormat="1" ht="12" customHeight="1" x14ac:dyDescent="0.2">
      <c r="A513" s="68">
        <v>43509</v>
      </c>
      <c r="B513" s="70" t="s">
        <v>158</v>
      </c>
      <c r="C513" s="70" t="s">
        <v>159</v>
      </c>
      <c r="D513" s="69">
        <v>2016</v>
      </c>
      <c r="E513" s="87">
        <v>1</v>
      </c>
      <c r="F513" s="69">
        <v>95</v>
      </c>
      <c r="G513" s="69">
        <v>23.8</v>
      </c>
      <c r="H513" s="69" t="s">
        <v>746</v>
      </c>
      <c r="I513" s="69" t="s">
        <v>744</v>
      </c>
      <c r="J513" s="69" t="s">
        <v>317</v>
      </c>
      <c r="K513" s="69">
        <f>IF(J513="syllables",1,IF(J513="trigrams",2,IF(J513="strings",3,IF(J513="visual array",4,IF(J513="characters",5,IF(J513="letters",6,IF(J513="free forms",7,IF(J513="odors",8,IF(J513="words",9,IF(J513="pictures",10,IF(J513="object pictures",11,IF(J513="faces",12,IF(J513="names",13,IF(J513="idioms",14,IF(J513="grades",15,IF(J513="syllable-digit pairs",16,IF(J513="trigram-word pairs",17,IF(J513="word-digit pairs",18,IF(J513="English-Swahili pairs",19,IF(J513="spatial position",20,IF(J513="word pairs",21,IF(J513="word triads",22,IF(J513="generated words",23,IF(J513="word definition pairs",24,IF(J513="math problems",25,IF(J513="famous faces",26,IF(J513="famous names",27,IF(J513="famous voices",28,IF(J513="television programs",29,IF(J513="race horses",30,IF(J513="new vocabulary",31,IF(J513="sentences",32,IF(J513="concepts",33,IF(J513="ad slides",34,IF(J513="scenes",35,IF(J513="famous scenes",36,IF(J513="poems",37,IF(J513="walk",38,IF(J513="faces and events",39,IF(J513="events and names",40,IF(J513="flashbulb",41,IF(J513="stories",42,IF(J513="course material",43,IF(J513="autobiographical",44,IF(J513="novels",45,IF(J513="public events",46,"99"))))))))))))))))))))))))))))))))))))))))))))))</f>
        <v>7</v>
      </c>
      <c r="L513" s="69">
        <f>IF(J513="syllables",1,IF(J513="trigrams",1,IF(J513="strings",1,IF(J513="visual array",1,IF(J513="characters",1,IF(J513="letters",1,IF(J513="free forms",1,IF(J513="odors",2,IF(J513="words",2,IF(J513="pictures",2,IF(J513="object pictures",2,IF(J513="faces",2,IF(J513="names",2,IF(J513="idioms","2",IF(J513="grades",2,IF(J513="syllable-digit pairs",3,IF(J513="trigram-word pairs",3,IF(J513="word-digit pairs",3,IF(J513="English-Swahili pairs",3,IF(J513="spatial position",3,IF(J513="word pairs",4,IF(J513="word triads",4,IF(J513="generated words",4,IF(J513="word definition pairs",4,IF(J513="math problems",4,IF(J513="famous faces",4,IF(J513="famous names",4,IF(J513="famous voices",4,IF(J513="television programs",4,IF(J513="race horses",4,IF(J513="new vocabulary",4,IF(J513="sentences",5,IF(J513="concepts",5,IF(J513="ad slides",5,IF(J513="scenes",5,IF(J513="famous scenes",5,IF(J513="poems",6,IF(J513="walk",6,IF(J513="faces and events",6,IF(J513="events and names",6,IF(J513="flashbulb",7,IF(J513="stories",7,IF(J513="course material",7,IF(J513="autobiographical",7,IF(J513="novels",7,IF(J513="public events",7,"99"))))))))))))))))))))))))))))))))))))))))))))))</f>
        <v>1</v>
      </c>
      <c r="M513" s="69">
        <v>1</v>
      </c>
      <c r="N513" s="69">
        <v>2</v>
      </c>
      <c r="O513" s="69">
        <v>0</v>
      </c>
      <c r="P513" s="69"/>
      <c r="Q513" s="69" t="s">
        <v>34</v>
      </c>
      <c r="R513" s="69">
        <f>IF(Q513="Free Recall",1,IF(Q513="Cued Recall",2,IF(Q513="Recognition",3,IF(Q513="Multiple Choice",4,IF(Q513="Savings",5,IF(Q513="Stem Completion",6,IF(Q513="Fragment Completion",7,IF(Q513="anagram solution",8,IF(Q513="Matching",9,IF(Q513="Problem Solving",10,"99"))))))))))</f>
        <v>3</v>
      </c>
      <c r="S513" s="99" t="s">
        <v>15</v>
      </c>
      <c r="T513" s="69" t="s">
        <v>261</v>
      </c>
      <c r="U513" s="60">
        <f>IF(T513="within",1,0)</f>
        <v>0</v>
      </c>
      <c r="V513" s="69">
        <v>40</v>
      </c>
      <c r="W513" s="69">
        <f>F513*V513</f>
        <v>3800</v>
      </c>
      <c r="X513" s="69">
        <v>4</v>
      </c>
      <c r="Y513" s="87">
        <f>AV512</f>
        <v>40</v>
      </c>
      <c r="Z513" s="69" t="s">
        <v>160</v>
      </c>
      <c r="AA513" s="69">
        <v>3628800</v>
      </c>
      <c r="AB513" s="69" t="str">
        <f>IF(AA513&lt;60,"1",IF(AA513&lt;=43200,"2",IF(AA513&lt;=777600,"3","4")))</f>
        <v>4</v>
      </c>
      <c r="AC513" s="72">
        <f>AVERAGE(AV512:DA512)</f>
        <v>1080010</v>
      </c>
      <c r="AD513" s="69" t="str">
        <f>IF(AC513&lt;60,"1",IF(AC513&lt;=43200,"2",IF(AC513&lt;=777600,"3","4")))</f>
        <v>4</v>
      </c>
      <c r="AE513" s="87">
        <f>AA513-Y513</f>
        <v>3628760</v>
      </c>
      <c r="AF513" s="88">
        <f>AV513</f>
        <v>0.70833333333333326</v>
      </c>
      <c r="AG513" s="72">
        <f>((AW513-AV513)+(AX513-AW513)+(AY513-AX513))/3</f>
        <v>-3.448067632850238E-2</v>
      </c>
      <c r="AH513" s="4"/>
      <c r="AI513" s="72">
        <f>RSQ(AV513:AY513,AV512:AY512)</f>
        <v>0.89024057260359279</v>
      </c>
      <c r="AJ513" s="110">
        <f>SLOPE(AV513:AY513,AV512:AY512)</f>
        <v>-2.6046714087613114E-8</v>
      </c>
      <c r="AK513" s="72">
        <f>INTERCEPT(AV513:AY513,AV512:AY512)</f>
        <v>0.70161916276871961</v>
      </c>
      <c r="AL513" s="72">
        <f>INDEX(LINEST(LN(AV513:AY513),LN(AV512:AY512),TRUE,TRUE),3,1)</f>
        <v>0.42200226638193139</v>
      </c>
      <c r="AM513" s="72">
        <f>INDEX(LINEST(LN(AV513:AY513),LN(AV512:AY512)),1)</f>
        <v>-9.4010097333786929E-3</v>
      </c>
      <c r="AN513" s="72">
        <f>EXP(INDEX(LINEST(LN(AV513:AY513),LN(AV512:AY512)),1,2))</f>
        <v>0.74449084721002834</v>
      </c>
      <c r="AO513" s="89">
        <f>INDEX(LINEST((AV513:AY513),LN(AV512:AY512),TRUE,TRUE),3,1)</f>
        <v>0.42820457249292687</v>
      </c>
      <c r="AP513" s="89">
        <f>INDEX(LINEST((AV513:AY513),LN(AV512:AY512)),1)</f>
        <v>-6.1850753304840637E-3</v>
      </c>
      <c r="AQ513" s="90">
        <f>INDEX(LINEST(LN(AV513:AY513),SQRT(AV512:AY512),TRUE,TRUE),3,1)</f>
        <v>0.80883919411595839</v>
      </c>
      <c r="AR513" s="117">
        <f>INDEX(LINEST(LN(AV513:AY513),SQRT((AV512:AY512))),1)</f>
        <v>-7.8230060210411352E-5</v>
      </c>
      <c r="AS513" s="91">
        <f>INDEX(LINEST(1/(AV513:AY513),1/(SQRT(AV512:AY512)),TRUE,TRUE),3,1)</f>
        <v>0.22959564873414437</v>
      </c>
      <c r="AT513" s="91">
        <f>INDEX(LINEST(1/(AV513:AY513),1/SQRT(AV512:AY512)),1)</f>
        <v>-0.68355956331257661</v>
      </c>
      <c r="AU513" s="3"/>
      <c r="AV513" s="73">
        <v>0.70833333333333326</v>
      </c>
      <c r="AW513" s="73">
        <v>0.67864583333333328</v>
      </c>
      <c r="AX513" s="73">
        <v>0.70208333333333339</v>
      </c>
      <c r="AY513" s="73">
        <v>0.60489130434782612</v>
      </c>
      <c r="AZ513" s="53"/>
      <c r="BA513" s="53"/>
      <c r="BB513" s="53"/>
      <c r="BC513" s="53"/>
      <c r="BD513" s="53"/>
      <c r="BE513" s="53"/>
      <c r="BF513" s="53"/>
      <c r="BG513" s="53"/>
      <c r="BH513" s="53"/>
      <c r="BI513" s="53"/>
      <c r="BJ513" s="53"/>
      <c r="BK513" s="53"/>
      <c r="BL513" s="53"/>
      <c r="BM513" s="53"/>
      <c r="BN513" s="53"/>
      <c r="BO513" s="53"/>
      <c r="BP513" s="53"/>
      <c r="BQ513" s="53"/>
      <c r="BR513" s="53"/>
      <c r="BS513" s="53"/>
      <c r="BT513" s="53"/>
      <c r="BU513" s="53"/>
      <c r="BV513" s="53"/>
      <c r="BW513" s="53"/>
      <c r="BX513" s="53"/>
      <c r="BY513" s="53"/>
      <c r="BZ513" s="53"/>
      <c r="CA513" s="53"/>
      <c r="CB513" s="53"/>
      <c r="CC513" s="53"/>
      <c r="CD513" s="53"/>
      <c r="CE513" s="53"/>
      <c r="CF513" s="53"/>
      <c r="CG513" s="53"/>
      <c r="CH513" s="53"/>
      <c r="CI513" s="53"/>
      <c r="CJ513" s="53"/>
      <c r="CK513" s="53"/>
      <c r="CL513" s="53"/>
      <c r="CM513" s="53"/>
      <c r="CN513" s="53"/>
      <c r="CO513" s="53"/>
      <c r="CP513" s="53"/>
      <c r="CQ513" s="53"/>
      <c r="CR513" s="1"/>
      <c r="CS513" s="1"/>
      <c r="CT513" s="1"/>
      <c r="CU513" s="1"/>
    </row>
    <row r="514" spans="1:133" s="13" customFormat="1" ht="12" customHeight="1" x14ac:dyDescent="0.2">
      <c r="A514" s="68">
        <v>43509</v>
      </c>
      <c r="B514" s="70"/>
      <c r="C514" s="70"/>
      <c r="D514" s="69"/>
      <c r="E514" s="87"/>
      <c r="F514" s="69"/>
      <c r="G514" s="69"/>
      <c r="H514" s="69"/>
      <c r="I514" s="69"/>
      <c r="J514" s="69"/>
      <c r="K514" s="107"/>
      <c r="L514" s="107"/>
      <c r="M514" s="69"/>
      <c r="N514" s="69"/>
      <c r="O514" s="69"/>
      <c r="P514" s="69"/>
      <c r="Q514" s="69"/>
      <c r="R514" s="69"/>
      <c r="S514" s="69"/>
      <c r="T514" s="69"/>
      <c r="U514" s="60"/>
      <c r="V514" s="69"/>
      <c r="W514" s="69"/>
      <c r="X514" s="69"/>
      <c r="Y514" s="87"/>
      <c r="Z514" s="69"/>
      <c r="AA514" s="69"/>
      <c r="AB514" s="69"/>
      <c r="AC514" s="69"/>
      <c r="AD514" s="69"/>
      <c r="AE514" s="69"/>
      <c r="AF514" s="88"/>
      <c r="AG514" s="72"/>
      <c r="AH514" s="4"/>
      <c r="AI514" s="72"/>
      <c r="AJ514" s="110"/>
      <c r="AK514" s="72"/>
      <c r="AL514" s="72"/>
      <c r="AM514" s="72"/>
      <c r="AN514" s="72"/>
      <c r="AO514" s="72"/>
      <c r="AP514" s="72"/>
      <c r="AQ514" s="72"/>
      <c r="AR514" s="110"/>
      <c r="AS514" s="72"/>
      <c r="AT514" s="72"/>
      <c r="AU514" s="4"/>
      <c r="AV514" s="71">
        <v>40</v>
      </c>
      <c r="AW514" s="71">
        <f>24*3600</f>
        <v>86400</v>
      </c>
      <c r="AX514" s="71">
        <f>7*24*3600*1</f>
        <v>604800</v>
      </c>
      <c r="AY514" s="71">
        <f>7*24*3600*6</f>
        <v>3628800</v>
      </c>
      <c r="AZ514" s="53"/>
      <c r="BA514" s="53"/>
      <c r="BB514" s="53"/>
      <c r="BC514" s="53"/>
      <c r="BD514" s="53"/>
      <c r="BE514" s="53"/>
      <c r="BF514" s="53"/>
      <c r="BG514" s="53"/>
      <c r="BH514" s="53"/>
      <c r="BI514" s="53"/>
      <c r="BJ514" s="53"/>
      <c r="BK514" s="53"/>
      <c r="BL514" s="53"/>
      <c r="BM514" s="53"/>
      <c r="BN514" s="53"/>
      <c r="BO514" s="53"/>
      <c r="BP514" s="53"/>
      <c r="BQ514" s="53"/>
      <c r="BR514" s="53"/>
      <c r="BS514" s="53"/>
      <c r="BT514" s="53"/>
      <c r="BU514" s="53"/>
      <c r="BV514" s="53"/>
      <c r="BW514" s="53"/>
      <c r="BX514" s="53"/>
      <c r="BY514" s="53"/>
      <c r="BZ514" s="53"/>
      <c r="CA514" s="53"/>
      <c r="CB514" s="53"/>
      <c r="CC514" s="53"/>
      <c r="CD514" s="53"/>
      <c r="CE514" s="53"/>
      <c r="CF514" s="53"/>
      <c r="CG514" s="53"/>
      <c r="CH514" s="53"/>
      <c r="CI514" s="53"/>
      <c r="CJ514" s="53"/>
      <c r="CK514" s="53"/>
      <c r="CL514" s="53"/>
      <c r="CM514" s="53"/>
      <c r="CN514" s="53"/>
      <c r="CO514" s="53"/>
      <c r="CP514" s="53"/>
      <c r="CQ514" s="53"/>
      <c r="CR514" s="1"/>
      <c r="CS514" s="1"/>
      <c r="CT514" s="1"/>
      <c r="CU514" s="1"/>
    </row>
    <row r="515" spans="1:133" s="13" customFormat="1" ht="12" customHeight="1" x14ac:dyDescent="0.2">
      <c r="A515" s="68">
        <v>43509</v>
      </c>
      <c r="B515" s="70" t="s">
        <v>158</v>
      </c>
      <c r="C515" s="70" t="s">
        <v>159</v>
      </c>
      <c r="D515" s="69">
        <v>2016</v>
      </c>
      <c r="E515" s="87">
        <v>1</v>
      </c>
      <c r="F515" s="69">
        <v>95</v>
      </c>
      <c r="G515" s="69">
        <v>23.8</v>
      </c>
      <c r="H515" s="69" t="s">
        <v>746</v>
      </c>
      <c r="I515" s="69" t="s">
        <v>745</v>
      </c>
      <c r="J515" s="69" t="s">
        <v>317</v>
      </c>
      <c r="K515" s="69">
        <f>IF(J515="syllables",1,IF(J515="trigrams",2,IF(J515="strings",3,IF(J515="visual array",4,IF(J515="characters",5,IF(J515="letters",6,IF(J515="free forms",7,IF(J515="odors",8,IF(J515="words",9,IF(J515="pictures",10,IF(J515="object pictures",11,IF(J515="faces",12,IF(J515="names",13,IF(J515="idioms",14,IF(J515="grades",15,IF(J515="syllable-digit pairs",16,IF(J515="trigram-word pairs",17,IF(J515="word-digit pairs",18,IF(J515="English-Swahili pairs",19,IF(J515="spatial position",20,IF(J515="word pairs",21,IF(J515="word triads",22,IF(J515="generated words",23,IF(J515="word definition pairs",24,IF(J515="math problems",25,IF(J515="famous faces",26,IF(J515="famous names",27,IF(J515="famous voices",28,IF(J515="television programs",29,IF(J515="race horses",30,IF(J515="new vocabulary",31,IF(J515="sentences",32,IF(J515="concepts",33,IF(J515="ad slides",34,IF(J515="scenes",35,IF(J515="famous scenes",36,IF(J515="poems",37,IF(J515="walk",38,IF(J515="faces and events",39,IF(J515="events and names",40,IF(J515="flashbulb",41,IF(J515="stories",42,IF(J515="course material",43,IF(J515="autobiographical",44,IF(J515="novels",45,IF(J515="public events",46,"99"))))))))))))))))))))))))))))))))))))))))))))))</f>
        <v>7</v>
      </c>
      <c r="L515" s="69">
        <f>IF(J515="syllables",1,IF(J515="trigrams",1,IF(J515="strings",1,IF(J515="visual array",1,IF(J515="characters",1,IF(J515="letters",1,IF(J515="free forms",1,IF(J515="odors",2,IF(J515="words",2,IF(J515="pictures",2,IF(J515="object pictures",2,IF(J515="faces",2,IF(J515="names",2,IF(J515="idioms","2",IF(J515="grades",2,IF(J515="syllable-digit pairs",3,IF(J515="trigram-word pairs",3,IF(J515="word-digit pairs",3,IF(J515="English-Swahili pairs",3,IF(J515="spatial position",3,IF(J515="word pairs",4,IF(J515="word triads",4,IF(J515="generated words",4,IF(J515="word definition pairs",4,IF(J515="math problems",4,IF(J515="famous faces",4,IF(J515="famous names",4,IF(J515="famous voices",4,IF(J515="television programs",4,IF(J515="race horses",4,IF(J515="new vocabulary",4,IF(J515="sentences",5,IF(J515="concepts",5,IF(J515="ad slides",5,IF(J515="scenes",5,IF(J515="famous scenes",5,IF(J515="poems",6,IF(J515="walk",6,IF(J515="faces and events",6,IF(J515="events and names",6,IF(J515="flashbulb",7,IF(J515="stories",7,IF(J515="course material",7,IF(J515="autobiographical",7,IF(J515="novels",7,IF(J515="public events",7,"99"))))))))))))))))))))))))))))))))))))))))))))))</f>
        <v>1</v>
      </c>
      <c r="M515" s="69">
        <v>0</v>
      </c>
      <c r="N515" s="69">
        <v>1</v>
      </c>
      <c r="O515" s="69">
        <v>0</v>
      </c>
      <c r="P515" s="69"/>
      <c r="Q515" s="69" t="s">
        <v>34</v>
      </c>
      <c r="R515" s="69">
        <f>IF(Q515="Free Recall",1,IF(Q515="Cued Recall",2,IF(Q515="Recognition",3,IF(Q515="Multiple Choice",4,IF(Q515="Savings",5,IF(Q515="Stem Completion",6,IF(Q515="Fragment Completion",7,IF(Q515="anagram solution",8,IF(Q515="Matching",9,IF(Q515="Problem Solving",10,"99"))))))))))</f>
        <v>3</v>
      </c>
      <c r="S515" s="99" t="s">
        <v>15</v>
      </c>
      <c r="T515" s="69" t="s">
        <v>261</v>
      </c>
      <c r="U515" s="60">
        <f>IF(T515="within",1,0)</f>
        <v>0</v>
      </c>
      <c r="V515" s="69">
        <v>40</v>
      </c>
      <c r="W515" s="69">
        <f>F515*V515</f>
        <v>3800</v>
      </c>
      <c r="X515" s="69">
        <v>4</v>
      </c>
      <c r="Y515" s="87">
        <f>AV514</f>
        <v>40</v>
      </c>
      <c r="Z515" s="69" t="s">
        <v>160</v>
      </c>
      <c r="AA515" s="69">
        <v>3628800</v>
      </c>
      <c r="AB515" s="69" t="str">
        <f>IF(AA515&lt;60,"1",IF(AA515&lt;=43200,"2",IF(AA515&lt;=777600,"3","4")))</f>
        <v>4</v>
      </c>
      <c r="AC515" s="72">
        <f>AVERAGE(AV514:DA514)</f>
        <v>1080010</v>
      </c>
      <c r="AD515" s="69" t="str">
        <f>IF(AC515&lt;60,"1",IF(AC515&lt;=43200,"2",IF(AC515&lt;=777600,"3","4")))</f>
        <v>4</v>
      </c>
      <c r="AE515" s="87">
        <f>AA515-Y515</f>
        <v>3628760</v>
      </c>
      <c r="AF515" s="88">
        <f>AV515</f>
        <v>0.57291666666666663</v>
      </c>
      <c r="AG515" s="72">
        <f>((AW515-AV515)+(AX515-AW515)+(AY515-AX515))/3</f>
        <v>-2.2675120772946828E-2</v>
      </c>
      <c r="AH515" s="4"/>
      <c r="AI515" s="72">
        <f>RSQ(AV515:AY515,AV514:AY514)</f>
        <v>0.9750498521009765</v>
      </c>
      <c r="AJ515" s="110">
        <f>SLOPE(AV515:AY515,AV514:AY514)</f>
        <v>-1.7194550050794433E-8</v>
      </c>
      <c r="AK515" s="72">
        <f>INTERCEPT(AV515:AY515,AV514:AY514)</f>
        <v>0.56653790375398172</v>
      </c>
      <c r="AL515" s="72">
        <f>INDEX(LINEST(LN(AV515:AY515),LN(AV514:AY514),TRUE,TRUE),3,1)</f>
        <v>0.56924262318449947</v>
      </c>
      <c r="AM515" s="72">
        <f>INDEX(LINEST(LN(AV515:AY515),LN(AV514:AY514)),1)</f>
        <v>-8.3950381219197508E-3</v>
      </c>
      <c r="AN515" s="72">
        <f>EXP(INDEX(LINEST(LN(AV515:AY515),LN(AV514:AY514)),1,2))</f>
        <v>0.59962263968254925</v>
      </c>
      <c r="AO515" s="89">
        <f>INDEX(LINEST((AV515:AY515),LN(AV514:AY514),TRUE,TRUE),3,1)</f>
        <v>0.58261774704848646</v>
      </c>
      <c r="AP515" s="89">
        <f>INDEX(LINEST((AV515:AY515),LN(AV514:AY514)),1)</f>
        <v>-4.5508167927658678E-3</v>
      </c>
      <c r="AQ515" s="90">
        <f>INDEX(LINEST(LN(AV515:AY515),SQRT(AV514:AY514),TRUE,TRUE),3,1)</f>
        <v>0.98352791412183782</v>
      </c>
      <c r="AR515" s="117">
        <f>INDEX(LINEST(LN(AV515:AY515),SQRT((AV514:AY514))),1)</f>
        <v>-6.6327369242836682E-5</v>
      </c>
      <c r="AS515" s="91">
        <f>INDEX(LINEST(1/(AV515:AY515),1/(SQRT(AV514:AY514)),TRUE,TRUE),3,1)</f>
        <v>0.29697170337563644</v>
      </c>
      <c r="AT515" s="91">
        <f>INDEX(LINEST(1/(AV515:AY515),1/SQRT(AV514:AY514)),1)</f>
        <v>-0.72801700715031115</v>
      </c>
      <c r="AU515" s="3"/>
      <c r="AV515" s="73">
        <v>0.57291666666666663</v>
      </c>
      <c r="AW515" s="73">
        <v>0.5619791666666667</v>
      </c>
      <c r="AX515" s="73">
        <v>0.55208333333333337</v>
      </c>
      <c r="AY515" s="73">
        <v>0.50489130434782614</v>
      </c>
      <c r="AZ515" s="53"/>
      <c r="BA515" s="53"/>
      <c r="BB515" s="53"/>
      <c r="BC515" s="53"/>
      <c r="BD515" s="53"/>
      <c r="BE515" s="53"/>
      <c r="BF515" s="53"/>
      <c r="BG515" s="53"/>
      <c r="BH515" s="53"/>
      <c r="BI515" s="53"/>
      <c r="BJ515" s="53"/>
      <c r="BK515" s="53"/>
      <c r="BL515" s="53"/>
      <c r="BM515" s="53"/>
      <c r="BN515" s="53"/>
      <c r="BO515" s="53"/>
      <c r="BP515" s="53"/>
      <c r="BQ515" s="53"/>
      <c r="BR515" s="53"/>
      <c r="BS515" s="53"/>
      <c r="BT515" s="53"/>
      <c r="BU515" s="53"/>
      <c r="BV515" s="53"/>
      <c r="BW515" s="53"/>
      <c r="BX515" s="53"/>
      <c r="BY515" s="53"/>
      <c r="BZ515" s="53"/>
      <c r="CA515" s="53"/>
      <c r="CB515" s="53"/>
      <c r="CC515" s="53"/>
      <c r="CD515" s="53"/>
      <c r="CE515" s="53"/>
      <c r="CF515" s="53"/>
      <c r="CG515" s="53"/>
      <c r="CH515" s="53"/>
      <c r="CI515" s="53"/>
      <c r="CJ515" s="53"/>
      <c r="CK515" s="53"/>
      <c r="CL515" s="53"/>
      <c r="CM515" s="53"/>
      <c r="CN515" s="53"/>
      <c r="CO515" s="53"/>
      <c r="CP515" s="53"/>
      <c r="CQ515" s="53"/>
      <c r="CR515" s="1"/>
      <c r="CS515" s="1"/>
      <c r="CT515" s="1"/>
      <c r="CU515" s="1"/>
    </row>
    <row r="516" spans="1:133" s="13" customFormat="1" ht="12" customHeight="1" x14ac:dyDescent="0.2">
      <c r="A516" s="68">
        <v>43979</v>
      </c>
      <c r="B516" s="70"/>
      <c r="C516" s="70"/>
      <c r="D516" s="69"/>
      <c r="E516" s="87"/>
      <c r="F516" s="69"/>
      <c r="G516" s="69"/>
      <c r="H516" s="69"/>
      <c r="I516" s="69"/>
      <c r="J516" s="69"/>
      <c r="K516" s="69"/>
      <c r="L516" s="69"/>
      <c r="M516" s="69"/>
      <c r="N516" s="69"/>
      <c r="O516" s="69"/>
      <c r="P516" s="69"/>
      <c r="Q516" s="69"/>
      <c r="R516" s="69"/>
      <c r="S516" s="99"/>
      <c r="T516" s="69"/>
      <c r="U516" s="69"/>
      <c r="V516" s="69"/>
      <c r="W516" s="69"/>
      <c r="X516" s="69"/>
      <c r="Y516" s="87"/>
      <c r="Z516" s="69"/>
      <c r="AA516" s="69"/>
      <c r="AB516" s="69"/>
      <c r="AC516" s="72"/>
      <c r="AD516" s="69"/>
      <c r="AE516" s="87"/>
      <c r="AF516" s="88"/>
      <c r="AG516" s="72"/>
      <c r="AH516" s="4"/>
      <c r="AI516" s="72"/>
      <c r="AJ516" s="110"/>
      <c r="AK516" s="72"/>
      <c r="AL516" s="72"/>
      <c r="AM516" s="72"/>
      <c r="AN516" s="72"/>
      <c r="AO516" s="89"/>
      <c r="AP516" s="89"/>
      <c r="AQ516" s="90"/>
      <c r="AR516" s="117"/>
      <c r="AS516" s="91"/>
      <c r="AT516" s="91"/>
      <c r="AU516" s="3"/>
      <c r="AV516" s="71">
        <f>60*60*24*265*8</f>
        <v>183168000</v>
      </c>
      <c r="AW516" s="71">
        <f>60*60*24*265*13</f>
        <v>297648000</v>
      </c>
      <c r="AX516" s="71">
        <f>60*60*24*265*18</f>
        <v>412128000</v>
      </c>
      <c r="AY516" s="71">
        <f>60*60*24*265*23</f>
        <v>526608000</v>
      </c>
      <c r="AZ516" s="71">
        <f>60*60*24*265*28</f>
        <v>641088000</v>
      </c>
      <c r="BA516" s="71">
        <f>60*60*24*265*33</f>
        <v>755568000</v>
      </c>
      <c r="BB516" s="71">
        <f>60*60*24*265*38</f>
        <v>870048000</v>
      </c>
      <c r="BC516" s="71">
        <f>60*60*24*265*43</f>
        <v>984528000</v>
      </c>
      <c r="BD516" s="53"/>
      <c r="BE516" s="53"/>
      <c r="BF516" s="53"/>
      <c r="BG516" s="53"/>
      <c r="BH516" s="53"/>
      <c r="BI516" s="53"/>
      <c r="BJ516" s="53"/>
      <c r="BK516" s="53"/>
      <c r="BL516" s="53"/>
      <c r="BM516" s="53"/>
      <c r="BN516" s="53"/>
      <c r="BO516" s="53"/>
      <c r="BP516" s="53"/>
      <c r="BQ516" s="53"/>
      <c r="BR516" s="53"/>
      <c r="BS516" s="53"/>
      <c r="BT516" s="53"/>
      <c r="BU516" s="53"/>
      <c r="BV516" s="53"/>
      <c r="BW516" s="53"/>
      <c r="BX516" s="53"/>
      <c r="BY516" s="53"/>
      <c r="BZ516" s="53"/>
      <c r="CA516" s="53"/>
      <c r="CB516" s="53"/>
      <c r="CC516" s="53"/>
      <c r="CD516" s="53"/>
      <c r="CE516" s="53"/>
      <c r="CF516" s="53"/>
      <c r="CG516" s="53"/>
      <c r="CH516" s="53"/>
      <c r="CI516" s="53"/>
      <c r="CJ516" s="53"/>
      <c r="CK516" s="53"/>
      <c r="CL516" s="53"/>
      <c r="CM516" s="53"/>
      <c r="CN516" s="53"/>
      <c r="CO516" s="53"/>
      <c r="CP516" s="53"/>
      <c r="CQ516" s="53"/>
      <c r="CR516" s="1"/>
      <c r="CS516" s="1"/>
      <c r="CT516" s="1"/>
      <c r="CU516" s="1"/>
    </row>
    <row r="517" spans="1:133" s="13" customFormat="1" ht="12" customHeight="1" x14ac:dyDescent="0.2">
      <c r="A517" s="68">
        <v>43979</v>
      </c>
      <c r="B517" s="70" t="s">
        <v>1001</v>
      </c>
      <c r="C517" s="70" t="s">
        <v>408</v>
      </c>
      <c r="D517" s="69">
        <v>1997</v>
      </c>
      <c r="E517" s="87">
        <v>1</v>
      </c>
      <c r="F517" s="69">
        <v>15</v>
      </c>
      <c r="G517" s="69">
        <v>15</v>
      </c>
      <c r="H517" s="69" t="s">
        <v>41</v>
      </c>
      <c r="I517" s="69" t="s">
        <v>330</v>
      </c>
      <c r="J517" s="69" t="s">
        <v>403</v>
      </c>
      <c r="K517" s="69">
        <f>IF(J517="syllables",1,IF(J517="trigrams",2,IF(J517="strings",3,IF(J517="visual array",4,IF(J517="characters",5,IF(J517="letters",6,IF(J517="free forms",7,IF(J517="odors",8,IF(J517="words",9,IF(J517="pictures",10,IF(J517="object pictures",11,IF(J517="faces",12,IF(J517="names",13,IF(J517="idioms",14,IF(J517="grades",15,IF(J517="syllable-digit pairs",16,IF(J517="trigram-word pairs",17,IF(J517="word-digit pairs",18,IF(J517="English-Swahili pairs",19,IF(J517="spatial position",20,IF(J517="word pairs",21,IF(J517="word triads",22,IF(J517="generated words",23,IF(J517="word definition pairs",24,IF(J517="math problems",25,IF(J517="famous faces",26,IF(J517="famous names",27,IF(J517="famous voices",28,IF(J517="television programs",29,IF(J517="race horses",30,IF(J517="new vocabulary",31,IF(J517="sentences",32,IF(J517="concepts",33,IF(J517="ad slides",34,IF(J517="scenes",35,IF(J517="famous scenes",36,IF(J517="poems",37,IF(J517="walk",38,IF(J517="faces and events",39,IF(J517="events and names",40,IF(J517="flashbulb",41,IF(J517="stories",42,IF(J517="course material",43,IF(J517="autobiographical",44,IF(J517="novels",45,IF(J517="public events",46,"99"))))))))))))))))))))))))))))))))))))))))))))))</f>
        <v>40</v>
      </c>
      <c r="L517" s="69">
        <f>IF(J517="syllables",1,IF(J517="trigrams",1,IF(J517="strings",1,IF(J517="visual array",1,IF(J517="characters",1,IF(J517="letters",1,IF(J517="free forms",1,IF(J517="odors",2,IF(J517="words",2,IF(J517="pictures",2,IF(J517="object pictures",2,IF(J517="faces",2,IF(J517="names",2,IF(J517="idioms","2",IF(J517="grades",2,IF(J517="syllable-digit pairs",3,IF(J517="trigram-word pairs",3,IF(J517="word-digit pairs",3,IF(J517="English-Swahili pairs",3,IF(J517="spatial position",3,IF(J517="word pairs",4,IF(J517="word triads",4,IF(J517="generated words",4,IF(J517="word definition pairs",4,IF(J517="math problems",4,IF(J517="famous faces",4,IF(J517="famous names",4,IF(J517="famous voices",4,IF(J517="television programs",4,IF(J517="race horses",4,IF(J517="new vocabulary",4,IF(J517="sentences",5,IF(J517="concepts",5,IF(J517="ad slides",5,IF(J517="scenes",5,IF(J517="famous scenes",5,IF(J517="poems",6,IF(J517="walk",6,IF(J517="faces and events",6,IF(J517="events and names",6,IF(J517="flashbulb",7,IF(J517="stories",7,IF(J517="course material",7,IF(J517="autobiographical",7,IF(J517="novels",7,IF(J517="public events",7,"99"))))))))))))))))))))))))))))))))))))))))))))))</f>
        <v>6</v>
      </c>
      <c r="M517" s="69">
        <v>1</v>
      </c>
      <c r="N517" s="69">
        <v>4</v>
      </c>
      <c r="O517" s="69">
        <v>0</v>
      </c>
      <c r="P517" s="69"/>
      <c r="Q517" s="69" t="s">
        <v>182</v>
      </c>
      <c r="R517" s="69">
        <f>IF(Q517="Free Recall",1,IF(Q517="Cued Recall",2,IF(Q517="Recognition",3,IF(Q517="Multiple Choice",4,IF(Q517="Savings",5,IF(Q517="Stem Completion",6,IF(Q517="Fragment Completion",7,IF(Q517="anagram solution",8,IF(Q517="Matching",9,IF(Q517="Problem Solving",10,"99"))))))))))</f>
        <v>4</v>
      </c>
      <c r="S517" s="99" t="s">
        <v>15</v>
      </c>
      <c r="T517" s="69" t="s">
        <v>581</v>
      </c>
      <c r="U517" s="69">
        <f>IF(T517="within",1,0)</f>
        <v>1</v>
      </c>
      <c r="V517" s="69">
        <v>40</v>
      </c>
      <c r="W517" s="69">
        <f>F517*V517</f>
        <v>600</v>
      </c>
      <c r="X517" s="69">
        <v>8</v>
      </c>
      <c r="Y517" s="87">
        <f>AV516</f>
        <v>183168000</v>
      </c>
      <c r="Z517" s="69" t="s">
        <v>426</v>
      </c>
      <c r="AA517" s="69">
        <f>60*60*24*365*43</f>
        <v>1356048000</v>
      </c>
      <c r="AB517" s="69" t="str">
        <f>IF(AA517&lt;60,"1",IF(AA517&lt;=43200,"2",IF(AA517&lt;=777600,"3","4")))</f>
        <v>4</v>
      </c>
      <c r="AC517" s="72">
        <f>AVERAGE(AV516:DA516)</f>
        <v>583848000</v>
      </c>
      <c r="AD517" s="69" t="str">
        <f>IF(AC517&lt;60,"1",IF(AC517&lt;=43200,"2",IF(AC517&lt;=777600,"3","4")))</f>
        <v>4</v>
      </c>
      <c r="AE517" s="87">
        <f>AA517-Y517</f>
        <v>1172880000</v>
      </c>
      <c r="AF517" s="88">
        <f>AV517</f>
        <v>0.71297933899288912</v>
      </c>
      <c r="AG517" s="72">
        <f>((AW517-AV517)+(AX517-AW517)+(AY517-AX517)+(AZ517-AY517)+(BA517-AZ517)+(BB517-BA517)+(BC517-BB517))/7</f>
        <v>-8.7405458119977159E-2</v>
      </c>
      <c r="AH517" s="4"/>
      <c r="AI517" s="72">
        <f>RSQ(AV517:BC517,AV516:BC516)</f>
        <v>0.94290134268660608</v>
      </c>
      <c r="AJ517" s="110">
        <f>SLOPE(AV517:BC517,AV516:BC516)</f>
        <v>-8.4458879810761777E-10</v>
      </c>
      <c r="AK517" s="72">
        <f>INTERCEPT(AV517:BC517,AV516:BC516)</f>
        <v>0.96413903994426875</v>
      </c>
      <c r="AL517" s="72">
        <f>INDEX(LINEST(LN(AV517:BC517),LN(AV516:BC516),TRUE,TRUE),3,1)</f>
        <v>0.68328081463795343</v>
      </c>
      <c r="AM517" s="72">
        <f>INDEX(LINEST(LN(AV517:BC517),LN(AV516:BC516)),1)</f>
        <v>-1.0042897286851371</v>
      </c>
      <c r="AN517" s="72">
        <f>EXP(INDEX(LINEST(LN(AV517:BC517),LN(AV516:BC516)),1,2))</f>
        <v>222660799.59059179</v>
      </c>
      <c r="AO517" s="89">
        <f>INDEX(LINEST((AV517:BC517),LN(AV516:BC516),TRUE,TRUE),3,1)</f>
        <v>0.82148442493604645</v>
      </c>
      <c r="AP517" s="89">
        <f>INDEX(LINEST((AV517:BC517),LN(AV516:BC516)),1)</f>
        <v>-0.38489305499602056</v>
      </c>
      <c r="AQ517" s="90">
        <f>INDEX(LINEST(LN(AV517:BC517),SQRT(AV516:BC516),TRUE,TRUE),3,1)</f>
        <v>0.78030591299584751</v>
      </c>
      <c r="AR517" s="117">
        <f>INDEX(LINEST(LN(AV517:BC517),SQRT((AV516:BC516))),1)</f>
        <v>-9.9975258380854165E-5</v>
      </c>
      <c r="AS517" s="91">
        <f>INDEX(LINEST(1/(AV517:BC517),1/(SQRT(AV516:BC516)),TRUE,TRUE),3,1)</f>
        <v>0.38010794513117241</v>
      </c>
      <c r="AT517" s="91">
        <f>INDEX(LINEST(1/(AV517:BC517),1/SQRT(AV516:BC516)),1)</f>
        <v>-125850.21260076578</v>
      </c>
      <c r="AU517" s="3"/>
      <c r="AV517" s="73">
        <v>0.71297933899288912</v>
      </c>
      <c r="AW517" s="73">
        <v>0.76308167658298298</v>
      </c>
      <c r="AX517" s="73">
        <v>0.70613768562859802</v>
      </c>
      <c r="AY517" s="73">
        <v>0.48122022081942606</v>
      </c>
      <c r="AZ517" s="73">
        <v>0.43124108136216299</v>
      </c>
      <c r="BA517" s="73">
        <v>0.35863241002757201</v>
      </c>
      <c r="BB517" s="73">
        <v>0.21378692920717801</v>
      </c>
      <c r="BC517" s="73">
        <v>0.10114113215304901</v>
      </c>
      <c r="BD517" s="53"/>
      <c r="BE517" s="53"/>
      <c r="BF517" s="53"/>
      <c r="BG517" s="53"/>
      <c r="BH517" s="53"/>
      <c r="BI517" s="53"/>
      <c r="BJ517" s="53"/>
      <c r="BK517" s="53"/>
      <c r="BL517" s="53"/>
      <c r="BM517" s="53"/>
      <c r="BN517" s="53"/>
      <c r="BO517" s="53"/>
      <c r="BP517" s="53"/>
      <c r="BQ517" s="53"/>
      <c r="BR517" s="53"/>
      <c r="BS517" s="53"/>
      <c r="BT517" s="53"/>
      <c r="BU517" s="53"/>
      <c r="BV517" s="53"/>
      <c r="BW517" s="53"/>
      <c r="BX517" s="53"/>
      <c r="BY517" s="53"/>
      <c r="BZ517" s="53"/>
      <c r="CA517" s="53"/>
      <c r="CB517" s="53"/>
      <c r="CC517" s="53"/>
      <c r="CD517" s="53"/>
      <c r="CE517" s="53"/>
      <c r="CF517" s="53"/>
      <c r="CG517" s="53"/>
      <c r="CH517" s="53"/>
      <c r="CI517" s="53"/>
      <c r="CJ517" s="53"/>
      <c r="CK517" s="53"/>
      <c r="CL517" s="53"/>
      <c r="CM517" s="53"/>
      <c r="CN517" s="53"/>
      <c r="CO517" s="53"/>
      <c r="CP517" s="53"/>
      <c r="CQ517" s="53"/>
      <c r="CR517" s="1"/>
      <c r="CS517" s="1"/>
      <c r="CT517" s="1"/>
      <c r="CU517" s="1"/>
    </row>
    <row r="518" spans="1:133" s="13" customFormat="1" ht="12" customHeight="1" x14ac:dyDescent="0.2">
      <c r="A518" s="65">
        <v>43903</v>
      </c>
      <c r="B518" s="1"/>
      <c r="C518" s="1"/>
      <c r="D518" s="60"/>
      <c r="E518" s="76"/>
      <c r="F518" s="60"/>
      <c r="G518" s="60"/>
      <c r="H518" s="60"/>
      <c r="I518" s="60"/>
      <c r="J518" s="60"/>
      <c r="K518" s="64"/>
      <c r="L518" s="64"/>
      <c r="M518" s="60"/>
      <c r="N518" s="61"/>
      <c r="O518" s="60"/>
      <c r="P518" s="60"/>
      <c r="Q518" s="60"/>
      <c r="R518" s="60"/>
      <c r="S518" s="60"/>
      <c r="T518" s="60"/>
      <c r="U518" s="60"/>
      <c r="V518" s="60"/>
      <c r="W518" s="60"/>
      <c r="X518" s="60"/>
      <c r="Y518" s="76"/>
      <c r="Z518" s="60"/>
      <c r="AA518" s="60"/>
      <c r="AB518" s="60"/>
      <c r="AC518" s="56"/>
      <c r="AD518" s="60"/>
      <c r="AE518" s="60"/>
      <c r="AF518" s="80"/>
      <c r="AG518" s="56"/>
      <c r="AH518" s="4"/>
      <c r="AI518" s="56"/>
      <c r="AJ518" s="109"/>
      <c r="AK518" s="56"/>
      <c r="AL518" s="56"/>
      <c r="AM518" s="56"/>
      <c r="AN518" s="56"/>
      <c r="AO518" s="82"/>
      <c r="AP518" s="82"/>
      <c r="AQ518" s="83"/>
      <c r="AR518" s="116"/>
      <c r="AS518" s="84"/>
      <c r="AT518" s="84"/>
      <c r="AU518" s="3"/>
      <c r="AV518" s="25">
        <f>(60*60*24)*7</f>
        <v>604800</v>
      </c>
      <c r="AW518" s="25">
        <f>((60*60*24)*7)*2</f>
        <v>1209600</v>
      </c>
      <c r="AX518" s="25">
        <f>((60*60*24)*7)*3</f>
        <v>1814400</v>
      </c>
      <c r="AY518" s="25">
        <f>((60*60*24)*7)*4</f>
        <v>2419200</v>
      </c>
      <c r="AZ518" s="25">
        <f>((60*60*24)*7)*5</f>
        <v>3024000</v>
      </c>
      <c r="BA518" s="25">
        <f>((60*60*24)*7)*6</f>
        <v>3628800</v>
      </c>
      <c r="BB518" s="25">
        <f>((60*60*24)*7)*7</f>
        <v>4233600</v>
      </c>
      <c r="BC518" s="25">
        <f>((60*60*24)*7)*8</f>
        <v>4838400</v>
      </c>
      <c r="BD518" s="25">
        <f>((60*60*24)*7)*9</f>
        <v>5443200</v>
      </c>
      <c r="BE518" s="25">
        <f>((60*60*24)*7)*10</f>
        <v>6048000</v>
      </c>
      <c r="BF518" s="25">
        <f>((60*60*24)*7)*11</f>
        <v>6652800</v>
      </c>
      <c r="BG518" s="25">
        <f>((60*60*24)*7)*12</f>
        <v>7257600</v>
      </c>
      <c r="BH518" s="25"/>
      <c r="BI518" s="25"/>
      <c r="BJ518" s="25"/>
      <c r="BK518" s="25"/>
      <c r="BL518" s="25"/>
      <c r="BM518" s="25"/>
      <c r="BN518" s="25"/>
      <c r="BO518" s="25"/>
      <c r="BP518" s="25"/>
      <c r="BQ518" s="25"/>
      <c r="BR518" s="25"/>
      <c r="BS518" s="25"/>
      <c r="BT518" s="25"/>
      <c r="BU518" s="25"/>
      <c r="BV518" s="25"/>
      <c r="BW518" s="25"/>
      <c r="BX518" s="25"/>
      <c r="BY518" s="25"/>
      <c r="BZ518" s="25"/>
      <c r="CA518" s="25"/>
      <c r="CB518" s="25"/>
      <c r="CC518" s="25"/>
      <c r="CD518" s="25"/>
      <c r="CE518" s="25"/>
      <c r="CF518" s="25"/>
      <c r="CG518" s="25"/>
      <c r="CH518" s="25"/>
      <c r="CI518" s="25"/>
      <c r="CJ518" s="25"/>
      <c r="CK518" s="25"/>
      <c r="CL518" s="25"/>
      <c r="CM518" s="25"/>
      <c r="CN518" s="25"/>
      <c r="CO518" s="25"/>
      <c r="CP518" s="25"/>
      <c r="CQ518" s="25"/>
      <c r="CR518" s="25"/>
      <c r="CS518" s="25"/>
      <c r="CT518" s="25"/>
      <c r="CU518" s="25"/>
      <c r="CV518" s="25"/>
      <c r="CW518" s="25"/>
      <c r="CX518" s="25"/>
      <c r="CY518" s="25"/>
      <c r="CZ518" s="25"/>
      <c r="DA518" s="25"/>
      <c r="DB518" s="25"/>
      <c r="DC518" s="25"/>
      <c r="DD518" s="25"/>
      <c r="DE518" s="25"/>
      <c r="DF518" s="25"/>
      <c r="DG518" s="25"/>
      <c r="DH518" s="25"/>
      <c r="DI518" s="25"/>
      <c r="DJ518" s="25"/>
      <c r="DK518" s="25"/>
      <c r="DL518" s="25"/>
      <c r="DM518" s="25"/>
      <c r="DN518" s="25"/>
      <c r="DO518" s="25"/>
      <c r="DP518" s="25"/>
      <c r="DQ518" s="25"/>
      <c r="DR518" s="25"/>
      <c r="DS518" s="25"/>
      <c r="DT518" s="25"/>
      <c r="DU518" s="25"/>
      <c r="DV518" s="25"/>
      <c r="DW518" s="25"/>
      <c r="DX518" s="25"/>
      <c r="DY518" s="25"/>
      <c r="DZ518" s="25"/>
      <c r="EA518" s="25"/>
      <c r="EB518" s="25"/>
      <c r="EC518" s="25"/>
    </row>
    <row r="519" spans="1:133" s="13" customFormat="1" ht="12" customHeight="1" x14ac:dyDescent="0.2">
      <c r="A519" s="65">
        <v>43903</v>
      </c>
      <c r="B519" s="1" t="s">
        <v>472</v>
      </c>
      <c r="C519" s="1" t="s">
        <v>262</v>
      </c>
      <c r="D519" s="60">
        <v>2020</v>
      </c>
      <c r="E519" s="76">
        <v>1</v>
      </c>
      <c r="F519" s="60">
        <v>13</v>
      </c>
      <c r="G519" s="60">
        <v>13</v>
      </c>
      <c r="H519" s="60" t="s">
        <v>747</v>
      </c>
      <c r="I519" s="60" t="s">
        <v>873</v>
      </c>
      <c r="J519" s="60" t="s">
        <v>622</v>
      </c>
      <c r="K519" s="60">
        <f>IF(J519="syllables",1,IF(J519="trigrams",2,IF(J519="strings",3,IF(J519="visual array",4,IF(J519="characters",5,IF(J519="letters",6,IF(J519="free forms",7,IF(J519="odors",8,IF(J519="words",9,IF(J519="pictures",10,IF(J519="object pictures",11,IF(J519="faces",12,IF(J519="names",13,IF(J519="idioms",14,IF(J519="grades",15,IF(J519="syllable-digit pairs",16,IF(J519="trigram-word pairs",17,IF(J519="word-digit pairs",18,IF(J519="English-Swahili pairs",19,IF(J519="spatial position",20,IF(J519="word pairs",21,IF(J519="word triads",22,IF(J519="generated words",23,IF(J519="word definition pairs",24,IF(J519="math problems",25,IF(J519="famous faces",26,IF(J519="famous names",27,IF(J519="famous voices",28,IF(J519="television programs",29,IF(J519="race horses",30,IF(J519="new vocabulary",31,IF(J519="sentences",32,IF(J519="concepts",33,IF(J519="ad slides",34,IF(J519="scenes",35,IF(J519="famous scenes",36,IF(J519="poems",37,IF(J519="walk",38,IF(J519="faces and events",39,IF(J519="events and names",40,IF(J519="flashbulb",41,IF(J519="stories",42,IF(J519="course material",43,IF(J519="autobiographical",44,IF(J519="novels",45,IF(J519="public events",46,"99"))))))))))))))))))))))))))))))))))))))))))))))</f>
        <v>44</v>
      </c>
      <c r="L519" s="60">
        <f>IF(J519="syllables",1,IF(J519="trigrams",1,IF(J519="strings",1,IF(J519="visual array",1,IF(J519="characters",1,IF(J519="letters",1,IF(J519="free forms",1,IF(J519="odors",2,IF(J519="words",2,IF(J519="pictures",2,IF(J519="object pictures",2,IF(J519="faces",2,IF(J519="names",2,IF(J519="idioms","2",IF(J519="grades",2,IF(J519="syllable-digit pairs",3,IF(J519="trigram-word pairs",3,IF(J519="word-digit pairs",3,IF(J519="English-Swahili pairs",3,IF(J519="spatial position",3,IF(J519="word pairs",4,IF(J519="word triads",4,IF(J519="generated words",4,IF(J519="word definition pairs",4,IF(J519="math problems",4,IF(J519="famous faces",4,IF(J519="famous names",4,IF(J519="famous voices",4,IF(J519="television programs",4,IF(J519="race horses",4,IF(J519="new vocabulary",4,IF(J519="sentences",5,IF(J519="concepts",5,IF(J519="ad slides",5,IF(J519="scenes",5,IF(J519="famous scenes",5,IF(J519="poems",6,IF(J519="walk",6,IF(J519="faces and events",6,IF(J519="events and names",6,IF(J519="flashbulb",7,IF(J519="stories",7,IF(J519="course material",7,IF(J519="autobiographical",7,IF(J519="novels",7,IF(J519="public events",7,"99"))))))))))))))))))))))))))))))))))))))))))))))</f>
        <v>7</v>
      </c>
      <c r="M519" s="60">
        <v>0</v>
      </c>
      <c r="N519" s="61">
        <v>3</v>
      </c>
      <c r="O519" s="60">
        <v>0</v>
      </c>
      <c r="P519" s="60"/>
      <c r="Q519" s="60" t="s">
        <v>65</v>
      </c>
      <c r="R519" s="60">
        <f>IF(Q519="Free Recall",1,IF(Q519="Cued Recall",2,IF(Q519="Recognition",3,IF(Q519="Multiple Choice",4,IF(Q519="Savings",5,IF(Q519="Stem Completion",6,IF(Q519="Fragment Completion",7,IF(Q519="anagram solution",8,IF(Q519="Matching",9,IF(Q519="Problem Solving",10,"99"))))))))))</f>
        <v>2</v>
      </c>
      <c r="S519" s="60" t="s">
        <v>49</v>
      </c>
      <c r="T519" s="59" t="s">
        <v>581</v>
      </c>
      <c r="U519" s="60">
        <f>IF(T519="within",1,0)</f>
        <v>1</v>
      </c>
      <c r="V519" s="59">
        <v>12</v>
      </c>
      <c r="W519" s="60">
        <f>F519*V519</f>
        <v>156</v>
      </c>
      <c r="X519" s="60">
        <v>12</v>
      </c>
      <c r="Y519" s="76">
        <f>AV518</f>
        <v>604800</v>
      </c>
      <c r="Z519" s="60" t="s">
        <v>874</v>
      </c>
      <c r="AA519" s="60">
        <v>7430400</v>
      </c>
      <c r="AB519" s="60" t="str">
        <f>IF(AA519&lt;60,"1",IF(AA519&lt;=43200,"2",IF(AA519&lt;=777600,"3","4")))</f>
        <v>4</v>
      </c>
      <c r="AC519" s="56">
        <f>AVERAGE(AV518:DA518)</f>
        <v>3931200</v>
      </c>
      <c r="AD519" s="60" t="str">
        <f>IF(AC519&lt;60,"1",IF(AC519&lt;=43200,"2",IF(AC519&lt;=777600,"3","4")))</f>
        <v>4</v>
      </c>
      <c r="AE519" s="76">
        <f>AA519-Y519</f>
        <v>6825600</v>
      </c>
      <c r="AF519" s="80">
        <f>AV519</f>
        <v>0.79589743589743622</v>
      </c>
      <c r="AG519" s="56">
        <f>((AW519-AV519)+(AX519-AW519)+(AY519-AX519)+(AZ519-AY519)+(BA519-AZ519)+(BB519-BA519)+(BC519-BB519)+(BD519-BC519)+(BE519-BD519)+(BF519-BE519)+(BG519-BF519))/11</f>
        <v>-4.5550793292728799E-2</v>
      </c>
      <c r="AH519" s="4"/>
      <c r="AI519" s="56">
        <f>RSQ(AV519:BG519,AV518:BG518)</f>
        <v>0.74459673064385745</v>
      </c>
      <c r="AJ519" s="109">
        <f>SLOPE(AV519:BG519,AV518:BG518)</f>
        <v>-6.2127050095080885E-8</v>
      </c>
      <c r="AK519" s="56">
        <f>INTERCEPT(AV519:BG519,AV518:BG518)</f>
        <v>0.83004032012730555</v>
      </c>
      <c r="AL519" s="56">
        <f>INDEX(LINEST(LN(AV519:BG519),LN(AV518:BG518),TRUE,TRUE),3,1)</f>
        <v>0.59072079695056479</v>
      </c>
      <c r="AM519" s="56">
        <f>INDEX(LINEST(LN(AV519:BG519),LN(AV518:BG518)),1)</f>
        <v>-0.30272886338985389</v>
      </c>
      <c r="AN519" s="56">
        <f>EXP(INDEX(LINEST(LN(AV519:BG519),LN(AV518:BG518)),1,2))</f>
        <v>52.557909102049756</v>
      </c>
      <c r="AO519" s="82">
        <f>INDEX(LINEST((AV519:BG519),LN(AV518:BG518),TRUE,TRUE),3,1)</f>
        <v>0.67112002922158176</v>
      </c>
      <c r="AP519" s="82">
        <f>INDEX(LINEST((AV519:BG519),LN(AV518:BG518)),1)</f>
        <v>-0.17016719222508206</v>
      </c>
      <c r="AQ519" s="83">
        <f>INDEX(LINEST(LN(AV519:BG519),SQRT(AV518:BG518),TRUE,TRUE),3,1)</f>
        <v>0.66520334416862337</v>
      </c>
      <c r="AR519" s="116">
        <f>INDEX(LINEST(LN(AV519:BG519),SQRT((AV518:BG518))),1)</f>
        <v>-3.9981810805720975E-4</v>
      </c>
      <c r="AS519" s="84">
        <f>INDEX(LINEST(1/(AV519:BG519),1/(SQRT(AV518:BG518)),TRUE,TRUE),3,1)</f>
        <v>0.38962273313308138</v>
      </c>
      <c r="AT519" s="84">
        <f>INDEX(LINEST(1/(AV519:BG519),1/SQRT(AV518:BG518)),1)</f>
        <v>-1429.5255737654466</v>
      </c>
      <c r="AU519" s="3"/>
      <c r="AV519" s="53">
        <v>0.79589743589743622</v>
      </c>
      <c r="AW519" s="53">
        <v>0.73250000000000015</v>
      </c>
      <c r="AX519" s="53">
        <v>0.74822222222222223</v>
      </c>
      <c r="AY519" s="53">
        <v>0.65999999999999992</v>
      </c>
      <c r="AZ519" s="53">
        <v>0.6579487179487179</v>
      </c>
      <c r="BA519" s="53">
        <v>0.72080000000000044</v>
      </c>
      <c r="BB519" s="53">
        <v>0.47854166666666659</v>
      </c>
      <c r="BC519" s="53">
        <v>0.42581395348837209</v>
      </c>
      <c r="BD519" s="53">
        <v>0.46765957446808509</v>
      </c>
      <c r="BE519" s="53">
        <v>0.4656603773584907</v>
      </c>
      <c r="BF519" s="53">
        <v>0.58179487179487188</v>
      </c>
      <c r="BG519" s="53">
        <v>0.29483870967741937</v>
      </c>
      <c r="BH519" s="53"/>
      <c r="BI519" s="53"/>
      <c r="BJ519" s="53"/>
      <c r="BK519" s="53"/>
      <c r="BL519" s="53"/>
      <c r="BM519" s="53"/>
      <c r="BN519" s="53"/>
      <c r="BO519" s="53"/>
      <c r="BP519" s="53"/>
      <c r="BQ519" s="53"/>
      <c r="BR519" s="53"/>
      <c r="BS519" s="53"/>
      <c r="BT519" s="53"/>
      <c r="BU519" s="53"/>
      <c r="BV519" s="53"/>
      <c r="BW519" s="53"/>
      <c r="BX519" s="53"/>
      <c r="BY519" s="53"/>
      <c r="BZ519" s="53"/>
      <c r="CA519" s="53"/>
      <c r="CB519" s="53"/>
      <c r="CC519" s="53"/>
      <c r="CD519" s="53"/>
      <c r="CE519" s="53"/>
      <c r="CF519" s="53"/>
      <c r="CG519" s="53"/>
      <c r="CH519" s="53"/>
      <c r="CI519" s="53"/>
      <c r="CJ519" s="53"/>
      <c r="CK519" s="53"/>
      <c r="CL519" s="53"/>
      <c r="CM519" s="53"/>
      <c r="CN519" s="53"/>
      <c r="CO519" s="53"/>
      <c r="CP519" s="53"/>
      <c r="CQ519" s="53"/>
      <c r="CR519" s="53"/>
      <c r="CS519" s="53"/>
      <c r="CT519" s="53"/>
      <c r="CU519" s="53"/>
      <c r="CV519" s="136"/>
      <c r="CW519" s="136"/>
      <c r="CX519" s="136"/>
      <c r="CY519" s="136"/>
      <c r="CZ519" s="136"/>
      <c r="DA519" s="136"/>
      <c r="DB519" s="136"/>
      <c r="DC519" s="136"/>
      <c r="DD519" s="136"/>
      <c r="DE519" s="136"/>
      <c r="DF519" s="136"/>
      <c r="DG519" s="136"/>
      <c r="DH519" s="136"/>
      <c r="DI519" s="136"/>
      <c r="DJ519" s="136"/>
      <c r="DK519" s="136"/>
      <c r="DL519" s="136"/>
      <c r="DM519" s="136"/>
      <c r="DN519" s="136"/>
      <c r="DO519" s="136"/>
      <c r="DP519" s="136"/>
      <c r="DQ519" s="136"/>
      <c r="DR519" s="136"/>
      <c r="DS519" s="136"/>
      <c r="DT519" s="136"/>
      <c r="DU519" s="136"/>
      <c r="DV519" s="136"/>
      <c r="DW519" s="136"/>
      <c r="DX519" s="136"/>
      <c r="DY519" s="136"/>
      <c r="DZ519" s="136"/>
      <c r="EA519" s="136"/>
      <c r="EB519" s="136"/>
      <c r="EC519" s="136"/>
    </row>
    <row r="520" spans="1:133" s="13" customFormat="1" ht="12" customHeight="1" x14ac:dyDescent="0.2">
      <c r="A520" s="65">
        <v>43903</v>
      </c>
      <c r="B520" s="1"/>
      <c r="C520" s="1"/>
      <c r="D520" s="60"/>
      <c r="E520" s="76"/>
      <c r="F520" s="60"/>
      <c r="G520" s="60"/>
      <c r="H520" s="60"/>
      <c r="I520" s="60"/>
      <c r="J520" s="60"/>
      <c r="K520" s="64"/>
      <c r="L520" s="64"/>
      <c r="M520" s="60"/>
      <c r="N520" s="61"/>
      <c r="O520" s="60"/>
      <c r="P520" s="60"/>
      <c r="Q520" s="60"/>
      <c r="R520" s="60"/>
      <c r="S520" s="60"/>
      <c r="T520" s="60"/>
      <c r="U520" s="60"/>
      <c r="V520" s="60"/>
      <c r="W520" s="60"/>
      <c r="X520" s="60"/>
      <c r="Y520" s="76"/>
      <c r="Z520" s="60"/>
      <c r="AA520" s="60"/>
      <c r="AB520" s="60"/>
      <c r="AC520" s="56"/>
      <c r="AD520" s="60"/>
      <c r="AE520" s="60"/>
      <c r="AF520" s="80"/>
      <c r="AG520" s="56"/>
      <c r="AH520" s="4"/>
      <c r="AI520" s="56"/>
      <c r="AJ520" s="109"/>
      <c r="AK520" s="56"/>
      <c r="AL520" s="56"/>
      <c r="AM520" s="56"/>
      <c r="AN520" s="56"/>
      <c r="AO520" s="82"/>
      <c r="AP520" s="82"/>
      <c r="AQ520" s="83"/>
      <c r="AR520" s="116"/>
      <c r="AS520" s="84"/>
      <c r="AT520" s="84"/>
      <c r="AU520" s="3"/>
      <c r="AV520" s="25">
        <f>(60*60*24)*7</f>
        <v>604800</v>
      </c>
      <c r="AW520" s="25">
        <f>((60*60*24)*7)*2</f>
        <v>1209600</v>
      </c>
      <c r="AX520" s="25">
        <f>((60*60*24)*7)*3</f>
        <v>1814400</v>
      </c>
      <c r="AY520" s="25">
        <f>((60*60*24)*7)*4</f>
        <v>2419200</v>
      </c>
      <c r="AZ520" s="25">
        <f>((60*60*24)*7)*5</f>
        <v>3024000</v>
      </c>
      <c r="BA520" s="25">
        <f>((60*60*24)*7)*6</f>
        <v>3628800</v>
      </c>
      <c r="BB520" s="25">
        <f>((60*60*24)*7)*7</f>
        <v>4233600</v>
      </c>
      <c r="BC520" s="25">
        <f>((60*60*24)*7)*8</f>
        <v>4838400</v>
      </c>
      <c r="BD520" s="25">
        <f>((60*60*24)*7)*9</f>
        <v>5443200</v>
      </c>
      <c r="BE520" s="25">
        <f>((60*60*24)*7)*10</f>
        <v>6048000</v>
      </c>
      <c r="BF520" s="25">
        <f>((60*60*24)*7)*11</f>
        <v>6652800</v>
      </c>
      <c r="BG520" s="25">
        <f>((60*60*24)*7)*12</f>
        <v>7257600</v>
      </c>
      <c r="BH520" s="25"/>
      <c r="BI520" s="25"/>
      <c r="BJ520" s="25"/>
      <c r="BK520" s="25"/>
      <c r="BL520" s="25"/>
      <c r="BM520" s="25"/>
      <c r="BN520" s="25"/>
      <c r="BO520" s="25"/>
      <c r="BP520" s="25"/>
      <c r="BQ520" s="25"/>
      <c r="BR520" s="25"/>
      <c r="BS520" s="25"/>
      <c r="BT520" s="25"/>
      <c r="BU520" s="25"/>
      <c r="BV520" s="25"/>
      <c r="BW520" s="25"/>
      <c r="BX520" s="25"/>
      <c r="BY520" s="25"/>
      <c r="BZ520" s="25"/>
      <c r="CA520" s="25"/>
      <c r="CB520" s="25"/>
      <c r="CC520" s="25"/>
      <c r="CD520" s="25"/>
      <c r="CE520" s="25"/>
      <c r="CF520" s="25"/>
      <c r="CG520" s="25"/>
      <c r="CH520" s="25"/>
      <c r="CI520" s="25"/>
      <c r="CJ520" s="25"/>
      <c r="CK520" s="25"/>
      <c r="CL520" s="25"/>
      <c r="CM520" s="25"/>
      <c r="CN520" s="25"/>
      <c r="CO520" s="25"/>
      <c r="CP520" s="25"/>
      <c r="CQ520" s="25"/>
      <c r="CR520" s="25"/>
      <c r="CS520" s="25"/>
      <c r="CT520" s="25"/>
      <c r="CU520" s="25"/>
      <c r="CV520" s="25"/>
      <c r="CW520" s="25"/>
      <c r="CX520" s="25"/>
      <c r="CY520" s="25"/>
      <c r="CZ520" s="25"/>
      <c r="DA520" s="25"/>
      <c r="DB520" s="25"/>
      <c r="DC520" s="25"/>
      <c r="DD520" s="25"/>
      <c r="DE520" s="25"/>
      <c r="DF520" s="25"/>
      <c r="DG520" s="25"/>
      <c r="DH520" s="25"/>
      <c r="DI520" s="25"/>
      <c r="DJ520" s="25"/>
      <c r="DK520" s="25"/>
      <c r="DL520" s="25"/>
      <c r="DM520" s="25"/>
      <c r="DN520" s="25"/>
      <c r="DO520" s="25"/>
      <c r="DP520" s="25"/>
      <c r="DQ520" s="25"/>
      <c r="DR520" s="25"/>
      <c r="DS520" s="25"/>
      <c r="DT520" s="25"/>
      <c r="DU520" s="25"/>
      <c r="DV520" s="25"/>
      <c r="DW520" s="25"/>
      <c r="DX520" s="25"/>
      <c r="DY520" s="25"/>
      <c r="DZ520" s="25"/>
      <c r="EA520" s="25"/>
      <c r="EB520" s="25"/>
      <c r="EC520" s="25"/>
    </row>
    <row r="521" spans="1:133" s="13" customFormat="1" ht="12" customHeight="1" x14ac:dyDescent="0.2">
      <c r="A521" s="65">
        <v>43903</v>
      </c>
      <c r="B521" s="1" t="s">
        <v>472</v>
      </c>
      <c r="C521" s="1" t="s">
        <v>262</v>
      </c>
      <c r="D521" s="60">
        <v>2020</v>
      </c>
      <c r="E521" s="76">
        <v>1</v>
      </c>
      <c r="F521" s="60">
        <v>13</v>
      </c>
      <c r="G521" s="60">
        <v>13</v>
      </c>
      <c r="H521" s="60" t="s">
        <v>747</v>
      </c>
      <c r="I521" s="60" t="s">
        <v>875</v>
      </c>
      <c r="J521" s="60" t="s">
        <v>622</v>
      </c>
      <c r="K521" s="60">
        <f>IF(J521="syllables",1,IF(J521="trigrams",2,IF(J521="strings",3,IF(J521="visual array",4,IF(J521="characters",5,IF(J521="letters",6,IF(J521="free forms",7,IF(J521="odors",8,IF(J521="words",9,IF(J521="pictures",10,IF(J521="object pictures",11,IF(J521="faces",12,IF(J521="names",13,IF(J521="idioms",14,IF(J521="grades",15,IF(J521="syllable-digit pairs",16,IF(J521="trigram-word pairs",17,IF(J521="word-digit pairs",18,IF(J521="English-Swahili pairs",19,IF(J521="spatial position",20,IF(J521="word pairs",21,IF(J521="word triads",22,IF(J521="generated words",23,IF(J521="word definition pairs",24,IF(J521="math problems",25,IF(J521="famous faces",26,IF(J521="famous names",27,IF(J521="famous voices",28,IF(J521="television programs",29,IF(J521="race horses",30,IF(J521="new vocabulary",31,IF(J521="sentences",32,IF(J521="concepts",33,IF(J521="ad slides",34,IF(J521="scenes",35,IF(J521="famous scenes",36,IF(J521="poems",37,IF(J521="walk",38,IF(J521="faces and events",39,IF(J521="events and names",40,IF(J521="flashbulb",41,IF(J521="stories",42,IF(J521="course material",43,IF(J521="autobiographical",44,IF(J521="novels",45,IF(J521="public events",46,"99"))))))))))))))))))))))))))))))))))))))))))))))</f>
        <v>44</v>
      </c>
      <c r="L521" s="60">
        <f>IF(J521="syllables",1,IF(J521="trigrams",1,IF(J521="strings",1,IF(J521="visual array",1,IF(J521="characters",1,IF(J521="letters",1,IF(J521="free forms",1,IF(J521="odors",2,IF(J521="words",2,IF(J521="pictures",2,IF(J521="object pictures",2,IF(J521="faces",2,IF(J521="names",2,IF(J521="idioms","2",IF(J521="grades",2,IF(J521="syllable-digit pairs",3,IF(J521="trigram-word pairs",3,IF(J521="word-digit pairs",3,IF(J521="English-Swahili pairs",3,IF(J521="spatial position",3,IF(J521="word pairs",4,IF(J521="word triads",4,IF(J521="generated words",4,IF(J521="word definition pairs",4,IF(J521="math problems",4,IF(J521="famous faces",4,IF(J521="famous names",4,IF(J521="famous voices",4,IF(J521="television programs",4,IF(J521="race horses",4,IF(J521="new vocabulary",4,IF(J521="sentences",5,IF(J521="concepts",5,IF(J521="ad slides",5,IF(J521="scenes",5,IF(J521="famous scenes",5,IF(J521="poems",6,IF(J521="walk",6,IF(J521="faces and events",6,IF(J521="events and names",6,IF(J521="flashbulb",7,IF(J521="stories",7,IF(J521="course material",7,IF(J521="autobiographical",7,IF(J521="novels",7,IF(J521="public events",7,"99"))))))))))))))))))))))))))))))))))))))))))))))</f>
        <v>7</v>
      </c>
      <c r="M521" s="60">
        <v>0</v>
      </c>
      <c r="N521" s="61">
        <v>3</v>
      </c>
      <c r="O521" s="60">
        <v>0</v>
      </c>
      <c r="P521" s="60"/>
      <c r="Q521" s="60" t="s">
        <v>65</v>
      </c>
      <c r="R521" s="60">
        <f>IF(Q521="Free Recall",1,IF(Q521="Cued Recall",2,IF(Q521="Recognition",3,IF(Q521="Multiple Choice",4,IF(Q521="Savings",5,IF(Q521="Stem Completion",6,IF(Q521="Fragment Completion",7,IF(Q521="anagram solution",8,IF(Q521="Matching",9,IF(Q521="Problem Solving",10,"99"))))))))))</f>
        <v>2</v>
      </c>
      <c r="S521" s="60" t="s">
        <v>49</v>
      </c>
      <c r="T521" s="59" t="s">
        <v>581</v>
      </c>
      <c r="U521" s="60">
        <f>IF(T521="within",1,0)</f>
        <v>1</v>
      </c>
      <c r="V521" s="59">
        <v>12</v>
      </c>
      <c r="W521" s="60">
        <f>F521*V521</f>
        <v>156</v>
      </c>
      <c r="X521" s="60">
        <v>12</v>
      </c>
      <c r="Y521" s="76">
        <f>AV520</f>
        <v>604800</v>
      </c>
      <c r="Z521" s="60" t="s">
        <v>874</v>
      </c>
      <c r="AA521" s="60">
        <v>7430400</v>
      </c>
      <c r="AB521" s="60" t="str">
        <f>IF(AA521&lt;60,"1",IF(AA521&lt;=43200,"2",IF(AA521&lt;=777600,"3","4")))</f>
        <v>4</v>
      </c>
      <c r="AC521" s="56">
        <f>AVERAGE(AV520:DA520)</f>
        <v>3931200</v>
      </c>
      <c r="AD521" s="60" t="str">
        <f>IF(AC521&lt;60,"1",IF(AC521&lt;=43200,"2",IF(AC521&lt;=777600,"3","4")))</f>
        <v>4</v>
      </c>
      <c r="AE521" s="76">
        <f>AA521-Y521</f>
        <v>6825600</v>
      </c>
      <c r="AF521" s="80">
        <f>AV521</f>
        <v>0.84729729729729752</v>
      </c>
      <c r="AG521" s="56">
        <f>((AW521-AV521)+(AX521-AW521)+(AY521-AX521)+(AZ521-AY521)+(BA521-AZ521)+(BB521-BA521)+(BC521-BB521)+(BD521-BC521)+(BE521-BD521)+(BF521-BE521)+(BG521-BF521))/11</f>
        <v>-1.968818405182042E-2</v>
      </c>
      <c r="AH521" s="4"/>
      <c r="AI521" s="56">
        <f>RSQ(AV521:BG521,AV520:BG520)</f>
        <v>0.53107437102443444</v>
      </c>
      <c r="AJ521" s="109">
        <f>SLOPE(AV521:BG521,AV520:BG520)</f>
        <v>-2.4675600158057639E-8</v>
      </c>
      <c r="AK521" s="56">
        <f>INTERCEPT(AV521:BG521,AV520:BG520)</f>
        <v>0.81228172827725298</v>
      </c>
      <c r="AL521" s="56">
        <f>INDEX(LINEST(LN(AV521:BG521),LN(AV520:BG520),TRUE,TRUE),3,1)</f>
        <v>0.539826708454757</v>
      </c>
      <c r="AM521" s="56">
        <f>INDEX(LINEST(LN(AV521:BG521),LN(AV520:BG520)),1)</f>
        <v>-0.1001762268856861</v>
      </c>
      <c r="AN521" s="56">
        <f>EXP(INDEX(LINEST(LN(AV521:BG521),LN(AV520:BG520)),1,2))</f>
        <v>3.1915566951719199</v>
      </c>
      <c r="AO521" s="82">
        <f>INDEX(LINEST((AV521:BG521),LN(AV520:BG520),TRUE,TRUE),3,1)</f>
        <v>0.55206099400442954</v>
      </c>
      <c r="AP521" s="82">
        <f>INDEX(LINEST((AV521:BG521),LN(AV520:BG520)),1)</f>
        <v>-7.2583707294737967E-2</v>
      </c>
      <c r="AQ521" s="83">
        <f>INDEX(LINEST(LN(AV521:BG521),SQRT(AV520:BG520),TRUE,TRUE),3,1)</f>
        <v>0.54826987129964166</v>
      </c>
      <c r="AR521" s="116">
        <f>INDEX(LINEST(LN(AV521:BG521),SQRT((AV520:BG520))),1)</f>
        <v>-1.2564847577442871E-4</v>
      </c>
      <c r="AS521" s="84">
        <f>INDEX(LINEST(1/(AV521:BG521),1/(SQRT(AV520:BG520)),TRUE,TRUE),3,1)</f>
        <v>0.48363260183448831</v>
      </c>
      <c r="AT521" s="84">
        <f>INDEX(LINEST(1/(AV521:BG521),1/SQRT(AV520:BG520)),1)</f>
        <v>-375.7632104670065</v>
      </c>
      <c r="AU521" s="3"/>
      <c r="AV521" s="53">
        <v>0.84729729729729752</v>
      </c>
      <c r="AW521" s="53">
        <v>0.73254901960784335</v>
      </c>
      <c r="AX521" s="53">
        <v>0.7925000000000002</v>
      </c>
      <c r="AY521" s="53">
        <v>0.76916666666666678</v>
      </c>
      <c r="AZ521" s="53">
        <v>0.68977777777777805</v>
      </c>
      <c r="BA521" s="53">
        <v>0.66739130434782634</v>
      </c>
      <c r="BB521" s="53">
        <v>0.69199999999999995</v>
      </c>
      <c r="BC521" s="53">
        <v>0.7834782608695654</v>
      </c>
      <c r="BD521" s="53">
        <v>0.6357142857142859</v>
      </c>
      <c r="BE521" s="53">
        <v>0.73422222222222255</v>
      </c>
      <c r="BF521" s="53">
        <v>0.60850000000000004</v>
      </c>
      <c r="BG521" s="53">
        <v>0.63072727272727291</v>
      </c>
      <c r="BH521" s="53"/>
      <c r="BI521" s="53"/>
      <c r="BJ521" s="53"/>
      <c r="BK521" s="53"/>
      <c r="BL521" s="53"/>
      <c r="BM521" s="53"/>
      <c r="BN521" s="53"/>
      <c r="BO521" s="53"/>
      <c r="BP521" s="53"/>
      <c r="BQ521" s="53"/>
      <c r="BR521" s="53"/>
      <c r="BS521" s="53"/>
      <c r="BT521" s="53"/>
      <c r="BU521" s="53"/>
      <c r="BV521" s="53"/>
      <c r="BW521" s="53"/>
      <c r="BX521" s="53"/>
      <c r="BY521" s="53"/>
      <c r="BZ521" s="53"/>
      <c r="CA521" s="53"/>
      <c r="CB521" s="53"/>
      <c r="CC521" s="53"/>
      <c r="CD521" s="53"/>
      <c r="CE521" s="53"/>
      <c r="CF521" s="53"/>
      <c r="CG521" s="53"/>
      <c r="CH521" s="53"/>
      <c r="CI521" s="53"/>
      <c r="CJ521" s="53"/>
      <c r="CK521" s="53"/>
      <c r="CL521" s="53"/>
      <c r="CM521" s="53"/>
      <c r="CN521" s="53"/>
      <c r="CO521" s="53"/>
      <c r="CP521" s="53"/>
      <c r="CQ521" s="53"/>
      <c r="CR521" s="53"/>
      <c r="CS521" s="53"/>
      <c r="CT521" s="53"/>
      <c r="CU521" s="53"/>
      <c r="CV521" s="136"/>
      <c r="CW521" s="136"/>
      <c r="CX521" s="136"/>
      <c r="CY521" s="136"/>
      <c r="CZ521" s="136"/>
      <c r="DA521" s="136"/>
      <c r="DB521" s="136"/>
      <c r="DC521" s="136"/>
      <c r="DD521" s="136"/>
      <c r="DE521" s="136"/>
      <c r="DF521" s="136"/>
      <c r="DG521" s="136"/>
      <c r="DH521" s="136"/>
      <c r="DI521" s="136"/>
      <c r="DJ521" s="136"/>
      <c r="DK521" s="136"/>
      <c r="DL521" s="136"/>
      <c r="DM521" s="136"/>
      <c r="DN521" s="136"/>
      <c r="DO521" s="136"/>
      <c r="DP521" s="136"/>
      <c r="DQ521" s="136"/>
      <c r="DR521" s="136"/>
      <c r="DS521" s="136"/>
      <c r="DT521" s="136"/>
      <c r="DU521" s="136"/>
      <c r="DV521" s="136"/>
      <c r="DW521" s="136"/>
      <c r="DX521" s="136"/>
      <c r="DY521" s="136"/>
      <c r="DZ521" s="136"/>
      <c r="EA521" s="136"/>
      <c r="EB521" s="136"/>
      <c r="EC521" s="136"/>
    </row>
    <row r="522" spans="1:133" s="13" customFormat="1" ht="12" customHeight="1" x14ac:dyDescent="0.2">
      <c r="A522" s="65">
        <v>43903</v>
      </c>
      <c r="B522" s="1"/>
      <c r="C522" s="1"/>
      <c r="D522" s="60"/>
      <c r="E522" s="76"/>
      <c r="F522" s="60"/>
      <c r="G522" s="60"/>
      <c r="H522" s="60"/>
      <c r="I522" s="60"/>
      <c r="J522" s="60"/>
      <c r="K522" s="64"/>
      <c r="L522" s="64"/>
      <c r="M522" s="60"/>
      <c r="N522" s="61"/>
      <c r="O522" s="60"/>
      <c r="P522" s="60"/>
      <c r="Q522" s="60"/>
      <c r="R522" s="60"/>
      <c r="S522" s="60"/>
      <c r="T522" s="60"/>
      <c r="U522" s="60"/>
      <c r="V522" s="60"/>
      <c r="W522" s="60"/>
      <c r="X522" s="60"/>
      <c r="Y522" s="76"/>
      <c r="Z522" s="60"/>
      <c r="AA522" s="60"/>
      <c r="AB522" s="60"/>
      <c r="AC522" s="56"/>
      <c r="AD522" s="60"/>
      <c r="AE522" s="60"/>
      <c r="AF522" s="80"/>
      <c r="AG522" s="56"/>
      <c r="AH522" s="4"/>
      <c r="AI522" s="56"/>
      <c r="AJ522" s="109"/>
      <c r="AK522" s="56"/>
      <c r="AL522" s="56"/>
      <c r="AM522" s="56"/>
      <c r="AN522" s="56"/>
      <c r="AO522" s="82"/>
      <c r="AP522" s="82"/>
      <c r="AQ522" s="83"/>
      <c r="AR522" s="116"/>
      <c r="AS522" s="84"/>
      <c r="AT522" s="84"/>
      <c r="AU522" s="3"/>
      <c r="AV522" s="25">
        <f>(60*60*24)*7</f>
        <v>604800</v>
      </c>
      <c r="AW522" s="25">
        <f>((60*60*24)*7)*2</f>
        <v>1209600</v>
      </c>
      <c r="AX522" s="25">
        <f>((60*60*24)*7)*3</f>
        <v>1814400</v>
      </c>
      <c r="AY522" s="25">
        <f>((60*60*24)*7)*4</f>
        <v>2419200</v>
      </c>
      <c r="AZ522" s="25">
        <f>((60*60*24)*7)*5</f>
        <v>3024000</v>
      </c>
      <c r="BA522" s="25">
        <f>((60*60*24)*7)*6</f>
        <v>3628800</v>
      </c>
      <c r="BB522" s="25">
        <f>((60*60*24)*7)*7</f>
        <v>4233600</v>
      </c>
      <c r="BC522" s="25">
        <f>((60*60*24)*7)*8</f>
        <v>4838400</v>
      </c>
      <c r="BD522" s="25">
        <f>((60*60*24)*7)*9</f>
        <v>5443200</v>
      </c>
      <c r="BE522" s="25">
        <f>((60*60*24)*7)*10</f>
        <v>6048000</v>
      </c>
      <c r="BF522" s="25">
        <f>((60*60*24)*7)*11</f>
        <v>6652800</v>
      </c>
      <c r="BG522" s="25">
        <f>((60*60*24)*7)*12</f>
        <v>7257600</v>
      </c>
      <c r="BH522" s="25"/>
      <c r="BI522" s="25"/>
      <c r="BJ522" s="25"/>
      <c r="BK522" s="25"/>
      <c r="BL522" s="25"/>
      <c r="BM522" s="25"/>
      <c r="BN522" s="25"/>
      <c r="BO522" s="25"/>
      <c r="BP522" s="25"/>
      <c r="BQ522" s="25"/>
      <c r="BR522" s="25"/>
      <c r="BS522" s="25"/>
      <c r="BT522" s="25"/>
      <c r="BU522" s="25"/>
      <c r="BV522" s="25"/>
      <c r="BW522" s="25"/>
      <c r="BX522" s="25"/>
      <c r="BY522" s="25"/>
      <c r="BZ522" s="25"/>
      <c r="CA522" s="25"/>
      <c r="CB522" s="25"/>
      <c r="CC522" s="25"/>
      <c r="CD522" s="25"/>
      <c r="CE522" s="25"/>
      <c r="CF522" s="25"/>
      <c r="CG522" s="25"/>
      <c r="CH522" s="25"/>
      <c r="CI522" s="25"/>
      <c r="CJ522" s="25"/>
      <c r="CK522" s="25"/>
      <c r="CL522" s="25"/>
      <c r="CM522" s="25"/>
      <c r="CN522" s="25"/>
      <c r="CO522" s="25"/>
      <c r="CP522" s="25"/>
      <c r="CQ522" s="25"/>
      <c r="CR522" s="25"/>
      <c r="CS522" s="25"/>
      <c r="CT522" s="25"/>
      <c r="CU522" s="25"/>
      <c r="CV522" s="25"/>
      <c r="CW522" s="25"/>
      <c r="CX522" s="25"/>
      <c r="CY522" s="25"/>
      <c r="CZ522" s="25"/>
      <c r="DA522" s="25"/>
      <c r="DB522" s="25"/>
      <c r="DC522" s="25"/>
      <c r="DD522" s="25"/>
      <c r="DE522" s="25"/>
      <c r="DF522" s="25"/>
      <c r="DG522" s="25"/>
      <c r="DH522" s="25"/>
      <c r="DI522" s="25"/>
      <c r="DJ522" s="25"/>
      <c r="DK522" s="25"/>
      <c r="DL522" s="25"/>
      <c r="DM522" s="25"/>
      <c r="DN522" s="25"/>
      <c r="DO522" s="25"/>
      <c r="DP522" s="25"/>
      <c r="DQ522" s="25"/>
      <c r="DR522" s="25"/>
      <c r="DS522" s="25"/>
      <c r="DT522" s="25"/>
      <c r="DU522" s="25"/>
      <c r="DV522" s="25"/>
      <c r="DW522" s="25"/>
      <c r="DX522" s="25"/>
      <c r="DY522" s="25"/>
      <c r="DZ522" s="25"/>
      <c r="EA522" s="25"/>
      <c r="EB522" s="25"/>
      <c r="EC522" s="25"/>
    </row>
    <row r="523" spans="1:133" s="13" customFormat="1" ht="12" customHeight="1" x14ac:dyDescent="0.2">
      <c r="A523" s="65">
        <v>43903</v>
      </c>
      <c r="B523" s="1" t="s">
        <v>472</v>
      </c>
      <c r="C523" s="1" t="s">
        <v>262</v>
      </c>
      <c r="D523" s="60">
        <v>2020</v>
      </c>
      <c r="E523" s="76">
        <v>1</v>
      </c>
      <c r="F523" s="60">
        <v>13</v>
      </c>
      <c r="G523" s="60">
        <v>13</v>
      </c>
      <c r="H523" s="60" t="s">
        <v>747</v>
      </c>
      <c r="I523" s="60" t="s">
        <v>864</v>
      </c>
      <c r="J523" s="60" t="s">
        <v>622</v>
      </c>
      <c r="K523" s="60">
        <f>IF(J523="syllables",1,IF(J523="trigrams",2,IF(J523="strings",3,IF(J523="visual array",4,IF(J523="characters",5,IF(J523="letters",6,IF(J523="free forms",7,IF(J523="odors",8,IF(J523="words",9,IF(J523="pictures",10,IF(J523="object pictures",11,IF(J523="faces",12,IF(J523="names",13,IF(J523="idioms",14,IF(J523="grades",15,IF(J523="syllable-digit pairs",16,IF(J523="trigram-word pairs",17,IF(J523="word-digit pairs",18,IF(J523="English-Swahili pairs",19,IF(J523="spatial position",20,IF(J523="word pairs",21,IF(J523="word triads",22,IF(J523="generated words",23,IF(J523="word definition pairs",24,IF(J523="math problems",25,IF(J523="famous faces",26,IF(J523="famous names",27,IF(J523="famous voices",28,IF(J523="television programs",29,IF(J523="race horses",30,IF(J523="new vocabulary",31,IF(J523="sentences",32,IF(J523="concepts",33,IF(J523="ad slides",34,IF(J523="scenes",35,IF(J523="famous scenes",36,IF(J523="poems",37,IF(J523="walk",38,IF(J523="faces and events",39,IF(J523="events and names",40,IF(J523="flashbulb",41,IF(J523="stories",42,IF(J523="course material",43,IF(J523="autobiographical",44,IF(J523="novels",45,IF(J523="public events",46,"99"))))))))))))))))))))))))))))))))))))))))))))))</f>
        <v>44</v>
      </c>
      <c r="L523" s="60">
        <f>IF(J523="syllables",1,IF(J523="trigrams",1,IF(J523="strings",1,IF(J523="visual array",1,IF(J523="characters",1,IF(J523="letters",1,IF(J523="free forms",1,IF(J523="odors",2,IF(J523="words",2,IF(J523="pictures",2,IF(J523="object pictures",2,IF(J523="faces",2,IF(J523="names",2,IF(J523="idioms","2",IF(J523="grades",2,IF(J523="syllable-digit pairs",3,IF(J523="trigram-word pairs",3,IF(J523="word-digit pairs",3,IF(J523="English-Swahili pairs",3,IF(J523="spatial position",3,IF(J523="word pairs",4,IF(J523="word triads",4,IF(J523="generated words",4,IF(J523="word definition pairs",4,IF(J523="math problems",4,IF(J523="famous faces",4,IF(J523="famous names",4,IF(J523="famous voices",4,IF(J523="television programs",4,IF(J523="race horses",4,IF(J523="new vocabulary",4,IF(J523="sentences",5,IF(J523="concepts",5,IF(J523="ad slides",5,IF(J523="scenes",5,IF(J523="famous scenes",5,IF(J523="poems",6,IF(J523="walk",6,IF(J523="faces and events",6,IF(J523="events and names",6,IF(J523="flashbulb",7,IF(J523="stories",7,IF(J523="course material",7,IF(J523="autobiographical",7,IF(J523="novels",7,IF(J523="public events",7,"99"))))))))))))))))))))))))))))))))))))))))))))))</f>
        <v>7</v>
      </c>
      <c r="M523" s="60">
        <v>0</v>
      </c>
      <c r="N523" s="61">
        <v>3</v>
      </c>
      <c r="O523" s="60">
        <v>0</v>
      </c>
      <c r="P523" s="60"/>
      <c r="Q523" s="60" t="s">
        <v>65</v>
      </c>
      <c r="R523" s="60">
        <f>IF(Q523="Free Recall",1,IF(Q523="Cued Recall",2,IF(Q523="Recognition",3,IF(Q523="Multiple Choice",4,IF(Q523="Savings",5,IF(Q523="Stem Completion",6,IF(Q523="Fragment Completion",7,IF(Q523="anagram solution",8,IF(Q523="Matching",9,IF(Q523="Problem Solving",10,"99"))))))))))</f>
        <v>2</v>
      </c>
      <c r="S523" s="60" t="s">
        <v>49</v>
      </c>
      <c r="T523" s="59" t="s">
        <v>581</v>
      </c>
      <c r="U523" s="60">
        <f>IF(T523="within",1,0)</f>
        <v>1</v>
      </c>
      <c r="V523" s="59">
        <v>12</v>
      </c>
      <c r="W523" s="60">
        <f>F523*V523</f>
        <v>156</v>
      </c>
      <c r="X523" s="60">
        <v>12</v>
      </c>
      <c r="Y523" s="76">
        <f>AV522</f>
        <v>604800</v>
      </c>
      <c r="Z523" s="60" t="s">
        <v>874</v>
      </c>
      <c r="AA523" s="60">
        <v>7430400</v>
      </c>
      <c r="AB523" s="60" t="str">
        <f>IF(AA523&lt;60,"1",IF(AA523&lt;=43200,"2",IF(AA523&lt;=777600,"3","4")))</f>
        <v>4</v>
      </c>
      <c r="AC523" s="56">
        <f>AVERAGE(AV522:DA522)</f>
        <v>3931200</v>
      </c>
      <c r="AD523" s="60" t="str">
        <f>IF(AC523&lt;60,"1",IF(AC523&lt;=43200,"2",IF(AC523&lt;=777600,"3","4")))</f>
        <v>4</v>
      </c>
      <c r="AE523" s="76">
        <f>AA523-Y523</f>
        <v>6825600</v>
      </c>
      <c r="AF523" s="80">
        <f>AV523</f>
        <v>0.87804878048780488</v>
      </c>
      <c r="AG523" s="56">
        <f>((AW523-AV523)+(AX523-AW523)+(AY523-AX523)+(AZ523-AY523)+(BA523-AZ523)+(BB523-BA523)+(BC523-BB523)+(BD523-BC523)+(BE523-BD523)+(BF523-BE523)+(BG523-BF523))/11</f>
        <v>-1.164079822616408E-2</v>
      </c>
      <c r="AH523" s="4"/>
      <c r="AI523" s="56">
        <f>RSQ(AV523:BG523,AV522:BG522)</f>
        <v>0.32575544589737637</v>
      </c>
      <c r="AJ523" s="109">
        <f>SLOPE(AV523:BG523,AV522:BG522)</f>
        <v>-1.7994860890415965E-8</v>
      </c>
      <c r="AK523" s="56">
        <f>INTERCEPT(AV523:BG523,AV522:BG522)</f>
        <v>0.82411900982785125</v>
      </c>
      <c r="AL523" s="56">
        <f>INDEX(LINEST(LN(AV523:BG523),LN(AV522:BG522),TRUE,TRUE),3,1)</f>
        <v>0.40972010431611383</v>
      </c>
      <c r="AM523" s="56">
        <f>INDEX(LINEST(LN(AV523:BG523),LN(AV522:BG522)),1)</f>
        <v>-7.6700916801430596E-2</v>
      </c>
      <c r="AN523" s="56">
        <f>EXP(INDEX(LINEST(LN(AV523:BG523),LN(AV522:BG522)),1,2))</f>
        <v>2.3676112983593551</v>
      </c>
      <c r="AO523" s="82">
        <f>INDEX(LINEST((AV523:BG523),LN(AV522:BG522),TRUE,TRUE),3,1)</f>
        <v>0.43168703770736178</v>
      </c>
      <c r="AP523" s="82">
        <f>INDEX(LINEST((AV523:BG523),LN(AV522:BG522)),1)</f>
        <v>-5.9764421183196019E-2</v>
      </c>
      <c r="AQ523" s="83">
        <f>INDEX(LINEST(LN(AV523:BG523),SQRT(AV522:BG522),TRUE,TRUE),3,1)</f>
        <v>0.3663854138662832</v>
      </c>
      <c r="AR523" s="116">
        <f>INDEX(LINEST(LN(AV523:BG523),SQRT((AV522:BG522))),1)</f>
        <v>-9.0271062370979397E-5</v>
      </c>
      <c r="AS523" s="84">
        <f>INDEX(LINEST(1/(AV523:BG523),1/(SQRT(AV522:BG522)),TRUE,TRUE),3,1)</f>
        <v>0.40009061764303305</v>
      </c>
      <c r="AT523" s="84">
        <f>INDEX(LINEST(1/(AV523:BG523),1/SQRT(AV522:BG522)),1)</f>
        <v>-283.71835478883065</v>
      </c>
      <c r="AU523" s="3"/>
      <c r="AV523" s="53">
        <v>0.87804878048780488</v>
      </c>
      <c r="AW523" s="53">
        <v>0.765625</v>
      </c>
      <c r="AX523" s="53">
        <v>0.86111111111111116</v>
      </c>
      <c r="AY523" s="53">
        <v>0.69444444444444442</v>
      </c>
      <c r="AZ523" s="53">
        <v>0.78333333333333333</v>
      </c>
      <c r="BA523" s="53">
        <v>0.7</v>
      </c>
      <c r="BB523" s="53">
        <v>0.77027027027027029</v>
      </c>
      <c r="BC523" s="53">
        <v>0.7</v>
      </c>
      <c r="BD523" s="53">
        <v>0.77380952380952384</v>
      </c>
      <c r="BE523" s="53">
        <v>0.63888888888888884</v>
      </c>
      <c r="BF523" s="53">
        <v>0.72499999999999998</v>
      </c>
      <c r="BG523" s="53">
        <v>0.75</v>
      </c>
      <c r="BH523" s="53"/>
      <c r="BI523" s="53"/>
      <c r="BJ523" s="53"/>
      <c r="BK523" s="53"/>
      <c r="BL523" s="53"/>
      <c r="BM523" s="53"/>
      <c r="BN523" s="53"/>
      <c r="BO523" s="53"/>
      <c r="BP523" s="53"/>
      <c r="BQ523" s="53"/>
      <c r="BR523" s="53"/>
      <c r="BS523" s="53"/>
      <c r="BT523" s="53"/>
      <c r="BU523" s="53"/>
      <c r="BV523" s="53"/>
      <c r="BW523" s="53"/>
      <c r="BX523" s="53"/>
      <c r="BY523" s="53"/>
      <c r="BZ523" s="53"/>
      <c r="CA523" s="53"/>
      <c r="CB523" s="53"/>
      <c r="CC523" s="53"/>
      <c r="CD523" s="53"/>
      <c r="CE523" s="53"/>
      <c r="CF523" s="53"/>
      <c r="CG523" s="53"/>
      <c r="CH523" s="53"/>
      <c r="CI523" s="53"/>
      <c r="CJ523" s="53"/>
      <c r="CK523" s="53"/>
      <c r="CL523" s="53"/>
      <c r="CM523" s="53"/>
      <c r="CN523" s="53"/>
      <c r="CO523" s="53"/>
      <c r="CP523" s="53"/>
      <c r="CQ523" s="53"/>
      <c r="CR523" s="53"/>
      <c r="CS523" s="53"/>
      <c r="CT523" s="53"/>
      <c r="CU523" s="53"/>
      <c r="CV523" s="136"/>
      <c r="CW523" s="136"/>
      <c r="CX523" s="136"/>
      <c r="CY523" s="136"/>
      <c r="CZ523" s="136"/>
      <c r="DA523" s="136"/>
      <c r="DB523" s="136"/>
      <c r="DC523" s="136"/>
      <c r="DD523" s="136"/>
      <c r="DE523" s="136"/>
      <c r="DF523" s="136"/>
      <c r="DG523" s="136"/>
      <c r="DH523" s="136"/>
      <c r="DI523" s="136"/>
      <c r="DJ523" s="136"/>
      <c r="DK523" s="136"/>
      <c r="DL523" s="136"/>
      <c r="DM523" s="136"/>
      <c r="DN523" s="136"/>
      <c r="DO523" s="136"/>
      <c r="DP523" s="136"/>
      <c r="DQ523" s="136"/>
      <c r="DR523" s="136"/>
      <c r="DS523" s="136"/>
      <c r="DT523" s="136"/>
      <c r="DU523" s="136"/>
      <c r="DV523" s="136"/>
      <c r="DW523" s="136"/>
      <c r="DX523" s="136"/>
      <c r="DY523" s="136"/>
      <c r="DZ523" s="136"/>
      <c r="EA523" s="136"/>
      <c r="EB523" s="136"/>
      <c r="EC523" s="136"/>
    </row>
    <row r="524" spans="1:133" s="13" customFormat="1" ht="12" customHeight="1" x14ac:dyDescent="0.2">
      <c r="A524" s="65">
        <v>43903</v>
      </c>
      <c r="B524" s="1"/>
      <c r="C524" s="1"/>
      <c r="D524" s="60"/>
      <c r="E524" s="76"/>
      <c r="F524" s="60"/>
      <c r="G524" s="60"/>
      <c r="H524" s="60"/>
      <c r="I524" s="60"/>
      <c r="J524" s="60"/>
      <c r="K524" s="64"/>
      <c r="L524" s="64"/>
      <c r="M524" s="60"/>
      <c r="N524" s="61"/>
      <c r="O524" s="60"/>
      <c r="P524" s="60"/>
      <c r="Q524" s="60"/>
      <c r="R524" s="60"/>
      <c r="S524" s="60"/>
      <c r="T524" s="60"/>
      <c r="U524" s="60"/>
      <c r="V524" s="60"/>
      <c r="W524" s="60"/>
      <c r="X524" s="60"/>
      <c r="Y524" s="76"/>
      <c r="Z524" s="60"/>
      <c r="AA524" s="60"/>
      <c r="AB524" s="60"/>
      <c r="AC524" s="56"/>
      <c r="AD524" s="60"/>
      <c r="AE524" s="60"/>
      <c r="AF524" s="80"/>
      <c r="AG524" s="56"/>
      <c r="AH524" s="4"/>
      <c r="AI524" s="56"/>
      <c r="AJ524" s="109"/>
      <c r="AK524" s="56"/>
      <c r="AL524" s="56"/>
      <c r="AM524" s="56"/>
      <c r="AN524" s="56"/>
      <c r="AO524" s="82"/>
      <c r="AP524" s="82"/>
      <c r="AQ524" s="83"/>
      <c r="AR524" s="116"/>
      <c r="AS524" s="84"/>
      <c r="AT524" s="84"/>
      <c r="AU524" s="3"/>
      <c r="AV524" s="25">
        <f>(60*60*24)*7</f>
        <v>604800</v>
      </c>
      <c r="AW524" s="25">
        <f>((60*60*24)*7)*2</f>
        <v>1209600</v>
      </c>
      <c r="AX524" s="25">
        <f>((60*60*24)*7)*3</f>
        <v>1814400</v>
      </c>
      <c r="AY524" s="25">
        <f>((60*60*24)*7)*4</f>
        <v>2419200</v>
      </c>
      <c r="AZ524" s="25">
        <f>((60*60*24)*7)*5</f>
        <v>3024000</v>
      </c>
      <c r="BA524" s="25">
        <f>((60*60*24)*7)*6</f>
        <v>3628800</v>
      </c>
      <c r="BB524" s="25">
        <f>((60*60*24)*7)*7</f>
        <v>4233600</v>
      </c>
      <c r="BC524" s="25">
        <f>((60*60*24)*7)*8</f>
        <v>4838400</v>
      </c>
      <c r="BD524" s="25">
        <f>((60*60*24)*7)*9</f>
        <v>5443200</v>
      </c>
      <c r="BE524" s="25">
        <f>((60*60*24)*7)*10</f>
        <v>6048000</v>
      </c>
      <c r="BF524" s="25">
        <f>((60*60*24)*7)*11</f>
        <v>6652800</v>
      </c>
      <c r="BG524" s="25">
        <f>((60*60*24)*7)*12</f>
        <v>7257600</v>
      </c>
      <c r="BH524" s="25"/>
      <c r="BI524" s="25"/>
      <c r="BJ524" s="25"/>
      <c r="BK524" s="25"/>
      <c r="BL524" s="25"/>
      <c r="BM524" s="25"/>
      <c r="BN524" s="25"/>
      <c r="BO524" s="25"/>
      <c r="BP524" s="25"/>
      <c r="BQ524" s="25"/>
      <c r="BR524" s="25"/>
      <c r="BS524" s="25"/>
      <c r="BT524" s="25"/>
      <c r="BU524" s="25"/>
      <c r="BV524" s="25"/>
      <c r="BW524" s="25"/>
      <c r="BX524" s="25"/>
      <c r="BY524" s="25"/>
      <c r="BZ524" s="25"/>
      <c r="CA524" s="25"/>
      <c r="CB524" s="25"/>
      <c r="CC524" s="25"/>
      <c r="CD524" s="25"/>
      <c r="CE524" s="25"/>
      <c r="CF524" s="25"/>
      <c r="CG524" s="25"/>
      <c r="CH524" s="25"/>
      <c r="CI524" s="25"/>
      <c r="CJ524" s="25"/>
      <c r="CK524" s="25"/>
      <c r="CL524" s="25"/>
      <c r="CM524" s="25"/>
      <c r="CN524" s="25"/>
      <c r="CO524" s="25"/>
      <c r="CP524" s="25"/>
      <c r="CQ524" s="25"/>
      <c r="CR524" s="25"/>
      <c r="CS524" s="25"/>
      <c r="CT524" s="25"/>
      <c r="CU524" s="25"/>
      <c r="CV524" s="25"/>
      <c r="CW524" s="25"/>
      <c r="CX524" s="25"/>
      <c r="CY524" s="25"/>
      <c r="CZ524" s="25"/>
      <c r="DA524" s="25"/>
      <c r="DB524" s="25"/>
      <c r="DC524" s="25"/>
      <c r="DD524" s="25"/>
      <c r="DE524" s="25"/>
      <c r="DF524" s="25"/>
      <c r="DG524" s="25"/>
      <c r="DH524" s="25"/>
      <c r="DI524" s="25"/>
      <c r="DJ524" s="25"/>
      <c r="DK524" s="25"/>
      <c r="DL524" s="25"/>
      <c r="DM524" s="25"/>
      <c r="DN524" s="25"/>
      <c r="DO524" s="25"/>
      <c r="DP524" s="25"/>
      <c r="DQ524" s="25"/>
      <c r="DR524" s="25"/>
      <c r="DS524" s="25"/>
      <c r="DT524" s="25"/>
      <c r="DU524" s="25"/>
      <c r="DV524" s="25"/>
      <c r="DW524" s="25"/>
      <c r="DX524" s="25"/>
      <c r="DY524" s="25"/>
      <c r="DZ524" s="25"/>
      <c r="EA524" s="25"/>
      <c r="EB524" s="25"/>
      <c r="EC524" s="25"/>
    </row>
    <row r="525" spans="1:133" s="13" customFormat="1" ht="12" customHeight="1" x14ac:dyDescent="0.2">
      <c r="A525" s="65">
        <v>43903</v>
      </c>
      <c r="B525" s="1" t="s">
        <v>472</v>
      </c>
      <c r="C525" s="1" t="s">
        <v>262</v>
      </c>
      <c r="D525" s="60">
        <v>2020</v>
      </c>
      <c r="E525" s="76">
        <v>1</v>
      </c>
      <c r="F525" s="60">
        <v>13</v>
      </c>
      <c r="G525" s="60">
        <v>13</v>
      </c>
      <c r="H525" s="60" t="s">
        <v>747</v>
      </c>
      <c r="I525" s="60" t="s">
        <v>866</v>
      </c>
      <c r="J525" s="60" t="s">
        <v>622</v>
      </c>
      <c r="K525" s="60">
        <f>IF(J525="syllables",1,IF(J525="trigrams",2,IF(J525="strings",3,IF(J525="visual array",4,IF(J525="characters",5,IF(J525="letters",6,IF(J525="free forms",7,IF(J525="odors",8,IF(J525="words",9,IF(J525="pictures",10,IF(J525="object pictures",11,IF(J525="faces",12,IF(J525="names",13,IF(J525="idioms",14,IF(J525="grades",15,IF(J525="syllable-digit pairs",16,IF(J525="trigram-word pairs",17,IF(J525="word-digit pairs",18,IF(J525="English-Swahili pairs",19,IF(J525="spatial position",20,IF(J525="word pairs",21,IF(J525="word triads",22,IF(J525="generated words",23,IF(J525="word definition pairs",24,IF(J525="math problems",25,IF(J525="famous faces",26,IF(J525="famous names",27,IF(J525="famous voices",28,IF(J525="television programs",29,IF(J525="race horses",30,IF(J525="new vocabulary",31,IF(J525="sentences",32,IF(J525="concepts",33,IF(J525="ad slides",34,IF(J525="scenes",35,IF(J525="famous scenes",36,IF(J525="poems",37,IF(J525="walk",38,IF(J525="faces and events",39,IF(J525="events and names",40,IF(J525="flashbulb",41,IF(J525="stories",42,IF(J525="course material",43,IF(J525="autobiographical",44,IF(J525="novels",45,IF(J525="public events",46,"99"))))))))))))))))))))))))))))))))))))))))))))))</f>
        <v>44</v>
      </c>
      <c r="L525" s="60">
        <f>IF(J525="syllables",1,IF(J525="trigrams",1,IF(J525="strings",1,IF(J525="visual array",1,IF(J525="characters",1,IF(J525="letters",1,IF(J525="free forms",1,IF(J525="odors",2,IF(J525="words",2,IF(J525="pictures",2,IF(J525="object pictures",2,IF(J525="faces",2,IF(J525="names",2,IF(J525="idioms","2",IF(J525="grades",2,IF(J525="syllable-digit pairs",3,IF(J525="trigram-word pairs",3,IF(J525="word-digit pairs",3,IF(J525="English-Swahili pairs",3,IF(J525="spatial position",3,IF(J525="word pairs",4,IF(J525="word triads",4,IF(J525="generated words",4,IF(J525="word definition pairs",4,IF(J525="math problems",4,IF(J525="famous faces",4,IF(J525="famous names",4,IF(J525="famous voices",4,IF(J525="television programs",4,IF(J525="race horses",4,IF(J525="new vocabulary",4,IF(J525="sentences",5,IF(J525="concepts",5,IF(J525="ad slides",5,IF(J525="scenes",5,IF(J525="famous scenes",5,IF(J525="poems",6,IF(J525="walk",6,IF(J525="faces and events",6,IF(J525="events and names",6,IF(J525="flashbulb",7,IF(J525="stories",7,IF(J525="course material",7,IF(J525="autobiographical",7,IF(J525="novels",7,IF(J525="public events",7,"99"))))))))))))))))))))))))))))))))))))))))))))))</f>
        <v>7</v>
      </c>
      <c r="M525" s="60">
        <v>0</v>
      </c>
      <c r="N525" s="61">
        <v>3</v>
      </c>
      <c r="O525" s="60">
        <v>0</v>
      </c>
      <c r="P525" s="60"/>
      <c r="Q525" s="60" t="s">
        <v>65</v>
      </c>
      <c r="R525" s="60">
        <f>IF(Q525="Free Recall",1,IF(Q525="Cued Recall",2,IF(Q525="Recognition",3,IF(Q525="Multiple Choice",4,IF(Q525="Savings",5,IF(Q525="Stem Completion",6,IF(Q525="Fragment Completion",7,IF(Q525="anagram solution",8,IF(Q525="Matching",9,IF(Q525="Problem Solving",10,"99"))))))))))</f>
        <v>2</v>
      </c>
      <c r="S525" s="60" t="s">
        <v>49</v>
      </c>
      <c r="T525" s="59" t="s">
        <v>581</v>
      </c>
      <c r="U525" s="60">
        <f>IF(T525="within",1,0)</f>
        <v>1</v>
      </c>
      <c r="V525" s="59">
        <v>12</v>
      </c>
      <c r="W525" s="60">
        <f>F525*V525</f>
        <v>156</v>
      </c>
      <c r="X525" s="60">
        <v>12</v>
      </c>
      <c r="Y525" s="76">
        <f>AV524</f>
        <v>604800</v>
      </c>
      <c r="Z525" s="60" t="s">
        <v>874</v>
      </c>
      <c r="AA525" s="60">
        <v>7430400</v>
      </c>
      <c r="AB525" s="60" t="str">
        <f>IF(AA525&lt;60,"1",IF(AA525&lt;=43200,"2",IF(AA525&lt;=777600,"3","4")))</f>
        <v>4</v>
      </c>
      <c r="AC525" s="56">
        <f>AVERAGE(AV524:DA524)</f>
        <v>3931200</v>
      </c>
      <c r="AD525" s="60" t="str">
        <f>IF(AC525&lt;60,"1",IF(AC525&lt;=43200,"2",IF(AC525&lt;=777600,"3","4")))</f>
        <v>4</v>
      </c>
      <c r="AE525" s="76">
        <f>AA525-Y525</f>
        <v>6825600</v>
      </c>
      <c r="AF525" s="80">
        <f>AV525</f>
        <v>0.9464285714285714</v>
      </c>
      <c r="AG525" s="56">
        <f>((AW525-AV525)+(AX525-AW525)+(AY525-AX525)+(AZ525-AY525)+(BA525-AZ525)+(BB525-BA525)+(BC525-BB525)+(BD525-BC525)+(BE525-BD525)+(BF525-BE525)+(BG525-BF525))/11</f>
        <v>-1.0281385281385275E-2</v>
      </c>
      <c r="AH525" s="4"/>
      <c r="AI525" s="56">
        <f>RSQ(AV525:BG525,AV524:BG524)</f>
        <v>0.47260768581770618</v>
      </c>
      <c r="AJ525" s="109">
        <f>SLOPE(AV525:BG525,AV524:BG524)</f>
        <v>-2.6115331856772214E-8</v>
      </c>
      <c r="AK525" s="56">
        <f>INTERCEPT(AV525:BG525,AV524:BG524)</f>
        <v>0.96461650025990842</v>
      </c>
      <c r="AL525" s="56">
        <f>INDEX(LINEST(LN(AV525:BG525),LN(AV524:BG524),TRUE,TRUE),3,1)</f>
        <v>0.44785879183780131</v>
      </c>
      <c r="AM525" s="56">
        <f>INDEX(LINEST(LN(AV525:BG525),LN(AV524:BG524)),1)</f>
        <v>-8.6888183909583347E-2</v>
      </c>
      <c r="AN525" s="56">
        <f>EXP(INDEX(LINEST(LN(AV525:BG525),LN(AV524:BG524)),1,2))</f>
        <v>3.1535493812412625</v>
      </c>
      <c r="AO525" s="82">
        <f>INDEX(LINEST((AV525:BG525),LN(AV524:BG524),TRUE,TRUE),3,1)</f>
        <v>0.46802751545211618</v>
      </c>
      <c r="AP525" s="82">
        <f>INDEX(LINEST((AV525:BG525),LN(AV524:BG524)),1)</f>
        <v>-7.4978442423752345E-2</v>
      </c>
      <c r="AQ525" s="83">
        <f>INDEX(LINEST(LN(AV525:BG525),SQRT(AV524:BG524),TRUE,TRUE),3,1)</f>
        <v>0.46903877782830516</v>
      </c>
      <c r="AR525" s="116">
        <f>INDEX(LINEST(LN(AV525:BG525),SQRT((AV524:BG524))),1)</f>
        <v>-1.1066673331907369E-4</v>
      </c>
      <c r="AS525" s="84">
        <f>INDEX(LINEST(1/(AV525:BG525),1/(SQRT(AV524:BG524)),TRUE,TRUE),3,1)</f>
        <v>0.36778188793494543</v>
      </c>
      <c r="AT525" s="84">
        <f>INDEX(LINEST(1/(AV525:BG525),1/SQRT(AV524:BG524)),1)</f>
        <v>-265.32976780017924</v>
      </c>
      <c r="AU525" s="3"/>
      <c r="AV525" s="53">
        <v>0.9464285714285714</v>
      </c>
      <c r="AW525" s="53">
        <v>0.9375</v>
      </c>
      <c r="AX525" s="53">
        <v>1</v>
      </c>
      <c r="AY525" s="53">
        <v>0.86956521739130432</v>
      </c>
      <c r="AZ525" s="53">
        <v>0.8928571428571429</v>
      </c>
      <c r="BA525" s="53">
        <v>0.81666666666666665</v>
      </c>
      <c r="BB525" s="53">
        <v>0.74</v>
      </c>
      <c r="BC525" s="53">
        <v>0.90322580645161288</v>
      </c>
      <c r="BD525" s="53">
        <v>0.84615384615384615</v>
      </c>
      <c r="BE525" s="53">
        <v>0.84615384615384615</v>
      </c>
      <c r="BF525" s="53">
        <v>0.71153846153846156</v>
      </c>
      <c r="BG525" s="53">
        <v>0.83333333333333337</v>
      </c>
      <c r="BH525" s="53"/>
      <c r="BI525" s="53"/>
      <c r="BJ525" s="53"/>
      <c r="BK525" s="53"/>
      <c r="BL525" s="53"/>
      <c r="BM525" s="53"/>
      <c r="BN525" s="53"/>
      <c r="BO525" s="53"/>
      <c r="BP525" s="53"/>
      <c r="BQ525" s="53"/>
      <c r="BR525" s="53"/>
      <c r="BS525" s="53"/>
      <c r="BT525" s="53"/>
      <c r="BU525" s="53"/>
      <c r="BV525" s="53"/>
      <c r="BW525" s="53"/>
      <c r="BX525" s="53"/>
      <c r="BY525" s="53"/>
      <c r="BZ525" s="53"/>
      <c r="CA525" s="53"/>
      <c r="CB525" s="53"/>
      <c r="CC525" s="53"/>
      <c r="CD525" s="53"/>
      <c r="CE525" s="53"/>
      <c r="CF525" s="53"/>
      <c r="CG525" s="53"/>
      <c r="CH525" s="53"/>
      <c r="CI525" s="53"/>
      <c r="CJ525" s="53"/>
      <c r="CK525" s="53"/>
      <c r="CL525" s="53"/>
      <c r="CM525" s="53"/>
      <c r="CN525" s="53"/>
      <c r="CO525" s="53"/>
      <c r="CP525" s="53"/>
      <c r="CQ525" s="53"/>
      <c r="CR525" s="53"/>
      <c r="CS525" s="53"/>
      <c r="CT525" s="53"/>
      <c r="CU525" s="53"/>
      <c r="CV525" s="136"/>
      <c r="CW525" s="136"/>
      <c r="CX525" s="136"/>
      <c r="CY525" s="136"/>
      <c r="CZ525" s="136"/>
      <c r="DA525" s="136"/>
      <c r="DB525" s="136"/>
      <c r="DC525" s="136"/>
      <c r="DD525" s="136"/>
      <c r="DE525" s="136"/>
      <c r="DF525" s="136"/>
      <c r="DG525" s="136"/>
      <c r="DH525" s="136"/>
      <c r="DI525" s="136"/>
      <c r="DJ525" s="136"/>
      <c r="DK525" s="136"/>
      <c r="DL525" s="136"/>
      <c r="DM525" s="136"/>
      <c r="DN525" s="136"/>
      <c r="DO525" s="136"/>
      <c r="DP525" s="136"/>
      <c r="DQ525" s="136"/>
      <c r="DR525" s="136"/>
      <c r="DS525" s="136"/>
      <c r="DT525" s="136"/>
      <c r="DU525" s="136"/>
      <c r="DV525" s="136"/>
      <c r="DW525" s="136"/>
      <c r="DX525" s="136"/>
      <c r="DY525" s="136"/>
      <c r="DZ525" s="136"/>
      <c r="EA525" s="136"/>
      <c r="EB525" s="136"/>
      <c r="EC525" s="136"/>
    </row>
    <row r="526" spans="1:133" s="13" customFormat="1" ht="12" customHeight="1" x14ac:dyDescent="0.2">
      <c r="A526" s="65">
        <v>43903</v>
      </c>
      <c r="B526" s="1"/>
      <c r="C526" s="1"/>
      <c r="D526" s="60"/>
      <c r="E526" s="76"/>
      <c r="F526" s="60"/>
      <c r="G526" s="60"/>
      <c r="H526" s="60"/>
      <c r="I526" s="60"/>
      <c r="J526" s="60"/>
      <c r="K526" s="64"/>
      <c r="L526" s="64"/>
      <c r="M526" s="60"/>
      <c r="N526" s="61"/>
      <c r="O526" s="60"/>
      <c r="P526" s="60"/>
      <c r="Q526" s="60"/>
      <c r="R526" s="60"/>
      <c r="S526" s="60"/>
      <c r="T526" s="60"/>
      <c r="U526" s="60"/>
      <c r="V526" s="60"/>
      <c r="W526" s="60"/>
      <c r="X526" s="60"/>
      <c r="Y526" s="76"/>
      <c r="Z526" s="60"/>
      <c r="AA526" s="60"/>
      <c r="AB526" s="60"/>
      <c r="AC526" s="56"/>
      <c r="AD526" s="60"/>
      <c r="AE526" s="60"/>
      <c r="AF526" s="80"/>
      <c r="AG526" s="56"/>
      <c r="AH526" s="4"/>
      <c r="AI526" s="56"/>
      <c r="AJ526" s="109"/>
      <c r="AK526" s="56"/>
      <c r="AL526" s="56"/>
      <c r="AM526" s="56"/>
      <c r="AN526" s="56"/>
      <c r="AO526" s="82"/>
      <c r="AP526" s="82"/>
      <c r="AQ526" s="83"/>
      <c r="AR526" s="116"/>
      <c r="AS526" s="84"/>
      <c r="AT526" s="84"/>
      <c r="AU526" s="3"/>
      <c r="AV526" s="25">
        <f>(60*60*24)*7</f>
        <v>604800</v>
      </c>
      <c r="AW526" s="25">
        <f>((60*60*24)*7)*2</f>
        <v>1209600</v>
      </c>
      <c r="AX526" s="25">
        <f>((60*60*24)*7)*3</f>
        <v>1814400</v>
      </c>
      <c r="AY526" s="25">
        <f>((60*60*24)*7)*4</f>
        <v>2419200</v>
      </c>
      <c r="AZ526" s="25">
        <f>((60*60*24)*7)*5</f>
        <v>3024000</v>
      </c>
      <c r="BA526" s="25">
        <f>((60*60*24)*7)*6</f>
        <v>3628800</v>
      </c>
      <c r="BB526" s="25">
        <f>((60*60*24)*7)*7</f>
        <v>4233600</v>
      </c>
      <c r="BC526" s="25">
        <f>((60*60*24)*7)*8</f>
        <v>4838400</v>
      </c>
      <c r="BD526" s="25">
        <f>((60*60*24)*7)*9</f>
        <v>5443200</v>
      </c>
      <c r="BE526" s="25">
        <f>((60*60*24)*7)*10</f>
        <v>6048000</v>
      </c>
      <c r="BF526" s="25">
        <f>((60*60*24)*7)*11</f>
        <v>6652800</v>
      </c>
      <c r="BG526" s="25">
        <f>((60*60*24)*7)*12</f>
        <v>7257600</v>
      </c>
      <c r="BH526" s="25"/>
      <c r="BI526" s="25"/>
      <c r="BJ526" s="25"/>
      <c r="BK526" s="25"/>
      <c r="BL526" s="25"/>
      <c r="BM526" s="25"/>
      <c r="BN526" s="25"/>
      <c r="BO526" s="25"/>
      <c r="BP526" s="25"/>
      <c r="BQ526" s="25"/>
      <c r="BR526" s="25"/>
      <c r="BS526" s="25"/>
      <c r="BT526" s="25"/>
      <c r="BU526" s="25"/>
      <c r="BV526" s="25"/>
      <c r="BW526" s="25"/>
      <c r="BX526" s="25"/>
      <c r="BY526" s="25"/>
      <c r="BZ526" s="25"/>
      <c r="CA526" s="25"/>
      <c r="CB526" s="25"/>
      <c r="CC526" s="25"/>
      <c r="CD526" s="25"/>
      <c r="CE526" s="25"/>
      <c r="CF526" s="25"/>
      <c r="CG526" s="25"/>
      <c r="CH526" s="25"/>
      <c r="CI526" s="25"/>
      <c r="CJ526" s="25"/>
      <c r="CK526" s="25"/>
      <c r="CL526" s="25"/>
      <c r="CM526" s="25"/>
      <c r="CN526" s="25"/>
      <c r="CO526" s="25"/>
      <c r="CP526" s="25"/>
      <c r="CQ526" s="25"/>
      <c r="CR526" s="25"/>
      <c r="CS526" s="25"/>
      <c r="CT526" s="25"/>
      <c r="CU526" s="25"/>
      <c r="CV526" s="25"/>
      <c r="CW526" s="25"/>
      <c r="CX526" s="25"/>
      <c r="CY526" s="25"/>
      <c r="CZ526" s="25"/>
      <c r="DA526" s="25"/>
      <c r="DB526" s="25"/>
      <c r="DC526" s="25"/>
      <c r="DD526" s="25"/>
      <c r="DE526" s="25"/>
      <c r="DF526" s="25"/>
      <c r="DG526" s="25"/>
      <c r="DH526" s="25"/>
      <c r="DI526" s="25"/>
      <c r="DJ526" s="25"/>
      <c r="DK526" s="25"/>
      <c r="DL526" s="25"/>
      <c r="DM526" s="25"/>
      <c r="DN526" s="25"/>
      <c r="DO526" s="25"/>
      <c r="DP526" s="25"/>
      <c r="DQ526" s="25"/>
      <c r="DR526" s="25"/>
      <c r="DS526" s="25"/>
      <c r="DT526" s="25"/>
      <c r="DU526" s="25"/>
      <c r="DV526" s="25"/>
      <c r="DW526" s="25"/>
      <c r="DX526" s="25"/>
      <c r="DY526" s="25"/>
      <c r="DZ526" s="25"/>
      <c r="EA526" s="25"/>
      <c r="EB526" s="25"/>
      <c r="EC526" s="25"/>
    </row>
    <row r="527" spans="1:133" s="13" customFormat="1" ht="12" customHeight="1" x14ac:dyDescent="0.2">
      <c r="A527" s="65">
        <v>43903</v>
      </c>
      <c r="B527" s="1" t="s">
        <v>472</v>
      </c>
      <c r="C527" s="1" t="s">
        <v>262</v>
      </c>
      <c r="D527" s="60">
        <v>2020</v>
      </c>
      <c r="E527" s="76">
        <v>1</v>
      </c>
      <c r="F527" s="60">
        <v>13</v>
      </c>
      <c r="G527" s="60">
        <v>13</v>
      </c>
      <c r="H527" s="60" t="s">
        <v>747</v>
      </c>
      <c r="I527" s="60" t="s">
        <v>865</v>
      </c>
      <c r="J527" s="60" t="s">
        <v>622</v>
      </c>
      <c r="K527" s="60">
        <f>IF(J527="syllables",1,IF(J527="trigrams",2,IF(J527="strings",3,IF(J527="visual array",4,IF(J527="characters",5,IF(J527="letters",6,IF(J527="free forms",7,IF(J527="odors",8,IF(J527="words",9,IF(J527="pictures",10,IF(J527="object pictures",11,IF(J527="faces",12,IF(J527="names",13,IF(J527="idioms",14,IF(J527="grades",15,IF(J527="syllable-digit pairs",16,IF(J527="trigram-word pairs",17,IF(J527="word-digit pairs",18,IF(J527="English-Swahili pairs",19,IF(J527="spatial position",20,IF(J527="word pairs",21,IF(J527="word triads",22,IF(J527="generated words",23,IF(J527="word definition pairs",24,IF(J527="math problems",25,IF(J527="famous faces",26,IF(J527="famous names",27,IF(J527="famous voices",28,IF(J527="television programs",29,IF(J527="race horses",30,IF(J527="new vocabulary",31,IF(J527="sentences",32,IF(J527="concepts",33,IF(J527="ad slides",34,IF(J527="scenes",35,IF(J527="famous scenes",36,IF(J527="poems",37,IF(J527="walk",38,IF(J527="faces and events",39,IF(J527="events and names",40,IF(J527="flashbulb",41,IF(J527="stories",42,IF(J527="course material",43,IF(J527="autobiographical",44,IF(J527="novels",45,IF(J527="public events",46,"99"))))))))))))))))))))))))))))))))))))))))))))))</f>
        <v>44</v>
      </c>
      <c r="L527" s="60">
        <f>IF(J527="syllables",1,IF(J527="trigrams",1,IF(J527="strings",1,IF(J527="visual array",1,IF(J527="characters",1,IF(J527="letters",1,IF(J527="free forms",1,IF(J527="odors",2,IF(J527="words",2,IF(J527="pictures",2,IF(J527="object pictures",2,IF(J527="faces",2,IF(J527="names",2,IF(J527="idioms","2",IF(J527="grades",2,IF(J527="syllable-digit pairs",3,IF(J527="trigram-word pairs",3,IF(J527="word-digit pairs",3,IF(J527="English-Swahili pairs",3,IF(J527="spatial position",3,IF(J527="word pairs",4,IF(J527="word triads",4,IF(J527="generated words",4,IF(J527="word definition pairs",4,IF(J527="math problems",4,IF(J527="famous faces",4,IF(J527="famous names",4,IF(J527="famous voices",4,IF(J527="television programs",4,IF(J527="race horses",4,IF(J527="new vocabulary",4,IF(J527="sentences",5,IF(J527="concepts",5,IF(J527="ad slides",5,IF(J527="scenes",5,IF(J527="famous scenes",5,IF(J527="poems",6,IF(J527="walk",6,IF(J527="faces and events",6,IF(J527="events and names",6,IF(J527="flashbulb",7,IF(J527="stories",7,IF(J527="course material",7,IF(J527="autobiographical",7,IF(J527="novels",7,IF(J527="public events",7,"99"))))))))))))))))))))))))))))))))))))))))))))))</f>
        <v>7</v>
      </c>
      <c r="M527" s="60">
        <v>0</v>
      </c>
      <c r="N527" s="61">
        <v>3</v>
      </c>
      <c r="O527" s="60">
        <v>0</v>
      </c>
      <c r="P527" s="60"/>
      <c r="Q527" s="60" t="s">
        <v>65</v>
      </c>
      <c r="R527" s="60">
        <f>IF(Q527="Free Recall",1,IF(Q527="Cued Recall",2,IF(Q527="Recognition",3,IF(Q527="Multiple Choice",4,IF(Q527="Savings",5,IF(Q527="Stem Completion",6,IF(Q527="Fragment Completion",7,IF(Q527="anagram solution",8,IF(Q527="Matching",9,IF(Q527="Problem Solving",10,"99"))))))))))</f>
        <v>2</v>
      </c>
      <c r="S527" s="60" t="s">
        <v>49</v>
      </c>
      <c r="T527" s="59" t="s">
        <v>581</v>
      </c>
      <c r="U527" s="60">
        <f>IF(T527="within",1,0)</f>
        <v>1</v>
      </c>
      <c r="V527" s="59">
        <v>12</v>
      </c>
      <c r="W527" s="60">
        <f>F527*V527</f>
        <v>156</v>
      </c>
      <c r="X527" s="60">
        <v>12</v>
      </c>
      <c r="Y527" s="76">
        <f>AV526</f>
        <v>604800</v>
      </c>
      <c r="Z527" s="60" t="s">
        <v>874</v>
      </c>
      <c r="AA527" s="60">
        <v>7430400</v>
      </c>
      <c r="AB527" s="60" t="str">
        <f>IF(AA527&lt;60,"1",IF(AA527&lt;=43200,"2",IF(AA527&lt;=777600,"3","4")))</f>
        <v>4</v>
      </c>
      <c r="AC527" s="56">
        <f>AVERAGE(AV526:DA526)</f>
        <v>3931200</v>
      </c>
      <c r="AD527" s="60" t="str">
        <f>IF(AC527&lt;60,"1",IF(AC527&lt;=43200,"2",IF(AC527&lt;=777600,"3","4")))</f>
        <v>4</v>
      </c>
      <c r="AE527" s="76">
        <f>AA527-Y527</f>
        <v>6825600</v>
      </c>
      <c r="AF527" s="80">
        <f>AV527</f>
        <v>0.94625000000000004</v>
      </c>
      <c r="AG527" s="56">
        <f>((AW527-AV527)+(AX527-AW527)+(AY527-AX527)+(AZ527-AY527)+(BA527-AZ527)+(BB527-BA527)+(BC527-BB527)+(BD527-BC527)+(BE527-BD527)+(BF527-BE527)+(BG527-BF527))/11</f>
        <v>-1.3017676767676773E-2</v>
      </c>
      <c r="AH527" s="4"/>
      <c r="AI527" s="56">
        <f>RSQ(AV527:BG527,AV526:BG526)</f>
        <v>0.45144452072088165</v>
      </c>
      <c r="AJ527" s="109">
        <f>SLOPE(AV527:BG527,AV526:BG526)</f>
        <v>-1.7300716318825871E-8</v>
      </c>
      <c r="AK527" s="56">
        <f>INTERCEPT(AV527:BG527,AV526:BG526)</f>
        <v>0.89715647049729785</v>
      </c>
      <c r="AL527" s="56">
        <f>INDEX(LINEST(LN(AV527:BG527),LN(AV526:BG526),TRUE,TRUE),3,1)</f>
        <v>0.50008719021308989</v>
      </c>
      <c r="AM527" s="56">
        <f>INDEX(LINEST(LN(AV527:BG527),LN(AV526:BG526)),1)</f>
        <v>-6.2898280047467836E-2</v>
      </c>
      <c r="AN527" s="56">
        <f>EXP(INDEX(LINEST(LN(AV527:BG527),LN(AV526:BG526)),1,2))</f>
        <v>2.1226488332808713</v>
      </c>
      <c r="AO527" s="82">
        <f>INDEX(LINEST((AV527:BG527),LN(AV526:BG526),TRUE,TRUE),3,1)</f>
        <v>0.51353207650411337</v>
      </c>
      <c r="AP527" s="82">
        <f>INDEX(LINEST((AV527:BG527),LN(AV526:BG526)),1)</f>
        <v>-5.3235488328658216E-2</v>
      </c>
      <c r="AQ527" s="83">
        <f>INDEX(LINEST(LN(AV527:BG527),SQRT(AV526:BG526),TRUE,TRUE),3,1)</f>
        <v>0.47955790024813399</v>
      </c>
      <c r="AR527" s="116">
        <f>INDEX(LINEST(LN(AV527:BG527),SQRT((AV526:BG526))),1)</f>
        <v>-7.6658263586261227E-5</v>
      </c>
      <c r="AS527" s="84">
        <f>INDEX(LINEST(1/(AV527:BG527),1/(SQRT(AV526:BG526)),TRUE,TRUE),3,1)</f>
        <v>0.48099595729657507</v>
      </c>
      <c r="AT527" s="84">
        <f>INDEX(LINEST(1/(AV527:BG527),1/SQRT(AV526:BG526)),1)</f>
        <v>-209.24387709394171</v>
      </c>
      <c r="AU527" s="3"/>
      <c r="AV527" s="53">
        <v>0.94625000000000004</v>
      </c>
      <c r="AW527" s="53">
        <v>0.83240000000000003</v>
      </c>
      <c r="AX527" s="53">
        <v>0.86848484848484842</v>
      </c>
      <c r="AY527" s="53">
        <v>0.82189999999999985</v>
      </c>
      <c r="AZ527" s="53">
        <v>0.81612903225806455</v>
      </c>
      <c r="BA527" s="53">
        <v>0.89284375000000005</v>
      </c>
      <c r="BB527" s="53">
        <v>0.76848148148148154</v>
      </c>
      <c r="BC527" s="53">
        <v>0.8418000000000001</v>
      </c>
      <c r="BD527" s="53">
        <v>0.83078947368421052</v>
      </c>
      <c r="BE527" s="53">
        <v>0.79592592592592604</v>
      </c>
      <c r="BF527" s="53">
        <v>0.7316666666666668</v>
      </c>
      <c r="BG527" s="53">
        <v>0.80305555555555552</v>
      </c>
      <c r="BH527" s="53"/>
      <c r="BI527" s="53"/>
      <c r="BJ527" s="53"/>
      <c r="BK527" s="53"/>
      <c r="BL527" s="53"/>
      <c r="BM527" s="53"/>
      <c r="BN527" s="53"/>
      <c r="BO527" s="53"/>
      <c r="BP527" s="53"/>
      <c r="BQ527" s="53"/>
      <c r="BR527" s="53"/>
      <c r="BS527" s="53"/>
      <c r="BT527" s="53"/>
      <c r="BU527" s="53"/>
      <c r="BV527" s="53"/>
      <c r="BW527" s="53"/>
      <c r="BX527" s="53"/>
      <c r="BY527" s="53"/>
      <c r="BZ527" s="53"/>
      <c r="CA527" s="53"/>
      <c r="CB527" s="53"/>
      <c r="CC527" s="53"/>
      <c r="CD527" s="53"/>
      <c r="CE527" s="53"/>
      <c r="CF527" s="53"/>
      <c r="CG527" s="53"/>
      <c r="CH527" s="53"/>
      <c r="CI527" s="53"/>
      <c r="CJ527" s="53"/>
      <c r="CK527" s="53"/>
      <c r="CL527" s="53"/>
      <c r="CM527" s="53"/>
      <c r="CN527" s="53"/>
      <c r="CO527" s="53"/>
      <c r="CP527" s="53"/>
      <c r="CQ527" s="53"/>
      <c r="CR527" s="53"/>
      <c r="CS527" s="53"/>
      <c r="CT527" s="53"/>
      <c r="CU527" s="53"/>
      <c r="CV527" s="136"/>
      <c r="CW527" s="136"/>
      <c r="CX527" s="136"/>
      <c r="CY527" s="136"/>
      <c r="CZ527" s="136"/>
      <c r="DA527" s="136"/>
      <c r="DB527" s="136"/>
      <c r="DC527" s="136"/>
      <c r="DD527" s="136"/>
      <c r="DE527" s="136"/>
      <c r="DF527" s="136"/>
      <c r="DG527" s="136"/>
      <c r="DH527" s="136"/>
      <c r="DI527" s="136"/>
      <c r="DJ527" s="136"/>
      <c r="DK527" s="136"/>
      <c r="DL527" s="136"/>
      <c r="DM527" s="136"/>
      <c r="DN527" s="136"/>
      <c r="DO527" s="136"/>
      <c r="DP527" s="136"/>
      <c r="DQ527" s="136"/>
      <c r="DR527" s="136"/>
      <c r="DS527" s="136"/>
      <c r="DT527" s="136"/>
      <c r="DU527" s="136"/>
      <c r="DV527" s="136"/>
      <c r="DW527" s="136"/>
      <c r="DX527" s="136"/>
      <c r="DY527" s="136"/>
      <c r="DZ527" s="136"/>
      <c r="EA527" s="136"/>
      <c r="EB527" s="136"/>
      <c r="EC527" s="136"/>
    </row>
    <row r="528" spans="1:133" s="13" customFormat="1" ht="12" customHeight="1" x14ac:dyDescent="0.2">
      <c r="A528" s="65">
        <v>43903</v>
      </c>
      <c r="B528" s="1"/>
      <c r="C528" s="1"/>
      <c r="D528" s="60"/>
      <c r="E528" s="76"/>
      <c r="F528" s="60"/>
      <c r="G528" s="60"/>
      <c r="H528" s="60"/>
      <c r="I528" s="60"/>
      <c r="J528" s="60"/>
      <c r="K528" s="64"/>
      <c r="L528" s="64"/>
      <c r="M528" s="60"/>
      <c r="N528" s="61"/>
      <c r="O528" s="60"/>
      <c r="P528" s="60"/>
      <c r="Q528" s="60"/>
      <c r="R528" s="60"/>
      <c r="S528" s="60"/>
      <c r="T528" s="60"/>
      <c r="U528" s="60"/>
      <c r="V528" s="60"/>
      <c r="W528" s="60"/>
      <c r="X528" s="60"/>
      <c r="Y528" s="76"/>
      <c r="Z528" s="60"/>
      <c r="AA528" s="60"/>
      <c r="AB528" s="60"/>
      <c r="AC528" s="56"/>
      <c r="AD528" s="60"/>
      <c r="AE528" s="60"/>
      <c r="AF528" s="80"/>
      <c r="AG528" s="56"/>
      <c r="AH528" s="4"/>
      <c r="AI528" s="56"/>
      <c r="AJ528" s="109"/>
      <c r="AK528" s="56"/>
      <c r="AL528" s="56"/>
      <c r="AM528" s="56"/>
      <c r="AN528" s="56"/>
      <c r="AO528" s="82"/>
      <c r="AP528" s="82"/>
      <c r="AQ528" s="83"/>
      <c r="AR528" s="116"/>
      <c r="AS528" s="84"/>
      <c r="AT528" s="84"/>
      <c r="AU528" s="3"/>
      <c r="AV528" s="25">
        <f>(60*60*24)*7</f>
        <v>604800</v>
      </c>
      <c r="AW528" s="25">
        <f>((60*60*24)*7)*2</f>
        <v>1209600</v>
      </c>
      <c r="AX528" s="25">
        <f>((60*60*24)*7)*3</f>
        <v>1814400</v>
      </c>
      <c r="AY528" s="25">
        <f>((60*60*24)*7)*4</f>
        <v>2419200</v>
      </c>
      <c r="AZ528" s="25">
        <f>((60*60*24)*7)*5</f>
        <v>3024000</v>
      </c>
      <c r="BA528" s="25">
        <f>((60*60*24)*7)*6</f>
        <v>3628800</v>
      </c>
      <c r="BB528" s="25">
        <f>((60*60*24)*7)*7</f>
        <v>4233600</v>
      </c>
      <c r="BC528" s="25">
        <f>((60*60*24)*7)*8</f>
        <v>4838400</v>
      </c>
      <c r="BD528" s="25">
        <f>((60*60*24)*7)*9</f>
        <v>5443200</v>
      </c>
      <c r="BE528" s="25">
        <f>((60*60*24)*7)*10</f>
        <v>6048000</v>
      </c>
      <c r="BF528" s="25">
        <f>((60*60*24)*7)*11</f>
        <v>6652800</v>
      </c>
      <c r="BG528" s="25">
        <f>((60*60*24)*7)*12</f>
        <v>7257600</v>
      </c>
      <c r="BH528" s="25"/>
      <c r="BI528" s="25"/>
      <c r="BJ528" s="25"/>
      <c r="BK528" s="25"/>
      <c r="BL528" s="25"/>
      <c r="BM528" s="25"/>
      <c r="BN528" s="25"/>
      <c r="BO528" s="25"/>
      <c r="BP528" s="25"/>
      <c r="BQ528" s="25"/>
      <c r="BR528" s="25"/>
      <c r="BS528" s="25"/>
      <c r="BT528" s="25"/>
      <c r="BU528" s="25"/>
      <c r="BV528" s="25"/>
      <c r="BW528" s="25"/>
      <c r="BX528" s="25"/>
      <c r="BY528" s="25"/>
      <c r="BZ528" s="25"/>
      <c r="CA528" s="25"/>
      <c r="CB528" s="25"/>
      <c r="CC528" s="25"/>
      <c r="CD528" s="25"/>
      <c r="CE528" s="25"/>
      <c r="CF528" s="25"/>
      <c r="CG528" s="25"/>
      <c r="CH528" s="25"/>
      <c r="CI528" s="25"/>
      <c r="CJ528" s="25"/>
      <c r="CK528" s="25"/>
      <c r="CL528" s="25"/>
      <c r="CM528" s="25"/>
      <c r="CN528" s="25"/>
      <c r="CO528" s="25"/>
      <c r="CP528" s="25"/>
      <c r="CQ528" s="25"/>
      <c r="CR528" s="25"/>
      <c r="CS528" s="25"/>
      <c r="CT528" s="25"/>
      <c r="CU528" s="25"/>
      <c r="CV528" s="25"/>
      <c r="CW528" s="25"/>
      <c r="CX528" s="25"/>
      <c r="CY528" s="25"/>
      <c r="CZ528" s="25"/>
      <c r="DA528" s="25"/>
      <c r="DB528" s="25"/>
      <c r="DC528" s="25"/>
      <c r="DD528" s="25"/>
      <c r="DE528" s="25"/>
      <c r="DF528" s="25"/>
      <c r="DG528" s="25"/>
      <c r="DH528" s="25"/>
      <c r="DI528" s="25"/>
      <c r="DJ528" s="25"/>
      <c r="DK528" s="25"/>
      <c r="DL528" s="25"/>
      <c r="DM528" s="25"/>
      <c r="DN528" s="25"/>
      <c r="DO528" s="25"/>
      <c r="DP528" s="25"/>
      <c r="DQ528" s="25"/>
      <c r="DR528" s="25"/>
      <c r="DS528" s="25"/>
      <c r="DT528" s="25"/>
      <c r="DU528" s="25"/>
      <c r="DV528" s="25"/>
      <c r="DW528" s="25"/>
      <c r="DX528" s="25"/>
      <c r="DY528" s="25"/>
      <c r="DZ528" s="25"/>
      <c r="EA528" s="25"/>
      <c r="EB528" s="25"/>
      <c r="EC528" s="25"/>
    </row>
    <row r="529" spans="1:133" s="13" customFormat="1" ht="12" customHeight="1" x14ac:dyDescent="0.2">
      <c r="A529" s="65">
        <v>43903</v>
      </c>
      <c r="B529" s="1" t="s">
        <v>472</v>
      </c>
      <c r="C529" s="1" t="s">
        <v>262</v>
      </c>
      <c r="D529" s="60">
        <v>2020</v>
      </c>
      <c r="E529" s="76">
        <v>1</v>
      </c>
      <c r="F529" s="60">
        <v>13</v>
      </c>
      <c r="G529" s="60">
        <v>13</v>
      </c>
      <c r="H529" s="60" t="s">
        <v>747</v>
      </c>
      <c r="I529" s="60" t="s">
        <v>876</v>
      </c>
      <c r="J529" s="60" t="s">
        <v>622</v>
      </c>
      <c r="K529" s="60">
        <f>IF(J529="syllables",1,IF(J529="trigrams",2,IF(J529="strings",3,IF(J529="visual array",4,IF(J529="characters",5,IF(J529="letters",6,IF(J529="free forms",7,IF(J529="odors",8,IF(J529="words",9,IF(J529="pictures",10,IF(J529="object pictures",11,IF(J529="faces",12,IF(J529="names",13,IF(J529="idioms",14,IF(J529="grades",15,IF(J529="syllable-digit pairs",16,IF(J529="trigram-word pairs",17,IF(J529="word-digit pairs",18,IF(J529="English-Swahili pairs",19,IF(J529="spatial position",20,IF(J529="word pairs",21,IF(J529="word triads",22,IF(J529="generated words",23,IF(J529="word definition pairs",24,IF(J529="math problems",25,IF(J529="famous faces",26,IF(J529="famous names",27,IF(J529="famous voices",28,IF(J529="television programs",29,IF(J529="race horses",30,IF(J529="new vocabulary",31,IF(J529="sentences",32,IF(J529="concepts",33,IF(J529="ad slides",34,IF(J529="scenes",35,IF(J529="famous scenes",36,IF(J529="poems",37,IF(J529="walk",38,IF(J529="faces and events",39,IF(J529="events and names",40,IF(J529="flashbulb",41,IF(J529="stories",42,IF(J529="course material",43,IF(J529="autobiographical",44,IF(J529="novels",45,IF(J529="public events",46,"99"))))))))))))))))))))))))))))))))))))))))))))))</f>
        <v>44</v>
      </c>
      <c r="L529" s="60">
        <f>IF(J529="syllables",1,IF(J529="trigrams",1,IF(J529="strings",1,IF(J529="visual array",1,IF(J529="characters",1,IF(J529="letters",1,IF(J529="free forms",1,IF(J529="odors",2,IF(J529="words",2,IF(J529="pictures",2,IF(J529="object pictures",2,IF(J529="faces",2,IF(J529="names",2,IF(J529="idioms","2",IF(J529="grades",2,IF(J529="syllable-digit pairs",3,IF(J529="trigram-word pairs",3,IF(J529="word-digit pairs",3,IF(J529="English-Swahili pairs",3,IF(J529="spatial position",3,IF(J529="word pairs",4,IF(J529="word triads",4,IF(J529="generated words",4,IF(J529="word definition pairs",4,IF(J529="math problems",4,IF(J529="famous faces",4,IF(J529="famous names",4,IF(J529="famous voices",4,IF(J529="television programs",4,IF(J529="race horses",4,IF(J529="new vocabulary",4,IF(J529="sentences",5,IF(J529="concepts",5,IF(J529="ad slides",5,IF(J529="scenes",5,IF(J529="famous scenes",5,IF(J529="poems",6,IF(J529="walk",6,IF(J529="faces and events",6,IF(J529="events and names",6,IF(J529="flashbulb",7,IF(J529="stories",7,IF(J529="course material",7,IF(J529="autobiographical",7,IF(J529="novels",7,IF(J529="public events",7,"99"))))))))))))))))))))))))))))))))))))))))))))))</f>
        <v>7</v>
      </c>
      <c r="M529" s="60">
        <v>0</v>
      </c>
      <c r="N529" s="61">
        <v>3</v>
      </c>
      <c r="O529" s="60">
        <v>0</v>
      </c>
      <c r="P529" s="60"/>
      <c r="Q529" s="60" t="s">
        <v>65</v>
      </c>
      <c r="R529" s="60">
        <f>IF(Q529="Free Recall",1,IF(Q529="Cued Recall",2,IF(Q529="Recognition",3,IF(Q529="Multiple Choice",4,IF(Q529="Savings",5,IF(Q529="Stem Completion",6,IF(Q529="Fragment Completion",7,IF(Q529="anagram solution",8,IF(Q529="Matching",9,IF(Q529="Problem Solving",10,"99"))))))))))</f>
        <v>2</v>
      </c>
      <c r="S529" s="60" t="s">
        <v>49</v>
      </c>
      <c r="T529" s="59" t="s">
        <v>581</v>
      </c>
      <c r="U529" s="60">
        <f>IF(T529="within",1,0)</f>
        <v>1</v>
      </c>
      <c r="V529" s="59">
        <v>12</v>
      </c>
      <c r="W529" s="60">
        <f>F529*V529</f>
        <v>156</v>
      </c>
      <c r="X529" s="60">
        <v>12</v>
      </c>
      <c r="Y529" s="76">
        <f>AV528</f>
        <v>604800</v>
      </c>
      <c r="Z529" s="60" t="s">
        <v>874</v>
      </c>
      <c r="AA529" s="60">
        <v>7430400</v>
      </c>
      <c r="AB529" s="60" t="str">
        <f>IF(AA529&lt;60,"1",IF(AA529&lt;=43200,"2",IF(AA529&lt;=777600,"3","4")))</f>
        <v>4</v>
      </c>
      <c r="AC529" s="56">
        <f>AVERAGE(AV528:DA528)</f>
        <v>3931200</v>
      </c>
      <c r="AD529" s="60" t="str">
        <f>IF(AC529&lt;60,"1",IF(AC529&lt;=43200,"2",IF(AC529&lt;=777600,"3","4")))</f>
        <v>4</v>
      </c>
      <c r="AE529" s="76">
        <f>AA529-Y529</f>
        <v>6825600</v>
      </c>
      <c r="AF529" s="80">
        <f>AV529</f>
        <v>0.78260869565217395</v>
      </c>
      <c r="AG529" s="56">
        <f>((AW529-AV529)+(AX529-AW529)+(AY529-AX529)+(AZ529-AY529)+(BA529-AZ529)+(BB529-BA529)+(BC529-BB529)+(BD529-BC529)+(BE529-BD529)+(BF529-BE529)+(BG529-BF529))/11</f>
        <v>-8.1478399556202744E-3</v>
      </c>
      <c r="AH529" s="4"/>
      <c r="AI529" s="56">
        <f>RSQ(AV529:BG529,AV528:BG528)</f>
        <v>0.34663886901856233</v>
      </c>
      <c r="AJ529" s="109">
        <f>SLOPE(AV529:BG529,AV528:BG528)</f>
        <v>-2.4119845796287912E-8</v>
      </c>
      <c r="AK529" s="56">
        <f>INTERCEPT(AV529:BG529,AV528:BG528)</f>
        <v>0.76647225716939948</v>
      </c>
      <c r="AL529" s="56">
        <f>INDEX(LINEST(LN(AV529:BG529),LN(AV528:BG528),TRUE,TRUE),3,1)</f>
        <v>0.3601881773186234</v>
      </c>
      <c r="AM529" s="56">
        <f>INDEX(LINEST(LN(AV529:BG529),LN(AV528:BG528)),1)</f>
        <v>-0.11060405425667763</v>
      </c>
      <c r="AN529" s="56">
        <f>EXP(INDEX(LINEST(LN(AV529:BG529),LN(AV528:BG528)),1,2))</f>
        <v>3.4904383821408378</v>
      </c>
      <c r="AO529" s="82">
        <f>INDEX(LINEST((AV529:BG529),LN(AV528:BG528),TRUE,TRUE),3,1)</f>
        <v>0.37836458348081475</v>
      </c>
      <c r="AP529" s="82">
        <f>INDEX(LINEST((AV529:BG529),LN(AV528:BG528)),1)</f>
        <v>-7.270205698464513E-2</v>
      </c>
      <c r="AQ529" s="83">
        <f>INDEX(LINEST(LN(AV529:BG529),SQRT(AV528:BG528),TRUE,TRUE),3,1)</f>
        <v>0.36124724816651749</v>
      </c>
      <c r="AR529" s="116">
        <f>INDEX(LINEST(LN(AV529:BG529),SQRT((AV528:BG528))),1)</f>
        <v>-1.3785773586220403E-4</v>
      </c>
      <c r="AS529" s="84">
        <f>INDEX(LINEST(1/(AV529:BG529),1/(SQRT(AV528:BG528)),TRUE,TRUE),3,1)</f>
        <v>0.30920287209037539</v>
      </c>
      <c r="AT529" s="84">
        <f>INDEX(LINEST(1/(AV529:BG529),1/SQRT(AV528:BG528)),1)</f>
        <v>-457.83107640208948</v>
      </c>
      <c r="AU529" s="3"/>
      <c r="AV529" s="53">
        <v>0.78260869565217395</v>
      </c>
      <c r="AW529" s="53">
        <v>0.77380952380952384</v>
      </c>
      <c r="AX529" s="53">
        <v>0.6785714285714286</v>
      </c>
      <c r="AY529" s="53">
        <v>0.66279069767441856</v>
      </c>
      <c r="AZ529" s="53">
        <v>0.75</v>
      </c>
      <c r="BA529" s="53">
        <v>0.63513513513513509</v>
      </c>
      <c r="BB529" s="53">
        <v>0.68478260869565222</v>
      </c>
      <c r="BC529" s="53">
        <v>0.56000000000000005</v>
      </c>
      <c r="BD529" s="53">
        <v>0.7558139534883721</v>
      </c>
      <c r="BE529" s="53">
        <v>0.58333333333333337</v>
      </c>
      <c r="BF529" s="53">
        <v>0.5</v>
      </c>
      <c r="BG529" s="53">
        <v>0.69298245614035092</v>
      </c>
      <c r="BH529" s="53"/>
      <c r="BI529" s="53"/>
      <c r="BJ529" s="53"/>
      <c r="BK529" s="53"/>
      <c r="BL529" s="53"/>
      <c r="BM529" s="53"/>
      <c r="BN529" s="53"/>
      <c r="BO529" s="53"/>
      <c r="BP529" s="53"/>
      <c r="BQ529" s="53"/>
      <c r="BR529" s="53"/>
      <c r="BS529" s="53"/>
      <c r="BT529" s="53"/>
      <c r="BU529" s="53"/>
      <c r="BV529" s="53"/>
      <c r="BW529" s="53"/>
      <c r="BX529" s="53"/>
      <c r="BY529" s="53"/>
      <c r="BZ529" s="53"/>
      <c r="CA529" s="53"/>
      <c r="CB529" s="53"/>
      <c r="CC529" s="53"/>
      <c r="CD529" s="53"/>
      <c r="CE529" s="53"/>
      <c r="CF529" s="53"/>
      <c r="CG529" s="53"/>
      <c r="CH529" s="53"/>
      <c r="CI529" s="53"/>
      <c r="CJ529" s="53"/>
      <c r="CK529" s="53"/>
      <c r="CL529" s="53"/>
      <c r="CM529" s="53"/>
      <c r="CN529" s="53"/>
      <c r="CO529" s="53"/>
      <c r="CP529" s="53"/>
      <c r="CQ529" s="53"/>
      <c r="CR529" s="53"/>
      <c r="CS529" s="53"/>
      <c r="CT529" s="53"/>
      <c r="CU529" s="53"/>
      <c r="CV529" s="136"/>
      <c r="CW529" s="136"/>
      <c r="CX529" s="136"/>
      <c r="CY529" s="136"/>
      <c r="CZ529" s="136"/>
      <c r="DA529" s="136"/>
      <c r="DB529" s="136"/>
      <c r="DC529" s="136"/>
      <c r="DD529" s="136"/>
      <c r="DE529" s="136"/>
      <c r="DF529" s="136"/>
      <c r="DG529" s="136"/>
      <c r="DH529" s="136"/>
      <c r="DI529" s="136"/>
      <c r="DJ529" s="136"/>
      <c r="DK529" s="136"/>
      <c r="DL529" s="136"/>
      <c r="DM529" s="136"/>
      <c r="DN529" s="136"/>
      <c r="DO529" s="136"/>
      <c r="DP529" s="136"/>
      <c r="DQ529" s="136"/>
      <c r="DR529" s="136"/>
      <c r="DS529" s="136"/>
      <c r="DT529" s="136"/>
      <c r="DU529" s="136"/>
      <c r="DV529" s="136"/>
      <c r="DW529" s="136"/>
      <c r="DX529" s="136"/>
      <c r="DY529" s="136"/>
      <c r="DZ529" s="136"/>
      <c r="EA529" s="136"/>
      <c r="EB529" s="136"/>
      <c r="EC529" s="136"/>
    </row>
    <row r="530" spans="1:133" s="13" customFormat="1" ht="12" customHeight="1" x14ac:dyDescent="0.2">
      <c r="A530" s="68">
        <v>43896</v>
      </c>
      <c r="B530" s="70"/>
      <c r="C530" s="70"/>
      <c r="D530" s="69"/>
      <c r="E530" s="87"/>
      <c r="F530" s="69"/>
      <c r="G530" s="69"/>
      <c r="H530" s="69"/>
      <c r="I530" s="69"/>
      <c r="J530" s="69"/>
      <c r="K530" s="86"/>
      <c r="L530" s="86"/>
      <c r="M530" s="69"/>
      <c r="N530" s="69"/>
      <c r="O530" s="69"/>
      <c r="P530" s="69"/>
      <c r="Q530" s="69"/>
      <c r="R530" s="69"/>
      <c r="S530" s="69"/>
      <c r="T530" s="69"/>
      <c r="U530" s="60"/>
      <c r="V530" s="69"/>
      <c r="W530" s="69"/>
      <c r="X530" s="69"/>
      <c r="Y530" s="87"/>
      <c r="Z530" s="69"/>
      <c r="AA530" s="69"/>
      <c r="AB530" s="69"/>
      <c r="AC530" s="72"/>
      <c r="AD530" s="69"/>
      <c r="AE530" s="69"/>
      <c r="AF530" s="88"/>
      <c r="AG530" s="72"/>
      <c r="AH530" s="4"/>
      <c r="AI530" s="72"/>
      <c r="AJ530" s="110"/>
      <c r="AK530" s="72"/>
      <c r="AL530" s="72"/>
      <c r="AM530" s="72"/>
      <c r="AN530" s="72"/>
      <c r="AO530" s="89"/>
      <c r="AP530" s="89"/>
      <c r="AQ530" s="90"/>
      <c r="AR530" s="117"/>
      <c r="AS530" s="91"/>
      <c r="AT530" s="91"/>
      <c r="AU530" s="3"/>
      <c r="AV530" s="71">
        <v>94608000</v>
      </c>
      <c r="AW530" s="71">
        <v>252288000</v>
      </c>
      <c r="AX530" s="71">
        <v>409968000</v>
      </c>
      <c r="AY530" s="71">
        <v>567648000</v>
      </c>
      <c r="AZ530" s="71">
        <v>725328000</v>
      </c>
      <c r="BA530" s="71">
        <v>883008000</v>
      </c>
      <c r="BB530" s="53"/>
      <c r="BC530" s="53"/>
      <c r="BD530" s="53"/>
      <c r="BE530" s="53"/>
      <c r="BF530" s="53"/>
      <c r="BG530" s="53"/>
      <c r="BH530" s="53"/>
      <c r="BI530" s="53"/>
      <c r="BJ530" s="53"/>
      <c r="BK530" s="53"/>
      <c r="BL530" s="53"/>
      <c r="BM530" s="53"/>
      <c r="BN530" s="53"/>
      <c r="BO530" s="53"/>
      <c r="BP530" s="53"/>
      <c r="BQ530" s="53"/>
      <c r="BR530" s="53"/>
      <c r="BS530" s="53"/>
      <c r="BT530" s="53"/>
      <c r="BU530" s="53"/>
      <c r="BV530" s="53"/>
      <c r="BW530" s="53"/>
      <c r="BX530" s="53"/>
      <c r="BY530" s="53"/>
      <c r="BZ530" s="53"/>
      <c r="CA530" s="53"/>
      <c r="CB530" s="53"/>
      <c r="CC530" s="53"/>
      <c r="CD530" s="53"/>
      <c r="CE530" s="53"/>
      <c r="CF530" s="53"/>
      <c r="CG530" s="53"/>
      <c r="CH530" s="53"/>
      <c r="CI530" s="53"/>
      <c r="CJ530" s="53"/>
      <c r="CK530" s="53"/>
      <c r="CL530" s="53"/>
      <c r="CM530" s="53"/>
      <c r="CN530" s="53"/>
      <c r="CO530" s="53"/>
      <c r="CP530" s="53"/>
      <c r="CQ530" s="53"/>
      <c r="CR530" s="1"/>
      <c r="CS530" s="1"/>
      <c r="CT530" s="1"/>
      <c r="CU530" s="1"/>
    </row>
    <row r="531" spans="1:133" s="13" customFormat="1" ht="12" customHeight="1" x14ac:dyDescent="0.2">
      <c r="A531" s="68">
        <v>43896</v>
      </c>
      <c r="B531" s="70" t="s">
        <v>369</v>
      </c>
      <c r="C531" s="70" t="s">
        <v>370</v>
      </c>
      <c r="D531" s="69">
        <v>1991</v>
      </c>
      <c r="E531" s="87">
        <v>1</v>
      </c>
      <c r="F531" s="69">
        <v>10</v>
      </c>
      <c r="G531" s="69">
        <v>10</v>
      </c>
      <c r="H531" s="69" t="s">
        <v>50</v>
      </c>
      <c r="I531" s="69" t="s">
        <v>330</v>
      </c>
      <c r="J531" s="69" t="s">
        <v>340</v>
      </c>
      <c r="K531" s="69">
        <f>IF(J531="syllables",1,IF(J531="trigrams",2,IF(J531="strings",3,IF(J531="visual array",4,IF(J531="characters",5,IF(J531="letters",6,IF(J531="free forms",7,IF(J531="odors",8,IF(J531="words",9,IF(J531="pictures",10,IF(J531="object pictures",11,IF(J531="faces",12,IF(J531="names",13,IF(J531="idioms",14,IF(J531="grades",15,IF(J531="syllable-digit pairs",16,IF(J531="trigram-word pairs",17,IF(J531="word-digit pairs",18,IF(J531="English-Swahili pairs",19,IF(J531="spatial position",20,IF(J531="word pairs",21,IF(J531="word triads",22,IF(J531="generated words",23,IF(J531="word definition pairs",24,IF(J531="math problems",25,IF(J531="famous faces",26,IF(J531="famous names",27,IF(J531="famous voices",28,IF(J531="television programs",29,IF(J531="race horses",30,IF(J531="new vocabulary",31,IF(J531="sentences",32,IF(J531="concepts",33,IF(J531="ad slides",34,IF(J531="scenes",35,IF(J531="famous scenes",36,IF(J531="poems",37,IF(J531="walk",38,IF(J531="faces and events",39,IF(J531="events and names",40,IF(J531="flashbulb",41,IF(J531="stories",42,IF(J531="course material",43,IF(J531="autobiographical",44,IF(J531="novels",45,IF(J531="public events",46,"99"))))))))))))))))))))))))))))))))))))))))))))))</f>
        <v>46</v>
      </c>
      <c r="L531" s="69">
        <f>IF(J531="syllables",1,IF(J531="trigrams",1,IF(J531="strings",1,IF(J531="visual array",1,IF(J531="characters",1,IF(J531="letters",1,IF(J531="free forms",1,IF(J531="odors",2,IF(J531="words",2,IF(J531="pictures",2,IF(J531="object pictures",2,IF(J531="faces",2,IF(J531="names",2,IF(J531="idioms","2",IF(J531="grades",2,IF(J531="syllable-digit pairs",3,IF(J531="trigram-word pairs",3,IF(J531="word-digit pairs",3,IF(J531="English-Swahili pairs",3,IF(J531="spatial position",3,IF(J531="word pairs",4,IF(J531="word triads",4,IF(J531="generated words",4,IF(J531="word definition pairs",4,IF(J531="math problems",4,IF(J531="famous faces",4,IF(J531="famous names",4,IF(J531="famous voices",4,IF(J531="television programs",4,IF(J531="race horses",4,IF(J531="new vocabulary",4,IF(J531="sentences",5,IF(J531="concepts",5,IF(J531="ad slides",5,IF(J531="scenes",5,IF(J531="famous scenes",5,IF(J531="poems",6,IF(J531="walk",6,IF(J531="faces and events",6,IF(J531="events and names",6,IF(J531="flashbulb",7,IF(J531="stories",7,IF(J531="course material",7,IF(J531="autobiographical",7,IF(J531="novels",7,IF(J531="public events",7,"99"))))))))))))))))))))))))))))))))))))))))))))))</f>
        <v>7</v>
      </c>
      <c r="M531" s="69">
        <v>1</v>
      </c>
      <c r="N531" s="69">
        <v>4</v>
      </c>
      <c r="O531" s="69">
        <v>0</v>
      </c>
      <c r="P531" s="69"/>
      <c r="Q531" s="69" t="s">
        <v>174</v>
      </c>
      <c r="R531" s="69">
        <f>IF(Q531="Free Recall",1,IF(Q531="Cued Recall",2,IF(Q531="Recognition",3,IF(Q531="Multiple Choice",4,IF(Q531="Savings",5,IF(Q531="Stem Completion",6,IF(Q531="Fragment Completion",7,IF(Q531="anagram solution",8,IF(Q531="Matching",9,IF(Q531="Problem Solving",10,"99"))))))))))</f>
        <v>1</v>
      </c>
      <c r="S531" s="69" t="s">
        <v>49</v>
      </c>
      <c r="T531" s="69" t="s">
        <v>581</v>
      </c>
      <c r="U531" s="60">
        <f>IF(T531="within",1,0)</f>
        <v>1</v>
      </c>
      <c r="V531" s="69">
        <v>40</v>
      </c>
      <c r="W531" s="69">
        <f>F531*V531</f>
        <v>400</v>
      </c>
      <c r="X531" s="69">
        <v>6</v>
      </c>
      <c r="Y531" s="87">
        <f>AV530</f>
        <v>94608000</v>
      </c>
      <c r="Z531" s="69" t="s">
        <v>435</v>
      </c>
      <c r="AA531" s="69">
        <f>28*365*24*60*60</f>
        <v>883008000</v>
      </c>
      <c r="AB531" s="69" t="str">
        <f>IF(AA531&lt;60,"1",IF(AA531&lt;=43200,"2",IF(AA531&lt;=777600,"3","4")))</f>
        <v>4</v>
      </c>
      <c r="AC531" s="72">
        <f>AVERAGE(AV530:DA530)</f>
        <v>488808000</v>
      </c>
      <c r="AD531" s="69" t="str">
        <f>IF(AC531&lt;60,"1",IF(AC531&lt;=43200,"2",IF(AC531&lt;=777600,"3","4")))</f>
        <v>4</v>
      </c>
      <c r="AE531" s="87">
        <f>AA531-Y531</f>
        <v>788400000</v>
      </c>
      <c r="AF531" s="88">
        <f>AV531</f>
        <v>0.88</v>
      </c>
      <c r="AG531" s="72">
        <f>((AW531-AV531)+(AX531-AW531)+(AY531-AX531)+(AZ531-AY531)+(BA531-AZ531))/5</f>
        <v>-8.0000000000000071E-3</v>
      </c>
      <c r="AH531" s="4"/>
      <c r="AI531" s="72">
        <f>RSQ(AV531:BA531,AV530:BA530)</f>
        <v>3.1120698107657593E-2</v>
      </c>
      <c r="AJ531" s="110">
        <f>SLOPE(AV531:BA531,AV530:BA530)</f>
        <v>-4.1675726607233436E-11</v>
      </c>
      <c r="AK531" s="72">
        <f>INTERCEPT(AV531:BA531,AV530:BA530)</f>
        <v>0.88870476190476189</v>
      </c>
      <c r="AL531" s="72">
        <f>INDEX(LINEST(LN(AV531:BA531),LN(AV530:BA530),TRUE,TRUE),3,1)</f>
        <v>4.4546804358807465E-2</v>
      </c>
      <c r="AM531" s="72">
        <f>INDEX(LINEST(LN(AV531:BA531),LN(AV530:BA530)),1)</f>
        <v>-2.0658322225105122E-2</v>
      </c>
      <c r="AN531" s="72">
        <f>EXP(INDEX(LINEST(LN(AV531:BA531),LN(AV530:BA530)),1,2))</f>
        <v>1.3031894230762004</v>
      </c>
      <c r="AO531" s="89">
        <f>INDEX(LINEST((AV531:BA531),LN(AV530:BA530),TRUE,TRUE),3,1)</f>
        <v>4.4644937210159295E-2</v>
      </c>
      <c r="AP531" s="89">
        <f>INDEX(LINEST((AV531:BA531),LN(AV530:BA530)),1)</f>
        <v>-1.7877517505267171E-2</v>
      </c>
      <c r="AQ531" s="90">
        <f>INDEX(LINEST(LN(AV531:BA531),SQRT(AV530:BA530),TRUE,TRUE),3,1)</f>
        <v>3.8231208649423913E-2</v>
      </c>
      <c r="AR531" s="117">
        <f>INDEX(LINEST(LN(AV531:BA531),SQRT((AV530:BA530))),1)</f>
        <v>-2.1335008409430641E-6</v>
      </c>
      <c r="AS531" s="91">
        <f>INDEX(LINEST(1/(AV531:BA531),1/(SQRT(AV530:BA530)),TRUE,TRUE),3,1)</f>
        <v>4.5438228262911093E-2</v>
      </c>
      <c r="AT531" s="91">
        <f>INDEX(LINEST(1/(AV531:BA531),1/SQRT(AV530:BA530)),1)</f>
        <v>-774.49304665941611</v>
      </c>
      <c r="AU531" s="3"/>
      <c r="AV531" s="73">
        <v>0.88</v>
      </c>
      <c r="AW531" s="73">
        <v>0.96</v>
      </c>
      <c r="AX531" s="73">
        <v>0.77</v>
      </c>
      <c r="AY531" s="73">
        <v>0.83</v>
      </c>
      <c r="AZ531" s="73">
        <v>0.93</v>
      </c>
      <c r="BA531" s="73">
        <v>0.84</v>
      </c>
      <c r="BB531" s="53"/>
      <c r="BC531" s="53"/>
      <c r="BD531" s="53"/>
      <c r="BE531" s="53"/>
      <c r="BF531" s="53"/>
      <c r="BG531" s="53"/>
      <c r="BH531" s="53"/>
      <c r="BI531" s="53"/>
      <c r="BJ531" s="53"/>
      <c r="BK531" s="53"/>
      <c r="BL531" s="53"/>
      <c r="BM531" s="53"/>
      <c r="BN531" s="53"/>
      <c r="BO531" s="53"/>
      <c r="BP531" s="53"/>
      <c r="BQ531" s="53"/>
      <c r="BR531" s="53"/>
      <c r="BS531" s="53"/>
      <c r="BT531" s="53"/>
      <c r="BU531" s="53"/>
      <c r="BV531" s="53"/>
      <c r="BW531" s="53"/>
      <c r="BX531" s="53"/>
      <c r="BY531" s="53"/>
      <c r="BZ531" s="53"/>
      <c r="CA531" s="53"/>
      <c r="CB531" s="53"/>
      <c r="CC531" s="53"/>
      <c r="CD531" s="53"/>
      <c r="CE531" s="53"/>
      <c r="CF531" s="53"/>
      <c r="CG531" s="53"/>
      <c r="CH531" s="53"/>
      <c r="CI531" s="53"/>
      <c r="CJ531" s="53"/>
      <c r="CK531" s="53"/>
      <c r="CL531" s="53"/>
      <c r="CM531" s="53"/>
      <c r="CN531" s="53"/>
      <c r="CO531" s="53"/>
      <c r="CP531" s="53"/>
      <c r="CQ531" s="53"/>
      <c r="CR531" s="1"/>
      <c r="CS531" s="1"/>
      <c r="CT531" s="1"/>
      <c r="CU531" s="1"/>
    </row>
    <row r="532" spans="1:133" s="13" customFormat="1" ht="12" customHeight="1" x14ac:dyDescent="0.2">
      <c r="A532" s="68">
        <v>43896</v>
      </c>
      <c r="B532" s="70"/>
      <c r="C532" s="70"/>
      <c r="D532" s="69"/>
      <c r="E532" s="87"/>
      <c r="F532" s="69"/>
      <c r="G532" s="69"/>
      <c r="H532" s="69"/>
      <c r="I532" s="69"/>
      <c r="J532" s="69"/>
      <c r="K532" s="86"/>
      <c r="L532" s="86"/>
      <c r="M532" s="69"/>
      <c r="N532" s="69"/>
      <c r="O532" s="69"/>
      <c r="P532" s="69"/>
      <c r="Q532" s="69"/>
      <c r="R532" s="69"/>
      <c r="S532" s="69"/>
      <c r="T532" s="69"/>
      <c r="U532" s="60"/>
      <c r="V532" s="69"/>
      <c r="W532" s="69"/>
      <c r="X532" s="69"/>
      <c r="Y532" s="87"/>
      <c r="Z532" s="92"/>
      <c r="AA532" s="92"/>
      <c r="AB532" s="69"/>
      <c r="AC532" s="72"/>
      <c r="AD532" s="69"/>
      <c r="AE532" s="69"/>
      <c r="AF532" s="88"/>
      <c r="AG532" s="72"/>
      <c r="AH532" s="4"/>
      <c r="AI532" s="72"/>
      <c r="AJ532" s="110"/>
      <c r="AK532" s="72"/>
      <c r="AL532" s="72"/>
      <c r="AM532" s="72"/>
      <c r="AN532" s="72"/>
      <c r="AO532" s="89"/>
      <c r="AP532" s="89"/>
      <c r="AQ532" s="90"/>
      <c r="AR532" s="117"/>
      <c r="AS532" s="91"/>
      <c r="AT532" s="91"/>
      <c r="AU532" s="3"/>
      <c r="AV532" s="71">
        <v>157680000</v>
      </c>
      <c r="AW532" s="71">
        <v>473040000</v>
      </c>
      <c r="AX532" s="71">
        <v>788400000</v>
      </c>
      <c r="AY532" s="71">
        <v>1103760000</v>
      </c>
      <c r="AZ532" s="71">
        <v>1419120000</v>
      </c>
      <c r="BA532" s="73"/>
      <c r="BB532" s="53"/>
      <c r="BC532" s="53"/>
      <c r="BD532" s="53"/>
      <c r="BE532" s="53"/>
      <c r="BF532" s="53"/>
      <c r="BG532" s="53"/>
      <c r="BH532" s="53"/>
      <c r="BI532" s="53"/>
      <c r="BJ532" s="53"/>
      <c r="BK532" s="53"/>
      <c r="BL532" s="53"/>
      <c r="BM532" s="53"/>
      <c r="BN532" s="53"/>
      <c r="BO532" s="53"/>
      <c r="BP532" s="53"/>
      <c r="BQ532" s="53"/>
      <c r="BR532" s="53"/>
      <c r="BS532" s="53"/>
      <c r="BT532" s="53"/>
      <c r="BU532" s="53"/>
      <c r="BV532" s="53"/>
      <c r="BW532" s="53"/>
      <c r="BX532" s="53"/>
      <c r="BY532" s="53"/>
      <c r="BZ532" s="53"/>
      <c r="CA532" s="53"/>
      <c r="CB532" s="53"/>
      <c r="CC532" s="53"/>
      <c r="CD532" s="53"/>
      <c r="CE532" s="53"/>
      <c r="CF532" s="53"/>
      <c r="CG532" s="53"/>
      <c r="CH532" s="53"/>
      <c r="CI532" s="53"/>
      <c r="CJ532" s="53"/>
      <c r="CK532" s="53"/>
      <c r="CL532" s="53"/>
      <c r="CM532" s="53"/>
      <c r="CN532" s="53"/>
      <c r="CO532" s="53"/>
      <c r="CP532" s="53"/>
      <c r="CQ532" s="53"/>
      <c r="CR532" s="1"/>
      <c r="CS532" s="1"/>
      <c r="CT532" s="1"/>
      <c r="CU532" s="1"/>
    </row>
    <row r="533" spans="1:133" s="13" customFormat="1" ht="12" customHeight="1" x14ac:dyDescent="0.2">
      <c r="A533" s="68">
        <v>43896</v>
      </c>
      <c r="B533" s="70" t="s">
        <v>369</v>
      </c>
      <c r="C533" s="70" t="s">
        <v>370</v>
      </c>
      <c r="D533" s="69">
        <v>1991</v>
      </c>
      <c r="E533" s="87">
        <v>1</v>
      </c>
      <c r="F533" s="69">
        <v>7</v>
      </c>
      <c r="G533" s="69">
        <v>7</v>
      </c>
      <c r="H533" s="69" t="s">
        <v>50</v>
      </c>
      <c r="I533" s="69" t="s">
        <v>330</v>
      </c>
      <c r="J533" s="69" t="s">
        <v>342</v>
      </c>
      <c r="K533" s="69">
        <f>IF(J533="syllables",1,IF(J533="trigrams",2,IF(J533="strings",3,IF(J533="visual array",4,IF(J533="characters",5,IF(J533="letters",6,IF(J533="free forms",7,IF(J533="odors",8,IF(J533="words",9,IF(J533="pictures",10,IF(J533="object pictures",11,IF(J533="faces",12,IF(J533="names",13,IF(J533="idioms",14,IF(J533="grades",15,IF(J533="syllable-digit pairs",16,IF(J533="trigram-word pairs",17,IF(J533="word-digit pairs",18,IF(J533="English-Swahili pairs",19,IF(J533="spatial position",20,IF(J533="word pairs",21,IF(J533="word triads",22,IF(J533="generated words",23,IF(J533="word definition pairs",24,IF(J533="math problems",25,IF(J533="famous faces",26,IF(J533="famous names",27,IF(J533="famous voices",28,IF(J533="television programs",29,IF(J533="race horses",30,IF(J533="new vocabulary",31,IF(J533="sentences",32,IF(J533="concepts",33,IF(J533="ad slides",34,IF(J533="scenes",35,IF(J533="famous scenes",36,IF(J533="poems",37,IF(J533="walk",38,IF(J533="faces and events",39,IF(J533="events and names",40,IF(J533="flashbulb",41,IF(J533="stories",42,IF(J533="course material",43,IF(J533="autobiographical",44,IF(J533="novels",45,IF(J533="public events",46,"99"))))))))))))))))))))))))))))))))))))))))))))))</f>
        <v>26</v>
      </c>
      <c r="L533" s="69">
        <f>IF(J533="syllables",1,IF(J533="trigrams",1,IF(J533="strings",1,IF(J533="visual array",1,IF(J533="characters",1,IF(J533="letters",1,IF(J533="free forms",1,IF(J533="odors",2,IF(J533="words",2,IF(J533="pictures",2,IF(J533="object pictures",2,IF(J533="faces",2,IF(J533="names",2,IF(J533="idioms","2",IF(J533="grades",2,IF(J533="syllable-digit pairs",3,IF(J533="trigram-word pairs",3,IF(J533="word-digit pairs",3,IF(J533="English-Swahili pairs",3,IF(J533="spatial position",3,IF(J533="word pairs",4,IF(J533="word triads",4,IF(J533="generated words",4,IF(J533="word definition pairs",4,IF(J533="math problems",4,IF(J533="famous faces",4,IF(J533="famous names",4,IF(J533="famous voices",4,IF(J533="television programs",4,IF(J533="race horses",4,IF(J533="new vocabulary",4,IF(J533="sentences",5,IF(J533="concepts",5,IF(J533="ad slides",5,IF(J533="scenes",5,IF(J533="famous scenes",5,IF(J533="poems",6,IF(J533="walk",6,IF(J533="faces and events",6,IF(J533="events and names",6,IF(J533="flashbulb",7,IF(J533="stories",7,IF(J533="course material",7,IF(J533="autobiographical",7,IF(J533="novels",7,IF(J533="public events",7,"99"))))))))))))))))))))))))))))))))))))))))))))))</f>
        <v>4</v>
      </c>
      <c r="M533" s="69">
        <v>1</v>
      </c>
      <c r="N533" s="86">
        <v>2</v>
      </c>
      <c r="O533" s="69">
        <v>0</v>
      </c>
      <c r="P533" s="69"/>
      <c r="Q533" s="69" t="s">
        <v>174</v>
      </c>
      <c r="R533" s="69">
        <f>IF(Q533="Free Recall",1,IF(Q533="Cued Recall",2,IF(Q533="Recognition",3,IF(Q533="Multiple Choice",4,IF(Q533="Savings",5,IF(Q533="Stem Completion",6,IF(Q533="Fragment Completion",7,IF(Q533="anagram solution",8,IF(Q533="Matching",9,IF(Q533="Problem Solving",10,"99"))))))))))</f>
        <v>1</v>
      </c>
      <c r="S533" s="69" t="s">
        <v>49</v>
      </c>
      <c r="T533" s="69" t="s">
        <v>581</v>
      </c>
      <c r="U533" s="60">
        <f>IF(T533="within",1,0)</f>
        <v>1</v>
      </c>
      <c r="V533" s="69">
        <v>30</v>
      </c>
      <c r="W533" s="69">
        <f>F533*V533</f>
        <v>210</v>
      </c>
      <c r="X533" s="69">
        <v>5</v>
      </c>
      <c r="Y533" s="87">
        <f>AV532</f>
        <v>157680000</v>
      </c>
      <c r="Z533" s="69" t="s">
        <v>373</v>
      </c>
      <c r="AA533" s="69">
        <f>45*365*24*60*60</f>
        <v>1419120000</v>
      </c>
      <c r="AB533" s="69" t="str">
        <f>IF(AA533&lt;60,"1",IF(AA533&lt;=43200,"2",IF(AA533&lt;=777600,"3","4")))</f>
        <v>4</v>
      </c>
      <c r="AC533" s="72">
        <f>AVERAGE(AV532:DA532)</f>
        <v>788400000</v>
      </c>
      <c r="AD533" s="69" t="str">
        <f>IF(AC533&lt;60,"1",IF(AC533&lt;=43200,"2",IF(AC533&lt;=777600,"3","4")))</f>
        <v>4</v>
      </c>
      <c r="AE533" s="87">
        <f>AA533-Y533</f>
        <v>1261440000</v>
      </c>
      <c r="AF533" s="88">
        <f>AV533</f>
        <v>0.89473684210526316</v>
      </c>
      <c r="AG533" s="72">
        <f>((AW533-AV533)+(AX533-AW533)+(AY533-AX533)+(AZ533-AY533))/4</f>
        <v>-0.10054988216810684</v>
      </c>
      <c r="AH533" s="4"/>
      <c r="AI533" s="72">
        <f>RSQ(AV533:AZ533,AV532:AZ532)</f>
        <v>0.78754355140561672</v>
      </c>
      <c r="AJ533" s="110">
        <f>SLOPE(AV533:AZ533,AV532:AZ532)</f>
        <v>-2.8771570072788015E-10</v>
      </c>
      <c r="AK533" s="72">
        <f>INTERCEPT(AV533:AZ533,AV532:AZ532)</f>
        <v>0.95319317969109174</v>
      </c>
      <c r="AL533" s="72">
        <f>INDEX(LINEST(LN(AV533:AZ533),LN(AV532:AZ532),TRUE,TRUE),3,1)</f>
        <v>0.59834608095752873</v>
      </c>
      <c r="AM533" s="72">
        <f>INDEX(LINEST(LN(AV533:AZ533),LN(AV532:AZ532)),1)</f>
        <v>-0.21340489568808363</v>
      </c>
      <c r="AN533" s="72">
        <f>EXP(INDEX(LINEST(LN(AV533:AZ533),LN(AV532:AZ532)),1,2))</f>
        <v>53.467699805639043</v>
      </c>
      <c r="AO533" s="89">
        <f>INDEX(LINEST((AV533:AZ533),LN(AV532:AZ532),TRUE,TRUE),3,1)</f>
        <v>0.63264335495738466</v>
      </c>
      <c r="AP533" s="89">
        <f>INDEX(LINEST((AV533:AZ533),LN(AV532:AZ532)),1)</f>
        <v>-0.14788764994511075</v>
      </c>
      <c r="AQ533" s="90">
        <f>INDEX(LINEST(LN(AV533:AZ533),SQRT(AV532:AZ532),TRUE,TRUE),3,1)</f>
        <v>0.69923128073759711</v>
      </c>
      <c r="AR533" s="117">
        <f>INDEX(LINEST(LN(AV533:AZ533),SQRT((AV532:AZ532))),1)</f>
        <v>-2.0330908119004071E-5</v>
      </c>
      <c r="AS533" s="91">
        <f>INDEX(LINEST(1/(AV533:AZ533),1/(SQRT(AV532:AZ532)),TRUE,TRUE),3,1)</f>
        <v>0.45360514245465838</v>
      </c>
      <c r="AT533" s="91">
        <f>INDEX(LINEST(1/(AV533:AZ533),1/SQRT(AV532:AZ532)),1)</f>
        <v>-11560.502434010989</v>
      </c>
      <c r="AU533" s="3"/>
      <c r="AV533" s="73">
        <v>0.89473684210526316</v>
      </c>
      <c r="AW533" s="73">
        <v>0.75</v>
      </c>
      <c r="AX533" s="73">
        <v>0.84745762711864414</v>
      </c>
      <c r="AY533" s="73">
        <v>0.6470588235294118</v>
      </c>
      <c r="AZ533" s="73">
        <v>0.4925373134328358</v>
      </c>
      <c r="BA533" s="73"/>
      <c r="BB533" s="53"/>
      <c r="BC533" s="53"/>
      <c r="BD533" s="53"/>
      <c r="BE533" s="53"/>
      <c r="BF533" s="53"/>
      <c r="BG533" s="53"/>
      <c r="BH533" s="53"/>
      <c r="BI533" s="53"/>
      <c r="BJ533" s="53"/>
      <c r="BK533" s="53"/>
      <c r="BL533" s="53"/>
      <c r="BM533" s="53"/>
      <c r="BN533" s="53"/>
      <c r="BO533" s="53"/>
      <c r="BP533" s="53"/>
      <c r="BQ533" s="53"/>
      <c r="BR533" s="53"/>
      <c r="BS533" s="53"/>
      <c r="BT533" s="53"/>
      <c r="BU533" s="53"/>
      <c r="BV533" s="53"/>
      <c r="BW533" s="53"/>
      <c r="BX533" s="53"/>
      <c r="BY533" s="53"/>
      <c r="BZ533" s="53"/>
      <c r="CA533" s="53"/>
      <c r="CB533" s="53"/>
      <c r="CC533" s="53"/>
      <c r="CD533" s="53"/>
      <c r="CE533" s="53"/>
      <c r="CF533" s="53"/>
      <c r="CG533" s="53"/>
      <c r="CH533" s="53"/>
      <c r="CI533" s="53"/>
      <c r="CJ533" s="53"/>
      <c r="CK533" s="53"/>
      <c r="CL533" s="53"/>
      <c r="CM533" s="53"/>
      <c r="CN533" s="53"/>
      <c r="CO533" s="53"/>
      <c r="CP533" s="53"/>
      <c r="CQ533" s="53"/>
      <c r="CR533" s="1"/>
      <c r="CS533" s="1"/>
      <c r="CT533" s="1"/>
      <c r="CU533" s="1"/>
    </row>
    <row r="534" spans="1:133" s="13" customFormat="1" ht="12" customHeight="1" x14ac:dyDescent="0.2">
      <c r="A534" s="65">
        <v>43896</v>
      </c>
      <c r="B534" s="1"/>
      <c r="C534" s="1"/>
      <c r="D534" s="60"/>
      <c r="E534" s="76"/>
      <c r="F534" s="60"/>
      <c r="G534" s="60"/>
      <c r="H534" s="60"/>
      <c r="I534" s="60"/>
      <c r="J534" s="60"/>
      <c r="K534" s="64"/>
      <c r="L534" s="64"/>
      <c r="M534" s="60"/>
      <c r="N534" s="60"/>
      <c r="O534" s="60"/>
      <c r="P534" s="60"/>
      <c r="Q534" s="60"/>
      <c r="R534" s="60"/>
      <c r="S534" s="60"/>
      <c r="T534" s="59"/>
      <c r="U534" s="60"/>
      <c r="V534" s="59"/>
      <c r="W534" s="60"/>
      <c r="X534" s="60"/>
      <c r="Y534" s="76"/>
      <c r="Z534" s="59"/>
      <c r="AA534" s="59"/>
      <c r="AB534" s="60"/>
      <c r="AC534" s="56"/>
      <c r="AD534" s="60"/>
      <c r="AE534" s="60"/>
      <c r="AF534" s="80"/>
      <c r="AG534" s="56"/>
      <c r="AH534" s="4"/>
      <c r="AI534" s="56"/>
      <c r="AJ534" s="109"/>
      <c r="AK534" s="56"/>
      <c r="AL534" s="56"/>
      <c r="AM534" s="56"/>
      <c r="AN534" s="56"/>
      <c r="AO534" s="82"/>
      <c r="AP534" s="82"/>
      <c r="AQ534" s="83"/>
      <c r="AR534" s="116"/>
      <c r="AS534" s="84"/>
      <c r="AT534" s="84"/>
      <c r="AU534" s="3"/>
      <c r="AV534" s="25">
        <v>315360000</v>
      </c>
      <c r="AW534" s="25">
        <v>630720000</v>
      </c>
      <c r="AX534" s="25">
        <v>646080000</v>
      </c>
      <c r="AY534" s="25">
        <v>12614400000</v>
      </c>
      <c r="AZ534" s="25">
        <v>1576800000</v>
      </c>
      <c r="BA534" s="53"/>
      <c r="BB534" s="53"/>
      <c r="BC534" s="53"/>
      <c r="BD534" s="53"/>
      <c r="BE534" s="53"/>
      <c r="BF534" s="53"/>
      <c r="BG534" s="53"/>
      <c r="BH534" s="53"/>
      <c r="BI534" s="53"/>
      <c r="BJ534" s="53"/>
      <c r="BK534" s="53"/>
      <c r="BL534" s="53"/>
      <c r="BM534" s="53"/>
      <c r="BN534" s="53"/>
      <c r="BO534" s="53"/>
      <c r="BP534" s="53"/>
      <c r="BQ534" s="53"/>
      <c r="BR534" s="53"/>
      <c r="BS534" s="53"/>
      <c r="BT534" s="53"/>
      <c r="BU534" s="53"/>
      <c r="BV534" s="53"/>
      <c r="BW534" s="53"/>
      <c r="BX534" s="53"/>
      <c r="BY534" s="53"/>
      <c r="BZ534" s="53"/>
      <c r="CA534" s="53"/>
      <c r="CB534" s="53"/>
      <c r="CC534" s="53"/>
      <c r="CD534" s="53"/>
      <c r="CE534" s="53"/>
      <c r="CF534" s="53"/>
      <c r="CG534" s="53"/>
      <c r="CH534" s="53"/>
      <c r="CI534" s="53"/>
      <c r="CJ534" s="53"/>
      <c r="CK534" s="53"/>
      <c r="CL534" s="53"/>
      <c r="CM534" s="53"/>
      <c r="CN534" s="53"/>
      <c r="CO534" s="53"/>
      <c r="CP534" s="53"/>
      <c r="CQ534" s="53"/>
      <c r="CR534" s="1"/>
      <c r="CS534" s="1"/>
      <c r="CT534" s="1"/>
      <c r="CU534" s="1"/>
    </row>
    <row r="535" spans="1:133" s="13" customFormat="1" ht="12" customHeight="1" x14ac:dyDescent="0.2">
      <c r="A535" s="65">
        <v>43896</v>
      </c>
      <c r="B535" s="1" t="s">
        <v>371</v>
      </c>
      <c r="C535" s="1" t="s">
        <v>372</v>
      </c>
      <c r="D535" s="60">
        <v>1990</v>
      </c>
      <c r="E535" s="76">
        <v>1</v>
      </c>
      <c r="F535" s="60">
        <v>20</v>
      </c>
      <c r="G535" s="60">
        <v>20</v>
      </c>
      <c r="H535" s="60" t="s">
        <v>50</v>
      </c>
      <c r="I535" s="60" t="s">
        <v>330</v>
      </c>
      <c r="J535" s="60" t="s">
        <v>342</v>
      </c>
      <c r="K535" s="60">
        <f>IF(J535="syllables",1,IF(J535="trigrams",2,IF(J535="strings",3,IF(J535="visual array",4,IF(J535="characters",5,IF(J535="letters",6,IF(J535="free forms",7,IF(J535="odors",8,IF(J535="words",9,IF(J535="pictures",10,IF(J535="object pictures",11,IF(J535="faces",12,IF(J535="names",13,IF(J535="idioms",14,IF(J535="grades",15,IF(J535="syllable-digit pairs",16,IF(J535="trigram-word pairs",17,IF(J535="word-digit pairs",18,IF(J535="English-Swahili pairs",19,IF(J535="spatial position",20,IF(J535="word pairs",21,IF(J535="word triads",22,IF(J535="generated words",23,IF(J535="word definition pairs",24,IF(J535="math problems",25,IF(J535="famous faces",26,IF(J535="famous names",27,IF(J535="famous voices",28,IF(J535="television programs",29,IF(J535="race horses",30,IF(J535="new vocabulary",31,IF(J535="sentences",32,IF(J535="concepts",33,IF(J535="ad slides",34,IF(J535="scenes",35,IF(J535="famous scenes",36,IF(J535="poems",37,IF(J535="walk",38,IF(J535="faces and events",39,IF(J535="events and names",40,IF(J535="flashbulb",41,IF(J535="stories",42,IF(J535="course material",43,IF(J535="autobiographical",44,IF(J535="novels",45,IF(J535="public events",46,"99"))))))))))))))))))))))))))))))))))))))))))))))</f>
        <v>26</v>
      </c>
      <c r="L535" s="60">
        <f>IF(J535="syllables",1,IF(J535="trigrams",1,IF(J535="strings",1,IF(J535="visual array",1,IF(J535="characters",1,IF(J535="letters",1,IF(J535="free forms",1,IF(J535="odors",2,IF(J535="words",2,IF(J535="pictures",2,IF(J535="object pictures",2,IF(J535="faces",2,IF(J535="names",2,IF(J535="idioms","2",IF(J535="grades",2,IF(J535="syllable-digit pairs",3,IF(J535="trigram-word pairs",3,IF(J535="word-digit pairs",3,IF(J535="English-Swahili pairs",3,IF(J535="spatial position",3,IF(J535="word pairs",4,IF(J535="word triads",4,IF(J535="generated words",4,IF(J535="word definition pairs",4,IF(J535="math problems",4,IF(J535="famous faces",4,IF(J535="famous names",4,IF(J535="famous voices",4,IF(J535="television programs",4,IF(J535="race horses",4,IF(J535="new vocabulary",4,IF(J535="sentences",5,IF(J535="concepts",5,IF(J535="ad slides",5,IF(J535="scenes",5,IF(J535="famous scenes",5,IF(J535="poems",6,IF(J535="walk",6,IF(J535="faces and events",6,IF(J535="events and names",6,IF(J535="flashbulb",7,IF(J535="stories",7,IF(J535="course material",7,IF(J535="autobiographical",7,IF(J535="novels",7,IF(J535="public events",7,"99"))))))))))))))))))))))))))))))))))))))))))))))</f>
        <v>4</v>
      </c>
      <c r="M535" s="60">
        <v>1</v>
      </c>
      <c r="N535" s="61">
        <v>2</v>
      </c>
      <c r="O535" s="60">
        <v>0</v>
      </c>
      <c r="P535" s="60"/>
      <c r="Q535" s="60" t="s">
        <v>174</v>
      </c>
      <c r="R535" s="60">
        <f>IF(Q535="Free Recall",1,IF(Q535="Cued Recall",2,IF(Q535="Recognition",3,IF(Q535="Multiple Choice",4,IF(Q535="Savings",5,IF(Q535="Stem Completion",6,IF(Q535="Fragment Completion",7,IF(Q535="anagram solution",8,IF(Q535="Matching",9,IF(Q535="Problem Solving",10,"99"))))))))))</f>
        <v>1</v>
      </c>
      <c r="S535" s="60" t="s">
        <v>49</v>
      </c>
      <c r="T535" s="59" t="s">
        <v>581</v>
      </c>
      <c r="U535" s="60">
        <f>IF(T535="within",1,0)</f>
        <v>1</v>
      </c>
      <c r="V535" s="59">
        <v>30</v>
      </c>
      <c r="W535" s="60">
        <f>F535*V535</f>
        <v>600</v>
      </c>
      <c r="X535" s="60">
        <v>5</v>
      </c>
      <c r="Y535" s="76">
        <f>AV534</f>
        <v>315360000</v>
      </c>
      <c r="Z535" s="60" t="s">
        <v>209</v>
      </c>
      <c r="AA535" s="60">
        <f>50*365*24*60*60</f>
        <v>1576800000</v>
      </c>
      <c r="AB535" s="60" t="str">
        <f>IF(AA535&lt;60,"1",IF(AA535&lt;=43200,"2",IF(AA535&lt;=777600,"3","4")))</f>
        <v>4</v>
      </c>
      <c r="AC535" s="56">
        <f>AVERAGE(AV534:DA534)</f>
        <v>3156672000</v>
      </c>
      <c r="AD535" s="60" t="str">
        <f>IF(AC535&lt;60,"1",IF(AC535&lt;=43200,"2",IF(AC535&lt;=777600,"3","4")))</f>
        <v>4</v>
      </c>
      <c r="AE535" s="76">
        <f>AA535-Y535</f>
        <v>1261440000</v>
      </c>
      <c r="AF535" s="80">
        <f>AV535</f>
        <v>0.78947368421052633</v>
      </c>
      <c r="AG535" s="56">
        <f>((AW535-AV535)+(AX535-AW535)+(AY535-AX535)+(AZ535-AY535))/4</f>
        <v>-3.9140572951365776E-2</v>
      </c>
      <c r="AH535" s="4"/>
      <c r="AI535" s="56">
        <f>RSQ(AV535:AZ535,AV534:AZ534)</f>
        <v>3.5383586516101913E-3</v>
      </c>
      <c r="AJ535" s="109">
        <f>SLOPE(AV535:AZ535,AV534:AZ534)</f>
        <v>-6.9602508795215246E-13</v>
      </c>
      <c r="AK535" s="56">
        <f>INTERCEPT(AV535:AZ535,AV534:AZ534)</f>
        <v>0.74050555585407507</v>
      </c>
      <c r="AL535" s="56">
        <f>INDEX(LINEST(LN(AV535:AZ535),LN(AV534:AZ534),TRUE,TRUE),3,1)</f>
        <v>0.10555851332660079</v>
      </c>
      <c r="AM535" s="56">
        <f>INDEX(LINEST(LN(AV535:AZ535),LN(AV534:AZ534)),1)</f>
        <v>-2.0033701517740796E-2</v>
      </c>
      <c r="AN535" s="56">
        <f>EXP(INDEX(LINEST(LN(AV535:AZ535),LN(AV534:AZ534)),1,2))</f>
        <v>1.119087171038847</v>
      </c>
      <c r="AO535" s="82">
        <f>INDEX(LINEST((AV535:AZ535),LN(AV534:AZ534),TRUE,TRUE),3,1)</f>
        <v>0.11754028142521085</v>
      </c>
      <c r="AP535" s="82">
        <f>INDEX(LINEST((AV535:AZ535),LN(AV534:AZ534)),1)</f>
        <v>-1.4879708346781968E-2</v>
      </c>
      <c r="AQ535" s="83">
        <f>INDEX(LINEST(LN(AV535:AZ535),SQRT(AV534:AZ534),TRUE,TRUE),3,1)</f>
        <v>2.2803507306179319E-2</v>
      </c>
      <c r="AR535" s="116">
        <f>INDEX(LINEST(LN(AV535:AZ535),SQRT((AV534:AZ534))),1)</f>
        <v>-3.4190244306306381E-7</v>
      </c>
      <c r="AS535" s="84">
        <f>INDEX(LINEST(1/(AV535:AZ535),1/(SQRT(AV534:AZ534)),TRUE,TRUE),3,1)</f>
        <v>0.22918346623810526</v>
      </c>
      <c r="AT535" s="84">
        <f>INDEX(LINEST(1/(AV535:AZ535),1/SQRT(AV534:AZ534)),1)</f>
        <v>-3386.1318692370305</v>
      </c>
      <c r="AU535" s="3"/>
      <c r="AV535" s="53">
        <v>0.78947368421052633</v>
      </c>
      <c r="AW535" s="53">
        <v>0.75000000000000011</v>
      </c>
      <c r="AX535" s="53">
        <v>0.77777777777777768</v>
      </c>
      <c r="AY535" s="53">
        <v>0.74137931034482762</v>
      </c>
      <c r="AZ535" s="53">
        <v>0.63291139240506322</v>
      </c>
      <c r="BA535" s="53"/>
      <c r="BB535" s="53"/>
      <c r="BC535" s="53"/>
      <c r="BD535" s="53"/>
      <c r="BE535" s="53"/>
      <c r="BF535" s="53"/>
      <c r="BG535" s="53"/>
      <c r="BH535" s="53"/>
      <c r="BI535" s="53"/>
      <c r="BJ535" s="53"/>
      <c r="BK535" s="53"/>
      <c r="BL535" s="53"/>
      <c r="BM535" s="53"/>
      <c r="BN535" s="53"/>
      <c r="BO535" s="53"/>
      <c r="BP535" s="53"/>
      <c r="BQ535" s="53"/>
      <c r="BR535" s="53"/>
      <c r="BS535" s="53"/>
      <c r="BT535" s="53"/>
      <c r="BU535" s="53"/>
      <c r="BV535" s="53"/>
      <c r="BW535" s="53"/>
      <c r="BX535" s="53"/>
      <c r="BY535" s="53"/>
      <c r="BZ535" s="53"/>
      <c r="CA535" s="53"/>
      <c r="CB535" s="53"/>
      <c r="CC535" s="53"/>
      <c r="CD535" s="53"/>
      <c r="CE535" s="53"/>
      <c r="CF535" s="53"/>
      <c r="CG535" s="53"/>
      <c r="CH535" s="53"/>
      <c r="CI535" s="53"/>
      <c r="CJ535" s="53"/>
      <c r="CK535" s="53"/>
      <c r="CL535" s="53"/>
      <c r="CM535" s="53"/>
      <c r="CN535" s="53"/>
      <c r="CO535" s="53"/>
      <c r="CP535" s="53"/>
      <c r="CQ535" s="53"/>
      <c r="CR535" s="1"/>
      <c r="CS535" s="1"/>
      <c r="CT535" s="1"/>
      <c r="CU535" s="1"/>
    </row>
    <row r="536" spans="1:133" s="19" customFormat="1" ht="12" customHeight="1" x14ac:dyDescent="0.2">
      <c r="A536" s="65">
        <v>43509</v>
      </c>
      <c r="B536" s="17"/>
      <c r="C536" s="17"/>
      <c r="D536" s="62"/>
      <c r="E536" s="78"/>
      <c r="F536" s="62"/>
      <c r="G536" s="62"/>
      <c r="H536" s="62"/>
      <c r="I536" s="62"/>
      <c r="J536" s="62"/>
      <c r="K536" s="64"/>
      <c r="L536" s="64"/>
      <c r="M536" s="62"/>
      <c r="N536" s="62"/>
      <c r="O536" s="62"/>
      <c r="P536" s="62"/>
      <c r="Q536" s="62"/>
      <c r="R536" s="60"/>
      <c r="S536" s="62"/>
      <c r="T536" s="62"/>
      <c r="U536" s="60"/>
      <c r="V536" s="62"/>
      <c r="W536" s="60"/>
      <c r="X536" s="62"/>
      <c r="Y536" s="76"/>
      <c r="Z536" s="62"/>
      <c r="AA536" s="62"/>
      <c r="AB536" s="60"/>
      <c r="AC536" s="60"/>
      <c r="AD536" s="60"/>
      <c r="AE536" s="60"/>
      <c r="AF536" s="80"/>
      <c r="AG536" s="56"/>
      <c r="AH536" s="4"/>
      <c r="AI536" s="85"/>
      <c r="AJ536" s="112"/>
      <c r="AK536" s="85"/>
      <c r="AL536" s="85"/>
      <c r="AM536" s="85"/>
      <c r="AN536" s="85"/>
      <c r="AO536" s="85"/>
      <c r="AP536" s="85"/>
      <c r="AQ536" s="85"/>
      <c r="AR536" s="112"/>
      <c r="AS536" s="85"/>
      <c r="AT536" s="85"/>
      <c r="AU536" s="4"/>
      <c r="AV536" s="137">
        <v>30</v>
      </c>
      <c r="AW536" s="137">
        <f>5*60</f>
        <v>300</v>
      </c>
      <c r="AX536" s="137">
        <f>20*60</f>
        <v>1200</v>
      </c>
      <c r="AY536" s="137">
        <f>60*60</f>
        <v>3600</v>
      </c>
      <c r="AZ536" s="137">
        <f>8*60*60</f>
        <v>28800</v>
      </c>
      <c r="BA536" s="137">
        <f>24*60*60</f>
        <v>86400</v>
      </c>
      <c r="BB536" s="137">
        <f>2*24*60*60</f>
        <v>172800</v>
      </c>
      <c r="BC536" s="137">
        <f>6*24*60*60</f>
        <v>518400</v>
      </c>
      <c r="BD536" s="137">
        <f>14*24*60*60</f>
        <v>1209600</v>
      </c>
      <c r="BE536" s="137">
        <f>21*24*60*60</f>
        <v>1814400</v>
      </c>
      <c r="BF536" s="137">
        <f>30*24*60*60</f>
        <v>2592000</v>
      </c>
      <c r="BG536" s="137">
        <f>120*24*60*60</f>
        <v>10368000</v>
      </c>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7"/>
      <c r="CS536" s="17"/>
      <c r="CT536" s="17"/>
      <c r="CU536" s="17"/>
    </row>
    <row r="537" spans="1:133" s="19" customFormat="1" ht="12" customHeight="1" x14ac:dyDescent="0.2">
      <c r="A537" s="65">
        <v>43509</v>
      </c>
      <c r="B537" s="17" t="s">
        <v>190</v>
      </c>
      <c r="C537" s="17" t="s">
        <v>191</v>
      </c>
      <c r="D537" s="62">
        <v>1907</v>
      </c>
      <c r="E537" s="78"/>
      <c r="F537" s="62">
        <v>18</v>
      </c>
      <c r="G537" s="62">
        <v>18</v>
      </c>
      <c r="H537" s="62" t="s">
        <v>754</v>
      </c>
      <c r="I537" s="62"/>
      <c r="J537" s="62" t="s">
        <v>281</v>
      </c>
      <c r="K537" s="60">
        <f>IF(J537="syllables",1,IF(J537="trigrams",2,IF(J537="strings",3,IF(J537="visual array",4,IF(J537="characters",5,IF(J537="letters",6,IF(J537="free forms",7,IF(J537="odors",8,IF(J537="words",9,IF(J537="pictures",10,IF(J537="object pictures",11,IF(J537="faces",12,IF(J537="names",13,IF(J537="idioms",14,IF(J537="grades",15,IF(J537="syllable-digit pairs",16,IF(J537="trigram-word pairs",17,IF(J537="word-digit pairs",18,IF(J537="English-Swahili pairs",19,IF(J537="spatial position",20,IF(J537="word pairs",21,IF(J537="word triads",22,IF(J537="generated words",23,IF(J537="word definition pairs",24,IF(J537="math problems",25,IF(J537="famous faces",26,IF(J537="famous names",27,IF(J537="famous voices",28,IF(J537="television programs",29,IF(J537="race horses",30,IF(J537="new vocabulary",31,IF(J537="sentences",32,IF(J537="concepts",33,IF(J537="ad slides",34,IF(J537="scenes",35,IF(J537="famous scenes",36,IF(J537="poems",37,IF(J537="walk",38,IF(J537="faces and events",39,IF(J537="events and names",40,IF(J537="flashbulb",41,IF(J537="stories",42,IF(J537="course material",43,IF(J537="autobiographical",44,IF(J537="novels",45,IF(J537="public events",46,"99"))))))))))))))))))))))))))))))))))))))))))))))</f>
        <v>1</v>
      </c>
      <c r="L537" s="60">
        <f>IF(J537="syllables",1,IF(J537="trigrams",1,IF(J537="strings",1,IF(J537="visual array",1,IF(J537="characters",1,IF(J537="letters",1,IF(J537="free forms",1,IF(J537="odors",2,IF(J537="words",2,IF(J537="pictures",2,IF(J537="object pictures",2,IF(J537="faces",2,IF(J537="names",2,IF(J537="idioms","2",IF(J537="grades",2,IF(J537="syllable-digit pairs",3,IF(J537="trigram-word pairs",3,IF(J537="word-digit pairs",3,IF(J537="English-Swahili pairs",3,IF(J537="spatial position",3,IF(J537="word pairs",4,IF(J537="word triads",4,IF(J537="generated words",4,IF(J537="word definition pairs",4,IF(J537="math problems",4,IF(J537="famous faces",4,IF(J537="famous names",4,IF(J537="famous voices",4,IF(J537="television programs",4,IF(J537="race horses",4,IF(J537="new vocabulary",4,IF(J537="sentences",5,IF(J537="concepts",5,IF(J537="ad slides",5,IF(J537="scenes",5,IF(J537="famous scenes",5,IF(J537="poems",6,IF(J537="walk",6,IF(J537="faces and events",6,IF(J537="events and names",6,IF(J537="flashbulb",7,IF(J537="stories",7,IF(J537="course material",7,IF(J537="autobiographical",7,IF(J537="novels",7,IF(J537="public events",7,"99"))))))))))))))))))))))))))))))))))))))))))))))</f>
        <v>1</v>
      </c>
      <c r="M537" s="62">
        <v>1</v>
      </c>
      <c r="N537" s="62">
        <v>1</v>
      </c>
      <c r="O537" s="62">
        <v>0</v>
      </c>
      <c r="P537" s="62"/>
      <c r="Q537" s="62" t="s">
        <v>87</v>
      </c>
      <c r="R537" s="60">
        <f>IF(Q537="Free Recall",1,IF(Q537="Cued Recall",2,IF(Q537="Recognition",3,IF(Q537="Multiple Choice",4,IF(Q537="Savings",5,IF(Q537="Stem Completion",6,IF(Q537="Fragment Completion",7,IF(Q537="anagram solution",8,IF(Q537="Matching",9,IF(Q537="Problem Solving",10,"99"))))))))))</f>
        <v>5</v>
      </c>
      <c r="S537" s="62" t="s">
        <v>99</v>
      </c>
      <c r="T537" s="59" t="s">
        <v>581</v>
      </c>
      <c r="U537" s="60">
        <f>IF(T537="within",1,0)</f>
        <v>1</v>
      </c>
      <c r="V537" s="59">
        <v>132</v>
      </c>
      <c r="W537" s="60">
        <f>F537*V537</f>
        <v>2376</v>
      </c>
      <c r="X537" s="62">
        <v>12</v>
      </c>
      <c r="Y537" s="76">
        <f>AV536</f>
        <v>30</v>
      </c>
      <c r="Z537" s="62" t="s">
        <v>179</v>
      </c>
      <c r="AA537" s="78">
        <f>120*24*60*60</f>
        <v>10368000</v>
      </c>
      <c r="AB537" s="60" t="str">
        <f>IF(AA537&lt;60,"1",IF(AA537&lt;=43200,"2",IF(AA537&lt;=777600,"3","4")))</f>
        <v>4</v>
      </c>
      <c r="AC537" s="56">
        <f>AVERAGE(AV536:DA536)</f>
        <v>1399627.5</v>
      </c>
      <c r="AD537" s="60" t="str">
        <f>IF(AC537&lt;60,"1",IF(AC537&lt;=43200,"2",IF(AC537&lt;=777600,"3","4")))</f>
        <v>4</v>
      </c>
      <c r="AE537" s="76">
        <f>AA537-Y537</f>
        <v>10367970</v>
      </c>
      <c r="AF537" s="80">
        <f>AV537</f>
        <v>1</v>
      </c>
      <c r="AG537" s="56">
        <f>((AW537-AV537)+(AX537-AW537)+(AY537-AX537)+(AZ537-AY537)+(BA537-AZ537)+(BB537-BA537)+(BC537-BB537)+(BD537-BC537)+(BE537-BD537)+(BF537-BE537)+(BG537-BF537))/11</f>
        <v>-8.8363636363636366E-2</v>
      </c>
      <c r="AH537" s="4"/>
      <c r="AI537" s="56">
        <f>RSQ(AV537:BG537,AV536:BG536)</f>
        <v>0.53998915512795886</v>
      </c>
      <c r="AJ537" s="109">
        <f>SLOPE(AV537:BG537,AV536:BG536)</f>
        <v>-7.4714165027755701E-8</v>
      </c>
      <c r="AK537" s="56">
        <f>INTERCEPT(AV537:BG537,AV536:BG536)</f>
        <v>0.67548866667905183</v>
      </c>
      <c r="AL537" s="56">
        <f>INDEX(LINEST(LN(AV537:BG537),LN(AV536:BG536),TRUE,TRUE),3,1)</f>
        <v>0.53754507993514233</v>
      </c>
      <c r="AM537" s="56">
        <f>INDEX(LINEST(LN(AV537:BG537),LN(AV536:BG536)),1)</f>
        <v>-0.17930958726966884</v>
      </c>
      <c r="AN537" s="56">
        <f>EXP(INDEX(LINEST(LN(AV537:BG537),LN(AV536:BG536)),1,2))</f>
        <v>3.0953342065135714</v>
      </c>
      <c r="AO537" s="82">
        <f>INDEX(LINEST((AV537:BG537),LN(AV536:BG536),TRUE,TRUE),3,1)</f>
        <v>0.87312248918521063</v>
      </c>
      <c r="AP537" s="82">
        <f>INDEX(LINEST((AV537:BG537),LN(AV536:BG536)),1)</f>
        <v>-6.9942192684847068E-2</v>
      </c>
      <c r="AQ537" s="83">
        <f>INDEX(LINEST(LN(AV537:BG537),SQRT(AV536:BG536),TRUE,TRUE),3,1)</f>
        <v>0.93540932344351368</v>
      </c>
      <c r="AR537" s="116">
        <f>INDEX(LINEST(LN(AV537:BG537),SQRT((AV536:BG536))),1)</f>
        <v>-9.9156205187925987E-4</v>
      </c>
      <c r="AS537" s="84">
        <f>INDEX(LINEST(1/(AV537:BG537),1/(SQRT(AV536:BG536)),TRUE,TRUE),3,1)</f>
        <v>3.8266474121413228E-2</v>
      </c>
      <c r="AT537" s="84">
        <f>INDEX(LINEST(1/(AV537:BG537),1/SQRT(AV536:BG536)),1)</f>
        <v>-36.538800599225745</v>
      </c>
      <c r="AU537" s="3"/>
      <c r="AV537" s="18">
        <v>1</v>
      </c>
      <c r="AW537" s="18">
        <f>1-0.025</f>
        <v>0.97499999999999998</v>
      </c>
      <c r="AX537" s="18">
        <f>1-0.114</f>
        <v>0.88600000000000001</v>
      </c>
      <c r="AY537" s="18">
        <f>1-0.293</f>
        <v>0.70700000000000007</v>
      </c>
      <c r="AZ537" s="18">
        <f>1-0.526</f>
        <v>0.47399999999999998</v>
      </c>
      <c r="BA537" s="18">
        <f>1-0.311</f>
        <v>0.68900000000000006</v>
      </c>
      <c r="BB537" s="18">
        <f>1-0.391</f>
        <v>0.60899999999999999</v>
      </c>
      <c r="BC537" s="18">
        <f>1-0.507</f>
        <v>0.49299999999999999</v>
      </c>
      <c r="BD537" s="18">
        <f>1-0.59</f>
        <v>0.41000000000000003</v>
      </c>
      <c r="BE537" s="18">
        <f>1-0.622</f>
        <v>0.378</v>
      </c>
      <c r="BF537" s="18">
        <f>1-0.798</f>
        <v>0.20199999999999996</v>
      </c>
      <c r="BG537" s="18">
        <f>1-0.972</f>
        <v>2.8000000000000025E-2</v>
      </c>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7"/>
      <c r="CS537" s="17"/>
      <c r="CT537" s="17"/>
      <c r="CU537" s="17"/>
    </row>
    <row r="538" spans="1:133" s="19" customFormat="1" ht="12" customHeight="1" x14ac:dyDescent="0.2">
      <c r="A538" s="65">
        <v>43912</v>
      </c>
      <c r="B538" s="17"/>
      <c r="C538" s="17"/>
      <c r="D538" s="62"/>
      <c r="E538" s="78"/>
      <c r="F538" s="62"/>
      <c r="G538" s="62"/>
      <c r="H538" s="62"/>
      <c r="I538" s="62"/>
      <c r="J538" s="62"/>
      <c r="K538" s="64"/>
      <c r="L538" s="64"/>
      <c r="M538" s="62"/>
      <c r="N538" s="62"/>
      <c r="O538" s="62"/>
      <c r="P538" s="62"/>
      <c r="Q538" s="62"/>
      <c r="R538" s="60"/>
      <c r="S538" s="62"/>
      <c r="T538" s="62"/>
      <c r="U538" s="60"/>
      <c r="V538" s="62"/>
      <c r="W538" s="60"/>
      <c r="X538" s="62"/>
      <c r="Y538" s="76"/>
      <c r="Z538" s="62"/>
      <c r="AA538" s="62"/>
      <c r="AB538" s="60"/>
      <c r="AC538" s="60"/>
      <c r="AD538" s="60"/>
      <c r="AE538" s="60"/>
      <c r="AF538" s="80"/>
      <c r="AG538" s="56"/>
      <c r="AH538" s="4"/>
      <c r="AI538" s="85"/>
      <c r="AJ538" s="112"/>
      <c r="AK538" s="85"/>
      <c r="AL538" s="85"/>
      <c r="AM538" s="85"/>
      <c r="AN538" s="85"/>
      <c r="AO538" s="85"/>
      <c r="AP538" s="85"/>
      <c r="AQ538" s="85"/>
      <c r="AR538" s="112"/>
      <c r="AS538" s="85"/>
      <c r="AT538" s="85"/>
      <c r="AU538" s="4"/>
      <c r="AV538" s="137">
        <v>30</v>
      </c>
      <c r="AW538" s="137">
        <f>20*60</f>
        <v>1200</v>
      </c>
      <c r="AX538" s="137">
        <f>60*60</f>
        <v>3600</v>
      </c>
      <c r="AY538" s="137">
        <f>8*60*60</f>
        <v>28800</v>
      </c>
      <c r="AZ538" s="137">
        <f>24*60*60</f>
        <v>86400</v>
      </c>
      <c r="BA538" s="137">
        <f>2*24*60*60</f>
        <v>172800</v>
      </c>
      <c r="BB538" s="137">
        <f>3*24*60*60</f>
        <v>259200</v>
      </c>
      <c r="BC538" s="137">
        <f>4*24*60*60</f>
        <v>345600</v>
      </c>
      <c r="BD538" s="137">
        <f>5*24*60*60</f>
        <v>432000</v>
      </c>
      <c r="BE538" s="137">
        <f>6*24*60*60</f>
        <v>518400</v>
      </c>
      <c r="BF538" s="137">
        <f>7*24*60*60</f>
        <v>604800</v>
      </c>
      <c r="BG538" s="137">
        <f>14*24*60*60</f>
        <v>1209600</v>
      </c>
      <c r="BH538" s="137">
        <f>21*24*60*60</f>
        <v>1814400</v>
      </c>
      <c r="BI538" s="137">
        <f>30*24*60*60</f>
        <v>2592000</v>
      </c>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7"/>
      <c r="CS538" s="17"/>
      <c r="CT538" s="17"/>
      <c r="CU538" s="17"/>
    </row>
    <row r="539" spans="1:133" s="19" customFormat="1" ht="12" customHeight="1" x14ac:dyDescent="0.2">
      <c r="A539" s="65">
        <v>43912</v>
      </c>
      <c r="B539" s="17" t="s">
        <v>190</v>
      </c>
      <c r="C539" s="17" t="s">
        <v>191</v>
      </c>
      <c r="D539" s="62">
        <v>1907</v>
      </c>
      <c r="E539" s="78"/>
      <c r="F539" s="62">
        <v>18</v>
      </c>
      <c r="G539" s="62">
        <v>18</v>
      </c>
      <c r="H539" s="62" t="s">
        <v>755</v>
      </c>
      <c r="I539" s="62"/>
      <c r="J539" s="62" t="s">
        <v>677</v>
      </c>
      <c r="K539" s="60">
        <f>IF(J539="syllables",1,IF(J539="trigrams",2,IF(J539="strings",3,IF(J539="visual array",4,IF(J539="characters",5,IF(J539="letters",6,IF(J539="free forms",7,IF(J539="odors",8,IF(J539="words",9,IF(J539="pictures",10,IF(J539="object pictures",11,IF(J539="faces",12,IF(J539="names",13,IF(J539="idioms",14,IF(J539="grades",15,IF(J539="syllable-digit pairs",16,IF(J539="trigram-word pairs",17,IF(J539="word-digit pairs",18,IF(J539="English-Swahili pairs",19,IF(J539="spatial position",20,IF(J539="word pairs",21,IF(J539="word triads",22,IF(J539="generated words",23,IF(J539="word definition pairs",24,IF(J539="math problems",25,IF(J539="famous faces",26,IF(J539="famous names",27,IF(J539="famous voices",28,IF(J539="television programs",29,IF(J539="race horses",30,IF(J539="new vocabulary",31,IF(J539="sentences",32,IF(J539="concepts",33,IF(J539="ad slides",34,IF(J539="scenes",35,IF(J539="famous scenes",36,IF(J539="poems",37,IF(J539="walk",38,IF(J539="faces and events",39,IF(J539="events and names",40,IF(J539="flashbulb",41,IF(J539="stories",42,IF(J539="course material",43,IF(J539="autobiographical",44,IF(J539="novels",45,IF(J539="public events",46,"99"))))))))))))))))))))))))))))))))))))))))))))))</f>
        <v>42</v>
      </c>
      <c r="L539" s="60">
        <f>IF(J539="syllables",1,IF(J539="trigrams",1,IF(J539="strings",1,IF(J539="visual array",1,IF(J539="characters",1,IF(J539="letters",1,IF(J539="free forms",1,IF(J539="odors",2,IF(J539="words",2,IF(J539="pictures",2,IF(J539="object pictures",2,IF(J539="faces",2,IF(J539="names",2,IF(J539="idioms","2",IF(J539="grades",2,IF(J539="syllable-digit pairs",3,IF(J539="trigram-word pairs",3,IF(J539="word-digit pairs",3,IF(J539="English-Swahili pairs",3,IF(J539="spatial position",3,IF(J539="word pairs",4,IF(J539="word triads",4,IF(J539="generated words",4,IF(J539="word definition pairs",4,IF(J539="math problems",4,IF(J539="famous faces",4,IF(J539="famous names",4,IF(J539="famous voices",4,IF(J539="television programs",4,IF(J539="race horses",4,IF(J539="new vocabulary",4,IF(J539="sentences",5,IF(J539="concepts",5,IF(J539="ad slides",5,IF(J539="scenes",5,IF(J539="famous scenes",5,IF(J539="poems",6,IF(J539="walk",6,IF(J539="faces and events",6,IF(J539="events and names",6,IF(J539="flashbulb",7,IF(J539="stories",7,IF(J539="course material",7,IF(J539="autobiographical",7,IF(J539="novels",7,IF(J539="public events",7,"99"))))))))))))))))))))))))))))))))))))))))))))))</f>
        <v>7</v>
      </c>
      <c r="M539" s="62">
        <v>1</v>
      </c>
      <c r="N539" s="62">
        <v>3</v>
      </c>
      <c r="O539" s="62">
        <v>0</v>
      </c>
      <c r="P539" s="62"/>
      <c r="Q539" s="62" t="s">
        <v>87</v>
      </c>
      <c r="R539" s="60">
        <f>IF(Q539="Free Recall",1,IF(Q539="Cued Recall",2,IF(Q539="Recognition",3,IF(Q539="Multiple Choice",4,IF(Q539="Savings",5,IF(Q539="Stem Completion",6,IF(Q539="Fragment Completion",7,IF(Q539="anagram solution",8,IF(Q539="Matching",9,IF(Q539="Problem Solving",10,"99"))))))))))</f>
        <v>5</v>
      </c>
      <c r="S539" s="62" t="s">
        <v>99</v>
      </c>
      <c r="T539" s="59" t="s">
        <v>581</v>
      </c>
      <c r="U539" s="60">
        <f>IF(T539="within",1,0)</f>
        <v>1</v>
      </c>
      <c r="V539" s="59">
        <v>132</v>
      </c>
      <c r="W539" s="60">
        <f>F539*V539</f>
        <v>2376</v>
      </c>
      <c r="X539" s="62">
        <v>14</v>
      </c>
      <c r="Y539" s="76">
        <f>AV538</f>
        <v>30</v>
      </c>
      <c r="Z539" s="62" t="s">
        <v>185</v>
      </c>
      <c r="AA539" s="78">
        <f>30*24*60*60</f>
        <v>2592000</v>
      </c>
      <c r="AB539" s="60" t="str">
        <f>IF(AA539&lt;60,"1",IF(AA539&lt;=43200,"2",IF(AA539&lt;=777600,"3","4")))</f>
        <v>4</v>
      </c>
      <c r="AC539" s="56">
        <f>AVERAGE(AV538:DA538)</f>
        <v>576345</v>
      </c>
      <c r="AD539" s="60" t="str">
        <f>IF(AC539&lt;60,"1",IF(AC539&lt;=43200,"2",IF(AC539&lt;=777600,"3","4")))</f>
        <v>3</v>
      </c>
      <c r="AE539" s="76">
        <f>AA539-Y539</f>
        <v>2591970</v>
      </c>
      <c r="AF539" s="80">
        <f>AV539</f>
        <v>1</v>
      </c>
      <c r="AG539" s="56">
        <f>((AW539-AV539)+(AX539-AW539)+(AY539-AX539)+(AZ539-AY539)+(BA539-AZ539)+(BB539-BA539)+(BC539-BB539)+(BD539-BC539)+(BE539-BD539)+(BF539-BE539)+(BG539-BF539)+(BH539-BG539)+(BI539-BH539))/13</f>
        <v>-5.8538461538461539E-2</v>
      </c>
      <c r="AH539" s="4"/>
      <c r="AI539" s="56">
        <f>RSQ(AV539:BI539,AV538:BI538)</f>
        <v>0.55957144339909293</v>
      </c>
      <c r="AJ539" s="109">
        <f>SLOPE(AV539:BI539,AV538:BI538)</f>
        <v>-2.1494989473687514E-7</v>
      </c>
      <c r="AK539" s="56">
        <f>INTERCEPT(AV539:BI539,AV538:BI538)</f>
        <v>0.72417101136783857</v>
      </c>
      <c r="AL539" s="56" cm="1">
        <f t="array" ref="AL539">INDEX(LINEST(LN(AV539:BI539),LN(AV538:BI538),TRUE,TRUE),3,1)</f>
        <v>0.65616176743180732</v>
      </c>
      <c r="AM539" s="56" cm="1">
        <f t="array" ref="AM539">_xlfn.SINGLE(INDEX(LINEST(LN(AV539:BI539),LN(AV538:BI538)),1))</f>
        <v>-0.10212579563002942</v>
      </c>
      <c r="AN539" s="56" cm="1">
        <f t="array" ref="AN539">EXP(INDEX(LINEST(LN(AV539:BI539),LN(AV538:BI538)),1,2))</f>
        <v>1.7998411266496612</v>
      </c>
      <c r="AO539" s="82" cm="1">
        <f t="array" ref="AO539">INDEX(LINEST((AV539:BI539),LN(AV538:BI538),TRUE,TRUE),3,1)</f>
        <v>0.79567437159459786</v>
      </c>
      <c r="AP539" s="82" cm="1">
        <f t="array" ref="AP539">_xlfn.SINGLE(INDEX(LINEST((AV539:BI539),LN(AV538:BI538)),1))</f>
        <v>-6.2123139761289518E-2</v>
      </c>
      <c r="AQ539" s="83" cm="1">
        <f t="array" ref="AQ539">INDEX(LINEST(LN(AV539:BI539),SQRT(AV538:BI538),TRUE,TRUE),3,1)</f>
        <v>0.80932217832985442</v>
      </c>
      <c r="AR539" s="116" cm="1">
        <f t="array" ref="AR539">_xlfn.SINGLE(INDEX(LINEST(LN(AV539:BI539),SQRT((AV538:BI538))),1))</f>
        <v>-7.3822700359478478E-4</v>
      </c>
      <c r="AS539" s="84" cm="1">
        <f t="array" ref="AS539">INDEX(LINEST(1/(AV539:BI539),1/(SQRT(AV538:BI538)),TRUE,TRUE),3,1)</f>
        <v>0.14581641244332327</v>
      </c>
      <c r="AT539" s="84" cm="1">
        <f t="array" ref="AT539">_xlfn.SINGLE(INDEX(LINEST(1/(AV539:BI539),1/SQRT(AV538:BI538)),1))</f>
        <v>-6.9996605514066381</v>
      </c>
      <c r="AU539" s="3"/>
      <c r="AV539" s="18">
        <v>1</v>
      </c>
      <c r="AW539" s="18">
        <f>1-0.039</f>
        <v>0.96099999999999997</v>
      </c>
      <c r="AX539" s="18">
        <f>1-0.217</f>
        <v>0.78300000000000003</v>
      </c>
      <c r="AY539" s="18">
        <f>1-0.419</f>
        <v>0.58099999999999996</v>
      </c>
      <c r="AZ539" s="18">
        <f>1-0.203</f>
        <v>0.79699999999999993</v>
      </c>
      <c r="BA539" s="18">
        <f>1-0.332</f>
        <v>0.66799999999999993</v>
      </c>
      <c r="BB539" s="18">
        <f>1-0.435</f>
        <v>0.56499999999999995</v>
      </c>
      <c r="BC539" s="18">
        <f>1-0.455</f>
        <v>0.54499999999999993</v>
      </c>
      <c r="BD539" s="18">
        <f>1-0.435</f>
        <v>0.56499999999999995</v>
      </c>
      <c r="BE539" s="18">
        <f>1-0.576</f>
        <v>0.42400000000000004</v>
      </c>
      <c r="BF539" s="18">
        <f>1-0.5</f>
        <v>0.5</v>
      </c>
      <c r="BG539" s="18">
        <f>1-0.7</f>
        <v>0.30000000000000004</v>
      </c>
      <c r="BH539" s="18">
        <f>1-0.524</f>
        <v>0.47599999999999998</v>
      </c>
      <c r="BI539" s="18">
        <f>1-0.761</f>
        <v>0.23899999999999999</v>
      </c>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7"/>
      <c r="CS539" s="17"/>
      <c r="CT539" s="17"/>
      <c r="CU539" s="17"/>
    </row>
    <row r="540" spans="1:133" s="19" customFormat="1" ht="12" customHeight="1" x14ac:dyDescent="0.2">
      <c r="A540" s="68">
        <v>43509</v>
      </c>
      <c r="B540" s="100"/>
      <c r="C540" s="100"/>
      <c r="D540" s="99"/>
      <c r="E540" s="106"/>
      <c r="F540" s="99"/>
      <c r="G540" s="99"/>
      <c r="H540" s="99"/>
      <c r="I540" s="99"/>
      <c r="J540" s="99"/>
      <c r="K540" s="107"/>
      <c r="L540" s="107"/>
      <c r="M540" s="99"/>
      <c r="N540" s="99"/>
      <c r="O540" s="99"/>
      <c r="P540" s="99"/>
      <c r="Q540" s="99"/>
      <c r="R540" s="69"/>
      <c r="S540" s="99"/>
      <c r="T540" s="99"/>
      <c r="U540" s="60"/>
      <c r="V540" s="99"/>
      <c r="W540" s="69"/>
      <c r="X540" s="99"/>
      <c r="Y540" s="87"/>
      <c r="Z540" s="99"/>
      <c r="AA540" s="99"/>
      <c r="AB540" s="69"/>
      <c r="AC540" s="69"/>
      <c r="AD540" s="69"/>
      <c r="AE540" s="69"/>
      <c r="AF540" s="88"/>
      <c r="AG540" s="72"/>
      <c r="AH540" s="4"/>
      <c r="AI540" s="123"/>
      <c r="AJ540" s="124"/>
      <c r="AK540" s="123"/>
      <c r="AL540" s="123"/>
      <c r="AM540" s="123"/>
      <c r="AN540" s="123"/>
      <c r="AO540" s="123"/>
      <c r="AP540" s="123"/>
      <c r="AQ540" s="72"/>
      <c r="AR540" s="110"/>
      <c r="AS540" s="72"/>
      <c r="AT540" s="72"/>
      <c r="AU540" s="4"/>
      <c r="AV540" s="71">
        <f>60</f>
        <v>60</v>
      </c>
      <c r="AW540" s="71">
        <f>3600</f>
        <v>3600</v>
      </c>
      <c r="AX540" s="71">
        <f>24*3600</f>
        <v>86400</v>
      </c>
      <c r="AY540" s="71">
        <f>7*24*3600</f>
        <v>604800</v>
      </c>
      <c r="AZ540" s="71">
        <f>14*24*3600</f>
        <v>1209600</v>
      </c>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7"/>
      <c r="CS540" s="17"/>
      <c r="CT540" s="17"/>
      <c r="CU540" s="17"/>
    </row>
    <row r="541" spans="1:133" s="19" customFormat="1" ht="12" customHeight="1" x14ac:dyDescent="0.2">
      <c r="A541" s="68">
        <v>43509</v>
      </c>
      <c r="B541" s="100" t="s">
        <v>161</v>
      </c>
      <c r="C541" s="100" t="s">
        <v>75</v>
      </c>
      <c r="D541" s="99">
        <v>2017</v>
      </c>
      <c r="E541" s="106">
        <v>1</v>
      </c>
      <c r="F541" s="99">
        <v>200</v>
      </c>
      <c r="G541" s="99">
        <v>40</v>
      </c>
      <c r="H541" s="99" t="s">
        <v>17</v>
      </c>
      <c r="I541" s="99"/>
      <c r="J541" s="99" t="s">
        <v>475</v>
      </c>
      <c r="K541" s="69">
        <f>IF(J541="syllables",1,IF(J541="trigrams",2,IF(J541="strings",3,IF(J541="visual array",4,IF(J541="characters",5,IF(J541="letters",6,IF(J541="free forms",7,IF(J541="odors",8,IF(J541="words",9,IF(J541="pictures",10,IF(J541="object pictures",11,IF(J541="faces",12,IF(J541="names",13,IF(J541="idioms",14,IF(J541="grades",15,IF(J541="syllable-digit pairs",16,IF(J541="trigram-word pairs",17,IF(J541="word-digit pairs",18,IF(J541="English-Swahili pairs",19,IF(J541="spatial position",20,IF(J541="word pairs",21,IF(J541="word triads",22,IF(J541="generated words",23,IF(J541="word definition pairs",24,IF(J541="math problems",25,IF(J541="famous faces",26,IF(J541="famous names",27,IF(J541="famous voices",28,IF(J541="television programs",29,IF(J541="race horses",30,IF(J541="new vocabulary",31,IF(J541="sentences",32,IF(J541="concepts",33,IF(J541="ad slides",34,IF(J541="scenes",35,IF(J541="famous scenes",36,IF(J541="poems",37,IF(J541="walk",38,IF(J541="faces and events",39,IF(J541="events and names",40,IF(J541="flashbulb",41,IF(J541="stories",42,IF(J541="course material",43,IF(J541="autobiographical",44,IF(J541="novels",45,IF(J541="public events",46,"99"))))))))))))))))))))))))))))))))))))))))))))))</f>
        <v>32</v>
      </c>
      <c r="L541" s="69">
        <f>IF(J541="syllables",1,IF(J541="trigrams",1,IF(J541="strings",1,IF(J541="visual array",1,IF(J541="characters",1,IF(J541="letters",1,IF(J541="free forms",1,IF(J541="odors",2,IF(J541="words",2,IF(J541="pictures",2,IF(J541="object pictures",2,IF(J541="faces",2,IF(J541="names",2,IF(J541="idioms","2",IF(J541="grades",2,IF(J541="syllable-digit pairs",3,IF(J541="trigram-word pairs",3,IF(J541="word-digit pairs",3,IF(J541="English-Swahili pairs",3,IF(J541="spatial position",3,IF(J541="word pairs",4,IF(J541="word triads",4,IF(J541="generated words",4,IF(J541="word definition pairs",4,IF(J541="math problems",4,IF(J541="famous faces",4,IF(J541="famous names",4,IF(J541="famous voices",4,IF(J541="television programs",4,IF(J541="race horses",4,IF(J541="new vocabulary",4,IF(J541="sentences",5,IF(J541="concepts",5,IF(J541="ad slides",5,IF(J541="scenes",5,IF(J541="famous scenes",5,IF(J541="poems",6,IF(J541="walk",6,IF(J541="faces and events",6,IF(J541="events and names",6,IF(J541="flashbulb",7,IF(J541="stories",7,IF(J541="course material",7,IF(J541="autobiographical",7,IF(J541="novels",7,IF(J541="public events",7,"99"))))))))))))))))))))))))))))))))))))))))))))))</f>
        <v>5</v>
      </c>
      <c r="M541" s="99">
        <v>1</v>
      </c>
      <c r="N541" s="99">
        <v>4</v>
      </c>
      <c r="O541" s="99">
        <v>0</v>
      </c>
      <c r="P541" s="99"/>
      <c r="Q541" s="99" t="s">
        <v>34</v>
      </c>
      <c r="R541" s="69">
        <f>IF(Q541="Free Recall",1,IF(Q541="Cued Recall",2,IF(Q541="Recognition",3,IF(Q541="Multiple Choice",4,IF(Q541="Savings",5,IF(Q541="Stem Completion",6,IF(Q541="Fragment Completion",7,IF(Q541="anagram solution",8,IF(Q541="Matching",9,IF(Q541="Problem Solving",10,"99"))))))))))</f>
        <v>3</v>
      </c>
      <c r="S541" s="99" t="s">
        <v>15</v>
      </c>
      <c r="T541" s="99" t="s">
        <v>261</v>
      </c>
      <c r="U541" s="60">
        <f>IF(T541="within",1,0)</f>
        <v>0</v>
      </c>
      <c r="V541" s="99">
        <v>18</v>
      </c>
      <c r="W541" s="69">
        <f>F541*V541</f>
        <v>3600</v>
      </c>
      <c r="X541" s="99">
        <v>5</v>
      </c>
      <c r="Y541" s="87">
        <f>AV540</f>
        <v>60</v>
      </c>
      <c r="Z541" s="99" t="s">
        <v>162</v>
      </c>
      <c r="AA541" s="99">
        <v>1209600</v>
      </c>
      <c r="AB541" s="69" t="str">
        <f>IF(AA541&lt;60,"1",IF(AA541&lt;=43200,"2",IF(AA541&lt;=777600,"3","4")))</f>
        <v>4</v>
      </c>
      <c r="AC541" s="72">
        <f>AVERAGE(AV540:DA540)</f>
        <v>380892</v>
      </c>
      <c r="AD541" s="69" t="str">
        <f>IF(AC541&lt;60,"1",IF(AC541&lt;=43200,"2",IF(AC541&lt;=777600,"3","4")))</f>
        <v>3</v>
      </c>
      <c r="AE541" s="87">
        <f>AA541-Y541</f>
        <v>1209540</v>
      </c>
      <c r="AF541" s="88">
        <f>AV541</f>
        <v>0.97799999999999998</v>
      </c>
      <c r="AG541" s="72">
        <f>((AW541-AV541)+(AX541-AW541)+(AY541-AX541)+(AZ541-AY541))/4</f>
        <v>-3.4000000000000002E-2</v>
      </c>
      <c r="AH541" s="4"/>
      <c r="AI541" s="72">
        <f>RSQ(AV541:AZ541,AV540:AZ540)</f>
        <v>0.91156745691797425</v>
      </c>
      <c r="AJ541" s="110">
        <f>SLOPE(AV541:AZ541,AV540:AZ540)</f>
        <v>-9.7679834758752889E-8</v>
      </c>
      <c r="AK541" s="72">
        <f>INTERCEPT(AV541:AZ541,AV540:AZ540)</f>
        <v>0.97140546762093083</v>
      </c>
      <c r="AL541" s="72">
        <f>INDEX(LINEST(LN(AV541:AZ541),LN(AV540:AZ540),TRUE,TRUE),3,1)</f>
        <v>0.53903566619691801</v>
      </c>
      <c r="AM541" s="72">
        <f>INDEX(LINEST(LN(AV541:AZ541),LN(AV540:AZ540)),1)</f>
        <v>-1.0711676187510158E-2</v>
      </c>
      <c r="AN541" s="72">
        <f>EXP(INDEX(LINEST(LN(AV541:AZ541),LN(AV540:AZ540)),1,2))</f>
        <v>1.0405339728262208</v>
      </c>
      <c r="AO541" s="89">
        <f>INDEX(LINEST((AV541:AZ541),LN(AV540:AZ540),TRUE,TRUE),3,1)</f>
        <v>0.55597663309119283</v>
      </c>
      <c r="AP541" s="89">
        <f>INDEX(LINEST((AV541:AZ541),LN(AV540:AZ540)),1)</f>
        <v>-9.8337313763421814E-3</v>
      </c>
      <c r="AQ541" s="90">
        <f>INDEX(LINEST(LN(AV541:AZ541),SQRT(AV540:AZ540),TRUE,TRUE),3,1)</f>
        <v>0.81339114248204525</v>
      </c>
      <c r="AR541" s="117">
        <f>INDEX(LINEST(LN(AV541:AZ541),SQRT((AV540:AZ540))),1)</f>
        <v>-1.1330613132549288E-4</v>
      </c>
      <c r="AS541" s="91">
        <f>INDEX(LINEST(1/(AV541:AZ541),1/(SQRT(AV540:AZ540)),TRUE,TRUE),3,1)</f>
        <v>0.23879486838813058</v>
      </c>
      <c r="AT541" s="91">
        <f>INDEX(LINEST(1/(AV541:AZ541),1/SQRT(AV540:AZ540)),1)</f>
        <v>-0.5808389108307882</v>
      </c>
      <c r="AU541" s="3"/>
      <c r="AV541" s="73">
        <v>0.97799999999999998</v>
      </c>
      <c r="AW541" s="73">
        <v>0.96599999999999997</v>
      </c>
      <c r="AX541" s="73">
        <v>0.94799999999999995</v>
      </c>
      <c r="AY541" s="73">
        <v>0.93700000000000006</v>
      </c>
      <c r="AZ541" s="73">
        <v>0.84199999999999997</v>
      </c>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7"/>
      <c r="CS541" s="17"/>
      <c r="CT541" s="17"/>
      <c r="CU541" s="17"/>
    </row>
    <row r="542" spans="1:133" s="13" customFormat="1" ht="12" customHeight="1" x14ac:dyDescent="0.2">
      <c r="A542" s="68">
        <v>43897</v>
      </c>
      <c r="B542" s="67"/>
      <c r="C542" s="67"/>
      <c r="D542" s="86"/>
      <c r="E542" s="87"/>
      <c r="F542" s="69"/>
      <c r="G542" s="69"/>
      <c r="H542" s="69"/>
      <c r="I542" s="69"/>
      <c r="J542" s="69"/>
      <c r="K542" s="107"/>
      <c r="L542" s="107"/>
      <c r="M542" s="69"/>
      <c r="N542" s="69"/>
      <c r="O542" s="69"/>
      <c r="P542" s="69"/>
      <c r="Q542" s="69"/>
      <c r="R542" s="69"/>
      <c r="S542" s="69"/>
      <c r="T542" s="69"/>
      <c r="U542" s="60"/>
      <c r="V542" s="69"/>
      <c r="W542" s="69"/>
      <c r="X542" s="69"/>
      <c r="Y542" s="87"/>
      <c r="Z542" s="69"/>
      <c r="AA542" s="69"/>
      <c r="AB542" s="69"/>
      <c r="AC542" s="72"/>
      <c r="AD542" s="69"/>
      <c r="AE542" s="69"/>
      <c r="AF542" s="88"/>
      <c r="AG542" s="72"/>
      <c r="AH542" s="4"/>
      <c r="AI542" s="72"/>
      <c r="AJ542" s="110"/>
      <c r="AK542" s="72"/>
      <c r="AL542" s="72"/>
      <c r="AM542" s="72"/>
      <c r="AN542" s="72"/>
      <c r="AO542" s="72"/>
      <c r="AP542" s="72"/>
      <c r="AQ542" s="72"/>
      <c r="AR542" s="110"/>
      <c r="AS542" s="72"/>
      <c r="AT542" s="72"/>
      <c r="AU542" s="5"/>
      <c r="AV542" s="71">
        <v>157680000</v>
      </c>
      <c r="AW542" s="71">
        <v>473040000</v>
      </c>
      <c r="AX542" s="71">
        <v>788400000</v>
      </c>
      <c r="AY542" s="73"/>
      <c r="AZ542" s="53"/>
      <c r="BA542" s="53"/>
      <c r="BB542" s="53"/>
      <c r="BC542" s="53"/>
      <c r="BD542" s="53"/>
      <c r="BE542" s="53"/>
      <c r="BF542" s="53"/>
      <c r="BG542" s="53"/>
      <c r="BH542" s="53"/>
      <c r="BI542" s="53"/>
      <c r="BJ542" s="53"/>
      <c r="BK542" s="53"/>
      <c r="BL542" s="53"/>
      <c r="BM542" s="53"/>
      <c r="BN542" s="53"/>
      <c r="BO542" s="53"/>
      <c r="BP542" s="53"/>
      <c r="BQ542" s="53"/>
      <c r="BR542" s="53"/>
      <c r="BS542" s="53"/>
      <c r="BT542" s="53"/>
      <c r="BU542" s="53"/>
      <c r="BV542" s="53"/>
      <c r="BW542" s="53"/>
      <c r="BX542" s="53"/>
      <c r="BY542" s="53"/>
      <c r="BZ542" s="53"/>
      <c r="CA542" s="53"/>
      <c r="CB542" s="53"/>
      <c r="CC542" s="53"/>
      <c r="CD542" s="53"/>
      <c r="CE542" s="53"/>
      <c r="CF542" s="53"/>
      <c r="CG542" s="53"/>
      <c r="CH542" s="53"/>
      <c r="CI542" s="53"/>
      <c r="CJ542" s="53"/>
      <c r="CK542" s="53"/>
      <c r="CL542" s="53"/>
      <c r="CM542" s="53"/>
      <c r="CN542" s="53"/>
      <c r="CO542" s="53"/>
      <c r="CP542" s="53"/>
      <c r="CQ542" s="53"/>
      <c r="CR542" s="1"/>
      <c r="CS542" s="1"/>
      <c r="CT542" s="1"/>
      <c r="CU542" s="1"/>
    </row>
    <row r="543" spans="1:133" s="13" customFormat="1" ht="12" customHeight="1" x14ac:dyDescent="0.2">
      <c r="A543" s="68">
        <v>43897</v>
      </c>
      <c r="B543" s="70" t="s">
        <v>400</v>
      </c>
      <c r="C543" s="70" t="s">
        <v>401</v>
      </c>
      <c r="D543" s="69">
        <v>1998</v>
      </c>
      <c r="E543" s="106">
        <v>1</v>
      </c>
      <c r="F543" s="69">
        <v>9</v>
      </c>
      <c r="G543" s="69">
        <v>9</v>
      </c>
      <c r="H543" s="69" t="s">
        <v>32</v>
      </c>
      <c r="I543" s="69" t="s">
        <v>330</v>
      </c>
      <c r="J543" s="69" t="s">
        <v>340</v>
      </c>
      <c r="K543" s="69">
        <f>IF(J543="syllables",1,IF(J543="trigrams",2,IF(J543="strings",3,IF(J543="visual array",4,IF(J543="characters",5,IF(J543="letters",6,IF(J543="free forms",7,IF(J543="odors",8,IF(J543="words",9,IF(J543="pictures",10,IF(J543="object pictures",11,IF(J543="faces",12,IF(J543="names",13,IF(J543="idioms",14,IF(J543="grades",15,IF(J543="syllable-digit pairs",16,IF(J543="trigram-word pairs",17,IF(J543="word-digit pairs",18,IF(J543="English-Swahili pairs",19,IF(J543="spatial position",20,IF(J543="word pairs",21,IF(J543="word triads",22,IF(J543="generated words",23,IF(J543="word definition pairs",24,IF(J543="math problems",25,IF(J543="famous faces",26,IF(J543="famous names",27,IF(J543="famous voices",28,IF(J543="television programs",29,IF(J543="race horses",30,IF(J543="new vocabulary",31,IF(J543="sentences",32,IF(J543="concepts",33,IF(J543="ad slides",34,IF(J543="scenes",35,IF(J543="famous scenes",36,IF(J543="poems",37,IF(J543="walk",38,IF(J543="faces and events",39,IF(J543="events and names",40,IF(J543="flashbulb",41,IF(J543="stories",42,IF(J543="course material",43,IF(J543="autobiographical",44,IF(J543="novels",45,IF(J543="public events",46,"99"))))))))))))))))))))))))))))))))))))))))))))))</f>
        <v>46</v>
      </c>
      <c r="L543" s="69">
        <f>IF(J543="syllables",1,IF(J543="trigrams",1,IF(J543="strings",1,IF(J543="visual array",1,IF(J543="characters",1,IF(J543="letters",1,IF(J543="free forms",1,IF(J543="odors",2,IF(J543="words",2,IF(J543="pictures",2,IF(J543="object pictures",2,IF(J543="faces",2,IF(J543="names",2,IF(J543="idioms","2",IF(J543="grades",2,IF(J543="syllable-digit pairs",3,IF(J543="trigram-word pairs",3,IF(J543="word-digit pairs",3,IF(J543="English-Swahili pairs",3,IF(J543="spatial position",3,IF(J543="word pairs",4,IF(J543="word triads",4,IF(J543="generated words",4,IF(J543="word definition pairs",4,IF(J543="math problems",4,IF(J543="famous faces",4,IF(J543="famous names",4,IF(J543="famous voices",4,IF(J543="television programs",4,IF(J543="race horses",4,IF(J543="new vocabulary",4,IF(J543="sentences",5,IF(J543="concepts",5,IF(J543="ad slides",5,IF(J543="scenes",5,IF(J543="famous scenes",5,IF(J543="poems",6,IF(J543="walk",6,IF(J543="faces and events",6,IF(J543="events and names",6,IF(J543="flashbulb",7,IF(J543="stories",7,IF(J543="course material",7,IF(J543="autobiographical",7,IF(J543="novels",7,IF(J543="public events",7,"99"))))))))))))))))))))))))))))))))))))))))))))))</f>
        <v>7</v>
      </c>
      <c r="M543" s="99">
        <v>1</v>
      </c>
      <c r="N543" s="69">
        <v>4</v>
      </c>
      <c r="O543" s="99">
        <v>0</v>
      </c>
      <c r="P543" s="69"/>
      <c r="Q543" s="69" t="s">
        <v>174</v>
      </c>
      <c r="R543" s="69">
        <f>IF(Q543="Free Recall",1,IF(Q543="Cued Recall",2,IF(Q543="Recognition",3,IF(Q543="Multiple Choice",4,IF(Q543="Savings",5,IF(Q543="Stem Completion",6,IF(Q543="Fragment Completion",7,IF(Q543="anagram solution",8,IF(Q543="Matching",9,IF(Q543="Problem Solving",10,"99"))))))))))</f>
        <v>1</v>
      </c>
      <c r="S543" s="69" t="s">
        <v>49</v>
      </c>
      <c r="T543" s="92" t="s">
        <v>581</v>
      </c>
      <c r="U543" s="60">
        <f>IF(T543="within",1,0)</f>
        <v>1</v>
      </c>
      <c r="V543" s="92">
        <v>145</v>
      </c>
      <c r="W543" s="69">
        <f>F543*V543</f>
        <v>1305</v>
      </c>
      <c r="X543" s="69">
        <v>3</v>
      </c>
      <c r="Y543" s="87">
        <f>AV542</f>
        <v>157680000</v>
      </c>
      <c r="Z543" s="92" t="s">
        <v>428</v>
      </c>
      <c r="AA543" s="69">
        <f>25*365*24*60*60</f>
        <v>788400000</v>
      </c>
      <c r="AB543" s="69" t="str">
        <f>IF(AA543&lt;60,"1",IF(AA543&lt;=43200,"2",IF(AA543&lt;=777600,"3","4")))</f>
        <v>4</v>
      </c>
      <c r="AC543" s="72">
        <f>AVERAGE(AV542:DA542)</f>
        <v>473040000</v>
      </c>
      <c r="AD543" s="69" t="str">
        <f>IF(AC543&lt;60,"1",IF(AC543&lt;=43200,"2",IF(AC543&lt;=777600,"3","4")))</f>
        <v>4</v>
      </c>
      <c r="AE543" s="87">
        <f>AA543-Y543</f>
        <v>630720000</v>
      </c>
      <c r="AF543" s="88">
        <f>AV543</f>
        <v>0.51190476190476186</v>
      </c>
      <c r="AG543" s="72">
        <f>((AW543-AV543)+(AX543-AW543))/2</f>
        <v>-4.0762507534659403E-2</v>
      </c>
      <c r="AH543" s="4"/>
      <c r="AI543" s="72">
        <f>RSQ(AV543:AX543,AV542:AX542)</f>
        <v>0.99844327800848764</v>
      </c>
      <c r="AJ543" s="110">
        <f>SLOPE(AV543:AX543,AV542:AX542)</f>
        <v>-1.2925706346606863E-10</v>
      </c>
      <c r="AK543" s="72">
        <f>INTERCEPT(AV543:AX543,AV542:AX542)</f>
        <v>0.53135674100863972</v>
      </c>
      <c r="AL543" s="72">
        <f>INDEX(LINEST(LN(AV543:AX543),LN(AV542:AX542),TRUE,TRUE),3,1)</f>
        <v>0.96309249282449216</v>
      </c>
      <c r="AM543" s="72">
        <f>INDEX(LINEST(LN(AV543:AX543),LN(AV542:AX542)),1)</f>
        <v>-0.10351075710531889</v>
      </c>
      <c r="AN543" s="72">
        <f>EXP(INDEX(LINEST(LN(AV543:AX543),LN(AV542:AX542)),1,2))</f>
        <v>3.6336461980170962</v>
      </c>
      <c r="AO543" s="89">
        <f>INDEX(LINEST((AV543:AX543),LN(AV542:AX542),TRUE,TRUE),3,1)</f>
        <v>0.97192639614832377</v>
      </c>
      <c r="AP543" s="89">
        <f>INDEX(LINEST((AV543:AX543),LN(AV542:AX542)),1)</f>
        <v>-4.8901900510450957E-2</v>
      </c>
      <c r="AQ543" s="90">
        <f>INDEX(LINEST(LN(AV543:AX543),SQRT(AV542:AX542),TRUE,TRUE),3,1)</f>
        <v>0.99163015121441966</v>
      </c>
      <c r="AR543" s="117">
        <f>INDEX(LINEST(LN(AV543:AX543),SQRT((AV542:AX542))),1)</f>
        <v>-1.106792561801317E-5</v>
      </c>
      <c r="AS543" s="91">
        <f>INDEX(LINEST(1/(AV543:AX543),1/(SQRT(AV542:AX542)),TRUE,TRUE),3,1)</f>
        <v>0.90865619480639881</v>
      </c>
      <c r="AT543" s="91">
        <f>INDEX(LINEST(1/(AV543:AX543),1/SQRT(AV542:AX542)),1)</f>
        <v>-7663.5086709659936</v>
      </c>
      <c r="AU543" s="3"/>
      <c r="AV543" s="73">
        <v>0.51190476190476186</v>
      </c>
      <c r="AW543" s="73">
        <v>0.46835443037974683</v>
      </c>
      <c r="AX543" s="73">
        <v>0.43037974683544306</v>
      </c>
      <c r="AY543" s="73"/>
      <c r="AZ543" s="53"/>
      <c r="BA543" s="53"/>
      <c r="BB543" s="53"/>
      <c r="BC543" s="53"/>
      <c r="BD543" s="53"/>
      <c r="BE543" s="53"/>
      <c r="BF543" s="53"/>
      <c r="BG543" s="53"/>
      <c r="BH543" s="53"/>
      <c r="BI543" s="53"/>
      <c r="BJ543" s="53"/>
      <c r="BK543" s="53"/>
      <c r="BL543" s="53"/>
      <c r="BM543" s="53"/>
      <c r="BN543" s="53"/>
      <c r="BO543" s="53"/>
      <c r="BP543" s="53"/>
      <c r="BQ543" s="53"/>
      <c r="BR543" s="53"/>
      <c r="BS543" s="53"/>
      <c r="BT543" s="53"/>
      <c r="BU543" s="53"/>
      <c r="BV543" s="53"/>
      <c r="BW543" s="53"/>
      <c r="BX543" s="53"/>
      <c r="BY543" s="53"/>
      <c r="BZ543" s="53"/>
      <c r="CA543" s="53"/>
      <c r="CB543" s="53"/>
      <c r="CC543" s="53"/>
      <c r="CD543" s="53"/>
      <c r="CE543" s="53"/>
      <c r="CF543" s="53"/>
      <c r="CG543" s="53"/>
      <c r="CH543" s="53"/>
      <c r="CI543" s="53"/>
      <c r="CJ543" s="53"/>
      <c r="CK543" s="53"/>
      <c r="CL543" s="53"/>
      <c r="CM543" s="53"/>
      <c r="CN543" s="53"/>
      <c r="CO543" s="53"/>
      <c r="CP543" s="53"/>
      <c r="CQ543" s="53"/>
      <c r="CR543" s="1"/>
      <c r="CS543" s="1"/>
      <c r="CT543" s="1"/>
      <c r="CU543" s="1"/>
    </row>
    <row r="544" spans="1:133" s="13" customFormat="1" ht="12" customHeight="1" x14ac:dyDescent="0.2">
      <c r="A544" s="68">
        <v>43897</v>
      </c>
      <c r="B544" s="67"/>
      <c r="C544" s="67"/>
      <c r="D544" s="86"/>
      <c r="E544" s="87"/>
      <c r="F544" s="69"/>
      <c r="G544" s="69"/>
      <c r="H544" s="69"/>
      <c r="I544" s="69"/>
      <c r="J544" s="69"/>
      <c r="K544" s="107"/>
      <c r="L544" s="107"/>
      <c r="M544" s="69"/>
      <c r="N544" s="69"/>
      <c r="O544" s="69"/>
      <c r="P544" s="69"/>
      <c r="Q544" s="69"/>
      <c r="R544" s="69"/>
      <c r="S544" s="69"/>
      <c r="T544" s="69"/>
      <c r="U544" s="60"/>
      <c r="V544" s="69"/>
      <c r="W544" s="69"/>
      <c r="X544" s="69"/>
      <c r="Y544" s="87"/>
      <c r="Z544" s="69"/>
      <c r="AA544" s="69"/>
      <c r="AB544" s="69"/>
      <c r="AC544" s="72"/>
      <c r="AD544" s="69"/>
      <c r="AE544" s="69"/>
      <c r="AF544" s="88"/>
      <c r="AG544" s="72"/>
      <c r="AH544" s="4"/>
      <c r="AI544" s="72"/>
      <c r="AJ544" s="110"/>
      <c r="AK544" s="72"/>
      <c r="AL544" s="72"/>
      <c r="AM544" s="72"/>
      <c r="AN544" s="72"/>
      <c r="AO544" s="72"/>
      <c r="AP544" s="72"/>
      <c r="AQ544" s="72"/>
      <c r="AR544" s="110"/>
      <c r="AS544" s="72"/>
      <c r="AT544" s="72"/>
      <c r="AU544" s="5"/>
      <c r="AV544" s="71">
        <v>157680000</v>
      </c>
      <c r="AW544" s="71">
        <v>473040000</v>
      </c>
      <c r="AX544" s="71">
        <v>788400000</v>
      </c>
      <c r="AY544" s="73"/>
      <c r="AZ544" s="53"/>
      <c r="BA544" s="53"/>
      <c r="BB544" s="53"/>
      <c r="BC544" s="53"/>
      <c r="BD544" s="53"/>
      <c r="BE544" s="53"/>
      <c r="BF544" s="53"/>
      <c r="BG544" s="53"/>
      <c r="BH544" s="53"/>
      <c r="BI544" s="53"/>
      <c r="BJ544" s="53"/>
      <c r="BK544" s="53"/>
      <c r="BL544" s="53"/>
      <c r="BM544" s="53"/>
      <c r="BN544" s="53"/>
      <c r="BO544" s="53"/>
      <c r="BP544" s="53"/>
      <c r="BQ544" s="53"/>
      <c r="BR544" s="53"/>
      <c r="BS544" s="53"/>
      <c r="BT544" s="53"/>
      <c r="BU544" s="53"/>
      <c r="BV544" s="53"/>
      <c r="BW544" s="53"/>
      <c r="BX544" s="53"/>
      <c r="BY544" s="53"/>
      <c r="BZ544" s="53"/>
      <c r="CA544" s="53"/>
      <c r="CB544" s="53"/>
      <c r="CC544" s="53"/>
      <c r="CD544" s="53"/>
      <c r="CE544" s="53"/>
      <c r="CF544" s="53"/>
      <c r="CG544" s="53"/>
      <c r="CH544" s="53"/>
      <c r="CI544" s="53"/>
      <c r="CJ544" s="53"/>
      <c r="CK544" s="53"/>
      <c r="CL544" s="53"/>
      <c r="CM544" s="53"/>
      <c r="CN544" s="53"/>
      <c r="CO544" s="53"/>
      <c r="CP544" s="53"/>
      <c r="CQ544" s="53"/>
      <c r="CR544" s="1"/>
      <c r="CS544" s="1"/>
      <c r="CT544" s="1"/>
      <c r="CU544" s="1"/>
    </row>
    <row r="545" spans="1:99" s="13" customFormat="1" ht="12" customHeight="1" x14ac:dyDescent="0.2">
      <c r="A545" s="68">
        <v>43897</v>
      </c>
      <c r="B545" s="70" t="s">
        <v>400</v>
      </c>
      <c r="C545" s="70" t="s">
        <v>401</v>
      </c>
      <c r="D545" s="69">
        <v>1998</v>
      </c>
      <c r="E545" s="106">
        <v>1</v>
      </c>
      <c r="F545" s="69">
        <v>9</v>
      </c>
      <c r="G545" s="69">
        <v>9</v>
      </c>
      <c r="H545" s="69" t="s">
        <v>32</v>
      </c>
      <c r="I545" s="69" t="s">
        <v>330</v>
      </c>
      <c r="J545" s="69" t="s">
        <v>340</v>
      </c>
      <c r="K545" s="69">
        <f>IF(J545="syllables",1,IF(J545="trigrams",2,IF(J545="strings",3,IF(J545="visual array",4,IF(J545="characters",5,IF(J545="letters",6,IF(J545="free forms",7,IF(J545="odors",8,IF(J545="words",9,IF(J545="pictures",10,IF(J545="object pictures",11,IF(J545="faces",12,IF(J545="names",13,IF(J545="idioms",14,IF(J545="grades",15,IF(J545="syllable-digit pairs",16,IF(J545="trigram-word pairs",17,IF(J545="word-digit pairs",18,IF(J545="English-Swahili pairs",19,IF(J545="spatial position",20,IF(J545="word pairs",21,IF(J545="word triads",22,IF(J545="generated words",23,IF(J545="word definition pairs",24,IF(J545="math problems",25,IF(J545="famous faces",26,IF(J545="famous names",27,IF(J545="famous voices",28,IF(J545="television programs",29,IF(J545="race horses",30,IF(J545="new vocabulary",31,IF(J545="sentences",32,IF(J545="concepts",33,IF(J545="ad slides",34,IF(J545="scenes",35,IF(J545="famous scenes",36,IF(J545="poems",37,IF(J545="walk",38,IF(J545="faces and events",39,IF(J545="events and names",40,IF(J545="flashbulb",41,IF(J545="stories",42,IF(J545="course material",43,IF(J545="autobiographical",44,IF(J545="novels",45,IF(J545="public events",46,"99"))))))))))))))))))))))))))))))))))))))))))))))</f>
        <v>46</v>
      </c>
      <c r="L545" s="69">
        <f>IF(J545="syllables",1,IF(J545="trigrams",1,IF(J545="strings",1,IF(J545="visual array",1,IF(J545="characters",1,IF(J545="letters",1,IF(J545="free forms",1,IF(J545="odors",2,IF(J545="words",2,IF(J545="pictures",2,IF(J545="object pictures",2,IF(J545="faces",2,IF(J545="names",2,IF(J545="idioms","2",IF(J545="grades",2,IF(J545="syllable-digit pairs",3,IF(J545="trigram-word pairs",3,IF(J545="word-digit pairs",3,IF(J545="English-Swahili pairs",3,IF(J545="spatial position",3,IF(J545="word pairs",4,IF(J545="word triads",4,IF(J545="generated words",4,IF(J545="word definition pairs",4,IF(J545="math problems",4,IF(J545="famous faces",4,IF(J545="famous names",4,IF(J545="famous voices",4,IF(J545="television programs",4,IF(J545="race horses",4,IF(J545="new vocabulary",4,IF(J545="sentences",5,IF(J545="concepts",5,IF(J545="ad slides",5,IF(J545="scenes",5,IF(J545="famous scenes",5,IF(J545="poems",6,IF(J545="walk",6,IF(J545="faces and events",6,IF(J545="events and names",6,IF(J545="flashbulb",7,IF(J545="stories",7,IF(J545="course material",7,IF(J545="autobiographical",7,IF(J545="novels",7,IF(J545="public events",7,"99"))))))))))))))))))))))))))))))))))))))))))))))</f>
        <v>7</v>
      </c>
      <c r="M545" s="99">
        <v>1</v>
      </c>
      <c r="N545" s="69">
        <v>4</v>
      </c>
      <c r="O545" s="99">
        <v>0</v>
      </c>
      <c r="P545" s="69"/>
      <c r="Q545" s="69" t="s">
        <v>34</v>
      </c>
      <c r="R545" s="69">
        <f>IF(Q545="Free Recall",1,IF(Q545="Cued Recall",2,IF(Q545="Recognition",3,IF(Q545="Multiple Choice",4,IF(Q545="Savings",5,IF(Q545="Stem Completion",6,IF(Q545="Fragment Completion",7,IF(Q545="anagram solution",8,IF(Q545="Matching",9,IF(Q545="Problem Solving",10,"99"))))))))))</f>
        <v>3</v>
      </c>
      <c r="S545" s="69" t="s">
        <v>15</v>
      </c>
      <c r="T545" s="92" t="s">
        <v>581</v>
      </c>
      <c r="U545" s="60">
        <f>IF(T545="within",1,0)</f>
        <v>1</v>
      </c>
      <c r="V545" s="92">
        <v>145</v>
      </c>
      <c r="W545" s="69">
        <f>F545*V545</f>
        <v>1305</v>
      </c>
      <c r="X545" s="69">
        <v>3</v>
      </c>
      <c r="Y545" s="87">
        <f>AV544</f>
        <v>157680000</v>
      </c>
      <c r="Z545" s="92" t="s">
        <v>428</v>
      </c>
      <c r="AA545" s="69">
        <f>25*365*24*60*60</f>
        <v>788400000</v>
      </c>
      <c r="AB545" s="69" t="str">
        <f>IF(AA545&lt;60,"1",IF(AA545&lt;=43200,"2",IF(AA545&lt;=777600,"3","4")))</f>
        <v>4</v>
      </c>
      <c r="AC545" s="72">
        <f>AVERAGE(AV544:DA544)</f>
        <v>473040000</v>
      </c>
      <c r="AD545" s="69" t="str">
        <f>IF(AC545&lt;60,"1",IF(AC545&lt;=43200,"2",IF(AC545&lt;=777600,"3","4")))</f>
        <v>4</v>
      </c>
      <c r="AE545" s="87">
        <f>AA545-Y545</f>
        <v>630720000</v>
      </c>
      <c r="AF545" s="88">
        <f>AV545</f>
        <v>0.79120879120879117</v>
      </c>
      <c r="AG545" s="72">
        <f>((AW545-AV545)+(AX545-AW545))/2</f>
        <v>-3.513927932532579E-2</v>
      </c>
      <c r="AH545" s="4"/>
      <c r="AI545" s="72">
        <f>RSQ(AV545:AX545,AV544:AX544)</f>
        <v>0.56453731095689519</v>
      </c>
      <c r="AJ545" s="110">
        <f>SLOPE(AV545:AX545,AV544:AX544)</f>
        <v>-1.1142592378654803E-10</v>
      </c>
      <c r="AK545" s="72">
        <f>INTERCEPT(AV545:AX545,AV544:AX544)</f>
        <v>0.82659653008490208</v>
      </c>
      <c r="AL545" s="72">
        <f>INDEX(LINEST(LN(AV545:AX545),LN(AV544:AX544),TRUE,TRUE),3,1)</f>
        <v>0.36807776218202282</v>
      </c>
      <c r="AM545" s="72">
        <f>INDEX(LINEST(LN(AV545:AX545),LN(AV544:AX544)),1)</f>
        <v>-4.5285010307737343E-2</v>
      </c>
      <c r="AN545" s="72">
        <f>EXP(INDEX(LINEST(LN(AV545:AX545),LN(AV544:AX544)),1,2))</f>
        <v>1.8928992083901401</v>
      </c>
      <c r="AO545" s="89">
        <f>INDEX(LINEST((AV545:AX545),LN(AV544:AX544),TRUE,TRUE),3,1)</f>
        <v>0.35885179317813354</v>
      </c>
      <c r="AP545" s="89">
        <f>INDEX(LINEST((AV545:AX545),LN(AV544:AX544)),1)</f>
        <v>-3.4065435179583783E-2</v>
      </c>
      <c r="AQ545" s="90">
        <f>INDEX(LINEST(LN(AV545:AX545),SQRT(AV544:AX544),TRUE,TRUE),3,1)</f>
        <v>0.46821865377756761</v>
      </c>
      <c r="AR545" s="117">
        <f>INDEX(LINEST(LN(AV545:AX545),SQRT((AV544:AX544))),1)</f>
        <v>-5.3820647803383603E-6</v>
      </c>
      <c r="AS545" s="91">
        <f>INDEX(LINEST(1/(AV545:AX545),1/(SQRT(AV544:AX544)),TRUE,TRUE),3,1)</f>
        <v>0.29348491804640425</v>
      </c>
      <c r="AT545" s="91">
        <f>INDEX(LINEST(1/(AV545:AX545),1/SQRT(AV544:AX544)),1)</f>
        <v>-1898.744737075328</v>
      </c>
      <c r="AU545" s="3"/>
      <c r="AV545" s="73">
        <v>0.79120879120879117</v>
      </c>
      <c r="AW545" s="73">
        <v>0.80952380952380965</v>
      </c>
      <c r="AX545" s="73">
        <v>0.72093023255813959</v>
      </c>
      <c r="AY545" s="73"/>
      <c r="AZ545" s="53"/>
      <c r="BA545" s="53"/>
      <c r="BB545" s="53"/>
      <c r="BC545" s="53"/>
      <c r="BD545" s="53"/>
      <c r="BE545" s="53"/>
      <c r="BF545" s="53"/>
      <c r="BG545" s="53"/>
      <c r="BH545" s="53"/>
      <c r="BI545" s="53"/>
      <c r="BJ545" s="53"/>
      <c r="BK545" s="53"/>
      <c r="BL545" s="53"/>
      <c r="BM545" s="53"/>
      <c r="BN545" s="53"/>
      <c r="BO545" s="53"/>
      <c r="BP545" s="53"/>
      <c r="BQ545" s="53"/>
      <c r="BR545" s="53"/>
      <c r="BS545" s="53"/>
      <c r="BT545" s="53"/>
      <c r="BU545" s="53"/>
      <c r="BV545" s="53"/>
      <c r="BW545" s="53"/>
      <c r="BX545" s="53"/>
      <c r="BY545" s="53"/>
      <c r="BZ545" s="53"/>
      <c r="CA545" s="53"/>
      <c r="CB545" s="53"/>
      <c r="CC545" s="53"/>
      <c r="CD545" s="53"/>
      <c r="CE545" s="53"/>
      <c r="CF545" s="53"/>
      <c r="CG545" s="53"/>
      <c r="CH545" s="53"/>
      <c r="CI545" s="53"/>
      <c r="CJ545" s="53"/>
      <c r="CK545" s="53"/>
      <c r="CL545" s="53"/>
      <c r="CM545" s="53"/>
      <c r="CN545" s="53"/>
      <c r="CO545" s="53"/>
      <c r="CP545" s="53"/>
      <c r="CQ545" s="53"/>
      <c r="CR545" s="1"/>
      <c r="CS545" s="1"/>
      <c r="CT545" s="1"/>
      <c r="CU545" s="1"/>
    </row>
    <row r="546" spans="1:99" s="13" customFormat="1" ht="12" customHeight="1" x14ac:dyDescent="0.2">
      <c r="A546" s="68">
        <v>43897</v>
      </c>
      <c r="B546" s="67"/>
      <c r="C546" s="67"/>
      <c r="D546" s="86"/>
      <c r="E546" s="87"/>
      <c r="F546" s="69"/>
      <c r="G546" s="69"/>
      <c r="H546" s="69"/>
      <c r="I546" s="69"/>
      <c r="J546" s="69"/>
      <c r="K546" s="107"/>
      <c r="L546" s="107"/>
      <c r="M546" s="69"/>
      <c r="N546" s="69"/>
      <c r="O546" s="69"/>
      <c r="P546" s="69"/>
      <c r="Q546" s="69"/>
      <c r="R546" s="69"/>
      <c r="S546" s="69"/>
      <c r="T546" s="69"/>
      <c r="U546" s="60"/>
      <c r="V546" s="69"/>
      <c r="W546" s="69"/>
      <c r="X546" s="69"/>
      <c r="Y546" s="87"/>
      <c r="Z546" s="69"/>
      <c r="AA546" s="69"/>
      <c r="AB546" s="69"/>
      <c r="AC546" s="72"/>
      <c r="AD546" s="69"/>
      <c r="AE546" s="69"/>
      <c r="AF546" s="88"/>
      <c r="AG546" s="72"/>
      <c r="AH546" s="4"/>
      <c r="AI546" s="72"/>
      <c r="AJ546" s="110"/>
      <c r="AK546" s="72"/>
      <c r="AL546" s="72"/>
      <c r="AM546" s="72"/>
      <c r="AN546" s="72"/>
      <c r="AO546" s="72"/>
      <c r="AP546" s="72"/>
      <c r="AQ546" s="72"/>
      <c r="AR546" s="110"/>
      <c r="AS546" s="72"/>
      <c r="AT546" s="72"/>
      <c r="AU546" s="5"/>
      <c r="AV546" s="71">
        <v>157680000</v>
      </c>
      <c r="AW546" s="71">
        <v>473040000</v>
      </c>
      <c r="AX546" s="71">
        <v>788400000</v>
      </c>
      <c r="AY546" s="73"/>
      <c r="AZ546" s="53"/>
      <c r="BA546" s="53"/>
      <c r="BB546" s="53"/>
      <c r="BC546" s="53"/>
      <c r="BD546" s="53"/>
      <c r="BE546" s="53"/>
      <c r="BF546" s="53"/>
      <c r="BG546" s="53"/>
      <c r="BH546" s="53"/>
      <c r="BI546" s="53"/>
      <c r="BJ546" s="53"/>
      <c r="BK546" s="53"/>
      <c r="BL546" s="53"/>
      <c r="BM546" s="53"/>
      <c r="BN546" s="53"/>
      <c r="BO546" s="53"/>
      <c r="BP546" s="53"/>
      <c r="BQ546" s="53"/>
      <c r="BR546" s="53"/>
      <c r="BS546" s="53"/>
      <c r="BT546" s="53"/>
      <c r="BU546" s="53"/>
      <c r="BV546" s="53"/>
      <c r="BW546" s="53"/>
      <c r="BX546" s="53"/>
      <c r="BY546" s="53"/>
      <c r="BZ546" s="53"/>
      <c r="CA546" s="53"/>
      <c r="CB546" s="53"/>
      <c r="CC546" s="53"/>
      <c r="CD546" s="53"/>
      <c r="CE546" s="53"/>
      <c r="CF546" s="53"/>
      <c r="CG546" s="53"/>
      <c r="CH546" s="53"/>
      <c r="CI546" s="53"/>
      <c r="CJ546" s="53"/>
      <c r="CK546" s="53"/>
      <c r="CL546" s="53"/>
      <c r="CM546" s="53"/>
      <c r="CN546" s="53"/>
      <c r="CO546" s="53"/>
      <c r="CP546" s="53"/>
      <c r="CQ546" s="53"/>
      <c r="CR546" s="1"/>
      <c r="CS546" s="1"/>
      <c r="CT546" s="1"/>
      <c r="CU546" s="1"/>
    </row>
    <row r="547" spans="1:99" s="13" customFormat="1" ht="12" customHeight="1" x14ac:dyDescent="0.2">
      <c r="A547" s="68">
        <v>43897</v>
      </c>
      <c r="B547" s="70" t="s">
        <v>400</v>
      </c>
      <c r="C547" s="70" t="s">
        <v>401</v>
      </c>
      <c r="D547" s="69">
        <v>1998</v>
      </c>
      <c r="E547" s="106">
        <v>1</v>
      </c>
      <c r="F547" s="69">
        <v>9</v>
      </c>
      <c r="G547" s="69">
        <v>9</v>
      </c>
      <c r="H547" s="69" t="s">
        <v>32</v>
      </c>
      <c r="I547" s="69" t="s">
        <v>330</v>
      </c>
      <c r="J547" s="69" t="s">
        <v>367</v>
      </c>
      <c r="K547" s="69">
        <f>IF(J547="syllables",1,IF(J547="trigrams",2,IF(J547="strings",3,IF(J547="visual array",4,IF(J547="characters",5,IF(J547="letters",6,IF(J547="free forms",7,IF(J547="odors",8,IF(J547="words",9,IF(J547="pictures",10,IF(J547="object pictures",11,IF(J547="faces",12,IF(J547="names",13,IF(J547="idioms",14,IF(J547="grades",15,IF(J547="syllable-digit pairs",16,IF(J547="trigram-word pairs",17,IF(J547="word-digit pairs",18,IF(J547="English-Swahili pairs",19,IF(J547="spatial position",20,IF(J547="word pairs",21,IF(J547="word triads",22,IF(J547="generated words",23,IF(J547="word definition pairs",24,IF(J547="math problems",25,IF(J547="famous faces",26,IF(J547="famous names",27,IF(J547="famous voices",28,IF(J547="television programs",29,IF(J547="race horses",30,IF(J547="new vocabulary",31,IF(J547="sentences",32,IF(J547="concepts",33,IF(J547="ad slides",34,IF(J547="scenes",35,IF(J547="famous scenes",36,IF(J547="poems",37,IF(J547="walk",38,IF(J547="faces and events",39,IF(J547="events and names",40,IF(J547="flashbulb",41,IF(J547="stories",42,IF(J547="course material",43,IF(J547="autobiographical",44,IF(J547="novels",45,IF(J547="public events",46,"99"))))))))))))))))))))))))))))))))))))))))))))))</f>
        <v>27</v>
      </c>
      <c r="L547" s="69">
        <f>IF(J547="syllables",1,IF(J547="trigrams",1,IF(J547="strings",1,IF(J547="visual array",1,IF(J547="characters",1,IF(J547="letters",1,IF(J547="free forms",1,IF(J547="odors",2,IF(J547="words",2,IF(J547="pictures",2,IF(J547="object pictures",2,IF(J547="faces",2,IF(J547="names",2,IF(J547="idioms","2",IF(J547="grades",2,IF(J547="syllable-digit pairs",3,IF(J547="trigram-word pairs",3,IF(J547="word-digit pairs",3,IF(J547="English-Swahili pairs",3,IF(J547="spatial position",3,IF(J547="word pairs",4,IF(J547="word triads",4,IF(J547="generated words",4,IF(J547="word definition pairs",4,IF(J547="math problems",4,IF(J547="famous faces",4,IF(J547="famous names",4,IF(J547="famous voices",4,IF(J547="television programs",4,IF(J547="race horses",4,IF(J547="new vocabulary",4,IF(J547="sentences",5,IF(J547="concepts",5,IF(J547="ad slides",5,IF(J547="scenes",5,IF(J547="famous scenes",5,IF(J547="poems",6,IF(J547="walk",6,IF(J547="faces and events",6,IF(J547="events and names",6,IF(J547="flashbulb",7,IF(J547="stories",7,IF(J547="course material",7,IF(J547="autobiographical",7,IF(J547="novels",7,IF(J547="public events",7,"99"))))))))))))))))))))))))))))))))))))))))))))))</f>
        <v>4</v>
      </c>
      <c r="M547" s="99">
        <v>1</v>
      </c>
      <c r="N547" s="69">
        <v>3</v>
      </c>
      <c r="O547" s="99">
        <v>0</v>
      </c>
      <c r="P547" s="69"/>
      <c r="Q547" s="69" t="s">
        <v>34</v>
      </c>
      <c r="R547" s="69">
        <f>IF(Q547="Free Recall",1,IF(Q547="Cued Recall",2,IF(Q547="Recognition",3,IF(Q547="Multiple Choice",4,IF(Q547="Savings",5,IF(Q547="Stem Completion",6,IF(Q547="Fragment Completion",7,IF(Q547="anagram solution",8,IF(Q547="Matching",9,IF(Q547="Problem Solving",10,"99"))))))))))</f>
        <v>3</v>
      </c>
      <c r="S547" s="69" t="s">
        <v>15</v>
      </c>
      <c r="T547" s="92" t="s">
        <v>581</v>
      </c>
      <c r="U547" s="60">
        <f>IF(T547="within",1,0)</f>
        <v>1</v>
      </c>
      <c r="V547" s="92">
        <v>70</v>
      </c>
      <c r="W547" s="69">
        <f>F547*V547</f>
        <v>630</v>
      </c>
      <c r="X547" s="69">
        <v>3</v>
      </c>
      <c r="Y547" s="87">
        <f>AV546</f>
        <v>157680000</v>
      </c>
      <c r="Z547" s="92" t="s">
        <v>428</v>
      </c>
      <c r="AA547" s="69">
        <f>25*365*24*60*60</f>
        <v>788400000</v>
      </c>
      <c r="AB547" s="69" t="str">
        <f>IF(AA547&lt;60,"1",IF(AA547&lt;=43200,"2",IF(AA547&lt;=777600,"3","4")))</f>
        <v>4</v>
      </c>
      <c r="AC547" s="72">
        <f>AVERAGE(AV546:DA546)</f>
        <v>473040000</v>
      </c>
      <c r="AD547" s="69" t="str">
        <f>IF(AC547&lt;60,"1",IF(AC547&lt;=43200,"2",IF(AC547&lt;=777600,"3","4")))</f>
        <v>4</v>
      </c>
      <c r="AE547" s="87">
        <f>AA547-Y547</f>
        <v>630720000</v>
      </c>
      <c r="AF547" s="88">
        <f>AV547</f>
        <v>0.98039215686274506</v>
      </c>
      <c r="AG547" s="72">
        <f>((AW547-AV547)+(AX547-AW547))/2</f>
        <v>-5.3475935828876664E-3</v>
      </c>
      <c r="AH547" s="4"/>
      <c r="AI547" s="72">
        <f>RSQ(AV547:AX547,AV546:AX546)</f>
        <v>0.74999999999999989</v>
      </c>
      <c r="AJ547" s="110">
        <f>SLOPE(AV547:AX547,AV546:AX546)</f>
        <v>-1.6957108012708224E-11</v>
      </c>
      <c r="AK547" s="72">
        <f>INTERCEPT(AV547:AX547,AV546:AX546)</f>
        <v>0.98484848484848486</v>
      </c>
      <c r="AL547" s="72">
        <f>INDEX(LINEST(LN(AV547:AX547),LN(AV546:AX546),TRUE,TRUE),3,1)</f>
        <v>0.55388315157390289</v>
      </c>
      <c r="AM547" s="72">
        <f>INDEX(LINEST(LN(AV547:AX547),LN(AV546:AX546)),1)</f>
        <v>-5.7309495367118589E-3</v>
      </c>
      <c r="AN547" s="72">
        <f>EXP(INDEX(LINEST(LN(AV547:AX547),LN(AV546:AX546)),1,2))</f>
        <v>1.0940562436175381</v>
      </c>
      <c r="AO547" s="89">
        <f>INDEX(LINEST((AV547:AX547),LN(AV546:AX546),TRUE,TRUE),3,1)</f>
        <v>0.55388315157390278</v>
      </c>
      <c r="AP547" s="89">
        <f>INDEX(LINEST((AV547:AX547),LN(AV546:AX546)),1)</f>
        <v>-5.5878751607162051E-3</v>
      </c>
      <c r="AQ547" s="90">
        <f>INDEX(LINEST(LN(AV547:AX547),SQRT(AV546:AX546),TRUE,TRUE),3,1)</f>
        <v>0.65318446129403118</v>
      </c>
      <c r="AR547" s="117">
        <f>INDEX(LINEST(LN(AV547:AX547),SQRT((AV546:AX546))),1)</f>
        <v>-6.5580589040447953E-7</v>
      </c>
      <c r="AS547" s="91">
        <f>INDEX(LINEST(1/(AV547:AX547),1/(SQRT(AV546:AX546)),TRUE,TRUE),3,1)</f>
        <v>0.4653219192551204</v>
      </c>
      <c r="AT547" s="91">
        <f>INDEX(LINEST(1/(AV547:AX547),1/SQRT(AV546:AX546)),1)</f>
        <v>-192.50966810282424</v>
      </c>
      <c r="AU547" s="3"/>
      <c r="AV547" s="73">
        <v>0.98039215686274506</v>
      </c>
      <c r="AW547" s="73">
        <v>0.98039215686274506</v>
      </c>
      <c r="AX547" s="73">
        <v>0.96969696969696972</v>
      </c>
      <c r="AY547" s="73"/>
      <c r="AZ547" s="53"/>
      <c r="BA547" s="53"/>
      <c r="BB547" s="53"/>
      <c r="BC547" s="53"/>
      <c r="BD547" s="53"/>
      <c r="BE547" s="53"/>
      <c r="BF547" s="53"/>
      <c r="BG547" s="53"/>
      <c r="BH547" s="53"/>
      <c r="BI547" s="53"/>
      <c r="BJ547" s="53"/>
      <c r="BK547" s="53"/>
      <c r="BL547" s="53"/>
      <c r="BM547" s="53"/>
      <c r="BN547" s="53"/>
      <c r="BO547" s="53"/>
      <c r="BP547" s="53"/>
      <c r="BQ547" s="53"/>
      <c r="BR547" s="53"/>
      <c r="BS547" s="53"/>
      <c r="BT547" s="53"/>
      <c r="BU547" s="53"/>
      <c r="BV547" s="53"/>
      <c r="BW547" s="53"/>
      <c r="BX547" s="53"/>
      <c r="BY547" s="53"/>
      <c r="BZ547" s="53"/>
      <c r="CA547" s="53"/>
      <c r="CB547" s="53"/>
      <c r="CC547" s="53"/>
      <c r="CD547" s="53"/>
      <c r="CE547" s="53"/>
      <c r="CF547" s="53"/>
      <c r="CG547" s="53"/>
      <c r="CH547" s="53"/>
      <c r="CI547" s="53"/>
      <c r="CJ547" s="53"/>
      <c r="CK547" s="53"/>
      <c r="CL547" s="53"/>
      <c r="CM547" s="53"/>
      <c r="CN547" s="53"/>
      <c r="CO547" s="53"/>
      <c r="CP547" s="53"/>
      <c r="CQ547" s="53"/>
      <c r="CR547" s="1"/>
      <c r="CS547" s="1"/>
      <c r="CT547" s="1"/>
      <c r="CU547" s="1"/>
    </row>
    <row r="548" spans="1:99" s="13" customFormat="1" ht="12" customHeight="1" x14ac:dyDescent="0.2">
      <c r="A548" s="68">
        <v>43897</v>
      </c>
      <c r="B548" s="67"/>
      <c r="C548" s="67"/>
      <c r="D548" s="86"/>
      <c r="E548" s="87"/>
      <c r="F548" s="69"/>
      <c r="G548" s="69"/>
      <c r="H548" s="69"/>
      <c r="I548" s="69"/>
      <c r="J548" s="69"/>
      <c r="K548" s="107"/>
      <c r="L548" s="107"/>
      <c r="M548" s="69"/>
      <c r="N548" s="69"/>
      <c r="O548" s="69"/>
      <c r="P548" s="69"/>
      <c r="Q548" s="69"/>
      <c r="R548" s="69"/>
      <c r="S548" s="69"/>
      <c r="T548" s="69"/>
      <c r="U548" s="60"/>
      <c r="V548" s="69"/>
      <c r="W548" s="69"/>
      <c r="X548" s="69"/>
      <c r="Y548" s="87"/>
      <c r="Z548" s="69"/>
      <c r="AA548" s="69"/>
      <c r="AB548" s="69"/>
      <c r="AC548" s="72"/>
      <c r="AD548" s="69"/>
      <c r="AE548" s="69"/>
      <c r="AF548" s="88"/>
      <c r="AG548" s="72"/>
      <c r="AH548" s="4"/>
      <c r="AI548" s="72"/>
      <c r="AJ548" s="110"/>
      <c r="AK548" s="72"/>
      <c r="AL548" s="72"/>
      <c r="AM548" s="72"/>
      <c r="AN548" s="72"/>
      <c r="AO548" s="89"/>
      <c r="AP548" s="89"/>
      <c r="AQ548" s="90"/>
      <c r="AR548" s="117"/>
      <c r="AS548" s="91"/>
      <c r="AT548" s="91"/>
      <c r="AU548" s="3"/>
      <c r="AV548" s="71">
        <v>157680000</v>
      </c>
      <c r="AW548" s="71">
        <v>473040000</v>
      </c>
      <c r="AX548" s="71">
        <v>788400000</v>
      </c>
      <c r="AY548" s="71">
        <v>1103760000</v>
      </c>
      <c r="AZ548" s="53"/>
      <c r="BA548" s="53"/>
      <c r="BB548" s="53"/>
      <c r="BC548" s="53"/>
      <c r="BD548" s="53"/>
      <c r="BE548" s="53"/>
      <c r="BF548" s="53"/>
      <c r="BG548" s="53"/>
      <c r="BH548" s="53"/>
      <c r="BI548" s="53"/>
      <c r="BJ548" s="53"/>
      <c r="BK548" s="53"/>
      <c r="BL548" s="53"/>
      <c r="BM548" s="53"/>
      <c r="BN548" s="53"/>
      <c r="BO548" s="53"/>
      <c r="BP548" s="53"/>
      <c r="BQ548" s="53"/>
      <c r="BR548" s="53"/>
      <c r="BS548" s="53"/>
      <c r="BT548" s="53"/>
      <c r="BU548" s="53"/>
      <c r="BV548" s="53"/>
      <c r="BW548" s="53"/>
      <c r="BX548" s="53"/>
      <c r="BY548" s="53"/>
      <c r="BZ548" s="53"/>
      <c r="CA548" s="53"/>
      <c r="CB548" s="53"/>
      <c r="CC548" s="53"/>
      <c r="CD548" s="53"/>
      <c r="CE548" s="53"/>
      <c r="CF548" s="53"/>
      <c r="CG548" s="53"/>
      <c r="CH548" s="53"/>
      <c r="CI548" s="53"/>
      <c r="CJ548" s="53"/>
      <c r="CK548" s="53"/>
      <c r="CL548" s="53"/>
      <c r="CM548" s="53"/>
      <c r="CN548" s="53"/>
      <c r="CO548" s="53"/>
      <c r="CP548" s="53"/>
      <c r="CQ548" s="53"/>
      <c r="CR548" s="1"/>
      <c r="CS548" s="1"/>
      <c r="CT548" s="1"/>
      <c r="CU548" s="1"/>
    </row>
    <row r="549" spans="1:99" s="13" customFormat="1" ht="12" customHeight="1" x14ac:dyDescent="0.2">
      <c r="A549" s="68">
        <v>43897</v>
      </c>
      <c r="B549" s="70" t="s">
        <v>400</v>
      </c>
      <c r="C549" s="70" t="s">
        <v>401</v>
      </c>
      <c r="D549" s="69">
        <v>1998</v>
      </c>
      <c r="E549" s="106">
        <v>2</v>
      </c>
      <c r="F549" s="69">
        <v>4</v>
      </c>
      <c r="G549" s="69">
        <v>4</v>
      </c>
      <c r="H549" s="69" t="s">
        <v>44</v>
      </c>
      <c r="I549" s="69" t="s">
        <v>330</v>
      </c>
      <c r="J549" s="69" t="s">
        <v>760</v>
      </c>
      <c r="K549" s="69">
        <f>IF(J549="syllables",1,IF(J549="trigrams",2,IF(J549="strings",3,IF(J549="visual array",4,IF(J549="characters",5,IF(J549="letters",6,IF(J549="free forms",7,IF(J549="odors",8,IF(J549="words",9,IF(J549="pictures",10,IF(J549="object pictures",11,IF(J549="faces",12,IF(J549="names",13,IF(J549="idioms",14,IF(J549="grades",15,IF(J549="syllable-digit pairs",16,IF(J549="trigram-word pairs",17,IF(J549="word-digit pairs",18,IF(J549="English-Swahili pairs",19,IF(J549="spatial position",20,IF(J549="word pairs",21,IF(J549="word triads",22,IF(J549="generated words",23,IF(J549="word definition pairs",24,IF(J549="math problems",25,IF(J549="famous faces",26,IF(J549="famous names",27,IF(J549="famous voices",28,IF(J549="television programs",29,IF(J549="race horses",30,IF(J549="new vocabulary",31,IF(J549="sentences",32,IF(J549="concepts",33,IF(J549="ad slides",34,IF(J549="scenes",35,IF(J549="famous scenes",36,IF(J549="poems",37,IF(J549="walk",38,IF(J549="faces and events",39,IF(J549="events and names",40,IF(J549="flashbulb",41,IF(J549="stories",42,IF(J549="course material",43,IF(J549="autobiographical",44,IF(J549="novels",45,IF(J549="public events",46,"99"))))))))))))))))))))))))))))))))))))))))))))))</f>
        <v>31</v>
      </c>
      <c r="L549" s="69">
        <f>IF(J549="syllables",1,IF(J549="trigrams",1,IF(J549="strings",1,IF(J549="visual array",1,IF(J549="characters",1,IF(J549="letters",1,IF(J549="free forms",1,IF(J549="odors",2,IF(J549="words",2,IF(J549="pictures",2,IF(J549="object pictures",2,IF(J549="faces",2,IF(J549="names",2,IF(J549="idioms","2",IF(J549="grades",2,IF(J549="syllable-digit pairs",3,IF(J549="trigram-word pairs",3,IF(J549="word-digit pairs",3,IF(J549="English-Swahili pairs",3,IF(J549="spatial position",3,IF(J549="word pairs",4,IF(J549="word triads",4,IF(J549="generated words",4,IF(J549="word definition pairs",4,IF(J549="math problems",4,IF(J549="famous faces",4,IF(J549="famous names",4,IF(J549="famous voices",4,IF(J549="television programs",4,IF(J549="race horses",4,IF(J549="new vocabulary",4,IF(J549="sentences",5,IF(J549="concepts",5,IF(J549="ad slides",5,IF(J549="scenes",5,IF(J549="famous scenes",5,IF(J549="poems",6,IF(J549="walk",6,IF(J549="faces and events",6,IF(J549="events and names",6,IF(J549="flashbulb",7,IF(J549="stories",7,IF(J549="course material",7,IF(J549="autobiographical",7,IF(J549="novels",7,IF(J549="public events",7,"99"))))))))))))))))))))))))))))))))))))))))))))))</f>
        <v>4</v>
      </c>
      <c r="M549" s="99">
        <v>1</v>
      </c>
      <c r="N549" s="69">
        <v>3</v>
      </c>
      <c r="O549" s="99">
        <v>0</v>
      </c>
      <c r="P549" s="69"/>
      <c r="Q549" s="69" t="s">
        <v>34</v>
      </c>
      <c r="R549" s="69">
        <f>IF(Q549="Free Recall",1,IF(Q549="Cued Recall",2,IF(Q549="Recognition",3,IF(Q549="Multiple Choice",4,IF(Q549="Savings",5,IF(Q549="Stem Completion",6,IF(Q549="Fragment Completion",7,IF(Q549="anagram solution",8,IF(Q549="Matching",9,IF(Q549="Problem Solving",10,"99"))))))))))</f>
        <v>3</v>
      </c>
      <c r="S549" s="69" t="s">
        <v>15</v>
      </c>
      <c r="T549" s="92" t="s">
        <v>581</v>
      </c>
      <c r="U549" s="60">
        <f>IF(T549="within",1,0)</f>
        <v>1</v>
      </c>
      <c r="V549" s="92">
        <v>82</v>
      </c>
      <c r="W549" s="69">
        <f>F549*V549</f>
        <v>328</v>
      </c>
      <c r="X549" s="69">
        <v>4</v>
      </c>
      <c r="Y549" s="87">
        <f>AV548</f>
        <v>157680000</v>
      </c>
      <c r="Z549" s="92" t="s">
        <v>375</v>
      </c>
      <c r="AA549" s="69">
        <f>35*365*24*60*60</f>
        <v>1103760000</v>
      </c>
      <c r="AB549" s="69" t="str">
        <f>IF(AA549&lt;60,"1",IF(AA549&lt;=43200,"2",IF(AA549&lt;=777600,"3","4")))</f>
        <v>4</v>
      </c>
      <c r="AC549" s="72">
        <f>AVERAGE(AV548:DA548)</f>
        <v>630720000</v>
      </c>
      <c r="AD549" s="69" t="str">
        <f>IF(AC549&lt;60,"1",IF(AC549&lt;=43200,"2",IF(AC549&lt;=777600,"3","4")))</f>
        <v>4</v>
      </c>
      <c r="AE549" s="87">
        <f>AA549-Y549</f>
        <v>946080000</v>
      </c>
      <c r="AF549" s="88">
        <f>AV549</f>
        <v>0.96875</v>
      </c>
      <c r="AG549" s="72">
        <f>((AW549-AV549)+(AX549-AW549)+(AY549-AX549))/3</f>
        <v>-6.4609704641350367E-3</v>
      </c>
      <c r="AH549" s="4"/>
      <c r="AI549" s="72">
        <f>RSQ(AV549:AY549,AV548:AY548)</f>
        <v>0.31154947873879185</v>
      </c>
      <c r="AJ549" s="110">
        <f>SLOPE(AV549:AY549,AV548:AY548)</f>
        <v>-1.7558015093682641E-11</v>
      </c>
      <c r="AK549" s="72">
        <f>INTERCEPT(AV549:AY549,AV548:AY548)</f>
        <v>0.97879790787623078</v>
      </c>
      <c r="AL549" s="72">
        <f>INDEX(LINEST(LN(AV549:AY549),LN(AV548:AY548),TRUE,TRUE),3,1)</f>
        <v>0.12704596041746455</v>
      </c>
      <c r="AM549" s="72">
        <f>INDEX(LINEST(LN(AV549:AY549),LN(AV548:AY548)),1)</f>
        <v>-5.5760152791762942E-3</v>
      </c>
      <c r="AN549" s="72">
        <f>EXP(INDEX(LINEST(LN(AV549:AY549),LN(AV548:AY548)),1,2))</f>
        <v>1.0820594936535337</v>
      </c>
      <c r="AO549" s="89">
        <f>INDEX(LINEST((AV549:AY549),LN(AV548:AY548),TRUE,TRUE),3,1)</f>
        <v>0.12489314042161019</v>
      </c>
      <c r="AP549" s="89">
        <f>INDEX(LINEST((AV549:AY549),LN(AV548:AY548)),1)</f>
        <v>-5.3228734425137267E-3</v>
      </c>
      <c r="AQ549" s="90">
        <f>INDEX(LINEST(LN(AV549:AY549),SQRT(AV548:AY548),TRUE,TRUE),3,1)</f>
        <v>0.21186875958438076</v>
      </c>
      <c r="AR549" s="117">
        <f>INDEX(LINEST(LN(AV549:AY549),SQRT((AV548:AY548))),1)</f>
        <v>-6.8789688471268594E-7</v>
      </c>
      <c r="AS549" s="91">
        <f>INDEX(LINEST(1/(AV549:AY549),1/(SQRT(AV548:AY548)),TRUE,TRUE),3,1)</f>
        <v>7.0881832868444877E-2</v>
      </c>
      <c r="AT549" s="91">
        <f>INDEX(LINEST(1/(AV549:AY549),1/SQRT(AV548:AY548)),1)</f>
        <v>-165.69295152547929</v>
      </c>
      <c r="AU549" s="3"/>
      <c r="AV549" s="95">
        <v>0.96875</v>
      </c>
      <c r="AW549" s="95">
        <v>0.97499999999999998</v>
      </c>
      <c r="AX549" s="95">
        <v>0.97777777777777775</v>
      </c>
      <c r="AY549" s="95">
        <v>0.94936708860759489</v>
      </c>
      <c r="AZ549" s="53"/>
      <c r="BA549" s="53"/>
      <c r="BB549" s="53"/>
      <c r="BC549" s="53"/>
      <c r="BD549" s="53"/>
      <c r="BE549" s="53"/>
      <c r="BF549" s="53"/>
      <c r="BG549" s="53"/>
      <c r="BH549" s="53"/>
      <c r="BI549" s="53"/>
      <c r="BJ549" s="53"/>
      <c r="BK549" s="53"/>
      <c r="BL549" s="53"/>
      <c r="BM549" s="53"/>
      <c r="BN549" s="53"/>
      <c r="BO549" s="53"/>
      <c r="BP549" s="53"/>
      <c r="BQ549" s="53"/>
      <c r="BR549" s="53"/>
      <c r="BS549" s="53"/>
      <c r="BT549" s="53"/>
      <c r="BU549" s="53"/>
      <c r="BV549" s="53"/>
      <c r="BW549" s="53"/>
      <c r="BX549" s="53"/>
      <c r="BY549" s="53"/>
      <c r="BZ549" s="53"/>
      <c r="CA549" s="53"/>
      <c r="CB549" s="53"/>
      <c r="CC549" s="53"/>
      <c r="CD549" s="53"/>
      <c r="CE549" s="53"/>
      <c r="CF549" s="53"/>
      <c r="CG549" s="53"/>
      <c r="CH549" s="53"/>
      <c r="CI549" s="53"/>
      <c r="CJ549" s="53"/>
      <c r="CK549" s="53"/>
      <c r="CL549" s="53"/>
      <c r="CM549" s="53"/>
      <c r="CN549" s="53"/>
      <c r="CO549" s="53"/>
      <c r="CP549" s="53"/>
      <c r="CQ549" s="53"/>
      <c r="CR549" s="1"/>
      <c r="CS549" s="1"/>
      <c r="CT549" s="1"/>
      <c r="CU549" s="1"/>
    </row>
    <row r="550" spans="1:99" s="13" customFormat="1" ht="12" customHeight="1" x14ac:dyDescent="0.2">
      <c r="A550" s="68">
        <v>43897</v>
      </c>
      <c r="B550" s="67"/>
      <c r="C550" s="67"/>
      <c r="D550" s="86"/>
      <c r="E550" s="87"/>
      <c r="F550" s="69"/>
      <c r="G550" s="69"/>
      <c r="H550" s="69"/>
      <c r="I550" s="69"/>
      <c r="J550" s="69"/>
      <c r="K550" s="107"/>
      <c r="L550" s="107"/>
      <c r="M550" s="69"/>
      <c r="N550" s="69"/>
      <c r="O550" s="69"/>
      <c r="P550" s="69"/>
      <c r="Q550" s="69"/>
      <c r="R550" s="69"/>
      <c r="S550" s="69"/>
      <c r="T550" s="69"/>
      <c r="U550" s="60"/>
      <c r="V550" s="69"/>
      <c r="W550" s="69"/>
      <c r="X550" s="69"/>
      <c r="Y550" s="87"/>
      <c r="Z550" s="69"/>
      <c r="AA550" s="69"/>
      <c r="AB550" s="69"/>
      <c r="AC550" s="72"/>
      <c r="AD550" s="69"/>
      <c r="AE550" s="69"/>
      <c r="AF550" s="88"/>
      <c r="AG550" s="72"/>
      <c r="AH550" s="4"/>
      <c r="AI550" s="72"/>
      <c r="AJ550" s="110"/>
      <c r="AK550" s="72"/>
      <c r="AL550" s="72"/>
      <c r="AM550" s="72"/>
      <c r="AN550" s="72"/>
      <c r="AO550" s="89"/>
      <c r="AP550" s="89"/>
      <c r="AQ550" s="90"/>
      <c r="AR550" s="117"/>
      <c r="AS550" s="91"/>
      <c r="AT550" s="91"/>
      <c r="AU550" s="3"/>
      <c r="AV550" s="71">
        <v>157680000</v>
      </c>
      <c r="AW550" s="71">
        <v>473040000</v>
      </c>
      <c r="AX550" s="71">
        <v>788400000</v>
      </c>
      <c r="AY550" s="71">
        <v>1103760000</v>
      </c>
      <c r="AZ550" s="53"/>
      <c r="BA550" s="53"/>
      <c r="BB550" s="53"/>
      <c r="BC550" s="53"/>
      <c r="BD550" s="53"/>
      <c r="BE550" s="53"/>
      <c r="BF550" s="53"/>
      <c r="BG550" s="53"/>
      <c r="BH550" s="53"/>
      <c r="BI550" s="53"/>
      <c r="BJ550" s="53"/>
      <c r="BK550" s="53"/>
      <c r="BL550" s="53"/>
      <c r="BM550" s="53"/>
      <c r="BN550" s="53"/>
      <c r="BO550" s="53"/>
      <c r="BP550" s="53"/>
      <c r="BQ550" s="53"/>
      <c r="BR550" s="53"/>
      <c r="BS550" s="53"/>
      <c r="BT550" s="53"/>
      <c r="BU550" s="53"/>
      <c r="BV550" s="53"/>
      <c r="BW550" s="53"/>
      <c r="BX550" s="53"/>
      <c r="BY550" s="53"/>
      <c r="BZ550" s="53"/>
      <c r="CA550" s="53"/>
      <c r="CB550" s="53"/>
      <c r="CC550" s="53"/>
      <c r="CD550" s="53"/>
      <c r="CE550" s="53"/>
      <c r="CF550" s="53"/>
      <c r="CG550" s="53"/>
      <c r="CH550" s="53"/>
      <c r="CI550" s="53"/>
      <c r="CJ550" s="53"/>
      <c r="CK550" s="53"/>
      <c r="CL550" s="53"/>
      <c r="CM550" s="53"/>
      <c r="CN550" s="53"/>
      <c r="CO550" s="53"/>
      <c r="CP550" s="53"/>
      <c r="CQ550" s="53"/>
      <c r="CR550" s="1"/>
      <c r="CS550" s="1"/>
      <c r="CT550" s="1"/>
      <c r="CU550" s="1"/>
    </row>
    <row r="551" spans="1:99" s="13" customFormat="1" ht="12" customHeight="1" x14ac:dyDescent="0.2">
      <c r="A551" s="68">
        <v>43897</v>
      </c>
      <c r="B551" s="70" t="s">
        <v>400</v>
      </c>
      <c r="C551" s="70" t="s">
        <v>401</v>
      </c>
      <c r="D551" s="69">
        <v>1998</v>
      </c>
      <c r="E551" s="106">
        <v>2</v>
      </c>
      <c r="F551" s="69">
        <v>4</v>
      </c>
      <c r="G551" s="69">
        <v>4</v>
      </c>
      <c r="H551" s="69" t="s">
        <v>44</v>
      </c>
      <c r="I551" s="69" t="s">
        <v>330</v>
      </c>
      <c r="J551" s="69" t="s">
        <v>367</v>
      </c>
      <c r="K551" s="69">
        <f>IF(J551="syllables",1,IF(J551="trigrams",2,IF(J551="strings",3,IF(J551="visual array",4,IF(J551="characters",5,IF(J551="letters",6,IF(J551="free forms",7,IF(J551="odors",8,IF(J551="words",9,IF(J551="pictures",10,IF(J551="object pictures",11,IF(J551="faces",12,IF(J551="names",13,IF(J551="idioms",14,IF(J551="grades",15,IF(J551="syllable-digit pairs",16,IF(J551="trigram-word pairs",17,IF(J551="word-digit pairs",18,IF(J551="English-Swahili pairs",19,IF(J551="spatial position",20,IF(J551="word pairs",21,IF(J551="word triads",22,IF(J551="generated words",23,IF(J551="word definition pairs",24,IF(J551="math problems",25,IF(J551="famous faces",26,IF(J551="famous names",27,IF(J551="famous voices",28,IF(J551="television programs",29,IF(J551="race horses",30,IF(J551="new vocabulary",31,IF(J551="sentences",32,IF(J551="concepts",33,IF(J551="ad slides",34,IF(J551="scenes",35,IF(J551="famous scenes",36,IF(J551="poems",37,IF(J551="walk",38,IF(J551="faces and events",39,IF(J551="events and names",40,IF(J551="flashbulb",41,IF(J551="stories",42,IF(J551="course material",43,IF(J551="autobiographical",44,IF(J551="novels",45,IF(J551="public events",46,"99"))))))))))))))))))))))))))))))))))))))))))))))</f>
        <v>27</v>
      </c>
      <c r="L551" s="69">
        <f>IF(J551="syllables",1,IF(J551="trigrams",1,IF(J551="strings",1,IF(J551="visual array",1,IF(J551="characters",1,IF(J551="letters",1,IF(J551="free forms",1,IF(J551="odors",2,IF(J551="words",2,IF(J551="pictures",2,IF(J551="object pictures",2,IF(J551="faces",2,IF(J551="names",2,IF(J551="idioms","2",IF(J551="grades",2,IF(J551="syllable-digit pairs",3,IF(J551="trigram-word pairs",3,IF(J551="word-digit pairs",3,IF(J551="English-Swahili pairs",3,IF(J551="spatial position",3,IF(J551="word pairs",4,IF(J551="word triads",4,IF(J551="generated words",4,IF(J551="word definition pairs",4,IF(J551="math problems",4,IF(J551="famous faces",4,IF(J551="famous names",4,IF(J551="famous voices",4,IF(J551="television programs",4,IF(J551="race horses",4,IF(J551="new vocabulary",4,IF(J551="sentences",5,IF(J551="concepts",5,IF(J551="ad slides",5,IF(J551="scenes",5,IF(J551="famous scenes",5,IF(J551="poems",6,IF(J551="walk",6,IF(J551="faces and events",6,IF(J551="events and names",6,IF(J551="flashbulb",7,IF(J551="stories",7,IF(J551="course material",7,IF(J551="autobiographical",7,IF(J551="novels",7,IF(J551="public events",7,"99"))))))))))))))))))))))))))))))))))))))))))))))</f>
        <v>4</v>
      </c>
      <c r="M551" s="99">
        <v>1</v>
      </c>
      <c r="N551" s="69">
        <v>3</v>
      </c>
      <c r="O551" s="99">
        <v>0</v>
      </c>
      <c r="P551" s="69"/>
      <c r="Q551" s="69" t="s">
        <v>34</v>
      </c>
      <c r="R551" s="69">
        <f>IF(Q551="Free Recall",1,IF(Q551="Cued Recall",2,IF(Q551="Recognition",3,IF(Q551="Multiple Choice",4,IF(Q551="Savings",5,IF(Q551="Stem Completion",6,IF(Q551="Fragment Completion",7,IF(Q551="anagram solution",8,IF(Q551="Matching",9,IF(Q551="Problem Solving",10,"99"))))))))))</f>
        <v>3</v>
      </c>
      <c r="S551" s="69" t="s">
        <v>15</v>
      </c>
      <c r="T551" s="92" t="s">
        <v>581</v>
      </c>
      <c r="U551" s="60">
        <f>IF(T551="within",1,0)</f>
        <v>1</v>
      </c>
      <c r="V551" s="92">
        <v>70</v>
      </c>
      <c r="W551" s="69">
        <f>F551*V551</f>
        <v>280</v>
      </c>
      <c r="X551" s="69">
        <v>4</v>
      </c>
      <c r="Y551" s="87">
        <f>AV550</f>
        <v>157680000</v>
      </c>
      <c r="Z551" s="92" t="s">
        <v>375</v>
      </c>
      <c r="AA551" s="69">
        <f>35*365*24*60*60</f>
        <v>1103760000</v>
      </c>
      <c r="AB551" s="69" t="str">
        <f>IF(AA551&lt;60,"1",IF(AA551&lt;=43200,"2",IF(AA551&lt;=777600,"3","4")))</f>
        <v>4</v>
      </c>
      <c r="AC551" s="72">
        <f>AVERAGE(AV550:DA550)</f>
        <v>630720000</v>
      </c>
      <c r="AD551" s="69" t="str">
        <f>IF(AC551&lt;60,"1",IF(AC551&lt;=43200,"2",IF(AC551&lt;=777600,"3","4")))</f>
        <v>4</v>
      </c>
      <c r="AE551" s="87">
        <f>AA551-Y551</f>
        <v>946080000</v>
      </c>
      <c r="AF551" s="88">
        <f>AV551</f>
        <v>1</v>
      </c>
      <c r="AG551" s="72">
        <f>((AW551-AV551)+(AX551-AW551)+(AY551-AX551))/3</f>
        <v>-1.3888888888888876E-2</v>
      </c>
      <c r="AH551" s="4"/>
      <c r="AI551" s="72">
        <f>RSQ(AV551:AY551,AV550:AY550)</f>
        <v>0.59999999999999987</v>
      </c>
      <c r="AJ551" s="110">
        <f>SLOPE(AV551:AY551,AV550:AY550)</f>
        <v>-3.9637239979705694E-11</v>
      </c>
      <c r="AK551" s="72">
        <f>INTERCEPT(AV551:AY551,AV550:AY550)</f>
        <v>1.0145833333333334</v>
      </c>
      <c r="AL551" s="72">
        <f>INDEX(LINEST(LN(AV551:AY551),LN(AV550:AY550),TRUE,TRUE),3,1)</f>
        <v>0.3763269848771037</v>
      </c>
      <c r="AM551" s="72">
        <f>INDEX(LINEST(LN(AV551:AY551),LN(AV550:AY550)),1)</f>
        <v>-1.5352684727363144E-2</v>
      </c>
      <c r="AN551" s="72">
        <f>EXP(INDEX(LINEST(LN(AV551:AY551),LN(AV550:AY550)),1,2))</f>
        <v>1.345843926193885</v>
      </c>
      <c r="AO551" s="89">
        <f>INDEX(LINEST((AV551:AY551),LN(AV550:AY550),TRUE,TRUE),3,1)</f>
        <v>0.37632698487710392</v>
      </c>
      <c r="AP551" s="89">
        <f>INDEX(LINEST((AV551:AY551),LN(AV550:AY550)),1)</f>
        <v>-1.5030568432287082E-2</v>
      </c>
      <c r="AQ551" s="90">
        <f>INDEX(LINEST(LN(AV551:AY551),SQRT(AV550:AY550),TRUE,TRUE),3,1)</f>
        <v>0.48741027341118975</v>
      </c>
      <c r="AR551" s="117">
        <f>INDEX(LINEST(LN(AV551:AY551),SQRT((AV550:AY550))),1)</f>
        <v>-1.6691499218757742E-6</v>
      </c>
      <c r="AS551" s="91">
        <f>INDEX(LINEST(1/(AV551:AY551),1/(SQRT(AV550:AY550)),TRUE,TRUE),3,1)</f>
        <v>0.28353608667563918</v>
      </c>
      <c r="AT551" s="91">
        <f>INDEX(LINEST(1/(AV551:AY551),1/SQRT(AV550:AY550)),1)</f>
        <v>-521.4023972509475</v>
      </c>
      <c r="AU551" s="3"/>
      <c r="AV551" s="95">
        <v>1</v>
      </c>
      <c r="AW551" s="95">
        <v>1</v>
      </c>
      <c r="AX551" s="95">
        <v>1</v>
      </c>
      <c r="AY551" s="95">
        <v>0.95833333333333337</v>
      </c>
      <c r="AZ551" s="53"/>
      <c r="BA551" s="53"/>
      <c r="BB551" s="53"/>
      <c r="BC551" s="53"/>
      <c r="BD551" s="53"/>
      <c r="BE551" s="53"/>
      <c r="BF551" s="53"/>
      <c r="BG551" s="53"/>
      <c r="BH551" s="53"/>
      <c r="BI551" s="53"/>
      <c r="BJ551" s="53"/>
      <c r="BK551" s="53"/>
      <c r="BL551" s="53"/>
      <c r="BM551" s="53"/>
      <c r="BN551" s="53"/>
      <c r="BO551" s="53"/>
      <c r="BP551" s="53"/>
      <c r="BQ551" s="53"/>
      <c r="BR551" s="53"/>
      <c r="BS551" s="53"/>
      <c r="BT551" s="53"/>
      <c r="BU551" s="53"/>
      <c r="BV551" s="53"/>
      <c r="BW551" s="53"/>
      <c r="BX551" s="53"/>
      <c r="BY551" s="53"/>
      <c r="BZ551" s="53"/>
      <c r="CA551" s="53"/>
      <c r="CB551" s="53"/>
      <c r="CC551" s="53"/>
      <c r="CD551" s="53"/>
      <c r="CE551" s="53"/>
      <c r="CF551" s="53"/>
      <c r="CG551" s="53"/>
      <c r="CH551" s="53"/>
      <c r="CI551" s="53"/>
      <c r="CJ551" s="53"/>
      <c r="CK551" s="53"/>
      <c r="CL551" s="53"/>
      <c r="CM551" s="53"/>
      <c r="CN551" s="53"/>
      <c r="CO551" s="53"/>
      <c r="CP551" s="53"/>
      <c r="CQ551" s="53"/>
      <c r="CR551" s="1"/>
      <c r="CS551" s="1"/>
      <c r="CT551" s="1"/>
      <c r="CU551" s="1"/>
    </row>
    <row r="552" spans="1:99" s="13" customFormat="1" ht="12" customHeight="1" x14ac:dyDescent="0.2">
      <c r="A552" s="68">
        <v>43648</v>
      </c>
      <c r="B552" s="70"/>
      <c r="C552" s="70"/>
      <c r="D552" s="69"/>
      <c r="E552" s="87"/>
      <c r="F552" s="69"/>
      <c r="G552" s="69"/>
      <c r="H552" s="69"/>
      <c r="I552" s="69"/>
      <c r="J552" s="69"/>
      <c r="K552" s="107"/>
      <c r="L552" s="107"/>
      <c r="M552" s="69"/>
      <c r="N552" s="69"/>
      <c r="O552" s="69"/>
      <c r="P552" s="69"/>
      <c r="Q552" s="69"/>
      <c r="R552" s="69"/>
      <c r="S552" s="69"/>
      <c r="T552" s="69"/>
      <c r="U552" s="60"/>
      <c r="V552" s="69"/>
      <c r="W552" s="69"/>
      <c r="X552" s="69"/>
      <c r="Y552" s="87"/>
      <c r="Z552" s="69"/>
      <c r="AA552" s="69"/>
      <c r="AB552" s="69"/>
      <c r="AC552" s="69"/>
      <c r="AD552" s="69"/>
      <c r="AE552" s="69"/>
      <c r="AF552" s="88"/>
      <c r="AG552" s="72"/>
      <c r="AH552" s="4"/>
      <c r="AI552" s="72"/>
      <c r="AJ552" s="110"/>
      <c r="AK552" s="72"/>
      <c r="AL552" s="72"/>
      <c r="AM552" s="72"/>
      <c r="AN552" s="72"/>
      <c r="AO552" s="72"/>
      <c r="AP552" s="72"/>
      <c r="AQ552" s="72"/>
      <c r="AR552" s="110"/>
      <c r="AS552" s="72"/>
      <c r="AT552" s="72"/>
      <c r="AU552" s="4"/>
      <c r="AV552" s="71">
        <f>5*60</f>
        <v>300</v>
      </c>
      <c r="AW552" s="71">
        <f>1*7*24*3600</f>
        <v>604800</v>
      </c>
      <c r="AX552" s="71">
        <f>3*7*24*3600</f>
        <v>1814400</v>
      </c>
      <c r="AY552" s="71">
        <f>9*7*24*3600</f>
        <v>5443200</v>
      </c>
      <c r="AZ552" s="53" t="s">
        <v>524</v>
      </c>
      <c r="BA552" s="53"/>
      <c r="BB552" s="53"/>
      <c r="BC552" s="53"/>
      <c r="BD552" s="53"/>
      <c r="BE552" s="53"/>
      <c r="BF552" s="53"/>
      <c r="BG552" s="53"/>
      <c r="BH552" s="53"/>
      <c r="BI552" s="53"/>
      <c r="BJ552" s="53"/>
      <c r="BK552" s="53"/>
      <c r="BL552" s="53"/>
      <c r="BM552" s="53"/>
      <c r="BN552" s="53"/>
      <c r="BO552" s="53"/>
      <c r="BP552" s="53"/>
      <c r="BQ552" s="53"/>
      <c r="BR552" s="53"/>
      <c r="BS552" s="53"/>
      <c r="BT552" s="53"/>
      <c r="BU552" s="53"/>
      <c r="BV552" s="53"/>
      <c r="BW552" s="53"/>
      <c r="BX552" s="53"/>
      <c r="BY552" s="53"/>
      <c r="BZ552" s="53"/>
      <c r="CA552" s="53"/>
      <c r="CB552" s="53"/>
      <c r="CC552" s="53"/>
      <c r="CD552" s="53"/>
      <c r="CE552" s="53"/>
      <c r="CF552" s="53"/>
      <c r="CG552" s="53"/>
      <c r="CH552" s="53"/>
      <c r="CI552" s="53"/>
      <c r="CJ552" s="53"/>
      <c r="CK552" s="53"/>
      <c r="CL552" s="53"/>
      <c r="CM552" s="53"/>
      <c r="CN552" s="53"/>
      <c r="CO552" s="53"/>
      <c r="CP552" s="53"/>
      <c r="CQ552" s="53"/>
      <c r="CR552" s="1"/>
      <c r="CS552" s="1"/>
      <c r="CT552" s="1"/>
      <c r="CU552" s="1"/>
    </row>
    <row r="553" spans="1:99" s="13" customFormat="1" ht="12" customHeight="1" x14ac:dyDescent="0.2">
      <c r="A553" s="68">
        <v>43648</v>
      </c>
      <c r="B553" s="70" t="s">
        <v>324</v>
      </c>
      <c r="C553" s="70" t="s">
        <v>307</v>
      </c>
      <c r="D553" s="69">
        <v>2005</v>
      </c>
      <c r="E553" s="87">
        <v>1</v>
      </c>
      <c r="F553" s="69">
        <v>63</v>
      </c>
      <c r="G553" s="69">
        <v>21</v>
      </c>
      <c r="H553" s="69" t="s">
        <v>792</v>
      </c>
      <c r="I553" s="69" t="s">
        <v>788</v>
      </c>
      <c r="J553" s="69" t="s">
        <v>320</v>
      </c>
      <c r="K553" s="69">
        <f>IF(J553="syllables",1,IF(J553="trigrams",2,IF(J553="strings",3,IF(J553="visual array",4,IF(J553="characters",5,IF(J553="letters",6,IF(J553="free forms",7,IF(J553="odors",8,IF(J553="words",9,IF(J553="pictures",10,IF(J553="object pictures",11,IF(J553="faces",12,IF(J553="names",13,IF(J553="idioms",14,IF(J553="grades",15,IF(J553="syllable-digit pairs",16,IF(J553="trigram-word pairs",17,IF(J553="word-digit pairs",18,IF(J553="English-Swahili pairs",19,IF(J553="spatial position",20,IF(J553="word pairs",21,IF(J553="word triads",22,IF(J553="generated words",23,IF(J553="word definition pairs",24,IF(J553="math problems",25,IF(J553="famous faces",26,IF(J553="famous names",27,IF(J553="famous voices",28,IF(J553="television programs",29,IF(J553="race horses",30,IF(J553="new vocabulary",31,IF(J553="sentences",32,IF(J553="concepts",33,IF(J553="ad slides",34,IF(J553="scenes",35,IF(J553="famous scenes",36,IF(J553="poems",37,IF(J553="walk",38,IF(J553="faces and events",39,IF(J553="events and names",40,IF(J553="flashbulb",41,IF(J553="stories",42,IF(J553="course material",43,IF(J553="autobiographical",44,IF(J553="novels",45,IF(J553="public events",46,"99"))))))))))))))))))))))))))))))))))))))))))))))</f>
        <v>21</v>
      </c>
      <c r="L553" s="69">
        <f>IF(J553="syllables",1,IF(J553="trigrams",1,IF(J553="strings",1,IF(J553="visual array",1,IF(J553="characters",1,IF(J553="letters",1,IF(J553="free forms",1,IF(J553="odors",2,IF(J553="words",2,IF(J553="pictures",2,IF(J553="object pictures",2,IF(J553="faces",2,IF(J553="names",2,IF(J553="idioms","2",IF(J553="grades",2,IF(J553="syllable-digit pairs",3,IF(J553="trigram-word pairs",3,IF(J553="word-digit pairs",3,IF(J553="English-Swahili pairs",3,IF(J553="spatial position",3,IF(J553="word pairs",4,IF(J553="word triads",4,IF(J553="generated words",4,IF(J553="word definition pairs",4,IF(J553="math problems",4,IF(J553="famous faces",4,IF(J553="famous names",4,IF(J553="famous voices",4,IF(J553="television programs",4,IF(J553="race horses",4,IF(J553="new vocabulary",4,IF(J553="sentences",5,IF(J553="concepts",5,IF(J553="ad slides",5,IF(J553="scenes",5,IF(J553="famous scenes",5,IF(J553="poems",6,IF(J553="walk",6,IF(J553="faces and events",6,IF(J553="events and names",6,IF(J553="flashbulb",7,IF(J553="stories",7,IF(J553="course material",7,IF(J553="autobiographical",7,IF(J553="novels",7,IF(J553="public events",7,"99"))))))))))))))))))))))))))))))))))))))))))))))</f>
        <v>4</v>
      </c>
      <c r="M553" s="69">
        <v>1</v>
      </c>
      <c r="N553" s="69">
        <v>1</v>
      </c>
      <c r="O553" s="69">
        <v>0</v>
      </c>
      <c r="P553" s="69"/>
      <c r="Q553" s="69" t="s">
        <v>65</v>
      </c>
      <c r="R553" s="69">
        <f>IF(Q553="Free Recall",1,IF(Q553="Cued Recall",2,IF(Q553="Recognition",3,IF(Q553="Multiple Choice",4,IF(Q553="Savings",5,IF(Q553="Stem Completion",6,IF(Q553="Fragment Completion",7,IF(Q553="anagram solution",8,IF(Q553="Matching",9,IF(Q553="Problem Solving",10,"99"))))))))))</f>
        <v>2</v>
      </c>
      <c r="S553" s="69" t="s">
        <v>310</v>
      </c>
      <c r="T553" s="69" t="s">
        <v>261</v>
      </c>
      <c r="U553" s="60">
        <f>IF(T553="within",1,0)</f>
        <v>0</v>
      </c>
      <c r="V553" s="69">
        <v>10</v>
      </c>
      <c r="W553" s="69">
        <f>F553*V553</f>
        <v>630</v>
      </c>
      <c r="X553" s="69">
        <v>4</v>
      </c>
      <c r="Y553" s="87">
        <f>AV552</f>
        <v>300</v>
      </c>
      <c r="Z553" s="69" t="s">
        <v>311</v>
      </c>
      <c r="AA553" s="69">
        <f>9*7*24*3600</f>
        <v>5443200</v>
      </c>
      <c r="AB553" s="69" t="str">
        <f>IF(AA553&lt;60,"1",IF(AA553&lt;=43200,"2",IF(AA553&lt;=777600,"3","4")))</f>
        <v>4</v>
      </c>
      <c r="AC553" s="72">
        <f>AVERAGE(AV552:DA552)</f>
        <v>1965675</v>
      </c>
      <c r="AD553" s="69" t="str">
        <f>IF(AC553&lt;60,"1",IF(AC553&lt;=43200,"2",IF(AC553&lt;=777600,"3","4")))</f>
        <v>4</v>
      </c>
      <c r="AE553" s="87">
        <f>AA553-Y553</f>
        <v>5442900</v>
      </c>
      <c r="AF553" s="88">
        <f>AV553</f>
        <v>0.97</v>
      </c>
      <c r="AG553" s="72">
        <f>((AW553-AV553)+(AX553-AW553)+(AY553-AX553))/3</f>
        <v>-0.24333333333333332</v>
      </c>
      <c r="AH553" s="4"/>
      <c r="AI553" s="72">
        <f>RSQ(AV553:AY553,AV552:AY552)</f>
        <v>0.66164586405714199</v>
      </c>
      <c r="AJ553" s="110">
        <f>SLOPE(AV553:AY553,AV552:AY552)</f>
        <v>-1.1599572125142979E-7</v>
      </c>
      <c r="AK553" s="72">
        <f>INTERCEPT(AV553:AY553,AV552:AY552)</f>
        <v>0.77800988937090432</v>
      </c>
      <c r="AL553" s="72">
        <f>INDEX(LINEST(LN(AV553:AY553),LN(AV552:AY552),TRUE,TRUE),3,1)</f>
        <v>0.70368547917842761</v>
      </c>
      <c r="AM553" s="72">
        <f>INDEX(LINEST(LN(AV553:AY553),LN(AV552:AY552)),1)</f>
        <v>-0.12744558128548308</v>
      </c>
      <c r="AN553" s="72">
        <f>EXP(INDEX(LINEST(LN(AV553:AY553),LN(AV552:AY552)),1,2))</f>
        <v>2.2170740337566186</v>
      </c>
      <c r="AO553" s="89">
        <f>INDEX(LINEST((AV553:AY553),LN(AV552:AY552),TRUE,TRUE),3,1)</f>
        <v>0.80608359929243756</v>
      </c>
      <c r="AP553" s="89">
        <f>INDEX(LINEST((AV553:AY553),LN(AV552:AY552)),1)</f>
        <v>-7.0218762436895621E-2</v>
      </c>
      <c r="AQ553" s="90">
        <f>INDEX(LINEST(LN(AV553:AY553),SQRT(AV552:AY552),TRUE,TRUE),3,1)</f>
        <v>0.88551622328065693</v>
      </c>
      <c r="AR553" s="117">
        <f>INDEX(LINEST(LN(AV553:AY553),SQRT((AV552:AY552))),1)</f>
        <v>-6.5132155782914893E-4</v>
      </c>
      <c r="AS553" s="91">
        <f>INDEX(LINEST(1/(AV553:AY553),1/(SQRT(AV552:AY552)),TRUE,TRUE),3,1)</f>
        <v>0.43489849692278648</v>
      </c>
      <c r="AT553" s="91">
        <f>INDEX(LINEST(1/(AV553:AY553),1/SQRT(AV552:AY552)),1)</f>
        <v>-35.34898937579306</v>
      </c>
      <c r="AU553" s="4"/>
      <c r="AV553" s="73">
        <v>0.97</v>
      </c>
      <c r="AW553" s="73">
        <v>0.7</v>
      </c>
      <c r="AX553" s="73">
        <v>0.28999999999999998</v>
      </c>
      <c r="AY553" s="73">
        <v>0.24</v>
      </c>
      <c r="AZ553" s="53"/>
      <c r="BA553" s="53"/>
      <c r="BB553" s="53"/>
      <c r="BC553" s="53"/>
      <c r="BD553" s="53"/>
      <c r="BE553" s="53"/>
      <c r="BF553" s="53"/>
      <c r="BG553" s="53"/>
      <c r="BH553" s="53"/>
      <c r="BI553" s="53"/>
      <c r="BJ553" s="53"/>
      <c r="BK553" s="53"/>
      <c r="BL553" s="53"/>
      <c r="BM553" s="53"/>
      <c r="BN553" s="53"/>
      <c r="BO553" s="53"/>
      <c r="BP553" s="53"/>
      <c r="BQ553" s="53"/>
      <c r="BR553" s="53"/>
      <c r="BS553" s="53"/>
      <c r="BT553" s="53"/>
      <c r="BU553" s="53"/>
      <c r="BV553" s="53"/>
      <c r="BW553" s="53"/>
      <c r="BX553" s="53"/>
      <c r="BY553" s="53"/>
      <c r="BZ553" s="53"/>
      <c r="CA553" s="53"/>
      <c r="CB553" s="53"/>
      <c r="CC553" s="53"/>
      <c r="CD553" s="53"/>
      <c r="CE553" s="53"/>
      <c r="CF553" s="53"/>
      <c r="CG553" s="53"/>
      <c r="CH553" s="53"/>
      <c r="CI553" s="53"/>
      <c r="CJ553" s="53"/>
      <c r="CK553" s="53"/>
      <c r="CL553" s="53"/>
      <c r="CM553" s="53"/>
      <c r="CN553" s="53"/>
      <c r="CO553" s="53"/>
      <c r="CP553" s="53"/>
      <c r="CQ553" s="53"/>
      <c r="CR553" s="1"/>
      <c r="CS553" s="1"/>
      <c r="CT553" s="1"/>
      <c r="CU553" s="1"/>
    </row>
    <row r="554" spans="1:99" s="13" customFormat="1" ht="12" customHeight="1" x14ac:dyDescent="0.2">
      <c r="A554" s="68">
        <v>43648</v>
      </c>
      <c r="B554" s="70"/>
      <c r="C554" s="70"/>
      <c r="D554" s="69"/>
      <c r="E554" s="87"/>
      <c r="F554" s="69"/>
      <c r="G554" s="69"/>
      <c r="H554" s="69"/>
      <c r="I554" s="69"/>
      <c r="J554" s="69"/>
      <c r="K554" s="107"/>
      <c r="L554" s="107"/>
      <c r="M554" s="69"/>
      <c r="N554" s="69"/>
      <c r="O554" s="69"/>
      <c r="P554" s="69"/>
      <c r="Q554" s="69"/>
      <c r="R554" s="69"/>
      <c r="S554" s="69"/>
      <c r="T554" s="69"/>
      <c r="U554" s="60"/>
      <c r="V554" s="69"/>
      <c r="W554" s="69"/>
      <c r="X554" s="69"/>
      <c r="Y554" s="87"/>
      <c r="Z554" s="69"/>
      <c r="AA554" s="69"/>
      <c r="AB554" s="69"/>
      <c r="AC554" s="69"/>
      <c r="AD554" s="69"/>
      <c r="AE554" s="69"/>
      <c r="AF554" s="88"/>
      <c r="AG554" s="72"/>
      <c r="AH554" s="4"/>
      <c r="AI554" s="72"/>
      <c r="AJ554" s="110"/>
      <c r="AK554" s="72"/>
      <c r="AL554" s="72"/>
      <c r="AM554" s="72"/>
      <c r="AN554" s="72"/>
      <c r="AO554" s="72"/>
      <c r="AP554" s="72"/>
      <c r="AQ554" s="72"/>
      <c r="AR554" s="110"/>
      <c r="AS554" s="72"/>
      <c r="AT554" s="72"/>
      <c r="AU554" s="4"/>
      <c r="AV554" s="71">
        <f>5*60</f>
        <v>300</v>
      </c>
      <c r="AW554" s="71">
        <f>1*7*24*3600</f>
        <v>604800</v>
      </c>
      <c r="AX554" s="71">
        <f>3*7*24*3600</f>
        <v>1814400</v>
      </c>
      <c r="AY554" s="71">
        <f>9*7*24*3600</f>
        <v>5443200</v>
      </c>
      <c r="AZ554" s="53"/>
      <c r="BA554" s="53"/>
      <c r="BB554" s="53"/>
      <c r="BC554" s="53"/>
      <c r="BD554" s="53"/>
      <c r="BE554" s="53"/>
      <c r="BF554" s="53"/>
      <c r="BG554" s="53"/>
      <c r="BH554" s="53"/>
      <c r="BI554" s="53"/>
      <c r="BJ554" s="53"/>
      <c r="BK554" s="53"/>
      <c r="BL554" s="53"/>
      <c r="BM554" s="53"/>
      <c r="BN554" s="53"/>
      <c r="BO554" s="53"/>
      <c r="BP554" s="53"/>
      <c r="BQ554" s="53"/>
      <c r="BR554" s="53"/>
      <c r="BS554" s="53"/>
      <c r="BT554" s="53"/>
      <c r="BU554" s="53"/>
      <c r="BV554" s="53"/>
      <c r="BW554" s="53"/>
      <c r="BX554" s="53"/>
      <c r="BY554" s="53"/>
      <c r="BZ554" s="53"/>
      <c r="CA554" s="53"/>
      <c r="CB554" s="53"/>
      <c r="CC554" s="53"/>
      <c r="CD554" s="53"/>
      <c r="CE554" s="53"/>
      <c r="CF554" s="53"/>
      <c r="CG554" s="53"/>
      <c r="CH554" s="53"/>
      <c r="CI554" s="53"/>
      <c r="CJ554" s="53"/>
      <c r="CK554" s="53"/>
      <c r="CL554" s="53"/>
      <c r="CM554" s="53"/>
      <c r="CN554" s="53"/>
      <c r="CO554" s="53"/>
      <c r="CP554" s="53"/>
      <c r="CQ554" s="53"/>
      <c r="CR554" s="1"/>
      <c r="CS554" s="1"/>
      <c r="CT554" s="1"/>
      <c r="CU554" s="1"/>
    </row>
    <row r="555" spans="1:99" s="13" customFormat="1" ht="12" customHeight="1" x14ac:dyDescent="0.2">
      <c r="A555" s="68">
        <v>43648</v>
      </c>
      <c r="B555" s="70" t="s">
        <v>324</v>
      </c>
      <c r="C555" s="70" t="s">
        <v>307</v>
      </c>
      <c r="D555" s="69">
        <v>2005</v>
      </c>
      <c r="E555" s="87">
        <v>1</v>
      </c>
      <c r="F555" s="69">
        <v>67</v>
      </c>
      <c r="G555" s="69">
        <v>22.3</v>
      </c>
      <c r="H555" s="69" t="s">
        <v>792</v>
      </c>
      <c r="I555" s="69" t="s">
        <v>789</v>
      </c>
      <c r="J555" s="69" t="s">
        <v>320</v>
      </c>
      <c r="K555" s="69">
        <f>IF(J555="syllables",1,IF(J555="trigrams",2,IF(J555="strings",3,IF(J555="visual array",4,IF(J555="characters",5,IF(J555="letters",6,IF(J555="free forms",7,IF(J555="odors",8,IF(J555="words",9,IF(J555="pictures",10,IF(J555="object pictures",11,IF(J555="faces",12,IF(J555="names",13,IF(J555="idioms",14,IF(J555="grades",15,IF(J555="syllable-digit pairs",16,IF(J555="trigram-word pairs",17,IF(J555="word-digit pairs",18,IF(J555="English-Swahili pairs",19,IF(J555="spatial position",20,IF(J555="word pairs",21,IF(J555="word triads",22,IF(J555="generated words",23,IF(J555="word definition pairs",24,IF(J555="math problems",25,IF(J555="famous faces",26,IF(J555="famous names",27,IF(J555="famous voices",28,IF(J555="television programs",29,IF(J555="race horses",30,IF(J555="new vocabulary",31,IF(J555="sentences",32,IF(J555="concepts",33,IF(J555="ad slides",34,IF(J555="scenes",35,IF(J555="famous scenes",36,IF(J555="poems",37,IF(J555="walk",38,IF(J555="faces and events",39,IF(J555="events and names",40,IF(J555="flashbulb",41,IF(J555="stories",42,IF(J555="course material",43,IF(J555="autobiographical",44,IF(J555="novels",45,IF(J555="public events",46,"99"))))))))))))))))))))))))))))))))))))))))))))))</f>
        <v>21</v>
      </c>
      <c r="L555" s="69">
        <f>IF(J555="syllables",1,IF(J555="trigrams",1,IF(J555="strings",1,IF(J555="visual array",1,IF(J555="characters",1,IF(J555="letters",1,IF(J555="free forms",1,IF(J555="odors",2,IF(J555="words",2,IF(J555="pictures",2,IF(J555="object pictures",2,IF(J555="faces",2,IF(J555="names",2,IF(J555="idioms","2",IF(J555="grades",2,IF(J555="syllable-digit pairs",3,IF(J555="trigram-word pairs",3,IF(J555="word-digit pairs",3,IF(J555="English-Swahili pairs",3,IF(J555="spatial position",3,IF(J555="word pairs",4,IF(J555="word triads",4,IF(J555="generated words",4,IF(J555="word definition pairs",4,IF(J555="math problems",4,IF(J555="famous faces",4,IF(J555="famous names",4,IF(J555="famous voices",4,IF(J555="television programs",4,IF(J555="race horses",4,IF(J555="new vocabulary",4,IF(J555="sentences",5,IF(J555="concepts",5,IF(J555="ad slides",5,IF(J555="scenes",5,IF(J555="famous scenes",5,IF(J555="poems",6,IF(J555="walk",6,IF(J555="faces and events",6,IF(J555="events and names",6,IF(J555="flashbulb",7,IF(J555="stories",7,IF(J555="course material",7,IF(J555="autobiographical",7,IF(J555="novels",7,IF(J555="public events",7,"99"))))))))))))))))))))))))))))))))))))))))))))))</f>
        <v>4</v>
      </c>
      <c r="M555" s="69">
        <v>1</v>
      </c>
      <c r="N555" s="69">
        <v>1</v>
      </c>
      <c r="O555" s="69">
        <v>0</v>
      </c>
      <c r="P555" s="69"/>
      <c r="Q555" s="69" t="s">
        <v>65</v>
      </c>
      <c r="R555" s="69">
        <f>IF(Q555="Free Recall",1,IF(Q555="Cued Recall",2,IF(Q555="Recognition",3,IF(Q555="Multiple Choice",4,IF(Q555="Savings",5,IF(Q555="Stem Completion",6,IF(Q555="Fragment Completion",7,IF(Q555="anagram solution",8,IF(Q555="Matching",9,IF(Q555="Problem Solving",10,"99"))))))))))</f>
        <v>2</v>
      </c>
      <c r="S555" s="69" t="s">
        <v>310</v>
      </c>
      <c r="T555" s="69" t="s">
        <v>261</v>
      </c>
      <c r="U555" s="60">
        <f>IF(T555="within",1,0)</f>
        <v>0</v>
      </c>
      <c r="V555" s="69">
        <v>10</v>
      </c>
      <c r="W555" s="69">
        <f>F555*V555</f>
        <v>670</v>
      </c>
      <c r="X555" s="69">
        <v>4</v>
      </c>
      <c r="Y555" s="87">
        <f>AV554</f>
        <v>300</v>
      </c>
      <c r="Z555" s="69" t="s">
        <v>311</v>
      </c>
      <c r="AA555" s="69">
        <f>9*7*24*3600</f>
        <v>5443200</v>
      </c>
      <c r="AB555" s="69" t="str">
        <f>IF(AA555&lt;60,"1",IF(AA555&lt;=43200,"2",IF(AA555&lt;=777600,"3","4")))</f>
        <v>4</v>
      </c>
      <c r="AC555" s="72">
        <f>AVERAGE(AV554:DA554)</f>
        <v>1965675</v>
      </c>
      <c r="AD555" s="69" t="str">
        <f>IF(AC555&lt;60,"1",IF(AC555&lt;=43200,"2",IF(AC555&lt;=777600,"3","4")))</f>
        <v>4</v>
      </c>
      <c r="AE555" s="87">
        <f>AA555-Y555</f>
        <v>5442900</v>
      </c>
      <c r="AF555" s="88">
        <f>AV555</f>
        <v>0.85</v>
      </c>
      <c r="AG555" s="72">
        <f>((AW555-AV555)+(AX555-AW555)+(AY555-AX555))/3</f>
        <v>-0.22666666666666668</v>
      </c>
      <c r="AH555" s="4"/>
      <c r="AI555" s="72">
        <f>RSQ(AV555:AY555,AV554:AY554)</f>
        <v>0.42283345639751729</v>
      </c>
      <c r="AJ555" s="110">
        <f>SLOPE(AV555:AY555,AV554:AY554)</f>
        <v>-8.5722180629664225E-8</v>
      </c>
      <c r="AK555" s="72">
        <f>INTERCEPT(AV555:AY555,AV554:AY554)</f>
        <v>0.54600194740921515</v>
      </c>
      <c r="AL555" s="72">
        <f>INDEX(LINEST(LN(AV555:AY555),LN(AV554:AY554),TRUE,TRUE),3,1)</f>
        <v>0.95841486016702515</v>
      </c>
      <c r="AM555" s="72">
        <f>INDEX(LINEST(LN(AV555:AY555),LN(AV554:AY554)),1)</f>
        <v>-0.16428050018277732</v>
      </c>
      <c r="AN555" s="72">
        <f>EXP(INDEX(LINEST(LN(AV555:AY555),LN(AV554:AY554)),1,2))</f>
        <v>2.236155684975432</v>
      </c>
      <c r="AO555" s="89">
        <f>INDEX(LINEST((AV555:AY555),LN(AV554:AY554),TRUE,TRUE),3,1)</f>
        <v>0.99169777674087711</v>
      </c>
      <c r="AP555" s="89">
        <f>INDEX(LINEST((AV555:AY555),LN(AV554:AY554)),1)</f>
        <v>-7.1999945603842735E-2</v>
      </c>
      <c r="AQ555" s="90">
        <f>INDEX(LINEST(LN(AV555:AY555),SQRT(AV554:AY554),TRUE,TRUE),3,1)</f>
        <v>0.80954383926524665</v>
      </c>
      <c r="AR555" s="117">
        <f>INDEX(LINEST(LN(AV555:AY555),SQRT((AV554:AY554))),1)</f>
        <v>-6.878458749655247E-4</v>
      </c>
      <c r="AS555" s="91">
        <f>INDEX(LINEST(1/(AV555:AY555),1/(SQRT(AV554:AY554)),TRUE,TRUE),3,1)</f>
        <v>0.72193806209622968</v>
      </c>
      <c r="AT555" s="91">
        <f>INDEX(LINEST(1/(AV555:AY555),1/SQRT(AV554:AY554)),1)</f>
        <v>-65.698950916725295</v>
      </c>
      <c r="AU555" s="4"/>
      <c r="AV555" s="73">
        <v>0.85</v>
      </c>
      <c r="AW555" s="73">
        <v>0.31</v>
      </c>
      <c r="AX555" s="73">
        <v>0.18</v>
      </c>
      <c r="AY555" s="73">
        <v>0.17</v>
      </c>
      <c r="AZ555" s="53"/>
      <c r="BA555" s="53"/>
      <c r="BB555" s="53"/>
      <c r="BC555" s="53"/>
      <c r="BD555" s="53"/>
      <c r="BE555" s="53"/>
      <c r="BF555" s="53"/>
      <c r="BG555" s="53"/>
      <c r="BH555" s="53"/>
      <c r="BI555" s="53"/>
      <c r="BJ555" s="53"/>
      <c r="BK555" s="53"/>
      <c r="BL555" s="53"/>
      <c r="BM555" s="53"/>
      <c r="BN555" s="53"/>
      <c r="BO555" s="53"/>
      <c r="BP555" s="53"/>
      <c r="BQ555" s="53"/>
      <c r="BR555" s="53"/>
      <c r="BS555" s="53"/>
      <c r="BT555" s="53"/>
      <c r="BU555" s="53"/>
      <c r="BV555" s="53"/>
      <c r="BW555" s="53"/>
      <c r="BX555" s="53"/>
      <c r="BY555" s="53"/>
      <c r="BZ555" s="53"/>
      <c r="CA555" s="53"/>
      <c r="CB555" s="53"/>
      <c r="CC555" s="53"/>
      <c r="CD555" s="53"/>
      <c r="CE555" s="53"/>
      <c r="CF555" s="53"/>
      <c r="CG555" s="53"/>
      <c r="CH555" s="53"/>
      <c r="CI555" s="53"/>
      <c r="CJ555" s="53"/>
      <c r="CK555" s="53"/>
      <c r="CL555" s="53"/>
      <c r="CM555" s="53"/>
      <c r="CN555" s="53"/>
      <c r="CO555" s="53"/>
      <c r="CP555" s="53"/>
      <c r="CQ555" s="53"/>
      <c r="CR555" s="1"/>
      <c r="CS555" s="1"/>
      <c r="CT555" s="1"/>
      <c r="CU555" s="1"/>
    </row>
    <row r="556" spans="1:99" s="13" customFormat="1" ht="12" customHeight="1" x14ac:dyDescent="0.2">
      <c r="A556" s="68">
        <v>43648</v>
      </c>
      <c r="B556" s="70"/>
      <c r="C556" s="70"/>
      <c r="D556" s="69"/>
      <c r="E556" s="87"/>
      <c r="F556" s="69"/>
      <c r="G556" s="69"/>
      <c r="H556" s="69"/>
      <c r="I556" s="69"/>
      <c r="J556" s="69"/>
      <c r="K556" s="107"/>
      <c r="L556" s="107"/>
      <c r="M556" s="69"/>
      <c r="N556" s="69"/>
      <c r="O556" s="69"/>
      <c r="P556" s="69"/>
      <c r="Q556" s="69"/>
      <c r="R556" s="69"/>
      <c r="S556" s="69"/>
      <c r="T556" s="69"/>
      <c r="U556" s="60"/>
      <c r="V556" s="69"/>
      <c r="W556" s="69"/>
      <c r="X556" s="69"/>
      <c r="Y556" s="87"/>
      <c r="Z556" s="69"/>
      <c r="AA556" s="69"/>
      <c r="AB556" s="69"/>
      <c r="AC556" s="69"/>
      <c r="AD556" s="69"/>
      <c r="AE556" s="69"/>
      <c r="AF556" s="88"/>
      <c r="AG556" s="72"/>
      <c r="AH556" s="4"/>
      <c r="AI556" s="72"/>
      <c r="AJ556" s="110"/>
      <c r="AK556" s="72"/>
      <c r="AL556" s="72"/>
      <c r="AM556" s="72"/>
      <c r="AN556" s="72"/>
      <c r="AO556" s="72"/>
      <c r="AP556" s="72"/>
      <c r="AQ556" s="72"/>
      <c r="AR556" s="110"/>
      <c r="AS556" s="72"/>
      <c r="AT556" s="72"/>
      <c r="AU556" s="4"/>
      <c r="AV556" s="71">
        <f>5*30</f>
        <v>150</v>
      </c>
      <c r="AW556" s="71">
        <f>1*7*24*3600</f>
        <v>604800</v>
      </c>
      <c r="AX556" s="71">
        <f>4*7*24*3600</f>
        <v>2419200</v>
      </c>
      <c r="AY556" s="67"/>
      <c r="AZ556" s="53" t="s">
        <v>525</v>
      </c>
      <c r="BA556" s="53"/>
      <c r="BB556" s="53"/>
      <c r="BC556" s="53"/>
      <c r="BD556" s="53"/>
      <c r="BE556" s="53"/>
      <c r="BF556" s="53"/>
      <c r="BG556" s="53"/>
      <c r="BH556" s="53"/>
      <c r="BI556" s="53"/>
      <c r="BJ556" s="53"/>
      <c r="BK556" s="53"/>
      <c r="BL556" s="53"/>
      <c r="BM556" s="53"/>
      <c r="BN556" s="53"/>
      <c r="BO556" s="53"/>
      <c r="BP556" s="53"/>
      <c r="BQ556" s="53"/>
      <c r="BR556" s="53"/>
      <c r="BS556" s="53"/>
      <c r="BT556" s="53"/>
      <c r="BU556" s="53"/>
      <c r="BV556" s="53"/>
      <c r="BW556" s="53"/>
      <c r="BX556" s="53"/>
      <c r="BY556" s="53"/>
      <c r="BZ556" s="53"/>
      <c r="CA556" s="53"/>
      <c r="CB556" s="53"/>
      <c r="CC556" s="53"/>
      <c r="CD556" s="53"/>
      <c r="CE556" s="53"/>
      <c r="CF556" s="53"/>
      <c r="CG556" s="53"/>
      <c r="CH556" s="53"/>
      <c r="CI556" s="53"/>
      <c r="CJ556" s="53"/>
      <c r="CK556" s="53"/>
      <c r="CL556" s="53"/>
      <c r="CM556" s="53"/>
      <c r="CN556" s="53"/>
      <c r="CO556" s="53"/>
      <c r="CP556" s="53"/>
      <c r="CQ556" s="53"/>
      <c r="CR556" s="1"/>
      <c r="CS556" s="1"/>
      <c r="CT556" s="1"/>
      <c r="CU556" s="1"/>
    </row>
    <row r="557" spans="1:99" s="13" customFormat="1" ht="12" customHeight="1" x14ac:dyDescent="0.2">
      <c r="A557" s="68">
        <v>43648</v>
      </c>
      <c r="B557" s="70" t="s">
        <v>324</v>
      </c>
      <c r="C557" s="70" t="s">
        <v>307</v>
      </c>
      <c r="D557" s="69">
        <v>2005</v>
      </c>
      <c r="E557" s="87">
        <v>2</v>
      </c>
      <c r="F557" s="69">
        <v>46</v>
      </c>
      <c r="G557" s="69">
        <v>23</v>
      </c>
      <c r="H557" s="69" t="s">
        <v>793</v>
      </c>
      <c r="I557" s="69" t="s">
        <v>790</v>
      </c>
      <c r="J557" s="69" t="s">
        <v>794</v>
      </c>
      <c r="K557" s="69">
        <f>IF(J557="syllables",1,IF(J557="trigrams",2,IF(J557="strings",3,IF(J557="visual array",4,IF(J557="characters",5,IF(J557="letters",6,IF(J557="free forms",7,IF(J557="odors",8,IF(J557="words",9,IF(J557="pictures",10,IF(J557="object pictures",11,IF(J557="faces",12,IF(J557="names",13,IF(J557="idioms",14,IF(J557="grades",15,IF(J557="syllable-digit pairs",16,IF(J557="trigram-word pairs",17,IF(J557="word-digit pairs",18,IF(J557="English-Swahili pairs",19,IF(J557="spatial position",20,IF(J557="word pairs",21,IF(J557="word triads",22,IF(J557="generated words",23,IF(J557="word definition pairs",24,IF(J557="math problems",25,IF(J557="famous faces",26,IF(J557="famous names",27,IF(J557="famous voices",28,IF(J557="television programs",29,IF(J557="race horses",30,IF(J557="new vocabulary",31,IF(J557="sentences",32,IF(J557="concepts",33,IF(J557="ad slides",34,IF(J557="scenes",35,IF(J557="famous scenes",36,IF(J557="poems",37,IF(J557="walk",38,IF(J557="faces and events",39,IF(J557="events and names",40,IF(J557="flashbulb",41,IF(J557="stories",42,IF(J557="course material",43,IF(J557="autobiographical",44,IF(J557="novels",45,IF(J557="public events",46,"99"))))))))))))))))))))))))))))))))))))))))))))))</f>
        <v>24</v>
      </c>
      <c r="L557" s="69">
        <f>IF(J557="syllables",1,IF(J557="trigrams",1,IF(J557="strings",1,IF(J557="visual array",1,IF(J557="characters",1,IF(J557="letters",1,IF(J557="free forms",1,IF(J557="odors",2,IF(J557="words",2,IF(J557="pictures",2,IF(J557="object pictures",2,IF(J557="faces",2,IF(J557="names",2,IF(J557="idioms","2",IF(J557="grades",2,IF(J557="syllable-digit pairs",3,IF(J557="trigram-word pairs",3,IF(J557="word-digit pairs",3,IF(J557="English-Swahili pairs",3,IF(J557="spatial position",3,IF(J557="word pairs",4,IF(J557="word triads",4,IF(J557="generated words",4,IF(J557="word definition pairs",4,IF(J557="math problems",4,IF(J557="famous faces",4,IF(J557="famous names",4,IF(J557="famous voices",4,IF(J557="television programs",4,IF(J557="race horses",4,IF(J557="new vocabulary",4,IF(J557="sentences",5,IF(J557="concepts",5,IF(J557="ad slides",5,IF(J557="scenes",5,IF(J557="famous scenes",5,IF(J557="poems",6,IF(J557="walk",6,IF(J557="faces and events",6,IF(J557="events and names",6,IF(J557="flashbulb",7,IF(J557="stories",7,IF(J557="course material",7,IF(J557="autobiographical",7,IF(J557="novels",7,IF(J557="public events",7,"99"))))))))))))))))))))))))))))))))))))))))))))))</f>
        <v>4</v>
      </c>
      <c r="M557" s="69">
        <v>1</v>
      </c>
      <c r="N557" s="69">
        <v>1</v>
      </c>
      <c r="O557" s="69">
        <v>0</v>
      </c>
      <c r="P557" s="69"/>
      <c r="Q557" s="69" t="s">
        <v>65</v>
      </c>
      <c r="R557" s="69">
        <f>IF(Q557="Free Recall",1,IF(Q557="Cued Recall",2,IF(Q557="Recognition",3,IF(Q557="Multiple Choice",4,IF(Q557="Savings",5,IF(Q557="Stem Completion",6,IF(Q557="Fragment Completion",7,IF(Q557="anagram solution",8,IF(Q557="Matching",9,IF(Q557="Problem Solving",10,"99"))))))))))</f>
        <v>2</v>
      </c>
      <c r="S557" s="69" t="s">
        <v>310</v>
      </c>
      <c r="T557" s="69" t="s">
        <v>261</v>
      </c>
      <c r="U557" s="60">
        <f>IF(T557="within",1,0)</f>
        <v>0</v>
      </c>
      <c r="V557" s="69">
        <v>20</v>
      </c>
      <c r="W557" s="69">
        <f>F557*V557</f>
        <v>920</v>
      </c>
      <c r="X557" s="69">
        <v>3</v>
      </c>
      <c r="Y557" s="87">
        <f>AV556</f>
        <v>150</v>
      </c>
      <c r="Z557" s="69" t="s">
        <v>140</v>
      </c>
      <c r="AA557" s="69">
        <f>4*7*24*3600</f>
        <v>2419200</v>
      </c>
      <c r="AB557" s="69" t="str">
        <f>IF(AA557&lt;60,"1",IF(AA557&lt;=43200,"2",IF(AA557&lt;=777600,"3","4")))</f>
        <v>4</v>
      </c>
      <c r="AC557" s="72">
        <f>AVERAGE(AV556:DA556)</f>
        <v>1008050</v>
      </c>
      <c r="AD557" s="69" t="str">
        <f>IF(AC557&lt;60,"1",IF(AC557&lt;=43200,"2",IF(AC557&lt;=777600,"3","4")))</f>
        <v>4</v>
      </c>
      <c r="AE557" s="87">
        <f>AA557-Y557</f>
        <v>2419050</v>
      </c>
      <c r="AF557" s="88">
        <f>AV557</f>
        <v>0.97</v>
      </c>
      <c r="AG557" s="72">
        <f>((AW557-AV557)+(AX557-AW557))/2</f>
        <v>-0.375</v>
      </c>
      <c r="AH557" s="4"/>
      <c r="AI557" s="72">
        <f>RSQ(AV557:AX557,AV556:AX556)</f>
        <v>0.9557610966786424</v>
      </c>
      <c r="AJ557" s="110">
        <f>SLOPE(AV557:AX557,AV556:AX556)</f>
        <v>-2.9190641412031286E-7</v>
      </c>
      <c r="AK557" s="72">
        <f>INTERCEPT(AV557:AX557,AV556:AX556)</f>
        <v>0.90425626075398136</v>
      </c>
      <c r="AL557" s="72">
        <f>INDEX(LINEST(LN(AV557:AX557),LN(AV556:AX556),TRUE,TRUE),3,1)</f>
        <v>0.64393817607901838</v>
      </c>
      <c r="AM557" s="72">
        <f>INDEX(LINEST(LN(AV557:AX557),LN(AV556:AX556)),1)</f>
        <v>-0.11721782357999157</v>
      </c>
      <c r="AN557" s="72">
        <f>EXP(INDEX(LINEST(LN(AV557:AX557),LN(AV556:AX556)),1,2))</f>
        <v>1.8713127531699394</v>
      </c>
      <c r="AO557" s="89">
        <f>INDEX(LINEST((AV557:AX557),LN(AV556:AX556),TRUE,TRUE),3,1)</f>
        <v>0.80284126205289941</v>
      </c>
      <c r="AP557" s="89">
        <f>INDEX(LINEST((AV557:AX557),LN(AV556:AX556)),1)</f>
        <v>-6.4284056327613998E-2</v>
      </c>
      <c r="AQ557" s="90">
        <f>INDEX(LINEST(LN(AV557:AX557),SQRT(AV556:AX556),TRUE,TRUE),3,1)</f>
        <v>0.94168462986758383</v>
      </c>
      <c r="AR557" s="117">
        <f>INDEX(LINEST(LN(AV557:AX557),SQRT((AV556:AX556))),1)</f>
        <v>-9.625643884827018E-4</v>
      </c>
      <c r="AS557" s="91">
        <f>INDEX(LINEST(1/(AV557:AX557),1/(SQRT(AV556:AX556)),TRUE,TRUE),3,1)</f>
        <v>0.38685532632695657</v>
      </c>
      <c r="AT557" s="91">
        <f>INDEX(LINEST(1/(AV557:AX557),1/SQRT(AV556:AX556)),1)</f>
        <v>-25.293085496354013</v>
      </c>
      <c r="AU557" s="4"/>
      <c r="AV557" s="73">
        <v>0.97</v>
      </c>
      <c r="AW557" s="73">
        <v>0.64</v>
      </c>
      <c r="AX557" s="73">
        <v>0.22</v>
      </c>
      <c r="AY557" s="67"/>
      <c r="AZ557" s="53"/>
      <c r="BA557" s="53"/>
      <c r="BB557" s="53"/>
      <c r="BC557" s="53"/>
      <c r="BD557" s="53"/>
      <c r="BE557" s="53"/>
      <c r="BF557" s="53"/>
      <c r="BG557" s="53"/>
      <c r="BH557" s="53"/>
      <c r="BI557" s="53"/>
      <c r="BJ557" s="53"/>
      <c r="BK557" s="53"/>
      <c r="BL557" s="53"/>
      <c r="BM557" s="53"/>
      <c r="BN557" s="53"/>
      <c r="BO557" s="53"/>
      <c r="BP557" s="53"/>
      <c r="BQ557" s="53"/>
      <c r="BR557" s="53"/>
      <c r="BS557" s="53"/>
      <c r="BT557" s="53"/>
      <c r="BU557" s="53"/>
      <c r="BV557" s="53"/>
      <c r="BW557" s="53"/>
      <c r="BX557" s="53"/>
      <c r="BY557" s="53"/>
      <c r="BZ557" s="53"/>
      <c r="CA557" s="53"/>
      <c r="CB557" s="53"/>
      <c r="CC557" s="53"/>
      <c r="CD557" s="53"/>
      <c r="CE557" s="53"/>
      <c r="CF557" s="53"/>
      <c r="CG557" s="53"/>
      <c r="CH557" s="53"/>
      <c r="CI557" s="53"/>
      <c r="CJ557" s="53"/>
      <c r="CK557" s="53"/>
      <c r="CL557" s="53"/>
      <c r="CM557" s="53"/>
      <c r="CN557" s="53"/>
      <c r="CO557" s="53"/>
      <c r="CP557" s="53"/>
      <c r="CQ557" s="53"/>
      <c r="CR557" s="1"/>
      <c r="CS557" s="1"/>
      <c r="CT557" s="1"/>
      <c r="CU557" s="1"/>
    </row>
    <row r="558" spans="1:99" s="13" customFormat="1" ht="12" customHeight="1" x14ac:dyDescent="0.2">
      <c r="A558" s="68">
        <v>43648</v>
      </c>
      <c r="B558" s="70"/>
      <c r="C558" s="70"/>
      <c r="D558" s="69"/>
      <c r="E558" s="87"/>
      <c r="F558" s="69"/>
      <c r="G558" s="69"/>
      <c r="H558" s="69"/>
      <c r="I558" s="69"/>
      <c r="J558" s="69"/>
      <c r="K558" s="107"/>
      <c r="L558" s="107"/>
      <c r="M558" s="69"/>
      <c r="N558" s="69"/>
      <c r="O558" s="69"/>
      <c r="P558" s="69"/>
      <c r="Q558" s="69"/>
      <c r="R558" s="69"/>
      <c r="S558" s="69"/>
      <c r="T558" s="69"/>
      <c r="U558" s="60"/>
      <c r="V558" s="69"/>
      <c r="W558" s="69"/>
      <c r="X558" s="69"/>
      <c r="Y558" s="87"/>
      <c r="Z558" s="69"/>
      <c r="AA558" s="69"/>
      <c r="AB558" s="69"/>
      <c r="AC558" s="69"/>
      <c r="AD558" s="69"/>
      <c r="AE558" s="69"/>
      <c r="AF558" s="88"/>
      <c r="AG558" s="72"/>
      <c r="AH558" s="4"/>
      <c r="AI558" s="72"/>
      <c r="AJ558" s="110"/>
      <c r="AK558" s="72"/>
      <c r="AL558" s="72"/>
      <c r="AM558" s="72"/>
      <c r="AN558" s="72"/>
      <c r="AO558" s="72"/>
      <c r="AP558" s="72"/>
      <c r="AQ558" s="89"/>
      <c r="AR558" s="118"/>
      <c r="AS558" s="89"/>
      <c r="AT558" s="89"/>
      <c r="AU558" s="4"/>
      <c r="AV558" s="71">
        <f>10*30</f>
        <v>300</v>
      </c>
      <c r="AW558" s="71">
        <f>1*7*24*3600</f>
        <v>604800</v>
      </c>
      <c r="AX558" s="71">
        <f>4*7*24*3600</f>
        <v>2419200</v>
      </c>
      <c r="AY558" s="67"/>
      <c r="AZ558" s="53" t="s">
        <v>526</v>
      </c>
      <c r="BA558" s="53"/>
      <c r="BB558" s="53"/>
      <c r="BC558" s="53"/>
      <c r="BD558" s="53"/>
      <c r="BE558" s="53"/>
      <c r="BF558" s="53"/>
      <c r="BG558" s="53"/>
      <c r="BH558" s="53"/>
      <c r="BI558" s="53"/>
      <c r="BJ558" s="53"/>
      <c r="BK558" s="53"/>
      <c r="BL558" s="53"/>
      <c r="BM558" s="53"/>
      <c r="BN558" s="53"/>
      <c r="BO558" s="53"/>
      <c r="BP558" s="53"/>
      <c r="BQ558" s="53"/>
      <c r="BR558" s="53"/>
      <c r="BS558" s="53"/>
      <c r="BT558" s="53"/>
      <c r="BU558" s="53"/>
      <c r="BV558" s="53"/>
      <c r="BW558" s="53"/>
      <c r="BX558" s="53"/>
      <c r="BY558" s="53"/>
      <c r="BZ558" s="53"/>
      <c r="CA558" s="53"/>
      <c r="CB558" s="53"/>
      <c r="CC558" s="53"/>
      <c r="CD558" s="53"/>
      <c r="CE558" s="53"/>
      <c r="CF558" s="53"/>
      <c r="CG558" s="53"/>
      <c r="CH558" s="53"/>
      <c r="CI558" s="53"/>
      <c r="CJ558" s="53"/>
      <c r="CK558" s="53"/>
      <c r="CL558" s="53"/>
      <c r="CM558" s="53"/>
      <c r="CN558" s="53"/>
      <c r="CO558" s="53"/>
      <c r="CP558" s="53"/>
      <c r="CQ558" s="53"/>
      <c r="CR558" s="1"/>
      <c r="CS558" s="1"/>
      <c r="CT558" s="1"/>
      <c r="CU558" s="1"/>
    </row>
    <row r="559" spans="1:99" s="13" customFormat="1" ht="12" customHeight="1" x14ac:dyDescent="0.2">
      <c r="A559" s="68">
        <v>43648</v>
      </c>
      <c r="B559" s="70" t="s">
        <v>324</v>
      </c>
      <c r="C559" s="70" t="s">
        <v>307</v>
      </c>
      <c r="D559" s="69">
        <v>2005</v>
      </c>
      <c r="E559" s="87">
        <v>2</v>
      </c>
      <c r="F559" s="69">
        <v>42</v>
      </c>
      <c r="G559" s="69">
        <v>21</v>
      </c>
      <c r="H559" s="69" t="s">
        <v>793</v>
      </c>
      <c r="I559" s="69" t="s">
        <v>791</v>
      </c>
      <c r="J559" s="69" t="s">
        <v>794</v>
      </c>
      <c r="K559" s="69">
        <f>IF(J559="syllables",1,IF(J559="trigrams",2,IF(J559="strings",3,IF(J559="visual array",4,IF(J559="characters",5,IF(J559="letters",6,IF(J559="free forms",7,IF(J559="odors",8,IF(J559="words",9,IF(J559="pictures",10,IF(J559="object pictures",11,IF(J559="faces",12,IF(J559="names",13,IF(J559="idioms",14,IF(J559="grades",15,IF(J559="syllable-digit pairs",16,IF(J559="trigram-word pairs",17,IF(J559="word-digit pairs",18,IF(J559="English-Swahili pairs",19,IF(J559="spatial position",20,IF(J559="word pairs",21,IF(J559="word triads",22,IF(J559="generated words",23,IF(J559="word definition pairs",24,IF(J559="math problems",25,IF(J559="famous faces",26,IF(J559="famous names",27,IF(J559="famous voices",28,IF(J559="television programs",29,IF(J559="race horses",30,IF(J559="new vocabulary",31,IF(J559="sentences",32,IF(J559="concepts",33,IF(J559="ad slides",34,IF(J559="scenes",35,IF(J559="famous scenes",36,IF(J559="poems",37,IF(J559="walk",38,IF(J559="faces and events",39,IF(J559="events and names",40,IF(J559="flashbulb",41,IF(J559="stories",42,IF(J559="course material",43,IF(J559="autobiographical",44,IF(J559="novels",45,IF(J559="public events",46,"99"))))))))))))))))))))))))))))))))))))))))))))))</f>
        <v>24</v>
      </c>
      <c r="L559" s="69">
        <f>IF(J559="syllables",1,IF(J559="trigrams",1,IF(J559="strings",1,IF(J559="visual array",1,IF(J559="characters",1,IF(J559="letters",1,IF(J559="free forms",1,IF(J559="odors",2,IF(J559="words",2,IF(J559="pictures",2,IF(J559="object pictures",2,IF(J559="faces",2,IF(J559="names",2,IF(J559="idioms","2",IF(J559="grades",2,IF(J559="syllable-digit pairs",3,IF(J559="trigram-word pairs",3,IF(J559="word-digit pairs",3,IF(J559="English-Swahili pairs",3,IF(J559="spatial position",3,IF(J559="word pairs",4,IF(J559="word triads",4,IF(J559="generated words",4,IF(J559="word definition pairs",4,IF(J559="math problems",4,IF(J559="famous faces",4,IF(J559="famous names",4,IF(J559="famous voices",4,IF(J559="television programs",4,IF(J559="race horses",4,IF(J559="new vocabulary",4,IF(J559="sentences",5,IF(J559="concepts",5,IF(J559="ad slides",5,IF(J559="scenes",5,IF(J559="famous scenes",5,IF(J559="poems",6,IF(J559="walk",6,IF(J559="faces and events",6,IF(J559="events and names",6,IF(J559="flashbulb",7,IF(J559="stories",7,IF(J559="course material",7,IF(J559="autobiographical",7,IF(J559="novels",7,IF(J559="public events",7,"99"))))))))))))))))))))))))))))))))))))))))))))))</f>
        <v>4</v>
      </c>
      <c r="M559" s="69">
        <v>1</v>
      </c>
      <c r="N559" s="69">
        <v>1</v>
      </c>
      <c r="O559" s="69">
        <v>0</v>
      </c>
      <c r="P559" s="69"/>
      <c r="Q559" s="69" t="s">
        <v>65</v>
      </c>
      <c r="R559" s="69">
        <f>IF(Q559="Free Recall",1,IF(Q559="Cued Recall",2,IF(Q559="Recognition",3,IF(Q559="Multiple Choice",4,IF(Q559="Savings",5,IF(Q559="Stem Completion",6,IF(Q559="Fragment Completion",7,IF(Q559="anagram solution",8,IF(Q559="Matching",9,IF(Q559="Problem Solving",10,"99"))))))))))</f>
        <v>2</v>
      </c>
      <c r="S559" s="69" t="s">
        <v>310</v>
      </c>
      <c r="T559" s="69" t="s">
        <v>261</v>
      </c>
      <c r="U559" s="60">
        <f>IF(T559="within",1,0)</f>
        <v>0</v>
      </c>
      <c r="V559" s="69">
        <v>10</v>
      </c>
      <c r="W559" s="69">
        <f>F559*V559</f>
        <v>420</v>
      </c>
      <c r="X559" s="69">
        <v>3</v>
      </c>
      <c r="Y559" s="87">
        <f>AV558</f>
        <v>300</v>
      </c>
      <c r="Z559" s="69" t="s">
        <v>140</v>
      </c>
      <c r="AA559" s="69">
        <f>4*7*24*3600</f>
        <v>2419200</v>
      </c>
      <c r="AB559" s="69" t="str">
        <f>IF(AA559&lt;60,"1",IF(AA559&lt;=43200,"2",IF(AA559&lt;=777600,"3","4")))</f>
        <v>4</v>
      </c>
      <c r="AC559" s="72">
        <f>AVERAGE(AV558:DA558)</f>
        <v>1008100</v>
      </c>
      <c r="AD559" s="69" t="str">
        <f>IF(AC559&lt;60,"1",IF(AC559&lt;=43200,"2",IF(AC559&lt;=777600,"3","4")))</f>
        <v>4</v>
      </c>
      <c r="AE559" s="87">
        <f>AA559-Y559</f>
        <v>2418900</v>
      </c>
      <c r="AF559" s="88">
        <f>AV559</f>
        <v>0.7</v>
      </c>
      <c r="AG559" s="72">
        <f>((AW559-AV559)+(AX559-AW559))/2</f>
        <v>-0.26</v>
      </c>
      <c r="AH559" s="4"/>
      <c r="AI559" s="72">
        <f>RSQ(AV559:AX559,AV558:AX558)</f>
        <v>0.83847801942167366</v>
      </c>
      <c r="AJ559" s="110">
        <f>SLOPE(AV559:AX559,AV558:AX558)</f>
        <v>-1.90791339194634E-7</v>
      </c>
      <c r="AK559" s="72">
        <f>INTERCEPT(AV559:AX559,AV558:AX558)</f>
        <v>0.61233674904211055</v>
      </c>
      <c r="AL559" s="72">
        <f>INDEX(LINEST(LN(AV559:AX559),LN(AV558:AX558),TRUE,TRUE),3,1)</f>
        <v>0.82021981939435806</v>
      </c>
      <c r="AM559" s="72">
        <f>INDEX(LINEST(LN(AV559:AX559),LN(AV558:AX558)),1)</f>
        <v>-0.1271993749383778</v>
      </c>
      <c r="AN559" s="72">
        <f>EXP(INDEX(LINEST(LN(AV559:AX559),LN(AV558:AX558)),1,2))</f>
        <v>1.5166532279275395</v>
      </c>
      <c r="AO559" s="89">
        <f>INDEX(LINEST((AV559:AX559),LN(AV558:AX558),TRUE,TRUE),3,1)</f>
        <v>0.93997085955518644</v>
      </c>
      <c r="AP559" s="89">
        <f>INDEX(LINEST((AV559:AX559),LN(AV558:AX558)),1)</f>
        <v>-5.2509046413618379E-2</v>
      </c>
      <c r="AQ559" s="90">
        <f>INDEX(LINEST(LN(AV559:AX559),SQRT(AV558:AX558),TRUE,TRUE),3,1)</f>
        <v>0.99736259675337724</v>
      </c>
      <c r="AR559" s="117">
        <f>INDEX(LINEST(LN(AV559:AX559),SQRT((AV558:AX558))),1)</f>
        <v>-8.8330762949497725E-4</v>
      </c>
      <c r="AS559" s="91">
        <f>INDEX(LINEST(1/(AV559:AX559),1/(SQRT(AV558:AX558)),TRUE,TRUE),3,1)</f>
        <v>0.53531642155129067</v>
      </c>
      <c r="AT559" s="91">
        <f>INDEX(LINEST(1/(AV559:AX559),1/SQRT(AV558:AX558)),1)</f>
        <v>-47.376129350754603</v>
      </c>
      <c r="AU559" s="4"/>
      <c r="AV559" s="73">
        <v>0.7</v>
      </c>
      <c r="AW559" s="73">
        <v>0.38</v>
      </c>
      <c r="AX559" s="73">
        <v>0.18</v>
      </c>
      <c r="AY559" s="67"/>
      <c r="AZ559" s="53"/>
      <c r="BA559" s="53"/>
      <c r="BB559" s="53"/>
      <c r="BC559" s="53"/>
      <c r="BD559" s="53"/>
      <c r="BE559" s="53"/>
      <c r="BF559" s="53"/>
      <c r="BG559" s="53"/>
      <c r="BH559" s="53"/>
      <c r="BI559" s="53"/>
      <c r="BJ559" s="53"/>
      <c r="BK559" s="53"/>
      <c r="BL559" s="53"/>
      <c r="BM559" s="53"/>
      <c r="BN559" s="53"/>
      <c r="BO559" s="53"/>
      <c r="BP559" s="53"/>
      <c r="BQ559" s="53"/>
      <c r="BR559" s="53"/>
      <c r="BS559" s="53"/>
      <c r="BT559" s="53"/>
      <c r="BU559" s="53"/>
      <c r="BV559" s="53"/>
      <c r="BW559" s="53"/>
      <c r="BX559" s="53"/>
      <c r="BY559" s="53"/>
      <c r="BZ559" s="53"/>
      <c r="CA559" s="53"/>
      <c r="CB559" s="53"/>
      <c r="CC559" s="53"/>
      <c r="CD559" s="53"/>
      <c r="CE559" s="53"/>
      <c r="CF559" s="53"/>
      <c r="CG559" s="53"/>
      <c r="CH559" s="53"/>
      <c r="CI559" s="53"/>
      <c r="CJ559" s="53"/>
      <c r="CK559" s="53"/>
      <c r="CL559" s="53"/>
      <c r="CM559" s="53"/>
      <c r="CN559" s="53"/>
      <c r="CO559" s="53"/>
      <c r="CP559" s="53"/>
      <c r="CQ559" s="53"/>
      <c r="CR559" s="1"/>
      <c r="CS559" s="1"/>
      <c r="CT559" s="1"/>
      <c r="CU559" s="1"/>
    </row>
    <row r="560" spans="1:99" s="13" customFormat="1" ht="12" customHeight="1" x14ac:dyDescent="0.2">
      <c r="A560" s="65">
        <v>43648</v>
      </c>
      <c r="B560" s="1"/>
      <c r="C560" s="1"/>
      <c r="D560" s="60"/>
      <c r="E560" s="76"/>
      <c r="F560" s="60"/>
      <c r="G560" s="60"/>
      <c r="H560" s="60"/>
      <c r="I560" s="60"/>
      <c r="J560" s="60"/>
      <c r="K560" s="64"/>
      <c r="L560" s="64"/>
      <c r="M560" s="60"/>
      <c r="N560" s="60"/>
      <c r="O560" s="60"/>
      <c r="P560" s="60"/>
      <c r="Q560" s="60"/>
      <c r="R560" s="60"/>
      <c r="S560" s="60"/>
      <c r="T560" s="60"/>
      <c r="U560" s="60"/>
      <c r="V560" s="60"/>
      <c r="W560" s="60"/>
      <c r="X560" s="60"/>
      <c r="Y560" s="76"/>
      <c r="Z560" s="60"/>
      <c r="AA560" s="60"/>
      <c r="AB560" s="60"/>
      <c r="AC560" s="60"/>
      <c r="AD560" s="60"/>
      <c r="AE560" s="60"/>
      <c r="AF560" s="80"/>
      <c r="AG560" s="56"/>
      <c r="AH560" s="4"/>
      <c r="AI560" s="56"/>
      <c r="AJ560" s="109"/>
      <c r="AK560" s="56"/>
      <c r="AL560" s="56"/>
      <c r="AM560" s="56"/>
      <c r="AN560" s="56"/>
      <c r="AO560" s="56"/>
      <c r="AP560" s="56"/>
      <c r="AQ560" s="82"/>
      <c r="AR560" s="115"/>
      <c r="AS560" s="82"/>
      <c r="AT560" s="82"/>
      <c r="AU560" s="4"/>
      <c r="AV560" s="53">
        <v>300</v>
      </c>
      <c r="AW560" s="1">
        <f>1*7*24*3600</f>
        <v>604800</v>
      </c>
      <c r="AX560" s="1">
        <f>4*7*24*3600</f>
        <v>2419200</v>
      </c>
      <c r="AZ560" s="53" t="s">
        <v>527</v>
      </c>
      <c r="BA560" s="53"/>
      <c r="BB560" s="53"/>
      <c r="BC560" s="53"/>
      <c r="BD560" s="53"/>
      <c r="BE560" s="53"/>
      <c r="BF560" s="53"/>
      <c r="BG560" s="53"/>
      <c r="BH560" s="53"/>
      <c r="BI560" s="53"/>
      <c r="BJ560" s="53"/>
      <c r="BK560" s="53"/>
      <c r="BL560" s="53"/>
      <c r="BM560" s="53"/>
      <c r="BN560" s="53"/>
      <c r="BO560" s="53"/>
      <c r="BP560" s="53"/>
      <c r="BQ560" s="53"/>
      <c r="BR560" s="53"/>
      <c r="BS560" s="53"/>
      <c r="BT560" s="53"/>
      <c r="BU560" s="53"/>
      <c r="BV560" s="53"/>
      <c r="BW560" s="53"/>
      <c r="BX560" s="53"/>
      <c r="BY560" s="53"/>
      <c r="BZ560" s="53"/>
      <c r="CA560" s="53"/>
      <c r="CB560" s="53"/>
      <c r="CC560" s="53"/>
      <c r="CD560" s="53"/>
      <c r="CE560" s="53"/>
      <c r="CF560" s="53"/>
      <c r="CG560" s="53"/>
      <c r="CH560" s="53"/>
      <c r="CI560" s="53"/>
      <c r="CJ560" s="53"/>
      <c r="CK560" s="53"/>
      <c r="CL560" s="53"/>
      <c r="CM560" s="53"/>
      <c r="CN560" s="53"/>
      <c r="CO560" s="53"/>
      <c r="CP560" s="53"/>
      <c r="CQ560" s="53"/>
      <c r="CR560" s="1"/>
      <c r="CS560" s="1"/>
      <c r="CT560" s="1"/>
      <c r="CU560" s="1"/>
    </row>
    <row r="561" spans="1:99" s="13" customFormat="1" ht="12" customHeight="1" x14ac:dyDescent="0.2">
      <c r="A561" s="65">
        <v>43648</v>
      </c>
      <c r="B561" s="1" t="s">
        <v>795</v>
      </c>
      <c r="C561" s="1" t="s">
        <v>307</v>
      </c>
      <c r="D561" s="60">
        <v>2006</v>
      </c>
      <c r="E561" s="76">
        <v>1</v>
      </c>
      <c r="F561" s="60">
        <v>58</v>
      </c>
      <c r="G561" s="60">
        <v>29</v>
      </c>
      <c r="H561" s="60" t="s">
        <v>792</v>
      </c>
      <c r="I561" s="60" t="s">
        <v>796</v>
      </c>
      <c r="J561" s="60" t="s">
        <v>164</v>
      </c>
      <c r="K561" s="60">
        <f>IF(J561="syllables",1,IF(J561="trigrams",2,IF(J561="strings",3,IF(J561="visual array",4,IF(J561="characters",5,IF(J561="letters",6,IF(J561="free forms",7,IF(J561="odors",8,IF(J561="words",9,IF(J561="pictures",10,IF(J561="object pictures",11,IF(J561="faces",12,IF(J561="names",13,IF(J561="idioms",14,IF(J561="grades",15,IF(J561="syllable-digit pairs",16,IF(J561="trigram-word pairs",17,IF(J561="word-digit pairs",18,IF(J561="English-Swahili pairs",19,IF(J561="spatial position",20,IF(J561="word pairs",21,IF(J561="word triads",22,IF(J561="generated words",23,IF(J561="word definition pairs",24,IF(J561="math problems",25,IF(J561="famous faces",26,IF(J561="famous names",27,IF(J561="famous voices",28,IF(J561="television programs",29,IF(J561="race horses",30,IF(J561="new vocabulary",31,IF(J561="sentences",32,IF(J561="concepts",33,IF(J561="ad slides",34,IF(J561="scenes",35,IF(J561="famous scenes",36,IF(J561="poems",37,IF(J561="walk",38,IF(J561="faces and events",39,IF(J561="events and names",40,IF(J561="flashbulb",41,IF(J561="stories",42,IF(J561="course material",43,IF(J561="autobiographical",44,IF(J561="novels",45,IF(J561="public events",46,"99"))))))))))))))))))))))))))))))))))))))))))))))</f>
        <v>25</v>
      </c>
      <c r="L561" s="60">
        <f>IF(J561="syllables",1,IF(J561="trigrams",1,IF(J561="strings",1,IF(J561="visual array",1,IF(J561="characters",1,IF(J561="letters",1,IF(J561="free forms",1,IF(J561="odors",2,IF(J561="words",2,IF(J561="pictures",2,IF(J561="object pictures",2,IF(J561="faces",2,IF(J561="names",2,IF(J561="idioms","2",IF(J561="grades",2,IF(J561="syllable-digit pairs",3,IF(J561="trigram-word pairs",3,IF(J561="word-digit pairs",3,IF(J561="English-Swahili pairs",3,IF(J561="spatial position",3,IF(J561="word pairs",4,IF(J561="word triads",4,IF(J561="generated words",4,IF(J561="word definition pairs",4,IF(J561="math problems",4,IF(J561="famous faces",4,IF(J561="famous names",4,IF(J561="famous voices",4,IF(J561="television programs",4,IF(J561="race horses",4,IF(J561="new vocabulary",4,IF(J561="sentences",5,IF(J561="concepts",5,IF(J561="ad slides",5,IF(J561="scenes",5,IF(J561="famous scenes",5,IF(J561="poems",6,IF(J561="walk",6,IF(J561="faces and events",6,IF(J561="events and names",6,IF(J561="flashbulb",7,IF(J561="stories",7,IF(J561="course material",7,IF(J561="autobiographical",7,IF(J561="novels",7,IF(J561="public events",7,"99"))))))))))))))))))))))))))))))))))))))))))))))</f>
        <v>4</v>
      </c>
      <c r="M561" s="60">
        <v>1</v>
      </c>
      <c r="N561" s="60">
        <v>1</v>
      </c>
      <c r="O561" s="60">
        <v>0</v>
      </c>
      <c r="P561" s="60"/>
      <c r="Q561" s="60" t="s">
        <v>312</v>
      </c>
      <c r="R561" s="60">
        <f>IF(Q561="Free Recall",1,IF(Q561="Cued Recall",2,IF(Q561="Recognition",3,IF(Q561="Multiple Choice",4,IF(Q561="Savings",5,IF(Q561="Stem Completion",6,IF(Q561="Fragment Completion",7,IF(Q561="anagram solution",8,IF(Q561="Matching",9,IF(Q561="Problem Solving",10,"99"))))))))))</f>
        <v>10</v>
      </c>
      <c r="S561" s="60" t="s">
        <v>15</v>
      </c>
      <c r="T561" s="60" t="s">
        <v>261</v>
      </c>
      <c r="U561" s="60">
        <f>IF(T561="within",1,0)</f>
        <v>0</v>
      </c>
      <c r="V561" s="60">
        <v>10</v>
      </c>
      <c r="W561" s="60">
        <f>F561*V561</f>
        <v>580</v>
      </c>
      <c r="X561" s="60">
        <v>3</v>
      </c>
      <c r="Y561" s="76">
        <f>AV560</f>
        <v>300</v>
      </c>
      <c r="Z561" s="60" t="s">
        <v>140</v>
      </c>
      <c r="AA561" s="60">
        <f>4*7*24*3600</f>
        <v>2419200</v>
      </c>
      <c r="AB561" s="60" t="str">
        <f>IF(AA561&lt;60,"1",IF(AA561&lt;=43200,"2",IF(AA561&lt;=777600,"3","4")))</f>
        <v>4</v>
      </c>
      <c r="AC561" s="56">
        <f>AVERAGE(AV560:DA560)</f>
        <v>1008100</v>
      </c>
      <c r="AD561" s="60" t="str">
        <f>IF(AC561&lt;60,"1",IF(AC561&lt;=43200,"2",IF(AC561&lt;=777600,"3","4")))</f>
        <v>4</v>
      </c>
      <c r="AE561" s="76">
        <f>AA561-Y561</f>
        <v>2418900</v>
      </c>
      <c r="AF561" s="80">
        <f>AV561</f>
        <v>0.85</v>
      </c>
      <c r="AG561" s="56">
        <f>((AW561-AV561)+(AX561-AW561))/2</f>
        <v>-0.10499999999999998</v>
      </c>
      <c r="AH561" s="4"/>
      <c r="AI561" s="56">
        <f>RSQ(AV561:AX561,AV560:AX560)</f>
        <v>0.74991413524765216</v>
      </c>
      <c r="AJ561" s="109">
        <f>SLOPE(AV561:AX561,AV560:AX560)</f>
        <v>-7.4407600047469704E-8</v>
      </c>
      <c r="AK561" s="56">
        <f>INTERCEPT(AV561:AX561,AV560:AX560)</f>
        <v>0.80501030160785425</v>
      </c>
      <c r="AL561" s="56">
        <f>INDEX(LINEST(LN(AV561:AX561),LN(AV560:AX560),TRUE,TRUE),3,1)</f>
        <v>0.97124274518846521</v>
      </c>
      <c r="AM561" s="56">
        <f>INDEX(LINEST(LN(AV561:AX561),LN(AV560:AX560)),1)</f>
        <v>-2.9518131890255525E-2</v>
      </c>
      <c r="AN561" s="56">
        <f>EXP(INDEX(LINEST(LN(AV561:AX561),LN(AV560:AX560)),1,2))</f>
        <v>1.0099606628764184</v>
      </c>
      <c r="AO561" s="82">
        <f>INDEX(LINEST((AV561:AX561),LN(AV560:AX560),TRUE,TRUE),3,1)</f>
        <v>0.98123455190482423</v>
      </c>
      <c r="AP561" s="82">
        <f>INDEX(LINEST((AV561:AX561),LN(AV560:AX560)),1)</f>
        <v>-2.2123919233917207E-2</v>
      </c>
      <c r="AQ561" s="83">
        <f>INDEX(LINEST(LN(AV561:AX561),SQRT(AV560:AX560),TRUE,TRUE),3,1)</f>
        <v>0.95403096371340235</v>
      </c>
      <c r="AR561" s="116">
        <f>INDEX(LINEST(LN(AV561:AX561),SQRT((AV560:AX560))),1)</f>
        <v>-1.8423485867246584E-4</v>
      </c>
      <c r="AS561" s="84">
        <f>INDEX(LINEST(1/(AV561:AX561),1/(SQRT(AV560:AX560)),TRUE,TRUE),3,1)</f>
        <v>0.8895034520284395</v>
      </c>
      <c r="AT561" s="84">
        <f>INDEX(LINEST(1/(AV561:AX561),1/SQRT(AV560:AX560)),1)</f>
        <v>-5.6397451259025271</v>
      </c>
      <c r="AU561" s="4"/>
      <c r="AV561" s="53">
        <v>0.85</v>
      </c>
      <c r="AW561" s="53">
        <v>0.7</v>
      </c>
      <c r="AX561" s="53">
        <v>0.64</v>
      </c>
      <c r="AY561" s="53"/>
      <c r="AZ561" s="53"/>
      <c r="BA561" s="53"/>
      <c r="BB561" s="53"/>
      <c r="BC561" s="53"/>
      <c r="BD561" s="53"/>
      <c r="BE561" s="53"/>
      <c r="BF561" s="53"/>
      <c r="BG561" s="53"/>
      <c r="BH561" s="53"/>
      <c r="BI561" s="53"/>
      <c r="BJ561" s="53"/>
      <c r="BK561" s="53"/>
      <c r="BL561" s="53"/>
      <c r="BM561" s="53"/>
      <c r="BN561" s="53"/>
      <c r="BO561" s="53"/>
      <c r="BP561" s="53"/>
      <c r="BQ561" s="53"/>
      <c r="BR561" s="53"/>
      <c r="BS561" s="53"/>
      <c r="BT561" s="53"/>
      <c r="BU561" s="53"/>
      <c r="BV561" s="53"/>
      <c r="BW561" s="53"/>
      <c r="BX561" s="53"/>
      <c r="BY561" s="53"/>
      <c r="BZ561" s="53"/>
      <c r="CA561" s="53"/>
      <c r="CB561" s="53"/>
      <c r="CC561" s="53"/>
      <c r="CD561" s="53"/>
      <c r="CE561" s="53"/>
      <c r="CF561" s="53"/>
      <c r="CG561" s="53"/>
      <c r="CH561" s="53"/>
      <c r="CI561" s="53"/>
      <c r="CJ561" s="53"/>
      <c r="CK561" s="53"/>
      <c r="CL561" s="53"/>
      <c r="CM561" s="53"/>
      <c r="CN561" s="53"/>
      <c r="CO561" s="53"/>
      <c r="CP561" s="53"/>
      <c r="CQ561" s="53"/>
      <c r="CR561" s="1"/>
      <c r="CS561" s="1"/>
      <c r="CT561" s="1"/>
      <c r="CU561" s="1"/>
    </row>
    <row r="562" spans="1:99" s="13" customFormat="1" ht="12" customHeight="1" x14ac:dyDescent="0.2">
      <c r="A562" s="65">
        <v>43648</v>
      </c>
      <c r="B562" s="1"/>
      <c r="C562" s="1"/>
      <c r="D562" s="60"/>
      <c r="E562" s="76"/>
      <c r="F562" s="60"/>
      <c r="G562" s="60"/>
      <c r="H562" s="60"/>
      <c r="I562" s="60"/>
      <c r="J562" s="60"/>
      <c r="K562" s="64"/>
      <c r="L562" s="64"/>
      <c r="M562" s="60"/>
      <c r="N562" s="60"/>
      <c r="O562" s="60"/>
      <c r="P562" s="60"/>
      <c r="Q562" s="60"/>
      <c r="R562" s="60"/>
      <c r="S562" s="60"/>
      <c r="T562" s="60"/>
      <c r="U562" s="60"/>
      <c r="V562" s="60"/>
      <c r="W562" s="60"/>
      <c r="X562" s="60"/>
      <c r="Y562" s="76"/>
      <c r="Z562" s="60"/>
      <c r="AA562" s="60"/>
      <c r="AB562" s="60"/>
      <c r="AC562" s="60"/>
      <c r="AD562" s="60"/>
      <c r="AE562" s="60"/>
      <c r="AF562" s="80"/>
      <c r="AG562" s="56"/>
      <c r="AH562" s="4"/>
      <c r="AI562" s="56"/>
      <c r="AJ562" s="109"/>
      <c r="AK562" s="56"/>
      <c r="AL562" s="56"/>
      <c r="AM562" s="56"/>
      <c r="AN562" s="56"/>
      <c r="AO562" s="56"/>
      <c r="AP562" s="56"/>
      <c r="AQ562" s="82"/>
      <c r="AR562" s="115"/>
      <c r="AS562" s="82"/>
      <c r="AT562" s="82"/>
      <c r="AU562" s="4"/>
      <c r="AV562" s="53">
        <v>300</v>
      </c>
      <c r="AW562" s="1">
        <f>1*7*24*3600</f>
        <v>604800</v>
      </c>
      <c r="AX562" s="1">
        <f>4*7*24*3600</f>
        <v>2419200</v>
      </c>
      <c r="AY562" s="53"/>
      <c r="AZ562" s="53"/>
      <c r="BA562" s="53"/>
      <c r="BB562" s="53"/>
      <c r="BC562" s="53"/>
      <c r="BD562" s="53"/>
      <c r="BE562" s="53"/>
      <c r="BF562" s="53"/>
      <c r="BG562" s="53"/>
      <c r="BH562" s="53"/>
      <c r="BI562" s="53"/>
      <c r="BJ562" s="53"/>
      <c r="BK562" s="53"/>
      <c r="BL562" s="53"/>
      <c r="BM562" s="53"/>
      <c r="BN562" s="53"/>
      <c r="BO562" s="53"/>
      <c r="BP562" s="53"/>
      <c r="BQ562" s="53"/>
      <c r="BR562" s="53"/>
      <c r="BS562" s="53"/>
      <c r="BT562" s="53"/>
      <c r="BU562" s="53"/>
      <c r="BV562" s="53"/>
      <c r="BW562" s="53"/>
      <c r="BX562" s="53"/>
      <c r="BY562" s="53"/>
      <c r="BZ562" s="53"/>
      <c r="CA562" s="53"/>
      <c r="CB562" s="53"/>
      <c r="CC562" s="53"/>
      <c r="CD562" s="53"/>
      <c r="CE562" s="53"/>
      <c r="CF562" s="53"/>
      <c r="CG562" s="53"/>
      <c r="CH562" s="53"/>
      <c r="CI562" s="53"/>
      <c r="CJ562" s="53"/>
      <c r="CK562" s="53"/>
      <c r="CL562" s="53"/>
      <c r="CM562" s="53"/>
      <c r="CN562" s="53"/>
      <c r="CO562" s="53"/>
      <c r="CP562" s="53"/>
      <c r="CQ562" s="53"/>
      <c r="CR562" s="1"/>
      <c r="CS562" s="1"/>
      <c r="CT562" s="1"/>
      <c r="CU562" s="1"/>
    </row>
    <row r="563" spans="1:99" s="13" customFormat="1" ht="12" customHeight="1" x14ac:dyDescent="0.2">
      <c r="A563" s="65">
        <v>43648</v>
      </c>
      <c r="B563" s="1" t="s">
        <v>795</v>
      </c>
      <c r="C563" s="1" t="s">
        <v>307</v>
      </c>
      <c r="D563" s="60">
        <v>2006</v>
      </c>
      <c r="E563" s="76">
        <v>1</v>
      </c>
      <c r="F563" s="60">
        <v>58</v>
      </c>
      <c r="G563" s="60">
        <v>29</v>
      </c>
      <c r="H563" s="60" t="s">
        <v>792</v>
      </c>
      <c r="I563" s="60" t="s">
        <v>797</v>
      </c>
      <c r="J563" s="60" t="s">
        <v>164</v>
      </c>
      <c r="K563" s="60">
        <f>IF(J563="syllables",1,IF(J563="trigrams",2,IF(J563="strings",3,IF(J563="visual array",4,IF(J563="characters",5,IF(J563="letters",6,IF(J563="free forms",7,IF(J563="odors",8,IF(J563="words",9,IF(J563="pictures",10,IF(J563="object pictures",11,IF(J563="faces",12,IF(J563="names",13,IF(J563="idioms",14,IF(J563="grades",15,IF(J563="syllable-digit pairs",16,IF(J563="trigram-word pairs",17,IF(J563="word-digit pairs",18,IF(J563="English-Swahili pairs",19,IF(J563="spatial position",20,IF(J563="word pairs",21,IF(J563="word triads",22,IF(J563="generated words",23,IF(J563="word definition pairs",24,IF(J563="math problems",25,IF(J563="famous faces",26,IF(J563="famous names",27,IF(J563="famous voices",28,IF(J563="television programs",29,IF(J563="race horses",30,IF(J563="new vocabulary",31,IF(J563="sentences",32,IF(J563="concepts",33,IF(J563="ad slides",34,IF(J563="scenes",35,IF(J563="famous scenes",36,IF(J563="poems",37,IF(J563="walk",38,IF(J563="faces and events",39,IF(J563="events and names",40,IF(J563="flashbulb",41,IF(J563="stories",42,IF(J563="course material",43,IF(J563="autobiographical",44,IF(J563="novels",45,IF(J563="public events",46,"99"))))))))))))))))))))))))))))))))))))))))))))))</f>
        <v>25</v>
      </c>
      <c r="L563" s="60">
        <f>IF(J563="syllables",1,IF(J563="trigrams",1,IF(J563="strings",1,IF(J563="visual array",1,IF(J563="characters",1,IF(J563="letters",1,IF(J563="free forms",1,IF(J563="odors",2,IF(J563="words",2,IF(J563="pictures",2,IF(J563="object pictures",2,IF(J563="faces",2,IF(J563="names",2,IF(J563="idioms","2",IF(J563="grades",2,IF(J563="syllable-digit pairs",3,IF(J563="trigram-word pairs",3,IF(J563="word-digit pairs",3,IF(J563="English-Swahili pairs",3,IF(J563="spatial position",3,IF(J563="word pairs",4,IF(J563="word triads",4,IF(J563="generated words",4,IF(J563="word definition pairs",4,IF(J563="math problems",4,IF(J563="famous faces",4,IF(J563="famous names",4,IF(J563="famous voices",4,IF(J563="television programs",4,IF(J563="race horses",4,IF(J563="new vocabulary",4,IF(J563="sentences",5,IF(J563="concepts",5,IF(J563="ad slides",5,IF(J563="scenes",5,IF(J563="famous scenes",5,IF(J563="poems",6,IF(J563="walk",6,IF(J563="faces and events",6,IF(J563="events and names",6,IF(J563="flashbulb",7,IF(J563="stories",7,IF(J563="course material",7,IF(J563="autobiographical",7,IF(J563="novels",7,IF(J563="public events",7,"99"))))))))))))))))))))))))))))))))))))))))))))))</f>
        <v>4</v>
      </c>
      <c r="M563" s="60">
        <v>1</v>
      </c>
      <c r="N563" s="60">
        <v>1</v>
      </c>
      <c r="O563" s="60">
        <v>0</v>
      </c>
      <c r="P563" s="60"/>
      <c r="Q563" s="60" t="s">
        <v>312</v>
      </c>
      <c r="R563" s="60">
        <f>IF(Q563="Free Recall",1,IF(Q563="Cued Recall",2,IF(Q563="Recognition",3,IF(Q563="Multiple Choice",4,IF(Q563="Savings",5,IF(Q563="Stem Completion",6,IF(Q563="Fragment Completion",7,IF(Q563="anagram solution",8,IF(Q563="Matching",9,IF(Q563="Problem Solving",10,"99"))))))))))</f>
        <v>10</v>
      </c>
      <c r="S563" s="60" t="s">
        <v>15</v>
      </c>
      <c r="T563" s="60" t="s">
        <v>261</v>
      </c>
      <c r="U563" s="60">
        <f>IF(T563="within",1,0)</f>
        <v>0</v>
      </c>
      <c r="V563" s="60">
        <v>10</v>
      </c>
      <c r="W563" s="60">
        <f>F563*V563</f>
        <v>580</v>
      </c>
      <c r="X563" s="60">
        <v>3</v>
      </c>
      <c r="Y563" s="76">
        <f>AV562</f>
        <v>300</v>
      </c>
      <c r="Z563" s="60" t="s">
        <v>140</v>
      </c>
      <c r="AA563" s="60">
        <f>4*7*24*3600</f>
        <v>2419200</v>
      </c>
      <c r="AB563" s="60" t="str">
        <f>IF(AA563&lt;60,"1",IF(AA563&lt;=43200,"2",IF(AA563&lt;=777600,"3","4")))</f>
        <v>4</v>
      </c>
      <c r="AC563" s="56">
        <f>AVERAGE(AV562:DA562)</f>
        <v>1008100</v>
      </c>
      <c r="AD563" s="60" t="str">
        <f>IF(AC563&lt;60,"1",IF(AC563&lt;=43200,"2",IF(AC563&lt;=777600,"3","4")))</f>
        <v>4</v>
      </c>
      <c r="AE563" s="76">
        <f>AA563-Y563</f>
        <v>2418900</v>
      </c>
      <c r="AF563" s="80">
        <f>AV563</f>
        <v>0.94</v>
      </c>
      <c r="AG563" s="56">
        <f>((AW563-AV563)+(AX563-AW563))/2</f>
        <v>-0.30999999999999994</v>
      </c>
      <c r="AH563" s="4"/>
      <c r="AI563" s="56">
        <f>RSQ(AV563:AX563,AV562:AX562)</f>
        <v>0.99625228352925932</v>
      </c>
      <c r="AJ563" s="109">
        <f>SLOPE(AV563:AX563,AV562:AX562)</f>
        <v>-2.5185399504695184E-7</v>
      </c>
      <c r="AK563" s="56">
        <f>INTERCEPT(AV563:AX563,AV562:AX562)</f>
        <v>0.923894012406832</v>
      </c>
      <c r="AL563" s="56">
        <f>INDEX(LINEST(LN(AV563:AX563),LN(AV562:AX562),TRUE,TRUE),3,1)</f>
        <v>0.58146054933669544</v>
      </c>
      <c r="AM563" s="56">
        <f>INDEX(LINEST(LN(AV563:AX563),LN(AV562:AX562)),1)</f>
        <v>-8.9474583952758202E-2</v>
      </c>
      <c r="AN563" s="56">
        <f>EXP(INDEX(LINEST(LN(AV563:AX563),LN(AV562:AX562)),1,2))</f>
        <v>1.6640028199649759</v>
      </c>
      <c r="AO563" s="82">
        <f>INDEX(LINEST((AV563:AX563),LN(AV562:AX562),TRUE,TRUE),3,1)</f>
        <v>0.68130921439796943</v>
      </c>
      <c r="AP563" s="82">
        <f>INDEX(LINEST((AV563:AX563),LN(AV562:AX562)),1)</f>
        <v>-5.4137778598609423E-2</v>
      </c>
      <c r="AQ563" s="83">
        <f>INDEX(LINEST(LN(AV563:AX563),SQRT(AV562:AX562),TRUE,TRUE),3,1)</f>
        <v>0.90277995533820632</v>
      </c>
      <c r="AR563" s="116">
        <f>INDEX(LINEST(LN(AV563:AX563),SQRT((AV562:AX562))),1)</f>
        <v>-7.0209537122052732E-4</v>
      </c>
      <c r="AS563" s="84">
        <f>INDEX(LINEST(1/(AV563:AX563),1/(SQRT(AV562:AX562)),TRUE,TRUE),3,1)</f>
        <v>0.37008442076548614</v>
      </c>
      <c r="AT563" s="84">
        <f>INDEX(LINEST(1/(AV563:AX563),1/SQRT(AV562:AX562)),1)</f>
        <v>-20.793169890380053</v>
      </c>
      <c r="AU563" s="4"/>
      <c r="AV563" s="53">
        <v>0.94</v>
      </c>
      <c r="AW563" s="53">
        <v>0.75</v>
      </c>
      <c r="AX563" s="53">
        <v>0.32</v>
      </c>
      <c r="AY563" s="53"/>
      <c r="AZ563" s="53"/>
      <c r="BA563" s="53"/>
      <c r="BB563" s="53"/>
      <c r="BC563" s="53"/>
      <c r="BD563" s="53"/>
      <c r="BE563" s="53"/>
      <c r="BF563" s="53"/>
      <c r="BG563" s="53"/>
      <c r="BH563" s="53"/>
      <c r="BI563" s="53"/>
      <c r="BJ563" s="53"/>
      <c r="BK563" s="53"/>
      <c r="BL563" s="53"/>
      <c r="BM563" s="53"/>
      <c r="BN563" s="53"/>
      <c r="BO563" s="53"/>
      <c r="BP563" s="53"/>
      <c r="BQ563" s="53"/>
      <c r="BR563" s="53"/>
      <c r="BS563" s="53"/>
      <c r="BT563" s="53"/>
      <c r="BU563" s="53"/>
      <c r="BV563" s="53"/>
      <c r="BW563" s="53"/>
      <c r="BX563" s="53"/>
      <c r="BY563" s="53"/>
      <c r="BZ563" s="53"/>
      <c r="CA563" s="53"/>
      <c r="CB563" s="53"/>
      <c r="CC563" s="53"/>
      <c r="CD563" s="53"/>
      <c r="CE563" s="53"/>
      <c r="CF563" s="53"/>
      <c r="CG563" s="53"/>
      <c r="CH563" s="53"/>
      <c r="CI563" s="53"/>
      <c r="CJ563" s="53"/>
      <c r="CK563" s="53"/>
      <c r="CL563" s="53"/>
      <c r="CM563" s="53"/>
      <c r="CN563" s="53"/>
      <c r="CO563" s="53"/>
      <c r="CP563" s="53"/>
      <c r="CQ563" s="53"/>
      <c r="CR563" s="1"/>
      <c r="CS563" s="1"/>
      <c r="CT563" s="1"/>
      <c r="CU563" s="1"/>
    </row>
    <row r="564" spans="1:99" s="13" customFormat="1" ht="12" customHeight="1" x14ac:dyDescent="0.2">
      <c r="A564" s="65">
        <v>43648</v>
      </c>
      <c r="B564" s="1"/>
      <c r="C564" s="1"/>
      <c r="D564" s="60"/>
      <c r="E564" s="76"/>
      <c r="F564" s="60"/>
      <c r="G564" s="60"/>
      <c r="H564" s="60"/>
      <c r="I564" s="60"/>
      <c r="J564" s="60"/>
      <c r="K564" s="64"/>
      <c r="L564" s="64"/>
      <c r="M564" s="60"/>
      <c r="N564" s="60"/>
      <c r="O564" s="60"/>
      <c r="P564" s="60"/>
      <c r="Q564" s="60"/>
      <c r="R564" s="60"/>
      <c r="S564" s="60"/>
      <c r="T564" s="60"/>
      <c r="U564" s="60"/>
      <c r="V564" s="60"/>
      <c r="W564" s="60"/>
      <c r="X564" s="60"/>
      <c r="Y564" s="76"/>
      <c r="Z564" s="60"/>
      <c r="AA564" s="60"/>
      <c r="AB564" s="60"/>
      <c r="AC564" s="60"/>
      <c r="AD564" s="60"/>
      <c r="AE564" s="60"/>
      <c r="AF564" s="80"/>
      <c r="AG564" s="56"/>
      <c r="AH564" s="4"/>
      <c r="AI564" s="56"/>
      <c r="AJ564" s="109"/>
      <c r="AK564" s="56"/>
      <c r="AL564" s="56"/>
      <c r="AM564" s="56"/>
      <c r="AN564" s="56"/>
      <c r="AO564" s="56"/>
      <c r="AP564" s="56"/>
      <c r="AQ564" s="82"/>
      <c r="AR564" s="115"/>
      <c r="AS564" s="82"/>
      <c r="AT564" s="82"/>
      <c r="AU564" s="4"/>
      <c r="AV564" s="53">
        <v>300</v>
      </c>
      <c r="AW564" s="1">
        <f>1*7*24*3600</f>
        <v>604800</v>
      </c>
      <c r="AX564" s="1">
        <f>4*7*24*3600</f>
        <v>2419200</v>
      </c>
      <c r="AY564" s="53"/>
      <c r="AZ564" s="53"/>
      <c r="BA564" s="53"/>
      <c r="BB564" s="53"/>
      <c r="BC564" s="53"/>
      <c r="BD564" s="53"/>
      <c r="BE564" s="53"/>
      <c r="BF564" s="53"/>
      <c r="BG564" s="53"/>
      <c r="BH564" s="53"/>
      <c r="BI564" s="53"/>
      <c r="BJ564" s="53"/>
      <c r="BK564" s="53"/>
      <c r="BL564" s="53"/>
      <c r="BM564" s="53"/>
      <c r="BN564" s="53"/>
      <c r="BO564" s="53"/>
      <c r="BP564" s="53"/>
      <c r="BQ564" s="53"/>
      <c r="BR564" s="53"/>
      <c r="BS564" s="53"/>
      <c r="BT564" s="53"/>
      <c r="BU564" s="53"/>
      <c r="BV564" s="53"/>
      <c r="BW564" s="53"/>
      <c r="BX564" s="53"/>
      <c r="BY564" s="53"/>
      <c r="BZ564" s="53"/>
      <c r="CA564" s="53"/>
      <c r="CB564" s="53"/>
      <c r="CC564" s="53"/>
      <c r="CD564" s="53"/>
      <c r="CE564" s="53"/>
      <c r="CF564" s="53"/>
      <c r="CG564" s="53"/>
      <c r="CH564" s="53"/>
      <c r="CI564" s="53"/>
      <c r="CJ564" s="53"/>
      <c r="CK564" s="53"/>
      <c r="CL564" s="53"/>
      <c r="CM564" s="53"/>
      <c r="CN564" s="53"/>
      <c r="CO564" s="53"/>
      <c r="CP564" s="53"/>
      <c r="CQ564" s="53"/>
      <c r="CR564" s="1"/>
      <c r="CS564" s="1"/>
      <c r="CT564" s="1"/>
      <c r="CU564" s="1"/>
    </row>
    <row r="565" spans="1:99" s="13" customFormat="1" ht="12" customHeight="1" x14ac:dyDescent="0.2">
      <c r="A565" s="65">
        <v>43648</v>
      </c>
      <c r="B565" s="1" t="s">
        <v>795</v>
      </c>
      <c r="C565" s="1" t="s">
        <v>307</v>
      </c>
      <c r="D565" s="60">
        <v>2006</v>
      </c>
      <c r="E565" s="76">
        <v>1</v>
      </c>
      <c r="F565" s="60">
        <v>50</v>
      </c>
      <c r="G565" s="60">
        <v>25</v>
      </c>
      <c r="H565" s="60" t="s">
        <v>800</v>
      </c>
      <c r="I565" s="60" t="s">
        <v>798</v>
      </c>
      <c r="J565" s="60" t="s">
        <v>164</v>
      </c>
      <c r="K565" s="60">
        <f>IF(J565="syllables",1,IF(J565="trigrams",2,IF(J565="strings",3,IF(J565="visual array",4,IF(J565="characters",5,IF(J565="letters",6,IF(J565="free forms",7,IF(J565="odors",8,IF(J565="words",9,IF(J565="pictures",10,IF(J565="object pictures",11,IF(J565="faces",12,IF(J565="names",13,IF(J565="idioms",14,IF(J565="grades",15,IF(J565="syllable-digit pairs",16,IF(J565="trigram-word pairs",17,IF(J565="word-digit pairs",18,IF(J565="English-Swahili pairs",19,IF(J565="spatial position",20,IF(J565="word pairs",21,IF(J565="word triads",22,IF(J565="generated words",23,IF(J565="word definition pairs",24,IF(J565="math problems",25,IF(J565="famous faces",26,IF(J565="famous names",27,IF(J565="famous voices",28,IF(J565="television programs",29,IF(J565="race horses",30,IF(J565="new vocabulary",31,IF(J565="sentences",32,IF(J565="concepts",33,IF(J565="ad slides",34,IF(J565="scenes",35,IF(J565="famous scenes",36,IF(J565="poems",37,IF(J565="walk",38,IF(J565="faces and events",39,IF(J565="events and names",40,IF(J565="flashbulb",41,IF(J565="stories",42,IF(J565="course material",43,IF(J565="autobiographical",44,IF(J565="novels",45,IF(J565="public events",46,"99"))))))))))))))))))))))))))))))))))))))))))))))</f>
        <v>25</v>
      </c>
      <c r="L565" s="60">
        <f>IF(J565="syllables",1,IF(J565="trigrams",1,IF(J565="strings",1,IF(J565="visual array",1,IF(J565="characters",1,IF(J565="letters",1,IF(J565="free forms",1,IF(J565="odors",2,IF(J565="words",2,IF(J565="pictures",2,IF(J565="object pictures",2,IF(J565="faces",2,IF(J565="names",2,IF(J565="idioms","2",IF(J565="grades",2,IF(J565="syllable-digit pairs",3,IF(J565="trigram-word pairs",3,IF(J565="word-digit pairs",3,IF(J565="English-Swahili pairs",3,IF(J565="spatial position",3,IF(J565="word pairs",4,IF(J565="word triads",4,IF(J565="generated words",4,IF(J565="word definition pairs",4,IF(J565="math problems",4,IF(J565="famous faces",4,IF(J565="famous names",4,IF(J565="famous voices",4,IF(J565="television programs",4,IF(J565="race horses",4,IF(J565="new vocabulary",4,IF(J565="sentences",5,IF(J565="concepts",5,IF(J565="ad slides",5,IF(J565="scenes",5,IF(J565="famous scenes",5,IF(J565="poems",6,IF(J565="walk",6,IF(J565="faces and events",6,IF(J565="events and names",6,IF(J565="flashbulb",7,IF(J565="stories",7,IF(J565="course material",7,IF(J565="autobiographical",7,IF(J565="novels",7,IF(J565="public events",7,"99"))))))))))))))))))))))))))))))))))))))))))))))</f>
        <v>4</v>
      </c>
      <c r="M565" s="60">
        <v>1</v>
      </c>
      <c r="N565" s="60">
        <v>1</v>
      </c>
      <c r="O565" s="60">
        <v>0</v>
      </c>
      <c r="P565" s="60"/>
      <c r="Q565" s="60" t="s">
        <v>312</v>
      </c>
      <c r="R565" s="60">
        <f>IF(Q565="Free Recall",1,IF(Q565="Cued Recall",2,IF(Q565="Recognition",3,IF(Q565="Multiple Choice",4,IF(Q565="Savings",5,IF(Q565="Stem Completion",6,IF(Q565="Fragment Completion",7,IF(Q565="anagram solution",8,IF(Q565="Matching",9,IF(Q565="Problem Solving",10,"99"))))))))))</f>
        <v>10</v>
      </c>
      <c r="S565" s="60" t="s">
        <v>15</v>
      </c>
      <c r="T565" s="60" t="s">
        <v>261</v>
      </c>
      <c r="U565" s="60">
        <f>IF(T565="within",1,0)</f>
        <v>0</v>
      </c>
      <c r="V565" s="60">
        <v>9</v>
      </c>
      <c r="W565" s="60">
        <f>F565*V565</f>
        <v>450</v>
      </c>
      <c r="X565" s="60">
        <v>3</v>
      </c>
      <c r="Y565" s="76">
        <f>AV564</f>
        <v>300</v>
      </c>
      <c r="Z565" s="60" t="s">
        <v>140</v>
      </c>
      <c r="AA565" s="60">
        <f>4*7*24*3600</f>
        <v>2419200</v>
      </c>
      <c r="AB565" s="60" t="str">
        <f>IF(AA565&lt;60,"1",IF(AA565&lt;=43200,"2",IF(AA565&lt;=777600,"3","4")))</f>
        <v>4</v>
      </c>
      <c r="AC565" s="56">
        <f>AVERAGE(AV564:DA564)</f>
        <v>1008100</v>
      </c>
      <c r="AD565" s="60" t="str">
        <f>IF(AC565&lt;60,"1",IF(AC565&lt;=43200,"2",IF(AC565&lt;=777600,"3","4")))</f>
        <v>4</v>
      </c>
      <c r="AE565" s="76">
        <f>AA565-Y565</f>
        <v>2418900</v>
      </c>
      <c r="AF565" s="80">
        <f>AV565</f>
        <v>0.95</v>
      </c>
      <c r="AG565" s="56">
        <f>((AW565-AV565)+(AX565-AW565))/2</f>
        <v>-0.33499999999999996</v>
      </c>
      <c r="AH565" s="4"/>
      <c r="AI565" s="56">
        <f>RSQ(AV565:AX565,AV564:AX564)</f>
        <v>0.97689666849496715</v>
      </c>
      <c r="AJ565" s="109">
        <f>SLOPE(AV565:AX565,AV564:AX564)</f>
        <v>-2.652074578957498E-7</v>
      </c>
      <c r="AK565" s="56">
        <f>INTERCEPT(AV565:AX565,AV564:AX564)</f>
        <v>0.90735563830470545</v>
      </c>
      <c r="AL565" s="56">
        <f>INDEX(LINEST(LN(AV565:AX565),LN(AV564:AX564),TRUE,TRUE),3,1)</f>
        <v>0.63524118775641902</v>
      </c>
      <c r="AM565" s="56">
        <f>INDEX(LINEST(LN(AV565:AX565),LN(AV564:AX564)),1)</f>
        <v>-0.10426040817463735</v>
      </c>
      <c r="AN565" s="56">
        <f>EXP(INDEX(LINEST(LN(AV565:AX565),LN(AV564:AX564)),1,2))</f>
        <v>1.8342193746695841</v>
      </c>
      <c r="AO565" s="82">
        <f>INDEX(LINEST((AV565:AX565),LN(AV564:AX564),TRUE,TRUE),3,1)</f>
        <v>0.76293630992677641</v>
      </c>
      <c r="AP565" s="82">
        <f>INDEX(LINEST((AV565:AX565),LN(AV564:AX564)),1)</f>
        <v>-6.0921372875818565E-2</v>
      </c>
      <c r="AQ565" s="83">
        <f>INDEX(LINEST(LN(AV565:AX565),SQRT(AV564:AX564),TRUE,TRUE),3,1)</f>
        <v>0.93292911366989661</v>
      </c>
      <c r="AR565" s="116">
        <f>INDEX(LINEST(LN(AV565:AX565),SQRT((AV564:AX564))),1)</f>
        <v>-7.9568288179008857E-4</v>
      </c>
      <c r="AS565" s="84">
        <f>INDEX(LINEST(1/(AV565:AX565),1/(SQRT(AV564:AX564)),TRUE,TRUE),3,1)</f>
        <v>0.39574302946757589</v>
      </c>
      <c r="AT565" s="84">
        <f>INDEX(LINEST(1/(AV565:AX565),1/SQRT(AV564:AX564)),1)</f>
        <v>-25.992375802185901</v>
      </c>
      <c r="AU565" s="4"/>
      <c r="AV565" s="53">
        <v>0.95</v>
      </c>
      <c r="AW565" s="53">
        <v>0.69</v>
      </c>
      <c r="AX565" s="53">
        <v>0.28000000000000003</v>
      </c>
      <c r="AY565" s="53"/>
      <c r="AZ565" s="53"/>
      <c r="BA565" s="53"/>
      <c r="BB565" s="53"/>
      <c r="BC565" s="53"/>
      <c r="BD565" s="53"/>
      <c r="BE565" s="53"/>
      <c r="BF565" s="53"/>
      <c r="BG565" s="53"/>
      <c r="BH565" s="53"/>
      <c r="BI565" s="53"/>
      <c r="BJ565" s="53"/>
      <c r="BK565" s="53"/>
      <c r="BL565" s="53"/>
      <c r="BM565" s="53"/>
      <c r="BN565" s="53"/>
      <c r="BO565" s="53"/>
      <c r="BP565" s="53"/>
      <c r="BQ565" s="53"/>
      <c r="BR565" s="53"/>
      <c r="BS565" s="53"/>
      <c r="BT565" s="53"/>
      <c r="BU565" s="53"/>
      <c r="BV565" s="53"/>
      <c r="BW565" s="53"/>
      <c r="BX565" s="53"/>
      <c r="BY565" s="53"/>
      <c r="BZ565" s="53"/>
      <c r="CA565" s="53"/>
      <c r="CB565" s="53"/>
      <c r="CC565" s="53"/>
      <c r="CD565" s="53"/>
      <c r="CE565" s="53"/>
      <c r="CF565" s="53"/>
      <c r="CG565" s="53"/>
      <c r="CH565" s="53"/>
      <c r="CI565" s="53"/>
      <c r="CJ565" s="53"/>
      <c r="CK565" s="53"/>
      <c r="CL565" s="53"/>
      <c r="CM565" s="53"/>
      <c r="CN565" s="53"/>
      <c r="CO565" s="53"/>
      <c r="CP565" s="53"/>
      <c r="CQ565" s="53"/>
      <c r="CR565" s="1"/>
      <c r="CS565" s="1"/>
      <c r="CT565" s="1"/>
      <c r="CU565" s="1"/>
    </row>
    <row r="566" spans="1:99" s="13" customFormat="1" ht="12" customHeight="1" x14ac:dyDescent="0.2">
      <c r="A566" s="65">
        <v>43648</v>
      </c>
      <c r="B566" s="1"/>
      <c r="C566" s="1"/>
      <c r="D566" s="60"/>
      <c r="E566" s="76"/>
      <c r="F566" s="60"/>
      <c r="G566" s="60"/>
      <c r="H566" s="60"/>
      <c r="I566" s="60"/>
      <c r="J566" s="60"/>
      <c r="K566" s="64"/>
      <c r="L566" s="64"/>
      <c r="M566" s="60"/>
      <c r="N566" s="60"/>
      <c r="O566" s="60"/>
      <c r="P566" s="60"/>
      <c r="Q566" s="60"/>
      <c r="R566" s="60"/>
      <c r="S566" s="60"/>
      <c r="T566" s="60"/>
      <c r="U566" s="60"/>
      <c r="V566" s="60"/>
      <c r="W566" s="60"/>
      <c r="X566" s="60"/>
      <c r="Y566" s="76"/>
      <c r="Z566" s="60"/>
      <c r="AA566" s="60"/>
      <c r="AB566" s="60"/>
      <c r="AC566" s="60"/>
      <c r="AD566" s="60"/>
      <c r="AE566" s="60"/>
      <c r="AF566" s="80"/>
      <c r="AG566" s="56"/>
      <c r="AH566" s="4"/>
      <c r="AI566" s="56"/>
      <c r="AJ566" s="109"/>
      <c r="AK566" s="56"/>
      <c r="AL566" s="56"/>
      <c r="AM566" s="56"/>
      <c r="AN566" s="56"/>
      <c r="AO566" s="56"/>
      <c r="AP566" s="56"/>
      <c r="AQ566" s="82"/>
      <c r="AR566" s="115"/>
      <c r="AS566" s="82"/>
      <c r="AT566" s="82"/>
      <c r="AU566" s="4"/>
      <c r="AV566" s="53">
        <v>300</v>
      </c>
      <c r="AW566" s="1">
        <f>1*7*24*3600</f>
        <v>604800</v>
      </c>
      <c r="AX566" s="1">
        <f>4*7*24*3600</f>
        <v>2419200</v>
      </c>
      <c r="AY566" s="53"/>
      <c r="AZ566" s="53"/>
      <c r="BA566" s="53"/>
      <c r="BB566" s="53"/>
      <c r="BC566" s="53"/>
      <c r="BD566" s="53"/>
      <c r="BE566" s="53"/>
      <c r="BF566" s="53"/>
      <c r="BG566" s="53"/>
      <c r="BH566" s="53"/>
      <c r="BI566" s="53"/>
      <c r="BJ566" s="53"/>
      <c r="BK566" s="53"/>
      <c r="BL566" s="53"/>
      <c r="BM566" s="53"/>
      <c r="BN566" s="53"/>
      <c r="BO566" s="53"/>
      <c r="BP566" s="53"/>
      <c r="BQ566" s="53"/>
      <c r="BR566" s="53"/>
      <c r="BS566" s="53"/>
      <c r="BT566" s="53"/>
      <c r="BU566" s="53"/>
      <c r="BV566" s="53"/>
      <c r="BW566" s="53"/>
      <c r="BX566" s="53"/>
      <c r="BY566" s="53"/>
      <c r="BZ566" s="53"/>
      <c r="CA566" s="53"/>
      <c r="CB566" s="53"/>
      <c r="CC566" s="53"/>
      <c r="CD566" s="53"/>
      <c r="CE566" s="53"/>
      <c r="CF566" s="53"/>
      <c r="CG566" s="53"/>
      <c r="CH566" s="53"/>
      <c r="CI566" s="53"/>
      <c r="CJ566" s="53"/>
      <c r="CK566" s="53"/>
      <c r="CL566" s="53"/>
      <c r="CM566" s="53"/>
      <c r="CN566" s="53"/>
      <c r="CO566" s="53"/>
      <c r="CP566" s="53"/>
      <c r="CQ566" s="53"/>
      <c r="CR566" s="1"/>
      <c r="CS566" s="1"/>
      <c r="CT566" s="1"/>
      <c r="CU566" s="1"/>
    </row>
    <row r="567" spans="1:99" s="13" customFormat="1" ht="12" customHeight="1" x14ac:dyDescent="0.2">
      <c r="A567" s="65">
        <v>43648</v>
      </c>
      <c r="B567" s="1" t="s">
        <v>795</v>
      </c>
      <c r="C567" s="1" t="s">
        <v>307</v>
      </c>
      <c r="D567" s="60">
        <v>2006</v>
      </c>
      <c r="E567" s="76">
        <v>1</v>
      </c>
      <c r="F567" s="60">
        <v>50</v>
      </c>
      <c r="G567" s="60">
        <v>25</v>
      </c>
      <c r="H567" s="60" t="s">
        <v>800</v>
      </c>
      <c r="I567" s="60" t="s">
        <v>799</v>
      </c>
      <c r="J567" s="60" t="s">
        <v>164</v>
      </c>
      <c r="K567" s="60">
        <f>IF(J567="syllables",1,IF(J567="trigrams",2,IF(J567="strings",3,IF(J567="visual array",4,IF(J567="characters",5,IF(J567="letters",6,IF(J567="free forms",7,IF(J567="odors",8,IF(J567="words",9,IF(J567="pictures",10,IF(J567="object pictures",11,IF(J567="faces",12,IF(J567="names",13,IF(J567="idioms",14,IF(J567="grades",15,IF(J567="syllable-digit pairs",16,IF(J567="trigram-word pairs",17,IF(J567="word-digit pairs",18,IF(J567="English-Swahili pairs",19,IF(J567="spatial position",20,IF(J567="word pairs",21,IF(J567="word triads",22,IF(J567="generated words",23,IF(J567="word definition pairs",24,IF(J567="math problems",25,IF(J567="famous faces",26,IF(J567="famous names",27,IF(J567="famous voices",28,IF(J567="television programs",29,IF(J567="race horses",30,IF(J567="new vocabulary",31,IF(J567="sentences",32,IF(J567="concepts",33,IF(J567="ad slides",34,IF(J567="scenes",35,IF(J567="famous scenes",36,IF(J567="poems",37,IF(J567="walk",38,IF(J567="faces and events",39,IF(J567="events and names",40,IF(J567="flashbulb",41,IF(J567="stories",42,IF(J567="course material",43,IF(J567="autobiographical",44,IF(J567="novels",45,IF(J567="public events",46,"99"))))))))))))))))))))))))))))))))))))))))))))))</f>
        <v>25</v>
      </c>
      <c r="L567" s="60">
        <f>IF(J567="syllables",1,IF(J567="trigrams",1,IF(J567="strings",1,IF(J567="visual array",1,IF(J567="characters",1,IF(J567="letters",1,IF(J567="free forms",1,IF(J567="odors",2,IF(J567="words",2,IF(J567="pictures",2,IF(J567="object pictures",2,IF(J567="faces",2,IF(J567="names",2,IF(J567="idioms","2",IF(J567="grades",2,IF(J567="syllable-digit pairs",3,IF(J567="trigram-word pairs",3,IF(J567="word-digit pairs",3,IF(J567="English-Swahili pairs",3,IF(J567="spatial position",3,IF(J567="word pairs",4,IF(J567="word triads",4,IF(J567="generated words",4,IF(J567="word definition pairs",4,IF(J567="math problems",4,IF(J567="famous faces",4,IF(J567="famous names",4,IF(J567="famous voices",4,IF(J567="television programs",4,IF(J567="race horses",4,IF(J567="new vocabulary",4,IF(J567="sentences",5,IF(J567="concepts",5,IF(J567="ad slides",5,IF(J567="scenes",5,IF(J567="famous scenes",5,IF(J567="poems",6,IF(J567="walk",6,IF(J567="faces and events",6,IF(J567="events and names",6,IF(J567="flashbulb",7,IF(J567="stories",7,IF(J567="course material",7,IF(J567="autobiographical",7,IF(J567="novels",7,IF(J567="public events",7,"99"))))))))))))))))))))))))))))))))))))))))))))))</f>
        <v>4</v>
      </c>
      <c r="M567" s="60">
        <v>1</v>
      </c>
      <c r="N567" s="60">
        <v>1</v>
      </c>
      <c r="O567" s="60">
        <v>0</v>
      </c>
      <c r="P567" s="60"/>
      <c r="Q567" s="60" t="s">
        <v>312</v>
      </c>
      <c r="R567" s="60">
        <f>IF(Q567="Free Recall",1,IF(Q567="Cued Recall",2,IF(Q567="Recognition",3,IF(Q567="Multiple Choice",4,IF(Q567="Savings",5,IF(Q567="Stem Completion",6,IF(Q567="Fragment Completion",7,IF(Q567="anagram solution",8,IF(Q567="Matching",9,IF(Q567="Problem Solving",10,"99"))))))))))</f>
        <v>10</v>
      </c>
      <c r="S567" s="60" t="s">
        <v>15</v>
      </c>
      <c r="T567" s="60" t="s">
        <v>261</v>
      </c>
      <c r="U567" s="60">
        <f>IF(T567="within",1,0)</f>
        <v>0</v>
      </c>
      <c r="V567" s="60">
        <v>3</v>
      </c>
      <c r="W567" s="60">
        <f>F567*V567</f>
        <v>150</v>
      </c>
      <c r="X567" s="60">
        <v>3</v>
      </c>
      <c r="Y567" s="76">
        <f>AV566</f>
        <v>300</v>
      </c>
      <c r="Z567" s="60" t="s">
        <v>140</v>
      </c>
      <c r="AA567" s="60">
        <f>4*7*24*3600</f>
        <v>2419200</v>
      </c>
      <c r="AB567" s="60" t="str">
        <f>IF(AA567&lt;60,"1",IF(AA567&lt;=43200,"2",IF(AA567&lt;=777600,"3","4")))</f>
        <v>4</v>
      </c>
      <c r="AC567" s="56">
        <f>AVERAGE(AV566:DA566)</f>
        <v>1008100</v>
      </c>
      <c r="AD567" s="60" t="str">
        <f>IF(AC567&lt;60,"1",IF(AC567&lt;=43200,"2",IF(AC567&lt;=777600,"3","4")))</f>
        <v>4</v>
      </c>
      <c r="AE567" s="76">
        <f>AA567-Y567</f>
        <v>2418900</v>
      </c>
      <c r="AF567" s="80">
        <f>AV567</f>
        <v>0.88</v>
      </c>
      <c r="AG567" s="56">
        <f>((AW567-AV567)+(AX567-AW567))/2</f>
        <v>-0.30499999999999999</v>
      </c>
      <c r="AH567" s="4"/>
      <c r="AI567" s="56">
        <f>RSQ(AV567:AX567,AV566:AX566)</f>
        <v>0.98938641365985869</v>
      </c>
      <c r="AJ567" s="109">
        <f>SLOPE(AV567:AX567,AV566:AX566)</f>
        <v>-2.4485702534659767E-7</v>
      </c>
      <c r="AK567" s="56">
        <f>INTERCEPT(AV567:AX567,AV566:AX566)</f>
        <v>0.85350703391857174</v>
      </c>
      <c r="AL567" s="56">
        <f>INDEX(LINEST(LN(AV567:AX567),LN(AV566:AX566),TRUE,TRUE),3,1)</f>
        <v>0.60324918345642675</v>
      </c>
      <c r="AM567" s="56">
        <f>INDEX(LINEST(LN(AV567:AX567),LN(AV566:AX566)),1)</f>
        <v>-9.9213181364829386E-2</v>
      </c>
      <c r="AN567" s="56">
        <f>EXP(INDEX(LINEST(LN(AV567:AX567),LN(AV566:AX566)),1,2))</f>
        <v>1.6527744900200623</v>
      </c>
      <c r="AO567" s="82">
        <f>INDEX(LINEST((AV567:AX567),LN(AV566:AX566),TRUE,TRUE),3,1)</f>
        <v>0.71971902106667862</v>
      </c>
      <c r="AP567" s="82">
        <f>INDEX(LINEST((AV567:AX567),LN(AV566:AX566)),1)</f>
        <v>-5.4284420915613987E-2</v>
      </c>
      <c r="AQ567" s="83">
        <f>INDEX(LINEST(LN(AV567:AX567),SQRT(AV566:AX566),TRUE,TRUE),3,1)</f>
        <v>0.91551699929519526</v>
      </c>
      <c r="AR567" s="116">
        <f>INDEX(LINEST(LN(AV567:AX567),SQRT((AV566:AX566))),1)</f>
        <v>-7.6969702212792434E-4</v>
      </c>
      <c r="AS567" s="84">
        <f>INDEX(LINEST(1/(AV567:AX567),1/(SQRT(AV566:AX566)),TRUE,TRUE),3,1)</f>
        <v>0.37765412962362499</v>
      </c>
      <c r="AT567" s="84">
        <f>INDEX(LINEST(1/(AV567:AX567),1/SQRT(AV566:AX566)),1)</f>
        <v>-26.076787103183293</v>
      </c>
      <c r="AU567" s="4"/>
      <c r="AV567" s="53">
        <v>0.88</v>
      </c>
      <c r="AW567" s="53">
        <v>0.67</v>
      </c>
      <c r="AX567" s="53">
        <v>0.27</v>
      </c>
      <c r="AY567" s="53"/>
      <c r="AZ567" s="53"/>
      <c r="BA567" s="53"/>
      <c r="BB567" s="53"/>
      <c r="BC567" s="53"/>
      <c r="BD567" s="53"/>
      <c r="BE567" s="53"/>
      <c r="BF567" s="53"/>
      <c r="BG567" s="53"/>
      <c r="BH567" s="53"/>
      <c r="BI567" s="53"/>
      <c r="BJ567" s="53"/>
      <c r="BK567" s="53"/>
      <c r="BL567" s="53"/>
      <c r="BM567" s="53"/>
      <c r="BN567" s="53"/>
      <c r="BO567" s="53"/>
      <c r="BP567" s="53"/>
      <c r="BQ567" s="53"/>
      <c r="BR567" s="53"/>
      <c r="BS567" s="53"/>
      <c r="BT567" s="53"/>
      <c r="BU567" s="53"/>
      <c r="BV567" s="53"/>
      <c r="BW567" s="53"/>
      <c r="BX567" s="53"/>
      <c r="BY567" s="53"/>
      <c r="BZ567" s="53"/>
      <c r="CA567" s="53"/>
      <c r="CB567" s="53"/>
      <c r="CC567" s="53"/>
      <c r="CD567" s="53"/>
      <c r="CE567" s="53"/>
      <c r="CF567" s="53"/>
      <c r="CG567" s="53"/>
      <c r="CH567" s="53"/>
      <c r="CI567" s="53"/>
      <c r="CJ567" s="53"/>
      <c r="CK567" s="53"/>
      <c r="CL567" s="53"/>
      <c r="CM567" s="53"/>
      <c r="CN567" s="53"/>
      <c r="CO567" s="53"/>
      <c r="CP567" s="53"/>
      <c r="CQ567" s="53"/>
      <c r="CR567" s="1"/>
      <c r="CS567" s="1"/>
      <c r="CT567" s="1"/>
      <c r="CU567" s="1"/>
    </row>
    <row r="568" spans="1:99" ht="12" customHeight="1" x14ac:dyDescent="0.2">
      <c r="A568" s="65">
        <v>43509</v>
      </c>
      <c r="B568" s="15"/>
      <c r="C568" s="15"/>
      <c r="D568" s="59"/>
      <c r="E568" s="75"/>
      <c r="F568" s="59"/>
      <c r="G568" s="59"/>
      <c r="H568" s="59"/>
      <c r="I568" s="59"/>
      <c r="J568" s="59"/>
      <c r="M568" s="59"/>
      <c r="N568" s="59"/>
      <c r="O568" s="59"/>
      <c r="P568" s="59"/>
      <c r="Q568" s="59"/>
      <c r="R568" s="60"/>
      <c r="S568" s="59"/>
      <c r="T568" s="59"/>
      <c r="U568" s="60"/>
      <c r="V568" s="59"/>
      <c r="W568" s="60"/>
      <c r="X568" s="59"/>
      <c r="Y568" s="76"/>
      <c r="Z568" s="59"/>
      <c r="AA568" s="59"/>
      <c r="AB568" s="60"/>
      <c r="AC568" s="60"/>
      <c r="AD568" s="60"/>
      <c r="AE568" s="60"/>
      <c r="AF568" s="80"/>
      <c r="AG568" s="56"/>
      <c r="AH568" s="4"/>
      <c r="AL568" s="55"/>
      <c r="AM568" s="55"/>
      <c r="AN568" s="55"/>
      <c r="AO568" s="55"/>
      <c r="AP568" s="55"/>
      <c r="AQ568" s="82"/>
      <c r="AR568" s="115"/>
      <c r="AS568" s="82"/>
      <c r="AT568" s="82"/>
      <c r="AU568" s="4"/>
      <c r="AV568" s="15">
        <v>60</v>
      </c>
      <c r="AW568" s="47">
        <v>600</v>
      </c>
      <c r="AX568" s="47">
        <f>7*24*3600</f>
        <v>604800</v>
      </c>
      <c r="AY568" s="47">
        <f>30*24*3600</f>
        <v>2592000</v>
      </c>
      <c r="AZ568" s="11" t="s">
        <v>528</v>
      </c>
      <c r="BA568" s="11"/>
      <c r="BB568" s="11"/>
      <c r="BC568" s="11"/>
      <c r="BD568" s="11"/>
      <c r="BE568" s="11"/>
      <c r="BF568" s="11"/>
      <c r="BG568" s="11"/>
      <c r="BH568" s="11"/>
      <c r="BI568" s="11"/>
      <c r="BJ568" s="11"/>
      <c r="BK568" s="11"/>
      <c r="BL568" s="11"/>
      <c r="BM568" s="11"/>
      <c r="BN568" s="11"/>
      <c r="BO568" s="11"/>
      <c r="BP568" s="11"/>
      <c r="BQ568" s="11"/>
      <c r="BR568" s="11"/>
      <c r="BS568" s="11"/>
      <c r="BT568" s="11"/>
      <c r="BU568" s="11"/>
      <c r="BV568" s="11"/>
      <c r="BW568" s="11"/>
      <c r="BX568" s="11"/>
      <c r="BY568" s="11"/>
      <c r="BZ568" s="11"/>
      <c r="CA568" s="11"/>
      <c r="CB568" s="11"/>
      <c r="CC568" s="11"/>
      <c r="CD568" s="11"/>
      <c r="CE568" s="11"/>
      <c r="CF568" s="11"/>
      <c r="CG568" s="11"/>
      <c r="CH568" s="11"/>
      <c r="CI568" s="11"/>
      <c r="CJ568" s="11"/>
      <c r="CK568" s="11"/>
      <c r="CL568" s="11"/>
      <c r="CM568" s="11"/>
      <c r="CN568" s="11"/>
      <c r="CO568" s="11"/>
      <c r="CP568" s="11"/>
      <c r="CQ568" s="11"/>
      <c r="CR568" s="15"/>
      <c r="CS568" s="15"/>
      <c r="CT568" s="15"/>
      <c r="CU568" s="15"/>
    </row>
    <row r="569" spans="1:99" ht="12" customHeight="1" x14ac:dyDescent="0.2">
      <c r="A569" s="65">
        <v>43509</v>
      </c>
      <c r="B569" s="15" t="s">
        <v>299</v>
      </c>
      <c r="C569" s="15" t="s">
        <v>58</v>
      </c>
      <c r="D569" s="59">
        <v>1978</v>
      </c>
      <c r="E569" s="75">
        <v>3</v>
      </c>
      <c r="F569" s="59">
        <v>64</v>
      </c>
      <c r="G569" s="59">
        <v>16</v>
      </c>
      <c r="H569" s="59" t="s">
        <v>30</v>
      </c>
      <c r="I569" s="59" t="s">
        <v>801</v>
      </c>
      <c r="J569" s="59" t="s">
        <v>677</v>
      </c>
      <c r="K569" s="60">
        <f>IF(J569="syllables",1,IF(J569="trigrams",2,IF(J569="strings",3,IF(J569="visual array",4,IF(J569="characters",5,IF(J569="letters",6,IF(J569="free forms",7,IF(J569="odors",8,IF(J569="words",9,IF(J569="pictures",10,IF(J569="object pictures",11,IF(J569="faces",12,IF(J569="names",13,IF(J569="idioms",14,IF(J569="grades",15,IF(J569="syllable-digit pairs",16,IF(J569="trigram-word pairs",17,IF(J569="word-digit pairs",18,IF(J569="English-Swahili pairs",19,IF(J569="spatial position",20,IF(J569="word pairs",21,IF(J569="word triads",22,IF(J569="generated words",23,IF(J569="word definition pairs",24,IF(J569="math problems",25,IF(J569="famous faces",26,IF(J569="famous names",27,IF(J569="famous voices",28,IF(J569="television programs",29,IF(J569="race horses",30,IF(J569="new vocabulary",31,IF(J569="sentences",32,IF(J569="concepts",33,IF(J569="ad slides",34,IF(J569="scenes",35,IF(J569="famous scenes",36,IF(J569="poems",37,IF(J569="walk",38,IF(J569="faces and events",39,IF(J569="events and names",40,IF(J569="flashbulb",41,IF(J569="stories",42,IF(J569="course material",43,IF(J569="autobiographical",44,IF(J569="novels",45,IF(J569="public events",46,"99"))))))))))))))))))))))))))))))))))))))))))))))</f>
        <v>42</v>
      </c>
      <c r="L569" s="60">
        <f>IF(J569="syllables",1,IF(J569="trigrams",1,IF(J569="strings",1,IF(J569="visual array",1,IF(J569="characters",1,IF(J569="letters",1,IF(J569="free forms",1,IF(J569="odors",2,IF(J569="words",2,IF(J569="pictures",2,IF(J569="object pictures",2,IF(J569="faces",2,IF(J569="names",2,IF(J569="idioms","2",IF(J569="grades",2,IF(J569="syllable-digit pairs",3,IF(J569="trigram-word pairs",3,IF(J569="word-digit pairs",3,IF(J569="English-Swahili pairs",3,IF(J569="spatial position",3,IF(J569="word pairs",4,IF(J569="word triads",4,IF(J569="generated words",4,IF(J569="word definition pairs",4,IF(J569="math problems",4,IF(J569="famous faces",4,IF(J569="famous names",4,IF(J569="famous voices",4,IF(J569="television programs",4,IF(J569="race horses",4,IF(J569="new vocabulary",4,IF(J569="sentences",5,IF(J569="concepts",5,IF(J569="ad slides",5,IF(J569="scenes",5,IF(J569="famous scenes",5,IF(J569="poems",6,IF(J569="walk",6,IF(J569="faces and events",6,IF(J569="events and names",6,IF(J569="flashbulb",7,IF(J569="stories",7,IF(J569="course material",7,IF(J569="autobiographical",7,IF(J569="novels",7,IF(J569="public events",7,"99"))))))))))))))))))))))))))))))))))))))))))))))</f>
        <v>7</v>
      </c>
      <c r="M569" s="59">
        <v>1</v>
      </c>
      <c r="N569" s="59">
        <v>4</v>
      </c>
      <c r="O569" s="59">
        <v>0</v>
      </c>
      <c r="P569" s="59"/>
      <c r="Q569" s="60" t="s">
        <v>174</v>
      </c>
      <c r="R569" s="60">
        <f>IF(Q569="Free Recall",1,IF(Q569="Cued Recall",2,IF(Q569="Recognition",3,IF(Q569="Multiple Choice",4,IF(Q569="Savings",5,IF(Q569="Stem Completion",6,IF(Q569="Fragment Completion",7,IF(Q569="anagram solution",8,IF(Q569="Matching",9,IF(Q569="Problem Solving",10,"99"))))))))))</f>
        <v>1</v>
      </c>
      <c r="S569" s="60" t="s">
        <v>49</v>
      </c>
      <c r="T569" s="59" t="s">
        <v>261</v>
      </c>
      <c r="U569" s="60">
        <f>IF(T569="within",1,0)</f>
        <v>0</v>
      </c>
      <c r="V569" s="59">
        <v>47</v>
      </c>
      <c r="W569" s="60">
        <f>F569*V569</f>
        <v>3008</v>
      </c>
      <c r="X569" s="59">
        <v>4</v>
      </c>
      <c r="Y569" s="76">
        <f>AV568</f>
        <v>60</v>
      </c>
      <c r="Z569" s="59" t="s">
        <v>185</v>
      </c>
      <c r="AA569" s="59">
        <f>30*24*3600</f>
        <v>2592000</v>
      </c>
      <c r="AB569" s="60" t="str">
        <f>IF(AA569&lt;60,"1",IF(AA569&lt;=43200,"2",IF(AA569&lt;=777600,"3","4")))</f>
        <v>4</v>
      </c>
      <c r="AC569" s="56">
        <f>AVERAGE(AV568:DA568)</f>
        <v>799365</v>
      </c>
      <c r="AD569" s="60" t="str">
        <f>IF(AC569&lt;60,"1",IF(AC569&lt;=43200,"2",IF(AC569&lt;=777600,"3","4")))</f>
        <v>4</v>
      </c>
      <c r="AE569" s="76">
        <f>AA569-Y569</f>
        <v>2591940</v>
      </c>
      <c r="AF569" s="80">
        <f>AV569</f>
        <v>0.7</v>
      </c>
      <c r="AG569" s="56">
        <f>((AW569-AV569)+(AX569-AW569)+(AY569-AX569))/3</f>
        <v>-9.0666666666666659E-2</v>
      </c>
      <c r="AH569" s="4"/>
      <c r="AI569" s="56">
        <f>RSQ(AV569:AY569,AV568:AY568)</f>
        <v>0.80659588274145355</v>
      </c>
      <c r="AJ569" s="109">
        <f>SLOPE(AV569:AY569,AV568:AY568)</f>
        <v>-8.3163440092685346E-8</v>
      </c>
      <c r="AK569" s="56">
        <f>INTERCEPT(AV569:AY569,AV568:AY568)</f>
        <v>0.63347794328968932</v>
      </c>
      <c r="AL569" s="56">
        <f>INDEX(LINEST(LN(AV569:AY569),LN(AV568:AY568),TRUE,TRUE),3,1)</f>
        <v>0.85141048538476394</v>
      </c>
      <c r="AM569" s="56">
        <f>INDEX(LINEST(LN(AV569:AY569),LN(AV568:AY568)),1)</f>
        <v>-3.668101191133457E-2</v>
      </c>
      <c r="AN569" s="56">
        <f>EXP(INDEX(LINEST(LN(AV569:AY569),LN(AV568:AY568)),1,2))</f>
        <v>0.79503756538843451</v>
      </c>
      <c r="AO569" s="82">
        <f>INDEX(LINEST((AV569:AY569),LN(AV568:AY568),TRUE,TRUE),3,1)</f>
        <v>0.87191369291260101</v>
      </c>
      <c r="AP569" s="82">
        <f>INDEX(LINEST((AV569:AY569),LN(AV568:AY568)),1)</f>
        <v>-2.043698834556304E-2</v>
      </c>
      <c r="AQ569" s="83">
        <f>INDEX(LINEST(LN(AV569:AY569),SQRT(AV568:AY568),TRUE,TRUE),3,1)</f>
        <v>0.91096625865019709</v>
      </c>
      <c r="AR569" s="116">
        <f>INDEX(LINEST(LN(AV569:AY569),SQRT((AV568:AY568))),1)</f>
        <v>-2.5945113672762126E-4</v>
      </c>
      <c r="AS569" s="84">
        <f>INDEX(LINEST(1/(AV569:AY569),1/(SQRT(AV568:AY568)),TRUE,TRUE),3,1)</f>
        <v>0.65762419222831503</v>
      </c>
      <c r="AT569" s="84">
        <f>INDEX(LINEST(1/(AV569:AY569),1/SQRT(AV568:AY568)),1)</f>
        <v>-5.1655947561536495</v>
      </c>
      <c r="AU569" s="4"/>
      <c r="AV569" s="11">
        <v>0.7</v>
      </c>
      <c r="AW569" s="11">
        <v>0.6</v>
      </c>
      <c r="AX569" s="11">
        <v>0.54</v>
      </c>
      <c r="AY569" s="11">
        <v>0.42799999999999999</v>
      </c>
      <c r="AZ569" s="11"/>
      <c r="BA569" s="11"/>
      <c r="BB569" s="11"/>
      <c r="BC569" s="11"/>
      <c r="BD569" s="11"/>
      <c r="BE569" s="11"/>
      <c r="BF569" s="11"/>
      <c r="BG569" s="11"/>
      <c r="BH569" s="11"/>
      <c r="BI569" s="11"/>
      <c r="BJ569" s="11"/>
      <c r="BK569" s="11"/>
      <c r="BL569" s="11"/>
      <c r="BM569" s="11"/>
      <c r="BN569" s="11"/>
      <c r="BO569" s="11"/>
      <c r="BP569" s="11"/>
      <c r="BQ569" s="11"/>
      <c r="BR569" s="11"/>
      <c r="BS569" s="11"/>
      <c r="BT569" s="11"/>
      <c r="BU569" s="11"/>
      <c r="BV569" s="11"/>
      <c r="BW569" s="11"/>
      <c r="BX569" s="11"/>
      <c r="BY569" s="11"/>
      <c r="BZ569" s="11"/>
      <c r="CA569" s="11"/>
      <c r="CB569" s="11"/>
      <c r="CC569" s="11"/>
      <c r="CD569" s="11"/>
      <c r="CE569" s="11"/>
      <c r="CF569" s="11"/>
      <c r="CG569" s="11"/>
      <c r="CH569" s="11"/>
      <c r="CI569" s="11"/>
      <c r="CJ569" s="11"/>
      <c r="CK569" s="11"/>
      <c r="CL569" s="11"/>
      <c r="CM569" s="11"/>
      <c r="CN569" s="11"/>
      <c r="CO569" s="11"/>
      <c r="CP569" s="11"/>
      <c r="CQ569" s="11"/>
      <c r="CR569" s="15"/>
      <c r="CS569" s="15"/>
      <c r="CT569" s="15"/>
      <c r="CU569" s="15"/>
    </row>
    <row r="570" spans="1:99" ht="12" customHeight="1" x14ac:dyDescent="0.2">
      <c r="A570" s="65">
        <v>43509</v>
      </c>
      <c r="B570" s="15"/>
      <c r="C570" s="15"/>
      <c r="D570" s="59"/>
      <c r="E570" s="75"/>
      <c r="F570" s="59"/>
      <c r="G570" s="59"/>
      <c r="H570" s="59"/>
      <c r="I570" s="59"/>
      <c r="J570" s="59"/>
      <c r="M570" s="59"/>
      <c r="N570" s="59"/>
      <c r="O570" s="59"/>
      <c r="P570" s="59"/>
      <c r="Q570" s="59"/>
      <c r="R570" s="60"/>
      <c r="S570" s="59"/>
      <c r="T570" s="59"/>
      <c r="U570" s="60"/>
      <c r="V570" s="59"/>
      <c r="W570" s="60"/>
      <c r="X570" s="59"/>
      <c r="Y570" s="76"/>
      <c r="Z570" s="59"/>
      <c r="AA570" s="59"/>
      <c r="AB570" s="60"/>
      <c r="AC570" s="60"/>
      <c r="AD570" s="60"/>
      <c r="AE570" s="60"/>
      <c r="AF570" s="80"/>
      <c r="AG570" s="56"/>
      <c r="AH570" s="4"/>
      <c r="AL570" s="55"/>
      <c r="AM570" s="55"/>
      <c r="AN570" s="55"/>
      <c r="AO570" s="55"/>
      <c r="AP570" s="55"/>
      <c r="AQ570" s="56"/>
      <c r="AR570" s="109"/>
      <c r="AS570" s="56"/>
      <c r="AT570" s="56"/>
      <c r="AU570" s="4"/>
      <c r="AV570" s="15">
        <v>60</v>
      </c>
      <c r="AW570" s="47">
        <v>600</v>
      </c>
      <c r="AX570" s="47">
        <f>7*24*3600</f>
        <v>604800</v>
      </c>
      <c r="AY570" s="47">
        <f>30*24*3600</f>
        <v>2592000</v>
      </c>
      <c r="AZ570" s="11"/>
      <c r="BA570" s="11"/>
      <c r="BB570" s="11"/>
      <c r="BC570" s="11"/>
      <c r="BD570" s="11"/>
      <c r="BE570" s="11"/>
      <c r="BF570" s="11"/>
      <c r="BG570" s="11"/>
      <c r="BH570" s="11"/>
      <c r="BI570" s="11"/>
      <c r="BJ570" s="11"/>
      <c r="BK570" s="11"/>
      <c r="BL570" s="11"/>
      <c r="BM570" s="11"/>
      <c r="BN570" s="11"/>
      <c r="BO570" s="11"/>
      <c r="BP570" s="11"/>
      <c r="BQ570" s="11"/>
      <c r="BR570" s="11"/>
      <c r="BS570" s="11"/>
      <c r="BT570" s="11"/>
      <c r="BU570" s="11"/>
      <c r="BV570" s="11"/>
      <c r="BW570" s="11"/>
      <c r="BX570" s="11"/>
      <c r="BY570" s="11"/>
      <c r="BZ570" s="11"/>
      <c r="CA570" s="11"/>
      <c r="CB570" s="11"/>
      <c r="CC570" s="11"/>
      <c r="CD570" s="11"/>
      <c r="CE570" s="11"/>
      <c r="CF570" s="11"/>
      <c r="CG570" s="11"/>
      <c r="CH570" s="11"/>
      <c r="CI570" s="11"/>
      <c r="CJ570" s="11"/>
      <c r="CK570" s="11"/>
      <c r="CL570" s="11"/>
      <c r="CM570" s="11"/>
      <c r="CN570" s="11"/>
      <c r="CO570" s="11"/>
      <c r="CP570" s="11"/>
      <c r="CQ570" s="11"/>
      <c r="CR570" s="15"/>
      <c r="CS570" s="15"/>
      <c r="CT570" s="15"/>
      <c r="CU570" s="15"/>
    </row>
    <row r="571" spans="1:99" ht="12" customHeight="1" x14ac:dyDescent="0.2">
      <c r="A571" s="65">
        <v>43509</v>
      </c>
      <c r="B571" s="15" t="s">
        <v>299</v>
      </c>
      <c r="C571" s="15" t="s">
        <v>58</v>
      </c>
      <c r="D571" s="59">
        <v>1978</v>
      </c>
      <c r="E571" s="75">
        <v>3</v>
      </c>
      <c r="F571" s="59">
        <v>64</v>
      </c>
      <c r="G571" s="59">
        <v>16</v>
      </c>
      <c r="H571" s="59" t="s">
        <v>30</v>
      </c>
      <c r="I571" s="60" t="s">
        <v>802</v>
      </c>
      <c r="J571" s="59" t="s">
        <v>677</v>
      </c>
      <c r="K571" s="60">
        <f>IF(J571="syllables",1,IF(J571="trigrams",2,IF(J571="strings",3,IF(J571="visual array",4,IF(J571="characters",5,IF(J571="letters",6,IF(J571="free forms",7,IF(J571="odors",8,IF(J571="words",9,IF(J571="pictures",10,IF(J571="object pictures",11,IF(J571="faces",12,IF(J571="names",13,IF(J571="idioms",14,IF(J571="grades",15,IF(J571="syllable-digit pairs",16,IF(J571="trigram-word pairs",17,IF(J571="word-digit pairs",18,IF(J571="English-Swahili pairs",19,IF(J571="spatial position",20,IF(J571="word pairs",21,IF(J571="word triads",22,IF(J571="generated words",23,IF(J571="word definition pairs",24,IF(J571="math problems",25,IF(J571="famous faces",26,IF(J571="famous names",27,IF(J571="famous voices",28,IF(J571="television programs",29,IF(J571="race horses",30,IF(J571="new vocabulary",31,IF(J571="sentences",32,IF(J571="concepts",33,IF(J571="ad slides",34,IF(J571="scenes",35,IF(J571="famous scenes",36,IF(J571="poems",37,IF(J571="walk",38,IF(J571="faces and events",39,IF(J571="events and names",40,IF(J571="flashbulb",41,IF(J571="stories",42,IF(J571="course material",43,IF(J571="autobiographical",44,IF(J571="novels",45,IF(J571="public events",46,"99"))))))))))))))))))))))))))))))))))))))))))))))</f>
        <v>42</v>
      </c>
      <c r="L571" s="60">
        <f>IF(J571="syllables",1,IF(J571="trigrams",1,IF(J571="strings",1,IF(J571="visual array",1,IF(J571="characters",1,IF(J571="letters",1,IF(J571="free forms",1,IF(J571="odors",2,IF(J571="words",2,IF(J571="pictures",2,IF(J571="object pictures",2,IF(J571="faces",2,IF(J571="names",2,IF(J571="idioms","2",IF(J571="grades",2,IF(J571="syllable-digit pairs",3,IF(J571="trigram-word pairs",3,IF(J571="word-digit pairs",3,IF(J571="English-Swahili pairs",3,IF(J571="spatial position",3,IF(J571="word pairs",4,IF(J571="word triads",4,IF(J571="generated words",4,IF(J571="word definition pairs",4,IF(J571="math problems",4,IF(J571="famous faces",4,IF(J571="famous names",4,IF(J571="famous voices",4,IF(J571="television programs",4,IF(J571="race horses",4,IF(J571="new vocabulary",4,IF(J571="sentences",5,IF(J571="concepts",5,IF(J571="ad slides",5,IF(J571="scenes",5,IF(J571="famous scenes",5,IF(J571="poems",6,IF(J571="walk",6,IF(J571="faces and events",6,IF(J571="events and names",6,IF(J571="flashbulb",7,IF(J571="stories",7,IF(J571="course material",7,IF(J571="autobiographical",7,IF(J571="novels",7,IF(J571="public events",7,"99"))))))))))))))))))))))))))))))))))))))))))))))</f>
        <v>7</v>
      </c>
      <c r="M571" s="59">
        <v>1</v>
      </c>
      <c r="N571" s="59">
        <v>4</v>
      </c>
      <c r="O571" s="59">
        <v>0</v>
      </c>
      <c r="P571" s="59"/>
      <c r="Q571" s="60" t="s">
        <v>65</v>
      </c>
      <c r="R571" s="60">
        <f>IF(Q571="Free Recall",1,IF(Q571="Cued Recall",2,IF(Q571="Recognition",3,IF(Q571="Multiple Choice",4,IF(Q571="Savings",5,IF(Q571="Stem Completion",6,IF(Q571="Fragment Completion",7,IF(Q571="anagram solution",8,IF(Q571="Matching",9,IF(Q571="Problem Solving",10,"99"))))))))))</f>
        <v>2</v>
      </c>
      <c r="S571" s="60" t="s">
        <v>49</v>
      </c>
      <c r="T571" s="59" t="s">
        <v>261</v>
      </c>
      <c r="U571" s="60">
        <f>IF(T571="within",1,0)</f>
        <v>0</v>
      </c>
      <c r="V571" s="59">
        <v>47</v>
      </c>
      <c r="W571" s="60">
        <f>F571*V571</f>
        <v>3008</v>
      </c>
      <c r="X571" s="59">
        <v>4</v>
      </c>
      <c r="Y571" s="76">
        <f>AV570</f>
        <v>60</v>
      </c>
      <c r="Z571" s="59" t="s">
        <v>185</v>
      </c>
      <c r="AA571" s="59">
        <f>30*24*3600</f>
        <v>2592000</v>
      </c>
      <c r="AB571" s="60" t="str">
        <f>IF(AA571&lt;60,"1",IF(AA571&lt;=43200,"2",IF(AA571&lt;=777600,"3","4")))</f>
        <v>4</v>
      </c>
      <c r="AC571" s="56">
        <f>AVERAGE(AV570:DA570)</f>
        <v>799365</v>
      </c>
      <c r="AD571" s="60" t="str">
        <f>IF(AC571&lt;60,"1",IF(AC571&lt;=43200,"2",IF(AC571&lt;=777600,"3","4")))</f>
        <v>4</v>
      </c>
      <c r="AE571" s="76">
        <f>AA571-Y571</f>
        <v>2591940</v>
      </c>
      <c r="AF571" s="80">
        <f>AV571</f>
        <v>0.73199999999999998</v>
      </c>
      <c r="AG571" s="56">
        <f>((AW571-AV571)+(AX571-AW571)+(AY571-AX571))/3</f>
        <v>-6.0333333333333315E-2</v>
      </c>
      <c r="AH571" s="4"/>
      <c r="AI571" s="56">
        <f>RSQ(AV571:AY571,AV570:AY570)</f>
        <v>0.87739187069025004</v>
      </c>
      <c r="AJ571" s="109">
        <f>SLOPE(AV571:AY571,AV570:AY570)</f>
        <v>-5.8532143835289021E-8</v>
      </c>
      <c r="AK571" s="56">
        <f>INTERCEPT(AV571:AY571,AV570:AY570)</f>
        <v>0.69678854715689587</v>
      </c>
      <c r="AL571" s="56">
        <f>INDEX(LINEST(LN(AV571:AY571),LN(AV570:AY570),TRUE,TRUE),3,1)</f>
        <v>0.84719948969337744</v>
      </c>
      <c r="AM571" s="56">
        <f>INDEX(LINEST(LN(AV571:AY571),LN(AV570:AY570)),1)</f>
        <v>-2.1432060694601515E-2</v>
      </c>
      <c r="AN571" s="56">
        <f>EXP(INDEX(LINEST(LN(AV571:AY571),LN(AV570:AY570)),1,2))</f>
        <v>0.79491699495138979</v>
      </c>
      <c r="AO571" s="82">
        <f>INDEX(LINEST((AV571:AY571),LN(AV570:AY570),TRUE,TRUE),3,1)</f>
        <v>0.86643623171780537</v>
      </c>
      <c r="AP571" s="82">
        <f>INDEX(LINEST((AV571:AY571),LN(AV570:AY570)),1)</f>
        <v>-1.3748066789339784E-2</v>
      </c>
      <c r="AQ571" s="83">
        <f>INDEX(LINEST(LN(AV571:AY571),SQRT(AV570:AY570),TRUE,TRUE),3,1)</f>
        <v>0.94156714792245044</v>
      </c>
      <c r="AR571" s="116">
        <f>INDEX(LINEST(LN(AV571:AY571),SQRT((AV570:AY570))),1)</f>
        <v>-1.5450031089196824E-4</v>
      </c>
      <c r="AS571" s="84">
        <f>INDEX(LINEST(1/(AV571:AY571),1/(SQRT(AV570:AY570)),TRUE,TRUE),3,1)</f>
        <v>0.63604786499037524</v>
      </c>
      <c r="AT571" s="84">
        <f>INDEX(LINEST(1/(AV571:AY571),1/SQRT(AV570:AY570)),1)</f>
        <v>-2.5388593868917817</v>
      </c>
      <c r="AU571" s="4"/>
      <c r="AV571" s="11">
        <v>0.73199999999999998</v>
      </c>
      <c r="AW571" s="11">
        <v>0.68100000000000005</v>
      </c>
      <c r="AX571" s="11">
        <v>0.63600000000000001</v>
      </c>
      <c r="AY571" s="11">
        <v>0.55100000000000005</v>
      </c>
      <c r="AZ571" s="11"/>
      <c r="BA571" s="11"/>
      <c r="BB571" s="11"/>
      <c r="BC571" s="11"/>
      <c r="BD571" s="11"/>
      <c r="BE571" s="11"/>
      <c r="BF571" s="11"/>
      <c r="BG571" s="11"/>
      <c r="BH571" s="11"/>
      <c r="BI571" s="11"/>
      <c r="BJ571" s="11"/>
      <c r="BK571" s="11"/>
      <c r="BL571" s="11"/>
      <c r="BM571" s="11"/>
      <c r="BN571" s="11"/>
      <c r="BO571" s="11"/>
      <c r="BP571" s="11"/>
      <c r="BQ571" s="11"/>
      <c r="BR571" s="11"/>
      <c r="BS571" s="11"/>
      <c r="BT571" s="11"/>
      <c r="BU571" s="11"/>
      <c r="BV571" s="11"/>
      <c r="BW571" s="11"/>
      <c r="BX571" s="11"/>
      <c r="BY571" s="11"/>
      <c r="BZ571" s="11"/>
      <c r="CA571" s="11"/>
      <c r="CB571" s="11"/>
      <c r="CC571" s="11"/>
      <c r="CD571" s="11"/>
      <c r="CE571" s="11"/>
      <c r="CF571" s="11"/>
      <c r="CG571" s="11"/>
      <c r="CH571" s="11"/>
      <c r="CI571" s="11"/>
      <c r="CJ571" s="11"/>
      <c r="CK571" s="11"/>
      <c r="CL571" s="11"/>
      <c r="CM571" s="11"/>
      <c r="CN571" s="11"/>
      <c r="CO571" s="11"/>
      <c r="CP571" s="11"/>
      <c r="CQ571" s="11"/>
      <c r="CR571" s="15"/>
      <c r="CS571" s="15"/>
      <c r="CT571" s="15"/>
      <c r="CU571" s="15"/>
    </row>
    <row r="572" spans="1:99" s="13" customFormat="1" ht="12" customHeight="1" x14ac:dyDescent="0.2">
      <c r="A572" s="65">
        <v>43509</v>
      </c>
      <c r="B572" s="1"/>
      <c r="C572" s="1"/>
      <c r="D572" s="60"/>
      <c r="E572" s="76"/>
      <c r="F572" s="60"/>
      <c r="G572" s="60"/>
      <c r="H572" s="60"/>
      <c r="I572" s="60"/>
      <c r="J572" s="60"/>
      <c r="K572" s="64"/>
      <c r="L572" s="64"/>
      <c r="M572" s="60"/>
      <c r="N572" s="60"/>
      <c r="O572" s="60"/>
      <c r="P572" s="60"/>
      <c r="Q572" s="60"/>
      <c r="R572" s="60"/>
      <c r="S572" s="60"/>
      <c r="T572" s="60"/>
      <c r="U572" s="60"/>
      <c r="V572" s="60"/>
      <c r="W572" s="60"/>
      <c r="X572" s="60"/>
      <c r="Y572" s="76"/>
      <c r="Z572" s="60"/>
      <c r="AA572" s="60"/>
      <c r="AB572" s="60"/>
      <c r="AC572" s="60"/>
      <c r="AD572" s="60"/>
      <c r="AE572" s="60"/>
      <c r="AF572" s="80"/>
      <c r="AG572" s="56"/>
      <c r="AH572" s="4"/>
      <c r="AI572" s="56"/>
      <c r="AJ572" s="109"/>
      <c r="AK572" s="56"/>
      <c r="AL572" s="56"/>
      <c r="AM572" s="56"/>
      <c r="AN572" s="56"/>
      <c r="AO572" s="56"/>
      <c r="AP572" s="56"/>
      <c r="AQ572" s="56"/>
      <c r="AR572" s="109"/>
      <c r="AS572" s="56"/>
      <c r="AT572" s="56"/>
      <c r="AU572" s="4"/>
      <c r="AV572" s="25">
        <f>20*60</f>
        <v>1200</v>
      </c>
      <c r="AW572" s="25">
        <f>60*60</f>
        <v>3600</v>
      </c>
      <c r="AX572" s="25">
        <f>6*60*60</f>
        <v>21600</v>
      </c>
      <c r="AY572" s="25">
        <f>2*24*60*60</f>
        <v>172800</v>
      </c>
      <c r="AZ572" s="25">
        <f>7*24*60*60</f>
        <v>604800</v>
      </c>
      <c r="BA572" s="25">
        <f>21*24*60*60</f>
        <v>1814400</v>
      </c>
      <c r="BB572" s="53"/>
      <c r="BC572" s="53"/>
      <c r="BD572" s="53"/>
      <c r="BE572" s="53"/>
      <c r="BF572" s="53"/>
      <c r="BG572" s="53"/>
      <c r="BH572" s="53"/>
      <c r="BI572" s="53"/>
      <c r="BJ572" s="53"/>
      <c r="BK572" s="53"/>
      <c r="BL572" s="53"/>
      <c r="BM572" s="53"/>
      <c r="BN572" s="53"/>
      <c r="BO572" s="53"/>
      <c r="BP572" s="53"/>
      <c r="BQ572" s="53"/>
      <c r="BR572" s="53"/>
      <c r="BS572" s="53"/>
      <c r="BT572" s="53"/>
      <c r="BU572" s="53"/>
      <c r="BV572" s="53"/>
      <c r="BW572" s="53"/>
      <c r="BX572" s="53"/>
      <c r="BY572" s="53"/>
      <c r="BZ572" s="53"/>
      <c r="CA572" s="53"/>
      <c r="CB572" s="53"/>
      <c r="CC572" s="53"/>
      <c r="CD572" s="53"/>
      <c r="CE572" s="53"/>
      <c r="CF572" s="53"/>
      <c r="CG572" s="53"/>
      <c r="CH572" s="53"/>
      <c r="CI572" s="53"/>
      <c r="CJ572" s="53"/>
      <c r="CK572" s="53"/>
      <c r="CL572" s="53"/>
      <c r="CM572" s="53"/>
      <c r="CN572" s="53"/>
      <c r="CO572" s="53"/>
      <c r="CP572" s="53"/>
      <c r="CQ572" s="53"/>
      <c r="CR572" s="1"/>
      <c r="CS572" s="1"/>
      <c r="CT572" s="1"/>
      <c r="CU572" s="1"/>
    </row>
    <row r="573" spans="1:99" s="13" customFormat="1" ht="12" customHeight="1" x14ac:dyDescent="0.2">
      <c r="A573" s="65">
        <v>43509</v>
      </c>
      <c r="B573" s="1" t="s">
        <v>163</v>
      </c>
      <c r="C573" s="1" t="s">
        <v>75</v>
      </c>
      <c r="D573" s="60">
        <v>1983</v>
      </c>
      <c r="E573" s="76">
        <v>2</v>
      </c>
      <c r="F573" s="60">
        <v>144</v>
      </c>
      <c r="G573" s="60">
        <v>24</v>
      </c>
      <c r="H573" s="60" t="s">
        <v>50</v>
      </c>
      <c r="I573" s="60" t="s">
        <v>803</v>
      </c>
      <c r="J573" s="60" t="s">
        <v>320</v>
      </c>
      <c r="K573" s="60">
        <f>IF(J573="syllables",1,IF(J573="trigrams",2,IF(J573="strings",3,IF(J573="visual array",4,IF(J573="characters",5,IF(J573="letters",6,IF(J573="free forms",7,IF(J573="odors",8,IF(J573="words",9,IF(J573="pictures",10,IF(J573="object pictures",11,IF(J573="faces",12,IF(J573="names",13,IF(J573="idioms",14,IF(J573="grades",15,IF(J573="syllable-digit pairs",16,IF(J573="trigram-word pairs",17,IF(J573="word-digit pairs",18,IF(J573="English-Swahili pairs",19,IF(J573="spatial position",20,IF(J573="word pairs",21,IF(J573="word triads",22,IF(J573="generated words",23,IF(J573="word definition pairs",24,IF(J573="math problems",25,IF(J573="famous faces",26,IF(J573="famous names",27,IF(J573="famous voices",28,IF(J573="television programs",29,IF(J573="race horses",30,IF(J573="new vocabulary",31,IF(J573="sentences",32,IF(J573="concepts",33,IF(J573="ad slides",34,IF(J573="scenes",35,IF(J573="famous scenes",36,IF(J573="poems",37,IF(J573="walk",38,IF(J573="faces and events",39,IF(J573="events and names",40,IF(J573="flashbulb",41,IF(J573="stories",42,IF(J573="course material",43,IF(J573="autobiographical",44,IF(J573="novels",45,IF(J573="public events",46,"99"))))))))))))))))))))))))))))))))))))))))))))))</f>
        <v>21</v>
      </c>
      <c r="L573" s="60">
        <f>IF(J573="syllables",1,IF(J573="trigrams",1,IF(J573="strings",1,IF(J573="visual array",1,IF(J573="characters",1,IF(J573="letters",1,IF(J573="free forms",1,IF(J573="odors",2,IF(J573="words",2,IF(J573="pictures",2,IF(J573="object pictures",2,IF(J573="faces",2,IF(J573="names",2,IF(J573="idioms","2",IF(J573="grades",2,IF(J573="syllable-digit pairs",3,IF(J573="trigram-word pairs",3,IF(J573="word-digit pairs",3,IF(J573="English-Swahili pairs",3,IF(J573="spatial position",3,IF(J573="word pairs",4,IF(J573="word triads",4,IF(J573="generated words",4,IF(J573="word definition pairs",4,IF(J573="math problems",4,IF(J573="famous faces",4,IF(J573="famous names",4,IF(J573="famous voices",4,IF(J573="television programs",4,IF(J573="race horses",4,IF(J573="new vocabulary",4,IF(J573="sentences",5,IF(J573="concepts",5,IF(J573="ad slides",5,IF(J573="scenes",5,IF(J573="famous scenes",5,IF(J573="poems",6,IF(J573="walk",6,IF(J573="faces and events",6,IF(J573="events and names",6,IF(J573="flashbulb",7,IF(J573="stories",7,IF(J573="course material",7,IF(J573="autobiographical",7,IF(J573="novels",7,IF(J573="public events",7,"99"))))))))))))))))))))))))))))))))))))))))))))))</f>
        <v>4</v>
      </c>
      <c r="M573" s="60">
        <v>0</v>
      </c>
      <c r="N573" s="60">
        <v>1</v>
      </c>
      <c r="O573" s="60">
        <v>1</v>
      </c>
      <c r="P573" s="60" t="s">
        <v>164</v>
      </c>
      <c r="Q573" s="60" t="s">
        <v>65</v>
      </c>
      <c r="R573" s="60">
        <f>IF(Q573="Free Recall",1,IF(Q573="Cued Recall",2,IF(Q573="Recognition",3,IF(Q573="Multiple Choice",4,IF(Q573="Savings",5,IF(Q573="Stem Completion",6,IF(Q573="Fragment Completion",7,IF(Q573="anagram solution",8,IF(Q573="Matching",9,IF(Q573="Problem Solving",10,"99"))))))))))</f>
        <v>2</v>
      </c>
      <c r="S573" s="60" t="s">
        <v>49</v>
      </c>
      <c r="T573" s="60" t="s">
        <v>261</v>
      </c>
      <c r="U573" s="60">
        <f>IF(T573="within",1,0)</f>
        <v>0</v>
      </c>
      <c r="V573" s="60">
        <v>24</v>
      </c>
      <c r="W573" s="60">
        <f>F573*V573</f>
        <v>3456</v>
      </c>
      <c r="X573" s="60">
        <v>6</v>
      </c>
      <c r="Y573" s="76">
        <f>AV572</f>
        <v>1200</v>
      </c>
      <c r="Z573" s="60" t="s">
        <v>165</v>
      </c>
      <c r="AA573" s="60">
        <v>1814400</v>
      </c>
      <c r="AB573" s="60" t="str">
        <f>IF(AA573&lt;60,"1",IF(AA573&lt;=43200,"2",IF(AA573&lt;=777600,"3","4")))</f>
        <v>4</v>
      </c>
      <c r="AC573" s="56">
        <f>AVERAGE(AV572:DA572)</f>
        <v>436400</v>
      </c>
      <c r="AD573" s="60" t="str">
        <f>IF(AC573&lt;60,"1",IF(AC573&lt;=43200,"2",IF(AC573&lt;=777600,"3","4")))</f>
        <v>3</v>
      </c>
      <c r="AE573" s="76">
        <f>AA573-Y573</f>
        <v>1813200</v>
      </c>
      <c r="AF573" s="80">
        <f>AV573</f>
        <v>0.98</v>
      </c>
      <c r="AG573" s="56">
        <f>((AW573-AV573)+(AX573-AW573)+(AY573-AX573)+(AZ573-AY573)+(BA573-AZ573))/5</f>
        <v>-8.2000000000000003E-2</v>
      </c>
      <c r="AH573" s="4"/>
      <c r="AI573" s="56">
        <f>RSQ(AV573:BA573,AV572:BA572)</f>
        <v>0.64604437992644359</v>
      </c>
      <c r="AJ573" s="109">
        <f>SLOPE(AV573:BA573,AV572:BA572)</f>
        <v>-2.5386589449346373E-7</v>
      </c>
      <c r="AK573" s="56">
        <f>INTERCEPT(AV573:BA573,AV572:BA572)</f>
        <v>0.94412040969028088</v>
      </c>
      <c r="AL573" s="56">
        <f>INDEX(LINEST(LN(AV573:BA573),LN(AV572:BA572),TRUE,TRUE),3,1)</f>
        <v>0.6759225173911052</v>
      </c>
      <c r="AM573" s="56">
        <f>INDEX(LINEST(LN(AV573:BA573),LN(AV572:BA572)),1)</f>
        <v>-8.6201465973200567E-2</v>
      </c>
      <c r="AN573" s="56">
        <f>EXP(INDEX(LINEST(LN(AV573:BA573),LN(AV572:BA572)),1,2))</f>
        <v>2.0469090211078673</v>
      </c>
      <c r="AO573" s="82">
        <f>INDEX(LINEST((AV573:BA573),LN(AV572:BA572),TRUE,TRUE),3,1)</f>
        <v>0.6969473981094918</v>
      </c>
      <c r="AP573" s="82">
        <f>INDEX(LINEST((AV573:BA573),LN(AV572:BA572)),1)</f>
        <v>-6.4770049890056178E-2</v>
      </c>
      <c r="AQ573" s="83">
        <f>INDEX(LINEST(LN(AV573:BA573),SQRT(AV572:BA572),TRUE,TRUE),3,1)</f>
        <v>0.77215705864865902</v>
      </c>
      <c r="AR573" s="116">
        <f>INDEX(LINEST(LN(AV573:BA573),SQRT((AV572:BA572))),1)</f>
        <v>-5.1918895356189011E-4</v>
      </c>
      <c r="AS573" s="84">
        <f>INDEX(LINEST(1/(AV573:BA573),1/(SQRT(AV572:BA572)),TRUE,TRUE),3,1)</f>
        <v>0.35837728283612885</v>
      </c>
      <c r="AT573" s="84">
        <f>INDEX(LINEST(1/(AV573:BA573),1/SQRT(AV572:BA572)),1)</f>
        <v>-22.699593354291913</v>
      </c>
      <c r="AU573" s="3"/>
      <c r="AV573" s="53">
        <v>0.98</v>
      </c>
      <c r="AW573" s="53">
        <v>1</v>
      </c>
      <c r="AX573" s="53">
        <v>1</v>
      </c>
      <c r="AY573" s="53">
        <v>0.93</v>
      </c>
      <c r="AZ573" s="53">
        <v>0.52</v>
      </c>
      <c r="BA573" s="53">
        <v>0.56999999999999995</v>
      </c>
      <c r="BB573" s="53"/>
      <c r="BC573" s="53"/>
      <c r="BD573" s="53"/>
      <c r="BE573" s="53"/>
      <c r="BF573" s="53"/>
      <c r="BG573" s="53"/>
      <c r="BH573" s="53"/>
      <c r="BI573" s="53"/>
      <c r="BJ573" s="53"/>
      <c r="BK573" s="53"/>
      <c r="BL573" s="53"/>
      <c r="BM573" s="53"/>
      <c r="BN573" s="53"/>
      <c r="BO573" s="53"/>
      <c r="BP573" s="53"/>
      <c r="BQ573" s="53"/>
      <c r="BR573" s="53"/>
      <c r="BS573" s="53"/>
      <c r="BT573" s="53"/>
      <c r="BU573" s="53"/>
      <c r="BV573" s="53"/>
      <c r="BW573" s="53"/>
      <c r="BX573" s="53"/>
      <c r="BY573" s="53"/>
      <c r="BZ573" s="53"/>
      <c r="CA573" s="53"/>
      <c r="CB573" s="53"/>
      <c r="CC573" s="53"/>
      <c r="CD573" s="53"/>
      <c r="CE573" s="53"/>
      <c r="CF573" s="53"/>
      <c r="CG573" s="53"/>
      <c r="CH573" s="53"/>
      <c r="CI573" s="53"/>
      <c r="CJ573" s="53"/>
      <c r="CK573" s="53"/>
      <c r="CL573" s="53"/>
      <c r="CM573" s="53"/>
      <c r="CN573" s="53"/>
      <c r="CO573" s="53"/>
      <c r="CP573" s="53"/>
      <c r="CQ573" s="53"/>
      <c r="CR573" s="1"/>
      <c r="CS573" s="1"/>
      <c r="CT573" s="1"/>
      <c r="CU573" s="1"/>
    </row>
    <row r="574" spans="1:99" s="13" customFormat="1" ht="12" customHeight="1" x14ac:dyDescent="0.2">
      <c r="A574" s="65">
        <v>43509</v>
      </c>
      <c r="B574" s="1"/>
      <c r="C574" s="1"/>
      <c r="D574" s="60"/>
      <c r="E574" s="76"/>
      <c r="F574" s="60"/>
      <c r="G574" s="60"/>
      <c r="H574" s="60"/>
      <c r="I574" s="60"/>
      <c r="J574" s="60"/>
      <c r="K574" s="64"/>
      <c r="L574" s="64"/>
      <c r="M574" s="60"/>
      <c r="N574" s="60"/>
      <c r="O574" s="60"/>
      <c r="P574" s="60"/>
      <c r="Q574" s="60"/>
      <c r="R574" s="60"/>
      <c r="S574" s="60"/>
      <c r="T574" s="60"/>
      <c r="U574" s="60"/>
      <c r="V574" s="60"/>
      <c r="W574" s="60"/>
      <c r="X574" s="60"/>
      <c r="Y574" s="76"/>
      <c r="Z574" s="60"/>
      <c r="AA574" s="60"/>
      <c r="AB574" s="60"/>
      <c r="AC574" s="60"/>
      <c r="AD574" s="60"/>
      <c r="AE574" s="60"/>
      <c r="AF574" s="80"/>
      <c r="AG574" s="56"/>
      <c r="AH574" s="4"/>
      <c r="AI574" s="56"/>
      <c r="AJ574" s="109"/>
      <c r="AK574" s="56"/>
      <c r="AL574" s="56"/>
      <c r="AM574" s="56"/>
      <c r="AN574" s="56"/>
      <c r="AO574" s="56"/>
      <c r="AP574" s="56"/>
      <c r="AQ574" s="56"/>
      <c r="AR574" s="109"/>
      <c r="AS574" s="56"/>
      <c r="AT574" s="56"/>
      <c r="AU574" s="4"/>
      <c r="AV574" s="25">
        <f>20*60</f>
        <v>1200</v>
      </c>
      <c r="AW574" s="25">
        <f>60*60</f>
        <v>3600</v>
      </c>
      <c r="AX574" s="25">
        <f>6*60*60</f>
        <v>21600</v>
      </c>
      <c r="AY574" s="25">
        <f>2*24*60*60</f>
        <v>172800</v>
      </c>
      <c r="AZ574" s="25">
        <f>7*24*60*60</f>
        <v>604800</v>
      </c>
      <c r="BA574" s="25">
        <f>21*24*60*60</f>
        <v>1814400</v>
      </c>
      <c r="BB574" s="53"/>
      <c r="BC574" s="53"/>
      <c r="BD574" s="53"/>
      <c r="BE574" s="53"/>
      <c r="BF574" s="53"/>
      <c r="BG574" s="53"/>
      <c r="BH574" s="53"/>
      <c r="BI574" s="53"/>
      <c r="BJ574" s="53"/>
      <c r="BK574" s="53"/>
      <c r="BL574" s="53"/>
      <c r="BM574" s="53"/>
      <c r="BN574" s="53"/>
      <c r="BO574" s="53"/>
      <c r="BP574" s="53"/>
      <c r="BQ574" s="53"/>
      <c r="BR574" s="53"/>
      <c r="BS574" s="53"/>
      <c r="BT574" s="53"/>
      <c r="BU574" s="53"/>
      <c r="BV574" s="53"/>
      <c r="BW574" s="53"/>
      <c r="BX574" s="53"/>
      <c r="BY574" s="53"/>
      <c r="BZ574" s="53"/>
      <c r="CA574" s="53"/>
      <c r="CB574" s="53"/>
      <c r="CC574" s="53"/>
      <c r="CD574" s="53"/>
      <c r="CE574" s="53"/>
      <c r="CF574" s="53"/>
      <c r="CG574" s="53"/>
      <c r="CH574" s="53"/>
      <c r="CI574" s="53"/>
      <c r="CJ574" s="53"/>
      <c r="CK574" s="53"/>
      <c r="CL574" s="53"/>
      <c r="CM574" s="53"/>
      <c r="CN574" s="53"/>
      <c r="CO574" s="53"/>
      <c r="CP574" s="53"/>
      <c r="CQ574" s="53"/>
      <c r="CR574" s="1"/>
      <c r="CS574" s="1"/>
      <c r="CT574" s="1"/>
      <c r="CU574" s="1"/>
    </row>
    <row r="575" spans="1:99" s="13" customFormat="1" ht="12" customHeight="1" x14ac:dyDescent="0.2">
      <c r="A575" s="65">
        <v>43509</v>
      </c>
      <c r="B575" s="1" t="s">
        <v>163</v>
      </c>
      <c r="C575" s="1" t="s">
        <v>75</v>
      </c>
      <c r="D575" s="60">
        <v>1983</v>
      </c>
      <c r="E575" s="76">
        <v>2</v>
      </c>
      <c r="F575" s="60">
        <v>144</v>
      </c>
      <c r="G575" s="60">
        <v>24</v>
      </c>
      <c r="H575" s="60" t="s">
        <v>50</v>
      </c>
      <c r="I575" s="60" t="s">
        <v>804</v>
      </c>
      <c r="J575" s="60" t="s">
        <v>320</v>
      </c>
      <c r="K575" s="60">
        <f>IF(J575="syllables",1,IF(J575="trigrams",2,IF(J575="strings",3,IF(J575="visual array",4,IF(J575="characters",5,IF(J575="letters",6,IF(J575="free forms",7,IF(J575="odors",8,IF(J575="words",9,IF(J575="pictures",10,IF(J575="object pictures",11,IF(J575="faces",12,IF(J575="names",13,IF(J575="idioms",14,IF(J575="grades",15,IF(J575="syllable-digit pairs",16,IF(J575="trigram-word pairs",17,IF(J575="word-digit pairs",18,IF(J575="English-Swahili pairs",19,IF(J575="spatial position",20,IF(J575="word pairs",21,IF(J575="word triads",22,IF(J575="generated words",23,IF(J575="word definition pairs",24,IF(J575="math problems",25,IF(J575="famous faces",26,IF(J575="famous names",27,IF(J575="famous voices",28,IF(J575="television programs",29,IF(J575="race horses",30,IF(J575="new vocabulary",31,IF(J575="sentences",32,IF(J575="concepts",33,IF(J575="ad slides",34,IF(J575="scenes",35,IF(J575="famous scenes",36,IF(J575="poems",37,IF(J575="walk",38,IF(J575="faces and events",39,IF(J575="events and names",40,IF(J575="flashbulb",41,IF(J575="stories",42,IF(J575="course material",43,IF(J575="autobiographical",44,IF(J575="novels",45,IF(J575="public events",46,"99"))))))))))))))))))))))))))))))))))))))))))))))</f>
        <v>21</v>
      </c>
      <c r="L575" s="60">
        <f>IF(J575="syllables",1,IF(J575="trigrams",1,IF(J575="strings",1,IF(J575="visual array",1,IF(J575="characters",1,IF(J575="letters",1,IF(J575="free forms",1,IF(J575="odors",2,IF(J575="words",2,IF(J575="pictures",2,IF(J575="object pictures",2,IF(J575="faces",2,IF(J575="names",2,IF(J575="idioms","2",IF(J575="grades",2,IF(J575="syllable-digit pairs",3,IF(J575="trigram-word pairs",3,IF(J575="word-digit pairs",3,IF(J575="English-Swahili pairs",3,IF(J575="spatial position",3,IF(J575="word pairs",4,IF(J575="word triads",4,IF(J575="generated words",4,IF(J575="word definition pairs",4,IF(J575="math problems",4,IF(J575="famous faces",4,IF(J575="famous names",4,IF(J575="famous voices",4,IF(J575="television programs",4,IF(J575="race horses",4,IF(J575="new vocabulary",4,IF(J575="sentences",5,IF(J575="concepts",5,IF(J575="ad slides",5,IF(J575="scenes",5,IF(J575="famous scenes",5,IF(J575="poems",6,IF(J575="walk",6,IF(J575="faces and events",6,IF(J575="events and names",6,IF(J575="flashbulb",7,IF(J575="stories",7,IF(J575="course material",7,IF(J575="autobiographical",7,IF(J575="novels",7,IF(J575="public events",7,"99"))))))))))))))))))))))))))))))))))))))))))))))</f>
        <v>4</v>
      </c>
      <c r="M575" s="60">
        <v>1</v>
      </c>
      <c r="N575" s="60">
        <v>2</v>
      </c>
      <c r="O575" s="60">
        <v>1</v>
      </c>
      <c r="P575" s="60" t="s">
        <v>164</v>
      </c>
      <c r="Q575" s="60" t="s">
        <v>65</v>
      </c>
      <c r="R575" s="60">
        <f>IF(Q575="Free Recall",1,IF(Q575="Cued Recall",2,IF(Q575="Recognition",3,IF(Q575="Multiple Choice",4,IF(Q575="Savings",5,IF(Q575="Stem Completion",6,IF(Q575="Fragment Completion",7,IF(Q575="anagram solution",8,IF(Q575="Matching",9,IF(Q575="Problem Solving",10,"99"))))))))))</f>
        <v>2</v>
      </c>
      <c r="S575" s="60" t="s">
        <v>49</v>
      </c>
      <c r="T575" s="60" t="s">
        <v>261</v>
      </c>
      <c r="U575" s="60">
        <f>IF(T575="within",1,0)</f>
        <v>0</v>
      </c>
      <c r="V575" s="60">
        <v>24</v>
      </c>
      <c r="W575" s="60">
        <f>F575*V575</f>
        <v>3456</v>
      </c>
      <c r="X575" s="60">
        <v>6</v>
      </c>
      <c r="Y575" s="76">
        <f>AV574</f>
        <v>1200</v>
      </c>
      <c r="Z575" s="60" t="s">
        <v>165</v>
      </c>
      <c r="AA575" s="60">
        <v>1814400</v>
      </c>
      <c r="AB575" s="60" t="str">
        <f>IF(AA575&lt;60,"1",IF(AA575&lt;=43200,"2",IF(AA575&lt;=777600,"3","4")))</f>
        <v>4</v>
      </c>
      <c r="AC575" s="56">
        <f>AVERAGE(AV574:DA574)</f>
        <v>436400</v>
      </c>
      <c r="AD575" s="60" t="str">
        <f>IF(AC575&lt;60,"1",IF(AC575&lt;=43200,"2",IF(AC575&lt;=777600,"3","4")))</f>
        <v>3</v>
      </c>
      <c r="AE575" s="76">
        <f>AA575-Y575</f>
        <v>1813200</v>
      </c>
      <c r="AF575" s="80">
        <f>AV575</f>
        <v>1</v>
      </c>
      <c r="AG575" s="56">
        <f>((AW575-AV575)+(AX575-AW575)+(AY575-AX575)+(AZ575-AY575)+(BA575-AZ575))/5</f>
        <v>-0.13399999999999998</v>
      </c>
      <c r="AH575" s="4"/>
      <c r="AI575" s="56">
        <f>RSQ(AV575:BA575,AV574:BA574)</f>
        <v>0.92686649558811807</v>
      </c>
      <c r="AJ575" s="109">
        <f>SLOPE(AV575:BA575,AV574:BA574)</f>
        <v>-3.6539912544696889E-7</v>
      </c>
      <c r="AK575" s="56">
        <f>INTERCEPT(AV575:BA575,AV574:BA574)</f>
        <v>0.94779351167839065</v>
      </c>
      <c r="AL575" s="56">
        <f>INDEX(LINEST(LN(AV575:BA575),LN(AV574:BA574),TRUE,TRUE),3,1)</f>
        <v>0.6979605142452594</v>
      </c>
      <c r="AM575" s="56">
        <f>INDEX(LINEST(LN(AV575:BA575),LN(AV574:BA574)),1)</f>
        <v>-0.12642838900926681</v>
      </c>
      <c r="AN575" s="56">
        <f>EXP(INDEX(LINEST(LN(AV575:BA575),LN(AV574:BA574)),1,2))</f>
        <v>2.8994246119715101</v>
      </c>
      <c r="AO575" s="82">
        <f>INDEX(LINEST((AV575:BA575),LN(AV574:BA574),TRUE,TRUE),3,1)</f>
        <v>0.77898079153197308</v>
      </c>
      <c r="AP575" s="82">
        <f>INDEX(LINEST((AV575:BA575),LN(AV574:BA574)),1)</f>
        <v>-8.2285504074326901E-2</v>
      </c>
      <c r="AQ575" s="83">
        <f>INDEX(LINEST(LN(AV575:BA575),SQRT(AV574:BA574),TRUE,TRUE),3,1)</f>
        <v>0.96518334553495821</v>
      </c>
      <c r="AR575" s="116">
        <f>INDEX(LINEST(LN(AV575:BA575),SQRT((AV574:BA574))),1)</f>
        <v>-8.3780030318511773E-4</v>
      </c>
      <c r="AS575" s="84">
        <f>INDEX(LINEST(1/(AV575:BA575),1/(SQRT(AV574:BA574)),TRUE,TRUE),3,1)</f>
        <v>0.29910987231516306</v>
      </c>
      <c r="AT575" s="84">
        <f>INDEX(LINEST(1/(AV575:BA575),1/SQRT(AV574:BA574)),1)</f>
        <v>-38.98088987645022</v>
      </c>
      <c r="AU575" s="3"/>
      <c r="AV575" s="53">
        <v>1</v>
      </c>
      <c r="AW575" s="53">
        <v>1</v>
      </c>
      <c r="AX575" s="53">
        <v>0.92</v>
      </c>
      <c r="AY575" s="53">
        <v>0.89</v>
      </c>
      <c r="AZ575" s="53">
        <v>0.59</v>
      </c>
      <c r="BA575" s="53">
        <v>0.33</v>
      </c>
      <c r="BB575" s="53"/>
      <c r="BC575" s="53"/>
      <c r="BD575" s="53"/>
      <c r="BE575" s="53"/>
      <c r="BF575" s="53"/>
      <c r="BG575" s="53"/>
      <c r="BH575" s="53"/>
      <c r="BI575" s="53"/>
      <c r="BJ575" s="53"/>
      <c r="BK575" s="53"/>
      <c r="BL575" s="53"/>
      <c r="BM575" s="53"/>
      <c r="BN575" s="53"/>
      <c r="BO575" s="53"/>
      <c r="BP575" s="53"/>
      <c r="BQ575" s="53"/>
      <c r="BR575" s="53"/>
      <c r="BS575" s="53"/>
      <c r="BT575" s="53"/>
      <c r="BU575" s="53"/>
      <c r="BV575" s="53"/>
      <c r="BW575" s="53"/>
      <c r="BX575" s="53"/>
      <c r="BY575" s="53"/>
      <c r="BZ575" s="53"/>
      <c r="CA575" s="53"/>
      <c r="CB575" s="53"/>
      <c r="CC575" s="53"/>
      <c r="CD575" s="53"/>
      <c r="CE575" s="53"/>
      <c r="CF575" s="53"/>
      <c r="CG575" s="53"/>
      <c r="CH575" s="53"/>
      <c r="CI575" s="53"/>
      <c r="CJ575" s="53"/>
      <c r="CK575" s="53"/>
      <c r="CL575" s="53"/>
      <c r="CM575" s="53"/>
      <c r="CN575" s="53"/>
      <c r="CO575" s="53"/>
      <c r="CP575" s="53"/>
      <c r="CQ575" s="53"/>
      <c r="CR575" s="1"/>
      <c r="CS575" s="1"/>
      <c r="CT575" s="1"/>
      <c r="CU575" s="1"/>
    </row>
    <row r="576" spans="1:99" s="13" customFormat="1" ht="12" customHeight="1" x14ac:dyDescent="0.2">
      <c r="A576" s="65">
        <v>43509</v>
      </c>
      <c r="B576" s="1"/>
      <c r="C576" s="1"/>
      <c r="D576" s="60"/>
      <c r="E576" s="76"/>
      <c r="F576" s="60"/>
      <c r="G576" s="60"/>
      <c r="H576" s="60"/>
      <c r="I576" s="60"/>
      <c r="J576" s="60"/>
      <c r="K576" s="64"/>
      <c r="L576" s="64"/>
      <c r="M576" s="60"/>
      <c r="N576" s="60"/>
      <c r="O576" s="60"/>
      <c r="P576" s="60"/>
      <c r="Q576" s="60"/>
      <c r="R576" s="60"/>
      <c r="S576" s="60"/>
      <c r="T576" s="60"/>
      <c r="U576" s="60"/>
      <c r="V576" s="60"/>
      <c r="W576" s="60"/>
      <c r="X576" s="60"/>
      <c r="Y576" s="76"/>
      <c r="Z576" s="60"/>
      <c r="AA576" s="60"/>
      <c r="AB576" s="60"/>
      <c r="AC576" s="60"/>
      <c r="AD576" s="60"/>
      <c r="AE576" s="60"/>
      <c r="AF576" s="80"/>
      <c r="AG576" s="56"/>
      <c r="AH576" s="4"/>
      <c r="AI576" s="56"/>
      <c r="AJ576" s="109"/>
      <c r="AK576" s="56"/>
      <c r="AL576" s="56"/>
      <c r="AM576" s="56"/>
      <c r="AN576" s="56"/>
      <c r="AO576" s="56"/>
      <c r="AP576" s="56"/>
      <c r="AQ576" s="56"/>
      <c r="AR576" s="109"/>
      <c r="AS576" s="56"/>
      <c r="AT576" s="56"/>
      <c r="AU576" s="4"/>
      <c r="AV576" s="25">
        <f>20*60</f>
        <v>1200</v>
      </c>
      <c r="AW576" s="25">
        <f>60*60</f>
        <v>3600</v>
      </c>
      <c r="AX576" s="25">
        <f>6*60*60</f>
        <v>21600</v>
      </c>
      <c r="AY576" s="25">
        <f>2*24*60*60</f>
        <v>172800</v>
      </c>
      <c r="AZ576" s="25">
        <f>7*24*60*60</f>
        <v>604800</v>
      </c>
      <c r="BA576" s="25">
        <f>21*24*60*60</f>
        <v>1814400</v>
      </c>
      <c r="BB576" s="53"/>
      <c r="BC576" s="53"/>
      <c r="BD576" s="53"/>
      <c r="BE576" s="53"/>
      <c r="BF576" s="53"/>
      <c r="BG576" s="53"/>
      <c r="BH576" s="53"/>
      <c r="BI576" s="53"/>
      <c r="BJ576" s="53"/>
      <c r="BK576" s="53"/>
      <c r="BL576" s="53"/>
      <c r="BM576" s="53"/>
      <c r="BN576" s="53"/>
      <c r="BO576" s="53"/>
      <c r="BP576" s="53"/>
      <c r="BQ576" s="53"/>
      <c r="BR576" s="53"/>
      <c r="BS576" s="53"/>
      <c r="BT576" s="53"/>
      <c r="BU576" s="53"/>
      <c r="BV576" s="53"/>
      <c r="BW576" s="53"/>
      <c r="BX576" s="53"/>
      <c r="BY576" s="53"/>
      <c r="BZ576" s="53"/>
      <c r="CA576" s="53"/>
      <c r="CB576" s="53"/>
      <c r="CC576" s="53"/>
      <c r="CD576" s="53"/>
      <c r="CE576" s="53"/>
      <c r="CF576" s="53"/>
      <c r="CG576" s="53"/>
      <c r="CH576" s="53"/>
      <c r="CI576" s="53"/>
      <c r="CJ576" s="53"/>
      <c r="CK576" s="53"/>
      <c r="CL576" s="53"/>
      <c r="CM576" s="53"/>
      <c r="CN576" s="53"/>
      <c r="CO576" s="53"/>
      <c r="CP576" s="53"/>
      <c r="CQ576" s="53"/>
      <c r="CR576" s="1"/>
      <c r="CS576" s="1"/>
      <c r="CT576" s="1"/>
      <c r="CU576" s="1"/>
    </row>
    <row r="577" spans="1:99" s="13" customFormat="1" ht="12" customHeight="1" x14ac:dyDescent="0.2">
      <c r="A577" s="65">
        <v>43509</v>
      </c>
      <c r="B577" s="1" t="s">
        <v>163</v>
      </c>
      <c r="C577" s="1" t="s">
        <v>75</v>
      </c>
      <c r="D577" s="60">
        <v>1983</v>
      </c>
      <c r="E577" s="76">
        <v>2</v>
      </c>
      <c r="F577" s="60">
        <v>144</v>
      </c>
      <c r="G577" s="60">
        <v>24</v>
      </c>
      <c r="H577" s="60" t="s">
        <v>50</v>
      </c>
      <c r="I577" s="60" t="s">
        <v>805</v>
      </c>
      <c r="J577" s="60" t="s">
        <v>320</v>
      </c>
      <c r="K577" s="60">
        <f>IF(J577="syllables",1,IF(J577="trigrams",2,IF(J577="strings",3,IF(J577="visual array",4,IF(J577="characters",5,IF(J577="letters",6,IF(J577="free forms",7,IF(J577="odors",8,IF(J577="words",9,IF(J577="pictures",10,IF(J577="object pictures",11,IF(J577="faces",12,IF(J577="names",13,IF(J577="idioms",14,IF(J577="grades",15,IF(J577="syllable-digit pairs",16,IF(J577="trigram-word pairs",17,IF(J577="word-digit pairs",18,IF(J577="English-Swahili pairs",19,IF(J577="spatial position",20,IF(J577="word pairs",21,IF(J577="word triads",22,IF(J577="generated words",23,IF(J577="word definition pairs",24,IF(J577="math problems",25,IF(J577="famous faces",26,IF(J577="famous names",27,IF(J577="famous voices",28,IF(J577="television programs",29,IF(J577="race horses",30,IF(J577="new vocabulary",31,IF(J577="sentences",32,IF(J577="concepts",33,IF(J577="ad slides",34,IF(J577="scenes",35,IF(J577="famous scenes",36,IF(J577="poems",37,IF(J577="walk",38,IF(J577="faces and events",39,IF(J577="events and names",40,IF(J577="flashbulb",41,IF(J577="stories",42,IF(J577="course material",43,IF(J577="autobiographical",44,IF(J577="novels",45,IF(J577="public events",46,"99"))))))))))))))))))))))))))))))))))))))))))))))</f>
        <v>21</v>
      </c>
      <c r="L577" s="60">
        <f>IF(J577="syllables",1,IF(J577="trigrams",1,IF(J577="strings",1,IF(J577="visual array",1,IF(J577="characters",1,IF(J577="letters",1,IF(J577="free forms",1,IF(J577="odors",2,IF(J577="words",2,IF(J577="pictures",2,IF(J577="object pictures",2,IF(J577="faces",2,IF(J577="names",2,IF(J577="idioms","2",IF(J577="grades",2,IF(J577="syllable-digit pairs",3,IF(J577="trigram-word pairs",3,IF(J577="word-digit pairs",3,IF(J577="English-Swahili pairs",3,IF(J577="spatial position",3,IF(J577="word pairs",4,IF(J577="word triads",4,IF(J577="generated words",4,IF(J577="word definition pairs",4,IF(J577="math problems",4,IF(J577="famous faces",4,IF(J577="famous names",4,IF(J577="famous voices",4,IF(J577="television programs",4,IF(J577="race horses",4,IF(J577="new vocabulary",4,IF(J577="sentences",5,IF(J577="concepts",5,IF(J577="ad slides",5,IF(J577="scenes",5,IF(J577="famous scenes",5,IF(J577="poems",6,IF(J577="walk",6,IF(J577="faces and events",6,IF(J577="events and names",6,IF(J577="flashbulb",7,IF(J577="stories",7,IF(J577="course material",7,IF(J577="autobiographical",7,IF(J577="novels",7,IF(J577="public events",7,"99"))))))))))))))))))))))))))))))))))))))))))))))</f>
        <v>4</v>
      </c>
      <c r="M577" s="60">
        <v>0</v>
      </c>
      <c r="N577" s="60">
        <v>1</v>
      </c>
      <c r="O577" s="60">
        <v>1</v>
      </c>
      <c r="P577" s="60" t="s">
        <v>164</v>
      </c>
      <c r="Q577" s="60" t="s">
        <v>65</v>
      </c>
      <c r="R577" s="60">
        <f>IF(Q577="Free Recall",1,IF(Q577="Cued Recall",2,IF(Q577="Recognition",3,IF(Q577="Multiple Choice",4,IF(Q577="Savings",5,IF(Q577="Stem Completion",6,IF(Q577="Fragment Completion",7,IF(Q577="anagram solution",8,IF(Q577="Matching",9,IF(Q577="Problem Solving",10,"99"))))))))))</f>
        <v>2</v>
      </c>
      <c r="S577" s="60" t="s">
        <v>49</v>
      </c>
      <c r="T577" s="60" t="s">
        <v>261</v>
      </c>
      <c r="U577" s="60">
        <f>IF(T577="within",1,0)</f>
        <v>0</v>
      </c>
      <c r="V577" s="60">
        <v>24</v>
      </c>
      <c r="W577" s="60">
        <f>F577*V577</f>
        <v>3456</v>
      </c>
      <c r="X577" s="60">
        <v>6</v>
      </c>
      <c r="Y577" s="76">
        <f>AV576</f>
        <v>1200</v>
      </c>
      <c r="Z577" s="60" t="s">
        <v>165</v>
      </c>
      <c r="AA577" s="60">
        <v>1814400</v>
      </c>
      <c r="AB577" s="60" t="str">
        <f>IF(AA577&lt;60,"1",IF(AA577&lt;=43200,"2",IF(AA577&lt;=777600,"3","4")))</f>
        <v>4</v>
      </c>
      <c r="AC577" s="56">
        <f>AVERAGE(AV576:DA576)</f>
        <v>436400</v>
      </c>
      <c r="AD577" s="60" t="str">
        <f>IF(AC577&lt;60,"1",IF(AC577&lt;=43200,"2",IF(AC577&lt;=777600,"3","4")))</f>
        <v>3</v>
      </c>
      <c r="AE577" s="76">
        <f>AA577-Y577</f>
        <v>1813200</v>
      </c>
      <c r="AF577" s="80">
        <f>AV577</f>
        <v>0.74</v>
      </c>
      <c r="AG577" s="56">
        <f>((AW577-AV577)+(AX577-AW577)+(AY577-AX577)+(AZ577-AY577)+(BA577-AZ577))/5</f>
        <v>-0.10400000000000001</v>
      </c>
      <c r="AH577" s="4"/>
      <c r="AI577" s="56">
        <f>RSQ(AV577:BA577,AV576:BA576)</f>
        <v>0.397326705125506</v>
      </c>
      <c r="AJ577" s="109">
        <f>SLOPE(AV577:BA577,AV576:BA576)</f>
        <v>-2.2946520116680822E-7</v>
      </c>
      <c r="AK577" s="56">
        <f>INTERCEPT(AV577:BA577,AV576:BA576)</f>
        <v>0.53347194712252854</v>
      </c>
      <c r="AL577" s="56">
        <f>INDEX(LINEST(LN(AV577:BA577),LN(AV576:BA576),TRUE,TRUE),3,1)</f>
        <v>0.85026547079861714</v>
      </c>
      <c r="AM577" s="56">
        <f>INDEX(LINEST(LN(AV577:BA577),LN(AV576:BA576)),1)</f>
        <v>-0.21474824186994065</v>
      </c>
      <c r="AN577" s="56">
        <f>EXP(INDEX(LINEST(LN(AV577:BA577),LN(AV576:BA576)),1,2))</f>
        <v>3.7195461504513876</v>
      </c>
      <c r="AO577" s="82">
        <f>INDEX(LINEST((AV577:BA577),LN(AV576:BA576),TRUE,TRUE),3,1)</f>
        <v>0.88874034109083822</v>
      </c>
      <c r="AP577" s="82">
        <f>INDEX(LINEST((AV577:BA577),LN(AV576:BA576)),1)</f>
        <v>-8.430075224923865E-2</v>
      </c>
      <c r="AQ577" s="83">
        <f>INDEX(LINEST(LN(AV577:BA577),SQRT(AV576:BA576),TRUE,TRUE),3,1)</f>
        <v>0.62613413147428643</v>
      </c>
      <c r="AR577" s="116">
        <f>INDEX(LINEST(LN(AV577:BA577),SQRT((AV576:BA576))),1)</f>
        <v>-1.0384664283952733E-3</v>
      </c>
      <c r="AS577" s="84">
        <f>INDEX(LINEST(1/(AV577:BA577),1/(SQRT(AV576:BA576)),TRUE,TRUE),3,1)</f>
        <v>0.59553007545935954</v>
      </c>
      <c r="AT577" s="84">
        <f>INDEX(LINEST(1/(AV577:BA577),1/SQRT(AV576:BA576)),1)</f>
        <v>-142.65168617888099</v>
      </c>
      <c r="AU577" s="3"/>
      <c r="AV577" s="53">
        <v>0.74</v>
      </c>
      <c r="AW577" s="53">
        <v>0.64</v>
      </c>
      <c r="AX577" s="53">
        <v>0.62</v>
      </c>
      <c r="AY577" s="53">
        <v>0.22</v>
      </c>
      <c r="AZ577" s="53">
        <v>0.16</v>
      </c>
      <c r="BA577" s="53">
        <v>0.22</v>
      </c>
      <c r="BB577" s="53"/>
      <c r="BC577" s="53"/>
      <c r="BD577" s="53"/>
      <c r="BE577" s="53"/>
      <c r="BF577" s="53"/>
      <c r="BG577" s="53"/>
      <c r="BH577" s="53"/>
      <c r="BI577" s="53"/>
      <c r="BJ577" s="53"/>
      <c r="BK577" s="53"/>
      <c r="BL577" s="53"/>
      <c r="BM577" s="53"/>
      <c r="BN577" s="53"/>
      <c r="BO577" s="53"/>
      <c r="BP577" s="53"/>
      <c r="BQ577" s="53"/>
      <c r="BR577" s="53"/>
      <c r="BS577" s="53"/>
      <c r="BT577" s="53"/>
      <c r="BU577" s="53"/>
      <c r="BV577" s="53"/>
      <c r="BW577" s="53"/>
      <c r="BX577" s="53"/>
      <c r="BY577" s="53"/>
      <c r="BZ577" s="53"/>
      <c r="CA577" s="53"/>
      <c r="CB577" s="53"/>
      <c r="CC577" s="53"/>
      <c r="CD577" s="53"/>
      <c r="CE577" s="53"/>
      <c r="CF577" s="53"/>
      <c r="CG577" s="53"/>
      <c r="CH577" s="53"/>
      <c r="CI577" s="53"/>
      <c r="CJ577" s="53"/>
      <c r="CK577" s="53"/>
      <c r="CL577" s="53"/>
      <c r="CM577" s="53"/>
      <c r="CN577" s="53"/>
      <c r="CO577" s="53"/>
      <c r="CP577" s="53"/>
      <c r="CQ577" s="53"/>
      <c r="CR577" s="1"/>
      <c r="CS577" s="1"/>
      <c r="CT577" s="1"/>
      <c r="CU577" s="1"/>
    </row>
    <row r="578" spans="1:99" s="13" customFormat="1" ht="12" customHeight="1" x14ac:dyDescent="0.2">
      <c r="A578" s="65">
        <v>43509</v>
      </c>
      <c r="B578" s="1"/>
      <c r="C578" s="1"/>
      <c r="D578" s="60"/>
      <c r="E578" s="76"/>
      <c r="F578" s="60"/>
      <c r="G578" s="60"/>
      <c r="H578" s="60"/>
      <c r="I578" s="60"/>
      <c r="J578" s="60"/>
      <c r="K578" s="64"/>
      <c r="L578" s="64"/>
      <c r="M578" s="60"/>
      <c r="N578" s="60"/>
      <c r="O578" s="60"/>
      <c r="P578" s="60"/>
      <c r="Q578" s="60"/>
      <c r="R578" s="60"/>
      <c r="S578" s="60"/>
      <c r="T578" s="60"/>
      <c r="U578" s="60"/>
      <c r="V578" s="60"/>
      <c r="W578" s="60"/>
      <c r="X578" s="60"/>
      <c r="Y578" s="76"/>
      <c r="Z578" s="60"/>
      <c r="AA578" s="60"/>
      <c r="AB578" s="60"/>
      <c r="AC578" s="60"/>
      <c r="AD578" s="60"/>
      <c r="AE578" s="60"/>
      <c r="AF578" s="80"/>
      <c r="AG578" s="56"/>
      <c r="AH578" s="4"/>
      <c r="AI578" s="56"/>
      <c r="AJ578" s="109"/>
      <c r="AK578" s="56"/>
      <c r="AL578" s="56"/>
      <c r="AM578" s="56"/>
      <c r="AN578" s="56"/>
      <c r="AO578" s="56"/>
      <c r="AP578" s="56"/>
      <c r="AQ578" s="56"/>
      <c r="AR578" s="109"/>
      <c r="AS578" s="56"/>
      <c r="AT578" s="56"/>
      <c r="AU578" s="4"/>
      <c r="AV578" s="25">
        <f>20*60</f>
        <v>1200</v>
      </c>
      <c r="AW578" s="25">
        <f>60*60</f>
        <v>3600</v>
      </c>
      <c r="AX578" s="25">
        <f>6*60*60</f>
        <v>21600</v>
      </c>
      <c r="AY578" s="25">
        <f>2*24*60*60</f>
        <v>172800</v>
      </c>
      <c r="AZ578" s="25">
        <f>7*24*60*60</f>
        <v>604800</v>
      </c>
      <c r="BA578" s="25">
        <f>21*24*60*60</f>
        <v>1814400</v>
      </c>
      <c r="BB578" s="53"/>
      <c r="BC578" s="53"/>
      <c r="BD578" s="53"/>
      <c r="BE578" s="53"/>
      <c r="BF578" s="53"/>
      <c r="BG578" s="53"/>
      <c r="BH578" s="53"/>
      <c r="BI578" s="53"/>
      <c r="BJ578" s="53"/>
      <c r="BK578" s="53"/>
      <c r="BL578" s="53"/>
      <c r="BM578" s="53"/>
      <c r="BN578" s="53"/>
      <c r="BO578" s="53"/>
      <c r="BP578" s="53"/>
      <c r="BQ578" s="53"/>
      <c r="BR578" s="53"/>
      <c r="BS578" s="53"/>
      <c r="BT578" s="53"/>
      <c r="BU578" s="53"/>
      <c r="BV578" s="53"/>
      <c r="BW578" s="53"/>
      <c r="BX578" s="53"/>
      <c r="BY578" s="53"/>
      <c r="BZ578" s="53"/>
      <c r="CA578" s="53"/>
      <c r="CB578" s="53"/>
      <c r="CC578" s="53"/>
      <c r="CD578" s="53"/>
      <c r="CE578" s="53"/>
      <c r="CF578" s="53"/>
      <c r="CG578" s="53"/>
      <c r="CH578" s="53"/>
      <c r="CI578" s="53"/>
      <c r="CJ578" s="53"/>
      <c r="CK578" s="53"/>
      <c r="CL578" s="53"/>
      <c r="CM578" s="53"/>
      <c r="CN578" s="53"/>
      <c r="CO578" s="53"/>
      <c r="CP578" s="53"/>
      <c r="CQ578" s="53"/>
      <c r="CR578" s="1"/>
      <c r="CS578" s="1"/>
      <c r="CT578" s="1"/>
      <c r="CU578" s="1"/>
    </row>
    <row r="579" spans="1:99" s="13" customFormat="1" ht="12" customHeight="1" x14ac:dyDescent="0.2">
      <c r="A579" s="65">
        <v>43509</v>
      </c>
      <c r="B579" s="1" t="s">
        <v>163</v>
      </c>
      <c r="C579" s="1" t="s">
        <v>75</v>
      </c>
      <c r="D579" s="60">
        <v>1983</v>
      </c>
      <c r="E579" s="76">
        <v>2</v>
      </c>
      <c r="F579" s="60">
        <v>144</v>
      </c>
      <c r="G579" s="60">
        <v>24</v>
      </c>
      <c r="H579" s="60" t="s">
        <v>50</v>
      </c>
      <c r="I579" s="60" t="s">
        <v>806</v>
      </c>
      <c r="J579" s="60" t="s">
        <v>320</v>
      </c>
      <c r="K579" s="60">
        <f>IF(J579="syllables",1,IF(J579="trigrams",2,IF(J579="strings",3,IF(J579="visual array",4,IF(J579="characters",5,IF(J579="letters",6,IF(J579="free forms",7,IF(J579="odors",8,IF(J579="words",9,IF(J579="pictures",10,IF(J579="object pictures",11,IF(J579="faces",12,IF(J579="names",13,IF(J579="idioms",14,IF(J579="grades",15,IF(J579="syllable-digit pairs",16,IF(J579="trigram-word pairs",17,IF(J579="word-digit pairs",18,IF(J579="English-Swahili pairs",19,IF(J579="spatial position",20,IF(J579="word pairs",21,IF(J579="word triads",22,IF(J579="generated words",23,IF(J579="word definition pairs",24,IF(J579="math problems",25,IF(J579="famous faces",26,IF(J579="famous names",27,IF(J579="famous voices",28,IF(J579="television programs",29,IF(J579="race horses",30,IF(J579="new vocabulary",31,IF(J579="sentences",32,IF(J579="concepts",33,IF(J579="ad slides",34,IF(J579="scenes",35,IF(J579="famous scenes",36,IF(J579="poems",37,IF(J579="walk",38,IF(J579="faces and events",39,IF(J579="events and names",40,IF(J579="flashbulb",41,IF(J579="stories",42,IF(J579="course material",43,IF(J579="autobiographical",44,IF(J579="novels",45,IF(J579="public events",46,"99"))))))))))))))))))))))))))))))))))))))))))))))</f>
        <v>21</v>
      </c>
      <c r="L579" s="60">
        <f>IF(J579="syllables",1,IF(J579="trigrams",1,IF(J579="strings",1,IF(J579="visual array",1,IF(J579="characters",1,IF(J579="letters",1,IF(J579="free forms",1,IF(J579="odors",2,IF(J579="words",2,IF(J579="pictures",2,IF(J579="object pictures",2,IF(J579="faces",2,IF(J579="names",2,IF(J579="idioms","2",IF(J579="grades",2,IF(J579="syllable-digit pairs",3,IF(J579="trigram-word pairs",3,IF(J579="word-digit pairs",3,IF(J579="English-Swahili pairs",3,IF(J579="spatial position",3,IF(J579="word pairs",4,IF(J579="word triads",4,IF(J579="generated words",4,IF(J579="word definition pairs",4,IF(J579="math problems",4,IF(J579="famous faces",4,IF(J579="famous names",4,IF(J579="famous voices",4,IF(J579="television programs",4,IF(J579="race horses",4,IF(J579="new vocabulary",4,IF(J579="sentences",5,IF(J579="concepts",5,IF(J579="ad slides",5,IF(J579="scenes",5,IF(J579="famous scenes",5,IF(J579="poems",6,IF(J579="walk",6,IF(J579="faces and events",6,IF(J579="events and names",6,IF(J579="flashbulb",7,IF(J579="stories",7,IF(J579="course material",7,IF(J579="autobiographical",7,IF(J579="novels",7,IF(J579="public events",7,"99"))))))))))))))))))))))))))))))))))))))))))))))</f>
        <v>4</v>
      </c>
      <c r="M579" s="60">
        <v>1</v>
      </c>
      <c r="N579" s="60">
        <v>2</v>
      </c>
      <c r="O579" s="60">
        <v>1</v>
      </c>
      <c r="P579" s="60" t="s">
        <v>164</v>
      </c>
      <c r="Q579" s="60" t="s">
        <v>65</v>
      </c>
      <c r="R579" s="60">
        <f>IF(Q579="Free Recall",1,IF(Q579="Cued Recall",2,IF(Q579="Recognition",3,IF(Q579="Multiple Choice",4,IF(Q579="Savings",5,IF(Q579="Stem Completion",6,IF(Q579="Fragment Completion",7,IF(Q579="anagram solution",8,IF(Q579="Matching",9,IF(Q579="Problem Solving",10,"99"))))))))))</f>
        <v>2</v>
      </c>
      <c r="S579" s="60" t="s">
        <v>49</v>
      </c>
      <c r="T579" s="60" t="s">
        <v>261</v>
      </c>
      <c r="U579" s="60">
        <f>IF(T579="within",1,0)</f>
        <v>0</v>
      </c>
      <c r="V579" s="60">
        <v>24</v>
      </c>
      <c r="W579" s="60">
        <f>F579*V579</f>
        <v>3456</v>
      </c>
      <c r="X579" s="60">
        <v>6</v>
      </c>
      <c r="Y579" s="76">
        <f>AV578</f>
        <v>1200</v>
      </c>
      <c r="Z579" s="60" t="s">
        <v>165</v>
      </c>
      <c r="AA579" s="60">
        <v>1814400</v>
      </c>
      <c r="AB579" s="60" t="str">
        <f>IF(AA579&lt;60,"1",IF(AA579&lt;=43200,"2",IF(AA579&lt;=777600,"3","4")))</f>
        <v>4</v>
      </c>
      <c r="AC579" s="56">
        <f>AVERAGE(AV578:DA578)</f>
        <v>436400</v>
      </c>
      <c r="AD579" s="60" t="str">
        <f>IF(AC579&lt;60,"1",IF(AC579&lt;=43200,"2",IF(AC579&lt;=777600,"3","4")))</f>
        <v>3</v>
      </c>
      <c r="AE579" s="76">
        <f>AA579-Y579</f>
        <v>1813200</v>
      </c>
      <c r="AF579" s="80">
        <f>AV579</f>
        <v>0.89</v>
      </c>
      <c r="AG579" s="56">
        <f>((AW579-AV579)+(AX579-AW579)+(AY579-AX579)+(AZ579-AY579)+(BA579-AZ579))/5</f>
        <v>-0.14399999999999999</v>
      </c>
      <c r="AH579" s="4"/>
      <c r="AI579" s="56">
        <f>RSQ(AV579:BA579,AV578:BA578)</f>
        <v>0.6317586985478949</v>
      </c>
      <c r="AJ579" s="109">
        <f>SLOPE(AV579:BA579,AV578:BA578)</f>
        <v>-3.3333000196613519E-7</v>
      </c>
      <c r="AK579" s="56">
        <f>INTERCEPT(AV579:BA579,AV578:BA578)</f>
        <v>0.67713187952468812</v>
      </c>
      <c r="AL579" s="56">
        <f>INDEX(LINEST(LN(AV579:BA579),LN(AV578:BA578),TRUE,TRUE),3,1)</f>
        <v>0.92841156875757835</v>
      </c>
      <c r="AM579" s="56">
        <f>INDEX(LINEST(LN(AV579:BA579),LN(AV578:BA578)),1)</f>
        <v>-0.22561313495541505</v>
      </c>
      <c r="AN579" s="56">
        <f>EXP(INDEX(LINEST(LN(AV579:BA579),LN(AV578:BA578)),1,2))</f>
        <v>5.1754003248320037</v>
      </c>
      <c r="AO579" s="82">
        <f>INDEX(LINEST((AV579:BA579),LN(AV578:BA578),TRUE,TRUE),3,1)</f>
        <v>0.97453470403216957</v>
      </c>
      <c r="AP579" s="82">
        <f>INDEX(LINEST((AV579:BA579),LN(AV578:BA578)),1)</f>
        <v>-0.10169474042641907</v>
      </c>
      <c r="AQ579" s="83">
        <f>INDEX(LINEST(LN(AV579:BA579),SQRT(AV578:BA578),TRUE,TRUE),3,1)</f>
        <v>0.94790579613820181</v>
      </c>
      <c r="AR579" s="116">
        <f>INDEX(LINEST(LN(AV579:BA579),SQRT((AV578:BA578))),1)</f>
        <v>-1.2846449804048057E-3</v>
      </c>
      <c r="AS579" s="84">
        <f>INDEX(LINEST(1/(AV579:BA579),1/(SQRT(AV578:BA578)),TRUE,TRUE),3,1)</f>
        <v>0.48699759083343341</v>
      </c>
      <c r="AT579" s="84">
        <f>INDEX(LINEST(1/(AV579:BA579),1/SQRT(AV578:BA578)),1)</f>
        <v>-119.62884982130521</v>
      </c>
      <c r="AU579" s="3"/>
      <c r="AV579" s="53">
        <v>0.89</v>
      </c>
      <c r="AW579" s="53">
        <v>0.77</v>
      </c>
      <c r="AX579" s="53">
        <v>0.71</v>
      </c>
      <c r="AY579" s="53">
        <v>0.41</v>
      </c>
      <c r="AZ579" s="53">
        <v>0.24</v>
      </c>
      <c r="BA579" s="53">
        <v>0.17</v>
      </c>
      <c r="BB579" s="53"/>
      <c r="BC579" s="53"/>
      <c r="BD579" s="53"/>
      <c r="BE579" s="53"/>
      <c r="BF579" s="53"/>
      <c r="BG579" s="53"/>
      <c r="BH579" s="53"/>
      <c r="BI579" s="53"/>
      <c r="BJ579" s="53"/>
      <c r="BK579" s="53"/>
      <c r="BL579" s="53"/>
      <c r="BM579" s="53"/>
      <c r="BN579" s="53"/>
      <c r="BO579" s="53"/>
      <c r="BP579" s="53"/>
      <c r="BQ579" s="53"/>
      <c r="BR579" s="53"/>
      <c r="BS579" s="53"/>
      <c r="BT579" s="53"/>
      <c r="BU579" s="53"/>
      <c r="BV579" s="53"/>
      <c r="BW579" s="53"/>
      <c r="BX579" s="53"/>
      <c r="BY579" s="53"/>
      <c r="BZ579" s="53"/>
      <c r="CA579" s="53"/>
      <c r="CB579" s="53"/>
      <c r="CC579" s="53"/>
      <c r="CD579" s="53"/>
      <c r="CE579" s="53"/>
      <c r="CF579" s="53"/>
      <c r="CG579" s="53"/>
      <c r="CH579" s="53"/>
      <c r="CI579" s="53"/>
      <c r="CJ579" s="53"/>
      <c r="CK579" s="53"/>
      <c r="CL579" s="53"/>
      <c r="CM579" s="53"/>
      <c r="CN579" s="53"/>
      <c r="CO579" s="53"/>
      <c r="CP579" s="53"/>
      <c r="CQ579" s="53"/>
      <c r="CR579" s="1"/>
      <c r="CS579" s="1"/>
      <c r="CT579" s="1"/>
      <c r="CU579" s="1"/>
    </row>
    <row r="580" spans="1:99" s="13" customFormat="1" ht="12" customHeight="1" x14ac:dyDescent="0.2">
      <c r="A580" s="65">
        <v>43897</v>
      </c>
      <c r="B580" s="1"/>
      <c r="C580" s="1"/>
      <c r="D580" s="60"/>
      <c r="E580" s="76"/>
      <c r="F580" s="60"/>
      <c r="G580" s="60"/>
      <c r="H580" s="60"/>
      <c r="I580" s="60"/>
      <c r="J580" s="60"/>
      <c r="K580" s="64"/>
      <c r="L580" s="64"/>
      <c r="M580" s="60"/>
      <c r="N580" s="61"/>
      <c r="O580" s="60"/>
      <c r="P580" s="60"/>
      <c r="Q580" s="60"/>
      <c r="R580" s="60"/>
      <c r="S580" s="60"/>
      <c r="T580" s="60"/>
      <c r="U580" s="60"/>
      <c r="V580" s="60"/>
      <c r="W580" s="60"/>
      <c r="X580" s="60"/>
      <c r="Y580" s="76"/>
      <c r="Z580" s="59"/>
      <c r="AA580" s="59"/>
      <c r="AB580" s="60"/>
      <c r="AC580" s="56"/>
      <c r="AD580" s="60"/>
      <c r="AE580" s="60"/>
      <c r="AF580" s="80"/>
      <c r="AG580" s="56"/>
      <c r="AH580" s="4"/>
      <c r="AI580" s="56"/>
      <c r="AJ580" s="109"/>
      <c r="AK580" s="56"/>
      <c r="AL580" s="56"/>
      <c r="AM580" s="56"/>
      <c r="AN580" s="56"/>
      <c r="AO580" s="82"/>
      <c r="AP580" s="82"/>
      <c r="AQ580" s="83"/>
      <c r="AR580" s="116"/>
      <c r="AS580" s="84"/>
      <c r="AT580" s="84"/>
      <c r="AU580" s="3"/>
      <c r="AV580" s="25">
        <v>94608000</v>
      </c>
      <c r="AW580" s="25">
        <v>409968000</v>
      </c>
      <c r="AX580" s="25">
        <v>725328000</v>
      </c>
      <c r="AY580" s="25">
        <v>1040688000</v>
      </c>
      <c r="AZ580" s="25">
        <v>1356048000</v>
      </c>
      <c r="BA580" s="53"/>
      <c r="BB580" s="53"/>
      <c r="BC580" s="53"/>
      <c r="BD580" s="53"/>
      <c r="BE580" s="53"/>
      <c r="BF580" s="53"/>
      <c r="BG580" s="53"/>
      <c r="BH580" s="53"/>
      <c r="BI580" s="53"/>
      <c r="BJ580" s="53"/>
      <c r="BK580" s="53"/>
      <c r="BL580" s="53"/>
      <c r="BM580" s="53"/>
      <c r="BN580" s="53"/>
      <c r="BO580" s="53"/>
      <c r="BP580" s="53"/>
      <c r="BQ580" s="53"/>
      <c r="BR580" s="53"/>
      <c r="BS580" s="53"/>
      <c r="BT580" s="53"/>
      <c r="BU580" s="53"/>
      <c r="BV580" s="53"/>
      <c r="BW580" s="53"/>
      <c r="BX580" s="53"/>
      <c r="BY580" s="53"/>
      <c r="BZ580" s="53"/>
      <c r="CA580" s="53"/>
      <c r="CB580" s="53"/>
      <c r="CC580" s="53"/>
      <c r="CD580" s="53"/>
      <c r="CE580" s="53"/>
      <c r="CF580" s="53"/>
      <c r="CG580" s="53"/>
      <c r="CH580" s="53"/>
      <c r="CI580" s="53"/>
      <c r="CJ580" s="53"/>
      <c r="CK580" s="53"/>
      <c r="CL580" s="53"/>
      <c r="CM580" s="53"/>
      <c r="CN580" s="53"/>
      <c r="CO580" s="53"/>
      <c r="CP580" s="53"/>
      <c r="CQ580" s="53"/>
      <c r="CR580" s="1"/>
      <c r="CS580" s="1"/>
      <c r="CT580" s="1"/>
      <c r="CU580" s="1"/>
    </row>
    <row r="581" spans="1:99" s="13" customFormat="1" ht="12" customHeight="1" x14ac:dyDescent="0.2">
      <c r="A581" s="65">
        <v>43897</v>
      </c>
      <c r="B581" s="1" t="s">
        <v>404</v>
      </c>
      <c r="C581" s="1" t="s">
        <v>405</v>
      </c>
      <c r="D581" s="60">
        <v>1988</v>
      </c>
      <c r="E581" s="76">
        <v>1</v>
      </c>
      <c r="F581" s="60">
        <v>30</v>
      </c>
      <c r="G581" s="60">
        <v>30</v>
      </c>
      <c r="H581" s="60" t="s">
        <v>341</v>
      </c>
      <c r="I581" s="60" t="s">
        <v>330</v>
      </c>
      <c r="J581" s="60" t="s">
        <v>406</v>
      </c>
      <c r="K581" s="60">
        <f>IF(J581="syllables",1,IF(J581="trigrams",2,IF(J581="strings",3,IF(J581="visual array",4,IF(J581="characters",5,IF(J581="letters",6,IF(J581="free forms",7,IF(J581="odors",8,IF(J581="words",9,IF(J581="pictures",10,IF(J581="object pictures",11,IF(J581="faces",12,IF(J581="names",13,IF(J581="idioms",14,IF(J581="grades",15,IF(J581="syllable-digit pairs",16,IF(J581="trigram-word pairs",17,IF(J581="word-digit pairs",18,IF(J581="English-Swahili pairs",19,IF(J581="spatial position",20,IF(J581="word pairs",21,IF(J581="word triads",22,IF(J581="generated words",23,IF(J581="word definition pairs",24,IF(J581="math problems",25,IF(J581="famous faces",26,IF(J581="famous names",27,IF(J581="famous voices",28,IF(J581="television programs",29,IF(J581="race horses",30,IF(J581="new vocabulary",31,IF(J581="sentences",32,IF(J581="concepts",33,IF(J581="ad slides",34,IF(J581="scenes",35,IF(J581="famous scenes",36,IF(J581="poems",37,IF(J581="walk",38,IF(J581="faces and events",39,IF(J581="events and names",40,IF(J581="flashbulb",41,IF(J581="stories",42,IF(J581="course material",43,IF(J581="autobiographical",44,IF(J581="novels",45,IF(J581="public events",46,"99"))))))))))))))))))))))))))))))))))))))))))))))</f>
        <v>36</v>
      </c>
      <c r="L581" s="60">
        <f>IF(J581="syllables",1,IF(J581="trigrams",1,IF(J581="strings",1,IF(J581="visual array",1,IF(J581="characters",1,IF(J581="letters",1,IF(J581="free forms",1,IF(J581="odors",2,IF(J581="words",2,IF(J581="pictures",2,IF(J581="object pictures",2,IF(J581="faces",2,IF(J581="names",2,IF(J581="idioms","2",IF(J581="grades",2,IF(J581="syllable-digit pairs",3,IF(J581="trigram-word pairs",3,IF(J581="word-digit pairs",3,IF(J581="English-Swahili pairs",3,IF(J581="spatial position",3,IF(J581="word pairs",4,IF(J581="word triads",4,IF(J581="generated words",4,IF(J581="word definition pairs",4,IF(J581="math problems",4,IF(J581="famous faces",4,IF(J581="famous names",4,IF(J581="famous voices",4,IF(J581="television programs",4,IF(J581="race horses",4,IF(J581="new vocabulary",4,IF(J581="sentences",5,IF(J581="concepts",5,IF(J581="ad slides",5,IF(J581="scenes",5,IF(J581="famous scenes",5,IF(J581="poems",6,IF(J581="walk",6,IF(J581="faces and events",6,IF(J581="events and names",6,IF(J581="flashbulb",7,IF(J581="stories",7,IF(J581="course material",7,IF(J581="autobiographical",7,IF(J581="novels",7,IF(J581="public events",7,"99"))))))))))))))))))))))))))))))))))))))))))))))</f>
        <v>5</v>
      </c>
      <c r="M581" s="60">
        <v>1</v>
      </c>
      <c r="N581" s="61">
        <v>2</v>
      </c>
      <c r="O581" s="60">
        <v>0</v>
      </c>
      <c r="P581" s="60"/>
      <c r="Q581" s="60" t="s">
        <v>34</v>
      </c>
      <c r="R581" s="60">
        <f>IF(Q581="Free Recall",1,IF(Q581="Cued Recall",2,IF(Q581="Recognition",3,IF(Q581="Multiple Choice",4,IF(Q581="Savings",5,IF(Q581="Stem Completion",6,IF(Q581="Fragment Completion",7,IF(Q581="anagram solution",8,IF(Q581="Matching",9,IF(Q581="Problem Solving",10,"99"))))))))))</f>
        <v>3</v>
      </c>
      <c r="S581" s="60" t="s">
        <v>15</v>
      </c>
      <c r="T581" s="59" t="s">
        <v>581</v>
      </c>
      <c r="U581" s="60">
        <f>IF(T581="within",1,0)</f>
        <v>1</v>
      </c>
      <c r="V581" s="59">
        <v>20</v>
      </c>
      <c r="W581" s="60">
        <f>F581*V581</f>
        <v>600</v>
      </c>
      <c r="X581" s="60">
        <v>5</v>
      </c>
      <c r="Y581" s="76">
        <f>AV580</f>
        <v>94608000</v>
      </c>
      <c r="Z581" s="59" t="s">
        <v>426</v>
      </c>
      <c r="AA581" s="60">
        <f>43*365*24*60*60</f>
        <v>1356048000</v>
      </c>
      <c r="AB581" s="60" t="str">
        <f>IF(AA581&lt;60,"1",IF(AA581&lt;=43200,"2",IF(AA581&lt;=777600,"3","4")))</f>
        <v>4</v>
      </c>
      <c r="AC581" s="56">
        <f>AVERAGE(AV580:DA580)</f>
        <v>725328000</v>
      </c>
      <c r="AD581" s="60" t="str">
        <f>IF(AC581&lt;60,"1",IF(AC581&lt;=43200,"2",IF(AC581&lt;=777600,"3","4")))</f>
        <v>4</v>
      </c>
      <c r="AE581" s="76">
        <f>AA581-Y581</f>
        <v>1261440000</v>
      </c>
      <c r="AF581" s="80">
        <f>AV581</f>
        <v>0.95384615384615379</v>
      </c>
      <c r="AG581" s="58">
        <f>((AW581-AV581)+(AX581-AW581)+(AY581-AX581)+(AZ581-AY581))/4</f>
        <v>-1.6194331983805654E-3</v>
      </c>
      <c r="AH581" s="4"/>
      <c r="AI581" s="56">
        <f>RSQ(AV581:AZ581,AV580:AZ580)</f>
        <v>5.5621984975579436E-2</v>
      </c>
      <c r="AJ581" s="109">
        <f>SLOPE(AV581:AZ581,AV580:AZ580)</f>
        <v>-3.7851348534413547E-11</v>
      </c>
      <c r="AK581" s="56">
        <f>INTERCEPT(AV581:AZ581,AV580:AZ580)</f>
        <v>0.91878219823776397</v>
      </c>
      <c r="AL581" s="56">
        <f>INDEX(LINEST(LN(AV581:AZ581),LN(AV580:AZ580),TRUE,TRUE),3,1)</f>
        <v>0.16859220416352844</v>
      </c>
      <c r="AM581" s="56">
        <f>INDEX(LINEST(LN(AV581:AZ581),LN(AV580:AZ580)),1)</f>
        <v>-3.5834775397589336E-2</v>
      </c>
      <c r="AN581" s="56">
        <f>EXP(INDEX(LINEST(LN(AV581:AZ581),LN(AV580:AZ580)),1,2))</f>
        <v>1.8241287959152177</v>
      </c>
      <c r="AO581" s="82">
        <f>INDEX(LINEST((AV581:AZ581),LN(AV580:AZ580),TRUE,TRUE),3,1)</f>
        <v>0.17436865958681858</v>
      </c>
      <c r="AP581" s="82">
        <f>INDEX(LINEST((AV581:AZ581),LN(AV580:AZ580)),1)</f>
        <v>-3.160829024500271E-2</v>
      </c>
      <c r="AQ581" s="83">
        <f>INDEX(LINEST(LN(AV581:AZ581),SQRT(AV580:AZ580),TRUE,TRUE),3,1)</f>
        <v>0.11079587201730813</v>
      </c>
      <c r="AR581" s="116">
        <f>INDEX(LINEST(LN(AV581:AZ581),SQRT((AV580:AZ580))),1)</f>
        <v>-2.889451623959383E-6</v>
      </c>
      <c r="AS581" s="84">
        <f>INDEX(LINEST(1/(AV581:AZ581),1/(SQRT(AV580:AZ580)),TRUE,TRUE),3,1)</f>
        <v>0.19502143432750169</v>
      </c>
      <c r="AT581" s="84">
        <f>INDEX(LINEST(1/(AV581:AZ581),1/SQRT(AV580:AZ580)),1)</f>
        <v>-1522.273926687802</v>
      </c>
      <c r="AU581" s="3"/>
      <c r="AV581" s="53">
        <v>0.95384615384615379</v>
      </c>
      <c r="AW581" s="53">
        <v>0.94202898550724645</v>
      </c>
      <c r="AX581" s="53">
        <v>0.77777777777777779</v>
      </c>
      <c r="AY581" s="53">
        <v>0.83561643835616439</v>
      </c>
      <c r="AZ581" s="53">
        <v>0.94736842105263153</v>
      </c>
      <c r="BA581" s="53"/>
      <c r="BB581" s="53"/>
      <c r="BC581" s="53"/>
      <c r="BD581" s="53"/>
      <c r="BE581" s="53"/>
      <c r="BF581" s="53"/>
      <c r="BG581" s="53"/>
      <c r="BH581" s="53"/>
      <c r="BI581" s="53"/>
      <c r="BJ581" s="53"/>
      <c r="BK581" s="53"/>
      <c r="BL581" s="53"/>
      <c r="BM581" s="53"/>
      <c r="BN581" s="53"/>
      <c r="BO581" s="53"/>
      <c r="BP581" s="53"/>
      <c r="BQ581" s="53"/>
      <c r="BR581" s="53"/>
      <c r="BS581" s="53"/>
      <c r="BT581" s="53"/>
      <c r="BU581" s="53"/>
      <c r="BV581" s="53"/>
      <c r="BW581" s="53"/>
      <c r="BX581" s="53"/>
      <c r="BY581" s="53"/>
      <c r="BZ581" s="53"/>
      <c r="CA581" s="53"/>
      <c r="CB581" s="53"/>
      <c r="CC581" s="53"/>
      <c r="CD581" s="53"/>
      <c r="CE581" s="53"/>
      <c r="CF581" s="53"/>
      <c r="CG581" s="53"/>
      <c r="CH581" s="53"/>
      <c r="CI581" s="53"/>
      <c r="CJ581" s="53"/>
      <c r="CK581" s="53"/>
      <c r="CL581" s="53"/>
      <c r="CM581" s="53"/>
      <c r="CN581" s="53"/>
      <c r="CO581" s="53"/>
      <c r="CP581" s="53"/>
      <c r="CQ581" s="53"/>
      <c r="CR581" s="1"/>
      <c r="CS581" s="1"/>
      <c r="CT581" s="1"/>
      <c r="CU581" s="1"/>
    </row>
    <row r="582" spans="1:99" s="13" customFormat="1" ht="12" customHeight="1" x14ac:dyDescent="0.2">
      <c r="A582" s="65">
        <v>43897</v>
      </c>
      <c r="B582" s="1"/>
      <c r="C582" s="1"/>
      <c r="D582" s="60"/>
      <c r="E582" s="76"/>
      <c r="F582" s="60"/>
      <c r="G582" s="60"/>
      <c r="H582" s="60"/>
      <c r="I582" s="60"/>
      <c r="J582" s="60"/>
      <c r="K582" s="64"/>
      <c r="L582" s="64"/>
      <c r="M582" s="60"/>
      <c r="N582" s="61"/>
      <c r="O582" s="60"/>
      <c r="P582" s="60"/>
      <c r="Q582" s="60"/>
      <c r="R582" s="60"/>
      <c r="S582" s="60"/>
      <c r="T582" s="60"/>
      <c r="U582" s="60"/>
      <c r="V582" s="60"/>
      <c r="W582" s="60"/>
      <c r="X582" s="60"/>
      <c r="Y582" s="76"/>
      <c r="Z582" s="60"/>
      <c r="AA582" s="60"/>
      <c r="AB582" s="60"/>
      <c r="AC582" s="56"/>
      <c r="AD582" s="60"/>
      <c r="AE582" s="60"/>
      <c r="AF582" s="80"/>
      <c r="AG582" s="56"/>
      <c r="AH582" s="4"/>
      <c r="AI582" s="56"/>
      <c r="AJ582" s="109"/>
      <c r="AK582" s="56"/>
      <c r="AL582" s="56"/>
      <c r="AM582" s="56"/>
      <c r="AN582" s="56"/>
      <c r="AO582" s="82"/>
      <c r="AP582" s="82"/>
      <c r="AQ582" s="83"/>
      <c r="AR582" s="116"/>
      <c r="AS582" s="84"/>
      <c r="AT582" s="84"/>
      <c r="AU582" s="3"/>
      <c r="AV582" s="25">
        <v>409968000</v>
      </c>
      <c r="AW582" s="25">
        <v>725328000</v>
      </c>
      <c r="AX582" s="25">
        <v>1040688000</v>
      </c>
      <c r="AY582" s="25">
        <v>1356048000</v>
      </c>
      <c r="AZ582" s="53"/>
      <c r="BA582" s="53"/>
      <c r="BB582" s="53"/>
      <c r="BC582" s="53"/>
      <c r="BD582" s="53"/>
      <c r="BE582" s="53"/>
      <c r="BF582" s="53"/>
      <c r="BG582" s="53"/>
      <c r="BH582" s="53"/>
      <c r="BI582" s="53"/>
      <c r="BJ582" s="53"/>
      <c r="BK582" s="53"/>
      <c r="BL582" s="53"/>
      <c r="BM582" s="53"/>
      <c r="BN582" s="53"/>
      <c r="BO582" s="53"/>
      <c r="BP582" s="53"/>
      <c r="BQ582" s="53"/>
      <c r="BR582" s="53"/>
      <c r="BS582" s="53"/>
      <c r="BT582" s="53"/>
      <c r="BU582" s="53"/>
      <c r="BV582" s="53"/>
      <c r="BW582" s="53"/>
      <c r="BX582" s="53"/>
      <c r="BY582" s="53"/>
      <c r="BZ582" s="53"/>
      <c r="CA582" s="53"/>
      <c r="CB582" s="53"/>
      <c r="CC582" s="53"/>
      <c r="CD582" s="53"/>
      <c r="CE582" s="53"/>
      <c r="CF582" s="53"/>
      <c r="CG582" s="53"/>
      <c r="CH582" s="53"/>
      <c r="CI582" s="53"/>
      <c r="CJ582" s="53"/>
      <c r="CK582" s="53"/>
      <c r="CL582" s="53"/>
      <c r="CM582" s="53"/>
      <c r="CN582" s="53"/>
      <c r="CO582" s="53"/>
      <c r="CP582" s="53"/>
      <c r="CQ582" s="53"/>
      <c r="CR582" s="1"/>
      <c r="CS582" s="1"/>
      <c r="CT582" s="1"/>
      <c r="CU582" s="1"/>
    </row>
    <row r="583" spans="1:99" s="13" customFormat="1" ht="12" customHeight="1" x14ac:dyDescent="0.2">
      <c r="A583" s="65">
        <v>43897</v>
      </c>
      <c r="B583" s="1" t="s">
        <v>404</v>
      </c>
      <c r="C583" s="1" t="s">
        <v>405</v>
      </c>
      <c r="D583" s="60">
        <v>1988</v>
      </c>
      <c r="E583" s="76">
        <v>1</v>
      </c>
      <c r="F583" s="60">
        <v>36</v>
      </c>
      <c r="G583" s="60">
        <v>36</v>
      </c>
      <c r="H583" s="60" t="s">
        <v>44</v>
      </c>
      <c r="I583" s="60" t="s">
        <v>330</v>
      </c>
      <c r="J583" s="60" t="s">
        <v>406</v>
      </c>
      <c r="K583" s="60">
        <f>IF(J583="syllables",1,IF(J583="trigrams",2,IF(J583="strings",3,IF(J583="visual array",4,IF(J583="characters",5,IF(J583="letters",6,IF(J583="free forms",7,IF(J583="odors",8,IF(J583="words",9,IF(J583="pictures",10,IF(J583="object pictures",11,IF(J583="faces",12,IF(J583="names",13,IF(J583="idioms",14,IF(J583="grades",15,IF(J583="syllable-digit pairs",16,IF(J583="trigram-word pairs",17,IF(J583="word-digit pairs",18,IF(J583="English-Swahili pairs",19,IF(J583="spatial position",20,IF(J583="word pairs",21,IF(J583="word triads",22,IF(J583="generated words",23,IF(J583="word definition pairs",24,IF(J583="math problems",25,IF(J583="famous faces",26,IF(J583="famous names",27,IF(J583="famous voices",28,IF(J583="television programs",29,IF(J583="race horses",30,IF(J583="new vocabulary",31,IF(J583="sentences",32,IF(J583="concepts",33,IF(J583="ad slides",34,IF(J583="scenes",35,IF(J583="famous scenes",36,IF(J583="poems",37,IF(J583="walk",38,IF(J583="faces and events",39,IF(J583="events and names",40,IF(J583="flashbulb",41,IF(J583="stories",42,IF(J583="course material",43,IF(J583="autobiographical",44,IF(J583="novels",45,IF(J583="public events",46,"99"))))))))))))))))))))))))))))))))))))))))))))))</f>
        <v>36</v>
      </c>
      <c r="L583" s="60">
        <f>IF(J583="syllables",1,IF(J583="trigrams",1,IF(J583="strings",1,IF(J583="visual array",1,IF(J583="characters",1,IF(J583="letters",1,IF(J583="free forms",1,IF(J583="odors",2,IF(J583="words",2,IF(J583="pictures",2,IF(J583="object pictures",2,IF(J583="faces",2,IF(J583="names",2,IF(J583="idioms","2",IF(J583="grades",2,IF(J583="syllable-digit pairs",3,IF(J583="trigram-word pairs",3,IF(J583="word-digit pairs",3,IF(J583="English-Swahili pairs",3,IF(J583="spatial position",3,IF(J583="word pairs",4,IF(J583="word triads",4,IF(J583="generated words",4,IF(J583="word definition pairs",4,IF(J583="math problems",4,IF(J583="famous faces",4,IF(J583="famous names",4,IF(J583="famous voices",4,IF(J583="television programs",4,IF(J583="race horses",4,IF(J583="new vocabulary",4,IF(J583="sentences",5,IF(J583="concepts",5,IF(J583="ad slides",5,IF(J583="scenes",5,IF(J583="famous scenes",5,IF(J583="poems",6,IF(J583="walk",6,IF(J583="faces and events",6,IF(J583="events and names",6,IF(J583="flashbulb",7,IF(J583="stories",7,IF(J583="course material",7,IF(J583="autobiographical",7,IF(J583="novels",7,IF(J583="public events",7,"99"))))))))))))))))))))))))))))))))))))))))))))))</f>
        <v>5</v>
      </c>
      <c r="M583" s="60">
        <v>1</v>
      </c>
      <c r="N583" s="61">
        <v>2</v>
      </c>
      <c r="O583" s="60">
        <v>0</v>
      </c>
      <c r="P583" s="60"/>
      <c r="Q583" s="60" t="s">
        <v>182</v>
      </c>
      <c r="R583" s="60">
        <f>IF(Q583="Free Recall",1,IF(Q583="Cued Recall",2,IF(Q583="Recognition",3,IF(Q583="Multiple Choice",4,IF(Q583="Savings",5,IF(Q583="Stem Completion",6,IF(Q583="Fragment Completion",7,IF(Q583="anagram solution",8,IF(Q583="Matching",9,IF(Q583="Problem Solving",10,"99"))))))))))</f>
        <v>4</v>
      </c>
      <c r="S583" s="60" t="s">
        <v>15</v>
      </c>
      <c r="T583" s="59" t="s">
        <v>581</v>
      </c>
      <c r="U583" s="60">
        <f>IF(T583="within",1,0)</f>
        <v>1</v>
      </c>
      <c r="V583" s="59">
        <v>20</v>
      </c>
      <c r="W583" s="60">
        <f>F583*V583</f>
        <v>720</v>
      </c>
      <c r="X583" s="60">
        <v>4</v>
      </c>
      <c r="Y583" s="76">
        <f>AV582</f>
        <v>409968000</v>
      </c>
      <c r="Z583" s="59" t="s">
        <v>426</v>
      </c>
      <c r="AA583" s="60">
        <f>43*365*24*60*60</f>
        <v>1356048000</v>
      </c>
      <c r="AB583" s="60" t="str">
        <f>IF(AA583&lt;60,"1",IF(AA583&lt;=43200,"2",IF(AA583&lt;=777600,"3","4")))</f>
        <v>4</v>
      </c>
      <c r="AC583" s="56">
        <f>AVERAGE(AV582:DA582)</f>
        <v>883008000</v>
      </c>
      <c r="AD583" s="60" t="str">
        <f>IF(AC583&lt;60,"1",IF(AC583&lt;=43200,"2",IF(AC583&lt;=777600,"3","4")))</f>
        <v>4</v>
      </c>
      <c r="AE583" s="76">
        <f>AA583-Y583</f>
        <v>946080000</v>
      </c>
      <c r="AF583" s="80">
        <f>AV583</f>
        <v>0.76190476190476186</v>
      </c>
      <c r="AG583" s="56">
        <f>((AW583-AV583)+(AX583-AW583)+(AY583-AX583))/3</f>
        <v>-1.1544011544011523E-2</v>
      </c>
      <c r="AH583" s="4"/>
      <c r="AI583" s="56">
        <f>RSQ(AV583:AY583,AV582:AY582)</f>
        <v>0.20149143832788816</v>
      </c>
      <c r="AJ583" s="109">
        <f>SLOPE(AV583:AY583,AV582:AY582)</f>
        <v>-2.2283395322902891E-11</v>
      </c>
      <c r="AK583" s="56">
        <f>INTERCEPT(AV583:AY583,AV582:AY582)</f>
        <v>0.76037658573310751</v>
      </c>
      <c r="AL583" s="56">
        <f>INDEX(LINEST(LN(AV583:AY583),LN(AV582:AY582),TRUE,TRUE),3,1)</f>
        <v>0.25001965859319286</v>
      </c>
      <c r="AM583" s="56">
        <f>INDEX(LINEST(LN(AV583:AY583),LN(AV582:AY582)),1)</f>
        <v>-2.6354258413484558E-2</v>
      </c>
      <c r="AN583" s="56">
        <f>EXP(INDEX(LINEST(LN(AV583:AY583),LN(AV582:AY582)),1,2))</f>
        <v>1.2712320424441965</v>
      </c>
      <c r="AO583" s="82">
        <f>INDEX(LINEST((AV583:AY583),LN(AV582:AY582),TRUE,TRUE),3,1)</f>
        <v>0.25446415807945993</v>
      </c>
      <c r="AP583" s="82">
        <f>INDEX(LINEST((AV583:AY583),LN(AV582:AY582)),1)</f>
        <v>-1.9693089165495056E-2</v>
      </c>
      <c r="AQ583" s="83">
        <f>INDEX(LINEST(LN(AV583:AY583),SQRT(AV582:AY582),TRUE,TRUE),3,1)</f>
        <v>0.22188431485114365</v>
      </c>
      <c r="AR583" s="116">
        <f>INDEX(LINEST(LN(AV583:AY583),SQRT((AV582:AY582))),1)</f>
        <v>-1.8014999352672312E-6</v>
      </c>
      <c r="AS583" s="84">
        <f>INDEX(LINEST(1/(AV583:AY583),1/(SQRT(AV582:AY582)),TRUE,TRUE),3,1)</f>
        <v>0.2756364259565709</v>
      </c>
      <c r="AT583" s="84">
        <f>INDEX(LINEST(1/(AV583:AY583),1/SQRT(AV582:AY582)),1)</f>
        <v>-1989.5513174670496</v>
      </c>
      <c r="AU583" s="3"/>
      <c r="AV583" s="27">
        <v>0.76190476190476186</v>
      </c>
      <c r="AW583" s="27">
        <v>0.72000000000000008</v>
      </c>
      <c r="AX583" s="27">
        <v>0.75362318840579723</v>
      </c>
      <c r="AY583" s="27">
        <v>0.72727272727272729</v>
      </c>
      <c r="AZ583" s="53"/>
      <c r="BA583" s="53"/>
      <c r="BB583" s="53"/>
      <c r="BC583" s="53"/>
      <c r="BD583" s="53"/>
      <c r="BE583" s="53"/>
      <c r="BF583" s="53"/>
      <c r="BG583" s="53"/>
      <c r="BH583" s="53"/>
      <c r="BI583" s="53"/>
      <c r="BJ583" s="53"/>
      <c r="BK583" s="53"/>
      <c r="BL583" s="53"/>
      <c r="BM583" s="53"/>
      <c r="BN583" s="53"/>
      <c r="BO583" s="53"/>
      <c r="BP583" s="53"/>
      <c r="BQ583" s="53"/>
      <c r="BR583" s="53"/>
      <c r="BS583" s="53"/>
      <c r="BT583" s="53"/>
      <c r="BU583" s="53"/>
      <c r="BV583" s="53"/>
      <c r="BW583" s="53"/>
      <c r="BX583" s="53"/>
      <c r="BY583" s="53"/>
      <c r="BZ583" s="53"/>
      <c r="CA583" s="53"/>
      <c r="CB583" s="53"/>
      <c r="CC583" s="53"/>
      <c r="CD583" s="53"/>
      <c r="CE583" s="53"/>
      <c r="CF583" s="53"/>
      <c r="CG583" s="53"/>
      <c r="CH583" s="53"/>
      <c r="CI583" s="53"/>
      <c r="CJ583" s="53"/>
      <c r="CK583" s="53"/>
      <c r="CL583" s="53"/>
      <c r="CM583" s="53"/>
      <c r="CN583" s="53"/>
      <c r="CO583" s="53"/>
      <c r="CP583" s="53"/>
      <c r="CQ583" s="53"/>
      <c r="CR583" s="1"/>
      <c r="CS583" s="1"/>
      <c r="CT583" s="1"/>
      <c r="CU583" s="1"/>
    </row>
    <row r="584" spans="1:99" s="13" customFormat="1" ht="12" customHeight="1" x14ac:dyDescent="0.2">
      <c r="A584" s="68">
        <v>43897</v>
      </c>
      <c r="B584" s="70"/>
      <c r="C584" s="70"/>
      <c r="D584" s="69"/>
      <c r="E584" s="87"/>
      <c r="F584" s="69"/>
      <c r="G584" s="69"/>
      <c r="H584" s="69"/>
      <c r="I584" s="69"/>
      <c r="J584" s="69"/>
      <c r="K584" s="107"/>
      <c r="L584" s="107"/>
      <c r="M584" s="69"/>
      <c r="N584" s="86"/>
      <c r="O584" s="69"/>
      <c r="P584" s="69"/>
      <c r="Q584" s="69"/>
      <c r="R584" s="69"/>
      <c r="S584" s="69"/>
      <c r="T584" s="69"/>
      <c r="U584" s="60"/>
      <c r="V584" s="69"/>
      <c r="W584" s="69"/>
      <c r="X584" s="69"/>
      <c r="Y584" s="87"/>
      <c r="Z584" s="92"/>
      <c r="AA584" s="92"/>
      <c r="AB584" s="69"/>
      <c r="AC584" s="72"/>
      <c r="AD584" s="69"/>
      <c r="AE584" s="69"/>
      <c r="AF584" s="88"/>
      <c r="AG584" s="72"/>
      <c r="AH584" s="4"/>
      <c r="AI584" s="72"/>
      <c r="AJ584" s="110"/>
      <c r="AK584" s="72"/>
      <c r="AL584" s="72"/>
      <c r="AM584" s="72"/>
      <c r="AN584" s="72"/>
      <c r="AO584" s="89"/>
      <c r="AP584" s="89"/>
      <c r="AQ584" s="90"/>
      <c r="AR584" s="117"/>
      <c r="AS584" s="91"/>
      <c r="AT584" s="91"/>
      <c r="AU584" s="3"/>
      <c r="AV584" s="71">
        <v>94608000</v>
      </c>
      <c r="AW584" s="71">
        <v>315360000</v>
      </c>
      <c r="AX584" s="71">
        <v>630720000</v>
      </c>
      <c r="AY584" s="71">
        <v>646080000</v>
      </c>
      <c r="AZ584" s="71">
        <v>12614400000</v>
      </c>
      <c r="BA584" s="53"/>
      <c r="BB584" s="53"/>
      <c r="BC584" s="53"/>
      <c r="BD584" s="53"/>
      <c r="BE584" s="53"/>
      <c r="BF584" s="53"/>
      <c r="BG584" s="53"/>
      <c r="BH584" s="53"/>
      <c r="BI584" s="53"/>
      <c r="BJ584" s="53"/>
      <c r="BK584" s="53"/>
      <c r="BL584" s="53"/>
      <c r="BM584" s="53"/>
      <c r="BN584" s="53"/>
      <c r="BO584" s="53"/>
      <c r="BP584" s="53"/>
      <c r="BQ584" s="53"/>
      <c r="BR584" s="53"/>
      <c r="BS584" s="53"/>
      <c r="BT584" s="53"/>
      <c r="BU584" s="53"/>
      <c r="BV584" s="53"/>
      <c r="BW584" s="53"/>
      <c r="BX584" s="53"/>
      <c r="BY584" s="53"/>
      <c r="BZ584" s="53"/>
      <c r="CA584" s="53"/>
      <c r="CB584" s="53"/>
      <c r="CC584" s="53"/>
      <c r="CD584" s="53"/>
      <c r="CE584" s="53"/>
      <c r="CF584" s="53"/>
      <c r="CG584" s="53"/>
      <c r="CH584" s="53"/>
      <c r="CI584" s="53"/>
      <c r="CJ584" s="53"/>
      <c r="CK584" s="53"/>
      <c r="CL584" s="53"/>
      <c r="CM584" s="53"/>
      <c r="CN584" s="53"/>
      <c r="CO584" s="53"/>
      <c r="CP584" s="53"/>
      <c r="CQ584" s="53"/>
      <c r="CR584" s="1"/>
      <c r="CS584" s="1"/>
      <c r="CT584" s="1"/>
      <c r="CU584" s="1"/>
    </row>
    <row r="585" spans="1:99" s="13" customFormat="1" ht="12" customHeight="1" x14ac:dyDescent="0.2">
      <c r="A585" s="68">
        <v>43897</v>
      </c>
      <c r="B585" s="70" t="s">
        <v>407</v>
      </c>
      <c r="C585" s="70" t="s">
        <v>408</v>
      </c>
      <c r="D585" s="69">
        <v>1988</v>
      </c>
      <c r="E585" s="87">
        <v>1</v>
      </c>
      <c r="F585" s="69">
        <v>14</v>
      </c>
      <c r="G585" s="69">
        <v>14</v>
      </c>
      <c r="H585" s="69" t="s">
        <v>41</v>
      </c>
      <c r="I585" s="69" t="s">
        <v>330</v>
      </c>
      <c r="J585" s="69" t="s">
        <v>403</v>
      </c>
      <c r="K585" s="69">
        <f>IF(J585="syllables",1,IF(J585="trigrams",2,IF(J585="strings",3,IF(J585="visual array",4,IF(J585="characters",5,IF(J585="letters",6,IF(J585="free forms",7,IF(J585="odors",8,IF(J585="words",9,IF(J585="pictures",10,IF(J585="object pictures",11,IF(J585="faces",12,IF(J585="names",13,IF(J585="idioms",14,IF(J585="grades",15,IF(J585="syllable-digit pairs",16,IF(J585="trigram-word pairs",17,IF(J585="word-digit pairs",18,IF(J585="English-Swahili pairs",19,IF(J585="spatial position",20,IF(J585="word pairs",21,IF(J585="word triads",22,IF(J585="generated words",23,IF(J585="word definition pairs",24,IF(J585="math problems",25,IF(J585="famous faces",26,IF(J585="famous names",27,IF(J585="famous voices",28,IF(J585="television programs",29,IF(J585="race horses",30,IF(J585="new vocabulary",31,IF(J585="sentences",32,IF(J585="concepts",33,IF(J585="ad slides",34,IF(J585="scenes",35,IF(J585="famous scenes",36,IF(J585="poems",37,IF(J585="walk",38,IF(J585="faces and events",39,IF(J585="events and names",40,IF(J585="flashbulb",41,IF(J585="stories",42,IF(J585="course material",43,IF(J585="autobiographical",44,IF(J585="novels",45,IF(J585="public events",46,"99"))))))))))))))))))))))))))))))))))))))))))))))</f>
        <v>40</v>
      </c>
      <c r="L585" s="69">
        <f>IF(J585="syllables",1,IF(J585="trigrams",1,IF(J585="strings",1,IF(J585="visual array",1,IF(J585="characters",1,IF(J585="letters",1,IF(J585="free forms",1,IF(J585="odors",2,IF(J585="words",2,IF(J585="pictures",2,IF(J585="object pictures",2,IF(J585="faces",2,IF(J585="names",2,IF(J585="idioms","2",IF(J585="grades",2,IF(J585="syllable-digit pairs",3,IF(J585="trigram-word pairs",3,IF(J585="word-digit pairs",3,IF(J585="English-Swahili pairs",3,IF(J585="spatial position",3,IF(J585="word pairs",4,IF(J585="word triads",4,IF(J585="generated words",4,IF(J585="word definition pairs",4,IF(J585="math problems",4,IF(J585="famous faces",4,IF(J585="famous names",4,IF(J585="famous voices",4,IF(J585="television programs",4,IF(J585="race horses",4,IF(J585="new vocabulary",4,IF(J585="sentences",5,IF(J585="concepts",5,IF(J585="ad slides",5,IF(J585="scenes",5,IF(J585="famous scenes",5,IF(J585="poems",6,IF(J585="walk",6,IF(J585="faces and events",6,IF(J585="events and names",6,IF(J585="flashbulb",7,IF(J585="stories",7,IF(J585="course material",7,IF(J585="autobiographical",7,IF(J585="novels",7,IF(J585="public events",7,"99"))))))))))))))))))))))))))))))))))))))))))))))</f>
        <v>6</v>
      </c>
      <c r="M585" s="69">
        <v>1</v>
      </c>
      <c r="N585" s="86">
        <v>3</v>
      </c>
      <c r="O585" s="69">
        <v>0</v>
      </c>
      <c r="P585" s="69"/>
      <c r="Q585" s="69" t="s">
        <v>34</v>
      </c>
      <c r="R585" s="69">
        <f>IF(Q585="Free Recall",1,IF(Q585="Cued Recall",2,IF(Q585="Recognition",3,IF(Q585="Multiple Choice",4,IF(Q585="Savings",5,IF(Q585="Stem Completion",6,IF(Q585="Fragment Completion",7,IF(Q585="anagram solution",8,IF(Q585="Matching",9,IF(Q585="Problem Solving",10,"99"))))))))))</f>
        <v>3</v>
      </c>
      <c r="S585" s="69" t="s">
        <v>15</v>
      </c>
      <c r="T585" s="92" t="s">
        <v>581</v>
      </c>
      <c r="U585" s="60">
        <f>IF(T585="within",1,0)</f>
        <v>1</v>
      </c>
      <c r="V585" s="92">
        <v>68</v>
      </c>
      <c r="W585" s="69">
        <f>F585*V585</f>
        <v>952</v>
      </c>
      <c r="X585" s="69">
        <v>5</v>
      </c>
      <c r="Y585" s="87">
        <f>AV584</f>
        <v>94608000</v>
      </c>
      <c r="Z585" s="69" t="s">
        <v>329</v>
      </c>
      <c r="AA585" s="69">
        <f>40*365*24*60*60</f>
        <v>1261440000</v>
      </c>
      <c r="AB585" s="69" t="str">
        <f>IF(AA585&lt;60,"1",IF(AA585&lt;=43200,"2",IF(AA585&lt;=777600,"3","4")))</f>
        <v>4</v>
      </c>
      <c r="AC585" s="72">
        <f>AVERAGE(AV584:DA584)</f>
        <v>2860233600</v>
      </c>
      <c r="AD585" s="69" t="str">
        <f>IF(AC585&lt;60,"1",IF(AC585&lt;=43200,"2",IF(AC585&lt;=777600,"3","4")))</f>
        <v>4</v>
      </c>
      <c r="AE585" s="87">
        <f>AA585-Y585</f>
        <v>1166832000</v>
      </c>
      <c r="AF585" s="88">
        <f>AV585</f>
        <v>0.9</v>
      </c>
      <c r="AG585" s="72">
        <f>((AW585-AV585)+(AX585-AW585)+(AY585-AX585)+(AZ585-AY585))/4</f>
        <v>-1.2500000000000011E-2</v>
      </c>
      <c r="AH585" s="4"/>
      <c r="AI585" s="72">
        <f>RSQ(AV585:AZ585,AV584:AZ584)</f>
        <v>3.0986787524075253E-3</v>
      </c>
      <c r="AJ585" s="110">
        <f>SLOPE(AV585:AZ585,AV584:AZ584)</f>
        <v>3.5771596236695868E-13</v>
      </c>
      <c r="AK585" s="72">
        <f>INTERCEPT(AV585:AZ585,AV584:AZ584)</f>
        <v>0.84297684878518164</v>
      </c>
      <c r="AL585" s="72">
        <f>INDEX(LINEST(LN(AV585:AZ585),LN(AV584:AZ584),TRUE,TRUE),3,1)</f>
        <v>0.10991248877450943</v>
      </c>
      <c r="AM585" s="72">
        <f>INDEX(LINEST(LN(AV585:AZ585),LN(AV584:AZ584)),1)</f>
        <v>-7.5328083028667666E-3</v>
      </c>
      <c r="AN585" s="72">
        <f>EXP(INDEX(LINEST(LN(AV585:AZ585),LN(AV584:AZ584)),1,2))</f>
        <v>0.98314242226785487</v>
      </c>
      <c r="AO585" s="89">
        <f>INDEX(LINEST((AV585:AZ585),LN(AV584:AZ584),TRUE,TRUE),3,1)</f>
        <v>0.11631188509292771</v>
      </c>
      <c r="AP585" s="89">
        <f>INDEX(LINEST((AV585:AZ585),LN(AV584:AZ584)),1)</f>
        <v>-6.6302358825121345E-3</v>
      </c>
      <c r="AQ585" s="90">
        <f>INDEX(LINEST(LN(AV585:AZ585),SQRT(AV584:AZ584),TRUE,TRUE),3,1)</f>
        <v>1.9547026688856938E-3</v>
      </c>
      <c r="AR585" s="117">
        <f>INDEX(LINEST(LN(AV585:AZ585),SQRT((AV584:AZ584))),1)</f>
        <v>-4.3148002452845808E-8</v>
      </c>
      <c r="AS585" s="91">
        <f>INDEX(LINEST(1/(AV585:AZ585),1/(SQRT(AV584:AZ584)),TRUE,TRUE),3,1)</f>
        <v>0.44309014789583995</v>
      </c>
      <c r="AT585" s="91">
        <f>INDEX(LINEST(1/(AV585:AZ585),1/SQRT(AV584:AZ584)),1)</f>
        <v>-928.02701018304992</v>
      </c>
      <c r="AU585" s="3"/>
      <c r="AV585" s="73">
        <v>0.9</v>
      </c>
      <c r="AW585" s="73">
        <v>0.84</v>
      </c>
      <c r="AX585" s="73">
        <v>0.82</v>
      </c>
      <c r="AY585" s="73">
        <v>0.81</v>
      </c>
      <c r="AZ585" s="73">
        <v>0.85</v>
      </c>
      <c r="BA585" s="53"/>
      <c r="BB585" s="53"/>
      <c r="BC585" s="53"/>
      <c r="BD585" s="53"/>
      <c r="BE585" s="53"/>
      <c r="BF585" s="53"/>
      <c r="BG585" s="53"/>
      <c r="BH585" s="53"/>
      <c r="BI585" s="53"/>
      <c r="BJ585" s="53"/>
      <c r="BK585" s="53"/>
      <c r="BL585" s="53"/>
      <c r="BM585" s="53"/>
      <c r="BN585" s="53"/>
      <c r="BO585" s="53"/>
      <c r="BP585" s="53"/>
      <c r="BQ585" s="53"/>
      <c r="BR585" s="53"/>
      <c r="BS585" s="53"/>
      <c r="BT585" s="53"/>
      <c r="BU585" s="53"/>
      <c r="BV585" s="53"/>
      <c r="BW585" s="53"/>
      <c r="BX585" s="53"/>
      <c r="BY585" s="53"/>
      <c r="BZ585" s="53"/>
      <c r="CA585" s="53"/>
      <c r="CB585" s="53"/>
      <c r="CC585" s="53"/>
      <c r="CD585" s="53"/>
      <c r="CE585" s="53"/>
      <c r="CF585" s="53"/>
      <c r="CG585" s="53"/>
      <c r="CH585" s="53"/>
      <c r="CI585" s="53"/>
      <c r="CJ585" s="53"/>
      <c r="CK585" s="53"/>
      <c r="CL585" s="53"/>
      <c r="CM585" s="53"/>
      <c r="CN585" s="53"/>
      <c r="CO585" s="53"/>
      <c r="CP585" s="53"/>
      <c r="CQ585" s="53"/>
      <c r="CR585" s="1"/>
      <c r="CS585" s="1"/>
      <c r="CT585" s="1"/>
      <c r="CU585" s="1"/>
    </row>
    <row r="586" spans="1:99" s="13" customFormat="1" ht="12" customHeight="1" x14ac:dyDescent="0.2">
      <c r="A586" s="65">
        <v>43509</v>
      </c>
      <c r="B586" s="1"/>
      <c r="C586" s="1"/>
      <c r="D586" s="60"/>
      <c r="E586" s="76"/>
      <c r="F586" s="60"/>
      <c r="G586" s="60"/>
      <c r="H586" s="60"/>
      <c r="I586" s="60"/>
      <c r="J586" s="60"/>
      <c r="K586" s="64"/>
      <c r="L586" s="64"/>
      <c r="M586" s="60"/>
      <c r="N586" s="60"/>
      <c r="O586" s="60"/>
      <c r="P586" s="60"/>
      <c r="Q586" s="60"/>
      <c r="R586" s="60"/>
      <c r="S586" s="60"/>
      <c r="T586" s="60"/>
      <c r="U586" s="60"/>
      <c r="V586" s="60"/>
      <c r="W586" s="60"/>
      <c r="X586" s="60"/>
      <c r="Y586" s="76"/>
      <c r="Z586" s="60"/>
      <c r="AA586" s="60"/>
      <c r="AB586" s="60"/>
      <c r="AC586" s="60"/>
      <c r="AD586" s="60"/>
      <c r="AE586" s="60"/>
      <c r="AF586" s="80"/>
      <c r="AG586" s="56"/>
      <c r="AH586" s="4"/>
      <c r="AI586" s="56"/>
      <c r="AJ586" s="109"/>
      <c r="AK586" s="56"/>
      <c r="AL586" s="56"/>
      <c r="AM586" s="56"/>
      <c r="AN586" s="56"/>
      <c r="AO586" s="56"/>
      <c r="AP586" s="56"/>
      <c r="AQ586" s="56"/>
      <c r="AR586" s="109"/>
      <c r="AS586" s="56"/>
      <c r="AT586" s="56"/>
      <c r="AU586" s="4"/>
      <c r="AV586" s="25">
        <v>90</v>
      </c>
      <c r="AW586" s="25">
        <f>14*24*60*60</f>
        <v>1209600</v>
      </c>
      <c r="AX586" s="25">
        <f>61*24*60*60</f>
        <v>5270400</v>
      </c>
      <c r="AZ586" s="53" t="s">
        <v>529</v>
      </c>
      <c r="BA586" s="53"/>
      <c r="BB586" s="53"/>
      <c r="BC586" s="53"/>
      <c r="BD586" s="53"/>
      <c r="BE586" s="53"/>
      <c r="BF586" s="53"/>
      <c r="BG586" s="53"/>
      <c r="BH586" s="53"/>
      <c r="BI586" s="53"/>
      <c r="BJ586" s="53"/>
      <c r="BK586" s="53"/>
      <c r="BL586" s="53"/>
      <c r="BM586" s="53"/>
      <c r="BN586" s="53"/>
      <c r="BO586" s="53"/>
      <c r="BP586" s="53"/>
      <c r="BQ586" s="53"/>
      <c r="BR586" s="53"/>
      <c r="BS586" s="53"/>
      <c r="BT586" s="53"/>
      <c r="BU586" s="53"/>
      <c r="BV586" s="53"/>
      <c r="BW586" s="53"/>
      <c r="BX586" s="53"/>
      <c r="BY586" s="53"/>
      <c r="BZ586" s="53"/>
      <c r="CA586" s="53"/>
      <c r="CB586" s="53"/>
      <c r="CC586" s="53"/>
      <c r="CD586" s="53"/>
      <c r="CE586" s="53"/>
      <c r="CF586" s="53"/>
      <c r="CG586" s="53"/>
      <c r="CH586" s="53"/>
      <c r="CI586" s="53"/>
      <c r="CJ586" s="53"/>
      <c r="CK586" s="53"/>
      <c r="CL586" s="53"/>
      <c r="CM586" s="53"/>
      <c r="CN586" s="53"/>
      <c r="CO586" s="53"/>
      <c r="CP586" s="53"/>
      <c r="CQ586" s="53"/>
      <c r="CR586" s="1"/>
      <c r="CS586" s="1"/>
      <c r="CT586" s="1"/>
      <c r="CU586" s="1"/>
    </row>
    <row r="587" spans="1:99" s="13" customFormat="1" ht="12" customHeight="1" x14ac:dyDescent="0.2">
      <c r="A587" s="65">
        <v>43509</v>
      </c>
      <c r="B587" s="22" t="s">
        <v>194</v>
      </c>
      <c r="C587" s="1" t="s">
        <v>75</v>
      </c>
      <c r="D587" s="60">
        <v>2002</v>
      </c>
      <c r="E587" s="76">
        <v>1</v>
      </c>
      <c r="F587" s="60">
        <v>60</v>
      </c>
      <c r="G587" s="60">
        <v>20</v>
      </c>
      <c r="H587" s="60" t="s">
        <v>22</v>
      </c>
      <c r="I587" s="60" t="s">
        <v>807</v>
      </c>
      <c r="J587" s="60" t="s">
        <v>16</v>
      </c>
      <c r="K587" s="60">
        <f>IF(J587="syllables",1,IF(J587="trigrams",2,IF(J587="strings",3,IF(J587="visual array",4,IF(J587="characters",5,IF(J587="letters",6,IF(J587="free forms",7,IF(J587="odors",8,IF(J587="words",9,IF(J587="pictures",10,IF(J587="object pictures",11,IF(J587="faces",12,IF(J587="names",13,IF(J587="idioms",14,IF(J587="grades",15,IF(J587="syllable-digit pairs",16,IF(J587="trigram-word pairs",17,IF(J587="word-digit pairs",18,IF(J587="English-Swahili pairs",19,IF(J587="spatial position",20,IF(J587="word pairs",21,IF(J587="word triads",22,IF(J587="generated words",23,IF(J587="word definition pairs",24,IF(J587="math problems",25,IF(J587="famous faces",26,IF(J587="famous names",27,IF(J587="famous voices",28,IF(J587="television programs",29,IF(J587="race horses",30,IF(J587="new vocabulary",31,IF(J587="sentences",32,IF(J587="concepts",33,IF(J587="ad slides",34,IF(J587="scenes",35,IF(J587="famous scenes",36,IF(J587="poems",37,IF(J587="walk",38,IF(J587="faces and events",39,IF(J587="events and names",40,IF(J587="flashbulb",41,IF(J587="stories",42,IF(J587="course material",43,IF(J587="autobiographical",44,IF(J587="novels",45,IF(J587="public events",46,"99"))))))))))))))))))))))))))))))))))))))))))))))</f>
        <v>9</v>
      </c>
      <c r="L587" s="60">
        <f>IF(J587="syllables",1,IF(J587="trigrams",1,IF(J587="strings",1,IF(J587="visual array",1,IF(J587="characters",1,IF(J587="letters",1,IF(J587="free forms",1,IF(J587="odors",2,IF(J587="words",2,IF(J587="pictures",2,IF(J587="object pictures",2,IF(J587="faces",2,IF(J587="names",2,IF(J587="idioms","2",IF(J587="grades",2,IF(J587="syllable-digit pairs",3,IF(J587="trigram-word pairs",3,IF(J587="word-digit pairs",3,IF(J587="English-Swahili pairs",3,IF(J587="spatial position",3,IF(J587="word pairs",4,IF(J587="word triads",4,IF(J587="generated words",4,IF(J587="word definition pairs",4,IF(J587="math problems",4,IF(J587="famous faces",4,IF(J587="famous names",4,IF(J587="famous voices",4,IF(J587="television programs",4,IF(J587="race horses",4,IF(J587="new vocabulary",4,IF(J587="sentences",5,IF(J587="concepts",5,IF(J587="ad slides",5,IF(J587="scenes",5,IF(J587="famous scenes",5,IF(J587="poems",6,IF(J587="walk",6,IF(J587="faces and events",6,IF(J587="events and names",6,IF(J587="flashbulb",7,IF(J587="stories",7,IF(J587="course material",7,IF(J587="autobiographical",7,IF(J587="novels",7,IF(J587="public events",7,"99"))))))))))))))))))))))))))))))))))))))))))))))</f>
        <v>2</v>
      </c>
      <c r="M587" s="60">
        <v>0</v>
      </c>
      <c r="N587" s="60">
        <v>1</v>
      </c>
      <c r="O587" s="60">
        <v>0</v>
      </c>
      <c r="P587" s="60"/>
      <c r="Q587" s="60" t="s">
        <v>174</v>
      </c>
      <c r="R587" s="60">
        <f>IF(Q587="Free Recall",1,IF(Q587="Cued Recall",2,IF(Q587="Recognition",3,IF(Q587="Multiple Choice",4,IF(Q587="Savings",5,IF(Q587="Stem Completion",6,IF(Q587="Fragment Completion",7,IF(Q587="anagram solution",8,IF(Q587="Matching",9,IF(Q587="Problem Solving",10,"99"))))))))))</f>
        <v>1</v>
      </c>
      <c r="S587" s="60" t="s">
        <v>49</v>
      </c>
      <c r="T587" s="60" t="s">
        <v>261</v>
      </c>
      <c r="U587" s="60">
        <f>IF(T587="within",1,0)</f>
        <v>0</v>
      </c>
      <c r="V587" s="60">
        <v>120</v>
      </c>
      <c r="W587" s="60">
        <f>F587*V587</f>
        <v>7200</v>
      </c>
      <c r="X587" s="60">
        <v>3</v>
      </c>
      <c r="Y587" s="76">
        <f>AV586</f>
        <v>90</v>
      </c>
      <c r="Z587" s="60" t="s">
        <v>193</v>
      </c>
      <c r="AA587" s="76">
        <f>61*24*60*60</f>
        <v>5270400</v>
      </c>
      <c r="AB587" s="60" t="str">
        <f>IF(AA587&lt;60,"1",IF(AA587&lt;=43200,"2",IF(AA587&lt;=777600,"3","4")))</f>
        <v>4</v>
      </c>
      <c r="AC587" s="56">
        <f>AVERAGE(AV586:DA586)</f>
        <v>2160030</v>
      </c>
      <c r="AD587" s="60" t="str">
        <f>IF(AC587&lt;60,"1",IF(AC587&lt;=43200,"2",IF(AC587&lt;=777600,"3","4")))</f>
        <v>4</v>
      </c>
      <c r="AE587" s="76">
        <f>AA587-Y587</f>
        <v>5270310</v>
      </c>
      <c r="AF587" s="80">
        <f>AV587</f>
        <v>0.17</v>
      </c>
      <c r="AG587" s="56">
        <f>((AW587-AV587)+(AX587-AW587))/2</f>
        <v>-6.5000000000000002E-2</v>
      </c>
      <c r="AH587" s="4"/>
      <c r="AI587" s="56">
        <f>RSQ(AV587:AX587,AV586:AX586)</f>
        <v>0.67729594446361285</v>
      </c>
      <c r="AJ587" s="109">
        <f>SLOPE(AV587:AX587,AV586:AX586)</f>
        <v>-2.0291536583229567E-8</v>
      </c>
      <c r="AK587" s="56">
        <f>INTERCEPT(AV587:AX587,AV586:AX586)</f>
        <v>0.13716366109920669</v>
      </c>
      <c r="AL587" s="56">
        <f>INDEX(LINEST(LN(AV587:AX587),LN(AV586:AX586),TRUE,TRUE),3,1)</f>
        <v>0.92897436632640218</v>
      </c>
      <c r="AM587" s="56">
        <f>INDEX(LINEST(LN(AV587:AX587),LN(AV586:AX586)),1)</f>
        <v>-0.11801571386628593</v>
      </c>
      <c r="AN587" s="56">
        <f>EXP(INDEX(LINEST(LN(AV587:AX587),LN(AV586:AX586)),1,2))</f>
        <v>0.29725072268293973</v>
      </c>
      <c r="AO587" s="82">
        <f>INDEX(LINEST((AV587:AX587),LN(AV586:AX586),TRUE,TRUE),3,1)</f>
        <v>0.99035379459268325</v>
      </c>
      <c r="AP587" s="82">
        <f>INDEX(LINEST((AV587:AX587),LN(AV586:AX586)),1)</f>
        <v>-1.1368014258457543E-2</v>
      </c>
      <c r="AQ587" s="83">
        <f>INDEX(LINEST(LN(AV587:AX587),SQRT(AV586:AX586),TRUE,TRUE),3,1)</f>
        <v>0.97565351132566225</v>
      </c>
      <c r="AR587" s="116">
        <f>INDEX(LINEST(LN(AV587:AX587),SQRT((AV586:AX586))),1)</f>
        <v>-6.3022465824387692E-4</v>
      </c>
      <c r="AS587" s="84">
        <f>INDEX(LINEST(1/(AV587:AX587),1/(SQRT(AV586:AX586)),TRUE,TRUE),3,1)</f>
        <v>0.69105493657012895</v>
      </c>
      <c r="AT587" s="84">
        <f>INDEX(LINEST(1/(AV587:AX587),1/SQRT(AV586:AX586)),1)</f>
        <v>-131.72664471131583</v>
      </c>
      <c r="AU587" s="3"/>
      <c r="AV587" s="53">
        <v>0.17</v>
      </c>
      <c r="AW587" s="53">
        <v>7.0000000000000007E-2</v>
      </c>
      <c r="AX587" s="53">
        <v>0.04</v>
      </c>
      <c r="AY587" s="53"/>
      <c r="AZ587" s="53"/>
      <c r="BA587" s="53"/>
      <c r="BB587" s="53"/>
      <c r="BC587" s="53"/>
      <c r="BD587" s="53"/>
      <c r="BE587" s="53"/>
      <c r="BF587" s="53"/>
      <c r="BG587" s="53"/>
      <c r="BH587" s="53"/>
      <c r="BI587" s="53"/>
      <c r="BJ587" s="53"/>
      <c r="BK587" s="53"/>
      <c r="BL587" s="53"/>
      <c r="BM587" s="53"/>
      <c r="BN587" s="53"/>
      <c r="BO587" s="53"/>
      <c r="BP587" s="53"/>
      <c r="BQ587" s="53"/>
      <c r="BR587" s="53"/>
      <c r="BS587" s="53"/>
      <c r="BT587" s="53"/>
      <c r="BU587" s="53"/>
      <c r="BV587" s="53"/>
      <c r="BW587" s="53"/>
      <c r="BX587" s="53"/>
      <c r="BY587" s="53"/>
      <c r="BZ587" s="53"/>
      <c r="CA587" s="53"/>
      <c r="CB587" s="53"/>
      <c r="CC587" s="53"/>
      <c r="CD587" s="53"/>
      <c r="CE587" s="53"/>
      <c r="CF587" s="53"/>
      <c r="CG587" s="53"/>
      <c r="CH587" s="53"/>
      <c r="CI587" s="53"/>
      <c r="CJ587" s="53"/>
      <c r="CK587" s="53"/>
      <c r="CL587" s="53"/>
      <c r="CM587" s="53"/>
      <c r="CN587" s="53"/>
      <c r="CO587" s="53"/>
      <c r="CP587" s="53"/>
      <c r="CQ587" s="53"/>
      <c r="CR587" s="1"/>
      <c r="CS587" s="1"/>
      <c r="CT587" s="1"/>
      <c r="CU587" s="1"/>
    </row>
    <row r="588" spans="1:99" s="13" customFormat="1" ht="12" customHeight="1" x14ac:dyDescent="0.2">
      <c r="A588" s="65">
        <v>43509</v>
      </c>
      <c r="B588" s="1"/>
      <c r="C588" s="1"/>
      <c r="D588" s="60"/>
      <c r="E588" s="76"/>
      <c r="F588" s="60"/>
      <c r="G588" s="60"/>
      <c r="H588" s="60"/>
      <c r="I588" s="60"/>
      <c r="J588" s="60"/>
      <c r="K588" s="64"/>
      <c r="L588" s="64"/>
      <c r="M588" s="60"/>
      <c r="N588" s="60"/>
      <c r="O588" s="60"/>
      <c r="P588" s="60"/>
      <c r="Q588" s="60"/>
      <c r="R588" s="60"/>
      <c r="S588" s="60"/>
      <c r="T588" s="60"/>
      <c r="U588" s="60"/>
      <c r="V588" s="60"/>
      <c r="W588" s="60"/>
      <c r="X588" s="60"/>
      <c r="Y588" s="76"/>
      <c r="Z588" s="60"/>
      <c r="AA588" s="60"/>
      <c r="AB588" s="60"/>
      <c r="AC588" s="60"/>
      <c r="AD588" s="60"/>
      <c r="AE588" s="60"/>
      <c r="AF588" s="80"/>
      <c r="AG588" s="56"/>
      <c r="AH588" s="4"/>
      <c r="AI588" s="56"/>
      <c r="AJ588" s="109"/>
      <c r="AK588" s="56"/>
      <c r="AL588" s="56"/>
      <c r="AM588" s="56"/>
      <c r="AN588" s="56"/>
      <c r="AO588" s="56"/>
      <c r="AP588" s="56"/>
      <c r="AQ588" s="82"/>
      <c r="AR588" s="115"/>
      <c r="AS588" s="82"/>
      <c r="AT588" s="82"/>
      <c r="AU588" s="4"/>
      <c r="AV588" s="25">
        <v>90</v>
      </c>
      <c r="AW588" s="25">
        <f>2*24*60*60</f>
        <v>172800</v>
      </c>
      <c r="AX588" s="25">
        <f>14*24*60*60</f>
        <v>1209600</v>
      </c>
      <c r="AY588" s="25">
        <f>61*24*60*60</f>
        <v>5270400</v>
      </c>
      <c r="AZ588" s="53"/>
      <c r="BA588" s="53"/>
      <c r="BB588" s="53"/>
      <c r="BC588" s="53"/>
      <c r="BD588" s="53"/>
      <c r="BE588" s="53"/>
      <c r="BF588" s="53"/>
      <c r="BG588" s="53"/>
      <c r="BH588" s="53"/>
      <c r="BI588" s="53"/>
      <c r="BJ588" s="53"/>
      <c r="BK588" s="53"/>
      <c r="BL588" s="53"/>
      <c r="BM588" s="53"/>
      <c r="BN588" s="53"/>
      <c r="BO588" s="53"/>
      <c r="BP588" s="53"/>
      <c r="BQ588" s="53"/>
      <c r="BR588" s="53"/>
      <c r="BS588" s="53"/>
      <c r="BT588" s="53"/>
      <c r="BU588" s="53"/>
      <c r="BV588" s="53"/>
      <c r="BW588" s="53"/>
      <c r="BX588" s="53"/>
      <c r="BY588" s="53"/>
      <c r="BZ588" s="53"/>
      <c r="CA588" s="53"/>
      <c r="CB588" s="53"/>
      <c r="CC588" s="53"/>
      <c r="CD588" s="53"/>
      <c r="CE588" s="53"/>
      <c r="CF588" s="53"/>
      <c r="CG588" s="53"/>
      <c r="CH588" s="53"/>
      <c r="CI588" s="53"/>
      <c r="CJ588" s="53"/>
      <c r="CK588" s="53"/>
      <c r="CL588" s="53"/>
      <c r="CM588" s="53"/>
      <c r="CN588" s="53"/>
      <c r="CO588" s="53"/>
      <c r="CP588" s="53"/>
      <c r="CQ588" s="53"/>
      <c r="CR588" s="1"/>
      <c r="CS588" s="1"/>
      <c r="CT588" s="1"/>
      <c r="CU588" s="1"/>
    </row>
    <row r="589" spans="1:99" s="13" customFormat="1" ht="12" customHeight="1" x14ac:dyDescent="0.2">
      <c r="A589" s="65">
        <v>43509</v>
      </c>
      <c r="B589" s="1" t="s">
        <v>194</v>
      </c>
      <c r="C589" s="1" t="s">
        <v>75</v>
      </c>
      <c r="D589" s="60">
        <v>2002</v>
      </c>
      <c r="E589" s="76">
        <v>2</v>
      </c>
      <c r="F589" s="60">
        <v>60</v>
      </c>
      <c r="G589" s="60">
        <v>20</v>
      </c>
      <c r="H589" s="60" t="s">
        <v>38</v>
      </c>
      <c r="I589" s="60" t="s">
        <v>195</v>
      </c>
      <c r="J589" s="60" t="s">
        <v>16</v>
      </c>
      <c r="K589" s="60">
        <f>IF(J589="syllables",1,IF(J589="trigrams",2,IF(J589="strings",3,IF(J589="visual array",4,IF(J589="characters",5,IF(J589="letters",6,IF(J589="free forms",7,IF(J589="odors",8,IF(J589="words",9,IF(J589="pictures",10,IF(J589="object pictures",11,IF(J589="faces",12,IF(J589="names",13,IF(J589="idioms",14,IF(J589="grades",15,IF(J589="syllable-digit pairs",16,IF(J589="trigram-word pairs",17,IF(J589="word-digit pairs",18,IF(J589="English-Swahili pairs",19,IF(J589="spatial position",20,IF(J589="word pairs",21,IF(J589="word triads",22,IF(J589="generated words",23,IF(J589="word definition pairs",24,IF(J589="math problems",25,IF(J589="famous faces",26,IF(J589="famous names",27,IF(J589="famous voices",28,IF(J589="television programs",29,IF(J589="race horses",30,IF(J589="new vocabulary",31,IF(J589="sentences",32,IF(J589="concepts",33,IF(J589="ad slides",34,IF(J589="scenes",35,IF(J589="famous scenes",36,IF(J589="poems",37,IF(J589="walk",38,IF(J589="faces and events",39,IF(J589="events and names",40,IF(J589="flashbulb",41,IF(J589="stories",42,IF(J589="course material",43,IF(J589="autobiographical",44,IF(J589="novels",45,IF(J589="public events",46,"99"))))))))))))))))))))))))))))))))))))))))))))))</f>
        <v>9</v>
      </c>
      <c r="L589" s="60">
        <f>IF(J589="syllables",1,IF(J589="trigrams",1,IF(J589="strings",1,IF(J589="visual array",1,IF(J589="characters",1,IF(J589="letters",1,IF(J589="free forms",1,IF(J589="odors",2,IF(J589="words",2,IF(J589="pictures",2,IF(J589="object pictures",2,IF(J589="faces",2,IF(J589="names",2,IF(J589="idioms","2",IF(J589="grades",2,IF(J589="syllable-digit pairs",3,IF(J589="trigram-word pairs",3,IF(J589="word-digit pairs",3,IF(J589="English-Swahili pairs",3,IF(J589="spatial position",3,IF(J589="word pairs",4,IF(J589="word triads",4,IF(J589="generated words",4,IF(J589="word definition pairs",4,IF(J589="math problems",4,IF(J589="famous faces",4,IF(J589="famous names",4,IF(J589="famous voices",4,IF(J589="television programs",4,IF(J589="race horses",4,IF(J589="new vocabulary",4,IF(J589="sentences",5,IF(J589="concepts",5,IF(J589="ad slides",5,IF(J589="scenes",5,IF(J589="famous scenes",5,IF(J589="poems",6,IF(J589="walk",6,IF(J589="faces and events",6,IF(J589="events and names",6,IF(J589="flashbulb",7,IF(J589="stories",7,IF(J589="course material",7,IF(J589="autobiographical",7,IF(J589="novels",7,IF(J589="public events",7,"99"))))))))))))))))))))))))))))))))))))))))))))))</f>
        <v>2</v>
      </c>
      <c r="M589" s="60">
        <v>0</v>
      </c>
      <c r="N589" s="60">
        <v>1</v>
      </c>
      <c r="O589" s="60">
        <v>0</v>
      </c>
      <c r="P589" s="60"/>
      <c r="Q589" s="60" t="s">
        <v>34</v>
      </c>
      <c r="R589" s="60">
        <f>IF(Q589="Free Recall",1,IF(Q589="Cued Recall",2,IF(Q589="Recognition",3,IF(Q589="Multiple Choice",4,IF(Q589="Savings",5,IF(Q589="Stem Completion",6,IF(Q589="Fragment Completion",7,IF(Q589="anagram solution",8,IF(Q589="Matching",9,IF(Q589="Problem Solving",10,"99"))))))))))</f>
        <v>3</v>
      </c>
      <c r="S589" s="60" t="s">
        <v>15</v>
      </c>
      <c r="T589" s="60" t="s">
        <v>261</v>
      </c>
      <c r="U589" s="60">
        <f>IF(T589="within",1,0)</f>
        <v>0</v>
      </c>
      <c r="V589" s="60">
        <v>48</v>
      </c>
      <c r="W589" s="60">
        <f>F589*V589</f>
        <v>2880</v>
      </c>
      <c r="X589" s="60">
        <v>4</v>
      </c>
      <c r="Y589" s="76">
        <f>AV588</f>
        <v>90</v>
      </c>
      <c r="Z589" s="60" t="s">
        <v>193</v>
      </c>
      <c r="AA589" s="76">
        <f>61*24*60*60</f>
        <v>5270400</v>
      </c>
      <c r="AB589" s="60" t="str">
        <f>IF(AA589&lt;60,"1",IF(AA589&lt;=43200,"2",IF(AA589&lt;=777600,"3","4")))</f>
        <v>4</v>
      </c>
      <c r="AC589" s="56">
        <f>AVERAGE(AV588:DA588)</f>
        <v>1663222.5</v>
      </c>
      <c r="AD589" s="60" t="str">
        <f>IF(AC589&lt;60,"1",IF(AC589&lt;=43200,"2",IF(AC589&lt;=777600,"3","4")))</f>
        <v>4</v>
      </c>
      <c r="AE589" s="76">
        <f>AA589-Y589</f>
        <v>5270310</v>
      </c>
      <c r="AF589" s="80">
        <f>AV589</f>
        <v>0.67</v>
      </c>
      <c r="AG589" s="56">
        <f>((AW589-AV589)+(AX589-AW589)+(AY589-AX589))/3</f>
        <v>-9.0000000000000011E-2</v>
      </c>
      <c r="AH589" s="4"/>
      <c r="AI589" s="56">
        <f>RSQ(AV589:AY589,AV588:AY588)</f>
        <v>0.86495753752910343</v>
      </c>
      <c r="AJ589" s="109">
        <f>SLOPE(AV589:AY589,AV588:AY588)</f>
        <v>-4.3211551135472024E-8</v>
      </c>
      <c r="AK589" s="56">
        <f>INTERCEPT(AV589:AY589,AV588:AY588)</f>
        <v>0.61687042410841764</v>
      </c>
      <c r="AL589" s="56">
        <f>INDEX(LINEST(LN(AV589:AY589),LN(AV588:AY588),TRUE,TRUE),3,1)</f>
        <v>0.72652132030644589</v>
      </c>
      <c r="AM589" s="56">
        <f>INDEX(LINEST(LN(AV589:AY589),LN(AV588:AY588)),1)</f>
        <v>-3.8483309306141564E-2</v>
      </c>
      <c r="AN589" s="56">
        <f>EXP(INDEX(LINEST(LN(AV589:AY589),LN(AV588:AY588)),1,2))</f>
        <v>0.83392734257545109</v>
      </c>
      <c r="AO589" s="82">
        <f>INDEX(LINEST((AV589:AY589),LN(AV588:AY588),TRUE,TRUE),3,1)</f>
        <v>0.79019362712175167</v>
      </c>
      <c r="AP589" s="82">
        <f>INDEX(LINEST((AV589:AY589),LN(AV588:AY588)),1)</f>
        <v>-2.0852821577341994E-2</v>
      </c>
      <c r="AQ589" s="83">
        <f>INDEX(LINEST(LN(AV589:AY589),SQRT(AV588:AY588),TRUE,TRUE),3,1)</f>
        <v>0.99487436923213646</v>
      </c>
      <c r="AR589" s="116">
        <f>INDEX(LINEST(LN(AV589:AY589),SQRT((AV588:AY588))),1)</f>
        <v>-2.1959609843673759E-4</v>
      </c>
      <c r="AS589" s="84">
        <f>INDEX(LINEST(1/(AV589:AY589),1/(SQRT(AV588:AY588)),TRUE,TRUE),3,1)</f>
        <v>0.40792996380958313</v>
      </c>
      <c r="AT589" s="84">
        <f>INDEX(LINEST(1/(AV589:AY589),1/SQRT(AV588:AY588)),1)</f>
        <v>-5.3383651811356305</v>
      </c>
      <c r="AU589" s="3"/>
      <c r="AV589" s="53">
        <v>0.67</v>
      </c>
      <c r="AW589" s="53">
        <v>0.59</v>
      </c>
      <c r="AX589" s="53">
        <v>0.52</v>
      </c>
      <c r="AY589" s="53">
        <v>0.4</v>
      </c>
      <c r="AZ589" s="53"/>
      <c r="BA589" s="53"/>
      <c r="BB589" s="53"/>
      <c r="BC589" s="53"/>
      <c r="BD589" s="53"/>
      <c r="BE589" s="53"/>
      <c r="BF589" s="53"/>
      <c r="BG589" s="53"/>
      <c r="BH589" s="53"/>
      <c r="BI589" s="53"/>
      <c r="BJ589" s="53"/>
      <c r="BK589" s="53"/>
      <c r="BL589" s="53"/>
      <c r="BM589" s="53"/>
      <c r="BN589" s="53"/>
      <c r="BO589" s="53"/>
      <c r="BP589" s="53"/>
      <c r="BQ589" s="53"/>
      <c r="BR589" s="53"/>
      <c r="BS589" s="53"/>
      <c r="BT589" s="53"/>
      <c r="BU589" s="53"/>
      <c r="BV589" s="53"/>
      <c r="BW589" s="53"/>
      <c r="BX589" s="53"/>
      <c r="BY589" s="53"/>
      <c r="BZ589" s="53"/>
      <c r="CA589" s="53"/>
      <c r="CB589" s="53"/>
      <c r="CC589" s="53"/>
      <c r="CD589" s="53"/>
      <c r="CE589" s="53"/>
      <c r="CF589" s="53"/>
      <c r="CG589" s="53"/>
      <c r="CH589" s="53"/>
      <c r="CI589" s="53"/>
      <c r="CJ589" s="53"/>
      <c r="CK589" s="53"/>
      <c r="CL589" s="53"/>
      <c r="CM589" s="53"/>
      <c r="CN589" s="53"/>
      <c r="CO589" s="53"/>
      <c r="CP589" s="53"/>
      <c r="CQ589" s="53"/>
      <c r="CR589" s="1"/>
      <c r="CS589" s="1"/>
      <c r="CT589" s="1"/>
      <c r="CU589" s="1"/>
    </row>
    <row r="590" spans="1:99" s="13" customFormat="1" ht="12" customHeight="1" x14ac:dyDescent="0.2">
      <c r="A590" s="68">
        <v>43509</v>
      </c>
      <c r="B590" s="70"/>
      <c r="C590" s="70"/>
      <c r="D590" s="69"/>
      <c r="E590" s="87"/>
      <c r="F590" s="69"/>
      <c r="G590" s="69"/>
      <c r="H590" s="69"/>
      <c r="I590" s="69"/>
      <c r="J590" s="69"/>
      <c r="K590" s="107"/>
      <c r="L590" s="107"/>
      <c r="M590" s="69"/>
      <c r="N590" s="69"/>
      <c r="O590" s="69"/>
      <c r="P590" s="69"/>
      <c r="Q590" s="69"/>
      <c r="R590" s="69"/>
      <c r="S590" s="69"/>
      <c r="T590" s="69"/>
      <c r="U590" s="60"/>
      <c r="V590" s="69"/>
      <c r="W590" s="69"/>
      <c r="X590" s="69"/>
      <c r="Y590" s="87"/>
      <c r="Z590" s="69"/>
      <c r="AA590" s="69"/>
      <c r="AB590" s="69"/>
      <c r="AC590" s="69"/>
      <c r="AD590" s="69"/>
      <c r="AE590" s="69"/>
      <c r="AF590" s="88"/>
      <c r="AG590" s="72"/>
      <c r="AH590" s="4"/>
      <c r="AI590" s="72"/>
      <c r="AJ590" s="110"/>
      <c r="AK590" s="72"/>
      <c r="AL590" s="72"/>
      <c r="AM590" s="72"/>
      <c r="AN590" s="72"/>
      <c r="AO590" s="72"/>
      <c r="AP590" s="72"/>
      <c r="AQ590" s="89"/>
      <c r="AR590" s="118"/>
      <c r="AS590" s="89"/>
      <c r="AT590" s="89"/>
      <c r="AU590" s="4"/>
      <c r="AV590" s="71">
        <f>24*60*60</f>
        <v>86400</v>
      </c>
      <c r="AW590" s="71">
        <f>30*24*60*60*0.467</f>
        <v>1210464</v>
      </c>
      <c r="AX590" s="71">
        <f>11*7*24*60*60</f>
        <v>6652800</v>
      </c>
      <c r="AY590" s="53"/>
      <c r="AZ590" s="53"/>
      <c r="BA590" s="53"/>
      <c r="BB590" s="53"/>
      <c r="BC590" s="53"/>
      <c r="BD590" s="53"/>
      <c r="BE590" s="53"/>
      <c r="BF590" s="53"/>
      <c r="BG590" s="53"/>
      <c r="BH590" s="53"/>
      <c r="BI590" s="53"/>
      <c r="BJ590" s="53"/>
      <c r="BK590" s="53"/>
      <c r="BL590" s="53"/>
      <c r="BM590" s="53"/>
      <c r="BN590" s="53"/>
      <c r="BO590" s="53"/>
      <c r="BP590" s="53"/>
      <c r="BQ590" s="53"/>
      <c r="BR590" s="53"/>
      <c r="BS590" s="53"/>
      <c r="BT590" s="53"/>
      <c r="BU590" s="53"/>
      <c r="BV590" s="53"/>
      <c r="BW590" s="53"/>
      <c r="BX590" s="53"/>
      <c r="BY590" s="53"/>
      <c r="BZ590" s="53"/>
      <c r="CA590" s="53"/>
      <c r="CB590" s="53"/>
      <c r="CC590" s="53"/>
      <c r="CD590" s="53"/>
      <c r="CE590" s="53"/>
      <c r="CF590" s="53"/>
      <c r="CG590" s="53"/>
      <c r="CH590" s="53"/>
      <c r="CI590" s="53"/>
      <c r="CJ590" s="53"/>
      <c r="CK590" s="53"/>
      <c r="CL590" s="53"/>
      <c r="CM590" s="53"/>
      <c r="CN590" s="53"/>
      <c r="CO590" s="53"/>
      <c r="CP590" s="53"/>
      <c r="CQ590" s="53"/>
      <c r="CR590" s="1"/>
      <c r="CS590" s="1"/>
      <c r="CT590" s="1"/>
      <c r="CU590" s="1"/>
    </row>
    <row r="591" spans="1:99" s="13" customFormat="1" ht="12" customHeight="1" x14ac:dyDescent="0.2">
      <c r="A591" s="68">
        <v>43509</v>
      </c>
      <c r="B591" s="70" t="s">
        <v>196</v>
      </c>
      <c r="C591" s="70" t="s">
        <v>70</v>
      </c>
      <c r="D591" s="69">
        <v>2006</v>
      </c>
      <c r="E591" s="87">
        <v>1</v>
      </c>
      <c r="F591" s="69">
        <v>13</v>
      </c>
      <c r="G591" s="69">
        <v>13</v>
      </c>
      <c r="H591" s="69" t="s">
        <v>30</v>
      </c>
      <c r="I591" s="69" t="s">
        <v>811</v>
      </c>
      <c r="J591" s="69" t="s">
        <v>704</v>
      </c>
      <c r="K591" s="69">
        <f>IF(J591="syllables",1,IF(J591="trigrams",2,IF(J591="strings",3,IF(J591="visual array",4,IF(J591="characters",5,IF(J591="letters",6,IF(J591="free forms",7,IF(J591="odors",8,IF(J591="words",9,IF(J591="pictures",10,IF(J591="object pictures",11,IF(J591="faces",12,IF(J591="names",13,IF(J591="idioms",14,IF(J591="grades",15,IF(J591="syllable-digit pairs",16,IF(J591="trigram-word pairs",17,IF(J591="word-digit pairs",18,IF(J591="English-Swahili pairs",19,IF(J591="spatial position",20,IF(J591="word pairs",21,IF(J591="word triads",22,IF(J591="generated words",23,IF(J591="word definition pairs",24,IF(J591="math problems",25,IF(J591="famous faces",26,IF(J591="famous names",27,IF(J591="famous voices",28,IF(J591="television programs",29,IF(J591="race horses",30,IF(J591="new vocabulary",31,IF(J591="sentences",32,IF(J591="concepts",33,IF(J591="ad slides",34,IF(J591="scenes",35,IF(J591="famous scenes",36,IF(J591="poems",37,IF(J591="walk",38,IF(J591="faces and events",39,IF(J591="events and names",40,IF(J591="flashbulb",41,IF(J591="stories",42,IF(J591="course material",43,IF(J591="autobiographical",44,IF(J591="novels",45,IF(J591="public events",46,"99"))))))))))))))))))))))))))))))))))))))))))))))</f>
        <v>41</v>
      </c>
      <c r="L591" s="69">
        <f>IF(J591="syllables",1,IF(J591="trigrams",1,IF(J591="strings",1,IF(J591="visual array",1,IF(J591="characters",1,IF(J591="letters",1,IF(J591="free forms",1,IF(J591="odors",2,IF(J591="words",2,IF(J591="pictures",2,IF(J591="object pictures",2,IF(J591="faces",2,IF(J591="names",2,IF(J591="idioms","2",IF(J591="grades",2,IF(J591="syllable-digit pairs",3,IF(J591="trigram-word pairs",3,IF(J591="word-digit pairs",3,IF(J591="English-Swahili pairs",3,IF(J591="spatial position",3,IF(J591="word pairs",4,IF(J591="word triads",4,IF(J591="generated words",4,IF(J591="word definition pairs",4,IF(J591="math problems",4,IF(J591="famous faces",4,IF(J591="famous names",4,IF(J591="famous voices",4,IF(J591="television programs",4,IF(J591="race horses",4,IF(J591="new vocabulary",4,IF(J591="sentences",5,IF(J591="concepts",5,IF(J591="ad slides",5,IF(J591="scenes",5,IF(J591="famous scenes",5,IF(J591="poems",6,IF(J591="walk",6,IF(J591="faces and events",6,IF(J591="events and names",6,IF(J591="flashbulb",7,IF(J591="stories",7,IF(J591="course material",7,IF(J591="autobiographical",7,IF(J591="novels",7,IF(J591="public events",7,"99"))))))))))))))))))))))))))))))))))))))))))))))</f>
        <v>7</v>
      </c>
      <c r="M591" s="69">
        <v>1</v>
      </c>
      <c r="N591" s="69">
        <v>4</v>
      </c>
      <c r="O591" s="69">
        <v>0</v>
      </c>
      <c r="P591" s="69"/>
      <c r="Q591" s="69" t="s">
        <v>174</v>
      </c>
      <c r="R591" s="69">
        <f>IF(Q591="Free Recall",1,IF(Q591="Cued Recall",2,IF(Q591="Recognition",3,IF(Q591="Multiple Choice",4,IF(Q591="Savings",5,IF(Q591="Stem Completion",6,IF(Q591="Fragment Completion",7,IF(Q591="anagram solution",8,IF(Q591="Matching",9,IF(Q591="Problem Solving",10,"99"))))))))))</f>
        <v>1</v>
      </c>
      <c r="S591" s="69" t="s">
        <v>49</v>
      </c>
      <c r="T591" s="92" t="s">
        <v>581</v>
      </c>
      <c r="U591" s="60">
        <f>IF(T591="within",1,0)</f>
        <v>1</v>
      </c>
      <c r="V591" s="92">
        <v>3</v>
      </c>
      <c r="W591" s="69">
        <f>F591*V591</f>
        <v>39</v>
      </c>
      <c r="X591" s="69">
        <v>3</v>
      </c>
      <c r="Y591" s="87">
        <f>AV590</f>
        <v>86400</v>
      </c>
      <c r="Z591" s="69" t="s">
        <v>530</v>
      </c>
      <c r="AA591" s="87">
        <f>11*7*24*60*60</f>
        <v>6652800</v>
      </c>
      <c r="AB591" s="69" t="str">
        <f>IF(AA591&lt;60,"1",IF(AA591&lt;=43200,"2",IF(AA591&lt;=777600,"3","4")))</f>
        <v>4</v>
      </c>
      <c r="AC591" s="72">
        <f>AVERAGE(AV590:DA590)</f>
        <v>2649888</v>
      </c>
      <c r="AD591" s="69" t="str">
        <f>IF(AC591&lt;60,"1",IF(AC591&lt;=43200,"2",IF(AC591&lt;=777600,"3","4")))</f>
        <v>4</v>
      </c>
      <c r="AE591" s="87">
        <f>AA591-Y591</f>
        <v>6566400</v>
      </c>
      <c r="AF591" s="88">
        <f>AV591</f>
        <v>1</v>
      </c>
      <c r="AG591" s="72">
        <f>((AW591-AV591)+(AX591-AW591))/2</f>
        <v>-5.7499999999999996E-2</v>
      </c>
      <c r="AH591" s="4"/>
      <c r="AI591" s="72">
        <f>RSQ(AV591:AX591,AV590:AX590)</f>
        <v>0.72123585241556276</v>
      </c>
      <c r="AJ591" s="110">
        <f>SLOPE(AV591:AX591,AV590:AX590)</f>
        <v>-1.4168859068294758E-8</v>
      </c>
      <c r="AK591" s="72">
        <f>INTERCEPT(AV591:AX591,AV590:AX590)</f>
        <v>0.97354588961876543</v>
      </c>
      <c r="AL591" s="72">
        <f>INDEX(LINEST(LN(AV591:AX591),LN(AV590:AX590),TRUE,TRUE),3,1)</f>
        <v>0.99705011781752595</v>
      </c>
      <c r="AM591" s="72">
        <f>INDEX(LINEST(LN(AV591:AX591),LN(AV590:AX590)),1)</f>
        <v>-2.8316122209775682E-2</v>
      </c>
      <c r="AN591" s="72">
        <f>EXP(INDEX(LINEST(LN(AV591:AX591),LN(AV590:AX590)),1,2))</f>
        <v>1.3776054272972009</v>
      </c>
      <c r="AO591" s="89">
        <f>INDEX(LINEST((AV591:AX591),LN(AV590:AX590),TRUE,TRUE),3,1)</f>
        <v>0.9951616711057929</v>
      </c>
      <c r="AP591" s="89">
        <f>INDEX(LINEST((AV591:AX591),LN(AV590:AX590)),1)</f>
        <v>-2.6706079910039749E-2</v>
      </c>
      <c r="AQ591" s="90">
        <f>INDEX(LINEST(LN(AV591:AX591),SQRT(AV590:AX590),TRUE,TRUE),3,1)</f>
        <v>0.88470406692412251</v>
      </c>
      <c r="AR591" s="117">
        <f>INDEX(LINEST(LN(AV591:AX591),SQRT((AV590:AX590))),1)</f>
        <v>-5.0366047579676756E-5</v>
      </c>
      <c r="AS591" s="91">
        <f>INDEX(LINEST(1/(AV591:AX591),1/(SQRT(AV590:AX590)),TRUE,TRUE),3,1)</f>
        <v>0.96107106985339807</v>
      </c>
      <c r="AT591" s="91">
        <f>INDEX(LINEST(1/(AV591:AX591),1/SQRT(AV590:AX590)),1)</f>
        <v>-40.062715685617007</v>
      </c>
      <c r="AU591" s="3"/>
      <c r="AV591" s="73">
        <v>1</v>
      </c>
      <c r="AW591" s="73">
        <v>0.92300000000000004</v>
      </c>
      <c r="AX591" s="73">
        <v>0.88500000000000001</v>
      </c>
      <c r="AY591" s="53"/>
      <c r="AZ591" s="53"/>
      <c r="BA591" s="53"/>
      <c r="BB591" s="53"/>
      <c r="BC591" s="53"/>
      <c r="BD591" s="53"/>
      <c r="BE591" s="53"/>
      <c r="BF591" s="53"/>
      <c r="BG591" s="53"/>
      <c r="BH591" s="53"/>
      <c r="BI591" s="53"/>
      <c r="BJ591" s="53"/>
      <c r="BK591" s="53"/>
      <c r="BL591" s="53"/>
      <c r="BM591" s="53"/>
      <c r="BN591" s="53"/>
      <c r="BO591" s="53"/>
      <c r="BP591" s="53"/>
      <c r="BQ591" s="53"/>
      <c r="BR591" s="53"/>
      <c r="BS591" s="53"/>
      <c r="BT591" s="53"/>
      <c r="BU591" s="53"/>
      <c r="BV591" s="53"/>
      <c r="BW591" s="53"/>
      <c r="BX591" s="53"/>
      <c r="BY591" s="53"/>
      <c r="BZ591" s="53"/>
      <c r="CA591" s="53"/>
      <c r="CB591" s="53"/>
      <c r="CC591" s="53"/>
      <c r="CD591" s="53"/>
      <c r="CE591" s="53"/>
      <c r="CF591" s="53"/>
      <c r="CG591" s="53"/>
      <c r="CH591" s="53"/>
      <c r="CI591" s="53"/>
      <c r="CJ591" s="53"/>
      <c r="CK591" s="53"/>
      <c r="CL591" s="53"/>
      <c r="CM591" s="53"/>
      <c r="CN591" s="53"/>
      <c r="CO591" s="53"/>
      <c r="CP591" s="53"/>
      <c r="CQ591" s="53"/>
      <c r="CR591" s="1"/>
      <c r="CS591" s="1"/>
      <c r="CT591" s="1"/>
      <c r="CU591" s="1"/>
    </row>
    <row r="592" spans="1:99" s="13" customFormat="1" ht="12" customHeight="1" x14ac:dyDescent="0.2">
      <c r="A592" s="68">
        <v>43509</v>
      </c>
      <c r="B592" s="70"/>
      <c r="C592" s="70"/>
      <c r="D592" s="69"/>
      <c r="E592" s="87"/>
      <c r="F592" s="69"/>
      <c r="G592" s="69"/>
      <c r="H592" s="69"/>
      <c r="I592" s="69"/>
      <c r="J592" s="69"/>
      <c r="K592" s="107"/>
      <c r="L592" s="107"/>
      <c r="M592" s="69"/>
      <c r="N592" s="69"/>
      <c r="O592" s="69"/>
      <c r="P592" s="69"/>
      <c r="Q592" s="69"/>
      <c r="R592" s="69"/>
      <c r="S592" s="69"/>
      <c r="T592" s="69"/>
      <c r="U592" s="60"/>
      <c r="V592" s="69"/>
      <c r="W592" s="69"/>
      <c r="X592" s="69"/>
      <c r="Y592" s="87"/>
      <c r="Z592" s="69"/>
      <c r="AA592" s="69"/>
      <c r="AB592" s="69"/>
      <c r="AC592" s="69"/>
      <c r="AD592" s="69"/>
      <c r="AE592" s="69"/>
      <c r="AF592" s="88"/>
      <c r="AG592" s="72"/>
      <c r="AH592" s="4"/>
      <c r="AI592" s="72"/>
      <c r="AJ592" s="110"/>
      <c r="AK592" s="72"/>
      <c r="AL592" s="72"/>
      <c r="AM592" s="72"/>
      <c r="AN592" s="72"/>
      <c r="AO592" s="72"/>
      <c r="AP592" s="72"/>
      <c r="AQ592" s="89"/>
      <c r="AR592" s="118"/>
      <c r="AS592" s="89"/>
      <c r="AT592" s="89"/>
      <c r="AU592" s="4"/>
      <c r="AV592" s="71">
        <f>24*60*60</f>
        <v>86400</v>
      </c>
      <c r="AW592" s="71">
        <f>30*24*60*60*0.467</f>
        <v>1210464</v>
      </c>
      <c r="AX592" s="71">
        <f>11*7*24*60*60</f>
        <v>6652800</v>
      </c>
      <c r="AY592" s="53"/>
      <c r="AZ592" s="53"/>
      <c r="BA592" s="53"/>
      <c r="BB592" s="53"/>
      <c r="BC592" s="53"/>
      <c r="BD592" s="53"/>
      <c r="BE592" s="53"/>
      <c r="BF592" s="53"/>
      <c r="BG592" s="53"/>
      <c r="BH592" s="53"/>
      <c r="BI592" s="53"/>
      <c r="BJ592" s="53"/>
      <c r="BK592" s="53"/>
      <c r="BL592" s="53"/>
      <c r="BM592" s="53"/>
      <c r="BN592" s="53"/>
      <c r="BO592" s="53"/>
      <c r="BP592" s="53"/>
      <c r="BQ592" s="53"/>
      <c r="BR592" s="53"/>
      <c r="BS592" s="53"/>
      <c r="BT592" s="53"/>
      <c r="BU592" s="53"/>
      <c r="BV592" s="53"/>
      <c r="BW592" s="53"/>
      <c r="BX592" s="53"/>
      <c r="BY592" s="53"/>
      <c r="BZ592" s="53"/>
      <c r="CA592" s="53"/>
      <c r="CB592" s="53"/>
      <c r="CC592" s="53"/>
      <c r="CD592" s="53"/>
      <c r="CE592" s="53"/>
      <c r="CF592" s="53"/>
      <c r="CG592" s="53"/>
      <c r="CH592" s="53"/>
      <c r="CI592" s="53"/>
      <c r="CJ592" s="53"/>
      <c r="CK592" s="53"/>
      <c r="CL592" s="53"/>
      <c r="CM592" s="53"/>
      <c r="CN592" s="53"/>
      <c r="CO592" s="53"/>
      <c r="CP592" s="53"/>
      <c r="CQ592" s="53"/>
      <c r="CR592" s="1"/>
      <c r="CS592" s="1"/>
      <c r="CT592" s="1"/>
      <c r="CU592" s="1"/>
    </row>
    <row r="593" spans="1:99" s="13" customFormat="1" ht="12" customHeight="1" x14ac:dyDescent="0.2">
      <c r="A593" s="68">
        <v>43509</v>
      </c>
      <c r="B593" s="70" t="s">
        <v>196</v>
      </c>
      <c r="C593" s="70" t="s">
        <v>70</v>
      </c>
      <c r="D593" s="69">
        <v>2006</v>
      </c>
      <c r="E593" s="87">
        <v>1</v>
      </c>
      <c r="F593" s="69">
        <v>13</v>
      </c>
      <c r="G593" s="69">
        <v>13</v>
      </c>
      <c r="H593" s="69" t="s">
        <v>30</v>
      </c>
      <c r="I593" s="69" t="s">
        <v>811</v>
      </c>
      <c r="J593" s="69" t="s">
        <v>704</v>
      </c>
      <c r="K593" s="69">
        <f>IF(J593="syllables",1,IF(J593="trigrams",2,IF(J593="strings",3,IF(J593="visual array",4,IF(J593="characters",5,IF(J593="letters",6,IF(J593="free forms",7,IF(J593="odors",8,IF(J593="words",9,IF(J593="pictures",10,IF(J593="object pictures",11,IF(J593="faces",12,IF(J593="names",13,IF(J593="idioms",14,IF(J593="grades",15,IF(J593="syllable-digit pairs",16,IF(J593="trigram-word pairs",17,IF(J593="word-digit pairs",18,IF(J593="English-Swahili pairs",19,IF(J593="spatial position",20,IF(J593="word pairs",21,IF(J593="word triads",22,IF(J593="generated words",23,IF(J593="word definition pairs",24,IF(J593="math problems",25,IF(J593="famous faces",26,IF(J593="famous names",27,IF(J593="famous voices",28,IF(J593="television programs",29,IF(J593="race horses",30,IF(J593="new vocabulary",31,IF(J593="sentences",32,IF(J593="concepts",33,IF(J593="ad slides",34,IF(J593="scenes",35,IF(J593="famous scenes",36,IF(J593="poems",37,IF(J593="walk",38,IF(J593="faces and events",39,IF(J593="events and names",40,IF(J593="flashbulb",41,IF(J593="stories",42,IF(J593="course material",43,IF(J593="autobiographical",44,IF(J593="novels",45,IF(J593="public events",46,"99"))))))))))))))))))))))))))))))))))))))))))))))</f>
        <v>41</v>
      </c>
      <c r="L593" s="69">
        <f>IF(J593="syllables",1,IF(J593="trigrams",1,IF(J593="strings",1,IF(J593="visual array",1,IF(J593="characters",1,IF(J593="letters",1,IF(J593="free forms",1,IF(J593="odors",2,IF(J593="words",2,IF(J593="pictures",2,IF(J593="object pictures",2,IF(J593="faces",2,IF(J593="names",2,IF(J593="idioms","2",IF(J593="grades",2,IF(J593="syllable-digit pairs",3,IF(J593="trigram-word pairs",3,IF(J593="word-digit pairs",3,IF(J593="English-Swahili pairs",3,IF(J593="spatial position",3,IF(J593="word pairs",4,IF(J593="word triads",4,IF(J593="generated words",4,IF(J593="word definition pairs",4,IF(J593="math problems",4,IF(J593="famous faces",4,IF(J593="famous names",4,IF(J593="famous voices",4,IF(J593="television programs",4,IF(J593="race horses",4,IF(J593="new vocabulary",4,IF(J593="sentences",5,IF(J593="concepts",5,IF(J593="ad slides",5,IF(J593="scenes",5,IF(J593="famous scenes",5,IF(J593="poems",6,IF(J593="walk",6,IF(J593="faces and events",6,IF(J593="events and names",6,IF(J593="flashbulb",7,IF(J593="stories",7,IF(J593="course material",7,IF(J593="autobiographical",7,IF(J593="novels",7,IF(J593="public events",7,"99"))))))))))))))))))))))))))))))))))))))))))))))</f>
        <v>7</v>
      </c>
      <c r="M593" s="69">
        <v>1</v>
      </c>
      <c r="N593" s="69">
        <v>4</v>
      </c>
      <c r="O593" s="69">
        <v>0</v>
      </c>
      <c r="P593" s="69"/>
      <c r="Q593" s="69" t="s">
        <v>174</v>
      </c>
      <c r="R593" s="69">
        <f>IF(Q593="Free Recall",1,IF(Q593="Cued Recall",2,IF(Q593="Recognition",3,IF(Q593="Multiple Choice",4,IF(Q593="Savings",5,IF(Q593="Stem Completion",6,IF(Q593="Fragment Completion",7,IF(Q593="anagram solution",8,IF(Q593="Matching",9,IF(Q593="Problem Solving",10,"99"))))))))))</f>
        <v>1</v>
      </c>
      <c r="S593" s="69" t="s">
        <v>49</v>
      </c>
      <c r="T593" s="92" t="s">
        <v>581</v>
      </c>
      <c r="U593" s="60">
        <f>IF(T593="within",1,0)</f>
        <v>1</v>
      </c>
      <c r="V593" s="92">
        <v>2</v>
      </c>
      <c r="W593" s="69">
        <f>F593*V593</f>
        <v>26</v>
      </c>
      <c r="X593" s="69">
        <v>3</v>
      </c>
      <c r="Y593" s="87">
        <f>AV592</f>
        <v>86400</v>
      </c>
      <c r="Z593" s="69" t="s">
        <v>530</v>
      </c>
      <c r="AA593" s="87">
        <f>11*7*24*60*60</f>
        <v>6652800</v>
      </c>
      <c r="AB593" s="69" t="str">
        <f>IF(AA593&lt;60,"1",IF(AA593&lt;=43200,"2",IF(AA593&lt;=777600,"3","4")))</f>
        <v>4</v>
      </c>
      <c r="AC593" s="72">
        <f>AVERAGE(AV592:DA592)</f>
        <v>2649888</v>
      </c>
      <c r="AD593" s="69" t="str">
        <f>IF(AC593&lt;60,"1",IF(AC593&lt;=43200,"2",IF(AC593&lt;=777600,"3","4")))</f>
        <v>4</v>
      </c>
      <c r="AE593" s="87">
        <f>AA593-Y593</f>
        <v>6566400</v>
      </c>
      <c r="AF593" s="88">
        <f>AV593</f>
        <v>0.16700000000000001</v>
      </c>
      <c r="AG593" s="72">
        <f>((AW593-AV593)+(AX593-AW593))/2</f>
        <v>-1.2500000000000011E-2</v>
      </c>
      <c r="AH593" s="4"/>
      <c r="AI593" s="72">
        <f>RSQ(AV593:AX593,AV592:AX592)</f>
        <v>0.2921449890584924</v>
      </c>
      <c r="AJ593" s="110">
        <f>SLOPE(AV593:AX593,AV592:AX592)</f>
        <v>-9.308938971764464E-9</v>
      </c>
      <c r="AK593" s="72">
        <f>INTERCEPT(AV593:AX593,AV592:AX592)</f>
        <v>0.21333431234067768</v>
      </c>
      <c r="AL593" s="72">
        <f>INDEX(LINEST(LN(AV593:AX593),LN(AV592:AX592),TRUE,TRUE),3,1)</f>
        <v>2.0563014894878981E-2</v>
      </c>
      <c r="AM593" s="72">
        <f>INDEX(LINEST(LN(AV593:AX593),LN(AV592:AX592)),1)</f>
        <v>-2.0089188013380822E-2</v>
      </c>
      <c r="AN593" s="72">
        <f>EXP(INDEX(LINEST(LN(AV593:AX593),LN(AV592:AX592)),1,2))</f>
        <v>0.24050617148676021</v>
      </c>
      <c r="AO593" s="89">
        <f>INDEX(LINEST((AV593:AX593),LN(AV592:AX592),TRUE,TRUE),3,1)</f>
        <v>7.1113582866078216E-3</v>
      </c>
      <c r="AP593" s="89">
        <f>INDEX(LINEST((AV593:AX593),LN(AV592:AX592)),1)</f>
        <v>-2.3304744136828227E-3</v>
      </c>
      <c r="AQ593" s="90">
        <f>INDEX(LINEST(LN(AV593:AX593),SQRT(AV592:AX592),TRUE,TRUE),3,1)</f>
        <v>0.17834843670242029</v>
      </c>
      <c r="AR593" s="117">
        <f>INDEX(LINEST(LN(AV593:AX593),SQRT((AV592:AX592))),1)</f>
        <v>-1.1171647343505483E-4</v>
      </c>
      <c r="AS593" s="91">
        <f>INDEX(LINEST(1/(AV593:AX593),1/(SQRT(AV592:AX592)),TRUE,TRUE),3,1)</f>
        <v>6.9159680832878243E-4</v>
      </c>
      <c r="AT593" s="91">
        <f>INDEX(LINEST(1/(AV593:AX593),1/SQRT(AV592:AX592)),1)</f>
        <v>26.183908024876377</v>
      </c>
      <c r="AU593" s="3"/>
      <c r="AV593" s="73">
        <v>0.16700000000000001</v>
      </c>
      <c r="AW593" s="73">
        <v>0.25700000000000001</v>
      </c>
      <c r="AX593" s="73">
        <v>0.14199999999999999</v>
      </c>
      <c r="AY593" s="53"/>
      <c r="AZ593" s="53"/>
      <c r="BA593" s="53"/>
      <c r="BB593" s="53"/>
      <c r="BC593" s="53"/>
      <c r="BD593" s="53"/>
      <c r="BE593" s="53"/>
      <c r="BF593" s="53"/>
      <c r="BG593" s="53"/>
      <c r="BH593" s="53"/>
      <c r="BI593" s="53"/>
      <c r="BJ593" s="53"/>
      <c r="BK593" s="53"/>
      <c r="BL593" s="53"/>
      <c r="BM593" s="53"/>
      <c r="BN593" s="53"/>
      <c r="BO593" s="53"/>
      <c r="BP593" s="53"/>
      <c r="BQ593" s="53"/>
      <c r="BR593" s="53"/>
      <c r="BS593" s="53"/>
      <c r="BT593" s="53"/>
      <c r="BU593" s="53"/>
      <c r="BV593" s="53"/>
      <c r="BW593" s="53"/>
      <c r="BX593" s="53"/>
      <c r="BY593" s="53"/>
      <c r="BZ593" s="53"/>
      <c r="CA593" s="53"/>
      <c r="CB593" s="53"/>
      <c r="CC593" s="53"/>
      <c r="CD593" s="53"/>
      <c r="CE593" s="53"/>
      <c r="CF593" s="53"/>
      <c r="CG593" s="53"/>
      <c r="CH593" s="53"/>
      <c r="CI593" s="53"/>
      <c r="CJ593" s="53"/>
      <c r="CK593" s="53"/>
      <c r="CL593" s="53"/>
      <c r="CM593" s="53"/>
      <c r="CN593" s="53"/>
      <c r="CO593" s="53"/>
      <c r="CP593" s="53"/>
      <c r="CQ593" s="53"/>
      <c r="CR593" s="1"/>
      <c r="CS593" s="1"/>
      <c r="CT593" s="1"/>
      <c r="CU593" s="1"/>
    </row>
    <row r="594" spans="1:99" s="13" customFormat="1" ht="12" customHeight="1" x14ac:dyDescent="0.2">
      <c r="A594" s="68">
        <v>43509</v>
      </c>
      <c r="B594" s="70"/>
      <c r="C594" s="70"/>
      <c r="D594" s="69"/>
      <c r="E594" s="87"/>
      <c r="F594" s="69"/>
      <c r="G594" s="69"/>
      <c r="H594" s="69"/>
      <c r="I594" s="69"/>
      <c r="J594" s="69"/>
      <c r="K594" s="107"/>
      <c r="L594" s="107"/>
      <c r="M594" s="69"/>
      <c r="N594" s="69"/>
      <c r="O594" s="69"/>
      <c r="P594" s="69"/>
      <c r="Q594" s="69"/>
      <c r="R594" s="69"/>
      <c r="S594" s="69"/>
      <c r="T594" s="69"/>
      <c r="U594" s="60"/>
      <c r="V594" s="92"/>
      <c r="W594" s="69"/>
      <c r="X594" s="69"/>
      <c r="Y594" s="87"/>
      <c r="Z594" s="69"/>
      <c r="AA594" s="69"/>
      <c r="AB594" s="69"/>
      <c r="AC594" s="69"/>
      <c r="AD594" s="69"/>
      <c r="AE594" s="69"/>
      <c r="AF594" s="88"/>
      <c r="AG594" s="72"/>
      <c r="AH594" s="4"/>
      <c r="AI594" s="72"/>
      <c r="AJ594" s="110"/>
      <c r="AK594" s="72"/>
      <c r="AL594" s="72"/>
      <c r="AM594" s="72"/>
      <c r="AN594" s="72"/>
      <c r="AO594" s="72"/>
      <c r="AP594" s="72"/>
      <c r="AQ594" s="89"/>
      <c r="AR594" s="118"/>
      <c r="AS594" s="89"/>
      <c r="AT594" s="89"/>
      <c r="AU594" s="4"/>
      <c r="AV594" s="71">
        <f>24*60*60</f>
        <v>86400</v>
      </c>
      <c r="AW594" s="71">
        <f>30*24*60*60*1.4</f>
        <v>3628800</v>
      </c>
      <c r="AX594" s="71">
        <f>11*7*24*60*60</f>
        <v>6652800</v>
      </c>
      <c r="AY594" s="53"/>
      <c r="AZ594" s="53"/>
      <c r="BA594" s="53"/>
      <c r="BB594" s="53"/>
      <c r="BC594" s="53"/>
      <c r="BD594" s="53"/>
      <c r="BE594" s="53"/>
      <c r="BF594" s="53"/>
      <c r="BG594" s="53"/>
      <c r="BH594" s="53"/>
      <c r="BI594" s="53"/>
      <c r="BJ594" s="53"/>
      <c r="BK594" s="53"/>
      <c r="BL594" s="53"/>
      <c r="BM594" s="53"/>
      <c r="BN594" s="53"/>
      <c r="BO594" s="53"/>
      <c r="BP594" s="53"/>
      <c r="BQ594" s="53"/>
      <c r="BR594" s="53"/>
      <c r="BS594" s="53"/>
      <c r="BT594" s="53"/>
      <c r="BU594" s="53"/>
      <c r="BV594" s="53"/>
      <c r="BW594" s="53"/>
      <c r="BX594" s="53"/>
      <c r="BY594" s="53"/>
      <c r="BZ594" s="53"/>
      <c r="CA594" s="53"/>
      <c r="CB594" s="53"/>
      <c r="CC594" s="53"/>
      <c r="CD594" s="53"/>
      <c r="CE594" s="53"/>
      <c r="CF594" s="53"/>
      <c r="CG594" s="53"/>
      <c r="CH594" s="53"/>
      <c r="CI594" s="53"/>
      <c r="CJ594" s="53"/>
      <c r="CK594" s="53"/>
      <c r="CL594" s="53"/>
      <c r="CM594" s="53"/>
      <c r="CN594" s="53"/>
      <c r="CO594" s="53"/>
      <c r="CP594" s="53"/>
      <c r="CQ594" s="53"/>
      <c r="CR594" s="1"/>
      <c r="CS594" s="1"/>
      <c r="CT594" s="1"/>
      <c r="CU594" s="1"/>
    </row>
    <row r="595" spans="1:99" s="13" customFormat="1" ht="12" customHeight="1" x14ac:dyDescent="0.2">
      <c r="A595" s="68">
        <v>43509</v>
      </c>
      <c r="B595" s="70" t="s">
        <v>196</v>
      </c>
      <c r="C595" s="70" t="s">
        <v>70</v>
      </c>
      <c r="D595" s="69">
        <v>2006</v>
      </c>
      <c r="E595" s="87">
        <v>1</v>
      </c>
      <c r="F595" s="69">
        <v>20</v>
      </c>
      <c r="G595" s="69">
        <v>20</v>
      </c>
      <c r="H595" s="69" t="s">
        <v>30</v>
      </c>
      <c r="I595" s="69" t="s">
        <v>812</v>
      </c>
      <c r="J595" s="69" t="s">
        <v>704</v>
      </c>
      <c r="K595" s="69">
        <f>IF(J595="syllables",1,IF(J595="trigrams",2,IF(J595="strings",3,IF(J595="visual array",4,IF(J595="characters",5,IF(J595="letters",6,IF(J595="free forms",7,IF(J595="odors",8,IF(J595="words",9,IF(J595="pictures",10,IF(J595="object pictures",11,IF(J595="faces",12,IF(J595="names",13,IF(J595="idioms",14,IF(J595="grades",15,IF(J595="syllable-digit pairs",16,IF(J595="trigram-word pairs",17,IF(J595="word-digit pairs",18,IF(J595="English-Swahili pairs",19,IF(J595="spatial position",20,IF(J595="word pairs",21,IF(J595="word triads",22,IF(J595="generated words",23,IF(J595="word definition pairs",24,IF(J595="math problems",25,IF(J595="famous faces",26,IF(J595="famous names",27,IF(J595="famous voices",28,IF(J595="television programs",29,IF(J595="race horses",30,IF(J595="new vocabulary",31,IF(J595="sentences",32,IF(J595="concepts",33,IF(J595="ad slides",34,IF(J595="scenes",35,IF(J595="famous scenes",36,IF(J595="poems",37,IF(J595="walk",38,IF(J595="faces and events",39,IF(J595="events and names",40,IF(J595="flashbulb",41,IF(J595="stories",42,IF(J595="course material",43,IF(J595="autobiographical",44,IF(J595="novels",45,IF(J595="public events",46,"99"))))))))))))))))))))))))))))))))))))))))))))))</f>
        <v>41</v>
      </c>
      <c r="L595" s="69">
        <f>IF(J595="syllables",1,IF(J595="trigrams",1,IF(J595="strings",1,IF(J595="visual array",1,IF(J595="characters",1,IF(J595="letters",1,IF(J595="free forms",1,IF(J595="odors",2,IF(J595="words",2,IF(J595="pictures",2,IF(J595="object pictures",2,IF(J595="faces",2,IF(J595="names",2,IF(J595="idioms","2",IF(J595="grades",2,IF(J595="syllable-digit pairs",3,IF(J595="trigram-word pairs",3,IF(J595="word-digit pairs",3,IF(J595="English-Swahili pairs",3,IF(J595="spatial position",3,IF(J595="word pairs",4,IF(J595="word triads",4,IF(J595="generated words",4,IF(J595="word definition pairs",4,IF(J595="math problems",4,IF(J595="famous faces",4,IF(J595="famous names",4,IF(J595="famous voices",4,IF(J595="television programs",4,IF(J595="race horses",4,IF(J595="new vocabulary",4,IF(J595="sentences",5,IF(J595="concepts",5,IF(J595="ad slides",5,IF(J595="scenes",5,IF(J595="famous scenes",5,IF(J595="poems",6,IF(J595="walk",6,IF(J595="faces and events",6,IF(J595="events and names",6,IF(J595="flashbulb",7,IF(J595="stories",7,IF(J595="course material",7,IF(J595="autobiographical",7,IF(J595="novels",7,IF(J595="public events",7,"99"))))))))))))))))))))))))))))))))))))))))))))))</f>
        <v>7</v>
      </c>
      <c r="M595" s="69">
        <v>1</v>
      </c>
      <c r="N595" s="69">
        <v>4</v>
      </c>
      <c r="O595" s="69">
        <v>0</v>
      </c>
      <c r="P595" s="69"/>
      <c r="Q595" s="69" t="s">
        <v>174</v>
      </c>
      <c r="R595" s="69">
        <f>IF(Q595="Free Recall",1,IF(Q595="Cued Recall",2,IF(Q595="Recognition",3,IF(Q595="Multiple Choice",4,IF(Q595="Savings",5,IF(Q595="Stem Completion",6,IF(Q595="Fragment Completion",7,IF(Q595="anagram solution",8,IF(Q595="Matching",9,IF(Q595="Problem Solving",10,"99"))))))))))</f>
        <v>1</v>
      </c>
      <c r="S595" s="69" t="s">
        <v>49</v>
      </c>
      <c r="T595" s="92" t="s">
        <v>581</v>
      </c>
      <c r="U595" s="60">
        <f>IF(T595="within",1,0)</f>
        <v>1</v>
      </c>
      <c r="V595" s="92">
        <v>3</v>
      </c>
      <c r="W595" s="69">
        <f>F595*V595</f>
        <v>60</v>
      </c>
      <c r="X595" s="69">
        <v>3</v>
      </c>
      <c r="Y595" s="87">
        <f>AV594</f>
        <v>86400</v>
      </c>
      <c r="Z595" s="69" t="s">
        <v>530</v>
      </c>
      <c r="AA595" s="87">
        <f>11*7*24*60*60</f>
        <v>6652800</v>
      </c>
      <c r="AB595" s="69" t="str">
        <f>IF(AA595&lt;60,"1",IF(AA595&lt;=43200,"2",IF(AA595&lt;=777600,"3","4")))</f>
        <v>4</v>
      </c>
      <c r="AC595" s="72">
        <f>AVERAGE(AV594:DA594)</f>
        <v>3456000</v>
      </c>
      <c r="AD595" s="69" t="str">
        <f>IF(AC595&lt;60,"1",IF(AC595&lt;=43200,"2",IF(AC595&lt;=777600,"3","4")))</f>
        <v>4</v>
      </c>
      <c r="AE595" s="87">
        <f>AA595-Y595</f>
        <v>6566400</v>
      </c>
      <c r="AF595" s="88">
        <f>AV595</f>
        <v>0.86699999999999999</v>
      </c>
      <c r="AG595" s="72">
        <f>((AW595-AV595)+(AX595-AW595))/2</f>
        <v>-3.3499999999999974E-2</v>
      </c>
      <c r="AH595" s="4"/>
      <c r="AI595" s="72">
        <f>RSQ(AV595:AX595,AV594:AX594)</f>
        <v>0.94735632923904789</v>
      </c>
      <c r="AJ595" s="110">
        <f>SLOPE(AV595:AX595,AV594:AX594)</f>
        <v>-1.0314283703191779E-8</v>
      </c>
      <c r="AK595" s="72">
        <f>INTERCEPT(AV595:AX595,AV594:AX594)</f>
        <v>0.86364616447823073</v>
      </c>
      <c r="AL595" s="72">
        <f>INDEX(LINEST(LN(AV595:AX595),LN(AV594:AX594),TRUE,TRUE),3,1)</f>
        <v>0.98430232606696166</v>
      </c>
      <c r="AM595" s="72">
        <f>INDEX(LINEST(LN(AV595:AX595),LN(AV594:AX594)),1)</f>
        <v>-1.7590767303121063E-2</v>
      </c>
      <c r="AN595" s="72">
        <f>EXP(INDEX(LINEST(LN(AV595:AX595),LN(AV594:AX594)),1,2))</f>
        <v>1.059726476087322</v>
      </c>
      <c r="AO595" s="89">
        <f>INDEX(LINEST((AV595:AX595),LN(AV594:AX594),TRUE,TRUE),3,1)</f>
        <v>0.98628978198748896</v>
      </c>
      <c r="AP595" s="89">
        <f>INDEX(LINEST((AV595:AX595),LN(AV594:AX594)),1)</f>
        <v>-1.4702749905781617E-2</v>
      </c>
      <c r="AQ595" s="90">
        <f>INDEX(LINEST(LN(AV595:AX595),SQRT(AV594:AX594),TRUE,TRUE),3,1)</f>
        <v>0.99867249745409348</v>
      </c>
      <c r="AR595" s="117">
        <f>INDEX(LINEST(LN(AV595:AX595),SQRT((AV594:AX594))),1)</f>
        <v>-3.5498571668828172E-5</v>
      </c>
      <c r="AS595" s="91">
        <f>INDEX(LINEST(1/(AV595:AX595),1/(SQRT(AV594:AX594)),TRUE,TRUE),3,1)</f>
        <v>0.95114014695877958</v>
      </c>
      <c r="AT595" s="91">
        <f>INDEX(LINEST(1/(AV595:AX595),1/SQRT(AV594:AX594)),1)</f>
        <v>-28.639330020669149</v>
      </c>
      <c r="AU595" s="3"/>
      <c r="AV595" s="73">
        <v>0.86699999999999999</v>
      </c>
      <c r="AW595" s="73">
        <v>0.81699999999999995</v>
      </c>
      <c r="AX595" s="73">
        <v>0.8</v>
      </c>
      <c r="AY595" s="53"/>
      <c r="AZ595" s="53"/>
      <c r="BA595" s="53"/>
      <c r="BB595" s="53"/>
      <c r="BC595" s="53"/>
      <c r="BD595" s="53"/>
      <c r="BE595" s="53"/>
      <c r="BF595" s="53"/>
      <c r="BG595" s="53"/>
      <c r="BH595" s="53"/>
      <c r="BI595" s="53"/>
      <c r="BJ595" s="53"/>
      <c r="BK595" s="53"/>
      <c r="BL595" s="53"/>
      <c r="BM595" s="53"/>
      <c r="BN595" s="53"/>
      <c r="BO595" s="53"/>
      <c r="BP595" s="53"/>
      <c r="BQ595" s="53"/>
      <c r="BR595" s="53"/>
      <c r="BS595" s="53"/>
      <c r="BT595" s="53"/>
      <c r="BU595" s="53"/>
      <c r="BV595" s="53"/>
      <c r="BW595" s="53"/>
      <c r="BX595" s="53"/>
      <c r="BY595" s="53"/>
      <c r="BZ595" s="53"/>
      <c r="CA595" s="53"/>
      <c r="CB595" s="53"/>
      <c r="CC595" s="53"/>
      <c r="CD595" s="53"/>
      <c r="CE595" s="53"/>
      <c r="CF595" s="53"/>
      <c r="CG595" s="53"/>
      <c r="CH595" s="53"/>
      <c r="CI595" s="53"/>
      <c r="CJ595" s="53"/>
      <c r="CK595" s="53"/>
      <c r="CL595" s="53"/>
      <c r="CM595" s="53"/>
      <c r="CN595" s="53"/>
      <c r="CO595" s="53"/>
      <c r="CP595" s="53"/>
      <c r="CQ595" s="53"/>
      <c r="CR595" s="1"/>
      <c r="CS595" s="1"/>
      <c r="CT595" s="1"/>
      <c r="CU595" s="1"/>
    </row>
    <row r="596" spans="1:99" s="13" customFormat="1" ht="12" customHeight="1" x14ac:dyDescent="0.2">
      <c r="A596" s="68">
        <v>43509</v>
      </c>
      <c r="B596" s="70"/>
      <c r="C596" s="70"/>
      <c r="D596" s="69"/>
      <c r="E596" s="87"/>
      <c r="F596" s="69"/>
      <c r="G596" s="69"/>
      <c r="H596" s="69"/>
      <c r="I596" s="69"/>
      <c r="J596" s="69"/>
      <c r="K596" s="107"/>
      <c r="L596" s="107"/>
      <c r="M596" s="69"/>
      <c r="N596" s="69"/>
      <c r="O596" s="69"/>
      <c r="P596" s="69"/>
      <c r="Q596" s="69"/>
      <c r="R596" s="69"/>
      <c r="S596" s="69"/>
      <c r="T596" s="92"/>
      <c r="U596" s="60"/>
      <c r="V596" s="69"/>
      <c r="W596" s="69"/>
      <c r="X596" s="69"/>
      <c r="Y596" s="87"/>
      <c r="Z596" s="69"/>
      <c r="AA596" s="69"/>
      <c r="AB596" s="69"/>
      <c r="AC596" s="69"/>
      <c r="AD596" s="69"/>
      <c r="AE596" s="69"/>
      <c r="AF596" s="88"/>
      <c r="AG596" s="72"/>
      <c r="AH596" s="4"/>
      <c r="AI596" s="72"/>
      <c r="AJ596" s="110"/>
      <c r="AK596" s="72"/>
      <c r="AL596" s="72"/>
      <c r="AM596" s="72"/>
      <c r="AN596" s="72"/>
      <c r="AO596" s="72"/>
      <c r="AP596" s="72"/>
      <c r="AQ596" s="89"/>
      <c r="AR596" s="118"/>
      <c r="AS596" s="89"/>
      <c r="AT596" s="89"/>
      <c r="AU596" s="4"/>
      <c r="AV596" s="71">
        <f>24*60*60</f>
        <v>86400</v>
      </c>
      <c r="AW596" s="71">
        <f>30*24*60*60*1.4</f>
        <v>3628800</v>
      </c>
      <c r="AX596" s="71">
        <f>11*7*24*60*60</f>
        <v>6652800</v>
      </c>
      <c r="AY596" s="53"/>
      <c r="AZ596" s="53"/>
      <c r="BA596" s="53"/>
      <c r="BB596" s="53"/>
      <c r="BC596" s="53"/>
      <c r="BD596" s="53"/>
      <c r="BE596" s="53"/>
      <c r="BF596" s="53"/>
      <c r="BG596" s="53"/>
      <c r="BH596" s="53"/>
      <c r="BI596" s="53"/>
      <c r="BJ596" s="53"/>
      <c r="BK596" s="53"/>
      <c r="BL596" s="53"/>
      <c r="BM596" s="53"/>
      <c r="BN596" s="53"/>
      <c r="BO596" s="53"/>
      <c r="BP596" s="53"/>
      <c r="BQ596" s="53"/>
      <c r="BR596" s="53"/>
      <c r="BS596" s="53"/>
      <c r="BT596" s="53"/>
      <c r="BU596" s="53"/>
      <c r="BV596" s="53"/>
      <c r="BW596" s="53"/>
      <c r="BX596" s="53"/>
      <c r="BY596" s="53"/>
      <c r="BZ596" s="53"/>
      <c r="CA596" s="53"/>
      <c r="CB596" s="53"/>
      <c r="CC596" s="53"/>
      <c r="CD596" s="53"/>
      <c r="CE596" s="53"/>
      <c r="CF596" s="53"/>
      <c r="CG596" s="53"/>
      <c r="CH596" s="53"/>
      <c r="CI596" s="53"/>
      <c r="CJ596" s="53"/>
      <c r="CK596" s="53"/>
      <c r="CL596" s="53"/>
      <c r="CM596" s="53"/>
      <c r="CN596" s="53"/>
      <c r="CO596" s="53"/>
      <c r="CP596" s="53"/>
      <c r="CQ596" s="53"/>
      <c r="CR596" s="1"/>
      <c r="CS596" s="1"/>
      <c r="CT596" s="1"/>
      <c r="CU596" s="1"/>
    </row>
    <row r="597" spans="1:99" s="13" customFormat="1" ht="12" customHeight="1" x14ac:dyDescent="0.2">
      <c r="A597" s="68">
        <v>43509</v>
      </c>
      <c r="B597" s="70" t="s">
        <v>196</v>
      </c>
      <c r="C597" s="70" t="s">
        <v>70</v>
      </c>
      <c r="D597" s="69">
        <v>2006</v>
      </c>
      <c r="E597" s="87">
        <v>1</v>
      </c>
      <c r="F597" s="69">
        <v>20</v>
      </c>
      <c r="G597" s="69">
        <v>20</v>
      </c>
      <c r="H597" s="69" t="s">
        <v>30</v>
      </c>
      <c r="I597" s="69" t="s">
        <v>813</v>
      </c>
      <c r="J597" s="69" t="s">
        <v>704</v>
      </c>
      <c r="K597" s="69">
        <f>IF(J597="syllables",1,IF(J597="trigrams",2,IF(J597="strings",3,IF(J597="visual array",4,IF(J597="characters",5,IF(J597="letters",6,IF(J597="free forms",7,IF(J597="odors",8,IF(J597="words",9,IF(J597="pictures",10,IF(J597="object pictures",11,IF(J597="faces",12,IF(J597="names",13,IF(J597="idioms",14,IF(J597="grades",15,IF(J597="syllable-digit pairs",16,IF(J597="trigram-word pairs",17,IF(J597="word-digit pairs",18,IF(J597="English-Swahili pairs",19,IF(J597="spatial position",20,IF(J597="word pairs",21,IF(J597="word triads",22,IF(J597="generated words",23,IF(J597="word definition pairs",24,IF(J597="math problems",25,IF(J597="famous faces",26,IF(J597="famous names",27,IF(J597="famous voices",28,IF(J597="television programs",29,IF(J597="race horses",30,IF(J597="new vocabulary",31,IF(J597="sentences",32,IF(J597="concepts",33,IF(J597="ad slides",34,IF(J597="scenes",35,IF(J597="famous scenes",36,IF(J597="poems",37,IF(J597="walk",38,IF(J597="faces and events",39,IF(J597="events and names",40,IF(J597="flashbulb",41,IF(J597="stories",42,IF(J597="course material",43,IF(J597="autobiographical",44,IF(J597="novels",45,IF(J597="public events",46,"99"))))))))))))))))))))))))))))))))))))))))))))))</f>
        <v>41</v>
      </c>
      <c r="L597" s="69">
        <f>IF(J597="syllables",1,IF(J597="trigrams",1,IF(J597="strings",1,IF(J597="visual array",1,IF(J597="characters",1,IF(J597="letters",1,IF(J597="free forms",1,IF(J597="odors",2,IF(J597="words",2,IF(J597="pictures",2,IF(J597="object pictures",2,IF(J597="faces",2,IF(J597="names",2,IF(J597="idioms","2",IF(J597="grades",2,IF(J597="syllable-digit pairs",3,IF(J597="trigram-word pairs",3,IF(J597="word-digit pairs",3,IF(J597="English-Swahili pairs",3,IF(J597="spatial position",3,IF(J597="word pairs",4,IF(J597="word triads",4,IF(J597="generated words",4,IF(J597="word definition pairs",4,IF(J597="math problems",4,IF(J597="famous faces",4,IF(J597="famous names",4,IF(J597="famous voices",4,IF(J597="television programs",4,IF(J597="race horses",4,IF(J597="new vocabulary",4,IF(J597="sentences",5,IF(J597="concepts",5,IF(J597="ad slides",5,IF(J597="scenes",5,IF(J597="famous scenes",5,IF(J597="poems",6,IF(J597="walk",6,IF(J597="faces and events",6,IF(J597="events and names",6,IF(J597="flashbulb",7,IF(J597="stories",7,IF(J597="course material",7,IF(J597="autobiographical",7,IF(J597="novels",7,IF(J597="public events",7,"99"))))))))))))))))))))))))))))))))))))))))))))))</f>
        <v>7</v>
      </c>
      <c r="M597" s="69">
        <v>1</v>
      </c>
      <c r="N597" s="69">
        <v>4</v>
      </c>
      <c r="O597" s="69">
        <v>0</v>
      </c>
      <c r="P597" s="69"/>
      <c r="Q597" s="69" t="s">
        <v>174</v>
      </c>
      <c r="R597" s="69">
        <f>IF(Q597="Free Recall",1,IF(Q597="Cued Recall",2,IF(Q597="Recognition",3,IF(Q597="Multiple Choice",4,IF(Q597="Savings",5,IF(Q597="Stem Completion",6,IF(Q597="Fragment Completion",7,IF(Q597="anagram solution",8,IF(Q597="Matching",9,IF(Q597="Problem Solving",10,"99"))))))))))</f>
        <v>1</v>
      </c>
      <c r="S597" s="69" t="s">
        <v>49</v>
      </c>
      <c r="T597" s="92" t="s">
        <v>581</v>
      </c>
      <c r="U597" s="60">
        <f>IF(T597="within",1,0)</f>
        <v>1</v>
      </c>
      <c r="V597" s="92">
        <v>3</v>
      </c>
      <c r="W597" s="69">
        <f>F597*V597</f>
        <v>60</v>
      </c>
      <c r="X597" s="69">
        <v>3</v>
      </c>
      <c r="Y597" s="87">
        <f>AV596</f>
        <v>86400</v>
      </c>
      <c r="Z597" s="69" t="s">
        <v>530</v>
      </c>
      <c r="AA597" s="87">
        <f>11*7*24*60*60</f>
        <v>6652800</v>
      </c>
      <c r="AB597" s="69" t="str">
        <f>IF(AA597&lt;60,"1",IF(AA597&lt;=43200,"2",IF(AA597&lt;=777600,"3","4")))</f>
        <v>4</v>
      </c>
      <c r="AC597" s="72">
        <f>AVERAGE(AV596:DA596)</f>
        <v>3456000</v>
      </c>
      <c r="AD597" s="69" t="str">
        <f>IF(AC597&lt;60,"1",IF(AC597&lt;=43200,"2",IF(AC597&lt;=777600,"3","4")))</f>
        <v>4</v>
      </c>
      <c r="AE597" s="87">
        <f>AA597-Y597</f>
        <v>6566400</v>
      </c>
      <c r="AF597" s="88">
        <f>AV597</f>
        <v>0.433</v>
      </c>
      <c r="AG597" s="72">
        <f>((AW597-AV597)+(AX597-AW597))/2</f>
        <v>-4.1500000000000009E-2</v>
      </c>
      <c r="AH597" s="4"/>
      <c r="AI597" s="72">
        <f>RSQ(AV597:AX597,AV596:AX596)</f>
        <v>0.43012405316044344</v>
      </c>
      <c r="AJ597" s="110">
        <f>SLOPE(AV597:AX597,AV596:AX596)</f>
        <v>-1.2010001535744455E-8</v>
      </c>
      <c r="AK597" s="72">
        <f>INTERCEPT(AV597:AX597,AV596:AX596)</f>
        <v>0.45817323197419951</v>
      </c>
      <c r="AL597" s="72">
        <f>INDEX(LINEST(LN(AV597:AX597),LN(AV596:AX596),TRUE,TRUE),3,1)</f>
        <v>0.14969003472935691</v>
      </c>
      <c r="AM597" s="72">
        <f>INDEX(LINEST(LN(AV597:AX597),LN(AV596:AX596)),1)</f>
        <v>-2.4593365099385676E-2</v>
      </c>
      <c r="AN597" s="72">
        <f>EXP(INDEX(LINEST(LN(AV597:AX597),LN(AV596:AX596)),1,2))</f>
        <v>0.58452334969369024</v>
      </c>
      <c r="AO597" s="89">
        <f>INDEX(LINEST((AV597:AX597),LN(AV596:AX596),TRUE,TRUE),3,1)</f>
        <v>0.12836690254083791</v>
      </c>
      <c r="AP597" s="89">
        <f>INDEX(LINEST((AV597:AX597),LN(AV596:AX596)),1)</f>
        <v>-9.1661432399831773E-3</v>
      </c>
      <c r="AQ597" s="90">
        <f>INDEX(LINEST(LN(AV597:AX597),SQRT(AV596:AX596),TRUE,TRUE),3,1)</f>
        <v>0.2815546971439325</v>
      </c>
      <c r="AR597" s="117">
        <f>INDEX(LINEST(LN(AV597:AX597),SQRT((AV596:AX596))),1)</f>
        <v>-6.7574323588555406E-5</v>
      </c>
      <c r="AS597" s="91">
        <f>INDEX(LINEST(1/(AV597:AX597),1/(SQRT(AV596:AX596)),TRUE,TRUE),3,1)</f>
        <v>0.10957634565597517</v>
      </c>
      <c r="AT597" s="91">
        <f>INDEX(LINEST(1/(AV597:AX597),1/SQRT(AV596:AX596)),1)</f>
        <v>-72.793487921284367</v>
      </c>
      <c r="AU597" s="3"/>
      <c r="AV597" s="73">
        <v>0.433</v>
      </c>
      <c r="AW597" s="73">
        <v>0.46700000000000003</v>
      </c>
      <c r="AX597" s="73">
        <v>0.35</v>
      </c>
      <c r="AY597" s="53"/>
      <c r="AZ597" s="53"/>
      <c r="BA597" s="53"/>
      <c r="BB597" s="53"/>
      <c r="BC597" s="53"/>
      <c r="BD597" s="53"/>
      <c r="BE597" s="53"/>
      <c r="BF597" s="53"/>
      <c r="BG597" s="53"/>
      <c r="BH597" s="53"/>
      <c r="BI597" s="53"/>
      <c r="BJ597" s="53"/>
      <c r="BK597" s="53"/>
      <c r="BL597" s="53"/>
      <c r="BM597" s="53"/>
      <c r="BN597" s="53"/>
      <c r="BO597" s="53"/>
      <c r="BP597" s="53"/>
      <c r="BQ597" s="53"/>
      <c r="BR597" s="53"/>
      <c r="BS597" s="53"/>
      <c r="BT597" s="53"/>
      <c r="BU597" s="53"/>
      <c r="BV597" s="53"/>
      <c r="BW597" s="53"/>
      <c r="BX597" s="53"/>
      <c r="BY597" s="53"/>
      <c r="BZ597" s="53"/>
      <c r="CA597" s="53"/>
      <c r="CB597" s="53"/>
      <c r="CC597" s="53"/>
      <c r="CD597" s="53"/>
      <c r="CE597" s="53"/>
      <c r="CF597" s="53"/>
      <c r="CG597" s="53"/>
      <c r="CH597" s="53"/>
      <c r="CI597" s="53"/>
      <c r="CJ597" s="53"/>
      <c r="CK597" s="53"/>
      <c r="CL597" s="53"/>
      <c r="CM597" s="53"/>
      <c r="CN597" s="53"/>
      <c r="CO597" s="53"/>
      <c r="CP597" s="53"/>
      <c r="CQ597" s="53"/>
      <c r="CR597" s="1"/>
      <c r="CS597" s="1"/>
      <c r="CT597" s="1"/>
      <c r="CU597" s="1"/>
    </row>
    <row r="598" spans="1:99" s="13" customFormat="1" ht="12" customHeight="1" x14ac:dyDescent="0.2">
      <c r="A598" s="68">
        <v>43509</v>
      </c>
      <c r="B598" s="70"/>
      <c r="C598" s="70"/>
      <c r="D598" s="69"/>
      <c r="E598" s="87"/>
      <c r="F598" s="69"/>
      <c r="G598" s="69"/>
      <c r="H598" s="69"/>
      <c r="I598" s="69"/>
      <c r="J598" s="69"/>
      <c r="K598" s="107"/>
      <c r="L598" s="107"/>
      <c r="M598" s="69"/>
      <c r="N598" s="69"/>
      <c r="O598" s="69"/>
      <c r="P598" s="69"/>
      <c r="Q598" s="69"/>
      <c r="R598" s="69"/>
      <c r="S598" s="69"/>
      <c r="T598" s="69"/>
      <c r="U598" s="60"/>
      <c r="V598" s="69"/>
      <c r="W598" s="69"/>
      <c r="X598" s="69"/>
      <c r="Y598" s="87"/>
      <c r="Z598" s="69"/>
      <c r="AA598" s="69"/>
      <c r="AB598" s="69"/>
      <c r="AC598" s="69"/>
      <c r="AD598" s="69"/>
      <c r="AE598" s="69"/>
      <c r="AF598" s="88"/>
      <c r="AG598" s="72"/>
      <c r="AH598" s="4"/>
      <c r="AI598" s="72"/>
      <c r="AJ598" s="110"/>
      <c r="AK598" s="72"/>
      <c r="AL598" s="72"/>
      <c r="AM598" s="72"/>
      <c r="AN598" s="72"/>
      <c r="AO598" s="72"/>
      <c r="AP598" s="72"/>
      <c r="AQ598" s="89"/>
      <c r="AR598" s="118"/>
      <c r="AS598" s="89"/>
      <c r="AT598" s="89"/>
      <c r="AU598" s="4"/>
      <c r="AV598" s="71">
        <f>24*60*60</f>
        <v>86400</v>
      </c>
      <c r="AW598" s="71">
        <f>30*24*60*60*1.4</f>
        <v>3628800</v>
      </c>
      <c r="AX598" s="71">
        <f>11*7*24*60*60</f>
        <v>6652800</v>
      </c>
      <c r="AY598" s="53"/>
      <c r="AZ598" s="53"/>
      <c r="BA598" s="53"/>
      <c r="BB598" s="53"/>
      <c r="BC598" s="53"/>
      <c r="BD598" s="53"/>
      <c r="BE598" s="53"/>
      <c r="BF598" s="53"/>
      <c r="BG598" s="53"/>
      <c r="BH598" s="53"/>
      <c r="BI598" s="53"/>
      <c r="BJ598" s="53"/>
      <c r="BK598" s="53"/>
      <c r="BL598" s="53"/>
      <c r="BM598" s="53"/>
      <c r="BN598" s="53"/>
      <c r="BO598" s="53"/>
      <c r="BP598" s="53"/>
      <c r="BQ598" s="53"/>
      <c r="BR598" s="53"/>
      <c r="BS598" s="53"/>
      <c r="BT598" s="53"/>
      <c r="BU598" s="53"/>
      <c r="BV598" s="53"/>
      <c r="BW598" s="53"/>
      <c r="BX598" s="53"/>
      <c r="BY598" s="53"/>
      <c r="BZ598" s="53"/>
      <c r="CA598" s="53"/>
      <c r="CB598" s="53"/>
      <c r="CC598" s="53"/>
      <c r="CD598" s="53"/>
      <c r="CE598" s="53"/>
      <c r="CF598" s="53"/>
      <c r="CG598" s="53"/>
      <c r="CH598" s="53"/>
      <c r="CI598" s="53"/>
      <c r="CJ598" s="53"/>
      <c r="CK598" s="53"/>
      <c r="CL598" s="53"/>
      <c r="CM598" s="53"/>
      <c r="CN598" s="53"/>
      <c r="CO598" s="53"/>
      <c r="CP598" s="53"/>
      <c r="CQ598" s="53"/>
      <c r="CR598" s="1"/>
      <c r="CS598" s="1"/>
      <c r="CT598" s="1"/>
      <c r="CU598" s="1"/>
    </row>
    <row r="599" spans="1:99" s="13" customFormat="1" ht="12" customHeight="1" x14ac:dyDescent="0.2">
      <c r="A599" s="68">
        <v>43509</v>
      </c>
      <c r="B599" s="70" t="s">
        <v>196</v>
      </c>
      <c r="C599" s="70" t="s">
        <v>70</v>
      </c>
      <c r="D599" s="69">
        <v>2006</v>
      </c>
      <c r="E599" s="87">
        <v>1</v>
      </c>
      <c r="F599" s="69">
        <v>20</v>
      </c>
      <c r="G599" s="69">
        <v>20</v>
      </c>
      <c r="H599" s="69" t="s">
        <v>30</v>
      </c>
      <c r="I599" s="69" t="s">
        <v>814</v>
      </c>
      <c r="J599" s="69" t="s">
        <v>704</v>
      </c>
      <c r="K599" s="69">
        <f>IF(J599="syllables",1,IF(J599="trigrams",2,IF(J599="strings",3,IF(J599="visual array",4,IF(J599="characters",5,IF(J599="letters",6,IF(J599="free forms",7,IF(J599="odors",8,IF(J599="words",9,IF(J599="pictures",10,IF(J599="object pictures",11,IF(J599="faces",12,IF(J599="names",13,IF(J599="idioms",14,IF(J599="grades",15,IF(J599="syllable-digit pairs",16,IF(J599="trigram-word pairs",17,IF(J599="word-digit pairs",18,IF(J599="English-Swahili pairs",19,IF(J599="spatial position",20,IF(J599="word pairs",21,IF(J599="word triads",22,IF(J599="generated words",23,IF(J599="word definition pairs",24,IF(J599="math problems",25,IF(J599="famous faces",26,IF(J599="famous names",27,IF(J599="famous voices",28,IF(J599="television programs",29,IF(J599="race horses",30,IF(J599="new vocabulary",31,IF(J599="sentences",32,IF(J599="concepts",33,IF(J599="ad slides",34,IF(J599="scenes",35,IF(J599="famous scenes",36,IF(J599="poems",37,IF(J599="walk",38,IF(J599="faces and events",39,IF(J599="events and names",40,IF(J599="flashbulb",41,IF(J599="stories",42,IF(J599="course material",43,IF(J599="autobiographical",44,IF(J599="novels",45,IF(J599="public events",46,"99"))))))))))))))))))))))))))))))))))))))))))))))</f>
        <v>41</v>
      </c>
      <c r="L599" s="69">
        <f>IF(J599="syllables",1,IF(J599="trigrams",1,IF(J599="strings",1,IF(J599="visual array",1,IF(J599="characters",1,IF(J599="letters",1,IF(J599="free forms",1,IF(J599="odors",2,IF(J599="words",2,IF(J599="pictures",2,IF(J599="object pictures",2,IF(J599="faces",2,IF(J599="names",2,IF(J599="idioms","2",IF(J599="grades",2,IF(J599="syllable-digit pairs",3,IF(J599="trigram-word pairs",3,IF(J599="word-digit pairs",3,IF(J599="English-Swahili pairs",3,IF(J599="spatial position",3,IF(J599="word pairs",4,IF(J599="word triads",4,IF(J599="generated words",4,IF(J599="word definition pairs",4,IF(J599="math problems",4,IF(J599="famous faces",4,IF(J599="famous names",4,IF(J599="famous voices",4,IF(J599="television programs",4,IF(J599="race horses",4,IF(J599="new vocabulary",4,IF(J599="sentences",5,IF(J599="concepts",5,IF(J599="ad slides",5,IF(J599="scenes",5,IF(J599="famous scenes",5,IF(J599="poems",6,IF(J599="walk",6,IF(J599="faces and events",6,IF(J599="events and names",6,IF(J599="flashbulb",7,IF(J599="stories",7,IF(J599="course material",7,IF(J599="autobiographical",7,IF(J599="novels",7,IF(J599="public events",7,"99"))))))))))))))))))))))))))))))))))))))))))))))</f>
        <v>7</v>
      </c>
      <c r="M599" s="69">
        <v>1</v>
      </c>
      <c r="N599" s="69">
        <v>4</v>
      </c>
      <c r="O599" s="69">
        <v>0</v>
      </c>
      <c r="P599" s="69"/>
      <c r="Q599" s="69" t="s">
        <v>174</v>
      </c>
      <c r="R599" s="69">
        <f>IF(Q599="Free Recall",1,IF(Q599="Cued Recall",2,IF(Q599="Recognition",3,IF(Q599="Multiple Choice",4,IF(Q599="Savings",5,IF(Q599="Stem Completion",6,IF(Q599="Fragment Completion",7,IF(Q599="anagram solution",8,IF(Q599="Matching",9,IF(Q599="Problem Solving",10,"99"))))))))))</f>
        <v>1</v>
      </c>
      <c r="S599" s="69" t="s">
        <v>49</v>
      </c>
      <c r="T599" s="92" t="s">
        <v>581</v>
      </c>
      <c r="U599" s="60">
        <f>IF(T599="within",1,0)</f>
        <v>1</v>
      </c>
      <c r="V599" s="92">
        <v>2</v>
      </c>
      <c r="W599" s="69">
        <f>F599*V599</f>
        <v>40</v>
      </c>
      <c r="X599" s="69">
        <v>3</v>
      </c>
      <c r="Y599" s="87">
        <f>AV598</f>
        <v>86400</v>
      </c>
      <c r="Z599" s="69" t="s">
        <v>530</v>
      </c>
      <c r="AA599" s="87">
        <f>11*7*24*60*60</f>
        <v>6652800</v>
      </c>
      <c r="AB599" s="69" t="str">
        <f>IF(AA599&lt;60,"1",IF(AA599&lt;=43200,"2",IF(AA599&lt;=777600,"3","4")))</f>
        <v>4</v>
      </c>
      <c r="AC599" s="72">
        <f>AVERAGE(AV598:DA598)</f>
        <v>3456000</v>
      </c>
      <c r="AD599" s="69" t="str">
        <f>IF(AC599&lt;60,"1",IF(AC599&lt;=43200,"2",IF(AC599&lt;=777600,"3","4")))</f>
        <v>4</v>
      </c>
      <c r="AE599" s="87">
        <f>AA599-Y599</f>
        <v>6566400</v>
      </c>
      <c r="AF599" s="88">
        <f>AV599</f>
        <v>0.13300000000000001</v>
      </c>
      <c r="AG599" s="72">
        <f>((AW599-AV599)+(AX599-AW599))/2</f>
        <v>-2.5000000000000001E-2</v>
      </c>
      <c r="AH599" s="4"/>
      <c r="AI599" s="72">
        <f>RSQ(AV599:AX599,AV598:AX598)</f>
        <v>0.70957152729785766</v>
      </c>
      <c r="AJ599" s="110">
        <f>SLOPE(AV599:AX599,AV598:AX598)</f>
        <v>-7.3987688448642148E-9</v>
      </c>
      <c r="AK599" s="72">
        <f>INTERCEPT(AV599:AX599,AV598:AX598)</f>
        <v>0.14190347846118406</v>
      </c>
      <c r="AL599" s="72">
        <f>INDEX(LINEST(LN(AV599:AX599),LN(AV598:AX598),TRUE,TRUE),3,1)</f>
        <v>0.36893566764168001</v>
      </c>
      <c r="AM599" s="72">
        <f>INDEX(LINEST(LN(AV599:AX599),LN(AV598:AX598)),1)</f>
        <v>-7.0286212647664284E-2</v>
      </c>
      <c r="AN599" s="72">
        <f>EXP(INDEX(LINEST(LN(AV599:AX599),LN(AV598:AX598)),1,2))</f>
        <v>0.30534542952549376</v>
      </c>
      <c r="AO599" s="89">
        <f>INDEX(LINEST((AV599:AX599),LN(AV598:AX598),TRUE,TRUE),3,1)</f>
        <v>0.36893566764168007</v>
      </c>
      <c r="AP599" s="89">
        <f>INDEX(LINEST((AV599:AX599),LN(AV598:AX598)),1)</f>
        <v>-7.4533343092387516E-3</v>
      </c>
      <c r="AQ599" s="90">
        <f>INDEX(LINEST(LN(AV599:AX599),SQRT(AV598:AX598),TRUE,TRUE),3,1)</f>
        <v>0.52943277050772453</v>
      </c>
      <c r="AR599" s="117">
        <f>INDEX(LINEST(LN(AV599:AX599),SQRT((AV598:AX598))),1)</f>
        <v>-1.6868599848119406E-4</v>
      </c>
      <c r="AS599" s="91">
        <f>INDEX(LINEST(1/(AV599:AX599),1/(SQRT(AV598:AX598)),TRUE,TRUE),3,1)</f>
        <v>0.28570015746389432</v>
      </c>
      <c r="AT599" s="91">
        <f>INDEX(LINEST(1/(AV599:AX599),1/SQRT(AV598:AX598)),1)</f>
        <v>-821.19711949111922</v>
      </c>
      <c r="AU599" s="3"/>
      <c r="AV599" s="73">
        <v>0.13300000000000001</v>
      </c>
      <c r="AW599" s="73">
        <v>0.13300000000000001</v>
      </c>
      <c r="AX599" s="73">
        <v>8.3000000000000004E-2</v>
      </c>
      <c r="AY599" s="53"/>
      <c r="AZ599" s="53"/>
      <c r="BA599" s="53"/>
      <c r="BB599" s="53"/>
      <c r="BC599" s="53"/>
      <c r="BD599" s="53"/>
      <c r="BE599" s="53"/>
      <c r="BF599" s="53"/>
      <c r="BG599" s="53"/>
      <c r="BH599" s="53"/>
      <c r="BI599" s="53"/>
      <c r="BJ599" s="53"/>
      <c r="BK599" s="53"/>
      <c r="BL599" s="53"/>
      <c r="BM599" s="53"/>
      <c r="BN599" s="53"/>
      <c r="BO599" s="53"/>
      <c r="BP599" s="53"/>
      <c r="BQ599" s="53"/>
      <c r="BR599" s="53"/>
      <c r="BS599" s="53"/>
      <c r="BT599" s="53"/>
      <c r="BU599" s="53"/>
      <c r="BV599" s="53"/>
      <c r="BW599" s="53"/>
      <c r="BX599" s="53"/>
      <c r="BY599" s="53"/>
      <c r="BZ599" s="53"/>
      <c r="CA599" s="53"/>
      <c r="CB599" s="53"/>
      <c r="CC599" s="53"/>
      <c r="CD599" s="53"/>
      <c r="CE599" s="53"/>
      <c r="CF599" s="53"/>
      <c r="CG599" s="53"/>
      <c r="CH599" s="53"/>
      <c r="CI599" s="53"/>
      <c r="CJ599" s="53"/>
      <c r="CK599" s="53"/>
      <c r="CL599" s="53"/>
      <c r="CM599" s="53"/>
      <c r="CN599" s="53"/>
      <c r="CO599" s="53"/>
      <c r="CP599" s="53"/>
      <c r="CQ599" s="53"/>
      <c r="CR599" s="1"/>
      <c r="CS599" s="1"/>
      <c r="CT599" s="1"/>
      <c r="CU599" s="1"/>
    </row>
    <row r="600" spans="1:99" s="13" customFormat="1" ht="12" customHeight="1" x14ac:dyDescent="0.2">
      <c r="A600" s="68">
        <v>43509</v>
      </c>
      <c r="B600" s="70"/>
      <c r="C600" s="70"/>
      <c r="D600" s="69"/>
      <c r="E600" s="87"/>
      <c r="F600" s="69"/>
      <c r="G600" s="69"/>
      <c r="H600" s="69"/>
      <c r="I600" s="69"/>
      <c r="J600" s="69"/>
      <c r="K600" s="107"/>
      <c r="L600" s="107"/>
      <c r="M600" s="69"/>
      <c r="N600" s="69"/>
      <c r="O600" s="69"/>
      <c r="P600" s="69"/>
      <c r="Q600" s="69"/>
      <c r="R600" s="69"/>
      <c r="S600" s="69"/>
      <c r="T600" s="69"/>
      <c r="U600" s="60"/>
      <c r="V600" s="69"/>
      <c r="W600" s="69"/>
      <c r="X600" s="69"/>
      <c r="Y600" s="87"/>
      <c r="Z600" s="69"/>
      <c r="AA600" s="69"/>
      <c r="AB600" s="69"/>
      <c r="AC600" s="69"/>
      <c r="AD600" s="69"/>
      <c r="AE600" s="69"/>
      <c r="AF600" s="88"/>
      <c r="AG600" s="72"/>
      <c r="AH600" s="4"/>
      <c r="AI600" s="72"/>
      <c r="AJ600" s="110"/>
      <c r="AK600" s="72"/>
      <c r="AL600" s="72"/>
      <c r="AM600" s="72"/>
      <c r="AN600" s="72"/>
      <c r="AO600" s="72"/>
      <c r="AP600" s="72"/>
      <c r="AQ600" s="89"/>
      <c r="AR600" s="118"/>
      <c r="AS600" s="89"/>
      <c r="AT600" s="89"/>
      <c r="AU600" s="4"/>
      <c r="AV600" s="71">
        <f>24*60*60</f>
        <v>86400</v>
      </c>
      <c r="AW600" s="71">
        <f>30*24*60*60*1.4</f>
        <v>3628800</v>
      </c>
      <c r="AX600" s="71">
        <f>11*7*24*60*60</f>
        <v>6652800</v>
      </c>
      <c r="AY600" s="53"/>
      <c r="AZ600" s="53"/>
      <c r="BA600" s="53"/>
      <c r="BB600" s="53"/>
      <c r="BC600" s="53"/>
      <c r="BD600" s="53"/>
      <c r="BE600" s="53"/>
      <c r="BF600" s="53"/>
      <c r="BG600" s="53"/>
      <c r="BH600" s="53"/>
      <c r="BI600" s="53"/>
      <c r="BJ600" s="53"/>
      <c r="BK600" s="53"/>
      <c r="BL600" s="53"/>
      <c r="BM600" s="53"/>
      <c r="BN600" s="53"/>
      <c r="BO600" s="53"/>
      <c r="BP600" s="53"/>
      <c r="BQ600" s="53"/>
      <c r="BR600" s="53"/>
      <c r="BS600" s="53"/>
      <c r="BT600" s="53"/>
      <c r="BU600" s="53"/>
      <c r="BV600" s="53"/>
      <c r="BW600" s="53"/>
      <c r="BX600" s="53"/>
      <c r="BY600" s="53"/>
      <c r="BZ600" s="53"/>
      <c r="CA600" s="53"/>
      <c r="CB600" s="53"/>
      <c r="CC600" s="53"/>
      <c r="CD600" s="53"/>
      <c r="CE600" s="53"/>
      <c r="CF600" s="53"/>
      <c r="CG600" s="53"/>
      <c r="CH600" s="53"/>
      <c r="CI600" s="53"/>
      <c r="CJ600" s="53"/>
      <c r="CK600" s="53"/>
      <c r="CL600" s="53"/>
      <c r="CM600" s="53"/>
      <c r="CN600" s="53"/>
      <c r="CO600" s="53"/>
      <c r="CP600" s="53"/>
      <c r="CQ600" s="53"/>
      <c r="CR600" s="1"/>
      <c r="CS600" s="1"/>
      <c r="CT600" s="1"/>
      <c r="CU600" s="1"/>
    </row>
    <row r="601" spans="1:99" s="13" customFormat="1" ht="12" customHeight="1" x14ac:dyDescent="0.2">
      <c r="A601" s="68">
        <v>43509</v>
      </c>
      <c r="B601" s="70" t="s">
        <v>196</v>
      </c>
      <c r="C601" s="70" t="s">
        <v>70</v>
      </c>
      <c r="D601" s="69">
        <v>2006</v>
      </c>
      <c r="E601" s="87">
        <v>1</v>
      </c>
      <c r="F601" s="69">
        <v>20</v>
      </c>
      <c r="G601" s="69">
        <v>20</v>
      </c>
      <c r="H601" s="69" t="s">
        <v>30</v>
      </c>
      <c r="I601" s="69" t="s">
        <v>815</v>
      </c>
      <c r="J601" s="69" t="s">
        <v>704</v>
      </c>
      <c r="K601" s="69">
        <f>IF(J601="syllables",1,IF(J601="trigrams",2,IF(J601="strings",3,IF(J601="visual array",4,IF(J601="characters",5,IF(J601="letters",6,IF(J601="free forms",7,IF(J601="odors",8,IF(J601="words",9,IF(J601="pictures",10,IF(J601="object pictures",11,IF(J601="faces",12,IF(J601="names",13,IF(J601="idioms",14,IF(J601="grades",15,IF(J601="syllable-digit pairs",16,IF(J601="trigram-word pairs",17,IF(J601="word-digit pairs",18,IF(J601="English-Swahili pairs",19,IF(J601="spatial position",20,IF(J601="word pairs",21,IF(J601="word triads",22,IF(J601="generated words",23,IF(J601="word definition pairs",24,IF(J601="math problems",25,IF(J601="famous faces",26,IF(J601="famous names",27,IF(J601="famous voices",28,IF(J601="television programs",29,IF(J601="race horses",30,IF(J601="new vocabulary",31,IF(J601="sentences",32,IF(J601="concepts",33,IF(J601="ad slides",34,IF(J601="scenes",35,IF(J601="famous scenes",36,IF(J601="poems",37,IF(J601="walk",38,IF(J601="faces and events",39,IF(J601="events and names",40,IF(J601="flashbulb",41,IF(J601="stories",42,IF(J601="course material",43,IF(J601="autobiographical",44,IF(J601="novels",45,IF(J601="public events",46,"99"))))))))))))))))))))))))))))))))))))))))))))))</f>
        <v>41</v>
      </c>
      <c r="L601" s="69">
        <f>IF(J601="syllables",1,IF(J601="trigrams",1,IF(J601="strings",1,IF(J601="visual array",1,IF(J601="characters",1,IF(J601="letters",1,IF(J601="free forms",1,IF(J601="odors",2,IF(J601="words",2,IF(J601="pictures",2,IF(J601="object pictures",2,IF(J601="faces",2,IF(J601="names",2,IF(J601="idioms","2",IF(J601="grades",2,IF(J601="syllable-digit pairs",3,IF(J601="trigram-word pairs",3,IF(J601="word-digit pairs",3,IF(J601="English-Swahili pairs",3,IF(J601="spatial position",3,IF(J601="word pairs",4,IF(J601="word triads",4,IF(J601="generated words",4,IF(J601="word definition pairs",4,IF(J601="math problems",4,IF(J601="famous faces",4,IF(J601="famous names",4,IF(J601="famous voices",4,IF(J601="television programs",4,IF(J601="race horses",4,IF(J601="new vocabulary",4,IF(J601="sentences",5,IF(J601="concepts",5,IF(J601="ad slides",5,IF(J601="scenes",5,IF(J601="famous scenes",5,IF(J601="poems",6,IF(J601="walk",6,IF(J601="faces and events",6,IF(J601="events and names",6,IF(J601="flashbulb",7,IF(J601="stories",7,IF(J601="course material",7,IF(J601="autobiographical",7,IF(J601="novels",7,IF(J601="public events",7,"99"))))))))))))))))))))))))))))))))))))))))))))))</f>
        <v>7</v>
      </c>
      <c r="M601" s="69">
        <v>1</v>
      </c>
      <c r="N601" s="69">
        <v>4</v>
      </c>
      <c r="O601" s="69">
        <v>0</v>
      </c>
      <c r="P601" s="69"/>
      <c r="Q601" s="69" t="s">
        <v>174</v>
      </c>
      <c r="R601" s="69">
        <f>IF(Q601="Free Recall",1,IF(Q601="Cued Recall",2,IF(Q601="Recognition",3,IF(Q601="Multiple Choice",4,IF(Q601="Savings",5,IF(Q601="Stem Completion",6,IF(Q601="Fragment Completion",7,IF(Q601="anagram solution",8,IF(Q601="Matching",9,IF(Q601="Problem Solving",10,"99"))))))))))</f>
        <v>1</v>
      </c>
      <c r="S601" s="69" t="s">
        <v>49</v>
      </c>
      <c r="T601" s="92" t="s">
        <v>581</v>
      </c>
      <c r="U601" s="60">
        <f>IF(T601="within",1,0)</f>
        <v>1</v>
      </c>
      <c r="V601" s="92">
        <v>3</v>
      </c>
      <c r="W601" s="69">
        <f>F601*V601</f>
        <v>60</v>
      </c>
      <c r="X601" s="69">
        <v>3</v>
      </c>
      <c r="Y601" s="87">
        <f>AV600</f>
        <v>86400</v>
      </c>
      <c r="Z601" s="69" t="s">
        <v>530</v>
      </c>
      <c r="AA601" s="87">
        <f>11*7*24*60*60</f>
        <v>6652800</v>
      </c>
      <c r="AB601" s="69" t="str">
        <f>IF(AA601&lt;60,"1",IF(AA601&lt;=43200,"2",IF(AA601&lt;=777600,"3","4")))</f>
        <v>4</v>
      </c>
      <c r="AC601" s="72">
        <f>AVERAGE(AV600:DA600)</f>
        <v>3456000</v>
      </c>
      <c r="AD601" s="69" t="str">
        <f>IF(AC601&lt;60,"1",IF(AC601&lt;=43200,"2",IF(AC601&lt;=777600,"3","4")))</f>
        <v>4</v>
      </c>
      <c r="AE601" s="87">
        <f>AA601-Y601</f>
        <v>6566400</v>
      </c>
      <c r="AF601" s="88">
        <f>AV601</f>
        <v>0.95799999999999996</v>
      </c>
      <c r="AG601" s="72">
        <f>((AW601-AV601)+(AX601-AW601))/2</f>
        <v>-4.1499999999999981E-2</v>
      </c>
      <c r="AH601" s="4"/>
      <c r="AI601" s="72">
        <f>RSQ(AV601:AX601,AV600:AX600)</f>
        <v>0.85505211818267868</v>
      </c>
      <c r="AJ601" s="110">
        <f>SLOPE(AV601:AX601,AV600:AX600)</f>
        <v>-1.2881856459085203E-8</v>
      </c>
      <c r="AK601" s="72">
        <f>INTERCEPT(AV601:AX601,AV600:AX600)</f>
        <v>0.94985302925593185</v>
      </c>
      <c r="AL601" s="72">
        <f>INDEX(LINEST(LN(AV601:AX601),LN(AV600:AX600),TRUE,TRUE),3,1)</f>
        <v>0.99856673199237012</v>
      </c>
      <c r="AM601" s="72">
        <f>INDEX(LINEST(LN(AV601:AX601),LN(AV600:AX600)),1)</f>
        <v>-2.1197041933143659E-2</v>
      </c>
      <c r="AN601" s="72">
        <f>EXP(INDEX(LINEST(LN(AV601:AX601),LN(AV600:AX600)),1,2))</f>
        <v>1.21866109318462</v>
      </c>
      <c r="AO601" s="89">
        <f>INDEX(LINEST((AV601:AX601),LN(AV600:AX600),TRUE,TRUE),3,1)</f>
        <v>0.99826122256049976</v>
      </c>
      <c r="AP601" s="89">
        <f>INDEX(LINEST((AV601:AX601),LN(AV600:AX600)),1)</f>
        <v>-1.9445457850438847E-2</v>
      </c>
      <c r="AQ601" s="90">
        <f>INDEX(LINEST(LN(AV601:AX601),SQRT(AV600:AX600),TRUE,TRUE),3,1)</f>
        <v>0.96055734673267612</v>
      </c>
      <c r="AR601" s="117">
        <f>INDEX(LINEST(LN(AV601:AX601),SQRT((AV600:AX600))),1)</f>
        <v>-4.1651166361090354E-5</v>
      </c>
      <c r="AS601" s="91">
        <f>INDEX(LINEST(1/(AV601:AX601),1/(SQRT(AV600:AX600)),TRUE,TRUE),3,1)</f>
        <v>0.9969845045033694</v>
      </c>
      <c r="AT601" s="91">
        <f>INDEX(LINEST(1/(AV601:AX601),1/SQRT(AV600:AX600)),1)</f>
        <v>-31.926531477895903</v>
      </c>
      <c r="AU601" s="3"/>
      <c r="AV601" s="73">
        <v>0.95799999999999996</v>
      </c>
      <c r="AW601" s="73">
        <v>0.88300000000000001</v>
      </c>
      <c r="AX601" s="73">
        <v>0.875</v>
      </c>
      <c r="AY601" s="53"/>
      <c r="AZ601" s="53"/>
      <c r="BA601" s="53"/>
      <c r="BB601" s="53"/>
      <c r="BC601" s="53"/>
      <c r="BD601" s="53"/>
      <c r="BE601" s="53"/>
      <c r="BF601" s="53"/>
      <c r="BG601" s="53"/>
      <c r="BH601" s="53"/>
      <c r="BI601" s="53"/>
      <c r="BJ601" s="53"/>
      <c r="BK601" s="53"/>
      <c r="BL601" s="53"/>
      <c r="BM601" s="53"/>
      <c r="BN601" s="53"/>
      <c r="BO601" s="53"/>
      <c r="BP601" s="53"/>
      <c r="BQ601" s="53"/>
      <c r="BR601" s="53"/>
      <c r="BS601" s="53"/>
      <c r="BT601" s="53"/>
      <c r="BU601" s="53"/>
      <c r="BV601" s="53"/>
      <c r="BW601" s="53"/>
      <c r="BX601" s="53"/>
      <c r="BY601" s="53"/>
      <c r="BZ601" s="53"/>
      <c r="CA601" s="53"/>
      <c r="CB601" s="53"/>
      <c r="CC601" s="53"/>
      <c r="CD601" s="53"/>
      <c r="CE601" s="53"/>
      <c r="CF601" s="53"/>
      <c r="CG601" s="53"/>
      <c r="CH601" s="53"/>
      <c r="CI601" s="53"/>
      <c r="CJ601" s="53"/>
      <c r="CK601" s="53"/>
      <c r="CL601" s="53"/>
      <c r="CM601" s="53"/>
      <c r="CN601" s="53"/>
      <c r="CO601" s="53"/>
      <c r="CP601" s="53"/>
      <c r="CQ601" s="53"/>
      <c r="CR601" s="1"/>
      <c r="CS601" s="1"/>
      <c r="CT601" s="1"/>
      <c r="CU601" s="1"/>
    </row>
    <row r="602" spans="1:99" s="13" customFormat="1" ht="12" customHeight="1" x14ac:dyDescent="0.2">
      <c r="A602" s="68">
        <v>43509</v>
      </c>
      <c r="B602" s="70"/>
      <c r="C602" s="70"/>
      <c r="D602" s="69"/>
      <c r="E602" s="87"/>
      <c r="F602" s="69"/>
      <c r="G602" s="69"/>
      <c r="H602" s="69"/>
      <c r="I602" s="69"/>
      <c r="J602" s="69"/>
      <c r="K602" s="107"/>
      <c r="L602" s="107"/>
      <c r="M602" s="69"/>
      <c r="N602" s="69"/>
      <c r="O602" s="69"/>
      <c r="P602" s="69"/>
      <c r="Q602" s="69"/>
      <c r="R602" s="69"/>
      <c r="S602" s="69"/>
      <c r="T602" s="69"/>
      <c r="U602" s="60"/>
      <c r="V602" s="69"/>
      <c r="W602" s="69"/>
      <c r="X602" s="69"/>
      <c r="Y602" s="87"/>
      <c r="Z602" s="69"/>
      <c r="AA602" s="69"/>
      <c r="AB602" s="69"/>
      <c r="AC602" s="69"/>
      <c r="AD602" s="69"/>
      <c r="AE602" s="69"/>
      <c r="AF602" s="88"/>
      <c r="AG602" s="72"/>
      <c r="AH602" s="4"/>
      <c r="AI602" s="72"/>
      <c r="AJ602" s="110"/>
      <c r="AK602" s="72"/>
      <c r="AL602" s="72"/>
      <c r="AM602" s="72"/>
      <c r="AN602" s="72"/>
      <c r="AO602" s="72"/>
      <c r="AP602" s="72"/>
      <c r="AQ602" s="89"/>
      <c r="AR602" s="118"/>
      <c r="AS602" s="89"/>
      <c r="AT602" s="89"/>
      <c r="AU602" s="4"/>
      <c r="AV602" s="71">
        <f>24*60*60</f>
        <v>86400</v>
      </c>
      <c r="AW602" s="71">
        <f>30*24*60*60*1.4</f>
        <v>3628800</v>
      </c>
      <c r="AX602" s="71">
        <f>11*7*24*60*60</f>
        <v>6652800</v>
      </c>
      <c r="AY602" s="53"/>
      <c r="AZ602" s="53"/>
      <c r="BA602" s="53"/>
      <c r="BB602" s="53"/>
      <c r="BC602" s="53"/>
      <c r="BD602" s="53"/>
      <c r="BE602" s="53"/>
      <c r="BF602" s="53"/>
      <c r="BG602" s="53"/>
      <c r="BH602" s="53"/>
      <c r="BI602" s="53"/>
      <c r="BJ602" s="53"/>
      <c r="BK602" s="53"/>
      <c r="BL602" s="53"/>
      <c r="BM602" s="53"/>
      <c r="BN602" s="53"/>
      <c r="BO602" s="53"/>
      <c r="BP602" s="53"/>
      <c r="BQ602" s="53"/>
      <c r="BR602" s="53"/>
      <c r="BS602" s="53"/>
      <c r="BT602" s="53"/>
      <c r="BU602" s="53"/>
      <c r="BV602" s="53"/>
      <c r="BW602" s="53"/>
      <c r="BX602" s="53"/>
      <c r="BY602" s="53"/>
      <c r="BZ602" s="53"/>
      <c r="CA602" s="53"/>
      <c r="CB602" s="53"/>
      <c r="CC602" s="53"/>
      <c r="CD602" s="53"/>
      <c r="CE602" s="53"/>
      <c r="CF602" s="53"/>
      <c r="CG602" s="53"/>
      <c r="CH602" s="53"/>
      <c r="CI602" s="53"/>
      <c r="CJ602" s="53"/>
      <c r="CK602" s="53"/>
      <c r="CL602" s="53"/>
      <c r="CM602" s="53"/>
      <c r="CN602" s="53"/>
      <c r="CO602" s="53"/>
      <c r="CP602" s="53"/>
      <c r="CQ602" s="53"/>
      <c r="CR602" s="1"/>
      <c r="CS602" s="1"/>
      <c r="CT602" s="1"/>
      <c r="CU602" s="1"/>
    </row>
    <row r="603" spans="1:99" s="13" customFormat="1" ht="12" customHeight="1" x14ac:dyDescent="0.2">
      <c r="A603" s="68">
        <v>43509</v>
      </c>
      <c r="B603" s="70" t="s">
        <v>196</v>
      </c>
      <c r="C603" s="70" t="s">
        <v>70</v>
      </c>
      <c r="D603" s="69">
        <v>2006</v>
      </c>
      <c r="E603" s="87">
        <v>1</v>
      </c>
      <c r="F603" s="69">
        <v>20</v>
      </c>
      <c r="G603" s="69">
        <v>20</v>
      </c>
      <c r="H603" s="69" t="s">
        <v>30</v>
      </c>
      <c r="I603" s="69" t="s">
        <v>815</v>
      </c>
      <c r="J603" s="69" t="s">
        <v>704</v>
      </c>
      <c r="K603" s="69">
        <f>IF(J603="syllables",1,IF(J603="trigrams",2,IF(J603="strings",3,IF(J603="visual array",4,IF(J603="characters",5,IF(J603="letters",6,IF(J603="free forms",7,IF(J603="odors",8,IF(J603="words",9,IF(J603="pictures",10,IF(J603="object pictures",11,IF(J603="faces",12,IF(J603="names",13,IF(J603="idioms",14,IF(J603="grades",15,IF(J603="syllable-digit pairs",16,IF(J603="trigram-word pairs",17,IF(J603="word-digit pairs",18,IF(J603="English-Swahili pairs",19,IF(J603="spatial position",20,IF(J603="word pairs",21,IF(J603="word triads",22,IF(J603="generated words",23,IF(J603="word definition pairs",24,IF(J603="math problems",25,IF(J603="famous faces",26,IF(J603="famous names",27,IF(J603="famous voices",28,IF(J603="television programs",29,IF(J603="race horses",30,IF(J603="new vocabulary",31,IF(J603="sentences",32,IF(J603="concepts",33,IF(J603="ad slides",34,IF(J603="scenes",35,IF(J603="famous scenes",36,IF(J603="poems",37,IF(J603="walk",38,IF(J603="faces and events",39,IF(J603="events and names",40,IF(J603="flashbulb",41,IF(J603="stories",42,IF(J603="course material",43,IF(J603="autobiographical",44,IF(J603="novels",45,IF(J603="public events",46,"99"))))))))))))))))))))))))))))))))))))))))))))))</f>
        <v>41</v>
      </c>
      <c r="L603" s="69">
        <f>IF(J603="syllables",1,IF(J603="trigrams",1,IF(J603="strings",1,IF(J603="visual array",1,IF(J603="characters",1,IF(J603="letters",1,IF(J603="free forms",1,IF(J603="odors",2,IF(J603="words",2,IF(J603="pictures",2,IF(J603="object pictures",2,IF(J603="faces",2,IF(J603="names",2,IF(J603="idioms","2",IF(J603="grades",2,IF(J603="syllable-digit pairs",3,IF(J603="trigram-word pairs",3,IF(J603="word-digit pairs",3,IF(J603="English-Swahili pairs",3,IF(J603="spatial position",3,IF(J603="word pairs",4,IF(J603="word triads",4,IF(J603="generated words",4,IF(J603="word definition pairs",4,IF(J603="math problems",4,IF(J603="famous faces",4,IF(J603="famous names",4,IF(J603="famous voices",4,IF(J603="television programs",4,IF(J603="race horses",4,IF(J603="new vocabulary",4,IF(J603="sentences",5,IF(J603="concepts",5,IF(J603="ad slides",5,IF(J603="scenes",5,IF(J603="famous scenes",5,IF(J603="poems",6,IF(J603="walk",6,IF(J603="faces and events",6,IF(J603="events and names",6,IF(J603="flashbulb",7,IF(J603="stories",7,IF(J603="course material",7,IF(J603="autobiographical",7,IF(J603="novels",7,IF(J603="public events",7,"99"))))))))))))))))))))))))))))))))))))))))))))))</f>
        <v>7</v>
      </c>
      <c r="M603" s="69">
        <v>1</v>
      </c>
      <c r="N603" s="69">
        <v>4</v>
      </c>
      <c r="O603" s="69">
        <v>0</v>
      </c>
      <c r="P603" s="69"/>
      <c r="Q603" s="69" t="s">
        <v>174</v>
      </c>
      <c r="R603" s="69">
        <f>IF(Q603="Free Recall",1,IF(Q603="Cued Recall",2,IF(Q603="Recognition",3,IF(Q603="Multiple Choice",4,IF(Q603="Savings",5,IF(Q603="Stem Completion",6,IF(Q603="Fragment Completion",7,IF(Q603="anagram solution",8,IF(Q603="Matching",9,IF(Q603="Problem Solving",10,"99"))))))))))</f>
        <v>1</v>
      </c>
      <c r="S603" s="69" t="s">
        <v>49</v>
      </c>
      <c r="T603" s="92" t="s">
        <v>581</v>
      </c>
      <c r="U603" s="60">
        <f>IF(T603="within",1,0)</f>
        <v>1</v>
      </c>
      <c r="V603" s="92">
        <v>3</v>
      </c>
      <c r="W603" s="69">
        <f>F603*V603</f>
        <v>60</v>
      </c>
      <c r="X603" s="69">
        <v>3</v>
      </c>
      <c r="Y603" s="87">
        <f>AV602</f>
        <v>86400</v>
      </c>
      <c r="Z603" s="69" t="s">
        <v>530</v>
      </c>
      <c r="AA603" s="87">
        <f>11*7*24*60*60</f>
        <v>6652800</v>
      </c>
      <c r="AB603" s="69" t="str">
        <f>IF(AA603&lt;60,"1",IF(AA603&lt;=43200,"2",IF(AA603&lt;=777600,"3","4")))</f>
        <v>4</v>
      </c>
      <c r="AC603" s="72">
        <f>AVERAGE(AV602:DA602)</f>
        <v>3456000</v>
      </c>
      <c r="AD603" s="69" t="str">
        <f>IF(AC603&lt;60,"1",IF(AC603&lt;=43200,"2",IF(AC603&lt;=777600,"3","4")))</f>
        <v>4</v>
      </c>
      <c r="AE603" s="87">
        <f>AA603-Y603</f>
        <v>6566400</v>
      </c>
      <c r="AF603" s="88">
        <f>AV603</f>
        <v>0.56699999999999995</v>
      </c>
      <c r="AG603" s="72">
        <f>((AW603-AV603)+(AX603-AW603))/2</f>
        <v>-1.699999999999996E-2</v>
      </c>
      <c r="AH603" s="4"/>
      <c r="AI603" s="72">
        <f>RSQ(AV603:AX603,AV602:AX602)</f>
        <v>3.9858598197025648E-2</v>
      </c>
      <c r="AJ603" s="110">
        <f>SLOPE(AV603:AX603,AV602:AX602)</f>
        <v>-4.2312959123601711E-9</v>
      </c>
      <c r="AK603" s="72">
        <f>INTERCEPT(AV603:AX603,AV602:AX602)</f>
        <v>0.60362335867311667</v>
      </c>
      <c r="AL603" s="72">
        <f>INDEX(LINEST(LN(AV603:AX603),LN(AV602:AX602),TRUE,TRUE),3,1)</f>
        <v>1.534917344681825E-2</v>
      </c>
      <c r="AM603" s="72">
        <f>INDEX(LINEST(LN(AV603:AX603),LN(AV602:AX602)),1)</f>
        <v>6.1001670878660236E-3</v>
      </c>
      <c r="AN603" s="72">
        <f>EXP(INDEX(LINEST(LN(AV603:AX603),LN(AV602:AX602)),1,2))</f>
        <v>0.5381398356640692</v>
      </c>
      <c r="AO603" s="89">
        <f>INDEX(LINEST((AV603:AX603),LN(AV602:AX602),TRUE,TRUE),3,1)</f>
        <v>2.1705898634536178E-2</v>
      </c>
      <c r="AP603" s="89">
        <f>INDEX(LINEST((AV603:AX603),LN(AV602:AX602)),1)</f>
        <v>4.3622965325210488E-3</v>
      </c>
      <c r="AQ603" s="90">
        <f>INDEX(LINEST(LN(AV603:AX603),SQRT(AV602:AX602),TRUE,TRUE),3,1)</f>
        <v>1.4321302082853306E-3</v>
      </c>
      <c r="AR603" s="117">
        <f>INDEX(LINEST(LN(AV603:AX603),SQRT((AV602:AX602))),1)</f>
        <v>-3.7330971557886028E-6</v>
      </c>
      <c r="AS603" s="91">
        <f>INDEX(LINEST(1/(AV603:AX603),1/(SQRT(AV602:AX602)),TRUE,TRUE),3,1)</f>
        <v>3.5038786271232386E-2</v>
      </c>
      <c r="AT603" s="91">
        <f>INDEX(LINEST(1/(AV603:AX603),1/SQRT(AV602:AX602)),1)</f>
        <v>21.279396144240483</v>
      </c>
      <c r="AU603" s="3"/>
      <c r="AV603" s="73">
        <v>0.56699999999999995</v>
      </c>
      <c r="AW603" s="73">
        <v>0.66700000000000004</v>
      </c>
      <c r="AX603" s="73">
        <v>0.53300000000000003</v>
      </c>
      <c r="AY603" s="53"/>
      <c r="AZ603" s="53"/>
      <c r="BA603" s="53"/>
      <c r="BB603" s="53"/>
      <c r="BC603" s="53"/>
      <c r="BD603" s="53"/>
      <c r="BE603" s="53"/>
      <c r="BF603" s="53"/>
      <c r="BG603" s="53"/>
      <c r="BH603" s="53"/>
      <c r="BI603" s="53"/>
      <c r="BJ603" s="53"/>
      <c r="BK603" s="53"/>
      <c r="BL603" s="53"/>
      <c r="BM603" s="53"/>
      <c r="BN603" s="53"/>
      <c r="BO603" s="53"/>
      <c r="BP603" s="53"/>
      <c r="BQ603" s="53"/>
      <c r="BR603" s="53"/>
      <c r="BS603" s="53"/>
      <c r="BT603" s="53"/>
      <c r="BU603" s="53"/>
      <c r="BV603" s="53"/>
      <c r="BW603" s="53"/>
      <c r="BX603" s="53"/>
      <c r="BY603" s="53"/>
      <c r="BZ603" s="53"/>
      <c r="CA603" s="53"/>
      <c r="CB603" s="53"/>
      <c r="CC603" s="53"/>
      <c r="CD603" s="53"/>
      <c r="CE603" s="53"/>
      <c r="CF603" s="53"/>
      <c r="CG603" s="53"/>
      <c r="CH603" s="53"/>
      <c r="CI603" s="53"/>
      <c r="CJ603" s="53"/>
      <c r="CK603" s="53"/>
      <c r="CL603" s="53"/>
      <c r="CM603" s="53"/>
      <c r="CN603" s="53"/>
      <c r="CO603" s="53"/>
      <c r="CP603" s="53"/>
      <c r="CQ603" s="53"/>
      <c r="CR603" s="1"/>
      <c r="CS603" s="1"/>
      <c r="CT603" s="1"/>
      <c r="CU603" s="1"/>
    </row>
    <row r="604" spans="1:99" s="13" customFormat="1" ht="12" customHeight="1" x14ac:dyDescent="0.2">
      <c r="A604" s="68">
        <v>43509</v>
      </c>
      <c r="B604" s="70"/>
      <c r="C604" s="70"/>
      <c r="D604" s="69"/>
      <c r="E604" s="87"/>
      <c r="F604" s="69"/>
      <c r="G604" s="69"/>
      <c r="H604" s="69"/>
      <c r="I604" s="69"/>
      <c r="J604" s="69"/>
      <c r="K604" s="107"/>
      <c r="L604" s="107"/>
      <c r="M604" s="69"/>
      <c r="N604" s="69"/>
      <c r="O604" s="69"/>
      <c r="P604" s="69"/>
      <c r="Q604" s="69"/>
      <c r="R604" s="69"/>
      <c r="S604" s="69"/>
      <c r="T604" s="92"/>
      <c r="U604" s="60"/>
      <c r="V604" s="69"/>
      <c r="W604" s="69"/>
      <c r="X604" s="69"/>
      <c r="Y604" s="87"/>
      <c r="Z604" s="69"/>
      <c r="AA604" s="69"/>
      <c r="AB604" s="69"/>
      <c r="AC604" s="69"/>
      <c r="AD604" s="69"/>
      <c r="AE604" s="69"/>
      <c r="AF604" s="88"/>
      <c r="AG604" s="72"/>
      <c r="AH604" s="4"/>
      <c r="AI604" s="72"/>
      <c r="AJ604" s="110"/>
      <c r="AK604" s="72"/>
      <c r="AL604" s="72"/>
      <c r="AM604" s="72"/>
      <c r="AN604" s="72"/>
      <c r="AO604" s="72"/>
      <c r="AP604" s="72"/>
      <c r="AQ604" s="89"/>
      <c r="AR604" s="118"/>
      <c r="AS604" s="89"/>
      <c r="AT604" s="89"/>
      <c r="AU604" s="4"/>
      <c r="AV604" s="71">
        <f>24*60*60</f>
        <v>86400</v>
      </c>
      <c r="AW604" s="71">
        <f>30*24*60*60*1.4</f>
        <v>3628800</v>
      </c>
      <c r="AX604" s="71">
        <f>11*7*24*60*60</f>
        <v>6652800</v>
      </c>
      <c r="AY604" s="53"/>
      <c r="AZ604" s="53"/>
      <c r="BA604" s="53"/>
      <c r="BB604" s="53"/>
      <c r="BC604" s="53"/>
      <c r="BD604" s="53"/>
      <c r="BE604" s="53"/>
      <c r="BF604" s="53"/>
      <c r="BG604" s="53"/>
      <c r="BH604" s="53"/>
      <c r="BI604" s="53"/>
      <c r="BJ604" s="53"/>
      <c r="BK604" s="53"/>
      <c r="BL604" s="53"/>
      <c r="BM604" s="53"/>
      <c r="BN604" s="53"/>
      <c r="BO604" s="53"/>
      <c r="BP604" s="53"/>
      <c r="BQ604" s="53"/>
      <c r="BR604" s="53"/>
      <c r="BS604" s="53"/>
      <c r="BT604" s="53"/>
      <c r="BU604" s="53"/>
      <c r="BV604" s="53"/>
      <c r="BW604" s="53"/>
      <c r="BX604" s="53"/>
      <c r="BY604" s="53"/>
      <c r="BZ604" s="53"/>
      <c r="CA604" s="53"/>
      <c r="CB604" s="53"/>
      <c r="CC604" s="53"/>
      <c r="CD604" s="53"/>
      <c r="CE604" s="53"/>
      <c r="CF604" s="53"/>
      <c r="CG604" s="53"/>
      <c r="CH604" s="53"/>
      <c r="CI604" s="53"/>
      <c r="CJ604" s="53"/>
      <c r="CK604" s="53"/>
      <c r="CL604" s="53"/>
      <c r="CM604" s="53"/>
      <c r="CN604" s="53"/>
      <c r="CO604" s="53"/>
      <c r="CP604" s="53"/>
      <c r="CQ604" s="53"/>
      <c r="CR604" s="1"/>
      <c r="CS604" s="1"/>
      <c r="CT604" s="1"/>
      <c r="CU604" s="1"/>
    </row>
    <row r="605" spans="1:99" s="13" customFormat="1" ht="12" customHeight="1" x14ac:dyDescent="0.2">
      <c r="A605" s="68">
        <v>43509</v>
      </c>
      <c r="B605" s="70" t="s">
        <v>196</v>
      </c>
      <c r="C605" s="70" t="s">
        <v>70</v>
      </c>
      <c r="D605" s="69">
        <v>2006</v>
      </c>
      <c r="E605" s="87">
        <v>1</v>
      </c>
      <c r="F605" s="69">
        <v>20</v>
      </c>
      <c r="G605" s="69">
        <v>20</v>
      </c>
      <c r="H605" s="69" t="s">
        <v>30</v>
      </c>
      <c r="I605" s="69" t="s">
        <v>815</v>
      </c>
      <c r="J605" s="69" t="s">
        <v>704</v>
      </c>
      <c r="K605" s="69">
        <f>IF(J605="syllables",1,IF(J605="trigrams",2,IF(J605="strings",3,IF(J605="visual array",4,IF(J605="characters",5,IF(J605="letters",6,IF(J605="free forms",7,IF(J605="odors",8,IF(J605="words",9,IF(J605="pictures",10,IF(J605="object pictures",11,IF(J605="faces",12,IF(J605="names",13,IF(J605="idioms",14,IF(J605="grades",15,IF(J605="syllable-digit pairs",16,IF(J605="trigram-word pairs",17,IF(J605="word-digit pairs",18,IF(J605="English-Swahili pairs",19,IF(J605="spatial position",20,IF(J605="word pairs",21,IF(J605="word triads",22,IF(J605="generated words",23,IF(J605="word definition pairs",24,IF(J605="math problems",25,IF(J605="famous faces",26,IF(J605="famous names",27,IF(J605="famous voices",28,IF(J605="television programs",29,IF(J605="race horses",30,IF(J605="new vocabulary",31,IF(J605="sentences",32,IF(J605="concepts",33,IF(J605="ad slides",34,IF(J605="scenes",35,IF(J605="famous scenes",36,IF(J605="poems",37,IF(J605="walk",38,IF(J605="faces and events",39,IF(J605="events and names",40,IF(J605="flashbulb",41,IF(J605="stories",42,IF(J605="course material",43,IF(J605="autobiographical",44,IF(J605="novels",45,IF(J605="public events",46,"99"))))))))))))))))))))))))))))))))))))))))))))))</f>
        <v>41</v>
      </c>
      <c r="L605" s="69">
        <f>IF(J605="syllables",1,IF(J605="trigrams",1,IF(J605="strings",1,IF(J605="visual array",1,IF(J605="characters",1,IF(J605="letters",1,IF(J605="free forms",1,IF(J605="odors",2,IF(J605="words",2,IF(J605="pictures",2,IF(J605="object pictures",2,IF(J605="faces",2,IF(J605="names",2,IF(J605="idioms","2",IF(J605="grades",2,IF(J605="syllable-digit pairs",3,IF(J605="trigram-word pairs",3,IF(J605="word-digit pairs",3,IF(J605="English-Swahili pairs",3,IF(J605="spatial position",3,IF(J605="word pairs",4,IF(J605="word triads",4,IF(J605="generated words",4,IF(J605="word definition pairs",4,IF(J605="math problems",4,IF(J605="famous faces",4,IF(J605="famous names",4,IF(J605="famous voices",4,IF(J605="television programs",4,IF(J605="race horses",4,IF(J605="new vocabulary",4,IF(J605="sentences",5,IF(J605="concepts",5,IF(J605="ad slides",5,IF(J605="scenes",5,IF(J605="famous scenes",5,IF(J605="poems",6,IF(J605="walk",6,IF(J605="faces and events",6,IF(J605="events and names",6,IF(J605="flashbulb",7,IF(J605="stories",7,IF(J605="course material",7,IF(J605="autobiographical",7,IF(J605="novels",7,IF(J605="public events",7,"99"))))))))))))))))))))))))))))))))))))))))))))))</f>
        <v>7</v>
      </c>
      <c r="M605" s="69">
        <v>1</v>
      </c>
      <c r="N605" s="69">
        <v>4</v>
      </c>
      <c r="O605" s="69">
        <v>0</v>
      </c>
      <c r="P605" s="69"/>
      <c r="Q605" s="69" t="s">
        <v>174</v>
      </c>
      <c r="R605" s="69">
        <f>IF(Q605="Free Recall",1,IF(Q605="Cued Recall",2,IF(Q605="Recognition",3,IF(Q605="Multiple Choice",4,IF(Q605="Savings",5,IF(Q605="Stem Completion",6,IF(Q605="Fragment Completion",7,IF(Q605="anagram solution",8,IF(Q605="Matching",9,IF(Q605="Problem Solving",10,"99"))))))))))</f>
        <v>1</v>
      </c>
      <c r="S605" s="69" t="s">
        <v>49</v>
      </c>
      <c r="T605" s="92" t="s">
        <v>581</v>
      </c>
      <c r="U605" s="60">
        <f>IF(T605="within",1,0)</f>
        <v>1</v>
      </c>
      <c r="V605" s="92">
        <v>2</v>
      </c>
      <c r="W605" s="69">
        <f>F605*V605</f>
        <v>40</v>
      </c>
      <c r="X605" s="69">
        <v>3</v>
      </c>
      <c r="Y605" s="87">
        <f>AV604</f>
        <v>86400</v>
      </c>
      <c r="Z605" s="69" t="s">
        <v>530</v>
      </c>
      <c r="AA605" s="87">
        <f>11*7*24*60*60</f>
        <v>6652800</v>
      </c>
      <c r="AB605" s="69" t="str">
        <f>IF(AA605&lt;60,"1",IF(AA605&lt;=43200,"2",IF(AA605&lt;=777600,"3","4")))</f>
        <v>4</v>
      </c>
      <c r="AC605" s="72">
        <f>AVERAGE(AV604:DA604)</f>
        <v>3456000</v>
      </c>
      <c r="AD605" s="69" t="str">
        <f>IF(AC605&lt;60,"1",IF(AC605&lt;=43200,"2",IF(AC605&lt;=777600,"3","4")))</f>
        <v>4</v>
      </c>
      <c r="AE605" s="87">
        <f>AA605-Y605</f>
        <v>6566400</v>
      </c>
      <c r="AF605" s="88">
        <f>AV605</f>
        <v>0.316</v>
      </c>
      <c r="AG605" s="72">
        <f>((AW605-AV605)+(AX605-AW605))/2</f>
        <v>-7.2999999999999995E-2</v>
      </c>
      <c r="AH605" s="4"/>
      <c r="AI605" s="72">
        <f>RSQ(AV605:AX605,AV604:AX604)</f>
        <v>0.99888645400792142</v>
      </c>
      <c r="AJ605" s="110">
        <f>SLOPE(AV605:AX605,AV604:AX604)</f>
        <v>-2.2268294555785915E-8</v>
      </c>
      <c r="AK605" s="72">
        <f>INTERCEPT(AV605:AX605,AV604:AX604)</f>
        <v>0.31662589265146279</v>
      </c>
      <c r="AL605" s="72">
        <f>INDEX(LINEST(LN(AV605:AX605),LN(AV604:AX604),TRUE,TRUE),3,1)</f>
        <v>0.84531005171742679</v>
      </c>
      <c r="AM605" s="72">
        <f>INDEX(LINEST(LN(AV605:AX605),LN(AV604:AX604)),1)</f>
        <v>-0.12114824707035662</v>
      </c>
      <c r="AN605" s="72">
        <f>EXP(INDEX(LINEST(LN(AV605:AX605),LN(AV604:AX604)),1,2))</f>
        <v>1.2753035787420786</v>
      </c>
      <c r="AO605" s="89">
        <f>INDEX(LINEST((AV605:AX605),LN(AV604:AX604),TRUE,TRUE),3,1)</f>
        <v>0.903725902106429</v>
      </c>
      <c r="AP605" s="89">
        <f>INDEX(LINEST((AV605:AX605),LN(AV604:AX604)),1)</f>
        <v>-2.9591104189103962E-2</v>
      </c>
      <c r="AQ605" s="90">
        <f>INDEX(LINEST(LN(AV605:AX605),SQRT(AV604:AX604),TRUE,TRUE),3,1)</f>
        <v>0.94249512135304803</v>
      </c>
      <c r="AR605" s="117">
        <f>INDEX(LINEST(LN(AV605:AX605),SQRT((AV604:AX604))),1)</f>
        <v>-2.5628753231060527E-4</v>
      </c>
      <c r="AS605" s="91">
        <f>INDEX(LINEST(1/(AV605:AX605),1/(SQRT(AV604:AX604)),TRUE,TRUE),3,1)</f>
        <v>0.69842413259782332</v>
      </c>
      <c r="AT605" s="91">
        <f>INDEX(LINEST(1/(AV605:AX605),1/SQRT(AV604:AX604)),1)</f>
        <v>-670.42710982926042</v>
      </c>
      <c r="AU605" s="3"/>
      <c r="AV605" s="73">
        <v>0.316</v>
      </c>
      <c r="AW605" s="73">
        <v>0.23300000000000001</v>
      </c>
      <c r="AX605" s="73">
        <v>0.17</v>
      </c>
      <c r="AY605" s="53"/>
      <c r="AZ605" s="53"/>
      <c r="BA605" s="53"/>
      <c r="BB605" s="53"/>
      <c r="BC605" s="53"/>
      <c r="BD605" s="53"/>
      <c r="BE605" s="53"/>
      <c r="BF605" s="53"/>
      <c r="BG605" s="53"/>
      <c r="BH605" s="53"/>
      <c r="BI605" s="53"/>
      <c r="BJ605" s="53"/>
      <c r="BK605" s="53"/>
      <c r="BL605" s="53"/>
      <c r="BM605" s="53"/>
      <c r="BN605" s="53"/>
      <c r="BO605" s="53"/>
      <c r="BP605" s="53"/>
      <c r="BQ605" s="53"/>
      <c r="BR605" s="53"/>
      <c r="BS605" s="53"/>
      <c r="BT605" s="53"/>
      <c r="BU605" s="53"/>
      <c r="BV605" s="53"/>
      <c r="BW605" s="53"/>
      <c r="BX605" s="53"/>
      <c r="BY605" s="53"/>
      <c r="BZ605" s="53"/>
      <c r="CA605" s="53"/>
      <c r="CB605" s="53"/>
      <c r="CC605" s="53"/>
      <c r="CD605" s="53"/>
      <c r="CE605" s="53"/>
      <c r="CF605" s="53"/>
      <c r="CG605" s="53"/>
      <c r="CH605" s="53"/>
      <c r="CI605" s="53"/>
      <c r="CJ605" s="53"/>
      <c r="CK605" s="53"/>
      <c r="CL605" s="53"/>
      <c r="CM605" s="53"/>
      <c r="CN605" s="53"/>
      <c r="CO605" s="53"/>
      <c r="CP605" s="53"/>
      <c r="CQ605" s="53"/>
      <c r="CR605" s="1"/>
      <c r="CS605" s="1"/>
      <c r="CT605" s="1"/>
      <c r="CU605" s="1"/>
    </row>
    <row r="606" spans="1:99" ht="12" customHeight="1" x14ac:dyDescent="0.2">
      <c r="A606" s="65">
        <v>43509</v>
      </c>
      <c r="B606" s="15"/>
      <c r="C606" s="15"/>
      <c r="D606" s="59"/>
      <c r="E606" s="75"/>
      <c r="F606" s="59"/>
      <c r="G606" s="59"/>
      <c r="H606" s="59"/>
      <c r="I606" s="59"/>
      <c r="J606" s="60"/>
      <c r="M606" s="59"/>
      <c r="N606" s="59"/>
      <c r="O606" s="59"/>
      <c r="P606" s="59"/>
      <c r="Q606" s="59"/>
      <c r="R606" s="60"/>
      <c r="S606" s="59"/>
      <c r="T606" s="59"/>
      <c r="U606" s="60"/>
      <c r="V606" s="59"/>
      <c r="W606" s="60"/>
      <c r="X606" s="59"/>
      <c r="Y606" s="76"/>
      <c r="Z606" s="59"/>
      <c r="AA606" s="59"/>
      <c r="AB606" s="60"/>
      <c r="AC606" s="60"/>
      <c r="AD606" s="60"/>
      <c r="AE606" s="60"/>
      <c r="AF606" s="80"/>
      <c r="AG606" s="56"/>
      <c r="AH606" s="4"/>
      <c r="AI606" s="55"/>
      <c r="AJ606" s="111"/>
      <c r="AK606" s="55"/>
      <c r="AL606" s="55"/>
      <c r="AM606" s="55"/>
      <c r="AN606" s="55"/>
      <c r="AO606" s="55"/>
      <c r="AP606" s="55"/>
      <c r="AQ606" s="56"/>
      <c r="AR606" s="109"/>
      <c r="AS606" s="56"/>
      <c r="AT606" s="56"/>
      <c r="AU606" s="4"/>
      <c r="AV606" s="47">
        <f>1*24*3600</f>
        <v>86400</v>
      </c>
      <c r="AW606" s="47">
        <f>6*24*3600</f>
        <v>518400</v>
      </c>
      <c r="AX606" s="47">
        <f>35*24*3600</f>
        <v>3024000</v>
      </c>
      <c r="AY606" s="11"/>
      <c r="AZ606" s="11"/>
      <c r="BA606" s="11"/>
      <c r="BB606" s="11"/>
      <c r="BC606" s="11"/>
      <c r="BD606" s="11"/>
      <c r="BE606" s="11"/>
      <c r="BF606" s="11"/>
      <c r="BG606" s="11"/>
      <c r="BH606" s="11"/>
      <c r="BI606" s="11"/>
      <c r="BJ606" s="11"/>
      <c r="BK606" s="11"/>
      <c r="BL606" s="11"/>
      <c r="BM606" s="11"/>
      <c r="BN606" s="11"/>
      <c r="BO606" s="11"/>
      <c r="BP606" s="11"/>
      <c r="BQ606" s="11"/>
      <c r="BR606" s="11"/>
      <c r="BS606" s="11"/>
      <c r="BT606" s="11"/>
      <c r="BU606" s="11"/>
      <c r="BV606" s="11"/>
      <c r="BW606" s="11"/>
      <c r="BX606" s="11"/>
      <c r="BY606" s="11"/>
      <c r="BZ606" s="11"/>
      <c r="CA606" s="11"/>
      <c r="CB606" s="11"/>
      <c r="CC606" s="11"/>
      <c r="CD606" s="11"/>
      <c r="CE606" s="11"/>
      <c r="CF606" s="11"/>
      <c r="CG606" s="11"/>
      <c r="CH606" s="11"/>
      <c r="CI606" s="11"/>
      <c r="CJ606" s="11"/>
      <c r="CK606" s="11"/>
      <c r="CL606" s="11"/>
      <c r="CM606" s="11"/>
      <c r="CN606" s="11"/>
      <c r="CO606" s="11"/>
      <c r="CP606" s="11"/>
      <c r="CQ606" s="11"/>
      <c r="CR606" s="15"/>
      <c r="CS606" s="15"/>
      <c r="CT606" s="15"/>
      <c r="CU606" s="15"/>
    </row>
    <row r="607" spans="1:99" ht="12" customHeight="1" x14ac:dyDescent="0.2">
      <c r="A607" s="65">
        <v>43509</v>
      </c>
      <c r="B607" s="15" t="s">
        <v>269</v>
      </c>
      <c r="C607" s="15" t="s">
        <v>84</v>
      </c>
      <c r="D607" s="59">
        <v>1973</v>
      </c>
      <c r="E607" s="75">
        <v>1</v>
      </c>
      <c r="F607" s="59">
        <v>36</v>
      </c>
      <c r="G607" s="59">
        <v>36</v>
      </c>
      <c r="H607" s="59" t="s">
        <v>50</v>
      </c>
      <c r="I607" s="59" t="s">
        <v>130</v>
      </c>
      <c r="J607" s="59" t="s">
        <v>328</v>
      </c>
      <c r="K607" s="60">
        <f>IF(J607="syllables",1,IF(J607="trigrams",2,IF(J607="strings",3,IF(J607="visual array",4,IF(J607="characters",5,IF(J607="letters",6,IF(J607="free forms",7,IF(J607="odors",8,IF(J607="words",9,IF(J607="pictures",10,IF(J607="object pictures",11,IF(J607="faces",12,IF(J607="names",13,IF(J607="idioms",14,IF(J607="grades",15,IF(J607="syllable-digit pairs",16,IF(J607="trigram-word pairs",17,IF(J607="word-digit pairs",18,IF(J607="English-Swahili pairs",19,IF(J607="spatial position",20,IF(J607="word pairs",21,IF(J607="word triads",22,IF(J607="generated words",23,IF(J607="word definition pairs",24,IF(J607="math problems",25,IF(J607="famous faces",26,IF(J607="famous names",27,IF(J607="famous voices",28,IF(J607="television programs",29,IF(J607="race horses",30,IF(J607="new vocabulary",31,IF(J607="sentences",32,IF(J607="concepts",33,IF(J607="ad slides",34,IF(J607="scenes",35,IF(J607="famous scenes",36,IF(J607="poems",37,IF(J607="walk",38,IF(J607="faces and events",39,IF(J607="events and names",40,IF(J607="flashbulb",41,IF(J607="stories",42,IF(J607="course material",43,IF(J607="autobiographical",44,IF(J607="novels",45,IF(J607="public events",46,"99"))))))))))))))))))))))))))))))))))))))))))))))</f>
        <v>12</v>
      </c>
      <c r="L607" s="60">
        <f>IF(J607="syllables",1,IF(J607="trigrams",1,IF(J607="strings",1,IF(J607="visual array",1,IF(J607="characters",1,IF(J607="letters",1,IF(J607="free forms",1,IF(J607="odors",2,IF(J607="words",2,IF(J607="pictures",2,IF(J607="object pictures",2,IF(J607="faces",2,IF(J607="names",2,IF(J607="idioms","2",IF(J607="grades",2,IF(J607="syllable-digit pairs",3,IF(J607="trigram-word pairs",3,IF(J607="word-digit pairs",3,IF(J607="English-Swahili pairs",3,IF(J607="spatial position",3,IF(J607="word pairs",4,IF(J607="word triads",4,IF(J607="generated words",4,IF(J607="word definition pairs",4,IF(J607="math problems",4,IF(J607="famous faces",4,IF(J607="famous names",4,IF(J607="famous voices",4,IF(J607="television programs",4,IF(J607="race horses",4,IF(J607="new vocabulary",4,IF(J607="sentences",5,IF(J607="concepts",5,IF(J607="ad slides",5,IF(J607="scenes",5,IF(J607="famous scenes",5,IF(J607="poems",6,IF(J607="walk",6,IF(J607="faces and events",6,IF(J607="events and names",6,IF(J607="flashbulb",7,IF(J607="stories",7,IF(J607="course material",7,IF(J607="autobiographical",7,IF(J607="novels",7,IF(J607="public events",7,"99"))))))))))))))))))))))))))))))))))))))))))))))</f>
        <v>2</v>
      </c>
      <c r="M607" s="59">
        <v>0</v>
      </c>
      <c r="N607" s="59">
        <v>1</v>
      </c>
      <c r="O607" s="59">
        <v>0</v>
      </c>
      <c r="P607" s="59"/>
      <c r="Q607" s="59" t="s">
        <v>34</v>
      </c>
      <c r="R607" s="60">
        <f>IF(Q607="Free Recall",1,IF(Q607="Cued Recall",2,IF(Q607="Recognition",3,IF(Q607="Multiple Choice",4,IF(Q607="Savings",5,IF(Q607="Stem Completion",6,IF(Q607="Fragment Completion",7,IF(Q607="anagram solution",8,IF(Q607="Matching",9,IF(Q607="Problem Solving",10,"99"))))))))))</f>
        <v>3</v>
      </c>
      <c r="S607" s="60" t="s">
        <v>15</v>
      </c>
      <c r="T607" s="59" t="s">
        <v>581</v>
      </c>
      <c r="U607" s="60">
        <f>IF(T607="within",1,0)</f>
        <v>1</v>
      </c>
      <c r="V607" s="59">
        <v>18</v>
      </c>
      <c r="W607" s="60">
        <f>F607*V607</f>
        <v>648</v>
      </c>
      <c r="X607" s="59">
        <v>3</v>
      </c>
      <c r="Y607" s="76">
        <f>AV606</f>
        <v>86400</v>
      </c>
      <c r="Z607" s="59" t="s">
        <v>270</v>
      </c>
      <c r="AA607" s="59">
        <f>35*24*3600</f>
        <v>3024000</v>
      </c>
      <c r="AB607" s="60" t="str">
        <f>IF(AA607&lt;60,"1",IF(AA607&lt;=43200,"2",IF(AA607&lt;=777600,"3","4")))</f>
        <v>4</v>
      </c>
      <c r="AC607" s="56">
        <f>AVERAGE(AV606:DA606)</f>
        <v>1209600</v>
      </c>
      <c r="AD607" s="60" t="str">
        <f>IF(AC607&lt;60,"1",IF(AC607&lt;=43200,"2",IF(AC607&lt;=777600,"3","4")))</f>
        <v>4</v>
      </c>
      <c r="AE607" s="76">
        <f>AA607-Y607</f>
        <v>2937600</v>
      </c>
      <c r="AF607" s="80">
        <f>AV607</f>
        <v>0.87</v>
      </c>
      <c r="AG607" s="56">
        <f>((AW607-AV607)+(AX607-AW607))/2</f>
        <v>-3.999999999999998E-2</v>
      </c>
      <c r="AH607" s="4"/>
      <c r="AI607" s="56">
        <f>RSQ(AV607:AX607,AV606:AX606)</f>
        <v>0.4897704201155712</v>
      </c>
      <c r="AJ607" s="109">
        <f>SLOPE(AV607:AX607,AV606:AX606)</f>
        <v>-1.9232882734366408E-8</v>
      </c>
      <c r="AK607" s="56">
        <f>INTERCEPT(AV607:AX607,AV606:AX606)</f>
        <v>0.8432640949554896</v>
      </c>
      <c r="AL607" s="56">
        <f>INDEX(LINEST(LN(AV607:AX607),LN(AV606:AX606),TRUE,TRUE),3,1)</f>
        <v>0.84921547332174907</v>
      </c>
      <c r="AM607" s="56">
        <f>INDEX(LINEST(LN(AV607:AX607),LN(AV606:AX606)),1)</f>
        <v>-2.7183433179021613E-2</v>
      </c>
      <c r="AN607" s="56">
        <f>EXP(INDEX(LINEST(LN(AV607:AX607),LN(AV606:AX606)),1,2))</f>
        <v>1.1712388408150201</v>
      </c>
      <c r="AO607" s="82">
        <f>INDEX(LINEST((AV607:AX607),LN(AV606:AX606),TRUE,TRUE),3,1)</f>
        <v>0.84542709449275533</v>
      </c>
      <c r="AP607" s="82">
        <f>INDEX(LINEST((AV607:AX607),LN(AV606:AX606)),1)</f>
        <v>-2.2545413718011314E-2</v>
      </c>
      <c r="AQ607" s="83">
        <f>INDEX(LINEST(LN(AV607:AX607),SQRT(AV606:AX606),TRUE,TRUE),3,1)</f>
        <v>0.6472095742100783</v>
      </c>
      <c r="AR607" s="116">
        <f>INDEX(LINEST(LN(AV607:AX607),SQRT((AV606:AX606))),1)</f>
        <v>-5.6816260003917958E-5</v>
      </c>
      <c r="AS607" s="84">
        <f>INDEX(LINEST(1/(AV607:AX607),1/(SQRT(AV606:AX606)),TRUE,TRUE),3,1)</f>
        <v>0.9753222081312255</v>
      </c>
      <c r="AT607" s="84">
        <f>INDEX(LINEST(1/(AV607:AX607),1/SQRT(AV606:AX606)),1)</f>
        <v>-42.842499162113903</v>
      </c>
      <c r="AU607" s="3"/>
      <c r="AV607" s="11">
        <v>0.87</v>
      </c>
      <c r="AW607" s="11">
        <v>0.8</v>
      </c>
      <c r="AX607" s="11">
        <v>0.79</v>
      </c>
      <c r="AY607" s="11"/>
      <c r="AZ607" s="11"/>
      <c r="BA607" s="11"/>
      <c r="BB607" s="11"/>
      <c r="BC607" s="11"/>
      <c r="BD607" s="11"/>
      <c r="BE607" s="11"/>
      <c r="BF607" s="11"/>
      <c r="BG607" s="11"/>
      <c r="BH607" s="11"/>
      <c r="BI607" s="11"/>
      <c r="BJ607" s="11"/>
      <c r="BK607" s="11"/>
      <c r="BL607" s="11"/>
      <c r="BM607" s="11"/>
      <c r="BN607" s="11"/>
      <c r="BO607" s="11"/>
      <c r="BP607" s="11"/>
      <c r="BQ607" s="11"/>
      <c r="BR607" s="11"/>
      <c r="BS607" s="11"/>
      <c r="BT607" s="11"/>
      <c r="BU607" s="11"/>
      <c r="BV607" s="11"/>
      <c r="BW607" s="11"/>
      <c r="BX607" s="11"/>
      <c r="BY607" s="11"/>
      <c r="BZ607" s="11"/>
      <c r="CA607" s="11"/>
      <c r="CB607" s="11"/>
      <c r="CC607" s="11"/>
      <c r="CD607" s="11"/>
      <c r="CE607" s="11"/>
      <c r="CF607" s="11"/>
      <c r="CG607" s="11"/>
      <c r="CH607" s="11"/>
      <c r="CI607" s="11"/>
      <c r="CJ607" s="11"/>
      <c r="CK607" s="11"/>
      <c r="CL607" s="11"/>
      <c r="CM607" s="11"/>
      <c r="CN607" s="11"/>
      <c r="CO607" s="11"/>
      <c r="CP607" s="11"/>
      <c r="CQ607" s="11"/>
      <c r="CR607" s="15"/>
      <c r="CS607" s="15"/>
      <c r="CT607" s="15"/>
      <c r="CU607" s="15"/>
    </row>
    <row r="608" spans="1:99" ht="12" customHeight="1" x14ac:dyDescent="0.2">
      <c r="A608" s="65">
        <v>43509</v>
      </c>
      <c r="B608" s="15"/>
      <c r="C608" s="15"/>
      <c r="D608" s="59"/>
      <c r="E608" s="75"/>
      <c r="F608" s="59"/>
      <c r="G608" s="59"/>
      <c r="H608" s="59"/>
      <c r="I608" s="59"/>
      <c r="J608" s="60"/>
      <c r="M608" s="59"/>
      <c r="N608" s="59"/>
      <c r="O608" s="59"/>
      <c r="P608" s="59"/>
      <c r="Q608" s="59"/>
      <c r="R608" s="60"/>
      <c r="S608" s="59"/>
      <c r="T608" s="59"/>
      <c r="U608" s="60"/>
      <c r="V608" s="59"/>
      <c r="W608" s="60"/>
      <c r="X608" s="59"/>
      <c r="Y608" s="76"/>
      <c r="Z608" s="59"/>
      <c r="AA608" s="59"/>
      <c r="AB608" s="60"/>
      <c r="AC608" s="60"/>
      <c r="AD608" s="60"/>
      <c r="AE608" s="60"/>
      <c r="AF608" s="80"/>
      <c r="AG608" s="56"/>
      <c r="AH608" s="4"/>
      <c r="AI608" s="55"/>
      <c r="AJ608" s="111"/>
      <c r="AK608" s="55"/>
      <c r="AL608" s="55"/>
      <c r="AM608" s="55"/>
      <c r="AN608" s="55"/>
      <c r="AO608" s="55"/>
      <c r="AP608" s="55"/>
      <c r="AQ608" s="56"/>
      <c r="AR608" s="109"/>
      <c r="AS608" s="56"/>
      <c r="AT608" s="56"/>
      <c r="AU608" s="4"/>
      <c r="AV608" s="47">
        <f>1*24*3600</f>
        <v>86400</v>
      </c>
      <c r="AW608" s="47">
        <f>6*24*3600</f>
        <v>518400</v>
      </c>
      <c r="AX608" s="47">
        <f>35*24*3600</f>
        <v>3024000</v>
      </c>
      <c r="AY608" s="11"/>
      <c r="AZ608" s="11"/>
      <c r="BA608" s="11"/>
      <c r="BB608" s="11"/>
      <c r="BC608" s="11"/>
      <c r="BD608" s="11"/>
      <c r="BE608" s="11"/>
      <c r="BF608" s="11"/>
      <c r="BG608" s="11"/>
      <c r="BH608" s="11"/>
      <c r="BI608" s="11"/>
      <c r="BJ608" s="11"/>
      <c r="BK608" s="11"/>
      <c r="BL608" s="11"/>
      <c r="BM608" s="11"/>
      <c r="BN608" s="11"/>
      <c r="BO608" s="11"/>
      <c r="BP608" s="11"/>
      <c r="BQ608" s="11"/>
      <c r="BR608" s="11"/>
      <c r="BS608" s="11"/>
      <c r="BT608" s="11"/>
      <c r="BU608" s="11"/>
      <c r="BV608" s="11"/>
      <c r="BW608" s="11"/>
      <c r="BX608" s="11"/>
      <c r="BY608" s="11"/>
      <c r="BZ608" s="11"/>
      <c r="CA608" s="11"/>
      <c r="CB608" s="11"/>
      <c r="CC608" s="11"/>
      <c r="CD608" s="11"/>
      <c r="CE608" s="11"/>
      <c r="CF608" s="11"/>
      <c r="CG608" s="11"/>
      <c r="CH608" s="11"/>
      <c r="CI608" s="11"/>
      <c r="CJ608" s="11"/>
      <c r="CK608" s="11"/>
      <c r="CL608" s="11"/>
      <c r="CM608" s="11"/>
      <c r="CN608" s="11"/>
      <c r="CO608" s="11"/>
      <c r="CP608" s="11"/>
      <c r="CQ608" s="11"/>
      <c r="CR608" s="15"/>
      <c r="CS608" s="15"/>
      <c r="CT608" s="15"/>
      <c r="CU608" s="15"/>
    </row>
    <row r="609" spans="1:99" ht="12" customHeight="1" x14ac:dyDescent="0.2">
      <c r="A609" s="65">
        <v>43509</v>
      </c>
      <c r="B609" s="15" t="s">
        <v>269</v>
      </c>
      <c r="C609" s="15" t="s">
        <v>84</v>
      </c>
      <c r="D609" s="59">
        <v>1973</v>
      </c>
      <c r="E609" s="75">
        <v>1</v>
      </c>
      <c r="F609" s="59">
        <v>36</v>
      </c>
      <c r="G609" s="59">
        <v>36</v>
      </c>
      <c r="H609" s="59" t="s">
        <v>50</v>
      </c>
      <c r="I609" s="59" t="s">
        <v>822</v>
      </c>
      <c r="J609" s="59" t="s">
        <v>328</v>
      </c>
      <c r="K609" s="60">
        <f>IF(J609="syllables",1,IF(J609="trigrams",2,IF(J609="strings",3,IF(J609="visual array",4,IF(J609="characters",5,IF(J609="letters",6,IF(J609="free forms",7,IF(J609="odors",8,IF(J609="words",9,IF(J609="pictures",10,IF(J609="object pictures",11,IF(J609="faces",12,IF(J609="names",13,IF(J609="idioms",14,IF(J609="grades",15,IF(J609="syllable-digit pairs",16,IF(J609="trigram-word pairs",17,IF(J609="word-digit pairs",18,IF(J609="English-Swahili pairs",19,IF(J609="spatial position",20,IF(J609="word pairs",21,IF(J609="word triads",22,IF(J609="generated words",23,IF(J609="word definition pairs",24,IF(J609="math problems",25,IF(J609="famous faces",26,IF(J609="famous names",27,IF(J609="famous voices",28,IF(J609="television programs",29,IF(J609="race horses",30,IF(J609="new vocabulary",31,IF(J609="sentences",32,IF(J609="concepts",33,IF(J609="ad slides",34,IF(J609="scenes",35,IF(J609="famous scenes",36,IF(J609="poems",37,IF(J609="walk",38,IF(J609="faces and events",39,IF(J609="events and names",40,IF(J609="flashbulb",41,IF(J609="stories",42,IF(J609="course material",43,IF(J609="autobiographical",44,IF(J609="novels",45,IF(J609="public events",46,"99"))))))))))))))))))))))))))))))))))))))))))))))</f>
        <v>12</v>
      </c>
      <c r="L609" s="60">
        <f>IF(J609="syllables",1,IF(J609="trigrams",1,IF(J609="strings",1,IF(J609="visual array",1,IF(J609="characters",1,IF(J609="letters",1,IF(J609="free forms",1,IF(J609="odors",2,IF(J609="words",2,IF(J609="pictures",2,IF(J609="object pictures",2,IF(J609="faces",2,IF(J609="names",2,IF(J609="idioms","2",IF(J609="grades",2,IF(J609="syllable-digit pairs",3,IF(J609="trigram-word pairs",3,IF(J609="word-digit pairs",3,IF(J609="English-Swahili pairs",3,IF(J609="spatial position",3,IF(J609="word pairs",4,IF(J609="word triads",4,IF(J609="generated words",4,IF(J609="word definition pairs",4,IF(J609="math problems",4,IF(J609="famous faces",4,IF(J609="famous names",4,IF(J609="famous voices",4,IF(J609="television programs",4,IF(J609="race horses",4,IF(J609="new vocabulary",4,IF(J609="sentences",5,IF(J609="concepts",5,IF(J609="ad slides",5,IF(J609="scenes",5,IF(J609="famous scenes",5,IF(J609="poems",6,IF(J609="walk",6,IF(J609="faces and events",6,IF(J609="events and names",6,IF(J609="flashbulb",7,IF(J609="stories",7,IF(J609="course material",7,IF(J609="autobiographical",7,IF(J609="novels",7,IF(J609="public events",7,"99"))))))))))))))))))))))))))))))))))))))))))))))</f>
        <v>2</v>
      </c>
      <c r="M609" s="59">
        <v>0</v>
      </c>
      <c r="N609" s="59">
        <v>1</v>
      </c>
      <c r="O609" s="59">
        <v>0</v>
      </c>
      <c r="P609" s="59"/>
      <c r="Q609" s="59" t="s">
        <v>34</v>
      </c>
      <c r="R609" s="60">
        <f>IF(Q609="Free Recall",1,IF(Q609="Cued Recall",2,IF(Q609="Recognition",3,IF(Q609="Multiple Choice",4,IF(Q609="Savings",5,IF(Q609="Stem Completion",6,IF(Q609="Fragment Completion",7,IF(Q609="anagram solution",8,IF(Q609="Matching",9,IF(Q609="Problem Solving",10,"99"))))))))))</f>
        <v>3</v>
      </c>
      <c r="S609" s="60" t="s">
        <v>15</v>
      </c>
      <c r="T609" s="59" t="s">
        <v>581</v>
      </c>
      <c r="U609" s="60">
        <f>IF(T609="within",1,0)</f>
        <v>1</v>
      </c>
      <c r="V609" s="59">
        <v>18</v>
      </c>
      <c r="W609" s="60">
        <f>F609*V609</f>
        <v>648</v>
      </c>
      <c r="X609" s="59">
        <v>3</v>
      </c>
      <c r="Y609" s="76">
        <f>AV608</f>
        <v>86400</v>
      </c>
      <c r="Z609" s="59" t="s">
        <v>270</v>
      </c>
      <c r="AA609" s="59">
        <f>35*24*3600</f>
        <v>3024000</v>
      </c>
      <c r="AB609" s="60" t="str">
        <f>IF(AA609&lt;60,"1",IF(AA609&lt;=43200,"2",IF(AA609&lt;=777600,"3","4")))</f>
        <v>4</v>
      </c>
      <c r="AC609" s="56">
        <f>AVERAGE(AV608:DA608)</f>
        <v>1209600</v>
      </c>
      <c r="AD609" s="60" t="str">
        <f>IF(AC609&lt;60,"1",IF(AC609&lt;=43200,"2",IF(AC609&lt;=777600,"3","4")))</f>
        <v>4</v>
      </c>
      <c r="AE609" s="76">
        <f>AA609-Y609</f>
        <v>2937600</v>
      </c>
      <c r="AF609" s="80">
        <f>AV609</f>
        <v>0.93</v>
      </c>
      <c r="AG609" s="56">
        <f>((AW609-AV609)+(AX609-AW609))/2</f>
        <v>-0.21000000000000002</v>
      </c>
      <c r="AH609" s="4"/>
      <c r="AI609" s="56">
        <f>RSQ(AV609:AX609,AV608:AX608)</f>
        <v>0.998088718466838</v>
      </c>
      <c r="AJ609" s="109">
        <f>SLOPE(AV609:AX609,AV608:AX608)</f>
        <v>-1.4046873282778327E-7</v>
      </c>
      <c r="AK609" s="56">
        <f>INTERCEPT(AV609:AX609,AV608:AX608)</f>
        <v>0.93324431256181994</v>
      </c>
      <c r="AL609" s="56">
        <f>INDEX(LINEST(LN(AV609:AX609),LN(AV608:AX608),TRUE,TRUE),3,1)</f>
        <v>0.85621085793939655</v>
      </c>
      <c r="AM609" s="56">
        <f>INDEX(LINEST(LN(AV609:AX609),LN(AV608:AX608)),1)</f>
        <v>-0.16866132108640955</v>
      </c>
      <c r="AN609" s="56">
        <f>EXP(INDEX(LINEST(LN(AV609:AX609),LN(AV608:AX608)),1,2))</f>
        <v>6.7864992305749929</v>
      </c>
      <c r="AO609" s="82">
        <f>INDEX(LINEST((AV609:AX609),LN(AV608:AX608),TRUE,TRUE),3,1)</f>
        <v>0.88381347054928172</v>
      </c>
      <c r="AP609" s="82">
        <f>INDEX(LINEST((AV609:AX609),LN(AV608:AX608)),1)</f>
        <v>-0.11793627869762348</v>
      </c>
      <c r="AQ609" s="83">
        <f>INDEX(LINEST(LN(AV609:AX609),SQRT(AV608:AX608),TRUE,TRUE),3,1)</f>
        <v>0.97714844271452705</v>
      </c>
      <c r="AR609" s="116">
        <f>INDEX(LINEST(LN(AV609:AX609),SQRT((AV608:AX608))),1)</f>
        <v>-4.3138021610242614E-4</v>
      </c>
      <c r="AS609" s="84">
        <f>INDEX(LINEST(1/(AV609:AX609),1/(SQRT(AV608:AX608)),TRUE,TRUE),3,1)</f>
        <v>0.62484545799304991</v>
      </c>
      <c r="AT609" s="84">
        <f>INDEX(LINEST(1/(AV609:AX609),1/SQRT(AV608:AX608)),1)</f>
        <v>-263.26772316929095</v>
      </c>
      <c r="AU609" s="3"/>
      <c r="AV609" s="11">
        <v>0.93</v>
      </c>
      <c r="AW609" s="11">
        <v>0.85</v>
      </c>
      <c r="AX609" s="11">
        <v>0.51</v>
      </c>
      <c r="AY609" s="11"/>
      <c r="AZ609" s="11"/>
      <c r="BA609" s="11"/>
      <c r="BB609" s="11"/>
      <c r="BC609" s="11"/>
      <c r="BD609" s="11"/>
      <c r="BE609" s="11"/>
      <c r="BF609" s="11"/>
      <c r="BG609" s="11"/>
      <c r="BH609" s="11"/>
      <c r="BI609" s="11"/>
      <c r="BJ609" s="11"/>
      <c r="BK609" s="11"/>
      <c r="BL609" s="11"/>
      <c r="BM609" s="11"/>
      <c r="BN609" s="11"/>
      <c r="BO609" s="11"/>
      <c r="BP609" s="11"/>
      <c r="BQ609" s="11"/>
      <c r="BR609" s="11"/>
      <c r="BS609" s="11"/>
      <c r="BT609" s="11"/>
      <c r="BU609" s="11"/>
      <c r="BV609" s="11"/>
      <c r="BW609" s="11"/>
      <c r="BX609" s="11"/>
      <c r="BY609" s="11"/>
      <c r="BZ609" s="11"/>
      <c r="CA609" s="11"/>
      <c r="CB609" s="11"/>
      <c r="CC609" s="11"/>
      <c r="CD609" s="11"/>
      <c r="CE609" s="11"/>
      <c r="CF609" s="11"/>
      <c r="CG609" s="11"/>
      <c r="CH609" s="11"/>
      <c r="CI609" s="11"/>
      <c r="CJ609" s="11"/>
      <c r="CK609" s="11"/>
      <c r="CL609" s="11"/>
      <c r="CM609" s="11"/>
      <c r="CN609" s="11"/>
      <c r="CO609" s="11"/>
      <c r="CP609" s="11"/>
      <c r="CQ609" s="11"/>
      <c r="CR609" s="15"/>
      <c r="CS609" s="15"/>
      <c r="CT609" s="15"/>
      <c r="CU609" s="15"/>
    </row>
    <row r="610" spans="1:99" ht="12" customHeight="1" x14ac:dyDescent="0.2">
      <c r="A610" s="65">
        <v>43509</v>
      </c>
      <c r="B610" s="15"/>
      <c r="C610" s="15"/>
      <c r="D610" s="59"/>
      <c r="E610" s="75"/>
      <c r="F610" s="59"/>
      <c r="G610" s="59"/>
      <c r="H610" s="59"/>
      <c r="I610" s="59"/>
      <c r="J610" s="60"/>
      <c r="M610" s="59"/>
      <c r="N610" s="59"/>
      <c r="O610" s="59"/>
      <c r="P610" s="59"/>
      <c r="Q610" s="59"/>
      <c r="R610" s="60"/>
      <c r="S610" s="59"/>
      <c r="T610" s="59"/>
      <c r="U610" s="60"/>
      <c r="V610" s="59"/>
      <c r="W610" s="60"/>
      <c r="X610" s="59"/>
      <c r="Y610" s="76"/>
      <c r="Z610" s="59"/>
      <c r="AA610" s="59"/>
      <c r="AB610" s="60"/>
      <c r="AC610" s="60"/>
      <c r="AD610" s="60"/>
      <c r="AE610" s="60"/>
      <c r="AF610" s="80"/>
      <c r="AG610" s="56"/>
      <c r="AH610" s="4"/>
      <c r="AI610" s="55"/>
      <c r="AJ610" s="111"/>
      <c r="AK610" s="55"/>
      <c r="AL610" s="55"/>
      <c r="AM610" s="55"/>
      <c r="AN610" s="55"/>
      <c r="AO610" s="55"/>
      <c r="AP610" s="55"/>
      <c r="AQ610" s="56"/>
      <c r="AR610" s="109"/>
      <c r="AS610" s="56"/>
      <c r="AT610" s="56"/>
      <c r="AU610" s="4"/>
      <c r="AV610" s="47">
        <f>1*24*3600</f>
        <v>86400</v>
      </c>
      <c r="AW610" s="47">
        <f>6*24*3600</f>
        <v>518400</v>
      </c>
      <c r="AX610" s="47">
        <f>35*24*3600</f>
        <v>3024000</v>
      </c>
      <c r="AY610" s="11"/>
      <c r="AZ610" s="11"/>
      <c r="BA610" s="11"/>
      <c r="BB610" s="11"/>
      <c r="BC610" s="11"/>
      <c r="BD610" s="11"/>
      <c r="BE610" s="11"/>
      <c r="BF610" s="11"/>
      <c r="BG610" s="11"/>
      <c r="BH610" s="11"/>
      <c r="BI610" s="11"/>
      <c r="BJ610" s="11"/>
      <c r="BK610" s="11"/>
      <c r="BL610" s="11"/>
      <c r="BM610" s="11"/>
      <c r="BN610" s="11"/>
      <c r="BO610" s="11"/>
      <c r="BP610" s="11"/>
      <c r="BQ610" s="11"/>
      <c r="BR610" s="11"/>
      <c r="BS610" s="11"/>
      <c r="BT610" s="11"/>
      <c r="BU610" s="11"/>
      <c r="BV610" s="11"/>
      <c r="BW610" s="11"/>
      <c r="BX610" s="11"/>
      <c r="BY610" s="11"/>
      <c r="BZ610" s="11"/>
      <c r="CA610" s="11"/>
      <c r="CB610" s="11"/>
      <c r="CC610" s="11"/>
      <c r="CD610" s="11"/>
      <c r="CE610" s="11"/>
      <c r="CF610" s="11"/>
      <c r="CG610" s="11"/>
      <c r="CH610" s="11"/>
      <c r="CI610" s="11"/>
      <c r="CJ610" s="11"/>
      <c r="CK610" s="11"/>
      <c r="CL610" s="11"/>
      <c r="CM610" s="11"/>
      <c r="CN610" s="11"/>
      <c r="CO610" s="11"/>
      <c r="CP610" s="11"/>
      <c r="CQ610" s="11"/>
      <c r="CR610" s="15"/>
      <c r="CS610" s="15"/>
      <c r="CT610" s="15"/>
      <c r="CU610" s="15"/>
    </row>
    <row r="611" spans="1:99" ht="12" customHeight="1" x14ac:dyDescent="0.2">
      <c r="A611" s="65">
        <v>43509</v>
      </c>
      <c r="B611" s="15" t="s">
        <v>269</v>
      </c>
      <c r="C611" s="15" t="s">
        <v>84</v>
      </c>
      <c r="D611" s="59">
        <v>1973</v>
      </c>
      <c r="E611" s="75">
        <v>1</v>
      </c>
      <c r="F611" s="59">
        <v>36</v>
      </c>
      <c r="G611" s="59">
        <v>36</v>
      </c>
      <c r="H611" s="59" t="s">
        <v>50</v>
      </c>
      <c r="I611" s="59" t="s">
        <v>132</v>
      </c>
      <c r="J611" s="59" t="s">
        <v>328</v>
      </c>
      <c r="K611" s="60">
        <f>IF(J611="syllables",1,IF(J611="trigrams",2,IF(J611="strings",3,IF(J611="visual array",4,IF(J611="characters",5,IF(J611="letters",6,IF(J611="free forms",7,IF(J611="odors",8,IF(J611="words",9,IF(J611="pictures",10,IF(J611="object pictures",11,IF(J611="faces",12,IF(J611="names",13,IF(J611="idioms",14,IF(J611="grades",15,IF(J611="syllable-digit pairs",16,IF(J611="trigram-word pairs",17,IF(J611="word-digit pairs",18,IF(J611="English-Swahili pairs",19,IF(J611="spatial position",20,IF(J611="word pairs",21,IF(J611="word triads",22,IF(J611="generated words",23,IF(J611="word definition pairs",24,IF(J611="math problems",25,IF(J611="famous faces",26,IF(J611="famous names",27,IF(J611="famous voices",28,IF(J611="television programs",29,IF(J611="race horses",30,IF(J611="new vocabulary",31,IF(J611="sentences",32,IF(J611="concepts",33,IF(J611="ad slides",34,IF(J611="scenes",35,IF(J611="famous scenes",36,IF(J611="poems",37,IF(J611="walk",38,IF(J611="faces and events",39,IF(J611="events and names",40,IF(J611="flashbulb",41,IF(J611="stories",42,IF(J611="course material",43,IF(J611="autobiographical",44,IF(J611="novels",45,IF(J611="public events",46,"99"))))))))))))))))))))))))))))))))))))))))))))))</f>
        <v>12</v>
      </c>
      <c r="L611" s="60">
        <f>IF(J611="syllables",1,IF(J611="trigrams",1,IF(J611="strings",1,IF(J611="visual array",1,IF(J611="characters",1,IF(J611="letters",1,IF(J611="free forms",1,IF(J611="odors",2,IF(J611="words",2,IF(J611="pictures",2,IF(J611="object pictures",2,IF(J611="faces",2,IF(J611="names",2,IF(J611="idioms","2",IF(J611="grades",2,IF(J611="syllable-digit pairs",3,IF(J611="trigram-word pairs",3,IF(J611="word-digit pairs",3,IF(J611="English-Swahili pairs",3,IF(J611="spatial position",3,IF(J611="word pairs",4,IF(J611="word triads",4,IF(J611="generated words",4,IF(J611="word definition pairs",4,IF(J611="math problems",4,IF(J611="famous faces",4,IF(J611="famous names",4,IF(J611="famous voices",4,IF(J611="television programs",4,IF(J611="race horses",4,IF(J611="new vocabulary",4,IF(J611="sentences",5,IF(J611="concepts",5,IF(J611="ad slides",5,IF(J611="scenes",5,IF(J611="famous scenes",5,IF(J611="poems",6,IF(J611="walk",6,IF(J611="faces and events",6,IF(J611="events and names",6,IF(J611="flashbulb",7,IF(J611="stories",7,IF(J611="course material",7,IF(J611="autobiographical",7,IF(J611="novels",7,IF(J611="public events",7,"99"))))))))))))))))))))))))))))))))))))))))))))))</f>
        <v>2</v>
      </c>
      <c r="M611" s="59">
        <v>0</v>
      </c>
      <c r="N611" s="59">
        <v>1</v>
      </c>
      <c r="O611" s="59">
        <v>0</v>
      </c>
      <c r="P611" s="59"/>
      <c r="Q611" s="59" t="s">
        <v>34</v>
      </c>
      <c r="R611" s="60">
        <f>IF(Q611="Free Recall",1,IF(Q611="Cued Recall",2,IF(Q611="Recognition",3,IF(Q611="Multiple Choice",4,IF(Q611="Savings",5,IF(Q611="Stem Completion",6,IF(Q611="Fragment Completion",7,IF(Q611="anagram solution",8,IF(Q611="Matching",9,IF(Q611="Problem Solving",10,"99"))))))))))</f>
        <v>3</v>
      </c>
      <c r="S611" s="60" t="s">
        <v>15</v>
      </c>
      <c r="T611" s="59" t="s">
        <v>581</v>
      </c>
      <c r="U611" s="60">
        <f>IF(T611="within",1,0)</f>
        <v>1</v>
      </c>
      <c r="V611" s="59">
        <v>18</v>
      </c>
      <c r="W611" s="60">
        <f>F611*V611</f>
        <v>648</v>
      </c>
      <c r="X611" s="59">
        <v>3</v>
      </c>
      <c r="Y611" s="76">
        <f>AV610</f>
        <v>86400</v>
      </c>
      <c r="Z611" s="59" t="s">
        <v>270</v>
      </c>
      <c r="AA611" s="59">
        <f>35*24*3600</f>
        <v>3024000</v>
      </c>
      <c r="AB611" s="60" t="str">
        <f>IF(AA611&lt;60,"1",IF(AA611&lt;=43200,"2",IF(AA611&lt;=777600,"3","4")))</f>
        <v>4</v>
      </c>
      <c r="AC611" s="56">
        <f>AVERAGE(AV610:DA610)</f>
        <v>1209600</v>
      </c>
      <c r="AD611" s="60" t="str">
        <f>IF(AC611&lt;60,"1",IF(AC611&lt;=43200,"2",IF(AC611&lt;=777600,"3","4")))</f>
        <v>4</v>
      </c>
      <c r="AE611" s="76">
        <f>AA611-Y611</f>
        <v>2937600</v>
      </c>
      <c r="AF611" s="80">
        <f>AV611</f>
        <v>0.87</v>
      </c>
      <c r="AG611" s="56">
        <f>((AW611-AV611)+(AX611-AW611))/2</f>
        <v>-1.5000000000000013E-2</v>
      </c>
      <c r="AH611" s="4"/>
      <c r="AI611" s="56">
        <f>RSQ(AV611:AX611,AV610:AX610)</f>
        <v>8.1414566352401435E-3</v>
      </c>
      <c r="AJ611" s="109">
        <f>SLOPE(AV611:AX611,AV610:AX610)</f>
        <v>2.9192768436091754E-9</v>
      </c>
      <c r="AK611" s="56">
        <f>INTERCEPT(AV611:AX611,AV610:AX610)</f>
        <v>0.82313550939663704</v>
      </c>
      <c r="AL611" s="56">
        <f>INDEX(LINEST(LN(AV611:AX611),LN(AV610:AX610),TRUE,TRUE),3,1)</f>
        <v>8.0368866369222039E-2</v>
      </c>
      <c r="AM611" s="56">
        <f>INDEX(LINEST(LN(AV611:AX611),LN(AV610:AX610)),1)</f>
        <v>-1.0025145191168542E-2</v>
      </c>
      <c r="AN611" s="56">
        <f>EXP(INDEX(LINEST(LN(AV611:AX611),LN(AV610:AX610)),1,2))</f>
        <v>0.94191681545535444</v>
      </c>
      <c r="AO611" s="82">
        <f>INDEX(LINEST((AV611:AX611),LN(AV610:AX610),TRUE,TRUE),3,1)</f>
        <v>8.8017927683504554E-2</v>
      </c>
      <c r="AP611" s="82">
        <f>INDEX(LINEST((AV611:AX611),LN(AV610:AX610)),1)</f>
        <v>-8.5641016920552059E-3</v>
      </c>
      <c r="AQ611" s="83">
        <f>INDEX(LINEST(LN(AV611:AX611),SQRT(AV610:AX610),TRUE,TRUE),3,1)</f>
        <v>2.523753933991073E-3</v>
      </c>
      <c r="AR611" s="116">
        <f>INDEX(LINEST(LN(AV611:AX611),SQRT((AV610:AX610))),1)</f>
        <v>-4.2532907699055293E-6</v>
      </c>
      <c r="AS611" s="84">
        <f>INDEX(LINEST(1/(AV611:AX611),1/(SQRT(AV610:AX610)),TRUE,TRUE),3,1)</f>
        <v>0.23799288806011099</v>
      </c>
      <c r="AT611" s="84">
        <f>INDEX(LINEST(1/(AV611:AX611),1/SQRT(AV610:AX610)),1)</f>
        <v>-25.850926529800578</v>
      </c>
      <c r="AU611" s="3"/>
      <c r="AV611" s="11">
        <v>0.87</v>
      </c>
      <c r="AW611" s="11">
        <v>0.77</v>
      </c>
      <c r="AX611" s="11">
        <v>0.84</v>
      </c>
      <c r="AY611" s="11"/>
      <c r="AZ611" s="11"/>
      <c r="BA611" s="11"/>
      <c r="BB611" s="11"/>
      <c r="BC611" s="11"/>
      <c r="BD611" s="11"/>
      <c r="BE611" s="11"/>
      <c r="BF611" s="11"/>
      <c r="BG611" s="11"/>
      <c r="BH611" s="11"/>
      <c r="BI611" s="11"/>
      <c r="BJ611" s="11"/>
      <c r="BK611" s="11"/>
      <c r="BL611" s="11"/>
      <c r="BM611" s="11"/>
      <c r="BN611" s="11"/>
      <c r="BO611" s="11"/>
      <c r="BP611" s="11"/>
      <c r="BQ611" s="11"/>
      <c r="BR611" s="11"/>
      <c r="BS611" s="11"/>
      <c r="BT611" s="11"/>
      <c r="BU611" s="11"/>
      <c r="BV611" s="11"/>
      <c r="BW611" s="11"/>
      <c r="BX611" s="11"/>
      <c r="BY611" s="11"/>
      <c r="BZ611" s="11"/>
      <c r="CA611" s="11"/>
      <c r="CB611" s="11"/>
      <c r="CC611" s="11"/>
      <c r="CD611" s="11"/>
      <c r="CE611" s="11"/>
      <c r="CF611" s="11"/>
      <c r="CG611" s="11"/>
      <c r="CH611" s="11"/>
      <c r="CI611" s="11"/>
      <c r="CJ611" s="11"/>
      <c r="CK611" s="11"/>
      <c r="CL611" s="11"/>
      <c r="CM611" s="11"/>
      <c r="CN611" s="11"/>
      <c r="CO611" s="11"/>
      <c r="CP611" s="11"/>
      <c r="CQ611" s="11"/>
      <c r="CR611" s="15"/>
      <c r="CS611" s="15"/>
      <c r="CT611" s="15"/>
      <c r="CU611" s="15"/>
    </row>
    <row r="612" spans="1:99" ht="12" customHeight="1" x14ac:dyDescent="0.2">
      <c r="A612" s="68">
        <v>43906</v>
      </c>
      <c r="B612" s="94"/>
      <c r="C612" s="94"/>
      <c r="D612" s="92"/>
      <c r="E612" s="105"/>
      <c r="F612" s="92"/>
      <c r="G612" s="92"/>
      <c r="H612" s="92"/>
      <c r="I612" s="92"/>
      <c r="J612" s="92"/>
      <c r="K612" s="107"/>
      <c r="L612" s="107"/>
      <c r="M612" s="92"/>
      <c r="N612" s="92"/>
      <c r="O612" s="92"/>
      <c r="P612" s="92"/>
      <c r="Q612" s="92"/>
      <c r="R612" s="69"/>
      <c r="S612" s="92"/>
      <c r="T612" s="92"/>
      <c r="U612" s="60"/>
      <c r="V612" s="92"/>
      <c r="W612" s="69"/>
      <c r="X612" s="92"/>
      <c r="Y612" s="87"/>
      <c r="Z612" s="92"/>
      <c r="AA612" s="92"/>
      <c r="AB612" s="69"/>
      <c r="AC612" s="69"/>
      <c r="AD612" s="69"/>
      <c r="AE612" s="69"/>
      <c r="AF612" s="88"/>
      <c r="AG612" s="72"/>
      <c r="AH612" s="4"/>
      <c r="AI612" s="108"/>
      <c r="AJ612" s="113"/>
      <c r="AK612" s="108"/>
      <c r="AL612" s="108"/>
      <c r="AM612" s="108"/>
      <c r="AN612" s="108"/>
      <c r="AO612" s="108"/>
      <c r="AP612" s="108"/>
      <c r="AQ612" s="89"/>
      <c r="AR612" s="118"/>
      <c r="AS612" s="89"/>
      <c r="AT612" s="89"/>
      <c r="AU612" s="4"/>
      <c r="AV612" s="98">
        <f>60*60*24*7</f>
        <v>604800</v>
      </c>
      <c r="AW612" s="98">
        <f>60*60*24*30</f>
        <v>2592000</v>
      </c>
      <c r="AX612" s="98">
        <f>60*60*24*30*4</f>
        <v>10368000</v>
      </c>
      <c r="AY612" s="98">
        <f>60*60*24*30*11</f>
        <v>28512000</v>
      </c>
      <c r="BA612" s="11"/>
      <c r="BB612" s="11"/>
      <c r="BC612" s="11"/>
      <c r="BD612" s="11"/>
      <c r="BE612" s="11"/>
      <c r="BF612" s="11"/>
      <c r="BG612" s="11"/>
      <c r="BH612" s="11"/>
      <c r="BI612" s="11"/>
      <c r="BJ612" s="11"/>
      <c r="BK612" s="11"/>
      <c r="BL612" s="11"/>
      <c r="BM612" s="11"/>
      <c r="BN612" s="11"/>
      <c r="BO612" s="11"/>
      <c r="BP612" s="11"/>
      <c r="BQ612" s="11"/>
      <c r="BR612" s="11"/>
      <c r="BS612" s="11"/>
      <c r="BT612" s="11"/>
      <c r="BU612" s="11"/>
      <c r="BV612" s="11"/>
      <c r="BW612" s="11"/>
      <c r="BX612" s="11"/>
      <c r="BY612" s="11"/>
      <c r="BZ612" s="11"/>
      <c r="CA612" s="11"/>
      <c r="CB612" s="11"/>
      <c r="CC612" s="11"/>
      <c r="CD612" s="11"/>
      <c r="CE612" s="11"/>
      <c r="CF612" s="11"/>
      <c r="CG612" s="11"/>
      <c r="CH612" s="11"/>
      <c r="CI612" s="11"/>
      <c r="CJ612" s="11"/>
      <c r="CK612" s="11"/>
      <c r="CL612" s="11"/>
      <c r="CM612" s="11"/>
      <c r="CN612" s="11"/>
      <c r="CO612" s="11"/>
      <c r="CP612" s="11"/>
      <c r="CQ612" s="11"/>
      <c r="CR612" s="15"/>
      <c r="CS612" s="15"/>
      <c r="CT612" s="15"/>
      <c r="CU612" s="15"/>
    </row>
    <row r="613" spans="1:99" ht="12" customHeight="1" x14ac:dyDescent="0.2">
      <c r="A613" s="68">
        <v>43906</v>
      </c>
      <c r="B613" s="94" t="s">
        <v>271</v>
      </c>
      <c r="C613" s="94" t="s">
        <v>139</v>
      </c>
      <c r="D613" s="92">
        <v>1982</v>
      </c>
      <c r="E613" s="105">
        <v>1</v>
      </c>
      <c r="F613" s="92">
        <v>80</v>
      </c>
      <c r="G613" s="92">
        <v>20</v>
      </c>
      <c r="H613" s="92" t="s">
        <v>502</v>
      </c>
      <c r="I613" s="92"/>
      <c r="J613" s="92" t="s">
        <v>328</v>
      </c>
      <c r="K613" s="69">
        <f>IF(J613="syllables",1,IF(J613="trigrams",2,IF(J613="strings",3,IF(J613="visual array",4,IF(J613="characters",5,IF(J613="letters",6,IF(J613="free forms",7,IF(J613="odors",8,IF(J613="words",9,IF(J613="pictures",10,IF(J613="object pictures",11,IF(J613="faces",12,IF(J613="names",13,IF(J613="idioms",14,IF(J613="grades",15,IF(J613="syllable-digit pairs",16,IF(J613="trigram-word pairs",17,IF(J613="word-digit pairs",18,IF(J613="English-Swahili pairs",19,IF(J613="spatial position",20,IF(J613="word pairs",21,IF(J613="word triads",22,IF(J613="generated words",23,IF(J613="word definition pairs",24,IF(J613="math problems",25,IF(J613="famous faces",26,IF(J613="famous names",27,IF(J613="famous voices",28,IF(J613="television programs",29,IF(J613="race horses",30,IF(J613="new vocabulary",31,IF(J613="sentences",32,IF(J613="concepts",33,IF(J613="ad slides",34,IF(J613="scenes",35,IF(J613="famous scenes",36,IF(J613="poems",37,IF(J613="walk",38,IF(J613="faces and events",39,IF(J613="events and names",40,IF(J613="flashbulb",41,IF(J613="stories",42,IF(J613="course material",43,IF(J613="autobiographical",44,IF(J613="novels",45,IF(J613="public events",46,"99"))))))))))))))))))))))))))))))))))))))))))))))</f>
        <v>12</v>
      </c>
      <c r="L613" s="69">
        <f>IF(J613="syllables",1,IF(J613="trigrams",1,IF(J613="strings",1,IF(J613="visual array",1,IF(J613="characters",1,IF(J613="letters",1,IF(J613="free forms",1,IF(J613="odors",2,IF(J613="words",2,IF(J613="pictures",2,IF(J613="object pictures",2,IF(J613="faces",2,IF(J613="names",2,IF(J613="idioms","2",IF(J613="grades",2,IF(J613="syllable-digit pairs",3,IF(J613="trigram-word pairs",3,IF(J613="word-digit pairs",3,IF(J613="English-Swahili pairs",3,IF(J613="spatial position",3,IF(J613="word pairs",4,IF(J613="word triads",4,IF(J613="generated words",4,IF(J613="word definition pairs",4,IF(J613="math problems",4,IF(J613="famous faces",4,IF(J613="famous names",4,IF(J613="famous voices",4,IF(J613="television programs",4,IF(J613="race horses",4,IF(J613="new vocabulary",4,IF(J613="sentences",5,IF(J613="concepts",5,IF(J613="ad slides",5,IF(J613="scenes",5,IF(J613="famous scenes",5,IF(J613="poems",6,IF(J613="walk",6,IF(J613="faces and events",6,IF(J613="events and names",6,IF(J613="flashbulb",7,IF(J613="stories",7,IF(J613="course material",7,IF(J613="autobiographical",7,IF(J613="novels",7,IF(J613="public events",7,"99"))))))))))))))))))))))))))))))))))))))))))))))</f>
        <v>2</v>
      </c>
      <c r="M613" s="92">
        <v>0</v>
      </c>
      <c r="N613" s="92">
        <v>1</v>
      </c>
      <c r="O613" s="92">
        <v>0</v>
      </c>
      <c r="P613" s="92"/>
      <c r="Q613" s="92" t="s">
        <v>34</v>
      </c>
      <c r="R613" s="69">
        <f>IF(Q613="Free Recall",1,IF(Q613="Cued Recall",2,IF(Q613="Recognition",3,IF(Q613="Multiple Choice",4,IF(Q613="Savings",5,IF(Q613="Stem Completion",6,IF(Q613="Fragment Completion",7,IF(Q613="anagram solution",8,IF(Q613="Matching",9,IF(Q613="Problem Solving",10,"99"))))))))))</f>
        <v>3</v>
      </c>
      <c r="S613" s="69" t="s">
        <v>15</v>
      </c>
      <c r="T613" s="92" t="s">
        <v>261</v>
      </c>
      <c r="U613" s="60">
        <f>IF(T613="within",1,0)</f>
        <v>0</v>
      </c>
      <c r="V613" s="92">
        <v>1</v>
      </c>
      <c r="W613" s="69">
        <f>F613*V613</f>
        <v>80</v>
      </c>
      <c r="X613" s="92">
        <v>4</v>
      </c>
      <c r="Y613" s="87">
        <f>AV612</f>
        <v>604800</v>
      </c>
      <c r="Z613" s="92" t="s">
        <v>501</v>
      </c>
      <c r="AA613" s="92">
        <f>11*30*24*3600</f>
        <v>28512000</v>
      </c>
      <c r="AB613" s="69" t="str">
        <f>IF(AA613&lt;60,"1",IF(AA613&lt;=43200,"2",IF(AA613&lt;=777600,"3","4")))</f>
        <v>4</v>
      </c>
      <c r="AC613" s="72">
        <f>AVERAGE(AV612:DA612)</f>
        <v>10519200</v>
      </c>
      <c r="AD613" s="69" t="str">
        <f>IF(AC613&lt;60,"1",IF(AC613&lt;=43200,"2",IF(AC613&lt;=777600,"3","4")))</f>
        <v>4</v>
      </c>
      <c r="AE613" s="87">
        <f>AA613-Y613</f>
        <v>27907200</v>
      </c>
      <c r="AF613" s="88">
        <f>AV613</f>
        <v>0.64150331479029898</v>
      </c>
      <c r="AG613" s="72">
        <f>((AW613-AV613)+(AX613-AW613)+(AY613-AX613))/3</f>
        <v>-0.17681723748489034</v>
      </c>
      <c r="AH613" s="4"/>
      <c r="AI613" s="72">
        <f>RSQ(AV613:AY613,AV612:AY612)</f>
        <v>0.98201256694299155</v>
      </c>
      <c r="AJ613" s="110">
        <f>SLOPE(AV613:AY613,AV612:AY612)</f>
        <v>-1.8415229696953148E-8</v>
      </c>
      <c r="AK613" s="72">
        <f>INTERCEPT(AV613:AY613,AV612:AY612)</f>
        <v>0.64815992891926033</v>
      </c>
      <c r="AL613" s="72">
        <f>INDEX(LINEST(LN(AV613:AY613),LN(AV612:AY612),TRUE,TRUE),3,1)</f>
        <v>0.64479708109420131</v>
      </c>
      <c r="AM613" s="72">
        <f>INDEX(LINEST(LN(AV613:AY613),LN(AV612:AY612)),1)</f>
        <v>-0.39305204447771663</v>
      </c>
      <c r="AN613" s="72">
        <f>EXP(INDEX(LINEST(LN(AV613:AY613),LN(AV612:AY612)),1,2))</f>
        <v>157.11631953673279</v>
      </c>
      <c r="AO613" s="89">
        <f>INDEX(LINEST((AV613:AY613),LN(AV612:AY612),TRUE,TRUE),3,1)</f>
        <v>0.75780633769582795</v>
      </c>
      <c r="AP613" s="89">
        <f>INDEX(LINEST((AV613:AY613),LN(AV612:AY612)),1)</f>
        <v>-0.12266379495160135</v>
      </c>
      <c r="AQ613" s="90">
        <f>INDEX(LINEST(LN(AV613:AY613),SQRT(AV612:AY612),TRUE,TRUE),3,1)</f>
        <v>0.84447375833918614</v>
      </c>
      <c r="AR613" s="117">
        <f>INDEX(LINEST(LN(AV613:AY613),SQRT((AV612:AY612))),1)</f>
        <v>-3.752804445221067E-4</v>
      </c>
      <c r="AS613" s="91">
        <f>INDEX(LINEST(1/(AV613:AY613),1/(SQRT(AV612:AY612)),TRUE,TRUE),3,1)</f>
        <v>0.3613137424114648</v>
      </c>
      <c r="AT613" s="91">
        <f>INDEX(LINEST(1/(AV613:AY613),1/SQRT(AV612:AY612)),1)</f>
        <v>-4424.9819161781024</v>
      </c>
      <c r="AU613" s="3"/>
      <c r="AV613" s="97">
        <v>0.64150331479029898</v>
      </c>
      <c r="AW613" s="97">
        <v>0.56667725282330994</v>
      </c>
      <c r="AX613" s="97">
        <v>0.49855360881504601</v>
      </c>
      <c r="AY613" s="97">
        <v>0.11105160233562801</v>
      </c>
      <c r="AZ613" s="11"/>
      <c r="BA613" s="11"/>
      <c r="BB613" s="11"/>
      <c r="BC613" s="11"/>
      <c r="BD613" s="11"/>
      <c r="BE613" s="11"/>
      <c r="BF613" s="11"/>
      <c r="BG613" s="11"/>
      <c r="BH613" s="11"/>
      <c r="BI613" s="11"/>
      <c r="BJ613" s="11"/>
      <c r="BK613" s="11"/>
      <c r="BL613" s="11"/>
      <c r="BM613" s="11"/>
      <c r="BN613" s="11"/>
      <c r="BO613" s="11"/>
      <c r="BP613" s="11"/>
      <c r="BQ613" s="11"/>
      <c r="BR613" s="11"/>
      <c r="BS613" s="11"/>
      <c r="BT613" s="11"/>
      <c r="BU613" s="11"/>
      <c r="BV613" s="11"/>
      <c r="BW613" s="11"/>
      <c r="BX613" s="11"/>
      <c r="BY613" s="11"/>
      <c r="BZ613" s="11"/>
      <c r="CA613" s="11"/>
      <c r="CB613" s="11"/>
      <c r="CC613" s="11"/>
      <c r="CD613" s="11"/>
      <c r="CE613" s="11"/>
      <c r="CF613" s="11"/>
      <c r="CG613" s="11"/>
      <c r="CH613" s="11"/>
      <c r="CI613" s="11"/>
      <c r="CJ613" s="11"/>
      <c r="CK613" s="11"/>
      <c r="CL613" s="11"/>
      <c r="CM613" s="11"/>
      <c r="CN613" s="11"/>
      <c r="CO613" s="11"/>
      <c r="CP613" s="11"/>
      <c r="CQ613" s="11"/>
      <c r="CR613" s="15"/>
      <c r="CS613" s="15"/>
      <c r="CT613" s="15"/>
      <c r="CU613" s="15"/>
    </row>
    <row r="614" spans="1:99" ht="12" customHeight="1" x14ac:dyDescent="0.2">
      <c r="A614" s="65">
        <v>43979</v>
      </c>
      <c r="B614" s="15"/>
      <c r="C614" s="15"/>
      <c r="D614" s="59"/>
      <c r="E614" s="75"/>
      <c r="F614" s="59"/>
      <c r="G614" s="59"/>
      <c r="H614" s="59"/>
      <c r="I614" s="59"/>
      <c r="J614" s="59"/>
      <c r="K614" s="60"/>
      <c r="L614" s="60"/>
      <c r="M614" s="59"/>
      <c r="N614" s="59"/>
      <c r="O614" s="59"/>
      <c r="P614" s="59"/>
      <c r="Q614" s="59"/>
      <c r="R614" s="60"/>
      <c r="S614" s="60"/>
      <c r="T614" s="59"/>
      <c r="U614" s="60"/>
      <c r="V614" s="59"/>
      <c r="W614" s="60"/>
      <c r="X614" s="59"/>
      <c r="Y614" s="76"/>
      <c r="Z614" s="59"/>
      <c r="AA614" s="59"/>
      <c r="AB614" s="60"/>
      <c r="AC614" s="56"/>
      <c r="AD614" s="60"/>
      <c r="AE614" s="76"/>
      <c r="AF614" s="80"/>
      <c r="AG614" s="56"/>
      <c r="AH614" s="4"/>
      <c r="AI614" s="56"/>
      <c r="AJ614" s="109"/>
      <c r="AK614" s="56"/>
      <c r="AL614" s="56"/>
      <c r="AM614" s="56"/>
      <c r="AN614" s="56"/>
      <c r="AO614" s="82"/>
      <c r="AP614" s="82"/>
      <c r="AQ614" s="83"/>
      <c r="AR614" s="116"/>
      <c r="AS614" s="84"/>
      <c r="AT614" s="84"/>
      <c r="AU614" s="3"/>
      <c r="AV614" s="47">
        <v>60</v>
      </c>
      <c r="AW614" s="47">
        <f>60*60*24</f>
        <v>86400</v>
      </c>
      <c r="AX614" s="47">
        <f>60*60*24*7</f>
        <v>604800</v>
      </c>
      <c r="AY614" s="47">
        <f>60*60*24*25</f>
        <v>2160000</v>
      </c>
      <c r="AZ614" s="11"/>
      <c r="BA614" s="53" t="s">
        <v>1006</v>
      </c>
      <c r="BB614" s="11"/>
      <c r="BC614" s="11"/>
      <c r="BD614" s="11"/>
      <c r="BE614" s="11"/>
      <c r="BF614" s="11"/>
      <c r="BG614" s="11"/>
      <c r="BH614" s="11"/>
      <c r="BI614" s="11"/>
      <c r="BJ614" s="11"/>
      <c r="BK614" s="11"/>
      <c r="BL614" s="11"/>
      <c r="BM614" s="11"/>
      <c r="BN614" s="11"/>
      <c r="BO614" s="11"/>
      <c r="BP614" s="11"/>
      <c r="BQ614" s="11"/>
      <c r="BR614" s="11"/>
      <c r="BS614" s="11"/>
      <c r="BT614" s="11"/>
      <c r="BU614" s="11"/>
      <c r="BV614" s="11"/>
      <c r="BW614" s="11"/>
      <c r="BX614" s="11"/>
      <c r="BY614" s="11"/>
      <c r="BZ614" s="11"/>
      <c r="CA614" s="11"/>
      <c r="CB614" s="11"/>
      <c r="CC614" s="11"/>
      <c r="CD614" s="11"/>
      <c r="CE614" s="11"/>
      <c r="CF614" s="11"/>
      <c r="CG614" s="11"/>
      <c r="CH614" s="11"/>
      <c r="CI614" s="11"/>
      <c r="CJ614" s="11"/>
      <c r="CK614" s="11"/>
      <c r="CL614" s="11"/>
      <c r="CM614" s="11"/>
      <c r="CN614" s="11"/>
      <c r="CO614" s="11"/>
      <c r="CP614" s="11"/>
      <c r="CQ614" s="11"/>
      <c r="CR614" s="15"/>
      <c r="CS614" s="15"/>
      <c r="CT614" s="15"/>
      <c r="CU614" s="15"/>
    </row>
    <row r="615" spans="1:99" ht="12" customHeight="1" x14ac:dyDescent="0.2">
      <c r="A615" s="65">
        <v>43979</v>
      </c>
      <c r="B615" s="15" t="s">
        <v>1002</v>
      </c>
      <c r="C615" s="15" t="s">
        <v>75</v>
      </c>
      <c r="D615" s="59">
        <v>2020</v>
      </c>
      <c r="E615" s="75">
        <v>2</v>
      </c>
      <c r="F615" s="59">
        <v>70</v>
      </c>
      <c r="G615" s="59">
        <v>70</v>
      </c>
      <c r="H615" s="59" t="s">
        <v>1003</v>
      </c>
      <c r="I615" s="59" t="s">
        <v>1004</v>
      </c>
      <c r="J615" s="59" t="s">
        <v>313</v>
      </c>
      <c r="K615" s="60">
        <f>IF(J615="syllables",1,IF(J615="trigrams",2,IF(J615="strings",3,IF(J615="visual array",4,IF(J615="characters",5,IF(J615="letters",6,IF(J615="free forms",7,IF(J615="odors",8,IF(J615="words",9,IF(J615="pictures",10,IF(J615="object pictures",11,IF(J615="faces",12,IF(J615="names",13,IF(J615="idioms",14,IF(J615="grades",15,IF(J615="syllable-digit pairs",16,IF(J615="trigram-word pairs",17,IF(J615="word-digit pairs",18,IF(J615="English-Swahili pairs",19,IF(J615="spatial position",20,IF(J615="word pairs",21,IF(J615="word triads",22,IF(J615="generated words",23,IF(J615="word definition pairs",24,IF(J615="math problems",25,IF(J615="famous faces",26,IF(J615="famous names",27,IF(J615="famous voices",28,IF(J615="television programs",29,IF(J615="race horses",30,IF(J615="new vocabulary",31,IF(J615="sentences",32,IF(J615="concepts",33,IF(J615="ad slides",34,IF(J615="scenes",35,IF(J615="famous scenes",36,IF(J615="poems",37,IF(J615="walk",38,IF(J615="faces and events",39,IF(J615="events and names",40,IF(J615="flashbulb",41,IF(J615="stories",42,IF(J615="course material",43,IF(J615="autobiographical",44,IF(J615="novels",45,IF(J615="public events",46,"99"))))))))))))))))))))))))))))))))))))))))))))))</f>
        <v>10</v>
      </c>
      <c r="L615" s="60">
        <f>IF(J615="syllables",1,IF(J615="trigrams",1,IF(J615="strings",1,IF(J615="visual array",1,IF(J615="characters",1,IF(J615="letters",1,IF(J615="free forms",1,IF(J615="odors",2,IF(J615="words",2,IF(J615="pictures",2,IF(J615="object pictures",2,IF(J615="faces",2,IF(J615="names",2,IF(J615="idioms","2",IF(J615="grades",2,IF(J615="syllable-digit pairs",3,IF(J615="trigram-word pairs",3,IF(J615="word-digit pairs",3,IF(J615="English-Swahili pairs",3,IF(J615="spatial position",3,IF(J615="word pairs",4,IF(J615="word triads",4,IF(J615="generated words",4,IF(J615="word definition pairs",4,IF(J615="math problems",4,IF(J615="famous faces",4,IF(J615="famous names",4,IF(J615="famous voices",4,IF(J615="television programs",4,IF(J615="race horses",4,IF(J615="new vocabulary",4,IF(J615="sentences",5,IF(J615="concepts",5,IF(J615="ad slides",5,IF(J615="scenes",5,IF(J615="famous scenes",5,IF(J615="poems",6,IF(J615="walk",6,IF(J615="faces and events",6,IF(J615="events and names",6,IF(J615="flashbulb",7,IF(J615="stories",7,IF(J615="course material",7,IF(J615="autobiographical",7,IF(J615="novels",7,IF(J615="public events",7,"99"))))))))))))))))))))))))))))))))))))))))))))))</f>
        <v>2</v>
      </c>
      <c r="M615" s="59">
        <v>1</v>
      </c>
      <c r="N615" s="59">
        <v>2</v>
      </c>
      <c r="O615" s="59">
        <v>0</v>
      </c>
      <c r="P615" s="59"/>
      <c r="Q615" s="59" t="s">
        <v>34</v>
      </c>
      <c r="R615" s="60">
        <f>IF(Q615="Free Recall",1,IF(Q615="Cued Recall",2,IF(Q615="Recognition",3,IF(Q615="Multiple Choice",4,IF(Q615="Savings",5,IF(Q615="Stem Completion",6,IF(Q615="Fragment Completion",7,IF(Q615="anagram solution",8,IF(Q615="Matching",9,IF(Q615="Problem Solving",10,"99"))))))))))</f>
        <v>3</v>
      </c>
      <c r="S615" s="60" t="s">
        <v>15</v>
      </c>
      <c r="T615" s="59" t="s">
        <v>581</v>
      </c>
      <c r="U615" s="60">
        <f>IF(T615="within",1,0)</f>
        <v>1</v>
      </c>
      <c r="V615" s="59">
        <v>200</v>
      </c>
      <c r="W615" s="60">
        <f>F615*V615</f>
        <v>14000</v>
      </c>
      <c r="X615" s="59">
        <v>4</v>
      </c>
      <c r="Y615" s="76">
        <f>AV614</f>
        <v>60</v>
      </c>
      <c r="Z615" s="59" t="s">
        <v>1005</v>
      </c>
      <c r="AA615" s="76">
        <f>60*60*24*25</f>
        <v>2160000</v>
      </c>
      <c r="AB615" s="60" t="str">
        <f>IF(AA615&lt;60,"1",IF(AA615&lt;=43200,"2",IF(AA615&lt;=777600,"3","4")))</f>
        <v>4</v>
      </c>
      <c r="AC615" s="56">
        <f>AVERAGE(AV614:DA614)</f>
        <v>712815</v>
      </c>
      <c r="AD615" s="60" t="str">
        <f>IF(AC615&lt;60,"1",IF(AC615&lt;=43200,"2",IF(AC615&lt;=777600,"3","4")))</f>
        <v>3</v>
      </c>
      <c r="AE615" s="76">
        <f>AA615-Y615</f>
        <v>2159940</v>
      </c>
      <c r="AF615" s="80">
        <f>AV615</f>
        <v>0.54716428571428577</v>
      </c>
      <c r="AG615" s="56">
        <f>((AW615-AV615)+(AX615-AW615)+(AY615-AX615))/3</f>
        <v>-6.9904761904762873E-3</v>
      </c>
      <c r="AH615" s="4"/>
      <c r="AI615" s="56">
        <f>RSQ(AV615:AY615,AV614:AY614)</f>
        <v>0.36722923887526132</v>
      </c>
      <c r="AJ615" s="109">
        <f>SLOPE(AV615:AY615,AV614:AY614)</f>
        <v>-8.9873329958672518E-9</v>
      </c>
      <c r="AK615" s="56">
        <f>INTERCEPT(AV615:AY615,AV614:AY614)</f>
        <v>0.54092952005516326</v>
      </c>
      <c r="AL615" s="56">
        <f>INDEX(LINEST(LN(AV615:AY615),LN(AV614:AY614),TRUE,TRUE),3,1)</f>
        <v>0.52234080434266905</v>
      </c>
      <c r="AM615" s="56">
        <f>INDEX(LINEST(LN(AV615:AY615),LN(AV614:AY614)),1)</f>
        <v>-4.2912645385226955E-3</v>
      </c>
      <c r="AN615" s="56">
        <f>EXP(INDEX(LINEST(LN(AV615:AY615),LN(AV614:AY614)),1,2))</f>
        <v>0.55981236321008387</v>
      </c>
      <c r="AO615" s="82">
        <f>INDEX(LINEST((AV615:AY615),LN(AV614:AY614),TRUE,TRUE),3,1)</f>
        <v>0.52463792994709835</v>
      </c>
      <c r="AP615" s="82">
        <f>INDEX(LINEST((AV615:AY615),LN(AV614:AY614)),1)</f>
        <v>-2.2939942453357046E-3</v>
      </c>
      <c r="AQ615" s="83">
        <f>INDEX(LINEST(LN(AV615:AY615),SQRT(AV614:AY614),TRUE,TRUE),3,1)</f>
        <v>0.56419873152245981</v>
      </c>
      <c r="AR615" s="116">
        <f>INDEX(LINEST(LN(AV615:AY615),SQRT((AV614:AY614))),1)</f>
        <v>-3.269326832283687E-5</v>
      </c>
      <c r="AS615" s="84">
        <f>INDEX(LINEST(1/(AV615:AY615),1/(SQRT(AV614:AY614)),TRUE,TRUE),3,1)</f>
        <v>0.33528177790051733</v>
      </c>
      <c r="AT615" s="84">
        <f>INDEX(LINEST(1/(AV615:AY615),1/SQRT(AV614:AY614)),1)</f>
        <v>-0.47471192548658164</v>
      </c>
      <c r="AU615" s="3"/>
      <c r="AV615" s="11">
        <v>0.54716428571428577</v>
      </c>
      <c r="AW615" s="11">
        <v>0.54690714285714281</v>
      </c>
      <c r="AX615" s="11">
        <v>0.5178285714285713</v>
      </c>
      <c r="AY615" s="11">
        <v>0.52619285714285691</v>
      </c>
      <c r="AZ615" s="11"/>
      <c r="BA615" s="11"/>
      <c r="BB615" s="11"/>
      <c r="BC615" s="11"/>
      <c r="BD615" s="11"/>
      <c r="BE615" s="11"/>
      <c r="BF615" s="11"/>
      <c r="BG615" s="11"/>
      <c r="BH615" s="11"/>
      <c r="BI615" s="11"/>
      <c r="BJ615" s="11"/>
      <c r="BK615" s="11"/>
      <c r="BL615" s="11"/>
      <c r="BM615" s="11"/>
      <c r="BN615" s="11"/>
      <c r="BO615" s="11"/>
      <c r="BP615" s="11"/>
      <c r="BQ615" s="11"/>
      <c r="BR615" s="11"/>
      <c r="BS615" s="11"/>
      <c r="BT615" s="11"/>
      <c r="BU615" s="11"/>
      <c r="BV615" s="11"/>
      <c r="BW615" s="11"/>
      <c r="BX615" s="11"/>
      <c r="BY615" s="11"/>
      <c r="BZ615" s="11"/>
      <c r="CA615" s="11"/>
      <c r="CB615" s="11"/>
      <c r="CC615" s="11"/>
      <c r="CD615" s="11"/>
      <c r="CE615" s="11"/>
      <c r="CF615" s="11"/>
      <c r="CG615" s="11"/>
      <c r="CH615" s="11"/>
      <c r="CI615" s="11"/>
      <c r="CJ615" s="11"/>
      <c r="CK615" s="11"/>
      <c r="CL615" s="11"/>
      <c r="CM615" s="11"/>
      <c r="CN615" s="11"/>
      <c r="CO615" s="11"/>
      <c r="CP615" s="11"/>
      <c r="CQ615" s="11"/>
      <c r="CR615" s="15"/>
      <c r="CS615" s="15"/>
      <c r="CT615" s="15"/>
      <c r="CU615" s="15"/>
    </row>
    <row r="616" spans="1:99" ht="12" customHeight="1" x14ac:dyDescent="0.2">
      <c r="A616" s="65">
        <v>43979</v>
      </c>
      <c r="B616" s="15"/>
      <c r="C616" s="15"/>
      <c r="D616" s="59"/>
      <c r="E616" s="75"/>
      <c r="F616" s="59"/>
      <c r="G616" s="59"/>
      <c r="H616" s="59"/>
      <c r="I616" s="59"/>
      <c r="J616" s="59"/>
      <c r="K616" s="60"/>
      <c r="L616" s="60"/>
      <c r="M616" s="59"/>
      <c r="N616" s="59"/>
      <c r="O616" s="59"/>
      <c r="P616" s="59"/>
      <c r="Q616" s="59"/>
      <c r="R616" s="60"/>
      <c r="S616" s="60"/>
      <c r="T616" s="59"/>
      <c r="U616" s="60"/>
      <c r="V616" s="59"/>
      <c r="W616" s="60"/>
      <c r="X616" s="59"/>
      <c r="Y616" s="76"/>
      <c r="Z616" s="59"/>
      <c r="AA616" s="59"/>
      <c r="AB616" s="60"/>
      <c r="AC616" s="56"/>
      <c r="AD616" s="60"/>
      <c r="AE616" s="76"/>
      <c r="AF616" s="80"/>
      <c r="AG616" s="56"/>
      <c r="AH616" s="4"/>
      <c r="AI616" s="56"/>
      <c r="AJ616" s="109"/>
      <c r="AK616" s="56"/>
      <c r="AL616" s="56"/>
      <c r="AM616" s="56"/>
      <c r="AN616" s="56"/>
      <c r="AO616" s="82"/>
      <c r="AP616" s="82"/>
      <c r="AQ616" s="83"/>
      <c r="AR616" s="116"/>
      <c r="AS616" s="84"/>
      <c r="AT616" s="84"/>
      <c r="AU616" s="3"/>
      <c r="AV616" s="47">
        <v>60</v>
      </c>
      <c r="AW616" s="47">
        <f>60*60*24</f>
        <v>86400</v>
      </c>
      <c r="AX616" s="47">
        <f>60*60*24*7</f>
        <v>604800</v>
      </c>
      <c r="AY616" s="47">
        <f>60*60*24*25</f>
        <v>2160000</v>
      </c>
      <c r="AZ616" s="11"/>
      <c r="BA616" s="11"/>
      <c r="BB616" s="11"/>
      <c r="BC616" s="11"/>
      <c r="BD616" s="11"/>
      <c r="BE616" s="11"/>
      <c r="BF616" s="11"/>
      <c r="BG616" s="11"/>
      <c r="BH616" s="11"/>
      <c r="BI616" s="11"/>
      <c r="BJ616" s="11"/>
      <c r="BK616" s="11"/>
      <c r="BL616" s="11"/>
      <c r="BM616" s="11"/>
      <c r="BN616" s="11"/>
      <c r="BO616" s="11"/>
      <c r="BP616" s="11"/>
      <c r="BQ616" s="11"/>
      <c r="BR616" s="11"/>
      <c r="BS616" s="11"/>
      <c r="BT616" s="11"/>
      <c r="BU616" s="11"/>
      <c r="BV616" s="11"/>
      <c r="BW616" s="11"/>
      <c r="BX616" s="11"/>
      <c r="BY616" s="11"/>
      <c r="BZ616" s="11"/>
      <c r="CA616" s="11"/>
      <c r="CB616" s="11"/>
      <c r="CC616" s="11"/>
      <c r="CD616" s="11"/>
      <c r="CE616" s="11"/>
      <c r="CF616" s="11"/>
      <c r="CG616" s="11"/>
      <c r="CH616" s="11"/>
      <c r="CI616" s="11"/>
      <c r="CJ616" s="11"/>
      <c r="CK616" s="11"/>
      <c r="CL616" s="11"/>
      <c r="CM616" s="11"/>
      <c r="CN616" s="11"/>
      <c r="CO616" s="11"/>
      <c r="CP616" s="11"/>
      <c r="CQ616" s="11"/>
      <c r="CR616" s="15"/>
      <c r="CS616" s="15"/>
      <c r="CT616" s="15"/>
      <c r="CU616" s="15"/>
    </row>
    <row r="617" spans="1:99" ht="12" customHeight="1" x14ac:dyDescent="0.2">
      <c r="A617" s="65">
        <v>43979</v>
      </c>
      <c r="B617" s="15" t="s">
        <v>1002</v>
      </c>
      <c r="C617" s="15" t="s">
        <v>75</v>
      </c>
      <c r="D617" s="59">
        <v>2020</v>
      </c>
      <c r="E617" s="75">
        <v>2</v>
      </c>
      <c r="F617" s="59">
        <v>70</v>
      </c>
      <c r="G617" s="59">
        <v>70</v>
      </c>
      <c r="H617" s="59" t="s">
        <v>1003</v>
      </c>
      <c r="I617" s="59" t="s">
        <v>785</v>
      </c>
      <c r="J617" s="59" t="s">
        <v>313</v>
      </c>
      <c r="K617" s="60">
        <f>IF(J617="syllables",1,IF(J617="trigrams",2,IF(J617="strings",3,IF(J617="visual array",4,IF(J617="characters",5,IF(J617="letters",6,IF(J617="free forms",7,IF(J617="odors",8,IF(J617="words",9,IF(J617="pictures",10,IF(J617="object pictures",11,IF(J617="faces",12,IF(J617="names",13,IF(J617="idioms",14,IF(J617="grades",15,IF(J617="syllable-digit pairs",16,IF(J617="trigram-word pairs",17,IF(J617="word-digit pairs",18,IF(J617="English-Swahili pairs",19,IF(J617="spatial position",20,IF(J617="word pairs",21,IF(J617="word triads",22,IF(J617="generated words",23,IF(J617="word definition pairs",24,IF(J617="math problems",25,IF(J617="famous faces",26,IF(J617="famous names",27,IF(J617="famous voices",28,IF(J617="television programs",29,IF(J617="race horses",30,IF(J617="new vocabulary",31,IF(J617="sentences",32,IF(J617="concepts",33,IF(J617="ad slides",34,IF(J617="scenes",35,IF(J617="famous scenes",36,IF(J617="poems",37,IF(J617="walk",38,IF(J617="faces and events",39,IF(J617="events and names",40,IF(J617="flashbulb",41,IF(J617="stories",42,IF(J617="course material",43,IF(J617="autobiographical",44,IF(J617="novels",45,IF(J617="public events",46,"99"))))))))))))))))))))))))))))))))))))))))))))))</f>
        <v>10</v>
      </c>
      <c r="L617" s="60">
        <f>IF(J617="syllables",1,IF(J617="trigrams",1,IF(J617="strings",1,IF(J617="visual array",1,IF(J617="characters",1,IF(J617="letters",1,IF(J617="free forms",1,IF(J617="odors",2,IF(J617="words",2,IF(J617="pictures",2,IF(J617="object pictures",2,IF(J617="faces",2,IF(J617="names",2,IF(J617="idioms","2",IF(J617="grades",2,IF(J617="syllable-digit pairs",3,IF(J617="trigram-word pairs",3,IF(J617="word-digit pairs",3,IF(J617="English-Swahili pairs",3,IF(J617="spatial position",3,IF(J617="word pairs",4,IF(J617="word triads",4,IF(J617="generated words",4,IF(J617="word definition pairs",4,IF(J617="math problems",4,IF(J617="famous faces",4,IF(J617="famous names",4,IF(J617="famous voices",4,IF(J617="television programs",4,IF(J617="race horses",4,IF(J617="new vocabulary",4,IF(J617="sentences",5,IF(J617="concepts",5,IF(J617="ad slides",5,IF(J617="scenes",5,IF(J617="famous scenes",5,IF(J617="poems",6,IF(J617="walk",6,IF(J617="faces and events",6,IF(J617="events and names",6,IF(J617="flashbulb",7,IF(J617="stories",7,IF(J617="course material",7,IF(J617="autobiographical",7,IF(J617="novels",7,IF(J617="public events",7,"99"))))))))))))))))))))))))))))))))))))))))))))))</f>
        <v>2</v>
      </c>
      <c r="M617" s="59">
        <v>1</v>
      </c>
      <c r="N617" s="59">
        <v>2</v>
      </c>
      <c r="O617" s="59">
        <v>0</v>
      </c>
      <c r="P617" s="59"/>
      <c r="Q617" s="59" t="s">
        <v>34</v>
      </c>
      <c r="R617" s="60">
        <f>IF(Q617="Free Recall",1,IF(Q617="Cued Recall",2,IF(Q617="Recognition",3,IF(Q617="Multiple Choice",4,IF(Q617="Savings",5,IF(Q617="Stem Completion",6,IF(Q617="Fragment Completion",7,IF(Q617="anagram solution",8,IF(Q617="Matching",9,IF(Q617="Problem Solving",10,"99"))))))))))</f>
        <v>3</v>
      </c>
      <c r="S617" s="60" t="s">
        <v>15</v>
      </c>
      <c r="T617" s="59" t="s">
        <v>581</v>
      </c>
      <c r="U617" s="60">
        <f>IF(T617="within",1,0)</f>
        <v>1</v>
      </c>
      <c r="V617" s="59">
        <v>200</v>
      </c>
      <c r="W617" s="60">
        <f>F617*V617</f>
        <v>14000</v>
      </c>
      <c r="X617" s="59">
        <v>4</v>
      </c>
      <c r="Y617" s="76">
        <f>AV616</f>
        <v>60</v>
      </c>
      <c r="Z617" s="59" t="s">
        <v>1005</v>
      </c>
      <c r="AA617" s="76">
        <f>60*60*24*25</f>
        <v>2160000</v>
      </c>
      <c r="AB617" s="60" t="str">
        <f>IF(AA617&lt;60,"1",IF(AA617&lt;=43200,"2",IF(AA617&lt;=777600,"3","4")))</f>
        <v>4</v>
      </c>
      <c r="AC617" s="56">
        <f>AVERAGE(AV616:DA616)</f>
        <v>712815</v>
      </c>
      <c r="AD617" s="60" t="str">
        <f>IF(AC617&lt;60,"1",IF(AC617&lt;=43200,"2",IF(AC617&lt;=777600,"3","4")))</f>
        <v>3</v>
      </c>
      <c r="AE617" s="76">
        <f>AA617-Y617</f>
        <v>2159940</v>
      </c>
      <c r="AF617" s="80">
        <f>AV617</f>
        <v>0.59951428571428556</v>
      </c>
      <c r="AG617" s="56">
        <f>((AW617-AV617)+(AX617-AW617)+(AY617-AX617))/3</f>
        <v>-1.7290476190476117E-2</v>
      </c>
      <c r="AH617" s="4"/>
      <c r="AI617" s="56">
        <f>RSQ(AV617:AY617,AV616:AY616)</f>
        <v>0.5195402584684119</v>
      </c>
      <c r="AJ617" s="109">
        <f>SLOPE(AV617:AY617,AV616:AY616)</f>
        <v>-1.6296716849221445E-8</v>
      </c>
      <c r="AK617" s="56">
        <f>INTERCEPT(AV617:AY617,AV616:AY616)</f>
        <v>0.5789379727923063</v>
      </c>
      <c r="AL617" s="56">
        <f>INDEX(LINEST(LN(AV617:AY617),LN(AV616:AY616),TRUE,TRUE),3,1)</f>
        <v>0.99550078615717341</v>
      </c>
      <c r="AM617" s="56">
        <f>INDEX(LINEST(LN(AV617:AY617),LN(AV616:AY616)),1)</f>
        <v>-8.3790614830482613E-3</v>
      </c>
      <c r="AN617" s="56">
        <f>EXP(INDEX(LINEST(LN(AV617:AY617),LN(AV616:AY616)),1,2))</f>
        <v>0.62089833208042555</v>
      </c>
      <c r="AO617" s="82">
        <f>INDEX(LINEST((AV617:AY617),LN(AV616:AY616),TRUE,TRUE),3,1)</f>
        <v>0.99664742197350897</v>
      </c>
      <c r="AP617" s="82">
        <f>INDEX(LINEST((AV617:AY617),LN(AV616:AY616)),1)</f>
        <v>-4.8201612256909511E-3</v>
      </c>
      <c r="AQ617" s="83">
        <f>INDEX(LINEST(LN(AV617:AY617),SQRT(AV616:AY616),TRUE,TRUE),3,1)</f>
        <v>0.75167129820423773</v>
      </c>
      <c r="AR617" s="116">
        <f>INDEX(LINEST(LN(AV617:AY617),SQRT((AV616:AY616))),1)</f>
        <v>-5.337311281014088E-5</v>
      </c>
      <c r="AS617" s="84">
        <f>INDEX(LINEST(1/(AV617:AY617),1/(SQRT(AV616:AY616)),TRUE,TRUE),3,1)</f>
        <v>0.89581657147119165</v>
      </c>
      <c r="AT617" s="84">
        <f>INDEX(LINEST(1/(AV617:AY617),1/SQRT(AV616:AY616)),1)</f>
        <v>-1.0187176836328846</v>
      </c>
      <c r="AU617" s="3"/>
      <c r="AV617" s="11">
        <v>0.59951428571428556</v>
      </c>
      <c r="AW617" s="11">
        <v>0.56524285714285694</v>
      </c>
      <c r="AX617" s="11">
        <v>0.55688571428571443</v>
      </c>
      <c r="AY617" s="11">
        <v>0.54764285714285721</v>
      </c>
      <c r="AZ617" s="11"/>
      <c r="BA617" s="11"/>
      <c r="BB617" s="11"/>
      <c r="BC617" s="11"/>
      <c r="BD617" s="11"/>
      <c r="BE617" s="11"/>
      <c r="BF617" s="11"/>
      <c r="BG617" s="11"/>
      <c r="BH617" s="11"/>
      <c r="BI617" s="11"/>
      <c r="BJ617" s="11"/>
      <c r="BK617" s="11"/>
      <c r="BL617" s="11"/>
      <c r="BM617" s="11"/>
      <c r="BN617" s="11"/>
      <c r="BO617" s="11"/>
      <c r="BP617" s="11"/>
      <c r="BQ617" s="11"/>
      <c r="BR617" s="11"/>
      <c r="BS617" s="11"/>
      <c r="BT617" s="11"/>
      <c r="BU617" s="11"/>
      <c r="BV617" s="11"/>
      <c r="BW617" s="11"/>
      <c r="BX617" s="11"/>
      <c r="BY617" s="11"/>
      <c r="BZ617" s="11"/>
      <c r="CA617" s="11"/>
      <c r="CB617" s="11"/>
      <c r="CC617" s="11"/>
      <c r="CD617" s="11"/>
      <c r="CE617" s="11"/>
      <c r="CF617" s="11"/>
      <c r="CG617" s="11"/>
      <c r="CH617" s="11"/>
      <c r="CI617" s="11"/>
      <c r="CJ617" s="11"/>
      <c r="CK617" s="11"/>
      <c r="CL617" s="11"/>
      <c r="CM617" s="11"/>
      <c r="CN617" s="11"/>
      <c r="CO617" s="11"/>
      <c r="CP617" s="11"/>
      <c r="CQ617" s="11"/>
      <c r="CR617" s="15"/>
      <c r="CS617" s="15"/>
      <c r="CT617" s="15"/>
      <c r="CU617" s="15"/>
    </row>
    <row r="618" spans="1:99" s="13" customFormat="1" ht="12" customHeight="1" x14ac:dyDescent="0.2">
      <c r="A618" s="68">
        <v>43509</v>
      </c>
      <c r="B618" s="70"/>
      <c r="C618" s="70"/>
      <c r="D618" s="69"/>
      <c r="E618" s="87"/>
      <c r="F618" s="69"/>
      <c r="G618" s="69"/>
      <c r="H618" s="69"/>
      <c r="I618" s="69"/>
      <c r="J618" s="69"/>
      <c r="K618" s="107"/>
      <c r="L618" s="107"/>
      <c r="M618" s="69"/>
      <c r="N618" s="69"/>
      <c r="O618" s="69"/>
      <c r="P618" s="69"/>
      <c r="Q618" s="69"/>
      <c r="R618" s="69"/>
      <c r="S618" s="69"/>
      <c r="T618" s="69"/>
      <c r="U618" s="60"/>
      <c r="V618" s="69"/>
      <c r="W618" s="69"/>
      <c r="X618" s="69"/>
      <c r="Y618" s="87"/>
      <c r="Z618" s="69"/>
      <c r="AA618" s="69"/>
      <c r="AB618" s="69"/>
      <c r="AC618" s="69"/>
      <c r="AD618" s="69"/>
      <c r="AE618" s="69"/>
      <c r="AF618" s="88"/>
      <c r="AG618" s="72"/>
      <c r="AH618" s="4"/>
      <c r="AI618" s="72"/>
      <c r="AJ618" s="110"/>
      <c r="AK618" s="72"/>
      <c r="AL618" s="72"/>
      <c r="AM618" s="72"/>
      <c r="AN618" s="72"/>
      <c r="AO618" s="72"/>
      <c r="AP618" s="72"/>
      <c r="AQ618" s="72"/>
      <c r="AR618" s="110"/>
      <c r="AS618" s="72"/>
      <c r="AT618" s="72"/>
      <c r="AU618" s="4"/>
      <c r="AV618" s="71">
        <f>18*60</f>
        <v>1080</v>
      </c>
      <c r="AW618" s="71">
        <f>7*24*60*60</f>
        <v>604800</v>
      </c>
      <c r="AX618" s="71">
        <f>5*7*24*60*60</f>
        <v>3024000</v>
      </c>
      <c r="AY618" s="71">
        <f>12*7*24*60*60</f>
        <v>7257600</v>
      </c>
      <c r="AZ618" s="71">
        <f>23*7*24*60*60</f>
        <v>13910400</v>
      </c>
      <c r="BA618" s="73"/>
      <c r="BB618" s="73"/>
      <c r="BC618" s="73"/>
      <c r="BD618" s="73"/>
      <c r="BE618" s="73"/>
      <c r="BF618" s="73"/>
      <c r="BG618" s="73"/>
      <c r="BH618" s="73"/>
      <c r="BI618" s="73"/>
      <c r="BJ618" s="73"/>
      <c r="BK618" s="53"/>
      <c r="BL618" s="53"/>
      <c r="BM618" s="53"/>
      <c r="BN618" s="53"/>
      <c r="BO618" s="53"/>
      <c r="BP618" s="53"/>
      <c r="BQ618" s="53"/>
      <c r="BR618" s="53"/>
      <c r="BS618" s="53"/>
      <c r="BT618" s="53"/>
      <c r="BU618" s="53"/>
      <c r="BV618" s="53"/>
      <c r="BW618" s="53"/>
      <c r="BX618" s="53"/>
      <c r="BY618" s="53"/>
      <c r="BZ618" s="53"/>
      <c r="CA618" s="53"/>
      <c r="CB618" s="53"/>
      <c r="CC618" s="53"/>
      <c r="CD618" s="53"/>
      <c r="CE618" s="53"/>
      <c r="CF618" s="53"/>
      <c r="CG618" s="53"/>
      <c r="CH618" s="53"/>
      <c r="CI618" s="53"/>
      <c r="CJ618" s="53"/>
      <c r="CK618" s="53"/>
      <c r="CL618" s="53"/>
      <c r="CM618" s="53"/>
      <c r="CN618" s="53"/>
      <c r="CO618" s="53"/>
      <c r="CP618" s="53"/>
      <c r="CQ618" s="53"/>
      <c r="CR618" s="1"/>
      <c r="CS618" s="1"/>
      <c r="CT618" s="1"/>
      <c r="CU618" s="1"/>
    </row>
    <row r="619" spans="1:99" s="13" customFormat="1" ht="12" customHeight="1" x14ac:dyDescent="0.2">
      <c r="A619" s="68">
        <v>43509</v>
      </c>
      <c r="B619" s="70" t="s">
        <v>197</v>
      </c>
      <c r="C619" s="70" t="s">
        <v>45</v>
      </c>
      <c r="D619" s="69">
        <v>1988</v>
      </c>
      <c r="E619" s="87">
        <v>2</v>
      </c>
      <c r="F619" s="69">
        <v>109</v>
      </c>
      <c r="G619" s="69">
        <v>109</v>
      </c>
      <c r="H619" s="69" t="s">
        <v>38</v>
      </c>
      <c r="I619" s="69" t="s">
        <v>823</v>
      </c>
      <c r="J619" s="69" t="s">
        <v>16</v>
      </c>
      <c r="K619" s="69">
        <f>IF(J619="syllables",1,IF(J619="trigrams",2,IF(J619="strings",3,IF(J619="visual array",4,IF(J619="characters",5,IF(J619="letters",6,IF(J619="free forms",7,IF(J619="odors",8,IF(J619="words",9,IF(J619="pictures",10,IF(J619="object pictures",11,IF(J619="faces",12,IF(J619="names",13,IF(J619="idioms",14,IF(J619="grades",15,IF(J619="syllable-digit pairs",16,IF(J619="trigram-word pairs",17,IF(J619="word-digit pairs",18,IF(J619="English-Swahili pairs",19,IF(J619="spatial position",20,IF(J619="word pairs",21,IF(J619="word triads",22,IF(J619="generated words",23,IF(J619="word definition pairs",24,IF(J619="math problems",25,IF(J619="famous faces",26,IF(J619="famous names",27,IF(J619="famous voices",28,IF(J619="television programs",29,IF(J619="race horses",30,IF(J619="new vocabulary",31,IF(J619="sentences",32,IF(J619="concepts",33,IF(J619="ad slides",34,IF(J619="scenes",35,IF(J619="famous scenes",36,IF(J619="poems",37,IF(J619="walk",38,IF(J619="faces and events",39,IF(J619="events and names",40,IF(J619="flashbulb",41,IF(J619="stories",42,IF(J619="course material",43,IF(J619="autobiographical",44,IF(J619="novels",45,IF(J619="public events",46,"99"))))))))))))))))))))))))))))))))))))))))))))))</f>
        <v>9</v>
      </c>
      <c r="L619" s="69">
        <f>IF(J619="syllables",1,IF(J619="trigrams",1,IF(J619="strings",1,IF(J619="visual array",1,IF(J619="characters",1,IF(J619="letters",1,IF(J619="free forms",1,IF(J619="odors",2,IF(J619="words",2,IF(J619="pictures",2,IF(J619="object pictures",2,IF(J619="faces",2,IF(J619="names",2,IF(J619="idioms","2",IF(J619="grades",2,IF(J619="syllable-digit pairs",3,IF(J619="trigram-word pairs",3,IF(J619="word-digit pairs",3,IF(J619="English-Swahili pairs",3,IF(J619="spatial position",3,IF(J619="word pairs",4,IF(J619="word triads",4,IF(J619="generated words",4,IF(J619="word definition pairs",4,IF(J619="math problems",4,IF(J619="famous faces",4,IF(J619="famous names",4,IF(J619="famous voices",4,IF(J619="television programs",4,IF(J619="race horses",4,IF(J619="new vocabulary",4,IF(J619="sentences",5,IF(J619="concepts",5,IF(J619="ad slides",5,IF(J619="scenes",5,IF(J619="famous scenes",5,IF(J619="poems",6,IF(J619="walk",6,IF(J619="faces and events",6,IF(J619="events and names",6,IF(J619="flashbulb",7,IF(J619="stories",7,IF(J619="course material",7,IF(J619="autobiographical",7,IF(J619="novels",7,IF(J619="public events",7,"99"))))))))))))))))))))))))))))))))))))))))))))))</f>
        <v>2</v>
      </c>
      <c r="M619" s="69">
        <v>0</v>
      </c>
      <c r="N619" s="69">
        <v>1</v>
      </c>
      <c r="O619" s="69">
        <v>0</v>
      </c>
      <c r="P619" s="69"/>
      <c r="Q619" s="69" t="s">
        <v>46</v>
      </c>
      <c r="R619" s="69">
        <f>IF(Q619="Free Recall",1,IF(Q619="Cued Recall",2,IF(Q619="Recognition",3,IF(Q619="Multiple Choice",4,IF(Q619="Savings",5,IF(Q619="Stem Completion",6,IF(Q619="Fragment Completion",7,IF(Q619="anagram solution",8,IF(Q619="Matching",9,IF(Q619="Problem Solving",10,"99"))))))))))</f>
        <v>7</v>
      </c>
      <c r="S619" s="69" t="s">
        <v>49</v>
      </c>
      <c r="T619" s="92" t="s">
        <v>581</v>
      </c>
      <c r="U619" s="60">
        <f>IF(T619="within",1,0)</f>
        <v>1</v>
      </c>
      <c r="V619" s="92">
        <v>128</v>
      </c>
      <c r="W619" s="69">
        <f>F619*V619</f>
        <v>13952</v>
      </c>
      <c r="X619" s="69">
        <v>5</v>
      </c>
      <c r="Y619" s="87">
        <f>AV618</f>
        <v>1080</v>
      </c>
      <c r="Z619" s="69" t="s">
        <v>534</v>
      </c>
      <c r="AA619" s="87">
        <f>23*7*24*60*60</f>
        <v>13910400</v>
      </c>
      <c r="AB619" s="69" t="str">
        <f>IF(AA619&lt;60,"1",IF(AA619&lt;=43200,"2",IF(AA619&lt;=777600,"3","4")))</f>
        <v>4</v>
      </c>
      <c r="AC619" s="72">
        <f>AVERAGE(AV618:DA618)</f>
        <v>4959576</v>
      </c>
      <c r="AD619" s="69" t="str">
        <f>IF(AC619&lt;60,"1",IF(AC619&lt;=43200,"2",IF(AC619&lt;=777600,"3","4")))</f>
        <v>4</v>
      </c>
      <c r="AE619" s="87">
        <f>AA619-Y619</f>
        <v>13909320</v>
      </c>
      <c r="AF619" s="88">
        <f>AV619</f>
        <v>0.47</v>
      </c>
      <c r="AG619" s="72">
        <f>((AW619-AV619)+(AX619-AW619)+(AY619-AX619)+(AZ619-AY619))/4</f>
        <v>-5.2499999999999991E-2</v>
      </c>
      <c r="AH619" s="4"/>
      <c r="AI619" s="72">
        <f>RSQ(AV619:AZ619,AV618:AZ618)</f>
        <v>0.60205913705150593</v>
      </c>
      <c r="AJ619" s="110">
        <f>SLOPE(AV619:AZ619,AV618:AZ618)</f>
        <v>-1.1010572697734529E-8</v>
      </c>
      <c r="AK619" s="72">
        <f>INTERCEPT(AV619:AZ619,AV618:AZ618)</f>
        <v>0.3906077720979394</v>
      </c>
      <c r="AL619" s="72">
        <f>INDEX(LINEST(LN(AV619:AZ619),LN(AV618:AZ618),TRUE,TRUE),3,1)</f>
        <v>0.96226686446508902</v>
      </c>
      <c r="AM619" s="72">
        <f>INDEX(LINEST(LN(AV619:AZ619),LN(AV618:AZ618)),1)</f>
        <v>-5.8209117567300031E-2</v>
      </c>
      <c r="AN619" s="72">
        <f>EXP(INDEX(LINEST(LN(AV619:AZ619),LN(AV618:AZ618)),1,2))</f>
        <v>0.72124415487685589</v>
      </c>
      <c r="AO619" s="89">
        <f>INDEX(LINEST((AV619:AZ619),LN(AV618:AZ618),TRUE,TRUE),3,1)</f>
        <v>0.98786997993757131</v>
      </c>
      <c r="AP619" s="89">
        <f>INDEX(LINEST((AV619:AZ619),LN(AV618:AZ618)),1)</f>
        <v>-2.1246017374122555E-2</v>
      </c>
      <c r="AQ619" s="90">
        <f>INDEX(LINEST(LN(AV619:AZ619),SQRT(AV618:AZ618),TRUE,TRUE),3,1)</f>
        <v>0.8825104180472898</v>
      </c>
      <c r="AR619" s="117">
        <f>INDEX(LINEST(LN(AV619:AZ619),SQRT((AV618:AZ618))),1)</f>
        <v>-1.4456939139487942E-4</v>
      </c>
      <c r="AS619" s="91">
        <f>INDEX(LINEST(1/(AV619:AZ619),1/(SQRT(AV618:AZ618)),TRUE,TRUE),3,1)</f>
        <v>0.72198053117464811</v>
      </c>
      <c r="AT619" s="91">
        <f>INDEX(LINEST(1/(AV619:AZ619),1/SQRT(AV618:AZ618)),1)</f>
        <v>-41.519937917807631</v>
      </c>
      <c r="AU619" s="3"/>
      <c r="AV619" s="73">
        <v>0.47</v>
      </c>
      <c r="AW619" s="73">
        <v>0.35</v>
      </c>
      <c r="AX619" s="73">
        <v>0.31</v>
      </c>
      <c r="AY619" s="73">
        <v>0.28999999999999998</v>
      </c>
      <c r="AZ619" s="73">
        <v>0.26</v>
      </c>
      <c r="BA619" s="73"/>
      <c r="BB619" s="73"/>
      <c r="BC619" s="73"/>
      <c r="BD619" s="73"/>
      <c r="BE619" s="73"/>
      <c r="BF619" s="73"/>
      <c r="BG619" s="73"/>
      <c r="BH619" s="73"/>
      <c r="BI619" s="73"/>
      <c r="BJ619" s="73"/>
      <c r="BK619" s="53"/>
      <c r="BL619" s="53"/>
      <c r="BM619" s="53"/>
      <c r="BN619" s="53"/>
      <c r="BO619" s="53"/>
      <c r="BP619" s="53"/>
      <c r="BQ619" s="53"/>
      <c r="BR619" s="53"/>
      <c r="BS619" s="53"/>
      <c r="BT619" s="53"/>
      <c r="BU619" s="53"/>
      <c r="BV619" s="53"/>
      <c r="BW619" s="53"/>
      <c r="BX619" s="53"/>
      <c r="BY619" s="53"/>
      <c r="BZ619" s="53"/>
      <c r="CA619" s="53"/>
      <c r="CB619" s="53"/>
      <c r="CC619" s="53"/>
      <c r="CD619" s="53"/>
      <c r="CE619" s="53"/>
      <c r="CF619" s="53"/>
      <c r="CG619" s="53"/>
      <c r="CH619" s="53"/>
      <c r="CI619" s="53"/>
      <c r="CJ619" s="53"/>
      <c r="CK619" s="53"/>
      <c r="CL619" s="53"/>
      <c r="CM619" s="53"/>
      <c r="CN619" s="53"/>
      <c r="CO619" s="53"/>
      <c r="CP619" s="53"/>
      <c r="CQ619" s="53"/>
      <c r="CR619" s="1"/>
      <c r="CS619" s="1"/>
      <c r="CT619" s="1"/>
      <c r="CU619" s="1"/>
    </row>
    <row r="620" spans="1:99" s="13" customFormat="1" ht="12" customHeight="1" x14ac:dyDescent="0.2">
      <c r="A620" s="65">
        <v>43899</v>
      </c>
      <c r="B620" s="1"/>
      <c r="C620" s="1"/>
      <c r="D620" s="60"/>
      <c r="E620" s="76"/>
      <c r="F620" s="60"/>
      <c r="G620" s="60"/>
      <c r="H620" s="60"/>
      <c r="I620" s="60"/>
      <c r="J620" s="60"/>
      <c r="K620" s="64"/>
      <c r="L620" s="64"/>
      <c r="M620" s="60"/>
      <c r="N620" s="60"/>
      <c r="O620" s="60"/>
      <c r="P620" s="60"/>
      <c r="Q620" s="60"/>
      <c r="R620" s="60"/>
      <c r="S620" s="60"/>
      <c r="T620" s="60"/>
      <c r="U620" s="60"/>
      <c r="V620" s="60"/>
      <c r="W620" s="60"/>
      <c r="X620" s="60"/>
      <c r="Y620" s="76"/>
      <c r="Z620" s="60"/>
      <c r="AA620" s="60"/>
      <c r="AB620" s="60"/>
      <c r="AC620" s="56"/>
      <c r="AD620" s="60"/>
      <c r="AE620" s="60"/>
      <c r="AF620" s="80"/>
      <c r="AG620" s="56"/>
      <c r="AH620" s="4"/>
      <c r="AI620" s="56"/>
      <c r="AJ620" s="109"/>
      <c r="AK620" s="56"/>
      <c r="AL620" s="56"/>
      <c r="AM620" s="56"/>
      <c r="AN620" s="56"/>
      <c r="AO620" s="82"/>
      <c r="AP620" s="82"/>
      <c r="AQ620" s="83"/>
      <c r="AR620" s="116"/>
      <c r="AS620" s="84"/>
      <c r="AT620" s="84"/>
      <c r="AU620" s="3"/>
      <c r="AV620" s="25">
        <f>30*60</f>
        <v>1800</v>
      </c>
      <c r="AW620" s="25">
        <f>60*60*24*2</f>
        <v>172800</v>
      </c>
      <c r="AX620" s="25">
        <f>60*60*24*7</f>
        <v>604800</v>
      </c>
      <c r="AY620" s="25">
        <f>60*60*24*21</f>
        <v>1814400</v>
      </c>
      <c r="AZ620" s="25"/>
      <c r="BA620" s="53"/>
      <c r="BB620" s="53"/>
      <c r="BC620" s="53"/>
      <c r="BD620" s="53"/>
      <c r="BE620" s="53"/>
      <c r="BF620" s="53"/>
      <c r="BG620" s="53"/>
      <c r="BH620" s="53"/>
      <c r="BI620" s="53"/>
      <c r="BJ620" s="53"/>
      <c r="BK620" s="53"/>
      <c r="BL620" s="53"/>
      <c r="BM620" s="53"/>
      <c r="BN620" s="53"/>
      <c r="BO620" s="53"/>
      <c r="BP620" s="53"/>
      <c r="BQ620" s="53"/>
      <c r="BR620" s="53"/>
      <c r="BS620" s="53"/>
      <c r="BT620" s="53"/>
      <c r="BU620" s="53"/>
      <c r="BV620" s="53"/>
      <c r="BW620" s="53"/>
      <c r="BX620" s="53"/>
      <c r="BY620" s="53"/>
      <c r="BZ620" s="53"/>
      <c r="CA620" s="53"/>
      <c r="CB620" s="53"/>
      <c r="CC620" s="53"/>
      <c r="CD620" s="53"/>
      <c r="CE620" s="53"/>
      <c r="CF620" s="53"/>
      <c r="CG620" s="53"/>
      <c r="CH620" s="53"/>
      <c r="CI620" s="53"/>
      <c r="CJ620" s="53"/>
      <c r="CK620" s="53"/>
      <c r="CL620" s="53"/>
      <c r="CM620" s="53"/>
      <c r="CN620" s="53"/>
      <c r="CO620" s="53"/>
      <c r="CP620" s="53"/>
      <c r="CQ620" s="53"/>
      <c r="CR620" s="1"/>
      <c r="CS620" s="1"/>
      <c r="CT620" s="1"/>
      <c r="CU620" s="1"/>
    </row>
    <row r="621" spans="1:99" s="13" customFormat="1" ht="12" customHeight="1" x14ac:dyDescent="0.25">
      <c r="A621" s="65">
        <v>43899</v>
      </c>
      <c r="B621" s="1" t="s">
        <v>382</v>
      </c>
      <c r="C621" s="1" t="s">
        <v>383</v>
      </c>
      <c r="D621" s="60">
        <v>1981</v>
      </c>
      <c r="E621" s="76">
        <v>1</v>
      </c>
      <c r="F621" s="60">
        <v>48</v>
      </c>
      <c r="G621" s="60">
        <v>48</v>
      </c>
      <c r="H621" s="60" t="s">
        <v>22</v>
      </c>
      <c r="I621" s="60" t="s">
        <v>384</v>
      </c>
      <c r="J621" s="60" t="s">
        <v>677</v>
      </c>
      <c r="K621" s="60">
        <f>IF(J621="syllables",1,IF(J621="trigrams",2,IF(J621="strings",3,IF(J621="visual array",4,IF(J621="characters",5,IF(J621="letters",6,IF(J621="free forms",7,IF(J621="odors",8,IF(J621="words",9,IF(J621="pictures",10,IF(J621="object pictures",11,IF(J621="faces",12,IF(J621="names",13,IF(J621="idioms",14,IF(J621="grades",15,IF(J621="syllable-digit pairs",16,IF(J621="trigram-word pairs",17,IF(J621="word-digit pairs",18,IF(J621="English-Swahili pairs",19,IF(J621="spatial position",20,IF(J621="word pairs",21,IF(J621="word triads",22,IF(J621="generated words",23,IF(J621="word definition pairs",24,IF(J621="math problems",25,IF(J621="famous faces",26,IF(J621="famous names",27,IF(J621="famous voices",28,IF(J621="television programs",29,IF(J621="race horses",30,IF(J621="new vocabulary",31,IF(J621="sentences",32,IF(J621="concepts",33,IF(J621="ad slides",34,IF(J621="scenes",35,IF(J621="famous scenes",36,IF(J621="poems",37,IF(J621="walk",38,IF(J621="faces and events",39,IF(J621="events and names",40,IF(J621="flashbulb",41,IF(J621="stories",42,IF(J621="course material",43,IF(J621="autobiographical",44,IF(J621="novels",45,IF(J621="public events",46,"99"))))))))))))))))))))))))))))))))))))))))))))))</f>
        <v>42</v>
      </c>
      <c r="L621" s="60">
        <f>IF(J621="syllables",1,IF(J621="trigrams",1,IF(J621="strings",1,IF(J621="visual array",1,IF(J621="characters",1,IF(J621="letters",1,IF(J621="free forms",1,IF(J621="odors",2,IF(J621="words",2,IF(J621="pictures",2,IF(J621="object pictures",2,IF(J621="faces",2,IF(J621="names",2,IF(J621="idioms","2",IF(J621="grades",2,IF(J621="syllable-digit pairs",3,IF(J621="trigram-word pairs",3,IF(J621="word-digit pairs",3,IF(J621="English-Swahili pairs",3,IF(J621="spatial position",3,IF(J621="word pairs",4,IF(J621="word triads",4,IF(J621="generated words",4,IF(J621="word definition pairs",4,IF(J621="math problems",4,IF(J621="famous faces",4,IF(J621="famous names",4,IF(J621="famous voices",4,IF(J621="television programs",4,IF(J621="race horses",4,IF(J621="new vocabulary",4,IF(J621="sentences",5,IF(J621="concepts",5,IF(J621="ad slides",5,IF(J621="scenes",5,IF(J621="famous scenes",5,IF(J621="poems",6,IF(J621="walk",6,IF(J621="faces and events",6,IF(J621="events and names",6,IF(J621="flashbulb",7,IF(J621="stories",7,IF(J621="course material",7,IF(J621="autobiographical",7,IF(J621="novels",7,IF(J621="public events",7,"99"))))))))))))))))))))))))))))))))))))))))))))))</f>
        <v>7</v>
      </c>
      <c r="M621" s="60">
        <v>0</v>
      </c>
      <c r="N621" s="60">
        <v>3</v>
      </c>
      <c r="O621" s="60">
        <v>0</v>
      </c>
      <c r="P621" s="60"/>
      <c r="Q621" s="60" t="s">
        <v>174</v>
      </c>
      <c r="R621" s="60">
        <f>IF(Q621="Free Recall",1,IF(Q621="Cued Recall",2,IF(Q621="Recognition",3,IF(Q621="Multiple Choice",4,IF(Q621="Savings",5,IF(Q621="Stem Completion",6,IF(Q621="Fragment Completion",7,IF(Q621="anagram solution",8,IF(Q621="Matching",9,IF(Q621="Problem Solving",10,"99"))))))))))</f>
        <v>1</v>
      </c>
      <c r="S621" s="60" t="s">
        <v>49</v>
      </c>
      <c r="T621" s="59" t="s">
        <v>581</v>
      </c>
      <c r="U621" s="60">
        <f>IF(T621="within",1,0)</f>
        <v>1</v>
      </c>
      <c r="V621" s="59">
        <v>64</v>
      </c>
      <c r="W621" s="60">
        <f>F621*V621</f>
        <v>3072</v>
      </c>
      <c r="X621" s="60">
        <v>4</v>
      </c>
      <c r="Y621" s="76">
        <f>AV620</f>
        <v>1800</v>
      </c>
      <c r="Z621" s="60" t="s">
        <v>165</v>
      </c>
      <c r="AA621" s="60">
        <v>1814400</v>
      </c>
      <c r="AB621" s="60" t="str">
        <f>IF(AA621&lt;60,"1",IF(AA621&lt;=43200,"2",IF(AA621&lt;=777600,"3","4")))</f>
        <v>4</v>
      </c>
      <c r="AC621" s="56">
        <f>AVERAGE(AV620:DA620)</f>
        <v>648450</v>
      </c>
      <c r="AD621" s="60" t="str">
        <f>IF(AC621&lt;60,"1",IF(AC621&lt;=43200,"2",IF(AC621&lt;=777600,"3","4")))</f>
        <v>3</v>
      </c>
      <c r="AE621" s="76">
        <f>AA621-Y621</f>
        <v>1812600</v>
      </c>
      <c r="AF621" s="80">
        <f>AV621</f>
        <v>0.28799999999999998</v>
      </c>
      <c r="AG621" s="56">
        <f>((AW621-AV621)+(AX621-AW621)+(AY621-AX621))/3</f>
        <v>-4.0999999999999988E-2</v>
      </c>
      <c r="AH621" s="4"/>
      <c r="AI621" s="56">
        <f>RSQ(AV621:AY621,AV620:AY620)</f>
        <v>0.94347285629577904</v>
      </c>
      <c r="AJ621" s="109">
        <f>SLOPE(AV621:AY621,AV620:AY620)</f>
        <v>-6.1316178919694254E-8</v>
      </c>
      <c r="AK621" s="56">
        <f>INTERCEPT(AV621:AY621,AV620:AY620)</f>
        <v>0.27651047622047575</v>
      </c>
      <c r="AL621" s="56">
        <f>INDEX(LINEST(LN(AV621:AY621),LN(AV620:AY620),TRUE,TRUE),3,1)</f>
        <v>0.62488249955238806</v>
      </c>
      <c r="AM621" s="56">
        <f>INDEX(LINEST(LN(AV621:AY621),LN(AV620:AY620)),1)</f>
        <v>-6.2083523036937302E-2</v>
      </c>
      <c r="AN621" s="56">
        <f>EXP(INDEX(LINEST(LN(AV621:AY621),LN(AV620:AY620)),1,2))</f>
        <v>0.4833405259537496</v>
      </c>
      <c r="AO621" s="82">
        <f>INDEX(LINEST((AV621:AY621),LN(AV620:AY620),TRUE,TRUE),3,1)</f>
        <v>0.69508785161479525</v>
      </c>
      <c r="AP621" s="82">
        <f>INDEX(LINEST((AV621:AY621),LN(AV620:AY620)),1)</f>
        <v>-1.4161818715196133E-2</v>
      </c>
      <c r="AQ621" s="83">
        <f>INDEX(LINEST(LN(AV621:AY621),SQRT(AV620:AY620),TRUE,TRUE),3,1)</f>
        <v>0.90541260962842363</v>
      </c>
      <c r="AR621" s="116">
        <f>INDEX(LINEST(LN(AV621:AY621),SQRT((AV620:AY620))),1)</f>
        <v>-4.0871912598523818E-4</v>
      </c>
      <c r="AS621" s="84">
        <f>INDEX(LINEST(1/(AV621:AY621),1/(SQRT(AV620:AY620)),TRUE,TRUE),3,1)</f>
        <v>0.34624518004069077</v>
      </c>
      <c r="AT621" s="84">
        <f>INDEX(LINEST(1/(AV621:AY621),1/SQRT(AV620:AY620)),1)</f>
        <v>-60.360333599301271</v>
      </c>
      <c r="AU621" s="3"/>
      <c r="AV621" s="53">
        <v>0.28799999999999998</v>
      </c>
      <c r="AW621" s="53">
        <v>0.249</v>
      </c>
      <c r="AX621" s="53">
        <v>0.245</v>
      </c>
      <c r="AY621" s="53">
        <v>0.16500000000000001</v>
      </c>
      <c r="AZ621" s="53"/>
      <c r="BA621" s="44"/>
      <c r="BB621" s="44"/>
      <c r="BC621" s="31"/>
      <c r="BD621" s="31"/>
      <c r="BE621" s="53"/>
      <c r="BF621" s="53"/>
      <c r="BG621" s="53"/>
      <c r="BH621" s="53"/>
      <c r="BI621" s="53"/>
      <c r="BJ621" s="53"/>
      <c r="BK621" s="53"/>
      <c r="BL621" s="53"/>
      <c r="BM621" s="53"/>
      <c r="BN621" s="53"/>
      <c r="BO621" s="53"/>
      <c r="BP621" s="53"/>
      <c r="BQ621" s="53"/>
      <c r="BR621" s="53"/>
      <c r="BS621" s="53"/>
      <c r="BT621" s="53"/>
      <c r="BU621" s="53"/>
      <c r="BV621" s="53"/>
      <c r="BW621" s="53"/>
      <c r="BX621" s="53"/>
      <c r="BY621" s="53"/>
      <c r="BZ621" s="53"/>
      <c r="CA621" s="53"/>
      <c r="CB621" s="53"/>
      <c r="CC621" s="53"/>
      <c r="CD621" s="53"/>
      <c r="CE621" s="53"/>
      <c r="CF621" s="53"/>
      <c r="CG621" s="53"/>
      <c r="CH621" s="53"/>
      <c r="CI621" s="53"/>
      <c r="CJ621" s="53"/>
      <c r="CK621" s="53"/>
      <c r="CL621" s="53"/>
      <c r="CM621" s="53"/>
      <c r="CN621" s="53"/>
      <c r="CO621" s="53"/>
      <c r="CP621" s="53"/>
      <c r="CQ621" s="53"/>
      <c r="CR621" s="1"/>
      <c r="CS621" s="1"/>
      <c r="CT621" s="1"/>
      <c r="CU621" s="1"/>
    </row>
    <row r="622" spans="1:99" s="13" customFormat="1" ht="12" customHeight="1" x14ac:dyDescent="0.2">
      <c r="A622" s="65">
        <v>43899</v>
      </c>
      <c r="B622" s="1"/>
      <c r="C622" s="1"/>
      <c r="D622" s="60"/>
      <c r="E622" s="76"/>
      <c r="F622" s="60"/>
      <c r="G622" s="60"/>
      <c r="H622" s="60"/>
      <c r="I622" s="60"/>
      <c r="J622" s="60"/>
      <c r="K622" s="64"/>
      <c r="L622" s="64"/>
      <c r="M622" s="60"/>
      <c r="N622" s="60"/>
      <c r="O622" s="60"/>
      <c r="P622" s="60"/>
      <c r="Q622" s="60"/>
      <c r="R622" s="60"/>
      <c r="S622" s="60"/>
      <c r="T622" s="60"/>
      <c r="U622" s="60"/>
      <c r="V622" s="60"/>
      <c r="W622" s="60"/>
      <c r="X622" s="60"/>
      <c r="Y622" s="76"/>
      <c r="Z622" s="60"/>
      <c r="AA622" s="60"/>
      <c r="AB622" s="60"/>
      <c r="AC622" s="56"/>
      <c r="AD622" s="60"/>
      <c r="AE622" s="60"/>
      <c r="AF622" s="80"/>
      <c r="AG622" s="56"/>
      <c r="AH622" s="4"/>
      <c r="AI622" s="56"/>
      <c r="AJ622" s="109"/>
      <c r="AK622" s="56"/>
      <c r="AL622" s="56"/>
      <c r="AM622" s="56"/>
      <c r="AN622" s="56"/>
      <c r="AO622" s="82"/>
      <c r="AP622" s="82"/>
      <c r="AQ622" s="83"/>
      <c r="AR622" s="116"/>
      <c r="AS622" s="84"/>
      <c r="AT622" s="84"/>
      <c r="AU622" s="3"/>
      <c r="AV622" s="25">
        <f>30*60</f>
        <v>1800</v>
      </c>
      <c r="AW622" s="25">
        <f>60*60*24*2</f>
        <v>172800</v>
      </c>
      <c r="AX622" s="25">
        <f>60*60*24*7</f>
        <v>604800</v>
      </c>
      <c r="AY622" s="25">
        <f>60*60*24*21</f>
        <v>1814400</v>
      </c>
      <c r="AZ622" s="53"/>
      <c r="BA622" s="53"/>
      <c r="BB622" s="53"/>
      <c r="BC622" s="53"/>
      <c r="BD622" s="53"/>
      <c r="BE622" s="53"/>
      <c r="BF622" s="53"/>
      <c r="BG622" s="53"/>
      <c r="BH622" s="53"/>
      <c r="BI622" s="53"/>
      <c r="BJ622" s="53"/>
      <c r="BK622" s="53"/>
      <c r="BL622" s="53"/>
      <c r="BM622" s="53"/>
      <c r="BN622" s="53"/>
      <c r="BO622" s="53"/>
      <c r="BP622" s="53"/>
      <c r="BQ622" s="53"/>
      <c r="BR622" s="53"/>
      <c r="BS622" s="53"/>
      <c r="BT622" s="53"/>
      <c r="BU622" s="53"/>
      <c r="BV622" s="53"/>
      <c r="BW622" s="53"/>
      <c r="BX622" s="53"/>
      <c r="BY622" s="53"/>
      <c r="BZ622" s="53"/>
      <c r="CA622" s="53"/>
      <c r="CB622" s="53"/>
      <c r="CC622" s="53"/>
      <c r="CD622" s="53"/>
      <c r="CE622" s="53"/>
      <c r="CF622" s="53"/>
      <c r="CG622" s="53"/>
      <c r="CH622" s="53"/>
      <c r="CI622" s="53"/>
      <c r="CJ622" s="53"/>
      <c r="CK622" s="53"/>
      <c r="CL622" s="53"/>
      <c r="CM622" s="53"/>
      <c r="CN622" s="53"/>
      <c r="CO622" s="53"/>
      <c r="CP622" s="53"/>
      <c r="CQ622" s="53"/>
      <c r="CR622" s="1"/>
      <c r="CS622" s="1"/>
      <c r="CT622" s="1"/>
      <c r="CU622" s="1"/>
    </row>
    <row r="623" spans="1:99" s="13" customFormat="1" ht="12" customHeight="1" x14ac:dyDescent="0.25">
      <c r="A623" s="65">
        <v>43899</v>
      </c>
      <c r="B623" s="1" t="s">
        <v>382</v>
      </c>
      <c r="C623" s="1" t="s">
        <v>383</v>
      </c>
      <c r="D623" s="60">
        <v>1981</v>
      </c>
      <c r="E623" s="76">
        <v>1</v>
      </c>
      <c r="F623" s="60">
        <v>48</v>
      </c>
      <c r="G623" s="60">
        <v>48</v>
      </c>
      <c r="H623" s="60" t="s">
        <v>22</v>
      </c>
      <c r="I623" s="60" t="s">
        <v>385</v>
      </c>
      <c r="J623" s="60" t="s">
        <v>677</v>
      </c>
      <c r="K623" s="60">
        <f>IF(J623="syllables",1,IF(J623="trigrams",2,IF(J623="strings",3,IF(J623="visual array",4,IF(J623="characters",5,IF(J623="letters",6,IF(J623="free forms",7,IF(J623="odors",8,IF(J623="words",9,IF(J623="pictures",10,IF(J623="object pictures",11,IF(J623="faces",12,IF(J623="names",13,IF(J623="idioms",14,IF(J623="grades",15,IF(J623="syllable-digit pairs",16,IF(J623="trigram-word pairs",17,IF(J623="word-digit pairs",18,IF(J623="English-Swahili pairs",19,IF(J623="spatial position",20,IF(J623="word pairs",21,IF(J623="word triads",22,IF(J623="generated words",23,IF(J623="word definition pairs",24,IF(J623="math problems",25,IF(J623="famous faces",26,IF(J623="famous names",27,IF(J623="famous voices",28,IF(J623="television programs",29,IF(J623="race horses",30,IF(J623="new vocabulary",31,IF(J623="sentences",32,IF(J623="concepts",33,IF(J623="ad slides",34,IF(J623="scenes",35,IF(J623="famous scenes",36,IF(J623="poems",37,IF(J623="walk",38,IF(J623="faces and events",39,IF(J623="events and names",40,IF(J623="flashbulb",41,IF(J623="stories",42,IF(J623="course material",43,IF(J623="autobiographical",44,IF(J623="novels",45,IF(J623="public events",46,"99"))))))))))))))))))))))))))))))))))))))))))))))</f>
        <v>42</v>
      </c>
      <c r="L623" s="60">
        <f>IF(J623="syllables",1,IF(J623="trigrams",1,IF(J623="strings",1,IF(J623="visual array",1,IF(J623="characters",1,IF(J623="letters",1,IF(J623="free forms",1,IF(J623="odors",2,IF(J623="words",2,IF(J623="pictures",2,IF(J623="object pictures",2,IF(J623="faces",2,IF(J623="names",2,IF(J623="idioms","2",IF(J623="grades",2,IF(J623="syllable-digit pairs",3,IF(J623="trigram-word pairs",3,IF(J623="word-digit pairs",3,IF(J623="English-Swahili pairs",3,IF(J623="spatial position",3,IF(J623="word pairs",4,IF(J623="word triads",4,IF(J623="generated words",4,IF(J623="word definition pairs",4,IF(J623="math problems",4,IF(J623="famous faces",4,IF(J623="famous names",4,IF(J623="famous voices",4,IF(J623="television programs",4,IF(J623="race horses",4,IF(J623="new vocabulary",4,IF(J623="sentences",5,IF(J623="concepts",5,IF(J623="ad slides",5,IF(J623="scenes",5,IF(J623="famous scenes",5,IF(J623="poems",6,IF(J623="walk",6,IF(J623="faces and events",6,IF(J623="events and names",6,IF(J623="flashbulb",7,IF(J623="stories",7,IF(J623="course material",7,IF(J623="autobiographical",7,IF(J623="novels",7,IF(J623="public events",7,"99"))))))))))))))))))))))))))))))))))))))))))))))</f>
        <v>7</v>
      </c>
      <c r="M623" s="60">
        <v>0</v>
      </c>
      <c r="N623" s="60">
        <v>3</v>
      </c>
      <c r="O623" s="60">
        <v>0</v>
      </c>
      <c r="P623" s="60"/>
      <c r="Q623" s="60" t="s">
        <v>174</v>
      </c>
      <c r="R623" s="60">
        <f>IF(Q623="Free Recall",1,IF(Q623="Cued Recall",2,IF(Q623="Recognition",3,IF(Q623="Multiple Choice",4,IF(Q623="Savings",5,IF(Q623="Stem Completion",6,IF(Q623="Fragment Completion",7,IF(Q623="anagram solution",8,IF(Q623="Matching",9,IF(Q623="Problem Solving",10,"99"))))))))))</f>
        <v>1</v>
      </c>
      <c r="S623" s="60" t="s">
        <v>49</v>
      </c>
      <c r="T623" s="59" t="s">
        <v>581</v>
      </c>
      <c r="U623" s="60">
        <f>IF(T623="within",1,0)</f>
        <v>1</v>
      </c>
      <c r="V623" s="59">
        <v>64</v>
      </c>
      <c r="W623" s="60">
        <f>F623*V623</f>
        <v>3072</v>
      </c>
      <c r="X623" s="60">
        <v>4</v>
      </c>
      <c r="Y623" s="76">
        <f>AV622</f>
        <v>1800</v>
      </c>
      <c r="Z623" s="60" t="s">
        <v>165</v>
      </c>
      <c r="AA623" s="60">
        <v>1814400</v>
      </c>
      <c r="AB623" s="60" t="str">
        <f>IF(AA623&lt;60,"1",IF(AA623&lt;=43200,"2",IF(AA623&lt;=777600,"3","4")))</f>
        <v>4</v>
      </c>
      <c r="AC623" s="56">
        <f>AVERAGE(AV622:DA622)</f>
        <v>648450</v>
      </c>
      <c r="AD623" s="60" t="str">
        <f>IF(AC623&lt;60,"1",IF(AC623&lt;=43200,"2",IF(AC623&lt;=777600,"3","4")))</f>
        <v>3</v>
      </c>
      <c r="AE623" s="76">
        <f>AA623-Y623</f>
        <v>1812600</v>
      </c>
      <c r="AF623" s="80">
        <f>AV623</f>
        <v>0.28699999999999998</v>
      </c>
      <c r="AG623" s="56">
        <f>((AW623-AV623)+(AX623-AW623)+(AY623-AX623))/3</f>
        <v>-9.2000000000000012E-2</v>
      </c>
      <c r="AH623" s="4"/>
      <c r="AI623" s="56">
        <f>RSQ(AV623:AY623,AV622:AY622)</f>
        <v>0.50868292267032111</v>
      </c>
      <c r="AJ623" s="109">
        <f>SLOPE(AV623:AY623,AV622:AY622)</f>
        <v>-1.0959639627366777E-7</v>
      </c>
      <c r="AK623" s="56">
        <f>INTERCEPT(AV623:AY623,AV622:AY622)</f>
        <v>0.1775677831636599</v>
      </c>
      <c r="AL623" s="56">
        <f>INDEX(LINEST(LN(AV623:AY623),LN(AV622:AY622),TRUE,TRUE),3,1)</f>
        <v>0.87623246875520366</v>
      </c>
      <c r="AM623" s="56">
        <f>INDEX(LINEST(LN(AV623:AY623),LN(AV622:AY622)),1)</f>
        <v>-0.4328308796194435</v>
      </c>
      <c r="AN623" s="56">
        <f>EXP(INDEX(LINEST(LN(AV623:AY623),LN(AV622:AY622)),1,2))</f>
        <v>9.3008039354249288</v>
      </c>
      <c r="AO623" s="82">
        <f>INDEX(LINEST((AV623:AY623),LN(AV622:AY622),TRUE,TRUE),3,1)</f>
        <v>0.9936303600797215</v>
      </c>
      <c r="AP623" s="82">
        <f>INDEX(LINEST((AV623:AY623),LN(AV622:AY622)),1)</f>
        <v>-4.121676719662587E-2</v>
      </c>
      <c r="AQ623" s="83">
        <f>INDEX(LINEST(LN(AV623:AY623),SQRT(AV622:AY622),TRUE,TRUE),3,1)</f>
        <v>0.98555268165738341</v>
      </c>
      <c r="AR623" s="116">
        <f>INDEX(LINEST(LN(AV623:AY623),SQRT((AV622:AY622))),1)</f>
        <v>-2.5105738863217208E-3</v>
      </c>
      <c r="AS623" s="84">
        <f>INDEX(LINEST(1/(AV623:AY623),1/(SQRT(AV622:AY622)),TRUE,TRUE),3,1)</f>
        <v>0.31284299625842621</v>
      </c>
      <c r="AT623" s="84">
        <f>INDEX(LINEST(1/(AV623:AY623),1/SQRT(AV622:AY622)),1)</f>
        <v>-2007.4086758352435</v>
      </c>
      <c r="AU623" s="3"/>
      <c r="AV623" s="53">
        <v>0.28699999999999998</v>
      </c>
      <c r="AW623" s="53">
        <v>9.6000000000000002E-2</v>
      </c>
      <c r="AX623" s="53">
        <v>3.2000000000000001E-2</v>
      </c>
      <c r="AY623" s="53">
        <v>1.0999999999999999E-2</v>
      </c>
      <c r="AZ623" s="53"/>
      <c r="BA623" s="44"/>
      <c r="BB623" s="44"/>
      <c r="BC623" s="31"/>
      <c r="BD623" s="31"/>
      <c r="BE623" s="53"/>
      <c r="BF623" s="53"/>
      <c r="BG623" s="53"/>
      <c r="BH623" s="53"/>
      <c r="BI623" s="53"/>
      <c r="BJ623" s="53"/>
      <c r="BK623" s="53"/>
      <c r="BL623" s="53"/>
      <c r="BM623" s="53"/>
      <c r="BN623" s="53"/>
      <c r="BO623" s="53"/>
      <c r="BP623" s="53"/>
      <c r="BQ623" s="53"/>
      <c r="BR623" s="53"/>
      <c r="BS623" s="53"/>
      <c r="BT623" s="53"/>
      <c r="BU623" s="53"/>
      <c r="BV623" s="53"/>
      <c r="BW623" s="53"/>
      <c r="BX623" s="53"/>
      <c r="BY623" s="53"/>
      <c r="BZ623" s="53"/>
      <c r="CA623" s="53"/>
      <c r="CB623" s="53"/>
      <c r="CC623" s="53"/>
      <c r="CD623" s="53"/>
      <c r="CE623" s="53"/>
      <c r="CF623" s="53"/>
      <c r="CG623" s="53"/>
      <c r="CH623" s="53"/>
      <c r="CI623" s="53"/>
      <c r="CJ623" s="53"/>
      <c r="CK623" s="53"/>
      <c r="CL623" s="53"/>
      <c r="CM623" s="53"/>
      <c r="CN623" s="53"/>
      <c r="CO623" s="53"/>
      <c r="CP623" s="53"/>
      <c r="CQ623" s="53"/>
      <c r="CR623" s="1"/>
      <c r="CS623" s="1"/>
      <c r="CT623" s="1"/>
      <c r="CU623" s="1"/>
    </row>
    <row r="624" spans="1:99" s="13" customFormat="1" ht="12" customHeight="1" x14ac:dyDescent="0.2">
      <c r="A624" s="65">
        <v>43899</v>
      </c>
      <c r="B624" s="1"/>
      <c r="C624" s="1"/>
      <c r="D624" s="60"/>
      <c r="E624" s="76"/>
      <c r="F624" s="60"/>
      <c r="G624" s="60"/>
      <c r="H624" s="60"/>
      <c r="I624" s="60"/>
      <c r="J624" s="60"/>
      <c r="K624" s="64"/>
      <c r="L624" s="64"/>
      <c r="M624" s="60"/>
      <c r="N624" s="60"/>
      <c r="O624" s="60"/>
      <c r="P624" s="60"/>
      <c r="Q624" s="60"/>
      <c r="R624" s="60"/>
      <c r="S624" s="60"/>
      <c r="T624" s="60"/>
      <c r="U624" s="60"/>
      <c r="V624" s="60"/>
      <c r="W624" s="60"/>
      <c r="X624" s="60"/>
      <c r="Y624" s="76"/>
      <c r="Z624" s="60"/>
      <c r="AA624" s="60"/>
      <c r="AB624" s="60"/>
      <c r="AC624" s="56"/>
      <c r="AD624" s="60"/>
      <c r="AE624" s="60"/>
      <c r="AF624" s="80"/>
      <c r="AG624" s="56"/>
      <c r="AH624" s="4"/>
      <c r="AI624" s="56"/>
      <c r="AJ624" s="109"/>
      <c r="AK624" s="56"/>
      <c r="AL624" s="56"/>
      <c r="AM624" s="56"/>
      <c r="AN624" s="56"/>
      <c r="AO624" s="82"/>
      <c r="AP624" s="82"/>
      <c r="AQ624" s="83"/>
      <c r="AR624" s="116"/>
      <c r="AS624" s="84"/>
      <c r="AT624" s="84"/>
      <c r="AU624" s="3"/>
      <c r="AV624" s="25">
        <f>30*60</f>
        <v>1800</v>
      </c>
      <c r="AW624" s="25">
        <f>60*60*24*2</f>
        <v>172800</v>
      </c>
      <c r="AX624" s="25">
        <f>60*60*24*7</f>
        <v>604800</v>
      </c>
      <c r="AY624" s="25">
        <f>60*60*24*21</f>
        <v>1814400</v>
      </c>
      <c r="AZ624" s="53"/>
      <c r="BA624" s="53"/>
      <c r="BB624" s="53"/>
      <c r="BC624" s="53"/>
      <c r="BD624" s="53"/>
      <c r="BE624" s="53"/>
      <c r="BF624" s="53"/>
      <c r="BG624" s="53"/>
      <c r="BH624" s="53"/>
      <c r="BI624" s="53"/>
      <c r="BJ624" s="53"/>
      <c r="BK624" s="53"/>
      <c r="BL624" s="53"/>
      <c r="BM624" s="53"/>
      <c r="BN624" s="53"/>
      <c r="BO624" s="53"/>
      <c r="BP624" s="53"/>
      <c r="BQ624" s="53"/>
      <c r="BR624" s="53"/>
      <c r="BS624" s="53"/>
      <c r="BT624" s="53"/>
      <c r="BU624" s="53"/>
      <c r="BV624" s="53"/>
      <c r="BW624" s="53"/>
      <c r="BX624" s="53"/>
      <c r="BY624" s="53"/>
      <c r="BZ624" s="53"/>
      <c r="CA624" s="53"/>
      <c r="CB624" s="53"/>
      <c r="CC624" s="53"/>
      <c r="CD624" s="53"/>
      <c r="CE624" s="53"/>
      <c r="CF624" s="53"/>
      <c r="CG624" s="53"/>
      <c r="CH624" s="53"/>
      <c r="CI624" s="53"/>
      <c r="CJ624" s="53"/>
      <c r="CK624" s="53"/>
      <c r="CL624" s="53"/>
      <c r="CM624" s="53"/>
      <c r="CN624" s="53"/>
      <c r="CO624" s="53"/>
      <c r="CP624" s="53"/>
      <c r="CQ624" s="53"/>
      <c r="CR624" s="1"/>
      <c r="CS624" s="1"/>
      <c r="CT624" s="1"/>
      <c r="CU624" s="1"/>
    </row>
    <row r="625" spans="1:99" s="13" customFormat="1" ht="12" customHeight="1" x14ac:dyDescent="0.25">
      <c r="A625" s="65">
        <v>43899</v>
      </c>
      <c r="B625" s="1" t="s">
        <v>382</v>
      </c>
      <c r="C625" s="1" t="s">
        <v>383</v>
      </c>
      <c r="D625" s="60">
        <v>1981</v>
      </c>
      <c r="E625" s="76">
        <v>1</v>
      </c>
      <c r="F625" s="60">
        <v>48</v>
      </c>
      <c r="G625" s="60">
        <v>48</v>
      </c>
      <c r="H625" s="60" t="s">
        <v>22</v>
      </c>
      <c r="I625" s="60" t="s">
        <v>384</v>
      </c>
      <c r="J625" s="60" t="s">
        <v>677</v>
      </c>
      <c r="K625" s="60">
        <f>IF(J625="syllables",1,IF(J625="trigrams",2,IF(J625="strings",3,IF(J625="visual array",4,IF(J625="characters",5,IF(J625="letters",6,IF(J625="free forms",7,IF(J625="odors",8,IF(J625="words",9,IF(J625="pictures",10,IF(J625="object pictures",11,IF(J625="faces",12,IF(J625="names",13,IF(J625="idioms",14,IF(J625="grades",15,IF(J625="syllable-digit pairs",16,IF(J625="trigram-word pairs",17,IF(J625="word-digit pairs",18,IF(J625="English-Swahili pairs",19,IF(J625="spatial position",20,IF(J625="word pairs",21,IF(J625="word triads",22,IF(J625="generated words",23,IF(J625="word definition pairs",24,IF(J625="math problems",25,IF(J625="famous faces",26,IF(J625="famous names",27,IF(J625="famous voices",28,IF(J625="television programs",29,IF(J625="race horses",30,IF(J625="new vocabulary",31,IF(J625="sentences",32,IF(J625="concepts",33,IF(J625="ad slides",34,IF(J625="scenes",35,IF(J625="famous scenes",36,IF(J625="poems",37,IF(J625="walk",38,IF(J625="faces and events",39,IF(J625="events and names",40,IF(J625="flashbulb",41,IF(J625="stories",42,IF(J625="course material",43,IF(J625="autobiographical",44,IF(J625="novels",45,IF(J625="public events",46,"99"))))))))))))))))))))))))))))))))))))))))))))))</f>
        <v>42</v>
      </c>
      <c r="L625" s="60">
        <f>IF(J625="syllables",1,IF(J625="trigrams",1,IF(J625="strings",1,IF(J625="visual array",1,IF(J625="characters",1,IF(J625="letters",1,IF(J625="free forms",1,IF(J625="odors",2,IF(J625="words",2,IF(J625="pictures",2,IF(J625="object pictures",2,IF(J625="faces",2,IF(J625="names",2,IF(J625="idioms","2",IF(J625="grades",2,IF(J625="syllable-digit pairs",3,IF(J625="trigram-word pairs",3,IF(J625="word-digit pairs",3,IF(J625="English-Swahili pairs",3,IF(J625="spatial position",3,IF(J625="word pairs",4,IF(J625="word triads",4,IF(J625="generated words",4,IF(J625="word definition pairs",4,IF(J625="math problems",4,IF(J625="famous faces",4,IF(J625="famous names",4,IF(J625="famous voices",4,IF(J625="television programs",4,IF(J625="race horses",4,IF(J625="new vocabulary",4,IF(J625="sentences",5,IF(J625="concepts",5,IF(J625="ad slides",5,IF(J625="scenes",5,IF(J625="famous scenes",5,IF(J625="poems",6,IF(J625="walk",6,IF(J625="faces and events",6,IF(J625="events and names",6,IF(J625="flashbulb",7,IF(J625="stories",7,IF(J625="course material",7,IF(J625="autobiographical",7,IF(J625="novels",7,IF(J625="public events",7,"99"))))))))))))))))))))))))))))))))))))))))))))))</f>
        <v>7</v>
      </c>
      <c r="M625" s="60">
        <v>0</v>
      </c>
      <c r="N625" s="60">
        <v>3</v>
      </c>
      <c r="O625" s="60">
        <v>0</v>
      </c>
      <c r="P625" s="60"/>
      <c r="Q625" s="60" t="s">
        <v>34</v>
      </c>
      <c r="R625" s="60">
        <f>IF(Q625="Free Recall",1,IF(Q625="Cued Recall",2,IF(Q625="Recognition",3,IF(Q625="Multiple Choice",4,IF(Q625="Savings",5,IF(Q625="Stem Completion",6,IF(Q625="Fragment Completion",7,IF(Q625="anagram solution",8,IF(Q625="Matching",9,IF(Q625="Problem Solving",10,"99"))))))))))</f>
        <v>3</v>
      </c>
      <c r="S625" s="60" t="s">
        <v>15</v>
      </c>
      <c r="T625" s="59" t="s">
        <v>581</v>
      </c>
      <c r="U625" s="60">
        <f>IF(T625="within",1,0)</f>
        <v>1</v>
      </c>
      <c r="V625" s="59">
        <v>64</v>
      </c>
      <c r="W625" s="60">
        <f>F625*V625</f>
        <v>3072</v>
      </c>
      <c r="X625" s="60">
        <v>4</v>
      </c>
      <c r="Y625" s="76">
        <f>AV624</f>
        <v>1800</v>
      </c>
      <c r="Z625" s="60" t="s">
        <v>165</v>
      </c>
      <c r="AA625" s="60">
        <v>1814400</v>
      </c>
      <c r="AB625" s="60" t="str">
        <f>IF(AA625&lt;60,"1",IF(AA625&lt;=43200,"2",IF(AA625&lt;=777600,"3","4")))</f>
        <v>4</v>
      </c>
      <c r="AC625" s="56">
        <f>AVERAGE(AV624:DA624)</f>
        <v>648450</v>
      </c>
      <c r="AD625" s="60" t="str">
        <f>IF(AC625&lt;60,"1",IF(AC625&lt;=43200,"2",IF(AC625&lt;=777600,"3","4")))</f>
        <v>3</v>
      </c>
      <c r="AE625" s="76">
        <f>AA625-Y625</f>
        <v>1812600</v>
      </c>
      <c r="AF625" s="80">
        <f>AV625</f>
        <v>0.60850000000000004</v>
      </c>
      <c r="AG625" s="56">
        <f>((AW625-AV625)+(AX625-AW625)+(AY625-AX625))/3</f>
        <v>-4.7000000000000021E-2</v>
      </c>
      <c r="AH625" s="4"/>
      <c r="AI625" s="56">
        <f>RSQ(AV625:AY625,AV624:AY624)</f>
        <v>0.81982718656599529</v>
      </c>
      <c r="AJ625" s="109">
        <f>SLOPE(AV625:AY625,AV624:AY624)</f>
        <v>-7.9248254165174182E-8</v>
      </c>
      <c r="AK625" s="56">
        <f>INTERCEPT(AV625:AY625,AV624:AY624)</f>
        <v>0.59838853041340723</v>
      </c>
      <c r="AL625" s="56">
        <f>INDEX(LINEST(LN(AV625:AY625),LN(AV624:AY624),TRUE,TRUE),3,1)</f>
        <v>0.63185307714474181</v>
      </c>
      <c r="AM625" s="56">
        <f>INDEX(LINEST(LN(AV625:AY625),LN(AV624:AY624)),1)</f>
        <v>-3.4681778044997398E-2</v>
      </c>
      <c r="AN625" s="56">
        <f>EXP(INDEX(LINEST(LN(AV625:AY625),LN(AV624:AY624)),1,2))</f>
        <v>0.8188044124487307</v>
      </c>
      <c r="AO625" s="82">
        <f>INDEX(LINEST((AV625:AY625),LN(AV624:AY624),TRUE,TRUE),3,1)</f>
        <v>0.63439588754048271</v>
      </c>
      <c r="AP625" s="82">
        <f>INDEX(LINEST((AV625:AY625),LN(AV624:AY624)),1)</f>
        <v>-1.8758475000008462E-2</v>
      </c>
      <c r="AQ625" s="83">
        <f>INDEX(LINEST(LN(AV625:AY625),SQRT(AV624:AY624),TRUE,TRUE),3,1)</f>
        <v>0.8908617159234663</v>
      </c>
      <c r="AR625" s="116">
        <f>INDEX(LINEST(LN(AV625:AY625),SQRT((AV624:AY624))),1)</f>
        <v>-2.2522830525425607E-4</v>
      </c>
      <c r="AS625" s="84">
        <f>INDEX(LINEST(1/(AV625:AY625),1/(SQRT(AV624:AY624)),TRUE,TRUE),3,1)</f>
        <v>0.37755057409495385</v>
      </c>
      <c r="AT625" s="84">
        <f>INDEX(LINEST(1/(AV625:AY625),1/SQRT(AV624:AY624)),1)</f>
        <v>-13.71672306418519</v>
      </c>
      <c r="AU625" s="3"/>
      <c r="AV625" s="53">
        <v>0.60850000000000004</v>
      </c>
      <c r="AW625" s="53">
        <v>0.60650000000000004</v>
      </c>
      <c r="AX625" s="53">
        <v>0.50550000000000006</v>
      </c>
      <c r="AY625" s="53">
        <v>0.46749999999999997</v>
      </c>
      <c r="AZ625" s="53"/>
      <c r="BA625" s="44"/>
      <c r="BB625" s="44"/>
      <c r="BC625" s="31"/>
      <c r="BD625" s="31"/>
      <c r="BE625" s="53"/>
      <c r="BF625" s="53"/>
      <c r="BG625" s="53"/>
      <c r="BH625" s="53"/>
      <c r="BI625" s="53"/>
      <c r="BJ625" s="53"/>
      <c r="BK625" s="53"/>
      <c r="BL625" s="53"/>
      <c r="BM625" s="53"/>
      <c r="BN625" s="53"/>
      <c r="BO625" s="53"/>
      <c r="BP625" s="53"/>
      <c r="BQ625" s="53"/>
      <c r="BR625" s="53"/>
      <c r="BS625" s="53"/>
      <c r="BT625" s="53"/>
      <c r="BU625" s="53"/>
      <c r="BV625" s="53"/>
      <c r="BW625" s="53"/>
      <c r="BX625" s="53"/>
      <c r="BY625" s="53"/>
      <c r="BZ625" s="53"/>
      <c r="CA625" s="53"/>
      <c r="CB625" s="53"/>
      <c r="CC625" s="53"/>
      <c r="CD625" s="53"/>
      <c r="CE625" s="53"/>
      <c r="CF625" s="53"/>
      <c r="CG625" s="53"/>
      <c r="CH625" s="53"/>
      <c r="CI625" s="53"/>
      <c r="CJ625" s="53"/>
      <c r="CK625" s="53"/>
      <c r="CL625" s="53"/>
      <c r="CM625" s="53"/>
      <c r="CN625" s="53"/>
      <c r="CO625" s="53"/>
      <c r="CP625" s="53"/>
      <c r="CQ625" s="53"/>
      <c r="CR625" s="1"/>
      <c r="CS625" s="1"/>
      <c r="CT625" s="1"/>
      <c r="CU625" s="1"/>
    </row>
    <row r="626" spans="1:99" s="13" customFormat="1" ht="12" customHeight="1" x14ac:dyDescent="0.2">
      <c r="A626" s="65">
        <v>43899</v>
      </c>
      <c r="B626" s="1"/>
      <c r="C626" s="1"/>
      <c r="D626" s="60"/>
      <c r="E626" s="76"/>
      <c r="F626" s="60"/>
      <c r="G626" s="60"/>
      <c r="H626" s="60"/>
      <c r="I626" s="60"/>
      <c r="J626" s="60"/>
      <c r="K626" s="64"/>
      <c r="L626" s="64"/>
      <c r="M626" s="60"/>
      <c r="N626" s="60"/>
      <c r="O626" s="60"/>
      <c r="P626" s="60"/>
      <c r="Q626" s="60"/>
      <c r="R626" s="60"/>
      <c r="S626" s="60"/>
      <c r="T626" s="60"/>
      <c r="U626" s="60"/>
      <c r="V626" s="60"/>
      <c r="W626" s="60"/>
      <c r="X626" s="60"/>
      <c r="Y626" s="76"/>
      <c r="Z626" s="60"/>
      <c r="AA626" s="60"/>
      <c r="AB626" s="60"/>
      <c r="AC626" s="56"/>
      <c r="AD626" s="60"/>
      <c r="AE626" s="60"/>
      <c r="AF626" s="80"/>
      <c r="AG626" s="56"/>
      <c r="AH626" s="4"/>
      <c r="AI626" s="56"/>
      <c r="AJ626" s="109"/>
      <c r="AK626" s="56"/>
      <c r="AL626" s="56"/>
      <c r="AM626" s="56"/>
      <c r="AN626" s="56"/>
      <c r="AO626" s="82"/>
      <c r="AP626" s="82"/>
      <c r="AQ626" s="83"/>
      <c r="AR626" s="116"/>
      <c r="AS626" s="84"/>
      <c r="AT626" s="84"/>
      <c r="AU626" s="3"/>
      <c r="AV626" s="25">
        <f>30*60</f>
        <v>1800</v>
      </c>
      <c r="AW626" s="25">
        <f>60*60*24*2</f>
        <v>172800</v>
      </c>
      <c r="AX626" s="25">
        <f>60*60*24*7</f>
        <v>604800</v>
      </c>
      <c r="AY626" s="25">
        <f>60*60*24*21</f>
        <v>1814400</v>
      </c>
      <c r="AZ626" s="53"/>
      <c r="BA626" s="53"/>
      <c r="BB626" s="53"/>
      <c r="BC626" s="53"/>
      <c r="BD626" s="53"/>
      <c r="BE626" s="53"/>
      <c r="BF626" s="53"/>
      <c r="BG626" s="53"/>
      <c r="BH626" s="53"/>
      <c r="BI626" s="53"/>
      <c r="BJ626" s="53"/>
      <c r="BK626" s="53"/>
      <c r="BL626" s="53"/>
      <c r="BM626" s="53"/>
      <c r="BN626" s="53"/>
      <c r="BO626" s="53"/>
      <c r="BP626" s="53"/>
      <c r="BQ626" s="53"/>
      <c r="BR626" s="53"/>
      <c r="BS626" s="53"/>
      <c r="BT626" s="53"/>
      <c r="BU626" s="53"/>
      <c r="BV626" s="53"/>
      <c r="BW626" s="53"/>
      <c r="BX626" s="53"/>
      <c r="BY626" s="53"/>
      <c r="BZ626" s="53"/>
      <c r="CA626" s="53"/>
      <c r="CB626" s="53"/>
      <c r="CC626" s="53"/>
      <c r="CD626" s="53"/>
      <c r="CE626" s="53"/>
      <c r="CF626" s="53"/>
      <c r="CG626" s="53"/>
      <c r="CH626" s="53"/>
      <c r="CI626" s="53"/>
      <c r="CJ626" s="53"/>
      <c r="CK626" s="53"/>
      <c r="CL626" s="53"/>
      <c r="CM626" s="53"/>
      <c r="CN626" s="53"/>
      <c r="CO626" s="53"/>
      <c r="CP626" s="53"/>
      <c r="CQ626" s="53"/>
      <c r="CR626" s="1"/>
      <c r="CS626" s="1"/>
      <c r="CT626" s="1"/>
      <c r="CU626" s="1"/>
    </row>
    <row r="627" spans="1:99" s="13" customFormat="1" ht="12" customHeight="1" x14ac:dyDescent="0.25">
      <c r="A627" s="65">
        <v>43899</v>
      </c>
      <c r="B627" s="1" t="s">
        <v>382</v>
      </c>
      <c r="C627" s="1" t="s">
        <v>383</v>
      </c>
      <c r="D627" s="60">
        <v>1981</v>
      </c>
      <c r="E627" s="76">
        <v>1</v>
      </c>
      <c r="F627" s="60">
        <v>48</v>
      </c>
      <c r="G627" s="60">
        <v>48</v>
      </c>
      <c r="H627" s="60" t="s">
        <v>22</v>
      </c>
      <c r="I627" s="60" t="s">
        <v>385</v>
      </c>
      <c r="J627" s="60" t="s">
        <v>677</v>
      </c>
      <c r="K627" s="60">
        <f>IF(J627="syllables",1,IF(J627="trigrams",2,IF(J627="strings",3,IF(J627="visual array",4,IF(J627="characters",5,IF(J627="letters",6,IF(J627="free forms",7,IF(J627="odors",8,IF(J627="words",9,IF(J627="pictures",10,IF(J627="object pictures",11,IF(J627="faces",12,IF(J627="names",13,IF(J627="idioms",14,IF(J627="grades",15,IF(J627="syllable-digit pairs",16,IF(J627="trigram-word pairs",17,IF(J627="word-digit pairs",18,IF(J627="English-Swahili pairs",19,IF(J627="spatial position",20,IF(J627="word pairs",21,IF(J627="word triads",22,IF(J627="generated words",23,IF(J627="word definition pairs",24,IF(J627="math problems",25,IF(J627="famous faces",26,IF(J627="famous names",27,IF(J627="famous voices",28,IF(J627="television programs",29,IF(J627="race horses",30,IF(J627="new vocabulary",31,IF(J627="sentences",32,IF(J627="concepts",33,IF(J627="ad slides",34,IF(J627="scenes",35,IF(J627="famous scenes",36,IF(J627="poems",37,IF(J627="walk",38,IF(J627="faces and events",39,IF(J627="events and names",40,IF(J627="flashbulb",41,IF(J627="stories",42,IF(J627="course material",43,IF(J627="autobiographical",44,IF(J627="novels",45,IF(J627="public events",46,"99"))))))))))))))))))))))))))))))))))))))))))))))</f>
        <v>42</v>
      </c>
      <c r="L627" s="60">
        <f>IF(J627="syllables",1,IF(J627="trigrams",1,IF(J627="strings",1,IF(J627="visual array",1,IF(J627="characters",1,IF(J627="letters",1,IF(J627="free forms",1,IF(J627="odors",2,IF(J627="words",2,IF(J627="pictures",2,IF(J627="object pictures",2,IF(J627="faces",2,IF(J627="names",2,IF(J627="idioms","2",IF(J627="grades",2,IF(J627="syllable-digit pairs",3,IF(J627="trigram-word pairs",3,IF(J627="word-digit pairs",3,IF(J627="English-Swahili pairs",3,IF(J627="spatial position",3,IF(J627="word pairs",4,IF(J627="word triads",4,IF(J627="generated words",4,IF(J627="word definition pairs",4,IF(J627="math problems",4,IF(J627="famous faces",4,IF(J627="famous names",4,IF(J627="famous voices",4,IF(J627="television programs",4,IF(J627="race horses",4,IF(J627="new vocabulary",4,IF(J627="sentences",5,IF(J627="concepts",5,IF(J627="ad slides",5,IF(J627="scenes",5,IF(J627="famous scenes",5,IF(J627="poems",6,IF(J627="walk",6,IF(J627="faces and events",6,IF(J627="events and names",6,IF(J627="flashbulb",7,IF(J627="stories",7,IF(J627="course material",7,IF(J627="autobiographical",7,IF(J627="novels",7,IF(J627="public events",7,"99"))))))))))))))))))))))))))))))))))))))))))))))</f>
        <v>7</v>
      </c>
      <c r="M627" s="60">
        <v>0</v>
      </c>
      <c r="N627" s="60">
        <v>3</v>
      </c>
      <c r="O627" s="60">
        <v>0</v>
      </c>
      <c r="P627" s="60"/>
      <c r="Q627" s="60" t="s">
        <v>34</v>
      </c>
      <c r="R627" s="60">
        <f>IF(Q627="Free Recall",1,IF(Q627="Cued Recall",2,IF(Q627="Recognition",3,IF(Q627="Multiple Choice",4,IF(Q627="Savings",5,IF(Q627="Stem Completion",6,IF(Q627="Fragment Completion",7,IF(Q627="anagram solution",8,IF(Q627="Matching",9,IF(Q627="Problem Solving",10,"99"))))))))))</f>
        <v>3</v>
      </c>
      <c r="S627" s="60" t="s">
        <v>15</v>
      </c>
      <c r="T627" s="59" t="s">
        <v>581</v>
      </c>
      <c r="U627" s="60">
        <f>IF(T627="within",1,0)</f>
        <v>1</v>
      </c>
      <c r="V627" s="59">
        <v>64</v>
      </c>
      <c r="W627" s="60">
        <f>F627*V627</f>
        <v>3072</v>
      </c>
      <c r="X627" s="60">
        <v>4</v>
      </c>
      <c r="Y627" s="76">
        <f>AV626</f>
        <v>1800</v>
      </c>
      <c r="Z627" s="60" t="s">
        <v>165</v>
      </c>
      <c r="AA627" s="60">
        <v>1814400</v>
      </c>
      <c r="AB627" s="60" t="str">
        <f>IF(AA627&lt;60,"1",IF(AA627&lt;=43200,"2",IF(AA627&lt;=777600,"3","4")))</f>
        <v>4</v>
      </c>
      <c r="AC627" s="56">
        <f>AVERAGE(AV626:DA626)</f>
        <v>648450</v>
      </c>
      <c r="AD627" s="60" t="str">
        <f>IF(AC627&lt;60,"1",IF(AC627&lt;=43200,"2",IF(AC627&lt;=777600,"3","4")))</f>
        <v>3</v>
      </c>
      <c r="AE627" s="76">
        <f>AA627-Y627</f>
        <v>1812600</v>
      </c>
      <c r="AF627" s="80">
        <f>AV627</f>
        <v>0.78699999999999992</v>
      </c>
      <c r="AG627" s="56">
        <f>((AW627-AV627)+(AX627-AW627)+(AY627-AX627))/3</f>
        <v>-6.1999999999999979E-2</v>
      </c>
      <c r="AH627" s="4"/>
      <c r="AI627" s="56">
        <f>RSQ(AV627:AY627,AV626:AY626)</f>
        <v>0.81785907907900313</v>
      </c>
      <c r="AJ627" s="109">
        <f>SLOPE(AV627:AY627,AV626:AY626)</f>
        <v>-8.4043407795632448E-8</v>
      </c>
      <c r="AK627" s="56">
        <f>INTERCEPT(AV627:AY627,AV626:AY626)</f>
        <v>0.74724794778507786</v>
      </c>
      <c r="AL627" s="56">
        <f>INDEX(LINEST(LN(AV627:AY627),LN(AV626:AY626),TRUE,TRUE),3,1)</f>
        <v>0.85430763809927546</v>
      </c>
      <c r="AM627" s="56">
        <f>INDEX(LINEST(LN(AV627:AY627),LN(AV626:AY626)),1)</f>
        <v>-3.3513376224917048E-2</v>
      </c>
      <c r="AN627" s="56">
        <f>EXP(INDEX(LINEST(LN(AV627:AY627),LN(AV626:AY626)),1,2))</f>
        <v>1.0248026451391432</v>
      </c>
      <c r="AO627" s="82">
        <f>INDEX(LINEST((AV627:AY627),LN(AV626:AY626),TRUE,TRUE),3,1)</f>
        <v>0.88388743099002243</v>
      </c>
      <c r="AP627" s="82">
        <f>INDEX(LINEST((AV627:AY627),LN(AV626:AY626)),1)</f>
        <v>-2.3509949552096194E-2</v>
      </c>
      <c r="AQ627" s="83">
        <f>INDEX(LINEST(LN(AV627:AY627),SQRT(AV626:AY626),TRUE,TRUE),3,1)</f>
        <v>0.93925199193499043</v>
      </c>
      <c r="AR627" s="116">
        <f>INDEX(LINEST(LN(AV627:AY627),SQRT((AV626:AY626))),1)</f>
        <v>-1.9218815548304854E-4</v>
      </c>
      <c r="AS627" s="84">
        <f>INDEX(LINEST(1/(AV627:AY627),1/(SQRT(AV626:AY626)),TRUE,TRUE),3,1)</f>
        <v>0.63968583807030077</v>
      </c>
      <c r="AT627" s="84">
        <f>INDEX(LINEST(1/(AV627:AY627),1/SQRT(AV626:AY626)),1)</f>
        <v>-11.640654212417603</v>
      </c>
      <c r="AU627" s="3"/>
      <c r="AV627" s="53">
        <v>0.78699999999999992</v>
      </c>
      <c r="AW627" s="53">
        <v>0.69450000000000001</v>
      </c>
      <c r="AX627" s="53">
        <v>0.6885</v>
      </c>
      <c r="AY627" s="53">
        <v>0.60099999999999998</v>
      </c>
      <c r="AZ627" s="53"/>
      <c r="BA627" s="44"/>
      <c r="BB627" s="44"/>
      <c r="BC627" s="31"/>
      <c r="BD627" s="31"/>
      <c r="BE627" s="53"/>
      <c r="BF627" s="53"/>
      <c r="BG627" s="53"/>
      <c r="BH627" s="53"/>
      <c r="BI627" s="53"/>
      <c r="BJ627" s="53"/>
      <c r="BK627" s="53"/>
      <c r="BL627" s="53"/>
      <c r="BM627" s="53"/>
      <c r="BN627" s="53"/>
      <c r="BO627" s="53"/>
      <c r="BP627" s="53"/>
      <c r="BQ627" s="53"/>
      <c r="BR627" s="53"/>
      <c r="BS627" s="53"/>
      <c r="BT627" s="53"/>
      <c r="BU627" s="53"/>
      <c r="BV627" s="53"/>
      <c r="BW627" s="53"/>
      <c r="BX627" s="53"/>
      <c r="BY627" s="53"/>
      <c r="BZ627" s="53"/>
      <c r="CA627" s="53"/>
      <c r="CB627" s="53"/>
      <c r="CC627" s="53"/>
      <c r="CD627" s="53"/>
      <c r="CE627" s="53"/>
      <c r="CF627" s="53"/>
      <c r="CG627" s="53"/>
      <c r="CH627" s="53"/>
      <c r="CI627" s="53"/>
      <c r="CJ627" s="53"/>
      <c r="CK627" s="53"/>
      <c r="CL627" s="53"/>
      <c r="CM627" s="53"/>
      <c r="CN627" s="53"/>
      <c r="CO627" s="53"/>
      <c r="CP627" s="53"/>
      <c r="CQ627" s="53"/>
      <c r="CR627" s="1"/>
      <c r="CS627" s="1"/>
      <c r="CT627" s="1"/>
      <c r="CU627" s="1"/>
    </row>
    <row r="628" spans="1:99" s="13" customFormat="1" ht="12" customHeight="1" x14ac:dyDescent="0.25">
      <c r="A628" s="65">
        <v>43979</v>
      </c>
      <c r="B628" s="1"/>
      <c r="C628" s="1"/>
      <c r="D628" s="60"/>
      <c r="E628" s="76"/>
      <c r="F628" s="60"/>
      <c r="G628" s="60"/>
      <c r="H628" s="60"/>
      <c r="I628" s="60"/>
      <c r="J628" s="60"/>
      <c r="K628" s="60"/>
      <c r="L628" s="60"/>
      <c r="M628" s="60"/>
      <c r="N628" s="60"/>
      <c r="O628" s="60"/>
      <c r="P628" s="60"/>
      <c r="Q628" s="60"/>
      <c r="R628" s="60"/>
      <c r="S628" s="60"/>
      <c r="T628" s="59"/>
      <c r="U628" s="60"/>
      <c r="V628" s="59"/>
      <c r="W628" s="60"/>
      <c r="X628" s="60"/>
      <c r="Y628" s="76"/>
      <c r="Z628" s="60"/>
      <c r="AA628" s="60"/>
      <c r="AB628" s="60"/>
      <c r="AC628" s="56"/>
      <c r="AD628" s="60"/>
      <c r="AE628" s="76"/>
      <c r="AF628" s="80"/>
      <c r="AG628" s="56"/>
      <c r="AH628" s="4"/>
      <c r="AI628" s="56"/>
      <c r="AJ628" s="109"/>
      <c r="AK628" s="56"/>
      <c r="AL628" s="56"/>
      <c r="AM628" s="56"/>
      <c r="AN628" s="56"/>
      <c r="AO628" s="82"/>
      <c r="AP628" s="82"/>
      <c r="AQ628" s="83"/>
      <c r="AR628" s="116"/>
      <c r="AS628" s="84"/>
      <c r="AT628" s="84"/>
      <c r="AU628" s="3"/>
      <c r="AV628" s="25">
        <f>5*60</f>
        <v>300</v>
      </c>
      <c r="AW628" s="25">
        <f>60*60*2</f>
        <v>7200</v>
      </c>
      <c r="AX628" s="25">
        <f>60*60*24*7*3</f>
        <v>1814400</v>
      </c>
      <c r="AY628" s="25">
        <f>60*60*24*7*6</f>
        <v>3628800</v>
      </c>
      <c r="AZ628" s="25">
        <f>60*60*24*7*27</f>
        <v>16329600</v>
      </c>
      <c r="BA628" s="44"/>
      <c r="BB628" s="53" t="s">
        <v>1011</v>
      </c>
      <c r="BC628" s="31"/>
      <c r="BD628" s="31"/>
      <c r="BE628" s="53"/>
      <c r="BF628" s="53"/>
      <c r="BG628" s="53"/>
      <c r="BH628" s="53"/>
      <c r="BI628" s="53"/>
      <c r="BJ628" s="53"/>
      <c r="BK628" s="53"/>
      <c r="BL628" s="53"/>
      <c r="BM628" s="53"/>
      <c r="BN628" s="53"/>
      <c r="BO628" s="53"/>
      <c r="BP628" s="53"/>
      <c r="BQ628" s="53"/>
      <c r="BR628" s="53"/>
      <c r="BS628" s="53"/>
      <c r="BT628" s="53"/>
      <c r="BU628" s="53"/>
      <c r="BV628" s="53"/>
      <c r="BW628" s="53"/>
      <c r="BX628" s="53"/>
      <c r="BY628" s="53"/>
      <c r="BZ628" s="53"/>
      <c r="CA628" s="53"/>
      <c r="CB628" s="53"/>
      <c r="CC628" s="53"/>
      <c r="CD628" s="53"/>
      <c r="CE628" s="53"/>
      <c r="CF628" s="53"/>
      <c r="CG628" s="53"/>
      <c r="CH628" s="53"/>
      <c r="CI628" s="53"/>
      <c r="CJ628" s="53"/>
      <c r="CK628" s="53"/>
      <c r="CL628" s="53"/>
      <c r="CM628" s="53"/>
      <c r="CN628" s="53"/>
      <c r="CO628" s="53"/>
      <c r="CP628" s="53"/>
      <c r="CQ628" s="53"/>
      <c r="CR628" s="1"/>
      <c r="CS628" s="1"/>
      <c r="CT628" s="1"/>
      <c r="CU628" s="1"/>
    </row>
    <row r="629" spans="1:99" s="13" customFormat="1" ht="12" customHeight="1" x14ac:dyDescent="0.25">
      <c r="A629" s="65">
        <v>43979</v>
      </c>
      <c r="B629" s="1" t="s">
        <v>1007</v>
      </c>
      <c r="C629" s="1" t="s">
        <v>1008</v>
      </c>
      <c r="D629" s="60">
        <v>1995</v>
      </c>
      <c r="E629" s="76">
        <v>1</v>
      </c>
      <c r="F629" s="60">
        <v>15</v>
      </c>
      <c r="G629" s="60">
        <v>15</v>
      </c>
      <c r="H629" s="60" t="s">
        <v>50</v>
      </c>
      <c r="I629" s="60" t="s">
        <v>1009</v>
      </c>
      <c r="J629" s="60" t="s">
        <v>313</v>
      </c>
      <c r="K629" s="60">
        <f>IF(J629="syllables",1,IF(J629="trigrams",2,IF(J629="strings",3,IF(J629="visual array",4,IF(J629="characters",5,IF(J629="letters",6,IF(J629="free forms",7,IF(J629="odors",8,IF(J629="words",9,IF(J629="pictures",10,IF(J629="object pictures",11,IF(J629="faces",12,IF(J629="names",13,IF(J629="idioms",14,IF(J629="grades",15,IF(J629="syllable-digit pairs",16,IF(J629="trigram-word pairs",17,IF(J629="word-digit pairs",18,IF(J629="English-Swahili pairs",19,IF(J629="spatial position",20,IF(J629="word pairs",21,IF(J629="word triads",22,IF(J629="generated words",23,IF(J629="word definition pairs",24,IF(J629="math problems",25,IF(J629="famous faces",26,IF(J629="famous names",27,IF(J629="famous voices",28,IF(J629="television programs",29,IF(J629="race horses",30,IF(J629="new vocabulary",31,IF(J629="sentences",32,IF(J629="concepts",33,IF(J629="ad slides",34,IF(J629="scenes",35,IF(J629="famous scenes",36,IF(J629="poems",37,IF(J629="walk",38,IF(J629="faces and events",39,IF(J629="events and names",40,IF(J629="flashbulb",41,IF(J629="stories",42,IF(J629="course material",43,IF(J629="autobiographical",44,IF(J629="novels",45,IF(J629="public events",46,"99"))))))))))))))))))))))))))))))))))))))))))))))</f>
        <v>10</v>
      </c>
      <c r="L629" s="60">
        <f>IF(J629="syllables",1,IF(J629="trigrams",1,IF(J629="strings",1,IF(J629="visual array",1,IF(J629="characters",1,IF(J629="letters",1,IF(J629="free forms",1,IF(J629="odors",2,IF(J629="words",2,IF(J629="pictures",2,IF(J629="object pictures",2,IF(J629="faces",2,IF(J629="names",2,IF(J629="idioms","2",IF(J629="grades",2,IF(J629="syllable-digit pairs",3,IF(J629="trigram-word pairs",3,IF(J629="word-digit pairs",3,IF(J629="English-Swahili pairs",3,IF(J629="spatial position",3,IF(J629="word pairs",4,IF(J629="word triads",4,IF(J629="generated words",4,IF(J629="word definition pairs",4,IF(J629="math problems",4,IF(J629="famous faces",4,IF(J629="famous names",4,IF(J629="famous voices",4,IF(J629="television programs",4,IF(J629="race horses",4,IF(J629="new vocabulary",4,IF(J629="sentences",5,IF(J629="concepts",5,IF(J629="ad slides",5,IF(J629="scenes",5,IF(J629="famous scenes",5,IF(J629="poems",6,IF(J629="walk",6,IF(J629="faces and events",6,IF(J629="events and names",6,IF(J629="flashbulb",7,IF(J629="stories",7,IF(J629="course material",7,IF(J629="autobiographical",7,IF(J629="novels",7,IF(J629="public events",7,"99"))))))))))))))))))))))))))))))))))))))))))))))</f>
        <v>2</v>
      </c>
      <c r="M629" s="60">
        <v>0</v>
      </c>
      <c r="N629" s="60">
        <v>1</v>
      </c>
      <c r="O629" s="60">
        <v>0</v>
      </c>
      <c r="P629" s="60"/>
      <c r="Q629" s="60" t="s">
        <v>182</v>
      </c>
      <c r="R629" s="60">
        <f>IF(Q629="Free Recall",1,IF(Q629="Cued Recall",2,IF(Q629="Recognition",3,IF(Q629="Multiple Choice",4,IF(Q629="Savings",5,IF(Q629="Stem Completion",6,IF(Q629="Fragment Completion",7,IF(Q629="anagram solution",8,IF(Q629="Matching",9,IF(Q629="Problem Solving",10,"99"))))))))))</f>
        <v>4</v>
      </c>
      <c r="S629" s="60" t="s">
        <v>15</v>
      </c>
      <c r="T629" s="59" t="s">
        <v>581</v>
      </c>
      <c r="U629" s="60">
        <f>IF(T629="within",1,0)</f>
        <v>1</v>
      </c>
      <c r="V629" s="59">
        <v>100</v>
      </c>
      <c r="W629" s="60">
        <f>F629*V629</f>
        <v>1500</v>
      </c>
      <c r="X629" s="60">
        <v>5</v>
      </c>
      <c r="Y629" s="76">
        <f>AV628</f>
        <v>300</v>
      </c>
      <c r="Z629" s="60" t="s">
        <v>1010</v>
      </c>
      <c r="AA629" s="60">
        <f>60*60*24*7*27</f>
        <v>16329600</v>
      </c>
      <c r="AB629" s="60" t="str">
        <f>IF(AA629&lt;60,"1",IF(AA629&lt;=43200,"2",IF(AA629&lt;=777600,"3","4")))</f>
        <v>4</v>
      </c>
      <c r="AC629" s="56">
        <f>AVERAGE(AV628:DA628)</f>
        <v>4356060</v>
      </c>
      <c r="AD629" s="60" t="str">
        <f>IF(AC629&lt;60,"1",IF(AC629&lt;=43200,"2",IF(AC629&lt;=777600,"3","4")))</f>
        <v>4</v>
      </c>
      <c r="AE629" s="76">
        <f>AA629-Y629</f>
        <v>16329300</v>
      </c>
      <c r="AF629" s="80">
        <f>AV629</f>
        <v>0.98523068834677108</v>
      </c>
      <c r="AG629" s="56">
        <f>((AW629-AV629)+(AX629-AW629)+(AY629-AX629)+(AZ629-AY629))/4</f>
        <v>-6.4347504263039257E-2</v>
      </c>
      <c r="AH629" s="4"/>
      <c r="AI629" s="56">
        <f>RSQ(AV629:AZ629,AV628:AZ628)</f>
        <v>0.58286447448136014</v>
      </c>
      <c r="AJ629" s="109">
        <f>SLOPE(AV629:AZ629,AV628:AZ628)</f>
        <v>-1.3433463136831948E-8</v>
      </c>
      <c r="AK629" s="56">
        <f>INTERCEPT(AV629:AZ629,AV628:AZ628)</f>
        <v>0.91725566529893166</v>
      </c>
      <c r="AL629" s="56">
        <f>INDEX(LINEST(LN(AV629:AZ629),LN(AV628:AZ628),TRUE,TRUE),3,1)</f>
        <v>0.90213728635991253</v>
      </c>
      <c r="AM629" s="56">
        <f>INDEX(LINEST(LN(AV629:AZ629),LN(AV628:AZ628)),1)</f>
        <v>-2.8799291828359688E-2</v>
      </c>
      <c r="AN629" s="56">
        <f>EXP(INDEX(LINEST(LN(AV629:AZ629),LN(AV628:AZ628)),1,2))</f>
        <v>1.2086253315431912</v>
      </c>
      <c r="AO629" s="82">
        <f>INDEX(LINEST((AV629:AZ629),LN(AV628:AZ628),TRUE,TRUE),3,1)</f>
        <v>0.91326885749907716</v>
      </c>
      <c r="AP629" s="82">
        <f>INDEX(LINEST((AV629:AZ629),LN(AV628:AZ628)),1)</f>
        <v>-2.4884303031488773E-2</v>
      </c>
      <c r="AQ629" s="83">
        <f>INDEX(LINEST(LN(AV629:AZ629),SQRT(AV628:AZ628),TRUE,TRUE),3,1)</f>
        <v>0.86215054861499774</v>
      </c>
      <c r="AR629" s="116">
        <f>INDEX(LINEST(LN(AV629:AZ629),SQRT((AV628:AZ628))),1)</f>
        <v>-7.9268418348703716E-5</v>
      </c>
      <c r="AS629" s="84">
        <f>INDEX(LINEST(1/(AV629:AZ629),1/(SQRT(AV628:AZ628)),TRUE,TRUE),3,1)</f>
        <v>0.49458491689591083</v>
      </c>
      <c r="AT629" s="84">
        <f>INDEX(LINEST(1/(AV629:AZ629),1/SQRT(AV628:AZ628)),1)</f>
        <v>-4.6751073452250616</v>
      </c>
      <c r="AU629" s="3"/>
      <c r="AV629" s="53">
        <v>0.98523068834677108</v>
      </c>
      <c r="AW629" s="53">
        <v>0.98218412869708305</v>
      </c>
      <c r="AX629" s="53">
        <v>0.83677939075724694</v>
      </c>
      <c r="AY629" s="53">
        <v>0.76165859023980209</v>
      </c>
      <c r="AZ629" s="53">
        <v>0.72784067129461405</v>
      </c>
      <c r="BA629" s="44"/>
      <c r="BB629" s="44"/>
      <c r="BC629" s="31"/>
      <c r="BD629" s="31"/>
      <c r="BE629" s="53"/>
      <c r="BF629" s="53"/>
      <c r="BG629" s="53"/>
      <c r="BH629" s="53"/>
      <c r="BI629" s="53"/>
      <c r="BJ629" s="53"/>
      <c r="BK629" s="53"/>
      <c r="BL629" s="53"/>
      <c r="BM629" s="53"/>
      <c r="BN629" s="53"/>
      <c r="BO629" s="53"/>
      <c r="BP629" s="53"/>
      <c r="BQ629" s="53"/>
      <c r="BR629" s="53"/>
      <c r="BS629" s="53"/>
      <c r="BT629" s="53"/>
      <c r="BU629" s="53"/>
      <c r="BV629" s="53"/>
      <c r="BW629" s="53"/>
      <c r="BX629" s="53"/>
      <c r="BY629" s="53"/>
      <c r="BZ629" s="53"/>
      <c r="CA629" s="53"/>
      <c r="CB629" s="53"/>
      <c r="CC629" s="53"/>
      <c r="CD629" s="53"/>
      <c r="CE629" s="53"/>
      <c r="CF629" s="53"/>
      <c r="CG629" s="53"/>
      <c r="CH629" s="53"/>
      <c r="CI629" s="53"/>
      <c r="CJ629" s="53"/>
      <c r="CK629" s="53"/>
      <c r="CL629" s="53"/>
      <c r="CM629" s="53"/>
      <c r="CN629" s="53"/>
      <c r="CO629" s="53"/>
      <c r="CP629" s="53"/>
      <c r="CQ629" s="53"/>
      <c r="CR629" s="1"/>
      <c r="CS629" s="1"/>
      <c r="CT629" s="1"/>
      <c r="CU629" s="1"/>
    </row>
    <row r="630" spans="1:99" s="13" customFormat="1" ht="12" customHeight="1" x14ac:dyDescent="0.25">
      <c r="A630" s="65">
        <v>43979</v>
      </c>
      <c r="B630" s="1"/>
      <c r="C630" s="1"/>
      <c r="D630" s="60"/>
      <c r="E630" s="76"/>
      <c r="F630" s="60"/>
      <c r="G630" s="60"/>
      <c r="H630" s="60"/>
      <c r="I630" s="60"/>
      <c r="J630" s="60"/>
      <c r="K630" s="60"/>
      <c r="L630" s="60"/>
      <c r="M630" s="60"/>
      <c r="N630" s="60"/>
      <c r="O630" s="60"/>
      <c r="P630" s="60"/>
      <c r="Q630" s="60"/>
      <c r="R630" s="60"/>
      <c r="S630" s="60"/>
      <c r="T630" s="59"/>
      <c r="U630" s="60"/>
      <c r="V630" s="59"/>
      <c r="W630" s="60"/>
      <c r="X630" s="60"/>
      <c r="Y630" s="76"/>
      <c r="Z630" s="60"/>
      <c r="AA630" s="60"/>
      <c r="AB630" s="60"/>
      <c r="AC630" s="56"/>
      <c r="AD630" s="60"/>
      <c r="AE630" s="76"/>
      <c r="AF630" s="80"/>
      <c r="AG630" s="56"/>
      <c r="AH630" s="4"/>
      <c r="AI630" s="56"/>
      <c r="AJ630" s="109"/>
      <c r="AK630" s="56"/>
      <c r="AL630" s="56"/>
      <c r="AM630" s="56"/>
      <c r="AN630" s="56"/>
      <c r="AO630" s="82"/>
      <c r="AP630" s="82"/>
      <c r="AQ630" s="83"/>
      <c r="AR630" s="116"/>
      <c r="AS630" s="84"/>
      <c r="AT630" s="84"/>
      <c r="AU630" s="3"/>
      <c r="AV630" s="25">
        <f>5*60</f>
        <v>300</v>
      </c>
      <c r="AW630" s="25">
        <f>60*60*2</f>
        <v>7200</v>
      </c>
      <c r="AX630" s="25">
        <f>60*60*24*7*3</f>
        <v>1814400</v>
      </c>
      <c r="AY630" s="25">
        <f>60*60*24*7*6</f>
        <v>3628800</v>
      </c>
      <c r="AZ630" s="25">
        <f>60*60*24*7*27</f>
        <v>16329600</v>
      </c>
      <c r="BA630" s="44"/>
      <c r="BB630" s="44"/>
      <c r="BC630" s="31"/>
      <c r="BD630" s="31"/>
      <c r="BE630" s="53"/>
      <c r="BF630" s="53"/>
      <c r="BG630" s="53"/>
      <c r="BH630" s="53"/>
      <c r="BI630" s="53"/>
      <c r="BJ630" s="53"/>
      <c r="BK630" s="53"/>
      <c r="BL630" s="53"/>
      <c r="BM630" s="53"/>
      <c r="BN630" s="53"/>
      <c r="BO630" s="53"/>
      <c r="BP630" s="53"/>
      <c r="BQ630" s="53"/>
      <c r="BR630" s="53"/>
      <c r="BS630" s="53"/>
      <c r="BT630" s="53"/>
      <c r="BU630" s="53"/>
      <c r="BV630" s="53"/>
      <c r="BW630" s="53"/>
      <c r="BX630" s="53"/>
      <c r="BY630" s="53"/>
      <c r="BZ630" s="53"/>
      <c r="CA630" s="53"/>
      <c r="CB630" s="53"/>
      <c r="CC630" s="53"/>
      <c r="CD630" s="53"/>
      <c r="CE630" s="53"/>
      <c r="CF630" s="53"/>
      <c r="CG630" s="53"/>
      <c r="CH630" s="53"/>
      <c r="CI630" s="53"/>
      <c r="CJ630" s="53"/>
      <c r="CK630" s="53"/>
      <c r="CL630" s="53"/>
      <c r="CM630" s="53"/>
      <c r="CN630" s="53"/>
      <c r="CO630" s="53"/>
      <c r="CP630" s="53"/>
      <c r="CQ630" s="53"/>
      <c r="CR630" s="1"/>
      <c r="CS630" s="1"/>
      <c r="CT630" s="1"/>
      <c r="CU630" s="1"/>
    </row>
    <row r="631" spans="1:99" s="13" customFormat="1" ht="12" customHeight="1" x14ac:dyDescent="0.25">
      <c r="A631" s="65">
        <v>43979</v>
      </c>
      <c r="B631" s="1" t="s">
        <v>1007</v>
      </c>
      <c r="C631" s="1" t="s">
        <v>1008</v>
      </c>
      <c r="D631" s="60">
        <v>1995</v>
      </c>
      <c r="E631" s="76">
        <v>1</v>
      </c>
      <c r="F631" s="60">
        <v>15</v>
      </c>
      <c r="G631" s="60">
        <v>15</v>
      </c>
      <c r="H631" s="60" t="s">
        <v>50</v>
      </c>
      <c r="I631" s="60" t="s">
        <v>1012</v>
      </c>
      <c r="J631" s="60" t="s">
        <v>313</v>
      </c>
      <c r="K631" s="60">
        <f>IF(J631="syllables",1,IF(J631="trigrams",2,IF(J631="strings",3,IF(J631="visual array",4,IF(J631="characters",5,IF(J631="letters",6,IF(J631="free forms",7,IF(J631="odors",8,IF(J631="words",9,IF(J631="pictures",10,IF(J631="object pictures",11,IF(J631="faces",12,IF(J631="names",13,IF(J631="idioms",14,IF(J631="grades",15,IF(J631="syllable-digit pairs",16,IF(J631="trigram-word pairs",17,IF(J631="word-digit pairs",18,IF(J631="English-Swahili pairs",19,IF(J631="spatial position",20,IF(J631="word pairs",21,IF(J631="word triads",22,IF(J631="generated words",23,IF(J631="word definition pairs",24,IF(J631="math problems",25,IF(J631="famous faces",26,IF(J631="famous names",27,IF(J631="famous voices",28,IF(J631="television programs",29,IF(J631="race horses",30,IF(J631="new vocabulary",31,IF(J631="sentences",32,IF(J631="concepts",33,IF(J631="ad slides",34,IF(J631="scenes",35,IF(J631="famous scenes",36,IF(J631="poems",37,IF(J631="walk",38,IF(J631="faces and events",39,IF(J631="events and names",40,IF(J631="flashbulb",41,IF(J631="stories",42,IF(J631="course material",43,IF(J631="autobiographical",44,IF(J631="novels",45,IF(J631="public events",46,"99"))))))))))))))))))))))))))))))))))))))))))))))</f>
        <v>10</v>
      </c>
      <c r="L631" s="60">
        <f>IF(J631="syllables",1,IF(J631="trigrams",1,IF(J631="strings",1,IF(J631="visual array",1,IF(J631="characters",1,IF(J631="letters",1,IF(J631="free forms",1,IF(J631="odors",2,IF(J631="words",2,IF(J631="pictures",2,IF(J631="object pictures",2,IF(J631="faces",2,IF(J631="names",2,IF(J631="idioms","2",IF(J631="grades",2,IF(J631="syllable-digit pairs",3,IF(J631="trigram-word pairs",3,IF(J631="word-digit pairs",3,IF(J631="English-Swahili pairs",3,IF(J631="spatial position",3,IF(J631="word pairs",4,IF(J631="word triads",4,IF(J631="generated words",4,IF(J631="word definition pairs",4,IF(J631="math problems",4,IF(J631="famous faces",4,IF(J631="famous names",4,IF(J631="famous voices",4,IF(J631="television programs",4,IF(J631="race horses",4,IF(J631="new vocabulary",4,IF(J631="sentences",5,IF(J631="concepts",5,IF(J631="ad slides",5,IF(J631="scenes",5,IF(J631="famous scenes",5,IF(J631="poems",6,IF(J631="walk",6,IF(J631="faces and events",6,IF(J631="events and names",6,IF(J631="flashbulb",7,IF(J631="stories",7,IF(J631="course material",7,IF(J631="autobiographical",7,IF(J631="novels",7,IF(J631="public events",7,"99"))))))))))))))))))))))))))))))))))))))))))))))</f>
        <v>2</v>
      </c>
      <c r="M631" s="60">
        <v>0</v>
      </c>
      <c r="N631" s="60">
        <v>1</v>
      </c>
      <c r="O631" s="60">
        <v>0</v>
      </c>
      <c r="P631" s="60"/>
      <c r="Q631" s="60" t="s">
        <v>182</v>
      </c>
      <c r="R631" s="60">
        <f>IF(Q631="Free Recall",1,IF(Q631="Cued Recall",2,IF(Q631="Recognition",3,IF(Q631="Multiple Choice",4,IF(Q631="Savings",5,IF(Q631="Stem Completion",6,IF(Q631="Fragment Completion",7,IF(Q631="anagram solution",8,IF(Q631="Matching",9,IF(Q631="Problem Solving",10,"99"))))))))))</f>
        <v>4</v>
      </c>
      <c r="S631" s="60" t="s">
        <v>15</v>
      </c>
      <c r="T631" s="59" t="s">
        <v>581</v>
      </c>
      <c r="U631" s="60">
        <f>IF(T631="within",1,0)</f>
        <v>1</v>
      </c>
      <c r="V631" s="59">
        <v>100</v>
      </c>
      <c r="W631" s="60">
        <f>F631*V631</f>
        <v>1500</v>
      </c>
      <c r="X631" s="60">
        <v>5</v>
      </c>
      <c r="Y631" s="76">
        <f>AV630</f>
        <v>300</v>
      </c>
      <c r="Z631" s="60" t="s">
        <v>1010</v>
      </c>
      <c r="AA631" s="60">
        <f>60*60*24*7*27</f>
        <v>16329600</v>
      </c>
      <c r="AB631" s="60" t="str">
        <f>IF(AA631&lt;60,"1",IF(AA631&lt;=43200,"2",IF(AA631&lt;=777600,"3","4")))</f>
        <v>4</v>
      </c>
      <c r="AC631" s="56">
        <f>AVERAGE(AV630:DA630)</f>
        <v>4356060</v>
      </c>
      <c r="AD631" s="60" t="str">
        <f>IF(AC631&lt;60,"1",IF(AC631&lt;=43200,"2",IF(AC631&lt;=777600,"3","4")))</f>
        <v>4</v>
      </c>
      <c r="AE631" s="76">
        <f>AA631-Y631</f>
        <v>16329300</v>
      </c>
      <c r="AF631" s="80">
        <f>AV631</f>
        <v>0.99842829620252205</v>
      </c>
      <c r="AG631" s="56">
        <f>((AW631-AV631)+(AX631-AW631)+(AY631-AX631)+(AZ631-AY631))/4</f>
        <v>-8.3962326149291E-2</v>
      </c>
      <c r="AH631" s="4"/>
      <c r="AI631" s="56">
        <f>RSQ(AV631:AZ631,AV630:AZ630)</f>
        <v>0.60825325813478348</v>
      </c>
      <c r="AJ631" s="109">
        <f>SLOPE(AV631:AZ631,AV630:AZ630)</f>
        <v>-1.8188818937887309E-8</v>
      </c>
      <c r="AK631" s="56">
        <f>INTERCEPT(AV631:AZ631,AV630:AZ630)</f>
        <v>0.92037107187574374</v>
      </c>
      <c r="AL631" s="56">
        <f>INDEX(LINEST(LN(AV631:AZ631),LN(AV630:AZ630),TRUE,TRUE),3,1)</f>
        <v>0.81899768836940856</v>
      </c>
      <c r="AM631" s="56">
        <f>INDEX(LINEST(LN(AV631:AZ631),LN(AV630:AZ630)),1)</f>
        <v>-3.7895681646718304E-2</v>
      </c>
      <c r="AN631" s="56">
        <f>EXP(INDEX(LINEST(LN(AV631:AZ631),LN(AV630:AZ630)),1,2))</f>
        <v>1.3129152547321392</v>
      </c>
      <c r="AO631" s="82">
        <f>INDEX(LINEST((AV631:AZ631),LN(AV630:AZ630),TRUE,TRUE),3,1)</f>
        <v>0.84332201562954479</v>
      </c>
      <c r="AP631" s="82">
        <f>INDEX(LINEST((AV631:AZ631),LN(AV630:AZ630)),1)</f>
        <v>-3.1694285015315474E-2</v>
      </c>
      <c r="AQ631" s="83">
        <f>INDEX(LINEST(LN(AV631:AZ631),SQRT(AV630:AZ630),TRUE,TRUE),3,1)</f>
        <v>0.85471679792933741</v>
      </c>
      <c r="AR631" s="116">
        <f>INDEX(LINEST(LN(AV631:AZ631),SQRT((AV630:AZ630))),1)</f>
        <v>-1.0899903454701368E-4</v>
      </c>
      <c r="AS631" s="84">
        <f>INDEX(LINEST(1/(AV631:AZ631),1/(SQRT(AV630:AZ630)),TRUE,TRUE),3,1)</f>
        <v>0.41997791664476863</v>
      </c>
      <c r="AT631" s="84">
        <f>INDEX(LINEST(1/(AV631:AZ631),1/SQRT(AV630:AZ630)),1)</f>
        <v>-6.2406536297329342</v>
      </c>
      <c r="AU631" s="3"/>
      <c r="AV631" s="53">
        <v>0.99842829620252205</v>
      </c>
      <c r="AW631" s="53">
        <v>0.99684967469466901</v>
      </c>
      <c r="AX631" s="53">
        <v>0.85291010781251597</v>
      </c>
      <c r="AY631" s="53">
        <v>0.69493035595078689</v>
      </c>
      <c r="AZ631" s="53">
        <v>0.66257899160535805</v>
      </c>
      <c r="BA631" s="44"/>
      <c r="BB631" s="44"/>
      <c r="BC631" s="31"/>
      <c r="BD631" s="31"/>
      <c r="BE631" s="53"/>
      <c r="BF631" s="53"/>
      <c r="BG631" s="53"/>
      <c r="BH631" s="53"/>
      <c r="BI631" s="53"/>
      <c r="BJ631" s="53"/>
      <c r="BK631" s="53"/>
      <c r="BL631" s="53"/>
      <c r="BM631" s="53"/>
      <c r="BN631" s="53"/>
      <c r="BO631" s="53"/>
      <c r="BP631" s="53"/>
      <c r="BQ631" s="53"/>
      <c r="BR631" s="53"/>
      <c r="BS631" s="53"/>
      <c r="BT631" s="53"/>
      <c r="BU631" s="53"/>
      <c r="BV631" s="53"/>
      <c r="BW631" s="53"/>
      <c r="BX631" s="53"/>
      <c r="BY631" s="53"/>
      <c r="BZ631" s="53"/>
      <c r="CA631" s="53"/>
      <c r="CB631" s="53"/>
      <c r="CC631" s="53"/>
      <c r="CD631" s="53"/>
      <c r="CE631" s="53"/>
      <c r="CF631" s="53"/>
      <c r="CG631" s="53"/>
      <c r="CH631" s="53"/>
      <c r="CI631" s="53"/>
      <c r="CJ631" s="53"/>
      <c r="CK631" s="53"/>
      <c r="CL631" s="53"/>
      <c r="CM631" s="53"/>
      <c r="CN631" s="53"/>
      <c r="CO631" s="53"/>
      <c r="CP631" s="53"/>
      <c r="CQ631" s="53"/>
      <c r="CR631" s="1"/>
      <c r="CS631" s="1"/>
      <c r="CT631" s="1"/>
      <c r="CU631" s="1"/>
    </row>
    <row r="632" spans="1:99" s="13" customFormat="1" ht="12" customHeight="1" x14ac:dyDescent="0.2">
      <c r="A632" s="68">
        <v>43509</v>
      </c>
      <c r="B632" s="70"/>
      <c r="C632" s="70"/>
      <c r="D632" s="69"/>
      <c r="E632" s="87"/>
      <c r="F632" s="69"/>
      <c r="G632" s="69"/>
      <c r="H632" s="69"/>
      <c r="I632" s="69"/>
      <c r="J632" s="69"/>
      <c r="K632" s="107"/>
      <c r="L632" s="107"/>
      <c r="M632" s="69"/>
      <c r="N632" s="69"/>
      <c r="O632" s="69"/>
      <c r="P632" s="69"/>
      <c r="Q632" s="69"/>
      <c r="R632" s="69"/>
      <c r="S632" s="69"/>
      <c r="T632" s="69"/>
      <c r="U632" s="60"/>
      <c r="V632" s="69"/>
      <c r="W632" s="69"/>
      <c r="X632" s="69"/>
      <c r="Y632" s="87"/>
      <c r="Z632" s="69"/>
      <c r="AA632" s="69"/>
      <c r="AB632" s="69"/>
      <c r="AC632" s="69"/>
      <c r="AD632" s="69"/>
      <c r="AE632" s="69"/>
      <c r="AF632" s="88"/>
      <c r="AG632" s="72"/>
      <c r="AH632" s="4"/>
      <c r="AI632" s="72"/>
      <c r="AJ632" s="110"/>
      <c r="AK632" s="72"/>
      <c r="AL632" s="72"/>
      <c r="AM632" s="72"/>
      <c r="AN632" s="72"/>
      <c r="AO632" s="72"/>
      <c r="AP632" s="72"/>
      <c r="AQ632" s="89"/>
      <c r="AR632" s="118"/>
      <c r="AS632" s="89"/>
      <c r="AT632" s="89"/>
      <c r="AU632" s="4"/>
      <c r="AV632" s="71">
        <f>365*24*60*60*1</f>
        <v>31536000</v>
      </c>
      <c r="AW632" s="71">
        <f>365*24*60*60*2</f>
        <v>63072000</v>
      </c>
      <c r="AX632" s="71">
        <f>365*24*60*60*3</f>
        <v>94608000</v>
      </c>
      <c r="AY632" s="71">
        <f>365*24*60*60*4</f>
        <v>126144000</v>
      </c>
      <c r="AZ632" s="71">
        <f>365*24*60*60*5</f>
        <v>157680000</v>
      </c>
      <c r="BA632" s="71">
        <f>365*24*60*60*6</f>
        <v>189216000</v>
      </c>
      <c r="BB632" s="71">
        <f>365*24*60*60*7</f>
        <v>220752000</v>
      </c>
      <c r="BC632" s="71">
        <f>365*24*60*60*8</f>
        <v>252288000</v>
      </c>
      <c r="BD632" s="71">
        <f>365*24*60*60*9</f>
        <v>283824000</v>
      </c>
      <c r="BE632" s="71">
        <f>365*24*60*60*10</f>
        <v>315360000</v>
      </c>
      <c r="BF632" s="71">
        <f>365*24*60*60*11</f>
        <v>346896000</v>
      </c>
      <c r="BG632" s="71">
        <f>365*24*60*60*12</f>
        <v>378432000</v>
      </c>
      <c r="BH632" s="71">
        <f>365*24*60*60*13</f>
        <v>409968000</v>
      </c>
      <c r="BI632" s="71">
        <f>365*24*60*60*14</f>
        <v>441504000</v>
      </c>
      <c r="BJ632" s="71">
        <f>365*24*60*60*15</f>
        <v>473040000</v>
      </c>
      <c r="BK632" s="53"/>
      <c r="BL632" s="53"/>
      <c r="BM632" s="53"/>
      <c r="BN632" s="53"/>
      <c r="BO632" s="53"/>
      <c r="BP632" s="53"/>
      <c r="BQ632" s="53"/>
      <c r="BR632" s="53"/>
      <c r="BS632" s="53"/>
      <c r="BT632" s="53"/>
      <c r="BU632" s="53"/>
      <c r="BV632" s="53"/>
      <c r="BW632" s="53"/>
      <c r="BX632" s="53"/>
      <c r="BY632" s="53"/>
      <c r="BZ632" s="53"/>
      <c r="CA632" s="53"/>
      <c r="CB632" s="53"/>
      <c r="CC632" s="53"/>
      <c r="CD632" s="53"/>
      <c r="CE632" s="53"/>
      <c r="CF632" s="53"/>
      <c r="CG632" s="53"/>
      <c r="CH632" s="53"/>
      <c r="CI632" s="53"/>
      <c r="CJ632" s="53"/>
      <c r="CK632" s="53"/>
      <c r="CL632" s="53"/>
      <c r="CM632" s="53"/>
      <c r="CN632" s="53"/>
      <c r="CO632" s="53"/>
      <c r="CP632" s="53"/>
      <c r="CQ632" s="53"/>
      <c r="CR632" s="1"/>
      <c r="CS632" s="1"/>
      <c r="CT632" s="1"/>
      <c r="CU632" s="1"/>
    </row>
    <row r="633" spans="1:99" s="13" customFormat="1" ht="12" customHeight="1" x14ac:dyDescent="0.2">
      <c r="A633" s="68">
        <v>43509</v>
      </c>
      <c r="B633" s="103" t="s">
        <v>222</v>
      </c>
      <c r="C633" s="70" t="s">
        <v>223</v>
      </c>
      <c r="D633" s="69">
        <v>1989</v>
      </c>
      <c r="E633" s="87">
        <v>1</v>
      </c>
      <c r="F633" s="69">
        <v>231</v>
      </c>
      <c r="G633" s="69">
        <v>231</v>
      </c>
      <c r="H633" s="69" t="s">
        <v>216</v>
      </c>
      <c r="I633" s="69"/>
      <c r="J633" s="69" t="s">
        <v>376</v>
      </c>
      <c r="K633" s="69">
        <f>IF(J633="syllables",1,IF(J633="trigrams",2,IF(J633="strings",3,IF(J633="visual array",4,IF(J633="characters",5,IF(J633="letters",6,IF(J633="free forms",7,IF(J633="odors",8,IF(J633="words",9,IF(J633="pictures",10,IF(J633="object pictures",11,IF(J633="faces",12,IF(J633="names",13,IF(J633="idioms",14,IF(J633="grades",15,IF(J633="syllable-digit pairs",16,IF(J633="trigram-word pairs",17,IF(J633="word-digit pairs",18,IF(J633="English-Swahili pairs",19,IF(J633="spatial position",20,IF(J633="word pairs",21,IF(J633="word triads",22,IF(J633="generated words",23,IF(J633="word definition pairs",24,IF(J633="math problems",25,IF(J633="famous faces",26,IF(J633="famous names",27,IF(J633="famous voices",28,IF(J633="television programs",29,IF(J633="race horses",30,IF(J633="new vocabulary",31,IF(J633="sentences",32,IF(J633="concepts",33,IF(J633="ad slides",34,IF(J633="scenes",35,IF(J633="famous scenes",36,IF(J633="poems",37,IF(J633="walk",38,IF(J633="faces and events",39,IF(J633="events and names",40,IF(J633="flashbulb",41,IF(J633="stories",42,IF(J633="course material",43,IF(J633="autobiographical",44,IF(J633="novels",45,IF(J633="public events",46,"99"))))))))))))))))))))))))))))))))))))))))))))))</f>
        <v>29</v>
      </c>
      <c r="L633" s="69">
        <f>IF(J633="syllables",1,IF(J633="trigrams",1,IF(J633="strings",1,IF(J633="visual array",1,IF(J633="characters",1,IF(J633="letters",1,IF(J633="free forms",1,IF(J633="odors",2,IF(J633="words",2,IF(J633="pictures",2,IF(J633="object pictures",2,IF(J633="faces",2,IF(J633="names",2,IF(J633="idioms","2",IF(J633="grades",2,IF(J633="syllable-digit pairs",3,IF(J633="trigram-word pairs",3,IF(J633="word-digit pairs",3,IF(J633="English-Swahili pairs",3,IF(J633="spatial position",3,IF(J633="word pairs",4,IF(J633="word triads",4,IF(J633="generated words",4,IF(J633="word definition pairs",4,IF(J633="math problems",4,IF(J633="famous faces",4,IF(J633="famous names",4,IF(J633="famous voices",4,IF(J633="television programs",4,IF(J633="race horses",4,IF(J633="new vocabulary",4,IF(J633="sentences",5,IF(J633="concepts",5,IF(J633="ad slides",5,IF(J633="scenes",5,IF(J633="famous scenes",5,IF(J633="poems",6,IF(J633="walk",6,IF(J633="faces and events",6,IF(J633="events and names",6,IF(J633="flashbulb",7,IF(J633="stories",7,IF(J633="course material",7,IF(J633="autobiographical",7,IF(J633="novels",7,IF(J633="public events",7,"99"))))))))))))))))))))))))))))))))))))))))))))))</f>
        <v>4</v>
      </c>
      <c r="M633" s="69">
        <v>1</v>
      </c>
      <c r="N633" s="69">
        <v>2</v>
      </c>
      <c r="O633" s="69">
        <v>0</v>
      </c>
      <c r="P633" s="69"/>
      <c r="Q633" s="69" t="s">
        <v>34</v>
      </c>
      <c r="R633" s="69">
        <f>IF(Q633="Free Recall",1,IF(Q633="Cued Recall",2,IF(Q633="Recognition",3,IF(Q633="Multiple Choice",4,IF(Q633="Savings",5,IF(Q633="Stem Completion",6,IF(Q633="Fragment Completion",7,IF(Q633="anagram solution",8,IF(Q633="Matching",9,IF(Q633="Problem Solving",10,"99"))))))))))</f>
        <v>3</v>
      </c>
      <c r="S633" s="69" t="s">
        <v>15</v>
      </c>
      <c r="T633" s="92" t="s">
        <v>581</v>
      </c>
      <c r="U633" s="60">
        <f>IF(T633="within",1,0)</f>
        <v>1</v>
      </c>
      <c r="V633" s="92">
        <v>115</v>
      </c>
      <c r="W633" s="69">
        <f>F633*V633</f>
        <v>26565</v>
      </c>
      <c r="X633" s="69">
        <v>15</v>
      </c>
      <c r="Y633" s="87">
        <f>AV632</f>
        <v>31536000</v>
      </c>
      <c r="Z633" s="69" t="s">
        <v>224</v>
      </c>
      <c r="AA633" s="69">
        <v>473040000</v>
      </c>
      <c r="AB633" s="69" t="str">
        <f>IF(AA633&lt;60,"1",IF(AA633&lt;=43200,"2",IF(AA633&lt;=777600,"3","4")))</f>
        <v>4</v>
      </c>
      <c r="AC633" s="72">
        <f>AVERAGE(AV632:DA632)</f>
        <v>252288000</v>
      </c>
      <c r="AD633" s="69" t="str">
        <f>IF(AC633&lt;60,"1",IF(AC633&lt;=43200,"2",IF(AC633&lt;=777600,"3","4")))</f>
        <v>4</v>
      </c>
      <c r="AE633" s="87">
        <f>AA633-Y633</f>
        <v>441504000</v>
      </c>
      <c r="AF633" s="88">
        <f>AV633</f>
        <v>0.76600000000000001</v>
      </c>
      <c r="AG633" s="72">
        <f>((AW633-AV633)+(AX633-AW633)+(AY633-AX633)+(AZ633-AY633)+(BA633-AZ633)+(BB633-BA633)+(BC633-BB633)+(BD633-BC633)+(BE633-BD633)+(BF633-BE633)+(BG633-BF633)+(BH633-BG633)+(BI633-BH633)+(BJ633-BI633))/14</f>
        <v>-1.3428571428571432E-2</v>
      </c>
      <c r="AH633" s="4"/>
      <c r="AI633" s="72">
        <f>RSQ(AV633:BJ633,AV632:BJ632)</f>
        <v>0.88447795619328795</v>
      </c>
      <c r="AJ633" s="110">
        <f>SLOPE(AV633:BJ633,AV632:BJ632)</f>
        <v>-4.2887493658041609E-10</v>
      </c>
      <c r="AK633" s="72">
        <f>INTERCEPT(AV633:BJ633,AV632:BJ632)</f>
        <v>0.74026666666666663</v>
      </c>
      <c r="AL633" s="72">
        <f>INDEX(LINEST(LN(AV633:BJ633),LN(AV632:BJ632),TRUE,TRUE),3,1)</f>
        <v>0.94481208345524026</v>
      </c>
      <c r="AM633" s="72">
        <f>INDEX(LINEST(LN(AV633:BJ633),LN(AV632:BJ632)),1)</f>
        <v>-0.12310422284221159</v>
      </c>
      <c r="AN633" s="72">
        <f>EXP(INDEX(LINEST(LN(AV633:BJ633),LN(AV632:BJ632)),1,2))</f>
        <v>6.6269552571389596</v>
      </c>
      <c r="AO633" s="89">
        <f>INDEX(LINEST((AV633:BJ633),LN(AV632:BJ632),TRUE,TRUE),3,1)</f>
        <v>0.95795896251584145</v>
      </c>
      <c r="AP633" s="89">
        <f>INDEX(LINEST((AV633:BJ633),LN(AV632:BJ632)),1)</f>
        <v>-8.0499009803404228E-2</v>
      </c>
      <c r="AQ633" s="90">
        <f>INDEX(LINEST(LN(AV633:BJ633),SQRT(AV632:BJ632),TRUE,TRUE),3,1)</f>
        <v>0.95096600056972047</v>
      </c>
      <c r="AR633" s="117">
        <f>INDEX(LINEST(LN(AV633:BJ633),SQRT((AV632:BJ632))),1)</f>
        <v>-1.956573907240783E-5</v>
      </c>
      <c r="AS633" s="91">
        <f>INDEX(LINEST(1/(AV633:BJ633),1/(SQRT(AV632:BJ632)),TRUE,TRUE),3,1)</f>
        <v>0.82975433121503472</v>
      </c>
      <c r="AT633" s="91">
        <f>INDEX(LINEST(1/(AV633:BJ633),1/SQRT(AV632:BJ632)),1)</f>
        <v>-3879.8557325057409</v>
      </c>
      <c r="AU633" s="3"/>
      <c r="AV633" s="73">
        <v>0.76600000000000001</v>
      </c>
      <c r="AW633" s="73">
        <v>0.73099999999999998</v>
      </c>
      <c r="AX633" s="73">
        <v>0.70799999999999996</v>
      </c>
      <c r="AY633" s="73">
        <v>0.68</v>
      </c>
      <c r="AZ633" s="73">
        <v>0.65600000000000003</v>
      </c>
      <c r="BA633" s="73">
        <v>0.63600000000000001</v>
      </c>
      <c r="BB633" s="73">
        <v>0.61</v>
      </c>
      <c r="BC633" s="73">
        <v>0.60599999999999998</v>
      </c>
      <c r="BD633" s="73">
        <v>0.629</v>
      </c>
      <c r="BE633" s="73">
        <v>0.59599999999999997</v>
      </c>
      <c r="BF633" s="73">
        <v>0.59699999999999998</v>
      </c>
      <c r="BG633" s="73">
        <v>0.57999999999999996</v>
      </c>
      <c r="BH633" s="73">
        <v>0.55500000000000005</v>
      </c>
      <c r="BI633" s="73">
        <v>0.55300000000000005</v>
      </c>
      <c r="BJ633" s="73">
        <v>0.57799999999999996</v>
      </c>
      <c r="BK633" s="53"/>
      <c r="BL633" s="53"/>
      <c r="BM633" s="53"/>
      <c r="BN633" s="53"/>
      <c r="BO633" s="53"/>
      <c r="BP633" s="53"/>
      <c r="BQ633" s="53"/>
      <c r="BR633" s="53"/>
      <c r="BS633" s="53"/>
      <c r="BT633" s="53"/>
      <c r="BU633" s="53"/>
      <c r="BV633" s="53"/>
      <c r="BW633" s="53"/>
      <c r="BX633" s="53"/>
      <c r="BY633" s="53"/>
      <c r="BZ633" s="53"/>
      <c r="CA633" s="53"/>
      <c r="CB633" s="53"/>
      <c r="CC633" s="53"/>
      <c r="CD633" s="53"/>
      <c r="CE633" s="53"/>
      <c r="CF633" s="53"/>
      <c r="CG633" s="53"/>
      <c r="CH633" s="53"/>
      <c r="CI633" s="53"/>
      <c r="CJ633" s="53"/>
      <c r="CK633" s="53"/>
      <c r="CL633" s="53"/>
      <c r="CM633" s="53"/>
      <c r="CN633" s="53"/>
      <c r="CO633" s="53"/>
      <c r="CP633" s="53"/>
      <c r="CQ633" s="53"/>
      <c r="CR633" s="1"/>
      <c r="CS633" s="1"/>
      <c r="CT633" s="1"/>
      <c r="CU633" s="1"/>
    </row>
    <row r="634" spans="1:99" ht="12" customHeight="1" x14ac:dyDescent="0.2">
      <c r="A634" s="65">
        <v>43897</v>
      </c>
      <c r="B634" s="15"/>
      <c r="C634" s="15"/>
      <c r="D634" s="59"/>
      <c r="E634" s="75"/>
      <c r="F634" s="59"/>
      <c r="G634" s="59"/>
      <c r="H634" s="59"/>
      <c r="I634" s="59"/>
      <c r="J634" s="59"/>
      <c r="M634" s="59"/>
      <c r="N634" s="61"/>
      <c r="O634" s="59"/>
      <c r="P634" s="59"/>
      <c r="Q634" s="59"/>
      <c r="R634" s="60"/>
      <c r="S634" s="59"/>
      <c r="T634" s="59"/>
      <c r="U634" s="60"/>
      <c r="V634" s="59"/>
      <c r="W634" s="60"/>
      <c r="X634" s="60"/>
      <c r="Y634" s="76"/>
      <c r="Z634" s="59"/>
      <c r="AA634" s="59"/>
      <c r="AB634" s="60"/>
      <c r="AC634" s="56"/>
      <c r="AD634" s="60"/>
      <c r="AE634" s="60"/>
      <c r="AF634" s="80"/>
      <c r="AG634" s="56"/>
      <c r="AH634" s="4"/>
      <c r="AI634" s="56"/>
      <c r="AJ634" s="109"/>
      <c r="AK634" s="56"/>
      <c r="AL634" s="56"/>
      <c r="AM634" s="56"/>
      <c r="AN634" s="56"/>
      <c r="AO634" s="82"/>
      <c r="AP634" s="82"/>
      <c r="AQ634" s="83"/>
      <c r="AR634" s="116"/>
      <c r="AS634" s="84"/>
      <c r="AT634" s="84"/>
      <c r="AU634" s="3"/>
      <c r="AV634" s="25">
        <v>157680000</v>
      </c>
      <c r="AW634" s="25">
        <v>473040000</v>
      </c>
      <c r="AX634" s="25">
        <v>788400000</v>
      </c>
      <c r="AY634" s="25">
        <v>1103760000</v>
      </c>
      <c r="AZ634" s="25">
        <v>1419120000</v>
      </c>
      <c r="BA634" s="11"/>
      <c r="BB634" s="11"/>
      <c r="BC634" s="11"/>
      <c r="BD634" s="11"/>
      <c r="BE634" s="11"/>
      <c r="BF634" s="11"/>
      <c r="BG634" s="11"/>
      <c r="BH634" s="11"/>
      <c r="BI634" s="11"/>
      <c r="BJ634" s="11"/>
      <c r="BK634" s="11"/>
      <c r="BL634" s="11"/>
      <c r="BM634" s="11"/>
      <c r="BN634" s="11"/>
      <c r="BO634" s="11"/>
      <c r="BP634" s="11"/>
      <c r="BQ634" s="11"/>
      <c r="BR634" s="11"/>
      <c r="BS634" s="11"/>
      <c r="BT634" s="11"/>
      <c r="BU634" s="11"/>
      <c r="BV634" s="11"/>
      <c r="BW634" s="11"/>
      <c r="BX634" s="11"/>
      <c r="BY634" s="11"/>
      <c r="BZ634" s="11"/>
      <c r="CA634" s="11"/>
      <c r="CB634" s="11"/>
      <c r="CC634" s="11"/>
      <c r="CD634" s="11"/>
      <c r="CE634" s="11"/>
      <c r="CF634" s="11"/>
      <c r="CG634" s="11"/>
      <c r="CH634" s="11"/>
      <c r="CI634" s="11"/>
      <c r="CJ634" s="11"/>
      <c r="CK634" s="11"/>
      <c r="CL634" s="11"/>
      <c r="CM634" s="11"/>
      <c r="CN634" s="11"/>
      <c r="CO634" s="11"/>
      <c r="CP634" s="11"/>
      <c r="CQ634" s="11"/>
      <c r="CR634" s="15"/>
      <c r="CS634" s="15"/>
      <c r="CT634" s="15"/>
      <c r="CU634" s="15"/>
    </row>
    <row r="635" spans="1:99" ht="12" customHeight="1" x14ac:dyDescent="0.2">
      <c r="A635" s="65">
        <v>43897</v>
      </c>
      <c r="B635" s="15" t="s">
        <v>409</v>
      </c>
      <c r="C635" s="15" t="s">
        <v>139</v>
      </c>
      <c r="D635" s="59">
        <v>1982</v>
      </c>
      <c r="E635" s="76">
        <v>1</v>
      </c>
      <c r="F635" s="60">
        <v>16</v>
      </c>
      <c r="G635" s="60">
        <v>16</v>
      </c>
      <c r="H635" s="59" t="s">
        <v>441</v>
      </c>
      <c r="I635" s="60" t="s">
        <v>330</v>
      </c>
      <c r="J635" s="60" t="s">
        <v>342</v>
      </c>
      <c r="K635" s="60">
        <f>IF(J635="syllables",1,IF(J635="trigrams",2,IF(J635="strings",3,IF(J635="visual array",4,IF(J635="characters",5,IF(J635="letters",6,IF(J635="free forms",7,IF(J635="odors",8,IF(J635="words",9,IF(J635="pictures",10,IF(J635="object pictures",11,IF(J635="faces",12,IF(J635="names",13,IF(J635="idioms",14,IF(J635="grades",15,IF(J635="syllable-digit pairs",16,IF(J635="trigram-word pairs",17,IF(J635="word-digit pairs",18,IF(J635="English-Swahili pairs",19,IF(J635="spatial position",20,IF(J635="word pairs",21,IF(J635="word triads",22,IF(J635="generated words",23,IF(J635="word definition pairs",24,IF(J635="math problems",25,IF(J635="famous faces",26,IF(J635="famous names",27,IF(J635="famous voices",28,IF(J635="television programs",29,IF(J635="race horses",30,IF(J635="new vocabulary",31,IF(J635="sentences",32,IF(J635="concepts",33,IF(J635="ad slides",34,IF(J635="scenes",35,IF(J635="famous scenes",36,IF(J635="poems",37,IF(J635="walk",38,IF(J635="faces and events",39,IF(J635="events and names",40,IF(J635="flashbulb",41,IF(J635="stories",42,IF(J635="course material",43,IF(J635="autobiographical",44,IF(J635="novels",45,IF(J635="public events",46,"99"))))))))))))))))))))))))))))))))))))))))))))))</f>
        <v>26</v>
      </c>
      <c r="L635" s="60">
        <f>IF(J635="syllables",1,IF(J635="trigrams",1,IF(J635="strings",1,IF(J635="visual array",1,IF(J635="characters",1,IF(J635="letters",1,IF(J635="free forms",1,IF(J635="odors",2,IF(J635="words",2,IF(J635="pictures",2,IF(J635="object pictures",2,IF(J635="faces",2,IF(J635="names",2,IF(J635="idioms","2",IF(J635="grades",2,IF(J635="syllable-digit pairs",3,IF(J635="trigram-word pairs",3,IF(J635="word-digit pairs",3,IF(J635="English-Swahili pairs",3,IF(J635="spatial position",3,IF(J635="word pairs",4,IF(J635="word triads",4,IF(J635="generated words",4,IF(J635="word definition pairs",4,IF(J635="math problems",4,IF(J635="famous faces",4,IF(J635="famous names",4,IF(J635="famous voices",4,IF(J635="television programs",4,IF(J635="race horses",4,IF(J635="new vocabulary",4,IF(J635="sentences",5,IF(J635="concepts",5,IF(J635="ad slides",5,IF(J635="scenes",5,IF(J635="famous scenes",5,IF(J635="poems",6,IF(J635="walk",6,IF(J635="faces and events",6,IF(J635="events and names",6,IF(J635="flashbulb",7,IF(J635="stories",7,IF(J635="course material",7,IF(J635="autobiographical",7,IF(J635="novels",7,IF(J635="public events",7,"99"))))))))))))))))))))))))))))))))))))))))))))))</f>
        <v>4</v>
      </c>
      <c r="M635" s="60">
        <v>1</v>
      </c>
      <c r="N635" s="61">
        <v>2</v>
      </c>
      <c r="O635" s="60">
        <v>0</v>
      </c>
      <c r="P635" s="60"/>
      <c r="Q635" s="60" t="s">
        <v>174</v>
      </c>
      <c r="R635" s="60">
        <f>IF(Q635="Free Recall",1,IF(Q635="Cued Recall",2,IF(Q635="Recognition",3,IF(Q635="Multiple Choice",4,IF(Q635="Savings",5,IF(Q635="Stem Completion",6,IF(Q635="Fragment Completion",7,IF(Q635="anagram solution",8,IF(Q635="Matching",9,IF(Q635="Problem Solving",10,"99"))))))))))</f>
        <v>1</v>
      </c>
      <c r="S635" s="60" t="s">
        <v>49</v>
      </c>
      <c r="T635" s="59" t="s">
        <v>581</v>
      </c>
      <c r="U635" s="60">
        <f>IF(T635="within",1,0)</f>
        <v>1</v>
      </c>
      <c r="V635" s="59">
        <v>132</v>
      </c>
      <c r="W635" s="60">
        <f>F635*V635</f>
        <v>2112</v>
      </c>
      <c r="X635" s="60">
        <v>5</v>
      </c>
      <c r="Y635" s="76">
        <f>AV634</f>
        <v>157680000</v>
      </c>
      <c r="Z635" s="60" t="s">
        <v>373</v>
      </c>
      <c r="AA635" s="60">
        <f>45*365*24*60*60</f>
        <v>1419120000</v>
      </c>
      <c r="AB635" s="60" t="str">
        <f>IF(AA635&lt;60,"1",IF(AA635&lt;=43200,"2",IF(AA635&lt;=777600,"3","4")))</f>
        <v>4</v>
      </c>
      <c r="AC635" s="56">
        <f>AVERAGE(AV634:DA634)</f>
        <v>788400000</v>
      </c>
      <c r="AD635" s="60" t="str">
        <f>IF(AC635&lt;60,"1",IF(AC635&lt;=43200,"2",IF(AC635&lt;=777600,"3","4")))</f>
        <v>4</v>
      </c>
      <c r="AE635" s="76">
        <f>AA635-Y635</f>
        <v>1261440000</v>
      </c>
      <c r="AF635" s="80">
        <f>AV635</f>
        <v>0.62857142857142867</v>
      </c>
      <c r="AG635" s="56">
        <f>((AW635-AV635)+(AX635-AW635)+(AY635-AX635)+(AZ635-AY635))/4</f>
        <v>-3.9495798319327743E-2</v>
      </c>
      <c r="AH635" s="4"/>
      <c r="AI635" s="56">
        <f>RSQ(AV635:AZ635,AV634:AZ634)</f>
        <v>0.87344096055965825</v>
      </c>
      <c r="AJ635" s="109">
        <f>SLOPE(AV635:AZ635,AV634:AZ634)</f>
        <v>-1.1704032775433666E-10</v>
      </c>
      <c r="AK635" s="56">
        <f>INTERCEPT(AV635:AZ635,AV634:AZ634)</f>
        <v>0.63635192383613237</v>
      </c>
      <c r="AL635" s="56">
        <f>INDEX(LINEST(LN(AV635:AZ635),LN(AV634:AZ634),TRUE,TRUE),3,1)</f>
        <v>0.86082901739918016</v>
      </c>
      <c r="AM635" s="56">
        <f>INDEX(LINEST(LN(AV635:AZ635),LN(AV634:AZ634)),1)</f>
        <v>-0.1217517685990107</v>
      </c>
      <c r="AN635" s="56">
        <f>EXP(INDEX(LINEST(LN(AV635:AZ635),LN(AV634:AZ634)),1,2))</f>
        <v>6.3670373636810425</v>
      </c>
      <c r="AO635" s="82">
        <f>INDEX(LINEST((AV635:AZ635),LN(AV634:AZ634),TRUE,TRUE),3,1)</f>
        <v>0.88155098032125712</v>
      </c>
      <c r="AP635" s="82">
        <f>INDEX(LINEST((AV635:AZ635),LN(AV634:AZ634)),1)</f>
        <v>-6.7432401778970405E-2</v>
      </c>
      <c r="AQ635" s="83">
        <f>INDEX(LINEST(LN(AV635:AZ635),SQRT(AV634:AZ634),TRUE,TRUE),3,1)</f>
        <v>0.88829232851164652</v>
      </c>
      <c r="AR635" s="116">
        <f>INDEX(LINEST(LN(AV635:AZ635),SQRT((AV634:AZ634))),1)</f>
        <v>-1.0899660875379E-5</v>
      </c>
      <c r="AS635" s="84">
        <f>INDEX(LINEST(1/(AV635:AZ635),1/(SQRT(AV634:AZ634)),TRUE,TRUE),3,1)</f>
        <v>0.76719224226146421</v>
      </c>
      <c r="AT635" s="84">
        <f>INDEX(LINEST(1/(AV635:AZ635),1/SQRT(AV634:AZ634)),1)</f>
        <v>-8576.894747886241</v>
      </c>
      <c r="AU635" s="3"/>
      <c r="AV635" s="53">
        <v>0.62857142857142867</v>
      </c>
      <c r="AW635" s="53">
        <v>0.58333333333333337</v>
      </c>
      <c r="AX635" s="53">
        <v>0.50769230769230766</v>
      </c>
      <c r="AY635" s="53">
        <v>0.53020134228187921</v>
      </c>
      <c r="AZ635" s="53">
        <v>0.4705882352941177</v>
      </c>
      <c r="BA635" s="11"/>
      <c r="BB635" s="11"/>
      <c r="BC635" s="11"/>
      <c r="BD635" s="11"/>
      <c r="BE635" s="11"/>
      <c r="BF635" s="11"/>
      <c r="BG635" s="11"/>
      <c r="BH635" s="11"/>
      <c r="BI635" s="11"/>
      <c r="BJ635" s="11"/>
      <c r="BK635" s="11"/>
      <c r="BL635" s="11"/>
      <c r="BM635" s="11"/>
      <c r="BN635" s="11"/>
      <c r="BO635" s="11"/>
      <c r="BP635" s="11"/>
      <c r="BQ635" s="11"/>
      <c r="BR635" s="11"/>
      <c r="BS635" s="11"/>
      <c r="BT635" s="11"/>
      <c r="BU635" s="11"/>
      <c r="BV635" s="11"/>
      <c r="BW635" s="11"/>
      <c r="BX635" s="11"/>
      <c r="BY635" s="11"/>
      <c r="BZ635" s="11"/>
      <c r="CA635" s="11"/>
      <c r="CB635" s="11"/>
      <c r="CC635" s="11"/>
      <c r="CD635" s="11"/>
      <c r="CE635" s="11"/>
      <c r="CF635" s="11"/>
      <c r="CG635" s="11"/>
      <c r="CH635" s="11"/>
      <c r="CI635" s="11"/>
      <c r="CJ635" s="11"/>
      <c r="CK635" s="11"/>
      <c r="CL635" s="11"/>
      <c r="CM635" s="11"/>
      <c r="CN635" s="11"/>
      <c r="CO635" s="11"/>
      <c r="CP635" s="11"/>
      <c r="CQ635" s="11"/>
      <c r="CR635" s="15"/>
      <c r="CS635" s="15"/>
      <c r="CT635" s="15"/>
      <c r="CU635" s="15"/>
    </row>
    <row r="636" spans="1:99" ht="12" customHeight="1" x14ac:dyDescent="0.2">
      <c r="A636" s="68">
        <v>43897</v>
      </c>
      <c r="B636" s="94"/>
      <c r="C636" s="94"/>
      <c r="D636" s="92"/>
      <c r="E636" s="87"/>
      <c r="F636" s="69"/>
      <c r="G636" s="69"/>
      <c r="H636" s="92"/>
      <c r="I636" s="69"/>
      <c r="J636" s="69"/>
      <c r="K636" s="107"/>
      <c r="L636" s="107"/>
      <c r="M636" s="69"/>
      <c r="N636" s="86"/>
      <c r="O636" s="69"/>
      <c r="P636" s="69"/>
      <c r="Q636" s="69"/>
      <c r="R636" s="69"/>
      <c r="S636" s="69"/>
      <c r="T636" s="69"/>
      <c r="U636" s="60"/>
      <c r="V636" s="69"/>
      <c r="W636" s="69"/>
      <c r="X636" s="69"/>
      <c r="Y636" s="87"/>
      <c r="Z636" s="92"/>
      <c r="AA636" s="92"/>
      <c r="AB636" s="69"/>
      <c r="AC636" s="72"/>
      <c r="AD636" s="69"/>
      <c r="AE636" s="69"/>
      <c r="AF636" s="88"/>
      <c r="AG636" s="72"/>
      <c r="AH636" s="4"/>
      <c r="AI636" s="72"/>
      <c r="AJ636" s="110"/>
      <c r="AK636" s="72"/>
      <c r="AL636" s="72"/>
      <c r="AM636" s="72"/>
      <c r="AN636" s="72"/>
      <c r="AO636" s="89"/>
      <c r="AP636" s="89"/>
      <c r="AQ636" s="90"/>
      <c r="AR636" s="117"/>
      <c r="AS636" s="91"/>
      <c r="AT636" s="91"/>
      <c r="AU636" s="3"/>
      <c r="AV636" s="71">
        <v>94608000</v>
      </c>
      <c r="AW636" s="71">
        <v>409968000</v>
      </c>
      <c r="AX636" s="71">
        <v>725328000</v>
      </c>
      <c r="AY636" s="71">
        <v>1040688000</v>
      </c>
      <c r="AZ636" s="71">
        <v>1324512000</v>
      </c>
      <c r="BA636" s="11"/>
      <c r="BB636" s="11"/>
      <c r="BC636" s="11"/>
      <c r="BD636" s="11"/>
      <c r="BE636" s="11"/>
      <c r="BF636" s="11"/>
      <c r="BG636" s="11"/>
      <c r="BH636" s="11"/>
      <c r="BI636" s="11"/>
      <c r="BJ636" s="11"/>
      <c r="BK636" s="11"/>
      <c r="BL636" s="11"/>
      <c r="BM636" s="11"/>
      <c r="BN636" s="11"/>
      <c r="BO636" s="11"/>
      <c r="BP636" s="11"/>
      <c r="BQ636" s="11"/>
      <c r="BR636" s="11"/>
      <c r="BS636" s="11"/>
      <c r="BT636" s="11"/>
      <c r="BU636" s="11"/>
      <c r="BV636" s="11"/>
      <c r="BW636" s="11"/>
      <c r="BX636" s="11"/>
      <c r="BY636" s="11"/>
      <c r="BZ636" s="11"/>
      <c r="CA636" s="11"/>
      <c r="CB636" s="11"/>
      <c r="CC636" s="11"/>
      <c r="CD636" s="11"/>
      <c r="CE636" s="11"/>
      <c r="CF636" s="11"/>
      <c r="CG636" s="11"/>
      <c r="CH636" s="11"/>
      <c r="CI636" s="11"/>
      <c r="CJ636" s="11"/>
      <c r="CK636" s="11"/>
      <c r="CL636" s="11"/>
      <c r="CM636" s="11"/>
      <c r="CN636" s="11"/>
      <c r="CO636" s="11"/>
      <c r="CP636" s="11"/>
      <c r="CQ636" s="11"/>
      <c r="CR636" s="15"/>
      <c r="CS636" s="15"/>
      <c r="CT636" s="15"/>
      <c r="CU636" s="15"/>
    </row>
    <row r="637" spans="1:99" ht="12" customHeight="1" x14ac:dyDescent="0.2">
      <c r="A637" s="68">
        <v>43897</v>
      </c>
      <c r="B637" s="94" t="s">
        <v>410</v>
      </c>
      <c r="C637" s="94" t="s">
        <v>401</v>
      </c>
      <c r="D637" s="92">
        <v>1989</v>
      </c>
      <c r="E637" s="87">
        <v>1</v>
      </c>
      <c r="F637" s="69">
        <v>8</v>
      </c>
      <c r="G637" s="69">
        <v>8</v>
      </c>
      <c r="H637" s="92" t="s">
        <v>50</v>
      </c>
      <c r="I637" s="69" t="s">
        <v>330</v>
      </c>
      <c r="J637" s="69" t="s">
        <v>342</v>
      </c>
      <c r="K637" s="69">
        <f>IF(J637="syllables",1,IF(J637="trigrams",2,IF(J637="strings",3,IF(J637="visual array",4,IF(J637="characters",5,IF(J637="letters",6,IF(J637="free forms",7,IF(J637="odors",8,IF(J637="words",9,IF(J637="pictures",10,IF(J637="object pictures",11,IF(J637="faces",12,IF(J637="names",13,IF(J637="idioms",14,IF(J637="grades",15,IF(J637="syllable-digit pairs",16,IF(J637="trigram-word pairs",17,IF(J637="word-digit pairs",18,IF(J637="English-Swahili pairs",19,IF(J637="spatial position",20,IF(J637="word pairs",21,IF(J637="word triads",22,IF(J637="generated words",23,IF(J637="word definition pairs",24,IF(J637="math problems",25,IF(J637="famous faces",26,IF(J637="famous names",27,IF(J637="famous voices",28,IF(J637="television programs",29,IF(J637="race horses",30,IF(J637="new vocabulary",31,IF(J637="sentences",32,IF(J637="concepts",33,IF(J637="ad slides",34,IF(J637="scenes",35,IF(J637="famous scenes",36,IF(J637="poems",37,IF(J637="walk",38,IF(J637="faces and events",39,IF(J637="events and names",40,IF(J637="flashbulb",41,IF(J637="stories",42,IF(J637="course material",43,IF(J637="autobiographical",44,IF(J637="novels",45,IF(J637="public events",46,"99"))))))))))))))))))))))))))))))))))))))))))))))</f>
        <v>26</v>
      </c>
      <c r="L637" s="69">
        <f>IF(J637="syllables",1,IF(J637="trigrams",1,IF(J637="strings",1,IF(J637="visual array",1,IF(J637="characters",1,IF(J637="letters",1,IF(J637="free forms",1,IF(J637="odors",2,IF(J637="words",2,IF(J637="pictures",2,IF(J637="object pictures",2,IF(J637="faces",2,IF(J637="names",2,IF(J637="idioms","2",IF(J637="grades",2,IF(J637="syllable-digit pairs",3,IF(J637="trigram-word pairs",3,IF(J637="word-digit pairs",3,IF(J637="English-Swahili pairs",3,IF(J637="spatial position",3,IF(J637="word pairs",4,IF(J637="word triads",4,IF(J637="generated words",4,IF(J637="word definition pairs",4,IF(J637="math problems",4,IF(J637="famous faces",4,IF(J637="famous names",4,IF(J637="famous voices",4,IF(J637="television programs",4,IF(J637="race horses",4,IF(J637="new vocabulary",4,IF(J637="sentences",5,IF(J637="concepts",5,IF(J637="ad slides",5,IF(J637="scenes",5,IF(J637="famous scenes",5,IF(J637="poems",6,IF(J637="walk",6,IF(J637="faces and events",6,IF(J637="events and names",6,IF(J637="flashbulb",7,IF(J637="stories",7,IF(J637="course material",7,IF(J637="autobiographical",7,IF(J637="novels",7,IF(J637="public events",7,"99"))))))))))))))))))))))))))))))))))))))))))))))</f>
        <v>4</v>
      </c>
      <c r="M637" s="69">
        <v>1</v>
      </c>
      <c r="N637" s="86">
        <v>2</v>
      </c>
      <c r="O637" s="69">
        <v>0</v>
      </c>
      <c r="P637" s="69"/>
      <c r="Q637" s="69" t="s">
        <v>34</v>
      </c>
      <c r="R637" s="69">
        <f>IF(Q637="Free Recall",1,IF(Q637="Cued Recall",2,IF(Q637="Recognition",3,IF(Q637="Multiple Choice",4,IF(Q637="Savings",5,IF(Q637="Stem Completion",6,IF(Q637="Fragment Completion",7,IF(Q637="anagram solution",8,IF(Q637="Matching",9,IF(Q637="Problem Solving",10,"99"))))))))))</f>
        <v>3</v>
      </c>
      <c r="S637" s="69" t="s">
        <v>15</v>
      </c>
      <c r="T637" s="92" t="s">
        <v>581</v>
      </c>
      <c r="U637" s="60">
        <f>IF(T637="within",1,0)</f>
        <v>1</v>
      </c>
      <c r="V637" s="92">
        <v>117</v>
      </c>
      <c r="W637" s="69">
        <f>F637*V637</f>
        <v>936</v>
      </c>
      <c r="X637" s="69">
        <v>5</v>
      </c>
      <c r="Y637" s="87">
        <f>AV636</f>
        <v>94608000</v>
      </c>
      <c r="Z637" s="69" t="s">
        <v>426</v>
      </c>
      <c r="AA637" s="69">
        <f>43*365*24*60*60</f>
        <v>1356048000</v>
      </c>
      <c r="AB637" s="69" t="str">
        <f>IF(AA637&lt;60,"1",IF(AA637&lt;=43200,"2",IF(AA637&lt;=777600,"3","4")))</f>
        <v>4</v>
      </c>
      <c r="AC637" s="72">
        <f>AVERAGE(AV636:DA636)</f>
        <v>719020800</v>
      </c>
      <c r="AD637" s="69" t="str">
        <f>IF(AC637&lt;60,"1",IF(AC637&lt;=43200,"2",IF(AC637&lt;=777600,"3","4")))</f>
        <v>4</v>
      </c>
      <c r="AE637" s="87">
        <f>AA637-Y637</f>
        <v>1261440000</v>
      </c>
      <c r="AF637" s="88">
        <f>AV637</f>
        <v>0.9242424242424242</v>
      </c>
      <c r="AG637" s="72">
        <f>((AW637-AV637)+(AX637-AW637)+(AY637-AX637)+(AZ637-AY637))/4</f>
        <v>-1.5374331550802117E-2</v>
      </c>
      <c r="AH637" s="4"/>
      <c r="AI637" s="72">
        <f>RSQ(AV637:AZ637,AV636:AZ636)</f>
        <v>0.7445346877895439</v>
      </c>
      <c r="AJ637" s="110">
        <f>SLOPE(AV637:AZ637,AV636:AZ636)</f>
        <v>-6.7939415194885644E-11</v>
      </c>
      <c r="AK637" s="72">
        <f>INTERCEPT(AV637:AZ637,AV636:AZ636)</f>
        <v>0.93570472146237216</v>
      </c>
      <c r="AL637" s="72">
        <f>INDEX(LINEST(LN(AV637:AZ637),LN(AV636:AZ636),TRUE,TRUE),3,1)</f>
        <v>0.6154072589570645</v>
      </c>
      <c r="AM637" s="72">
        <f>INDEX(LINEST(LN(AV637:AZ637),LN(AV636:AZ636)),1)</f>
        <v>-3.2643197617842429E-2</v>
      </c>
      <c r="AN637" s="72">
        <f>EXP(INDEX(LINEST(LN(AV637:AZ637),LN(AV636:AZ636)),1,2))</f>
        <v>1.7064587577554566</v>
      </c>
      <c r="AO637" s="89">
        <f>INDEX(LINEST((AV637:AZ637),LN(AV636:AZ636),TRUE,TRUE),3,1)</f>
        <v>0.62586279960006663</v>
      </c>
      <c r="AP637" s="89">
        <f>INDEX(LINEST((AV637:AZ637),LN(AV636:AZ636)),1)</f>
        <v>-2.8940387509412385E-2</v>
      </c>
      <c r="AQ637" s="90">
        <f>INDEX(LINEST(LN(AV637:AZ637),SQRT(AV636:AZ636),TRUE,TRUE),3,1)</f>
        <v>0.70445139869747797</v>
      </c>
      <c r="AR637" s="117">
        <f>INDEX(LINEST(LN(AV637:AZ637),SQRT((AV636:AZ636))),1)</f>
        <v>-3.4949253294466101E-6</v>
      </c>
      <c r="AS637" s="91">
        <f>INDEX(LINEST(1/(AV637:AZ637),1/(SQRT(AV636:AZ636)),TRUE,TRUE),3,1)</f>
        <v>0.49350204455660129</v>
      </c>
      <c r="AT637" s="91">
        <f>INDEX(LINEST(1/(AV637:AZ637),1/SQRT(AV636:AZ636)),1)</f>
        <v>-1132.6569170876721</v>
      </c>
      <c r="AU637" s="3"/>
      <c r="AV637" s="73">
        <v>0.9242424242424242</v>
      </c>
      <c r="AW637" s="73">
        <v>0.91860465116279078</v>
      </c>
      <c r="AX637" s="73">
        <v>0.89534883720930236</v>
      </c>
      <c r="AY637" s="73">
        <v>0.83333333333333337</v>
      </c>
      <c r="AZ637" s="73">
        <v>0.86274509803921573</v>
      </c>
      <c r="BA637" s="11"/>
      <c r="BB637" s="11"/>
      <c r="BC637" s="11"/>
      <c r="BD637" s="11"/>
      <c r="BE637" s="11"/>
      <c r="BF637" s="11"/>
      <c r="BG637" s="11"/>
      <c r="BH637" s="11"/>
      <c r="BI637" s="11"/>
      <c r="BJ637" s="11"/>
      <c r="BK637" s="11"/>
      <c r="BL637" s="11"/>
      <c r="BM637" s="11"/>
      <c r="BN637" s="11"/>
      <c r="BO637" s="11"/>
      <c r="BP637" s="11"/>
      <c r="BQ637" s="11"/>
      <c r="BR637" s="11"/>
      <c r="BS637" s="11"/>
      <c r="BT637" s="11"/>
      <c r="BU637" s="11"/>
      <c r="BV637" s="11"/>
      <c r="BW637" s="11"/>
      <c r="BX637" s="11"/>
      <c r="BY637" s="11"/>
      <c r="BZ637" s="11"/>
      <c r="CA637" s="11"/>
      <c r="CB637" s="11"/>
      <c r="CC637" s="11"/>
      <c r="CD637" s="11"/>
      <c r="CE637" s="11"/>
      <c r="CF637" s="11"/>
      <c r="CG637" s="11"/>
      <c r="CH637" s="11"/>
      <c r="CI637" s="11"/>
      <c r="CJ637" s="11"/>
      <c r="CK637" s="11"/>
      <c r="CL637" s="11"/>
      <c r="CM637" s="11"/>
      <c r="CN637" s="11"/>
      <c r="CO637" s="11"/>
      <c r="CP637" s="11"/>
      <c r="CQ637" s="11"/>
      <c r="CR637" s="15"/>
      <c r="CS637" s="15"/>
      <c r="CT637" s="15"/>
      <c r="CU637" s="15"/>
    </row>
    <row r="638" spans="1:99" s="13" customFormat="1" ht="12" customHeight="1" x14ac:dyDescent="0.2">
      <c r="A638" s="68">
        <v>43900</v>
      </c>
      <c r="B638" s="70"/>
      <c r="C638" s="70"/>
      <c r="D638" s="69"/>
      <c r="E638" s="87"/>
      <c r="F638" s="69"/>
      <c r="G638" s="69"/>
      <c r="H638" s="69"/>
      <c r="I638" s="69"/>
      <c r="J638" s="69"/>
      <c r="K638" s="107"/>
      <c r="L638" s="107"/>
      <c r="M638" s="69"/>
      <c r="N638" s="86"/>
      <c r="O638" s="69"/>
      <c r="P638" s="69"/>
      <c r="Q638" s="69"/>
      <c r="R638" s="69"/>
      <c r="S638" s="69"/>
      <c r="T638" s="69"/>
      <c r="U638" s="60"/>
      <c r="V638" s="69"/>
      <c r="W638" s="69"/>
      <c r="X638" s="69"/>
      <c r="Y638" s="87"/>
      <c r="Z638" s="69"/>
      <c r="AA638" s="69"/>
      <c r="AB638" s="69"/>
      <c r="AC638" s="72"/>
      <c r="AD638" s="69"/>
      <c r="AE638" s="69"/>
      <c r="AF638" s="88"/>
      <c r="AG638" s="72"/>
      <c r="AH638" s="4"/>
      <c r="AI638" s="72"/>
      <c r="AJ638" s="110"/>
      <c r="AK638" s="72"/>
      <c r="AL638" s="72"/>
      <c r="AM638" s="72"/>
      <c r="AN638" s="72"/>
      <c r="AO638" s="89"/>
      <c r="AP638" s="89"/>
      <c r="AQ638" s="90"/>
      <c r="AR638" s="117"/>
      <c r="AS638" s="91"/>
      <c r="AT638" s="91"/>
      <c r="AU638" s="3"/>
      <c r="AV638" s="71">
        <v>6307200</v>
      </c>
      <c r="AW638" s="71">
        <v>126144000</v>
      </c>
      <c r="AX638" s="71">
        <v>189216000</v>
      </c>
      <c r="AY638" s="71">
        <v>252880000</v>
      </c>
      <c r="AZ638" s="71">
        <v>315360000</v>
      </c>
      <c r="BA638" s="71">
        <v>378432000</v>
      </c>
      <c r="BB638" s="71">
        <v>441504000</v>
      </c>
      <c r="BC638" s="71">
        <v>504576000</v>
      </c>
      <c r="BD638" s="53"/>
      <c r="BE638" s="53"/>
      <c r="BF638" s="53"/>
      <c r="BG638" s="53"/>
      <c r="BH638" s="53"/>
      <c r="BI638" s="53"/>
      <c r="BJ638" s="53"/>
      <c r="BK638" s="53"/>
      <c r="BL638" s="53"/>
      <c r="BM638" s="53"/>
      <c r="BN638" s="53"/>
      <c r="BO638" s="53"/>
      <c r="BP638" s="53"/>
      <c r="BQ638" s="53"/>
      <c r="BR638" s="53"/>
      <c r="BS638" s="53"/>
      <c r="BT638" s="53"/>
      <c r="BU638" s="53"/>
      <c r="BV638" s="53"/>
      <c r="BW638" s="53"/>
      <c r="BX638" s="53"/>
      <c r="BY638" s="53"/>
      <c r="BZ638" s="53"/>
      <c r="CA638" s="53"/>
      <c r="CB638" s="53"/>
      <c r="CC638" s="53"/>
      <c r="CD638" s="53"/>
      <c r="CE638" s="53"/>
      <c r="CF638" s="53"/>
      <c r="CG638" s="53"/>
      <c r="CH638" s="53"/>
      <c r="CI638" s="53"/>
      <c r="CJ638" s="53"/>
      <c r="CK638" s="53"/>
      <c r="CL638" s="53"/>
      <c r="CM638" s="53"/>
      <c r="CN638" s="53"/>
      <c r="CO638" s="53"/>
      <c r="CP638" s="53"/>
      <c r="CQ638" s="53"/>
      <c r="CR638" s="1"/>
      <c r="CS638" s="1"/>
      <c r="CT638" s="1"/>
      <c r="CU638" s="1"/>
    </row>
    <row r="639" spans="1:99" s="13" customFormat="1" ht="12" customHeight="1" x14ac:dyDescent="0.2">
      <c r="A639" s="68">
        <v>43900</v>
      </c>
      <c r="B639" s="70" t="s">
        <v>420</v>
      </c>
      <c r="C639" s="70" t="s">
        <v>421</v>
      </c>
      <c r="D639" s="69">
        <v>1975</v>
      </c>
      <c r="E639" s="87">
        <v>1</v>
      </c>
      <c r="F639" s="69">
        <v>17</v>
      </c>
      <c r="G639" s="69">
        <v>17</v>
      </c>
      <c r="H639" s="69" t="s">
        <v>50</v>
      </c>
      <c r="I639" s="69" t="s">
        <v>422</v>
      </c>
      <c r="J639" s="69" t="s">
        <v>376</v>
      </c>
      <c r="K639" s="69">
        <f>IF(J639="syllables",1,IF(J639="trigrams",2,IF(J639="strings",3,IF(J639="visual array",4,IF(J639="characters",5,IF(J639="letters",6,IF(J639="free forms",7,IF(J639="odors",8,IF(J639="words",9,IF(J639="pictures",10,IF(J639="object pictures",11,IF(J639="faces",12,IF(J639="names",13,IF(J639="idioms",14,IF(J639="grades",15,IF(J639="syllable-digit pairs",16,IF(J639="trigram-word pairs",17,IF(J639="word-digit pairs",18,IF(J639="English-Swahili pairs",19,IF(J639="spatial position",20,IF(J639="word pairs",21,IF(J639="word triads",22,IF(J639="generated words",23,IF(J639="word definition pairs",24,IF(J639="math problems",25,IF(J639="famous faces",26,IF(J639="famous names",27,IF(J639="famous voices",28,IF(J639="television programs",29,IF(J639="race horses",30,IF(J639="new vocabulary",31,IF(J639="sentences",32,IF(J639="concepts",33,IF(J639="ad slides",34,IF(J639="scenes",35,IF(J639="famous scenes",36,IF(J639="poems",37,IF(J639="walk",38,IF(J639="faces and events",39,IF(J639="events and names",40,IF(J639="flashbulb",41,IF(J639="stories",42,IF(J639="course material",43,IF(J639="autobiographical",44,IF(J639="novels",45,IF(J639="public events",46,"99"))))))))))))))))))))))))))))))))))))))))))))))</f>
        <v>29</v>
      </c>
      <c r="L639" s="69">
        <f>IF(J639="syllables",1,IF(J639="trigrams",1,IF(J639="strings",1,IF(J639="visual array",1,IF(J639="characters",1,IF(J639="letters",1,IF(J639="free forms",1,IF(J639="odors",2,IF(J639="words",2,IF(J639="pictures",2,IF(J639="object pictures",2,IF(J639="faces",2,IF(J639="names",2,IF(J639="idioms","2",IF(J639="grades",2,IF(J639="syllable-digit pairs",3,IF(J639="trigram-word pairs",3,IF(J639="word-digit pairs",3,IF(J639="English-Swahili pairs",3,IF(J639="spatial position",3,IF(J639="word pairs",4,IF(J639="word triads",4,IF(J639="generated words",4,IF(J639="word definition pairs",4,IF(J639="math problems",4,IF(J639="famous faces",4,IF(J639="famous names",4,IF(J639="famous voices",4,IF(J639="television programs",4,IF(J639="race horses",4,IF(J639="new vocabulary",4,IF(J639="sentences",5,IF(J639="concepts",5,IF(J639="ad slides",5,IF(J639="scenes",5,IF(J639="famous scenes",5,IF(J639="poems",6,IF(J639="walk",6,IF(J639="faces and events",6,IF(J639="events and names",6,IF(J639="flashbulb",7,IF(J639="stories",7,IF(J639="course material",7,IF(J639="autobiographical",7,IF(J639="novels",7,IF(J639="public events",7,"99"))))))))))))))))))))))))))))))))))))))))))))))</f>
        <v>4</v>
      </c>
      <c r="M639" s="69">
        <v>1</v>
      </c>
      <c r="N639" s="86">
        <v>3</v>
      </c>
      <c r="O639" s="69">
        <v>0</v>
      </c>
      <c r="P639" s="69"/>
      <c r="Q639" s="69" t="s">
        <v>34</v>
      </c>
      <c r="R639" s="69">
        <f>IF(Q639="Free Recall",1,IF(Q639="Cued Recall",2,IF(Q639="Recognition",3,IF(Q639="Multiple Choice",4,IF(Q639="Savings",5,IF(Q639="Stem Completion",6,IF(Q639="Fragment Completion",7,IF(Q639="anagram solution",8,IF(Q639="Matching",9,IF(Q639="Problem Solving",10,"99"))))))))))</f>
        <v>3</v>
      </c>
      <c r="S639" s="69" t="s">
        <v>15</v>
      </c>
      <c r="T639" s="92" t="s">
        <v>581</v>
      </c>
      <c r="U639" s="60">
        <f>IF(T639="within",1,0)</f>
        <v>1</v>
      </c>
      <c r="V639" s="92">
        <v>213</v>
      </c>
      <c r="W639" s="69">
        <f>F639*V639</f>
        <v>3621</v>
      </c>
      <c r="X639" s="69">
        <v>8</v>
      </c>
      <c r="Y639" s="87">
        <f>AV638</f>
        <v>6307200</v>
      </c>
      <c r="Z639" s="69" t="s">
        <v>217</v>
      </c>
      <c r="AA639" s="69">
        <f>16*365*24*60*60</f>
        <v>504576000</v>
      </c>
      <c r="AB639" s="69" t="str">
        <f>IF(AA639&lt;60,"1",IF(AA639&lt;=43200,"2",IF(AA639&lt;=777600,"3","4")))</f>
        <v>4</v>
      </c>
      <c r="AC639" s="72">
        <f>AVERAGE(AV638:DA638)</f>
        <v>276802400</v>
      </c>
      <c r="AD639" s="69" t="str">
        <f>IF(AC639&lt;60,"1",IF(AC639&lt;=43200,"2",IF(AC639&lt;=777600,"3","4")))</f>
        <v>4</v>
      </c>
      <c r="AE639" s="87">
        <f>AA639-Y639</f>
        <v>498268800</v>
      </c>
      <c r="AF639" s="88">
        <f>AV639</f>
        <v>0.77</v>
      </c>
      <c r="AG639" s="72">
        <f>((AW639-AV639)+(AX639-AW639)+(AY639-AX639)+(AZ639-AY639)+(BA639-AZ639)+(BB639-BA639)+(BC639-BB639))/7</f>
        <v>-5.7142857142857148E-2</v>
      </c>
      <c r="AH639" s="4"/>
      <c r="AI639" s="72">
        <f>RSQ(AV639:BC639,AV638:BC638)</f>
        <v>0.84165197076778375</v>
      </c>
      <c r="AJ639" s="110">
        <f>SLOPE(AV639:BC639,AV638:BC638)</f>
        <v>-7.1302573686738804E-10</v>
      </c>
      <c r="AK639" s="72">
        <f>INTERCEPT(AV639:BC639,AV638:BC638)</f>
        <v>0.77486723522666145</v>
      </c>
      <c r="AL639" s="72">
        <f>INDEX(LINEST(LN(AV639:BC639),LN(AV638:BC638),TRUE,TRUE),3,1)</f>
        <v>0.55746450996835839</v>
      </c>
      <c r="AM639" s="72">
        <f>INDEX(LINEST(LN(AV639:BC639),LN(AV638:BC638)),1)</f>
        <v>-0.12062843784819145</v>
      </c>
      <c r="AN639" s="72">
        <f>EXP(INDEX(LINEST(LN(AV639:BC639),LN(AV638:BC638)),1,2))</f>
        <v>5.5842990177231622</v>
      </c>
      <c r="AO639" s="89">
        <f>INDEX(LINEST((AV639:BC639),LN(AV638:BC638),TRUE,TRUE),3,1)</f>
        <v>0.63276134437053455</v>
      </c>
      <c r="AP639" s="89">
        <f>INDEX(LINEST((AV639:BC639),LN(AV638:BC638)),1)</f>
        <v>-7.241424936809765E-2</v>
      </c>
      <c r="AQ639" s="90">
        <f>INDEX(LINEST(LN(AV639:BC639),SQRT(AV638:BC638),TRUE,TRUE),3,1)</f>
        <v>0.74457930315813836</v>
      </c>
      <c r="AR639" s="117">
        <f>INDEX(LINEST(LN(AV639:BC639),SQRT((AV638:BC638))),1)</f>
        <v>-3.0873369077025697E-5</v>
      </c>
      <c r="AS639" s="91">
        <f>INDEX(LINEST(1/(AV639:BC639),1/(SQRT(AV638:BC638)),TRUE,TRUE),3,1)</f>
        <v>0.31392980893542943</v>
      </c>
      <c r="AT639" s="91">
        <f>INDEX(LINEST(1/(AV639:BC639),1/SQRT(AV638:BC638)),1)</f>
        <v>-2023.0593240898297</v>
      </c>
      <c r="AU639" s="3"/>
      <c r="AV639" s="73">
        <v>0.77</v>
      </c>
      <c r="AW639" s="73">
        <v>0.75</v>
      </c>
      <c r="AX639" s="73">
        <v>0.59</v>
      </c>
      <c r="AY639" s="73">
        <v>0.53</v>
      </c>
      <c r="AZ639" s="73">
        <v>0.54</v>
      </c>
      <c r="BA639" s="73">
        <v>0.55000000000000004</v>
      </c>
      <c r="BB639" s="73">
        <v>0.52</v>
      </c>
      <c r="BC639" s="73">
        <v>0.37</v>
      </c>
      <c r="BD639" s="53"/>
      <c r="BE639" s="53"/>
      <c r="BF639" s="53"/>
      <c r="BG639" s="53"/>
      <c r="BH639" s="53"/>
      <c r="BI639" s="53"/>
      <c r="BJ639" s="53"/>
      <c r="BK639" s="53"/>
      <c r="BL639" s="53"/>
      <c r="BM639" s="53"/>
      <c r="BN639" s="53"/>
      <c r="BO639" s="53"/>
      <c r="BP639" s="53"/>
      <c r="BQ639" s="53"/>
      <c r="BR639" s="53"/>
      <c r="BS639" s="53"/>
      <c r="BT639" s="53"/>
      <c r="BU639" s="53"/>
      <c r="BV639" s="53"/>
      <c r="BW639" s="53"/>
      <c r="BX639" s="53"/>
      <c r="BY639" s="53"/>
      <c r="BZ639" s="53"/>
      <c r="CA639" s="53"/>
      <c r="CB639" s="53"/>
      <c r="CC639" s="53"/>
      <c r="CD639" s="53"/>
      <c r="CE639" s="53"/>
      <c r="CF639" s="53"/>
      <c r="CG639" s="53"/>
      <c r="CH639" s="53"/>
      <c r="CI639" s="53"/>
      <c r="CJ639" s="53"/>
      <c r="CK639" s="53"/>
      <c r="CL639" s="53"/>
      <c r="CM639" s="53"/>
      <c r="CN639" s="53"/>
      <c r="CO639" s="53"/>
      <c r="CP639" s="53"/>
      <c r="CQ639" s="53"/>
      <c r="CR639" s="1"/>
      <c r="CS639" s="1"/>
      <c r="CT639" s="1"/>
      <c r="CU639" s="1"/>
    </row>
    <row r="640" spans="1:99" s="13" customFormat="1" ht="12" customHeight="1" x14ac:dyDescent="0.2">
      <c r="A640" s="68">
        <v>43900</v>
      </c>
      <c r="B640" s="70"/>
      <c r="C640" s="70"/>
      <c r="D640" s="69"/>
      <c r="E640" s="87"/>
      <c r="F640" s="69"/>
      <c r="G640" s="69"/>
      <c r="H640" s="69"/>
      <c r="I640" s="69"/>
      <c r="J640" s="69"/>
      <c r="K640" s="107"/>
      <c r="L640" s="107"/>
      <c r="M640" s="69"/>
      <c r="N640" s="86"/>
      <c r="O640" s="69"/>
      <c r="P640" s="69"/>
      <c r="Q640" s="69"/>
      <c r="R640" s="69"/>
      <c r="S640" s="69"/>
      <c r="T640" s="69"/>
      <c r="U640" s="60"/>
      <c r="V640" s="69"/>
      <c r="W640" s="69"/>
      <c r="X640" s="69"/>
      <c r="Y640" s="87"/>
      <c r="Z640" s="69"/>
      <c r="AA640" s="69"/>
      <c r="AB640" s="69"/>
      <c r="AC640" s="72"/>
      <c r="AD640" s="69"/>
      <c r="AE640" s="69"/>
      <c r="AF640" s="88"/>
      <c r="AG640" s="72"/>
      <c r="AH640" s="4"/>
      <c r="AI640" s="72"/>
      <c r="AJ640" s="110"/>
      <c r="AK640" s="72"/>
      <c r="AL640" s="72"/>
      <c r="AM640" s="72"/>
      <c r="AN640" s="72"/>
      <c r="AO640" s="89"/>
      <c r="AP640" s="89"/>
      <c r="AQ640" s="90"/>
      <c r="AR640" s="117"/>
      <c r="AS640" s="91"/>
      <c r="AT640" s="91"/>
      <c r="AU640" s="3"/>
      <c r="AV640" s="71">
        <v>6307200</v>
      </c>
      <c r="AW640" s="71">
        <v>126144000</v>
      </c>
      <c r="AX640" s="71">
        <v>189216000</v>
      </c>
      <c r="AY640" s="71">
        <v>252880000</v>
      </c>
      <c r="AZ640" s="71">
        <v>315360000</v>
      </c>
      <c r="BA640" s="71">
        <v>378432000</v>
      </c>
      <c r="BB640" s="71">
        <v>441504000</v>
      </c>
      <c r="BC640" s="71">
        <v>504576000</v>
      </c>
      <c r="BD640" s="53"/>
      <c r="BE640" s="53"/>
      <c r="BF640" s="53"/>
      <c r="BG640" s="53"/>
      <c r="BH640" s="53"/>
      <c r="BI640" s="53"/>
      <c r="BJ640" s="53"/>
      <c r="BK640" s="53"/>
      <c r="BL640" s="53"/>
      <c r="BM640" s="53"/>
      <c r="BN640" s="53"/>
      <c r="BO640" s="53"/>
      <c r="BP640" s="53"/>
      <c r="BQ640" s="53"/>
      <c r="BR640" s="53"/>
      <c r="BS640" s="53"/>
      <c r="BT640" s="53"/>
      <c r="BU640" s="53"/>
      <c r="BV640" s="53"/>
      <c r="BW640" s="53"/>
      <c r="BX640" s="53"/>
      <c r="BY640" s="53"/>
      <c r="BZ640" s="53"/>
      <c r="CA640" s="53"/>
      <c r="CB640" s="53"/>
      <c r="CC640" s="53"/>
      <c r="CD640" s="53"/>
      <c r="CE640" s="53"/>
      <c r="CF640" s="53"/>
      <c r="CG640" s="53"/>
      <c r="CH640" s="53"/>
      <c r="CI640" s="53"/>
      <c r="CJ640" s="53"/>
      <c r="CK640" s="53"/>
      <c r="CL640" s="53"/>
      <c r="CM640" s="53"/>
      <c r="CN640" s="53"/>
      <c r="CO640" s="53"/>
      <c r="CP640" s="53"/>
      <c r="CQ640" s="53"/>
      <c r="CR640" s="1"/>
      <c r="CS640" s="1"/>
      <c r="CT640" s="1"/>
      <c r="CU640" s="1"/>
    </row>
    <row r="641" spans="1:99" s="13" customFormat="1" ht="12" customHeight="1" x14ac:dyDescent="0.2">
      <c r="A641" s="68">
        <v>43900</v>
      </c>
      <c r="B641" s="70" t="s">
        <v>420</v>
      </c>
      <c r="C641" s="70" t="s">
        <v>421</v>
      </c>
      <c r="D641" s="69">
        <v>1975</v>
      </c>
      <c r="E641" s="87">
        <v>1</v>
      </c>
      <c r="F641" s="69">
        <v>42</v>
      </c>
      <c r="G641" s="69">
        <v>42</v>
      </c>
      <c r="H641" s="69" t="s">
        <v>41</v>
      </c>
      <c r="I641" s="69" t="s">
        <v>422</v>
      </c>
      <c r="J641" s="69" t="s">
        <v>423</v>
      </c>
      <c r="K641" s="69">
        <f>IF(J641="syllables",1,IF(J641="trigrams",2,IF(J641="strings",3,IF(J641="visual array",4,IF(J641="characters",5,IF(J641="letters",6,IF(J641="free forms",7,IF(J641="odors",8,IF(J641="words",9,IF(J641="pictures",10,IF(J641="object pictures",11,IF(J641="faces",12,IF(J641="names",13,IF(J641="idioms",14,IF(J641="grades",15,IF(J641="syllable-digit pairs",16,IF(J641="trigram-word pairs",17,IF(J641="word-digit pairs",18,IF(J641="English-Swahili pairs",19,IF(J641="spatial position",20,IF(J641="word pairs",21,IF(J641="word triads",22,IF(J641="generated words",23,IF(J641="word definition pairs",24,IF(J641="math problems",25,IF(J641="famous faces",26,IF(J641="famous names",27,IF(J641="famous voices",28,IF(J641="television programs",29,IF(J641="race horses",30,IF(J641="new vocabulary",31,IF(J641="sentences",32,IF(J641="concepts",33,IF(J641="ad slides",34,IF(J641="scenes",35,IF(J641="famous scenes",36,IF(J641="poems",37,IF(J641="walk",38,IF(J641="faces and events",39,IF(J641="events and names",40,IF(J641="flashbulb",41,IF(J641="stories",42,IF(J641="course material",43,IF(J641="autobiographical",44,IF(J641="novels",45,IF(J641="public events",46,"99"))))))))))))))))))))))))))))))))))))))))))))))</f>
        <v>30</v>
      </c>
      <c r="L641" s="69">
        <f>IF(J641="syllables",1,IF(J641="trigrams",1,IF(J641="strings",1,IF(J641="visual array",1,IF(J641="characters",1,IF(J641="letters",1,IF(J641="free forms",1,IF(J641="odors",2,IF(J641="words",2,IF(J641="pictures",2,IF(J641="object pictures",2,IF(J641="faces",2,IF(J641="names",2,IF(J641="idioms","2",IF(J641="grades",2,IF(J641="syllable-digit pairs",3,IF(J641="trigram-word pairs",3,IF(J641="word-digit pairs",3,IF(J641="English-Swahili pairs",3,IF(J641="spatial position",3,IF(J641="word pairs",4,IF(J641="word triads",4,IF(J641="generated words",4,IF(J641="word definition pairs",4,IF(J641="math problems",4,IF(J641="famous faces",4,IF(J641="famous names",4,IF(J641="famous voices",4,IF(J641="television programs",4,IF(J641="race horses",4,IF(J641="new vocabulary",4,IF(J641="sentences",5,IF(J641="concepts",5,IF(J641="ad slides",5,IF(J641="scenes",5,IF(J641="famous scenes",5,IF(J641="poems",6,IF(J641="walk",6,IF(J641="faces and events",6,IF(J641="events and names",6,IF(J641="flashbulb",7,IF(J641="stories",7,IF(J641="course material",7,IF(J641="autobiographical",7,IF(J641="novels",7,IF(J641="public events",7,"99"))))))))))))))))))))))))))))))))))))))))))))))</f>
        <v>4</v>
      </c>
      <c r="M641" s="69">
        <v>1</v>
      </c>
      <c r="N641" s="86">
        <v>3</v>
      </c>
      <c r="O641" s="69">
        <v>0</v>
      </c>
      <c r="P641" s="69"/>
      <c r="Q641" s="69" t="s">
        <v>34</v>
      </c>
      <c r="R641" s="69">
        <f>IF(Q641="Free Recall",1,IF(Q641="Cued Recall",2,IF(Q641="Recognition",3,IF(Q641="Multiple Choice",4,IF(Q641="Savings",5,IF(Q641="Stem Completion",6,IF(Q641="Fragment Completion",7,IF(Q641="anagram solution",8,IF(Q641="Matching",9,IF(Q641="Problem Solving",10,"99"))))))))))</f>
        <v>3</v>
      </c>
      <c r="S641" s="69" t="s">
        <v>15</v>
      </c>
      <c r="T641" s="92" t="s">
        <v>581</v>
      </c>
      <c r="U641" s="60">
        <f>IF(T641="within",1,0)</f>
        <v>1</v>
      </c>
      <c r="V641" s="92">
        <v>39</v>
      </c>
      <c r="W641" s="69">
        <f>F641*V641</f>
        <v>1638</v>
      </c>
      <c r="X641" s="69">
        <v>8</v>
      </c>
      <c r="Y641" s="87">
        <f>AV640</f>
        <v>6307200</v>
      </c>
      <c r="Z641" s="69" t="s">
        <v>217</v>
      </c>
      <c r="AA641" s="69">
        <f>16*365*24*60*60</f>
        <v>504576000</v>
      </c>
      <c r="AB641" s="69" t="str">
        <f>IF(AA641&lt;60,"1",IF(AA641&lt;=43200,"2",IF(AA641&lt;=777600,"3","4")))</f>
        <v>4</v>
      </c>
      <c r="AC641" s="72">
        <f>AVERAGE(AV640:DA640)</f>
        <v>276802400</v>
      </c>
      <c r="AD641" s="69" t="str">
        <f>IF(AC641&lt;60,"1",IF(AC641&lt;=43200,"2",IF(AC641&lt;=777600,"3","4")))</f>
        <v>4</v>
      </c>
      <c r="AE641" s="87">
        <f>AA641-Y641</f>
        <v>498268800</v>
      </c>
      <c r="AF641" s="88">
        <f>AV641</f>
        <v>0.52</v>
      </c>
      <c r="AG641" s="72">
        <f>((AW641-AV641)+(AX641-AW641)+(AY641-AX641)+(AZ641-AY641)+(BA641-AZ641)+(BB641-BA641)+(BC641-BB641))/7</f>
        <v>-1.428571428571429E-2</v>
      </c>
      <c r="AH641" s="4"/>
      <c r="AI641" s="72">
        <f>RSQ(AV641:BC641,AV640:BC640)</f>
        <v>0.41485514313612515</v>
      </c>
      <c r="AJ641" s="110">
        <f>SLOPE(AV641:BC641,AV640:BC640)</f>
        <v>-2.1140553926577457E-10</v>
      </c>
      <c r="AK641" s="72">
        <f>INTERCEPT(AV641:BC641,AV640:BC640)</f>
        <v>0.50851756064206066</v>
      </c>
      <c r="AL641" s="72">
        <f>INDEX(LINEST(LN(AV641:BC641),LN(AV640:BC640),TRUE,TRUE),3,1)</f>
        <v>0.43017657743839155</v>
      </c>
      <c r="AM641" s="72">
        <f>INDEX(LINEST(LN(AV641:BC641),LN(AV640:BC640)),1)</f>
        <v>-5.3262785369837355E-2</v>
      </c>
      <c r="AN641" s="72">
        <f>EXP(INDEX(LINEST(LN(AV641:BC641),LN(AV640:BC640)),1,2))</f>
        <v>1.2303644974538894</v>
      </c>
      <c r="AO641" s="89">
        <f>INDEX(LINEST((AV641:BC641),LN(AV640:BC640),TRUE,TRUE),3,1)</f>
        <v>0.42721848718458738</v>
      </c>
      <c r="AP641" s="89">
        <f>INDEX(LINEST((AV641:BC641),LN(AV640:BC640)),1)</f>
        <v>-2.5128020144778281E-2</v>
      </c>
      <c r="AQ641" s="90">
        <f>INDEX(LINEST(LN(AV641:BC641),SQRT(AV640:BC640),TRUE,TRUE),3,1)</f>
        <v>0.46427879106537523</v>
      </c>
      <c r="AR641" s="117">
        <f>INDEX(LINEST(LN(AV641:BC641),SQRT((AV640:BC640))),1)</f>
        <v>-1.2253985710145961E-5</v>
      </c>
      <c r="AS641" s="91">
        <f>INDEX(LINEST(1/(AV641:BC641),1/(SQRT(AV640:BC640)),TRUE,TRUE),3,1)</f>
        <v>0.35264088979053837</v>
      </c>
      <c r="AT641" s="91">
        <f>INDEX(LINEST(1/(AV641:BC641),1/SQRT(AV640:BC640)),1)</f>
        <v>-1215.8032699521555</v>
      </c>
      <c r="AU641" s="3"/>
      <c r="AV641" s="73">
        <v>0.52</v>
      </c>
      <c r="AW641" s="73">
        <v>0.55000000000000004</v>
      </c>
      <c r="AX641" s="73">
        <v>0.41</v>
      </c>
      <c r="AY641" s="73">
        <v>0.41</v>
      </c>
      <c r="AZ641" s="73">
        <v>0.41</v>
      </c>
      <c r="BA641" s="73">
        <v>0.45</v>
      </c>
      <c r="BB641" s="73">
        <v>0.43</v>
      </c>
      <c r="BC641" s="73">
        <v>0.42</v>
      </c>
      <c r="BD641" s="53"/>
      <c r="BE641" s="53"/>
      <c r="BF641" s="53"/>
      <c r="BG641" s="53"/>
      <c r="BH641" s="53"/>
      <c r="BI641" s="53"/>
      <c r="BJ641" s="53"/>
      <c r="BK641" s="53"/>
      <c r="BL641" s="53"/>
      <c r="BM641" s="53"/>
      <c r="BN641" s="53"/>
      <c r="BO641" s="53"/>
      <c r="BP641" s="53"/>
      <c r="BQ641" s="53"/>
      <c r="BR641" s="53"/>
      <c r="BS641" s="53"/>
      <c r="BT641" s="53"/>
      <c r="BU641" s="53"/>
      <c r="BV641" s="53"/>
      <c r="BW641" s="53"/>
      <c r="BX641" s="53"/>
      <c r="BY641" s="53"/>
      <c r="BZ641" s="53"/>
      <c r="CA641" s="53"/>
      <c r="CB641" s="53"/>
      <c r="CC641" s="53"/>
      <c r="CD641" s="53"/>
      <c r="CE641" s="53"/>
      <c r="CF641" s="53"/>
      <c r="CG641" s="53"/>
      <c r="CH641" s="53"/>
      <c r="CI641" s="53"/>
      <c r="CJ641" s="53"/>
      <c r="CK641" s="53"/>
      <c r="CL641" s="53"/>
      <c r="CM641" s="53"/>
      <c r="CN641" s="53"/>
      <c r="CO641" s="53"/>
      <c r="CP641" s="53"/>
      <c r="CQ641" s="53"/>
      <c r="CR641" s="1"/>
      <c r="CS641" s="1"/>
      <c r="CT641" s="1"/>
      <c r="CU641" s="1"/>
    </row>
    <row r="642" spans="1:99" s="13" customFormat="1" ht="12" customHeight="1" x14ac:dyDescent="0.2">
      <c r="A642" s="65">
        <v>43897</v>
      </c>
      <c r="B642" s="22"/>
      <c r="C642" s="1"/>
      <c r="D642" s="60"/>
      <c r="E642" s="76"/>
      <c r="F642" s="60"/>
      <c r="G642" s="60"/>
      <c r="H642" s="60"/>
      <c r="I642" s="60"/>
      <c r="J642" s="60"/>
      <c r="K642" s="64"/>
      <c r="L642" s="64"/>
      <c r="M642" s="60"/>
      <c r="N642" s="61"/>
      <c r="O642" s="60"/>
      <c r="P642" s="60"/>
      <c r="Q642" s="60"/>
      <c r="R642" s="60"/>
      <c r="S642" s="60"/>
      <c r="T642" s="60"/>
      <c r="U642" s="60"/>
      <c r="V642" s="60"/>
      <c r="W642" s="60"/>
      <c r="X642" s="60"/>
      <c r="Y642" s="76"/>
      <c r="Z642" s="60"/>
      <c r="AA642" s="60"/>
      <c r="AB642" s="60"/>
      <c r="AC642" s="56"/>
      <c r="AD642" s="60"/>
      <c r="AE642" s="60"/>
      <c r="AF642" s="80"/>
      <c r="AG642" s="56"/>
      <c r="AH642" s="4"/>
      <c r="AI642" s="56"/>
      <c r="AJ642" s="109"/>
      <c r="AK642" s="56"/>
      <c r="AL642" s="56"/>
      <c r="AM642" s="56"/>
      <c r="AN642" s="56"/>
      <c r="AO642" s="56"/>
      <c r="AP642" s="56"/>
      <c r="AQ642" s="56"/>
      <c r="AR642" s="109"/>
      <c r="AS642" s="56"/>
      <c r="AT642" s="56"/>
      <c r="AU642" s="5"/>
      <c r="AV642" s="25">
        <v>94608000</v>
      </c>
      <c r="AW642" s="25">
        <v>409968000</v>
      </c>
      <c r="AX642" s="25">
        <v>725328000</v>
      </c>
      <c r="AY642" s="53"/>
      <c r="AZ642" s="53"/>
      <c r="BA642" s="53"/>
      <c r="BB642" s="53"/>
      <c r="BC642" s="53"/>
      <c r="BD642" s="53"/>
      <c r="BE642" s="53"/>
      <c r="BF642" s="53"/>
      <c r="BG642" s="53"/>
      <c r="BH642" s="53"/>
      <c r="BI642" s="53"/>
      <c r="BJ642" s="53"/>
      <c r="BK642" s="53"/>
      <c r="BL642" s="53"/>
      <c r="BM642" s="53"/>
      <c r="BN642" s="53"/>
      <c r="BO642" s="53"/>
      <c r="BP642" s="53"/>
      <c r="BQ642" s="53"/>
      <c r="BR642" s="53"/>
      <c r="BS642" s="53"/>
      <c r="BT642" s="53"/>
      <c r="BU642" s="53"/>
      <c r="BV642" s="53"/>
      <c r="BW642" s="53"/>
      <c r="BX642" s="53"/>
      <c r="BY642" s="53"/>
      <c r="BZ642" s="53"/>
      <c r="CA642" s="53"/>
      <c r="CB642" s="53"/>
      <c r="CC642" s="53"/>
      <c r="CD642" s="53"/>
      <c r="CE642" s="53"/>
      <c r="CF642" s="53"/>
      <c r="CG642" s="53"/>
      <c r="CH642" s="53"/>
      <c r="CI642" s="53"/>
      <c r="CJ642" s="53"/>
      <c r="CK642" s="53"/>
      <c r="CL642" s="53"/>
      <c r="CM642" s="53"/>
      <c r="CN642" s="53"/>
      <c r="CO642" s="53"/>
      <c r="CP642" s="53"/>
      <c r="CQ642" s="53"/>
      <c r="CR642" s="1"/>
      <c r="CS642" s="1"/>
      <c r="CT642" s="1"/>
      <c r="CU642" s="1"/>
    </row>
    <row r="643" spans="1:99" s="13" customFormat="1" ht="12" customHeight="1" x14ac:dyDescent="0.2">
      <c r="A643" s="65">
        <v>43897</v>
      </c>
      <c r="B643" s="22" t="s">
        <v>411</v>
      </c>
      <c r="C643" s="22" t="s">
        <v>54</v>
      </c>
      <c r="D643" s="66">
        <v>1978</v>
      </c>
      <c r="E643" s="76">
        <v>1</v>
      </c>
      <c r="F643" s="60">
        <v>7</v>
      </c>
      <c r="G643" s="60">
        <v>7</v>
      </c>
      <c r="H643" s="60" t="s">
        <v>41</v>
      </c>
      <c r="I643" s="60" t="s">
        <v>330</v>
      </c>
      <c r="J643" s="60" t="s">
        <v>340</v>
      </c>
      <c r="K643" s="60">
        <f>IF(J643="syllables",1,IF(J643="trigrams",2,IF(J643="strings",3,IF(J643="visual array",4,IF(J643="characters",5,IF(J643="letters",6,IF(J643="free forms",7,IF(J643="odors",8,IF(J643="words",9,IF(J643="pictures",10,IF(J643="object pictures",11,IF(J643="faces",12,IF(J643="names",13,IF(J643="idioms",14,IF(J643="grades",15,IF(J643="syllable-digit pairs",16,IF(J643="trigram-word pairs",17,IF(J643="word-digit pairs",18,IF(J643="English-Swahili pairs",19,IF(J643="spatial position",20,IF(J643="word pairs",21,IF(J643="word triads",22,IF(J643="generated words",23,IF(J643="word definition pairs",24,IF(J643="math problems",25,IF(J643="famous faces",26,IF(J643="famous names",27,IF(J643="famous voices",28,IF(J643="television programs",29,IF(J643="race horses",30,IF(J643="new vocabulary",31,IF(J643="sentences",32,IF(J643="concepts",33,IF(J643="ad slides",34,IF(J643="scenes",35,IF(J643="famous scenes",36,IF(J643="poems",37,IF(J643="walk",38,IF(J643="faces and events",39,IF(J643="events and names",40,IF(J643="flashbulb",41,IF(J643="stories",42,IF(J643="course material",43,IF(J643="autobiographical",44,IF(J643="novels",45,IF(J643="public events",46,"99"))))))))))))))))))))))))))))))))))))))))))))))</f>
        <v>46</v>
      </c>
      <c r="L643" s="60">
        <f>IF(J643="syllables",1,IF(J643="trigrams",1,IF(J643="strings",1,IF(J643="visual array",1,IF(J643="characters",1,IF(J643="letters",1,IF(J643="free forms",1,IF(J643="odors",2,IF(J643="words",2,IF(J643="pictures",2,IF(J643="object pictures",2,IF(J643="faces",2,IF(J643="names",2,IF(J643="idioms","2",IF(J643="grades",2,IF(J643="syllable-digit pairs",3,IF(J643="trigram-word pairs",3,IF(J643="word-digit pairs",3,IF(J643="English-Swahili pairs",3,IF(J643="spatial position",3,IF(J643="word pairs",4,IF(J643="word triads",4,IF(J643="generated words",4,IF(J643="word definition pairs",4,IF(J643="math problems",4,IF(J643="famous faces",4,IF(J643="famous names",4,IF(J643="famous voices",4,IF(J643="television programs",4,IF(J643="race horses",4,IF(J643="new vocabulary",4,IF(J643="sentences",5,IF(J643="concepts",5,IF(J643="ad slides",5,IF(J643="scenes",5,IF(J643="famous scenes",5,IF(J643="poems",6,IF(J643="walk",6,IF(J643="faces and events",6,IF(J643="events and names",6,IF(J643="flashbulb",7,IF(J643="stories",7,IF(J643="course material",7,IF(J643="autobiographical",7,IF(J643="novels",7,IF(J643="public events",7,"99"))))))))))))))))))))))))))))))))))))))))))))))</f>
        <v>7</v>
      </c>
      <c r="M643" s="60">
        <v>1</v>
      </c>
      <c r="N643" s="61">
        <v>4</v>
      </c>
      <c r="O643" s="60">
        <v>0</v>
      </c>
      <c r="P643" s="60"/>
      <c r="Q643" s="60" t="s">
        <v>34</v>
      </c>
      <c r="R643" s="60">
        <f>IF(Q643="Free Recall",1,IF(Q643="Cued Recall",2,IF(Q643="Recognition",3,IF(Q643="Multiple Choice",4,IF(Q643="Savings",5,IF(Q643="Stem Completion",6,IF(Q643="Fragment Completion",7,IF(Q643="anagram solution",8,IF(Q643="Matching",9,IF(Q643="Problem Solving",10,"99"))))))))))</f>
        <v>3</v>
      </c>
      <c r="S643" s="60" t="s">
        <v>15</v>
      </c>
      <c r="T643" s="59" t="s">
        <v>581</v>
      </c>
      <c r="U643" s="60">
        <f>IF(T643="within",1,0)</f>
        <v>1</v>
      </c>
      <c r="V643" s="59">
        <v>23</v>
      </c>
      <c r="W643" s="60">
        <f>F643*V643</f>
        <v>161</v>
      </c>
      <c r="X643" s="60">
        <v>3</v>
      </c>
      <c r="Y643" s="76">
        <f>AV642</f>
        <v>94608000</v>
      </c>
      <c r="Z643" s="59" t="s">
        <v>432</v>
      </c>
      <c r="AA643" s="60">
        <f>23*365*24*60*60</f>
        <v>725328000</v>
      </c>
      <c r="AB643" s="60" t="str">
        <f>IF(AA643&lt;60,"1",IF(AA643&lt;=43200,"2",IF(AA643&lt;=777600,"3","4")))</f>
        <v>4</v>
      </c>
      <c r="AC643" s="56">
        <f>AVERAGE(AV642:DA642)</f>
        <v>409968000</v>
      </c>
      <c r="AD643" s="60" t="str">
        <f>IF(AC643&lt;60,"1",IF(AC643&lt;=43200,"2",IF(AC643&lt;=777600,"3","4")))</f>
        <v>4</v>
      </c>
      <c r="AE643" s="76">
        <f>AA643-Y643</f>
        <v>630720000</v>
      </c>
      <c r="AF643" s="80">
        <f>AV643</f>
        <v>0.9009009009009008</v>
      </c>
      <c r="AG643" s="56">
        <f>((AW643-AV643)+(AX643-AW643))/2</f>
        <v>-0.25045045045045045</v>
      </c>
      <c r="AH643" s="4"/>
      <c r="AI643" s="56">
        <f>RSQ(AV643:AX643,AV642:AX642)</f>
        <v>0.8409828939352354</v>
      </c>
      <c r="AJ643" s="109">
        <f>SLOPE(AV643:AX643,AV642:AX642)</f>
        <v>-7.9417316860239214E-10</v>
      </c>
      <c r="AK643" s="56">
        <f>INTERCEPT(AV643:AX643,AV642:AX642)</f>
        <v>1.0389127058092575</v>
      </c>
      <c r="AL643" s="56">
        <f>INDEX(LINEST(LN(AV643:AX643),LN(AV642:AX642),TRUE,TRUE),3,1)</f>
        <v>0.59175143297794408</v>
      </c>
      <c r="AM643" s="56">
        <f>INDEX(LINEST(LN(AV643:AX643),LN(AV642:AX642)),1)</f>
        <v>-0.32918904841306779</v>
      </c>
      <c r="AN643" s="56">
        <f>EXP(INDEX(LINEST(LN(AV643:AX643),LN(AV642:AX642)),1,2))</f>
        <v>416.27551107417361</v>
      </c>
      <c r="AO643" s="82">
        <f>INDEX(LINEST((AV643:AX643),LN(AV642:AX642),TRUE,TRUE),3,1)</f>
        <v>0.62522034398677628</v>
      </c>
      <c r="AP643" s="82">
        <f>INDEX(LINEST((AV643:AX643),LN(AV642:AX642)),1)</f>
        <v>-0.20551432330535421</v>
      </c>
      <c r="AQ643" s="83">
        <f>INDEX(LINEST(LN(AV643:AX643),SQRT(AV642:AX642),TRUE,TRUE),3,1)</f>
        <v>0.70651195556299196</v>
      </c>
      <c r="AR643" s="116">
        <f>INDEX(LINEST(LN(AV643:AX643),SQRT((AV642:AX642))),1)</f>
        <v>-4.3574981825090494E-5</v>
      </c>
      <c r="AS643" s="84">
        <f>INDEX(LINEST(1/(AV643:AX643),1/(SQRT(AV642:AX642)),TRUE,TRUE),3,1)</f>
        <v>0.46708065521575803</v>
      </c>
      <c r="AT643" s="84">
        <f>INDEX(LINEST(1/(AV643:AX643),1/SQRT(AV642:AX642)),1)</f>
        <v>-15263.761375494571</v>
      </c>
      <c r="AU643" s="3"/>
      <c r="AV643" s="53">
        <v>0.9009009009009008</v>
      </c>
      <c r="AW643" s="53">
        <v>0.83908045977011492</v>
      </c>
      <c r="AX643" s="53">
        <v>0.39999999999999997</v>
      </c>
      <c r="AY643" s="53"/>
      <c r="AZ643" s="53"/>
      <c r="BA643" s="53"/>
      <c r="BB643" s="53"/>
      <c r="BC643" s="53"/>
      <c r="BD643" s="53"/>
      <c r="BE643" s="53"/>
      <c r="BF643" s="53"/>
      <c r="BG643" s="53"/>
      <c r="BH643" s="53"/>
      <c r="BI643" s="53"/>
      <c r="BJ643" s="53"/>
      <c r="BK643" s="53"/>
      <c r="BL643" s="53"/>
      <c r="BM643" s="53"/>
      <c r="BN643" s="53"/>
      <c r="BO643" s="53"/>
      <c r="BP643" s="53"/>
      <c r="BQ643" s="53"/>
      <c r="BR643" s="53"/>
      <c r="BS643" s="53"/>
      <c r="BT643" s="53"/>
      <c r="BU643" s="53"/>
      <c r="BV643" s="53"/>
      <c r="BW643" s="53"/>
      <c r="BX643" s="53"/>
      <c r="BY643" s="53"/>
      <c r="BZ643" s="53"/>
      <c r="CA643" s="53"/>
      <c r="CB643" s="53"/>
      <c r="CC643" s="53"/>
      <c r="CD643" s="53"/>
      <c r="CE643" s="53"/>
      <c r="CF643" s="53"/>
      <c r="CG643" s="53"/>
      <c r="CH643" s="53"/>
      <c r="CI643" s="53"/>
      <c r="CJ643" s="53"/>
      <c r="CK643" s="53"/>
      <c r="CL643" s="53"/>
      <c r="CM643" s="53"/>
      <c r="CN643" s="53"/>
      <c r="CO643" s="53"/>
      <c r="CP643" s="53"/>
      <c r="CQ643" s="53"/>
      <c r="CR643" s="1"/>
      <c r="CS643" s="1"/>
      <c r="CT643" s="1"/>
      <c r="CU643" s="1"/>
    </row>
    <row r="644" spans="1:99" s="13" customFormat="1" ht="12" customHeight="1" x14ac:dyDescent="0.2">
      <c r="A644" s="65">
        <v>43897</v>
      </c>
      <c r="B644" s="22"/>
      <c r="C644" s="1"/>
      <c r="D644" s="60"/>
      <c r="E644" s="76"/>
      <c r="F644" s="60"/>
      <c r="G644" s="60"/>
      <c r="H644" s="60"/>
      <c r="I644" s="60"/>
      <c r="J644" s="60"/>
      <c r="K644" s="64"/>
      <c r="L644" s="64"/>
      <c r="M644" s="60"/>
      <c r="N644" s="61"/>
      <c r="O644" s="60"/>
      <c r="P644" s="60"/>
      <c r="Q644" s="60"/>
      <c r="R644" s="60"/>
      <c r="S644" s="60"/>
      <c r="T644" s="60"/>
      <c r="U644" s="60"/>
      <c r="V644" s="60"/>
      <c r="W644" s="60"/>
      <c r="X644" s="60"/>
      <c r="Y644" s="76"/>
      <c r="Z644" s="60"/>
      <c r="AA644" s="60"/>
      <c r="AB644" s="60"/>
      <c r="AC644" s="56"/>
      <c r="AD644" s="60"/>
      <c r="AE644" s="60"/>
      <c r="AF644" s="80"/>
      <c r="AG644" s="56"/>
      <c r="AH644" s="4"/>
      <c r="AI644" s="56"/>
      <c r="AJ644" s="109"/>
      <c r="AK644" s="56"/>
      <c r="AL644" s="56"/>
      <c r="AM644" s="56"/>
      <c r="AN644" s="56"/>
      <c r="AO644" s="56"/>
      <c r="AP644" s="56"/>
      <c r="AQ644" s="56"/>
      <c r="AR644" s="109"/>
      <c r="AS644" s="56"/>
      <c r="AT644" s="56"/>
      <c r="AU644" s="5"/>
      <c r="AV644" s="25">
        <v>94608000</v>
      </c>
      <c r="AW644" s="25">
        <v>409968000</v>
      </c>
      <c r="AX644" s="25">
        <v>725328000</v>
      </c>
      <c r="AY644" s="53"/>
      <c r="AZ644" s="53"/>
      <c r="BA644" s="53"/>
      <c r="BB644" s="53"/>
      <c r="BC644" s="53"/>
      <c r="BD644" s="53"/>
      <c r="BE644" s="53"/>
      <c r="BF644" s="53"/>
      <c r="BG644" s="53"/>
      <c r="BH644" s="53"/>
      <c r="BI644" s="53"/>
      <c r="BJ644" s="53"/>
      <c r="BK644" s="53"/>
      <c r="BL644" s="53"/>
      <c r="BM644" s="53"/>
      <c r="BN644" s="53"/>
      <c r="BO644" s="53"/>
      <c r="BP644" s="53"/>
      <c r="BQ644" s="53"/>
      <c r="BR644" s="53"/>
      <c r="BS644" s="53"/>
      <c r="BT644" s="53"/>
      <c r="BU644" s="53"/>
      <c r="BV644" s="53"/>
      <c r="BW644" s="53"/>
      <c r="BX644" s="53"/>
      <c r="BY644" s="53"/>
      <c r="BZ644" s="53"/>
      <c r="CA644" s="53"/>
      <c r="CB644" s="53"/>
      <c r="CC644" s="53"/>
      <c r="CD644" s="53"/>
      <c r="CE644" s="53"/>
      <c r="CF644" s="53"/>
      <c r="CG644" s="53"/>
      <c r="CH644" s="53"/>
      <c r="CI644" s="53"/>
      <c r="CJ644" s="53"/>
      <c r="CK644" s="53"/>
      <c r="CL644" s="53"/>
      <c r="CM644" s="53"/>
      <c r="CN644" s="53"/>
      <c r="CO644" s="53"/>
      <c r="CP644" s="53"/>
      <c r="CQ644" s="53"/>
      <c r="CR644" s="1"/>
      <c r="CS644" s="1"/>
      <c r="CT644" s="1"/>
      <c r="CU644" s="1"/>
    </row>
    <row r="645" spans="1:99" s="13" customFormat="1" ht="12" customHeight="1" x14ac:dyDescent="0.2">
      <c r="A645" s="65">
        <v>43897</v>
      </c>
      <c r="B645" s="22" t="s">
        <v>411</v>
      </c>
      <c r="C645" s="22" t="s">
        <v>54</v>
      </c>
      <c r="D645" s="66">
        <v>1978</v>
      </c>
      <c r="E645" s="76">
        <v>1</v>
      </c>
      <c r="F645" s="60">
        <v>9</v>
      </c>
      <c r="G645" s="60">
        <v>9</v>
      </c>
      <c r="H645" s="60" t="s">
        <v>41</v>
      </c>
      <c r="I645" s="60" t="s">
        <v>330</v>
      </c>
      <c r="J645" s="60" t="s">
        <v>376</v>
      </c>
      <c r="K645" s="60">
        <f>IF(J645="syllables",1,IF(J645="trigrams",2,IF(J645="strings",3,IF(J645="visual array",4,IF(J645="characters",5,IF(J645="letters",6,IF(J645="free forms",7,IF(J645="odors",8,IF(J645="words",9,IF(J645="pictures",10,IF(J645="object pictures",11,IF(J645="faces",12,IF(J645="names",13,IF(J645="idioms",14,IF(J645="grades",15,IF(J645="syllable-digit pairs",16,IF(J645="trigram-word pairs",17,IF(J645="word-digit pairs",18,IF(J645="English-Swahili pairs",19,IF(J645="spatial position",20,IF(J645="word pairs",21,IF(J645="word triads",22,IF(J645="generated words",23,IF(J645="word definition pairs",24,IF(J645="math problems",25,IF(J645="famous faces",26,IF(J645="famous names",27,IF(J645="famous voices",28,IF(J645="television programs",29,IF(J645="race horses",30,IF(J645="new vocabulary",31,IF(J645="sentences",32,IF(J645="concepts",33,IF(J645="ad slides",34,IF(J645="scenes",35,IF(J645="famous scenes",36,IF(J645="poems",37,IF(J645="walk",38,IF(J645="faces and events",39,IF(J645="events and names",40,IF(J645="flashbulb",41,IF(J645="stories",42,IF(J645="course material",43,IF(J645="autobiographical",44,IF(J645="novels",45,IF(J645="public events",46,"99"))))))))))))))))))))))))))))))))))))))))))))))</f>
        <v>29</v>
      </c>
      <c r="L645" s="60">
        <f>IF(J645="syllables",1,IF(J645="trigrams",1,IF(J645="strings",1,IF(J645="visual array",1,IF(J645="characters",1,IF(J645="letters",1,IF(J645="free forms",1,IF(J645="odors",2,IF(J645="words",2,IF(J645="pictures",2,IF(J645="object pictures",2,IF(J645="faces",2,IF(J645="names",2,IF(J645="idioms","2",IF(J645="grades",2,IF(J645="syllable-digit pairs",3,IF(J645="trigram-word pairs",3,IF(J645="word-digit pairs",3,IF(J645="English-Swahili pairs",3,IF(J645="spatial position",3,IF(J645="word pairs",4,IF(J645="word triads",4,IF(J645="generated words",4,IF(J645="word definition pairs",4,IF(J645="math problems",4,IF(J645="famous faces",4,IF(J645="famous names",4,IF(J645="famous voices",4,IF(J645="television programs",4,IF(J645="race horses",4,IF(J645="new vocabulary",4,IF(J645="sentences",5,IF(J645="concepts",5,IF(J645="ad slides",5,IF(J645="scenes",5,IF(J645="famous scenes",5,IF(J645="poems",6,IF(J645="walk",6,IF(J645="faces and events",6,IF(J645="events and names",6,IF(J645="flashbulb",7,IF(J645="stories",7,IF(J645="course material",7,IF(J645="autobiographical",7,IF(J645="novels",7,IF(J645="public events",7,"99"))))))))))))))))))))))))))))))))))))))))))))))</f>
        <v>4</v>
      </c>
      <c r="M645" s="60">
        <v>1</v>
      </c>
      <c r="N645" s="61">
        <v>2</v>
      </c>
      <c r="O645" s="60">
        <v>0</v>
      </c>
      <c r="P645" s="60"/>
      <c r="Q645" s="60" t="s">
        <v>34</v>
      </c>
      <c r="R645" s="60">
        <f>IF(Q645="Free Recall",1,IF(Q645="Cued Recall",2,IF(Q645="Recognition",3,IF(Q645="Multiple Choice",4,IF(Q645="Savings",5,IF(Q645="Stem Completion",6,IF(Q645="Fragment Completion",7,IF(Q645="anagram solution",8,IF(Q645="Matching",9,IF(Q645="Problem Solving",10,"99"))))))))))</f>
        <v>3</v>
      </c>
      <c r="S645" s="60" t="s">
        <v>15</v>
      </c>
      <c r="T645" s="59" t="s">
        <v>581</v>
      </c>
      <c r="U645" s="60">
        <f>IF(T645="within",1,0)</f>
        <v>1</v>
      </c>
      <c r="V645" s="59">
        <v>31</v>
      </c>
      <c r="W645" s="60">
        <f>F645*V645</f>
        <v>279</v>
      </c>
      <c r="X645" s="60">
        <v>3</v>
      </c>
      <c r="Y645" s="76">
        <f>AV644</f>
        <v>94608000</v>
      </c>
      <c r="Z645" s="59" t="s">
        <v>432</v>
      </c>
      <c r="AA645" s="60">
        <f>23*365*24*60*60</f>
        <v>725328000</v>
      </c>
      <c r="AB645" s="60" t="str">
        <f>IF(AA645&lt;60,"1",IF(AA645&lt;=43200,"2",IF(AA645&lt;=777600,"3","4")))</f>
        <v>4</v>
      </c>
      <c r="AC645" s="56">
        <f>AVERAGE(AV644:DA644)</f>
        <v>409968000</v>
      </c>
      <c r="AD645" s="60" t="str">
        <f>IF(AC645&lt;60,"1",IF(AC645&lt;=43200,"2",IF(AC645&lt;=777600,"3","4")))</f>
        <v>4</v>
      </c>
      <c r="AE645" s="76">
        <f>AA645-Y645</f>
        <v>630720000</v>
      </c>
      <c r="AF645" s="80">
        <f>AV645</f>
        <v>0.45</v>
      </c>
      <c r="AG645" s="56">
        <f>((AW645-AV645)+(AX645-AW645))/2</f>
        <v>-9.5000000000000001E-2</v>
      </c>
      <c r="AH645" s="4"/>
      <c r="AI645" s="56">
        <f>RSQ(AV645:AX645,AV644:AX644)</f>
        <v>0.99175824175824179</v>
      </c>
      <c r="AJ645" s="109">
        <f>SLOPE(AV645:AX645,AV644:AX644)</f>
        <v>-3.0124302384576357E-10</v>
      </c>
      <c r="AK645" s="56">
        <f>INTERCEPT(AV645:AX645,AV644:AX644)</f>
        <v>0.48350000000000004</v>
      </c>
      <c r="AL645" s="56">
        <f>INDEX(LINEST(LN(AV645:AX645),LN(AV644:AX644),TRUE,TRUE),3,1)</f>
        <v>0.839283711646996</v>
      </c>
      <c r="AM645" s="56">
        <f>INDEX(LINEST(LN(AV645:AX645),LN(AV644:AX644)),1)</f>
        <v>-0.24238493146155224</v>
      </c>
      <c r="AN645" s="56">
        <f>EXP(INDEX(LINEST(LN(AV645:AX645),LN(AV644:AX644)),1,2))</f>
        <v>39.960512735498241</v>
      </c>
      <c r="AO645" s="82">
        <f>INDEX(LINEST((AV645:AX645),LN(AV644:AX644),TRUE,TRUE),3,1)</f>
        <v>0.88905966925320146</v>
      </c>
      <c r="AP645" s="82">
        <f>INDEX(LINEST((AV645:AX645),LN(AV644:AX644)),1)</f>
        <v>-8.5601910933902847E-2</v>
      </c>
      <c r="AQ645" s="83">
        <f>INDEX(LINEST(LN(AV645:AX645),SQRT(AV644:AX644),TRUE,TRUE),3,1)</f>
        <v>0.9171974001109594</v>
      </c>
      <c r="AR645" s="116">
        <f>INDEX(LINEST(LN(AV645:AX645),SQRT((AV644:AX644))),1)</f>
        <v>-3.0696182269585762E-5</v>
      </c>
      <c r="AS645" s="84">
        <f>INDEX(LINEST(1/(AV645:AX645),1/(SQRT(AV644:AX644)),TRUE,TRUE),3,1)</f>
        <v>0.70088844565873698</v>
      </c>
      <c r="AT645" s="84">
        <f>INDEX(LINEST(1/(AV645:AX645),1/SQRT(AV644:AX644)),1)</f>
        <v>-19997.89397598946</v>
      </c>
      <c r="AU645" s="3"/>
      <c r="AV645" s="53">
        <v>0.45</v>
      </c>
      <c r="AW645" s="53">
        <v>0.37</v>
      </c>
      <c r="AX645" s="53">
        <v>0.26</v>
      </c>
      <c r="AY645" s="53"/>
      <c r="AZ645" s="53"/>
      <c r="BA645" s="53"/>
      <c r="BB645" s="53"/>
      <c r="BC645" s="53"/>
      <c r="BD645" s="53"/>
      <c r="BE645" s="53"/>
      <c r="BF645" s="53"/>
      <c r="BG645" s="53"/>
      <c r="BH645" s="53"/>
      <c r="BI645" s="53"/>
      <c r="BJ645" s="53"/>
      <c r="BK645" s="53"/>
      <c r="BL645" s="53"/>
      <c r="BM645" s="53"/>
      <c r="BN645" s="53"/>
      <c r="BO645" s="53"/>
      <c r="BP645" s="53"/>
      <c r="BQ645" s="53"/>
      <c r="BR645" s="53"/>
      <c r="BS645" s="53"/>
      <c r="BT645" s="53"/>
      <c r="BU645" s="53"/>
      <c r="BV645" s="53"/>
      <c r="BW645" s="53"/>
      <c r="BX645" s="53"/>
      <c r="BY645" s="53"/>
      <c r="BZ645" s="53"/>
      <c r="CA645" s="53"/>
      <c r="CB645" s="53"/>
      <c r="CC645" s="53"/>
      <c r="CD645" s="53"/>
      <c r="CE645" s="53"/>
      <c r="CF645" s="53"/>
      <c r="CG645" s="53"/>
      <c r="CH645" s="53"/>
      <c r="CI645" s="53"/>
      <c r="CJ645" s="53"/>
      <c r="CK645" s="53"/>
      <c r="CL645" s="53"/>
      <c r="CM645" s="53"/>
      <c r="CN645" s="53"/>
      <c r="CO645" s="53"/>
      <c r="CP645" s="53"/>
      <c r="CQ645" s="53"/>
      <c r="CR645" s="1"/>
      <c r="CS645" s="1"/>
      <c r="CT645" s="1"/>
      <c r="CU645" s="1"/>
    </row>
    <row r="646" spans="1:99" s="13" customFormat="1" ht="12" customHeight="1" x14ac:dyDescent="0.2">
      <c r="A646" s="65">
        <v>43897</v>
      </c>
      <c r="B646" s="22"/>
      <c r="C646" s="1"/>
      <c r="D646" s="60"/>
      <c r="E646" s="76"/>
      <c r="F646" s="60"/>
      <c r="G646" s="60"/>
      <c r="H646" s="60"/>
      <c r="I646" s="60"/>
      <c r="J646" s="60"/>
      <c r="K646" s="64"/>
      <c r="L646" s="64"/>
      <c r="M646" s="60"/>
      <c r="N646" s="61"/>
      <c r="O646" s="60"/>
      <c r="P646" s="60"/>
      <c r="Q646" s="60"/>
      <c r="R646" s="60"/>
      <c r="S646" s="60"/>
      <c r="T646" s="60"/>
      <c r="U646" s="60"/>
      <c r="V646" s="60"/>
      <c r="W646" s="60"/>
      <c r="X646" s="60"/>
      <c r="Y646" s="76"/>
      <c r="Z646" s="60"/>
      <c r="AA646" s="60"/>
      <c r="AB646" s="60"/>
      <c r="AC646" s="56"/>
      <c r="AD646" s="60"/>
      <c r="AE646" s="60"/>
      <c r="AF646" s="80"/>
      <c r="AG646" s="56"/>
      <c r="AH646" s="4"/>
      <c r="AI646" s="56"/>
      <c r="AJ646" s="109"/>
      <c r="AK646" s="56"/>
      <c r="AL646" s="56"/>
      <c r="AM646" s="56"/>
      <c r="AN646" s="56"/>
      <c r="AO646" s="56"/>
      <c r="AP646" s="56"/>
      <c r="AQ646" s="56"/>
      <c r="AR646" s="109"/>
      <c r="AS646" s="56"/>
      <c r="AT646" s="56"/>
      <c r="AU646" s="5"/>
      <c r="AV646" s="25">
        <v>94608000</v>
      </c>
      <c r="AW646" s="25">
        <v>409968000</v>
      </c>
      <c r="AX646" s="25">
        <v>725328000</v>
      </c>
      <c r="AY646" s="53"/>
      <c r="AZ646" s="53"/>
      <c r="BA646" s="53"/>
      <c r="BB646" s="53"/>
      <c r="BC646" s="53"/>
      <c r="BD646" s="53"/>
      <c r="BE646" s="53"/>
      <c r="BF646" s="53"/>
      <c r="BG646" s="53"/>
      <c r="BH646" s="53"/>
      <c r="BI646" s="53"/>
      <c r="BJ646" s="53"/>
      <c r="BK646" s="53"/>
      <c r="BL646" s="53"/>
      <c r="BM646" s="53"/>
      <c r="BN646" s="53"/>
      <c r="BO646" s="53"/>
      <c r="BP646" s="53"/>
      <c r="BQ646" s="53"/>
      <c r="BR646" s="53"/>
      <c r="BS646" s="53"/>
      <c r="BT646" s="53"/>
      <c r="BU646" s="53"/>
      <c r="BV646" s="53"/>
      <c r="BW646" s="53"/>
      <c r="BX646" s="53"/>
      <c r="BY646" s="53"/>
      <c r="BZ646" s="53"/>
      <c r="CA646" s="53"/>
      <c r="CB646" s="53"/>
      <c r="CC646" s="53"/>
      <c r="CD646" s="53"/>
      <c r="CE646" s="53"/>
      <c r="CF646" s="53"/>
      <c r="CG646" s="53"/>
      <c r="CH646" s="53"/>
      <c r="CI646" s="53"/>
      <c r="CJ646" s="53"/>
      <c r="CK646" s="53"/>
      <c r="CL646" s="53"/>
      <c r="CM646" s="53"/>
      <c r="CN646" s="53"/>
      <c r="CO646" s="53"/>
      <c r="CP646" s="53"/>
      <c r="CQ646" s="53"/>
      <c r="CR646" s="1"/>
      <c r="CS646" s="1"/>
      <c r="CT646" s="1"/>
      <c r="CU646" s="1"/>
    </row>
    <row r="647" spans="1:99" s="13" customFormat="1" ht="12" customHeight="1" x14ac:dyDescent="0.2">
      <c r="A647" s="65">
        <v>43897</v>
      </c>
      <c r="B647" s="22" t="s">
        <v>411</v>
      </c>
      <c r="C647" s="22" t="s">
        <v>54</v>
      </c>
      <c r="D647" s="66">
        <v>1978</v>
      </c>
      <c r="E647" s="76">
        <v>1</v>
      </c>
      <c r="F647" s="60">
        <v>10</v>
      </c>
      <c r="G647" s="60">
        <v>10</v>
      </c>
      <c r="H647" s="60" t="s">
        <v>32</v>
      </c>
      <c r="I647" s="60" t="s">
        <v>330</v>
      </c>
      <c r="J647" s="60" t="s">
        <v>340</v>
      </c>
      <c r="K647" s="60">
        <f>IF(J647="syllables",1,IF(J647="trigrams",2,IF(J647="strings",3,IF(J647="visual array",4,IF(J647="characters",5,IF(J647="letters",6,IF(J647="free forms",7,IF(J647="odors",8,IF(J647="words",9,IF(J647="pictures",10,IF(J647="object pictures",11,IF(J647="faces",12,IF(J647="names",13,IF(J647="idioms",14,IF(J647="grades",15,IF(J647="syllable-digit pairs",16,IF(J647="trigram-word pairs",17,IF(J647="word-digit pairs",18,IF(J647="English-Swahili pairs",19,IF(J647="spatial position",20,IF(J647="word pairs",21,IF(J647="word triads",22,IF(J647="generated words",23,IF(J647="word definition pairs",24,IF(J647="math problems",25,IF(J647="famous faces",26,IF(J647="famous names",27,IF(J647="famous voices",28,IF(J647="television programs",29,IF(J647="race horses",30,IF(J647="new vocabulary",31,IF(J647="sentences",32,IF(J647="concepts",33,IF(J647="ad slides",34,IF(J647="scenes",35,IF(J647="famous scenes",36,IF(J647="poems",37,IF(J647="walk",38,IF(J647="faces and events",39,IF(J647="events and names",40,IF(J647="flashbulb",41,IF(J647="stories",42,IF(J647="course material",43,IF(J647="autobiographical",44,IF(J647="novels",45,IF(J647="public events",46,"99"))))))))))))))))))))))))))))))))))))))))))))))</f>
        <v>46</v>
      </c>
      <c r="L647" s="60">
        <f>IF(J647="syllables",1,IF(J647="trigrams",1,IF(J647="strings",1,IF(J647="visual array",1,IF(J647="characters",1,IF(J647="letters",1,IF(J647="free forms",1,IF(J647="odors",2,IF(J647="words",2,IF(J647="pictures",2,IF(J647="object pictures",2,IF(J647="faces",2,IF(J647="names",2,IF(J647="idioms","2",IF(J647="grades",2,IF(J647="syllable-digit pairs",3,IF(J647="trigram-word pairs",3,IF(J647="word-digit pairs",3,IF(J647="English-Swahili pairs",3,IF(J647="spatial position",3,IF(J647="word pairs",4,IF(J647="word triads",4,IF(J647="generated words",4,IF(J647="word definition pairs",4,IF(J647="math problems",4,IF(J647="famous faces",4,IF(J647="famous names",4,IF(J647="famous voices",4,IF(J647="television programs",4,IF(J647="race horses",4,IF(J647="new vocabulary",4,IF(J647="sentences",5,IF(J647="concepts",5,IF(J647="ad slides",5,IF(J647="scenes",5,IF(J647="famous scenes",5,IF(J647="poems",6,IF(J647="walk",6,IF(J647="faces and events",6,IF(J647="events and names",6,IF(J647="flashbulb",7,IF(J647="stories",7,IF(J647="course material",7,IF(J647="autobiographical",7,IF(J647="novels",7,IF(J647="public events",7,"99"))))))))))))))))))))))))))))))))))))))))))))))</f>
        <v>7</v>
      </c>
      <c r="M647" s="60">
        <v>1</v>
      </c>
      <c r="N647" s="61">
        <v>4</v>
      </c>
      <c r="O647" s="60">
        <v>0</v>
      </c>
      <c r="P647" s="60"/>
      <c r="Q647" s="60" t="s">
        <v>174</v>
      </c>
      <c r="R647" s="60">
        <f>IF(Q647="Free Recall",1,IF(Q647="Cued Recall",2,IF(Q647="Recognition",3,IF(Q647="Multiple Choice",4,IF(Q647="Savings",5,IF(Q647="Stem Completion",6,IF(Q647="Fragment Completion",7,IF(Q647="anagram solution",8,IF(Q647="Matching",9,IF(Q647="Problem Solving",10,"99"))))))))))</f>
        <v>1</v>
      </c>
      <c r="S647" s="60" t="s">
        <v>49</v>
      </c>
      <c r="T647" s="59" t="s">
        <v>581</v>
      </c>
      <c r="U647" s="60">
        <f>IF(T647="within",1,0)</f>
        <v>1</v>
      </c>
      <c r="V647" s="59">
        <v>23</v>
      </c>
      <c r="W647" s="60">
        <f>F647*V647</f>
        <v>230</v>
      </c>
      <c r="X647" s="60">
        <v>3</v>
      </c>
      <c r="Y647" s="76">
        <f>AV646</f>
        <v>94608000</v>
      </c>
      <c r="Z647" s="59" t="s">
        <v>432</v>
      </c>
      <c r="AA647" s="60">
        <f>23*365*24*60*60</f>
        <v>725328000</v>
      </c>
      <c r="AB647" s="60" t="str">
        <f>IF(AA647&lt;60,"1",IF(AA647&lt;=43200,"2",IF(AA647&lt;=777600,"3","4")))</f>
        <v>4</v>
      </c>
      <c r="AC647" s="56">
        <f>AVERAGE(AV646:DA646)</f>
        <v>409968000</v>
      </c>
      <c r="AD647" s="60" t="str">
        <f>IF(AC647&lt;60,"1",IF(AC647&lt;=43200,"2",IF(AC647&lt;=777600,"3","4")))</f>
        <v>4</v>
      </c>
      <c r="AE647" s="76">
        <f>AA647-Y647</f>
        <v>630720000</v>
      </c>
      <c r="AF647" s="80">
        <f>AV647</f>
        <v>0.28000000000000003</v>
      </c>
      <c r="AG647" s="56">
        <f>((AW647-AV647)+(AX647-AW647))/2</f>
        <v>-0.12000000000000001</v>
      </c>
      <c r="AH647" s="4"/>
      <c r="AI647" s="56">
        <f>RSQ(AV647:AX647,AV646:AX646)</f>
        <v>0.74999999999999989</v>
      </c>
      <c r="AJ647" s="109">
        <f>SLOPE(AV647:AX647,AV646:AX646)</f>
        <v>-3.8051750380517503E-10</v>
      </c>
      <c r="AK647" s="56">
        <f>INTERCEPT(AV647:AX647,AV646:AX646)</f>
        <v>0.27600000000000002</v>
      </c>
      <c r="AL647" s="56">
        <f>INDEX(LINEST(LN(AV647:AX647),LN(AV646:AX646),TRUE,TRUE),3,1)</f>
        <v>0.92629206939509723</v>
      </c>
      <c r="AM647" s="56">
        <f>INDEX(LINEST(LN(AV647:AX647),LN(AV646:AX646)),1)</f>
        <v>-1.0290427979840413</v>
      </c>
      <c r="AN647" s="56">
        <f>EXP(INDEX(LINEST(LN(AV647:AX647),LN(AV646:AX646)),1,2))</f>
        <v>41039513.406033561</v>
      </c>
      <c r="AO647" s="82">
        <f>INDEX(LINEST((AV647:AX647),LN(AV646:AX646),TRUE,TRUE),3,1)</f>
        <v>0.92629206939509734</v>
      </c>
      <c r="AP647" s="82">
        <f>INDEX(LINEST((AV647:AX647),LN(AV646:AX646)),1)</f>
        <v>-0.12691761314676697</v>
      </c>
      <c r="AQ647" s="83">
        <f>INDEX(LINEST(LN(AV647:AX647),SQRT(AV646:AX646),TRUE,TRUE),3,1)</f>
        <v>0.85152847756007422</v>
      </c>
      <c r="AR647" s="116">
        <f>INDEX(LINEST(LN(AV647:AX647),SQRT((AV646:AX646))),1)</f>
        <v>-1.1952556092615255E-4</v>
      </c>
      <c r="AS647" s="84">
        <f>INDEX(LINEST(1/(AV647:AX647),1/(SQRT(AV646:AX646)),TRUE,TRUE),3,1)</f>
        <v>0.96920193188353865</v>
      </c>
      <c r="AT647" s="84">
        <f>INDEX(LINEST(1/(AV647:AX647),1/SQRT(AV646:AX646)),1)</f>
        <v>-348755.55306054227</v>
      </c>
      <c r="AU647" s="3"/>
      <c r="AV647" s="53">
        <v>0.28000000000000003</v>
      </c>
      <c r="AW647" s="53">
        <v>0.04</v>
      </c>
      <c r="AX647" s="53">
        <v>0.04</v>
      </c>
      <c r="AY647" s="53"/>
      <c r="AZ647" s="53"/>
      <c r="BA647" s="53"/>
      <c r="BB647" s="53"/>
      <c r="BC647" s="53"/>
      <c r="BD647" s="53"/>
      <c r="BE647" s="53"/>
      <c r="BF647" s="53"/>
      <c r="BG647" s="53"/>
      <c r="BH647" s="53"/>
      <c r="BI647" s="53"/>
      <c r="BJ647" s="53"/>
      <c r="BK647" s="53"/>
      <c r="BL647" s="53"/>
      <c r="BM647" s="53"/>
      <c r="BN647" s="53"/>
      <c r="BO647" s="53"/>
      <c r="BP647" s="53"/>
      <c r="BQ647" s="53"/>
      <c r="BR647" s="53"/>
      <c r="BS647" s="53"/>
      <c r="BT647" s="53"/>
      <c r="BU647" s="53"/>
      <c r="BV647" s="53"/>
      <c r="BW647" s="53"/>
      <c r="BX647" s="53"/>
      <c r="BY647" s="53"/>
      <c r="BZ647" s="53"/>
      <c r="CA647" s="53"/>
      <c r="CB647" s="53"/>
      <c r="CC647" s="53"/>
      <c r="CD647" s="53"/>
      <c r="CE647" s="53"/>
      <c r="CF647" s="53"/>
      <c r="CG647" s="53"/>
      <c r="CH647" s="53"/>
      <c r="CI647" s="53"/>
      <c r="CJ647" s="53"/>
      <c r="CK647" s="53"/>
      <c r="CL647" s="53"/>
      <c r="CM647" s="53"/>
      <c r="CN647" s="53"/>
      <c r="CO647" s="53"/>
      <c r="CP647" s="53"/>
      <c r="CQ647" s="53"/>
      <c r="CR647" s="1"/>
      <c r="CS647" s="1"/>
      <c r="CT647" s="1"/>
      <c r="CU647" s="1"/>
    </row>
    <row r="648" spans="1:99" s="13" customFormat="1" ht="12" customHeight="1" x14ac:dyDescent="0.2">
      <c r="A648" s="65">
        <v>43897</v>
      </c>
      <c r="B648" s="22"/>
      <c r="C648" s="1"/>
      <c r="D648" s="60"/>
      <c r="E648" s="76"/>
      <c r="F648" s="60"/>
      <c r="G648" s="60"/>
      <c r="H648" s="60"/>
      <c r="I648" s="60"/>
      <c r="J648" s="60"/>
      <c r="K648" s="64"/>
      <c r="L648" s="64"/>
      <c r="M648" s="60"/>
      <c r="N648" s="61"/>
      <c r="O648" s="60"/>
      <c r="P648" s="60"/>
      <c r="Q648" s="60"/>
      <c r="R648" s="60"/>
      <c r="S648" s="60"/>
      <c r="T648" s="60"/>
      <c r="U648" s="60"/>
      <c r="V648" s="60"/>
      <c r="W648" s="60"/>
      <c r="X648" s="60"/>
      <c r="Y648" s="76"/>
      <c r="Z648" s="60"/>
      <c r="AA648" s="60"/>
      <c r="AB648" s="60"/>
      <c r="AC648" s="56"/>
      <c r="AD648" s="60"/>
      <c r="AE648" s="60"/>
      <c r="AF648" s="80"/>
      <c r="AG648" s="56"/>
      <c r="AH648" s="4"/>
      <c r="AI648" s="56"/>
      <c r="AJ648" s="109"/>
      <c r="AK648" s="56"/>
      <c r="AL648" s="56"/>
      <c r="AM648" s="56"/>
      <c r="AN648" s="56"/>
      <c r="AO648" s="56"/>
      <c r="AP648" s="56"/>
      <c r="AQ648" s="56"/>
      <c r="AR648" s="109"/>
      <c r="AS648" s="56"/>
      <c r="AT648" s="56"/>
      <c r="AU648" s="5"/>
      <c r="AV648" s="25">
        <v>94608000</v>
      </c>
      <c r="AW648" s="25">
        <v>409968000</v>
      </c>
      <c r="AX648" s="25">
        <v>725328000</v>
      </c>
      <c r="AY648" s="53"/>
      <c r="AZ648" s="53"/>
      <c r="BA648" s="53"/>
      <c r="BB648" s="53"/>
      <c r="BC648" s="53"/>
      <c r="BD648" s="53"/>
      <c r="BE648" s="53"/>
      <c r="BF648" s="53"/>
      <c r="BG648" s="53"/>
      <c r="BH648" s="53"/>
      <c r="BI648" s="53"/>
      <c r="BJ648" s="53"/>
      <c r="BK648" s="53"/>
      <c r="BL648" s="53"/>
      <c r="BM648" s="53"/>
      <c r="BN648" s="53"/>
      <c r="BO648" s="53"/>
      <c r="BP648" s="53"/>
      <c r="BQ648" s="53"/>
      <c r="BR648" s="53"/>
      <c r="BS648" s="53"/>
      <c r="BT648" s="53"/>
      <c r="BU648" s="53"/>
      <c r="BV648" s="53"/>
      <c r="BW648" s="53"/>
      <c r="BX648" s="53"/>
      <c r="BY648" s="53"/>
      <c r="BZ648" s="53"/>
      <c r="CA648" s="53"/>
      <c r="CB648" s="53"/>
      <c r="CC648" s="53"/>
      <c r="CD648" s="53"/>
      <c r="CE648" s="53"/>
      <c r="CF648" s="53"/>
      <c r="CG648" s="53"/>
      <c r="CH648" s="53"/>
      <c r="CI648" s="53"/>
      <c r="CJ648" s="53"/>
      <c r="CK648" s="53"/>
      <c r="CL648" s="53"/>
      <c r="CM648" s="53"/>
      <c r="CN648" s="53"/>
      <c r="CO648" s="53"/>
      <c r="CP648" s="53"/>
      <c r="CQ648" s="53"/>
      <c r="CR648" s="1"/>
      <c r="CS648" s="1"/>
      <c r="CT648" s="1"/>
      <c r="CU648" s="1"/>
    </row>
    <row r="649" spans="1:99" s="13" customFormat="1" ht="12" customHeight="1" x14ac:dyDescent="0.2">
      <c r="A649" s="65">
        <v>43897</v>
      </c>
      <c r="B649" s="22" t="s">
        <v>411</v>
      </c>
      <c r="C649" s="22" t="s">
        <v>54</v>
      </c>
      <c r="D649" s="66">
        <v>1978</v>
      </c>
      <c r="E649" s="76">
        <v>1</v>
      </c>
      <c r="F649" s="60">
        <v>10</v>
      </c>
      <c r="G649" s="60">
        <v>10</v>
      </c>
      <c r="H649" s="60" t="s">
        <v>32</v>
      </c>
      <c r="I649" s="60" t="s">
        <v>330</v>
      </c>
      <c r="J649" s="60" t="s">
        <v>376</v>
      </c>
      <c r="K649" s="60">
        <f>IF(J649="syllables",1,IF(J649="trigrams",2,IF(J649="strings",3,IF(J649="visual array",4,IF(J649="characters",5,IF(J649="letters",6,IF(J649="free forms",7,IF(J649="odors",8,IF(J649="words",9,IF(J649="pictures",10,IF(J649="object pictures",11,IF(J649="faces",12,IF(J649="names",13,IF(J649="idioms",14,IF(J649="grades",15,IF(J649="syllable-digit pairs",16,IF(J649="trigram-word pairs",17,IF(J649="word-digit pairs",18,IF(J649="English-Swahili pairs",19,IF(J649="spatial position",20,IF(J649="word pairs",21,IF(J649="word triads",22,IF(J649="generated words",23,IF(J649="word definition pairs",24,IF(J649="math problems",25,IF(J649="famous faces",26,IF(J649="famous names",27,IF(J649="famous voices",28,IF(J649="television programs",29,IF(J649="race horses",30,IF(J649="new vocabulary",31,IF(J649="sentences",32,IF(J649="concepts",33,IF(J649="ad slides",34,IF(J649="scenes",35,IF(J649="famous scenes",36,IF(J649="poems",37,IF(J649="walk",38,IF(J649="faces and events",39,IF(J649="events and names",40,IF(J649="flashbulb",41,IF(J649="stories",42,IF(J649="course material",43,IF(J649="autobiographical",44,IF(J649="novels",45,IF(J649="public events",46,"99"))))))))))))))))))))))))))))))))))))))))))))))</f>
        <v>29</v>
      </c>
      <c r="L649" s="60">
        <f>IF(J649="syllables",1,IF(J649="trigrams",1,IF(J649="strings",1,IF(J649="visual array",1,IF(J649="characters",1,IF(J649="letters",1,IF(J649="free forms",1,IF(J649="odors",2,IF(J649="words",2,IF(J649="pictures",2,IF(J649="object pictures",2,IF(J649="faces",2,IF(J649="names",2,IF(J649="idioms","2",IF(J649="grades",2,IF(J649="syllable-digit pairs",3,IF(J649="trigram-word pairs",3,IF(J649="word-digit pairs",3,IF(J649="English-Swahili pairs",3,IF(J649="spatial position",3,IF(J649="word pairs",4,IF(J649="word triads",4,IF(J649="generated words",4,IF(J649="word definition pairs",4,IF(J649="math problems",4,IF(J649="famous faces",4,IF(J649="famous names",4,IF(J649="famous voices",4,IF(J649="television programs",4,IF(J649="race horses",4,IF(J649="new vocabulary",4,IF(J649="sentences",5,IF(J649="concepts",5,IF(J649="ad slides",5,IF(J649="scenes",5,IF(J649="famous scenes",5,IF(J649="poems",6,IF(J649="walk",6,IF(J649="faces and events",6,IF(J649="events and names",6,IF(J649="flashbulb",7,IF(J649="stories",7,IF(J649="course material",7,IF(J649="autobiographical",7,IF(J649="novels",7,IF(J649="public events",7,"99"))))))))))))))))))))))))))))))))))))))))))))))</f>
        <v>4</v>
      </c>
      <c r="M649" s="60">
        <v>1</v>
      </c>
      <c r="N649" s="61">
        <v>2</v>
      </c>
      <c r="O649" s="60">
        <v>0</v>
      </c>
      <c r="P649" s="60"/>
      <c r="Q649" s="60" t="s">
        <v>174</v>
      </c>
      <c r="R649" s="60">
        <f>IF(Q649="Free Recall",1,IF(Q649="Cued Recall",2,IF(Q649="Recognition",3,IF(Q649="Multiple Choice",4,IF(Q649="Savings",5,IF(Q649="Stem Completion",6,IF(Q649="Fragment Completion",7,IF(Q649="anagram solution",8,IF(Q649="Matching",9,IF(Q649="Problem Solving",10,"99"))))))))))</f>
        <v>1</v>
      </c>
      <c r="S649" s="60" t="s">
        <v>49</v>
      </c>
      <c r="T649" s="59" t="s">
        <v>581</v>
      </c>
      <c r="U649" s="60">
        <f>IF(T649="within",1,0)</f>
        <v>1</v>
      </c>
      <c r="V649" s="59">
        <v>31</v>
      </c>
      <c r="W649" s="60">
        <f>F649*V649</f>
        <v>310</v>
      </c>
      <c r="X649" s="60">
        <v>3</v>
      </c>
      <c r="Y649" s="76">
        <f>AV648</f>
        <v>94608000</v>
      </c>
      <c r="Z649" s="59" t="s">
        <v>432</v>
      </c>
      <c r="AA649" s="60">
        <f>23*365*24*60*60</f>
        <v>725328000</v>
      </c>
      <c r="AB649" s="60" t="str">
        <f>IF(AA649&lt;60,"1",IF(AA649&lt;=43200,"2",IF(AA649&lt;=777600,"3","4")))</f>
        <v>4</v>
      </c>
      <c r="AC649" s="56">
        <f>AVERAGE(AV648:DA648)</f>
        <v>409968000</v>
      </c>
      <c r="AD649" s="60" t="str">
        <f>IF(AC649&lt;60,"1",IF(AC649&lt;=43200,"2",IF(AC649&lt;=777600,"3","4")))</f>
        <v>4</v>
      </c>
      <c r="AE649" s="76">
        <f>AA649-Y649</f>
        <v>630720000</v>
      </c>
      <c r="AF649" s="80">
        <f>AV649</f>
        <v>0.81914893617021278</v>
      </c>
      <c r="AG649" s="56">
        <f>((AW649-AV649)+(AX649-AW649))/2</f>
        <v>-0.27957446808510639</v>
      </c>
      <c r="AH649" s="4"/>
      <c r="AI649" s="56">
        <f>RSQ(AV649:AX649,AV648:AX648)</f>
        <v>0.84401468860982021</v>
      </c>
      <c r="AJ649" s="109">
        <f>SLOPE(AV649:AX649,AV648:AX648)</f>
        <v>-8.8652482269503542E-10</v>
      </c>
      <c r="AK649" s="56">
        <f>INTERCEPT(AV649:AX649,AV648:AX648)</f>
        <v>0.97241236981662504</v>
      </c>
      <c r="AL649" s="56">
        <f>INDEX(LINEST(LN(AV649:AX649),LN(AV648:AX648),TRUE,TRUE),3,1)</f>
        <v>0.58428908723288209</v>
      </c>
      <c r="AM649" s="56">
        <f>INDEX(LINEST(LN(AV649:AX649),LN(AV648:AX648)),1)</f>
        <v>-0.46402196313112604</v>
      </c>
      <c r="AN649" s="56">
        <f>EXP(INDEX(LINEST(LN(AV649:AX649),LN(AV648:AX648)),1,2))</f>
        <v>4681.2473513004297</v>
      </c>
      <c r="AO649" s="82">
        <f>INDEX(LINEST((AV649:AX649),LN(AV648:AX648),TRUE,TRUE),3,1)</f>
        <v>0.62924482181069219</v>
      </c>
      <c r="AP649" s="82">
        <f>INDEX(LINEST((AV649:AX649),LN(AV648:AX648)),1)</f>
        <v>-0.22973630874308423</v>
      </c>
      <c r="AQ649" s="83">
        <f>INDEX(LINEST(LN(AV649:AX649),SQRT(AV648:AX648),TRUE,TRUE),3,1)</f>
        <v>0.69958448402615814</v>
      </c>
      <c r="AR649" s="116">
        <f>INDEX(LINEST(LN(AV649:AX649),SQRT((AV648:AX648))),1)</f>
        <v>-6.1510105449422888E-5</v>
      </c>
      <c r="AS649" s="84">
        <f>INDEX(LINEST(1/(AV649:AX649),1/(SQRT(AV648:AX648)),TRUE,TRUE),3,1)</f>
        <v>0.45397865700542595</v>
      </c>
      <c r="AT649" s="84">
        <f>INDEX(LINEST(1/(AV649:AX649),1/SQRT(AV648:AX648)),1)</f>
        <v>-28616.404979481515</v>
      </c>
      <c r="AU649" s="3"/>
      <c r="AV649" s="53">
        <v>0.81914893617021278</v>
      </c>
      <c r="AW649" s="53">
        <v>0.74774774774774766</v>
      </c>
      <c r="AX649" s="53">
        <v>0.26</v>
      </c>
      <c r="AY649" s="53"/>
      <c r="AZ649" s="53"/>
      <c r="BA649" s="53"/>
      <c r="BB649" s="53"/>
      <c r="BC649" s="53"/>
      <c r="BD649" s="53"/>
      <c r="BE649" s="53"/>
      <c r="BF649" s="53"/>
      <c r="BG649" s="53"/>
      <c r="BH649" s="53"/>
      <c r="BI649" s="53"/>
      <c r="BJ649" s="53"/>
      <c r="BK649" s="53"/>
      <c r="BL649" s="53"/>
      <c r="BM649" s="53"/>
      <c r="BN649" s="53"/>
      <c r="BO649" s="53"/>
      <c r="BP649" s="53"/>
      <c r="BQ649" s="53"/>
      <c r="BR649" s="53"/>
      <c r="BS649" s="53"/>
      <c r="BT649" s="53"/>
      <c r="BU649" s="53"/>
      <c r="BV649" s="53"/>
      <c r="BW649" s="53"/>
      <c r="BX649" s="53"/>
      <c r="BY649" s="53"/>
      <c r="BZ649" s="53"/>
      <c r="CA649" s="53"/>
      <c r="CB649" s="53"/>
      <c r="CC649" s="53"/>
      <c r="CD649" s="53"/>
      <c r="CE649" s="53"/>
      <c r="CF649" s="53"/>
      <c r="CG649" s="53"/>
      <c r="CH649" s="53"/>
      <c r="CI649" s="53"/>
      <c r="CJ649" s="53"/>
      <c r="CK649" s="53"/>
      <c r="CL649" s="53"/>
      <c r="CM649" s="53"/>
      <c r="CN649" s="53"/>
      <c r="CO649" s="53"/>
      <c r="CP649" s="53"/>
      <c r="CQ649" s="53"/>
      <c r="CR649" s="1"/>
      <c r="CS649" s="1"/>
      <c r="CT649" s="1"/>
      <c r="CU649" s="1"/>
    </row>
    <row r="650" spans="1:99" s="13" customFormat="1" ht="12" customHeight="1" x14ac:dyDescent="0.2">
      <c r="A650" s="68">
        <v>43897</v>
      </c>
      <c r="B650" s="103"/>
      <c r="C650" s="103"/>
      <c r="D650" s="126"/>
      <c r="E650" s="87"/>
      <c r="F650" s="69"/>
      <c r="G650" s="69"/>
      <c r="H650" s="69"/>
      <c r="I650" s="69"/>
      <c r="J650" s="69"/>
      <c r="K650" s="107"/>
      <c r="L650" s="107"/>
      <c r="M650" s="69"/>
      <c r="N650" s="86"/>
      <c r="O650" s="69"/>
      <c r="P650" s="69"/>
      <c r="Q650" s="69"/>
      <c r="R650" s="69"/>
      <c r="S650" s="69"/>
      <c r="T650" s="92"/>
      <c r="U650" s="60"/>
      <c r="V650" s="92"/>
      <c r="W650" s="69"/>
      <c r="X650" s="69"/>
      <c r="Y650" s="87"/>
      <c r="Z650" s="92"/>
      <c r="AA650" s="92"/>
      <c r="AB650" s="69"/>
      <c r="AC650" s="72"/>
      <c r="AD650" s="69"/>
      <c r="AE650" s="69"/>
      <c r="AF650" s="88"/>
      <c r="AG650" s="72"/>
      <c r="AH650" s="4"/>
      <c r="AI650" s="72"/>
      <c r="AJ650" s="110"/>
      <c r="AK650" s="72"/>
      <c r="AL650" s="72"/>
      <c r="AM650" s="72"/>
      <c r="AN650" s="72"/>
      <c r="AO650" s="89"/>
      <c r="AP650" s="89"/>
      <c r="AQ650" s="90"/>
      <c r="AR650" s="117"/>
      <c r="AS650" s="91"/>
      <c r="AT650" s="91"/>
      <c r="AU650" s="3"/>
      <c r="AV650" s="71">
        <v>15</v>
      </c>
      <c r="AW650" s="71">
        <v>600</v>
      </c>
      <c r="AX650" s="71">
        <v>7200</v>
      </c>
      <c r="AY650" s="71">
        <v>86400</v>
      </c>
      <c r="AZ650" s="71">
        <v>1209600</v>
      </c>
      <c r="BA650" s="98">
        <v>4838400</v>
      </c>
      <c r="BB650" s="53"/>
      <c r="BC650" s="53"/>
      <c r="BD650" s="53"/>
      <c r="BE650" s="53"/>
      <c r="BF650" s="53"/>
      <c r="BG650" s="53"/>
      <c r="BH650" s="53"/>
      <c r="BI650" s="53"/>
      <c r="BJ650" s="53"/>
      <c r="BK650" s="53"/>
      <c r="BL650" s="53"/>
      <c r="BM650" s="53"/>
      <c r="BN650" s="53"/>
      <c r="BO650" s="53"/>
      <c r="BP650" s="53"/>
      <c r="BQ650" s="53"/>
      <c r="BR650" s="53"/>
      <c r="BS650" s="53"/>
      <c r="BT650" s="53"/>
      <c r="BU650" s="53"/>
      <c r="BV650" s="53"/>
      <c r="BW650" s="53"/>
      <c r="BX650" s="53"/>
      <c r="BY650" s="53"/>
      <c r="BZ650" s="53"/>
      <c r="CA650" s="53"/>
      <c r="CB650" s="53"/>
      <c r="CC650" s="53"/>
      <c r="CD650" s="53"/>
      <c r="CE650" s="53"/>
      <c r="CF650" s="53"/>
      <c r="CG650" s="53"/>
      <c r="CH650" s="53"/>
      <c r="CI650" s="53"/>
      <c r="CJ650" s="53"/>
      <c r="CK650" s="53"/>
      <c r="CL650" s="53"/>
      <c r="CM650" s="53"/>
      <c r="CN650" s="53"/>
      <c r="CO650" s="53"/>
      <c r="CP650" s="53"/>
      <c r="CQ650" s="53"/>
      <c r="CR650" s="1"/>
      <c r="CS650" s="1"/>
      <c r="CT650" s="1"/>
      <c r="CU650" s="1"/>
    </row>
    <row r="651" spans="1:99" s="13" customFormat="1" ht="12" customHeight="1" x14ac:dyDescent="0.2">
      <c r="A651" s="68">
        <v>43897</v>
      </c>
      <c r="B651" s="103" t="s">
        <v>412</v>
      </c>
      <c r="C651" s="103" t="s">
        <v>139</v>
      </c>
      <c r="D651" s="126">
        <v>1990</v>
      </c>
      <c r="E651" s="87">
        <v>1</v>
      </c>
      <c r="F651" s="69">
        <v>20</v>
      </c>
      <c r="G651" s="69">
        <v>20</v>
      </c>
      <c r="H651" s="69" t="s">
        <v>444</v>
      </c>
      <c r="I651" s="69" t="s">
        <v>330</v>
      </c>
      <c r="J651" s="69" t="s">
        <v>16</v>
      </c>
      <c r="K651" s="69">
        <f>IF(J651="syllables",1,IF(J651="trigrams",2,IF(J651="strings",3,IF(J651="visual array",4,IF(J651="characters",5,IF(J651="letters",6,IF(J651="free forms",7,IF(J651="odors",8,IF(J651="words",9,IF(J651="pictures",10,IF(J651="object pictures",11,IF(J651="faces",12,IF(J651="names",13,IF(J651="idioms",14,IF(J651="grades",15,IF(J651="syllable-digit pairs",16,IF(J651="trigram-word pairs",17,IF(J651="word-digit pairs",18,IF(J651="English-Swahili pairs",19,IF(J651="spatial position",20,IF(J651="word pairs",21,IF(J651="word triads",22,IF(J651="generated words",23,IF(J651="word definition pairs",24,IF(J651="math problems",25,IF(J651="famous faces",26,IF(J651="famous names",27,IF(J651="famous voices",28,IF(J651="television programs",29,IF(J651="race horses",30,IF(J651="new vocabulary",31,IF(J651="sentences",32,IF(J651="concepts",33,IF(J651="ad slides",34,IF(J651="scenes",35,IF(J651="famous scenes",36,IF(J651="poems",37,IF(J651="walk",38,IF(J651="faces and events",39,IF(J651="events and names",40,IF(J651="flashbulb",41,IF(J651="stories",42,IF(J651="course material",43,IF(J651="autobiographical",44,IF(J651="novels",45,IF(J651="public events",46,"99"))))))))))))))))))))))))))))))))))))))))))))))</f>
        <v>9</v>
      </c>
      <c r="L651" s="69">
        <f>IF(J651="syllables",1,IF(J651="trigrams",1,IF(J651="strings",1,IF(J651="visual array",1,IF(J651="characters",1,IF(J651="letters",1,IF(J651="free forms",1,IF(J651="odors",2,IF(J651="words",2,IF(J651="pictures",2,IF(J651="object pictures",2,IF(J651="faces",2,IF(J651="names",2,IF(J651="idioms","2",IF(J651="grades",2,IF(J651="syllable-digit pairs",3,IF(J651="trigram-word pairs",3,IF(J651="word-digit pairs",3,IF(J651="English-Swahili pairs",3,IF(J651="spatial position",3,IF(J651="word pairs",4,IF(J651="word triads",4,IF(J651="generated words",4,IF(J651="word definition pairs",4,IF(J651="math problems",4,IF(J651="famous faces",4,IF(J651="famous names",4,IF(J651="famous voices",4,IF(J651="television programs",4,IF(J651="race horses",4,IF(J651="new vocabulary",4,IF(J651="sentences",5,IF(J651="concepts",5,IF(J651="ad slides",5,IF(J651="scenes",5,IF(J651="famous scenes",5,IF(J651="poems",6,IF(J651="walk",6,IF(J651="faces and events",6,IF(J651="events and names",6,IF(J651="flashbulb",7,IF(J651="stories",7,IF(J651="course material",7,IF(J651="autobiographical",7,IF(J651="novels",7,IF(J651="public events",7,"99"))))))))))))))))))))))))))))))))))))))))))))))</f>
        <v>2</v>
      </c>
      <c r="M651" s="69">
        <v>0</v>
      </c>
      <c r="N651" s="86">
        <v>1</v>
      </c>
      <c r="O651" s="69">
        <v>0</v>
      </c>
      <c r="P651" s="69"/>
      <c r="Q651" s="69" t="s">
        <v>34</v>
      </c>
      <c r="R651" s="69">
        <f>IF(Q651="Free Recall",1,IF(Q651="Cued Recall",2,IF(Q651="Recognition",3,IF(Q651="Multiple Choice",4,IF(Q651="Savings",5,IF(Q651="Stem Completion",6,IF(Q651="Fragment Completion",7,IF(Q651="anagram solution",8,IF(Q651="Matching",9,IF(Q651="Problem Solving",10,"99"))))))))))</f>
        <v>3</v>
      </c>
      <c r="S651" s="69" t="s">
        <v>15</v>
      </c>
      <c r="T651" s="92" t="s">
        <v>581</v>
      </c>
      <c r="U651" s="60">
        <f>IF(T651="within",1,0)</f>
        <v>1</v>
      </c>
      <c r="V651" s="92">
        <v>20</v>
      </c>
      <c r="W651" s="69">
        <f>F651*V651</f>
        <v>400</v>
      </c>
      <c r="X651" s="69">
        <v>6</v>
      </c>
      <c r="Y651" s="87">
        <f>AV650</f>
        <v>15</v>
      </c>
      <c r="Z651" s="92" t="s">
        <v>276</v>
      </c>
      <c r="AA651" s="92">
        <v>4838400</v>
      </c>
      <c r="AB651" s="69" t="str">
        <f>IF(AA651&lt;60,"1",IF(AA651&lt;=43200,"2",IF(AA651&lt;=777600,"3","4")))</f>
        <v>4</v>
      </c>
      <c r="AC651" s="72">
        <f>AVERAGE(AV650:DA650)</f>
        <v>1023702.5</v>
      </c>
      <c r="AD651" s="69" t="str">
        <f>IF(AC651&lt;60,"1",IF(AC651&lt;=43200,"2",IF(AC651&lt;=777600,"3","4")))</f>
        <v>4</v>
      </c>
      <c r="AE651" s="87">
        <f>AA651-Y651</f>
        <v>4838385</v>
      </c>
      <c r="AF651" s="88">
        <f>AV651</f>
        <v>0.97</v>
      </c>
      <c r="AG651" s="72">
        <f>((AW651-AV651)+(AX651-AW651)+(AY651-AX651)+(AZ651-AY651)+(BA651-AZ651))/5</f>
        <v>-7.5999999999999998E-2</v>
      </c>
      <c r="AH651" s="4"/>
      <c r="AI651" s="72">
        <f>RSQ(AV651:BA651,AV650:BA650)</f>
        <v>0.71498819716598194</v>
      </c>
      <c r="AJ651" s="110">
        <f>SLOPE(AV651:BA651,AV650:BA650)</f>
        <v>-6.560770588771004E-8</v>
      </c>
      <c r="AK651" s="72">
        <f>INTERCEPT(AV651:BA651,AV650:BA650)</f>
        <v>0.88049610586984683</v>
      </c>
      <c r="AL651" s="72">
        <f>INDEX(LINEST(LN(AV651:BA651),LN(AV650:BA650),TRUE,TRUE),3,1)</f>
        <v>0.87188949137169602</v>
      </c>
      <c r="AM651" s="72">
        <f>INDEX(LINEST(LN(AV651:BA651),LN(AV650:BA650)),1)</f>
        <v>-3.7914969201065102E-2</v>
      </c>
      <c r="AN651" s="72">
        <f>EXP(INDEX(LINEST(LN(AV651:BA651),LN(AV650:BA650)),1,2))</f>
        <v>1.1612719345974014</v>
      </c>
      <c r="AO651" s="89">
        <f>INDEX(LINEST((AV651:BA651),LN(AV650:BA650),TRUE,TRUE),3,1)</f>
        <v>0.90458823982658176</v>
      </c>
      <c r="AP651" s="89">
        <f>INDEX(LINEST((AV651:BA651),LN(AV650:BA650)),1)</f>
        <v>-2.9784973899016118E-2</v>
      </c>
      <c r="AQ651" s="90">
        <f>INDEX(LINEST(LN(AV651:BA651),SQRT(AV650:BA650),TRUE,TRUE),3,1)</f>
        <v>0.91526189828349014</v>
      </c>
      <c r="AR651" s="117">
        <f>INDEX(LINEST(LN(AV651:BA651),SQRT((AV650:BA650))),1)</f>
        <v>-2.114442433717422E-4</v>
      </c>
      <c r="AS651" s="91">
        <f>INDEX(LINEST(1/(AV651:BA651),1/(SQRT(AV650:BA650)),TRUE,TRUE),3,1)</f>
        <v>0.29529900012126981</v>
      </c>
      <c r="AT651" s="91">
        <f>INDEX(LINEST(1/(AV651:BA651),1/SQRT(AV650:BA650)),1)</f>
        <v>-1.3719685575824938</v>
      </c>
      <c r="AU651" s="3"/>
      <c r="AV651" s="73">
        <v>0.97</v>
      </c>
      <c r="AW651" s="73">
        <v>0.94</v>
      </c>
      <c r="AX651" s="73">
        <v>0.9</v>
      </c>
      <c r="AY651" s="73">
        <v>0.78</v>
      </c>
      <c r="AZ651" s="73">
        <v>0.7</v>
      </c>
      <c r="BA651" s="73">
        <v>0.59</v>
      </c>
      <c r="BB651" s="53"/>
      <c r="BC651" s="53"/>
      <c r="BD651" s="53"/>
      <c r="BE651" s="53"/>
      <c r="BF651" s="53"/>
      <c r="BG651" s="53"/>
      <c r="BH651" s="53"/>
      <c r="BI651" s="53"/>
      <c r="BJ651" s="53"/>
      <c r="BK651" s="53"/>
      <c r="BL651" s="53"/>
      <c r="BM651" s="53"/>
      <c r="BN651" s="53"/>
      <c r="BO651" s="53"/>
      <c r="BP651" s="53"/>
      <c r="BQ651" s="53"/>
      <c r="BR651" s="53"/>
      <c r="BS651" s="53"/>
      <c r="BT651" s="53"/>
      <c r="BU651" s="53"/>
      <c r="BV651" s="53"/>
      <c r="BW651" s="53"/>
      <c r="BX651" s="53"/>
      <c r="BY651" s="53"/>
      <c r="BZ651" s="53"/>
      <c r="CA651" s="53"/>
      <c r="CB651" s="53"/>
      <c r="CC651" s="53"/>
      <c r="CD651" s="53"/>
      <c r="CE651" s="53"/>
      <c r="CF651" s="53"/>
      <c r="CG651" s="53"/>
      <c r="CH651" s="53"/>
      <c r="CI651" s="53"/>
      <c r="CJ651" s="53"/>
      <c r="CK651" s="53"/>
      <c r="CL651" s="53"/>
      <c r="CM651" s="53"/>
      <c r="CN651" s="53"/>
      <c r="CO651" s="53"/>
      <c r="CP651" s="53"/>
      <c r="CQ651" s="53"/>
      <c r="CR651" s="1"/>
      <c r="CS651" s="1"/>
      <c r="CT651" s="1"/>
      <c r="CU651" s="1"/>
    </row>
    <row r="652" spans="1:99" s="13" customFormat="1" ht="12" customHeight="1" x14ac:dyDescent="0.2">
      <c r="A652" s="68">
        <v>43897</v>
      </c>
      <c r="B652" s="103"/>
      <c r="C652" s="103"/>
      <c r="D652" s="126"/>
      <c r="E652" s="87"/>
      <c r="F652" s="69"/>
      <c r="G652" s="69"/>
      <c r="H652" s="69"/>
      <c r="I652" s="69"/>
      <c r="J652" s="69"/>
      <c r="K652" s="107"/>
      <c r="L652" s="107"/>
      <c r="M652" s="69"/>
      <c r="N652" s="86"/>
      <c r="O652" s="69"/>
      <c r="P652" s="69"/>
      <c r="Q652" s="69"/>
      <c r="R652" s="69"/>
      <c r="S652" s="69"/>
      <c r="T652" s="92"/>
      <c r="U652" s="60"/>
      <c r="V652" s="92"/>
      <c r="W652" s="69"/>
      <c r="X652" s="69"/>
      <c r="Y652" s="87"/>
      <c r="Z652" s="92"/>
      <c r="AA652" s="92"/>
      <c r="AB652" s="69"/>
      <c r="AC652" s="72"/>
      <c r="AD652" s="69"/>
      <c r="AE652" s="69"/>
      <c r="AF652" s="88"/>
      <c r="AG652" s="72"/>
      <c r="AH652" s="4"/>
      <c r="AI652" s="72"/>
      <c r="AJ652" s="110"/>
      <c r="AK652" s="72"/>
      <c r="AL652" s="72"/>
      <c r="AM652" s="72"/>
      <c r="AN652" s="72"/>
      <c r="AO652" s="89"/>
      <c r="AP652" s="89"/>
      <c r="AQ652" s="90"/>
      <c r="AR652" s="117"/>
      <c r="AS652" s="91"/>
      <c r="AT652" s="91"/>
      <c r="AU652" s="3"/>
      <c r="AV652" s="71">
        <v>15</v>
      </c>
      <c r="AW652" s="71">
        <v>600</v>
      </c>
      <c r="AX652" s="71">
        <v>7200</v>
      </c>
      <c r="AY652" s="71">
        <v>86400</v>
      </c>
      <c r="AZ652" s="71">
        <v>1209600</v>
      </c>
      <c r="BA652" s="98">
        <v>4838400</v>
      </c>
      <c r="BB652" s="53"/>
      <c r="BC652" s="53"/>
      <c r="BD652" s="53"/>
      <c r="BE652" s="53"/>
      <c r="BF652" s="53"/>
      <c r="BG652" s="53"/>
      <c r="BH652" s="53"/>
      <c r="BI652" s="53"/>
      <c r="BJ652" s="53"/>
      <c r="BK652" s="53"/>
      <c r="BL652" s="53"/>
      <c r="BM652" s="53"/>
      <c r="BN652" s="53"/>
      <c r="BO652" s="53"/>
      <c r="BP652" s="53"/>
      <c r="BQ652" s="53"/>
      <c r="BR652" s="53"/>
      <c r="BS652" s="53"/>
      <c r="BT652" s="53"/>
      <c r="BU652" s="53"/>
      <c r="BV652" s="53"/>
      <c r="BW652" s="53"/>
      <c r="BX652" s="53"/>
      <c r="BY652" s="53"/>
      <c r="BZ652" s="53"/>
      <c r="CA652" s="53"/>
      <c r="CB652" s="53"/>
      <c r="CC652" s="53"/>
      <c r="CD652" s="53"/>
      <c r="CE652" s="53"/>
      <c r="CF652" s="53"/>
      <c r="CG652" s="53"/>
      <c r="CH652" s="53"/>
      <c r="CI652" s="53"/>
      <c r="CJ652" s="53"/>
      <c r="CK652" s="53"/>
      <c r="CL652" s="53"/>
      <c r="CM652" s="53"/>
      <c r="CN652" s="53"/>
      <c r="CO652" s="53"/>
      <c r="CP652" s="53"/>
      <c r="CQ652" s="53"/>
      <c r="CR652" s="1"/>
      <c r="CS652" s="1"/>
      <c r="CT652" s="1"/>
      <c r="CU652" s="1"/>
    </row>
    <row r="653" spans="1:99" s="13" customFormat="1" ht="12" customHeight="1" x14ac:dyDescent="0.2">
      <c r="A653" s="68">
        <v>43897</v>
      </c>
      <c r="B653" s="103" t="s">
        <v>412</v>
      </c>
      <c r="C653" s="103" t="s">
        <v>139</v>
      </c>
      <c r="D653" s="126">
        <v>1990</v>
      </c>
      <c r="E653" s="87">
        <v>1</v>
      </c>
      <c r="F653" s="69">
        <v>20</v>
      </c>
      <c r="G653" s="69">
        <v>20</v>
      </c>
      <c r="H653" s="69" t="s">
        <v>444</v>
      </c>
      <c r="I653" s="69" t="s">
        <v>330</v>
      </c>
      <c r="J653" s="69" t="s">
        <v>16</v>
      </c>
      <c r="K653" s="69">
        <f>IF(J653="syllables",1,IF(J653="trigrams",2,IF(J653="strings",3,IF(J653="visual array",4,IF(J653="characters",5,IF(J653="letters",6,IF(J653="free forms",7,IF(J653="odors",8,IF(J653="words",9,IF(J653="pictures",10,IF(J653="object pictures",11,IF(J653="faces",12,IF(J653="names",13,IF(J653="idioms",14,IF(J653="grades",15,IF(J653="syllable-digit pairs",16,IF(J653="trigram-word pairs",17,IF(J653="word-digit pairs",18,IF(J653="English-Swahili pairs",19,IF(J653="spatial position",20,IF(J653="word pairs",21,IF(J653="word triads",22,IF(J653="generated words",23,IF(J653="word definition pairs",24,IF(J653="math problems",25,IF(J653="famous faces",26,IF(J653="famous names",27,IF(J653="famous voices",28,IF(J653="television programs",29,IF(J653="race horses",30,IF(J653="new vocabulary",31,IF(J653="sentences",32,IF(J653="concepts",33,IF(J653="ad slides",34,IF(J653="scenes",35,IF(J653="famous scenes",36,IF(J653="poems",37,IF(J653="walk",38,IF(J653="faces and events",39,IF(J653="events and names",40,IF(J653="flashbulb",41,IF(J653="stories",42,IF(J653="course material",43,IF(J653="autobiographical",44,IF(J653="novels",45,IF(J653="public events",46,"99"))))))))))))))))))))))))))))))))))))))))))))))</f>
        <v>9</v>
      </c>
      <c r="L653" s="69">
        <f>IF(J653="syllables",1,IF(J653="trigrams",1,IF(J653="strings",1,IF(J653="visual array",1,IF(J653="characters",1,IF(J653="letters",1,IF(J653="free forms",1,IF(J653="odors",2,IF(J653="words",2,IF(J653="pictures",2,IF(J653="object pictures",2,IF(J653="faces",2,IF(J653="names",2,IF(J653="idioms","2",IF(J653="grades",2,IF(J653="syllable-digit pairs",3,IF(J653="trigram-word pairs",3,IF(J653="word-digit pairs",3,IF(J653="English-Swahili pairs",3,IF(J653="spatial position",3,IF(J653="word pairs",4,IF(J653="word triads",4,IF(J653="generated words",4,IF(J653="word definition pairs",4,IF(J653="math problems",4,IF(J653="famous faces",4,IF(J653="famous names",4,IF(J653="famous voices",4,IF(J653="television programs",4,IF(J653="race horses",4,IF(J653="new vocabulary",4,IF(J653="sentences",5,IF(J653="concepts",5,IF(J653="ad slides",5,IF(J653="scenes",5,IF(J653="famous scenes",5,IF(J653="poems",6,IF(J653="walk",6,IF(J653="faces and events",6,IF(J653="events and names",6,IF(J653="flashbulb",7,IF(J653="stories",7,IF(J653="course material",7,IF(J653="autobiographical",7,IF(J653="novels",7,IF(J653="public events",7,"99"))))))))))))))))))))))))))))))))))))))))))))))</f>
        <v>2</v>
      </c>
      <c r="M653" s="69">
        <v>0</v>
      </c>
      <c r="N653" s="86">
        <v>1</v>
      </c>
      <c r="O653" s="69">
        <v>0</v>
      </c>
      <c r="P653" s="69"/>
      <c r="Q653" s="69" t="s">
        <v>174</v>
      </c>
      <c r="R653" s="69">
        <f>IF(Q653="Free Recall",1,IF(Q653="Cued Recall",2,IF(Q653="Recognition",3,IF(Q653="Multiple Choice",4,IF(Q653="Savings",5,IF(Q653="Stem Completion",6,IF(Q653="Fragment Completion",7,IF(Q653="anagram solution",8,IF(Q653="Matching",9,IF(Q653="Problem Solving",10,"99"))))))))))</f>
        <v>1</v>
      </c>
      <c r="S653" s="69" t="s">
        <v>49</v>
      </c>
      <c r="T653" s="92" t="s">
        <v>581</v>
      </c>
      <c r="U653" s="60">
        <f>IF(T653="within",1,0)</f>
        <v>1</v>
      </c>
      <c r="V653" s="92">
        <v>20</v>
      </c>
      <c r="W653" s="69">
        <f>F653*V653</f>
        <v>400</v>
      </c>
      <c r="X653" s="69">
        <v>6</v>
      </c>
      <c r="Y653" s="87">
        <f>AV652</f>
        <v>15</v>
      </c>
      <c r="Z653" s="92" t="s">
        <v>276</v>
      </c>
      <c r="AA653" s="92">
        <v>4838400</v>
      </c>
      <c r="AB653" s="69" t="str">
        <f>IF(AA653&lt;60,"1",IF(AA653&lt;=43200,"2",IF(AA653&lt;=777600,"3","4")))</f>
        <v>4</v>
      </c>
      <c r="AC653" s="72">
        <f>AVERAGE(AV652:DA652)</f>
        <v>1023702.5</v>
      </c>
      <c r="AD653" s="69" t="str">
        <f>IF(AC653&lt;60,"1",IF(AC653&lt;=43200,"2",IF(AC653&lt;=777600,"3","4")))</f>
        <v>4</v>
      </c>
      <c r="AE653" s="87">
        <f>AA653-Y653</f>
        <v>4838385</v>
      </c>
      <c r="AF653" s="88">
        <f>AV653</f>
        <v>0.48</v>
      </c>
      <c r="AG653" s="72">
        <f>((AW653-AV653)+(AX653-AW653)+(AY653-AX653)+(AZ653-AY653)+(BA653-AZ653))/5</f>
        <v>-0.08</v>
      </c>
      <c r="AH653" s="4"/>
      <c r="AI653" s="72">
        <f>RSQ(AV653:BA653,AV652:BA652)</f>
        <v>0.38360613148549694</v>
      </c>
      <c r="AJ653" s="110">
        <f>SLOPE(AV653:BA653,AV652:BA652)</f>
        <v>-5.053924963572969E-8</v>
      </c>
      <c r="AK653" s="72">
        <f>INTERCEPT(AV653:BA653,AV652:BA652)</f>
        <v>0.29173715620022062</v>
      </c>
      <c r="AL653" s="72">
        <f>INDEX(LINEST(LN(AV653:BA653),LN(AV652:BA652),TRUE,TRUE),3,1)</f>
        <v>0.96215452424857362</v>
      </c>
      <c r="AM653" s="72">
        <f>INDEX(LINEST(LN(AV653:BA653),LN(AV652:BA652)),1)</f>
        <v>-0.14561903803937642</v>
      </c>
      <c r="AN653" s="72">
        <f>EXP(INDEX(LINEST(LN(AV653:BA653),LN(AV652:BA652)),1,2))</f>
        <v>0.81865663842123049</v>
      </c>
      <c r="AO653" s="89">
        <f>INDEX(LINEST((AV653:BA653),LN(AV652:BA652),TRUE,TRUE),3,1)</f>
        <v>0.97479781834997759</v>
      </c>
      <c r="AP653" s="89">
        <f>INDEX(LINEST((AV653:BA653),LN(AV652:BA652)),1)</f>
        <v>-3.2516937274107899E-2</v>
      </c>
      <c r="AQ653" s="90">
        <f>INDEX(LINEST(LN(AV653:BA653),SQRT(AV652:BA652),TRUE,TRUE),3,1)</f>
        <v>0.73616969096770235</v>
      </c>
      <c r="AR653" s="117">
        <f>INDEX(LINEST(LN(AV653:BA653),SQRT((AV652:BA652))),1)</f>
        <v>-6.9331069455009348E-4</v>
      </c>
      <c r="AS653" s="91">
        <f>INDEX(LINEST(1/(AV653:BA653),1/(SQRT(AV652:BA652)),TRUE,TRUE),3,1)</f>
        <v>0.3439109240916573</v>
      </c>
      <c r="AT653" s="91">
        <f>INDEX(LINEST(1/(AV653:BA653),1/SQRT(AV652:BA652)),1)</f>
        <v>-23.591109894328941</v>
      </c>
      <c r="AU653" s="3"/>
      <c r="AV653" s="73">
        <v>0.48</v>
      </c>
      <c r="AW653" s="73">
        <v>0.35</v>
      </c>
      <c r="AX653" s="73">
        <v>0.28000000000000003</v>
      </c>
      <c r="AY653" s="73">
        <v>0.14000000000000001</v>
      </c>
      <c r="AZ653" s="73">
        <v>0.11</v>
      </c>
      <c r="BA653" s="73">
        <v>0.08</v>
      </c>
      <c r="BB653" s="53"/>
      <c r="BC653" s="53"/>
      <c r="BD653" s="53"/>
      <c r="BE653" s="53"/>
      <c r="BF653" s="53"/>
      <c r="BG653" s="53"/>
      <c r="BH653" s="53"/>
      <c r="BI653" s="53"/>
      <c r="BJ653" s="53"/>
      <c r="BK653" s="53"/>
      <c r="BL653" s="53"/>
      <c r="BM653" s="53"/>
      <c r="BN653" s="53"/>
      <c r="BO653" s="53"/>
      <c r="BP653" s="53"/>
      <c r="BQ653" s="53"/>
      <c r="BR653" s="53"/>
      <c r="BS653" s="53"/>
      <c r="BT653" s="53"/>
      <c r="BU653" s="53"/>
      <c r="BV653" s="53"/>
      <c r="BW653" s="53"/>
      <c r="BX653" s="53"/>
      <c r="BY653" s="53"/>
      <c r="BZ653" s="53"/>
      <c r="CA653" s="53"/>
      <c r="CB653" s="53"/>
      <c r="CC653" s="53"/>
      <c r="CD653" s="53"/>
      <c r="CE653" s="53"/>
      <c r="CF653" s="53"/>
      <c r="CG653" s="53"/>
      <c r="CH653" s="53"/>
      <c r="CI653" s="53"/>
      <c r="CJ653" s="53"/>
      <c r="CK653" s="53"/>
      <c r="CL653" s="53"/>
      <c r="CM653" s="53"/>
      <c r="CN653" s="53"/>
      <c r="CO653" s="53"/>
      <c r="CP653" s="53"/>
      <c r="CQ653" s="53"/>
      <c r="CR653" s="1"/>
      <c r="CS653" s="1"/>
      <c r="CT653" s="1"/>
      <c r="CU653" s="1"/>
    </row>
    <row r="654" spans="1:99" s="13" customFormat="1" ht="12" customHeight="1" x14ac:dyDescent="0.2">
      <c r="A654" s="65">
        <v>43509</v>
      </c>
      <c r="B654" s="1"/>
      <c r="C654" s="1"/>
      <c r="D654" s="60"/>
      <c r="E654" s="76"/>
      <c r="F654" s="60"/>
      <c r="G654" s="60"/>
      <c r="H654" s="60"/>
      <c r="I654" s="60"/>
      <c r="J654" s="60"/>
      <c r="K654" s="64"/>
      <c r="L654" s="64"/>
      <c r="M654" s="60"/>
      <c r="N654" s="60"/>
      <c r="O654" s="60"/>
      <c r="P654" s="60"/>
      <c r="Q654" s="60"/>
      <c r="R654" s="60"/>
      <c r="S654" s="60"/>
      <c r="T654" s="60"/>
      <c r="U654" s="60"/>
      <c r="V654" s="60"/>
      <c r="W654" s="60"/>
      <c r="X654" s="60"/>
      <c r="Y654" s="76"/>
      <c r="Z654" s="60"/>
      <c r="AA654" s="60"/>
      <c r="AB654" s="60"/>
      <c r="AC654" s="60"/>
      <c r="AD654" s="60"/>
      <c r="AE654" s="60"/>
      <c r="AF654" s="80"/>
      <c r="AG654" s="56"/>
      <c r="AH654" s="4"/>
      <c r="AI654" s="56"/>
      <c r="AJ654" s="109"/>
      <c r="AK654" s="56"/>
      <c r="AL654" s="56"/>
      <c r="AM654" s="56"/>
      <c r="AN654" s="56"/>
      <c r="AO654" s="56"/>
      <c r="AP654" s="56"/>
      <c r="AQ654" s="56"/>
      <c r="AR654" s="109"/>
      <c r="AS654" s="56"/>
      <c r="AT654" s="56"/>
      <c r="AU654" s="8"/>
      <c r="AV654" s="25">
        <v>60</v>
      </c>
      <c r="AW654" s="25">
        <f>7*24*3600*1</f>
        <v>604800</v>
      </c>
      <c r="AX654" s="25">
        <f>7*24*3600*2</f>
        <v>1209600</v>
      </c>
      <c r="AY654" s="25">
        <f>7*24*3600*3</f>
        <v>1814400</v>
      </c>
      <c r="AZ654" s="25">
        <f>7*24*3600*4</f>
        <v>2419200</v>
      </c>
      <c r="BA654" s="53" t="s">
        <v>536</v>
      </c>
      <c r="BB654" s="53"/>
      <c r="BC654" s="53"/>
      <c r="BD654" s="53"/>
      <c r="BE654" s="53"/>
      <c r="BF654" s="53"/>
      <c r="BG654" s="53"/>
      <c r="BH654" s="53"/>
      <c r="BI654" s="53"/>
      <c r="BJ654" s="53"/>
      <c r="BK654" s="53"/>
      <c r="BL654" s="53"/>
      <c r="BM654" s="53"/>
      <c r="BN654" s="53"/>
      <c r="BO654" s="53"/>
      <c r="BP654" s="53"/>
      <c r="BQ654" s="53"/>
      <c r="BR654" s="53"/>
      <c r="BS654" s="53"/>
      <c r="BT654" s="53"/>
      <c r="BU654" s="53"/>
      <c r="BV654" s="53"/>
      <c r="BW654" s="53"/>
      <c r="BX654" s="53"/>
      <c r="BY654" s="53"/>
      <c r="BZ654" s="53"/>
      <c r="CA654" s="53"/>
      <c r="CB654" s="53"/>
      <c r="CC654" s="53"/>
      <c r="CD654" s="53"/>
      <c r="CE654" s="53"/>
      <c r="CF654" s="53"/>
      <c r="CG654" s="53"/>
      <c r="CH654" s="53"/>
      <c r="CI654" s="53"/>
      <c r="CJ654" s="53"/>
      <c r="CK654" s="53"/>
      <c r="CL654" s="53"/>
      <c r="CM654" s="53"/>
      <c r="CN654" s="53"/>
      <c r="CO654" s="53"/>
      <c r="CP654" s="53"/>
      <c r="CQ654" s="53"/>
      <c r="CR654" s="1"/>
      <c r="CS654" s="1"/>
      <c r="CT654" s="1"/>
      <c r="CU654" s="1"/>
    </row>
    <row r="655" spans="1:99" s="13" customFormat="1" ht="12" customHeight="1" x14ac:dyDescent="0.2">
      <c r="A655" s="65">
        <v>43509</v>
      </c>
      <c r="B655" s="1" t="s">
        <v>166</v>
      </c>
      <c r="C655" s="1" t="s">
        <v>167</v>
      </c>
      <c r="D655" s="60">
        <v>1970</v>
      </c>
      <c r="E655" s="76">
        <v>1</v>
      </c>
      <c r="F655" s="60">
        <v>150</v>
      </c>
      <c r="G655" s="60">
        <v>15</v>
      </c>
      <c r="H655" s="60" t="s">
        <v>50</v>
      </c>
      <c r="I655" s="60" t="s">
        <v>826</v>
      </c>
      <c r="J655" s="60" t="s">
        <v>828</v>
      </c>
      <c r="K655" s="60">
        <f>IF(J655="syllables",1,IF(J655="trigrams",2,IF(J655="strings",3,IF(J655="visual array",4,IF(J655="characters",5,IF(J655="letters",6,IF(J655="free forms",7,IF(J655="odors",8,IF(J655="words",9,IF(J655="pictures",10,IF(J655="object pictures",11,IF(J655="faces",12,IF(J655="names",13,IF(J655="idioms",14,IF(J655="grades",15,IF(J655="syllable-digit pairs",16,IF(J655="trigram-word pairs",17,IF(J655="word-digit pairs",18,IF(J655="English-Swahili pairs",19,IF(J655="spatial position",20,IF(J655="word pairs",21,IF(J655="word triads",22,IF(J655="generated words",23,IF(J655="word definition pairs",24,IF(J655="math problems",25,IF(J655="famous faces",26,IF(J655="famous names",27,IF(J655="famous voices",28,IF(J655="television programs",29,IF(J655="race horses",30,IF(J655="new vocabulary",31,IF(J655="sentences",32,IF(J655="concepts",33,IF(J655="ad slides",34,IF(J655="scenes",35,IF(J655="famous scenes",36,IF(J655="poems",37,IF(J655="walk",38,IF(J655="faces and events",39,IF(J655="events and names",40,IF(J655="flashbulb",41,IF(J655="stories",42,IF(J655="course material",43,IF(J655="autobiographical",44,IF(J655="novels",45,IF(J655="public events",46,"99"))))))))))))))))))))))))))))))))))))))))))))))</f>
        <v>17</v>
      </c>
      <c r="L655" s="60">
        <f>IF(J655="syllables",1,IF(J655="trigrams",1,IF(J655="strings",1,IF(J655="visual array",1,IF(J655="characters",1,IF(J655="letters",1,IF(J655="free forms",1,IF(J655="odors",2,IF(J655="words",2,IF(J655="pictures",2,IF(J655="object pictures",2,IF(J655="faces",2,IF(J655="names",2,IF(J655="idioms","2",IF(J655="grades",2,IF(J655="syllable-digit pairs",3,IF(J655="trigram-word pairs",3,IF(J655="word-digit pairs",3,IF(J655="English-Swahili pairs",3,IF(J655="spatial position",3,IF(J655="word pairs",4,IF(J655="word triads",4,IF(J655="generated words",4,IF(J655="word definition pairs",4,IF(J655="math problems",4,IF(J655="famous faces",4,IF(J655="famous names",4,IF(J655="famous voices",4,IF(J655="television programs",4,IF(J655="race horses",4,IF(J655="new vocabulary",4,IF(J655="sentences",5,IF(J655="concepts",5,IF(J655="ad slides",5,IF(J655="scenes",5,IF(J655="famous scenes",5,IF(J655="poems",6,IF(J655="walk",6,IF(J655="faces and events",6,IF(J655="events and names",6,IF(J655="flashbulb",7,IF(J655="stories",7,IF(J655="course material",7,IF(J655="autobiographical",7,IF(J655="novels",7,IF(J655="public events",7,"99"))))))))))))))))))))))))))))))))))))))))))))))</f>
        <v>3</v>
      </c>
      <c r="M655" s="60">
        <v>1</v>
      </c>
      <c r="N655" s="60">
        <v>2</v>
      </c>
      <c r="O655" s="60">
        <v>0</v>
      </c>
      <c r="P655" s="60"/>
      <c r="Q655" s="60" t="s">
        <v>65</v>
      </c>
      <c r="R655" s="60">
        <f>IF(Q655="Free Recall",1,IF(Q655="Cued Recall",2,IF(Q655="Recognition",3,IF(Q655="Multiple Choice",4,IF(Q655="Savings",5,IF(Q655="Stem Completion",6,IF(Q655="Fragment Completion",7,IF(Q655="anagram solution",8,IF(Q655="Matching",9,IF(Q655="Problem Solving",10,"99"))))))))))</f>
        <v>2</v>
      </c>
      <c r="S655" s="60" t="s">
        <v>49</v>
      </c>
      <c r="T655" s="59" t="s">
        <v>261</v>
      </c>
      <c r="U655" s="60">
        <f>IF(T655="within",1,0)</f>
        <v>0</v>
      </c>
      <c r="V655" s="59">
        <v>10</v>
      </c>
      <c r="W655" s="60">
        <f>F655*V655</f>
        <v>1500</v>
      </c>
      <c r="X655" s="60">
        <v>5</v>
      </c>
      <c r="Y655" s="76">
        <f>AV654</f>
        <v>60</v>
      </c>
      <c r="Z655" s="60" t="s">
        <v>140</v>
      </c>
      <c r="AA655" s="60">
        <v>2419200</v>
      </c>
      <c r="AB655" s="60" t="str">
        <f>IF(AA655&lt;60,"1",IF(AA655&lt;=43200,"2",IF(AA655&lt;=777600,"3","4")))</f>
        <v>4</v>
      </c>
      <c r="AC655" s="56">
        <f>AVERAGE(AV654:DA654)</f>
        <v>1209612</v>
      </c>
      <c r="AD655" s="60" t="str">
        <f>IF(AC655&lt;60,"1",IF(AC655&lt;=43200,"2",IF(AC655&lt;=777600,"3","4")))</f>
        <v>4</v>
      </c>
      <c r="AE655" s="76">
        <f>AA655-Y655</f>
        <v>2419140</v>
      </c>
      <c r="AF655" s="80">
        <f>AV655</f>
        <v>0.8</v>
      </c>
      <c r="AG655" s="56">
        <f>((AW655-AV655)+(AX655-AW655)+(AY655-AX655)+(AZ655-AY655))/4</f>
        <v>-0.15750000000000003</v>
      </c>
      <c r="AH655" s="4"/>
      <c r="AI655" s="56">
        <f>RSQ(AV655:AZ655,AV654:AZ654)</f>
        <v>0.90706142733787642</v>
      </c>
      <c r="AJ655" s="109">
        <f>SLOPE(AV655:AZ655,AV654:AZ654)</f>
        <v>-2.3148479487027853E-7</v>
      </c>
      <c r="AK655" s="56">
        <f>INTERCEPT(AV655:AZ655,AV654:AZ654)</f>
        <v>0.72200678569262733</v>
      </c>
      <c r="AL655" s="56">
        <f>INDEX(LINEST(LN(AV655:AZ655),LN(AV654:AZ654),TRUE,TRUE),3,1)</f>
        <v>0.5938502453823713</v>
      </c>
      <c r="AM655" s="56">
        <f>INDEX(LINEST(LN(AV655:AZ655),LN(AV654:AZ654)),1)</f>
        <v>-9.648432894161274E-2</v>
      </c>
      <c r="AN655" s="56">
        <f>EXP(INDEX(LINEST(LN(AV655:AZ655),LN(AV654:AZ654)),1,2))</f>
        <v>1.261634177812212</v>
      </c>
      <c r="AO655" s="82">
        <f>INDEX(LINEST((AV655:AZ655),LN(AV654:AZ654),TRUE,TRUE),3,1)</f>
        <v>0.82654518067581861</v>
      </c>
      <c r="AP655" s="82">
        <f>INDEX(LINEST((AV655:AZ655),LN(AV654:AZ654)),1)</f>
        <v>-4.6873068215225487E-2</v>
      </c>
      <c r="AQ655" s="83">
        <f>INDEX(LINEST(LN(AV655:AZ655),SQRT(AV654:AZ654),TRUE,TRUE),3,1)</f>
        <v>0.84891237225257676</v>
      </c>
      <c r="AR655" s="116">
        <f>INDEX(LINEST(LN(AV655:AZ655),SQRT((AV654:AZ654))),1)</f>
        <v>-8.5966321517653955E-4</v>
      </c>
      <c r="AS655" s="84">
        <f>INDEX(LINEST(1/(AV655:AZ655),1/(SQRT(AV654:AZ654)),TRUE,TRUE),3,1)</f>
        <v>0.27752765475675434</v>
      </c>
      <c r="AT655" s="84">
        <f>INDEX(LINEST(1/(AV655:AZ655),1/SQRT(AV654:AZ654)),1)</f>
        <v>-16.251447821930896</v>
      </c>
      <c r="AU655" s="3"/>
      <c r="AV655" s="53">
        <f>4/5</f>
        <v>0.8</v>
      </c>
      <c r="AW655" s="53">
        <f>2.5/5</f>
        <v>0.5</v>
      </c>
      <c r="AX655" s="53">
        <f>1.9/5</f>
        <v>0.38</v>
      </c>
      <c r="AY655" s="53">
        <f>1.8/5</f>
        <v>0.36</v>
      </c>
      <c r="AZ655" s="53">
        <f>0.85/5</f>
        <v>0.16999999999999998</v>
      </c>
      <c r="BA655" s="53"/>
      <c r="BB655" s="53"/>
      <c r="BC655" s="53"/>
      <c r="BD655" s="53"/>
      <c r="BE655" s="53"/>
      <c r="BF655" s="53"/>
      <c r="BG655" s="53"/>
      <c r="BH655" s="53"/>
      <c r="BI655" s="53"/>
      <c r="BJ655" s="53"/>
      <c r="BK655" s="53"/>
      <c r="BL655" s="53"/>
      <c r="BM655" s="53"/>
      <c r="BN655" s="53"/>
      <c r="BO655" s="53"/>
      <c r="BP655" s="53"/>
      <c r="BQ655" s="53"/>
      <c r="BR655" s="53"/>
      <c r="BS655" s="53"/>
      <c r="BT655" s="53"/>
      <c r="BU655" s="53"/>
      <c r="BV655" s="53"/>
      <c r="BW655" s="53"/>
      <c r="BX655" s="53"/>
      <c r="BY655" s="53"/>
      <c r="BZ655" s="53"/>
      <c r="CA655" s="53"/>
      <c r="CB655" s="53"/>
      <c r="CC655" s="53"/>
      <c r="CD655" s="53"/>
      <c r="CE655" s="53"/>
      <c r="CF655" s="53"/>
      <c r="CG655" s="53"/>
      <c r="CH655" s="53"/>
      <c r="CI655" s="53"/>
      <c r="CJ655" s="53"/>
      <c r="CK655" s="53"/>
      <c r="CL655" s="53"/>
      <c r="CM655" s="53"/>
      <c r="CN655" s="53"/>
      <c r="CO655" s="53"/>
      <c r="CP655" s="53"/>
      <c r="CQ655" s="53"/>
      <c r="CR655" s="1"/>
      <c r="CS655" s="1"/>
      <c r="CT655" s="1"/>
      <c r="CU655" s="1"/>
    </row>
    <row r="656" spans="1:99" s="13" customFormat="1" ht="12" customHeight="1" x14ac:dyDescent="0.2">
      <c r="A656" s="65">
        <v>43509</v>
      </c>
      <c r="B656" s="1"/>
      <c r="C656" s="1"/>
      <c r="D656" s="60"/>
      <c r="E656" s="76"/>
      <c r="F656" s="60"/>
      <c r="G656" s="60"/>
      <c r="H656" s="60"/>
      <c r="I656" s="60"/>
      <c r="J656" s="60"/>
      <c r="K656" s="64"/>
      <c r="L656" s="64"/>
      <c r="M656" s="60"/>
      <c r="N656" s="60"/>
      <c r="O656" s="60"/>
      <c r="P656" s="60"/>
      <c r="Q656" s="60"/>
      <c r="R656" s="60"/>
      <c r="S656" s="60"/>
      <c r="T656" s="60"/>
      <c r="U656" s="60"/>
      <c r="V656" s="60"/>
      <c r="W656" s="60"/>
      <c r="X656" s="60"/>
      <c r="Y656" s="76"/>
      <c r="Z656" s="60"/>
      <c r="AA656" s="60"/>
      <c r="AB656" s="60"/>
      <c r="AC656" s="60"/>
      <c r="AD656" s="60"/>
      <c r="AE656" s="60"/>
      <c r="AF656" s="80"/>
      <c r="AG656" s="56"/>
      <c r="AH656" s="4"/>
      <c r="AI656" s="56"/>
      <c r="AJ656" s="109"/>
      <c r="AK656" s="56"/>
      <c r="AL656" s="56"/>
      <c r="AM656" s="56"/>
      <c r="AN656" s="56"/>
      <c r="AO656" s="56"/>
      <c r="AP656" s="56"/>
      <c r="AQ656" s="56"/>
      <c r="AR656" s="109"/>
      <c r="AS656" s="56"/>
      <c r="AT656" s="56"/>
      <c r="AU656" s="4"/>
      <c r="AV656" s="25">
        <v>60</v>
      </c>
      <c r="AW656" s="25">
        <f>7*24*3600*1</f>
        <v>604800</v>
      </c>
      <c r="AX656" s="25">
        <f>7*24*3600*2</f>
        <v>1209600</v>
      </c>
      <c r="AY656" s="25">
        <f>7*24*3600*3</f>
        <v>1814400</v>
      </c>
      <c r="AZ656" s="25">
        <f>7*24*3600*4</f>
        <v>2419200</v>
      </c>
      <c r="BA656" s="53"/>
      <c r="BB656" s="53"/>
      <c r="BC656" s="53"/>
      <c r="BD656" s="53"/>
      <c r="BE656" s="53"/>
      <c r="BF656" s="53"/>
      <c r="BG656" s="53"/>
      <c r="BH656" s="53"/>
      <c r="BI656" s="53"/>
      <c r="BJ656" s="53"/>
      <c r="BK656" s="53"/>
      <c r="BL656" s="53"/>
      <c r="BM656" s="53"/>
      <c r="BN656" s="53"/>
      <c r="BO656" s="53"/>
      <c r="BP656" s="53"/>
      <c r="BQ656" s="53"/>
      <c r="BR656" s="53"/>
      <c r="BS656" s="53"/>
      <c r="BT656" s="53"/>
      <c r="BU656" s="53"/>
      <c r="BV656" s="53"/>
      <c r="BW656" s="53"/>
      <c r="BX656" s="53"/>
      <c r="BY656" s="53"/>
      <c r="BZ656" s="53"/>
      <c r="CA656" s="53"/>
      <c r="CB656" s="53"/>
      <c r="CC656" s="53"/>
      <c r="CD656" s="53"/>
      <c r="CE656" s="53"/>
      <c r="CF656" s="53"/>
      <c r="CG656" s="53"/>
      <c r="CH656" s="53"/>
      <c r="CI656" s="53"/>
      <c r="CJ656" s="53"/>
      <c r="CK656" s="53"/>
      <c r="CL656" s="53"/>
      <c r="CM656" s="53"/>
      <c r="CN656" s="53"/>
      <c r="CO656" s="53"/>
      <c r="CP656" s="53"/>
      <c r="CQ656" s="53"/>
      <c r="CR656" s="1"/>
      <c r="CS656" s="1"/>
      <c r="CT656" s="1"/>
      <c r="CU656" s="1"/>
    </row>
    <row r="657" spans="1:99" s="13" customFormat="1" ht="12" customHeight="1" x14ac:dyDescent="0.2">
      <c r="A657" s="65">
        <v>43509</v>
      </c>
      <c r="B657" s="1" t="s">
        <v>166</v>
      </c>
      <c r="C657" s="1" t="s">
        <v>167</v>
      </c>
      <c r="D657" s="60">
        <v>1970</v>
      </c>
      <c r="E657" s="76">
        <v>1</v>
      </c>
      <c r="F657" s="60">
        <v>150</v>
      </c>
      <c r="G657" s="60">
        <v>15</v>
      </c>
      <c r="H657" s="60" t="s">
        <v>50</v>
      </c>
      <c r="I657" s="60" t="s">
        <v>827</v>
      </c>
      <c r="J657" s="60" t="s">
        <v>828</v>
      </c>
      <c r="K657" s="60">
        <f>IF(J657="syllables",1,IF(J657="trigrams",2,IF(J657="strings",3,IF(J657="visual array",4,IF(J657="characters",5,IF(J657="letters",6,IF(J657="free forms",7,IF(J657="odors",8,IF(J657="words",9,IF(J657="pictures",10,IF(J657="object pictures",11,IF(J657="faces",12,IF(J657="names",13,IF(J657="idioms",14,IF(J657="grades",15,IF(J657="syllable-digit pairs",16,IF(J657="trigram-word pairs",17,IF(J657="word-digit pairs",18,IF(J657="English-Swahili pairs",19,IF(J657="spatial position",20,IF(J657="word pairs",21,IF(J657="word triads",22,IF(J657="generated words",23,IF(J657="word definition pairs",24,IF(J657="math problems",25,IF(J657="famous faces",26,IF(J657="famous names",27,IF(J657="famous voices",28,IF(J657="television programs",29,IF(J657="race horses",30,IF(J657="new vocabulary",31,IF(J657="sentences",32,IF(J657="concepts",33,IF(J657="ad slides",34,IF(J657="scenes",35,IF(J657="famous scenes",36,IF(J657="poems",37,IF(J657="walk",38,IF(J657="faces and events",39,IF(J657="events and names",40,IF(J657="flashbulb",41,IF(J657="stories",42,IF(J657="course material",43,IF(J657="autobiographical",44,IF(J657="novels",45,IF(J657="public events",46,"99"))))))))))))))))))))))))))))))))))))))))))))))</f>
        <v>17</v>
      </c>
      <c r="L657" s="60">
        <f>IF(J657="syllables",1,IF(J657="trigrams",1,IF(J657="strings",1,IF(J657="visual array",1,IF(J657="characters",1,IF(J657="letters",1,IF(J657="free forms",1,IF(J657="odors",2,IF(J657="words",2,IF(J657="pictures",2,IF(J657="object pictures",2,IF(J657="faces",2,IF(J657="names",2,IF(J657="idioms","2",IF(J657="grades",2,IF(J657="syllable-digit pairs",3,IF(J657="trigram-word pairs",3,IF(J657="word-digit pairs",3,IF(J657="English-Swahili pairs",3,IF(J657="spatial position",3,IF(J657="word pairs",4,IF(J657="word triads",4,IF(J657="generated words",4,IF(J657="word definition pairs",4,IF(J657="math problems",4,IF(J657="famous faces",4,IF(J657="famous names",4,IF(J657="famous voices",4,IF(J657="television programs",4,IF(J657="race horses",4,IF(J657="new vocabulary",4,IF(J657="sentences",5,IF(J657="concepts",5,IF(J657="ad slides",5,IF(J657="scenes",5,IF(J657="famous scenes",5,IF(J657="poems",6,IF(J657="walk",6,IF(J657="faces and events",6,IF(J657="events and names",6,IF(J657="flashbulb",7,IF(J657="stories",7,IF(J657="course material",7,IF(J657="autobiographical",7,IF(J657="novels",7,IF(J657="public events",7,"99"))))))))))))))))))))))))))))))))))))))))))))))</f>
        <v>3</v>
      </c>
      <c r="M657" s="60">
        <v>1</v>
      </c>
      <c r="N657" s="60">
        <v>2</v>
      </c>
      <c r="O657" s="60">
        <v>0</v>
      </c>
      <c r="P657" s="60"/>
      <c r="Q657" s="60" t="s">
        <v>65</v>
      </c>
      <c r="R657" s="60">
        <f>IF(Q657="Free Recall",1,IF(Q657="Cued Recall",2,IF(Q657="Recognition",3,IF(Q657="Multiple Choice",4,IF(Q657="Savings",5,IF(Q657="Stem Completion",6,IF(Q657="Fragment Completion",7,IF(Q657="anagram solution",8,IF(Q657="Matching",9,IF(Q657="Problem Solving",10,"99"))))))))))</f>
        <v>2</v>
      </c>
      <c r="S657" s="60" t="s">
        <v>49</v>
      </c>
      <c r="T657" s="59" t="s">
        <v>261</v>
      </c>
      <c r="U657" s="60">
        <f>IF(T657="within",1,0)</f>
        <v>0</v>
      </c>
      <c r="V657" s="59">
        <v>10</v>
      </c>
      <c r="W657" s="60">
        <f>F657*V657</f>
        <v>1500</v>
      </c>
      <c r="X657" s="60">
        <v>5</v>
      </c>
      <c r="Y657" s="76">
        <f>AV656</f>
        <v>60</v>
      </c>
      <c r="Z657" s="60" t="s">
        <v>140</v>
      </c>
      <c r="AA657" s="60">
        <v>2419200</v>
      </c>
      <c r="AB657" s="60" t="str">
        <f>IF(AA657&lt;60,"1",IF(AA657&lt;=43200,"2",IF(AA657&lt;=777600,"3","4")))</f>
        <v>4</v>
      </c>
      <c r="AC657" s="56">
        <f>AVERAGE(AV656:DA656)</f>
        <v>1209612</v>
      </c>
      <c r="AD657" s="60" t="str">
        <f>IF(AC657&lt;60,"1",IF(AC657&lt;=43200,"2",IF(AC657&lt;=777600,"3","4")))</f>
        <v>4</v>
      </c>
      <c r="AE657" s="76">
        <f>AA657-Y657</f>
        <v>2419140</v>
      </c>
      <c r="AF657" s="80">
        <f>AV657</f>
        <v>0.8</v>
      </c>
      <c r="AG657" s="56">
        <f>((AW657-AV657)+(AX657-AW657)+(AY657-AX657)+(AZ657-AY657))/4</f>
        <v>-0.15750000000000003</v>
      </c>
      <c r="AH657" s="4"/>
      <c r="AI657" s="56">
        <f>RSQ(AV657:AZ657,AV656:AZ656)</f>
        <v>0.93404607413706586</v>
      </c>
      <c r="AJ657" s="109">
        <f>SLOPE(AV657:AZ657,AV656:AZ656)</f>
        <v>-2.3809894517043886E-7</v>
      </c>
      <c r="AK657" s="56">
        <f>INTERCEPT(AV657:AZ657,AV656:AZ656)</f>
        <v>0.73800734126550482</v>
      </c>
      <c r="AL657" s="56">
        <f>INDEX(LINEST(LN(AV657:AZ657),LN(AV656:AZ656),TRUE,TRUE),3,1)</f>
        <v>0.56133525489051517</v>
      </c>
      <c r="AM657" s="56">
        <f>INDEX(LINEST(LN(AV657:AZ657),LN(AV656:AZ656)),1)</f>
        <v>-9.5340603509042846E-2</v>
      </c>
      <c r="AN657" s="56">
        <f>EXP(INDEX(LINEST(LN(AV657:AZ657),LN(AV656:AZ656)),1,2))</f>
        <v>1.263588531725258</v>
      </c>
      <c r="AO657" s="82">
        <f>INDEX(LINEST((AV657:AZ657),LN(AV656:AZ656),TRUE,TRUE),3,1)</f>
        <v>0.78422794162373155</v>
      </c>
      <c r="AP657" s="82">
        <f>INDEX(LINEST((AV657:AZ657),LN(AV656:AZ656)),1)</f>
        <v>-4.6278624368995866E-2</v>
      </c>
      <c r="AQ657" s="83">
        <f>INDEX(LINEST(LN(AV657:AZ657),SQRT(AV656:AZ656),TRUE,TRUE),3,1)</f>
        <v>0.83997672143882285</v>
      </c>
      <c r="AR657" s="116">
        <f>INDEX(LINEST(LN(AV657:AZ657),SQRT((AV656:AZ656))),1)</f>
        <v>-8.6911843932246761E-4</v>
      </c>
      <c r="AS657" s="84">
        <f>INDEX(LINEST(1/(AV657:AZ657),1/(SQRT(AV656:AZ656)),TRUE,TRUE),3,1)</f>
        <v>0.26189614227526015</v>
      </c>
      <c r="AT657" s="84">
        <f>INDEX(LINEST(1/(AV657:AZ657),1/SQRT(AV656:AZ656)),1)</f>
        <v>-15.966964901169584</v>
      </c>
      <c r="AU657" s="3"/>
      <c r="AV657" s="53">
        <f>4/5</f>
        <v>0.8</v>
      </c>
      <c r="AW657" s="53">
        <f>2.7/5</f>
        <v>0.54</v>
      </c>
      <c r="AX657" s="53">
        <f>1.9/5</f>
        <v>0.38</v>
      </c>
      <c r="AY657" s="53">
        <f>1.8/5</f>
        <v>0.36</v>
      </c>
      <c r="AZ657" s="53">
        <f>0.85/5</f>
        <v>0.16999999999999998</v>
      </c>
      <c r="BA657" s="53"/>
      <c r="BB657" s="53"/>
      <c r="BC657" s="53"/>
      <c r="BD657" s="53"/>
      <c r="BE657" s="53"/>
      <c r="BF657" s="53"/>
      <c r="BG657" s="53"/>
      <c r="BH657" s="53"/>
      <c r="BI657" s="53"/>
      <c r="BJ657" s="53"/>
      <c r="BK657" s="53"/>
      <c r="BL657" s="53"/>
      <c r="BM657" s="53"/>
      <c r="BN657" s="53"/>
      <c r="BO657" s="53"/>
      <c r="BP657" s="53"/>
      <c r="BQ657" s="53"/>
      <c r="BR657" s="53"/>
      <c r="BS657" s="53"/>
      <c r="BT657" s="53"/>
      <c r="BU657" s="53"/>
      <c r="BV657" s="53"/>
      <c r="BW657" s="53"/>
      <c r="BX657" s="53"/>
      <c r="BY657" s="53"/>
      <c r="BZ657" s="53"/>
      <c r="CA657" s="53"/>
      <c r="CB657" s="53"/>
      <c r="CC657" s="53"/>
      <c r="CD657" s="53"/>
      <c r="CE657" s="53"/>
      <c r="CF657" s="53"/>
      <c r="CG657" s="53"/>
      <c r="CH657" s="53"/>
      <c r="CI657" s="53"/>
      <c r="CJ657" s="53"/>
      <c r="CK657" s="53"/>
      <c r="CL657" s="53"/>
      <c r="CM657" s="53"/>
      <c r="CN657" s="53"/>
      <c r="CO657" s="53"/>
      <c r="CP657" s="53"/>
      <c r="CQ657" s="53"/>
      <c r="CR657" s="1"/>
      <c r="CS657" s="1"/>
      <c r="CT657" s="1"/>
      <c r="CU657" s="1"/>
    </row>
    <row r="658" spans="1:99" ht="12" customHeight="1" x14ac:dyDescent="0.2">
      <c r="A658" s="68">
        <v>43509</v>
      </c>
      <c r="B658" s="94"/>
      <c r="C658" s="94"/>
      <c r="D658" s="92"/>
      <c r="E658" s="105"/>
      <c r="F658" s="92"/>
      <c r="G658" s="92"/>
      <c r="H658" s="92"/>
      <c r="I658" s="92"/>
      <c r="J658" s="92"/>
      <c r="K658" s="107"/>
      <c r="L658" s="107"/>
      <c r="M658" s="92"/>
      <c r="N658" s="92"/>
      <c r="O658" s="92"/>
      <c r="P658" s="92"/>
      <c r="Q658" s="92"/>
      <c r="R658" s="69"/>
      <c r="S658" s="92"/>
      <c r="T658" s="92"/>
      <c r="U658" s="60"/>
      <c r="V658" s="92"/>
      <c r="W658" s="69"/>
      <c r="X658" s="92"/>
      <c r="Y658" s="87"/>
      <c r="Z658" s="92"/>
      <c r="AA658" s="92"/>
      <c r="AB658" s="69"/>
      <c r="AC658" s="69"/>
      <c r="AD658" s="69"/>
      <c r="AE658" s="69"/>
      <c r="AF658" s="88"/>
      <c r="AG658" s="72"/>
      <c r="AH658" s="4"/>
      <c r="AI658" s="108"/>
      <c r="AJ658" s="113"/>
      <c r="AK658" s="108"/>
      <c r="AL658" s="108"/>
      <c r="AM658" s="108"/>
      <c r="AN658" s="108"/>
      <c r="AO658" s="108"/>
      <c r="AP658" s="108"/>
      <c r="AQ658" s="72"/>
      <c r="AR658" s="110"/>
      <c r="AS658" s="72"/>
      <c r="AT658" s="72"/>
      <c r="AU658" s="4"/>
      <c r="AV658" s="98">
        <f>3*30*24*3600</f>
        <v>7776000</v>
      </c>
      <c r="AW658" s="98">
        <f>15*30*24*3600</f>
        <v>38880000</v>
      </c>
      <c r="AX658" s="98">
        <f>27*30*24*3600</f>
        <v>69984000</v>
      </c>
      <c r="AY658" s="98">
        <f>39*30*24*3600</f>
        <v>101088000</v>
      </c>
      <c r="AZ658" s="11"/>
      <c r="BA658" s="11"/>
      <c r="BB658" s="11"/>
      <c r="BC658" s="11"/>
      <c r="BD658" s="11"/>
      <c r="BE658" s="11"/>
      <c r="BF658" s="11"/>
      <c r="BG658" s="11"/>
      <c r="BH658" s="11"/>
      <c r="BI658" s="11"/>
      <c r="BJ658" s="11"/>
      <c r="BK658" s="11"/>
      <c r="BL658" s="11"/>
      <c r="BM658" s="11"/>
      <c r="BN658" s="11"/>
      <c r="BO658" s="11"/>
      <c r="BP658" s="11"/>
      <c r="BQ658" s="11"/>
      <c r="BR658" s="11"/>
      <c r="BS658" s="11"/>
      <c r="BT658" s="11"/>
      <c r="BU658" s="11"/>
      <c r="BV658" s="11"/>
      <c r="BW658" s="11"/>
      <c r="BX658" s="11"/>
      <c r="BY658" s="11"/>
      <c r="BZ658" s="11"/>
      <c r="CA658" s="11"/>
      <c r="CB658" s="11"/>
      <c r="CC658" s="11"/>
      <c r="CD658" s="11"/>
      <c r="CE658" s="11"/>
      <c r="CF658" s="11"/>
      <c r="CG658" s="11"/>
      <c r="CH658" s="11"/>
      <c r="CI658" s="11"/>
      <c r="CJ658" s="11"/>
      <c r="CK658" s="11"/>
      <c r="CL658" s="11"/>
      <c r="CM658" s="11"/>
      <c r="CN658" s="11"/>
      <c r="CO658" s="11"/>
      <c r="CP658" s="11"/>
      <c r="CQ658" s="11"/>
      <c r="CR658" s="15"/>
      <c r="CS658" s="15"/>
      <c r="CT658" s="15"/>
      <c r="CU658" s="15"/>
    </row>
    <row r="659" spans="1:99" ht="12" customHeight="1" x14ac:dyDescent="0.2">
      <c r="A659" s="68">
        <v>43509</v>
      </c>
      <c r="B659" s="94" t="s">
        <v>283</v>
      </c>
      <c r="C659" s="94" t="s">
        <v>192</v>
      </c>
      <c r="D659" s="92">
        <v>1993</v>
      </c>
      <c r="E659" s="105">
        <v>1</v>
      </c>
      <c r="F659" s="92">
        <v>140</v>
      </c>
      <c r="G659" s="92">
        <v>35</v>
      </c>
      <c r="H659" s="92" t="s">
        <v>50</v>
      </c>
      <c r="I659" s="92" t="s">
        <v>599</v>
      </c>
      <c r="J659" s="92" t="s">
        <v>483</v>
      </c>
      <c r="K659" s="69">
        <f>IF(J659="syllables",1,IF(J659="trigrams",2,IF(J659="strings",3,IF(J659="visual array",4,IF(J659="characters",5,IF(J659="letters",6,IF(J659="free forms",7,IF(J659="odors",8,IF(J659="words",9,IF(J659="pictures",10,IF(J659="object pictures",11,IF(J659="faces",12,IF(J659="names",13,IF(J659="idioms",14,IF(J659="grades",15,IF(J659="syllable-digit pairs",16,IF(J659="trigram-word pairs",17,IF(J659="word-digit pairs",18,IF(J659="English-Swahili pairs",19,IF(J659="spatial position",20,IF(J659="word pairs",21,IF(J659="word triads",22,IF(J659="generated words",23,IF(J659="word definition pairs",24,IF(J659="math problems",25,IF(J659="famous faces",26,IF(J659="famous names",27,IF(J659="famous voices",28,IF(J659="television programs",29,IF(J659="race horses",30,IF(J659="new vocabulary",31,IF(J659="sentences",32,IF(J659="concepts",33,IF(J659="ad slides",34,IF(J659="scenes",35,IF(J659="famous scenes",36,IF(J659="poems",37,IF(J659="walk",38,IF(J659="faces and events",39,IF(J659="events and names",40,IF(J659="flashbulb",41,IF(J659="stories",42,IF(J659="course material",43,IF(J659="autobiographical",44,IF(J659="novels",45,IF(J659="public events",46,"99"))))))))))))))))))))))))))))))))))))))))))))))</f>
        <v>45</v>
      </c>
      <c r="L659" s="69">
        <f>IF(J659="syllables",1,IF(J659="trigrams",1,IF(J659="strings",1,IF(J659="visual array",1,IF(J659="characters",1,IF(J659="letters",1,IF(J659="free forms",1,IF(J659="odors",2,IF(J659="words",2,IF(J659="pictures",2,IF(J659="object pictures",2,IF(J659="faces",2,IF(J659="names",2,IF(J659="idioms","2",IF(J659="grades",2,IF(J659="syllable-digit pairs",3,IF(J659="trigram-word pairs",3,IF(J659="word-digit pairs",3,IF(J659="English-Swahili pairs",3,IF(J659="spatial position",3,IF(J659="word pairs",4,IF(J659="word triads",4,IF(J659="generated words",4,IF(J659="word definition pairs",4,IF(J659="math problems",4,IF(J659="famous faces",4,IF(J659="famous names",4,IF(J659="famous voices",4,IF(J659="television programs",4,IF(J659="race horses",4,IF(J659="new vocabulary",4,IF(J659="sentences",5,IF(J659="concepts",5,IF(J659="ad slides",5,IF(J659="scenes",5,IF(J659="famous scenes",5,IF(J659="poems",6,IF(J659="walk",6,IF(J659="faces and events",6,IF(J659="events and names",6,IF(J659="flashbulb",7,IF(J659="stories",7,IF(J659="course material",7,IF(J659="autobiographical",7,IF(J659="novels",7,IF(J659="public events",7,"99"))))))))))))))))))))))))))))))))))))))))))))))</f>
        <v>7</v>
      </c>
      <c r="M659" s="92">
        <v>0</v>
      </c>
      <c r="N659" s="92">
        <v>3</v>
      </c>
      <c r="O659" s="92">
        <v>0</v>
      </c>
      <c r="P659" s="92"/>
      <c r="Q659" s="92" t="s">
        <v>174</v>
      </c>
      <c r="R659" s="69">
        <f>IF(Q659="Free Recall",1,IF(Q659="Cued Recall",2,IF(Q659="Recognition",3,IF(Q659="Multiple Choice",4,IF(Q659="Savings",5,IF(Q659="Stem Completion",6,IF(Q659="Fragment Completion",7,IF(Q659="anagram solution",8,IF(Q659="Matching",9,IF(Q659="Problem Solving",10,"99"))))))))))</f>
        <v>1</v>
      </c>
      <c r="S659" s="92" t="s">
        <v>49</v>
      </c>
      <c r="T659" s="92" t="s">
        <v>261</v>
      </c>
      <c r="U659" s="60">
        <f>IF(T659="within",1,0)</f>
        <v>0</v>
      </c>
      <c r="V659" s="92">
        <v>30</v>
      </c>
      <c r="W659" s="69">
        <f>F659*V659</f>
        <v>4200</v>
      </c>
      <c r="X659" s="92">
        <v>4</v>
      </c>
      <c r="Y659" s="87">
        <f>AV658</f>
        <v>7776000</v>
      </c>
      <c r="Z659" s="92" t="s">
        <v>284</v>
      </c>
      <c r="AA659" s="92">
        <f>39*30*24*3600</f>
        <v>101088000</v>
      </c>
      <c r="AB659" s="69" t="str">
        <f>IF(AA659&lt;60,"1",IF(AA659&lt;=43200,"2",IF(AA659&lt;=777600,"3","4")))</f>
        <v>4</v>
      </c>
      <c r="AC659" s="72">
        <f>AVERAGE(AV658:DA658)</f>
        <v>54432000</v>
      </c>
      <c r="AD659" s="69" t="str">
        <f>IF(AC659&lt;60,"1",IF(AC659&lt;=43200,"2",IF(AC659&lt;=777600,"3","4")))</f>
        <v>4</v>
      </c>
      <c r="AE659" s="87">
        <f>AA659-Y659</f>
        <v>93312000</v>
      </c>
      <c r="AF659" s="88">
        <f>AV659</f>
        <v>0.43</v>
      </c>
      <c r="AG659" s="72">
        <f>((AW659-AV659)+(AX659-AW659)+(AY659-AX659))/3</f>
        <v>-7.3333333333333334E-2</v>
      </c>
      <c r="AH659" s="4"/>
      <c r="AI659" s="72">
        <f>RSQ(AV659:AY659,AV658:AY658)</f>
        <v>0.8493681550126374</v>
      </c>
      <c r="AJ659" s="110">
        <f>SLOPE(AV659:AY659,AV658:AY658)</f>
        <v>-2.2826646090534983E-9</v>
      </c>
      <c r="AK659" s="72">
        <f>INTERCEPT(AV659:AY659,AV658:AY658)</f>
        <v>0.41175</v>
      </c>
      <c r="AL659" s="72">
        <f>INDEX(LINEST(LN(AV659:AY659),LN(AV658:AY658),TRUE,TRUE),3,1)</f>
        <v>0.99824325317002605</v>
      </c>
      <c r="AM659" s="72">
        <f>INDEX(LINEST(LN(AV659:AY659),LN(AV658:AY658)),1)</f>
        <v>-0.28117244260117219</v>
      </c>
      <c r="AN659" s="72">
        <f>EXP(INDEX(LINEST(LN(AV659:AY659),LN(AV658:AY658)),1,2))</f>
        <v>37.423651880364481</v>
      </c>
      <c r="AO659" s="89">
        <f>INDEX(LINEST((AV659:AY659),LN(AV658:AY658),TRUE,TRUE),3,1)</f>
        <v>0.99579658405343918</v>
      </c>
      <c r="AP659" s="89">
        <f>INDEX(LINEST((AV659:AY659),LN(AV658:AY658)),1)</f>
        <v>-8.7635592305806073E-2</v>
      </c>
      <c r="AQ659" s="90">
        <f>INDEX(LINEST(LN(AV659:AY659),SQRT(AV658:AY658),TRUE,TRUE),3,1)</f>
        <v>0.97785431548366841</v>
      </c>
      <c r="AR659" s="117">
        <f>INDEX(LINEST(LN(AV659:AY659),SQRT((AV658:AY658))),1)</f>
        <v>-1.0061076132399828E-4</v>
      </c>
      <c r="AS659" s="91">
        <f>INDEX(LINEST(1/(AV659:AY659),1/(SQRT(AV658:AY658)),TRUE,TRUE),3,1)</f>
        <v>0.93198195667223305</v>
      </c>
      <c r="AT659" s="91">
        <f>INDEX(LINEST(1/(AV659:AY659),1/SQRT(AV658:AY658)),1)</f>
        <v>-8703.7042317557643</v>
      </c>
      <c r="AU659" s="3"/>
      <c r="AV659" s="97">
        <v>0.43</v>
      </c>
      <c r="AW659" s="97">
        <v>0.28000000000000003</v>
      </c>
      <c r="AX659" s="97">
        <v>0.23</v>
      </c>
      <c r="AY659" s="97">
        <v>0.21</v>
      </c>
      <c r="AZ659" s="11"/>
      <c r="BA659" s="11"/>
      <c r="BB659" s="11"/>
      <c r="BC659" s="11"/>
      <c r="BD659" s="11"/>
      <c r="BE659" s="11"/>
      <c r="BF659" s="11"/>
      <c r="BG659" s="11"/>
      <c r="BH659" s="11"/>
      <c r="BI659" s="11"/>
      <c r="BJ659" s="11"/>
      <c r="BK659" s="11"/>
      <c r="BL659" s="11"/>
      <c r="BM659" s="11"/>
      <c r="BN659" s="11"/>
      <c r="BO659" s="11"/>
      <c r="BP659" s="11"/>
      <c r="BQ659" s="11"/>
      <c r="BR659" s="11"/>
      <c r="BS659" s="11"/>
      <c r="BT659" s="11"/>
      <c r="BU659" s="11"/>
      <c r="BV659" s="11"/>
      <c r="BW659" s="11"/>
      <c r="BX659" s="11"/>
      <c r="BY659" s="11"/>
      <c r="BZ659" s="11"/>
      <c r="CA659" s="11"/>
      <c r="CB659" s="11"/>
      <c r="CC659" s="11"/>
      <c r="CD659" s="11"/>
      <c r="CE659" s="11"/>
      <c r="CF659" s="11"/>
      <c r="CG659" s="11"/>
      <c r="CH659" s="11"/>
      <c r="CI659" s="11"/>
      <c r="CJ659" s="11"/>
      <c r="CK659" s="11"/>
      <c r="CL659" s="11"/>
      <c r="CM659" s="11"/>
      <c r="CN659" s="11"/>
      <c r="CO659" s="11"/>
      <c r="CP659" s="11"/>
      <c r="CQ659" s="11"/>
      <c r="CR659" s="15"/>
      <c r="CS659" s="15"/>
      <c r="CT659" s="15"/>
      <c r="CU659" s="15"/>
    </row>
    <row r="660" spans="1:99" ht="12" customHeight="1" x14ac:dyDescent="0.2">
      <c r="A660" s="68">
        <v>43509</v>
      </c>
      <c r="B660" s="94"/>
      <c r="C660" s="94"/>
      <c r="D660" s="92"/>
      <c r="E660" s="105"/>
      <c r="F660" s="92"/>
      <c r="G660" s="92"/>
      <c r="H660" s="92"/>
      <c r="I660" s="92"/>
      <c r="J660" s="92"/>
      <c r="K660" s="107"/>
      <c r="L660" s="107"/>
      <c r="M660" s="92"/>
      <c r="N660" s="92"/>
      <c r="O660" s="92"/>
      <c r="P660" s="92"/>
      <c r="Q660" s="92"/>
      <c r="R660" s="69"/>
      <c r="S660" s="92"/>
      <c r="T660" s="92"/>
      <c r="U660" s="60"/>
      <c r="V660" s="92"/>
      <c r="W660" s="69"/>
      <c r="X660" s="92"/>
      <c r="Y660" s="87"/>
      <c r="Z660" s="92"/>
      <c r="AA660" s="92"/>
      <c r="AB660" s="69"/>
      <c r="AC660" s="69"/>
      <c r="AD660" s="69"/>
      <c r="AE660" s="69"/>
      <c r="AF660" s="88"/>
      <c r="AG660" s="72"/>
      <c r="AH660" s="4"/>
      <c r="AI660" s="108"/>
      <c r="AJ660" s="113"/>
      <c r="AK660" s="108"/>
      <c r="AL660" s="108"/>
      <c r="AM660" s="108"/>
      <c r="AN660" s="119"/>
      <c r="AO660" s="119"/>
      <c r="AP660" s="119"/>
      <c r="AQ660" s="72"/>
      <c r="AR660" s="110"/>
      <c r="AS660" s="72"/>
      <c r="AT660" s="72"/>
      <c r="AU660" s="4"/>
      <c r="AV660" s="98">
        <f>3*30*24*3600</f>
        <v>7776000</v>
      </c>
      <c r="AW660" s="98">
        <f>15*30*24*3600</f>
        <v>38880000</v>
      </c>
      <c r="AX660" s="98">
        <f>27*30*24*3600</f>
        <v>69984000</v>
      </c>
      <c r="AY660" s="98">
        <f>39*30*24*3600</f>
        <v>101088000</v>
      </c>
      <c r="AZ660" s="11"/>
      <c r="BA660" s="11"/>
      <c r="BB660" s="11"/>
      <c r="BC660" s="11"/>
      <c r="BD660" s="11"/>
      <c r="BE660" s="11"/>
      <c r="BF660" s="11"/>
      <c r="BG660" s="11"/>
      <c r="BH660" s="11"/>
      <c r="BI660" s="11"/>
      <c r="BJ660" s="11"/>
      <c r="BK660" s="11"/>
      <c r="BL660" s="11"/>
      <c r="BM660" s="11"/>
      <c r="BN660" s="11"/>
      <c r="BO660" s="11"/>
      <c r="BP660" s="11"/>
      <c r="BQ660" s="11"/>
      <c r="BR660" s="11"/>
      <c r="BS660" s="11"/>
      <c r="BT660" s="11"/>
      <c r="BU660" s="11"/>
      <c r="BV660" s="11"/>
      <c r="BW660" s="11"/>
      <c r="BX660" s="11"/>
      <c r="BY660" s="11"/>
      <c r="BZ660" s="11"/>
      <c r="CA660" s="11"/>
      <c r="CB660" s="11"/>
      <c r="CC660" s="11"/>
      <c r="CD660" s="11"/>
      <c r="CE660" s="11"/>
      <c r="CF660" s="11"/>
      <c r="CG660" s="11"/>
      <c r="CH660" s="11"/>
      <c r="CI660" s="11"/>
      <c r="CJ660" s="11"/>
      <c r="CK660" s="11"/>
      <c r="CL660" s="11"/>
      <c r="CM660" s="11"/>
      <c r="CN660" s="11"/>
      <c r="CO660" s="11"/>
      <c r="CP660" s="11"/>
      <c r="CQ660" s="11"/>
      <c r="CR660" s="15"/>
      <c r="CS660" s="15"/>
      <c r="CT660" s="15"/>
      <c r="CU660" s="15"/>
    </row>
    <row r="661" spans="1:99" ht="12" customHeight="1" x14ac:dyDescent="0.2">
      <c r="A661" s="68">
        <v>43509</v>
      </c>
      <c r="B661" s="94" t="s">
        <v>283</v>
      </c>
      <c r="C661" s="94" t="s">
        <v>192</v>
      </c>
      <c r="D661" s="92">
        <v>1993</v>
      </c>
      <c r="E661" s="105">
        <v>1</v>
      </c>
      <c r="F661" s="92">
        <v>140</v>
      </c>
      <c r="G661" s="92">
        <v>35</v>
      </c>
      <c r="H661" s="92" t="s">
        <v>50</v>
      </c>
      <c r="I661" s="92" t="s">
        <v>829</v>
      </c>
      <c r="J661" s="92" t="s">
        <v>483</v>
      </c>
      <c r="K661" s="69">
        <f>IF(J661="syllables",1,IF(J661="trigrams",2,IF(J661="strings",3,IF(J661="visual array",4,IF(J661="characters",5,IF(J661="letters",6,IF(J661="free forms",7,IF(J661="odors",8,IF(J661="words",9,IF(J661="pictures",10,IF(J661="object pictures",11,IF(J661="faces",12,IF(J661="names",13,IF(J661="idioms",14,IF(J661="grades",15,IF(J661="syllable-digit pairs",16,IF(J661="trigram-word pairs",17,IF(J661="word-digit pairs",18,IF(J661="English-Swahili pairs",19,IF(J661="spatial position",20,IF(J661="word pairs",21,IF(J661="word triads",22,IF(J661="generated words",23,IF(J661="word definition pairs",24,IF(J661="math problems",25,IF(J661="famous faces",26,IF(J661="famous names",27,IF(J661="famous voices",28,IF(J661="television programs",29,IF(J661="race horses",30,IF(J661="new vocabulary",31,IF(J661="sentences",32,IF(J661="concepts",33,IF(J661="ad slides",34,IF(J661="scenes",35,IF(J661="famous scenes",36,IF(J661="poems",37,IF(J661="walk",38,IF(J661="faces and events",39,IF(J661="events and names",40,IF(J661="flashbulb",41,IF(J661="stories",42,IF(J661="course material",43,IF(J661="autobiographical",44,IF(J661="novels",45,IF(J661="public events",46,"99"))))))))))))))))))))))))))))))))))))))))))))))</f>
        <v>45</v>
      </c>
      <c r="L661" s="69">
        <f>IF(J661="syllables",1,IF(J661="trigrams",1,IF(J661="strings",1,IF(J661="visual array",1,IF(J661="characters",1,IF(J661="letters",1,IF(J661="free forms",1,IF(J661="odors",2,IF(J661="words",2,IF(J661="pictures",2,IF(J661="object pictures",2,IF(J661="faces",2,IF(J661="names",2,IF(J661="idioms","2",IF(J661="grades",2,IF(J661="syllable-digit pairs",3,IF(J661="trigram-word pairs",3,IF(J661="word-digit pairs",3,IF(J661="English-Swahili pairs",3,IF(J661="spatial position",3,IF(J661="word pairs",4,IF(J661="word triads",4,IF(J661="generated words",4,IF(J661="word definition pairs",4,IF(J661="math problems",4,IF(J661="famous faces",4,IF(J661="famous names",4,IF(J661="famous voices",4,IF(J661="television programs",4,IF(J661="race horses",4,IF(J661="new vocabulary",4,IF(J661="sentences",5,IF(J661="concepts",5,IF(J661="ad slides",5,IF(J661="scenes",5,IF(J661="famous scenes",5,IF(J661="poems",6,IF(J661="walk",6,IF(J661="faces and events",6,IF(J661="events and names",6,IF(J661="flashbulb",7,IF(J661="stories",7,IF(J661="course material",7,IF(J661="autobiographical",7,IF(J661="novels",7,IF(J661="public events",7,"99"))))))))))))))))))))))))))))))))))))))))))))))</f>
        <v>7</v>
      </c>
      <c r="M661" s="92">
        <v>0</v>
      </c>
      <c r="N661" s="92">
        <v>3</v>
      </c>
      <c r="O661" s="92">
        <v>0</v>
      </c>
      <c r="P661" s="92"/>
      <c r="Q661" s="92" t="s">
        <v>174</v>
      </c>
      <c r="R661" s="69">
        <f>IF(Q661="Free Recall",1,IF(Q661="Cued Recall",2,IF(Q661="Recognition",3,IF(Q661="Multiple Choice",4,IF(Q661="Savings",5,IF(Q661="Stem Completion",6,IF(Q661="Fragment Completion",7,IF(Q661="anagram solution",8,IF(Q661="Matching",9,IF(Q661="Problem Solving",10,"99"))))))))))</f>
        <v>1</v>
      </c>
      <c r="S661" s="92" t="s">
        <v>49</v>
      </c>
      <c r="T661" s="92" t="s">
        <v>261</v>
      </c>
      <c r="U661" s="60">
        <f>IF(T661="within",1,0)</f>
        <v>0</v>
      </c>
      <c r="V661" s="92">
        <v>30</v>
      </c>
      <c r="W661" s="69">
        <f>F661*V661</f>
        <v>4200</v>
      </c>
      <c r="X661" s="92">
        <v>4</v>
      </c>
      <c r="Y661" s="87">
        <f>AV660</f>
        <v>7776000</v>
      </c>
      <c r="Z661" s="92" t="s">
        <v>284</v>
      </c>
      <c r="AA661" s="92">
        <f>39*30*24*3600</f>
        <v>101088000</v>
      </c>
      <c r="AB661" s="69" t="str">
        <f>IF(AA661&lt;60,"1",IF(AA661&lt;=43200,"2",IF(AA661&lt;=777600,"3","4")))</f>
        <v>4</v>
      </c>
      <c r="AC661" s="72">
        <f>AVERAGE(AV660:DA660)</f>
        <v>54432000</v>
      </c>
      <c r="AD661" s="69" t="str">
        <f>IF(AC661&lt;60,"1",IF(AC661&lt;=43200,"2",IF(AC661&lt;=777600,"3","4")))</f>
        <v>4</v>
      </c>
      <c r="AE661" s="87">
        <f>AA661-Y661</f>
        <v>93312000</v>
      </c>
      <c r="AF661" s="88">
        <f>AV661</f>
        <v>0.48</v>
      </c>
      <c r="AG661" s="72">
        <f>((AW661-AV661)+(AX661-AW661)+(AY661-AX661))/3</f>
        <v>-3.666666666666666E-2</v>
      </c>
      <c r="AH661" s="4"/>
      <c r="AI661" s="72">
        <f>RSQ(AV661:AY661,AV660:AY660)</f>
        <v>0.8018181818181821</v>
      </c>
      <c r="AJ661" s="110">
        <f>SLOPE(AV661:AY661,AV660:AY660)</f>
        <v>-1.3503086419753085E-9</v>
      </c>
      <c r="AK661" s="72">
        <f>INTERCEPT(AV661:AY661,AV660:AY660)</f>
        <v>0.48350000000000004</v>
      </c>
      <c r="AL661" s="72">
        <f>INDEX(LINEST(LN(AV661:AY661),LN(AV660:AY660),TRUE,TRUE),3,1)</f>
        <v>0.7912252764839045</v>
      </c>
      <c r="AM661" s="72">
        <f>INDEX(LINEST(LN(AV661:AY661),LN(AV660:AY660)),1)</f>
        <v>-0.11573762504492044</v>
      </c>
      <c r="AN661" s="72">
        <f>EXP(INDEX(LINEST(LN(AV661:AY661),LN(AV660:AY660)),1,2))</f>
        <v>3.067797547689318</v>
      </c>
      <c r="AO661" s="89">
        <f>INDEX(LINEST((AV661:AY661),LN(AV660:AY660),TRUE,TRUE),3,1)</f>
        <v>0.81870079169875742</v>
      </c>
      <c r="AP661" s="89">
        <f>INDEX(LINEST((AV661:AY661),LN(AV660:AY660)),1)</f>
        <v>-4.8379212429826936E-2</v>
      </c>
      <c r="AQ661" s="90">
        <f>INDEX(LINEST(LN(AV661:AY661),SQRT(AV660:AY660),TRUE,TRUE),3,1)</f>
        <v>0.81744180331332494</v>
      </c>
      <c r="AR661" s="117">
        <f>INDEX(LINEST(LN(AV661:AY661),SQRT((AV660:AY660))),1)</f>
        <v>-4.2531011028207945E-5</v>
      </c>
      <c r="AS661" s="91">
        <f>INDEX(LINEST(1/(AV661:AY661),1/(SQRT(AV660:AY660)),TRUE,TRUE),3,1)</f>
        <v>0.69592660830635056</v>
      </c>
      <c r="AT661" s="91">
        <f>INDEX(LINEST(1/(AV661:AY661),1/SQRT(AV660:AY660)),1)</f>
        <v>-2538.5317953736999</v>
      </c>
      <c r="AU661" s="3"/>
      <c r="AV661" s="97">
        <v>0.48</v>
      </c>
      <c r="AW661" s="97">
        <v>0.44</v>
      </c>
      <c r="AX661" s="97">
        <v>0.35</v>
      </c>
      <c r="AY661" s="97">
        <v>0.37</v>
      </c>
      <c r="AZ661" s="11"/>
      <c r="BA661" s="11"/>
      <c r="BB661" s="11"/>
      <c r="BC661" s="11"/>
      <c r="BD661" s="11"/>
      <c r="BE661" s="11"/>
      <c r="BF661" s="11"/>
      <c r="BG661" s="11"/>
      <c r="BH661" s="11"/>
      <c r="BI661" s="11"/>
      <c r="BJ661" s="11"/>
      <c r="BK661" s="11"/>
      <c r="BL661" s="11"/>
      <c r="BM661" s="11"/>
      <c r="BN661" s="11"/>
      <c r="BO661" s="11"/>
      <c r="BP661" s="11"/>
      <c r="BQ661" s="11"/>
      <c r="BR661" s="11"/>
      <c r="BS661" s="11"/>
      <c r="BT661" s="11"/>
      <c r="BU661" s="11"/>
      <c r="BV661" s="11"/>
      <c r="BW661" s="11"/>
      <c r="BX661" s="11"/>
      <c r="BY661" s="11"/>
      <c r="BZ661" s="11"/>
      <c r="CA661" s="11"/>
      <c r="CB661" s="11"/>
      <c r="CC661" s="11"/>
      <c r="CD661" s="11"/>
      <c r="CE661" s="11"/>
      <c r="CF661" s="11"/>
      <c r="CG661" s="11"/>
      <c r="CH661" s="11"/>
      <c r="CI661" s="11"/>
      <c r="CJ661" s="11"/>
      <c r="CK661" s="11"/>
      <c r="CL661" s="11"/>
      <c r="CM661" s="11"/>
      <c r="CN661" s="11"/>
      <c r="CO661" s="11"/>
      <c r="CP661" s="11"/>
      <c r="CQ661" s="11"/>
      <c r="CR661" s="15"/>
      <c r="CS661" s="15"/>
      <c r="CT661" s="15"/>
      <c r="CU661" s="15"/>
    </row>
    <row r="662" spans="1:99" ht="12" customHeight="1" x14ac:dyDescent="0.2">
      <c r="A662" s="68">
        <v>43509</v>
      </c>
      <c r="B662" s="94"/>
      <c r="C662" s="94"/>
      <c r="D662" s="92"/>
      <c r="E662" s="105"/>
      <c r="F662" s="92"/>
      <c r="G662" s="92"/>
      <c r="H662" s="92"/>
      <c r="I662" s="92"/>
      <c r="J662" s="92"/>
      <c r="K662" s="107"/>
      <c r="L662" s="107"/>
      <c r="M662" s="92"/>
      <c r="N662" s="92"/>
      <c r="O662" s="92"/>
      <c r="P662" s="92"/>
      <c r="Q662" s="92"/>
      <c r="R662" s="69"/>
      <c r="S662" s="92"/>
      <c r="T662" s="92"/>
      <c r="U662" s="60"/>
      <c r="V662" s="92"/>
      <c r="W662" s="69"/>
      <c r="X662" s="92"/>
      <c r="Y662" s="87"/>
      <c r="Z662" s="92"/>
      <c r="AA662" s="92"/>
      <c r="AB662" s="69"/>
      <c r="AC662" s="69"/>
      <c r="AD662" s="69"/>
      <c r="AE662" s="69"/>
      <c r="AF662" s="88"/>
      <c r="AG662" s="72"/>
      <c r="AH662" s="4"/>
      <c r="AI662" s="108"/>
      <c r="AJ662" s="113"/>
      <c r="AK662" s="108"/>
      <c r="AL662" s="108"/>
      <c r="AM662" s="108"/>
      <c r="AN662" s="119"/>
      <c r="AO662" s="119"/>
      <c r="AP662" s="119"/>
      <c r="AQ662" s="72"/>
      <c r="AR662" s="110"/>
      <c r="AS662" s="72"/>
      <c r="AT662" s="72"/>
      <c r="AU662" s="4"/>
      <c r="AV662" s="98">
        <f>3*30*24*3600</f>
        <v>7776000</v>
      </c>
      <c r="AW662" s="98">
        <f>15*30*24*3600</f>
        <v>38880000</v>
      </c>
      <c r="AX662" s="98">
        <f>27*30*24*3600</f>
        <v>69984000</v>
      </c>
      <c r="AY662" s="98">
        <f>39*30*24*3600</f>
        <v>101088000</v>
      </c>
      <c r="AZ662" s="11"/>
      <c r="BA662" s="11"/>
      <c r="BB662" s="11"/>
      <c r="BC662" s="11"/>
      <c r="BD662" s="11"/>
      <c r="BE662" s="11"/>
      <c r="BF662" s="11"/>
      <c r="BG662" s="11"/>
      <c r="BH662" s="11"/>
      <c r="BI662" s="11"/>
      <c r="BJ662" s="11"/>
      <c r="BK662" s="11"/>
      <c r="BL662" s="11"/>
      <c r="BM662" s="11"/>
      <c r="BN662" s="11"/>
      <c r="BO662" s="11"/>
      <c r="BP662" s="11"/>
      <c r="BQ662" s="11"/>
      <c r="BR662" s="11"/>
      <c r="BS662" s="11"/>
      <c r="BT662" s="11"/>
      <c r="BU662" s="11"/>
      <c r="BV662" s="11"/>
      <c r="BW662" s="11"/>
      <c r="BX662" s="11"/>
      <c r="BY662" s="11"/>
      <c r="BZ662" s="11"/>
      <c r="CA662" s="11"/>
      <c r="CB662" s="11"/>
      <c r="CC662" s="11"/>
      <c r="CD662" s="11"/>
      <c r="CE662" s="11"/>
      <c r="CF662" s="11"/>
      <c r="CG662" s="11"/>
      <c r="CH662" s="11"/>
      <c r="CI662" s="11"/>
      <c r="CJ662" s="11"/>
      <c r="CK662" s="11"/>
      <c r="CL662" s="11"/>
      <c r="CM662" s="11"/>
      <c r="CN662" s="11"/>
      <c r="CO662" s="11"/>
      <c r="CP662" s="11"/>
      <c r="CQ662" s="11"/>
      <c r="CR662" s="15"/>
      <c r="CS662" s="15"/>
      <c r="CT662" s="15"/>
      <c r="CU662" s="15"/>
    </row>
    <row r="663" spans="1:99" ht="12" customHeight="1" x14ac:dyDescent="0.2">
      <c r="A663" s="68">
        <v>43509</v>
      </c>
      <c r="B663" s="94" t="s">
        <v>283</v>
      </c>
      <c r="C663" s="94" t="s">
        <v>192</v>
      </c>
      <c r="D663" s="92">
        <v>1993</v>
      </c>
      <c r="E663" s="105">
        <v>1</v>
      </c>
      <c r="F663" s="92">
        <v>140</v>
      </c>
      <c r="G663" s="92">
        <v>35</v>
      </c>
      <c r="H663" s="92" t="s">
        <v>41</v>
      </c>
      <c r="I663" s="92" t="s">
        <v>130</v>
      </c>
      <c r="J663" s="92" t="s">
        <v>483</v>
      </c>
      <c r="K663" s="69">
        <f>IF(J663="syllables",1,IF(J663="trigrams",2,IF(J663="strings",3,IF(J663="visual array",4,IF(J663="characters",5,IF(J663="letters",6,IF(J663="free forms",7,IF(J663="odors",8,IF(J663="words",9,IF(J663="pictures",10,IF(J663="object pictures",11,IF(J663="faces",12,IF(J663="names",13,IF(J663="idioms",14,IF(J663="grades",15,IF(J663="syllable-digit pairs",16,IF(J663="trigram-word pairs",17,IF(J663="word-digit pairs",18,IF(J663="English-Swahili pairs",19,IF(J663="spatial position",20,IF(J663="word pairs",21,IF(J663="word triads",22,IF(J663="generated words",23,IF(J663="word definition pairs",24,IF(J663="math problems",25,IF(J663="famous faces",26,IF(J663="famous names",27,IF(J663="famous voices",28,IF(J663="television programs",29,IF(J663="race horses",30,IF(J663="new vocabulary",31,IF(J663="sentences",32,IF(J663="concepts",33,IF(J663="ad slides",34,IF(J663="scenes",35,IF(J663="famous scenes",36,IF(J663="poems",37,IF(J663="walk",38,IF(J663="faces and events",39,IF(J663="events and names",40,IF(J663="flashbulb",41,IF(J663="stories",42,IF(J663="course material",43,IF(J663="autobiographical",44,IF(J663="novels",45,IF(J663="public events",46,"99"))))))))))))))))))))))))))))))))))))))))))))))</f>
        <v>45</v>
      </c>
      <c r="L663" s="69">
        <f>IF(J663="syllables",1,IF(J663="trigrams",1,IF(J663="strings",1,IF(J663="visual array",1,IF(J663="characters",1,IF(J663="letters",1,IF(J663="free forms",1,IF(J663="odors",2,IF(J663="words",2,IF(J663="pictures",2,IF(J663="object pictures",2,IF(J663="faces",2,IF(J663="names",2,IF(J663="idioms","2",IF(J663="grades",2,IF(J663="syllable-digit pairs",3,IF(J663="trigram-word pairs",3,IF(J663="word-digit pairs",3,IF(J663="English-Swahili pairs",3,IF(J663="spatial position",3,IF(J663="word pairs",4,IF(J663="word triads",4,IF(J663="generated words",4,IF(J663="word definition pairs",4,IF(J663="math problems",4,IF(J663="famous faces",4,IF(J663="famous names",4,IF(J663="famous voices",4,IF(J663="television programs",4,IF(J663="race horses",4,IF(J663="new vocabulary",4,IF(J663="sentences",5,IF(J663="concepts",5,IF(J663="ad slides",5,IF(J663="scenes",5,IF(J663="famous scenes",5,IF(J663="poems",6,IF(J663="walk",6,IF(J663="faces and events",6,IF(J663="events and names",6,IF(J663="flashbulb",7,IF(J663="stories",7,IF(J663="course material",7,IF(J663="autobiographical",7,IF(J663="novels",7,IF(J663="public events",7,"99"))))))))))))))))))))))))))))))))))))))))))))))</f>
        <v>7</v>
      </c>
      <c r="M663" s="92">
        <v>0</v>
      </c>
      <c r="N663" s="92">
        <v>3</v>
      </c>
      <c r="O663" s="92">
        <v>0</v>
      </c>
      <c r="P663" s="92"/>
      <c r="Q663" s="92" t="s">
        <v>174</v>
      </c>
      <c r="R663" s="69">
        <f>IF(Q663="Free Recall",1,IF(Q663="Cued Recall",2,IF(Q663="Recognition",3,IF(Q663="Multiple Choice",4,IF(Q663="Savings",5,IF(Q663="Stem Completion",6,IF(Q663="Fragment Completion",7,IF(Q663="anagram solution",8,IF(Q663="Matching",9,IF(Q663="Problem Solving",10,"99"))))))))))</f>
        <v>1</v>
      </c>
      <c r="S663" s="92" t="s">
        <v>49</v>
      </c>
      <c r="T663" s="92" t="s">
        <v>261</v>
      </c>
      <c r="U663" s="60">
        <f>IF(T663="within",1,0)</f>
        <v>0</v>
      </c>
      <c r="V663" s="92">
        <v>18</v>
      </c>
      <c r="W663" s="69">
        <f>F663*V663</f>
        <v>2520</v>
      </c>
      <c r="X663" s="92">
        <v>4</v>
      </c>
      <c r="Y663" s="87">
        <f>AV662</f>
        <v>7776000</v>
      </c>
      <c r="Z663" s="92" t="s">
        <v>284</v>
      </c>
      <c r="AA663" s="92">
        <f>39*30*24*3600</f>
        <v>101088000</v>
      </c>
      <c r="AB663" s="69" t="str">
        <f>IF(AA663&lt;60,"1",IF(AA663&lt;=43200,"2",IF(AA663&lt;=777600,"3","4")))</f>
        <v>4</v>
      </c>
      <c r="AC663" s="72">
        <f>AVERAGE(AV662:DA662)</f>
        <v>54432000</v>
      </c>
      <c r="AD663" s="69" t="str">
        <f>IF(AC663&lt;60,"1",IF(AC663&lt;=43200,"2",IF(AC663&lt;=777600,"3","4")))</f>
        <v>4</v>
      </c>
      <c r="AE663" s="87">
        <f>AA663-Y663</f>
        <v>93312000</v>
      </c>
      <c r="AF663" s="88">
        <f>AV663</f>
        <v>0.9</v>
      </c>
      <c r="AG663" s="72">
        <f>((AW663-AV663)+(AX663-AW663)+(AY663-AX663))/3</f>
        <v>-1.666666666666668E-2</v>
      </c>
      <c r="AH663" s="4"/>
      <c r="AI663" s="72">
        <f>RSQ(AV663:AY663,AV662:AY662)</f>
        <v>0.97966101694915242</v>
      </c>
      <c r="AJ663" s="110">
        <f>SLOPE(AV663:AY663,AV662:AY662)</f>
        <v>-5.4655349794238732E-10</v>
      </c>
      <c r="AK663" s="72">
        <f>INTERCEPT(AV663:AY663,AV662:AY662)</f>
        <v>0.90725000000000011</v>
      </c>
      <c r="AL663" s="72">
        <f>INDEX(LINEST(LN(AV663:AY663),LN(AV662:AY662),TRUE,TRUE),3,1)</f>
        <v>0.78325265128904742</v>
      </c>
      <c r="AM663" s="72">
        <f>INDEX(LINEST(LN(AV663:AY663),LN(AV662:AY662)),1)</f>
        <v>-1.9812609586346855E-2</v>
      </c>
      <c r="AN663" s="72">
        <f>EXP(INDEX(LINEST(LN(AV663:AY663),LN(AV662:AY662)),1,2))</f>
        <v>1.2398600929035299</v>
      </c>
      <c r="AO663" s="89">
        <f>INDEX(LINEST((AV663:AY663),LN(AV662:AY662),TRUE,TRUE),3,1)</f>
        <v>0.78854245870348483</v>
      </c>
      <c r="AP663" s="89">
        <f>INDEX(LINEST((AV663:AY663),LN(AV662:AY662)),1)</f>
        <v>-1.7386349193415928E-2</v>
      </c>
      <c r="AQ663" s="90">
        <f>INDEX(LINEST(LN(AV663:AY663),SQRT(AV662:AY662),TRUE,TRUE),3,1)</f>
        <v>0.90413508642304341</v>
      </c>
      <c r="AR663" s="117">
        <f>INDEX(LINEST(LN(AV663:AY663),SQRT((AV662:AY662))),1)</f>
        <v>-7.6959139213870232E-6</v>
      </c>
      <c r="AS663" s="91">
        <f>INDEX(LINEST(1/(AV663:AY663),1/(SQRT(AV662:AY662)),TRUE,TRUE),3,1)</f>
        <v>0.6523429515501894</v>
      </c>
      <c r="AT663" s="91">
        <f>INDEX(LINEST(1/(AV663:AY663),1/SQRT(AV662:AY662)),1)</f>
        <v>-197.1235459103514</v>
      </c>
      <c r="AU663" s="3"/>
      <c r="AV663" s="97">
        <v>0.9</v>
      </c>
      <c r="AW663" s="97">
        <v>0.89</v>
      </c>
      <c r="AX663" s="97">
        <v>0.87</v>
      </c>
      <c r="AY663" s="97">
        <v>0.85</v>
      </c>
      <c r="AZ663" s="11"/>
      <c r="BA663" s="11"/>
      <c r="BB663" s="11"/>
      <c r="BC663" s="11"/>
      <c r="BD663" s="11"/>
      <c r="BE663" s="11"/>
      <c r="BF663" s="11"/>
      <c r="BG663" s="11"/>
      <c r="BH663" s="11"/>
      <c r="BI663" s="11"/>
      <c r="BJ663" s="11"/>
      <c r="BK663" s="11"/>
      <c r="BL663" s="11"/>
      <c r="BM663" s="11"/>
      <c r="BN663" s="11"/>
      <c r="BO663" s="11"/>
      <c r="BP663" s="11"/>
      <c r="BQ663" s="11"/>
      <c r="BR663" s="11"/>
      <c r="BS663" s="11"/>
      <c r="BT663" s="11"/>
      <c r="BU663" s="11"/>
      <c r="BV663" s="11"/>
      <c r="BW663" s="11"/>
      <c r="BX663" s="11"/>
      <c r="BY663" s="11"/>
      <c r="BZ663" s="11"/>
      <c r="CA663" s="11"/>
      <c r="CB663" s="11"/>
      <c r="CC663" s="11"/>
      <c r="CD663" s="11"/>
      <c r="CE663" s="11"/>
      <c r="CF663" s="11"/>
      <c r="CG663" s="11"/>
      <c r="CH663" s="11"/>
      <c r="CI663" s="11"/>
      <c r="CJ663" s="11"/>
      <c r="CK663" s="11"/>
      <c r="CL663" s="11"/>
      <c r="CM663" s="11"/>
      <c r="CN663" s="11"/>
      <c r="CO663" s="11"/>
      <c r="CP663" s="11"/>
      <c r="CQ663" s="11"/>
      <c r="CR663" s="15"/>
      <c r="CS663" s="15"/>
      <c r="CT663" s="15"/>
      <c r="CU663" s="15"/>
    </row>
    <row r="664" spans="1:99" ht="12" customHeight="1" x14ac:dyDescent="0.2">
      <c r="A664" s="68">
        <v>43509</v>
      </c>
      <c r="B664" s="94"/>
      <c r="C664" s="94"/>
      <c r="D664" s="92"/>
      <c r="E664" s="105"/>
      <c r="F664" s="92"/>
      <c r="G664" s="92"/>
      <c r="H664" s="92"/>
      <c r="I664" s="92"/>
      <c r="J664" s="92"/>
      <c r="K664" s="107"/>
      <c r="L664" s="107"/>
      <c r="M664" s="92"/>
      <c r="N664" s="92"/>
      <c r="O664" s="92"/>
      <c r="P664" s="92"/>
      <c r="Q664" s="92"/>
      <c r="R664" s="69"/>
      <c r="S664" s="92"/>
      <c r="T664" s="92"/>
      <c r="U664" s="60"/>
      <c r="V664" s="92"/>
      <c r="W664" s="69"/>
      <c r="X664" s="92"/>
      <c r="Y664" s="87"/>
      <c r="Z664" s="92"/>
      <c r="AA664" s="92"/>
      <c r="AB664" s="69"/>
      <c r="AC664" s="69"/>
      <c r="AD664" s="69"/>
      <c r="AE664" s="69"/>
      <c r="AF664" s="88"/>
      <c r="AG664" s="72"/>
      <c r="AH664" s="4"/>
      <c r="AI664" s="108"/>
      <c r="AJ664" s="113"/>
      <c r="AK664" s="108"/>
      <c r="AL664" s="108"/>
      <c r="AM664" s="108"/>
      <c r="AN664" s="108"/>
      <c r="AO664" s="108"/>
      <c r="AP664" s="108"/>
      <c r="AQ664" s="72"/>
      <c r="AR664" s="110"/>
      <c r="AS664" s="72"/>
      <c r="AT664" s="72"/>
      <c r="AU664" s="4"/>
      <c r="AV664" s="98">
        <f>3*30*24*3600</f>
        <v>7776000</v>
      </c>
      <c r="AW664" s="98">
        <f>15*30*24*3600</f>
        <v>38880000</v>
      </c>
      <c r="AX664" s="98">
        <f>27*30*24*3600</f>
        <v>69984000</v>
      </c>
      <c r="AY664" s="98">
        <f>39*30*24*3600</f>
        <v>101088000</v>
      </c>
      <c r="AZ664" s="11"/>
      <c r="BA664" s="11"/>
      <c r="BB664" s="11"/>
      <c r="BC664" s="11"/>
      <c r="BD664" s="11"/>
      <c r="BE664" s="11"/>
      <c r="BF664" s="11"/>
      <c r="BG664" s="11"/>
      <c r="BH664" s="11"/>
      <c r="BI664" s="11"/>
      <c r="BJ664" s="11"/>
      <c r="BK664" s="11"/>
      <c r="BL664" s="11"/>
      <c r="BM664" s="11"/>
      <c r="BN664" s="11"/>
      <c r="BO664" s="11"/>
      <c r="BP664" s="11"/>
      <c r="BQ664" s="11"/>
      <c r="BR664" s="11"/>
      <c r="BS664" s="11"/>
      <c r="BT664" s="11"/>
      <c r="BU664" s="11"/>
      <c r="BV664" s="11"/>
      <c r="BW664" s="11"/>
      <c r="BX664" s="11"/>
      <c r="BY664" s="11"/>
      <c r="BZ664" s="11"/>
      <c r="CA664" s="11"/>
      <c r="CB664" s="11"/>
      <c r="CC664" s="11"/>
      <c r="CD664" s="11"/>
      <c r="CE664" s="11"/>
      <c r="CF664" s="11"/>
      <c r="CG664" s="11"/>
      <c r="CH664" s="11"/>
      <c r="CI664" s="11"/>
      <c r="CJ664" s="11"/>
      <c r="CK664" s="11"/>
      <c r="CL664" s="11"/>
      <c r="CM664" s="11"/>
      <c r="CN664" s="11"/>
      <c r="CO664" s="11"/>
      <c r="CP664" s="11"/>
      <c r="CQ664" s="11"/>
      <c r="CR664" s="15"/>
      <c r="CS664" s="15"/>
      <c r="CT664" s="15"/>
      <c r="CU664" s="15"/>
    </row>
    <row r="665" spans="1:99" ht="12" customHeight="1" x14ac:dyDescent="0.2">
      <c r="A665" s="68">
        <v>43509</v>
      </c>
      <c r="B665" s="94" t="s">
        <v>283</v>
      </c>
      <c r="C665" s="94" t="s">
        <v>192</v>
      </c>
      <c r="D665" s="92">
        <v>1993</v>
      </c>
      <c r="E665" s="105">
        <v>1</v>
      </c>
      <c r="F665" s="92">
        <v>140</v>
      </c>
      <c r="G665" s="92">
        <v>35</v>
      </c>
      <c r="H665" s="92" t="s">
        <v>41</v>
      </c>
      <c r="I665" s="92" t="s">
        <v>822</v>
      </c>
      <c r="J665" s="92" t="s">
        <v>483</v>
      </c>
      <c r="K665" s="69">
        <f>IF(J665="syllables",1,IF(J665="trigrams",2,IF(J665="strings",3,IF(J665="visual array",4,IF(J665="characters",5,IF(J665="letters",6,IF(J665="free forms",7,IF(J665="odors",8,IF(J665="words",9,IF(J665="pictures",10,IF(J665="object pictures",11,IF(J665="faces",12,IF(J665="names",13,IF(J665="idioms",14,IF(J665="grades",15,IF(J665="syllable-digit pairs",16,IF(J665="trigram-word pairs",17,IF(J665="word-digit pairs",18,IF(J665="English-Swahili pairs",19,IF(J665="spatial position",20,IF(J665="word pairs",21,IF(J665="word triads",22,IF(J665="generated words",23,IF(J665="word definition pairs",24,IF(J665="math problems",25,IF(J665="famous faces",26,IF(J665="famous names",27,IF(J665="famous voices",28,IF(J665="television programs",29,IF(J665="race horses",30,IF(J665="new vocabulary",31,IF(J665="sentences",32,IF(J665="concepts",33,IF(J665="ad slides",34,IF(J665="scenes",35,IF(J665="famous scenes",36,IF(J665="poems",37,IF(J665="walk",38,IF(J665="faces and events",39,IF(J665="events and names",40,IF(J665="flashbulb",41,IF(J665="stories",42,IF(J665="course material",43,IF(J665="autobiographical",44,IF(J665="novels",45,IF(J665="public events",46,"99"))))))))))))))))))))))))))))))))))))))))))))))</f>
        <v>45</v>
      </c>
      <c r="L665" s="69">
        <f>IF(J665="syllables",1,IF(J665="trigrams",1,IF(J665="strings",1,IF(J665="visual array",1,IF(J665="characters",1,IF(J665="letters",1,IF(J665="free forms",1,IF(J665="odors",2,IF(J665="words",2,IF(J665="pictures",2,IF(J665="object pictures",2,IF(J665="faces",2,IF(J665="names",2,IF(J665="idioms","2",IF(J665="grades",2,IF(J665="syllable-digit pairs",3,IF(J665="trigram-word pairs",3,IF(J665="word-digit pairs",3,IF(J665="English-Swahili pairs",3,IF(J665="spatial position",3,IF(J665="word pairs",4,IF(J665="word triads",4,IF(J665="generated words",4,IF(J665="word definition pairs",4,IF(J665="math problems",4,IF(J665="famous faces",4,IF(J665="famous names",4,IF(J665="famous voices",4,IF(J665="television programs",4,IF(J665="race horses",4,IF(J665="new vocabulary",4,IF(J665="sentences",5,IF(J665="concepts",5,IF(J665="ad slides",5,IF(J665="scenes",5,IF(J665="famous scenes",5,IF(J665="poems",6,IF(J665="walk",6,IF(J665="faces and events",6,IF(J665="events and names",6,IF(J665="flashbulb",7,IF(J665="stories",7,IF(J665="course material",7,IF(J665="autobiographical",7,IF(J665="novels",7,IF(J665="public events",7,"99"))))))))))))))))))))))))))))))))))))))))))))))</f>
        <v>7</v>
      </c>
      <c r="M665" s="92">
        <v>0</v>
      </c>
      <c r="N665" s="92">
        <v>3</v>
      </c>
      <c r="O665" s="92">
        <v>0</v>
      </c>
      <c r="P665" s="92"/>
      <c r="Q665" s="92" t="s">
        <v>174</v>
      </c>
      <c r="R665" s="69">
        <f>IF(Q665="Free Recall",1,IF(Q665="Cued Recall",2,IF(Q665="Recognition",3,IF(Q665="Multiple Choice",4,IF(Q665="Savings",5,IF(Q665="Stem Completion",6,IF(Q665="Fragment Completion",7,IF(Q665="anagram solution",8,IF(Q665="Matching",9,IF(Q665="Problem Solving",10,"99"))))))))))</f>
        <v>1</v>
      </c>
      <c r="S665" s="92" t="s">
        <v>49</v>
      </c>
      <c r="T665" s="92" t="s">
        <v>261</v>
      </c>
      <c r="U665" s="60">
        <f>IF(T665="within",1,0)</f>
        <v>0</v>
      </c>
      <c r="V665" s="92">
        <v>18</v>
      </c>
      <c r="W665" s="69">
        <f>F665*V665</f>
        <v>2520</v>
      </c>
      <c r="X665" s="92">
        <v>4</v>
      </c>
      <c r="Y665" s="87">
        <f>AV664</f>
        <v>7776000</v>
      </c>
      <c r="Z665" s="92" t="s">
        <v>284</v>
      </c>
      <c r="AA665" s="92">
        <f>39*30*24*3600</f>
        <v>101088000</v>
      </c>
      <c r="AB665" s="69" t="str">
        <f>IF(AA665&lt;60,"1",IF(AA665&lt;=43200,"2",IF(AA665&lt;=777600,"3","4")))</f>
        <v>4</v>
      </c>
      <c r="AC665" s="72">
        <f>AVERAGE(AV664:DA664)</f>
        <v>54432000</v>
      </c>
      <c r="AD665" s="69" t="str">
        <f>IF(AC665&lt;60,"1",IF(AC665&lt;=43200,"2",IF(AC665&lt;=777600,"3","4")))</f>
        <v>4</v>
      </c>
      <c r="AE665" s="87">
        <f>AA665-Y665</f>
        <v>93312000</v>
      </c>
      <c r="AF665" s="88">
        <f>AV665</f>
        <v>0.81</v>
      </c>
      <c r="AG665" s="72">
        <f>((AW665-AV665)+(AX665-AW665)+(AY665-AX665))/3</f>
        <v>-3.0000000000000027E-2</v>
      </c>
      <c r="AH665" s="4"/>
      <c r="AI665" s="72">
        <f>RSQ(AV665:AY665,AV664:AY664)</f>
        <v>0.7623529411764709</v>
      </c>
      <c r="AJ665" s="110">
        <f>SLOPE(AV665:AY665,AV664:AY664)</f>
        <v>-1.1574074074074086E-9</v>
      </c>
      <c r="AK665" s="72">
        <f>INTERCEPT(AV665:AY665,AV664:AY664)</f>
        <v>0.81799999999999995</v>
      </c>
      <c r="AL665" s="72">
        <f>INDEX(LINEST(LN(AV665:AY665),LN(AV664:AY664),TRUE,TRUE),3,1)</f>
        <v>0.71676371019965301</v>
      </c>
      <c r="AM665" s="72">
        <f>INDEX(LINEST(LN(AV665:AY665),LN(AV664:AY664)),1)</f>
        <v>-5.2786728159439598E-2</v>
      </c>
      <c r="AN665" s="72">
        <f>EXP(INDEX(LINEST(LN(AV665:AY665),LN(AV664:AY664)),1,2))</f>
        <v>1.8940586148627601</v>
      </c>
      <c r="AO665" s="89">
        <f>INDEX(LINEST((AV665:AY665),LN(AV664:AY664),TRUE,TRUE),3,1)</f>
        <v>0.72787657972600417</v>
      </c>
      <c r="AP665" s="89">
        <f>INDEX(LINEST((AV665:AY665),LN(AV664:AY664)),1)</f>
        <v>-4.0099428410164194E-2</v>
      </c>
      <c r="AQ665" s="90">
        <f>INDEX(LINEST(LN(AV665:AY665),SQRT(AV664:AY664),TRUE,TRUE),3,1)</f>
        <v>0.7642291145898108</v>
      </c>
      <c r="AR665" s="117">
        <f>INDEX(LINEST(LN(AV665:AY665),SQRT((AV664:AY664))),1)</f>
        <v>-1.9706129131435797E-5</v>
      </c>
      <c r="AS665" s="91">
        <f>INDEX(LINEST(1/(AV665:AY665),1/(SQRT(AV664:AY664)),TRUE,TRUE),3,1)</f>
        <v>0.62691614065233214</v>
      </c>
      <c r="AT665" s="91">
        <f>INDEX(LINEST(1/(AV665:AY665),1/SQRT(AV664:AY664)),1)</f>
        <v>-625.26502153942306</v>
      </c>
      <c r="AU665" s="3"/>
      <c r="AV665" s="97">
        <v>0.81</v>
      </c>
      <c r="AW665" s="97">
        <v>0.79</v>
      </c>
      <c r="AX665" s="97">
        <v>0.7</v>
      </c>
      <c r="AY665" s="97">
        <v>0.72</v>
      </c>
      <c r="AZ665" s="11"/>
      <c r="BA665" s="11"/>
      <c r="BB665" s="11"/>
      <c r="BC665" s="11"/>
      <c r="BD665" s="11"/>
      <c r="BE665" s="11"/>
      <c r="BF665" s="11"/>
      <c r="BG665" s="11"/>
      <c r="BH665" s="11"/>
      <c r="BI665" s="11"/>
      <c r="BJ665" s="11"/>
      <c r="BK665" s="11"/>
      <c r="BL665" s="11"/>
      <c r="BM665" s="11"/>
      <c r="BN665" s="11"/>
      <c r="BO665" s="11"/>
      <c r="BP665" s="11"/>
      <c r="BQ665" s="11"/>
      <c r="BR665" s="11"/>
      <c r="BS665" s="11"/>
      <c r="BT665" s="11"/>
      <c r="BU665" s="11"/>
      <c r="BV665" s="11"/>
      <c r="BW665" s="11"/>
      <c r="BX665" s="11"/>
      <c r="BY665" s="11"/>
      <c r="BZ665" s="11"/>
      <c r="CA665" s="11"/>
      <c r="CB665" s="11"/>
      <c r="CC665" s="11"/>
      <c r="CD665" s="11"/>
      <c r="CE665" s="11"/>
      <c r="CF665" s="11"/>
      <c r="CG665" s="11"/>
      <c r="CH665" s="11"/>
      <c r="CI665" s="11"/>
      <c r="CJ665" s="11"/>
      <c r="CK665" s="11"/>
      <c r="CL665" s="11"/>
      <c r="CM665" s="11"/>
      <c r="CN665" s="11"/>
      <c r="CO665" s="11"/>
      <c r="CP665" s="11"/>
      <c r="CQ665" s="11"/>
      <c r="CR665" s="15"/>
      <c r="CS665" s="15"/>
      <c r="CT665" s="15"/>
      <c r="CU665" s="15"/>
    </row>
    <row r="666" spans="1:99" ht="12" customHeight="1" x14ac:dyDescent="0.2">
      <c r="A666" s="68">
        <v>43509</v>
      </c>
      <c r="B666" s="94"/>
      <c r="C666" s="94"/>
      <c r="D666" s="92"/>
      <c r="E666" s="105"/>
      <c r="F666" s="92"/>
      <c r="G666" s="92"/>
      <c r="H666" s="92"/>
      <c r="I666" s="92"/>
      <c r="J666" s="92"/>
      <c r="K666" s="107"/>
      <c r="L666" s="107"/>
      <c r="M666" s="92"/>
      <c r="N666" s="92"/>
      <c r="O666" s="92"/>
      <c r="P666" s="92"/>
      <c r="Q666" s="92"/>
      <c r="R666" s="69"/>
      <c r="S666" s="92"/>
      <c r="T666" s="92"/>
      <c r="U666" s="60"/>
      <c r="V666" s="92"/>
      <c r="W666" s="69"/>
      <c r="X666" s="92"/>
      <c r="Y666" s="87"/>
      <c r="Z666" s="92"/>
      <c r="AA666" s="92"/>
      <c r="AB666" s="69"/>
      <c r="AC666" s="69"/>
      <c r="AD666" s="69"/>
      <c r="AE666" s="69"/>
      <c r="AF666" s="88"/>
      <c r="AG666" s="72"/>
      <c r="AH666" s="4"/>
      <c r="AI666" s="108"/>
      <c r="AJ666" s="113"/>
      <c r="AK666" s="108"/>
      <c r="AL666" s="108"/>
      <c r="AM666" s="108"/>
      <c r="AN666" s="108"/>
      <c r="AO666" s="108"/>
      <c r="AP666" s="108"/>
      <c r="AQ666" s="72"/>
      <c r="AR666" s="110"/>
      <c r="AS666" s="72"/>
      <c r="AT666" s="72"/>
      <c r="AU666" s="4"/>
      <c r="AV666" s="98">
        <f>3*30*24*3600</f>
        <v>7776000</v>
      </c>
      <c r="AW666" s="98">
        <f>15*30*24*3600</f>
        <v>38880000</v>
      </c>
      <c r="AX666" s="98">
        <f>27*30*24*3600</f>
        <v>69984000</v>
      </c>
      <c r="AY666" s="98">
        <f>39*30*24*3600</f>
        <v>101088000</v>
      </c>
      <c r="AZ666" s="11"/>
      <c r="BA666" s="11"/>
      <c r="BB666" s="11"/>
      <c r="BC666" s="11"/>
      <c r="BD666" s="11"/>
      <c r="BE666" s="11"/>
      <c r="BF666" s="11"/>
      <c r="BG666" s="11"/>
      <c r="BH666" s="11"/>
      <c r="BI666" s="11"/>
      <c r="BJ666" s="11"/>
      <c r="BK666" s="11"/>
      <c r="BL666" s="11"/>
      <c r="BM666" s="11"/>
      <c r="BN666" s="11"/>
      <c r="BO666" s="11"/>
      <c r="BP666" s="11"/>
      <c r="BQ666" s="11"/>
      <c r="BR666" s="11"/>
      <c r="BS666" s="11"/>
      <c r="BT666" s="11"/>
      <c r="BU666" s="11"/>
      <c r="BV666" s="11"/>
      <c r="BW666" s="11"/>
      <c r="BX666" s="11"/>
      <c r="BY666" s="11"/>
      <c r="BZ666" s="11"/>
      <c r="CA666" s="11"/>
      <c r="CB666" s="11"/>
      <c r="CC666" s="11"/>
      <c r="CD666" s="11"/>
      <c r="CE666" s="11"/>
      <c r="CF666" s="11"/>
      <c r="CG666" s="11"/>
      <c r="CH666" s="11"/>
      <c r="CI666" s="11"/>
      <c r="CJ666" s="11"/>
      <c r="CK666" s="11"/>
      <c r="CL666" s="11"/>
      <c r="CM666" s="11"/>
      <c r="CN666" s="11"/>
      <c r="CO666" s="11"/>
      <c r="CP666" s="11"/>
      <c r="CQ666" s="11"/>
      <c r="CR666" s="15"/>
      <c r="CS666" s="15"/>
      <c r="CT666" s="15"/>
      <c r="CU666" s="15"/>
    </row>
    <row r="667" spans="1:99" ht="12" customHeight="1" x14ac:dyDescent="0.2">
      <c r="A667" s="68">
        <v>43509</v>
      </c>
      <c r="B667" s="94" t="s">
        <v>283</v>
      </c>
      <c r="C667" s="94" t="s">
        <v>192</v>
      </c>
      <c r="D667" s="92">
        <v>1993</v>
      </c>
      <c r="E667" s="105">
        <v>1</v>
      </c>
      <c r="F667" s="92">
        <v>140</v>
      </c>
      <c r="G667" s="92">
        <v>35</v>
      </c>
      <c r="H667" s="92" t="s">
        <v>41</v>
      </c>
      <c r="I667" s="92" t="s">
        <v>132</v>
      </c>
      <c r="J667" s="92" t="s">
        <v>483</v>
      </c>
      <c r="K667" s="69">
        <f>IF(J667="syllables",1,IF(J667="trigrams",2,IF(J667="strings",3,IF(J667="visual array",4,IF(J667="characters",5,IF(J667="letters",6,IF(J667="free forms",7,IF(J667="odors",8,IF(J667="words",9,IF(J667="pictures",10,IF(J667="object pictures",11,IF(J667="faces",12,IF(J667="names",13,IF(J667="idioms",14,IF(J667="grades",15,IF(J667="syllable-digit pairs",16,IF(J667="trigram-word pairs",17,IF(J667="word-digit pairs",18,IF(J667="English-Swahili pairs",19,IF(J667="spatial position",20,IF(J667="word pairs",21,IF(J667="word triads",22,IF(J667="generated words",23,IF(J667="word definition pairs",24,IF(J667="math problems",25,IF(J667="famous faces",26,IF(J667="famous names",27,IF(J667="famous voices",28,IF(J667="television programs",29,IF(J667="race horses",30,IF(J667="new vocabulary",31,IF(J667="sentences",32,IF(J667="concepts",33,IF(J667="ad slides",34,IF(J667="scenes",35,IF(J667="famous scenes",36,IF(J667="poems",37,IF(J667="walk",38,IF(J667="faces and events",39,IF(J667="events and names",40,IF(J667="flashbulb",41,IF(J667="stories",42,IF(J667="course material",43,IF(J667="autobiographical",44,IF(J667="novels",45,IF(J667="public events",46,"99"))))))))))))))))))))))))))))))))))))))))))))))</f>
        <v>45</v>
      </c>
      <c r="L667" s="69">
        <f>IF(J667="syllables",1,IF(J667="trigrams",1,IF(J667="strings",1,IF(J667="visual array",1,IF(J667="characters",1,IF(J667="letters",1,IF(J667="free forms",1,IF(J667="odors",2,IF(J667="words",2,IF(J667="pictures",2,IF(J667="object pictures",2,IF(J667="faces",2,IF(J667="names",2,IF(J667="idioms","2",IF(J667="grades",2,IF(J667="syllable-digit pairs",3,IF(J667="trigram-word pairs",3,IF(J667="word-digit pairs",3,IF(J667="English-Swahili pairs",3,IF(J667="spatial position",3,IF(J667="word pairs",4,IF(J667="word triads",4,IF(J667="generated words",4,IF(J667="word definition pairs",4,IF(J667="math problems",4,IF(J667="famous faces",4,IF(J667="famous names",4,IF(J667="famous voices",4,IF(J667="television programs",4,IF(J667="race horses",4,IF(J667="new vocabulary",4,IF(J667="sentences",5,IF(J667="concepts",5,IF(J667="ad slides",5,IF(J667="scenes",5,IF(J667="famous scenes",5,IF(J667="poems",6,IF(J667="walk",6,IF(J667="faces and events",6,IF(J667="events and names",6,IF(J667="flashbulb",7,IF(J667="stories",7,IF(J667="course material",7,IF(J667="autobiographical",7,IF(J667="novels",7,IF(J667="public events",7,"99"))))))))))))))))))))))))))))))))))))))))))))))</f>
        <v>7</v>
      </c>
      <c r="M667" s="92">
        <v>0</v>
      </c>
      <c r="N667" s="92">
        <v>3</v>
      </c>
      <c r="O667" s="92">
        <v>0</v>
      </c>
      <c r="P667" s="92"/>
      <c r="Q667" s="92" t="s">
        <v>174</v>
      </c>
      <c r="R667" s="69">
        <f>IF(Q667="Free Recall",1,IF(Q667="Cued Recall",2,IF(Q667="Recognition",3,IF(Q667="Multiple Choice",4,IF(Q667="Savings",5,IF(Q667="Stem Completion",6,IF(Q667="Fragment Completion",7,IF(Q667="anagram solution",8,IF(Q667="Matching",9,IF(Q667="Problem Solving",10,"99"))))))))))</f>
        <v>1</v>
      </c>
      <c r="S667" s="92" t="s">
        <v>49</v>
      </c>
      <c r="T667" s="92" t="s">
        <v>261</v>
      </c>
      <c r="U667" s="60">
        <f>IF(T667="within",1,0)</f>
        <v>0</v>
      </c>
      <c r="V667" s="92">
        <v>18</v>
      </c>
      <c r="W667" s="69">
        <f>F667*V667</f>
        <v>2520</v>
      </c>
      <c r="X667" s="92">
        <v>4</v>
      </c>
      <c r="Y667" s="87">
        <f>AV666</f>
        <v>7776000</v>
      </c>
      <c r="Z667" s="92" t="s">
        <v>284</v>
      </c>
      <c r="AA667" s="92">
        <f>39*30*24*3600</f>
        <v>101088000</v>
      </c>
      <c r="AB667" s="69" t="str">
        <f>IF(AA667&lt;60,"1",IF(AA667&lt;=43200,"2",IF(AA667&lt;=777600,"3","4")))</f>
        <v>4</v>
      </c>
      <c r="AC667" s="72">
        <f>AVERAGE(AV666:DA666)</f>
        <v>54432000</v>
      </c>
      <c r="AD667" s="69" t="str">
        <f>IF(AC667&lt;60,"1",IF(AC667&lt;=43200,"2",IF(AC667&lt;=777600,"3","4")))</f>
        <v>4</v>
      </c>
      <c r="AE667" s="87">
        <f>AA667-Y667</f>
        <v>93312000</v>
      </c>
      <c r="AF667" s="88">
        <f>AV667</f>
        <v>0.65</v>
      </c>
      <c r="AG667" s="93">
        <f>((AW667-AV667)+(AX667-AW667)+(AY667-AX667))/3</f>
        <v>-3.3333333333333361E-3</v>
      </c>
      <c r="AH667" s="4"/>
      <c r="AI667" s="72">
        <f>RSQ(AV667:AY667,AV666:AY666)</f>
        <v>0.20000000000000004</v>
      </c>
      <c r="AJ667" s="110">
        <f>SLOPE(AV667:AY667,AV666:AY666)</f>
        <v>-1.9290123456790137E-10</v>
      </c>
      <c r="AK667" s="72">
        <f>INTERCEPT(AV667:AY667,AV666:AY666)</f>
        <v>0.64549999999999996</v>
      </c>
      <c r="AL667" s="72">
        <f>INDEX(LINEST(LN(AV667:AY667),LN(AV666:AY666),TRUE,TRUE),3,1)</f>
        <v>0.32866727506701393</v>
      </c>
      <c r="AM667" s="72">
        <f>INDEX(LINEST(LN(AV667:AY667),LN(AV666:AY666)),1)</f>
        <v>-1.3958932447355842E-2</v>
      </c>
      <c r="AN667" s="72">
        <f>EXP(INDEX(LINEST(LN(AV667:AY667),LN(AV666:AY666)),1,2))</f>
        <v>0.8100186558353023</v>
      </c>
      <c r="AO667" s="89">
        <f>INDEX(LINEST((AV667:AY667),LN(AV666:AY666),TRUE,TRUE),3,1)</f>
        <v>0.33497527999960752</v>
      </c>
      <c r="AP667" s="89">
        <f>INDEX(LINEST((AV667:AY667),LN(AV666:AY666)),1)</f>
        <v>-8.8517161839560127E-3</v>
      </c>
      <c r="AQ667" s="90">
        <f>INDEX(LINEST(LN(AV667:AY667),SQRT(AV666:AY666),TRUE,TRUE),3,1)</f>
        <v>0.27293218676144204</v>
      </c>
      <c r="AR667" s="117">
        <f>INDEX(LINEST(LN(AV667:AY667),SQRT((AV666:AY666))),1)</f>
        <v>-4.5989019028757241E-6</v>
      </c>
      <c r="AS667" s="91">
        <f>INDEX(LINEST(1/(AV667:AY667),1/(SQRT(AV666:AY666)),TRUE,TRUE),3,1)</f>
        <v>0.34373208360034263</v>
      </c>
      <c r="AT667" s="91">
        <f>INDEX(LINEST(1/(AV667:AY667),1/SQRT(AV666:AY666)),1)</f>
        <v>-216.70734690922814</v>
      </c>
      <c r="AU667" s="3"/>
      <c r="AV667" s="97">
        <v>0.65</v>
      </c>
      <c r="AW667" s="97">
        <v>0.64</v>
      </c>
      <c r="AX667" s="97">
        <v>0.61</v>
      </c>
      <c r="AY667" s="97">
        <v>0.64</v>
      </c>
      <c r="AZ667" s="11"/>
      <c r="BA667" s="11"/>
      <c r="BB667" s="11"/>
      <c r="BC667" s="11"/>
      <c r="BD667" s="11"/>
      <c r="BE667" s="11"/>
      <c r="BF667" s="11"/>
      <c r="BG667" s="11"/>
      <c r="BH667" s="11"/>
      <c r="BI667" s="11"/>
      <c r="BJ667" s="11"/>
      <c r="BK667" s="11"/>
      <c r="BL667" s="11"/>
      <c r="BM667" s="11"/>
      <c r="BN667" s="11"/>
      <c r="BO667" s="11"/>
      <c r="BP667" s="11"/>
      <c r="BQ667" s="11"/>
      <c r="BR667" s="11"/>
      <c r="BS667" s="11"/>
      <c r="BT667" s="11"/>
      <c r="BU667" s="11"/>
      <c r="BV667" s="11"/>
      <c r="BW667" s="11"/>
      <c r="BX667" s="11"/>
      <c r="BY667" s="11"/>
      <c r="BZ667" s="11"/>
      <c r="CA667" s="11"/>
      <c r="CB667" s="11"/>
      <c r="CC667" s="11"/>
      <c r="CD667" s="11"/>
      <c r="CE667" s="11"/>
      <c r="CF667" s="11"/>
      <c r="CG667" s="11"/>
      <c r="CH667" s="11"/>
      <c r="CI667" s="11"/>
      <c r="CJ667" s="11"/>
      <c r="CK667" s="11"/>
      <c r="CL667" s="11"/>
      <c r="CM667" s="11"/>
      <c r="CN667" s="11"/>
      <c r="CO667" s="11"/>
      <c r="CP667" s="11"/>
      <c r="CQ667" s="11"/>
      <c r="CR667" s="15"/>
      <c r="CS667" s="15"/>
      <c r="CT667" s="15"/>
      <c r="CU667" s="15"/>
    </row>
    <row r="668" spans="1:99" s="13" customFormat="1" ht="12" customHeight="1" x14ac:dyDescent="0.2">
      <c r="A668" s="68">
        <v>43509</v>
      </c>
      <c r="B668" s="70"/>
      <c r="C668" s="70"/>
      <c r="D668" s="69"/>
      <c r="E668" s="87"/>
      <c r="F668" s="69"/>
      <c r="G668" s="69"/>
      <c r="H668" s="69"/>
      <c r="I668" s="69"/>
      <c r="J668" s="69"/>
      <c r="K668" s="107"/>
      <c r="L668" s="107"/>
      <c r="M668" s="69"/>
      <c r="N668" s="69"/>
      <c r="O668" s="69"/>
      <c r="P668" s="69"/>
      <c r="Q668" s="69"/>
      <c r="R668" s="69"/>
      <c r="S668" s="69"/>
      <c r="T668" s="69"/>
      <c r="U668" s="60"/>
      <c r="V668" s="69"/>
      <c r="W668" s="69"/>
      <c r="X668" s="69"/>
      <c r="Y668" s="87"/>
      <c r="Z668" s="69"/>
      <c r="AA668" s="69"/>
      <c r="AB668" s="69"/>
      <c r="AC668" s="69"/>
      <c r="AD668" s="69"/>
      <c r="AE668" s="69"/>
      <c r="AF668" s="88"/>
      <c r="AG668" s="72"/>
      <c r="AH668" s="4"/>
      <c r="AI668" s="72"/>
      <c r="AJ668" s="110"/>
      <c r="AK668" s="72"/>
      <c r="AL668" s="72"/>
      <c r="AM668" s="72"/>
      <c r="AN668" s="72"/>
      <c r="AO668" s="72"/>
      <c r="AP668" s="72"/>
      <c r="AQ668" s="72"/>
      <c r="AR668" s="110"/>
      <c r="AS668" s="72"/>
      <c r="AT668" s="72"/>
      <c r="AU668" s="4"/>
      <c r="AV668" s="71">
        <v>15</v>
      </c>
      <c r="AW668" s="71">
        <v>300</v>
      </c>
      <c r="AX668" s="71">
        <v>900</v>
      </c>
      <c r="AY668" s="71">
        <v>1800</v>
      </c>
      <c r="AZ668" s="71">
        <v>3600</v>
      </c>
      <c r="BA668" s="71">
        <v>7200</v>
      </c>
      <c r="BB668" s="71">
        <v>14400</v>
      </c>
      <c r="BC668" s="71">
        <v>28800</v>
      </c>
      <c r="BD668" s="71">
        <v>43200</v>
      </c>
      <c r="BE668" s="71">
        <v>86400</v>
      </c>
      <c r="BF668" s="71">
        <v>172800</v>
      </c>
      <c r="BG668" s="73">
        <v>345600</v>
      </c>
      <c r="BH668" s="73">
        <v>604800</v>
      </c>
      <c r="BI668" s="73">
        <v>3628800</v>
      </c>
      <c r="BJ668" s="53"/>
      <c r="BK668" s="53"/>
      <c r="BL668" s="53"/>
      <c r="BM668" s="53"/>
      <c r="BN668" s="53"/>
      <c r="BO668" s="53"/>
      <c r="BP668" s="53"/>
      <c r="BQ668" s="53"/>
      <c r="BR668" s="53"/>
      <c r="BS668" s="53"/>
      <c r="BT668" s="53"/>
      <c r="BU668" s="53"/>
      <c r="BV668" s="53"/>
      <c r="BW668" s="53"/>
      <c r="BX668" s="53"/>
      <c r="BY668" s="53"/>
      <c r="BZ668" s="53"/>
      <c r="CA668" s="53"/>
      <c r="CB668" s="53"/>
      <c r="CC668" s="53"/>
      <c r="CD668" s="53"/>
      <c r="CE668" s="53"/>
      <c r="CF668" s="53"/>
      <c r="CG668" s="53"/>
      <c r="CH668" s="53"/>
      <c r="CI668" s="53"/>
      <c r="CJ668" s="53"/>
      <c r="CK668" s="53"/>
      <c r="CL668" s="53"/>
      <c r="CM668" s="53"/>
      <c r="CN668" s="53"/>
      <c r="CO668" s="53"/>
      <c r="CP668" s="53"/>
      <c r="CQ668" s="53"/>
      <c r="CR668" s="1"/>
      <c r="CS668" s="1"/>
      <c r="CT668" s="1"/>
      <c r="CU668" s="1"/>
    </row>
    <row r="669" spans="1:99" s="13" customFormat="1" ht="12" customHeight="1" x14ac:dyDescent="0.2">
      <c r="A669" s="68">
        <v>43509</v>
      </c>
      <c r="B669" s="70" t="s">
        <v>134</v>
      </c>
      <c r="C669" s="70" t="s">
        <v>135</v>
      </c>
      <c r="D669" s="69">
        <v>1913</v>
      </c>
      <c r="E669" s="87">
        <v>1</v>
      </c>
      <c r="F669" s="69">
        <v>5</v>
      </c>
      <c r="G669" s="69">
        <v>5</v>
      </c>
      <c r="H669" s="69" t="s">
        <v>547</v>
      </c>
      <c r="I669" s="69"/>
      <c r="J669" s="69" t="s">
        <v>16</v>
      </c>
      <c r="K669" s="69">
        <f>IF(J669="syllables",1,IF(J669="trigrams",2,IF(J669="strings",3,IF(J669="visual array",4,IF(J669="characters",5,IF(J669="letters",6,IF(J669="free forms",7,IF(J669="odors",8,IF(J669="words",9,IF(J669="pictures",10,IF(J669="object pictures",11,IF(J669="faces",12,IF(J669="names",13,IF(J669="idioms",14,IF(J669="grades",15,IF(J669="syllable-digit pairs",16,IF(J669="trigram-word pairs",17,IF(J669="word-digit pairs",18,IF(J669="English-Swahili pairs",19,IF(J669="spatial position",20,IF(J669="word pairs",21,IF(J669="word triads",22,IF(J669="generated words",23,IF(J669="word definition pairs",24,IF(J669="math problems",25,IF(J669="famous faces",26,IF(J669="famous names",27,IF(J669="famous voices",28,IF(J669="television programs",29,IF(J669="race horses",30,IF(J669="new vocabulary",31,IF(J669="sentences",32,IF(J669="concepts",33,IF(J669="ad slides",34,IF(J669="scenes",35,IF(J669="famous scenes",36,IF(J669="poems",37,IF(J669="walk",38,IF(J669="faces and events",39,IF(J669="events and names",40,IF(J669="flashbulb",41,IF(J669="stories",42,IF(J669="course material",43,IF(J669="autobiographical",44,IF(J669="novels",45,IF(J669="public events",46,"99"))))))))))))))))))))))))))))))))))))))))))))))</f>
        <v>9</v>
      </c>
      <c r="L669" s="69">
        <f>IF(J669="syllables",1,IF(J669="trigrams",1,IF(J669="strings",1,IF(J669="visual array",1,IF(J669="characters",1,IF(J669="letters",1,IF(J669="free forms",1,IF(J669="odors",2,IF(J669="words",2,IF(J669="pictures",2,IF(J669="object pictures",2,IF(J669="faces",2,IF(J669="names",2,IF(J669="idioms","2",IF(J669="grades",2,IF(J669="syllable-digit pairs",3,IF(J669="trigram-word pairs",3,IF(J669="word-digit pairs",3,IF(J669="English-Swahili pairs",3,IF(J669="spatial position",3,IF(J669="word pairs",4,IF(J669="word triads",4,IF(J669="generated words",4,IF(J669="word definition pairs",4,IF(J669="math problems",4,IF(J669="famous faces",4,IF(J669="famous names",4,IF(J669="famous voices",4,IF(J669="television programs",4,IF(J669="race horses",4,IF(J669="new vocabulary",4,IF(J669="sentences",5,IF(J669="concepts",5,IF(J669="ad slides",5,IF(J669="scenes",5,IF(J669="famous scenes",5,IF(J669="poems",6,IF(J669="walk",6,IF(J669="faces and events",6,IF(J669="events and names",6,IF(J669="flashbulb",7,IF(J669="stories",7,IF(J669="course material",7,IF(J669="autobiographical",7,IF(J669="novels",7,IF(J669="public events",7,"99"))))))))))))))))))))))))))))))))))))))))))))))</f>
        <v>2</v>
      </c>
      <c r="M669" s="69">
        <v>0</v>
      </c>
      <c r="N669" s="69">
        <v>1</v>
      </c>
      <c r="O669" s="69">
        <v>1</v>
      </c>
      <c r="P669" s="69" t="s">
        <v>136</v>
      </c>
      <c r="Q669" s="69" t="s">
        <v>34</v>
      </c>
      <c r="R669" s="69">
        <f>IF(Q669="Free Recall",1,IF(Q669="Cued Recall",2,IF(Q669="Recognition",3,IF(Q669="Multiple Choice",4,IF(Q669="Savings",5,IF(Q669="Stem Completion",6,IF(Q669="Fragment Completion",7,IF(Q669="anagram solution",8,IF(Q669="Matching",9,IF(Q669="Problem Solving",10,"99"))))))))))</f>
        <v>3</v>
      </c>
      <c r="S669" s="69" t="s">
        <v>15</v>
      </c>
      <c r="T669" s="92" t="s">
        <v>581</v>
      </c>
      <c r="U669" s="60">
        <f>IF(T669="within",1,0)</f>
        <v>1</v>
      </c>
      <c r="V669" s="92">
        <v>80</v>
      </c>
      <c r="W669" s="69">
        <f>F669*V669</f>
        <v>400</v>
      </c>
      <c r="X669" s="69">
        <v>14</v>
      </c>
      <c r="Y669" s="87">
        <f>AV668</f>
        <v>15</v>
      </c>
      <c r="Z669" s="69" t="s">
        <v>144</v>
      </c>
      <c r="AA669" s="69">
        <v>3628800</v>
      </c>
      <c r="AB669" s="69" t="str">
        <f>IF(AA669&lt;60,"1",IF(AA669&lt;=43200,"2",IF(AA669&lt;=777600,"3","4")))</f>
        <v>4</v>
      </c>
      <c r="AC669" s="72">
        <f>AVERAGE(AV668:DA668)</f>
        <v>352758.21428571426</v>
      </c>
      <c r="AD669" s="69" t="str">
        <f>IF(AC669&lt;60,"1",IF(AC669&lt;=43200,"2",IF(AC669&lt;=777600,"3","4")))</f>
        <v>3</v>
      </c>
      <c r="AE669" s="87">
        <f>AA669-Y669</f>
        <v>3628785</v>
      </c>
      <c r="AF669" s="88">
        <f>AV669</f>
        <v>0.91650000000000009</v>
      </c>
      <c r="AG669" s="72">
        <f>((AW669-AV669)+(AX669-AW669)+(AY669-AX669)+(AZ669-AY669)+(BA669-AZ669)+(BB669-BA669)+(BC669-BB669)+(BD669-BC669)+(BE669-BD669)+(BF669-BE669)+(BG669-BF669)+(BH669-BG669)+(BI669-BH669))/13</f>
        <v>-2.6269230769230781E-2</v>
      </c>
      <c r="AH669" s="4"/>
      <c r="AI669" s="72">
        <f>RSQ(AV669:BI669,AV668:BI668)</f>
        <v>0.28209961534997025</v>
      </c>
      <c r="AJ669" s="110">
        <f>SLOPE(AV669:BI669,AV668:BI668)</f>
        <v>-5.7116795328765527E-8</v>
      </c>
      <c r="AK669" s="72">
        <f>INTERCEPT(AV669:BI669,AV668:BI668)</f>
        <v>0.74338413301161221</v>
      </c>
      <c r="AL669" s="72" cm="1">
        <f t="array" ref="AL669">INDEX(LINEST(LN(AV669:BI669),LN(AV668:BI668),TRUE,TRUE),3,1)</f>
        <v>0.93736605620198232</v>
      </c>
      <c r="AM669" s="72" cm="1">
        <f t="array" ref="AM669">_xlfn.SINGLE(INDEX(LINEST(LN(AV669:BI669),LN(AV668:BI668)),1))</f>
        <v>-4.1965243581902553E-2</v>
      </c>
      <c r="AN669" s="72" cm="1">
        <f t="array" ref="AN669">EXP(INDEX(LINEST(LN(AV669:BI669),LN(AV668:BI668)),1,2))</f>
        <v>1.0734001202885581</v>
      </c>
      <c r="AO669" s="89" cm="1">
        <f t="array" ref="AO669">INDEX(LINEST((AV669:BI669),LN(AV668:BI668),TRUE,TRUE),3,1)</f>
        <v>0.95317739577770622</v>
      </c>
      <c r="AP669" s="89" cm="1">
        <f t="array" ref="AP669">_xlfn.SINGLE(INDEX(LINEST((AV669:BI669),LN(AV668:BI668)),1))</f>
        <v>-3.0435472314262399E-2</v>
      </c>
      <c r="AQ669" s="90" cm="1">
        <f t="array" ref="AQ669">INDEX(LINEST(LN(AV669:BI669),SQRT(AV668:BI668),TRUE,TRUE),3,1)</f>
        <v>0.58378291252818548</v>
      </c>
      <c r="AR669" s="117" cm="1">
        <f t="array" ref="AR669">_xlfn.SINGLE(INDEX(LINEST(LN(AV669:BI669),SQRT((AV668:BI668))),1))</f>
        <v>-2.1578818390287902E-4</v>
      </c>
      <c r="AS669" s="91" cm="1">
        <f t="array" ref="AS669">INDEX(LINEST(1/(AV669:BI669),1/(SQRT(AV668:BI668)),TRUE,TRUE),3,1)</f>
        <v>0.35993888110918948</v>
      </c>
      <c r="AT669" s="91" cm="1">
        <f t="array" ref="AT669">_xlfn.SINGLE(INDEX(LINEST(1/(AV669:BI669),1/SQRT(AV668:BI668)),1))</f>
        <v>-1.8076078099186463</v>
      </c>
      <c r="AU669" s="3"/>
      <c r="AV669" s="73">
        <v>0.91650000000000009</v>
      </c>
      <c r="AW669" s="73">
        <v>0.86</v>
      </c>
      <c r="AX669" s="73">
        <v>0.80349999999999999</v>
      </c>
      <c r="AY669" s="73">
        <v>0.79049999999999998</v>
      </c>
      <c r="AZ669" s="73">
        <v>0.77649999999999997</v>
      </c>
      <c r="BA669" s="73">
        <v>0.72</v>
      </c>
      <c r="BB669" s="73">
        <v>0.76</v>
      </c>
      <c r="BC669" s="73">
        <v>0.72</v>
      </c>
      <c r="BD669" s="73">
        <v>0.71700000000000008</v>
      </c>
      <c r="BE669" s="73">
        <v>0.64</v>
      </c>
      <c r="BF669" s="73">
        <v>0.64649999999999996</v>
      </c>
      <c r="BG669" s="73">
        <v>0.62930000000000008</v>
      </c>
      <c r="BH669" s="73">
        <v>0.57050000000000001</v>
      </c>
      <c r="BI669" s="73">
        <v>0.57499999999999996</v>
      </c>
      <c r="BJ669" s="53"/>
      <c r="BK669" s="53"/>
      <c r="BL669" s="53"/>
      <c r="BM669" s="53"/>
      <c r="BN669" s="53"/>
      <c r="BO669" s="53"/>
      <c r="BP669" s="53"/>
      <c r="BQ669" s="53"/>
      <c r="BR669" s="53"/>
      <c r="BS669" s="53"/>
      <c r="BT669" s="53"/>
      <c r="BU669" s="53"/>
      <c r="BV669" s="53"/>
      <c r="BW669" s="53"/>
      <c r="BX669" s="53"/>
      <c r="BY669" s="53"/>
      <c r="BZ669" s="53"/>
      <c r="CA669" s="53"/>
      <c r="CB669" s="53"/>
      <c r="CC669" s="53"/>
      <c r="CD669" s="53"/>
      <c r="CE669" s="53"/>
      <c r="CF669" s="53"/>
      <c r="CG669" s="53"/>
      <c r="CH669" s="53"/>
      <c r="CI669" s="53"/>
      <c r="CJ669" s="53"/>
      <c r="CK669" s="53"/>
      <c r="CL669" s="53"/>
      <c r="CM669" s="53"/>
      <c r="CN669" s="53"/>
      <c r="CO669" s="53"/>
      <c r="CP669" s="53"/>
      <c r="CQ669" s="53"/>
      <c r="CR669" s="1"/>
      <c r="CS669" s="1"/>
      <c r="CT669" s="1"/>
      <c r="CU669" s="1"/>
    </row>
    <row r="670" spans="1:99" s="13" customFormat="1" ht="12" customHeight="1" x14ac:dyDescent="0.2">
      <c r="A670" s="68">
        <v>43509</v>
      </c>
      <c r="B670" s="70"/>
      <c r="C670" s="70"/>
      <c r="D670" s="69"/>
      <c r="E670" s="87"/>
      <c r="F670" s="69"/>
      <c r="G670" s="69"/>
      <c r="H670" s="69"/>
      <c r="I670" s="69"/>
      <c r="J670" s="69"/>
      <c r="K670" s="107"/>
      <c r="L670" s="107"/>
      <c r="M670" s="69"/>
      <c r="N670" s="69"/>
      <c r="O670" s="69"/>
      <c r="P670" s="69"/>
      <c r="Q670" s="69"/>
      <c r="R670" s="69"/>
      <c r="S670" s="69"/>
      <c r="T670" s="69"/>
      <c r="U670" s="60"/>
      <c r="V670" s="69"/>
      <c r="W670" s="69"/>
      <c r="X670" s="69"/>
      <c r="Y670" s="87"/>
      <c r="Z670" s="69"/>
      <c r="AA670" s="69"/>
      <c r="AB670" s="69"/>
      <c r="AC670" s="69"/>
      <c r="AD670" s="69"/>
      <c r="AE670" s="69"/>
      <c r="AF670" s="88"/>
      <c r="AG670" s="72"/>
      <c r="AH670" s="4"/>
      <c r="AI670" s="72"/>
      <c r="AJ670" s="110"/>
      <c r="AK670" s="72"/>
      <c r="AL670" s="72"/>
      <c r="AM670" s="72"/>
      <c r="AN670" s="72"/>
      <c r="AO670" s="72"/>
      <c r="AP670" s="72"/>
      <c r="AQ670" s="72"/>
      <c r="AR670" s="110"/>
      <c r="AS670" s="72"/>
      <c r="AT670" s="72"/>
      <c r="AU670" s="4"/>
      <c r="AV670" s="71">
        <f>24*60*60</f>
        <v>86400</v>
      </c>
      <c r="AW670" s="71">
        <f>2*24*60*60</f>
        <v>172800</v>
      </c>
      <c r="AX670" s="71">
        <f>30*24*60*60</f>
        <v>2592000</v>
      </c>
      <c r="AY670" s="71">
        <f>90*24*60*60</f>
        <v>7776000</v>
      </c>
      <c r="AZ670" s="53"/>
      <c r="BA670" s="53"/>
      <c r="BB670" s="53"/>
      <c r="BC670" s="53"/>
      <c r="BD670" s="53"/>
      <c r="BE670" s="53"/>
      <c r="BF670" s="53"/>
      <c r="BG670" s="53"/>
      <c r="BH670" s="53"/>
      <c r="BI670" s="53"/>
      <c r="BJ670" s="53"/>
      <c r="BK670" s="53"/>
      <c r="BL670" s="53"/>
      <c r="BM670" s="53"/>
      <c r="BN670" s="53"/>
      <c r="BO670" s="53"/>
      <c r="BP670" s="53"/>
      <c r="BQ670" s="53"/>
      <c r="BR670" s="53"/>
      <c r="BS670" s="53"/>
      <c r="BT670" s="53"/>
      <c r="BU670" s="53"/>
      <c r="BV670" s="53"/>
      <c r="BW670" s="53"/>
      <c r="BX670" s="53"/>
      <c r="BY670" s="53"/>
      <c r="BZ670" s="53"/>
      <c r="CA670" s="53"/>
      <c r="CB670" s="53"/>
      <c r="CC670" s="53"/>
      <c r="CD670" s="53"/>
      <c r="CE670" s="53"/>
      <c r="CF670" s="53"/>
      <c r="CG670" s="53"/>
      <c r="CH670" s="53"/>
      <c r="CI670" s="53"/>
      <c r="CJ670" s="53"/>
      <c r="CK670" s="53"/>
      <c r="CL670" s="53"/>
      <c r="CM670" s="53"/>
      <c r="CN670" s="53"/>
      <c r="CO670" s="53"/>
      <c r="CP670" s="53"/>
      <c r="CQ670" s="53"/>
      <c r="CR670" s="1"/>
      <c r="CS670" s="1"/>
      <c r="CT670" s="1"/>
      <c r="CU670" s="1"/>
    </row>
    <row r="671" spans="1:99" s="13" customFormat="1" ht="12" customHeight="1" x14ac:dyDescent="0.2">
      <c r="A671" s="68">
        <v>43509</v>
      </c>
      <c r="B671" s="103" t="s">
        <v>198</v>
      </c>
      <c r="C671" s="70" t="s">
        <v>199</v>
      </c>
      <c r="D671" s="69">
        <v>2006</v>
      </c>
      <c r="E671" s="87">
        <v>1</v>
      </c>
      <c r="F671" s="69">
        <v>22</v>
      </c>
      <c r="G671" s="69">
        <v>22</v>
      </c>
      <c r="H671" s="69" t="s">
        <v>832</v>
      </c>
      <c r="I671" s="69" t="s">
        <v>830</v>
      </c>
      <c r="J671" s="69" t="s">
        <v>313</v>
      </c>
      <c r="K671" s="69">
        <f>IF(J671="syllables",1,IF(J671="trigrams",2,IF(J671="strings",3,IF(J671="visual array",4,IF(J671="characters",5,IF(J671="letters",6,IF(J671="free forms",7,IF(J671="odors",8,IF(J671="words",9,IF(J671="pictures",10,IF(J671="object pictures",11,IF(J671="faces",12,IF(J671="names",13,IF(J671="idioms",14,IF(J671="grades",15,IF(J671="syllable-digit pairs",16,IF(J671="trigram-word pairs",17,IF(J671="word-digit pairs",18,IF(J671="English-Swahili pairs",19,IF(J671="spatial position",20,IF(J671="word pairs",21,IF(J671="word triads",22,IF(J671="generated words",23,IF(J671="word definition pairs",24,IF(J671="math problems",25,IF(J671="famous faces",26,IF(J671="famous names",27,IF(J671="famous voices",28,IF(J671="television programs",29,IF(J671="race horses",30,IF(J671="new vocabulary",31,IF(J671="sentences",32,IF(J671="concepts",33,IF(J671="ad slides",34,IF(J671="scenes",35,IF(J671="famous scenes",36,IF(J671="poems",37,IF(J671="walk",38,IF(J671="faces and events",39,IF(J671="events and names",40,IF(J671="flashbulb",41,IF(J671="stories",42,IF(J671="course material",43,IF(J671="autobiographical",44,IF(J671="novels",45,IF(J671="public events",46,"99"))))))))))))))))))))))))))))))))))))))))))))))</f>
        <v>10</v>
      </c>
      <c r="L671" s="69">
        <f>IF(J671="syllables",1,IF(J671="trigrams",1,IF(J671="strings",1,IF(J671="visual array",1,IF(J671="characters",1,IF(J671="letters",1,IF(J671="free forms",1,IF(J671="odors",2,IF(J671="words",2,IF(J671="pictures",2,IF(J671="object pictures",2,IF(J671="faces",2,IF(J671="names",2,IF(J671="idioms","2",IF(J671="grades",2,IF(J671="syllable-digit pairs",3,IF(J671="trigram-word pairs",3,IF(J671="word-digit pairs",3,IF(J671="English-Swahili pairs",3,IF(J671="spatial position",3,IF(J671="word pairs",4,IF(J671="word triads",4,IF(J671="generated words",4,IF(J671="word definition pairs",4,IF(J671="math problems",4,IF(J671="famous faces",4,IF(J671="famous names",4,IF(J671="famous voices",4,IF(J671="television programs",4,IF(J671="race horses",4,IF(J671="new vocabulary",4,IF(J671="sentences",5,IF(J671="concepts",5,IF(J671="ad slides",5,IF(J671="scenes",5,IF(J671="famous scenes",5,IF(J671="poems",6,IF(J671="walk",6,IF(J671="faces and events",6,IF(J671="events and names",6,IF(J671="flashbulb",7,IF(J671="stories",7,IF(J671="course material",7,IF(J671="autobiographical",7,IF(J671="novels",7,IF(J671="public events",7,"99"))))))))))))))))))))))))))))))))))))))))))))))</f>
        <v>2</v>
      </c>
      <c r="M671" s="69">
        <v>0</v>
      </c>
      <c r="N671" s="69">
        <v>1</v>
      </c>
      <c r="O671" s="69">
        <v>0</v>
      </c>
      <c r="P671" s="69"/>
      <c r="Q671" s="69" t="s">
        <v>34</v>
      </c>
      <c r="R671" s="69">
        <f>IF(Q671="Free Recall",1,IF(Q671="Cued Recall",2,IF(Q671="Recognition",3,IF(Q671="Multiple Choice",4,IF(Q671="Savings",5,IF(Q671="Stem Completion",6,IF(Q671="Fragment Completion",7,IF(Q671="anagram solution",8,IF(Q671="Matching",9,IF(Q671="Problem Solving",10,"99"))))))))))</f>
        <v>3</v>
      </c>
      <c r="S671" s="69" t="s">
        <v>15</v>
      </c>
      <c r="T671" s="92" t="s">
        <v>581</v>
      </c>
      <c r="U671" s="60">
        <f>IF(T671="within",1,0)</f>
        <v>1</v>
      </c>
      <c r="V671" s="92">
        <v>480</v>
      </c>
      <c r="W671" s="69">
        <f>F671*V671</f>
        <v>10560</v>
      </c>
      <c r="X671" s="69">
        <v>4</v>
      </c>
      <c r="Y671" s="87">
        <f>AV670</f>
        <v>86400</v>
      </c>
      <c r="Z671" s="69" t="s">
        <v>179</v>
      </c>
      <c r="AA671" s="69">
        <f>30*24*60*60*3</f>
        <v>7776000</v>
      </c>
      <c r="AB671" s="69" t="str">
        <f>IF(AA671&lt;60,"1",IF(AA671&lt;=43200,"2",IF(AA671&lt;=777600,"3","4")))</f>
        <v>4</v>
      </c>
      <c r="AC671" s="72">
        <f>AVERAGE(AV670:DA670)</f>
        <v>2656800</v>
      </c>
      <c r="AD671" s="69" t="str">
        <f>IF(AC671&lt;60,"1",IF(AC671&lt;=43200,"2",IF(AC671&lt;=777600,"3","4")))</f>
        <v>4</v>
      </c>
      <c r="AE671" s="87">
        <f>AA671-Y671</f>
        <v>7689600</v>
      </c>
      <c r="AF671" s="88">
        <f>AV671</f>
        <v>0.71900000000000008</v>
      </c>
      <c r="AG671" s="72">
        <f>((AW671-AV671)+(AX671-AW671)+(AY671-AX671))/3</f>
        <v>-1.4333333333333345E-2</v>
      </c>
      <c r="AH671" s="4"/>
      <c r="AI671" s="72">
        <f>RSQ(AV671:AY671,AV670:AY670)</f>
        <v>0.90511316608364267</v>
      </c>
      <c r="AJ671" s="110">
        <f>SLOPE(AV671:AY671,AV670:AY670)</f>
        <v>-5.1551749202651475E-9</v>
      </c>
      <c r="AK671" s="72">
        <f>INTERCEPT(AV671:AY671,AV670:AY670)</f>
        <v>0.71344626872816053</v>
      </c>
      <c r="AL671" s="72">
        <f>INDEX(LINEST(LN(AV671:AY671),LN(AV670:AY670),TRUE,TRUE),3,1)</f>
        <v>0.9809447636851979</v>
      </c>
      <c r="AM671" s="72">
        <f>INDEX(LINEST(LN(AV671:AY671),LN(AV670:AY670)),1)</f>
        <v>-1.2919749232237219E-2</v>
      </c>
      <c r="AN671" s="72">
        <f>EXP(INDEX(LINEST(LN(AV671:AY671),LN(AV670:AY670)),1,2))</f>
        <v>0.83300831419926602</v>
      </c>
      <c r="AO671" s="89">
        <f>INDEX(LINEST((AV671:AY671),LN(AV670:AY670),TRUE,TRUE),3,1)</f>
        <v>0.98266720784783501</v>
      </c>
      <c r="AP671" s="89">
        <f>INDEX(LINEST((AV671:AY671),LN(AV670:AY670)),1)</f>
        <v>-9.018117298963884E-3</v>
      </c>
      <c r="AQ671" s="90">
        <f>INDEX(LINEST(LN(AV671:AY671),SQRT(AV670:AY670),TRUE,TRUE),3,1)</f>
        <v>0.98472835667413317</v>
      </c>
      <c r="AR671" s="117">
        <f>INDEX(LINEST(LN(AV671:AY671),SQRT((AV670:AY670))),1)</f>
        <v>-2.3764790709787598E-5</v>
      </c>
      <c r="AS671" s="91">
        <f>INDEX(LINEST(1/(AV671:AY671),1/(SQRT(AV670:AY670)),TRUE,TRUE),3,1)</f>
        <v>0.90661405578099064</v>
      </c>
      <c r="AT671" s="91">
        <f>INDEX(LINEST(1/(AV671:AY671),1/SQRT(AV670:AY670)),1)</f>
        <v>-26.277595359458331</v>
      </c>
      <c r="AU671" s="3"/>
      <c r="AV671" s="73">
        <v>0.71900000000000008</v>
      </c>
      <c r="AW671" s="73">
        <v>0.71199999999999997</v>
      </c>
      <c r="AX671" s="73">
        <v>0.69199999999999995</v>
      </c>
      <c r="AY671" s="73">
        <v>0.67600000000000005</v>
      </c>
      <c r="AZ671" s="53"/>
      <c r="BA671" s="53"/>
      <c r="BB671" s="53"/>
      <c r="BC671" s="53"/>
      <c r="BD671" s="53"/>
      <c r="BE671" s="53"/>
      <c r="BF671" s="53"/>
      <c r="BG671" s="53"/>
      <c r="BH671" s="53"/>
      <c r="BI671" s="53"/>
      <c r="BJ671" s="53"/>
      <c r="BK671" s="53"/>
      <c r="BL671" s="53"/>
      <c r="BM671" s="53"/>
      <c r="BN671" s="53"/>
      <c r="BO671" s="53"/>
      <c r="BP671" s="53"/>
      <c r="BQ671" s="53"/>
      <c r="BR671" s="53"/>
      <c r="BS671" s="53"/>
      <c r="BT671" s="53"/>
      <c r="BU671" s="53"/>
      <c r="BV671" s="53"/>
      <c r="BW671" s="53"/>
      <c r="BX671" s="53"/>
      <c r="BY671" s="53"/>
      <c r="BZ671" s="53"/>
      <c r="CA671" s="53"/>
      <c r="CB671" s="53"/>
      <c r="CC671" s="53"/>
      <c r="CD671" s="53"/>
      <c r="CE671" s="53"/>
      <c r="CF671" s="53"/>
      <c r="CG671" s="53"/>
      <c r="CH671" s="53"/>
      <c r="CI671" s="53"/>
      <c r="CJ671" s="53"/>
      <c r="CK671" s="53"/>
      <c r="CL671" s="53"/>
      <c r="CM671" s="53"/>
      <c r="CN671" s="53"/>
      <c r="CO671" s="53"/>
      <c r="CP671" s="53"/>
      <c r="CQ671" s="53"/>
      <c r="CR671" s="1"/>
      <c r="CS671" s="1"/>
      <c r="CT671" s="1"/>
      <c r="CU671" s="1"/>
    </row>
    <row r="672" spans="1:99" s="13" customFormat="1" ht="12" customHeight="1" x14ac:dyDescent="0.2">
      <c r="A672" s="68">
        <v>43509</v>
      </c>
      <c r="B672" s="70"/>
      <c r="C672" s="70"/>
      <c r="D672" s="69"/>
      <c r="E672" s="87"/>
      <c r="F672" s="69"/>
      <c r="G672" s="69"/>
      <c r="H672" s="69"/>
      <c r="I672" s="69"/>
      <c r="J672" s="69"/>
      <c r="K672" s="107"/>
      <c r="L672" s="107"/>
      <c r="M672" s="69"/>
      <c r="N672" s="69"/>
      <c r="O672" s="69"/>
      <c r="P672" s="69"/>
      <c r="Q672" s="69"/>
      <c r="R672" s="69"/>
      <c r="S672" s="69"/>
      <c r="T672" s="69"/>
      <c r="U672" s="60"/>
      <c r="V672" s="92"/>
      <c r="W672" s="69"/>
      <c r="X672" s="69"/>
      <c r="Y672" s="87"/>
      <c r="Z672" s="69"/>
      <c r="AA672" s="69"/>
      <c r="AB672" s="69"/>
      <c r="AC672" s="69"/>
      <c r="AD672" s="69"/>
      <c r="AE672" s="69"/>
      <c r="AF672" s="88"/>
      <c r="AG672" s="72"/>
      <c r="AH672" s="4"/>
      <c r="AI672" s="72"/>
      <c r="AJ672" s="110"/>
      <c r="AK672" s="72"/>
      <c r="AL672" s="72"/>
      <c r="AM672" s="72"/>
      <c r="AN672" s="72"/>
      <c r="AO672" s="72"/>
      <c r="AP672" s="72"/>
      <c r="AQ672" s="72"/>
      <c r="AR672" s="110"/>
      <c r="AS672" s="72"/>
      <c r="AT672" s="72"/>
      <c r="AU672" s="4"/>
      <c r="AV672" s="71">
        <f>24*60*60</f>
        <v>86400</v>
      </c>
      <c r="AW672" s="71">
        <f>2*24*60*60</f>
        <v>172800</v>
      </c>
      <c r="AX672" s="71">
        <f>30*24*60*60</f>
        <v>2592000</v>
      </c>
      <c r="AY672" s="71">
        <f>90*24*60*60</f>
        <v>7776000</v>
      </c>
      <c r="AZ672" s="53"/>
      <c r="BA672" s="53"/>
      <c r="BB672" s="53"/>
      <c r="BC672" s="53"/>
      <c r="BD672" s="53"/>
      <c r="BE672" s="53"/>
      <c r="BF672" s="53"/>
      <c r="BG672" s="53"/>
      <c r="BH672" s="53"/>
      <c r="BI672" s="53"/>
      <c r="BJ672" s="53"/>
      <c r="BK672" s="53"/>
      <c r="BL672" s="53"/>
      <c r="BM672" s="53"/>
      <c r="BN672" s="53"/>
      <c r="BO672" s="53"/>
      <c r="BP672" s="53"/>
      <c r="BQ672" s="53"/>
      <c r="BR672" s="53"/>
      <c r="BS672" s="53"/>
      <c r="BT672" s="53"/>
      <c r="BU672" s="53"/>
      <c r="BV672" s="53"/>
      <c r="BW672" s="53"/>
      <c r="BX672" s="53"/>
      <c r="BY672" s="53"/>
      <c r="BZ672" s="53"/>
      <c r="CA672" s="53"/>
      <c r="CB672" s="53"/>
      <c r="CC672" s="53"/>
      <c r="CD672" s="53"/>
      <c r="CE672" s="53"/>
      <c r="CF672" s="53"/>
      <c r="CG672" s="53"/>
      <c r="CH672" s="53"/>
      <c r="CI672" s="53"/>
      <c r="CJ672" s="53"/>
      <c r="CK672" s="53"/>
      <c r="CL672" s="53"/>
      <c r="CM672" s="53"/>
      <c r="CN672" s="53"/>
      <c r="CO672" s="53"/>
      <c r="CP672" s="53"/>
      <c r="CQ672" s="53"/>
      <c r="CR672" s="1"/>
      <c r="CS672" s="1"/>
      <c r="CT672" s="1"/>
      <c r="CU672" s="1"/>
    </row>
    <row r="673" spans="1:99" s="13" customFormat="1" ht="12" customHeight="1" x14ac:dyDescent="0.2">
      <c r="A673" s="68">
        <v>43509</v>
      </c>
      <c r="B673" s="70" t="s">
        <v>198</v>
      </c>
      <c r="C673" s="70" t="s">
        <v>199</v>
      </c>
      <c r="D673" s="69">
        <v>2006</v>
      </c>
      <c r="E673" s="87">
        <v>1</v>
      </c>
      <c r="F673" s="69">
        <v>22</v>
      </c>
      <c r="G673" s="69">
        <v>22</v>
      </c>
      <c r="H673" s="69" t="s">
        <v>832</v>
      </c>
      <c r="I673" s="69" t="s">
        <v>831</v>
      </c>
      <c r="J673" s="69" t="s">
        <v>313</v>
      </c>
      <c r="K673" s="69">
        <f>IF(J673="syllables",1,IF(J673="trigrams",2,IF(J673="strings",3,IF(J673="visual array",4,IF(J673="characters",5,IF(J673="letters",6,IF(J673="free forms",7,IF(J673="odors",8,IF(J673="words",9,IF(J673="pictures",10,IF(J673="object pictures",11,IF(J673="faces",12,IF(J673="names",13,IF(J673="idioms",14,IF(J673="grades",15,IF(J673="syllable-digit pairs",16,IF(J673="trigram-word pairs",17,IF(J673="word-digit pairs",18,IF(J673="English-Swahili pairs",19,IF(J673="spatial position",20,IF(J673="word pairs",21,IF(J673="word triads",22,IF(J673="generated words",23,IF(J673="word definition pairs",24,IF(J673="math problems",25,IF(J673="famous faces",26,IF(J673="famous names",27,IF(J673="famous voices",28,IF(J673="television programs",29,IF(J673="race horses",30,IF(J673="new vocabulary",31,IF(J673="sentences",32,IF(J673="concepts",33,IF(J673="ad slides",34,IF(J673="scenes",35,IF(J673="famous scenes",36,IF(J673="poems",37,IF(J673="walk",38,IF(J673="faces and events",39,IF(J673="events and names",40,IF(J673="flashbulb",41,IF(J673="stories",42,IF(J673="course material",43,IF(J673="autobiographical",44,IF(J673="novels",45,IF(J673="public events",46,"99"))))))))))))))))))))))))))))))))))))))))))))))</f>
        <v>10</v>
      </c>
      <c r="L673" s="69">
        <f>IF(J673="syllables",1,IF(J673="trigrams",1,IF(J673="strings",1,IF(J673="visual array",1,IF(J673="characters",1,IF(J673="letters",1,IF(J673="free forms",1,IF(J673="odors",2,IF(J673="words",2,IF(J673="pictures",2,IF(J673="object pictures",2,IF(J673="faces",2,IF(J673="names",2,IF(J673="idioms","2",IF(J673="grades",2,IF(J673="syllable-digit pairs",3,IF(J673="trigram-word pairs",3,IF(J673="word-digit pairs",3,IF(J673="English-Swahili pairs",3,IF(J673="spatial position",3,IF(J673="word pairs",4,IF(J673="word triads",4,IF(J673="generated words",4,IF(J673="word definition pairs",4,IF(J673="math problems",4,IF(J673="famous faces",4,IF(J673="famous names",4,IF(J673="famous voices",4,IF(J673="television programs",4,IF(J673="race horses",4,IF(J673="new vocabulary",4,IF(J673="sentences",5,IF(J673="concepts",5,IF(J673="ad slides",5,IF(J673="scenes",5,IF(J673="famous scenes",5,IF(J673="poems",6,IF(J673="walk",6,IF(J673="faces and events",6,IF(J673="events and names",6,IF(J673="flashbulb",7,IF(J673="stories",7,IF(J673="course material",7,IF(J673="autobiographical",7,IF(J673="novels",7,IF(J673="public events",7,"99"))))))))))))))))))))))))))))))))))))))))))))))</f>
        <v>2</v>
      </c>
      <c r="M673" s="69">
        <v>0</v>
      </c>
      <c r="N673" s="69">
        <v>1</v>
      </c>
      <c r="O673" s="69">
        <v>0</v>
      </c>
      <c r="P673" s="69"/>
      <c r="Q673" s="69" t="s">
        <v>34</v>
      </c>
      <c r="R673" s="69">
        <f>IF(Q673="Free Recall",1,IF(Q673="Cued Recall",2,IF(Q673="Recognition",3,IF(Q673="Multiple Choice",4,IF(Q673="Savings",5,IF(Q673="Stem Completion",6,IF(Q673="Fragment Completion",7,IF(Q673="anagram solution",8,IF(Q673="Matching",9,IF(Q673="Problem Solving",10,"99"))))))))))</f>
        <v>3</v>
      </c>
      <c r="S673" s="69" t="s">
        <v>15</v>
      </c>
      <c r="T673" s="92" t="s">
        <v>581</v>
      </c>
      <c r="U673" s="60">
        <f>IF(T673="within",1,0)</f>
        <v>1</v>
      </c>
      <c r="V673" s="92">
        <v>480</v>
      </c>
      <c r="W673" s="69">
        <f>F673*V673</f>
        <v>10560</v>
      </c>
      <c r="X673" s="69">
        <v>4</v>
      </c>
      <c r="Y673" s="87">
        <f>AV672</f>
        <v>86400</v>
      </c>
      <c r="Z673" s="69" t="s">
        <v>179</v>
      </c>
      <c r="AA673" s="69">
        <f>30*24*60*60*3</f>
        <v>7776000</v>
      </c>
      <c r="AB673" s="69" t="str">
        <f>IF(AA673&lt;60,"1",IF(AA673&lt;=43200,"2",IF(AA673&lt;=777600,"3","4")))</f>
        <v>4</v>
      </c>
      <c r="AC673" s="72">
        <f>AVERAGE(AV672:DA672)</f>
        <v>2656800</v>
      </c>
      <c r="AD673" s="69" t="str">
        <f>IF(AC673&lt;60,"1",IF(AC673&lt;=43200,"2",IF(AC673&lt;=777600,"3","4")))</f>
        <v>4</v>
      </c>
      <c r="AE673" s="87">
        <f>AA673-Y673</f>
        <v>7689600</v>
      </c>
      <c r="AF673" s="88">
        <f>AV673</f>
        <v>0.72650000000000003</v>
      </c>
      <c r="AG673" s="72">
        <f>((AW673-AV673)+(AX673-AW673)+(AY673-AX673))/3</f>
        <v>-4.8499999999999988E-2</v>
      </c>
      <c r="AH673" s="4"/>
      <c r="AI673" s="72">
        <f>RSQ(AV673:AY673,AV672:AY672)</f>
        <v>0.82792228611234331</v>
      </c>
      <c r="AJ673" s="110">
        <f>SLOPE(AV673:AY673,AV672:AY672)</f>
        <v>-1.8157240757583008E-8</v>
      </c>
      <c r="AK673" s="72">
        <f>INTERCEPT(AV673:AY673,AV672:AY672)</f>
        <v>0.70786515724474652</v>
      </c>
      <c r="AL673" s="72">
        <f>INDEX(LINEST(LN(AV673:AY673),LN(AV672:AY672),TRUE,TRUE),3,1)</f>
        <v>0.99496338337730517</v>
      </c>
      <c r="AM673" s="72">
        <f>INDEX(LINEST(LN(AV673:AY673),LN(AV672:AY672)),1)</f>
        <v>-5.1106210175642756E-2</v>
      </c>
      <c r="AN673" s="72">
        <f>EXP(INDEX(LINEST(LN(AV673:AY673),LN(AV672:AY672)),1,2))</f>
        <v>1.3101179594747607</v>
      </c>
      <c r="AO673" s="89">
        <f>INDEX(LINEST((AV673:AY673),LN(AV672:AY672),TRUE,TRUE),3,1)</f>
        <v>0.99582791039843455</v>
      </c>
      <c r="AP673" s="89">
        <f>INDEX(LINEST((AV673:AY673),LN(AV672:AY672)),1)</f>
        <v>-3.343242631078177E-2</v>
      </c>
      <c r="AQ673" s="90">
        <f>INDEX(LINEST(LN(AV673:AY673),SQRT(AV672:AY672),TRUE,TRUE),3,1)</f>
        <v>0.95947500562284982</v>
      </c>
      <c r="AR673" s="117">
        <f>INDEX(LINEST(LN(AV673:AY673),SQRT((AV672:AY672))),1)</f>
        <v>-9.2136333265252187E-5</v>
      </c>
      <c r="AS673" s="91">
        <f>INDEX(LINEST(1/(AV673:AY673),1/(SQRT(AV672:AY672)),TRUE,TRUE),3,1)</f>
        <v>0.92386012175704868</v>
      </c>
      <c r="AT673" s="91">
        <f>INDEX(LINEST(1/(AV673:AY673),1/SQRT(AV672:AY672)),1)</f>
        <v>-111.52790062117251</v>
      </c>
      <c r="AU673" s="3"/>
      <c r="AV673" s="73">
        <v>0.72650000000000003</v>
      </c>
      <c r="AW673" s="73">
        <v>0.71450000000000002</v>
      </c>
      <c r="AX673" s="73">
        <v>0.61650000000000005</v>
      </c>
      <c r="AY673" s="73">
        <v>0.58100000000000007</v>
      </c>
      <c r="AZ673" s="53"/>
      <c r="BA673" s="53"/>
      <c r="BB673" s="53"/>
      <c r="BC673" s="53"/>
      <c r="BD673" s="53"/>
      <c r="BE673" s="53"/>
      <c r="BF673" s="53"/>
      <c r="BG673" s="53"/>
      <c r="BH673" s="53"/>
      <c r="BI673" s="53"/>
      <c r="BJ673" s="53"/>
      <c r="BK673" s="53"/>
      <c r="BL673" s="53"/>
      <c r="BM673" s="53"/>
      <c r="BN673" s="53"/>
      <c r="BO673" s="53"/>
      <c r="BP673" s="53"/>
      <c r="BQ673" s="53"/>
      <c r="BR673" s="53"/>
      <c r="BS673" s="53"/>
      <c r="BT673" s="53"/>
      <c r="BU673" s="53"/>
      <c r="BV673" s="53"/>
      <c r="BW673" s="53"/>
      <c r="BX673" s="53"/>
      <c r="BY673" s="53"/>
      <c r="BZ673" s="53"/>
      <c r="CA673" s="53"/>
      <c r="CB673" s="53"/>
      <c r="CC673" s="53"/>
      <c r="CD673" s="53"/>
      <c r="CE673" s="53"/>
      <c r="CF673" s="53"/>
      <c r="CG673" s="53"/>
      <c r="CH673" s="53"/>
      <c r="CI673" s="53"/>
      <c r="CJ673" s="53"/>
      <c r="CK673" s="53"/>
      <c r="CL673" s="53"/>
      <c r="CM673" s="53"/>
      <c r="CN673" s="53"/>
      <c r="CO673" s="53"/>
      <c r="CP673" s="53"/>
      <c r="CQ673" s="53"/>
      <c r="CR673" s="1"/>
      <c r="CS673" s="1"/>
      <c r="CT673" s="1"/>
      <c r="CU673" s="1"/>
    </row>
    <row r="674" spans="1:99" s="13" customFormat="1" ht="12" customHeight="1" x14ac:dyDescent="0.2">
      <c r="A674" s="65">
        <v>43900</v>
      </c>
      <c r="B674" s="1"/>
      <c r="C674" s="1"/>
      <c r="D674" s="60"/>
      <c r="E674" s="76"/>
      <c r="F674" s="60"/>
      <c r="G674" s="60"/>
      <c r="H674" s="60"/>
      <c r="I674" s="60"/>
      <c r="J674" s="60"/>
      <c r="K674" s="64"/>
      <c r="L674" s="64"/>
      <c r="M674" s="60"/>
      <c r="N674" s="60"/>
      <c r="O674" s="60"/>
      <c r="P674" s="60"/>
      <c r="Q674" s="60"/>
      <c r="R674" s="60"/>
      <c r="S674" s="60"/>
      <c r="T674" s="60"/>
      <c r="U674" s="60"/>
      <c r="V674" s="60"/>
      <c r="W674" s="60"/>
      <c r="X674" s="60"/>
      <c r="Y674" s="76"/>
      <c r="Z674" s="60"/>
      <c r="AA674" s="60"/>
      <c r="AB674" s="60"/>
      <c r="AC674" s="56"/>
      <c r="AD674" s="60"/>
      <c r="AE674" s="60"/>
      <c r="AF674" s="80"/>
      <c r="AG674" s="56"/>
      <c r="AH674" s="4"/>
      <c r="AI674" s="56"/>
      <c r="AJ674" s="109"/>
      <c r="AK674" s="56"/>
      <c r="AL674" s="56"/>
      <c r="AM674" s="56"/>
      <c r="AN674" s="56"/>
      <c r="AO674" s="82"/>
      <c r="AP674" s="82"/>
      <c r="AQ674" s="83"/>
      <c r="AR674" s="116"/>
      <c r="AS674" s="84"/>
      <c r="AT674" s="84"/>
      <c r="AU674" s="3"/>
      <c r="AV674" s="25">
        <v>900</v>
      </c>
      <c r="AW674" s="25">
        <v>86400</v>
      </c>
      <c r="AX674" s="25">
        <v>604800</v>
      </c>
      <c r="AY674" s="25">
        <v>2592000</v>
      </c>
      <c r="AZ674" s="53">
        <v>7862400</v>
      </c>
      <c r="BA674" s="53"/>
      <c r="BB674" s="53"/>
      <c r="BC674" s="53"/>
      <c r="BD674" s="53"/>
      <c r="BE674" s="53"/>
      <c r="BF674" s="53"/>
      <c r="BG674" s="53"/>
      <c r="BH674" s="53"/>
      <c r="BI674" s="53"/>
      <c r="BJ674" s="53"/>
      <c r="BK674" s="53"/>
      <c r="BL674" s="53"/>
      <c r="BM674" s="53"/>
      <c r="BN674" s="53"/>
      <c r="BO674" s="53"/>
      <c r="BP674" s="53"/>
      <c r="BQ674" s="53"/>
      <c r="BR674" s="53"/>
      <c r="BS674" s="53"/>
      <c r="BT674" s="53"/>
      <c r="BU674" s="53"/>
      <c r="BV674" s="53"/>
      <c r="BW674" s="53"/>
      <c r="BX674" s="53"/>
      <c r="BY674" s="53"/>
      <c r="BZ674" s="53"/>
      <c r="CA674" s="53"/>
      <c r="CB674" s="53"/>
      <c r="CC674" s="53"/>
      <c r="CD674" s="53"/>
      <c r="CE674" s="53"/>
      <c r="CF674" s="53"/>
      <c r="CG674" s="53"/>
      <c r="CH674" s="53"/>
      <c r="CI674" s="53"/>
      <c r="CJ674" s="53"/>
      <c r="CK674" s="53"/>
      <c r="CL674" s="53"/>
      <c r="CM674" s="53"/>
      <c r="CN674" s="53"/>
      <c r="CO674" s="53"/>
      <c r="CP674" s="53"/>
      <c r="CQ674" s="53"/>
      <c r="CR674" s="1"/>
      <c r="CS674" s="1"/>
      <c r="CT674" s="1"/>
      <c r="CU674" s="1"/>
    </row>
    <row r="675" spans="1:99" s="13" customFormat="1" ht="12" customHeight="1" x14ac:dyDescent="0.2">
      <c r="A675" s="65">
        <v>43900</v>
      </c>
      <c r="B675" s="1" t="s">
        <v>436</v>
      </c>
      <c r="C675" s="1" t="s">
        <v>437</v>
      </c>
      <c r="D675" s="60">
        <v>2012</v>
      </c>
      <c r="E675" s="76">
        <v>1</v>
      </c>
      <c r="F675" s="60">
        <v>58</v>
      </c>
      <c r="G675" s="60">
        <v>58</v>
      </c>
      <c r="H675" s="60" t="s">
        <v>439</v>
      </c>
      <c r="I675" s="60" t="s">
        <v>438</v>
      </c>
      <c r="J675" s="60" t="s">
        <v>313</v>
      </c>
      <c r="K675" s="60">
        <f>IF(J675="syllables",1,IF(J675="trigrams",2,IF(J675="strings",3,IF(J675="visual array",4,IF(J675="characters",5,IF(J675="letters",6,IF(J675="free forms",7,IF(J675="odors",8,IF(J675="words",9,IF(J675="pictures",10,IF(J675="object pictures",11,IF(J675="faces",12,IF(J675="names",13,IF(J675="idioms",14,IF(J675="grades",15,IF(J675="syllable-digit pairs",16,IF(J675="trigram-word pairs",17,IF(J675="word-digit pairs",18,IF(J675="English-Swahili pairs",19,IF(J675="spatial position",20,IF(J675="word pairs",21,IF(J675="word triads",22,IF(J675="generated words",23,IF(J675="word definition pairs",24,IF(J675="math problems",25,IF(J675="famous faces",26,IF(J675="famous names",27,IF(J675="famous voices",28,IF(J675="television programs",29,IF(J675="race horses",30,IF(J675="new vocabulary",31,IF(J675="sentences",32,IF(J675="concepts",33,IF(J675="ad slides",34,IF(J675="scenes",35,IF(J675="famous scenes",36,IF(J675="poems",37,IF(J675="walk",38,IF(J675="faces and events",39,IF(J675="events and names",40,IF(J675="flashbulb",41,IF(J675="stories",42,IF(J675="course material",43,IF(J675="autobiographical",44,IF(J675="novels",45,IF(J675="public events",46,"99"))))))))))))))))))))))))))))))))))))))))))))))</f>
        <v>10</v>
      </c>
      <c r="L675" s="60">
        <f>IF(J675="syllables",1,IF(J675="trigrams",1,IF(J675="strings",1,IF(J675="visual array",1,IF(J675="characters",1,IF(J675="letters",1,IF(J675="free forms",1,IF(J675="odors",2,IF(J675="words",2,IF(J675="pictures",2,IF(J675="object pictures",2,IF(J675="faces",2,IF(J675="names",2,IF(J675="idioms","2",IF(J675="grades",2,IF(J675="syllable-digit pairs",3,IF(J675="trigram-word pairs",3,IF(J675="word-digit pairs",3,IF(J675="English-Swahili pairs",3,IF(J675="spatial position",3,IF(J675="word pairs",4,IF(J675="word triads",4,IF(J675="generated words",4,IF(J675="word definition pairs",4,IF(J675="math problems",4,IF(J675="famous faces",4,IF(J675="famous names",4,IF(J675="famous voices",4,IF(J675="television programs",4,IF(J675="race horses",4,IF(J675="new vocabulary",4,IF(J675="sentences",5,IF(J675="concepts",5,IF(J675="ad slides",5,IF(J675="scenes",5,IF(J675="famous scenes",5,IF(J675="poems",6,IF(J675="walk",6,IF(J675="faces and events",6,IF(J675="events and names",6,IF(J675="flashbulb",7,IF(J675="stories",7,IF(J675="course material",7,IF(J675="autobiographical",7,IF(J675="novels",7,IF(J675="public events",7,"99"))))))))))))))))))))))))))))))))))))))))))))))</f>
        <v>2</v>
      </c>
      <c r="M675" s="60">
        <v>0</v>
      </c>
      <c r="N675" s="60">
        <v>1</v>
      </c>
      <c r="O675" s="60">
        <v>1</v>
      </c>
      <c r="P675" s="60" t="s">
        <v>71</v>
      </c>
      <c r="Q675" s="60" t="s">
        <v>34</v>
      </c>
      <c r="R675" s="60">
        <f>IF(Q675="Free Recall",1,IF(Q675="Cued Recall",2,IF(Q675="Recognition",3,IF(Q675="Multiple Choice",4,IF(Q675="Savings",5,IF(Q675="Stem Completion",6,IF(Q675="Fragment Completion",7,IF(Q675="anagram solution",8,IF(Q675="Matching",9,IF(Q675="Problem Solving",10,"99"))))))))))</f>
        <v>3</v>
      </c>
      <c r="S675" s="60" t="s">
        <v>15</v>
      </c>
      <c r="T675" s="59" t="s">
        <v>581</v>
      </c>
      <c r="U675" s="60">
        <f>IF(T675="within",1,0)</f>
        <v>1</v>
      </c>
      <c r="V675" s="59">
        <v>50</v>
      </c>
      <c r="W675" s="60">
        <f>F675*V675</f>
        <v>2900</v>
      </c>
      <c r="X675" s="60">
        <v>5</v>
      </c>
      <c r="Y675" s="76">
        <f>AV674</f>
        <v>900</v>
      </c>
      <c r="Z675" s="60" t="s">
        <v>440</v>
      </c>
      <c r="AA675" s="60">
        <f>60*60*24*91</f>
        <v>7862400</v>
      </c>
      <c r="AB675" s="60" t="str">
        <f>IF(AA675&lt;60,"1",IF(AA675&lt;=43200,"2",IF(AA675&lt;=777600,"3","4")))</f>
        <v>4</v>
      </c>
      <c r="AC675" s="56">
        <f>AVERAGE(AV674:DA674)</f>
        <v>2229300</v>
      </c>
      <c r="AD675" s="60" t="str">
        <f>IF(AC675&lt;60,"1",IF(AC675&lt;=43200,"2",IF(AC675&lt;=777600,"3","4")))</f>
        <v>4</v>
      </c>
      <c r="AE675" s="76">
        <f>AA675-Y675</f>
        <v>7861500</v>
      </c>
      <c r="AF675" s="80">
        <f>AV675</f>
        <v>0.99</v>
      </c>
      <c r="AG675" s="56">
        <f>((AW675-AV675)+(AX675-AW675)+(AY675-AX675)+(AZ675-AY675))/4</f>
        <v>-7.5000000000000011E-2</v>
      </c>
      <c r="AH675" s="4"/>
      <c r="AI675" s="56">
        <f>RSQ(AV675:AZ675,AV674:AZ674)</f>
        <v>0.66058699596167014</v>
      </c>
      <c r="AJ675" s="109">
        <f>SLOPE(AV675:AZ675,AV674:AZ674)</f>
        <v>-3.1760329212393608E-8</v>
      </c>
      <c r="AK675" s="56">
        <f>INTERCEPT(AV675:AZ675,AV674:AZ674)</f>
        <v>0.90280330191318914</v>
      </c>
      <c r="AL675" s="56">
        <f>INDEX(LINEST(LN(AV675:AZ675),LN(AV674:AZ674),TRUE,TRUE),3,1)</f>
        <v>0.86808276799736428</v>
      </c>
      <c r="AM675" s="56">
        <f>INDEX(LINEST(LN(AV675:AZ675),LN(AV674:AZ674)),1)</f>
        <v>-4.0887134782659061E-2</v>
      </c>
      <c r="AN675" s="56">
        <f>EXP(INDEX(LINEST(LN(AV675:AZ675),LN(AV674:AZ674)),1,2))</f>
        <v>1.3693525838752374</v>
      </c>
      <c r="AO675" s="82">
        <f>INDEX(LINEST((AV675:AZ675),LN(AV674:AZ674),TRUE,TRUE),3,1)</f>
        <v>0.89019129963004962</v>
      </c>
      <c r="AP675" s="82">
        <f>INDEX(LINEST((AV675:AZ675),LN(AV674:AZ674)),1)</f>
        <v>-3.429193857560181E-2</v>
      </c>
      <c r="AQ675" s="83">
        <f>INDEX(LINEST(LN(AV675:AZ675),SQRT(AV674:AZ674),TRUE,TRUE),3,1)</f>
        <v>0.89734462068884824</v>
      </c>
      <c r="AR675" s="116">
        <f>INDEX(LINEST(LN(AV675:AZ675),SQRT((AV674:AZ674))),1)</f>
        <v>-1.3185939323051912E-4</v>
      </c>
      <c r="AS675" s="84">
        <f>INDEX(LINEST(1/(AV675:AZ675),1/(SQRT(AV674:AZ674)),TRUE,TRUE),3,1)</f>
        <v>0.47432959657858992</v>
      </c>
      <c r="AT675" s="84">
        <f>INDEX(LINEST(1/(AV675:AZ675),1/SQRT(AV674:AZ674)),1)</f>
        <v>-9.1913310963058752</v>
      </c>
      <c r="AU675" s="3"/>
      <c r="AV675" s="53">
        <v>0.99</v>
      </c>
      <c r="AW675" s="53">
        <v>0.93</v>
      </c>
      <c r="AX675" s="53">
        <v>0.83</v>
      </c>
      <c r="AY675" s="53">
        <v>0.72</v>
      </c>
      <c r="AZ675" s="53">
        <v>0.69</v>
      </c>
      <c r="BA675" s="53"/>
      <c r="BB675" s="53"/>
      <c r="BC675" s="53"/>
      <c r="BD675" s="53"/>
      <c r="BE675" s="53"/>
      <c r="BF675" s="53"/>
      <c r="BG675" s="53"/>
      <c r="BH675" s="53"/>
      <c r="BI675" s="53"/>
      <c r="BJ675" s="53"/>
      <c r="BK675" s="53"/>
      <c r="BL675" s="53"/>
      <c r="BM675" s="53"/>
      <c r="BN675" s="53"/>
      <c r="BO675" s="53"/>
      <c r="BP675" s="53"/>
      <c r="BQ675" s="53"/>
      <c r="BR675" s="53"/>
      <c r="BS675" s="53"/>
      <c r="BT675" s="53"/>
      <c r="BU675" s="53"/>
      <c r="BV675" s="53"/>
      <c r="BW675" s="53"/>
      <c r="BX675" s="53"/>
      <c r="BY675" s="53"/>
      <c r="BZ675" s="53"/>
      <c r="CA675" s="53"/>
      <c r="CB675" s="53"/>
      <c r="CC675" s="53"/>
      <c r="CD675" s="53"/>
      <c r="CE675" s="53"/>
      <c r="CF675" s="53"/>
      <c r="CG675" s="53"/>
      <c r="CH675" s="53"/>
      <c r="CI675" s="53"/>
      <c r="CJ675" s="53"/>
      <c r="CK675" s="53"/>
      <c r="CL675" s="53"/>
      <c r="CM675" s="53"/>
      <c r="CN675" s="53"/>
      <c r="CO675" s="53"/>
      <c r="CP675" s="53"/>
      <c r="CQ675" s="53"/>
      <c r="CR675" s="1"/>
      <c r="CS675" s="1"/>
      <c r="CT675" s="1"/>
      <c r="CU675" s="1"/>
    </row>
    <row r="676" spans="1:99" s="13" customFormat="1" ht="12" customHeight="1" x14ac:dyDescent="0.2">
      <c r="A676" s="68">
        <v>43897</v>
      </c>
      <c r="B676" s="67"/>
      <c r="C676" s="70"/>
      <c r="D676" s="69"/>
      <c r="E676" s="87"/>
      <c r="F676" s="69"/>
      <c r="G676" s="69"/>
      <c r="H676" s="69"/>
      <c r="I676" s="69"/>
      <c r="J676" s="69"/>
      <c r="K676" s="107"/>
      <c r="L676" s="107"/>
      <c r="M676" s="69"/>
      <c r="N676" s="86"/>
      <c r="O676" s="69"/>
      <c r="P676" s="69"/>
      <c r="Q676" s="69"/>
      <c r="R676" s="69"/>
      <c r="S676" s="69"/>
      <c r="T676" s="69"/>
      <c r="U676" s="60"/>
      <c r="V676" s="69"/>
      <c r="W676" s="69"/>
      <c r="X676" s="69"/>
      <c r="Y676" s="87"/>
      <c r="Z676" s="69"/>
      <c r="AA676" s="69"/>
      <c r="AB676" s="69"/>
      <c r="AC676" s="72"/>
      <c r="AD676" s="69"/>
      <c r="AE676" s="69"/>
      <c r="AF676" s="88"/>
      <c r="AG676" s="72"/>
      <c r="AH676" s="4"/>
      <c r="AI676" s="72"/>
      <c r="AJ676" s="110"/>
      <c r="AK676" s="72"/>
      <c r="AL676" s="72"/>
      <c r="AM676" s="72"/>
      <c r="AN676" s="72"/>
      <c r="AO676" s="89"/>
      <c r="AP676" s="89"/>
      <c r="AQ676" s="90"/>
      <c r="AR676" s="117"/>
      <c r="AS676" s="91"/>
      <c r="AT676" s="91"/>
      <c r="AU676" s="3"/>
      <c r="AV676" s="71">
        <v>157680000</v>
      </c>
      <c r="AW676" s="71">
        <v>315360000</v>
      </c>
      <c r="AX676" s="71">
        <v>473040000</v>
      </c>
      <c r="AY676" s="71">
        <v>630720000</v>
      </c>
      <c r="AZ676" s="71">
        <v>788400000</v>
      </c>
      <c r="BA676" s="71">
        <v>946080000</v>
      </c>
      <c r="BB676" s="71">
        <v>1103760000</v>
      </c>
      <c r="BC676" s="71">
        <v>1261440000</v>
      </c>
      <c r="BD676" s="53"/>
      <c r="BE676" s="53"/>
      <c r="BF676" s="53"/>
      <c r="BG676" s="53"/>
      <c r="BH676" s="53"/>
      <c r="BI676" s="53"/>
      <c r="BJ676" s="53"/>
      <c r="BK676" s="53"/>
      <c r="BL676" s="53"/>
      <c r="BM676" s="53"/>
      <c r="BN676" s="53"/>
      <c r="BO676" s="53"/>
      <c r="BP676" s="53"/>
      <c r="BQ676" s="53"/>
      <c r="BR676" s="53"/>
      <c r="BS676" s="53"/>
      <c r="BT676" s="53"/>
      <c r="BU676" s="53"/>
      <c r="BV676" s="53"/>
      <c r="BW676" s="53"/>
      <c r="BX676" s="53"/>
      <c r="BY676" s="53"/>
      <c r="BZ676" s="53"/>
      <c r="CA676" s="53"/>
      <c r="CB676" s="53"/>
      <c r="CC676" s="53"/>
      <c r="CD676" s="53"/>
      <c r="CE676" s="53"/>
      <c r="CF676" s="53"/>
      <c r="CG676" s="53"/>
      <c r="CH676" s="53"/>
      <c r="CI676" s="53"/>
      <c r="CJ676" s="53"/>
      <c r="CK676" s="53"/>
      <c r="CL676" s="53"/>
      <c r="CM676" s="53"/>
      <c r="CN676" s="53"/>
      <c r="CO676" s="53"/>
      <c r="CP676" s="53"/>
      <c r="CQ676" s="53"/>
      <c r="CR676" s="1"/>
      <c r="CS676" s="1"/>
      <c r="CT676" s="1"/>
      <c r="CU676" s="1"/>
    </row>
    <row r="677" spans="1:99" s="13" customFormat="1" ht="12" customHeight="1" x14ac:dyDescent="0.2">
      <c r="A677" s="68">
        <v>43897</v>
      </c>
      <c r="B677" s="67" t="s">
        <v>415</v>
      </c>
      <c r="C677" s="67" t="s">
        <v>416</v>
      </c>
      <c r="D677" s="86">
        <v>1999</v>
      </c>
      <c r="E677" s="87">
        <v>1</v>
      </c>
      <c r="F677" s="69">
        <v>1</v>
      </c>
      <c r="G677" s="69">
        <v>1</v>
      </c>
      <c r="H677" s="69" t="s">
        <v>50</v>
      </c>
      <c r="I677" s="69" t="s">
        <v>330</v>
      </c>
      <c r="J677" s="69" t="s">
        <v>340</v>
      </c>
      <c r="K677" s="69">
        <f>IF(J677="syllables",1,IF(J677="trigrams",2,IF(J677="strings",3,IF(J677="visual array",4,IF(J677="characters",5,IF(J677="letters",6,IF(J677="free forms",7,IF(J677="odors",8,IF(J677="words",9,IF(J677="pictures",10,IF(J677="object pictures",11,IF(J677="faces",12,IF(J677="names",13,IF(J677="idioms",14,IF(J677="grades",15,IF(J677="syllable-digit pairs",16,IF(J677="trigram-word pairs",17,IF(J677="word-digit pairs",18,IF(J677="English-Swahili pairs",19,IF(J677="spatial position",20,IF(J677="word pairs",21,IF(J677="word triads",22,IF(J677="generated words",23,IF(J677="word definition pairs",24,IF(J677="math problems",25,IF(J677="famous faces",26,IF(J677="famous names",27,IF(J677="famous voices",28,IF(J677="television programs",29,IF(J677="race horses",30,IF(J677="new vocabulary",31,IF(J677="sentences",32,IF(J677="concepts",33,IF(J677="ad slides",34,IF(J677="scenes",35,IF(J677="famous scenes",36,IF(J677="poems",37,IF(J677="walk",38,IF(J677="faces and events",39,IF(J677="events and names",40,IF(J677="flashbulb",41,IF(J677="stories",42,IF(J677="course material",43,IF(J677="autobiographical",44,IF(J677="novels",45,IF(J677="public events",46,"99"))))))))))))))))))))))))))))))))))))))))))))))</f>
        <v>46</v>
      </c>
      <c r="L677" s="69">
        <f>IF(J677="syllables",1,IF(J677="trigrams",1,IF(J677="strings",1,IF(J677="visual array",1,IF(J677="characters",1,IF(J677="letters",1,IF(J677="free forms",1,IF(J677="odors",2,IF(J677="words",2,IF(J677="pictures",2,IF(J677="object pictures",2,IF(J677="faces",2,IF(J677="names",2,IF(J677="idioms","2",IF(J677="grades",2,IF(J677="syllable-digit pairs",3,IF(J677="trigram-word pairs",3,IF(J677="word-digit pairs",3,IF(J677="English-Swahili pairs",3,IF(J677="spatial position",3,IF(J677="word pairs",4,IF(J677="word triads",4,IF(J677="generated words",4,IF(J677="word definition pairs",4,IF(J677="math problems",4,IF(J677="famous faces",4,IF(J677="famous names",4,IF(J677="famous voices",4,IF(J677="television programs",4,IF(J677="race horses",4,IF(J677="new vocabulary",4,IF(J677="sentences",5,IF(J677="concepts",5,IF(J677="ad slides",5,IF(J677="scenes",5,IF(J677="famous scenes",5,IF(J677="poems",6,IF(J677="walk",6,IF(J677="faces and events",6,IF(J677="events and names",6,IF(J677="flashbulb",7,IF(J677="stories",7,IF(J677="course material",7,IF(J677="autobiographical",7,IF(J677="novels",7,IF(J677="public events",7,"99"))))))))))))))))))))))))))))))))))))))))))))))</f>
        <v>7</v>
      </c>
      <c r="M677" s="69">
        <v>1</v>
      </c>
      <c r="N677" s="86">
        <v>4</v>
      </c>
      <c r="O677" s="69">
        <v>0</v>
      </c>
      <c r="P677" s="69"/>
      <c r="Q677" s="69" t="s">
        <v>174</v>
      </c>
      <c r="R677" s="69">
        <f>IF(Q677="Free Recall",1,IF(Q677="Cued Recall",2,IF(Q677="Recognition",3,IF(Q677="Multiple Choice",4,IF(Q677="Savings",5,IF(Q677="Stem Completion",6,IF(Q677="Fragment Completion",7,IF(Q677="anagram solution",8,IF(Q677="Matching",9,IF(Q677="Problem Solving",10,"99"))))))))))</f>
        <v>1</v>
      </c>
      <c r="S677" s="92" t="s">
        <v>49</v>
      </c>
      <c r="T677" s="92" t="s">
        <v>581</v>
      </c>
      <c r="U677" s="60">
        <f>IF(T677="within",1,0)</f>
        <v>1</v>
      </c>
      <c r="V677" s="92">
        <v>195</v>
      </c>
      <c r="W677" s="69">
        <f>F677*V677</f>
        <v>195</v>
      </c>
      <c r="X677" s="69">
        <v>8</v>
      </c>
      <c r="Y677" s="87">
        <f>AV676</f>
        <v>157680000</v>
      </c>
      <c r="Z677" s="92" t="s">
        <v>329</v>
      </c>
      <c r="AA677" s="69">
        <f>40*365*24*60*60</f>
        <v>1261440000</v>
      </c>
      <c r="AB677" s="69" t="str">
        <f>IF(AA677&lt;60,"1",IF(AA677&lt;=43200,"2",IF(AA677&lt;=777600,"3","4")))</f>
        <v>4</v>
      </c>
      <c r="AC677" s="72">
        <f>AVERAGE(AV676:DA676)</f>
        <v>709560000</v>
      </c>
      <c r="AD677" s="69" t="str">
        <f>IF(AC677&lt;60,"1",IF(AC677&lt;=43200,"2",IF(AC677&lt;=777600,"3","4")))</f>
        <v>4</v>
      </c>
      <c r="AE677" s="87">
        <f>AA677-Y677</f>
        <v>1103760000</v>
      </c>
      <c r="AF677" s="88">
        <f>AV677</f>
        <v>0.6</v>
      </c>
      <c r="AG677" s="72">
        <f>((AW677-AV677)+(AX677-AW677)+(AY677-AX677)+(AZ677-AY677)+(BA677-AZ677)+(BB677-BA677)+(BC677-BB677))/7</f>
        <v>-3.7142857142857137E-2</v>
      </c>
      <c r="AH677" s="4"/>
      <c r="AI677" s="72">
        <f>RSQ(AV677:BC677,AV676:BC676)</f>
        <v>0.299411090681376</v>
      </c>
      <c r="AJ677" s="110">
        <f>SLOPE(AV677:BC677,AV676:BC676)</f>
        <v>-1.6005895001328784E-10</v>
      </c>
      <c r="AK677" s="72">
        <f>INTERCEPT(AV677:BC677,AV676:BC676)</f>
        <v>0.71607142857142858</v>
      </c>
      <c r="AL677" s="72">
        <f>INDEX(LINEST(LN(AV677:BC677),LN(AV676:BC676),TRUE,TRUE),3,1)</f>
        <v>0.15172548363707289</v>
      </c>
      <c r="AM677" s="72">
        <f>INDEX(LINEST(LN(AV677:BC677),LN(AV676:BC676)),1)</f>
        <v>-0.12796230932131564</v>
      </c>
      <c r="AN677" s="72">
        <f>EXP(INDEX(LINEST(LN(AV677:BC677),LN(AV676:BC676)),1,2))</f>
        <v>7.8309702382969641</v>
      </c>
      <c r="AO677" s="89">
        <f>INDEX(LINEST((AV677:BC677),LN(AV676:BC676),TRUE,TRUE),3,1)</f>
        <v>0.13813008899016196</v>
      </c>
      <c r="AP677" s="89">
        <f>INDEX(LINEST((AV677:BC677),LN(AV676:BC676)),1)</f>
        <v>-5.9695729444353668E-2</v>
      </c>
      <c r="AQ677" s="90">
        <f>INDEX(LINEST(LN(AV677:BC677),SQRT(AV676:BC676),TRUE,TRUE),3,1)</f>
        <v>0.22899354318488235</v>
      </c>
      <c r="AR677" s="117">
        <f>INDEX(LINEST(LN(AV677:BC677),SQRT((AV676:BC676))),1)</f>
        <v>-1.4013035190524705E-5</v>
      </c>
      <c r="AS677" s="91">
        <f>INDEX(LINEST(1/(AV677:BC677),1/(SQRT(AV676:BC676)),TRUE,TRUE),3,1)</f>
        <v>0.10121303750819874</v>
      </c>
      <c r="AT677" s="91">
        <f>INDEX(LINEST(1/(AV677:BC677),1/SQRT(AV676:BC676)),1)</f>
        <v>-9110.4592989011526</v>
      </c>
      <c r="AU677" s="3"/>
      <c r="AV677" s="95">
        <v>0.6</v>
      </c>
      <c r="AW677" s="95">
        <v>0.69</v>
      </c>
      <c r="AX677" s="95">
        <v>0.6</v>
      </c>
      <c r="AY677" s="95">
        <v>0.68</v>
      </c>
      <c r="AZ677" s="73">
        <v>0.68</v>
      </c>
      <c r="BA677" s="73">
        <v>0.6</v>
      </c>
      <c r="BB677" s="73">
        <v>0.63</v>
      </c>
      <c r="BC677" s="73">
        <v>0.34</v>
      </c>
      <c r="BD677" s="53"/>
      <c r="BE677" s="53"/>
      <c r="BF677" s="53"/>
      <c r="BG677" s="53"/>
      <c r="BH677" s="53"/>
      <c r="BI677" s="53"/>
      <c r="BJ677" s="53"/>
      <c r="BK677" s="53"/>
      <c r="BL677" s="53"/>
      <c r="BM677" s="53"/>
      <c r="BN677" s="53"/>
      <c r="BO677" s="53"/>
      <c r="BP677" s="53"/>
      <c r="BQ677" s="53"/>
      <c r="BR677" s="53"/>
      <c r="BS677" s="53"/>
      <c r="BT677" s="53"/>
      <c r="BU677" s="53"/>
      <c r="BV677" s="53"/>
      <c r="BW677" s="53"/>
      <c r="BX677" s="53"/>
      <c r="BY677" s="53"/>
      <c r="BZ677" s="53"/>
      <c r="CA677" s="53"/>
      <c r="CB677" s="53"/>
      <c r="CC677" s="53"/>
      <c r="CD677" s="53"/>
      <c r="CE677" s="53"/>
      <c r="CF677" s="53"/>
      <c r="CG677" s="53"/>
      <c r="CH677" s="53"/>
      <c r="CI677" s="53"/>
      <c r="CJ677" s="53"/>
      <c r="CK677" s="53"/>
      <c r="CL677" s="53"/>
      <c r="CM677" s="53"/>
      <c r="CN677" s="53"/>
      <c r="CO677" s="53"/>
      <c r="CP677" s="53"/>
      <c r="CQ677" s="53"/>
      <c r="CR677" s="1"/>
      <c r="CS677" s="1"/>
      <c r="CT677" s="1"/>
      <c r="CU677" s="1"/>
    </row>
    <row r="678" spans="1:99" s="13" customFormat="1" ht="12" customHeight="1" x14ac:dyDescent="0.2">
      <c r="A678" s="68">
        <v>43897</v>
      </c>
      <c r="B678" s="67"/>
      <c r="C678" s="70"/>
      <c r="D678" s="69"/>
      <c r="E678" s="87"/>
      <c r="F678" s="69"/>
      <c r="G678" s="69"/>
      <c r="H678" s="69"/>
      <c r="I678" s="69"/>
      <c r="J678" s="69"/>
      <c r="K678" s="107"/>
      <c r="L678" s="107"/>
      <c r="M678" s="69"/>
      <c r="N678" s="86"/>
      <c r="O678" s="69"/>
      <c r="P678" s="69"/>
      <c r="Q678" s="69"/>
      <c r="R678" s="69"/>
      <c r="S678" s="69"/>
      <c r="T678" s="69"/>
      <c r="U678" s="60"/>
      <c r="V678" s="69"/>
      <c r="W678" s="69"/>
      <c r="X678" s="69"/>
      <c r="Y678" s="87"/>
      <c r="Z678" s="69"/>
      <c r="AA678" s="69"/>
      <c r="AB678" s="69"/>
      <c r="AC678" s="72"/>
      <c r="AD678" s="69"/>
      <c r="AE678" s="69"/>
      <c r="AF678" s="88"/>
      <c r="AG678" s="72"/>
      <c r="AH678" s="4"/>
      <c r="AI678" s="72"/>
      <c r="AJ678" s="110"/>
      <c r="AK678" s="72"/>
      <c r="AL678" s="72"/>
      <c r="AM678" s="72"/>
      <c r="AN678" s="72"/>
      <c r="AO678" s="89"/>
      <c r="AP678" s="89"/>
      <c r="AQ678" s="90"/>
      <c r="AR678" s="117"/>
      <c r="AS678" s="91"/>
      <c r="AT678" s="91"/>
      <c r="AU678" s="3"/>
      <c r="AV678" s="71">
        <v>157680000</v>
      </c>
      <c r="AW678" s="71">
        <v>315360000</v>
      </c>
      <c r="AX678" s="71">
        <v>473040000</v>
      </c>
      <c r="AY678" s="71">
        <v>630720000</v>
      </c>
      <c r="AZ678" s="71">
        <v>788400000</v>
      </c>
      <c r="BA678" s="71">
        <v>946080000</v>
      </c>
      <c r="BB678" s="71">
        <v>1103760000</v>
      </c>
      <c r="BC678" s="71">
        <v>1261440000</v>
      </c>
      <c r="BD678" s="53"/>
      <c r="BE678" s="53"/>
      <c r="BF678" s="53"/>
      <c r="BG678" s="53"/>
      <c r="BH678" s="53"/>
      <c r="BI678" s="53"/>
      <c r="BJ678" s="53"/>
      <c r="BK678" s="53"/>
      <c r="BL678" s="53"/>
      <c r="BM678" s="53"/>
      <c r="BN678" s="53"/>
      <c r="BO678" s="53"/>
      <c r="BP678" s="53"/>
      <c r="BQ678" s="53"/>
      <c r="BR678" s="53"/>
      <c r="BS678" s="53"/>
      <c r="BT678" s="53"/>
      <c r="BU678" s="53"/>
      <c r="BV678" s="53"/>
      <c r="BW678" s="53"/>
      <c r="BX678" s="53"/>
      <c r="BY678" s="53"/>
      <c r="BZ678" s="53"/>
      <c r="CA678" s="53"/>
      <c r="CB678" s="53"/>
      <c r="CC678" s="53"/>
      <c r="CD678" s="53"/>
      <c r="CE678" s="53"/>
      <c r="CF678" s="53"/>
      <c r="CG678" s="53"/>
      <c r="CH678" s="53"/>
      <c r="CI678" s="53"/>
      <c r="CJ678" s="53"/>
      <c r="CK678" s="53"/>
      <c r="CL678" s="53"/>
      <c r="CM678" s="53"/>
      <c r="CN678" s="53"/>
      <c r="CO678" s="53"/>
      <c r="CP678" s="53"/>
      <c r="CQ678" s="53"/>
      <c r="CR678" s="1"/>
      <c r="CS678" s="1"/>
      <c r="CT678" s="1"/>
      <c r="CU678" s="1"/>
    </row>
    <row r="679" spans="1:99" s="13" customFormat="1" ht="12" customHeight="1" x14ac:dyDescent="0.2">
      <c r="A679" s="68">
        <v>43897</v>
      </c>
      <c r="B679" s="67" t="s">
        <v>415</v>
      </c>
      <c r="C679" s="67" t="s">
        <v>416</v>
      </c>
      <c r="D679" s="86">
        <v>1999</v>
      </c>
      <c r="E679" s="87">
        <v>1</v>
      </c>
      <c r="F679" s="69">
        <v>1</v>
      </c>
      <c r="G679" s="69">
        <v>1</v>
      </c>
      <c r="H679" s="69" t="s">
        <v>50</v>
      </c>
      <c r="I679" s="69" t="s">
        <v>330</v>
      </c>
      <c r="J679" s="69" t="s">
        <v>340</v>
      </c>
      <c r="K679" s="69">
        <f>IF(J679="syllables",1,IF(J679="trigrams",2,IF(J679="strings",3,IF(J679="visual array",4,IF(J679="characters",5,IF(J679="letters",6,IF(J679="free forms",7,IF(J679="odors",8,IF(J679="words",9,IF(J679="pictures",10,IF(J679="object pictures",11,IF(J679="faces",12,IF(J679="names",13,IF(J679="idioms",14,IF(J679="grades",15,IF(J679="syllable-digit pairs",16,IF(J679="trigram-word pairs",17,IF(J679="word-digit pairs",18,IF(J679="English-Swahili pairs",19,IF(J679="spatial position",20,IF(J679="word pairs",21,IF(J679="word triads",22,IF(J679="generated words",23,IF(J679="word definition pairs",24,IF(J679="math problems",25,IF(J679="famous faces",26,IF(J679="famous names",27,IF(J679="famous voices",28,IF(J679="television programs",29,IF(J679="race horses",30,IF(J679="new vocabulary",31,IF(J679="sentences",32,IF(J679="concepts",33,IF(J679="ad slides",34,IF(J679="scenes",35,IF(J679="famous scenes",36,IF(J679="poems",37,IF(J679="walk",38,IF(J679="faces and events",39,IF(J679="events and names",40,IF(J679="flashbulb",41,IF(J679="stories",42,IF(J679="course material",43,IF(J679="autobiographical",44,IF(J679="novels",45,IF(J679="public events",46,"99"))))))))))))))))))))))))))))))))))))))))))))))</f>
        <v>46</v>
      </c>
      <c r="L679" s="69">
        <f>IF(J679="syllables",1,IF(J679="trigrams",1,IF(J679="strings",1,IF(J679="visual array",1,IF(J679="characters",1,IF(J679="letters",1,IF(J679="free forms",1,IF(J679="odors",2,IF(J679="words",2,IF(J679="pictures",2,IF(J679="object pictures",2,IF(J679="faces",2,IF(J679="names",2,IF(J679="idioms","2",IF(J679="grades",2,IF(J679="syllable-digit pairs",3,IF(J679="trigram-word pairs",3,IF(J679="word-digit pairs",3,IF(J679="English-Swahili pairs",3,IF(J679="spatial position",3,IF(J679="word pairs",4,IF(J679="word triads",4,IF(J679="generated words",4,IF(J679="word definition pairs",4,IF(J679="math problems",4,IF(J679="famous faces",4,IF(J679="famous names",4,IF(J679="famous voices",4,IF(J679="television programs",4,IF(J679="race horses",4,IF(J679="new vocabulary",4,IF(J679="sentences",5,IF(J679="concepts",5,IF(J679="ad slides",5,IF(J679="scenes",5,IF(J679="famous scenes",5,IF(J679="poems",6,IF(J679="walk",6,IF(J679="faces and events",6,IF(J679="events and names",6,IF(J679="flashbulb",7,IF(J679="stories",7,IF(J679="course material",7,IF(J679="autobiographical",7,IF(J679="novels",7,IF(J679="public events",7,"99"))))))))))))))))))))))))))))))))))))))))))))))</f>
        <v>7</v>
      </c>
      <c r="M679" s="69">
        <v>1</v>
      </c>
      <c r="N679" s="86">
        <v>4</v>
      </c>
      <c r="O679" s="69">
        <v>0</v>
      </c>
      <c r="P679" s="69"/>
      <c r="Q679" s="69" t="s">
        <v>34</v>
      </c>
      <c r="R679" s="69">
        <f>IF(Q679="Free Recall",1,IF(Q679="Cued Recall",2,IF(Q679="Recognition",3,IF(Q679="Multiple Choice",4,IF(Q679="Savings",5,IF(Q679="Stem Completion",6,IF(Q679="Fragment Completion",7,IF(Q679="anagram solution",8,IF(Q679="Matching",9,IF(Q679="Problem Solving",10,"99"))))))))))</f>
        <v>3</v>
      </c>
      <c r="S679" s="69" t="s">
        <v>15</v>
      </c>
      <c r="T679" s="92" t="s">
        <v>581</v>
      </c>
      <c r="U679" s="60">
        <f>IF(T679="within",1,0)</f>
        <v>1</v>
      </c>
      <c r="V679" s="92">
        <v>195</v>
      </c>
      <c r="W679" s="69">
        <f>F679*V679</f>
        <v>195</v>
      </c>
      <c r="X679" s="69">
        <v>8</v>
      </c>
      <c r="Y679" s="87">
        <f>AV678</f>
        <v>157680000</v>
      </c>
      <c r="Z679" s="92" t="s">
        <v>329</v>
      </c>
      <c r="AA679" s="69">
        <f>40*365*24*60*60</f>
        <v>1261440000</v>
      </c>
      <c r="AB679" s="69" t="str">
        <f>IF(AA679&lt;60,"1",IF(AA679&lt;=43200,"2",IF(AA679&lt;=777600,"3","4")))</f>
        <v>4</v>
      </c>
      <c r="AC679" s="72">
        <f>AVERAGE(AV678:DA678)</f>
        <v>709560000</v>
      </c>
      <c r="AD679" s="69" t="str">
        <f>IF(AC679&lt;60,"1",IF(AC679&lt;=43200,"2",IF(AC679&lt;=777600,"3","4")))</f>
        <v>4</v>
      </c>
      <c r="AE679" s="87">
        <f>AA679-Y679</f>
        <v>1103760000</v>
      </c>
      <c r="AF679" s="88">
        <f>AV679</f>
        <v>1</v>
      </c>
      <c r="AG679" s="72">
        <f>((AW679-AV679)+(AX679-AW679)+(AY679-AX679)+(AZ679-AY679)+(BA679-AZ679)+(BB679-BA679)+(BC679-BB679))/7</f>
        <v>-5.2857142857142859E-2</v>
      </c>
      <c r="AH679" s="4"/>
      <c r="AI679" s="72">
        <f>RSQ(AV679:BC679,AV678:BC678)</f>
        <v>0.38373681903730633</v>
      </c>
      <c r="AJ679" s="110">
        <f>SLOPE(AV679:BC679,AV678:BC678)</f>
        <v>-1.8421879152472762E-10</v>
      </c>
      <c r="AK679" s="72">
        <f>INTERCEPT(AV679:BC679,AV678:BC678)</f>
        <v>1.0282142857142857</v>
      </c>
      <c r="AL679" s="72">
        <f>INDEX(LINEST(LN(AV679:BC679),LN(AV678:BC678),TRUE,TRUE),3,1)</f>
        <v>0.27634302963426044</v>
      </c>
      <c r="AM679" s="72">
        <f>INDEX(LINEST(LN(AV679:BC679),LN(AV678:BC678)),1)</f>
        <v>-0.10881943188381434</v>
      </c>
      <c r="AN679" s="72">
        <f>EXP(INDEX(LINEST(LN(AV679:BC679),LN(AV678:BC678)),1,2))</f>
        <v>8.0179595020440786</v>
      </c>
      <c r="AO679" s="89">
        <f>INDEX(LINEST((AV679:BC679),LN(AV678:BC678),TRUE,TRUE),3,1)</f>
        <v>0.29286362115756354</v>
      </c>
      <c r="AP679" s="89">
        <f>INDEX(LINEST((AV679:BC679),LN(AV678:BC678)),1)</f>
        <v>-8.8369623163121788E-2</v>
      </c>
      <c r="AQ679" s="90">
        <f>INDEX(LINEST(LN(AV679:BC679),SQRT(AV678:BC678),TRUE,TRUE),3,1)</f>
        <v>0.32793596813606435</v>
      </c>
      <c r="AR679" s="117">
        <f>INDEX(LINEST(LN(AV679:BC679),SQRT((AV678:BC678))),1)</f>
        <v>-1.0566824967121713E-5</v>
      </c>
      <c r="AS679" s="91">
        <f>INDEX(LINEST(1/(AV679:BC679),1/(SQRT(AV678:BC678)),TRUE,TRUE),3,1)</f>
        <v>0.21017126330801597</v>
      </c>
      <c r="AT679" s="91">
        <f>INDEX(LINEST(1/(AV679:BC679),1/SQRT(AV678:BC678)),1)</f>
        <v>-4991.6228434411423</v>
      </c>
      <c r="AU679" s="3"/>
      <c r="AV679" s="95">
        <v>1</v>
      </c>
      <c r="AW679" s="95">
        <v>0.93</v>
      </c>
      <c r="AX679" s="95">
        <v>0.89</v>
      </c>
      <c r="AY679" s="95">
        <v>0.93</v>
      </c>
      <c r="AZ679" s="73">
        <v>0.96</v>
      </c>
      <c r="BA679" s="73">
        <v>0.88</v>
      </c>
      <c r="BB679" s="73">
        <v>0.96</v>
      </c>
      <c r="BC679" s="73">
        <v>0.63</v>
      </c>
      <c r="BD679" s="53"/>
      <c r="BE679" s="53"/>
      <c r="BF679" s="53"/>
      <c r="BG679" s="53"/>
      <c r="BH679" s="53"/>
      <c r="BI679" s="53"/>
      <c r="BJ679" s="53"/>
      <c r="BK679" s="53"/>
      <c r="BL679" s="53"/>
      <c r="BM679" s="53"/>
      <c r="BN679" s="53"/>
      <c r="BO679" s="53"/>
      <c r="BP679" s="53"/>
      <c r="BQ679" s="53"/>
      <c r="BR679" s="53"/>
      <c r="BS679" s="53"/>
      <c r="BT679" s="53"/>
      <c r="BU679" s="53"/>
      <c r="BV679" s="53"/>
      <c r="BW679" s="53"/>
      <c r="BX679" s="53"/>
      <c r="BY679" s="53"/>
      <c r="BZ679" s="53"/>
      <c r="CA679" s="53"/>
      <c r="CB679" s="53"/>
      <c r="CC679" s="53"/>
      <c r="CD679" s="53"/>
      <c r="CE679" s="53"/>
      <c r="CF679" s="53"/>
      <c r="CG679" s="53"/>
      <c r="CH679" s="53"/>
      <c r="CI679" s="53"/>
      <c r="CJ679" s="53"/>
      <c r="CK679" s="53"/>
      <c r="CL679" s="53"/>
      <c r="CM679" s="53"/>
      <c r="CN679" s="53"/>
      <c r="CO679" s="53"/>
      <c r="CP679" s="53"/>
      <c r="CQ679" s="53"/>
      <c r="CR679" s="1"/>
      <c r="CS679" s="1"/>
      <c r="CT679" s="1"/>
      <c r="CU679" s="1"/>
    </row>
    <row r="680" spans="1:99" s="13" customFormat="1" ht="12" customHeight="1" x14ac:dyDescent="0.2">
      <c r="A680" s="68">
        <v>43897</v>
      </c>
      <c r="B680" s="67"/>
      <c r="C680" s="70"/>
      <c r="D680" s="69"/>
      <c r="E680" s="87"/>
      <c r="F680" s="69"/>
      <c r="G680" s="69"/>
      <c r="H680" s="69"/>
      <c r="I680" s="69"/>
      <c r="J680" s="69"/>
      <c r="K680" s="107"/>
      <c r="L680" s="107"/>
      <c r="M680" s="69"/>
      <c r="N680" s="86"/>
      <c r="O680" s="69"/>
      <c r="P680" s="69"/>
      <c r="Q680" s="69"/>
      <c r="R680" s="69"/>
      <c r="S680" s="69"/>
      <c r="T680" s="69"/>
      <c r="U680" s="60"/>
      <c r="V680" s="69"/>
      <c r="W680" s="69"/>
      <c r="X680" s="69"/>
      <c r="Y680" s="87"/>
      <c r="Z680" s="69"/>
      <c r="AA680" s="69"/>
      <c r="AB680" s="69"/>
      <c r="AC680" s="72"/>
      <c r="AD680" s="69"/>
      <c r="AE680" s="69"/>
      <c r="AF680" s="88"/>
      <c r="AG680" s="72"/>
      <c r="AH680" s="4"/>
      <c r="AI680" s="72"/>
      <c r="AJ680" s="110"/>
      <c r="AK680" s="72"/>
      <c r="AL680" s="72"/>
      <c r="AM680" s="72"/>
      <c r="AN680" s="72"/>
      <c r="AO680" s="89"/>
      <c r="AP680" s="89"/>
      <c r="AQ680" s="90"/>
      <c r="AR680" s="117"/>
      <c r="AS680" s="91"/>
      <c r="AT680" s="91"/>
      <c r="AU680" s="3"/>
      <c r="AV680" s="71">
        <v>315360000</v>
      </c>
      <c r="AW680" s="71">
        <v>630720000</v>
      </c>
      <c r="AX680" s="71">
        <v>946080000</v>
      </c>
      <c r="AY680" s="71">
        <v>1261440000</v>
      </c>
      <c r="AZ680" s="73"/>
      <c r="BA680" s="73"/>
      <c r="BB680" s="73"/>
      <c r="BC680" s="73"/>
      <c r="BD680" s="53"/>
      <c r="BE680" s="53"/>
      <c r="BF680" s="53"/>
      <c r="BG680" s="53"/>
      <c r="BH680" s="53"/>
      <c r="BI680" s="53"/>
      <c r="BJ680" s="53"/>
      <c r="BK680" s="53"/>
      <c r="BL680" s="53"/>
      <c r="BM680" s="53"/>
      <c r="BN680" s="53"/>
      <c r="BO680" s="53"/>
      <c r="BP680" s="53"/>
      <c r="BQ680" s="53"/>
      <c r="BR680" s="53"/>
      <c r="BS680" s="53"/>
      <c r="BT680" s="53"/>
      <c r="BU680" s="53"/>
      <c r="BV680" s="53"/>
      <c r="BW680" s="53"/>
      <c r="BX680" s="53"/>
      <c r="BY680" s="53"/>
      <c r="BZ680" s="53"/>
      <c r="CA680" s="53"/>
      <c r="CB680" s="53"/>
      <c r="CC680" s="53"/>
      <c r="CD680" s="53"/>
      <c r="CE680" s="53"/>
      <c r="CF680" s="53"/>
      <c r="CG680" s="53"/>
      <c r="CH680" s="53"/>
      <c r="CI680" s="53"/>
      <c r="CJ680" s="53"/>
      <c r="CK680" s="53"/>
      <c r="CL680" s="53"/>
      <c r="CM680" s="53"/>
      <c r="CN680" s="53"/>
      <c r="CO680" s="53"/>
      <c r="CP680" s="53"/>
      <c r="CQ680" s="53"/>
      <c r="CR680" s="1"/>
      <c r="CS680" s="1"/>
      <c r="CT680" s="1"/>
      <c r="CU680" s="1"/>
    </row>
    <row r="681" spans="1:99" s="13" customFormat="1" ht="12" customHeight="1" x14ac:dyDescent="0.2">
      <c r="A681" s="68">
        <v>43897</v>
      </c>
      <c r="B681" s="67" t="s">
        <v>415</v>
      </c>
      <c r="C681" s="67" t="s">
        <v>416</v>
      </c>
      <c r="D681" s="86">
        <v>1999</v>
      </c>
      <c r="E681" s="87">
        <v>1</v>
      </c>
      <c r="F681" s="69">
        <v>1</v>
      </c>
      <c r="G681" s="69">
        <v>1</v>
      </c>
      <c r="H681" s="69" t="s">
        <v>50</v>
      </c>
      <c r="I681" s="69" t="s">
        <v>330</v>
      </c>
      <c r="J681" s="69" t="s">
        <v>342</v>
      </c>
      <c r="K681" s="69">
        <f>IF(J681="syllables",1,IF(J681="trigrams",2,IF(J681="strings",3,IF(J681="visual array",4,IF(J681="characters",5,IF(J681="letters",6,IF(J681="free forms",7,IF(J681="odors",8,IF(J681="words",9,IF(J681="pictures",10,IF(J681="object pictures",11,IF(J681="faces",12,IF(J681="names",13,IF(J681="idioms",14,IF(J681="grades",15,IF(J681="syllable-digit pairs",16,IF(J681="trigram-word pairs",17,IF(J681="word-digit pairs",18,IF(J681="English-Swahili pairs",19,IF(J681="spatial position",20,IF(J681="word pairs",21,IF(J681="word triads",22,IF(J681="generated words",23,IF(J681="word definition pairs",24,IF(J681="math problems",25,IF(J681="famous faces",26,IF(J681="famous names",27,IF(J681="famous voices",28,IF(J681="television programs",29,IF(J681="race horses",30,IF(J681="new vocabulary",31,IF(J681="sentences",32,IF(J681="concepts",33,IF(J681="ad slides",34,IF(J681="scenes",35,IF(J681="famous scenes",36,IF(J681="poems",37,IF(J681="walk",38,IF(J681="faces and events",39,IF(J681="events and names",40,IF(J681="flashbulb",41,IF(J681="stories",42,IF(J681="course material",43,IF(J681="autobiographical",44,IF(J681="novels",45,IF(J681="public events",46,"99"))))))))))))))))))))))))))))))))))))))))))))))</f>
        <v>26</v>
      </c>
      <c r="L681" s="69">
        <f>IF(J681="syllables",1,IF(J681="trigrams",1,IF(J681="strings",1,IF(J681="visual array",1,IF(J681="characters",1,IF(J681="letters",1,IF(J681="free forms",1,IF(J681="odors",2,IF(J681="words",2,IF(J681="pictures",2,IF(J681="object pictures",2,IF(J681="faces",2,IF(J681="names",2,IF(J681="idioms","2",IF(J681="grades",2,IF(J681="syllable-digit pairs",3,IF(J681="trigram-word pairs",3,IF(J681="word-digit pairs",3,IF(J681="English-Swahili pairs",3,IF(J681="spatial position",3,IF(J681="word pairs",4,IF(J681="word triads",4,IF(J681="generated words",4,IF(J681="word definition pairs",4,IF(J681="math problems",4,IF(J681="famous faces",4,IF(J681="famous names",4,IF(J681="famous voices",4,IF(J681="television programs",4,IF(J681="race horses",4,IF(J681="new vocabulary",4,IF(J681="sentences",5,IF(J681="concepts",5,IF(J681="ad slides",5,IF(J681="scenes",5,IF(J681="famous scenes",5,IF(J681="poems",6,IF(J681="walk",6,IF(J681="faces and events",6,IF(J681="events and names",6,IF(J681="flashbulb",7,IF(J681="stories",7,IF(J681="course material",7,IF(J681="autobiographical",7,IF(J681="novels",7,IF(J681="public events",7,"99"))))))))))))))))))))))))))))))))))))))))))))))</f>
        <v>4</v>
      </c>
      <c r="M681" s="69">
        <v>1</v>
      </c>
      <c r="N681" s="86">
        <v>2</v>
      </c>
      <c r="O681" s="69">
        <v>0</v>
      </c>
      <c r="P681" s="69"/>
      <c r="Q681" s="69" t="s">
        <v>174</v>
      </c>
      <c r="R681" s="69">
        <f>IF(Q681="Free Recall",1,IF(Q681="Cued Recall",2,IF(Q681="Recognition",3,IF(Q681="Multiple Choice",4,IF(Q681="Savings",5,IF(Q681="Stem Completion",6,IF(Q681="Fragment Completion",7,IF(Q681="anagram solution",8,IF(Q681="Matching",9,IF(Q681="Problem Solving",10,"99"))))))))))</f>
        <v>1</v>
      </c>
      <c r="S681" s="92" t="s">
        <v>49</v>
      </c>
      <c r="T681" s="92" t="s">
        <v>581</v>
      </c>
      <c r="U681" s="60">
        <f>IF(T681="within",1,0)</f>
        <v>1</v>
      </c>
      <c r="V681" s="92">
        <v>40</v>
      </c>
      <c r="W681" s="69">
        <f>F681*V681</f>
        <v>40</v>
      </c>
      <c r="X681" s="69">
        <v>4</v>
      </c>
      <c r="Y681" s="87">
        <f>AV680</f>
        <v>315360000</v>
      </c>
      <c r="Z681" s="92" t="s">
        <v>329</v>
      </c>
      <c r="AA681" s="69">
        <f>40*365*24*60*60</f>
        <v>1261440000</v>
      </c>
      <c r="AB681" s="69" t="str">
        <f>IF(AA681&lt;60,"1",IF(AA681&lt;=43200,"2",IF(AA681&lt;=777600,"3","4")))</f>
        <v>4</v>
      </c>
      <c r="AC681" s="72">
        <f>AVERAGE(AV680:DA680)</f>
        <v>788400000</v>
      </c>
      <c r="AD681" s="69" t="str">
        <f>IF(AC681&lt;60,"1",IF(AC681&lt;=43200,"2",IF(AC681&lt;=777600,"3","4")))</f>
        <v>4</v>
      </c>
      <c r="AE681" s="87">
        <f>AA681-Y681</f>
        <v>946080000</v>
      </c>
      <c r="AF681" s="88">
        <f>AV681</f>
        <v>0.86956521739130432</v>
      </c>
      <c r="AG681" s="72">
        <f>((AW681-AV681)+(AX681-AW681)+(AY681-AX681))/3</f>
        <v>-0.15706374455048897</v>
      </c>
      <c r="AH681" s="4"/>
      <c r="AI681" s="72">
        <f>RSQ(AV681:AY681,AV680:AY680)</f>
        <v>0.55596343847386231</v>
      </c>
      <c r="AJ681" s="110">
        <f>SLOPE(AV681:AY681,AV680:AY680)</f>
        <v>-4.4559389487928751E-10</v>
      </c>
      <c r="AK681" s="72">
        <f>INTERCEPT(AV681:AY681,AV680:AY680)</f>
        <v>1.114255776541794</v>
      </c>
      <c r="AL681" s="72">
        <f>INDEX(LINEST(LN(AV681:AY681),LN(AV680:AY680),TRUE,TRUE),3,1)</f>
        <v>0.3997086044845663</v>
      </c>
      <c r="AM681" s="72">
        <f>INDEX(LINEST(LN(AV681:AY681),LN(AV680:AY680)),1)</f>
        <v>-0.41957082991770583</v>
      </c>
      <c r="AN681" s="72">
        <f>EXP(INDEX(LINEST(LN(AV681:AY681),LN(AV680:AY680)),1,2))</f>
        <v>3721.230767595709</v>
      </c>
      <c r="AO681" s="89">
        <f>INDEX(LINEST((AV681:AY681),LN(AV680:AY680),TRUE,TRUE),3,1)</f>
        <v>0.38598730754030136</v>
      </c>
      <c r="AP681" s="89">
        <f>INDEX(LINEST((AV681:AY681),LN(AV680:AY680)),1)</f>
        <v>-0.25144212283556433</v>
      </c>
      <c r="AQ681" s="90">
        <f>INDEX(LINEST(LN(AV681:AY681),SQRT(AV680:AY680),TRUE,TRUE),3,1)</f>
        <v>0.48397760714629184</v>
      </c>
      <c r="AR681" s="117">
        <f>INDEX(LINEST(LN(AV681:AY681),SQRT((AV680:AY680))),1)</f>
        <v>-3.6309219761831624E-5</v>
      </c>
      <c r="AS681" s="91">
        <f>INDEX(LINEST(1/(AV681:AY681),1/(SQRT(AV680:AY680)),TRUE,TRUE),3,1)</f>
        <v>0.333972066866149</v>
      </c>
      <c r="AT681" s="91">
        <f>INDEX(LINEST(1/(AV681:AY681),1/SQRT(AV680:AY680)),1)</f>
        <v>-32198.955465882704</v>
      </c>
      <c r="AU681" s="3"/>
      <c r="AV681" s="95">
        <v>0.86956521739130432</v>
      </c>
      <c r="AW681" s="95">
        <v>0.88775510204081631</v>
      </c>
      <c r="AX681" s="95">
        <v>0.89610389610389607</v>
      </c>
      <c r="AY681" s="95">
        <v>0.3983739837398374</v>
      </c>
      <c r="AZ681" s="73"/>
      <c r="BA681" s="73"/>
      <c r="BB681" s="73"/>
      <c r="BC681" s="73"/>
      <c r="BD681" s="53"/>
      <c r="BE681" s="53"/>
      <c r="BF681" s="53"/>
      <c r="BG681" s="53"/>
      <c r="BH681" s="53"/>
      <c r="BI681" s="53"/>
      <c r="BJ681" s="53"/>
      <c r="BK681" s="53"/>
      <c r="BL681" s="53"/>
      <c r="BM681" s="53"/>
      <c r="BN681" s="53"/>
      <c r="BO681" s="53"/>
      <c r="BP681" s="53"/>
      <c r="BQ681" s="53"/>
      <c r="BR681" s="53"/>
      <c r="BS681" s="53"/>
      <c r="BT681" s="53"/>
      <c r="BU681" s="53"/>
      <c r="BV681" s="53"/>
      <c r="BW681" s="53"/>
      <c r="BX681" s="53"/>
      <c r="BY681" s="53"/>
      <c r="BZ681" s="53"/>
      <c r="CA681" s="53"/>
      <c r="CB681" s="53"/>
      <c r="CC681" s="53"/>
      <c r="CD681" s="53"/>
      <c r="CE681" s="53"/>
      <c r="CF681" s="53"/>
      <c r="CG681" s="53"/>
      <c r="CH681" s="53"/>
      <c r="CI681" s="53"/>
      <c r="CJ681" s="53"/>
      <c r="CK681" s="53"/>
      <c r="CL681" s="53"/>
      <c r="CM681" s="53"/>
      <c r="CN681" s="53"/>
      <c r="CO681" s="53"/>
      <c r="CP681" s="53"/>
      <c r="CQ681" s="53"/>
      <c r="CR681" s="1"/>
      <c r="CS681" s="1"/>
      <c r="CT681" s="1"/>
      <c r="CU681" s="1"/>
    </row>
    <row r="682" spans="1:99" s="13" customFormat="1" ht="12" customHeight="1" x14ac:dyDescent="0.2">
      <c r="A682" s="68">
        <v>43897</v>
      </c>
      <c r="B682" s="67"/>
      <c r="C682" s="70"/>
      <c r="D682" s="69"/>
      <c r="E682" s="87"/>
      <c r="F682" s="69"/>
      <c r="G682" s="69"/>
      <c r="H682" s="69"/>
      <c r="I682" s="69"/>
      <c r="J682" s="69"/>
      <c r="K682" s="107"/>
      <c r="L682" s="107"/>
      <c r="M682" s="69"/>
      <c r="N682" s="86"/>
      <c r="O682" s="69"/>
      <c r="P682" s="69"/>
      <c r="Q682" s="69"/>
      <c r="R682" s="69"/>
      <c r="S682" s="69"/>
      <c r="T682" s="69"/>
      <c r="U682" s="60"/>
      <c r="V682" s="69"/>
      <c r="W682" s="69"/>
      <c r="X682" s="69"/>
      <c r="Y682" s="87"/>
      <c r="Z682" s="69"/>
      <c r="AA682" s="69"/>
      <c r="AB682" s="69"/>
      <c r="AC682" s="72"/>
      <c r="AD682" s="69"/>
      <c r="AE682" s="69"/>
      <c r="AF682" s="88"/>
      <c r="AG682" s="72"/>
      <c r="AH682" s="4"/>
      <c r="AI682" s="72"/>
      <c r="AJ682" s="110"/>
      <c r="AK682" s="72"/>
      <c r="AL682" s="72"/>
      <c r="AM682" s="72"/>
      <c r="AN682" s="72"/>
      <c r="AO682" s="89"/>
      <c r="AP682" s="89"/>
      <c r="AQ682" s="90"/>
      <c r="AR682" s="117"/>
      <c r="AS682" s="91"/>
      <c r="AT682" s="91"/>
      <c r="AU682" s="3"/>
      <c r="AV682" s="71">
        <v>315360000</v>
      </c>
      <c r="AW682" s="71">
        <v>630720000</v>
      </c>
      <c r="AX682" s="71">
        <v>946080000</v>
      </c>
      <c r="AY682" s="71">
        <v>1261440000</v>
      </c>
      <c r="AZ682" s="73"/>
      <c r="BA682" s="73"/>
      <c r="BB682" s="73"/>
      <c r="BC682" s="73"/>
      <c r="BD682" s="53"/>
      <c r="BE682" s="53"/>
      <c r="BF682" s="53"/>
      <c r="BG682" s="53"/>
      <c r="BH682" s="53"/>
      <c r="BI682" s="53"/>
      <c r="BJ682" s="53"/>
      <c r="BK682" s="53"/>
      <c r="BL682" s="53"/>
      <c r="BM682" s="53"/>
      <c r="BN682" s="53"/>
      <c r="BO682" s="53"/>
      <c r="BP682" s="53"/>
      <c r="BQ682" s="53"/>
      <c r="BR682" s="53"/>
      <c r="BS682" s="53"/>
      <c r="BT682" s="53"/>
      <c r="BU682" s="53"/>
      <c r="BV682" s="53"/>
      <c r="BW682" s="53"/>
      <c r="BX682" s="53"/>
      <c r="BY682" s="53"/>
      <c r="BZ682" s="53"/>
      <c r="CA682" s="53"/>
      <c r="CB682" s="53"/>
      <c r="CC682" s="53"/>
      <c r="CD682" s="53"/>
      <c r="CE682" s="53"/>
      <c r="CF682" s="53"/>
      <c r="CG682" s="53"/>
      <c r="CH682" s="53"/>
      <c r="CI682" s="53"/>
      <c r="CJ682" s="53"/>
      <c r="CK682" s="53"/>
      <c r="CL682" s="53"/>
      <c r="CM682" s="53"/>
      <c r="CN682" s="53"/>
      <c r="CO682" s="53"/>
      <c r="CP682" s="53"/>
      <c r="CQ682" s="53"/>
      <c r="CR682" s="1"/>
      <c r="CS682" s="1"/>
      <c r="CT682" s="1"/>
      <c r="CU682" s="1"/>
    </row>
    <row r="683" spans="1:99" s="13" customFormat="1" ht="12" customHeight="1" x14ac:dyDescent="0.2">
      <c r="A683" s="68">
        <v>43897</v>
      </c>
      <c r="B683" s="67" t="s">
        <v>415</v>
      </c>
      <c r="C683" s="67" t="s">
        <v>416</v>
      </c>
      <c r="D683" s="86">
        <v>1999</v>
      </c>
      <c r="E683" s="87">
        <v>1</v>
      </c>
      <c r="F683" s="69">
        <v>1</v>
      </c>
      <c r="G683" s="69">
        <v>1</v>
      </c>
      <c r="H683" s="69" t="s">
        <v>50</v>
      </c>
      <c r="I683" s="69" t="s">
        <v>330</v>
      </c>
      <c r="J683" s="69" t="s">
        <v>342</v>
      </c>
      <c r="K683" s="69">
        <f>IF(J683="syllables",1,IF(J683="trigrams",2,IF(J683="strings",3,IF(J683="visual array",4,IF(J683="characters",5,IF(J683="letters",6,IF(J683="free forms",7,IF(J683="odors",8,IF(J683="words",9,IF(J683="pictures",10,IF(J683="object pictures",11,IF(J683="faces",12,IF(J683="names",13,IF(J683="idioms",14,IF(J683="grades",15,IF(J683="syllable-digit pairs",16,IF(J683="trigram-word pairs",17,IF(J683="word-digit pairs",18,IF(J683="English-Swahili pairs",19,IF(J683="spatial position",20,IF(J683="word pairs",21,IF(J683="word triads",22,IF(J683="generated words",23,IF(J683="word definition pairs",24,IF(J683="math problems",25,IF(J683="famous faces",26,IF(J683="famous names",27,IF(J683="famous voices",28,IF(J683="television programs",29,IF(J683="race horses",30,IF(J683="new vocabulary",31,IF(J683="sentences",32,IF(J683="concepts",33,IF(J683="ad slides",34,IF(J683="scenes",35,IF(J683="famous scenes",36,IF(J683="poems",37,IF(J683="walk",38,IF(J683="faces and events",39,IF(J683="events and names",40,IF(J683="flashbulb",41,IF(J683="stories",42,IF(J683="course material",43,IF(J683="autobiographical",44,IF(J683="novels",45,IF(J683="public events",46,"99"))))))))))))))))))))))))))))))))))))))))))))))</f>
        <v>26</v>
      </c>
      <c r="L683" s="69">
        <f>IF(J683="syllables",1,IF(J683="trigrams",1,IF(J683="strings",1,IF(J683="visual array",1,IF(J683="characters",1,IF(J683="letters",1,IF(J683="free forms",1,IF(J683="odors",2,IF(J683="words",2,IF(J683="pictures",2,IF(J683="object pictures",2,IF(J683="faces",2,IF(J683="names",2,IF(J683="idioms","2",IF(J683="grades",2,IF(J683="syllable-digit pairs",3,IF(J683="trigram-word pairs",3,IF(J683="word-digit pairs",3,IF(J683="English-Swahili pairs",3,IF(J683="spatial position",3,IF(J683="word pairs",4,IF(J683="word triads",4,IF(J683="generated words",4,IF(J683="word definition pairs",4,IF(J683="math problems",4,IF(J683="famous faces",4,IF(J683="famous names",4,IF(J683="famous voices",4,IF(J683="television programs",4,IF(J683="race horses",4,IF(J683="new vocabulary",4,IF(J683="sentences",5,IF(J683="concepts",5,IF(J683="ad slides",5,IF(J683="scenes",5,IF(J683="famous scenes",5,IF(J683="poems",6,IF(J683="walk",6,IF(J683="faces and events",6,IF(J683="events and names",6,IF(J683="flashbulb",7,IF(J683="stories",7,IF(J683="course material",7,IF(J683="autobiographical",7,IF(J683="novels",7,IF(J683="public events",7,"99"))))))))))))))))))))))))))))))))))))))))))))))</f>
        <v>4</v>
      </c>
      <c r="M683" s="69">
        <v>1</v>
      </c>
      <c r="N683" s="86">
        <v>2</v>
      </c>
      <c r="O683" s="69">
        <v>0</v>
      </c>
      <c r="P683" s="69"/>
      <c r="Q683" s="69" t="s">
        <v>34</v>
      </c>
      <c r="R683" s="69">
        <f>IF(Q683="Free Recall",1,IF(Q683="Cued Recall",2,IF(Q683="Recognition",3,IF(Q683="Multiple Choice",4,IF(Q683="Savings",5,IF(Q683="Stem Completion",6,IF(Q683="Fragment Completion",7,IF(Q683="anagram solution",8,IF(Q683="Matching",9,IF(Q683="Problem Solving",10,"99"))))))))))</f>
        <v>3</v>
      </c>
      <c r="S683" s="69" t="s">
        <v>15</v>
      </c>
      <c r="T683" s="92" t="s">
        <v>581</v>
      </c>
      <c r="U683" s="60">
        <f>IF(T683="within",1,0)</f>
        <v>1</v>
      </c>
      <c r="V683" s="92">
        <v>40</v>
      </c>
      <c r="W683" s="69">
        <f>F683*V683</f>
        <v>40</v>
      </c>
      <c r="X683" s="69">
        <v>4</v>
      </c>
      <c r="Y683" s="87">
        <f>AV682</f>
        <v>315360000</v>
      </c>
      <c r="Z683" s="92" t="s">
        <v>329</v>
      </c>
      <c r="AA683" s="69">
        <f>40*365*24*60*60</f>
        <v>1261440000</v>
      </c>
      <c r="AB683" s="69" t="str">
        <f>IF(AA683&lt;60,"1",IF(AA683&lt;=43200,"2",IF(AA683&lt;=777600,"3","4")))</f>
        <v>4</v>
      </c>
      <c r="AC683" s="72">
        <f>AVERAGE(AV682:DA682)</f>
        <v>788400000</v>
      </c>
      <c r="AD683" s="69" t="str">
        <f>IF(AC683&lt;60,"1",IF(AC683&lt;=43200,"2",IF(AC683&lt;=777600,"3","4")))</f>
        <v>4</v>
      </c>
      <c r="AE683" s="87">
        <f>AA683-Y683</f>
        <v>946080000</v>
      </c>
      <c r="AF683" s="88">
        <f>AV683</f>
        <v>1</v>
      </c>
      <c r="AG683" s="72">
        <f>((AW683-AV683)+(AX683-AW683)+(AY683-AX683))/3</f>
        <v>-9.8591549295774628E-2</v>
      </c>
      <c r="AH683" s="4"/>
      <c r="AI683" s="72">
        <f>RSQ(AV683:AY683,AV682:AY682)</f>
        <v>0.6000000000000002</v>
      </c>
      <c r="AJ683" s="110">
        <f>SLOPE(AV683:AY683,AV682:AY682)</f>
        <v>-2.8136857675734768E-10</v>
      </c>
      <c r="AK683" s="72">
        <f>INTERCEPT(AV683:AY683,AV682:AY682)</f>
        <v>1.147887323943662</v>
      </c>
      <c r="AL683" s="72">
        <f>INDEX(LINEST(LN(AV683:AY683),LN(AV682:AY682),TRUE,TRUE),3,1)</f>
        <v>0.43067357489469132</v>
      </c>
      <c r="AM683" s="72">
        <f>INDEX(LINEST(LN(AV683:AY683),LN(AV682:AY682)),1)</f>
        <v>-0.19139513571339281</v>
      </c>
      <c r="AN683" s="72">
        <f>EXP(INDEX(LINEST(LN(AV683:AY683),LN(AV682:AY682)),1,2))</f>
        <v>45.143953229566264</v>
      </c>
      <c r="AO683" s="89">
        <f>INDEX(LINEST((AV683:AY683),LN(AV682:AY682),TRUE,TRUE),3,1)</f>
        <v>0.43067357489469138</v>
      </c>
      <c r="AP683" s="89">
        <f>INDEX(LINEST((AV683:AY683),LN(AV682:AY682)),1)</f>
        <v>-0.16143938264362617</v>
      </c>
      <c r="AQ683" s="90">
        <f>INDEX(LINEST(LN(AV683:AY683),SQRT(AV682:AY682),TRUE,TRUE),3,1)</f>
        <v>0.51516937772217042</v>
      </c>
      <c r="AR683" s="117">
        <f>INDEX(LINEST(LN(AV683:AY683),SQRT((AV682:AY682))),1)</f>
        <v>-1.6462756244879608E-5</v>
      </c>
      <c r="AS683" s="91">
        <f>INDEX(LINEST(1/(AV683:AY683),1/(SQRT(AV682:AY682)),TRUE,TRUE),3,1)</f>
        <v>0.35358193173546465</v>
      </c>
      <c r="AT683" s="91">
        <f>INDEX(LINEST(1/(AV683:AY683),1/SQRT(AV682:AY682)),1)</f>
        <v>-10085.437494546009</v>
      </c>
      <c r="AU683" s="3"/>
      <c r="AV683" s="95">
        <v>1</v>
      </c>
      <c r="AW683" s="95">
        <v>1</v>
      </c>
      <c r="AX683" s="95">
        <v>1</v>
      </c>
      <c r="AY683" s="95">
        <v>0.70422535211267612</v>
      </c>
      <c r="AZ683" s="73"/>
      <c r="BA683" s="73"/>
      <c r="BB683" s="73"/>
      <c r="BC683" s="73"/>
      <c r="BD683" s="53"/>
      <c r="BE683" s="53"/>
      <c r="BF683" s="53"/>
      <c r="BG683" s="53"/>
      <c r="BH683" s="53"/>
      <c r="BI683" s="53"/>
      <c r="BJ683" s="53"/>
      <c r="BK683" s="53"/>
      <c r="BL683" s="53"/>
      <c r="BM683" s="53"/>
      <c r="BN683" s="53"/>
      <c r="BO683" s="53"/>
      <c r="BP683" s="53"/>
      <c r="BQ683" s="53"/>
      <c r="BR683" s="53"/>
      <c r="BS683" s="53"/>
      <c r="BT683" s="53"/>
      <c r="BU683" s="53"/>
      <c r="BV683" s="53"/>
      <c r="BW683" s="53"/>
      <c r="BX683" s="53"/>
      <c r="BY683" s="53"/>
      <c r="BZ683" s="53"/>
      <c r="CA683" s="53"/>
      <c r="CB683" s="53"/>
      <c r="CC683" s="53"/>
      <c r="CD683" s="53"/>
      <c r="CE683" s="53"/>
      <c r="CF683" s="53"/>
      <c r="CG683" s="53"/>
      <c r="CH683" s="53"/>
      <c r="CI683" s="53"/>
      <c r="CJ683" s="53"/>
      <c r="CK683" s="53"/>
      <c r="CL683" s="53"/>
      <c r="CM683" s="53"/>
      <c r="CN683" s="53"/>
      <c r="CO683" s="53"/>
      <c r="CP683" s="53"/>
      <c r="CQ683" s="53"/>
      <c r="CR683" s="1"/>
      <c r="CS683" s="1"/>
      <c r="CT683" s="1"/>
      <c r="CU683" s="1"/>
    </row>
    <row r="684" spans="1:99" s="13" customFormat="1" ht="12" customHeight="1" x14ac:dyDescent="0.2">
      <c r="A684" s="68">
        <v>43897</v>
      </c>
      <c r="B684" s="67"/>
      <c r="C684" s="70"/>
      <c r="D684" s="69"/>
      <c r="E684" s="87"/>
      <c r="F684" s="69"/>
      <c r="G684" s="69"/>
      <c r="H684" s="69"/>
      <c r="I684" s="69"/>
      <c r="J684" s="69"/>
      <c r="K684" s="107"/>
      <c r="L684" s="107"/>
      <c r="M684" s="69"/>
      <c r="N684" s="86"/>
      <c r="O684" s="69"/>
      <c r="P684" s="69"/>
      <c r="Q684" s="69"/>
      <c r="R684" s="69"/>
      <c r="S684" s="69"/>
      <c r="T684" s="69"/>
      <c r="U684" s="60"/>
      <c r="V684" s="69"/>
      <c r="W684" s="69"/>
      <c r="X684" s="69"/>
      <c r="Y684" s="87"/>
      <c r="Z684" s="69"/>
      <c r="AA684" s="69"/>
      <c r="AB684" s="69"/>
      <c r="AC684" s="72"/>
      <c r="AD684" s="69"/>
      <c r="AE684" s="69"/>
      <c r="AF684" s="88"/>
      <c r="AG684" s="72"/>
      <c r="AH684" s="4"/>
      <c r="AI684" s="72"/>
      <c r="AJ684" s="110"/>
      <c r="AK684" s="72"/>
      <c r="AL684" s="72"/>
      <c r="AM684" s="72"/>
      <c r="AN684" s="72"/>
      <c r="AO684" s="89"/>
      <c r="AP684" s="89"/>
      <c r="AQ684" s="90"/>
      <c r="AR684" s="117"/>
      <c r="AS684" s="91"/>
      <c r="AT684" s="91"/>
      <c r="AU684" s="3"/>
      <c r="AV684" s="71">
        <v>315360000</v>
      </c>
      <c r="AW684" s="71">
        <v>630720000</v>
      </c>
      <c r="AX684" s="71">
        <v>946080000</v>
      </c>
      <c r="AY684" s="71">
        <v>1261440000</v>
      </c>
      <c r="AZ684" s="73"/>
      <c r="BA684" s="73"/>
      <c r="BB684" s="73"/>
      <c r="BC684" s="73"/>
      <c r="BD684" s="53"/>
      <c r="BE684" s="53"/>
      <c r="BF684" s="53"/>
      <c r="BG684" s="53"/>
      <c r="BH684" s="53"/>
      <c r="BI684" s="53"/>
      <c r="BJ684" s="53"/>
      <c r="BK684" s="53"/>
      <c r="BL684" s="53"/>
      <c r="BM684" s="53"/>
      <c r="BN684" s="53"/>
      <c r="BO684" s="53"/>
      <c r="BP684" s="53"/>
      <c r="BQ684" s="53"/>
      <c r="BR684" s="53"/>
      <c r="BS684" s="53"/>
      <c r="BT684" s="53"/>
      <c r="BU684" s="53"/>
      <c r="BV684" s="53"/>
      <c r="BW684" s="53"/>
      <c r="BX684" s="53"/>
      <c r="BY684" s="53"/>
      <c r="BZ684" s="53"/>
      <c r="CA684" s="53"/>
      <c r="CB684" s="53"/>
      <c r="CC684" s="53"/>
      <c r="CD684" s="53"/>
      <c r="CE684" s="53"/>
      <c r="CF684" s="53"/>
      <c r="CG684" s="53"/>
      <c r="CH684" s="53"/>
      <c r="CI684" s="53"/>
      <c r="CJ684" s="53"/>
      <c r="CK684" s="53"/>
      <c r="CL684" s="53"/>
      <c r="CM684" s="53"/>
      <c r="CN684" s="53"/>
      <c r="CO684" s="53"/>
      <c r="CP684" s="53"/>
      <c r="CQ684" s="53"/>
      <c r="CR684" s="1"/>
      <c r="CS684" s="1"/>
      <c r="CT684" s="1"/>
      <c r="CU684" s="1"/>
    </row>
    <row r="685" spans="1:99" s="13" customFormat="1" ht="12" customHeight="1" x14ac:dyDescent="0.2">
      <c r="A685" s="68">
        <v>43897</v>
      </c>
      <c r="B685" s="67" t="s">
        <v>415</v>
      </c>
      <c r="C685" s="67" t="s">
        <v>416</v>
      </c>
      <c r="D685" s="86">
        <v>1999</v>
      </c>
      <c r="E685" s="87">
        <v>1</v>
      </c>
      <c r="F685" s="69">
        <v>1</v>
      </c>
      <c r="G685" s="69">
        <v>1</v>
      </c>
      <c r="H685" s="69" t="s">
        <v>50</v>
      </c>
      <c r="I685" s="69" t="s">
        <v>330</v>
      </c>
      <c r="J685" s="69" t="s">
        <v>376</v>
      </c>
      <c r="K685" s="69">
        <f>IF(J685="syllables",1,IF(J685="trigrams",2,IF(J685="strings",3,IF(J685="visual array",4,IF(J685="characters",5,IF(J685="letters",6,IF(J685="free forms",7,IF(J685="odors",8,IF(J685="words",9,IF(J685="pictures",10,IF(J685="object pictures",11,IF(J685="faces",12,IF(J685="names",13,IF(J685="idioms",14,IF(J685="grades",15,IF(J685="syllable-digit pairs",16,IF(J685="trigram-word pairs",17,IF(J685="word-digit pairs",18,IF(J685="English-Swahili pairs",19,IF(J685="spatial position",20,IF(J685="word pairs",21,IF(J685="word triads",22,IF(J685="generated words",23,IF(J685="word definition pairs",24,IF(J685="math problems",25,IF(J685="famous faces",26,IF(J685="famous names",27,IF(J685="famous voices",28,IF(J685="television programs",29,IF(J685="race horses",30,IF(J685="new vocabulary",31,IF(J685="sentences",32,IF(J685="concepts",33,IF(J685="ad slides",34,IF(J685="scenes",35,IF(J685="famous scenes",36,IF(J685="poems",37,IF(J685="walk",38,IF(J685="faces and events",39,IF(J685="events and names",40,IF(J685="flashbulb",41,IF(J685="stories",42,IF(J685="course material",43,IF(J685="autobiographical",44,IF(J685="novels",45,IF(J685="public events",46,"99"))))))))))))))))))))))))))))))))))))))))))))))</f>
        <v>29</v>
      </c>
      <c r="L685" s="69">
        <f>IF(J685="syllables",1,IF(J685="trigrams",1,IF(J685="strings",1,IF(J685="visual array",1,IF(J685="characters",1,IF(J685="letters",1,IF(J685="free forms",1,IF(J685="odors",2,IF(J685="words",2,IF(J685="pictures",2,IF(J685="object pictures",2,IF(J685="faces",2,IF(J685="names",2,IF(J685="idioms","2",IF(J685="grades",2,IF(J685="syllable-digit pairs",3,IF(J685="trigram-word pairs",3,IF(J685="word-digit pairs",3,IF(J685="English-Swahili pairs",3,IF(J685="spatial position",3,IF(J685="word pairs",4,IF(J685="word triads",4,IF(J685="generated words",4,IF(J685="word definition pairs",4,IF(J685="math problems",4,IF(J685="famous faces",4,IF(J685="famous names",4,IF(J685="famous voices",4,IF(J685="television programs",4,IF(J685="race horses",4,IF(J685="new vocabulary",4,IF(J685="sentences",5,IF(J685="concepts",5,IF(J685="ad slides",5,IF(J685="scenes",5,IF(J685="famous scenes",5,IF(J685="poems",6,IF(J685="walk",6,IF(J685="faces and events",6,IF(J685="events and names",6,IF(J685="flashbulb",7,IF(J685="stories",7,IF(J685="course material",7,IF(J685="autobiographical",7,IF(J685="novels",7,IF(J685="public events",7,"99"))))))))))))))))))))))))))))))))))))))))))))))</f>
        <v>4</v>
      </c>
      <c r="M685" s="69">
        <v>1</v>
      </c>
      <c r="N685" s="86">
        <v>2</v>
      </c>
      <c r="O685" s="69">
        <v>0</v>
      </c>
      <c r="P685" s="69"/>
      <c r="Q685" s="69" t="s">
        <v>174</v>
      </c>
      <c r="R685" s="69">
        <f>IF(Q685="Free Recall",1,IF(Q685="Cued Recall",2,IF(Q685="Recognition",3,IF(Q685="Multiple Choice",4,IF(Q685="Savings",5,IF(Q685="Stem Completion",6,IF(Q685="Fragment Completion",7,IF(Q685="anagram solution",8,IF(Q685="Matching",9,IF(Q685="Problem Solving",10,"99"))))))))))</f>
        <v>1</v>
      </c>
      <c r="S685" s="92" t="s">
        <v>49</v>
      </c>
      <c r="T685" s="92" t="s">
        <v>581</v>
      </c>
      <c r="U685" s="60">
        <f>IF(T685="within",1,0)</f>
        <v>1</v>
      </c>
      <c r="V685" s="92">
        <v>40</v>
      </c>
      <c r="W685" s="69">
        <f>F685*V685</f>
        <v>40</v>
      </c>
      <c r="X685" s="69">
        <v>4</v>
      </c>
      <c r="Y685" s="87">
        <f>AV684</f>
        <v>315360000</v>
      </c>
      <c r="Z685" s="92" t="s">
        <v>329</v>
      </c>
      <c r="AA685" s="69">
        <f>40*365*24*60*60</f>
        <v>1261440000</v>
      </c>
      <c r="AB685" s="69" t="str">
        <f>IF(AA685&lt;60,"1",IF(AA685&lt;=43200,"2",IF(AA685&lt;=777600,"3","4")))</f>
        <v>4</v>
      </c>
      <c r="AC685" s="72">
        <f>AVERAGE(AV684:DA684)</f>
        <v>788400000</v>
      </c>
      <c r="AD685" s="69" t="str">
        <f>IF(AC685&lt;60,"1",IF(AC685&lt;=43200,"2",IF(AC685&lt;=777600,"3","4")))</f>
        <v>4</v>
      </c>
      <c r="AE685" s="87">
        <f>AA685-Y685</f>
        <v>946080000</v>
      </c>
      <c r="AF685" s="88">
        <f>AV685</f>
        <v>0.70175438596491235</v>
      </c>
      <c r="AG685" s="72">
        <f>((AW685-AV685)+(AX685-AW685)+(AY685-AX685))/3</f>
        <v>-3.3114915803565147E-2</v>
      </c>
      <c r="AH685" s="4"/>
      <c r="AI685" s="72">
        <f>RSQ(AV685:AY685,AV684:AY684)</f>
        <v>4.3668366731778189E-3</v>
      </c>
      <c r="AJ685" s="110">
        <f>SLOPE(AV685:AY685,AV684:AY684)</f>
        <v>3.041132410810109E-11</v>
      </c>
      <c r="AK685" s="72">
        <f>INTERCEPT(AV685:AY685,AV684:AY684)</f>
        <v>0.70357986971810682</v>
      </c>
      <c r="AL685" s="72">
        <f>INDEX(LINEST(LN(AV685:AY685),LN(AV684:AY684),TRUE,TRUE),3,1)</f>
        <v>5.653602526222338E-3</v>
      </c>
      <c r="AM685" s="72">
        <f>INDEX(LINEST(LN(AV685:AY685),LN(AV684:AY684)),1)</f>
        <v>2.9727723158478062E-2</v>
      </c>
      <c r="AN685" s="72">
        <f>EXP(INDEX(LINEST(LN(AV685:AY685),LN(AV684:AY684)),1,2))</f>
        <v>0.38836534667018008</v>
      </c>
      <c r="AO685" s="89">
        <f>INDEX(LINEST((AV685:AY685),LN(AV684:AY684),TRUE,TRUE),3,1)</f>
        <v>1.516042416930307E-2</v>
      </c>
      <c r="AP685" s="89">
        <f>INDEX(LINEST((AV685:AY685),LN(AV684:AY684)),1)</f>
        <v>3.8374518421542277E-2</v>
      </c>
      <c r="AQ685" s="90">
        <f>INDEX(LINEST(LN(AV685:AY685),SQRT(AV684:AY684),TRUE,TRUE),3,1)</f>
        <v>2.865935111990348E-3</v>
      </c>
      <c r="AR685" s="117">
        <f>INDEX(LINEST(LN(AV685:AY685),SQRT((AV684:AY684))),1)</f>
        <v>1.6645733329349725E-6</v>
      </c>
      <c r="AS685" s="91">
        <f>INDEX(LINEST(1/(AV685:AY685),1/(SQRT(AV684:AY684)),TRUE,TRUE),3,1)</f>
        <v>1.134243061882383E-3</v>
      </c>
      <c r="AT685" s="91">
        <f>INDEX(LINEST(1/(AV685:AY685),1/SQRT(AV684:AY684)),1)</f>
        <v>840.1057494328453</v>
      </c>
      <c r="AU685" s="3"/>
      <c r="AV685" s="95">
        <v>0.70175438596491235</v>
      </c>
      <c r="AW685" s="95">
        <v>0.60606060606060608</v>
      </c>
      <c r="AX685" s="95">
        <v>1</v>
      </c>
      <c r="AY685" s="95">
        <v>0.60240963855421692</v>
      </c>
      <c r="AZ685" s="73"/>
      <c r="BA685" s="73"/>
      <c r="BB685" s="73"/>
      <c r="BC685" s="73"/>
      <c r="BD685" s="53"/>
      <c r="BE685" s="53"/>
      <c r="BF685" s="53"/>
      <c r="BG685" s="53"/>
      <c r="BH685" s="53"/>
      <c r="BI685" s="53"/>
      <c r="BJ685" s="53"/>
      <c r="BK685" s="53"/>
      <c r="BL685" s="53"/>
      <c r="BM685" s="53"/>
      <c r="BN685" s="53"/>
      <c r="BO685" s="53"/>
      <c r="BP685" s="53"/>
      <c r="BQ685" s="53"/>
      <c r="BR685" s="53"/>
      <c r="BS685" s="53"/>
      <c r="BT685" s="53"/>
      <c r="BU685" s="53"/>
      <c r="BV685" s="53"/>
      <c r="BW685" s="53"/>
      <c r="BX685" s="53"/>
      <c r="BY685" s="53"/>
      <c r="BZ685" s="53"/>
      <c r="CA685" s="53"/>
      <c r="CB685" s="53"/>
      <c r="CC685" s="53"/>
      <c r="CD685" s="53"/>
      <c r="CE685" s="53"/>
      <c r="CF685" s="53"/>
      <c r="CG685" s="53"/>
      <c r="CH685" s="53"/>
      <c r="CI685" s="53"/>
      <c r="CJ685" s="53"/>
      <c r="CK685" s="53"/>
      <c r="CL685" s="53"/>
      <c r="CM685" s="53"/>
      <c r="CN685" s="53"/>
      <c r="CO685" s="53"/>
      <c r="CP685" s="53"/>
      <c r="CQ685" s="53"/>
      <c r="CR685" s="1"/>
      <c r="CS685" s="1"/>
      <c r="CT685" s="1"/>
      <c r="CU685" s="1"/>
    </row>
    <row r="686" spans="1:99" s="13" customFormat="1" ht="12" customHeight="1" x14ac:dyDescent="0.2">
      <c r="A686" s="68">
        <v>43897</v>
      </c>
      <c r="B686" s="67"/>
      <c r="C686" s="70"/>
      <c r="D686" s="69"/>
      <c r="E686" s="87"/>
      <c r="F686" s="69"/>
      <c r="G686" s="69"/>
      <c r="H686" s="69"/>
      <c r="I686" s="69"/>
      <c r="J686" s="69"/>
      <c r="K686" s="107"/>
      <c r="L686" s="107"/>
      <c r="M686" s="69"/>
      <c r="N686" s="86"/>
      <c r="O686" s="69"/>
      <c r="P686" s="69"/>
      <c r="Q686" s="69"/>
      <c r="R686" s="69"/>
      <c r="S686" s="69"/>
      <c r="T686" s="69"/>
      <c r="U686" s="60"/>
      <c r="V686" s="69"/>
      <c r="W686" s="69"/>
      <c r="X686" s="69"/>
      <c r="Y686" s="87"/>
      <c r="Z686" s="69"/>
      <c r="AA686" s="69"/>
      <c r="AB686" s="69"/>
      <c r="AC686" s="72"/>
      <c r="AD686" s="69"/>
      <c r="AE686" s="69"/>
      <c r="AF686" s="88"/>
      <c r="AG686" s="72"/>
      <c r="AH686" s="4"/>
      <c r="AI686" s="72"/>
      <c r="AJ686" s="110"/>
      <c r="AK686" s="72"/>
      <c r="AL686" s="72"/>
      <c r="AM686" s="72"/>
      <c r="AN686" s="72"/>
      <c r="AO686" s="89"/>
      <c r="AP686" s="89"/>
      <c r="AQ686" s="90"/>
      <c r="AR686" s="117"/>
      <c r="AS686" s="91"/>
      <c r="AT686" s="91"/>
      <c r="AU686" s="3"/>
      <c r="AV686" s="71">
        <v>315360000</v>
      </c>
      <c r="AW686" s="71">
        <v>630720000</v>
      </c>
      <c r="AX686" s="71">
        <v>946080000</v>
      </c>
      <c r="AY686" s="71">
        <v>1261440000</v>
      </c>
      <c r="AZ686" s="73"/>
      <c r="BA686" s="73"/>
      <c r="BB686" s="73"/>
      <c r="BC686" s="73"/>
      <c r="BD686" s="53"/>
      <c r="BE686" s="53"/>
      <c r="BF686" s="53"/>
      <c r="BG686" s="53"/>
      <c r="BH686" s="53"/>
      <c r="BI686" s="53"/>
      <c r="BJ686" s="53"/>
      <c r="BK686" s="53"/>
      <c r="BL686" s="53"/>
      <c r="BM686" s="53"/>
      <c r="BN686" s="53"/>
      <c r="BO686" s="53"/>
      <c r="BP686" s="53"/>
      <c r="BQ686" s="53"/>
      <c r="BR686" s="53"/>
      <c r="BS686" s="53"/>
      <c r="BT686" s="53"/>
      <c r="BU686" s="53"/>
      <c r="BV686" s="53"/>
      <c r="BW686" s="53"/>
      <c r="BX686" s="53"/>
      <c r="BY686" s="53"/>
      <c r="BZ686" s="53"/>
      <c r="CA686" s="53"/>
      <c r="CB686" s="53"/>
      <c r="CC686" s="53"/>
      <c r="CD686" s="53"/>
      <c r="CE686" s="53"/>
      <c r="CF686" s="53"/>
      <c r="CG686" s="53"/>
      <c r="CH686" s="53"/>
      <c r="CI686" s="53"/>
      <c r="CJ686" s="53"/>
      <c r="CK686" s="53"/>
      <c r="CL686" s="53"/>
      <c r="CM686" s="53"/>
      <c r="CN686" s="53"/>
      <c r="CO686" s="53"/>
      <c r="CP686" s="53"/>
      <c r="CQ686" s="53"/>
      <c r="CR686" s="1"/>
      <c r="CS686" s="1"/>
      <c r="CT686" s="1"/>
      <c r="CU686" s="1"/>
    </row>
    <row r="687" spans="1:99" s="13" customFormat="1" ht="12" customHeight="1" x14ac:dyDescent="0.2">
      <c r="A687" s="68">
        <v>43897</v>
      </c>
      <c r="B687" s="67" t="s">
        <v>415</v>
      </c>
      <c r="C687" s="67" t="s">
        <v>416</v>
      </c>
      <c r="D687" s="86">
        <v>1999</v>
      </c>
      <c r="E687" s="87">
        <v>1</v>
      </c>
      <c r="F687" s="69">
        <v>1</v>
      </c>
      <c r="G687" s="69">
        <v>1</v>
      </c>
      <c r="H687" s="69" t="s">
        <v>50</v>
      </c>
      <c r="I687" s="69" t="s">
        <v>330</v>
      </c>
      <c r="J687" s="69" t="s">
        <v>376</v>
      </c>
      <c r="K687" s="69">
        <f>IF(J687="syllables",1,IF(J687="trigrams",2,IF(J687="strings",3,IF(J687="visual array",4,IF(J687="characters",5,IF(J687="letters",6,IF(J687="free forms",7,IF(J687="odors",8,IF(J687="words",9,IF(J687="pictures",10,IF(J687="object pictures",11,IF(J687="faces",12,IF(J687="names",13,IF(J687="idioms",14,IF(J687="grades",15,IF(J687="syllable-digit pairs",16,IF(J687="trigram-word pairs",17,IF(J687="word-digit pairs",18,IF(J687="English-Swahili pairs",19,IF(J687="spatial position",20,IF(J687="word pairs",21,IF(J687="word triads",22,IF(J687="generated words",23,IF(J687="word definition pairs",24,IF(J687="math problems",25,IF(J687="famous faces",26,IF(J687="famous names",27,IF(J687="famous voices",28,IF(J687="television programs",29,IF(J687="race horses",30,IF(J687="new vocabulary",31,IF(J687="sentences",32,IF(J687="concepts",33,IF(J687="ad slides",34,IF(J687="scenes",35,IF(J687="famous scenes",36,IF(J687="poems",37,IF(J687="walk",38,IF(J687="faces and events",39,IF(J687="events and names",40,IF(J687="flashbulb",41,IF(J687="stories",42,IF(J687="course material",43,IF(J687="autobiographical",44,IF(J687="novels",45,IF(J687="public events",46,"99"))))))))))))))))))))))))))))))))))))))))))))))</f>
        <v>29</v>
      </c>
      <c r="L687" s="69">
        <f>IF(J687="syllables",1,IF(J687="trigrams",1,IF(J687="strings",1,IF(J687="visual array",1,IF(J687="characters",1,IF(J687="letters",1,IF(J687="free forms",1,IF(J687="odors",2,IF(J687="words",2,IF(J687="pictures",2,IF(J687="object pictures",2,IF(J687="faces",2,IF(J687="names",2,IF(J687="idioms","2",IF(J687="grades",2,IF(J687="syllable-digit pairs",3,IF(J687="trigram-word pairs",3,IF(J687="word-digit pairs",3,IF(J687="English-Swahili pairs",3,IF(J687="spatial position",3,IF(J687="word pairs",4,IF(J687="word triads",4,IF(J687="generated words",4,IF(J687="word definition pairs",4,IF(J687="math problems",4,IF(J687="famous faces",4,IF(J687="famous names",4,IF(J687="famous voices",4,IF(J687="television programs",4,IF(J687="race horses",4,IF(J687="new vocabulary",4,IF(J687="sentences",5,IF(J687="concepts",5,IF(J687="ad slides",5,IF(J687="scenes",5,IF(J687="famous scenes",5,IF(J687="poems",6,IF(J687="walk",6,IF(J687="faces and events",6,IF(J687="events and names",6,IF(J687="flashbulb",7,IF(J687="stories",7,IF(J687="course material",7,IF(J687="autobiographical",7,IF(J687="novels",7,IF(J687="public events",7,"99"))))))))))))))))))))))))))))))))))))))))))))))</f>
        <v>4</v>
      </c>
      <c r="M687" s="69">
        <v>1</v>
      </c>
      <c r="N687" s="86">
        <v>2</v>
      </c>
      <c r="O687" s="69">
        <v>0</v>
      </c>
      <c r="P687" s="69"/>
      <c r="Q687" s="69" t="s">
        <v>34</v>
      </c>
      <c r="R687" s="69">
        <f>IF(Q687="Free Recall",1,IF(Q687="Cued Recall",2,IF(Q687="Recognition",3,IF(Q687="Multiple Choice",4,IF(Q687="Savings",5,IF(Q687="Stem Completion",6,IF(Q687="Fragment Completion",7,IF(Q687="anagram solution",8,IF(Q687="Matching",9,IF(Q687="Problem Solving",10,"99"))))))))))</f>
        <v>3</v>
      </c>
      <c r="S687" s="69" t="s">
        <v>15</v>
      </c>
      <c r="T687" s="92" t="s">
        <v>581</v>
      </c>
      <c r="U687" s="60">
        <f>IF(T687="within",1,0)</f>
        <v>1</v>
      </c>
      <c r="V687" s="92">
        <v>40</v>
      </c>
      <c r="W687" s="69">
        <f>F687*V687</f>
        <v>40</v>
      </c>
      <c r="X687" s="69">
        <v>4</v>
      </c>
      <c r="Y687" s="87">
        <f>AV686</f>
        <v>315360000</v>
      </c>
      <c r="Z687" s="92" t="s">
        <v>329</v>
      </c>
      <c r="AA687" s="69">
        <f>40*365*24*60*60</f>
        <v>1261440000</v>
      </c>
      <c r="AB687" s="69" t="str">
        <f>IF(AA687&lt;60,"1",IF(AA687&lt;=43200,"2",IF(AA687&lt;=777600,"3","4")))</f>
        <v>4</v>
      </c>
      <c r="AC687" s="72">
        <f>AVERAGE(AV686:DA686)</f>
        <v>788400000</v>
      </c>
      <c r="AD687" s="69" t="str">
        <f>IF(AC687&lt;60,"1",IF(AC687&lt;=43200,"2",IF(AC687&lt;=777600,"3","4")))</f>
        <v>4</v>
      </c>
      <c r="AE687" s="87">
        <f>AA687-Y687</f>
        <v>946080000</v>
      </c>
      <c r="AF687" s="88">
        <f>AV687</f>
        <v>1</v>
      </c>
      <c r="AG687" s="72">
        <f>((AW687-AV687)+(AX687-AW687)+(AY687-AX687))/3</f>
        <v>-6.6666666666666652E-2</v>
      </c>
      <c r="AH687" s="4"/>
      <c r="AI687" s="72">
        <f>RSQ(AV687:AY687,AV686:AY686)</f>
        <v>0.59999999999999987</v>
      </c>
      <c r="AJ687" s="110">
        <f>SLOPE(AV687:AY687,AV686:AY686)</f>
        <v>-1.9025875190258746E-10</v>
      </c>
      <c r="AK687" s="72">
        <f>INTERCEPT(AV687:AY687,AV686:AY686)</f>
        <v>1.0999999999999999</v>
      </c>
      <c r="AL687" s="72">
        <f>INDEX(LINEST(LN(AV687:AY687),LN(AV686:AY686),TRUE,TRUE),3,1)</f>
        <v>0.43067357489469127</v>
      </c>
      <c r="AM687" s="72">
        <f>INDEX(LINEST(LN(AV687:AY687),LN(AV686:AY686)),1)</f>
        <v>-0.12179595993905411</v>
      </c>
      <c r="AN687" s="72">
        <f>EXP(INDEX(LINEST(LN(AV687:AY687),LN(AV686:AY686)),1,2))</f>
        <v>11.295848111563116</v>
      </c>
      <c r="AO687" s="89">
        <f>INDEX(LINEST((AV687:AY687),LN(AV686:AY686),TRUE,TRUE),3,1)</f>
        <v>0.43067357489469132</v>
      </c>
      <c r="AP687" s="89">
        <f>INDEX(LINEST((AV687:AY687),LN(AV686:AY686)),1)</f>
        <v>-0.10916377302569009</v>
      </c>
      <c r="AQ687" s="90">
        <f>INDEX(LINEST(LN(AV687:AY687),SQRT(AV686:AY686),TRUE,TRUE),3,1)</f>
        <v>0.51516937772217053</v>
      </c>
      <c r="AR687" s="117">
        <f>INDEX(LINEST(LN(AV687:AY687),SQRT((AV686:AY686))),1)</f>
        <v>-1.047621817876463E-5</v>
      </c>
      <c r="AS687" s="91">
        <f>INDEX(LINEST(1/(AV687:AY687),1/(SQRT(AV686:AY686)),TRUE,TRUE),3,1)</f>
        <v>0.35358193173546443</v>
      </c>
      <c r="AT687" s="91">
        <f>INDEX(LINEST(1/(AV687:AY687),1/SQRT(AV686:AY686)),1)</f>
        <v>-6003.2366038964365</v>
      </c>
      <c r="AU687" s="3"/>
      <c r="AV687" s="95">
        <v>1</v>
      </c>
      <c r="AW687" s="95">
        <v>1</v>
      </c>
      <c r="AX687" s="95">
        <v>1</v>
      </c>
      <c r="AY687" s="95">
        <v>0.8</v>
      </c>
      <c r="AZ687" s="73"/>
      <c r="BA687" s="73"/>
      <c r="BB687" s="73"/>
      <c r="BC687" s="73"/>
      <c r="BD687" s="53"/>
      <c r="BE687" s="53"/>
      <c r="BF687" s="53"/>
      <c r="BG687" s="53"/>
      <c r="BH687" s="53"/>
      <c r="BI687" s="53"/>
      <c r="BJ687" s="53"/>
      <c r="BK687" s="53"/>
      <c r="BL687" s="53"/>
      <c r="BM687" s="53"/>
      <c r="BN687" s="53"/>
      <c r="BO687" s="53"/>
      <c r="BP687" s="53"/>
      <c r="BQ687" s="53"/>
      <c r="BR687" s="53"/>
      <c r="BS687" s="53"/>
      <c r="BT687" s="53"/>
      <c r="BU687" s="53"/>
      <c r="BV687" s="53"/>
      <c r="BW687" s="53"/>
      <c r="BX687" s="53"/>
      <c r="BY687" s="53"/>
      <c r="BZ687" s="53"/>
      <c r="CA687" s="53"/>
      <c r="CB687" s="53"/>
      <c r="CC687" s="53"/>
      <c r="CD687" s="53"/>
      <c r="CE687" s="53"/>
      <c r="CF687" s="53"/>
      <c r="CG687" s="53"/>
      <c r="CH687" s="53"/>
      <c r="CI687" s="53"/>
      <c r="CJ687" s="53"/>
      <c r="CK687" s="53"/>
      <c r="CL687" s="53"/>
      <c r="CM687" s="53"/>
      <c r="CN687" s="53"/>
      <c r="CO687" s="53"/>
      <c r="CP687" s="53"/>
      <c r="CQ687" s="53"/>
      <c r="CR687" s="1"/>
      <c r="CS687" s="1"/>
      <c r="CT687" s="1"/>
      <c r="CU687" s="1"/>
    </row>
    <row r="688" spans="1:99" ht="12" customHeight="1" x14ac:dyDescent="0.2">
      <c r="A688" s="68">
        <v>43509</v>
      </c>
      <c r="B688" s="94"/>
      <c r="C688" s="94"/>
      <c r="D688" s="92"/>
      <c r="E688" s="105"/>
      <c r="F688" s="92"/>
      <c r="G688" s="92"/>
      <c r="H688" s="92"/>
      <c r="I688" s="92"/>
      <c r="J688" s="92"/>
      <c r="K688" s="107"/>
      <c r="L688" s="107"/>
      <c r="M688" s="92"/>
      <c r="N688" s="92"/>
      <c r="O688" s="92"/>
      <c r="P688" s="92"/>
      <c r="Q688" s="92"/>
      <c r="R688" s="69"/>
      <c r="S688" s="92"/>
      <c r="T688" s="69"/>
      <c r="U688" s="60"/>
      <c r="V688" s="92"/>
      <c r="W688" s="69"/>
      <c r="X688" s="92"/>
      <c r="Y688" s="87"/>
      <c r="Z688" s="92"/>
      <c r="AA688" s="92"/>
      <c r="AB688" s="69"/>
      <c r="AC688" s="69"/>
      <c r="AD688" s="69"/>
      <c r="AE688" s="69"/>
      <c r="AF688" s="88"/>
      <c r="AG688" s="72"/>
      <c r="AH688" s="4"/>
      <c r="AI688" s="119"/>
      <c r="AJ688" s="120"/>
      <c r="AK688" s="119"/>
      <c r="AL688" s="119"/>
      <c r="AM688" s="119"/>
      <c r="AN688" s="119"/>
      <c r="AO688" s="119"/>
      <c r="AP688" s="119"/>
      <c r="AQ688" s="89"/>
      <c r="AR688" s="118"/>
      <c r="AS688" s="89"/>
      <c r="AT688" s="89"/>
      <c r="AU688" s="4"/>
      <c r="AV688" s="98">
        <f>24*3600*100</f>
        <v>8640000</v>
      </c>
      <c r="AW688" s="98">
        <f>24*3600*200</f>
        <v>17280000</v>
      </c>
      <c r="AX688" s="98">
        <f>24*3600*300</f>
        <v>25920000</v>
      </c>
      <c r="AY688" s="98">
        <f>24*3600*400</f>
        <v>34560000</v>
      </c>
      <c r="AZ688" s="98">
        <f>24*3600*500</f>
        <v>43200000</v>
      </c>
      <c r="BA688" s="98">
        <f>24*3600*600</f>
        <v>51840000</v>
      </c>
      <c r="BB688" s="98">
        <f>24*3600*700</f>
        <v>60480000</v>
      </c>
      <c r="BC688" s="98">
        <f>24*3600*800</f>
        <v>69120000</v>
      </c>
      <c r="BD688" s="98">
        <f>24*3600*900</f>
        <v>77760000</v>
      </c>
      <c r="BE688" s="11"/>
      <c r="BF688" s="11"/>
      <c r="BG688" s="11"/>
      <c r="BH688" s="11"/>
      <c r="BI688" s="11"/>
      <c r="BJ688" s="11"/>
      <c r="BK688" s="11"/>
      <c r="BL688" s="11"/>
      <c r="BM688" s="11"/>
      <c r="BN688" s="11"/>
      <c r="BO688" s="11"/>
      <c r="BP688" s="11"/>
      <c r="BQ688" s="11"/>
      <c r="BR688" s="11"/>
      <c r="BS688" s="11"/>
      <c r="BT688" s="11"/>
      <c r="BU688" s="11"/>
      <c r="BV688" s="11"/>
      <c r="BW688" s="11"/>
      <c r="BX688" s="11"/>
      <c r="BY688" s="11"/>
      <c r="BZ688" s="11"/>
      <c r="CA688" s="11"/>
      <c r="CB688" s="11"/>
      <c r="CC688" s="11"/>
      <c r="CD688" s="11"/>
      <c r="CE688" s="11"/>
      <c r="CF688" s="11"/>
      <c r="CG688" s="11"/>
      <c r="CH688" s="11"/>
      <c r="CI688" s="11"/>
      <c r="CJ688" s="11"/>
      <c r="CK688" s="11"/>
      <c r="CL688" s="11"/>
      <c r="CM688" s="11"/>
      <c r="CN688" s="11"/>
      <c r="CO688" s="11"/>
      <c r="CP688" s="11"/>
      <c r="CQ688" s="11"/>
      <c r="CR688" s="15"/>
      <c r="CS688" s="15"/>
      <c r="CT688" s="15"/>
      <c r="CU688" s="15"/>
    </row>
    <row r="689" spans="1:99" ht="12" customHeight="1" x14ac:dyDescent="0.2">
      <c r="A689" s="68">
        <v>43509</v>
      </c>
      <c r="B689" s="94" t="s">
        <v>263</v>
      </c>
      <c r="C689" s="94" t="s">
        <v>139</v>
      </c>
      <c r="D689" s="92">
        <v>1996</v>
      </c>
      <c r="E689" s="105">
        <v>1</v>
      </c>
      <c r="F689" s="92">
        <v>6</v>
      </c>
      <c r="G689" s="92">
        <v>6</v>
      </c>
      <c r="H689" s="92" t="s">
        <v>837</v>
      </c>
      <c r="I689" s="92" t="s">
        <v>719</v>
      </c>
      <c r="J689" s="92" t="s">
        <v>622</v>
      </c>
      <c r="K689" s="69">
        <f>IF(J689="syllables",1,IF(J689="trigrams",2,IF(J689="strings",3,IF(J689="visual array",4,IF(J689="characters",5,IF(J689="letters",6,IF(J689="free forms",7,IF(J689="odors",8,IF(J689="words",9,IF(J689="pictures",10,IF(J689="object pictures",11,IF(J689="faces",12,IF(J689="names",13,IF(J689="idioms",14,IF(J689="grades",15,IF(J689="syllable-digit pairs",16,IF(J689="trigram-word pairs",17,IF(J689="word-digit pairs",18,IF(J689="English-Swahili pairs",19,IF(J689="spatial position",20,IF(J689="word pairs",21,IF(J689="word triads",22,IF(J689="generated words",23,IF(J689="word definition pairs",24,IF(J689="math problems",25,IF(J689="famous faces",26,IF(J689="famous names",27,IF(J689="famous voices",28,IF(J689="television programs",29,IF(J689="race horses",30,IF(J689="new vocabulary",31,IF(J689="sentences",32,IF(J689="concepts",33,IF(J689="ad slides",34,IF(J689="scenes",35,IF(J689="famous scenes",36,IF(J689="poems",37,IF(J689="walk",38,IF(J689="faces and events",39,IF(J689="events and names",40,IF(J689="flashbulb",41,IF(J689="stories",42,IF(J689="course material",43,IF(J689="autobiographical",44,IF(J689="novels",45,IF(J689="public events",46,"99"))))))))))))))))))))))))))))))))))))))))))))))</f>
        <v>44</v>
      </c>
      <c r="L689" s="69">
        <f>IF(J689="syllables",1,IF(J689="trigrams",1,IF(J689="strings",1,IF(J689="visual array",1,IF(J689="characters",1,IF(J689="letters",1,IF(J689="free forms",1,IF(J689="odors",2,IF(J689="words",2,IF(J689="pictures",2,IF(J689="object pictures",2,IF(J689="faces",2,IF(J689="names",2,IF(J689="idioms","2",IF(J689="grades",2,IF(J689="syllable-digit pairs",3,IF(J689="trigram-word pairs",3,IF(J689="word-digit pairs",3,IF(J689="English-Swahili pairs",3,IF(J689="spatial position",3,IF(J689="word pairs",4,IF(J689="word triads",4,IF(J689="generated words",4,IF(J689="word definition pairs",4,IF(J689="math problems",4,IF(J689="famous faces",4,IF(J689="famous names",4,IF(J689="famous voices",4,IF(J689="television programs",4,IF(J689="race horses",4,IF(J689="new vocabulary",4,IF(J689="sentences",5,IF(J689="concepts",5,IF(J689="ad slides",5,IF(J689="scenes",5,IF(J689="famous scenes",5,IF(J689="poems",6,IF(J689="walk",6,IF(J689="faces and events",6,IF(J689="events and names",6,IF(J689="flashbulb",7,IF(J689="stories",7,IF(J689="course material",7,IF(J689="autobiographical",7,IF(J689="novels",7,IF(J689="public events",7,"99"))))))))))))))))))))))))))))))))))))))))))))))</f>
        <v>7</v>
      </c>
      <c r="M689" s="92">
        <v>0</v>
      </c>
      <c r="N689" s="92">
        <v>3</v>
      </c>
      <c r="O689" s="92">
        <v>0</v>
      </c>
      <c r="P689" s="92"/>
      <c r="Q689" s="92" t="s">
        <v>174</v>
      </c>
      <c r="R689" s="69">
        <f>IF(Q689="Free Recall",1,IF(Q689="Cued Recall",2,IF(Q689="Recognition",3,IF(Q689="Multiple Choice",4,IF(Q689="Savings",5,IF(Q689="Stem Completion",6,IF(Q689="Fragment Completion",7,IF(Q689="anagram solution",8,IF(Q689="Matching",9,IF(Q689="Problem Solving",10,"99"))))))))))</f>
        <v>1</v>
      </c>
      <c r="S689" s="69" t="s">
        <v>49</v>
      </c>
      <c r="T689" s="92" t="s">
        <v>581</v>
      </c>
      <c r="U689" s="60">
        <f>IF(T689="within",1,0)</f>
        <v>1</v>
      </c>
      <c r="V689" s="92">
        <v>800</v>
      </c>
      <c r="W689" s="69">
        <f>F689*V689</f>
        <v>4800</v>
      </c>
      <c r="X689" s="92">
        <v>9</v>
      </c>
      <c r="Y689" s="87">
        <f>AV688</f>
        <v>8640000</v>
      </c>
      <c r="Z689" s="92" t="s">
        <v>264</v>
      </c>
      <c r="AA689" s="92">
        <f>24*3600*900</f>
        <v>77760000</v>
      </c>
      <c r="AB689" s="69" t="str">
        <f>IF(AA689&lt;60,"1",IF(AA689&lt;=43200,"2",IF(AA689&lt;=777600,"3","4")))</f>
        <v>4</v>
      </c>
      <c r="AC689" s="72">
        <f>AVERAGE(AV688:DA688)</f>
        <v>43200000</v>
      </c>
      <c r="AD689" s="69" t="str">
        <f>IF(AC689&lt;60,"1",IF(AC689&lt;=43200,"2",IF(AC689&lt;=777600,"3","4")))</f>
        <v>4</v>
      </c>
      <c r="AE689" s="87">
        <f>AA689-Y689</f>
        <v>69120000</v>
      </c>
      <c r="AF689" s="88">
        <f>AV689</f>
        <v>0.89</v>
      </c>
      <c r="AG689" s="72">
        <f>((AW689-AV689)+(AX689-AW689)+(AY689-AX689)+(AZ689-AY689)+(BA689-AZ689)+(BB689-BA689)+(BC689-BB689)+(BD689-BC689))/8</f>
        <v>-2.1250000000000005E-2</v>
      </c>
      <c r="AH689" s="4"/>
      <c r="AI689" s="72">
        <f>RSQ(AV689:BD689,AV688:BD688)</f>
        <v>0.93815136476426819</v>
      </c>
      <c r="AJ689" s="110">
        <f>SLOPE(AV689:BD689,AV688:BD688)</f>
        <v>-2.7391975308641979E-9</v>
      </c>
      <c r="AK689" s="72">
        <f>INTERCEPT(AV689:BD689,AV688:BD688)</f>
        <v>0.93277777777777771</v>
      </c>
      <c r="AL689" s="72">
        <f>INDEX(LINEST(LN(AV689:BD689),LN(AV688:BD688),TRUE,TRUE),3,1)</f>
        <v>0.7939709930816673</v>
      </c>
      <c r="AM689" s="72">
        <f>INDEX(LINEST(LN(AV689:BD689),LN(AV688:BD688)),1)</f>
        <v>-0.10246600971556949</v>
      </c>
      <c r="AN689" s="72">
        <f>EXP(INDEX(LINEST(LN(AV689:BD689),LN(AV688:BD688)),1,2))</f>
        <v>4.8261679281908272</v>
      </c>
      <c r="AO689" s="89">
        <f>INDEX(LINEST((AV689:BD689),LN(AV688:BD688),TRUE,TRUE),3,1)</f>
        <v>0.80567729138487965</v>
      </c>
      <c r="AP689" s="89">
        <f>INDEX(LINEST((AV689:BD689),LN(AV688:BD688)),1)</f>
        <v>-8.3507350996017651E-2</v>
      </c>
      <c r="AQ689" s="90">
        <f>INDEX(LINEST(LN(AV689:BD689),SQRT(AV688:BD688),TRUE,TRUE),3,1)</f>
        <v>0.88948878152732236</v>
      </c>
      <c r="AR689" s="117">
        <f>INDEX(LINEST(LN(AV689:BD689),SQRT((AV688:BD688))),1)</f>
        <v>-3.9635890701677218E-5</v>
      </c>
      <c r="AS689" s="91">
        <f>INDEX(LINEST(1/(AV689:BD689),1/(SQRT(AV688:BD688)),TRUE,TRUE),3,1)</f>
        <v>0.64854430843874911</v>
      </c>
      <c r="AT689" s="91">
        <f>INDEX(LINEST(1/(AV689:BD689),1/SQRT(AV688:BD688)),1)</f>
        <v>-1131.0444085441879</v>
      </c>
      <c r="AU689" s="3"/>
      <c r="AV689" s="97">
        <v>0.89</v>
      </c>
      <c r="AW689" s="97">
        <v>0.91</v>
      </c>
      <c r="AX689" s="97">
        <v>0.85</v>
      </c>
      <c r="AY689" s="97">
        <v>0.83</v>
      </c>
      <c r="AZ689" s="121">
        <v>0.84</v>
      </c>
      <c r="BA689" s="97">
        <v>0.8</v>
      </c>
      <c r="BB689" s="97">
        <v>0.75</v>
      </c>
      <c r="BC689" s="97">
        <v>0.74</v>
      </c>
      <c r="BD689" s="97">
        <v>0.72</v>
      </c>
      <c r="BE689" s="11"/>
      <c r="BF689" s="11"/>
      <c r="BG689" s="11"/>
      <c r="BH689" s="11"/>
      <c r="BI689" s="11"/>
      <c r="BJ689" s="11"/>
      <c r="BK689" s="11"/>
      <c r="BL689" s="11"/>
      <c r="BM689" s="11"/>
      <c r="BN689" s="11"/>
      <c r="BO689" s="11"/>
      <c r="BP689" s="11"/>
      <c r="BQ689" s="11"/>
      <c r="BR689" s="11"/>
      <c r="BS689" s="11"/>
      <c r="BT689" s="11"/>
      <c r="BU689" s="11"/>
      <c r="BV689" s="11"/>
      <c r="BW689" s="11"/>
      <c r="BX689" s="11"/>
      <c r="BY689" s="11"/>
      <c r="BZ689" s="11"/>
      <c r="CA689" s="11"/>
      <c r="CB689" s="11"/>
      <c r="CC689" s="11"/>
      <c r="CD689" s="11"/>
      <c r="CE689" s="11"/>
      <c r="CF689" s="11"/>
      <c r="CG689" s="11"/>
      <c r="CH689" s="11"/>
      <c r="CI689" s="11"/>
      <c r="CJ689" s="11"/>
      <c r="CK689" s="11"/>
      <c r="CL689" s="11"/>
      <c r="CM689" s="11"/>
      <c r="CN689" s="11"/>
      <c r="CO689" s="11"/>
      <c r="CP689" s="11"/>
      <c r="CQ689" s="11"/>
      <c r="CR689" s="15"/>
      <c r="CS689" s="15"/>
      <c r="CT689" s="15"/>
      <c r="CU689" s="15"/>
    </row>
    <row r="690" spans="1:99" ht="12" customHeight="1" x14ac:dyDescent="0.2">
      <c r="A690" s="68">
        <v>43509</v>
      </c>
      <c r="B690" s="94"/>
      <c r="C690" s="94"/>
      <c r="D690" s="92"/>
      <c r="E690" s="105"/>
      <c r="F690" s="92"/>
      <c r="G690" s="92"/>
      <c r="H690" s="92"/>
      <c r="I690" s="92"/>
      <c r="J690" s="92"/>
      <c r="K690" s="107"/>
      <c r="L690" s="107"/>
      <c r="M690" s="92"/>
      <c r="N690" s="92"/>
      <c r="O690" s="92"/>
      <c r="P690" s="92"/>
      <c r="Q690" s="92"/>
      <c r="R690" s="69"/>
      <c r="S690" s="69"/>
      <c r="T690" s="69"/>
      <c r="U690" s="60"/>
      <c r="V690" s="92"/>
      <c r="W690" s="69"/>
      <c r="X690" s="92"/>
      <c r="Y690" s="87"/>
      <c r="Z690" s="92"/>
      <c r="AA690" s="92"/>
      <c r="AB690" s="69"/>
      <c r="AC690" s="69"/>
      <c r="AD690" s="69"/>
      <c r="AE690" s="69"/>
      <c r="AF690" s="88"/>
      <c r="AG690" s="72"/>
      <c r="AH690" s="4"/>
      <c r="AI690" s="119"/>
      <c r="AJ690" s="120"/>
      <c r="AK690" s="119"/>
      <c r="AL690" s="119"/>
      <c r="AM690" s="119"/>
      <c r="AN690" s="119"/>
      <c r="AO690" s="119"/>
      <c r="AP690" s="119"/>
      <c r="AQ690" s="89"/>
      <c r="AR690" s="118"/>
      <c r="AS690" s="89"/>
      <c r="AT690" s="89"/>
      <c r="AU690" s="4"/>
      <c r="AV690" s="98">
        <f>24*3600*100</f>
        <v>8640000</v>
      </c>
      <c r="AW690" s="98">
        <f>24*3600*200</f>
        <v>17280000</v>
      </c>
      <c r="AX690" s="98">
        <f>24*3600*300</f>
        <v>25920000</v>
      </c>
      <c r="AY690" s="98">
        <f>24*3600*400</f>
        <v>34560000</v>
      </c>
      <c r="AZ690" s="98">
        <f>24*3600*500</f>
        <v>43200000</v>
      </c>
      <c r="BA690" s="98">
        <f>24*3600*600</f>
        <v>51840000</v>
      </c>
      <c r="BB690" s="98">
        <f>24*3600*700</f>
        <v>60480000</v>
      </c>
      <c r="BC690" s="98">
        <f>24*3600*800</f>
        <v>69120000</v>
      </c>
      <c r="BD690" s="98">
        <f>24*3600*900</f>
        <v>77760000</v>
      </c>
      <c r="BE690" s="11"/>
      <c r="BF690" s="11"/>
      <c r="BG690" s="11"/>
      <c r="BH690" s="11"/>
      <c r="BI690" s="11"/>
      <c r="BJ690" s="11"/>
      <c r="BK690" s="11"/>
      <c r="BL690" s="11"/>
      <c r="BM690" s="11"/>
      <c r="BN690" s="11"/>
      <c r="BO690" s="11"/>
      <c r="BP690" s="11"/>
      <c r="BQ690" s="11"/>
      <c r="BR690" s="11"/>
      <c r="BS690" s="11"/>
      <c r="BT690" s="11"/>
      <c r="BU690" s="11"/>
      <c r="BV690" s="11"/>
      <c r="BW690" s="11"/>
      <c r="BX690" s="11"/>
      <c r="BY690" s="11"/>
      <c r="BZ690" s="11"/>
      <c r="CA690" s="11"/>
      <c r="CB690" s="11"/>
      <c r="CC690" s="11"/>
      <c r="CD690" s="11"/>
      <c r="CE690" s="11"/>
      <c r="CF690" s="11"/>
      <c r="CG690" s="11"/>
      <c r="CH690" s="11"/>
      <c r="CI690" s="11"/>
      <c r="CJ690" s="11"/>
      <c r="CK690" s="11"/>
      <c r="CL690" s="11"/>
      <c r="CM690" s="11"/>
      <c r="CN690" s="11"/>
      <c r="CO690" s="11"/>
      <c r="CP690" s="11"/>
      <c r="CQ690" s="11"/>
      <c r="CR690" s="15"/>
      <c r="CS690" s="15"/>
      <c r="CT690" s="15"/>
      <c r="CU690" s="15"/>
    </row>
    <row r="691" spans="1:99" ht="12" customHeight="1" x14ac:dyDescent="0.2">
      <c r="A691" s="68">
        <v>43509</v>
      </c>
      <c r="B691" s="94" t="s">
        <v>263</v>
      </c>
      <c r="C691" s="94" t="s">
        <v>139</v>
      </c>
      <c r="D691" s="92">
        <v>1996</v>
      </c>
      <c r="E691" s="105">
        <v>1</v>
      </c>
      <c r="F691" s="92">
        <v>6</v>
      </c>
      <c r="G691" s="92">
        <v>6</v>
      </c>
      <c r="H691" s="92" t="s">
        <v>837</v>
      </c>
      <c r="I691" s="92" t="s">
        <v>720</v>
      </c>
      <c r="J691" s="92" t="s">
        <v>622</v>
      </c>
      <c r="K691" s="69">
        <f>IF(J691="syllables",1,IF(J691="trigrams",2,IF(J691="strings",3,IF(J691="visual array",4,IF(J691="characters",5,IF(J691="letters",6,IF(J691="free forms",7,IF(J691="odors",8,IF(J691="words",9,IF(J691="pictures",10,IF(J691="object pictures",11,IF(J691="faces",12,IF(J691="names",13,IF(J691="idioms",14,IF(J691="grades",15,IF(J691="syllable-digit pairs",16,IF(J691="trigram-word pairs",17,IF(J691="word-digit pairs",18,IF(J691="English-Swahili pairs",19,IF(J691="spatial position",20,IF(J691="word pairs",21,IF(J691="word triads",22,IF(J691="generated words",23,IF(J691="word definition pairs",24,IF(J691="math problems",25,IF(J691="famous faces",26,IF(J691="famous names",27,IF(J691="famous voices",28,IF(J691="television programs",29,IF(J691="race horses",30,IF(J691="new vocabulary",31,IF(J691="sentences",32,IF(J691="concepts",33,IF(J691="ad slides",34,IF(J691="scenes",35,IF(J691="famous scenes",36,IF(J691="poems",37,IF(J691="walk",38,IF(J691="faces and events",39,IF(J691="events and names",40,IF(J691="flashbulb",41,IF(J691="stories",42,IF(J691="course material",43,IF(J691="autobiographical",44,IF(J691="novels",45,IF(J691="public events",46,"99"))))))))))))))))))))))))))))))))))))))))))))))</f>
        <v>44</v>
      </c>
      <c r="L691" s="69">
        <f>IF(J691="syllables",1,IF(J691="trigrams",1,IF(J691="strings",1,IF(J691="visual array",1,IF(J691="characters",1,IF(J691="letters",1,IF(J691="free forms",1,IF(J691="odors",2,IF(J691="words",2,IF(J691="pictures",2,IF(J691="object pictures",2,IF(J691="faces",2,IF(J691="names",2,IF(J691="idioms","2",IF(J691="grades",2,IF(J691="syllable-digit pairs",3,IF(J691="trigram-word pairs",3,IF(J691="word-digit pairs",3,IF(J691="English-Swahili pairs",3,IF(J691="spatial position",3,IF(J691="word pairs",4,IF(J691="word triads",4,IF(J691="generated words",4,IF(J691="word definition pairs",4,IF(J691="math problems",4,IF(J691="famous faces",4,IF(J691="famous names",4,IF(J691="famous voices",4,IF(J691="television programs",4,IF(J691="race horses",4,IF(J691="new vocabulary",4,IF(J691="sentences",5,IF(J691="concepts",5,IF(J691="ad slides",5,IF(J691="scenes",5,IF(J691="famous scenes",5,IF(J691="poems",6,IF(J691="walk",6,IF(J691="faces and events",6,IF(J691="events and names",6,IF(J691="flashbulb",7,IF(J691="stories",7,IF(J691="course material",7,IF(J691="autobiographical",7,IF(J691="novels",7,IF(J691="public events",7,"99"))))))))))))))))))))))))))))))))))))))))))))))</f>
        <v>7</v>
      </c>
      <c r="M691" s="92">
        <v>0</v>
      </c>
      <c r="N691" s="92">
        <v>3</v>
      </c>
      <c r="O691" s="92">
        <v>0</v>
      </c>
      <c r="P691" s="92"/>
      <c r="Q691" s="92" t="s">
        <v>174</v>
      </c>
      <c r="R691" s="69">
        <f>IF(Q691="Free Recall",1,IF(Q691="Cued Recall",2,IF(Q691="Recognition",3,IF(Q691="Multiple Choice",4,IF(Q691="Savings",5,IF(Q691="Stem Completion",6,IF(Q691="Fragment Completion",7,IF(Q691="anagram solution",8,IF(Q691="Matching",9,IF(Q691="Problem Solving",10,"99"))))))))))</f>
        <v>1</v>
      </c>
      <c r="S691" s="69" t="s">
        <v>49</v>
      </c>
      <c r="T691" s="92" t="s">
        <v>581</v>
      </c>
      <c r="U691" s="60">
        <f>IF(T691="within",1,0)</f>
        <v>1</v>
      </c>
      <c r="V691" s="92">
        <v>800</v>
      </c>
      <c r="W691" s="69">
        <f>F691*V691</f>
        <v>4800</v>
      </c>
      <c r="X691" s="92">
        <v>9</v>
      </c>
      <c r="Y691" s="87">
        <f>AV690</f>
        <v>8640000</v>
      </c>
      <c r="Z691" s="92" t="s">
        <v>264</v>
      </c>
      <c r="AA691" s="92">
        <f>24*3600*900</f>
        <v>77760000</v>
      </c>
      <c r="AB691" s="69" t="str">
        <f>IF(AA691&lt;60,"1",IF(AA691&lt;=43200,"2",IF(AA691&lt;=777600,"3","4")))</f>
        <v>4</v>
      </c>
      <c r="AC691" s="72">
        <f>AVERAGE(AV690:DA690)</f>
        <v>43200000</v>
      </c>
      <c r="AD691" s="69" t="str">
        <f>IF(AC691&lt;60,"1",IF(AC691&lt;=43200,"2",IF(AC691&lt;=777600,"3","4")))</f>
        <v>4</v>
      </c>
      <c r="AE691" s="87">
        <f>AA691-Y691</f>
        <v>69120000</v>
      </c>
      <c r="AF691" s="88">
        <f>AV691</f>
        <v>0.89500000000000002</v>
      </c>
      <c r="AG691" s="72">
        <f>((AW691-AV691)+(AX691-AW691)+(AY691-AX691)+(AZ691-AY691)+(BA691-AZ691)+(BB691-BA691)+(BC691-BB691)+(BD691-BC691))/8</f>
        <v>-3.9375000000000007E-2</v>
      </c>
      <c r="AH691" s="4"/>
      <c r="AI691" s="72">
        <f>RSQ(AV691:BD691,AV690:BD690)</f>
        <v>0.79097475115319249</v>
      </c>
      <c r="AJ691" s="110">
        <f>SLOPE(AV691:BD691,AV690:BD690)</f>
        <v>-3.4818672839506179E-9</v>
      </c>
      <c r="AK691" s="72">
        <f>INTERCEPT(AV691:BD691,AV690:BD690)</f>
        <v>0.94041666666666668</v>
      </c>
      <c r="AL691" s="72">
        <f>INDEX(LINEST(LN(AV691:BD691),LN(AV690:BD690),TRUE,TRUE),3,1)</f>
        <v>0.58102530099277838</v>
      </c>
      <c r="AM691" s="72">
        <f>INDEX(LINEST(LN(AV691:BD691),LN(AV690:BD690)),1)</f>
        <v>-0.13558694942411967</v>
      </c>
      <c r="AN691" s="72">
        <f>EXP(INDEX(LINEST(LN(AV691:BD691),LN(AV690:BD690)),1,2))</f>
        <v>8.296800075574291</v>
      </c>
      <c r="AO691" s="89">
        <f>INDEX(LINEST((AV691:BD691),LN(AV690:BD690),TRUE,TRUE),3,1)</f>
        <v>0.64736460223891035</v>
      </c>
      <c r="AP691" s="89">
        <f>INDEX(LINEST((AV691:BD691),LN(AV690:BD690)),1)</f>
        <v>-0.10362454319572602</v>
      </c>
      <c r="AQ691" s="90">
        <f>INDEX(LINEST(LN(AV691:BD691),SQRT(AV690:BD690),TRUE,TRUE),3,1)</f>
        <v>0.67071979274817617</v>
      </c>
      <c r="AR691" s="117">
        <f>INDEX(LINEST(LN(AV691:BD691),SQRT((AV690:BD690))),1)</f>
        <v>-5.3239235121203983E-5</v>
      </c>
      <c r="AS691" s="91">
        <f>INDEX(LINEST(1/(AV691:BD691),1/(SQRT(AV690:BD690)),TRUE,TRUE),3,1)</f>
        <v>0.41718539933984577</v>
      </c>
      <c r="AT691" s="91">
        <f>INDEX(LINEST(1/(AV691:BD691),1/SQRT(AV690:BD690)),1)</f>
        <v>-1591.4711049288962</v>
      </c>
      <c r="AU691" s="3"/>
      <c r="AV691" s="97">
        <v>0.89500000000000002</v>
      </c>
      <c r="AW691" s="97">
        <v>0.88</v>
      </c>
      <c r="AX691" s="97">
        <v>0.83</v>
      </c>
      <c r="AY691" s="97">
        <v>0.82499999999999996</v>
      </c>
      <c r="AZ691" s="97">
        <v>0.79</v>
      </c>
      <c r="BA691" s="97">
        <v>0.8</v>
      </c>
      <c r="BB691" s="97">
        <v>0.75</v>
      </c>
      <c r="BC691" s="97">
        <v>0.76</v>
      </c>
      <c r="BD691" s="97">
        <v>0.57999999999999996</v>
      </c>
      <c r="BE691" s="11"/>
      <c r="BF691" s="11"/>
      <c r="BG691" s="11"/>
      <c r="BH691" s="11"/>
      <c r="BI691" s="11"/>
      <c r="BJ691" s="11"/>
      <c r="BK691" s="11"/>
      <c r="BL691" s="11"/>
      <c r="BM691" s="11"/>
      <c r="BN691" s="11"/>
      <c r="BO691" s="11"/>
      <c r="BP691" s="11"/>
      <c r="BQ691" s="11"/>
      <c r="BR691" s="11"/>
      <c r="BS691" s="11"/>
      <c r="BT691" s="11"/>
      <c r="BU691" s="11"/>
      <c r="BV691" s="11"/>
      <c r="BW691" s="11"/>
      <c r="BX691" s="11"/>
      <c r="BY691" s="11"/>
      <c r="BZ691" s="11"/>
      <c r="CA691" s="11"/>
      <c r="CB691" s="11"/>
      <c r="CC691" s="11"/>
      <c r="CD691" s="11"/>
      <c r="CE691" s="11"/>
      <c r="CF691" s="11"/>
      <c r="CG691" s="11"/>
      <c r="CH691" s="11"/>
      <c r="CI691" s="11"/>
      <c r="CJ691" s="11"/>
      <c r="CK691" s="11"/>
      <c r="CL691" s="11"/>
      <c r="CM691" s="11"/>
      <c r="CN691" s="11"/>
      <c r="CO691" s="11"/>
      <c r="CP691" s="11"/>
      <c r="CQ691" s="11"/>
      <c r="CR691" s="15"/>
      <c r="CS691" s="15"/>
      <c r="CT691" s="15"/>
      <c r="CU691" s="15"/>
    </row>
    <row r="692" spans="1:99" ht="12" customHeight="1" x14ac:dyDescent="0.2">
      <c r="A692" s="65">
        <v>43979</v>
      </c>
      <c r="B692" s="15"/>
      <c r="C692" s="15"/>
      <c r="D692" s="59"/>
      <c r="E692" s="75"/>
      <c r="F692" s="59"/>
      <c r="G692" s="59"/>
      <c r="H692" s="59"/>
      <c r="I692" s="59"/>
      <c r="J692" s="59"/>
      <c r="K692" s="60"/>
      <c r="L692" s="60"/>
      <c r="M692" s="59"/>
      <c r="N692" s="59"/>
      <c r="O692" s="59"/>
      <c r="P692" s="59"/>
      <c r="Q692" s="59"/>
      <c r="R692" s="60"/>
      <c r="S692" s="60"/>
      <c r="T692" s="59"/>
      <c r="U692" s="60"/>
      <c r="V692" s="59"/>
      <c r="W692" s="60"/>
      <c r="X692" s="59"/>
      <c r="Y692" s="76"/>
      <c r="Z692" s="59"/>
      <c r="AA692" s="59"/>
      <c r="AB692" s="60"/>
      <c r="AC692" s="56"/>
      <c r="AD692" s="60"/>
      <c r="AE692" s="76"/>
      <c r="AF692" s="80"/>
      <c r="AG692" s="56"/>
      <c r="AH692" s="4"/>
      <c r="AI692" s="56"/>
      <c r="AJ692" s="109"/>
      <c r="AK692" s="56"/>
      <c r="AL692" s="56"/>
      <c r="AM692" s="56"/>
      <c r="AN692" s="56"/>
      <c r="AO692" s="82"/>
      <c r="AP692" s="82"/>
      <c r="AQ692" s="83"/>
      <c r="AR692" s="116"/>
      <c r="AS692" s="84"/>
      <c r="AT692" s="84"/>
      <c r="AU692" s="3"/>
      <c r="AV692" s="47">
        <f>60*60*24*15</f>
        <v>1296000</v>
      </c>
      <c r="AW692" s="47">
        <f>60*60*24*(365/2)</f>
        <v>15768000</v>
      </c>
      <c r="AX692" s="47">
        <f>60*60*24*365*9</f>
        <v>283824000</v>
      </c>
      <c r="AY692" s="47">
        <f>60*60*24*365*12</f>
        <v>378432000</v>
      </c>
      <c r="AZ692" s="47">
        <f>60*60*24*365*22</f>
        <v>693792000</v>
      </c>
      <c r="BA692" s="11"/>
      <c r="BB692" s="11"/>
      <c r="BC692" s="11"/>
      <c r="BD692" s="11"/>
      <c r="BE692" s="11"/>
      <c r="BF692" s="11"/>
      <c r="BG692" s="11"/>
      <c r="BH692" s="11"/>
      <c r="BI692" s="11"/>
      <c r="BJ692" s="11"/>
      <c r="BK692" s="11"/>
      <c r="BL692" s="11"/>
      <c r="BM692" s="11"/>
      <c r="BN692" s="11"/>
      <c r="BO692" s="11"/>
      <c r="BP692" s="11"/>
      <c r="BQ692" s="11"/>
      <c r="BR692" s="11"/>
      <c r="BS692" s="11"/>
      <c r="BT692" s="11"/>
      <c r="BU692" s="11"/>
      <c r="BV692" s="11"/>
      <c r="BW692" s="11"/>
      <c r="BX692" s="11"/>
      <c r="BY692" s="11"/>
      <c r="BZ692" s="11"/>
      <c r="CA692" s="11"/>
      <c r="CB692" s="11"/>
      <c r="CC692" s="11"/>
      <c r="CD692" s="11"/>
      <c r="CE692" s="11"/>
      <c r="CF692" s="11"/>
      <c r="CG692" s="11"/>
      <c r="CH692" s="11"/>
      <c r="CI692" s="11"/>
      <c r="CJ692" s="11"/>
      <c r="CK692" s="11"/>
      <c r="CL692" s="11"/>
      <c r="CM692" s="11"/>
      <c r="CN692" s="11"/>
      <c r="CO692" s="11"/>
      <c r="CP692" s="11"/>
      <c r="CQ692" s="11"/>
      <c r="CR692" s="15"/>
      <c r="CS692" s="15"/>
      <c r="CT692" s="15"/>
      <c r="CU692" s="15"/>
    </row>
    <row r="693" spans="1:99" ht="12" customHeight="1" x14ac:dyDescent="0.2">
      <c r="A693" s="65">
        <v>43979</v>
      </c>
      <c r="B693" s="15" t="s">
        <v>1013</v>
      </c>
      <c r="C693" s="15" t="s">
        <v>405</v>
      </c>
      <c r="D693" s="59">
        <v>2011</v>
      </c>
      <c r="E693" s="75">
        <v>1</v>
      </c>
      <c r="F693" s="59">
        <v>15</v>
      </c>
      <c r="G693" s="59">
        <v>15</v>
      </c>
      <c r="H693" s="59" t="s">
        <v>792</v>
      </c>
      <c r="I693" s="59" t="s">
        <v>330</v>
      </c>
      <c r="J693" s="59" t="s">
        <v>622</v>
      </c>
      <c r="K693" s="60">
        <f>IF(J693="syllables",1,IF(J693="trigrams",2,IF(J693="strings",3,IF(J693="visual array",4,IF(J693="characters",5,IF(J693="letters",6,IF(J693="free forms",7,IF(J693="odors",8,IF(J693="words",9,IF(J693="pictures",10,IF(J693="object pictures",11,IF(J693="faces",12,IF(J693="names",13,IF(J693="idioms",14,IF(J693="grades",15,IF(J693="syllable-digit pairs",16,IF(J693="trigram-word pairs",17,IF(J693="word-digit pairs",18,IF(J693="English-Swahili pairs",19,IF(J693="spatial position",20,IF(J693="word pairs",21,IF(J693="word triads",22,IF(J693="generated words",23,IF(J693="word definition pairs",24,IF(J693="math problems",25,IF(J693="famous faces",26,IF(J693="famous names",27,IF(J693="famous voices",28,IF(J693="television programs",29,IF(J693="race horses",30,IF(J693="new vocabulary",31,IF(J693="sentences",32,IF(J693="concepts",33,IF(J693="ad slides",34,IF(J693="scenes",35,IF(J693="famous scenes",36,IF(J693="poems",37,IF(J693="walk",38,IF(J693="faces and events",39,IF(J693="events and names",40,IF(J693="flashbulb",41,IF(J693="stories",42,IF(J693="course material",43,IF(J693="autobiographical",44,IF(J693="novels",45,IF(J693="public events",46,"99"))))))))))))))))))))))))))))))))))))))))))))))</f>
        <v>44</v>
      </c>
      <c r="L693" s="60">
        <f>IF(J693="syllables",1,IF(J693="trigrams",1,IF(J693="strings",1,IF(J693="visual array",1,IF(J693="characters",1,IF(J693="letters",1,IF(J693="free forms",1,IF(J693="odors",2,IF(J693="words",2,IF(J693="pictures",2,IF(J693="object pictures",2,IF(J693="faces",2,IF(J693="names",2,IF(J693="idioms","2",IF(J693="grades",2,IF(J693="syllable-digit pairs",3,IF(J693="trigram-word pairs",3,IF(J693="word-digit pairs",3,IF(J693="English-Swahili pairs",3,IF(J693="spatial position",3,IF(J693="word pairs",4,IF(J693="word triads",4,IF(J693="generated words",4,IF(J693="word definition pairs",4,IF(J693="math problems",4,IF(J693="famous faces",4,IF(J693="famous names",4,IF(J693="famous voices",4,IF(J693="television programs",4,IF(J693="race horses",4,IF(J693="new vocabulary",4,IF(J693="sentences",5,IF(J693="concepts",5,IF(J693="ad slides",5,IF(J693="scenes",5,IF(J693="famous scenes",5,IF(J693="poems",6,IF(J693="walk",6,IF(J693="faces and events",6,IF(J693="events and names",6,IF(J693="flashbulb",7,IF(J693="stories",7,IF(J693="course material",7,IF(J693="autobiographical",7,IF(J693="novels",7,IF(J693="public events",7,"99"))))))))))))))))))))))))))))))))))))))))))))))</f>
        <v>7</v>
      </c>
      <c r="M693" s="59">
        <v>0</v>
      </c>
      <c r="N693" s="59">
        <v>3</v>
      </c>
      <c r="O693" s="59">
        <v>0</v>
      </c>
      <c r="P693" s="59"/>
      <c r="Q693" s="59" t="s">
        <v>65</v>
      </c>
      <c r="R693" s="60">
        <f>IF(Q693="Free Recall",1,IF(Q693="Cued Recall",2,IF(Q693="Recognition",3,IF(Q693="Multiple Choice",4,IF(Q693="Savings",5,IF(Q693="Stem Completion",6,IF(Q693="Fragment Completion",7,IF(Q693="anagram solution",8,IF(Q693="Matching",9,IF(Q693="Problem Solving",10,"99"))))))))))</f>
        <v>2</v>
      </c>
      <c r="S693" s="60" t="s">
        <v>49</v>
      </c>
      <c r="T693" s="59" t="s">
        <v>581</v>
      </c>
      <c r="U693" s="60">
        <f>IF(T693="within",1,0)</f>
        <v>1</v>
      </c>
      <c r="V693" s="59">
        <v>25</v>
      </c>
      <c r="W693" s="60">
        <f>F693*V693</f>
        <v>375</v>
      </c>
      <c r="X693" s="59">
        <v>5</v>
      </c>
      <c r="Y693" s="76">
        <f>AV692</f>
        <v>1296000</v>
      </c>
      <c r="Z693" s="60" t="s">
        <v>1014</v>
      </c>
      <c r="AA693" s="60">
        <f>60*60*24*265*22</f>
        <v>503712000</v>
      </c>
      <c r="AB693" s="60" t="str">
        <f>IF(AA693&lt;60,"1",IF(AA693&lt;=43200,"2",IF(AA693&lt;=777600,"3","4")))</f>
        <v>4</v>
      </c>
      <c r="AC693" s="56">
        <f>AVERAGE(AV692:DA692)</f>
        <v>274622400</v>
      </c>
      <c r="AD693" s="60" t="str">
        <f>IF(AC693&lt;60,"1",IF(AC693&lt;=43200,"2",IF(AC693&lt;=777600,"3","4")))</f>
        <v>4</v>
      </c>
      <c r="AE693" s="76">
        <f>AA693-Y693</f>
        <v>502416000</v>
      </c>
      <c r="AF693" s="80">
        <f>AV693</f>
        <v>0.76182432432432001</v>
      </c>
      <c r="AG693" s="56">
        <f>((AW693-AV693)+(AX693-AW693)+(AY693-AX693)+(AZ693-AY693))/4</f>
        <v>-9.0456081081079998E-2</v>
      </c>
      <c r="AH693" s="4"/>
      <c r="AI693" s="56">
        <f>RSQ(AV693:AZ693,AV692:AZ692)</f>
        <v>0.69510985704172135</v>
      </c>
      <c r="AJ693" s="109">
        <f>SLOPE(AV693:AZ693,AV692:AZ692)</f>
        <v>-4.6505212165281698E-10</v>
      </c>
      <c r="AK693" s="56">
        <f>INTERCEPT(AV693:AZ693,AV692:AZ692)</f>
        <v>0.66413264869230604</v>
      </c>
      <c r="AL693" s="56">
        <f>INDEX(LINEST(LN(AV693:AZ693),LN(AV692:AZ692),TRUE,TRUE),3,1)</f>
        <v>0.91585649449929196</v>
      </c>
      <c r="AM693" s="56">
        <f>INDEX(LINEST(LN(AV693:AZ693),LN(AV692:AZ692)),1)</f>
        <v>-0.10416239400418872</v>
      </c>
      <c r="AN693" s="56">
        <f>EXP(INDEX(LINEST(LN(AV693:AZ693),LN(AV692:AZ692)),1,2))</f>
        <v>3.3958886388527323</v>
      </c>
      <c r="AO693" s="82">
        <f>INDEX(LINEST((AV693:AZ693),LN(AV692:AZ692),TRUE,TRUE),3,1)</f>
        <v>0.94807484929906716</v>
      </c>
      <c r="AP693" s="82">
        <f>INDEX(LINEST((AV693:AZ693),LN(AV692:AZ692)),1)</f>
        <v>-5.85973175663606E-2</v>
      </c>
      <c r="AQ693" s="83">
        <f>INDEX(LINEST(LN(AV693:AZ693),SQRT(AV692:AZ692),TRUE,TRUE),3,1)</f>
        <v>0.85773571148302141</v>
      </c>
      <c r="AR693" s="116">
        <f>INDEX(LINEST(LN(AV693:AZ693),SQRT((AV692:AZ692))),1)</f>
        <v>-2.5093146748339255E-5</v>
      </c>
      <c r="AS693" s="84">
        <f>INDEX(LINEST(1/(AV693:AZ693),1/(SQRT(AV692:AZ692)),TRUE,TRUE),3,1)</f>
        <v>0.69809695043009168</v>
      </c>
      <c r="AT693" s="84">
        <f>INDEX(LINEST(1/(AV693:AZ693),1/SQRT(AV692:AZ692)),1)</f>
        <v>-1262.289498680366</v>
      </c>
      <c r="AU693" s="3"/>
      <c r="AV693" s="11">
        <v>0.76182432432432001</v>
      </c>
      <c r="AW693" s="11">
        <v>0.64020270270269997</v>
      </c>
      <c r="AX693" s="11">
        <v>0.39898648648648649</v>
      </c>
      <c r="AY693" s="11">
        <v>0.48108108108108094</v>
      </c>
      <c r="AZ693" s="11">
        <v>0.4</v>
      </c>
      <c r="BA693" s="11"/>
      <c r="BB693" s="11"/>
      <c r="BC693" s="11"/>
      <c r="BD693" s="11"/>
      <c r="BE693" s="11"/>
      <c r="BF693" s="11"/>
      <c r="BG693" s="11"/>
      <c r="BH693" s="11"/>
      <c r="BI693" s="11"/>
      <c r="BJ693" s="11"/>
      <c r="BK693" s="11"/>
      <c r="BL693" s="11"/>
      <c r="BM693" s="11"/>
      <c r="BN693" s="11"/>
      <c r="BO693" s="11"/>
      <c r="BP693" s="11"/>
      <c r="BQ693" s="11"/>
      <c r="BR693" s="11"/>
      <c r="BS693" s="11"/>
      <c r="BT693" s="11"/>
      <c r="BU693" s="11"/>
      <c r="BV693" s="11"/>
      <c r="BW693" s="11"/>
      <c r="BX693" s="11"/>
      <c r="BY693" s="11"/>
      <c r="BZ693" s="11"/>
      <c r="CA693" s="11"/>
      <c r="CB693" s="11"/>
      <c r="CC693" s="11"/>
      <c r="CD693" s="11"/>
      <c r="CE693" s="11"/>
      <c r="CF693" s="11"/>
      <c r="CG693" s="11"/>
      <c r="CH693" s="11"/>
      <c r="CI693" s="11"/>
      <c r="CJ693" s="11"/>
      <c r="CK693" s="11"/>
      <c r="CL693" s="11"/>
      <c r="CM693" s="11"/>
      <c r="CN693" s="11"/>
      <c r="CO693" s="11"/>
      <c r="CP693" s="11"/>
      <c r="CQ693" s="11"/>
      <c r="CR693" s="15"/>
      <c r="CS693" s="15"/>
      <c r="CT693" s="15"/>
      <c r="CU693" s="15"/>
    </row>
    <row r="694" spans="1:99" s="13" customFormat="1" ht="12" customHeight="1" x14ac:dyDescent="0.2">
      <c r="A694" s="65">
        <v>43509</v>
      </c>
      <c r="B694" s="1"/>
      <c r="C694" s="1"/>
      <c r="D694" s="60"/>
      <c r="E694" s="76"/>
      <c r="F694" s="60"/>
      <c r="G694" s="60"/>
      <c r="H694" s="60"/>
      <c r="I694" s="60"/>
      <c r="J694" s="60"/>
      <c r="K694" s="64"/>
      <c r="L694" s="64"/>
      <c r="M694" s="60"/>
      <c r="N694" s="60"/>
      <c r="O694" s="60"/>
      <c r="P694" s="60"/>
      <c r="Q694" s="60"/>
      <c r="R694" s="60"/>
      <c r="S694" s="60"/>
      <c r="T694" s="60"/>
      <c r="U694" s="60"/>
      <c r="V694" s="60"/>
      <c r="W694" s="60"/>
      <c r="X694" s="60"/>
      <c r="Y694" s="76"/>
      <c r="Z694" s="60"/>
      <c r="AA694" s="60"/>
      <c r="AB694" s="60"/>
      <c r="AC694" s="60"/>
      <c r="AD694" s="60"/>
      <c r="AE694" s="60"/>
      <c r="AF694" s="80"/>
      <c r="AG694" s="56"/>
      <c r="AH694" s="4"/>
      <c r="AI694" s="56"/>
      <c r="AJ694" s="109"/>
      <c r="AK694" s="56"/>
      <c r="AL694" s="56"/>
      <c r="AM694" s="56"/>
      <c r="AN694" s="56"/>
      <c r="AO694" s="56"/>
      <c r="AP694" s="56"/>
      <c r="AQ694" s="82"/>
      <c r="AR694" s="115"/>
      <c r="AS694" s="82"/>
      <c r="AT694" s="82"/>
      <c r="AU694" s="4"/>
      <c r="AV694" s="25">
        <v>473</v>
      </c>
      <c r="AW694" s="25">
        <f>7*24*3600*1</f>
        <v>604800</v>
      </c>
      <c r="AX694" s="25">
        <f>7*24*3600*2</f>
        <v>1209600</v>
      </c>
      <c r="AY694" s="53" t="s">
        <v>538</v>
      </c>
      <c r="AZ694" s="53"/>
      <c r="BA694" s="53"/>
      <c r="BB694" s="53"/>
      <c r="BC694" s="53"/>
      <c r="BD694" s="53"/>
      <c r="BE694" s="53"/>
      <c r="BF694" s="53"/>
      <c r="BG694" s="53"/>
      <c r="BH694" s="53"/>
      <c r="BI694" s="53"/>
      <c r="BJ694" s="53"/>
      <c r="BK694" s="53"/>
      <c r="BL694" s="53"/>
      <c r="BM694" s="53"/>
      <c r="BN694" s="53"/>
      <c r="BO694" s="53"/>
      <c r="BP694" s="53"/>
      <c r="BQ694" s="53"/>
      <c r="BR694" s="53"/>
      <c r="BS694" s="53"/>
      <c r="BT694" s="53"/>
      <c r="BU694" s="53"/>
      <c r="BV694" s="53"/>
      <c r="BW694" s="53"/>
      <c r="BX694" s="53"/>
      <c r="BY694" s="53"/>
      <c r="BZ694" s="53"/>
      <c r="CA694" s="53"/>
      <c r="CB694" s="53"/>
      <c r="CC694" s="53"/>
      <c r="CD694" s="53"/>
      <c r="CE694" s="53"/>
      <c r="CF694" s="53"/>
      <c r="CG694" s="53"/>
      <c r="CH694" s="53"/>
      <c r="CI694" s="53"/>
      <c r="CJ694" s="53"/>
      <c r="CK694" s="53"/>
      <c r="CL694" s="53"/>
      <c r="CM694" s="53"/>
      <c r="CN694" s="53"/>
      <c r="CO694" s="53"/>
      <c r="CP694" s="53"/>
      <c r="CQ694" s="53"/>
      <c r="CR694" s="1"/>
      <c r="CS694" s="1"/>
      <c r="CT694" s="1"/>
      <c r="CU694" s="1"/>
    </row>
    <row r="695" spans="1:99" s="13" customFormat="1" ht="12" customHeight="1" x14ac:dyDescent="0.2">
      <c r="A695" s="65">
        <v>43509</v>
      </c>
      <c r="B695" s="1" t="s">
        <v>168</v>
      </c>
      <c r="C695" s="1" t="s">
        <v>169</v>
      </c>
      <c r="D695" s="60">
        <v>2007</v>
      </c>
      <c r="E695" s="76">
        <v>1</v>
      </c>
      <c r="F695" s="60">
        <v>29</v>
      </c>
      <c r="G695" s="60">
        <v>29</v>
      </c>
      <c r="H695" s="60" t="s">
        <v>22</v>
      </c>
      <c r="I695" s="60"/>
      <c r="J695" s="60" t="s">
        <v>838</v>
      </c>
      <c r="K695" s="60">
        <f>IF(J695="syllables",1,IF(J695="trigrams",2,IF(J695="strings",3,IF(J695="visual array",4,IF(J695="characters",5,IF(J695="letters",6,IF(J695="free forms",7,IF(J695="odors",8,IF(J695="words",9,IF(J695="pictures",10,IF(J695="object pictures",11,IF(J695="faces",12,IF(J695="names",13,IF(J695="idioms",14,IF(J695="grades",15,IF(J695="syllable-digit pairs",16,IF(J695="trigram-word pairs",17,IF(J695="word-digit pairs",18,IF(J695="English-Swahili pairs",19,IF(J695="spatial position",20,IF(J695="word pairs",21,IF(J695="word triads",22,IF(J695="generated words",23,IF(J695="word definition pairs",24,IF(J695="math problems",25,IF(J695="famous faces",26,IF(J695="famous names",27,IF(J695="famous voices",28,IF(J695="television programs",29,IF(J695="race horses",30,IF(J695="new vocabulary",31,IF(J695="sentences",32,IF(J695="concepts",33,IF(J695="ad slides",34,IF(J695="scenes",35,IF(J695="famous scenes",36,IF(J695="poems",37,IF(J695="walk",38,IF(J695="faces and events",39,IF(J695="events and names",40,IF(J695="flashbulb",41,IF(J695="stories",42,IF(J695="course material",43,IF(J695="autobiographical",44,IF(J695="novels",45,IF(J695="public events",46,"99"))))))))))))))))))))))))))))))))))))))))))))))</f>
        <v>3</v>
      </c>
      <c r="L695" s="60">
        <f>IF(J695="syllables",1,IF(J695="trigrams",1,IF(J695="strings",1,IF(J695="visual array",1,IF(J695="characters",1,IF(J695="letters",1,IF(J695="free forms",1,IF(J695="odors",2,IF(J695="words",2,IF(J695="pictures",2,IF(J695="object pictures",2,IF(J695="faces",2,IF(J695="names",2,IF(J695="idioms","2",IF(J695="grades",2,IF(J695="syllable-digit pairs",3,IF(J695="trigram-word pairs",3,IF(J695="word-digit pairs",3,IF(J695="English-Swahili pairs",3,IF(J695="spatial position",3,IF(J695="word pairs",4,IF(J695="word triads",4,IF(J695="generated words",4,IF(J695="word definition pairs",4,IF(J695="math problems",4,IF(J695="famous faces",4,IF(J695="famous names",4,IF(J695="famous voices",4,IF(J695="television programs",4,IF(J695="race horses",4,IF(J695="new vocabulary",4,IF(J695="sentences",5,IF(J695="concepts",5,IF(J695="ad slides",5,IF(J695="scenes",5,IF(J695="famous scenes",5,IF(J695="poems",6,IF(J695="walk",6,IF(J695="faces and events",6,IF(J695="events and names",6,IF(J695="flashbulb",7,IF(J695="stories",7,IF(J695="course material",7,IF(J695="autobiographical",7,IF(J695="novels",7,IF(J695="public events",7,"99"))))))))))))))))))))))))))))))))))))))))))))))</f>
        <v>1</v>
      </c>
      <c r="M695" s="60">
        <v>1</v>
      </c>
      <c r="N695" s="60">
        <v>3</v>
      </c>
      <c r="O695" s="60">
        <v>0</v>
      </c>
      <c r="P695" s="60"/>
      <c r="Q695" s="60" t="s">
        <v>34</v>
      </c>
      <c r="R695" s="60">
        <f>IF(Q695="Free Recall",1,IF(Q695="Cued Recall",2,IF(Q695="Recognition",3,IF(Q695="Multiple Choice",4,IF(Q695="Savings",5,IF(Q695="Stem Completion",6,IF(Q695="Fragment Completion",7,IF(Q695="anagram solution",8,IF(Q695="Matching",9,IF(Q695="Problem Solving",10,"99"))))))))))</f>
        <v>3</v>
      </c>
      <c r="S695" s="60" t="s">
        <v>15</v>
      </c>
      <c r="T695" s="59" t="s">
        <v>581</v>
      </c>
      <c r="U695" s="60">
        <f>IF(T695="within",1,0)</f>
        <v>1</v>
      </c>
      <c r="V695" s="59">
        <v>63</v>
      </c>
      <c r="W695" s="60">
        <f>F695*V695</f>
        <v>1827</v>
      </c>
      <c r="X695" s="60">
        <v>3</v>
      </c>
      <c r="Y695" s="76">
        <f>AV694</f>
        <v>473</v>
      </c>
      <c r="Z695" s="60" t="s">
        <v>170</v>
      </c>
      <c r="AA695" s="60">
        <v>1209600</v>
      </c>
      <c r="AB695" s="60" t="str">
        <f>IF(AA695&lt;60,"1",IF(AA695&lt;=43200,"2",IF(AA695&lt;=777600,"3","4")))</f>
        <v>4</v>
      </c>
      <c r="AC695" s="56">
        <f>AVERAGE(AV694:DA694)</f>
        <v>604957.66666666663</v>
      </c>
      <c r="AD695" s="60" t="str">
        <f>IF(AC695&lt;60,"1",IF(AC695&lt;=43200,"2",IF(AC695&lt;=777600,"3","4")))</f>
        <v>3</v>
      </c>
      <c r="AE695" s="76">
        <f>AA695-Y695</f>
        <v>1209127</v>
      </c>
      <c r="AF695" s="80">
        <f>AV695</f>
        <v>0.6100000000000001</v>
      </c>
      <c r="AG695" s="56">
        <f>((AW695-AV695)+(AX695-AW695))/2</f>
        <v>-2.0000000000000018E-2</v>
      </c>
      <c r="AH695" s="4"/>
      <c r="AI695" s="56">
        <f>RSQ(AV695:AX695,AV694:AX694)</f>
        <v>0.97952791983744036</v>
      </c>
      <c r="AJ695" s="109">
        <f>SLOPE(AV695:AX695,AV694:AX694)</f>
        <v>-3.308063916243362E-8</v>
      </c>
      <c r="AK695" s="56">
        <f>INTERCEPT(AV695:AX695,AV694:AX694)</f>
        <v>0.6083457196128812</v>
      </c>
      <c r="AL695" s="56">
        <f>INDEX(LINEST(LN(AV695:AX695),LN(AV694:AX694),TRUE,TRUE),3,1)</f>
        <v>0.90726650919473795</v>
      </c>
      <c r="AM695" s="56">
        <f>INDEX(LINEST(LN(AV695:AX695),LN(AV694:AX694)),1)</f>
        <v>-7.5031778390993948E-3</v>
      </c>
      <c r="AN695" s="56">
        <f>EXP(INDEX(LINEST(LN(AV695:AX695),LN(AV694:AX694)),1,2))</f>
        <v>0.63946489332178902</v>
      </c>
      <c r="AO695" s="82">
        <f>INDEX(LINEST((AV695:AX695),LN(AV694:AX694),TRUE,TRUE),3,1)</f>
        <v>0.91245023495164068</v>
      </c>
      <c r="AP695" s="82">
        <f>INDEX(LINEST((AV695:AX695),LN(AV694:AX694)),1)</f>
        <v>-4.4434183316033413E-3</v>
      </c>
      <c r="AQ695" s="83">
        <f>INDEX(LINEST(LN(AV695:AX695),SQRT(AV694:AX694),TRUE,TRUE),3,1)</f>
        <v>0.99119417208963612</v>
      </c>
      <c r="AR695" s="116">
        <f>INDEX(LINEST(LN(AV695:AX695),SQRT((AV694:AX694))),1)</f>
        <v>-6.1563057368407259E-5</v>
      </c>
      <c r="AS695" s="84">
        <f>INDEX(LINEST(1/(AV695:AX695),1/(SQRT(AV694:AX694)),TRUE,TRUE),3,1)</f>
        <v>0.85464210805078911</v>
      </c>
      <c r="AT695" s="84">
        <f>INDEX(LINEST(1/(AV695:AX695),1/SQRT(AV694:AX694)),1)</f>
        <v>-2.0682400205908067</v>
      </c>
      <c r="AU695" s="3"/>
      <c r="AV695" s="53">
        <v>0.6100000000000001</v>
      </c>
      <c r="AW695" s="53">
        <v>0.58499999999999996</v>
      </c>
      <c r="AX695" s="53">
        <v>0.57000000000000006</v>
      </c>
      <c r="AY695" s="53"/>
      <c r="AZ695" s="53"/>
      <c r="BA695" s="53"/>
      <c r="BB695" s="53"/>
      <c r="BC695" s="53"/>
      <c r="BD695" s="53"/>
      <c r="BE695" s="53"/>
      <c r="BF695" s="53"/>
      <c r="BG695" s="53"/>
      <c r="BH695" s="53"/>
      <c r="BI695" s="53"/>
      <c r="BJ695" s="53"/>
      <c r="BK695" s="53"/>
      <c r="BL695" s="53"/>
      <c r="BM695" s="53"/>
      <c r="BN695" s="53"/>
      <c r="BO695" s="53"/>
      <c r="BP695" s="53"/>
      <c r="BQ695" s="53"/>
      <c r="BR695" s="53"/>
      <c r="BS695" s="53"/>
      <c r="BT695" s="53"/>
      <c r="BU695" s="53"/>
      <c r="BV695" s="53"/>
      <c r="BW695" s="53"/>
      <c r="BX695" s="53"/>
      <c r="BY695" s="53"/>
      <c r="BZ695" s="53"/>
      <c r="CA695" s="53"/>
      <c r="CB695" s="53"/>
      <c r="CC695" s="53"/>
      <c r="CD695" s="53"/>
      <c r="CE695" s="53"/>
      <c r="CF695" s="53"/>
      <c r="CG695" s="53"/>
      <c r="CH695" s="53"/>
      <c r="CI695" s="53"/>
      <c r="CJ695" s="53"/>
      <c r="CK695" s="53"/>
      <c r="CL695" s="53"/>
      <c r="CM695" s="53"/>
      <c r="CN695" s="53"/>
      <c r="CO695" s="53"/>
      <c r="CP695" s="53"/>
      <c r="CQ695" s="53"/>
      <c r="CR695" s="1"/>
      <c r="CS695" s="1"/>
      <c r="CT695" s="1"/>
      <c r="CU695" s="1"/>
    </row>
    <row r="696" spans="1:99" s="13" customFormat="1" ht="12" customHeight="1" x14ac:dyDescent="0.2">
      <c r="A696" s="65">
        <v>43896</v>
      </c>
      <c r="B696" s="1"/>
      <c r="C696" s="1"/>
      <c r="D696" s="60"/>
      <c r="E696" s="76"/>
      <c r="F696" s="60"/>
      <c r="G696" s="60"/>
      <c r="H696" s="60"/>
      <c r="I696" s="60"/>
      <c r="J696" s="60"/>
      <c r="K696" s="64"/>
      <c r="L696" s="64"/>
      <c r="M696" s="60"/>
      <c r="N696" s="59"/>
      <c r="O696" s="60"/>
      <c r="P696" s="60"/>
      <c r="Q696" s="60"/>
      <c r="R696" s="60"/>
      <c r="S696" s="60"/>
      <c r="T696" s="59"/>
      <c r="U696" s="60"/>
      <c r="V696" s="59"/>
      <c r="W696" s="60"/>
      <c r="X696" s="60"/>
      <c r="Y696" s="76"/>
      <c r="Z696" s="59"/>
      <c r="AA696" s="59"/>
      <c r="AB696" s="60"/>
      <c r="AC696" s="56"/>
      <c r="AD696" s="60"/>
      <c r="AE696" s="60"/>
      <c r="AF696" s="80"/>
      <c r="AG696" s="56"/>
      <c r="AH696" s="4"/>
      <c r="AI696" s="56"/>
      <c r="AJ696" s="109"/>
      <c r="AK696" s="56"/>
      <c r="AL696" s="56"/>
      <c r="AM696" s="56"/>
      <c r="AN696" s="56"/>
      <c r="AO696" s="82"/>
      <c r="AP696" s="82"/>
      <c r="AQ696" s="83"/>
      <c r="AR696" s="116"/>
      <c r="AS696" s="84"/>
      <c r="AT696" s="84"/>
      <c r="AU696" s="3"/>
      <c r="AV696" s="25">
        <v>473040000</v>
      </c>
      <c r="AW696" s="25">
        <v>788400000</v>
      </c>
      <c r="AX696" s="25">
        <v>1103760000</v>
      </c>
      <c r="AY696" s="25">
        <v>1419120000</v>
      </c>
      <c r="AZ696" s="25">
        <v>1734480000</v>
      </c>
      <c r="BA696" s="53"/>
      <c r="BB696" s="53"/>
      <c r="BC696" s="53"/>
      <c r="BD696" s="53"/>
      <c r="BE696" s="53"/>
      <c r="BF696" s="53"/>
      <c r="BG696" s="53"/>
      <c r="BH696" s="53"/>
      <c r="BI696" s="53"/>
      <c r="BJ696" s="53"/>
      <c r="BK696" s="53"/>
      <c r="BL696" s="53"/>
      <c r="BM696" s="53"/>
      <c r="BN696" s="53"/>
      <c r="BO696" s="53"/>
      <c r="BP696" s="53"/>
      <c r="BQ696" s="53"/>
      <c r="BR696" s="53"/>
      <c r="BS696" s="53"/>
      <c r="BT696" s="53"/>
      <c r="BU696" s="53"/>
      <c r="BV696" s="53"/>
      <c r="BW696" s="53"/>
      <c r="BX696" s="53"/>
      <c r="BY696" s="53"/>
      <c r="BZ696" s="53"/>
      <c r="CA696" s="53"/>
      <c r="CB696" s="53"/>
      <c r="CC696" s="53"/>
      <c r="CD696" s="53"/>
      <c r="CE696" s="53"/>
      <c r="CF696" s="53"/>
      <c r="CG696" s="53"/>
      <c r="CH696" s="53"/>
      <c r="CI696" s="53"/>
      <c r="CJ696" s="53"/>
      <c r="CK696" s="53"/>
      <c r="CL696" s="53"/>
      <c r="CM696" s="53"/>
      <c r="CN696" s="53"/>
      <c r="CO696" s="53"/>
      <c r="CP696" s="53"/>
      <c r="CQ696" s="53"/>
      <c r="CR696" s="1"/>
      <c r="CS696" s="1"/>
      <c r="CT696" s="1"/>
      <c r="CU696" s="1"/>
    </row>
    <row r="697" spans="1:99" s="13" customFormat="1" ht="12" customHeight="1" x14ac:dyDescent="0.2">
      <c r="A697" s="65">
        <v>43896</v>
      </c>
      <c r="B697" s="1" t="s">
        <v>362</v>
      </c>
      <c r="C697" s="1" t="s">
        <v>54</v>
      </c>
      <c r="D697" s="60">
        <v>1993</v>
      </c>
      <c r="E697" s="76">
        <v>1</v>
      </c>
      <c r="F697" s="60">
        <v>10</v>
      </c>
      <c r="G697" s="60">
        <v>10</v>
      </c>
      <c r="H697" s="60" t="s">
        <v>363</v>
      </c>
      <c r="I697" s="60" t="s">
        <v>330</v>
      </c>
      <c r="J697" s="60" t="s">
        <v>342</v>
      </c>
      <c r="K697" s="60">
        <f>IF(J697="syllables",1,IF(J697="trigrams",2,IF(J697="strings",3,IF(J697="visual array",4,IF(J697="characters",5,IF(J697="letters",6,IF(J697="free forms",7,IF(J697="odors",8,IF(J697="words",9,IF(J697="pictures",10,IF(J697="object pictures",11,IF(J697="faces",12,IF(J697="names",13,IF(J697="idioms",14,IF(J697="grades",15,IF(J697="syllable-digit pairs",16,IF(J697="trigram-word pairs",17,IF(J697="word-digit pairs",18,IF(J697="English-Swahili pairs",19,IF(J697="spatial position",20,IF(J697="word pairs",21,IF(J697="word triads",22,IF(J697="generated words",23,IF(J697="word definition pairs",24,IF(J697="math problems",25,IF(J697="famous faces",26,IF(J697="famous names",27,IF(J697="famous voices",28,IF(J697="television programs",29,IF(J697="race horses",30,IF(J697="new vocabulary",31,IF(J697="sentences",32,IF(J697="concepts",33,IF(J697="ad slides",34,IF(J697="scenes",35,IF(J697="famous scenes",36,IF(J697="poems",37,IF(J697="walk",38,IF(J697="faces and events",39,IF(J697="events and names",40,IF(J697="flashbulb",41,IF(J697="stories",42,IF(J697="course material",43,IF(J697="autobiographical",44,IF(J697="novels",45,IF(J697="public events",46,"99"))))))))))))))))))))))))))))))))))))))))))))))</f>
        <v>26</v>
      </c>
      <c r="L697" s="60">
        <f>IF(J697="syllables",1,IF(J697="trigrams",1,IF(J697="strings",1,IF(J697="visual array",1,IF(J697="characters",1,IF(J697="letters",1,IF(J697="free forms",1,IF(J697="odors",2,IF(J697="words",2,IF(J697="pictures",2,IF(J697="object pictures",2,IF(J697="faces",2,IF(J697="names",2,IF(J697="idioms","2",IF(J697="grades",2,IF(J697="syllable-digit pairs",3,IF(J697="trigram-word pairs",3,IF(J697="word-digit pairs",3,IF(J697="English-Swahili pairs",3,IF(J697="spatial position",3,IF(J697="word pairs",4,IF(J697="word triads",4,IF(J697="generated words",4,IF(J697="word definition pairs",4,IF(J697="math problems",4,IF(J697="famous faces",4,IF(J697="famous names",4,IF(J697="famous voices",4,IF(J697="television programs",4,IF(J697="race horses",4,IF(J697="new vocabulary",4,IF(J697="sentences",5,IF(J697="concepts",5,IF(J697="ad slides",5,IF(J697="scenes",5,IF(J697="famous scenes",5,IF(J697="poems",6,IF(J697="walk",6,IF(J697="faces and events",6,IF(J697="events and names",6,IF(J697="flashbulb",7,IF(J697="stories",7,IF(J697="course material",7,IF(J697="autobiographical",7,IF(J697="novels",7,IF(J697="public events",7,"99"))))))))))))))))))))))))))))))))))))))))))))))</f>
        <v>4</v>
      </c>
      <c r="M697" s="60">
        <v>1</v>
      </c>
      <c r="N697" s="61">
        <v>2</v>
      </c>
      <c r="O697" s="60">
        <v>0</v>
      </c>
      <c r="P697" s="60"/>
      <c r="Q697" s="60" t="s">
        <v>174</v>
      </c>
      <c r="R697" s="60">
        <f>IF(Q697="Free Recall",1,IF(Q697="Cued Recall",2,IF(Q697="Recognition",3,IF(Q697="Multiple Choice",4,IF(Q697="Savings",5,IF(Q697="Stem Completion",6,IF(Q697="Fragment Completion",7,IF(Q697="anagram solution",8,IF(Q697="Matching",9,IF(Q697="Problem Solving",10,"99"))))))))))</f>
        <v>1</v>
      </c>
      <c r="S697" s="60" t="s">
        <v>49</v>
      </c>
      <c r="T697" s="59" t="s">
        <v>581</v>
      </c>
      <c r="U697" s="60">
        <f>IF(T697="within",1,0)</f>
        <v>1</v>
      </c>
      <c r="V697" s="59">
        <v>120</v>
      </c>
      <c r="W697" s="60">
        <f>F697*V697</f>
        <v>1200</v>
      </c>
      <c r="X697" s="60">
        <v>5</v>
      </c>
      <c r="Y697" s="76">
        <f>AV696</f>
        <v>473040000</v>
      </c>
      <c r="Z697" s="60" t="s">
        <v>374</v>
      </c>
      <c r="AA697" s="60">
        <f>55*365*24*60*60</f>
        <v>1734480000</v>
      </c>
      <c r="AB697" s="60" t="str">
        <f>IF(AA697&lt;60,"1",IF(AA697&lt;=43200,"2",IF(AA697&lt;=777600,"3","4")))</f>
        <v>4</v>
      </c>
      <c r="AC697" s="56">
        <f>AVERAGE(AV696:DA696)</f>
        <v>1103760000</v>
      </c>
      <c r="AD697" s="60" t="str">
        <f>IF(AC697&lt;60,"1",IF(AC697&lt;=43200,"2",IF(AC697&lt;=777600,"3","4")))</f>
        <v>4</v>
      </c>
      <c r="AE697" s="76">
        <f>AA697-Y697</f>
        <v>1261440000</v>
      </c>
      <c r="AF697" s="80">
        <f>AV697</f>
        <v>0.6</v>
      </c>
      <c r="AG697" s="56">
        <f>((AW697-AV697)+(AX697-AW697)+(AY697-AX697)+(AZ697-AY697))/4</f>
        <v>-3.8392857142857145E-2</v>
      </c>
      <c r="AH697" s="4"/>
      <c r="AI697" s="56">
        <f>RSQ(AV697:AZ697,AV696:AZ696)</f>
        <v>0.83239417533835114</v>
      </c>
      <c r="AJ697" s="109">
        <f>SLOPE(AV697:AZ697,AV696:AZ696)</f>
        <v>-1.1180790290379331E-10</v>
      </c>
      <c r="AK697" s="56">
        <f>INTERCEPT(AV697:AZ697,AV696:AZ696)</f>
        <v>0.6236038961038961</v>
      </c>
      <c r="AL697" s="56">
        <f>INDEX(LINEST(LN(AV697:AZ697),LN(AV696:AZ696),TRUE,TRUE),3,1)</f>
        <v>0.93086369873664909</v>
      </c>
      <c r="AM697" s="56">
        <f>INDEX(LINEST(LN(AV697:AZ697),LN(AV696:AZ696)),1)</f>
        <v>-0.22062325043804715</v>
      </c>
      <c r="AN697" s="56">
        <f>EXP(INDEX(LINEST(LN(AV697:AZ697),LN(AV696:AZ696)),1,2))</f>
        <v>48.144336910804746</v>
      </c>
      <c r="AO697" s="82">
        <f>INDEX(LINEST((AV697:AZ697),LN(AV696:AZ696),TRUE,TRUE),3,1)</f>
        <v>0.92028868098670558</v>
      </c>
      <c r="AP697" s="82">
        <f>INDEX(LINEST((AV697:AZ697),LN(AV696:AZ696)),1)</f>
        <v>-0.11428386140071531</v>
      </c>
      <c r="AQ697" s="83">
        <f>INDEX(LINEST(LN(AV697:AZ697),SQRT(AV696:AZ696),TRUE,TRUE),3,1)</f>
        <v>0.89966408663973907</v>
      </c>
      <c r="AR697" s="116">
        <f>INDEX(LINEST(LN(AV697:AZ697),SQRT((AV696:AZ696))),1)</f>
        <v>-1.4184873571647181E-5</v>
      </c>
      <c r="AS697" s="84">
        <f>INDEX(LINEST(1/(AV697:AZ697),1/(SQRT(AV696:AZ696)),TRUE,TRUE),3,1)</f>
        <v>0.94664371714456985</v>
      </c>
      <c r="AT697" s="84">
        <f>INDEX(LINEST(1/(AV697:AZ697),1/SQRT(AV696:AZ696)),1)</f>
        <v>-25328.201474779664</v>
      </c>
      <c r="AU697" s="3"/>
      <c r="AV697" s="53">
        <v>0.6</v>
      </c>
      <c r="AW697" s="53">
        <v>0.5</v>
      </c>
      <c r="AX697" s="53">
        <v>0.5</v>
      </c>
      <c r="AY697" s="53">
        <v>0.45454545454545459</v>
      </c>
      <c r="AZ697" s="53">
        <v>0.4464285714285714</v>
      </c>
      <c r="BA697" s="53"/>
      <c r="BB697" s="53"/>
      <c r="BC697" s="53"/>
      <c r="BD697" s="53"/>
      <c r="BE697" s="53"/>
      <c r="BF697" s="53"/>
      <c r="BG697" s="53"/>
      <c r="BH697" s="53"/>
      <c r="BI697" s="53"/>
      <c r="BJ697" s="53"/>
      <c r="BK697" s="53"/>
      <c r="BL697" s="53"/>
      <c r="BM697" s="53"/>
      <c r="BN697" s="53"/>
      <c r="BO697" s="53"/>
      <c r="BP697" s="53"/>
      <c r="BQ697" s="53"/>
      <c r="BR697" s="53"/>
      <c r="BS697" s="53"/>
      <c r="BT697" s="53"/>
      <c r="BU697" s="53"/>
      <c r="BV697" s="53"/>
      <c r="BW697" s="53"/>
      <c r="BX697" s="53"/>
      <c r="BY697" s="53"/>
      <c r="BZ697" s="53"/>
      <c r="CA697" s="53"/>
      <c r="CB697" s="53"/>
      <c r="CC697" s="53"/>
      <c r="CD697" s="53"/>
      <c r="CE697" s="53"/>
      <c r="CF697" s="53"/>
      <c r="CG697" s="53"/>
      <c r="CH697" s="53"/>
      <c r="CI697" s="53"/>
      <c r="CJ697" s="53"/>
      <c r="CK697" s="53"/>
      <c r="CL697" s="53"/>
      <c r="CM697" s="53"/>
      <c r="CN697" s="53"/>
      <c r="CO697" s="53"/>
      <c r="CP697" s="53"/>
      <c r="CQ697" s="53"/>
      <c r="CR697" s="1"/>
      <c r="CS697" s="1"/>
      <c r="CT697" s="1"/>
      <c r="CU697" s="1"/>
    </row>
    <row r="698" spans="1:99" s="13" customFormat="1" ht="12" customHeight="1" x14ac:dyDescent="0.2">
      <c r="A698" s="65">
        <v>43896</v>
      </c>
      <c r="B698" s="1"/>
      <c r="C698" s="1"/>
      <c r="D698" s="60"/>
      <c r="E698" s="76"/>
      <c r="F698" s="60"/>
      <c r="G698" s="60"/>
      <c r="H698" s="60"/>
      <c r="I698" s="60"/>
      <c r="J698" s="60"/>
      <c r="K698" s="64"/>
      <c r="L698" s="64"/>
      <c r="M698" s="60"/>
      <c r="N698" s="59"/>
      <c r="O698" s="60"/>
      <c r="P698" s="60"/>
      <c r="Q698" s="60"/>
      <c r="R698" s="60"/>
      <c r="S698" s="60"/>
      <c r="T698" s="59"/>
      <c r="U698" s="60"/>
      <c r="V698" s="59"/>
      <c r="W698" s="60"/>
      <c r="X698" s="60"/>
      <c r="Y698" s="76"/>
      <c r="Z698" s="59"/>
      <c r="AA698" s="59"/>
      <c r="AB698" s="60"/>
      <c r="AC698" s="56"/>
      <c r="AD698" s="60"/>
      <c r="AE698" s="60"/>
      <c r="AF698" s="80"/>
      <c r="AG698" s="56"/>
      <c r="AH698" s="4"/>
      <c r="AI698" s="56"/>
      <c r="AJ698" s="109"/>
      <c r="AK698" s="56"/>
      <c r="AL698" s="56"/>
      <c r="AM698" s="56"/>
      <c r="AN698" s="56"/>
      <c r="AO698" s="82"/>
      <c r="AP698" s="82"/>
      <c r="AQ698" s="83"/>
      <c r="AR698" s="116"/>
      <c r="AS698" s="84"/>
      <c r="AT698" s="84"/>
      <c r="AU698" s="3"/>
      <c r="AV698" s="25">
        <v>157680000</v>
      </c>
      <c r="AW698" s="25">
        <v>315360000</v>
      </c>
      <c r="AX698" s="25">
        <v>473040000</v>
      </c>
      <c r="AY698" s="25">
        <v>630720000</v>
      </c>
      <c r="AZ698" s="25">
        <v>788400000</v>
      </c>
      <c r="BA698" s="25">
        <v>946080000</v>
      </c>
      <c r="BB698" s="25">
        <v>1103760000</v>
      </c>
      <c r="BC698" s="25">
        <v>1231440000</v>
      </c>
      <c r="BD698" s="25"/>
      <c r="BE698" s="25"/>
      <c r="BF698" s="53"/>
      <c r="BG698" s="53"/>
      <c r="BH698" s="53"/>
      <c r="BI698" s="53"/>
      <c r="BJ698" s="53"/>
      <c r="BK698" s="53"/>
      <c r="BL698" s="53"/>
      <c r="BM698" s="53"/>
      <c r="BN698" s="53"/>
      <c r="BO698" s="53"/>
      <c r="BP698" s="53"/>
      <c r="BQ698" s="53"/>
      <c r="BR698" s="53"/>
      <c r="BS698" s="53"/>
      <c r="BT698" s="53"/>
      <c r="BU698" s="53"/>
      <c r="BV698" s="53"/>
      <c r="BW698" s="53"/>
      <c r="BX698" s="53"/>
      <c r="BY698" s="53"/>
      <c r="BZ698" s="53"/>
      <c r="CA698" s="53"/>
      <c r="CB698" s="53"/>
      <c r="CC698" s="53"/>
      <c r="CD698" s="53"/>
      <c r="CE698" s="53"/>
      <c r="CF698" s="53"/>
      <c r="CG698" s="53"/>
      <c r="CH698" s="53"/>
      <c r="CI698" s="53"/>
      <c r="CJ698" s="53"/>
      <c r="CK698" s="53"/>
      <c r="CL698" s="53"/>
      <c r="CM698" s="53"/>
      <c r="CN698" s="53"/>
      <c r="CO698" s="53"/>
      <c r="CP698" s="53"/>
      <c r="CQ698" s="53"/>
      <c r="CR698" s="1"/>
      <c r="CS698" s="1"/>
      <c r="CT698" s="1"/>
      <c r="CU698" s="1"/>
    </row>
    <row r="699" spans="1:99" s="13" customFormat="1" ht="12" customHeight="1" x14ac:dyDescent="0.2">
      <c r="A699" s="65">
        <v>43896</v>
      </c>
      <c r="B699" s="1" t="s">
        <v>362</v>
      </c>
      <c r="C699" s="1" t="s">
        <v>54</v>
      </c>
      <c r="D699" s="60">
        <v>1993</v>
      </c>
      <c r="E699" s="76">
        <v>1</v>
      </c>
      <c r="F699" s="60">
        <v>10</v>
      </c>
      <c r="G699" s="60">
        <v>10</v>
      </c>
      <c r="H699" s="60" t="s">
        <v>363</v>
      </c>
      <c r="I699" s="60" t="s">
        <v>330</v>
      </c>
      <c r="J699" s="60" t="s">
        <v>340</v>
      </c>
      <c r="K699" s="60">
        <f>IF(J699="syllables",1,IF(J699="trigrams",2,IF(J699="strings",3,IF(J699="visual array",4,IF(J699="characters",5,IF(J699="letters",6,IF(J699="free forms",7,IF(J699="odors",8,IF(J699="words",9,IF(J699="pictures",10,IF(J699="object pictures",11,IF(J699="faces",12,IF(J699="names",13,IF(J699="idioms",14,IF(J699="grades",15,IF(J699="syllable-digit pairs",16,IF(J699="trigram-word pairs",17,IF(J699="word-digit pairs",18,IF(J699="English-Swahili pairs",19,IF(J699="spatial position",20,IF(J699="word pairs",21,IF(J699="word triads",22,IF(J699="generated words",23,IF(J699="word definition pairs",24,IF(J699="math problems",25,IF(J699="famous faces",26,IF(J699="famous names",27,IF(J699="famous voices",28,IF(J699="television programs",29,IF(J699="race horses",30,IF(J699="new vocabulary",31,IF(J699="sentences",32,IF(J699="concepts",33,IF(J699="ad slides",34,IF(J699="scenes",35,IF(J699="famous scenes",36,IF(J699="poems",37,IF(J699="walk",38,IF(J699="faces and events",39,IF(J699="events and names",40,IF(J699="flashbulb",41,IF(J699="stories",42,IF(J699="course material",43,IF(J699="autobiographical",44,IF(J699="novels",45,IF(J699="public events",46,"99"))))))))))))))))))))))))))))))))))))))))))))))</f>
        <v>46</v>
      </c>
      <c r="L699" s="60">
        <f>IF(J699="syllables",1,IF(J699="trigrams",1,IF(J699="strings",1,IF(J699="visual array",1,IF(J699="characters",1,IF(J699="letters",1,IF(J699="free forms",1,IF(J699="odors",2,IF(J699="words",2,IF(J699="pictures",2,IF(J699="object pictures",2,IF(J699="faces",2,IF(J699="names",2,IF(J699="idioms","2",IF(J699="grades",2,IF(J699="syllable-digit pairs",3,IF(J699="trigram-word pairs",3,IF(J699="word-digit pairs",3,IF(J699="English-Swahili pairs",3,IF(J699="spatial position",3,IF(J699="word pairs",4,IF(J699="word triads",4,IF(J699="generated words",4,IF(J699="word definition pairs",4,IF(J699="math problems",4,IF(J699="famous faces",4,IF(J699="famous names",4,IF(J699="famous voices",4,IF(J699="television programs",4,IF(J699="race horses",4,IF(J699="new vocabulary",4,IF(J699="sentences",5,IF(J699="concepts",5,IF(J699="ad slides",5,IF(J699="scenes",5,IF(J699="famous scenes",5,IF(J699="poems",6,IF(J699="walk",6,IF(J699="faces and events",6,IF(J699="events and names",6,IF(J699="flashbulb",7,IF(J699="stories",7,IF(J699="course material",7,IF(J699="autobiographical",7,IF(J699="novels",7,IF(J699="public events",7,"99"))))))))))))))))))))))))))))))))))))))))))))))</f>
        <v>7</v>
      </c>
      <c r="M699" s="60">
        <v>1</v>
      </c>
      <c r="N699" s="59">
        <v>4</v>
      </c>
      <c r="O699" s="60">
        <v>0</v>
      </c>
      <c r="P699" s="60"/>
      <c r="Q699" s="60" t="s">
        <v>174</v>
      </c>
      <c r="R699" s="60">
        <f>IF(Q699="Free Recall",1,IF(Q699="Cued Recall",2,IF(Q699="Recognition",3,IF(Q699="Multiple Choice",4,IF(Q699="Savings",5,IF(Q699="Stem Completion",6,IF(Q699="Fragment Completion",7,IF(Q699="anagram solution",8,IF(Q699="Matching",9,IF(Q699="Problem Solving",10,"99"))))))))))</f>
        <v>1</v>
      </c>
      <c r="S699" s="60" t="s">
        <v>49</v>
      </c>
      <c r="T699" s="59" t="s">
        <v>581</v>
      </c>
      <c r="U699" s="60">
        <f>IF(T699="within",1,0)</f>
        <v>1</v>
      </c>
      <c r="V699" s="59">
        <v>100</v>
      </c>
      <c r="W699" s="60">
        <f>F699*V699</f>
        <v>1000</v>
      </c>
      <c r="X699" s="60">
        <v>8</v>
      </c>
      <c r="Y699" s="76">
        <f>AV698</f>
        <v>157680000</v>
      </c>
      <c r="Z699" s="60" t="s">
        <v>209</v>
      </c>
      <c r="AA699" s="60">
        <f>50*365*24*60*60</f>
        <v>1576800000</v>
      </c>
      <c r="AB699" s="60" t="str">
        <f>IF(AA699&lt;60,"1",IF(AA699&lt;=43200,"2",IF(AA699&lt;=777600,"3","4")))</f>
        <v>4</v>
      </c>
      <c r="AC699" s="56">
        <f>AVERAGE(AV698:DA698)</f>
        <v>705810000</v>
      </c>
      <c r="AD699" s="60" t="str">
        <f>IF(AC699&lt;60,"1",IF(AC699&lt;=43200,"2",IF(AC699&lt;=777600,"3","4")))</f>
        <v>4</v>
      </c>
      <c r="AE699" s="76">
        <f>AA699-Y699</f>
        <v>1419120000</v>
      </c>
      <c r="AF699" s="80">
        <f>AV699</f>
        <v>0.42</v>
      </c>
      <c r="AG699" s="56">
        <f>((AW699-AV699)+(AX699-AW699)+(AY699-AX699)+(AZ699-AY699)+(BA699-AZ699)+(BB699-BA699)+(BC699-BB699))/7</f>
        <v>-4.8571428571428564E-2</v>
      </c>
      <c r="AH699" s="4"/>
      <c r="AI699" s="56">
        <f>RSQ(AV699:BC699,AV698:BC698)</f>
        <v>0.82068396011869882</v>
      </c>
      <c r="AJ699" s="109">
        <f>SLOPE(AV699:BC699,AV698:BC698)</f>
        <v>-4.3259923408756616E-10</v>
      </c>
      <c r="AK699" s="56">
        <f>INTERCEPT(AV699:BC699,AV698:BC698)</f>
        <v>0.56283286541134503</v>
      </c>
      <c r="AL699" s="56">
        <f>INDEX(LINEST(LN(AV699:BC699),LN(AV698:BC698),TRUE,TRUE),3,1)</f>
        <v>0.68279998850764589</v>
      </c>
      <c r="AM699" s="56">
        <f>INDEX(LINEST(LN(AV699:BC699),LN(AV698:BC698)),1)</f>
        <v>-0.98537928216199189</v>
      </c>
      <c r="AN699" s="56">
        <f>EXP(INDEX(LINEST(LN(AV699:BC699),LN(AV698:BC698)),1,2))</f>
        <v>86036399.187634319</v>
      </c>
      <c r="AO699" s="82">
        <f>INDEX(LINEST((AV699:BC699),LN(AV698:BC698),TRUE,TRUE),3,1)</f>
        <v>0.71349479047984643</v>
      </c>
      <c r="AP699" s="82">
        <f>INDEX(LINEST((AV699:BC699),LN(AV698:BC698)),1)</f>
        <v>-0.21916609007319199</v>
      </c>
      <c r="AQ699" s="83">
        <f>INDEX(LINEST(LN(AV699:BC699),SQRT(AV698:BC698),TRUE,TRUE),3,1)</f>
        <v>0.76502371862232443</v>
      </c>
      <c r="AR699" s="116">
        <f>INDEX(LINEST(LN(AV699:BC699),SQRT((AV698:BC698))),1)</f>
        <v>-9.3383053240738651E-5</v>
      </c>
      <c r="AS699" s="84">
        <f>INDEX(LINEST(1/(AV699:BC699),1/(SQRT(AV698:BC698)),TRUE,TRUE),3,1)</f>
        <v>0.50988853155364722</v>
      </c>
      <c r="AT699" s="84">
        <f>INDEX(LINEST(1/(AV699:BC699),1/SQRT(AV698:BC698)),1)</f>
        <v>-206759.25988078752</v>
      </c>
      <c r="AU699" s="3"/>
      <c r="AV699" s="53">
        <v>0.42</v>
      </c>
      <c r="AW699" s="53">
        <v>0.5</v>
      </c>
      <c r="AX699" s="53">
        <v>0.44</v>
      </c>
      <c r="AY699" s="53">
        <v>0.32</v>
      </c>
      <c r="AZ699" s="53">
        <v>0.08</v>
      </c>
      <c r="BA699" s="53">
        <v>0.14000000000000001</v>
      </c>
      <c r="BB699" s="53">
        <v>0.08</v>
      </c>
      <c r="BC699" s="53">
        <v>0.08</v>
      </c>
      <c r="BD699" s="53"/>
      <c r="BE699" s="53"/>
      <c r="BF699" s="53"/>
      <c r="BG699" s="53"/>
      <c r="BH699" s="53"/>
      <c r="BI699" s="53"/>
      <c r="BJ699" s="53"/>
      <c r="BK699" s="53"/>
      <c r="BL699" s="53"/>
      <c r="BM699" s="53"/>
      <c r="BN699" s="53"/>
      <c r="BO699" s="53"/>
      <c r="BP699" s="53"/>
      <c r="BQ699" s="53"/>
      <c r="BR699" s="53"/>
      <c r="BS699" s="53"/>
      <c r="BT699" s="53"/>
      <c r="BU699" s="53"/>
      <c r="BV699" s="53"/>
      <c r="BW699" s="53"/>
      <c r="BX699" s="53"/>
      <c r="BY699" s="53"/>
      <c r="BZ699" s="53"/>
      <c r="CA699" s="53"/>
      <c r="CB699" s="53"/>
      <c r="CC699" s="53"/>
      <c r="CD699" s="53"/>
      <c r="CE699" s="53"/>
      <c r="CF699" s="53"/>
      <c r="CG699" s="53"/>
      <c r="CH699" s="53"/>
      <c r="CI699" s="53"/>
      <c r="CJ699" s="53"/>
      <c r="CK699" s="53"/>
      <c r="CL699" s="53"/>
      <c r="CM699" s="53"/>
      <c r="CN699" s="53"/>
      <c r="CO699" s="53"/>
      <c r="CP699" s="53"/>
      <c r="CQ699" s="53"/>
      <c r="CR699" s="1"/>
      <c r="CS699" s="1"/>
      <c r="CT699" s="1"/>
      <c r="CU699" s="1"/>
    </row>
    <row r="700" spans="1:99" s="13" customFormat="1" ht="12" customHeight="1" x14ac:dyDescent="0.2">
      <c r="A700" s="65">
        <v>43896</v>
      </c>
      <c r="B700" s="1"/>
      <c r="C700" s="1"/>
      <c r="D700" s="60"/>
      <c r="E700" s="76"/>
      <c r="F700" s="60"/>
      <c r="G700" s="60"/>
      <c r="H700" s="60"/>
      <c r="I700" s="60"/>
      <c r="J700" s="60"/>
      <c r="K700" s="64"/>
      <c r="L700" s="64"/>
      <c r="M700" s="60"/>
      <c r="N700" s="59"/>
      <c r="O700" s="60"/>
      <c r="P700" s="60"/>
      <c r="Q700" s="60"/>
      <c r="R700" s="60"/>
      <c r="S700" s="60"/>
      <c r="T700" s="59"/>
      <c r="U700" s="60"/>
      <c r="V700" s="59"/>
      <c r="W700" s="60"/>
      <c r="X700" s="60"/>
      <c r="Y700" s="76"/>
      <c r="Z700" s="59"/>
      <c r="AA700" s="59"/>
      <c r="AB700" s="60"/>
      <c r="AC700" s="56"/>
      <c r="AD700" s="60"/>
      <c r="AE700" s="60"/>
      <c r="AF700" s="80"/>
      <c r="AG700" s="56"/>
      <c r="AH700" s="4"/>
      <c r="AI700" s="56"/>
      <c r="AJ700" s="109"/>
      <c r="AK700" s="56"/>
      <c r="AL700" s="56"/>
      <c r="AM700" s="56"/>
      <c r="AN700" s="56"/>
      <c r="AO700" s="82"/>
      <c r="AP700" s="82"/>
      <c r="AQ700" s="83"/>
      <c r="AR700" s="116"/>
      <c r="AS700" s="84"/>
      <c r="AT700" s="84"/>
      <c r="AU700" s="3"/>
      <c r="AV700" s="25">
        <v>157680000</v>
      </c>
      <c r="AW700" s="25">
        <v>315360000</v>
      </c>
      <c r="AX700" s="25">
        <v>473040000</v>
      </c>
      <c r="AY700" s="25">
        <v>630720000</v>
      </c>
      <c r="AZ700" s="25">
        <v>788400000</v>
      </c>
      <c r="BA700" s="25">
        <v>946080000</v>
      </c>
      <c r="BB700" s="25">
        <v>1103760000</v>
      </c>
      <c r="BC700" s="25">
        <v>1231440000</v>
      </c>
      <c r="BD700" s="25"/>
      <c r="BE700" s="25"/>
      <c r="BF700" s="53"/>
      <c r="BG700" s="53"/>
      <c r="BH700" s="53"/>
      <c r="BI700" s="53"/>
      <c r="BJ700" s="53"/>
      <c r="BK700" s="53"/>
      <c r="BL700" s="53"/>
      <c r="BM700" s="53"/>
      <c r="BN700" s="53"/>
      <c r="BO700" s="53"/>
      <c r="BP700" s="53"/>
      <c r="BQ700" s="53"/>
      <c r="BR700" s="53"/>
      <c r="BS700" s="53"/>
      <c r="BT700" s="53"/>
      <c r="BU700" s="53"/>
      <c r="BV700" s="53"/>
      <c r="BW700" s="53"/>
      <c r="BX700" s="53"/>
      <c r="BY700" s="53"/>
      <c r="BZ700" s="53"/>
      <c r="CA700" s="53"/>
      <c r="CB700" s="53"/>
      <c r="CC700" s="53"/>
      <c r="CD700" s="53"/>
      <c r="CE700" s="53"/>
      <c r="CF700" s="53"/>
      <c r="CG700" s="53"/>
      <c r="CH700" s="53"/>
      <c r="CI700" s="53"/>
      <c r="CJ700" s="53"/>
      <c r="CK700" s="53"/>
      <c r="CL700" s="53"/>
      <c r="CM700" s="53"/>
      <c r="CN700" s="53"/>
      <c r="CO700" s="53"/>
      <c r="CP700" s="53"/>
      <c r="CQ700" s="53"/>
      <c r="CR700" s="1"/>
      <c r="CS700" s="1"/>
      <c r="CT700" s="1"/>
      <c r="CU700" s="1"/>
    </row>
    <row r="701" spans="1:99" s="13" customFormat="1" ht="12" customHeight="1" x14ac:dyDescent="0.2">
      <c r="A701" s="65">
        <v>43896</v>
      </c>
      <c r="B701" s="1" t="s">
        <v>362</v>
      </c>
      <c r="C701" s="1" t="s">
        <v>54</v>
      </c>
      <c r="D701" s="60">
        <v>1993</v>
      </c>
      <c r="E701" s="76">
        <v>1</v>
      </c>
      <c r="F701" s="60">
        <v>10</v>
      </c>
      <c r="G701" s="60">
        <v>10</v>
      </c>
      <c r="H701" s="60" t="s">
        <v>363</v>
      </c>
      <c r="I701" s="60" t="s">
        <v>330</v>
      </c>
      <c r="J701" s="60" t="s">
        <v>340</v>
      </c>
      <c r="K701" s="60">
        <f>IF(J701="syllables",1,IF(J701="trigrams",2,IF(J701="strings",3,IF(J701="visual array",4,IF(J701="characters",5,IF(J701="letters",6,IF(J701="free forms",7,IF(J701="odors",8,IF(J701="words",9,IF(J701="pictures",10,IF(J701="object pictures",11,IF(J701="faces",12,IF(J701="names",13,IF(J701="idioms",14,IF(J701="grades",15,IF(J701="syllable-digit pairs",16,IF(J701="trigram-word pairs",17,IF(J701="word-digit pairs",18,IF(J701="English-Swahili pairs",19,IF(J701="spatial position",20,IF(J701="word pairs",21,IF(J701="word triads",22,IF(J701="generated words",23,IF(J701="word definition pairs",24,IF(J701="math problems",25,IF(J701="famous faces",26,IF(J701="famous names",27,IF(J701="famous voices",28,IF(J701="television programs",29,IF(J701="race horses",30,IF(J701="new vocabulary",31,IF(J701="sentences",32,IF(J701="concepts",33,IF(J701="ad slides",34,IF(J701="scenes",35,IF(J701="famous scenes",36,IF(J701="poems",37,IF(J701="walk",38,IF(J701="faces and events",39,IF(J701="events and names",40,IF(J701="flashbulb",41,IF(J701="stories",42,IF(J701="course material",43,IF(J701="autobiographical",44,IF(J701="novels",45,IF(J701="public events",46,"99"))))))))))))))))))))))))))))))))))))))))))))))</f>
        <v>46</v>
      </c>
      <c r="L701" s="60">
        <f>IF(J701="syllables",1,IF(J701="trigrams",1,IF(J701="strings",1,IF(J701="visual array",1,IF(J701="characters",1,IF(J701="letters",1,IF(J701="free forms",1,IF(J701="odors",2,IF(J701="words",2,IF(J701="pictures",2,IF(J701="object pictures",2,IF(J701="faces",2,IF(J701="names",2,IF(J701="idioms","2",IF(J701="grades",2,IF(J701="syllable-digit pairs",3,IF(J701="trigram-word pairs",3,IF(J701="word-digit pairs",3,IF(J701="English-Swahili pairs",3,IF(J701="spatial position",3,IF(J701="word pairs",4,IF(J701="word triads",4,IF(J701="generated words",4,IF(J701="word definition pairs",4,IF(J701="math problems",4,IF(J701="famous faces",4,IF(J701="famous names",4,IF(J701="famous voices",4,IF(J701="television programs",4,IF(J701="race horses",4,IF(J701="new vocabulary",4,IF(J701="sentences",5,IF(J701="concepts",5,IF(J701="ad slides",5,IF(J701="scenes",5,IF(J701="famous scenes",5,IF(J701="poems",6,IF(J701="walk",6,IF(J701="faces and events",6,IF(J701="events and names",6,IF(J701="flashbulb",7,IF(J701="stories",7,IF(J701="course material",7,IF(J701="autobiographical",7,IF(J701="novels",7,IF(J701="public events",7,"99"))))))))))))))))))))))))))))))))))))))))))))))</f>
        <v>7</v>
      </c>
      <c r="M701" s="60">
        <v>1</v>
      </c>
      <c r="N701" s="59">
        <v>4</v>
      </c>
      <c r="O701" s="60">
        <v>0</v>
      </c>
      <c r="P701" s="60"/>
      <c r="Q701" s="60" t="s">
        <v>34</v>
      </c>
      <c r="R701" s="60">
        <f>IF(Q701="Free Recall",1,IF(Q701="Cued Recall",2,IF(Q701="Recognition",3,IF(Q701="Multiple Choice",4,IF(Q701="Savings",5,IF(Q701="Stem Completion",6,IF(Q701="Fragment Completion",7,IF(Q701="anagram solution",8,IF(Q701="Matching",9,IF(Q701="Problem Solving",10,"99"))))))))))</f>
        <v>3</v>
      </c>
      <c r="S701" s="60" t="s">
        <v>15</v>
      </c>
      <c r="T701" s="59" t="s">
        <v>581</v>
      </c>
      <c r="U701" s="60">
        <f>IF(T701="within",1,0)</f>
        <v>1</v>
      </c>
      <c r="V701" s="59">
        <v>100</v>
      </c>
      <c r="W701" s="60">
        <f>F701*V701</f>
        <v>1000</v>
      </c>
      <c r="X701" s="60">
        <v>8</v>
      </c>
      <c r="Y701" s="76">
        <f>AV700</f>
        <v>157680000</v>
      </c>
      <c r="Z701" s="60" t="s">
        <v>209</v>
      </c>
      <c r="AA701" s="60">
        <f>50*365*24*60*60</f>
        <v>1576800000</v>
      </c>
      <c r="AB701" s="60" t="str">
        <f>IF(AA701&lt;60,"1",IF(AA701&lt;=43200,"2",IF(AA701&lt;=777600,"3","4")))</f>
        <v>4</v>
      </c>
      <c r="AC701" s="56">
        <f>AVERAGE(AV700:DA700)</f>
        <v>705810000</v>
      </c>
      <c r="AD701" s="60" t="str">
        <f>IF(AC701&lt;60,"1",IF(AC701&lt;=43200,"2",IF(AC701&lt;=777600,"3","4")))</f>
        <v>4</v>
      </c>
      <c r="AE701" s="76">
        <f>AA701-Y701</f>
        <v>1419120000</v>
      </c>
      <c r="AF701" s="80">
        <f>AV701</f>
        <v>0.92</v>
      </c>
      <c r="AG701" s="56">
        <f>((AW701-AV701)+(AX701-AW701)+(AY701-AX701)+(AZ701-AY701)+(BA701-AZ701)+(BB701-BA701)+(BC701-BB701))/7</f>
        <v>-4.2857142857142864E-2</v>
      </c>
      <c r="AH701" s="4"/>
      <c r="AI701" s="56">
        <f>RSQ(AV701:BC701,AV700:BC700)</f>
        <v>0.81418512809595978</v>
      </c>
      <c r="AJ701" s="109">
        <f>SLOPE(AV701:BC701,AV700:BC700)</f>
        <v>-2.6297317012070946E-10</v>
      </c>
      <c r="AK701" s="56">
        <f>INTERCEPT(AV701:BC701,AV700:BC700)</f>
        <v>0.92310909320289802</v>
      </c>
      <c r="AL701" s="56">
        <f>INDEX(LINEST(LN(AV701:BC701),LN(AV700:BC700),TRUE,TRUE),3,1)</f>
        <v>0.88636152948847347</v>
      </c>
      <c r="AM701" s="56">
        <f>INDEX(LINEST(LN(AV701:BC701),LN(AV700:BC700)),1)</f>
        <v>-0.19471488254221</v>
      </c>
      <c r="AN701" s="56">
        <f>EXP(INDEX(LINEST(LN(AV701:BC701),LN(AV700:BC700)),1,2))</f>
        <v>37.303669756502572</v>
      </c>
      <c r="AO701" s="82">
        <f>INDEX(LINEST((AV701:BC701),LN(AV700:BC700),TRUE,TRUE),3,1)</f>
        <v>0.89687184842382106</v>
      </c>
      <c r="AP701" s="82">
        <f>INDEX(LINEST((AV701:BC701),LN(AV700:BC700)),1)</f>
        <v>-0.14996683932472496</v>
      </c>
      <c r="AQ701" s="83">
        <f>INDEX(LINEST(LN(AV701:BC701),SQRT(AV700:BC700),TRUE,TRUE),3,1)</f>
        <v>0.87332893937953704</v>
      </c>
      <c r="AR701" s="116">
        <f>INDEX(LINEST(LN(AV701:BC701),SQRT((AV700:BC700))),1)</f>
        <v>-1.7304400926465803E-5</v>
      </c>
      <c r="AS701" s="84">
        <f>INDEX(LINEST(1/(AV701:BC701),1/(SQRT(AV700:BC700)),TRUE,TRUE),3,1)</f>
        <v>0.82918349851966566</v>
      </c>
      <c r="AT701" s="84">
        <f>INDEX(LINEST(1/(AV701:BC701),1/SQRT(AV700:BC700)),1)</f>
        <v>-10112.026072348108</v>
      </c>
      <c r="AU701" s="3"/>
      <c r="AV701" s="53">
        <v>0.92</v>
      </c>
      <c r="AW701" s="53">
        <v>0.88</v>
      </c>
      <c r="AX701" s="53">
        <v>0.78</v>
      </c>
      <c r="AY701" s="53">
        <v>0.66</v>
      </c>
      <c r="AZ701" s="53">
        <v>0.68</v>
      </c>
      <c r="BA701" s="53">
        <v>0.7</v>
      </c>
      <c r="BB701" s="53">
        <v>0.66</v>
      </c>
      <c r="BC701" s="53">
        <v>0.62</v>
      </c>
      <c r="BD701" s="53"/>
      <c r="BE701" s="53"/>
      <c r="BF701" s="53"/>
      <c r="BG701" s="53"/>
      <c r="BH701" s="53"/>
      <c r="BI701" s="53"/>
      <c r="BJ701" s="53"/>
      <c r="BK701" s="53"/>
      <c r="BL701" s="53"/>
      <c r="BM701" s="53"/>
      <c r="BN701" s="53"/>
      <c r="BO701" s="53"/>
      <c r="BP701" s="53"/>
      <c r="BQ701" s="53"/>
      <c r="BR701" s="53"/>
      <c r="BS701" s="53"/>
      <c r="BT701" s="53"/>
      <c r="BU701" s="53"/>
      <c r="BV701" s="53"/>
      <c r="BW701" s="53"/>
      <c r="BX701" s="53"/>
      <c r="BY701" s="53"/>
      <c r="BZ701" s="53"/>
      <c r="CA701" s="53"/>
      <c r="CB701" s="53"/>
      <c r="CC701" s="53"/>
      <c r="CD701" s="53"/>
      <c r="CE701" s="53"/>
      <c r="CF701" s="53"/>
      <c r="CG701" s="53"/>
      <c r="CH701" s="53"/>
      <c r="CI701" s="53"/>
      <c r="CJ701" s="53"/>
      <c r="CK701" s="53"/>
      <c r="CL701" s="53"/>
      <c r="CM701" s="53"/>
      <c r="CN701" s="53"/>
      <c r="CO701" s="53"/>
      <c r="CP701" s="53"/>
      <c r="CQ701" s="53"/>
      <c r="CR701" s="1"/>
      <c r="CS701" s="1"/>
      <c r="CT701" s="1"/>
      <c r="CU701" s="1"/>
    </row>
    <row r="702" spans="1:99" s="13" customFormat="1" ht="12" customHeight="1" x14ac:dyDescent="0.2">
      <c r="A702" s="65">
        <v>43896</v>
      </c>
      <c r="B702" s="1"/>
      <c r="C702" s="1"/>
      <c r="D702" s="60"/>
      <c r="E702" s="76"/>
      <c r="F702" s="60"/>
      <c r="G702" s="60"/>
      <c r="H702" s="60"/>
      <c r="I702" s="60"/>
      <c r="J702" s="60"/>
      <c r="K702" s="64"/>
      <c r="L702" s="64"/>
      <c r="M702" s="60"/>
      <c r="N702" s="59"/>
      <c r="O702" s="60"/>
      <c r="P702" s="60"/>
      <c r="Q702" s="60"/>
      <c r="R702" s="60"/>
      <c r="S702" s="60"/>
      <c r="T702" s="59"/>
      <c r="U702" s="60"/>
      <c r="V702" s="59"/>
      <c r="W702" s="60"/>
      <c r="X702" s="60"/>
      <c r="Y702" s="76"/>
      <c r="Z702" s="59"/>
      <c r="AA702" s="59"/>
      <c r="AB702" s="60"/>
      <c r="AC702" s="56"/>
      <c r="AD702" s="60"/>
      <c r="AE702" s="60"/>
      <c r="AF702" s="80"/>
      <c r="AG702" s="56"/>
      <c r="AH702" s="4"/>
      <c r="AI702" s="56"/>
      <c r="AJ702" s="109"/>
      <c r="AK702" s="56"/>
      <c r="AL702" s="56"/>
      <c r="AM702" s="56"/>
      <c r="AN702" s="56"/>
      <c r="AO702" s="82"/>
      <c r="AP702" s="82"/>
      <c r="AQ702" s="83"/>
      <c r="AR702" s="116"/>
      <c r="AS702" s="84"/>
      <c r="AT702" s="84"/>
      <c r="AU702" s="3"/>
      <c r="AV702" s="25">
        <v>157680000</v>
      </c>
      <c r="AW702" s="25">
        <v>315360000</v>
      </c>
      <c r="AX702" s="25">
        <v>473040000</v>
      </c>
      <c r="AY702" s="25">
        <v>630720000</v>
      </c>
      <c r="AZ702" s="25">
        <v>788400000</v>
      </c>
      <c r="BA702" s="25">
        <v>946080000</v>
      </c>
      <c r="BB702" s="25">
        <v>1103760000</v>
      </c>
      <c r="BC702" s="25">
        <v>1231440000</v>
      </c>
      <c r="BD702" s="25">
        <v>1419120000</v>
      </c>
      <c r="BE702" s="25">
        <v>1576800000</v>
      </c>
      <c r="BF702" s="53"/>
      <c r="BG702" s="53"/>
      <c r="BH702" s="53"/>
      <c r="BI702" s="53"/>
      <c r="BJ702" s="53"/>
      <c r="BK702" s="53"/>
      <c r="BL702" s="53"/>
      <c r="BM702" s="53"/>
      <c r="BN702" s="53"/>
      <c r="BO702" s="53"/>
      <c r="BP702" s="53"/>
      <c r="BQ702" s="53"/>
      <c r="BR702" s="53"/>
      <c r="BS702" s="53"/>
      <c r="BT702" s="53"/>
      <c r="BU702" s="53"/>
      <c r="BV702" s="53"/>
      <c r="BW702" s="53"/>
      <c r="BX702" s="53"/>
      <c r="BY702" s="53"/>
      <c r="BZ702" s="53"/>
      <c r="CA702" s="53"/>
      <c r="CB702" s="53"/>
      <c r="CC702" s="53"/>
      <c r="CD702" s="53"/>
      <c r="CE702" s="53"/>
      <c r="CF702" s="53"/>
      <c r="CG702" s="53"/>
      <c r="CH702" s="53"/>
      <c r="CI702" s="53"/>
      <c r="CJ702" s="53"/>
      <c r="CK702" s="53"/>
      <c r="CL702" s="53"/>
      <c r="CM702" s="53"/>
      <c r="CN702" s="53"/>
      <c r="CO702" s="53"/>
      <c r="CP702" s="53"/>
      <c r="CQ702" s="53"/>
      <c r="CR702" s="1"/>
      <c r="CS702" s="1"/>
      <c r="CT702" s="1"/>
      <c r="CU702" s="1"/>
    </row>
    <row r="703" spans="1:99" s="13" customFormat="1" ht="12" customHeight="1" x14ac:dyDescent="0.2">
      <c r="A703" s="65">
        <v>43896</v>
      </c>
      <c r="B703" s="1" t="s">
        <v>362</v>
      </c>
      <c r="C703" s="1" t="s">
        <v>54</v>
      </c>
      <c r="D703" s="60">
        <v>1993</v>
      </c>
      <c r="E703" s="76">
        <v>1</v>
      </c>
      <c r="F703" s="60">
        <v>9</v>
      </c>
      <c r="G703" s="60">
        <v>9</v>
      </c>
      <c r="H703" s="60" t="s">
        <v>363</v>
      </c>
      <c r="I703" s="60" t="s">
        <v>330</v>
      </c>
      <c r="J703" s="60" t="s">
        <v>340</v>
      </c>
      <c r="K703" s="60">
        <f>IF(J703="syllables",1,IF(J703="trigrams",2,IF(J703="strings",3,IF(J703="visual array",4,IF(J703="characters",5,IF(J703="letters",6,IF(J703="free forms",7,IF(J703="odors",8,IF(J703="words",9,IF(J703="pictures",10,IF(J703="object pictures",11,IF(J703="faces",12,IF(J703="names",13,IF(J703="idioms",14,IF(J703="grades",15,IF(J703="syllable-digit pairs",16,IF(J703="trigram-word pairs",17,IF(J703="word-digit pairs",18,IF(J703="English-Swahili pairs",19,IF(J703="spatial position",20,IF(J703="word pairs",21,IF(J703="word triads",22,IF(J703="generated words",23,IF(J703="word definition pairs",24,IF(J703="math problems",25,IF(J703="famous faces",26,IF(J703="famous names",27,IF(J703="famous voices",28,IF(J703="television programs",29,IF(J703="race horses",30,IF(J703="new vocabulary",31,IF(J703="sentences",32,IF(J703="concepts",33,IF(J703="ad slides",34,IF(J703="scenes",35,IF(J703="famous scenes",36,IF(J703="poems",37,IF(J703="walk",38,IF(J703="faces and events",39,IF(J703="events and names",40,IF(J703="flashbulb",41,IF(J703="stories",42,IF(J703="course material",43,IF(J703="autobiographical",44,IF(J703="novels",45,IF(J703="public events",46,"99"))))))))))))))))))))))))))))))))))))))))))))))</f>
        <v>46</v>
      </c>
      <c r="L703" s="60">
        <f>IF(J703="syllables",1,IF(J703="trigrams",1,IF(J703="strings",1,IF(J703="visual array",1,IF(J703="characters",1,IF(J703="letters",1,IF(J703="free forms",1,IF(J703="odors",2,IF(J703="words",2,IF(J703="pictures",2,IF(J703="object pictures",2,IF(J703="faces",2,IF(J703="names",2,IF(J703="idioms","2",IF(J703="grades",2,IF(J703="syllable-digit pairs",3,IF(J703="trigram-word pairs",3,IF(J703="word-digit pairs",3,IF(J703="English-Swahili pairs",3,IF(J703="spatial position",3,IF(J703="word pairs",4,IF(J703="word triads",4,IF(J703="generated words",4,IF(J703="word definition pairs",4,IF(J703="math problems",4,IF(J703="famous faces",4,IF(J703="famous names",4,IF(J703="famous voices",4,IF(J703="television programs",4,IF(J703="race horses",4,IF(J703="new vocabulary",4,IF(J703="sentences",5,IF(J703="concepts",5,IF(J703="ad slides",5,IF(J703="scenes",5,IF(J703="famous scenes",5,IF(J703="poems",6,IF(J703="walk",6,IF(J703="faces and events",6,IF(J703="events and names",6,IF(J703="flashbulb",7,IF(J703="stories",7,IF(J703="course material",7,IF(J703="autobiographical",7,IF(J703="novels",7,IF(J703="public events",7,"99"))))))))))))))))))))))))))))))))))))))))))))))</f>
        <v>7</v>
      </c>
      <c r="M703" s="60">
        <v>1</v>
      </c>
      <c r="N703" s="59">
        <v>4</v>
      </c>
      <c r="O703" s="60">
        <v>0</v>
      </c>
      <c r="P703" s="60"/>
      <c r="Q703" s="60" t="s">
        <v>34</v>
      </c>
      <c r="R703" s="60">
        <f>IF(Q703="Free Recall",1,IF(Q703="Cued Recall",2,IF(Q703="Recognition",3,IF(Q703="Multiple Choice",4,IF(Q703="Savings",5,IF(Q703="Stem Completion",6,IF(Q703="Fragment Completion",7,IF(Q703="anagram solution",8,IF(Q703="Matching",9,IF(Q703="Problem Solving",10,"99"))))))))))</f>
        <v>3</v>
      </c>
      <c r="S703" s="60" t="s">
        <v>15</v>
      </c>
      <c r="T703" s="59" t="s">
        <v>581</v>
      </c>
      <c r="U703" s="60">
        <f>IF(T703="within",1,0)</f>
        <v>1</v>
      </c>
      <c r="V703" s="59">
        <v>100</v>
      </c>
      <c r="W703" s="60">
        <f>F703*V703</f>
        <v>900</v>
      </c>
      <c r="X703" s="60">
        <v>10</v>
      </c>
      <c r="Y703" s="76">
        <f>AV702</f>
        <v>157680000</v>
      </c>
      <c r="Z703" s="60" t="s">
        <v>209</v>
      </c>
      <c r="AA703" s="60">
        <f>50*365*24*60*60</f>
        <v>1576800000</v>
      </c>
      <c r="AB703" s="60" t="str">
        <f>IF(AA703&lt;60,"1",IF(AA703&lt;=43200,"2",IF(AA703&lt;=777600,"3","4")))</f>
        <v>4</v>
      </c>
      <c r="AC703" s="56">
        <f>AVERAGE(AV702:DA702)</f>
        <v>864240000</v>
      </c>
      <c r="AD703" s="60" t="str">
        <f>IF(AC703&lt;60,"1",IF(AC703&lt;=43200,"2",IF(AC703&lt;=777600,"3","4")))</f>
        <v>4</v>
      </c>
      <c r="AE703" s="76">
        <f>AA703-Y703</f>
        <v>1419120000</v>
      </c>
      <c r="AF703" s="80">
        <f>AV703</f>
        <v>0.77500000000000002</v>
      </c>
      <c r="AG703" s="56">
        <f>((AW703-AV703)+(AX703-AW703)+(AY703-AX703)+(AZ703-AY703)+(BA703-AZ703)+(BB703-BA703)+(BC703-BB703)+(BD703-BC703)+(BE703-BD703))/9</f>
        <v>-5.8333333333333334E-2</v>
      </c>
      <c r="AH703" s="4"/>
      <c r="AI703" s="56">
        <f>RSQ(AV703:BE703,AV702:BE702)</f>
        <v>0.83740106260198222</v>
      </c>
      <c r="AJ703" s="109">
        <f>SLOPE(AV703:BE703,AV702:BE702)</f>
        <v>-3.8300118303606925E-10</v>
      </c>
      <c r="AK703" s="56">
        <f>INTERCEPT(AV703:BE703,AV702:BE702)</f>
        <v>0.84350494242709262</v>
      </c>
      <c r="AL703" s="56">
        <f>INDEX(LINEST(LN(AV703:BE703),LN(AV702:BE702),TRUE,TRUE),3,1)</f>
        <v>0.70885393239827765</v>
      </c>
      <c r="AM703" s="56">
        <f>INDEX(LINEST(LN(AV703:BE703),LN(AV702:BE702)),1)</f>
        <v>-0.48077626414542657</v>
      </c>
      <c r="AN703" s="56">
        <f>EXP(INDEX(LINEST(LN(AV703:BE703),LN(AV702:BE702)),1,2))</f>
        <v>8581.4804501054059</v>
      </c>
      <c r="AO703" s="82">
        <f>INDEX(LINEST((AV703:BE703),LN(AV702:BE702),TRUE,TRUE),3,1)</f>
        <v>0.77587502470619663</v>
      </c>
      <c r="AP703" s="82">
        <f>INDEX(LINEST((AV703:BE703),LN(AV702:BE702)),1)</f>
        <v>-0.23942619591612307</v>
      </c>
      <c r="AQ703" s="83">
        <f>INDEX(LINEST(LN(AV703:BE703),SQRT(AV702:BE702),TRUE,TRUE),3,1)</f>
        <v>0.79179945267907725</v>
      </c>
      <c r="AR703" s="116">
        <f>INDEX(LINEST(LN(AV703:BE703),SQRT((AV702:BE702))),1)</f>
        <v>-4.1928308412294552E-5</v>
      </c>
      <c r="AS703" s="84">
        <f>INDEX(LINEST(1/(AV703:BE703),1/(SQRT(AV702:BE702)),TRUE,TRUE),3,1)</f>
        <v>0.50049154714371002</v>
      </c>
      <c r="AT703" s="84">
        <f>INDEX(LINEST(1/(AV703:BE703),1/SQRT(AV702:BE702)),1)</f>
        <v>-41007.78207419339</v>
      </c>
      <c r="AU703" s="3"/>
      <c r="AV703" s="53">
        <v>0.77500000000000002</v>
      </c>
      <c r="AW703" s="53">
        <v>0.77500000000000002</v>
      </c>
      <c r="AX703" s="53">
        <v>0.72499999999999998</v>
      </c>
      <c r="AY703" s="53">
        <v>0.42499999999999999</v>
      </c>
      <c r="AZ703" s="53">
        <v>0.55000000000000004</v>
      </c>
      <c r="BA703" s="53">
        <v>0.47499999999999998</v>
      </c>
      <c r="BB703" s="53">
        <v>0.55000000000000004</v>
      </c>
      <c r="BC703" s="53">
        <v>0.32500000000000001</v>
      </c>
      <c r="BD703" s="53">
        <v>0.27500000000000002</v>
      </c>
      <c r="BE703" s="53">
        <v>0.25</v>
      </c>
      <c r="BF703" s="53"/>
      <c r="BG703" s="53"/>
      <c r="BH703" s="53"/>
      <c r="BI703" s="53"/>
      <c r="BJ703" s="53"/>
      <c r="BK703" s="53"/>
      <c r="BL703" s="53"/>
      <c r="BM703" s="53"/>
      <c r="BN703" s="53"/>
      <c r="BO703" s="53"/>
      <c r="BP703" s="53"/>
      <c r="BQ703" s="53"/>
      <c r="BR703" s="53"/>
      <c r="BS703" s="53"/>
      <c r="BT703" s="53"/>
      <c r="BU703" s="53"/>
      <c r="BV703" s="53"/>
      <c r="BW703" s="53"/>
      <c r="BX703" s="53"/>
      <c r="BY703" s="53"/>
      <c r="BZ703" s="53"/>
      <c r="CA703" s="53"/>
      <c r="CB703" s="53"/>
      <c r="CC703" s="53"/>
      <c r="CD703" s="53"/>
      <c r="CE703" s="53"/>
      <c r="CF703" s="53"/>
      <c r="CG703" s="53"/>
      <c r="CH703" s="53"/>
      <c r="CI703" s="53"/>
      <c r="CJ703" s="53"/>
      <c r="CK703" s="53"/>
      <c r="CL703" s="53"/>
      <c r="CM703" s="53"/>
      <c r="CN703" s="53"/>
      <c r="CO703" s="53"/>
      <c r="CP703" s="53"/>
      <c r="CQ703" s="53"/>
      <c r="CR703" s="1"/>
      <c r="CS703" s="1"/>
      <c r="CT703" s="1"/>
      <c r="CU703" s="1"/>
    </row>
    <row r="704" spans="1:99" s="13" customFormat="1" ht="12" customHeight="1" x14ac:dyDescent="0.2">
      <c r="A704" s="68">
        <v>43509</v>
      </c>
      <c r="B704" s="70"/>
      <c r="C704" s="70"/>
      <c r="D704" s="69"/>
      <c r="E704" s="87"/>
      <c r="F704" s="69"/>
      <c r="G704" s="69"/>
      <c r="H704" s="69"/>
      <c r="I704" s="69"/>
      <c r="J704" s="69"/>
      <c r="K704" s="107"/>
      <c r="L704" s="107"/>
      <c r="M704" s="69"/>
      <c r="N704" s="69"/>
      <c r="O704" s="69"/>
      <c r="P704" s="69"/>
      <c r="Q704" s="69"/>
      <c r="R704" s="69"/>
      <c r="S704" s="69"/>
      <c r="T704" s="69"/>
      <c r="U704" s="60"/>
      <c r="V704" s="69"/>
      <c r="W704" s="69"/>
      <c r="X704" s="69"/>
      <c r="Y704" s="87"/>
      <c r="Z704" s="69"/>
      <c r="AA704" s="69"/>
      <c r="AB704" s="69"/>
      <c r="AC704" s="69"/>
      <c r="AD704" s="69"/>
      <c r="AE704" s="69"/>
      <c r="AF704" s="88"/>
      <c r="AG704" s="72"/>
      <c r="AH704" s="4"/>
      <c r="AI704" s="72"/>
      <c r="AJ704" s="110"/>
      <c r="AK704" s="72"/>
      <c r="AL704" s="72"/>
      <c r="AM704" s="72"/>
      <c r="AN704" s="72"/>
      <c r="AO704" s="72"/>
      <c r="AP704" s="72"/>
      <c r="AQ704" s="72"/>
      <c r="AR704" s="110"/>
      <c r="AS704" s="72"/>
      <c r="AT704" s="72"/>
      <c r="AU704" s="4"/>
      <c r="AV704" s="71">
        <f>(365*24*60*60)/2</f>
        <v>15768000</v>
      </c>
      <c r="AW704" s="71">
        <f>365*24*60*60</f>
        <v>31536000</v>
      </c>
      <c r="AX704" s="71">
        <f>365*24*60*60*1.5</f>
        <v>47304000</v>
      </c>
      <c r="AY704" s="71">
        <f>365*24*60*60*2</f>
        <v>63072000</v>
      </c>
      <c r="AZ704" s="71">
        <f>365*24*60*60*2.5</f>
        <v>78840000</v>
      </c>
      <c r="BA704" s="71">
        <f>365*24*60*60*3</f>
        <v>94608000</v>
      </c>
      <c r="BB704" s="71">
        <f>365*24*60*60*3.5</f>
        <v>110376000</v>
      </c>
      <c r="BC704" s="71">
        <f>365*24*60*60*4</f>
        <v>126144000</v>
      </c>
      <c r="BD704" s="71">
        <f>365*24*60*60*4.5</f>
        <v>141912000</v>
      </c>
      <c r="BE704" s="71">
        <f>365*24*60*60*5</f>
        <v>157680000</v>
      </c>
      <c r="BF704" s="53"/>
      <c r="BG704" s="53"/>
      <c r="BH704" s="53"/>
      <c r="BI704" s="53"/>
      <c r="BJ704" s="53"/>
      <c r="BK704" s="53"/>
      <c r="BL704" s="53"/>
      <c r="BM704" s="53"/>
      <c r="BN704" s="53"/>
      <c r="BO704" s="53"/>
      <c r="BP704" s="53"/>
      <c r="BQ704" s="53"/>
      <c r="BR704" s="53"/>
      <c r="BS704" s="53"/>
      <c r="BT704" s="53"/>
      <c r="BU704" s="53"/>
      <c r="BV704" s="53"/>
      <c r="BW704" s="53"/>
      <c r="BX704" s="53"/>
      <c r="BY704" s="53"/>
      <c r="BZ704" s="53"/>
      <c r="CA704" s="53"/>
      <c r="CB704" s="53"/>
      <c r="CC704" s="53"/>
      <c r="CD704" s="53"/>
      <c r="CE704" s="53"/>
      <c r="CF704" s="53"/>
      <c r="CG704" s="53"/>
      <c r="CH704" s="53"/>
      <c r="CI704" s="53"/>
      <c r="CJ704" s="53"/>
      <c r="CK704" s="53"/>
      <c r="CL704" s="53"/>
      <c r="CM704" s="53"/>
      <c r="CN704" s="53"/>
      <c r="CO704" s="53"/>
      <c r="CP704" s="53"/>
      <c r="CQ704" s="53"/>
      <c r="CR704" s="1"/>
      <c r="CS704" s="1"/>
      <c r="CT704" s="1"/>
      <c r="CU704" s="1"/>
    </row>
    <row r="705" spans="1:99" s="13" customFormat="1" ht="12" customHeight="1" x14ac:dyDescent="0.2">
      <c r="A705" s="68">
        <v>43509</v>
      </c>
      <c r="B705" s="70" t="s">
        <v>225</v>
      </c>
      <c r="C705" s="70" t="s">
        <v>226</v>
      </c>
      <c r="D705" s="69">
        <v>1986</v>
      </c>
      <c r="E705" s="87">
        <v>1</v>
      </c>
      <c r="F705" s="69">
        <v>1</v>
      </c>
      <c r="G705" s="69">
        <v>1</v>
      </c>
      <c r="H705" s="69" t="s">
        <v>41</v>
      </c>
      <c r="I705" s="69"/>
      <c r="J705" s="69" t="s">
        <v>622</v>
      </c>
      <c r="K705" s="69">
        <f>IF(J705="syllables",1,IF(J705="trigrams",2,IF(J705="strings",3,IF(J705="visual array",4,IF(J705="characters",5,IF(J705="letters",6,IF(J705="free forms",7,IF(J705="odors",8,IF(J705="words",9,IF(J705="pictures",10,IF(J705="object pictures",11,IF(J705="faces",12,IF(J705="names",13,IF(J705="idioms",14,IF(J705="grades",15,IF(J705="syllable-digit pairs",16,IF(J705="trigram-word pairs",17,IF(J705="word-digit pairs",18,IF(J705="English-Swahili pairs",19,IF(J705="spatial position",20,IF(J705="word pairs",21,IF(J705="word triads",22,IF(J705="generated words",23,IF(J705="word definition pairs",24,IF(J705="math problems",25,IF(J705="famous faces",26,IF(J705="famous names",27,IF(J705="famous voices",28,IF(J705="television programs",29,IF(J705="race horses",30,IF(J705="new vocabulary",31,IF(J705="sentences",32,IF(J705="concepts",33,IF(J705="ad slides",34,IF(J705="scenes",35,IF(J705="famous scenes",36,IF(J705="poems",37,IF(J705="walk",38,IF(J705="faces and events",39,IF(J705="events and names",40,IF(J705="flashbulb",41,IF(J705="stories",42,IF(J705="course material",43,IF(J705="autobiographical",44,IF(J705="novels",45,IF(J705="public events",46,"99"))))))))))))))))))))))))))))))))))))))))))))))</f>
        <v>44</v>
      </c>
      <c r="L705" s="69">
        <f>IF(J705="syllables",1,IF(J705="trigrams",1,IF(J705="strings",1,IF(J705="visual array",1,IF(J705="characters",1,IF(J705="letters",1,IF(J705="free forms",1,IF(J705="odors",2,IF(J705="words",2,IF(J705="pictures",2,IF(J705="object pictures",2,IF(J705="faces",2,IF(J705="names",2,IF(J705="idioms","2",IF(J705="grades",2,IF(J705="syllable-digit pairs",3,IF(J705="trigram-word pairs",3,IF(J705="word-digit pairs",3,IF(J705="English-Swahili pairs",3,IF(J705="spatial position",3,IF(J705="word pairs",4,IF(J705="word triads",4,IF(J705="generated words",4,IF(J705="word definition pairs",4,IF(J705="math problems",4,IF(J705="famous faces",4,IF(J705="famous names",4,IF(J705="famous voices",4,IF(J705="television programs",4,IF(J705="race horses",4,IF(J705="new vocabulary",4,IF(J705="sentences",5,IF(J705="concepts",5,IF(J705="ad slides",5,IF(J705="scenes",5,IF(J705="famous scenes",5,IF(J705="poems",6,IF(J705="walk",6,IF(J705="faces and events",6,IF(J705="events and names",6,IF(J705="flashbulb",7,IF(J705="stories",7,IF(J705="course material",7,IF(J705="autobiographical",7,IF(J705="novels",7,IF(J705="public events",7,"99"))))))))))))))))))))))))))))))))))))))))))))))</f>
        <v>7</v>
      </c>
      <c r="M705" s="69">
        <v>0</v>
      </c>
      <c r="N705" s="69">
        <v>3</v>
      </c>
      <c r="O705" s="69">
        <v>0</v>
      </c>
      <c r="P705" s="69"/>
      <c r="Q705" s="69" t="s">
        <v>174</v>
      </c>
      <c r="R705" s="69">
        <f>IF(Q705="Free Recall",1,IF(Q705="Cued Recall",2,IF(Q705="Recognition",3,IF(Q705="Multiple Choice",4,IF(Q705="Savings",5,IF(Q705="Stem Completion",6,IF(Q705="Fragment Completion",7,IF(Q705="anagram solution",8,IF(Q705="Matching",9,IF(Q705="Problem Solving",10,"99"))))))))))</f>
        <v>1</v>
      </c>
      <c r="S705" s="69" t="s">
        <v>49</v>
      </c>
      <c r="T705" s="92" t="s">
        <v>581</v>
      </c>
      <c r="U705" s="60">
        <f>IF(T705="within",1,0)</f>
        <v>1</v>
      </c>
      <c r="V705" s="92">
        <v>2400</v>
      </c>
      <c r="W705" s="69">
        <f>F705*V705</f>
        <v>2400</v>
      </c>
      <c r="X705" s="69">
        <v>10</v>
      </c>
      <c r="Y705" s="87">
        <f>AV704</f>
        <v>15768000</v>
      </c>
      <c r="Z705" s="69" t="s">
        <v>319</v>
      </c>
      <c r="AA705" s="69">
        <f>5*365*24*60*60</f>
        <v>157680000</v>
      </c>
      <c r="AB705" s="69" t="str">
        <f>IF(AA705&lt;60,"1",IF(AA705&lt;=43200,"2",IF(AA705&lt;=777600,"3","4")))</f>
        <v>4</v>
      </c>
      <c r="AC705" s="72">
        <f>AVERAGE(AV704:DA704)</f>
        <v>86724000</v>
      </c>
      <c r="AD705" s="69" t="str">
        <f>IF(AC705&lt;60,"1",IF(AC705&lt;=43200,"2",IF(AC705&lt;=777600,"3","4")))</f>
        <v>4</v>
      </c>
      <c r="AE705" s="87">
        <f>AA705-Y705</f>
        <v>141912000</v>
      </c>
      <c r="AF705" s="88">
        <f>AV705</f>
        <v>0.7</v>
      </c>
      <c r="AG705" s="72">
        <f>((AW705-AV705)+(AX705-AW705)+(AY705-AX705)+(AZ705-AY705)+(BA705-AZ705)+(BB705-BA705)+(BC705-BB705)+(BD705-BC705)+(BE705-BD705))/9</f>
        <v>-4.4444444444444439E-2</v>
      </c>
      <c r="AH705" s="4"/>
      <c r="AI705" s="72">
        <f>RSQ(AV705:BE705,AV704:BE704)</f>
        <v>0.80479873033491767</v>
      </c>
      <c r="AJ705" s="110">
        <f>SLOPE(AV705:BE705,AV704:BE704)</f>
        <v>-2.2100764109896528E-9</v>
      </c>
      <c r="AK705" s="72">
        <f>INTERCEPT(AV705:BE705,AV704:BE704)</f>
        <v>0.61266666666666669</v>
      </c>
      <c r="AL705" s="72">
        <f>INDEX(LINEST(LN(AV705:BE705),LN(AV704:BE704),TRUE,TRUE),3,1)</f>
        <v>0.97707226137410719</v>
      </c>
      <c r="AM705" s="72">
        <f>INDEX(LINEST(LN(AV705:BE705),LN(AV704:BE704)),1)</f>
        <v>-0.33858002550310967</v>
      </c>
      <c r="AN705" s="72">
        <f>EXP(INDEX(LINEST(LN(AV705:BE705),LN(AV704:BE704)),1,2))</f>
        <v>186.31357686872596</v>
      </c>
      <c r="AO705" s="89">
        <f>INDEX(LINEST((AV705:BE705),LN(AV704:BE704),TRUE,TRUE),3,1)</f>
        <v>0.95931368626768765</v>
      </c>
      <c r="AP705" s="89">
        <f>INDEX(LINEST((AV705:BE705),LN(AV704:BE704)),1)</f>
        <v>-0.15714775619389901</v>
      </c>
      <c r="AQ705" s="90">
        <f>INDEX(LINEST(LN(AV705:BE705),SQRT(AV704:BE704),TRUE,TRUE),3,1)</f>
        <v>0.95316843675134133</v>
      </c>
      <c r="AR705" s="117">
        <f>INDEX(LINEST(LN(AV705:BE705),SQRT((AV704:BE704))),1)</f>
        <v>-8.7132005285518136E-5</v>
      </c>
      <c r="AS705" s="91">
        <f>INDEX(LINEST(1/(AV705:BE705),1/(SQRT(AV704:BE704)),TRUE,TRUE),3,1)</f>
        <v>0.88765594911665147</v>
      </c>
      <c r="AT705" s="91">
        <f>INDEX(LINEST(1/(AV705:BE705),1/SQRT(AV704:BE704)),1)</f>
        <v>-10077.742586247447</v>
      </c>
      <c r="AU705" s="3"/>
      <c r="AV705" s="73">
        <v>0.7</v>
      </c>
      <c r="AW705" s="73">
        <v>0.51</v>
      </c>
      <c r="AX705" s="73">
        <v>0.46</v>
      </c>
      <c r="AY705" s="73">
        <v>0.42</v>
      </c>
      <c r="AZ705" s="73">
        <v>0.42</v>
      </c>
      <c r="BA705" s="73">
        <v>0.39</v>
      </c>
      <c r="BB705" s="73">
        <v>0.35</v>
      </c>
      <c r="BC705" s="73">
        <v>0.33</v>
      </c>
      <c r="BD705" s="73">
        <v>0.33</v>
      </c>
      <c r="BE705" s="73">
        <v>0.3</v>
      </c>
      <c r="BF705" s="53"/>
      <c r="BG705" s="53"/>
      <c r="BH705" s="53"/>
      <c r="BI705" s="53"/>
      <c r="BJ705" s="53"/>
      <c r="BK705" s="53"/>
      <c r="BL705" s="53"/>
      <c r="BM705" s="53"/>
      <c r="BN705" s="53"/>
      <c r="BO705" s="53"/>
      <c r="BP705" s="53"/>
      <c r="BQ705" s="53"/>
      <c r="BR705" s="53"/>
      <c r="BS705" s="53"/>
      <c r="BT705" s="53"/>
      <c r="BU705" s="53"/>
      <c r="BV705" s="53"/>
      <c r="BW705" s="53"/>
      <c r="BX705" s="53"/>
      <c r="BY705" s="53"/>
      <c r="BZ705" s="53"/>
      <c r="CA705" s="53"/>
      <c r="CB705" s="53"/>
      <c r="CC705" s="53"/>
      <c r="CD705" s="53"/>
      <c r="CE705" s="53"/>
      <c r="CF705" s="53"/>
      <c r="CG705" s="53"/>
      <c r="CH705" s="53"/>
      <c r="CI705" s="53"/>
      <c r="CJ705" s="53"/>
      <c r="CK705" s="53"/>
      <c r="CL705" s="53"/>
      <c r="CM705" s="53"/>
      <c r="CN705" s="53"/>
      <c r="CO705" s="53"/>
      <c r="CP705" s="53"/>
      <c r="CQ705" s="53"/>
      <c r="CR705" s="1"/>
      <c r="CS705" s="1"/>
      <c r="CT705" s="1"/>
      <c r="CU705" s="1"/>
    </row>
    <row r="706" spans="1:99" s="13" customFormat="1" ht="12" customHeight="1" x14ac:dyDescent="0.2">
      <c r="A706" s="65">
        <v>43509</v>
      </c>
      <c r="B706" s="1"/>
      <c r="C706" s="1"/>
      <c r="D706" s="60"/>
      <c r="E706" s="76"/>
      <c r="F706" s="60"/>
      <c r="G706" s="60"/>
      <c r="H706" s="60"/>
      <c r="I706" s="60"/>
      <c r="J706" s="60"/>
      <c r="K706" s="64"/>
      <c r="L706" s="64"/>
      <c r="M706" s="60"/>
      <c r="N706" s="60"/>
      <c r="O706" s="60"/>
      <c r="P706" s="60"/>
      <c r="Q706" s="60"/>
      <c r="R706" s="60"/>
      <c r="S706" s="60"/>
      <c r="T706" s="59"/>
      <c r="U706" s="60"/>
      <c r="V706" s="60"/>
      <c r="W706" s="60"/>
      <c r="X706" s="60"/>
      <c r="Y706" s="76"/>
      <c r="Z706" s="60"/>
      <c r="AA706" s="60"/>
      <c r="AB706" s="60"/>
      <c r="AC706" s="60"/>
      <c r="AD706" s="60"/>
      <c r="AE706" s="60"/>
      <c r="AF706" s="80"/>
      <c r="AG706" s="56"/>
      <c r="AH706" s="4"/>
      <c r="AI706" s="56"/>
      <c r="AJ706" s="109"/>
      <c r="AK706" s="56"/>
      <c r="AL706" s="56"/>
      <c r="AM706" s="56"/>
      <c r="AN706" s="56"/>
      <c r="AO706" s="56"/>
      <c r="AP706" s="56"/>
      <c r="AQ706" s="82"/>
      <c r="AR706" s="115"/>
      <c r="AS706" s="82"/>
      <c r="AT706" s="82"/>
      <c r="AU706" s="4"/>
      <c r="AV706" s="25">
        <f>2*24*60*60</f>
        <v>172800</v>
      </c>
      <c r="AW706" s="25">
        <f>7*24*60*60</f>
        <v>604800</v>
      </c>
      <c r="AX706" s="25">
        <f>30*24*60*60</f>
        <v>2592000</v>
      </c>
      <c r="AY706" s="25">
        <f>91*24*60*60</f>
        <v>7862400</v>
      </c>
      <c r="AZ706" s="25">
        <f>365*24*60*60</f>
        <v>31536000</v>
      </c>
      <c r="BA706" s="53"/>
      <c r="BB706" s="53"/>
      <c r="BC706" s="53"/>
      <c r="BD706" s="53"/>
      <c r="BE706" s="53"/>
      <c r="BF706" s="53"/>
      <c r="BG706" s="53"/>
      <c r="BH706" s="53"/>
      <c r="BI706" s="53"/>
      <c r="BJ706" s="53"/>
      <c r="BK706" s="53"/>
      <c r="BL706" s="53"/>
      <c r="BM706" s="53"/>
      <c r="BN706" s="53"/>
      <c r="BO706" s="53"/>
      <c r="BP706" s="53"/>
      <c r="BQ706" s="53"/>
      <c r="BR706" s="53"/>
      <c r="BS706" s="53"/>
      <c r="BT706" s="53"/>
      <c r="BU706" s="53"/>
      <c r="BV706" s="53"/>
      <c r="BW706" s="53"/>
      <c r="BX706" s="53"/>
      <c r="BY706" s="53"/>
      <c r="BZ706" s="53"/>
      <c r="CA706" s="53"/>
      <c r="CB706" s="53"/>
      <c r="CC706" s="53"/>
      <c r="CD706" s="53"/>
      <c r="CE706" s="53"/>
      <c r="CF706" s="53"/>
      <c r="CG706" s="53"/>
      <c r="CH706" s="53"/>
      <c r="CI706" s="53"/>
      <c r="CJ706" s="53"/>
      <c r="CK706" s="53"/>
      <c r="CL706" s="53"/>
      <c r="CM706" s="53"/>
      <c r="CN706" s="53"/>
      <c r="CO706" s="53"/>
      <c r="CP706" s="53"/>
      <c r="CQ706" s="53"/>
      <c r="CR706" s="1"/>
      <c r="CS706" s="1"/>
      <c r="CT706" s="1"/>
      <c r="CU706" s="1"/>
    </row>
    <row r="707" spans="1:99" s="13" customFormat="1" ht="12" customHeight="1" x14ac:dyDescent="0.2">
      <c r="A707" s="65">
        <v>43509</v>
      </c>
      <c r="B707" s="1" t="s">
        <v>200</v>
      </c>
      <c r="C707" s="1" t="s">
        <v>84</v>
      </c>
      <c r="D707" s="60">
        <v>2004</v>
      </c>
      <c r="E707" s="76">
        <v>1</v>
      </c>
      <c r="F707" s="60">
        <v>421</v>
      </c>
      <c r="G707" s="60">
        <v>421</v>
      </c>
      <c r="H707" s="60" t="s">
        <v>41</v>
      </c>
      <c r="I707" s="60"/>
      <c r="J707" s="60" t="s">
        <v>704</v>
      </c>
      <c r="K707" s="60">
        <f>IF(J707="syllables",1,IF(J707="trigrams",2,IF(J707="strings",3,IF(J707="visual array",4,IF(J707="characters",5,IF(J707="letters",6,IF(J707="free forms",7,IF(J707="odors",8,IF(J707="words",9,IF(J707="pictures",10,IF(J707="object pictures",11,IF(J707="faces",12,IF(J707="names",13,IF(J707="idioms",14,IF(J707="grades",15,IF(J707="syllable-digit pairs",16,IF(J707="trigram-word pairs",17,IF(J707="word-digit pairs",18,IF(J707="English-Swahili pairs",19,IF(J707="spatial position",20,IF(J707="word pairs",21,IF(J707="word triads",22,IF(J707="generated words",23,IF(J707="word definition pairs",24,IF(J707="math problems",25,IF(J707="famous faces",26,IF(J707="famous names",27,IF(J707="famous voices",28,IF(J707="television programs",29,IF(J707="race horses",30,IF(J707="new vocabulary",31,IF(J707="sentences",32,IF(J707="concepts",33,IF(J707="ad slides",34,IF(J707="scenes",35,IF(J707="famous scenes",36,IF(J707="poems",37,IF(J707="walk",38,IF(J707="faces and events",39,IF(J707="events and names",40,IF(J707="flashbulb",41,IF(J707="stories",42,IF(J707="course material",43,IF(J707="autobiographical",44,IF(J707="novels",45,IF(J707="public events",46,"99"))))))))))))))))))))))))))))))))))))))))))))))</f>
        <v>41</v>
      </c>
      <c r="L707" s="60">
        <f>IF(J707="syllables",1,IF(J707="trigrams",1,IF(J707="strings",1,IF(J707="visual array",1,IF(J707="characters",1,IF(J707="letters",1,IF(J707="free forms",1,IF(J707="odors",2,IF(J707="words",2,IF(J707="pictures",2,IF(J707="object pictures",2,IF(J707="faces",2,IF(J707="names",2,IF(J707="idioms","2",IF(J707="grades",2,IF(J707="syllable-digit pairs",3,IF(J707="trigram-word pairs",3,IF(J707="word-digit pairs",3,IF(J707="English-Swahili pairs",3,IF(J707="spatial position",3,IF(J707="word pairs",4,IF(J707="word triads",4,IF(J707="generated words",4,IF(J707="word definition pairs",4,IF(J707="math problems",4,IF(J707="famous faces",4,IF(J707="famous names",4,IF(J707="famous voices",4,IF(J707="television programs",4,IF(J707="race horses",4,IF(J707="new vocabulary",4,IF(J707="sentences",5,IF(J707="concepts",5,IF(J707="ad slides",5,IF(J707="scenes",5,IF(J707="famous scenes",5,IF(J707="poems",6,IF(J707="walk",6,IF(J707="faces and events",6,IF(J707="events and names",6,IF(J707="flashbulb",7,IF(J707="stories",7,IF(J707="course material",7,IF(J707="autobiographical",7,IF(J707="novels",7,IF(J707="public events",7,"99"))))))))))))))))))))))))))))))))))))))))))))))</f>
        <v>7</v>
      </c>
      <c r="M707" s="60">
        <v>1</v>
      </c>
      <c r="N707" s="60">
        <v>4</v>
      </c>
      <c r="O707" s="60">
        <v>0</v>
      </c>
      <c r="P707" s="60"/>
      <c r="Q707" s="60" t="s">
        <v>174</v>
      </c>
      <c r="R707" s="60">
        <f>IF(Q707="Free Recall",1,IF(Q707="Cued Recall",2,IF(Q707="Recognition",3,IF(Q707="Multiple Choice",4,IF(Q707="Savings",5,IF(Q707="Stem Completion",6,IF(Q707="Fragment Completion",7,IF(Q707="anagram solution",8,IF(Q707="Matching",9,IF(Q707="Problem Solving",10,"99"))))))))))</f>
        <v>1</v>
      </c>
      <c r="S707" s="60" t="s">
        <v>228</v>
      </c>
      <c r="T707" s="59" t="s">
        <v>581</v>
      </c>
      <c r="U707" s="60">
        <f>IF(T707="within",1,0)</f>
        <v>1</v>
      </c>
      <c r="V707" s="59">
        <v>10</v>
      </c>
      <c r="W707" s="60">
        <f>F707*V707</f>
        <v>4210</v>
      </c>
      <c r="X707" s="60">
        <v>5</v>
      </c>
      <c r="Y707" s="76">
        <f>AV706</f>
        <v>172800</v>
      </c>
      <c r="Z707" s="60" t="s">
        <v>539</v>
      </c>
      <c r="AA707" s="76">
        <f>365*24*60*60</f>
        <v>31536000</v>
      </c>
      <c r="AB707" s="60" t="str">
        <f>IF(AA707&lt;60,"1",IF(AA707&lt;=43200,"2",IF(AA707&lt;=777600,"3","4")))</f>
        <v>4</v>
      </c>
      <c r="AC707" s="56">
        <f>AVERAGE(AV706:DA706)</f>
        <v>8553600</v>
      </c>
      <c r="AD707" s="60" t="str">
        <f>IF(AC707&lt;60,"1",IF(AC707&lt;=43200,"2",IF(AC707&lt;=777600,"3","4")))</f>
        <v>4</v>
      </c>
      <c r="AE707" s="76">
        <f>AA707-Y707</f>
        <v>31363200</v>
      </c>
      <c r="AF707" s="80">
        <f>AV707</f>
        <v>1</v>
      </c>
      <c r="AG707" s="56">
        <f>((AW707-AV707)+(AX707-AW707)+(AY707-AX707)+(AZ707-AY707))/4</f>
        <v>-4.7249999999999986E-2</v>
      </c>
      <c r="AH707" s="4"/>
      <c r="AI707" s="56">
        <f>RSQ(AV707:AZ707,AV706:AZ706)</f>
        <v>0.63702334358111734</v>
      </c>
      <c r="AJ707" s="109">
        <f>SLOPE(AV707:AZ707,AV706:AZ706)</f>
        <v>-4.5493019342453264E-9</v>
      </c>
      <c r="AK707" s="56">
        <f>INTERCEPT(AV707:AZ707,AV706:AZ706)</f>
        <v>0.94331290902476095</v>
      </c>
      <c r="AL707" s="56">
        <f>INDEX(LINEST(LN(AV707:AZ707),LN(AV706:AZ706),TRUE,TRUE),3,1)</f>
        <v>0.94272830030891719</v>
      </c>
      <c r="AM707" s="56">
        <f>INDEX(LINEST(LN(AV707:AZ707),LN(AV706:AZ706)),1)</f>
        <v>-3.9324370675004439E-2</v>
      </c>
      <c r="AN707" s="56">
        <f>EXP(INDEX(LINEST(LN(AV707:AZ707),LN(AV706:AZ706)),1,2))</f>
        <v>1.6050003427265749</v>
      </c>
      <c r="AO707" s="82">
        <f>INDEX(LINEST((AV707:AZ707),LN(AV706:AZ706),TRUE,TRUE),3,1)</f>
        <v>0.94262491258396475</v>
      </c>
      <c r="AP707" s="82">
        <f>INDEX(LINEST((AV707:AZ707),LN(AV706:AZ706)),1)</f>
        <v>-3.5592671211479798E-2</v>
      </c>
      <c r="AQ707" s="83">
        <f>INDEX(LINEST(LN(AV707:AZ707),SQRT(AV706:AZ706),TRUE,TRUE),3,1)</f>
        <v>0.8167113936915702</v>
      </c>
      <c r="AR707" s="116">
        <f>INDEX(LINEST(LN(AV707:AZ707),SQRT((AV706:AZ706))),1)</f>
        <v>-3.5852800255718342E-5</v>
      </c>
      <c r="AS707" s="84">
        <f>INDEX(LINEST(1/(AV707:AZ707),1/(SQRT(AV706:AZ706)),TRUE,TRUE),3,1)</f>
        <v>0.83937302940370151</v>
      </c>
      <c r="AT707" s="84">
        <f>INDEX(LINEST(1/(AV707:AZ707),1/SQRT(AV706:AZ706)),1)</f>
        <v>-93.249516334587</v>
      </c>
      <c r="AU707" s="3"/>
      <c r="AV707" s="53">
        <v>1</v>
      </c>
      <c r="AW707" s="53">
        <v>0.96</v>
      </c>
      <c r="AX707" s="53">
        <v>0.871</v>
      </c>
      <c r="AY707" s="53">
        <v>0.88</v>
      </c>
      <c r="AZ707" s="53">
        <v>0.81100000000000005</v>
      </c>
      <c r="BA707" s="53"/>
      <c r="BB707" s="53"/>
      <c r="BC707" s="53"/>
      <c r="BD707" s="53"/>
      <c r="BE707" s="53"/>
      <c r="BF707" s="53"/>
      <c r="BG707" s="53"/>
      <c r="BH707" s="53"/>
      <c r="BI707" s="53"/>
      <c r="BJ707" s="53"/>
      <c r="BK707" s="53"/>
      <c r="BL707" s="53"/>
      <c r="BM707" s="53"/>
      <c r="BN707" s="53"/>
      <c r="BO707" s="53"/>
      <c r="BP707" s="53"/>
      <c r="BQ707" s="53"/>
      <c r="BR707" s="53"/>
      <c r="BS707" s="53"/>
      <c r="BT707" s="53"/>
      <c r="BU707" s="53"/>
      <c r="BV707" s="53"/>
      <c r="BW707" s="53"/>
      <c r="BX707" s="53"/>
      <c r="BY707" s="53"/>
      <c r="BZ707" s="53"/>
      <c r="CA707" s="53"/>
      <c r="CB707" s="53"/>
      <c r="CC707" s="53"/>
      <c r="CD707" s="53"/>
      <c r="CE707" s="53"/>
      <c r="CF707" s="53"/>
      <c r="CG707" s="53"/>
      <c r="CH707" s="53"/>
      <c r="CI707" s="53"/>
      <c r="CJ707" s="53"/>
      <c r="CK707" s="53"/>
      <c r="CL707" s="53"/>
      <c r="CM707" s="53"/>
      <c r="CN707" s="53"/>
      <c r="CO707" s="53"/>
      <c r="CP707" s="53"/>
      <c r="CQ707" s="53"/>
      <c r="CR707" s="1"/>
      <c r="CS707" s="1"/>
      <c r="CT707" s="1"/>
      <c r="CU707" s="1"/>
    </row>
    <row r="708" spans="1:99" s="13" customFormat="1" ht="12" customHeight="1" x14ac:dyDescent="0.2">
      <c r="A708" s="65">
        <v>43979</v>
      </c>
      <c r="B708" s="1"/>
      <c r="C708" s="1"/>
      <c r="D708" s="60"/>
      <c r="E708" s="76"/>
      <c r="F708" s="60"/>
      <c r="G708" s="60"/>
      <c r="H708" s="60"/>
      <c r="I708" s="60"/>
      <c r="J708" s="60"/>
      <c r="K708" s="60"/>
      <c r="L708" s="60"/>
      <c r="M708" s="60"/>
      <c r="N708" s="60"/>
      <c r="O708" s="60"/>
      <c r="P708" s="60"/>
      <c r="Q708" s="60"/>
      <c r="R708" s="60"/>
      <c r="S708" s="60"/>
      <c r="T708" s="59"/>
      <c r="U708" s="60"/>
      <c r="V708" s="59"/>
      <c r="W708" s="60"/>
      <c r="X708" s="60"/>
      <c r="Y708" s="76"/>
      <c r="Z708" s="60"/>
      <c r="AA708" s="60"/>
      <c r="AB708" s="60"/>
      <c r="AC708" s="56"/>
      <c r="AD708" s="60"/>
      <c r="AE708" s="76"/>
      <c r="AF708" s="80"/>
      <c r="AG708" s="56"/>
      <c r="AH708" s="4"/>
      <c r="AI708" s="56"/>
      <c r="AJ708" s="109"/>
      <c r="AK708" s="56"/>
      <c r="AL708" s="56"/>
      <c r="AM708" s="56"/>
      <c r="AN708" s="56"/>
      <c r="AO708" s="82"/>
      <c r="AP708" s="82"/>
      <c r="AQ708" s="83"/>
      <c r="AR708" s="116"/>
      <c r="AS708" s="84"/>
      <c r="AT708" s="84"/>
      <c r="AU708" s="3"/>
      <c r="AV708" s="25">
        <v>30</v>
      </c>
      <c r="AW708" s="25">
        <f>60*60</f>
        <v>3600</v>
      </c>
      <c r="AX708" s="25">
        <f>60*60*24*7*6</f>
        <v>3628800</v>
      </c>
      <c r="AY708" s="53"/>
      <c r="AZ708" s="53" t="s">
        <v>947</v>
      </c>
      <c r="BA708" s="53"/>
      <c r="BB708" s="53"/>
      <c r="BC708" s="53"/>
      <c r="BD708" s="53"/>
      <c r="BE708" s="53"/>
      <c r="BF708" s="53"/>
      <c r="BG708" s="53"/>
      <c r="BH708" s="53"/>
      <c r="BI708" s="53"/>
      <c r="BJ708" s="53"/>
      <c r="BK708" s="53"/>
      <c r="BL708" s="53"/>
      <c r="BM708" s="53"/>
      <c r="BN708" s="53"/>
      <c r="BO708" s="53"/>
      <c r="BP708" s="53"/>
      <c r="BQ708" s="53"/>
      <c r="BR708" s="53"/>
      <c r="BS708" s="53"/>
      <c r="BT708" s="53"/>
      <c r="BU708" s="53"/>
      <c r="BV708" s="53"/>
      <c r="BW708" s="53"/>
      <c r="BX708" s="53"/>
      <c r="BY708" s="53"/>
      <c r="BZ708" s="53"/>
      <c r="CA708" s="53"/>
      <c r="CB708" s="53"/>
      <c r="CC708" s="53"/>
      <c r="CD708" s="53"/>
      <c r="CE708" s="53"/>
      <c r="CF708" s="53"/>
      <c r="CG708" s="53"/>
      <c r="CH708" s="53"/>
      <c r="CI708" s="53"/>
      <c r="CJ708" s="53"/>
      <c r="CK708" s="53"/>
      <c r="CL708" s="53"/>
      <c r="CM708" s="53"/>
      <c r="CN708" s="53"/>
      <c r="CO708" s="53"/>
      <c r="CP708" s="53"/>
      <c r="CQ708" s="53"/>
      <c r="CR708" s="1"/>
      <c r="CS708" s="1"/>
      <c r="CT708" s="1"/>
      <c r="CU708" s="1"/>
    </row>
    <row r="709" spans="1:99" s="13" customFormat="1" ht="12" customHeight="1" x14ac:dyDescent="0.2">
      <c r="A709" s="65">
        <v>43979</v>
      </c>
      <c r="B709" s="1" t="s">
        <v>1017</v>
      </c>
      <c r="C709" s="1" t="s">
        <v>357</v>
      </c>
      <c r="D709" s="60">
        <v>2012</v>
      </c>
      <c r="E709" s="76">
        <v>1</v>
      </c>
      <c r="F709" s="60">
        <v>22</v>
      </c>
      <c r="G709" s="60">
        <v>22</v>
      </c>
      <c r="H709" s="60" t="s">
        <v>38</v>
      </c>
      <c r="I709" s="60" t="s">
        <v>330</v>
      </c>
      <c r="J709" s="60" t="s">
        <v>677</v>
      </c>
      <c r="K709" s="60">
        <f>IF(J709="syllables",1,IF(J709="trigrams",2,IF(J709="strings",3,IF(J709="visual array",4,IF(J709="characters",5,IF(J709="letters",6,IF(J709="free forms",7,IF(J709="odors",8,IF(J709="words",9,IF(J709="pictures",10,IF(J709="object pictures",11,IF(J709="faces",12,IF(J709="names",13,IF(J709="idioms",14,IF(J709="grades",15,IF(J709="syllable-digit pairs",16,IF(J709="trigram-word pairs",17,IF(J709="word-digit pairs",18,IF(J709="English-Swahili pairs",19,IF(J709="spatial position",20,IF(J709="word pairs",21,IF(J709="word triads",22,IF(J709="generated words",23,IF(J709="word definition pairs",24,IF(J709="math problems",25,IF(J709="famous faces",26,IF(J709="famous names",27,IF(J709="famous voices",28,IF(J709="television programs",29,IF(J709="race horses",30,IF(J709="new vocabulary",31,IF(J709="sentences",32,IF(J709="concepts",33,IF(J709="ad slides",34,IF(J709="scenes",35,IF(J709="famous scenes",36,IF(J709="poems",37,IF(J709="walk",38,IF(J709="faces and events",39,IF(J709="events and names",40,IF(J709="flashbulb",41,IF(J709="stories",42,IF(J709="course material",43,IF(J709="autobiographical",44,IF(J709="novels",45,IF(J709="public events",46,"99"))))))))))))))))))))))))))))))))))))))))))))))</f>
        <v>42</v>
      </c>
      <c r="L709" s="60">
        <f>IF(J709="syllables",1,IF(J709="trigrams",1,IF(J709="strings",1,IF(J709="visual array",1,IF(J709="characters",1,IF(J709="letters",1,IF(J709="free forms",1,IF(J709="odors",2,IF(J709="words",2,IF(J709="pictures",2,IF(J709="object pictures",2,IF(J709="faces",2,IF(J709="names",2,IF(J709="idioms","2",IF(J709="grades",2,IF(J709="syllable-digit pairs",3,IF(J709="trigram-word pairs",3,IF(J709="word-digit pairs",3,IF(J709="English-Swahili pairs",3,IF(J709="spatial position",3,IF(J709="word pairs",4,IF(J709="word triads",4,IF(J709="generated words",4,IF(J709="word definition pairs",4,IF(J709="math problems",4,IF(J709="famous faces",4,IF(J709="famous names",4,IF(J709="famous voices",4,IF(J709="television programs",4,IF(J709="race horses",4,IF(J709="new vocabulary",4,IF(J709="sentences",5,IF(J709="concepts",5,IF(J709="ad slides",5,IF(J709="scenes",5,IF(J709="famous scenes",5,IF(J709="poems",6,IF(J709="walk",6,IF(J709="faces and events",6,IF(J709="events and names",6,IF(J709="flashbulb",7,IF(J709="stories",7,IF(J709="course material",7,IF(J709="autobiographical",7,IF(J709="novels",7,IF(J709="public events",7,"99"))))))))))))))))))))))))))))))))))))))))))))))</f>
        <v>7</v>
      </c>
      <c r="M709" s="60">
        <v>1</v>
      </c>
      <c r="N709" s="60">
        <v>4</v>
      </c>
      <c r="O709" s="60">
        <v>0</v>
      </c>
      <c r="P709" s="60"/>
      <c r="Q709" s="60" t="s">
        <v>174</v>
      </c>
      <c r="R709" s="60">
        <f>IF(Q709="Free Recall",1,IF(Q709="Cued Recall",2,IF(Q709="Recognition",3,IF(Q709="Multiple Choice",4,IF(Q709="Savings",5,IF(Q709="Stem Completion",6,IF(Q709="Fragment Completion",7,IF(Q709="anagram solution",8,IF(Q709="Matching",9,IF(Q709="Problem Solving",10,"99"))))))))))</f>
        <v>1</v>
      </c>
      <c r="S709" s="60" t="s">
        <v>49</v>
      </c>
      <c r="T709" s="59" t="s">
        <v>581</v>
      </c>
      <c r="U709" s="60">
        <f>IF(T709="within",1,0)</f>
        <v>1</v>
      </c>
      <c r="V709" s="59">
        <f>3*73</f>
        <v>219</v>
      </c>
      <c r="W709" s="60">
        <f>F709*V709</f>
        <v>4818</v>
      </c>
      <c r="X709" s="60">
        <v>3</v>
      </c>
      <c r="Y709" s="76">
        <f>AV708</f>
        <v>30</v>
      </c>
      <c r="Z709" s="60" t="s">
        <v>160</v>
      </c>
      <c r="AA709" s="60">
        <f>60*60*24*7*6</f>
        <v>3628800</v>
      </c>
      <c r="AB709" s="60" t="str">
        <f>IF(AA709&lt;60,"1",IF(AA709&lt;=43200,"2",IF(AA709&lt;=777600,"3","4")))</f>
        <v>4</v>
      </c>
      <c r="AC709" s="56">
        <f>AVERAGE(AV708:DA708)</f>
        <v>1210810</v>
      </c>
      <c r="AD709" s="60" t="str">
        <f>IF(AC709&lt;60,"1",IF(AC709&lt;=43200,"2",IF(AC709&lt;=777600,"3","4")))</f>
        <v>4</v>
      </c>
      <c r="AE709" s="76">
        <f>AA709-Y709</f>
        <v>3628770</v>
      </c>
      <c r="AF709" s="80">
        <f>AV709</f>
        <v>0.8397</v>
      </c>
      <c r="AG709" s="56">
        <f>((AW709-AV709)+(AX709-AW709))/2</f>
        <v>-0.21395</v>
      </c>
      <c r="AH709" s="4"/>
      <c r="AI709" s="56">
        <f>RSQ(AV709:AX709,AV708:AX708)</f>
        <v>0.92005300674519452</v>
      </c>
      <c r="AJ709" s="109">
        <f>SLOPE(AV709:AX709,AV708:AX708)</f>
        <v>-1.0079773248790086E-7</v>
      </c>
      <c r="AK709" s="56">
        <f>INTERCEPT(AV709:AX709,AV708:AX708)</f>
        <v>0.77751356914034186</v>
      </c>
      <c r="AL709" s="56">
        <f>INDEX(LINEST(LN(AV709:AX709),LN(AV708:AX708),TRUE,TRUE),3,1)</f>
        <v>0.95974858921188289</v>
      </c>
      <c r="AM709" s="56">
        <f>INDEX(LINEST(LN(AV709:AX709),LN(AV708:AX708)),1)</f>
        <v>-6.2219086302059662E-2</v>
      </c>
      <c r="AN709" s="56">
        <f>EXP(INDEX(LINEST(LN(AV709:AX709),LN(AV708:AX708)),1,2))</f>
        <v>1.0917530837030365</v>
      </c>
      <c r="AO709" s="82">
        <f>INDEX(LINEST((AV709:AX709),LN(AV708:AX708),TRUE,TRUE),3,1)</f>
        <v>0.98281252026497801</v>
      </c>
      <c r="AP709" s="82">
        <f>INDEX(LINEST((AV709:AX709),LN(AV708:AX708)),1)</f>
        <v>-3.7077395590622945E-2</v>
      </c>
      <c r="AQ709" s="83">
        <f>INDEX(LINEST(LN(AV709:AX709),SQRT(AV708:AX708),TRUE,TRUE),3,1)</f>
        <v>0.9636702408684974</v>
      </c>
      <c r="AR709" s="116">
        <f>INDEX(LINEST(LN(AV709:AX709),SQRT((AV708:AX708))),1)</f>
        <v>-3.3926153750342631E-4</v>
      </c>
      <c r="AS709" s="84">
        <f>INDEX(LINEST(1/(AV709:AX709),1/(SQRT(AV708:AX708)),TRUE,TRUE),3,1)</f>
        <v>0.47590763106507122</v>
      </c>
      <c r="AT709" s="84">
        <f>INDEX(LINEST(1/(AV709:AX709),1/SQRT(AV708:AX708)),1)</f>
        <v>-4.5363436408849545</v>
      </c>
      <c r="AU709" s="3"/>
      <c r="AV709" s="53">
        <v>0.8397</v>
      </c>
      <c r="AW709" s="53">
        <v>0.71489999999999998</v>
      </c>
      <c r="AX709" s="53">
        <v>0.4118</v>
      </c>
      <c r="AY709" s="53"/>
      <c r="AZ709" s="53"/>
      <c r="BA709" s="53"/>
      <c r="BB709" s="53"/>
      <c r="BC709" s="53"/>
      <c r="BD709" s="53"/>
      <c r="BE709" s="53"/>
      <c r="BF709" s="53"/>
      <c r="BG709" s="53"/>
      <c r="BH709" s="53"/>
      <c r="BI709" s="53"/>
      <c r="BJ709" s="53"/>
      <c r="BK709" s="53"/>
      <c r="BL709" s="53"/>
      <c r="BM709" s="53"/>
      <c r="BN709" s="53"/>
      <c r="BO709" s="53"/>
      <c r="BP709" s="53"/>
      <c r="BQ709" s="53"/>
      <c r="BR709" s="53"/>
      <c r="BS709" s="53"/>
      <c r="BT709" s="53"/>
      <c r="BU709" s="53"/>
      <c r="BV709" s="53"/>
      <c r="BW709" s="53"/>
      <c r="BX709" s="53"/>
      <c r="BY709" s="53"/>
      <c r="BZ709" s="53"/>
      <c r="CA709" s="53"/>
      <c r="CB709" s="53"/>
      <c r="CC709" s="53"/>
      <c r="CD709" s="53"/>
      <c r="CE709" s="53"/>
      <c r="CF709" s="53"/>
      <c r="CG709" s="53"/>
      <c r="CH709" s="53"/>
      <c r="CI709" s="53"/>
      <c r="CJ709" s="53"/>
      <c r="CK709" s="53"/>
      <c r="CL709" s="53"/>
      <c r="CM709" s="53"/>
      <c r="CN709" s="53"/>
      <c r="CO709" s="53"/>
      <c r="CP709" s="53"/>
      <c r="CQ709" s="53"/>
      <c r="CR709" s="1"/>
      <c r="CS709" s="1"/>
      <c r="CT709" s="1"/>
      <c r="CU709" s="1"/>
    </row>
    <row r="710" spans="1:99" s="13" customFormat="1" ht="12" customHeight="1" x14ac:dyDescent="0.2">
      <c r="A710" s="65">
        <v>43979</v>
      </c>
      <c r="B710" s="1"/>
      <c r="C710" s="1"/>
      <c r="D710" s="60"/>
      <c r="E710" s="76"/>
      <c r="F710" s="60"/>
      <c r="G710" s="60"/>
      <c r="H710" s="60"/>
      <c r="I710" s="60"/>
      <c r="J710" s="60"/>
      <c r="K710" s="60"/>
      <c r="L710" s="60"/>
      <c r="M710" s="60"/>
      <c r="N710" s="60"/>
      <c r="O710" s="60"/>
      <c r="P710" s="60"/>
      <c r="Q710" s="60"/>
      <c r="R710" s="60"/>
      <c r="S710" s="60"/>
      <c r="T710" s="59"/>
      <c r="U710" s="60"/>
      <c r="V710" s="59"/>
      <c r="W710" s="60"/>
      <c r="X710" s="60"/>
      <c r="Y710" s="76"/>
      <c r="Z710" s="60"/>
      <c r="AA710" s="60"/>
      <c r="AB710" s="60"/>
      <c r="AC710" s="56"/>
      <c r="AD710" s="60"/>
      <c r="AE710" s="76"/>
      <c r="AF710" s="80"/>
      <c r="AG710" s="56"/>
      <c r="AH710" s="4"/>
      <c r="AI710" s="56"/>
      <c r="AJ710" s="109"/>
      <c r="AK710" s="56"/>
      <c r="AL710" s="56"/>
      <c r="AM710" s="56"/>
      <c r="AN710" s="56"/>
      <c r="AO710" s="82"/>
      <c r="AP710" s="82"/>
      <c r="AQ710" s="83"/>
      <c r="AR710" s="116"/>
      <c r="AS710" s="84"/>
      <c r="AT710" s="84"/>
      <c r="AU710" s="3"/>
      <c r="AV710" s="25">
        <v>30</v>
      </c>
      <c r="AW710" s="25">
        <f>60*60</f>
        <v>3600</v>
      </c>
      <c r="AX710" s="25">
        <f>60*60*24*7*6</f>
        <v>3628800</v>
      </c>
      <c r="AY710" s="53"/>
      <c r="AZ710" s="53"/>
      <c r="BA710" s="53"/>
      <c r="BB710" s="53"/>
      <c r="BC710" s="53"/>
      <c r="BD710" s="53"/>
      <c r="BE710" s="53"/>
      <c r="BF710" s="53"/>
      <c r="BG710" s="53"/>
      <c r="BH710" s="53"/>
      <c r="BI710" s="53"/>
      <c r="BJ710" s="53"/>
      <c r="BK710" s="53"/>
      <c r="BL710" s="53"/>
      <c r="BM710" s="53"/>
      <c r="BN710" s="53"/>
      <c r="BO710" s="53"/>
      <c r="BP710" s="53"/>
      <c r="BQ710" s="53"/>
      <c r="BR710" s="53"/>
      <c r="BS710" s="53"/>
      <c r="BT710" s="53"/>
      <c r="BU710" s="53"/>
      <c r="BV710" s="53"/>
      <c r="BW710" s="53"/>
      <c r="BX710" s="53"/>
      <c r="BY710" s="53"/>
      <c r="BZ710" s="53"/>
      <c r="CA710" s="53"/>
      <c r="CB710" s="53"/>
      <c r="CC710" s="53"/>
      <c r="CD710" s="53"/>
      <c r="CE710" s="53"/>
      <c r="CF710" s="53"/>
      <c r="CG710" s="53"/>
      <c r="CH710" s="53"/>
      <c r="CI710" s="53"/>
      <c r="CJ710" s="53"/>
      <c r="CK710" s="53"/>
      <c r="CL710" s="53"/>
      <c r="CM710" s="53"/>
      <c r="CN710" s="53"/>
      <c r="CO710" s="53"/>
      <c r="CP710" s="53"/>
      <c r="CQ710" s="53"/>
      <c r="CR710" s="1"/>
      <c r="CS710" s="1"/>
      <c r="CT710" s="1"/>
      <c r="CU710" s="1"/>
    </row>
    <row r="711" spans="1:99" s="13" customFormat="1" ht="12" customHeight="1" x14ac:dyDescent="0.2">
      <c r="A711" s="65">
        <v>43979</v>
      </c>
      <c r="B711" s="1" t="s">
        <v>1017</v>
      </c>
      <c r="C711" s="1" t="s">
        <v>357</v>
      </c>
      <c r="D711" s="60">
        <v>2012</v>
      </c>
      <c r="E711" s="76">
        <v>1</v>
      </c>
      <c r="F711" s="60">
        <v>22</v>
      </c>
      <c r="G711" s="60">
        <v>22</v>
      </c>
      <c r="H711" s="60" t="s">
        <v>30</v>
      </c>
      <c r="I711" s="60" t="s">
        <v>330</v>
      </c>
      <c r="J711" s="60" t="s">
        <v>317</v>
      </c>
      <c r="K711" s="60">
        <f>IF(J711="syllables",1,IF(J711="trigrams",2,IF(J711="strings",3,IF(J711="visual array",4,IF(J711="characters",5,IF(J711="letters",6,IF(J711="free forms",7,IF(J711="odors",8,IF(J711="words",9,IF(J711="pictures",10,IF(J711="object pictures",11,IF(J711="faces",12,IF(J711="names",13,IF(J711="idioms",14,IF(J711="grades",15,IF(J711="syllable-digit pairs",16,IF(J711="trigram-word pairs",17,IF(J711="word-digit pairs",18,IF(J711="English-Swahili pairs",19,IF(J711="spatial position",20,IF(J711="word pairs",21,IF(J711="word triads",22,IF(J711="generated words",23,IF(J711="word definition pairs",24,IF(J711="math problems",25,IF(J711="famous faces",26,IF(J711="famous names",27,IF(J711="famous voices",28,IF(J711="television programs",29,IF(J711="race horses",30,IF(J711="new vocabulary",31,IF(J711="sentences",32,IF(J711="concepts",33,IF(J711="ad slides",34,IF(J711="scenes",35,IF(J711="famous scenes",36,IF(J711="poems",37,IF(J711="walk",38,IF(J711="faces and events",39,IF(J711="events and names",40,IF(J711="flashbulb",41,IF(J711="stories",42,IF(J711="course material",43,IF(J711="autobiographical",44,IF(J711="novels",45,IF(J711="public events",46,"99"))))))))))))))))))))))))))))))))))))))))))))))</f>
        <v>7</v>
      </c>
      <c r="L711" s="60">
        <f>IF(J711="syllables",1,IF(J711="trigrams",1,IF(J711="strings",1,IF(J711="visual array",1,IF(J711="characters",1,IF(J711="letters",1,IF(J711="free forms",1,IF(J711="odors",2,IF(J711="words",2,IF(J711="pictures",2,IF(J711="object pictures",2,IF(J711="faces",2,IF(J711="names",2,IF(J711="idioms","2",IF(J711="grades",2,IF(J711="syllable-digit pairs",3,IF(J711="trigram-word pairs",3,IF(J711="word-digit pairs",3,IF(J711="English-Swahili pairs",3,IF(J711="spatial position",3,IF(J711="word pairs",4,IF(J711="word triads",4,IF(J711="generated words",4,IF(J711="word definition pairs",4,IF(J711="math problems",4,IF(J711="famous faces",4,IF(J711="famous names",4,IF(J711="famous voices",4,IF(J711="television programs",4,IF(J711="race horses",4,IF(J711="new vocabulary",4,IF(J711="sentences",5,IF(J711="concepts",5,IF(J711="ad slides",5,IF(J711="scenes",5,IF(J711="famous scenes",5,IF(J711="poems",6,IF(J711="walk",6,IF(J711="faces and events",6,IF(J711="events and names",6,IF(J711="flashbulb",7,IF(J711="stories",7,IF(J711="course material",7,IF(J711="autobiographical",7,IF(J711="novels",7,IF(J711="public events",7,"99"))))))))))))))))))))))))))))))))))))))))))))))</f>
        <v>1</v>
      </c>
      <c r="M711" s="60">
        <v>0</v>
      </c>
      <c r="N711" s="60">
        <v>2</v>
      </c>
      <c r="O711" s="60">
        <v>0</v>
      </c>
      <c r="P711" s="60"/>
      <c r="Q711" s="60" t="s">
        <v>174</v>
      </c>
      <c r="R711" s="60">
        <f>IF(Q711="Free Recall",1,IF(Q711="Cued Recall",2,IF(Q711="Recognition",3,IF(Q711="Multiple Choice",4,IF(Q711="Savings",5,IF(Q711="Stem Completion",6,IF(Q711="Fragment Completion",7,IF(Q711="anagram solution",8,IF(Q711="Matching",9,IF(Q711="Problem Solving",10,"99"))))))))))</f>
        <v>1</v>
      </c>
      <c r="S711" s="60" t="s">
        <v>49</v>
      </c>
      <c r="T711" s="59" t="s">
        <v>581</v>
      </c>
      <c r="U711" s="60">
        <f>IF(T711="within",1,0)</f>
        <v>1</v>
      </c>
      <c r="V711" s="59">
        <f>48*3</f>
        <v>144</v>
      </c>
      <c r="W711" s="60">
        <f>F711*V711</f>
        <v>3168</v>
      </c>
      <c r="X711" s="60">
        <v>3</v>
      </c>
      <c r="Y711" s="76">
        <f>AV710</f>
        <v>30</v>
      </c>
      <c r="Z711" s="60" t="s">
        <v>160</v>
      </c>
      <c r="AA711" s="60">
        <f>60*60*24*7*6</f>
        <v>3628800</v>
      </c>
      <c r="AB711" s="60" t="str">
        <f>IF(AA711&lt;60,"1",IF(AA711&lt;=43200,"2",IF(AA711&lt;=777600,"3","4")))</f>
        <v>4</v>
      </c>
      <c r="AC711" s="56">
        <f>AVERAGE(AV710:DA710)</f>
        <v>1210810</v>
      </c>
      <c r="AD711" s="60" t="str">
        <f>IF(AC711&lt;60,"1",IF(AC711&lt;=43200,"2",IF(AC711&lt;=777600,"3","4")))</f>
        <v>4</v>
      </c>
      <c r="AE711" s="76">
        <f>AA711-Y711</f>
        <v>3628770</v>
      </c>
      <c r="AF711" s="80">
        <f>AV711</f>
        <v>0.6865</v>
      </c>
      <c r="AG711" s="56">
        <f>((AW711-AV711)+(AX711-AW711))/2</f>
        <v>-0.17599999999999999</v>
      </c>
      <c r="AH711" s="4"/>
      <c r="AI711" s="56">
        <f>RSQ(AV711:AX711,AV710:AX710)</f>
        <v>0.96001040592205666</v>
      </c>
      <c r="AJ711" s="109">
        <f>SLOPE(AV711:AX711,AV710:AX710)</f>
        <v>-8.6795166890099554E-8</v>
      </c>
      <c r="AK711" s="56">
        <f>INTERCEPT(AV711:AX711,AV710:AX710)</f>
        <v>0.64942578935553474</v>
      </c>
      <c r="AL711" s="56">
        <f>INDEX(LINEST(LN(AV711:AX711),LN(AV710:AX710),TRUE,TRUE),3,1)</f>
        <v>0.92899540906395373</v>
      </c>
      <c r="AM711" s="56">
        <f>INDEX(LINEST(LN(AV711:AX711),LN(AV710:AX710)),1)</f>
        <v>-6.3269973440317914E-2</v>
      </c>
      <c r="AN711" s="56">
        <f>EXP(INDEX(LINEST(LN(AV711:AX711),LN(AV710:AX710)),1,2))</f>
        <v>0.91291337235551051</v>
      </c>
      <c r="AO711" s="82">
        <f>INDEX(LINEST((AV711:AX711),LN(AV710:AX710),TRUE,TRUE),3,1)</f>
        <v>0.95372662729577162</v>
      </c>
      <c r="AP711" s="82">
        <f>INDEX(LINEST((AV711:AX711),LN(AV710:AX710)),1)</f>
        <v>-3.0789247070257379E-2</v>
      </c>
      <c r="AQ711" s="83">
        <f>INDEX(LINEST(LN(AV711:AX711),SQRT(AV710:AX710),TRUE,TRUE),3,1)</f>
        <v>0.98469036888931838</v>
      </c>
      <c r="AR711" s="116">
        <f>INDEX(LINEST(LN(AV711:AX711),SQRT((AV710:AX710))),1)</f>
        <v>-3.5445917920288718E-4</v>
      </c>
      <c r="AS711" s="84">
        <f>INDEX(LINEST(1/(AV711:AX711),1/(SQRT(AV710:AX710)),TRUE,TRUE),3,1)</f>
        <v>0.42460096043252976</v>
      </c>
      <c r="AT711" s="84">
        <f>INDEX(LINEST(1/(AV711:AX711),1/SQRT(AV710:AX710)),1)</f>
        <v>-5.4221291046624991</v>
      </c>
      <c r="AU711" s="3"/>
      <c r="AV711" s="53">
        <v>0.6865</v>
      </c>
      <c r="AW711" s="53">
        <v>0.61199999999999999</v>
      </c>
      <c r="AX711" s="53">
        <v>0.33450000000000002</v>
      </c>
      <c r="AY711" s="53"/>
      <c r="AZ711" s="53"/>
      <c r="BA711" s="53"/>
      <c r="BB711" s="53"/>
      <c r="BC711" s="53"/>
      <c r="BD711" s="53"/>
      <c r="BE711" s="53"/>
      <c r="BF711" s="53"/>
      <c r="BG711" s="53"/>
      <c r="BH711" s="53"/>
      <c r="BI711" s="53"/>
      <c r="BJ711" s="53"/>
      <c r="BK711" s="53"/>
      <c r="BL711" s="53"/>
      <c r="BM711" s="53"/>
      <c r="BN711" s="53"/>
      <c r="BO711" s="53"/>
      <c r="BP711" s="53"/>
      <c r="BQ711" s="53"/>
      <c r="BR711" s="53"/>
      <c r="BS711" s="53"/>
      <c r="BT711" s="53"/>
      <c r="BU711" s="53"/>
      <c r="BV711" s="53"/>
      <c r="BW711" s="53"/>
      <c r="BX711" s="53"/>
      <c r="BY711" s="53"/>
      <c r="BZ711" s="53"/>
      <c r="CA711" s="53"/>
      <c r="CB711" s="53"/>
      <c r="CC711" s="53"/>
      <c r="CD711" s="53"/>
      <c r="CE711" s="53"/>
      <c r="CF711" s="53"/>
      <c r="CG711" s="53"/>
      <c r="CH711" s="53"/>
      <c r="CI711" s="53"/>
      <c r="CJ711" s="53"/>
      <c r="CK711" s="53"/>
      <c r="CL711" s="53"/>
      <c r="CM711" s="53"/>
      <c r="CN711" s="53"/>
      <c r="CO711" s="53"/>
      <c r="CP711" s="53"/>
      <c r="CQ711" s="53"/>
      <c r="CR711" s="1"/>
      <c r="CS711" s="1"/>
      <c r="CT711" s="1"/>
      <c r="CU711" s="1"/>
    </row>
    <row r="712" spans="1:99" s="13" customFormat="1" ht="12" customHeight="1" x14ac:dyDescent="0.2">
      <c r="A712" s="68">
        <v>43509</v>
      </c>
      <c r="B712" s="70"/>
      <c r="C712" s="70"/>
      <c r="D712" s="69"/>
      <c r="E712" s="87"/>
      <c r="F712" s="69"/>
      <c r="G712" s="69"/>
      <c r="H712" s="69"/>
      <c r="I712" s="69"/>
      <c r="J712" s="69"/>
      <c r="K712" s="107"/>
      <c r="L712" s="107"/>
      <c r="M712" s="69"/>
      <c r="N712" s="69"/>
      <c r="O712" s="69"/>
      <c r="P712" s="69"/>
      <c r="Q712" s="69"/>
      <c r="R712" s="69"/>
      <c r="S712" s="69"/>
      <c r="T712" s="69"/>
      <c r="U712" s="60"/>
      <c r="V712" s="69"/>
      <c r="W712" s="69"/>
      <c r="X712" s="69"/>
      <c r="Y712" s="87"/>
      <c r="Z712" s="69"/>
      <c r="AA712" s="69"/>
      <c r="AB712" s="69"/>
      <c r="AC712" s="69"/>
      <c r="AD712" s="69"/>
      <c r="AE712" s="69"/>
      <c r="AF712" s="88"/>
      <c r="AG712" s="72"/>
      <c r="AH712" s="4"/>
      <c r="AI712" s="72"/>
      <c r="AJ712" s="110"/>
      <c r="AK712" s="72"/>
      <c r="AL712" s="72"/>
      <c r="AM712" s="72"/>
      <c r="AN712" s="72"/>
      <c r="AO712" s="72"/>
      <c r="AP712" s="72"/>
      <c r="AQ712" s="72"/>
      <c r="AR712" s="110"/>
      <c r="AS712" s="72"/>
      <c r="AT712" s="72"/>
      <c r="AU712" s="4"/>
      <c r="AV712" s="71">
        <f>60*60</f>
        <v>3600</v>
      </c>
      <c r="AW712" s="71">
        <f>24*3600</f>
        <v>86400</v>
      </c>
      <c r="AX712" s="71">
        <f>7*24*3600*1</f>
        <v>604800</v>
      </c>
      <c r="AY712" s="71">
        <f>7*24*3600*2</f>
        <v>1209600</v>
      </c>
      <c r="AZ712" s="73"/>
      <c r="BA712" s="53"/>
      <c r="BB712" s="53"/>
      <c r="BC712" s="53"/>
      <c r="BD712" s="53"/>
      <c r="BE712" s="53"/>
      <c r="BF712" s="53"/>
      <c r="BG712" s="53"/>
      <c r="BH712" s="53"/>
      <c r="BI712" s="53"/>
      <c r="BJ712" s="53"/>
      <c r="BK712" s="53"/>
      <c r="BL712" s="53"/>
      <c r="BM712" s="53"/>
      <c r="BN712" s="53"/>
      <c r="BO712" s="53"/>
      <c r="BP712" s="53"/>
      <c r="BQ712" s="53"/>
      <c r="BR712" s="53"/>
      <c r="BS712" s="53"/>
      <c r="BT712" s="53"/>
      <c r="BU712" s="53"/>
      <c r="BV712" s="53"/>
      <c r="BW712" s="53"/>
      <c r="BX712" s="53"/>
      <c r="BY712" s="53"/>
      <c r="BZ712" s="53"/>
      <c r="CA712" s="53"/>
      <c r="CB712" s="53"/>
      <c r="CC712" s="53"/>
      <c r="CD712" s="53"/>
      <c r="CE712" s="53"/>
      <c r="CF712" s="53"/>
      <c r="CG712" s="53"/>
      <c r="CH712" s="53"/>
      <c r="CI712" s="53"/>
      <c r="CJ712" s="53"/>
      <c r="CK712" s="53"/>
      <c r="CL712" s="53"/>
      <c r="CM712" s="53"/>
      <c r="CN712" s="53"/>
      <c r="CO712" s="53"/>
      <c r="CP712" s="53"/>
      <c r="CQ712" s="53"/>
      <c r="CR712" s="1"/>
      <c r="CS712" s="1"/>
      <c r="CT712" s="1"/>
      <c r="CU712" s="1"/>
    </row>
    <row r="713" spans="1:99" s="13" customFormat="1" ht="12" customHeight="1" x14ac:dyDescent="0.2">
      <c r="A713" s="68">
        <v>43509</v>
      </c>
      <c r="B713" s="70" t="s">
        <v>171</v>
      </c>
      <c r="C713" s="70" t="s">
        <v>55</v>
      </c>
      <c r="D713" s="69">
        <v>1991</v>
      </c>
      <c r="E713" s="87">
        <v>2</v>
      </c>
      <c r="F713" s="69">
        <v>195</v>
      </c>
      <c r="G713" s="69">
        <v>48.8</v>
      </c>
      <c r="H713" s="69" t="s">
        <v>41</v>
      </c>
      <c r="I713" s="69"/>
      <c r="J713" s="69" t="s">
        <v>328</v>
      </c>
      <c r="K713" s="69">
        <f>IF(J713="syllables",1,IF(J713="trigrams",2,IF(J713="strings",3,IF(J713="visual array",4,IF(J713="characters",5,IF(J713="letters",6,IF(J713="free forms",7,IF(J713="odors",8,IF(J713="words",9,IF(J713="pictures",10,IF(J713="object pictures",11,IF(J713="faces",12,IF(J713="names",13,IF(J713="idioms",14,IF(J713="grades",15,IF(J713="syllable-digit pairs",16,IF(J713="trigram-word pairs",17,IF(J713="word-digit pairs",18,IF(J713="English-Swahili pairs",19,IF(J713="spatial position",20,IF(J713="word pairs",21,IF(J713="word triads",22,IF(J713="generated words",23,IF(J713="word definition pairs",24,IF(J713="math problems",25,IF(J713="famous faces",26,IF(J713="famous names",27,IF(J713="famous voices",28,IF(J713="television programs",29,IF(J713="race horses",30,IF(J713="new vocabulary",31,IF(J713="sentences",32,IF(J713="concepts",33,IF(J713="ad slides",34,IF(J713="scenes",35,IF(J713="famous scenes",36,IF(J713="poems",37,IF(J713="walk",38,IF(J713="faces and events",39,IF(J713="events and names",40,IF(J713="flashbulb",41,IF(J713="stories",42,IF(J713="course material",43,IF(J713="autobiographical",44,IF(J713="novels",45,IF(J713="public events",46,"99"))))))))))))))))))))))))))))))))))))))))))))))</f>
        <v>12</v>
      </c>
      <c r="L713" s="69">
        <f>IF(J713="syllables",1,IF(J713="trigrams",1,IF(J713="strings",1,IF(J713="visual array",1,IF(J713="characters",1,IF(J713="letters",1,IF(J713="free forms",1,IF(J713="odors",2,IF(J713="words",2,IF(J713="pictures",2,IF(J713="object pictures",2,IF(J713="faces",2,IF(J713="names",2,IF(J713="idioms","2",IF(J713="grades",2,IF(J713="syllable-digit pairs",3,IF(J713="trigram-word pairs",3,IF(J713="word-digit pairs",3,IF(J713="English-Swahili pairs",3,IF(J713="spatial position",3,IF(J713="word pairs",4,IF(J713="word triads",4,IF(J713="generated words",4,IF(J713="word definition pairs",4,IF(J713="math problems",4,IF(J713="famous faces",4,IF(J713="famous names",4,IF(J713="famous voices",4,IF(J713="television programs",4,IF(J713="race horses",4,IF(J713="new vocabulary",4,IF(J713="sentences",5,IF(J713="concepts",5,IF(J713="ad slides",5,IF(J713="scenes",5,IF(J713="famous scenes",5,IF(J713="poems",6,IF(J713="walk",6,IF(J713="faces and events",6,IF(J713="events and names",6,IF(J713="flashbulb",7,IF(J713="stories",7,IF(J713="course material",7,IF(J713="autobiographical",7,IF(J713="novels",7,IF(J713="public events",7,"99"))))))))))))))))))))))))))))))))))))))))))))))</f>
        <v>2</v>
      </c>
      <c r="M713" s="69">
        <v>0</v>
      </c>
      <c r="N713" s="69">
        <v>1</v>
      </c>
      <c r="O713" s="69">
        <v>0</v>
      </c>
      <c r="P713" s="69"/>
      <c r="Q713" s="69" t="s">
        <v>34</v>
      </c>
      <c r="R713" s="69">
        <f>IF(Q713="Free Recall",1,IF(Q713="Cued Recall",2,IF(Q713="Recognition",3,IF(Q713="Multiple Choice",4,IF(Q713="Savings",5,IF(Q713="Stem Completion",6,IF(Q713="Fragment Completion",7,IF(Q713="anagram solution",8,IF(Q713="Matching",9,IF(Q713="Problem Solving",10,"99"))))))))))</f>
        <v>3</v>
      </c>
      <c r="S713" s="69" t="s">
        <v>15</v>
      </c>
      <c r="T713" s="69" t="s">
        <v>261</v>
      </c>
      <c r="U713" s="60">
        <f>IF(T713="within",1,0)</f>
        <v>0</v>
      </c>
      <c r="V713" s="69">
        <v>40</v>
      </c>
      <c r="W713" s="69">
        <f>F713*V713</f>
        <v>7800</v>
      </c>
      <c r="X713" s="69">
        <v>4</v>
      </c>
      <c r="Y713" s="87">
        <f>AV712</f>
        <v>3600</v>
      </c>
      <c r="Z713" s="69" t="s">
        <v>170</v>
      </c>
      <c r="AA713" s="69">
        <v>1209600</v>
      </c>
      <c r="AB713" s="69" t="str">
        <f t="shared" ref="AB713" si="45">IF(AA713&lt;60,"1",IF(AA713&lt;=43200,"2",IF(AA713&lt;=777600,"3","4")))</f>
        <v>4</v>
      </c>
      <c r="AC713" s="72">
        <f t="shared" ref="AC713" si="46">AVERAGE(AV712:DA712)</f>
        <v>476100</v>
      </c>
      <c r="AD713" s="69" t="str">
        <f>IF(AC713&lt;60,"1",IF(AC713&lt;=43200,"2",IF(AC713&lt;=777600,"3","4")))</f>
        <v>3</v>
      </c>
      <c r="AE713" s="87">
        <f>AA713-Y713</f>
        <v>1206000</v>
      </c>
      <c r="AF713" s="88">
        <f>AV713</f>
        <v>0.82699999999999996</v>
      </c>
      <c r="AG713" s="72">
        <f>((AW713-AV713)+(AX713-AW713)+(AY713-AX713))/3</f>
        <v>-2.4333333333333318E-2</v>
      </c>
      <c r="AH713" s="4"/>
      <c r="AI713" s="72">
        <f>RSQ(AV713:AY713,AV712:AY712)</f>
        <v>0.67513334905066702</v>
      </c>
      <c r="AJ713" s="110">
        <f>SLOPE(AV713:AY713,AV712:AY712)</f>
        <v>-4.7175765714380838E-8</v>
      </c>
      <c r="AK713" s="72">
        <f>INTERCEPT(AV713:AY713,AV712:AY712)</f>
        <v>0.80471038205661671</v>
      </c>
      <c r="AL713" s="72">
        <f>INDEX(LINEST(LN(AV713:AY713),LN(AV712:AY712),TRUE,TRUE),3,1)</f>
        <v>0.99016073813171968</v>
      </c>
      <c r="AM713" s="72">
        <f>INDEX(LINEST(LN(AV713:AY713),LN(AV712:AY712)),1)</f>
        <v>-1.5417705311268558E-2</v>
      </c>
      <c r="AN713" s="72">
        <f>EXP(INDEX(LINEST(LN(AV713:AY713),LN(AV712:AY712)),1,2))</f>
        <v>0.9365757749790834</v>
      </c>
      <c r="AO713" s="89">
        <f>INDEX(LINEST((AV713:AY713),LN(AV712:AY712),TRUE,TRUE),3,1)</f>
        <v>0.98896528862385791</v>
      </c>
      <c r="AP713" s="89">
        <f>INDEX(LINEST((AV713:AY713),LN(AV712:AY712)),1)</f>
        <v>-1.2202194447609808E-2</v>
      </c>
      <c r="AQ713" s="90">
        <f>INDEX(LINEST(LN(AV713:AY713),SQRT(AV712:AY712),TRUE,TRUE),3,1)</f>
        <v>0.84410757252460089</v>
      </c>
      <c r="AR713" s="117">
        <f>INDEX(LINEST(LN(AV713:AY713),SQRT((AV712:AY712))),1)</f>
        <v>-7.9083877844639362E-5</v>
      </c>
      <c r="AS713" s="91">
        <f>INDEX(LINEST(1/(AV713:AY713),1/(SQRT(AV712:AY712)),TRUE,TRUE),3,1)</f>
        <v>0.93654862499447311</v>
      </c>
      <c r="AT713" s="91">
        <f>INDEX(LINEST(1/(AV713:AY713),1/SQRT(AV712:AY712)),1)</f>
        <v>-6.5979395844339388</v>
      </c>
      <c r="AU713" s="3"/>
      <c r="AV713" s="73">
        <v>0.82699999999999996</v>
      </c>
      <c r="AW713" s="73">
        <v>0.78200000000000003</v>
      </c>
      <c r="AX713" s="73">
        <v>0.76600000000000001</v>
      </c>
      <c r="AY713" s="73">
        <v>0.754</v>
      </c>
      <c r="AZ713" s="73"/>
      <c r="BA713" s="53"/>
      <c r="BB713" s="53"/>
      <c r="BC713" s="53"/>
      <c r="BD713" s="53"/>
      <c r="BE713" s="53"/>
      <c r="BF713" s="53"/>
      <c r="BG713" s="53"/>
      <c r="BH713" s="53"/>
      <c r="BI713" s="53"/>
      <c r="BJ713" s="53"/>
      <c r="BK713" s="53"/>
      <c r="BL713" s="53"/>
      <c r="BM713" s="53"/>
      <c r="BN713" s="53"/>
      <c r="BO713" s="53"/>
      <c r="BP713" s="53"/>
      <c r="BQ713" s="53"/>
      <c r="BR713" s="53"/>
      <c r="BS713" s="53"/>
      <c r="BT713" s="53"/>
      <c r="BU713" s="53"/>
      <c r="BV713" s="53"/>
      <c r="BW713" s="53"/>
      <c r="BX713" s="53"/>
      <c r="BY713" s="53"/>
      <c r="BZ713" s="53"/>
      <c r="CA713" s="53"/>
      <c r="CB713" s="53"/>
      <c r="CC713" s="53"/>
      <c r="CD713" s="53"/>
      <c r="CE713" s="53"/>
      <c r="CF713" s="53"/>
      <c r="CG713" s="53"/>
      <c r="CH713" s="53"/>
      <c r="CI713" s="53"/>
      <c r="CJ713" s="53"/>
      <c r="CK713" s="53"/>
      <c r="CL713" s="53"/>
      <c r="CM713" s="53"/>
      <c r="CN713" s="53"/>
      <c r="CO713" s="53"/>
      <c r="CP713" s="53"/>
      <c r="CQ713" s="53"/>
      <c r="CR713" s="1"/>
      <c r="CS713" s="1"/>
      <c r="CT713" s="1"/>
      <c r="CU713" s="1"/>
    </row>
    <row r="714" spans="1:99" ht="12" customHeight="1" x14ac:dyDescent="0.2">
      <c r="R714" s="60"/>
      <c r="U714" s="60"/>
      <c r="W714" s="60"/>
      <c r="Y714" s="76"/>
      <c r="AB714" s="60"/>
      <c r="AD714" s="60"/>
      <c r="AE714" s="60"/>
      <c r="AF714" s="80"/>
    </row>
    <row r="715" spans="1:99" ht="12" customHeight="1" x14ac:dyDescent="0.2">
      <c r="K715" s="60"/>
      <c r="R715" s="60"/>
      <c r="U715" s="60"/>
      <c r="X715" s="64">
        <f>SUM(X3:X713)</f>
        <v>1977</v>
      </c>
      <c r="Y715" s="64"/>
      <c r="AB715" s="60"/>
      <c r="AD715" s="60"/>
      <c r="AE715" s="77"/>
      <c r="AF715" s="57"/>
      <c r="AL715" s="167" t="s">
        <v>695</v>
      </c>
      <c r="AM715" s="57">
        <f>AVERAGE(AM3:AM713)</f>
        <v>-0.12486859577214428</v>
      </c>
    </row>
    <row r="716" spans="1:99" ht="12" customHeight="1" x14ac:dyDescent="0.2">
      <c r="R716" s="60"/>
      <c r="Y716" s="64"/>
      <c r="AB716" s="60"/>
      <c r="AD716" s="60"/>
      <c r="AF716" s="64"/>
      <c r="AG716" s="64"/>
      <c r="AL716" s="45" t="s">
        <v>1026</v>
      </c>
      <c r="AM716" s="57">
        <f>MEDIAN(AM3:AM713)</f>
        <v>-7.0563235733220098E-2</v>
      </c>
    </row>
    <row r="717" spans="1:99" ht="12" customHeight="1" x14ac:dyDescent="0.2">
      <c r="K717" s="60"/>
      <c r="R717" s="60"/>
      <c r="Y717" s="64"/>
      <c r="AB717" s="60"/>
      <c r="AD717" s="60"/>
      <c r="AF717" s="64"/>
      <c r="AG717" s="64"/>
      <c r="AL717" s="167" t="s">
        <v>918</v>
      </c>
      <c r="AM717" s="57">
        <f>MIN(AM3:AM713)</f>
        <v>-1.0290427979840413</v>
      </c>
    </row>
    <row r="718" spans="1:99" ht="12" customHeight="1" x14ac:dyDescent="0.2">
      <c r="R718" s="60"/>
      <c r="Y718" s="64"/>
      <c r="AB718" s="60"/>
      <c r="AD718" s="60"/>
      <c r="AF718" s="57"/>
      <c r="AG718" s="174"/>
      <c r="AL718" s="167" t="s">
        <v>917</v>
      </c>
      <c r="AM718" s="57">
        <f>MAX(AM3:AM713)</f>
        <v>2.9727723158478062E-2</v>
      </c>
    </row>
    <row r="719" spans="1:99" ht="12" customHeight="1" x14ac:dyDescent="0.2">
      <c r="K719" s="60"/>
      <c r="R719" s="60"/>
      <c r="Y719" s="64"/>
      <c r="AB719" s="60"/>
      <c r="AD719" s="60"/>
      <c r="AF719" s="64"/>
      <c r="AG719" s="64"/>
      <c r="AL719" s="167" t="s">
        <v>919</v>
      </c>
      <c r="AM719" s="64">
        <f xml:space="preserve"> STDEV(AM3:AM713)</f>
        <v>0.15473737354500863</v>
      </c>
    </row>
    <row r="720" spans="1:99" ht="12" customHeight="1" x14ac:dyDescent="0.2">
      <c r="R720" s="60"/>
      <c r="W720" s="60"/>
      <c r="Y720" s="76"/>
      <c r="AB720" s="60"/>
      <c r="AD720" s="60"/>
      <c r="AE720" s="60"/>
      <c r="AF720" s="80"/>
      <c r="AL720" s="45" t="s">
        <v>1025</v>
      </c>
      <c r="AM720" s="64">
        <f xml:space="preserve"> STDEV(AM3:AM713)/SQRT(COUNT(AM3:AM713))</f>
        <v>8.2010643957730681E-3</v>
      </c>
    </row>
    <row r="721" spans="11:39" ht="12" customHeight="1" x14ac:dyDescent="0.2">
      <c r="K721" s="60"/>
      <c r="R721" s="60"/>
      <c r="W721" s="60"/>
      <c r="Y721" s="76"/>
      <c r="AB721" s="60"/>
      <c r="AD721" s="60"/>
      <c r="AE721" s="76"/>
      <c r="AF721" s="80"/>
      <c r="AL721" s="168"/>
      <c r="AM721" s="169"/>
    </row>
    <row r="722" spans="11:39" ht="12" customHeight="1" x14ac:dyDescent="0.2">
      <c r="R722" s="60"/>
      <c r="W722" s="60"/>
      <c r="Y722" s="76"/>
      <c r="AB722" s="60"/>
      <c r="AD722" s="60"/>
      <c r="AE722" s="60"/>
      <c r="AF722" s="80"/>
      <c r="AL722" s="168" t="s">
        <v>132</v>
      </c>
      <c r="AM722" s="169">
        <f>AM715-(3*AM719)</f>
        <v>-0.58908071640717019</v>
      </c>
    </row>
    <row r="723" spans="11:39" ht="12" customHeight="1" x14ac:dyDescent="0.2">
      <c r="K723" s="60"/>
      <c r="L723" s="60"/>
      <c r="R723" s="60"/>
      <c r="W723" s="60"/>
      <c r="Y723" s="76"/>
      <c r="AB723" s="60"/>
      <c r="AE723" s="76"/>
      <c r="AF723" s="80"/>
      <c r="AL723" s="168" t="s">
        <v>130</v>
      </c>
      <c r="AM723" s="169">
        <f>AM715+(3*AM719)</f>
        <v>0.33934352486288166</v>
      </c>
    </row>
    <row r="724" spans="11:39" ht="12" customHeight="1" x14ac:dyDescent="0.2">
      <c r="R724" s="60"/>
      <c r="W724" s="60"/>
      <c r="Y724" s="76"/>
      <c r="AB724" s="60"/>
      <c r="AE724" s="60"/>
      <c r="AF724" s="80"/>
    </row>
    <row r="725" spans="11:39" ht="12" customHeight="1" x14ac:dyDescent="0.2">
      <c r="K725" s="60"/>
      <c r="L725" s="60"/>
      <c r="R725" s="60"/>
      <c r="W725" s="60"/>
      <c r="Y725" s="76"/>
      <c r="AB725" s="60"/>
      <c r="AE725" s="76"/>
      <c r="AF725" s="80"/>
    </row>
    <row r="726" spans="11:39" ht="12" customHeight="1" x14ac:dyDescent="0.2">
      <c r="R726" s="60"/>
      <c r="W726" s="60"/>
      <c r="Y726" s="76"/>
      <c r="AB726" s="60"/>
      <c r="AE726" s="60"/>
      <c r="AF726" s="80"/>
    </row>
    <row r="727" spans="11:39" ht="12" customHeight="1" x14ac:dyDescent="0.2">
      <c r="K727" s="60"/>
      <c r="L727" s="60"/>
      <c r="R727" s="60"/>
      <c r="W727" s="60"/>
      <c r="Y727" s="76"/>
      <c r="AB727" s="60"/>
      <c r="AE727" s="76"/>
      <c r="AF727" s="80"/>
    </row>
    <row r="728" spans="11:39" ht="12" customHeight="1" x14ac:dyDescent="0.2">
      <c r="R728" s="60"/>
      <c r="W728" s="60"/>
      <c r="Y728" s="76"/>
      <c r="AB728" s="60"/>
      <c r="AE728" s="60"/>
      <c r="AF728" s="80"/>
    </row>
    <row r="729" spans="11:39" ht="12" customHeight="1" x14ac:dyDescent="0.2">
      <c r="K729" s="60"/>
      <c r="L729" s="60"/>
      <c r="R729" s="60"/>
      <c r="W729" s="60"/>
      <c r="Y729" s="76"/>
      <c r="AB729" s="60"/>
      <c r="AE729" s="76"/>
      <c r="AF729" s="80"/>
    </row>
    <row r="730" spans="11:39" ht="12" customHeight="1" x14ac:dyDescent="0.2">
      <c r="R730" s="60"/>
      <c r="W730" s="60"/>
      <c r="Y730" s="76"/>
      <c r="AB730" s="60"/>
      <c r="AE730" s="60"/>
      <c r="AF730" s="80"/>
    </row>
    <row r="731" spans="11:39" ht="12" customHeight="1" x14ac:dyDescent="0.2">
      <c r="K731" s="60"/>
      <c r="L731" s="60"/>
      <c r="R731" s="60"/>
      <c r="W731" s="60"/>
      <c r="Y731" s="76"/>
      <c r="AB731" s="60"/>
      <c r="AE731" s="76"/>
      <c r="AF731" s="80"/>
    </row>
    <row r="732" spans="11:39" ht="12" customHeight="1" x14ac:dyDescent="0.2">
      <c r="R732" s="60"/>
      <c r="W732" s="60"/>
      <c r="Y732" s="76"/>
      <c r="AB732" s="60"/>
      <c r="AE732" s="60"/>
      <c r="AF732" s="80"/>
    </row>
    <row r="733" spans="11:39" ht="12" customHeight="1" x14ac:dyDescent="0.2">
      <c r="K733" s="60"/>
      <c r="L733" s="60"/>
      <c r="R733" s="60"/>
      <c r="W733" s="60"/>
      <c r="Y733" s="76"/>
      <c r="AB733" s="60"/>
      <c r="AE733" s="76"/>
      <c r="AF733" s="80"/>
    </row>
    <row r="734" spans="11:39" ht="12" customHeight="1" x14ac:dyDescent="0.2">
      <c r="R734" s="60"/>
      <c r="W734" s="60"/>
      <c r="Y734" s="76"/>
      <c r="AB734" s="60"/>
      <c r="AE734" s="60"/>
      <c r="AF734" s="80"/>
    </row>
    <row r="735" spans="11:39" ht="12" customHeight="1" x14ac:dyDescent="0.2">
      <c r="K735" s="60"/>
      <c r="L735" s="60"/>
      <c r="R735" s="60"/>
      <c r="W735" s="60"/>
      <c r="Y735" s="76"/>
      <c r="AB735" s="60"/>
      <c r="AE735" s="76"/>
      <c r="AF735" s="80"/>
    </row>
    <row r="736" spans="11:39" ht="12" customHeight="1" x14ac:dyDescent="0.2">
      <c r="R736" s="60"/>
      <c r="W736" s="60"/>
      <c r="Y736" s="76"/>
      <c r="AB736" s="60"/>
      <c r="AE736" s="60"/>
      <c r="AF736" s="80"/>
    </row>
    <row r="737" spans="11:32" ht="12" customHeight="1" x14ac:dyDescent="0.2">
      <c r="K737" s="60"/>
      <c r="L737" s="60"/>
      <c r="R737" s="60"/>
      <c r="W737" s="60"/>
      <c r="Y737" s="76"/>
      <c r="AB737" s="60"/>
      <c r="AE737" s="76"/>
      <c r="AF737" s="80"/>
    </row>
    <row r="738" spans="11:32" ht="12" customHeight="1" x14ac:dyDescent="0.2">
      <c r="R738" s="60"/>
      <c r="W738" s="60"/>
      <c r="Y738" s="76"/>
      <c r="AB738" s="60"/>
      <c r="AE738" s="60"/>
      <c r="AF738" s="80"/>
    </row>
    <row r="739" spans="11:32" ht="12" customHeight="1" x14ac:dyDescent="0.2">
      <c r="K739" s="60"/>
      <c r="L739" s="60"/>
      <c r="R739" s="60"/>
      <c r="W739" s="60"/>
      <c r="Y739" s="76"/>
      <c r="AB739" s="60"/>
      <c r="AE739" s="76"/>
      <c r="AF739" s="80"/>
    </row>
    <row r="740" spans="11:32" ht="12" customHeight="1" x14ac:dyDescent="0.2">
      <c r="R740" s="60"/>
      <c r="W740" s="60"/>
      <c r="Y740" s="76"/>
      <c r="AB740" s="60"/>
      <c r="AE740" s="60"/>
      <c r="AF740" s="80"/>
    </row>
    <row r="741" spans="11:32" ht="12" customHeight="1" x14ac:dyDescent="0.2">
      <c r="K741" s="60"/>
      <c r="L741" s="60"/>
      <c r="R741" s="60"/>
      <c r="W741" s="60"/>
      <c r="Y741" s="76"/>
      <c r="AB741" s="60"/>
      <c r="AE741" s="76"/>
      <c r="AF741" s="80"/>
    </row>
    <row r="742" spans="11:32" ht="12" customHeight="1" x14ac:dyDescent="0.2">
      <c r="R742" s="60"/>
      <c r="W742" s="60"/>
      <c r="Y742" s="76"/>
      <c r="AB742" s="60"/>
      <c r="AE742" s="60"/>
      <c r="AF742" s="80"/>
    </row>
    <row r="743" spans="11:32" ht="12" customHeight="1" x14ac:dyDescent="0.2">
      <c r="K743" s="60"/>
      <c r="L743" s="60"/>
      <c r="R743" s="60"/>
      <c r="W743" s="60"/>
      <c r="Y743" s="76"/>
      <c r="AB743" s="60"/>
      <c r="AE743" s="76"/>
      <c r="AF743" s="80"/>
    </row>
    <row r="744" spans="11:32" ht="12" customHeight="1" x14ac:dyDescent="0.2">
      <c r="R744" s="60"/>
      <c r="W744" s="60"/>
      <c r="Y744" s="76"/>
      <c r="AB744" s="60"/>
      <c r="AE744" s="60"/>
      <c r="AF744" s="80"/>
    </row>
    <row r="745" spans="11:32" ht="12" customHeight="1" x14ac:dyDescent="0.2">
      <c r="K745" s="60"/>
      <c r="L745" s="60"/>
      <c r="R745" s="60"/>
      <c r="W745" s="60"/>
      <c r="Y745" s="76"/>
      <c r="AB745" s="60"/>
      <c r="AE745" s="76"/>
      <c r="AF745" s="80"/>
    </row>
    <row r="746" spans="11:32" ht="12" customHeight="1" x14ac:dyDescent="0.2">
      <c r="W746" s="60"/>
      <c r="Y746" s="76"/>
      <c r="AB746" s="60"/>
      <c r="AE746" s="60"/>
      <c r="AF746" s="80"/>
    </row>
    <row r="747" spans="11:32" ht="12" customHeight="1" x14ac:dyDescent="0.2">
      <c r="K747" s="60"/>
      <c r="L747" s="60"/>
      <c r="W747" s="60"/>
      <c r="Y747" s="76"/>
      <c r="AE747" s="76"/>
      <c r="AF747" s="80"/>
    </row>
    <row r="748" spans="11:32" ht="12" customHeight="1" x14ac:dyDescent="0.2">
      <c r="W748" s="60"/>
      <c r="Y748" s="76"/>
      <c r="AE748" s="60"/>
      <c r="AF748" s="80"/>
    </row>
    <row r="749" spans="11:32" ht="12" customHeight="1" x14ac:dyDescent="0.2">
      <c r="K749" s="60"/>
      <c r="L749" s="60"/>
      <c r="W749" s="60"/>
      <c r="Y749" s="76"/>
      <c r="AE749" s="76"/>
      <c r="AF749" s="80"/>
    </row>
    <row r="750" spans="11:32" ht="12" customHeight="1" x14ac:dyDescent="0.2">
      <c r="W750" s="60"/>
      <c r="Y750" s="76"/>
      <c r="AE750" s="60"/>
      <c r="AF750" s="80"/>
    </row>
    <row r="751" spans="11:32" ht="12" customHeight="1" x14ac:dyDescent="0.2">
      <c r="K751" s="60"/>
      <c r="L751" s="60"/>
      <c r="W751" s="60"/>
      <c r="Y751" s="76"/>
      <c r="AE751" s="76"/>
      <c r="AF751" s="80"/>
    </row>
    <row r="752" spans="11:32" ht="12" customHeight="1" x14ac:dyDescent="0.2">
      <c r="W752" s="60"/>
      <c r="Y752" s="76"/>
      <c r="AE752" s="60"/>
      <c r="AF752" s="80"/>
    </row>
    <row r="753" spans="11:32" ht="12" customHeight="1" x14ac:dyDescent="0.2">
      <c r="K753" s="60"/>
      <c r="L753" s="60"/>
      <c r="W753" s="60"/>
      <c r="Y753" s="76"/>
      <c r="AE753" s="76"/>
      <c r="AF753" s="80"/>
    </row>
    <row r="755" spans="11:32" ht="12" customHeight="1" x14ac:dyDescent="0.2">
      <c r="K755" s="60"/>
      <c r="L755" s="60"/>
    </row>
  </sheetData>
  <conditionalFormatting sqref="AB6:AD6 AB8:AD8 AB10:AD10 AB12:AD12 AB14:AD14 AB16:AD16 AB18:AD18 AB26:AD26 AB20:AD20 AB22:AC22 AB24:AC24 AB28:AC28 AB30:AC30 AB32:AC32 AB34:AC34 AB36:AC36 AB38:AC38 AB40:AC40 AB42:AC42 AB44:AC44 AB46:AC46 AB52:AC52 AB54:AC54 AB56:AC56 AB58:AC58 AB48:AC48 AB50:AC50 AB60:AC60 AB62:AC62 AB68:AC68 AB70:AC70 AC72 AB74:AC74 AB76:AC76 AB78:AC78 AB80:AC80 AC82 AB84:AC84 AB86:AC86 AB88:AC88 AC108 AC110 AC112 AC114 AC116 AC118 AC120 AC122 AC124 AC126 AC132 AC134 AC136 AC138 AC140 AC142 AC144 AC148 AC150 AC152 AC154 AC156 AC158 AC160 AC162 AC164 AC166 AC182 AC184 AC186 AC188 AC190 AC192 AC194 AC196 AC198 AC200 AC202 AC244 AC246 AC248 AC272 AC274 AC270 AC276 AC278 AC284 AC288 AC290 AC302 AC322 AC324 AC326 AC328 AC330 AC332 AC334 AC384 AC402 AC404 AC406 AC410 AC408 AC420 AC458 AC460 AC498 AC504 AC508 AC510 AC512 AC514 AC536 AC540 AC552 AC554 AC556 AC558 AC560 AC568 AC570 AC572 AC574 AC576 AC578 AC586 AC588 AC590 AC592 AC594 AC596 AC598 AC600 AC602 AC604 AC618 AC606 AC612 AC632 AC654 AC656 AC658 AC660 AC662 AC664 AC666 AC668 AC670 AC672 AC688 AC690 AC694 AC704 AC712 AC706 AC566 AC564 AC414 AC146 AC562 AC412 AG22 AG58 AG56 AG54 AG52 AG46 AG44 AG42 AG40 AG38 AG36 AG34 AG32 AG30 AG28 AG24 AG80 AG78 AG76 AG74 AG72 AG70 AG68 AG62 AG60 AG50 AG48 AG88 AG86 AG84 AG82 AG126 AG124 AG122 AG120 AG118 AG116 AG114 AG112 AG110 AG108 AG146 AG150 AG148 AG144 AG142 AG140 AG138 AG136 AG134 AG132 AG166 AG164 AG162 AG160 AG158 AG156 AG154 AG152 AG202 AG200 AG198 AG196 AG194 AG192 AG190 AG188 AG186 AG184 AG182 AG248 AG246 AG244 AG270 AG274 AG272 AG290 AG288 AG284 AG278 AG276 AG302 AG334 AG332 AG330 AG328 AG326 AG324 AG322 AG412 AG414 AG408 AG410 AG406 AG404 AG402 AG384 AG420 AG514 AG512 AG510 AG508 AG504 AG498 AG460 AG458 AG540 AG536 AG562 AG564 AG566 AG570 AG568 AG560 AG558 AG556 AG554 AG552 AG588 AG586 AG578 AG576 AG574 AG612 AG606 AG604 AG602 AG600 AG598 AG596 AG594 AG592 AG590 AG632 AG618 AG672 AG670 AG668 AG666 AG664 AG662 AG660 AG658 AG656 AG654 AG694 AG690 AG688 AG706 AG704 AG712 Z146:AA146 Z412:AA412 Z562:AA562 AG10 AG6 AG20 AG26 AG18 AG16 AG14 AG12 Z414:AA414 Z564:AA564 Z566:AA566 M98:P98 O65:O67 O567:P567 O565:P565 O563:P563 E434:J434 E696:J696 E454:I454 E456:I456 E698:I698 E700:I700 E584:I584 E646:I646 E642:I642 E650:I650 E652:I652 E436:I436 E702:I702 E66:I66 E98:I98 E368:I368 E338:I338 E340:I340 E342:I342 E354:I354 E370:I370 E372:I372 AE378:AF378 AE380:AF380 AE382:AF382 M174:P174 T146 S412:T412 S414 S562:T562 S564:T564 S566:T566 X562 X564 X566 X2 X146 X414 X412 V146 V412 O2:P3 B556:P556 B558:P558 B562:Q562 B564:Q564 B566:Q566 B412:Q412 B414:Q414 B2:Q2 B4:P4 B146:Q146">
    <cfRule type="expression" dxfId="1129" priority="1085">
      <formula>MOD(ROW(),2)=1</formula>
    </cfRule>
  </conditionalFormatting>
  <conditionalFormatting sqref="AX410">
    <cfRule type="expression" dxfId="1128" priority="1082">
      <formula>MOD(ROW(),2)=1</formula>
    </cfRule>
  </conditionalFormatting>
  <conditionalFormatting sqref="X4 T2 Z4 Z2:AA2 J2 V2">
    <cfRule type="expression" dxfId="1127" priority="1079">
      <formula>MOD(ROW(),2)=1</formula>
    </cfRule>
  </conditionalFormatting>
  <conditionalFormatting sqref="S2">
    <cfRule type="expression" dxfId="1126" priority="1078">
      <formula>MOD(ROW(),2)=1</formula>
    </cfRule>
  </conditionalFormatting>
  <conditionalFormatting sqref="J66">
    <cfRule type="expression" dxfId="1125" priority="1076">
      <formula>MOD(ROW(),2)=1</formula>
    </cfRule>
  </conditionalFormatting>
  <conditionalFormatting sqref="J98 J100 J102">
    <cfRule type="expression" dxfId="1124" priority="1074">
      <formula>MOD(ROW(),2)=1</formula>
    </cfRule>
  </conditionalFormatting>
  <conditionalFormatting sqref="I100 I102">
    <cfRule type="expression" dxfId="1123" priority="1073">
      <formula>MOD(ROW(),2)=1</formula>
    </cfRule>
  </conditionalFormatting>
  <conditionalFormatting sqref="Z98:AA98 Z100:AA100 Z102:AA102">
    <cfRule type="expression" dxfId="1122" priority="1072">
      <formula>MOD(ROW(),2)=1</formula>
    </cfRule>
  </conditionalFormatting>
  <conditionalFormatting sqref="J174">
    <cfRule type="expression" dxfId="1121" priority="1071">
      <formula>MOD(ROW(),2)=1</formula>
    </cfRule>
  </conditionalFormatting>
  <conditionalFormatting sqref="J178 J180">
    <cfRule type="expression" dxfId="1120" priority="1070">
      <formula>MOD(ROW(),2)=1</formula>
    </cfRule>
  </conditionalFormatting>
  <conditionalFormatting sqref="J338 J340 J342">
    <cfRule type="expression" dxfId="1119" priority="1064">
      <formula>MOD(ROW(),2)=1</formula>
    </cfRule>
  </conditionalFormatting>
  <conditionalFormatting sqref="J700">
    <cfRule type="expression" dxfId="1118" priority="1059">
      <formula>MOD(ROW(),2)=1</formula>
    </cfRule>
  </conditionalFormatting>
  <conditionalFormatting sqref="J310">
    <cfRule type="expression" dxfId="1117" priority="1066">
      <formula>MOD(ROW(),2)=1</formula>
    </cfRule>
  </conditionalFormatting>
  <conditionalFormatting sqref="J354">
    <cfRule type="expression" dxfId="1116" priority="1063">
      <formula>MOD(ROW(),2)=1</formula>
    </cfRule>
  </conditionalFormatting>
  <conditionalFormatting sqref="J368">
    <cfRule type="expression" dxfId="1115" priority="1061">
      <formula>MOD(ROW(),2)=1</formula>
    </cfRule>
  </conditionalFormatting>
  <conditionalFormatting sqref="J454 I450:J450 I452:J452 J456">
    <cfRule type="expression" dxfId="1114" priority="1055">
      <formula>MOD(ROW(),2)=1</formula>
    </cfRule>
  </conditionalFormatting>
  <conditionalFormatting sqref="J698">
    <cfRule type="expression" dxfId="1113" priority="1060">
      <formula>MOD(ROW(),2)=1</formula>
    </cfRule>
  </conditionalFormatting>
  <conditionalFormatting sqref="E546:I546">
    <cfRule type="expression" dxfId="1112" priority="1048">
      <formula>MOD(ROW(),2)=1</formula>
    </cfRule>
  </conditionalFormatting>
  <conditionalFormatting sqref="J466">
    <cfRule type="expression" dxfId="1111" priority="1054">
      <formula>MOD(ROW(),2)=1</formula>
    </cfRule>
  </conditionalFormatting>
  <conditionalFormatting sqref="E546:I546">
    <cfRule type="expression" dxfId="1110" priority="1046">
      <formula>MOD(ROW(),2)=1</formula>
    </cfRule>
  </conditionalFormatting>
  <conditionalFormatting sqref="E544:I544 E546:I546">
    <cfRule type="expression" dxfId="1109" priority="1050">
      <formula>MOD(ROW(),2)=1</formula>
    </cfRule>
  </conditionalFormatting>
  <conditionalFormatting sqref="E546:I546">
    <cfRule type="expression" dxfId="1108" priority="1047">
      <formula>MOD(ROW(),2)=1</formula>
    </cfRule>
  </conditionalFormatting>
  <conditionalFormatting sqref="J534">
    <cfRule type="expression" dxfId="1107" priority="1053">
      <formula>MOD(ROW(),2)=1</formula>
    </cfRule>
  </conditionalFormatting>
  <conditionalFormatting sqref="E546:I546">
    <cfRule type="expression" dxfId="1106" priority="1049">
      <formula>MOD(ROW(),2)=1</formula>
    </cfRule>
  </conditionalFormatting>
  <conditionalFormatting sqref="E636:I636">
    <cfRule type="expression" dxfId="1105" priority="1045">
      <formula>MOD(ROW(),2)=1</formula>
    </cfRule>
  </conditionalFormatting>
  <conditionalFormatting sqref="J436">
    <cfRule type="expression" dxfId="1104" priority="1037">
      <formula>MOD(ROW(),2)=1</formula>
    </cfRule>
  </conditionalFormatting>
  <conditionalFormatting sqref="Z466">
    <cfRule type="expression" dxfId="1103" priority="1025">
      <formula>MOD(ROW(),2)=1</formula>
    </cfRule>
  </conditionalFormatting>
  <conditionalFormatting sqref="Z436:AA436">
    <cfRule type="expression" dxfId="1102" priority="1036">
      <formula>MOD(ROW(),2)=1</formula>
    </cfRule>
  </conditionalFormatting>
  <conditionalFormatting sqref="T4 I4:J4 F4 V4">
    <cfRule type="expression" dxfId="1101" priority="1027">
      <formula>MOD(ROW(),2)=1</formula>
    </cfRule>
  </conditionalFormatting>
  <conditionalFormatting sqref="Q4 S4">
    <cfRule type="expression" dxfId="1100" priority="1026">
      <formula>MOD(ROW(),2)=1</formula>
    </cfRule>
  </conditionalFormatting>
  <conditionalFormatting sqref="AA466">
    <cfRule type="expression" dxfId="1099" priority="1024">
      <formula>MOD(ROW(),2)=1</formula>
    </cfRule>
  </conditionalFormatting>
  <conditionalFormatting sqref="J702">
    <cfRule type="expression" dxfId="1098" priority="1023">
      <formula>MOD(ROW(),2)=1</formula>
    </cfRule>
  </conditionalFormatting>
  <conditionalFormatting sqref="AC292 AG292">
    <cfRule type="expression" dxfId="1097" priority="1011">
      <formula>MOD(ROW(),2)=1</formula>
    </cfRule>
  </conditionalFormatting>
  <conditionalFormatting sqref="AC294 AC296 AG296 AG294">
    <cfRule type="expression" dxfId="1096" priority="1010">
      <formula>MOD(ROW(),2)=1</formula>
    </cfRule>
  </conditionalFormatting>
  <conditionalFormatting sqref="J370">
    <cfRule type="expression" dxfId="1095" priority="998">
      <formula>MOD(ROW(),2)=1</formula>
    </cfRule>
  </conditionalFormatting>
  <conditionalFormatting sqref="J372">
    <cfRule type="expression" dxfId="1094" priority="997">
      <formula>MOD(ROW(),2)=1</formula>
    </cfRule>
  </conditionalFormatting>
  <conditionalFormatting sqref="AB90:AC90 AG90">
    <cfRule type="expression" dxfId="1093" priority="996">
      <formula>MOD(ROW(),2)=1</formula>
    </cfRule>
  </conditionalFormatting>
  <conditionalFormatting sqref="AB92:AC92 AG92">
    <cfRule type="expression" dxfId="1092" priority="995">
      <formula>MOD(ROW(),2)=1</formula>
    </cfRule>
  </conditionalFormatting>
  <conditionalFormatting sqref="AX412">
    <cfRule type="expression" dxfId="1091" priority="994">
      <formula>MOD(ROW(),2)=1</formula>
    </cfRule>
  </conditionalFormatting>
  <conditionalFormatting sqref="AX414">
    <cfRule type="expression" dxfId="1090" priority="993">
      <formula>MOD(ROW(),2)=1</formula>
    </cfRule>
  </conditionalFormatting>
  <conditionalFormatting sqref="AC538 AG538">
    <cfRule type="expression" dxfId="1089" priority="989">
      <formula>MOD(ROW(),2)=1</formula>
    </cfRule>
  </conditionalFormatting>
  <conditionalFormatting sqref="AB170">
    <cfRule type="expression" dxfId="1088" priority="959">
      <formula>MOD(ROW(),2)=1</formula>
    </cfRule>
  </conditionalFormatting>
  <conditionalFormatting sqref="AB188">
    <cfRule type="expression" dxfId="1087" priority="958">
      <formula>MOD(ROW(),2)=1</formula>
    </cfRule>
  </conditionalFormatting>
  <conditionalFormatting sqref="AB296">
    <cfRule type="expression" dxfId="1086" priority="956">
      <formula>MOD(ROW(),2)=1</formula>
    </cfRule>
  </conditionalFormatting>
  <conditionalFormatting sqref="AB332">
    <cfRule type="expression" dxfId="1085" priority="955">
      <formula>MOD(ROW(),2)=1</formula>
    </cfRule>
  </conditionalFormatting>
  <conditionalFormatting sqref="AB658">
    <cfRule type="expression" dxfId="1084" priority="943">
      <formula>MOD(ROW(),2)=1</formula>
    </cfRule>
  </conditionalFormatting>
  <conditionalFormatting sqref="AB532">
    <cfRule type="expression" dxfId="1083" priority="951">
      <formula>MOD(ROW(),2)=1</formula>
    </cfRule>
  </conditionalFormatting>
  <conditionalFormatting sqref="AB574">
    <cfRule type="expression" dxfId="1082" priority="947">
      <formula>MOD(ROW(),2)=1</formula>
    </cfRule>
  </conditionalFormatting>
  <conditionalFormatting sqref="AB594">
    <cfRule type="expression" dxfId="1081" priority="946">
      <formula>MOD(ROW(),2)=1</formula>
    </cfRule>
  </conditionalFormatting>
  <conditionalFormatting sqref="AD24 AD28 AD52 AD54 AD56 AD58 AD30">
    <cfRule type="expression" dxfId="1080" priority="939">
      <formula>MOD(ROW(),2)=1</formula>
    </cfRule>
  </conditionalFormatting>
  <conditionalFormatting sqref="AD48 AD66 AD68 AD70 AD72 AD74 AD76 AD78 AD50">
    <cfRule type="expression" dxfId="1079" priority="938">
      <formula>MOD(ROW(),2)=1</formula>
    </cfRule>
  </conditionalFormatting>
  <conditionalFormatting sqref="AD82 AD98 AD100 AD102 AD84">
    <cfRule type="expression" dxfId="1078" priority="937">
      <formula>MOD(ROW(),2)=1</formula>
    </cfRule>
  </conditionalFormatting>
  <conditionalFormatting sqref="AD114 AD116 AD118 AD120 AD122 AD124 AD126">
    <cfRule type="expression" dxfId="1077" priority="936">
      <formula>MOD(ROW(),2)=1</formula>
    </cfRule>
  </conditionalFormatting>
  <conditionalFormatting sqref="AD132 AD134 AD136 AD138 AD140 AD142 AD144 AD146 AD148">
    <cfRule type="expression" dxfId="1076" priority="935">
      <formula>MOD(ROW(),2)=1</formula>
    </cfRule>
  </conditionalFormatting>
  <conditionalFormatting sqref="AD152 AD154 AD174 AD156">
    <cfRule type="expression" dxfId="1075" priority="934">
      <formula>MOD(ROW(),2)=1</formula>
    </cfRule>
  </conditionalFormatting>
  <conditionalFormatting sqref="AD192 AD194 AD196 AD198 AD200 AD202">
    <cfRule type="expression" dxfId="1074" priority="933">
      <formula>MOD(ROW(),2)=1</formula>
    </cfRule>
  </conditionalFormatting>
  <conditionalFormatting sqref="AD250 AD252 AD254 AD256">
    <cfRule type="expression" dxfId="1073" priority="931">
      <formula>MOD(ROW(),2)=1</formula>
    </cfRule>
  </conditionalFormatting>
  <conditionalFormatting sqref="AD258 AD260 AD272 AD274 AD270 AD262">
    <cfRule type="expression" dxfId="1072" priority="930">
      <formula>MOD(ROW(),2)=1</formula>
    </cfRule>
  </conditionalFormatting>
  <conditionalFormatting sqref="AD276 AD292 AD294 AD296 AD278">
    <cfRule type="expression" dxfId="1071" priority="929">
      <formula>MOD(ROW(),2)=1</formula>
    </cfRule>
  </conditionalFormatting>
  <conditionalFormatting sqref="AD302 AD304">
    <cfRule type="expression" dxfId="1070" priority="928">
      <formula>MOD(ROW(),2)=1</formula>
    </cfRule>
  </conditionalFormatting>
  <conditionalFormatting sqref="AD308 AD326 AD328 AD330 AD332 AD334 AD336 AD310">
    <cfRule type="expression" dxfId="1069" priority="927">
      <formula>MOD(ROW(),2)=1</formula>
    </cfRule>
  </conditionalFormatting>
  <conditionalFormatting sqref="AD340 AD342 AD374 AD376 AD368 AD370 AD350">
    <cfRule type="expression" dxfId="1068" priority="926">
      <formula>MOD(ROW(),2)=1</formula>
    </cfRule>
  </conditionalFormatting>
  <conditionalFormatting sqref="AD384 AD402 AD404">
    <cfRule type="expression" dxfId="1067" priority="925">
      <formula>MOD(ROW(),2)=1</formula>
    </cfRule>
  </conditionalFormatting>
  <conditionalFormatting sqref="AD434 AD436">
    <cfRule type="expression" dxfId="1066" priority="924">
      <formula>MOD(ROW(),2)=1</formula>
    </cfRule>
  </conditionalFormatting>
  <conditionalFormatting sqref="AD450 AD452 AD454">
    <cfRule type="expression" dxfId="1065" priority="923">
      <formula>MOD(ROW(),2)=1</formula>
    </cfRule>
  </conditionalFormatting>
  <conditionalFormatting sqref="AD458 AD460 AD498 AD504 AD508 AD510 AD512 AD514 AD518 AD530 AD462">
    <cfRule type="expression" dxfId="1064" priority="922">
      <formula>MOD(ROW(),2)=1</formula>
    </cfRule>
  </conditionalFormatting>
  <conditionalFormatting sqref="AD534 AD548 AD542 AD544">
    <cfRule type="expression" dxfId="1063" priority="921">
      <formula>MOD(ROW(),2)=1</formula>
    </cfRule>
  </conditionalFormatting>
  <conditionalFormatting sqref="AD560 AD562 AD564 AD566 AD568">
    <cfRule type="expression" dxfId="1062" priority="918">
      <formula>MOD(ROW(),2)=1</formula>
    </cfRule>
  </conditionalFormatting>
  <conditionalFormatting sqref="AD582 AD584 AD586 AD588 AD572">
    <cfRule type="expression" dxfId="1061" priority="917">
      <formula>MOD(ROW(),2)=1</formula>
    </cfRule>
  </conditionalFormatting>
  <conditionalFormatting sqref="AD590 AD606 AD612">
    <cfRule type="expression" dxfId="1060" priority="916">
      <formula>MOD(ROW(),2)=1</formula>
    </cfRule>
  </conditionalFormatting>
  <conditionalFormatting sqref="AD618 AD620 AD622 AD624 AD626 AD632 AD634">
    <cfRule type="expression" dxfId="1059" priority="915">
      <formula>MOD(ROW(),2)=1</formula>
    </cfRule>
  </conditionalFormatting>
  <conditionalFormatting sqref="AD636 AD638 AD640 AD642 AD644 AD646 AD648 AD650">
    <cfRule type="expression" dxfId="1058" priority="914">
      <formula>MOD(ROW(),2)=1</formula>
    </cfRule>
  </conditionalFormatting>
  <conditionalFormatting sqref="AD668 AD670 AD672 AD674">
    <cfRule type="expression" dxfId="1057" priority="913">
      <formula>MOD(ROW(),2)=1</formula>
    </cfRule>
  </conditionalFormatting>
  <conditionalFormatting sqref="AD676 AD688 AD690 AD694 AD678">
    <cfRule type="expression" dxfId="1056" priority="912">
      <formula>MOD(ROW(),2)=1</formula>
    </cfRule>
  </conditionalFormatting>
  <conditionalFormatting sqref="AD706">
    <cfRule type="expression" dxfId="1055" priority="911">
      <formula>MOD(ROW(),2)=1</formula>
    </cfRule>
  </conditionalFormatting>
  <conditionalFormatting sqref="Y18">
    <cfRule type="expression" dxfId="1054" priority="900">
      <formula>MOD(ROW(),2)=1</formula>
    </cfRule>
  </conditionalFormatting>
  <conditionalFormatting sqref="AD714 AD716 AD718 AD720">
    <cfRule type="expression" dxfId="1053" priority="909">
      <formula>MOD(ROW(),2)=1</formula>
    </cfRule>
  </conditionalFormatting>
  <conditionalFormatting sqref="Y2">
    <cfRule type="expression" dxfId="1052" priority="905">
      <formula>MOD(ROW(),2)=1</formula>
    </cfRule>
  </conditionalFormatting>
  <conditionalFormatting sqref="Y42">
    <cfRule type="expression" dxfId="1051" priority="894">
      <formula>MOD(ROW(),2)=1</formula>
    </cfRule>
  </conditionalFormatting>
  <conditionalFormatting sqref="Y6">
    <cfRule type="expression" dxfId="1050" priority="903">
      <formula>MOD(ROW(),2)=1</formula>
    </cfRule>
  </conditionalFormatting>
  <conditionalFormatting sqref="Y10">
    <cfRule type="expression" dxfId="1049" priority="902">
      <formula>MOD(ROW(),2)=1</formula>
    </cfRule>
  </conditionalFormatting>
  <conditionalFormatting sqref="Y14">
    <cfRule type="expression" dxfId="1048" priority="901">
      <formula>MOD(ROW(),2)=1</formula>
    </cfRule>
  </conditionalFormatting>
  <conditionalFormatting sqref="Y20">
    <cfRule type="expression" dxfId="1047" priority="899">
      <formula>MOD(ROW(),2)=1</formula>
    </cfRule>
  </conditionalFormatting>
  <conditionalFormatting sqref="Y24">
    <cfRule type="expression" dxfId="1046" priority="898">
      <formula>MOD(ROW(),2)=1</formula>
    </cfRule>
  </conditionalFormatting>
  <conditionalFormatting sqref="Y30">
    <cfRule type="expression" dxfId="1045" priority="897">
      <formula>MOD(ROW(),2)=1</formula>
    </cfRule>
  </conditionalFormatting>
  <conditionalFormatting sqref="Y34">
    <cfRule type="expression" dxfId="1044" priority="896">
      <formula>MOD(ROW(),2)=1</formula>
    </cfRule>
  </conditionalFormatting>
  <conditionalFormatting sqref="Y38">
    <cfRule type="expression" dxfId="1043" priority="895">
      <formula>MOD(ROW(),2)=1</formula>
    </cfRule>
  </conditionalFormatting>
  <conditionalFormatting sqref="Y46">
    <cfRule type="expression" dxfId="1042" priority="893">
      <formula>MOD(ROW(),2)=1</formula>
    </cfRule>
  </conditionalFormatting>
  <conditionalFormatting sqref="Y54">
    <cfRule type="expression" dxfId="1041" priority="892">
      <formula>MOD(ROW(),2)=1</formula>
    </cfRule>
  </conditionalFormatting>
  <conditionalFormatting sqref="Y58">
    <cfRule type="expression" dxfId="1040" priority="891">
      <formula>MOD(ROW(),2)=1</formula>
    </cfRule>
  </conditionalFormatting>
  <conditionalFormatting sqref="Y50">
    <cfRule type="expression" dxfId="1039" priority="890">
      <formula>MOD(ROW(),2)=1</formula>
    </cfRule>
  </conditionalFormatting>
  <conditionalFormatting sqref="Y62">
    <cfRule type="expression" dxfId="1038" priority="889">
      <formula>MOD(ROW(),2)=1</formula>
    </cfRule>
  </conditionalFormatting>
  <conditionalFormatting sqref="Y66">
    <cfRule type="expression" dxfId="1037" priority="888">
      <formula>MOD(ROW(),2)=1</formula>
    </cfRule>
  </conditionalFormatting>
  <conditionalFormatting sqref="Y68">
    <cfRule type="expression" dxfId="1036" priority="887">
      <formula>MOD(ROW(),2)=1</formula>
    </cfRule>
  </conditionalFormatting>
  <conditionalFormatting sqref="Y72">
    <cfRule type="expression" dxfId="1035" priority="886">
      <formula>MOD(ROW(),2)=1</formula>
    </cfRule>
  </conditionalFormatting>
  <conditionalFormatting sqref="Y76">
    <cfRule type="expression" dxfId="1034" priority="885">
      <formula>MOD(ROW(),2)=1</formula>
    </cfRule>
  </conditionalFormatting>
  <conditionalFormatting sqref="Y78">
    <cfRule type="expression" dxfId="1033" priority="884">
      <formula>MOD(ROW(),2)=1</formula>
    </cfRule>
  </conditionalFormatting>
  <conditionalFormatting sqref="Y82">
    <cfRule type="expression" dxfId="1032" priority="883">
      <formula>MOD(ROW(),2)=1</formula>
    </cfRule>
  </conditionalFormatting>
  <conditionalFormatting sqref="Y84">
    <cfRule type="expression" dxfId="1031" priority="882">
      <formula>MOD(ROW(),2)=1</formula>
    </cfRule>
  </conditionalFormatting>
  <conditionalFormatting sqref="Y88">
    <cfRule type="expression" dxfId="1030" priority="881">
      <formula>MOD(ROW(),2)=1</formula>
    </cfRule>
  </conditionalFormatting>
  <conditionalFormatting sqref="Y92">
    <cfRule type="expression" dxfId="1029" priority="880">
      <formula>MOD(ROW(),2)=1</formula>
    </cfRule>
  </conditionalFormatting>
  <conditionalFormatting sqref="Y110">
    <cfRule type="expression" dxfId="1028" priority="869">
      <formula>MOD(ROW(),2)=1</formula>
    </cfRule>
  </conditionalFormatting>
  <conditionalFormatting sqref="Y96">
    <cfRule type="expression" dxfId="1027" priority="878">
      <formula>MOD(ROW(),2)=1</formula>
    </cfRule>
  </conditionalFormatting>
  <conditionalFormatting sqref="Y118">
    <cfRule type="expression" dxfId="1026" priority="867">
      <formula>MOD(ROW(),2)=1</formula>
    </cfRule>
  </conditionalFormatting>
  <conditionalFormatting sqref="Y100">
    <cfRule type="expression" dxfId="1025" priority="876">
      <formula>MOD(ROW(),2)=1</formula>
    </cfRule>
  </conditionalFormatting>
  <conditionalFormatting sqref="Y102">
    <cfRule type="expression" dxfId="1024" priority="875">
      <formula>MOD(ROW(),2)=1</formula>
    </cfRule>
  </conditionalFormatting>
  <conditionalFormatting sqref="Y114">
    <cfRule type="expression" dxfId="1023" priority="868">
      <formula>MOD(ROW(),2)=1</formula>
    </cfRule>
  </conditionalFormatting>
  <conditionalFormatting sqref="Y136">
    <cfRule type="expression" dxfId="1022" priority="856">
      <formula>MOD(ROW(),2)=1</formula>
    </cfRule>
  </conditionalFormatting>
  <conditionalFormatting sqref="Y124">
    <cfRule type="expression" dxfId="1021" priority="865">
      <formula>MOD(ROW(),2)=1</formula>
    </cfRule>
  </conditionalFormatting>
  <conditionalFormatting sqref="Y156">
    <cfRule type="expression" dxfId="1020" priority="851">
      <formula>MOD(ROW(),2)=1</formula>
    </cfRule>
  </conditionalFormatting>
  <conditionalFormatting sqref="Y160">
    <cfRule type="expression" dxfId="1019" priority="850">
      <formula>MOD(ROW(),2)=1</formula>
    </cfRule>
  </conditionalFormatting>
  <conditionalFormatting sqref="Y132">
    <cfRule type="expression" dxfId="1018" priority="857">
      <formula>MOD(ROW(),2)=1</formula>
    </cfRule>
  </conditionalFormatting>
  <conditionalFormatting sqref="Y140">
    <cfRule type="expression" dxfId="1017" priority="855">
      <formula>MOD(ROW(),2)=1</formula>
    </cfRule>
  </conditionalFormatting>
  <conditionalFormatting sqref="Y144">
    <cfRule type="expression" dxfId="1016" priority="854">
      <formula>MOD(ROW(),2)=1</formula>
    </cfRule>
  </conditionalFormatting>
  <conditionalFormatting sqref="Y148">
    <cfRule type="expression" dxfId="1015" priority="853">
      <formula>MOD(ROW(),2)=1</formula>
    </cfRule>
  </conditionalFormatting>
  <conditionalFormatting sqref="Y152">
    <cfRule type="expression" dxfId="1014" priority="852">
      <formula>MOD(ROW(),2)=1</formula>
    </cfRule>
  </conditionalFormatting>
  <conditionalFormatting sqref="Y164">
    <cfRule type="expression" dxfId="1013" priority="849">
      <formula>MOD(ROW(),2)=1</formula>
    </cfRule>
  </conditionalFormatting>
  <conditionalFormatting sqref="Y168">
    <cfRule type="expression" dxfId="1012" priority="848">
      <formula>MOD(ROW(),2)=1</formula>
    </cfRule>
  </conditionalFormatting>
  <conditionalFormatting sqref="Y172">
    <cfRule type="expression" dxfId="1011" priority="847">
      <formula>MOD(ROW(),2)=1</formula>
    </cfRule>
  </conditionalFormatting>
  <conditionalFormatting sqref="Y192">
    <cfRule type="expression" dxfId="1010" priority="835">
      <formula>MOD(ROW(),2)=1</formula>
    </cfRule>
  </conditionalFormatting>
  <conditionalFormatting sqref="Y176">
    <cfRule type="expression" dxfId="1009" priority="839">
      <formula>MOD(ROW(),2)=1</formula>
    </cfRule>
  </conditionalFormatting>
  <conditionalFormatting sqref="Y180">
    <cfRule type="expression" dxfId="1008" priority="838">
      <formula>MOD(ROW(),2)=1</formula>
    </cfRule>
  </conditionalFormatting>
  <conditionalFormatting sqref="Y184">
    <cfRule type="expression" dxfId="1007" priority="837">
      <formula>MOD(ROW(),2)=1</formula>
    </cfRule>
  </conditionalFormatting>
  <conditionalFormatting sqref="Y188">
    <cfRule type="expression" dxfId="1006" priority="836">
      <formula>MOD(ROW(),2)=1</formula>
    </cfRule>
  </conditionalFormatting>
  <conditionalFormatting sqref="Y196">
    <cfRule type="expression" dxfId="1005" priority="834">
      <formula>MOD(ROW(),2)=1</formula>
    </cfRule>
  </conditionalFormatting>
  <conditionalFormatting sqref="Y200">
    <cfRule type="expression" dxfId="1004" priority="833">
      <formula>MOD(ROW(),2)=1</formula>
    </cfRule>
  </conditionalFormatting>
  <conditionalFormatting sqref="Y244">
    <cfRule type="expression" dxfId="1003" priority="826">
      <formula>MOD(ROW(),2)=1</formula>
    </cfRule>
  </conditionalFormatting>
  <conditionalFormatting sqref="Y248">
    <cfRule type="expression" dxfId="1002" priority="825">
      <formula>MOD(ROW(),2)=1</formula>
    </cfRule>
  </conditionalFormatting>
  <conditionalFormatting sqref="Y252">
    <cfRule type="expression" dxfId="1001" priority="824">
      <formula>MOD(ROW(),2)=1</formula>
    </cfRule>
  </conditionalFormatting>
  <conditionalFormatting sqref="Y256">
    <cfRule type="expression" dxfId="1000" priority="823">
      <formula>MOD(ROW(),2)=1</formula>
    </cfRule>
  </conditionalFormatting>
  <conditionalFormatting sqref="Y258">
    <cfRule type="expression" dxfId="999" priority="820">
      <formula>MOD(ROW(),2)=1</formula>
    </cfRule>
  </conditionalFormatting>
  <conditionalFormatting sqref="Y262">
    <cfRule type="expression" dxfId="998" priority="819">
      <formula>MOD(ROW(),2)=1</formula>
    </cfRule>
  </conditionalFormatting>
  <conditionalFormatting sqref="Y266">
    <cfRule type="expression" dxfId="997" priority="818">
      <formula>MOD(ROW(),2)=1</formula>
    </cfRule>
  </conditionalFormatting>
  <conditionalFormatting sqref="Y272">
    <cfRule type="expression" dxfId="996" priority="813">
      <formula>MOD(ROW(),2)=1</formula>
    </cfRule>
  </conditionalFormatting>
  <conditionalFormatting sqref="Y270">
    <cfRule type="expression" dxfId="995" priority="812">
      <formula>MOD(ROW(),2)=1</formula>
    </cfRule>
  </conditionalFormatting>
  <conditionalFormatting sqref="Y278">
    <cfRule type="expression" dxfId="994" priority="809">
      <formula>MOD(ROW(),2)=1</formula>
    </cfRule>
  </conditionalFormatting>
  <conditionalFormatting sqref="Y282">
    <cfRule type="expression" dxfId="993" priority="808">
      <formula>MOD(ROW(),2)=1</formula>
    </cfRule>
  </conditionalFormatting>
  <conditionalFormatting sqref="Y284">
    <cfRule type="expression" dxfId="992" priority="806">
      <formula>MOD(ROW(),2)=1</formula>
    </cfRule>
  </conditionalFormatting>
  <conditionalFormatting sqref="Y290">
    <cfRule type="expression" dxfId="991" priority="805">
      <formula>MOD(ROW(),2)=1</formula>
    </cfRule>
  </conditionalFormatting>
  <conditionalFormatting sqref="Y292">
    <cfRule type="expression" dxfId="990" priority="804">
      <formula>MOD(ROW(),2)=1</formula>
    </cfRule>
  </conditionalFormatting>
  <conditionalFormatting sqref="Y296">
    <cfRule type="expression" dxfId="989" priority="803">
      <formula>MOD(ROW(),2)=1</formula>
    </cfRule>
  </conditionalFormatting>
  <conditionalFormatting sqref="Y302">
    <cfRule type="expression" dxfId="988" priority="792">
      <formula>MOD(ROW(),2)=1</formula>
    </cfRule>
  </conditionalFormatting>
  <conditionalFormatting sqref="Y300">
    <cfRule type="expression" dxfId="987" priority="797">
      <formula>MOD(ROW(),2)=1</formula>
    </cfRule>
  </conditionalFormatting>
  <conditionalFormatting sqref="Y304">
    <cfRule type="expression" dxfId="986" priority="789">
      <formula>MOD(ROW(),2)=1</formula>
    </cfRule>
  </conditionalFormatting>
  <conditionalFormatting sqref="Y308">
    <cfRule type="expression" dxfId="985" priority="788">
      <formula>MOD(ROW(),2)=1</formula>
    </cfRule>
  </conditionalFormatting>
  <conditionalFormatting sqref="Y310">
    <cfRule type="expression" dxfId="984" priority="787">
      <formula>MOD(ROW(),2)=1</formula>
    </cfRule>
  </conditionalFormatting>
  <conditionalFormatting sqref="Y326">
    <cfRule type="expression" dxfId="983" priority="782">
      <formula>MOD(ROW(),2)=1</formula>
    </cfRule>
  </conditionalFormatting>
  <conditionalFormatting sqref="Y328">
    <cfRule type="expression" dxfId="982" priority="781">
      <formula>MOD(ROW(),2)=1</formula>
    </cfRule>
  </conditionalFormatting>
  <conditionalFormatting sqref="Y332">
    <cfRule type="expression" dxfId="981" priority="780">
      <formula>MOD(ROW(),2)=1</formula>
    </cfRule>
  </conditionalFormatting>
  <conditionalFormatting sqref="Y336">
    <cfRule type="expression" dxfId="980" priority="778">
      <formula>MOD(ROW(),2)=1</formula>
    </cfRule>
  </conditionalFormatting>
  <conditionalFormatting sqref="Y340">
    <cfRule type="expression" dxfId="979" priority="777">
      <formula>MOD(ROW(),2)=1</formula>
    </cfRule>
  </conditionalFormatting>
  <conditionalFormatting sqref="Y350">
    <cfRule type="expression" dxfId="978" priority="776">
      <formula>MOD(ROW(),2)=1</formula>
    </cfRule>
  </conditionalFormatting>
  <conditionalFormatting sqref="Y354">
    <cfRule type="expression" dxfId="977" priority="775">
      <formula>MOD(ROW(),2)=1</formula>
    </cfRule>
  </conditionalFormatting>
  <conditionalFormatting sqref="Y374">
    <cfRule type="expression" dxfId="976" priority="771">
      <formula>MOD(ROW(),2)=1</formula>
    </cfRule>
  </conditionalFormatting>
  <conditionalFormatting sqref="Y370">
    <cfRule type="expression" dxfId="975" priority="770">
      <formula>MOD(ROW(),2)=1</formula>
    </cfRule>
  </conditionalFormatting>
  <conditionalFormatting sqref="Y384">
    <cfRule type="expression" dxfId="974" priority="769">
      <formula>MOD(ROW(),2)=1</formula>
    </cfRule>
  </conditionalFormatting>
  <conditionalFormatting sqref="Y404">
    <cfRule type="expression" dxfId="973" priority="768">
      <formula>MOD(ROW(),2)=1</formula>
    </cfRule>
  </conditionalFormatting>
  <conditionalFormatting sqref="Y410">
    <cfRule type="expression" dxfId="972" priority="767">
      <formula>MOD(ROW(),2)=1</formula>
    </cfRule>
  </conditionalFormatting>
  <conditionalFormatting sqref="Y414">
    <cfRule type="expression" dxfId="971" priority="766">
      <formula>MOD(ROW(),2)=1</formula>
    </cfRule>
  </conditionalFormatting>
  <conditionalFormatting sqref="Y434">
    <cfRule type="expression" dxfId="970" priority="757">
      <formula>MOD(ROW(),2)=1</formula>
    </cfRule>
  </conditionalFormatting>
  <conditionalFormatting sqref="Y450">
    <cfRule type="expression" dxfId="969" priority="753">
      <formula>MOD(ROW(),2)=1</formula>
    </cfRule>
  </conditionalFormatting>
  <conditionalFormatting sqref="Y454">
    <cfRule type="expression" dxfId="968" priority="752">
      <formula>MOD(ROW(),2)=1</formula>
    </cfRule>
  </conditionalFormatting>
  <conditionalFormatting sqref="Y458">
    <cfRule type="expression" dxfId="967" priority="742">
      <formula>MOD(ROW(),2)=1</formula>
    </cfRule>
  </conditionalFormatting>
  <conditionalFormatting sqref="Y462">
    <cfRule type="expression" dxfId="966" priority="741">
      <formula>MOD(ROW(),2)=1</formula>
    </cfRule>
  </conditionalFormatting>
  <conditionalFormatting sqref="Y466">
    <cfRule type="expression" dxfId="965" priority="740">
      <formula>MOD(ROW(),2)=1</formula>
    </cfRule>
  </conditionalFormatting>
  <conditionalFormatting sqref="Y504">
    <cfRule type="expression" dxfId="964" priority="735">
      <formula>MOD(ROW(),2)=1</formula>
    </cfRule>
  </conditionalFormatting>
  <conditionalFormatting sqref="Y510">
    <cfRule type="expression" dxfId="963" priority="734">
      <formula>MOD(ROW(),2)=1</formula>
    </cfRule>
  </conditionalFormatting>
  <conditionalFormatting sqref="Y514">
    <cfRule type="expression" dxfId="962" priority="733">
      <formula>MOD(ROW(),2)=1</formula>
    </cfRule>
  </conditionalFormatting>
  <conditionalFormatting sqref="Y530">
    <cfRule type="expression" dxfId="961" priority="732">
      <formula>MOD(ROW(),2)=1</formula>
    </cfRule>
  </conditionalFormatting>
  <conditionalFormatting sqref="Y534">
    <cfRule type="expression" dxfId="960" priority="731">
      <formula>MOD(ROW(),2)=1</formula>
    </cfRule>
  </conditionalFormatting>
  <conditionalFormatting sqref="Y536">
    <cfRule type="expression" dxfId="959" priority="727">
      <formula>MOD(ROW(),2)=1</formula>
    </cfRule>
  </conditionalFormatting>
  <conditionalFormatting sqref="Y540">
    <cfRule type="expression" dxfId="958" priority="726">
      <formula>MOD(ROW(),2)=1</formula>
    </cfRule>
  </conditionalFormatting>
  <conditionalFormatting sqref="Y548">
    <cfRule type="expression" dxfId="957" priority="723">
      <formula>MOD(ROW(),2)=1</formula>
    </cfRule>
  </conditionalFormatting>
  <conditionalFormatting sqref="Y550">
    <cfRule type="expression" dxfId="956" priority="717">
      <formula>MOD(ROW(),2)=1</formula>
    </cfRule>
  </conditionalFormatting>
  <conditionalFormatting sqref="Y552">
    <cfRule type="expression" dxfId="955" priority="694">
      <formula>MOD(ROW(),2)=1</formula>
    </cfRule>
  </conditionalFormatting>
  <conditionalFormatting sqref="Y556">
    <cfRule type="expression" dxfId="954" priority="693">
      <formula>MOD(ROW(),2)=1</formula>
    </cfRule>
  </conditionalFormatting>
  <conditionalFormatting sqref="Y560">
    <cfRule type="expression" dxfId="953" priority="692">
      <formula>MOD(ROW(),2)=1</formula>
    </cfRule>
  </conditionalFormatting>
  <conditionalFormatting sqref="Y564">
    <cfRule type="expression" dxfId="952" priority="691">
      <formula>MOD(ROW(),2)=1</formula>
    </cfRule>
  </conditionalFormatting>
  <conditionalFormatting sqref="Y568">
    <cfRule type="expression" dxfId="951" priority="688">
      <formula>MOD(ROW(),2)=1</formula>
    </cfRule>
  </conditionalFormatting>
  <conditionalFormatting sqref="Y572">
    <cfRule type="expression" dxfId="950" priority="686">
      <formula>MOD(ROW(),2)=1</formula>
    </cfRule>
  </conditionalFormatting>
  <conditionalFormatting sqref="Y576">
    <cfRule type="expression" dxfId="949" priority="685">
      <formula>MOD(ROW(),2)=1</formula>
    </cfRule>
  </conditionalFormatting>
  <conditionalFormatting sqref="Y582">
    <cfRule type="expression" dxfId="948" priority="681">
      <formula>MOD(ROW(),2)=1</formula>
    </cfRule>
  </conditionalFormatting>
  <conditionalFormatting sqref="Y584">
    <cfRule type="expression" dxfId="947" priority="680">
      <formula>MOD(ROW(),2)=1</formula>
    </cfRule>
  </conditionalFormatting>
  <conditionalFormatting sqref="Y588">
    <cfRule type="expression" dxfId="946" priority="679">
      <formula>MOD(ROW(),2)=1</formula>
    </cfRule>
  </conditionalFormatting>
  <conditionalFormatting sqref="Y594">
    <cfRule type="expression" dxfId="945" priority="675">
      <formula>MOD(ROW(),2)=1</formula>
    </cfRule>
  </conditionalFormatting>
  <conditionalFormatting sqref="Y598">
    <cfRule type="expression" dxfId="944" priority="674">
      <formula>MOD(ROW(),2)=1</formula>
    </cfRule>
  </conditionalFormatting>
  <conditionalFormatting sqref="Y602">
    <cfRule type="expression" dxfId="943" priority="673">
      <formula>MOD(ROW(),2)=1</formula>
    </cfRule>
  </conditionalFormatting>
  <conditionalFormatting sqref="Y620">
    <cfRule type="expression" dxfId="942" priority="662">
      <formula>MOD(ROW(),2)=1</formula>
    </cfRule>
  </conditionalFormatting>
  <conditionalFormatting sqref="Y624">
    <cfRule type="expression" dxfId="941" priority="661">
      <formula>MOD(ROW(),2)=1</formula>
    </cfRule>
  </conditionalFormatting>
  <conditionalFormatting sqref="Y632">
    <cfRule type="expression" dxfId="940" priority="660">
      <formula>MOD(ROW(),2)=1</formula>
    </cfRule>
  </conditionalFormatting>
  <conditionalFormatting sqref="Y606">
    <cfRule type="expression" dxfId="939" priority="669">
      <formula>MOD(ROW(),2)=1</formula>
    </cfRule>
  </conditionalFormatting>
  <conditionalFormatting sqref="Y646">
    <cfRule type="expression" dxfId="938" priority="649">
      <formula>MOD(ROW(),2)=1</formula>
    </cfRule>
  </conditionalFormatting>
  <conditionalFormatting sqref="Y636">
    <cfRule type="expression" dxfId="937" priority="658">
      <formula>MOD(ROW(),2)=1</formula>
    </cfRule>
  </conditionalFormatting>
  <conditionalFormatting sqref="Y640">
    <cfRule type="expression" dxfId="936" priority="651">
      <formula>MOD(ROW(),2)=1</formula>
    </cfRule>
  </conditionalFormatting>
  <conditionalFormatting sqref="Y642">
    <cfRule type="expression" dxfId="935" priority="650">
      <formula>MOD(ROW(),2)=1</formula>
    </cfRule>
  </conditionalFormatting>
  <conditionalFormatting sqref="Y650">
    <cfRule type="expression" dxfId="934" priority="648">
      <formula>MOD(ROW(),2)=1</formula>
    </cfRule>
  </conditionalFormatting>
  <conditionalFormatting sqref="Y682">
    <cfRule type="expression" dxfId="933" priority="637">
      <formula>MOD(ROW(),2)=1</formula>
    </cfRule>
  </conditionalFormatting>
  <conditionalFormatting sqref="Y656">
    <cfRule type="expression" dxfId="932" priority="646">
      <formula>MOD(ROW(),2)=1</formula>
    </cfRule>
  </conditionalFormatting>
  <conditionalFormatting sqref="Y660">
    <cfRule type="expression" dxfId="931" priority="645">
      <formula>MOD(ROW(),2)=1</formula>
    </cfRule>
  </conditionalFormatting>
  <conditionalFormatting sqref="Y664">
    <cfRule type="expression" dxfId="930" priority="644">
      <formula>MOD(ROW(),2)=1</formula>
    </cfRule>
  </conditionalFormatting>
  <conditionalFormatting sqref="Y668">
    <cfRule type="expression" dxfId="929" priority="641">
      <formula>MOD(ROW(),2)=1</formula>
    </cfRule>
  </conditionalFormatting>
  <conditionalFormatting sqref="Y670">
    <cfRule type="expression" dxfId="928" priority="640">
      <formula>MOD(ROW(),2)=1</formula>
    </cfRule>
  </conditionalFormatting>
  <conditionalFormatting sqref="Y674">
    <cfRule type="expression" dxfId="927" priority="639">
      <formula>MOD(ROW(),2)=1</formula>
    </cfRule>
  </conditionalFormatting>
  <conditionalFormatting sqref="Y678">
    <cfRule type="expression" dxfId="926" priority="638">
      <formula>MOD(ROW(),2)=1</formula>
    </cfRule>
  </conditionalFormatting>
  <conditionalFormatting sqref="Y686">
    <cfRule type="expression" dxfId="925" priority="636">
      <formula>MOD(ROW(),2)=1</formula>
    </cfRule>
  </conditionalFormatting>
  <conditionalFormatting sqref="Y688">
    <cfRule type="expression" dxfId="924" priority="633">
      <formula>MOD(ROW(),2)=1</formula>
    </cfRule>
  </conditionalFormatting>
  <conditionalFormatting sqref="Y694">
    <cfRule type="expression" dxfId="923" priority="632">
      <formula>MOD(ROW(),2)=1</formula>
    </cfRule>
  </conditionalFormatting>
  <conditionalFormatting sqref="Y698">
    <cfRule type="expression" dxfId="922" priority="626">
      <formula>MOD(ROW(),2)=1</formula>
    </cfRule>
  </conditionalFormatting>
  <conditionalFormatting sqref="Y702">
    <cfRule type="expression" dxfId="921" priority="625">
      <formula>MOD(ROW(),2)=1</formula>
    </cfRule>
  </conditionalFormatting>
  <conditionalFormatting sqref="Y724">
    <cfRule type="expression" dxfId="920" priority="607">
      <formula>MOD(ROW(),2)=1</formula>
    </cfRule>
  </conditionalFormatting>
  <conditionalFormatting sqref="Y720">
    <cfRule type="expression" dxfId="919" priority="608">
      <formula>MOD(ROW(),2)=1</formula>
    </cfRule>
  </conditionalFormatting>
  <conditionalFormatting sqref="Y728">
    <cfRule type="expression" dxfId="918" priority="606">
      <formula>MOD(ROW(),2)=1</formula>
    </cfRule>
  </conditionalFormatting>
  <conditionalFormatting sqref="Y732">
    <cfRule type="expression" dxfId="917" priority="605">
      <formula>MOD(ROW(),2)=1</formula>
    </cfRule>
  </conditionalFormatting>
  <conditionalFormatting sqref="Y736">
    <cfRule type="expression" dxfId="916" priority="604">
      <formula>MOD(ROW(),2)=1</formula>
    </cfRule>
  </conditionalFormatting>
  <conditionalFormatting sqref="Y740">
    <cfRule type="expression" dxfId="915" priority="603">
      <formula>MOD(ROW(),2)=1</formula>
    </cfRule>
  </conditionalFormatting>
  <conditionalFormatting sqref="Y744">
    <cfRule type="expression" dxfId="914" priority="602">
      <formula>MOD(ROW(),2)=1</formula>
    </cfRule>
  </conditionalFormatting>
  <conditionalFormatting sqref="Y748">
    <cfRule type="expression" dxfId="913" priority="601">
      <formula>MOD(ROW(),2)=1</formula>
    </cfRule>
  </conditionalFormatting>
  <conditionalFormatting sqref="Y752">
    <cfRule type="expression" dxfId="912" priority="600">
      <formula>MOD(ROW(),2)=1</formula>
    </cfRule>
  </conditionalFormatting>
  <conditionalFormatting sqref="W2">
    <cfRule type="expression" dxfId="911" priority="596">
      <formula>MOD(ROW(),2)=1</formula>
    </cfRule>
  </conditionalFormatting>
  <conditionalFormatting sqref="W42">
    <cfRule type="expression" dxfId="910" priority="585">
      <formula>MOD(ROW(),2)=1</formula>
    </cfRule>
  </conditionalFormatting>
  <conditionalFormatting sqref="W6">
    <cfRule type="expression" dxfId="909" priority="594">
      <formula>MOD(ROW(),2)=1</formula>
    </cfRule>
  </conditionalFormatting>
  <conditionalFormatting sqref="W10">
    <cfRule type="expression" dxfId="908" priority="593">
      <formula>MOD(ROW(),2)=1</formula>
    </cfRule>
  </conditionalFormatting>
  <conditionalFormatting sqref="W14">
    <cfRule type="expression" dxfId="907" priority="592">
      <formula>MOD(ROW(),2)=1</formula>
    </cfRule>
  </conditionalFormatting>
  <conditionalFormatting sqref="W18">
    <cfRule type="expression" dxfId="906" priority="591">
      <formula>MOD(ROW(),2)=1</formula>
    </cfRule>
  </conditionalFormatting>
  <conditionalFormatting sqref="W20">
    <cfRule type="expression" dxfId="905" priority="590">
      <formula>MOD(ROW(),2)=1</formula>
    </cfRule>
  </conditionalFormatting>
  <conditionalFormatting sqref="W24">
    <cfRule type="expression" dxfId="904" priority="589">
      <formula>MOD(ROW(),2)=1</formula>
    </cfRule>
  </conditionalFormatting>
  <conditionalFormatting sqref="W30">
    <cfRule type="expression" dxfId="903" priority="588">
      <formula>MOD(ROW(),2)=1</formula>
    </cfRule>
  </conditionalFormatting>
  <conditionalFormatting sqref="W34">
    <cfRule type="expression" dxfId="902" priority="587">
      <formula>MOD(ROW(),2)=1</formula>
    </cfRule>
  </conditionalFormatting>
  <conditionalFormatting sqref="W38">
    <cfRule type="expression" dxfId="901" priority="586">
      <formula>MOD(ROW(),2)=1</formula>
    </cfRule>
  </conditionalFormatting>
  <conditionalFormatting sqref="W46">
    <cfRule type="expression" dxfId="900" priority="584">
      <formula>MOD(ROW(),2)=1</formula>
    </cfRule>
  </conditionalFormatting>
  <conditionalFormatting sqref="W54">
    <cfRule type="expression" dxfId="899" priority="583">
      <formula>MOD(ROW(),2)=1</formula>
    </cfRule>
  </conditionalFormatting>
  <conditionalFormatting sqref="W58">
    <cfRule type="expression" dxfId="898" priority="582">
      <formula>MOD(ROW(),2)=1</formula>
    </cfRule>
  </conditionalFormatting>
  <conditionalFormatting sqref="W50">
    <cfRule type="expression" dxfId="897" priority="581">
      <formula>MOD(ROW(),2)=1</formula>
    </cfRule>
  </conditionalFormatting>
  <conditionalFormatting sqref="W62">
    <cfRule type="expression" dxfId="896" priority="580">
      <formula>MOD(ROW(),2)=1</formula>
    </cfRule>
  </conditionalFormatting>
  <conditionalFormatting sqref="W66">
    <cfRule type="expression" dxfId="895" priority="579">
      <formula>MOD(ROW(),2)=1</formula>
    </cfRule>
  </conditionalFormatting>
  <conditionalFormatting sqref="W68">
    <cfRule type="expression" dxfId="894" priority="578">
      <formula>MOD(ROW(),2)=1</formula>
    </cfRule>
  </conditionalFormatting>
  <conditionalFormatting sqref="W72">
    <cfRule type="expression" dxfId="893" priority="577">
      <formula>MOD(ROW(),2)=1</formula>
    </cfRule>
  </conditionalFormatting>
  <conditionalFormatting sqref="W76">
    <cfRule type="expression" dxfId="892" priority="576">
      <formula>MOD(ROW(),2)=1</formula>
    </cfRule>
  </conditionalFormatting>
  <conditionalFormatting sqref="W78">
    <cfRule type="expression" dxfId="891" priority="575">
      <formula>MOD(ROW(),2)=1</formula>
    </cfRule>
  </conditionalFormatting>
  <conditionalFormatting sqref="W82">
    <cfRule type="expression" dxfId="890" priority="574">
      <formula>MOD(ROW(),2)=1</formula>
    </cfRule>
  </conditionalFormatting>
  <conditionalFormatting sqref="W84">
    <cfRule type="expression" dxfId="889" priority="573">
      <formula>MOD(ROW(),2)=1</formula>
    </cfRule>
  </conditionalFormatting>
  <conditionalFormatting sqref="W88">
    <cfRule type="expression" dxfId="888" priority="572">
      <formula>MOD(ROW(),2)=1</formula>
    </cfRule>
  </conditionalFormatting>
  <conditionalFormatting sqref="W92">
    <cfRule type="expression" dxfId="887" priority="571">
      <formula>MOD(ROW(),2)=1</formula>
    </cfRule>
  </conditionalFormatting>
  <conditionalFormatting sqref="W110">
    <cfRule type="expression" dxfId="886" priority="560">
      <formula>MOD(ROW(),2)=1</formula>
    </cfRule>
  </conditionalFormatting>
  <conditionalFormatting sqref="W96">
    <cfRule type="expression" dxfId="885" priority="569">
      <formula>MOD(ROW(),2)=1</formula>
    </cfRule>
  </conditionalFormatting>
  <conditionalFormatting sqref="W118">
    <cfRule type="expression" dxfId="884" priority="558">
      <formula>MOD(ROW(),2)=1</formula>
    </cfRule>
  </conditionalFormatting>
  <conditionalFormatting sqref="W100">
    <cfRule type="expression" dxfId="883" priority="567">
      <formula>MOD(ROW(),2)=1</formula>
    </cfRule>
  </conditionalFormatting>
  <conditionalFormatting sqref="W102">
    <cfRule type="expression" dxfId="882" priority="566">
      <formula>MOD(ROW(),2)=1</formula>
    </cfRule>
  </conditionalFormatting>
  <conditionalFormatting sqref="W114">
    <cfRule type="expression" dxfId="881" priority="559">
      <formula>MOD(ROW(),2)=1</formula>
    </cfRule>
  </conditionalFormatting>
  <conditionalFormatting sqref="W136">
    <cfRule type="expression" dxfId="880" priority="547">
      <formula>MOD(ROW(),2)=1</formula>
    </cfRule>
  </conditionalFormatting>
  <conditionalFormatting sqref="W124">
    <cfRule type="expression" dxfId="879" priority="556">
      <formula>MOD(ROW(),2)=1</formula>
    </cfRule>
  </conditionalFormatting>
  <conditionalFormatting sqref="W156">
    <cfRule type="expression" dxfId="878" priority="542">
      <formula>MOD(ROW(),2)=1</formula>
    </cfRule>
  </conditionalFormatting>
  <conditionalFormatting sqref="W160">
    <cfRule type="expression" dxfId="877" priority="541">
      <formula>MOD(ROW(),2)=1</formula>
    </cfRule>
  </conditionalFormatting>
  <conditionalFormatting sqref="W132">
    <cfRule type="expression" dxfId="876" priority="548">
      <formula>MOD(ROW(),2)=1</formula>
    </cfRule>
  </conditionalFormatting>
  <conditionalFormatting sqref="W140">
    <cfRule type="expression" dxfId="875" priority="546">
      <formula>MOD(ROW(),2)=1</formula>
    </cfRule>
  </conditionalFormatting>
  <conditionalFormatting sqref="W144">
    <cfRule type="expression" dxfId="874" priority="545">
      <formula>MOD(ROW(),2)=1</formula>
    </cfRule>
  </conditionalFormatting>
  <conditionalFormatting sqref="W148">
    <cfRule type="expression" dxfId="873" priority="544">
      <formula>MOD(ROW(),2)=1</formula>
    </cfRule>
  </conditionalFormatting>
  <conditionalFormatting sqref="W152">
    <cfRule type="expression" dxfId="872" priority="543">
      <formula>MOD(ROW(),2)=1</formula>
    </cfRule>
  </conditionalFormatting>
  <conditionalFormatting sqref="W164">
    <cfRule type="expression" dxfId="871" priority="540">
      <formula>MOD(ROW(),2)=1</formula>
    </cfRule>
  </conditionalFormatting>
  <conditionalFormatting sqref="W168">
    <cfRule type="expression" dxfId="870" priority="539">
      <formula>MOD(ROW(),2)=1</formula>
    </cfRule>
  </conditionalFormatting>
  <conditionalFormatting sqref="W172">
    <cfRule type="expression" dxfId="869" priority="538">
      <formula>MOD(ROW(),2)=1</formula>
    </cfRule>
  </conditionalFormatting>
  <conditionalFormatting sqref="W192">
    <cfRule type="expression" dxfId="868" priority="526">
      <formula>MOD(ROW(),2)=1</formula>
    </cfRule>
  </conditionalFormatting>
  <conditionalFormatting sqref="W176">
    <cfRule type="expression" dxfId="867" priority="530">
      <formula>MOD(ROW(),2)=1</formula>
    </cfRule>
  </conditionalFormatting>
  <conditionalFormatting sqref="W180">
    <cfRule type="expression" dxfId="866" priority="529">
      <formula>MOD(ROW(),2)=1</formula>
    </cfRule>
  </conditionalFormatting>
  <conditionalFormatting sqref="W184">
    <cfRule type="expression" dxfId="865" priority="528">
      <formula>MOD(ROW(),2)=1</formula>
    </cfRule>
  </conditionalFormatting>
  <conditionalFormatting sqref="W188">
    <cfRule type="expression" dxfId="864" priority="527">
      <formula>MOD(ROW(),2)=1</formula>
    </cfRule>
  </conditionalFormatting>
  <conditionalFormatting sqref="W196">
    <cfRule type="expression" dxfId="863" priority="525">
      <formula>MOD(ROW(),2)=1</formula>
    </cfRule>
  </conditionalFormatting>
  <conditionalFormatting sqref="W200">
    <cfRule type="expression" dxfId="862" priority="524">
      <formula>MOD(ROW(),2)=1</formula>
    </cfRule>
  </conditionalFormatting>
  <conditionalFormatting sqref="W244">
    <cfRule type="expression" dxfId="861" priority="517">
      <formula>MOD(ROW(),2)=1</formula>
    </cfRule>
  </conditionalFormatting>
  <conditionalFormatting sqref="W248">
    <cfRule type="expression" dxfId="860" priority="516">
      <formula>MOD(ROW(),2)=1</formula>
    </cfRule>
  </conditionalFormatting>
  <conditionalFormatting sqref="W252">
    <cfRule type="expression" dxfId="859" priority="515">
      <formula>MOD(ROW(),2)=1</formula>
    </cfRule>
  </conditionalFormatting>
  <conditionalFormatting sqref="W256">
    <cfRule type="expression" dxfId="858" priority="514">
      <formula>MOD(ROW(),2)=1</formula>
    </cfRule>
  </conditionalFormatting>
  <conditionalFormatting sqref="W258">
    <cfRule type="expression" dxfId="857" priority="511">
      <formula>MOD(ROW(),2)=1</formula>
    </cfRule>
  </conditionalFormatting>
  <conditionalFormatting sqref="W262">
    <cfRule type="expression" dxfId="856" priority="510">
      <formula>MOD(ROW(),2)=1</formula>
    </cfRule>
  </conditionalFormatting>
  <conditionalFormatting sqref="W266">
    <cfRule type="expression" dxfId="855" priority="509">
      <formula>MOD(ROW(),2)=1</formula>
    </cfRule>
  </conditionalFormatting>
  <conditionalFormatting sqref="W272">
    <cfRule type="expression" dxfId="854" priority="504">
      <formula>MOD(ROW(),2)=1</formula>
    </cfRule>
  </conditionalFormatting>
  <conditionalFormatting sqref="W270">
    <cfRule type="expression" dxfId="853" priority="503">
      <formula>MOD(ROW(),2)=1</formula>
    </cfRule>
  </conditionalFormatting>
  <conditionalFormatting sqref="W278">
    <cfRule type="expression" dxfId="852" priority="500">
      <formula>MOD(ROW(),2)=1</formula>
    </cfRule>
  </conditionalFormatting>
  <conditionalFormatting sqref="W282">
    <cfRule type="expression" dxfId="851" priority="499">
      <formula>MOD(ROW(),2)=1</formula>
    </cfRule>
  </conditionalFormatting>
  <conditionalFormatting sqref="W284">
    <cfRule type="expression" dxfId="850" priority="497">
      <formula>MOD(ROW(),2)=1</formula>
    </cfRule>
  </conditionalFormatting>
  <conditionalFormatting sqref="W290">
    <cfRule type="expression" dxfId="849" priority="496">
      <formula>MOD(ROW(),2)=1</formula>
    </cfRule>
  </conditionalFormatting>
  <conditionalFormatting sqref="W292">
    <cfRule type="expression" dxfId="848" priority="495">
      <formula>MOD(ROW(),2)=1</formula>
    </cfRule>
  </conditionalFormatting>
  <conditionalFormatting sqref="W296">
    <cfRule type="expression" dxfId="847" priority="494">
      <formula>MOD(ROW(),2)=1</formula>
    </cfRule>
  </conditionalFormatting>
  <conditionalFormatting sqref="W302">
    <cfRule type="expression" dxfId="846" priority="483">
      <formula>MOD(ROW(),2)=1</formula>
    </cfRule>
  </conditionalFormatting>
  <conditionalFormatting sqref="W300">
    <cfRule type="expression" dxfId="845" priority="488">
      <formula>MOD(ROW(),2)=1</formula>
    </cfRule>
  </conditionalFormatting>
  <conditionalFormatting sqref="W304">
    <cfRule type="expression" dxfId="844" priority="480">
      <formula>MOD(ROW(),2)=1</formula>
    </cfRule>
  </conditionalFormatting>
  <conditionalFormatting sqref="W308">
    <cfRule type="expression" dxfId="843" priority="479">
      <formula>MOD(ROW(),2)=1</formula>
    </cfRule>
  </conditionalFormatting>
  <conditionalFormatting sqref="W310">
    <cfRule type="expression" dxfId="842" priority="478">
      <formula>MOD(ROW(),2)=1</formula>
    </cfRule>
  </conditionalFormatting>
  <conditionalFormatting sqref="W326">
    <cfRule type="expression" dxfId="841" priority="473">
      <formula>MOD(ROW(),2)=1</formula>
    </cfRule>
  </conditionalFormatting>
  <conditionalFormatting sqref="W328">
    <cfRule type="expression" dxfId="840" priority="472">
      <formula>MOD(ROW(),2)=1</formula>
    </cfRule>
  </conditionalFormatting>
  <conditionalFormatting sqref="W332">
    <cfRule type="expression" dxfId="839" priority="471">
      <formula>MOD(ROW(),2)=1</formula>
    </cfRule>
  </conditionalFormatting>
  <conditionalFormatting sqref="W336">
    <cfRule type="expression" dxfId="838" priority="469">
      <formula>MOD(ROW(),2)=1</formula>
    </cfRule>
  </conditionalFormatting>
  <conditionalFormatting sqref="W340">
    <cfRule type="expression" dxfId="837" priority="468">
      <formula>MOD(ROW(),2)=1</formula>
    </cfRule>
  </conditionalFormatting>
  <conditionalFormatting sqref="W350">
    <cfRule type="expression" dxfId="836" priority="467">
      <formula>MOD(ROW(),2)=1</formula>
    </cfRule>
  </conditionalFormatting>
  <conditionalFormatting sqref="W354">
    <cfRule type="expression" dxfId="835" priority="466">
      <formula>MOD(ROW(),2)=1</formula>
    </cfRule>
  </conditionalFormatting>
  <conditionalFormatting sqref="W374">
    <cfRule type="expression" dxfId="834" priority="462">
      <formula>MOD(ROW(),2)=1</formula>
    </cfRule>
  </conditionalFormatting>
  <conditionalFormatting sqref="W370">
    <cfRule type="expression" dxfId="833" priority="461">
      <formula>MOD(ROW(),2)=1</formula>
    </cfRule>
  </conditionalFormatting>
  <conditionalFormatting sqref="W384">
    <cfRule type="expression" dxfId="832" priority="460">
      <formula>MOD(ROW(),2)=1</formula>
    </cfRule>
  </conditionalFormatting>
  <conditionalFormatting sqref="W404">
    <cfRule type="expression" dxfId="831" priority="459">
      <formula>MOD(ROW(),2)=1</formula>
    </cfRule>
  </conditionalFormatting>
  <conditionalFormatting sqref="W410">
    <cfRule type="expression" dxfId="830" priority="458">
      <formula>MOD(ROW(),2)=1</formula>
    </cfRule>
  </conditionalFormatting>
  <conditionalFormatting sqref="W414">
    <cfRule type="expression" dxfId="829" priority="457">
      <formula>MOD(ROW(),2)=1</formula>
    </cfRule>
  </conditionalFormatting>
  <conditionalFormatting sqref="W434">
    <cfRule type="expression" dxfId="828" priority="448">
      <formula>MOD(ROW(),2)=1</formula>
    </cfRule>
  </conditionalFormatting>
  <conditionalFormatting sqref="W450">
    <cfRule type="expression" dxfId="827" priority="444">
      <formula>MOD(ROW(),2)=1</formula>
    </cfRule>
  </conditionalFormatting>
  <conditionalFormatting sqref="W454">
    <cfRule type="expression" dxfId="826" priority="443">
      <formula>MOD(ROW(),2)=1</formula>
    </cfRule>
  </conditionalFormatting>
  <conditionalFormatting sqref="W458">
    <cfRule type="expression" dxfId="825" priority="433">
      <formula>MOD(ROW(),2)=1</formula>
    </cfRule>
  </conditionalFormatting>
  <conditionalFormatting sqref="W462">
    <cfRule type="expression" dxfId="824" priority="432">
      <formula>MOD(ROW(),2)=1</formula>
    </cfRule>
  </conditionalFormatting>
  <conditionalFormatting sqref="W466">
    <cfRule type="expression" dxfId="823" priority="431">
      <formula>MOD(ROW(),2)=1</formula>
    </cfRule>
  </conditionalFormatting>
  <conditionalFormatting sqref="W504">
    <cfRule type="expression" dxfId="822" priority="426">
      <formula>MOD(ROW(),2)=1</formula>
    </cfRule>
  </conditionalFormatting>
  <conditionalFormatting sqref="W510">
    <cfRule type="expression" dxfId="821" priority="425">
      <formula>MOD(ROW(),2)=1</formula>
    </cfRule>
  </conditionalFormatting>
  <conditionalFormatting sqref="W514">
    <cfRule type="expression" dxfId="820" priority="424">
      <formula>MOD(ROW(),2)=1</formula>
    </cfRule>
  </conditionalFormatting>
  <conditionalFormatting sqref="W530">
    <cfRule type="expression" dxfId="819" priority="423">
      <formula>MOD(ROW(),2)=1</formula>
    </cfRule>
  </conditionalFormatting>
  <conditionalFormatting sqref="W534">
    <cfRule type="expression" dxfId="818" priority="422">
      <formula>MOD(ROW(),2)=1</formula>
    </cfRule>
  </conditionalFormatting>
  <conditionalFormatting sqref="W536">
    <cfRule type="expression" dxfId="817" priority="418">
      <formula>MOD(ROW(),2)=1</formula>
    </cfRule>
  </conditionalFormatting>
  <conditionalFormatting sqref="W540">
    <cfRule type="expression" dxfId="816" priority="417">
      <formula>MOD(ROW(),2)=1</formula>
    </cfRule>
  </conditionalFormatting>
  <conditionalFormatting sqref="W548">
    <cfRule type="expression" dxfId="815" priority="414">
      <formula>MOD(ROW(),2)=1</formula>
    </cfRule>
  </conditionalFormatting>
  <conditionalFormatting sqref="W550">
    <cfRule type="expression" dxfId="814" priority="408">
      <formula>MOD(ROW(),2)=1</formula>
    </cfRule>
  </conditionalFormatting>
  <conditionalFormatting sqref="W552">
    <cfRule type="expression" dxfId="813" priority="385">
      <formula>MOD(ROW(),2)=1</formula>
    </cfRule>
  </conditionalFormatting>
  <conditionalFormatting sqref="W556">
    <cfRule type="expression" dxfId="812" priority="384">
      <formula>MOD(ROW(),2)=1</formula>
    </cfRule>
  </conditionalFormatting>
  <conditionalFormatting sqref="W560">
    <cfRule type="expression" dxfId="811" priority="383">
      <formula>MOD(ROW(),2)=1</formula>
    </cfRule>
  </conditionalFormatting>
  <conditionalFormatting sqref="W564">
    <cfRule type="expression" dxfId="810" priority="382">
      <formula>MOD(ROW(),2)=1</formula>
    </cfRule>
  </conditionalFormatting>
  <conditionalFormatting sqref="W568">
    <cfRule type="expression" dxfId="809" priority="379">
      <formula>MOD(ROW(),2)=1</formula>
    </cfRule>
  </conditionalFormatting>
  <conditionalFormatting sqref="W572">
    <cfRule type="expression" dxfId="808" priority="377">
      <formula>MOD(ROW(),2)=1</formula>
    </cfRule>
  </conditionalFormatting>
  <conditionalFormatting sqref="W576">
    <cfRule type="expression" dxfId="807" priority="376">
      <formula>MOD(ROW(),2)=1</formula>
    </cfRule>
  </conditionalFormatting>
  <conditionalFormatting sqref="W582">
    <cfRule type="expression" dxfId="806" priority="372">
      <formula>MOD(ROW(),2)=1</formula>
    </cfRule>
  </conditionalFormatting>
  <conditionalFormatting sqref="W584">
    <cfRule type="expression" dxfId="805" priority="371">
      <formula>MOD(ROW(),2)=1</formula>
    </cfRule>
  </conditionalFormatting>
  <conditionalFormatting sqref="W588">
    <cfRule type="expression" dxfId="804" priority="370">
      <formula>MOD(ROW(),2)=1</formula>
    </cfRule>
  </conditionalFormatting>
  <conditionalFormatting sqref="W594">
    <cfRule type="expression" dxfId="803" priority="366">
      <formula>MOD(ROW(),2)=1</formula>
    </cfRule>
  </conditionalFormatting>
  <conditionalFormatting sqref="W598">
    <cfRule type="expression" dxfId="802" priority="365">
      <formula>MOD(ROW(),2)=1</formula>
    </cfRule>
  </conditionalFormatting>
  <conditionalFormatting sqref="W602">
    <cfRule type="expression" dxfId="801" priority="364">
      <formula>MOD(ROW(),2)=1</formula>
    </cfRule>
  </conditionalFormatting>
  <conditionalFormatting sqref="W620">
    <cfRule type="expression" dxfId="800" priority="353">
      <formula>MOD(ROW(),2)=1</formula>
    </cfRule>
  </conditionalFormatting>
  <conditionalFormatting sqref="W624">
    <cfRule type="expression" dxfId="799" priority="352">
      <formula>MOD(ROW(),2)=1</formula>
    </cfRule>
  </conditionalFormatting>
  <conditionalFormatting sqref="W632">
    <cfRule type="expression" dxfId="798" priority="351">
      <formula>MOD(ROW(),2)=1</formula>
    </cfRule>
  </conditionalFormatting>
  <conditionalFormatting sqref="W606">
    <cfRule type="expression" dxfId="797" priority="360">
      <formula>MOD(ROW(),2)=1</formula>
    </cfRule>
  </conditionalFormatting>
  <conditionalFormatting sqref="W646">
    <cfRule type="expression" dxfId="796" priority="340">
      <formula>MOD(ROW(),2)=1</formula>
    </cfRule>
  </conditionalFormatting>
  <conditionalFormatting sqref="W636">
    <cfRule type="expression" dxfId="795" priority="349">
      <formula>MOD(ROW(),2)=1</formula>
    </cfRule>
  </conditionalFormatting>
  <conditionalFormatting sqref="W640">
    <cfRule type="expression" dxfId="794" priority="342">
      <formula>MOD(ROW(),2)=1</formula>
    </cfRule>
  </conditionalFormatting>
  <conditionalFormatting sqref="W642">
    <cfRule type="expression" dxfId="793" priority="341">
      <formula>MOD(ROW(),2)=1</formula>
    </cfRule>
  </conditionalFormatting>
  <conditionalFormatting sqref="W650">
    <cfRule type="expression" dxfId="792" priority="339">
      <formula>MOD(ROW(),2)=1</formula>
    </cfRule>
  </conditionalFormatting>
  <conditionalFormatting sqref="W682">
    <cfRule type="expression" dxfId="791" priority="328">
      <formula>MOD(ROW(),2)=1</formula>
    </cfRule>
  </conditionalFormatting>
  <conditionalFormatting sqref="W656">
    <cfRule type="expression" dxfId="790" priority="337">
      <formula>MOD(ROW(),2)=1</formula>
    </cfRule>
  </conditionalFormatting>
  <conditionalFormatting sqref="W660">
    <cfRule type="expression" dxfId="789" priority="336">
      <formula>MOD(ROW(),2)=1</formula>
    </cfRule>
  </conditionalFormatting>
  <conditionalFormatting sqref="W664">
    <cfRule type="expression" dxfId="788" priority="335">
      <formula>MOD(ROW(),2)=1</formula>
    </cfRule>
  </conditionalFormatting>
  <conditionalFormatting sqref="W668">
    <cfRule type="expression" dxfId="787" priority="332">
      <formula>MOD(ROW(),2)=1</formula>
    </cfRule>
  </conditionalFormatting>
  <conditionalFormatting sqref="W670">
    <cfRule type="expression" dxfId="786" priority="331">
      <formula>MOD(ROW(),2)=1</formula>
    </cfRule>
  </conditionalFormatting>
  <conditionalFormatting sqref="W674">
    <cfRule type="expression" dxfId="785" priority="330">
      <formula>MOD(ROW(),2)=1</formula>
    </cfRule>
  </conditionalFormatting>
  <conditionalFormatting sqref="W678">
    <cfRule type="expression" dxfId="784" priority="329">
      <formula>MOD(ROW(),2)=1</formula>
    </cfRule>
  </conditionalFormatting>
  <conditionalFormatting sqref="W686">
    <cfRule type="expression" dxfId="783" priority="327">
      <formula>MOD(ROW(),2)=1</formula>
    </cfRule>
  </conditionalFormatting>
  <conditionalFormatting sqref="W688">
    <cfRule type="expression" dxfId="782" priority="324">
      <formula>MOD(ROW(),2)=1</formula>
    </cfRule>
  </conditionalFormatting>
  <conditionalFormatting sqref="W694">
    <cfRule type="expression" dxfId="781" priority="323">
      <formula>MOD(ROW(),2)=1</formula>
    </cfRule>
  </conditionalFormatting>
  <conditionalFormatting sqref="W698">
    <cfRule type="expression" dxfId="780" priority="317">
      <formula>MOD(ROW(),2)=1</formula>
    </cfRule>
  </conditionalFormatting>
  <conditionalFormatting sqref="W702">
    <cfRule type="expression" dxfId="779" priority="316">
      <formula>MOD(ROW(),2)=1</formula>
    </cfRule>
  </conditionalFormatting>
  <conditionalFormatting sqref="W724">
    <cfRule type="expression" dxfId="778" priority="298">
      <formula>MOD(ROW(),2)=1</formula>
    </cfRule>
  </conditionalFormatting>
  <conditionalFormatting sqref="W720">
    <cfRule type="expression" dxfId="777" priority="299">
      <formula>MOD(ROW(),2)=1</formula>
    </cfRule>
  </conditionalFormatting>
  <conditionalFormatting sqref="W728">
    <cfRule type="expression" dxfId="776" priority="297">
      <formula>MOD(ROW(),2)=1</formula>
    </cfRule>
  </conditionalFormatting>
  <conditionalFormatting sqref="W732">
    <cfRule type="expression" dxfId="775" priority="296">
      <formula>MOD(ROW(),2)=1</formula>
    </cfRule>
  </conditionalFormatting>
  <conditionalFormatting sqref="W736">
    <cfRule type="expression" dxfId="774" priority="295">
      <formula>MOD(ROW(),2)=1</formula>
    </cfRule>
  </conditionalFormatting>
  <conditionalFormatting sqref="W740">
    <cfRule type="expression" dxfId="773" priority="294">
      <formula>MOD(ROW(),2)=1</formula>
    </cfRule>
  </conditionalFormatting>
  <conditionalFormatting sqref="W744">
    <cfRule type="expression" dxfId="772" priority="293">
      <formula>MOD(ROW(),2)=1</formula>
    </cfRule>
  </conditionalFormatting>
  <conditionalFormatting sqref="W748">
    <cfRule type="expression" dxfId="771" priority="292">
      <formula>MOD(ROW(),2)=1</formula>
    </cfRule>
  </conditionalFormatting>
  <conditionalFormatting sqref="W752">
    <cfRule type="expression" dxfId="770" priority="291">
      <formula>MOD(ROW(),2)=1</formula>
    </cfRule>
  </conditionalFormatting>
  <conditionalFormatting sqref="M2:P2">
    <cfRule type="expression" dxfId="769" priority="287">
      <formula>MOD(ROW(),2)=1</formula>
    </cfRule>
  </conditionalFormatting>
  <conditionalFormatting sqref="H4:I4">
    <cfRule type="expression" dxfId="768" priority="285">
      <formula>MOD(ROW(),2)=1</formula>
    </cfRule>
  </conditionalFormatting>
  <conditionalFormatting sqref="E4:I4">
    <cfRule type="expression" dxfId="767" priority="283">
      <formula>MOD(ROW(),2)=1</formula>
    </cfRule>
  </conditionalFormatting>
  <conditionalFormatting sqref="H60:I60">
    <cfRule type="expression" dxfId="766" priority="282">
      <formula>MOD(ROW(),2)=1</formula>
    </cfRule>
  </conditionalFormatting>
  <conditionalFormatting sqref="H62:I62">
    <cfRule type="expression" dxfId="765" priority="281">
      <formula>MOD(ROW(),2)=1</formula>
    </cfRule>
  </conditionalFormatting>
  <conditionalFormatting sqref="E450:I450">
    <cfRule type="expression" dxfId="764" priority="270">
      <formula>MOD(ROW(),2)=1</formula>
    </cfRule>
  </conditionalFormatting>
  <conditionalFormatting sqref="I96">
    <cfRule type="expression" dxfId="763" priority="279">
      <formula>MOD(ROW(),2)=1</formula>
    </cfRule>
  </conditionalFormatting>
  <conditionalFormatting sqref="J464">
    <cfRule type="expression" dxfId="762" priority="268">
      <formula>MOD(ROW(),2)=1</formula>
    </cfRule>
  </conditionalFormatting>
  <conditionalFormatting sqref="I464">
    <cfRule type="expression" dxfId="761" priority="267">
      <formula>MOD(ROW(),2)=1</formula>
    </cfRule>
  </conditionalFormatting>
  <conditionalFormatting sqref="W608">
    <cfRule type="expression" dxfId="760" priority="262">
      <formula>MOD(ROW(),2)=1</formula>
    </cfRule>
  </conditionalFormatting>
  <conditionalFormatting sqref="Y608">
    <cfRule type="expression" dxfId="759" priority="263">
      <formula>MOD(ROW(),2)=1</formula>
    </cfRule>
  </conditionalFormatting>
  <conditionalFormatting sqref="E452:I452">
    <cfRule type="expression" dxfId="758" priority="269">
      <formula>MOD(ROW(),2)=1</formula>
    </cfRule>
  </conditionalFormatting>
  <conditionalFormatting sqref="AC608 AG608">
    <cfRule type="expression" dxfId="757" priority="265">
      <formula>MOD(ROW(),2)=1</formula>
    </cfRule>
  </conditionalFormatting>
  <conditionalFormatting sqref="AD608">
    <cfRule type="expression" dxfId="756" priority="264">
      <formula>MOD(ROW(),2)=1</formula>
    </cfRule>
  </conditionalFormatting>
  <conditionalFormatting sqref="AC610 AG610">
    <cfRule type="expression" dxfId="755" priority="261">
      <formula>MOD(ROW(),2)=1</formula>
    </cfRule>
  </conditionalFormatting>
  <conditionalFormatting sqref="AD610">
    <cfRule type="expression" dxfId="754" priority="260">
      <formula>MOD(ROW(),2)=1</formula>
    </cfRule>
  </conditionalFormatting>
  <conditionalFormatting sqref="Y610">
    <cfRule type="expression" dxfId="753" priority="259">
      <formula>MOD(ROW(),2)=1</formula>
    </cfRule>
  </conditionalFormatting>
  <conditionalFormatting sqref="W610">
    <cfRule type="expression" dxfId="752" priority="258">
      <formula>MOD(ROW(),2)=1</formula>
    </cfRule>
  </conditionalFormatting>
  <conditionalFormatting sqref="I636">
    <cfRule type="expression" dxfId="751" priority="257">
      <formula>MOD(ROW(),2)=1</formula>
    </cfRule>
  </conditionalFormatting>
  <conditionalFormatting sqref="W386">
    <cfRule type="expression" dxfId="750" priority="235">
      <formula>MOD(ROW(),2)=1</formula>
    </cfRule>
  </conditionalFormatting>
  <conditionalFormatting sqref="AC386 AG386">
    <cfRule type="expression" dxfId="749" priority="238">
      <formula>MOD(ROW(),2)=1</formula>
    </cfRule>
  </conditionalFormatting>
  <conditionalFormatting sqref="AD386">
    <cfRule type="expression" dxfId="748" priority="237">
      <formula>MOD(ROW(),2)=1</formula>
    </cfRule>
  </conditionalFormatting>
  <conditionalFormatting sqref="Y386">
    <cfRule type="expression" dxfId="747" priority="236">
      <formula>MOD(ROW(),2)=1</formula>
    </cfRule>
  </conditionalFormatting>
  <conditionalFormatting sqref="W388">
    <cfRule type="expression" dxfId="746" priority="231">
      <formula>MOD(ROW(),2)=1</formula>
    </cfRule>
  </conditionalFormatting>
  <conditionalFormatting sqref="W390">
    <cfRule type="expression" dxfId="745" priority="227">
      <formula>MOD(ROW(),2)=1</formula>
    </cfRule>
  </conditionalFormatting>
  <conditionalFormatting sqref="AC388 AG388">
    <cfRule type="expression" dxfId="744" priority="234">
      <formula>MOD(ROW(),2)=1</formula>
    </cfRule>
  </conditionalFormatting>
  <conditionalFormatting sqref="AD388">
    <cfRule type="expression" dxfId="743" priority="233">
      <formula>MOD(ROW(),2)=1</formula>
    </cfRule>
  </conditionalFormatting>
  <conditionalFormatting sqref="Y388">
    <cfRule type="expression" dxfId="742" priority="232">
      <formula>MOD(ROW(),2)=1</formula>
    </cfRule>
  </conditionalFormatting>
  <conditionalFormatting sqref="W392">
    <cfRule type="expression" dxfId="741" priority="223">
      <formula>MOD(ROW(),2)=1</formula>
    </cfRule>
  </conditionalFormatting>
  <conditionalFormatting sqref="AC390 AG390">
    <cfRule type="expression" dxfId="740" priority="230">
      <formula>MOD(ROW(),2)=1</formula>
    </cfRule>
  </conditionalFormatting>
  <conditionalFormatting sqref="AD390">
    <cfRule type="expression" dxfId="739" priority="229">
      <formula>MOD(ROW(),2)=1</formula>
    </cfRule>
  </conditionalFormatting>
  <conditionalFormatting sqref="Y390">
    <cfRule type="expression" dxfId="738" priority="228">
      <formula>MOD(ROW(),2)=1</formula>
    </cfRule>
  </conditionalFormatting>
  <conditionalFormatting sqref="W394">
    <cfRule type="expression" dxfId="737" priority="219">
      <formula>MOD(ROW(),2)=1</formula>
    </cfRule>
  </conditionalFormatting>
  <conditionalFormatting sqref="AC392 AG392">
    <cfRule type="expression" dxfId="736" priority="226">
      <formula>MOD(ROW(),2)=1</formula>
    </cfRule>
  </conditionalFormatting>
  <conditionalFormatting sqref="AD392">
    <cfRule type="expression" dxfId="735" priority="225">
      <formula>MOD(ROW(),2)=1</formula>
    </cfRule>
  </conditionalFormatting>
  <conditionalFormatting sqref="Y392">
    <cfRule type="expression" dxfId="734" priority="224">
      <formula>MOD(ROW(),2)=1</formula>
    </cfRule>
  </conditionalFormatting>
  <conditionalFormatting sqref="W396">
    <cfRule type="expression" dxfId="733" priority="215">
      <formula>MOD(ROW(),2)=1</formula>
    </cfRule>
  </conditionalFormatting>
  <conditionalFormatting sqref="AC394 AG394">
    <cfRule type="expression" dxfId="732" priority="222">
      <formula>MOD(ROW(),2)=1</formula>
    </cfRule>
  </conditionalFormatting>
  <conditionalFormatting sqref="AD394">
    <cfRule type="expression" dxfId="731" priority="221">
      <formula>MOD(ROW(),2)=1</formula>
    </cfRule>
  </conditionalFormatting>
  <conditionalFormatting sqref="Y394">
    <cfRule type="expression" dxfId="730" priority="220">
      <formula>MOD(ROW(),2)=1</formula>
    </cfRule>
  </conditionalFormatting>
  <conditionalFormatting sqref="W398">
    <cfRule type="expression" dxfId="729" priority="211">
      <formula>MOD(ROW(),2)=1</formula>
    </cfRule>
  </conditionalFormatting>
  <conditionalFormatting sqref="W400">
    <cfRule type="expression" dxfId="728" priority="207">
      <formula>MOD(ROW(),2)=1</formula>
    </cfRule>
  </conditionalFormatting>
  <conditionalFormatting sqref="AC396 AG396">
    <cfRule type="expression" dxfId="727" priority="218">
      <formula>MOD(ROW(),2)=1</formula>
    </cfRule>
  </conditionalFormatting>
  <conditionalFormatting sqref="AD396">
    <cfRule type="expression" dxfId="726" priority="217">
      <formula>MOD(ROW(),2)=1</formula>
    </cfRule>
  </conditionalFormatting>
  <conditionalFormatting sqref="Y396">
    <cfRule type="expression" dxfId="725" priority="216">
      <formula>MOD(ROW(),2)=1</formula>
    </cfRule>
  </conditionalFormatting>
  <conditionalFormatting sqref="AC398 AG398">
    <cfRule type="expression" dxfId="724" priority="214">
      <formula>MOD(ROW(),2)=1</formula>
    </cfRule>
  </conditionalFormatting>
  <conditionalFormatting sqref="AD398">
    <cfRule type="expression" dxfId="723" priority="213">
      <formula>MOD(ROW(),2)=1</formula>
    </cfRule>
  </conditionalFormatting>
  <conditionalFormatting sqref="Y398">
    <cfRule type="expression" dxfId="722" priority="212">
      <formula>MOD(ROW(),2)=1</formula>
    </cfRule>
  </conditionalFormatting>
  <conditionalFormatting sqref="AC400 AG400">
    <cfRule type="expression" dxfId="721" priority="210">
      <formula>MOD(ROW(),2)=1</formula>
    </cfRule>
  </conditionalFormatting>
  <conditionalFormatting sqref="AD400">
    <cfRule type="expression" dxfId="720" priority="209">
      <formula>MOD(ROW(),2)=1</formula>
    </cfRule>
  </conditionalFormatting>
  <conditionalFormatting sqref="Y400">
    <cfRule type="expression" dxfId="719" priority="208">
      <formula>MOD(ROW(),2)=1</formula>
    </cfRule>
  </conditionalFormatting>
  <conditionalFormatting sqref="AD520">
    <cfRule type="expression" dxfId="718" priority="206">
      <formula>MOD(ROW(),2)=1</formula>
    </cfRule>
  </conditionalFormatting>
  <conditionalFormatting sqref="AD522">
    <cfRule type="expression" dxfId="717" priority="205">
      <formula>MOD(ROW(),2)=1</formula>
    </cfRule>
  </conditionalFormatting>
  <conditionalFormatting sqref="AD524">
    <cfRule type="expression" dxfId="716" priority="204">
      <formula>MOD(ROW(),2)=1</formula>
    </cfRule>
  </conditionalFormatting>
  <conditionalFormatting sqref="AD526">
    <cfRule type="expression" dxfId="715" priority="203">
      <formula>MOD(ROW(),2)=1</formula>
    </cfRule>
  </conditionalFormatting>
  <conditionalFormatting sqref="AD528">
    <cfRule type="expression" dxfId="714" priority="202">
      <formula>MOD(ROW(),2)=1</formula>
    </cfRule>
  </conditionalFormatting>
  <conditionalFormatting sqref="U2">
    <cfRule type="expression" dxfId="713" priority="190">
      <formula>MOD(ROW(),2)=1</formula>
    </cfRule>
  </conditionalFormatting>
  <conditionalFormatting sqref="AC500 AG500">
    <cfRule type="expression" dxfId="712" priority="199">
      <formula>MOD(ROW(),2)=1</formula>
    </cfRule>
  </conditionalFormatting>
  <conditionalFormatting sqref="AD500">
    <cfRule type="expression" dxfId="711" priority="198">
      <formula>MOD(ROW(),2)=1</formula>
    </cfRule>
  </conditionalFormatting>
  <conditionalFormatting sqref="AC502 AG502">
    <cfRule type="expression" dxfId="710" priority="197">
      <formula>MOD(ROW(),2)=1</formula>
    </cfRule>
  </conditionalFormatting>
  <conditionalFormatting sqref="AD502">
    <cfRule type="expression" dxfId="709" priority="196">
      <formula>MOD(ROW(),2)=1</formula>
    </cfRule>
  </conditionalFormatting>
  <conditionalFormatting sqref="I378 I382">
    <cfRule type="expression" dxfId="708" priority="194">
      <formula>MOD(ROW(),2)=1</formula>
    </cfRule>
  </conditionalFormatting>
  <conditionalFormatting sqref="J382">
    <cfRule type="expression" dxfId="707" priority="195">
      <formula>MOD(ROW(),2)=1</formula>
    </cfRule>
  </conditionalFormatting>
  <conditionalFormatting sqref="AB380">
    <cfRule type="expression" dxfId="706" priority="193">
      <formula>MOD(ROW(),2)=1</formula>
    </cfRule>
  </conditionalFormatting>
  <conditionalFormatting sqref="AD378 AD380 AD382">
    <cfRule type="expression" dxfId="705" priority="192">
      <formula>MOD(ROW(),2)=1</formula>
    </cfRule>
  </conditionalFormatting>
  <conditionalFormatting sqref="U8 U10 U6">
    <cfRule type="expression" dxfId="704" priority="189">
      <formula>MOD(ROW(),2)=1</formula>
    </cfRule>
  </conditionalFormatting>
  <conditionalFormatting sqref="U16 U18 U14">
    <cfRule type="expression" dxfId="703" priority="188">
      <formula>MOD(ROW(),2)=1</formula>
    </cfRule>
  </conditionalFormatting>
  <conditionalFormatting sqref="U24 U26 U22">
    <cfRule type="expression" dxfId="702" priority="187">
      <formula>MOD(ROW(),2)=1</formula>
    </cfRule>
  </conditionalFormatting>
  <conditionalFormatting sqref="U32 U34 U30">
    <cfRule type="expression" dxfId="701" priority="186">
      <formula>MOD(ROW(),2)=1</formula>
    </cfRule>
  </conditionalFormatting>
  <conditionalFormatting sqref="U40 U42 U38">
    <cfRule type="expression" dxfId="700" priority="185">
      <formula>MOD(ROW(),2)=1</formula>
    </cfRule>
  </conditionalFormatting>
  <conditionalFormatting sqref="U48 U50 U46">
    <cfRule type="expression" dxfId="699" priority="184">
      <formula>MOD(ROW(),2)=1</formula>
    </cfRule>
  </conditionalFormatting>
  <conditionalFormatting sqref="U56 U58 U54">
    <cfRule type="expression" dxfId="698" priority="183">
      <formula>MOD(ROW(),2)=1</formula>
    </cfRule>
  </conditionalFormatting>
  <conditionalFormatting sqref="U64 U66 U62">
    <cfRule type="expression" dxfId="697" priority="182">
      <formula>MOD(ROW(),2)=1</formula>
    </cfRule>
  </conditionalFormatting>
  <conditionalFormatting sqref="U70 U72 U68">
    <cfRule type="expression" dxfId="696" priority="181">
      <formula>MOD(ROW(),2)=1</formula>
    </cfRule>
  </conditionalFormatting>
  <conditionalFormatting sqref="U78 U80 U76">
    <cfRule type="expression" dxfId="695" priority="180">
      <formula>MOD(ROW(),2)=1</formula>
    </cfRule>
  </conditionalFormatting>
  <conditionalFormatting sqref="U84 U86">
    <cfRule type="expression" dxfId="694" priority="179">
      <formula>MOD(ROW(),2)=1</formula>
    </cfRule>
  </conditionalFormatting>
  <conditionalFormatting sqref="U92 U90">
    <cfRule type="expression" dxfId="693" priority="178">
      <formula>MOD(ROW(),2)=1</formula>
    </cfRule>
  </conditionalFormatting>
  <conditionalFormatting sqref="U96 U94">
    <cfRule type="expression" dxfId="692" priority="177">
      <formula>MOD(ROW(),2)=1</formula>
    </cfRule>
  </conditionalFormatting>
  <conditionalFormatting sqref="U100 U98">
    <cfRule type="expression" dxfId="691" priority="176">
      <formula>MOD(ROW(),2)=1</formula>
    </cfRule>
  </conditionalFormatting>
  <conditionalFormatting sqref="U112 U114 U110">
    <cfRule type="expression" dxfId="690" priority="171">
      <formula>MOD(ROW(),2)=1</formula>
    </cfRule>
  </conditionalFormatting>
  <conditionalFormatting sqref="U120 U118">
    <cfRule type="expression" dxfId="689" priority="170">
      <formula>MOD(ROW(),2)=1</formula>
    </cfRule>
  </conditionalFormatting>
  <conditionalFormatting sqref="U126 U124">
    <cfRule type="expression" dxfId="688" priority="169">
      <formula>MOD(ROW(),2)=1</formula>
    </cfRule>
  </conditionalFormatting>
  <conditionalFormatting sqref="U136 U138 U134">
    <cfRule type="expression" dxfId="687" priority="165">
      <formula>MOD(ROW(),2)=1</formula>
    </cfRule>
  </conditionalFormatting>
  <conditionalFormatting sqref="U144 U146 U142">
    <cfRule type="expression" dxfId="686" priority="164">
      <formula>MOD(ROW(),2)=1</formula>
    </cfRule>
  </conditionalFormatting>
  <conditionalFormatting sqref="U152 U154 U150">
    <cfRule type="expression" dxfId="685" priority="163">
      <formula>MOD(ROW(),2)=1</formula>
    </cfRule>
  </conditionalFormatting>
  <conditionalFormatting sqref="U160 U162 U158">
    <cfRule type="expression" dxfId="684" priority="162">
      <formula>MOD(ROW(),2)=1</formula>
    </cfRule>
  </conditionalFormatting>
  <conditionalFormatting sqref="U168 U170 U166">
    <cfRule type="expression" dxfId="683" priority="161">
      <formula>MOD(ROW(),2)=1</formula>
    </cfRule>
  </conditionalFormatting>
  <conditionalFormatting sqref="U174">
    <cfRule type="expression" dxfId="682" priority="159">
      <formula>MOD(ROW(),2)=1</formula>
    </cfRule>
  </conditionalFormatting>
  <conditionalFormatting sqref="U180 U182 U178">
    <cfRule type="expression" dxfId="681" priority="156">
      <formula>MOD(ROW(),2)=1</formula>
    </cfRule>
  </conditionalFormatting>
  <conditionalFormatting sqref="U188 U190 U186">
    <cfRule type="expression" dxfId="680" priority="155">
      <formula>MOD(ROW(),2)=1</formula>
    </cfRule>
  </conditionalFormatting>
  <conditionalFormatting sqref="U196 U198 U194">
    <cfRule type="expression" dxfId="679" priority="154">
      <formula>MOD(ROW(),2)=1</formula>
    </cfRule>
  </conditionalFormatting>
  <conditionalFormatting sqref="U202">
    <cfRule type="expression" dxfId="678" priority="153">
      <formula>MOD(ROW(),2)=1</formula>
    </cfRule>
  </conditionalFormatting>
  <conditionalFormatting sqref="U280 U282 U278">
    <cfRule type="expression" dxfId="677" priority="141">
      <formula>MOD(ROW(),2)=1</formula>
    </cfRule>
  </conditionalFormatting>
  <conditionalFormatting sqref="U284">
    <cfRule type="expression" dxfId="676" priority="140">
      <formula>MOD(ROW(),2)=1</formula>
    </cfRule>
  </conditionalFormatting>
  <conditionalFormatting sqref="U248 U250 U246">
    <cfRule type="expression" dxfId="675" priority="149">
      <formula>MOD(ROW(),2)=1</formula>
    </cfRule>
  </conditionalFormatting>
  <conditionalFormatting sqref="U256 U254">
    <cfRule type="expression" dxfId="674" priority="148">
      <formula>MOD(ROW(),2)=1</formula>
    </cfRule>
  </conditionalFormatting>
  <conditionalFormatting sqref="U262 U264 U260">
    <cfRule type="expression" dxfId="673" priority="146">
      <formula>MOD(ROW(),2)=1</formula>
    </cfRule>
  </conditionalFormatting>
  <conditionalFormatting sqref="U268">
    <cfRule type="expression" dxfId="672" priority="145">
      <formula>MOD(ROW(),2)=1</formula>
    </cfRule>
  </conditionalFormatting>
  <conditionalFormatting sqref="U270 U272">
    <cfRule type="expression" dxfId="671" priority="143">
      <formula>MOD(ROW(),2)=1</formula>
    </cfRule>
  </conditionalFormatting>
  <conditionalFormatting sqref="U306 U308 U304">
    <cfRule type="expression" dxfId="670" priority="132">
      <formula>MOD(ROW(),2)=1</formula>
    </cfRule>
  </conditionalFormatting>
  <conditionalFormatting sqref="U292 U290">
    <cfRule type="expression" dxfId="669" priority="139">
      <formula>MOD(ROW(),2)=1</formula>
    </cfRule>
  </conditionalFormatting>
  <conditionalFormatting sqref="U296">
    <cfRule type="expression" dxfId="668" priority="138">
      <formula>MOD(ROW(),2)=1</formula>
    </cfRule>
  </conditionalFormatting>
  <conditionalFormatting sqref="U300">
    <cfRule type="expression" dxfId="667" priority="135">
      <formula>MOD(ROW(),2)=1</formula>
    </cfRule>
  </conditionalFormatting>
  <conditionalFormatting sqref="U302">
    <cfRule type="expression" dxfId="666" priority="133">
      <formula>MOD(ROW(),2)=1</formula>
    </cfRule>
  </conditionalFormatting>
  <conditionalFormatting sqref="U310">
    <cfRule type="expression" dxfId="665" priority="131">
      <formula>MOD(ROW(),2)=1</formula>
    </cfRule>
  </conditionalFormatting>
  <conditionalFormatting sqref="U312">
    <cfRule type="expression" dxfId="664" priority="130">
      <formula>MOD(ROW(),2)=1</formula>
    </cfRule>
  </conditionalFormatting>
  <conditionalFormatting sqref="U322">
    <cfRule type="expression" dxfId="663" priority="129">
      <formula>MOD(ROW(),2)=1</formula>
    </cfRule>
  </conditionalFormatting>
  <conditionalFormatting sqref="U328 U326">
    <cfRule type="expression" dxfId="662" priority="128">
      <formula>MOD(ROW(),2)=1</formula>
    </cfRule>
  </conditionalFormatting>
  <conditionalFormatting sqref="U334 U332">
    <cfRule type="expression" dxfId="661" priority="127">
      <formula>MOD(ROW(),2)=1</formula>
    </cfRule>
  </conditionalFormatting>
  <conditionalFormatting sqref="U338 U340 U336">
    <cfRule type="expression" dxfId="660" priority="126">
      <formula>MOD(ROW(),2)=1</formula>
    </cfRule>
  </conditionalFormatting>
  <conditionalFormatting sqref="U352 U354 U350">
    <cfRule type="expression" dxfId="659" priority="125">
      <formula>MOD(ROW(),2)=1</formula>
    </cfRule>
  </conditionalFormatting>
  <conditionalFormatting sqref="U368 U370">
    <cfRule type="expression" dxfId="658" priority="123">
      <formula>MOD(ROW(),2)=1</formula>
    </cfRule>
  </conditionalFormatting>
  <conditionalFormatting sqref="U376 U378 U374">
    <cfRule type="expression" dxfId="657" priority="122">
      <formula>MOD(ROW(),2)=1</formula>
    </cfRule>
  </conditionalFormatting>
  <conditionalFormatting sqref="U382">
    <cfRule type="expression" dxfId="656" priority="121">
      <formula>MOD(ROW(),2)=1</formula>
    </cfRule>
  </conditionalFormatting>
  <conditionalFormatting sqref="U386 U388 U384">
    <cfRule type="expression" dxfId="655" priority="120">
      <formula>MOD(ROW(),2)=1</formula>
    </cfRule>
  </conditionalFormatting>
  <conditionalFormatting sqref="U394 U396 U392">
    <cfRule type="expression" dxfId="654" priority="119">
      <formula>MOD(ROW(),2)=1</formula>
    </cfRule>
  </conditionalFormatting>
  <conditionalFormatting sqref="U402 U404 U400">
    <cfRule type="expression" dxfId="653" priority="118">
      <formula>MOD(ROW(),2)=1</formula>
    </cfRule>
  </conditionalFormatting>
  <conditionalFormatting sqref="U410 U408">
    <cfRule type="expression" dxfId="652" priority="117">
      <formula>MOD(ROW(),2)=1</formula>
    </cfRule>
  </conditionalFormatting>
  <conditionalFormatting sqref="U414">
    <cfRule type="expression" dxfId="651" priority="116">
      <formula>MOD(ROW(),2)=1</formula>
    </cfRule>
  </conditionalFormatting>
  <conditionalFormatting sqref="U432 U434">
    <cfRule type="expression" dxfId="650" priority="111">
      <formula>MOD(ROW(),2)=1</formula>
    </cfRule>
  </conditionalFormatting>
  <conditionalFormatting sqref="U504 U506 U502">
    <cfRule type="expression" dxfId="649" priority="99">
      <formula>MOD(ROW(),2)=1</formula>
    </cfRule>
  </conditionalFormatting>
  <conditionalFormatting sqref="U454 U456 U452">
    <cfRule type="expression" dxfId="648" priority="108">
      <formula>MOD(ROW(),2)=1</formula>
    </cfRule>
  </conditionalFormatting>
  <conditionalFormatting sqref="U458 U460">
    <cfRule type="expression" dxfId="647" priority="103">
      <formula>MOD(ROW(),2)=1</formula>
    </cfRule>
  </conditionalFormatting>
  <conditionalFormatting sqref="U466 U464">
    <cfRule type="expression" dxfId="646" priority="102">
      <formula>MOD(ROW(),2)=1</formula>
    </cfRule>
  </conditionalFormatting>
  <conditionalFormatting sqref="U498">
    <cfRule type="expression" dxfId="645" priority="100">
      <formula>MOD(ROW(),2)=1</formula>
    </cfRule>
  </conditionalFormatting>
  <conditionalFormatting sqref="U512 U514 U510">
    <cfRule type="expression" dxfId="644" priority="98">
      <formula>MOD(ROW(),2)=1</formula>
    </cfRule>
  </conditionalFormatting>
  <conditionalFormatting sqref="U522 U524 U520">
    <cfRule type="expression" dxfId="643" priority="97">
      <formula>MOD(ROW(),2)=1</formula>
    </cfRule>
  </conditionalFormatting>
  <conditionalFormatting sqref="U530 U532 U528">
    <cfRule type="expression" dxfId="642" priority="96">
      <formula>MOD(ROW(),2)=1</formula>
    </cfRule>
  </conditionalFormatting>
  <conditionalFormatting sqref="U538 U540 U536">
    <cfRule type="expression" dxfId="641" priority="92">
      <formula>MOD(ROW(),2)=1</formula>
    </cfRule>
  </conditionalFormatting>
  <conditionalFormatting sqref="U544">
    <cfRule type="expression" dxfId="640" priority="90">
      <formula>MOD(ROW(),2)=1</formula>
    </cfRule>
  </conditionalFormatting>
  <conditionalFormatting sqref="U548 U546">
    <cfRule type="expression" dxfId="639" priority="89">
      <formula>MOD(ROW(),2)=1</formula>
    </cfRule>
  </conditionalFormatting>
  <conditionalFormatting sqref="U550">
    <cfRule type="expression" dxfId="638" priority="87">
      <formula>MOD(ROW(),2)=1</formula>
    </cfRule>
  </conditionalFormatting>
  <conditionalFormatting sqref="U556 U558 U554">
    <cfRule type="expression" dxfId="637" priority="75">
      <formula>MOD(ROW(),2)=1</formula>
    </cfRule>
  </conditionalFormatting>
  <conditionalFormatting sqref="U564 U566 U562">
    <cfRule type="expression" dxfId="636" priority="74">
      <formula>MOD(ROW(),2)=1</formula>
    </cfRule>
  </conditionalFormatting>
  <conditionalFormatting sqref="U572 U570">
    <cfRule type="expression" dxfId="635" priority="72">
      <formula>MOD(ROW(),2)=1</formula>
    </cfRule>
  </conditionalFormatting>
  <conditionalFormatting sqref="U578 U576">
    <cfRule type="expression" dxfId="634" priority="71">
      <formula>MOD(ROW(),2)=1</formula>
    </cfRule>
  </conditionalFormatting>
  <conditionalFormatting sqref="U618">
    <cfRule type="expression" dxfId="633" priority="60">
      <formula>MOD(ROW(),2)=1</formula>
    </cfRule>
  </conditionalFormatting>
  <conditionalFormatting sqref="U584 U582">
    <cfRule type="expression" dxfId="632" priority="69">
      <formula>MOD(ROW(),2)=1</formula>
    </cfRule>
  </conditionalFormatting>
  <conditionalFormatting sqref="U588">
    <cfRule type="expression" dxfId="631" priority="68">
      <formula>MOD(ROW(),2)=1</formula>
    </cfRule>
  </conditionalFormatting>
  <conditionalFormatting sqref="U592 U590">
    <cfRule type="expression" dxfId="630" priority="67">
      <formula>MOD(ROW(),2)=1</formula>
    </cfRule>
  </conditionalFormatting>
  <conditionalFormatting sqref="U598 U600 U596">
    <cfRule type="expression" dxfId="629" priority="66">
      <formula>MOD(ROW(),2)=1</formula>
    </cfRule>
  </conditionalFormatting>
  <conditionalFormatting sqref="U604">
    <cfRule type="expression" dxfId="628" priority="65">
      <formula>MOD(ROW(),2)=1</formula>
    </cfRule>
  </conditionalFormatting>
  <conditionalFormatting sqref="U640 U638">
    <cfRule type="expression" dxfId="627" priority="54">
      <formula>MOD(ROW(),2)=1</formula>
    </cfRule>
  </conditionalFormatting>
  <conditionalFormatting sqref="U610 U612 U608">
    <cfRule type="expression" dxfId="626" priority="63">
      <formula>MOD(ROW(),2)=1</formula>
    </cfRule>
  </conditionalFormatting>
  <conditionalFormatting sqref="U624 U626 U622">
    <cfRule type="expression" dxfId="625" priority="59">
      <formula>MOD(ROW(),2)=1</formula>
    </cfRule>
  </conditionalFormatting>
  <conditionalFormatting sqref="U634">
    <cfRule type="expression" dxfId="624" priority="58">
      <formula>MOD(ROW(),2)=1</formula>
    </cfRule>
  </conditionalFormatting>
  <conditionalFormatting sqref="U678 U680 U676">
    <cfRule type="expression" dxfId="623" priority="47">
      <formula>MOD(ROW(),2)=1</formula>
    </cfRule>
  </conditionalFormatting>
  <conditionalFormatting sqref="U646 U648 U644">
    <cfRule type="expression" dxfId="622" priority="53">
      <formula>MOD(ROW(),2)=1</formula>
    </cfRule>
  </conditionalFormatting>
  <conditionalFormatting sqref="U652">
    <cfRule type="expression" dxfId="621" priority="52">
      <formula>MOD(ROW(),2)=1</formula>
    </cfRule>
  </conditionalFormatting>
  <conditionalFormatting sqref="U658 U660 U656">
    <cfRule type="expression" dxfId="620" priority="51">
      <formula>MOD(ROW(),2)=1</formula>
    </cfRule>
  </conditionalFormatting>
  <conditionalFormatting sqref="U666 U664">
    <cfRule type="expression" dxfId="619" priority="50">
      <formula>MOD(ROW(),2)=1</formula>
    </cfRule>
  </conditionalFormatting>
  <conditionalFormatting sqref="U668">
    <cfRule type="expression" dxfId="618" priority="49">
      <formula>MOD(ROW(),2)=1</formula>
    </cfRule>
  </conditionalFormatting>
  <conditionalFormatting sqref="U670 U672">
    <cfRule type="expression" dxfId="617" priority="48">
      <formula>MOD(ROW(),2)=1</formula>
    </cfRule>
  </conditionalFormatting>
  <conditionalFormatting sqref="U686 U684">
    <cfRule type="expression" dxfId="616" priority="46">
      <formula>MOD(ROW(),2)=1</formula>
    </cfRule>
  </conditionalFormatting>
  <conditionalFormatting sqref="U694 U690">
    <cfRule type="expression" dxfId="615" priority="44">
      <formula>MOD(ROW(),2)=1</formula>
    </cfRule>
  </conditionalFormatting>
  <conditionalFormatting sqref="U696">
    <cfRule type="expression" dxfId="614" priority="40">
      <formula>MOD(ROW(),2)=1</formula>
    </cfRule>
  </conditionalFormatting>
  <conditionalFormatting sqref="U702 U704 U700">
    <cfRule type="expression" dxfId="613" priority="39">
      <formula>MOD(ROW(),2)=1</formula>
    </cfRule>
  </conditionalFormatting>
  <conditionalFormatting sqref="U706">
    <cfRule type="expression" dxfId="612" priority="37">
      <formula>MOD(ROW(),2)=1</formula>
    </cfRule>
  </conditionalFormatting>
  <conditionalFormatting sqref="Y220">
    <cfRule type="expression" dxfId="611" priority="25">
      <formula>MOD(ROW(),2)=1</formula>
    </cfRule>
  </conditionalFormatting>
  <conditionalFormatting sqref="U712">
    <cfRule type="expression" dxfId="610" priority="34">
      <formula>MOD(ROW(),2)=1</formula>
    </cfRule>
  </conditionalFormatting>
  <conditionalFormatting sqref="U714">
    <cfRule type="expression" dxfId="609" priority="31">
      <formula>MOD(ROW(),2)=1</formula>
    </cfRule>
  </conditionalFormatting>
  <conditionalFormatting sqref="W214 W216 W218 W220 W222 W224 W226">
    <cfRule type="expression" dxfId="608" priority="30">
      <formula>MOD(ROW(),2)=1</formula>
    </cfRule>
  </conditionalFormatting>
  <conditionalFormatting sqref="U214 U216 U218 U220 U222 U224 U226">
    <cfRule type="expression" dxfId="607" priority="29">
      <formula>MOD(ROW(),2)=1</formula>
    </cfRule>
  </conditionalFormatting>
  <conditionalFormatting sqref="Y214">
    <cfRule type="expression" dxfId="606" priority="28">
      <formula>MOD(ROW(),2)=1</formula>
    </cfRule>
  </conditionalFormatting>
  <conditionalFormatting sqref="Y216">
    <cfRule type="expression" dxfId="605" priority="27">
      <formula>MOD(ROW(),2)=1</formula>
    </cfRule>
  </conditionalFormatting>
  <conditionalFormatting sqref="Y218">
    <cfRule type="expression" dxfId="604" priority="26">
      <formula>MOD(ROW(),2)=1</formula>
    </cfRule>
  </conditionalFormatting>
  <conditionalFormatting sqref="Y222">
    <cfRule type="expression" dxfId="603" priority="24">
      <formula>MOD(ROW(),2)=1</formula>
    </cfRule>
  </conditionalFormatting>
  <conditionalFormatting sqref="Y242">
    <cfRule type="expression" dxfId="602" priority="3">
      <formula>MOD(ROW(),2)=1</formula>
    </cfRule>
  </conditionalFormatting>
  <conditionalFormatting sqref="Y224">
    <cfRule type="expression" dxfId="601" priority="22">
      <formula>MOD(ROW(),2)=1</formula>
    </cfRule>
  </conditionalFormatting>
  <conditionalFormatting sqref="Y226">
    <cfRule type="expression" dxfId="600" priority="21">
      <formula>MOD(ROW(),2)=1</formula>
    </cfRule>
  </conditionalFormatting>
  <conditionalFormatting sqref="Y230">
    <cfRule type="expression" dxfId="599" priority="9">
      <formula>MOD(ROW(),2)=1</formula>
    </cfRule>
  </conditionalFormatting>
  <conditionalFormatting sqref="Y232">
    <cfRule type="expression" dxfId="598" priority="8">
      <formula>MOD(ROW(),2)=1</formula>
    </cfRule>
  </conditionalFormatting>
  <conditionalFormatting sqref="Y234">
    <cfRule type="expression" dxfId="597" priority="7">
      <formula>MOD(ROW(),2)=1</formula>
    </cfRule>
  </conditionalFormatting>
  <conditionalFormatting sqref="W228 W230 W232 W234 W236 W238 W240 W242">
    <cfRule type="expression" dxfId="596" priority="2">
      <formula>MOD(ROW(),2)=1</formula>
    </cfRule>
  </conditionalFormatting>
  <conditionalFormatting sqref="U228 U230 U232 U234 U236 U238 U240 U242">
    <cfRule type="expression" dxfId="595" priority="1">
      <formula>MOD(ROW(),2)=1</formula>
    </cfRule>
  </conditionalFormatting>
  <conditionalFormatting sqref="Y228">
    <cfRule type="expression" dxfId="594" priority="10">
      <formula>MOD(ROW(),2)=1</formula>
    </cfRule>
  </conditionalFormatting>
  <conditionalFormatting sqref="Y236">
    <cfRule type="expression" dxfId="593" priority="6">
      <formula>MOD(ROW(),2)=1</formula>
    </cfRule>
  </conditionalFormatting>
  <conditionalFormatting sqref="Y238">
    <cfRule type="expression" dxfId="592" priority="5">
      <formula>MOD(ROW(),2)=1</formula>
    </cfRule>
  </conditionalFormatting>
  <conditionalFormatting sqref="Y240">
    <cfRule type="expression" dxfId="591" priority="4">
      <formula>MOD(ROW(),2)=1</formula>
    </cfRule>
  </conditionalFormatting>
  <pageMargins left="0.7" right="0.7" top="0.75" bottom="0.75" header="0.3" footer="0.3"/>
  <pageSetup orientation="portrait" horizontalDpi="4294967293" vertic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3:H729"/>
  <sheetViews>
    <sheetView workbookViewId="0"/>
  </sheetViews>
  <sheetFormatPr defaultRowHeight="15" x14ac:dyDescent="0.25"/>
  <cols>
    <col min="1" max="1" width="22.42578125" customWidth="1"/>
    <col min="2" max="2" width="11" bestFit="1" customWidth="1"/>
    <col min="3" max="3" width="9.140625" style="63"/>
  </cols>
  <sheetData>
    <row r="3" spans="1:4" x14ac:dyDescent="0.25">
      <c r="A3" t="str">
        <f>LLM!B3</f>
        <v>Albert, M. S., Butters, N., &amp; Brandt, J. (1981). Development of remote memory loss in patients with Huntington's disease. Journal of Clinical Neuropsychology, 3(1), 1-12.</v>
      </c>
      <c r="B3">
        <f>LLM!AA3</f>
        <v>1734480000</v>
      </c>
      <c r="C3" s="63">
        <f>B3/(60*60*24*365)</f>
        <v>55</v>
      </c>
      <c r="D3" s="63">
        <f>LLM!AM3</f>
        <v>-2.7360457951633936E-2</v>
      </c>
    </row>
    <row r="5" spans="1:4" x14ac:dyDescent="0.25">
      <c r="A5" t="str">
        <f>LLM!B5</f>
        <v>Albert, M. S., Butters, N., &amp; Levin, J. (1979). Temporal gradients in the retrograde amnesia of patients with alcoholic Korsakoff's disease. Archives of Neurology, 36(4), 211-216.</v>
      </c>
      <c r="B5">
        <f>LLM!AA5</f>
        <v>1419120000</v>
      </c>
      <c r="C5" s="63">
        <f>B5/(60*60*24*365)</f>
        <v>45</v>
      </c>
      <c r="D5" s="63">
        <f>LLM!AM5</f>
        <v>-2.8936119196109365E-2</v>
      </c>
    </row>
    <row r="7" spans="1:4" x14ac:dyDescent="0.25">
      <c r="A7" t="str">
        <f>LLM!B7</f>
        <v>Austin, S. D. M. (1921). A Study in Logical Memory. The American Journal of Psychology, 32(3), 370-403.</v>
      </c>
      <c r="B7">
        <f>LLM!AA7</f>
        <v>2678400</v>
      </c>
      <c r="C7" s="63">
        <f>B7/(60*60*24*365)</f>
        <v>8.4931506849315067E-2</v>
      </c>
      <c r="D7" s="63">
        <f>LLM!AM7</f>
        <v>-0.14879170498863489</v>
      </c>
    </row>
    <row r="9" spans="1:4" x14ac:dyDescent="0.25">
      <c r="A9" t="str">
        <f>LLM!B9</f>
        <v>Austin, S. D. M. (1921). A Study in Logical Memory. The American Journal of Psychology, 32(3), 370-403.</v>
      </c>
      <c r="B9">
        <f>LLM!AA9</f>
        <v>2678400</v>
      </c>
      <c r="C9" s="63">
        <f>B9/(60*60*24*365)</f>
        <v>8.4931506849315067E-2</v>
      </c>
      <c r="D9" s="63">
        <f>LLM!AM9</f>
        <v>-0.22017882796682423</v>
      </c>
    </row>
    <row r="11" spans="1:4" x14ac:dyDescent="0.25">
      <c r="A11" t="str">
        <f>LLM!B11</f>
        <v>Austin, S. D. M. (1921). A Study in Logical Memory. The American Journal of Psychology, 32(3), 370-403.</v>
      </c>
      <c r="B11">
        <f>LLM!AA11</f>
        <v>2678400</v>
      </c>
      <c r="C11" s="63">
        <f>B11/(60*60*24*365)</f>
        <v>8.4931506849315067E-2</v>
      </c>
      <c r="D11" s="63">
        <f>LLM!AM11</f>
        <v>-0.32864028094881648</v>
      </c>
    </row>
    <row r="13" spans="1:4" x14ac:dyDescent="0.25">
      <c r="A13" t="str">
        <f>LLM!B13</f>
        <v>Austin, S. D. M. (1921). A Study in Logical Memory. The American Journal of Psychology, 32(3), 370-403.</v>
      </c>
      <c r="B13">
        <f>LLM!AA13</f>
        <v>2678400</v>
      </c>
      <c r="C13" s="63">
        <f>B13/(60*60*24*365)</f>
        <v>8.4931506849315067E-2</v>
      </c>
      <c r="D13" s="63">
        <f>LLM!AM13</f>
        <v>-0.53809101988255281</v>
      </c>
    </row>
    <row r="15" spans="1:4" x14ac:dyDescent="0.25">
      <c r="A15" t="str">
        <f>LLM!B15</f>
        <v>Averell, L., &amp; Heathcote, A. (2009). Long term implicit and explicit memory for briefly studied words. In A. Taatgen, &amp; H. van Rijn (Eds.), Proceedings of the 31st annual conference of the cognitive science society (pp. 267–281). Austin, TX: Cognitive Science Society.</v>
      </c>
      <c r="B15">
        <f>LLM!AA15</f>
        <v>2419200</v>
      </c>
      <c r="C15" s="63">
        <f>B15/(60*60*24*365)</f>
        <v>7.6712328767123292E-2</v>
      </c>
      <c r="D15" s="63">
        <f>LLM!AM15</f>
        <v>-9.1845072529178631E-2</v>
      </c>
    </row>
    <row r="17" spans="1:8" x14ac:dyDescent="0.25">
      <c r="A17" t="str">
        <f>LLM!B17</f>
        <v>Averell, L., &amp; Heathcote, A. (2009). Long term implicit and explicit memory for briefly studied words. In A. Taatgen, &amp; H. van Rijn (Eds.), Proceedings of the 31st annual conference of the cognitive science society (pp. 267–281). Austin, TX: Cognitive Science Society.</v>
      </c>
      <c r="B17">
        <f>LLM!AA17</f>
        <v>2419200</v>
      </c>
      <c r="C17" s="63">
        <f>B17/(60*60*24*365)</f>
        <v>7.6712328767123292E-2</v>
      </c>
      <c r="D17" s="63">
        <f>LLM!AM17</f>
        <v>-6.1582042770250908E-2</v>
      </c>
    </row>
    <row r="18" spans="1:8" x14ac:dyDescent="0.25">
      <c r="G18" s="166">
        <f>AVERAGE(D3:D713)</f>
        <v>-0.12486859577214428</v>
      </c>
      <c r="H18" s="165">
        <f xml:space="preserve"> STDEV(D3:D233)/SQRT(COUNT(D3:D713))</f>
        <v>7.7577128695228061E-3</v>
      </c>
    </row>
    <row r="19" spans="1:8" x14ac:dyDescent="0.25">
      <c r="A19" t="str">
        <f>LLM!B19</f>
        <v xml:space="preserve">Bahrick, H. P., Bahrick, P. O., &amp; Wittlinger, R. P. (1975). Fifty years of memory for names and faces: A cross-sectional approach. Journal of Experimental Psychology: General, 104(1), 54-75.
</v>
      </c>
      <c r="B19">
        <f>LLM!AA19</f>
        <v>1513728000</v>
      </c>
      <c r="C19" s="63">
        <f>B19/(60*60*24*365)</f>
        <v>48</v>
      </c>
      <c r="D19" s="63">
        <f>LLM!AM19</f>
        <v>-0.12391683411031684</v>
      </c>
    </row>
    <row r="21" spans="1:8" x14ac:dyDescent="0.25">
      <c r="A21" t="str">
        <f>LLM!B21</f>
        <v xml:space="preserve">Bahrick, H. P., Bahrick, P. O., &amp; Wittlinger, R. P. (1975). Fifty years of memory for names and faces: A cross-sectional approach. Journal of Experimental Psychology: General, 104(1), 54-75.
</v>
      </c>
      <c r="B21">
        <f>LLM!AA21</f>
        <v>1513728000</v>
      </c>
      <c r="C21" s="63">
        <f>B21/(60*60*24*365)</f>
        <v>48</v>
      </c>
      <c r="D21" s="63">
        <f>LLM!AM21</f>
        <v>-3.1298120737212873E-2</v>
      </c>
    </row>
    <row r="23" spans="1:8" x14ac:dyDescent="0.25">
      <c r="A23" t="str">
        <f>LLM!B23</f>
        <v xml:space="preserve">Bahrick, H. P., Bahrick, P. O., &amp; Wittlinger, R. P. (1975). Fifty years of memory for names and faces: A cross-sectional approach. Journal of Experimental Psychology: General, 104(1), 54-75.
</v>
      </c>
      <c r="B23">
        <f>LLM!AA23</f>
        <v>1513728000</v>
      </c>
      <c r="C23" s="63">
        <f>B23/(60*60*24*365)</f>
        <v>48</v>
      </c>
      <c r="D23" s="63">
        <f>LLM!AM23</f>
        <v>-8.5133962084087255E-3</v>
      </c>
    </row>
    <row r="25" spans="1:8" x14ac:dyDescent="0.25">
      <c r="A25" t="str">
        <f>LLM!B25</f>
        <v xml:space="preserve">Bahrick, H. P., Bahrick, P. O., &amp; Wittlinger, R. P. (1975). Fifty years of memory for names and faces: A cross-sectional approach. Journal of Experimental Psychology: General, 104(1), 54-75.
</v>
      </c>
      <c r="B25">
        <f>LLM!AA25</f>
        <v>1513728000</v>
      </c>
      <c r="C25" s="63">
        <f>B25/(60*60*24*365)</f>
        <v>48</v>
      </c>
      <c r="D25" s="63">
        <f>LLM!AM25</f>
        <v>-2.101185512065248E-2</v>
      </c>
    </row>
    <row r="27" spans="1:8" x14ac:dyDescent="0.25">
      <c r="A27" t="str">
        <f>LLM!B27</f>
        <v xml:space="preserve">Bahrick, H. P., Bahrick, P. O., &amp; Wittlinger, R. P. (1975). Fifty years of memory for names and faces: A cross-sectional approach. Journal of Experimental Psychology: General, 104(1), 54-75.
</v>
      </c>
      <c r="B27">
        <f>LLM!AA27</f>
        <v>1513728000</v>
      </c>
      <c r="C27" s="63">
        <f>B27/(60*60*24*365)</f>
        <v>48</v>
      </c>
      <c r="D27" s="63">
        <f>LLM!AM27</f>
        <v>-6.1910155377298333E-2</v>
      </c>
    </row>
    <row r="29" spans="1:8" x14ac:dyDescent="0.25">
      <c r="A29" t="str">
        <f>LLM!B29</f>
        <v xml:space="preserve">Bahrick, H. P., Bahrick, P. O., &amp; Wittlinger, R. P. (1975). Fifty years of memory for names and faces: A cross-sectional approach. Journal of Experimental Psychology: General, 104(1), 54-75.
</v>
      </c>
      <c r="B29">
        <f>LLM!AA29</f>
        <v>1513728000</v>
      </c>
      <c r="C29" s="63">
        <f>B29/(60*60*24*365)</f>
        <v>48</v>
      </c>
      <c r="D29" s="63">
        <f>LLM!AM29</f>
        <v>-0.13119101181828052</v>
      </c>
    </row>
    <row r="31" spans="1:8" x14ac:dyDescent="0.25">
      <c r="A31" t="str">
        <f>LLM!B31</f>
        <v xml:space="preserve">Bahrick, H. P. (1983). The cognitive map of a city: Fifty years of learning and memory. Psychology of Learning and Motivation, 17, 125-163.
</v>
      </c>
      <c r="B31">
        <f>LLM!AA31</f>
        <v>1450656000</v>
      </c>
      <c r="C31" s="63">
        <f>B31/(60*60*24*365)</f>
        <v>46</v>
      </c>
      <c r="D31" s="63">
        <f>LLM!AM31</f>
        <v>-0.15126571288944954</v>
      </c>
    </row>
    <row r="33" spans="1:4" x14ac:dyDescent="0.25">
      <c r="A33" t="str">
        <f>LLM!B33</f>
        <v xml:space="preserve">Bahrick, H. P. (1983). The cognitive map of a city: Fifty years of learning and memory. Psychology of Learning and Motivation, 17, 125-163.
</v>
      </c>
      <c r="B33">
        <f>LLM!AA33</f>
        <v>1450656000</v>
      </c>
      <c r="C33" s="63">
        <f>B33/(60*60*24*365)</f>
        <v>46</v>
      </c>
      <c r="D33" s="63">
        <f>LLM!AM33</f>
        <v>-0.17438629115214344</v>
      </c>
    </row>
    <row r="35" spans="1:4" x14ac:dyDescent="0.25">
      <c r="A35" t="str">
        <f>LLM!B35</f>
        <v xml:space="preserve">Bahrick, H. P. (1983). The cognitive map of a city: Fifty years of learning and memory. Psychology of Learning and Motivation, 17, 125-163.
</v>
      </c>
      <c r="B35">
        <f>LLM!AA35</f>
        <v>1450656000</v>
      </c>
      <c r="C35" s="63">
        <f>B35/(60*60*24*365)</f>
        <v>46</v>
      </c>
      <c r="D35" s="63">
        <f>LLM!AM35</f>
        <v>-0.26139512516214641</v>
      </c>
    </row>
    <row r="37" spans="1:4" x14ac:dyDescent="0.25">
      <c r="A37" t="str">
        <f>LLM!B37</f>
        <v xml:space="preserve">Bahrick, H. P. (1983). The cognitive map of a city: Fifty years of learning and memory. Psychology of Learning and Motivation, 17, 125-163.
</v>
      </c>
      <c r="B37">
        <f>LLM!AA37</f>
        <v>1450656000</v>
      </c>
      <c r="C37" s="63">
        <f>B37/(60*60*24*365)</f>
        <v>46</v>
      </c>
      <c r="D37" s="63">
        <f>LLM!AM37</f>
        <v>-9.2441845506879464E-2</v>
      </c>
    </row>
    <row r="39" spans="1:4" x14ac:dyDescent="0.25">
      <c r="A39" t="str">
        <f>LLM!B39</f>
        <v xml:space="preserve">Bahrick, H. P. (1983). The cognitive map of a city: Fifty years of learning and memory. Psychology of Learning and Motivation, 17, 125-163.
</v>
      </c>
      <c r="B39">
        <f>LLM!AA39</f>
        <v>1450656000</v>
      </c>
      <c r="C39" s="63">
        <f>B39/(60*60*24*365)</f>
        <v>46</v>
      </c>
      <c r="D39" s="63">
        <f>LLM!AM39</f>
        <v>-4.7938234961320811E-2</v>
      </c>
    </row>
    <row r="41" spans="1:4" x14ac:dyDescent="0.25">
      <c r="A41" t="str">
        <f>LLM!B41</f>
        <v xml:space="preserve">Bahrick, H. P. (1983). The cognitive map of a city: Fifty years of learning and memory. Psychology of Learning and Motivation, 17, 125-163.
</v>
      </c>
      <c r="B41">
        <f>LLM!AA41</f>
        <v>1450656000</v>
      </c>
      <c r="C41" s="63">
        <f>B41/(60*60*24*365)</f>
        <v>46</v>
      </c>
      <c r="D41" s="63">
        <f>LLM!AM41</f>
        <v>-0.13542522044117383</v>
      </c>
    </row>
    <row r="43" spans="1:4" x14ac:dyDescent="0.25">
      <c r="A43" t="str">
        <f>LLM!B43</f>
        <v xml:space="preserve">Bahrick, H. P. (1983). The cognitive map of a city: Fifty years of learning and memory. Psychology of Learning and Motivation, 17, 125-163.
</v>
      </c>
      <c r="B43">
        <f>LLM!AA43</f>
        <v>1450656000</v>
      </c>
      <c r="C43" s="63">
        <f>B43/(60*60*24*365)</f>
        <v>46</v>
      </c>
      <c r="D43" s="63">
        <f>LLM!AM43</f>
        <v>-0.1519162661259072</v>
      </c>
    </row>
    <row r="45" spans="1:4" x14ac:dyDescent="0.25">
      <c r="A45" t="str">
        <f>LLM!B45</f>
        <v xml:space="preserve">Bahrick, H. P. (1983). The cognitive map of a city: Fifty years of learning and memory. Psychology of Learning and Motivation, 17, 125-163.
</v>
      </c>
      <c r="B45">
        <f>LLM!AA45</f>
        <v>1450656000</v>
      </c>
      <c r="C45" s="63">
        <f>B45/(60*60*24*365)</f>
        <v>46</v>
      </c>
      <c r="D45" s="63">
        <f>LLM!AM45</f>
        <v>-8.7656895894171291E-2</v>
      </c>
    </row>
    <row r="47" spans="1:4" x14ac:dyDescent="0.25">
      <c r="A47" t="str">
        <f>LLM!B47</f>
        <v xml:space="preserve">Bahrick, H. P. (1983). The cognitive map of a city: Fifty years of learning and memory. Psychology of Learning and Motivation, 17, 125-163.
</v>
      </c>
      <c r="B47">
        <f>LLM!AA47</f>
        <v>1450656000</v>
      </c>
      <c r="C47" s="63">
        <f>B47/(60*60*24*365)</f>
        <v>46</v>
      </c>
      <c r="D47" s="63">
        <f>LLM!AM47</f>
        <v>-0.33010491176757845</v>
      </c>
    </row>
    <row r="49" spans="1:4" x14ac:dyDescent="0.25">
      <c r="A49" t="str">
        <f>LLM!B49</f>
        <v xml:space="preserve">Bahrick, H. P. (1984). Semantic memory content in permastore: Fifty years of memory for Spanish learned in school. Journal of Experimental Psychology: General, 113(1), 1-29.
</v>
      </c>
      <c r="B49">
        <f>LLM!AA49</f>
        <v>1576800000</v>
      </c>
      <c r="C49" s="63">
        <f>B49/(60*60*24*365)</f>
        <v>50</v>
      </c>
      <c r="D49" s="63">
        <f>LLM!AM49</f>
        <v>-3.4286545603981373E-2</v>
      </c>
    </row>
    <row r="51" spans="1:4" x14ac:dyDescent="0.25">
      <c r="A51" t="str">
        <f>LLM!B51</f>
        <v xml:space="preserve">Bahrick, H. P. (1984). Semantic memory content in permastore: Fifty years of memory for Spanish learned in school. Journal of Experimental Psychology: General, 113(1), 1-29.
</v>
      </c>
      <c r="B51">
        <f>LLM!AA51</f>
        <v>1576800000</v>
      </c>
      <c r="C51" s="63">
        <f>B51/(60*60*24*365)</f>
        <v>50</v>
      </c>
      <c r="D51" s="63">
        <f>LLM!AM51</f>
        <v>-4.2337376341122862E-2</v>
      </c>
    </row>
    <row r="53" spans="1:4" x14ac:dyDescent="0.25">
      <c r="A53" t="str">
        <f>LLM!B53</f>
        <v xml:space="preserve">Bahrick, H. P. (1984). Semantic memory content in permastore: Fifty years of memory for Spanish learned in school. Journal of Experimental Psychology: General, 113(1), 1-29.
</v>
      </c>
      <c r="B53">
        <f>LLM!AA53</f>
        <v>1576800000</v>
      </c>
      <c r="C53" s="63">
        <f>B53/(60*60*24*365)</f>
        <v>50</v>
      </c>
      <c r="D53" s="63">
        <f>LLM!AM53</f>
        <v>-5.3559106996117975E-2</v>
      </c>
    </row>
    <row r="55" spans="1:4" x14ac:dyDescent="0.25">
      <c r="A55" t="str">
        <f>LLM!B55</f>
        <v xml:space="preserve">Bahrick, H. P. (1984). Semantic memory content in permastore: Fifty years of memory for Spanish learned in school. Journal of Experimental Psychology: General, 113(1), 1-29.
</v>
      </c>
      <c r="B55">
        <f>LLM!AA55</f>
        <v>1576800000</v>
      </c>
      <c r="C55" s="63">
        <f>B55/(60*60*24*365)</f>
        <v>50</v>
      </c>
      <c r="D55" s="63">
        <f>LLM!AM55</f>
        <v>-2.1493974579724399E-2</v>
      </c>
    </row>
    <row r="57" spans="1:4" x14ac:dyDescent="0.25">
      <c r="A57" t="str">
        <f>LLM!B57</f>
        <v xml:space="preserve">Bahrick, H. P. (1984). Semantic memory content in permastore: Fifty years of memory for Spanish learned in school. Journal of Experimental Psychology: General, 113(1), 1-29.
</v>
      </c>
      <c r="B57">
        <f>LLM!AA57</f>
        <v>1576800000</v>
      </c>
      <c r="C57" s="63">
        <f>B57/(60*60*24*365)</f>
        <v>50</v>
      </c>
      <c r="D57" s="63">
        <f>LLM!AM57</f>
        <v>-6.4877870240526714E-2</v>
      </c>
    </row>
    <row r="59" spans="1:4" x14ac:dyDescent="0.25">
      <c r="A59" t="str">
        <f>LLM!B59</f>
        <v xml:space="preserve">Bahrick, H. P. (1984). Semantic memory content in permastore: Fifty years of memory for Spanish learned in school. Journal of Experimental Psychology: General, 113(1), 1-29.
</v>
      </c>
      <c r="B59">
        <f>LLM!AA59</f>
        <v>1576800000</v>
      </c>
      <c r="C59" s="63">
        <f>B59/(60*60*24*365)</f>
        <v>50</v>
      </c>
      <c r="D59" s="63">
        <f>LLM!AM59</f>
        <v>-2.1813466443657538E-2</v>
      </c>
    </row>
    <row r="61" spans="1:4" x14ac:dyDescent="0.25">
      <c r="A61" t="str">
        <f>LLM!B61</f>
        <v xml:space="preserve">Bahrick, H. P., Hall, L. K., &amp; Da Costa, L. A. (2008). Fifty years of memory of college grades: Accuracy and distortions. Emotion, 8(1), 13-22.
</v>
      </c>
      <c r="B61">
        <f>LLM!AA61</f>
        <v>1490076000</v>
      </c>
      <c r="C61" s="63">
        <f>B61/(60*60*24*365)</f>
        <v>47.25</v>
      </c>
      <c r="D61" s="63">
        <f>LLM!AM61</f>
        <v>-0.16166396883374459</v>
      </c>
    </row>
    <row r="63" spans="1:4" x14ac:dyDescent="0.25">
      <c r="A63" t="str">
        <f>LLM!B63</f>
        <v xml:space="preserve">Bahrick, H. P., Hall, L. K., &amp; Da Costa, L. A. (2008). Fifty years of memory of college grades: Accuracy and distortions. Emotion, 8(1), 13-22.
</v>
      </c>
      <c r="B63">
        <f>LLM!AA63</f>
        <v>1490076000</v>
      </c>
      <c r="C63" s="63">
        <f>B63/(60*60*24*365)</f>
        <v>47.25</v>
      </c>
      <c r="D63" s="63">
        <f>LLM!AM63</f>
        <v>-0.12214566922916996</v>
      </c>
    </row>
    <row r="65" spans="1:4" x14ac:dyDescent="0.25">
      <c r="A65" t="str">
        <f>LLM!B65</f>
        <v>Barr, W. B., Goldberg, E., Wasserstein, J., &amp; Novelly, R. A. (1990). Retrograde amnesia following unilateral temporal lobectomy. Neuropsychologia, 28(3), 243-255.</v>
      </c>
      <c r="B65">
        <f>LLM!AA65</f>
        <v>1103760000</v>
      </c>
      <c r="C65" s="63">
        <f>B65/(60*60*24*365)</f>
        <v>35</v>
      </c>
      <c r="D65" s="63">
        <f>LLM!AM65</f>
        <v>5.9924734840943851E-3</v>
      </c>
    </row>
    <row r="67" spans="1:4" x14ac:dyDescent="0.25">
      <c r="A67" t="str">
        <f>LLM!B67</f>
        <v>Barr, W. B., Goldberg, E., Wasserstein, J., &amp; Novelly, R. A. (1990). Retrograde amnesia following unilateral temporal lobectomy. Neuropsychologia, 28(3), 243-255.</v>
      </c>
      <c r="B67">
        <f>LLM!AA67</f>
        <v>567648000</v>
      </c>
      <c r="C67" s="63">
        <f>B67/(60*60*24*365)</f>
        <v>18</v>
      </c>
      <c r="D67" s="63">
        <f>LLM!AM67</f>
        <v>-6.8036294754760432E-2</v>
      </c>
    </row>
    <row r="69" spans="1:4" x14ac:dyDescent="0.25">
      <c r="A69" t="str">
        <f>LLM!B69</f>
        <v>Bauer, P. J., &amp; Larkina, M. (2016). Predicting remembering and forgetting of autobiographical memories in children and adults: a 4-year prospective study. Memory, 24(10), 1345-1368.</v>
      </c>
      <c r="B69">
        <f>LLM!AA69</f>
        <v>94608000</v>
      </c>
      <c r="C69" s="63">
        <f>B69/(60*60*24*365)</f>
        <v>3</v>
      </c>
      <c r="D69" s="63">
        <f>LLM!AM69</f>
        <v>-0.41421029776418783</v>
      </c>
    </row>
    <row r="71" spans="1:4" x14ac:dyDescent="0.25">
      <c r="A71" t="str">
        <f>LLM!B71</f>
        <v>Bauer, P. J., Stweart, R., Sirkin, R. E., Larkina, M. (2017). Robust memory of where from way back when: evidence from behaviour and visual attention. Memory 25(8), 1089-1109.</v>
      </c>
      <c r="B71">
        <f>LLM!AA71</f>
        <v>80015040</v>
      </c>
      <c r="C71" s="63">
        <f>B71/(60*60*24*365)</f>
        <v>2.5372602739726027</v>
      </c>
      <c r="D71" s="63">
        <f>LLM!AM71</f>
        <v>-0.44220536145469269</v>
      </c>
    </row>
    <row r="73" spans="1:4" x14ac:dyDescent="0.25">
      <c r="A73" t="str">
        <f>LLM!B73</f>
        <v>Bauer, P. J., Stweart, R., Sirkin, R. E., Larkina, M. (2017). Robust memory of where from way back when: evidence from behaviour and visual attention. Memory 25(8), 1089-1109.</v>
      </c>
      <c r="B73">
        <f>LLM!AA73</f>
        <v>80015040</v>
      </c>
      <c r="C73" s="63">
        <f>B73/(60*60*24*365)</f>
        <v>2.5372602739726027</v>
      </c>
      <c r="D73" s="63">
        <f>LLM!AM73</f>
        <v>-0.39308731788945506</v>
      </c>
    </row>
    <row r="75" spans="1:4" x14ac:dyDescent="0.25">
      <c r="A75" t="str">
        <f>LLM!B75</f>
        <v>Bauer, P. J., Stweart, R., Sirkin, R. E., Larkina, M. (2017). Robust memory of where from way back when: evidence from behaviour and visual attention. Memory 25(8), 1089-1109.</v>
      </c>
      <c r="B75">
        <f>LLM!AA75</f>
        <v>80015040</v>
      </c>
      <c r="C75" s="63">
        <f>B75/(60*60*24*365)</f>
        <v>2.5372602739726027</v>
      </c>
      <c r="D75" s="63">
        <f>LLM!AM75</f>
        <v>-0.10955062355742998</v>
      </c>
    </row>
    <row r="77" spans="1:4" x14ac:dyDescent="0.25">
      <c r="A77" t="str">
        <f>LLM!B77</f>
        <v>Bauer, P. J., Stweart, R., Sirkin, R. E., Larkina, M. (2017). Robust memory of where from way back when: evidence from behaviour and visual attention. Memory 25(8), 1089-1109.</v>
      </c>
      <c r="B77">
        <f>LLM!AA77</f>
        <v>80015040</v>
      </c>
      <c r="C77" s="63">
        <f>B77/(60*60*24*365)</f>
        <v>2.5372602739726027</v>
      </c>
      <c r="D77" s="63">
        <f>LLM!AM77</f>
        <v>-2.4988556565272876E-2</v>
      </c>
    </row>
    <row r="79" spans="1:4" x14ac:dyDescent="0.25">
      <c r="A79" t="str">
        <f>LLM!B79</f>
        <v>Bauer, P. J., Stweart, R., Sirkin, R. E., Larkina, M. (2017). Robust memory of where from way back when: evidence from behaviour and visual attention. Memory 25(8), 1089-1109.</v>
      </c>
      <c r="B79">
        <f>LLM!AA79</f>
        <v>80015040</v>
      </c>
      <c r="C79" s="63">
        <f>B79/(60*60*24*365)</f>
        <v>2.5372602739726027</v>
      </c>
      <c r="D79" s="63">
        <f>LLM!AM79</f>
        <v>-0.41544136809419413</v>
      </c>
    </row>
    <row r="81" spans="1:4" x14ac:dyDescent="0.25">
      <c r="A81" t="str">
        <f>LLM!B81</f>
        <v>Bauer, P. J., Stweart, R., Sirkin, R. E., Larkina, M. (2017). Robust memory of where from way back when: evidence from behaviour and visual attention. Memory 25(8), 1089-1109.</v>
      </c>
      <c r="B81">
        <f>LLM!AA81</f>
        <v>80015040</v>
      </c>
      <c r="C81" s="63">
        <f>B81/(60*60*24*365)</f>
        <v>2.5372602739726027</v>
      </c>
      <c r="D81" s="63">
        <f>LLM!AM81</f>
        <v>-0.17084918671938898</v>
      </c>
    </row>
    <row r="83" spans="1:4" x14ac:dyDescent="0.25">
      <c r="A83" t="str">
        <f>LLM!B83</f>
        <v>Bauer, P. J., Stweart, R., Sirkin, R. E., Larkina, M. (2017). Robust memory of where from way back when: evidence from behaviour and visual attention. Memory 25(8), 1089-1109.</v>
      </c>
      <c r="B83">
        <f>LLM!AA83</f>
        <v>80015040</v>
      </c>
      <c r="C83" s="63">
        <f>B83/(60*60*24*365)</f>
        <v>2.5372602739726027</v>
      </c>
      <c r="D83" s="63">
        <f>LLM!AM83</f>
        <v>-0.17899844858944491</v>
      </c>
    </row>
    <row r="85" spans="1:4" x14ac:dyDescent="0.25">
      <c r="A85" t="str">
        <f>LLM!B85</f>
        <v>Bauer, P. J., Stweart, R., Sirkin, R. E., Larkina, M. (2017). Robust memory of where from way back when: evidence from behaviour and visual attention. Memory 25(8), 1089-1109.</v>
      </c>
      <c r="B85">
        <f>LLM!AA85</f>
        <v>15992640</v>
      </c>
      <c r="C85" s="63">
        <f>B85/(60*60*24*365)</f>
        <v>0.50712328767123283</v>
      </c>
      <c r="D85" s="63">
        <f>LLM!AM85</f>
        <v>-2.4885337409498599E-2</v>
      </c>
    </row>
    <row r="87" spans="1:4" x14ac:dyDescent="0.25">
      <c r="A87" t="str">
        <f>LLM!B87</f>
        <v>Bauer, P. J., Stweart, R., Sirkin, R. E., Larkina, M. (2017). Robust memory of where from way back when: evidence from behaviour and visual attention. Memory 25(8), 1089-1109.</v>
      </c>
      <c r="B87">
        <f>LLM!AA87</f>
        <v>15992640</v>
      </c>
      <c r="C87" s="63">
        <f>B87/(60*60*24*365)</f>
        <v>0.50712328767123283</v>
      </c>
      <c r="D87" s="63">
        <f>LLM!AM87</f>
        <v>-0.23299301160884989</v>
      </c>
    </row>
    <row r="89" spans="1:4" x14ac:dyDescent="0.25">
      <c r="A89" t="str">
        <f>LLM!B89</f>
        <v>Bauer, P. J., Stweart, R., Sirkin, R. E., Larkina, M. (2017). Robust memory of where from way back when: evidence from behaviour and visual attention. Memory 25(8), 1089-1109.</v>
      </c>
      <c r="B89">
        <f>LLM!AA89</f>
        <v>15992640</v>
      </c>
      <c r="C89" s="63">
        <f>B89/(60*60*24*365)</f>
        <v>0.50712328767123283</v>
      </c>
      <c r="D89" s="63">
        <f>LLM!AM89</f>
        <v>-2.9353553163112629E-2</v>
      </c>
    </row>
    <row r="91" spans="1:4" x14ac:dyDescent="0.25">
      <c r="A91" t="str">
        <f>LLM!B91</f>
        <v>Bean, C. H. (1912). The Curve of Forgetting. Press of the New era printing Company.</v>
      </c>
      <c r="B91">
        <f>LLM!AA91</f>
        <v>2419200</v>
      </c>
      <c r="C91" s="63">
        <f>B91/(60*60*24*365)</f>
        <v>7.6712328767123292E-2</v>
      </c>
      <c r="D91" s="63">
        <f>LLM!AM91</f>
        <v>-5.4609784021250732E-2</v>
      </c>
    </row>
    <row r="93" spans="1:4" x14ac:dyDescent="0.25">
      <c r="A93" t="str">
        <f>LLM!B93</f>
        <v>Bean, C. H. (1912). The Curve of Forgetting. Press of the New era printing Company.</v>
      </c>
      <c r="B93">
        <f>LLM!AA93</f>
        <v>2419200</v>
      </c>
      <c r="C93" s="63">
        <f>B93/(60*60*24*365)</f>
        <v>7.6712328767123292E-2</v>
      </c>
      <c r="D93" s="63">
        <f>LLM!AM93</f>
        <v>-4.801418031946577E-2</v>
      </c>
    </row>
    <row r="95" spans="1:4" x14ac:dyDescent="0.25">
      <c r="A95" t="str">
        <f>LLM!B95</f>
        <v>Beatty, W. W., Goodkin, D. E., Monson, N., Beatty, P. A., &amp; Hertsgaard, D. (1988). Anterograde and retrograde amnesia in patients with chronic progressive multiple sclerosis. Archives of Neurology, 45(6), 611-619.</v>
      </c>
      <c r="B95">
        <f>LLM!AA95</f>
        <v>1356048000</v>
      </c>
      <c r="C95" s="63">
        <f>B95/(60*60*24*365)</f>
        <v>43</v>
      </c>
      <c r="D95" s="63">
        <f>LLM!AM95</f>
        <v>-4.1465481467406064E-2</v>
      </c>
    </row>
    <row r="97" spans="1:4" x14ac:dyDescent="0.25">
      <c r="A97" t="str">
        <f>LLM!B97</f>
        <v>Beatty, W. W., Goodkin, D. E., Monson, N., Beatty, P. A., &amp; Hertsgaard, D. (1988). Anterograde and retrograde amnesia in patients with chronic progressive multiple sclerosis. Archives of Neurology, 45(6), 611-619.</v>
      </c>
      <c r="B97">
        <f>LLM!AA97</f>
        <v>1356048000</v>
      </c>
      <c r="C97" s="63">
        <f>B97/(60*60*24*365)</f>
        <v>43</v>
      </c>
      <c r="D97" s="63">
        <f>LLM!AM97</f>
        <v>-3.7468316457231234E-2</v>
      </c>
    </row>
    <row r="99" spans="1:4" x14ac:dyDescent="0.25">
      <c r="A99" t="str">
        <f>LLM!B99</f>
        <v>Beatty, W. W., Salmon, D. P., Butters, N., Heindel, W. C., &amp; Granholm, E. L. (1988). Retrograde amnesia in patients with Alzheimer's disease or Huntington's disease. Neurobiology of aging, 9, 181-186.</v>
      </c>
      <c r="B99">
        <f>LLM!AA99</f>
        <v>1419120000</v>
      </c>
      <c r="C99" s="63">
        <f>B99/(60*60*24*365)</f>
        <v>45</v>
      </c>
      <c r="D99" s="63">
        <f>LLM!AM99</f>
        <v>-2.2348868169555933E-2</v>
      </c>
    </row>
    <row r="101" spans="1:4" x14ac:dyDescent="0.25">
      <c r="A101" t="str">
        <f>LLM!B101</f>
        <v>Beatty, W. W., Salmon, D. P., Butters, N., Heindel, W. C., &amp; Granholm, E. L. (1988). Retrograde amnesia in patients with Alzheimer's disease or Huntington's disease. Neurobiology of aging, 9, 181-186.</v>
      </c>
      <c r="B101">
        <f>LLM!AA101</f>
        <v>1419120000</v>
      </c>
      <c r="C101" s="63">
        <f>B101/(60*60*24*365)</f>
        <v>45</v>
      </c>
      <c r="D101" s="63">
        <f>LLM!AM101</f>
        <v>-4.2420096194482636E-2</v>
      </c>
    </row>
    <row r="103" spans="1:4" x14ac:dyDescent="0.25">
      <c r="A103" t="str">
        <f>LLM!B103</f>
        <v>Beatty, W. W., Salmon, D. P., Butters, N., Heindel, W. C., &amp; Granholm, E. L. (1988). Retrograde amnesia in patients with Alzheimer's disease or Huntington's disease. Neurobiology of aging, 9, 181-186.</v>
      </c>
      <c r="B103">
        <f>LLM!AA103</f>
        <v>1419120000</v>
      </c>
      <c r="C103" s="63">
        <f>B103/(60*60*24*365)</f>
        <v>45</v>
      </c>
      <c r="D103" s="63">
        <f>LLM!AM103</f>
        <v>-4.0101943635617227E-2</v>
      </c>
    </row>
    <row r="104" spans="1:4" x14ac:dyDescent="0.25">
      <c r="D104" s="63"/>
    </row>
    <row r="105" spans="1:4" x14ac:dyDescent="0.25">
      <c r="A105" t="str">
        <f>LLM!B105</f>
        <v>Bell, B. D. (2006). WMS-III logical memory performance after a two-week delay in temporal lobe epilepsy and control groups. Journal of Clinical and Experimental Neuropsychology, 28(8), 1435-1443.</v>
      </c>
      <c r="B105">
        <f>LLM!AA105</f>
        <v>1209600</v>
      </c>
      <c r="C105" s="63">
        <f>B105/(60*60*24*365)</f>
        <v>3.8356164383561646E-2</v>
      </c>
      <c r="D105" s="63">
        <f>LLM!AM105</f>
        <v>-5.2178222224896535E-2</v>
      </c>
    </row>
    <row r="106" spans="1:4" x14ac:dyDescent="0.25">
      <c r="D106" s="63"/>
    </row>
    <row r="107" spans="1:4" x14ac:dyDescent="0.25">
      <c r="A107" t="str">
        <f>LLM!B107</f>
        <v>Blake, R. V., Wroe, S. J., Breen, E. K., &amp; McCarthy, R. A. (2000). Accelerated forgetting in patients with epilepsy: evidence for an impairment in memory consolidation. Brain, 123(3), 472-483.</v>
      </c>
      <c r="B107">
        <f>LLM!AA107</f>
        <v>4838400</v>
      </c>
      <c r="C107" s="63">
        <f>B107/(60*60*24*365)</f>
        <v>0.15342465753424658</v>
      </c>
      <c r="D107" s="63">
        <f>LLM!AM107</f>
        <v>-4.5378230455479424E-2</v>
      </c>
    </row>
    <row r="109" spans="1:4" x14ac:dyDescent="0.25">
      <c r="A109" t="str">
        <f>LLM!B109</f>
        <v>Burt, C. D. B. (1992). Retrieval characteristics of autobiographical memories: event and date informatino. Applied Cognitive Psychology, 6, 389-404.</v>
      </c>
      <c r="B109">
        <f>LLM!AA109</f>
        <v>157680000</v>
      </c>
      <c r="C109" s="63">
        <f>B109/(60*60*24*365)</f>
        <v>5</v>
      </c>
      <c r="D109" s="63">
        <f>LLM!AM109</f>
        <v>-0.13838251656515202</v>
      </c>
    </row>
    <row r="111" spans="1:4" x14ac:dyDescent="0.25">
      <c r="A111" t="str">
        <f>LLM!B111</f>
        <v>Burtt, H., &amp; Dobell, E. (1925). The Curve of Forgetting for Advertising Material. Journal of Applied Psychology, 9, 5.</v>
      </c>
      <c r="B111">
        <f>LLM!AA111</f>
        <v>2419200</v>
      </c>
      <c r="C111" s="63">
        <f>B111/(60*60*24*365)</f>
        <v>7.6712328767123292E-2</v>
      </c>
      <c r="D111" s="63">
        <f>LLM!AM111</f>
        <v>-0.32312839514614783</v>
      </c>
    </row>
    <row r="113" spans="1:4" x14ac:dyDescent="0.25">
      <c r="A113" t="str">
        <f>LLM!B113</f>
        <v>Burtt, H., &amp; Dobell, E. (1925). The Curve of Forgetting for Advertising Material. Journal of Applied Psychology, 9, 5.</v>
      </c>
      <c r="B113">
        <f>LLM!AA113</f>
        <v>2419200</v>
      </c>
      <c r="C113" s="63">
        <f>B113/(60*60*24*365)</f>
        <v>7.6712328767123292E-2</v>
      </c>
      <c r="D113" s="63">
        <f>LLM!AM113</f>
        <v>-5.1742685667533234E-2</v>
      </c>
    </row>
    <row r="115" spans="1:4" x14ac:dyDescent="0.25">
      <c r="A115" t="str">
        <f>LLM!B115</f>
        <v>Burtt, H., &amp; Dobell, E. (1925). The Curve of Forgetting for Advertising Material. Journal of Applied Psychology, 9, 5.</v>
      </c>
      <c r="B115">
        <f>LLM!AA115</f>
        <v>2419200</v>
      </c>
      <c r="C115" s="63">
        <f>B115/(60*60*24*365)</f>
        <v>7.6712328767123292E-2</v>
      </c>
      <c r="D115" s="63">
        <f>LLM!AM115</f>
        <v>-2.837347748746365E-2</v>
      </c>
    </row>
    <row r="117" spans="1:4" x14ac:dyDescent="0.25">
      <c r="A117" t="str">
        <f>LLM!B117</f>
        <v>Burtt, H., &amp; Dobell, E. (1925). The Curve of Forgetting for Advertising Material. Journal of Applied Psychology, 9, 5.</v>
      </c>
      <c r="B117">
        <f>LLM!AA117</f>
        <v>2419200</v>
      </c>
      <c r="C117" s="63">
        <f>B117/(60*60*24*365)</f>
        <v>7.6712328767123292E-2</v>
      </c>
      <c r="D117" s="63">
        <f>LLM!AM117</f>
        <v>-0.76522659005749616</v>
      </c>
    </row>
    <row r="119" spans="1:4" x14ac:dyDescent="0.25">
      <c r="A119" t="str">
        <f>LLM!B119</f>
        <v>Burtt, H., &amp; Dobell, E. (1925). The Curve of Forgetting for Advertising Material. Journal of Applied Psychology, 9, 5.</v>
      </c>
      <c r="B119">
        <f>LLM!AA119</f>
        <v>2419200</v>
      </c>
      <c r="C119" s="63">
        <f>B119/(60*60*24*365)</f>
        <v>7.6712328767123292E-2</v>
      </c>
      <c r="D119" s="63">
        <f>LLM!AM119</f>
        <v>-4.13109173593613E-2</v>
      </c>
    </row>
    <row r="121" spans="1:4" x14ac:dyDescent="0.25">
      <c r="A121" t="str">
        <f>LLM!B121</f>
        <v>Burtt, H., &amp; Dobell, E. (1925). The Curve of Forgetting for Advertising Material. Journal of Applied Psychology, 9, 5.</v>
      </c>
      <c r="B121">
        <f>LLM!AA121</f>
        <v>2419200</v>
      </c>
      <c r="C121" s="63">
        <f>B121/(60*60*24*365)</f>
        <v>7.6712328767123292E-2</v>
      </c>
      <c r="D121" s="63">
        <f>LLM!AM121</f>
        <v>-0.1252567951266868</v>
      </c>
    </row>
    <row r="123" spans="1:4" x14ac:dyDescent="0.25">
      <c r="A123" t="str">
        <f>LLM!B123</f>
        <v>Burtt, H., &amp; Dobell, E. (1925). The Curve of Forgetting for Advertising Material. Journal of Applied Psychology, 9, 5.</v>
      </c>
      <c r="B123">
        <f>LLM!AA123</f>
        <v>2419200</v>
      </c>
      <c r="C123" s="63">
        <f>B123/(60*60*24*365)</f>
        <v>7.6712328767123292E-2</v>
      </c>
      <c r="D123" s="63">
        <f>LLM!AM123</f>
        <v>-0.66848613975194271</v>
      </c>
    </row>
    <row r="125" spans="1:4" x14ac:dyDescent="0.25">
      <c r="A125" t="str">
        <f>LLM!B125</f>
        <v>Burtt, H., &amp; Dobell, E. (1925). The Curve of Forgetting for Advertising Material. Journal of Applied Psychology, 9, 5.</v>
      </c>
      <c r="B125">
        <f>LLM!AA125</f>
        <v>2419200</v>
      </c>
      <c r="C125" s="63">
        <f>B125/(60*60*24*365)</f>
        <v>7.6712328767123292E-2</v>
      </c>
      <c r="D125" s="63">
        <f>LLM!AM125</f>
        <v>-3.2653784473412759E-2</v>
      </c>
    </row>
    <row r="127" spans="1:4" x14ac:dyDescent="0.25">
      <c r="A127" t="str">
        <f>LLM!B127</f>
        <v>Burtt, H., &amp; Dobell, E. (1925). The Curve of Forgetting for Advertising Material. Journal of Applied Psychology, 9, 5.</v>
      </c>
      <c r="B127">
        <f>LLM!AA127</f>
        <v>2419200</v>
      </c>
      <c r="C127" s="63">
        <f>B127/(60*60*24*365)</f>
        <v>7.6712328767123292E-2</v>
      </c>
      <c r="D127" s="63">
        <f>LLM!AM127</f>
        <v>-0.11001941854743814</v>
      </c>
    </row>
    <row r="128" spans="1:4" x14ac:dyDescent="0.25">
      <c r="D128" s="63"/>
    </row>
    <row r="129" spans="1:4" x14ac:dyDescent="0.25">
      <c r="A129" t="str">
        <f>LLM!B129</f>
        <v>Butler, C. R., Graham, K. S., Hodges, J. R., Kapur, N., Wardlaw, J. M., &amp; Zeman, A. Z. (2007). The syndrome of transient epileptic amnesia. Annals of Neurology, 61(6), 587-598.</v>
      </c>
      <c r="B129">
        <f>LLM!AA129</f>
        <v>1814400</v>
      </c>
      <c r="C129" s="63">
        <f>B129/(60*60*24*365)</f>
        <v>5.7534246575342465E-2</v>
      </c>
      <c r="D129" s="63">
        <f>LLM!AM129</f>
        <v>-4.2949077420221644E-2</v>
      </c>
    </row>
    <row r="130" spans="1:4" x14ac:dyDescent="0.25">
      <c r="D130" s="63"/>
    </row>
    <row r="131" spans="1:4" x14ac:dyDescent="0.25">
      <c r="A131" t="str">
        <f>LLM!B131</f>
        <v>Butler, C. R., Graham, K. S., Hodges, J. R., Kapur, N., Wardlaw, J. M., &amp; Zeman, A. Z. (2007). The syndrome of transient epileptic amnesia. Annals of Neurology, 61(6), 587-598.</v>
      </c>
      <c r="B131">
        <f>LLM!AA131</f>
        <v>1814400</v>
      </c>
      <c r="C131" s="63">
        <f>B131/(60*60*24*365)</f>
        <v>5.7534246575342465E-2</v>
      </c>
      <c r="D131" s="63">
        <f>LLM!AM131</f>
        <v>-3.2331142164548875E-2</v>
      </c>
    </row>
    <row r="133" spans="1:4" x14ac:dyDescent="0.25">
      <c r="A133" t="str">
        <f>LLM!B133</f>
        <v xml:space="preserve">Carpenter, S. K., Pashler, H., Wixted, J. T., &amp; Vul, E. (2008). The effects of tests on learning and forgetting. Memory and Cognition, 36(2), 438-448.
</v>
      </c>
      <c r="B133">
        <f>LLM!AA133</f>
        <v>3628800</v>
      </c>
      <c r="C133" s="63">
        <f>B133/(60*60*24*365)</f>
        <v>0.11506849315068493</v>
      </c>
      <c r="D133" s="63">
        <f>LLM!AM133</f>
        <v>-9.1587453005604905E-2</v>
      </c>
    </row>
    <row r="135" spans="1:4" x14ac:dyDescent="0.25">
      <c r="A135" t="str">
        <f>LLM!B135</f>
        <v xml:space="preserve">Carpenter, S. K., Pashler, H., Wixted, J. T., &amp; Vul, E. (2008). The effects of tests on learning and forgetting. Memory and Cognition, 36(2), 438-448.
</v>
      </c>
      <c r="B135">
        <f>LLM!AA135</f>
        <v>3628800</v>
      </c>
      <c r="C135" s="63">
        <f>B135/(60*60*24*365)</f>
        <v>0.11506849315068493</v>
      </c>
      <c r="D135" s="63">
        <f>LLM!AM135</f>
        <v>-0.10246268954207854</v>
      </c>
    </row>
    <row r="137" spans="1:4" x14ac:dyDescent="0.25">
      <c r="A137" t="str">
        <f>LLM!B137</f>
        <v xml:space="preserve">Carpenter, S. K., Pashler, H., Wixted, J. T., &amp; Vul, E. (2008). The effects of tests on learning and forgetting. Memory and Cognition, 36(2), 438-448.
</v>
      </c>
      <c r="B137">
        <f>LLM!AA137</f>
        <v>3628800</v>
      </c>
      <c r="C137" s="63">
        <f>B137/(60*60*24*365)</f>
        <v>0.11506849315068493</v>
      </c>
      <c r="D137" s="63">
        <f>LLM!AM137</f>
        <v>-6.7845954926792254E-2</v>
      </c>
    </row>
    <row r="139" spans="1:4" x14ac:dyDescent="0.25">
      <c r="A139" t="str">
        <f>LLM!B139</f>
        <v xml:space="preserve">Carpenter, S. K., Pashler, H., Wixted, J. T., &amp; Vul, E. (2008). The effects of tests on learning and forgetting. Memory and Cognition, 36(2), 438-448.
</v>
      </c>
      <c r="B139">
        <f>LLM!AA139</f>
        <v>3628800</v>
      </c>
      <c r="C139" s="63">
        <f>B139/(60*60*24*365)</f>
        <v>0.11506849315068493</v>
      </c>
      <c r="D139" s="63">
        <f>LLM!AM139</f>
        <v>-8.297968446750012E-2</v>
      </c>
    </row>
    <row r="141" spans="1:4" x14ac:dyDescent="0.25">
      <c r="A141" t="str">
        <f>LLM!B141</f>
        <v xml:space="preserve">Carpenter, S. K., Pashler, H., Wixted, J. T., &amp; Vul, E. (2008). The effects of tests on learning and forgetting. Memory and Cognition, 36(2), 438-448.
</v>
      </c>
      <c r="B141">
        <f>LLM!AA141</f>
        <v>3628800</v>
      </c>
      <c r="C141" s="63">
        <f>B141/(60*60*24*365)</f>
        <v>0.11506849315068493</v>
      </c>
      <c r="D141" s="63">
        <f>LLM!AM141</f>
        <v>-0.11189128699965727</v>
      </c>
    </row>
    <row r="143" spans="1:4" x14ac:dyDescent="0.25">
      <c r="A143" t="str">
        <f>LLM!B143</f>
        <v xml:space="preserve">Carpenter, S. K., Pashler, H., Wixted, J. T., &amp; Vul, E. (2008). The effects of tests on learning and forgetting. Memory and Cognition, 36(2), 438-448.
</v>
      </c>
      <c r="B143">
        <f>LLM!AA143</f>
        <v>3628800</v>
      </c>
      <c r="C143" s="63">
        <f>B143/(60*60*24*365)</f>
        <v>0.11506849315068493</v>
      </c>
      <c r="D143" s="63">
        <f>LLM!AM143</f>
        <v>-0.12166290531877358</v>
      </c>
    </row>
    <row r="145" spans="1:4" x14ac:dyDescent="0.25">
      <c r="A145" t="str">
        <f>LLM!B145</f>
        <v>Catal, L. L. &amp; Fitzgerald, J. M. (2004). Autobiographical memories in two older adults over a twenty-year retention interval. Memory &amp; Cognition, 32(2), 311-323.</v>
      </c>
      <c r="B145">
        <f>LLM!AA145</f>
        <v>599184000</v>
      </c>
      <c r="C145" s="63">
        <f>B145/(60*60*24*365)</f>
        <v>19</v>
      </c>
      <c r="D145" s="63">
        <f>LLM!AM145</f>
        <v>-0.11051762327997081</v>
      </c>
    </row>
    <row r="147" spans="1:4" x14ac:dyDescent="0.25">
      <c r="A147" t="str">
        <f>LLM!B147</f>
        <v>Catal, L. L. &amp; Fitzgerald, J. M. (2004). Autobiographical memories in two older adults over a twenty-year retention interval. Memory &amp; Cognition, 32(2), 311-323.</v>
      </c>
      <c r="B147">
        <f>LLM!AA147</f>
        <v>599184000</v>
      </c>
      <c r="C147" s="63">
        <f>B147/(60*60*24*365)</f>
        <v>19</v>
      </c>
      <c r="D147" s="63">
        <f>LLM!AM147</f>
        <v>-0.16375524329559488</v>
      </c>
    </row>
    <row r="149" spans="1:4" x14ac:dyDescent="0.25">
      <c r="A149" t="str">
        <f>LLM!B149</f>
        <v>Cepeda, N., Vul, E., Rohrer, D., Wixted, J., &amp; Pashler, H. (2008). Spacing Effects in Learning: A Temporal Ridgeline of Optimal Retention. Psychological Science, 19(11), 1095-1102.</v>
      </c>
      <c r="B149">
        <f>LLM!AA149</f>
        <v>30240000</v>
      </c>
      <c r="C149" s="63">
        <f>B149/(60*60*24*365)</f>
        <v>0.95890410958904104</v>
      </c>
      <c r="D149" s="63">
        <f>LLM!AM149</f>
        <v>-0.52076175220920773</v>
      </c>
    </row>
    <row r="151" spans="1:4" x14ac:dyDescent="0.25">
      <c r="A151" t="str">
        <f>LLM!B151</f>
        <v>Cepeda, N., Vul, E., Rohrer, D., Wixted, J., &amp; Pashler, H. (2008). Spacing Effects in Learning: A Temporal Ridgeline of Optimal Retention. Psychological Science, 19(11), 1095-1102.</v>
      </c>
      <c r="B151">
        <f>LLM!AA151</f>
        <v>30240000</v>
      </c>
      <c r="C151" s="63">
        <f>B151/(60*60*24*365)</f>
        <v>0.95890410958904104</v>
      </c>
      <c r="D151" s="63">
        <f>LLM!AM151</f>
        <v>-0.5214112085031487</v>
      </c>
    </row>
    <row r="153" spans="1:4" x14ac:dyDescent="0.25">
      <c r="A153" t="str">
        <f>LLM!B153</f>
        <v>Cepeda, N., Vul, E., Rohrer, D., Wixted, J., &amp; Pashler, H. (2008). Spacing Effects in Learning: A Temporal Ridgeline of Optimal Retention. Psychological Science, 19(11), 1095-1102.</v>
      </c>
      <c r="B153">
        <f>LLM!AA153</f>
        <v>30240000</v>
      </c>
      <c r="C153" s="63">
        <f>B153/(60*60*24*365)</f>
        <v>0.95890410958904104</v>
      </c>
      <c r="D153" s="63">
        <f>LLM!AM153</f>
        <v>-0.46937964364704871</v>
      </c>
    </row>
    <row r="155" spans="1:4" x14ac:dyDescent="0.25">
      <c r="A155" t="str">
        <f>LLM!B155</f>
        <v>Cepeda, N., Vul, E., Rohrer, D., Wixted, J., &amp; Pashler, H. (2008). Spacing Effects in Learning: A Temporal Ridgeline of Optimal Retention. Psychological Science, 19(11), 1095-1102.</v>
      </c>
      <c r="B155">
        <f>LLM!AA155</f>
        <v>30240000</v>
      </c>
      <c r="C155" s="63">
        <f>B155/(60*60*24*365)</f>
        <v>0.95890410958904104</v>
      </c>
      <c r="D155" s="63">
        <f>LLM!AM155</f>
        <v>-0.3585661426719528</v>
      </c>
    </row>
    <row r="157" spans="1:4" x14ac:dyDescent="0.25">
      <c r="A157" t="str">
        <f>LLM!B157</f>
        <v>Cepeda, N., Vul, E., Rohrer, D., Wixted, J., &amp; Pashler, H. (2008). Spacing Effects in Learning: A Temporal Ridgeline of Optimal Retention. Psychological Science, 19(11), 1095-1102.</v>
      </c>
      <c r="B157">
        <f>LLM!AA157</f>
        <v>30240000</v>
      </c>
      <c r="C157" s="63">
        <f>B157/(60*60*24*365)</f>
        <v>0.95890410958904104</v>
      </c>
      <c r="D157" s="63">
        <f>LLM!AM157</f>
        <v>-0.45072171241934289</v>
      </c>
    </row>
    <row r="159" spans="1:4" x14ac:dyDescent="0.25">
      <c r="A159" t="str">
        <f>LLM!B159</f>
        <v>Cepeda, N., Vul, E., Rohrer, D., Wixted, J., &amp; Pashler, H. (2008). Spacing Effects in Learning: A Temporal Ridgeline of Optimal Retention. Psychological Science, 19(11), 1095-1102.</v>
      </c>
      <c r="B159">
        <f>LLM!AA159</f>
        <v>30240000</v>
      </c>
      <c r="C159" s="63">
        <f>B159/(60*60*24*365)</f>
        <v>0.95890410958904104</v>
      </c>
      <c r="D159" s="63">
        <f>LLM!AM159</f>
        <v>-0.21610621913419623</v>
      </c>
    </row>
    <row r="161" spans="1:4" x14ac:dyDescent="0.25">
      <c r="A161" t="str">
        <f>LLM!B161</f>
        <v>Cepeda, N., Vul, E., Rohrer, D., Wixted, J., &amp; Pashler, H. (2008). Spacing Effects in Learning: A Temporal Ridgeline of Optimal Retention. Psychological Science, 19(11), 1095-1102.</v>
      </c>
      <c r="B161">
        <f>LLM!AA161</f>
        <v>30240000</v>
      </c>
      <c r="C161" s="63">
        <f>B161/(60*60*24*365)</f>
        <v>0.95890410958904104</v>
      </c>
      <c r="D161" s="63">
        <f>LLM!AM161</f>
        <v>-0.19642734384411326</v>
      </c>
    </row>
    <row r="163" spans="1:4" x14ac:dyDescent="0.25">
      <c r="A163" t="str">
        <f>LLM!B163</f>
        <v>Cepeda, N., Vul, E., Rohrer, D., Wixted, J., &amp; Pashler, H. (2008). Spacing Effects in Learning: A Temporal Ridgeline of Optimal Retention. Psychological Science, 19(11), 1095-1102.</v>
      </c>
      <c r="B163">
        <f>LLM!AA163</f>
        <v>30240000</v>
      </c>
      <c r="C163" s="63">
        <f>B163/(60*60*24*365)</f>
        <v>0.95890410958904104</v>
      </c>
      <c r="D163" s="63">
        <f>LLM!AM163</f>
        <v>-0.14161603336344145</v>
      </c>
    </row>
    <row r="165" spans="1:4" x14ac:dyDescent="0.25">
      <c r="A165" t="str">
        <f>LLM!B165</f>
        <v>Cepeda, N., Vul, E., Rohrer, D., Wixted, J., &amp; Pashler, H. (2008). Spacing Effects in Learning: A Temporal Ridgeline of Optimal Retention. Psychological Science, 19(11), 1095-1102.</v>
      </c>
      <c r="B165">
        <f>LLM!AA165</f>
        <v>30240000</v>
      </c>
      <c r="C165" s="63">
        <f>B165/(60*60*24*365)</f>
        <v>0.95890410958904104</v>
      </c>
      <c r="D165" s="63">
        <f>LLM!AM165</f>
        <v>-9.134301524438973E-2</v>
      </c>
    </row>
    <row r="167" spans="1:4" x14ac:dyDescent="0.25">
      <c r="A167" t="str">
        <f>LLM!B167</f>
        <v>Cepeda, N., Vul, E., Rohrer, D., Wixted, J., &amp; Pashler, H. (2008). Spacing Effects in Learning: A Temporal Ridgeline of Optimal Retention. Psychological Science, 19(11), 1095-1102.</v>
      </c>
      <c r="B167">
        <f>LLM!AA167</f>
        <v>30240000</v>
      </c>
      <c r="C167" s="63">
        <f>B167/(60*60*24*365)</f>
        <v>0.95890410958904104</v>
      </c>
      <c r="D167" s="63">
        <f>LLM!AM167</f>
        <v>-0.15656389100607182</v>
      </c>
    </row>
    <row r="169" spans="1:4" x14ac:dyDescent="0.25">
      <c r="A169" t="str">
        <f>LLM!B169</f>
        <v>Cepeda, N. J., Coburn, N., Rohrer, D., Wixted, J. T., Mozer, M. C., &amp; Pashler, H. (2009). Optimizing distributed practice: Theoretical analysis and practical implications. Experimental Psychology, 56(4), 236-246.</v>
      </c>
      <c r="B169">
        <f>LLM!AA169</f>
        <v>1209600</v>
      </c>
      <c r="C169" s="63">
        <f>B169/(60*60*24*365)</f>
        <v>3.8356164383561646E-2</v>
      </c>
      <c r="D169" s="63">
        <f>LLM!AM169</f>
        <v>-0.11253363439233544</v>
      </c>
    </row>
    <row r="171" spans="1:4" x14ac:dyDescent="0.25">
      <c r="A171" t="str">
        <f>LLM!B171</f>
        <v>Cepeda, N. J., Coburn, N., Rohrer, D., Wixted, J. T., Mozer, M. C., &amp; Pashler, H. (2009). Optimizing distributed practice: Theoretical analysis and practical implications. Experimental Psychology, 56(4), 236-246.</v>
      </c>
      <c r="B171">
        <f>LLM!AA171</f>
        <v>14515200</v>
      </c>
      <c r="C171" s="63">
        <f>B171/(60*60*24*365)</f>
        <v>0.46027397260273972</v>
      </c>
      <c r="D171" s="63">
        <f>LLM!AM171</f>
        <v>-0.12863423140777697</v>
      </c>
    </row>
    <row r="173" spans="1:4" x14ac:dyDescent="0.25">
      <c r="A173" t="str">
        <f>LLM!B173</f>
        <v>Cepeda, N. J., Coburn, N., Rohrer, D., Wixted, J. T., Mozer, M. C., &amp; Pashler, H. (2009). Optimizing distributed practice: Theoretical analysis and practical implications. Experimental Psychology, 56(4), 236-246.</v>
      </c>
      <c r="B173">
        <f>LLM!AA173</f>
        <v>14515200</v>
      </c>
      <c r="C173" s="63">
        <f>B173/(60*60*24*365)</f>
        <v>0.46027397260273972</v>
      </c>
      <c r="D173" s="63">
        <f>LLM!AM173</f>
        <v>-0.2416812154323445</v>
      </c>
    </row>
    <row r="175" spans="1:4" x14ac:dyDescent="0.25">
      <c r="A175" t="str">
        <f>LLM!B175</f>
        <v>Cermak, L. S., &amp; O'Connor, M. (1983). The anterograde and retrograde retrieval ability of a patient with amnesia due to encephalitis. Neuropsychologia, 21(3), 213-234.</v>
      </c>
      <c r="B175">
        <f>LLM!AA175</f>
        <v>1419120000</v>
      </c>
      <c r="C175" s="63">
        <f>B175/(60*60*24*365)</f>
        <v>45</v>
      </c>
      <c r="D175" s="63">
        <v>-2.6747660098469152E-2</v>
      </c>
    </row>
    <row r="177" spans="1:4" x14ac:dyDescent="0.25">
      <c r="A177" t="str">
        <f>LLM!B177</f>
        <v>Cohen, N. J., &amp; Squire, L. R. (1981). Retrograde amnesia and remote memory impairment. Neuropsychologia, 19(3), 337-356.</v>
      </c>
      <c r="B177">
        <f>LLM!AA177</f>
        <v>1103760000</v>
      </c>
      <c r="C177" s="63">
        <f>B177/(60*60*24*365)</f>
        <v>35</v>
      </c>
      <c r="D177" s="63">
        <f>LLM!AM177</f>
        <v>-9.9130471757127095E-2</v>
      </c>
    </row>
    <row r="179" spans="1:4" x14ac:dyDescent="0.25">
      <c r="A179" t="str">
        <f>LLM!B179</f>
        <v>Cohen, N. J., &amp; Squire, L. R. (1981). Retrograde amnesia and remote memory impairment. Neuropsychologia, 19(3), 337-356.</v>
      </c>
      <c r="B179">
        <f>LLM!AA179</f>
        <v>1103760000</v>
      </c>
      <c r="C179" s="63">
        <f>B179/(60*60*24*365)</f>
        <v>35</v>
      </c>
      <c r="D179" s="63">
        <f>LLM!AM179</f>
        <v>-1.3160977738390256E-2</v>
      </c>
    </row>
    <row r="181" spans="1:4" x14ac:dyDescent="0.25">
      <c r="A181" t="str">
        <f>LLM!B181</f>
        <v>Cohen, N. J., &amp; Squire, L. R. (1981). Retrograde amnesia and remote memory impairment. Neuropsychologia, 19(3), 337-356.</v>
      </c>
      <c r="B181">
        <f>LLM!AA181</f>
        <v>1419120000</v>
      </c>
      <c r="C181" s="63">
        <f>B181/(60*60*24*365)</f>
        <v>45</v>
      </c>
      <c r="D181" s="63">
        <f>LLM!AM181</f>
        <v>-0.12458176230171633</v>
      </c>
    </row>
    <row r="183" spans="1:4" x14ac:dyDescent="0.25">
      <c r="A183" t="str">
        <f>LLM!B183</f>
        <v xml:space="preserve">Conway, M. A., Cohen, G., &amp; Stanhope, N. (1991). On the very long-term retention of knowledge acquired through formal education: Twelve years of cognitive psychology. Journal of Experimental Psychology: General, 120(4), 395-409.
</v>
      </c>
      <c r="B183">
        <f>LLM!AA183</f>
        <v>330912000</v>
      </c>
      <c r="C183" s="63">
        <f>B183/(60*60*24*365)</f>
        <v>10.493150684931507</v>
      </c>
      <c r="D183" s="63">
        <f>LLM!AM183</f>
        <v>-6.2716517678125278E-2</v>
      </c>
    </row>
    <row r="185" spans="1:4" x14ac:dyDescent="0.25">
      <c r="A185" t="str">
        <f>LLM!B185</f>
        <v xml:space="preserve">Conway, M. A., Cohen, G., &amp; Stanhope, N. (1991). On the very long-term retention of knowledge acquired through formal education: Twelve years of cognitive psychology. Journal of Experimental Psychology: General, 120(4), 395-409.
</v>
      </c>
      <c r="B185">
        <f>LLM!AA185</f>
        <v>330912000</v>
      </c>
      <c r="C185" s="63">
        <f>B185/(60*60*24*365)</f>
        <v>10.493150684931507</v>
      </c>
      <c r="D185" s="63">
        <f>LLM!AM185</f>
        <v>-5.9485316904957383E-2</v>
      </c>
    </row>
    <row r="187" spans="1:4" x14ac:dyDescent="0.25">
      <c r="A187" t="str">
        <f>LLM!B187</f>
        <v xml:space="preserve">Conway, M. A., Cohen, G., &amp; Stanhope, N. (1991). On the very long-term retention of knowledge acquired through formal education: Twelve years of cognitive psychology. Journal of Experimental Psychology: General, 120(4), 395-409.
</v>
      </c>
      <c r="B187">
        <f>LLM!AA187</f>
        <v>330912000</v>
      </c>
      <c r="C187" s="63">
        <f>B187/(60*60*24*365)</f>
        <v>10.493150684931507</v>
      </c>
      <c r="D187" s="63">
        <f>LLM!AM187</f>
        <v>-0.24881822357505426</v>
      </c>
    </row>
    <row r="189" spans="1:4" x14ac:dyDescent="0.25">
      <c r="A189" t="str">
        <f>LLM!B189</f>
        <v xml:space="preserve">Conway, M. A., Cohen, G., &amp; Stanhope, N. (1991). On the very long-term retention of knowledge acquired through formal education: Twelve years of cognitive psychology. Journal of Experimental Psychology: General, 120(4), 395-409.
</v>
      </c>
      <c r="B189">
        <f>LLM!AA189</f>
        <v>330912000</v>
      </c>
      <c r="C189" s="63">
        <f>B189/(60*60*24*365)</f>
        <v>10.493150684931507</v>
      </c>
      <c r="D189" s="63">
        <f>LLM!AM189</f>
        <v>-0.15770156066902088</v>
      </c>
    </row>
    <row r="191" spans="1:4" x14ac:dyDescent="0.25">
      <c r="A191" t="str">
        <f>LLM!B191</f>
        <v>Courtois, M. R., &amp; Mueller, J. H. (1981). Target and distractor typicality in facial recognition. Journal of Applied Psychology, 66(5), 639-645.</v>
      </c>
      <c r="B191">
        <f>LLM!AA191</f>
        <v>2419200</v>
      </c>
      <c r="C191" s="63">
        <f>B191/(60*60*24*365)</f>
        <v>7.6712328767123292E-2</v>
      </c>
      <c r="D191" s="63">
        <f>LLM!AM191</f>
        <v>-2.2743344529909733E-2</v>
      </c>
    </row>
    <row r="193" spans="1:4" x14ac:dyDescent="0.25">
      <c r="A193" t="str">
        <f>LLM!B193</f>
        <v>Courtois, M. R., &amp; Mueller, J. H. (1981). Target and distractor typicality in facial recognition. Journal of Applied Psychology, 66(5), 639-645.</v>
      </c>
      <c r="B193">
        <f>LLM!AA193</f>
        <v>2419200</v>
      </c>
      <c r="C193" s="63">
        <f>B193/(60*60*24*365)</f>
        <v>7.6712328767123292E-2</v>
      </c>
      <c r="D193" s="63">
        <f>LLM!AM193</f>
        <v>-1.553238468963266E-2</v>
      </c>
    </row>
    <row r="195" spans="1:4" x14ac:dyDescent="0.25">
      <c r="A195" t="str">
        <f>LLM!B195</f>
        <v>Courtois, M. R., &amp; Mueller, J. H. (1981). Target and distractor typicality in facial recognition. Journal of Applied Psychology, 66(5), 639-645.</v>
      </c>
      <c r="B195">
        <f>LLM!AA195</f>
        <v>2419200</v>
      </c>
      <c r="C195" s="63">
        <f>B195/(60*60*24*365)</f>
        <v>7.6712328767123292E-2</v>
      </c>
      <c r="D195" s="63">
        <f>LLM!AM195</f>
        <v>-1.8480787588194606E-2</v>
      </c>
    </row>
    <row r="197" spans="1:4" x14ac:dyDescent="0.25">
      <c r="A197" t="str">
        <f>LLM!B197</f>
        <v>Courtois, M. R., &amp; Mueller, J. H. (1981). Target and distractor typicality in facial recognition. Journal of Applied Psychology, 66(5), 639-645.</v>
      </c>
      <c r="B197">
        <f>LLM!AA197</f>
        <v>2419200</v>
      </c>
      <c r="C197" s="63">
        <f>B197/(60*60*24*365)</f>
        <v>7.6712328767123292E-2</v>
      </c>
      <c r="D197" s="63">
        <f>LLM!AM197</f>
        <v>-1.0679510028953815E-2</v>
      </c>
    </row>
    <row r="199" spans="1:4" x14ac:dyDescent="0.25">
      <c r="A199" t="str">
        <f>LLM!B199</f>
        <v>Craig, C., Sternthal, B., &amp; Olshan, K. (1972). The effect of overlearning on retention. Journal of General Psychology, 87, 85.</v>
      </c>
      <c r="B199">
        <f>LLM!AA199</f>
        <v>2419200</v>
      </c>
      <c r="C199" s="63">
        <f>B199/(60*60*24*365)</f>
        <v>7.6712328767123292E-2</v>
      </c>
      <c r="D199" s="63">
        <f>LLM!AM199</f>
        <v>-0.10015218682287769</v>
      </c>
    </row>
    <row r="201" spans="1:4" x14ac:dyDescent="0.25">
      <c r="A201" t="str">
        <f>LLM!B201</f>
        <v>Craig, C., Sternthal, B., &amp; Olshan, K. (1972). The effect of overlearning on retention. Journal of General Psychology, 87, 85.</v>
      </c>
      <c r="B201">
        <f>LLM!AA201</f>
        <v>2419200</v>
      </c>
      <c r="C201" s="63">
        <f>B201/(60*60*24*365)</f>
        <v>7.6712328767123292E-2</v>
      </c>
      <c r="D201" s="63">
        <f>LLM!AM201</f>
        <v>-6.2836858409418064E-2</v>
      </c>
    </row>
    <row r="203" spans="1:4" x14ac:dyDescent="0.25">
      <c r="A203" t="str">
        <f>LLM!B203</f>
        <v>Craig, C., Sternthal, B., &amp; Olshan, K. (1972). The effect of overlearning on retention. Journal of General Psychology, 87, 85.</v>
      </c>
      <c r="B203">
        <f>LLM!AA203</f>
        <v>2419200</v>
      </c>
      <c r="C203" s="63">
        <f>B203/(60*60*24*365)</f>
        <v>7.6712328767123292E-2</v>
      </c>
      <c r="D203" s="63">
        <f>LLM!AM203</f>
        <v>-6.6866453136152262E-2</v>
      </c>
    </row>
    <row r="204" spans="1:4" x14ac:dyDescent="0.25">
      <c r="D204" s="63"/>
    </row>
    <row r="205" spans="1:4" x14ac:dyDescent="0.25">
      <c r="A205" t="str">
        <f>LLM!B205</f>
        <v>Cronel-Ohayon, S., Zesiger, P., Davidoff, V., Boni, A., Roulet, E., &amp; Deonna, T. (2006). Deficit in memory consolidation (abnormal forgetting rate) in childhood temporal lobe epilepsy. Pre and postoperative long-term observation. Neuropediatrics, 37(06), 317-324.</v>
      </c>
      <c r="B205">
        <f>LLM!AA205</f>
        <v>2505600</v>
      </c>
      <c r="C205" s="63">
        <f>B205/(60*60*24*365)</f>
        <v>7.9452054794520555E-2</v>
      </c>
      <c r="D205" s="63">
        <f>LLM!AM205</f>
        <v>-5.9415478397388574E-2</v>
      </c>
    </row>
    <row r="206" spans="1:4" x14ac:dyDescent="0.25">
      <c r="D206" s="63"/>
    </row>
    <row r="207" spans="1:4" x14ac:dyDescent="0.25">
      <c r="A207" t="str">
        <f>LLM!B207</f>
        <v>Cronel-Ohayon, S., Zesiger, P., Davidoff, V., Boni, A., Roulet, E., &amp; Deonna, T. (2006). Deficit in memory consolidation (abnormal forgetting rate) in childhood temporal lobe epilepsy. Pre and postoperative long-term observation. Neuropediatrics, 37(06), 317-324.</v>
      </c>
      <c r="B207">
        <f>LLM!AA207</f>
        <v>2505600</v>
      </c>
      <c r="C207" s="63">
        <f>B207/(60*60*24*365)</f>
        <v>7.9452054794520555E-2</v>
      </c>
      <c r="D207" s="63">
        <f>LLM!AM207</f>
        <v>-3.3316891270817953E-2</v>
      </c>
    </row>
    <row r="208" spans="1:4" x14ac:dyDescent="0.25">
      <c r="D208" s="63"/>
    </row>
    <row r="209" spans="1:4" x14ac:dyDescent="0.25">
      <c r="A209" t="str">
        <f>LLM!B209</f>
        <v>Cronel-Ohayon, S., Zesiger, P., Davidoff, V., Boni, A., Roulet, E., &amp; Deonna, T. (2006). Deficit in memory consolidation (abnormal forgetting rate) in childhood temporal lobe epilepsy. Pre and postoperative long-term observation. Neuropediatrics, 37(06), 317-324.</v>
      </c>
      <c r="B209">
        <f>LLM!AA209</f>
        <v>2505600</v>
      </c>
      <c r="C209" s="63">
        <f>B209/(60*60*24*365)</f>
        <v>7.9452054794520555E-2</v>
      </c>
      <c r="D209" s="63">
        <f>LLM!AM209</f>
        <v>-6.4390400558397884E-2</v>
      </c>
    </row>
    <row r="210" spans="1:4" x14ac:dyDescent="0.25">
      <c r="D210" s="63"/>
    </row>
    <row r="211" spans="1:4" x14ac:dyDescent="0.25">
      <c r="A211" t="str">
        <f>LLM!B211</f>
        <v>Cronel-Ohayon, S., Zesiger, P., Davidoff, V., Boni, A., Roulet, E., &amp; Deonna, T. (2006). Deficit in memory consolidation (abnormal forgetting rate) in childhood temporal lobe epilepsy. Pre and postoperative long-term observation. Neuropediatrics, 37(06), 317-324.</v>
      </c>
      <c r="B211">
        <f>LLM!AA211</f>
        <v>2505600</v>
      </c>
      <c r="C211" s="63">
        <f>B211/(60*60*24*365)</f>
        <v>7.9452054794520555E-2</v>
      </c>
      <c r="D211" s="63">
        <f>LLM!AM211</f>
        <v>-3.5254086548973502E-3</v>
      </c>
    </row>
    <row r="212" spans="1:4" x14ac:dyDescent="0.25">
      <c r="D212" s="63"/>
    </row>
    <row r="213" spans="1:4" x14ac:dyDescent="0.25">
      <c r="A213" t="str">
        <f>LLM!B213</f>
        <v>Cronel-Ohayon, S., Zesiger, P., Davidoff, V., Boni, A., Roulet, E., &amp; Deonna, T. (2006). Deficit in memory consolidation (abnormal forgetting rate) in childhood temporal lobe epilepsy. Pre and postoperative long-term observation. Neuropediatrics, 37(06), 317-324.</v>
      </c>
      <c r="B213">
        <f>LLM!AA213</f>
        <v>2505600</v>
      </c>
      <c r="C213" s="63">
        <f>B213/(60*60*24*365)</f>
        <v>7.9452054794520555E-2</v>
      </c>
      <c r="D213" s="63">
        <f>LLM!AM213</f>
        <v>-1.6513926157402267E-2</v>
      </c>
    </row>
    <row r="215" spans="1:4" x14ac:dyDescent="0.25">
      <c r="A215" t="str">
        <f>LLM!B215</f>
        <v>Doolen &amp; Radvansky (2020). Novel 1</v>
      </c>
      <c r="B215">
        <f>LLM!AA215</f>
        <v>236520000</v>
      </c>
      <c r="C215" s="63">
        <f>B215/(60*60*24*365)</f>
        <v>7.5</v>
      </c>
      <c r="D215" s="63">
        <f>LLM!AM215</f>
        <v>-0.12632832890763682</v>
      </c>
    </row>
    <row r="217" spans="1:4" x14ac:dyDescent="0.25">
      <c r="A217" t="str">
        <f>LLM!B217</f>
        <v>Doolen &amp; Radvansky (2020). Novel 1</v>
      </c>
      <c r="B217">
        <f>LLM!AA217</f>
        <v>236520000</v>
      </c>
      <c r="C217" s="63">
        <f>B217/(60*60*24*365)</f>
        <v>7.5</v>
      </c>
      <c r="D217" s="63">
        <f>LLM!AM217</f>
        <v>-0.21741765996869467</v>
      </c>
    </row>
    <row r="219" spans="1:4" x14ac:dyDescent="0.25">
      <c r="A219" t="str">
        <f>LLM!B219</f>
        <v>Doolen &amp; Radvansky (2020). Novel 1</v>
      </c>
      <c r="B219">
        <f>LLM!AA219</f>
        <v>236520000</v>
      </c>
      <c r="C219" s="63">
        <f>B219/(60*60*24*365)</f>
        <v>7.5</v>
      </c>
      <c r="D219" s="63">
        <f>LLM!AM219</f>
        <v>-0.15112086460236174</v>
      </c>
    </row>
    <row r="221" spans="1:4" x14ac:dyDescent="0.25">
      <c r="A221" t="str">
        <f>LLM!B221</f>
        <v>Doolen &amp; Radvansky (2020). Novel 1</v>
      </c>
      <c r="B221">
        <f>LLM!AA221</f>
        <v>236520000</v>
      </c>
      <c r="C221" s="63">
        <f>B221/(60*60*24*365)</f>
        <v>7.5</v>
      </c>
      <c r="D221" s="63">
        <f>LLM!AM221</f>
        <v>-0.21018429189648599</v>
      </c>
    </row>
    <row r="223" spans="1:4" x14ac:dyDescent="0.25">
      <c r="A223" t="str">
        <f>LLM!B223</f>
        <v>Doolen &amp; Radvansky (2020). Novel 1</v>
      </c>
      <c r="B223">
        <f>LLM!AA223</f>
        <v>236520000</v>
      </c>
      <c r="C223" s="63">
        <f>B223/(60*60*24*365)</f>
        <v>7.5</v>
      </c>
      <c r="D223" s="63">
        <f>LLM!AM223</f>
        <v>-0.12162549739752275</v>
      </c>
    </row>
    <row r="225" spans="1:4" x14ac:dyDescent="0.25">
      <c r="A225" t="str">
        <f>LLM!B225</f>
        <v>Doolen &amp; Radvansky (2020). Novel 1</v>
      </c>
      <c r="B225">
        <f>LLM!AA225</f>
        <v>236520000</v>
      </c>
      <c r="C225" s="63">
        <f>B225/(60*60*24*365)</f>
        <v>7.5</v>
      </c>
      <c r="D225" s="63">
        <f>LLM!AM225</f>
        <v>-0.26002428706625635</v>
      </c>
    </row>
    <row r="227" spans="1:4" x14ac:dyDescent="0.25">
      <c r="A227" t="str">
        <f>LLM!B227</f>
        <v>Doolen &amp; Radvansky (2020). Novel 1</v>
      </c>
      <c r="B227">
        <f>LLM!AA227</f>
        <v>236520000</v>
      </c>
      <c r="C227" s="63">
        <f>B227/(60*60*24*365)</f>
        <v>7.5</v>
      </c>
      <c r="D227" s="63">
        <f>LLM!AM227</f>
        <v>-0.11998941029435654</v>
      </c>
    </row>
    <row r="229" spans="1:4" x14ac:dyDescent="0.25">
      <c r="A229" t="str">
        <f>LLM!B229</f>
        <v>Doolen &amp; Radvansky (2020). Novel 1</v>
      </c>
      <c r="B229">
        <f>LLM!AA229</f>
        <v>236520000</v>
      </c>
      <c r="C229" s="63">
        <f>B229/(60*60*24*365)</f>
        <v>7.5</v>
      </c>
      <c r="D229" s="63">
        <f>LLM!AM229</f>
        <v>-1.4103545186359603E-2</v>
      </c>
    </row>
    <row r="231" spans="1:4" x14ac:dyDescent="0.25">
      <c r="A231" t="str">
        <f>LLM!B231</f>
        <v>Doolen &amp; Radvansky (2020). Novel 1</v>
      </c>
      <c r="B231">
        <f>LLM!AA231</f>
        <v>236520000</v>
      </c>
      <c r="C231" s="63">
        <f>B231/(60*60*24*365)</f>
        <v>7.5</v>
      </c>
      <c r="D231" s="63">
        <f>LLM!AM231</f>
        <v>-0.12571446897933886</v>
      </c>
    </row>
    <row r="233" spans="1:4" x14ac:dyDescent="0.25">
      <c r="A233" t="str">
        <f>LLM!B233</f>
        <v>Doolen &amp; Radvansky (2020). Novel 1</v>
      </c>
      <c r="B233">
        <f>LLM!AA233</f>
        <v>236520000</v>
      </c>
      <c r="C233" s="63">
        <f>B233/(60*60*24*365)</f>
        <v>7.5</v>
      </c>
      <c r="D233" s="63">
        <f>LLM!AM233</f>
        <v>-7.0723711191251898E-2</v>
      </c>
    </row>
    <row r="235" spans="1:4" x14ac:dyDescent="0.25">
      <c r="A235" t="str">
        <f>LLM!B235</f>
        <v>Doolen &amp; Radvansky (2020). Novel 1</v>
      </c>
      <c r="B235">
        <f>LLM!AA235</f>
        <v>236520000</v>
      </c>
      <c r="C235" s="63">
        <f>B235/(60*60*24*365)</f>
        <v>7.5</v>
      </c>
      <c r="D235" s="63">
        <f>LLM!AM235</f>
        <v>-0.11173740271049858</v>
      </c>
    </row>
    <row r="237" spans="1:4" x14ac:dyDescent="0.25">
      <c r="A237" t="str">
        <f>LLM!B237</f>
        <v>Doolen &amp; Radvansky (2020). Novel 1</v>
      </c>
      <c r="B237">
        <f>LLM!AA237</f>
        <v>236520000</v>
      </c>
      <c r="C237" s="63">
        <f>B237/(60*60*24*365)</f>
        <v>7.5</v>
      </c>
      <c r="D237" s="63">
        <f>LLM!AM237</f>
        <v>-0.17435575550386112</v>
      </c>
    </row>
    <row r="239" spans="1:4" x14ac:dyDescent="0.25">
      <c r="A239" t="str">
        <f>LLM!B239</f>
        <v>Doolen &amp; Radvansky (2020). Novel 1</v>
      </c>
      <c r="B239">
        <f>LLM!AA239</f>
        <v>236520000</v>
      </c>
      <c r="C239" s="63">
        <f>B239/(60*60*24*365)</f>
        <v>7.5</v>
      </c>
      <c r="D239" s="63">
        <f>LLM!AM239</f>
        <v>-0.25573163049038727</v>
      </c>
    </row>
    <row r="241" spans="1:4" x14ac:dyDescent="0.25">
      <c r="A241" t="str">
        <f>LLM!B241</f>
        <v>Doolen &amp; Radvansky (2020). Novel 1</v>
      </c>
      <c r="B241">
        <f>LLM!AA241</f>
        <v>236520000</v>
      </c>
      <c r="C241" s="63">
        <f>B241/(60*60*24*365)</f>
        <v>7.5</v>
      </c>
      <c r="D241" s="63">
        <f>LLM!AM241</f>
        <v>-0.13570917735172788</v>
      </c>
    </row>
    <row r="243" spans="1:4" x14ac:dyDescent="0.25">
      <c r="A243" t="str">
        <f>LLM!B243</f>
        <v>Doolen &amp; Radvansky (2020). Novel 1</v>
      </c>
      <c r="B243">
        <f>LLM!AA243</f>
        <v>236520000</v>
      </c>
      <c r="C243" s="63">
        <f>B243/(60*60*24*365)</f>
        <v>7.5</v>
      </c>
      <c r="D243" s="63">
        <f>LLM!AM243</f>
        <v>-0.12802922936849193</v>
      </c>
    </row>
    <row r="245" spans="1:4" x14ac:dyDescent="0.25">
      <c r="A245" t="str">
        <f>LLM!B245</f>
        <v>Ebbinghaus, H. (1885/1913). Memory: A contribution to experimental psychology (H. A. Ruger &amp; C. E. Bussenius, Trans.). New York: Columbia University, Teacher’s College. (Reprinted 1964, New York: Dover).</v>
      </c>
      <c r="B245">
        <f>LLM!AA245</f>
        <v>2678659.2000000002</v>
      </c>
      <c r="C245" s="63">
        <f>B245/(60*60*24*365)</f>
        <v>8.4939726027397272E-2</v>
      </c>
      <c r="D245" s="63">
        <f>LLM!AM245</f>
        <v>-0.13567423012773172</v>
      </c>
    </row>
    <row r="247" spans="1:4" x14ac:dyDescent="0.25">
      <c r="A247" t="str">
        <f>LLM!B247</f>
        <v xml:space="preserve">Ellis, J. A., Semb, G. B., &amp; Cole, B. (1998). Very long-term memory for information taught in school. Contemporary Educational Psychology, 23(4), 419-433.
</v>
      </c>
      <c r="B247">
        <f>LLM!AA247</f>
        <v>504576000</v>
      </c>
      <c r="C247" s="63">
        <f>B247/(60*60*24*365)</f>
        <v>16</v>
      </c>
      <c r="D247" s="63">
        <f>LLM!AM247</f>
        <v>-0.37807976225248124</v>
      </c>
    </row>
    <row r="249" spans="1:4" x14ac:dyDescent="0.25">
      <c r="A249" t="str">
        <f>LLM!B249</f>
        <v xml:space="preserve">Ellis, J. A., Semb, G. B., &amp; Cole, B. (1998). Very long-term memory for information taught in school. Contemporary Educational Psychology, 23(4), 419-433.
</v>
      </c>
      <c r="B249">
        <f>LLM!AA249</f>
        <v>504576000</v>
      </c>
      <c r="C249" s="63">
        <f>B249/(60*60*24*365)</f>
        <v>16</v>
      </c>
      <c r="D249" s="63">
        <f>LLM!AM249</f>
        <v>-0.3977072828056179</v>
      </c>
    </row>
    <row r="251" spans="1:4" x14ac:dyDescent="0.25">
      <c r="A251" t="str">
        <f>LLM!B251</f>
        <v>Epstein, M. L., &amp; Phillips, W. D. (1976). Delayed recall of paired associates as a function of processing level. The Journal of General Psychology, 95(1), 127-132.</v>
      </c>
      <c r="B251">
        <f>LLM!AA251</f>
        <v>1814400</v>
      </c>
      <c r="C251" s="63">
        <f>B251/(60*60*24*365)</f>
        <v>5.7534246575342465E-2</v>
      </c>
      <c r="D251" s="63">
        <f>LLM!AM251</f>
        <v>-4.9707177621142622E-2</v>
      </c>
    </row>
    <row r="253" spans="1:4" x14ac:dyDescent="0.25">
      <c r="A253" t="str">
        <f>LLM!B253</f>
        <v>Epstein, M. L., &amp; Phillips, W. D. (1976). Delayed recall of paired associates as a function of processing level. The Journal of General Psychology, 95(1), 127-132.</v>
      </c>
      <c r="B253">
        <f>LLM!AA253</f>
        <v>1814400</v>
      </c>
      <c r="C253" s="63">
        <f>B253/(60*60*24*365)</f>
        <v>5.7534246575342465E-2</v>
      </c>
      <c r="D253" s="63">
        <f>LLM!AM253</f>
        <v>-5.8463487871096113E-2</v>
      </c>
    </row>
    <row r="255" spans="1:4" x14ac:dyDescent="0.25">
      <c r="A255" t="str">
        <f>LLM!B255</f>
        <v>Epstein, M. L., &amp; Phillips, W. D. (1976). Delayed recall of paired associates as a function of processing level. The Journal of General Psychology, 95(1), 127-132.</v>
      </c>
      <c r="B255">
        <f>LLM!AA255</f>
        <v>1814400</v>
      </c>
      <c r="C255" s="63">
        <f>B255/(60*60*24*365)</f>
        <v>5.7534246575342465E-2</v>
      </c>
      <c r="D255" s="63">
        <f>LLM!AM255</f>
        <v>-0.21530283029307667</v>
      </c>
    </row>
    <row r="257" spans="1:4" x14ac:dyDescent="0.25">
      <c r="A257" t="str">
        <f>LLM!B257</f>
        <v>Epstein, M. L., &amp; Phillips, W. D. (1976). Delayed recall of paired associates as a function of processing level. The Journal of General Psychology, 95(1), 127-132.</v>
      </c>
      <c r="B257">
        <f>LLM!AA257</f>
        <v>1814400</v>
      </c>
      <c r="C257" s="63">
        <f>B257/(60*60*24*365)</f>
        <v>5.7534246575342465E-2</v>
      </c>
      <c r="D257" s="63">
        <f>LLM!AM257</f>
        <v>-0.38484057447004455</v>
      </c>
    </row>
    <row r="259" spans="1:4" x14ac:dyDescent="0.25">
      <c r="A259" t="str">
        <f>LLM!B259</f>
        <v>Fisher, J. S. (2020). Dissertation</v>
      </c>
      <c r="B259">
        <f>LLM!AA259</f>
        <v>1209600</v>
      </c>
      <c r="C259" s="63">
        <f>B259/(60*60*24*365)</f>
        <v>3.8356164383561646E-2</v>
      </c>
      <c r="D259" s="63">
        <f>LLM!AM259</f>
        <v>-3.3609155370252476E-2</v>
      </c>
    </row>
    <row r="261" spans="1:4" x14ac:dyDescent="0.25">
      <c r="A261" t="str">
        <f>LLM!B261</f>
        <v>Fisher, J. S. (2020). Dissertation</v>
      </c>
      <c r="B261">
        <f>LLM!AA261</f>
        <v>1209600</v>
      </c>
      <c r="C261" s="63">
        <f>B261/(60*60*24*365)</f>
        <v>3.8356164383561646E-2</v>
      </c>
      <c r="D261" s="63">
        <f>LLM!AM261</f>
        <v>-2.7351483884457073E-2</v>
      </c>
    </row>
    <row r="263" spans="1:4" x14ac:dyDescent="0.25">
      <c r="A263" t="str">
        <f>LLM!B263</f>
        <v>Fisher, J. S. (2020). Dissertation</v>
      </c>
      <c r="B263">
        <f>LLM!AA263</f>
        <v>1209600</v>
      </c>
      <c r="C263" s="63">
        <f>B263/(60*60*24*365)</f>
        <v>3.8356164383561646E-2</v>
      </c>
      <c r="D263" s="63">
        <f>LLM!AM263</f>
        <v>-1.7680539009255279E-2</v>
      </c>
    </row>
    <row r="265" spans="1:4" x14ac:dyDescent="0.25">
      <c r="A265" t="str">
        <f>LLM!B265</f>
        <v>Fisher, J. S. (2020). Dissertation</v>
      </c>
      <c r="B265">
        <f>LLM!AA265</f>
        <v>1209600</v>
      </c>
      <c r="C265" s="63">
        <f>B265/(60*60*24*365)</f>
        <v>3.8356164383561646E-2</v>
      </c>
      <c r="D265" s="63">
        <f>LLM!AM265</f>
        <v>-3.3739237523484067E-2</v>
      </c>
    </row>
    <row r="267" spans="1:4" x14ac:dyDescent="0.25">
      <c r="A267" t="str">
        <f>LLM!B267</f>
        <v>Fisher, J. S. (2020). Dissertation</v>
      </c>
      <c r="B267">
        <f>LLM!AA267</f>
        <v>1209600</v>
      </c>
      <c r="C267" s="63">
        <f>B267/(60*60*24*365)</f>
        <v>3.8356164383561646E-2</v>
      </c>
      <c r="D267" s="63">
        <f>LLM!AM267</f>
        <v>-2.7014341730541673E-2</v>
      </c>
    </row>
    <row r="269" spans="1:4" x14ac:dyDescent="0.25">
      <c r="A269" t="str">
        <f>LLM!B269</f>
        <v>Fisher, J. S. (2020). Dissertation</v>
      </c>
      <c r="B269">
        <f>LLM!AA269</f>
        <v>1209600</v>
      </c>
      <c r="C269" s="63">
        <f>B269/(60*60*24*365)</f>
        <v>3.8356164383561646E-2</v>
      </c>
      <c r="D269" s="63">
        <f>LLM!AM269</f>
        <v>-2.9843925761553459E-2</v>
      </c>
    </row>
    <row r="271" spans="1:4" x14ac:dyDescent="0.25">
      <c r="A271" t="str">
        <f>LLM!B271</f>
        <v>Fisher, J. S., &amp; Radvansky, G. A. (2018). Patterns of forgetting. Journal of Memory and Language, 102, 130-141.</v>
      </c>
      <c r="B271">
        <f>LLM!AA271</f>
        <v>7257600</v>
      </c>
      <c r="C271" s="63">
        <f>B271/(60*60*24*365)</f>
        <v>0.23013698630136986</v>
      </c>
      <c r="D271" s="63">
        <f>LLM!AM271</f>
        <v>-0.25494616483910487</v>
      </c>
    </row>
    <row r="273" spans="1:4" x14ac:dyDescent="0.25">
      <c r="A273" t="str">
        <f>LLM!B273</f>
        <v>Fisher, J. S., &amp; Radvansky, G. A. (2019). Linear forgetting. Journal of Memory and Language, 108, 104035.</v>
      </c>
      <c r="B273">
        <f>LLM!AA273</f>
        <v>7257600</v>
      </c>
      <c r="C273" s="63">
        <f>B273/(60*60*24*365)</f>
        <v>0.23013698630136986</v>
      </c>
      <c r="D273" s="63">
        <f>LLM!AM273</f>
        <v>-2.515431825260913E-2</v>
      </c>
    </row>
    <row r="275" spans="1:4" x14ac:dyDescent="0.25">
      <c r="A275" t="str">
        <f>LLM!B275</f>
        <v>Fisher, J. S., &amp; Radvansky, G. A. (2019). Linear forgetting. Journal of Memory and Language, 108, 104035.</v>
      </c>
      <c r="B275">
        <f>LLM!AA275</f>
        <v>873600</v>
      </c>
      <c r="C275" s="63">
        <f>B275/(60*60*24*365)</f>
        <v>2.7701674277016742E-2</v>
      </c>
      <c r="D275" s="63">
        <f>LLM!AM275</f>
        <v>-1.6099550602488931E-2</v>
      </c>
    </row>
    <row r="277" spans="1:4" x14ac:dyDescent="0.25">
      <c r="A277" t="str">
        <f>LLM!B277</f>
        <v xml:space="preserve">Gehring, R. E., Toglia, M. P., &amp; Kimble, G. A. (1976). Recognition memory for words and pictures at short and long retention intervals. Memory &amp; Cognition, 4(3), 256-260.
</v>
      </c>
      <c r="B277">
        <f>LLM!AA277</f>
        <v>7776000</v>
      </c>
      <c r="C277" s="63">
        <f>B277/(60*60*24*365)</f>
        <v>0.24657534246575341</v>
      </c>
      <c r="D277" s="63">
        <f>LLM!AM277</f>
        <v>-0.13643061076973123</v>
      </c>
    </row>
    <row r="279" spans="1:4" x14ac:dyDescent="0.25">
      <c r="A279" t="str">
        <f>LLM!B279</f>
        <v xml:space="preserve">Gehring, R. E., Toglia, M. P., &amp; Kimble, G. A. (1976). Recognition memory for words and pictures at short and long retention intervals. Memory &amp; Cognition, 4(3), 256-260.
</v>
      </c>
      <c r="B279">
        <f>LLM!AA279</f>
        <v>7776000</v>
      </c>
      <c r="C279" s="63">
        <f>B279/(60*60*24*365)</f>
        <v>0.24657534246575341</v>
      </c>
      <c r="D279" s="63">
        <f>LLM!AM279</f>
        <v>-0.12476404999902357</v>
      </c>
    </row>
    <row r="281" spans="1:4" x14ac:dyDescent="0.25">
      <c r="A281" t="str">
        <f>LLM!B281</f>
        <v xml:space="preserve">Gehring, R. E., Toglia, M. P., &amp; Kimble, G. A. (1976). Recognition memory for words and pictures at short and long retention intervals. Memory &amp; Cognition, 4(3), 256-260.
</v>
      </c>
      <c r="B281">
        <f>LLM!AA281</f>
        <v>5270400</v>
      </c>
      <c r="C281" s="63">
        <f>B281/(60*60*24*365)</f>
        <v>0.16712328767123288</v>
      </c>
      <c r="D281" s="63">
        <f>LLM!AM281</f>
        <v>-3.5106235397858558E-2</v>
      </c>
    </row>
    <row r="283" spans="1:4" x14ac:dyDescent="0.25">
      <c r="A283" t="str">
        <f>LLM!B283</f>
        <v xml:space="preserve">Gehring, R. E., Toglia, M. P., &amp; Kimble, G. A. (1976). Recognition memory for words and pictures at short and long retention intervals. Memory &amp; Cognition, 4(3), 256-260.
</v>
      </c>
      <c r="B283">
        <f>LLM!AA283</f>
        <v>5270400</v>
      </c>
      <c r="C283" s="63">
        <f>B283/(60*60*24*365)</f>
        <v>0.16712328767123288</v>
      </c>
      <c r="D283" s="63">
        <f>LLM!AM283</f>
        <v>-3.9377200187181965E-2</v>
      </c>
    </row>
    <row r="285" spans="1:4" x14ac:dyDescent="0.25">
      <c r="A285" t="str">
        <f>LLM!B285</f>
        <v>Gilliland, A. R. (1948). The rate of forgetting. Journal of Educational Psychology, 39(1), 19-26.</v>
      </c>
      <c r="B285">
        <f>LLM!AA285</f>
        <v>2592000</v>
      </c>
      <c r="C285" s="63">
        <f>B285/(60*60*24*365)</f>
        <v>8.2191780821917804E-2</v>
      </c>
      <c r="D285" s="63">
        <f>LLM!AM285</f>
        <v>-2.9535312735414349E-2</v>
      </c>
    </row>
    <row r="286" spans="1:4" x14ac:dyDescent="0.25">
      <c r="D286" s="63"/>
    </row>
    <row r="287" spans="1:4" x14ac:dyDescent="0.25">
      <c r="A287" t="str">
        <f>LLM!B287</f>
        <v>Giovagnoli, A. R., Casazza, M., &amp; Avanzini, G. (1995). Visual learning on a selective reminding procedure and delayed recall in patients with temporal lobe epilepsy. Epilepsia, 36(7), 704-711.</v>
      </c>
      <c r="B287">
        <f>LLM!AA287</f>
        <v>1123200</v>
      </c>
      <c r="C287" s="63">
        <f>B287/(60*60*24*365)</f>
        <v>3.5616438356164383E-2</v>
      </c>
      <c r="D287" s="63">
        <f>LLM!AM287</f>
        <v>-1.3408736112626381E-2</v>
      </c>
    </row>
    <row r="289" spans="1:4" x14ac:dyDescent="0.25">
      <c r="A289" t="str">
        <f>LLM!B289</f>
        <v xml:space="preserve">Glasnapp, D. R., Poggio, J. P. and Ory, J. C. (1978). End-of-Course and Long-Term Retention Outcomes for Mastery and Nonmastery Learning Paradigms. Psychology in the Schools, 15(4), 595-603.
</v>
      </c>
      <c r="B289">
        <f>LLM!AA289</f>
        <v>41472000</v>
      </c>
      <c r="C289" s="63">
        <f>B289/(60*60*24*365)</f>
        <v>1.3150684931506849</v>
      </c>
      <c r="D289" s="63">
        <f>LLM!AM289</f>
        <v>-0.10115046335486202</v>
      </c>
    </row>
    <row r="291" spans="1:4" x14ac:dyDescent="0.25">
      <c r="A291" t="str">
        <f>LLM!B291</f>
        <v xml:space="preserve">Glasnapp, D. R., Poggio, J. P. and Ory, J. C. (1978). End-of-Course and Long-Term Retention Outcomes for Mastery and Nonmastery Learning Paradigms. Psychology in the Schools, 15(4), 595-603.
</v>
      </c>
      <c r="B291">
        <f>LLM!AA291</f>
        <v>41472000</v>
      </c>
      <c r="C291" s="63">
        <f>B291/(60*60*24*365)</f>
        <v>1.3150684931506849</v>
      </c>
      <c r="D291" s="63">
        <f>LLM!AM291</f>
        <v>-5.5198547833092602E-2</v>
      </c>
    </row>
    <row r="293" spans="1:4" x14ac:dyDescent="0.25">
      <c r="A293" t="str">
        <f>LLM!B293</f>
        <v xml:space="preserve">Glasnapp, D. R., Poggio, J. P. and Ory, J. C. (1978). End-of-Course and Long-Term Retention Outcomes for Mastery and Nonmastery Learning Paradigms. Psychology in the Schools, 15(4), 595-603.
</v>
      </c>
      <c r="B293">
        <f>LLM!AA293</f>
        <v>41472000</v>
      </c>
      <c r="C293" s="63">
        <f>B293/(60*60*24*365)</f>
        <v>1.3150684931506849</v>
      </c>
      <c r="D293" s="63">
        <f>LLM!AM293</f>
        <v>-5.743500690022494E-2</v>
      </c>
    </row>
    <row r="295" spans="1:4" x14ac:dyDescent="0.25">
      <c r="A295" t="str">
        <f>LLM!B295</f>
        <v xml:space="preserve">Glasnapp, D. R., Poggio, J. P. and Ory, J. C. (1978). End-of-Course and Long-Term Retention Outcomes for Mastery and Nonmastery Learning Paradigms. Psychology in the Schools, 15(4), 595-603.
</v>
      </c>
      <c r="B295">
        <f>LLM!AA295</f>
        <v>41472000</v>
      </c>
      <c r="C295" s="63">
        <f>B295/(60*60*24*365)</f>
        <v>1.3150684931506849</v>
      </c>
      <c r="D295" s="63">
        <f>LLM!AM295</f>
        <v>-0.19913673194180401</v>
      </c>
    </row>
    <row r="297" spans="1:4" x14ac:dyDescent="0.25">
      <c r="A297" t="str">
        <f>LLM!B297</f>
        <v xml:space="preserve">Glasnapp, D. R., Poggio, J. P. and Ory, J. C. (1978). End-of-Course and Long-Term Retention Outcomes for Mastery and Nonmastery Learning Paradigms. Psychology in the Schools, 15(4), 595-603.
</v>
      </c>
      <c r="B297">
        <f>LLM!AA297</f>
        <v>41472000</v>
      </c>
      <c r="C297" s="63">
        <f>B297/(60*60*24*365)</f>
        <v>1.3150684931506849</v>
      </c>
      <c r="D297" s="63">
        <f>LLM!AM297</f>
        <v>-0.11669377570214917</v>
      </c>
    </row>
    <row r="299" spans="1:4" x14ac:dyDescent="0.25">
      <c r="A299" t="str">
        <f>LLM!B299</f>
        <v>Haist, F., Gore, J. B., &amp; Mao, H. (2001). Consolidation of human memory over decades revealed by functional magnetic resonance imaging. Nature neuroscience, 4(11), 1139-1145.</v>
      </c>
      <c r="B299">
        <f>LLM!AA299</f>
        <v>1734480000</v>
      </c>
      <c r="C299" s="63">
        <f>B299/(60*60*24*365)</f>
        <v>55</v>
      </c>
      <c r="D299" s="63">
        <f>LLM!AM299</f>
        <v>-5.2778466108937237E-4</v>
      </c>
    </row>
    <row r="301" spans="1:4" x14ac:dyDescent="0.25">
      <c r="A301" t="str">
        <f>LLM!B301</f>
        <v>Haist, F., Gore, J. B., &amp; Mao, H. (2001). Consolidation of human memory over decades revealed by functional magnetic resonance imaging. Nature neuroscience, 4(11), 1139-1145.</v>
      </c>
      <c r="B301">
        <f>LLM!AA301</f>
        <v>1734480000</v>
      </c>
      <c r="C301" s="63">
        <f>B301/(60*60*24*365)</f>
        <v>55</v>
      </c>
      <c r="D301" s="63">
        <f>LLM!AM301</f>
        <v>2.8480854992779629E-3</v>
      </c>
    </row>
    <row r="303" spans="1:4" x14ac:dyDescent="0.25">
      <c r="A303" t="str">
        <f>LLM!B303</f>
        <v>Hirst, W., Phelps, E. A., Meksin, R., Vaidya, C. J., Johnson, M. K., Mitchell, K. J., &amp; ... Olsson, A. (2015). A ten-year follow-up of a study of memory for the attack of September 11, 2001: Flashbulb memories and memories for flashbulb events. Journal Of Experimental Psychology: General, 144(3), 604-623. doi:10.1037/xge0000055</v>
      </c>
      <c r="B303">
        <f>LLM!AA303</f>
        <v>312427152</v>
      </c>
      <c r="C303" s="63">
        <f>B303/(60*60*24*365)</f>
        <v>9.907</v>
      </c>
      <c r="D303" s="63">
        <f>LLM!AM303</f>
        <v>-2.054809097565808E-2</v>
      </c>
    </row>
    <row r="305" spans="1:4" x14ac:dyDescent="0.25">
      <c r="A305" t="str">
        <f>LLM!B305</f>
        <v>Huber, S. J., Shuttleworth, E. C., &amp; Paulson, G. W. (1986). Dementia in Parkinson's disease. Archives of Neurology, 43(10), 987-990.</v>
      </c>
      <c r="B305">
        <f>LLM!AA305</f>
        <v>1892160000</v>
      </c>
      <c r="C305" s="63">
        <f>B305/(60*60*24*365)</f>
        <v>60</v>
      </c>
      <c r="D305" s="63">
        <f>LLM!AM305</f>
        <v>-2.7645195459682675E-2</v>
      </c>
    </row>
    <row r="307" spans="1:4" x14ac:dyDescent="0.25">
      <c r="A307" t="str">
        <f>LLM!B307</f>
        <v>Huber, S. J., Shuttleworth, E. C., &amp; Paulson, G. W. (1986). Dementia in Parkinson's disease. Archives of Neurology, 43(10), 987-990.</v>
      </c>
      <c r="B307">
        <f>LLM!AA307</f>
        <v>1892160000</v>
      </c>
      <c r="C307" s="63">
        <f>B307/(60*60*24*365)</f>
        <v>60</v>
      </c>
      <c r="D307" s="63">
        <f>LLM!AM307</f>
        <v>-9.5086939803385256E-2</v>
      </c>
    </row>
    <row r="309" spans="1:4" x14ac:dyDescent="0.25">
      <c r="A309" t="str">
        <f>LLM!B309</f>
        <v>Huber, S. J., Shuttleworth, E. C., &amp; Paulson, G. W. (1986). Dementia in Parkinson's disease. Archives of Neurology, 43(10), 987-990.</v>
      </c>
      <c r="B309">
        <f>LLM!AA309</f>
        <v>1892160000</v>
      </c>
      <c r="C309" s="63">
        <f>B309/(60*60*24*365)</f>
        <v>60</v>
      </c>
      <c r="D309" s="63">
        <f>LLM!AM309</f>
        <v>-8.3914012528416307E-2</v>
      </c>
    </row>
    <row r="311" spans="1:4" x14ac:dyDescent="0.25">
      <c r="A311" t="str">
        <f>LLM!B311</f>
        <v>Hunkin, N. M., Parkin, A. J., Bradley, V. A., Burrows, E. H., Aldrich, F. K., Jansari, A., &amp; Burdon-Cooper, C. (1995). Focal retrograde amnesia following closed head injury: A case study and theoretical account. Neuropsychologia, 33(4), 509-523.</v>
      </c>
      <c r="B311">
        <f>LLM!AA311</f>
        <v>630720000</v>
      </c>
      <c r="C311" s="63">
        <f>B311/(60*60*24*365)</f>
        <v>20</v>
      </c>
      <c r="D311" s="63">
        <f>LLM!AM311</f>
        <v>-5.5722996349914955E-2</v>
      </c>
    </row>
    <row r="313" spans="1:4" x14ac:dyDescent="0.25">
      <c r="A313" t="str">
        <f>LLM!B313</f>
        <v>Jackson, H. F., &amp; Bentall, R. P. (1991). Operant conditioning in amnesic subjects: Response patterning and sensitivity to schedule changes. Neuropsychology, 5(2), 89.</v>
      </c>
      <c r="B313">
        <f>LLM!AA313</f>
        <v>1261440000</v>
      </c>
      <c r="C313" s="63">
        <f>B313/(60*60*24*365)</f>
        <v>40</v>
      </c>
      <c r="D313" s="63">
        <f>LLM!AM313</f>
        <v>-0.4436014153946779</v>
      </c>
    </row>
    <row r="314" spans="1:4" x14ac:dyDescent="0.25">
      <c r="D314" s="63"/>
    </row>
    <row r="315" spans="1:4" x14ac:dyDescent="0.25">
      <c r="A315" t="str">
        <f>LLM!B315</f>
        <v>Jansari, A. S., Davis, K., McGibbon, T., Firminger, S., &amp; Kapur, N. (2010). When “long-term memory” no longer means “forever”: Analysis of accelerated long-term forgetting in a patient with temporal lobe epilepsy. Neuropsychologia, 48(6), 1707-1715.</v>
      </c>
      <c r="B315">
        <f>LLM!AA315</f>
        <v>2419200</v>
      </c>
      <c r="C315" s="63">
        <f>B315/(60*60*24*365)</f>
        <v>7.6712328767123292E-2</v>
      </c>
      <c r="D315" s="63">
        <f>LLM!AM315</f>
        <v>-0.23360480330926128</v>
      </c>
    </row>
    <row r="316" spans="1:4" x14ac:dyDescent="0.25">
      <c r="D316" s="63"/>
    </row>
    <row r="317" spans="1:4" x14ac:dyDescent="0.25">
      <c r="A317" t="str">
        <f>LLM!B317</f>
        <v>Jansari, A. S., Davis, K., McGibbon, T., Firminger, S., &amp; Kapur, N. (2010). When “long-term memory” no longer means “forever”: Analysis of accelerated long-term forgetting in a patient with temporal lobe epilepsy. Neuropsychologia, 48(6), 1707-1715.</v>
      </c>
      <c r="B317">
        <f>LLM!AA317</f>
        <v>2419200</v>
      </c>
      <c r="C317" s="63">
        <f>B317/(60*60*24*365)</f>
        <v>7.6712328767123292E-2</v>
      </c>
      <c r="D317" s="63">
        <f>LLM!AM317</f>
        <v>-5.9748803239064709E-2</v>
      </c>
    </row>
    <row r="318" spans="1:4" x14ac:dyDescent="0.25">
      <c r="D318" s="63"/>
    </row>
    <row r="319" spans="1:4" x14ac:dyDescent="0.25">
      <c r="A319" t="str">
        <f>LLM!B319</f>
        <v>Jansari, A. S., Davis, K., McGibbon, T., Firminger, S., &amp; Kapur, N. (2010). When “long-term memory” no longer means “forever”: Analysis of accelerated long-term forgetting in a patient with temporal lobe epilepsy. Neuropsychologia, 48(6), 1707-1715.</v>
      </c>
      <c r="B319">
        <f>LLM!AA319</f>
        <v>2419200</v>
      </c>
      <c r="C319" s="63">
        <f>B319/(60*60*24*365)</f>
        <v>7.6712328767123292E-2</v>
      </c>
      <c r="D319" s="63">
        <f>LLM!AM319</f>
        <v>-0.10180611561737737</v>
      </c>
    </row>
    <row r="320" spans="1:4" x14ac:dyDescent="0.25">
      <c r="D320" s="63"/>
    </row>
    <row r="321" spans="1:4" x14ac:dyDescent="0.25">
      <c r="A321" t="str">
        <f>LLM!B321</f>
        <v>Jansari, A. S., Davis, K., McGibbon, T., Firminger, S., &amp; Kapur, N. (2010). When “long-term memory” no longer means “forever”: Analysis of accelerated long-term forgetting in a patient with temporal lobe epilepsy. Neuropsychologia, 48(6), 1707-1715.</v>
      </c>
      <c r="B321">
        <f>LLM!AA321</f>
        <v>2419200</v>
      </c>
      <c r="C321" s="63">
        <f>B321/(60*60*24*365)</f>
        <v>7.6712328767123292E-2</v>
      </c>
      <c r="D321" s="63">
        <f>LLM!AM321</f>
        <v>-3.0566825183116993E-2</v>
      </c>
    </row>
    <row r="323" spans="1:4" x14ac:dyDescent="0.25">
      <c r="A323" t="str">
        <f>LLM!B323</f>
        <v>Jeunehomme, O., Folville, A., Stawarczyk, D., Van der Linden, M., &amp; D'Argembeau, A. (2018). Temporal compression in episodic memory for real-life events. Memory, 26(6), 759-770.</v>
      </c>
      <c r="B323">
        <f>LLM!AA323</f>
        <v>2592000</v>
      </c>
      <c r="C323" s="63">
        <f>B323/(60*60*24*365)</f>
        <v>8.2191780821917804E-2</v>
      </c>
      <c r="D323" s="63">
        <f>LLM!AM323</f>
        <v>-4.1967432260001207E-2</v>
      </c>
    </row>
    <row r="325" spans="1:4" x14ac:dyDescent="0.25">
      <c r="A325" t="str">
        <f>LLM!B325</f>
        <v>Jeunehomme, O., Folville, A., Stawarczyk, D., Van der Linden, M., &amp; D'Argembeau, A. (2018). Temporal compression in episodic memory for real-life events. Memory, 26(6), 759-770.</v>
      </c>
      <c r="B325">
        <f>LLM!AA325</f>
        <v>2592000</v>
      </c>
      <c r="C325" s="63">
        <f>B325/(60*60*24*365)</f>
        <v>8.2191780821917804E-2</v>
      </c>
      <c r="D325" s="63">
        <f>LLM!AM325</f>
        <v>-5.5159960492932612E-2</v>
      </c>
    </row>
    <row r="327" spans="1:4" x14ac:dyDescent="0.25">
      <c r="A327" t="str">
        <f>LLM!B327</f>
        <v>Jeunehomme, O., Folville, A., Stawarczyk, D., Van der Linden, M., &amp; D'Argembeau, A. (2018). Temporal compression in episodic memory for real-life events. Memory, 26(6), 759-770.</v>
      </c>
      <c r="B327">
        <f>LLM!AA327</f>
        <v>2592000</v>
      </c>
      <c r="C327" s="63">
        <f>B327/(60*60*24*365)</f>
        <v>8.2191780821917804E-2</v>
      </c>
      <c r="D327" s="63">
        <f>LLM!AM327</f>
        <v>-6.6142744251778728E-3</v>
      </c>
    </row>
    <row r="329" spans="1:4" x14ac:dyDescent="0.25">
      <c r="A329" t="str">
        <f>LLM!B329</f>
        <v>Jeunehomme, O., Folville, A., Stawarczyk, D., Van der Linden, M., &amp; D'Argembeau, A. (2018). Temporal compression in episodic memory for real-life events. Memory, 26(6), 759-770.</v>
      </c>
      <c r="B329">
        <f>LLM!AA329</f>
        <v>2592000</v>
      </c>
      <c r="C329" s="63">
        <f>B329/(60*60*24*365)</f>
        <v>8.2191780821917804E-2</v>
      </c>
      <c r="D329" s="63">
        <f>LLM!AM329</f>
        <v>-2.8396505986087468E-2</v>
      </c>
    </row>
    <row r="331" spans="1:4" x14ac:dyDescent="0.25">
      <c r="A331" t="str">
        <f>LLM!B331</f>
        <v>Jeunehomme, O., Folville, A., Stawarczyk, D., Van der Linden, M., &amp; D'Argembeau, A. (2018). Temporal compression in episodic memory for real-life events. Memory, 26(6), 759-770.</v>
      </c>
      <c r="B331">
        <f>LLM!AA331</f>
        <v>2592000</v>
      </c>
      <c r="C331" s="63">
        <f>B331/(60*60*24*365)</f>
        <v>8.2191780821917804E-2</v>
      </c>
      <c r="D331" s="63">
        <f>LLM!AM331</f>
        <v>1.031189540628568E-2</v>
      </c>
    </row>
    <row r="333" spans="1:4" x14ac:dyDescent="0.25">
      <c r="A333" t="str">
        <f>LLM!B333</f>
        <v>Jeunehomme, O., Folville, A., Stawarczyk, D., Van der Linden, M., &amp; D'Argembeau, A. (2018). Temporal compression in episodic memory for real-life events. Memory, 26(6), 759-770.</v>
      </c>
      <c r="B333">
        <f>LLM!AA333</f>
        <v>2592000</v>
      </c>
      <c r="C333" s="63">
        <f>B333/(60*60*24*365)</f>
        <v>8.2191780821917804E-2</v>
      </c>
      <c r="D333" s="63">
        <f>LLM!AM333</f>
        <v>-3.3693994142109641E-2</v>
      </c>
    </row>
    <row r="335" spans="1:4" x14ac:dyDescent="0.25">
      <c r="A335" t="str">
        <f>LLM!B335</f>
        <v>Jones, H. E. (1923). Experimental studies of college teaching: The effect of examination on the permanance of forgetting. Archives of Psychology, 68.</v>
      </c>
      <c r="B335">
        <f>LLM!AA335</f>
        <v>4838400</v>
      </c>
      <c r="C335" s="63">
        <f>B335/(60*60*24*365)</f>
        <v>0.15342465753424658</v>
      </c>
      <c r="D335" s="63">
        <f>LLM!AM335</f>
        <v>-9.7071033538941989E-2</v>
      </c>
    </row>
    <row r="337" spans="1:4" x14ac:dyDescent="0.25">
      <c r="A337" t="str">
        <f>LLM!B337</f>
        <v>Kapur, N., Heath, P., Meudell, P., &amp; Kennedy, P. (1986). Amnesia can facilitate memory performance: evidence from a patient with dissociated retrograde amnesia. Neuropsychologia, 24(2), 215-221.</v>
      </c>
      <c r="B337">
        <f>LLM!AA337</f>
        <v>1892160000</v>
      </c>
      <c r="C337" s="63">
        <f>B337/(60*60*24*365)</f>
        <v>60</v>
      </c>
      <c r="D337" s="63">
        <f>LLM!AM337</f>
        <v>-0.15567545715976089</v>
      </c>
    </row>
    <row r="339" spans="1:4" x14ac:dyDescent="0.25">
      <c r="A339" t="str">
        <f>LLM!B339</f>
        <v>Kapur, N., Heath, P., Meudell, P., &amp; Kennedy, P. (1986). Amnesia can facilitate memory performance: evidence from a patient with dissociated retrograde amnesia. Neuropsychologia, 24(2), 215-221.</v>
      </c>
      <c r="B339">
        <f>LLM!AA339</f>
        <v>1892160000</v>
      </c>
      <c r="C339" s="63">
        <f>B339/(60*60*24*365)</f>
        <v>60</v>
      </c>
      <c r="D339" s="63">
        <f>LLM!AM339</f>
        <v>-0.10705750353645044</v>
      </c>
    </row>
    <row r="341" spans="1:4" x14ac:dyDescent="0.25">
      <c r="A341" t="str">
        <f>LLM!B341</f>
        <v>Kapur, N., Heath, P., Meudell, P., &amp; Kennedy, P. (1986). Amnesia can facilitate memory performance: evidence from a patient with dissociated retrograde amnesia. Neuropsychologia, 24(2), 215-221.</v>
      </c>
      <c r="B341">
        <f>LLM!AA341</f>
        <v>1576800000</v>
      </c>
      <c r="C341" s="63">
        <f>B341/(60*60*24*365)</f>
        <v>50</v>
      </c>
      <c r="D341" s="63">
        <f>LLM!AM341</f>
        <v>-5.4899457248047401E-2</v>
      </c>
    </row>
    <row r="343" spans="1:4" x14ac:dyDescent="0.25">
      <c r="A343" t="str">
        <f>LLM!B343</f>
        <v>Kapur, N., Heath, P., Meudell, P., &amp; Kennedy, P. (1986). Amnesia can facilitate memory performance: evidence from a patient with dissociated retrograde amnesia. Neuropsychologia, 24(2), 215-221.</v>
      </c>
      <c r="B343">
        <f>LLM!AA343</f>
        <v>1576800000</v>
      </c>
      <c r="C343" s="63">
        <f>B343/(60*60*24*365)</f>
        <v>50</v>
      </c>
      <c r="D343" s="63">
        <f>LLM!AM343</f>
        <v>-1.6937645279540448E-2</v>
      </c>
    </row>
    <row r="344" spans="1:4" x14ac:dyDescent="0.25">
      <c r="D344" s="63"/>
    </row>
    <row r="345" spans="1:4" x14ac:dyDescent="0.25">
      <c r="A345" t="str">
        <f>LLM!B345</f>
        <v>Kapur, N., Millar, J., Colbourn, C., Abbott, P., Kennedy, P., &amp; Docherty, T. (1997). Very long-term amnesia in association with temporal lobe epilepsy: evidence for multiple-stage consolidation processes. Brain and Cognition, 35(1), 58-70.</v>
      </c>
      <c r="B345">
        <f>LLM!AA345</f>
        <v>3628800</v>
      </c>
      <c r="C345" s="63">
        <f>B345/(60*60*24*365)</f>
        <v>0.11506849315068493</v>
      </c>
      <c r="D345" s="63">
        <f>LLM!AM345</f>
        <v>-6.9497098352175088E-2</v>
      </c>
    </row>
    <row r="346" spans="1:4" x14ac:dyDescent="0.25">
      <c r="D346" s="63"/>
    </row>
    <row r="347" spans="1:4" x14ac:dyDescent="0.25">
      <c r="A347" t="str">
        <f>LLM!B347</f>
        <v>Kapur, N., Millar, J., Colbourn, C., Abbott, P., Kennedy, P., &amp; Docherty, T. (1997). Very long-term amnesia in association with temporal lobe epilepsy: evidence for multiple-stage consolidation processes. Brain and Cognition, 35(1), 58-70.</v>
      </c>
      <c r="B347">
        <f>LLM!AA347</f>
        <v>3628800</v>
      </c>
      <c r="C347" s="63">
        <f>B347/(60*60*24*365)</f>
        <v>0.11506849315068493</v>
      </c>
      <c r="D347" s="63">
        <f>LLM!AM347</f>
        <v>-0.13203417914226587</v>
      </c>
    </row>
    <row r="348" spans="1:4" x14ac:dyDescent="0.25">
      <c r="D348" s="63"/>
    </row>
    <row r="349" spans="1:4" x14ac:dyDescent="0.25">
      <c r="A349" t="str">
        <f>LLM!B349</f>
        <v>Kapur, N., Millar, J., Colbourn, C., Abbott, P., Kennedy, P., &amp; Docherty, T. (1997). Very long-term amnesia in association with temporal lobe epilepsy: evidence for multiple-stage consolidation processes. Brain and Cognition, 35(1), 58-70.</v>
      </c>
      <c r="B349">
        <f>LLM!AA349</f>
        <v>1419120000</v>
      </c>
      <c r="C349" s="63">
        <f>B349/(60*60*24*365)</f>
        <v>45</v>
      </c>
      <c r="D349" s="63">
        <f>LLM!AM349</f>
        <v>-0.15811696857948115</v>
      </c>
    </row>
    <row r="351" spans="1:4" x14ac:dyDescent="0.25">
      <c r="A351" t="str">
        <f>LLM!B351</f>
        <v>Kapur, N., Scholey, K., Moore, E., Barker, S., Brice, J., Thompson, S., ... &amp; Fleming, J. (1996). Long-term retention deficits in two cases of disproportionate retrograde amnesia. Journal of Cognitive Neuroscience, 8(5), 416-434.</v>
      </c>
      <c r="B351">
        <f>LLM!AA351</f>
        <v>946080000</v>
      </c>
      <c r="C351" s="63">
        <f>B351/(60*60*24*365)</f>
        <v>30</v>
      </c>
      <c r="D351" s="63">
        <f>LLM!AM351</f>
        <v>-0.15337101198759301</v>
      </c>
    </row>
    <row r="353" spans="1:4" x14ac:dyDescent="0.25">
      <c r="A353" t="str">
        <f>LLM!B353</f>
        <v>Kapur, N., Scholey, K., Moore, E., Barker, S., Brice, J., Thompson, S., ... &amp; Fleming, J. (1996). Long-term retention deficits in two cases of disproportionate retrograde amnesia. Journal of Cognitive Neuroscience, 8(5), 416-434.</v>
      </c>
      <c r="B353">
        <f>LLM!AA353</f>
        <v>946080000</v>
      </c>
      <c r="C353" s="63">
        <f>B353/(60*60*24*365)</f>
        <v>30</v>
      </c>
      <c r="D353" s="63">
        <f>LLM!AM353</f>
        <v>-6.1980810106602814E-2</v>
      </c>
    </row>
    <row r="355" spans="1:4" x14ac:dyDescent="0.25">
      <c r="A355" t="str">
        <f>LLM!B355</f>
        <v>Kapur, N., Young, A., Bateman, D., &amp; Kennedy, P. (1989). Focal retrograde amnesia: a long term clinical and neuropsychological follow-up. Cortex, 25(3), 387-402.</v>
      </c>
      <c r="B355">
        <f>LLM!AA355</f>
        <v>1576800000</v>
      </c>
      <c r="C355" s="63">
        <f>B355/(60*60*24*365)</f>
        <v>50</v>
      </c>
      <c r="D355" s="63">
        <f>LLM!AM355</f>
        <v>-3.9940156449601992E-2</v>
      </c>
    </row>
    <row r="357" spans="1:4" x14ac:dyDescent="0.25">
      <c r="A357" t="str">
        <f>LLM!B357</f>
        <v>Kapur, N., Young, A., Bateman, D., &amp; Kennedy, P. (1989). Focal retrograde amnesia: a long term clinical and neuropsychological follow-up. Cortex, 25(3), 387-402.</v>
      </c>
      <c r="B357">
        <f>LLM!AA357</f>
        <v>1576800000</v>
      </c>
      <c r="C357" s="63">
        <f>B357/(60*60*24*365)</f>
        <v>50</v>
      </c>
      <c r="D357" s="63">
        <f>LLM!AM357</f>
        <v>-3.6025596386846631E-2</v>
      </c>
    </row>
    <row r="358" spans="1:4" x14ac:dyDescent="0.25">
      <c r="D358" s="63"/>
    </row>
    <row r="359" spans="1:4" x14ac:dyDescent="0.25">
      <c r="A359" t="str">
        <f>LLM!B359</f>
        <v>Kemp, S., Illman, N. A., Moulin, C. J., &amp; Baddeley, A. D. (2012). Accelerated long-term forgetting (ALF) and transient epileptic amnesia (TEA): Two cases of epilepsy‐related memory disorder. Epilepsy &amp; Behavior, 24(3), 382-388.</v>
      </c>
      <c r="B359">
        <f>LLM!AA359</f>
        <v>2592000</v>
      </c>
      <c r="C359" s="63">
        <f>B359/(60*60*24*365)</f>
        <v>8.2191780821917804E-2</v>
      </c>
      <c r="D359" s="63">
        <f>LLM!AM359</f>
        <v>-6.0850286552710138E-3</v>
      </c>
    </row>
    <row r="360" spans="1:4" x14ac:dyDescent="0.25">
      <c r="D360" s="63"/>
    </row>
    <row r="361" spans="1:4" x14ac:dyDescent="0.25">
      <c r="A361" t="str">
        <f>LLM!B361</f>
        <v>Kemp, S., Illman, N. A., Moulin, C. J., &amp; Baddeley, A. D. (2012). Accelerated long-term forgetting (ALF) and transient epileptic amnesia (TEA): Two cases of epilepsy‐related memory disorder. Epilepsy &amp; Behavior, 24(3), 382-388.</v>
      </c>
      <c r="B361">
        <f>LLM!AA361</f>
        <v>2592000</v>
      </c>
      <c r="C361" s="63">
        <f>B361/(60*60*24*365)</f>
        <v>8.2191780821917804E-2</v>
      </c>
      <c r="D361" s="63">
        <f>LLM!AM361</f>
        <v>-2.3720604581557066E-2</v>
      </c>
    </row>
    <row r="362" spans="1:4" x14ac:dyDescent="0.25">
      <c r="D362" s="63"/>
    </row>
    <row r="363" spans="1:4" x14ac:dyDescent="0.25">
      <c r="A363" t="str">
        <f>LLM!B363</f>
        <v>Kemp, S., Illman, N. A., Moulin, C. J., &amp; Baddeley, A. D. (2012). Accelerated long-term forgetting (ALF) and transient epileptic amnesia (TEA): Two cases of epilepsy‐related memory disorder. Epilepsy &amp; Behavior, 24(3), 382-388.</v>
      </c>
      <c r="B363">
        <f>LLM!AA363</f>
        <v>2592000</v>
      </c>
      <c r="C363" s="63">
        <f>B363/(60*60*24*365)</f>
        <v>8.2191780821917804E-2</v>
      </c>
      <c r="D363" s="63">
        <f>LLM!AM363</f>
        <v>-0.16794010933010456</v>
      </c>
    </row>
    <row r="364" spans="1:4" x14ac:dyDescent="0.25">
      <c r="D364" s="63"/>
    </row>
    <row r="365" spans="1:4" x14ac:dyDescent="0.25">
      <c r="A365" t="str">
        <f>LLM!B365</f>
        <v>Kemp, S., Illman, N. A., Moulin, C. J., &amp; Baddeley, A. D. (2012). Accelerated long-term forgetting (ALF) and transient epileptic amnesia (TEA): Two cases of epilepsy‐related memory disorder. Epilepsy &amp; Behavior, 24(3), 382-388.</v>
      </c>
      <c r="B365">
        <f>LLM!AA365</f>
        <v>2592000</v>
      </c>
      <c r="C365" s="63">
        <f>B365/(60*60*24*365)</f>
        <v>8.2191780821917804E-2</v>
      </c>
      <c r="D365" s="63">
        <f>LLM!AM365</f>
        <v>-2.2122079847556309E-2</v>
      </c>
    </row>
    <row r="366" spans="1:4" x14ac:dyDescent="0.25">
      <c r="D366" s="63"/>
    </row>
    <row r="367" spans="1:4" x14ac:dyDescent="0.25">
      <c r="A367" t="str">
        <f>LLM!B367</f>
        <v>Kemp, S., Illman, N. A., Moulin, C. J., &amp; Baddeley, A. D. (2012). Accelerated long-term forgetting (ALF) and transient epileptic amnesia (TEA): Two cases of epilepsy‐related memory disorder. Epilepsy &amp; Behavior, 24(3), 382-388.</v>
      </c>
      <c r="B367">
        <f>LLM!AA367</f>
        <v>2592000</v>
      </c>
      <c r="C367" s="63">
        <f>B367/(60*60*24*365)</f>
        <v>8.2191780821917804E-2</v>
      </c>
      <c r="D367" s="63">
        <f>LLM!AM367</f>
        <v>-6.3602407780228104E-2</v>
      </c>
    </row>
    <row r="369" spans="1:4" x14ac:dyDescent="0.25">
      <c r="A369" t="str">
        <f>LLM!B369</f>
        <v>Komatsu, S. I., &amp; Ohta, N. (1985). Priming effects in word-fragment completion for short-and long-term retention intervals. Japanese Psychological Research, 26(4), 194-200.</v>
      </c>
      <c r="B369">
        <f>LLM!AA369</f>
        <v>3024000</v>
      </c>
      <c r="C369" s="63">
        <f>B369/(60*60*24*365)</f>
        <v>9.5890410958904104E-2</v>
      </c>
      <c r="D369" s="63">
        <f>LLM!AM369</f>
        <v>-0.12855663071896861</v>
      </c>
    </row>
    <row r="371" spans="1:4" x14ac:dyDescent="0.25">
      <c r="A371" t="str">
        <f>LLM!B371</f>
        <v>Komatsu, S. I., &amp; Ohta, N. (1985). Priming effects in word-fragment completion for short-and long-term retention intervals. Japanese Psychological Research, 26(4), 194-200.</v>
      </c>
      <c r="B371">
        <f>LLM!AA371</f>
        <v>3024000</v>
      </c>
      <c r="C371" s="63">
        <f>B371/(60*60*24*365)</f>
        <v>9.5890410958904104E-2</v>
      </c>
      <c r="D371" s="63">
        <f>LLM!AM371</f>
        <v>-3.1738159437455275E-2</v>
      </c>
    </row>
    <row r="373" spans="1:4" x14ac:dyDescent="0.25">
      <c r="A373" t="str">
        <f>LLM!B373</f>
        <v>Komatsu, S. I., &amp; Ohta, N. (1985). Priming effects in word-fragment completion for short-and long-term retention intervals. Japanese Psychological Research, 26(4), 194-200.</v>
      </c>
      <c r="B373">
        <f>LLM!AA373</f>
        <v>3024000</v>
      </c>
      <c r="C373" s="63">
        <f>B373/(60*60*24*365)</f>
        <v>9.5890410958904104E-2</v>
      </c>
      <c r="D373" s="63">
        <f>LLM!AM373</f>
        <v>-8.9931235466484474E-3</v>
      </c>
    </row>
    <row r="375" spans="1:4" x14ac:dyDescent="0.25">
      <c r="A375" t="str">
        <f>LLM!B375</f>
        <v>Kopelman, M. D. (1989). Remote and autobiographical memory, temporal context memory and frontal atrophy in Korsakoff and Alzheimer patients. Neuropsychologia, 27(4), 437-460.</v>
      </c>
      <c r="B375">
        <f>LLM!AA375</f>
        <v>1576800000</v>
      </c>
      <c r="C375" s="63">
        <f>B375/(60*60*24*365)</f>
        <v>50</v>
      </c>
      <c r="D375" s="63">
        <f>LLM!AM375</f>
        <v>-4.8463934323627805E-2</v>
      </c>
    </row>
    <row r="377" spans="1:4" x14ac:dyDescent="0.25">
      <c r="A377" t="str">
        <f>LLM!B377</f>
        <v>Kopelman, M. D. (1989). Remote and autobiographical memory, temporal context memory and frontal atrophy in Korsakoff and Alzheimer patients. Neuropsychologia, 27(4), 437-460.</v>
      </c>
      <c r="B377">
        <f>LLM!AA377</f>
        <v>1576800000</v>
      </c>
      <c r="C377" s="63">
        <f>B377/(60*60*24*365)</f>
        <v>50</v>
      </c>
      <c r="D377" s="63">
        <f>LLM!AM377</f>
        <v>-5.1964405657588801E-2</v>
      </c>
    </row>
    <row r="379" spans="1:4" x14ac:dyDescent="0.25">
      <c r="A379" t="str">
        <f>LLM!B379</f>
        <v>Kopelman, M. D., Stanhope, N., &amp; Kingsley, D. (1999). Retrograde amnesia in patients with diencephalic, temporal lobe or frontal lesions. Neuropsychologia, 37(8), 939-958.</v>
      </c>
      <c r="B379">
        <f>LLM!AA379</f>
        <v>946080000</v>
      </c>
      <c r="C379" s="63">
        <f>B379/(60*60*24*365)</f>
        <v>30</v>
      </c>
      <c r="D379" s="63">
        <f>LLM!AM379</f>
        <v>-0.15720750371087649</v>
      </c>
    </row>
    <row r="381" spans="1:4" x14ac:dyDescent="0.25">
      <c r="A381" t="str">
        <f>LLM!B381</f>
        <v>Kopelman, M. D., Stanhope, N., &amp; Kingsley, D. (1999). Retrograde amnesia in patients with diencephalic, temporal lobe or frontal lesions. Neuropsychologia, 37(8), 939-958.</v>
      </c>
      <c r="B381">
        <f>LLM!AA381</f>
        <v>946080000</v>
      </c>
      <c r="C381" s="63">
        <f>B381/(60*60*24*365)</f>
        <v>30</v>
      </c>
      <c r="D381" s="63">
        <f>LLM!AM381</f>
        <v>-3.9337551682560964E-2</v>
      </c>
    </row>
    <row r="383" spans="1:4" x14ac:dyDescent="0.25">
      <c r="A383" t="str">
        <f>LLM!B383</f>
        <v>Kopelman, M. D., Stanhope, N., &amp; Kingsley, D. (1999). Retrograde amnesia in patients with diencephalic, temporal lobe or frontal lesions. Neuropsychologia, 37(8), 939-958.</v>
      </c>
      <c r="B383">
        <f>LLM!AA383</f>
        <v>946080000</v>
      </c>
      <c r="C383" s="63">
        <f>B383/(60*60*24*365)</f>
        <v>30</v>
      </c>
      <c r="D383" s="63">
        <f>LLM!AM383</f>
        <v>-0.14802152911127761</v>
      </c>
    </row>
    <row r="385" spans="1:4" x14ac:dyDescent="0.25">
      <c r="A385" t="str">
        <f>LLM!B385</f>
        <v xml:space="preserve">Kristo, G., Janssen, S. M., &amp; Murre, J. M. (2009). Retention of autobiographical memories: An Internet-based diary study. Memory, 17(8), 816-829.
</v>
      </c>
      <c r="B385">
        <f>LLM!AA385</f>
        <v>3974140.8</v>
      </c>
      <c r="C385" s="63">
        <f>B385/(60*60*24*365)</f>
        <v>0.12601917808219176</v>
      </c>
      <c r="D385" s="63">
        <f>LLM!AM385</f>
        <v>-0.1257962676550925</v>
      </c>
    </row>
    <row r="387" spans="1:4" x14ac:dyDescent="0.25">
      <c r="A387" t="str">
        <f>LLM!B387</f>
        <v xml:space="preserve">Kristo, G., Janssen, S. M., &amp; Murre, J. M. (2009). Retention of autobiographical memories: An Internet-based diary study. Memory, 17(8), 816-829.
</v>
      </c>
      <c r="B387">
        <f>LLM!AA387</f>
        <v>3974140.8</v>
      </c>
      <c r="C387" s="63">
        <f>B387/(60*60*24*365)</f>
        <v>0.12601917808219176</v>
      </c>
      <c r="D387" s="63">
        <f>LLM!AM387</f>
        <v>-0.10245942774086458</v>
      </c>
    </row>
    <row r="389" spans="1:4" x14ac:dyDescent="0.25">
      <c r="A389" t="str">
        <f>LLM!B389</f>
        <v xml:space="preserve">Kristo, G., Janssen, S. M., &amp; Murre, J. M. (2009). Retention of autobiographical memories: An Internet-based diary study. Memory, 17(8), 816-829.
</v>
      </c>
      <c r="B389">
        <f>LLM!AA389</f>
        <v>3974140.8</v>
      </c>
      <c r="C389" s="63">
        <f>B389/(60*60*24*365)</f>
        <v>0.12601917808219176</v>
      </c>
      <c r="D389" s="63">
        <f>LLM!AM389</f>
        <v>-0.10446228159936932</v>
      </c>
    </row>
    <row r="391" spans="1:4" x14ac:dyDescent="0.25">
      <c r="A391" t="str">
        <f>LLM!B391</f>
        <v xml:space="preserve">Kristo, G., Janssen, S. M., &amp; Murre, J. M. (2009). Retention of autobiographical memories: An Internet-based diary study. Memory, 17(8), 816-829.
</v>
      </c>
      <c r="B391">
        <f>LLM!AA391</f>
        <v>3974140.8</v>
      </c>
      <c r="C391" s="63">
        <f>B391/(60*60*24*365)</f>
        <v>0.12601917808219176</v>
      </c>
      <c r="D391" s="63">
        <f>LLM!AM391</f>
        <v>-7.7860164813678023E-2</v>
      </c>
    </row>
    <row r="393" spans="1:4" x14ac:dyDescent="0.25">
      <c r="A393" t="str">
        <f>LLM!B393</f>
        <v xml:space="preserve">Kristo, G., Janssen, S. M., &amp; Murre, J. M. (2009). Retention of autobiographical memories: An Internet-based diary study. Memory, 17(8), 816-829.
</v>
      </c>
      <c r="B393">
        <f>LLM!AA393</f>
        <v>3974140.8</v>
      </c>
      <c r="C393" s="63">
        <f>B393/(60*60*24*365)</f>
        <v>0.12601917808219176</v>
      </c>
      <c r="D393" s="63">
        <f>LLM!AM393</f>
        <v>-4.7376859656874416E-2</v>
      </c>
    </row>
    <row r="395" spans="1:4" x14ac:dyDescent="0.25">
      <c r="A395" t="str">
        <f>LLM!B395</f>
        <v xml:space="preserve">Kristo, G., Janssen, S. M., &amp; Murre, J. M. (2009). Retention of autobiographical memories: An Internet-based diary study. Memory, 17(8), 816-829.
</v>
      </c>
      <c r="B395">
        <f>LLM!AA395</f>
        <v>3974140.8</v>
      </c>
      <c r="C395" s="63">
        <f>B395/(60*60*24*365)</f>
        <v>0.12601917808219176</v>
      </c>
      <c r="D395" s="63">
        <f>LLM!AM395</f>
        <v>-0.40127212015301539</v>
      </c>
    </row>
    <row r="397" spans="1:4" x14ac:dyDescent="0.25">
      <c r="A397" t="str">
        <f>LLM!B397</f>
        <v xml:space="preserve">Kristo, G., Janssen, S. M., &amp; Murre, J. M. (2009). Retention of autobiographical memories: An Internet-based diary study. Memory, 17(8), 816-829.
</v>
      </c>
      <c r="B397">
        <f>LLM!AA397</f>
        <v>3974140.8</v>
      </c>
      <c r="C397" s="63">
        <f>B397/(60*60*24*365)</f>
        <v>0.12601917808219176</v>
      </c>
      <c r="D397" s="63">
        <f>LLM!AM397</f>
        <v>-0.11567753955703121</v>
      </c>
    </row>
    <row r="399" spans="1:4" x14ac:dyDescent="0.25">
      <c r="A399" t="str">
        <f>LLM!B399</f>
        <v xml:space="preserve">Kristo, G., Janssen, S. M., &amp; Murre, J. M. (2009). Retention of autobiographical memories: An Internet-based diary study. Memory, 17(8), 816-829.
</v>
      </c>
      <c r="B399">
        <f>LLM!AA399</f>
        <v>3974140.8</v>
      </c>
      <c r="C399" s="63">
        <f>B399/(60*60*24*365)</f>
        <v>0.12601917808219176</v>
      </c>
      <c r="D399" s="63">
        <f>LLM!AM399</f>
        <v>-0.17331820916494636</v>
      </c>
    </row>
    <row r="401" spans="1:4" x14ac:dyDescent="0.25">
      <c r="A401" t="str">
        <f>LLM!B401</f>
        <v xml:space="preserve">Kristo, G., Janssen, S. M., &amp; Murre, J. M. (2009). Retention of autobiographical memories: An Internet-based diary study. Memory, 17(8), 816-829.
</v>
      </c>
      <c r="B401">
        <f>LLM!AA401</f>
        <v>3974140.8</v>
      </c>
      <c r="C401" s="63">
        <f>B401/(60*60*24*365)</f>
        <v>0.12601917808219176</v>
      </c>
      <c r="D401" s="63">
        <f>LLM!AM401</f>
        <v>-0.34508941196526083</v>
      </c>
    </row>
    <row r="403" spans="1:4" x14ac:dyDescent="0.25">
      <c r="A403" t="str">
        <f>LLM!B403</f>
        <v>Krueger, W., &amp; Bentley, Madison. (1929). The effect of overlearning on retention. Journal of Experimental Psychology, 12(1), 71-78.</v>
      </c>
      <c r="B403">
        <f>LLM!AA403</f>
        <v>2419200</v>
      </c>
      <c r="C403" s="63">
        <f>B403/(60*60*24*365)</f>
        <v>7.6712328767123292E-2</v>
      </c>
      <c r="D403" s="63">
        <f>LLM!AM403</f>
        <v>-0.87843214499940236</v>
      </c>
    </row>
    <row r="405" spans="1:4" x14ac:dyDescent="0.25">
      <c r="A405" t="str">
        <f>LLM!B405</f>
        <v>Krueger, W., &amp; Bentley, Madison. (1929). The effect of overlearning on retention. Journal of Experimental Psychology, 12(1), 71-78.</v>
      </c>
      <c r="B405">
        <f>LLM!AA405</f>
        <v>2419200</v>
      </c>
      <c r="C405" s="63">
        <f>B405/(60*60*24*365)</f>
        <v>7.6712328767123292E-2</v>
      </c>
      <c r="D405" s="63">
        <f>LLM!AM405</f>
        <v>-0.19437002776632611</v>
      </c>
    </row>
    <row r="407" spans="1:4" x14ac:dyDescent="0.25">
      <c r="A407" t="str">
        <f>LLM!B407</f>
        <v>Krueger, W., &amp; Bentley, Madison. (1929). The effect of overlearning on retention. Journal of Experimental Psychology, 12(1), 71-78.</v>
      </c>
      <c r="B407">
        <f>LLM!AA407</f>
        <v>2419200</v>
      </c>
      <c r="C407" s="63">
        <f>B407/(60*60*24*365)</f>
        <v>7.6712328767123292E-2</v>
      </c>
      <c r="D407" s="63">
        <f>LLM!AM407</f>
        <v>-0.20807610380928487</v>
      </c>
    </row>
    <row r="409" spans="1:4" x14ac:dyDescent="0.25">
      <c r="A409" t="str">
        <f>LLM!B409</f>
        <v xml:space="preserve">Lavach, J. F. (1971). The effects of emotional arousal on short vs. long term retention of continuously presented information. Final report. Williamsburg, VA: College of William and Mary.
</v>
      </c>
      <c r="B409">
        <f>LLM!AA409</f>
        <v>2628002.88</v>
      </c>
      <c r="C409" s="63">
        <f>B409/(60*60*24*365)</f>
        <v>8.3333424657534239E-2</v>
      </c>
      <c r="D409" s="63">
        <f>LLM!AM409</f>
        <v>-0.10017691213249223</v>
      </c>
    </row>
    <row r="411" spans="1:4" x14ac:dyDescent="0.25">
      <c r="A411" t="str">
        <f>LLM!B411</f>
        <v>Lawless, H. T. (1978)Recognition of common odors, pictures, and simple shapes. Perception &amp; Psychophysics, 24(6), 493-495.</v>
      </c>
      <c r="B411">
        <f>LLM!AA411</f>
        <v>10368000</v>
      </c>
      <c r="C411" s="63">
        <f>B411/(60*60*24*365)</f>
        <v>0.32876712328767121</v>
      </c>
      <c r="D411" s="63">
        <f>LLM!AM411</f>
        <v>-1.6057300874033925E-2</v>
      </c>
    </row>
    <row r="413" spans="1:4" x14ac:dyDescent="0.25">
      <c r="A413" t="str">
        <f>LLM!B413</f>
        <v>Lawless, H. T. (1978)Recognition of common odors, pictures, and simple shapes. Perception &amp; Psychophysics, 24(6), 493-495.</v>
      </c>
      <c r="B413">
        <f>LLM!AA413</f>
        <v>10368000</v>
      </c>
      <c r="C413" s="63">
        <f>B413/(60*60*24*365)</f>
        <v>0.32876712328767121</v>
      </c>
      <c r="D413" s="63">
        <f>LLM!AM413</f>
        <v>-2.4219616948029557E-2</v>
      </c>
    </row>
    <row r="415" spans="1:4" x14ac:dyDescent="0.25">
      <c r="A415" t="str">
        <f>LLM!B415</f>
        <v>Lawless, H. T. (1978)Recognition of common odors, pictures, and simple shapes. Perception &amp; Psychophysics, 24(6), 493-495.</v>
      </c>
      <c r="B415">
        <f>LLM!AA415</f>
        <v>10368000</v>
      </c>
      <c r="C415" s="63">
        <f>B415/(60*60*24*365)</f>
        <v>0.32876712328767121</v>
      </c>
      <c r="D415" s="63">
        <f>LLM!AM415</f>
        <v>-2.116388690400554E-2</v>
      </c>
    </row>
    <row r="416" spans="1:4" x14ac:dyDescent="0.25">
      <c r="D416" s="63"/>
    </row>
    <row r="417" spans="1:4" x14ac:dyDescent="0.25">
      <c r="A417" t="str">
        <f>LLM!B417</f>
        <v>Lucchelli, F., &amp; Spinnler, H. (1998). Ephemeral new traces and evaporated remote engrams: A form of neocortical temporal lobe amnesia? A preliminary case report. Neurocase, 4(6), 447-459.</v>
      </c>
      <c r="B417">
        <f>LLM!AA417</f>
        <v>3542400</v>
      </c>
      <c r="C417" s="63">
        <f>B417/(60*60*24*365)</f>
        <v>0.11232876712328767</v>
      </c>
      <c r="D417" s="63">
        <f>LLM!AM417</f>
        <v>-9.410267272012841E-3</v>
      </c>
    </row>
    <row r="418" spans="1:4" x14ac:dyDescent="0.25">
      <c r="D418" s="63"/>
    </row>
    <row r="419" spans="1:4" x14ac:dyDescent="0.25">
      <c r="A419" t="str">
        <f>LLM!B419</f>
        <v>Lucchelli, F., &amp; Spinnler, H. (1998). Ephemeral new traces and evaporated remote engrams: A form of neocortical temporal lobe amnesia? A preliminary case report. Neurocase, 4(6), 447-459.</v>
      </c>
      <c r="B419">
        <f>LLM!AA419</f>
        <v>3542400</v>
      </c>
      <c r="C419" s="63">
        <f>B419/(60*60*24*365)</f>
        <v>0.11232876712328767</v>
      </c>
      <c r="D419" s="63">
        <f>LLM!AM419</f>
        <v>-0.12376574433129726</v>
      </c>
    </row>
    <row r="421" spans="1:4" x14ac:dyDescent="0.25">
      <c r="A421" t="str">
        <f>LLM!B421</f>
        <v>MacLeod, C. (1988). Forgotten but Not Gone: Savings for Pictures and Words in Long-Term Memory. Journal of Experimental Psychology: Learning, Memory, and Cognition, 14(2), 195-212.</v>
      </c>
      <c r="B421">
        <f>LLM!AA421</f>
        <v>6480000</v>
      </c>
      <c r="C421" s="63">
        <f>B421/(60*60*24*365)</f>
        <v>0.20547945205479451</v>
      </c>
      <c r="D421" s="63">
        <f>LLM!AM421</f>
        <v>-0.17739196345789193</v>
      </c>
    </row>
    <row r="422" spans="1:4" x14ac:dyDescent="0.25">
      <c r="D422" s="63"/>
    </row>
    <row r="423" spans="1:4" x14ac:dyDescent="0.25">
      <c r="A423" t="str">
        <f>LLM!B423</f>
        <v>Mameniskiene, R., Jatuzis, D., Kaubrys, G., &amp; Budrys, V. (2006). The decay of memory between delayed and long-term recall in patients with temporal lobe epilepsy. Epilepsy &amp; Behavior, 8(1), 278-288.</v>
      </c>
      <c r="B423">
        <f>LLM!AA423</f>
        <v>2419200</v>
      </c>
      <c r="C423" s="63">
        <f>B423/(60*60*24*365)</f>
        <v>7.6712328767123292E-2</v>
      </c>
      <c r="D423" s="63">
        <f>LLM!AM423</f>
        <v>-5.3164123577759008E-2</v>
      </c>
    </row>
    <row r="424" spans="1:4" x14ac:dyDescent="0.25">
      <c r="D424" s="63"/>
    </row>
    <row r="425" spans="1:4" x14ac:dyDescent="0.25">
      <c r="A425" t="str">
        <f>LLM!B425</f>
        <v>Mameniskiene, R., Jatuzis, D., Kaubrys, G., &amp; Budrys, V. (2006). The decay of memory between delayed and long-term recall in patients with temporal lobe epilepsy. Epilepsy &amp; Behavior, 8(1), 278-288.</v>
      </c>
      <c r="B425">
        <f>LLM!AA425</f>
        <v>2419200</v>
      </c>
      <c r="C425" s="63">
        <f>B425/(60*60*24*365)</f>
        <v>7.6712328767123292E-2</v>
      </c>
      <c r="D425" s="63">
        <f>LLM!AM425</f>
        <v>-3.3498580021113722E-2</v>
      </c>
    </row>
    <row r="426" spans="1:4" x14ac:dyDescent="0.25">
      <c r="D426" s="63"/>
    </row>
    <row r="427" spans="1:4" x14ac:dyDescent="0.25">
      <c r="A427" t="str">
        <f>LLM!B427</f>
        <v>Mameniskiene, R., Jatuzis, D., Kaubrys, G., &amp; Budrys, V. (2006). The decay of memory between delayed and long-term recall in patients with temporal lobe epilepsy. Epilepsy &amp; Behavior, 8(1), 278-288.</v>
      </c>
      <c r="B427">
        <f>LLM!AA427</f>
        <v>2419200</v>
      </c>
      <c r="C427" s="63">
        <f>B427/(60*60*24*365)</f>
        <v>7.6712328767123292E-2</v>
      </c>
      <c r="D427" s="63">
        <f>LLM!AM427</f>
        <v>-5.4788942536359318E-2</v>
      </c>
    </row>
    <row r="428" spans="1:4" x14ac:dyDescent="0.25">
      <c r="D428" s="63"/>
    </row>
    <row r="429" spans="1:4" x14ac:dyDescent="0.25">
      <c r="A429" t="str">
        <f>LLM!B429</f>
        <v>Manes, F., Graham, K. S., Zeman, A., de Lujan Calcagno, M., &amp; Hodges, J. R. (2005). Autobiographical amnesia and accelerated forgetting in transient epileptic amnesia. Journal of Neurology, Neurosurgery &amp; Psychiatry, 76(10), 1387-1391.</v>
      </c>
      <c r="B429">
        <f>LLM!AA429</f>
        <v>3628800</v>
      </c>
      <c r="C429" s="63">
        <f>B429/(60*60*24*365)</f>
        <v>0.11506849315068493</v>
      </c>
      <c r="D429" s="63">
        <f>LLM!AM429</f>
        <v>-7.0763197295137165E-2</v>
      </c>
    </row>
    <row r="430" spans="1:4" x14ac:dyDescent="0.25">
      <c r="D430" s="63"/>
    </row>
    <row r="431" spans="1:4" x14ac:dyDescent="0.25">
      <c r="A431" t="str">
        <f>LLM!B431</f>
        <v>Manes, F., Graham, K. S., Zeman, A., de Lujan Calcagno, M., &amp; Hodges, J. R. (2005). Autobiographical amnesia and accelerated forgetting in transient epileptic amnesia. Journal of Neurology, Neurosurgery &amp; Psychiatry, 76(10), 1387-1391.</v>
      </c>
      <c r="B431">
        <f>LLM!AA431</f>
        <v>3628800</v>
      </c>
      <c r="C431" s="63">
        <f>B431/(60*60*24*365)</f>
        <v>0.11506849315068493</v>
      </c>
      <c r="D431" s="63">
        <f>LLM!AM431</f>
        <v>-0.193578675770681</v>
      </c>
    </row>
    <row r="433" spans="1:4" x14ac:dyDescent="0.25">
      <c r="A433" t="str">
        <f>LLM!B433</f>
        <v>Markowitsch, H. J., Weber-Luxemburger, G., Ewald, K., Kessler, J., &amp; Heiss, W. D. (1997). Patients with heart attacks are not valid models for medial temporal lobe amnesia. A neuropsychological and FDG-PET study with consequences for memory research. European Journal of Neurology, 4(2), 178-184.</v>
      </c>
      <c r="B433">
        <f>LLM!AA433</f>
        <v>788400000</v>
      </c>
      <c r="C433" s="63">
        <f>B433/(60*60*24*365)</f>
        <v>25</v>
      </c>
      <c r="D433" s="63">
        <f>LLM!AM433</f>
        <v>-0.11634709952102547</v>
      </c>
    </row>
    <row r="435" spans="1:4" x14ac:dyDescent="0.25">
      <c r="A435" t="str">
        <f>LLM!B435</f>
        <v>Marslen-Wilson, W. D., &amp; Teuber, H. L. (1975). Memory for remote events in anterograde amnesia: recognition of public figures from newsphotographs. Neuropsychologia, 13(3), 353-364.</v>
      </c>
      <c r="B435">
        <f>LLM!AA435</f>
        <v>1576800000</v>
      </c>
      <c r="C435" s="63">
        <f>B435/(60*60*24*365)</f>
        <v>50</v>
      </c>
      <c r="D435" s="63">
        <f>LLM!AM435</f>
        <v>-0.10289085895850124</v>
      </c>
    </row>
    <row r="437" spans="1:4" x14ac:dyDescent="0.25">
      <c r="A437" t="str">
        <f>LLM!B437</f>
        <v>Mayes, A. R., Daum, I., Markowisch, H. J., &amp; Sauter, B. (1997). The relationship between retrograde and anterograde amnesia in patients with typical global amnesia. Cortex, 33(2), 197-217.</v>
      </c>
      <c r="B437">
        <f>LLM!AA437</f>
        <v>567648000</v>
      </c>
      <c r="C437" s="63">
        <f>B437/(60*60*24*365)</f>
        <v>18</v>
      </c>
      <c r="D437" s="63">
        <f>LLM!AM437</f>
        <v>-9.5459256484472982E-2</v>
      </c>
    </row>
    <row r="438" spans="1:4" x14ac:dyDescent="0.25">
      <c r="D438" s="63"/>
    </row>
    <row r="439" spans="1:4" x14ac:dyDescent="0.25">
      <c r="A439" t="str">
        <f>LLM!B439</f>
        <v>Mayes, A. R., Isaac, C. L., Holdstock, J. S., Cariga, P., Gummer, A., &amp; Roberts, N. (2003). Long-term amnesia: a review and detailed illustrative case study. Cortex, 39(4-5), 567-603.</v>
      </c>
      <c r="B439">
        <f>LLM!AA439</f>
        <v>1814400</v>
      </c>
      <c r="C439" s="63">
        <f>B439/(60*60*24*365)</f>
        <v>5.7534246575342465E-2</v>
      </c>
      <c r="D439" s="63">
        <f>LLM!AM439</f>
        <v>-3.5747405860801697E-2</v>
      </c>
    </row>
    <row r="440" spans="1:4" x14ac:dyDescent="0.25">
      <c r="D440" s="63"/>
    </row>
    <row r="441" spans="1:4" x14ac:dyDescent="0.25">
      <c r="A441" t="str">
        <f>LLM!B441</f>
        <v>Mayes, A. R., Isaac, C. L., Holdstock, J. S., Cariga, P., Gummer, A., &amp; Roberts, N. (2003). Long-term amnesia: a review and detailed illustrative case study. Cortex, 39(4-5), 567-603.</v>
      </c>
      <c r="B441">
        <f>LLM!AA441</f>
        <v>1814400</v>
      </c>
      <c r="C441" s="63">
        <f>B441/(60*60*24*365)</f>
        <v>5.7534246575342465E-2</v>
      </c>
      <c r="D441" s="63">
        <f>LLM!AM441</f>
        <v>-2.2270177520680771E-2</v>
      </c>
    </row>
    <row r="442" spans="1:4" x14ac:dyDescent="0.25">
      <c r="D442" s="63"/>
    </row>
    <row r="443" spans="1:4" x14ac:dyDescent="0.25">
      <c r="A443" t="str">
        <f>LLM!B443</f>
        <v>Mayes, A. R., Isaac, C. L., Holdstock, J. S., Cariga, P., Gummer, A., &amp; Roberts, N. (2003). Long-term amnesia: a review and detailed illustrative case study. Cortex, 39(4-5), 567-603.</v>
      </c>
      <c r="B443">
        <f>LLM!AA443</f>
        <v>1814400</v>
      </c>
      <c r="C443" s="63">
        <f>B443/(60*60*24*365)</f>
        <v>5.7534246575342465E-2</v>
      </c>
      <c r="D443" s="63">
        <f>LLM!AM443</f>
        <v>-3.5859183422681816E-2</v>
      </c>
    </row>
    <row r="444" spans="1:4" x14ac:dyDescent="0.25">
      <c r="D444" s="63"/>
    </row>
    <row r="445" spans="1:4" x14ac:dyDescent="0.25">
      <c r="A445" t="str">
        <f>LLM!B445</f>
        <v>Mayes, A. R., Isaac, C. L., Holdstock, J. S., Cariga, P., Gummer, A., &amp; Roberts, N. (2003). Long-term amnesia: a review and detailed illustrative case study. Cortex, 39(4-5), 567-603.</v>
      </c>
      <c r="B445">
        <f>LLM!AA445</f>
        <v>1814400</v>
      </c>
      <c r="C445" s="63">
        <f>B445/(60*60*24*365)</f>
        <v>5.7534246575342465E-2</v>
      </c>
      <c r="D445" s="63">
        <f>LLM!AM445</f>
        <v>-3.1695277143817535E-2</v>
      </c>
    </row>
    <row r="446" spans="1:4" x14ac:dyDescent="0.25">
      <c r="D446" s="63"/>
    </row>
    <row r="447" spans="1:4" x14ac:dyDescent="0.25">
      <c r="A447" t="str">
        <f>LLM!B447</f>
        <v>Mayes, A. R., Isaac, C. L., Holdstock, J. S., Cariga, P., Gummer, A., &amp; Roberts, N. (2003). Long-term amnesia: a review and detailed illustrative case study. Cortex, 39(4-5), 567-603.</v>
      </c>
      <c r="B447">
        <f>LLM!AA447</f>
        <v>1814400</v>
      </c>
      <c r="C447" s="63">
        <f>B447/(60*60*24*365)</f>
        <v>5.7534246575342465E-2</v>
      </c>
      <c r="D447" s="63">
        <f>LLM!AM447</f>
        <v>-3.245051501258598E-2</v>
      </c>
    </row>
    <row r="448" spans="1:4" x14ac:dyDescent="0.25">
      <c r="D448" s="63"/>
    </row>
    <row r="449" spans="1:4" x14ac:dyDescent="0.25">
      <c r="A449" t="str">
        <f>LLM!B449</f>
        <v>Mayes, A. R., Isaac, C. L., Holdstock, J. S., Cariga, P., Gummer, A., &amp; Roberts, N. (2003). Long-term amnesia: a review and detailed illustrative case study. Cortex, 39(4-5), 567-603.</v>
      </c>
      <c r="B449">
        <f>LLM!AA449</f>
        <v>1814400</v>
      </c>
      <c r="C449" s="63">
        <f>B449/(60*60*24*365)</f>
        <v>5.7534246575342465E-2</v>
      </c>
      <c r="D449" s="63">
        <f>LLM!AM449</f>
        <v>-2.0269115675704209E-2</v>
      </c>
    </row>
    <row r="451" spans="1:4" x14ac:dyDescent="0.25">
      <c r="A451" t="str">
        <f>LLM!B451</f>
        <v>Mayes, A. R., Meudell, P. R., Mann, D., &amp; Pickering, A. (1988). Location of lesions in Korsakoff's syndrome: neuropsychological and neuropathological data on two patients. Cortex, 24(3), 367-388.</v>
      </c>
      <c r="B451">
        <f>LLM!AA451</f>
        <v>1576800000</v>
      </c>
      <c r="C451" s="63">
        <f>B451/(60*60*24*365)</f>
        <v>50</v>
      </c>
      <c r="D451" s="63">
        <f>LLM!AM451</f>
        <v>-0.41976270112104347</v>
      </c>
    </row>
    <row r="453" spans="1:4" x14ac:dyDescent="0.25">
      <c r="A453" t="str">
        <f>LLM!B453</f>
        <v>Mayes, A. R., Meudell, P. R., Mann, D., &amp; Pickering, A. (1988). Location of lesions in Korsakoff's syndrome: neuropsychological and neuropathological data on two patients. Cortex, 24(3), 367-388.</v>
      </c>
      <c r="B453">
        <f>LLM!AA453</f>
        <v>1576800000</v>
      </c>
      <c r="C453" s="63">
        <f>B453/(60*60*24*365)</f>
        <v>50</v>
      </c>
      <c r="D453" s="63">
        <f>LLM!AM453</f>
        <v>-0.28149290710271108</v>
      </c>
    </row>
    <row r="455" spans="1:4" x14ac:dyDescent="0.25">
      <c r="A455" t="str">
        <f>LLM!B455</f>
        <v>Mayes, A. R., Meudell, P. R., Mann, D., &amp; Pickering, A. (1988). Location of lesions in Korsakoff's syndrome: neuropsychological and neuropathological data on two patients. Cortex, 24(3), 367-388.</v>
      </c>
      <c r="B455">
        <f>LLM!AA455</f>
        <v>1576800000</v>
      </c>
      <c r="C455" s="63">
        <f>B455/(60*60*24*365)</f>
        <v>50</v>
      </c>
      <c r="D455" s="63">
        <f>LLM!AM455</f>
        <v>-0.36659852691459716</v>
      </c>
    </row>
    <row r="457" spans="1:4" x14ac:dyDescent="0.25">
      <c r="A457" t="str">
        <f>LLM!B457</f>
        <v>Mayes, A. R., Meudell, P. R., Mann, D., &amp; Pickering, A. (1988). Location of lesions in Korsakoff's syndrome: neuropsychological and neuropathological data on two patients. Cortex, 24(3), 367-388.</v>
      </c>
      <c r="B457">
        <f>LLM!AA457</f>
        <v>1576800000</v>
      </c>
      <c r="C457" s="63">
        <f>B457/(60*60*24*365)</f>
        <v>50</v>
      </c>
      <c r="D457" s="63">
        <f>LLM!AM457</f>
        <v>-0.19779592563291784</v>
      </c>
    </row>
    <row r="459" spans="1:4" x14ac:dyDescent="0.25">
      <c r="A459" t="str">
        <f>LLM!B459</f>
        <v xml:space="preserve">Meeter, M., Murre, J. M., &amp; Janssen, S. M. (2005). Remembering the news: Modeling retention data from a study with 14,000 participants. Memory &amp; Cognition, 33(5), 793-810.
</v>
      </c>
      <c r="B459">
        <f>LLM!AA459</f>
        <v>32356800</v>
      </c>
      <c r="C459" s="63">
        <f>B459/(60*60*24*365)</f>
        <v>1.026027397260274</v>
      </c>
      <c r="D459" s="63">
        <f>LLM!AM459</f>
        <v>-6.812349177381842E-2</v>
      </c>
    </row>
    <row r="461" spans="1:4" x14ac:dyDescent="0.25">
      <c r="A461" t="str">
        <f>LLM!B461</f>
        <v xml:space="preserve">Meeter, M., Murre, J. M., &amp; Janssen, S. M. (2005). Remembering the news: Modeling retention data from a study with 14,000 participants. Memory &amp; Cognition, 33(5), 793-810.
</v>
      </c>
      <c r="B461">
        <f>LLM!AA461</f>
        <v>32356800</v>
      </c>
      <c r="C461" s="63">
        <f>B461/(60*60*24*365)</f>
        <v>1.026027397260274</v>
      </c>
      <c r="D461" s="63">
        <f>LLM!AM461</f>
        <v>-0.1593494789550107</v>
      </c>
    </row>
    <row r="463" spans="1:4" x14ac:dyDescent="0.25">
      <c r="A463" t="str">
        <f>LLM!B463</f>
        <v>Meudell, P. R., Northen, B., Snowden, J. S., &amp; Neary, D. (1980). Long term memory for famous voices in amnesic and normal subjects. Neuropsychologia, 18(2), 133-139.</v>
      </c>
      <c r="B463">
        <f>LLM!AA463</f>
        <v>1419120000</v>
      </c>
      <c r="C463" s="63">
        <f>B463/(60*60*24*365)</f>
        <v>45</v>
      </c>
      <c r="D463" s="63">
        <f>LLM!AM463</f>
        <v>-0.28550487306301897</v>
      </c>
    </row>
    <row r="465" spans="1:4" x14ac:dyDescent="0.25">
      <c r="A465" t="str">
        <f>LLM!B465</f>
        <v>Meudell, P. R., Northen, B., Snowden, J. S., &amp; Neary, D. (1980). Long term memory for famous voices in amnesic and normal subjects. Neuropsychologia, 18(2), 133-139.</v>
      </c>
      <c r="B465">
        <f>LLM!AA465</f>
        <v>1419120000</v>
      </c>
      <c r="C465" s="63">
        <f>B465/(60*60*24*365)</f>
        <v>45</v>
      </c>
      <c r="D465" s="63">
        <f>LLM!AM465</f>
        <v>-0.182793811559819</v>
      </c>
    </row>
    <row r="467" spans="1:4" x14ac:dyDescent="0.25">
      <c r="A467" t="str">
        <f>LLM!B467</f>
        <v>Montaldi, D., &amp; Parkin, A. J. (1989). Retrograde amnesia in Korsakoff’s syndrome: An experimental and theoretical analysis. In Developments in clinical and experimental neuropsychology (pp. 213-218). Springer, Boston, MA.</v>
      </c>
      <c r="B467">
        <f>LLM!AA467</f>
        <v>1419120000</v>
      </c>
      <c r="C467" s="63">
        <f>B467/(60*60*24*365)</f>
        <v>45</v>
      </c>
      <c r="D467" s="63">
        <f>LLM!AM467</f>
        <v>-7.0402760275188284E-2</v>
      </c>
    </row>
    <row r="468" spans="1:4" x14ac:dyDescent="0.25">
      <c r="D468" s="63"/>
    </row>
    <row r="469" spans="1:4" x14ac:dyDescent="0.25">
      <c r="A469" t="str">
        <f>LLM!B469</f>
        <v>Muhlert, N., Grünewald, R. A., Hunkin, N. M., Reuber, M., Howell, S., Reynders, H., &amp; Isaac, C. L. (2011). Accelerated long-term forgetting in temporal lobe but not idiopathic generalised epilepsy. Neuropsychologia, 49(9), 2417-2426.</v>
      </c>
      <c r="B469">
        <f>LLM!AA469</f>
        <v>1814400</v>
      </c>
      <c r="C469" s="63">
        <f>B469/(60*60*24*365)</f>
        <v>5.7534246575342465E-2</v>
      </c>
      <c r="D469" s="63">
        <f>LLM!AM469</f>
        <v>-8.0125213049529343E-3</v>
      </c>
    </row>
    <row r="470" spans="1:4" x14ac:dyDescent="0.25">
      <c r="D470" s="63"/>
    </row>
    <row r="471" spans="1:4" x14ac:dyDescent="0.25">
      <c r="A471" t="str">
        <f>LLM!B471</f>
        <v>Muhlert, N., Grünewald, R. A., Hunkin, N. M., Reuber, M., Howell, S., Reynders, H., &amp; Isaac, C. L. (2011). Accelerated long-term forgetting in temporal lobe but not idiopathic generalised epilepsy. Neuropsychologia, 49(9), 2417-2426.</v>
      </c>
      <c r="B471">
        <f>LLM!AA471</f>
        <v>1814400</v>
      </c>
      <c r="C471" s="63">
        <f>B471/(60*60*24*365)</f>
        <v>5.7534246575342465E-2</v>
      </c>
      <c r="D471" s="63">
        <f>LLM!AM471</f>
        <v>-1.3236682347725693E-2</v>
      </c>
    </row>
    <row r="472" spans="1:4" x14ac:dyDescent="0.25">
      <c r="D472" s="63"/>
    </row>
    <row r="473" spans="1:4" x14ac:dyDescent="0.25">
      <c r="A473" t="str">
        <f>LLM!B473</f>
        <v>Muhlert, N., Grünewald, R. A., Hunkin, N. M., Reuber, M., Howell, S., Reynders, H., &amp; Isaac, C. L. (2011). Accelerated long-term forgetting in temporal lobe but not idiopathic generalised epilepsy. Neuropsychologia, 49(9), 2417-2426.</v>
      </c>
      <c r="B473">
        <f>LLM!AA473</f>
        <v>1814400</v>
      </c>
      <c r="C473" s="63">
        <f>B473/(60*60*24*365)</f>
        <v>5.7534246575342465E-2</v>
      </c>
      <c r="D473" s="63">
        <f>LLM!AM473</f>
        <v>-1.7099796840932026E-2</v>
      </c>
    </row>
    <row r="474" spans="1:4" x14ac:dyDescent="0.25">
      <c r="D474" s="63"/>
    </row>
    <row r="475" spans="1:4" x14ac:dyDescent="0.25">
      <c r="A475" t="str">
        <f>LLM!B475</f>
        <v>Muhlert, N., Grünewald, R. A., Hunkin, N. M., Reuber, M., Howell, S., Reynders, H., &amp; Isaac, C. L. (2011). Accelerated long-term forgetting in temporal lobe but not idiopathic generalised epilepsy. Neuropsychologia, 49(9), 2417-2426.</v>
      </c>
      <c r="B475">
        <f>LLM!AA475</f>
        <v>1814400</v>
      </c>
      <c r="C475" s="63">
        <f>B475/(60*60*24*365)</f>
        <v>5.7534246575342465E-2</v>
      </c>
      <c r="D475" s="63">
        <f>LLM!AM475</f>
        <v>-2.6763552856926078E-2</v>
      </c>
    </row>
    <row r="476" spans="1:4" x14ac:dyDescent="0.25">
      <c r="D476" s="63"/>
    </row>
    <row r="477" spans="1:4" x14ac:dyDescent="0.25">
      <c r="A477" t="str">
        <f>LLM!B477</f>
        <v>Muhlert, N., Grünewald, R. A., Hunkin, N. M., Reuber, M., Howell, S., Reynders, H., &amp; Isaac, C. L. (2011). Accelerated long-term forgetting in temporal lobe but not idiopathic generalised epilepsy. Neuropsychologia, 49(9), 2417-2426.</v>
      </c>
      <c r="B477">
        <f>LLM!AA477</f>
        <v>1814400</v>
      </c>
      <c r="C477" s="63">
        <f>B477/(60*60*24*365)</f>
        <v>5.7534246575342465E-2</v>
      </c>
      <c r="D477" s="63">
        <f>LLM!AM477</f>
        <v>-1.9799636788292896E-3</v>
      </c>
    </row>
    <row r="478" spans="1:4" x14ac:dyDescent="0.25">
      <c r="D478" s="63"/>
    </row>
    <row r="479" spans="1:4" x14ac:dyDescent="0.25">
      <c r="A479" t="str">
        <f>LLM!B479</f>
        <v>Muhlert, N., Grünewald, R. A., Hunkin, N. M., Reuber, M., Howell, S., Reynders, H., &amp; Isaac, C. L. (2011). Accelerated long-term forgetting in temporal lobe but not idiopathic generalised epilepsy. Neuropsychologia, 49(9), 2417-2426.</v>
      </c>
      <c r="B479">
        <f>LLM!AA479</f>
        <v>1814400</v>
      </c>
      <c r="C479" s="63">
        <f>B479/(60*60*24*365)</f>
        <v>5.7534246575342465E-2</v>
      </c>
      <c r="D479" s="63">
        <f>LLM!AM479</f>
        <v>-1.5433919466815139E-3</v>
      </c>
    </row>
    <row r="480" spans="1:4" x14ac:dyDescent="0.25">
      <c r="D480" s="63"/>
    </row>
    <row r="481" spans="1:4" x14ac:dyDescent="0.25">
      <c r="A481" t="str">
        <f>LLM!B481</f>
        <v>Muhlert, N., Grünewald, R. A., Hunkin, N. M., Reuber, M., Howell, S., Reynders, H., &amp; Isaac, C. L. (2011). Accelerated long-term forgetting in temporal lobe but not idiopathic generalised epilepsy. Neuropsychologia, 49(9), 2417-2426.</v>
      </c>
      <c r="B481">
        <f>LLM!AA481</f>
        <v>1814400</v>
      </c>
      <c r="C481" s="63">
        <f>B481/(60*60*24*365)</f>
        <v>5.7534246575342465E-2</v>
      </c>
      <c r="D481" s="63">
        <f>LLM!AM481</f>
        <v>-1.4760147964970787E-2</v>
      </c>
    </row>
    <row r="482" spans="1:4" x14ac:dyDescent="0.25">
      <c r="D482" s="63"/>
    </row>
    <row r="483" spans="1:4" x14ac:dyDescent="0.25">
      <c r="A483" t="str">
        <f>LLM!B483</f>
        <v>Muhlert, N., Grünewald, R. A., Hunkin, N. M., Reuber, M., Howell, S., Reynders, H., &amp; Isaac, C. L. (2011). Accelerated long-term forgetting in temporal lobe but not idiopathic generalised epilepsy. Neuropsychologia, 49(9), 2417-2426.</v>
      </c>
      <c r="B483">
        <f>LLM!AA483</f>
        <v>1814400</v>
      </c>
      <c r="C483" s="63">
        <f>B483/(60*60*24*365)</f>
        <v>5.7534246575342465E-2</v>
      </c>
      <c r="D483" s="63">
        <f>LLM!AM483</f>
        <v>-1.9652187665199831E-2</v>
      </c>
    </row>
    <row r="484" spans="1:4" x14ac:dyDescent="0.25">
      <c r="D484" s="63"/>
    </row>
    <row r="485" spans="1:4" x14ac:dyDescent="0.25">
      <c r="A485" t="str">
        <f>LLM!B485</f>
        <v>Muhlert, N., Grünewald, R. A., Hunkin, N. M., Reuber, M., Howell, S., Reynders, H., &amp; Isaac, C. L. (2011). Accelerated long-term forgetting in temporal lobe but not idiopathic generalised epilepsy. Neuropsychologia, 49(9), 2417-2426.</v>
      </c>
      <c r="B485">
        <f>LLM!AA485</f>
        <v>1814400</v>
      </c>
      <c r="C485" s="63">
        <f>B485/(60*60*24*365)</f>
        <v>5.7534246575342465E-2</v>
      </c>
      <c r="D485" s="63">
        <f>LLM!AM485</f>
        <v>-3.6092156247544707E-2</v>
      </c>
    </row>
    <row r="486" spans="1:4" x14ac:dyDescent="0.25">
      <c r="D486" s="63"/>
    </row>
    <row r="487" spans="1:4" x14ac:dyDescent="0.25">
      <c r="A487" t="str">
        <f>LLM!B487</f>
        <v>Muhlert, N., Grünewald, R. A., Hunkin, N. M., Reuber, M., Howell, S., Reynders, H., &amp; Isaac, C. L. (2011). Accelerated long-term forgetting in temporal lobe but not idiopathic generalised epilepsy. Neuropsychologia, 49(9), 2417-2426.</v>
      </c>
      <c r="B487">
        <f>LLM!AA487</f>
        <v>1814400</v>
      </c>
      <c r="C487" s="63">
        <f>B487/(60*60*24*365)</f>
        <v>5.7534246575342465E-2</v>
      </c>
      <c r="D487" s="63">
        <f>LLM!AM487</f>
        <v>-4.9120702232254843E-2</v>
      </c>
    </row>
    <row r="488" spans="1:4" x14ac:dyDescent="0.25">
      <c r="D488" s="63"/>
    </row>
    <row r="489" spans="1:4" x14ac:dyDescent="0.25">
      <c r="A489" t="str">
        <f>LLM!B489</f>
        <v>Muhlert, N., Grünewald, R. A., Hunkin, N. M., Reuber, M., Howell, S., Reynders, H., &amp; Isaac, C. L. (2011). Accelerated long-term forgetting in temporal lobe but not idiopathic generalised epilepsy. Neuropsychologia, 49(9), 2417-2426.</v>
      </c>
      <c r="B489">
        <f>LLM!AA489</f>
        <v>1814400</v>
      </c>
      <c r="C489" s="63">
        <f>B489/(60*60*24*365)</f>
        <v>5.7534246575342465E-2</v>
      </c>
      <c r="D489" s="63">
        <f>LLM!AM489</f>
        <v>-1.2582240343330695E-2</v>
      </c>
    </row>
    <row r="490" spans="1:4" x14ac:dyDescent="0.25">
      <c r="D490" s="63"/>
    </row>
    <row r="491" spans="1:4" x14ac:dyDescent="0.25">
      <c r="A491" t="str">
        <f>LLM!B491</f>
        <v>Muhlert, N., Grünewald, R. A., Hunkin, N. M., Reuber, M., Howell, S., Reynders, H., &amp; Isaac, C. L. (2011). Accelerated long-term forgetting in temporal lobe but not idiopathic generalised epilepsy. Neuropsychologia, 49(9), 2417-2426.</v>
      </c>
      <c r="B491">
        <f>LLM!AA491</f>
        <v>1814400</v>
      </c>
      <c r="C491" s="63">
        <f>B491/(60*60*24*365)</f>
        <v>5.7534246575342465E-2</v>
      </c>
      <c r="D491" s="63">
        <f>LLM!AM491</f>
        <v>-1.4662416901925495E-2</v>
      </c>
    </row>
    <row r="492" spans="1:4" x14ac:dyDescent="0.25">
      <c r="D492" s="63"/>
    </row>
    <row r="493" spans="1:4" x14ac:dyDescent="0.25">
      <c r="A493" t="str">
        <f>LLM!B493</f>
        <v>Muhlert, N., Milton, F., Butler, C. R., Kapur, N., &amp; Zeman, A. Z. (2010). Accelerated forgetting of real-life events in Transient Epileptic Amnesia. Neuropsychologia, 48(11), 3235-3244.</v>
      </c>
      <c r="B493">
        <f>LLM!AA493</f>
        <v>1814400</v>
      </c>
      <c r="C493" s="63">
        <f>B493/(60*60*24*365)</f>
        <v>5.7534246575342465E-2</v>
      </c>
      <c r="D493" s="63">
        <f>LLM!AM493</f>
        <v>-6.1115221213029116E-3</v>
      </c>
    </row>
    <row r="494" spans="1:4" x14ac:dyDescent="0.25">
      <c r="D494" s="63"/>
    </row>
    <row r="495" spans="1:4" x14ac:dyDescent="0.25">
      <c r="A495" t="str">
        <f>LLM!B495</f>
        <v>Muhlert, N., Milton, F., Butler, C. R., Kapur, N., &amp; Zeman, A. Z. (2010). Accelerated forgetting of real-life events in Transient Epileptic Amnesia. Neuropsychologia, 48(11), 3235-3244.</v>
      </c>
      <c r="B495">
        <f>LLM!AA495</f>
        <v>1814400</v>
      </c>
      <c r="C495" s="63">
        <f>B495/(60*60*24*365)</f>
        <v>5.7534246575342465E-2</v>
      </c>
      <c r="D495" s="63">
        <f>LLM!AM495</f>
        <v>-2.0057967977810107E-2</v>
      </c>
    </row>
    <row r="496" spans="1:4" x14ac:dyDescent="0.25">
      <c r="D496" s="63"/>
    </row>
    <row r="497" spans="1:4" x14ac:dyDescent="0.25">
      <c r="A497" t="str">
        <f>LLM!B497</f>
        <v>Muhlert, N., Milton, F., Butler, C. R., Kapur, N., &amp; Zeman, A. Z. (2010). Accelerated forgetting of real-life events in Transient Epileptic Amnesia. Neuropsychologia, 48(11), 3235-3244.</v>
      </c>
      <c r="B497">
        <f>LLM!AA497</f>
        <v>1814400</v>
      </c>
      <c r="C497" s="63">
        <f>B497/(60*60*24*365)</f>
        <v>5.7534246575342465E-2</v>
      </c>
      <c r="D497" s="63">
        <f>LLM!AM497</f>
        <v>-2.3219369023365778E-2</v>
      </c>
    </row>
    <row r="499" spans="1:4" x14ac:dyDescent="0.25">
      <c r="A499" t="str">
        <f>LLM!B499</f>
        <v>Mure, J. M. J., &amp; Dross, J. (2015). Replication and analysis of Ebinghaus' Forgetting curve. PLoS ONE, 10(7). 1-23.</v>
      </c>
      <c r="B499">
        <f>LLM!AA499</f>
        <v>2678400</v>
      </c>
      <c r="C499" s="63">
        <f>B499/(60*60*24*365)</f>
        <v>8.4931506849315067E-2</v>
      </c>
      <c r="D499" s="63">
        <f>LLM!AM499</f>
        <v>-0.13771605010460941</v>
      </c>
    </row>
    <row r="501" spans="1:4" x14ac:dyDescent="0.25">
      <c r="A501" t="str">
        <f>LLM!B501</f>
        <v>Mure, J. M. J., &amp; Dross, J. (2015). Replication and analysis of Ebinghaus' Forgetting curve. PLoS ONE, 10(7). 1-23.</v>
      </c>
      <c r="B501">
        <f>LLM!AA501</f>
        <v>2678400</v>
      </c>
      <c r="C501" s="63">
        <f>B501/(60*60*24*365)</f>
        <v>8.4931506849315067E-2</v>
      </c>
      <c r="D501" s="63">
        <f>LLM!AM501</f>
        <v>-0.14901517490609484</v>
      </c>
    </row>
    <row r="503" spans="1:4" x14ac:dyDescent="0.25">
      <c r="A503" t="str">
        <f>LLM!B503</f>
        <v>Mure, J. M. J., &amp; Dross, J. (2015). Replication and analysis of Ebinghaus' Forgetting curve. PLoS ONE, 10(7). 1-23.</v>
      </c>
      <c r="B503">
        <f>LLM!AA503</f>
        <v>2678400</v>
      </c>
      <c r="C503" s="63">
        <f>B503/(60*60*24*365)</f>
        <v>8.4931506849315067E-2</v>
      </c>
      <c r="D503" s="63">
        <f>LLM!AM503</f>
        <v>-0.18391190913912323</v>
      </c>
    </row>
    <row r="505" spans="1:4" x14ac:dyDescent="0.25">
      <c r="A505" t="str">
        <f>LLM!B505</f>
        <v>Nelson, T. O., Shimamura, A. P., &amp; Leonesio, R J. (1980). Large effects on long-term retention after standard list learning vs. adjusted learning. Behavior Research Methods &amp; Instrumentation, 12(1), 42-44.</v>
      </c>
      <c r="B505">
        <f>LLM!AA505</f>
        <v>4233600</v>
      </c>
      <c r="C505" s="63">
        <f>B505/(60*60*24*365)</f>
        <v>0.13424657534246576</v>
      </c>
      <c r="D505" s="63">
        <f>LLM!AM505</f>
        <v>-0.59517119578547173</v>
      </c>
    </row>
    <row r="507" spans="1:4" x14ac:dyDescent="0.25">
      <c r="A507" t="str">
        <f>LLM!B507</f>
        <v>Nelson, T. O., Shimamura, A. P., &amp; Leonesio, R J. (1980). Large effects on long-term retention after standard list learning vs. adjusted learning. Behavior Research Methods &amp; Instrumentation, 12(1), 42-44.</v>
      </c>
      <c r="B507">
        <f>LLM!AA507</f>
        <v>2419200</v>
      </c>
      <c r="C507" s="63">
        <f>B507/(60*60*24*365)</f>
        <v>7.6712328767123292E-2</v>
      </c>
      <c r="D507" s="63">
        <f>LLM!AM507</f>
        <v>-0.59506142618098612</v>
      </c>
    </row>
    <row r="509" spans="1:4" x14ac:dyDescent="0.25">
      <c r="A509" t="str">
        <f>LLM!B509</f>
        <v>Nunoi, M., &amp; Yoshikawa, S. (2016). Deep processing makes stimuli more preferable over long durations. Journal of Cognitive Psychology, 28(6), 756-763.</v>
      </c>
      <c r="B509">
        <f>LLM!AA509</f>
        <v>3628800</v>
      </c>
      <c r="C509" s="63">
        <f>B509/(60*60*24*365)</f>
        <v>0.11506849315068493</v>
      </c>
      <c r="D509" s="63">
        <f>LLM!AM509</f>
        <v>-2.4218402444285553E-3</v>
      </c>
    </row>
    <row r="511" spans="1:4" x14ac:dyDescent="0.25">
      <c r="A511" t="str">
        <f>LLM!B511</f>
        <v>Nunoi, M., &amp; Yoshikawa, S. (2016). Deep processing makes stimuli more preferable over long durations. Journal of Cognitive Psychology, 28(6), 756-763.</v>
      </c>
      <c r="B511">
        <f>LLM!AA511</f>
        <v>3628800</v>
      </c>
      <c r="C511" s="63">
        <f>B511/(60*60*24*365)</f>
        <v>0.11506849315068493</v>
      </c>
      <c r="D511" s="63">
        <f>LLM!AM511</f>
        <v>-1.230302890150585E-2</v>
      </c>
    </row>
    <row r="513" spans="1:4" x14ac:dyDescent="0.25">
      <c r="A513" t="str">
        <f>LLM!B513</f>
        <v>Nunoi, M., &amp; Yoshikawa, S. (2016). Deep processing makes stimuli more preferable over long durations. Journal of Cognitive Psychology, 28(6), 756-763.</v>
      </c>
      <c r="B513">
        <f>LLM!AA513</f>
        <v>3628800</v>
      </c>
      <c r="C513" s="63">
        <f>B513/(60*60*24*365)</f>
        <v>0.11506849315068493</v>
      </c>
      <c r="D513" s="63">
        <f>LLM!AM513</f>
        <v>-9.4010097333786929E-3</v>
      </c>
    </row>
    <row r="515" spans="1:4" x14ac:dyDescent="0.25">
      <c r="A515" t="str">
        <f>LLM!B515</f>
        <v>Nunoi, M., &amp; Yoshikawa, S. (2016). Deep processing makes stimuli more preferable over long durations. Journal of Cognitive Psychology, 28(6), 756-763.</v>
      </c>
      <c r="B515">
        <f>LLM!AA515</f>
        <v>3628800</v>
      </c>
      <c r="C515" s="63">
        <f>B515/(60*60*24*365)</f>
        <v>0.11506849315068493</v>
      </c>
      <c r="D515" s="63">
        <f>LLM!AM515</f>
        <v>-8.3950381219197508E-3</v>
      </c>
    </row>
    <row r="516" spans="1:4" x14ac:dyDescent="0.25">
      <c r="D516" s="63"/>
    </row>
    <row r="517" spans="1:4" x14ac:dyDescent="0.25">
      <c r="A517" t="str">
        <f>LLM!B517</f>
        <v>O'Connor, M., Sieggreen, M. A., Ahern, G., Schomer, D., &amp; Mesulam, M. (1997). Accelerated forgetting in association with temporal lobe epilepsy and paraneoplastic encephalitis. Brain and Cognition, 35(1), 71-84.</v>
      </c>
      <c r="B517">
        <f>LLM!AA517</f>
        <v>1356048000</v>
      </c>
      <c r="C517" s="63">
        <f>B517/(60*60*24*365)</f>
        <v>43</v>
      </c>
      <c r="D517" s="63">
        <f>LLM!AM517</f>
        <v>-1.0042897286851371</v>
      </c>
    </row>
    <row r="519" spans="1:4" x14ac:dyDescent="0.25">
      <c r="A519" t="str">
        <f>LLM!B519</f>
        <v>O'Rear,A. E. &amp; Radvansky, G. A. (2020) Diary Study</v>
      </c>
      <c r="B519">
        <f>LLM!AA519</f>
        <v>7430400</v>
      </c>
      <c r="C519" s="63">
        <f>B519/(60*60*24*365)</f>
        <v>0.23561643835616439</v>
      </c>
      <c r="D519" s="63">
        <f>LLM!AM519</f>
        <v>-0.30272886338985389</v>
      </c>
    </row>
    <row r="521" spans="1:4" x14ac:dyDescent="0.25">
      <c r="A521" t="str">
        <f>LLM!B521</f>
        <v>O'Rear,A. E. &amp; Radvansky, G. A. (2020) Diary Study</v>
      </c>
      <c r="B521">
        <f>LLM!AA521</f>
        <v>7430400</v>
      </c>
      <c r="C521" s="63">
        <f>B521/(60*60*24*365)</f>
        <v>0.23561643835616439</v>
      </c>
      <c r="D521" s="63">
        <f>LLM!AM521</f>
        <v>-0.1001762268856861</v>
      </c>
    </row>
    <row r="523" spans="1:4" x14ac:dyDescent="0.25">
      <c r="A523" t="str">
        <f>LLM!B523</f>
        <v>O'Rear,A. E. &amp; Radvansky, G. A. (2020) Diary Study</v>
      </c>
      <c r="B523">
        <f>LLM!AA523</f>
        <v>7430400</v>
      </c>
      <c r="C523" s="63">
        <f>B523/(60*60*24*365)</f>
        <v>0.23561643835616439</v>
      </c>
      <c r="D523" s="63">
        <f>LLM!AM523</f>
        <v>-7.6700916801430596E-2</v>
      </c>
    </row>
    <row r="525" spans="1:4" x14ac:dyDescent="0.25">
      <c r="A525" t="str">
        <f>LLM!B525</f>
        <v>O'Rear,A. E. &amp; Radvansky, G. A. (2020) Diary Study</v>
      </c>
      <c r="B525">
        <f>LLM!AA525</f>
        <v>7430400</v>
      </c>
      <c r="C525" s="63">
        <f>B525/(60*60*24*365)</f>
        <v>0.23561643835616439</v>
      </c>
      <c r="D525" s="63">
        <f>LLM!AM525</f>
        <v>-8.6888183909583347E-2</v>
      </c>
    </row>
    <row r="527" spans="1:4" x14ac:dyDescent="0.25">
      <c r="A527" t="str">
        <f>LLM!B527</f>
        <v>O'Rear,A. E. &amp; Radvansky, G. A. (2020) Diary Study</v>
      </c>
      <c r="B527">
        <f>LLM!AA527</f>
        <v>7430400</v>
      </c>
      <c r="C527" s="63">
        <f>B527/(60*60*24*365)</f>
        <v>0.23561643835616439</v>
      </c>
      <c r="D527" s="63">
        <f>LLM!AM527</f>
        <v>-6.2898280047467836E-2</v>
      </c>
    </row>
    <row r="529" spans="1:4" x14ac:dyDescent="0.25">
      <c r="A529" t="str">
        <f>LLM!B529</f>
        <v>O'Rear,A. E. &amp; Radvansky, G. A. (2020) Diary Study</v>
      </c>
      <c r="B529">
        <f>LLM!AA529</f>
        <v>7430400</v>
      </c>
      <c r="C529" s="63">
        <f>B529/(60*60*24*365)</f>
        <v>0.23561643835616439</v>
      </c>
      <c r="D529" s="63">
        <f>LLM!AM529</f>
        <v>-0.11060405425667763</v>
      </c>
    </row>
    <row r="531" spans="1:4" x14ac:dyDescent="0.25">
      <c r="A531" t="str">
        <f>LLM!B531</f>
        <v>Parkin, A. J., &amp; Hunkin, N. M. (1991). Memory loss following radiotherapy for nasal pharyngeal carcinoma—an unusual presentation of amnesia. British journal of clinical psychology, 30(4), 349-357.</v>
      </c>
      <c r="B531">
        <f>LLM!AA531</f>
        <v>883008000</v>
      </c>
      <c r="C531" s="63">
        <f>B531/(60*60*24*365)</f>
        <v>28</v>
      </c>
      <c r="D531" s="63">
        <f>LLM!AM531</f>
        <v>-2.0658322225105122E-2</v>
      </c>
    </row>
    <row r="533" spans="1:4" x14ac:dyDescent="0.25">
      <c r="A533" t="str">
        <f>LLM!B533</f>
        <v>Parkin, A. J., &amp; Hunkin, N. M. (1991). Memory loss following radiotherapy for nasal pharyngeal carcinoma—an unusual presentation of amnesia. British journal of clinical psychology, 30(4), 349-357.</v>
      </c>
      <c r="B533">
        <f>LLM!AA533</f>
        <v>1419120000</v>
      </c>
      <c r="C533" s="63">
        <f>B533/(60*60*24*365)</f>
        <v>45</v>
      </c>
      <c r="D533" s="63">
        <f>LLM!AM533</f>
        <v>-0.21340489568808363</v>
      </c>
    </row>
    <row r="535" spans="1:4" x14ac:dyDescent="0.25">
      <c r="A535" t="str">
        <f>LLM!B535</f>
        <v>Parkin, A. J., Montaldi, D., Leng, N. R., &amp; Hunkin, N. M. (1990). Contextual cueing effects in the remote memory of alcoholic Korsakoff patients and normal subjects. Quarterly Journal of Experimental Psychology, 42(3), 585-596.</v>
      </c>
      <c r="B535">
        <f>LLM!AA535</f>
        <v>1576800000</v>
      </c>
      <c r="C535" s="63">
        <f>B535/(60*60*24*365)</f>
        <v>50</v>
      </c>
      <c r="D535" s="63">
        <f>LLM!AM535</f>
        <v>-2.0033701517740796E-2</v>
      </c>
    </row>
    <row r="537" spans="1:4" x14ac:dyDescent="0.25">
      <c r="A537" t="str">
        <f>LLM!B537</f>
        <v>Radosavljevich, P. R. (1907). Das Behalten und Vergessen bei Kindern und Erwachsenen nach experimentellen Untersuchungen:(Das Fortschreiten des Vergessens mit der Zeit) (Vol. 1). O. Nemnich.</v>
      </c>
      <c r="B537">
        <f>LLM!AA537</f>
        <v>10368000</v>
      </c>
      <c r="C537" s="63">
        <f>B537/(60*60*24*365)</f>
        <v>0.32876712328767121</v>
      </c>
      <c r="D537" s="63">
        <f>LLM!AM537</f>
        <v>-0.17930958726966884</v>
      </c>
    </row>
    <row r="539" spans="1:4" x14ac:dyDescent="0.25">
      <c r="A539" t="str">
        <f>LLM!B539</f>
        <v>Radosavljevich, P. R. (1907). Das Behalten und Vergessen bei Kindern und Erwachsenen nach experimentellen Untersuchungen:(Das Fortschreiten des Vergessens mit der Zeit) (Vol. 1). O. Nemnich.</v>
      </c>
      <c r="B539">
        <f>LLM!AA539</f>
        <v>2592000</v>
      </c>
      <c r="C539" s="63">
        <f>B539/(60*60*24*365)</f>
        <v>8.2191780821917804E-2</v>
      </c>
      <c r="D539" s="63">
        <f>LLM!AM539</f>
        <v>-0.10212579563002942</v>
      </c>
    </row>
    <row r="541" spans="1:4" x14ac:dyDescent="0.25">
      <c r="A541" t="str">
        <f>LLM!B541</f>
        <v>Radvansky, G., O’Rear, A., &amp; Fisher, A. (2017). Event models and the fan effect. Memory &amp; Cognition, 45(6), 1028-1044.</v>
      </c>
      <c r="B541">
        <f>LLM!AA541</f>
        <v>1209600</v>
      </c>
      <c r="C541" s="63">
        <f>B541/(60*60*24*365)</f>
        <v>3.8356164383561646E-2</v>
      </c>
      <c r="D541" s="63">
        <f>LLM!AM541</f>
        <v>-1.0711676187510158E-2</v>
      </c>
    </row>
    <row r="543" spans="1:4" x14ac:dyDescent="0.25">
      <c r="A543" t="str">
        <f>LLM!B543</f>
        <v>Reed, J. M., &amp; Squire, L. R. (1998). Retrograde amnesia for facts and events: findings from four new cases. Journal of Neuroscience, 18(10), 3943-3954.</v>
      </c>
      <c r="B543">
        <f>LLM!AA543</f>
        <v>788400000</v>
      </c>
      <c r="C543" s="63">
        <f>B543/(60*60*24*365)</f>
        <v>25</v>
      </c>
      <c r="D543" s="63">
        <f>LLM!AM543</f>
        <v>-0.10351075710531889</v>
      </c>
    </row>
    <row r="545" spans="1:4" x14ac:dyDescent="0.25">
      <c r="A545" t="str">
        <f>LLM!B545</f>
        <v>Reed, J. M., &amp; Squire, L. R. (1998). Retrograde amnesia for facts and events: findings from four new cases. Journal of Neuroscience, 18(10), 3943-3954.</v>
      </c>
      <c r="B545">
        <f>LLM!AA545</f>
        <v>788400000</v>
      </c>
      <c r="C545" s="63">
        <f>B545/(60*60*24*365)</f>
        <v>25</v>
      </c>
      <c r="D545" s="63">
        <f>LLM!AM545</f>
        <v>-4.5285010307737343E-2</v>
      </c>
    </row>
    <row r="547" spans="1:4" x14ac:dyDescent="0.25">
      <c r="A547" t="str">
        <f>LLM!B547</f>
        <v>Reed, J. M., &amp; Squire, L. R. (1998). Retrograde amnesia for facts and events: findings from four new cases. Journal of Neuroscience, 18(10), 3943-3954.</v>
      </c>
      <c r="B547">
        <f>LLM!AA547</f>
        <v>788400000</v>
      </c>
      <c r="C547" s="63">
        <f>B547/(60*60*24*365)</f>
        <v>25</v>
      </c>
      <c r="D547" s="63">
        <f>LLM!AM547</f>
        <v>-5.7309495367118589E-3</v>
      </c>
    </row>
    <row r="549" spans="1:4" x14ac:dyDescent="0.25">
      <c r="A549" t="str">
        <f>LLM!B549</f>
        <v>Reed, J. M., &amp; Squire, L. R. (1998). Retrograde amnesia for facts and events: findings from four new cases. Journal of Neuroscience, 18(10), 3943-3954.</v>
      </c>
      <c r="B549">
        <f>LLM!AA549</f>
        <v>1103760000</v>
      </c>
      <c r="C549" s="63">
        <f>B549/(60*60*24*365)</f>
        <v>35</v>
      </c>
      <c r="D549" s="63">
        <f>LLM!AM549</f>
        <v>-5.5760152791762942E-3</v>
      </c>
    </row>
    <row r="551" spans="1:4" x14ac:dyDescent="0.25">
      <c r="A551" t="str">
        <f>LLM!B551</f>
        <v>Reed, J. M., &amp; Squire, L. R. (1998). Retrograde amnesia for facts and events: findings from four new cases. Journal of Neuroscience, 18(10), 3943-3954.</v>
      </c>
      <c r="B551">
        <f>LLM!AA551</f>
        <v>1103760000</v>
      </c>
      <c r="C551" s="63">
        <f>B551/(60*60*24*365)</f>
        <v>35</v>
      </c>
      <c r="D551" s="63">
        <f>LLM!AM551</f>
        <v>-1.5352684727363144E-2</v>
      </c>
    </row>
    <row r="553" spans="1:4" x14ac:dyDescent="0.25">
      <c r="A553" t="str">
        <f>LLM!B553</f>
        <v>Rohrer, D., Taylor, K., Pashler, H., Wixted, J. T., &amp; Cepeda, N. J. (2005). The effect of overlearning on long-term retention. Applied Cognitive Psychology, 19, 361-374.</v>
      </c>
      <c r="B553">
        <f>LLM!AA553</f>
        <v>5443200</v>
      </c>
      <c r="C553" s="63">
        <f>B553/(60*60*24*365)</f>
        <v>0.17260273972602741</v>
      </c>
      <c r="D553" s="63">
        <f>LLM!AM553</f>
        <v>-0.12744558128548308</v>
      </c>
    </row>
    <row r="555" spans="1:4" x14ac:dyDescent="0.25">
      <c r="A555" t="str">
        <f>LLM!B555</f>
        <v>Rohrer, D., Taylor, K., Pashler, H., Wixted, J. T., &amp; Cepeda, N. J. (2005). The effect of overlearning on long-term retention. Applied Cognitive Psychology, 19, 361-374.</v>
      </c>
      <c r="B555">
        <f>LLM!AA555</f>
        <v>5443200</v>
      </c>
      <c r="C555" s="63">
        <f>B555/(60*60*24*365)</f>
        <v>0.17260273972602741</v>
      </c>
      <c r="D555" s="63">
        <f>LLM!AM555</f>
        <v>-0.16428050018277732</v>
      </c>
    </row>
    <row r="557" spans="1:4" x14ac:dyDescent="0.25">
      <c r="A557" t="str">
        <f>LLM!B557</f>
        <v>Rohrer, D., Taylor, K., Pashler, H., Wixted, J. T., &amp; Cepeda, N. J. (2005). The effect of overlearning on long-term retention. Applied Cognitive Psychology, 19, 361-374.</v>
      </c>
      <c r="B557">
        <f>LLM!AA557</f>
        <v>2419200</v>
      </c>
      <c r="C557" s="63">
        <f>B557/(60*60*24*365)</f>
        <v>7.6712328767123292E-2</v>
      </c>
      <c r="D557" s="63">
        <f>LLM!AM557</f>
        <v>-0.11721782357999157</v>
      </c>
    </row>
    <row r="559" spans="1:4" x14ac:dyDescent="0.25">
      <c r="A559" t="str">
        <f>LLM!B559</f>
        <v>Rohrer, D., Taylor, K., Pashler, H., Wixted, J. T., &amp; Cepeda, N. J. (2005). The effect of overlearning on long-term retention. Applied Cognitive Psychology, 19, 361-374.</v>
      </c>
      <c r="B559">
        <f>LLM!AA559</f>
        <v>2419200</v>
      </c>
      <c r="C559" s="63">
        <f>B559/(60*60*24*365)</f>
        <v>7.6712328767123292E-2</v>
      </c>
      <c r="D559" s="63">
        <f>LLM!AM559</f>
        <v>-0.1271993749383778</v>
      </c>
    </row>
    <row r="561" spans="1:4" x14ac:dyDescent="0.25">
      <c r="A561" t="str">
        <f>LLM!B561</f>
        <v>Rohrer, D. &amp; Taylor, K. (2006). The effects of overlearning and distributed practise on the retention of mathematics knowledge. Applied Cognitive Psychology, 20, 1209-1224.</v>
      </c>
      <c r="B561">
        <f>LLM!AA561</f>
        <v>2419200</v>
      </c>
      <c r="C561" s="63">
        <f>B561/(60*60*24*365)</f>
        <v>7.6712328767123292E-2</v>
      </c>
      <c r="D561" s="63">
        <f>LLM!AM561</f>
        <v>-2.9518131890255525E-2</v>
      </c>
    </row>
    <row r="563" spans="1:4" x14ac:dyDescent="0.25">
      <c r="A563" t="str">
        <f>LLM!B563</f>
        <v>Rohrer, D. &amp; Taylor, K. (2006). The effects of overlearning and distributed practise on the retention of mathematics knowledge. Applied Cognitive Psychology, 20, 1209-1224.</v>
      </c>
      <c r="B563">
        <f>LLM!AA563</f>
        <v>2419200</v>
      </c>
      <c r="C563" s="63">
        <f>B563/(60*60*24*365)</f>
        <v>7.6712328767123292E-2</v>
      </c>
      <c r="D563" s="63">
        <f>LLM!AM563</f>
        <v>-8.9474583952758202E-2</v>
      </c>
    </row>
    <row r="565" spans="1:4" x14ac:dyDescent="0.25">
      <c r="A565" t="str">
        <f>LLM!B565</f>
        <v>Rohrer, D. &amp; Taylor, K. (2006). The effects of overlearning and distributed practise on the retention of mathematics knowledge. Applied Cognitive Psychology, 20, 1209-1224.</v>
      </c>
      <c r="B565">
        <f>LLM!AA565</f>
        <v>2419200</v>
      </c>
      <c r="C565" s="63">
        <f>B565/(60*60*24*365)</f>
        <v>7.6712328767123292E-2</v>
      </c>
      <c r="D565" s="63">
        <f>LLM!AM565</f>
        <v>-0.10426040817463735</v>
      </c>
    </row>
    <row r="567" spans="1:4" x14ac:dyDescent="0.25">
      <c r="A567" t="str">
        <f>LLM!B567</f>
        <v>Rohrer, D. &amp; Taylor, K. (2006). The effects of overlearning and distributed practise on the retention of mathematics knowledge. Applied Cognitive Psychology, 20, 1209-1224.</v>
      </c>
      <c r="B567">
        <f>LLM!AA567</f>
        <v>2419200</v>
      </c>
      <c r="C567" s="63">
        <f>B567/(60*60*24*365)</f>
        <v>7.6712328767123292E-2</v>
      </c>
      <c r="D567" s="63">
        <f>LLM!AM567</f>
        <v>-9.9213181364829386E-2</v>
      </c>
    </row>
    <row r="569" spans="1:4" x14ac:dyDescent="0.25">
      <c r="A569" t="str">
        <f>LLM!B569</f>
        <v xml:space="preserve">Rubin, D. C. (1978). A unit of analysis of prose memory. Journal of Verbal Learning and Verbal Behavior,17,599-620. </v>
      </c>
      <c r="B569">
        <f>LLM!AA569</f>
        <v>2592000</v>
      </c>
      <c r="C569" s="63">
        <f>B569/(60*60*24*365)</f>
        <v>8.2191780821917804E-2</v>
      </c>
      <c r="D569" s="63">
        <f>LLM!AM569</f>
        <v>-3.668101191133457E-2</v>
      </c>
    </row>
    <row r="571" spans="1:4" x14ac:dyDescent="0.25">
      <c r="A571" t="str">
        <f>LLM!B571</f>
        <v xml:space="preserve">Rubin, D. C. (1978). A unit of analysis of prose memory. Journal of Verbal Learning and Verbal Behavior,17,599-620. </v>
      </c>
      <c r="B571">
        <f>LLM!AA571</f>
        <v>2592000</v>
      </c>
      <c r="C571" s="63">
        <f>B571/(60*60*24*365)</f>
        <v>8.2191780821917804E-2</v>
      </c>
      <c r="D571" s="63">
        <f>LLM!AM571</f>
        <v>-2.1432060694601515E-2</v>
      </c>
    </row>
    <row r="573" spans="1:4" x14ac:dyDescent="0.25">
      <c r="A573" t="str">
        <f>LLM!B573</f>
        <v xml:space="preserve">Runquist, W. N. (1983). Some effects of remembering on forgetting. Memory and Cognition, 11(6), 641-650.
</v>
      </c>
      <c r="B573">
        <f>LLM!AA573</f>
        <v>1814400</v>
      </c>
      <c r="C573" s="63">
        <f>B573/(60*60*24*365)</f>
        <v>5.7534246575342465E-2</v>
      </c>
      <c r="D573" s="63">
        <f>LLM!AM573</f>
        <v>-8.6201465973200567E-2</v>
      </c>
    </row>
    <row r="575" spans="1:4" x14ac:dyDescent="0.25">
      <c r="A575" t="str">
        <f>LLM!B575</f>
        <v xml:space="preserve">Runquist, W. N. (1983). Some effects of remembering on forgetting. Memory and Cognition, 11(6), 641-650.
</v>
      </c>
      <c r="B575">
        <f>LLM!AA575</f>
        <v>1814400</v>
      </c>
      <c r="C575" s="63">
        <f>B575/(60*60*24*365)</f>
        <v>5.7534246575342465E-2</v>
      </c>
      <c r="D575" s="63">
        <f>LLM!AM575</f>
        <v>-0.12642838900926681</v>
      </c>
    </row>
    <row r="577" spans="1:4" x14ac:dyDescent="0.25">
      <c r="A577" t="str">
        <f>LLM!B577</f>
        <v xml:space="preserve">Runquist, W. N. (1983). Some effects of remembering on forgetting. Memory and Cognition, 11(6), 641-650.
</v>
      </c>
      <c r="B577">
        <f>LLM!AA577</f>
        <v>1814400</v>
      </c>
      <c r="C577" s="63">
        <f>B577/(60*60*24*365)</f>
        <v>5.7534246575342465E-2</v>
      </c>
      <c r="D577" s="63">
        <f>LLM!AM577</f>
        <v>-0.21474824186994065</v>
      </c>
    </row>
    <row r="579" spans="1:4" x14ac:dyDescent="0.25">
      <c r="A579" t="str">
        <f>LLM!B579</f>
        <v xml:space="preserve">Runquist, W. N. (1983). Some effects of remembering on forgetting. Memory and Cognition, 11(6), 641-650.
</v>
      </c>
      <c r="B579">
        <f>LLM!AA579</f>
        <v>1814400</v>
      </c>
      <c r="C579" s="63">
        <f>B579/(60*60*24*365)</f>
        <v>5.7534246575342465E-2</v>
      </c>
      <c r="D579" s="63">
        <f>LLM!AM579</f>
        <v>-0.22561313495541505</v>
      </c>
    </row>
    <row r="581" spans="1:4" x14ac:dyDescent="0.25">
      <c r="A581" t="str">
        <f>LLM!B581</f>
        <v>Sagar, H. J., Cohen, N. J., Sullivan, E. V., Corkin, S., &amp; Growdon, J. H. (1988). Remote memory function in Alzheimer's disease and Parkinson's disease. Brain, 111(1), 185-206.</v>
      </c>
      <c r="B581">
        <f>LLM!AA581</f>
        <v>1356048000</v>
      </c>
      <c r="C581" s="63">
        <f>B581/(60*60*24*365)</f>
        <v>43</v>
      </c>
      <c r="D581" s="63">
        <f>LLM!AM581</f>
        <v>-3.5834775397589336E-2</v>
      </c>
    </row>
    <row r="583" spans="1:4" x14ac:dyDescent="0.25">
      <c r="A583" t="str">
        <f>LLM!B583</f>
        <v>Sagar, H. J., Cohen, N. J., Sullivan, E. V., Corkin, S., &amp; Growdon, J. H. (1988). Remote memory function in Alzheimer's disease and Parkinson's disease. Brain, 111(1), 185-206.</v>
      </c>
      <c r="B583">
        <f>LLM!AA583</f>
        <v>1356048000</v>
      </c>
      <c r="C583" s="63">
        <f>B583/(60*60*24*365)</f>
        <v>43</v>
      </c>
      <c r="D583" s="63">
        <f>LLM!AM583</f>
        <v>-2.6354258413484558E-2</v>
      </c>
    </row>
    <row r="585" spans="1:4" x14ac:dyDescent="0.25">
      <c r="A585" t="str">
        <f>LLM!B585</f>
        <v>Salmon, D. P., Lasker, B. R., Butters, N., &amp; Beatty, W. W. (1988). Remote memory in a patient with circumscribed amnesia. Brain and cognition, 7(2), 201-211.</v>
      </c>
      <c r="B585">
        <f>LLM!AA585</f>
        <v>1261440000</v>
      </c>
      <c r="C585" s="63">
        <f>B585/(60*60*24*365)</f>
        <v>40</v>
      </c>
      <c r="D585" s="63">
        <f>LLM!AM585</f>
        <v>-7.5328083028667666E-3</v>
      </c>
    </row>
    <row r="587" spans="1:4" x14ac:dyDescent="0.25">
      <c r="A587" t="str">
        <f>LLM!B587</f>
        <v xml:space="preserve">Seamon, J. G., Luo, C. R., Kopecky, J. J., Price, C. A., Rothschild, L., Fung, N. S., &amp; Schwartz, M. A. (2002). Are false memories more difficult to forget than accurate memories? The effect of retention interval on recall and recognition. Memory and Cognition, 30(7), 1054-1064.
</v>
      </c>
      <c r="B587">
        <f>LLM!AA587</f>
        <v>5270400</v>
      </c>
      <c r="C587" s="63">
        <f>B587/(60*60*24*365)</f>
        <v>0.16712328767123288</v>
      </c>
      <c r="D587" s="63">
        <f>LLM!AM587</f>
        <v>-0.11801571386628593</v>
      </c>
    </row>
    <row r="589" spans="1:4" x14ac:dyDescent="0.25">
      <c r="A589" t="str">
        <f>LLM!B589</f>
        <v xml:space="preserve">Seamon, J. G., Luo, C. R., Kopecky, J. J., Price, C. A., Rothschild, L., Fung, N. S., &amp; Schwartz, M. A. (2002). Are false memories more difficult to forget than accurate memories? The effect of retention interval on recall and recognition. Memory and Cognition, 30(7), 1054-1064.
</v>
      </c>
      <c r="B589">
        <f>LLM!AA589</f>
        <v>5270400</v>
      </c>
      <c r="C589" s="63">
        <f>B589/(60*60*24*365)</f>
        <v>0.16712328767123288</v>
      </c>
      <c r="D589" s="63">
        <f>LLM!AM589</f>
        <v>-3.8483309306141564E-2</v>
      </c>
    </row>
    <row r="591" spans="1:4" x14ac:dyDescent="0.25">
      <c r="A591" t="str">
        <f>LLM!B591</f>
        <v>Shapiro, L. (2006). Remembering September 11th: The role of retention interval and rehearsal on flashbulb and event memory. Memory, 14(2), 129-147.</v>
      </c>
      <c r="B591">
        <f>LLM!AA591</f>
        <v>6652800</v>
      </c>
      <c r="C591" s="63">
        <f>B591/(60*60*24*365)</f>
        <v>0.21095890410958903</v>
      </c>
      <c r="D591" s="63">
        <f>LLM!AM591</f>
        <v>-2.8316122209775682E-2</v>
      </c>
    </row>
    <row r="593" spans="1:4" x14ac:dyDescent="0.25">
      <c r="A593" t="str">
        <f>LLM!B593</f>
        <v>Shapiro, L. (2006). Remembering September 11th: The role of retention interval and rehearsal on flashbulb and event memory. Memory, 14(2), 129-147.</v>
      </c>
      <c r="B593">
        <f>LLM!AA593</f>
        <v>6652800</v>
      </c>
      <c r="C593" s="63">
        <f>B593/(60*60*24*365)</f>
        <v>0.21095890410958903</v>
      </c>
      <c r="D593" s="63">
        <f>LLM!AM593</f>
        <v>-2.0089188013380822E-2</v>
      </c>
    </row>
    <row r="595" spans="1:4" x14ac:dyDescent="0.25">
      <c r="A595" t="str">
        <f>LLM!B595</f>
        <v>Shapiro, L. (2006). Remembering September 11th: The role of retention interval and rehearsal on flashbulb and event memory. Memory, 14(2), 129-147.</v>
      </c>
      <c r="B595">
        <f>LLM!AA595</f>
        <v>6652800</v>
      </c>
      <c r="C595" s="63">
        <f>B595/(60*60*24*365)</f>
        <v>0.21095890410958903</v>
      </c>
      <c r="D595" s="63">
        <f>LLM!AM595</f>
        <v>-1.7590767303121063E-2</v>
      </c>
    </row>
    <row r="597" spans="1:4" x14ac:dyDescent="0.25">
      <c r="A597" t="str">
        <f>LLM!B597</f>
        <v>Shapiro, L. (2006). Remembering September 11th: The role of retention interval and rehearsal on flashbulb and event memory. Memory, 14(2), 129-147.</v>
      </c>
      <c r="B597">
        <f>LLM!AA597</f>
        <v>6652800</v>
      </c>
      <c r="C597" s="63">
        <f>B597/(60*60*24*365)</f>
        <v>0.21095890410958903</v>
      </c>
      <c r="D597" s="63">
        <f>LLM!AM597</f>
        <v>-2.4593365099385676E-2</v>
      </c>
    </row>
    <row r="599" spans="1:4" x14ac:dyDescent="0.25">
      <c r="A599" t="str">
        <f>LLM!B599</f>
        <v>Shapiro, L. (2006). Remembering September 11th: The role of retention interval and rehearsal on flashbulb and event memory. Memory, 14(2), 129-147.</v>
      </c>
      <c r="B599">
        <f>LLM!AA599</f>
        <v>6652800</v>
      </c>
      <c r="C599" s="63">
        <f>B599/(60*60*24*365)</f>
        <v>0.21095890410958903</v>
      </c>
      <c r="D599" s="63">
        <f>LLM!AM599</f>
        <v>-7.0286212647664284E-2</v>
      </c>
    </row>
    <row r="601" spans="1:4" x14ac:dyDescent="0.25">
      <c r="A601" t="str">
        <f>LLM!B601</f>
        <v>Shapiro, L. (2006). Remembering September 11th: The role of retention interval and rehearsal on flashbulb and event memory. Memory, 14(2), 129-147.</v>
      </c>
      <c r="B601">
        <f>LLM!AA601</f>
        <v>6652800</v>
      </c>
      <c r="C601" s="63">
        <f>B601/(60*60*24*365)</f>
        <v>0.21095890410958903</v>
      </c>
      <c r="D601" s="63">
        <f>LLM!AM601</f>
        <v>-2.1197041933143659E-2</v>
      </c>
    </row>
    <row r="603" spans="1:4" x14ac:dyDescent="0.25">
      <c r="A603" t="str">
        <f>LLM!B603</f>
        <v>Shapiro, L. (2006). Remembering September 11th: The role of retention interval and rehearsal on flashbulb and event memory. Memory, 14(2), 129-147.</v>
      </c>
      <c r="B603">
        <f>LLM!AA603</f>
        <v>6652800</v>
      </c>
      <c r="C603" s="63">
        <f>B603/(60*60*24*365)</f>
        <v>0.21095890410958903</v>
      </c>
      <c r="D603" s="63">
        <f>LLM!AM603</f>
        <v>6.1001670878660236E-3</v>
      </c>
    </row>
    <row r="605" spans="1:4" x14ac:dyDescent="0.25">
      <c r="A605" t="str">
        <f>LLM!B605</f>
        <v>Shapiro, L. (2006). Remembering September 11th: The role of retention interval and rehearsal on flashbulb and event memory. Memory, 14(2), 129-147.</v>
      </c>
      <c r="B605">
        <f>LLM!AA605</f>
        <v>6652800</v>
      </c>
      <c r="C605" s="63">
        <f>B605/(60*60*24*365)</f>
        <v>0.21095890410958903</v>
      </c>
      <c r="D605" s="63">
        <f>LLM!AM605</f>
        <v>-0.12114824707035662</v>
      </c>
    </row>
    <row r="607" spans="1:4" x14ac:dyDescent="0.25">
      <c r="A607" t="str">
        <f>LLM!B607</f>
        <v>Shepherd, J. W., &amp; Ellis, H. D. (1973). The effect of attractiveness on recognition memory for faces. American Journal of Psychology, 86(3), 627-633.</v>
      </c>
      <c r="B607">
        <f>LLM!AA607</f>
        <v>3024000</v>
      </c>
      <c r="C607" s="63">
        <f>B607/(60*60*24*365)</f>
        <v>9.5890410958904104E-2</v>
      </c>
      <c r="D607" s="63">
        <f>LLM!AM607</f>
        <v>-2.7183433179021613E-2</v>
      </c>
    </row>
    <row r="609" spans="1:4" x14ac:dyDescent="0.25">
      <c r="A609" t="str">
        <f>LLM!B609</f>
        <v>Shepherd, J. W., &amp; Ellis, H. D. (1973). The effect of attractiveness on recognition memory for faces. American Journal of Psychology, 86(3), 627-633.</v>
      </c>
      <c r="B609">
        <f>LLM!AA609</f>
        <v>3024000</v>
      </c>
      <c r="C609" s="63">
        <f>B609/(60*60*24*365)</f>
        <v>9.5890410958904104E-2</v>
      </c>
      <c r="D609" s="63">
        <f>LLM!AM609</f>
        <v>-0.16866132108640955</v>
      </c>
    </row>
    <row r="611" spans="1:4" x14ac:dyDescent="0.25">
      <c r="A611" t="str">
        <f>LLM!B611</f>
        <v>Shepherd, J. W., &amp; Ellis, H. D. (1973). The effect of attractiveness on recognition memory for faces. American Journal of Psychology, 86(3), 627-633.</v>
      </c>
      <c r="B611">
        <f>LLM!AA611</f>
        <v>3024000</v>
      </c>
      <c r="C611" s="63">
        <f>B611/(60*60*24*365)</f>
        <v>9.5890410958904104E-2</v>
      </c>
      <c r="D611" s="63">
        <f>LLM!AM611</f>
        <v>-1.0025145191168542E-2</v>
      </c>
    </row>
    <row r="613" spans="1:4" x14ac:dyDescent="0.25">
      <c r="A613" t="str">
        <f>LLM!B613</f>
        <v>Shepherd, J. W., Ellis, H. D., &amp; Davies, G. M. (1982). Identification evidence: A psychological evaluation. Aberdeen, Scotland: Aberdeen University Press</v>
      </c>
      <c r="B613">
        <f>LLM!AA613</f>
        <v>28512000</v>
      </c>
      <c r="C613" s="63">
        <f>B613/(60*60*24*365)</f>
        <v>0.90410958904109584</v>
      </c>
      <c r="D613" s="63">
        <f>LLM!AM613</f>
        <v>-0.39305204447771663</v>
      </c>
    </row>
    <row r="614" spans="1:4" x14ac:dyDescent="0.25">
      <c r="D614" s="63"/>
    </row>
    <row r="615" spans="1:4" x14ac:dyDescent="0.25">
      <c r="A615" t="str">
        <f>LLM!B615</f>
        <v>Siler, J., &amp; Benjamin, A. S. (2019). Long-term inference and memory following retrieval practice. Memory &amp; Cognition, 48, 645-654.</v>
      </c>
      <c r="B615">
        <f>LLM!AA615</f>
        <v>2160000</v>
      </c>
      <c r="C615" s="63">
        <f>B615/(60*60*24*365)</f>
        <v>6.8493150684931503E-2</v>
      </c>
      <c r="D615" s="63">
        <f>LLM!AM615</f>
        <v>-4.2912645385226955E-3</v>
      </c>
    </row>
    <row r="616" spans="1:4" x14ac:dyDescent="0.25">
      <c r="D616" s="63"/>
    </row>
    <row r="617" spans="1:4" x14ac:dyDescent="0.25">
      <c r="A617" t="str">
        <f>LLM!B617</f>
        <v>Siler, J., &amp; Benjamin, A. S. (2019). Long-term inference and memory following retrieval practice. Memory &amp; Cognition, 48, 645-654.</v>
      </c>
      <c r="B617">
        <f>LLM!AA617</f>
        <v>2160000</v>
      </c>
      <c r="C617" s="63">
        <f>B617/(60*60*24*365)</f>
        <v>6.8493150684931503E-2</v>
      </c>
      <c r="D617" s="63">
        <f>LLM!AM617</f>
        <v>-8.3790614830482613E-3</v>
      </c>
    </row>
    <row r="619" spans="1:4" x14ac:dyDescent="0.25">
      <c r="A619" t="str">
        <f>LLM!B619</f>
        <v xml:space="preserve">Sloman, S. A., Hayman, C. A. G., Ohta, N., Law, J., &amp; Tulving, E. (1988). Forgetting in primed fragment completion. Journal of Experimental Psychology: Learning, Memory, and Cognition, 14(2), 223-239.
</v>
      </c>
      <c r="B619">
        <f>LLM!AA619</f>
        <v>13910400</v>
      </c>
      <c r="C619" s="63">
        <f>B619/(60*60*24*365)</f>
        <v>0.44109589041095892</v>
      </c>
      <c r="D619" s="63">
        <f>LLM!AM619</f>
        <v>-5.8209117567300031E-2</v>
      </c>
    </row>
    <row r="621" spans="1:4" x14ac:dyDescent="0.25">
      <c r="A621" t="str">
        <f>LLM!B621</f>
        <v>Smith, D. A., &amp; Graesser, A. C. (1981). Memory for actions in scripted activities as a function of typicality, retention interval, and retrieval task. Memory &amp; Cognition, 9(6), 550-559.</v>
      </c>
      <c r="B621">
        <f>LLM!AA621</f>
        <v>1814400</v>
      </c>
      <c r="C621" s="63">
        <f>B621/(60*60*24*365)</f>
        <v>5.7534246575342465E-2</v>
      </c>
      <c r="D621" s="63">
        <f>LLM!AM621</f>
        <v>-6.2083523036937302E-2</v>
      </c>
    </row>
    <row r="623" spans="1:4" x14ac:dyDescent="0.25">
      <c r="A623" t="str">
        <f>LLM!B623</f>
        <v>Smith, D. A., &amp; Graesser, A. C. (1981). Memory for actions in scripted activities as a function of typicality, retention interval, and retrieval task. Memory &amp; Cognition, 9(6), 550-559.</v>
      </c>
      <c r="B623">
        <f>LLM!AA623</f>
        <v>1814400</v>
      </c>
      <c r="C623" s="63">
        <f>B623/(60*60*24*365)</f>
        <v>5.7534246575342465E-2</v>
      </c>
      <c r="D623" s="63">
        <f>LLM!AM623</f>
        <v>-0.4328308796194435</v>
      </c>
    </row>
    <row r="625" spans="1:4" x14ac:dyDescent="0.25">
      <c r="A625" t="str">
        <f>LLM!B625</f>
        <v>Smith, D. A., &amp; Graesser, A. C. (1981). Memory for actions in scripted activities as a function of typicality, retention interval, and retrieval task. Memory &amp; Cognition, 9(6), 550-559.</v>
      </c>
      <c r="B625">
        <f>LLM!AA625</f>
        <v>1814400</v>
      </c>
      <c r="C625" s="63">
        <f>B625/(60*60*24*365)</f>
        <v>5.7534246575342465E-2</v>
      </c>
      <c r="D625" s="63">
        <f>LLM!AM625</f>
        <v>-3.4681778044997398E-2</v>
      </c>
    </row>
    <row r="627" spans="1:4" x14ac:dyDescent="0.25">
      <c r="A627" t="str">
        <f>LLM!B627</f>
        <v>Smith, D. A., &amp; Graesser, A. C. (1981). Memory for actions in scripted activities as a function of typicality, retention interval, and retrieval task. Memory &amp; Cognition, 9(6), 550-559.</v>
      </c>
      <c r="B627">
        <f>LLM!AA627</f>
        <v>1814400</v>
      </c>
      <c r="C627" s="63">
        <f>B627/(60*60*24*365)</f>
        <v>5.7534246575342465E-2</v>
      </c>
      <c r="D627" s="63">
        <f>LLM!AM627</f>
        <v>-3.3513376224917048E-2</v>
      </c>
    </row>
    <row r="628" spans="1:4" x14ac:dyDescent="0.25">
      <c r="D628" s="63"/>
    </row>
    <row r="629" spans="1:4" x14ac:dyDescent="0.25">
      <c r="A629" t="str">
        <f>LLM!B629</f>
        <v>Spikman, J. M., Berg, I. J., &amp; Deelman, B. G. (1995). Spared recognition capacity in elderly and closed-head-injury subjects with clinical memory deficits. Journal of clinical and experimental neuropsychology, 17(1), 29-34.</v>
      </c>
      <c r="B629">
        <f>LLM!AA629</f>
        <v>16329600</v>
      </c>
      <c r="C629" s="63">
        <f>B629/(60*60*24*365)</f>
        <v>0.51780821917808217</v>
      </c>
      <c r="D629" s="63">
        <f>LLM!AM629</f>
        <v>-2.8799291828359688E-2</v>
      </c>
    </row>
    <row r="630" spans="1:4" x14ac:dyDescent="0.25">
      <c r="D630" s="63"/>
    </row>
    <row r="631" spans="1:4" x14ac:dyDescent="0.25">
      <c r="A631" t="str">
        <f>LLM!B631</f>
        <v>Spikman, J. M., Berg, I. J., &amp; Deelman, B. G. (1995). Spared recognition capacity in elderly and closed-head-injury subjects with clinical memory deficits. Journal of clinical and experimental neuropsychology, 17(1), 29-34.</v>
      </c>
      <c r="B631">
        <f>LLM!AA631</f>
        <v>16329600</v>
      </c>
      <c r="C631" s="63">
        <f>B631/(60*60*24*365)</f>
        <v>0.51780821917808217</v>
      </c>
      <c r="D631" s="63">
        <f>LLM!AM631</f>
        <v>-3.7895681646718304E-2</v>
      </c>
    </row>
    <row r="633" spans="1:4" x14ac:dyDescent="0.25">
      <c r="A633" t="str">
        <f>LLM!B633</f>
        <v xml:space="preserve">Squire, L. R. (1989). On the course of forgetting in very long-term memory. Journal of Experimental Psychology: Learning, Memory, and Cognition, 15(2), 241-245.
</v>
      </c>
      <c r="B633">
        <f>LLM!AA633</f>
        <v>473040000</v>
      </c>
      <c r="C633" s="63">
        <f>B633/(60*60*24*365)</f>
        <v>15</v>
      </c>
      <c r="D633" s="63">
        <f>LLM!AM633</f>
        <v>-0.12310422284221159</v>
      </c>
    </row>
    <row r="635" spans="1:4" x14ac:dyDescent="0.25">
      <c r="A635" t="str">
        <f>LLM!B635</f>
        <v>Squire, L. R., &amp; Cohen, N. J. (1982). Remote memory, retrograde amnesia, and the neuropsychology of memory. Human memory and amnesia, 275-303.</v>
      </c>
      <c r="B635">
        <f>LLM!AA635</f>
        <v>1419120000</v>
      </c>
      <c r="C635" s="63">
        <f>B635/(60*60*24*365)</f>
        <v>45</v>
      </c>
      <c r="D635" s="63">
        <f>LLM!AM635</f>
        <v>-0.1217517685990107</v>
      </c>
    </row>
    <row r="637" spans="1:4" x14ac:dyDescent="0.25">
      <c r="A637" t="str">
        <f>LLM!B637</f>
        <v>Squire, L. R., Haist, F., &amp; Shimamura, A. P. (1989). The neurology of memory: Quantitative assessment of retrograde amnesia in two groups of amnesic patients. Journal of Neuroscience, 9(3), 828-839.</v>
      </c>
      <c r="B637">
        <f>LLM!AA637</f>
        <v>1356048000</v>
      </c>
      <c r="C637" s="63">
        <f>B637/(60*60*24*365)</f>
        <v>43</v>
      </c>
      <c r="D637" s="63">
        <f>LLM!AM637</f>
        <v>-3.2643197617842429E-2</v>
      </c>
    </row>
    <row r="639" spans="1:4" x14ac:dyDescent="0.25">
      <c r="A639" t="str">
        <f>LLM!B639</f>
        <v>Squire, L. R., &amp; Slater, P. C. (1975). Forgetting in very long-term memory as assessed by an improved questionnaire technique. Journal of Experimental Psychology: Human Learning and Memory, 1(1), 50-54.</v>
      </c>
      <c r="B639">
        <f>LLM!AA639</f>
        <v>504576000</v>
      </c>
      <c r="C639" s="63">
        <f>B639/(60*60*24*365)</f>
        <v>16</v>
      </c>
      <c r="D639" s="63">
        <f>LLM!AM639</f>
        <v>-0.12062843784819145</v>
      </c>
    </row>
    <row r="641" spans="1:4" x14ac:dyDescent="0.25">
      <c r="A641" t="str">
        <f>LLM!B641</f>
        <v>Squire, L. R., &amp; Slater, P. C. (1975). Forgetting in very long-term memory as assessed by an improved questionnaire technique. Journal of Experimental Psychology: Human Learning and Memory, 1(1), 50-54.</v>
      </c>
      <c r="B641">
        <f>LLM!AA641</f>
        <v>504576000</v>
      </c>
      <c r="C641" s="63">
        <f>B641/(60*60*24*365)</f>
        <v>16</v>
      </c>
      <c r="D641" s="63">
        <f>LLM!AM641</f>
        <v>-5.3262785369837355E-2</v>
      </c>
    </row>
    <row r="643" spans="1:4" x14ac:dyDescent="0.25">
      <c r="A643" t="str">
        <f>LLM!B643</f>
        <v>Squire, L. R., &amp; Slater, P. C. (1978). Anterograde and retrograde memory impairment in chronic amnesia. Neuropsychologia, 16(3), 313-322.</v>
      </c>
      <c r="B643">
        <f>LLM!AA643</f>
        <v>725328000</v>
      </c>
      <c r="C643" s="63">
        <f>B643/(60*60*24*365)</f>
        <v>23</v>
      </c>
      <c r="D643" s="63">
        <f>LLM!AM643</f>
        <v>-0.32918904841306779</v>
      </c>
    </row>
    <row r="645" spans="1:4" x14ac:dyDescent="0.25">
      <c r="A645" t="str">
        <f>LLM!B645</f>
        <v>Squire, L. R., &amp; Slater, P. C. (1978). Anterograde and retrograde memory impairment in chronic amnesia. Neuropsychologia, 16(3), 313-322.</v>
      </c>
      <c r="B645">
        <f>LLM!AA645</f>
        <v>725328000</v>
      </c>
      <c r="C645" s="63">
        <f>B645/(60*60*24*365)</f>
        <v>23</v>
      </c>
      <c r="D645" s="63">
        <f>LLM!AM645</f>
        <v>-0.24238493146155224</v>
      </c>
    </row>
    <row r="647" spans="1:4" x14ac:dyDescent="0.25">
      <c r="A647" t="str">
        <f>LLM!B647</f>
        <v>Squire, L. R., &amp; Slater, P. C. (1978). Anterograde and retrograde memory impairment in chronic amnesia. Neuropsychologia, 16(3), 313-322.</v>
      </c>
      <c r="B647">
        <f>LLM!AA647</f>
        <v>725328000</v>
      </c>
      <c r="C647" s="63">
        <f>B647/(60*60*24*365)</f>
        <v>23</v>
      </c>
      <c r="D647" s="63">
        <f>LLM!AM647</f>
        <v>-1.0290427979840413</v>
      </c>
    </row>
    <row r="649" spans="1:4" x14ac:dyDescent="0.25">
      <c r="A649" t="str">
        <f>LLM!B649</f>
        <v>Squire, L. R., &amp; Slater, P. C. (1978). Anterograde and retrograde memory impairment in chronic amnesia. Neuropsychologia, 16(3), 313-322.</v>
      </c>
      <c r="B649">
        <f>LLM!AA649</f>
        <v>725328000</v>
      </c>
      <c r="C649" s="63">
        <f>B649/(60*60*24*365)</f>
        <v>23</v>
      </c>
      <c r="D649" s="63">
        <f>LLM!AM649</f>
        <v>-0.46402196313112604</v>
      </c>
    </row>
    <row r="651" spans="1:4" x14ac:dyDescent="0.25">
      <c r="A651" t="str">
        <f>LLM!B651</f>
        <v>Squire, L. R., Zola-Morgan, S., Cave, C. B., Haist, F., Musen, G., &amp; Suzuki, W. A. (1990, January). Memory: organization of brain systems and cognition. In Cold Spring Harbor symposia on quantitative biology (Vol. 55, pp. 1007-1023). Cold Spring Harbor Laboratory Press.</v>
      </c>
      <c r="B651">
        <f>LLM!AA651</f>
        <v>4838400</v>
      </c>
      <c r="C651" s="63">
        <f>B651/(60*60*24*365)</f>
        <v>0.15342465753424658</v>
      </c>
      <c r="D651" s="63">
        <f>LLM!AM651</f>
        <v>-3.7914969201065102E-2</v>
      </c>
    </row>
    <row r="653" spans="1:4" x14ac:dyDescent="0.25">
      <c r="A653" t="str">
        <f>LLM!B653</f>
        <v>Squire, L. R., Zola-Morgan, S., Cave, C. B., Haist, F., Musen, G., &amp; Suzuki, W. A. (1990, January). Memory: organization of brain systems and cognition. In Cold Spring Harbor symposia on quantitative biology (Vol. 55, pp. 1007-1023). Cold Spring Harbor Laboratory Press.</v>
      </c>
      <c r="B653">
        <f>LLM!AA653</f>
        <v>4838400</v>
      </c>
      <c r="C653" s="63">
        <f>B653/(60*60*24*365)</f>
        <v>0.15342465753424658</v>
      </c>
      <c r="D653" s="63">
        <f>LLM!AM653</f>
        <v>-0.14561903803937642</v>
      </c>
    </row>
    <row r="655" spans="1:4" x14ac:dyDescent="0.25">
      <c r="A655" t="str">
        <f>LLM!B655</f>
        <v xml:space="preserve">Staats, A.W., Minke, K. A., &amp; Stalling, R. B. (1970). Long-term Retention of Conditioned Attitudes (No. TR-6). Hawaii University Honolulu, Department of Psychology.
</v>
      </c>
      <c r="B655">
        <f>LLM!AA655</f>
        <v>2419200</v>
      </c>
      <c r="C655" s="63">
        <f>B655/(60*60*24*365)</f>
        <v>7.6712328767123292E-2</v>
      </c>
      <c r="D655" s="63">
        <f>LLM!AM655</f>
        <v>-9.648432894161274E-2</v>
      </c>
    </row>
    <row r="657" spans="1:4" x14ac:dyDescent="0.25">
      <c r="A657" t="str">
        <f>LLM!B657</f>
        <v xml:space="preserve">Staats, A.W., Minke, K. A., &amp; Stalling, R. B. (1970). Long-term Retention of Conditioned Attitudes (No. TR-6). Hawaii University Honolulu, Department of Psychology.
</v>
      </c>
      <c r="B657">
        <f>LLM!AA657</f>
        <v>2419200</v>
      </c>
      <c r="C657" s="63">
        <f>B657/(60*60*24*365)</f>
        <v>7.6712328767123292E-2</v>
      </c>
      <c r="D657" s="63">
        <f>LLM!AM657</f>
        <v>-9.5340603509042846E-2</v>
      </c>
    </row>
    <row r="659" spans="1:4" x14ac:dyDescent="0.25">
      <c r="A659" t="str">
        <f>LLM!B659</f>
        <v>Stanhope, N., Cohen, G., &amp; Conway, M. (1993). Very long-term retention of a novel. Applied Cognitive Psychology, 7, 239-256.</v>
      </c>
      <c r="B659">
        <f>LLM!AA659</f>
        <v>101088000</v>
      </c>
      <c r="C659" s="63">
        <f>B659/(60*60*24*365)</f>
        <v>3.2054794520547945</v>
      </c>
      <c r="D659" s="63">
        <f>LLM!AM659</f>
        <v>-0.28117244260117219</v>
      </c>
    </row>
    <row r="661" spans="1:4" x14ac:dyDescent="0.25">
      <c r="A661" t="str">
        <f>LLM!B661</f>
        <v>Stanhope, N., Cohen, G., &amp; Conway, M. (1993). Very long-term retention of a novel. Applied Cognitive Psychology, 7, 239-256.</v>
      </c>
      <c r="B661">
        <f>LLM!AA661</f>
        <v>101088000</v>
      </c>
      <c r="C661" s="63">
        <f>B661/(60*60*24*365)</f>
        <v>3.2054794520547945</v>
      </c>
      <c r="D661" s="63">
        <f>LLM!AM661</f>
        <v>-0.11573762504492044</v>
      </c>
    </row>
    <row r="663" spans="1:4" x14ac:dyDescent="0.25">
      <c r="A663" t="str">
        <f>LLM!B663</f>
        <v>Stanhope, N., Cohen, G., &amp; Conway, M. (1993). Very long-term retention of a novel. Applied Cognitive Psychology, 7, 239-256.</v>
      </c>
      <c r="B663">
        <f>LLM!AA663</f>
        <v>101088000</v>
      </c>
      <c r="C663" s="63">
        <f>B663/(60*60*24*365)</f>
        <v>3.2054794520547945</v>
      </c>
      <c r="D663" s="63">
        <f>LLM!AM663</f>
        <v>-1.9812609586346855E-2</v>
      </c>
    </row>
    <row r="665" spans="1:4" x14ac:dyDescent="0.25">
      <c r="A665" t="str">
        <f>LLM!B665</f>
        <v>Stanhope, N., Cohen, G., &amp; Conway, M. (1993). Very long-term retention of a novel. Applied Cognitive Psychology, 7, 239-256.</v>
      </c>
      <c r="B665">
        <f>LLM!AA665</f>
        <v>101088000</v>
      </c>
      <c r="C665" s="63">
        <f>B665/(60*60*24*365)</f>
        <v>3.2054794520547945</v>
      </c>
      <c r="D665" s="63">
        <f>LLM!AM665</f>
        <v>-5.2786728159439598E-2</v>
      </c>
    </row>
    <row r="667" spans="1:4" x14ac:dyDescent="0.25">
      <c r="A667" t="str">
        <f>LLM!B667</f>
        <v>Stanhope, N., Cohen, G., &amp; Conway, M. (1993). Very long-term retention of a novel. Applied Cognitive Psychology, 7, 239-256.</v>
      </c>
      <c r="B667">
        <f>LLM!AA667</f>
        <v>101088000</v>
      </c>
      <c r="C667" s="63">
        <f>B667/(60*60*24*365)</f>
        <v>3.2054794520547945</v>
      </c>
      <c r="D667" s="63">
        <f>LLM!AM667</f>
        <v>-1.3958932447355842E-2</v>
      </c>
    </row>
    <row r="669" spans="1:4" x14ac:dyDescent="0.25">
      <c r="A669" t="str">
        <f>LLM!B669</f>
        <v>Strong, E. K., (1913). The effect of time-interval upon recognition memory. The Psychological Review, 20(5), 339-372.</v>
      </c>
      <c r="B669">
        <f>LLM!AA669</f>
        <v>3628800</v>
      </c>
      <c r="C669" s="63">
        <f>B669/(60*60*24*365)</f>
        <v>0.11506849315068493</v>
      </c>
      <c r="D669" s="63">
        <f>LLM!AM669</f>
        <v>-4.1965243581902553E-2</v>
      </c>
    </row>
    <row r="671" spans="1:4" x14ac:dyDescent="0.25">
      <c r="A671" t="str">
        <f>LLM!B671</f>
        <v xml:space="preserve">Takashima, A., Petersson, K. M., Rutters, F., Tendolkar, I., Jensen, O., Zwarts, M. J., McNaughton, B.L., &amp; Fernandez, G. (2006). Declarative memory consolidation in humans: A prospective functional magnetic resonance imaging study. Proceedings of the National Academy of Sciences of the United States of America, 103(3), 756-761.
</v>
      </c>
      <c r="B671">
        <f>LLM!AA671</f>
        <v>7776000</v>
      </c>
      <c r="C671" s="63">
        <f>B671/(60*60*24*365)</f>
        <v>0.24657534246575341</v>
      </c>
      <c r="D671" s="63">
        <f>LLM!AM671</f>
        <v>-1.2919749232237219E-2</v>
      </c>
    </row>
    <row r="673" spans="1:4" x14ac:dyDescent="0.25">
      <c r="A673" t="str">
        <f>LLM!B673</f>
        <v xml:space="preserve">Takashima, A., Petersson, K. M., Rutters, F., Tendolkar, I., Jensen, O., Zwarts, M. J., McNaughton, B.L., &amp; Fernandez, G. (2006). Declarative memory consolidation in humans: A prospective functional magnetic resonance imaging study. Proceedings of the National Academy of Sciences of the United States of America, 103(3), 756-761.
</v>
      </c>
      <c r="B673">
        <f>LLM!AA673</f>
        <v>7776000</v>
      </c>
      <c r="C673" s="63">
        <f>B673/(60*60*24*365)</f>
        <v>0.24657534246575341</v>
      </c>
      <c r="D673" s="63">
        <f>LLM!AM673</f>
        <v>-5.1106210175642756E-2</v>
      </c>
    </row>
    <row r="675" spans="1:4" x14ac:dyDescent="0.25">
      <c r="A675" t="str">
        <f>LLM!B675</f>
        <v>Talamini, L. M., &amp; Gorree, E. (2012). Aging memories: Differential decay of episodic memory components. Learning &amp; Memory, 19(6), 239-246.</v>
      </c>
      <c r="B675">
        <f>LLM!AA675</f>
        <v>7862400</v>
      </c>
      <c r="C675" s="63">
        <f>B675/(60*60*24*365)</f>
        <v>0.24931506849315069</v>
      </c>
      <c r="D675" s="63">
        <f>LLM!AM675</f>
        <v>-4.0887134782659061E-2</v>
      </c>
    </row>
    <row r="677" spans="1:4" x14ac:dyDescent="0.25">
      <c r="A677" t="str">
        <f>LLM!B677</f>
        <v>Tanaka, Y., Miyazawa, Y., Hashimoto, R., Nakano, I., &amp; Obayashi, T. (1999). Postencephalitic focal retrograde amnesia after bilateral anterior temporal lobe damage. Neurology, 53(2), 344-344.</v>
      </c>
      <c r="B677">
        <f>LLM!AA677</f>
        <v>1261440000</v>
      </c>
      <c r="C677" s="63">
        <f>B677/(60*60*24*365)</f>
        <v>40</v>
      </c>
      <c r="D677" s="63">
        <f>LLM!AM677</f>
        <v>-0.12796230932131564</v>
      </c>
    </row>
    <row r="679" spans="1:4" x14ac:dyDescent="0.25">
      <c r="A679" t="str">
        <f>LLM!B679</f>
        <v>Tanaka, Y., Miyazawa, Y., Hashimoto, R., Nakano, I., &amp; Obayashi, T. (1999). Postencephalitic focal retrograde amnesia after bilateral anterior temporal lobe damage. Neurology, 53(2), 344-344.</v>
      </c>
      <c r="B679">
        <f>LLM!AA679</f>
        <v>1261440000</v>
      </c>
      <c r="C679" s="63">
        <f>B679/(60*60*24*365)</f>
        <v>40</v>
      </c>
      <c r="D679" s="63">
        <f>LLM!AM679</f>
        <v>-0.10881943188381434</v>
      </c>
    </row>
    <row r="681" spans="1:4" x14ac:dyDescent="0.25">
      <c r="A681" t="str">
        <f>LLM!B681</f>
        <v>Tanaka, Y., Miyazawa, Y., Hashimoto, R., Nakano, I., &amp; Obayashi, T. (1999). Postencephalitic focal retrograde amnesia after bilateral anterior temporal lobe damage. Neurology, 53(2), 344-344.</v>
      </c>
      <c r="B681">
        <f>LLM!AA681</f>
        <v>1261440000</v>
      </c>
      <c r="C681" s="63">
        <f>B681/(60*60*24*365)</f>
        <v>40</v>
      </c>
      <c r="D681" s="63">
        <f>LLM!AM681</f>
        <v>-0.41957082991770583</v>
      </c>
    </row>
    <row r="683" spans="1:4" x14ac:dyDescent="0.25">
      <c r="A683" t="str">
        <f>LLM!B683</f>
        <v>Tanaka, Y., Miyazawa, Y., Hashimoto, R., Nakano, I., &amp; Obayashi, T. (1999). Postencephalitic focal retrograde amnesia after bilateral anterior temporal lobe damage. Neurology, 53(2), 344-344.</v>
      </c>
      <c r="B683">
        <f>LLM!AA683</f>
        <v>1261440000</v>
      </c>
      <c r="C683" s="63">
        <f>B683/(60*60*24*365)</f>
        <v>40</v>
      </c>
      <c r="D683" s="63">
        <f>LLM!AM683</f>
        <v>-0.19139513571339281</v>
      </c>
    </row>
    <row r="685" spans="1:4" x14ac:dyDescent="0.25">
      <c r="A685" t="str">
        <f>LLM!B685</f>
        <v>Tanaka, Y., Miyazawa, Y., Hashimoto, R., Nakano, I., &amp; Obayashi, T. (1999). Postencephalitic focal retrograde amnesia after bilateral anterior temporal lobe damage. Neurology, 53(2), 344-344.</v>
      </c>
      <c r="B685">
        <f>LLM!AA685</f>
        <v>1261440000</v>
      </c>
      <c r="C685" s="63">
        <f>B685/(60*60*24*365)</f>
        <v>40</v>
      </c>
      <c r="D685" s="63">
        <f>LLM!AM685</f>
        <v>2.9727723158478062E-2</v>
      </c>
    </row>
    <row r="687" spans="1:4" x14ac:dyDescent="0.25">
      <c r="A687" t="str">
        <f>LLM!B687</f>
        <v>Tanaka, Y., Miyazawa, Y., Hashimoto, R., Nakano, I., &amp; Obayashi, T. (1999). Postencephalitic focal retrograde amnesia after bilateral anterior temporal lobe damage. Neurology, 53(2), 344-344.</v>
      </c>
      <c r="B687">
        <f>LLM!AA687</f>
        <v>1261440000</v>
      </c>
      <c r="C687" s="63">
        <f>B687/(60*60*24*365)</f>
        <v>40</v>
      </c>
      <c r="D687" s="63">
        <f>LLM!AM687</f>
        <v>-0.12179595993905411</v>
      </c>
    </row>
    <row r="689" spans="1:4" x14ac:dyDescent="0.25">
      <c r="A689" t="str">
        <f>LLM!B689</f>
        <v xml:space="preserve">Thompson, C. P., Skowronski, J. J., Larsen, S. F., &amp; Beltz, A. L. (1996). Autobiographical Memory: Remembering what and remembering when. New Jersey: Lawrence Erlbaum Associates, Inc. </v>
      </c>
      <c r="B689">
        <f>LLM!AA689</f>
        <v>77760000</v>
      </c>
      <c r="C689" s="63">
        <f>B689/(60*60*24*365)</f>
        <v>2.4657534246575343</v>
      </c>
      <c r="D689" s="63">
        <f>LLM!AM689</f>
        <v>-0.10246600971556949</v>
      </c>
    </row>
    <row r="691" spans="1:4" x14ac:dyDescent="0.25">
      <c r="A691" t="str">
        <f>LLM!B691</f>
        <v xml:space="preserve">Thompson, C. P., Skowronski, J. J., Larsen, S. F., &amp; Beltz, A. L. (1996). Autobiographical Memory: Remembering what and remembering when. New Jersey: Lawrence Erlbaum Associates, Inc. </v>
      </c>
      <c r="B691">
        <f>LLM!AA691</f>
        <v>77760000</v>
      </c>
      <c r="C691" s="63">
        <f>B691/(60*60*24*365)</f>
        <v>2.4657534246575343</v>
      </c>
      <c r="D691" s="63">
        <f>LLM!AM691</f>
        <v>-0.13558694942411967</v>
      </c>
    </row>
    <row r="692" spans="1:4" x14ac:dyDescent="0.25">
      <c r="D692" s="63"/>
    </row>
    <row r="693" spans="1:4" x14ac:dyDescent="0.25">
      <c r="A693" t="str">
        <f>LLM!B693</f>
        <v>Tramoni, E., Felician, O., Barbeau, E. J., Guedj, E., Guye, M., Bartolomei, F., &amp; Ceccaldi, M. (2011). Long-term consolidation of declarative memory: insight from temporal lobe epilepsy. Brain, 134(3), 816-831.</v>
      </c>
      <c r="B693">
        <f>LLM!AA693</f>
        <v>503712000</v>
      </c>
      <c r="C693" s="63">
        <f>B693/(60*60*24*365)</f>
        <v>15.972602739726028</v>
      </c>
      <c r="D693" s="63">
        <f>LLM!AM693</f>
        <v>-0.10416239400418872</v>
      </c>
    </row>
    <row r="695" spans="1:4" x14ac:dyDescent="0.25">
      <c r="A695" t="str">
        <f>LLM!B695</f>
        <v>Tunney, &amp; Bezzina. (2007). Effects of retention intervals on receiver operating characteristics in artificial grammar learning. Acta Psychologica, 125(1), 37-50.</v>
      </c>
      <c r="B695">
        <f>LLM!AA695</f>
        <v>1209600</v>
      </c>
      <c r="C695" s="63">
        <f>B695/(60*60*24*365)</f>
        <v>3.8356164383561646E-2</v>
      </c>
      <c r="D695" s="63">
        <f>LLM!AM695</f>
        <v>-7.5031778390993948E-3</v>
      </c>
    </row>
    <row r="697" spans="1:4" x14ac:dyDescent="0.25">
      <c r="A697" t="str">
        <f>LLM!B697</f>
        <v>Von Cramon, D. Y., Markowitsch, H. J., &amp; Schuri, U. (1993). The possible contribution of the septal region to memory. Neuropsychologia, 31(11), 1159-1180.</v>
      </c>
      <c r="B697">
        <f>LLM!AA697</f>
        <v>1734480000</v>
      </c>
      <c r="C697" s="63">
        <f>B697/(60*60*24*365)</f>
        <v>55</v>
      </c>
      <c r="D697" s="63">
        <f>LLM!AM697</f>
        <v>-0.22062325043804715</v>
      </c>
    </row>
    <row r="699" spans="1:4" x14ac:dyDescent="0.25">
      <c r="A699" t="str">
        <f>LLM!B699</f>
        <v>Von Cramon, D. Y., Markowitsch, H. J., &amp; Schuri, U. (1993). The possible contribution of the septal region to memory. Neuropsychologia, 31(11), 1159-1180.</v>
      </c>
      <c r="B699">
        <f>LLM!AA699</f>
        <v>1576800000</v>
      </c>
      <c r="C699" s="63">
        <f>B699/(60*60*24*365)</f>
        <v>50</v>
      </c>
      <c r="D699" s="63">
        <f>LLM!AM699</f>
        <v>-0.98537928216199189</v>
      </c>
    </row>
    <row r="701" spans="1:4" x14ac:dyDescent="0.25">
      <c r="A701" t="str">
        <f>LLM!B701</f>
        <v>Von Cramon, D. Y., Markowitsch, H. J., &amp; Schuri, U. (1993). The possible contribution of the septal region to memory. Neuropsychologia, 31(11), 1159-1180.</v>
      </c>
      <c r="B701">
        <f>LLM!AA701</f>
        <v>1576800000</v>
      </c>
      <c r="C701" s="63">
        <f>B701/(60*60*24*365)</f>
        <v>50</v>
      </c>
      <c r="D701" s="63">
        <f>LLM!AM701</f>
        <v>-0.19471488254221</v>
      </c>
    </row>
    <row r="703" spans="1:4" x14ac:dyDescent="0.25">
      <c r="A703" t="str">
        <f>LLM!B703</f>
        <v>Von Cramon, D. Y., Markowitsch, H. J., &amp; Schuri, U. (1993). The possible contribution of the septal region to memory. Neuropsychologia, 31(11), 1159-1180.</v>
      </c>
      <c r="B703">
        <f>LLM!AA703</f>
        <v>1576800000</v>
      </c>
      <c r="C703" s="63">
        <f>B703/(60*60*24*365)</f>
        <v>50</v>
      </c>
      <c r="D703" s="63">
        <f>LLM!AM703</f>
        <v>-0.48077626414542657</v>
      </c>
    </row>
    <row r="705" spans="1:4" x14ac:dyDescent="0.25">
      <c r="A705" t="str">
        <f>LLM!B705</f>
        <v xml:space="preserve">Wagenaar, W. A. (1986). My memory: A study of autobiographical memory over six years. Cognitive Psychology, 18(2), 225-252.
</v>
      </c>
      <c r="B705">
        <f>LLM!AA705</f>
        <v>157680000</v>
      </c>
      <c r="C705" s="63">
        <f>B705/(60*60*24*365)</f>
        <v>5</v>
      </c>
      <c r="D705" s="63">
        <f>LLM!AM705</f>
        <v>-0.33858002550310967</v>
      </c>
    </row>
    <row r="707" spans="1:4" x14ac:dyDescent="0.25">
      <c r="A707" t="str">
        <f>LLM!B707</f>
        <v>Weaver III, C. A., &amp; Krug, K. S. (2004). Consolidation-like effects in flashbulb memories: Evidence from September 11, 2001. American Journal of Psychology, 517-530.</v>
      </c>
      <c r="B707">
        <f>LLM!AA707</f>
        <v>31536000</v>
      </c>
      <c r="C707" s="63">
        <f>B707/(60*60*24*365)</f>
        <v>1</v>
      </c>
      <c r="D707" s="63">
        <f>LLM!AM707</f>
        <v>-3.9324370675004439E-2</v>
      </c>
    </row>
    <row r="708" spans="1:4" x14ac:dyDescent="0.25">
      <c r="D708" s="63"/>
    </row>
    <row r="709" spans="1:4" x14ac:dyDescent="0.25">
      <c r="A709" t="str">
        <f>LLM!B709</f>
        <v>Wilkinson, H., Holdstock, J. S., Baker, G., Herbert, A., Clague, F., &amp; Downes, J. J. (2012). Long-term accelerated forgetting of verbal and non-verbal information in temporal lobe epilepsy. Cortex, 48(3), 317-332.</v>
      </c>
      <c r="B709">
        <f>LLM!AA709</f>
        <v>3628800</v>
      </c>
      <c r="C709" s="63">
        <f>B709/(60*60*24*365)</f>
        <v>0.11506849315068493</v>
      </c>
      <c r="D709" s="63">
        <f>LLM!AM709</f>
        <v>-6.2219086302059662E-2</v>
      </c>
    </row>
    <row r="710" spans="1:4" x14ac:dyDescent="0.25">
      <c r="D710" s="63"/>
    </row>
    <row r="711" spans="1:4" x14ac:dyDescent="0.25">
      <c r="A711" t="str">
        <f>LLM!B711</f>
        <v>Wilkinson, H., Holdstock, J. S., Baker, G., Herbert, A., Clague, F., &amp; Downes, J. J. (2012). Long-term accelerated forgetting of verbal and non-verbal information in temporal lobe epilepsy. Cortex, 48(3), 317-332.</v>
      </c>
      <c r="B711">
        <f>LLM!AA711</f>
        <v>3628800</v>
      </c>
      <c r="C711" s="63">
        <f>B711/(60*60*24*365)</f>
        <v>0.11506849315068493</v>
      </c>
      <c r="D711" s="63">
        <f>LLM!AM711</f>
        <v>-6.3269973440317914E-2</v>
      </c>
    </row>
    <row r="713" spans="1:4" x14ac:dyDescent="0.25">
      <c r="A713" t="str">
        <f>LLM!B713</f>
        <v>Wixted, J. T., &amp; Ebbesen, E. B. (1991). On the form of forgetting. Psychological Science, 2(6), 409-415.</v>
      </c>
      <c r="B713">
        <f>LLM!AA713</f>
        <v>1209600</v>
      </c>
      <c r="C713" s="63">
        <f>B713/(60*60*24*365)</f>
        <v>3.8356164383561646E-2</v>
      </c>
      <c r="D713" s="63">
        <f>LLM!AM713</f>
        <v>-1.5417705311268558E-2</v>
      </c>
    </row>
    <row r="715" spans="1:4" x14ac:dyDescent="0.25">
      <c r="D715" s="63"/>
    </row>
    <row r="717" spans="1:4" x14ac:dyDescent="0.25">
      <c r="D717" s="63"/>
    </row>
    <row r="719" spans="1:4" x14ac:dyDescent="0.25">
      <c r="D719" s="63"/>
    </row>
    <row r="721" spans="4:4" x14ac:dyDescent="0.25">
      <c r="D721" s="63"/>
    </row>
    <row r="723" spans="4:4" x14ac:dyDescent="0.25">
      <c r="D723" s="63"/>
    </row>
    <row r="725" spans="4:4" x14ac:dyDescent="0.25">
      <c r="D725" s="63"/>
    </row>
    <row r="727" spans="4:4" x14ac:dyDescent="0.25">
      <c r="D727" s="63"/>
    </row>
    <row r="729" spans="4:4" x14ac:dyDescent="0.25">
      <c r="D729" s="63"/>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EC341"/>
  <sheetViews>
    <sheetView workbookViewId="0">
      <pane ySplit="1" topLeftCell="A2" activePane="bottomLeft" state="frozen"/>
      <selection activeCell="K1" sqref="K1"/>
      <selection pane="bottomLeft" activeCell="A2" sqref="A2"/>
    </sheetView>
  </sheetViews>
  <sheetFormatPr defaultColWidth="5.28515625" defaultRowHeight="12" customHeight="1" outlineLevelCol="1" x14ac:dyDescent="0.2"/>
  <cols>
    <col min="1" max="1" width="11.28515625" style="61" bestFit="1" customWidth="1"/>
    <col min="2" max="2" width="9.7109375" style="14" customWidth="1"/>
    <col min="3" max="3" width="17.85546875" style="14" customWidth="1"/>
    <col min="4" max="4" width="6.85546875" style="64" customWidth="1"/>
    <col min="5" max="5" width="4.28515625" style="77" customWidth="1"/>
    <col min="6" max="6" width="10.28515625" style="64" bestFit="1" customWidth="1"/>
    <col min="7" max="7" width="9.28515625" style="64" customWidth="1"/>
    <col min="8" max="8" width="14.85546875" style="64" bestFit="1" customWidth="1"/>
    <col min="9" max="9" width="30.5703125" style="64" customWidth="1"/>
    <col min="10" max="10" width="17.5703125" style="64" customWidth="1"/>
    <col min="11" max="11" width="9.5703125" style="64" customWidth="1"/>
    <col min="12" max="12" width="9.7109375" style="64" customWidth="1"/>
    <col min="13" max="13" width="9.7109375" style="64" hidden="1" customWidth="1"/>
    <col min="14" max="14" width="13.85546875" style="64" hidden="1" customWidth="1"/>
    <col min="15" max="15" width="8.7109375" style="64" hidden="1" customWidth="1"/>
    <col min="16" max="16" width="22.7109375" style="64" hidden="1" customWidth="1"/>
    <col min="17" max="17" width="18.28515625" style="64" bestFit="1" customWidth="1"/>
    <col min="18" max="18" width="8.7109375" style="64" hidden="1" customWidth="1"/>
    <col min="19" max="19" width="11.42578125" style="64" hidden="1" customWidth="1"/>
    <col min="20" max="20" width="12.7109375" style="64" hidden="1" customWidth="1"/>
    <col min="21" max="22" width="10.42578125" style="64" hidden="1" customWidth="1"/>
    <col min="23" max="23" width="11.85546875" style="64" hidden="1" customWidth="1"/>
    <col min="24" max="24" width="8.140625" style="64" hidden="1" customWidth="1"/>
    <col min="25" max="25" width="10" style="77" hidden="1" customWidth="1"/>
    <col min="26" max="26" width="15.42578125" style="64" hidden="1" customWidth="1"/>
    <col min="27" max="27" width="11" style="64" customWidth="1"/>
    <col min="28" max="28" width="16.42578125" style="64" customWidth="1"/>
    <col min="29" max="29" width="13.5703125" style="64" customWidth="1"/>
    <col min="30" max="30" width="13.140625" style="64" customWidth="1"/>
    <col min="31" max="31" width="11" style="64" customWidth="1"/>
    <col min="32" max="32" width="12.5703125" style="81" customWidth="1"/>
    <col min="33" max="33" width="10.140625" style="57" customWidth="1"/>
    <col min="34" max="34" width="10.7109375" style="12" customWidth="1"/>
    <col min="35" max="35" width="10.7109375" style="57" customWidth="1"/>
    <col min="36" max="36" width="10.7109375" style="114" customWidth="1"/>
    <col min="37" max="40" width="10.7109375" style="57" customWidth="1"/>
    <col min="41" max="43" width="10.7109375" style="57" customWidth="1" outlineLevel="1"/>
    <col min="44" max="44" width="16.85546875" style="114" customWidth="1" outlineLevel="1"/>
    <col min="45" max="46" width="16.85546875" style="57" customWidth="1" outlineLevel="1"/>
    <col min="47" max="47" width="5.28515625" style="12" outlineLevel="1"/>
    <col min="48" max="50" width="13.42578125" style="45" bestFit="1" customWidth="1" outlineLevel="1"/>
    <col min="51" max="51" width="14.85546875" style="45" bestFit="1" customWidth="1" outlineLevel="1"/>
    <col min="52" max="53" width="14.5703125" style="45" bestFit="1" customWidth="1"/>
    <col min="54" max="54" width="13.5703125" style="45" bestFit="1" customWidth="1"/>
    <col min="55" max="57" width="13.5703125" style="20" bestFit="1" customWidth="1"/>
    <col min="58" max="62" width="12.42578125" style="20" bestFit="1" customWidth="1"/>
    <col min="63" max="74" width="10.42578125" style="20" bestFit="1" customWidth="1"/>
    <col min="75" max="95" width="11.42578125" style="20" bestFit="1" customWidth="1"/>
    <col min="96" max="99" width="12.42578125" style="14" bestFit="1" customWidth="1"/>
    <col min="100" max="133" width="10.42578125" style="14" bestFit="1" customWidth="1"/>
    <col min="134" max="16384" width="5.28515625" style="14"/>
  </cols>
  <sheetData>
    <row r="1" spans="1:99" ht="12" customHeight="1" x14ac:dyDescent="0.2">
      <c r="A1" s="61" t="s">
        <v>304</v>
      </c>
      <c r="B1" s="15" t="s">
        <v>0</v>
      </c>
      <c r="C1" s="15" t="s">
        <v>1</v>
      </c>
      <c r="D1" s="59" t="s">
        <v>2</v>
      </c>
      <c r="E1" s="75" t="s">
        <v>579</v>
      </c>
      <c r="F1" s="59" t="s">
        <v>6</v>
      </c>
      <c r="G1" s="59" t="s">
        <v>485</v>
      </c>
      <c r="H1" s="59" t="s">
        <v>1</v>
      </c>
      <c r="I1" s="59" t="s">
        <v>8</v>
      </c>
      <c r="J1" s="59" t="s">
        <v>7</v>
      </c>
      <c r="K1" s="59" t="s">
        <v>571</v>
      </c>
      <c r="L1" s="59" t="s">
        <v>565</v>
      </c>
      <c r="M1" s="59" t="s">
        <v>569</v>
      </c>
      <c r="N1" s="59" t="s">
        <v>566</v>
      </c>
      <c r="O1" s="59" t="s">
        <v>5</v>
      </c>
      <c r="P1" s="59" t="s">
        <v>570</v>
      </c>
      <c r="Q1" s="59" t="s">
        <v>3</v>
      </c>
      <c r="R1" s="59" t="s">
        <v>568</v>
      </c>
      <c r="S1" s="59" t="s">
        <v>4</v>
      </c>
      <c r="T1" s="59" t="s">
        <v>237</v>
      </c>
      <c r="U1" s="59" t="s">
        <v>910</v>
      </c>
      <c r="V1" s="59" t="s">
        <v>563</v>
      </c>
      <c r="W1" s="59" t="s">
        <v>564</v>
      </c>
      <c r="X1" s="59" t="s">
        <v>576</v>
      </c>
      <c r="Y1" s="75" t="s">
        <v>558</v>
      </c>
      <c r="Z1" s="59" t="s">
        <v>577</v>
      </c>
      <c r="AA1" s="59" t="s">
        <v>327</v>
      </c>
      <c r="AB1" s="59" t="s">
        <v>325</v>
      </c>
      <c r="AC1" s="59" t="s">
        <v>326</v>
      </c>
      <c r="AD1" s="59" t="s">
        <v>578</v>
      </c>
      <c r="AE1" s="59" t="s">
        <v>559</v>
      </c>
      <c r="AF1" s="79" t="s">
        <v>560</v>
      </c>
      <c r="AG1" s="55" t="s">
        <v>546</v>
      </c>
      <c r="AH1" s="4"/>
      <c r="AI1" s="139" t="s">
        <v>297</v>
      </c>
      <c r="AJ1" s="111" t="s">
        <v>289</v>
      </c>
      <c r="AK1" s="55" t="s">
        <v>9</v>
      </c>
      <c r="AL1" s="139" t="s">
        <v>298</v>
      </c>
      <c r="AM1" s="55" t="s">
        <v>10</v>
      </c>
      <c r="AN1" s="55" t="s">
        <v>11</v>
      </c>
      <c r="AO1" s="139" t="s">
        <v>907</v>
      </c>
      <c r="AP1" s="55" t="s">
        <v>303</v>
      </c>
      <c r="AQ1" s="139" t="s">
        <v>908</v>
      </c>
      <c r="AR1" s="111" t="s">
        <v>301</v>
      </c>
      <c r="AS1" s="139" t="s">
        <v>909</v>
      </c>
      <c r="AT1" s="55" t="s">
        <v>302</v>
      </c>
      <c r="AU1" s="4"/>
      <c r="AV1" s="11" t="s">
        <v>292</v>
      </c>
      <c r="AW1" s="11"/>
      <c r="AX1" s="11"/>
      <c r="AY1" s="11"/>
      <c r="AZ1" s="11"/>
      <c r="BA1" s="11"/>
      <c r="BB1" s="11"/>
      <c r="BC1" s="10"/>
      <c r="BD1" s="10"/>
      <c r="BE1" s="10"/>
      <c r="BF1" s="10"/>
      <c r="BG1" s="10"/>
      <c r="BH1" s="10"/>
      <c r="BI1" s="10"/>
      <c r="BJ1" s="10"/>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5"/>
      <c r="CS1" s="15"/>
      <c r="CT1" s="15"/>
      <c r="CU1" s="15"/>
    </row>
    <row r="2" spans="1:99" s="13" customFormat="1" ht="12" customHeight="1" x14ac:dyDescent="0.2">
      <c r="A2" s="68">
        <v>43509</v>
      </c>
      <c r="B2" s="70"/>
      <c r="C2" s="70"/>
      <c r="D2" s="69"/>
      <c r="E2" s="105"/>
      <c r="F2" s="69"/>
      <c r="G2" s="69"/>
      <c r="H2" s="69"/>
      <c r="I2" s="69"/>
      <c r="J2" s="69"/>
      <c r="K2" s="107"/>
      <c r="L2" s="107"/>
      <c r="M2" s="69"/>
      <c r="N2" s="69"/>
      <c r="O2" s="69"/>
      <c r="P2" s="69"/>
      <c r="Q2" s="69"/>
      <c r="R2" s="69"/>
      <c r="S2" s="69"/>
      <c r="T2" s="69"/>
      <c r="U2" s="69"/>
      <c r="V2" s="69"/>
      <c r="W2" s="69"/>
      <c r="X2" s="86"/>
      <c r="Y2" s="87"/>
      <c r="Z2" s="69"/>
      <c r="AA2" s="69"/>
      <c r="AB2" s="69"/>
      <c r="AC2" s="69"/>
      <c r="AD2" s="69"/>
      <c r="AE2" s="69"/>
      <c r="AF2" s="88"/>
      <c r="AG2" s="72"/>
      <c r="AH2" s="4"/>
      <c r="AI2" s="72"/>
      <c r="AJ2" s="110"/>
      <c r="AK2" s="72"/>
      <c r="AL2" s="72"/>
      <c r="AM2" s="72"/>
      <c r="AN2" s="72"/>
      <c r="AO2" s="72"/>
      <c r="AP2" s="72"/>
      <c r="AQ2" s="72"/>
      <c r="AR2" s="110"/>
      <c r="AS2" s="72"/>
      <c r="AT2" s="72"/>
      <c r="AU2" s="4"/>
      <c r="AV2" s="71">
        <f>1.2*60</f>
        <v>72</v>
      </c>
      <c r="AW2" s="71">
        <f>2.4*60</f>
        <v>144</v>
      </c>
      <c r="AX2" s="71">
        <f>5.5*60</f>
        <v>330</v>
      </c>
      <c r="AY2" s="71">
        <f>60*9.5</f>
        <v>570</v>
      </c>
      <c r="AZ2" s="71">
        <f>60*17.3</f>
        <v>1038</v>
      </c>
      <c r="BA2" s="71">
        <f>60*33.1</f>
        <v>1986</v>
      </c>
      <c r="BB2" s="71">
        <f>60*64.2</f>
        <v>3852</v>
      </c>
      <c r="BC2" s="71">
        <f>24*60*60</f>
        <v>86400</v>
      </c>
      <c r="BD2" s="71">
        <f>BC2*7</f>
        <v>604800</v>
      </c>
      <c r="BE2" s="71">
        <f>BD2*4</f>
        <v>2419200</v>
      </c>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1"/>
      <c r="CS2" s="1"/>
      <c r="CT2" s="1"/>
      <c r="CU2" s="1"/>
    </row>
    <row r="3" spans="1:99" s="13" customFormat="1" ht="12" customHeight="1" x14ac:dyDescent="0.2">
      <c r="A3" s="68">
        <v>43509</v>
      </c>
      <c r="B3" s="70" t="s">
        <v>12</v>
      </c>
      <c r="C3" s="70" t="s">
        <v>13</v>
      </c>
      <c r="D3" s="69">
        <v>2009</v>
      </c>
      <c r="E3" s="105">
        <v>1</v>
      </c>
      <c r="F3" s="69">
        <v>16</v>
      </c>
      <c r="G3" s="69">
        <v>16</v>
      </c>
      <c r="H3" s="69" t="s">
        <v>17</v>
      </c>
      <c r="I3" s="69" t="s">
        <v>591</v>
      </c>
      <c r="J3" s="69" t="s">
        <v>16</v>
      </c>
      <c r="K3" s="69">
        <f>IF(J3="syllables",1,IF(J3="trigrams",2,IF(J3="strings",3,IF(J3="visual array",4,IF(J3="characters",5,IF(J3="letters",6,IF(J3="free forms",7,IF(J3="odors",8,IF(J3="words",9,IF(J3="pictures",10,IF(J3="object pictures",11,IF(J3="faces",12,IF(J3="names",13,IF(J3="idioms",14,IF(J3="grades",15,IF(J3="syllable-digit pairs",16,IF(J3="trigram-word pairs",17,IF(J3="word-digit pairs",18,IF(J3="English-Swahili pairs",19,IF(J3="spatial position",20,IF(J3="word pairs",21,IF(J3="word triads",22,IF(J3="generated words",23,IF(J3="word definition pairs",24,IF(J3="math problems",25,IF(J3="famous faces",26,IF(J3="famous names",27,IF(J3="famous voices",28,IF(J3="television programs",29,IF(J3="race horses",30,IF(J3="new vocabulary",31,IF(J3="sentences",32,IF(J3="concepts",33,IF(J3="ad slides",34,IF(J3="scenes",35,IF(J3="famous scenes",36,IF(J3="poems",37,IF(J3="walk",38,IF(J3="faces and events",39,IF(J3="events and names",40,IF(J3="flashbulb",41,IF(J3="stories",42,IF(J3="course material",43,IF(J3="autobiographical",44,IF(J3="novels",45,IF(J3="public events",46,"99"))))))))))))))))))))))))))))))))))))))))))))))</f>
        <v>9</v>
      </c>
      <c r="L3" s="69">
        <f>IF(J3="syllables",1,IF(J3="trigrams",1,IF(J3="strings",1,IF(J3="visual array",1,IF(J3="characters",1,IF(J3="letters",1,IF(J3="free forms",1,IF(J3="odors",2,IF(J3="words",2,IF(J3="pictures",2,IF(J3="object pictures",2,IF(J3="faces",2,IF(J3="names",2,IF(J3="idioms","2",IF(J3="grades",2,IF(J3="syllable-digit pairs",3,IF(J3="trigram-word pairs",3,IF(J3="word-digit pairs",3,IF(J3="English-Swahili pairs",3,IF(J3="spatial position",3,IF(J3="word pairs",4,IF(J3="word triads",4,IF(J3="generated words",4,IF(J3="word definition pairs",4,IF(J3="math problems",4,IF(J3="famous faces",4,IF(J3="famous names",4,IF(J3="famous voices",4,IF(J3="television programs",4,IF(J3="race horses",4,IF(J3="new vocabulary",4,IF(J3="sentences",5,IF(J3="concepts",5,IF(J3="ad slides",5,IF(J3="scenes",5,IF(J3="famous scenes",5,IF(J3="poems",6,IF(J3="walk",6,IF(J3="faces and events",6,IF(J3="events and names",6,IF(J3="flashbulb",7,IF(J3="stories",7,IF(J3="course material",7,IF(J3="autobiographical",7,IF(J3="novels",7,IF(J3="public events",7,"99"))))))))))))))))))))))))))))))))))))))))))))))</f>
        <v>2</v>
      </c>
      <c r="M3" s="69">
        <v>0</v>
      </c>
      <c r="N3" s="69">
        <v>1</v>
      </c>
      <c r="O3" s="69">
        <v>0</v>
      </c>
      <c r="P3" s="69"/>
      <c r="Q3" s="69" t="s">
        <v>14</v>
      </c>
      <c r="R3" s="69">
        <f>IF(Q3="Free Recall",1,IF(Q3="Cued Recall",2,IF(Q3="Recognition",3,IF(Q3="Multiple Choice",4,IF(Q3="Savings",5,IF(Q3="Stem Completion",6,IF(Q3="Fragment Completion",7,IF(Q3="anagram solution",8,IF(Q3="Matching",9,IF(Q3="Problem Solving",10,"99"))))))))))</f>
        <v>6</v>
      </c>
      <c r="S3" s="69" t="s">
        <v>15</v>
      </c>
      <c r="T3" s="92" t="s">
        <v>581</v>
      </c>
      <c r="U3" s="69">
        <f>IF(T3="within",1,0)</f>
        <v>1</v>
      </c>
      <c r="V3" s="69">
        <v>905</v>
      </c>
      <c r="W3" s="69">
        <f>F3*V3</f>
        <v>14480</v>
      </c>
      <c r="X3" s="69">
        <v>10</v>
      </c>
      <c r="Y3" s="87">
        <f>AV2</f>
        <v>72</v>
      </c>
      <c r="Z3" s="69" t="s">
        <v>18</v>
      </c>
      <c r="AA3" s="69">
        <v>2419200</v>
      </c>
      <c r="AB3" s="69" t="str">
        <f>IF(AA3&lt;60,"1",IF(AA3&lt;=43200,"2",IF(AA3&lt;=777600,"3","4")))</f>
        <v>4</v>
      </c>
      <c r="AC3" s="72">
        <f>AVERAGE(AV2:DA2)</f>
        <v>311839.2</v>
      </c>
      <c r="AD3" s="69" t="str">
        <f>IF(AC3&lt;60,"1",IF(AC3&lt;=43200,"2",IF(AC3&lt;=777600,"3","4")))</f>
        <v>3</v>
      </c>
      <c r="AE3" s="87">
        <f>AA3-Y3</f>
        <v>2419128</v>
      </c>
      <c r="AF3" s="88">
        <f>AV3</f>
        <v>0.62</v>
      </c>
      <c r="AG3" s="72">
        <f>((AW3-AV3)+(AX3-AW3)+(AY3-AX3)+(AZ3-AY3)+(BA3-AZ3)+(BB3-BA3)+(BC3-BB3)+(BD3-BC3)+(BE3-BD3))/9</f>
        <v>-4.6666666666666669E-2</v>
      </c>
      <c r="AH3" s="4"/>
      <c r="AI3" s="72">
        <f>RSQ(AV3:BE3,AV2:BE2)</f>
        <v>0.19780589370348969</v>
      </c>
      <c r="AJ3" s="110">
        <f>SLOPE(AV3:BE3,AV2:BE2)</f>
        <v>-7.7104254201619658E-8</v>
      </c>
      <c r="AK3" s="72">
        <f>INTERCEPT(AV3:BE3,AV2:BE2)</f>
        <v>0.35504412894682974</v>
      </c>
      <c r="AL3" s="72">
        <f>INDEX(LINEST(LN(AV3:BE3),LN(AV2:BE2),TRUE,TRUE),3,1)</f>
        <v>0.81395834531462741</v>
      </c>
      <c r="AM3" s="72">
        <f>INDEX(LINEST(LN(AV3:BE3),LN(AV2:BE2)),1)</f>
        <v>-9.1845072529178631E-2</v>
      </c>
      <c r="AN3" s="72">
        <f>EXP(INDEX(LINEST(LN(AV3:BE3),LN(AV2:BE2)),1,2))</f>
        <v>0.66952784552597988</v>
      </c>
      <c r="AO3" s="89">
        <f>INDEX(LINEST((AV3:BE3),LN(AV2:BE2),TRUE,TRUE),3,1)</f>
        <v>0.66451877735809772</v>
      </c>
      <c r="AP3" s="89">
        <f>INDEX(LINEST((AV3:BE3),LN(AV2:BE2)),1)</f>
        <v>-3.0187630450828846E-2</v>
      </c>
      <c r="AQ3" s="90">
        <f>INDEX(LINEST(LN(AV3:BE3),SQRT(AV2:BE2),TRUE,TRUE),3,1)</f>
        <v>0.44418514430868172</v>
      </c>
      <c r="AR3" s="117">
        <f>INDEX(LINEST(LN(AV3:BE3),SQRT((AV2:BE2))),1)</f>
        <v>-4.7812635369060176E-4</v>
      </c>
      <c r="AS3" s="91">
        <f>INDEX(LINEST(1/(AV3:BE3),1/(SQRT(AV2:BE2)),TRUE,TRUE),3,1)</f>
        <v>0.8645731465775881</v>
      </c>
      <c r="AT3" s="91">
        <f>INDEX(LINEST(1/(AV3:BE3),1/SQRT(AV2:BE2)),1)</f>
        <v>-27.235938261162243</v>
      </c>
      <c r="AU3" s="3"/>
      <c r="AV3" s="73">
        <v>0.62</v>
      </c>
      <c r="AW3" s="73">
        <v>0.49</v>
      </c>
      <c r="AX3" s="73">
        <v>0.36</v>
      </c>
      <c r="AY3" s="73">
        <v>0.32</v>
      </c>
      <c r="AZ3" s="73">
        <v>0.3</v>
      </c>
      <c r="BA3" s="73">
        <v>0.28999999999999998</v>
      </c>
      <c r="BB3" s="73">
        <v>0.3</v>
      </c>
      <c r="BC3" s="73">
        <v>0.23</v>
      </c>
      <c r="BD3" s="73">
        <v>0.2</v>
      </c>
      <c r="BE3" s="73">
        <v>0.2</v>
      </c>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1"/>
      <c r="CS3" s="1"/>
      <c r="CT3" s="1"/>
      <c r="CU3" s="1"/>
    </row>
    <row r="4" spans="1:99" s="13" customFormat="1" ht="12" customHeight="1" x14ac:dyDescent="0.2">
      <c r="A4" s="68">
        <v>43509</v>
      </c>
      <c r="B4" s="70"/>
      <c r="C4" s="70"/>
      <c r="D4" s="69"/>
      <c r="E4" s="105"/>
      <c r="F4" s="69"/>
      <c r="G4" s="69"/>
      <c r="H4" s="69"/>
      <c r="I4" s="69"/>
      <c r="J4" s="69"/>
      <c r="K4" s="107"/>
      <c r="L4" s="107"/>
      <c r="M4" s="69"/>
      <c r="N4" s="69"/>
      <c r="O4" s="69"/>
      <c r="P4" s="69"/>
      <c r="Q4" s="69"/>
      <c r="R4" s="69"/>
      <c r="S4" s="69"/>
      <c r="T4" s="69"/>
      <c r="U4" s="69"/>
      <c r="V4" s="69"/>
      <c r="W4" s="69"/>
      <c r="X4" s="69"/>
      <c r="Y4" s="87"/>
      <c r="Z4" s="69"/>
      <c r="AA4" s="69"/>
      <c r="AB4" s="69"/>
      <c r="AC4" s="69"/>
      <c r="AD4" s="69"/>
      <c r="AE4" s="69"/>
      <c r="AF4" s="88"/>
      <c r="AG4" s="72"/>
      <c r="AH4" s="4"/>
      <c r="AI4" s="72"/>
      <c r="AJ4" s="110"/>
      <c r="AK4" s="72"/>
      <c r="AL4" s="72"/>
      <c r="AM4" s="72"/>
      <c r="AN4" s="72"/>
      <c r="AO4" s="89"/>
      <c r="AP4" s="89"/>
      <c r="AQ4" s="89"/>
      <c r="AR4" s="118"/>
      <c r="AS4" s="89"/>
      <c r="AT4" s="89"/>
      <c r="AU4" s="3"/>
      <c r="AV4" s="71">
        <f>1.2*60</f>
        <v>72</v>
      </c>
      <c r="AW4" s="71">
        <f>2.4*60</f>
        <v>144</v>
      </c>
      <c r="AX4" s="71">
        <f>5.5*60</f>
        <v>330</v>
      </c>
      <c r="AY4" s="71">
        <f>60*9.5</f>
        <v>570</v>
      </c>
      <c r="AZ4" s="71">
        <f>60*17.3</f>
        <v>1038</v>
      </c>
      <c r="BA4" s="71">
        <f>60*33.1</f>
        <v>1986</v>
      </c>
      <c r="BB4" s="71">
        <f>60*64.2</f>
        <v>3852</v>
      </c>
      <c r="BC4" s="71">
        <f>24*60*60</f>
        <v>86400</v>
      </c>
      <c r="BD4" s="71">
        <f>BC4*7</f>
        <v>604800</v>
      </c>
      <c r="BE4" s="71">
        <f>BD4*4</f>
        <v>2419200</v>
      </c>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1"/>
      <c r="CS4" s="1"/>
      <c r="CT4" s="1"/>
      <c r="CU4" s="1"/>
    </row>
    <row r="5" spans="1:99" s="13" customFormat="1" ht="12" customHeight="1" x14ac:dyDescent="0.2">
      <c r="A5" s="68">
        <v>43509</v>
      </c>
      <c r="B5" s="70" t="s">
        <v>12</v>
      </c>
      <c r="C5" s="70" t="s">
        <v>13</v>
      </c>
      <c r="D5" s="69">
        <v>2009</v>
      </c>
      <c r="E5" s="105">
        <v>1</v>
      </c>
      <c r="F5" s="69">
        <v>16</v>
      </c>
      <c r="G5" s="69">
        <v>16</v>
      </c>
      <c r="H5" s="69" t="s">
        <v>17</v>
      </c>
      <c r="I5" s="69" t="s">
        <v>592</v>
      </c>
      <c r="J5" s="86" t="s">
        <v>16</v>
      </c>
      <c r="K5" s="69">
        <f>IF(J5="syllables",1,IF(J5="trigrams",2,IF(J5="strings",3,IF(J5="visual array",4,IF(J5="characters",5,IF(J5="letters",6,IF(J5="free forms",7,IF(J5="odors",8,IF(J5="words",9,IF(J5="pictures",10,IF(J5="object pictures",11,IF(J5="faces",12,IF(J5="names",13,IF(J5="idioms",14,IF(J5="grades",15,IF(J5="syllable-digit pairs",16,IF(J5="trigram-word pairs",17,IF(J5="word-digit pairs",18,IF(J5="English-Swahili pairs",19,IF(J5="spatial position",20,IF(J5="word pairs",21,IF(J5="word triads",22,IF(J5="generated words",23,IF(J5="word definition pairs",24,IF(J5="math problems",25,IF(J5="famous faces",26,IF(J5="famous names",27,IF(J5="famous voices",28,IF(J5="television programs",29,IF(J5="race horses",30,IF(J5="new vocabulary",31,IF(J5="sentences",32,IF(J5="concepts",33,IF(J5="ad slides",34,IF(J5="scenes",35,IF(J5="famous scenes",36,IF(J5="poems",37,IF(J5="walk",38,IF(J5="faces and events",39,IF(J5="events and names",40,IF(J5="flashbulb",41,IF(J5="stories",42,IF(J5="course material",43,IF(J5="autobiographical",44,IF(J5="novels",45,IF(J5="public events",46,"99"))))))))))))))))))))))))))))))))))))))))))))))</f>
        <v>9</v>
      </c>
      <c r="L5" s="69">
        <f>IF(J5="syllables",1,IF(J5="trigrams",1,IF(J5="strings",1,IF(J5="visual array",1,IF(J5="characters",1,IF(J5="letters",1,IF(J5="free forms",1,IF(J5="odors",2,IF(J5="words",2,IF(J5="pictures",2,IF(J5="object pictures",2,IF(J5="faces",2,IF(J5="names",2,IF(J5="idioms","2",IF(J5="grades",2,IF(J5="syllable-digit pairs",3,IF(J5="trigram-word pairs",3,IF(J5="word-digit pairs",3,IF(J5="English-Swahili pairs",3,IF(J5="spatial position",3,IF(J5="word pairs",4,IF(J5="word triads",4,IF(J5="generated words",4,IF(J5="word definition pairs",4,IF(J5="math problems",4,IF(J5="famous faces",4,IF(J5="famous names",4,IF(J5="famous voices",4,IF(J5="television programs",4,IF(J5="race horses",4,IF(J5="new vocabulary",4,IF(J5="sentences",5,IF(J5="concepts",5,IF(J5="ad slides",5,IF(J5="scenes",5,IF(J5="famous scenes",5,IF(J5="poems",6,IF(J5="walk",6,IF(J5="faces and events",6,IF(J5="events and names",6,IF(J5="flashbulb",7,IF(J5="stories",7,IF(J5="course material",7,IF(J5="autobiographical",7,IF(J5="novels",7,IF(J5="public events",7,"99"))))))))))))))))))))))))))))))))))))))))))))))</f>
        <v>2</v>
      </c>
      <c r="M5" s="69">
        <v>0</v>
      </c>
      <c r="N5" s="86">
        <v>1</v>
      </c>
      <c r="O5" s="69">
        <v>0</v>
      </c>
      <c r="P5" s="69"/>
      <c r="Q5" s="69" t="s">
        <v>65</v>
      </c>
      <c r="R5" s="69">
        <f>IF(Q5="Free Recall",1,IF(Q5="Cued Recall",2,IF(Q5="Recognition",3,IF(Q5="Multiple Choice",4,IF(Q5="Savings",5,IF(Q5="Stem Completion",6,IF(Q5="Fragment Completion",7,IF(Q5="anagram solution",8,IF(Q5="Matching",9,IF(Q5="Problem Solving",10,"99"))))))))))</f>
        <v>2</v>
      </c>
      <c r="S5" s="69" t="s">
        <v>15</v>
      </c>
      <c r="T5" s="92" t="s">
        <v>581</v>
      </c>
      <c r="U5" s="69">
        <f>IF(T5="within",1,0)</f>
        <v>1</v>
      </c>
      <c r="V5" s="86">
        <v>905</v>
      </c>
      <c r="W5" s="69">
        <f>F5*V5</f>
        <v>14480</v>
      </c>
      <c r="X5" s="69">
        <v>10</v>
      </c>
      <c r="Y5" s="87">
        <f>AV4</f>
        <v>72</v>
      </c>
      <c r="Z5" s="69" t="s">
        <v>18</v>
      </c>
      <c r="AA5" s="69">
        <v>2419200</v>
      </c>
      <c r="AB5" s="69" t="str">
        <f>IF(AA5&lt;60,"1",IF(AA5&lt;=43200,"2",IF(AA5&lt;=777600,"3","4")))</f>
        <v>4</v>
      </c>
      <c r="AC5" s="72">
        <f>AVERAGE(AV4:DA4)</f>
        <v>311839.2</v>
      </c>
      <c r="AD5" s="69" t="str">
        <f>IF(AC5&lt;60,"1",IF(AC5&lt;=43200,"2",IF(AC5&lt;=777600,"3","4")))</f>
        <v>3</v>
      </c>
      <c r="AE5" s="87">
        <f>AA5-Y5</f>
        <v>2419128</v>
      </c>
      <c r="AF5" s="88">
        <f>AV5</f>
        <v>0.47</v>
      </c>
      <c r="AG5" s="72">
        <f>((AW5-AV5)+(AX5-AW5)+(AY5-AX5)+(AZ5-AY5)+(BA5-AZ5)+(BB5-BA5)+(BC5-BB5)+(BD5-BC5)+(BE5-BD5))/9</f>
        <v>-2.9999999999999995E-2</v>
      </c>
      <c r="AH5" s="4"/>
      <c r="AI5" s="72">
        <f>RSQ(AV5:BE5,AV4:BE4)</f>
        <v>0.18941724363781726</v>
      </c>
      <c r="AJ5" s="110">
        <f>SLOPE(AV5:BE5,AV4:BE4)</f>
        <v>-4.571464581950638E-8</v>
      </c>
      <c r="AK5" s="72">
        <f>INTERCEPT(AV5:BE5,AV4:BE4)</f>
        <v>0.29225561858063831</v>
      </c>
      <c r="AL5" s="72">
        <f>INDEX(LINEST(LN(AV5:BE5),LN(AV4:BE4),TRUE,TRUE),3,1)</f>
        <v>0.7378113241856914</v>
      </c>
      <c r="AM5" s="72">
        <f>INDEX(LINEST(LN(AV5:BE5),LN(AV4:BE4)),1)</f>
        <v>-6.1582042770250908E-2</v>
      </c>
      <c r="AN5" s="72">
        <f>EXP(INDEX(LINEST(LN(AV5:BE5),LN(AV4:BE4)),1,2))</f>
        <v>0.45051330608675066</v>
      </c>
      <c r="AO5" s="89">
        <f>INDEX(LINEST((AV5:BE5),LN(AV4:BE4),TRUE,TRUE),3,1)</f>
        <v>0.61155494123289866</v>
      </c>
      <c r="AP5" s="89">
        <f>INDEX(LINEST((AV5:BE5),LN(AV4:BE4)),1)</f>
        <v>-1.7546076234383427E-2</v>
      </c>
      <c r="AQ5" s="90">
        <f>INDEX(LINEST(LN(AV5:BE5),SQRT(AV4:BE4),TRUE,TRUE),3,1)</f>
        <v>0.39712322517585508</v>
      </c>
      <c r="AR5" s="117">
        <f>INDEX(LINEST(LN(AV5:BE5),SQRT((AV4:BE4))),1)</f>
        <v>-3.1838307441759886E-4</v>
      </c>
      <c r="AS5" s="91">
        <f>INDEX(LINEST(1/(AV5:BE5),1/(SQRT(AV4:BE4)),TRUE,TRUE),3,1)</f>
        <v>0.91832975170496534</v>
      </c>
      <c r="AT5" s="91">
        <f>INDEX(LINEST(1/(AV5:BE5),1/SQRT(AV4:BE4)),1)</f>
        <v>-21.886415331781226</v>
      </c>
      <c r="AU5" s="3"/>
      <c r="AV5" s="73">
        <v>0.47</v>
      </c>
      <c r="AW5" s="73">
        <v>0.35</v>
      </c>
      <c r="AX5" s="73">
        <v>0.28000000000000003</v>
      </c>
      <c r="AY5" s="73">
        <v>0.28000000000000003</v>
      </c>
      <c r="AZ5" s="73">
        <v>0.26</v>
      </c>
      <c r="BA5" s="73">
        <v>0.26</v>
      </c>
      <c r="BB5" s="73">
        <v>0.25</v>
      </c>
      <c r="BC5" s="73">
        <v>0.23</v>
      </c>
      <c r="BD5" s="73">
        <v>0.2</v>
      </c>
      <c r="BE5" s="73">
        <v>0.2</v>
      </c>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1"/>
      <c r="CS5" s="1"/>
      <c r="CT5" s="1"/>
      <c r="CU5" s="1"/>
    </row>
    <row r="6" spans="1:99" s="13" customFormat="1" ht="12" customHeight="1" x14ac:dyDescent="0.2">
      <c r="A6" s="68">
        <v>43509</v>
      </c>
      <c r="B6" s="70"/>
      <c r="C6" s="70"/>
      <c r="D6" s="69"/>
      <c r="E6" s="87"/>
      <c r="F6" s="69"/>
      <c r="G6" s="69"/>
      <c r="H6" s="69"/>
      <c r="I6" s="69"/>
      <c r="J6" s="69"/>
      <c r="K6" s="107"/>
      <c r="L6" s="107"/>
      <c r="M6" s="69"/>
      <c r="N6" s="69"/>
      <c r="O6" s="69"/>
      <c r="P6" s="69"/>
      <c r="Q6" s="69"/>
      <c r="R6" s="69"/>
      <c r="S6" s="69"/>
      <c r="T6" s="69"/>
      <c r="U6" s="69"/>
      <c r="V6" s="69"/>
      <c r="W6" s="69"/>
      <c r="X6" s="69"/>
      <c r="Y6" s="87"/>
      <c r="Z6" s="69"/>
      <c r="AA6" s="69"/>
      <c r="AB6" s="69"/>
      <c r="AC6" s="69"/>
      <c r="AD6" s="69"/>
      <c r="AE6" s="69"/>
      <c r="AF6" s="88"/>
      <c r="AG6" s="72"/>
      <c r="AH6" s="4"/>
      <c r="AI6" s="72"/>
      <c r="AJ6" s="110"/>
      <c r="AK6" s="72"/>
      <c r="AL6" s="72"/>
      <c r="AM6" s="72"/>
      <c r="AN6" s="72"/>
      <c r="AO6" s="72"/>
      <c r="AP6" s="72"/>
      <c r="AQ6" s="89"/>
      <c r="AR6" s="118"/>
      <c r="AS6" s="89"/>
      <c r="AT6" s="89"/>
      <c r="AU6" s="3"/>
      <c r="AV6" s="71">
        <f>365*24*60*60*0.25</f>
        <v>7884000</v>
      </c>
      <c r="AW6" s="71">
        <f>365*24*60*60*8.5</f>
        <v>268056000</v>
      </c>
      <c r="AX6" s="71">
        <f>365*24*60*60*19</f>
        <v>599184000</v>
      </c>
      <c r="AY6" s="71">
        <f>365*24*60*60*32.5</f>
        <v>1024920000</v>
      </c>
      <c r="AZ6" s="71">
        <f>365*24*60*60*47.25</f>
        <v>1490076000</v>
      </c>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1"/>
      <c r="CS6" s="1"/>
      <c r="CT6" s="1"/>
      <c r="CU6" s="1"/>
    </row>
    <row r="7" spans="1:99" s="13" customFormat="1" ht="12" customHeight="1" x14ac:dyDescent="0.2">
      <c r="A7" s="68">
        <v>43509</v>
      </c>
      <c r="B7" s="70" t="s">
        <v>210</v>
      </c>
      <c r="C7" s="70" t="s">
        <v>211</v>
      </c>
      <c r="D7" s="69">
        <v>2008</v>
      </c>
      <c r="E7" s="87">
        <v>1</v>
      </c>
      <c r="F7" s="69">
        <v>267</v>
      </c>
      <c r="G7" s="69">
        <v>55.2</v>
      </c>
      <c r="H7" s="69" t="s">
        <v>43</v>
      </c>
      <c r="I7" s="69" t="s">
        <v>618</v>
      </c>
      <c r="J7" s="69" t="s">
        <v>617</v>
      </c>
      <c r="K7" s="69">
        <f>IF(J7="syllables",1,IF(J7="trigrams",2,IF(J7="strings",3,IF(J7="visual array",4,IF(J7="characters",5,IF(J7="letters",6,IF(J7="free forms",7,IF(J7="odors",8,IF(J7="words",9,IF(J7="pictures",10,IF(J7="object pictures",11,IF(J7="faces",12,IF(J7="names",13,IF(J7="idioms",14,IF(J7="grades",15,IF(J7="syllable-digit pairs",16,IF(J7="trigram-word pairs",17,IF(J7="word-digit pairs",18,IF(J7="English-Swahili pairs",19,IF(J7="spatial position",20,IF(J7="word pairs",21,IF(J7="word triads",22,IF(J7="generated words",23,IF(J7="word definition pairs",24,IF(J7="math problems",25,IF(J7="famous faces",26,IF(J7="famous names",27,IF(J7="famous voices",28,IF(J7="television programs",29,IF(J7="race horses",30,IF(J7="new vocabulary",31,IF(J7="sentences",32,IF(J7="concepts",33,IF(J7="ad slides",34,IF(J7="scenes",35,IF(J7="famous scenes",36,IF(J7="poems",37,IF(J7="walk",38,IF(J7="faces and events",39,IF(J7="events and names",40,IF(J7="flashbulb",41,IF(J7="stories",42,IF(J7="course material",43,IF(J7="autobiographical",44,IF(J7="novels",45,IF(J7="public events",46,"99"))))))))))))))))))))))))))))))))))))))))))))))</f>
        <v>15</v>
      </c>
      <c r="L7" s="69">
        <f>IF(J7="syllables",1,IF(J7="trigrams",1,IF(J7="strings",1,IF(J7="visual array",1,IF(J7="characters",1,IF(J7="letters",1,IF(J7="free forms",1,IF(J7="odors",2,IF(J7="words",2,IF(J7="pictures",2,IF(J7="object pictures",2,IF(J7="faces",2,IF(J7="names",2,IF(J7="idioms","2",IF(J7="grades",2,IF(J7="syllable-digit pairs",3,IF(J7="trigram-word pairs",3,IF(J7="word-digit pairs",3,IF(J7="English-Swahili pairs",3,IF(J7="spatial position",3,IF(J7="word pairs",4,IF(J7="word triads",4,IF(J7="generated words",4,IF(J7="word definition pairs",4,IF(J7="math problems",4,IF(J7="famous faces",4,IF(J7="famous names",4,IF(J7="famous voices",4,IF(J7="television programs",4,IF(J7="race horses",4,IF(J7="new vocabulary",4,IF(J7="sentences",5,IF(J7="concepts",5,IF(J7="ad slides",5,IF(J7="scenes",5,IF(J7="famous scenes",5,IF(J7="poems",6,IF(J7="walk",6,IF(J7="faces and events",6,IF(J7="events and names",6,IF(J7="flashbulb",7,IF(J7="stories",7,IF(J7="course material",7,IF(J7="autobiographical",7,IF(J7="novels",7,IF(J7="public events",7,"99"))))))))))))))))))))))))))))))))))))))))))))))</f>
        <v>2</v>
      </c>
      <c r="M7" s="69">
        <v>0</v>
      </c>
      <c r="N7" s="69">
        <v>1</v>
      </c>
      <c r="O7" s="69">
        <v>0</v>
      </c>
      <c r="P7" s="69"/>
      <c r="Q7" s="92" t="s">
        <v>174</v>
      </c>
      <c r="R7" s="69">
        <f>IF(Q7="Free Recall",1,IF(Q7="Cued Recall",2,IF(Q7="Recognition",3,IF(Q7="Multiple Choice",4,IF(Q7="Savings",5,IF(Q7="Stem Completion",6,IF(Q7="Fragment Completion",7,IF(Q7="anagram solution",8,IF(Q7="Matching",9,IF(Q7="Problem Solving",10,"99"))))))))))</f>
        <v>1</v>
      </c>
      <c r="S7" s="69" t="s">
        <v>49</v>
      </c>
      <c r="T7" s="69" t="s">
        <v>261</v>
      </c>
      <c r="U7" s="69">
        <f>IF(T7="within",1,0)</f>
        <v>0</v>
      </c>
      <c r="V7" s="69">
        <v>14.4</v>
      </c>
      <c r="W7" s="69">
        <f>F7*V7</f>
        <v>3844.8</v>
      </c>
      <c r="X7" s="69">
        <v>5</v>
      </c>
      <c r="Y7" s="87">
        <f>AV6</f>
        <v>7884000</v>
      </c>
      <c r="Z7" s="69" t="s">
        <v>231</v>
      </c>
      <c r="AA7" s="69">
        <f>47.25*365*24*60*60</f>
        <v>1490076000</v>
      </c>
      <c r="AB7" s="69" t="str">
        <f>IF(AA7&lt;60,"1",IF(AA7&lt;=43200,"2",IF(AA7&lt;=777600,"3","4")))</f>
        <v>4</v>
      </c>
      <c r="AC7" s="72">
        <f>AVERAGE(AV6:DA6)</f>
        <v>678024000</v>
      </c>
      <c r="AD7" s="69" t="str">
        <f>IF(AC7&lt;60,"1",IF(AC7&lt;=43200,"2",IF(AC7&lt;=777600,"3","4")))</f>
        <v>4</v>
      </c>
      <c r="AE7" s="87">
        <f>AA7-Y7</f>
        <v>1482192000</v>
      </c>
      <c r="AF7" s="88">
        <f>AV7</f>
        <v>0.78100000000000003</v>
      </c>
      <c r="AG7" s="72">
        <f>((AW7-AV7)+(AX7-AW7)+(AY7-AX7)+(AZ7-AY7))/4</f>
        <v>-0.125</v>
      </c>
      <c r="AH7" s="4"/>
      <c r="AI7" s="72">
        <f>RSQ(AV7:AZ7,AV6:AZ6)</f>
        <v>0.89290269758418817</v>
      </c>
      <c r="AJ7" s="110">
        <f>SLOPE(AV7:AZ7,AV6:AZ6)</f>
        <v>-2.9820183931290055E-10</v>
      </c>
      <c r="AK7" s="72">
        <f>INTERCEPT(AV7:AZ7,AV6:AZ6)</f>
        <v>0.69958800389829012</v>
      </c>
      <c r="AL7" s="72">
        <f>INDEX(LINEST(LN(AV7:AZ7),LN(AV6:AZ6),TRUE,TRUE),3,1)</f>
        <v>0.81416582183882535</v>
      </c>
      <c r="AM7" s="72">
        <f>INDEX(LINEST(LN(AV7:AZ7),LN(AV6:AZ6)),1)</f>
        <v>-0.16166396883374459</v>
      </c>
      <c r="AN7" s="72">
        <f>EXP(INDEX(LINEST(LN(AV7:AZ7),LN(AV6:AZ6)),1,2))</f>
        <v>10.949780807215108</v>
      </c>
      <c r="AO7" s="89">
        <f>INDEX(LINEST((AV7:AZ7),LN(AV6:AZ6),TRUE,TRUE),3,1)</f>
        <v>0.92773172154452754</v>
      </c>
      <c r="AP7" s="89">
        <f>INDEX(LINEST((AV7:AZ7),LN(AV6:AZ6)),1)</f>
        <v>-8.5338767095109583E-2</v>
      </c>
      <c r="AQ7" s="90">
        <f>INDEX(LINEST(LN(AV7:AZ7),SQRT(AV6:AZ6),TRUE,TRUE),3,1)</f>
        <v>0.9648697003869694</v>
      </c>
      <c r="AR7" s="117">
        <f>INDEX(LINEST(LN(AV7:AZ7),SQRT((AV6:AZ6))),1)</f>
        <v>-2.6614326095486852E-5</v>
      </c>
      <c r="AS7" s="91">
        <f>INDEX(LINEST(1/(AV7:AZ7),1/(SQRT(AV6:AZ6)),TRUE,TRUE),3,1)</f>
        <v>0.48222906073708582</v>
      </c>
      <c r="AT7" s="91">
        <f>INDEX(LINEST(1/(AV7:AZ7),1/SQRT(AV6:AZ6)),1)</f>
        <v>-4168.8215366302329</v>
      </c>
      <c r="AU7" s="3"/>
      <c r="AV7" s="73">
        <v>0.78100000000000003</v>
      </c>
      <c r="AW7" s="73">
        <v>0.55100000000000005</v>
      </c>
      <c r="AX7" s="73">
        <v>0.47099999999999997</v>
      </c>
      <c r="AY7" s="73">
        <v>0.40300000000000002</v>
      </c>
      <c r="AZ7" s="73">
        <v>0.28100000000000003</v>
      </c>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53"/>
      <c r="CI7" s="53"/>
      <c r="CJ7" s="53"/>
      <c r="CK7" s="53"/>
      <c r="CL7" s="53"/>
      <c r="CM7" s="53"/>
      <c r="CN7" s="53"/>
      <c r="CO7" s="53"/>
      <c r="CP7" s="53"/>
      <c r="CQ7" s="53"/>
      <c r="CR7" s="1"/>
      <c r="CS7" s="1"/>
      <c r="CT7" s="1"/>
      <c r="CU7" s="1"/>
    </row>
    <row r="8" spans="1:99" s="13" customFormat="1" ht="12" customHeight="1" x14ac:dyDescent="0.2">
      <c r="A8" s="68">
        <v>43509</v>
      </c>
      <c r="B8" s="70"/>
      <c r="C8" s="70"/>
      <c r="D8" s="69"/>
      <c r="E8" s="87"/>
      <c r="F8" s="69"/>
      <c r="G8" s="69"/>
      <c r="H8" s="69"/>
      <c r="I8" s="69"/>
      <c r="J8" s="69"/>
      <c r="K8" s="107"/>
      <c r="L8" s="107"/>
      <c r="M8" s="69"/>
      <c r="N8" s="69"/>
      <c r="O8" s="69"/>
      <c r="P8" s="69"/>
      <c r="Q8" s="69"/>
      <c r="R8" s="69"/>
      <c r="S8" s="69"/>
      <c r="T8" s="69"/>
      <c r="U8" s="69"/>
      <c r="V8" s="69"/>
      <c r="W8" s="69"/>
      <c r="X8" s="69"/>
      <c r="Y8" s="87"/>
      <c r="Z8" s="69"/>
      <c r="AA8" s="69"/>
      <c r="AB8" s="69"/>
      <c r="AC8" s="69"/>
      <c r="AD8" s="69"/>
      <c r="AE8" s="69"/>
      <c r="AF8" s="88"/>
      <c r="AG8" s="72"/>
      <c r="AH8" s="4"/>
      <c r="AI8" s="72"/>
      <c r="AJ8" s="110"/>
      <c r="AK8" s="72"/>
      <c r="AL8" s="72"/>
      <c r="AM8" s="72"/>
      <c r="AN8" s="72"/>
      <c r="AO8" s="72"/>
      <c r="AP8" s="72"/>
      <c r="AQ8" s="89"/>
      <c r="AR8" s="118"/>
      <c r="AS8" s="89"/>
      <c r="AT8" s="89"/>
      <c r="AU8" s="3"/>
      <c r="AV8" s="71">
        <f>365*24*60*60*0.25</f>
        <v>7884000</v>
      </c>
      <c r="AW8" s="71">
        <f>365*24*60*60*8.5</f>
        <v>268056000</v>
      </c>
      <c r="AX8" s="71">
        <f>365*24*60*60*19</f>
        <v>599184000</v>
      </c>
      <c r="AY8" s="71">
        <f>365*24*60*60*32.5</f>
        <v>1024920000</v>
      </c>
      <c r="AZ8" s="71">
        <f>365*24*60*60*47.25</f>
        <v>1490076000</v>
      </c>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c r="CP8" s="53"/>
      <c r="CQ8" s="53"/>
      <c r="CR8" s="1"/>
      <c r="CS8" s="1"/>
      <c r="CT8" s="1"/>
      <c r="CU8" s="1"/>
    </row>
    <row r="9" spans="1:99" s="13" customFormat="1" ht="12" customHeight="1" x14ac:dyDescent="0.2">
      <c r="A9" s="68">
        <v>43509</v>
      </c>
      <c r="B9" s="70" t="s">
        <v>210</v>
      </c>
      <c r="C9" s="70" t="s">
        <v>211</v>
      </c>
      <c r="D9" s="69">
        <v>2008</v>
      </c>
      <c r="E9" s="87">
        <v>1</v>
      </c>
      <c r="F9" s="69">
        <v>267</v>
      </c>
      <c r="G9" s="69">
        <v>55.2</v>
      </c>
      <c r="H9" s="69" t="s">
        <v>43</v>
      </c>
      <c r="I9" s="69" t="s">
        <v>619</v>
      </c>
      <c r="J9" s="69" t="s">
        <v>617</v>
      </c>
      <c r="K9" s="69">
        <f>IF(J9="syllables",1,IF(J9="trigrams",2,IF(J9="strings",3,IF(J9="visual array",4,IF(J9="characters",5,IF(J9="letters",6,IF(J9="free forms",7,IF(J9="odors",8,IF(J9="words",9,IF(J9="pictures",10,IF(J9="object pictures",11,IF(J9="faces",12,IF(J9="names",13,IF(J9="idioms",14,IF(J9="grades",15,IF(J9="syllable-digit pairs",16,IF(J9="trigram-word pairs",17,IF(J9="word-digit pairs",18,IF(J9="English-Swahili pairs",19,IF(J9="spatial position",20,IF(J9="word pairs",21,IF(J9="word triads",22,IF(J9="generated words",23,IF(J9="word definition pairs",24,IF(J9="math problems",25,IF(J9="famous faces",26,IF(J9="famous names",27,IF(J9="famous voices",28,IF(J9="television programs",29,IF(J9="race horses",30,IF(J9="new vocabulary",31,IF(J9="sentences",32,IF(J9="concepts",33,IF(J9="ad slides",34,IF(J9="scenes",35,IF(J9="famous scenes",36,IF(J9="poems",37,IF(J9="walk",38,IF(J9="faces and events",39,IF(J9="events and names",40,IF(J9="flashbulb",41,IF(J9="stories",42,IF(J9="course material",43,IF(J9="autobiographical",44,IF(J9="novels",45,IF(J9="public events",46,"99"))))))))))))))))))))))))))))))))))))))))))))))</f>
        <v>15</v>
      </c>
      <c r="L9" s="69">
        <f>IF(J9="syllables",1,IF(J9="trigrams",1,IF(J9="strings",1,IF(J9="visual array",1,IF(J9="characters",1,IF(J9="letters",1,IF(J9="free forms",1,IF(J9="odors",2,IF(J9="words",2,IF(J9="pictures",2,IF(J9="object pictures",2,IF(J9="faces",2,IF(J9="names",2,IF(J9="idioms","2",IF(J9="grades",2,IF(J9="syllable-digit pairs",3,IF(J9="trigram-word pairs",3,IF(J9="word-digit pairs",3,IF(J9="English-Swahili pairs",3,IF(J9="spatial position",3,IF(J9="word pairs",4,IF(J9="word triads",4,IF(J9="generated words",4,IF(J9="word definition pairs",4,IF(J9="math problems",4,IF(J9="famous faces",4,IF(J9="famous names",4,IF(J9="famous voices",4,IF(J9="television programs",4,IF(J9="race horses",4,IF(J9="new vocabulary",4,IF(J9="sentences",5,IF(J9="concepts",5,IF(J9="ad slides",5,IF(J9="scenes",5,IF(J9="famous scenes",5,IF(J9="poems",6,IF(J9="walk",6,IF(J9="faces and events",6,IF(J9="events and names",6,IF(J9="flashbulb",7,IF(J9="stories",7,IF(J9="course material",7,IF(J9="autobiographical",7,IF(J9="novels",7,IF(J9="public events",7,"99"))))))))))))))))))))))))))))))))))))))))))))))</f>
        <v>2</v>
      </c>
      <c r="M9" s="69">
        <v>0</v>
      </c>
      <c r="N9" s="69">
        <v>1</v>
      </c>
      <c r="O9" s="69">
        <v>0</v>
      </c>
      <c r="P9" s="69"/>
      <c r="Q9" s="92" t="s">
        <v>174</v>
      </c>
      <c r="R9" s="69">
        <f>IF(Q9="Free Recall",1,IF(Q9="Cued Recall",2,IF(Q9="Recognition",3,IF(Q9="Multiple Choice",4,IF(Q9="Savings",5,IF(Q9="Stem Completion",6,IF(Q9="Fragment Completion",7,IF(Q9="anagram solution",8,IF(Q9="Matching",9,IF(Q9="Problem Solving",10,"99"))))))))))</f>
        <v>1</v>
      </c>
      <c r="S9" s="69" t="s">
        <v>49</v>
      </c>
      <c r="T9" s="69" t="s">
        <v>261</v>
      </c>
      <c r="U9" s="69">
        <f>IF(T9="within",1,0)</f>
        <v>0</v>
      </c>
      <c r="V9" s="69">
        <v>14.4</v>
      </c>
      <c r="W9" s="69">
        <f>F9*V9</f>
        <v>3844.8</v>
      </c>
      <c r="X9" s="69">
        <v>5</v>
      </c>
      <c r="Y9" s="87">
        <f>AV8</f>
        <v>7884000</v>
      </c>
      <c r="Z9" s="69" t="s">
        <v>231</v>
      </c>
      <c r="AA9" s="69">
        <f>47.25*365*24*60*60</f>
        <v>1490076000</v>
      </c>
      <c r="AB9" s="69" t="str">
        <f>IF(AA9&lt;60,"1",IF(AA9&lt;=43200,"2",IF(AA9&lt;=777600,"3","4")))</f>
        <v>4</v>
      </c>
      <c r="AC9" s="72">
        <f>AVERAGE(AV8:DA8)</f>
        <v>678024000</v>
      </c>
      <c r="AD9" s="69" t="str">
        <f>IF(AC9&lt;60,"1",IF(AC9&lt;=43200,"2",IF(AC9&lt;=777600,"3","4")))</f>
        <v>4</v>
      </c>
      <c r="AE9" s="87">
        <f>AA9-Y9</f>
        <v>1482192000</v>
      </c>
      <c r="AF9" s="88">
        <f>AV9</f>
        <v>0.67600000000000005</v>
      </c>
      <c r="AG9" s="72">
        <f>((AW9-AV9)+(AX9-AW9)+(AY9-AX9)+(AZ9-AY9))/4</f>
        <v>-8.975000000000001E-2</v>
      </c>
      <c r="AH9" s="4"/>
      <c r="AI9" s="72">
        <f>RSQ(AV9:AZ9,AV8:AZ8)</f>
        <v>0.93685295621320086</v>
      </c>
      <c r="AJ9" s="110">
        <f>SLOPE(AV9:AZ9,AV8:AZ8)</f>
        <v>-2.2475828637238726E-10</v>
      </c>
      <c r="AK9" s="72">
        <f>INTERCEPT(AV9:AZ9,AV8:AZ8)</f>
        <v>0.63299151235935158</v>
      </c>
      <c r="AL9" s="72">
        <f>INDEX(LINEST(LN(AV9:AZ9),LN(AV8:AZ8),TRUE,TRUE),3,1)</f>
        <v>0.79862876810717776</v>
      </c>
      <c r="AM9" s="72">
        <f>INDEX(LINEST(LN(AV9:AZ9),LN(AV8:AZ8)),1)</f>
        <v>-0.12214566922916996</v>
      </c>
      <c r="AN9" s="72">
        <f>EXP(INDEX(LINEST(LN(AV9:AZ9),LN(AV8:AZ8)),1,2))</f>
        <v>5.0173726148976696</v>
      </c>
      <c r="AO9" s="89">
        <f>INDEX(LINEST((AV9:AZ9),LN(AV8:AZ8),TRUE,TRUE),3,1)</f>
        <v>0.88138670680459918</v>
      </c>
      <c r="AP9" s="89">
        <f>INDEX(LINEST((AV9:AZ9),LN(AV8:AZ8)),1)</f>
        <v>-6.1205458433339473E-2</v>
      </c>
      <c r="AQ9" s="90">
        <f>INDEX(LINEST(LN(AV9:AZ9),SQRT(AV8:AZ8),TRUE,TRUE),3,1)</f>
        <v>0.97332851352591399</v>
      </c>
      <c r="AR9" s="117">
        <f>INDEX(LINEST(LN(AV9:AZ9),SQRT((AV8:AZ8))),1)</f>
        <v>-2.0391992271746735E-5</v>
      </c>
      <c r="AS9" s="91">
        <f>INDEX(LINEST(1/(AV9:AZ9),1/(SQRT(AV8:AZ8)),TRUE,TRUE),3,1)</f>
        <v>0.50590803973247722</v>
      </c>
      <c r="AT9" s="91">
        <f>INDEX(LINEST(1/(AV9:AZ9),1/SQRT(AV8:AZ8)),1)</f>
        <v>-3202.582161182896</v>
      </c>
      <c r="AU9" s="3"/>
      <c r="AV9" s="73">
        <v>0.67600000000000005</v>
      </c>
      <c r="AW9" s="73">
        <v>0.54800000000000004</v>
      </c>
      <c r="AX9" s="73">
        <v>0.45600000000000002</v>
      </c>
      <c r="AY9" s="73">
        <v>0.40600000000000003</v>
      </c>
      <c r="AZ9" s="73">
        <v>0.317</v>
      </c>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c r="CP9" s="53"/>
      <c r="CQ9" s="53"/>
      <c r="CR9" s="1"/>
      <c r="CS9" s="1"/>
      <c r="CT9" s="1"/>
      <c r="CU9" s="1"/>
    </row>
    <row r="10" spans="1:99" s="13" customFormat="1" ht="12" customHeight="1" x14ac:dyDescent="0.2">
      <c r="A10" s="68">
        <v>43509</v>
      </c>
      <c r="B10" s="70"/>
      <c r="C10" s="70"/>
      <c r="D10" s="69"/>
      <c r="E10" s="87"/>
      <c r="F10" s="69"/>
      <c r="G10" s="69"/>
      <c r="H10" s="69"/>
      <c r="I10" s="69"/>
      <c r="J10" s="69"/>
      <c r="K10" s="107"/>
      <c r="L10" s="107"/>
      <c r="M10" s="69"/>
      <c r="N10" s="69"/>
      <c r="O10" s="69"/>
      <c r="P10" s="69"/>
      <c r="Q10" s="69"/>
      <c r="R10" s="69"/>
      <c r="S10" s="69"/>
      <c r="T10" s="69"/>
      <c r="U10" s="69"/>
      <c r="V10" s="69"/>
      <c r="W10" s="69"/>
      <c r="X10" s="69"/>
      <c r="Y10" s="87"/>
      <c r="Z10" s="69"/>
      <c r="AA10" s="69"/>
      <c r="AB10" s="69"/>
      <c r="AC10" s="69"/>
      <c r="AD10" s="69"/>
      <c r="AE10" s="69"/>
      <c r="AF10" s="88"/>
      <c r="AG10" s="72"/>
      <c r="AH10" s="4"/>
      <c r="AI10" s="72"/>
      <c r="AJ10" s="110"/>
      <c r="AK10" s="72"/>
      <c r="AL10" s="72"/>
      <c r="AM10" s="72"/>
      <c r="AN10" s="72"/>
      <c r="AO10" s="72"/>
      <c r="AP10" s="72"/>
      <c r="AQ10" s="89"/>
      <c r="AR10" s="118"/>
      <c r="AS10" s="89"/>
      <c r="AT10" s="89"/>
      <c r="AU10" s="3"/>
      <c r="AV10" s="71">
        <f>365*24*60*60</f>
        <v>31536000</v>
      </c>
      <c r="AW10" s="71">
        <f>365*24*60*60*2</f>
        <v>63072000</v>
      </c>
      <c r="AX10" s="71">
        <f>365*24*60*60*3</f>
        <v>94608000</v>
      </c>
      <c r="AY10" s="53"/>
      <c r="AZ10" s="53"/>
      <c r="BA10" s="53"/>
      <c r="BB10" s="53"/>
      <c r="BC10" s="53"/>
      <c r="BD10" s="53"/>
      <c r="BE10" s="53"/>
      <c r="BF10" s="53"/>
      <c r="BG10" s="53"/>
      <c r="BH10" s="53"/>
      <c r="BI10" s="53"/>
      <c r="BJ10" s="53"/>
      <c r="BK10" s="53"/>
      <c r="BL10" s="53"/>
      <c r="BM10" s="53"/>
      <c r="BN10" s="53"/>
      <c r="BO10" s="53"/>
      <c r="BP10" s="53"/>
      <c r="BQ10" s="53"/>
      <c r="BR10" s="53"/>
      <c r="BS10" s="53"/>
      <c r="BT10" s="53"/>
      <c r="BU10" s="53"/>
      <c r="BV10" s="53"/>
      <c r="BW10" s="53"/>
      <c r="BX10" s="53"/>
      <c r="BY10" s="53"/>
      <c r="BZ10" s="53"/>
      <c r="CA10" s="53"/>
      <c r="CB10" s="53"/>
      <c r="CC10" s="53"/>
      <c r="CD10" s="53"/>
      <c r="CE10" s="53"/>
      <c r="CF10" s="53"/>
      <c r="CG10" s="53"/>
      <c r="CH10" s="53"/>
      <c r="CI10" s="53"/>
      <c r="CJ10" s="53"/>
      <c r="CK10" s="53"/>
      <c r="CL10" s="53"/>
      <c r="CM10" s="53"/>
      <c r="CN10" s="53"/>
      <c r="CO10" s="53"/>
      <c r="CP10" s="53"/>
      <c r="CQ10" s="53"/>
      <c r="CR10" s="1"/>
      <c r="CS10" s="1"/>
      <c r="CT10" s="1"/>
      <c r="CU10" s="1"/>
    </row>
    <row r="11" spans="1:99" s="13" customFormat="1" ht="12" customHeight="1" x14ac:dyDescent="0.2">
      <c r="A11" s="68">
        <v>43509</v>
      </c>
      <c r="B11" s="70" t="s">
        <v>212</v>
      </c>
      <c r="C11" s="70" t="s">
        <v>70</v>
      </c>
      <c r="D11" s="69">
        <v>2016</v>
      </c>
      <c r="E11" s="87">
        <v>1</v>
      </c>
      <c r="F11" s="69">
        <v>35</v>
      </c>
      <c r="G11" s="69">
        <v>35</v>
      </c>
      <c r="H11" s="69" t="s">
        <v>41</v>
      </c>
      <c r="I11" s="69" t="s">
        <v>422</v>
      </c>
      <c r="J11" s="69" t="s">
        <v>622</v>
      </c>
      <c r="K11" s="69">
        <f>IF(J11="syllables",1,IF(J11="trigrams",2,IF(J11="strings",3,IF(J11="visual array",4,IF(J11="characters",5,IF(J11="letters",6,IF(J11="free forms",7,IF(J11="odors",8,IF(J11="words",9,IF(J11="pictures",10,IF(J11="object pictures",11,IF(J11="faces",12,IF(J11="names",13,IF(J11="idioms",14,IF(J11="grades",15,IF(J11="syllable-digit pairs",16,IF(J11="trigram-word pairs",17,IF(J11="word-digit pairs",18,IF(J11="English-Swahili pairs",19,IF(J11="spatial position",20,IF(J11="word pairs",21,IF(J11="word triads",22,IF(J11="generated words",23,IF(J11="word definition pairs",24,IF(J11="math problems",25,IF(J11="famous faces",26,IF(J11="famous names",27,IF(J11="famous voices",28,IF(J11="television programs",29,IF(J11="race horses",30,IF(J11="new vocabulary",31,IF(J11="sentences",32,IF(J11="concepts",33,IF(J11="ad slides",34,IF(J11="scenes",35,IF(J11="famous scenes",36,IF(J11="poems",37,IF(J11="walk",38,IF(J11="faces and events",39,IF(J11="events and names",40,IF(J11="flashbulb",41,IF(J11="stories",42,IF(J11="course material",43,IF(J11="autobiographical",44,IF(J11="novels",45,IF(J11="public events",46,"99"))))))))))))))))))))))))))))))))))))))))))))))</f>
        <v>44</v>
      </c>
      <c r="L11" s="69">
        <f>IF(J11="syllables",1,IF(J11="trigrams",1,IF(J11="strings",1,IF(J11="visual array",1,IF(J11="characters",1,IF(J11="letters",1,IF(J11="free forms",1,IF(J11="odors",2,IF(J11="words",2,IF(J11="pictures",2,IF(J11="object pictures",2,IF(J11="faces",2,IF(J11="names",2,IF(J11="idioms","2",IF(J11="grades",2,IF(J11="syllable-digit pairs",3,IF(J11="trigram-word pairs",3,IF(J11="word-digit pairs",3,IF(J11="English-Swahili pairs",3,IF(J11="spatial position",3,IF(J11="word pairs",4,IF(J11="word triads",4,IF(J11="generated words",4,IF(J11="word definition pairs",4,IF(J11="math problems",4,IF(J11="famous faces",4,IF(J11="famous names",4,IF(J11="famous voices",4,IF(J11="television programs",4,IF(J11="race horses",4,IF(J11="new vocabulary",4,IF(J11="sentences",5,IF(J11="concepts",5,IF(J11="ad slides",5,IF(J11="scenes",5,IF(J11="famous scenes",5,IF(J11="poems",6,IF(J11="walk",6,IF(J11="faces and events",6,IF(J11="events and names",6,IF(J11="flashbulb",7,IF(J11="stories",7,IF(J11="course material",7,IF(J11="autobiographical",7,IF(J11="novels",7,IF(J11="public events",7,"99"))))))))))))))))))))))))))))))))))))))))))))))</f>
        <v>7</v>
      </c>
      <c r="M11" s="69">
        <v>0</v>
      </c>
      <c r="N11" s="69">
        <v>3</v>
      </c>
      <c r="O11" s="69">
        <v>0</v>
      </c>
      <c r="P11" s="69"/>
      <c r="Q11" s="69" t="s">
        <v>174</v>
      </c>
      <c r="R11" s="69">
        <f>IF(Q11="Free Recall",1,IF(Q11="Cued Recall",2,IF(Q11="Recognition",3,IF(Q11="Multiple Choice",4,IF(Q11="Savings",5,IF(Q11="Stem Completion",6,IF(Q11="Fragment Completion",7,IF(Q11="anagram solution",8,IF(Q11="Matching",9,IF(Q11="Problem Solving",10,"99"))))))))))</f>
        <v>1</v>
      </c>
      <c r="S11" s="69" t="s">
        <v>49</v>
      </c>
      <c r="T11" s="92" t="s">
        <v>581</v>
      </c>
      <c r="U11" s="69">
        <f>IF(T11="within",1,0)</f>
        <v>1</v>
      </c>
      <c r="V11" s="92">
        <v>3</v>
      </c>
      <c r="W11" s="69">
        <f>F11*V11</f>
        <v>105</v>
      </c>
      <c r="X11" s="69">
        <v>3</v>
      </c>
      <c r="Y11" s="87">
        <f>AV10</f>
        <v>31536000</v>
      </c>
      <c r="Z11" s="69" t="s">
        <v>230</v>
      </c>
      <c r="AA11" s="69">
        <f>3*365*24*60*60</f>
        <v>94608000</v>
      </c>
      <c r="AB11" s="69" t="str">
        <f>IF(AA11&lt;60,"1",IF(AA11&lt;=43200,"2",IF(AA11&lt;=777600,"3","4")))</f>
        <v>4</v>
      </c>
      <c r="AC11" s="72">
        <f>AVERAGE(AV10:DA10)</f>
        <v>63072000</v>
      </c>
      <c r="AD11" s="69" t="str">
        <f>IF(AC11&lt;60,"1",IF(AC11&lt;=43200,"2",IF(AC11&lt;=777600,"3","4")))</f>
        <v>4</v>
      </c>
      <c r="AE11" s="87">
        <f>AA11-Y11</f>
        <v>63072000</v>
      </c>
      <c r="AF11" s="88">
        <f>AV11</f>
        <v>0.97</v>
      </c>
      <c r="AG11" s="72">
        <f>((AW11-AV11)+(AX11-AW11))/2</f>
        <v>-0.17499999999999999</v>
      </c>
      <c r="AH11" s="4"/>
      <c r="AI11" s="72">
        <f>RSQ(AV11:AX11,AV10:AX10)</f>
        <v>0.91055500495540165</v>
      </c>
      <c r="AJ11" s="110">
        <f>SLOPE(AV11:AX11,AV10:AX10)</f>
        <v>-5.5492135971588025E-9</v>
      </c>
      <c r="AK11" s="72">
        <f>INTERCEPT(AV11:AX11,AV10:AX10)</f>
        <v>1.1133333333333333</v>
      </c>
      <c r="AL11" s="72">
        <f>INDEX(LINEST(LN(AV11:AX11),LN(AV10:AX10),TRUE,TRUE),3,1)</f>
        <v>0.98831724454572578</v>
      </c>
      <c r="AM11" s="72">
        <f>INDEX(LINEST(LN(AV11:AX11),LN(AV10:AX10)),1)</f>
        <v>-0.41421029776418783</v>
      </c>
      <c r="AN11" s="72">
        <f>EXP(INDEX(LINEST(LN(AV11:AX11),LN(AV10:AX10)),1,2))</f>
        <v>1225.3951558345213</v>
      </c>
      <c r="AO11" s="89">
        <f>INDEX(LINEST((AV11:AX11),LN(AV10:AX10),TRUE,TRUE),3,1)</f>
        <v>0.97656983074718118</v>
      </c>
      <c r="AP11" s="89">
        <f>INDEX(LINEST((AV11:AX11),LN(AV10:AX10)),1)</f>
        <v>-0.32622311633315187</v>
      </c>
      <c r="AQ11" s="90">
        <f>INDEX(LINEST(LN(AV11:AX11),SQRT(AV10:AX10),TRUE,TRUE),3,1)</f>
        <v>0.96706795782173804</v>
      </c>
      <c r="AR11" s="117">
        <f>INDEX(LINEST(LN(AV11:AX11),SQRT((AV10:AX10))),1)</f>
        <v>-1.1042250529891421E-4</v>
      </c>
      <c r="AS11" s="91">
        <f>INDEX(LINEST(1/(AV11:AX11),1/(SQRT(AV10:AX10)),TRUE,TRUE),3,1)</f>
        <v>0.9998849555906435</v>
      </c>
      <c r="AT11" s="91">
        <f>INDEX(LINEST(1/(AV11:AX11),1/SQRT(AV10:AX10)),1)</f>
        <v>-7714.1918290721605</v>
      </c>
      <c r="AU11" s="3"/>
      <c r="AV11" s="73">
        <v>0.97</v>
      </c>
      <c r="AW11" s="73">
        <v>0.7</v>
      </c>
      <c r="AX11" s="73">
        <v>0.62</v>
      </c>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1"/>
      <c r="CS11" s="1"/>
      <c r="CT11" s="1"/>
      <c r="CU11" s="1"/>
    </row>
    <row r="12" spans="1:99" s="13" customFormat="1" ht="12" customHeight="1" x14ac:dyDescent="0.2">
      <c r="A12" s="65">
        <v>43509</v>
      </c>
      <c r="B12" s="1"/>
      <c r="C12" s="1"/>
      <c r="D12" s="60"/>
      <c r="E12" s="76"/>
      <c r="F12" s="60"/>
      <c r="G12" s="60"/>
      <c r="H12" s="60"/>
      <c r="I12" s="60"/>
      <c r="J12" s="60"/>
      <c r="K12" s="64"/>
      <c r="L12" s="64"/>
      <c r="M12" s="60"/>
      <c r="N12" s="60"/>
      <c r="O12" s="60"/>
      <c r="P12" s="60"/>
      <c r="Q12" s="59"/>
      <c r="R12" s="60"/>
      <c r="S12" s="60"/>
      <c r="T12" s="60"/>
      <c r="U12" s="60"/>
      <c r="V12" s="60"/>
      <c r="W12" s="60"/>
      <c r="X12" s="60"/>
      <c r="Y12" s="76"/>
      <c r="Z12" s="60"/>
      <c r="AA12" s="60"/>
      <c r="AB12" s="60"/>
      <c r="AC12" s="60"/>
      <c r="AD12" s="60"/>
      <c r="AE12" s="60"/>
      <c r="AF12" s="80"/>
      <c r="AG12" s="56"/>
      <c r="AH12" s="4"/>
      <c r="AI12" s="56"/>
      <c r="AJ12" s="109"/>
      <c r="AK12" s="56"/>
      <c r="AL12" s="56"/>
      <c r="AM12" s="56"/>
      <c r="AN12" s="56"/>
      <c r="AO12" s="56"/>
      <c r="AP12" s="56"/>
      <c r="AQ12" s="56"/>
      <c r="AR12" s="109"/>
      <c r="AS12" s="56"/>
      <c r="AT12" s="56"/>
      <c r="AU12" s="3"/>
      <c r="AV12" s="25">
        <f>30*24*60*60*6.17</f>
        <v>15992640</v>
      </c>
      <c r="AW12" s="25">
        <f>30*24*60*60*18.64</f>
        <v>48314880</v>
      </c>
      <c r="AX12" s="25">
        <f>30*24*60*60*30.87</f>
        <v>80015040</v>
      </c>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1"/>
      <c r="CS12" s="1"/>
      <c r="CT12" s="1"/>
      <c r="CU12" s="1"/>
    </row>
    <row r="13" spans="1:99" s="13" customFormat="1" ht="12" customHeight="1" x14ac:dyDescent="0.2">
      <c r="A13" s="65">
        <v>43509</v>
      </c>
      <c r="B13" s="1" t="s">
        <v>240</v>
      </c>
      <c r="C13" s="1" t="s">
        <v>70</v>
      </c>
      <c r="D13" s="60">
        <v>2017</v>
      </c>
      <c r="E13" s="76">
        <v>1</v>
      </c>
      <c r="F13" s="60">
        <v>118</v>
      </c>
      <c r="G13" s="60">
        <v>39.299999999999997</v>
      </c>
      <c r="H13" s="60" t="s">
        <v>38</v>
      </c>
      <c r="I13" s="60" t="s">
        <v>623</v>
      </c>
      <c r="J13" s="60" t="s">
        <v>175</v>
      </c>
      <c r="K13" s="60">
        <f>IF(J13="syllables",1,IF(J13="trigrams",2,IF(J13="strings",3,IF(J13="visual array",4,IF(J13="characters",5,IF(J13="letters",6,IF(J13="free forms",7,IF(J13="odors",8,IF(J13="words",9,IF(J13="pictures",10,IF(J13="object pictures",11,IF(J13="faces",12,IF(J13="names",13,IF(J13="idioms",14,IF(J13="grades",15,IF(J13="syllable-digit pairs",16,IF(J13="trigram-word pairs",17,IF(J13="word-digit pairs",18,IF(J13="English-Swahili pairs",19,IF(J13="spatial position",20,IF(J13="word pairs",21,IF(J13="word triads",22,IF(J13="generated words",23,IF(J13="word definition pairs",24,IF(J13="math problems",25,IF(J13="famous faces",26,IF(J13="famous names",27,IF(J13="famous voices",28,IF(J13="television programs",29,IF(J13="race horses",30,IF(J13="new vocabulary",31,IF(J13="sentences",32,IF(J13="concepts",33,IF(J13="ad slides",34,IF(J13="scenes",35,IF(J13="famous scenes",36,IF(J13="poems",37,IF(J13="walk",38,IF(J13="faces and events",39,IF(J13="events and names",40,IF(J13="flashbulb",41,IF(J13="stories",42,IF(J13="course material",43,IF(J13="autobiographical",44,IF(J13="novels",45,IF(J13="public events",46,"99"))))))))))))))))))))))))))))))))))))))))))))))</f>
        <v>20</v>
      </c>
      <c r="L13" s="60">
        <f>IF(J13="syllables",1,IF(J13="trigrams",1,IF(J13="strings",1,IF(J13="visual array",1,IF(J13="characters",1,IF(J13="letters",1,IF(J13="free forms",1,IF(J13="odors",2,IF(J13="words",2,IF(J13="pictures",2,IF(J13="object pictures",2,IF(J13="faces",2,IF(J13="names",2,IF(J13="idioms","2",IF(J13="grades",2,IF(J13="syllable-digit pairs",3,IF(J13="trigram-word pairs",3,IF(J13="word-digit pairs",3,IF(J13="English-Swahili pairs",3,IF(J13="spatial position",3,IF(J13="word pairs",4,IF(J13="word triads",4,IF(J13="generated words",4,IF(J13="word definition pairs",4,IF(J13="math problems",4,IF(J13="famous faces",4,IF(J13="famous names",4,IF(J13="famous voices",4,IF(J13="television programs",4,IF(J13="race horses",4,IF(J13="new vocabulary",4,IF(J13="sentences",5,IF(J13="concepts",5,IF(J13="ad slides",5,IF(J13="scenes",5,IF(J13="famous scenes",5,IF(J13="poems",6,IF(J13="walk",6,IF(J13="faces and events",6,IF(J13="events and names",6,IF(J13="flashbulb",7,IF(J13="stories",7,IF(J13="course material",7,IF(J13="autobiographical",7,IF(J13="novels",7,IF(J13="public events",7,"99"))))))))))))))))))))))))))))))))))))))))))))))</f>
        <v>3</v>
      </c>
      <c r="M13" s="60">
        <v>0</v>
      </c>
      <c r="N13" s="60">
        <v>1</v>
      </c>
      <c r="O13" s="60">
        <v>0</v>
      </c>
      <c r="P13" s="60"/>
      <c r="Q13" s="60" t="s">
        <v>174</v>
      </c>
      <c r="R13" s="60">
        <f>IF(Q13="Free Recall",1,IF(Q13="Cued Recall",2,IF(Q13="Recognition",3,IF(Q13="Multiple Choice",4,IF(Q13="Savings",5,IF(Q13="Stem Completion",6,IF(Q13="Fragment Completion",7,IF(Q13="anagram solution",8,IF(Q13="Matching",9,IF(Q13="Problem Solving",10,"99"))))))))))</f>
        <v>1</v>
      </c>
      <c r="S13" s="60" t="s">
        <v>49</v>
      </c>
      <c r="T13" s="60" t="s">
        <v>261</v>
      </c>
      <c r="U13" s="60">
        <f>IF(T13="within",1,0)</f>
        <v>0</v>
      </c>
      <c r="V13" s="60">
        <v>1</v>
      </c>
      <c r="W13" s="60">
        <f>F13*V13</f>
        <v>118</v>
      </c>
      <c r="X13" s="60">
        <v>3</v>
      </c>
      <c r="Y13" s="76">
        <f>AV12</f>
        <v>15992640</v>
      </c>
      <c r="Z13" s="60" t="s">
        <v>235</v>
      </c>
      <c r="AA13" s="60">
        <f>30*24*60*60*30.87</f>
        <v>80015040</v>
      </c>
      <c r="AB13" s="60" t="str">
        <f>IF(AA13&lt;60,"1",IF(AA13&lt;=43200,"2",IF(AA13&lt;=777600,"3","4")))</f>
        <v>4</v>
      </c>
      <c r="AC13" s="56">
        <f>AVERAGE(AV12:DA12)</f>
        <v>48107520</v>
      </c>
      <c r="AD13" s="60" t="str">
        <f>IF(AC13&lt;60,"1",IF(AC13&lt;=43200,"2",IF(AC13&lt;=777600,"3","4")))</f>
        <v>4</v>
      </c>
      <c r="AE13" s="76">
        <f>AA13-Y13</f>
        <v>64022400</v>
      </c>
      <c r="AF13" s="80">
        <f>AV13</f>
        <v>0.05</v>
      </c>
      <c r="AG13" s="56">
        <f>((AW13-AV13)+(AX13-AW13))/2</f>
        <v>-1.2000000000000002E-2</v>
      </c>
      <c r="AH13" s="4"/>
      <c r="AI13" s="56">
        <f>RSQ(AV13:AX13,AV12:AX12)</f>
        <v>0.72383229116989811</v>
      </c>
      <c r="AJ13" s="109">
        <f>SLOPE(AV13:AX13,AV12:AX12)</f>
        <v>-3.7617228659968774E-10</v>
      </c>
      <c r="AK13" s="56">
        <f>INTERCEPT(AV13:AX13,AV12:AX12)</f>
        <v>5.1763382467706884E-2</v>
      </c>
      <c r="AL13" s="56">
        <f>INDEX(LINEST(LN(AV13:AX13),LN(AV12:AX12),TRUE,TRUE),3,1)</f>
        <v>0.87479515941362396</v>
      </c>
      <c r="AM13" s="170"/>
      <c r="AN13" s="56">
        <f>EXP(INDEX(LINEST(LN(AV13:AX13),LN(AV12:AX12)),1,2))</f>
        <v>73.016448737112412</v>
      </c>
      <c r="AO13" s="82">
        <f>INDEX(LINEST((AV13:AX13),LN(AV12:AX12),TRUE,TRUE),3,1)</f>
        <v>0.88458778760218637</v>
      </c>
      <c r="AP13" s="82">
        <f>INDEX(LINEST((AV13:AX13),LN(AV12:AX12)),1)</f>
        <v>-1.6164625420508141E-2</v>
      </c>
      <c r="AQ13" s="83">
        <f>INDEX(LINEST(LN(AV13:AX13),SQRT(AV12:AX12),TRUE,TRUE),3,1)</f>
        <v>0.80078279704853605</v>
      </c>
      <c r="AR13" s="116">
        <f>INDEX(LINEST(LN(AV13:AX13),SQRT((AV12:AX12))),1)</f>
        <v>-1.4001877293769413E-4</v>
      </c>
      <c r="AS13" s="84">
        <f>INDEX(LINEST(1/(AV13:AX13),1/(SQRT(AV12:AX12)),TRUE,TRUE),3,1)</f>
        <v>0.91678513033923692</v>
      </c>
      <c r="AT13" s="84">
        <f>INDEX(LINEST(1/(AV13:AX13),1/SQRT(AV12:AX12)),1)</f>
        <v>-147253.56775595681</v>
      </c>
      <c r="AU13" s="3"/>
      <c r="AV13" s="53">
        <v>0.05</v>
      </c>
      <c r="AW13" s="53">
        <v>2.5000000000000001E-2</v>
      </c>
      <c r="AX13" s="53">
        <v>2.5999999999999999E-2</v>
      </c>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c r="BZ13" s="53"/>
      <c r="CA13" s="53"/>
      <c r="CB13" s="53"/>
      <c r="CC13" s="53"/>
      <c r="CD13" s="53"/>
      <c r="CE13" s="53"/>
      <c r="CF13" s="53"/>
      <c r="CG13" s="53"/>
      <c r="CH13" s="53"/>
      <c r="CI13" s="53"/>
      <c r="CJ13" s="53"/>
      <c r="CK13" s="53"/>
      <c r="CL13" s="53"/>
      <c r="CM13" s="53"/>
      <c r="CN13" s="53"/>
      <c r="CO13" s="53"/>
      <c r="CP13" s="53"/>
      <c r="CQ13" s="53"/>
      <c r="CR13" s="1"/>
      <c r="CS13" s="1"/>
      <c r="CT13" s="1"/>
      <c r="CU13" s="1"/>
    </row>
    <row r="14" spans="1:99" s="13" customFormat="1" ht="12" customHeight="1" x14ac:dyDescent="0.2">
      <c r="A14" s="65">
        <v>43509</v>
      </c>
      <c r="B14" s="1"/>
      <c r="C14" s="1"/>
      <c r="D14" s="60"/>
      <c r="E14" s="76"/>
      <c r="F14" s="60"/>
      <c r="G14" s="60"/>
      <c r="H14" s="60"/>
      <c r="I14" s="60"/>
      <c r="J14" s="60"/>
      <c r="K14" s="64"/>
      <c r="L14" s="64"/>
      <c r="M14" s="60"/>
      <c r="N14" s="60"/>
      <c r="O14" s="60"/>
      <c r="P14" s="60"/>
      <c r="Q14" s="59"/>
      <c r="R14" s="60"/>
      <c r="S14" s="60"/>
      <c r="T14" s="60"/>
      <c r="U14" s="60"/>
      <c r="V14" s="60"/>
      <c r="W14" s="60"/>
      <c r="X14" s="60"/>
      <c r="Y14" s="76"/>
      <c r="Z14" s="60"/>
      <c r="AA14" s="60"/>
      <c r="AB14" s="60"/>
      <c r="AC14" s="60"/>
      <c r="AD14" s="60"/>
      <c r="AE14" s="60"/>
      <c r="AF14" s="80"/>
      <c r="AG14" s="56"/>
      <c r="AH14" s="4"/>
      <c r="AI14" s="56"/>
      <c r="AJ14" s="109"/>
      <c r="AK14" s="56"/>
      <c r="AL14" s="56"/>
      <c r="AM14" s="56"/>
      <c r="AN14" s="56"/>
      <c r="AO14" s="56"/>
      <c r="AP14" s="56"/>
      <c r="AQ14" s="56"/>
      <c r="AR14" s="109"/>
      <c r="AS14" s="56"/>
      <c r="AT14" s="56"/>
      <c r="AU14" s="3"/>
      <c r="AV14" s="25">
        <f>30*24*60*60*6.17</f>
        <v>15992640</v>
      </c>
      <c r="AW14" s="25">
        <f>30*24*60*60*18.64</f>
        <v>48314880</v>
      </c>
      <c r="AX14" s="25">
        <f>30*24*60*60*30.87</f>
        <v>80015040</v>
      </c>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c r="BZ14" s="53"/>
      <c r="CA14" s="53"/>
      <c r="CB14" s="53"/>
      <c r="CC14" s="53"/>
      <c r="CD14" s="53"/>
      <c r="CE14" s="53"/>
      <c r="CF14" s="53"/>
      <c r="CG14" s="53"/>
      <c r="CH14" s="53"/>
      <c r="CI14" s="53"/>
      <c r="CJ14" s="53"/>
      <c r="CK14" s="53"/>
      <c r="CL14" s="53"/>
      <c r="CM14" s="53"/>
      <c r="CN14" s="53"/>
      <c r="CO14" s="53"/>
      <c r="CP14" s="53"/>
      <c r="CQ14" s="53"/>
      <c r="CR14" s="1"/>
      <c r="CS14" s="1"/>
      <c r="CT14" s="1"/>
      <c r="CU14" s="1"/>
    </row>
    <row r="15" spans="1:99" s="13" customFormat="1" ht="12" customHeight="1" x14ac:dyDescent="0.2">
      <c r="A15" s="65">
        <v>43509</v>
      </c>
      <c r="B15" s="1" t="s">
        <v>240</v>
      </c>
      <c r="C15" s="1" t="s">
        <v>70</v>
      </c>
      <c r="D15" s="60">
        <v>2017</v>
      </c>
      <c r="E15" s="76">
        <v>1</v>
      </c>
      <c r="F15" s="60">
        <v>118</v>
      </c>
      <c r="G15" s="60">
        <v>39.299999999999997</v>
      </c>
      <c r="H15" s="60" t="s">
        <v>38</v>
      </c>
      <c r="I15" s="60" t="s">
        <v>624</v>
      </c>
      <c r="J15" s="60" t="s">
        <v>175</v>
      </c>
      <c r="K15" s="60">
        <f>IF(J15="syllables",1,IF(J15="trigrams",2,IF(J15="strings",3,IF(J15="visual array",4,IF(J15="characters",5,IF(J15="letters",6,IF(J15="free forms",7,IF(J15="odors",8,IF(J15="words",9,IF(J15="pictures",10,IF(J15="object pictures",11,IF(J15="faces",12,IF(J15="names",13,IF(J15="idioms",14,IF(J15="grades",15,IF(J15="syllable-digit pairs",16,IF(J15="trigram-word pairs",17,IF(J15="word-digit pairs",18,IF(J15="English-Swahili pairs",19,IF(J15="spatial position",20,IF(J15="word pairs",21,IF(J15="word triads",22,IF(J15="generated words",23,IF(J15="word definition pairs",24,IF(J15="math problems",25,IF(J15="famous faces",26,IF(J15="famous names",27,IF(J15="famous voices",28,IF(J15="television programs",29,IF(J15="race horses",30,IF(J15="new vocabulary",31,IF(J15="sentences",32,IF(J15="concepts",33,IF(J15="ad slides",34,IF(J15="scenes",35,IF(J15="famous scenes",36,IF(J15="poems",37,IF(J15="walk",38,IF(J15="faces and events",39,IF(J15="events and names",40,IF(J15="flashbulb",41,IF(J15="stories",42,IF(J15="course material",43,IF(J15="autobiographical",44,IF(J15="novels",45,IF(J15="public events",46,"99"))))))))))))))))))))))))))))))))))))))))))))))</f>
        <v>20</v>
      </c>
      <c r="L15" s="60">
        <f>IF(J15="syllables",1,IF(J15="trigrams",1,IF(J15="strings",1,IF(J15="visual array",1,IF(J15="characters",1,IF(J15="letters",1,IF(J15="free forms",1,IF(J15="odors",2,IF(J15="words",2,IF(J15="pictures",2,IF(J15="object pictures",2,IF(J15="faces",2,IF(J15="names",2,IF(J15="idioms","2",IF(J15="grades",2,IF(J15="syllable-digit pairs",3,IF(J15="trigram-word pairs",3,IF(J15="word-digit pairs",3,IF(J15="English-Swahili pairs",3,IF(J15="spatial position",3,IF(J15="word pairs",4,IF(J15="word triads",4,IF(J15="generated words",4,IF(J15="word definition pairs",4,IF(J15="math problems",4,IF(J15="famous faces",4,IF(J15="famous names",4,IF(J15="famous voices",4,IF(J15="television programs",4,IF(J15="race horses",4,IF(J15="new vocabulary",4,IF(J15="sentences",5,IF(J15="concepts",5,IF(J15="ad slides",5,IF(J15="scenes",5,IF(J15="famous scenes",5,IF(J15="poems",6,IF(J15="walk",6,IF(J15="faces and events",6,IF(J15="events and names",6,IF(J15="flashbulb",7,IF(J15="stories",7,IF(J15="course material",7,IF(J15="autobiographical",7,IF(J15="novels",7,IF(J15="public events",7,"99"))))))))))))))))))))))))))))))))))))))))))))))</f>
        <v>3</v>
      </c>
      <c r="M15" s="60">
        <v>0</v>
      </c>
      <c r="N15" s="60">
        <v>1</v>
      </c>
      <c r="O15" s="60">
        <v>0</v>
      </c>
      <c r="P15" s="60"/>
      <c r="Q15" s="60" t="s">
        <v>174</v>
      </c>
      <c r="R15" s="60">
        <f>IF(Q15="Free Recall",1,IF(Q15="Cued Recall",2,IF(Q15="Recognition",3,IF(Q15="Multiple Choice",4,IF(Q15="Savings",5,IF(Q15="Stem Completion",6,IF(Q15="Fragment Completion",7,IF(Q15="anagram solution",8,IF(Q15="Matching",9,IF(Q15="Problem Solving",10,"99"))))))))))</f>
        <v>1</v>
      </c>
      <c r="S15" s="60" t="s">
        <v>49</v>
      </c>
      <c r="T15" s="60" t="s">
        <v>261</v>
      </c>
      <c r="U15" s="60">
        <f>IF(T15="within",1,0)</f>
        <v>0</v>
      </c>
      <c r="V15" s="60">
        <v>1</v>
      </c>
      <c r="W15" s="60">
        <f>F15*V15</f>
        <v>118</v>
      </c>
      <c r="X15" s="60">
        <v>3</v>
      </c>
      <c r="Y15" s="76">
        <f>AV14</f>
        <v>15992640</v>
      </c>
      <c r="Z15" s="60" t="s">
        <v>235</v>
      </c>
      <c r="AA15" s="60">
        <f>30*24*60*60*30.87</f>
        <v>80015040</v>
      </c>
      <c r="AB15" s="60" t="str">
        <f>IF(AA15&lt;60,"1",IF(AA15&lt;=43200,"2",IF(AA15&lt;=777600,"3","4")))</f>
        <v>4</v>
      </c>
      <c r="AC15" s="56">
        <f>AVERAGE(AV14:DA14)</f>
        <v>48107520</v>
      </c>
      <c r="AD15" s="60" t="str">
        <f>IF(AC15&lt;60,"1",IF(AC15&lt;=43200,"2",IF(AC15&lt;=777600,"3","4")))</f>
        <v>4</v>
      </c>
      <c r="AE15" s="76">
        <f>AA15-Y15</f>
        <v>64022400</v>
      </c>
      <c r="AF15" s="80">
        <f>AV15</f>
        <v>0.15</v>
      </c>
      <c r="AG15" s="56">
        <f>((AW15-AV15)+(AX15-AW15))/2</f>
        <v>-3.5499999999999997E-2</v>
      </c>
      <c r="AH15" s="4"/>
      <c r="AI15" s="56">
        <f>RSQ(AV15:AX15,AV14:AX14)</f>
        <v>0.94979718397160551</v>
      </c>
      <c r="AJ15" s="109">
        <f>SLOPE(AV15:AX15,AV14:AX14)</f>
        <v>-1.1104190067152762E-9</v>
      </c>
      <c r="AK15" s="56">
        <f>INTERCEPT(AV15:AX15,AV14:AX14)</f>
        <v>0.16308617124060196</v>
      </c>
      <c r="AL15" s="56">
        <f>INDEX(LINEST(LN(AV15:AX15),LN(AV14:AX14),TRUE,TRUE),3,1)</f>
        <v>0.99632733902197745</v>
      </c>
      <c r="AM15" s="56">
        <f>INDEX(LINEST(LN(AV15:AX15),LN(AV14:AX14)),1)</f>
        <v>-0.39308731788945506</v>
      </c>
      <c r="AN15" s="56">
        <f>EXP(INDEX(LINEST(LN(AV15:AX15),LN(AV14:AX14)),1,2))</f>
        <v>102.53680131298032</v>
      </c>
      <c r="AO15" s="82">
        <f>INDEX(LINEST((AV15:AX15),LN(AV14:AX14),TRUE,TRUE),3,1)</f>
        <v>0.99962835945109341</v>
      </c>
      <c r="AP15" s="82">
        <f>INDEX(LINEST((AV15:AX15),LN(AV14:AX14)),1)</f>
        <v>-4.4281068084561212E-2</v>
      </c>
      <c r="AQ15" s="83">
        <f>INDEX(LINEST(LN(AV15:AX15),SQRT(AV14:AX14),TRUE,TRUE),3,1)</f>
        <v>0.99837259582809579</v>
      </c>
      <c r="AR15" s="116">
        <f>INDEX(LINEST(LN(AV15:AX15),SQRT((AV14:AX14))),1)</f>
        <v>-1.3022441536346914E-4</v>
      </c>
      <c r="AS15" s="84">
        <f>INDEX(LINEST(1/(AV15:AX15),1/(SQRT(AV14:AX14)),TRUE,TRUE),3,1)</f>
        <v>0.9457026566120359</v>
      </c>
      <c r="AT15" s="84">
        <f>INDEX(LINEST(1/(AV15:AX15),1/SQRT(AV14:AX14)),1)</f>
        <v>-40342.288517823501</v>
      </c>
      <c r="AU15" s="3"/>
      <c r="AV15" s="53">
        <v>0.15</v>
      </c>
      <c r="AW15" s="53">
        <v>0.1</v>
      </c>
      <c r="AX15" s="53">
        <v>7.9000000000000001E-2</v>
      </c>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1"/>
      <c r="CS15" s="1"/>
      <c r="CT15" s="1"/>
      <c r="CU15" s="1"/>
    </row>
    <row r="16" spans="1:99" s="13" customFormat="1" ht="12" customHeight="1" x14ac:dyDescent="0.2">
      <c r="A16" s="65">
        <v>43509</v>
      </c>
      <c r="B16" s="1"/>
      <c r="C16" s="1"/>
      <c r="D16" s="60"/>
      <c r="E16" s="76"/>
      <c r="F16" s="60"/>
      <c r="G16" s="60"/>
      <c r="H16" s="60"/>
      <c r="I16" s="60"/>
      <c r="J16" s="60"/>
      <c r="K16" s="64"/>
      <c r="L16" s="64"/>
      <c r="M16" s="60"/>
      <c r="N16" s="60"/>
      <c r="O16" s="60"/>
      <c r="P16" s="60"/>
      <c r="Q16" s="59"/>
      <c r="R16" s="60"/>
      <c r="S16" s="60"/>
      <c r="T16" s="60"/>
      <c r="U16" s="60"/>
      <c r="V16" s="60"/>
      <c r="W16" s="60"/>
      <c r="X16" s="60"/>
      <c r="Y16" s="76"/>
      <c r="Z16" s="60"/>
      <c r="AA16" s="60"/>
      <c r="AB16" s="60"/>
      <c r="AC16" s="60"/>
      <c r="AD16" s="60"/>
      <c r="AE16" s="60"/>
      <c r="AF16" s="80"/>
      <c r="AG16" s="56"/>
      <c r="AH16" s="4"/>
      <c r="AI16" s="56"/>
      <c r="AJ16" s="109"/>
      <c r="AK16" s="56"/>
      <c r="AL16" s="56"/>
      <c r="AM16" s="56"/>
      <c r="AN16" s="56"/>
      <c r="AO16" s="56"/>
      <c r="AP16" s="56"/>
      <c r="AQ16" s="56"/>
      <c r="AR16" s="109"/>
      <c r="AS16" s="56"/>
      <c r="AT16" s="56"/>
      <c r="AU16" s="3"/>
      <c r="AV16" s="25">
        <f>30*24*60*60*6.17</f>
        <v>15992640</v>
      </c>
      <c r="AW16" s="25">
        <f>30*24*60*60*18.64</f>
        <v>48314880</v>
      </c>
      <c r="AX16" s="25">
        <f>30*24*60*60*30.87</f>
        <v>80015040</v>
      </c>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1"/>
      <c r="CS16" s="1"/>
      <c r="CT16" s="1"/>
      <c r="CU16" s="1"/>
    </row>
    <row r="17" spans="1:99" s="13" customFormat="1" ht="12" customHeight="1" x14ac:dyDescent="0.2">
      <c r="A17" s="65">
        <v>43509</v>
      </c>
      <c r="B17" s="1" t="s">
        <v>240</v>
      </c>
      <c r="C17" s="1" t="s">
        <v>70</v>
      </c>
      <c r="D17" s="60">
        <v>2017</v>
      </c>
      <c r="E17" s="76">
        <v>1</v>
      </c>
      <c r="F17" s="60">
        <v>118</v>
      </c>
      <c r="G17" s="60">
        <v>39.299999999999997</v>
      </c>
      <c r="H17" s="60" t="s">
        <v>38</v>
      </c>
      <c r="I17" s="60" t="s">
        <v>625</v>
      </c>
      <c r="J17" s="60" t="s">
        <v>175</v>
      </c>
      <c r="K17" s="60">
        <f>IF(J17="syllables",1,IF(J17="trigrams",2,IF(J17="strings",3,IF(J17="visual array",4,IF(J17="characters",5,IF(J17="letters",6,IF(J17="free forms",7,IF(J17="odors",8,IF(J17="words",9,IF(J17="pictures",10,IF(J17="object pictures",11,IF(J17="faces",12,IF(J17="names",13,IF(J17="idioms",14,IF(J17="grades",15,IF(J17="syllable-digit pairs",16,IF(J17="trigram-word pairs",17,IF(J17="word-digit pairs",18,IF(J17="English-Swahili pairs",19,IF(J17="spatial position",20,IF(J17="word pairs",21,IF(J17="word triads",22,IF(J17="generated words",23,IF(J17="word definition pairs",24,IF(J17="math problems",25,IF(J17="famous faces",26,IF(J17="famous names",27,IF(J17="famous voices",28,IF(J17="television programs",29,IF(J17="race horses",30,IF(J17="new vocabulary",31,IF(J17="sentences",32,IF(J17="concepts",33,IF(J17="ad slides",34,IF(J17="scenes",35,IF(J17="famous scenes",36,IF(J17="poems",37,IF(J17="walk",38,IF(J17="faces and events",39,IF(J17="events and names",40,IF(J17="flashbulb",41,IF(J17="stories",42,IF(J17="course material",43,IF(J17="autobiographical",44,IF(J17="novels",45,IF(J17="public events",46,"99"))))))))))))))))))))))))))))))))))))))))))))))</f>
        <v>20</v>
      </c>
      <c r="L17" s="60">
        <f>IF(J17="syllables",1,IF(J17="trigrams",1,IF(J17="strings",1,IF(J17="visual array",1,IF(J17="characters",1,IF(J17="letters",1,IF(J17="free forms",1,IF(J17="odors",2,IF(J17="words",2,IF(J17="pictures",2,IF(J17="object pictures",2,IF(J17="faces",2,IF(J17="names",2,IF(J17="idioms","2",IF(J17="grades",2,IF(J17="syllable-digit pairs",3,IF(J17="trigram-word pairs",3,IF(J17="word-digit pairs",3,IF(J17="English-Swahili pairs",3,IF(J17="spatial position",3,IF(J17="word pairs",4,IF(J17="word triads",4,IF(J17="generated words",4,IF(J17="word definition pairs",4,IF(J17="math problems",4,IF(J17="famous faces",4,IF(J17="famous names",4,IF(J17="famous voices",4,IF(J17="television programs",4,IF(J17="race horses",4,IF(J17="new vocabulary",4,IF(J17="sentences",5,IF(J17="concepts",5,IF(J17="ad slides",5,IF(J17="scenes",5,IF(J17="famous scenes",5,IF(J17="poems",6,IF(J17="walk",6,IF(J17="faces and events",6,IF(J17="events and names",6,IF(J17="flashbulb",7,IF(J17="stories",7,IF(J17="course material",7,IF(J17="autobiographical",7,IF(J17="novels",7,IF(J17="public events",7,"99"))))))))))))))))))))))))))))))))))))))))))))))</f>
        <v>3</v>
      </c>
      <c r="M17" s="60">
        <v>0</v>
      </c>
      <c r="N17" s="60">
        <v>1</v>
      </c>
      <c r="O17" s="60">
        <v>0</v>
      </c>
      <c r="P17" s="60"/>
      <c r="Q17" s="60" t="s">
        <v>174</v>
      </c>
      <c r="R17" s="60">
        <f>IF(Q17="Free Recall",1,IF(Q17="Cued Recall",2,IF(Q17="Recognition",3,IF(Q17="Multiple Choice",4,IF(Q17="Savings",5,IF(Q17="Stem Completion",6,IF(Q17="Fragment Completion",7,IF(Q17="anagram solution",8,IF(Q17="Matching",9,IF(Q17="Problem Solving",10,"99"))))))))))</f>
        <v>1</v>
      </c>
      <c r="S17" s="60" t="s">
        <v>49</v>
      </c>
      <c r="T17" s="60" t="s">
        <v>261</v>
      </c>
      <c r="U17" s="60">
        <f>IF(T17="within",1,0)</f>
        <v>0</v>
      </c>
      <c r="V17" s="60">
        <v>1</v>
      </c>
      <c r="W17" s="60">
        <f>F17*V17</f>
        <v>118</v>
      </c>
      <c r="X17" s="60">
        <v>3</v>
      </c>
      <c r="Y17" s="76">
        <f>AV16</f>
        <v>15992640</v>
      </c>
      <c r="Z17" s="60" t="s">
        <v>235</v>
      </c>
      <c r="AA17" s="60">
        <f>30*24*60*60*30.87</f>
        <v>80015040</v>
      </c>
      <c r="AB17" s="60" t="str">
        <f>IF(AA17&lt;60,"1",IF(AA17&lt;=43200,"2",IF(AA17&lt;=777600,"3","4")))</f>
        <v>4</v>
      </c>
      <c r="AC17" s="56">
        <f>AVERAGE(AV16:DA16)</f>
        <v>48107520</v>
      </c>
      <c r="AD17" s="60" t="str">
        <f>IF(AC17&lt;60,"1",IF(AC17&lt;=43200,"2",IF(AC17&lt;=777600,"3","4")))</f>
        <v>4</v>
      </c>
      <c r="AE17" s="76">
        <f>AA17-Y17</f>
        <v>64022400</v>
      </c>
      <c r="AF17" s="80">
        <f>AV17</f>
        <v>0.8</v>
      </c>
      <c r="AG17" s="56">
        <f>((AW17-AV17)+(AX17-AW17))/2</f>
        <v>-0.06</v>
      </c>
      <c r="AH17" s="4"/>
      <c r="AI17" s="56">
        <f>RSQ(AV17:AX17,AV16:AX16)</f>
        <v>0.72383229116989778</v>
      </c>
      <c r="AJ17" s="109">
        <f>SLOPE(AV17:AX17,AV16:AX16)</f>
        <v>-1.8808614329984383E-9</v>
      </c>
      <c r="AK17" s="56">
        <f>INTERCEPT(AV17:AX17,AV16:AX16)</f>
        <v>0.80881691233853437</v>
      </c>
      <c r="AL17" s="56">
        <f>INDEX(LINEST(LN(AV17:AX17),LN(AV16:AX16),TRUE,TRUE),3,1)</f>
        <v>0.88259838867604767</v>
      </c>
      <c r="AM17" s="56">
        <f>INDEX(LINEST(LN(AV17:AX17),LN(AV16:AX16)),1)</f>
        <v>-0.10955062355742998</v>
      </c>
      <c r="AN17" s="56">
        <f>EXP(INDEX(LINEST(LN(AV17:AX17),LN(AV16:AX16)),1,2))</f>
        <v>4.8666481749721182</v>
      </c>
      <c r="AO17" s="82">
        <f>INDEX(LINEST((AV17:AX17),LN(AV16:AX16),TRUE,TRUE),3,1)</f>
        <v>0.88458778760218626</v>
      </c>
      <c r="AP17" s="82">
        <f>INDEX(LINEST((AV17:AX17),LN(AV16:AX16)),1)</f>
        <v>-8.0823127102540693E-2</v>
      </c>
      <c r="AQ17" s="83">
        <f>INDEX(LINEST(LN(AV17:AX17),SQRT(AV16:AX16),TRUE,TRUE),3,1)</f>
        <v>0.81024349931908379</v>
      </c>
      <c r="AR17" s="116">
        <f>INDEX(LINEST(LN(AV17:AX17),SQRT((AV16:AX16))),1)</f>
        <v>-3.4737547067067404E-5</v>
      </c>
      <c r="AS17" s="84">
        <f>INDEX(LINEST(1/(AV17:AX17),1/(SQRT(AV16:AX16)),TRUE,TRUE),3,1)</f>
        <v>0.93131815125356832</v>
      </c>
      <c r="AT17" s="84">
        <f>INDEX(LINEST(1/(AV17:AX17),1/SQRT(AV16:AX16)),1)</f>
        <v>-1741.7986551857243</v>
      </c>
      <c r="AU17" s="3"/>
      <c r="AV17" s="53">
        <v>0.8</v>
      </c>
      <c r="AW17" s="53">
        <v>0.67500000000000004</v>
      </c>
      <c r="AX17" s="53">
        <v>0.68</v>
      </c>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1"/>
      <c r="CS17" s="1"/>
      <c r="CT17" s="1"/>
      <c r="CU17" s="1"/>
    </row>
    <row r="18" spans="1:99" s="13" customFormat="1" ht="12" customHeight="1" x14ac:dyDescent="0.2">
      <c r="A18" s="65">
        <v>43509</v>
      </c>
      <c r="B18" s="1"/>
      <c r="C18" s="1"/>
      <c r="D18" s="60"/>
      <c r="E18" s="76"/>
      <c r="F18" s="60"/>
      <c r="G18" s="60"/>
      <c r="H18" s="60"/>
      <c r="I18" s="60"/>
      <c r="J18" s="60"/>
      <c r="K18" s="64"/>
      <c r="L18" s="64"/>
      <c r="M18" s="60"/>
      <c r="N18" s="60"/>
      <c r="O18" s="60"/>
      <c r="P18" s="60"/>
      <c r="Q18" s="59"/>
      <c r="R18" s="60"/>
      <c r="S18" s="60"/>
      <c r="T18" s="60"/>
      <c r="U18" s="60"/>
      <c r="V18" s="60"/>
      <c r="W18" s="60"/>
      <c r="X18" s="60"/>
      <c r="Y18" s="76"/>
      <c r="Z18" s="60"/>
      <c r="AA18" s="60"/>
      <c r="AB18" s="60"/>
      <c r="AC18" s="60"/>
      <c r="AD18" s="60"/>
      <c r="AE18" s="60"/>
      <c r="AF18" s="80"/>
      <c r="AG18" s="56"/>
      <c r="AH18" s="4"/>
      <c r="AI18" s="56"/>
      <c r="AJ18" s="109"/>
      <c r="AK18" s="56"/>
      <c r="AL18" s="56"/>
      <c r="AM18" s="56"/>
      <c r="AN18" s="56"/>
      <c r="AO18" s="56"/>
      <c r="AP18" s="56"/>
      <c r="AQ18" s="56"/>
      <c r="AR18" s="109"/>
      <c r="AS18" s="56"/>
      <c r="AT18" s="56"/>
      <c r="AU18" s="3"/>
      <c r="AV18" s="25">
        <f>30*24*60*60*6.17</f>
        <v>15992640</v>
      </c>
      <c r="AW18" s="25">
        <f>30*24*60*60*18.64</f>
        <v>48314880</v>
      </c>
      <c r="AX18" s="25">
        <f>30*24*60*60*30.87</f>
        <v>80015040</v>
      </c>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1"/>
      <c r="CS18" s="1"/>
      <c r="CT18" s="1"/>
      <c r="CU18" s="1"/>
    </row>
    <row r="19" spans="1:99" s="13" customFormat="1" ht="12" customHeight="1" x14ac:dyDescent="0.2">
      <c r="A19" s="65">
        <v>43509</v>
      </c>
      <c r="B19" s="1" t="s">
        <v>240</v>
      </c>
      <c r="C19" s="1" t="s">
        <v>70</v>
      </c>
      <c r="D19" s="60">
        <v>2017</v>
      </c>
      <c r="E19" s="76">
        <v>1</v>
      </c>
      <c r="F19" s="60">
        <v>118</v>
      </c>
      <c r="G19" s="60">
        <v>39.299999999999997</v>
      </c>
      <c r="H19" s="60" t="s">
        <v>38</v>
      </c>
      <c r="I19" s="60" t="s">
        <v>626</v>
      </c>
      <c r="J19" s="60" t="s">
        <v>175</v>
      </c>
      <c r="K19" s="60">
        <f>IF(J19="syllables",1,IF(J19="trigrams",2,IF(J19="strings",3,IF(J19="visual array",4,IF(J19="characters",5,IF(J19="letters",6,IF(J19="free forms",7,IF(J19="odors",8,IF(J19="words",9,IF(J19="pictures",10,IF(J19="object pictures",11,IF(J19="faces",12,IF(J19="names",13,IF(J19="idioms",14,IF(J19="grades",15,IF(J19="syllable-digit pairs",16,IF(J19="trigram-word pairs",17,IF(J19="word-digit pairs",18,IF(J19="English-Swahili pairs",19,IF(J19="spatial position",20,IF(J19="word pairs",21,IF(J19="word triads",22,IF(J19="generated words",23,IF(J19="word definition pairs",24,IF(J19="math problems",25,IF(J19="famous faces",26,IF(J19="famous names",27,IF(J19="famous voices",28,IF(J19="television programs",29,IF(J19="race horses",30,IF(J19="new vocabulary",31,IF(J19="sentences",32,IF(J19="concepts",33,IF(J19="ad slides",34,IF(J19="scenes",35,IF(J19="famous scenes",36,IF(J19="poems",37,IF(J19="walk",38,IF(J19="faces and events",39,IF(J19="events and names",40,IF(J19="flashbulb",41,IF(J19="stories",42,IF(J19="course material",43,IF(J19="autobiographical",44,IF(J19="novels",45,IF(J19="public events",46,"99"))))))))))))))))))))))))))))))))))))))))))))))</f>
        <v>20</v>
      </c>
      <c r="L19" s="60">
        <f>IF(J19="syllables",1,IF(J19="trigrams",1,IF(J19="strings",1,IF(J19="visual array",1,IF(J19="characters",1,IF(J19="letters",1,IF(J19="free forms",1,IF(J19="odors",2,IF(J19="words",2,IF(J19="pictures",2,IF(J19="object pictures",2,IF(J19="faces",2,IF(J19="names",2,IF(J19="idioms","2",IF(J19="grades",2,IF(J19="syllable-digit pairs",3,IF(J19="trigram-word pairs",3,IF(J19="word-digit pairs",3,IF(J19="English-Swahili pairs",3,IF(J19="spatial position",3,IF(J19="word pairs",4,IF(J19="word triads",4,IF(J19="generated words",4,IF(J19="word definition pairs",4,IF(J19="math problems",4,IF(J19="famous faces",4,IF(J19="famous names",4,IF(J19="famous voices",4,IF(J19="television programs",4,IF(J19="race horses",4,IF(J19="new vocabulary",4,IF(J19="sentences",5,IF(J19="concepts",5,IF(J19="ad slides",5,IF(J19="scenes",5,IF(J19="famous scenes",5,IF(J19="poems",6,IF(J19="walk",6,IF(J19="faces and events",6,IF(J19="events and names",6,IF(J19="flashbulb",7,IF(J19="stories",7,IF(J19="course material",7,IF(J19="autobiographical",7,IF(J19="novels",7,IF(J19="public events",7,"99"))))))))))))))))))))))))))))))))))))))))))))))</f>
        <v>3</v>
      </c>
      <c r="M19" s="60">
        <v>0</v>
      </c>
      <c r="N19" s="60">
        <v>1</v>
      </c>
      <c r="O19" s="60">
        <v>0</v>
      </c>
      <c r="P19" s="60"/>
      <c r="Q19" s="60" t="s">
        <v>174</v>
      </c>
      <c r="R19" s="60">
        <f>IF(Q19="Free Recall",1,IF(Q19="Cued Recall",2,IF(Q19="Recognition",3,IF(Q19="Multiple Choice",4,IF(Q19="Savings",5,IF(Q19="Stem Completion",6,IF(Q19="Fragment Completion",7,IF(Q19="anagram solution",8,IF(Q19="Matching",9,IF(Q19="Problem Solving",10,"99"))))))))))</f>
        <v>1</v>
      </c>
      <c r="S19" s="60" t="s">
        <v>49</v>
      </c>
      <c r="T19" s="60" t="s">
        <v>261</v>
      </c>
      <c r="U19" s="60">
        <f>IF(T19="within",1,0)</f>
        <v>0</v>
      </c>
      <c r="V19" s="60">
        <v>1</v>
      </c>
      <c r="W19" s="60">
        <f>F19*V19</f>
        <v>118</v>
      </c>
      <c r="X19" s="60">
        <v>3</v>
      </c>
      <c r="Y19" s="76">
        <f>AV18</f>
        <v>15992640</v>
      </c>
      <c r="Z19" s="60" t="s">
        <v>235</v>
      </c>
      <c r="AA19" s="60">
        <f>30*24*60*60*30.87</f>
        <v>80015040</v>
      </c>
      <c r="AB19" s="60" t="str">
        <f>IF(AA19&lt;60,"1",IF(AA19&lt;=43200,"2",IF(AA19&lt;=777600,"3","4")))</f>
        <v>4</v>
      </c>
      <c r="AC19" s="56">
        <f>AVERAGE(AV18:DA18)</f>
        <v>48107520</v>
      </c>
      <c r="AD19" s="60" t="str">
        <f>IF(AC19&lt;60,"1",IF(AC19&lt;=43200,"2",IF(AC19&lt;=777600,"3","4")))</f>
        <v>4</v>
      </c>
      <c r="AE19" s="76">
        <f>AA19-Y19</f>
        <v>64022400</v>
      </c>
      <c r="AF19" s="80">
        <f>AV19</f>
        <v>0.6</v>
      </c>
      <c r="AG19" s="56">
        <f>((AW19-AV19)+(AX19-AW19))/2</f>
        <v>-2.3499999999999965E-2</v>
      </c>
      <c r="AH19" s="4"/>
      <c r="AI19" s="56">
        <f>RSQ(AV19:AX19,AV18:AX18)</f>
        <v>0.14191580330469719</v>
      </c>
      <c r="AJ19" s="109">
        <f>SLOPE(AV19:AX19,AV18:AX18)</f>
        <v>-7.2412912230494505E-10</v>
      </c>
      <c r="AK19" s="56">
        <f>INTERCEPT(AV19:AX19,AV18:AX18)</f>
        <v>0.64416938956720082</v>
      </c>
      <c r="AL19" s="56">
        <f>INDEX(LINEST(LN(AV19:AX19),LN(AV18:AX18),TRUE,TRUE),3,1)</f>
        <v>4.2160132266873804E-2</v>
      </c>
      <c r="AM19" s="56">
        <f>INDEX(LINEST(LN(AV19:AX19),LN(AV18:AX18)),1)</f>
        <v>-2.4988556565272876E-2</v>
      </c>
      <c r="AN19" s="56">
        <f>EXP(INDEX(LINEST(LN(AV19:AX19),LN(AV18:AX18)),1,2))</f>
        <v>0.94022736605303669</v>
      </c>
      <c r="AO19" s="82">
        <f>INDEX(LINEST((AV19:AX19),LN(AV18:AX18),TRUE,TRUE),3,1)</f>
        <v>3.1893502431956676E-2</v>
      </c>
      <c r="AP19" s="82">
        <f>INDEX(LINEST((AV19:AX19),LN(AV18:AX18)),1)</f>
        <v>-1.3343786868121158E-2</v>
      </c>
      <c r="AQ19" s="83">
        <f>INDEX(LINEST(LN(AV19:AX19),SQRT(AV18:AX18),TRUE,TRUE),3,1)</f>
        <v>9.1781748377920427E-2</v>
      </c>
      <c r="AR19" s="116">
        <f>INDEX(LINEST(LN(AV19:AX19),SQRT((AV18:AX18))),1)</f>
        <v>-1.2201871105409494E-5</v>
      </c>
      <c r="AS19" s="84">
        <f>INDEX(LINEST(1/(AV19:AX19),1/(SQRT(AV18:AX18)),TRUE,TRUE),3,1)</f>
        <v>2.1368912678493186E-2</v>
      </c>
      <c r="AT19" s="84">
        <f>INDEX(LINEST(1/(AV19:AX19),1/SQRT(AV18:AX18)),1)</f>
        <v>-331.0767834315057</v>
      </c>
      <c r="AU19" s="3"/>
      <c r="AV19" s="53">
        <v>0.6</v>
      </c>
      <c r="AW19" s="53">
        <v>0.67500000000000004</v>
      </c>
      <c r="AX19" s="53">
        <v>0.55300000000000005</v>
      </c>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1"/>
      <c r="CS19" s="1"/>
      <c r="CT19" s="1"/>
      <c r="CU19" s="1"/>
    </row>
    <row r="20" spans="1:99" s="13" customFormat="1" ht="12" customHeight="1" x14ac:dyDescent="0.2">
      <c r="A20" s="65">
        <v>43509</v>
      </c>
      <c r="B20" s="1"/>
      <c r="C20" s="1"/>
      <c r="D20" s="60"/>
      <c r="E20" s="76"/>
      <c r="F20" s="60"/>
      <c r="G20" s="60"/>
      <c r="H20" s="60"/>
      <c r="I20" s="60"/>
      <c r="J20" s="60"/>
      <c r="K20" s="64"/>
      <c r="L20" s="64"/>
      <c r="M20" s="60"/>
      <c r="N20" s="60"/>
      <c r="O20" s="60"/>
      <c r="P20" s="60"/>
      <c r="Q20" s="59"/>
      <c r="R20" s="60"/>
      <c r="S20" s="60"/>
      <c r="T20" s="60"/>
      <c r="U20" s="60"/>
      <c r="V20" s="60"/>
      <c r="W20" s="60"/>
      <c r="X20" s="60"/>
      <c r="Y20" s="76"/>
      <c r="Z20" s="60"/>
      <c r="AA20" s="60"/>
      <c r="AB20" s="60"/>
      <c r="AC20" s="60"/>
      <c r="AD20" s="60"/>
      <c r="AE20" s="60"/>
      <c r="AF20" s="80"/>
      <c r="AG20" s="56"/>
      <c r="AH20" s="4"/>
      <c r="AI20" s="56"/>
      <c r="AJ20" s="109"/>
      <c r="AK20" s="56"/>
      <c r="AL20" s="56"/>
      <c r="AM20" s="56"/>
      <c r="AN20" s="56"/>
      <c r="AO20" s="56"/>
      <c r="AP20" s="56"/>
      <c r="AQ20" s="56"/>
      <c r="AR20" s="109"/>
      <c r="AS20" s="56"/>
      <c r="AT20" s="56"/>
      <c r="AU20" s="3"/>
      <c r="AV20" s="25">
        <f>30*24*60*60*6.17</f>
        <v>15992640</v>
      </c>
      <c r="AW20" s="25">
        <f>30*24*60*60*18.64</f>
        <v>48314880</v>
      </c>
      <c r="AX20" s="25">
        <f>30*24*60*60*30.87</f>
        <v>80015040</v>
      </c>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1"/>
      <c r="CS20" s="1"/>
      <c r="CT20" s="1"/>
      <c r="CU20" s="1"/>
    </row>
    <row r="21" spans="1:99" s="13" customFormat="1" ht="12" customHeight="1" x14ac:dyDescent="0.2">
      <c r="A21" s="65">
        <v>43509</v>
      </c>
      <c r="B21" s="1" t="s">
        <v>240</v>
      </c>
      <c r="C21" s="1" t="s">
        <v>70</v>
      </c>
      <c r="D21" s="60">
        <v>2017</v>
      </c>
      <c r="E21" s="76">
        <v>1</v>
      </c>
      <c r="F21" s="60">
        <v>118</v>
      </c>
      <c r="G21" s="60">
        <v>39.299999999999997</v>
      </c>
      <c r="H21" s="60" t="s">
        <v>398</v>
      </c>
      <c r="I21" s="60" t="s">
        <v>627</v>
      </c>
      <c r="J21" s="60" t="s">
        <v>175</v>
      </c>
      <c r="K21" s="60">
        <f>IF(J21="syllables",1,IF(J21="trigrams",2,IF(J21="strings",3,IF(J21="visual array",4,IF(J21="characters",5,IF(J21="letters",6,IF(J21="free forms",7,IF(J21="odors",8,IF(J21="words",9,IF(J21="pictures",10,IF(J21="object pictures",11,IF(J21="faces",12,IF(J21="names",13,IF(J21="idioms",14,IF(J21="grades",15,IF(J21="syllable-digit pairs",16,IF(J21="trigram-word pairs",17,IF(J21="word-digit pairs",18,IF(J21="English-Swahili pairs",19,IF(J21="spatial position",20,IF(J21="word pairs",21,IF(J21="word triads",22,IF(J21="generated words",23,IF(J21="word definition pairs",24,IF(J21="math problems",25,IF(J21="famous faces",26,IF(J21="famous names",27,IF(J21="famous voices",28,IF(J21="television programs",29,IF(J21="race horses",30,IF(J21="new vocabulary",31,IF(J21="sentences",32,IF(J21="concepts",33,IF(J21="ad slides",34,IF(J21="scenes",35,IF(J21="famous scenes",36,IF(J21="poems",37,IF(J21="walk",38,IF(J21="faces and events",39,IF(J21="events and names",40,IF(J21="flashbulb",41,IF(J21="stories",42,IF(J21="course material",43,IF(J21="autobiographical",44,IF(J21="novels",45,IF(J21="public events",46,"99"))))))))))))))))))))))))))))))))))))))))))))))</f>
        <v>20</v>
      </c>
      <c r="L21" s="60">
        <f>IF(J21="syllables",1,IF(J21="trigrams",1,IF(J21="strings",1,IF(J21="visual array",1,IF(J21="characters",1,IF(J21="letters",1,IF(J21="free forms",1,IF(J21="odors",2,IF(J21="words",2,IF(J21="pictures",2,IF(J21="object pictures",2,IF(J21="faces",2,IF(J21="names",2,IF(J21="idioms","2",IF(J21="grades",2,IF(J21="syllable-digit pairs",3,IF(J21="trigram-word pairs",3,IF(J21="word-digit pairs",3,IF(J21="English-Swahili pairs",3,IF(J21="spatial position",3,IF(J21="word pairs",4,IF(J21="word triads",4,IF(J21="generated words",4,IF(J21="word definition pairs",4,IF(J21="math problems",4,IF(J21="famous faces",4,IF(J21="famous names",4,IF(J21="famous voices",4,IF(J21="television programs",4,IF(J21="race horses",4,IF(J21="new vocabulary",4,IF(J21="sentences",5,IF(J21="concepts",5,IF(J21="ad slides",5,IF(J21="scenes",5,IF(J21="famous scenes",5,IF(J21="poems",6,IF(J21="walk",6,IF(J21="faces and events",6,IF(J21="events and names",6,IF(J21="flashbulb",7,IF(J21="stories",7,IF(J21="course material",7,IF(J21="autobiographical",7,IF(J21="novels",7,IF(J21="public events",7,"99"))))))))))))))))))))))))))))))))))))))))))))))</f>
        <v>3</v>
      </c>
      <c r="M21" s="60">
        <v>0</v>
      </c>
      <c r="N21" s="60">
        <v>1</v>
      </c>
      <c r="O21" s="60">
        <v>0</v>
      </c>
      <c r="P21" s="60"/>
      <c r="Q21" s="60" t="s">
        <v>174</v>
      </c>
      <c r="R21" s="60">
        <f>IF(Q21="Free Recall",1,IF(Q21="Cued Recall",2,IF(Q21="Recognition",3,IF(Q21="Multiple Choice",4,IF(Q21="Savings",5,IF(Q21="Stem Completion",6,IF(Q21="Fragment Completion",7,IF(Q21="anagram solution",8,IF(Q21="Matching",9,IF(Q21="Problem Solving",10,"99"))))))))))</f>
        <v>1</v>
      </c>
      <c r="S21" s="60" t="s">
        <v>49</v>
      </c>
      <c r="T21" s="60" t="s">
        <v>261</v>
      </c>
      <c r="U21" s="60">
        <f>IF(T21="within",1,0)</f>
        <v>0</v>
      </c>
      <c r="V21" s="60">
        <v>1</v>
      </c>
      <c r="W21" s="60">
        <f>F21*V21</f>
        <v>118</v>
      </c>
      <c r="X21" s="60">
        <v>3</v>
      </c>
      <c r="Y21" s="76">
        <f>AV20</f>
        <v>15992640</v>
      </c>
      <c r="Z21" s="60" t="s">
        <v>235</v>
      </c>
      <c r="AA21" s="60">
        <f>30*24*60*60*30.87</f>
        <v>80015040</v>
      </c>
      <c r="AB21" s="60" t="str">
        <f>IF(AA21&lt;60,"1",IF(AA21&lt;=43200,"2",IF(AA21&lt;=777600,"3","4")))</f>
        <v>4</v>
      </c>
      <c r="AC21" s="56">
        <f>AVERAGE(AV20:DA20)</f>
        <v>48107520</v>
      </c>
      <c r="AD21" s="60" t="str">
        <f>IF(AC21&lt;60,"1",IF(AC21&lt;=43200,"2",IF(AC21&lt;=777600,"3","4")))</f>
        <v>4</v>
      </c>
      <c r="AE21" s="76">
        <f>AA21-Y21</f>
        <v>64022400</v>
      </c>
      <c r="AF21" s="80">
        <f>AV21</f>
        <v>0.28000000000000003</v>
      </c>
      <c r="AG21" s="56">
        <f>((AW21-AV21)+(AX21-AW21))/2</f>
        <v>-7.5000000000000011E-2</v>
      </c>
      <c r="AH21" s="4"/>
      <c r="AI21" s="56">
        <f>RSQ(AV21:AX21,AV20:AX20)</f>
        <v>0.88936231181471848</v>
      </c>
      <c r="AJ21" s="109">
        <f>SLOPE(AV21:AX21,AV20:AX20)</f>
        <v>-2.3383033240121122E-9</v>
      </c>
      <c r="AK21" s="56">
        <f>INTERCEPT(AV21:AX21,AV20:AX20)</f>
        <v>0.33248997392597918</v>
      </c>
      <c r="AL21" s="56">
        <f>INDEX(LINEST(LN(AV21:AX21),LN(AV20:AX20),TRUE,TRUE),3,1)</f>
        <v>0.68242917049548635</v>
      </c>
      <c r="AM21" s="56">
        <f>INDEX(LINEST(LN(AV21:AX21),LN(AV20:AX20)),1)</f>
        <v>-0.41544136809419413</v>
      </c>
      <c r="AN21" s="56">
        <f>EXP(INDEX(LINEST(LN(AV21:AX21),LN(AV20:AX20)),1,2))</f>
        <v>299.09727213520097</v>
      </c>
      <c r="AO21" s="82">
        <f>INDEX(LINEST((AV21:AX21),LN(AV20:AX20),TRUE,TRUE),3,1)</f>
        <v>0.73054899561479847</v>
      </c>
      <c r="AP21" s="82">
        <f>INDEX(LINEST((AV21:AX21),LN(AV20:AX20)),1)</f>
        <v>-8.2378430935811861E-2</v>
      </c>
      <c r="AQ21" s="83">
        <f>INDEX(LINEST(LN(AV21:AX21),SQRT(AV20:AX20),TRUE,TRUE),3,1)</f>
        <v>0.77211206981386749</v>
      </c>
      <c r="AR21" s="116">
        <f>INDEX(LINEST(LN(AV21:AX21),SQRT((AV20:AX20))),1)</f>
        <v>-1.4624438518726622E-4</v>
      </c>
      <c r="AS21" s="84">
        <f>INDEX(LINEST(1/(AV21:AX21),1/(SQRT(AV20:AX20)),TRUE,TRUE),3,1)</f>
        <v>0.55626079400348061</v>
      </c>
      <c r="AT21" s="84">
        <f>INDEX(LINEST(1/(AV21:AX21),1/SQRT(AV20:AX20)),1)</f>
        <v>-23349.859101473561</v>
      </c>
      <c r="AU21" s="3"/>
      <c r="AV21" s="53">
        <v>0.28000000000000003</v>
      </c>
      <c r="AW21" s="53">
        <v>0.25</v>
      </c>
      <c r="AX21" s="53">
        <v>0.13</v>
      </c>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1"/>
      <c r="CS21" s="1"/>
      <c r="CT21" s="1"/>
      <c r="CU21" s="1"/>
    </row>
    <row r="22" spans="1:99" s="13" customFormat="1" ht="12" customHeight="1" x14ac:dyDescent="0.2">
      <c r="A22" s="65">
        <v>43509</v>
      </c>
      <c r="B22" s="1"/>
      <c r="C22" s="1"/>
      <c r="D22" s="60"/>
      <c r="E22" s="76"/>
      <c r="F22" s="60"/>
      <c r="G22" s="60"/>
      <c r="H22" s="60"/>
      <c r="I22" s="60"/>
      <c r="J22" s="60"/>
      <c r="K22" s="64"/>
      <c r="L22" s="64"/>
      <c r="M22" s="60"/>
      <c r="N22" s="60"/>
      <c r="O22" s="60"/>
      <c r="P22" s="60"/>
      <c r="Q22" s="59"/>
      <c r="R22" s="60"/>
      <c r="S22" s="60"/>
      <c r="T22" s="60"/>
      <c r="U22" s="60"/>
      <c r="V22" s="60"/>
      <c r="W22" s="60"/>
      <c r="X22" s="60"/>
      <c r="Y22" s="76"/>
      <c r="Z22" s="60"/>
      <c r="AA22" s="60"/>
      <c r="AB22" s="60"/>
      <c r="AC22" s="60"/>
      <c r="AD22" s="60"/>
      <c r="AE22" s="60"/>
      <c r="AF22" s="80"/>
      <c r="AG22" s="56"/>
      <c r="AH22" s="4"/>
      <c r="AI22" s="56"/>
      <c r="AJ22" s="109"/>
      <c r="AK22" s="56"/>
      <c r="AL22" s="56"/>
      <c r="AM22" s="56"/>
      <c r="AN22" s="56"/>
      <c r="AO22" s="56"/>
      <c r="AP22" s="56"/>
      <c r="AQ22" s="56"/>
      <c r="AR22" s="109"/>
      <c r="AS22" s="56"/>
      <c r="AT22" s="56"/>
      <c r="AU22" s="3"/>
      <c r="AV22" s="25">
        <f>30*24*60*60*6.17</f>
        <v>15992640</v>
      </c>
      <c r="AW22" s="25">
        <f>30*24*60*60*18.64</f>
        <v>48314880</v>
      </c>
      <c r="AX22" s="25">
        <f>30*24*60*60*30.87</f>
        <v>80015040</v>
      </c>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1"/>
      <c r="CS22" s="1"/>
      <c r="CT22" s="1"/>
      <c r="CU22" s="1"/>
    </row>
    <row r="23" spans="1:99" s="13" customFormat="1" ht="12" customHeight="1" x14ac:dyDescent="0.2">
      <c r="A23" s="65">
        <v>43509</v>
      </c>
      <c r="B23" s="1" t="s">
        <v>240</v>
      </c>
      <c r="C23" s="1" t="s">
        <v>70</v>
      </c>
      <c r="D23" s="60">
        <v>2017</v>
      </c>
      <c r="E23" s="76">
        <v>1</v>
      </c>
      <c r="F23" s="60">
        <v>118</v>
      </c>
      <c r="G23" s="60">
        <v>39.299999999999997</v>
      </c>
      <c r="H23" s="60" t="s">
        <v>398</v>
      </c>
      <c r="I23" s="60" t="s">
        <v>628</v>
      </c>
      <c r="J23" s="60" t="s">
        <v>175</v>
      </c>
      <c r="K23" s="60">
        <f>IF(J23="syllables",1,IF(J23="trigrams",2,IF(J23="strings",3,IF(J23="visual array",4,IF(J23="characters",5,IF(J23="letters",6,IF(J23="free forms",7,IF(J23="odors",8,IF(J23="words",9,IF(J23="pictures",10,IF(J23="object pictures",11,IF(J23="faces",12,IF(J23="names",13,IF(J23="idioms",14,IF(J23="grades",15,IF(J23="syllable-digit pairs",16,IF(J23="trigram-word pairs",17,IF(J23="word-digit pairs",18,IF(J23="English-Swahili pairs",19,IF(J23="spatial position",20,IF(J23="word pairs",21,IF(J23="word triads",22,IF(J23="generated words",23,IF(J23="word definition pairs",24,IF(J23="math problems",25,IF(J23="famous faces",26,IF(J23="famous names",27,IF(J23="famous voices",28,IF(J23="television programs",29,IF(J23="race horses",30,IF(J23="new vocabulary",31,IF(J23="sentences",32,IF(J23="concepts",33,IF(J23="ad slides",34,IF(J23="scenes",35,IF(J23="famous scenes",36,IF(J23="poems",37,IF(J23="walk",38,IF(J23="faces and events",39,IF(J23="events and names",40,IF(J23="flashbulb",41,IF(J23="stories",42,IF(J23="course material",43,IF(J23="autobiographical",44,IF(J23="novels",45,IF(J23="public events",46,"99"))))))))))))))))))))))))))))))))))))))))))))))</f>
        <v>20</v>
      </c>
      <c r="L23" s="60">
        <f>IF(J23="syllables",1,IF(J23="trigrams",1,IF(J23="strings",1,IF(J23="visual array",1,IF(J23="characters",1,IF(J23="letters",1,IF(J23="free forms",1,IF(J23="odors",2,IF(J23="words",2,IF(J23="pictures",2,IF(J23="object pictures",2,IF(J23="faces",2,IF(J23="names",2,IF(J23="idioms","2",IF(J23="grades",2,IF(J23="syllable-digit pairs",3,IF(J23="trigram-word pairs",3,IF(J23="word-digit pairs",3,IF(J23="English-Swahili pairs",3,IF(J23="spatial position",3,IF(J23="word pairs",4,IF(J23="word triads",4,IF(J23="generated words",4,IF(J23="word definition pairs",4,IF(J23="math problems",4,IF(J23="famous faces",4,IF(J23="famous names",4,IF(J23="famous voices",4,IF(J23="television programs",4,IF(J23="race horses",4,IF(J23="new vocabulary",4,IF(J23="sentences",5,IF(J23="concepts",5,IF(J23="ad slides",5,IF(J23="scenes",5,IF(J23="famous scenes",5,IF(J23="poems",6,IF(J23="walk",6,IF(J23="faces and events",6,IF(J23="events and names",6,IF(J23="flashbulb",7,IF(J23="stories",7,IF(J23="course material",7,IF(J23="autobiographical",7,IF(J23="novels",7,IF(J23="public events",7,"99"))))))))))))))))))))))))))))))))))))))))))))))</f>
        <v>3</v>
      </c>
      <c r="M23" s="60">
        <v>0</v>
      </c>
      <c r="N23" s="60">
        <v>1</v>
      </c>
      <c r="O23" s="60">
        <v>0</v>
      </c>
      <c r="P23" s="60"/>
      <c r="Q23" s="60" t="s">
        <v>174</v>
      </c>
      <c r="R23" s="60">
        <f>IF(Q23="Free Recall",1,IF(Q23="Cued Recall",2,IF(Q23="Recognition",3,IF(Q23="Multiple Choice",4,IF(Q23="Savings",5,IF(Q23="Stem Completion",6,IF(Q23="Fragment Completion",7,IF(Q23="anagram solution",8,IF(Q23="Matching",9,IF(Q23="Problem Solving",10,"99"))))))))))</f>
        <v>1</v>
      </c>
      <c r="S23" s="60" t="s">
        <v>49</v>
      </c>
      <c r="T23" s="60" t="s">
        <v>261</v>
      </c>
      <c r="U23" s="60">
        <f>IF(T23="within",1,0)</f>
        <v>0</v>
      </c>
      <c r="V23" s="60">
        <v>1</v>
      </c>
      <c r="W23" s="60">
        <f>F23*V23</f>
        <v>118</v>
      </c>
      <c r="X23" s="60">
        <v>3</v>
      </c>
      <c r="Y23" s="76">
        <f>AV22</f>
        <v>15992640</v>
      </c>
      <c r="Z23" s="60" t="s">
        <v>235</v>
      </c>
      <c r="AA23" s="60">
        <f>30*24*60*60*30.87</f>
        <v>80015040</v>
      </c>
      <c r="AB23" s="60" t="str">
        <f>IF(AA23&lt;60,"1",IF(AA23&lt;=43200,"2",IF(AA23&lt;=777600,"3","4")))</f>
        <v>4</v>
      </c>
      <c r="AC23" s="56">
        <f>AVERAGE(AV22:DA22)</f>
        <v>48107520</v>
      </c>
      <c r="AD23" s="60" t="str">
        <f>IF(AC23&lt;60,"1",IF(AC23&lt;=43200,"2",IF(AC23&lt;=777600,"3","4")))</f>
        <v>4</v>
      </c>
      <c r="AE23" s="76">
        <f>AA23-Y23</f>
        <v>64022400</v>
      </c>
      <c r="AF23" s="80">
        <f>AV23</f>
        <v>0.8</v>
      </c>
      <c r="AG23" s="56">
        <f>((AW23-AV23)+(AX23-AW23))/2</f>
        <v>-0.11000000000000004</v>
      </c>
      <c r="AH23" s="4"/>
      <c r="AI23" s="56">
        <f>RSQ(AV23:AX23,AV22:AX22)</f>
        <v>0.81321463835069563</v>
      </c>
      <c r="AJ23" s="109">
        <f>SLOPE(AV23:AX23,AV22:AX22)</f>
        <v>-3.4270833184098772E-9</v>
      </c>
      <c r="AK23" s="56">
        <f>INTERCEPT(AV23:AX23,AV22:AX22)</f>
        <v>0.88486847928206958</v>
      </c>
      <c r="AL23" s="56">
        <f>INDEX(LINEST(LN(AV23:AX23),LN(AV22:AX22),TRUE,TRUE),3,1)</f>
        <v>0.61918780861546241</v>
      </c>
      <c r="AM23" s="56">
        <f>INDEX(LINEST(LN(AV23:AX23),LN(AV22:AX22)),1)</f>
        <v>-0.17084918671938898</v>
      </c>
      <c r="AN23" s="56">
        <f>EXP(INDEX(LINEST(LN(AV23:AX23),LN(AV22:AX22)),1,2))</f>
        <v>14.152135152307093</v>
      </c>
      <c r="AO23" s="82">
        <f>INDEX(LINEST((AV23:AX23),LN(AV22:AX22),TRUE,TRUE),3,1)</f>
        <v>0.63026236638857636</v>
      </c>
      <c r="AP23" s="82">
        <f>INDEX(LINEST((AV23:AX23),LN(AV22:AX22)),1)</f>
        <v>-0.11727626131483378</v>
      </c>
      <c r="AQ23" s="83">
        <f>INDEX(LINEST(LN(AV23:AX23),SQRT(AV22:AX22),TRUE,TRUE),3,1)</f>
        <v>0.71417965444653342</v>
      </c>
      <c r="AR23" s="116">
        <f>INDEX(LINEST(LN(AV23:AX23),SQRT((AV22:AX22))),1)</f>
        <v>-6.0724442472593724E-5</v>
      </c>
      <c r="AS23" s="84">
        <f>INDEX(LINEST(1/(AV23:AX23),1/(SQRT(AV22:AX22)),TRUE,TRUE),3,1)</f>
        <v>0.52216669361393164</v>
      </c>
      <c r="AT23" s="84">
        <f>INDEX(LINEST(1/(AV23:AX23),1/SQRT(AV22:AX22)),1)</f>
        <v>-2645.8659292436178</v>
      </c>
      <c r="AU23" s="3"/>
      <c r="AV23" s="53">
        <v>0.8</v>
      </c>
      <c r="AW23" s="53">
        <v>0.78</v>
      </c>
      <c r="AX23" s="53">
        <v>0.57999999999999996</v>
      </c>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1"/>
      <c r="CS23" s="1"/>
      <c r="CT23" s="1"/>
      <c r="CU23" s="1"/>
    </row>
    <row r="24" spans="1:99" s="13" customFormat="1" ht="12" customHeight="1" x14ac:dyDescent="0.2">
      <c r="A24" s="65">
        <v>43509</v>
      </c>
      <c r="B24" s="1"/>
      <c r="C24" s="1"/>
      <c r="D24" s="60"/>
      <c r="E24" s="76"/>
      <c r="F24" s="60"/>
      <c r="G24" s="60"/>
      <c r="H24" s="60"/>
      <c r="I24" s="60"/>
      <c r="J24" s="60"/>
      <c r="K24" s="64"/>
      <c r="L24" s="64"/>
      <c r="M24" s="60"/>
      <c r="N24" s="60"/>
      <c r="O24" s="60"/>
      <c r="P24" s="60"/>
      <c r="Q24" s="59"/>
      <c r="R24" s="60"/>
      <c r="S24" s="60"/>
      <c r="T24" s="60"/>
      <c r="U24" s="60"/>
      <c r="V24" s="60"/>
      <c r="W24" s="60"/>
      <c r="X24" s="60"/>
      <c r="Y24" s="76"/>
      <c r="Z24" s="60"/>
      <c r="AA24" s="60"/>
      <c r="AB24" s="60"/>
      <c r="AC24" s="60"/>
      <c r="AD24" s="60"/>
      <c r="AE24" s="60"/>
      <c r="AF24" s="80"/>
      <c r="AG24" s="56"/>
      <c r="AH24" s="4"/>
      <c r="AI24" s="56"/>
      <c r="AJ24" s="109"/>
      <c r="AK24" s="56"/>
      <c r="AL24" s="56"/>
      <c r="AM24" s="56"/>
      <c r="AN24" s="56"/>
      <c r="AO24" s="56"/>
      <c r="AP24" s="56"/>
      <c r="AQ24" s="56"/>
      <c r="AR24" s="109"/>
      <c r="AS24" s="56"/>
      <c r="AT24" s="56"/>
      <c r="AU24" s="4"/>
      <c r="AV24" s="25">
        <f>30*24*60*60*6.17</f>
        <v>15992640</v>
      </c>
      <c r="AW24" s="25">
        <f>30*24*60*60*18.64</f>
        <v>48314880</v>
      </c>
      <c r="AX24" s="25">
        <f>30*24*60*60*30.87</f>
        <v>80015040</v>
      </c>
      <c r="AY24" s="53"/>
      <c r="AZ24" s="53"/>
      <c r="BA24" s="53"/>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1"/>
      <c r="CS24" s="1"/>
      <c r="CT24" s="1"/>
      <c r="CU24" s="1"/>
    </row>
    <row r="25" spans="1:99" s="13" customFormat="1" ht="12" customHeight="1" x14ac:dyDescent="0.2">
      <c r="A25" s="65">
        <v>43509</v>
      </c>
      <c r="B25" s="1" t="s">
        <v>240</v>
      </c>
      <c r="C25" s="1" t="s">
        <v>70</v>
      </c>
      <c r="D25" s="60">
        <v>2017</v>
      </c>
      <c r="E25" s="76">
        <v>1</v>
      </c>
      <c r="F25" s="60">
        <v>118</v>
      </c>
      <c r="G25" s="60">
        <v>39.299999999999997</v>
      </c>
      <c r="H25" s="60" t="s">
        <v>398</v>
      </c>
      <c r="I25" s="60" t="s">
        <v>629</v>
      </c>
      <c r="J25" s="60" t="s">
        <v>175</v>
      </c>
      <c r="K25" s="60">
        <f>IF(J25="syllables",1,IF(J25="trigrams",2,IF(J25="strings",3,IF(J25="visual array",4,IF(J25="characters",5,IF(J25="letters",6,IF(J25="free forms",7,IF(J25="odors",8,IF(J25="words",9,IF(J25="pictures",10,IF(J25="object pictures",11,IF(J25="faces",12,IF(J25="names",13,IF(J25="idioms",14,IF(J25="grades",15,IF(J25="syllable-digit pairs",16,IF(J25="trigram-word pairs",17,IF(J25="word-digit pairs",18,IF(J25="English-Swahili pairs",19,IF(J25="spatial position",20,IF(J25="word pairs",21,IF(J25="word triads",22,IF(J25="generated words",23,IF(J25="word definition pairs",24,IF(J25="math problems",25,IF(J25="famous faces",26,IF(J25="famous names",27,IF(J25="famous voices",28,IF(J25="television programs",29,IF(J25="race horses",30,IF(J25="new vocabulary",31,IF(J25="sentences",32,IF(J25="concepts",33,IF(J25="ad slides",34,IF(J25="scenes",35,IF(J25="famous scenes",36,IF(J25="poems",37,IF(J25="walk",38,IF(J25="faces and events",39,IF(J25="events and names",40,IF(J25="flashbulb",41,IF(J25="stories",42,IF(J25="course material",43,IF(J25="autobiographical",44,IF(J25="novels",45,IF(J25="public events",46,"99"))))))))))))))))))))))))))))))))))))))))))))))</f>
        <v>20</v>
      </c>
      <c r="L25" s="60">
        <f>IF(J25="syllables",1,IF(J25="trigrams",1,IF(J25="strings",1,IF(J25="visual array",1,IF(J25="characters",1,IF(J25="letters",1,IF(J25="free forms",1,IF(J25="odors",2,IF(J25="words",2,IF(J25="pictures",2,IF(J25="object pictures",2,IF(J25="faces",2,IF(J25="names",2,IF(J25="idioms","2",IF(J25="grades",2,IF(J25="syllable-digit pairs",3,IF(J25="trigram-word pairs",3,IF(J25="word-digit pairs",3,IF(J25="English-Swahili pairs",3,IF(J25="spatial position",3,IF(J25="word pairs",4,IF(J25="word triads",4,IF(J25="generated words",4,IF(J25="word definition pairs",4,IF(J25="math problems",4,IF(J25="famous faces",4,IF(J25="famous names",4,IF(J25="famous voices",4,IF(J25="television programs",4,IF(J25="race horses",4,IF(J25="new vocabulary",4,IF(J25="sentences",5,IF(J25="concepts",5,IF(J25="ad slides",5,IF(J25="scenes",5,IF(J25="famous scenes",5,IF(J25="poems",6,IF(J25="walk",6,IF(J25="faces and events",6,IF(J25="events and names",6,IF(J25="flashbulb",7,IF(J25="stories",7,IF(J25="course material",7,IF(J25="autobiographical",7,IF(J25="novels",7,IF(J25="public events",7,"99"))))))))))))))))))))))))))))))))))))))))))))))</f>
        <v>3</v>
      </c>
      <c r="M25" s="60">
        <v>0</v>
      </c>
      <c r="N25" s="60">
        <v>1</v>
      </c>
      <c r="O25" s="60">
        <v>0</v>
      </c>
      <c r="P25" s="60"/>
      <c r="Q25" s="60" t="s">
        <v>174</v>
      </c>
      <c r="R25" s="60">
        <f>IF(Q25="Free Recall",1,IF(Q25="Cued Recall",2,IF(Q25="Recognition",3,IF(Q25="Multiple Choice",4,IF(Q25="Savings",5,IF(Q25="Stem Completion",6,IF(Q25="Fragment Completion",7,IF(Q25="anagram solution",8,IF(Q25="Matching",9,IF(Q25="Problem Solving",10,"99"))))))))))</f>
        <v>1</v>
      </c>
      <c r="S25" s="60" t="s">
        <v>49</v>
      </c>
      <c r="T25" s="60" t="s">
        <v>261</v>
      </c>
      <c r="U25" s="60">
        <f>IF(T25="within",1,0)</f>
        <v>0</v>
      </c>
      <c r="V25" s="60">
        <v>1</v>
      </c>
      <c r="W25" s="60">
        <f>F25*V25</f>
        <v>118</v>
      </c>
      <c r="X25" s="60">
        <v>3</v>
      </c>
      <c r="Y25" s="76">
        <f>AV24</f>
        <v>15992640</v>
      </c>
      <c r="Z25" s="60" t="s">
        <v>235</v>
      </c>
      <c r="AA25" s="60">
        <f>30*24*60*60*30.87</f>
        <v>80015040</v>
      </c>
      <c r="AB25" s="60" t="str">
        <f>IF(AA25&lt;60,"1",IF(AA25&lt;=43200,"2",IF(AA25&lt;=777600,"3","4")))</f>
        <v>4</v>
      </c>
      <c r="AC25" s="56">
        <f>AVERAGE(AV24:DA24)</f>
        <v>48107520</v>
      </c>
      <c r="AD25" s="60" t="str">
        <f>IF(AC25&lt;60,"1",IF(AC25&lt;=43200,"2",IF(AC25&lt;=777600,"3","4")))</f>
        <v>4</v>
      </c>
      <c r="AE25" s="76">
        <f>AA25-Y25</f>
        <v>64022400</v>
      </c>
      <c r="AF25" s="80">
        <f>AV25</f>
        <v>0.83</v>
      </c>
      <c r="AG25" s="56">
        <f>((AW25-AV25)+(AX25-AW25))/2</f>
        <v>-0.10999999999999999</v>
      </c>
      <c r="AH25" s="4"/>
      <c r="AI25" s="56">
        <f>RSQ(AV25:AX25,AV24:AX24)</f>
        <v>0.99663420188450802</v>
      </c>
      <c r="AJ25" s="109">
        <f>SLOPE(AV25:AX25,AV24:AX24)</f>
        <v>-3.4351773966583902E-9</v>
      </c>
      <c r="AK25" s="56">
        <f>INTERCEPT(AV25:AX25,AV24:AX24)</f>
        <v>0.88859119864662472</v>
      </c>
      <c r="AL25" s="56">
        <f>INDEX(LINEST(LN(AV25:AX25),LN(AV24:AX24),TRUE,TRUE),3,1)</f>
        <v>0.90809260549487725</v>
      </c>
      <c r="AM25" s="56">
        <f>INDEX(LINEST(LN(AV25:AX25),LN(AV24:AX24)),1)</f>
        <v>-0.17899844858944491</v>
      </c>
      <c r="AN25" s="56">
        <f>EXP(INDEX(LINEST(LN(AV25:AX25),LN(AV24:AX24)),1,2))</f>
        <v>16.435078409070034</v>
      </c>
      <c r="AO25" s="82">
        <f>INDEX(LINEST((AV25:AX25),LN(AV24:AX24),TRUE,TRUE),3,1)</f>
        <v>0.93153129432697057</v>
      </c>
      <c r="AP25" s="82">
        <f>INDEX(LINEST((AV25:AX25),LN(AV24:AX24)),1)</f>
        <v>-0.12909438595157921</v>
      </c>
      <c r="AQ25" s="83">
        <f>INDEX(LINEST(LN(AV25:AX25),SQRT(AV24:AX24),TRUE,TRUE),3,1)</f>
        <v>0.95775239858474248</v>
      </c>
      <c r="AR25" s="116">
        <f>INDEX(LINEST(LN(AV25:AX25),SQRT((AV24:AX24))),1)</f>
        <v>-6.0837155948298959E-5</v>
      </c>
      <c r="AS25" s="84">
        <f>INDEX(LINEST(1/(AV25:AX25),1/(SQRT(AV24:AX24)),TRUE,TRUE),3,1)</f>
        <v>0.82009396037742532</v>
      </c>
      <c r="AT25" s="84">
        <f>INDEX(LINEST(1/(AV25:AX25),1/SQRT(AV24:AX24)),1)</f>
        <v>-2744.8231652032377</v>
      </c>
      <c r="AU25" s="3"/>
      <c r="AV25" s="53">
        <v>0.83</v>
      </c>
      <c r="AW25" s="53">
        <v>0.73</v>
      </c>
      <c r="AX25" s="53">
        <v>0.61</v>
      </c>
      <c r="AY25" s="53"/>
      <c r="AZ25" s="53"/>
      <c r="BA25" s="53"/>
      <c r="BB25" s="53"/>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1"/>
      <c r="CS25" s="1"/>
      <c r="CT25" s="1"/>
      <c r="CU25" s="1"/>
    </row>
    <row r="26" spans="1:99" s="13" customFormat="1" ht="12" customHeight="1" x14ac:dyDescent="0.2">
      <c r="A26" s="65">
        <v>43509</v>
      </c>
      <c r="B26" s="1"/>
      <c r="C26" s="1"/>
      <c r="D26" s="60"/>
      <c r="E26" s="76"/>
      <c r="F26" s="60"/>
      <c r="G26" s="60"/>
      <c r="H26" s="60"/>
      <c r="I26" s="60"/>
      <c r="J26" s="60"/>
      <c r="K26" s="64"/>
      <c r="L26" s="64"/>
      <c r="M26" s="60"/>
      <c r="N26" s="60"/>
      <c r="O26" s="60"/>
      <c r="P26" s="60"/>
      <c r="Q26" s="59"/>
      <c r="R26" s="60"/>
      <c r="S26" s="60"/>
      <c r="T26" s="60"/>
      <c r="U26" s="60"/>
      <c r="V26" s="60"/>
      <c r="W26" s="60"/>
      <c r="X26" s="60"/>
      <c r="Y26" s="76"/>
      <c r="Z26" s="60"/>
      <c r="AA26" s="60"/>
      <c r="AB26" s="60"/>
      <c r="AC26" s="60"/>
      <c r="AD26" s="60"/>
      <c r="AE26" s="60"/>
      <c r="AF26" s="80"/>
      <c r="AG26" s="56"/>
      <c r="AH26" s="4"/>
      <c r="AI26" s="56"/>
      <c r="AJ26" s="109"/>
      <c r="AK26" s="56"/>
      <c r="AL26" s="56"/>
      <c r="AM26" s="56"/>
      <c r="AN26" s="56"/>
      <c r="AO26" s="56"/>
      <c r="AP26" s="56"/>
      <c r="AQ26" s="56"/>
      <c r="AR26" s="109"/>
      <c r="AS26" s="56"/>
      <c r="AT26" s="56"/>
      <c r="AU26" s="4"/>
      <c r="AV26" s="25">
        <f>2*24*60*60</f>
        <v>172800</v>
      </c>
      <c r="AW26" s="25">
        <f>30*24*60*60*2.33</f>
        <v>6039360</v>
      </c>
      <c r="AX26" s="25">
        <f>30*24*60*60*6.17</f>
        <v>15992640</v>
      </c>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1"/>
      <c r="CS26" s="1"/>
      <c r="CT26" s="1"/>
      <c r="CU26" s="1"/>
    </row>
    <row r="27" spans="1:99" s="13" customFormat="1" ht="12" customHeight="1" x14ac:dyDescent="0.2">
      <c r="A27" s="65">
        <v>43509</v>
      </c>
      <c r="B27" s="1" t="s">
        <v>240</v>
      </c>
      <c r="C27" s="1" t="s">
        <v>70</v>
      </c>
      <c r="D27" s="60">
        <v>2017</v>
      </c>
      <c r="E27" s="76">
        <v>2</v>
      </c>
      <c r="F27" s="60">
        <v>80</v>
      </c>
      <c r="G27" s="60">
        <v>26.7</v>
      </c>
      <c r="H27" s="60" t="s">
        <v>38</v>
      </c>
      <c r="I27" s="60" t="s">
        <v>626</v>
      </c>
      <c r="J27" s="60" t="s">
        <v>175</v>
      </c>
      <c r="K27" s="60">
        <f>IF(J27="syllables",1,IF(J27="trigrams",2,IF(J27="strings",3,IF(J27="visual array",4,IF(J27="characters",5,IF(J27="letters",6,IF(J27="free forms",7,IF(J27="odors",8,IF(J27="words",9,IF(J27="pictures",10,IF(J27="object pictures",11,IF(J27="faces",12,IF(J27="names",13,IF(J27="idioms",14,IF(J27="grades",15,IF(J27="syllable-digit pairs",16,IF(J27="trigram-word pairs",17,IF(J27="word-digit pairs",18,IF(J27="English-Swahili pairs",19,IF(J27="spatial position",20,IF(J27="word pairs",21,IF(J27="word triads",22,IF(J27="generated words",23,IF(J27="word definition pairs",24,IF(J27="math problems",25,IF(J27="famous faces",26,IF(J27="famous names",27,IF(J27="famous voices",28,IF(J27="television programs",29,IF(J27="race horses",30,IF(J27="new vocabulary",31,IF(J27="sentences",32,IF(J27="concepts",33,IF(J27="ad slides",34,IF(J27="scenes",35,IF(J27="famous scenes",36,IF(J27="poems",37,IF(J27="walk",38,IF(J27="faces and events",39,IF(J27="events and names",40,IF(J27="flashbulb",41,IF(J27="stories",42,IF(J27="course material",43,IF(J27="autobiographical",44,IF(J27="novels",45,IF(J27="public events",46,"99"))))))))))))))))))))))))))))))))))))))))))))))</f>
        <v>20</v>
      </c>
      <c r="L27" s="60">
        <f>IF(J27="syllables",1,IF(J27="trigrams",1,IF(J27="strings",1,IF(J27="visual array",1,IF(J27="characters",1,IF(J27="letters",1,IF(J27="free forms",1,IF(J27="odors",2,IF(J27="words",2,IF(J27="pictures",2,IF(J27="object pictures",2,IF(J27="faces",2,IF(J27="names",2,IF(J27="idioms","2",IF(J27="grades",2,IF(J27="syllable-digit pairs",3,IF(J27="trigram-word pairs",3,IF(J27="word-digit pairs",3,IF(J27="English-Swahili pairs",3,IF(J27="spatial position",3,IF(J27="word pairs",4,IF(J27="word triads",4,IF(J27="generated words",4,IF(J27="word definition pairs",4,IF(J27="math problems",4,IF(J27="famous faces",4,IF(J27="famous names",4,IF(J27="famous voices",4,IF(J27="television programs",4,IF(J27="race horses",4,IF(J27="new vocabulary",4,IF(J27="sentences",5,IF(J27="concepts",5,IF(J27="ad slides",5,IF(J27="scenes",5,IF(J27="famous scenes",5,IF(J27="poems",6,IF(J27="walk",6,IF(J27="faces and events",6,IF(J27="events and names",6,IF(J27="flashbulb",7,IF(J27="stories",7,IF(J27="course material",7,IF(J27="autobiographical",7,IF(J27="novels",7,IF(J27="public events",7,"99"))))))))))))))))))))))))))))))))))))))))))))))</f>
        <v>3</v>
      </c>
      <c r="M27" s="60">
        <v>0</v>
      </c>
      <c r="N27" s="60">
        <v>1</v>
      </c>
      <c r="O27" s="60">
        <v>0</v>
      </c>
      <c r="P27" s="60"/>
      <c r="Q27" s="60" t="s">
        <v>174</v>
      </c>
      <c r="R27" s="60">
        <f>IF(Q27="Free Recall",1,IF(Q27="Cued Recall",2,IF(Q27="Recognition",3,IF(Q27="Multiple Choice",4,IF(Q27="Savings",5,IF(Q27="Stem Completion",6,IF(Q27="Fragment Completion",7,IF(Q27="anagram solution",8,IF(Q27="Matching",9,IF(Q27="Problem Solving",10,"99"))))))))))</f>
        <v>1</v>
      </c>
      <c r="S27" s="60" t="s">
        <v>49</v>
      </c>
      <c r="T27" s="60" t="s">
        <v>261</v>
      </c>
      <c r="U27" s="60">
        <f>IF(T27="within",1,0)</f>
        <v>0</v>
      </c>
      <c r="V27" s="60">
        <v>1</v>
      </c>
      <c r="W27" s="60">
        <f>F27*V27</f>
        <v>80</v>
      </c>
      <c r="X27" s="60">
        <v>3</v>
      </c>
      <c r="Y27" s="76">
        <f>AV26</f>
        <v>172800</v>
      </c>
      <c r="Z27" s="60" t="s">
        <v>236</v>
      </c>
      <c r="AA27" s="60">
        <f>30*24*60*60*6.17</f>
        <v>15992640</v>
      </c>
      <c r="AB27" s="60" t="str">
        <f>IF(AA27&lt;60,"1",IF(AA27&lt;=43200,"2",IF(AA27&lt;=777600,"3","4")))</f>
        <v>4</v>
      </c>
      <c r="AC27" s="56">
        <f>AVERAGE(AV26:DA26)</f>
        <v>7401600</v>
      </c>
      <c r="AD27" s="60" t="str">
        <f>IF(AC27&lt;60,"1",IF(AC27&lt;=43200,"2",IF(AC27&lt;=777600,"3","4")))</f>
        <v>4</v>
      </c>
      <c r="AE27" s="76">
        <f>AA27-Y27</f>
        <v>15819840</v>
      </c>
      <c r="AF27" s="80">
        <f>AV27</f>
        <v>0.7</v>
      </c>
      <c r="AG27" s="56">
        <f>((AW27-AV27)+(AX27-AW27))/2</f>
        <v>-4.9999999999999989E-2</v>
      </c>
      <c r="AH27" s="4"/>
      <c r="AI27" s="56">
        <f>RSQ(AV27:AX27,AV26:AX26)</f>
        <v>0.86547343886228834</v>
      </c>
      <c r="AJ27" s="109">
        <f>SLOPE(AV27:AX27,AV26:AX26)</f>
        <v>-6.7160936577510856E-9</v>
      </c>
      <c r="AK27" s="56">
        <f>INTERCEPT(AV27:AX27,AV26:AX26)</f>
        <v>0.7163765054838771</v>
      </c>
      <c r="AL27" s="56">
        <f>INDEX(LINEST(LN(AV27:AX27),LN(AV26:AX26),TRUE,TRUE),3,1)</f>
        <v>0.4440741520489605</v>
      </c>
      <c r="AM27" s="56">
        <f>INDEX(LINEST(LN(AV27:AX27),LN(AV26:AX26)),1)</f>
        <v>-2.4885337409498599E-2</v>
      </c>
      <c r="AN27" s="56">
        <f>EXP(INDEX(LINEST(LN(AV27:AX27),LN(AV26:AX26)),1,2))</f>
        <v>0.95991961939633774</v>
      </c>
      <c r="AO27" s="82">
        <f>INDEX(LINEST((AV27:AX27),LN(AV26:AX26),TRUE,TRUE),3,1)</f>
        <v>0.44407415204896056</v>
      </c>
      <c r="AP27" s="82">
        <f>INDEX(LINEST((AV27:AX27),LN(AV26:AX26)),1)</f>
        <v>-1.6143514538752068E-2</v>
      </c>
      <c r="AQ27" s="83">
        <f>INDEX(LINEST(LN(AV27:AX27),SQRT(AV26:AX26),TRUE,TRUE),3,1)</f>
        <v>0.67742210845068385</v>
      </c>
      <c r="AR27" s="116">
        <f>INDEX(LINEST(LN(AV27:AX27),SQRT((AV26:AX26))),1)</f>
        <v>-4.0751594795036815E-5</v>
      </c>
      <c r="AS27" s="84">
        <f>INDEX(LINEST(1/(AV27:AX27),1/(SQRT(AV26:AX26)),TRUE,TRUE),3,1)</f>
        <v>0.30852557288480575</v>
      </c>
      <c r="AT27" s="84">
        <f>INDEX(LINEST(1/(AV27:AX27),1/SQRT(AV26:AX26)),1)</f>
        <v>-63.533658665369352</v>
      </c>
      <c r="AU27" s="3"/>
      <c r="AV27" s="53">
        <v>0.7</v>
      </c>
      <c r="AW27" s="53">
        <v>0.7</v>
      </c>
      <c r="AX27" s="53">
        <v>0.6</v>
      </c>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1"/>
      <c r="CS27" s="1"/>
      <c r="CT27" s="1"/>
      <c r="CU27" s="1"/>
    </row>
    <row r="28" spans="1:99" s="13" customFormat="1" ht="12" customHeight="1" x14ac:dyDescent="0.2">
      <c r="A28" s="65">
        <v>43509</v>
      </c>
      <c r="B28" s="1"/>
      <c r="C28" s="1"/>
      <c r="D28" s="60"/>
      <c r="E28" s="76"/>
      <c r="F28" s="60"/>
      <c r="G28" s="60"/>
      <c r="H28" s="60"/>
      <c r="I28" s="60"/>
      <c r="J28" s="60"/>
      <c r="K28" s="64"/>
      <c r="L28" s="64"/>
      <c r="M28" s="60"/>
      <c r="N28" s="60"/>
      <c r="O28" s="60"/>
      <c r="P28" s="60"/>
      <c r="Q28" s="59"/>
      <c r="R28" s="60"/>
      <c r="S28" s="60"/>
      <c r="T28" s="60"/>
      <c r="U28" s="60"/>
      <c r="V28" s="60"/>
      <c r="W28" s="60"/>
      <c r="X28" s="60"/>
      <c r="Y28" s="76"/>
      <c r="Z28" s="60"/>
      <c r="AA28" s="60"/>
      <c r="AB28" s="60"/>
      <c r="AC28" s="60"/>
      <c r="AD28" s="60"/>
      <c r="AE28" s="60"/>
      <c r="AF28" s="80"/>
      <c r="AG28" s="56"/>
      <c r="AH28" s="4"/>
      <c r="AI28" s="56"/>
      <c r="AJ28" s="109"/>
      <c r="AK28" s="56"/>
      <c r="AL28" s="56"/>
      <c r="AM28" s="56"/>
      <c r="AN28" s="56"/>
      <c r="AO28" s="56"/>
      <c r="AP28" s="56"/>
      <c r="AQ28" s="56"/>
      <c r="AR28" s="109"/>
      <c r="AS28" s="56"/>
      <c r="AT28" s="56"/>
      <c r="AU28" s="4"/>
      <c r="AV28" s="25">
        <f>2*24*60*60</f>
        <v>172800</v>
      </c>
      <c r="AW28" s="25">
        <f>30*24*60*60*2.33</f>
        <v>6039360</v>
      </c>
      <c r="AX28" s="25">
        <f>30*24*60*60*6.17</f>
        <v>15992640</v>
      </c>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1"/>
      <c r="CS28" s="1"/>
      <c r="CT28" s="1"/>
      <c r="CU28" s="1"/>
    </row>
    <row r="29" spans="1:99" s="13" customFormat="1" ht="12" customHeight="1" x14ac:dyDescent="0.2">
      <c r="A29" s="65">
        <v>43509</v>
      </c>
      <c r="B29" s="1" t="s">
        <v>240</v>
      </c>
      <c r="C29" s="1" t="s">
        <v>70</v>
      </c>
      <c r="D29" s="60">
        <v>2017</v>
      </c>
      <c r="E29" s="76">
        <v>2</v>
      </c>
      <c r="F29" s="60">
        <v>80</v>
      </c>
      <c r="G29" s="60">
        <v>26.7</v>
      </c>
      <c r="H29" s="60" t="s">
        <v>398</v>
      </c>
      <c r="I29" s="60" t="s">
        <v>627</v>
      </c>
      <c r="J29" s="60" t="s">
        <v>175</v>
      </c>
      <c r="K29" s="60">
        <f>IF(J29="syllables",1,IF(J29="trigrams",2,IF(J29="strings",3,IF(J29="visual array",4,IF(J29="characters",5,IF(J29="letters",6,IF(J29="free forms",7,IF(J29="odors",8,IF(J29="words",9,IF(J29="pictures",10,IF(J29="object pictures",11,IF(J29="faces",12,IF(J29="names",13,IF(J29="idioms",14,IF(J29="grades",15,IF(J29="syllable-digit pairs",16,IF(J29="trigram-word pairs",17,IF(J29="word-digit pairs",18,IF(J29="English-Swahili pairs",19,IF(J29="spatial position",20,IF(J29="word pairs",21,IF(J29="word triads",22,IF(J29="generated words",23,IF(J29="word definition pairs",24,IF(J29="math problems",25,IF(J29="famous faces",26,IF(J29="famous names",27,IF(J29="famous voices",28,IF(J29="television programs",29,IF(J29="race horses",30,IF(J29="new vocabulary",31,IF(J29="sentences",32,IF(J29="concepts",33,IF(J29="ad slides",34,IF(J29="scenes",35,IF(J29="famous scenes",36,IF(J29="poems",37,IF(J29="walk",38,IF(J29="faces and events",39,IF(J29="events and names",40,IF(J29="flashbulb",41,IF(J29="stories",42,IF(J29="course material",43,IF(J29="autobiographical",44,IF(J29="novels",45,IF(J29="public events",46,"99"))))))))))))))))))))))))))))))))))))))))))))))</f>
        <v>20</v>
      </c>
      <c r="L29" s="60">
        <f>IF(J29="syllables",1,IF(J29="trigrams",1,IF(J29="strings",1,IF(J29="visual array",1,IF(J29="characters",1,IF(J29="letters",1,IF(J29="free forms",1,IF(J29="odors",2,IF(J29="words",2,IF(J29="pictures",2,IF(J29="object pictures",2,IF(J29="faces",2,IF(J29="names",2,IF(J29="idioms","2",IF(J29="grades",2,IF(J29="syllable-digit pairs",3,IF(J29="trigram-word pairs",3,IF(J29="word-digit pairs",3,IF(J29="English-Swahili pairs",3,IF(J29="spatial position",3,IF(J29="word pairs",4,IF(J29="word triads",4,IF(J29="generated words",4,IF(J29="word definition pairs",4,IF(J29="math problems",4,IF(J29="famous faces",4,IF(J29="famous names",4,IF(J29="famous voices",4,IF(J29="television programs",4,IF(J29="race horses",4,IF(J29="new vocabulary",4,IF(J29="sentences",5,IF(J29="concepts",5,IF(J29="ad slides",5,IF(J29="scenes",5,IF(J29="famous scenes",5,IF(J29="poems",6,IF(J29="walk",6,IF(J29="faces and events",6,IF(J29="events and names",6,IF(J29="flashbulb",7,IF(J29="stories",7,IF(J29="course material",7,IF(J29="autobiographical",7,IF(J29="novels",7,IF(J29="public events",7,"99"))))))))))))))))))))))))))))))))))))))))))))))</f>
        <v>3</v>
      </c>
      <c r="M29" s="60">
        <v>0</v>
      </c>
      <c r="N29" s="60">
        <v>1</v>
      </c>
      <c r="O29" s="60">
        <v>0</v>
      </c>
      <c r="P29" s="60"/>
      <c r="Q29" s="60" t="s">
        <v>174</v>
      </c>
      <c r="R29" s="60">
        <f>IF(Q29="Free Recall",1,IF(Q29="Cued Recall",2,IF(Q29="Recognition",3,IF(Q29="Multiple Choice",4,IF(Q29="Savings",5,IF(Q29="Stem Completion",6,IF(Q29="Fragment Completion",7,IF(Q29="anagram solution",8,IF(Q29="Matching",9,IF(Q29="Problem Solving",10,"99"))))))))))</f>
        <v>1</v>
      </c>
      <c r="S29" s="60" t="s">
        <v>49</v>
      </c>
      <c r="T29" s="60" t="s">
        <v>261</v>
      </c>
      <c r="U29" s="60">
        <f>IF(T29="within",1,0)</f>
        <v>0</v>
      </c>
      <c r="V29" s="60">
        <v>1</v>
      </c>
      <c r="W29" s="60">
        <f>F29*V29</f>
        <v>80</v>
      </c>
      <c r="X29" s="60">
        <v>3</v>
      </c>
      <c r="Y29" s="76">
        <f>AV28</f>
        <v>172800</v>
      </c>
      <c r="Z29" s="60" t="s">
        <v>236</v>
      </c>
      <c r="AA29" s="60">
        <f>30*24*60*60*6.17</f>
        <v>15992640</v>
      </c>
      <c r="AB29" s="60" t="str">
        <f>IF(AA29&lt;60,"1",IF(AA29&lt;=43200,"2",IF(AA29&lt;=777600,"3","4")))</f>
        <v>4</v>
      </c>
      <c r="AC29" s="56">
        <f>AVERAGE(AV28:DA28)</f>
        <v>7401600</v>
      </c>
      <c r="AD29" s="60" t="str">
        <f>IF(AC29&lt;60,"1",IF(AC29&lt;=43200,"2",IF(AC29&lt;=777600,"3","4")))</f>
        <v>4</v>
      </c>
      <c r="AE29" s="76">
        <f>AA29-Y29</f>
        <v>15819840</v>
      </c>
      <c r="AF29" s="80">
        <f>AV29</f>
        <v>0.9</v>
      </c>
      <c r="AG29" s="56">
        <f>((AW29-AV29)+(AX29-AW29))/2</f>
        <v>-0.31</v>
      </c>
      <c r="AH29" s="4"/>
      <c r="AI29" s="56">
        <f>RSQ(AV29:AX29,AV28:AX28)</f>
        <v>0.90452640115401461</v>
      </c>
      <c r="AJ29" s="109">
        <f>SLOPE(AV29:AX29,AV28:AX28)</f>
        <v>-3.7380025666167682E-8</v>
      </c>
      <c r="AK29" s="56">
        <f>INTERCEPT(AV29:AX29,AV28:AX28)</f>
        <v>0.83667199797070668</v>
      </c>
      <c r="AL29" s="56">
        <f>INDEX(LINEST(LN(AV29:AX29),LN(AV28:AX28),TRUE,TRUE),3,1)</f>
        <v>0.90465937931441687</v>
      </c>
      <c r="AM29" s="56">
        <f>INDEX(LINEST(LN(AV29:AX29),LN(AV28:AX28)),1)</f>
        <v>-0.23299301160884989</v>
      </c>
      <c r="AN29" s="56">
        <f>EXP(INDEX(LINEST(LN(AV29:AX29),LN(AV28:AX28)),1,2))</f>
        <v>15.596341207671873</v>
      </c>
      <c r="AO29" s="82">
        <f>INDEX(LINEST((AV29:AX29),LN(AV28:AX28),TRUE,TRUE),3,1)</f>
        <v>0.97714262158102294</v>
      </c>
      <c r="AP29" s="82">
        <f>INDEX(LINEST((AV29:AX29),LN(AV28:AX28)),1)</f>
        <v>-0.13037322832027573</v>
      </c>
      <c r="AQ29" s="83">
        <f>INDEX(LINEST(LN(AV29:AX29),SQRT(AV28:AX28),TRUE,TRUE),3,1)</f>
        <v>0.9941613459254236</v>
      </c>
      <c r="AR29" s="116">
        <f>INDEX(LINEST(LN(AV29:AX29),SQRT((AV28:AX28))),1)</f>
        <v>-3.2383808809323313E-4</v>
      </c>
      <c r="AS29" s="84">
        <f>INDEX(LINEST(1/(AV29:AX29),1/(SQRT(AV28:AX28)),TRUE,TRUE),3,1)</f>
        <v>0.66512704742214435</v>
      </c>
      <c r="AT29" s="84">
        <f>INDEX(LINEST(1/(AV29:AX29),1/SQRT(AV28:AX28)),1)</f>
        <v>-845.43857697730459</v>
      </c>
      <c r="AU29" s="3"/>
      <c r="AV29" s="53">
        <v>0.9</v>
      </c>
      <c r="AW29" s="53">
        <v>0.5</v>
      </c>
      <c r="AX29" s="53">
        <v>0.28000000000000003</v>
      </c>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1"/>
      <c r="CS29" s="1"/>
      <c r="CT29" s="1"/>
      <c r="CU29" s="1"/>
    </row>
    <row r="30" spans="1:99" s="13" customFormat="1" ht="12" customHeight="1" x14ac:dyDescent="0.2">
      <c r="A30" s="65">
        <v>43509</v>
      </c>
      <c r="B30" s="1"/>
      <c r="C30" s="1"/>
      <c r="D30" s="60"/>
      <c r="E30" s="76"/>
      <c r="F30" s="60"/>
      <c r="G30" s="60"/>
      <c r="H30" s="60"/>
      <c r="I30" s="60"/>
      <c r="J30" s="60"/>
      <c r="K30" s="64"/>
      <c r="L30" s="64"/>
      <c r="M30" s="60"/>
      <c r="N30" s="60"/>
      <c r="O30" s="60"/>
      <c r="P30" s="60"/>
      <c r="Q30" s="59"/>
      <c r="R30" s="60"/>
      <c r="S30" s="60"/>
      <c r="T30" s="60"/>
      <c r="U30" s="60"/>
      <c r="V30" s="60"/>
      <c r="W30" s="60"/>
      <c r="X30" s="60"/>
      <c r="Y30" s="76"/>
      <c r="Z30" s="60"/>
      <c r="AA30" s="60"/>
      <c r="AB30" s="60"/>
      <c r="AC30" s="60"/>
      <c r="AD30" s="60"/>
      <c r="AE30" s="60"/>
      <c r="AF30" s="80"/>
      <c r="AG30" s="56"/>
      <c r="AH30" s="4"/>
      <c r="AI30" s="56"/>
      <c r="AJ30" s="109"/>
      <c r="AK30" s="56"/>
      <c r="AL30" s="56"/>
      <c r="AM30" s="56"/>
      <c r="AN30" s="56"/>
      <c r="AO30" s="56"/>
      <c r="AP30" s="56"/>
      <c r="AQ30" s="56"/>
      <c r="AR30" s="109"/>
      <c r="AS30" s="56"/>
      <c r="AT30" s="56"/>
      <c r="AU30" s="4"/>
      <c r="AV30" s="25">
        <f>2*24*60*60</f>
        <v>172800</v>
      </c>
      <c r="AW30" s="25">
        <f>30*24*60*60*2.33</f>
        <v>6039360</v>
      </c>
      <c r="AX30" s="25">
        <f>30*24*60*60*6.17</f>
        <v>15992640</v>
      </c>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1"/>
      <c r="CS30" s="1"/>
      <c r="CT30" s="1"/>
      <c r="CU30" s="1"/>
    </row>
    <row r="31" spans="1:99" s="13" customFormat="1" ht="12" customHeight="1" x14ac:dyDescent="0.2">
      <c r="A31" s="65">
        <v>43509</v>
      </c>
      <c r="B31" s="1" t="s">
        <v>240</v>
      </c>
      <c r="C31" s="1" t="s">
        <v>70</v>
      </c>
      <c r="D31" s="60">
        <v>2017</v>
      </c>
      <c r="E31" s="76">
        <v>2</v>
      </c>
      <c r="F31" s="60">
        <v>80</v>
      </c>
      <c r="G31" s="60">
        <v>26.7</v>
      </c>
      <c r="H31" s="60" t="s">
        <v>398</v>
      </c>
      <c r="I31" s="60" t="s">
        <v>628</v>
      </c>
      <c r="J31" s="60" t="s">
        <v>175</v>
      </c>
      <c r="K31" s="60">
        <f>IF(J31="syllables",1,IF(J31="trigrams",2,IF(J31="strings",3,IF(J31="visual array",4,IF(J31="characters",5,IF(J31="letters",6,IF(J31="free forms",7,IF(J31="odors",8,IF(J31="words",9,IF(J31="pictures",10,IF(J31="object pictures",11,IF(J31="faces",12,IF(J31="names",13,IF(J31="idioms",14,IF(J31="grades",15,IF(J31="syllable-digit pairs",16,IF(J31="trigram-word pairs",17,IF(J31="word-digit pairs",18,IF(J31="English-Swahili pairs",19,IF(J31="spatial position",20,IF(J31="word pairs",21,IF(J31="word triads",22,IF(J31="generated words",23,IF(J31="word definition pairs",24,IF(J31="math problems",25,IF(J31="famous faces",26,IF(J31="famous names",27,IF(J31="famous voices",28,IF(J31="television programs",29,IF(J31="race horses",30,IF(J31="new vocabulary",31,IF(J31="sentences",32,IF(J31="concepts",33,IF(J31="ad slides",34,IF(J31="scenes",35,IF(J31="famous scenes",36,IF(J31="poems",37,IF(J31="walk",38,IF(J31="faces and events",39,IF(J31="events and names",40,IF(J31="flashbulb",41,IF(J31="stories",42,IF(J31="course material",43,IF(J31="autobiographical",44,IF(J31="novels",45,IF(J31="public events",46,"99"))))))))))))))))))))))))))))))))))))))))))))))</f>
        <v>20</v>
      </c>
      <c r="L31" s="60">
        <f>IF(J31="syllables",1,IF(J31="trigrams",1,IF(J31="strings",1,IF(J31="visual array",1,IF(J31="characters",1,IF(J31="letters",1,IF(J31="free forms",1,IF(J31="odors",2,IF(J31="words",2,IF(J31="pictures",2,IF(J31="object pictures",2,IF(J31="faces",2,IF(J31="names",2,IF(J31="idioms","2",IF(J31="grades",2,IF(J31="syllable-digit pairs",3,IF(J31="trigram-word pairs",3,IF(J31="word-digit pairs",3,IF(J31="English-Swahili pairs",3,IF(J31="spatial position",3,IF(J31="word pairs",4,IF(J31="word triads",4,IF(J31="generated words",4,IF(J31="word definition pairs",4,IF(J31="math problems",4,IF(J31="famous faces",4,IF(J31="famous names",4,IF(J31="famous voices",4,IF(J31="television programs",4,IF(J31="race horses",4,IF(J31="new vocabulary",4,IF(J31="sentences",5,IF(J31="concepts",5,IF(J31="ad slides",5,IF(J31="scenes",5,IF(J31="famous scenes",5,IF(J31="poems",6,IF(J31="walk",6,IF(J31="faces and events",6,IF(J31="events and names",6,IF(J31="flashbulb",7,IF(J31="stories",7,IF(J31="course material",7,IF(J31="autobiographical",7,IF(J31="novels",7,IF(J31="public events",7,"99"))))))))))))))))))))))))))))))))))))))))))))))</f>
        <v>3</v>
      </c>
      <c r="M31" s="60">
        <v>0</v>
      </c>
      <c r="N31" s="60">
        <v>1</v>
      </c>
      <c r="O31" s="60">
        <v>0</v>
      </c>
      <c r="P31" s="60"/>
      <c r="Q31" s="60" t="s">
        <v>174</v>
      </c>
      <c r="R31" s="60">
        <f>IF(Q31="Free Recall",1,IF(Q31="Cued Recall",2,IF(Q31="Recognition",3,IF(Q31="Multiple Choice",4,IF(Q31="Savings",5,IF(Q31="Stem Completion",6,IF(Q31="Fragment Completion",7,IF(Q31="anagram solution",8,IF(Q31="Matching",9,IF(Q31="Problem Solving",10,"99"))))))))))</f>
        <v>1</v>
      </c>
      <c r="S31" s="60" t="s">
        <v>49</v>
      </c>
      <c r="T31" s="60" t="s">
        <v>261</v>
      </c>
      <c r="U31" s="60">
        <f>IF(T31="within",1,0)</f>
        <v>0</v>
      </c>
      <c r="V31" s="60">
        <v>1</v>
      </c>
      <c r="W31" s="60">
        <f>F31*V31</f>
        <v>80</v>
      </c>
      <c r="X31" s="60">
        <v>3</v>
      </c>
      <c r="Y31" s="76">
        <f>AV30</f>
        <v>172800</v>
      </c>
      <c r="Z31" s="60" t="s">
        <v>236</v>
      </c>
      <c r="AA31" s="60">
        <f>30*24*60*60*6.17</f>
        <v>15992640</v>
      </c>
      <c r="AB31" s="60" t="str">
        <f>IF(AA31&lt;60,"1",IF(AA31&lt;=43200,"2",IF(AA31&lt;=777600,"3","4")))</f>
        <v>4</v>
      </c>
      <c r="AC31" s="56">
        <f>AVERAGE(AV30:DA30)</f>
        <v>7401600</v>
      </c>
      <c r="AD31" s="60" t="str">
        <f>IF(AC31&lt;60,"1",IF(AC31&lt;=43200,"2",IF(AC31&lt;=777600,"3","4")))</f>
        <v>4</v>
      </c>
      <c r="AE31" s="76">
        <f>AA31-Y31</f>
        <v>15819840</v>
      </c>
      <c r="AF31" s="80">
        <f>AV31</f>
        <v>0.95</v>
      </c>
      <c r="AG31" s="56">
        <f>((AW31-AV31)+(AX31-AW31))/2</f>
        <v>-7.4999999999999956E-2</v>
      </c>
      <c r="AH31" s="4"/>
      <c r="AI31" s="56">
        <f>RSQ(AV31:AX31,AV30:AX30)</f>
        <v>0.93761069141771081</v>
      </c>
      <c r="AJ31" s="109">
        <f>SLOPE(AV31:AX31,AV30:AX30)</f>
        <v>-9.8611527360321732E-9</v>
      </c>
      <c r="AK31" s="56">
        <f>INTERCEPT(AV31:AX31,AV30:AX30)</f>
        <v>0.96632164142434895</v>
      </c>
      <c r="AL31" s="56">
        <f>INDEX(LINEST(LN(AV31:AX31),LN(AV30:AX30),TRUE,TRUE),3,1)</f>
        <v>0.55763632833185328</v>
      </c>
      <c r="AM31" s="56">
        <f>INDEX(LINEST(LN(AV31:AX31),LN(AV30:AX30)),1)</f>
        <v>-2.9353553163112629E-2</v>
      </c>
      <c r="AN31" s="56">
        <f>EXP(INDEX(LINEST(LN(AV31:AX31),LN(AV30:AX30)),1,2))</f>
        <v>1.3735610384718755</v>
      </c>
      <c r="AO31" s="82">
        <f>INDEX(LINEST((AV31:AX31),LN(AV30:AX30),TRUE,TRUE),3,1)</f>
        <v>0.56684854182056066</v>
      </c>
      <c r="AP31" s="82">
        <f>INDEX(LINEST((AV31:AX31),LN(AV30:AX30)),1)</f>
        <v>-2.5729443717128729E-2</v>
      </c>
      <c r="AQ31" s="83">
        <f>INDEX(LINEST(LN(AV31:AX31),SQRT(AV30:AX30),TRUE,TRUE),3,1)</f>
        <v>0.77833137615729997</v>
      </c>
      <c r="AR31" s="116">
        <f>INDEX(LINEST(LN(AV31:AX31),SQRT((AV30:AX30))),1)</f>
        <v>-4.5979745033814178E-5</v>
      </c>
      <c r="AS31" s="84">
        <f>INDEX(LINEST(1/(AV31:AX31),1/(SQRT(AV30:AX30)),TRUE,TRUE),3,1)</f>
        <v>0.40900130333175416</v>
      </c>
      <c r="AT31" s="84">
        <f>INDEX(LINEST(1/(AV31:AX31),1/SQRT(AV30:AX30)),1)</f>
        <v>-57.477369108478612</v>
      </c>
      <c r="AU31" s="3"/>
      <c r="AV31" s="53">
        <v>0.95</v>
      </c>
      <c r="AW31" s="53">
        <v>0.93</v>
      </c>
      <c r="AX31" s="53">
        <v>0.8</v>
      </c>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1"/>
      <c r="CS31" s="1"/>
      <c r="CT31" s="1"/>
      <c r="CU31" s="1"/>
    </row>
    <row r="32" spans="1:99" s="13" customFormat="1" ht="12" customHeight="1" x14ac:dyDescent="0.2">
      <c r="A32" s="68">
        <v>43909</v>
      </c>
      <c r="B32" s="70"/>
      <c r="C32" s="70"/>
      <c r="D32" s="69"/>
      <c r="E32" s="87"/>
      <c r="F32" s="69"/>
      <c r="G32" s="69"/>
      <c r="H32" s="69"/>
      <c r="I32" s="69"/>
      <c r="J32" s="69"/>
      <c r="K32" s="107"/>
      <c r="L32" s="107"/>
      <c r="M32" s="69"/>
      <c r="N32" s="86"/>
      <c r="O32" s="69"/>
      <c r="P32" s="69"/>
      <c r="Q32" s="69"/>
      <c r="R32" s="69"/>
      <c r="S32" s="69"/>
      <c r="T32" s="69"/>
      <c r="U32" s="69"/>
      <c r="V32" s="69"/>
      <c r="W32" s="69"/>
      <c r="X32" s="69"/>
      <c r="Y32" s="87"/>
      <c r="Z32" s="69"/>
      <c r="AA32" s="69"/>
      <c r="AB32" s="69"/>
      <c r="AC32" s="69"/>
      <c r="AD32" s="69"/>
      <c r="AE32" s="69"/>
      <c r="AF32" s="88"/>
      <c r="AG32" s="72"/>
      <c r="AH32" s="4"/>
      <c r="AI32" s="72"/>
      <c r="AJ32" s="110"/>
      <c r="AK32" s="72"/>
      <c r="AL32" s="72"/>
      <c r="AM32" s="72"/>
      <c r="AN32" s="72"/>
      <c r="AO32" s="72"/>
      <c r="AP32" s="72"/>
      <c r="AQ32" s="72"/>
      <c r="AR32" s="110"/>
      <c r="AS32" s="72"/>
      <c r="AT32" s="72"/>
      <c r="AU32" s="3"/>
      <c r="AV32" s="70">
        <f>24*60*60</f>
        <v>86400</v>
      </c>
      <c r="AW32" s="70">
        <f>4*24*60*60</f>
        <v>345600</v>
      </c>
      <c r="AX32" s="70">
        <f>7*24*60*60</f>
        <v>604800</v>
      </c>
      <c r="AY32" s="70">
        <f>14*24*60*60</f>
        <v>1209600</v>
      </c>
      <c r="AZ32" s="70">
        <f>21*24*60*60</f>
        <v>1814400</v>
      </c>
      <c r="BA32" s="70">
        <f>28*24*60*60</f>
        <v>2419200</v>
      </c>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1"/>
      <c r="CS32" s="1"/>
      <c r="CT32" s="1"/>
      <c r="CU32" s="1"/>
    </row>
    <row r="33" spans="1:99" s="13" customFormat="1" ht="12" customHeight="1" x14ac:dyDescent="0.2">
      <c r="A33" s="68">
        <v>43909</v>
      </c>
      <c r="B33" s="70" t="s">
        <v>503</v>
      </c>
      <c r="C33" s="70" t="s">
        <v>139</v>
      </c>
      <c r="D33" s="69">
        <v>1912</v>
      </c>
      <c r="E33" s="87">
        <v>1</v>
      </c>
      <c r="F33" s="69">
        <v>756</v>
      </c>
      <c r="G33" s="69">
        <v>126</v>
      </c>
      <c r="H33" s="69" t="s">
        <v>451</v>
      </c>
      <c r="I33" s="69"/>
      <c r="J33" s="69" t="s">
        <v>630</v>
      </c>
      <c r="K33" s="69">
        <f>IF(J33="syllables",1,IF(J33="trigrams",2,IF(J33="strings",3,IF(J33="visual array",4,IF(J33="characters",5,IF(J33="letters",6,IF(J33="free forms",7,IF(J33="odors",8,IF(J33="words",9,IF(J33="pictures",10,IF(J33="object pictures",11,IF(J33="faces",12,IF(J33="names",13,IF(J33="idioms",14,IF(J33="grades",15,IF(J33="syllable-digit pairs",16,IF(J33="trigram-word pairs",17,IF(J33="word-digit pairs",18,IF(J33="English-Swahili pairs",19,IF(J33="spatial position",20,IF(J33="word pairs",21,IF(J33="word triads",22,IF(J33="generated words",23,IF(J33="word definition pairs",24,IF(J33="math problems",25,IF(J33="famous faces",26,IF(J33="famous names",27,IF(J33="famous voices",28,IF(J33="television programs",29,IF(J33="race horses",30,IF(J33="new vocabulary",31,IF(J33="sentences",32,IF(J33="concepts",33,IF(J33="ad slides",34,IF(J33="scenes",35,IF(J33="famous scenes",36,IF(J33="poems",37,IF(J33="walk",38,IF(J33="faces and events",39,IF(J33="events and names",40,IF(J33="flashbulb",41,IF(J33="stories",42,IF(J33="course material",43,IF(J33="autobiographical",44,IF(J33="novels",45,IF(J33="public events",46,"99"))))))))))))))))))))))))))))))))))))))))))))))</f>
        <v>6</v>
      </c>
      <c r="L33" s="69">
        <f>IF(J33="syllables",1,IF(J33="trigrams",1,IF(J33="strings",1,IF(J33="visual array",1,IF(J33="characters",1,IF(J33="letters",1,IF(J33="free forms",1,IF(J33="odors",2,IF(J33="words",2,IF(J33="pictures",2,IF(J33="object pictures",2,IF(J33="faces",2,IF(J33="names",2,IF(J33="idioms","2",IF(J33="grades",2,IF(J33="syllable-digit pairs",3,IF(J33="trigram-word pairs",3,IF(J33="word-digit pairs",3,IF(J33="English-Swahili pairs",3,IF(J33="spatial position",3,IF(J33="word pairs",4,IF(J33="word triads",4,IF(J33="generated words",4,IF(J33="word definition pairs",4,IF(J33="math problems",4,IF(J33="famous faces",4,IF(J33="famous names",4,IF(J33="famous voices",4,IF(J33="television programs",4,IF(J33="race horses",4,IF(J33="new vocabulary",4,IF(J33="sentences",5,IF(J33="concepts",5,IF(J33="ad slides",5,IF(J33="scenes",5,IF(J33="famous scenes",5,IF(J33="poems",6,IF(J33="walk",6,IF(J33="faces and events",6,IF(J33="events and names",6,IF(J33="flashbulb",7,IF(J33="stories",7,IF(J33="course material",7,IF(J33="autobiographical",7,IF(J33="novels",7,IF(J33="public events",7,"99"))))))))))))))))))))))))))))))))))))))))))))))</f>
        <v>1</v>
      </c>
      <c r="M33" s="69">
        <v>0</v>
      </c>
      <c r="N33" s="86">
        <v>1</v>
      </c>
      <c r="O33" s="69">
        <v>0</v>
      </c>
      <c r="P33" s="69"/>
      <c r="Q33" s="69" t="s">
        <v>174</v>
      </c>
      <c r="R33" s="69">
        <f>IF(Q33="Free Recall",1,IF(Q33="Cued Recall",2,IF(Q33="Recognition",3,IF(Q33="Multiple Choice",4,IF(Q33="Savings",5,IF(Q33="Stem Completion",6,IF(Q33="Fragment Completion",7,IF(Q33="anagram solution",8,IF(Q33="Matching",9,IF(Q33="Problem Solving",10,"99"))))))))))</f>
        <v>1</v>
      </c>
      <c r="S33" s="69" t="s">
        <v>49</v>
      </c>
      <c r="T33" s="69" t="s">
        <v>261</v>
      </c>
      <c r="U33" s="69">
        <f>IF(T33="within",1,0)</f>
        <v>0</v>
      </c>
      <c r="V33" s="69">
        <v>9</v>
      </c>
      <c r="W33" s="69">
        <f>F33*V33</f>
        <v>6804</v>
      </c>
      <c r="X33" s="69">
        <v>6</v>
      </c>
      <c r="Y33" s="87">
        <f>AV32</f>
        <v>86400</v>
      </c>
      <c r="Z33" s="69" t="s">
        <v>18</v>
      </c>
      <c r="AA33" s="69">
        <f>28*24*60*60</f>
        <v>2419200</v>
      </c>
      <c r="AB33" s="69" t="str">
        <f>IF(AA33&lt;60,"1",IF(AA33&lt;=43200,"2",IF(AA33&lt;=777600,"3","4")))</f>
        <v>4</v>
      </c>
      <c r="AC33" s="72">
        <f>AVERAGE(AV32:DA32)</f>
        <v>1080000</v>
      </c>
      <c r="AD33" s="69" t="str">
        <f>IF(AC33&lt;60,"1",IF(AC33&lt;=43200,"2",IF(AC33&lt;=777600,"3","4")))</f>
        <v>4</v>
      </c>
      <c r="AE33" s="87">
        <f>AA33-Y33</f>
        <v>2332800</v>
      </c>
      <c r="AF33" s="88">
        <f>AV33</f>
        <v>0.878</v>
      </c>
      <c r="AG33" s="72">
        <f>((AW33-AV33)+(AX33-AW33)+(AY33-AX33)+(AZ33-AY33)+(BA33-AZ33))/5</f>
        <v>-1.9999999999999997E-2</v>
      </c>
      <c r="AH33" s="4"/>
      <c r="AI33" s="72">
        <f>RSQ(AV33:BA33,AV32:BA32)</f>
        <v>0.50836370327671798</v>
      </c>
      <c r="AJ33" s="110">
        <f>SLOPE(AV33:BA33,AV32:BA32)</f>
        <v>-5.3278653995214508E-8</v>
      </c>
      <c r="AK33" s="72">
        <f>INTERCEPT(AV33:BA33,AV32:BA32)</f>
        <v>0.86137427964816504</v>
      </c>
      <c r="AL33" s="72">
        <f>INDEX(LINEST(LN(AV33:BA33),LN(AV32:BA32),TRUE,TRUE),3,1)</f>
        <v>0.63385979176532581</v>
      </c>
      <c r="AM33" s="72">
        <f>INDEX(LINEST(LN(AV33:BA33),LN(AV32:BA32)),1)</f>
        <v>-5.4609784021250732E-2</v>
      </c>
      <c r="AN33" s="72">
        <f>EXP(INDEX(LINEST(LN(AV33:BA33),LN(AV32:BA32)),1,2))</f>
        <v>1.6682568034975607</v>
      </c>
      <c r="AO33" s="89">
        <f>INDEX(LINEST((AV33:BA33),LN(AV32:BA32),TRUE,TRUE),3,1)</f>
        <v>0.65547548319515347</v>
      </c>
      <c r="AP33" s="89">
        <f>INDEX(LINEST((AV33:BA33),LN(AV32:BA32)),1)</f>
        <v>-4.4348405355611298E-2</v>
      </c>
      <c r="AQ33" s="90">
        <f>INDEX(LINEST(LN(AV33:BA33),SQRT(AV32:BA32),TRUE,TRUE),3,1)</f>
        <v>0.59828417872559803</v>
      </c>
      <c r="AR33" s="117">
        <f>INDEX(LINEST(LN(AV33:BA33),SQRT((AV32:BA32))),1)</f>
        <v>-1.3743901372713691E-4</v>
      </c>
      <c r="AS33" s="91">
        <f>INDEX(LINEST(1/(AV33:BA33),1/(SQRT(AV32:BA32)),TRUE,TRUE),3,1)</f>
        <v>0.53701255966279982</v>
      </c>
      <c r="AT33" s="91">
        <f>INDEX(LINEST(1/(AV33:BA33),1/SQRT(AV32:BA32)),1)</f>
        <v>-75.538792295279194</v>
      </c>
      <c r="AU33" s="3"/>
      <c r="AV33" s="73">
        <f>1-0.122</f>
        <v>0.878</v>
      </c>
      <c r="AW33" s="73">
        <f>1-0.122</f>
        <v>0.878</v>
      </c>
      <c r="AX33" s="73">
        <f>1-0.178</f>
        <v>0.82200000000000006</v>
      </c>
      <c r="AY33" s="73">
        <f>1-0.289</f>
        <v>0.71100000000000008</v>
      </c>
      <c r="AZ33" s="73">
        <f>1-0.244</f>
        <v>0.75600000000000001</v>
      </c>
      <c r="BA33" s="73">
        <f>1-0.222</f>
        <v>0.77800000000000002</v>
      </c>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1"/>
      <c r="CS33" s="1"/>
      <c r="CT33" s="1"/>
      <c r="CU33" s="1"/>
    </row>
    <row r="34" spans="1:99" s="13" customFormat="1" ht="12" customHeight="1" x14ac:dyDescent="0.2">
      <c r="A34" s="68">
        <v>43909</v>
      </c>
      <c r="B34" s="70"/>
      <c r="C34" s="70"/>
      <c r="D34" s="69"/>
      <c r="E34" s="87"/>
      <c r="F34" s="69"/>
      <c r="G34" s="69"/>
      <c r="H34" s="69"/>
      <c r="I34" s="69"/>
      <c r="J34" s="69"/>
      <c r="K34" s="107"/>
      <c r="L34" s="107"/>
      <c r="M34" s="69"/>
      <c r="N34" s="86"/>
      <c r="O34" s="69"/>
      <c r="P34" s="69"/>
      <c r="Q34" s="69"/>
      <c r="R34" s="69"/>
      <c r="S34" s="69"/>
      <c r="T34" s="69"/>
      <c r="U34" s="69"/>
      <c r="V34" s="69"/>
      <c r="W34" s="69"/>
      <c r="X34" s="69"/>
      <c r="Y34" s="87"/>
      <c r="Z34" s="69"/>
      <c r="AA34" s="69"/>
      <c r="AB34" s="69"/>
      <c r="AC34" s="69"/>
      <c r="AD34" s="69"/>
      <c r="AE34" s="69"/>
      <c r="AF34" s="88"/>
      <c r="AG34" s="72"/>
      <c r="AH34" s="4"/>
      <c r="AI34" s="72"/>
      <c r="AJ34" s="110"/>
      <c r="AK34" s="72"/>
      <c r="AL34" s="72"/>
      <c r="AM34" s="72"/>
      <c r="AN34" s="72"/>
      <c r="AO34" s="72"/>
      <c r="AP34" s="72"/>
      <c r="AQ34" s="72"/>
      <c r="AR34" s="110"/>
      <c r="AS34" s="72"/>
      <c r="AT34" s="72"/>
      <c r="AU34" s="3"/>
      <c r="AV34" s="70">
        <f>24*60*60</f>
        <v>86400</v>
      </c>
      <c r="AW34" s="70">
        <f>4*24*60*60</f>
        <v>345600</v>
      </c>
      <c r="AX34" s="70">
        <f>7*24*60*60</f>
        <v>604800</v>
      </c>
      <c r="AY34" s="70">
        <f>14*24*60*60</f>
        <v>1209600</v>
      </c>
      <c r="AZ34" s="70">
        <f>21*24*60*60</f>
        <v>1814400</v>
      </c>
      <c r="BA34" s="70">
        <f>28*24*60*60</f>
        <v>2419200</v>
      </c>
      <c r="BB34" s="53"/>
      <c r="BC34" s="53"/>
      <c r="BD34" s="53"/>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1"/>
      <c r="CS34" s="1"/>
      <c r="CT34" s="1"/>
      <c r="CU34" s="1"/>
    </row>
    <row r="35" spans="1:99" s="13" customFormat="1" ht="12" customHeight="1" x14ac:dyDescent="0.2">
      <c r="A35" s="68">
        <v>43909</v>
      </c>
      <c r="B35" s="70" t="s">
        <v>503</v>
      </c>
      <c r="C35" s="70" t="s">
        <v>139</v>
      </c>
      <c r="D35" s="69">
        <v>1912</v>
      </c>
      <c r="E35" s="87">
        <v>1</v>
      </c>
      <c r="F35" s="69">
        <v>348</v>
      </c>
      <c r="G35" s="69">
        <v>58</v>
      </c>
      <c r="H35" s="69" t="s">
        <v>452</v>
      </c>
      <c r="I35" s="69"/>
      <c r="J35" s="69" t="s">
        <v>630</v>
      </c>
      <c r="K35" s="69">
        <f>IF(J35="syllables",1,IF(J35="trigrams",2,IF(J35="strings",3,IF(J35="visual array",4,IF(J35="characters",5,IF(J35="letters",6,IF(J35="free forms",7,IF(J35="odors",8,IF(J35="words",9,IF(J35="pictures",10,IF(J35="object pictures",11,IF(J35="faces",12,IF(J35="names",13,IF(J35="idioms",14,IF(J35="grades",15,IF(J35="syllable-digit pairs",16,IF(J35="trigram-word pairs",17,IF(J35="word-digit pairs",18,IF(J35="English-Swahili pairs",19,IF(J35="spatial position",20,IF(J35="word pairs",21,IF(J35="word triads",22,IF(J35="generated words",23,IF(J35="word definition pairs",24,IF(J35="math problems",25,IF(J35="famous faces",26,IF(J35="famous names",27,IF(J35="famous voices",28,IF(J35="television programs",29,IF(J35="race horses",30,IF(J35="new vocabulary",31,IF(J35="sentences",32,IF(J35="concepts",33,IF(J35="ad slides",34,IF(J35="scenes",35,IF(J35="famous scenes",36,IF(J35="poems",37,IF(J35="walk",38,IF(J35="faces and events",39,IF(J35="events and names",40,IF(J35="flashbulb",41,IF(J35="stories",42,IF(J35="course material",43,IF(J35="autobiographical",44,IF(J35="novels",45,IF(J35="public events",46,"99"))))))))))))))))))))))))))))))))))))))))))))))</f>
        <v>6</v>
      </c>
      <c r="L35" s="69">
        <f>IF(J35="syllables",1,IF(J35="trigrams",1,IF(J35="strings",1,IF(J35="visual array",1,IF(J35="characters",1,IF(J35="letters",1,IF(J35="free forms",1,IF(J35="odors",2,IF(J35="words",2,IF(J35="pictures",2,IF(J35="object pictures",2,IF(J35="faces",2,IF(J35="names",2,IF(J35="idioms","2",IF(J35="grades",2,IF(J35="syllable-digit pairs",3,IF(J35="trigram-word pairs",3,IF(J35="word-digit pairs",3,IF(J35="English-Swahili pairs",3,IF(J35="spatial position",3,IF(J35="word pairs",4,IF(J35="word triads",4,IF(J35="generated words",4,IF(J35="word definition pairs",4,IF(J35="math problems",4,IF(J35="famous faces",4,IF(J35="famous names",4,IF(J35="famous voices",4,IF(J35="television programs",4,IF(J35="race horses",4,IF(J35="new vocabulary",4,IF(J35="sentences",5,IF(J35="concepts",5,IF(J35="ad slides",5,IF(J35="scenes",5,IF(J35="famous scenes",5,IF(J35="poems",6,IF(J35="walk",6,IF(J35="faces and events",6,IF(J35="events and names",6,IF(J35="flashbulb",7,IF(J35="stories",7,IF(J35="course material",7,IF(J35="autobiographical",7,IF(J35="novels",7,IF(J35="public events",7,"99"))))))))))))))))))))))))))))))))))))))))))))))</f>
        <v>1</v>
      </c>
      <c r="M35" s="69">
        <v>0</v>
      </c>
      <c r="N35" s="86">
        <v>1</v>
      </c>
      <c r="O35" s="69">
        <v>0</v>
      </c>
      <c r="P35" s="69"/>
      <c r="Q35" s="69" t="s">
        <v>34</v>
      </c>
      <c r="R35" s="69">
        <f>IF(Q35="Free Recall",1,IF(Q35="Cued Recall",2,IF(Q35="Recognition",3,IF(Q35="Multiple Choice",4,IF(Q35="Savings",5,IF(Q35="Stem Completion",6,IF(Q35="Fragment Completion",7,IF(Q35="anagram solution",8,IF(Q35="Matching",9,IF(Q35="Problem Solving",10,"99"))))))))))</f>
        <v>3</v>
      </c>
      <c r="S35" s="69" t="s">
        <v>15</v>
      </c>
      <c r="T35" s="69" t="s">
        <v>261</v>
      </c>
      <c r="U35" s="69">
        <f>IF(T35="within",1,0)</f>
        <v>0</v>
      </c>
      <c r="V35" s="69">
        <v>9</v>
      </c>
      <c r="W35" s="69">
        <f>F35*V35</f>
        <v>3132</v>
      </c>
      <c r="X35" s="69">
        <v>6</v>
      </c>
      <c r="Y35" s="87">
        <f>AV34</f>
        <v>86400</v>
      </c>
      <c r="Z35" s="69" t="s">
        <v>18</v>
      </c>
      <c r="AA35" s="69">
        <f>28*24*60*60</f>
        <v>2419200</v>
      </c>
      <c r="AB35" s="69" t="str">
        <f>IF(AA35&lt;60,"1",IF(AA35&lt;=43200,"2",IF(AA35&lt;=777600,"3","4")))</f>
        <v>4</v>
      </c>
      <c r="AC35" s="72">
        <f>AVERAGE(AV34:DA34)</f>
        <v>1080000</v>
      </c>
      <c r="AD35" s="69" t="str">
        <f>IF(AC35&lt;60,"1",IF(AC35&lt;=43200,"2",IF(AC35&lt;=777600,"3","4")))</f>
        <v>4</v>
      </c>
      <c r="AE35" s="87">
        <f>AA35-Y35</f>
        <v>2332800</v>
      </c>
      <c r="AF35" s="88">
        <f>AV35</f>
        <v>0.92</v>
      </c>
      <c r="AG35" s="72">
        <f>((AW35-AV35)+(AX35-AW35)+(AY35-AX35)+(AZ35-AY35)+(BA35-AZ35))/5</f>
        <v>-2.6000000000000002E-2</v>
      </c>
      <c r="AH35" s="4"/>
      <c r="AI35" s="72">
        <f>RSQ(AV35:BA35,AV34:BA34)</f>
        <v>0.81384059784446783</v>
      </c>
      <c r="AJ35" s="110">
        <f>SLOPE(AV35:BA35,AV34:BA34)</f>
        <v>-5.3605129242071925E-8</v>
      </c>
      <c r="AK35" s="72">
        <f>INTERCEPT(AV35:BA35,AV34:BA34)</f>
        <v>0.90622687291477122</v>
      </c>
      <c r="AL35" s="72">
        <f>INDEX(LINEST(LN(AV35:BA35),LN(AV34:BA34),TRUE,TRUE),3,1)</f>
        <v>0.88375927949311928</v>
      </c>
      <c r="AM35" s="72">
        <f>INDEX(LINEST(LN(AV35:BA35),LN(AV34:BA34)),1)</f>
        <v>-4.801418031946577E-2</v>
      </c>
      <c r="AN35" s="72">
        <f>EXP(INDEX(LINEST(LN(AV35:BA35),LN(AV34:BA34)),1,2))</f>
        <v>1.6135407151810013</v>
      </c>
      <c r="AO35" s="89">
        <f>INDEX(LINEST((AV35:BA35),LN(AV34:BA34),TRUE,TRUE),3,1)</f>
        <v>0.89103597971615467</v>
      </c>
      <c r="AP35" s="89">
        <f>INDEX(LINEST((AV35:BA35),LN(AV34:BA34)),1)</f>
        <v>-4.1116685478949644E-2</v>
      </c>
      <c r="AQ35" s="90">
        <f>INDEX(LINEST(LN(AV35:BA35),SQRT(AV34:BA34),TRUE,TRUE),3,1)</f>
        <v>0.89564775714140954</v>
      </c>
      <c r="AR35" s="117">
        <f>INDEX(LINEST(LN(AV35:BA35),SQRT((AV34:BA34))),1)</f>
        <v>-1.2521419353924928E-4</v>
      </c>
      <c r="AS35" s="91">
        <f>INDEX(LINEST(1/(AV35:BA35),1/(SQRT(AV34:BA34)),TRUE,TRUE),3,1)</f>
        <v>0.74644853176931913</v>
      </c>
      <c r="AT35" s="91">
        <f>INDEX(LINEST(1/(AV35:BA35),1/SQRT(AV34:BA34)),1)</f>
        <v>-61.951388563468733</v>
      </c>
      <c r="AU35" s="3"/>
      <c r="AV35" s="73">
        <v>0.92</v>
      </c>
      <c r="AW35" s="73">
        <v>0.9</v>
      </c>
      <c r="AX35" s="73">
        <v>0.86</v>
      </c>
      <c r="AY35" s="73">
        <v>0.8</v>
      </c>
      <c r="AZ35" s="73">
        <v>0.82</v>
      </c>
      <c r="BA35" s="73">
        <v>0.79</v>
      </c>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1"/>
      <c r="CS35" s="1"/>
      <c r="CT35" s="1"/>
      <c r="CU35" s="1"/>
    </row>
    <row r="36" spans="1:99" s="13" customFormat="1" ht="12" customHeight="1" x14ac:dyDescent="0.2">
      <c r="A36" s="68" t="s">
        <v>932</v>
      </c>
      <c r="B36" s="70"/>
      <c r="C36" s="70"/>
      <c r="D36" s="69"/>
      <c r="E36" s="87"/>
      <c r="F36" s="69"/>
      <c r="G36" s="69"/>
      <c r="H36" s="99"/>
      <c r="I36" s="69"/>
      <c r="J36" s="99"/>
      <c r="K36" s="69"/>
      <c r="L36" s="69"/>
      <c r="M36" s="69"/>
      <c r="N36" s="69"/>
      <c r="O36" s="69"/>
      <c r="P36" s="69"/>
      <c r="Q36" s="99"/>
      <c r="R36" s="69"/>
      <c r="S36" s="69"/>
      <c r="T36" s="92"/>
      <c r="U36" s="69"/>
      <c r="V36" s="92"/>
      <c r="W36" s="69"/>
      <c r="X36" s="69"/>
      <c r="Y36" s="87"/>
      <c r="Z36" s="69"/>
      <c r="AA36" s="69"/>
      <c r="AB36" s="69"/>
      <c r="AC36" s="72"/>
      <c r="AD36" s="69"/>
      <c r="AE36" s="87"/>
      <c r="AF36" s="88"/>
      <c r="AG36" s="72"/>
      <c r="AH36" s="4"/>
      <c r="AI36" s="72"/>
      <c r="AJ36" s="110"/>
      <c r="AK36" s="72"/>
      <c r="AL36" s="72"/>
      <c r="AM36" s="72"/>
      <c r="AN36" s="72"/>
      <c r="AO36" s="89"/>
      <c r="AP36" s="89"/>
      <c r="AQ36" s="90"/>
      <c r="AR36" s="117"/>
      <c r="AS36" s="91"/>
      <c r="AT36" s="91"/>
      <c r="AU36" s="3"/>
      <c r="AV36" s="71">
        <v>30</v>
      </c>
      <c r="AW36" s="71">
        <f>60*30</f>
        <v>1800</v>
      </c>
      <c r="AX36" s="71">
        <f>60*60*24*14</f>
        <v>1209600</v>
      </c>
      <c r="AY36" s="53"/>
      <c r="AZ36" s="53" t="s">
        <v>935</v>
      </c>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1"/>
      <c r="CS36" s="1"/>
      <c r="CT36" s="1"/>
      <c r="CU36" s="1"/>
    </row>
    <row r="37" spans="1:99" s="13" customFormat="1" ht="12" customHeight="1" x14ac:dyDescent="0.2">
      <c r="A37" s="68" t="s">
        <v>932</v>
      </c>
      <c r="B37" s="70" t="s">
        <v>933</v>
      </c>
      <c r="C37" s="70" t="s">
        <v>934</v>
      </c>
      <c r="D37" s="69">
        <v>2006</v>
      </c>
      <c r="E37" s="87">
        <v>1</v>
      </c>
      <c r="F37" s="69">
        <v>25</v>
      </c>
      <c r="G37" s="69">
        <v>25</v>
      </c>
      <c r="H37" s="99" t="s">
        <v>50</v>
      </c>
      <c r="I37" s="69" t="s">
        <v>330</v>
      </c>
      <c r="J37" s="69" t="s">
        <v>677</v>
      </c>
      <c r="K37" s="69">
        <f>IF(J37="syllables",1,IF(J37="trigrams",2,IF(J37="strings",3,IF(J37="visual array",4,IF(J37="characters",5,IF(J37="letters",6,IF(J37="free forms",7,IF(J37="odors",8,IF(J37="words",9,IF(J37="pictures",10,IF(J37="object pictures",11,IF(J37="faces",12,IF(J37="names",13,IF(J37="idioms",14,IF(J37="grades",15,IF(J37="syllable-digit pairs",16,IF(J37="trigram-word pairs",17,IF(J37="word-digit pairs",18,IF(J37="English-Swahili pairs",19,IF(J37="spatial position",20,IF(J37="word pairs",21,IF(J37="word triads",22,IF(J37="generated words",23,IF(J37="word definition pairs",24,IF(J37="math problems",25,IF(J37="famous faces",26,IF(J37="famous names",27,IF(J37="famous voices",28,IF(J37="television programs",29,IF(J37="race horses",30,IF(J37="new vocabulary",31,IF(J37="sentences",32,IF(J37="concepts",33,IF(J37="ad slides",34,IF(J37="scenes",35,IF(J37="famous scenes",36,IF(J37="poems",37,IF(J37="walk",38,IF(J37="faces and events",39,IF(J37="events and names",40,IF(J37="flashbulb",41,IF(J37="stories",42,IF(J37="course material",43,IF(J37="autobiographical",44,IF(J37="novels",45,IF(J37="public events",46,"99"))))))))))))))))))))))))))))))))))))))))))))))</f>
        <v>42</v>
      </c>
      <c r="L37" s="69">
        <f>IF(J37="syllables",1,IF(J37="trigrams",1,IF(J37="strings",1,IF(J37="visual array",1,IF(J37="characters",1,IF(J37="letters",1,IF(J37="free forms",1,IF(J37="odors",2,IF(J37="words",2,IF(J37="pictures",2,IF(J37="object pictures",2,IF(J37="faces",2,IF(J37="names",2,IF(J37="idioms","2",IF(J37="grades",2,IF(J37="syllable-digit pairs",3,IF(J37="trigram-word pairs",3,IF(J37="word-digit pairs",3,IF(J37="English-Swahili pairs",3,IF(J37="spatial position",3,IF(J37="word pairs",4,IF(J37="word triads",4,IF(J37="generated words",4,IF(J37="word definition pairs",4,IF(J37="math problems",4,IF(J37="famous faces",4,IF(J37="famous names",4,IF(J37="famous voices",4,IF(J37="television programs",4,IF(J37="race horses",4,IF(J37="new vocabulary",4,IF(J37="sentences",5,IF(J37="concepts",5,IF(J37="ad slides",5,IF(J37="scenes",5,IF(J37="famous scenes",5,IF(J37="poems",6,IF(J37="walk",6,IF(J37="faces and events",6,IF(J37="events and names",6,IF(J37="flashbulb",7,IF(J37="stories",7,IF(J37="course material",7,IF(J37="autobiographical",7,IF(J37="novels",7,IF(J37="public events",7,"99"))))))))))))))))))))))))))))))))))))))))))))))</f>
        <v>7</v>
      </c>
      <c r="M37" s="69">
        <v>0</v>
      </c>
      <c r="N37" s="69">
        <v>2</v>
      </c>
      <c r="O37" s="69">
        <v>0</v>
      </c>
      <c r="P37" s="69"/>
      <c r="Q37" s="99" t="s">
        <v>174</v>
      </c>
      <c r="R37" s="69">
        <f>IF(Q37="Free Recall",1,IF(Q37="Cued Recall",2,IF(Q37="Recognition",3,IF(Q37="Multiple Choice",4,IF(Q37="Savings",5,IF(Q37="Stem Completion",6,IF(Q37="Fragment Completion",7,IF(Q37="anagram solution",8,IF(Q37="Matching",9,IF(Q37="Problem Solving",10,"99"))))))))))</f>
        <v>1</v>
      </c>
      <c r="S37" s="69" t="s">
        <v>49</v>
      </c>
      <c r="T37" s="92" t="s">
        <v>581</v>
      </c>
      <c r="U37" s="69">
        <f>IF(T37="within",1,0)</f>
        <v>1</v>
      </c>
      <c r="V37" s="92">
        <v>50</v>
      </c>
      <c r="W37" s="69" t="e">
        <f>#REF!*V37</f>
        <v>#REF!</v>
      </c>
      <c r="X37" s="69">
        <v>3</v>
      </c>
      <c r="Y37" s="87">
        <f>AV36</f>
        <v>30</v>
      </c>
      <c r="Z37" s="69" t="s">
        <v>170</v>
      </c>
      <c r="AA37" s="69">
        <f>60*60*24*14</f>
        <v>1209600</v>
      </c>
      <c r="AB37" s="69" t="str">
        <f>IF(AA37&lt;60,"1",IF(AA37&lt;=43200,"2",IF(AA37&lt;=777600,"3","4")))</f>
        <v>4</v>
      </c>
      <c r="AC37" s="72">
        <f>AVERAGE(AV36:DA36)</f>
        <v>403810</v>
      </c>
      <c r="AD37" s="69" t="str">
        <f>IF(AC37&lt;60,"1",IF(AC37&lt;=43200,"2",IF(AC37&lt;=777600,"3","4")))</f>
        <v>3</v>
      </c>
      <c r="AE37" s="87">
        <f>AA37-Y37</f>
        <v>1209570</v>
      </c>
      <c r="AF37" s="88">
        <f>AV37</f>
        <v>0.98</v>
      </c>
      <c r="AG37" s="72">
        <f>((AW37-AV37)+(AX37-AW37))/2</f>
        <v>-0.2037291280148425</v>
      </c>
      <c r="AH37" s="4"/>
      <c r="AI37" s="72">
        <f>RSQ(AV37:AX37,AV36:AX36)</f>
        <v>0.95159538453396608</v>
      </c>
      <c r="AJ37" s="110">
        <f>SLOPE(AV37:AX37,AV36:AX36)</f>
        <v>-2.9815220100662671E-7</v>
      </c>
      <c r="AK37" s="72">
        <f>INTERCEPT(AV37:AX37,AV36:AX36)</f>
        <v>0.9331179287238599</v>
      </c>
      <c r="AL37" s="72">
        <f>INDEX(LINEST(LN(AV37:AX37),LN(AV36:AX36),TRUE,TRUE),3,1)</f>
        <v>0.9546515259176932</v>
      </c>
      <c r="AM37" s="72">
        <f>INDEX(LINEST(LN(AV37:AX37),LN(AV36:AX36)),1)</f>
        <v>-5.2178222224896535E-2</v>
      </c>
      <c r="AN37" s="72">
        <f>EXP(INDEX(LINEST(LN(AV37:AX37),LN(AV36:AX36)),1,2))</f>
        <v>1.2214159131336559</v>
      </c>
      <c r="AO37" s="89">
        <f>INDEX(LINEST((AV37:AX37),LN(AV36:AX36),TRUE,TRUE),3,1)</f>
        <v>0.9714687724608202</v>
      </c>
      <c r="AP37" s="89">
        <f>INDEX(LINEST((AV37:AX37),LN(AV36:AX36)),1)</f>
        <v>-3.9308831941371067E-2</v>
      </c>
      <c r="AQ37" s="90">
        <f>INDEX(LINEST(LN(AV37:AX37),SQRT(AV36:AX36),TRUE,TRUE),3,1)</f>
        <v>0.97811223176944218</v>
      </c>
      <c r="AR37" s="117">
        <f>INDEX(LINEST(LN(AV37:AX37),SQRT((AV36:AX36))),1)</f>
        <v>-4.5452782813593009E-4</v>
      </c>
      <c r="AS37" s="91">
        <f>INDEX(LINEST(1/(AV37:AX37),1/(SQRT(AV36:AX36)),TRUE,TRUE),3,1)</f>
        <v>0.49217939542439587</v>
      </c>
      <c r="AT37" s="91">
        <f>INDEX(LINEST(1/(AV37:AX37),1/SQRT(AV36:AX36)),1)</f>
        <v>-2.7757026592845087</v>
      </c>
      <c r="AU37" s="3"/>
      <c r="AV37" s="73">
        <v>0.98</v>
      </c>
      <c r="AW37" s="73">
        <v>0.88562152133580696</v>
      </c>
      <c r="AX37" s="73">
        <v>0.57254174397031499</v>
      </c>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1"/>
      <c r="CS37" s="1"/>
      <c r="CT37" s="1"/>
      <c r="CU37" s="1"/>
    </row>
    <row r="38" spans="1:99" s="13" customFormat="1" ht="12" customHeight="1" x14ac:dyDescent="0.2">
      <c r="A38" s="68">
        <v>43648</v>
      </c>
      <c r="B38" s="159"/>
      <c r="C38" s="70"/>
      <c r="D38" s="69"/>
      <c r="E38" s="87"/>
      <c r="F38" s="69"/>
      <c r="G38" s="69"/>
      <c r="H38" s="69"/>
      <c r="I38" s="69"/>
      <c r="J38" s="69"/>
      <c r="K38" s="107"/>
      <c r="L38" s="107"/>
      <c r="M38" s="69"/>
      <c r="N38" s="69"/>
      <c r="O38" s="69"/>
      <c r="P38" s="69"/>
      <c r="Q38" s="69"/>
      <c r="R38" s="69"/>
      <c r="S38" s="69"/>
      <c r="T38" s="69"/>
      <c r="U38" s="69"/>
      <c r="V38" s="69"/>
      <c r="W38" s="69"/>
      <c r="X38" s="69"/>
      <c r="Y38" s="87"/>
      <c r="Z38" s="69"/>
      <c r="AA38" s="69"/>
      <c r="AB38" s="69"/>
      <c r="AC38" s="69"/>
      <c r="AD38" s="69"/>
      <c r="AE38" s="69"/>
      <c r="AF38" s="88"/>
      <c r="AG38" s="72"/>
      <c r="AH38" s="4"/>
      <c r="AI38" s="72"/>
      <c r="AJ38" s="110"/>
      <c r="AK38" s="72"/>
      <c r="AL38" s="72"/>
      <c r="AM38" s="72"/>
      <c r="AN38" s="72"/>
      <c r="AO38" s="72"/>
      <c r="AP38" s="72"/>
      <c r="AQ38" s="89"/>
      <c r="AR38" s="118"/>
      <c r="AS38" s="89"/>
      <c r="AT38" s="89"/>
      <c r="AU38" s="3"/>
      <c r="AV38" s="70">
        <f>0.5*365*(24*(3600))</f>
        <v>15768000</v>
      </c>
      <c r="AW38" s="70">
        <f>1*365*(24*(3600))</f>
        <v>31536000</v>
      </c>
      <c r="AX38" s="70">
        <f>1.5*365*(24*(3600))</f>
        <v>47304000</v>
      </c>
      <c r="AY38" s="70">
        <f>2*365*(24*(3600))</f>
        <v>63072000</v>
      </c>
      <c r="AZ38" s="70">
        <f>2.5*365*(24*(3600))</f>
        <v>78840000</v>
      </c>
      <c r="BA38" s="70">
        <f>3*365*(24*(3600))</f>
        <v>94608000</v>
      </c>
      <c r="BB38" s="70">
        <f>3.5*365*(24*(3600))</f>
        <v>110376000</v>
      </c>
      <c r="BC38" s="70">
        <f>4*365*(24*(3600))</f>
        <v>126144000</v>
      </c>
      <c r="BD38" s="70">
        <f>4.5*365*(24*(3600))</f>
        <v>141912000</v>
      </c>
      <c r="BE38" s="70">
        <f>5*365*(24*(3600))</f>
        <v>157680000</v>
      </c>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1"/>
      <c r="CS38" s="1"/>
      <c r="CT38" s="1"/>
      <c r="CU38" s="1"/>
    </row>
    <row r="39" spans="1:99" s="13" customFormat="1" ht="12" customHeight="1" x14ac:dyDescent="0.2">
      <c r="A39" s="68">
        <v>43648</v>
      </c>
      <c r="B39" s="70" t="s">
        <v>322</v>
      </c>
      <c r="C39" s="70" t="s">
        <v>307</v>
      </c>
      <c r="D39" s="69">
        <v>1992</v>
      </c>
      <c r="E39" s="87">
        <v>1</v>
      </c>
      <c r="F39" s="69">
        <v>8</v>
      </c>
      <c r="G39" s="69">
        <v>8</v>
      </c>
      <c r="H39" s="69" t="s">
        <v>50</v>
      </c>
      <c r="I39" s="69"/>
      <c r="J39" s="69" t="s">
        <v>622</v>
      </c>
      <c r="K39" s="69">
        <f>IF(J39="syllables",1,IF(J39="trigrams",2,IF(J39="strings",3,IF(J39="visual array",4,IF(J39="characters",5,IF(J39="letters",6,IF(J39="free forms",7,IF(J39="odors",8,IF(J39="words",9,IF(J39="pictures",10,IF(J39="object pictures",11,IF(J39="faces",12,IF(J39="names",13,IF(J39="idioms",14,IF(J39="grades",15,IF(J39="syllable-digit pairs",16,IF(J39="trigram-word pairs",17,IF(J39="word-digit pairs",18,IF(J39="English-Swahili pairs",19,IF(J39="spatial position",20,IF(J39="word pairs",21,IF(J39="word triads",22,IF(J39="generated words",23,IF(J39="word definition pairs",24,IF(J39="math problems",25,IF(J39="famous faces",26,IF(J39="famous names",27,IF(J39="famous voices",28,IF(J39="television programs",29,IF(J39="race horses",30,IF(J39="new vocabulary",31,IF(J39="sentences",32,IF(J39="concepts",33,IF(J39="ad slides",34,IF(J39="scenes",35,IF(J39="famous scenes",36,IF(J39="poems",37,IF(J39="walk",38,IF(J39="faces and events",39,IF(J39="events and names",40,IF(J39="flashbulb",41,IF(J39="stories",42,IF(J39="course material",43,IF(J39="autobiographical",44,IF(J39="novels",45,IF(J39="public events",46,"99"))))))))))))))))))))))))))))))))))))))))))))))</f>
        <v>44</v>
      </c>
      <c r="L39" s="69">
        <f>IF(J39="syllables",1,IF(J39="trigrams",1,IF(J39="strings",1,IF(J39="visual array",1,IF(J39="characters",1,IF(J39="letters",1,IF(J39="free forms",1,IF(J39="odors",2,IF(J39="words",2,IF(J39="pictures",2,IF(J39="object pictures",2,IF(J39="faces",2,IF(J39="names",2,IF(J39="idioms","2",IF(J39="grades",2,IF(J39="syllable-digit pairs",3,IF(J39="trigram-word pairs",3,IF(J39="word-digit pairs",3,IF(J39="English-Swahili pairs",3,IF(J39="spatial position",3,IF(J39="word pairs",4,IF(J39="word triads",4,IF(J39="generated words",4,IF(J39="word definition pairs",4,IF(J39="math problems",4,IF(J39="famous faces",4,IF(J39="famous names",4,IF(J39="famous voices",4,IF(J39="television programs",4,IF(J39="race horses",4,IF(J39="new vocabulary",4,IF(J39="sentences",5,IF(J39="concepts",5,IF(J39="ad slides",5,IF(J39="scenes",5,IF(J39="famous scenes",5,IF(J39="poems",6,IF(J39="walk",6,IF(J39="faces and events",6,IF(J39="events and names",6,IF(J39="flashbulb",7,IF(J39="stories",7,IF(J39="course material",7,IF(J39="autobiographical",7,IF(J39="novels",7,IF(J39="public events",7,"99"))))))))))))))))))))))))))))))))))))))))))))))</f>
        <v>7</v>
      </c>
      <c r="M39" s="69">
        <v>0</v>
      </c>
      <c r="N39" s="69">
        <v>2</v>
      </c>
      <c r="O39" s="69">
        <v>0</v>
      </c>
      <c r="P39" s="69"/>
      <c r="Q39" s="69" t="s">
        <v>65</v>
      </c>
      <c r="R39" s="69">
        <f>IF(Q39="Free Recall",1,IF(Q39="Cued Recall",2,IF(Q39="Recognition",3,IF(Q39="Multiple Choice",4,IF(Q39="Savings",5,IF(Q39="Stem Completion",6,IF(Q39="Fragment Completion",7,IF(Q39="anagram solution",8,IF(Q39="Matching",9,IF(Q39="Problem Solving",10,"99"))))))))))</f>
        <v>2</v>
      </c>
      <c r="S39" s="69" t="s">
        <v>49</v>
      </c>
      <c r="T39" s="92" t="s">
        <v>581</v>
      </c>
      <c r="U39" s="69">
        <f>IF(T39="within",1,0)</f>
        <v>1</v>
      </c>
      <c r="V39" s="92">
        <v>54.25</v>
      </c>
      <c r="W39" s="69">
        <f>F39*V39</f>
        <v>434</v>
      </c>
      <c r="X39" s="69">
        <v>10</v>
      </c>
      <c r="Y39" s="87">
        <f>AV38</f>
        <v>15768000</v>
      </c>
      <c r="Z39" s="69" t="s">
        <v>319</v>
      </c>
      <c r="AA39" s="69">
        <f>5*365*(24*(3600))</f>
        <v>157680000</v>
      </c>
      <c r="AB39" s="69" t="str">
        <f>IF(AA39&lt;60,"1",IF(AA39&lt;=43200,"2",IF(AA39&lt;=777600,"3","4")))</f>
        <v>4</v>
      </c>
      <c r="AC39" s="72">
        <f>AVERAGE(AV38:DA38)</f>
        <v>86724000</v>
      </c>
      <c r="AD39" s="69" t="str">
        <f>IF(AC39&lt;60,"1",IF(AC39&lt;=43200,"2",IF(AC39&lt;=777600,"3","4")))</f>
        <v>4</v>
      </c>
      <c r="AE39" s="87">
        <f>AA39-Y39</f>
        <v>141912000</v>
      </c>
      <c r="AF39" s="88">
        <f>AV39</f>
        <v>0.97</v>
      </c>
      <c r="AG39" s="72">
        <f>((AW39-AV39)+(AX39-AW39)+(AY39-AX39)+(AZ39-AY39)+(BA39-AZ39)+(BB39-BA39)+(BC39-BB39)+(BD39-BC39)+(BE39-BD39))/9</f>
        <v>-3.2222222222222215E-2</v>
      </c>
      <c r="AH39" s="4"/>
      <c r="AI39" s="72">
        <f>RSQ(AV39:BE39,AV38:BE38)</f>
        <v>0.62564528669583197</v>
      </c>
      <c r="AJ39" s="110">
        <f>SLOPE(AV39:BE39,AV38:BE38)</f>
        <v>-1.6642836277539474E-9</v>
      </c>
      <c r="AK39" s="72">
        <f>INTERCEPT(AV39:BE39,AV38:BE38)</f>
        <v>0.93733333333333324</v>
      </c>
      <c r="AL39" s="72">
        <f>INDEX(LINEST(LN(AV39:BE39),LN(AV38:BE38),TRUE,TRUE),3,1)</f>
        <v>0.67829237094393469</v>
      </c>
      <c r="AM39" s="72">
        <f>INDEX(LINEST(LN(AV39:BE39),LN(AV38:BE38)),1)</f>
        <v>-0.13838251656515202</v>
      </c>
      <c r="AN39" s="72">
        <f>EXP(INDEX(LINEST(LN(AV39:BE39),LN(AV38:BE38)),1,2))</f>
        <v>9.6177980577957563</v>
      </c>
      <c r="AO39" s="89">
        <f>INDEX(LINEST((AV39:BE39),LN(AV38:BE38),TRUE,TRUE),3,1)</f>
        <v>0.70030216484812602</v>
      </c>
      <c r="AP39" s="89">
        <f>INDEX(LINEST((AV39:BE39),LN(AV38:BE38)),1)</f>
        <v>-0.11467538397318111</v>
      </c>
      <c r="AQ39" s="90">
        <f>INDEX(LINEST(LN(AV39:BE39),SQRT(AV38:BE38),TRUE,TRUE),3,1)</f>
        <v>0.66161899330594964</v>
      </c>
      <c r="AR39" s="117">
        <f>INDEX(LINEST(LN(AV39:BE39),SQRT((AV38:BE38))),1)</f>
        <v>-3.5609971950180791E-5</v>
      </c>
      <c r="AS39" s="91">
        <f>INDEX(LINEST(1/(AV39:BE39),1/(SQRT(AV38:BE38)),TRUE,TRUE),3,1)</f>
        <v>0.62974442877013503</v>
      </c>
      <c r="AT39" s="91">
        <f>INDEX(LINEST(1/(AV39:BE39),1/SQRT(AV38:BE38)),1)</f>
        <v>-2259.3925534335681</v>
      </c>
      <c r="AU39" s="3"/>
      <c r="AV39" s="73">
        <v>0.97</v>
      </c>
      <c r="AW39" s="73">
        <v>0.94</v>
      </c>
      <c r="AX39" s="73">
        <v>0.72</v>
      </c>
      <c r="AY39" s="73">
        <v>0.81</v>
      </c>
      <c r="AZ39" s="73">
        <v>0.82</v>
      </c>
      <c r="BA39" s="73">
        <v>0.83</v>
      </c>
      <c r="BB39" s="73">
        <v>0.71</v>
      </c>
      <c r="BC39" s="73">
        <v>0.7</v>
      </c>
      <c r="BD39" s="73">
        <v>0.75</v>
      </c>
      <c r="BE39" s="73">
        <v>0.68</v>
      </c>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1"/>
      <c r="CS39" s="1"/>
      <c r="CT39" s="1"/>
      <c r="CU39" s="1"/>
    </row>
    <row r="40" spans="1:99" s="13" customFormat="1" ht="12" customHeight="1" x14ac:dyDescent="0.2">
      <c r="A40" s="65">
        <v>43648</v>
      </c>
      <c r="B40" s="1"/>
      <c r="C40" s="1"/>
      <c r="D40" s="60"/>
      <c r="E40" s="76"/>
      <c r="F40" s="60"/>
      <c r="G40" s="60"/>
      <c r="H40" s="60"/>
      <c r="I40" s="60"/>
      <c r="J40" s="60"/>
      <c r="K40" s="64"/>
      <c r="L40" s="64"/>
      <c r="M40" s="60"/>
      <c r="N40" s="60"/>
      <c r="O40" s="60"/>
      <c r="P40" s="60"/>
      <c r="Q40" s="60"/>
      <c r="R40" s="60"/>
      <c r="S40" s="60"/>
      <c r="T40" s="60"/>
      <c r="U40" s="60"/>
      <c r="V40" s="60"/>
      <c r="W40" s="60"/>
      <c r="X40" s="60"/>
      <c r="Y40" s="76"/>
      <c r="Z40" s="60"/>
      <c r="AA40" s="60"/>
      <c r="AB40" s="60"/>
      <c r="AC40" s="60"/>
      <c r="AD40" s="60"/>
      <c r="AE40" s="60"/>
      <c r="AF40" s="80"/>
      <c r="AG40" s="56"/>
      <c r="AH40" s="4"/>
      <c r="AI40" s="56"/>
      <c r="AJ40" s="109"/>
      <c r="AK40" s="56"/>
      <c r="AL40" s="56"/>
      <c r="AM40" s="56"/>
      <c r="AN40" s="56"/>
      <c r="AO40" s="56"/>
      <c r="AP40" s="56"/>
      <c r="AQ40" s="56"/>
      <c r="AR40" s="109"/>
      <c r="AS40" s="56"/>
      <c r="AT40" s="56"/>
      <c r="AU40" s="4"/>
      <c r="AV40" s="25">
        <f>1*365*24*3600</f>
        <v>31536000</v>
      </c>
      <c r="AW40" s="25">
        <f>3*365*24*3600</f>
        <v>94608000</v>
      </c>
      <c r="AX40" s="25">
        <f>5*365*24*3600</f>
        <v>157680000</v>
      </c>
      <c r="AY40" s="25">
        <f>7*365*24*3600</f>
        <v>220752000</v>
      </c>
      <c r="AZ40" s="25">
        <f>9*365*24*3600</f>
        <v>283824000</v>
      </c>
      <c r="BA40" s="25">
        <f>11*365*24*3600</f>
        <v>346896000</v>
      </c>
      <c r="BB40" s="25">
        <f>13*365*24*3600</f>
        <v>409968000</v>
      </c>
      <c r="BC40" s="25">
        <f>15*365*24*3600</f>
        <v>473040000</v>
      </c>
      <c r="BD40" s="25">
        <f>17*365*24*3600</f>
        <v>536112000</v>
      </c>
      <c r="BE40" s="25">
        <f>19*365*24*3600</f>
        <v>599184000</v>
      </c>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1"/>
      <c r="CS40" s="1"/>
      <c r="CT40" s="1"/>
      <c r="CU40" s="1"/>
    </row>
    <row r="41" spans="1:99" s="13" customFormat="1" ht="12" customHeight="1" x14ac:dyDescent="0.2">
      <c r="A41" s="65">
        <v>43648</v>
      </c>
      <c r="B41" s="1" t="s">
        <v>323</v>
      </c>
      <c r="C41" s="1" t="s">
        <v>75</v>
      </c>
      <c r="D41" s="60">
        <v>2004</v>
      </c>
      <c r="E41" s="76">
        <v>1</v>
      </c>
      <c r="F41" s="60">
        <v>1</v>
      </c>
      <c r="G41" s="60">
        <v>1</v>
      </c>
      <c r="H41" s="60" t="s">
        <v>43</v>
      </c>
      <c r="I41" s="60" t="s">
        <v>650</v>
      </c>
      <c r="J41" s="60" t="s">
        <v>622</v>
      </c>
      <c r="K41" s="60">
        <f>IF(J41="syllables",1,IF(J41="trigrams",2,IF(J41="strings",3,IF(J41="visual array",4,IF(J41="characters",5,IF(J41="letters",6,IF(J41="free forms",7,IF(J41="odors",8,IF(J41="words",9,IF(J41="pictures",10,IF(J41="object pictures",11,IF(J41="faces",12,IF(J41="names",13,IF(J41="idioms",14,IF(J41="grades",15,IF(J41="syllable-digit pairs",16,IF(J41="trigram-word pairs",17,IF(J41="word-digit pairs",18,IF(J41="English-Swahili pairs",19,IF(J41="spatial position",20,IF(J41="word pairs",21,IF(J41="word triads",22,IF(J41="generated words",23,IF(J41="word definition pairs",24,IF(J41="math problems",25,IF(J41="famous faces",26,IF(J41="famous names",27,IF(J41="famous voices",28,IF(J41="television programs",29,IF(J41="race horses",30,IF(J41="new vocabulary",31,IF(J41="sentences",32,IF(J41="concepts",33,IF(J41="ad slides",34,IF(J41="scenes",35,IF(J41="famous scenes",36,IF(J41="poems",37,IF(J41="walk",38,IF(J41="faces and events",39,IF(J41="events and names",40,IF(J41="flashbulb",41,IF(J41="stories",42,IF(J41="course material",43,IF(J41="autobiographical",44,IF(J41="novels",45,IF(J41="public events",46,"99"))))))))))))))))))))))))))))))))))))))))))))))</f>
        <v>44</v>
      </c>
      <c r="L41" s="60">
        <f>IF(J41="syllables",1,IF(J41="trigrams",1,IF(J41="strings",1,IF(J41="visual array",1,IF(J41="characters",1,IF(J41="letters",1,IF(J41="free forms",1,IF(J41="odors",2,IF(J41="words",2,IF(J41="pictures",2,IF(J41="object pictures",2,IF(J41="faces",2,IF(J41="names",2,IF(J41="idioms","2",IF(J41="grades",2,IF(J41="syllable-digit pairs",3,IF(J41="trigram-word pairs",3,IF(J41="word-digit pairs",3,IF(J41="English-Swahili pairs",3,IF(J41="spatial position",3,IF(J41="word pairs",4,IF(J41="word triads",4,IF(J41="generated words",4,IF(J41="word definition pairs",4,IF(J41="math problems",4,IF(J41="famous faces",4,IF(J41="famous names",4,IF(J41="famous voices",4,IF(J41="television programs",4,IF(J41="race horses",4,IF(J41="new vocabulary",4,IF(J41="sentences",5,IF(J41="concepts",5,IF(J41="ad slides",5,IF(J41="scenes",5,IF(J41="famous scenes",5,IF(J41="poems",6,IF(J41="walk",6,IF(J41="faces and events",6,IF(J41="events and names",6,IF(J41="flashbulb",7,IF(J41="stories",7,IF(J41="course material",7,IF(J41="autobiographical",7,IF(J41="novels",7,IF(J41="public events",7,"99"))))))))))))))))))))))))))))))))))))))))))))))</f>
        <v>7</v>
      </c>
      <c r="M41" s="60">
        <v>0</v>
      </c>
      <c r="N41" s="60">
        <v>2</v>
      </c>
      <c r="O41" s="60">
        <v>0</v>
      </c>
      <c r="P41" s="60"/>
      <c r="Q41" s="60" t="s">
        <v>65</v>
      </c>
      <c r="R41" s="60">
        <f>IF(Q41="Free Recall",1,IF(Q41="Cued Recall",2,IF(Q41="Recognition",3,IF(Q41="Multiple Choice",4,IF(Q41="Savings",5,IF(Q41="Stem Completion",6,IF(Q41="Fragment Completion",7,IF(Q41="anagram solution",8,IF(Q41="Matching",9,IF(Q41="Problem Solving",10,"99"))))))))))</f>
        <v>2</v>
      </c>
      <c r="S41" s="60" t="s">
        <v>49</v>
      </c>
      <c r="T41" s="59" t="s">
        <v>581</v>
      </c>
      <c r="U41" s="60">
        <f>IF(T41="within",1,0)</f>
        <v>1</v>
      </c>
      <c r="V41" s="59">
        <v>604</v>
      </c>
      <c r="W41" s="60">
        <f>F41*V41</f>
        <v>604</v>
      </c>
      <c r="X41" s="60">
        <v>10</v>
      </c>
      <c r="Y41" s="76">
        <f>AV40</f>
        <v>31536000</v>
      </c>
      <c r="Z41" s="60" t="s">
        <v>318</v>
      </c>
      <c r="AA41" s="60">
        <f>19*365*24*3600</f>
        <v>599184000</v>
      </c>
      <c r="AB41" s="60" t="str">
        <f>IF(AA41&lt;60,"1",IF(AA41&lt;=43200,"2",IF(AA41&lt;=777600,"3","4")))</f>
        <v>4</v>
      </c>
      <c r="AC41" s="56">
        <f>AVERAGE(AV40:DA40)</f>
        <v>315360000</v>
      </c>
      <c r="AD41" s="60" t="str">
        <f>IF(AC41&lt;60,"1",IF(AC41&lt;=43200,"2",IF(AC41&lt;=777600,"3","4")))</f>
        <v>4</v>
      </c>
      <c r="AE41" s="76">
        <f>AA41-Y41</f>
        <v>567648000</v>
      </c>
      <c r="AF41" s="80">
        <f>AV41</f>
        <v>0.76666666666666661</v>
      </c>
      <c r="AG41" s="56">
        <f>((AW41-AV41)+(AX41-AW41)+(AY41-AX41)+(AZ41-AY41)+(BA41-AZ41)+(BB41-BA41)+(BC41-BB41)+(BD41-BC41)+(BE41-BD41))/9</f>
        <v>-1.8518518518518514E-2</v>
      </c>
      <c r="AH41" s="4"/>
      <c r="AI41" s="56">
        <f>RSQ(AV41:BE41,AV40:BE40)</f>
        <v>0.53560343664252663</v>
      </c>
      <c r="AJ41" s="109">
        <f>SLOPE(AV41:BE41,AV40:BE40)</f>
        <v>-3.0268437802684389E-10</v>
      </c>
      <c r="AK41" s="56">
        <f>INTERCEPT(AV41:BE41,AV40:BE40)</f>
        <v>0.70712121212121204</v>
      </c>
      <c r="AL41" s="56">
        <f>INDEX(LINEST(LN(AV41:BE41),LN(AV40:BE40),TRUE,TRUE),3,1)</f>
        <v>0.68503516530102559</v>
      </c>
      <c r="AM41" s="56">
        <f>INDEX(LINEST(LN(AV41:BE41),LN(AV40:BE40)),1)</f>
        <v>-0.11051762327997081</v>
      </c>
      <c r="AN41" s="56">
        <f>EXP(INDEX(LINEST(LN(AV41:BE41),LN(AV40:BE40)),1,2))</f>
        <v>5.124652761478278</v>
      </c>
      <c r="AO41" s="82">
        <f>INDEX(LINEST((AV41:BE41),LN(AV40:BE40),TRUE,TRUE),3,1)</f>
        <v>0.69122887737947003</v>
      </c>
      <c r="AP41" s="82">
        <f>INDEX(LINEST((AV41:BE41),LN(AV40:BE40)),1)</f>
        <v>-7.1630561056445455E-2</v>
      </c>
      <c r="AQ41" s="83">
        <f>INDEX(LINEST(LN(AV41:BE41),SQRT(AV40:BE40),TRUE,TRUE),3,1)</f>
        <v>0.63360258257666946</v>
      </c>
      <c r="AR41" s="116">
        <f>INDEX(LINEST(LN(AV41:BE41),SQRT((AV40:BE40))),1)</f>
        <v>-1.5947653212870057E-5</v>
      </c>
      <c r="AS41" s="84">
        <f>INDEX(LINEST(1/(AV41:BE41),1/(SQRT(AV40:BE40)),TRUE,TRUE),3,1)</f>
        <v>0.64724680265227119</v>
      </c>
      <c r="AT41" s="84">
        <f>INDEX(LINEST(1/(AV41:BE41),1/SQRT(AV40:BE40)),1)</f>
        <v>-3686.8222315508333</v>
      </c>
      <c r="AU41" s="4"/>
      <c r="AV41" s="53">
        <f>4.6/6</f>
        <v>0.76666666666666661</v>
      </c>
      <c r="AW41" s="53">
        <f>3.8/6</f>
        <v>0.6333333333333333</v>
      </c>
      <c r="AX41" s="53">
        <f>4.4/6</f>
        <v>0.73333333333333339</v>
      </c>
      <c r="AY41" s="53">
        <f>3.5/6</f>
        <v>0.58333333333333337</v>
      </c>
      <c r="AZ41" s="53">
        <f>3.4/6</f>
        <v>0.56666666666666665</v>
      </c>
      <c r="BA41" s="53">
        <f>3.6/6</f>
        <v>0.6</v>
      </c>
      <c r="BB41" s="53">
        <f>3.3/6</f>
        <v>0.54999999999999993</v>
      </c>
      <c r="BC41" s="53">
        <f>3.2/6</f>
        <v>0.53333333333333333</v>
      </c>
      <c r="BD41" s="53">
        <f>3.3/6</f>
        <v>0.54999999999999993</v>
      </c>
      <c r="BE41" s="53">
        <f>3.6/6</f>
        <v>0.6</v>
      </c>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1"/>
      <c r="CS41" s="1"/>
      <c r="CT41" s="1"/>
      <c r="CU41" s="1"/>
    </row>
    <row r="42" spans="1:99" s="13" customFormat="1" ht="12" customHeight="1" x14ac:dyDescent="0.2">
      <c r="A42" s="65">
        <v>43648</v>
      </c>
      <c r="B42" s="1"/>
      <c r="C42" s="1"/>
      <c r="D42" s="60"/>
      <c r="E42" s="76"/>
      <c r="F42" s="60"/>
      <c r="G42" s="60"/>
      <c r="H42" s="60"/>
      <c r="I42" s="60"/>
      <c r="J42" s="60"/>
      <c r="K42" s="64"/>
      <c r="L42" s="64"/>
      <c r="M42" s="60"/>
      <c r="N42" s="60"/>
      <c r="O42" s="60"/>
      <c r="P42" s="60"/>
      <c r="Q42" s="60"/>
      <c r="R42" s="60"/>
      <c r="S42" s="60"/>
      <c r="T42" s="60"/>
      <c r="U42" s="60"/>
      <c r="V42" s="60"/>
      <c r="W42" s="60"/>
      <c r="X42" s="60"/>
      <c r="Y42" s="76"/>
      <c r="Z42" s="60"/>
      <c r="AA42" s="60"/>
      <c r="AB42" s="60"/>
      <c r="AC42" s="60"/>
      <c r="AD42" s="60"/>
      <c r="AE42" s="60"/>
      <c r="AF42" s="80"/>
      <c r="AG42" s="56"/>
      <c r="AH42" s="4"/>
      <c r="AI42" s="56"/>
      <c r="AJ42" s="109"/>
      <c r="AK42" s="56"/>
      <c r="AL42" s="56"/>
      <c r="AM42" s="56"/>
      <c r="AN42" s="56"/>
      <c r="AO42" s="56"/>
      <c r="AP42" s="56"/>
      <c r="AQ42" s="56"/>
      <c r="AR42" s="109"/>
      <c r="AS42" s="56"/>
      <c r="AT42" s="56"/>
      <c r="AU42" s="4"/>
      <c r="AV42" s="25">
        <f>1*365*24*3600</f>
        <v>31536000</v>
      </c>
      <c r="AW42" s="25">
        <f>3*365*24*3600</f>
        <v>94608000</v>
      </c>
      <c r="AX42" s="25">
        <f>5*365*24*3600</f>
        <v>157680000</v>
      </c>
      <c r="AY42" s="25">
        <f>7*365*24*3600</f>
        <v>220752000</v>
      </c>
      <c r="AZ42" s="25">
        <f>9*365*24*3600</f>
        <v>283824000</v>
      </c>
      <c r="BA42" s="25">
        <f>11*365*24*3600</f>
        <v>346896000</v>
      </c>
      <c r="BB42" s="25">
        <f>13*365*24*3600</f>
        <v>409968000</v>
      </c>
      <c r="BC42" s="25">
        <f>15*365*24*3600</f>
        <v>473040000</v>
      </c>
      <c r="BD42" s="25">
        <f>17*365*24*3600</f>
        <v>536112000</v>
      </c>
      <c r="BE42" s="25">
        <f>19*365*24*3600</f>
        <v>599184000</v>
      </c>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1"/>
      <c r="CS42" s="1"/>
      <c r="CT42" s="1"/>
      <c r="CU42" s="1"/>
    </row>
    <row r="43" spans="1:99" s="13" customFormat="1" ht="12" customHeight="1" x14ac:dyDescent="0.2">
      <c r="A43" s="65">
        <v>43648</v>
      </c>
      <c r="B43" s="1" t="s">
        <v>323</v>
      </c>
      <c r="C43" s="1" t="s">
        <v>75</v>
      </c>
      <c r="D43" s="60">
        <v>2004</v>
      </c>
      <c r="E43" s="76">
        <v>1</v>
      </c>
      <c r="F43" s="60">
        <v>1</v>
      </c>
      <c r="G43" s="60">
        <v>1</v>
      </c>
      <c r="H43" s="60" t="s">
        <v>43</v>
      </c>
      <c r="I43" s="60" t="s">
        <v>651</v>
      </c>
      <c r="J43" s="60" t="s">
        <v>622</v>
      </c>
      <c r="K43" s="60">
        <f>IF(J43="syllables",1,IF(J43="trigrams",2,IF(J43="strings",3,IF(J43="visual array",4,IF(J43="characters",5,IF(J43="letters",6,IF(J43="free forms",7,IF(J43="odors",8,IF(J43="words",9,IF(J43="pictures",10,IF(J43="object pictures",11,IF(J43="faces",12,IF(J43="names",13,IF(J43="idioms",14,IF(J43="grades",15,IF(J43="syllable-digit pairs",16,IF(J43="trigram-word pairs",17,IF(J43="word-digit pairs",18,IF(J43="English-Swahili pairs",19,IF(J43="spatial position",20,IF(J43="word pairs",21,IF(J43="word triads",22,IF(J43="generated words",23,IF(J43="word definition pairs",24,IF(J43="math problems",25,IF(J43="famous faces",26,IF(J43="famous names",27,IF(J43="famous voices",28,IF(J43="television programs",29,IF(J43="race horses",30,IF(J43="new vocabulary",31,IF(J43="sentences",32,IF(J43="concepts",33,IF(J43="ad slides",34,IF(J43="scenes",35,IF(J43="famous scenes",36,IF(J43="poems",37,IF(J43="walk",38,IF(J43="faces and events",39,IF(J43="events and names",40,IF(J43="flashbulb",41,IF(J43="stories",42,IF(J43="course material",43,IF(J43="autobiographical",44,IF(J43="novels",45,IF(J43="public events",46,"99"))))))))))))))))))))))))))))))))))))))))))))))</f>
        <v>44</v>
      </c>
      <c r="L43" s="60">
        <f>IF(J43="syllables",1,IF(J43="trigrams",1,IF(J43="strings",1,IF(J43="visual array",1,IF(J43="characters",1,IF(J43="letters",1,IF(J43="free forms",1,IF(J43="odors",2,IF(J43="words",2,IF(J43="pictures",2,IF(J43="object pictures",2,IF(J43="faces",2,IF(J43="names",2,IF(J43="idioms","2",IF(J43="grades",2,IF(J43="syllable-digit pairs",3,IF(J43="trigram-word pairs",3,IF(J43="word-digit pairs",3,IF(J43="English-Swahili pairs",3,IF(J43="spatial position",3,IF(J43="word pairs",4,IF(J43="word triads",4,IF(J43="generated words",4,IF(J43="word definition pairs",4,IF(J43="math problems",4,IF(J43="famous faces",4,IF(J43="famous names",4,IF(J43="famous voices",4,IF(J43="television programs",4,IF(J43="race horses",4,IF(J43="new vocabulary",4,IF(J43="sentences",5,IF(J43="concepts",5,IF(J43="ad slides",5,IF(J43="scenes",5,IF(J43="famous scenes",5,IF(J43="poems",6,IF(J43="walk",6,IF(J43="faces and events",6,IF(J43="events and names",6,IF(J43="flashbulb",7,IF(J43="stories",7,IF(J43="course material",7,IF(J43="autobiographical",7,IF(J43="novels",7,IF(J43="public events",7,"99"))))))))))))))))))))))))))))))))))))))))))))))</f>
        <v>7</v>
      </c>
      <c r="M43" s="60">
        <v>0</v>
      </c>
      <c r="N43" s="60">
        <v>2</v>
      </c>
      <c r="O43" s="60">
        <v>0</v>
      </c>
      <c r="P43" s="60"/>
      <c r="Q43" s="60" t="s">
        <v>65</v>
      </c>
      <c r="R43" s="60">
        <f>IF(Q43="Free Recall",1,IF(Q43="Cued Recall",2,IF(Q43="Recognition",3,IF(Q43="Multiple Choice",4,IF(Q43="Savings",5,IF(Q43="Stem Completion",6,IF(Q43="Fragment Completion",7,IF(Q43="anagram solution",8,IF(Q43="Matching",9,IF(Q43="Problem Solving",10,"99"))))))))))</f>
        <v>2</v>
      </c>
      <c r="S43" s="60" t="s">
        <v>49</v>
      </c>
      <c r="T43" s="59" t="s">
        <v>581</v>
      </c>
      <c r="U43" s="60">
        <f>IF(T43="within",1,0)</f>
        <v>1</v>
      </c>
      <c r="V43" s="59">
        <v>524</v>
      </c>
      <c r="W43" s="60">
        <f>F43*V43</f>
        <v>524</v>
      </c>
      <c r="X43" s="60">
        <v>10</v>
      </c>
      <c r="Y43" s="76">
        <f>AV42</f>
        <v>31536000</v>
      </c>
      <c r="Z43" s="60" t="s">
        <v>318</v>
      </c>
      <c r="AA43" s="60">
        <f>19*365*24*3600</f>
        <v>599184000</v>
      </c>
      <c r="AB43" s="60" t="str">
        <f>IF(AA43&lt;60,"1",IF(AA43&lt;=43200,"2",IF(AA43&lt;=777600,"3","4")))</f>
        <v>4</v>
      </c>
      <c r="AC43" s="56">
        <f>AVERAGE(AV42:DA42)</f>
        <v>315360000</v>
      </c>
      <c r="AD43" s="60" t="str">
        <f>IF(AC43&lt;60,"1",IF(AC43&lt;=43200,"2",IF(AC43&lt;=777600,"3","4")))</f>
        <v>4</v>
      </c>
      <c r="AE43" s="76">
        <f>AA43-Y43</f>
        <v>567648000</v>
      </c>
      <c r="AF43" s="80">
        <f>AV43</f>
        <v>0.68333333333333324</v>
      </c>
      <c r="AG43" s="56">
        <f>((AW43-AV43)+(AX43-AW43)+(AY43-AX43)+(AZ43-AY43)+(BA43-AZ43)+(BB43-BA43)+(BC43-BB43)+(BD43-BC43)+(BE43-BD43))/9</f>
        <v>-3.1481481481481471E-2</v>
      </c>
      <c r="AH43" s="4"/>
      <c r="AI43" s="56">
        <f>RSQ(AV43:BE43,AV42:BE42)</f>
        <v>0.73265155007893568</v>
      </c>
      <c r="AJ43" s="109">
        <f>SLOPE(AV43:BE43,AV42:BE42)</f>
        <v>-3.6674456385263063E-10</v>
      </c>
      <c r="AK43" s="56">
        <f>INTERCEPT(AV43:BE43,AV42:BE42)</f>
        <v>0.60065656565656578</v>
      </c>
      <c r="AL43" s="56">
        <f>INDEX(LINEST(LN(AV43:BE43),LN(AV42:BE42),TRUE,TRUE),3,1)</f>
        <v>0.94565130103987016</v>
      </c>
      <c r="AM43" s="56">
        <f>INDEX(LINEST(LN(AV43:BE43),LN(AV42:BE42)),1)</f>
        <v>-0.16375524329559488</v>
      </c>
      <c r="AN43" s="56">
        <f>EXP(INDEX(LINEST(LN(AV43:BE43),LN(AV42:BE42)),1,2))</f>
        <v>11.30179509321208</v>
      </c>
      <c r="AO43" s="82">
        <f>INDEX(LINEST((AV43:BE43),LN(AV42:BE42),TRUE,TRUE),3,1)</f>
        <v>0.9416125582544469</v>
      </c>
      <c r="AP43" s="82">
        <f>INDEX(LINEST((AV43:BE43),LN(AV42:BE42)),1)</f>
        <v>-8.6610422359035516E-2</v>
      </c>
      <c r="AQ43" s="83">
        <f>INDEX(LINEST(LN(AV43:BE43),SQRT(AV42:BE42),TRUE,TRUE),3,1)</f>
        <v>0.88573338341530017</v>
      </c>
      <c r="AR43" s="116">
        <f>INDEX(LINEST(LN(AV43:BE43),SQRT((AV42:BE42))),1)</f>
        <v>-2.3779045578270796E-5</v>
      </c>
      <c r="AS43" s="84">
        <f>INDEX(LINEST(1/(AV43:BE43),1/(SQRT(AV42:BE42)),TRUE,TRUE),3,1)</f>
        <v>0.88283135497633025</v>
      </c>
      <c r="AT43" s="84">
        <f>INDEX(LINEST(1/(AV43:BE43),1/SQRT(AV42:BE42)),1)</f>
        <v>-6722.261644404799</v>
      </c>
      <c r="AU43" s="4"/>
      <c r="AV43" s="53">
        <f>4.1/6</f>
        <v>0.68333333333333324</v>
      </c>
      <c r="AW43" s="53">
        <f>3.3/6</f>
        <v>0.54999999999999993</v>
      </c>
      <c r="AX43" s="53">
        <f>2.9/6</f>
        <v>0.48333333333333334</v>
      </c>
      <c r="AY43" s="53">
        <f>3/6</f>
        <v>0.5</v>
      </c>
      <c r="AZ43" s="53">
        <f>2.8/6</f>
        <v>0.46666666666666662</v>
      </c>
      <c r="BA43" s="53">
        <f>2.7/6</f>
        <v>0.45</v>
      </c>
      <c r="BB43" s="53">
        <f>2.8/6</f>
        <v>0.46666666666666662</v>
      </c>
      <c r="BC43" s="53">
        <f>2.5/6</f>
        <v>0.41666666666666669</v>
      </c>
      <c r="BD43" s="53">
        <f>2.6/6</f>
        <v>0.43333333333333335</v>
      </c>
      <c r="BE43" s="53">
        <f>2.4/6</f>
        <v>0.39999999999999997</v>
      </c>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1"/>
      <c r="CS43" s="1"/>
      <c r="CT43" s="1"/>
      <c r="CU43" s="1"/>
    </row>
    <row r="44" spans="1:99" ht="12" customHeight="1" x14ac:dyDescent="0.2">
      <c r="A44" s="68">
        <v>43509</v>
      </c>
      <c r="B44" s="127"/>
      <c r="C44" s="94"/>
      <c r="D44" s="92"/>
      <c r="E44" s="105"/>
      <c r="F44" s="92"/>
      <c r="G44" s="92"/>
      <c r="H44" s="92"/>
      <c r="I44" s="92"/>
      <c r="J44" s="92"/>
      <c r="K44" s="107"/>
      <c r="L44" s="107"/>
      <c r="M44" s="92"/>
      <c r="N44" s="92"/>
      <c r="O44" s="92"/>
      <c r="P44" s="92"/>
      <c r="Q44" s="92"/>
      <c r="R44" s="69"/>
      <c r="S44" s="92"/>
      <c r="T44" s="92"/>
      <c r="U44" s="69"/>
      <c r="V44" s="92"/>
      <c r="W44" s="69"/>
      <c r="X44" s="92"/>
      <c r="Y44" s="87"/>
      <c r="Z44" s="92"/>
      <c r="AA44" s="92"/>
      <c r="AB44" s="69"/>
      <c r="AC44" s="69"/>
      <c r="AD44" s="69"/>
      <c r="AE44" s="69"/>
      <c r="AF44" s="88"/>
      <c r="AG44" s="72"/>
      <c r="AH44" s="4"/>
      <c r="AI44" s="108"/>
      <c r="AJ44" s="113"/>
      <c r="AK44" s="108"/>
      <c r="AL44" s="108"/>
      <c r="AM44" s="108"/>
      <c r="AN44" s="108"/>
      <c r="AO44" s="108"/>
      <c r="AP44" s="108"/>
      <c r="AQ44" s="72"/>
      <c r="AR44" s="110"/>
      <c r="AS44" s="72"/>
      <c r="AT44" s="72"/>
      <c r="AU44" s="3"/>
      <c r="AV44" s="98">
        <v>60</v>
      </c>
      <c r="AW44" s="98">
        <f>2*24*3600</f>
        <v>172800</v>
      </c>
      <c r="AX44" s="98">
        <f>28*24*3600</f>
        <v>2419200</v>
      </c>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5"/>
      <c r="CS44" s="15"/>
      <c r="CT44" s="15"/>
      <c r="CU44" s="15"/>
    </row>
    <row r="45" spans="1:99" ht="12" customHeight="1" x14ac:dyDescent="0.2">
      <c r="A45" s="68">
        <v>43509</v>
      </c>
      <c r="B45" s="94" t="s">
        <v>267</v>
      </c>
      <c r="C45" s="94" t="s">
        <v>142</v>
      </c>
      <c r="D45" s="92">
        <v>1981</v>
      </c>
      <c r="E45" s="105">
        <v>1</v>
      </c>
      <c r="F45" s="92">
        <v>192</v>
      </c>
      <c r="G45" s="92">
        <v>16</v>
      </c>
      <c r="H45" s="92" t="s">
        <v>50</v>
      </c>
      <c r="I45" s="92" t="s">
        <v>668</v>
      </c>
      <c r="J45" s="92" t="s">
        <v>172</v>
      </c>
      <c r="K45" s="69">
        <f>IF(J45="syllables",1,IF(J45="trigrams",2,IF(J45="strings",3,IF(J45="visual array",4,IF(J45="characters",5,IF(J45="letters",6,IF(J45="free forms",7,IF(J45="odors",8,IF(J45="words",9,IF(J45="pictures",10,IF(J45="object pictures",11,IF(J45="faces",12,IF(J45="names",13,IF(J45="idioms",14,IF(J45="grades",15,IF(J45="syllable-digit pairs",16,IF(J45="trigram-word pairs",17,IF(J45="word-digit pairs",18,IF(J45="English-Swahili pairs",19,IF(J45="spatial position",20,IF(J45="word pairs",21,IF(J45="word triads",22,IF(J45="generated words",23,IF(J45="word definition pairs",24,IF(J45="math problems",25,IF(J45="famous faces",26,IF(J45="famous names",27,IF(J45="famous voices",28,IF(J45="television programs",29,IF(J45="race horses",30,IF(J45="new vocabulary",31,IF(J45="sentences",32,IF(J45="concepts",33,IF(J45="ad slides",34,IF(J45="scenes",35,IF(J45="famous scenes",36,IF(J45="poems",37,IF(J45="walk",38,IF(J45="faces and events",39,IF(J45="events and names",40,IF(J45="flashbulb",41,IF(J45="stories",42,IF(J45="course material",43,IF(J45="autobiographical",44,IF(J45="novels",45,IF(J45="public events",46,"99"))))))))))))))))))))))))))))))))))))))))))))))</f>
        <v>12</v>
      </c>
      <c r="L45" s="69">
        <f>IF(J45="syllables",1,IF(J45="trigrams",1,IF(J45="strings",1,IF(J45="visual array",1,IF(J45="characters",1,IF(J45="letters",1,IF(J45="free forms",1,IF(J45="odors",2,IF(J45="words",2,IF(J45="pictures",2,IF(J45="object pictures",2,IF(J45="faces",2,IF(J45="names",2,IF(J45="idioms","2",IF(J45="grades",2,IF(J45="syllable-digit pairs",3,IF(J45="trigram-word pairs",3,IF(J45="word-digit pairs",3,IF(J45="English-Swahili pairs",3,IF(J45="spatial position",3,IF(J45="word pairs",4,IF(J45="word triads",4,IF(J45="generated words",4,IF(J45="word definition pairs",4,IF(J45="math problems",4,IF(J45="famous faces",4,IF(J45="famous names",4,IF(J45="famous voices",4,IF(J45="television programs",4,IF(J45="race horses",4,IF(J45="new vocabulary",4,IF(J45="sentences",5,IF(J45="concepts",5,IF(J45="ad slides",5,IF(J45="scenes",5,IF(J45="famous scenes",5,IF(J45="poems",6,IF(J45="walk",6,IF(J45="faces and events",6,IF(J45="events and names",6,IF(J45="flashbulb",7,IF(J45="stories",7,IF(J45="course material",7,IF(J45="autobiographical",7,IF(J45="novels",7,IF(J45="public events",7,"99"))))))))))))))))))))))))))))))))))))))))))))))</f>
        <v>2</v>
      </c>
      <c r="M45" s="92">
        <v>0</v>
      </c>
      <c r="N45" s="92">
        <v>1</v>
      </c>
      <c r="O45" s="92">
        <v>0</v>
      </c>
      <c r="P45" s="92"/>
      <c r="Q45" s="92" t="s">
        <v>34</v>
      </c>
      <c r="R45" s="69">
        <f>IF(Q45="Free Recall",1,IF(Q45="Cued Recall",2,IF(Q45="Recognition",3,IF(Q45="Multiple Choice",4,IF(Q45="Savings",5,IF(Q45="Stem Completion",6,IF(Q45="Fragment Completion",7,IF(Q45="anagram solution",8,IF(Q45="Matching",9,IF(Q45="Problem Solving",10,"99"))))))))))</f>
        <v>3</v>
      </c>
      <c r="S45" s="92" t="s">
        <v>15</v>
      </c>
      <c r="T45" s="92" t="s">
        <v>261</v>
      </c>
      <c r="U45" s="69">
        <f>IF(T45="within",1,0)</f>
        <v>0</v>
      </c>
      <c r="V45" s="92">
        <v>10</v>
      </c>
      <c r="W45" s="69">
        <f>F45*V45</f>
        <v>1920</v>
      </c>
      <c r="X45" s="92">
        <v>3</v>
      </c>
      <c r="Y45" s="87">
        <f>AV44</f>
        <v>60</v>
      </c>
      <c r="Z45" s="92" t="s">
        <v>18</v>
      </c>
      <c r="AA45" s="92">
        <f>28*24*3600</f>
        <v>2419200</v>
      </c>
      <c r="AB45" s="69" t="str">
        <f>IF(AA45&lt;60,"1",IF(AA45&lt;=43200,"2",IF(AA45&lt;=777600,"3","4")))</f>
        <v>4</v>
      </c>
      <c r="AC45" s="72">
        <f>AVERAGE(AV44:DA44)</f>
        <v>864020</v>
      </c>
      <c r="AD45" s="69" t="str">
        <f>IF(AC45&lt;60,"1",IF(AC45&lt;=43200,"2",IF(AC45&lt;=777600,"3","4")))</f>
        <v>4</v>
      </c>
      <c r="AE45" s="87">
        <f>AA45-Y45</f>
        <v>2419140</v>
      </c>
      <c r="AF45" s="88">
        <f>AV45</f>
        <v>0.86691729323308198</v>
      </c>
      <c r="AG45" s="72">
        <f>((AW45-AV45)+(AX45-AW45))/2</f>
        <v>-0.10958646616541345</v>
      </c>
      <c r="AH45" s="4"/>
      <c r="AI45" s="72">
        <f>RSQ(AV45:AX45,AV44:AX44)</f>
        <v>0.97974569343679185</v>
      </c>
      <c r="AJ45" s="110">
        <f>SLOPE(AV45:AX45,AV44:AX44)</f>
        <v>-8.4580990270789046E-8</v>
      </c>
      <c r="AK45" s="72">
        <f>INTERCEPT(AV45:AX45,AV44:AX44)</f>
        <v>0.85114984265236315</v>
      </c>
      <c r="AL45" s="72">
        <f>INDEX(LINEST(LN(AV45:AX45),LN(AV44:AX44),TRUE,TRUE),3,1)</f>
        <v>0.65943236761894208</v>
      </c>
      <c r="AM45" s="72">
        <f>INDEX(LINEST(LN(AV45:AX45),LN(AV44:AX44)),1)</f>
        <v>-2.2743344529909733E-2</v>
      </c>
      <c r="AN45" s="72">
        <f>EXP(INDEX(LINEST(LN(AV45:AX45),LN(AV44:AX44)),1,2))</f>
        <v>0.97551554189922385</v>
      </c>
      <c r="AO45" s="89">
        <f>INDEX(LINEST((AV45:AX45),LN(AV44:AX44),TRUE,TRUE),3,1)</f>
        <v>0.68210552630218801</v>
      </c>
      <c r="AP45" s="89">
        <f>INDEX(LINEST((AV45:AX45),LN(AV44:AX44)),1)</f>
        <v>-1.725226784714563E-2</v>
      </c>
      <c r="AQ45" s="90">
        <f>INDEX(LINEST(LN(AV45:AX45),SQRT(AV44:AX44),TRUE,TRUE),3,1)</f>
        <v>0.99447532705687758</v>
      </c>
      <c r="AR45" s="117">
        <f>INDEX(LINEST(LN(AV45:AX45),SQRT((AV44:AX44))),1)</f>
        <v>-1.9222949793299335E-4</v>
      </c>
      <c r="AS45" s="91">
        <f>INDEX(LINEST(1/(AV45:AX45),1/(SQRT(AV44:AX44)),TRUE,TRUE),3,1)</f>
        <v>0.4110001068427217</v>
      </c>
      <c r="AT45" s="91">
        <f>INDEX(LINEST(1/(AV45:AX45),1/SQRT(AV44:AX44)),1)</f>
        <v>-1.8170399167232871</v>
      </c>
      <c r="AU45" s="3"/>
      <c r="AV45" s="97">
        <v>0.86691729323308198</v>
      </c>
      <c r="AW45" s="97">
        <v>0.81954887218045103</v>
      </c>
      <c r="AX45" s="97">
        <v>0.64774436090225507</v>
      </c>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5"/>
      <c r="CS45" s="15"/>
      <c r="CT45" s="15"/>
      <c r="CU45" s="15"/>
    </row>
    <row r="46" spans="1:99" ht="12" customHeight="1" x14ac:dyDescent="0.2">
      <c r="A46" s="68">
        <v>43509</v>
      </c>
      <c r="B46" s="127"/>
      <c r="C46" s="94"/>
      <c r="D46" s="92"/>
      <c r="E46" s="105"/>
      <c r="F46" s="92"/>
      <c r="G46" s="92"/>
      <c r="H46" s="92"/>
      <c r="I46" s="92"/>
      <c r="J46" s="92"/>
      <c r="K46" s="107"/>
      <c r="L46" s="107"/>
      <c r="M46" s="92"/>
      <c r="N46" s="92"/>
      <c r="O46" s="92"/>
      <c r="P46" s="92"/>
      <c r="Q46" s="92"/>
      <c r="R46" s="69"/>
      <c r="S46" s="92"/>
      <c r="T46" s="92"/>
      <c r="U46" s="69"/>
      <c r="V46" s="92"/>
      <c r="W46" s="69"/>
      <c r="X46" s="92"/>
      <c r="Y46" s="87"/>
      <c r="Z46" s="92"/>
      <c r="AA46" s="92"/>
      <c r="AB46" s="69"/>
      <c r="AC46" s="69"/>
      <c r="AD46" s="69"/>
      <c r="AE46" s="69"/>
      <c r="AF46" s="88"/>
      <c r="AG46" s="72"/>
      <c r="AH46" s="4"/>
      <c r="AI46" s="108"/>
      <c r="AJ46" s="113"/>
      <c r="AK46" s="108"/>
      <c r="AL46" s="108"/>
      <c r="AM46" s="108"/>
      <c r="AN46" s="108"/>
      <c r="AO46" s="108"/>
      <c r="AP46" s="108"/>
      <c r="AQ46" s="108"/>
      <c r="AR46" s="113"/>
      <c r="AS46" s="108"/>
      <c r="AT46" s="108"/>
      <c r="AU46" s="3"/>
      <c r="AV46" s="98">
        <v>60</v>
      </c>
      <c r="AW46" s="98">
        <f>2*24*3600</f>
        <v>172800</v>
      </c>
      <c r="AX46" s="98">
        <f>28*24*3600</f>
        <v>2419200</v>
      </c>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5"/>
      <c r="CS46" s="15"/>
      <c r="CT46" s="15"/>
      <c r="CU46" s="15"/>
    </row>
    <row r="47" spans="1:99" ht="12" customHeight="1" x14ac:dyDescent="0.2">
      <c r="A47" s="68">
        <v>43509</v>
      </c>
      <c r="B47" s="94" t="s">
        <v>267</v>
      </c>
      <c r="C47" s="94" t="s">
        <v>142</v>
      </c>
      <c r="D47" s="92">
        <v>1981</v>
      </c>
      <c r="E47" s="105">
        <v>1</v>
      </c>
      <c r="F47" s="92">
        <v>192</v>
      </c>
      <c r="G47" s="92">
        <v>16</v>
      </c>
      <c r="H47" s="92" t="s">
        <v>50</v>
      </c>
      <c r="I47" s="92" t="s">
        <v>669</v>
      </c>
      <c r="J47" s="92" t="s">
        <v>172</v>
      </c>
      <c r="K47" s="69">
        <f>IF(J47="syllables",1,IF(J47="trigrams",2,IF(J47="strings",3,IF(J47="visual array",4,IF(J47="characters",5,IF(J47="letters",6,IF(J47="free forms",7,IF(J47="odors",8,IF(J47="words",9,IF(J47="pictures",10,IF(J47="object pictures",11,IF(J47="faces",12,IF(J47="names",13,IF(J47="idioms",14,IF(J47="grades",15,IF(J47="syllable-digit pairs",16,IF(J47="trigram-word pairs",17,IF(J47="word-digit pairs",18,IF(J47="English-Swahili pairs",19,IF(J47="spatial position",20,IF(J47="word pairs",21,IF(J47="word triads",22,IF(J47="generated words",23,IF(J47="word definition pairs",24,IF(J47="math problems",25,IF(J47="famous faces",26,IF(J47="famous names",27,IF(J47="famous voices",28,IF(J47="television programs",29,IF(J47="race horses",30,IF(J47="new vocabulary",31,IF(J47="sentences",32,IF(J47="concepts",33,IF(J47="ad slides",34,IF(J47="scenes",35,IF(J47="famous scenes",36,IF(J47="poems",37,IF(J47="walk",38,IF(J47="faces and events",39,IF(J47="events and names",40,IF(J47="flashbulb",41,IF(J47="stories",42,IF(J47="course material",43,IF(J47="autobiographical",44,IF(J47="novels",45,IF(J47="public events",46,"99"))))))))))))))))))))))))))))))))))))))))))))))</f>
        <v>12</v>
      </c>
      <c r="L47" s="69">
        <f>IF(J47="syllables",1,IF(J47="trigrams",1,IF(J47="strings",1,IF(J47="visual array",1,IF(J47="characters",1,IF(J47="letters",1,IF(J47="free forms",1,IF(J47="odors",2,IF(J47="words",2,IF(J47="pictures",2,IF(J47="object pictures",2,IF(J47="faces",2,IF(J47="names",2,IF(J47="idioms","2",IF(J47="grades",2,IF(J47="syllable-digit pairs",3,IF(J47="trigram-word pairs",3,IF(J47="word-digit pairs",3,IF(J47="English-Swahili pairs",3,IF(J47="spatial position",3,IF(J47="word pairs",4,IF(J47="word triads",4,IF(J47="generated words",4,IF(J47="word definition pairs",4,IF(J47="math problems",4,IF(J47="famous faces",4,IF(J47="famous names",4,IF(J47="famous voices",4,IF(J47="television programs",4,IF(J47="race horses",4,IF(J47="new vocabulary",4,IF(J47="sentences",5,IF(J47="concepts",5,IF(J47="ad slides",5,IF(J47="scenes",5,IF(J47="famous scenes",5,IF(J47="poems",6,IF(J47="walk",6,IF(J47="faces and events",6,IF(J47="events and names",6,IF(J47="flashbulb",7,IF(J47="stories",7,IF(J47="course material",7,IF(J47="autobiographical",7,IF(J47="novels",7,IF(J47="public events",7,"99"))))))))))))))))))))))))))))))))))))))))))))))</f>
        <v>2</v>
      </c>
      <c r="M47" s="92">
        <v>0</v>
      </c>
      <c r="N47" s="92">
        <v>1</v>
      </c>
      <c r="O47" s="92">
        <v>0</v>
      </c>
      <c r="P47" s="92"/>
      <c r="Q47" s="92" t="s">
        <v>34</v>
      </c>
      <c r="R47" s="69">
        <f>IF(Q47="Free Recall",1,IF(Q47="Cued Recall",2,IF(Q47="Recognition",3,IF(Q47="Multiple Choice",4,IF(Q47="Savings",5,IF(Q47="Stem Completion",6,IF(Q47="Fragment Completion",7,IF(Q47="anagram solution",8,IF(Q47="Matching",9,IF(Q47="Problem Solving",10,"99"))))))))))</f>
        <v>3</v>
      </c>
      <c r="S47" s="92" t="s">
        <v>15</v>
      </c>
      <c r="T47" s="92" t="s">
        <v>261</v>
      </c>
      <c r="U47" s="69">
        <f>IF(T47="within",1,0)</f>
        <v>0</v>
      </c>
      <c r="V47" s="92">
        <v>10</v>
      </c>
      <c r="W47" s="69">
        <f>F47*V47</f>
        <v>1920</v>
      </c>
      <c r="X47" s="92">
        <v>3</v>
      </c>
      <c r="Y47" s="87">
        <f>AV46</f>
        <v>60</v>
      </c>
      <c r="Z47" s="92" t="s">
        <v>18</v>
      </c>
      <c r="AA47" s="92">
        <f>28*24*3600</f>
        <v>2419200</v>
      </c>
      <c r="AB47" s="69" t="str">
        <f>IF(AA47&lt;60,"1",IF(AA47&lt;=43200,"2",IF(AA47&lt;=777600,"3","4")))</f>
        <v>4</v>
      </c>
      <c r="AC47" s="72">
        <f>AVERAGE(AV46:DA46)</f>
        <v>864020</v>
      </c>
      <c r="AD47" s="69" t="str">
        <f>IF(AC47&lt;60,"1",IF(AC47&lt;=43200,"2",IF(AC47&lt;=777600,"3","4")))</f>
        <v>4</v>
      </c>
      <c r="AE47" s="87">
        <f>AA47-Y47</f>
        <v>2419140</v>
      </c>
      <c r="AF47" s="88">
        <f>AV47</f>
        <v>0.91879699248120206</v>
      </c>
      <c r="AG47" s="72">
        <f>((AW47-AV47)+(AX47-AW47))/2</f>
        <v>-6.9360902255639012E-2</v>
      </c>
      <c r="AH47" s="4"/>
      <c r="AI47" s="72">
        <f>RSQ(AV47:AX47,AV46:AX46)</f>
        <v>0.50696808392744053</v>
      </c>
      <c r="AJ47" s="110">
        <f>SLOPE(AV47:AX47,AV46:AX46)</f>
        <v>-3.8535996413193247E-8</v>
      </c>
      <c r="AK47" s="72">
        <f>INTERCEPT(AV47:AX47,AV46:AX46)</f>
        <v>0.86951141046804414</v>
      </c>
      <c r="AL47" s="72">
        <f>INDEX(LINEST(LN(AV47:AX47),LN(AV46:AX46),TRUE,TRUE),3,1)</f>
        <v>0.99952627407092542</v>
      </c>
      <c r="AM47" s="72">
        <f>INDEX(LINEST(LN(AV47:AX47),LN(AV46:AX46)),1)</f>
        <v>-1.553238468963266E-2</v>
      </c>
      <c r="AN47" s="72">
        <f>EXP(INDEX(LINEST(LN(AV47:AX47),LN(AV46:AX46)),1,2))</f>
        <v>0.97862146418711426</v>
      </c>
      <c r="AO47" s="89">
        <f>INDEX(LINEST((AV47:AX47),LN(AV46:AX46),TRUE,TRUE),3,1)</f>
        <v>0.99865943048993921</v>
      </c>
      <c r="AP47" s="89">
        <f>INDEX(LINEST((AV47:AX47),LN(AV46:AX46)),1)</f>
        <v>-1.3221761261159336E-2</v>
      </c>
      <c r="AQ47" s="90">
        <f>INDEX(LINEST(LN(AV47:AX47),SQRT(AV46:AX46),TRUE,TRUE),3,1)</f>
        <v>0.70834042582951962</v>
      </c>
      <c r="AR47" s="117">
        <f>INDEX(LINEST(LN(AV47:AX47),SQRT((AV46:AX46))),1)</f>
        <v>-8.9994479598299543E-5</v>
      </c>
      <c r="AS47" s="91">
        <f>INDEX(LINEST(1/(AV47:AX47),1/(SQRT(AV46:AX46)),TRUE,TRUE),3,1)</f>
        <v>0.95106201002415636</v>
      </c>
      <c r="AT47" s="91">
        <f>INDEX(LINEST(1/(AV47:AX47),1/SQRT(AV46:AX46)),1)</f>
        <v>-1.3364892974789278</v>
      </c>
      <c r="AU47" s="3"/>
      <c r="AV47" s="97">
        <v>0.91879699248120206</v>
      </c>
      <c r="AW47" s="97">
        <v>0.80977443609022504</v>
      </c>
      <c r="AX47" s="97">
        <v>0.78007518796992403</v>
      </c>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5"/>
      <c r="CS47" s="15"/>
      <c r="CT47" s="15"/>
      <c r="CU47" s="15"/>
    </row>
    <row r="48" spans="1:99" ht="12" customHeight="1" x14ac:dyDescent="0.2">
      <c r="A48" s="68">
        <v>43509</v>
      </c>
      <c r="B48" s="127"/>
      <c r="C48" s="94"/>
      <c r="D48" s="92"/>
      <c r="E48" s="105"/>
      <c r="F48" s="92"/>
      <c r="G48" s="92"/>
      <c r="H48" s="92"/>
      <c r="I48" s="92"/>
      <c r="J48" s="92"/>
      <c r="K48" s="107"/>
      <c r="L48" s="107"/>
      <c r="M48" s="92"/>
      <c r="N48" s="92"/>
      <c r="O48" s="92"/>
      <c r="P48" s="92"/>
      <c r="Q48" s="92"/>
      <c r="R48" s="69"/>
      <c r="S48" s="92"/>
      <c r="T48" s="92"/>
      <c r="U48" s="69"/>
      <c r="V48" s="92"/>
      <c r="W48" s="69"/>
      <c r="X48" s="92"/>
      <c r="Y48" s="87"/>
      <c r="Z48" s="92"/>
      <c r="AA48" s="92"/>
      <c r="AB48" s="69"/>
      <c r="AC48" s="69"/>
      <c r="AD48" s="69"/>
      <c r="AE48" s="69"/>
      <c r="AF48" s="88"/>
      <c r="AG48" s="72"/>
      <c r="AH48" s="4"/>
      <c r="AI48" s="108"/>
      <c r="AJ48" s="113"/>
      <c r="AK48" s="108"/>
      <c r="AL48" s="108"/>
      <c r="AM48" s="108"/>
      <c r="AN48" s="108"/>
      <c r="AO48" s="108"/>
      <c r="AP48" s="108"/>
      <c r="AQ48" s="108"/>
      <c r="AR48" s="113"/>
      <c r="AS48" s="108"/>
      <c r="AT48" s="108"/>
      <c r="AU48" s="3"/>
      <c r="AV48" s="98">
        <v>60</v>
      </c>
      <c r="AW48" s="98">
        <f>2*24*3600</f>
        <v>172800</v>
      </c>
      <c r="AX48" s="98">
        <f>28*24*3600</f>
        <v>2419200</v>
      </c>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5"/>
      <c r="CS48" s="15"/>
      <c r="CT48" s="15"/>
      <c r="CU48" s="15"/>
    </row>
    <row r="49" spans="1:99" ht="12" customHeight="1" x14ac:dyDescent="0.2">
      <c r="A49" s="68">
        <v>43509</v>
      </c>
      <c r="B49" s="94" t="s">
        <v>267</v>
      </c>
      <c r="C49" s="94" t="s">
        <v>142</v>
      </c>
      <c r="D49" s="92">
        <v>1981</v>
      </c>
      <c r="E49" s="105">
        <v>1</v>
      </c>
      <c r="F49" s="92">
        <v>192</v>
      </c>
      <c r="G49" s="92">
        <v>16</v>
      </c>
      <c r="H49" s="92" t="s">
        <v>50</v>
      </c>
      <c r="I49" s="92" t="s">
        <v>670</v>
      </c>
      <c r="J49" s="92" t="s">
        <v>172</v>
      </c>
      <c r="K49" s="69">
        <f>IF(J49="syllables",1,IF(J49="trigrams",2,IF(J49="strings",3,IF(J49="visual array",4,IF(J49="characters",5,IF(J49="letters",6,IF(J49="free forms",7,IF(J49="odors",8,IF(J49="words",9,IF(J49="pictures",10,IF(J49="object pictures",11,IF(J49="faces",12,IF(J49="names",13,IF(J49="idioms",14,IF(J49="grades",15,IF(J49="syllable-digit pairs",16,IF(J49="trigram-word pairs",17,IF(J49="word-digit pairs",18,IF(J49="English-Swahili pairs",19,IF(J49="spatial position",20,IF(J49="word pairs",21,IF(J49="word triads",22,IF(J49="generated words",23,IF(J49="word definition pairs",24,IF(J49="math problems",25,IF(J49="famous faces",26,IF(J49="famous names",27,IF(J49="famous voices",28,IF(J49="television programs",29,IF(J49="race horses",30,IF(J49="new vocabulary",31,IF(J49="sentences",32,IF(J49="concepts",33,IF(J49="ad slides",34,IF(J49="scenes",35,IF(J49="famous scenes",36,IF(J49="poems",37,IF(J49="walk",38,IF(J49="faces and events",39,IF(J49="events and names",40,IF(J49="flashbulb",41,IF(J49="stories",42,IF(J49="course material",43,IF(J49="autobiographical",44,IF(J49="novels",45,IF(J49="public events",46,"99"))))))))))))))))))))))))))))))))))))))))))))))</f>
        <v>12</v>
      </c>
      <c r="L49" s="69">
        <f>IF(J49="syllables",1,IF(J49="trigrams",1,IF(J49="strings",1,IF(J49="visual array",1,IF(J49="characters",1,IF(J49="letters",1,IF(J49="free forms",1,IF(J49="odors",2,IF(J49="words",2,IF(J49="pictures",2,IF(J49="object pictures",2,IF(J49="faces",2,IF(J49="names",2,IF(J49="idioms","2",IF(J49="grades",2,IF(J49="syllable-digit pairs",3,IF(J49="trigram-word pairs",3,IF(J49="word-digit pairs",3,IF(J49="English-Swahili pairs",3,IF(J49="spatial position",3,IF(J49="word pairs",4,IF(J49="word triads",4,IF(J49="generated words",4,IF(J49="word definition pairs",4,IF(J49="math problems",4,IF(J49="famous faces",4,IF(J49="famous names",4,IF(J49="famous voices",4,IF(J49="television programs",4,IF(J49="race horses",4,IF(J49="new vocabulary",4,IF(J49="sentences",5,IF(J49="concepts",5,IF(J49="ad slides",5,IF(J49="scenes",5,IF(J49="famous scenes",5,IF(J49="poems",6,IF(J49="walk",6,IF(J49="faces and events",6,IF(J49="events and names",6,IF(J49="flashbulb",7,IF(J49="stories",7,IF(J49="course material",7,IF(J49="autobiographical",7,IF(J49="novels",7,IF(J49="public events",7,"99"))))))))))))))))))))))))))))))))))))))))))))))</f>
        <v>2</v>
      </c>
      <c r="M49" s="92">
        <v>0</v>
      </c>
      <c r="N49" s="92">
        <v>1</v>
      </c>
      <c r="O49" s="92">
        <v>0</v>
      </c>
      <c r="P49" s="92"/>
      <c r="Q49" s="92" t="s">
        <v>34</v>
      </c>
      <c r="R49" s="69">
        <f>IF(Q49="Free Recall",1,IF(Q49="Cued Recall",2,IF(Q49="Recognition",3,IF(Q49="Multiple Choice",4,IF(Q49="Savings",5,IF(Q49="Stem Completion",6,IF(Q49="Fragment Completion",7,IF(Q49="anagram solution",8,IF(Q49="Matching",9,IF(Q49="Problem Solving",10,"99"))))))))))</f>
        <v>3</v>
      </c>
      <c r="S49" s="92" t="s">
        <v>15</v>
      </c>
      <c r="T49" s="92" t="s">
        <v>261</v>
      </c>
      <c r="U49" s="69">
        <f>IF(T49="within",1,0)</f>
        <v>0</v>
      </c>
      <c r="V49" s="92">
        <v>10</v>
      </c>
      <c r="W49" s="69">
        <f>F49*V49</f>
        <v>1920</v>
      </c>
      <c r="X49" s="92">
        <v>3</v>
      </c>
      <c r="Y49" s="87">
        <f>AV48</f>
        <v>60</v>
      </c>
      <c r="Z49" s="92" t="s">
        <v>18</v>
      </c>
      <c r="AA49" s="92">
        <f>28*24*3600</f>
        <v>2419200</v>
      </c>
      <c r="AB49" s="69" t="str">
        <f>IF(AA49&lt;60,"1",IF(AA49&lt;=43200,"2",IF(AA49&lt;=777600,"3","4")))</f>
        <v>4</v>
      </c>
      <c r="AC49" s="72">
        <f>AVERAGE(AV48:DA48)</f>
        <v>864020</v>
      </c>
      <c r="AD49" s="69" t="str">
        <f>IF(AC49&lt;60,"1",IF(AC49&lt;=43200,"2",IF(AC49&lt;=777600,"3","4")))</f>
        <v>4</v>
      </c>
      <c r="AE49" s="87">
        <f>AA49-Y49</f>
        <v>2419140</v>
      </c>
      <c r="AF49" s="88">
        <f>AV49</f>
        <v>0.98421052631578898</v>
      </c>
      <c r="AG49" s="72">
        <f>((AW49-AV49)+(AX49-AW49))/2</f>
        <v>-9.6804511278195504E-2</v>
      </c>
      <c r="AH49" s="4"/>
      <c r="AI49" s="72">
        <f>RSQ(AV49:AX49,AV48:AX48)</f>
        <v>0.85768808609240177</v>
      </c>
      <c r="AJ49" s="110">
        <f>SLOPE(AV49:AX49,AV48:AX48)</f>
        <v>-6.660514865845341E-8</v>
      </c>
      <c r="AK49" s="72">
        <f>INTERCEPT(AV49:AX49,AV48:AX48)</f>
        <v>0.94902687728573076</v>
      </c>
      <c r="AL49" s="72">
        <f>INDEX(LINEST(LN(AV49:AX49),LN(AV48:AX48),TRUE,TRUE),3,1)</f>
        <v>0.85859369925870888</v>
      </c>
      <c r="AM49" s="72">
        <f>INDEX(LINEST(LN(AV49:AX49),LN(AV48:AX48)),1)</f>
        <v>-1.8480787588194606E-2</v>
      </c>
      <c r="AN49" s="72">
        <f>EXP(INDEX(LINEST(LN(AV49:AX49),LN(AV48:AX48)),1,2))</f>
        <v>1.0737730958129117</v>
      </c>
      <c r="AO49" s="89">
        <f>INDEX(LINEST((AV49:AX49),LN(AV48:AX48),TRUE,TRUE),3,1)</f>
        <v>0.8791868860899168</v>
      </c>
      <c r="AP49" s="89">
        <f>INDEX(LINEST((AV49:AX49),LN(AV48:AX48)),1)</f>
        <v>-1.6484965328921537E-2</v>
      </c>
      <c r="AQ49" s="90">
        <f>INDEX(LINEST(LN(AV49:AX49),SQRT(AV48:AX48),TRUE,TRUE),3,1)</f>
        <v>0.97359610213336767</v>
      </c>
      <c r="AR49" s="117">
        <f>INDEX(LINEST(LN(AV49:AX49),SQRT((AV48:AX48))),1)</f>
        <v>-1.3544714808988773E-4</v>
      </c>
      <c r="AS49" s="91">
        <f>INDEX(LINEST(1/(AV49:AX49),1/(SQRT(AV48:AX48)),TRUE,TRUE),3,1)</f>
        <v>0.63870858821921439</v>
      </c>
      <c r="AT49" s="91">
        <f>INDEX(LINEST(1/(AV49:AX49),1/SQRT(AV48:AX48)),1)</f>
        <v>-1.361850912386712</v>
      </c>
      <c r="AU49" s="3"/>
      <c r="AV49" s="97">
        <v>0.98421052631578898</v>
      </c>
      <c r="AW49" s="97">
        <v>0.89962406015037499</v>
      </c>
      <c r="AX49" s="97">
        <v>0.79060150375939797</v>
      </c>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5"/>
      <c r="CS49" s="15"/>
      <c r="CT49" s="15"/>
      <c r="CU49" s="15"/>
    </row>
    <row r="50" spans="1:99" ht="12" customHeight="1" x14ac:dyDescent="0.2">
      <c r="A50" s="68">
        <v>43509</v>
      </c>
      <c r="B50" s="127"/>
      <c r="C50" s="94"/>
      <c r="D50" s="92"/>
      <c r="E50" s="105"/>
      <c r="F50" s="92"/>
      <c r="G50" s="92"/>
      <c r="H50" s="92"/>
      <c r="I50" s="92"/>
      <c r="J50" s="92"/>
      <c r="K50" s="107"/>
      <c r="L50" s="107"/>
      <c r="M50" s="92"/>
      <c r="N50" s="92"/>
      <c r="O50" s="92"/>
      <c r="P50" s="92"/>
      <c r="Q50" s="92"/>
      <c r="R50" s="69"/>
      <c r="S50" s="92"/>
      <c r="T50" s="92"/>
      <c r="U50" s="69"/>
      <c r="V50" s="92"/>
      <c r="W50" s="69"/>
      <c r="X50" s="92"/>
      <c r="Y50" s="87"/>
      <c r="Z50" s="92"/>
      <c r="AA50" s="92"/>
      <c r="AB50" s="69"/>
      <c r="AC50" s="69"/>
      <c r="AD50" s="69"/>
      <c r="AE50" s="69"/>
      <c r="AF50" s="88"/>
      <c r="AG50" s="72"/>
      <c r="AH50" s="4"/>
      <c r="AI50" s="108"/>
      <c r="AJ50" s="113"/>
      <c r="AK50" s="108"/>
      <c r="AL50" s="108"/>
      <c r="AM50" s="108"/>
      <c r="AN50" s="108"/>
      <c r="AO50" s="108"/>
      <c r="AP50" s="108"/>
      <c r="AQ50" s="108"/>
      <c r="AR50" s="113"/>
      <c r="AS50" s="108"/>
      <c r="AT50" s="108"/>
      <c r="AU50" s="3"/>
      <c r="AV50" s="98">
        <v>60</v>
      </c>
      <c r="AW50" s="98">
        <f>2*24*3600</f>
        <v>172800</v>
      </c>
      <c r="AX50" s="98">
        <f>28*24*3600</f>
        <v>2419200</v>
      </c>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5"/>
      <c r="CS50" s="15"/>
      <c r="CT50" s="15"/>
      <c r="CU50" s="15"/>
    </row>
    <row r="51" spans="1:99" ht="12" customHeight="1" x14ac:dyDescent="0.2">
      <c r="A51" s="68">
        <v>43509</v>
      </c>
      <c r="B51" s="94" t="s">
        <v>267</v>
      </c>
      <c r="C51" s="94" t="s">
        <v>142</v>
      </c>
      <c r="D51" s="92">
        <v>1981</v>
      </c>
      <c r="E51" s="105">
        <v>1</v>
      </c>
      <c r="F51" s="92">
        <v>192</v>
      </c>
      <c r="G51" s="92">
        <v>16</v>
      </c>
      <c r="H51" s="92" t="s">
        <v>50</v>
      </c>
      <c r="I51" s="92" t="s">
        <v>671</v>
      </c>
      <c r="J51" s="92" t="s">
        <v>172</v>
      </c>
      <c r="K51" s="69">
        <f>IF(J51="syllables",1,IF(J51="trigrams",2,IF(J51="strings",3,IF(J51="visual array",4,IF(J51="characters",5,IF(J51="letters",6,IF(J51="free forms",7,IF(J51="odors",8,IF(J51="words",9,IF(J51="pictures",10,IF(J51="object pictures",11,IF(J51="faces",12,IF(J51="names",13,IF(J51="idioms",14,IF(J51="grades",15,IF(J51="syllable-digit pairs",16,IF(J51="trigram-word pairs",17,IF(J51="word-digit pairs",18,IF(J51="English-Swahili pairs",19,IF(J51="spatial position",20,IF(J51="word pairs",21,IF(J51="word triads",22,IF(J51="generated words",23,IF(J51="word definition pairs",24,IF(J51="math problems",25,IF(J51="famous faces",26,IF(J51="famous names",27,IF(J51="famous voices",28,IF(J51="television programs",29,IF(J51="race horses",30,IF(J51="new vocabulary",31,IF(J51="sentences",32,IF(J51="concepts",33,IF(J51="ad slides",34,IF(J51="scenes",35,IF(J51="famous scenes",36,IF(J51="poems",37,IF(J51="walk",38,IF(J51="faces and events",39,IF(J51="events and names",40,IF(J51="flashbulb",41,IF(J51="stories",42,IF(J51="course material",43,IF(J51="autobiographical",44,IF(J51="novels",45,IF(J51="public events",46,"99"))))))))))))))))))))))))))))))))))))))))))))))</f>
        <v>12</v>
      </c>
      <c r="L51" s="69">
        <f>IF(J51="syllables",1,IF(J51="trigrams",1,IF(J51="strings",1,IF(J51="visual array",1,IF(J51="characters",1,IF(J51="letters",1,IF(J51="free forms",1,IF(J51="odors",2,IF(J51="words",2,IF(J51="pictures",2,IF(J51="object pictures",2,IF(J51="faces",2,IF(J51="names",2,IF(J51="idioms","2",IF(J51="grades",2,IF(J51="syllable-digit pairs",3,IF(J51="trigram-word pairs",3,IF(J51="word-digit pairs",3,IF(J51="English-Swahili pairs",3,IF(J51="spatial position",3,IF(J51="word pairs",4,IF(J51="word triads",4,IF(J51="generated words",4,IF(J51="word definition pairs",4,IF(J51="math problems",4,IF(J51="famous faces",4,IF(J51="famous names",4,IF(J51="famous voices",4,IF(J51="television programs",4,IF(J51="race horses",4,IF(J51="new vocabulary",4,IF(J51="sentences",5,IF(J51="concepts",5,IF(J51="ad slides",5,IF(J51="scenes",5,IF(J51="famous scenes",5,IF(J51="poems",6,IF(J51="walk",6,IF(J51="faces and events",6,IF(J51="events and names",6,IF(J51="flashbulb",7,IF(J51="stories",7,IF(J51="course material",7,IF(J51="autobiographical",7,IF(J51="novels",7,IF(J51="public events",7,"99"))))))))))))))))))))))))))))))))))))))))))))))</f>
        <v>2</v>
      </c>
      <c r="M51" s="92">
        <v>0</v>
      </c>
      <c r="N51" s="92">
        <v>1</v>
      </c>
      <c r="O51" s="92">
        <v>0</v>
      </c>
      <c r="P51" s="92"/>
      <c r="Q51" s="92" t="s">
        <v>34</v>
      </c>
      <c r="R51" s="69">
        <f>IF(Q51="Free Recall",1,IF(Q51="Cued Recall",2,IF(Q51="Recognition",3,IF(Q51="Multiple Choice",4,IF(Q51="Savings",5,IF(Q51="Stem Completion",6,IF(Q51="Fragment Completion",7,IF(Q51="anagram solution",8,IF(Q51="Matching",9,IF(Q51="Problem Solving",10,"99"))))))))))</f>
        <v>3</v>
      </c>
      <c r="S51" s="92" t="s">
        <v>15</v>
      </c>
      <c r="T51" s="92" t="s">
        <v>261</v>
      </c>
      <c r="U51" s="69">
        <f>IF(T51="within",1,0)</f>
        <v>0</v>
      </c>
      <c r="V51" s="92">
        <v>10</v>
      </c>
      <c r="W51" s="69">
        <f>F51*V51</f>
        <v>1920</v>
      </c>
      <c r="X51" s="92">
        <v>3</v>
      </c>
      <c r="Y51" s="87">
        <f>AV50</f>
        <v>60</v>
      </c>
      <c r="Z51" s="92" t="s">
        <v>18</v>
      </c>
      <c r="AA51" s="92">
        <f>28*24*3600</f>
        <v>2419200</v>
      </c>
      <c r="AB51" s="69" t="str">
        <f>IF(AA51&lt;60,"1",IF(AA51&lt;=43200,"2",IF(AA51&lt;=777600,"3","4")))</f>
        <v>4</v>
      </c>
      <c r="AC51" s="72">
        <f>AVERAGE(AV50:DA50)</f>
        <v>864020</v>
      </c>
      <c r="AD51" s="69" t="str">
        <f>IF(AC51&lt;60,"1",IF(AC51&lt;=43200,"2",IF(AC51&lt;=777600,"3","4")))</f>
        <v>4</v>
      </c>
      <c r="AE51" s="87">
        <f>AA51-Y51</f>
        <v>2419140</v>
      </c>
      <c r="AF51" s="88">
        <f>AV51</f>
        <v>0.97218045112781892</v>
      </c>
      <c r="AG51" s="72">
        <f>((AW51-AV51)+(AX51-AW51))/2</f>
        <v>-6.0902255639097957E-2</v>
      </c>
      <c r="AH51" s="4"/>
      <c r="AI51" s="72">
        <f>RSQ(AV51:AX51,AV50:AX50)</f>
        <v>0.96243601849299976</v>
      </c>
      <c r="AJ51" s="110">
        <f>SLOPE(AV51:AX51,AV50:AX50)</f>
        <v>-4.5865919683972612E-8</v>
      </c>
      <c r="AK51" s="72">
        <f>INTERCEPT(AV51:AX51,AV50:AX50)</f>
        <v>0.96043107693787666</v>
      </c>
      <c r="AL51" s="72">
        <f>INDEX(LINEST(LN(AV51:AX51),LN(AV50:AX50),TRUE,TRUE),3,1)</f>
        <v>0.7174366675057019</v>
      </c>
      <c r="AM51" s="72">
        <f>INDEX(LINEST(LN(AV51:AX51),LN(AV50:AX50)),1)</f>
        <v>-1.0679510028953815E-2</v>
      </c>
      <c r="AN51" s="72">
        <f>EXP(INDEX(LINEST(LN(AV51:AX51),LN(AV50:AX50)),1,2))</f>
        <v>1.0260573377725422</v>
      </c>
      <c r="AO51" s="89">
        <f>INDEX(LINEST((AV51:AX51),LN(AV50:AX50),TRUE,TRUE),3,1)</f>
        <v>0.72968150530855214</v>
      </c>
      <c r="AP51" s="89">
        <f>INDEX(LINEST((AV51:AX51),LN(AV50:AX50)),1)</f>
        <v>-9.7628173822194124E-3</v>
      </c>
      <c r="AQ51" s="90">
        <f>INDEX(LINEST(LN(AV51:AX51),SQRT(AV50:AX50),TRUE,TRUE),3,1)</f>
        <v>0.99986279603612405</v>
      </c>
      <c r="AR51" s="117">
        <f>INDEX(LINEST(LN(AV51:AX51),SQRT((AV50:AX50))),1)</f>
        <v>-8.6772792257081732E-5</v>
      </c>
      <c r="AS51" s="91">
        <f>INDEX(LINEST(1/(AV51:AX51),1/(SQRT(AV50:AX50)),TRUE,TRUE),3,1)</f>
        <v>0.48228037301602988</v>
      </c>
      <c r="AT51" s="91">
        <f>INDEX(LINEST(1/(AV51:AX51),1/SQRT(AV50:AX50)),1)</f>
        <v>-0.72511356188315401</v>
      </c>
      <c r="AU51" s="3"/>
      <c r="AV51" s="97">
        <v>0.97218045112781892</v>
      </c>
      <c r="AW51" s="97">
        <v>0.93984962406015005</v>
      </c>
      <c r="AX51" s="97">
        <v>0.85037593984962301</v>
      </c>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5"/>
      <c r="CS51" s="15"/>
      <c r="CT51" s="15"/>
      <c r="CU51" s="15"/>
    </row>
    <row r="52" spans="1:99" s="13" customFormat="1" ht="12" customHeight="1" x14ac:dyDescent="0.2">
      <c r="A52" s="68">
        <v>43977</v>
      </c>
      <c r="B52" s="70"/>
      <c r="C52" s="70"/>
      <c r="D52" s="69"/>
      <c r="E52" s="105"/>
      <c r="F52" s="69"/>
      <c r="G52" s="69"/>
      <c r="H52" s="69"/>
      <c r="I52" s="104"/>
      <c r="J52" s="69"/>
      <c r="K52" s="69"/>
      <c r="L52" s="69"/>
      <c r="M52" s="69"/>
      <c r="N52" s="69"/>
      <c r="O52" s="69"/>
      <c r="P52" s="69"/>
      <c r="Q52" s="69"/>
      <c r="R52" s="69"/>
      <c r="S52" s="69"/>
      <c r="T52" s="92"/>
      <c r="U52" s="69"/>
      <c r="V52" s="92"/>
      <c r="W52" s="69"/>
      <c r="X52" s="69"/>
      <c r="Y52" s="87"/>
      <c r="Z52" s="69"/>
      <c r="AA52" s="69"/>
      <c r="AB52" s="69"/>
      <c r="AC52" s="72"/>
      <c r="AD52" s="69"/>
      <c r="AE52" s="87"/>
      <c r="AF52" s="88"/>
      <c r="AG52" s="72"/>
      <c r="AH52" s="4"/>
      <c r="AI52" s="72"/>
      <c r="AJ52" s="110"/>
      <c r="AK52" s="72"/>
      <c r="AL52" s="72"/>
      <c r="AM52" s="72"/>
      <c r="AN52" s="72"/>
      <c r="AO52" s="89"/>
      <c r="AP52" s="89"/>
      <c r="AQ52" s="90"/>
      <c r="AR52" s="117"/>
      <c r="AS52" s="91"/>
      <c r="AT52" s="91"/>
      <c r="AU52" s="3"/>
      <c r="AV52" s="71">
        <v>30</v>
      </c>
      <c r="AW52" s="71">
        <f>60*60</f>
        <v>3600</v>
      </c>
      <c r="AX52" s="71">
        <f>24*60*60</f>
        <v>86400</v>
      </c>
      <c r="AY52" s="71">
        <f>24*60*60*29</f>
        <v>2505600</v>
      </c>
      <c r="AZ52" s="53"/>
      <c r="BA52" s="53"/>
      <c r="BB52" s="53"/>
      <c r="BC52" s="53"/>
      <c r="BD52" s="53"/>
      <c r="BE52" s="53"/>
      <c r="BF52" s="53"/>
      <c r="BG52" s="53"/>
      <c r="BH52" s="53"/>
      <c r="BI52" s="53"/>
      <c r="BJ52" s="53"/>
      <c r="BK52" s="53"/>
      <c r="BL52" s="53"/>
      <c r="BM52" s="53"/>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53"/>
      <c r="CO52" s="53"/>
      <c r="CP52" s="53"/>
      <c r="CQ52" s="53"/>
      <c r="CR52" s="1"/>
      <c r="CS52" s="1"/>
      <c r="CT52" s="1"/>
      <c r="CU52" s="1"/>
    </row>
    <row r="53" spans="1:99" s="13" customFormat="1" ht="12" customHeight="1" x14ac:dyDescent="0.2">
      <c r="A53" s="68">
        <v>43977</v>
      </c>
      <c r="B53" s="186" t="s">
        <v>944</v>
      </c>
      <c r="C53" s="70" t="s">
        <v>945</v>
      </c>
      <c r="D53" s="69">
        <v>2006</v>
      </c>
      <c r="E53" s="105">
        <v>1</v>
      </c>
      <c r="F53" s="69">
        <v>1</v>
      </c>
      <c r="G53" s="69">
        <v>1</v>
      </c>
      <c r="H53" s="69" t="s">
        <v>22</v>
      </c>
      <c r="I53" s="104" t="s">
        <v>479</v>
      </c>
      <c r="J53" s="69" t="s">
        <v>677</v>
      </c>
      <c r="K53" s="69">
        <f>IF(J53="syllables",1,IF(J53="trigrams",2,IF(J53="strings",3,IF(J53="visual array",4,IF(J53="characters",5,IF(J53="letters",6,IF(J53="free forms",7,IF(J53="odors",8,IF(J53="words",9,IF(J53="pictures",10,IF(J53="object pictures",11,IF(J53="faces",12,IF(J53="names",13,IF(J53="idioms",14,IF(J53="grades",15,IF(J53="syllable-digit pairs",16,IF(J53="trigram-word pairs",17,IF(J53="word-digit pairs",18,IF(J53="English-Swahili pairs",19,IF(J53="spatial position",20,IF(J53="word pairs",21,IF(J53="word triads",22,IF(J53="generated words",23,IF(J53="word definition pairs",24,IF(J53="math problems",25,IF(J53="famous faces",26,IF(J53="famous names",27,IF(J53="famous voices",28,IF(J53="television programs",29,IF(J53="race horses",30,IF(J53="new vocabulary",31,IF(J53="sentences",32,IF(J53="concepts",33,IF(J53="ad slides",34,IF(J53="scenes",35,IF(J53="famous scenes",36,IF(J53="poems",37,IF(J53="walk",38,IF(J53="faces and events",39,IF(J53="events and names",40,IF(J53="flashbulb",41,IF(J53="stories",42,IF(J53="course material",43,IF(J53="autobiographical",44,IF(J53="novels",45,IF(J53="public events",46,"99"))))))))))))))))))))))))))))))))))))))))))))))</f>
        <v>42</v>
      </c>
      <c r="L53" s="69">
        <f>IF(J53="syllables",1,IF(J53="trigrams",1,IF(J53="strings",1,IF(J53="visual array",1,IF(J53="characters",1,IF(J53="letters",1,IF(J53="free forms",1,IF(J53="odors",2,IF(J53="words",2,IF(J53="pictures",2,IF(J53="object pictures",2,IF(J53="faces",2,IF(J53="names",2,IF(J53="idioms","2",IF(J53="grades",2,IF(J53="syllable-digit pairs",3,IF(J53="trigram-word pairs",3,IF(J53="word-digit pairs",3,IF(J53="English-Swahili pairs",3,IF(J53="spatial position",3,IF(J53="word pairs",4,IF(J53="word triads",4,IF(J53="generated words",4,IF(J53="word definition pairs",4,IF(J53="math problems",4,IF(J53="famous faces",4,IF(J53="famous names",4,IF(J53="famous voices",4,IF(J53="television programs",4,IF(J53="race horses",4,IF(J53="new vocabulary",4,IF(J53="sentences",5,IF(J53="concepts",5,IF(J53="ad slides",5,IF(J53="scenes",5,IF(J53="famous scenes",5,IF(J53="poems",6,IF(J53="walk",6,IF(J53="faces and events",6,IF(J53="events and names",6,IF(J53="flashbulb",7,IF(J53="stories",7,IF(J53="course material",7,IF(J53="autobiographical",7,IF(J53="novels",7,IF(J53="public events",7,"99"))))))))))))))))))))))))))))))))))))))))))))))</f>
        <v>7</v>
      </c>
      <c r="M53" s="69">
        <v>0</v>
      </c>
      <c r="N53" s="69">
        <v>3</v>
      </c>
      <c r="O53" s="69">
        <v>0</v>
      </c>
      <c r="P53" s="69"/>
      <c r="Q53" s="69" t="s">
        <v>174</v>
      </c>
      <c r="R53" s="69">
        <f>IF(Q53="Free Recall",1,IF(Q53="Cued Recall",2,IF(Q53="Recognition",3,IF(Q53="Multiple Choice",4,IF(Q53="Savings",5,IF(Q53="Stem Completion",6,IF(Q53="Fragment Completion",7,IF(Q53="anagram solution",8,IF(Q53="Matching",9,IF(Q53="Problem Solving",10,"99"))))))))))</f>
        <v>1</v>
      </c>
      <c r="S53" s="69" t="s">
        <v>49</v>
      </c>
      <c r="T53" s="92" t="s">
        <v>581</v>
      </c>
      <c r="U53" s="69">
        <f>IF(T53="within",1,0)</f>
        <v>1</v>
      </c>
      <c r="V53" s="92">
        <f>4*88</f>
        <v>352</v>
      </c>
      <c r="W53" s="69">
        <f>F53*V53</f>
        <v>352</v>
      </c>
      <c r="X53" s="69">
        <v>4</v>
      </c>
      <c r="Y53" s="87">
        <f>AV52</f>
        <v>30</v>
      </c>
      <c r="Z53" s="69" t="s">
        <v>946</v>
      </c>
      <c r="AA53" s="69">
        <f>60*60*24*29</f>
        <v>2505600</v>
      </c>
      <c r="AB53" s="69" t="str">
        <f>IF(AA53&lt;60,"1",IF(AA53&lt;=43200,"2",IF(AA53&lt;=777600,"3","4")))</f>
        <v>4</v>
      </c>
      <c r="AC53" s="72">
        <f>AVERAGE(AV52:DA52)</f>
        <v>648907.5</v>
      </c>
      <c r="AD53" s="69" t="str">
        <f>IF(AC53&lt;60,"1",IF(AC53&lt;=43200,"2",IF(AC53&lt;=777600,"3","4")))</f>
        <v>3</v>
      </c>
      <c r="AE53" s="87">
        <f>AA53-Y53</f>
        <v>2505570</v>
      </c>
      <c r="AF53" s="88">
        <f>AV53</f>
        <v>0.46590909090909088</v>
      </c>
      <c r="AG53" s="72">
        <f>((AW53-AV53)+(AX53-AW53)+(AY53-AX53))/3</f>
        <v>-5.3030303030303018E-2</v>
      </c>
      <c r="AH53" s="4"/>
      <c r="AI53" s="72">
        <f>RSQ(AV53:AY53,AV52:AY52)</f>
        <v>0.93327136953288692</v>
      </c>
      <c r="AJ53" s="110">
        <f>SLOPE(AV53:AY53,AV52:AY52)</f>
        <v>-5.3859001190521297E-8</v>
      </c>
      <c r="AK53" s="72">
        <f>INTERCEPT(AV53:AY53,AV52:AY52)</f>
        <v>0.44119950981503819</v>
      </c>
      <c r="AL53" s="72">
        <f>INDEX(LINEST(LN(AV53:AY53),LN(AV52:AY52),TRUE,TRUE),3,1)</f>
        <v>0.7600377833057953</v>
      </c>
      <c r="AM53" s="72">
        <f>INDEX(LINEST(LN(AV53:AY53),LN(AV52:AY52)),1)</f>
        <v>-3.3316891270817953E-2</v>
      </c>
      <c r="AN53" s="72">
        <f>EXP(INDEX(LINEST(LN(AV53:AY53),LN(AV52:AY52)),1,2))</f>
        <v>0.5494021514980113</v>
      </c>
      <c r="AO53" s="89">
        <f>INDEX(LINEST((AV53:AY53),LN(AV52:AY52),TRUE,TRUE),3,1)</f>
        <v>0.79613359972921327</v>
      </c>
      <c r="AP53" s="89">
        <f>INDEX(LINEST((AV53:AY53),LN(AV52:AY52)),1)</f>
        <v>-1.2774532378379319E-2</v>
      </c>
      <c r="AQ53" s="90">
        <f>INDEX(LINEST(LN(AV53:AY53),SQRT(AV52:AY52),TRUE,TRUE),3,1)</f>
        <v>0.98076453103185279</v>
      </c>
      <c r="AR53" s="117">
        <f>INDEX(LINEST(LN(AV53:AY53),SQRT((AV52:AY52))),1)</f>
        <v>-2.4592299584868046E-4</v>
      </c>
      <c r="AS53" s="91">
        <f>INDEX(LINEST(1/(AV53:AY53),1/(SQRT(AV52:AY52)),TRUE,TRUE),3,1)</f>
        <v>0.30296306885831153</v>
      </c>
      <c r="AT53" s="91">
        <f>INDEX(LINEST(1/(AV53:AY53),1/SQRT(AV52:AY52)),1)</f>
        <v>-3.1186838733145614</v>
      </c>
      <c r="AU53" s="3"/>
      <c r="AV53" s="73">
        <f>41/88</f>
        <v>0.46590909090909088</v>
      </c>
      <c r="AW53" s="73">
        <f>38/88</f>
        <v>0.43181818181818182</v>
      </c>
      <c r="AX53" s="73">
        <f>37/88</f>
        <v>0.42045454545454547</v>
      </c>
      <c r="AY53" s="73">
        <f>27/88</f>
        <v>0.30681818181818182</v>
      </c>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1"/>
      <c r="CS53" s="1"/>
      <c r="CT53" s="1"/>
      <c r="CU53" s="1"/>
    </row>
    <row r="54" spans="1:99" s="13" customFormat="1" ht="12" customHeight="1" x14ac:dyDescent="0.2">
      <c r="A54" s="68">
        <v>43977</v>
      </c>
      <c r="B54" s="70"/>
      <c r="C54" s="70"/>
      <c r="D54" s="69"/>
      <c r="E54" s="105"/>
      <c r="F54" s="69"/>
      <c r="G54" s="69"/>
      <c r="H54" s="69"/>
      <c r="I54" s="104"/>
      <c r="J54" s="69"/>
      <c r="K54" s="69"/>
      <c r="L54" s="69"/>
      <c r="M54" s="69"/>
      <c r="N54" s="69"/>
      <c r="O54" s="69"/>
      <c r="P54" s="69"/>
      <c r="Q54" s="69"/>
      <c r="R54" s="69"/>
      <c r="S54" s="69"/>
      <c r="T54" s="92"/>
      <c r="U54" s="69"/>
      <c r="V54" s="92"/>
      <c r="W54" s="69"/>
      <c r="X54" s="69"/>
      <c r="Y54" s="87"/>
      <c r="Z54" s="69"/>
      <c r="AA54" s="69"/>
      <c r="AB54" s="69"/>
      <c r="AC54" s="72"/>
      <c r="AD54" s="69"/>
      <c r="AE54" s="87"/>
      <c r="AF54" s="88"/>
      <c r="AG54" s="72"/>
      <c r="AH54" s="4"/>
      <c r="AI54" s="72"/>
      <c r="AJ54" s="110"/>
      <c r="AK54" s="72"/>
      <c r="AL54" s="72"/>
      <c r="AM54" s="72"/>
      <c r="AN54" s="72"/>
      <c r="AO54" s="89"/>
      <c r="AP54" s="89"/>
      <c r="AQ54" s="90"/>
      <c r="AR54" s="117"/>
      <c r="AS54" s="91"/>
      <c r="AT54" s="91"/>
      <c r="AU54" s="3"/>
      <c r="AV54" s="71">
        <v>30</v>
      </c>
      <c r="AW54" s="71">
        <f>60*60</f>
        <v>3600</v>
      </c>
      <c r="AX54" s="71">
        <f>24*60*60</f>
        <v>86400</v>
      </c>
      <c r="AY54" s="71">
        <f>24*60*60*29</f>
        <v>2505600</v>
      </c>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1"/>
      <c r="CS54" s="1"/>
      <c r="CT54" s="1"/>
      <c r="CU54" s="1"/>
    </row>
    <row r="55" spans="1:99" s="13" customFormat="1" ht="12" customHeight="1" x14ac:dyDescent="0.2">
      <c r="A55" s="68">
        <v>43977</v>
      </c>
      <c r="B55" s="186" t="s">
        <v>944</v>
      </c>
      <c r="C55" s="70" t="s">
        <v>945</v>
      </c>
      <c r="D55" s="69">
        <v>2006</v>
      </c>
      <c r="E55" s="105">
        <v>1</v>
      </c>
      <c r="F55" s="69">
        <v>1</v>
      </c>
      <c r="G55" s="69">
        <v>1</v>
      </c>
      <c r="H55" s="69" t="s">
        <v>22</v>
      </c>
      <c r="I55" s="104" t="s">
        <v>479</v>
      </c>
      <c r="J55" s="69" t="s">
        <v>686</v>
      </c>
      <c r="K55" s="69">
        <f>IF(J55="syllables",1,IF(J55="trigrams",2,IF(J55="strings",3,IF(J55="visual array",4,IF(J55="characters",5,IF(J55="letters",6,IF(J55="free forms",7,IF(J55="odors",8,IF(J55="words",9,IF(J55="pictures",10,IF(J55="object pictures",11,IF(J55="faces",12,IF(J55="names",13,IF(J55="idioms",14,IF(J55="grades",15,IF(J55="syllable-digit pairs",16,IF(J55="trigram-word pairs",17,IF(J55="word-digit pairs",18,IF(J55="English-Swahili pairs",19,IF(J55="spatial position",20,IF(J55="word pairs",21,IF(J55="word triads",22,IF(J55="generated words",23,IF(J55="word definition pairs",24,IF(J55="math problems",25,IF(J55="famous faces",26,IF(J55="famous names",27,IF(J55="famous voices",28,IF(J55="television programs",29,IF(J55="race horses",30,IF(J55="new vocabulary",31,IF(J55="sentences",32,IF(J55="concepts",33,IF(J55="ad slides",34,IF(J55="scenes",35,IF(J55="famous scenes",36,IF(J55="poems",37,IF(J55="walk",38,IF(J55="faces and events",39,IF(J55="events and names",40,IF(J55="flashbulb",41,IF(J55="stories",42,IF(J55="course material",43,IF(J55="autobiographical",44,IF(J55="novels",45,IF(J55="public events",46,"99"))))))))))))))))))))))))))))))))))))))))))))))</f>
        <v>35</v>
      </c>
      <c r="L55" s="69">
        <f>IF(J55="syllables",1,IF(J55="trigrams",1,IF(J55="strings",1,IF(J55="visual array",1,IF(J55="characters",1,IF(J55="letters",1,IF(J55="free forms",1,IF(J55="odors",2,IF(J55="words",2,IF(J55="pictures",2,IF(J55="object pictures",2,IF(J55="faces",2,IF(J55="names",2,IF(J55="idioms","2",IF(J55="grades",2,IF(J55="syllable-digit pairs",3,IF(J55="trigram-word pairs",3,IF(J55="word-digit pairs",3,IF(J55="English-Swahili pairs",3,IF(J55="spatial position",3,IF(J55="word pairs",4,IF(J55="word triads",4,IF(J55="generated words",4,IF(J55="word definition pairs",4,IF(J55="math problems",4,IF(J55="famous faces",4,IF(J55="famous names",4,IF(J55="famous voices",4,IF(J55="television programs",4,IF(J55="race horses",4,IF(J55="new vocabulary",4,IF(J55="sentences",5,IF(J55="concepts",5,IF(J55="ad slides",5,IF(J55="scenes",5,IF(J55="famous scenes",5,IF(J55="poems",6,IF(J55="walk",6,IF(J55="faces and events",6,IF(J55="events and names",6,IF(J55="flashbulb",7,IF(J55="stories",7,IF(J55="course material",7,IF(J55="autobiographical",7,IF(J55="novels",7,IF(J55="public events",7,"99"))))))))))))))))))))))))))))))))))))))))))))))</f>
        <v>5</v>
      </c>
      <c r="M55" s="69">
        <v>0</v>
      </c>
      <c r="N55" s="69">
        <v>4</v>
      </c>
      <c r="O55" s="69">
        <v>0</v>
      </c>
      <c r="P55" s="69"/>
      <c r="Q55" s="69" t="s">
        <v>174</v>
      </c>
      <c r="R55" s="69">
        <f>IF(Q55="Free Recall",1,IF(Q55="Cued Recall",2,IF(Q55="Recognition",3,IF(Q55="Multiple Choice",4,IF(Q55="Savings",5,IF(Q55="Stem Completion",6,IF(Q55="Fragment Completion",7,IF(Q55="anagram solution",8,IF(Q55="Matching",9,IF(Q55="Problem Solving",10,"99"))))))))))</f>
        <v>1</v>
      </c>
      <c r="S55" s="69" t="s">
        <v>49</v>
      </c>
      <c r="T55" s="92" t="s">
        <v>581</v>
      </c>
      <c r="U55" s="69">
        <f>IF(T55="within",1,0)</f>
        <v>1</v>
      </c>
      <c r="V55" s="92">
        <f>36*4</f>
        <v>144</v>
      </c>
      <c r="W55" s="69">
        <f>F55*V55</f>
        <v>144</v>
      </c>
      <c r="X55" s="69">
        <v>4</v>
      </c>
      <c r="Y55" s="87">
        <f>AV54</f>
        <v>30</v>
      </c>
      <c r="Z55" s="69" t="s">
        <v>946</v>
      </c>
      <c r="AA55" s="69">
        <f>60*60*24*29</f>
        <v>2505600</v>
      </c>
      <c r="AB55" s="69" t="str">
        <f>IF(AA55&lt;60,"1",IF(AA55&lt;=43200,"2",IF(AA55&lt;=777600,"3","4")))</f>
        <v>4</v>
      </c>
      <c r="AC55" s="72">
        <f>AVERAGE(AV54:DA54)</f>
        <v>648907.5</v>
      </c>
      <c r="AD55" s="69" t="str">
        <f>IF(AC55&lt;60,"1",IF(AC55&lt;=43200,"2",IF(AC55&lt;=777600,"3","4")))</f>
        <v>3</v>
      </c>
      <c r="AE55" s="87">
        <f>AA55-Y55</f>
        <v>2505570</v>
      </c>
      <c r="AF55" s="88">
        <f>AV55</f>
        <v>1</v>
      </c>
      <c r="AG55" s="72">
        <f>((AW55-AV55)+(AX55-AW55)+(AY55-AX55))/3</f>
        <v>-6.4814814814814811E-2</v>
      </c>
      <c r="AH55" s="4"/>
      <c r="AI55" s="72">
        <f>RSQ(AV55:AY55,AV54:AY54)</f>
        <v>0.82522467796516141</v>
      </c>
      <c r="AJ55" s="110">
        <f>SLOPE(AV55:AY55,AV54:AY54)</f>
        <v>-5.9983997515337444E-8</v>
      </c>
      <c r="AK55" s="72">
        <f>INTERCEPT(AV55:AY55,AV54:AY54)</f>
        <v>0.95559073253435034</v>
      </c>
      <c r="AL55" s="72">
        <f>INDEX(LINEST(LN(AV55:AY55),LN(AV54:AY54),TRUE,TRUE),3,1)</f>
        <v>0.75746038413427619</v>
      </c>
      <c r="AM55" s="72">
        <f>INDEX(LINEST(LN(AV55:AY55),LN(AV54:AY54)),1)</f>
        <v>-1.6513926157402267E-2</v>
      </c>
      <c r="AN55" s="72">
        <f>EXP(INDEX(LINEST(LN(AV55:AY55),LN(AV54:AY54)),1,2))</f>
        <v>1.0677002146409713</v>
      </c>
      <c r="AO55" s="89">
        <f>INDEX(LINEST((AV55:AY55),LN(AV54:AY54),TRUE,TRUE),3,1)</f>
        <v>0.76966434259419469</v>
      </c>
      <c r="AP55" s="89">
        <f>INDEX(LINEST((AV55:AY55),LN(AV54:AY54)),1)</f>
        <v>-1.4876394825228215E-2</v>
      </c>
      <c r="AQ55" s="90">
        <f>INDEX(LINEST(LN(AV55:AY55),SQRT(AV54:AY54),TRUE,TRUE),3,1)</f>
        <v>0.86312654260682742</v>
      </c>
      <c r="AR55" s="117">
        <f>INDEX(LINEST(LN(AV55:AY55),SQRT((AV54:AY54))),1)</f>
        <v>-1.145453589139479E-4</v>
      </c>
      <c r="AS55" s="91">
        <f>INDEX(LINEST(1/(AV55:AY55),1/(SQRT(AV54:AY54)),TRUE,TRUE),3,1)</f>
        <v>0.43854270485234204</v>
      </c>
      <c r="AT55" s="91">
        <f>INDEX(LINEST(1/(AV55:AY55),1/SQRT(AV54:AY54)),1)</f>
        <v>-0.77311089558407664</v>
      </c>
      <c r="AU55" s="3"/>
      <c r="AV55" s="73">
        <v>1</v>
      </c>
      <c r="AW55" s="73">
        <f>33/36</f>
        <v>0.91666666666666663</v>
      </c>
      <c r="AX55" s="73">
        <f>34/36</f>
        <v>0.94444444444444442</v>
      </c>
      <c r="AY55" s="73">
        <f>29/36</f>
        <v>0.80555555555555558</v>
      </c>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1"/>
      <c r="CS55" s="1"/>
      <c r="CT55" s="1"/>
      <c r="CU55" s="1"/>
    </row>
    <row r="56" spans="1:99" ht="12" customHeight="1" x14ac:dyDescent="0.2">
      <c r="A56" s="65">
        <v>43903</v>
      </c>
      <c r="B56" s="15"/>
      <c r="C56" s="15"/>
      <c r="D56" s="59"/>
      <c r="E56" s="75"/>
      <c r="F56" s="59"/>
      <c r="G56" s="59"/>
      <c r="H56" s="59"/>
      <c r="I56" s="59"/>
      <c r="M56" s="59"/>
      <c r="N56" s="60"/>
      <c r="O56" s="59"/>
      <c r="P56" s="59"/>
      <c r="Q56" s="59"/>
      <c r="R56" s="60"/>
      <c r="S56" s="59"/>
      <c r="T56" s="59"/>
      <c r="U56" s="60"/>
      <c r="V56" s="59"/>
      <c r="W56" s="60"/>
      <c r="X56" s="60"/>
      <c r="Y56" s="76"/>
      <c r="Z56" s="59"/>
      <c r="AA56" s="59"/>
      <c r="AB56" s="60"/>
      <c r="AC56" s="56"/>
      <c r="AD56" s="60"/>
      <c r="AE56" s="60"/>
      <c r="AF56" s="80"/>
      <c r="AG56" s="56"/>
      <c r="AH56" s="4"/>
      <c r="AI56" s="56"/>
      <c r="AJ56" s="109"/>
      <c r="AK56" s="56"/>
      <c r="AL56" s="56"/>
      <c r="AM56" s="56"/>
      <c r="AN56" s="56"/>
      <c r="AO56" s="82"/>
      <c r="AP56" s="82"/>
      <c r="AQ56" s="83"/>
      <c r="AR56" s="116"/>
      <c r="AS56" s="84"/>
      <c r="AT56" s="84"/>
      <c r="AU56" s="3"/>
      <c r="AV56" s="47">
        <v>15768000</v>
      </c>
      <c r="AW56" s="47">
        <f t="shared" ref="AW56:BC56" si="0">AV56+15768000</f>
        <v>31536000</v>
      </c>
      <c r="AX56" s="47">
        <f t="shared" si="0"/>
        <v>47304000</v>
      </c>
      <c r="AY56" s="47">
        <f t="shared" si="0"/>
        <v>63072000</v>
      </c>
      <c r="AZ56" s="47">
        <f t="shared" si="0"/>
        <v>78840000</v>
      </c>
      <c r="BA56" s="47">
        <f t="shared" si="0"/>
        <v>94608000</v>
      </c>
      <c r="BB56" s="47">
        <f t="shared" si="0"/>
        <v>110376000</v>
      </c>
      <c r="BC56" s="47">
        <f t="shared" si="0"/>
        <v>126144000</v>
      </c>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5"/>
      <c r="CS56" s="15"/>
      <c r="CT56" s="15"/>
      <c r="CU56" s="15"/>
    </row>
    <row r="57" spans="1:99" ht="12" customHeight="1" x14ac:dyDescent="0.2">
      <c r="A57" s="65">
        <v>43903</v>
      </c>
      <c r="B57" s="15" t="s">
        <v>481</v>
      </c>
      <c r="C57" s="15" t="s">
        <v>262</v>
      </c>
      <c r="D57" s="59">
        <v>2020</v>
      </c>
      <c r="E57" s="75">
        <v>1</v>
      </c>
      <c r="F57" s="59">
        <v>230</v>
      </c>
      <c r="G57" s="59">
        <v>28.8</v>
      </c>
      <c r="H57" s="59" t="s">
        <v>747</v>
      </c>
      <c r="I57" s="59" t="s">
        <v>920</v>
      </c>
      <c r="J57" s="64" t="s">
        <v>483</v>
      </c>
      <c r="K57" s="60">
        <f t="shared" ref="K57" si="1">IF(J57="syllables",1,IF(J57="trigrams",2,IF(J57="strings",3,IF(J57="visual array",4,IF(J57="characters",5,IF(J57="letters",6,IF(J57="free forms",7,IF(J57="odors",8,IF(J57="words",9,IF(J57="pictures",10,IF(J57="object pictures",11,IF(J57="faces",12,IF(J57="names",13,IF(J57="idioms",14,IF(J57="grades",15,IF(J57="syllable-digit pairs",16,IF(J57="trigram-word pairs",17,IF(J57="word-digit pairs",18,IF(J57="English-Swahili pairs",19,IF(J57="spatial position",20,IF(J57="word pairs",21,IF(J57="word triads",22,IF(J57="generated words",23,IF(J57="word definition pairs",24,IF(J57="math problems",25,IF(J57="famous faces",26,IF(J57="famous names",27,IF(J57="famous voices",28,IF(J57="television programs",29,IF(J57="race horses",30,IF(J57="new vocabulary",31,IF(J57="sentences",32,IF(J57="concepts",33,IF(J57="ad slides",34,IF(J57="scenes",35,IF(J57="famous scenes",36,IF(J57="poems",37,IF(J57="walk",38,IF(J57="faces and events",39,IF(J57="events and names",40,IF(J57="flashbulb",41,IF(J57="stories",42,IF(J57="course material",43,IF(J57="autobiographical",44,IF(J57="novels",45,IF(J57="public events",46,"99"))))))))))))))))))))))))))))))))))))))))))))))</f>
        <v>45</v>
      </c>
      <c r="L57" s="60">
        <f t="shared" ref="L57" si="2">IF(J57="syllables",1,IF(J57="trigrams",1,IF(J57="strings",1,IF(J57="visual array",1,IF(J57="characters",1,IF(J57="letters",1,IF(J57="free forms",1,IF(J57="odors",2,IF(J57="words",2,IF(J57="pictures",2,IF(J57="object pictures",2,IF(J57="faces",2,IF(J57="names",2,IF(J57="idioms","2",IF(J57="grades",2,IF(J57="syllable-digit pairs",3,IF(J57="trigram-word pairs",3,IF(J57="word-digit pairs",3,IF(J57="English-Swahili pairs",3,IF(J57="spatial position",3,IF(J57="word pairs",4,IF(J57="word triads",4,IF(J57="generated words",4,IF(J57="word definition pairs",4,IF(J57="math problems",4,IF(J57="famous faces",4,IF(J57="famous names",4,IF(J57="famous voices",4,IF(J57="television programs",4,IF(J57="race horses",4,IF(J57="new vocabulary",4,IF(J57="sentences",5,IF(J57="concepts",5,IF(J57="ad slides",5,IF(J57="scenes",5,IF(J57="famous scenes",5,IF(J57="poems",6,IF(J57="walk",6,IF(J57="faces and events",6,IF(J57="events and names",6,IF(J57="flashbulb",7,IF(J57="stories",7,IF(J57="course material",7,IF(J57="autobiographical",7,IF(J57="novels",7,IF(J57="public events",7,"99"))))))))))))))))))))))))))))))))))))))))))))))</f>
        <v>7</v>
      </c>
      <c r="M57" s="59">
        <v>0</v>
      </c>
      <c r="N57" s="60">
        <v>3</v>
      </c>
      <c r="O57" s="59">
        <v>0</v>
      </c>
      <c r="P57" s="59"/>
      <c r="Q57" s="59" t="s">
        <v>182</v>
      </c>
      <c r="R57" s="60">
        <f t="shared" ref="R57" si="3">IF(Q57="Free Recall",1,IF(Q57="Cued Recall",2,IF(Q57="Recognition",3,IF(Q57="Multiple Choice",4,IF(Q57="Savings",5,IF(Q57="Stem Completion",6,IF(Q57="Fragment Completion",7,IF(Q57="anagram solution",8,IF(Q57="Matching",9,IF(Q57="Problem Solving",10,"99"))))))))))</f>
        <v>4</v>
      </c>
      <c r="S57" s="59" t="s">
        <v>482</v>
      </c>
      <c r="T57" s="59" t="s">
        <v>261</v>
      </c>
      <c r="U57" s="60">
        <f t="shared" ref="U57" si="4">IF(T57="within",1,0)</f>
        <v>0</v>
      </c>
      <c r="V57" s="59">
        <v>12</v>
      </c>
      <c r="W57" s="60">
        <f>F57*V57</f>
        <v>2760</v>
      </c>
      <c r="X57" s="60">
        <v>8</v>
      </c>
      <c r="Y57" s="76">
        <f>AV56</f>
        <v>15768000</v>
      </c>
      <c r="Z57" s="59" t="s">
        <v>484</v>
      </c>
      <c r="AA57" s="60">
        <f>7.5*365*24*60*60</f>
        <v>236520000</v>
      </c>
      <c r="AB57" s="60" t="str">
        <f>IF(AA57&lt;60,"1",IF(AA57&lt;=43200,"2",IF(AA57&lt;=777600,"3","4")))</f>
        <v>4</v>
      </c>
      <c r="AC57" s="56">
        <f>AVERAGE(AV56:DA56)</f>
        <v>70956000</v>
      </c>
      <c r="AD57" s="60" t="str">
        <f>IF(AC57&lt;60,"1",IF(AC57&lt;=43200,"2",IF(AC57&lt;=777600,"3","4")))</f>
        <v>4</v>
      </c>
      <c r="AE57" s="76">
        <f>AA57-Y57</f>
        <v>220752000</v>
      </c>
      <c r="AF57" s="80">
        <f>AV57</f>
        <v>0.5625</v>
      </c>
      <c r="AG57" s="56">
        <f>((AW57-AV57)+(AX57-AW57)+(AY57-AX57)+(AZ57-AY57)+(BA57-AZ57)+(BB57-BA57)+(BC57-BB57))/7</f>
        <v>-1.7351576999999983E-2</v>
      </c>
      <c r="AH57" s="4"/>
      <c r="AI57" s="56">
        <f>RSQ(AV57:BC57,AV56:BC56)</f>
        <v>0.90810275394255158</v>
      </c>
      <c r="AJ57" s="109">
        <f>SLOPE(AV57:BC57,AV56:BC56)</f>
        <v>-1.2746455374900246E-9</v>
      </c>
      <c r="AK57" s="56">
        <f>INTERCEPT(AV57:BC57,AV56:BC56)</f>
        <v>0.60209581761658237</v>
      </c>
      <c r="AL57" s="56">
        <f>INDEX(LINEST(LN(AV57:BC57),LN(AV56:BC56),TRUE,TRUE),3,1)</f>
        <v>0.76254830222151393</v>
      </c>
      <c r="AM57" s="56">
        <f>INDEX(LINEST(LN(AV57:BC57),LN(AV56:BC56)),1)</f>
        <v>-0.12632832890763682</v>
      </c>
      <c r="AN57" s="56">
        <f>EXP(INDEX(LINEST(LN(AV57:BC57),LN(AV56:BC56)),1,2))</f>
        <v>4.886822907385433</v>
      </c>
      <c r="AO57" s="82">
        <f>INDEX(LINEST((AV57:BC57),LN(AV56:BC56),TRUE,TRUE),3,1)</f>
        <v>0.77161942106670744</v>
      </c>
      <c r="AP57" s="82">
        <f>INDEX(LINEST((AV57:BC57),LN(AV56:BC56)),1)</f>
        <v>-6.4517362377310206E-2</v>
      </c>
      <c r="AQ57" s="83">
        <f>INDEX(LINEST(LN(AV57:BC57),SQRT(AV56:BC56),TRUE,TRUE),3,1)</f>
        <v>0.8581781033265018</v>
      </c>
      <c r="AR57" s="116">
        <f>INDEX(LINEST(LN(AV57:BC57),SQRT((AV56:BC56))),1)</f>
        <v>-3.7776661695339233E-5</v>
      </c>
      <c r="AS57" s="84">
        <f>INDEX(LINEST(1/(AV57:BC57),1/(SQRT(AV56:BC56)),TRUE,TRUE),3,1)</f>
        <v>0.62318823026935166</v>
      </c>
      <c r="AT57" s="84">
        <f>INDEX(LINEST(1/(AV57:BC57),1/SQRT(AV56:BC56)),1)</f>
        <v>-2914.3442727639167</v>
      </c>
      <c r="AU57" s="3"/>
      <c r="AV57" s="11">
        <v>0.5625</v>
      </c>
      <c r="AW57" s="11">
        <v>0.58041680664000006</v>
      </c>
      <c r="AX57" s="11">
        <v>0.54989693988679234</v>
      </c>
      <c r="AY57" s="11">
        <v>0.53100613213513514</v>
      </c>
      <c r="AZ57" s="11">
        <v>0.47659566151162791</v>
      </c>
      <c r="BA57" s="11">
        <v>0.4953404810689655</v>
      </c>
      <c r="BB57" s="11">
        <v>0.456421568625</v>
      </c>
      <c r="BC57" s="11">
        <v>0.44103896100000012</v>
      </c>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5"/>
      <c r="CS57" s="15"/>
      <c r="CT57" s="15"/>
      <c r="CU57" s="15"/>
    </row>
    <row r="58" spans="1:99" ht="12" customHeight="1" x14ac:dyDescent="0.2">
      <c r="A58" s="65">
        <v>43903</v>
      </c>
      <c r="B58" s="15"/>
      <c r="C58" s="15"/>
      <c r="D58" s="59"/>
      <c r="E58" s="75"/>
      <c r="F58" s="59"/>
      <c r="G58" s="59"/>
      <c r="H58" s="59"/>
      <c r="I58" s="59"/>
      <c r="M58" s="59"/>
      <c r="N58" s="60"/>
      <c r="O58" s="59"/>
      <c r="P58" s="59"/>
      <c r="Q58" s="59"/>
      <c r="R58" s="60"/>
      <c r="S58" s="59"/>
      <c r="T58" s="59"/>
      <c r="U58" s="60"/>
      <c r="V58" s="59"/>
      <c r="W58" s="60"/>
      <c r="X58" s="60"/>
      <c r="Y58" s="76"/>
      <c r="Z58" s="59"/>
      <c r="AA58" s="59"/>
      <c r="AB58" s="60"/>
      <c r="AC58" s="56"/>
      <c r="AD58" s="60"/>
      <c r="AE58" s="60"/>
      <c r="AF58" s="80"/>
      <c r="AG58" s="56"/>
      <c r="AH58" s="4"/>
      <c r="AI58" s="56"/>
      <c r="AJ58" s="109"/>
      <c r="AK58" s="56"/>
      <c r="AL58" s="56"/>
      <c r="AM58" s="56"/>
      <c r="AN58" s="56"/>
      <c r="AO58" s="82"/>
      <c r="AP58" s="82"/>
      <c r="AQ58" s="83"/>
      <c r="AR58" s="116"/>
      <c r="AS58" s="84"/>
      <c r="AT58" s="84"/>
      <c r="AU58" s="3"/>
      <c r="AV58" s="47">
        <v>15768000</v>
      </c>
      <c r="AW58" s="47">
        <f t="shared" ref="AW58:BC58" si="5">AV58+15768000</f>
        <v>31536000</v>
      </c>
      <c r="AX58" s="47">
        <f t="shared" si="5"/>
        <v>47304000</v>
      </c>
      <c r="AY58" s="47">
        <f t="shared" si="5"/>
        <v>63072000</v>
      </c>
      <c r="AZ58" s="47">
        <f t="shared" si="5"/>
        <v>78840000</v>
      </c>
      <c r="BA58" s="47">
        <f t="shared" si="5"/>
        <v>94608000</v>
      </c>
      <c r="BB58" s="47">
        <f t="shared" si="5"/>
        <v>110376000</v>
      </c>
      <c r="BC58" s="47">
        <f t="shared" si="5"/>
        <v>126144000</v>
      </c>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5"/>
      <c r="CS58" s="15"/>
      <c r="CT58" s="15"/>
      <c r="CU58" s="15"/>
    </row>
    <row r="59" spans="1:99" ht="12" customHeight="1" x14ac:dyDescent="0.2">
      <c r="A59" s="65">
        <v>43903</v>
      </c>
      <c r="B59" s="15" t="s">
        <v>481</v>
      </c>
      <c r="C59" s="15" t="s">
        <v>262</v>
      </c>
      <c r="D59" s="59">
        <v>2020</v>
      </c>
      <c r="E59" s="75">
        <v>1</v>
      </c>
      <c r="F59" s="59">
        <v>230</v>
      </c>
      <c r="G59" s="59">
        <v>28.8</v>
      </c>
      <c r="H59" s="59" t="s">
        <v>747</v>
      </c>
      <c r="I59" s="59" t="s">
        <v>709</v>
      </c>
      <c r="J59" s="64" t="s">
        <v>483</v>
      </c>
      <c r="K59" s="60">
        <f t="shared" ref="K59" si="6">IF(J59="syllables",1,IF(J59="trigrams",2,IF(J59="strings",3,IF(J59="visual array",4,IF(J59="characters",5,IF(J59="letters",6,IF(J59="free forms",7,IF(J59="odors",8,IF(J59="words",9,IF(J59="pictures",10,IF(J59="object pictures",11,IF(J59="faces",12,IF(J59="names",13,IF(J59="idioms",14,IF(J59="grades",15,IF(J59="syllable-digit pairs",16,IF(J59="trigram-word pairs",17,IF(J59="word-digit pairs",18,IF(J59="English-Swahili pairs",19,IF(J59="spatial position",20,IF(J59="word pairs",21,IF(J59="word triads",22,IF(J59="generated words",23,IF(J59="word definition pairs",24,IF(J59="math problems",25,IF(J59="famous faces",26,IF(J59="famous names",27,IF(J59="famous voices",28,IF(J59="television programs",29,IF(J59="race horses",30,IF(J59="new vocabulary",31,IF(J59="sentences",32,IF(J59="concepts",33,IF(J59="ad slides",34,IF(J59="scenes",35,IF(J59="famous scenes",36,IF(J59="poems",37,IF(J59="walk",38,IF(J59="faces and events",39,IF(J59="events and names",40,IF(J59="flashbulb",41,IF(J59="stories",42,IF(J59="course material",43,IF(J59="autobiographical",44,IF(J59="novels",45,IF(J59="public events",46,"99"))))))))))))))))))))))))))))))))))))))))))))))</f>
        <v>45</v>
      </c>
      <c r="L59" s="60">
        <f t="shared" ref="L59" si="7">IF(J59="syllables",1,IF(J59="trigrams",1,IF(J59="strings",1,IF(J59="visual array",1,IF(J59="characters",1,IF(J59="letters",1,IF(J59="free forms",1,IF(J59="odors",2,IF(J59="words",2,IF(J59="pictures",2,IF(J59="object pictures",2,IF(J59="faces",2,IF(J59="names",2,IF(J59="idioms","2",IF(J59="grades",2,IF(J59="syllable-digit pairs",3,IF(J59="trigram-word pairs",3,IF(J59="word-digit pairs",3,IF(J59="English-Swahili pairs",3,IF(J59="spatial position",3,IF(J59="word pairs",4,IF(J59="word triads",4,IF(J59="generated words",4,IF(J59="word definition pairs",4,IF(J59="math problems",4,IF(J59="famous faces",4,IF(J59="famous names",4,IF(J59="famous voices",4,IF(J59="television programs",4,IF(J59="race horses",4,IF(J59="new vocabulary",4,IF(J59="sentences",5,IF(J59="concepts",5,IF(J59="ad slides",5,IF(J59="scenes",5,IF(J59="famous scenes",5,IF(J59="poems",6,IF(J59="walk",6,IF(J59="faces and events",6,IF(J59="events and names",6,IF(J59="flashbulb",7,IF(J59="stories",7,IF(J59="course material",7,IF(J59="autobiographical",7,IF(J59="novels",7,IF(J59="public events",7,"99"))))))))))))))))))))))))))))))))))))))))))))))</f>
        <v>7</v>
      </c>
      <c r="M59" s="59">
        <v>0</v>
      </c>
      <c r="N59" s="60">
        <v>3</v>
      </c>
      <c r="O59" s="59">
        <v>0</v>
      </c>
      <c r="P59" s="59"/>
      <c r="Q59" s="59" t="s">
        <v>182</v>
      </c>
      <c r="R59" s="60">
        <f t="shared" ref="R59" si="8">IF(Q59="Free Recall",1,IF(Q59="Cued Recall",2,IF(Q59="Recognition",3,IF(Q59="Multiple Choice",4,IF(Q59="Savings",5,IF(Q59="Stem Completion",6,IF(Q59="Fragment Completion",7,IF(Q59="anagram solution",8,IF(Q59="Matching",9,IF(Q59="Problem Solving",10,"99"))))))))))</f>
        <v>4</v>
      </c>
      <c r="S59" s="59" t="s">
        <v>482</v>
      </c>
      <c r="T59" s="59" t="s">
        <v>261</v>
      </c>
      <c r="U59" s="60">
        <f t="shared" ref="U59" si="9">IF(T59="within",1,0)</f>
        <v>0</v>
      </c>
      <c r="V59" s="59">
        <v>12</v>
      </c>
      <c r="W59" s="60">
        <f>F59*V59</f>
        <v>2760</v>
      </c>
      <c r="X59" s="60">
        <v>8</v>
      </c>
      <c r="Y59" s="76">
        <f>AV58</f>
        <v>15768000</v>
      </c>
      <c r="Z59" s="59" t="s">
        <v>484</v>
      </c>
      <c r="AA59" s="60">
        <f>7.5*365*24*60*60</f>
        <v>236520000</v>
      </c>
      <c r="AB59" s="60" t="str">
        <f>IF(AA59&lt;60,"1",IF(AA59&lt;=43200,"2",IF(AA59&lt;=777600,"3","4")))</f>
        <v>4</v>
      </c>
      <c r="AC59" s="56">
        <f>AVERAGE(AV58:DA58)</f>
        <v>70956000</v>
      </c>
      <c r="AD59" s="60" t="str">
        <f>IF(AC59&lt;60,"1",IF(AC59&lt;=43200,"2",IF(AC59&lt;=777600,"3","4")))</f>
        <v>4</v>
      </c>
      <c r="AE59" s="76">
        <f>AA59-Y59</f>
        <v>220752000</v>
      </c>
      <c r="AF59" s="80">
        <f>AV59</f>
        <v>0.64663461524999999</v>
      </c>
      <c r="AG59" s="56">
        <f>((AW59-AV59)+(AX59-AW59)+(AY59-AX59)+(AZ59-AY59)+(BA59-AZ59)+(BB59-BA59)+(BC59-BB59))/7</f>
        <v>-3.6165917412337663E-2</v>
      </c>
      <c r="AH59" s="4"/>
      <c r="AI59" s="56">
        <f>RSQ(AV59:BC59,AV58:BC58)</f>
        <v>0.83002849011194324</v>
      </c>
      <c r="AJ59" s="109">
        <f>SLOPE(AV59:BC59,AV58:BC58)</f>
        <v>-1.89422433040743E-9</v>
      </c>
      <c r="AK59" s="56">
        <f>INTERCEPT(AV59:BC59,AV58:BC58)</f>
        <v>0.61792216386274101</v>
      </c>
      <c r="AL59" s="56">
        <f>INDEX(LINEST(LN(AV59:BC59),LN(AV58:BC58),TRUE,TRUE),3,1)</f>
        <v>0.94965337937174277</v>
      </c>
      <c r="AM59" s="56">
        <f>INDEX(LINEST(LN(AV59:BC59),LN(AV58:BC58)),1)</f>
        <v>-0.21741765996869467</v>
      </c>
      <c r="AN59" s="56">
        <f>EXP(INDEX(LINEST(LN(AV59:BC59),LN(AV58:BC58)),1,2))</f>
        <v>23.423220380769216</v>
      </c>
      <c r="AO59" s="82">
        <f>INDEX(LINEST((AV59:BC59),LN(AV58:BC58),TRUE,TRUE),3,1)</f>
        <v>0.94744056769378016</v>
      </c>
      <c r="AP59" s="82">
        <f>INDEX(LINEST((AV59:BC59),LN(AV58:BC58)),1)</f>
        <v>-0.11112556824087604</v>
      </c>
      <c r="AQ59" s="83">
        <f>INDEX(LINEST(LN(AV59:BC59),SQRT(AV58:BC58),TRUE,TRUE),3,1)</f>
        <v>0.92448674681678134</v>
      </c>
      <c r="AR59" s="116">
        <f>INDEX(LINEST(LN(AV59:BC59),SQRT((AV58:BC58))),1)</f>
        <v>-6.0468666770249532E-5</v>
      </c>
      <c r="AS59" s="84">
        <f>INDEX(LINEST(1/(AV59:BC59),1/(SQRT(AV58:BC58)),TRUE,TRUE),3,1)</f>
        <v>0.90343128502000325</v>
      </c>
      <c r="AT59" s="84">
        <f>INDEX(LINEST(1/(AV59:BC59),1/SQRT(AV58:BC58)),1)</f>
        <v>-5458.5911813880803</v>
      </c>
      <c r="AU59" s="3"/>
      <c r="AV59" s="11">
        <v>0.64663461524999999</v>
      </c>
      <c r="AW59" s="11">
        <v>0.52451282051999992</v>
      </c>
      <c r="AX59" s="11">
        <v>0.52694726658490565</v>
      </c>
      <c r="AY59" s="11">
        <v>0.46517671524324317</v>
      </c>
      <c r="AZ59" s="11">
        <v>0.44102564102325592</v>
      </c>
      <c r="BA59" s="11">
        <v>0.43050397879310343</v>
      </c>
      <c r="BB59" s="11">
        <v>0.43985042741666663</v>
      </c>
      <c r="BC59" s="11">
        <v>0.39347319336363634</v>
      </c>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5"/>
      <c r="CS59" s="15"/>
      <c r="CT59" s="15"/>
      <c r="CU59" s="15"/>
    </row>
    <row r="60" spans="1:99" ht="12" customHeight="1" x14ac:dyDescent="0.2">
      <c r="A60" s="65">
        <v>43903</v>
      </c>
      <c r="B60" s="15"/>
      <c r="C60" s="15"/>
      <c r="D60" s="59"/>
      <c r="E60" s="75"/>
      <c r="F60" s="59"/>
      <c r="G60" s="59"/>
      <c r="H60" s="59"/>
      <c r="I60" s="59"/>
      <c r="M60" s="59"/>
      <c r="N60" s="60"/>
      <c r="O60" s="59"/>
      <c r="P60" s="59"/>
      <c r="Q60" s="59"/>
      <c r="R60" s="60"/>
      <c r="S60" s="59"/>
      <c r="T60" s="59"/>
      <c r="U60" s="60"/>
      <c r="V60" s="59"/>
      <c r="W60" s="60"/>
      <c r="X60" s="60"/>
      <c r="Y60" s="76"/>
      <c r="Z60" s="59"/>
      <c r="AA60" s="59"/>
      <c r="AB60" s="60"/>
      <c r="AC60" s="56"/>
      <c r="AD60" s="60"/>
      <c r="AE60" s="60"/>
      <c r="AF60" s="80"/>
      <c r="AG60" s="56"/>
      <c r="AH60" s="4"/>
      <c r="AI60" s="56"/>
      <c r="AJ60" s="109"/>
      <c r="AK60" s="56"/>
      <c r="AL60" s="56"/>
      <c r="AM60" s="56"/>
      <c r="AN60" s="56"/>
      <c r="AO60" s="82"/>
      <c r="AP60" s="82"/>
      <c r="AQ60" s="83"/>
      <c r="AR60" s="116"/>
      <c r="AS60" s="84"/>
      <c r="AT60" s="84"/>
      <c r="AU60" s="3"/>
      <c r="AV60" s="47">
        <v>15768000</v>
      </c>
      <c r="AW60" s="47">
        <f t="shared" ref="AW60:BC60" si="10">AV60+15768000</f>
        <v>31536000</v>
      </c>
      <c r="AX60" s="47">
        <f t="shared" si="10"/>
        <v>47304000</v>
      </c>
      <c r="AY60" s="47">
        <f t="shared" si="10"/>
        <v>63072000</v>
      </c>
      <c r="AZ60" s="47">
        <f t="shared" si="10"/>
        <v>78840000</v>
      </c>
      <c r="BA60" s="47">
        <f t="shared" si="10"/>
        <v>94608000</v>
      </c>
      <c r="BB60" s="47">
        <f t="shared" si="10"/>
        <v>110376000</v>
      </c>
      <c r="BC60" s="47">
        <f t="shared" si="10"/>
        <v>126144000</v>
      </c>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5"/>
      <c r="CS60" s="15"/>
      <c r="CT60" s="15"/>
      <c r="CU60" s="15"/>
    </row>
    <row r="61" spans="1:99" ht="12" customHeight="1" x14ac:dyDescent="0.2">
      <c r="A61" s="65">
        <v>43903</v>
      </c>
      <c r="B61" s="15" t="s">
        <v>481</v>
      </c>
      <c r="C61" s="15" t="s">
        <v>262</v>
      </c>
      <c r="D61" s="59">
        <v>2020</v>
      </c>
      <c r="E61" s="75">
        <v>1</v>
      </c>
      <c r="F61" s="59">
        <v>230</v>
      </c>
      <c r="G61" s="59">
        <v>28.8</v>
      </c>
      <c r="H61" s="59" t="s">
        <v>747</v>
      </c>
      <c r="I61" s="59" t="s">
        <v>864</v>
      </c>
      <c r="J61" s="64" t="s">
        <v>483</v>
      </c>
      <c r="K61" s="60">
        <f t="shared" ref="K61" si="11">IF(J61="syllables",1,IF(J61="trigrams",2,IF(J61="strings",3,IF(J61="visual array",4,IF(J61="characters",5,IF(J61="letters",6,IF(J61="free forms",7,IF(J61="odors",8,IF(J61="words",9,IF(J61="pictures",10,IF(J61="object pictures",11,IF(J61="faces",12,IF(J61="names",13,IF(J61="idioms",14,IF(J61="grades",15,IF(J61="syllable-digit pairs",16,IF(J61="trigram-word pairs",17,IF(J61="word-digit pairs",18,IF(J61="English-Swahili pairs",19,IF(J61="spatial position",20,IF(J61="word pairs",21,IF(J61="word triads",22,IF(J61="generated words",23,IF(J61="word definition pairs",24,IF(J61="math problems",25,IF(J61="famous faces",26,IF(J61="famous names",27,IF(J61="famous voices",28,IF(J61="television programs",29,IF(J61="race horses",30,IF(J61="new vocabulary",31,IF(J61="sentences",32,IF(J61="concepts",33,IF(J61="ad slides",34,IF(J61="scenes",35,IF(J61="famous scenes",36,IF(J61="poems",37,IF(J61="walk",38,IF(J61="faces and events",39,IF(J61="events and names",40,IF(J61="flashbulb",41,IF(J61="stories",42,IF(J61="course material",43,IF(J61="autobiographical",44,IF(J61="novels",45,IF(J61="public events",46,"99"))))))))))))))))))))))))))))))))))))))))))))))</f>
        <v>45</v>
      </c>
      <c r="L61" s="60">
        <f t="shared" ref="L61" si="12">IF(J61="syllables",1,IF(J61="trigrams",1,IF(J61="strings",1,IF(J61="visual array",1,IF(J61="characters",1,IF(J61="letters",1,IF(J61="free forms",1,IF(J61="odors",2,IF(J61="words",2,IF(J61="pictures",2,IF(J61="object pictures",2,IF(J61="faces",2,IF(J61="names",2,IF(J61="idioms","2",IF(J61="grades",2,IF(J61="syllable-digit pairs",3,IF(J61="trigram-word pairs",3,IF(J61="word-digit pairs",3,IF(J61="English-Swahili pairs",3,IF(J61="spatial position",3,IF(J61="word pairs",4,IF(J61="word triads",4,IF(J61="generated words",4,IF(J61="word definition pairs",4,IF(J61="math problems",4,IF(J61="famous faces",4,IF(J61="famous names",4,IF(J61="famous voices",4,IF(J61="television programs",4,IF(J61="race horses",4,IF(J61="new vocabulary",4,IF(J61="sentences",5,IF(J61="concepts",5,IF(J61="ad slides",5,IF(J61="scenes",5,IF(J61="famous scenes",5,IF(J61="poems",6,IF(J61="walk",6,IF(J61="faces and events",6,IF(J61="events and names",6,IF(J61="flashbulb",7,IF(J61="stories",7,IF(J61="course material",7,IF(J61="autobiographical",7,IF(J61="novels",7,IF(J61="public events",7,"99"))))))))))))))))))))))))))))))))))))))))))))))</f>
        <v>7</v>
      </c>
      <c r="M61" s="59">
        <v>0</v>
      </c>
      <c r="N61" s="60">
        <v>3</v>
      </c>
      <c r="O61" s="59">
        <v>0</v>
      </c>
      <c r="P61" s="59"/>
      <c r="Q61" s="59" t="s">
        <v>182</v>
      </c>
      <c r="R61" s="60">
        <f t="shared" ref="R61" si="13">IF(Q61="Free Recall",1,IF(Q61="Cued Recall",2,IF(Q61="Recognition",3,IF(Q61="Multiple Choice",4,IF(Q61="Savings",5,IF(Q61="Stem Completion",6,IF(Q61="Fragment Completion",7,IF(Q61="anagram solution",8,IF(Q61="Matching",9,IF(Q61="Problem Solving",10,"99"))))))))))</f>
        <v>4</v>
      </c>
      <c r="S61" s="59" t="s">
        <v>482</v>
      </c>
      <c r="T61" s="59" t="s">
        <v>261</v>
      </c>
      <c r="U61" s="60">
        <f t="shared" ref="U61" si="14">IF(T61="within",1,0)</f>
        <v>0</v>
      </c>
      <c r="V61" s="59">
        <v>12</v>
      </c>
      <c r="W61" s="60">
        <f>F61*V61</f>
        <v>2760</v>
      </c>
      <c r="X61" s="60">
        <v>8</v>
      </c>
      <c r="Y61" s="76">
        <f>AV60</f>
        <v>15768000</v>
      </c>
      <c r="Z61" s="59" t="s">
        <v>484</v>
      </c>
      <c r="AA61" s="60">
        <f>7.5*365*24*60*60</f>
        <v>236520000</v>
      </c>
      <c r="AB61" s="60" t="str">
        <f>IF(AA61&lt;60,"1",IF(AA61&lt;=43200,"2",IF(AA61&lt;=777600,"3","4")))</f>
        <v>4</v>
      </c>
      <c r="AC61" s="56">
        <f>AVERAGE(AV60:DA60)</f>
        <v>70956000</v>
      </c>
      <c r="AD61" s="60" t="str">
        <f>IF(AC61&lt;60,"1",IF(AC61&lt;=43200,"2",IF(AC61&lt;=777600,"3","4")))</f>
        <v>4</v>
      </c>
      <c r="AE61" s="76">
        <f>AA61-Y61</f>
        <v>220752000</v>
      </c>
      <c r="AF61" s="80">
        <f>AV61</f>
        <v>0.68750000025000002</v>
      </c>
      <c r="AG61" s="56">
        <f>((AW61-AV61)+(AX61-AW61)+(AY61-AX61)+(AZ61-AY61)+(BA61-AZ61)+(BB61-BA61)+(BC61-BB61))/7</f>
        <v>-2.7497721620129867E-2</v>
      </c>
      <c r="AH61" s="4"/>
      <c r="AI61" s="56">
        <f>RSQ(AV61:BC61,AV60:BC60)</f>
        <v>0.80547480444593145</v>
      </c>
      <c r="AJ61" s="109">
        <f>SLOPE(AV61:BC61,AV60:BC60)</f>
        <v>-1.5914279440176091E-9</v>
      </c>
      <c r="AK61" s="56">
        <f>INTERCEPT(AV61:BC61,AV60:BC60)</f>
        <v>0.69466482070690316</v>
      </c>
      <c r="AL61" s="56">
        <f>INDEX(LINEST(LN(AV61:BC61),LN(AV60:BC60),TRUE,TRUE),3,1)</f>
        <v>0.85253904311675921</v>
      </c>
      <c r="AM61" s="56">
        <f>INDEX(LINEST(LN(AV61:BC61),LN(AV60:BC60)),1)</f>
        <v>-0.15112086460236174</v>
      </c>
      <c r="AN61" s="56">
        <f>EXP(INDEX(LINEST(LN(AV61:BC61),LN(AV60:BC60)),1,2))</f>
        <v>8.6478706921455295</v>
      </c>
      <c r="AO61" s="82">
        <f>INDEX(LINEST((AV61:BC61),LN(AV60:BC60),TRUE,TRUE),3,1)</f>
        <v>0.86484960375888653</v>
      </c>
      <c r="AP61" s="82">
        <f>INDEX(LINEST((AV61:BC61),LN(AV60:BC60)),1)</f>
        <v>-9.0549152648145004E-2</v>
      </c>
      <c r="AQ61" s="83">
        <f>INDEX(LINEST(LN(AV61:BC61),SQRT(AV60:BC60),TRUE,TRUE),3,1)</f>
        <v>0.85025449840224887</v>
      </c>
      <c r="AR61" s="116">
        <f>INDEX(LINEST(LN(AV61:BC61),SQRT((AV60:BC60))),1)</f>
        <v>-4.2541181798394445E-5</v>
      </c>
      <c r="AS61" s="84">
        <f>INDEX(LINEST(1/(AV61:BC61),1/(SQRT(AV60:BC60)),TRUE,TRUE),3,1)</f>
        <v>0.78603390551837471</v>
      </c>
      <c r="AT61" s="84">
        <f>INDEX(LINEST(1/(AV61:BC61),1/SQRT(AV60:BC60)),1)</f>
        <v>-3170.963394000205</v>
      </c>
      <c r="AU61" s="3"/>
      <c r="AV61" s="11">
        <v>0.68750000025000002</v>
      </c>
      <c r="AW61" s="11">
        <v>0.67526315784000024</v>
      </c>
      <c r="AX61" s="11">
        <v>0.6042287321320754</v>
      </c>
      <c r="AY61" s="11">
        <v>0.53390232329729737</v>
      </c>
      <c r="AZ61" s="11">
        <v>0.55806303551162806</v>
      </c>
      <c r="BA61" s="11">
        <v>0.54775408348275856</v>
      </c>
      <c r="BB61" s="11">
        <v>0.55222039466666661</v>
      </c>
      <c r="BC61" s="11">
        <v>0.49501594890909095</v>
      </c>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5"/>
      <c r="CS61" s="15"/>
      <c r="CT61" s="15"/>
      <c r="CU61" s="15"/>
    </row>
    <row r="62" spans="1:99" ht="12" customHeight="1" x14ac:dyDescent="0.2">
      <c r="A62" s="65">
        <v>43903</v>
      </c>
      <c r="B62" s="15"/>
      <c r="C62" s="15"/>
      <c r="D62" s="59"/>
      <c r="E62" s="75"/>
      <c r="F62" s="59"/>
      <c r="G62" s="59"/>
      <c r="H62" s="59"/>
      <c r="I62" s="59"/>
      <c r="M62" s="59"/>
      <c r="N62" s="60"/>
      <c r="O62" s="59"/>
      <c r="P62" s="59"/>
      <c r="Q62" s="59"/>
      <c r="R62" s="60"/>
      <c r="S62" s="59"/>
      <c r="T62" s="59"/>
      <c r="U62" s="60"/>
      <c r="V62" s="59"/>
      <c r="W62" s="60"/>
      <c r="X62" s="60"/>
      <c r="Y62" s="76"/>
      <c r="Z62" s="59"/>
      <c r="AA62" s="59"/>
      <c r="AB62" s="60"/>
      <c r="AC62" s="56"/>
      <c r="AD62" s="60"/>
      <c r="AE62" s="60"/>
      <c r="AF62" s="80"/>
      <c r="AG62" s="56"/>
      <c r="AH62" s="4"/>
      <c r="AI62" s="56"/>
      <c r="AJ62" s="109"/>
      <c r="AK62" s="56"/>
      <c r="AL62" s="56"/>
      <c r="AM62" s="56"/>
      <c r="AN62" s="56"/>
      <c r="AO62" s="82"/>
      <c r="AP62" s="82"/>
      <c r="AQ62" s="83"/>
      <c r="AR62" s="116"/>
      <c r="AS62" s="84"/>
      <c r="AT62" s="84"/>
      <c r="AU62" s="3"/>
      <c r="AV62" s="47">
        <v>15768000</v>
      </c>
      <c r="AW62" s="47">
        <f t="shared" ref="AW62:BC62" si="15">AV62+15768000</f>
        <v>31536000</v>
      </c>
      <c r="AX62" s="47">
        <f t="shared" si="15"/>
        <v>47304000</v>
      </c>
      <c r="AY62" s="47">
        <f t="shared" si="15"/>
        <v>63072000</v>
      </c>
      <c r="AZ62" s="47">
        <f t="shared" si="15"/>
        <v>78840000</v>
      </c>
      <c r="BA62" s="47">
        <f t="shared" si="15"/>
        <v>94608000</v>
      </c>
      <c r="BB62" s="47">
        <f t="shared" si="15"/>
        <v>110376000</v>
      </c>
      <c r="BC62" s="47">
        <f t="shared" si="15"/>
        <v>126144000</v>
      </c>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5"/>
      <c r="CS62" s="15"/>
      <c r="CT62" s="15"/>
      <c r="CU62" s="15"/>
    </row>
    <row r="63" spans="1:99" ht="12" customHeight="1" x14ac:dyDescent="0.2">
      <c r="A63" s="65">
        <v>43903</v>
      </c>
      <c r="B63" s="15" t="s">
        <v>481</v>
      </c>
      <c r="C63" s="15" t="s">
        <v>262</v>
      </c>
      <c r="D63" s="59">
        <v>2020</v>
      </c>
      <c r="E63" s="75">
        <v>1</v>
      </c>
      <c r="F63" s="59">
        <v>230</v>
      </c>
      <c r="G63" s="59">
        <v>28.8</v>
      </c>
      <c r="H63" s="59" t="s">
        <v>747</v>
      </c>
      <c r="I63" s="59" t="s">
        <v>719</v>
      </c>
      <c r="J63" s="64" t="s">
        <v>483</v>
      </c>
      <c r="K63" s="60">
        <f t="shared" ref="K63" si="16">IF(J63="syllables",1,IF(J63="trigrams",2,IF(J63="strings",3,IF(J63="visual array",4,IF(J63="characters",5,IF(J63="letters",6,IF(J63="free forms",7,IF(J63="odors",8,IF(J63="words",9,IF(J63="pictures",10,IF(J63="object pictures",11,IF(J63="faces",12,IF(J63="names",13,IF(J63="idioms",14,IF(J63="grades",15,IF(J63="syllable-digit pairs",16,IF(J63="trigram-word pairs",17,IF(J63="word-digit pairs",18,IF(J63="English-Swahili pairs",19,IF(J63="spatial position",20,IF(J63="word pairs",21,IF(J63="word triads",22,IF(J63="generated words",23,IF(J63="word definition pairs",24,IF(J63="math problems",25,IF(J63="famous faces",26,IF(J63="famous names",27,IF(J63="famous voices",28,IF(J63="television programs",29,IF(J63="race horses",30,IF(J63="new vocabulary",31,IF(J63="sentences",32,IF(J63="concepts",33,IF(J63="ad slides",34,IF(J63="scenes",35,IF(J63="famous scenes",36,IF(J63="poems",37,IF(J63="walk",38,IF(J63="faces and events",39,IF(J63="events and names",40,IF(J63="flashbulb",41,IF(J63="stories",42,IF(J63="course material",43,IF(J63="autobiographical",44,IF(J63="novels",45,IF(J63="public events",46,"99"))))))))))))))))))))))))))))))))))))))))))))))</f>
        <v>45</v>
      </c>
      <c r="L63" s="60">
        <f t="shared" ref="L63" si="17">IF(J63="syllables",1,IF(J63="trigrams",1,IF(J63="strings",1,IF(J63="visual array",1,IF(J63="characters",1,IF(J63="letters",1,IF(J63="free forms",1,IF(J63="odors",2,IF(J63="words",2,IF(J63="pictures",2,IF(J63="object pictures",2,IF(J63="faces",2,IF(J63="names",2,IF(J63="idioms","2",IF(J63="grades",2,IF(J63="syllable-digit pairs",3,IF(J63="trigram-word pairs",3,IF(J63="word-digit pairs",3,IF(J63="English-Swahili pairs",3,IF(J63="spatial position",3,IF(J63="word pairs",4,IF(J63="word triads",4,IF(J63="generated words",4,IF(J63="word definition pairs",4,IF(J63="math problems",4,IF(J63="famous faces",4,IF(J63="famous names",4,IF(J63="famous voices",4,IF(J63="television programs",4,IF(J63="race horses",4,IF(J63="new vocabulary",4,IF(J63="sentences",5,IF(J63="concepts",5,IF(J63="ad slides",5,IF(J63="scenes",5,IF(J63="famous scenes",5,IF(J63="poems",6,IF(J63="walk",6,IF(J63="faces and events",6,IF(J63="events and names",6,IF(J63="flashbulb",7,IF(J63="stories",7,IF(J63="course material",7,IF(J63="autobiographical",7,IF(J63="novels",7,IF(J63="public events",7,"99"))))))))))))))))))))))))))))))))))))))))))))))</f>
        <v>7</v>
      </c>
      <c r="M63" s="59">
        <v>0</v>
      </c>
      <c r="N63" s="60">
        <v>3</v>
      </c>
      <c r="O63" s="59">
        <v>0</v>
      </c>
      <c r="P63" s="59"/>
      <c r="Q63" s="59" t="s">
        <v>182</v>
      </c>
      <c r="R63" s="60">
        <f t="shared" ref="R63" si="18">IF(Q63="Free Recall",1,IF(Q63="Cued Recall",2,IF(Q63="Recognition",3,IF(Q63="Multiple Choice",4,IF(Q63="Savings",5,IF(Q63="Stem Completion",6,IF(Q63="Fragment Completion",7,IF(Q63="anagram solution",8,IF(Q63="Matching",9,IF(Q63="Problem Solving",10,"99"))))))))))</f>
        <v>4</v>
      </c>
      <c r="S63" s="59" t="s">
        <v>482</v>
      </c>
      <c r="T63" s="59" t="s">
        <v>261</v>
      </c>
      <c r="U63" s="60">
        <f t="shared" ref="U63" si="19">IF(T63="within",1,0)</f>
        <v>0</v>
      </c>
      <c r="V63" s="59">
        <v>12</v>
      </c>
      <c r="W63" s="60">
        <f>F63*V63</f>
        <v>2760</v>
      </c>
      <c r="X63" s="60">
        <v>8</v>
      </c>
      <c r="Y63" s="76">
        <f>AV62</f>
        <v>15768000</v>
      </c>
      <c r="Z63" s="59" t="s">
        <v>484</v>
      </c>
      <c r="AA63" s="60">
        <f>7.5*365*24*60*60</f>
        <v>236520000</v>
      </c>
      <c r="AB63" s="60" t="str">
        <f>IF(AA63&lt;60,"1",IF(AA63&lt;=43200,"2",IF(AA63&lt;=777600,"3","4")))</f>
        <v>4</v>
      </c>
      <c r="AC63" s="56">
        <f>AVERAGE(AV62:DA62)</f>
        <v>70956000</v>
      </c>
      <c r="AD63" s="60" t="str">
        <f>IF(AC63&lt;60,"1",IF(AC63&lt;=43200,"2",IF(AC63&lt;=777600,"3","4")))</f>
        <v>4</v>
      </c>
      <c r="AE63" s="76">
        <f>AA63-Y63</f>
        <v>220752000</v>
      </c>
      <c r="AF63" s="80">
        <f>AV63</f>
        <v>0.6015625</v>
      </c>
      <c r="AG63" s="56">
        <f>((AW63-AV63)+(AX63-AW63)+(AY63-AX63)+(AZ63-AY63)+(BA63-AZ63)+(BB63-BA63)+(BC63-BB63))/7</f>
        <v>-2.8486022896103889E-2</v>
      </c>
      <c r="AH63" s="4"/>
      <c r="AI63" s="56">
        <f>RSQ(AV63:BC63,AV62:BC62)</f>
        <v>0.60253659064521203</v>
      </c>
      <c r="AJ63" s="109">
        <f>SLOPE(AV63:BC63,AV62:BC62)</f>
        <v>-1.5449780861855331E-9</v>
      </c>
      <c r="AK63" s="56">
        <f>INTERCEPT(AV63:BC63,AV62:BC62)</f>
        <v>0.54348654606854818</v>
      </c>
      <c r="AL63" s="56">
        <f>INDEX(LINEST(LN(AV63:BC63),LN(AV62:BC62),TRUE,TRUE),3,1)</f>
        <v>0.84151935390177801</v>
      </c>
      <c r="AM63" s="56">
        <f>INDEX(LINEST(LN(AV63:BC63),LN(AV62:BC62)),1)</f>
        <v>-0.21018429189648599</v>
      </c>
      <c r="AN63" s="56">
        <f>EXP(INDEX(LINEST(LN(AV63:BC63),LN(AV62:BC62)),1,2))</f>
        <v>18.448358164308612</v>
      </c>
      <c r="AO63" s="82">
        <f>INDEX(LINEST((AV63:BC63),LN(AV62:BC62),TRUE,TRUE),3,1)</f>
        <v>0.83740034803917929</v>
      </c>
      <c r="AP63" s="82">
        <f>INDEX(LINEST((AV63:BC63),LN(AV62:BC62)),1)</f>
        <v>-0.1000115769377309</v>
      </c>
      <c r="AQ63" s="83">
        <f>INDEX(LINEST(LN(AV63:BC63),SQRT(AV62:BC62),TRUE,TRUE),3,1)</f>
        <v>0.73775472093281991</v>
      </c>
      <c r="AR63" s="116">
        <f>INDEX(LINEST(LN(AV63:BC63),SQRT((AV62:BC62))),1)</f>
        <v>-5.5474320401217755E-5</v>
      </c>
      <c r="AS63" s="84">
        <f>INDEX(LINEST(1/(AV63:BC63),1/(SQRT(AV62:BC62)),TRUE,TRUE),3,1)</f>
        <v>0.88891316076645965</v>
      </c>
      <c r="AT63" s="84">
        <f>INDEX(LINEST(1/(AV63:BC63),1/SQRT(AV62:BC62)),1)</f>
        <v>-5962.2904377180612</v>
      </c>
      <c r="AU63" s="3"/>
      <c r="AV63" s="11">
        <v>0.6015625</v>
      </c>
      <c r="AW63" s="11">
        <v>0.48881868139999995</v>
      </c>
      <c r="AX63" s="11">
        <v>0.41492587611320758</v>
      </c>
      <c r="AY63" s="11">
        <v>0.40911790927027025</v>
      </c>
      <c r="AZ63" s="11">
        <v>0.37579862011627913</v>
      </c>
      <c r="BA63" s="11">
        <v>0.41043008737931036</v>
      </c>
      <c r="BB63" s="11">
        <v>0.36807463387500006</v>
      </c>
      <c r="BC63" s="11">
        <v>0.40216033972727278</v>
      </c>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5"/>
      <c r="CS63" s="15"/>
      <c r="CT63" s="15"/>
      <c r="CU63" s="15"/>
    </row>
    <row r="64" spans="1:99" ht="12" customHeight="1" x14ac:dyDescent="0.2">
      <c r="A64" s="65">
        <v>43903</v>
      </c>
      <c r="B64" s="15"/>
      <c r="C64" s="15"/>
      <c r="D64" s="59"/>
      <c r="E64" s="75"/>
      <c r="F64" s="59"/>
      <c r="G64" s="59"/>
      <c r="H64" s="59"/>
      <c r="I64" s="59"/>
      <c r="M64" s="59"/>
      <c r="N64" s="60"/>
      <c r="O64" s="59"/>
      <c r="P64" s="59"/>
      <c r="Q64" s="59"/>
      <c r="R64" s="60"/>
      <c r="S64" s="59"/>
      <c r="T64" s="59"/>
      <c r="U64" s="60"/>
      <c r="V64" s="59"/>
      <c r="W64" s="60"/>
      <c r="X64" s="60"/>
      <c r="Y64" s="76"/>
      <c r="Z64" s="59"/>
      <c r="AA64" s="59"/>
      <c r="AB64" s="60"/>
      <c r="AC64" s="56"/>
      <c r="AD64" s="60"/>
      <c r="AE64" s="60"/>
      <c r="AF64" s="80"/>
      <c r="AG64" s="56"/>
      <c r="AH64" s="4"/>
      <c r="AI64" s="56"/>
      <c r="AJ64" s="109"/>
      <c r="AK64" s="56"/>
      <c r="AL64" s="56"/>
      <c r="AM64" s="56"/>
      <c r="AN64" s="56"/>
      <c r="AO64" s="82"/>
      <c r="AP64" s="82"/>
      <c r="AQ64" s="83"/>
      <c r="AR64" s="116"/>
      <c r="AS64" s="84"/>
      <c r="AT64" s="84"/>
      <c r="AU64" s="3"/>
      <c r="AV64" s="47">
        <v>15768000</v>
      </c>
      <c r="AW64" s="47">
        <f t="shared" ref="AW64:BC64" si="20">AV64+15768000</f>
        <v>31536000</v>
      </c>
      <c r="AX64" s="47">
        <f t="shared" si="20"/>
        <v>47304000</v>
      </c>
      <c r="AY64" s="47">
        <f t="shared" si="20"/>
        <v>63072000</v>
      </c>
      <c r="AZ64" s="47">
        <f t="shared" si="20"/>
        <v>78840000</v>
      </c>
      <c r="BA64" s="47">
        <f t="shared" si="20"/>
        <v>94608000</v>
      </c>
      <c r="BB64" s="47">
        <f t="shared" si="20"/>
        <v>110376000</v>
      </c>
      <c r="BC64" s="47">
        <f t="shared" si="20"/>
        <v>126144000</v>
      </c>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5"/>
      <c r="CS64" s="15"/>
      <c r="CT64" s="15"/>
      <c r="CU64" s="15"/>
    </row>
    <row r="65" spans="1:99" ht="12" customHeight="1" x14ac:dyDescent="0.2">
      <c r="A65" s="65">
        <v>43903</v>
      </c>
      <c r="B65" s="15" t="s">
        <v>481</v>
      </c>
      <c r="C65" s="15" t="s">
        <v>262</v>
      </c>
      <c r="D65" s="59">
        <v>2020</v>
      </c>
      <c r="E65" s="75">
        <v>1</v>
      </c>
      <c r="F65" s="59">
        <v>230</v>
      </c>
      <c r="G65" s="59">
        <v>28.8</v>
      </c>
      <c r="H65" s="59" t="s">
        <v>747</v>
      </c>
      <c r="I65" s="59" t="s">
        <v>921</v>
      </c>
      <c r="J65" s="64" t="s">
        <v>483</v>
      </c>
      <c r="K65" s="60">
        <f t="shared" ref="K65" si="21">IF(J65="syllables",1,IF(J65="trigrams",2,IF(J65="strings",3,IF(J65="visual array",4,IF(J65="characters",5,IF(J65="letters",6,IF(J65="free forms",7,IF(J65="odors",8,IF(J65="words",9,IF(J65="pictures",10,IF(J65="object pictures",11,IF(J65="faces",12,IF(J65="names",13,IF(J65="idioms",14,IF(J65="grades",15,IF(J65="syllable-digit pairs",16,IF(J65="trigram-word pairs",17,IF(J65="word-digit pairs",18,IF(J65="English-Swahili pairs",19,IF(J65="spatial position",20,IF(J65="word pairs",21,IF(J65="word triads",22,IF(J65="generated words",23,IF(J65="word definition pairs",24,IF(J65="math problems",25,IF(J65="famous faces",26,IF(J65="famous names",27,IF(J65="famous voices",28,IF(J65="television programs",29,IF(J65="race horses",30,IF(J65="new vocabulary",31,IF(J65="sentences",32,IF(J65="concepts",33,IF(J65="ad slides",34,IF(J65="scenes",35,IF(J65="famous scenes",36,IF(J65="poems",37,IF(J65="walk",38,IF(J65="faces and events",39,IF(J65="events and names",40,IF(J65="flashbulb",41,IF(J65="stories",42,IF(J65="course material",43,IF(J65="autobiographical",44,IF(J65="novels",45,IF(J65="public events",46,"99"))))))))))))))))))))))))))))))))))))))))))))))</f>
        <v>45</v>
      </c>
      <c r="L65" s="60">
        <f t="shared" ref="L65" si="22">IF(J65="syllables",1,IF(J65="trigrams",1,IF(J65="strings",1,IF(J65="visual array",1,IF(J65="characters",1,IF(J65="letters",1,IF(J65="free forms",1,IF(J65="odors",2,IF(J65="words",2,IF(J65="pictures",2,IF(J65="object pictures",2,IF(J65="faces",2,IF(J65="names",2,IF(J65="idioms","2",IF(J65="grades",2,IF(J65="syllable-digit pairs",3,IF(J65="trigram-word pairs",3,IF(J65="word-digit pairs",3,IF(J65="English-Swahili pairs",3,IF(J65="spatial position",3,IF(J65="word pairs",4,IF(J65="word triads",4,IF(J65="generated words",4,IF(J65="word definition pairs",4,IF(J65="math problems",4,IF(J65="famous faces",4,IF(J65="famous names",4,IF(J65="famous voices",4,IF(J65="television programs",4,IF(J65="race horses",4,IF(J65="new vocabulary",4,IF(J65="sentences",5,IF(J65="concepts",5,IF(J65="ad slides",5,IF(J65="scenes",5,IF(J65="famous scenes",5,IF(J65="poems",6,IF(J65="walk",6,IF(J65="faces and events",6,IF(J65="events and names",6,IF(J65="flashbulb",7,IF(J65="stories",7,IF(J65="course material",7,IF(J65="autobiographical",7,IF(J65="novels",7,IF(J65="public events",7,"99"))))))))))))))))))))))))))))))))))))))))))))))</f>
        <v>7</v>
      </c>
      <c r="M65" s="59">
        <v>0</v>
      </c>
      <c r="N65" s="60">
        <v>3</v>
      </c>
      <c r="O65" s="59">
        <v>0</v>
      </c>
      <c r="P65" s="59"/>
      <c r="Q65" s="59" t="s">
        <v>182</v>
      </c>
      <c r="R65" s="60">
        <f t="shared" ref="R65" si="23">IF(Q65="Free Recall",1,IF(Q65="Cued Recall",2,IF(Q65="Recognition",3,IF(Q65="Multiple Choice",4,IF(Q65="Savings",5,IF(Q65="Stem Completion",6,IF(Q65="Fragment Completion",7,IF(Q65="anagram solution",8,IF(Q65="Matching",9,IF(Q65="Problem Solving",10,"99"))))))))))</f>
        <v>4</v>
      </c>
      <c r="S65" s="59" t="s">
        <v>482</v>
      </c>
      <c r="T65" s="59" t="s">
        <v>261</v>
      </c>
      <c r="U65" s="60">
        <f t="shared" ref="U65" si="24">IF(T65="within",1,0)</f>
        <v>0</v>
      </c>
      <c r="V65" s="59">
        <v>12</v>
      </c>
      <c r="W65" s="60">
        <f>F65*V65</f>
        <v>2760</v>
      </c>
      <c r="X65" s="60">
        <v>8</v>
      </c>
      <c r="Y65" s="76">
        <f>AV64</f>
        <v>15768000</v>
      </c>
      <c r="Z65" s="59" t="s">
        <v>484</v>
      </c>
      <c r="AA65" s="60">
        <f>7.5*365*24*60*60</f>
        <v>236520000</v>
      </c>
      <c r="AB65" s="60" t="str">
        <f>IF(AA65&lt;60,"1",IF(AA65&lt;=43200,"2",IF(AA65&lt;=777600,"3","4")))</f>
        <v>4</v>
      </c>
      <c r="AC65" s="56">
        <f>AVERAGE(AV64:DA64)</f>
        <v>70956000</v>
      </c>
      <c r="AD65" s="60" t="str">
        <f>IF(AC65&lt;60,"1",IF(AC65&lt;=43200,"2",IF(AC65&lt;=777600,"3","4")))</f>
        <v>4</v>
      </c>
      <c r="AE65" s="76">
        <f>AA65-Y65</f>
        <v>220752000</v>
      </c>
      <c r="AF65" s="80">
        <f>AV65</f>
        <v>0.34855769237500001</v>
      </c>
      <c r="AG65" s="56">
        <f>((AW65-AV65)+(AX65-AW65)+(AY65-AX65)+(AZ65-AY65)+(BA65-AZ65)+(BB65-BA65)+(BC65-BB65))/7</f>
        <v>-1.0000416274350641E-2</v>
      </c>
      <c r="AH65" s="4"/>
      <c r="AI65" s="56">
        <f>RSQ(AV65:BC65,AV64:BC64)</f>
        <v>0.48094919062519187</v>
      </c>
      <c r="AJ65" s="109">
        <f>SLOPE(AV65:BC65,AV64:BC64)</f>
        <v>-9.0487614569265724E-10</v>
      </c>
      <c r="AK65" s="56">
        <f>INTERCEPT(AV65:BC65,AV64:BC64)</f>
        <v>0.40797815210325844</v>
      </c>
      <c r="AL65" s="56">
        <f>INDEX(LINEST(LN(AV65:BC65),LN(AV64:BC64),TRUE,TRUE),3,1)</f>
        <v>0.34494861473606819</v>
      </c>
      <c r="AM65" s="56">
        <f>INDEX(LINEST(LN(AV65:BC65),LN(AV64:BC64)),1)</f>
        <v>-0.12162549739752275</v>
      </c>
      <c r="AN65" s="56">
        <f>EXP(INDEX(LINEST(LN(AV65:BC65),LN(AV64:BC64)),1,2))</f>
        <v>3.0038487053197565</v>
      </c>
      <c r="AO65" s="82">
        <f>INDEX(LINEST((AV65:BC65),LN(AV64:BC64),TRUE,TRUE),3,1)</f>
        <v>0.33285443558040656</v>
      </c>
      <c r="AP65" s="82">
        <f>INDEX(LINEST((AV65:BC65),LN(AV64:BC64)),1)</f>
        <v>-4.1335177830104299E-2</v>
      </c>
      <c r="AQ65" s="83">
        <f>INDEX(LINEST(LN(AV65:BC65),SQRT(AV64:BC64),TRUE,TRUE),3,1)</f>
        <v>0.43398912396035083</v>
      </c>
      <c r="AR65" s="116">
        <f>INDEX(LINEST(LN(AV65:BC65),SQRT((AV64:BC64))),1)</f>
        <v>-3.8455161536802804E-5</v>
      </c>
      <c r="AS65" s="84">
        <f>INDEX(LINEST(1/(AV65:BC65),1/(SQRT(AV64:BC64)),TRUE,TRUE),3,1)</f>
        <v>0.25664073449106151</v>
      </c>
      <c r="AT65" s="84">
        <f>INDEX(LINEST(1/(AV65:BC65),1/SQRT(AV64:BC64)),1)</f>
        <v>-3973.9443175244664</v>
      </c>
      <c r="AU65" s="3"/>
      <c r="AV65" s="11">
        <v>0.34855769237500001</v>
      </c>
      <c r="AW65" s="11">
        <v>0.43205128211999999</v>
      </c>
      <c r="AX65" s="11">
        <v>0.37893081771698106</v>
      </c>
      <c r="AY65" s="11">
        <v>0.30405405408108116</v>
      </c>
      <c r="AZ65" s="11">
        <v>0.35927251048837205</v>
      </c>
      <c r="BA65" s="11">
        <v>0.35521662244827584</v>
      </c>
      <c r="BB65" s="11">
        <v>0.29353632479166664</v>
      </c>
      <c r="BC65" s="11">
        <v>0.27855477845454552</v>
      </c>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5"/>
      <c r="CS65" s="15"/>
      <c r="CT65" s="15"/>
      <c r="CU65" s="15"/>
    </row>
    <row r="66" spans="1:99" ht="12" customHeight="1" x14ac:dyDescent="0.2">
      <c r="A66" s="65">
        <v>43903</v>
      </c>
      <c r="B66" s="15"/>
      <c r="C66" s="15"/>
      <c r="D66" s="59"/>
      <c r="E66" s="75"/>
      <c r="F66" s="59"/>
      <c r="G66" s="59"/>
      <c r="H66" s="59"/>
      <c r="I66" s="59"/>
      <c r="M66" s="59"/>
      <c r="N66" s="60"/>
      <c r="O66" s="59"/>
      <c r="P66" s="59"/>
      <c r="Q66" s="59"/>
      <c r="R66" s="60"/>
      <c r="S66" s="59"/>
      <c r="T66" s="59"/>
      <c r="U66" s="60"/>
      <c r="V66" s="59"/>
      <c r="W66" s="60"/>
      <c r="X66" s="60"/>
      <c r="Y66" s="76"/>
      <c r="Z66" s="59"/>
      <c r="AA66" s="59"/>
      <c r="AB66" s="60"/>
      <c r="AC66" s="56"/>
      <c r="AD66" s="60"/>
      <c r="AE66" s="60"/>
      <c r="AF66" s="80"/>
      <c r="AG66" s="56"/>
      <c r="AH66" s="4"/>
      <c r="AI66" s="56"/>
      <c r="AJ66" s="109"/>
      <c r="AK66" s="56"/>
      <c r="AL66" s="56"/>
      <c r="AM66" s="56"/>
      <c r="AN66" s="56"/>
      <c r="AO66" s="82"/>
      <c r="AP66" s="82"/>
      <c r="AQ66" s="83"/>
      <c r="AR66" s="116"/>
      <c r="AS66" s="84"/>
      <c r="AT66" s="84"/>
      <c r="AU66" s="3"/>
      <c r="AV66" s="47">
        <v>15768000</v>
      </c>
      <c r="AW66" s="47">
        <f t="shared" ref="AW66:BC66" si="25">AV66+15768000</f>
        <v>31536000</v>
      </c>
      <c r="AX66" s="47">
        <f t="shared" si="25"/>
        <v>47304000</v>
      </c>
      <c r="AY66" s="47">
        <f t="shared" si="25"/>
        <v>63072000</v>
      </c>
      <c r="AZ66" s="47">
        <f t="shared" si="25"/>
        <v>78840000</v>
      </c>
      <c r="BA66" s="47">
        <f t="shared" si="25"/>
        <v>94608000</v>
      </c>
      <c r="BB66" s="47">
        <f t="shared" si="25"/>
        <v>110376000</v>
      </c>
      <c r="BC66" s="47">
        <f t="shared" si="25"/>
        <v>126144000</v>
      </c>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5"/>
      <c r="CS66" s="15"/>
      <c r="CT66" s="15"/>
      <c r="CU66" s="15"/>
    </row>
    <row r="67" spans="1:99" ht="12" customHeight="1" x14ac:dyDescent="0.2">
      <c r="A67" s="65">
        <v>43903</v>
      </c>
      <c r="B67" s="15" t="s">
        <v>481</v>
      </c>
      <c r="C67" s="15" t="s">
        <v>262</v>
      </c>
      <c r="D67" s="59">
        <v>2020</v>
      </c>
      <c r="E67" s="75">
        <v>1</v>
      </c>
      <c r="F67" s="59">
        <v>230</v>
      </c>
      <c r="G67" s="59">
        <v>28.8</v>
      </c>
      <c r="H67" s="59" t="s">
        <v>747</v>
      </c>
      <c r="I67" s="59" t="s">
        <v>876</v>
      </c>
      <c r="J67" s="64" t="s">
        <v>483</v>
      </c>
      <c r="K67" s="60">
        <f t="shared" ref="K67" si="26">IF(J67="syllables",1,IF(J67="trigrams",2,IF(J67="strings",3,IF(J67="visual array",4,IF(J67="characters",5,IF(J67="letters",6,IF(J67="free forms",7,IF(J67="odors",8,IF(J67="words",9,IF(J67="pictures",10,IF(J67="object pictures",11,IF(J67="faces",12,IF(J67="names",13,IF(J67="idioms",14,IF(J67="grades",15,IF(J67="syllable-digit pairs",16,IF(J67="trigram-word pairs",17,IF(J67="word-digit pairs",18,IF(J67="English-Swahili pairs",19,IF(J67="spatial position",20,IF(J67="word pairs",21,IF(J67="word triads",22,IF(J67="generated words",23,IF(J67="word definition pairs",24,IF(J67="math problems",25,IF(J67="famous faces",26,IF(J67="famous names",27,IF(J67="famous voices",28,IF(J67="television programs",29,IF(J67="race horses",30,IF(J67="new vocabulary",31,IF(J67="sentences",32,IF(J67="concepts",33,IF(J67="ad slides",34,IF(J67="scenes",35,IF(J67="famous scenes",36,IF(J67="poems",37,IF(J67="walk",38,IF(J67="faces and events",39,IF(J67="events and names",40,IF(J67="flashbulb",41,IF(J67="stories",42,IF(J67="course material",43,IF(J67="autobiographical",44,IF(J67="novels",45,IF(J67="public events",46,"99"))))))))))))))))))))))))))))))))))))))))))))))</f>
        <v>45</v>
      </c>
      <c r="L67" s="60">
        <f t="shared" ref="L67" si="27">IF(J67="syllables",1,IF(J67="trigrams",1,IF(J67="strings",1,IF(J67="visual array",1,IF(J67="characters",1,IF(J67="letters",1,IF(J67="free forms",1,IF(J67="odors",2,IF(J67="words",2,IF(J67="pictures",2,IF(J67="object pictures",2,IF(J67="faces",2,IF(J67="names",2,IF(J67="idioms","2",IF(J67="grades",2,IF(J67="syllable-digit pairs",3,IF(J67="trigram-word pairs",3,IF(J67="word-digit pairs",3,IF(J67="English-Swahili pairs",3,IF(J67="spatial position",3,IF(J67="word pairs",4,IF(J67="word triads",4,IF(J67="generated words",4,IF(J67="word definition pairs",4,IF(J67="math problems",4,IF(J67="famous faces",4,IF(J67="famous names",4,IF(J67="famous voices",4,IF(J67="television programs",4,IF(J67="race horses",4,IF(J67="new vocabulary",4,IF(J67="sentences",5,IF(J67="concepts",5,IF(J67="ad slides",5,IF(J67="scenes",5,IF(J67="famous scenes",5,IF(J67="poems",6,IF(J67="walk",6,IF(J67="faces and events",6,IF(J67="events and names",6,IF(J67="flashbulb",7,IF(J67="stories",7,IF(J67="course material",7,IF(J67="autobiographical",7,IF(J67="novels",7,IF(J67="public events",7,"99"))))))))))))))))))))))))))))))))))))))))))))))</f>
        <v>7</v>
      </c>
      <c r="M67" s="59">
        <v>0</v>
      </c>
      <c r="N67" s="60">
        <v>3</v>
      </c>
      <c r="O67" s="59">
        <v>0</v>
      </c>
      <c r="P67" s="59"/>
      <c r="Q67" s="59" t="s">
        <v>182</v>
      </c>
      <c r="R67" s="60">
        <f t="shared" ref="R67" si="28">IF(Q67="Free Recall",1,IF(Q67="Cued Recall",2,IF(Q67="Recognition",3,IF(Q67="Multiple Choice",4,IF(Q67="Savings",5,IF(Q67="Stem Completion",6,IF(Q67="Fragment Completion",7,IF(Q67="anagram solution",8,IF(Q67="Matching",9,IF(Q67="Problem Solving",10,"99"))))))))))</f>
        <v>4</v>
      </c>
      <c r="S67" s="59" t="s">
        <v>482</v>
      </c>
      <c r="T67" s="59" t="s">
        <v>261</v>
      </c>
      <c r="U67" s="60">
        <f t="shared" ref="U67" si="29">IF(T67="within",1,0)</f>
        <v>0</v>
      </c>
      <c r="V67" s="59">
        <v>12</v>
      </c>
      <c r="W67" s="60">
        <f>F67*V67</f>
        <v>2760</v>
      </c>
      <c r="X67" s="60">
        <v>8</v>
      </c>
      <c r="Y67" s="76">
        <f>AV66</f>
        <v>15768000</v>
      </c>
      <c r="Z67" s="59" t="s">
        <v>484</v>
      </c>
      <c r="AA67" s="60">
        <f>7.5*365*24*60*60</f>
        <v>236520000</v>
      </c>
      <c r="AB67" s="60" t="str">
        <f>IF(AA67&lt;60,"1",IF(AA67&lt;=43200,"2",IF(AA67&lt;=777600,"3","4")))</f>
        <v>4</v>
      </c>
      <c r="AC67" s="56">
        <f>AVERAGE(AV66:DA66)</f>
        <v>70956000</v>
      </c>
      <c r="AD67" s="60" t="str">
        <f>IF(AC67&lt;60,"1",IF(AC67&lt;=43200,"2",IF(AC67&lt;=777600,"3","4")))</f>
        <v>4</v>
      </c>
      <c r="AE67" s="76">
        <f>AA67-Y67</f>
        <v>220752000</v>
      </c>
      <c r="AF67" s="80">
        <f>AV67</f>
        <v>0.64434523787499998</v>
      </c>
      <c r="AG67" s="56">
        <f>((AW67-AV67)+(AX67-AW67)+(AY67-AX67)+(AZ67-AY67)+(BA67-AZ67)+(BB67-BA67)+(BC67-BB67))/7</f>
        <v>-3.5463048839285707E-2</v>
      </c>
      <c r="AH67" s="4"/>
      <c r="AI67" s="56">
        <f>RSQ(AV67:BC67,AV66:BC66)</f>
        <v>0.75747435581590861</v>
      </c>
      <c r="AJ67" s="109">
        <f>SLOPE(AV67:BC67,AV66:BC66)</f>
        <v>-2.1007903644135666E-9</v>
      </c>
      <c r="AK67" s="56">
        <f>INTERCEPT(AV67:BC67,AV66:BC66)</f>
        <v>0.60234301210134489</v>
      </c>
      <c r="AL67" s="56">
        <f>INDEX(LINEST(LN(AV67:BC67),LN(AV66:BC66),TRUE,TRUE),3,1)</f>
        <v>0.88899559745602985</v>
      </c>
      <c r="AM67" s="56">
        <f>INDEX(LINEST(LN(AV67:BC67),LN(AV66:BC66)),1)</f>
        <v>-0.26002428706625635</v>
      </c>
      <c r="AN67" s="56">
        <f>EXP(INDEX(LINEST(LN(AV67:BC67),LN(AV66:BC66)),1,2))</f>
        <v>46.799940767628094</v>
      </c>
      <c r="AO67" s="82">
        <f>INDEX(LINEST((AV67:BC67),LN(AV66:BC66),TRUE,TRUE),3,1)</f>
        <v>0.90563775339500319</v>
      </c>
      <c r="AP67" s="82">
        <f>INDEX(LINEST((AV67:BC67),LN(AV66:BC66)),1)</f>
        <v>-0.12613311014326475</v>
      </c>
      <c r="AQ67" s="83">
        <f>INDEX(LINEST(LN(AV67:BC67),SQRT(AV66:BC66),TRUE,TRUE),3,1)</f>
        <v>0.84907287770681383</v>
      </c>
      <c r="AR67" s="116">
        <f>INDEX(LINEST(LN(AV67:BC67),SQRT((AV66:BC66))),1)</f>
        <v>-7.1631555748135709E-5</v>
      </c>
      <c r="AS67" s="84">
        <f>INDEX(LINEST(1/(AV67:BC67),1/(SQRT(AV66:BC66)),TRUE,TRUE),3,1)</f>
        <v>0.82452129208008595</v>
      </c>
      <c r="AT67" s="84">
        <f>INDEX(LINEST(1/(AV67:BC67),1/SQRT(AV66:BC66)),1)</f>
        <v>-6981.8826863062131</v>
      </c>
      <c r="AU67" s="3"/>
      <c r="AV67" s="11">
        <v>0.64434523787499998</v>
      </c>
      <c r="AW67" s="11">
        <v>0.50238095231999991</v>
      </c>
      <c r="AX67" s="11">
        <v>0.48876909258490581</v>
      </c>
      <c r="AY67" s="11">
        <v>0.43564993570270261</v>
      </c>
      <c r="AZ67" s="11">
        <v>0.39424141755813941</v>
      </c>
      <c r="BA67" s="11">
        <v>0.42446633824137936</v>
      </c>
      <c r="BB67" s="11">
        <v>0.34027777775000007</v>
      </c>
      <c r="BC67" s="11">
        <v>0.39610389600000001</v>
      </c>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5"/>
      <c r="CS67" s="15"/>
      <c r="CT67" s="15"/>
      <c r="CU67" s="15"/>
    </row>
    <row r="68" spans="1:99" ht="12" customHeight="1" x14ac:dyDescent="0.2">
      <c r="A68" s="65">
        <v>43903</v>
      </c>
      <c r="B68" s="15"/>
      <c r="C68" s="15"/>
      <c r="D68" s="59"/>
      <c r="E68" s="75"/>
      <c r="F68" s="59"/>
      <c r="G68" s="59"/>
      <c r="H68" s="59"/>
      <c r="I68" s="59"/>
      <c r="M68" s="59"/>
      <c r="N68" s="60"/>
      <c r="O68" s="59"/>
      <c r="P68" s="59"/>
      <c r="Q68" s="59"/>
      <c r="R68" s="60"/>
      <c r="S68" s="59"/>
      <c r="T68" s="59"/>
      <c r="U68" s="60"/>
      <c r="V68" s="59"/>
      <c r="W68" s="60"/>
      <c r="X68" s="60"/>
      <c r="Y68" s="76"/>
      <c r="Z68" s="59"/>
      <c r="AA68" s="59"/>
      <c r="AB68" s="60"/>
      <c r="AC68" s="56"/>
      <c r="AD68" s="60"/>
      <c r="AE68" s="60"/>
      <c r="AF68" s="80"/>
      <c r="AG68" s="56"/>
      <c r="AH68" s="4"/>
      <c r="AI68" s="56"/>
      <c r="AJ68" s="109"/>
      <c r="AK68" s="56"/>
      <c r="AL68" s="56"/>
      <c r="AM68" s="56"/>
      <c r="AN68" s="56"/>
      <c r="AO68" s="82"/>
      <c r="AP68" s="82"/>
      <c r="AQ68" s="83"/>
      <c r="AR68" s="116"/>
      <c r="AS68" s="84"/>
      <c r="AT68" s="84"/>
      <c r="AU68" s="3"/>
      <c r="AV68" s="47">
        <v>15768000</v>
      </c>
      <c r="AW68" s="47">
        <f t="shared" ref="AW68:BC68" si="30">AV68+15768000</f>
        <v>31536000</v>
      </c>
      <c r="AX68" s="47">
        <f t="shared" si="30"/>
        <v>47304000</v>
      </c>
      <c r="AY68" s="47">
        <f t="shared" si="30"/>
        <v>63072000</v>
      </c>
      <c r="AZ68" s="47">
        <f t="shared" si="30"/>
        <v>78840000</v>
      </c>
      <c r="BA68" s="47">
        <f t="shared" si="30"/>
        <v>94608000</v>
      </c>
      <c r="BB68" s="47">
        <f t="shared" si="30"/>
        <v>110376000</v>
      </c>
      <c r="BC68" s="47">
        <f t="shared" si="30"/>
        <v>126144000</v>
      </c>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5"/>
      <c r="CS68" s="15"/>
      <c r="CT68" s="15"/>
      <c r="CU68" s="15"/>
    </row>
    <row r="69" spans="1:99" ht="12" customHeight="1" x14ac:dyDescent="0.2">
      <c r="A69" s="65">
        <v>43903</v>
      </c>
      <c r="B69" s="15" t="s">
        <v>481</v>
      </c>
      <c r="C69" s="15" t="s">
        <v>262</v>
      </c>
      <c r="D69" s="59">
        <v>2020</v>
      </c>
      <c r="E69" s="75">
        <v>1</v>
      </c>
      <c r="F69" s="59">
        <v>230</v>
      </c>
      <c r="G69" s="59">
        <v>28.8</v>
      </c>
      <c r="H69" s="59" t="s">
        <v>747</v>
      </c>
      <c r="I69" s="59" t="s">
        <v>923</v>
      </c>
      <c r="J69" s="64" t="s">
        <v>483</v>
      </c>
      <c r="K69" s="60">
        <f t="shared" ref="K69" si="31">IF(J69="syllables",1,IF(J69="trigrams",2,IF(J69="strings",3,IF(J69="visual array",4,IF(J69="characters",5,IF(J69="letters",6,IF(J69="free forms",7,IF(J69="odors",8,IF(J69="words",9,IF(J69="pictures",10,IF(J69="object pictures",11,IF(J69="faces",12,IF(J69="names",13,IF(J69="idioms",14,IF(J69="grades",15,IF(J69="syllable-digit pairs",16,IF(J69="trigram-word pairs",17,IF(J69="word-digit pairs",18,IF(J69="English-Swahili pairs",19,IF(J69="spatial position",20,IF(J69="word pairs",21,IF(J69="word triads",22,IF(J69="generated words",23,IF(J69="word definition pairs",24,IF(J69="math problems",25,IF(J69="famous faces",26,IF(J69="famous names",27,IF(J69="famous voices",28,IF(J69="television programs",29,IF(J69="race horses",30,IF(J69="new vocabulary",31,IF(J69="sentences",32,IF(J69="concepts",33,IF(J69="ad slides",34,IF(J69="scenes",35,IF(J69="famous scenes",36,IF(J69="poems",37,IF(J69="walk",38,IF(J69="faces and events",39,IF(J69="events and names",40,IF(J69="flashbulb",41,IF(J69="stories",42,IF(J69="course material",43,IF(J69="autobiographical",44,IF(J69="novels",45,IF(J69="public events",46,"99"))))))))))))))))))))))))))))))))))))))))))))))</f>
        <v>45</v>
      </c>
      <c r="L69" s="60">
        <f t="shared" ref="L69" si="32">IF(J69="syllables",1,IF(J69="trigrams",1,IF(J69="strings",1,IF(J69="visual array",1,IF(J69="characters",1,IF(J69="letters",1,IF(J69="free forms",1,IF(J69="odors",2,IF(J69="words",2,IF(J69="pictures",2,IF(J69="object pictures",2,IF(J69="faces",2,IF(J69="names",2,IF(J69="idioms","2",IF(J69="grades",2,IF(J69="syllable-digit pairs",3,IF(J69="trigram-word pairs",3,IF(J69="word-digit pairs",3,IF(J69="English-Swahili pairs",3,IF(J69="spatial position",3,IF(J69="word pairs",4,IF(J69="word triads",4,IF(J69="generated words",4,IF(J69="word definition pairs",4,IF(J69="math problems",4,IF(J69="famous faces",4,IF(J69="famous names",4,IF(J69="famous voices",4,IF(J69="television programs",4,IF(J69="race horses",4,IF(J69="new vocabulary",4,IF(J69="sentences",5,IF(J69="concepts",5,IF(J69="ad slides",5,IF(J69="scenes",5,IF(J69="famous scenes",5,IF(J69="poems",6,IF(J69="walk",6,IF(J69="faces and events",6,IF(J69="events and names",6,IF(J69="flashbulb",7,IF(J69="stories",7,IF(J69="course material",7,IF(J69="autobiographical",7,IF(J69="novels",7,IF(J69="public events",7,"99"))))))))))))))))))))))))))))))))))))))))))))))</f>
        <v>7</v>
      </c>
      <c r="M69" s="59">
        <v>0</v>
      </c>
      <c r="N69" s="60">
        <v>3</v>
      </c>
      <c r="O69" s="59">
        <v>0</v>
      </c>
      <c r="P69" s="59"/>
      <c r="Q69" s="59" t="s">
        <v>182</v>
      </c>
      <c r="R69" s="60">
        <f t="shared" ref="R69" si="33">IF(Q69="Free Recall",1,IF(Q69="Cued Recall",2,IF(Q69="Recognition",3,IF(Q69="Multiple Choice",4,IF(Q69="Savings",5,IF(Q69="Stem Completion",6,IF(Q69="Fragment Completion",7,IF(Q69="anagram solution",8,IF(Q69="Matching",9,IF(Q69="Problem Solving",10,"99"))))))))))</f>
        <v>4</v>
      </c>
      <c r="S69" s="59" t="s">
        <v>482</v>
      </c>
      <c r="T69" s="59" t="s">
        <v>261</v>
      </c>
      <c r="U69" s="60">
        <f t="shared" ref="U69" si="34">IF(T69="within",1,0)</f>
        <v>0</v>
      </c>
      <c r="V69" s="59">
        <v>12</v>
      </c>
      <c r="W69" s="60">
        <f>F69*V69</f>
        <v>2760</v>
      </c>
      <c r="X69" s="60">
        <v>8</v>
      </c>
      <c r="Y69" s="76">
        <f>AV68</f>
        <v>15768000</v>
      </c>
      <c r="Z69" s="59" t="s">
        <v>484</v>
      </c>
      <c r="AA69" s="60">
        <f>7.5*365*24*60*60</f>
        <v>236520000</v>
      </c>
      <c r="AB69" s="60" t="str">
        <f>IF(AA69&lt;60,"1",IF(AA69&lt;=43200,"2",IF(AA69&lt;=777600,"3","4")))</f>
        <v>4</v>
      </c>
      <c r="AC69" s="56">
        <f>AVERAGE(AV68:DA68)</f>
        <v>70956000</v>
      </c>
      <c r="AD69" s="60" t="str">
        <f>IF(AC69&lt;60,"1",IF(AC69&lt;=43200,"2",IF(AC69&lt;=777600,"3","4")))</f>
        <v>4</v>
      </c>
      <c r="AE69" s="76">
        <f>AA69-Y69</f>
        <v>220752000</v>
      </c>
      <c r="AF69" s="80">
        <f>AV69</f>
        <v>0.55833333337500002</v>
      </c>
      <c r="AG69" s="56">
        <f>((AW69-AV69)+(AX69-AW69)+(AY69-AX69)+(AZ69-AY69)+(BA69-AZ69)+(BB69-BA69)+(BC69-BB69))/7</f>
        <v>-1.6406212845779224E-2</v>
      </c>
      <c r="AH69" s="4"/>
      <c r="AI69" s="56">
        <f>RSQ(AV69:BC69,AV68:BC68)</f>
        <v>0.7435493717943682</v>
      </c>
      <c r="AJ69" s="109">
        <f>SLOPE(AV69:BC69,AV68:BC68)</f>
        <v>-9.792244059704596E-10</v>
      </c>
      <c r="AK69" s="56">
        <f>INTERCEPT(AV69:BC69,AV68:BC68)</f>
        <v>0.54486231740455915</v>
      </c>
      <c r="AL69" s="56">
        <f>INDEX(LINEST(LN(AV69:BC69),LN(AV68:BC68),TRUE,TRUE),3,1)</f>
        <v>0.90122566130962967</v>
      </c>
      <c r="AM69" s="56">
        <f>INDEX(LINEST(LN(AV69:BC69),LN(AV68:BC68)),1)</f>
        <v>-0.11998941029435654</v>
      </c>
      <c r="AN69" s="56">
        <f>EXP(INDEX(LINEST(LN(AV69:BC69),LN(AV68:BC68)),1,2))</f>
        <v>4.057286730837963</v>
      </c>
      <c r="AO69" s="82">
        <f>INDEX(LINEST((AV69:BC69),LN(AV68:BC68),TRUE,TRUE),3,1)</f>
        <v>0.90374183107219108</v>
      </c>
      <c r="AP69" s="82">
        <f>INDEX(LINEST((AV69:BC69),LN(AV68:BC68)),1)</f>
        <v>-5.9279237898389084E-2</v>
      </c>
      <c r="AQ69" s="83">
        <f>INDEX(LINEST(LN(AV69:BC69),SQRT(AV68:BC68),TRUE,TRUE),3,1)</f>
        <v>0.84151556197073063</v>
      </c>
      <c r="AR69" s="116">
        <f>INDEX(LINEST(LN(AV69:BC69),SQRT((AV68:BC68))),1)</f>
        <v>-3.2683233029608168E-5</v>
      </c>
      <c r="AS69" s="84">
        <f>INDEX(LINEST(1/(AV69:BC69),1/(SQRT(AV68:BC68)),TRUE,TRUE),3,1)</f>
        <v>0.90147324340133839</v>
      </c>
      <c r="AT69" s="84">
        <f>INDEX(LINEST(1/(AV69:BC69),1/SQRT(AV68:BC68)),1)</f>
        <v>-3149.5351062109639</v>
      </c>
      <c r="AU69" s="3"/>
      <c r="AV69" s="11">
        <v>0.55833333337500002</v>
      </c>
      <c r="AW69" s="11">
        <v>0.52455677667999989</v>
      </c>
      <c r="AX69" s="11">
        <v>0.47548552071698119</v>
      </c>
      <c r="AY69" s="11">
        <v>0.46107811113513519</v>
      </c>
      <c r="AZ69" s="11">
        <v>0.43855524325581402</v>
      </c>
      <c r="BA69" s="11">
        <v>0.46452570431034484</v>
      </c>
      <c r="BB69" s="11">
        <v>0.43701923070833332</v>
      </c>
      <c r="BC69" s="11">
        <v>0.44348984345454545</v>
      </c>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5"/>
      <c r="CS69" s="15"/>
      <c r="CT69" s="15"/>
      <c r="CU69" s="15"/>
    </row>
    <row r="70" spans="1:99" ht="12" customHeight="1" x14ac:dyDescent="0.2">
      <c r="A70" s="65">
        <v>43903</v>
      </c>
      <c r="B70" s="15"/>
      <c r="C70" s="15"/>
      <c r="D70" s="59"/>
      <c r="E70" s="75"/>
      <c r="F70" s="59"/>
      <c r="G70" s="59"/>
      <c r="H70" s="59"/>
      <c r="I70" s="59"/>
      <c r="M70" s="59"/>
      <c r="N70" s="60"/>
      <c r="O70" s="59"/>
      <c r="P70" s="59"/>
      <c r="Q70" s="59"/>
      <c r="R70" s="60"/>
      <c r="S70" s="59"/>
      <c r="T70" s="59"/>
      <c r="U70" s="60"/>
      <c r="V70" s="59"/>
      <c r="W70" s="60"/>
      <c r="X70" s="60"/>
      <c r="Y70" s="76"/>
      <c r="Z70" s="59"/>
      <c r="AA70" s="59"/>
      <c r="AB70" s="60"/>
      <c r="AC70" s="56"/>
      <c r="AD70" s="60"/>
      <c r="AE70" s="60"/>
      <c r="AF70" s="80"/>
      <c r="AG70" s="56"/>
      <c r="AH70" s="4"/>
      <c r="AI70" s="56"/>
      <c r="AJ70" s="109"/>
      <c r="AK70" s="56"/>
      <c r="AL70" s="56"/>
      <c r="AM70" s="56"/>
      <c r="AN70" s="56"/>
      <c r="AO70" s="82"/>
      <c r="AP70" s="82"/>
      <c r="AQ70" s="83"/>
      <c r="AR70" s="116"/>
      <c r="AS70" s="84"/>
      <c r="AT70" s="84"/>
      <c r="AU70" s="3"/>
      <c r="AV70" s="47">
        <v>31536000</v>
      </c>
      <c r="AW70" s="47">
        <v>47304000</v>
      </c>
      <c r="AX70" s="47">
        <v>63072000</v>
      </c>
      <c r="AY70" s="47">
        <v>78840000</v>
      </c>
      <c r="AZ70" s="47">
        <v>94608000</v>
      </c>
      <c r="BA70" s="47">
        <v>110376000</v>
      </c>
      <c r="BB70" s="47">
        <v>126144000</v>
      </c>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5"/>
      <c r="CS70" s="15"/>
      <c r="CT70" s="15"/>
      <c r="CU70" s="15"/>
    </row>
    <row r="71" spans="1:99" ht="12" customHeight="1" x14ac:dyDescent="0.2">
      <c r="A71" s="65">
        <v>43903</v>
      </c>
      <c r="B71" s="15" t="s">
        <v>481</v>
      </c>
      <c r="C71" s="15" t="s">
        <v>262</v>
      </c>
      <c r="D71" s="59">
        <v>2020</v>
      </c>
      <c r="E71" s="75">
        <v>2</v>
      </c>
      <c r="F71" s="59">
        <v>142</v>
      </c>
      <c r="G71" s="59">
        <v>17.75</v>
      </c>
      <c r="H71" s="59" t="s">
        <v>747</v>
      </c>
      <c r="I71" s="59" t="s">
        <v>920</v>
      </c>
      <c r="J71" s="64" t="s">
        <v>483</v>
      </c>
      <c r="K71" s="60">
        <f>IF(J71="syllables",1,IF(J71="trigrams",2,IF(J71="strings",3,IF(J71="visual array",4,IF(J71="characters",5,IF(J71="letters",6,IF(J71="free forms",7,IF(J71="odors",8,IF(J71="words",9,IF(J71="pictures",10,IF(J71="object pictures",11,IF(J71="faces",12,IF(J71="names",13,IF(J71="idioms",14,IF(J71="grades",15,IF(J71="syllable-digit pairs",16,IF(J71="trigram-word pairs",17,IF(J71="word-digit pairs",18,IF(J71="English-Swahili pairs",19,IF(J71="spatial position",20,IF(J71="word pairs",21,IF(J71="word triads",22,IF(J71="generated words",23,IF(J71="word definition pairs",24,IF(J71="math problems",25,IF(J71="famous faces",26,IF(J71="famous names",27,IF(J71="famous voices",28,IF(J71="television programs",29,IF(J71="race horses",30,IF(J71="new vocabulary",31,IF(J71="sentences",32,IF(J71="concepts",33,IF(J71="ad slides",34,IF(J71="scenes",35,IF(J71="famous scenes",36,IF(J71="poems",37,IF(J71="walk",38,IF(J71="faces and events",39,IF(J71="events and names",40,IF(J71="flashbulb",41,IF(J71="stories",42,IF(J71="course material",43,IF(J71="autobiographical",44,IF(J71="novels",45,IF(J71="public events",46,"99"))))))))))))))))))))))))))))))))))))))))))))))</f>
        <v>45</v>
      </c>
      <c r="L71" s="60">
        <f>IF(J71="syllables",1,IF(J71="trigrams",1,IF(J71="strings",1,IF(J71="visual array",1,IF(J71="characters",1,IF(J71="letters",1,IF(J71="free forms",1,IF(J71="odors",2,IF(J71="words",2,IF(J71="pictures",2,IF(J71="object pictures",2,IF(J71="faces",2,IF(J71="names",2,IF(J71="idioms","2",IF(J71="grades",2,IF(J71="syllable-digit pairs",3,IF(J71="trigram-word pairs",3,IF(J71="word-digit pairs",3,IF(J71="English-Swahili pairs",3,IF(J71="spatial position",3,IF(J71="word pairs",4,IF(J71="word triads",4,IF(J71="generated words",4,IF(J71="word definition pairs",4,IF(J71="math problems",4,IF(J71="famous faces",4,IF(J71="famous names",4,IF(J71="famous voices",4,IF(J71="television programs",4,IF(J71="race horses",4,IF(J71="new vocabulary",4,IF(J71="sentences",5,IF(J71="concepts",5,IF(J71="ad slides",5,IF(J71="scenes",5,IF(J71="famous scenes",5,IF(J71="poems",6,IF(J71="walk",6,IF(J71="faces and events",6,IF(J71="events and names",6,IF(J71="flashbulb",7,IF(J71="stories",7,IF(J71="course material",7,IF(J71="autobiographical",7,IF(J71="novels",7,IF(J71="public events",7,"99"))))))))))))))))))))))))))))))))))))))))))))))</f>
        <v>7</v>
      </c>
      <c r="M71" s="59">
        <v>0</v>
      </c>
      <c r="N71" s="60">
        <v>3</v>
      </c>
      <c r="O71" s="59">
        <v>0</v>
      </c>
      <c r="P71" s="59"/>
      <c r="Q71" s="59" t="s">
        <v>182</v>
      </c>
      <c r="R71" s="60">
        <f>IF(Q71="Free Recall",1,IF(Q71="Cued Recall",2,IF(Q71="Recognition",3,IF(Q71="Multiple Choice",4,IF(Q71="Savings",5,IF(Q71="Stem Completion",6,IF(Q71="Fragment Completion",7,IF(Q71="anagram solution",8,IF(Q71="Matching",9,IF(Q71="Problem Solving",10,"99"))))))))))</f>
        <v>4</v>
      </c>
      <c r="S71" s="59" t="s">
        <v>482</v>
      </c>
      <c r="T71" s="59" t="s">
        <v>261</v>
      </c>
      <c r="U71" s="60">
        <f t="shared" ref="U71" si="35">IF(T71="within",1,0)</f>
        <v>0</v>
      </c>
      <c r="V71" s="59">
        <v>12</v>
      </c>
      <c r="W71" s="60">
        <f>F71*V71</f>
        <v>1704</v>
      </c>
      <c r="X71" s="60">
        <v>7</v>
      </c>
      <c r="Y71" s="76">
        <f>AV70</f>
        <v>31536000</v>
      </c>
      <c r="Z71" s="59" t="s">
        <v>484</v>
      </c>
      <c r="AA71" s="60">
        <f>7.5*365*24*60*60</f>
        <v>236520000</v>
      </c>
      <c r="AB71" s="60" t="str">
        <f>IF(AA71&lt;60,"1",IF(AA71&lt;=43200,"2",IF(AA71&lt;=777600,"3","4")))</f>
        <v>4</v>
      </c>
      <c r="AC71" s="56">
        <f>AVERAGE(AV70:DA70)</f>
        <v>78840000</v>
      </c>
      <c r="AD71" s="60" t="str">
        <f>IF(AC71&lt;60,"1",IF(AC71&lt;=43200,"2",IF(AC71&lt;=777600,"3","4")))</f>
        <v>4</v>
      </c>
      <c r="AE71" s="76">
        <f>AA71-Y71</f>
        <v>204984000</v>
      </c>
      <c r="AF71" s="80">
        <f>AV71</f>
        <v>0.56302521008403306</v>
      </c>
      <c r="AG71" s="56">
        <f>((AW71-AV71)+(AX71-AW71)+(AY71-AX71)+(AZ71-AY71)+(BA71-AZ71)+(BB71-BA71))/6</f>
        <v>-6.3916475681181266E-3</v>
      </c>
      <c r="AH71" s="4"/>
      <c r="AI71" s="56">
        <f>RSQ(AV71:BB71,AV70:BB70)</f>
        <v>4.5483388842338616E-4</v>
      </c>
      <c r="AJ71" s="109">
        <f>SLOPE(AV71:BB71,AV70:BB70)</f>
        <v>-1.5754896478113712E-11</v>
      </c>
      <c r="AK71" s="56">
        <f>INTERCEPT(AV71:BB71,AV70:BB70)</f>
        <v>0.52668386465697337</v>
      </c>
      <c r="AL71" s="56">
        <f>INDEX(LINEST(LN(AV71:BB71),LN(AV70:BB70),TRUE,TRUE),3,1)</f>
        <v>2.1561163009798479E-2</v>
      </c>
      <c r="AM71" s="56">
        <f>INDEX(LINEST(LN(AV71:BB71),LN(AV70:BB70)),1)</f>
        <v>-1.4103545186359603E-2</v>
      </c>
      <c r="AN71" s="56">
        <f>EXP(INDEX(LINEST(LN(AV71:BB71),LN(AV70:BB70)),1,2))</f>
        <v>0.67748239269209698</v>
      </c>
      <c r="AO71" s="82">
        <f>INDEX(LINEST((AV71:BB71),LN(AV70:BB70),TRUE,TRUE),3,1)</f>
        <v>2.4395223571680242E-2</v>
      </c>
      <c r="AP71" s="82">
        <f>INDEX(LINEST((AV71:BB71),LN(AV70:BB70)),1)</f>
        <v>-7.9806655138697172E-3</v>
      </c>
      <c r="AQ71" s="83">
        <f>INDEX(LINEST(LN(AV71:BB71),SQRT(AV70:BB70),TRUE,TRUE),3,1)</f>
        <v>5.734222896000671E-3</v>
      </c>
      <c r="AR71" s="116">
        <f>INDEX(LINEST(LN(AV71:BB71),SQRT((AV70:BB70))),1)</f>
        <v>-1.7849346834744763E-6</v>
      </c>
      <c r="AS71" s="84">
        <f>INDEX(LINEST(1/(AV71:BB71),1/(SQRT(AV70:BB70)),TRUE,TRUE),3,1)</f>
        <v>4.485065609036773E-2</v>
      </c>
      <c r="AT71" s="84">
        <f>INDEX(LINEST(1/(AV71:BB71),1/SQRT(AV70:BB70)),1)</f>
        <v>-597.91715196308314</v>
      </c>
      <c r="AU71" s="3"/>
      <c r="AV71" s="11">
        <v>0.56302521008403306</v>
      </c>
      <c r="AW71" s="11">
        <v>0.49985210084033577</v>
      </c>
      <c r="AX71" s="11">
        <v>0.5101260504201679</v>
      </c>
      <c r="AY71" s="11">
        <v>0.51950630252100805</v>
      </c>
      <c r="AZ71" s="11">
        <v>0.50389044506691516</v>
      </c>
      <c r="BA71" s="11">
        <v>0.55701680672268872</v>
      </c>
      <c r="BB71" s="11">
        <v>0.52467532467532429</v>
      </c>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5"/>
      <c r="CS71" s="15"/>
      <c r="CT71" s="15"/>
      <c r="CU71" s="15"/>
    </row>
    <row r="72" spans="1:99" ht="12" customHeight="1" x14ac:dyDescent="0.2">
      <c r="A72" s="65">
        <v>43903</v>
      </c>
      <c r="B72" s="15"/>
      <c r="C72" s="15"/>
      <c r="D72" s="59"/>
      <c r="E72" s="75"/>
      <c r="F72" s="59"/>
      <c r="G72" s="59"/>
      <c r="H72" s="59"/>
      <c r="I72" s="59"/>
      <c r="K72" s="60"/>
      <c r="L72" s="60"/>
      <c r="M72" s="59"/>
      <c r="N72" s="60"/>
      <c r="O72" s="59"/>
      <c r="P72" s="59"/>
      <c r="Q72" s="59"/>
      <c r="R72" s="60"/>
      <c r="S72" s="59"/>
      <c r="T72" s="59"/>
      <c r="U72" s="60"/>
      <c r="V72" s="59"/>
      <c r="W72" s="60"/>
      <c r="X72" s="60"/>
      <c r="Y72" s="76"/>
      <c r="Z72" s="59"/>
      <c r="AA72" s="59"/>
      <c r="AB72" s="60"/>
      <c r="AC72" s="56"/>
      <c r="AD72" s="60"/>
      <c r="AE72" s="60"/>
      <c r="AF72" s="80"/>
      <c r="AG72" s="56"/>
      <c r="AH72" s="4"/>
      <c r="AI72" s="56"/>
      <c r="AJ72" s="109"/>
      <c r="AK72" s="56"/>
      <c r="AL72" s="56"/>
      <c r="AM72" s="56"/>
      <c r="AN72" s="56"/>
      <c r="AO72" s="82"/>
      <c r="AP72" s="82"/>
      <c r="AQ72" s="83"/>
      <c r="AR72" s="116"/>
      <c r="AS72" s="84"/>
      <c r="AT72" s="84"/>
      <c r="AU72" s="3"/>
      <c r="AV72" s="47">
        <v>31536000</v>
      </c>
      <c r="AW72" s="47">
        <v>47304000</v>
      </c>
      <c r="AX72" s="47">
        <v>63072000</v>
      </c>
      <c r="AY72" s="47">
        <v>78840000</v>
      </c>
      <c r="AZ72" s="47">
        <v>94608000</v>
      </c>
      <c r="BA72" s="47">
        <v>110376000</v>
      </c>
      <c r="BB72" s="47">
        <v>126144000</v>
      </c>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5"/>
      <c r="CS72" s="15"/>
      <c r="CT72" s="15"/>
      <c r="CU72" s="15"/>
    </row>
    <row r="73" spans="1:99" ht="12" customHeight="1" x14ac:dyDescent="0.2">
      <c r="A73" s="65">
        <v>43903</v>
      </c>
      <c r="B73" s="15" t="s">
        <v>481</v>
      </c>
      <c r="C73" s="15" t="s">
        <v>262</v>
      </c>
      <c r="D73" s="59">
        <v>2020</v>
      </c>
      <c r="E73" s="75">
        <v>2</v>
      </c>
      <c r="F73" s="59">
        <v>142</v>
      </c>
      <c r="G73" s="59">
        <v>17.75</v>
      </c>
      <c r="H73" s="59" t="s">
        <v>747</v>
      </c>
      <c r="I73" s="59" t="s">
        <v>709</v>
      </c>
      <c r="J73" s="64" t="s">
        <v>483</v>
      </c>
      <c r="K73" s="60">
        <f>IF(J73="syllables",1,IF(J73="trigrams",2,IF(J73="strings",3,IF(J73="visual array",4,IF(J73="characters",5,IF(J73="letters",6,IF(J73="free forms",7,IF(J73="odors",8,IF(J73="words",9,IF(J73="pictures",10,IF(J73="object pictures",11,IF(J73="faces",12,IF(J73="names",13,IF(J73="idioms",14,IF(J73="grades",15,IF(J73="syllable-digit pairs",16,IF(J73="trigram-word pairs",17,IF(J73="word-digit pairs",18,IF(J73="English-Swahili pairs",19,IF(J73="spatial position",20,IF(J73="word pairs",21,IF(J73="word triads",22,IF(J73="generated words",23,IF(J73="word definition pairs",24,IF(J73="math problems",25,IF(J73="famous faces",26,IF(J73="famous names",27,IF(J73="famous voices",28,IF(J73="television programs",29,IF(J73="race horses",30,IF(J73="new vocabulary",31,IF(J73="sentences",32,IF(J73="concepts",33,IF(J73="ad slides",34,IF(J73="scenes",35,IF(J73="famous scenes",36,IF(J73="poems",37,IF(J73="walk",38,IF(J73="faces and events",39,IF(J73="events and names",40,IF(J73="flashbulb",41,IF(J73="stories",42,IF(J73="course material",43,IF(J73="autobiographical",44,IF(J73="novels",45,IF(J73="public events",46,"99"))))))))))))))))))))))))))))))))))))))))))))))</f>
        <v>45</v>
      </c>
      <c r="L73" s="60">
        <f>IF(J73="syllables",1,IF(J73="trigrams",1,IF(J73="strings",1,IF(J73="visual array",1,IF(J73="characters",1,IF(J73="letters",1,IF(J73="free forms",1,IF(J73="odors",2,IF(J73="words",2,IF(J73="pictures",2,IF(J73="object pictures",2,IF(J73="faces",2,IF(J73="names",2,IF(J73="idioms","2",IF(J73="grades",2,IF(J73="syllable-digit pairs",3,IF(J73="trigram-word pairs",3,IF(J73="word-digit pairs",3,IF(J73="English-Swahili pairs",3,IF(J73="spatial position",3,IF(J73="word pairs",4,IF(J73="word triads",4,IF(J73="generated words",4,IF(J73="word definition pairs",4,IF(J73="math problems",4,IF(J73="famous faces",4,IF(J73="famous names",4,IF(J73="famous voices",4,IF(J73="television programs",4,IF(J73="race horses",4,IF(J73="new vocabulary",4,IF(J73="sentences",5,IF(J73="concepts",5,IF(J73="ad slides",5,IF(J73="scenes",5,IF(J73="famous scenes",5,IF(J73="poems",6,IF(J73="walk",6,IF(J73="faces and events",6,IF(J73="events and names",6,IF(J73="flashbulb",7,IF(J73="stories",7,IF(J73="course material",7,IF(J73="autobiographical",7,IF(J73="novels",7,IF(J73="public events",7,"99"))))))))))))))))))))))))))))))))))))))))))))))</f>
        <v>7</v>
      </c>
      <c r="M73" s="59">
        <v>0</v>
      </c>
      <c r="N73" s="60">
        <v>3</v>
      </c>
      <c r="O73" s="59">
        <v>0</v>
      </c>
      <c r="P73" s="59"/>
      <c r="Q73" s="59" t="s">
        <v>182</v>
      </c>
      <c r="R73" s="60">
        <f>IF(Q73="Free Recall",1,IF(Q73="Cued Recall",2,IF(Q73="Recognition",3,IF(Q73="Multiple Choice",4,IF(Q73="Savings",5,IF(Q73="Stem Completion",6,IF(Q73="Fragment Completion",7,IF(Q73="anagram solution",8,IF(Q73="Matching",9,IF(Q73="Problem Solving",10,"99"))))))))))</f>
        <v>4</v>
      </c>
      <c r="S73" s="59" t="s">
        <v>482</v>
      </c>
      <c r="T73" s="59" t="s">
        <v>261</v>
      </c>
      <c r="U73" s="60">
        <f t="shared" ref="U73" si="36">IF(T73="within",1,0)</f>
        <v>0</v>
      </c>
      <c r="V73" s="59">
        <v>12</v>
      </c>
      <c r="W73" s="60">
        <f>F73*V73</f>
        <v>1704</v>
      </c>
      <c r="X73" s="60">
        <v>7</v>
      </c>
      <c r="Y73" s="76">
        <f>AV72</f>
        <v>31536000</v>
      </c>
      <c r="Z73" s="59" t="s">
        <v>484</v>
      </c>
      <c r="AA73" s="60">
        <f>7.5*365*24*60*60</f>
        <v>236520000</v>
      </c>
      <c r="AB73" s="60" t="str">
        <f>IF(AA73&lt;60,"1",IF(AA73&lt;=43200,"2",IF(AA73&lt;=777600,"3","4")))</f>
        <v>4</v>
      </c>
      <c r="AC73" s="56">
        <f>AVERAGE(AV72:DA72)</f>
        <v>78840000</v>
      </c>
      <c r="AD73" s="60" t="str">
        <f>IF(AC73&lt;60,"1",IF(AC73&lt;=43200,"2",IF(AC73&lt;=777600,"3","4")))</f>
        <v>4</v>
      </c>
      <c r="AE73" s="76">
        <f>AA73-Y73</f>
        <v>204984000</v>
      </c>
      <c r="AF73" s="80">
        <f>AV73</f>
        <v>0.61089743589743573</v>
      </c>
      <c r="AG73" s="56">
        <f>((AW73-AV73)+(AX73-AW73)+(AY73-AX73)+(AZ73-AY73)+(BA73-AZ73)+(BB73-BA73))/6</f>
        <v>-2.1085858585858624E-2</v>
      </c>
      <c r="AH73" s="4"/>
      <c r="AI73" s="56">
        <f>RSQ(AV73:BB73,AV72:BB72)</f>
        <v>0.2246856686823101</v>
      </c>
      <c r="AJ73" s="109">
        <f>SLOPE(AV73:BB73,AV72:BB72)</f>
        <v>-7.9431203516904562E-10</v>
      </c>
      <c r="AK73" s="56">
        <f>INTERCEPT(AV73:BB73,AV72:BB72)</f>
        <v>0.56137954483787778</v>
      </c>
      <c r="AL73" s="56">
        <f>INDEX(LINEST(LN(AV73:BB73),LN(AV72:BB72),TRUE,TRUE),3,1)</f>
        <v>0.32049606414750936</v>
      </c>
      <c r="AM73" s="56">
        <f>INDEX(LINEST(LN(AV73:BB73),LN(AV72:BB72)),1)</f>
        <v>-0.12571446897933886</v>
      </c>
      <c r="AN73" s="56">
        <f>EXP(INDEX(LINEST(LN(AV73:BB73),LN(AV72:BB72)),1,2))</f>
        <v>4.8213811226250218</v>
      </c>
      <c r="AO73" s="82">
        <f>INDEX(LINEST((AV73:BB73),LN(AV72:BB72),TRUE,TRUE),3,1)</f>
        <v>0.35064080833738442</v>
      </c>
      <c r="AP73" s="82">
        <f>INDEX(LINEST((AV73:BB73),LN(AV72:BB72)),1)</f>
        <v>-6.8632883847185397E-2</v>
      </c>
      <c r="AQ73" s="83">
        <f>INDEX(LINEST(LN(AV73:BB73),SQRT(AV72:BB72),TRUE,TRUE),3,1)</f>
        <v>0.25663056785626587</v>
      </c>
      <c r="AR73" s="116">
        <f>INDEX(LINEST(LN(AV73:BB73),SQRT((AV72:BB72))),1)</f>
        <v>-2.7607110140280592E-5</v>
      </c>
      <c r="AS73" s="84">
        <f>INDEX(LINEST(1/(AV73:BB73),1/(SQRT(AV72:BB72)),TRUE,TRUE),3,1)</f>
        <v>0.35388941643019822</v>
      </c>
      <c r="AT73" s="84">
        <f>INDEX(LINEST(1/(AV73:BB73),1/SQRT(AV72:BB72)),1)</f>
        <v>-3997.1067616601094</v>
      </c>
      <c r="AU73" s="3"/>
      <c r="AV73" s="11">
        <v>0.61089743589743573</v>
      </c>
      <c r="AW73" s="11">
        <v>0.48548717948717912</v>
      </c>
      <c r="AX73" s="11">
        <v>0.44086538461538405</v>
      </c>
      <c r="AY73" s="11">
        <v>0.52512019230769191</v>
      </c>
      <c r="AZ73" s="11">
        <v>0.44838556505223143</v>
      </c>
      <c r="BA73" s="11">
        <v>0.49615384615384589</v>
      </c>
      <c r="BB73" s="11">
        <v>0.48438228438228398</v>
      </c>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5"/>
      <c r="CS73" s="15"/>
      <c r="CT73" s="15"/>
      <c r="CU73" s="15"/>
    </row>
    <row r="74" spans="1:99" ht="12" customHeight="1" x14ac:dyDescent="0.2">
      <c r="A74" s="65">
        <v>43903</v>
      </c>
      <c r="B74" s="15"/>
      <c r="C74" s="15"/>
      <c r="D74" s="59"/>
      <c r="E74" s="75"/>
      <c r="F74" s="59"/>
      <c r="G74" s="59"/>
      <c r="H74" s="59"/>
      <c r="I74" s="59"/>
      <c r="K74" s="60"/>
      <c r="L74" s="60"/>
      <c r="M74" s="59"/>
      <c r="N74" s="60"/>
      <c r="O74" s="59"/>
      <c r="P74" s="59"/>
      <c r="Q74" s="59"/>
      <c r="R74" s="60"/>
      <c r="S74" s="59"/>
      <c r="T74" s="59"/>
      <c r="U74" s="60"/>
      <c r="V74" s="59"/>
      <c r="W74" s="60"/>
      <c r="X74" s="60"/>
      <c r="Y74" s="76"/>
      <c r="Z74" s="59"/>
      <c r="AA74" s="59"/>
      <c r="AB74" s="60"/>
      <c r="AC74" s="56"/>
      <c r="AD74" s="60"/>
      <c r="AE74" s="60"/>
      <c r="AF74" s="80"/>
      <c r="AG74" s="56"/>
      <c r="AH74" s="4"/>
      <c r="AI74" s="56"/>
      <c r="AJ74" s="109"/>
      <c r="AK74" s="56"/>
      <c r="AL74" s="56"/>
      <c r="AM74" s="56"/>
      <c r="AN74" s="56"/>
      <c r="AO74" s="82"/>
      <c r="AP74" s="82"/>
      <c r="AQ74" s="83"/>
      <c r="AR74" s="116"/>
      <c r="AS74" s="84"/>
      <c r="AT74" s="84"/>
      <c r="AU74" s="3"/>
      <c r="AV74" s="47">
        <v>31536000</v>
      </c>
      <c r="AW74" s="47">
        <v>47304000</v>
      </c>
      <c r="AX74" s="47">
        <v>63072000</v>
      </c>
      <c r="AY74" s="47">
        <v>78840000</v>
      </c>
      <c r="AZ74" s="47">
        <v>94608000</v>
      </c>
      <c r="BA74" s="47">
        <v>110376000</v>
      </c>
      <c r="BB74" s="47">
        <v>126144000</v>
      </c>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5"/>
      <c r="CS74" s="15"/>
      <c r="CT74" s="15"/>
      <c r="CU74" s="15"/>
    </row>
    <row r="75" spans="1:99" ht="12" customHeight="1" x14ac:dyDescent="0.2">
      <c r="A75" s="65">
        <v>43903</v>
      </c>
      <c r="B75" s="15" t="s">
        <v>481</v>
      </c>
      <c r="C75" s="15" t="s">
        <v>262</v>
      </c>
      <c r="D75" s="59">
        <v>2020</v>
      </c>
      <c r="E75" s="75">
        <v>2</v>
      </c>
      <c r="F75" s="59">
        <v>142</v>
      </c>
      <c r="G75" s="59">
        <v>17.75</v>
      </c>
      <c r="H75" s="59" t="s">
        <v>747</v>
      </c>
      <c r="I75" s="59" t="s">
        <v>864</v>
      </c>
      <c r="J75" s="64" t="s">
        <v>483</v>
      </c>
      <c r="K75" s="60">
        <f>IF(J75="syllables",1,IF(J75="trigrams",2,IF(J75="strings",3,IF(J75="visual array",4,IF(J75="characters",5,IF(J75="letters",6,IF(J75="free forms",7,IF(J75="odors",8,IF(J75="words",9,IF(J75="pictures",10,IF(J75="object pictures",11,IF(J75="faces",12,IF(J75="names",13,IF(J75="idioms",14,IF(J75="grades",15,IF(J75="syllable-digit pairs",16,IF(J75="trigram-word pairs",17,IF(J75="word-digit pairs",18,IF(J75="English-Swahili pairs",19,IF(J75="spatial position",20,IF(J75="word pairs",21,IF(J75="word triads",22,IF(J75="generated words",23,IF(J75="word definition pairs",24,IF(J75="math problems",25,IF(J75="famous faces",26,IF(J75="famous names",27,IF(J75="famous voices",28,IF(J75="television programs",29,IF(J75="race horses",30,IF(J75="new vocabulary",31,IF(J75="sentences",32,IF(J75="concepts",33,IF(J75="ad slides",34,IF(J75="scenes",35,IF(J75="famous scenes",36,IF(J75="poems",37,IF(J75="walk",38,IF(J75="faces and events",39,IF(J75="events and names",40,IF(J75="flashbulb",41,IF(J75="stories",42,IF(J75="course material",43,IF(J75="autobiographical",44,IF(J75="novels",45,IF(J75="public events",46,"99"))))))))))))))))))))))))))))))))))))))))))))))</f>
        <v>45</v>
      </c>
      <c r="L75" s="60">
        <f>IF(J75="syllables",1,IF(J75="trigrams",1,IF(J75="strings",1,IF(J75="visual array",1,IF(J75="characters",1,IF(J75="letters",1,IF(J75="free forms",1,IF(J75="odors",2,IF(J75="words",2,IF(J75="pictures",2,IF(J75="object pictures",2,IF(J75="faces",2,IF(J75="names",2,IF(J75="idioms","2",IF(J75="grades",2,IF(J75="syllable-digit pairs",3,IF(J75="trigram-word pairs",3,IF(J75="word-digit pairs",3,IF(J75="English-Swahili pairs",3,IF(J75="spatial position",3,IF(J75="word pairs",4,IF(J75="word triads",4,IF(J75="generated words",4,IF(J75="word definition pairs",4,IF(J75="math problems",4,IF(J75="famous faces",4,IF(J75="famous names",4,IF(J75="famous voices",4,IF(J75="television programs",4,IF(J75="race horses",4,IF(J75="new vocabulary",4,IF(J75="sentences",5,IF(J75="concepts",5,IF(J75="ad slides",5,IF(J75="scenes",5,IF(J75="famous scenes",5,IF(J75="poems",6,IF(J75="walk",6,IF(J75="faces and events",6,IF(J75="events and names",6,IF(J75="flashbulb",7,IF(J75="stories",7,IF(J75="course material",7,IF(J75="autobiographical",7,IF(J75="novels",7,IF(J75="public events",7,"99"))))))))))))))))))))))))))))))))))))))))))))))</f>
        <v>7</v>
      </c>
      <c r="M75" s="59">
        <v>0</v>
      </c>
      <c r="N75" s="60">
        <v>3</v>
      </c>
      <c r="O75" s="59">
        <v>0</v>
      </c>
      <c r="P75" s="59"/>
      <c r="Q75" s="59" t="s">
        <v>182</v>
      </c>
      <c r="R75" s="60">
        <f>IF(Q75="Free Recall",1,IF(Q75="Cued Recall",2,IF(Q75="Recognition",3,IF(Q75="Multiple Choice",4,IF(Q75="Savings",5,IF(Q75="Stem Completion",6,IF(Q75="Fragment Completion",7,IF(Q75="anagram solution",8,IF(Q75="Matching",9,IF(Q75="Problem Solving",10,"99"))))))))))</f>
        <v>4</v>
      </c>
      <c r="S75" s="59" t="s">
        <v>482</v>
      </c>
      <c r="T75" s="59" t="s">
        <v>261</v>
      </c>
      <c r="U75" s="60">
        <f t="shared" ref="U75" si="37">IF(T75="within",1,0)</f>
        <v>0</v>
      </c>
      <c r="V75" s="59">
        <v>12</v>
      </c>
      <c r="W75" s="60">
        <f>F75*V75</f>
        <v>1704</v>
      </c>
      <c r="X75" s="60">
        <v>7</v>
      </c>
      <c r="Y75" s="76">
        <f>AV74</f>
        <v>31536000</v>
      </c>
      <c r="Z75" s="59" t="s">
        <v>484</v>
      </c>
      <c r="AA75" s="60">
        <f>7.5*365*24*60*60</f>
        <v>236520000</v>
      </c>
      <c r="AB75" s="60" t="str">
        <f>IF(AA75&lt;60,"1",IF(AA75&lt;=43200,"2",IF(AA75&lt;=777600,"3","4")))</f>
        <v>4</v>
      </c>
      <c r="AC75" s="56">
        <f>AVERAGE(AV74:DA74)</f>
        <v>78840000</v>
      </c>
      <c r="AD75" s="60" t="str">
        <f>IF(AC75&lt;60,"1",IF(AC75&lt;=43200,"2",IF(AC75&lt;=777600,"3","4")))</f>
        <v>4</v>
      </c>
      <c r="AE75" s="76">
        <f>AA75-Y75</f>
        <v>204984000</v>
      </c>
      <c r="AF75" s="80">
        <f>AV75</f>
        <v>0.64407894736842075</v>
      </c>
      <c r="AG75" s="56">
        <f>((AW75-AV75)+(AX75-AW75)+(AY75-AX75)+(AZ75-AY75)+(BA75-AZ75)+(BB75-BA75))/6</f>
        <v>-1.4908958001063252E-2</v>
      </c>
      <c r="AH75" s="4"/>
      <c r="AI75" s="56">
        <f>RSQ(AV75:BB75,AV74:BB74)</f>
        <v>0.3671788319735072</v>
      </c>
      <c r="AJ75" s="109">
        <f>SLOPE(AV75:BB75,AV74:BB74)</f>
        <v>-5.503408239636453E-10</v>
      </c>
      <c r="AK75" s="56">
        <f>INTERCEPT(AV75:BB75,AV74:BB74)</f>
        <v>0.62729996287013789</v>
      </c>
      <c r="AL75" s="56">
        <f>INDEX(LINEST(LN(AV75:BB75),LN(AV74:BB74),TRUE,TRUE),3,1)</f>
        <v>0.45307473611146498</v>
      </c>
      <c r="AM75" s="56">
        <f>INDEX(LINEST(LN(AV75:BB75),LN(AV74:BB74)),1)</f>
        <v>-7.0723711191251898E-2</v>
      </c>
      <c r="AN75" s="56">
        <f>EXP(INDEX(LINEST(LN(AV75:BB75),LN(AV74:BB74)),1,2))</f>
        <v>2.0961644786070162</v>
      </c>
      <c r="AO75" s="82">
        <f>INDEX(LINEST((AV75:BB75),LN(AV74:BB74),TRUE,TRUE),3,1)</f>
        <v>0.46146596522157385</v>
      </c>
      <c r="AP75" s="82">
        <f>INDEX(LINEST((AV75:BB75),LN(AV74:BB74)),1)</f>
        <v>-4.267370111605745E-2</v>
      </c>
      <c r="AQ75" s="83">
        <f>INDEX(LINEST(LN(AV75:BB75),SQRT(AV74:BB74),TRUE,TRUE),3,1)</f>
        <v>0.40554077618771556</v>
      </c>
      <c r="AR75" s="116">
        <f>INDEX(LINEST(LN(AV75:BB75),SQRT((AV74:BB74))),1)</f>
        <v>-1.6420645425455173E-5</v>
      </c>
      <c r="AS75" s="84">
        <f>INDEX(LINEST(1/(AV75:BB75),1/(SQRT(AV74:BB74)),TRUE,TRUE),3,1)</f>
        <v>0.4912426990367374</v>
      </c>
      <c r="AT75" s="84">
        <f>INDEX(LINEST(1/(AV75:BB75),1/SQRT(AV74:BB74)),1)</f>
        <v>-1928.2264927294427</v>
      </c>
      <c r="AU75" s="3"/>
      <c r="AV75" s="11">
        <v>0.64407894736842075</v>
      </c>
      <c r="AW75" s="11">
        <v>0.57732456140350841</v>
      </c>
      <c r="AX75" s="11">
        <v>0.55587536549707572</v>
      </c>
      <c r="AY75" s="11">
        <v>0.60125411184210475</v>
      </c>
      <c r="AZ75" s="11">
        <v>0.57253086419753052</v>
      </c>
      <c r="BA75" s="11">
        <v>0.58168859649122762</v>
      </c>
      <c r="BB75" s="11">
        <v>0.55462519936204124</v>
      </c>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5"/>
      <c r="CS75" s="15"/>
      <c r="CT75" s="15"/>
      <c r="CU75" s="15"/>
    </row>
    <row r="76" spans="1:99" ht="12" customHeight="1" x14ac:dyDescent="0.2">
      <c r="A76" s="65">
        <v>43903</v>
      </c>
      <c r="B76" s="15"/>
      <c r="C76" s="15"/>
      <c r="D76" s="59"/>
      <c r="E76" s="75"/>
      <c r="F76" s="59"/>
      <c r="G76" s="59"/>
      <c r="H76" s="59"/>
      <c r="I76" s="59"/>
      <c r="K76" s="60"/>
      <c r="L76" s="60"/>
      <c r="M76" s="59"/>
      <c r="N76" s="60"/>
      <c r="O76" s="59"/>
      <c r="P76" s="59"/>
      <c r="Q76" s="59"/>
      <c r="R76" s="60"/>
      <c r="S76" s="59"/>
      <c r="T76" s="59"/>
      <c r="U76" s="60"/>
      <c r="V76" s="59"/>
      <c r="W76" s="60"/>
      <c r="X76" s="60"/>
      <c r="Y76" s="76"/>
      <c r="Z76" s="59"/>
      <c r="AA76" s="59"/>
      <c r="AB76" s="60"/>
      <c r="AC76" s="56"/>
      <c r="AD76" s="60"/>
      <c r="AE76" s="60"/>
      <c r="AF76" s="80"/>
      <c r="AG76" s="56"/>
      <c r="AH76" s="4"/>
      <c r="AI76" s="56"/>
      <c r="AJ76" s="109"/>
      <c r="AK76" s="56"/>
      <c r="AL76" s="56"/>
      <c r="AM76" s="56"/>
      <c r="AN76" s="56"/>
      <c r="AO76" s="82"/>
      <c r="AP76" s="82"/>
      <c r="AQ76" s="83"/>
      <c r="AR76" s="116"/>
      <c r="AS76" s="84"/>
      <c r="AT76" s="84"/>
      <c r="AU76" s="3"/>
      <c r="AV76" s="47">
        <v>31536000</v>
      </c>
      <c r="AW76" s="47">
        <v>47304000</v>
      </c>
      <c r="AX76" s="47">
        <v>63072000</v>
      </c>
      <c r="AY76" s="47">
        <v>78840000</v>
      </c>
      <c r="AZ76" s="47">
        <v>94608000</v>
      </c>
      <c r="BA76" s="47">
        <v>110376000</v>
      </c>
      <c r="BB76" s="47">
        <v>126144000</v>
      </c>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5"/>
      <c r="CS76" s="15"/>
      <c r="CT76" s="15"/>
      <c r="CU76" s="15"/>
    </row>
    <row r="77" spans="1:99" ht="12" customHeight="1" x14ac:dyDescent="0.2">
      <c r="A77" s="65">
        <v>43903</v>
      </c>
      <c r="B77" s="15" t="s">
        <v>481</v>
      </c>
      <c r="C77" s="15" t="s">
        <v>262</v>
      </c>
      <c r="D77" s="59">
        <v>2020</v>
      </c>
      <c r="E77" s="75">
        <v>2</v>
      </c>
      <c r="F77" s="59">
        <v>142</v>
      </c>
      <c r="G77" s="59">
        <v>17.75</v>
      </c>
      <c r="H77" s="59" t="s">
        <v>747</v>
      </c>
      <c r="I77" s="59" t="s">
        <v>719</v>
      </c>
      <c r="J77" s="64" t="s">
        <v>483</v>
      </c>
      <c r="K77" s="60">
        <f>IF(J77="syllables",1,IF(J77="trigrams",2,IF(J77="strings",3,IF(J77="visual array",4,IF(J77="characters",5,IF(J77="letters",6,IF(J77="free forms",7,IF(J77="odors",8,IF(J77="words",9,IF(J77="pictures",10,IF(J77="object pictures",11,IF(J77="faces",12,IF(J77="names",13,IF(J77="idioms",14,IF(J77="grades",15,IF(J77="syllable-digit pairs",16,IF(J77="trigram-word pairs",17,IF(J77="word-digit pairs",18,IF(J77="English-Swahili pairs",19,IF(J77="spatial position",20,IF(J77="word pairs",21,IF(J77="word triads",22,IF(J77="generated words",23,IF(J77="word definition pairs",24,IF(J77="math problems",25,IF(J77="famous faces",26,IF(J77="famous names",27,IF(J77="famous voices",28,IF(J77="television programs",29,IF(J77="race horses",30,IF(J77="new vocabulary",31,IF(J77="sentences",32,IF(J77="concepts",33,IF(J77="ad slides",34,IF(J77="scenes",35,IF(J77="famous scenes",36,IF(J77="poems",37,IF(J77="walk",38,IF(J77="faces and events",39,IF(J77="events and names",40,IF(J77="flashbulb",41,IF(J77="stories",42,IF(J77="course material",43,IF(J77="autobiographical",44,IF(J77="novels",45,IF(J77="public events",46,"99"))))))))))))))))))))))))))))))))))))))))))))))</f>
        <v>45</v>
      </c>
      <c r="L77" s="60">
        <f>IF(J77="syllables",1,IF(J77="trigrams",1,IF(J77="strings",1,IF(J77="visual array",1,IF(J77="characters",1,IF(J77="letters",1,IF(J77="free forms",1,IF(J77="odors",2,IF(J77="words",2,IF(J77="pictures",2,IF(J77="object pictures",2,IF(J77="faces",2,IF(J77="names",2,IF(J77="idioms","2",IF(J77="grades",2,IF(J77="syllable-digit pairs",3,IF(J77="trigram-word pairs",3,IF(J77="word-digit pairs",3,IF(J77="English-Swahili pairs",3,IF(J77="spatial position",3,IF(J77="word pairs",4,IF(J77="word triads",4,IF(J77="generated words",4,IF(J77="word definition pairs",4,IF(J77="math problems",4,IF(J77="famous faces",4,IF(J77="famous names",4,IF(J77="famous voices",4,IF(J77="television programs",4,IF(J77="race horses",4,IF(J77="new vocabulary",4,IF(J77="sentences",5,IF(J77="concepts",5,IF(J77="ad slides",5,IF(J77="scenes",5,IF(J77="famous scenes",5,IF(J77="poems",6,IF(J77="walk",6,IF(J77="faces and events",6,IF(J77="events and names",6,IF(J77="flashbulb",7,IF(J77="stories",7,IF(J77="course material",7,IF(J77="autobiographical",7,IF(J77="novels",7,IF(J77="public events",7,"99"))))))))))))))))))))))))))))))))))))))))))))))</f>
        <v>7</v>
      </c>
      <c r="M77" s="59">
        <v>0</v>
      </c>
      <c r="N77" s="60">
        <v>3</v>
      </c>
      <c r="O77" s="59">
        <v>0</v>
      </c>
      <c r="P77" s="59"/>
      <c r="Q77" s="59" t="s">
        <v>182</v>
      </c>
      <c r="R77" s="60">
        <f>IF(Q77="Free Recall",1,IF(Q77="Cued Recall",2,IF(Q77="Recognition",3,IF(Q77="Multiple Choice",4,IF(Q77="Savings",5,IF(Q77="Stem Completion",6,IF(Q77="Fragment Completion",7,IF(Q77="anagram solution",8,IF(Q77="Matching",9,IF(Q77="Problem Solving",10,"99"))))))))))</f>
        <v>4</v>
      </c>
      <c r="S77" s="59" t="s">
        <v>482</v>
      </c>
      <c r="T77" s="59" t="s">
        <v>261</v>
      </c>
      <c r="U77" s="60">
        <f t="shared" ref="U77" si="38">IF(T77="within",1,0)</f>
        <v>0</v>
      </c>
      <c r="V77" s="59">
        <v>12</v>
      </c>
      <c r="W77" s="60">
        <f>F77*V77</f>
        <v>1704</v>
      </c>
      <c r="X77" s="60">
        <v>7</v>
      </c>
      <c r="Y77" s="76">
        <f>AV76</f>
        <v>31536000</v>
      </c>
      <c r="Z77" s="59" t="s">
        <v>484</v>
      </c>
      <c r="AA77" s="60">
        <f>7.5*365*24*60*60</f>
        <v>236520000</v>
      </c>
      <c r="AB77" s="60" t="str">
        <f>IF(AA77&lt;60,"1",IF(AA77&lt;=43200,"2",IF(AA77&lt;=777600,"3","4")))</f>
        <v>4</v>
      </c>
      <c r="AC77" s="56">
        <f>AVERAGE(AV76:DA76)</f>
        <v>78840000</v>
      </c>
      <c r="AD77" s="60" t="str">
        <f>IF(AC77&lt;60,"1",IF(AC77&lt;=43200,"2",IF(AC77&lt;=777600,"3","4")))</f>
        <v>4</v>
      </c>
      <c r="AE77" s="76">
        <f>AA77-Y77</f>
        <v>204984000</v>
      </c>
      <c r="AF77" s="80">
        <f>AV77</f>
        <v>0.49855769230769198</v>
      </c>
      <c r="AG77" s="56">
        <f>((AW77-AV77)+(AX77-AW77)+(AY77-AX77)+(AZ77-AY77)+(BA77-AZ77)+(BB77-BA77))/6</f>
        <v>-1.2985972360972384E-2</v>
      </c>
      <c r="AH77" s="4"/>
      <c r="AI77" s="56">
        <f>RSQ(AV77:BB77,AV76:BB76)</f>
        <v>0.1922365713238566</v>
      </c>
      <c r="AJ77" s="109">
        <f>SLOPE(AV77:BB77,AV76:BB76)</f>
        <v>-5.6455537181646165E-10</v>
      </c>
      <c r="AK77" s="56">
        <f>INTERCEPT(AV77:BB77,AV76:BB76)</f>
        <v>0.45250797193877512</v>
      </c>
      <c r="AL77" s="56">
        <f>INDEX(LINEST(LN(AV77:BB77),LN(AV76:BB76),TRUE,TRUE),3,1)</f>
        <v>0.29351715217494045</v>
      </c>
      <c r="AM77" s="56">
        <f>INDEX(LINEST(LN(AV77:BB77),LN(AV76:BB76)),1)</f>
        <v>-0.11173740271049858</v>
      </c>
      <c r="AN77" s="56">
        <f>EXP(INDEX(LINEST(LN(AV77:BB77),LN(AV76:BB76)),1,2))</f>
        <v>3.0650789980858821</v>
      </c>
      <c r="AO77" s="82">
        <f>INDEX(LINEST((AV77:BB77),LN(AV76:BB76),TRUE,TRUE),3,1)</f>
        <v>0.31904338742696825</v>
      </c>
      <c r="AP77" s="82">
        <f>INDEX(LINEST((AV77:BB77),LN(AV76:BB76)),1)</f>
        <v>-5.0304979175589619E-2</v>
      </c>
      <c r="AQ77" s="83">
        <f>INDEX(LINEST(LN(AV77:BB77),SQRT(AV76:BB76),TRUE,TRUE),3,1)</f>
        <v>0.22954726283324439</v>
      </c>
      <c r="AR77" s="116">
        <f>INDEX(LINEST(LN(AV77:BB77),SQRT((AV76:BB76))),1)</f>
        <v>-2.4249943402447946E-5</v>
      </c>
      <c r="AS77" s="84">
        <f>INDEX(LINEST(1/(AV77:BB77),1/(SQRT(AV76:BB76)),TRUE,TRUE),3,1)</f>
        <v>0.332281323965886</v>
      </c>
      <c r="AT77" s="84">
        <f>INDEX(LINEST(1/(AV77:BB77),1/SQRT(AV76:BB76)),1)</f>
        <v>-4340.9653537803342</v>
      </c>
      <c r="AU77" s="3"/>
      <c r="AV77" s="11">
        <v>0.49855769230769198</v>
      </c>
      <c r="AW77" s="11">
        <v>0.37162087912087871</v>
      </c>
      <c r="AX77" s="11">
        <v>0.40230082417582363</v>
      </c>
      <c r="AY77" s="11">
        <v>0.4014208447802195</v>
      </c>
      <c r="AZ77" s="11">
        <v>0.39285714285714246</v>
      </c>
      <c r="BA77" s="11">
        <v>0.36858974358974322</v>
      </c>
      <c r="BB77" s="11">
        <v>0.42064185814185767</v>
      </c>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5"/>
      <c r="CS77" s="15"/>
      <c r="CT77" s="15"/>
      <c r="CU77" s="15"/>
    </row>
    <row r="78" spans="1:99" ht="12" customHeight="1" x14ac:dyDescent="0.2">
      <c r="A78" s="65">
        <v>43903</v>
      </c>
      <c r="B78" s="15"/>
      <c r="C78" s="15"/>
      <c r="D78" s="59"/>
      <c r="E78" s="75"/>
      <c r="F78" s="59"/>
      <c r="G78" s="59"/>
      <c r="H78" s="59"/>
      <c r="I78" s="59"/>
      <c r="K78" s="60"/>
      <c r="L78" s="60"/>
      <c r="M78" s="59"/>
      <c r="N78" s="60"/>
      <c r="O78" s="59"/>
      <c r="P78" s="59"/>
      <c r="Q78" s="59"/>
      <c r="R78" s="60"/>
      <c r="S78" s="59"/>
      <c r="T78" s="59"/>
      <c r="U78" s="60"/>
      <c r="V78" s="59"/>
      <c r="W78" s="60"/>
      <c r="X78" s="60"/>
      <c r="Y78" s="76"/>
      <c r="Z78" s="59"/>
      <c r="AA78" s="59"/>
      <c r="AB78" s="60"/>
      <c r="AC78" s="56"/>
      <c r="AD78" s="60"/>
      <c r="AE78" s="60"/>
      <c r="AF78" s="80"/>
      <c r="AG78" s="56"/>
      <c r="AH78" s="4"/>
      <c r="AI78" s="56"/>
      <c r="AJ78" s="109"/>
      <c r="AK78" s="56"/>
      <c r="AL78" s="56"/>
      <c r="AM78" s="56"/>
      <c r="AN78" s="56"/>
      <c r="AO78" s="82"/>
      <c r="AP78" s="82"/>
      <c r="AQ78" s="83"/>
      <c r="AR78" s="116"/>
      <c r="AS78" s="84"/>
      <c r="AT78" s="84"/>
      <c r="AU78" s="3"/>
      <c r="AV78" s="47">
        <v>31536000</v>
      </c>
      <c r="AW78" s="47">
        <v>47304000</v>
      </c>
      <c r="AX78" s="47">
        <v>63072000</v>
      </c>
      <c r="AY78" s="47">
        <v>78840000</v>
      </c>
      <c r="AZ78" s="47">
        <v>94608000</v>
      </c>
      <c r="BA78" s="47">
        <v>110376000</v>
      </c>
      <c r="BB78" s="47">
        <v>126144000</v>
      </c>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5"/>
      <c r="CS78" s="15"/>
      <c r="CT78" s="15"/>
      <c r="CU78" s="15"/>
    </row>
    <row r="79" spans="1:99" ht="12" customHeight="1" x14ac:dyDescent="0.2">
      <c r="A79" s="65">
        <v>43903</v>
      </c>
      <c r="B79" s="15" t="s">
        <v>481</v>
      </c>
      <c r="C79" s="15" t="s">
        <v>262</v>
      </c>
      <c r="D79" s="59">
        <v>2020</v>
      </c>
      <c r="E79" s="75">
        <v>2</v>
      </c>
      <c r="F79" s="59">
        <v>142</v>
      </c>
      <c r="G79" s="59">
        <v>17.75</v>
      </c>
      <c r="H79" s="59" t="s">
        <v>747</v>
      </c>
      <c r="I79" s="59" t="s">
        <v>921</v>
      </c>
      <c r="J79" s="64" t="s">
        <v>483</v>
      </c>
      <c r="K79" s="60">
        <f>IF(J79="syllables",1,IF(J79="trigrams",2,IF(J79="strings",3,IF(J79="visual array",4,IF(J79="characters",5,IF(J79="letters",6,IF(J79="free forms",7,IF(J79="odors",8,IF(J79="words",9,IF(J79="pictures",10,IF(J79="object pictures",11,IF(J79="faces",12,IF(J79="names",13,IF(J79="idioms",14,IF(J79="grades",15,IF(J79="syllable-digit pairs",16,IF(J79="trigram-word pairs",17,IF(J79="word-digit pairs",18,IF(J79="English-Swahili pairs",19,IF(J79="spatial position",20,IF(J79="word pairs",21,IF(J79="word triads",22,IF(J79="generated words",23,IF(J79="word definition pairs",24,IF(J79="math problems",25,IF(J79="famous faces",26,IF(J79="famous names",27,IF(J79="famous voices",28,IF(J79="television programs",29,IF(J79="race horses",30,IF(J79="new vocabulary",31,IF(J79="sentences",32,IF(J79="concepts",33,IF(J79="ad slides",34,IF(J79="scenes",35,IF(J79="famous scenes",36,IF(J79="poems",37,IF(J79="walk",38,IF(J79="faces and events",39,IF(J79="events and names",40,IF(J79="flashbulb",41,IF(J79="stories",42,IF(J79="course material",43,IF(J79="autobiographical",44,IF(J79="novels",45,IF(J79="public events",46,"99"))))))))))))))))))))))))))))))))))))))))))))))</f>
        <v>45</v>
      </c>
      <c r="L79" s="60">
        <f>IF(J79="syllables",1,IF(J79="trigrams",1,IF(J79="strings",1,IF(J79="visual array",1,IF(J79="characters",1,IF(J79="letters",1,IF(J79="free forms",1,IF(J79="odors",2,IF(J79="words",2,IF(J79="pictures",2,IF(J79="object pictures",2,IF(J79="faces",2,IF(J79="names",2,IF(J79="idioms","2",IF(J79="grades",2,IF(J79="syllable-digit pairs",3,IF(J79="trigram-word pairs",3,IF(J79="word-digit pairs",3,IF(J79="English-Swahili pairs",3,IF(J79="spatial position",3,IF(J79="word pairs",4,IF(J79="word triads",4,IF(J79="generated words",4,IF(J79="word definition pairs",4,IF(J79="math problems",4,IF(J79="famous faces",4,IF(J79="famous names",4,IF(J79="famous voices",4,IF(J79="television programs",4,IF(J79="race horses",4,IF(J79="new vocabulary",4,IF(J79="sentences",5,IF(J79="concepts",5,IF(J79="ad slides",5,IF(J79="scenes",5,IF(J79="famous scenes",5,IF(J79="poems",6,IF(J79="walk",6,IF(J79="faces and events",6,IF(J79="events and names",6,IF(J79="flashbulb",7,IF(J79="stories",7,IF(J79="course material",7,IF(J79="autobiographical",7,IF(J79="novels",7,IF(J79="public events",7,"99"))))))))))))))))))))))))))))))))))))))))))))))</f>
        <v>7</v>
      </c>
      <c r="M79" s="59">
        <v>0</v>
      </c>
      <c r="N79" s="60">
        <v>3</v>
      </c>
      <c r="O79" s="59">
        <v>0</v>
      </c>
      <c r="P79" s="59"/>
      <c r="Q79" s="59" t="s">
        <v>182</v>
      </c>
      <c r="R79" s="60">
        <f>IF(Q79="Free Recall",1,IF(Q79="Cued Recall",2,IF(Q79="Recognition",3,IF(Q79="Multiple Choice",4,IF(Q79="Savings",5,IF(Q79="Stem Completion",6,IF(Q79="Fragment Completion",7,IF(Q79="anagram solution",8,IF(Q79="Matching",9,IF(Q79="Problem Solving",10,"99"))))))))))</f>
        <v>4</v>
      </c>
      <c r="S79" s="59" t="s">
        <v>482</v>
      </c>
      <c r="T79" s="59" t="s">
        <v>261</v>
      </c>
      <c r="U79" s="60">
        <f t="shared" ref="U79" si="39">IF(T79="within",1,0)</f>
        <v>0</v>
      </c>
      <c r="V79" s="59">
        <v>12</v>
      </c>
      <c r="W79" s="60">
        <f>F79*V79</f>
        <v>1704</v>
      </c>
      <c r="X79" s="60">
        <v>7</v>
      </c>
      <c r="Y79" s="76">
        <f>AV78</f>
        <v>31536000</v>
      </c>
      <c r="Z79" s="59" t="s">
        <v>484</v>
      </c>
      <c r="AA79" s="60">
        <f>7.5*365*24*60*60</f>
        <v>236520000</v>
      </c>
      <c r="AB79" s="60" t="str">
        <f>IF(AA79&lt;60,"1",IF(AA79&lt;=43200,"2",IF(AA79&lt;=777600,"3","4")))</f>
        <v>4</v>
      </c>
      <c r="AC79" s="56">
        <f>AVERAGE(AV78:DA78)</f>
        <v>78840000</v>
      </c>
      <c r="AD79" s="60" t="str">
        <f>IF(AC79&lt;60,"1",IF(AC79&lt;=43200,"2",IF(AC79&lt;=777600,"3","4")))</f>
        <v>4</v>
      </c>
      <c r="AE79" s="76">
        <f>AA79-Y79</f>
        <v>204984000</v>
      </c>
      <c r="AF79" s="80">
        <f>AV79</f>
        <v>0.3807692307692303</v>
      </c>
      <c r="AG79" s="56">
        <f>((AW79-AV79)+(AX79-AW79)+(AY79-AX79)+(AZ79-AY79)+(BA79-AZ79)+(BB79-BA79))/6</f>
        <v>-1.4898989898989893E-2</v>
      </c>
      <c r="AH79" s="4"/>
      <c r="AI79" s="56">
        <f>RSQ(AV79:BB79,AV78:BB78)</f>
        <v>0.71240257802110141</v>
      </c>
      <c r="AJ79" s="109">
        <f>SLOPE(AV79:BB79,AV78:BB78)</f>
        <v>-8.6295117502837712E-10</v>
      </c>
      <c r="AK79" s="56">
        <f>INTERCEPT(AV79:BB79,AV78:BB78)</f>
        <v>0.40460334418667709</v>
      </c>
      <c r="AL79" s="56">
        <f>INDEX(LINEST(LN(AV79:BB79),LN(AV78:BB78),TRUE,TRUE),3,1)</f>
        <v>0.66493530837282666</v>
      </c>
      <c r="AM79" s="56">
        <f>INDEX(LINEST(LN(AV79:BB79),LN(AV78:BB78)),1)</f>
        <v>-0.17435575550386112</v>
      </c>
      <c r="AN79" s="56">
        <f>EXP(INDEX(LINEST(LN(AV79:BB79),LN(AV78:BB78)),1,2))</f>
        <v>7.8473231768417246</v>
      </c>
      <c r="AO79" s="82">
        <f>INDEX(LINEST((AV79:BB79),LN(AV78:BB78),TRUE,TRUE),3,1)</f>
        <v>0.68296216837313706</v>
      </c>
      <c r="AP79" s="82">
        <f>INDEX(LINEST((AV79:BB79),LN(AV78:BB78)),1)</f>
        <v>-5.8441232760913293E-2</v>
      </c>
      <c r="AQ79" s="83">
        <f>INDEX(LINEST(LN(AV79:BB79),SQRT(AV78:BB78),TRUE,TRUE),3,1)</f>
        <v>0.68957537001270841</v>
      </c>
      <c r="AR79" s="116">
        <f>INDEX(LINEST(LN(AV79:BB79),SQRT((AV78:BB78))),1)</f>
        <v>-4.3574288217883655E-5</v>
      </c>
      <c r="AS79" s="84">
        <f>INDEX(LINEST(1/(AV79:BB79),1/(SQRT(AV78:BB78)),TRUE,TRUE),3,1)</f>
        <v>0.60683873857508386</v>
      </c>
      <c r="AT79" s="84">
        <f>INDEX(LINEST(1/(AV79:BB79),1/SQRT(AV78:BB78)),1)</f>
        <v>-7918.4232191357296</v>
      </c>
      <c r="AU79" s="3"/>
      <c r="AV79" s="11">
        <v>0.3807692307692303</v>
      </c>
      <c r="AW79" s="11">
        <v>0.34743589743589703</v>
      </c>
      <c r="AX79" s="11">
        <v>0.36939102564102533</v>
      </c>
      <c r="AY79" s="11">
        <v>0.34515224358974317</v>
      </c>
      <c r="AZ79" s="11">
        <v>0.29226020892687515</v>
      </c>
      <c r="BA79" s="11">
        <v>0.32959401709401687</v>
      </c>
      <c r="BB79" s="11">
        <v>0.29137529137529095</v>
      </c>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5"/>
      <c r="CS79" s="15"/>
      <c r="CT79" s="15"/>
      <c r="CU79" s="15"/>
    </row>
    <row r="80" spans="1:99" ht="12" customHeight="1" x14ac:dyDescent="0.2">
      <c r="A80" s="65">
        <v>43903</v>
      </c>
      <c r="B80" s="15"/>
      <c r="C80" s="15"/>
      <c r="D80" s="59"/>
      <c r="E80" s="75"/>
      <c r="F80" s="59"/>
      <c r="G80" s="59"/>
      <c r="H80" s="59"/>
      <c r="I80" s="59"/>
      <c r="K80" s="60"/>
      <c r="L80" s="60"/>
      <c r="M80" s="59"/>
      <c r="N80" s="60"/>
      <c r="O80" s="59"/>
      <c r="P80" s="59"/>
      <c r="Q80" s="59"/>
      <c r="R80" s="60"/>
      <c r="S80" s="59"/>
      <c r="T80" s="59"/>
      <c r="U80" s="60"/>
      <c r="V80" s="59"/>
      <c r="W80" s="60"/>
      <c r="X80" s="60"/>
      <c r="Y80" s="76"/>
      <c r="Z80" s="59"/>
      <c r="AA80" s="59"/>
      <c r="AB80" s="60"/>
      <c r="AC80" s="56"/>
      <c r="AD80" s="60"/>
      <c r="AE80" s="60"/>
      <c r="AF80" s="80"/>
      <c r="AG80" s="56"/>
      <c r="AH80" s="4"/>
      <c r="AI80" s="56"/>
      <c r="AJ80" s="109"/>
      <c r="AK80" s="56"/>
      <c r="AL80" s="56"/>
      <c r="AM80" s="56"/>
      <c r="AN80" s="56"/>
      <c r="AO80" s="82"/>
      <c r="AP80" s="82"/>
      <c r="AQ80" s="83"/>
      <c r="AR80" s="116"/>
      <c r="AS80" s="84"/>
      <c r="AT80" s="84"/>
      <c r="AU80" s="3"/>
      <c r="AV80" s="47">
        <v>31536000</v>
      </c>
      <c r="AW80" s="47">
        <v>47304000</v>
      </c>
      <c r="AX80" s="47">
        <v>63072000</v>
      </c>
      <c r="AY80" s="47">
        <v>78840000</v>
      </c>
      <c r="AZ80" s="47">
        <v>94608000</v>
      </c>
      <c r="BA80" s="47">
        <v>110376000</v>
      </c>
      <c r="BB80" s="47">
        <v>126144000</v>
      </c>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5"/>
      <c r="CS80" s="15"/>
      <c r="CT80" s="15"/>
      <c r="CU80" s="15"/>
    </row>
    <row r="81" spans="1:99" ht="12" customHeight="1" x14ac:dyDescent="0.2">
      <c r="A81" s="65">
        <v>43903</v>
      </c>
      <c r="B81" s="15" t="s">
        <v>481</v>
      </c>
      <c r="C81" s="15" t="s">
        <v>262</v>
      </c>
      <c r="D81" s="59">
        <v>2020</v>
      </c>
      <c r="E81" s="75">
        <v>2</v>
      </c>
      <c r="F81" s="59">
        <v>142</v>
      </c>
      <c r="G81" s="59">
        <v>17.75</v>
      </c>
      <c r="H81" s="59" t="s">
        <v>747</v>
      </c>
      <c r="I81" s="59" t="s">
        <v>922</v>
      </c>
      <c r="J81" s="64" t="s">
        <v>483</v>
      </c>
      <c r="K81" s="60">
        <f>IF(J81="syllables",1,IF(J81="trigrams",2,IF(J81="strings",3,IF(J81="visual array",4,IF(J81="characters",5,IF(J81="letters",6,IF(J81="free forms",7,IF(J81="odors",8,IF(J81="words",9,IF(J81="pictures",10,IF(J81="object pictures",11,IF(J81="faces",12,IF(J81="names",13,IF(J81="idioms",14,IF(J81="grades",15,IF(J81="syllable-digit pairs",16,IF(J81="trigram-word pairs",17,IF(J81="word-digit pairs",18,IF(J81="English-Swahili pairs",19,IF(J81="spatial position",20,IF(J81="word pairs",21,IF(J81="word triads",22,IF(J81="generated words",23,IF(J81="word definition pairs",24,IF(J81="math problems",25,IF(J81="famous faces",26,IF(J81="famous names",27,IF(J81="famous voices",28,IF(J81="television programs",29,IF(J81="race horses",30,IF(J81="new vocabulary",31,IF(J81="sentences",32,IF(J81="concepts",33,IF(J81="ad slides",34,IF(J81="scenes",35,IF(J81="famous scenes",36,IF(J81="poems",37,IF(J81="walk",38,IF(J81="faces and events",39,IF(J81="events and names",40,IF(J81="flashbulb",41,IF(J81="stories",42,IF(J81="course material",43,IF(J81="autobiographical",44,IF(J81="novels",45,IF(J81="public events",46,"99"))))))))))))))))))))))))))))))))))))))))))))))</f>
        <v>45</v>
      </c>
      <c r="L81" s="60">
        <f>IF(J81="syllables",1,IF(J81="trigrams",1,IF(J81="strings",1,IF(J81="visual array",1,IF(J81="characters",1,IF(J81="letters",1,IF(J81="free forms",1,IF(J81="odors",2,IF(J81="words",2,IF(J81="pictures",2,IF(J81="object pictures",2,IF(J81="faces",2,IF(J81="names",2,IF(J81="idioms","2",IF(J81="grades",2,IF(J81="syllable-digit pairs",3,IF(J81="trigram-word pairs",3,IF(J81="word-digit pairs",3,IF(J81="English-Swahili pairs",3,IF(J81="spatial position",3,IF(J81="word pairs",4,IF(J81="word triads",4,IF(J81="generated words",4,IF(J81="word definition pairs",4,IF(J81="math problems",4,IF(J81="famous faces",4,IF(J81="famous names",4,IF(J81="famous voices",4,IF(J81="television programs",4,IF(J81="race horses",4,IF(J81="new vocabulary",4,IF(J81="sentences",5,IF(J81="concepts",5,IF(J81="ad slides",5,IF(J81="scenes",5,IF(J81="famous scenes",5,IF(J81="poems",6,IF(J81="walk",6,IF(J81="faces and events",6,IF(J81="events and names",6,IF(J81="flashbulb",7,IF(J81="stories",7,IF(J81="course material",7,IF(J81="autobiographical",7,IF(J81="novels",7,IF(J81="public events",7,"99"))))))))))))))))))))))))))))))))))))))))))))))</f>
        <v>7</v>
      </c>
      <c r="M81" s="59">
        <v>0</v>
      </c>
      <c r="N81" s="60">
        <v>3</v>
      </c>
      <c r="O81" s="59">
        <v>0</v>
      </c>
      <c r="P81" s="59"/>
      <c r="Q81" s="59" t="s">
        <v>182</v>
      </c>
      <c r="R81" s="60">
        <f>IF(Q81="Free Recall",1,IF(Q81="Cued Recall",2,IF(Q81="Recognition",3,IF(Q81="Multiple Choice",4,IF(Q81="Savings",5,IF(Q81="Stem Completion",6,IF(Q81="Fragment Completion",7,IF(Q81="anagram solution",8,IF(Q81="Matching",9,IF(Q81="Problem Solving",10,"99"))))))))))</f>
        <v>4</v>
      </c>
      <c r="S81" s="59" t="s">
        <v>482</v>
      </c>
      <c r="T81" s="59" t="s">
        <v>261</v>
      </c>
      <c r="U81" s="60">
        <f t="shared" ref="U81" si="40">IF(T81="within",1,0)</f>
        <v>0</v>
      </c>
      <c r="V81" s="59">
        <v>12</v>
      </c>
      <c r="W81" s="60">
        <f>F81*V81</f>
        <v>1704</v>
      </c>
      <c r="X81" s="60">
        <v>7</v>
      </c>
      <c r="Y81" s="76">
        <f>AV80</f>
        <v>31536000</v>
      </c>
      <c r="Z81" s="59" t="s">
        <v>484</v>
      </c>
      <c r="AA81" s="60">
        <f>7.5*365*24*60*60</f>
        <v>236520000</v>
      </c>
      <c r="AB81" s="60" t="str">
        <f>IF(AA81&lt;60,"1",IF(AA81&lt;=43200,"2",IF(AA81&lt;=777600,"3","4")))</f>
        <v>4</v>
      </c>
      <c r="AC81" s="56">
        <f>AVERAGE(AV80:DA80)</f>
        <v>78840000</v>
      </c>
      <c r="AD81" s="60" t="str">
        <f>IF(AC81&lt;60,"1",IF(AC81&lt;=43200,"2",IF(AC81&lt;=777600,"3","4")))</f>
        <v>4</v>
      </c>
      <c r="AE81" s="76">
        <f>AA81-Y81</f>
        <v>204984000</v>
      </c>
      <c r="AF81" s="80">
        <f>AV81</f>
        <v>0.38333333333333297</v>
      </c>
      <c r="AG81" s="56">
        <f>((AW81-AV81)+(AX81-AW81)+(AY81-AX81)+(AZ81-AY81)+(BA81-AZ81)+(BB81-BA81))/6</f>
        <v>-2.0959595959595928E-2</v>
      </c>
      <c r="AH81" s="4"/>
      <c r="AI81" s="56">
        <f>RSQ(AV81:BB81,AV80:BB80)</f>
        <v>0.52073793351367859</v>
      </c>
      <c r="AJ81" s="109">
        <f>SLOPE(AV81:BB81,AV80:BB80)</f>
        <v>-9.902764162446209E-10</v>
      </c>
      <c r="AK81" s="56">
        <f>INTERCEPT(AV81:BB81,AV80:BB80)</f>
        <v>0.35913966049382678</v>
      </c>
      <c r="AL81" s="56">
        <f>INDEX(LINEST(LN(AV81:BB81),LN(AV80:BB80),TRUE,TRUE),3,1)</f>
        <v>0.7203142792796966</v>
      </c>
      <c r="AM81" s="56">
        <f>INDEX(LINEST(LN(AV81:BB81),LN(AV80:BB80)),1)</f>
        <v>-0.25573163049038727</v>
      </c>
      <c r="AN81" s="56">
        <f>EXP(INDEX(LINEST(LN(AV81:BB81),LN(AV80:BB80)),1,2))</f>
        <v>28.401292052047669</v>
      </c>
      <c r="AO81" s="82">
        <f>INDEX(LINEST((AV81:BB81),LN(AV80:BB80),TRUE,TRUE),3,1)</f>
        <v>0.70285392731901009</v>
      </c>
      <c r="AP81" s="82">
        <f>INDEX(LINEST((AV81:BB81),LN(AV80:BB80)),1)</f>
        <v>-7.9575051451195034E-2</v>
      </c>
      <c r="AQ81" s="83">
        <f>INDEX(LINEST(LN(AV81:BB81),SQRT(AV80:BB80),TRUE,TRUE),3,1)</f>
        <v>0.62873565545146248</v>
      </c>
      <c r="AR81" s="116">
        <f>INDEX(LINEST(LN(AV81:BB81),SQRT((AV80:BB80))),1)</f>
        <v>-5.8634107763531945E-5</v>
      </c>
      <c r="AS81" s="84">
        <f>INDEX(LINEST(1/(AV81:BB81),1/(SQRT(AV80:BB80)),TRUE,TRUE),3,1)</f>
        <v>0.81757224662304206</v>
      </c>
      <c r="AT81" s="84">
        <f>INDEX(LINEST(1/(AV81:BB81),1/SQRT(AV80:BB80)),1)</f>
        <v>-13720.145467463428</v>
      </c>
      <c r="AU81" s="3"/>
      <c r="AV81" s="11">
        <v>0.38333333333333297</v>
      </c>
      <c r="AW81" s="11">
        <v>0.28999999999999976</v>
      </c>
      <c r="AX81" s="11">
        <v>0.26388888888888856</v>
      </c>
      <c r="AY81" s="11">
        <v>0.25260416666666641</v>
      </c>
      <c r="AZ81" s="11">
        <v>0.25617283950617253</v>
      </c>
      <c r="BA81" s="11">
        <v>0.26388888888888856</v>
      </c>
      <c r="BB81" s="11">
        <v>0.2575757575757574</v>
      </c>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5"/>
      <c r="CS81" s="15"/>
      <c r="CT81" s="15"/>
      <c r="CU81" s="15"/>
    </row>
    <row r="82" spans="1:99" ht="12" customHeight="1" x14ac:dyDescent="0.2">
      <c r="A82" s="65">
        <v>43903</v>
      </c>
      <c r="B82" s="15"/>
      <c r="C82" s="15"/>
      <c r="D82" s="59"/>
      <c r="E82" s="75"/>
      <c r="F82" s="59"/>
      <c r="G82" s="59"/>
      <c r="H82" s="59"/>
      <c r="I82" s="59"/>
      <c r="K82" s="60"/>
      <c r="L82" s="60"/>
      <c r="M82" s="59"/>
      <c r="N82" s="60"/>
      <c r="O82" s="59"/>
      <c r="P82" s="59"/>
      <c r="Q82" s="59"/>
      <c r="R82" s="60"/>
      <c r="S82" s="59"/>
      <c r="T82" s="59"/>
      <c r="U82" s="60"/>
      <c r="V82" s="59"/>
      <c r="W82" s="60"/>
      <c r="X82" s="60"/>
      <c r="Y82" s="76"/>
      <c r="Z82" s="59"/>
      <c r="AA82" s="59"/>
      <c r="AB82" s="60"/>
      <c r="AC82" s="56"/>
      <c r="AD82" s="60"/>
      <c r="AE82" s="60"/>
      <c r="AF82" s="80"/>
      <c r="AG82" s="56"/>
      <c r="AH82" s="4"/>
      <c r="AI82" s="56"/>
      <c r="AJ82" s="109"/>
      <c r="AK82" s="56"/>
      <c r="AL82" s="56"/>
      <c r="AM82" s="56"/>
      <c r="AN82" s="56"/>
      <c r="AO82" s="82"/>
      <c r="AP82" s="82"/>
      <c r="AQ82" s="83"/>
      <c r="AR82" s="116"/>
      <c r="AS82" s="84"/>
      <c r="AT82" s="84"/>
      <c r="AU82" s="3"/>
      <c r="AV82" s="47">
        <v>31536000</v>
      </c>
      <c r="AW82" s="47">
        <v>47304000</v>
      </c>
      <c r="AX82" s="47">
        <v>63072000</v>
      </c>
      <c r="AY82" s="47">
        <v>78840000</v>
      </c>
      <c r="AZ82" s="47">
        <v>94608000</v>
      </c>
      <c r="BA82" s="47">
        <v>110376000</v>
      </c>
      <c r="BB82" s="47">
        <v>126144000</v>
      </c>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5"/>
      <c r="CS82" s="15"/>
      <c r="CT82" s="15"/>
      <c r="CU82" s="15"/>
    </row>
    <row r="83" spans="1:99" ht="12" customHeight="1" x14ac:dyDescent="0.2">
      <c r="A83" s="65">
        <v>43903</v>
      </c>
      <c r="B83" s="15" t="s">
        <v>481</v>
      </c>
      <c r="C83" s="15" t="s">
        <v>262</v>
      </c>
      <c r="D83" s="59">
        <v>2020</v>
      </c>
      <c r="E83" s="75">
        <v>2</v>
      </c>
      <c r="F83" s="59">
        <v>142</v>
      </c>
      <c r="G83" s="59">
        <v>17.75</v>
      </c>
      <c r="H83" s="59" t="s">
        <v>747</v>
      </c>
      <c r="I83" s="59" t="s">
        <v>876</v>
      </c>
      <c r="J83" s="64" t="s">
        <v>483</v>
      </c>
      <c r="K83" s="60">
        <f>IF(J83="syllables",1,IF(J83="trigrams",2,IF(J83="strings",3,IF(J83="visual array",4,IF(J83="characters",5,IF(J83="letters",6,IF(J83="free forms",7,IF(J83="odors",8,IF(J83="words",9,IF(J83="pictures",10,IF(J83="object pictures",11,IF(J83="faces",12,IF(J83="names",13,IF(J83="idioms",14,IF(J83="grades",15,IF(J83="syllable-digit pairs",16,IF(J83="trigram-word pairs",17,IF(J83="word-digit pairs",18,IF(J83="English-Swahili pairs",19,IF(J83="spatial position",20,IF(J83="word pairs",21,IF(J83="word triads",22,IF(J83="generated words",23,IF(J83="word definition pairs",24,IF(J83="math problems",25,IF(J83="famous faces",26,IF(J83="famous names",27,IF(J83="famous voices",28,IF(J83="television programs",29,IF(J83="race horses",30,IF(J83="new vocabulary",31,IF(J83="sentences",32,IF(J83="concepts",33,IF(J83="ad slides",34,IF(J83="scenes",35,IF(J83="famous scenes",36,IF(J83="poems",37,IF(J83="walk",38,IF(J83="faces and events",39,IF(J83="events and names",40,IF(J83="flashbulb",41,IF(J83="stories",42,IF(J83="course material",43,IF(J83="autobiographical",44,IF(J83="novels",45,IF(J83="public events",46,"99"))))))))))))))))))))))))))))))))))))))))))))))</f>
        <v>45</v>
      </c>
      <c r="L83" s="60">
        <f>IF(J83="syllables",1,IF(J83="trigrams",1,IF(J83="strings",1,IF(J83="visual array",1,IF(J83="characters",1,IF(J83="letters",1,IF(J83="free forms",1,IF(J83="odors",2,IF(J83="words",2,IF(J83="pictures",2,IF(J83="object pictures",2,IF(J83="faces",2,IF(J83="names",2,IF(J83="idioms","2",IF(J83="grades",2,IF(J83="syllable-digit pairs",3,IF(J83="trigram-word pairs",3,IF(J83="word-digit pairs",3,IF(J83="English-Swahili pairs",3,IF(J83="spatial position",3,IF(J83="word pairs",4,IF(J83="word triads",4,IF(J83="generated words",4,IF(J83="word definition pairs",4,IF(J83="math problems",4,IF(J83="famous faces",4,IF(J83="famous names",4,IF(J83="famous voices",4,IF(J83="television programs",4,IF(J83="race horses",4,IF(J83="new vocabulary",4,IF(J83="sentences",5,IF(J83="concepts",5,IF(J83="ad slides",5,IF(J83="scenes",5,IF(J83="famous scenes",5,IF(J83="poems",6,IF(J83="walk",6,IF(J83="faces and events",6,IF(J83="events and names",6,IF(J83="flashbulb",7,IF(J83="stories",7,IF(J83="course material",7,IF(J83="autobiographical",7,IF(J83="novels",7,IF(J83="public events",7,"99"))))))))))))))))))))))))))))))))))))))))))))))</f>
        <v>7</v>
      </c>
      <c r="M83" s="59">
        <v>0</v>
      </c>
      <c r="N83" s="60">
        <v>3</v>
      </c>
      <c r="O83" s="59">
        <v>0</v>
      </c>
      <c r="P83" s="59"/>
      <c r="Q83" s="59" t="s">
        <v>182</v>
      </c>
      <c r="R83" s="60">
        <f>IF(Q83="Free Recall",1,IF(Q83="Cued Recall",2,IF(Q83="Recognition",3,IF(Q83="Multiple Choice",4,IF(Q83="Savings",5,IF(Q83="Stem Completion",6,IF(Q83="Fragment Completion",7,IF(Q83="anagram solution",8,IF(Q83="Matching",9,IF(Q83="Problem Solving",10,"99"))))))))))</f>
        <v>4</v>
      </c>
      <c r="S83" s="59" t="s">
        <v>482</v>
      </c>
      <c r="T83" s="59" t="s">
        <v>261</v>
      </c>
      <c r="U83" s="60">
        <f t="shared" ref="U83" si="41">IF(T83="within",1,0)</f>
        <v>0</v>
      </c>
      <c r="V83" s="59">
        <v>12</v>
      </c>
      <c r="W83" s="60">
        <f>F83*V83</f>
        <v>1704</v>
      </c>
      <c r="X83" s="60">
        <v>7</v>
      </c>
      <c r="Y83" s="76">
        <f>AV82</f>
        <v>31536000</v>
      </c>
      <c r="Z83" s="59" t="s">
        <v>484</v>
      </c>
      <c r="AA83" s="60">
        <f>7.5*365*24*60*60</f>
        <v>236520000</v>
      </c>
      <c r="AB83" s="60" t="str">
        <f>IF(AA83&lt;60,"1",IF(AA83&lt;=43200,"2",IF(AA83&lt;=777600,"3","4")))</f>
        <v>4</v>
      </c>
      <c r="AC83" s="56">
        <f>AVERAGE(AV82:DA82)</f>
        <v>78840000</v>
      </c>
      <c r="AD83" s="60" t="str">
        <f>IF(AC83&lt;60,"1",IF(AC83&lt;=43200,"2",IF(AC83&lt;=777600,"3","4")))</f>
        <v>4</v>
      </c>
      <c r="AE83" s="76">
        <f>AA83-Y83</f>
        <v>204984000</v>
      </c>
      <c r="AF83" s="80">
        <f>AV83</f>
        <v>0.5142857142857139</v>
      </c>
      <c r="AG83" s="56">
        <f>((AW83-AV83)+(AX83-AW83)+(AY83-AX83)+(AZ83-AY83)+(BA83-AZ83)+(BB83-BA83))/6</f>
        <v>-1.8434343434343432E-2</v>
      </c>
      <c r="AH83" s="4"/>
      <c r="AI83" s="56">
        <f>RSQ(AV83:BB83,AV82:BB82)</f>
        <v>0.22061055371373686</v>
      </c>
      <c r="AJ83" s="109">
        <f>SLOPE(AV83:BB83,AV82:BB82)</f>
        <v>-7.0156480309804677E-10</v>
      </c>
      <c r="AK83" s="56">
        <f>INTERCEPT(AV83:BB83,AV82:BB82)</f>
        <v>0.46933492378432823</v>
      </c>
      <c r="AL83" s="56">
        <f>INDEX(LINEST(LN(AV83:BB83),LN(AV82:BB82),TRUE,TRUE),3,1)</f>
        <v>0.32412237614109013</v>
      </c>
      <c r="AM83" s="56">
        <f>INDEX(LINEST(LN(AV83:BB83),LN(AV82:BB82)),1)</f>
        <v>-0.13570917735172788</v>
      </c>
      <c r="AN83" s="56">
        <f>EXP(INDEX(LINEST(LN(AV83:BB83),LN(AV82:BB82)),1,2))</f>
        <v>4.7915400178867591</v>
      </c>
      <c r="AO83" s="82">
        <f>INDEX(LINEST((AV83:BB83),LN(AV82:BB82),TRUE,TRUE),3,1)</f>
        <v>0.35744785142173385</v>
      </c>
      <c r="AP83" s="82">
        <f>INDEX(LINEST((AV83:BB83),LN(AV82:BB82)),1)</f>
        <v>-6.1767291420725234E-2</v>
      </c>
      <c r="AQ83" s="83">
        <f>INDEX(LINEST(LN(AV83:BB83),SQRT(AV82:BB82),TRUE,TRUE),3,1)</f>
        <v>0.25554605208481496</v>
      </c>
      <c r="AR83" s="116">
        <f>INDEX(LINEST(LN(AV83:BB83),SQRT((AV82:BB82))),1)</f>
        <v>-2.9572098172028613E-5</v>
      </c>
      <c r="AS83" s="84">
        <f>INDEX(LINEST(1/(AV83:BB83),1/(SQRT(AV82:BB82)),TRUE,TRUE),3,1)</f>
        <v>0.35643337522566382</v>
      </c>
      <c r="AT83" s="84">
        <f>INDEX(LINEST(1/(AV83:BB83),1/SQRT(AV82:BB82)),1)</f>
        <v>-5201.1910981736974</v>
      </c>
      <c r="AU83" s="3"/>
      <c r="AV83" s="11">
        <v>0.5142857142857139</v>
      </c>
      <c r="AW83" s="11">
        <v>0.38857142857142818</v>
      </c>
      <c r="AX83" s="11">
        <v>0.43005952380952345</v>
      </c>
      <c r="AY83" s="11">
        <v>0.35491071428571397</v>
      </c>
      <c r="AZ83" s="11">
        <v>0.38403880070546703</v>
      </c>
      <c r="BA83" s="11">
        <v>0.42261904761904728</v>
      </c>
      <c r="BB83" s="11">
        <v>0.40367965367965331</v>
      </c>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5"/>
      <c r="CS83" s="15"/>
      <c r="CT83" s="15"/>
      <c r="CU83" s="15"/>
    </row>
    <row r="84" spans="1:99" ht="12" customHeight="1" x14ac:dyDescent="0.2">
      <c r="A84" s="65">
        <v>43903</v>
      </c>
      <c r="B84" s="15"/>
      <c r="C84" s="15"/>
      <c r="D84" s="59"/>
      <c r="E84" s="75"/>
      <c r="F84" s="59"/>
      <c r="G84" s="59"/>
      <c r="H84" s="59"/>
      <c r="I84" s="59"/>
      <c r="K84" s="60"/>
      <c r="L84" s="60"/>
      <c r="M84" s="59"/>
      <c r="N84" s="60"/>
      <c r="O84" s="59"/>
      <c r="P84" s="59"/>
      <c r="Q84" s="59"/>
      <c r="R84" s="60"/>
      <c r="S84" s="59"/>
      <c r="T84" s="59"/>
      <c r="U84" s="60"/>
      <c r="V84" s="59"/>
      <c r="W84" s="60"/>
      <c r="X84" s="60"/>
      <c r="Y84" s="76"/>
      <c r="Z84" s="59"/>
      <c r="AA84" s="59"/>
      <c r="AB84" s="60"/>
      <c r="AC84" s="56"/>
      <c r="AD84" s="60"/>
      <c r="AE84" s="60"/>
      <c r="AF84" s="80"/>
      <c r="AG84" s="56"/>
      <c r="AH84" s="4"/>
      <c r="AI84" s="56"/>
      <c r="AJ84" s="109"/>
      <c r="AK84" s="56"/>
      <c r="AL84" s="56"/>
      <c r="AM84" s="56"/>
      <c r="AN84" s="56"/>
      <c r="AO84" s="82"/>
      <c r="AP84" s="82"/>
      <c r="AQ84" s="83"/>
      <c r="AR84" s="116"/>
      <c r="AS84" s="84"/>
      <c r="AT84" s="84"/>
      <c r="AU84" s="3"/>
      <c r="AV84" s="47">
        <v>31536000</v>
      </c>
      <c r="AW84" s="47">
        <v>47304000</v>
      </c>
      <c r="AX84" s="47">
        <v>63072000</v>
      </c>
      <c r="AY84" s="47">
        <v>78840000</v>
      </c>
      <c r="AZ84" s="47">
        <v>94608000</v>
      </c>
      <c r="BA84" s="47">
        <v>110376000</v>
      </c>
      <c r="BB84" s="47">
        <v>126144000</v>
      </c>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5"/>
      <c r="CS84" s="15"/>
      <c r="CT84" s="15"/>
      <c r="CU84" s="15"/>
    </row>
    <row r="85" spans="1:99" ht="12" customHeight="1" x14ac:dyDescent="0.2">
      <c r="A85" s="65">
        <v>43903</v>
      </c>
      <c r="B85" s="15" t="s">
        <v>481</v>
      </c>
      <c r="C85" s="15" t="s">
        <v>262</v>
      </c>
      <c r="D85" s="59">
        <v>2020</v>
      </c>
      <c r="E85" s="75">
        <v>2</v>
      </c>
      <c r="F85" s="59">
        <v>142</v>
      </c>
      <c r="G85" s="59">
        <v>17.75</v>
      </c>
      <c r="H85" s="59" t="s">
        <v>747</v>
      </c>
      <c r="I85" s="59" t="s">
        <v>923</v>
      </c>
      <c r="J85" s="64" t="s">
        <v>483</v>
      </c>
      <c r="K85" s="60">
        <f>IF(J85="syllables",1,IF(J85="trigrams",2,IF(J85="strings",3,IF(J85="visual array",4,IF(J85="characters",5,IF(J85="letters",6,IF(J85="free forms",7,IF(J85="odors",8,IF(J85="words",9,IF(J85="pictures",10,IF(J85="object pictures",11,IF(J85="faces",12,IF(J85="names",13,IF(J85="idioms",14,IF(J85="grades",15,IF(J85="syllable-digit pairs",16,IF(J85="trigram-word pairs",17,IF(J85="word-digit pairs",18,IF(J85="English-Swahili pairs",19,IF(J85="spatial position",20,IF(J85="word pairs",21,IF(J85="word triads",22,IF(J85="generated words",23,IF(J85="word definition pairs",24,IF(J85="math problems",25,IF(J85="famous faces",26,IF(J85="famous names",27,IF(J85="famous voices",28,IF(J85="television programs",29,IF(J85="race horses",30,IF(J85="new vocabulary",31,IF(J85="sentences",32,IF(J85="concepts",33,IF(J85="ad slides",34,IF(J85="scenes",35,IF(J85="famous scenes",36,IF(J85="poems",37,IF(J85="walk",38,IF(J85="faces and events",39,IF(J85="events and names",40,IF(J85="flashbulb",41,IF(J85="stories",42,IF(J85="course material",43,IF(J85="autobiographical",44,IF(J85="novels",45,IF(J85="public events",46,"99"))))))))))))))))))))))))))))))))))))))))))))))</f>
        <v>45</v>
      </c>
      <c r="L85" s="60">
        <f>IF(J85="syllables",1,IF(J85="trigrams",1,IF(J85="strings",1,IF(J85="visual array",1,IF(J85="characters",1,IF(J85="letters",1,IF(J85="free forms",1,IF(J85="odors",2,IF(J85="words",2,IF(J85="pictures",2,IF(J85="object pictures",2,IF(J85="faces",2,IF(J85="names",2,IF(J85="idioms","2",IF(J85="grades",2,IF(J85="syllable-digit pairs",3,IF(J85="trigram-word pairs",3,IF(J85="word-digit pairs",3,IF(J85="English-Swahili pairs",3,IF(J85="spatial position",3,IF(J85="word pairs",4,IF(J85="word triads",4,IF(J85="generated words",4,IF(J85="word definition pairs",4,IF(J85="math problems",4,IF(J85="famous faces",4,IF(J85="famous names",4,IF(J85="famous voices",4,IF(J85="television programs",4,IF(J85="race horses",4,IF(J85="new vocabulary",4,IF(J85="sentences",5,IF(J85="concepts",5,IF(J85="ad slides",5,IF(J85="scenes",5,IF(J85="famous scenes",5,IF(J85="poems",6,IF(J85="walk",6,IF(J85="faces and events",6,IF(J85="events and names",6,IF(J85="flashbulb",7,IF(J85="stories",7,IF(J85="course material",7,IF(J85="autobiographical",7,IF(J85="novels",7,IF(J85="public events",7,"99"))))))))))))))))))))))))))))))))))))))))))))))</f>
        <v>7</v>
      </c>
      <c r="M85" s="59">
        <v>0</v>
      </c>
      <c r="N85" s="60">
        <v>3</v>
      </c>
      <c r="O85" s="59">
        <v>0</v>
      </c>
      <c r="P85" s="59"/>
      <c r="Q85" s="59" t="s">
        <v>182</v>
      </c>
      <c r="R85" s="60">
        <f>IF(Q85="Free Recall",1,IF(Q85="Cued Recall",2,IF(Q85="Recognition",3,IF(Q85="Multiple Choice",4,IF(Q85="Savings",5,IF(Q85="Stem Completion",6,IF(Q85="Fragment Completion",7,IF(Q85="anagram solution",8,IF(Q85="Matching",9,IF(Q85="Problem Solving",10,"99"))))))))))</f>
        <v>4</v>
      </c>
      <c r="S85" s="59" t="s">
        <v>482</v>
      </c>
      <c r="T85" s="59" t="s">
        <v>261</v>
      </c>
      <c r="U85" s="60">
        <f t="shared" ref="U85" si="42">IF(T85="within",1,0)</f>
        <v>0</v>
      </c>
      <c r="V85" s="59">
        <v>12</v>
      </c>
      <c r="W85" s="60">
        <f>F85*V85</f>
        <v>1704</v>
      </c>
      <c r="X85" s="60">
        <v>7</v>
      </c>
      <c r="Y85" s="76">
        <f>AV84</f>
        <v>31536000</v>
      </c>
      <c r="Z85" s="59" t="s">
        <v>484</v>
      </c>
      <c r="AA85" s="60">
        <f>7.5*365*24*60*60</f>
        <v>236520000</v>
      </c>
      <c r="AB85" s="60" t="str">
        <f>IF(AA85&lt;60,"1",IF(AA85&lt;=43200,"2",IF(AA85&lt;=777600,"3","4")))</f>
        <v>4</v>
      </c>
      <c r="AC85" s="56">
        <f>AVERAGE(AV84:DA84)</f>
        <v>78840000</v>
      </c>
      <c r="AD85" s="60" t="str">
        <f>IF(AC85&lt;60,"1",IF(AC85&lt;=43200,"2",IF(AC85&lt;=777600,"3","4")))</f>
        <v>4</v>
      </c>
      <c r="AE85" s="76">
        <f>AA85-Y85</f>
        <v>204984000</v>
      </c>
      <c r="AF85" s="80">
        <f>AV85</f>
        <v>0.59780219780219745</v>
      </c>
      <c r="AG85" s="56">
        <f>((AW85-AV85)+(AX85-AW85)+(AY85-AX85)+(AZ85-AY85)+(BA85-AZ85)+(BB85-BA85))/6</f>
        <v>-2.258019758019757E-2</v>
      </c>
      <c r="AH85" s="4"/>
      <c r="AI85" s="56">
        <f>RSQ(AV85:BB85,AV84:BB84)</f>
        <v>0.24054458260726366</v>
      </c>
      <c r="AJ85" s="109">
        <f>SLOPE(AV85:BB85,AV84:BB84)</f>
        <v>-7.9461091705601392E-10</v>
      </c>
      <c r="AK85" s="56">
        <f>INTERCEPT(AV85:BB85,AV84:BB84)</f>
        <v>0.54541312358276606</v>
      </c>
      <c r="AL85" s="56">
        <f>INDEX(LINEST(LN(AV85:BB85),LN(AV84:BB84),TRUE,TRUE),3,1)</f>
        <v>0.34525875320329158</v>
      </c>
      <c r="AM85" s="56">
        <f>INDEX(LINEST(LN(AV85:BB85),LN(AV84:BB84)),1)</f>
        <v>-0.12802922936849193</v>
      </c>
      <c r="AN85" s="56">
        <f>EXP(INDEX(LINEST(LN(AV85:BB85),LN(AV84:BB84)),1,2))</f>
        <v>4.8670129770584039</v>
      </c>
      <c r="AO85" s="82">
        <f>INDEX(LINEST((AV85:BB85),LN(AV84:BB84),TRUE,TRUE),3,1)</f>
        <v>0.37339606117032054</v>
      </c>
      <c r="AP85" s="82">
        <f>INDEX(LINEST((AV85:BB85),LN(AV84:BB84)),1)</f>
        <v>-6.8476123253142701E-2</v>
      </c>
      <c r="AQ85" s="83">
        <f>INDEX(LINEST(LN(AV85:BB85),SQRT(AV84:BB84),TRUE,TRUE),3,1)</f>
        <v>0.27687388857504375</v>
      </c>
      <c r="AR85" s="116">
        <f>INDEX(LINEST(LN(AV85:BB85),SQRT((AV84:BB84))),1)</f>
        <v>-2.8136535633724081E-5</v>
      </c>
      <c r="AS85" s="84">
        <f>INDEX(LINEST(1/(AV85:BB85),1/(SQRT(AV84:BB84)),TRUE,TRUE),3,1)</f>
        <v>0.38646008330635151</v>
      </c>
      <c r="AT85" s="84">
        <f>INDEX(LINEST(1/(AV85:BB85),1/SQRT(AV84:BB84)),1)</f>
        <v>-4156.5132013057237</v>
      </c>
      <c r="AU85" s="3"/>
      <c r="AV85" s="11">
        <v>0.59780219780219745</v>
      </c>
      <c r="AW85" s="11">
        <v>0.46212454212454168</v>
      </c>
      <c r="AX85" s="11">
        <v>0.42999084249084202</v>
      </c>
      <c r="AY85" s="11">
        <v>0.4979567307692303</v>
      </c>
      <c r="AZ85" s="11">
        <v>0.44847374847374799</v>
      </c>
      <c r="BA85" s="11">
        <v>0.48069291819291765</v>
      </c>
      <c r="BB85" s="11">
        <v>0.46232101232101203</v>
      </c>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5"/>
      <c r="CS85" s="15"/>
      <c r="CT85" s="15"/>
      <c r="CU85" s="15"/>
    </row>
    <row r="86" spans="1:99" s="13" customFormat="1" ht="12" customHeight="1" x14ac:dyDescent="0.2">
      <c r="A86" s="65">
        <v>43509</v>
      </c>
      <c r="B86" s="1"/>
      <c r="C86" s="1"/>
      <c r="D86" s="60"/>
      <c r="E86" s="76"/>
      <c r="F86" s="60"/>
      <c r="G86" s="60"/>
      <c r="H86" s="60"/>
      <c r="I86" s="60"/>
      <c r="J86" s="60"/>
      <c r="K86" s="64"/>
      <c r="L86" s="64"/>
      <c r="M86" s="60"/>
      <c r="N86" s="60"/>
      <c r="O86" s="60"/>
      <c r="P86" s="60"/>
      <c r="Q86" s="60"/>
      <c r="R86" s="60"/>
      <c r="S86" s="60"/>
      <c r="T86" s="60"/>
      <c r="U86" s="60"/>
      <c r="V86" s="60"/>
      <c r="W86" s="60"/>
      <c r="X86" s="60"/>
      <c r="Y86" s="76"/>
      <c r="Z86" s="60"/>
      <c r="AA86" s="60"/>
      <c r="AB86" s="60"/>
      <c r="AC86" s="60"/>
      <c r="AD86" s="60"/>
      <c r="AE86" s="60"/>
      <c r="AF86" s="80"/>
      <c r="AG86" s="56"/>
      <c r="AH86" s="4"/>
      <c r="AI86" s="56"/>
      <c r="AJ86" s="109"/>
      <c r="AK86" s="56"/>
      <c r="AL86" s="56"/>
      <c r="AM86" s="56"/>
      <c r="AN86" s="56"/>
      <c r="AO86" s="56"/>
      <c r="AP86" s="56"/>
      <c r="AQ86" s="82"/>
      <c r="AR86" s="115"/>
      <c r="AS86" s="82"/>
      <c r="AT86" s="82"/>
      <c r="AU86" s="3"/>
      <c r="AV86" s="25">
        <f>365*24*60*60*3</f>
        <v>94608000</v>
      </c>
      <c r="AW86" s="25">
        <f>365*24*60*60*4</f>
        <v>126144000</v>
      </c>
      <c r="AX86" s="25">
        <f>365*24*60*60*5</f>
        <v>157680000</v>
      </c>
      <c r="AY86" s="25">
        <f>365*24*60*60*6</f>
        <v>189216000</v>
      </c>
      <c r="AZ86" s="25">
        <f>365*24*60*60*7</f>
        <v>220752000</v>
      </c>
      <c r="BA86" s="25">
        <f>365*24*60*60*8</f>
        <v>252288000</v>
      </c>
      <c r="BB86" s="25">
        <f>365*24*60*60*9</f>
        <v>283824000</v>
      </c>
      <c r="BC86" s="25">
        <f>365*24*60*60*10</f>
        <v>315360000</v>
      </c>
      <c r="BD86" s="25">
        <f>365*24*60*60*11</f>
        <v>346896000</v>
      </c>
      <c r="BE86" s="25">
        <f>365*24*60*60*12</f>
        <v>378432000</v>
      </c>
      <c r="BF86" s="25">
        <f>365*24*60*60*13</f>
        <v>409968000</v>
      </c>
      <c r="BG86" s="25">
        <f>365*24*60*60*14</f>
        <v>441504000</v>
      </c>
      <c r="BH86" s="25">
        <f>365*24*60*60*15</f>
        <v>473040000</v>
      </c>
      <c r="BI86" s="25">
        <f>365*24*60*60*16</f>
        <v>504576000</v>
      </c>
      <c r="BJ86" s="53"/>
      <c r="BK86" s="53"/>
      <c r="BL86" s="53"/>
      <c r="BM86" s="53"/>
      <c r="BN86" s="53"/>
      <c r="BO86" s="53"/>
      <c r="BP86" s="53"/>
      <c r="BQ86" s="53"/>
      <c r="BR86" s="53"/>
      <c r="BS86" s="53"/>
      <c r="BT86" s="53"/>
      <c r="BU86" s="53"/>
      <c r="BV86" s="53"/>
      <c r="BW86" s="53"/>
      <c r="BX86" s="53"/>
      <c r="BY86" s="53"/>
      <c r="BZ86" s="53"/>
      <c r="CA86" s="53"/>
      <c r="CB86" s="53"/>
      <c r="CC86" s="53"/>
      <c r="CD86" s="53"/>
      <c r="CE86" s="53"/>
      <c r="CF86" s="53"/>
      <c r="CG86" s="53"/>
      <c r="CH86" s="53"/>
      <c r="CI86" s="53"/>
      <c r="CJ86" s="53"/>
      <c r="CK86" s="53"/>
      <c r="CL86" s="53"/>
      <c r="CM86" s="53"/>
      <c r="CN86" s="53"/>
      <c r="CO86" s="53"/>
      <c r="CP86" s="53"/>
      <c r="CQ86" s="53"/>
      <c r="CR86" s="1"/>
      <c r="CS86" s="1"/>
      <c r="CT86" s="1"/>
      <c r="CU86" s="1"/>
    </row>
    <row r="87" spans="1:99" s="13" customFormat="1" ht="12" customHeight="1" x14ac:dyDescent="0.2">
      <c r="A87" s="65">
        <v>43509</v>
      </c>
      <c r="B87" s="22" t="s">
        <v>214</v>
      </c>
      <c r="C87" s="1" t="s">
        <v>215</v>
      </c>
      <c r="D87" s="60">
        <v>1998</v>
      </c>
      <c r="E87" s="76">
        <v>1</v>
      </c>
      <c r="F87" s="60">
        <v>670</v>
      </c>
      <c r="G87" s="60">
        <v>47.9</v>
      </c>
      <c r="H87" s="60" t="s">
        <v>50</v>
      </c>
      <c r="I87" s="60" t="s">
        <v>674</v>
      </c>
      <c r="J87" s="60" t="s">
        <v>617</v>
      </c>
      <c r="K87" s="60">
        <f>IF(J87="syllables",1,IF(J87="trigrams",2,IF(J87="strings",3,IF(J87="visual array",4,IF(J87="characters",5,IF(J87="letters",6,IF(J87="free forms",7,IF(J87="odors",8,IF(J87="words",9,IF(J87="pictures",10,IF(J87="object pictures",11,IF(J87="faces",12,IF(J87="names",13,IF(J87="idioms",14,IF(J87="grades",15,IF(J87="syllable-digit pairs",16,IF(J87="trigram-word pairs",17,IF(J87="word-digit pairs",18,IF(J87="English-Swahili pairs",19,IF(J87="spatial position",20,IF(J87="word pairs",21,IF(J87="word triads",22,IF(J87="generated words",23,IF(J87="word definition pairs",24,IF(J87="math problems",25,IF(J87="famous faces",26,IF(J87="famous names",27,IF(J87="famous voices",28,IF(J87="television programs",29,IF(J87="race horses",30,IF(J87="new vocabulary",31,IF(J87="sentences",32,IF(J87="concepts",33,IF(J87="ad slides",34,IF(J87="scenes",35,IF(J87="famous scenes",36,IF(J87="poems",37,IF(J87="walk",38,IF(J87="faces and events",39,IF(J87="events and names",40,IF(J87="flashbulb",41,IF(J87="stories",42,IF(J87="course material",43,IF(J87="autobiographical",44,IF(J87="novels",45,IF(J87="public events",46,"99"))))))))))))))))))))))))))))))))))))))))))))))</f>
        <v>15</v>
      </c>
      <c r="L87" s="60">
        <f>IF(J87="syllables",1,IF(J87="trigrams",1,IF(J87="strings",1,IF(J87="visual array",1,IF(J87="characters",1,IF(J87="letters",1,IF(J87="free forms",1,IF(J87="odors",2,IF(J87="words",2,IF(J87="pictures",2,IF(J87="object pictures",2,IF(J87="faces",2,IF(J87="names",2,IF(J87="idioms","2",IF(J87="grades",2,IF(J87="syllable-digit pairs",3,IF(J87="trigram-word pairs",3,IF(J87="word-digit pairs",3,IF(J87="English-Swahili pairs",3,IF(J87="spatial position",3,IF(J87="word pairs",4,IF(J87="word triads",4,IF(J87="generated words",4,IF(J87="word definition pairs",4,IF(J87="math problems",4,IF(J87="famous faces",4,IF(J87="famous names",4,IF(J87="famous voices",4,IF(J87="television programs",4,IF(J87="race horses",4,IF(J87="new vocabulary",4,IF(J87="sentences",5,IF(J87="concepts",5,IF(J87="ad slides",5,IF(J87="scenes",5,IF(J87="famous scenes",5,IF(J87="poems",6,IF(J87="walk",6,IF(J87="faces and events",6,IF(J87="events and names",6,IF(J87="flashbulb",7,IF(J87="stories",7,IF(J87="course material",7,IF(J87="autobiographical",7,IF(J87="novels",7,IF(J87="public events",7,"99"))))))))))))))))))))))))))))))))))))))))))))))</f>
        <v>2</v>
      </c>
      <c r="M87" s="60">
        <v>0</v>
      </c>
      <c r="N87" s="60">
        <v>1</v>
      </c>
      <c r="O87" s="60">
        <v>0</v>
      </c>
      <c r="P87" s="60"/>
      <c r="Q87" s="60" t="s">
        <v>174</v>
      </c>
      <c r="R87" s="60">
        <f>IF(Q87="Free Recall",1,IF(Q87="Cued Recall",2,IF(Q87="Recognition",3,IF(Q87="Multiple Choice",4,IF(Q87="Savings",5,IF(Q87="Stem Completion",6,IF(Q87="Fragment Completion",7,IF(Q87="anagram solution",8,IF(Q87="Matching",9,IF(Q87="Problem Solving",10,"99"))))))))))</f>
        <v>1</v>
      </c>
      <c r="S87" s="60" t="s">
        <v>49</v>
      </c>
      <c r="T87" s="59" t="s">
        <v>261</v>
      </c>
      <c r="U87" s="60">
        <f>IF(T87="within",1,0)</f>
        <v>0</v>
      </c>
      <c r="V87" s="59">
        <v>40</v>
      </c>
      <c r="W87" s="60">
        <f>F87*V87</f>
        <v>26800</v>
      </c>
      <c r="X87" s="60">
        <v>14</v>
      </c>
      <c r="Y87" s="76">
        <f>AV86</f>
        <v>94608000</v>
      </c>
      <c r="Z87" s="60" t="s">
        <v>217</v>
      </c>
      <c r="AA87" s="60">
        <f>16*365*24*60*60</f>
        <v>504576000</v>
      </c>
      <c r="AB87" s="60" t="str">
        <f>IF(AA87&lt;60,"1",IF(AA87&lt;=43200,"2",IF(AA87&lt;=777600,"3","4")))</f>
        <v>4</v>
      </c>
      <c r="AC87" s="56">
        <f>AVERAGE(AV86:DA86)</f>
        <v>299592000</v>
      </c>
      <c r="AD87" s="60" t="str">
        <f>IF(AC87&lt;60,"1",IF(AC87&lt;=43200,"2",IF(AC87&lt;=777600,"3","4")))</f>
        <v>4</v>
      </c>
      <c r="AE87" s="76">
        <f>AA87-Y87</f>
        <v>409968000</v>
      </c>
      <c r="AF87" s="80">
        <f>AV87</f>
        <v>0.48</v>
      </c>
      <c r="AG87" s="56">
        <f>((AW87-AV87)+(AX87-AW87)+(AY87-AX87)+(AZ87-AY87)+(BA87-AZ87)+(BB87-BA87)+(BC87-BB87)+(BD87-BC87)+(BE87-BD87)+(BF87-BE87)+(BG87-BF87)+(BH87-BG87)+(BI87-BH87))/13</f>
        <v>-1.6999999999999998E-2</v>
      </c>
      <c r="AH87" s="4"/>
      <c r="AI87" s="56">
        <f>RSQ(AV87:BI87,AV86:BI86)</f>
        <v>0.7514052558229658</v>
      </c>
      <c r="AJ87" s="109">
        <f>SLOPE(AV87:BI87,AV86:BI86)</f>
        <v>-4.601055970918983E-10</v>
      </c>
      <c r="AK87" s="56">
        <f>INTERCEPT(AV87:BI87,AV86:BI86)</f>
        <v>0.45141538461538461</v>
      </c>
      <c r="AL87" s="56">
        <f>INDEX(LINEST(LN(AV87:BI87),LN(AV86:BI86),TRUE,TRUE),3,1)</f>
        <v>0.8813154216833462</v>
      </c>
      <c r="AM87" s="56">
        <f>INDEX(LINEST(LN(AV87:BI87),LN(AV86:BI86)),1)</f>
        <v>-0.37807976225248124</v>
      </c>
      <c r="AN87" s="56">
        <f>EXP(INDEX(LINEST(LN(AV87:BI87),LN(AV86:BI86)),1,2))</f>
        <v>472.0410688033997</v>
      </c>
      <c r="AO87" s="82">
        <f>INDEX(LINEST((AV87:BI87),LN(AV86:BI86),TRUE,TRUE),3,1)</f>
        <v>0.8823111470417454</v>
      </c>
      <c r="AP87" s="82">
        <f>INDEX(LINEST((AV87:BI87),LN(AV86:BI86)),1)</f>
        <v>-0.12741489728667174</v>
      </c>
      <c r="AQ87" s="83">
        <f>INDEX(LINEST(LN(AV87:BI87),SQRT(AV86:BI86),TRUE,TRUE),3,1)</f>
        <v>0.84071150639732384</v>
      </c>
      <c r="AR87" s="116">
        <f>INDEX(LINEST(LN(AV87:BI87),SQRT((AV86:BI86))),1)</f>
        <v>-4.7390045162174556E-5</v>
      </c>
      <c r="AS87" s="84">
        <f>INDEX(LINEST(1/(AV87:BI87),1/(SQRT(AV86:BI86)),TRUE,TRUE),3,1)</f>
        <v>0.84864338869579459</v>
      </c>
      <c r="AT87" s="84">
        <f>INDEX(LINEST(1/(AV87:BI87),1/SQRT(AV86:BI86)),1)</f>
        <v>-34064.538069150694</v>
      </c>
      <c r="AU87" s="3"/>
      <c r="AV87" s="53">
        <v>0.48</v>
      </c>
      <c r="AW87" s="53">
        <v>0.42399999999999999</v>
      </c>
      <c r="AX87" s="53">
        <v>0.36099999999999999</v>
      </c>
      <c r="AY87" s="53">
        <v>0.34499999999999997</v>
      </c>
      <c r="AZ87" s="53">
        <v>0.30299999999999999</v>
      </c>
      <c r="BA87" s="53">
        <v>0.32400000000000001</v>
      </c>
      <c r="BB87" s="53">
        <v>0.29199999999999998</v>
      </c>
      <c r="BC87" s="53">
        <v>0.27600000000000002</v>
      </c>
      <c r="BD87" s="53">
        <v>0.28599999999999998</v>
      </c>
      <c r="BE87" s="53">
        <v>0.27900000000000003</v>
      </c>
      <c r="BF87" s="53">
        <v>0.23200000000000001</v>
      </c>
      <c r="BG87" s="53">
        <v>0.29699999999999999</v>
      </c>
      <c r="BH87" s="53">
        <v>0.23200000000000001</v>
      </c>
      <c r="BI87" s="53">
        <v>0.25900000000000001</v>
      </c>
      <c r="BJ87" s="53"/>
      <c r="BK87" s="53"/>
      <c r="BL87" s="53"/>
      <c r="BM87" s="53"/>
      <c r="BN87" s="53"/>
      <c r="BO87" s="53"/>
      <c r="BP87" s="53"/>
      <c r="BQ87" s="53"/>
      <c r="BR87" s="53"/>
      <c r="BS87" s="53"/>
      <c r="BT87" s="53"/>
      <c r="BU87" s="53"/>
      <c r="BV87" s="53"/>
      <c r="BW87" s="53"/>
      <c r="BX87" s="53"/>
      <c r="BY87" s="53"/>
      <c r="BZ87" s="53"/>
      <c r="CA87" s="53"/>
      <c r="CB87" s="53"/>
      <c r="CC87" s="53"/>
      <c r="CD87" s="53"/>
      <c r="CE87" s="53"/>
      <c r="CF87" s="53"/>
      <c r="CG87" s="53"/>
      <c r="CH87" s="53"/>
      <c r="CI87" s="53"/>
      <c r="CJ87" s="53"/>
      <c r="CK87" s="53"/>
      <c r="CL87" s="53"/>
      <c r="CM87" s="53"/>
      <c r="CN87" s="53"/>
      <c r="CO87" s="53"/>
      <c r="CP87" s="53"/>
      <c r="CQ87" s="53"/>
      <c r="CR87" s="1"/>
      <c r="CS87" s="1"/>
      <c r="CT87" s="1"/>
      <c r="CU87" s="1"/>
    </row>
    <row r="88" spans="1:99" s="13" customFormat="1" ht="12" customHeight="1" x14ac:dyDescent="0.2">
      <c r="A88" s="65">
        <v>43509</v>
      </c>
      <c r="B88" s="1"/>
      <c r="C88" s="1"/>
      <c r="D88" s="60"/>
      <c r="E88" s="76"/>
      <c r="F88" s="60"/>
      <c r="G88" s="60"/>
      <c r="H88" s="60"/>
      <c r="I88" s="60"/>
      <c r="J88" s="60"/>
      <c r="K88" s="64"/>
      <c r="L88" s="64"/>
      <c r="M88" s="60"/>
      <c r="N88" s="60"/>
      <c r="O88" s="60"/>
      <c r="P88" s="60"/>
      <c r="Q88" s="60"/>
      <c r="R88" s="60"/>
      <c r="S88" s="60"/>
      <c r="T88" s="60"/>
      <c r="U88" s="60"/>
      <c r="V88" s="60"/>
      <c r="W88" s="60"/>
      <c r="X88" s="60"/>
      <c r="Y88" s="76"/>
      <c r="Z88" s="60"/>
      <c r="AA88" s="60"/>
      <c r="AB88" s="60"/>
      <c r="AC88" s="60"/>
      <c r="AD88" s="60"/>
      <c r="AE88" s="60"/>
      <c r="AF88" s="80"/>
      <c r="AG88" s="56"/>
      <c r="AH88" s="4"/>
      <c r="AI88" s="56"/>
      <c r="AJ88" s="109"/>
      <c r="AK88" s="56"/>
      <c r="AL88" s="56"/>
      <c r="AM88" s="56"/>
      <c r="AN88" s="56"/>
      <c r="AO88" s="56"/>
      <c r="AP88" s="56"/>
      <c r="AQ88" s="56"/>
      <c r="AR88" s="109"/>
      <c r="AS88" s="56"/>
      <c r="AT88" s="56"/>
      <c r="AU88" s="3"/>
      <c r="AV88" s="25">
        <f>365*24*60*60*3</f>
        <v>94608000</v>
      </c>
      <c r="AW88" s="25">
        <f>365*24*60*60*4</f>
        <v>126144000</v>
      </c>
      <c r="AX88" s="25">
        <f>365*24*60*60*5</f>
        <v>157680000</v>
      </c>
      <c r="AY88" s="25">
        <f>365*24*60*60*6</f>
        <v>189216000</v>
      </c>
      <c r="AZ88" s="25">
        <f>365*24*60*60*7</f>
        <v>220752000</v>
      </c>
      <c r="BA88" s="25">
        <f>365*24*60*60*8</f>
        <v>252288000</v>
      </c>
      <c r="BB88" s="25">
        <f>365*24*60*60*9</f>
        <v>283824000</v>
      </c>
      <c r="BC88" s="25">
        <f>365*24*60*60*10</f>
        <v>315360000</v>
      </c>
      <c r="BD88" s="25">
        <f>365*24*60*60*11</f>
        <v>346896000</v>
      </c>
      <c r="BE88" s="25">
        <f>365*24*60*60*12</f>
        <v>378432000</v>
      </c>
      <c r="BF88" s="25">
        <f>365*24*60*60*13</f>
        <v>409968000</v>
      </c>
      <c r="BG88" s="25">
        <f>365*24*60*60*14</f>
        <v>441504000</v>
      </c>
      <c r="BH88" s="25">
        <f>365*24*60*60*15</f>
        <v>473040000</v>
      </c>
      <c r="BI88" s="25">
        <f>365*24*60*60*16</f>
        <v>504576000</v>
      </c>
      <c r="BJ88" s="53"/>
      <c r="BK88" s="53"/>
      <c r="BL88" s="53"/>
      <c r="BM88" s="53"/>
      <c r="BN88" s="53"/>
      <c r="BO88" s="53"/>
      <c r="BP88" s="53"/>
      <c r="BQ88" s="53"/>
      <c r="BR88" s="53"/>
      <c r="BS88" s="53"/>
      <c r="BT88" s="53"/>
      <c r="BU88" s="53"/>
      <c r="BV88" s="53"/>
      <c r="BW88" s="53"/>
      <c r="BX88" s="53"/>
      <c r="BY88" s="53"/>
      <c r="BZ88" s="53"/>
      <c r="CA88" s="53"/>
      <c r="CB88" s="53"/>
      <c r="CC88" s="53"/>
      <c r="CD88" s="53"/>
      <c r="CE88" s="53"/>
      <c r="CF88" s="53"/>
      <c r="CG88" s="53"/>
      <c r="CH88" s="53"/>
      <c r="CI88" s="53"/>
      <c r="CJ88" s="53"/>
      <c r="CK88" s="53"/>
      <c r="CL88" s="53"/>
      <c r="CM88" s="53"/>
      <c r="CN88" s="53"/>
      <c r="CO88" s="53"/>
      <c r="CP88" s="53"/>
      <c r="CQ88" s="53"/>
      <c r="CR88" s="1"/>
      <c r="CS88" s="1"/>
      <c r="CT88" s="1"/>
      <c r="CU88" s="1"/>
    </row>
    <row r="89" spans="1:99" s="13" customFormat="1" ht="12" customHeight="1" x14ac:dyDescent="0.2">
      <c r="A89" s="65">
        <v>43509</v>
      </c>
      <c r="B89" s="1" t="s">
        <v>214</v>
      </c>
      <c r="C89" s="1" t="s">
        <v>215</v>
      </c>
      <c r="D89" s="60">
        <v>1998</v>
      </c>
      <c r="E89" s="76">
        <v>1</v>
      </c>
      <c r="F89" s="60">
        <v>371</v>
      </c>
      <c r="G89" s="60">
        <v>26.5</v>
      </c>
      <c r="H89" s="60" t="s">
        <v>50</v>
      </c>
      <c r="I89" s="60" t="s">
        <v>675</v>
      </c>
      <c r="J89" s="60" t="s">
        <v>617</v>
      </c>
      <c r="K89" s="60">
        <f>IF(J89="syllables",1,IF(J89="trigrams",2,IF(J89="strings",3,IF(J89="visual array",4,IF(J89="characters",5,IF(J89="letters",6,IF(J89="free forms",7,IF(J89="odors",8,IF(J89="words",9,IF(J89="pictures",10,IF(J89="object pictures",11,IF(J89="faces",12,IF(J89="names",13,IF(J89="idioms",14,IF(J89="grades",15,IF(J89="syllable-digit pairs",16,IF(J89="trigram-word pairs",17,IF(J89="word-digit pairs",18,IF(J89="English-Swahili pairs",19,IF(J89="spatial position",20,IF(J89="word pairs",21,IF(J89="word triads",22,IF(J89="generated words",23,IF(J89="word definition pairs",24,IF(J89="math problems",25,IF(J89="famous faces",26,IF(J89="famous names",27,IF(J89="famous voices",28,IF(J89="television programs",29,IF(J89="race horses",30,IF(J89="new vocabulary",31,IF(J89="sentences",32,IF(J89="concepts",33,IF(J89="ad slides",34,IF(J89="scenes",35,IF(J89="famous scenes",36,IF(J89="poems",37,IF(J89="walk",38,IF(J89="faces and events",39,IF(J89="events and names",40,IF(J89="flashbulb",41,IF(J89="stories",42,IF(J89="course material",43,IF(J89="autobiographical",44,IF(J89="novels",45,IF(J89="public events",46,"99"))))))))))))))))))))))))))))))))))))))))))))))</f>
        <v>15</v>
      </c>
      <c r="L89" s="60">
        <f>IF(J89="syllables",1,IF(J89="trigrams",1,IF(J89="strings",1,IF(J89="visual array",1,IF(J89="characters",1,IF(J89="letters",1,IF(J89="free forms",1,IF(J89="odors",2,IF(J89="words",2,IF(J89="pictures",2,IF(J89="object pictures",2,IF(J89="faces",2,IF(J89="names",2,IF(J89="idioms","2",IF(J89="grades",2,IF(J89="syllable-digit pairs",3,IF(J89="trigram-word pairs",3,IF(J89="word-digit pairs",3,IF(J89="English-Swahili pairs",3,IF(J89="spatial position",3,IF(J89="word pairs",4,IF(J89="word triads",4,IF(J89="generated words",4,IF(J89="word definition pairs",4,IF(J89="math problems",4,IF(J89="famous faces",4,IF(J89="famous names",4,IF(J89="famous voices",4,IF(J89="television programs",4,IF(J89="race horses",4,IF(J89="new vocabulary",4,IF(J89="sentences",5,IF(J89="concepts",5,IF(J89="ad slides",5,IF(J89="scenes",5,IF(J89="famous scenes",5,IF(J89="poems",6,IF(J89="walk",6,IF(J89="faces and events",6,IF(J89="events and names",6,IF(J89="flashbulb",7,IF(J89="stories",7,IF(J89="course material",7,IF(J89="autobiographical",7,IF(J89="novels",7,IF(J89="public events",7,"99"))))))))))))))))))))))))))))))))))))))))))))))</f>
        <v>2</v>
      </c>
      <c r="M89" s="60">
        <v>0</v>
      </c>
      <c r="N89" s="60">
        <v>1</v>
      </c>
      <c r="O89" s="60">
        <v>0</v>
      </c>
      <c r="P89" s="60"/>
      <c r="Q89" s="60" t="s">
        <v>174</v>
      </c>
      <c r="R89" s="60">
        <f>IF(Q89="Free Recall",1,IF(Q89="Cued Recall",2,IF(Q89="Recognition",3,IF(Q89="Multiple Choice",4,IF(Q89="Savings",5,IF(Q89="Stem Completion",6,IF(Q89="Fragment Completion",7,IF(Q89="anagram solution",8,IF(Q89="Matching",9,IF(Q89="Problem Solving",10,"99"))))))))))</f>
        <v>1</v>
      </c>
      <c r="S89" s="60" t="s">
        <v>49</v>
      </c>
      <c r="T89" s="59" t="s">
        <v>261</v>
      </c>
      <c r="U89" s="60">
        <f>IF(T89="within",1,0)</f>
        <v>0</v>
      </c>
      <c r="V89" s="59">
        <v>40</v>
      </c>
      <c r="W89" s="60">
        <f>F89*V89</f>
        <v>14840</v>
      </c>
      <c r="X89" s="60">
        <v>14</v>
      </c>
      <c r="Y89" s="76">
        <f>AV88</f>
        <v>94608000</v>
      </c>
      <c r="Z89" s="60" t="s">
        <v>217</v>
      </c>
      <c r="AA89" s="60">
        <f>16*365*24*60*60</f>
        <v>504576000</v>
      </c>
      <c r="AB89" s="60" t="str">
        <f>IF(AA89&lt;60,"1",IF(AA89&lt;=43200,"2",IF(AA89&lt;=777600,"3","4")))</f>
        <v>4</v>
      </c>
      <c r="AC89" s="56">
        <f>AVERAGE(AV88:DA88)</f>
        <v>299592000</v>
      </c>
      <c r="AD89" s="60" t="str">
        <f>IF(AC89&lt;60,"1",IF(AC89&lt;=43200,"2",IF(AC89&lt;=777600,"3","4")))</f>
        <v>4</v>
      </c>
      <c r="AE89" s="76">
        <f>AA89-Y89</f>
        <v>409968000</v>
      </c>
      <c r="AF89" s="80">
        <f>AV89</f>
        <v>0.31900000000000001</v>
      </c>
      <c r="AG89" s="56">
        <f>((AW89-AV89)+(AX89-AW89)+(AY89-AX89)+(AZ89-AY89)+(BA89-AZ89)+(BB89-BA89)+(BC89-BB89)+(BD89-BC89)+(BE89-BD89)+(BF89-BE89)+(BG89-BF89)+(BH89-BG89)+(BI89-BH89))/13</f>
        <v>-1.3615384615384619E-2</v>
      </c>
      <c r="AH89" s="4"/>
      <c r="AI89" s="56">
        <f>RSQ(AV89:BI89,AV88:BI88)</f>
        <v>0.45361040823416776</v>
      </c>
      <c r="AJ89" s="109">
        <f>SLOPE(AV89:BI89,AV88:BI88)</f>
        <v>-2.9737512614224948E-10</v>
      </c>
      <c r="AK89" s="56">
        <f>INTERCEPT(AV89:BI89,AV88:BI88)</f>
        <v>0.28487692307692308</v>
      </c>
      <c r="AL89" s="56">
        <f>INDEX(LINEST(LN(AV89:BI89),LN(AV88:BI88),TRUE,TRUE),3,1)</f>
        <v>0.4351337533124463</v>
      </c>
      <c r="AM89" s="56">
        <f>INDEX(LINEST(LN(AV89:BI89),LN(AV88:BI88)),1)</f>
        <v>-0.3977072828056179</v>
      </c>
      <c r="AN89" s="56">
        <f>EXP(INDEX(LINEST(LN(AV89:BI89),LN(AV88:BI88)),1,2))</f>
        <v>421.8644823131454</v>
      </c>
      <c r="AO89" s="82">
        <f>INDEX(LINEST((AV89:BI89),LN(AV88:BI88),TRUE,TRUE),3,1)</f>
        <v>0.52333542395223231</v>
      </c>
      <c r="AP89" s="82">
        <f>INDEX(LINEST((AV89:BI89),LN(AV88:BI88)),1)</f>
        <v>-8.1628557760380138E-2</v>
      </c>
      <c r="AQ89" s="83">
        <f>INDEX(LINEST(LN(AV89:BI89),SQRT(AV88:BI88),TRUE,TRUE),3,1)</f>
        <v>0.41623678717154683</v>
      </c>
      <c r="AR89" s="116">
        <f>INDEX(LINEST(LN(AV89:BI89),SQRT((AV88:BI88))),1)</f>
        <v>-4.991927488903844E-5</v>
      </c>
      <c r="AS89" s="84">
        <f>INDEX(LINEST(1/(AV89:BI89),1/(SQRT(AV88:BI88)),TRUE,TRUE),3,1)</f>
        <v>0.33884725111065567</v>
      </c>
      <c r="AT89" s="84">
        <f>INDEX(LINEST(1/(AV89:BI89),1/SQRT(AV88:BI88)),1)</f>
        <v>-60781.412039502509</v>
      </c>
      <c r="AU89" s="3"/>
      <c r="AV89" s="53">
        <v>0.31900000000000001</v>
      </c>
      <c r="AW89" s="53">
        <v>0.23499999999999999</v>
      </c>
      <c r="AX89" s="53">
        <v>0.22500000000000001</v>
      </c>
      <c r="AY89" s="53">
        <v>0.224</v>
      </c>
      <c r="AZ89" s="53">
        <v>0.25900000000000001</v>
      </c>
      <c r="BA89" s="53">
        <v>0.108</v>
      </c>
      <c r="BB89" s="53">
        <v>0.17199999999999999</v>
      </c>
      <c r="BC89" s="53">
        <v>0.18</v>
      </c>
      <c r="BD89" s="53">
        <v>0.217</v>
      </c>
      <c r="BE89" s="53">
        <v>0.14299999999999999</v>
      </c>
      <c r="BF89" s="53">
        <v>0.21099999999999999</v>
      </c>
      <c r="BG89" s="53">
        <v>0.193</v>
      </c>
      <c r="BH89" s="53">
        <v>0.113</v>
      </c>
      <c r="BI89" s="53">
        <v>0.14199999999999999</v>
      </c>
      <c r="BJ89" s="53"/>
      <c r="BK89" s="53"/>
      <c r="BL89" s="53"/>
      <c r="BM89" s="53"/>
      <c r="BN89" s="53"/>
      <c r="BO89" s="53"/>
      <c r="BP89" s="53"/>
      <c r="BQ89" s="53"/>
      <c r="BR89" s="53"/>
      <c r="BS89" s="53"/>
      <c r="BT89" s="53"/>
      <c r="BU89" s="53"/>
      <c r="BV89" s="53"/>
      <c r="BW89" s="53"/>
      <c r="BX89" s="53"/>
      <c r="BY89" s="53"/>
      <c r="BZ89" s="53"/>
      <c r="CA89" s="53"/>
      <c r="CB89" s="53"/>
      <c r="CC89" s="53"/>
      <c r="CD89" s="53"/>
      <c r="CE89" s="53"/>
      <c r="CF89" s="53"/>
      <c r="CG89" s="53"/>
      <c r="CH89" s="53"/>
      <c r="CI89" s="53"/>
      <c r="CJ89" s="53"/>
      <c r="CK89" s="53"/>
      <c r="CL89" s="53"/>
      <c r="CM89" s="53"/>
      <c r="CN89" s="53"/>
      <c r="CO89" s="53"/>
      <c r="CP89" s="53"/>
      <c r="CQ89" s="53"/>
      <c r="CR89" s="1"/>
      <c r="CS89" s="1"/>
      <c r="CT89" s="1"/>
      <c r="CU89" s="1"/>
    </row>
    <row r="90" spans="1:99" ht="12" customHeight="1" x14ac:dyDescent="0.2">
      <c r="A90" s="68">
        <v>43899</v>
      </c>
      <c r="B90" s="94"/>
      <c r="C90" s="94"/>
      <c r="D90" s="92"/>
      <c r="E90" s="105"/>
      <c r="F90" s="92"/>
      <c r="G90" s="92"/>
      <c r="H90" s="92"/>
      <c r="I90" s="92"/>
      <c r="J90" s="92"/>
      <c r="K90" s="107"/>
      <c r="L90" s="107"/>
      <c r="M90" s="92"/>
      <c r="N90" s="92"/>
      <c r="O90" s="92"/>
      <c r="P90" s="92"/>
      <c r="Q90" s="92"/>
      <c r="R90" s="69"/>
      <c r="S90" s="92"/>
      <c r="T90" s="92"/>
      <c r="U90" s="69"/>
      <c r="V90" s="92"/>
      <c r="W90" s="69"/>
      <c r="X90" s="92"/>
      <c r="Y90" s="87"/>
      <c r="Z90" s="92"/>
      <c r="AA90" s="92"/>
      <c r="AB90" s="69"/>
      <c r="AC90" s="72"/>
      <c r="AD90" s="69"/>
      <c r="AE90" s="69"/>
      <c r="AF90" s="88"/>
      <c r="AG90" s="72"/>
      <c r="AH90" s="4"/>
      <c r="AI90" s="72"/>
      <c r="AJ90" s="110"/>
      <c r="AK90" s="72"/>
      <c r="AL90" s="72"/>
      <c r="AM90" s="72"/>
      <c r="AN90" s="72"/>
      <c r="AO90" s="89"/>
      <c r="AP90" s="89"/>
      <c r="AQ90" s="90"/>
      <c r="AR90" s="117"/>
      <c r="AS90" s="91"/>
      <c r="AT90" s="91"/>
      <c r="AU90" s="3"/>
      <c r="AV90" s="98">
        <v>900</v>
      </c>
      <c r="AW90" s="98">
        <v>18000</v>
      </c>
      <c r="AX90" s="98">
        <v>181440</v>
      </c>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5"/>
      <c r="CS90" s="15"/>
      <c r="CT90" s="15"/>
      <c r="CU90" s="15"/>
    </row>
    <row r="91" spans="1:99" ht="12" customHeight="1" x14ac:dyDescent="0.2">
      <c r="A91" s="68">
        <v>43899</v>
      </c>
      <c r="B91" s="94" t="s">
        <v>386</v>
      </c>
      <c r="C91" s="94" t="s">
        <v>387</v>
      </c>
      <c r="D91" s="92">
        <v>1976</v>
      </c>
      <c r="E91" s="105">
        <v>1</v>
      </c>
      <c r="F91" s="92">
        <v>59</v>
      </c>
      <c r="G91" s="92">
        <v>59</v>
      </c>
      <c r="H91" s="92" t="s">
        <v>50</v>
      </c>
      <c r="I91" s="92" t="s">
        <v>388</v>
      </c>
      <c r="J91" s="92" t="s">
        <v>320</v>
      </c>
      <c r="K91" s="69">
        <f>IF(J91="syllables",1,IF(J91="trigrams",2,IF(J91="strings",3,IF(J91="visual array",4,IF(J91="characters",5,IF(J91="letters",6,IF(J91="free forms",7,IF(J91="odors",8,IF(J91="words",9,IF(J91="pictures",10,IF(J91="object pictures",11,IF(J91="faces",12,IF(J91="names",13,IF(J91="idioms",14,IF(J91="grades",15,IF(J91="syllable-digit pairs",16,IF(J91="trigram-word pairs",17,IF(J91="word-digit pairs",18,IF(J91="English-Swahili pairs",19,IF(J91="spatial position",20,IF(J91="word pairs",21,IF(J91="word triads",22,IF(J91="generated words",23,IF(J91="word definition pairs",24,IF(J91="math problems",25,IF(J91="famous faces",26,IF(J91="famous names",27,IF(J91="famous voices",28,IF(J91="television programs",29,IF(J91="race horses",30,IF(J91="new vocabulary",31,IF(J91="sentences",32,IF(J91="concepts",33,IF(J91="ad slides",34,IF(J91="scenes",35,IF(J91="famous scenes",36,IF(J91="poems",37,IF(J91="walk",38,IF(J91="faces and events",39,IF(J91="events and names",40,IF(J91="flashbulb",41,IF(J91="stories",42,IF(J91="course material",43,IF(J91="autobiographical",44,IF(J91="novels",45,IF(J91="public events",46,"99"))))))))))))))))))))))))))))))))))))))))))))))</f>
        <v>21</v>
      </c>
      <c r="L91" s="69">
        <f>IF(J91="syllables",1,IF(J91="trigrams",1,IF(J91="strings",1,IF(J91="visual array",1,IF(J91="characters",1,IF(J91="letters",1,IF(J91="free forms",1,IF(J91="odors",2,IF(J91="words",2,IF(J91="pictures",2,IF(J91="object pictures",2,IF(J91="faces",2,IF(J91="names",2,IF(J91="idioms","2",IF(J91="grades",2,IF(J91="syllable-digit pairs",3,IF(J91="trigram-word pairs",3,IF(J91="word-digit pairs",3,IF(J91="English-Swahili pairs",3,IF(J91="spatial position",3,IF(J91="word pairs",4,IF(J91="word triads",4,IF(J91="generated words",4,IF(J91="word definition pairs",4,IF(J91="math problems",4,IF(J91="famous faces",4,IF(J91="famous names",4,IF(J91="famous voices",4,IF(J91="television programs",4,IF(J91="race horses",4,IF(J91="new vocabulary",4,IF(J91="sentences",5,IF(J91="concepts",5,IF(J91="ad slides",5,IF(J91="scenes",5,IF(J91="famous scenes",5,IF(J91="poems",6,IF(J91="walk",6,IF(J91="faces and events",6,IF(J91="events and names",6,IF(J91="flashbulb",7,IF(J91="stories",7,IF(J91="course material",7,IF(J91="autobiographical",7,IF(J91="novels",7,IF(J91="public events",7,"99"))))))))))))))))))))))))))))))))))))))))))))))</f>
        <v>4</v>
      </c>
      <c r="M91" s="92">
        <v>0</v>
      </c>
      <c r="N91" s="92">
        <v>1</v>
      </c>
      <c r="O91" s="92">
        <v>0</v>
      </c>
      <c r="P91" s="92"/>
      <c r="Q91" s="92" t="s">
        <v>174</v>
      </c>
      <c r="R91" s="69">
        <f>IF(Q91="Free Recall",1,IF(Q91="Cued Recall",2,IF(Q91="Recognition",3,IF(Q91="Multiple Choice",4,IF(Q91="Savings",5,IF(Q91="Stem Completion",6,IF(Q91="Fragment Completion",7,IF(Q91="anagram solution",8,IF(Q91="Matching",9,IF(Q91="Problem Solving",10,"99"))))))))))</f>
        <v>1</v>
      </c>
      <c r="S91" s="69" t="s">
        <v>49</v>
      </c>
      <c r="T91" s="92" t="s">
        <v>581</v>
      </c>
      <c r="U91" s="69">
        <f>IF(T91="within",1,0)</f>
        <v>1</v>
      </c>
      <c r="V91" s="92">
        <v>15</v>
      </c>
      <c r="W91" s="69">
        <f>F91*V91</f>
        <v>885</v>
      </c>
      <c r="X91" s="92">
        <v>3</v>
      </c>
      <c r="Y91" s="87">
        <f>AV90</f>
        <v>900</v>
      </c>
      <c r="Z91" s="92" t="s">
        <v>389</v>
      </c>
      <c r="AA91" s="92">
        <v>1814400</v>
      </c>
      <c r="AB91" s="69" t="str">
        <f>IF(AA91&lt;60,"1",IF(AA91&lt;=43200,"2",IF(AA91&lt;=777600,"3","4")))</f>
        <v>4</v>
      </c>
      <c r="AC91" s="72">
        <f>AVERAGE(AV90:DA90)</f>
        <v>66780</v>
      </c>
      <c r="AD91" s="69" t="str">
        <f>IF(AC91&lt;60,"1",IF(AC91&lt;=43200,"2",IF(AC91&lt;=777600,"3","4")))</f>
        <v>3</v>
      </c>
      <c r="AE91" s="87">
        <f>AA91-Y91</f>
        <v>1813500</v>
      </c>
      <c r="AF91" s="88">
        <f>AV91</f>
        <v>0.85</v>
      </c>
      <c r="AG91" s="72">
        <f>((AW91-AV91)+(AX91-AW91))/2</f>
        <v>-9.9999999999999978E-2</v>
      </c>
      <c r="AH91" s="4"/>
      <c r="AI91" s="72">
        <f>RSQ(AV91:AX91,AV90:AX90)</f>
        <v>0.89940214524202888</v>
      </c>
      <c r="AJ91" s="110">
        <f>SLOPE(AV91:AX91,AV90:AX90)</f>
        <v>-9.5787002758361246E-7</v>
      </c>
      <c r="AK91" s="72">
        <f>INTERCEPT(AV91:AX91,AV90:AX90)</f>
        <v>0.82063322710870035</v>
      </c>
      <c r="AL91" s="72">
        <f>INDEX(LINEST(LN(AV91:AX91),LN(AV90:AX90),TRUE,TRUE),3,1)</f>
        <v>0.95016046756314154</v>
      </c>
      <c r="AM91" s="72">
        <f>INDEX(LINEST(LN(AV91:AX91),LN(AV90:AX90)),1)</f>
        <v>-4.9707177621142622E-2</v>
      </c>
      <c r="AN91" s="72">
        <f>EXP(INDEX(LINEST(LN(AV91:AX91),LN(AV90:AX90)),1,2))</f>
        <v>1.2102120588113143</v>
      </c>
      <c r="AO91" s="89">
        <f>INDEX(LINEST((AV91:AX91),LN(AV90:AX90),TRUE,TRUE),3,1)</f>
        <v>0.96456409415027067</v>
      </c>
      <c r="AP91" s="89">
        <f>INDEX(LINEST((AV91:AX91),LN(AV90:AX90)),1)</f>
        <v>-3.7160158921915203E-2</v>
      </c>
      <c r="AQ91" s="90">
        <f>INDEX(LINEST(LN(AV91:AX91),SQRT(AV90:AX90),TRUE,TRUE),3,1)</f>
        <v>0.98653098298506448</v>
      </c>
      <c r="AR91" s="117">
        <f>INDEX(LINEST(LN(AV91:AX91),SQRT((AV90:AX90))),1)</f>
        <v>-6.5651952049921756E-4</v>
      </c>
      <c r="AS91" s="91">
        <f>INDEX(LINEST(1/(AV91:AX91),1/(SQRT(AV90:AX90)),TRUE,TRUE),3,1)</f>
        <v>0.72267457665884827</v>
      </c>
      <c r="AT91" s="91">
        <f>INDEX(LINEST(1/(AV91:AX91),1/SQRT(AV90:AX90)),1)</f>
        <v>-9.423035798361191</v>
      </c>
      <c r="AU91" s="3"/>
      <c r="AV91" s="97">
        <v>0.85</v>
      </c>
      <c r="AW91" s="97">
        <v>0.77</v>
      </c>
      <c r="AX91" s="97">
        <v>0.65</v>
      </c>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5"/>
      <c r="CS91" s="15"/>
      <c r="CT91" s="15"/>
      <c r="CU91" s="15"/>
    </row>
    <row r="92" spans="1:99" ht="12" customHeight="1" x14ac:dyDescent="0.2">
      <c r="A92" s="68">
        <v>43899</v>
      </c>
      <c r="B92" s="94"/>
      <c r="C92" s="94"/>
      <c r="D92" s="92"/>
      <c r="E92" s="105"/>
      <c r="F92" s="92"/>
      <c r="G92" s="92"/>
      <c r="H92" s="92"/>
      <c r="I92" s="92"/>
      <c r="J92" s="92"/>
      <c r="K92" s="107"/>
      <c r="L92" s="107"/>
      <c r="M92" s="92"/>
      <c r="N92" s="92"/>
      <c r="O92" s="92"/>
      <c r="P92" s="92"/>
      <c r="Q92" s="92"/>
      <c r="R92" s="69"/>
      <c r="S92" s="92"/>
      <c r="T92" s="92"/>
      <c r="U92" s="69"/>
      <c r="V92" s="92"/>
      <c r="W92" s="69"/>
      <c r="X92" s="92"/>
      <c r="Y92" s="87"/>
      <c r="Z92" s="92"/>
      <c r="AA92" s="92"/>
      <c r="AB92" s="69"/>
      <c r="AC92" s="72"/>
      <c r="AD92" s="69"/>
      <c r="AE92" s="69"/>
      <c r="AF92" s="88"/>
      <c r="AG92" s="72"/>
      <c r="AH92" s="4"/>
      <c r="AI92" s="72"/>
      <c r="AJ92" s="110"/>
      <c r="AK92" s="72"/>
      <c r="AL92" s="72"/>
      <c r="AM92" s="72"/>
      <c r="AN92" s="72"/>
      <c r="AO92" s="89"/>
      <c r="AP92" s="89"/>
      <c r="AQ92" s="90"/>
      <c r="AR92" s="117"/>
      <c r="AS92" s="91"/>
      <c r="AT92" s="91"/>
      <c r="AU92" s="3"/>
      <c r="AV92" s="98">
        <v>900</v>
      </c>
      <c r="AW92" s="98">
        <v>18000</v>
      </c>
      <c r="AX92" s="98">
        <v>181440</v>
      </c>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c r="CR92" s="15"/>
      <c r="CS92" s="15"/>
      <c r="CT92" s="15"/>
      <c r="CU92" s="15"/>
    </row>
    <row r="93" spans="1:99" ht="12" customHeight="1" x14ac:dyDescent="0.2">
      <c r="A93" s="68">
        <v>43899</v>
      </c>
      <c r="B93" s="94" t="s">
        <v>386</v>
      </c>
      <c r="C93" s="94" t="s">
        <v>387</v>
      </c>
      <c r="D93" s="92">
        <v>1976</v>
      </c>
      <c r="E93" s="105">
        <v>1</v>
      </c>
      <c r="F93" s="92">
        <v>59</v>
      </c>
      <c r="G93" s="92">
        <v>59</v>
      </c>
      <c r="H93" s="92" t="s">
        <v>50</v>
      </c>
      <c r="I93" s="92" t="s">
        <v>390</v>
      </c>
      <c r="J93" s="92" t="s">
        <v>320</v>
      </c>
      <c r="K93" s="69">
        <f>IF(J93="syllables",1,IF(J93="trigrams",2,IF(J93="strings",3,IF(J93="visual array",4,IF(J93="characters",5,IF(J93="letters",6,IF(J93="free forms",7,IF(J93="odors",8,IF(J93="words",9,IF(J93="pictures",10,IF(J93="object pictures",11,IF(J93="faces",12,IF(J93="names",13,IF(J93="idioms",14,IF(J93="grades",15,IF(J93="syllable-digit pairs",16,IF(J93="trigram-word pairs",17,IF(J93="word-digit pairs",18,IF(J93="English-Swahili pairs",19,IF(J93="spatial position",20,IF(J93="word pairs",21,IF(J93="word triads",22,IF(J93="generated words",23,IF(J93="word definition pairs",24,IF(J93="math problems",25,IF(J93="famous faces",26,IF(J93="famous names",27,IF(J93="famous voices",28,IF(J93="television programs",29,IF(J93="race horses",30,IF(J93="new vocabulary",31,IF(J93="sentences",32,IF(J93="concepts",33,IF(J93="ad slides",34,IF(J93="scenes",35,IF(J93="famous scenes",36,IF(J93="poems",37,IF(J93="walk",38,IF(J93="faces and events",39,IF(J93="events and names",40,IF(J93="flashbulb",41,IF(J93="stories",42,IF(J93="course material",43,IF(J93="autobiographical",44,IF(J93="novels",45,IF(J93="public events",46,"99"))))))))))))))))))))))))))))))))))))))))))))))</f>
        <v>21</v>
      </c>
      <c r="L93" s="69">
        <f>IF(J93="syllables",1,IF(J93="trigrams",1,IF(J93="strings",1,IF(J93="visual array",1,IF(J93="characters",1,IF(J93="letters",1,IF(J93="free forms",1,IF(J93="odors",2,IF(J93="words",2,IF(J93="pictures",2,IF(J93="object pictures",2,IF(J93="faces",2,IF(J93="names",2,IF(J93="idioms","2",IF(J93="grades",2,IF(J93="syllable-digit pairs",3,IF(J93="trigram-word pairs",3,IF(J93="word-digit pairs",3,IF(J93="English-Swahili pairs",3,IF(J93="spatial position",3,IF(J93="word pairs",4,IF(J93="word triads",4,IF(J93="generated words",4,IF(J93="word definition pairs",4,IF(J93="math problems",4,IF(J93="famous faces",4,IF(J93="famous names",4,IF(J93="famous voices",4,IF(J93="television programs",4,IF(J93="race horses",4,IF(J93="new vocabulary",4,IF(J93="sentences",5,IF(J93="concepts",5,IF(J93="ad slides",5,IF(J93="scenes",5,IF(J93="famous scenes",5,IF(J93="poems",6,IF(J93="walk",6,IF(J93="faces and events",6,IF(J93="events and names",6,IF(J93="flashbulb",7,IF(J93="stories",7,IF(J93="course material",7,IF(J93="autobiographical",7,IF(J93="novels",7,IF(J93="public events",7,"99"))))))))))))))))))))))))))))))))))))))))))))))</f>
        <v>4</v>
      </c>
      <c r="M93" s="92">
        <v>0</v>
      </c>
      <c r="N93" s="92">
        <v>1</v>
      </c>
      <c r="O93" s="92">
        <v>0</v>
      </c>
      <c r="P93" s="92"/>
      <c r="Q93" s="92" t="s">
        <v>174</v>
      </c>
      <c r="R93" s="69">
        <f>IF(Q93="Free Recall",1,IF(Q93="Cued Recall",2,IF(Q93="Recognition",3,IF(Q93="Multiple Choice",4,IF(Q93="Savings",5,IF(Q93="Stem Completion",6,IF(Q93="Fragment Completion",7,IF(Q93="anagram solution",8,IF(Q93="Matching",9,IF(Q93="Problem Solving",10,"99"))))))))))</f>
        <v>1</v>
      </c>
      <c r="S93" s="69" t="s">
        <v>49</v>
      </c>
      <c r="T93" s="92" t="s">
        <v>581</v>
      </c>
      <c r="U93" s="69">
        <f>IF(T93="within",1,0)</f>
        <v>1</v>
      </c>
      <c r="V93" s="92">
        <v>15</v>
      </c>
      <c r="W93" s="69">
        <f>F93*V93</f>
        <v>885</v>
      </c>
      <c r="X93" s="92">
        <v>3</v>
      </c>
      <c r="Y93" s="87">
        <f>AV92</f>
        <v>900</v>
      </c>
      <c r="Z93" s="92" t="s">
        <v>389</v>
      </c>
      <c r="AA93" s="92">
        <v>1814400</v>
      </c>
      <c r="AB93" s="69" t="str">
        <f>IF(AA93&lt;60,"1",IF(AA93&lt;=43200,"2",IF(AA93&lt;=777600,"3","4")))</f>
        <v>4</v>
      </c>
      <c r="AC93" s="72">
        <f>AVERAGE(AV92:DA92)</f>
        <v>66780</v>
      </c>
      <c r="AD93" s="69" t="str">
        <f>IF(AC93&lt;60,"1",IF(AC93&lt;=43200,"2",IF(AC93&lt;=777600,"3","4")))</f>
        <v>3</v>
      </c>
      <c r="AE93" s="87">
        <f>AA93-Y93</f>
        <v>1813500</v>
      </c>
      <c r="AF93" s="88">
        <f>AV93</f>
        <v>0.8</v>
      </c>
      <c r="AG93" s="72">
        <f>((AW93-AV93)+(AX93-AW93))/2</f>
        <v>-0.10500000000000004</v>
      </c>
      <c r="AH93" s="4"/>
      <c r="AI93" s="72">
        <f>RSQ(AV93:AX93,AV92:AX92)</f>
        <v>0.50443306777335406</v>
      </c>
      <c r="AJ93" s="110">
        <f>SLOPE(AV93:AX93,AV92:AX92)</f>
        <v>-7.9460084581046969E-7</v>
      </c>
      <c r="AK93" s="72">
        <f>INTERCEPT(AV93:AX93,AV92:AX92)</f>
        <v>0.72639677781655654</v>
      </c>
      <c r="AL93" s="72">
        <f>INDEX(LINEST(LN(AV93:AX93),LN(AV92:AX92),TRUE,TRUE),3,1)</f>
        <v>0.94207562158453195</v>
      </c>
      <c r="AM93" s="72">
        <f>INDEX(LINEST(LN(AV93:AX93),LN(AV92:AX92)),1)</f>
        <v>-5.8463487871096113E-2</v>
      </c>
      <c r="AN93" s="72">
        <f>EXP(INDEX(LINEST(LN(AV93:AX93),LN(AV92:AX92)),1,2))</f>
        <v>1.1679025471326401</v>
      </c>
      <c r="AO93" s="89">
        <f>INDEX(LINEST((AV93:AX93),LN(AV92:AX92),TRUE,TRUE),3,1)</f>
        <v>0.92944690670705854</v>
      </c>
      <c r="AP93" s="89">
        <f>INDEX(LINEST((AV93:AX93),LN(AV92:AX92)),1)</f>
        <v>-4.0405634808057249E-2</v>
      </c>
      <c r="AQ93" s="90">
        <f>INDEX(LINEST(LN(AV93:AX93),SQRT(AV92:AX92),TRUE,TRUE),3,1)</f>
        <v>0.69551378369482963</v>
      </c>
      <c r="AR93" s="117">
        <f>INDEX(LINEST(LN(AV93:AX93),SQRT((AV92:AX92))),1)</f>
        <v>-6.5112798626657041E-4</v>
      </c>
      <c r="AS93" s="91">
        <f>INDEX(LINEST(1/(AV93:AX93),1/(SQRT(AV92:AX92)),TRUE,TRUE),3,1)</f>
        <v>0.99367067158478006</v>
      </c>
      <c r="AT93" s="91">
        <f>INDEX(LINEST(1/(AV93:AX93),1/SQRT(AV92:AX92)),1)</f>
        <v>-13.928451757558641</v>
      </c>
      <c r="AU93" s="3"/>
      <c r="AV93" s="97">
        <v>0.8</v>
      </c>
      <c r="AW93" s="97">
        <v>0.63</v>
      </c>
      <c r="AX93" s="97">
        <v>0.59</v>
      </c>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5"/>
      <c r="CS93" s="15"/>
      <c r="CT93" s="15"/>
      <c r="CU93" s="15"/>
    </row>
    <row r="94" spans="1:99" ht="12" customHeight="1" x14ac:dyDescent="0.2">
      <c r="A94" s="68">
        <v>43899</v>
      </c>
      <c r="B94" s="94"/>
      <c r="C94" s="94"/>
      <c r="D94" s="92"/>
      <c r="E94" s="105"/>
      <c r="F94" s="92"/>
      <c r="G94" s="92"/>
      <c r="H94" s="92"/>
      <c r="I94" s="92"/>
      <c r="J94" s="92"/>
      <c r="K94" s="107"/>
      <c r="L94" s="107"/>
      <c r="M94" s="92"/>
      <c r="N94" s="92"/>
      <c r="O94" s="92"/>
      <c r="P94" s="92"/>
      <c r="Q94" s="92"/>
      <c r="R94" s="69"/>
      <c r="S94" s="92"/>
      <c r="T94" s="92"/>
      <c r="U94" s="69"/>
      <c r="V94" s="92"/>
      <c r="W94" s="69"/>
      <c r="X94" s="92"/>
      <c r="Y94" s="87"/>
      <c r="Z94" s="92"/>
      <c r="AA94" s="92"/>
      <c r="AB94" s="69"/>
      <c r="AC94" s="72"/>
      <c r="AD94" s="69"/>
      <c r="AE94" s="69"/>
      <c r="AF94" s="88"/>
      <c r="AG94" s="72"/>
      <c r="AH94" s="4"/>
      <c r="AI94" s="72"/>
      <c r="AJ94" s="110"/>
      <c r="AK94" s="72"/>
      <c r="AL94" s="72"/>
      <c r="AM94" s="72"/>
      <c r="AN94" s="72"/>
      <c r="AO94" s="89"/>
      <c r="AP94" s="89"/>
      <c r="AQ94" s="90"/>
      <c r="AR94" s="117"/>
      <c r="AS94" s="91"/>
      <c r="AT94" s="91"/>
      <c r="AU94" s="3"/>
      <c r="AV94" s="98">
        <v>900</v>
      </c>
      <c r="AW94" s="98">
        <v>18000</v>
      </c>
      <c r="AX94" s="98">
        <v>181440</v>
      </c>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5"/>
      <c r="CS94" s="15"/>
      <c r="CT94" s="15"/>
      <c r="CU94" s="15"/>
    </row>
    <row r="95" spans="1:99" ht="12" customHeight="1" x14ac:dyDescent="0.2">
      <c r="A95" s="68">
        <v>43899</v>
      </c>
      <c r="B95" s="94" t="s">
        <v>386</v>
      </c>
      <c r="C95" s="94" t="s">
        <v>387</v>
      </c>
      <c r="D95" s="92">
        <v>1976</v>
      </c>
      <c r="E95" s="105">
        <v>1</v>
      </c>
      <c r="F95" s="92">
        <v>59</v>
      </c>
      <c r="G95" s="92">
        <v>59</v>
      </c>
      <c r="H95" s="92" t="s">
        <v>50</v>
      </c>
      <c r="I95" s="92" t="s">
        <v>391</v>
      </c>
      <c r="J95" s="92" t="s">
        <v>320</v>
      </c>
      <c r="K95" s="69">
        <f>IF(J95="syllables",1,IF(J95="trigrams",2,IF(J95="strings",3,IF(J95="visual array",4,IF(J95="characters",5,IF(J95="letters",6,IF(J95="free forms",7,IF(J95="odors",8,IF(J95="words",9,IF(J95="pictures",10,IF(J95="object pictures",11,IF(J95="faces",12,IF(J95="names",13,IF(J95="idioms",14,IF(J95="grades",15,IF(J95="syllable-digit pairs",16,IF(J95="trigram-word pairs",17,IF(J95="word-digit pairs",18,IF(J95="English-Swahili pairs",19,IF(J95="spatial position",20,IF(J95="word pairs",21,IF(J95="word triads",22,IF(J95="generated words",23,IF(J95="word definition pairs",24,IF(J95="math problems",25,IF(J95="famous faces",26,IF(J95="famous names",27,IF(J95="famous voices",28,IF(J95="television programs",29,IF(J95="race horses",30,IF(J95="new vocabulary",31,IF(J95="sentences",32,IF(J95="concepts",33,IF(J95="ad slides",34,IF(J95="scenes",35,IF(J95="famous scenes",36,IF(J95="poems",37,IF(J95="walk",38,IF(J95="faces and events",39,IF(J95="events and names",40,IF(J95="flashbulb",41,IF(J95="stories",42,IF(J95="course material",43,IF(J95="autobiographical",44,IF(J95="novels",45,IF(J95="public events",46,"99"))))))))))))))))))))))))))))))))))))))))))))))</f>
        <v>21</v>
      </c>
      <c r="L95" s="69">
        <f>IF(J95="syllables",1,IF(J95="trigrams",1,IF(J95="strings",1,IF(J95="visual array",1,IF(J95="characters",1,IF(J95="letters",1,IF(J95="free forms",1,IF(J95="odors",2,IF(J95="words",2,IF(J95="pictures",2,IF(J95="object pictures",2,IF(J95="faces",2,IF(J95="names",2,IF(J95="idioms","2",IF(J95="grades",2,IF(J95="syllable-digit pairs",3,IF(J95="trigram-word pairs",3,IF(J95="word-digit pairs",3,IF(J95="English-Swahili pairs",3,IF(J95="spatial position",3,IF(J95="word pairs",4,IF(J95="word triads",4,IF(J95="generated words",4,IF(J95="word definition pairs",4,IF(J95="math problems",4,IF(J95="famous faces",4,IF(J95="famous names",4,IF(J95="famous voices",4,IF(J95="television programs",4,IF(J95="race horses",4,IF(J95="new vocabulary",4,IF(J95="sentences",5,IF(J95="concepts",5,IF(J95="ad slides",5,IF(J95="scenes",5,IF(J95="famous scenes",5,IF(J95="poems",6,IF(J95="walk",6,IF(J95="faces and events",6,IF(J95="events and names",6,IF(J95="flashbulb",7,IF(J95="stories",7,IF(J95="course material",7,IF(J95="autobiographical",7,IF(J95="novels",7,IF(J95="public events",7,"99"))))))))))))))))))))))))))))))))))))))))))))))</f>
        <v>4</v>
      </c>
      <c r="M95" s="92">
        <v>0</v>
      </c>
      <c r="N95" s="92">
        <v>1</v>
      </c>
      <c r="O95" s="92">
        <v>0</v>
      </c>
      <c r="P95" s="92"/>
      <c r="Q95" s="92" t="s">
        <v>174</v>
      </c>
      <c r="R95" s="69">
        <f>IF(Q95="Free Recall",1,IF(Q95="Cued Recall",2,IF(Q95="Recognition",3,IF(Q95="Multiple Choice",4,IF(Q95="Savings",5,IF(Q95="Stem Completion",6,IF(Q95="Fragment Completion",7,IF(Q95="anagram solution",8,IF(Q95="Matching",9,IF(Q95="Problem Solving",10,"99"))))))))))</f>
        <v>1</v>
      </c>
      <c r="S95" s="69" t="s">
        <v>49</v>
      </c>
      <c r="T95" s="92" t="s">
        <v>581</v>
      </c>
      <c r="U95" s="69">
        <f>IF(T95="within",1,0)</f>
        <v>1</v>
      </c>
      <c r="V95" s="92">
        <v>15</v>
      </c>
      <c r="W95" s="69">
        <f>F95*V95</f>
        <v>885</v>
      </c>
      <c r="X95" s="92">
        <v>3</v>
      </c>
      <c r="Y95" s="87">
        <f>AV94</f>
        <v>900</v>
      </c>
      <c r="Z95" s="92" t="s">
        <v>389</v>
      </c>
      <c r="AA95" s="92">
        <v>1814400</v>
      </c>
      <c r="AB95" s="69" t="str">
        <f>IF(AA95&lt;60,"1",IF(AA95&lt;=43200,"2",IF(AA95&lt;=777600,"3","4")))</f>
        <v>4</v>
      </c>
      <c r="AC95" s="72">
        <f>AVERAGE(AV94:DA94)</f>
        <v>66780</v>
      </c>
      <c r="AD95" s="69" t="str">
        <f>IF(AC95&lt;60,"1",IF(AC95&lt;=43200,"2",IF(AC95&lt;=777600,"3","4")))</f>
        <v>3</v>
      </c>
      <c r="AE95" s="87">
        <f>AA95-Y95</f>
        <v>1813500</v>
      </c>
      <c r="AF95" s="88">
        <f>AV95</f>
        <v>0.43</v>
      </c>
      <c r="AG95" s="72">
        <f>((AW95-AV95)+(AX95-AW95))/2</f>
        <v>-0.14499999999999999</v>
      </c>
      <c r="AH95" s="4"/>
      <c r="AI95" s="72">
        <f>RSQ(AV95:AX95,AV94:AX94)</f>
        <v>0.4517708653332953</v>
      </c>
      <c r="AJ95" s="110">
        <f>SLOPE(AV95:AX95,AV94:AX94)</f>
        <v>-1.0598906150844777E-6</v>
      </c>
      <c r="AK95" s="72">
        <f>INTERCEPT(AV95:AX95,AV94:AX94)</f>
        <v>0.32077949527534144</v>
      </c>
      <c r="AL95" s="72">
        <f>INDEX(LINEST(LN(AV95:AX95),LN(AV94:AX94),TRUE,TRUE),3,1)</f>
        <v>0.94616837554052724</v>
      </c>
      <c r="AM95" s="72">
        <f>INDEX(LINEST(LN(AV95:AX95),LN(AV94:AX94)),1)</f>
        <v>-0.21530283029307667</v>
      </c>
      <c r="AN95" s="72">
        <f>EXP(INDEX(LINEST(LN(AV95:AX95),LN(AV94:AX94)),1,2))</f>
        <v>1.7368915283104613</v>
      </c>
      <c r="AO95" s="89">
        <f>INDEX(LINEST((AV95:AX95),LN(AV94:AX94),TRUE,TRUE),3,1)</f>
        <v>0.90010075522342836</v>
      </c>
      <c r="AP95" s="89">
        <f>INDEX(LINEST((AV95:AX95),LN(AV94:AX94)),1)</f>
        <v>-5.6044099087546824E-2</v>
      </c>
      <c r="AQ95" s="90">
        <f>INDEX(LINEST(LN(AV95:AX95),SQRT(AV94:AX94),TRUE,TRUE),3,1)</f>
        <v>0.70368370248567602</v>
      </c>
      <c r="AR95" s="117">
        <f>INDEX(LINEST(LN(AV95:AX95),SQRT((AV94:AX94))),1)</f>
        <v>-2.406721979770743E-3</v>
      </c>
      <c r="AS95" s="91">
        <f>INDEX(LINEST(1/(AV95:AX95),1/(SQRT(AV94:AX94)),TRUE,TRUE),3,1)</f>
        <v>0.96971142669757682</v>
      </c>
      <c r="AT95" s="91">
        <f>INDEX(LINEST(1/(AV95:AX95),1/SQRT(AV94:AX94)),1)</f>
        <v>-145.51335982913466</v>
      </c>
      <c r="AU95" s="3"/>
      <c r="AV95" s="97">
        <v>0.43</v>
      </c>
      <c r="AW95" s="97">
        <v>0.18</v>
      </c>
      <c r="AX95" s="97">
        <v>0.14000000000000001</v>
      </c>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5"/>
      <c r="CS95" s="15"/>
      <c r="CT95" s="15"/>
      <c r="CU95" s="15"/>
    </row>
    <row r="96" spans="1:99" ht="12" customHeight="1" x14ac:dyDescent="0.2">
      <c r="A96" s="68">
        <v>43899</v>
      </c>
      <c r="B96" s="94"/>
      <c r="C96" s="94"/>
      <c r="D96" s="92"/>
      <c r="E96" s="105"/>
      <c r="F96" s="92"/>
      <c r="G96" s="92"/>
      <c r="H96" s="92"/>
      <c r="I96" s="92"/>
      <c r="J96" s="92"/>
      <c r="K96" s="107"/>
      <c r="L96" s="107"/>
      <c r="M96" s="92"/>
      <c r="N96" s="92"/>
      <c r="O96" s="92"/>
      <c r="P96" s="92"/>
      <c r="Q96" s="92"/>
      <c r="R96" s="69"/>
      <c r="S96" s="92"/>
      <c r="T96" s="92"/>
      <c r="U96" s="69"/>
      <c r="V96" s="92"/>
      <c r="W96" s="69"/>
      <c r="X96" s="92"/>
      <c r="Y96" s="87"/>
      <c r="Z96" s="92"/>
      <c r="AA96" s="92"/>
      <c r="AB96" s="69"/>
      <c r="AC96" s="72"/>
      <c r="AD96" s="69"/>
      <c r="AE96" s="69"/>
      <c r="AF96" s="88"/>
      <c r="AG96" s="72"/>
      <c r="AH96" s="4"/>
      <c r="AI96" s="72"/>
      <c r="AJ96" s="110"/>
      <c r="AK96" s="72"/>
      <c r="AL96" s="72"/>
      <c r="AM96" s="72"/>
      <c r="AN96" s="72"/>
      <c r="AO96" s="89"/>
      <c r="AP96" s="89"/>
      <c r="AQ96" s="90"/>
      <c r="AR96" s="117"/>
      <c r="AS96" s="91"/>
      <c r="AT96" s="91"/>
      <c r="AU96" s="3"/>
      <c r="AV96" s="98">
        <v>900</v>
      </c>
      <c r="AW96" s="98">
        <v>18000</v>
      </c>
      <c r="AX96" s="98">
        <v>181440</v>
      </c>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5"/>
      <c r="CS96" s="15"/>
      <c r="CT96" s="15"/>
      <c r="CU96" s="15"/>
    </row>
    <row r="97" spans="1:99" ht="12" customHeight="1" x14ac:dyDescent="0.2">
      <c r="A97" s="68">
        <v>43899</v>
      </c>
      <c r="B97" s="94" t="s">
        <v>386</v>
      </c>
      <c r="C97" s="94" t="s">
        <v>387</v>
      </c>
      <c r="D97" s="92">
        <v>1976</v>
      </c>
      <c r="E97" s="105">
        <v>1</v>
      </c>
      <c r="F97" s="92">
        <v>59</v>
      </c>
      <c r="G97" s="92">
        <v>59</v>
      </c>
      <c r="H97" s="92" t="s">
        <v>50</v>
      </c>
      <c r="I97" s="92" t="s">
        <v>392</v>
      </c>
      <c r="J97" s="92" t="s">
        <v>320</v>
      </c>
      <c r="K97" s="69">
        <f>IF(J97="syllables",1,IF(J97="trigrams",2,IF(J97="strings",3,IF(J97="visual array",4,IF(J97="characters",5,IF(J97="letters",6,IF(J97="free forms",7,IF(J97="odors",8,IF(J97="words",9,IF(J97="pictures",10,IF(J97="object pictures",11,IF(J97="faces",12,IF(J97="names",13,IF(J97="idioms",14,IF(J97="grades",15,IF(J97="syllable-digit pairs",16,IF(J97="trigram-word pairs",17,IF(J97="word-digit pairs",18,IF(J97="English-Swahili pairs",19,IF(J97="spatial position",20,IF(J97="word pairs",21,IF(J97="word triads",22,IF(J97="generated words",23,IF(J97="word definition pairs",24,IF(J97="math problems",25,IF(J97="famous faces",26,IF(J97="famous names",27,IF(J97="famous voices",28,IF(J97="television programs",29,IF(J97="race horses",30,IF(J97="new vocabulary",31,IF(J97="sentences",32,IF(J97="concepts",33,IF(J97="ad slides",34,IF(J97="scenes",35,IF(J97="famous scenes",36,IF(J97="poems",37,IF(J97="walk",38,IF(J97="faces and events",39,IF(J97="events and names",40,IF(J97="flashbulb",41,IF(J97="stories",42,IF(J97="course material",43,IF(J97="autobiographical",44,IF(J97="novels",45,IF(J97="public events",46,"99"))))))))))))))))))))))))))))))))))))))))))))))</f>
        <v>21</v>
      </c>
      <c r="L97" s="69">
        <f>IF(J97="syllables",1,IF(J97="trigrams",1,IF(J97="strings",1,IF(J97="visual array",1,IF(J97="characters",1,IF(J97="letters",1,IF(J97="free forms",1,IF(J97="odors",2,IF(J97="words",2,IF(J97="pictures",2,IF(J97="object pictures",2,IF(J97="faces",2,IF(J97="names",2,IF(J97="idioms","2",IF(J97="grades",2,IF(J97="syllable-digit pairs",3,IF(J97="trigram-word pairs",3,IF(J97="word-digit pairs",3,IF(J97="English-Swahili pairs",3,IF(J97="spatial position",3,IF(J97="word pairs",4,IF(J97="word triads",4,IF(J97="generated words",4,IF(J97="word definition pairs",4,IF(J97="math problems",4,IF(J97="famous faces",4,IF(J97="famous names",4,IF(J97="famous voices",4,IF(J97="television programs",4,IF(J97="race horses",4,IF(J97="new vocabulary",4,IF(J97="sentences",5,IF(J97="concepts",5,IF(J97="ad slides",5,IF(J97="scenes",5,IF(J97="famous scenes",5,IF(J97="poems",6,IF(J97="walk",6,IF(J97="faces and events",6,IF(J97="events and names",6,IF(J97="flashbulb",7,IF(J97="stories",7,IF(J97="course material",7,IF(J97="autobiographical",7,IF(J97="novels",7,IF(J97="public events",7,"99"))))))))))))))))))))))))))))))))))))))))))))))</f>
        <v>4</v>
      </c>
      <c r="M97" s="92">
        <v>0</v>
      </c>
      <c r="N97" s="92">
        <v>1</v>
      </c>
      <c r="O97" s="92">
        <v>0</v>
      </c>
      <c r="P97" s="92"/>
      <c r="Q97" s="92" t="s">
        <v>174</v>
      </c>
      <c r="R97" s="69">
        <f>IF(Q97="Free Recall",1,IF(Q97="Cued Recall",2,IF(Q97="Recognition",3,IF(Q97="Multiple Choice",4,IF(Q97="Savings",5,IF(Q97="Stem Completion",6,IF(Q97="Fragment Completion",7,IF(Q97="anagram solution",8,IF(Q97="Matching",9,IF(Q97="Problem Solving",10,"99"))))))))))</f>
        <v>1</v>
      </c>
      <c r="S97" s="69" t="s">
        <v>49</v>
      </c>
      <c r="T97" s="92" t="s">
        <v>581</v>
      </c>
      <c r="U97" s="69">
        <f>IF(T97="within",1,0)</f>
        <v>1</v>
      </c>
      <c r="V97" s="92">
        <v>15</v>
      </c>
      <c r="W97" s="69">
        <f>F97*V97</f>
        <v>885</v>
      </c>
      <c r="X97" s="92">
        <v>3</v>
      </c>
      <c r="Y97" s="87">
        <f>AV96</f>
        <v>900</v>
      </c>
      <c r="Z97" s="92" t="s">
        <v>389</v>
      </c>
      <c r="AA97" s="92">
        <v>1814400</v>
      </c>
      <c r="AB97" s="69" t="str">
        <f>IF(AA97&lt;60,"1",IF(AA97&lt;=43200,"2",IF(AA97&lt;=777600,"3","4")))</f>
        <v>4</v>
      </c>
      <c r="AC97" s="72">
        <f>AVERAGE(AV96:DA96)</f>
        <v>66780</v>
      </c>
      <c r="AD97" s="69" t="str">
        <f>IF(AC97&lt;60,"1",IF(AC97&lt;=43200,"2",IF(AC97&lt;=777600,"3","4")))</f>
        <v>3</v>
      </c>
      <c r="AE97" s="87">
        <f>AA97-Y97</f>
        <v>1813500</v>
      </c>
      <c r="AF97" s="88">
        <f>AV97</f>
        <v>0.22</v>
      </c>
      <c r="AG97" s="72">
        <f>((AW97-AV97)+(AX97-AW97))/2</f>
        <v>-9.5000000000000001E-2</v>
      </c>
      <c r="AH97" s="4"/>
      <c r="AI97" s="72">
        <f>RSQ(AV97:AX97,AV96:AX96)</f>
        <v>0.37230149195825563</v>
      </c>
      <c r="AJ97" s="110">
        <f>SLOPE(AV97:AX97,AV96:AX96)</f>
        <v>-6.546170023923194E-7</v>
      </c>
      <c r="AK97" s="72">
        <f>INTERCEPT(AV97:AX97,AV96:AX96)</f>
        <v>0.14038199008642577</v>
      </c>
      <c r="AL97" s="72">
        <f>INDEX(LINEST(LN(AV97:AX97),LN(AV96:AX96),TRUE,TRUE),3,1)</f>
        <v>0.903884269420554</v>
      </c>
      <c r="AM97" s="72">
        <f>INDEX(LINEST(LN(AV97:AX97),LN(AV96:AX96)),1)</f>
        <v>-0.38484057447004455</v>
      </c>
      <c r="AN97" s="72">
        <f>EXP(INDEX(LINEST(LN(AV97:AX97),LN(AV96:AX96)),1,2))</f>
        <v>2.5505307070774919</v>
      </c>
      <c r="AO97" s="89">
        <f>INDEX(LINEST((AV97:AX97),LN(AV96:AX96),TRUE,TRUE),3,1)</f>
        <v>0.84662228080443125</v>
      </c>
      <c r="AP97" s="89">
        <f>INDEX(LINEST((AV97:AX97),LN(AV96:AX96)),1)</f>
        <v>-3.6980019182387018E-2</v>
      </c>
      <c r="AQ97" s="90">
        <f>INDEX(LINEST(LN(AV97:AX97),SQRT(AV96:AX96),TRUE,TRUE),3,1)</f>
        <v>0.62729827819263817</v>
      </c>
      <c r="AR97" s="117">
        <f>INDEX(LINEST(LN(AV97:AX97),SQRT((AV96:AX96))),1)</f>
        <v>-4.1555942904803276E-3</v>
      </c>
      <c r="AS97" s="91">
        <f>INDEX(LINEST(1/(AV97:AX97),1/(SQRT(AV96:AX96)),TRUE,TRUE),3,1)</f>
        <v>0.98297684073972758</v>
      </c>
      <c r="AT97" s="91">
        <f>INDEX(LINEST(1/(AV97:AX97),1/SQRT(AV96:AX96)),1)</f>
        <v>-884.03894523574468</v>
      </c>
      <c r="AU97" s="3"/>
      <c r="AV97" s="97">
        <v>0.22</v>
      </c>
      <c r="AW97" s="97">
        <v>0.04</v>
      </c>
      <c r="AX97" s="97">
        <v>0.03</v>
      </c>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5"/>
      <c r="CS97" s="15"/>
      <c r="CT97" s="15"/>
      <c r="CU97" s="15"/>
    </row>
    <row r="98" spans="1:99" s="13" customFormat="1" ht="12" customHeight="1" x14ac:dyDescent="0.2">
      <c r="A98" s="65">
        <v>43903</v>
      </c>
      <c r="D98" s="61"/>
      <c r="E98" s="76"/>
      <c r="F98" s="60"/>
      <c r="G98" s="60"/>
      <c r="H98" s="60"/>
      <c r="I98" s="60"/>
      <c r="J98" s="60"/>
      <c r="K98" s="64"/>
      <c r="L98" s="64"/>
      <c r="M98" s="60"/>
      <c r="N98" s="60"/>
      <c r="O98" s="60"/>
      <c r="P98" s="60"/>
      <c r="Q98" s="60"/>
      <c r="R98" s="60"/>
      <c r="S98" s="60"/>
      <c r="T98" s="60"/>
      <c r="U98" s="60"/>
      <c r="V98" s="60"/>
      <c r="W98" s="60"/>
      <c r="X98" s="60"/>
      <c r="Y98" s="76"/>
      <c r="Z98" s="60"/>
      <c r="AA98" s="60"/>
      <c r="AB98" s="60"/>
      <c r="AC98" s="56"/>
      <c r="AD98" s="60"/>
      <c r="AE98" s="60"/>
      <c r="AF98" s="80"/>
      <c r="AG98" s="56"/>
      <c r="AH98" s="4"/>
      <c r="AI98" s="56"/>
      <c r="AJ98" s="109"/>
      <c r="AK98" s="56"/>
      <c r="AL98" s="56"/>
      <c r="AM98" s="56"/>
      <c r="AN98" s="56"/>
      <c r="AO98" s="82"/>
      <c r="AP98" s="82"/>
      <c r="AQ98" s="83"/>
      <c r="AR98" s="116"/>
      <c r="AS98" s="84"/>
      <c r="AT98" s="84"/>
      <c r="AU98" s="3"/>
      <c r="AV98" s="25">
        <v>60</v>
      </c>
      <c r="AW98" s="25">
        <v>86400</v>
      </c>
      <c r="AX98" s="25">
        <v>259200</v>
      </c>
      <c r="AY98" s="25">
        <v>604800</v>
      </c>
      <c r="AZ98" s="25">
        <v>864000</v>
      </c>
      <c r="BA98" s="25">
        <v>1209600</v>
      </c>
      <c r="BB98" s="43" t="s">
        <v>512</v>
      </c>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53"/>
      <c r="CD98" s="53"/>
      <c r="CE98" s="53"/>
      <c r="CF98" s="53"/>
      <c r="CG98" s="53"/>
      <c r="CH98" s="53"/>
      <c r="CI98" s="53"/>
      <c r="CJ98" s="53"/>
      <c r="CK98" s="53"/>
      <c r="CL98" s="53"/>
      <c r="CM98" s="53"/>
      <c r="CN98" s="53"/>
      <c r="CO98" s="53"/>
      <c r="CP98" s="53"/>
      <c r="CQ98" s="53"/>
      <c r="CR98" s="1"/>
      <c r="CS98" s="1"/>
      <c r="CT98" s="1"/>
      <c r="CU98" s="1"/>
    </row>
    <row r="99" spans="1:99" s="13" customFormat="1" ht="12" customHeight="1" x14ac:dyDescent="0.2">
      <c r="A99" s="65">
        <v>43903</v>
      </c>
      <c r="B99" s="1" t="s">
        <v>473</v>
      </c>
      <c r="C99" s="1" t="s">
        <v>474</v>
      </c>
      <c r="D99" s="60">
        <v>2020</v>
      </c>
      <c r="E99" s="76">
        <v>1</v>
      </c>
      <c r="F99" s="60">
        <v>144</v>
      </c>
      <c r="G99" s="60">
        <v>24</v>
      </c>
      <c r="H99" s="60"/>
      <c r="I99" s="60" t="s">
        <v>649</v>
      </c>
      <c r="J99" s="60" t="s">
        <v>475</v>
      </c>
      <c r="K99" s="60">
        <f>IF(J99="syllables",1,IF(J99="trigrams",2,IF(J99="strings",3,IF(J99="visual array",4,IF(J99="characters",5,IF(J99="letters",6,IF(J99="free forms",7,IF(J99="odors",8,IF(J99="words",9,IF(J99="pictures",10,IF(J99="object pictures",11,IF(J99="faces",12,IF(J99="names",13,IF(J99="idioms",14,IF(J99="grades",15,IF(J99="syllable-digit pairs",16,IF(J99="trigram-word pairs",17,IF(J99="word-digit pairs",18,IF(J99="English-Swahili pairs",19,IF(J99="spatial position",20,IF(J99="word pairs",21,IF(J99="word triads",22,IF(J99="generated words",23,IF(J99="word definition pairs",24,IF(J99="math problems",25,IF(J99="famous faces",26,IF(J99="famous names",27,IF(J99="famous voices",28,IF(J99="television programs",29,IF(J99="race horses",30,IF(J99="new vocabulary",31,IF(J99="sentences",32,IF(J99="concepts",33,IF(J99="ad slides",34,IF(J99="scenes",35,IF(J99="famous scenes",36,IF(J99="poems",37,IF(J99="walk",38,IF(J99="faces and events",39,IF(J99="events and names",40,IF(J99="flashbulb",41,IF(J99="stories",42,IF(J99="course material",43,IF(J99="autobiographical",44,IF(J99="novels",45,IF(J99="public events",46,"99"))))))))))))))))))))))))))))))))))))))))))))))</f>
        <v>32</v>
      </c>
      <c r="L99" s="60">
        <f>IF(J99="syllables",1,IF(J99="trigrams",1,IF(J99="strings",1,IF(J99="visual array",1,IF(J99="characters",1,IF(J99="letters",1,IF(J99="free forms",1,IF(J99="odors",2,IF(J99="words",2,IF(J99="pictures",2,IF(J99="object pictures",2,IF(J99="faces",2,IF(J99="names",2,IF(J99="idioms","2",IF(J99="grades",2,IF(J99="syllable-digit pairs",3,IF(J99="trigram-word pairs",3,IF(J99="word-digit pairs",3,IF(J99="English-Swahili pairs",3,IF(J99="spatial position",3,IF(J99="word pairs",4,IF(J99="word triads",4,IF(J99="generated words",4,IF(J99="word definition pairs",4,IF(J99="math problems",4,IF(J99="famous faces",4,IF(J99="famous names",4,IF(J99="famous voices",4,IF(J99="television programs",4,IF(J99="race horses",4,IF(J99="new vocabulary",4,IF(J99="sentences",5,IF(J99="concepts",5,IF(J99="ad slides",5,IF(J99="scenes",5,IF(J99="famous scenes",5,IF(J99="poems",6,IF(J99="walk",6,IF(J99="faces and events",6,IF(J99="events and names",6,IF(J99="flashbulb",7,IF(J99="stories",7,IF(J99="course material",7,IF(J99="autobiographical",7,IF(J99="novels",7,IF(J99="public events",7,"99"))))))))))))))))))))))))))))))))))))))))))))))</f>
        <v>5</v>
      </c>
      <c r="M99" s="60">
        <v>0</v>
      </c>
      <c r="N99" s="60">
        <v>2</v>
      </c>
      <c r="O99" s="60">
        <v>0</v>
      </c>
      <c r="P99" s="60"/>
      <c r="Q99" s="60" t="s">
        <v>34</v>
      </c>
      <c r="R99" s="60">
        <f>IF(Q99="Free Recall",1,IF(Q99="Cued Recall",2,IF(Q99="Recognition",3,IF(Q99="Multiple Choice",4,IF(Q99="Savings",5,IF(Q99="Stem Completion",6,IF(Q99="Fragment Completion",7,IF(Q99="anagram solution",8,IF(Q99="Matching",9,IF(Q99="Problem Solving",10,"99"))))))))))</f>
        <v>3</v>
      </c>
      <c r="S99" s="60" t="s">
        <v>15</v>
      </c>
      <c r="T99" s="60" t="s">
        <v>261</v>
      </c>
      <c r="U99" s="60">
        <f>IF(T99="within",1,0)</f>
        <v>0</v>
      </c>
      <c r="V99" s="60">
        <v>18</v>
      </c>
      <c r="W99" s="60">
        <f>F99*V99</f>
        <v>2592</v>
      </c>
      <c r="X99" s="60">
        <v>6</v>
      </c>
      <c r="Y99" s="76">
        <f>AV98</f>
        <v>60</v>
      </c>
      <c r="Z99" s="60" t="s">
        <v>476</v>
      </c>
      <c r="AA99" s="60">
        <v>1209600</v>
      </c>
      <c r="AB99" s="60" t="str">
        <f>IF(AA99&lt;60,"1",IF(AA99&lt;=43200,"2",IF(AA99&lt;=777600,"3","4")))</f>
        <v>4</v>
      </c>
      <c r="AC99" s="56">
        <f>AVERAGE(AV98:DA98)</f>
        <v>504010</v>
      </c>
      <c r="AD99" s="60" t="str">
        <f>IF(AC99&lt;60,"1",IF(AC99&lt;=43200,"2",IF(AC99&lt;=777600,"3","4")))</f>
        <v>3</v>
      </c>
      <c r="AE99" s="76">
        <f>AA99-Y99</f>
        <v>1209540</v>
      </c>
      <c r="AF99" s="80">
        <f>AV99</f>
        <v>0.7997685185185186</v>
      </c>
      <c r="AG99" s="56">
        <f>((AW99-AV99)+(AX99-AW99)+(AY99-AX99)+(AZ99-AY99)+(BA99-AZ99))/5</f>
        <v>-4.4444444444444488E-2</v>
      </c>
      <c r="AH99" s="4"/>
      <c r="AI99" s="56">
        <f>RSQ(AV99:BA99,AV98:BA98)</f>
        <v>0.59939760618864746</v>
      </c>
      <c r="AJ99" s="109">
        <f>SLOPE(AV99:BA99,AV98:BA98)</f>
        <v>-1.4454180495721897E-7</v>
      </c>
      <c r="AK99" s="56">
        <f>INTERCEPT(AV99:BA99,AV98:BA98)</f>
        <v>0.71000329289426567</v>
      </c>
      <c r="AL99" s="56">
        <f>INDEX(LINEST(LN(AV99:BA99),LN(AV98:BA98),TRUE,TRUE),3,1)</f>
        <v>0.91942521885389472</v>
      </c>
      <c r="AM99" s="56">
        <f>INDEX(LINEST(LN(AV99:BA99),LN(AV98:BA98)),1)</f>
        <v>-3.3609155370252476E-2</v>
      </c>
      <c r="AN99" s="56">
        <f>EXP(INDEX(LINEST(LN(AV99:BA99),LN(AV98:BA98)),1,2))</f>
        <v>0.93036843305304107</v>
      </c>
      <c r="AO99" s="82">
        <f>INDEX(LINEST((AV99:BA99),LN(AV98:BA98),TRUE,TRUE),3,1)</f>
        <v>0.9433009479165444</v>
      </c>
      <c r="AP99" s="82">
        <f>INDEX(LINEST((AV99:BA99),LN(AV98:BA98)),1)</f>
        <v>-2.2986231716034235E-2</v>
      </c>
      <c r="AQ99" s="83">
        <f>INDEX(LINEST(LN(AV99:BA99),SQRT(AV98:BA98),TRUE,TRUE),3,1)</f>
        <v>0.84440289865513285</v>
      </c>
      <c r="AR99" s="116">
        <f>INDEX(LINEST(LN(AV99:BA99),SQRT((AV98:BA98))),1)</f>
        <v>-2.9369942631143144E-4</v>
      </c>
      <c r="AS99" s="84">
        <f>INDEX(LINEST(1/(AV99:BA99),1/(SQRT(AV98:BA98)),TRUE,TRUE),3,1)</f>
        <v>0.73852144434427336</v>
      </c>
      <c r="AT99" s="84">
        <f>INDEX(LINEST(1/(AV99:BA99),1/SQRT(AV98:BA98)),1)</f>
        <v>-3.2506690190414016</v>
      </c>
      <c r="AU99" s="3"/>
      <c r="AV99" s="53">
        <v>0.7997685185185186</v>
      </c>
      <c r="AW99" s="53">
        <v>0.67129629629629628</v>
      </c>
      <c r="AX99" s="53">
        <v>0.60763888888888895</v>
      </c>
      <c r="AY99" s="53">
        <v>0.60995370370370372</v>
      </c>
      <c r="AZ99" s="53">
        <v>0.55671296296296313</v>
      </c>
      <c r="BA99" s="53">
        <v>0.57754629629629617</v>
      </c>
      <c r="BB99" s="43"/>
      <c r="BC99" s="53"/>
      <c r="BD99" s="53"/>
      <c r="BE99" s="53"/>
      <c r="BF99" s="53"/>
      <c r="BG99" s="53"/>
      <c r="BH99" s="53"/>
      <c r="BI99" s="53"/>
      <c r="BJ99" s="53"/>
      <c r="BK99" s="53"/>
      <c r="BL99" s="53"/>
      <c r="BM99" s="53"/>
      <c r="BN99" s="53"/>
      <c r="BO99" s="53"/>
      <c r="BP99" s="53"/>
      <c r="BQ99" s="53"/>
      <c r="BR99" s="53"/>
      <c r="BS99" s="53"/>
      <c r="BT99" s="53"/>
      <c r="BU99" s="53"/>
      <c r="BV99" s="53"/>
      <c r="BW99" s="53"/>
      <c r="BX99" s="53"/>
      <c r="BY99" s="53"/>
      <c r="BZ99" s="53"/>
      <c r="CA99" s="53"/>
      <c r="CB99" s="53"/>
      <c r="CC99" s="53"/>
      <c r="CD99" s="53"/>
      <c r="CE99" s="53"/>
      <c r="CF99" s="53"/>
      <c r="CG99" s="53"/>
      <c r="CH99" s="53"/>
      <c r="CI99" s="53"/>
      <c r="CJ99" s="53"/>
      <c r="CK99" s="53"/>
      <c r="CL99" s="53"/>
      <c r="CM99" s="53"/>
      <c r="CN99" s="53"/>
      <c r="CO99" s="53"/>
      <c r="CP99" s="53"/>
      <c r="CQ99" s="53"/>
      <c r="CR99" s="1"/>
      <c r="CS99" s="1"/>
      <c r="CT99" s="1"/>
      <c r="CU99" s="1"/>
    </row>
    <row r="100" spans="1:99" s="13" customFormat="1" ht="12" customHeight="1" x14ac:dyDescent="0.2">
      <c r="A100" s="65">
        <v>43903</v>
      </c>
      <c r="D100" s="61"/>
      <c r="E100" s="76"/>
      <c r="F100" s="60"/>
      <c r="G100" s="60"/>
      <c r="H100" s="60"/>
      <c r="I100" s="60"/>
      <c r="J100" s="60"/>
      <c r="K100" s="64"/>
      <c r="L100" s="64"/>
      <c r="M100" s="60"/>
      <c r="N100" s="61"/>
      <c r="O100" s="60"/>
      <c r="P100" s="60"/>
      <c r="Q100" s="60"/>
      <c r="R100" s="60"/>
      <c r="S100" s="60"/>
      <c r="T100" s="60"/>
      <c r="U100" s="60"/>
      <c r="V100" s="60"/>
      <c r="W100" s="60"/>
      <c r="X100" s="60"/>
      <c r="Y100" s="76"/>
      <c r="Z100" s="60"/>
      <c r="AA100" s="60"/>
      <c r="AB100" s="60"/>
      <c r="AC100" s="56"/>
      <c r="AD100" s="60"/>
      <c r="AE100" s="60"/>
      <c r="AF100" s="80"/>
      <c r="AG100" s="56"/>
      <c r="AH100" s="4"/>
      <c r="AI100" s="56"/>
      <c r="AJ100" s="109"/>
      <c r="AK100" s="56"/>
      <c r="AL100" s="56"/>
      <c r="AM100" s="56"/>
      <c r="AN100" s="56"/>
      <c r="AO100" s="82"/>
      <c r="AP100" s="82"/>
      <c r="AQ100" s="83"/>
      <c r="AR100" s="116"/>
      <c r="AS100" s="84"/>
      <c r="AT100" s="84"/>
      <c r="AU100" s="3"/>
      <c r="AV100" s="25">
        <v>60</v>
      </c>
      <c r="AW100" s="25">
        <v>86400</v>
      </c>
      <c r="AX100" s="25">
        <v>259200</v>
      </c>
      <c r="AY100" s="25">
        <v>604800</v>
      </c>
      <c r="AZ100" s="25">
        <v>864000</v>
      </c>
      <c r="BA100" s="25">
        <v>1209600</v>
      </c>
      <c r="BB100" s="43"/>
      <c r="BC100" s="53"/>
      <c r="BD100" s="53"/>
      <c r="BE100" s="53"/>
      <c r="BF100" s="53"/>
      <c r="BG100" s="53"/>
      <c r="BH100" s="53"/>
      <c r="BI100" s="53"/>
      <c r="BJ100" s="53"/>
      <c r="BK100" s="53"/>
      <c r="BL100" s="53"/>
      <c r="BM100" s="53"/>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1"/>
      <c r="CS100" s="1"/>
      <c r="CT100" s="1"/>
      <c r="CU100" s="1"/>
    </row>
    <row r="101" spans="1:99" s="13" customFormat="1" ht="12" customHeight="1" x14ac:dyDescent="0.2">
      <c r="A101" s="65">
        <v>43903</v>
      </c>
      <c r="B101" s="1" t="s">
        <v>473</v>
      </c>
      <c r="C101" s="1" t="s">
        <v>474</v>
      </c>
      <c r="D101" s="60">
        <v>2020</v>
      </c>
      <c r="E101" s="76">
        <v>2</v>
      </c>
      <c r="F101" s="60">
        <v>144</v>
      </c>
      <c r="G101" s="60">
        <v>24</v>
      </c>
      <c r="H101" s="60"/>
      <c r="I101" s="60" t="s">
        <v>649</v>
      </c>
      <c r="J101" s="60" t="s">
        <v>475</v>
      </c>
      <c r="K101" s="60">
        <f>IF(J101="syllables",1,IF(J101="trigrams",2,IF(J101="strings",3,IF(J101="visual array",4,IF(J101="characters",5,IF(J101="letters",6,IF(J101="free forms",7,IF(J101="odors",8,IF(J101="words",9,IF(J101="pictures",10,IF(J101="object pictures",11,IF(J101="faces",12,IF(J101="names",13,IF(J101="idioms",14,IF(J101="grades",15,IF(J101="syllable-digit pairs",16,IF(J101="trigram-word pairs",17,IF(J101="word-digit pairs",18,IF(J101="English-Swahili pairs",19,IF(J101="spatial position",20,IF(J101="word pairs",21,IF(J101="word triads",22,IF(J101="generated words",23,IF(J101="word definition pairs",24,IF(J101="math problems",25,IF(J101="famous faces",26,IF(J101="famous names",27,IF(J101="famous voices",28,IF(J101="television programs",29,IF(J101="race horses",30,IF(J101="new vocabulary",31,IF(J101="sentences",32,IF(J101="concepts",33,IF(J101="ad slides",34,IF(J101="scenes",35,IF(J101="famous scenes",36,IF(J101="poems",37,IF(J101="walk",38,IF(J101="faces and events",39,IF(J101="events and names",40,IF(J101="flashbulb",41,IF(J101="stories",42,IF(J101="course material",43,IF(J101="autobiographical",44,IF(J101="novels",45,IF(J101="public events",46,"99"))))))))))))))))))))))))))))))))))))))))))))))</f>
        <v>32</v>
      </c>
      <c r="L101" s="60">
        <f>IF(J101="syllables",1,IF(J101="trigrams",1,IF(J101="strings",1,IF(J101="visual array",1,IF(J101="characters",1,IF(J101="letters",1,IF(J101="free forms",1,IF(J101="odors",2,IF(J101="words",2,IF(J101="pictures",2,IF(J101="object pictures",2,IF(J101="faces",2,IF(J101="names",2,IF(J101="idioms","2",IF(J101="grades",2,IF(J101="syllable-digit pairs",3,IF(J101="trigram-word pairs",3,IF(J101="word-digit pairs",3,IF(J101="English-Swahili pairs",3,IF(J101="spatial position",3,IF(J101="word pairs",4,IF(J101="word triads",4,IF(J101="generated words",4,IF(J101="word definition pairs",4,IF(J101="math problems",4,IF(J101="famous faces",4,IF(J101="famous names",4,IF(J101="famous voices",4,IF(J101="television programs",4,IF(J101="race horses",4,IF(J101="new vocabulary",4,IF(J101="sentences",5,IF(J101="concepts",5,IF(J101="ad slides",5,IF(J101="scenes",5,IF(J101="famous scenes",5,IF(J101="poems",6,IF(J101="walk",6,IF(J101="faces and events",6,IF(J101="events and names",6,IF(J101="flashbulb",7,IF(J101="stories",7,IF(J101="course material",7,IF(J101="autobiographical",7,IF(J101="novels",7,IF(J101="public events",7,"99"))))))))))))))))))))))))))))))))))))))))))))))</f>
        <v>5</v>
      </c>
      <c r="M101" s="60">
        <v>0</v>
      </c>
      <c r="N101" s="60">
        <v>2</v>
      </c>
      <c r="O101" s="60">
        <v>0</v>
      </c>
      <c r="P101" s="60"/>
      <c r="Q101" s="60" t="s">
        <v>34</v>
      </c>
      <c r="R101" s="60">
        <f>IF(Q101="Free Recall",1,IF(Q101="Cued Recall",2,IF(Q101="Recognition",3,IF(Q101="Multiple Choice",4,IF(Q101="Savings",5,IF(Q101="Stem Completion",6,IF(Q101="Fragment Completion",7,IF(Q101="anagram solution",8,IF(Q101="Matching",9,IF(Q101="Problem Solving",10,"99"))))))))))</f>
        <v>3</v>
      </c>
      <c r="S101" s="60" t="s">
        <v>15</v>
      </c>
      <c r="T101" s="60" t="s">
        <v>261</v>
      </c>
      <c r="U101" s="60">
        <f>IF(T101="within",1,0)</f>
        <v>0</v>
      </c>
      <c r="V101" s="60">
        <v>18</v>
      </c>
      <c r="W101" s="60">
        <f>F101*V101</f>
        <v>2592</v>
      </c>
      <c r="X101" s="60">
        <v>6</v>
      </c>
      <c r="Y101" s="76">
        <f>AV100</f>
        <v>60</v>
      </c>
      <c r="Z101" s="60" t="s">
        <v>476</v>
      </c>
      <c r="AA101" s="60">
        <v>1209600</v>
      </c>
      <c r="AB101" s="60" t="str">
        <f>IF(AA101&lt;60,"1",IF(AA101&lt;=43200,"2",IF(AA101&lt;=777600,"3","4")))</f>
        <v>4</v>
      </c>
      <c r="AC101" s="56">
        <f>AVERAGE(AV100:DA100)</f>
        <v>504010</v>
      </c>
      <c r="AD101" s="60" t="str">
        <f>IF(AC101&lt;60,"1",IF(AC101&lt;=43200,"2",IF(AC101&lt;=777600,"3","4")))</f>
        <v>3</v>
      </c>
      <c r="AE101" s="76">
        <f>AA101-Y101</f>
        <v>1209540</v>
      </c>
      <c r="AF101" s="80">
        <f>AV101</f>
        <v>0.82754629629629639</v>
      </c>
      <c r="AG101" s="56">
        <f>((AW101-AV101)+(AX101-AW101)+(AY101-AX101)+(AZ101-AY101)+(BA101-AZ101))/5</f>
        <v>-5.3009259259259277E-2</v>
      </c>
      <c r="AH101" s="4"/>
      <c r="AI101" s="56">
        <f>RSQ(AV101:BA101,AV100:BA100)</f>
        <v>0.53376568844814343</v>
      </c>
      <c r="AJ101" s="109">
        <f>SLOPE(AV101:BA101,AV100:BA100)</f>
        <v>-1.4143239085669429E-7</v>
      </c>
      <c r="AK101" s="56">
        <f>INTERCEPT(AV101:BA101,AV100:BA100)</f>
        <v>0.72116759857494184</v>
      </c>
      <c r="AL101" s="56">
        <f>INDEX(LINEST(LN(AV101:BA101),LN(AV100:BA100),TRUE,TRUE),3,1)</f>
        <v>0.92310888803363178</v>
      </c>
      <c r="AM101" s="56">
        <f>INDEX(LINEST(LN(AV101:BA101),LN(AV100:BA100)),1)</f>
        <v>-3.3739237523484067E-2</v>
      </c>
      <c r="AN101" s="56">
        <f>EXP(INDEX(LINEST(LN(AV101:BA101),LN(AV100:BA100)),1,2))</f>
        <v>0.95028288543450923</v>
      </c>
      <c r="AO101" s="82">
        <f>INDEX(LINEST((AV101:BA101),LN(AV100:BA100),TRUE,TRUE),3,1)</f>
        <v>0.94144641211640723</v>
      </c>
      <c r="AP101" s="82">
        <f>INDEX(LINEST((AV101:BA101),LN(AV100:BA100)),1)</f>
        <v>-2.3811021776241423E-2</v>
      </c>
      <c r="AQ101" s="83">
        <f>INDEX(LINEST(LN(AV101:BA101),SQRT(AV100:BA100),TRUE,TRUE),3,1)</f>
        <v>0.74666804387500796</v>
      </c>
      <c r="AR101" s="116">
        <f>INDEX(LINEST(LN(AV101:BA101),SQRT((AV100:BA100))),1)</f>
        <v>-2.7669507418438079E-4</v>
      </c>
      <c r="AS101" s="84">
        <f>INDEX(LINEST(1/(AV101:BA101),1/(SQRT(AV100:BA100)),TRUE,TRUE),3,1)</f>
        <v>0.82701769821623017</v>
      </c>
      <c r="AT101" s="84">
        <f>INDEX(LINEST(1/(AV101:BA101),1/SQRT(AV100:BA100)),1)</f>
        <v>-3.3360934431139566</v>
      </c>
      <c r="AU101" s="3"/>
      <c r="AV101" s="53">
        <v>0.82754629629629639</v>
      </c>
      <c r="AW101" s="53">
        <v>0.62615740740740733</v>
      </c>
      <c r="AX101" s="53">
        <v>0.65162037037037046</v>
      </c>
      <c r="AY101" s="53">
        <v>0.62268518518518523</v>
      </c>
      <c r="AZ101" s="53">
        <v>0.60879629629629639</v>
      </c>
      <c r="BA101" s="53">
        <v>0.5625</v>
      </c>
      <c r="BB101" s="4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1"/>
      <c r="CS101" s="1"/>
      <c r="CT101" s="1"/>
      <c r="CU101" s="1"/>
    </row>
    <row r="102" spans="1:99" s="13" customFormat="1" ht="12" customHeight="1" x14ac:dyDescent="0.2">
      <c r="A102" s="68">
        <v>43509</v>
      </c>
      <c r="B102" s="70"/>
      <c r="C102" s="70"/>
      <c r="D102" s="69"/>
      <c r="E102" s="87"/>
      <c r="F102" s="69"/>
      <c r="G102" s="69"/>
      <c r="H102" s="69"/>
      <c r="I102" s="69"/>
      <c r="J102" s="69"/>
      <c r="K102" s="107"/>
      <c r="L102" s="107"/>
      <c r="M102" s="69"/>
      <c r="N102" s="69"/>
      <c r="O102" s="69"/>
      <c r="P102" s="69"/>
      <c r="Q102" s="69"/>
      <c r="R102" s="69"/>
      <c r="S102" s="69"/>
      <c r="T102" s="69"/>
      <c r="U102" s="69"/>
      <c r="V102" s="69"/>
      <c r="W102" s="69"/>
      <c r="X102" s="69"/>
      <c r="Y102" s="87"/>
      <c r="Z102" s="69"/>
      <c r="AA102" s="69"/>
      <c r="AB102" s="69"/>
      <c r="AC102" s="69"/>
      <c r="AD102" s="69"/>
      <c r="AE102" s="69"/>
      <c r="AF102" s="88"/>
      <c r="AG102" s="72"/>
      <c r="AH102" s="4"/>
      <c r="AI102" s="72"/>
      <c r="AJ102" s="110"/>
      <c r="AK102" s="72"/>
      <c r="AL102" s="72"/>
      <c r="AM102" s="72"/>
      <c r="AN102" s="72"/>
      <c r="AO102" s="72"/>
      <c r="AP102" s="72"/>
      <c r="AQ102" s="72"/>
      <c r="AR102" s="110"/>
      <c r="AS102" s="72"/>
      <c r="AT102" s="72"/>
      <c r="AU102" s="4"/>
      <c r="AV102" s="71">
        <v>60</v>
      </c>
      <c r="AW102" s="71">
        <v>3600</v>
      </c>
      <c r="AX102" s="71">
        <v>86400</v>
      </c>
      <c r="AY102" s="71">
        <v>604800</v>
      </c>
      <c r="AZ102" s="71">
        <v>2419200</v>
      </c>
      <c r="BA102" s="71">
        <v>7257600</v>
      </c>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1"/>
      <c r="CS102" s="1"/>
      <c r="CT102" s="1"/>
      <c r="CU102" s="1"/>
    </row>
    <row r="103" spans="1:99" s="13" customFormat="1" ht="12" customHeight="1" x14ac:dyDescent="0.2">
      <c r="A103" s="68">
        <v>43509</v>
      </c>
      <c r="B103" s="164" t="s">
        <v>291</v>
      </c>
      <c r="C103" s="70" t="s">
        <v>107</v>
      </c>
      <c r="D103" s="69">
        <v>2018</v>
      </c>
      <c r="E103" s="87">
        <v>1</v>
      </c>
      <c r="F103" s="69">
        <v>288</v>
      </c>
      <c r="G103" s="69">
        <v>48</v>
      </c>
      <c r="H103" s="69" t="s">
        <v>32</v>
      </c>
      <c r="I103" s="69"/>
      <c r="J103" s="69" t="s">
        <v>16</v>
      </c>
      <c r="K103" s="69">
        <f>IF(J103="syllables",1,IF(J103="trigrams",2,IF(J103="strings",3,IF(J103="visual array",4,IF(J103="characters",5,IF(J103="letters",6,IF(J103="free forms",7,IF(J103="odors",8,IF(J103="words",9,IF(J103="pictures",10,IF(J103="object pictures",11,IF(J103="faces",12,IF(J103="names",13,IF(J103="idioms",14,IF(J103="grades",15,IF(J103="syllable-digit pairs",16,IF(J103="trigram-word pairs",17,IF(J103="word-digit pairs",18,IF(J103="English-Swahili pairs",19,IF(J103="spatial position",20,IF(J103="word pairs",21,IF(J103="word triads",22,IF(J103="generated words",23,IF(J103="word definition pairs",24,IF(J103="math problems",25,IF(J103="famous faces",26,IF(J103="famous names",27,IF(J103="famous voices",28,IF(J103="television programs",29,IF(J103="race horses",30,IF(J103="new vocabulary",31,IF(J103="sentences",32,IF(J103="concepts",33,IF(J103="ad slides",34,IF(J103="scenes",35,IF(J103="famous scenes",36,IF(J103="poems",37,IF(J103="walk",38,IF(J103="faces and events",39,IF(J103="events and names",40,IF(J103="flashbulb",41,IF(J103="stories",42,IF(J103="course material",43,IF(J103="autobiographical",44,IF(J103="novels",45,IF(J103="public events",46,"99"))))))))))))))))))))))))))))))))))))))))))))))</f>
        <v>9</v>
      </c>
      <c r="L103" s="69">
        <f>IF(J103="syllables",1,IF(J103="trigrams",1,IF(J103="strings",1,IF(J103="visual array",1,IF(J103="characters",1,IF(J103="letters",1,IF(J103="free forms",1,IF(J103="odors",2,IF(J103="words",2,IF(J103="pictures",2,IF(J103="object pictures",2,IF(J103="faces",2,IF(J103="names",2,IF(J103="idioms","2",IF(J103="grades",2,IF(J103="syllable-digit pairs",3,IF(J103="trigram-word pairs",3,IF(J103="word-digit pairs",3,IF(J103="English-Swahili pairs",3,IF(J103="spatial position",3,IF(J103="word pairs",4,IF(J103="word triads",4,IF(J103="generated words",4,IF(J103="word definition pairs",4,IF(J103="math problems",4,IF(J103="famous faces",4,IF(J103="famous names",4,IF(J103="famous voices",4,IF(J103="television programs",4,IF(J103="race horses",4,IF(J103="new vocabulary",4,IF(J103="sentences",5,IF(J103="concepts",5,IF(J103="ad slides",5,IF(J103="scenes",5,IF(J103="famous scenes",5,IF(J103="poems",6,IF(J103="walk",6,IF(J103="faces and events",6,IF(J103="events and names",6,IF(J103="flashbulb",7,IF(J103="stories",7,IF(J103="course material",7,IF(J103="autobiographical",7,IF(J103="novels",7,IF(J103="public events",7,"99"))))))))))))))))))))))))))))))))))))))))))))))</f>
        <v>2</v>
      </c>
      <c r="M103" s="69">
        <v>0</v>
      </c>
      <c r="N103" s="69">
        <v>2</v>
      </c>
      <c r="O103" s="69">
        <v>1</v>
      </c>
      <c r="P103" s="69" t="s">
        <v>290</v>
      </c>
      <c r="Q103" s="69" t="s">
        <v>174</v>
      </c>
      <c r="R103" s="69">
        <f>IF(Q103="Free Recall",1,IF(Q103="Cued Recall",2,IF(Q103="Recognition",3,IF(Q103="Multiple Choice",4,IF(Q103="Savings",5,IF(Q103="Stem Completion",6,IF(Q103="Fragment Completion",7,IF(Q103="anagram solution",8,IF(Q103="Matching",9,IF(Q103="Problem Solving",10,"99"))))))))))</f>
        <v>1</v>
      </c>
      <c r="S103" s="69" t="s">
        <v>49</v>
      </c>
      <c r="T103" s="69" t="s">
        <v>261</v>
      </c>
      <c r="U103" s="69">
        <f>IF(T103="within",1,0)</f>
        <v>0</v>
      </c>
      <c r="V103" s="69">
        <v>20</v>
      </c>
      <c r="W103" s="69">
        <f>F103*V103</f>
        <v>5760</v>
      </c>
      <c r="X103" s="69">
        <v>6</v>
      </c>
      <c r="Y103" s="87">
        <f>AV102</f>
        <v>60</v>
      </c>
      <c r="Z103" s="69" t="s">
        <v>173</v>
      </c>
      <c r="AA103" s="69">
        <v>7257600</v>
      </c>
      <c r="AB103" s="69" t="str">
        <f>IF(AA103&lt;60,"1",IF(AA103&lt;=43200,"2",IF(AA103&lt;=777600,"3","4")))</f>
        <v>4</v>
      </c>
      <c r="AC103" s="72">
        <f>AVERAGE(AV102:DA102)</f>
        <v>1728610</v>
      </c>
      <c r="AD103" s="69" t="str">
        <f>IF(AC103&lt;60,"1",IF(AC103&lt;=43200,"2",IF(AC103&lt;=777600,"3","4")))</f>
        <v>4</v>
      </c>
      <c r="AE103" s="87">
        <f>AA103-Y103</f>
        <v>7257540</v>
      </c>
      <c r="AF103" s="88">
        <f>AV103</f>
        <v>0.45208333333333323</v>
      </c>
      <c r="AG103" s="72">
        <f>((AW103-AV103)+(AX103-AW103)+(AY103-AX103)+(AZ103-AY103)+(BA103-AZ103))/5</f>
        <v>-8.6666666666666642E-2</v>
      </c>
      <c r="AH103" s="4"/>
      <c r="AI103" s="72">
        <f>RSQ(AV103:BA103,AV102:BA102)</f>
        <v>0.43380317961689591</v>
      </c>
      <c r="AJ103" s="110">
        <f>SLOPE(AV103:BA103,AV102:BA102)</f>
        <v>-3.8096202666711515E-8</v>
      </c>
      <c r="AK103" s="72">
        <f>INTERCEPT(AV103:BA103,AV102:BA102)</f>
        <v>0.24502014355837087</v>
      </c>
      <c r="AL103" s="72">
        <f>INDEX(LINEST(LN(AV103:BA103),LN(AV102:BA102),TRUE,TRUE),3,1)</f>
        <v>0.82875371868913139</v>
      </c>
      <c r="AM103" s="72">
        <f>INDEX(LINEST(LN(AV103:BA103),LN(AV102:BA102)),1)</f>
        <v>-0.25494616483910487</v>
      </c>
      <c r="AN103" s="72">
        <f>EXP(INDEX(LINEST(LN(AV103:BA103),LN(AV102:BA102)),1,2))</f>
        <v>1.8874386771014482</v>
      </c>
      <c r="AO103" s="89">
        <f>INDEX(LINEST((AV103:BA103),LN(AV102:BA102),TRUE,TRUE),3,1)</f>
        <v>0.94845461074780446</v>
      </c>
      <c r="AP103" s="89">
        <f>INDEX(LINEST((AV103:BA103),LN(AV102:BA102)),1)</f>
        <v>-3.6530525950614498E-2</v>
      </c>
      <c r="AQ103" s="90">
        <f>INDEX(LINEST(LN(AV103:BA103),SQRT(AV102:BA102),TRUE,TRUE),3,1)</f>
        <v>0.92887820134697296</v>
      </c>
      <c r="AR103" s="117">
        <f>INDEX(LINEST(LN(AV103:BA103),SQRT((AV102:BA102))),1)</f>
        <v>-1.1326575911937021E-3</v>
      </c>
      <c r="AS103" s="91">
        <f>INDEX(LINEST(1/(AV103:BA103),1/(SQRT(AV102:BA102)),TRUE,TRUE),3,1)</f>
        <v>0.18021017540867584</v>
      </c>
      <c r="AT103" s="91">
        <f>INDEX(LINEST(1/(AV103:BA103),1/SQRT(AV102:BA102)),1)</f>
        <v>-165.89237132114539</v>
      </c>
      <c r="AU103" s="3"/>
      <c r="AV103" s="73">
        <v>0.45208333333333323</v>
      </c>
      <c r="AW103" s="73">
        <v>0.24375000000000002</v>
      </c>
      <c r="AX103" s="73">
        <v>0.23854166666666668</v>
      </c>
      <c r="AY103" s="73">
        <v>8.5416666666666655E-2</v>
      </c>
      <c r="AZ103" s="73">
        <v>3.6458333333333336E-2</v>
      </c>
      <c r="BA103" s="73">
        <v>1.8749999999999999E-2</v>
      </c>
      <c r="BB103" s="53"/>
      <c r="BC103" s="53"/>
      <c r="BD103" s="53"/>
      <c r="BE103" s="53"/>
      <c r="BF103" s="53"/>
      <c r="BG103" s="53"/>
      <c r="BH103" s="53"/>
      <c r="BI103" s="53"/>
      <c r="BJ103" s="53"/>
      <c r="BK103" s="53"/>
      <c r="BL103" s="53"/>
      <c r="BM103" s="53"/>
      <c r="BN103" s="53"/>
      <c r="BO103" s="53"/>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53"/>
      <c r="CR103" s="1"/>
      <c r="CS103" s="1"/>
      <c r="CT103" s="1"/>
      <c r="CU103" s="1"/>
    </row>
    <row r="104" spans="1:99" s="13" customFormat="1" ht="12" customHeight="1" x14ac:dyDescent="0.2">
      <c r="A104" s="65">
        <v>43509</v>
      </c>
      <c r="B104" s="1"/>
      <c r="C104" s="1"/>
      <c r="D104" s="60"/>
      <c r="E104" s="76"/>
      <c r="F104" s="60"/>
      <c r="G104" s="60"/>
      <c r="H104" s="60"/>
      <c r="I104" s="60"/>
      <c r="J104" s="60"/>
      <c r="K104" s="64"/>
      <c r="L104" s="64"/>
      <c r="M104" s="60"/>
      <c r="N104" s="60"/>
      <c r="O104" s="60"/>
      <c r="P104" s="60"/>
      <c r="Q104" s="60"/>
      <c r="R104" s="60"/>
      <c r="S104" s="60"/>
      <c r="T104" s="60"/>
      <c r="U104" s="60"/>
      <c r="V104" s="60"/>
      <c r="W104" s="60"/>
      <c r="X104" s="60"/>
      <c r="Y104" s="76"/>
      <c r="Z104" s="60"/>
      <c r="AA104" s="60"/>
      <c r="AB104" s="60"/>
      <c r="AC104" s="60"/>
      <c r="AD104" s="60"/>
      <c r="AE104" s="60"/>
      <c r="AF104" s="80"/>
      <c r="AG104" s="56"/>
      <c r="AH104" s="4"/>
      <c r="AI104" s="56"/>
      <c r="AJ104" s="109"/>
      <c r="AK104" s="56"/>
      <c r="AL104" s="56"/>
      <c r="AM104" s="56"/>
      <c r="AN104" s="56"/>
      <c r="AO104" s="56"/>
      <c r="AP104" s="56"/>
      <c r="AQ104" s="56"/>
      <c r="AR104" s="109"/>
      <c r="AS104" s="56"/>
      <c r="AT104" s="56"/>
      <c r="AU104" s="4"/>
      <c r="AV104" s="25">
        <f>10*60</f>
        <v>600</v>
      </c>
      <c r="AW104" s="25">
        <f>60*60</f>
        <v>3600</v>
      </c>
      <c r="AX104" s="25">
        <f>24*60*60</f>
        <v>86400</v>
      </c>
      <c r="AY104" s="25">
        <f>7*24*60*60</f>
        <v>604800</v>
      </c>
      <c r="AZ104" s="25">
        <f>30*24*60*60*1</f>
        <v>2592000</v>
      </c>
      <c r="BA104" s="25">
        <f>30*24*60*60*3</f>
        <v>7776000</v>
      </c>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53"/>
      <c r="CR104" s="1"/>
      <c r="CS104" s="1"/>
      <c r="CT104" s="1"/>
      <c r="CU104" s="1"/>
    </row>
    <row r="105" spans="1:99" s="13" customFormat="1" ht="12" customHeight="1" x14ac:dyDescent="0.2">
      <c r="A105" s="65">
        <v>43509</v>
      </c>
      <c r="B105" s="22" t="s">
        <v>178</v>
      </c>
      <c r="C105" s="1" t="s">
        <v>75</v>
      </c>
      <c r="D105" s="60">
        <v>1976</v>
      </c>
      <c r="E105" s="76">
        <v>1</v>
      </c>
      <c r="F105" s="60">
        <v>124</v>
      </c>
      <c r="G105" s="60">
        <v>20.7</v>
      </c>
      <c r="H105" s="60" t="s">
        <v>41</v>
      </c>
      <c r="I105" s="60" t="s">
        <v>16</v>
      </c>
      <c r="J105" s="60" t="s">
        <v>16</v>
      </c>
      <c r="K105" s="60">
        <f>IF(J105="syllables",1,IF(J105="trigrams",2,IF(J105="strings",3,IF(J105="visual array",4,IF(J105="characters",5,IF(J105="letters",6,IF(J105="free forms",7,IF(J105="odors",8,IF(J105="words",9,IF(J105="pictures",10,IF(J105="object pictures",11,IF(J105="faces",12,IF(J105="names",13,IF(J105="idioms",14,IF(J105="grades",15,IF(J105="syllable-digit pairs",16,IF(J105="trigram-word pairs",17,IF(J105="word-digit pairs",18,IF(J105="English-Swahili pairs",19,IF(J105="spatial position",20,IF(J105="word pairs",21,IF(J105="word triads",22,IF(J105="generated words",23,IF(J105="word definition pairs",24,IF(J105="math problems",25,IF(J105="famous faces",26,IF(J105="famous names",27,IF(J105="famous voices",28,IF(J105="television programs",29,IF(J105="race horses",30,IF(J105="new vocabulary",31,IF(J105="sentences",32,IF(J105="concepts",33,IF(J105="ad slides",34,IF(J105="scenes",35,IF(J105="famous scenes",36,IF(J105="poems",37,IF(J105="walk",38,IF(J105="faces and events",39,IF(J105="events and names",40,IF(J105="flashbulb",41,IF(J105="stories",42,IF(J105="course material",43,IF(J105="autobiographical",44,IF(J105="novels",45,IF(J105="public events",46,"99"))))))))))))))))))))))))))))))))))))))))))))))</f>
        <v>9</v>
      </c>
      <c r="L105" s="60">
        <f>IF(J105="syllables",1,IF(J105="trigrams",1,IF(J105="strings",1,IF(J105="visual array",1,IF(J105="characters",1,IF(J105="letters",1,IF(J105="free forms",1,IF(J105="odors",2,IF(J105="words",2,IF(J105="pictures",2,IF(J105="object pictures",2,IF(J105="faces",2,IF(J105="names",2,IF(J105="idioms","2",IF(J105="grades",2,IF(J105="syllable-digit pairs",3,IF(J105="trigram-word pairs",3,IF(J105="word-digit pairs",3,IF(J105="English-Swahili pairs",3,IF(J105="spatial position",3,IF(J105="word pairs",4,IF(J105="word triads",4,IF(J105="generated words",4,IF(J105="word definition pairs",4,IF(J105="math problems",4,IF(J105="famous faces",4,IF(J105="famous names",4,IF(J105="famous voices",4,IF(J105="television programs",4,IF(J105="race horses",4,IF(J105="new vocabulary",4,IF(J105="sentences",5,IF(J105="concepts",5,IF(J105="ad slides",5,IF(J105="scenes",5,IF(J105="famous scenes",5,IF(J105="poems",6,IF(J105="walk",6,IF(J105="faces and events",6,IF(J105="events and names",6,IF(J105="flashbulb",7,IF(J105="stories",7,IF(J105="course material",7,IF(J105="autobiographical",7,IF(J105="novels",7,IF(J105="public events",7,"99"))))))))))))))))))))))))))))))))))))))))))))))</f>
        <v>2</v>
      </c>
      <c r="M105" s="60">
        <v>0</v>
      </c>
      <c r="N105" s="60">
        <v>1</v>
      </c>
      <c r="O105" s="60">
        <v>0</v>
      </c>
      <c r="P105" s="60"/>
      <c r="Q105" s="60" t="s">
        <v>34</v>
      </c>
      <c r="R105" s="60">
        <f>IF(Q105="Free Recall",1,IF(Q105="Cued Recall",2,IF(Q105="Recognition",3,IF(Q105="Multiple Choice",4,IF(Q105="Savings",5,IF(Q105="Stem Completion",6,IF(Q105="Fragment Completion",7,IF(Q105="anagram solution",8,IF(Q105="Matching",9,IF(Q105="Problem Solving",10,"99"))))))))))</f>
        <v>3</v>
      </c>
      <c r="S105" s="60" t="s">
        <v>15</v>
      </c>
      <c r="T105" s="60" t="s">
        <v>261</v>
      </c>
      <c r="U105" s="60">
        <f>IF(T105="within",1,0)</f>
        <v>0</v>
      </c>
      <c r="V105" s="60">
        <v>70</v>
      </c>
      <c r="W105" s="60">
        <f>F105*V105</f>
        <v>8680</v>
      </c>
      <c r="X105" s="60">
        <v>6</v>
      </c>
      <c r="Y105" s="76">
        <f>AV104</f>
        <v>600</v>
      </c>
      <c r="Z105" s="60" t="s">
        <v>179</v>
      </c>
      <c r="AA105" s="60">
        <v>7776000</v>
      </c>
      <c r="AB105" s="60" t="str">
        <f>IF(AA105&lt;60,"1",IF(AA105&lt;=43200,"2",IF(AA105&lt;=777600,"3","4")))</f>
        <v>4</v>
      </c>
      <c r="AC105" s="56">
        <f>AVERAGE(AV104:DA104)</f>
        <v>1843900</v>
      </c>
      <c r="AD105" s="60" t="str">
        <f>IF(AC105&lt;60,"1",IF(AC105&lt;=43200,"2",IF(AC105&lt;=777600,"3","4")))</f>
        <v>4</v>
      </c>
      <c r="AE105" s="76">
        <f>AA105-Y105</f>
        <v>7775400</v>
      </c>
      <c r="AF105" s="80">
        <f>AV105</f>
        <v>0.52400000000000002</v>
      </c>
      <c r="AG105" s="56">
        <f>((AW105-AV105)+(AX105-AW105)+(AY105-AX105)+(AZ105-AY105)+(BA105-AZ105))/5</f>
        <v>-7.4800000000000005E-2</v>
      </c>
      <c r="AH105" s="4"/>
      <c r="AI105" s="56">
        <f>RSQ(AV105:BA105,AV104:BA104)</f>
        <v>0.51198298856257207</v>
      </c>
      <c r="AJ105" s="109">
        <f>SLOPE(AV105:BA105,AV104:BA104)</f>
        <v>-3.6021696588329291E-8</v>
      </c>
      <c r="AK105" s="56">
        <f>INTERCEPT(AV105:BA105,AV104:BA104)</f>
        <v>0.38058707300588701</v>
      </c>
      <c r="AL105" s="56">
        <f>INDEX(LINEST(LN(AV105:BA105),LN(AV104:BA104),TRUE,TRUE),3,1)</f>
        <v>0.95727869668187693</v>
      </c>
      <c r="AM105" s="56">
        <f>INDEX(LINEST(LN(AV105:BA105),LN(AV104:BA104)),1)</f>
        <v>-0.13643061076973123</v>
      </c>
      <c r="AN105" s="56">
        <f>EXP(INDEX(LINEST(LN(AV105:BA105),LN(AV104:BA104)),1,2))</f>
        <v>1.380434283147109</v>
      </c>
      <c r="AO105" s="82">
        <f>INDEX(LINEST((AV105:BA105),LN(AV104:BA104),TRUE,TRUE),3,1)</f>
        <v>0.98923303792230832</v>
      </c>
      <c r="AP105" s="82">
        <f>INDEX(LINEST((AV105:BA105),LN(AV104:BA104)),1)</f>
        <v>-4.1120673523316026E-2</v>
      </c>
      <c r="AQ105" s="83">
        <f>INDEX(LINEST(LN(AV105:BA105),SQRT(AV104:BA104),TRUE,TRUE),3,1)</f>
        <v>0.8504494173796785</v>
      </c>
      <c r="AR105" s="116">
        <f>INDEX(LINEST(LN(AV105:BA105),SQRT((AV104:BA104))),1)</f>
        <v>-4.4189658231641091E-4</v>
      </c>
      <c r="AS105" s="84">
        <f>INDEX(LINEST(1/(AV105:BA105),1/(SQRT(AV104:BA104)),TRUE,TRUE),3,1)</f>
        <v>0.51048555523026073</v>
      </c>
      <c r="AT105" s="84">
        <f>INDEX(LINEST(1/(AV105:BA105),1/SQRT(AV104:BA104)),1)</f>
        <v>-88.71533930743648</v>
      </c>
      <c r="AU105" s="3"/>
      <c r="AV105" s="53">
        <v>0.52400000000000002</v>
      </c>
      <c r="AW105" s="53">
        <v>0.45400000000000001</v>
      </c>
      <c r="AX105" s="53">
        <v>0.35299999999999998</v>
      </c>
      <c r="AY105" s="53">
        <v>0.23599999999999999</v>
      </c>
      <c r="AZ105" s="53">
        <v>0.16800000000000001</v>
      </c>
      <c r="BA105" s="53">
        <v>0.15</v>
      </c>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1"/>
      <c r="CS105" s="1"/>
      <c r="CT105" s="1"/>
      <c r="CU105" s="1"/>
    </row>
    <row r="106" spans="1:99" s="13" customFormat="1" ht="12" customHeight="1" x14ac:dyDescent="0.2">
      <c r="A106" s="65">
        <v>43509</v>
      </c>
      <c r="B106" s="1"/>
      <c r="C106" s="1"/>
      <c r="D106" s="60"/>
      <c r="E106" s="76"/>
      <c r="F106" s="60"/>
      <c r="G106" s="60"/>
      <c r="H106" s="60"/>
      <c r="I106" s="60"/>
      <c r="J106" s="60"/>
      <c r="K106" s="64"/>
      <c r="L106" s="64"/>
      <c r="M106" s="60"/>
      <c r="N106" s="60"/>
      <c r="O106" s="60"/>
      <c r="P106" s="60"/>
      <c r="Q106" s="60"/>
      <c r="R106" s="60"/>
      <c r="S106" s="60"/>
      <c r="T106" s="60"/>
      <c r="U106" s="60"/>
      <c r="V106" s="60"/>
      <c r="W106" s="60"/>
      <c r="X106" s="60"/>
      <c r="Y106" s="76"/>
      <c r="Z106" s="60"/>
      <c r="AA106" s="60"/>
      <c r="AB106" s="60"/>
      <c r="AC106" s="60"/>
      <c r="AD106" s="60"/>
      <c r="AE106" s="60"/>
      <c r="AF106" s="80"/>
      <c r="AG106" s="56"/>
      <c r="AH106" s="4"/>
      <c r="AI106" s="56"/>
      <c r="AJ106" s="109"/>
      <c r="AK106" s="56"/>
      <c r="AL106" s="56"/>
      <c r="AM106" s="56"/>
      <c r="AN106" s="56"/>
      <c r="AO106" s="56"/>
      <c r="AP106" s="56"/>
      <c r="AQ106" s="56"/>
      <c r="AR106" s="109"/>
      <c r="AS106" s="56"/>
      <c r="AT106" s="56"/>
      <c r="AU106" s="4"/>
      <c r="AV106" s="25">
        <f>10*60</f>
        <v>600</v>
      </c>
      <c r="AW106" s="25">
        <f>60*60</f>
        <v>3600</v>
      </c>
      <c r="AX106" s="25">
        <f>24*60*60</f>
        <v>86400</v>
      </c>
      <c r="AY106" s="25">
        <f>7*24*60*60</f>
        <v>604800</v>
      </c>
      <c r="AZ106" s="25">
        <f>30*24*60*60*1</f>
        <v>2592000</v>
      </c>
      <c r="BA106" s="25">
        <f>30*24*60*60*3</f>
        <v>7776000</v>
      </c>
      <c r="BB106" s="53"/>
      <c r="BC106" s="53"/>
      <c r="BD106" s="53"/>
      <c r="BE106" s="53"/>
      <c r="BF106" s="53"/>
      <c r="BG106" s="53"/>
      <c r="BH106" s="53"/>
      <c r="BI106" s="53"/>
      <c r="BJ106" s="53"/>
      <c r="BK106" s="53"/>
      <c r="BL106" s="53"/>
      <c r="BM106" s="53"/>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1"/>
      <c r="CS106" s="1"/>
      <c r="CT106" s="1"/>
      <c r="CU106" s="1"/>
    </row>
    <row r="107" spans="1:99" s="13" customFormat="1" ht="12" customHeight="1" x14ac:dyDescent="0.2">
      <c r="A107" s="65">
        <v>43509</v>
      </c>
      <c r="B107" s="1" t="s">
        <v>178</v>
      </c>
      <c r="C107" s="1" t="s">
        <v>75</v>
      </c>
      <c r="D107" s="60">
        <v>1976</v>
      </c>
      <c r="E107" s="76">
        <v>1</v>
      </c>
      <c r="F107" s="60">
        <v>124</v>
      </c>
      <c r="G107" s="60">
        <v>20.7</v>
      </c>
      <c r="H107" s="60" t="s">
        <v>41</v>
      </c>
      <c r="I107" s="60" t="s">
        <v>313</v>
      </c>
      <c r="J107" s="60" t="s">
        <v>313</v>
      </c>
      <c r="K107" s="60">
        <f>IF(J107="syllables",1,IF(J107="trigrams",2,IF(J107="strings",3,IF(J107="visual array",4,IF(J107="characters",5,IF(J107="letters",6,IF(J107="free forms",7,IF(J107="odors",8,IF(J107="words",9,IF(J107="pictures",10,IF(J107="object pictures",11,IF(J107="faces",12,IF(J107="names",13,IF(J107="idioms",14,IF(J107="grades",15,IF(J107="syllable-digit pairs",16,IF(J107="trigram-word pairs",17,IF(J107="word-digit pairs",18,IF(J107="English-Swahili pairs",19,IF(J107="spatial position",20,IF(J107="word pairs",21,IF(J107="word triads",22,IF(J107="generated words",23,IF(J107="word definition pairs",24,IF(J107="math problems",25,IF(J107="famous faces",26,IF(J107="famous names",27,IF(J107="famous voices",28,IF(J107="television programs",29,IF(J107="race horses",30,IF(J107="new vocabulary",31,IF(J107="sentences",32,IF(J107="concepts",33,IF(J107="ad slides",34,IF(J107="scenes",35,IF(J107="famous scenes",36,IF(J107="poems",37,IF(J107="walk",38,IF(J107="faces and events",39,IF(J107="events and names",40,IF(J107="flashbulb",41,IF(J107="stories",42,IF(J107="course material",43,IF(J107="autobiographical",44,IF(J107="novels",45,IF(J107="public events",46,"99"))))))))))))))))))))))))))))))))))))))))))))))</f>
        <v>10</v>
      </c>
      <c r="L107" s="60">
        <f>IF(J107="syllables",1,IF(J107="trigrams",1,IF(J107="strings",1,IF(J107="visual array",1,IF(J107="characters",1,IF(J107="letters",1,IF(J107="free forms",1,IF(J107="odors",2,IF(J107="words",2,IF(J107="pictures",2,IF(J107="object pictures",2,IF(J107="faces",2,IF(J107="names",2,IF(J107="idioms","2",IF(J107="grades",2,IF(J107="syllable-digit pairs",3,IF(J107="trigram-word pairs",3,IF(J107="word-digit pairs",3,IF(J107="English-Swahili pairs",3,IF(J107="spatial position",3,IF(J107="word pairs",4,IF(J107="word triads",4,IF(J107="generated words",4,IF(J107="word definition pairs",4,IF(J107="math problems",4,IF(J107="famous faces",4,IF(J107="famous names",4,IF(J107="famous voices",4,IF(J107="television programs",4,IF(J107="race horses",4,IF(J107="new vocabulary",4,IF(J107="sentences",5,IF(J107="concepts",5,IF(J107="ad slides",5,IF(J107="scenes",5,IF(J107="famous scenes",5,IF(J107="poems",6,IF(J107="walk",6,IF(J107="faces and events",6,IF(J107="events and names",6,IF(J107="flashbulb",7,IF(J107="stories",7,IF(J107="course material",7,IF(J107="autobiographical",7,IF(J107="novels",7,IF(J107="public events",7,"99"))))))))))))))))))))))))))))))))))))))))))))))</f>
        <v>2</v>
      </c>
      <c r="M107" s="60">
        <v>0</v>
      </c>
      <c r="N107" s="60">
        <v>1</v>
      </c>
      <c r="O107" s="60">
        <v>0</v>
      </c>
      <c r="P107" s="60"/>
      <c r="Q107" s="60" t="s">
        <v>34</v>
      </c>
      <c r="R107" s="60">
        <f>IF(Q107="Free Recall",1,IF(Q107="Cued Recall",2,IF(Q107="Recognition",3,IF(Q107="Multiple Choice",4,IF(Q107="Savings",5,IF(Q107="Stem Completion",6,IF(Q107="Fragment Completion",7,IF(Q107="anagram solution",8,IF(Q107="Matching",9,IF(Q107="Problem Solving",10,"99"))))))))))</f>
        <v>3</v>
      </c>
      <c r="S107" s="60" t="s">
        <v>15</v>
      </c>
      <c r="T107" s="60" t="s">
        <v>261</v>
      </c>
      <c r="U107" s="60">
        <f>IF(T107="within",1,0)</f>
        <v>0</v>
      </c>
      <c r="V107" s="60">
        <v>70</v>
      </c>
      <c r="W107" s="60">
        <f>F107*V107</f>
        <v>8680</v>
      </c>
      <c r="X107" s="60">
        <v>6</v>
      </c>
      <c r="Y107" s="76">
        <f>AV106</f>
        <v>600</v>
      </c>
      <c r="Z107" s="60" t="s">
        <v>179</v>
      </c>
      <c r="AA107" s="60">
        <v>7776000</v>
      </c>
      <c r="AB107" s="60" t="str">
        <f>IF(AA107&lt;60,"1",IF(AA107&lt;=43200,"2",IF(AA107&lt;=777600,"3","4")))</f>
        <v>4</v>
      </c>
      <c r="AC107" s="56">
        <f>AVERAGE(AV106:DA106)</f>
        <v>1843900</v>
      </c>
      <c r="AD107" s="60" t="str">
        <f>IF(AC107&lt;60,"1",IF(AC107&lt;=43200,"2",IF(AC107&lt;=777600,"3","4")))</f>
        <v>4</v>
      </c>
      <c r="AE107" s="76">
        <f>AA107-Y107</f>
        <v>7775400</v>
      </c>
      <c r="AF107" s="80">
        <f>AV107</f>
        <v>0.73399999999999999</v>
      </c>
      <c r="AG107" s="56">
        <f>((AW107-AV107)+(AX107-AW107)+(AY107-AX107)+(AZ107-AY107)+(BA107-AZ107))/5</f>
        <v>-0.10440000000000001</v>
      </c>
      <c r="AH107" s="4"/>
      <c r="AI107" s="56">
        <f>RSQ(AV107:BA107,AV106:BA106)</f>
        <v>0.60505030916663527</v>
      </c>
      <c r="AJ107" s="109">
        <f>SLOPE(AV107:BA107,AV106:BA106)</f>
        <v>-5.2474887703306165E-8</v>
      </c>
      <c r="AK107" s="56">
        <f>INTERCEPT(AV107:BA107,AV106:BA106)</f>
        <v>0.56359177876945965</v>
      </c>
      <c r="AL107" s="56">
        <f>INDEX(LINEST(LN(AV107:BA107),LN(AV106:BA106),TRUE,TRUE),3,1)</f>
        <v>0.93649480365385929</v>
      </c>
      <c r="AM107" s="56">
        <f>INDEX(LINEST(LN(AV107:BA107),LN(AV106:BA106)),1)</f>
        <v>-0.12476404999902357</v>
      </c>
      <c r="AN107" s="56">
        <f>EXP(INDEX(LINEST(LN(AV107:BA107),LN(AV106:BA106)),1,2))</f>
        <v>1.8227879122536301</v>
      </c>
      <c r="AO107" s="82">
        <f>INDEX(LINEST((AV107:BA107),LN(AV106:BA106),TRUE,TRUE),3,1)</f>
        <v>0.99171307925829255</v>
      </c>
      <c r="AP107" s="82">
        <f>INDEX(LINEST((AV107:BA107),LN(AV106:BA106)),1)</f>
        <v>-5.5172582122364262E-2</v>
      </c>
      <c r="AQ107" s="83">
        <f>INDEX(LINEST(LN(AV107:BA107),SQRT(AV106:BA106),TRUE,TRUE),3,1)</f>
        <v>0.92946056541598954</v>
      </c>
      <c r="AR107" s="116">
        <f>INDEX(LINEST(LN(AV107:BA107),SQRT((AV106:BA106))),1)</f>
        <v>-4.2712602576634251E-4</v>
      </c>
      <c r="AS107" s="84">
        <f>INDEX(LINEST(1/(AV107:BA107),1/(SQRT(AV106:BA106)),TRUE,TRUE),3,1)</f>
        <v>0.44727569653100541</v>
      </c>
      <c r="AT107" s="84">
        <f>INDEX(LINEST(1/(AV107:BA107),1/SQRT(AV106:BA106)),1)</f>
        <v>-53.481867109743362</v>
      </c>
      <c r="AU107" s="3"/>
      <c r="AV107" s="53">
        <v>0.73399999999999999</v>
      </c>
      <c r="AW107" s="53">
        <v>0.66900000000000004</v>
      </c>
      <c r="AX107" s="53">
        <v>0.503</v>
      </c>
      <c r="AY107" s="53">
        <v>0.39</v>
      </c>
      <c r="AZ107" s="53">
        <v>0.29299999999999998</v>
      </c>
      <c r="BA107" s="53">
        <v>0.21199999999999999</v>
      </c>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c r="CA107" s="53"/>
      <c r="CB107" s="53"/>
      <c r="CC107" s="53"/>
      <c r="CD107" s="53"/>
      <c r="CE107" s="53"/>
      <c r="CF107" s="53"/>
      <c r="CG107" s="53"/>
      <c r="CH107" s="53"/>
      <c r="CI107" s="53"/>
      <c r="CJ107" s="53"/>
      <c r="CK107" s="53"/>
      <c r="CL107" s="53"/>
      <c r="CM107" s="53"/>
      <c r="CN107" s="53"/>
      <c r="CO107" s="53"/>
      <c r="CP107" s="53"/>
      <c r="CQ107" s="53"/>
      <c r="CR107" s="1"/>
      <c r="CS107" s="1"/>
      <c r="CT107" s="1"/>
      <c r="CU107" s="1"/>
    </row>
    <row r="108" spans="1:99" s="13" customFormat="1" ht="12" customHeight="1" x14ac:dyDescent="0.2">
      <c r="A108" s="65">
        <v>43509</v>
      </c>
      <c r="B108" s="1"/>
      <c r="C108" s="1"/>
      <c r="D108" s="60"/>
      <c r="E108" s="76"/>
      <c r="F108" s="60"/>
      <c r="G108" s="60"/>
      <c r="H108" s="60"/>
      <c r="I108" s="60"/>
      <c r="J108" s="60"/>
      <c r="K108" s="64"/>
      <c r="L108" s="64"/>
      <c r="M108" s="60"/>
      <c r="N108" s="60"/>
      <c r="O108" s="60"/>
      <c r="P108" s="60"/>
      <c r="Q108" s="60"/>
      <c r="R108" s="60"/>
      <c r="S108" s="60"/>
      <c r="T108" s="60"/>
      <c r="U108" s="60"/>
      <c r="V108" s="60"/>
      <c r="W108" s="60"/>
      <c r="X108" s="60"/>
      <c r="Y108" s="76"/>
      <c r="Z108" s="60"/>
      <c r="AA108" s="60"/>
      <c r="AB108" s="60"/>
      <c r="AC108" s="56"/>
      <c r="AD108" s="60"/>
      <c r="AE108" s="60"/>
      <c r="AF108" s="80"/>
      <c r="AG108" s="56"/>
      <c r="AH108" s="4"/>
      <c r="AI108" s="56"/>
      <c r="AJ108" s="109"/>
      <c r="AK108" s="56"/>
      <c r="AL108" s="56"/>
      <c r="AM108" s="56"/>
      <c r="AN108" s="56"/>
      <c r="AO108" s="82"/>
      <c r="AP108" s="82"/>
      <c r="AQ108" s="83"/>
      <c r="AR108" s="116"/>
      <c r="AS108" s="84"/>
      <c r="AT108" s="84"/>
      <c r="AU108" s="3"/>
      <c r="AV108" s="25">
        <v>900</v>
      </c>
      <c r="AW108" s="25">
        <v>2592000</v>
      </c>
      <c r="AX108" s="25">
        <v>5270400</v>
      </c>
      <c r="AY108" s="53"/>
      <c r="AZ108" s="53"/>
      <c r="BA108" s="53"/>
      <c r="BB108" s="53"/>
      <c r="BC108" s="53"/>
      <c r="BD108" s="53"/>
      <c r="BE108" s="53"/>
      <c r="BF108" s="53"/>
      <c r="BG108" s="53"/>
      <c r="BH108" s="53"/>
      <c r="BI108" s="53"/>
      <c r="BJ108" s="53"/>
      <c r="BK108" s="53"/>
      <c r="BL108" s="53"/>
      <c r="BM108" s="53"/>
      <c r="BN108" s="53"/>
      <c r="BO108" s="53"/>
      <c r="BP108" s="53"/>
      <c r="BQ108" s="53"/>
      <c r="BR108" s="53"/>
      <c r="BS108" s="53"/>
      <c r="BT108" s="53"/>
      <c r="BU108" s="53"/>
      <c r="BV108" s="53"/>
      <c r="BW108" s="53"/>
      <c r="BX108" s="53"/>
      <c r="BY108" s="53"/>
      <c r="BZ108" s="53"/>
      <c r="CA108" s="53"/>
      <c r="CB108" s="53"/>
      <c r="CC108" s="53"/>
      <c r="CD108" s="53"/>
      <c r="CE108" s="53"/>
      <c r="CF108" s="53"/>
      <c r="CG108" s="53"/>
      <c r="CH108" s="53"/>
      <c r="CI108" s="53"/>
      <c r="CJ108" s="53"/>
      <c r="CK108" s="53"/>
      <c r="CL108" s="53"/>
      <c r="CM108" s="53"/>
      <c r="CN108" s="53"/>
      <c r="CO108" s="53"/>
      <c r="CP108" s="53"/>
      <c r="CQ108" s="53"/>
      <c r="CR108" s="1"/>
      <c r="CS108" s="1"/>
      <c r="CT108" s="1"/>
      <c r="CU108" s="1"/>
    </row>
    <row r="109" spans="1:99" s="13" customFormat="1" ht="12" customHeight="1" x14ac:dyDescent="0.2">
      <c r="A109" s="65">
        <v>43509</v>
      </c>
      <c r="B109" s="22" t="s">
        <v>178</v>
      </c>
      <c r="C109" s="1" t="s">
        <v>75</v>
      </c>
      <c r="D109" s="60">
        <v>1976</v>
      </c>
      <c r="E109" s="76">
        <v>2</v>
      </c>
      <c r="F109" s="60">
        <v>100</v>
      </c>
      <c r="G109" s="60">
        <v>33.299999999999997</v>
      </c>
      <c r="H109" s="60" t="s">
        <v>38</v>
      </c>
      <c r="I109" s="60" t="s">
        <v>16</v>
      </c>
      <c r="J109" s="60" t="s">
        <v>16</v>
      </c>
      <c r="K109" s="60">
        <f>IF(J109="syllables",1,IF(J109="trigrams",2,IF(J109="strings",3,IF(J109="visual array",4,IF(J109="characters",5,IF(J109="letters",6,IF(J109="free forms",7,IF(J109="odors",8,IF(J109="words",9,IF(J109="pictures",10,IF(J109="object pictures",11,IF(J109="faces",12,IF(J109="names",13,IF(J109="idioms",14,IF(J109="grades",15,IF(J109="syllable-digit pairs",16,IF(J109="trigram-word pairs",17,IF(J109="word-digit pairs",18,IF(J109="English-Swahili pairs",19,IF(J109="spatial position",20,IF(J109="word pairs",21,IF(J109="word triads",22,IF(J109="generated words",23,IF(J109="word definition pairs",24,IF(J109="math problems",25,IF(J109="famous faces",26,IF(J109="famous names",27,IF(J109="famous voices",28,IF(J109="television programs",29,IF(J109="race horses",30,IF(J109="new vocabulary",31,IF(J109="sentences",32,IF(J109="concepts",33,IF(J109="ad slides",34,IF(J109="scenes",35,IF(J109="famous scenes",36,IF(J109="poems",37,IF(J109="walk",38,IF(J109="faces and events",39,IF(J109="events and names",40,IF(J109="flashbulb",41,IF(J109="stories",42,IF(J109="course material",43,IF(J109="autobiographical",44,IF(J109="novels",45,IF(J109="public events",46,"99"))))))))))))))))))))))))))))))))))))))))))))))</f>
        <v>9</v>
      </c>
      <c r="L109" s="60">
        <f>IF(J109="syllables",1,IF(J109="trigrams",1,IF(J109="strings",1,IF(J109="visual array",1,IF(J109="characters",1,IF(J109="letters",1,IF(J109="free forms",1,IF(J109="odors",2,IF(J109="words",2,IF(J109="pictures",2,IF(J109="object pictures",2,IF(J109="faces",2,IF(J109="names",2,IF(J109="idioms","2",IF(J109="grades",2,IF(J109="syllable-digit pairs",3,IF(J109="trigram-word pairs",3,IF(J109="word-digit pairs",3,IF(J109="English-Swahili pairs",3,IF(J109="spatial position",3,IF(J109="word pairs",4,IF(J109="word triads",4,IF(J109="generated words",4,IF(J109="word definition pairs",4,IF(J109="math problems",4,IF(J109="famous faces",4,IF(J109="famous names",4,IF(J109="famous voices",4,IF(J109="television programs",4,IF(J109="race horses",4,IF(J109="new vocabulary",4,IF(J109="sentences",5,IF(J109="concepts",5,IF(J109="ad slides",5,IF(J109="scenes",5,IF(J109="famous scenes",5,IF(J109="poems",6,IF(J109="walk",6,IF(J109="faces and events",6,IF(J109="events and names",6,IF(J109="flashbulb",7,IF(J109="stories",7,IF(J109="course material",7,IF(J109="autobiographical",7,IF(J109="novels",7,IF(J109="public events",7,"99"))))))))))))))))))))))))))))))))))))))))))))))</f>
        <v>2</v>
      </c>
      <c r="M109" s="60">
        <v>0</v>
      </c>
      <c r="N109" s="60">
        <v>1</v>
      </c>
      <c r="O109" s="60">
        <v>0</v>
      </c>
      <c r="P109" s="60"/>
      <c r="Q109" s="60" t="s">
        <v>34</v>
      </c>
      <c r="R109" s="60">
        <f>IF(Q109="Free Recall",1,IF(Q109="Cued Recall",2,IF(Q109="Recognition",3,IF(Q109="Multiple Choice",4,IF(Q109="Savings",5,IF(Q109="Stem Completion",6,IF(Q109="Fragment Completion",7,IF(Q109="anagram solution",8,IF(Q109="Matching",9,IF(Q109="Problem Solving",10,"99"))))))))))</f>
        <v>3</v>
      </c>
      <c r="S109" s="60" t="s">
        <v>15</v>
      </c>
      <c r="T109" s="60" t="s">
        <v>261</v>
      </c>
      <c r="U109" s="60">
        <f>IF(T109="within",1,0)</f>
        <v>0</v>
      </c>
      <c r="V109" s="60">
        <v>70</v>
      </c>
      <c r="W109" s="60">
        <f>F109*V109</f>
        <v>7000</v>
      </c>
      <c r="X109" s="60">
        <v>3</v>
      </c>
      <c r="Y109" s="76">
        <f>AV108</f>
        <v>900</v>
      </c>
      <c r="Z109" s="60" t="s">
        <v>193</v>
      </c>
      <c r="AA109" s="60">
        <v>5270400</v>
      </c>
      <c r="AB109" s="60" t="str">
        <f>IF(AA109&lt;60,"1",IF(AA109&lt;=43200,"2",IF(AA109&lt;=777600,"3","4")))</f>
        <v>4</v>
      </c>
      <c r="AC109" s="56">
        <f>AVERAGE(AV108:DA108)</f>
        <v>2621100</v>
      </c>
      <c r="AD109" s="60" t="str">
        <f>IF(AC109&lt;60,"1",IF(AC109&lt;=43200,"2",IF(AC109&lt;=777600,"3","4")))</f>
        <v>4</v>
      </c>
      <c r="AE109" s="76">
        <f>AA109-Y109</f>
        <v>5269500</v>
      </c>
      <c r="AF109" s="80">
        <f>AV109</f>
        <v>0.76200000000000001</v>
      </c>
      <c r="AG109" s="56">
        <f>((AW109-AV109)+(AX109-AW109))/2</f>
        <v>-0.10425000000000001</v>
      </c>
      <c r="AH109" s="4"/>
      <c r="AI109" s="56">
        <f>RSQ(AV109:AX109,AV108:AX108)</f>
        <v>0.86200494294906194</v>
      </c>
      <c r="AJ109" s="109">
        <f>SLOPE(AV109:AX109,AV108:AX108)</f>
        <v>-3.941647361887947E-8</v>
      </c>
      <c r="AK109" s="56">
        <f>INTERCEPT(AV109:AX109,AV108:AX108)</f>
        <v>0.73764785233577834</v>
      </c>
      <c r="AL109" s="56">
        <f>INDEX(LINEST(LN(AV109:AX109),LN(AV108:AX108),TRUE,TRUE),3,1)</f>
        <v>0.98952623315950439</v>
      </c>
      <c r="AM109" s="56">
        <f>INDEX(LINEST(LN(AV109:AX109),LN(AV108:AX108)),1)</f>
        <v>-3.5106235397858558E-2</v>
      </c>
      <c r="AN109" s="56">
        <f>EXP(INDEX(LINEST(LN(AV109:AX109),LN(AV108:AX108)),1,2))</f>
        <v>0.96896926356501933</v>
      </c>
      <c r="AO109" s="82">
        <f>INDEX(LINEST((AV109:AX109),LN(AV108:AX108),TRUE,TRUE),3,1)</f>
        <v>0.9937984340578826</v>
      </c>
      <c r="AP109" s="82">
        <f>INDEX(LINEST((AV109:AX109),LN(AV108:AX108)),1)</f>
        <v>-2.3150852996013285E-2</v>
      </c>
      <c r="AQ109" s="83">
        <f>INDEX(LINEST(LN(AV109:AX109),SQRT(AV108:AX108),TRUE,TRUE),3,1)</f>
        <v>0.98487125848108759</v>
      </c>
      <c r="AR109" s="116">
        <f>INDEX(LINEST(LN(AV109:AX109),SQRT((AV108:AX108))),1)</f>
        <v>-1.4519585205238186E-4</v>
      </c>
      <c r="AS109" s="84">
        <f>INDEX(LINEST(1/(AV109:AX109),1/(SQRT(AV108:AX108)),TRUE,TRUE),3,1)</f>
        <v>0.96163783524923085</v>
      </c>
      <c r="AT109" s="84">
        <f>INDEX(LINEST(1/(AV109:AX109),1/SQRT(AV108:AX108)),1)</f>
        <v>-13.48890420973197</v>
      </c>
      <c r="AU109" s="3"/>
      <c r="AV109" s="53">
        <v>0.76200000000000001</v>
      </c>
      <c r="AW109" s="53">
        <v>0.58750000000000002</v>
      </c>
      <c r="AX109" s="53">
        <v>0.55349999999999999</v>
      </c>
      <c r="AY109" s="53"/>
      <c r="AZ109" s="53"/>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c r="BY109" s="53"/>
      <c r="BZ109" s="53"/>
      <c r="CA109" s="53"/>
      <c r="CB109" s="53"/>
      <c r="CC109" s="53"/>
      <c r="CD109" s="53"/>
      <c r="CE109" s="53"/>
      <c r="CF109" s="53"/>
      <c r="CG109" s="53"/>
      <c r="CH109" s="53"/>
      <c r="CI109" s="53"/>
      <c r="CJ109" s="53"/>
      <c r="CK109" s="53"/>
      <c r="CL109" s="53"/>
      <c r="CM109" s="53"/>
      <c r="CN109" s="53"/>
      <c r="CO109" s="53"/>
      <c r="CP109" s="53"/>
      <c r="CQ109" s="53"/>
      <c r="CR109" s="1"/>
      <c r="CS109" s="1"/>
      <c r="CT109" s="1"/>
      <c r="CU109" s="1"/>
    </row>
    <row r="110" spans="1:99" s="13" customFormat="1" ht="12" customHeight="1" x14ac:dyDescent="0.2">
      <c r="A110" s="65">
        <v>43509</v>
      </c>
      <c r="B110" s="1"/>
      <c r="C110" s="1"/>
      <c r="D110" s="60"/>
      <c r="E110" s="76"/>
      <c r="F110" s="60"/>
      <c r="G110" s="60"/>
      <c r="H110" s="60"/>
      <c r="I110" s="60"/>
      <c r="J110" s="60"/>
      <c r="K110" s="64"/>
      <c r="L110" s="64"/>
      <c r="M110" s="60"/>
      <c r="N110" s="60"/>
      <c r="O110" s="60"/>
      <c r="P110" s="60"/>
      <c r="Q110" s="60"/>
      <c r="R110" s="60"/>
      <c r="S110" s="60"/>
      <c r="T110" s="60"/>
      <c r="U110" s="60"/>
      <c r="V110" s="60"/>
      <c r="W110" s="60"/>
      <c r="X110" s="60"/>
      <c r="Y110" s="76"/>
      <c r="Z110" s="60"/>
      <c r="AA110" s="60"/>
      <c r="AB110" s="60"/>
      <c r="AC110" s="56"/>
      <c r="AD110" s="60"/>
      <c r="AE110" s="60"/>
      <c r="AF110" s="80"/>
      <c r="AG110" s="56"/>
      <c r="AH110" s="4"/>
      <c r="AI110" s="56"/>
      <c r="AJ110" s="109"/>
      <c r="AK110" s="56"/>
      <c r="AL110" s="56"/>
      <c r="AM110" s="56"/>
      <c r="AN110" s="56"/>
      <c r="AO110" s="82"/>
      <c r="AP110" s="82"/>
      <c r="AQ110" s="83"/>
      <c r="AR110" s="116"/>
      <c r="AS110" s="84"/>
      <c r="AT110" s="84"/>
      <c r="AU110" s="3"/>
      <c r="AV110" s="25">
        <v>900</v>
      </c>
      <c r="AW110" s="25">
        <v>2592000</v>
      </c>
      <c r="AX110" s="25">
        <v>5270400</v>
      </c>
      <c r="AY110" s="53"/>
      <c r="AZ110" s="53"/>
      <c r="BA110" s="53"/>
      <c r="BB110" s="53"/>
      <c r="BC110" s="53"/>
      <c r="BD110" s="53"/>
      <c r="BE110" s="53"/>
      <c r="BF110" s="53"/>
      <c r="BG110" s="53"/>
      <c r="BH110" s="53"/>
      <c r="BI110" s="53"/>
      <c r="BJ110" s="53"/>
      <c r="BK110" s="53"/>
      <c r="BL110" s="53"/>
      <c r="BM110" s="53"/>
      <c r="BN110" s="53"/>
      <c r="BO110" s="53"/>
      <c r="BP110" s="53"/>
      <c r="BQ110" s="53"/>
      <c r="BR110" s="53"/>
      <c r="BS110" s="53"/>
      <c r="BT110" s="53"/>
      <c r="BU110" s="53"/>
      <c r="BV110" s="53"/>
      <c r="BW110" s="53"/>
      <c r="BX110" s="53"/>
      <c r="BY110" s="53"/>
      <c r="BZ110" s="53"/>
      <c r="CA110" s="53"/>
      <c r="CB110" s="53"/>
      <c r="CC110" s="53"/>
      <c r="CD110" s="53"/>
      <c r="CE110" s="53"/>
      <c r="CF110" s="53"/>
      <c r="CG110" s="53"/>
      <c r="CH110" s="53"/>
      <c r="CI110" s="53"/>
      <c r="CJ110" s="53"/>
      <c r="CK110" s="53"/>
      <c r="CL110" s="53"/>
      <c r="CM110" s="53"/>
      <c r="CN110" s="53"/>
      <c r="CO110" s="53"/>
      <c r="CP110" s="53"/>
      <c r="CQ110" s="53"/>
      <c r="CR110" s="1"/>
      <c r="CS110" s="1"/>
      <c r="CT110" s="1"/>
      <c r="CU110" s="1"/>
    </row>
    <row r="111" spans="1:99" s="13" customFormat="1" ht="12" customHeight="1" x14ac:dyDescent="0.2">
      <c r="A111" s="65">
        <v>43509</v>
      </c>
      <c r="B111" s="1" t="s">
        <v>178</v>
      </c>
      <c r="C111" s="1" t="s">
        <v>75</v>
      </c>
      <c r="D111" s="60">
        <v>1976</v>
      </c>
      <c r="E111" s="76">
        <v>2</v>
      </c>
      <c r="F111" s="60">
        <v>100</v>
      </c>
      <c r="G111" s="60">
        <v>33.299999999999997</v>
      </c>
      <c r="H111" s="60" t="s">
        <v>38</v>
      </c>
      <c r="I111" s="60" t="s">
        <v>313</v>
      </c>
      <c r="J111" s="60" t="s">
        <v>313</v>
      </c>
      <c r="K111" s="60">
        <f>IF(J111="syllables",1,IF(J111="trigrams",2,IF(J111="strings",3,IF(J111="visual array",4,IF(J111="characters",5,IF(J111="letters",6,IF(J111="free forms",7,IF(J111="odors",8,IF(J111="words",9,IF(J111="pictures",10,IF(J111="object pictures",11,IF(J111="faces",12,IF(J111="names",13,IF(J111="idioms",14,IF(J111="grades",15,IF(J111="syllable-digit pairs",16,IF(J111="trigram-word pairs",17,IF(J111="word-digit pairs",18,IF(J111="English-Swahili pairs",19,IF(J111="spatial position",20,IF(J111="word pairs",21,IF(J111="word triads",22,IF(J111="generated words",23,IF(J111="word definition pairs",24,IF(J111="math problems",25,IF(J111="famous faces",26,IF(J111="famous names",27,IF(J111="famous voices",28,IF(J111="television programs",29,IF(J111="race horses",30,IF(J111="new vocabulary",31,IF(J111="sentences",32,IF(J111="concepts",33,IF(J111="ad slides",34,IF(J111="scenes",35,IF(J111="famous scenes",36,IF(J111="poems",37,IF(J111="walk",38,IF(J111="faces and events",39,IF(J111="events and names",40,IF(J111="flashbulb",41,IF(J111="stories",42,IF(J111="course material",43,IF(J111="autobiographical",44,IF(J111="novels",45,IF(J111="public events",46,"99"))))))))))))))))))))))))))))))))))))))))))))))</f>
        <v>10</v>
      </c>
      <c r="L111" s="60">
        <f>IF(J111="syllables",1,IF(J111="trigrams",1,IF(J111="strings",1,IF(J111="visual array",1,IF(J111="characters",1,IF(J111="letters",1,IF(J111="free forms",1,IF(J111="odors",2,IF(J111="words",2,IF(J111="pictures",2,IF(J111="object pictures",2,IF(J111="faces",2,IF(J111="names",2,IF(J111="idioms","2",IF(J111="grades",2,IF(J111="syllable-digit pairs",3,IF(J111="trigram-word pairs",3,IF(J111="word-digit pairs",3,IF(J111="English-Swahili pairs",3,IF(J111="spatial position",3,IF(J111="word pairs",4,IF(J111="word triads",4,IF(J111="generated words",4,IF(J111="word definition pairs",4,IF(J111="math problems",4,IF(J111="famous faces",4,IF(J111="famous names",4,IF(J111="famous voices",4,IF(J111="television programs",4,IF(J111="race horses",4,IF(J111="new vocabulary",4,IF(J111="sentences",5,IF(J111="concepts",5,IF(J111="ad slides",5,IF(J111="scenes",5,IF(J111="famous scenes",5,IF(J111="poems",6,IF(J111="walk",6,IF(J111="faces and events",6,IF(J111="events and names",6,IF(J111="flashbulb",7,IF(J111="stories",7,IF(J111="course material",7,IF(J111="autobiographical",7,IF(J111="novels",7,IF(J111="public events",7,"99"))))))))))))))))))))))))))))))))))))))))))))))</f>
        <v>2</v>
      </c>
      <c r="M111" s="60">
        <v>0</v>
      </c>
      <c r="N111" s="60">
        <v>1</v>
      </c>
      <c r="O111" s="60">
        <v>0</v>
      </c>
      <c r="P111" s="60"/>
      <c r="Q111" s="60" t="s">
        <v>34</v>
      </c>
      <c r="R111" s="60">
        <f>IF(Q111="Free Recall",1,IF(Q111="Cued Recall",2,IF(Q111="Recognition",3,IF(Q111="Multiple Choice",4,IF(Q111="Savings",5,IF(Q111="Stem Completion",6,IF(Q111="Fragment Completion",7,IF(Q111="anagram solution",8,IF(Q111="Matching",9,IF(Q111="Problem Solving",10,"99"))))))))))</f>
        <v>3</v>
      </c>
      <c r="S111" s="60" t="s">
        <v>15</v>
      </c>
      <c r="T111" s="60" t="s">
        <v>261</v>
      </c>
      <c r="U111" s="60">
        <f>IF(T111="within",1,0)</f>
        <v>0</v>
      </c>
      <c r="V111" s="60">
        <v>70</v>
      </c>
      <c r="W111" s="60">
        <f>F111*V111</f>
        <v>7000</v>
      </c>
      <c r="X111" s="60">
        <v>3</v>
      </c>
      <c r="Y111" s="76">
        <f>AV110</f>
        <v>900</v>
      </c>
      <c r="Z111" s="60" t="s">
        <v>193</v>
      </c>
      <c r="AA111" s="60">
        <v>5270400</v>
      </c>
      <c r="AB111" s="60" t="str">
        <f>IF(AA111&lt;60,"1",IF(AA111&lt;=43200,"2",IF(AA111&lt;=777600,"3","4")))</f>
        <v>4</v>
      </c>
      <c r="AC111" s="56">
        <f>AVERAGE(AV110:DA110)</f>
        <v>2621100</v>
      </c>
      <c r="AD111" s="60" t="str">
        <f>IF(AC111&lt;60,"1",IF(AC111&lt;=43200,"2",IF(AC111&lt;=777600,"3","4")))</f>
        <v>4</v>
      </c>
      <c r="AE111" s="76">
        <f>AA111-Y111</f>
        <v>5269500</v>
      </c>
      <c r="AF111" s="80">
        <f>AV111</f>
        <v>0.9305000000000001</v>
      </c>
      <c r="AG111" s="56">
        <f>((AW111-AV111)+(AX111-AW111))/2</f>
        <v>-0.14250000000000007</v>
      </c>
      <c r="AH111" s="4"/>
      <c r="AI111" s="56">
        <f>RSQ(AV111:AX111,AV110:AX110)</f>
        <v>0.88457010994203922</v>
      </c>
      <c r="AJ111" s="109">
        <f>SLOPE(AV111:AX111,AV110:AX110)</f>
        <v>-5.3898595627932991E-8</v>
      </c>
      <c r="AK111" s="56">
        <f>INTERCEPT(AV111:AX111,AV110:AX110)</f>
        <v>0.90044027566704177</v>
      </c>
      <c r="AL111" s="56">
        <f>INDEX(LINEST(LN(AV111:AX111),LN(AV110:AX110),TRUE,TRUE),3,1)</f>
        <v>0.97911696082497668</v>
      </c>
      <c r="AM111" s="56">
        <f>INDEX(LINEST(LN(AV111:AX111),LN(AV110:AX110)),1)</f>
        <v>-3.9377200187181965E-2</v>
      </c>
      <c r="AN111" s="56">
        <f>EXP(INDEX(LINEST(LN(AV111:AX111),LN(AV110:AX110)),1,2))</f>
        <v>1.2191846586362629</v>
      </c>
      <c r="AO111" s="82">
        <f>INDEX(LINEST((AV111:AX111),LN(AV110:AX110),TRUE,TRUE),3,1)</f>
        <v>0.98733449774335746</v>
      </c>
      <c r="AP111" s="82">
        <f>INDEX(LINEST((AV111:AX111),LN(AV110:AX110)),1)</f>
        <v>-3.1148592618525813E-2</v>
      </c>
      <c r="AQ111" s="83">
        <f>INDEX(LINEST(LN(AV111:AX111),SQRT(AV110:AX110),TRUE,TRUE),3,1)</f>
        <v>0.99348318465103347</v>
      </c>
      <c r="AR111" s="116">
        <f>INDEX(LINEST(LN(AV111:AX111),SQRT((AV110:AX110))),1)</f>
        <v>-1.6443780857855705E-4</v>
      </c>
      <c r="AS111" s="84">
        <f>INDEX(LINEST(1/(AV111:AX111),1/(SQRT(AV110:AX110)),TRUE,TRUE),3,1)</f>
        <v>0.93925187380888708</v>
      </c>
      <c r="AT111" s="84">
        <f>INDEX(LINEST(1/(AV111:AX111),1/SQRT(AV110:AX110)),1)</f>
        <v>-12.594900326428547</v>
      </c>
      <c r="AU111" s="3"/>
      <c r="AV111" s="53">
        <v>0.9305000000000001</v>
      </c>
      <c r="AW111" s="53">
        <v>0.70150000000000001</v>
      </c>
      <c r="AX111" s="53">
        <v>0.64549999999999996</v>
      </c>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c r="BY111" s="53"/>
      <c r="BZ111" s="53"/>
      <c r="CA111" s="53"/>
      <c r="CB111" s="53"/>
      <c r="CC111" s="53"/>
      <c r="CD111" s="53"/>
      <c r="CE111" s="53"/>
      <c r="CF111" s="53"/>
      <c r="CG111" s="53"/>
      <c r="CH111" s="53"/>
      <c r="CI111" s="53"/>
      <c r="CJ111" s="53"/>
      <c r="CK111" s="53"/>
      <c r="CL111" s="53"/>
      <c r="CM111" s="53"/>
      <c r="CN111" s="53"/>
      <c r="CO111" s="53"/>
      <c r="CP111" s="53"/>
      <c r="CQ111" s="53"/>
      <c r="CR111" s="1"/>
      <c r="CS111" s="1"/>
      <c r="CT111" s="1"/>
      <c r="CU111" s="1"/>
    </row>
    <row r="112" spans="1:99" ht="12" customHeight="1" x14ac:dyDescent="0.2">
      <c r="A112" s="65">
        <v>43509</v>
      </c>
      <c r="B112" s="15"/>
      <c r="C112" s="15"/>
      <c r="D112" s="59"/>
      <c r="E112" s="75"/>
      <c r="F112" s="59"/>
      <c r="G112" s="59"/>
      <c r="H112" s="59"/>
      <c r="I112" s="59"/>
      <c r="J112" s="59"/>
      <c r="M112" s="59"/>
      <c r="N112" s="59"/>
      <c r="O112" s="59"/>
      <c r="P112" s="59"/>
      <c r="Q112" s="59"/>
      <c r="R112" s="60"/>
      <c r="S112" s="59"/>
      <c r="T112" s="59"/>
      <c r="U112" s="60"/>
      <c r="V112" s="59"/>
      <c r="W112" s="60"/>
      <c r="X112" s="59"/>
      <c r="Y112" s="76"/>
      <c r="Z112" s="59"/>
      <c r="AA112" s="59"/>
      <c r="AB112" s="60"/>
      <c r="AC112" s="60"/>
      <c r="AD112" s="60"/>
      <c r="AE112" s="60"/>
      <c r="AF112" s="80"/>
      <c r="AG112" s="56"/>
      <c r="AH112" s="4"/>
      <c r="AN112" s="55"/>
      <c r="AO112" s="55"/>
      <c r="AP112" s="55"/>
      <c r="AQ112" s="55"/>
      <c r="AR112" s="111"/>
      <c r="AS112" s="55"/>
      <c r="AT112" s="55"/>
      <c r="AU112" s="4"/>
      <c r="AV112" s="45">
        <v>60</v>
      </c>
      <c r="AW112" s="47">
        <f>48*3600</f>
        <v>172800</v>
      </c>
      <c r="AX112" s="50">
        <f>7*24*3600</f>
        <v>604800</v>
      </c>
      <c r="AY112" s="50">
        <f>30*24*3600</f>
        <v>2592000</v>
      </c>
      <c r="AZ112" s="11" t="s">
        <v>513</v>
      </c>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5"/>
      <c r="CS112" s="15"/>
      <c r="CT112" s="15"/>
      <c r="CU112" s="15"/>
    </row>
    <row r="113" spans="1:99" ht="12" customHeight="1" x14ac:dyDescent="0.2">
      <c r="A113" s="65">
        <v>43509</v>
      </c>
      <c r="B113" s="15" t="s">
        <v>285</v>
      </c>
      <c r="C113" s="15" t="s">
        <v>268</v>
      </c>
      <c r="D113" s="59">
        <v>1948</v>
      </c>
      <c r="E113" s="75">
        <v>1</v>
      </c>
      <c r="F113" s="59">
        <v>88</v>
      </c>
      <c r="G113" s="59">
        <v>88</v>
      </c>
      <c r="H113" s="59" t="s">
        <v>286</v>
      </c>
      <c r="I113" s="59"/>
      <c r="J113" s="59" t="s">
        <v>686</v>
      </c>
      <c r="K113" s="60">
        <f>IF(J113="syllables",1,IF(J113="trigrams",2,IF(J113="strings",3,IF(J113="visual array",4,IF(J113="characters",5,IF(J113="letters",6,IF(J113="free forms",7,IF(J113="odors",8,IF(J113="words",9,IF(J113="pictures",10,IF(J113="object pictures",11,IF(J113="faces",12,IF(J113="names",13,IF(J113="idioms",14,IF(J113="grades",15,IF(J113="syllable-digit pairs",16,IF(J113="trigram-word pairs",17,IF(J113="word-digit pairs",18,IF(J113="English-Swahili pairs",19,IF(J113="spatial position",20,IF(J113="word pairs",21,IF(J113="word triads",22,IF(J113="generated words",23,IF(J113="word definition pairs",24,IF(J113="math problems",25,IF(J113="famous faces",26,IF(J113="famous names",27,IF(J113="famous voices",28,IF(J113="television programs",29,IF(J113="race horses",30,IF(J113="new vocabulary",31,IF(J113="sentences",32,IF(J113="concepts",33,IF(J113="ad slides",34,IF(J113="scenes",35,IF(J113="famous scenes",36,IF(J113="poems",37,IF(J113="walk",38,IF(J113="faces and events",39,IF(J113="events and names",40,IF(J113="flashbulb",41,IF(J113="stories",42,IF(J113="course material",43,IF(J113="autobiographical",44,IF(J113="novels",45,IF(J113="public events",46,"99"))))))))))))))))))))))))))))))))))))))))))))))</f>
        <v>35</v>
      </c>
      <c r="L113" s="60">
        <f>IF(J113="syllables",1,IF(J113="trigrams",1,IF(J113="strings",1,IF(J113="visual array",1,IF(J113="characters",1,IF(J113="letters",1,IF(J113="free forms",1,IF(J113="odors",2,IF(J113="words",2,IF(J113="pictures",2,IF(J113="object pictures",2,IF(J113="faces",2,IF(J113="names",2,IF(J113="idioms","2",IF(J113="grades",2,IF(J113="syllable-digit pairs",3,IF(J113="trigram-word pairs",3,IF(J113="word-digit pairs",3,IF(J113="English-Swahili pairs",3,IF(J113="spatial position",3,IF(J113="word pairs",4,IF(J113="word triads",4,IF(J113="generated words",4,IF(J113="word definition pairs",4,IF(J113="math problems",4,IF(J113="famous faces",4,IF(J113="famous names",4,IF(J113="famous voices",4,IF(J113="television programs",4,IF(J113="race horses",4,IF(J113="new vocabulary",4,IF(J113="sentences",5,IF(J113="concepts",5,IF(J113="ad slides",5,IF(J113="scenes",5,IF(J113="famous scenes",5,IF(J113="poems",6,IF(J113="walk",6,IF(J113="faces and events",6,IF(J113="events and names",6,IF(J113="flashbulb",7,IF(J113="stories",7,IF(J113="course material",7,IF(J113="autobiographical",7,IF(J113="novels",7,IF(J113="public events",7,"99"))))))))))))))))))))))))))))))))))))))))))))))</f>
        <v>5</v>
      </c>
      <c r="M113" s="59">
        <v>0</v>
      </c>
      <c r="N113" s="59">
        <v>3</v>
      </c>
      <c r="O113" s="59">
        <v>0</v>
      </c>
      <c r="P113" s="59"/>
      <c r="Q113" s="59" t="s">
        <v>174</v>
      </c>
      <c r="R113" s="60">
        <f>IF(Q113="Free Recall",1,IF(Q113="Cued Recall",2,IF(Q113="Recognition",3,IF(Q113="Multiple Choice",4,IF(Q113="Savings",5,IF(Q113="Stem Completion",6,IF(Q113="Fragment Completion",7,IF(Q113="anagram solution",8,IF(Q113="Matching",9,IF(Q113="Problem Solving",10,"99"))))))))))</f>
        <v>1</v>
      </c>
      <c r="S113" s="59" t="s">
        <v>15</v>
      </c>
      <c r="T113" s="59" t="s">
        <v>581</v>
      </c>
      <c r="U113" s="60">
        <f>IF(T113="within",1,0)</f>
        <v>1</v>
      </c>
      <c r="V113" s="59">
        <v>33</v>
      </c>
      <c r="W113" s="60">
        <f>F113*V113</f>
        <v>2904</v>
      </c>
      <c r="X113" s="59">
        <v>4</v>
      </c>
      <c r="Y113" s="76">
        <f>AV112</f>
        <v>60</v>
      </c>
      <c r="Z113" s="59" t="s">
        <v>273</v>
      </c>
      <c r="AA113" s="59">
        <f>30*24*3600</f>
        <v>2592000</v>
      </c>
      <c r="AB113" s="60" t="str">
        <f>IF(AA113&lt;60,"1",IF(AA113&lt;=43200,"2",IF(AA113&lt;=777600,"3","4")))</f>
        <v>4</v>
      </c>
      <c r="AC113" s="56">
        <f>AVERAGE(AV112:DA112)</f>
        <v>842415</v>
      </c>
      <c r="AD113" s="60" t="str">
        <f>IF(AC113&lt;60,"1",IF(AC113&lt;=43200,"2",IF(AC113&lt;=777600,"3","4")))</f>
        <v>4</v>
      </c>
      <c r="AE113" s="76">
        <f>AA113-Y113</f>
        <v>2591940</v>
      </c>
      <c r="AF113" s="80">
        <f>AV113</f>
        <v>1</v>
      </c>
      <c r="AG113" s="56">
        <f>((AW113-AV113)+(AX113-AW113)+(AY113-AX113))/3</f>
        <v>-0.10000000000000002</v>
      </c>
      <c r="AH113" s="4"/>
      <c r="AI113" s="56">
        <f>RSQ(AV113:AY113,AV112:AY112)</f>
        <v>0.64944330052025634</v>
      </c>
      <c r="AJ113" s="109">
        <f>SLOPE(AV113:AY113,AV112:AY112)</f>
        <v>-8.4241301958362656E-8</v>
      </c>
      <c r="AK113" s="56">
        <f>INTERCEPT(AV113:AY113,AV112:AY112)</f>
        <v>0.90221613638925413</v>
      </c>
      <c r="AL113" s="56">
        <f>INDEX(LINEST(LN(AV113:AY113),LN(AV112:AY112),TRUE,TRUE),3,1)</f>
        <v>0.91794619593095195</v>
      </c>
      <c r="AM113" s="56">
        <f>INDEX(LINEST(LN(AV113:AY113),LN(AV112:AY112)),1)</f>
        <v>-2.9535312735414349E-2</v>
      </c>
      <c r="AN113" s="56">
        <f>EXP(INDEX(LINEST(LN(AV113:AY113),LN(AV112:AY112)),1,2))</f>
        <v>1.1429067223471086</v>
      </c>
      <c r="AO113" s="82">
        <f>INDEX(LINEST((AV113:AY113),LN(AV112:AY112),TRUE,TRUE),3,1)</f>
        <v>0.94687931094744526</v>
      </c>
      <c r="AP113" s="82">
        <f>INDEX(LINEST((AV113:AY113),LN(AV112:AY112)),1)</f>
        <v>-2.5441612914587831E-2</v>
      </c>
      <c r="AQ113" s="83">
        <f>INDEX(LINEST(LN(AV113:AY113),SQRT(AV112:AY112),TRUE,TRUE),3,1)</f>
        <v>0.89749075282165547</v>
      </c>
      <c r="AR113" s="116">
        <f>INDEX(LINEST(LN(AV113:AY113),SQRT((AV112:AY112))),1)</f>
        <v>-2.044796404031818E-4</v>
      </c>
      <c r="AS113" s="84">
        <f>INDEX(LINEST(1/(AV113:AY113),1/(SQRT(AV112:AY112)),TRUE,TRUE),3,1)</f>
        <v>0.72120654020714814</v>
      </c>
      <c r="AT113" s="84">
        <f>INDEX(LINEST(1/(AV113:AY113),1/SQRT(AV112:AY112)),1)</f>
        <v>-2.3402706905204971</v>
      </c>
      <c r="AU113" s="3"/>
      <c r="AV113" s="45">
        <v>1</v>
      </c>
      <c r="AW113" s="11">
        <v>0.82499999999999996</v>
      </c>
      <c r="AX113" s="45">
        <v>0.8</v>
      </c>
      <c r="AY113" s="45">
        <v>0.7</v>
      </c>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5"/>
      <c r="CS113" s="15"/>
      <c r="CT113" s="15"/>
      <c r="CU113" s="15"/>
    </row>
    <row r="114" spans="1:99" s="13" customFormat="1" ht="12" customHeight="1" x14ac:dyDescent="0.2">
      <c r="A114" s="68">
        <v>43978</v>
      </c>
      <c r="B114" s="70"/>
      <c r="C114" s="70"/>
      <c r="D114" s="69"/>
      <c r="E114" s="87"/>
      <c r="F114" s="69"/>
      <c r="G114" s="69"/>
      <c r="H114" s="69"/>
      <c r="I114" s="69"/>
      <c r="J114" s="69"/>
      <c r="K114" s="69"/>
      <c r="L114" s="69"/>
      <c r="M114" s="69"/>
      <c r="N114" s="86"/>
      <c r="O114" s="69"/>
      <c r="P114" s="69"/>
      <c r="Q114" s="69"/>
      <c r="R114" s="69"/>
      <c r="S114" s="69"/>
      <c r="T114" s="92"/>
      <c r="U114" s="69"/>
      <c r="V114" s="92"/>
      <c r="W114" s="69"/>
      <c r="X114" s="69"/>
      <c r="Y114" s="87"/>
      <c r="Z114" s="92"/>
      <c r="AA114" s="87"/>
      <c r="AB114" s="69"/>
      <c r="AC114" s="72"/>
      <c r="AD114" s="69"/>
      <c r="AE114" s="87"/>
      <c r="AF114" s="88"/>
      <c r="AG114" s="72"/>
      <c r="AH114" s="4"/>
      <c r="AI114" s="72"/>
      <c r="AJ114" s="110"/>
      <c r="AK114" s="72"/>
      <c r="AL114" s="72"/>
      <c r="AM114" s="72"/>
      <c r="AN114" s="72"/>
      <c r="AO114" s="89"/>
      <c r="AP114" s="89"/>
      <c r="AQ114" s="90"/>
      <c r="AR114" s="117"/>
      <c r="AS114" s="91"/>
      <c r="AT114" s="91"/>
      <c r="AU114" s="3"/>
      <c r="AV114" s="96">
        <f>60*30</f>
        <v>1800</v>
      </c>
      <c r="AW114" s="96">
        <f>60*60*24</f>
        <v>86400</v>
      </c>
      <c r="AX114" s="96">
        <f>60*60*24*7</f>
        <v>604800</v>
      </c>
      <c r="AY114" s="96">
        <f>60*60*24*7*2</f>
        <v>1209600</v>
      </c>
      <c r="AZ114" s="96">
        <f>60*60*24*7*4</f>
        <v>2419200</v>
      </c>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53"/>
      <c r="BZ114" s="53"/>
      <c r="CA114" s="53"/>
      <c r="CB114" s="53"/>
      <c r="CC114" s="53"/>
      <c r="CD114" s="53"/>
      <c r="CE114" s="53"/>
      <c r="CF114" s="53"/>
      <c r="CG114" s="53"/>
      <c r="CH114" s="53"/>
      <c r="CI114" s="53"/>
      <c r="CJ114" s="53"/>
      <c r="CK114" s="53"/>
      <c r="CL114" s="53"/>
      <c r="CM114" s="53"/>
      <c r="CN114" s="53"/>
      <c r="CO114" s="53"/>
      <c r="CP114" s="53"/>
      <c r="CQ114" s="53"/>
      <c r="CR114" s="1"/>
      <c r="CS114" s="1"/>
      <c r="CT114" s="1"/>
      <c r="CU114" s="1"/>
    </row>
    <row r="115" spans="1:99" s="13" customFormat="1" ht="12" customHeight="1" x14ac:dyDescent="0.2">
      <c r="A115" s="68">
        <v>43978</v>
      </c>
      <c r="B115" s="70" t="s">
        <v>967</v>
      </c>
      <c r="C115" s="70" t="s">
        <v>54</v>
      </c>
      <c r="D115" s="69">
        <v>2010</v>
      </c>
      <c r="E115" s="87">
        <v>1</v>
      </c>
      <c r="F115" s="69">
        <v>8</v>
      </c>
      <c r="G115" s="69">
        <v>8</v>
      </c>
      <c r="H115" s="69" t="s">
        <v>41</v>
      </c>
      <c r="I115" s="69" t="s">
        <v>330</v>
      </c>
      <c r="J115" s="69" t="s">
        <v>677</v>
      </c>
      <c r="K115" s="69">
        <f>IF(J115="syllables",1,IF(J115="trigrams",2,IF(J115="strings",3,IF(J115="visual array",4,IF(J115="characters",5,IF(J115="letters",6,IF(J115="free forms",7,IF(J115="odors",8,IF(J115="words",9,IF(J115="pictures",10,IF(J115="object pictures",11,IF(J115="faces",12,IF(J115="names",13,IF(J115="idioms",14,IF(J115="grades",15,IF(J115="syllable-digit pairs",16,IF(J115="trigram-word pairs",17,IF(J115="word-digit pairs",18,IF(J115="English-Swahili pairs",19,IF(J115="spatial position",20,IF(J115="word pairs",21,IF(J115="word triads",22,IF(J115="generated words",23,IF(J115="word definition pairs",24,IF(J115="math problems",25,IF(J115="famous faces",26,IF(J115="famous names",27,IF(J115="famous voices",28,IF(J115="television programs",29,IF(J115="race horses",30,IF(J115="new vocabulary",31,IF(J115="sentences",32,IF(J115="concepts",33,IF(J115="ad slides",34,IF(J115="scenes",35,IF(J115="famous scenes",36,IF(J115="poems",37,IF(J115="walk",38,IF(J115="faces and events",39,IF(J115="events and names",40,IF(J115="flashbulb",41,IF(J115="stories",42,IF(J115="course material",43,IF(J115="autobiographical",44,IF(J115="novels",45,IF(J115="public events",46,"99"))))))))))))))))))))))))))))))))))))))))))))))</f>
        <v>42</v>
      </c>
      <c r="L115" s="69">
        <f>IF(J115="syllables",1,IF(J115="trigrams",1,IF(J115="strings",1,IF(J115="visual array",1,IF(J115="characters",1,IF(J115="letters",1,IF(J115="free forms",1,IF(J115="odors",2,IF(J115="words",2,IF(J115="pictures",2,IF(J115="object pictures",2,IF(J115="faces",2,IF(J115="names",2,IF(J115="idioms","2",IF(J115="grades",2,IF(J115="syllable-digit pairs",3,IF(J115="trigram-word pairs",3,IF(J115="word-digit pairs",3,IF(J115="English-Swahili pairs",3,IF(J115="spatial position",3,IF(J115="word pairs",4,IF(J115="word triads",4,IF(J115="generated words",4,IF(J115="word definition pairs",4,IF(J115="math problems",4,IF(J115="famous faces",4,IF(J115="famous names",4,IF(J115="famous voices",4,IF(J115="television programs",4,IF(J115="race horses",4,IF(J115="new vocabulary",4,IF(J115="sentences",5,IF(J115="concepts",5,IF(J115="ad slides",5,IF(J115="scenes",5,IF(J115="famous scenes",5,IF(J115="poems",6,IF(J115="walk",6,IF(J115="faces and events",6,IF(J115="events and names",6,IF(J115="flashbulb",7,IF(J115="stories",7,IF(J115="course material",7,IF(J115="autobiographical",7,IF(J115="novels",7,IF(J115="public events",7,"99"))))))))))))))))))))))))))))))))))))))))))))))</f>
        <v>7</v>
      </c>
      <c r="M115" s="69">
        <v>0</v>
      </c>
      <c r="N115" s="86">
        <v>3</v>
      </c>
      <c r="O115" s="69">
        <v>0</v>
      </c>
      <c r="P115" s="69"/>
      <c r="Q115" s="69" t="s">
        <v>174</v>
      </c>
      <c r="R115" s="69">
        <f>IF(Q115="Free Recall",1,IF(Q115="Cued Recall",2,IF(Q115="Recognition",3,IF(Q115="Multiple Choice",4,IF(Q115="Savings",5,IF(Q115="Stem Completion",6,IF(Q115="Fragment Completion",7,IF(Q115="anagram solution",8,IF(Q115="Matching",9,IF(Q115="Problem Solving",10,"99"))))))))))</f>
        <v>1</v>
      </c>
      <c r="S115" s="69" t="s">
        <v>49</v>
      </c>
      <c r="T115" s="92" t="s">
        <v>581</v>
      </c>
      <c r="U115" s="69">
        <f>IF(T115="within",1,0)</f>
        <v>1</v>
      </c>
      <c r="V115" s="92">
        <v>100</v>
      </c>
      <c r="W115" s="69">
        <f>F115*V115</f>
        <v>800</v>
      </c>
      <c r="X115" s="69">
        <v>5</v>
      </c>
      <c r="Y115" s="87">
        <f>AV114</f>
        <v>1800</v>
      </c>
      <c r="Z115" s="69" t="s">
        <v>140</v>
      </c>
      <c r="AA115" s="69">
        <f>60*60*24*7*4</f>
        <v>2419200</v>
      </c>
      <c r="AB115" s="69" t="str">
        <f>IF(AA115&lt;60,"1",IF(AA115&lt;=43200,"2",IF(AA115&lt;=777600,"3","4")))</f>
        <v>4</v>
      </c>
      <c r="AC115" s="72">
        <f>AVERAGE(AV114:DA114)</f>
        <v>864360</v>
      </c>
      <c r="AD115" s="69" t="str">
        <f>IF(AC115&lt;60,"1",IF(AC115&lt;=43200,"2",IF(AC115&lt;=777600,"3","4")))</f>
        <v>4</v>
      </c>
      <c r="AE115" s="87">
        <f>AA115-Y115</f>
        <v>2417400</v>
      </c>
      <c r="AF115" s="88">
        <f>AV115</f>
        <v>0.69290777276523996</v>
      </c>
      <c r="AG115" s="72">
        <f>((AW115-AV115)+(AX115-AW115)+(AY115-AX115)+(AZ115-AY115))/4</f>
        <v>-0.14579812441953977</v>
      </c>
      <c r="AH115" s="4"/>
      <c r="AI115" s="72">
        <f>RSQ(AV115:AZ115,AV114:AZ114)</f>
        <v>0.82385463315680851</v>
      </c>
      <c r="AJ115" s="110">
        <f>SLOPE(AV115:AZ115,AV114:AZ114)</f>
        <v>-2.4050688725064167E-7</v>
      </c>
      <c r="AK115" s="72">
        <f>INTERCEPT(AV115:AZ115,AV114:AZ114)</f>
        <v>0.60106508567192218</v>
      </c>
      <c r="AL115" s="72">
        <f>INDEX(LINEST(LN(AV115:AZ115),LN(AV114:AZ114),TRUE,TRUE),3,1)</f>
        <v>0.71676751604264255</v>
      </c>
      <c r="AM115" s="72">
        <f>INDEX(LINEST(LN(AV115:AZ115),LN(AV114:AZ114)),1)</f>
        <v>-0.23360480330926128</v>
      </c>
      <c r="AN115" s="72">
        <f>EXP(INDEX(LINEST(LN(AV115:AZ115),LN(AV114:AZ114)),1,2))</f>
        <v>5.3839294601427516</v>
      </c>
      <c r="AO115" s="89">
        <f>INDEX(LINEST((AV115:AZ115),LN(AV114:AZ114),TRUE,TRUE),3,1)</f>
        <v>0.81727141866027808</v>
      </c>
      <c r="AP115" s="89">
        <f>INDEX(LINEST((AV115:AZ115),LN(AV114:AZ114)),1)</f>
        <v>-8.2207258993542406E-2</v>
      </c>
      <c r="AQ115" s="90">
        <f>INDEX(LINEST(LN(AV115:AZ115),SQRT(AV114:AZ114),TRUE,TRUE),3,1)</f>
        <v>0.97699843241319606</v>
      </c>
      <c r="AR115" s="117">
        <f>INDEX(LINEST(LN(AV115:AZ115),SQRT((AV114:AZ114))),1)</f>
        <v>-1.2987138114729179E-3</v>
      </c>
      <c r="AS115" s="91">
        <f>INDEX(LINEST(1/(AV115:AZ115),1/(SQRT(AV114:AZ114)),TRUE,TRUE),3,1)</f>
        <v>0.28502685854304305</v>
      </c>
      <c r="AT115" s="91">
        <f>INDEX(LINEST(1/(AV115:AZ115),1/SQRT(AV114:AZ114)),1)</f>
        <v>-175.2076316551433</v>
      </c>
      <c r="AU115" s="3"/>
      <c r="AV115" s="95">
        <v>0.69290777276523996</v>
      </c>
      <c r="AW115" s="95">
        <v>0.63717920136448247</v>
      </c>
      <c r="AX115" s="95">
        <v>0.34663873318003502</v>
      </c>
      <c r="AY115" s="95">
        <v>0.17946178064294999</v>
      </c>
      <c r="AZ115" s="73">
        <v>0.10971527508708101</v>
      </c>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BY115" s="53"/>
      <c r="BZ115" s="53"/>
      <c r="CA115" s="53"/>
      <c r="CB115" s="53"/>
      <c r="CC115" s="53"/>
      <c r="CD115" s="53"/>
      <c r="CE115" s="53"/>
      <c r="CF115" s="53"/>
      <c r="CG115" s="53"/>
      <c r="CH115" s="53"/>
      <c r="CI115" s="53"/>
      <c r="CJ115" s="53"/>
      <c r="CK115" s="53"/>
      <c r="CL115" s="53"/>
      <c r="CM115" s="53"/>
      <c r="CN115" s="53"/>
      <c r="CO115" s="53"/>
      <c r="CP115" s="53"/>
      <c r="CQ115" s="53"/>
      <c r="CR115" s="1"/>
      <c r="CS115" s="1"/>
      <c r="CT115" s="1"/>
      <c r="CU115" s="1"/>
    </row>
    <row r="116" spans="1:99" s="13" customFormat="1" ht="12" customHeight="1" x14ac:dyDescent="0.2">
      <c r="A116" s="68">
        <v>43978</v>
      </c>
      <c r="B116" s="70"/>
      <c r="C116" s="70"/>
      <c r="D116" s="69"/>
      <c r="E116" s="87"/>
      <c r="F116" s="69"/>
      <c r="G116" s="69"/>
      <c r="H116" s="69"/>
      <c r="I116" s="69"/>
      <c r="J116" s="69"/>
      <c r="K116" s="69"/>
      <c r="L116" s="69"/>
      <c r="M116" s="69"/>
      <c r="N116" s="86"/>
      <c r="O116" s="69"/>
      <c r="P116" s="69"/>
      <c r="Q116" s="69"/>
      <c r="R116" s="69"/>
      <c r="S116" s="69"/>
      <c r="T116" s="92"/>
      <c r="U116" s="69"/>
      <c r="V116" s="92"/>
      <c r="W116" s="69"/>
      <c r="X116" s="69"/>
      <c r="Y116" s="87"/>
      <c r="Z116" s="92"/>
      <c r="AA116" s="87"/>
      <c r="AB116" s="69"/>
      <c r="AC116" s="72"/>
      <c r="AD116" s="69"/>
      <c r="AE116" s="87"/>
      <c r="AF116" s="88"/>
      <c r="AG116" s="72"/>
      <c r="AH116" s="4"/>
      <c r="AI116" s="72"/>
      <c r="AJ116" s="110"/>
      <c r="AK116" s="72"/>
      <c r="AL116" s="72"/>
      <c r="AM116" s="72"/>
      <c r="AN116" s="72"/>
      <c r="AO116" s="89"/>
      <c r="AP116" s="89"/>
      <c r="AQ116" s="90"/>
      <c r="AR116" s="117"/>
      <c r="AS116" s="91"/>
      <c r="AT116" s="91"/>
      <c r="AU116" s="3"/>
      <c r="AV116" s="96">
        <f>60*30</f>
        <v>1800</v>
      </c>
      <c r="AW116" s="96">
        <f>60*60*24</f>
        <v>86400</v>
      </c>
      <c r="AX116" s="96">
        <f>60*60*24*7</f>
        <v>604800</v>
      </c>
      <c r="AY116" s="96">
        <f>60*60*24*7*2</f>
        <v>1209600</v>
      </c>
      <c r="AZ116" s="96">
        <f>60*60*24*7*4</f>
        <v>2419200</v>
      </c>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53"/>
      <c r="CA116" s="53"/>
      <c r="CB116" s="53"/>
      <c r="CC116" s="53"/>
      <c r="CD116" s="53"/>
      <c r="CE116" s="53"/>
      <c r="CF116" s="53"/>
      <c r="CG116" s="53"/>
      <c r="CH116" s="53"/>
      <c r="CI116" s="53"/>
      <c r="CJ116" s="53"/>
      <c r="CK116" s="53"/>
      <c r="CL116" s="53"/>
      <c r="CM116" s="53"/>
      <c r="CN116" s="53"/>
      <c r="CO116" s="53"/>
      <c r="CP116" s="53"/>
      <c r="CQ116" s="53"/>
      <c r="CR116" s="1"/>
      <c r="CS116" s="1"/>
      <c r="CT116" s="1"/>
      <c r="CU116" s="1"/>
    </row>
    <row r="117" spans="1:99" s="13" customFormat="1" ht="12" customHeight="1" x14ac:dyDescent="0.2">
      <c r="A117" s="68">
        <v>43978</v>
      </c>
      <c r="B117" s="70" t="s">
        <v>967</v>
      </c>
      <c r="C117" s="70" t="s">
        <v>54</v>
      </c>
      <c r="D117" s="69">
        <v>2010</v>
      </c>
      <c r="E117" s="87">
        <v>1</v>
      </c>
      <c r="F117" s="69">
        <v>8</v>
      </c>
      <c r="G117" s="69">
        <v>8</v>
      </c>
      <c r="H117" s="69" t="s">
        <v>43</v>
      </c>
      <c r="I117" s="69" t="s">
        <v>330</v>
      </c>
      <c r="J117" s="69" t="s">
        <v>677</v>
      </c>
      <c r="K117" s="69">
        <f>IF(J117="syllables",1,IF(J117="trigrams",2,IF(J117="strings",3,IF(J117="visual array",4,IF(J117="characters",5,IF(J117="letters",6,IF(J117="free forms",7,IF(J117="odors",8,IF(J117="words",9,IF(J117="pictures",10,IF(J117="object pictures",11,IF(J117="faces",12,IF(J117="names",13,IF(J117="idioms",14,IF(J117="grades",15,IF(J117="syllable-digit pairs",16,IF(J117="trigram-word pairs",17,IF(J117="word-digit pairs",18,IF(J117="English-Swahili pairs",19,IF(J117="spatial position",20,IF(J117="word pairs",21,IF(J117="word triads",22,IF(J117="generated words",23,IF(J117="word definition pairs",24,IF(J117="math problems",25,IF(J117="famous faces",26,IF(J117="famous names",27,IF(J117="famous voices",28,IF(J117="television programs",29,IF(J117="race horses",30,IF(J117="new vocabulary",31,IF(J117="sentences",32,IF(J117="concepts",33,IF(J117="ad slides",34,IF(J117="scenes",35,IF(J117="famous scenes",36,IF(J117="poems",37,IF(J117="walk",38,IF(J117="faces and events",39,IF(J117="events and names",40,IF(J117="flashbulb",41,IF(J117="stories",42,IF(J117="course material",43,IF(J117="autobiographical",44,IF(J117="novels",45,IF(J117="public events",46,"99"))))))))))))))))))))))))))))))))))))))))))))))</f>
        <v>42</v>
      </c>
      <c r="L117" s="69">
        <f>IF(J117="syllables",1,IF(J117="trigrams",1,IF(J117="strings",1,IF(J117="visual array",1,IF(J117="characters",1,IF(J117="letters",1,IF(J117="free forms",1,IF(J117="odors",2,IF(J117="words",2,IF(J117="pictures",2,IF(J117="object pictures",2,IF(J117="faces",2,IF(J117="names",2,IF(J117="idioms","2",IF(J117="grades",2,IF(J117="syllable-digit pairs",3,IF(J117="trigram-word pairs",3,IF(J117="word-digit pairs",3,IF(J117="English-Swahili pairs",3,IF(J117="spatial position",3,IF(J117="word pairs",4,IF(J117="word triads",4,IF(J117="generated words",4,IF(J117="word definition pairs",4,IF(J117="math problems",4,IF(J117="famous faces",4,IF(J117="famous names",4,IF(J117="famous voices",4,IF(J117="television programs",4,IF(J117="race horses",4,IF(J117="new vocabulary",4,IF(J117="sentences",5,IF(J117="concepts",5,IF(J117="ad slides",5,IF(J117="scenes",5,IF(J117="famous scenes",5,IF(J117="poems",6,IF(J117="walk",6,IF(J117="faces and events",6,IF(J117="events and names",6,IF(J117="flashbulb",7,IF(J117="stories",7,IF(J117="course material",7,IF(J117="autobiographical",7,IF(J117="novels",7,IF(J117="public events",7,"99"))))))))))))))))))))))))))))))))))))))))))))))</f>
        <v>7</v>
      </c>
      <c r="M117" s="69">
        <v>0</v>
      </c>
      <c r="N117" s="86">
        <v>3</v>
      </c>
      <c r="O117" s="69">
        <v>0</v>
      </c>
      <c r="P117" s="69"/>
      <c r="Q117" s="69" t="s">
        <v>182</v>
      </c>
      <c r="R117" s="69">
        <f>IF(Q117="Free Recall",1,IF(Q117="Cued Recall",2,IF(Q117="Recognition",3,IF(Q117="Multiple Choice",4,IF(Q117="Savings",5,IF(Q117="Stem Completion",6,IF(Q117="Fragment Completion",7,IF(Q117="anagram solution",8,IF(Q117="Matching",9,IF(Q117="Problem Solving",10,"99"))))))))))</f>
        <v>4</v>
      </c>
      <c r="S117" s="69" t="s">
        <v>15</v>
      </c>
      <c r="T117" s="92" t="s">
        <v>581</v>
      </c>
      <c r="U117" s="69">
        <f>IF(T117="within",1,0)</f>
        <v>1</v>
      </c>
      <c r="V117" s="92">
        <v>60</v>
      </c>
      <c r="W117" s="69">
        <f>F117*V117</f>
        <v>480</v>
      </c>
      <c r="X117" s="69">
        <v>5</v>
      </c>
      <c r="Y117" s="87">
        <f>AV116</f>
        <v>1800</v>
      </c>
      <c r="Z117" s="69" t="s">
        <v>140</v>
      </c>
      <c r="AA117" s="69">
        <f>60*60*24*7*4</f>
        <v>2419200</v>
      </c>
      <c r="AB117" s="69" t="str">
        <f>IF(AA117&lt;60,"1",IF(AA117&lt;=43200,"2",IF(AA117&lt;=777600,"3","4")))</f>
        <v>4</v>
      </c>
      <c r="AC117" s="72">
        <f>AVERAGE(AV116:DA116)</f>
        <v>864360</v>
      </c>
      <c r="AD117" s="69" t="str">
        <f>IF(AC117&lt;60,"1",IF(AC117&lt;=43200,"2",IF(AC117&lt;=777600,"3","4")))</f>
        <v>4</v>
      </c>
      <c r="AE117" s="87">
        <f>AA117-Y117</f>
        <v>2417400</v>
      </c>
      <c r="AF117" s="88">
        <f>AV117</f>
        <v>1</v>
      </c>
      <c r="AG117" s="72">
        <f>((AW117-AV117)+(AX117-AW117)+(AY117-AX117)+(AZ117-AY117))/4</f>
        <v>-9.6049783549783746E-2</v>
      </c>
      <c r="AH117" s="4"/>
      <c r="AI117" s="72">
        <f>RSQ(AV117:AZ117,AV116:AZ116)</f>
        <v>0.92338458603030005</v>
      </c>
      <c r="AJ117" s="110">
        <f>SLOPE(AV117:AZ117,AV116:AZ116)</f>
        <v>-1.583930504747049E-7</v>
      </c>
      <c r="AK117" s="72">
        <f>INTERCEPT(AV117:AZ117,AV116:AZ116)</f>
        <v>0.96194469214438827</v>
      </c>
      <c r="AL117" s="72">
        <f>INDEX(LINEST(LN(AV117:AZ117),LN(AV116:AZ116),TRUE,TRUE),3,1)</f>
        <v>0.70063300002171425</v>
      </c>
      <c r="AM117" s="72">
        <f>INDEX(LINEST(LN(AV117:AZ117),LN(AV116:AZ116)),1)</f>
        <v>-5.9748803239064709E-2</v>
      </c>
      <c r="AN117" s="72">
        <f>EXP(INDEX(LINEST(LN(AV117:AZ117),LN(AV116:AZ116)),1,2))</f>
        <v>1.6795285636145603</v>
      </c>
      <c r="AO117" s="89">
        <f>INDEX(LINEST((AV117:AZ117),LN(AV116:AZ116),TRUE,TRUE),3,1)</f>
        <v>0.7416958165877493</v>
      </c>
      <c r="AP117" s="89">
        <f>INDEX(LINEST((AV117:AZ117),LN(AV116:AZ116)),1)</f>
        <v>-4.871722208643095E-2</v>
      </c>
      <c r="AQ117" s="90">
        <f>INDEX(LINEST(LN(AV117:AZ117),SQRT(AV116:AZ116),TRUE,TRUE),3,1)</f>
        <v>0.95707358315765789</v>
      </c>
      <c r="AR117" s="117">
        <f>INDEX(LINEST(LN(AV117:AZ117),SQRT((AV116:AZ116))),1)</f>
        <v>-3.3252974228787638E-4</v>
      </c>
      <c r="AS117" s="91">
        <f>INDEX(LINEST(1/(AV117:AZ117),1/(SQRT(AV116:AZ116)),TRUE,TRUE),3,1)</f>
        <v>0.36752245524422511</v>
      </c>
      <c r="AT117" s="91">
        <f>INDEX(LINEST(1/(AV117:AZ117),1/SQRT(AV116:AZ116)),1)</f>
        <v>-16.284731214684022</v>
      </c>
      <c r="AU117" s="3"/>
      <c r="AV117" s="95">
        <v>1</v>
      </c>
      <c r="AW117" s="95">
        <v>0.9476911976911917</v>
      </c>
      <c r="AX117" s="95">
        <v>0.86471861471860834</v>
      </c>
      <c r="AY117" s="95">
        <v>0.69696969696969668</v>
      </c>
      <c r="AZ117" s="73">
        <v>0.61580086580086502</v>
      </c>
      <c r="BA117" s="53"/>
      <c r="BB117" s="53"/>
      <c r="BC117" s="53"/>
      <c r="BD117" s="53"/>
      <c r="BE117" s="53"/>
      <c r="BF117" s="53"/>
      <c r="BG117" s="53"/>
      <c r="BH117" s="53"/>
      <c r="BI117" s="53"/>
      <c r="BJ117" s="53"/>
      <c r="BK117" s="53"/>
      <c r="BL117" s="53"/>
      <c r="BM117" s="53"/>
      <c r="BN117" s="53"/>
      <c r="BO117" s="53"/>
      <c r="BP117" s="53"/>
      <c r="BQ117" s="53"/>
      <c r="BR117" s="53"/>
      <c r="BS117" s="53"/>
      <c r="BT117" s="53"/>
      <c r="BU117" s="53"/>
      <c r="BV117" s="53"/>
      <c r="BW117" s="53"/>
      <c r="BX117" s="53"/>
      <c r="BY117" s="53"/>
      <c r="BZ117" s="53"/>
      <c r="CA117" s="53"/>
      <c r="CB117" s="53"/>
      <c r="CC117" s="53"/>
      <c r="CD117" s="53"/>
      <c r="CE117" s="53"/>
      <c r="CF117" s="53"/>
      <c r="CG117" s="53"/>
      <c r="CH117" s="53"/>
      <c r="CI117" s="53"/>
      <c r="CJ117" s="53"/>
      <c r="CK117" s="53"/>
      <c r="CL117" s="53"/>
      <c r="CM117" s="53"/>
      <c r="CN117" s="53"/>
      <c r="CO117" s="53"/>
      <c r="CP117" s="53"/>
      <c r="CQ117" s="53"/>
      <c r="CR117" s="1"/>
      <c r="CS117" s="1"/>
      <c r="CT117" s="1"/>
      <c r="CU117" s="1"/>
    </row>
    <row r="118" spans="1:99" s="13" customFormat="1" ht="12" customHeight="1" x14ac:dyDescent="0.2">
      <c r="A118" s="68">
        <v>43978</v>
      </c>
      <c r="B118" s="70"/>
      <c r="C118" s="70"/>
      <c r="D118" s="69"/>
      <c r="E118" s="87"/>
      <c r="F118" s="69"/>
      <c r="G118" s="69"/>
      <c r="H118" s="69"/>
      <c r="I118" s="69"/>
      <c r="J118" s="69"/>
      <c r="K118" s="69"/>
      <c r="L118" s="69"/>
      <c r="M118" s="69"/>
      <c r="N118" s="86"/>
      <c r="O118" s="69"/>
      <c r="P118" s="69"/>
      <c r="Q118" s="69"/>
      <c r="R118" s="69"/>
      <c r="S118" s="69"/>
      <c r="T118" s="92"/>
      <c r="U118" s="69"/>
      <c r="V118" s="92"/>
      <c r="W118" s="69"/>
      <c r="X118" s="69"/>
      <c r="Y118" s="87"/>
      <c r="Z118" s="92"/>
      <c r="AA118" s="87"/>
      <c r="AB118" s="69"/>
      <c r="AC118" s="72"/>
      <c r="AD118" s="69"/>
      <c r="AE118" s="87"/>
      <c r="AF118" s="88"/>
      <c r="AG118" s="72"/>
      <c r="AH118" s="4"/>
      <c r="AI118" s="72"/>
      <c r="AJ118" s="110"/>
      <c r="AK118" s="72"/>
      <c r="AL118" s="72"/>
      <c r="AM118" s="72"/>
      <c r="AN118" s="72"/>
      <c r="AO118" s="89"/>
      <c r="AP118" s="89"/>
      <c r="AQ118" s="90"/>
      <c r="AR118" s="117"/>
      <c r="AS118" s="91"/>
      <c r="AT118" s="91"/>
      <c r="AU118" s="3"/>
      <c r="AV118" s="96">
        <v>30</v>
      </c>
      <c r="AW118" s="96">
        <f>60*30</f>
        <v>1800</v>
      </c>
      <c r="AX118" s="96">
        <f>60*60*24</f>
        <v>86400</v>
      </c>
      <c r="AY118" s="96">
        <f>60*60*24*7</f>
        <v>604800</v>
      </c>
      <c r="AZ118" s="96">
        <f>60*60*24*7*4</f>
        <v>2419200</v>
      </c>
      <c r="BA118" s="53"/>
      <c r="BB118" s="11" t="s">
        <v>947</v>
      </c>
      <c r="BC118" s="53"/>
      <c r="BD118" s="53"/>
      <c r="BE118" s="53"/>
      <c r="BF118" s="53"/>
      <c r="BG118" s="53"/>
      <c r="BH118" s="53"/>
      <c r="BI118" s="53"/>
      <c r="BJ118" s="53"/>
      <c r="BK118" s="53"/>
      <c r="BL118" s="53"/>
      <c r="BM118" s="53"/>
      <c r="BN118" s="53"/>
      <c r="BO118" s="53"/>
      <c r="BP118" s="53"/>
      <c r="BQ118" s="53"/>
      <c r="BR118" s="53"/>
      <c r="BS118" s="53"/>
      <c r="BT118" s="53"/>
      <c r="BU118" s="53"/>
      <c r="BV118" s="53"/>
      <c r="BW118" s="53"/>
      <c r="BX118" s="53"/>
      <c r="BY118" s="53"/>
      <c r="BZ118" s="53"/>
      <c r="CA118" s="53"/>
      <c r="CB118" s="53"/>
      <c r="CC118" s="53"/>
      <c r="CD118" s="53"/>
      <c r="CE118" s="53"/>
      <c r="CF118" s="53"/>
      <c r="CG118" s="53"/>
      <c r="CH118" s="53"/>
      <c r="CI118" s="53"/>
      <c r="CJ118" s="53"/>
      <c r="CK118" s="53"/>
      <c r="CL118" s="53"/>
      <c r="CM118" s="53"/>
      <c r="CN118" s="53"/>
      <c r="CO118" s="53"/>
      <c r="CP118" s="53"/>
      <c r="CQ118" s="53"/>
      <c r="CR118" s="1"/>
      <c r="CS118" s="1"/>
      <c r="CT118" s="1"/>
      <c r="CU118" s="1"/>
    </row>
    <row r="119" spans="1:99" s="13" customFormat="1" ht="12" customHeight="1" x14ac:dyDescent="0.2">
      <c r="A119" s="68">
        <v>43978</v>
      </c>
      <c r="B119" s="70" t="s">
        <v>967</v>
      </c>
      <c r="C119" s="70" t="s">
        <v>54</v>
      </c>
      <c r="D119" s="69">
        <v>2010</v>
      </c>
      <c r="E119" s="87">
        <v>2</v>
      </c>
      <c r="F119" s="69">
        <v>6</v>
      </c>
      <c r="G119" s="69">
        <v>6</v>
      </c>
      <c r="H119" s="69" t="s">
        <v>17</v>
      </c>
      <c r="I119" s="69" t="s">
        <v>330</v>
      </c>
      <c r="J119" s="69" t="s">
        <v>677</v>
      </c>
      <c r="K119" s="69">
        <f>IF(J119="syllables",1,IF(J119="trigrams",2,IF(J119="strings",3,IF(J119="visual array",4,IF(J119="characters",5,IF(J119="letters",6,IF(J119="free forms",7,IF(J119="odors",8,IF(J119="words",9,IF(J119="pictures",10,IF(J119="object pictures",11,IF(J119="faces",12,IF(J119="names",13,IF(J119="idioms",14,IF(J119="grades",15,IF(J119="syllable-digit pairs",16,IF(J119="trigram-word pairs",17,IF(J119="word-digit pairs",18,IF(J119="English-Swahili pairs",19,IF(J119="spatial position",20,IF(J119="word pairs",21,IF(J119="word triads",22,IF(J119="generated words",23,IF(J119="word definition pairs",24,IF(J119="math problems",25,IF(J119="famous faces",26,IF(J119="famous names",27,IF(J119="famous voices",28,IF(J119="television programs",29,IF(J119="race horses",30,IF(J119="new vocabulary",31,IF(J119="sentences",32,IF(J119="concepts",33,IF(J119="ad slides",34,IF(J119="scenes",35,IF(J119="famous scenes",36,IF(J119="poems",37,IF(J119="walk",38,IF(J119="faces and events",39,IF(J119="events and names",40,IF(J119="flashbulb",41,IF(J119="stories",42,IF(J119="course material",43,IF(J119="autobiographical",44,IF(J119="novels",45,IF(J119="public events",46,"99"))))))))))))))))))))))))))))))))))))))))))))))</f>
        <v>42</v>
      </c>
      <c r="L119" s="69">
        <f>IF(J119="syllables",1,IF(J119="trigrams",1,IF(J119="strings",1,IF(J119="visual array",1,IF(J119="characters",1,IF(J119="letters",1,IF(J119="free forms",1,IF(J119="odors",2,IF(J119="words",2,IF(J119="pictures",2,IF(J119="object pictures",2,IF(J119="faces",2,IF(J119="names",2,IF(J119="idioms","2",IF(J119="grades",2,IF(J119="syllable-digit pairs",3,IF(J119="trigram-word pairs",3,IF(J119="word-digit pairs",3,IF(J119="English-Swahili pairs",3,IF(J119="spatial position",3,IF(J119="word pairs",4,IF(J119="word triads",4,IF(J119="generated words",4,IF(J119="word definition pairs",4,IF(J119="math problems",4,IF(J119="famous faces",4,IF(J119="famous names",4,IF(J119="famous voices",4,IF(J119="television programs",4,IF(J119="race horses",4,IF(J119="new vocabulary",4,IF(J119="sentences",5,IF(J119="concepts",5,IF(J119="ad slides",5,IF(J119="scenes",5,IF(J119="famous scenes",5,IF(J119="poems",6,IF(J119="walk",6,IF(J119="faces and events",6,IF(J119="events and names",6,IF(J119="flashbulb",7,IF(J119="stories",7,IF(J119="course material",7,IF(J119="autobiographical",7,IF(J119="novels",7,IF(J119="public events",7,"99"))))))))))))))))))))))))))))))))))))))))))))))</f>
        <v>7</v>
      </c>
      <c r="M119" s="69">
        <v>0</v>
      </c>
      <c r="N119" s="86">
        <v>3</v>
      </c>
      <c r="O119" s="69">
        <v>0</v>
      </c>
      <c r="P119" s="69"/>
      <c r="Q119" s="69" t="s">
        <v>174</v>
      </c>
      <c r="R119" s="69">
        <f>IF(Q119="Free Recall",1,IF(Q119="Cued Recall",2,IF(Q119="Recognition",3,IF(Q119="Multiple Choice",4,IF(Q119="Savings",5,IF(Q119="Stem Completion",6,IF(Q119="Fragment Completion",7,IF(Q119="anagram solution",8,IF(Q119="Matching",9,IF(Q119="Problem Solving",10,"99"))))))))))</f>
        <v>1</v>
      </c>
      <c r="S119" s="69" t="s">
        <v>49</v>
      </c>
      <c r="T119" s="92" t="s">
        <v>581</v>
      </c>
      <c r="U119" s="69">
        <f>IF(T119="within",1,0)</f>
        <v>1</v>
      </c>
      <c r="V119" s="92">
        <v>100</v>
      </c>
      <c r="W119" s="69">
        <f>F119*V119</f>
        <v>600</v>
      </c>
      <c r="X119" s="69">
        <v>5</v>
      </c>
      <c r="Y119" s="87">
        <f>AV118</f>
        <v>30</v>
      </c>
      <c r="Z119" s="69" t="s">
        <v>140</v>
      </c>
      <c r="AA119" s="69">
        <f>60*60*24*7*4</f>
        <v>2419200</v>
      </c>
      <c r="AB119" s="69" t="str">
        <f>IF(AA119&lt;60,"1",IF(AA119&lt;=43200,"2",IF(AA119&lt;=777600,"3","4")))</f>
        <v>4</v>
      </c>
      <c r="AC119" s="72">
        <f>AVERAGE(AV118:DA118)</f>
        <v>622446</v>
      </c>
      <c r="AD119" s="69" t="str">
        <f>IF(AC119&lt;60,"1",IF(AC119&lt;=43200,"2",IF(AC119&lt;=777600,"3","4")))</f>
        <v>3</v>
      </c>
      <c r="AE119" s="87">
        <f>AA119-Y119</f>
        <v>2419170</v>
      </c>
      <c r="AF119" s="88">
        <f>AV119</f>
        <v>0.86427919708029</v>
      </c>
      <c r="AG119" s="72">
        <f>((AW119-AV119)+(AX119-AW119)+(AY119-AX119)+(AZ119-AY119))/4</f>
        <v>-0.15787522810218918</v>
      </c>
      <c r="AH119" s="4"/>
      <c r="AI119" s="72">
        <f>RSQ(AV119:AZ119,AV118:AZ118)</f>
        <v>0.7805368808605565</v>
      </c>
      <c r="AJ119" s="110">
        <f>SLOPE(AV119:AZ119,AV118:AZ118)</f>
        <v>-2.2337629377032454E-7</v>
      </c>
      <c r="AK119" s="72">
        <f>INTERCEPT(AV119:AZ119,AV118:AZ118)</f>
        <v>0.72549041047917007</v>
      </c>
      <c r="AL119" s="72">
        <f>INDEX(LINEST(LN(AV119:AZ119),LN(AV118:AZ118),TRUE,TRUE),3,1)</f>
        <v>0.74817148307312331</v>
      </c>
      <c r="AM119" s="72">
        <f>INDEX(LINEST(LN(AV119:AZ119),LN(AV118:AZ118)),1)</f>
        <v>-0.10180611561737737</v>
      </c>
      <c r="AN119" s="72">
        <f>EXP(INDEX(LINEST(LN(AV119:AZ119),LN(AV118:AZ118)),1,2))</f>
        <v>1.4726490539837489</v>
      </c>
      <c r="AO119" s="89">
        <f>INDEX(LINEST((AV119:AZ119),LN(AV118:AZ118),TRUE,TRUE),3,1)</f>
        <v>0.85804872842697533</v>
      </c>
      <c r="AP119" s="89">
        <f>INDEX(LINEST((AV119:AZ119),LN(AV118:AZ118)),1)</f>
        <v>-5.2692927792355668E-2</v>
      </c>
      <c r="AQ119" s="90">
        <f>INDEX(LINEST(LN(AV119:AZ119),SQRT(AV118:AZ118),TRUE,TRUE),3,1)</f>
        <v>0.99310549068712317</v>
      </c>
      <c r="AR119" s="117">
        <f>INDEX(LINEST(LN(AV119:AZ119),SQRT((AV118:AZ118))),1)</f>
        <v>-8.3264907917431161E-4</v>
      </c>
      <c r="AS119" s="91">
        <f>INDEX(LINEST(1/(AV119:AZ119),1/(SQRT(AV118:AZ118)),TRUE,TRUE),3,1)</f>
        <v>0.23778181025826914</v>
      </c>
      <c r="AT119" s="91">
        <f>INDEX(LINEST(1/(AV119:AZ119),1/SQRT(AV118:AZ118)),1)</f>
        <v>-8.0540841792942253</v>
      </c>
      <c r="AU119" s="3"/>
      <c r="AV119" s="95">
        <v>0.86427919708029</v>
      </c>
      <c r="AW119" s="95">
        <v>0.77326642335766249</v>
      </c>
      <c r="AX119" s="95">
        <v>0.65510948905109501</v>
      </c>
      <c r="AY119" s="95">
        <v>0.40682025547445255</v>
      </c>
      <c r="AZ119" s="73">
        <v>0.23277828467153325</v>
      </c>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53"/>
      <c r="CD119" s="53"/>
      <c r="CE119" s="53"/>
      <c r="CF119" s="53"/>
      <c r="CG119" s="53"/>
      <c r="CH119" s="53"/>
      <c r="CI119" s="53"/>
      <c r="CJ119" s="53"/>
      <c r="CK119" s="53"/>
      <c r="CL119" s="53"/>
      <c r="CM119" s="53"/>
      <c r="CN119" s="53"/>
      <c r="CO119" s="53"/>
      <c r="CP119" s="53"/>
      <c r="CQ119" s="53"/>
      <c r="CR119" s="1"/>
      <c r="CS119" s="1"/>
      <c r="CT119" s="1"/>
      <c r="CU119" s="1"/>
    </row>
    <row r="120" spans="1:99" s="13" customFormat="1" ht="12" customHeight="1" x14ac:dyDescent="0.2">
      <c r="A120" s="68">
        <v>43978</v>
      </c>
      <c r="B120" s="70"/>
      <c r="C120" s="70"/>
      <c r="D120" s="69"/>
      <c r="E120" s="87"/>
      <c r="F120" s="69"/>
      <c r="G120" s="69"/>
      <c r="H120" s="69"/>
      <c r="I120" s="69"/>
      <c r="J120" s="69"/>
      <c r="K120" s="69"/>
      <c r="L120" s="69"/>
      <c r="M120" s="69"/>
      <c r="N120" s="86"/>
      <c r="O120" s="69"/>
      <c r="P120" s="69"/>
      <c r="Q120" s="69"/>
      <c r="R120" s="69"/>
      <c r="S120" s="69"/>
      <c r="T120" s="92"/>
      <c r="U120" s="69"/>
      <c r="V120" s="92"/>
      <c r="W120" s="69"/>
      <c r="X120" s="69"/>
      <c r="Y120" s="87"/>
      <c r="Z120" s="92"/>
      <c r="AA120" s="87"/>
      <c r="AB120" s="69"/>
      <c r="AC120" s="72"/>
      <c r="AD120" s="69"/>
      <c r="AE120" s="87"/>
      <c r="AF120" s="88"/>
      <c r="AG120" s="72"/>
      <c r="AH120" s="4"/>
      <c r="AI120" s="72"/>
      <c r="AJ120" s="110"/>
      <c r="AK120" s="72"/>
      <c r="AL120" s="72"/>
      <c r="AM120" s="72"/>
      <c r="AN120" s="72"/>
      <c r="AO120" s="89"/>
      <c r="AP120" s="89"/>
      <c r="AQ120" s="90"/>
      <c r="AR120" s="117"/>
      <c r="AS120" s="91"/>
      <c r="AT120" s="91"/>
      <c r="AU120" s="3"/>
      <c r="AV120" s="96">
        <f>60*30</f>
        <v>1800</v>
      </c>
      <c r="AW120" s="96">
        <f>60*60*24</f>
        <v>86400</v>
      </c>
      <c r="AX120" s="96">
        <f>60*60*24*7</f>
        <v>604800</v>
      </c>
      <c r="AY120" s="96">
        <f>60*60*24*7*4</f>
        <v>2419200</v>
      </c>
      <c r="AZ120" s="96"/>
      <c r="BA120" s="53"/>
      <c r="BB120" s="53"/>
      <c r="BC120" s="53"/>
      <c r="BD120" s="53"/>
      <c r="BE120" s="53"/>
      <c r="BF120" s="53"/>
      <c r="BG120" s="53"/>
      <c r="BH120" s="53"/>
      <c r="BI120" s="53"/>
      <c r="BJ120" s="53"/>
      <c r="BK120" s="53"/>
      <c r="BL120" s="53"/>
      <c r="BM120" s="53"/>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53"/>
      <c r="CR120" s="1"/>
      <c r="CS120" s="1"/>
      <c r="CT120" s="1"/>
      <c r="CU120" s="1"/>
    </row>
    <row r="121" spans="1:99" s="13" customFormat="1" ht="12" customHeight="1" x14ac:dyDescent="0.2">
      <c r="A121" s="68">
        <v>43978</v>
      </c>
      <c r="B121" s="70" t="s">
        <v>967</v>
      </c>
      <c r="C121" s="70" t="s">
        <v>54</v>
      </c>
      <c r="D121" s="69">
        <v>2010</v>
      </c>
      <c r="E121" s="87">
        <v>2</v>
      </c>
      <c r="F121" s="69">
        <v>6</v>
      </c>
      <c r="G121" s="69">
        <v>6</v>
      </c>
      <c r="H121" s="69" t="s">
        <v>341</v>
      </c>
      <c r="I121" s="69" t="s">
        <v>330</v>
      </c>
      <c r="J121" s="69" t="s">
        <v>677</v>
      </c>
      <c r="K121" s="69">
        <f>IF(J121="syllables",1,IF(J121="trigrams",2,IF(J121="strings",3,IF(J121="visual array",4,IF(J121="characters",5,IF(J121="letters",6,IF(J121="free forms",7,IF(J121="odors",8,IF(J121="words",9,IF(J121="pictures",10,IF(J121="object pictures",11,IF(J121="faces",12,IF(J121="names",13,IF(J121="idioms",14,IF(J121="grades",15,IF(J121="syllable-digit pairs",16,IF(J121="trigram-word pairs",17,IF(J121="word-digit pairs",18,IF(J121="English-Swahili pairs",19,IF(J121="spatial position",20,IF(J121="word pairs",21,IF(J121="word triads",22,IF(J121="generated words",23,IF(J121="word definition pairs",24,IF(J121="math problems",25,IF(J121="famous faces",26,IF(J121="famous names",27,IF(J121="famous voices",28,IF(J121="television programs",29,IF(J121="race horses",30,IF(J121="new vocabulary",31,IF(J121="sentences",32,IF(J121="concepts",33,IF(J121="ad slides",34,IF(J121="scenes",35,IF(J121="famous scenes",36,IF(J121="poems",37,IF(J121="walk",38,IF(J121="faces and events",39,IF(J121="events and names",40,IF(J121="flashbulb",41,IF(J121="stories",42,IF(J121="course material",43,IF(J121="autobiographical",44,IF(J121="novels",45,IF(J121="public events",46,"99"))))))))))))))))))))))))))))))))))))))))))))))</f>
        <v>42</v>
      </c>
      <c r="L121" s="69">
        <f>IF(J121="syllables",1,IF(J121="trigrams",1,IF(J121="strings",1,IF(J121="visual array",1,IF(J121="characters",1,IF(J121="letters",1,IF(J121="free forms",1,IF(J121="odors",2,IF(J121="words",2,IF(J121="pictures",2,IF(J121="object pictures",2,IF(J121="faces",2,IF(J121="names",2,IF(J121="idioms","2",IF(J121="grades",2,IF(J121="syllable-digit pairs",3,IF(J121="trigram-word pairs",3,IF(J121="word-digit pairs",3,IF(J121="English-Swahili pairs",3,IF(J121="spatial position",3,IF(J121="word pairs",4,IF(J121="word triads",4,IF(J121="generated words",4,IF(J121="word definition pairs",4,IF(J121="math problems",4,IF(J121="famous faces",4,IF(J121="famous names",4,IF(J121="famous voices",4,IF(J121="television programs",4,IF(J121="race horses",4,IF(J121="new vocabulary",4,IF(J121="sentences",5,IF(J121="concepts",5,IF(J121="ad slides",5,IF(J121="scenes",5,IF(J121="famous scenes",5,IF(J121="poems",6,IF(J121="walk",6,IF(J121="faces and events",6,IF(J121="events and names",6,IF(J121="flashbulb",7,IF(J121="stories",7,IF(J121="course material",7,IF(J121="autobiographical",7,IF(J121="novels",7,IF(J121="public events",7,"99"))))))))))))))))))))))))))))))))))))))))))))))</f>
        <v>7</v>
      </c>
      <c r="M121" s="69">
        <v>0</v>
      </c>
      <c r="N121" s="86">
        <v>3</v>
      </c>
      <c r="O121" s="69">
        <v>0</v>
      </c>
      <c r="P121" s="69"/>
      <c r="Q121" s="69" t="s">
        <v>182</v>
      </c>
      <c r="R121" s="69">
        <f>IF(Q121="Free Recall",1,IF(Q121="Cued Recall",2,IF(Q121="Recognition",3,IF(Q121="Multiple Choice",4,IF(Q121="Savings",5,IF(Q121="Stem Completion",6,IF(Q121="Fragment Completion",7,IF(Q121="anagram solution",8,IF(Q121="Matching",9,IF(Q121="Problem Solving",10,"99"))))))))))</f>
        <v>4</v>
      </c>
      <c r="S121" s="69" t="s">
        <v>15</v>
      </c>
      <c r="T121" s="92" t="s">
        <v>581</v>
      </c>
      <c r="U121" s="69">
        <f>IF(T121="within",1,0)</f>
        <v>1</v>
      </c>
      <c r="V121" s="92">
        <v>60</v>
      </c>
      <c r="W121" s="69">
        <f>F121*V121</f>
        <v>360</v>
      </c>
      <c r="X121" s="69">
        <v>4</v>
      </c>
      <c r="Y121" s="87">
        <f>AV120</f>
        <v>1800</v>
      </c>
      <c r="Z121" s="69" t="s">
        <v>140</v>
      </c>
      <c r="AA121" s="69">
        <f>60*60*24*7*4</f>
        <v>2419200</v>
      </c>
      <c r="AB121" s="69" t="str">
        <f>IF(AA121&lt;60,"1",IF(AA121&lt;=43200,"2",IF(AA121&lt;=777600,"3","4")))</f>
        <v>4</v>
      </c>
      <c r="AC121" s="72">
        <f>AVERAGE(AV120:DA120)</f>
        <v>778050</v>
      </c>
      <c r="AD121" s="69" t="str">
        <f>IF(AC121&lt;60,"1",IF(AC121&lt;=43200,"2",IF(AC121&lt;=777600,"3","4")))</f>
        <v>4</v>
      </c>
      <c r="AE121" s="87">
        <f>AA121-Y121</f>
        <v>2417400</v>
      </c>
      <c r="AF121" s="88">
        <f>AV121</f>
        <v>0.90253411306042508</v>
      </c>
      <c r="AG121" s="72">
        <f>((AW121-AV121)+(AX121-AW121)+(AY121-AX121))/3</f>
        <v>-6.4435780810048637E-2</v>
      </c>
      <c r="AH121" s="4"/>
      <c r="AI121" s="72">
        <f>RSQ(AV121:AY121,AV120:AY120)</f>
        <v>0.84279284444656577</v>
      </c>
      <c r="AJ121" s="110">
        <f>SLOPE(AV121:AY121,AV120:AY120)</f>
        <v>-9.2317218240727427E-8</v>
      </c>
      <c r="AK121" s="72">
        <f>INTERCEPT(AV121:AY121,AV120:AY120)</f>
        <v>0.92278582620710159</v>
      </c>
      <c r="AL121" s="72">
        <f>INDEX(LINEST(LN(AV121:AY121),LN(AV120:AY120),TRUE,TRUE),3,1)</f>
        <v>0.49319656352748104</v>
      </c>
      <c r="AM121" s="72">
        <f>INDEX(LINEST(LN(AV121:AY121),LN(AV120:AY120)),1)</f>
        <v>-3.0566825183116993E-2</v>
      </c>
      <c r="AN121" s="72">
        <f>EXP(INDEX(LINEST(LN(AV121:AY121),LN(AV120:AY120)),1,2))</f>
        <v>1.2091957695632403</v>
      </c>
      <c r="AO121" s="89">
        <f>INDEX(LINEST((AV121:AY121),LN(AV120:AY120),TRUE,TRUE),3,1)</f>
        <v>0.47507217279366926</v>
      </c>
      <c r="AP121" s="89">
        <f>INDEX(LINEST((AV121:AY121),LN(AV120:AY120)),1)</f>
        <v>-2.4940454015267403E-2</v>
      </c>
      <c r="AQ121" s="90">
        <f>INDEX(LINEST(LN(AV121:AY121),SQRT(AV120:AY120),TRUE,TRUE),3,1)</f>
        <v>0.86074966965334221</v>
      </c>
      <c r="AR121" s="117">
        <f>INDEX(LINEST(LN(AV121:AY121),SQRT((AV120:AY120))),1)</f>
        <v>-1.8974493219686773E-4</v>
      </c>
      <c r="AS121" s="91">
        <f>INDEX(LINEST(1/(AV121:AY121),1/(SQRT(AV120:AY120)),TRUE,TRUE),3,1)</f>
        <v>0.18638893798785794</v>
      </c>
      <c r="AT121" s="91">
        <f>INDEX(LINEST(1/(AV121:AY121),1/SQRT(AV120:AY120)),1)</f>
        <v>-6.517214132517295</v>
      </c>
      <c r="AU121" s="3"/>
      <c r="AV121" s="95">
        <v>0.90253411306042508</v>
      </c>
      <c r="AW121" s="95">
        <v>0.97238466536711676</v>
      </c>
      <c r="AX121" s="95">
        <v>0.81968810916179324</v>
      </c>
      <c r="AY121" s="95">
        <v>0.70922677063027917</v>
      </c>
      <c r="AZ121" s="7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c r="CO121" s="53"/>
      <c r="CP121" s="53"/>
      <c r="CQ121" s="53"/>
      <c r="CR121" s="1"/>
      <c r="CS121" s="1"/>
      <c r="CT121" s="1"/>
      <c r="CU121" s="1"/>
    </row>
    <row r="122" spans="1:99" ht="12" customHeight="1" x14ac:dyDescent="0.2">
      <c r="A122" s="68">
        <v>43509</v>
      </c>
      <c r="B122" s="94"/>
      <c r="C122" s="94"/>
      <c r="D122" s="92"/>
      <c r="E122" s="105"/>
      <c r="F122" s="92"/>
      <c r="G122" s="92"/>
      <c r="H122" s="92"/>
      <c r="I122" s="92"/>
      <c r="J122" s="92"/>
      <c r="K122" s="107"/>
      <c r="L122" s="107"/>
      <c r="M122" s="92"/>
      <c r="N122" s="92"/>
      <c r="O122" s="92"/>
      <c r="P122" s="92"/>
      <c r="Q122" s="92"/>
      <c r="R122" s="69"/>
      <c r="S122" s="69"/>
      <c r="T122" s="92"/>
      <c r="U122" s="60"/>
      <c r="V122" s="92"/>
      <c r="W122" s="69"/>
      <c r="X122" s="92"/>
      <c r="Y122" s="87"/>
      <c r="Z122" s="92"/>
      <c r="AA122" s="92"/>
      <c r="AB122" s="69"/>
      <c r="AC122" s="69"/>
      <c r="AD122" s="69"/>
      <c r="AE122" s="69"/>
      <c r="AF122" s="88"/>
      <c r="AG122" s="72"/>
      <c r="AH122" s="4"/>
      <c r="AI122" s="119"/>
      <c r="AJ122" s="120"/>
      <c r="AK122" s="119"/>
      <c r="AL122" s="119"/>
      <c r="AM122" s="119"/>
      <c r="AN122" s="108"/>
      <c r="AO122" s="108"/>
      <c r="AP122" s="108"/>
      <c r="AQ122" s="108"/>
      <c r="AR122" s="113"/>
      <c r="AS122" s="108"/>
      <c r="AT122" s="108"/>
      <c r="AU122" s="4"/>
      <c r="AV122" s="122">
        <f>10*60</f>
        <v>600</v>
      </c>
      <c r="AW122" s="98">
        <f>24*3600</f>
        <v>86400</v>
      </c>
      <c r="AX122" s="122">
        <f>7*24*3600</f>
        <v>604800</v>
      </c>
      <c r="AY122" s="122">
        <f>30*24*3600</f>
        <v>2592000</v>
      </c>
      <c r="AZ122" s="11" t="s">
        <v>516</v>
      </c>
      <c r="BA122" s="11"/>
      <c r="BB122" s="11"/>
      <c r="BC122" s="11"/>
      <c r="BD122" s="11"/>
      <c r="BE122" s="11"/>
      <c r="BF122" s="11"/>
      <c r="BG122" s="11"/>
      <c r="BH122" s="11"/>
      <c r="BI122" s="11"/>
      <c r="BJ122" s="11"/>
      <c r="BK122" s="11"/>
      <c r="BL122" s="11"/>
      <c r="BM122" s="11"/>
      <c r="BN122" s="11"/>
      <c r="BO122" s="11"/>
      <c r="BP122" s="11"/>
      <c r="BQ122" s="11"/>
      <c r="BR122" s="11"/>
      <c r="BS122" s="11"/>
      <c r="BT122" s="11"/>
      <c r="BU122" s="11"/>
      <c r="BV122" s="11"/>
      <c r="BW122" s="11"/>
      <c r="BX122" s="11"/>
      <c r="BY122" s="11"/>
      <c r="BZ122" s="11"/>
      <c r="CA122" s="11"/>
      <c r="CB122" s="11"/>
      <c r="CC122" s="11"/>
      <c r="CD122" s="11"/>
      <c r="CE122" s="11"/>
      <c r="CF122" s="11"/>
      <c r="CG122" s="11"/>
      <c r="CH122" s="11"/>
      <c r="CI122" s="11"/>
      <c r="CJ122" s="11"/>
      <c r="CK122" s="11"/>
      <c r="CL122" s="11"/>
      <c r="CM122" s="11"/>
      <c r="CN122" s="11"/>
      <c r="CO122" s="11"/>
      <c r="CP122" s="11"/>
      <c r="CQ122" s="11"/>
      <c r="CR122" s="15"/>
      <c r="CS122" s="15"/>
      <c r="CT122" s="15"/>
      <c r="CU122" s="15"/>
    </row>
    <row r="123" spans="1:99" ht="12" customHeight="1" x14ac:dyDescent="0.2">
      <c r="A123" s="68">
        <v>43509</v>
      </c>
      <c r="B123" s="94" t="s">
        <v>287</v>
      </c>
      <c r="C123" s="94" t="s">
        <v>70</v>
      </c>
      <c r="D123" s="92">
        <v>2008</v>
      </c>
      <c r="E123" s="105">
        <v>1</v>
      </c>
      <c r="F123" s="92">
        <v>128</v>
      </c>
      <c r="G123" s="92">
        <v>32</v>
      </c>
      <c r="H123" s="92" t="s">
        <v>38</v>
      </c>
      <c r="I123" s="92" t="s">
        <v>708</v>
      </c>
      <c r="J123" s="69" t="s">
        <v>715</v>
      </c>
      <c r="K123" s="69">
        <f>IF(J123="syllables",1,IF(J123="trigrams",2,IF(J123="strings",3,IF(J123="visual array",4,IF(J123="characters",5,IF(J123="letters",6,IF(J123="free forms",7,IF(J123="odors",8,IF(J123="words",9,IF(J123="pictures",10,IF(J123="object pictures",11,IF(J123="faces",12,IF(J123="names",13,IF(J123="idioms",14,IF(J123="grades",15,IF(J123="syllable-digit pairs",16,IF(J123="trigram-word pairs",17,IF(J123="word-digit pairs",18,IF(J123="English-Swahili pairs",19,IF(J123="spatial position",20,IF(J123="word pairs",21,IF(J123="word triads",22,IF(J123="generated words",23,IF(J123="word definition pairs",24,IF(J123="math problems",25,IF(J123="famous faces",26,IF(J123="famous names",27,IF(J123="famous voices",28,IF(J123="television programs",29,IF(J123="race horses",30,IF(J123="new vocabulary",31,IF(J123="sentences",32,IF(J123="concepts",33,IF(J123="ad slides",34,IF(J123="scenes",35,IF(J123="famous scenes",36,IF(J123="poems",37,IF(J123="walk",38,IF(J123="faces and events",39,IF(J123="events and names",40,IF(J123="flashbulb",41,IF(J123="stories",42,IF(J123="course material",43,IF(J123="autobiographical",44,IF(J123="novels",45,IF(J123="public events",46,"99"))))))))))))))))))))))))))))))))))))))))))))))</f>
        <v>38</v>
      </c>
      <c r="L123" s="69">
        <f>IF(J123="syllables",1,IF(J123="trigrams",1,IF(J123="strings",1,IF(J123="visual array",1,IF(J123="characters",1,IF(J123="letters",1,IF(J123="free forms",1,IF(J123="odors",2,IF(J123="words",2,IF(J123="pictures",2,IF(J123="object pictures",2,IF(J123="faces",2,IF(J123="names",2,IF(J123="idioms","2",IF(J123="grades",2,IF(J123="syllable-digit pairs",3,IF(J123="trigram-word pairs",3,IF(J123="word-digit pairs",3,IF(J123="English-Swahili pairs",3,IF(J123="spatial position",3,IF(J123="word pairs",4,IF(J123="word triads",4,IF(J123="generated words",4,IF(J123="word definition pairs",4,IF(J123="math problems",4,IF(J123="famous faces",4,IF(J123="famous names",4,IF(J123="famous voices",4,IF(J123="television programs",4,IF(J123="race horses",4,IF(J123="new vocabulary",4,IF(J123="sentences",5,IF(J123="concepts",5,IF(J123="ad slides",5,IF(J123="scenes",5,IF(J123="famous scenes",5,IF(J123="poems",6,IF(J123="walk",6,IF(J123="faces and events",6,IF(J123="events and names",6,IF(J123="flashbulb",7,IF(J123="stories",7,IF(J123="course material",7,IF(J123="autobiographical",7,IF(J123="novels",7,IF(J123="public events",7,"99"))))))))))))))))))))))))))))))))))))))))))))))</f>
        <v>6</v>
      </c>
      <c r="M123" s="92">
        <v>0</v>
      </c>
      <c r="N123" s="92">
        <v>2</v>
      </c>
      <c r="O123" s="92">
        <v>0</v>
      </c>
      <c r="P123" s="92"/>
      <c r="Q123" s="69" t="s">
        <v>174</v>
      </c>
      <c r="R123" s="69">
        <f>IF(Q123="Free Recall",1,IF(Q123="Cued Recall",2,IF(Q123="Recognition",3,IF(Q123="Multiple Choice",4,IF(Q123="Savings",5,IF(Q123="Stem Completion",6,IF(Q123="Fragment Completion",7,IF(Q123="anagram solution",8,IF(Q123="Matching",9,IF(Q123="Problem Solving",10,"99"))))))))))</f>
        <v>1</v>
      </c>
      <c r="S123" s="69" t="s">
        <v>49</v>
      </c>
      <c r="T123" s="92" t="s">
        <v>261</v>
      </c>
      <c r="U123" s="60">
        <f>IF(T123="within",1,0)</f>
        <v>0</v>
      </c>
      <c r="V123" s="92">
        <v>7</v>
      </c>
      <c r="W123" s="69">
        <f>F123*V123</f>
        <v>896</v>
      </c>
      <c r="X123" s="92">
        <v>4</v>
      </c>
      <c r="Y123" s="87">
        <f>AV122</f>
        <v>600</v>
      </c>
      <c r="Z123" s="92" t="s">
        <v>185</v>
      </c>
      <c r="AA123" s="92">
        <f>30*24*3600</f>
        <v>2592000</v>
      </c>
      <c r="AB123" s="69" t="str">
        <f>IF(AA123&lt;60,"1",IF(AA123&lt;=43200,"2",IF(AA123&lt;=777600,"3","4")))</f>
        <v>4</v>
      </c>
      <c r="AC123" s="72">
        <f>AVERAGE(AV122:DA122)</f>
        <v>820950</v>
      </c>
      <c r="AD123" s="69" t="str">
        <f>IF(AC123&lt;60,"1",IF(AC123&lt;=43200,"2",IF(AC123&lt;=777600,"3","4")))</f>
        <v>4</v>
      </c>
      <c r="AE123" s="87">
        <f>AA123-Y123</f>
        <v>2591400</v>
      </c>
      <c r="AF123" s="88">
        <f>AV123</f>
        <v>0.16</v>
      </c>
      <c r="AG123" s="72">
        <f>((AW123-AV123)+(AX123-AW123)+(AY123-AX123))/3</f>
        <v>-0.02</v>
      </c>
      <c r="AH123" s="4"/>
      <c r="AI123" s="72">
        <f>RSQ(AV123:AY123,AV122:AY122)</f>
        <v>0.974301249460645</v>
      </c>
      <c r="AJ123" s="110">
        <f>SLOPE(AV123:AY123,AV122:AY122)</f>
        <v>-2.5352621635718063E-8</v>
      </c>
      <c r="AK123" s="72">
        <f>INTERCEPT(AV123:AY123,AV122:AY122)</f>
        <v>0.16581323473184273</v>
      </c>
      <c r="AL123" s="72">
        <f>INDEX(LINEST(LN(AV123:AY123),LN(AV122:AY122),TRUE,TRUE),3,1)</f>
        <v>0.40837107875534878</v>
      </c>
      <c r="AM123" s="72">
        <f>INDEX(LINEST(LN(AV123:AY123),LN(AV122:AY122)),1)</f>
        <v>-4.1967432260001207E-2</v>
      </c>
      <c r="AN123" s="72">
        <f>EXP(INDEX(LINEST(LN(AV123:AY123),LN(AV122:AY122)),1,2))</f>
        <v>0.22990954882281231</v>
      </c>
      <c r="AO123" s="89">
        <f>INDEX(LINEST((AV123:AY123),LN(AV122:AY122),TRUE,TRUE),3,1)</f>
        <v>0.40902116950180967</v>
      </c>
      <c r="AP123" s="89">
        <f>INDEX(LINEST((AV123:AY123),LN(AV122:AY122)),1)</f>
        <v>-5.44431567781835E-3</v>
      </c>
      <c r="AQ123" s="90">
        <f>INDEX(LINEST(LN(AV123:AY123),SQRT(AV122:AY122),TRUE,TRUE),3,1)</f>
        <v>0.87499720120561086</v>
      </c>
      <c r="AR123" s="117">
        <f>INDEX(LINEST(LN(AV123:AY123),SQRT((AV122:AY122))),1)</f>
        <v>-3.2238437426126867E-4</v>
      </c>
      <c r="AS123" s="91">
        <f>INDEX(LINEST(1/(AV123:AY123),1/(SQRT(AV122:AY122)),TRUE,TRUE),3,1)</f>
        <v>0.14411314813708054</v>
      </c>
      <c r="AT123" s="91">
        <f>INDEX(LINEST(1/(AV123:AY123),1/SQRT(AV122:AY122)),1)</f>
        <v>-36.754729698797917</v>
      </c>
      <c r="AU123" s="3"/>
      <c r="AV123" s="121">
        <v>0.16</v>
      </c>
      <c r="AW123" s="97">
        <v>0.17</v>
      </c>
      <c r="AX123" s="121">
        <v>0.15</v>
      </c>
      <c r="AY123" s="121">
        <v>0.1</v>
      </c>
      <c r="AZ123" s="11"/>
      <c r="BA123" s="11"/>
      <c r="BB123" s="11"/>
      <c r="BC123" s="11"/>
      <c r="BD123" s="11"/>
      <c r="BE123" s="11"/>
      <c r="BF123" s="11"/>
      <c r="BG123" s="11"/>
      <c r="BH123" s="11"/>
      <c r="BI123" s="11"/>
      <c r="BJ123" s="11"/>
      <c r="BK123" s="11"/>
      <c r="BL123" s="11"/>
      <c r="BM123" s="11"/>
      <c r="BN123" s="11"/>
      <c r="BO123" s="11"/>
      <c r="BP123" s="11"/>
      <c r="BQ123" s="11"/>
      <c r="BR123" s="11"/>
      <c r="BS123" s="11"/>
      <c r="BT123" s="11"/>
      <c r="BU123" s="11"/>
      <c r="BV123" s="11"/>
      <c r="BW123" s="11"/>
      <c r="BX123" s="11"/>
      <c r="BY123" s="11"/>
      <c r="BZ123" s="11"/>
      <c r="CA123" s="11"/>
      <c r="CB123" s="11"/>
      <c r="CC123" s="11"/>
      <c r="CD123" s="11"/>
      <c r="CE123" s="11"/>
      <c r="CF123" s="11"/>
      <c r="CG123" s="11"/>
      <c r="CH123" s="11"/>
      <c r="CI123" s="11"/>
      <c r="CJ123" s="11"/>
      <c r="CK123" s="11"/>
      <c r="CL123" s="11"/>
      <c r="CM123" s="11"/>
      <c r="CN123" s="11"/>
      <c r="CO123" s="11"/>
      <c r="CP123" s="11"/>
      <c r="CQ123" s="11"/>
      <c r="CR123" s="15"/>
      <c r="CS123" s="15"/>
      <c r="CT123" s="15"/>
      <c r="CU123" s="15"/>
    </row>
    <row r="124" spans="1:99" ht="12" customHeight="1" x14ac:dyDescent="0.2">
      <c r="A124" s="68">
        <v>43509</v>
      </c>
      <c r="B124" s="94"/>
      <c r="C124" s="94"/>
      <c r="D124" s="92"/>
      <c r="E124" s="105"/>
      <c r="F124" s="92"/>
      <c r="G124" s="92"/>
      <c r="H124" s="92"/>
      <c r="I124" s="92"/>
      <c r="J124" s="92"/>
      <c r="K124" s="107"/>
      <c r="L124" s="107"/>
      <c r="M124" s="92"/>
      <c r="N124" s="92"/>
      <c r="O124" s="92"/>
      <c r="P124" s="92"/>
      <c r="Q124" s="92"/>
      <c r="R124" s="69"/>
      <c r="S124" s="69"/>
      <c r="T124" s="92"/>
      <c r="U124" s="60"/>
      <c r="V124" s="92"/>
      <c r="W124" s="69"/>
      <c r="X124" s="92"/>
      <c r="Y124" s="87"/>
      <c r="Z124" s="92"/>
      <c r="AA124" s="92"/>
      <c r="AB124" s="69"/>
      <c r="AC124" s="69"/>
      <c r="AD124" s="69"/>
      <c r="AE124" s="69"/>
      <c r="AF124" s="88"/>
      <c r="AG124" s="72"/>
      <c r="AH124" s="4"/>
      <c r="AI124" s="119"/>
      <c r="AJ124" s="120"/>
      <c r="AK124" s="119"/>
      <c r="AL124" s="119"/>
      <c r="AM124" s="119"/>
      <c r="AN124" s="108"/>
      <c r="AO124" s="108"/>
      <c r="AP124" s="108"/>
      <c r="AQ124" s="72"/>
      <c r="AR124" s="110"/>
      <c r="AS124" s="72"/>
      <c r="AT124" s="72"/>
      <c r="AU124" s="4"/>
      <c r="AV124" s="122">
        <f>10*60</f>
        <v>600</v>
      </c>
      <c r="AW124" s="98">
        <f>24*3600</f>
        <v>86400</v>
      </c>
      <c r="AX124" s="122">
        <f>7*24*3600</f>
        <v>604800</v>
      </c>
      <c r="AY124" s="122">
        <f>30*24*3600</f>
        <v>2592000</v>
      </c>
      <c r="AZ124" s="11"/>
      <c r="BA124" s="11"/>
      <c r="BB124" s="11"/>
      <c r="BC124" s="11"/>
      <c r="BD124" s="11"/>
      <c r="BE124" s="11"/>
      <c r="BF124" s="11"/>
      <c r="BG124" s="11"/>
      <c r="BH124" s="11"/>
      <c r="BI124" s="11"/>
      <c r="BJ124" s="11"/>
      <c r="BK124" s="11"/>
      <c r="BL124" s="11"/>
      <c r="BM124" s="11"/>
      <c r="BN124" s="11"/>
      <c r="BO124" s="11"/>
      <c r="BP124" s="11"/>
      <c r="BQ124" s="11"/>
      <c r="BR124" s="11"/>
      <c r="BS124" s="11"/>
      <c r="BT124" s="11"/>
      <c r="BU124" s="11"/>
      <c r="BV124" s="11"/>
      <c r="BW124" s="11"/>
      <c r="BX124" s="11"/>
      <c r="BY124" s="11"/>
      <c r="BZ124" s="11"/>
      <c r="CA124" s="11"/>
      <c r="CB124" s="11"/>
      <c r="CC124" s="11"/>
      <c r="CD124" s="11"/>
      <c r="CE124" s="11"/>
      <c r="CF124" s="11"/>
      <c r="CG124" s="11"/>
      <c r="CH124" s="11"/>
      <c r="CI124" s="11"/>
      <c r="CJ124" s="11"/>
      <c r="CK124" s="11"/>
      <c r="CL124" s="11"/>
      <c r="CM124" s="11"/>
      <c r="CN124" s="11"/>
      <c r="CO124" s="11"/>
      <c r="CP124" s="11"/>
      <c r="CQ124" s="11"/>
      <c r="CR124" s="15"/>
      <c r="CS124" s="15"/>
      <c r="CT124" s="15"/>
      <c r="CU124" s="15"/>
    </row>
    <row r="125" spans="1:99" ht="12" customHeight="1" x14ac:dyDescent="0.2">
      <c r="A125" s="68">
        <v>43509</v>
      </c>
      <c r="B125" s="94" t="s">
        <v>287</v>
      </c>
      <c r="C125" s="94" t="s">
        <v>70</v>
      </c>
      <c r="D125" s="92">
        <v>2008</v>
      </c>
      <c r="E125" s="105">
        <v>1</v>
      </c>
      <c r="F125" s="92">
        <v>128</v>
      </c>
      <c r="G125" s="92">
        <v>32</v>
      </c>
      <c r="H125" s="92" t="s">
        <v>38</v>
      </c>
      <c r="I125" s="92" t="s">
        <v>710</v>
      </c>
      <c r="J125" s="92" t="s">
        <v>715</v>
      </c>
      <c r="K125" s="69">
        <f>IF(J125="syllables",1,IF(J125="trigrams",2,IF(J125="strings",3,IF(J125="visual array",4,IF(J125="characters",5,IF(J125="letters",6,IF(J125="free forms",7,IF(J125="odors",8,IF(J125="words",9,IF(J125="pictures",10,IF(J125="object pictures",11,IF(J125="faces",12,IF(J125="names",13,IF(J125="idioms",14,IF(J125="grades",15,IF(J125="syllable-digit pairs",16,IF(J125="trigram-word pairs",17,IF(J125="word-digit pairs",18,IF(J125="English-Swahili pairs",19,IF(J125="spatial position",20,IF(J125="word pairs",21,IF(J125="word triads",22,IF(J125="generated words",23,IF(J125="word definition pairs",24,IF(J125="math problems",25,IF(J125="famous faces",26,IF(J125="famous names",27,IF(J125="famous voices",28,IF(J125="television programs",29,IF(J125="race horses",30,IF(J125="new vocabulary",31,IF(J125="sentences",32,IF(J125="concepts",33,IF(J125="ad slides",34,IF(J125="scenes",35,IF(J125="famous scenes",36,IF(J125="poems",37,IF(J125="walk",38,IF(J125="faces and events",39,IF(J125="events and names",40,IF(J125="flashbulb",41,IF(J125="stories",42,IF(J125="course material",43,IF(J125="autobiographical",44,IF(J125="novels",45,IF(J125="public events",46,"99"))))))))))))))))))))))))))))))))))))))))))))))</f>
        <v>38</v>
      </c>
      <c r="L125" s="69">
        <f>IF(J125="syllables",1,IF(J125="trigrams",1,IF(J125="strings",1,IF(J125="visual array",1,IF(J125="characters",1,IF(J125="letters",1,IF(J125="free forms",1,IF(J125="odors",2,IF(J125="words",2,IF(J125="pictures",2,IF(J125="object pictures",2,IF(J125="faces",2,IF(J125="names",2,IF(J125="idioms","2",IF(J125="grades",2,IF(J125="syllable-digit pairs",3,IF(J125="trigram-word pairs",3,IF(J125="word-digit pairs",3,IF(J125="English-Swahili pairs",3,IF(J125="spatial position",3,IF(J125="word pairs",4,IF(J125="word triads",4,IF(J125="generated words",4,IF(J125="word definition pairs",4,IF(J125="math problems",4,IF(J125="famous faces",4,IF(J125="famous names",4,IF(J125="famous voices",4,IF(J125="television programs",4,IF(J125="race horses",4,IF(J125="new vocabulary",4,IF(J125="sentences",5,IF(J125="concepts",5,IF(J125="ad slides",5,IF(J125="scenes",5,IF(J125="famous scenes",5,IF(J125="poems",6,IF(J125="walk",6,IF(J125="faces and events",6,IF(J125="events and names",6,IF(J125="flashbulb",7,IF(J125="stories",7,IF(J125="course material",7,IF(J125="autobiographical",7,IF(J125="novels",7,IF(J125="public events",7,"99"))))))))))))))))))))))))))))))))))))))))))))))</f>
        <v>6</v>
      </c>
      <c r="M125" s="92">
        <v>0</v>
      </c>
      <c r="N125" s="92">
        <v>2</v>
      </c>
      <c r="O125" s="92">
        <v>0</v>
      </c>
      <c r="P125" s="92"/>
      <c r="Q125" s="69" t="s">
        <v>174</v>
      </c>
      <c r="R125" s="69">
        <f>IF(Q125="Free Recall",1,IF(Q125="Cued Recall",2,IF(Q125="Recognition",3,IF(Q125="Multiple Choice",4,IF(Q125="Savings",5,IF(Q125="Stem Completion",6,IF(Q125="Fragment Completion",7,IF(Q125="anagram solution",8,IF(Q125="Matching",9,IF(Q125="Problem Solving",10,"99"))))))))))</f>
        <v>1</v>
      </c>
      <c r="S125" s="69" t="s">
        <v>49</v>
      </c>
      <c r="T125" s="92" t="s">
        <v>261</v>
      </c>
      <c r="U125" s="60">
        <f>IF(T125="within",1,0)</f>
        <v>0</v>
      </c>
      <c r="V125" s="92">
        <v>7</v>
      </c>
      <c r="W125" s="69">
        <f>F125*V125</f>
        <v>896</v>
      </c>
      <c r="X125" s="92">
        <v>4</v>
      </c>
      <c r="Y125" s="87">
        <f>AV124</f>
        <v>600</v>
      </c>
      <c r="Z125" s="92" t="s">
        <v>185</v>
      </c>
      <c r="AA125" s="92">
        <f>30*24*3600</f>
        <v>2592000</v>
      </c>
      <c r="AB125" s="69" t="str">
        <f>IF(AA125&lt;60,"1",IF(AA125&lt;=43200,"2",IF(AA125&lt;=777600,"3","4")))</f>
        <v>4</v>
      </c>
      <c r="AC125" s="72">
        <f>AVERAGE(AV124:DA124)</f>
        <v>820950</v>
      </c>
      <c r="AD125" s="69" t="str">
        <f>IF(AC125&lt;60,"1",IF(AC125&lt;=43200,"2",IF(AC125&lt;=777600,"3","4")))</f>
        <v>4</v>
      </c>
      <c r="AE125" s="87">
        <f>AA125-Y125</f>
        <v>2591400</v>
      </c>
      <c r="AF125" s="88">
        <f>AV125</f>
        <v>0.18</v>
      </c>
      <c r="AG125" s="72">
        <f>((AW125-AV125)+(AX125-AW125)+(AY125-AX125))/3</f>
        <v>-2.3333333333333331E-2</v>
      </c>
      <c r="AH125" s="4"/>
      <c r="AI125" s="72">
        <f>RSQ(AV125:AY125,AV124:AY124)</f>
        <v>0.61419082675250525</v>
      </c>
      <c r="AJ125" s="110">
        <f>SLOPE(AV125:AY125,AV124:AY124)</f>
        <v>-1.9059679050373741E-8</v>
      </c>
      <c r="AK125" s="72">
        <f>INTERCEPT(AV125:AY125,AV124:AY124)</f>
        <v>0.15564704351640435</v>
      </c>
      <c r="AL125" s="72">
        <f>INDEX(LINEST(LN(AV125:AY125),LN(AV124:AY124),TRUE,TRUE),3,1)</f>
        <v>0.9679827616941209</v>
      </c>
      <c r="AM125" s="72">
        <f>INDEX(LINEST(LN(AV125:AY125),LN(AV124:AY124)),1)</f>
        <v>-5.5159960492932612E-2</v>
      </c>
      <c r="AN125" s="72">
        <f>EXP(INDEX(LINEST(LN(AV125:AY125),LN(AV124:AY124)),1,2))</f>
        <v>0.25926365022647396</v>
      </c>
      <c r="AO125" s="89">
        <f>INDEX(LINEST((AV125:AY125),LN(AV124:AY124),TRUE,TRUE),3,1)</f>
        <v>0.98593797398143912</v>
      </c>
      <c r="AP125" s="89">
        <f>INDEX(LINEST((AV125:AY125),LN(AV124:AY124)),1)</f>
        <v>-8.0035539718811468E-3</v>
      </c>
      <c r="AQ125" s="90">
        <f>INDEX(LINEST(LN(AV125:AY125),SQRT(AV124:AY124),TRUE,TRUE),3,1)</f>
        <v>0.86001122725115164</v>
      </c>
      <c r="AR125" s="117">
        <f>INDEX(LINEST(LN(AV125:AY125),SQRT((AV124:AY124))),1)</f>
        <v>-2.7285250016351653E-4</v>
      </c>
      <c r="AS125" s="91">
        <f>INDEX(LINEST(1/(AV125:AY125),1/(SQRT(AV124:AY124)),TRUE,TRUE),3,1)</f>
        <v>0.7317543000104294</v>
      </c>
      <c r="AT125" s="91">
        <f>INDEX(LINEST(1/(AV125:AY125),1/SQRT(AV124:AY124)),1)</f>
        <v>-63.911195845707638</v>
      </c>
      <c r="AU125" s="3"/>
      <c r="AV125" s="121">
        <v>0.18</v>
      </c>
      <c r="AW125" s="97">
        <v>0.14000000000000001</v>
      </c>
      <c r="AX125" s="121">
        <v>0.13</v>
      </c>
      <c r="AY125" s="121">
        <v>0.11</v>
      </c>
      <c r="AZ125" s="11"/>
      <c r="BA125" s="11"/>
      <c r="BB125" s="11"/>
      <c r="BC125" s="11"/>
      <c r="BD125" s="11"/>
      <c r="BE125" s="11"/>
      <c r="BF125" s="11"/>
      <c r="BG125" s="11"/>
      <c r="BH125" s="11"/>
      <c r="BI125" s="11"/>
      <c r="BJ125" s="11"/>
      <c r="BK125" s="11"/>
      <c r="BL125" s="11"/>
      <c r="BM125" s="11"/>
      <c r="BN125" s="11"/>
      <c r="BO125" s="11"/>
      <c r="BP125" s="11"/>
      <c r="BQ125" s="11"/>
      <c r="BR125" s="11"/>
      <c r="BS125" s="11"/>
      <c r="BT125" s="11"/>
      <c r="BU125" s="11"/>
      <c r="BV125" s="11"/>
      <c r="BW125" s="11"/>
      <c r="BX125" s="11"/>
      <c r="BY125" s="11"/>
      <c r="BZ125" s="11"/>
      <c r="CA125" s="11"/>
      <c r="CB125" s="11"/>
      <c r="CC125" s="11"/>
      <c r="CD125" s="11"/>
      <c r="CE125" s="11"/>
      <c r="CF125" s="11"/>
      <c r="CG125" s="11"/>
      <c r="CH125" s="11"/>
      <c r="CI125" s="11"/>
      <c r="CJ125" s="11"/>
      <c r="CK125" s="11"/>
      <c r="CL125" s="11"/>
      <c r="CM125" s="11"/>
      <c r="CN125" s="11"/>
      <c r="CO125" s="11"/>
      <c r="CP125" s="11"/>
      <c r="CQ125" s="11"/>
      <c r="CR125" s="15"/>
      <c r="CS125" s="15"/>
      <c r="CT125" s="15"/>
      <c r="CU125" s="15"/>
    </row>
    <row r="126" spans="1:99" ht="12" customHeight="1" x14ac:dyDescent="0.2">
      <c r="A126" s="68">
        <v>43509</v>
      </c>
      <c r="B126" s="94"/>
      <c r="C126" s="94"/>
      <c r="D126" s="92"/>
      <c r="E126" s="105"/>
      <c r="F126" s="92"/>
      <c r="G126" s="92"/>
      <c r="H126" s="92"/>
      <c r="I126" s="92"/>
      <c r="J126" s="92"/>
      <c r="K126" s="107"/>
      <c r="L126" s="107"/>
      <c r="M126" s="92"/>
      <c r="N126" s="92"/>
      <c r="O126" s="92"/>
      <c r="P126" s="92"/>
      <c r="Q126" s="92"/>
      <c r="R126" s="69"/>
      <c r="S126" s="69"/>
      <c r="T126" s="92"/>
      <c r="U126" s="60"/>
      <c r="V126" s="92"/>
      <c r="W126" s="69"/>
      <c r="X126" s="92"/>
      <c r="Y126" s="87"/>
      <c r="Z126" s="92"/>
      <c r="AA126" s="92"/>
      <c r="AB126" s="69"/>
      <c r="AC126" s="69"/>
      <c r="AD126" s="69"/>
      <c r="AE126" s="69"/>
      <c r="AF126" s="88"/>
      <c r="AG126" s="72"/>
      <c r="AH126" s="4"/>
      <c r="AI126" s="119"/>
      <c r="AJ126" s="120"/>
      <c r="AK126" s="119"/>
      <c r="AL126" s="119"/>
      <c r="AM126" s="119"/>
      <c r="AN126" s="108"/>
      <c r="AO126" s="108"/>
      <c r="AP126" s="108"/>
      <c r="AQ126" s="72"/>
      <c r="AR126" s="110"/>
      <c r="AS126" s="72"/>
      <c r="AT126" s="72"/>
      <c r="AU126" s="4"/>
      <c r="AV126" s="122">
        <f>10*60</f>
        <v>600</v>
      </c>
      <c r="AW126" s="98">
        <f>24*3600</f>
        <v>86400</v>
      </c>
      <c r="AX126" s="122">
        <f>7*24*3600</f>
        <v>604800</v>
      </c>
      <c r="AY126" s="122">
        <f>30*24*3600</f>
        <v>2592000</v>
      </c>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c r="BW126" s="11"/>
      <c r="BX126" s="11"/>
      <c r="BY126" s="11"/>
      <c r="BZ126" s="11"/>
      <c r="CA126" s="11"/>
      <c r="CB126" s="11"/>
      <c r="CC126" s="11"/>
      <c r="CD126" s="11"/>
      <c r="CE126" s="11"/>
      <c r="CF126" s="11"/>
      <c r="CG126" s="11"/>
      <c r="CH126" s="11"/>
      <c r="CI126" s="11"/>
      <c r="CJ126" s="11"/>
      <c r="CK126" s="11"/>
      <c r="CL126" s="11"/>
      <c r="CM126" s="11"/>
      <c r="CN126" s="11"/>
      <c r="CO126" s="11"/>
      <c r="CP126" s="11"/>
      <c r="CQ126" s="11"/>
      <c r="CR126" s="15"/>
      <c r="CS126" s="15"/>
      <c r="CT126" s="15"/>
      <c r="CU126" s="15"/>
    </row>
    <row r="127" spans="1:99" ht="12" customHeight="1" x14ac:dyDescent="0.2">
      <c r="A127" s="68">
        <v>43509</v>
      </c>
      <c r="B127" s="94" t="s">
        <v>287</v>
      </c>
      <c r="C127" s="94" t="s">
        <v>70</v>
      </c>
      <c r="D127" s="92">
        <v>2008</v>
      </c>
      <c r="E127" s="105">
        <v>1</v>
      </c>
      <c r="F127" s="92">
        <v>128</v>
      </c>
      <c r="G127" s="92">
        <v>32</v>
      </c>
      <c r="H127" s="92" t="s">
        <v>38</v>
      </c>
      <c r="I127" s="92" t="s">
        <v>916</v>
      </c>
      <c r="J127" s="92" t="s">
        <v>715</v>
      </c>
      <c r="K127" s="69">
        <f>IF(J127="syllables",1,IF(J127="trigrams",2,IF(J127="strings",3,IF(J127="visual array",4,IF(J127="characters",5,IF(J127="letters",6,IF(J127="free forms",7,IF(J127="odors",8,IF(J127="words",9,IF(J127="pictures",10,IF(J127="object pictures",11,IF(J127="faces",12,IF(J127="names",13,IF(J127="idioms",14,IF(J127="grades",15,IF(J127="syllable-digit pairs",16,IF(J127="trigram-word pairs",17,IF(J127="word-digit pairs",18,IF(J127="English-Swahili pairs",19,IF(J127="spatial position",20,IF(J127="word pairs",21,IF(J127="word triads",22,IF(J127="generated words",23,IF(J127="word definition pairs",24,IF(J127="math problems",25,IF(J127="famous faces",26,IF(J127="famous names",27,IF(J127="famous voices",28,IF(J127="television programs",29,IF(J127="race horses",30,IF(J127="new vocabulary",31,IF(J127="sentences",32,IF(J127="concepts",33,IF(J127="ad slides",34,IF(J127="scenes",35,IF(J127="famous scenes",36,IF(J127="poems",37,IF(J127="walk",38,IF(J127="faces and events",39,IF(J127="events and names",40,IF(J127="flashbulb",41,IF(J127="stories",42,IF(J127="course material",43,IF(J127="autobiographical",44,IF(J127="novels",45,IF(J127="public events",46,"99"))))))))))))))))))))))))))))))))))))))))))))))</f>
        <v>38</v>
      </c>
      <c r="L127" s="69">
        <f>IF(J127="syllables",1,IF(J127="trigrams",1,IF(J127="strings",1,IF(J127="visual array",1,IF(J127="characters",1,IF(J127="letters",1,IF(J127="free forms",1,IF(J127="odors",2,IF(J127="words",2,IF(J127="pictures",2,IF(J127="object pictures",2,IF(J127="faces",2,IF(J127="names",2,IF(J127="idioms","2",IF(J127="grades",2,IF(J127="syllable-digit pairs",3,IF(J127="trigram-word pairs",3,IF(J127="word-digit pairs",3,IF(J127="English-Swahili pairs",3,IF(J127="spatial position",3,IF(J127="word pairs",4,IF(J127="word triads",4,IF(J127="generated words",4,IF(J127="word definition pairs",4,IF(J127="math problems",4,IF(J127="famous faces",4,IF(J127="famous names",4,IF(J127="famous voices",4,IF(J127="television programs",4,IF(J127="race horses",4,IF(J127="new vocabulary",4,IF(J127="sentences",5,IF(J127="concepts",5,IF(J127="ad slides",5,IF(J127="scenes",5,IF(J127="famous scenes",5,IF(J127="poems",6,IF(J127="walk",6,IF(J127="faces and events",6,IF(J127="events and names",6,IF(J127="flashbulb",7,IF(J127="stories",7,IF(J127="course material",7,IF(J127="autobiographical",7,IF(J127="novels",7,IF(J127="public events",7,"99"))))))))))))))))))))))))))))))))))))))))))))))</f>
        <v>6</v>
      </c>
      <c r="M127" s="92">
        <v>0</v>
      </c>
      <c r="N127" s="92">
        <v>2</v>
      </c>
      <c r="O127" s="92">
        <v>0</v>
      </c>
      <c r="P127" s="92"/>
      <c r="Q127" s="69" t="s">
        <v>174</v>
      </c>
      <c r="R127" s="69">
        <f>IF(Q127="Free Recall",1,IF(Q127="Cued Recall",2,IF(Q127="Recognition",3,IF(Q127="Multiple Choice",4,IF(Q127="Savings",5,IF(Q127="Stem Completion",6,IF(Q127="Fragment Completion",7,IF(Q127="anagram solution",8,IF(Q127="Matching",9,IF(Q127="Problem Solving",10,"99"))))))))))</f>
        <v>1</v>
      </c>
      <c r="S127" s="69" t="s">
        <v>49</v>
      </c>
      <c r="T127" s="92" t="s">
        <v>261</v>
      </c>
      <c r="U127" s="60">
        <f>IF(T127="within",1,0)</f>
        <v>0</v>
      </c>
      <c r="V127" s="92">
        <v>7</v>
      </c>
      <c r="W127" s="69">
        <f>F127*V127</f>
        <v>896</v>
      </c>
      <c r="X127" s="92">
        <v>4</v>
      </c>
      <c r="Y127" s="87">
        <f>AV126</f>
        <v>600</v>
      </c>
      <c r="Z127" s="92" t="s">
        <v>185</v>
      </c>
      <c r="AA127" s="92">
        <f>30*24*3600</f>
        <v>2592000</v>
      </c>
      <c r="AB127" s="69" t="str">
        <f>IF(AA127&lt;60,"1",IF(AA127&lt;=43200,"2",IF(AA127&lt;=777600,"3","4")))</f>
        <v>4</v>
      </c>
      <c r="AC127" s="72">
        <f>AVERAGE(AV126:DA126)</f>
        <v>820950</v>
      </c>
      <c r="AD127" s="69" t="str">
        <f>IF(AC127&lt;60,"1",IF(AC127&lt;=43200,"2",IF(AC127&lt;=777600,"3","4")))</f>
        <v>4</v>
      </c>
      <c r="AE127" s="87">
        <f>AA127-Y127</f>
        <v>2591400</v>
      </c>
      <c r="AF127" s="88">
        <f>AV127</f>
        <v>0.26</v>
      </c>
      <c r="AG127" s="72">
        <f>((AW127-AV127)+(AX127-AW127)+(AY127-AX127))/3</f>
        <v>-6.6666666666666723E-3</v>
      </c>
      <c r="AH127" s="4"/>
      <c r="AI127" s="72">
        <f>RSQ(AV127:AY127,AV126:AY126)</f>
        <v>0.95138187620933634</v>
      </c>
      <c r="AJ127" s="110">
        <f>SLOPE(AV127:AY127,AV126:AY126)</f>
        <v>-8.0577782350244539E-9</v>
      </c>
      <c r="AK127" s="72">
        <f>INTERCEPT(AV127:AY127,AV126:AY126)</f>
        <v>0.26161503304204331</v>
      </c>
      <c r="AL127" s="72">
        <f>INDEX(LINEST(LN(AV127:AY127),LN(AV126:AY126),TRUE,TRUE),3,1)</f>
        <v>0.3643483434663104</v>
      </c>
      <c r="AM127" s="72">
        <f>INDEX(LINEST(LN(AV127:AY127),LN(AV126:AY126)),1)</f>
        <v>-6.6142744251778728E-3</v>
      </c>
      <c r="AN127" s="72">
        <f>EXP(INDEX(LINEST(LN(AV127:AY127),LN(AV126:AY126)),1,2))</f>
        <v>0.27491929812000332</v>
      </c>
      <c r="AO127" s="89">
        <f>INDEX(LINEST((AV127:AY127),LN(AV126:AY126),TRUE,TRUE),3,1)</f>
        <v>0.36434834346631062</v>
      </c>
      <c r="AP127" s="89">
        <f>INDEX(LINEST((AV127:AY127),LN(AV126:AY126)),1)</f>
        <v>-1.6526863264433673E-3</v>
      </c>
      <c r="AQ127" s="90">
        <f>INDEX(LINEST(LN(AV127:AY127),SQRT(AV126:AY126),TRUE,TRUE),3,1)</f>
        <v>0.79952398834155891</v>
      </c>
      <c r="AR127" s="117">
        <f>INDEX(LINEST(LN(AV127:AY127),SQRT((AV126:AY126))),1)</f>
        <v>-5.1419198373589748E-5</v>
      </c>
      <c r="AS127" s="91">
        <f>INDEX(LINEST(1/(AV127:AY127),1/(SQRT(AV126:AY126)),TRUE,TRUE),3,1)</f>
        <v>0.13827977209146772</v>
      </c>
      <c r="AT127" s="91">
        <f>INDEX(LINEST(1/(AV127:AY127),1/SQRT(AV126:AY126)),1)</f>
        <v>-3.0461223412901752</v>
      </c>
      <c r="AU127" s="3"/>
      <c r="AV127" s="121">
        <v>0.26</v>
      </c>
      <c r="AW127" s="97">
        <v>0.26</v>
      </c>
      <c r="AX127" s="121">
        <v>0.26</v>
      </c>
      <c r="AY127" s="121">
        <v>0.24</v>
      </c>
      <c r="AZ127" s="11"/>
      <c r="BA127" s="11"/>
      <c r="BB127" s="11"/>
      <c r="BC127" s="11"/>
      <c r="BD127" s="11"/>
      <c r="BE127" s="11"/>
      <c r="BF127" s="11"/>
      <c r="BG127" s="11"/>
      <c r="BH127" s="11"/>
      <c r="BI127" s="11"/>
      <c r="BJ127" s="11"/>
      <c r="BK127" s="11"/>
      <c r="BL127" s="11"/>
      <c r="BM127" s="11"/>
      <c r="BN127" s="11"/>
      <c r="BO127" s="11"/>
      <c r="BP127" s="11"/>
      <c r="BQ127" s="11"/>
      <c r="BR127" s="11"/>
      <c r="BS127" s="11"/>
      <c r="BT127" s="11"/>
      <c r="BU127" s="11"/>
      <c r="BV127" s="11"/>
      <c r="BW127" s="11"/>
      <c r="BX127" s="11"/>
      <c r="BY127" s="11"/>
      <c r="BZ127" s="11"/>
      <c r="CA127" s="11"/>
      <c r="CB127" s="11"/>
      <c r="CC127" s="11"/>
      <c r="CD127" s="11"/>
      <c r="CE127" s="11"/>
      <c r="CF127" s="11"/>
      <c r="CG127" s="11"/>
      <c r="CH127" s="11"/>
      <c r="CI127" s="11"/>
      <c r="CJ127" s="11"/>
      <c r="CK127" s="11"/>
      <c r="CL127" s="11"/>
      <c r="CM127" s="11"/>
      <c r="CN127" s="11"/>
      <c r="CO127" s="11"/>
      <c r="CP127" s="11"/>
      <c r="CQ127" s="11"/>
      <c r="CR127" s="15"/>
      <c r="CS127" s="15"/>
      <c r="CT127" s="15"/>
      <c r="CU127" s="15"/>
    </row>
    <row r="128" spans="1:99" ht="12" customHeight="1" x14ac:dyDescent="0.2">
      <c r="A128" s="68">
        <v>43509</v>
      </c>
      <c r="B128" s="94"/>
      <c r="C128" s="94"/>
      <c r="D128" s="92"/>
      <c r="E128" s="105"/>
      <c r="F128" s="92"/>
      <c r="G128" s="92"/>
      <c r="H128" s="92"/>
      <c r="I128" s="92"/>
      <c r="J128" s="92"/>
      <c r="K128" s="107"/>
      <c r="L128" s="107"/>
      <c r="M128" s="92"/>
      <c r="N128" s="92"/>
      <c r="O128" s="92"/>
      <c r="P128" s="92"/>
      <c r="Q128" s="92"/>
      <c r="R128" s="69"/>
      <c r="S128" s="69"/>
      <c r="T128" s="92"/>
      <c r="U128" s="60"/>
      <c r="V128" s="92"/>
      <c r="W128" s="69"/>
      <c r="X128" s="92"/>
      <c r="Y128" s="87"/>
      <c r="Z128" s="92"/>
      <c r="AA128" s="92"/>
      <c r="AB128" s="69"/>
      <c r="AC128" s="69"/>
      <c r="AD128" s="69"/>
      <c r="AE128" s="69"/>
      <c r="AF128" s="88"/>
      <c r="AG128" s="72"/>
      <c r="AH128" s="4"/>
      <c r="AI128" s="119"/>
      <c r="AJ128" s="120"/>
      <c r="AK128" s="119"/>
      <c r="AL128" s="119"/>
      <c r="AM128" s="119"/>
      <c r="AN128" s="108"/>
      <c r="AO128" s="108"/>
      <c r="AP128" s="108"/>
      <c r="AQ128" s="72"/>
      <c r="AR128" s="110"/>
      <c r="AS128" s="72"/>
      <c r="AT128" s="72"/>
      <c r="AU128" s="4"/>
      <c r="AV128" s="122">
        <f>10*60</f>
        <v>600</v>
      </c>
      <c r="AW128" s="98">
        <f>24*3600</f>
        <v>86400</v>
      </c>
      <c r="AX128" s="122">
        <f>7*24*3600</f>
        <v>604800</v>
      </c>
      <c r="AY128" s="122">
        <f>30*24*3600</f>
        <v>2592000</v>
      </c>
      <c r="AZ128" s="11"/>
      <c r="BA128" s="11"/>
      <c r="BB128" s="11"/>
      <c r="BC128" s="11"/>
      <c r="BD128" s="11"/>
      <c r="BE128" s="11"/>
      <c r="BF128" s="11"/>
      <c r="BG128" s="11"/>
      <c r="BH128" s="11"/>
      <c r="BI128" s="11"/>
      <c r="BJ128" s="11"/>
      <c r="BK128" s="11"/>
      <c r="BL128" s="11"/>
      <c r="BM128" s="11"/>
      <c r="BN128" s="11"/>
      <c r="BO128" s="11"/>
      <c r="BP128" s="11"/>
      <c r="BQ128" s="11"/>
      <c r="BR128" s="11"/>
      <c r="BS128" s="11"/>
      <c r="BT128" s="11"/>
      <c r="BU128" s="11"/>
      <c r="BV128" s="11"/>
      <c r="BW128" s="11"/>
      <c r="BX128" s="11"/>
      <c r="BY128" s="11"/>
      <c r="BZ128" s="11"/>
      <c r="CA128" s="11"/>
      <c r="CB128" s="11"/>
      <c r="CC128" s="11"/>
      <c r="CD128" s="11"/>
      <c r="CE128" s="11"/>
      <c r="CF128" s="11"/>
      <c r="CG128" s="11"/>
      <c r="CH128" s="11"/>
      <c r="CI128" s="11"/>
      <c r="CJ128" s="11"/>
      <c r="CK128" s="11"/>
      <c r="CL128" s="11"/>
      <c r="CM128" s="11"/>
      <c r="CN128" s="11"/>
      <c r="CO128" s="11"/>
      <c r="CP128" s="11"/>
      <c r="CQ128" s="11"/>
      <c r="CR128" s="15"/>
      <c r="CS128" s="15"/>
      <c r="CT128" s="15"/>
      <c r="CU128" s="15"/>
    </row>
    <row r="129" spans="1:99" ht="12" customHeight="1" x14ac:dyDescent="0.2">
      <c r="A129" s="68">
        <v>43509</v>
      </c>
      <c r="B129" s="94" t="s">
        <v>287</v>
      </c>
      <c r="C129" s="94" t="s">
        <v>70</v>
      </c>
      <c r="D129" s="92">
        <v>2008</v>
      </c>
      <c r="E129" s="105">
        <v>1</v>
      </c>
      <c r="F129" s="92">
        <v>128</v>
      </c>
      <c r="G129" s="92">
        <v>32</v>
      </c>
      <c r="H129" s="92" t="s">
        <v>38</v>
      </c>
      <c r="I129" s="92" t="s">
        <v>712</v>
      </c>
      <c r="J129" s="92" t="s">
        <v>715</v>
      </c>
      <c r="K129" s="69">
        <f>IF(J129="syllables",1,IF(J129="trigrams",2,IF(J129="strings",3,IF(J129="visual array",4,IF(J129="characters",5,IF(J129="letters",6,IF(J129="free forms",7,IF(J129="odors",8,IF(J129="words",9,IF(J129="pictures",10,IF(J129="object pictures",11,IF(J129="faces",12,IF(J129="names",13,IF(J129="idioms",14,IF(J129="grades",15,IF(J129="syllable-digit pairs",16,IF(J129="trigram-word pairs",17,IF(J129="word-digit pairs",18,IF(J129="English-Swahili pairs",19,IF(J129="spatial position",20,IF(J129="word pairs",21,IF(J129="word triads",22,IF(J129="generated words",23,IF(J129="word definition pairs",24,IF(J129="math problems",25,IF(J129="famous faces",26,IF(J129="famous names",27,IF(J129="famous voices",28,IF(J129="television programs",29,IF(J129="race horses",30,IF(J129="new vocabulary",31,IF(J129="sentences",32,IF(J129="concepts",33,IF(J129="ad slides",34,IF(J129="scenes",35,IF(J129="famous scenes",36,IF(J129="poems",37,IF(J129="walk",38,IF(J129="faces and events",39,IF(J129="events and names",40,IF(J129="flashbulb",41,IF(J129="stories",42,IF(J129="course material",43,IF(J129="autobiographical",44,IF(J129="novels",45,IF(J129="public events",46,"99"))))))))))))))))))))))))))))))))))))))))))))))</f>
        <v>38</v>
      </c>
      <c r="L129" s="69">
        <f>IF(J129="syllables",1,IF(J129="trigrams",1,IF(J129="strings",1,IF(J129="visual array",1,IF(J129="characters",1,IF(J129="letters",1,IF(J129="free forms",1,IF(J129="odors",2,IF(J129="words",2,IF(J129="pictures",2,IF(J129="object pictures",2,IF(J129="faces",2,IF(J129="names",2,IF(J129="idioms","2",IF(J129="grades",2,IF(J129="syllable-digit pairs",3,IF(J129="trigram-word pairs",3,IF(J129="word-digit pairs",3,IF(J129="English-Swahili pairs",3,IF(J129="spatial position",3,IF(J129="word pairs",4,IF(J129="word triads",4,IF(J129="generated words",4,IF(J129="word definition pairs",4,IF(J129="math problems",4,IF(J129="famous faces",4,IF(J129="famous names",4,IF(J129="famous voices",4,IF(J129="television programs",4,IF(J129="race horses",4,IF(J129="new vocabulary",4,IF(J129="sentences",5,IF(J129="concepts",5,IF(J129="ad slides",5,IF(J129="scenes",5,IF(J129="famous scenes",5,IF(J129="poems",6,IF(J129="walk",6,IF(J129="faces and events",6,IF(J129="events and names",6,IF(J129="flashbulb",7,IF(J129="stories",7,IF(J129="course material",7,IF(J129="autobiographical",7,IF(J129="novels",7,IF(J129="public events",7,"99"))))))))))))))))))))))))))))))))))))))))))))))</f>
        <v>6</v>
      </c>
      <c r="M129" s="92">
        <v>0</v>
      </c>
      <c r="N129" s="92">
        <v>2</v>
      </c>
      <c r="O129" s="92">
        <v>0</v>
      </c>
      <c r="P129" s="92"/>
      <c r="Q129" s="69" t="s">
        <v>174</v>
      </c>
      <c r="R129" s="69">
        <f>IF(Q129="Free Recall",1,IF(Q129="Cued Recall",2,IF(Q129="Recognition",3,IF(Q129="Multiple Choice",4,IF(Q129="Savings",5,IF(Q129="Stem Completion",6,IF(Q129="Fragment Completion",7,IF(Q129="anagram solution",8,IF(Q129="Matching",9,IF(Q129="Problem Solving",10,"99"))))))))))</f>
        <v>1</v>
      </c>
      <c r="S129" s="69" t="s">
        <v>49</v>
      </c>
      <c r="T129" s="92" t="s">
        <v>261</v>
      </c>
      <c r="U129" s="60">
        <f>IF(T129="within",1,0)</f>
        <v>0</v>
      </c>
      <c r="V129" s="92">
        <v>7</v>
      </c>
      <c r="W129" s="69">
        <f>F129*V129</f>
        <v>896</v>
      </c>
      <c r="X129" s="92">
        <v>4</v>
      </c>
      <c r="Y129" s="87">
        <f>AV128</f>
        <v>600</v>
      </c>
      <c r="Z129" s="92" t="s">
        <v>185</v>
      </c>
      <c r="AA129" s="92">
        <f>30*24*3600</f>
        <v>2592000</v>
      </c>
      <c r="AB129" s="69" t="str">
        <f>IF(AA129&lt;60,"1",IF(AA129&lt;=43200,"2",IF(AA129&lt;=777600,"3","4")))</f>
        <v>4</v>
      </c>
      <c r="AC129" s="72">
        <f>AVERAGE(AV128:DA128)</f>
        <v>820950</v>
      </c>
      <c r="AD129" s="69" t="str">
        <f>IF(AC129&lt;60,"1",IF(AC129&lt;=43200,"2",IF(AC129&lt;=777600,"3","4")))</f>
        <v>4</v>
      </c>
      <c r="AE129" s="87">
        <f>AA129-Y129</f>
        <v>2591400</v>
      </c>
      <c r="AF129" s="88">
        <f>AV129</f>
        <v>7.0000000000000007E-2</v>
      </c>
      <c r="AG129" s="72">
        <f>((AW129-AV129)+(AX129-AW129)+(AY129-AX129))/3</f>
        <v>-6.666666666666668E-3</v>
      </c>
      <c r="AH129" s="4"/>
      <c r="AI129" s="72">
        <f>RSQ(AV129:AY129,AV128:AY128)</f>
        <v>0.71408182224399275</v>
      </c>
      <c r="AJ129" s="110">
        <f>SLOPE(AV129:AY129,AV128:AY128)</f>
        <v>-1.1399773662898988E-8</v>
      </c>
      <c r="AK129" s="72">
        <f>INTERCEPT(AV129:AY129,AV128:AY128)</f>
        <v>7.9358644188556926E-2</v>
      </c>
      <c r="AL129" s="72">
        <f>INDEX(LINEST(LN(AV129:AY129),LN(AV128:AY128),TRUE,TRUE),3,1)</f>
        <v>0.18486019106647461</v>
      </c>
      <c r="AM129" s="72">
        <f>INDEX(LINEST(LN(AV129:AY129),LN(AV128:AY128)),1)</f>
        <v>-2.8396505986087468E-2</v>
      </c>
      <c r="AN129" s="72">
        <f>EXP(INDEX(LINEST(LN(AV129:AY129),LN(AV128:AY128)),1,2))</f>
        <v>9.4884468815301964E-2</v>
      </c>
      <c r="AO129" s="89">
        <f>INDEX(LINEST((AV129:AY129),LN(AV128:AY128),TRUE,TRUE),3,1)</f>
        <v>0.14453615269488837</v>
      </c>
      <c r="AP129" s="89">
        <f>INDEX(LINEST((AV129:AY129),LN(AV128:AY128)),1)</f>
        <v>-1.6998266960237859E-3</v>
      </c>
      <c r="AQ129" s="90">
        <f>INDEX(LINEST(LN(AV129:AY129),SQRT(AV128:AY128),TRUE,TRUE),3,1)</f>
        <v>0.66346869250863216</v>
      </c>
      <c r="AR129" s="117">
        <f>INDEX(LINEST(LN(AV129:AY129),SQRT((AV128:AY128))),1)</f>
        <v>-2.8231838879614804E-4</v>
      </c>
      <c r="AS129" s="91">
        <f>INDEX(LINEST(1/(AV129:AY129),1/(SQRT(AV128:AY128)),TRUE,TRUE),3,1)</f>
        <v>2.8283671566077195E-2</v>
      </c>
      <c r="AT129" s="91">
        <f>INDEX(LINEST(1/(AV129:AY129),1/SQRT(AV128:AY128)),1)</f>
        <v>-31.825804979023701</v>
      </c>
      <c r="AU129" s="3"/>
      <c r="AV129" s="121">
        <v>7.0000000000000007E-2</v>
      </c>
      <c r="AW129" s="97">
        <v>0.09</v>
      </c>
      <c r="AX129" s="121">
        <v>7.0000000000000007E-2</v>
      </c>
      <c r="AY129" s="121">
        <v>0.05</v>
      </c>
      <c r="AZ129" s="11"/>
      <c r="BA129" s="11"/>
      <c r="BB129" s="11"/>
      <c r="BC129" s="11"/>
      <c r="BD129" s="11"/>
      <c r="BE129" s="11"/>
      <c r="BF129" s="11"/>
      <c r="BG129" s="11"/>
      <c r="BH129" s="11"/>
      <c r="BI129" s="11"/>
      <c r="BJ129" s="11"/>
      <c r="BK129" s="11"/>
      <c r="BL129" s="11"/>
      <c r="BM129" s="11"/>
      <c r="BN129" s="11"/>
      <c r="BO129" s="11"/>
      <c r="BP129" s="11"/>
      <c r="BQ129" s="11"/>
      <c r="BR129" s="11"/>
      <c r="BS129" s="11"/>
      <c r="BT129" s="11"/>
      <c r="BU129" s="11"/>
      <c r="BV129" s="11"/>
      <c r="BW129" s="11"/>
      <c r="BX129" s="11"/>
      <c r="BY129" s="11"/>
      <c r="BZ129" s="11"/>
      <c r="CA129" s="11"/>
      <c r="CB129" s="11"/>
      <c r="CC129" s="11"/>
      <c r="CD129" s="11"/>
      <c r="CE129" s="11"/>
      <c r="CF129" s="11"/>
      <c r="CG129" s="11"/>
      <c r="CH129" s="11"/>
      <c r="CI129" s="11"/>
      <c r="CJ129" s="11"/>
      <c r="CK129" s="11"/>
      <c r="CL129" s="11"/>
      <c r="CM129" s="11"/>
      <c r="CN129" s="11"/>
      <c r="CO129" s="11"/>
      <c r="CP129" s="11"/>
      <c r="CQ129" s="11"/>
      <c r="CR129" s="15"/>
      <c r="CS129" s="15"/>
      <c r="CT129" s="15"/>
      <c r="CU129" s="15"/>
    </row>
    <row r="130" spans="1:99" ht="12" customHeight="1" x14ac:dyDescent="0.2">
      <c r="A130" s="68">
        <v>43509</v>
      </c>
      <c r="B130" s="94"/>
      <c r="C130" s="94"/>
      <c r="D130" s="92"/>
      <c r="E130" s="105"/>
      <c r="F130" s="92"/>
      <c r="G130" s="92"/>
      <c r="H130" s="92"/>
      <c r="I130" s="92"/>
      <c r="J130" s="92"/>
      <c r="K130" s="107"/>
      <c r="L130" s="107"/>
      <c r="M130" s="92"/>
      <c r="N130" s="92"/>
      <c r="O130" s="92"/>
      <c r="P130" s="92"/>
      <c r="Q130" s="92"/>
      <c r="R130" s="69"/>
      <c r="S130" s="69"/>
      <c r="T130" s="92"/>
      <c r="U130" s="60"/>
      <c r="V130" s="92"/>
      <c r="W130" s="69"/>
      <c r="X130" s="92"/>
      <c r="Y130" s="87"/>
      <c r="Z130" s="92"/>
      <c r="AA130" s="92"/>
      <c r="AB130" s="69"/>
      <c r="AC130" s="69"/>
      <c r="AD130" s="69"/>
      <c r="AE130" s="69"/>
      <c r="AF130" s="88"/>
      <c r="AG130" s="72"/>
      <c r="AH130" s="4"/>
      <c r="AI130" s="119"/>
      <c r="AJ130" s="120"/>
      <c r="AK130" s="119"/>
      <c r="AL130" s="119"/>
      <c r="AM130" s="119"/>
      <c r="AN130" s="108"/>
      <c r="AO130" s="108"/>
      <c r="AP130" s="108"/>
      <c r="AQ130" s="72"/>
      <c r="AR130" s="110"/>
      <c r="AS130" s="72"/>
      <c r="AT130" s="72"/>
      <c r="AU130" s="4"/>
      <c r="AV130" s="122">
        <f>10*60</f>
        <v>600</v>
      </c>
      <c r="AW130" s="98">
        <f>24*3600</f>
        <v>86400</v>
      </c>
      <c r="AX130" s="122">
        <f>7*24*3600</f>
        <v>604800</v>
      </c>
      <c r="AY130" s="122">
        <f>30*24*3600</f>
        <v>2592000</v>
      </c>
      <c r="AZ130" s="11"/>
      <c r="BA130" s="11"/>
      <c r="BB130" s="11"/>
      <c r="BC130" s="11"/>
      <c r="BD130" s="11"/>
      <c r="BE130" s="11"/>
      <c r="BF130" s="11"/>
      <c r="BG130" s="11"/>
      <c r="BH130" s="11"/>
      <c r="BI130" s="11"/>
      <c r="BJ130" s="11"/>
      <c r="BK130" s="11"/>
      <c r="BL130" s="11"/>
      <c r="BM130" s="11"/>
      <c r="BN130" s="11"/>
      <c r="BO130" s="11"/>
      <c r="BP130" s="11"/>
      <c r="BQ130" s="11"/>
      <c r="BR130" s="11"/>
      <c r="BS130" s="11"/>
      <c r="BT130" s="11"/>
      <c r="BU130" s="11"/>
      <c r="BV130" s="11"/>
      <c r="BW130" s="11"/>
      <c r="BX130" s="11"/>
      <c r="BY130" s="11"/>
      <c r="BZ130" s="11"/>
      <c r="CA130" s="11"/>
      <c r="CB130" s="11"/>
      <c r="CC130" s="11"/>
      <c r="CD130" s="11"/>
      <c r="CE130" s="11"/>
      <c r="CF130" s="11"/>
      <c r="CG130" s="11"/>
      <c r="CH130" s="11"/>
      <c r="CI130" s="11"/>
      <c r="CJ130" s="11"/>
      <c r="CK130" s="11"/>
      <c r="CL130" s="11"/>
      <c r="CM130" s="11"/>
      <c r="CN130" s="11"/>
      <c r="CO130" s="11"/>
      <c r="CP130" s="11"/>
      <c r="CQ130" s="11"/>
      <c r="CR130" s="15"/>
      <c r="CS130" s="15"/>
      <c r="CT130" s="15"/>
      <c r="CU130" s="15"/>
    </row>
    <row r="131" spans="1:99" ht="12" customHeight="1" x14ac:dyDescent="0.2">
      <c r="A131" s="68">
        <v>43509</v>
      </c>
      <c r="B131" s="94" t="s">
        <v>287</v>
      </c>
      <c r="C131" s="94" t="s">
        <v>70</v>
      </c>
      <c r="D131" s="92">
        <v>2008</v>
      </c>
      <c r="E131" s="105">
        <v>1</v>
      </c>
      <c r="F131" s="92">
        <v>128</v>
      </c>
      <c r="G131" s="92">
        <v>32</v>
      </c>
      <c r="H131" s="92" t="s">
        <v>38</v>
      </c>
      <c r="I131" s="92" t="s">
        <v>713</v>
      </c>
      <c r="J131" s="92" t="s">
        <v>715</v>
      </c>
      <c r="K131" s="69">
        <f>IF(J131="syllables",1,IF(J131="trigrams",2,IF(J131="strings",3,IF(J131="visual array",4,IF(J131="characters",5,IF(J131="letters",6,IF(J131="free forms",7,IF(J131="odors",8,IF(J131="words",9,IF(J131="pictures",10,IF(J131="object pictures",11,IF(J131="faces",12,IF(J131="names",13,IF(J131="idioms",14,IF(J131="grades",15,IF(J131="syllable-digit pairs",16,IF(J131="trigram-word pairs",17,IF(J131="word-digit pairs",18,IF(J131="English-Swahili pairs",19,IF(J131="spatial position",20,IF(J131="word pairs",21,IF(J131="word triads",22,IF(J131="generated words",23,IF(J131="word definition pairs",24,IF(J131="math problems",25,IF(J131="famous faces",26,IF(J131="famous names",27,IF(J131="famous voices",28,IF(J131="television programs",29,IF(J131="race horses",30,IF(J131="new vocabulary",31,IF(J131="sentences",32,IF(J131="concepts",33,IF(J131="ad slides",34,IF(J131="scenes",35,IF(J131="famous scenes",36,IF(J131="poems",37,IF(J131="walk",38,IF(J131="faces and events",39,IF(J131="events and names",40,IF(J131="flashbulb",41,IF(J131="stories",42,IF(J131="course material",43,IF(J131="autobiographical",44,IF(J131="novels",45,IF(J131="public events",46,"99"))))))))))))))))))))))))))))))))))))))))))))))</f>
        <v>38</v>
      </c>
      <c r="L131" s="69">
        <f>IF(J131="syllables",1,IF(J131="trigrams",1,IF(J131="strings",1,IF(J131="visual array",1,IF(J131="characters",1,IF(J131="letters",1,IF(J131="free forms",1,IF(J131="odors",2,IF(J131="words",2,IF(J131="pictures",2,IF(J131="object pictures",2,IF(J131="faces",2,IF(J131="names",2,IF(J131="idioms","2",IF(J131="grades",2,IF(J131="syllable-digit pairs",3,IF(J131="trigram-word pairs",3,IF(J131="word-digit pairs",3,IF(J131="English-Swahili pairs",3,IF(J131="spatial position",3,IF(J131="word pairs",4,IF(J131="word triads",4,IF(J131="generated words",4,IF(J131="word definition pairs",4,IF(J131="math problems",4,IF(J131="famous faces",4,IF(J131="famous names",4,IF(J131="famous voices",4,IF(J131="television programs",4,IF(J131="race horses",4,IF(J131="new vocabulary",4,IF(J131="sentences",5,IF(J131="concepts",5,IF(J131="ad slides",5,IF(J131="scenes",5,IF(J131="famous scenes",5,IF(J131="poems",6,IF(J131="walk",6,IF(J131="faces and events",6,IF(J131="events and names",6,IF(J131="flashbulb",7,IF(J131="stories",7,IF(J131="course material",7,IF(J131="autobiographical",7,IF(J131="novels",7,IF(J131="public events",7,"99"))))))))))))))))))))))))))))))))))))))))))))))</f>
        <v>6</v>
      </c>
      <c r="M131" s="92">
        <v>0</v>
      </c>
      <c r="N131" s="92">
        <v>2</v>
      </c>
      <c r="O131" s="92">
        <v>0</v>
      </c>
      <c r="P131" s="92"/>
      <c r="Q131" s="69" t="s">
        <v>174</v>
      </c>
      <c r="R131" s="69">
        <f>IF(Q131="Free Recall",1,IF(Q131="Cued Recall",2,IF(Q131="Recognition",3,IF(Q131="Multiple Choice",4,IF(Q131="Savings",5,IF(Q131="Stem Completion",6,IF(Q131="Fragment Completion",7,IF(Q131="anagram solution",8,IF(Q131="Matching",9,IF(Q131="Problem Solving",10,"99"))))))))))</f>
        <v>1</v>
      </c>
      <c r="S131" s="69" t="s">
        <v>49</v>
      </c>
      <c r="T131" s="92" t="s">
        <v>261</v>
      </c>
      <c r="U131" s="60">
        <f>IF(T131="within",1,0)</f>
        <v>0</v>
      </c>
      <c r="V131" s="92">
        <v>7</v>
      </c>
      <c r="W131" s="69">
        <f>F131*V131</f>
        <v>896</v>
      </c>
      <c r="X131" s="92">
        <v>4</v>
      </c>
      <c r="Y131" s="87">
        <f>AV130</f>
        <v>600</v>
      </c>
      <c r="Z131" s="92" t="s">
        <v>185</v>
      </c>
      <c r="AA131" s="92">
        <f>30*24*3600</f>
        <v>2592000</v>
      </c>
      <c r="AB131" s="69" t="str">
        <f>IF(AA131&lt;60,"1",IF(AA131&lt;=43200,"2",IF(AA131&lt;=777600,"3","4")))</f>
        <v>4</v>
      </c>
      <c r="AC131" s="72">
        <f>AVERAGE(AV130:DA130)</f>
        <v>820950</v>
      </c>
      <c r="AD131" s="69" t="str">
        <f>IF(AC131&lt;60,"1",IF(AC131&lt;=43200,"2",IF(AC131&lt;=777600,"3","4")))</f>
        <v>4</v>
      </c>
      <c r="AE131" s="87">
        <f>AA131-Y131</f>
        <v>2591400</v>
      </c>
      <c r="AF131" s="88">
        <f>AV131</f>
        <v>0.13</v>
      </c>
      <c r="AG131" s="93">
        <f>((AW131-AV131)+(AX131-AW131)+(AY131-AX131))/3</f>
        <v>-3.3333333333333361E-3</v>
      </c>
      <c r="AH131" s="4"/>
      <c r="AI131" s="72">
        <f>RSQ(AV131:AY131,AV130:AY130)</f>
        <v>0.25057372939798056</v>
      </c>
      <c r="AJ131" s="110">
        <f>SLOPE(AV131:AY131,AV130:AY130)</f>
        <v>-1.36631446730166E-8</v>
      </c>
      <c r="AK131" s="72">
        <f>INTERCEPT(AV131:AY131,AV130:AY130)</f>
        <v>0.16371675861931301</v>
      </c>
      <c r="AL131" s="72">
        <f>INDEX(LINEST(LN(AV131:AY131),LN(AV130:AY130),TRUE,TRUE),3,1)</f>
        <v>3.000714663327592E-2</v>
      </c>
      <c r="AM131" s="72">
        <f>INDEX(LINEST(LN(AV131:AY131),LN(AV130:AY130)),1)</f>
        <v>1.031189540628568E-2</v>
      </c>
      <c r="AN131" s="72">
        <f>EXP(INDEX(LINEST(LN(AV131:AY131),LN(AV130:AY130)),1,2))</f>
        <v>0.13312344511257129</v>
      </c>
      <c r="AO131" s="89">
        <f>INDEX(LINEST((AV131:AY131),LN(AV130:AY130),TRUE,TRUE),3,1)</f>
        <v>4.2069324894305857E-2</v>
      </c>
      <c r="AP131" s="89">
        <f>INDEX(LINEST((AV131:AY131),LN(AV130:AY130)),1)</f>
        <v>1.8554951798057228E-3</v>
      </c>
      <c r="AQ131" s="90">
        <f>INDEX(LINEST(LN(AV131:AY131),SQRT(AV130:AY130),TRUE,TRUE),3,1)</f>
        <v>9.3706486608619521E-2</v>
      </c>
      <c r="AR131" s="117">
        <f>INDEX(LINEST(LN(AV131:AY131),SQRT((AV130:AY130))),1)</f>
        <v>-9.5630564381157806E-5</v>
      </c>
      <c r="AS131" s="91">
        <f>INDEX(LINEST(1/(AV131:AY131),1/(SQRT(AV130:AY130)),TRUE,TRUE),3,1)</f>
        <v>0.14587507411031103</v>
      </c>
      <c r="AT131" s="91">
        <f>INDEX(LINEST(1/(AV131:AY131),1/SQRT(AV130:AY130)),1)</f>
        <v>28.405744178689922</v>
      </c>
      <c r="AU131" s="3"/>
      <c r="AV131" s="121">
        <v>0.13</v>
      </c>
      <c r="AW131" s="97">
        <v>0.17</v>
      </c>
      <c r="AX131" s="121">
        <v>0.19</v>
      </c>
      <c r="AY131" s="121">
        <v>0.12</v>
      </c>
      <c r="AZ131" s="11"/>
      <c r="BA131" s="11"/>
      <c r="BB131" s="11"/>
      <c r="BC131" s="11"/>
      <c r="BD131" s="11"/>
      <c r="BE131" s="11"/>
      <c r="BF131" s="11"/>
      <c r="BG131" s="11"/>
      <c r="BH131" s="11"/>
      <c r="BI131" s="11"/>
      <c r="BJ131" s="11"/>
      <c r="BK131" s="11"/>
      <c r="BL131" s="11"/>
      <c r="BM131" s="11"/>
      <c r="BN131" s="11"/>
      <c r="BO131" s="11"/>
      <c r="BP131" s="11"/>
      <c r="BQ131" s="11"/>
      <c r="BR131" s="11"/>
      <c r="BS131" s="11"/>
      <c r="BT131" s="11"/>
      <c r="BU131" s="11"/>
      <c r="BV131" s="11"/>
      <c r="BW131" s="11"/>
      <c r="BX131" s="11"/>
      <c r="BY131" s="11"/>
      <c r="BZ131" s="11"/>
      <c r="CA131" s="11"/>
      <c r="CB131" s="11"/>
      <c r="CC131" s="11"/>
      <c r="CD131" s="11"/>
      <c r="CE131" s="11"/>
      <c r="CF131" s="11"/>
      <c r="CG131" s="11"/>
      <c r="CH131" s="11"/>
      <c r="CI131" s="11"/>
      <c r="CJ131" s="11"/>
      <c r="CK131" s="11"/>
      <c r="CL131" s="11"/>
      <c r="CM131" s="11"/>
      <c r="CN131" s="11"/>
      <c r="CO131" s="11"/>
      <c r="CP131" s="11"/>
      <c r="CQ131" s="11"/>
      <c r="CR131" s="15"/>
      <c r="CS131" s="15"/>
      <c r="CT131" s="15"/>
      <c r="CU131" s="15"/>
    </row>
    <row r="132" spans="1:99" ht="12" customHeight="1" x14ac:dyDescent="0.2">
      <c r="A132" s="68">
        <v>43509</v>
      </c>
      <c r="B132" s="94"/>
      <c r="C132" s="94"/>
      <c r="D132" s="92"/>
      <c r="E132" s="105"/>
      <c r="F132" s="92"/>
      <c r="G132" s="92"/>
      <c r="H132" s="92"/>
      <c r="I132" s="92"/>
      <c r="J132" s="92"/>
      <c r="K132" s="107"/>
      <c r="L132" s="107"/>
      <c r="M132" s="92"/>
      <c r="N132" s="92"/>
      <c r="O132" s="92"/>
      <c r="P132" s="92"/>
      <c r="Q132" s="92"/>
      <c r="R132" s="69"/>
      <c r="S132" s="69"/>
      <c r="T132" s="92"/>
      <c r="U132" s="60"/>
      <c r="V132" s="92"/>
      <c r="W132" s="69"/>
      <c r="X132" s="92"/>
      <c r="Y132" s="87"/>
      <c r="Z132" s="92"/>
      <c r="AA132" s="92"/>
      <c r="AB132" s="69"/>
      <c r="AC132" s="69"/>
      <c r="AD132" s="69"/>
      <c r="AE132" s="69"/>
      <c r="AF132" s="88"/>
      <c r="AG132" s="72"/>
      <c r="AH132" s="4"/>
      <c r="AI132" s="119"/>
      <c r="AJ132" s="120"/>
      <c r="AK132" s="119"/>
      <c r="AL132" s="119"/>
      <c r="AM132" s="119"/>
      <c r="AN132" s="108"/>
      <c r="AO132" s="108"/>
      <c r="AP132" s="108"/>
      <c r="AQ132" s="72"/>
      <c r="AR132" s="110"/>
      <c r="AS132" s="72"/>
      <c r="AT132" s="72"/>
      <c r="AU132" s="4"/>
      <c r="AV132" s="122">
        <f>10*60</f>
        <v>600</v>
      </c>
      <c r="AW132" s="98">
        <f>24*3600</f>
        <v>86400</v>
      </c>
      <c r="AX132" s="122">
        <f>7*24*3600</f>
        <v>604800</v>
      </c>
      <c r="AY132" s="122">
        <f>30*24*3600</f>
        <v>2592000</v>
      </c>
      <c r="AZ132" s="11"/>
      <c r="BA132" s="11"/>
      <c r="BB132" s="11"/>
      <c r="BC132" s="11"/>
      <c r="BD132" s="11"/>
      <c r="BE132" s="11"/>
      <c r="BF132" s="11"/>
      <c r="BG132" s="11"/>
      <c r="BH132" s="11"/>
      <c r="BI132" s="11"/>
      <c r="BJ132" s="11"/>
      <c r="BK132" s="11"/>
      <c r="BL132" s="11"/>
      <c r="BM132" s="11"/>
      <c r="BN132" s="11"/>
      <c r="BO132" s="11"/>
      <c r="BP132" s="11"/>
      <c r="BQ132" s="11"/>
      <c r="BR132" s="11"/>
      <c r="BS132" s="11"/>
      <c r="BT132" s="11"/>
      <c r="BU132" s="11"/>
      <c r="BV132" s="11"/>
      <c r="BW132" s="11"/>
      <c r="BX132" s="11"/>
      <c r="BY132" s="11"/>
      <c r="BZ132" s="11"/>
      <c r="CA132" s="11"/>
      <c r="CB132" s="11"/>
      <c r="CC132" s="11"/>
      <c r="CD132" s="11"/>
      <c r="CE132" s="11"/>
      <c r="CF132" s="11"/>
      <c r="CG132" s="11"/>
      <c r="CH132" s="11"/>
      <c r="CI132" s="11"/>
      <c r="CJ132" s="11"/>
      <c r="CK132" s="11"/>
      <c r="CL132" s="11"/>
      <c r="CM132" s="11"/>
      <c r="CN132" s="11"/>
      <c r="CO132" s="11"/>
      <c r="CP132" s="11"/>
      <c r="CQ132" s="11"/>
      <c r="CR132" s="15"/>
      <c r="CS132" s="15"/>
      <c r="CT132" s="15"/>
      <c r="CU132" s="15"/>
    </row>
    <row r="133" spans="1:99" ht="12" customHeight="1" x14ac:dyDescent="0.2">
      <c r="A133" s="68">
        <v>43509</v>
      </c>
      <c r="B133" s="94" t="s">
        <v>287</v>
      </c>
      <c r="C133" s="94" t="s">
        <v>70</v>
      </c>
      <c r="D133" s="92">
        <v>2008</v>
      </c>
      <c r="E133" s="105">
        <v>1</v>
      </c>
      <c r="F133" s="92">
        <v>128</v>
      </c>
      <c r="G133" s="92">
        <v>32</v>
      </c>
      <c r="H133" s="92" t="s">
        <v>38</v>
      </c>
      <c r="I133" s="92" t="s">
        <v>714</v>
      </c>
      <c r="J133" s="92" t="s">
        <v>715</v>
      </c>
      <c r="K133" s="69">
        <f>IF(J133="syllables",1,IF(J133="trigrams",2,IF(J133="strings",3,IF(J133="visual array",4,IF(J133="characters",5,IF(J133="letters",6,IF(J133="free forms",7,IF(J133="odors",8,IF(J133="words",9,IF(J133="pictures",10,IF(J133="object pictures",11,IF(J133="faces",12,IF(J133="names",13,IF(J133="idioms",14,IF(J133="grades",15,IF(J133="syllable-digit pairs",16,IF(J133="trigram-word pairs",17,IF(J133="word-digit pairs",18,IF(J133="English-Swahili pairs",19,IF(J133="spatial position",20,IF(J133="word pairs",21,IF(J133="word triads",22,IF(J133="generated words",23,IF(J133="word definition pairs",24,IF(J133="math problems",25,IF(J133="famous faces",26,IF(J133="famous names",27,IF(J133="famous voices",28,IF(J133="television programs",29,IF(J133="race horses",30,IF(J133="new vocabulary",31,IF(J133="sentences",32,IF(J133="concepts",33,IF(J133="ad slides",34,IF(J133="scenes",35,IF(J133="famous scenes",36,IF(J133="poems",37,IF(J133="walk",38,IF(J133="faces and events",39,IF(J133="events and names",40,IF(J133="flashbulb",41,IF(J133="stories",42,IF(J133="course material",43,IF(J133="autobiographical",44,IF(J133="novels",45,IF(J133="public events",46,"99"))))))))))))))))))))))))))))))))))))))))))))))</f>
        <v>38</v>
      </c>
      <c r="L133" s="69">
        <f>IF(J133="syllables",1,IF(J133="trigrams",1,IF(J133="strings",1,IF(J133="visual array",1,IF(J133="characters",1,IF(J133="letters",1,IF(J133="free forms",1,IF(J133="odors",2,IF(J133="words",2,IF(J133="pictures",2,IF(J133="object pictures",2,IF(J133="faces",2,IF(J133="names",2,IF(J133="idioms","2",IF(J133="grades",2,IF(J133="syllable-digit pairs",3,IF(J133="trigram-word pairs",3,IF(J133="word-digit pairs",3,IF(J133="English-Swahili pairs",3,IF(J133="spatial position",3,IF(J133="word pairs",4,IF(J133="word triads",4,IF(J133="generated words",4,IF(J133="word definition pairs",4,IF(J133="math problems",4,IF(J133="famous faces",4,IF(J133="famous names",4,IF(J133="famous voices",4,IF(J133="television programs",4,IF(J133="race horses",4,IF(J133="new vocabulary",4,IF(J133="sentences",5,IF(J133="concepts",5,IF(J133="ad slides",5,IF(J133="scenes",5,IF(J133="famous scenes",5,IF(J133="poems",6,IF(J133="walk",6,IF(J133="faces and events",6,IF(J133="events and names",6,IF(J133="flashbulb",7,IF(J133="stories",7,IF(J133="course material",7,IF(J133="autobiographical",7,IF(J133="novels",7,IF(J133="public events",7,"99"))))))))))))))))))))))))))))))))))))))))))))))</f>
        <v>6</v>
      </c>
      <c r="M133" s="92">
        <v>0</v>
      </c>
      <c r="N133" s="92">
        <v>2</v>
      </c>
      <c r="O133" s="92">
        <v>0</v>
      </c>
      <c r="P133" s="92"/>
      <c r="Q133" s="69" t="s">
        <v>174</v>
      </c>
      <c r="R133" s="69">
        <f>IF(Q133="Free Recall",1,IF(Q133="Cued Recall",2,IF(Q133="Recognition",3,IF(Q133="Multiple Choice",4,IF(Q133="Savings",5,IF(Q133="Stem Completion",6,IF(Q133="Fragment Completion",7,IF(Q133="anagram solution",8,IF(Q133="Matching",9,IF(Q133="Problem Solving",10,"99"))))))))))</f>
        <v>1</v>
      </c>
      <c r="S133" s="69" t="s">
        <v>49</v>
      </c>
      <c r="T133" s="92" t="s">
        <v>261</v>
      </c>
      <c r="U133" s="60">
        <f>IF(T133="within",1,0)</f>
        <v>0</v>
      </c>
      <c r="V133" s="92">
        <v>7</v>
      </c>
      <c r="W133" s="69">
        <f>F133*V133</f>
        <v>896</v>
      </c>
      <c r="X133" s="92">
        <v>4</v>
      </c>
      <c r="Y133" s="87">
        <f>AV132</f>
        <v>600</v>
      </c>
      <c r="Z133" s="92" t="s">
        <v>185</v>
      </c>
      <c r="AA133" s="92">
        <f>30*24*3600</f>
        <v>2592000</v>
      </c>
      <c r="AB133" s="69" t="str">
        <f>IF(AA133&lt;60,"1",IF(AA133&lt;=43200,"2",IF(AA133&lt;=777600,"3","4")))</f>
        <v>4</v>
      </c>
      <c r="AC133" s="72">
        <f>AVERAGE(AV132:DA132)</f>
        <v>820950</v>
      </c>
      <c r="AD133" s="69" t="str">
        <f>IF(AC133&lt;60,"1",IF(AC133&lt;=43200,"2",IF(AC133&lt;=777600,"3","4")))</f>
        <v>4</v>
      </c>
      <c r="AE133" s="87">
        <f>AA133-Y133</f>
        <v>2591400</v>
      </c>
      <c r="AF133" s="88">
        <f>AV133</f>
        <v>0.12</v>
      </c>
      <c r="AG133" s="72">
        <f>((AW133-AV133)+(AX133-AW133)+(AY133-AX133))/3</f>
        <v>-1.3333333333333331E-2</v>
      </c>
      <c r="AH133" s="4"/>
      <c r="AI133" s="72">
        <f>RSQ(AV133:AY133,AV132:AY132)</f>
        <v>0.94283810526130074</v>
      </c>
      <c r="AJ133" s="110">
        <f>SLOPE(AV133:AY133,AV132:AY132)</f>
        <v>-1.7786554183986163E-8</v>
      </c>
      <c r="AK133" s="72">
        <f>INTERCEPT(AV133:AY133,AV132:AY132)</f>
        <v>0.12710187165734343</v>
      </c>
      <c r="AL133" s="72">
        <f>INDEX(LINEST(LN(AV133:AY133),LN(AV132:AY132),TRUE,TRUE),3,1)</f>
        <v>0.31477046023892158</v>
      </c>
      <c r="AM133" s="72">
        <f>INDEX(LINEST(LN(AV133:AY133),LN(AV132:AY132)),1)</f>
        <v>-3.3693994142109641E-2</v>
      </c>
      <c r="AN133" s="72">
        <f>EXP(INDEX(LINEST(LN(AV133:AY133),LN(AV132:AY132)),1,2))</f>
        <v>0.16276464319838804</v>
      </c>
      <c r="AO133" s="89">
        <f>INDEX(LINEST((AV133:AY133),LN(AV132:AY132),TRUE,TRUE),3,1)</f>
        <v>0.30066151495930704</v>
      </c>
      <c r="AP133" s="89">
        <f>INDEX(LINEST((AV133:AY133),LN(AV132:AY132)),1)</f>
        <v>-3.3289428376769414E-3</v>
      </c>
      <c r="AQ133" s="90">
        <f>INDEX(LINEST(LN(AV133:AY133),SQRT(AV132:AY132),TRUE,TRUE),3,1)</f>
        <v>0.79801519697850587</v>
      </c>
      <c r="AR133" s="117">
        <f>INDEX(LINEST(LN(AV133:AY133),SQRT((AV132:AY132))),1)</f>
        <v>-2.8154436191771081E-4</v>
      </c>
      <c r="AS133" s="91">
        <f>INDEX(LINEST(1/(AV133:AY133),1/(SQRT(AV132:AY132)),TRUE,TRUE),3,1)</f>
        <v>9.6243370186999799E-2</v>
      </c>
      <c r="AT133" s="91">
        <f>INDEX(LINEST(1/(AV133:AY133),1/SQRT(AV132:AY132)),1)</f>
        <v>-35.059914475045815</v>
      </c>
      <c r="AU133" s="3"/>
      <c r="AV133" s="121">
        <v>0.12</v>
      </c>
      <c r="AW133" s="97">
        <v>0.13</v>
      </c>
      <c r="AX133" s="121">
        <v>0.12</v>
      </c>
      <c r="AY133" s="121">
        <v>0.08</v>
      </c>
      <c r="AZ133" s="11"/>
      <c r="BA133" s="11"/>
      <c r="BB133" s="11"/>
      <c r="BC133" s="11"/>
      <c r="BD133" s="11"/>
      <c r="BE133" s="11"/>
      <c r="BF133" s="11"/>
      <c r="BG133" s="11"/>
      <c r="BH133" s="11"/>
      <c r="BI133" s="11"/>
      <c r="BJ133" s="11"/>
      <c r="BK133" s="11"/>
      <c r="BL133" s="11"/>
      <c r="BM133" s="11"/>
      <c r="BN133" s="11"/>
      <c r="BO133" s="11"/>
      <c r="BP133" s="11"/>
      <c r="BQ133" s="11"/>
      <c r="BR133" s="11"/>
      <c r="BS133" s="11"/>
      <c r="BT133" s="11"/>
      <c r="BU133" s="11"/>
      <c r="BV133" s="11"/>
      <c r="BW133" s="11"/>
      <c r="BX133" s="11"/>
      <c r="BY133" s="11"/>
      <c r="BZ133" s="11"/>
      <c r="CA133" s="11"/>
      <c r="CB133" s="11"/>
      <c r="CC133" s="11"/>
      <c r="CD133" s="11"/>
      <c r="CE133" s="11"/>
      <c r="CF133" s="11"/>
      <c r="CG133" s="11"/>
      <c r="CH133" s="11"/>
      <c r="CI133" s="11"/>
      <c r="CJ133" s="11"/>
      <c r="CK133" s="11"/>
      <c r="CL133" s="11"/>
      <c r="CM133" s="11"/>
      <c r="CN133" s="11"/>
      <c r="CO133" s="11"/>
      <c r="CP133" s="11"/>
      <c r="CQ133" s="11"/>
      <c r="CR133" s="15"/>
      <c r="CS133" s="15"/>
      <c r="CT133" s="15"/>
      <c r="CU133" s="15"/>
    </row>
    <row r="134" spans="1:99" ht="12" customHeight="1" x14ac:dyDescent="0.2">
      <c r="A134" s="65">
        <v>43509</v>
      </c>
      <c r="B134" s="15"/>
      <c r="C134" s="15"/>
      <c r="D134" s="59"/>
      <c r="E134" s="75"/>
      <c r="F134" s="59"/>
      <c r="G134" s="59"/>
      <c r="H134" s="59"/>
      <c r="I134" s="59"/>
      <c r="J134" s="59"/>
      <c r="M134" s="59"/>
      <c r="N134" s="59"/>
      <c r="O134" s="59"/>
      <c r="P134" s="59"/>
      <c r="Q134" s="59"/>
      <c r="R134" s="60"/>
      <c r="S134" s="59"/>
      <c r="T134" s="59"/>
      <c r="U134" s="60"/>
      <c r="V134" s="59"/>
      <c r="W134" s="60"/>
      <c r="X134" s="59"/>
      <c r="Y134" s="76"/>
      <c r="AB134" s="60"/>
      <c r="AC134" s="60"/>
      <c r="AD134" s="60"/>
      <c r="AE134" s="60"/>
      <c r="AF134" s="80"/>
      <c r="AG134" s="56"/>
      <c r="AI134" s="55"/>
      <c r="AJ134" s="111"/>
      <c r="AK134" s="55"/>
      <c r="AL134" s="55"/>
      <c r="AM134" s="55"/>
      <c r="AN134" s="55"/>
      <c r="AO134" s="55"/>
      <c r="AP134" s="55"/>
      <c r="AQ134" s="56"/>
      <c r="AR134" s="109"/>
      <c r="AS134" s="56"/>
      <c r="AT134" s="56"/>
      <c r="AU134" s="4"/>
      <c r="AV134" s="50">
        <f>10*60</f>
        <v>600</v>
      </c>
      <c r="AW134" s="47">
        <f>3.5*24*3600</f>
        <v>302400</v>
      </c>
      <c r="AX134" s="47">
        <f>7*24*3600</f>
        <v>604800</v>
      </c>
      <c r="AY134" s="47">
        <f>14*24*3600</f>
        <v>1209600</v>
      </c>
      <c r="AZ134" s="47">
        <f>8*7*24*3600</f>
        <v>4838400</v>
      </c>
      <c r="BA134" s="11" t="s">
        <v>517</v>
      </c>
      <c r="BB134" s="11"/>
      <c r="BC134" s="11"/>
      <c r="BD134" s="11"/>
      <c r="BE134" s="11"/>
      <c r="BF134" s="11"/>
      <c r="BG134" s="11"/>
      <c r="BH134" s="11"/>
      <c r="BI134" s="11"/>
      <c r="BJ134" s="11"/>
      <c r="BK134" s="11"/>
      <c r="BL134" s="11"/>
      <c r="BM134" s="11"/>
      <c r="BN134" s="11"/>
      <c r="BO134" s="11"/>
      <c r="BP134" s="11"/>
      <c r="BQ134" s="11"/>
      <c r="BR134" s="11"/>
      <c r="BS134" s="11"/>
      <c r="BT134" s="11"/>
      <c r="BU134" s="11"/>
      <c r="BV134" s="11"/>
      <c r="BW134" s="11"/>
      <c r="BX134" s="11"/>
      <c r="BY134" s="11"/>
      <c r="BZ134" s="11"/>
      <c r="CA134" s="11"/>
      <c r="CB134" s="11"/>
      <c r="CC134" s="11"/>
      <c r="CD134" s="11"/>
      <c r="CE134" s="11"/>
      <c r="CF134" s="11"/>
      <c r="CG134" s="11"/>
      <c r="CH134" s="11"/>
      <c r="CI134" s="11"/>
      <c r="CJ134" s="11"/>
      <c r="CK134" s="11"/>
      <c r="CL134" s="11"/>
      <c r="CM134" s="11"/>
      <c r="CN134" s="11"/>
      <c r="CO134" s="11"/>
      <c r="CP134" s="11"/>
      <c r="CQ134" s="11"/>
      <c r="CR134" s="15"/>
      <c r="CS134" s="15"/>
      <c r="CT134" s="15"/>
      <c r="CU134" s="15"/>
    </row>
    <row r="135" spans="1:99" ht="12" customHeight="1" x14ac:dyDescent="0.2">
      <c r="A135" s="65">
        <v>43509</v>
      </c>
      <c r="B135" s="15" t="s">
        <v>278</v>
      </c>
      <c r="C135" s="15" t="s">
        <v>277</v>
      </c>
      <c r="D135" s="59">
        <v>1923</v>
      </c>
      <c r="E135" s="75" t="s">
        <v>716</v>
      </c>
      <c r="F135" s="59">
        <v>69</v>
      </c>
      <c r="G135" s="59">
        <v>69</v>
      </c>
      <c r="H135" s="64" t="s">
        <v>275</v>
      </c>
      <c r="I135" s="59"/>
      <c r="J135" s="59" t="s">
        <v>585</v>
      </c>
      <c r="K135" s="60">
        <f>IF(J135="syllables",1,IF(J135="trigrams",2,IF(J135="strings",3,IF(J135="visual array",4,IF(J135="characters",5,IF(J135="letters",6,IF(J135="free forms",7,IF(J135="odors",8,IF(J135="words",9,IF(J135="pictures",10,IF(J135="object pictures",11,IF(J135="faces",12,IF(J135="names",13,IF(J135="idioms",14,IF(J135="grades",15,IF(J135="syllable-digit pairs",16,IF(J135="trigram-word pairs",17,IF(J135="word-digit pairs",18,IF(J135="English-Swahili pairs",19,IF(J135="spatial position",20,IF(J135="word pairs",21,IF(J135="word triads",22,IF(J135="generated words",23,IF(J135="word definition pairs",24,IF(J135="math problems",25,IF(J135="famous faces",26,IF(J135="famous names",27,IF(J135="famous voices",28,IF(J135="television programs",29,IF(J135="race horses",30,IF(J135="new vocabulary",31,IF(J135="sentences",32,IF(J135="concepts",33,IF(J135="ad slides",34,IF(J135="scenes",35,IF(J135="famous scenes",36,IF(J135="poems",37,IF(J135="walk",38,IF(J135="faces and events",39,IF(J135="events and names",40,IF(J135="flashbulb",41,IF(J135="stories",42,IF(J135="course material",43,IF(J135="autobiographical",44,IF(J135="novels",45,IF(J135="public events",46,"99"))))))))))))))))))))))))))))))))))))))))))))))</f>
        <v>43</v>
      </c>
      <c r="L135" s="60">
        <f>IF(J135="syllables",1,IF(J135="trigrams",1,IF(J135="strings",1,IF(J135="visual array",1,IF(J135="characters",1,IF(J135="letters",1,IF(J135="free forms",1,IF(J135="odors",2,IF(J135="words",2,IF(J135="pictures",2,IF(J135="object pictures",2,IF(J135="faces",2,IF(J135="names",2,IF(J135="idioms","2",IF(J135="grades",2,IF(J135="syllable-digit pairs",3,IF(J135="trigram-word pairs",3,IF(J135="word-digit pairs",3,IF(J135="English-Swahili pairs",3,IF(J135="spatial position",3,IF(J135="word pairs",4,IF(J135="word triads",4,IF(J135="generated words",4,IF(J135="word definition pairs",4,IF(J135="math problems",4,IF(J135="famous faces",4,IF(J135="famous names",4,IF(J135="famous voices",4,IF(J135="television programs",4,IF(J135="race horses",4,IF(J135="new vocabulary",4,IF(J135="sentences",5,IF(J135="concepts",5,IF(J135="ad slides",5,IF(J135="scenes",5,IF(J135="famous scenes",5,IF(J135="poems",6,IF(J135="walk",6,IF(J135="faces and events",6,IF(J135="events and names",6,IF(J135="flashbulb",7,IF(J135="stories",7,IF(J135="course material",7,IF(J135="autobiographical",7,IF(J135="novels",7,IF(J135="public events",7,"99"))))))))))))))))))))))))))))))))))))))))))))))</f>
        <v>7</v>
      </c>
      <c r="M135" s="59">
        <v>0</v>
      </c>
      <c r="N135" s="59">
        <v>2</v>
      </c>
      <c r="O135" s="59">
        <v>0</v>
      </c>
      <c r="P135" s="59"/>
      <c r="Q135" s="59" t="s">
        <v>65</v>
      </c>
      <c r="R135" s="60">
        <f>IF(Q135="Free Recall",1,IF(Q135="Cued Recall",2,IF(Q135="Recognition",3,IF(Q135="Multiple Choice",4,IF(Q135="Savings",5,IF(Q135="Stem Completion",6,IF(Q135="Fragment Completion",7,IF(Q135="anagram solution",8,IF(Q135="Matching",9,IF(Q135="Problem Solving",10,"99"))))))))))</f>
        <v>2</v>
      </c>
      <c r="S135" s="59" t="s">
        <v>49</v>
      </c>
      <c r="T135" s="59" t="s">
        <v>581</v>
      </c>
      <c r="U135" s="60">
        <f>IF(T135="within",1,0)</f>
        <v>1</v>
      </c>
      <c r="V135" s="59">
        <v>15</v>
      </c>
      <c r="W135" s="60">
        <f>F135*V135</f>
        <v>1035</v>
      </c>
      <c r="X135" s="59">
        <v>5</v>
      </c>
      <c r="Y135" s="76">
        <f>AV134</f>
        <v>600</v>
      </c>
      <c r="Z135" s="59" t="s">
        <v>276</v>
      </c>
      <c r="AA135" s="59">
        <f>8*7*24*3600</f>
        <v>4838400</v>
      </c>
      <c r="AB135" s="60" t="str">
        <f>IF(AA135&lt;60,"1",IF(AA135&lt;=43200,"2",IF(AA135&lt;=777600,"3","4")))</f>
        <v>4</v>
      </c>
      <c r="AC135" s="56">
        <f>AVERAGE(AV134:DA134)</f>
        <v>1391160</v>
      </c>
      <c r="AD135" s="60" t="str">
        <f>IF(AC135&lt;60,"1",IF(AC135&lt;=43200,"2",IF(AC135&lt;=777600,"3","4")))</f>
        <v>4</v>
      </c>
      <c r="AE135" s="76">
        <f>AA135-Y135</f>
        <v>4837800</v>
      </c>
      <c r="AF135" s="80">
        <f>AV135</f>
        <v>0.62</v>
      </c>
      <c r="AG135" s="56">
        <f>((AW135-AV135)+(AX135-AW135)+(AY135-AX135)+(AZ135-AY135))/4</f>
        <v>-9.4750000000000001E-2</v>
      </c>
      <c r="AH135" s="4"/>
      <c r="AI135" s="56">
        <f>RSQ(AV135:AZ135,AV134:AZ134)</f>
        <v>0.52715069349108135</v>
      </c>
      <c r="AJ135" s="109">
        <f>SLOPE(AV135:AZ135,AV134:AZ134)</f>
        <v>-5.4440845154975766E-8</v>
      </c>
      <c r="AK135" s="56">
        <f>INTERCEPT(AV135:AZ135,AV134:AZ134)</f>
        <v>0.46893592614579616</v>
      </c>
      <c r="AL135" s="56">
        <f>INDEX(LINEST(LN(AV135:AZ135),LN(AV134:AZ134),TRUE,TRUE),3,1)</f>
        <v>0.85854703014004896</v>
      </c>
      <c r="AM135" s="56">
        <f>INDEX(LINEST(LN(AV135:AZ135),LN(AV134:AZ134)),1)</f>
        <v>-9.7071033538941989E-2</v>
      </c>
      <c r="AN135" s="56">
        <f>EXP(INDEX(LINEST(LN(AV135:AZ135),LN(AV134:AZ134)),1,2))</f>
        <v>1.234556286232392</v>
      </c>
      <c r="AO135" s="82">
        <f>INDEX(LINEST((AV135:AZ135),LN(AV134:AZ134),TRUE,TRUE),3,1)</f>
        <v>0.92608293036332501</v>
      </c>
      <c r="AP135" s="82">
        <f>INDEX(LINEST((AV135:AZ135),LN(AV134:AZ134)),1)</f>
        <v>-4.1021964800964823E-2</v>
      </c>
      <c r="AQ135" s="83">
        <f>INDEX(LINEST(LN(AV135:AZ135),SQRT(AV134:AZ134),TRUE,TRUE),3,1)</f>
        <v>0.88295553724469877</v>
      </c>
      <c r="AR135" s="116">
        <f>INDEX(LINEST(LN(AV135:AZ135),SQRT((AV134:AZ134))),1)</f>
        <v>-4.2257713377437373E-4</v>
      </c>
      <c r="AS135" s="84">
        <f>INDEX(LINEST(1/(AV135:AZ135),1/(SQRT(AV134:AZ134)),TRUE,TRUE),3,1)</f>
        <v>0.51104340825533201</v>
      </c>
      <c r="AT135" s="84">
        <f>INDEX(LINEST(1/(AV135:AZ135),1/SQRT(AV134:AZ134)),1)</f>
        <v>-39.247219785133851</v>
      </c>
      <c r="AU135" s="3"/>
      <c r="AV135" s="11">
        <v>0.62</v>
      </c>
      <c r="AW135" s="11">
        <v>0.45300000000000001</v>
      </c>
      <c r="AX135" s="11">
        <v>0.34599999999999997</v>
      </c>
      <c r="AY135" s="11">
        <v>0.30599999999999999</v>
      </c>
      <c r="AZ135" s="11">
        <v>0.24099999999999999</v>
      </c>
      <c r="BA135" s="11"/>
      <c r="BB135" s="11"/>
      <c r="BC135" s="11"/>
      <c r="BD135" s="11"/>
      <c r="BE135" s="11"/>
      <c r="BF135" s="11"/>
      <c r="BG135" s="11"/>
      <c r="BH135" s="11"/>
      <c r="BI135" s="11"/>
      <c r="BJ135" s="11"/>
      <c r="BK135" s="11"/>
      <c r="BL135" s="11"/>
      <c r="BM135" s="11"/>
      <c r="BN135" s="11"/>
      <c r="BO135" s="11"/>
      <c r="BP135" s="11"/>
      <c r="BQ135" s="11"/>
      <c r="BR135" s="11"/>
      <c r="BS135" s="11"/>
      <c r="BT135" s="11"/>
      <c r="BU135" s="11"/>
      <c r="BV135" s="11"/>
      <c r="BW135" s="11"/>
      <c r="BX135" s="11"/>
      <c r="BY135" s="11"/>
      <c r="BZ135" s="11"/>
      <c r="CA135" s="11"/>
      <c r="CB135" s="11"/>
      <c r="CC135" s="11"/>
      <c r="CD135" s="11"/>
      <c r="CE135" s="11"/>
      <c r="CF135" s="11"/>
      <c r="CG135" s="11"/>
      <c r="CH135" s="11"/>
      <c r="CI135" s="11"/>
      <c r="CJ135" s="11"/>
      <c r="CK135" s="11"/>
      <c r="CL135" s="11"/>
      <c r="CM135" s="11"/>
      <c r="CN135" s="11"/>
      <c r="CO135" s="11"/>
      <c r="CP135" s="11"/>
      <c r="CQ135" s="11"/>
      <c r="CR135" s="15"/>
      <c r="CS135" s="15"/>
      <c r="CT135" s="15"/>
      <c r="CU135" s="15"/>
    </row>
    <row r="136" spans="1:99" s="13" customFormat="1" ht="12" customHeight="1" x14ac:dyDescent="0.2">
      <c r="A136" s="68">
        <v>43978</v>
      </c>
      <c r="B136" s="70"/>
      <c r="C136" s="70"/>
      <c r="D136" s="69"/>
      <c r="E136" s="87"/>
      <c r="F136" s="69"/>
      <c r="G136" s="69"/>
      <c r="H136" s="69"/>
      <c r="I136" s="69"/>
      <c r="J136" s="69"/>
      <c r="K136" s="69"/>
      <c r="L136" s="69"/>
      <c r="M136" s="69"/>
      <c r="N136" s="92"/>
      <c r="O136" s="69"/>
      <c r="P136" s="69"/>
      <c r="Q136" s="69"/>
      <c r="R136" s="69"/>
      <c r="S136" s="69"/>
      <c r="T136" s="92"/>
      <c r="U136" s="69"/>
      <c r="V136" s="92"/>
      <c r="W136" s="69"/>
      <c r="X136" s="69"/>
      <c r="Y136" s="87"/>
      <c r="Z136" s="92"/>
      <c r="AA136" s="69"/>
      <c r="AB136" s="69"/>
      <c r="AC136" s="72"/>
      <c r="AD136" s="69"/>
      <c r="AE136" s="87"/>
      <c r="AF136" s="88"/>
      <c r="AG136" s="72"/>
      <c r="AH136" s="4"/>
      <c r="AI136" s="72"/>
      <c r="AJ136" s="110"/>
      <c r="AK136" s="72"/>
      <c r="AL136" s="72"/>
      <c r="AM136" s="72"/>
      <c r="AN136" s="72"/>
      <c r="AO136" s="89"/>
      <c r="AP136" s="89"/>
      <c r="AQ136" s="90"/>
      <c r="AR136" s="117"/>
      <c r="AS136" s="91"/>
      <c r="AT136" s="91"/>
      <c r="AU136" s="3"/>
      <c r="AV136" s="71">
        <v>30</v>
      </c>
      <c r="AW136" s="71">
        <f>60*30</f>
        <v>1800</v>
      </c>
      <c r="AX136" s="71">
        <f>60*60*24*7*6</f>
        <v>3628800</v>
      </c>
      <c r="AY136" s="73"/>
      <c r="AZ136" s="97" t="s">
        <v>947</v>
      </c>
      <c r="BA136" s="53"/>
      <c r="BB136" s="53"/>
      <c r="BC136" s="53"/>
      <c r="BD136" s="53"/>
      <c r="BE136" s="53"/>
      <c r="BF136" s="53"/>
      <c r="BG136" s="53"/>
      <c r="BH136" s="53"/>
      <c r="BI136" s="53"/>
      <c r="BJ136" s="53"/>
      <c r="BK136" s="53"/>
      <c r="BL136" s="53"/>
      <c r="BM136" s="53"/>
      <c r="BN136" s="53"/>
      <c r="BO136" s="53"/>
      <c r="BP136" s="53"/>
      <c r="BQ136" s="53"/>
      <c r="BR136" s="53"/>
      <c r="BS136" s="53"/>
      <c r="BT136" s="53"/>
      <c r="BU136" s="53"/>
      <c r="BV136" s="53"/>
      <c r="BW136" s="53"/>
      <c r="BX136" s="53"/>
      <c r="BY136" s="53"/>
      <c r="BZ136" s="53"/>
      <c r="CA136" s="53"/>
      <c r="CB136" s="53"/>
      <c r="CC136" s="53"/>
      <c r="CD136" s="53"/>
      <c r="CE136" s="53"/>
      <c r="CF136" s="53"/>
      <c r="CG136" s="53"/>
      <c r="CH136" s="53"/>
      <c r="CI136" s="53"/>
      <c r="CJ136" s="53"/>
      <c r="CK136" s="53"/>
      <c r="CL136" s="53"/>
      <c r="CM136" s="53"/>
      <c r="CN136" s="53"/>
      <c r="CO136" s="53"/>
      <c r="CP136" s="53"/>
      <c r="CQ136" s="53"/>
      <c r="CR136" s="1"/>
      <c r="CS136" s="1"/>
      <c r="CT136" s="1"/>
      <c r="CU136" s="1"/>
    </row>
    <row r="137" spans="1:99" s="13" customFormat="1" ht="12" customHeight="1" x14ac:dyDescent="0.2">
      <c r="A137" s="68">
        <v>43978</v>
      </c>
      <c r="B137" s="70" t="s">
        <v>968</v>
      </c>
      <c r="C137" s="70" t="s">
        <v>408</v>
      </c>
      <c r="D137" s="69">
        <v>1997</v>
      </c>
      <c r="E137" s="87">
        <v>1</v>
      </c>
      <c r="F137" s="69">
        <v>4</v>
      </c>
      <c r="G137" s="69">
        <v>4</v>
      </c>
      <c r="H137" s="69" t="s">
        <v>22</v>
      </c>
      <c r="I137" s="69" t="s">
        <v>330</v>
      </c>
      <c r="J137" s="69" t="s">
        <v>677</v>
      </c>
      <c r="K137" s="69">
        <f>IF(J137="syllables",1,IF(J137="trigrams",2,IF(J137="strings",3,IF(J137="visual array",4,IF(J137="characters",5,IF(J137="letters",6,IF(J137="free forms",7,IF(J137="odors",8,IF(J137="words",9,IF(J137="pictures",10,IF(J137="object pictures",11,IF(J137="faces",12,IF(J137="names",13,IF(J137="idioms",14,IF(J137="grades",15,IF(J137="syllable-digit pairs",16,IF(J137="trigram-word pairs",17,IF(J137="word-digit pairs",18,IF(J137="English-Swahili pairs",19,IF(J137="spatial position",20,IF(J137="word pairs",21,IF(J137="word triads",22,IF(J137="generated words",23,IF(J137="word definition pairs",24,IF(J137="math problems",25,IF(J137="famous faces",26,IF(J137="famous names",27,IF(J137="famous voices",28,IF(J137="television programs",29,IF(J137="race horses",30,IF(J137="new vocabulary",31,IF(J137="sentences",32,IF(J137="concepts",33,IF(J137="ad slides",34,IF(J137="scenes",35,IF(J137="famous scenes",36,IF(J137="poems",37,IF(J137="walk",38,IF(J137="faces and events",39,IF(J137="events and names",40,IF(J137="flashbulb",41,IF(J137="stories",42,IF(J137="course material",43,IF(J137="autobiographical",44,IF(J137="novels",45,IF(J137="public events",46,"99"))))))))))))))))))))))))))))))))))))))))))))))</f>
        <v>42</v>
      </c>
      <c r="L137" s="69">
        <f>IF(J137="syllables",1,IF(J137="trigrams",1,IF(J137="strings",1,IF(J137="visual array",1,IF(J137="characters",1,IF(J137="letters",1,IF(J137="free forms",1,IF(J137="odors",2,IF(J137="words",2,IF(J137="pictures",2,IF(J137="object pictures",2,IF(J137="faces",2,IF(J137="names",2,IF(J137="idioms","2",IF(J137="grades",2,IF(J137="syllable-digit pairs",3,IF(J137="trigram-word pairs",3,IF(J137="word-digit pairs",3,IF(J137="English-Swahili pairs",3,IF(J137="spatial position",3,IF(J137="word pairs",4,IF(J137="word triads",4,IF(J137="generated words",4,IF(J137="word definition pairs",4,IF(J137="math problems",4,IF(J137="famous faces",4,IF(J137="famous names",4,IF(J137="famous voices",4,IF(J137="television programs",4,IF(J137="race horses",4,IF(J137="new vocabulary",4,IF(J137="sentences",5,IF(J137="concepts",5,IF(J137="ad slides",5,IF(J137="scenes",5,IF(J137="famous scenes",5,IF(J137="poems",6,IF(J137="walk",6,IF(J137="faces and events",6,IF(J137="events and names",6,IF(J137="flashbulb",7,IF(J137="stories",7,IF(J137="course material",7,IF(J137="autobiographical",7,IF(J137="novels",7,IF(J137="public events",7,"99"))))))))))))))))))))))))))))))))))))))))))))))</f>
        <v>7</v>
      </c>
      <c r="M137" s="69">
        <v>0</v>
      </c>
      <c r="N137" s="92">
        <v>1</v>
      </c>
      <c r="O137" s="69">
        <v>0</v>
      </c>
      <c r="P137" s="69"/>
      <c r="Q137" s="69" t="s">
        <v>174</v>
      </c>
      <c r="R137" s="69">
        <f>IF(Q137="Free Recall",1,IF(Q137="Cued Recall",2,IF(Q137="Recognition",3,IF(Q137="Multiple Choice",4,IF(Q137="Savings",5,IF(Q137="Stem Completion",6,IF(Q137="Fragment Completion",7,IF(Q137="anagram solution",8,IF(Q137="Matching",9,IF(Q137="Problem Solving",10,"99"))))))))))</f>
        <v>1</v>
      </c>
      <c r="S137" s="69" t="s">
        <v>49</v>
      </c>
      <c r="T137" s="92" t="s">
        <v>581</v>
      </c>
      <c r="U137" s="69">
        <f>IF(T137="within",1,0)</f>
        <v>1</v>
      </c>
      <c r="V137" s="92">
        <v>150</v>
      </c>
      <c r="W137" s="69">
        <f>F137*V137</f>
        <v>600</v>
      </c>
      <c r="X137" s="69">
        <v>3</v>
      </c>
      <c r="Y137" s="87">
        <f>AV136</f>
        <v>30</v>
      </c>
      <c r="Z137" s="69" t="s">
        <v>160</v>
      </c>
      <c r="AA137" s="69">
        <f>60*60*24*7*6</f>
        <v>3628800</v>
      </c>
      <c r="AB137" s="69" t="str">
        <f>IF(AA137&lt;60,"1",IF(AA137&lt;=43200,"2",IF(AA137&lt;=777600,"3","4")))</f>
        <v>4</v>
      </c>
      <c r="AC137" s="72">
        <f>AVERAGE(AV136:DA136)</f>
        <v>1210210</v>
      </c>
      <c r="AD137" s="69" t="str">
        <f>IF(AC137&lt;60,"1",IF(AC137&lt;=43200,"2",IF(AC137&lt;=777600,"3","4")))</f>
        <v>4</v>
      </c>
      <c r="AE137" s="87">
        <f>AA137-Y137</f>
        <v>3628770</v>
      </c>
      <c r="AF137" s="88">
        <f>AV137</f>
        <v>0.49</v>
      </c>
      <c r="AG137" s="72">
        <f>((AW137-AV137)+(AX137-AW137))/2</f>
        <v>-0.13500000000000001</v>
      </c>
      <c r="AH137" s="4"/>
      <c r="AI137" s="72">
        <f>RSQ(AV137:AX137,AV136:AX136)</f>
        <v>0.87999487255070041</v>
      </c>
      <c r="AJ137" s="110">
        <f>SLOPE(AV137:AX137,AV136:AX136)</f>
        <v>-6.1340070664107058E-8</v>
      </c>
      <c r="AK137" s="72">
        <f>INTERCEPT(AV137:AX137,AV136:AX136)</f>
        <v>0.44256770025174236</v>
      </c>
      <c r="AL137" s="72">
        <f>INDEX(LINEST(LN(AV137:AX137),LN(AV136:AX136),TRUE,TRUE),3,1)</f>
        <v>0.99212745077403541</v>
      </c>
      <c r="AM137" s="72">
        <f>INDEX(LINEST(LN(AV137:AX137),LN(AV136:AX136)),1)</f>
        <v>-6.9497098352175088E-2</v>
      </c>
      <c r="AN137" s="72">
        <f>EXP(INDEX(LINEST(LN(AV137:AX137),LN(AV136:AX136)),1,2))</f>
        <v>0.63776790870952771</v>
      </c>
      <c r="AO137" s="89">
        <f>INDEX(LINEST((AV137:AX137),LN(AV136:AX136),TRUE,TRUE),3,1)</f>
        <v>0.99999494932460864</v>
      </c>
      <c r="AP137" s="89">
        <f>INDEX(LINEST((AV137:AX137),LN(AV136:AX136)),1)</f>
        <v>-2.3061597223995287E-2</v>
      </c>
      <c r="AQ137" s="90">
        <f>INDEX(LINEST(LN(AV137:AX137),SQRT(AV136:AX136),TRUE,TRUE),3,1)</f>
        <v>0.9406617035778817</v>
      </c>
      <c r="AR137" s="117">
        <f>INDEX(LINEST(LN(AV137:AX137),SQRT((AV136:AX136))),1)</f>
        <v>-3.700137171590177E-4</v>
      </c>
      <c r="AS137" s="91">
        <f>INDEX(LINEST(1/(AV137:AX137),1/(SQRT(AV136:AX136)),TRUE,TRUE),3,1)</f>
        <v>0.54063678195372422</v>
      </c>
      <c r="AT137" s="91">
        <f>INDEX(LINEST(1/(AV137:AX137),1/SQRT(AV136:AX136)),1)</f>
        <v>-9.8450921812398686</v>
      </c>
      <c r="AU137" s="3"/>
      <c r="AV137" s="73">
        <f>24.5/50</f>
        <v>0.49</v>
      </c>
      <c r="AW137" s="73">
        <f>19.75/50</f>
        <v>0.39500000000000002</v>
      </c>
      <c r="AX137" s="73">
        <f>11/50</f>
        <v>0.22</v>
      </c>
      <c r="AY137" s="73"/>
      <c r="AZ137" s="73"/>
      <c r="BA137" s="53"/>
      <c r="BB137" s="53"/>
      <c r="BC137" s="53"/>
      <c r="BD137" s="53"/>
      <c r="BE137" s="53"/>
      <c r="BF137" s="53"/>
      <c r="BG137" s="53"/>
      <c r="BH137" s="53"/>
      <c r="BI137" s="53"/>
      <c r="BJ137" s="53"/>
      <c r="BK137" s="53"/>
      <c r="BL137" s="53"/>
      <c r="BM137" s="53"/>
      <c r="BN137" s="53"/>
      <c r="BO137" s="53"/>
      <c r="BP137" s="53"/>
      <c r="BQ137" s="53"/>
      <c r="BR137" s="53"/>
      <c r="BS137" s="53"/>
      <c r="BT137" s="53"/>
      <c r="BU137" s="53"/>
      <c r="BV137" s="53"/>
      <c r="BW137" s="53"/>
      <c r="BX137" s="53"/>
      <c r="BY137" s="53"/>
      <c r="BZ137" s="53"/>
      <c r="CA137" s="53"/>
      <c r="CB137" s="53"/>
      <c r="CC137" s="53"/>
      <c r="CD137" s="53"/>
      <c r="CE137" s="53"/>
      <c r="CF137" s="53"/>
      <c r="CG137" s="53"/>
      <c r="CH137" s="53"/>
      <c r="CI137" s="53"/>
      <c r="CJ137" s="53"/>
      <c r="CK137" s="53"/>
      <c r="CL137" s="53"/>
      <c r="CM137" s="53"/>
      <c r="CN137" s="53"/>
      <c r="CO137" s="53"/>
      <c r="CP137" s="53"/>
      <c r="CQ137" s="53"/>
      <c r="CR137" s="1"/>
      <c r="CS137" s="1"/>
      <c r="CT137" s="1"/>
      <c r="CU137" s="1"/>
    </row>
    <row r="138" spans="1:99" s="13" customFormat="1" ht="12" customHeight="1" x14ac:dyDescent="0.2">
      <c r="A138" s="68">
        <v>43978</v>
      </c>
      <c r="B138" s="70"/>
      <c r="C138" s="70"/>
      <c r="D138" s="69"/>
      <c r="E138" s="87"/>
      <c r="F138" s="69"/>
      <c r="G138" s="69"/>
      <c r="H138" s="69"/>
      <c r="I138" s="69"/>
      <c r="J138" s="69"/>
      <c r="K138" s="69"/>
      <c r="L138" s="69"/>
      <c r="M138" s="69"/>
      <c r="N138" s="92"/>
      <c r="O138" s="69"/>
      <c r="P138" s="69"/>
      <c r="Q138" s="69"/>
      <c r="R138" s="69"/>
      <c r="S138" s="69"/>
      <c r="T138" s="92"/>
      <c r="U138" s="69"/>
      <c r="V138" s="92"/>
      <c r="W138" s="69"/>
      <c r="X138" s="69"/>
      <c r="Y138" s="87"/>
      <c r="Z138" s="92"/>
      <c r="AA138" s="69"/>
      <c r="AB138" s="69"/>
      <c r="AC138" s="72"/>
      <c r="AD138" s="69"/>
      <c r="AE138" s="87"/>
      <c r="AF138" s="88"/>
      <c r="AG138" s="72"/>
      <c r="AH138" s="4"/>
      <c r="AI138" s="72"/>
      <c r="AJ138" s="110"/>
      <c r="AK138" s="72"/>
      <c r="AL138" s="72"/>
      <c r="AM138" s="72"/>
      <c r="AN138" s="72"/>
      <c r="AO138" s="89"/>
      <c r="AP138" s="89"/>
      <c r="AQ138" s="90"/>
      <c r="AR138" s="117"/>
      <c r="AS138" s="91"/>
      <c r="AT138" s="91"/>
      <c r="AU138" s="3"/>
      <c r="AV138" s="71">
        <v>30</v>
      </c>
      <c r="AW138" s="71">
        <f>60*30</f>
        <v>1800</v>
      </c>
      <c r="AX138" s="71">
        <f>60*60*24*7*6</f>
        <v>3628800</v>
      </c>
      <c r="AY138" s="73"/>
      <c r="AZ138" s="97"/>
      <c r="BA138" s="53"/>
      <c r="BB138" s="53"/>
      <c r="BC138" s="53"/>
      <c r="BD138" s="53"/>
      <c r="BE138" s="53"/>
      <c r="BF138" s="53"/>
      <c r="BG138" s="53"/>
      <c r="BH138" s="53"/>
      <c r="BI138" s="53"/>
      <c r="BJ138" s="53"/>
      <c r="BK138" s="53"/>
      <c r="BL138" s="53"/>
      <c r="BM138" s="53"/>
      <c r="BN138" s="53"/>
      <c r="BO138" s="53"/>
      <c r="BP138" s="53"/>
      <c r="BQ138" s="53"/>
      <c r="BR138" s="53"/>
      <c r="BS138" s="53"/>
      <c r="BT138" s="53"/>
      <c r="BU138" s="53"/>
      <c r="BV138" s="53"/>
      <c r="BW138" s="53"/>
      <c r="BX138" s="53"/>
      <c r="BY138" s="53"/>
      <c r="BZ138" s="53"/>
      <c r="CA138" s="53"/>
      <c r="CB138" s="53"/>
      <c r="CC138" s="53"/>
      <c r="CD138" s="53"/>
      <c r="CE138" s="53"/>
      <c r="CF138" s="53"/>
      <c r="CG138" s="53"/>
      <c r="CH138" s="53"/>
      <c r="CI138" s="53"/>
      <c r="CJ138" s="53"/>
      <c r="CK138" s="53"/>
      <c r="CL138" s="53"/>
      <c r="CM138" s="53"/>
      <c r="CN138" s="53"/>
      <c r="CO138" s="53"/>
      <c r="CP138" s="53"/>
      <c r="CQ138" s="53"/>
      <c r="CR138" s="1"/>
      <c r="CS138" s="1"/>
      <c r="CT138" s="1"/>
      <c r="CU138" s="1"/>
    </row>
    <row r="139" spans="1:99" s="13" customFormat="1" ht="12" customHeight="1" x14ac:dyDescent="0.2">
      <c r="A139" s="68">
        <v>43978</v>
      </c>
      <c r="B139" s="70" t="s">
        <v>968</v>
      </c>
      <c r="C139" s="70" t="s">
        <v>408</v>
      </c>
      <c r="D139" s="69">
        <v>1997</v>
      </c>
      <c r="E139" s="87">
        <v>1</v>
      </c>
      <c r="F139" s="69">
        <v>4</v>
      </c>
      <c r="G139" s="69">
        <v>4</v>
      </c>
      <c r="H139" s="69" t="s">
        <v>22</v>
      </c>
      <c r="I139" s="69" t="s">
        <v>330</v>
      </c>
      <c r="J139" s="69" t="s">
        <v>764</v>
      </c>
      <c r="K139" s="69">
        <f>IF(J139="syllables",1,IF(J139="trigrams",2,IF(J139="strings",3,IF(J139="visual array",4,IF(J139="characters",5,IF(J139="letters",6,IF(J139="free forms",7,IF(J139="odors",8,IF(J139="words",9,IF(J139="pictures",10,IF(J139="object pictures",11,IF(J139="faces",12,IF(J139="names",13,IF(J139="idioms",14,IF(J139="grades",15,IF(J139="syllable-digit pairs",16,IF(J139="trigram-word pairs",17,IF(J139="word-digit pairs",18,IF(J139="English-Swahili pairs",19,IF(J139="spatial position",20,IF(J139="word pairs",21,IF(J139="word triads",22,IF(J139="generated words",23,IF(J139="word definition pairs",24,IF(J139="math problems",25,IF(J139="famous faces",26,IF(J139="famous names",27,IF(J139="famous voices",28,IF(J139="television programs",29,IF(J139="race horses",30,IF(J139="new vocabulary",31,IF(J139="sentences",32,IF(J139="concepts",33,IF(J139="ad slides",34,IF(J139="scenes",35,IF(J139="famous scenes",36,IF(J139="poems",37,IF(J139="walk",38,IF(J139="faces and events",39,IF(J139="events and names",40,IF(J139="flashbulb",41,IF(J139="stories",42,IF(J139="course material",43,IF(J139="autobiographical",44,IF(J139="novels",45,IF(J139="public events",46,"99"))))))))))))))))))))))))))))))))))))))))))))))</f>
        <v>4</v>
      </c>
      <c r="L139" s="69">
        <f>IF(J139="syllables",1,IF(J139="trigrams",1,IF(J139="strings",1,IF(J139="visual array",1,IF(J139="characters",1,IF(J139="letters",1,IF(J139="free forms",1,IF(J139="odors",2,IF(J139="words",2,IF(J139="pictures",2,IF(J139="object pictures",2,IF(J139="faces",2,IF(J139="names",2,IF(J139="idioms","2",IF(J139="grades",2,IF(J139="syllable-digit pairs",3,IF(J139="trigram-word pairs",3,IF(J139="word-digit pairs",3,IF(J139="English-Swahili pairs",3,IF(J139="spatial position",3,IF(J139="word pairs",4,IF(J139="word triads",4,IF(J139="generated words",4,IF(J139="word definition pairs",4,IF(J139="math problems",4,IF(J139="famous faces",4,IF(J139="famous names",4,IF(J139="famous voices",4,IF(J139="television programs",4,IF(J139="race horses",4,IF(J139="new vocabulary",4,IF(J139="sentences",5,IF(J139="concepts",5,IF(J139="ad slides",5,IF(J139="scenes",5,IF(J139="famous scenes",5,IF(J139="poems",6,IF(J139="walk",6,IF(J139="faces and events",6,IF(J139="events and names",6,IF(J139="flashbulb",7,IF(J139="stories",7,IF(J139="course material",7,IF(J139="autobiographical",7,IF(J139="novels",7,IF(J139="public events",7,"99"))))))))))))))))))))))))))))))))))))))))))))))</f>
        <v>1</v>
      </c>
      <c r="M139" s="69">
        <v>0</v>
      </c>
      <c r="N139" s="92">
        <v>1</v>
      </c>
      <c r="O139" s="69">
        <v>0</v>
      </c>
      <c r="P139" s="69"/>
      <c r="Q139" s="69" t="s">
        <v>174</v>
      </c>
      <c r="R139" s="69">
        <f>IF(Q139="Free Recall",1,IF(Q139="Cued Recall",2,IF(Q139="Recognition",3,IF(Q139="Multiple Choice",4,IF(Q139="Savings",5,IF(Q139="Stem Completion",6,IF(Q139="Fragment Completion",7,IF(Q139="anagram solution",8,IF(Q139="Matching",9,IF(Q139="Problem Solving",10,"99"))))))))))</f>
        <v>1</v>
      </c>
      <c r="S139" s="69" t="s">
        <v>49</v>
      </c>
      <c r="T139" s="92" t="s">
        <v>581</v>
      </c>
      <c r="U139" s="69">
        <f>IF(T139="within",1,0)</f>
        <v>1</v>
      </c>
      <c r="V139" s="92">
        <v>123</v>
      </c>
      <c r="W139" s="69">
        <f>F139*V139</f>
        <v>492</v>
      </c>
      <c r="X139" s="69">
        <v>3</v>
      </c>
      <c r="Y139" s="87">
        <f>AV138</f>
        <v>30</v>
      </c>
      <c r="Z139" s="69" t="s">
        <v>160</v>
      </c>
      <c r="AA139" s="69">
        <f>60*60*24*7*6</f>
        <v>3628800</v>
      </c>
      <c r="AB139" s="69" t="str">
        <f>IF(AA139&lt;60,"1",IF(AA139&lt;=43200,"2",IF(AA139&lt;=777600,"3","4")))</f>
        <v>4</v>
      </c>
      <c r="AC139" s="72">
        <f>AVERAGE(AV138:DA138)</f>
        <v>1210210</v>
      </c>
      <c r="AD139" s="69" t="str">
        <f>IF(AC139&lt;60,"1",IF(AC139&lt;=43200,"2",IF(AC139&lt;=777600,"3","4")))</f>
        <v>4</v>
      </c>
      <c r="AE139" s="87">
        <f>AA139-Y139</f>
        <v>3628770</v>
      </c>
      <c r="AF139" s="88">
        <f>AV139</f>
        <v>0.76829268292682928</v>
      </c>
      <c r="AG139" s="72">
        <f>((AW139-AV139)+(AX139-AW139))/2</f>
        <v>-0.29878048780487804</v>
      </c>
      <c r="AH139" s="4"/>
      <c r="AI139" s="72">
        <f>RSQ(AV139:AX139,AV138:AX138)</f>
        <v>0.88355067941170973</v>
      </c>
      <c r="AJ139" s="110">
        <f>SLOPE(AV139:AX139,AV138:AX138)</f>
        <v>-1.3616148566010184E-7</v>
      </c>
      <c r="AK139" s="72">
        <f>INTERCEPT(AV139:AX139,AV138:AX138)</f>
        <v>0.66478399156071188</v>
      </c>
      <c r="AL139" s="72">
        <f>INDEX(LINEST(LN(AV139:AX139),LN(AV138:AX138),TRUE,TRUE),3,1)</f>
        <v>0.97695554529697126</v>
      </c>
      <c r="AM139" s="72">
        <f>INDEX(LINEST(LN(AV139:AX139),LN(AV138:AX138)),1)</f>
        <v>-0.13203417914226587</v>
      </c>
      <c r="AN139" s="72">
        <f>EXP(INDEX(LINEST(LN(AV139:AX139),LN(AV138:AX138)),1,2))</f>
        <v>1.3159675213811464</v>
      </c>
      <c r="AO139" s="89">
        <f>INDEX(LINEST((AV139:AX139),LN(AV138:AX138),TRUE,TRUE),3,1)</f>
        <v>0.99998937756165318</v>
      </c>
      <c r="AP139" s="89">
        <f>INDEX(LINEST((AV139:AX139),LN(AV138:AX138)),1)</f>
        <v>-5.1088425764394131E-2</v>
      </c>
      <c r="AQ139" s="90">
        <f>INDEX(LINEST(LN(AV139:AX139),SQRT(AV138:AX138),TRUE,TRUE),3,1)</f>
        <v>0.9670542564262925</v>
      </c>
      <c r="AR139" s="117">
        <f>INDEX(LINEST(LN(AV139:AX139),SQRT((AV138:AX138))),1)</f>
        <v>-7.1827796356624927E-4</v>
      </c>
      <c r="AS139" s="91">
        <f>INDEX(LINEST(1/(AV139:AX139),1/(SQRT(AV138:AX138)),TRUE,TRUE),3,1)</f>
        <v>0.45102776702363601</v>
      </c>
      <c r="AT139" s="91">
        <f>INDEX(LINEST(1/(AV139:AX139),1/SQRT(AV138:AX138)),1)</f>
        <v>-16.957237363411991</v>
      </c>
      <c r="AU139" s="3"/>
      <c r="AV139" s="73">
        <f>31.5/41</f>
        <v>0.76829268292682928</v>
      </c>
      <c r="AW139" s="73">
        <f>23/41</f>
        <v>0.56097560975609762</v>
      </c>
      <c r="AX139" s="73">
        <f>7/41</f>
        <v>0.17073170731707318</v>
      </c>
      <c r="AY139" s="73"/>
      <c r="AZ139" s="73"/>
      <c r="BA139" s="53"/>
      <c r="BB139" s="53"/>
      <c r="BC139" s="53"/>
      <c r="BD139" s="53"/>
      <c r="BE139" s="53"/>
      <c r="BF139" s="53"/>
      <c r="BG139" s="53"/>
      <c r="BH139" s="53"/>
      <c r="BI139" s="53"/>
      <c r="BJ139" s="53"/>
      <c r="BK139" s="53"/>
      <c r="BL139" s="53"/>
      <c r="BM139" s="53"/>
      <c r="BN139" s="53"/>
      <c r="BO139" s="53"/>
      <c r="BP139" s="53"/>
      <c r="BQ139" s="53"/>
      <c r="BR139" s="53"/>
      <c r="BS139" s="53"/>
      <c r="BT139" s="53"/>
      <c r="BU139" s="53"/>
      <c r="BV139" s="53"/>
      <c r="BW139" s="53"/>
      <c r="BX139" s="53"/>
      <c r="BY139" s="53"/>
      <c r="BZ139" s="53"/>
      <c r="CA139" s="53"/>
      <c r="CB139" s="53"/>
      <c r="CC139" s="53"/>
      <c r="CD139" s="53"/>
      <c r="CE139" s="53"/>
      <c r="CF139" s="53"/>
      <c r="CG139" s="53"/>
      <c r="CH139" s="53"/>
      <c r="CI139" s="53"/>
      <c r="CJ139" s="53"/>
      <c r="CK139" s="53"/>
      <c r="CL139" s="53"/>
      <c r="CM139" s="53"/>
      <c r="CN139" s="53"/>
      <c r="CO139" s="53"/>
      <c r="CP139" s="53"/>
      <c r="CQ139" s="53"/>
      <c r="CR139" s="1"/>
      <c r="CS139" s="1"/>
      <c r="CT139" s="1"/>
      <c r="CU139" s="1"/>
    </row>
    <row r="140" spans="1:99" s="13" customFormat="1" ht="12" customHeight="1" x14ac:dyDescent="0.2">
      <c r="A140" s="68">
        <v>43906</v>
      </c>
      <c r="B140" s="70"/>
      <c r="C140" s="70"/>
      <c r="D140" s="69"/>
      <c r="E140" s="87"/>
      <c r="F140" s="69"/>
      <c r="G140" s="69"/>
      <c r="H140" s="69"/>
      <c r="I140" s="69"/>
      <c r="J140" s="69"/>
      <c r="K140" s="107"/>
      <c r="L140" s="107"/>
      <c r="M140" s="69"/>
      <c r="N140" s="92"/>
      <c r="O140" s="69"/>
      <c r="P140" s="69"/>
      <c r="Q140" s="69"/>
      <c r="R140" s="69"/>
      <c r="S140" s="69"/>
      <c r="T140" s="92"/>
      <c r="U140" s="69"/>
      <c r="V140" s="92"/>
      <c r="W140" s="69"/>
      <c r="X140" s="69"/>
      <c r="Y140" s="87"/>
      <c r="Z140" s="92"/>
      <c r="AA140" s="69"/>
      <c r="AB140" s="69"/>
      <c r="AC140" s="72"/>
      <c r="AD140" s="69"/>
      <c r="AE140" s="69"/>
      <c r="AF140" s="88"/>
      <c r="AG140" s="72"/>
      <c r="AH140" s="4"/>
      <c r="AI140" s="72"/>
      <c r="AJ140" s="110"/>
      <c r="AK140" s="72"/>
      <c r="AL140" s="72"/>
      <c r="AM140" s="72"/>
      <c r="AN140" s="72"/>
      <c r="AO140" s="72"/>
      <c r="AP140" s="72"/>
      <c r="AQ140" s="72"/>
      <c r="AR140" s="110"/>
      <c r="AS140" s="72"/>
      <c r="AT140" s="72"/>
      <c r="AU140" s="5"/>
      <c r="AV140" s="71">
        <f>8*60</f>
        <v>480</v>
      </c>
      <c r="AW140" s="71">
        <f>60*60*24*7</f>
        <v>604800</v>
      </c>
      <c r="AX140" s="71">
        <f>60*60*24*35</f>
        <v>3024000</v>
      </c>
      <c r="AY140" s="53"/>
      <c r="AZ140" s="53"/>
      <c r="BA140" s="53"/>
      <c r="BB140" s="53"/>
      <c r="BC140" s="53"/>
      <c r="BD140" s="53"/>
      <c r="BE140" s="53"/>
      <c r="BF140" s="53"/>
      <c r="BG140" s="53"/>
      <c r="BH140" s="53"/>
      <c r="BI140" s="53"/>
      <c r="BJ140" s="53"/>
      <c r="BK140" s="53"/>
      <c r="BL140" s="53"/>
      <c r="BM140" s="53"/>
      <c r="BN140" s="53"/>
      <c r="BO140" s="53"/>
      <c r="BP140" s="53"/>
      <c r="BQ140" s="53"/>
      <c r="BR140" s="53"/>
      <c r="BS140" s="53"/>
      <c r="BT140" s="53"/>
      <c r="BU140" s="53"/>
      <c r="BV140" s="53"/>
      <c r="BW140" s="53"/>
      <c r="BX140" s="53"/>
      <c r="BY140" s="53"/>
      <c r="BZ140" s="53"/>
      <c r="CA140" s="53"/>
      <c r="CB140" s="53"/>
      <c r="CC140" s="53"/>
      <c r="CD140" s="53"/>
      <c r="CE140" s="53"/>
      <c r="CF140" s="53"/>
      <c r="CG140" s="53"/>
      <c r="CH140" s="53"/>
      <c r="CI140" s="53"/>
      <c r="CJ140" s="53"/>
      <c r="CK140" s="53"/>
      <c r="CL140" s="53"/>
      <c r="CM140" s="53"/>
      <c r="CN140" s="53"/>
      <c r="CO140" s="53"/>
      <c r="CP140" s="53"/>
      <c r="CQ140" s="53"/>
      <c r="CR140" s="1"/>
      <c r="CS140" s="1"/>
      <c r="CT140" s="1"/>
      <c r="CU140" s="1"/>
    </row>
    <row r="141" spans="1:99" s="13" customFormat="1" ht="12" customHeight="1" x14ac:dyDescent="0.2">
      <c r="A141" s="68">
        <v>43906</v>
      </c>
      <c r="B141" s="70" t="s">
        <v>498</v>
      </c>
      <c r="C141" s="70" t="s">
        <v>499</v>
      </c>
      <c r="D141" s="69">
        <v>1985</v>
      </c>
      <c r="E141" s="87">
        <v>1</v>
      </c>
      <c r="F141" s="69">
        <v>18</v>
      </c>
      <c r="G141" s="69">
        <v>18</v>
      </c>
      <c r="H141" s="69" t="s">
        <v>50</v>
      </c>
      <c r="I141" s="69" t="s">
        <v>315</v>
      </c>
      <c r="J141" s="69" t="s">
        <v>16</v>
      </c>
      <c r="K141" s="69">
        <f>IF(J141="syllables",1,IF(J141="trigrams",2,IF(J141="strings",3,IF(J141="visual array",4,IF(J141="characters",5,IF(J141="letters",6,IF(J141="free forms",7,IF(J141="odors",8,IF(J141="words",9,IF(J141="pictures",10,IF(J141="object pictures",11,IF(J141="faces",12,IF(J141="names",13,IF(J141="idioms",14,IF(J141="grades",15,IF(J141="syllable-digit pairs",16,IF(J141="trigram-word pairs",17,IF(J141="word-digit pairs",18,IF(J141="English-Swahili pairs",19,IF(J141="spatial position",20,IF(J141="word pairs",21,IF(J141="word triads",22,IF(J141="generated words",23,IF(J141="word definition pairs",24,IF(J141="math problems",25,IF(J141="famous faces",26,IF(J141="famous names",27,IF(J141="famous voices",28,IF(J141="television programs",29,IF(J141="race horses",30,IF(J141="new vocabulary",31,IF(J141="sentences",32,IF(J141="concepts",33,IF(J141="ad slides",34,IF(J141="scenes",35,IF(J141="famous scenes",36,IF(J141="poems",37,IF(J141="walk",38,IF(J141="faces and events",39,IF(J141="events and names",40,IF(J141="flashbulb",41,IF(J141="stories",42,IF(J141="course material",43,IF(J141="autobiographical",44,IF(J141="novels",45,IF(J141="public events",46,"99"))))))))))))))))))))))))))))))))))))))))))))))</f>
        <v>9</v>
      </c>
      <c r="L141" s="69">
        <f>IF(J141="syllables",1,IF(J141="trigrams",1,IF(J141="strings",1,IF(J141="visual array",1,IF(J141="characters",1,IF(J141="letters",1,IF(J141="free forms",1,IF(J141="odors",2,IF(J141="words",2,IF(J141="pictures",2,IF(J141="object pictures",2,IF(J141="faces",2,IF(J141="names",2,IF(J141="idioms","2",IF(J141="grades",2,IF(J141="syllable-digit pairs",3,IF(J141="trigram-word pairs",3,IF(J141="word-digit pairs",3,IF(J141="English-Swahili pairs",3,IF(J141="spatial position",3,IF(J141="word pairs",4,IF(J141="word triads",4,IF(J141="generated words",4,IF(J141="word definition pairs",4,IF(J141="math problems",4,IF(J141="famous faces",4,IF(J141="famous names",4,IF(J141="famous voices",4,IF(J141="television programs",4,IF(J141="race horses",4,IF(J141="new vocabulary",4,IF(J141="sentences",5,IF(J141="concepts",5,IF(J141="ad slides",5,IF(J141="scenes",5,IF(J141="famous scenes",5,IF(J141="poems",6,IF(J141="walk",6,IF(J141="faces and events",6,IF(J141="events and names",6,IF(J141="flashbulb",7,IF(J141="stories",7,IF(J141="course material",7,IF(J141="autobiographical",7,IF(J141="novels",7,IF(J141="public events",7,"99"))))))))))))))))))))))))))))))))))))))))))))))</f>
        <v>2</v>
      </c>
      <c r="M141" s="69">
        <v>0</v>
      </c>
      <c r="N141" s="69">
        <v>1</v>
      </c>
      <c r="O141" s="69">
        <v>0</v>
      </c>
      <c r="P141" s="69"/>
      <c r="Q141" s="69" t="s">
        <v>34</v>
      </c>
      <c r="R141" s="69">
        <f>IF(Q141="Free Recall",1,IF(Q141="Cued Recall",2,IF(Q141="Recognition",3,IF(Q141="Multiple Choice",4,IF(Q141="Savings",5,IF(Q141="Stem Completion",6,IF(Q141="Fragment Completion",7,IF(Q141="anagram solution",8,IF(Q141="Matching",9,IF(Q141="Problem Solving",10,"99"))))))))))</f>
        <v>3</v>
      </c>
      <c r="S141" s="69" t="s">
        <v>15</v>
      </c>
      <c r="T141" s="92" t="s">
        <v>581</v>
      </c>
      <c r="U141" s="69">
        <f>IF(T141="within",1,0)</f>
        <v>1</v>
      </c>
      <c r="V141" s="92">
        <v>30</v>
      </c>
      <c r="W141" s="69">
        <f>F141*V141</f>
        <v>540</v>
      </c>
      <c r="X141" s="69">
        <v>3</v>
      </c>
      <c r="Y141" s="87">
        <f>AV140</f>
        <v>480</v>
      </c>
      <c r="Z141" s="92" t="s">
        <v>500</v>
      </c>
      <c r="AA141" s="69">
        <f>60*60*24*35</f>
        <v>3024000</v>
      </c>
      <c r="AB141" s="69" t="str">
        <f>IF(AA141&lt;60,"1",IF(AA141&lt;=43200,"2",IF(AA141&lt;=777600,"3","4")))</f>
        <v>4</v>
      </c>
      <c r="AC141" s="72">
        <f>AVERAGE(AV140:DA140)</f>
        <v>1209760</v>
      </c>
      <c r="AD141" s="69" t="str">
        <f>IF(AC141&lt;60,"1",IF(AC141&lt;=43200,"2",IF(AC141&lt;=777600,"3","4")))</f>
        <v>4</v>
      </c>
      <c r="AE141" s="87">
        <f>AA141-Y141</f>
        <v>3023520</v>
      </c>
      <c r="AF141" s="88">
        <f>AV141</f>
        <v>0.68</v>
      </c>
      <c r="AG141" s="72">
        <f>((AW141-AV141)+(AX141-AW141))/2</f>
        <v>-0.24500000000000002</v>
      </c>
      <c r="AH141" s="4"/>
      <c r="AI141" s="72">
        <f>RSQ(AV141:AX141,AV140:AX140)</f>
        <v>0.76292810522102383</v>
      </c>
      <c r="AJ141" s="110">
        <f>SLOPE(AV141:AX141,AV140:AX140)</f>
        <v>-1.3582370338498023E-7</v>
      </c>
      <c r="AK141" s="72">
        <f>INTERCEPT(AV141:AX141,AV140:AX140)</f>
        <v>0.57431408340701362</v>
      </c>
      <c r="AL141" s="72">
        <f>INDEX(LINEST(LN(AV141:AX141),LN(AV140:AX140),TRUE,TRUE),3,1)</f>
        <v>0.8815806843646895</v>
      </c>
      <c r="AM141" s="72">
        <f>INDEX(LINEST(LN(AV141:AX141),LN(AV140:AX140)),1)</f>
        <v>-0.12855663071896861</v>
      </c>
      <c r="AN141" s="72">
        <f>EXP(INDEX(LINEST(LN(AV141:AX141),LN(AV140:AX140)),1,2))</f>
        <v>1.5711375735746325</v>
      </c>
      <c r="AO141" s="89">
        <f>INDEX(LINEST((AV141:AX141),LN(AV140:AX140),TRUE,TRUE),3,1)</f>
        <v>0.96969681515011841</v>
      </c>
      <c r="AP141" s="89">
        <f>INDEX(LINEST((AV141:AX141),LN(AV140:AX140)),1)</f>
        <v>-5.2616594298015594E-2</v>
      </c>
      <c r="AQ141" s="90">
        <f>INDEX(LINEST(LN(AV141:AX141),SQRT(AV140:AX140),TRUE,TRUE),3,1)</f>
        <v>0.99543886534329806</v>
      </c>
      <c r="AR141" s="117">
        <f>INDEX(LINEST(LN(AV141:AX141),SQRT((AV140:AX140))),1)</f>
        <v>-7.3913284254552292E-4</v>
      </c>
      <c r="AS141" s="91">
        <f>INDEX(LINEST(1/(AV141:AX141),1/(SQRT(AV140:AX140)),TRUE,TRUE),3,1)</f>
        <v>0.59746645067157544</v>
      </c>
      <c r="AT141" s="91">
        <f>INDEX(LINEST(1/(AV141:AX141),1/SQRT(AV140:AX140)),1)</f>
        <v>-57.679385194851044</v>
      </c>
      <c r="AU141" s="3"/>
      <c r="AV141" s="73">
        <v>0.68</v>
      </c>
      <c r="AW141" s="73">
        <v>0.36</v>
      </c>
      <c r="AX141" s="73">
        <v>0.19</v>
      </c>
      <c r="AY141" s="53"/>
      <c r="AZ141" s="53"/>
      <c r="BA141" s="53"/>
      <c r="BB141" s="53"/>
      <c r="BC141" s="53"/>
      <c r="BD141" s="53"/>
      <c r="BE141" s="53"/>
      <c r="BF141" s="53"/>
      <c r="BG141" s="53"/>
      <c r="BH141" s="53"/>
      <c r="BI141" s="53"/>
      <c r="BJ141" s="53"/>
      <c r="BK141" s="53"/>
      <c r="BL141" s="53"/>
      <c r="BM141" s="53"/>
      <c r="BN141" s="53"/>
      <c r="BO141" s="53"/>
      <c r="BP141" s="53"/>
      <c r="BQ141" s="53"/>
      <c r="BR141" s="53"/>
      <c r="BS141" s="53"/>
      <c r="BT141" s="53"/>
      <c r="BU141" s="53"/>
      <c r="BV141" s="53"/>
      <c r="BW141" s="53"/>
      <c r="BX141" s="53"/>
      <c r="BY141" s="53"/>
      <c r="BZ141" s="53"/>
      <c r="CA141" s="53"/>
      <c r="CB141" s="53"/>
      <c r="CC141" s="53"/>
      <c r="CD141" s="53"/>
      <c r="CE141" s="53"/>
      <c r="CF141" s="53"/>
      <c r="CG141" s="53"/>
      <c r="CH141" s="53"/>
      <c r="CI141" s="53"/>
      <c r="CJ141" s="53"/>
      <c r="CK141" s="53"/>
      <c r="CL141" s="53"/>
      <c r="CM141" s="53"/>
      <c r="CN141" s="53"/>
      <c r="CO141" s="53"/>
      <c r="CP141" s="53"/>
      <c r="CQ141" s="53"/>
      <c r="CR141" s="1"/>
      <c r="CS141" s="1"/>
      <c r="CT141" s="1"/>
      <c r="CU141" s="1"/>
    </row>
    <row r="142" spans="1:99" s="13" customFormat="1" ht="12" customHeight="1" x14ac:dyDescent="0.2">
      <c r="A142" s="68">
        <v>43906</v>
      </c>
      <c r="B142" s="70"/>
      <c r="C142" s="70"/>
      <c r="D142" s="69"/>
      <c r="E142" s="87"/>
      <c r="F142" s="69"/>
      <c r="G142" s="69"/>
      <c r="H142" s="69"/>
      <c r="I142" s="69"/>
      <c r="J142" s="69"/>
      <c r="K142" s="107"/>
      <c r="L142" s="107"/>
      <c r="M142" s="69"/>
      <c r="N142" s="92"/>
      <c r="O142" s="69"/>
      <c r="P142" s="69"/>
      <c r="Q142" s="69"/>
      <c r="R142" s="69"/>
      <c r="S142" s="69"/>
      <c r="T142" s="92"/>
      <c r="U142" s="69"/>
      <c r="V142" s="92"/>
      <c r="W142" s="69"/>
      <c r="X142" s="69"/>
      <c r="Y142" s="87"/>
      <c r="Z142" s="92"/>
      <c r="AA142" s="69"/>
      <c r="AB142" s="69"/>
      <c r="AC142" s="72"/>
      <c r="AD142" s="69"/>
      <c r="AE142" s="69"/>
      <c r="AF142" s="88"/>
      <c r="AG142" s="72"/>
      <c r="AH142" s="4"/>
      <c r="AI142" s="72"/>
      <c r="AJ142" s="110"/>
      <c r="AK142" s="72"/>
      <c r="AL142" s="72"/>
      <c r="AM142" s="72"/>
      <c r="AN142" s="72"/>
      <c r="AO142" s="72"/>
      <c r="AP142" s="72"/>
      <c r="AQ142" s="72"/>
      <c r="AR142" s="110"/>
      <c r="AS142" s="72"/>
      <c r="AT142" s="72"/>
      <c r="AU142" s="5"/>
      <c r="AV142" s="71">
        <f>8*60</f>
        <v>480</v>
      </c>
      <c r="AW142" s="71">
        <f>60*60*24*7</f>
        <v>604800</v>
      </c>
      <c r="AX142" s="71">
        <f>60*60*24*35</f>
        <v>3024000</v>
      </c>
      <c r="AY142" s="53"/>
      <c r="AZ142" s="53"/>
      <c r="BA142" s="53"/>
      <c r="BB142" s="53"/>
      <c r="BC142" s="53"/>
      <c r="BD142" s="53"/>
      <c r="BE142" s="53"/>
      <c r="BF142" s="53"/>
      <c r="BG142" s="53"/>
      <c r="BH142" s="53"/>
      <c r="BI142" s="53"/>
      <c r="BJ142" s="53"/>
      <c r="BK142" s="53"/>
      <c r="BL142" s="53"/>
      <c r="BM142" s="53"/>
      <c r="BN142" s="53"/>
      <c r="BO142" s="53"/>
      <c r="BP142" s="53"/>
      <c r="BQ142" s="53"/>
      <c r="BR142" s="53"/>
      <c r="BS142" s="53"/>
      <c r="BT142" s="53"/>
      <c r="BU142" s="53"/>
      <c r="BV142" s="53"/>
      <c r="BW142" s="53"/>
      <c r="BX142" s="53"/>
      <c r="BY142" s="53"/>
      <c r="BZ142" s="53"/>
      <c r="CA142" s="53"/>
      <c r="CB142" s="53"/>
      <c r="CC142" s="53"/>
      <c r="CD142" s="53"/>
      <c r="CE142" s="53"/>
      <c r="CF142" s="53"/>
      <c r="CG142" s="53"/>
      <c r="CH142" s="53"/>
      <c r="CI142" s="53"/>
      <c r="CJ142" s="53"/>
      <c r="CK142" s="53"/>
      <c r="CL142" s="53"/>
      <c r="CM142" s="53"/>
      <c r="CN142" s="53"/>
      <c r="CO142" s="53"/>
      <c r="CP142" s="53"/>
      <c r="CQ142" s="53"/>
      <c r="CR142" s="1"/>
      <c r="CS142" s="1"/>
      <c r="CT142" s="1"/>
      <c r="CU142" s="1"/>
    </row>
    <row r="143" spans="1:99" s="13" customFormat="1" ht="12" customHeight="1" x14ac:dyDescent="0.2">
      <c r="A143" s="68">
        <v>43906</v>
      </c>
      <c r="B143" s="70" t="s">
        <v>498</v>
      </c>
      <c r="C143" s="70" t="s">
        <v>499</v>
      </c>
      <c r="D143" s="69">
        <v>1985</v>
      </c>
      <c r="E143" s="87">
        <v>1</v>
      </c>
      <c r="F143" s="69">
        <v>18</v>
      </c>
      <c r="G143" s="69">
        <v>18</v>
      </c>
      <c r="H143" s="69" t="s">
        <v>50</v>
      </c>
      <c r="I143" s="69" t="s">
        <v>722</v>
      </c>
      <c r="J143" s="69" t="s">
        <v>16</v>
      </c>
      <c r="K143" s="69">
        <f>IF(J143="syllables",1,IF(J143="trigrams",2,IF(J143="strings",3,IF(J143="visual array",4,IF(J143="characters",5,IF(J143="letters",6,IF(J143="free forms",7,IF(J143="odors",8,IF(J143="words",9,IF(J143="pictures",10,IF(J143="object pictures",11,IF(J143="faces",12,IF(J143="names",13,IF(J143="idioms",14,IF(J143="grades",15,IF(J143="syllable-digit pairs",16,IF(J143="trigram-word pairs",17,IF(J143="word-digit pairs",18,IF(J143="English-Swahili pairs",19,IF(J143="spatial position",20,IF(J143="word pairs",21,IF(J143="word triads",22,IF(J143="generated words",23,IF(J143="word definition pairs",24,IF(J143="math problems",25,IF(J143="famous faces",26,IF(J143="famous names",27,IF(J143="famous voices",28,IF(J143="television programs",29,IF(J143="race horses",30,IF(J143="new vocabulary",31,IF(J143="sentences",32,IF(J143="concepts",33,IF(J143="ad slides",34,IF(J143="scenes",35,IF(J143="famous scenes",36,IF(J143="poems",37,IF(J143="walk",38,IF(J143="faces and events",39,IF(J143="events and names",40,IF(J143="flashbulb",41,IF(J143="stories",42,IF(J143="course material",43,IF(J143="autobiographical",44,IF(J143="novels",45,IF(J143="public events",46,"99"))))))))))))))))))))))))))))))))))))))))))))))</f>
        <v>9</v>
      </c>
      <c r="L143" s="69">
        <f>IF(J143="syllables",1,IF(J143="trigrams",1,IF(J143="strings",1,IF(J143="visual array",1,IF(J143="characters",1,IF(J143="letters",1,IF(J143="free forms",1,IF(J143="odors",2,IF(J143="words",2,IF(J143="pictures",2,IF(J143="object pictures",2,IF(J143="faces",2,IF(J143="names",2,IF(J143="idioms","2",IF(J143="grades",2,IF(J143="syllable-digit pairs",3,IF(J143="trigram-word pairs",3,IF(J143="word-digit pairs",3,IF(J143="English-Swahili pairs",3,IF(J143="spatial position",3,IF(J143="word pairs",4,IF(J143="word triads",4,IF(J143="generated words",4,IF(J143="word definition pairs",4,IF(J143="math problems",4,IF(J143="famous faces",4,IF(J143="famous names",4,IF(J143="famous voices",4,IF(J143="television programs",4,IF(J143="race horses",4,IF(J143="new vocabulary",4,IF(J143="sentences",5,IF(J143="concepts",5,IF(J143="ad slides",5,IF(J143="scenes",5,IF(J143="famous scenes",5,IF(J143="poems",6,IF(J143="walk",6,IF(J143="faces and events",6,IF(J143="events and names",6,IF(J143="flashbulb",7,IF(J143="stories",7,IF(J143="course material",7,IF(J143="autobiographical",7,IF(J143="novels",7,IF(J143="public events",7,"99"))))))))))))))))))))))))))))))))))))))))))))))</f>
        <v>2</v>
      </c>
      <c r="M143" s="69">
        <v>0</v>
      </c>
      <c r="N143" s="69">
        <v>1</v>
      </c>
      <c r="O143" s="69">
        <v>0</v>
      </c>
      <c r="P143" s="69"/>
      <c r="Q143" s="69" t="s">
        <v>125</v>
      </c>
      <c r="R143" s="69">
        <f>IF(Q143="Free Recall",1,IF(Q143="Cued Recall",2,IF(Q143="Recognition",3,IF(Q143="Multiple Choice",4,IF(Q143="Savings",5,IF(Q143="Stem Completion",6,IF(Q143="Fragment Completion",7,IF(Q143="anagram solution",8,IF(Q143="Matching",9,IF(Q143="Problem Solving",10,"99"))))))))))</f>
        <v>7</v>
      </c>
      <c r="S143" s="69" t="s">
        <v>15</v>
      </c>
      <c r="T143" s="92" t="s">
        <v>581</v>
      </c>
      <c r="U143" s="69">
        <f>IF(T143="within",1,0)</f>
        <v>1</v>
      </c>
      <c r="V143" s="92">
        <v>30</v>
      </c>
      <c r="W143" s="69">
        <f>F143*V143</f>
        <v>540</v>
      </c>
      <c r="X143" s="69">
        <v>3</v>
      </c>
      <c r="Y143" s="87">
        <f>AV142</f>
        <v>480</v>
      </c>
      <c r="Z143" s="92" t="s">
        <v>500</v>
      </c>
      <c r="AA143" s="69">
        <f>60*60*24*35</f>
        <v>3024000</v>
      </c>
      <c r="AB143" s="69" t="str">
        <f>IF(AA143&lt;60,"1",IF(AA143&lt;=43200,"2",IF(AA143&lt;=777600,"3","4")))</f>
        <v>4</v>
      </c>
      <c r="AC143" s="72">
        <f>AVERAGE(AV142:DA142)</f>
        <v>1209760</v>
      </c>
      <c r="AD143" s="69" t="str">
        <f>IF(AC143&lt;60,"1",IF(AC143&lt;=43200,"2",IF(AC143&lt;=777600,"3","4")))</f>
        <v>4</v>
      </c>
      <c r="AE143" s="87">
        <f>AA143-Y143</f>
        <v>3023520</v>
      </c>
      <c r="AF143" s="88">
        <f>AV143</f>
        <v>0.43</v>
      </c>
      <c r="AG143" s="72">
        <f>((AW143-AV143)+(AX143-AW143))/2</f>
        <v>-6.5000000000000002E-2</v>
      </c>
      <c r="AH143" s="4"/>
      <c r="AI143" s="72">
        <f>RSQ(AV143:AX143,AV142:AX142)</f>
        <v>0.99896384292171525</v>
      </c>
      <c r="AJ143" s="110">
        <f>SLOPE(AV143:AX143,AV142:AX142)</f>
        <v>-4.2521648564314845E-8</v>
      </c>
      <c r="AK143" s="72">
        <f>INTERCEPT(AV143:AX143,AV142:AX142)</f>
        <v>0.42810765623383223</v>
      </c>
      <c r="AL143" s="72">
        <f>INDEX(LINEST(LN(AV143:AX143),LN(AV142:AX142),TRUE,TRUE),3,1)</f>
        <v>0.60221353663893085</v>
      </c>
      <c r="AM143" s="72">
        <f>INDEX(LINEST(LN(AV143:AX143),LN(AV142:AX142)),1)</f>
        <v>-3.1738159437455275E-2</v>
      </c>
      <c r="AN143" s="72">
        <f>EXP(INDEX(LINEST(LN(AV143:AX143),LN(AV142:AX142)),1,2))</f>
        <v>0.53576656308326864</v>
      </c>
      <c r="AO143" s="89">
        <f>INDEX(LINEST((AV143:AX143),LN(AV142:AX142),TRUE,TRUE),3,1)</f>
        <v>0.63248477587928542</v>
      </c>
      <c r="AP143" s="89">
        <f>INDEX(LINEST((AV143:AX143),LN(AV142:AX142)),1)</f>
        <v>-1.1626024558314118E-2</v>
      </c>
      <c r="AQ143" s="90">
        <f>INDEX(LINEST(LN(AV143:AX143),SQRT(AV142:AX142),TRUE,TRUE),3,1)</f>
        <v>0.93212527487458641</v>
      </c>
      <c r="AR143" s="117">
        <f>INDEX(LINEST(LN(AV143:AX143),SQRT((AV142:AX142))),1)</f>
        <v>-2.1364630091162852E-4</v>
      </c>
      <c r="AS143" s="91">
        <f>INDEX(LINEST(1/(AV143:AX143),1/(SQRT(AV142:AX142)),TRUE,TRUE),3,1)</f>
        <v>0.4150211786050515</v>
      </c>
      <c r="AT143" s="91">
        <f>INDEX(LINEST(1/(AV143:AX143),1/SQRT(AV142:AX142)),1)</f>
        <v>-13.439175394178482</v>
      </c>
      <c r="AU143" s="3"/>
      <c r="AV143" s="73">
        <v>0.43</v>
      </c>
      <c r="AW143" s="73">
        <v>0.4</v>
      </c>
      <c r="AX143" s="73">
        <v>0.3</v>
      </c>
      <c r="AY143" s="53"/>
      <c r="AZ143" s="53"/>
      <c r="BA143" s="53"/>
      <c r="BB143" s="53"/>
      <c r="BC143" s="53"/>
      <c r="BD143" s="53"/>
      <c r="BE143" s="53"/>
      <c r="BF143" s="53"/>
      <c r="BG143" s="53"/>
      <c r="BH143" s="53"/>
      <c r="BI143" s="53"/>
      <c r="BJ143" s="53"/>
      <c r="BK143" s="53"/>
      <c r="BL143" s="53"/>
      <c r="BM143" s="53"/>
      <c r="BN143" s="53"/>
      <c r="BO143" s="53"/>
      <c r="BP143" s="53"/>
      <c r="BQ143" s="53"/>
      <c r="BR143" s="53"/>
      <c r="BS143" s="53"/>
      <c r="BT143" s="53"/>
      <c r="BU143" s="53"/>
      <c r="BV143" s="53"/>
      <c r="BW143" s="53"/>
      <c r="BX143" s="53"/>
      <c r="BY143" s="53"/>
      <c r="BZ143" s="53"/>
      <c r="CA143" s="53"/>
      <c r="CB143" s="53"/>
      <c r="CC143" s="53"/>
      <c r="CD143" s="53"/>
      <c r="CE143" s="53"/>
      <c r="CF143" s="53"/>
      <c r="CG143" s="53"/>
      <c r="CH143" s="53"/>
      <c r="CI143" s="53"/>
      <c r="CJ143" s="53"/>
      <c r="CK143" s="53"/>
      <c r="CL143" s="53"/>
      <c r="CM143" s="53"/>
      <c r="CN143" s="53"/>
      <c r="CO143" s="53"/>
      <c r="CP143" s="53"/>
      <c r="CQ143" s="53"/>
      <c r="CR143" s="1"/>
      <c r="CS143" s="1"/>
      <c r="CT143" s="1"/>
      <c r="CU143" s="1"/>
    </row>
    <row r="144" spans="1:99" s="13" customFormat="1" ht="12" customHeight="1" x14ac:dyDescent="0.2">
      <c r="A144" s="68">
        <v>43906</v>
      </c>
      <c r="B144" s="70"/>
      <c r="C144" s="70"/>
      <c r="D144" s="69"/>
      <c r="E144" s="87"/>
      <c r="F144" s="69"/>
      <c r="G144" s="69"/>
      <c r="H144" s="69"/>
      <c r="I144" s="69"/>
      <c r="J144" s="69"/>
      <c r="K144" s="107"/>
      <c r="L144" s="107"/>
      <c r="M144" s="69"/>
      <c r="N144" s="92"/>
      <c r="O144" s="69"/>
      <c r="P144" s="69"/>
      <c r="Q144" s="69"/>
      <c r="R144" s="69"/>
      <c r="S144" s="69"/>
      <c r="T144" s="92"/>
      <c r="U144" s="69"/>
      <c r="V144" s="92"/>
      <c r="W144" s="69"/>
      <c r="X144" s="69"/>
      <c r="Y144" s="87"/>
      <c r="Z144" s="92"/>
      <c r="AA144" s="69"/>
      <c r="AB144" s="69"/>
      <c r="AC144" s="72"/>
      <c r="AD144" s="69"/>
      <c r="AE144" s="69"/>
      <c r="AF144" s="88"/>
      <c r="AG144" s="72"/>
      <c r="AH144" s="4"/>
      <c r="AI144" s="72"/>
      <c r="AJ144" s="110"/>
      <c r="AK144" s="72"/>
      <c r="AL144" s="72"/>
      <c r="AM144" s="72"/>
      <c r="AN144" s="72"/>
      <c r="AO144" s="72"/>
      <c r="AP144" s="72"/>
      <c r="AQ144" s="72"/>
      <c r="AR144" s="110"/>
      <c r="AS144" s="72"/>
      <c r="AT144" s="72"/>
      <c r="AU144" s="5"/>
      <c r="AV144" s="71">
        <f>8*60</f>
        <v>480</v>
      </c>
      <c r="AW144" s="71">
        <f>60*60*24*7</f>
        <v>604800</v>
      </c>
      <c r="AX144" s="71">
        <f>60*60*24*35</f>
        <v>3024000</v>
      </c>
      <c r="AY144" s="53"/>
      <c r="AZ144" s="53"/>
      <c r="BA144" s="53"/>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53"/>
      <c r="CD144" s="53"/>
      <c r="CE144" s="53"/>
      <c r="CF144" s="53"/>
      <c r="CG144" s="53"/>
      <c r="CH144" s="53"/>
      <c r="CI144" s="53"/>
      <c r="CJ144" s="53"/>
      <c r="CK144" s="53"/>
      <c r="CL144" s="53"/>
      <c r="CM144" s="53"/>
      <c r="CN144" s="53"/>
      <c r="CO144" s="53"/>
      <c r="CP144" s="53"/>
      <c r="CQ144" s="53"/>
      <c r="CR144" s="1"/>
      <c r="CS144" s="1"/>
      <c r="CT144" s="1"/>
      <c r="CU144" s="1"/>
    </row>
    <row r="145" spans="1:99" s="13" customFormat="1" ht="12" customHeight="1" x14ac:dyDescent="0.2">
      <c r="A145" s="68">
        <v>43906</v>
      </c>
      <c r="B145" s="70" t="s">
        <v>498</v>
      </c>
      <c r="C145" s="70" t="s">
        <v>499</v>
      </c>
      <c r="D145" s="69">
        <v>1985</v>
      </c>
      <c r="E145" s="87">
        <v>2</v>
      </c>
      <c r="F145" s="69">
        <v>48</v>
      </c>
      <c r="G145" s="69">
        <v>48</v>
      </c>
      <c r="H145" s="69" t="s">
        <v>41</v>
      </c>
      <c r="I145" s="69" t="s">
        <v>722</v>
      </c>
      <c r="J145" s="69" t="s">
        <v>16</v>
      </c>
      <c r="K145" s="69">
        <f>IF(J145="syllables",1,IF(J145="trigrams",2,IF(J145="strings",3,IF(J145="visual array",4,IF(J145="characters",5,IF(J145="letters",6,IF(J145="free forms",7,IF(J145="odors",8,IF(J145="words",9,IF(J145="pictures",10,IF(J145="object pictures",11,IF(J145="faces",12,IF(J145="names",13,IF(J145="idioms",14,IF(J145="grades",15,IF(J145="syllable-digit pairs",16,IF(J145="trigram-word pairs",17,IF(J145="word-digit pairs",18,IF(J145="English-Swahili pairs",19,IF(J145="spatial position",20,IF(J145="word pairs",21,IF(J145="word triads",22,IF(J145="generated words",23,IF(J145="word definition pairs",24,IF(J145="math problems",25,IF(J145="famous faces",26,IF(J145="famous names",27,IF(J145="famous voices",28,IF(J145="television programs",29,IF(J145="race horses",30,IF(J145="new vocabulary",31,IF(J145="sentences",32,IF(J145="concepts",33,IF(J145="ad slides",34,IF(J145="scenes",35,IF(J145="famous scenes",36,IF(J145="poems",37,IF(J145="walk",38,IF(J145="faces and events",39,IF(J145="events and names",40,IF(J145="flashbulb",41,IF(J145="stories",42,IF(J145="course material",43,IF(J145="autobiographical",44,IF(J145="novels",45,IF(J145="public events",46,"99"))))))))))))))))))))))))))))))))))))))))))))))</f>
        <v>9</v>
      </c>
      <c r="L145" s="69">
        <f>IF(J145="syllables",1,IF(J145="trigrams",1,IF(J145="strings",1,IF(J145="visual array",1,IF(J145="characters",1,IF(J145="letters",1,IF(J145="free forms",1,IF(J145="odors",2,IF(J145="words",2,IF(J145="pictures",2,IF(J145="object pictures",2,IF(J145="faces",2,IF(J145="names",2,IF(J145="idioms","2",IF(J145="grades",2,IF(J145="syllable-digit pairs",3,IF(J145="trigram-word pairs",3,IF(J145="word-digit pairs",3,IF(J145="English-Swahili pairs",3,IF(J145="spatial position",3,IF(J145="word pairs",4,IF(J145="word triads",4,IF(J145="generated words",4,IF(J145="word definition pairs",4,IF(J145="math problems",4,IF(J145="famous faces",4,IF(J145="famous names",4,IF(J145="famous voices",4,IF(J145="television programs",4,IF(J145="race horses",4,IF(J145="new vocabulary",4,IF(J145="sentences",5,IF(J145="concepts",5,IF(J145="ad slides",5,IF(J145="scenes",5,IF(J145="famous scenes",5,IF(J145="poems",6,IF(J145="walk",6,IF(J145="faces and events",6,IF(J145="events and names",6,IF(J145="flashbulb",7,IF(J145="stories",7,IF(J145="course material",7,IF(J145="autobiographical",7,IF(J145="novels",7,IF(J145="public events",7,"99"))))))))))))))))))))))))))))))))))))))))))))))</f>
        <v>2</v>
      </c>
      <c r="M145" s="69">
        <v>0</v>
      </c>
      <c r="N145" s="69">
        <v>1</v>
      </c>
      <c r="O145" s="69">
        <v>0</v>
      </c>
      <c r="P145" s="69"/>
      <c r="Q145" s="69" t="s">
        <v>125</v>
      </c>
      <c r="R145" s="69">
        <f>IF(Q145="Free Recall",1,IF(Q145="Cued Recall",2,IF(Q145="Recognition",3,IF(Q145="Multiple Choice",4,IF(Q145="Savings",5,IF(Q145="Stem Completion",6,IF(Q145="Fragment Completion",7,IF(Q145="anagram solution",8,IF(Q145="Matching",9,IF(Q145="Problem Solving",10,"99"))))))))))</f>
        <v>7</v>
      </c>
      <c r="S145" s="69" t="s">
        <v>15</v>
      </c>
      <c r="T145" s="92" t="s">
        <v>581</v>
      </c>
      <c r="U145" s="69">
        <f>IF(T145="within",1,0)</f>
        <v>1</v>
      </c>
      <c r="V145" s="92">
        <v>25</v>
      </c>
      <c r="W145" s="69">
        <f>F145*V145</f>
        <v>1200</v>
      </c>
      <c r="X145" s="69">
        <v>3</v>
      </c>
      <c r="Y145" s="87">
        <f>AV144</f>
        <v>480</v>
      </c>
      <c r="Z145" s="92" t="s">
        <v>500</v>
      </c>
      <c r="AA145" s="69">
        <f>60*60*24*35</f>
        <v>3024000</v>
      </c>
      <c r="AB145" s="69" t="str">
        <f>IF(AA145&lt;60,"1",IF(AA145&lt;=43200,"2",IF(AA145&lt;=777600,"3","4")))</f>
        <v>4</v>
      </c>
      <c r="AC145" s="72">
        <f>AVERAGE(AV144:DA144)</f>
        <v>1209760</v>
      </c>
      <c r="AD145" s="69" t="str">
        <f>IF(AC145&lt;60,"1",IF(AC145&lt;=43200,"2",IF(AC145&lt;=777600,"3","4")))</f>
        <v>4</v>
      </c>
      <c r="AE145" s="87">
        <f>AA145-Y145</f>
        <v>3023520</v>
      </c>
      <c r="AF145" s="88">
        <f>AV145</f>
        <v>0.42</v>
      </c>
      <c r="AG145" s="72">
        <f>((AW145-AV145)+(AX145-AW145))/2</f>
        <v>-1.999999999999999E-2</v>
      </c>
      <c r="AH145" s="4"/>
      <c r="AI145" s="72">
        <f>RSQ(AV145:AX145,AV144:AX144)</f>
        <v>0.99723902353386551</v>
      </c>
      <c r="AJ145" s="110">
        <f>SLOPE(AV145:AX145,AV144:AX144)</f>
        <v>-1.2992691226638849E-8</v>
      </c>
      <c r="AK145" s="72">
        <f>INTERCEPT(AV145:AX145,AV144:AX144)</f>
        <v>0.41905137147167193</v>
      </c>
      <c r="AL145" s="72">
        <f>INDEX(LINEST(LN(AV145:AX145),LN(AV144:AX144),TRUE,TRUE),3,1)</f>
        <v>0.64264585833138443</v>
      </c>
      <c r="AM145" s="72">
        <f>INDEX(LINEST(LN(AV145:AX145),LN(AV144:AX144)),1)</f>
        <v>-8.9931235466484474E-3</v>
      </c>
      <c r="AN145" s="72">
        <f>EXP(INDEX(LINEST(LN(AV145:AX145),LN(AV144:AX144)),1,2))</f>
        <v>0.44675384578066613</v>
      </c>
      <c r="AO145" s="89">
        <f>INDEX(LINEST((AV145:AX145),LN(AV144:AX144),TRUE,TRUE),3,1)</f>
        <v>0.652015370606846</v>
      </c>
      <c r="AP145" s="89">
        <f>INDEX(LINEST((AV145:AX145),LN(AV144:AX144)),1)</f>
        <v>-3.6099350721369178E-3</v>
      </c>
      <c r="AQ145" s="90">
        <f>INDEX(LINEST(LN(AV145:AX145),SQRT(AV144:AX144),TRUE,TRUE),3,1)</f>
        <v>0.95158362210662173</v>
      </c>
      <c r="AR145" s="117">
        <f>INDEX(LINEST(LN(AV145:AX145),SQRT((AV144:AX144))),1)</f>
        <v>-5.9210664841435022E-5</v>
      </c>
      <c r="AS145" s="91">
        <f>INDEX(LINEST(1/(AV145:AX145),1/(SQRT(AV144:AX144)),TRUE,TRUE),3,1)</f>
        <v>0.47515490986818776</v>
      </c>
      <c r="AT145" s="91">
        <f>INDEX(LINEST(1/(AV145:AX145),1/SQRT(AV144:AX144)),1)</f>
        <v>-3.502674428852393</v>
      </c>
      <c r="AU145" s="3"/>
      <c r="AV145" s="73">
        <v>0.42</v>
      </c>
      <c r="AW145" s="73">
        <v>0.41</v>
      </c>
      <c r="AX145" s="73">
        <v>0.38</v>
      </c>
      <c r="AY145" s="53"/>
      <c r="AZ145" s="53"/>
      <c r="BA145" s="53"/>
      <c r="BB145" s="53"/>
      <c r="BC145" s="53"/>
      <c r="BD145" s="53"/>
      <c r="BE145" s="53"/>
      <c r="BF145" s="53"/>
      <c r="BG145" s="53"/>
      <c r="BH145" s="53"/>
      <c r="BI145" s="53"/>
      <c r="BJ145" s="53"/>
      <c r="BK145" s="53"/>
      <c r="BL145" s="53"/>
      <c r="BM145" s="53"/>
      <c r="BN145" s="53"/>
      <c r="BO145" s="53"/>
      <c r="BP145" s="53"/>
      <c r="BQ145" s="53"/>
      <c r="BR145" s="53"/>
      <c r="BS145" s="53"/>
      <c r="BT145" s="53"/>
      <c r="BU145" s="53"/>
      <c r="BV145" s="53"/>
      <c r="BW145" s="53"/>
      <c r="BX145" s="53"/>
      <c r="BY145" s="53"/>
      <c r="BZ145" s="53"/>
      <c r="CA145" s="53"/>
      <c r="CB145" s="53"/>
      <c r="CC145" s="53"/>
      <c r="CD145" s="53"/>
      <c r="CE145" s="53"/>
      <c r="CF145" s="53"/>
      <c r="CG145" s="53"/>
      <c r="CH145" s="53"/>
      <c r="CI145" s="53"/>
      <c r="CJ145" s="53"/>
      <c r="CK145" s="53"/>
      <c r="CL145" s="53"/>
      <c r="CM145" s="53"/>
      <c r="CN145" s="53"/>
      <c r="CO145" s="53"/>
      <c r="CP145" s="53"/>
      <c r="CQ145" s="53"/>
      <c r="CR145" s="1"/>
      <c r="CS145" s="1"/>
      <c r="CT145" s="1"/>
      <c r="CU145" s="1"/>
    </row>
    <row r="146" spans="1:99" s="13" customFormat="1" ht="12" customHeight="1" x14ac:dyDescent="0.2">
      <c r="A146" s="68">
        <v>43509</v>
      </c>
      <c r="B146" s="70"/>
      <c r="C146" s="70"/>
      <c r="D146" s="69"/>
      <c r="E146" s="87"/>
      <c r="F146" s="69"/>
      <c r="G146" s="69"/>
      <c r="H146" s="69"/>
      <c r="I146" s="69"/>
      <c r="J146" s="69"/>
      <c r="K146" s="107"/>
      <c r="L146" s="107"/>
      <c r="M146" s="69"/>
      <c r="N146" s="69"/>
      <c r="O146" s="69"/>
      <c r="P146" s="69"/>
      <c r="Q146" s="69"/>
      <c r="R146" s="69"/>
      <c r="S146" s="69"/>
      <c r="T146" s="69"/>
      <c r="U146" s="60"/>
      <c r="V146" s="69"/>
      <c r="W146" s="69"/>
      <c r="X146" s="69"/>
      <c r="Y146" s="87"/>
      <c r="Z146" s="69"/>
      <c r="AA146" s="69"/>
      <c r="AB146" s="69"/>
      <c r="AC146" s="69"/>
      <c r="AD146" s="69"/>
      <c r="AE146" s="69"/>
      <c r="AF146" s="88"/>
      <c r="AG146" s="72"/>
      <c r="AH146" s="4"/>
      <c r="AI146" s="72"/>
      <c r="AJ146" s="110"/>
      <c r="AK146" s="72"/>
      <c r="AL146" s="72"/>
      <c r="AM146" s="72"/>
      <c r="AN146" s="72"/>
      <c r="AO146" s="72"/>
      <c r="AP146" s="72"/>
      <c r="AQ146" s="72"/>
      <c r="AR146" s="110"/>
      <c r="AS146" s="72"/>
      <c r="AT146" s="72"/>
      <c r="AU146" s="4"/>
      <c r="AV146" s="71">
        <f>2*24*3600</f>
        <v>172800</v>
      </c>
      <c r="AW146" s="71">
        <f>7*24*3600*1</f>
        <v>604800</v>
      </c>
      <c r="AX146" s="71">
        <f>7*24*3600*2.143</f>
        <v>1296086.3999999999</v>
      </c>
      <c r="AY146" s="71">
        <f>7*24*3600*4.429</f>
        <v>2678659.2000000002</v>
      </c>
      <c r="AZ146" s="71">
        <f>7*24*3600*6.571</f>
        <v>3974140.8</v>
      </c>
      <c r="BA146" s="53"/>
      <c r="BB146" s="53"/>
      <c r="BC146" s="53"/>
      <c r="BD146" s="53"/>
      <c r="BE146" s="53"/>
      <c r="BF146" s="53"/>
      <c r="BG146" s="53"/>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c r="CE146" s="53"/>
      <c r="CF146" s="53"/>
      <c r="CG146" s="53"/>
      <c r="CH146" s="53"/>
      <c r="CI146" s="53"/>
      <c r="CJ146" s="53"/>
      <c r="CK146" s="53"/>
      <c r="CL146" s="53"/>
      <c r="CM146" s="53"/>
      <c r="CN146" s="53"/>
      <c r="CO146" s="53"/>
      <c r="CP146" s="53"/>
      <c r="CQ146" s="53"/>
      <c r="CR146" s="1"/>
      <c r="CS146" s="1"/>
      <c r="CT146" s="1"/>
      <c r="CU146" s="1"/>
    </row>
    <row r="147" spans="1:99" s="13" customFormat="1" ht="12" customHeight="1" x14ac:dyDescent="0.2">
      <c r="A147" s="68">
        <v>43509</v>
      </c>
      <c r="B147" s="70" t="s">
        <v>151</v>
      </c>
      <c r="C147" s="70" t="s">
        <v>70</v>
      </c>
      <c r="D147" s="69">
        <v>2009</v>
      </c>
      <c r="E147" s="87">
        <v>1</v>
      </c>
      <c r="F147" s="69">
        <v>878</v>
      </c>
      <c r="G147" s="69">
        <v>175.6</v>
      </c>
      <c r="H147" s="69" t="s">
        <v>22</v>
      </c>
      <c r="I147" s="69" t="s">
        <v>864</v>
      </c>
      <c r="J147" s="69" t="s">
        <v>622</v>
      </c>
      <c r="K147" s="69">
        <f>IF(J147="syllables",1,IF(J147="trigrams",2,IF(J147="strings",3,IF(J147="visual array",4,IF(J147="characters",5,IF(J147="letters",6,IF(J147="free forms",7,IF(J147="odors",8,IF(J147="words",9,IF(J147="pictures",10,IF(J147="object pictures",11,IF(J147="faces",12,IF(J147="names",13,IF(J147="idioms",14,IF(J147="grades",15,IF(J147="syllable-digit pairs",16,IF(J147="trigram-word pairs",17,IF(J147="word-digit pairs",18,IF(J147="English-Swahili pairs",19,IF(J147="spatial position",20,IF(J147="word pairs",21,IF(J147="word triads",22,IF(J147="generated words",23,IF(J147="word definition pairs",24,IF(J147="math problems",25,IF(J147="famous faces",26,IF(J147="famous names",27,IF(J147="famous voices",28,IF(J147="television programs",29,IF(J147="race horses",30,IF(J147="new vocabulary",31,IF(J147="sentences",32,IF(J147="concepts",33,IF(J147="ad slides",34,IF(J147="scenes",35,IF(J147="famous scenes",36,IF(J147="poems",37,IF(J147="walk",38,IF(J147="faces and events",39,IF(J147="events and names",40,IF(J147="flashbulb",41,IF(J147="stories",42,IF(J147="course material",43,IF(J147="autobiographical",44,IF(J147="novels",45,IF(J147="public events",46,"99"))))))))))))))))))))))))))))))))))))))))))))))</f>
        <v>44</v>
      </c>
      <c r="L147" s="69">
        <f>IF(J147="syllables",1,IF(J147="trigrams",1,IF(J147="strings",1,IF(J147="visual array",1,IF(J147="characters",1,IF(J147="letters",1,IF(J147="free forms",1,IF(J147="odors",2,IF(J147="words",2,IF(J147="pictures",2,IF(J147="object pictures",2,IF(J147="faces",2,IF(J147="names",2,IF(J147="idioms","2",IF(J147="grades",2,IF(J147="syllable-digit pairs",3,IF(J147="trigram-word pairs",3,IF(J147="word-digit pairs",3,IF(J147="English-Swahili pairs",3,IF(J147="spatial position",3,IF(J147="word pairs",4,IF(J147="word triads",4,IF(J147="generated words",4,IF(J147="word definition pairs",4,IF(J147="math problems",4,IF(J147="famous faces",4,IF(J147="famous names",4,IF(J147="famous voices",4,IF(J147="television programs",4,IF(J147="race horses",4,IF(J147="new vocabulary",4,IF(J147="sentences",5,IF(J147="concepts",5,IF(J147="ad slides",5,IF(J147="scenes",5,IF(J147="famous scenes",5,IF(J147="poems",6,IF(J147="walk",6,IF(J147="faces and events",6,IF(J147="events and names",6,IF(J147="flashbulb",7,IF(J147="stories",7,IF(J147="course material",7,IF(J147="autobiographical",7,IF(J147="novels",7,IF(J147="public events",7,"99"))))))))))))))))))))))))))))))))))))))))))))))</f>
        <v>7</v>
      </c>
      <c r="M147" s="92">
        <v>0</v>
      </c>
      <c r="N147" s="69">
        <v>2</v>
      </c>
      <c r="O147" s="69">
        <v>0</v>
      </c>
      <c r="P147" s="69"/>
      <c r="Q147" s="69" t="s">
        <v>174</v>
      </c>
      <c r="R147" s="69">
        <f>IF(Q147="Free Recall",1,IF(Q147="Cued Recall",2,IF(Q147="Recognition",3,IF(Q147="Multiple Choice",4,IF(Q147="Savings",5,IF(Q147="Stem Completion",6,IF(Q147="Fragment Completion",7,IF(Q147="anagram solution",8,IF(Q147="Matching",9,IF(Q147="Problem Solving",10,"99"))))))))))</f>
        <v>1</v>
      </c>
      <c r="S147" s="69" t="s">
        <v>49</v>
      </c>
      <c r="T147" s="69" t="s">
        <v>261</v>
      </c>
      <c r="U147" s="60">
        <f>IF(T147="within",1,0)</f>
        <v>0</v>
      </c>
      <c r="V147" s="69">
        <v>3</v>
      </c>
      <c r="W147" s="69">
        <f>F147*V147</f>
        <v>2634</v>
      </c>
      <c r="X147" s="69">
        <v>5</v>
      </c>
      <c r="Y147" s="87">
        <f>AV146</f>
        <v>172800</v>
      </c>
      <c r="Z147" s="69" t="s">
        <v>152</v>
      </c>
      <c r="AA147" s="69">
        <v>3974140.8</v>
      </c>
      <c r="AB147" s="69" t="str">
        <f>IF(AA147&lt;60,"1",IF(AA147&lt;=43200,"2",IF(AA147&lt;=777600,"3","4")))</f>
        <v>4</v>
      </c>
      <c r="AC147" s="72">
        <f>AVERAGE(AV146:DA146)</f>
        <v>1745297.2799999998</v>
      </c>
      <c r="AD147" s="69" t="str">
        <f>IF(AC147&lt;60,"1",IF(AC147&lt;=43200,"2",IF(AC147&lt;=777600,"3","4")))</f>
        <v>4</v>
      </c>
      <c r="AE147" s="87">
        <f>AA147-Y147</f>
        <v>3801340.8</v>
      </c>
      <c r="AF147" s="88">
        <f>AV147</f>
        <v>0.88</v>
      </c>
      <c r="AG147" s="72">
        <f>((AW147-AV147)+(AX147-AW147)+(AY147-AX147)+(AZ147-AY147))/4</f>
        <v>-7.0000000000000007E-2</v>
      </c>
      <c r="AH147" s="4"/>
      <c r="AI147" s="72">
        <f>RSQ(AV147:AZ147,AV146:AZ146)</f>
        <v>0.91813407865515395</v>
      </c>
      <c r="AJ147" s="110">
        <f>SLOPE(AV147:AZ147,AV146:AZ146)</f>
        <v>-7.1554799122475902E-8</v>
      </c>
      <c r="AK147" s="72">
        <f>INTERCEPT(AV147:AZ147,AV146:AZ146)</f>
        <v>0.85288439627940349</v>
      </c>
      <c r="AL147" s="72">
        <f>INDEX(LINEST(LN(AV147:AZ147),LN(AV146:AZ146),TRUE,TRUE),3,1)</f>
        <v>0.9501343604980208</v>
      </c>
      <c r="AM147" s="72">
        <f>INDEX(LINEST(LN(AV147:AZ147),LN(AV146:AZ146)),1)</f>
        <v>-0.1257962676550925</v>
      </c>
      <c r="AN147" s="72">
        <f>EXP(INDEX(LINEST(LN(AV147:AZ147),LN(AV146:AZ146)),1,2))</f>
        <v>4.1342737659336253</v>
      </c>
      <c r="AO147" s="89">
        <f>INDEX(LINEST((AV147:AZ147),LN(AV146:AZ146),TRUE,TRUE),3,1)</f>
        <v>0.96832785187858916</v>
      </c>
      <c r="AP147" s="89">
        <f>INDEX(LINEST((AV147:AZ147),LN(AV146:AZ146)),1)</f>
        <v>-9.2082031070168546E-2</v>
      </c>
      <c r="AQ147" s="90">
        <f>INDEX(LINEST(LN(AV147:AZ147),SQRT(AV146:AZ146),TRUE,TRUE),3,1)</f>
        <v>0.98561288195948671</v>
      </c>
      <c r="AR147" s="117">
        <f>INDEX(LINEST(LN(AV147:AZ147),SQRT((AV146:AZ146))),1)</f>
        <v>-2.5187031400673941E-4</v>
      </c>
      <c r="AS147" s="91">
        <f>INDEX(LINEST(1/(AV147:AZ147),1/(SQRT(AV146:AZ146)),TRUE,TRUE),3,1)</f>
        <v>0.78941999316643185</v>
      </c>
      <c r="AT147" s="91">
        <f>INDEX(LINEST(1/(AV147:AZ147),1/SQRT(AV146:AZ146)),1)</f>
        <v>-259.64869594332549</v>
      </c>
      <c r="AU147" s="3"/>
      <c r="AV147" s="73">
        <v>0.88</v>
      </c>
      <c r="AW147" s="73">
        <v>0.79500000000000004</v>
      </c>
      <c r="AX147" s="73">
        <v>0.74</v>
      </c>
      <c r="AY147" s="73">
        <v>0.625</v>
      </c>
      <c r="AZ147" s="73">
        <v>0.6</v>
      </c>
      <c r="BA147" s="53"/>
      <c r="BB147" s="53"/>
      <c r="BC147" s="53"/>
      <c r="BD147" s="53"/>
      <c r="BE147" s="53"/>
      <c r="BF147" s="53"/>
      <c r="BG147" s="53"/>
      <c r="BH147" s="53"/>
      <c r="BI147" s="53"/>
      <c r="BJ147" s="53"/>
      <c r="BK147" s="53"/>
      <c r="BL147" s="53"/>
      <c r="BM147" s="53"/>
      <c r="BN147" s="53"/>
      <c r="BO147" s="53"/>
      <c r="BP147" s="53"/>
      <c r="BQ147" s="53"/>
      <c r="BR147" s="53"/>
      <c r="BS147" s="53"/>
      <c r="BT147" s="53"/>
      <c r="BU147" s="53"/>
      <c r="BV147" s="53"/>
      <c r="BW147" s="53"/>
      <c r="BX147" s="53"/>
      <c r="BY147" s="53"/>
      <c r="BZ147" s="53"/>
      <c r="CA147" s="53"/>
      <c r="CB147" s="53"/>
      <c r="CC147" s="53"/>
      <c r="CD147" s="53"/>
      <c r="CE147" s="53"/>
      <c r="CF147" s="53"/>
      <c r="CG147" s="53"/>
      <c r="CH147" s="53"/>
      <c r="CI147" s="53"/>
      <c r="CJ147" s="53"/>
      <c r="CK147" s="53"/>
      <c r="CL147" s="53"/>
      <c r="CM147" s="53"/>
      <c r="CN147" s="53"/>
      <c r="CO147" s="53"/>
      <c r="CP147" s="53"/>
      <c r="CQ147" s="53"/>
      <c r="CR147" s="1"/>
      <c r="CS147" s="1"/>
      <c r="CT147" s="1"/>
      <c r="CU147" s="1"/>
    </row>
    <row r="148" spans="1:99" s="13" customFormat="1" ht="12" customHeight="1" x14ac:dyDescent="0.2">
      <c r="A148" s="68">
        <v>43509</v>
      </c>
      <c r="B148" s="70"/>
      <c r="C148" s="70"/>
      <c r="D148" s="69"/>
      <c r="E148" s="87"/>
      <c r="F148" s="69"/>
      <c r="G148" s="69"/>
      <c r="H148" s="69"/>
      <c r="I148" s="69"/>
      <c r="J148" s="69"/>
      <c r="K148" s="107"/>
      <c r="L148" s="107"/>
      <c r="M148" s="69"/>
      <c r="N148" s="69"/>
      <c r="O148" s="69"/>
      <c r="P148" s="69"/>
      <c r="Q148" s="69"/>
      <c r="R148" s="69"/>
      <c r="S148" s="69"/>
      <c r="T148" s="69"/>
      <c r="U148" s="60"/>
      <c r="V148" s="69"/>
      <c r="W148" s="69"/>
      <c r="X148" s="69"/>
      <c r="Y148" s="87"/>
      <c r="Z148" s="69"/>
      <c r="AA148" s="69"/>
      <c r="AB148" s="69"/>
      <c r="AC148" s="69"/>
      <c r="AD148" s="69"/>
      <c r="AE148" s="69"/>
      <c r="AF148" s="88"/>
      <c r="AG148" s="72"/>
      <c r="AH148" s="4"/>
      <c r="AI148" s="72"/>
      <c r="AJ148" s="110"/>
      <c r="AK148" s="72"/>
      <c r="AL148" s="72"/>
      <c r="AM148" s="72"/>
      <c r="AN148" s="72"/>
      <c r="AO148" s="72"/>
      <c r="AP148" s="72"/>
      <c r="AQ148" s="72"/>
      <c r="AR148" s="110"/>
      <c r="AS148" s="72"/>
      <c r="AT148" s="72"/>
      <c r="AU148" s="4"/>
      <c r="AV148" s="71">
        <f>2*24*3600</f>
        <v>172800</v>
      </c>
      <c r="AW148" s="71">
        <f>7*24*3600*1</f>
        <v>604800</v>
      </c>
      <c r="AX148" s="71">
        <f>7*24*3600*2.143</f>
        <v>1296086.3999999999</v>
      </c>
      <c r="AY148" s="71">
        <f>7*24*3600*4.429</f>
        <v>2678659.2000000002</v>
      </c>
      <c r="AZ148" s="71">
        <f>7*24*3600*6.571</f>
        <v>3974140.8</v>
      </c>
      <c r="BA148" s="53"/>
      <c r="BB148" s="53"/>
      <c r="BC148" s="53"/>
      <c r="BD148" s="53"/>
      <c r="BE148" s="53"/>
      <c r="BF148" s="53"/>
      <c r="BG148" s="53"/>
      <c r="BH148" s="53"/>
      <c r="BI148" s="53"/>
      <c r="BJ148" s="53"/>
      <c r="BK148" s="53"/>
      <c r="BL148" s="53"/>
      <c r="BM148" s="53"/>
      <c r="BN148" s="53"/>
      <c r="BO148" s="53"/>
      <c r="BP148" s="53"/>
      <c r="BQ148" s="53"/>
      <c r="BR148" s="53"/>
      <c r="BS148" s="53"/>
      <c r="BT148" s="53"/>
      <c r="BU148" s="53"/>
      <c r="BV148" s="53"/>
      <c r="BW148" s="53"/>
      <c r="BX148" s="53"/>
      <c r="BY148" s="53"/>
      <c r="BZ148" s="53"/>
      <c r="CA148" s="53"/>
      <c r="CB148" s="53"/>
      <c r="CC148" s="53"/>
      <c r="CD148" s="53"/>
      <c r="CE148" s="53"/>
      <c r="CF148" s="53"/>
      <c r="CG148" s="53"/>
      <c r="CH148" s="53"/>
      <c r="CI148" s="53"/>
      <c r="CJ148" s="53"/>
      <c r="CK148" s="53"/>
      <c r="CL148" s="53"/>
      <c r="CM148" s="53"/>
      <c r="CN148" s="53"/>
      <c r="CO148" s="53"/>
      <c r="CP148" s="53"/>
      <c r="CQ148" s="53"/>
      <c r="CR148" s="1"/>
      <c r="CS148" s="1"/>
      <c r="CT148" s="1"/>
      <c r="CU148" s="1"/>
    </row>
    <row r="149" spans="1:99" s="13" customFormat="1" ht="12" customHeight="1" x14ac:dyDescent="0.2">
      <c r="A149" s="68">
        <v>43509</v>
      </c>
      <c r="B149" s="70" t="s">
        <v>151</v>
      </c>
      <c r="C149" s="70" t="s">
        <v>70</v>
      </c>
      <c r="D149" s="69">
        <v>2009</v>
      </c>
      <c r="E149" s="87">
        <v>1</v>
      </c>
      <c r="F149" s="69">
        <v>878</v>
      </c>
      <c r="G149" s="69">
        <v>175.6</v>
      </c>
      <c r="H149" s="69" t="s">
        <v>22</v>
      </c>
      <c r="I149" s="69" t="s">
        <v>865</v>
      </c>
      <c r="J149" s="69" t="s">
        <v>622</v>
      </c>
      <c r="K149" s="69">
        <f>IF(J149="syllables",1,IF(J149="trigrams",2,IF(J149="strings",3,IF(J149="visual array",4,IF(J149="characters",5,IF(J149="letters",6,IF(J149="free forms",7,IF(J149="odors",8,IF(J149="words",9,IF(J149="pictures",10,IF(J149="object pictures",11,IF(J149="faces",12,IF(J149="names",13,IF(J149="idioms",14,IF(J149="grades",15,IF(J149="syllable-digit pairs",16,IF(J149="trigram-word pairs",17,IF(J149="word-digit pairs",18,IF(J149="English-Swahili pairs",19,IF(J149="spatial position",20,IF(J149="word pairs",21,IF(J149="word triads",22,IF(J149="generated words",23,IF(J149="word definition pairs",24,IF(J149="math problems",25,IF(J149="famous faces",26,IF(J149="famous names",27,IF(J149="famous voices",28,IF(J149="television programs",29,IF(J149="race horses",30,IF(J149="new vocabulary",31,IF(J149="sentences",32,IF(J149="concepts",33,IF(J149="ad slides",34,IF(J149="scenes",35,IF(J149="famous scenes",36,IF(J149="poems",37,IF(J149="walk",38,IF(J149="faces and events",39,IF(J149="events and names",40,IF(J149="flashbulb",41,IF(J149="stories",42,IF(J149="course material",43,IF(J149="autobiographical",44,IF(J149="novels",45,IF(J149="public events",46,"99"))))))))))))))))))))))))))))))))))))))))))))))</f>
        <v>44</v>
      </c>
      <c r="L149" s="69">
        <f>IF(J149="syllables",1,IF(J149="trigrams",1,IF(J149="strings",1,IF(J149="visual array",1,IF(J149="characters",1,IF(J149="letters",1,IF(J149="free forms",1,IF(J149="odors",2,IF(J149="words",2,IF(J149="pictures",2,IF(J149="object pictures",2,IF(J149="faces",2,IF(J149="names",2,IF(J149="idioms","2",IF(J149="grades",2,IF(J149="syllable-digit pairs",3,IF(J149="trigram-word pairs",3,IF(J149="word-digit pairs",3,IF(J149="English-Swahili pairs",3,IF(J149="spatial position",3,IF(J149="word pairs",4,IF(J149="word triads",4,IF(J149="generated words",4,IF(J149="word definition pairs",4,IF(J149="math problems",4,IF(J149="famous faces",4,IF(J149="famous names",4,IF(J149="famous voices",4,IF(J149="television programs",4,IF(J149="race horses",4,IF(J149="new vocabulary",4,IF(J149="sentences",5,IF(J149="concepts",5,IF(J149="ad slides",5,IF(J149="scenes",5,IF(J149="famous scenes",5,IF(J149="poems",6,IF(J149="walk",6,IF(J149="faces and events",6,IF(J149="events and names",6,IF(J149="flashbulb",7,IF(J149="stories",7,IF(J149="course material",7,IF(J149="autobiographical",7,IF(J149="novels",7,IF(J149="public events",7,"99"))))))))))))))))))))))))))))))))))))))))))))))</f>
        <v>7</v>
      </c>
      <c r="M149" s="92">
        <v>0</v>
      </c>
      <c r="N149" s="69">
        <v>2</v>
      </c>
      <c r="O149" s="69">
        <v>0</v>
      </c>
      <c r="P149" s="69"/>
      <c r="Q149" s="69" t="s">
        <v>174</v>
      </c>
      <c r="R149" s="69">
        <f>IF(Q149="Free Recall",1,IF(Q149="Cued Recall",2,IF(Q149="Recognition",3,IF(Q149="Multiple Choice",4,IF(Q149="Savings",5,IF(Q149="Stem Completion",6,IF(Q149="Fragment Completion",7,IF(Q149="anagram solution",8,IF(Q149="Matching",9,IF(Q149="Problem Solving",10,"99"))))))))))</f>
        <v>1</v>
      </c>
      <c r="S149" s="69" t="s">
        <v>49</v>
      </c>
      <c r="T149" s="69" t="s">
        <v>261</v>
      </c>
      <c r="U149" s="60">
        <f>IF(T149="within",1,0)</f>
        <v>0</v>
      </c>
      <c r="V149" s="69">
        <v>3</v>
      </c>
      <c r="W149" s="69">
        <f>F149*V149</f>
        <v>2634</v>
      </c>
      <c r="X149" s="69">
        <v>5</v>
      </c>
      <c r="Y149" s="87">
        <f>AV148</f>
        <v>172800</v>
      </c>
      <c r="Z149" s="69" t="s">
        <v>152</v>
      </c>
      <c r="AA149" s="69">
        <v>3974140.8</v>
      </c>
      <c r="AB149" s="69" t="str">
        <f>IF(AA149&lt;60,"1",IF(AA149&lt;=43200,"2",IF(AA149&lt;=777600,"3","4")))</f>
        <v>4</v>
      </c>
      <c r="AC149" s="72">
        <f>AVERAGE(AV148:DA148)</f>
        <v>1745297.2799999998</v>
      </c>
      <c r="AD149" s="69" t="str">
        <f>IF(AC149&lt;60,"1",IF(AC149&lt;=43200,"2",IF(AC149&lt;=777600,"3","4")))</f>
        <v>4</v>
      </c>
      <c r="AE149" s="87">
        <f>AA149-Y149</f>
        <v>3801340.8</v>
      </c>
      <c r="AF149" s="88">
        <f>AV149</f>
        <v>0.84</v>
      </c>
      <c r="AG149" s="72">
        <f>((AW149-AV149)+(AX149-AW149)+(AY149-AX149)+(AZ149-AY149))/4</f>
        <v>-5.3749999999999992E-2</v>
      </c>
      <c r="AH149" s="4"/>
      <c r="AI149" s="72">
        <f>RSQ(AV149:AZ149,AV148:AZ148)</f>
        <v>0.93163491043340141</v>
      </c>
      <c r="AJ149" s="110">
        <f>SLOPE(AV149:AZ149,AV148:AZ148)</f>
        <v>-6.0946783445559305E-8</v>
      </c>
      <c r="AK149" s="72">
        <f>INTERCEPT(AV149:AZ149,AV148:AZ148)</f>
        <v>0.83937025537228371</v>
      </c>
      <c r="AL149" s="72">
        <f>INDEX(LINEST(LN(AV149:AZ149),LN(AV148:AZ148),TRUE,TRUE),3,1)</f>
        <v>0.87316572889450128</v>
      </c>
      <c r="AM149" s="72">
        <f>INDEX(LINEST(LN(AV149:AZ149),LN(AV148:AZ148)),1)</f>
        <v>-0.10245942774086458</v>
      </c>
      <c r="AN149" s="72">
        <f>EXP(INDEX(LINEST(LN(AV149:AZ149),LN(AV148:AZ148)),1,2))</f>
        <v>3.0191643539951887</v>
      </c>
      <c r="AO149" s="89">
        <f>INDEX(LINEST((AV149:AZ149),LN(AV148:AZ148),TRUE,TRUE),3,1)</f>
        <v>0.8896002791291554</v>
      </c>
      <c r="AP149" s="89">
        <f>INDEX(LINEST((AV149:AZ149),LN(AV148:AZ148)),1)</f>
        <v>-7.4628263000733899E-2</v>
      </c>
      <c r="AQ149" s="90">
        <f>INDEX(LINEST(LN(AV149:AZ149),SQRT(AV148:AZ148),TRUE,TRUE),3,1)</f>
        <v>0.95287015176830736</v>
      </c>
      <c r="AR149" s="117">
        <f>INDEX(LINEST(LN(AV149:AZ149),SQRT((AV148:AZ148))),1)</f>
        <v>-2.1041127154444836E-4</v>
      </c>
      <c r="AS149" s="91">
        <f>INDEX(LINEST(1/(AV149:AZ149),1/(SQRT(AV148:AZ148)),TRUE,TRUE),3,1)</f>
        <v>0.68943392951956162</v>
      </c>
      <c r="AT149" s="91">
        <f>INDEX(LINEST(1/(AV149:AZ149),1/SQRT(AV148:AZ148)),1)</f>
        <v>-205.97012961377115</v>
      </c>
      <c r="AU149" s="3"/>
      <c r="AV149" s="73">
        <v>0.84</v>
      </c>
      <c r="AW149" s="73">
        <v>0.81</v>
      </c>
      <c r="AX149" s="73">
        <v>0.755</v>
      </c>
      <c r="AY149" s="73">
        <v>0.63500000000000001</v>
      </c>
      <c r="AZ149" s="73">
        <v>0.625</v>
      </c>
      <c r="BA149" s="53"/>
      <c r="BB149" s="53"/>
      <c r="BC149" s="53"/>
      <c r="BD149" s="53"/>
      <c r="BE149" s="53"/>
      <c r="BF149" s="53"/>
      <c r="BG149" s="53"/>
      <c r="BH149" s="53"/>
      <c r="BI149" s="53"/>
      <c r="BJ149" s="53"/>
      <c r="BK149" s="53"/>
      <c r="BL149" s="53"/>
      <c r="BM149" s="53"/>
      <c r="BN149" s="53"/>
      <c r="BO149" s="53"/>
      <c r="BP149" s="53"/>
      <c r="BQ149" s="53"/>
      <c r="BR149" s="53"/>
      <c r="BS149" s="53"/>
      <c r="BT149" s="53"/>
      <c r="BU149" s="53"/>
      <c r="BV149" s="53"/>
      <c r="BW149" s="53"/>
      <c r="BX149" s="53"/>
      <c r="BY149" s="53"/>
      <c r="BZ149" s="53"/>
      <c r="CA149" s="53"/>
      <c r="CB149" s="53"/>
      <c r="CC149" s="53"/>
      <c r="CD149" s="53"/>
      <c r="CE149" s="53"/>
      <c r="CF149" s="53"/>
      <c r="CG149" s="53"/>
      <c r="CH149" s="53"/>
      <c r="CI149" s="53"/>
      <c r="CJ149" s="53"/>
      <c r="CK149" s="53"/>
      <c r="CL149" s="53"/>
      <c r="CM149" s="53"/>
      <c r="CN149" s="53"/>
      <c r="CO149" s="53"/>
      <c r="CP149" s="53"/>
      <c r="CQ149" s="53"/>
      <c r="CR149" s="1"/>
      <c r="CS149" s="1"/>
      <c r="CT149" s="1"/>
      <c r="CU149" s="1"/>
    </row>
    <row r="150" spans="1:99" s="13" customFormat="1" ht="12" customHeight="1" x14ac:dyDescent="0.2">
      <c r="A150" s="68">
        <v>43509</v>
      </c>
      <c r="B150" s="70"/>
      <c r="C150" s="70"/>
      <c r="D150" s="69"/>
      <c r="E150" s="87"/>
      <c r="F150" s="69"/>
      <c r="G150" s="69"/>
      <c r="H150" s="69"/>
      <c r="I150" s="69"/>
      <c r="J150" s="69"/>
      <c r="K150" s="107"/>
      <c r="L150" s="107"/>
      <c r="M150" s="69"/>
      <c r="N150" s="69"/>
      <c r="O150" s="69"/>
      <c r="P150" s="69"/>
      <c r="Q150" s="69"/>
      <c r="R150" s="69"/>
      <c r="S150" s="69"/>
      <c r="T150" s="69"/>
      <c r="U150" s="60"/>
      <c r="V150" s="69"/>
      <c r="W150" s="69"/>
      <c r="X150" s="69"/>
      <c r="Y150" s="87"/>
      <c r="Z150" s="69"/>
      <c r="AA150" s="69"/>
      <c r="AB150" s="69"/>
      <c r="AC150" s="69"/>
      <c r="AD150" s="69"/>
      <c r="AE150" s="69"/>
      <c r="AF150" s="88"/>
      <c r="AG150" s="72"/>
      <c r="AH150" s="4"/>
      <c r="AI150" s="72"/>
      <c r="AJ150" s="110"/>
      <c r="AK150" s="72"/>
      <c r="AL150" s="72"/>
      <c r="AM150" s="72"/>
      <c r="AN150" s="72"/>
      <c r="AO150" s="72"/>
      <c r="AP150" s="72"/>
      <c r="AQ150" s="72"/>
      <c r="AR150" s="110"/>
      <c r="AS150" s="72"/>
      <c r="AT150" s="72"/>
      <c r="AU150" s="4"/>
      <c r="AV150" s="71">
        <f>2*24*3600</f>
        <v>172800</v>
      </c>
      <c r="AW150" s="71">
        <f>7*24*3600*1</f>
        <v>604800</v>
      </c>
      <c r="AX150" s="71">
        <f>7*24*3600*2.143</f>
        <v>1296086.3999999999</v>
      </c>
      <c r="AY150" s="71">
        <f>7*24*3600*4.429</f>
        <v>2678659.2000000002</v>
      </c>
      <c r="AZ150" s="71">
        <f>7*24*3600*6.571</f>
        <v>3974140.8</v>
      </c>
      <c r="BA150" s="53"/>
      <c r="BB150" s="53"/>
      <c r="BC150" s="53"/>
      <c r="BD150" s="53"/>
      <c r="BE150" s="53"/>
      <c r="BF150" s="53"/>
      <c r="BG150" s="53"/>
      <c r="BH150" s="53"/>
      <c r="BI150" s="53"/>
      <c r="BJ150" s="53"/>
      <c r="BK150" s="53"/>
      <c r="BL150" s="53"/>
      <c r="BM150" s="53"/>
      <c r="BN150" s="53"/>
      <c r="BO150" s="53"/>
      <c r="BP150" s="53"/>
      <c r="BQ150" s="53"/>
      <c r="BR150" s="53"/>
      <c r="BS150" s="53"/>
      <c r="BT150" s="53"/>
      <c r="BU150" s="53"/>
      <c r="BV150" s="53"/>
      <c r="BW150" s="53"/>
      <c r="BX150" s="53"/>
      <c r="BY150" s="53"/>
      <c r="BZ150" s="53"/>
      <c r="CA150" s="53"/>
      <c r="CB150" s="53"/>
      <c r="CC150" s="53"/>
      <c r="CD150" s="53"/>
      <c r="CE150" s="53"/>
      <c r="CF150" s="53"/>
      <c r="CG150" s="53"/>
      <c r="CH150" s="53"/>
      <c r="CI150" s="53"/>
      <c r="CJ150" s="53"/>
      <c r="CK150" s="53"/>
      <c r="CL150" s="53"/>
      <c r="CM150" s="53"/>
      <c r="CN150" s="53"/>
      <c r="CO150" s="53"/>
      <c r="CP150" s="53"/>
      <c r="CQ150" s="53"/>
      <c r="CR150" s="1"/>
      <c r="CS150" s="1"/>
      <c r="CT150" s="1"/>
      <c r="CU150" s="1"/>
    </row>
    <row r="151" spans="1:99" s="13" customFormat="1" ht="12" customHeight="1" x14ac:dyDescent="0.2">
      <c r="A151" s="68">
        <v>43509</v>
      </c>
      <c r="B151" s="70" t="s">
        <v>151</v>
      </c>
      <c r="C151" s="70" t="s">
        <v>70</v>
      </c>
      <c r="D151" s="69">
        <v>2009</v>
      </c>
      <c r="E151" s="87">
        <v>1</v>
      </c>
      <c r="F151" s="69">
        <v>878</v>
      </c>
      <c r="G151" s="69">
        <v>175.6</v>
      </c>
      <c r="H151" s="69" t="s">
        <v>22</v>
      </c>
      <c r="I151" s="69" t="s">
        <v>866</v>
      </c>
      <c r="J151" s="69" t="s">
        <v>622</v>
      </c>
      <c r="K151" s="69">
        <f>IF(J151="syllables",1,IF(J151="trigrams",2,IF(J151="strings",3,IF(J151="visual array",4,IF(J151="characters",5,IF(J151="letters",6,IF(J151="free forms",7,IF(J151="odors",8,IF(J151="words",9,IF(J151="pictures",10,IF(J151="object pictures",11,IF(J151="faces",12,IF(J151="names",13,IF(J151="idioms",14,IF(J151="grades",15,IF(J151="syllable-digit pairs",16,IF(J151="trigram-word pairs",17,IF(J151="word-digit pairs",18,IF(J151="English-Swahili pairs",19,IF(J151="spatial position",20,IF(J151="word pairs",21,IF(J151="word triads",22,IF(J151="generated words",23,IF(J151="word definition pairs",24,IF(J151="math problems",25,IF(J151="famous faces",26,IF(J151="famous names",27,IF(J151="famous voices",28,IF(J151="television programs",29,IF(J151="race horses",30,IF(J151="new vocabulary",31,IF(J151="sentences",32,IF(J151="concepts",33,IF(J151="ad slides",34,IF(J151="scenes",35,IF(J151="famous scenes",36,IF(J151="poems",37,IF(J151="walk",38,IF(J151="faces and events",39,IF(J151="events and names",40,IF(J151="flashbulb",41,IF(J151="stories",42,IF(J151="course material",43,IF(J151="autobiographical",44,IF(J151="novels",45,IF(J151="public events",46,"99"))))))))))))))))))))))))))))))))))))))))))))))</f>
        <v>44</v>
      </c>
      <c r="L151" s="69">
        <f>IF(J151="syllables",1,IF(J151="trigrams",1,IF(J151="strings",1,IF(J151="visual array",1,IF(J151="characters",1,IF(J151="letters",1,IF(J151="free forms",1,IF(J151="odors",2,IF(J151="words",2,IF(J151="pictures",2,IF(J151="object pictures",2,IF(J151="faces",2,IF(J151="names",2,IF(J151="idioms","2",IF(J151="grades",2,IF(J151="syllable-digit pairs",3,IF(J151="trigram-word pairs",3,IF(J151="word-digit pairs",3,IF(J151="English-Swahili pairs",3,IF(J151="spatial position",3,IF(J151="word pairs",4,IF(J151="word triads",4,IF(J151="generated words",4,IF(J151="word definition pairs",4,IF(J151="math problems",4,IF(J151="famous faces",4,IF(J151="famous names",4,IF(J151="famous voices",4,IF(J151="television programs",4,IF(J151="race horses",4,IF(J151="new vocabulary",4,IF(J151="sentences",5,IF(J151="concepts",5,IF(J151="ad slides",5,IF(J151="scenes",5,IF(J151="famous scenes",5,IF(J151="poems",6,IF(J151="walk",6,IF(J151="faces and events",6,IF(J151="events and names",6,IF(J151="flashbulb",7,IF(J151="stories",7,IF(J151="course material",7,IF(J151="autobiographical",7,IF(J151="novels",7,IF(J151="public events",7,"99"))))))))))))))))))))))))))))))))))))))))))))))</f>
        <v>7</v>
      </c>
      <c r="M151" s="92">
        <v>0</v>
      </c>
      <c r="N151" s="69">
        <v>2</v>
      </c>
      <c r="O151" s="69">
        <v>0</v>
      </c>
      <c r="P151" s="69"/>
      <c r="Q151" s="69" t="s">
        <v>174</v>
      </c>
      <c r="R151" s="69">
        <f>IF(Q151="Free Recall",1,IF(Q151="Cued Recall",2,IF(Q151="Recognition",3,IF(Q151="Multiple Choice",4,IF(Q151="Savings",5,IF(Q151="Stem Completion",6,IF(Q151="Fragment Completion",7,IF(Q151="anagram solution",8,IF(Q151="Matching",9,IF(Q151="Problem Solving",10,"99"))))))))))</f>
        <v>1</v>
      </c>
      <c r="S151" s="69" t="s">
        <v>49</v>
      </c>
      <c r="T151" s="69" t="s">
        <v>261</v>
      </c>
      <c r="U151" s="60">
        <f>IF(T151="within",1,0)</f>
        <v>0</v>
      </c>
      <c r="V151" s="69">
        <v>3</v>
      </c>
      <c r="W151" s="69">
        <f>F151*V151</f>
        <v>2634</v>
      </c>
      <c r="X151" s="69">
        <v>5</v>
      </c>
      <c r="Y151" s="87">
        <f>AV150</f>
        <v>172800</v>
      </c>
      <c r="Z151" s="69" t="s">
        <v>152</v>
      </c>
      <c r="AA151" s="69">
        <v>3974140.8</v>
      </c>
      <c r="AB151" s="69" t="str">
        <f>IF(AA151&lt;60,"1",IF(AA151&lt;=43200,"2",IF(AA151&lt;=777600,"3","4")))</f>
        <v>4</v>
      </c>
      <c r="AC151" s="72">
        <f>AVERAGE(AV150:DA150)</f>
        <v>1745297.2799999998</v>
      </c>
      <c r="AD151" s="69" t="str">
        <f>IF(AC151&lt;60,"1",IF(AC151&lt;=43200,"2",IF(AC151&lt;=777600,"3","4")))</f>
        <v>4</v>
      </c>
      <c r="AE151" s="87">
        <f>AA151-Y151</f>
        <v>3801340.8</v>
      </c>
      <c r="AF151" s="88">
        <f>AV151</f>
        <v>0.86</v>
      </c>
      <c r="AG151" s="72">
        <f>((AW151-AV151)+(AX151-AW151)+(AY151-AX151)+(AZ151-AY151))/4</f>
        <v>-0.06</v>
      </c>
      <c r="AH151" s="4"/>
      <c r="AI151" s="72">
        <f>RSQ(AV151:AZ151,AV150:AZ150)</f>
        <v>0.97506700522563494</v>
      </c>
      <c r="AJ151" s="110">
        <f>SLOPE(AV151:AZ151,AV150:AZ150)</f>
        <v>-6.3472506494494615E-8</v>
      </c>
      <c r="AK151" s="72">
        <f>INTERCEPT(AV151:AZ151,AV150:AZ150)</f>
        <v>0.85577839293962377</v>
      </c>
      <c r="AL151" s="72">
        <f>INDEX(LINEST(LN(AV151:AZ151),LN(AV150:AZ150),TRUE,TRUE),3,1)</f>
        <v>0.90063980509529684</v>
      </c>
      <c r="AM151" s="72">
        <f>INDEX(LINEST(LN(AV151:AZ151),LN(AV150:AZ150)),1)</f>
        <v>-0.10446228159936932</v>
      </c>
      <c r="AN151" s="72">
        <f>EXP(INDEX(LINEST(LN(AV151:AZ151),LN(AV150:AZ150)),1,2))</f>
        <v>3.1550098206316584</v>
      </c>
      <c r="AO151" s="89">
        <f>INDEX(LINEST((AV151:AZ151),LN(AV150:AZ150),TRUE,TRUE),3,1)</f>
        <v>0.92126432625947863</v>
      </c>
      <c r="AP151" s="89">
        <f>INDEX(LINEST((AV151:AZ151),LN(AV150:AZ150)),1)</f>
        <v>-7.7310505098930643E-2</v>
      </c>
      <c r="AQ151" s="90">
        <f>INDEX(LINEST(LN(AV151:AZ151),SQRT(AV150:AZ150),TRUE,TRUE),3,1)</f>
        <v>0.9874642625644291</v>
      </c>
      <c r="AR151" s="117">
        <f>INDEX(LINEST(LN(AV151:AZ151),SQRT((AV150:AZ150))),1)</f>
        <v>-2.1502709429739993E-4</v>
      </c>
      <c r="AS151" s="91">
        <f>INDEX(LINEST(1/(AV151:AZ151),1/(SQRT(AV150:AZ150)),TRUE,TRUE),3,1)</f>
        <v>0.70864116869967009</v>
      </c>
      <c r="AT151" s="91">
        <f>INDEX(LINEST(1/(AV151:AZ151),1/SQRT(AV150:AZ150)),1)</f>
        <v>-207.08717465718385</v>
      </c>
      <c r="AU151" s="3"/>
      <c r="AV151" s="73">
        <v>0.86</v>
      </c>
      <c r="AW151" s="73">
        <v>0.81499999999999995</v>
      </c>
      <c r="AX151" s="73">
        <v>0.76500000000000001</v>
      </c>
      <c r="AY151" s="73">
        <v>0.66500000000000004</v>
      </c>
      <c r="AZ151" s="73">
        <v>0.62</v>
      </c>
      <c r="BA151" s="53"/>
      <c r="BB151" s="53"/>
      <c r="BC151" s="53"/>
      <c r="BD151" s="53"/>
      <c r="BE151" s="53"/>
      <c r="BF151" s="53"/>
      <c r="BG151" s="53"/>
      <c r="BH151" s="53"/>
      <c r="BI151" s="53"/>
      <c r="BJ151" s="53"/>
      <c r="BK151" s="53"/>
      <c r="BL151" s="53"/>
      <c r="BM151" s="53"/>
      <c r="BN151" s="53"/>
      <c r="BO151" s="53"/>
      <c r="BP151" s="53"/>
      <c r="BQ151" s="53"/>
      <c r="BR151" s="53"/>
      <c r="BS151" s="53"/>
      <c r="BT151" s="53"/>
      <c r="BU151" s="53"/>
      <c r="BV151" s="53"/>
      <c r="BW151" s="53"/>
      <c r="BX151" s="53"/>
      <c r="BY151" s="53"/>
      <c r="BZ151" s="53"/>
      <c r="CA151" s="53"/>
      <c r="CB151" s="53"/>
      <c r="CC151" s="53"/>
      <c r="CD151" s="53"/>
      <c r="CE151" s="53"/>
      <c r="CF151" s="53"/>
      <c r="CG151" s="53"/>
      <c r="CH151" s="53"/>
      <c r="CI151" s="53"/>
      <c r="CJ151" s="53"/>
      <c r="CK151" s="53"/>
      <c r="CL151" s="53"/>
      <c r="CM151" s="53"/>
      <c r="CN151" s="53"/>
      <c r="CO151" s="53"/>
      <c r="CP151" s="53"/>
      <c r="CQ151" s="53"/>
      <c r="CR151" s="1"/>
      <c r="CS151" s="1"/>
      <c r="CT151" s="1"/>
      <c r="CU151" s="1"/>
    </row>
    <row r="152" spans="1:99" s="13" customFormat="1" ht="12" customHeight="1" x14ac:dyDescent="0.2">
      <c r="A152" s="68">
        <v>43509</v>
      </c>
      <c r="B152" s="70"/>
      <c r="C152" s="70"/>
      <c r="D152" s="69"/>
      <c r="E152" s="87"/>
      <c r="F152" s="69"/>
      <c r="G152" s="69"/>
      <c r="H152" s="69"/>
      <c r="I152" s="69"/>
      <c r="J152" s="69"/>
      <c r="K152" s="107"/>
      <c r="L152" s="107"/>
      <c r="M152" s="69"/>
      <c r="N152" s="69"/>
      <c r="O152" s="69"/>
      <c r="P152" s="69"/>
      <c r="Q152" s="69"/>
      <c r="R152" s="69"/>
      <c r="S152" s="69"/>
      <c r="T152" s="69"/>
      <c r="U152" s="60"/>
      <c r="V152" s="69"/>
      <c r="W152" s="69"/>
      <c r="X152" s="69"/>
      <c r="Y152" s="87"/>
      <c r="Z152" s="69"/>
      <c r="AA152" s="69"/>
      <c r="AB152" s="69"/>
      <c r="AC152" s="69"/>
      <c r="AD152" s="69"/>
      <c r="AE152" s="69"/>
      <c r="AF152" s="88"/>
      <c r="AG152" s="72"/>
      <c r="AH152" s="4"/>
      <c r="AI152" s="72"/>
      <c r="AJ152" s="110"/>
      <c r="AK152" s="72"/>
      <c r="AL152" s="72"/>
      <c r="AM152" s="72"/>
      <c r="AN152" s="72"/>
      <c r="AO152" s="72"/>
      <c r="AP152" s="72"/>
      <c r="AQ152" s="72"/>
      <c r="AR152" s="110"/>
      <c r="AS152" s="72"/>
      <c r="AT152" s="72"/>
      <c r="AU152" s="4"/>
      <c r="AV152" s="71">
        <f>2*24*3600</f>
        <v>172800</v>
      </c>
      <c r="AW152" s="71">
        <f>7*24*3600*1</f>
        <v>604800</v>
      </c>
      <c r="AX152" s="71">
        <f>7*24*3600*2.143</f>
        <v>1296086.3999999999</v>
      </c>
      <c r="AY152" s="71">
        <f>7*24*3600*4.429</f>
        <v>2678659.2000000002</v>
      </c>
      <c r="AZ152" s="71">
        <f>7*24*3600*6.571</f>
        <v>3974140.8</v>
      </c>
      <c r="BA152" s="53"/>
      <c r="BB152" s="53"/>
      <c r="BC152" s="53"/>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53"/>
      <c r="BZ152" s="53"/>
      <c r="CA152" s="53"/>
      <c r="CB152" s="53"/>
      <c r="CC152" s="53"/>
      <c r="CD152" s="53"/>
      <c r="CE152" s="53"/>
      <c r="CF152" s="53"/>
      <c r="CG152" s="53"/>
      <c r="CH152" s="53"/>
      <c r="CI152" s="53"/>
      <c r="CJ152" s="53"/>
      <c r="CK152" s="53"/>
      <c r="CL152" s="53"/>
      <c r="CM152" s="53"/>
      <c r="CN152" s="53"/>
      <c r="CO152" s="53"/>
      <c r="CP152" s="53"/>
      <c r="CQ152" s="53"/>
      <c r="CR152" s="1"/>
      <c r="CS152" s="1"/>
      <c r="CT152" s="1"/>
      <c r="CU152" s="1"/>
    </row>
    <row r="153" spans="1:99" s="13" customFormat="1" ht="12" customHeight="1" x14ac:dyDescent="0.2">
      <c r="A153" s="68">
        <v>43509</v>
      </c>
      <c r="B153" s="70" t="s">
        <v>151</v>
      </c>
      <c r="C153" s="70" t="s">
        <v>70</v>
      </c>
      <c r="D153" s="69">
        <v>2009</v>
      </c>
      <c r="E153" s="87">
        <v>1</v>
      </c>
      <c r="F153" s="69">
        <v>878</v>
      </c>
      <c r="G153" s="69">
        <v>175.6</v>
      </c>
      <c r="H153" s="69" t="s">
        <v>22</v>
      </c>
      <c r="I153" s="69" t="s">
        <v>867</v>
      </c>
      <c r="J153" s="69" t="s">
        <v>622</v>
      </c>
      <c r="K153" s="69">
        <f>IF(J153="syllables",1,IF(J153="trigrams",2,IF(J153="strings",3,IF(J153="visual array",4,IF(J153="characters",5,IF(J153="letters",6,IF(J153="free forms",7,IF(J153="odors",8,IF(J153="words",9,IF(J153="pictures",10,IF(J153="object pictures",11,IF(J153="faces",12,IF(J153="names",13,IF(J153="idioms",14,IF(J153="grades",15,IF(J153="syllable-digit pairs",16,IF(J153="trigram-word pairs",17,IF(J153="word-digit pairs",18,IF(J153="English-Swahili pairs",19,IF(J153="spatial position",20,IF(J153="word pairs",21,IF(J153="word triads",22,IF(J153="generated words",23,IF(J153="word definition pairs",24,IF(J153="math problems",25,IF(J153="famous faces",26,IF(J153="famous names",27,IF(J153="famous voices",28,IF(J153="television programs",29,IF(J153="race horses",30,IF(J153="new vocabulary",31,IF(J153="sentences",32,IF(J153="concepts",33,IF(J153="ad slides",34,IF(J153="scenes",35,IF(J153="famous scenes",36,IF(J153="poems",37,IF(J153="walk",38,IF(J153="faces and events",39,IF(J153="events and names",40,IF(J153="flashbulb",41,IF(J153="stories",42,IF(J153="course material",43,IF(J153="autobiographical",44,IF(J153="novels",45,IF(J153="public events",46,"99"))))))))))))))))))))))))))))))))))))))))))))))</f>
        <v>44</v>
      </c>
      <c r="L153" s="69">
        <f>IF(J153="syllables",1,IF(J153="trigrams",1,IF(J153="strings",1,IF(J153="visual array",1,IF(J153="characters",1,IF(J153="letters",1,IF(J153="free forms",1,IF(J153="odors",2,IF(J153="words",2,IF(J153="pictures",2,IF(J153="object pictures",2,IF(J153="faces",2,IF(J153="names",2,IF(J153="idioms","2",IF(J153="grades",2,IF(J153="syllable-digit pairs",3,IF(J153="trigram-word pairs",3,IF(J153="word-digit pairs",3,IF(J153="English-Swahili pairs",3,IF(J153="spatial position",3,IF(J153="word pairs",4,IF(J153="word triads",4,IF(J153="generated words",4,IF(J153="word definition pairs",4,IF(J153="math problems",4,IF(J153="famous faces",4,IF(J153="famous names",4,IF(J153="famous voices",4,IF(J153="television programs",4,IF(J153="race horses",4,IF(J153="new vocabulary",4,IF(J153="sentences",5,IF(J153="concepts",5,IF(J153="ad slides",5,IF(J153="scenes",5,IF(J153="famous scenes",5,IF(J153="poems",6,IF(J153="walk",6,IF(J153="faces and events",6,IF(J153="events and names",6,IF(J153="flashbulb",7,IF(J153="stories",7,IF(J153="course material",7,IF(J153="autobiographical",7,IF(J153="novels",7,IF(J153="public events",7,"99"))))))))))))))))))))))))))))))))))))))))))))))</f>
        <v>7</v>
      </c>
      <c r="M153" s="92">
        <v>0</v>
      </c>
      <c r="N153" s="69">
        <v>2</v>
      </c>
      <c r="O153" s="69">
        <v>0</v>
      </c>
      <c r="P153" s="69"/>
      <c r="Q153" s="69" t="s">
        <v>174</v>
      </c>
      <c r="R153" s="69">
        <f>IF(Q153="Free Recall",1,IF(Q153="Cued Recall",2,IF(Q153="Recognition",3,IF(Q153="Multiple Choice",4,IF(Q153="Savings",5,IF(Q153="Stem Completion",6,IF(Q153="Fragment Completion",7,IF(Q153="anagram solution",8,IF(Q153="Matching",9,IF(Q153="Problem Solving",10,"99"))))))))))</f>
        <v>1</v>
      </c>
      <c r="S153" s="69" t="s">
        <v>49</v>
      </c>
      <c r="T153" s="69" t="s">
        <v>261</v>
      </c>
      <c r="U153" s="60">
        <f>IF(T153="within",1,0)</f>
        <v>0</v>
      </c>
      <c r="V153" s="69">
        <v>3</v>
      </c>
      <c r="W153" s="69">
        <f>F153*V153</f>
        <v>2634</v>
      </c>
      <c r="X153" s="69">
        <v>5</v>
      </c>
      <c r="Y153" s="87">
        <f>AV152</f>
        <v>172800</v>
      </c>
      <c r="Z153" s="69" t="s">
        <v>152</v>
      </c>
      <c r="AA153" s="69">
        <v>3974140.8</v>
      </c>
      <c r="AB153" s="69" t="str">
        <f>IF(AA153&lt;60,"1",IF(AA153&lt;=43200,"2",IF(AA153&lt;=777600,"3","4")))</f>
        <v>4</v>
      </c>
      <c r="AC153" s="72">
        <f>AVERAGE(AV152:DA152)</f>
        <v>1745297.2799999998</v>
      </c>
      <c r="AD153" s="69" t="str">
        <f>IF(AC153&lt;60,"1",IF(AC153&lt;=43200,"2",IF(AC153&lt;=777600,"3","4")))</f>
        <v>4</v>
      </c>
      <c r="AE153" s="87">
        <f>AA153-Y153</f>
        <v>3801340.8</v>
      </c>
      <c r="AF153" s="88">
        <f>AV153</f>
        <v>0.92</v>
      </c>
      <c r="AG153" s="72">
        <f>((AW153-AV153)+(AX153-AW153)+(AY153-AX153)+(AZ153-AY153))/4</f>
        <v>-5.2500000000000019E-2</v>
      </c>
      <c r="AH153" s="4"/>
      <c r="AI153" s="72">
        <f>RSQ(AV153:AZ153,AV152:AZ152)</f>
        <v>0.78797568772700499</v>
      </c>
      <c r="AJ153" s="110">
        <f>SLOPE(AV153:AZ153,AV152:AZ152)</f>
        <v>-4.5583905754243094E-8</v>
      </c>
      <c r="AK153" s="72">
        <f>INTERCEPT(AV153:AZ153,AV152:AZ152)</f>
        <v>0.87755746672465684</v>
      </c>
      <c r="AL153" s="72">
        <f>INDEX(LINEST(LN(AV153:AZ153),LN(AV152:AZ152),TRUE,TRUE),3,1)</f>
        <v>0.97115643228600135</v>
      </c>
      <c r="AM153" s="72">
        <f>INDEX(LINEST(LN(AV153:AZ153),LN(AV152:AZ152)),1)</f>
        <v>-7.7860164813678023E-2</v>
      </c>
      <c r="AN153" s="72">
        <f>EXP(INDEX(LINEST(LN(AV153:AZ153),LN(AV152:AZ152)),1,2))</f>
        <v>2.3438071976388102</v>
      </c>
      <c r="AO153" s="89">
        <f>INDEX(LINEST((AV153:AZ153),LN(AV152:AZ152),TRUE,TRUE),3,1)</f>
        <v>0.97143530087677687</v>
      </c>
      <c r="AP153" s="89">
        <f>INDEX(LINEST((AV153:AZ153),LN(AV152:AZ152)),1)</f>
        <v>-6.3422014235396812E-2</v>
      </c>
      <c r="AQ153" s="90">
        <f>INDEX(LINEST(LN(AV153:AZ153),SQRT(AV152:AZ152),TRUE,TRUE),3,1)</f>
        <v>0.91402098542302657</v>
      </c>
      <c r="AR153" s="117">
        <f>INDEX(LINEST(LN(AV153:AZ153),SQRT((AV152:AZ152))),1)</f>
        <v>-1.4849005255020487E-4</v>
      </c>
      <c r="AS153" s="91">
        <f>INDEX(LINEST(1/(AV153:AZ153),1/(SQRT(AV152:AZ152)),TRUE,TRUE),3,1)</f>
        <v>0.92137985158047997</v>
      </c>
      <c r="AT153" s="91">
        <f>INDEX(LINEST(1/(AV153:AZ153),1/SQRT(AV152:AZ152)),1)</f>
        <v>-151.92766419040564</v>
      </c>
      <c r="AU153" s="3"/>
      <c r="AV153" s="73">
        <v>0.92</v>
      </c>
      <c r="AW153" s="73">
        <v>0.83</v>
      </c>
      <c r="AX153" s="73">
        <v>0.77</v>
      </c>
      <c r="AY153" s="73">
        <v>0.76</v>
      </c>
      <c r="AZ153" s="73">
        <v>0.71</v>
      </c>
      <c r="BA153" s="53"/>
      <c r="BB153" s="53"/>
      <c r="BC153" s="53"/>
      <c r="BD153" s="53"/>
      <c r="BE153" s="53"/>
      <c r="BF153" s="53"/>
      <c r="BG153" s="53"/>
      <c r="BH153" s="53"/>
      <c r="BI153" s="53"/>
      <c r="BJ153" s="53"/>
      <c r="BK153" s="53"/>
      <c r="BL153" s="53"/>
      <c r="BM153" s="53"/>
      <c r="BN153" s="53"/>
      <c r="BO153" s="53"/>
      <c r="BP153" s="53"/>
      <c r="BQ153" s="53"/>
      <c r="BR153" s="53"/>
      <c r="BS153" s="53"/>
      <c r="BT153" s="53"/>
      <c r="BU153" s="53"/>
      <c r="BV153" s="53"/>
      <c r="BW153" s="53"/>
      <c r="BX153" s="53"/>
      <c r="BY153" s="53"/>
      <c r="BZ153" s="53"/>
      <c r="CA153" s="53"/>
      <c r="CB153" s="53"/>
      <c r="CC153" s="53"/>
      <c r="CD153" s="53"/>
      <c r="CE153" s="53"/>
      <c r="CF153" s="53"/>
      <c r="CG153" s="53"/>
      <c r="CH153" s="53"/>
      <c r="CI153" s="53"/>
      <c r="CJ153" s="53"/>
      <c r="CK153" s="53"/>
      <c r="CL153" s="53"/>
      <c r="CM153" s="53"/>
      <c r="CN153" s="53"/>
      <c r="CO153" s="53"/>
      <c r="CP153" s="53"/>
      <c r="CQ153" s="53"/>
      <c r="CR153" s="1"/>
      <c r="CS153" s="1"/>
      <c r="CT153" s="1"/>
      <c r="CU153" s="1"/>
    </row>
    <row r="154" spans="1:99" s="13" customFormat="1" ht="12" customHeight="1" x14ac:dyDescent="0.2">
      <c r="A154" s="68">
        <v>43509</v>
      </c>
      <c r="B154" s="70"/>
      <c r="C154" s="70"/>
      <c r="D154" s="69"/>
      <c r="E154" s="87"/>
      <c r="F154" s="69"/>
      <c r="G154" s="69"/>
      <c r="H154" s="69"/>
      <c r="I154" s="69"/>
      <c r="J154" s="69"/>
      <c r="K154" s="107"/>
      <c r="L154" s="107"/>
      <c r="M154" s="69"/>
      <c r="N154" s="69"/>
      <c r="O154" s="69"/>
      <c r="P154" s="69"/>
      <c r="Q154" s="69"/>
      <c r="R154" s="69"/>
      <c r="S154" s="69"/>
      <c r="T154" s="69"/>
      <c r="U154" s="60"/>
      <c r="V154" s="69"/>
      <c r="W154" s="69"/>
      <c r="X154" s="69"/>
      <c r="Y154" s="87"/>
      <c r="Z154" s="69"/>
      <c r="AA154" s="69"/>
      <c r="AB154" s="69"/>
      <c r="AC154" s="69"/>
      <c r="AD154" s="69"/>
      <c r="AE154" s="69"/>
      <c r="AF154" s="88"/>
      <c r="AG154" s="72"/>
      <c r="AH154" s="4"/>
      <c r="AI154" s="72"/>
      <c r="AJ154" s="110"/>
      <c r="AK154" s="72"/>
      <c r="AL154" s="72"/>
      <c r="AM154" s="72"/>
      <c r="AN154" s="72"/>
      <c r="AO154" s="72"/>
      <c r="AP154" s="72"/>
      <c r="AQ154" s="72"/>
      <c r="AR154" s="110"/>
      <c r="AS154" s="72"/>
      <c r="AT154" s="72"/>
      <c r="AU154" s="4"/>
      <c r="AV154" s="71">
        <f>2*24*3600</f>
        <v>172800</v>
      </c>
      <c r="AW154" s="71">
        <f>7*24*3600*1</f>
        <v>604800</v>
      </c>
      <c r="AX154" s="71">
        <f>7*24*3600*2.143</f>
        <v>1296086.3999999999</v>
      </c>
      <c r="AY154" s="71">
        <f>7*24*3600*4.429</f>
        <v>2678659.2000000002</v>
      </c>
      <c r="AZ154" s="71">
        <f>7*24*3600*6.571</f>
        <v>3974140.8</v>
      </c>
      <c r="BA154" s="53"/>
      <c r="BB154" s="53"/>
      <c r="BC154" s="53"/>
      <c r="BD154" s="53"/>
      <c r="BE154" s="53"/>
      <c r="BF154" s="53"/>
      <c r="BG154" s="53"/>
      <c r="BH154" s="53"/>
      <c r="BI154" s="53"/>
      <c r="BJ154" s="53"/>
      <c r="BK154" s="53"/>
      <c r="BL154" s="53"/>
      <c r="BM154" s="53"/>
      <c r="BN154" s="53"/>
      <c r="BO154" s="53"/>
      <c r="BP154" s="53"/>
      <c r="BQ154" s="53"/>
      <c r="BR154" s="53"/>
      <c r="BS154" s="53"/>
      <c r="BT154" s="53"/>
      <c r="BU154" s="53"/>
      <c r="BV154" s="53"/>
      <c r="BW154" s="53"/>
      <c r="BX154" s="53"/>
      <c r="BY154" s="53"/>
      <c r="BZ154" s="53"/>
      <c r="CA154" s="53"/>
      <c r="CB154" s="53"/>
      <c r="CC154" s="53"/>
      <c r="CD154" s="53"/>
      <c r="CE154" s="53"/>
      <c r="CF154" s="53"/>
      <c r="CG154" s="53"/>
      <c r="CH154" s="53"/>
      <c r="CI154" s="53"/>
      <c r="CJ154" s="53"/>
      <c r="CK154" s="53"/>
      <c r="CL154" s="53"/>
      <c r="CM154" s="53"/>
      <c r="CN154" s="53"/>
      <c r="CO154" s="53"/>
      <c r="CP154" s="53"/>
      <c r="CQ154" s="53"/>
      <c r="CR154" s="1"/>
      <c r="CS154" s="1"/>
      <c r="CT154" s="1"/>
      <c r="CU154" s="1"/>
    </row>
    <row r="155" spans="1:99" s="13" customFormat="1" ht="12" customHeight="1" x14ac:dyDescent="0.2">
      <c r="A155" s="68">
        <v>43509</v>
      </c>
      <c r="B155" s="70" t="s">
        <v>151</v>
      </c>
      <c r="C155" s="70" t="s">
        <v>70</v>
      </c>
      <c r="D155" s="69">
        <v>2009</v>
      </c>
      <c r="E155" s="87">
        <v>1</v>
      </c>
      <c r="F155" s="69">
        <v>878</v>
      </c>
      <c r="G155" s="69">
        <v>175.6</v>
      </c>
      <c r="H155" s="69" t="s">
        <v>22</v>
      </c>
      <c r="I155" s="69" t="s">
        <v>868</v>
      </c>
      <c r="J155" s="69" t="s">
        <v>622</v>
      </c>
      <c r="K155" s="69">
        <f>IF(J155="syllables",1,IF(J155="trigrams",2,IF(J155="strings",3,IF(J155="visual array",4,IF(J155="characters",5,IF(J155="letters",6,IF(J155="free forms",7,IF(J155="odors",8,IF(J155="words",9,IF(J155="pictures",10,IF(J155="object pictures",11,IF(J155="faces",12,IF(J155="names",13,IF(J155="idioms",14,IF(J155="grades",15,IF(J155="syllable-digit pairs",16,IF(J155="trigram-word pairs",17,IF(J155="word-digit pairs",18,IF(J155="English-Swahili pairs",19,IF(J155="spatial position",20,IF(J155="word pairs",21,IF(J155="word triads",22,IF(J155="generated words",23,IF(J155="word definition pairs",24,IF(J155="math problems",25,IF(J155="famous faces",26,IF(J155="famous names",27,IF(J155="famous voices",28,IF(J155="television programs",29,IF(J155="race horses",30,IF(J155="new vocabulary",31,IF(J155="sentences",32,IF(J155="concepts",33,IF(J155="ad slides",34,IF(J155="scenes",35,IF(J155="famous scenes",36,IF(J155="poems",37,IF(J155="walk",38,IF(J155="faces and events",39,IF(J155="events and names",40,IF(J155="flashbulb",41,IF(J155="stories",42,IF(J155="course material",43,IF(J155="autobiographical",44,IF(J155="novels",45,IF(J155="public events",46,"99"))))))))))))))))))))))))))))))))))))))))))))))</f>
        <v>44</v>
      </c>
      <c r="L155" s="69">
        <f>IF(J155="syllables",1,IF(J155="trigrams",1,IF(J155="strings",1,IF(J155="visual array",1,IF(J155="characters",1,IF(J155="letters",1,IF(J155="free forms",1,IF(J155="odors",2,IF(J155="words",2,IF(J155="pictures",2,IF(J155="object pictures",2,IF(J155="faces",2,IF(J155="names",2,IF(J155="idioms","2",IF(J155="grades",2,IF(J155="syllable-digit pairs",3,IF(J155="trigram-word pairs",3,IF(J155="word-digit pairs",3,IF(J155="English-Swahili pairs",3,IF(J155="spatial position",3,IF(J155="word pairs",4,IF(J155="word triads",4,IF(J155="generated words",4,IF(J155="word definition pairs",4,IF(J155="math problems",4,IF(J155="famous faces",4,IF(J155="famous names",4,IF(J155="famous voices",4,IF(J155="television programs",4,IF(J155="race horses",4,IF(J155="new vocabulary",4,IF(J155="sentences",5,IF(J155="concepts",5,IF(J155="ad slides",5,IF(J155="scenes",5,IF(J155="famous scenes",5,IF(J155="poems",6,IF(J155="walk",6,IF(J155="faces and events",6,IF(J155="events and names",6,IF(J155="flashbulb",7,IF(J155="stories",7,IF(J155="course material",7,IF(J155="autobiographical",7,IF(J155="novels",7,IF(J155="public events",7,"99"))))))))))))))))))))))))))))))))))))))))))))))</f>
        <v>7</v>
      </c>
      <c r="M155" s="92">
        <v>0</v>
      </c>
      <c r="N155" s="69">
        <v>2</v>
      </c>
      <c r="O155" s="69">
        <v>0</v>
      </c>
      <c r="P155" s="69"/>
      <c r="Q155" s="69" t="s">
        <v>174</v>
      </c>
      <c r="R155" s="69">
        <f>IF(Q155="Free Recall",1,IF(Q155="Cued Recall",2,IF(Q155="Recognition",3,IF(Q155="Multiple Choice",4,IF(Q155="Savings",5,IF(Q155="Stem Completion",6,IF(Q155="Fragment Completion",7,IF(Q155="anagram solution",8,IF(Q155="Matching",9,IF(Q155="Problem Solving",10,"99"))))))))))</f>
        <v>1</v>
      </c>
      <c r="S155" s="69" t="s">
        <v>49</v>
      </c>
      <c r="T155" s="69" t="s">
        <v>261</v>
      </c>
      <c r="U155" s="60">
        <f>IF(T155="within",1,0)</f>
        <v>0</v>
      </c>
      <c r="V155" s="69">
        <v>3</v>
      </c>
      <c r="W155" s="69">
        <f>F155*V155</f>
        <v>2634</v>
      </c>
      <c r="X155" s="69">
        <v>5</v>
      </c>
      <c r="Y155" s="87">
        <f>AV154</f>
        <v>172800</v>
      </c>
      <c r="Z155" s="69" t="s">
        <v>152</v>
      </c>
      <c r="AA155" s="69">
        <v>3974140.8</v>
      </c>
      <c r="AB155" s="69" t="str">
        <f>IF(AA155&lt;60,"1",IF(AA155&lt;=43200,"2",IF(AA155&lt;=777600,"3","4")))</f>
        <v>4</v>
      </c>
      <c r="AC155" s="72">
        <f>AVERAGE(AV154:DA154)</f>
        <v>1745297.2799999998</v>
      </c>
      <c r="AD155" s="69" t="str">
        <f>IF(AC155&lt;60,"1",IF(AC155&lt;=43200,"2",IF(AC155&lt;=777600,"3","4")))</f>
        <v>4</v>
      </c>
      <c r="AE155" s="87">
        <f>AA155-Y155</f>
        <v>3801340.8</v>
      </c>
      <c r="AF155" s="88">
        <f>AV155</f>
        <v>0.95</v>
      </c>
      <c r="AG155" s="72">
        <f>((AW155-AV155)+(AX155-AW155)+(AY155-AX155)+(AZ155-AY155))/4</f>
        <v>-3.2500000000000001E-2</v>
      </c>
      <c r="AH155" s="4"/>
      <c r="AI155" s="72">
        <f>RSQ(AV155:AZ155,AV154:AZ154)</f>
        <v>0.88867603212942903</v>
      </c>
      <c r="AJ155" s="110">
        <f>SLOPE(AV155:AZ155,AV154:AZ154)</f>
        <v>-3.1674852621221954E-8</v>
      </c>
      <c r="AK155" s="72">
        <f>INTERCEPT(AV155:AZ155,AV154:AZ154)</f>
        <v>0.9332820341242194</v>
      </c>
      <c r="AL155" s="72">
        <f>INDEX(LINEST(LN(AV155:AZ155),LN(AV154:AZ154),TRUE,TRUE),3,1)</f>
        <v>0.98829752468617504</v>
      </c>
      <c r="AM155" s="72">
        <f>INDEX(LINEST(LN(AV155:AZ155),LN(AV154:AZ154)),1)</f>
        <v>-4.7376859656874416E-2</v>
      </c>
      <c r="AN155" s="72">
        <f>EXP(INDEX(LINEST(LN(AV155:AZ155),LN(AV154:AZ154)),1,2))</f>
        <v>1.6929446052426196</v>
      </c>
      <c r="AO155" s="89">
        <f>INDEX(LINEST((AV155:AZ155),LN(AV154:AZ154),TRUE,TRUE),3,1)</f>
        <v>0.99152431841332411</v>
      </c>
      <c r="AP155" s="89">
        <f>INDEX(LINEST((AV155:AZ155),LN(AV154:AZ154)),1)</f>
        <v>-4.1924946736067822E-2</v>
      </c>
      <c r="AQ155" s="90">
        <f>INDEX(LINEST(LN(AV155:AZ155),SQRT(AV154:AZ154),TRUE,TRUE),3,1)</f>
        <v>0.97970733330864523</v>
      </c>
      <c r="AR155" s="117">
        <f>INDEX(LINEST(LN(AV155:AZ155),SQRT((AV154:AZ154))),1)</f>
        <v>-9.2729763099123211E-5</v>
      </c>
      <c r="AS155" s="91">
        <f>INDEX(LINEST(1/(AV155:AZ155),1/(SQRT(AV154:AZ154)),TRUE,TRUE),3,1)</f>
        <v>0.88867356015604115</v>
      </c>
      <c r="AT155" s="91">
        <f>INDEX(LINEST(1/(AV155:AZ155),1/SQRT(AV154:AZ154)),1)</f>
        <v>-82.586118373620309</v>
      </c>
      <c r="AU155" s="3"/>
      <c r="AV155" s="73">
        <v>0.95</v>
      </c>
      <c r="AW155" s="73">
        <v>0.91</v>
      </c>
      <c r="AX155" s="73">
        <v>0.87</v>
      </c>
      <c r="AY155" s="73">
        <v>0.84</v>
      </c>
      <c r="AZ155" s="73">
        <v>0.82</v>
      </c>
      <c r="BA155" s="53"/>
      <c r="BB155" s="53"/>
      <c r="BC155" s="53"/>
      <c r="BD155" s="53"/>
      <c r="BE155" s="53"/>
      <c r="BF155" s="53"/>
      <c r="BG155" s="53"/>
      <c r="BH155" s="53"/>
      <c r="BI155" s="53"/>
      <c r="BJ155" s="53"/>
      <c r="BK155" s="53"/>
      <c r="BL155" s="53"/>
      <c r="BM155" s="53"/>
      <c r="BN155" s="53"/>
      <c r="BO155" s="53"/>
      <c r="BP155" s="53"/>
      <c r="BQ155" s="53"/>
      <c r="BR155" s="53"/>
      <c r="BS155" s="53"/>
      <c r="BT155" s="53"/>
      <c r="BU155" s="53"/>
      <c r="BV155" s="53"/>
      <c r="BW155" s="53"/>
      <c r="BX155" s="53"/>
      <c r="BY155" s="53"/>
      <c r="BZ155" s="53"/>
      <c r="CA155" s="53"/>
      <c r="CB155" s="53"/>
      <c r="CC155" s="53"/>
      <c r="CD155" s="53"/>
      <c r="CE155" s="53"/>
      <c r="CF155" s="53"/>
      <c r="CG155" s="53"/>
      <c r="CH155" s="53"/>
      <c r="CI155" s="53"/>
      <c r="CJ155" s="53"/>
      <c r="CK155" s="53"/>
      <c r="CL155" s="53"/>
      <c r="CM155" s="53"/>
      <c r="CN155" s="53"/>
      <c r="CO155" s="53"/>
      <c r="CP155" s="53"/>
      <c r="CQ155" s="53"/>
      <c r="CR155" s="1"/>
      <c r="CS155" s="1"/>
      <c r="CT155" s="1"/>
      <c r="CU155" s="1"/>
    </row>
    <row r="156" spans="1:99" s="13" customFormat="1" ht="12" customHeight="1" x14ac:dyDescent="0.2">
      <c r="A156" s="68">
        <v>43509</v>
      </c>
      <c r="B156" s="70"/>
      <c r="C156" s="70"/>
      <c r="D156" s="69"/>
      <c r="E156" s="87"/>
      <c r="F156" s="69"/>
      <c r="G156" s="69"/>
      <c r="H156" s="69"/>
      <c r="I156" s="69"/>
      <c r="J156" s="69"/>
      <c r="K156" s="107"/>
      <c r="L156" s="107"/>
      <c r="M156" s="69"/>
      <c r="N156" s="69"/>
      <c r="O156" s="69"/>
      <c r="P156" s="69"/>
      <c r="Q156" s="69"/>
      <c r="R156" s="69"/>
      <c r="S156" s="69"/>
      <c r="T156" s="69"/>
      <c r="U156" s="60"/>
      <c r="V156" s="69"/>
      <c r="W156" s="69"/>
      <c r="X156" s="69"/>
      <c r="Y156" s="87"/>
      <c r="Z156" s="69"/>
      <c r="AA156" s="69"/>
      <c r="AB156" s="69"/>
      <c r="AC156" s="69"/>
      <c r="AD156" s="69"/>
      <c r="AE156" s="69"/>
      <c r="AF156" s="88"/>
      <c r="AG156" s="72"/>
      <c r="AH156" s="4"/>
      <c r="AI156" s="72"/>
      <c r="AJ156" s="110"/>
      <c r="AK156" s="72"/>
      <c r="AL156" s="72"/>
      <c r="AM156" s="72"/>
      <c r="AN156" s="72"/>
      <c r="AO156" s="72"/>
      <c r="AP156" s="72"/>
      <c r="AQ156" s="72"/>
      <c r="AR156" s="110"/>
      <c r="AS156" s="72"/>
      <c r="AT156" s="72"/>
      <c r="AU156" s="4"/>
      <c r="AV156" s="71">
        <f>2*24*3600</f>
        <v>172800</v>
      </c>
      <c r="AW156" s="71">
        <f>7*24*3600*1</f>
        <v>604800</v>
      </c>
      <c r="AX156" s="71">
        <f>7*24*3600*2.143</f>
        <v>1296086.3999999999</v>
      </c>
      <c r="AY156" s="71">
        <f>7*24*3600*4.429</f>
        <v>2678659.2000000002</v>
      </c>
      <c r="AZ156" s="71">
        <f>7*24*3600*6.571</f>
        <v>3974140.8</v>
      </c>
      <c r="BA156" s="53"/>
      <c r="BB156" s="53"/>
      <c r="BC156" s="53"/>
      <c r="BD156" s="53"/>
      <c r="BE156" s="53"/>
      <c r="BF156" s="53"/>
      <c r="BG156" s="53"/>
      <c r="BH156" s="53"/>
      <c r="BI156" s="53"/>
      <c r="BJ156" s="53"/>
      <c r="BK156" s="53"/>
      <c r="BL156" s="53"/>
      <c r="BM156" s="53"/>
      <c r="BN156" s="53"/>
      <c r="BO156" s="53"/>
      <c r="BP156" s="53"/>
      <c r="BQ156" s="53"/>
      <c r="BR156" s="53"/>
      <c r="BS156" s="53"/>
      <c r="BT156" s="53"/>
      <c r="BU156" s="53"/>
      <c r="BV156" s="53"/>
      <c r="BW156" s="53"/>
      <c r="BX156" s="53"/>
      <c r="BY156" s="53"/>
      <c r="BZ156" s="53"/>
      <c r="CA156" s="53"/>
      <c r="CB156" s="53"/>
      <c r="CC156" s="53"/>
      <c r="CD156" s="53"/>
      <c r="CE156" s="53"/>
      <c r="CF156" s="53"/>
      <c r="CG156" s="53"/>
      <c r="CH156" s="53"/>
      <c r="CI156" s="53"/>
      <c r="CJ156" s="53"/>
      <c r="CK156" s="53"/>
      <c r="CL156" s="53"/>
      <c r="CM156" s="53"/>
      <c r="CN156" s="53"/>
      <c r="CO156" s="53"/>
      <c r="CP156" s="53"/>
      <c r="CQ156" s="53"/>
      <c r="CR156" s="1"/>
      <c r="CS156" s="1"/>
      <c r="CT156" s="1"/>
      <c r="CU156" s="1"/>
    </row>
    <row r="157" spans="1:99" s="13" customFormat="1" ht="12" customHeight="1" x14ac:dyDescent="0.2">
      <c r="A157" s="68">
        <v>43509</v>
      </c>
      <c r="B157" s="70" t="s">
        <v>151</v>
      </c>
      <c r="C157" s="70" t="s">
        <v>70</v>
      </c>
      <c r="D157" s="69">
        <v>2009</v>
      </c>
      <c r="E157" s="87">
        <v>1</v>
      </c>
      <c r="F157" s="69">
        <v>878</v>
      </c>
      <c r="G157" s="69">
        <v>175.6</v>
      </c>
      <c r="H157" s="69" t="s">
        <v>22</v>
      </c>
      <c r="I157" s="69" t="s">
        <v>869</v>
      </c>
      <c r="J157" s="69" t="s">
        <v>622</v>
      </c>
      <c r="K157" s="69">
        <f>IF(J157="syllables",1,IF(J157="trigrams",2,IF(J157="strings",3,IF(J157="visual array",4,IF(J157="characters",5,IF(J157="letters",6,IF(J157="free forms",7,IF(J157="odors",8,IF(J157="words",9,IF(J157="pictures",10,IF(J157="object pictures",11,IF(J157="faces",12,IF(J157="names",13,IF(J157="idioms",14,IF(J157="grades",15,IF(J157="syllable-digit pairs",16,IF(J157="trigram-word pairs",17,IF(J157="word-digit pairs",18,IF(J157="English-Swahili pairs",19,IF(J157="spatial position",20,IF(J157="word pairs",21,IF(J157="word triads",22,IF(J157="generated words",23,IF(J157="word definition pairs",24,IF(J157="math problems",25,IF(J157="famous faces",26,IF(J157="famous names",27,IF(J157="famous voices",28,IF(J157="television programs",29,IF(J157="race horses",30,IF(J157="new vocabulary",31,IF(J157="sentences",32,IF(J157="concepts",33,IF(J157="ad slides",34,IF(J157="scenes",35,IF(J157="famous scenes",36,IF(J157="poems",37,IF(J157="walk",38,IF(J157="faces and events",39,IF(J157="events and names",40,IF(J157="flashbulb",41,IF(J157="stories",42,IF(J157="course material",43,IF(J157="autobiographical",44,IF(J157="novels",45,IF(J157="public events",46,"99"))))))))))))))))))))))))))))))))))))))))))))))</f>
        <v>44</v>
      </c>
      <c r="L157" s="69">
        <f>IF(J157="syllables",1,IF(J157="trigrams",1,IF(J157="strings",1,IF(J157="visual array",1,IF(J157="characters",1,IF(J157="letters",1,IF(J157="free forms",1,IF(J157="odors",2,IF(J157="words",2,IF(J157="pictures",2,IF(J157="object pictures",2,IF(J157="faces",2,IF(J157="names",2,IF(J157="idioms","2",IF(J157="grades",2,IF(J157="syllable-digit pairs",3,IF(J157="trigram-word pairs",3,IF(J157="word-digit pairs",3,IF(J157="English-Swahili pairs",3,IF(J157="spatial position",3,IF(J157="word pairs",4,IF(J157="word triads",4,IF(J157="generated words",4,IF(J157="word definition pairs",4,IF(J157="math problems",4,IF(J157="famous faces",4,IF(J157="famous names",4,IF(J157="famous voices",4,IF(J157="television programs",4,IF(J157="race horses",4,IF(J157="new vocabulary",4,IF(J157="sentences",5,IF(J157="concepts",5,IF(J157="ad slides",5,IF(J157="scenes",5,IF(J157="famous scenes",5,IF(J157="poems",6,IF(J157="walk",6,IF(J157="faces and events",6,IF(J157="events and names",6,IF(J157="flashbulb",7,IF(J157="stories",7,IF(J157="course material",7,IF(J157="autobiographical",7,IF(J157="novels",7,IF(J157="public events",7,"99"))))))))))))))))))))))))))))))))))))))))))))))</f>
        <v>7</v>
      </c>
      <c r="M157" s="92">
        <v>0</v>
      </c>
      <c r="N157" s="69">
        <v>2</v>
      </c>
      <c r="O157" s="69">
        <v>0</v>
      </c>
      <c r="P157" s="69"/>
      <c r="Q157" s="69" t="s">
        <v>174</v>
      </c>
      <c r="R157" s="69">
        <f>IF(Q157="Free Recall",1,IF(Q157="Cued Recall",2,IF(Q157="Recognition",3,IF(Q157="Multiple Choice",4,IF(Q157="Savings",5,IF(Q157="Stem Completion",6,IF(Q157="Fragment Completion",7,IF(Q157="anagram solution",8,IF(Q157="Matching",9,IF(Q157="Problem Solving",10,"99"))))))))))</f>
        <v>1</v>
      </c>
      <c r="S157" s="69" t="s">
        <v>49</v>
      </c>
      <c r="T157" s="69" t="s">
        <v>261</v>
      </c>
      <c r="U157" s="60">
        <f>IF(T157="within",1,0)</f>
        <v>0</v>
      </c>
      <c r="V157" s="69">
        <v>3</v>
      </c>
      <c r="W157" s="69">
        <f>F157*V157</f>
        <v>2634</v>
      </c>
      <c r="X157" s="69">
        <v>5</v>
      </c>
      <c r="Y157" s="87">
        <f>AV156</f>
        <v>172800</v>
      </c>
      <c r="Z157" s="69" t="s">
        <v>152</v>
      </c>
      <c r="AA157" s="69">
        <v>3974140.8</v>
      </c>
      <c r="AB157" s="69" t="str">
        <f>IF(AA157&lt;60,"1",IF(AA157&lt;=43200,"2",IF(AA157&lt;=777600,"3","4")))</f>
        <v>4</v>
      </c>
      <c r="AC157" s="72">
        <f>AVERAGE(AV156:DA156)</f>
        <v>1745297.2799999998</v>
      </c>
      <c r="AD157" s="69" t="str">
        <f>IF(AC157&lt;60,"1",IF(AC157&lt;=43200,"2",IF(AC157&lt;=777600,"3","4")))</f>
        <v>4</v>
      </c>
      <c r="AE157" s="87">
        <f>AA157-Y157</f>
        <v>3801340.8</v>
      </c>
      <c r="AF157" s="88">
        <f>AV157</f>
        <v>0.78</v>
      </c>
      <c r="AG157" s="72">
        <f>((AW157-AV157)+(AX157-AW157)+(AY157-AX157)+(AZ157-AY157))/4</f>
        <v>-0.13250000000000001</v>
      </c>
      <c r="AH157" s="4"/>
      <c r="AI157" s="72">
        <f>RSQ(AV157:AZ157,AV156:AZ156)</f>
        <v>0.81928618548267718</v>
      </c>
      <c r="AJ157" s="110">
        <f>SLOPE(AV157:AZ157,AV156:AZ156)</f>
        <v>-1.3731870355831144E-7</v>
      </c>
      <c r="AK157" s="72">
        <f>INTERCEPT(AV157:AZ157,AV156:AZ156)</f>
        <v>0.70766195981344726</v>
      </c>
      <c r="AL157" s="72">
        <f>INDEX(LINEST(LN(AV157:AZ157),LN(AV156:AZ156),TRUE,TRUE),3,1)</f>
        <v>0.93581919306822547</v>
      </c>
      <c r="AM157" s="72">
        <f>INDEX(LINEST(LN(AV157:AZ157),LN(AV156:AZ156)),1)</f>
        <v>-0.40127212015301539</v>
      </c>
      <c r="AN157" s="72">
        <f>EXP(INDEX(LINEST(LN(AV157:AZ157),LN(AV156:AZ156)),1,2))</f>
        <v>110.76063528802553</v>
      </c>
      <c r="AO157" s="89">
        <f>INDEX(LINEST((AV157:AZ157),LN(AV156:AZ156),TRUE,TRUE),3,1)</f>
        <v>0.95746895326498316</v>
      </c>
      <c r="AP157" s="89">
        <f>INDEX(LINEST((AV157:AZ157),LN(AV156:AZ156)),1)</f>
        <v>-0.18601681067242992</v>
      </c>
      <c r="AQ157" s="90">
        <f>INDEX(LINEST(LN(AV157:AZ157),SQRT(AV156:AZ156),TRUE,TRUE),3,1)</f>
        <v>0.95372704166038302</v>
      </c>
      <c r="AR157" s="117">
        <f>INDEX(LINEST(LN(AV157:AZ157),SQRT((AV156:AZ156))),1)</f>
        <v>-7.9634932287135814E-4</v>
      </c>
      <c r="AS157" s="91">
        <f>INDEX(LINEST(1/(AV157:AZ157),1/(SQRT(AV156:AZ156)),TRUE,TRUE),3,1)</f>
        <v>0.73889169907592933</v>
      </c>
      <c r="AT157" s="91">
        <f>INDEX(LINEST(1/(AV157:AZ157),1/SQRT(AV156:AZ156)),1)</f>
        <v>-1407.8600811472882</v>
      </c>
      <c r="AU157" s="3"/>
      <c r="AV157" s="73">
        <v>0.78</v>
      </c>
      <c r="AW157" s="73">
        <v>0.65</v>
      </c>
      <c r="AX157" s="73">
        <v>0.4</v>
      </c>
      <c r="AY157" s="73">
        <v>0.26</v>
      </c>
      <c r="AZ157" s="73">
        <v>0.25</v>
      </c>
      <c r="BA157" s="53"/>
      <c r="BB157" s="53"/>
      <c r="BC157" s="53"/>
      <c r="BD157" s="53"/>
      <c r="BE157" s="53"/>
      <c r="BF157" s="53"/>
      <c r="BG157" s="53"/>
      <c r="BH157" s="53"/>
      <c r="BI157" s="53"/>
      <c r="BJ157" s="53"/>
      <c r="BK157" s="53"/>
      <c r="BL157" s="53"/>
      <c r="BM157" s="53"/>
      <c r="BN157" s="53"/>
      <c r="BO157" s="53"/>
      <c r="BP157" s="53"/>
      <c r="BQ157" s="53"/>
      <c r="BR157" s="53"/>
      <c r="BS157" s="53"/>
      <c r="BT157" s="53"/>
      <c r="BU157" s="53"/>
      <c r="BV157" s="53"/>
      <c r="BW157" s="53"/>
      <c r="BX157" s="53"/>
      <c r="BY157" s="53"/>
      <c r="BZ157" s="53"/>
      <c r="CA157" s="53"/>
      <c r="CB157" s="53"/>
      <c r="CC157" s="53"/>
      <c r="CD157" s="53"/>
      <c r="CE157" s="53"/>
      <c r="CF157" s="53"/>
      <c r="CG157" s="53"/>
      <c r="CH157" s="53"/>
      <c r="CI157" s="53"/>
      <c r="CJ157" s="53"/>
      <c r="CK157" s="53"/>
      <c r="CL157" s="53"/>
      <c r="CM157" s="53"/>
      <c r="CN157" s="53"/>
      <c r="CO157" s="53"/>
      <c r="CP157" s="53"/>
      <c r="CQ157" s="53"/>
      <c r="CR157" s="1"/>
      <c r="CS157" s="1"/>
      <c r="CT157" s="1"/>
      <c r="CU157" s="1"/>
    </row>
    <row r="158" spans="1:99" s="13" customFormat="1" ht="12" customHeight="1" x14ac:dyDescent="0.2">
      <c r="A158" s="68">
        <v>43509</v>
      </c>
      <c r="B158" s="70"/>
      <c r="C158" s="70"/>
      <c r="D158" s="69"/>
      <c r="E158" s="87"/>
      <c r="F158" s="69"/>
      <c r="G158" s="69"/>
      <c r="H158" s="69"/>
      <c r="I158" s="69"/>
      <c r="J158" s="69"/>
      <c r="K158" s="107"/>
      <c r="L158" s="107"/>
      <c r="M158" s="69"/>
      <c r="N158" s="69"/>
      <c r="O158" s="69"/>
      <c r="P158" s="69"/>
      <c r="Q158" s="69"/>
      <c r="R158" s="69"/>
      <c r="S158" s="69"/>
      <c r="T158" s="69"/>
      <c r="U158" s="60"/>
      <c r="V158" s="69"/>
      <c r="W158" s="69"/>
      <c r="X158" s="69"/>
      <c r="Y158" s="87"/>
      <c r="Z158" s="69"/>
      <c r="AA158" s="69"/>
      <c r="AB158" s="69"/>
      <c r="AC158" s="69"/>
      <c r="AD158" s="69"/>
      <c r="AE158" s="69"/>
      <c r="AF158" s="88"/>
      <c r="AG158" s="72"/>
      <c r="AH158" s="4"/>
      <c r="AI158" s="72"/>
      <c r="AJ158" s="110"/>
      <c r="AK158" s="72"/>
      <c r="AL158" s="72"/>
      <c r="AM158" s="72"/>
      <c r="AN158" s="72"/>
      <c r="AO158" s="72"/>
      <c r="AP158" s="72"/>
      <c r="AQ158" s="72"/>
      <c r="AR158" s="110"/>
      <c r="AS158" s="72"/>
      <c r="AT158" s="72"/>
      <c r="AU158" s="4"/>
      <c r="AV158" s="71">
        <f>2*24*3600</f>
        <v>172800</v>
      </c>
      <c r="AW158" s="71">
        <f>7*24*3600*1</f>
        <v>604800</v>
      </c>
      <c r="AX158" s="71">
        <f>7*24*3600*2.143</f>
        <v>1296086.3999999999</v>
      </c>
      <c r="AY158" s="71">
        <f>7*24*3600*4.429</f>
        <v>2678659.2000000002</v>
      </c>
      <c r="AZ158" s="71">
        <f>7*24*3600*6.571</f>
        <v>3974140.8</v>
      </c>
      <c r="BA158" s="53"/>
      <c r="BB158" s="53"/>
      <c r="BC158" s="53"/>
      <c r="BD158" s="53"/>
      <c r="BE158" s="53"/>
      <c r="BF158" s="53"/>
      <c r="BG158" s="53"/>
      <c r="BH158" s="53"/>
      <c r="BI158" s="53"/>
      <c r="BJ158" s="53"/>
      <c r="BK158" s="53"/>
      <c r="BL158" s="53"/>
      <c r="BM158" s="53"/>
      <c r="BN158" s="53"/>
      <c r="BO158" s="53"/>
      <c r="BP158" s="53"/>
      <c r="BQ158" s="53"/>
      <c r="BR158" s="53"/>
      <c r="BS158" s="53"/>
      <c r="BT158" s="53"/>
      <c r="BU158" s="53"/>
      <c r="BV158" s="53"/>
      <c r="BW158" s="53"/>
      <c r="BX158" s="53"/>
      <c r="BY158" s="53"/>
      <c r="BZ158" s="53"/>
      <c r="CA158" s="53"/>
      <c r="CB158" s="53"/>
      <c r="CC158" s="53"/>
      <c r="CD158" s="53"/>
      <c r="CE158" s="53"/>
      <c r="CF158" s="53"/>
      <c r="CG158" s="53"/>
      <c r="CH158" s="53"/>
      <c r="CI158" s="53"/>
      <c r="CJ158" s="53"/>
      <c r="CK158" s="53"/>
      <c r="CL158" s="53"/>
      <c r="CM158" s="53"/>
      <c r="CN158" s="53"/>
      <c r="CO158" s="53"/>
      <c r="CP158" s="53"/>
      <c r="CQ158" s="53"/>
      <c r="CR158" s="1"/>
      <c r="CS158" s="1"/>
      <c r="CT158" s="1"/>
      <c r="CU158" s="1"/>
    </row>
    <row r="159" spans="1:99" s="13" customFormat="1" ht="12" customHeight="1" x14ac:dyDescent="0.2">
      <c r="A159" s="68">
        <v>43509</v>
      </c>
      <c r="B159" s="70" t="s">
        <v>151</v>
      </c>
      <c r="C159" s="70" t="s">
        <v>70</v>
      </c>
      <c r="D159" s="69">
        <v>2009</v>
      </c>
      <c r="E159" s="87">
        <v>1</v>
      </c>
      <c r="F159" s="69">
        <v>878</v>
      </c>
      <c r="G159" s="69">
        <v>175.6</v>
      </c>
      <c r="H159" s="69" t="s">
        <v>22</v>
      </c>
      <c r="I159" s="69" t="s">
        <v>870</v>
      </c>
      <c r="J159" s="69" t="s">
        <v>622</v>
      </c>
      <c r="K159" s="69">
        <f>IF(J159="syllables",1,IF(J159="trigrams",2,IF(J159="strings",3,IF(J159="visual array",4,IF(J159="characters",5,IF(J159="letters",6,IF(J159="free forms",7,IF(J159="odors",8,IF(J159="words",9,IF(J159="pictures",10,IF(J159="object pictures",11,IF(J159="faces",12,IF(J159="names",13,IF(J159="idioms",14,IF(J159="grades",15,IF(J159="syllable-digit pairs",16,IF(J159="trigram-word pairs",17,IF(J159="word-digit pairs",18,IF(J159="English-Swahili pairs",19,IF(J159="spatial position",20,IF(J159="word pairs",21,IF(J159="word triads",22,IF(J159="generated words",23,IF(J159="word definition pairs",24,IF(J159="math problems",25,IF(J159="famous faces",26,IF(J159="famous names",27,IF(J159="famous voices",28,IF(J159="television programs",29,IF(J159="race horses",30,IF(J159="new vocabulary",31,IF(J159="sentences",32,IF(J159="concepts",33,IF(J159="ad slides",34,IF(J159="scenes",35,IF(J159="famous scenes",36,IF(J159="poems",37,IF(J159="walk",38,IF(J159="faces and events",39,IF(J159="events and names",40,IF(J159="flashbulb",41,IF(J159="stories",42,IF(J159="course material",43,IF(J159="autobiographical",44,IF(J159="novels",45,IF(J159="public events",46,"99"))))))))))))))))))))))))))))))))))))))))))))))</f>
        <v>44</v>
      </c>
      <c r="L159" s="69">
        <f>IF(J159="syllables",1,IF(J159="trigrams",1,IF(J159="strings",1,IF(J159="visual array",1,IF(J159="characters",1,IF(J159="letters",1,IF(J159="free forms",1,IF(J159="odors",2,IF(J159="words",2,IF(J159="pictures",2,IF(J159="object pictures",2,IF(J159="faces",2,IF(J159="names",2,IF(J159="idioms","2",IF(J159="grades",2,IF(J159="syllable-digit pairs",3,IF(J159="trigram-word pairs",3,IF(J159="word-digit pairs",3,IF(J159="English-Swahili pairs",3,IF(J159="spatial position",3,IF(J159="word pairs",4,IF(J159="word triads",4,IF(J159="generated words",4,IF(J159="word definition pairs",4,IF(J159="math problems",4,IF(J159="famous faces",4,IF(J159="famous names",4,IF(J159="famous voices",4,IF(J159="television programs",4,IF(J159="race horses",4,IF(J159="new vocabulary",4,IF(J159="sentences",5,IF(J159="concepts",5,IF(J159="ad slides",5,IF(J159="scenes",5,IF(J159="famous scenes",5,IF(J159="poems",6,IF(J159="walk",6,IF(J159="faces and events",6,IF(J159="events and names",6,IF(J159="flashbulb",7,IF(J159="stories",7,IF(J159="course material",7,IF(J159="autobiographical",7,IF(J159="novels",7,IF(J159="public events",7,"99"))))))))))))))))))))))))))))))))))))))))))))))</f>
        <v>7</v>
      </c>
      <c r="M159" s="92">
        <v>0</v>
      </c>
      <c r="N159" s="69">
        <v>2</v>
      </c>
      <c r="O159" s="69">
        <v>0</v>
      </c>
      <c r="P159" s="69"/>
      <c r="Q159" s="69" t="s">
        <v>174</v>
      </c>
      <c r="R159" s="69">
        <f>IF(Q159="Free Recall",1,IF(Q159="Cued Recall",2,IF(Q159="Recognition",3,IF(Q159="Multiple Choice",4,IF(Q159="Savings",5,IF(Q159="Stem Completion",6,IF(Q159="Fragment Completion",7,IF(Q159="anagram solution",8,IF(Q159="Matching",9,IF(Q159="Problem Solving",10,"99"))))))))))</f>
        <v>1</v>
      </c>
      <c r="S159" s="69" t="s">
        <v>49</v>
      </c>
      <c r="T159" s="69" t="s">
        <v>261</v>
      </c>
      <c r="U159" s="60">
        <f>IF(T159="within",1,0)</f>
        <v>0</v>
      </c>
      <c r="V159" s="69">
        <v>3</v>
      </c>
      <c r="W159" s="69">
        <f>F159*V159</f>
        <v>2634</v>
      </c>
      <c r="X159" s="69">
        <v>5</v>
      </c>
      <c r="Y159" s="87">
        <f>AV158</f>
        <v>172800</v>
      </c>
      <c r="Z159" s="69" t="s">
        <v>152</v>
      </c>
      <c r="AA159" s="69">
        <v>3974140.8</v>
      </c>
      <c r="AB159" s="69" t="str">
        <f>IF(AA159&lt;60,"1",IF(AA159&lt;=43200,"2",IF(AA159&lt;=777600,"3","4")))</f>
        <v>4</v>
      </c>
      <c r="AC159" s="72">
        <f>AVERAGE(AV158:DA158)</f>
        <v>1745297.2799999998</v>
      </c>
      <c r="AD159" s="69" t="str">
        <f>IF(AC159&lt;60,"1",IF(AC159&lt;=43200,"2",IF(AC159&lt;=777600,"3","4")))</f>
        <v>4</v>
      </c>
      <c r="AE159" s="87">
        <f>AA159-Y159</f>
        <v>3801340.8</v>
      </c>
      <c r="AF159" s="88">
        <f>AV159</f>
        <v>0.94</v>
      </c>
      <c r="AG159" s="72">
        <f>((AW159-AV159)+(AX159-AW159)+(AY159-AX159)+(AZ159-AY159))/4</f>
        <v>-7.4999999999999983E-2</v>
      </c>
      <c r="AH159" s="4"/>
      <c r="AI159" s="72">
        <f>RSQ(AV159:AZ159,AV158:AZ158)</f>
        <v>0.98968631417438124</v>
      </c>
      <c r="AJ159" s="110">
        <f>SLOPE(AV159:AZ159,AV158:AZ158)</f>
        <v>-8.0461715055234576E-8</v>
      </c>
      <c r="AK159" s="72">
        <f>INTERCEPT(AV159:AZ159,AV158:AZ158)</f>
        <v>0.96042961243003588</v>
      </c>
      <c r="AL159" s="72">
        <f>INDEX(LINEST(LN(AV159:AZ159),LN(AV158:AZ158),TRUE,TRUE),3,1)</f>
        <v>0.80455333071384361</v>
      </c>
      <c r="AM159" s="72">
        <f>INDEX(LINEST(LN(AV159:AZ159),LN(AV158:AZ158)),1)</f>
        <v>-0.11567753955703121</v>
      </c>
      <c r="AN159" s="72">
        <f>EXP(INDEX(LINEST(LN(AV159:AZ159),LN(AV158:AZ158)),1,2))</f>
        <v>4.0473326058991406</v>
      </c>
      <c r="AO159" s="89">
        <f>INDEX(LINEST((AV159:AZ159),LN(AV158:AZ158),TRUE,TRUE),3,1)</f>
        <v>0.83297530706067668</v>
      </c>
      <c r="AP159" s="89">
        <f>INDEX(LINEST((AV159:AZ159),LN(AV158:AZ158)),1)</f>
        <v>-9.2498466299529541E-2</v>
      </c>
      <c r="AQ159" s="90">
        <f>INDEX(LINEST(LN(AV159:AZ159),SQRT(AV158:AZ158),TRUE,TRUE),3,1)</f>
        <v>0.94108107689844855</v>
      </c>
      <c r="AR159" s="117">
        <f>INDEX(LINEST(LN(AV159:AZ159),SQRT((AV158:AZ158))),1)</f>
        <v>-2.4594256537726201E-4</v>
      </c>
      <c r="AS159" s="91">
        <f>INDEX(LINEST(1/(AV159:AZ159),1/(SQRT(AV158:AZ158)),TRUE,TRUE),3,1)</f>
        <v>0.58079664673807496</v>
      </c>
      <c r="AT159" s="91">
        <f>INDEX(LINEST(1/(AV159:AZ159),1/SQRT(AV158:AZ158)),1)</f>
        <v>-205.64612602694407</v>
      </c>
      <c r="AU159" s="3"/>
      <c r="AV159" s="73">
        <v>0.94</v>
      </c>
      <c r="AW159" s="73">
        <v>0.93</v>
      </c>
      <c r="AX159" s="73">
        <v>0.84</v>
      </c>
      <c r="AY159" s="73">
        <v>0.75</v>
      </c>
      <c r="AZ159" s="73">
        <v>0.64</v>
      </c>
      <c r="BA159" s="53"/>
      <c r="BB159" s="53"/>
      <c r="BC159" s="53"/>
      <c r="BD159" s="53"/>
      <c r="BE159" s="53"/>
      <c r="BF159" s="53"/>
      <c r="BG159" s="53"/>
      <c r="BH159" s="53"/>
      <c r="BI159" s="53"/>
      <c r="BJ159" s="53"/>
      <c r="BK159" s="53"/>
      <c r="BL159" s="53"/>
      <c r="BM159" s="53"/>
      <c r="BN159" s="53"/>
      <c r="BO159" s="53"/>
      <c r="BP159" s="53"/>
      <c r="BQ159" s="53"/>
      <c r="BR159" s="53"/>
      <c r="BS159" s="53"/>
      <c r="BT159" s="53"/>
      <c r="BU159" s="53"/>
      <c r="BV159" s="53"/>
      <c r="BW159" s="53"/>
      <c r="BX159" s="53"/>
      <c r="BY159" s="53"/>
      <c r="BZ159" s="53"/>
      <c r="CA159" s="53"/>
      <c r="CB159" s="53"/>
      <c r="CC159" s="53"/>
      <c r="CD159" s="53"/>
      <c r="CE159" s="53"/>
      <c r="CF159" s="53"/>
      <c r="CG159" s="53"/>
      <c r="CH159" s="53"/>
      <c r="CI159" s="53"/>
      <c r="CJ159" s="53"/>
      <c r="CK159" s="53"/>
      <c r="CL159" s="53"/>
      <c r="CM159" s="53"/>
      <c r="CN159" s="53"/>
      <c r="CO159" s="53"/>
      <c r="CP159" s="53"/>
      <c r="CQ159" s="53"/>
      <c r="CR159" s="1"/>
      <c r="CS159" s="1"/>
      <c r="CT159" s="1"/>
      <c r="CU159" s="1"/>
    </row>
    <row r="160" spans="1:99" s="13" customFormat="1" ht="12" customHeight="1" x14ac:dyDescent="0.2">
      <c r="A160" s="68">
        <v>43509</v>
      </c>
      <c r="B160" s="70"/>
      <c r="C160" s="70"/>
      <c r="D160" s="69"/>
      <c r="E160" s="87"/>
      <c r="F160" s="69"/>
      <c r="G160" s="69"/>
      <c r="H160" s="69"/>
      <c r="I160" s="69"/>
      <c r="J160" s="69"/>
      <c r="K160" s="107"/>
      <c r="L160" s="107"/>
      <c r="M160" s="69"/>
      <c r="N160" s="69"/>
      <c r="O160" s="69"/>
      <c r="P160" s="69"/>
      <c r="Q160" s="69"/>
      <c r="R160" s="69"/>
      <c r="S160" s="69"/>
      <c r="T160" s="69"/>
      <c r="U160" s="60"/>
      <c r="V160" s="69"/>
      <c r="W160" s="69"/>
      <c r="X160" s="69"/>
      <c r="Y160" s="87"/>
      <c r="Z160" s="69"/>
      <c r="AA160" s="69"/>
      <c r="AB160" s="69"/>
      <c r="AC160" s="69"/>
      <c r="AD160" s="69"/>
      <c r="AE160" s="69"/>
      <c r="AF160" s="88"/>
      <c r="AG160" s="72"/>
      <c r="AH160" s="4"/>
      <c r="AI160" s="72"/>
      <c r="AJ160" s="110"/>
      <c r="AK160" s="72"/>
      <c r="AL160" s="72"/>
      <c r="AM160" s="72"/>
      <c r="AN160" s="72"/>
      <c r="AO160" s="72"/>
      <c r="AP160" s="72"/>
      <c r="AQ160" s="72"/>
      <c r="AR160" s="110"/>
      <c r="AS160" s="72"/>
      <c r="AT160" s="72"/>
      <c r="AU160" s="4"/>
      <c r="AV160" s="71">
        <f>2*24*3600</f>
        <v>172800</v>
      </c>
      <c r="AW160" s="71">
        <f>7*24*3600*1</f>
        <v>604800</v>
      </c>
      <c r="AX160" s="71">
        <f>7*24*3600*2.143</f>
        <v>1296086.3999999999</v>
      </c>
      <c r="AY160" s="71">
        <f>7*24*3600*4.429</f>
        <v>2678659.2000000002</v>
      </c>
      <c r="AZ160" s="71">
        <f>7*24*3600*6.571</f>
        <v>3974140.8</v>
      </c>
      <c r="BA160" s="53"/>
      <c r="BB160" s="53"/>
      <c r="BC160" s="53"/>
      <c r="BD160" s="53"/>
      <c r="BE160" s="53"/>
      <c r="BF160" s="53"/>
      <c r="BG160" s="53"/>
      <c r="BH160" s="53"/>
      <c r="BI160" s="53"/>
      <c r="BJ160" s="53"/>
      <c r="BK160" s="53"/>
      <c r="BL160" s="53"/>
      <c r="BM160" s="53"/>
      <c r="BN160" s="53"/>
      <c r="BO160" s="53"/>
      <c r="BP160" s="53"/>
      <c r="BQ160" s="53"/>
      <c r="BR160" s="53"/>
      <c r="BS160" s="53"/>
      <c r="BT160" s="53"/>
      <c r="BU160" s="53"/>
      <c r="BV160" s="53"/>
      <c r="BW160" s="53"/>
      <c r="BX160" s="53"/>
      <c r="BY160" s="53"/>
      <c r="BZ160" s="53"/>
      <c r="CA160" s="53"/>
      <c r="CB160" s="53"/>
      <c r="CC160" s="53"/>
      <c r="CD160" s="53"/>
      <c r="CE160" s="53"/>
      <c r="CF160" s="53"/>
      <c r="CG160" s="53"/>
      <c r="CH160" s="53"/>
      <c r="CI160" s="53"/>
      <c r="CJ160" s="53"/>
      <c r="CK160" s="53"/>
      <c r="CL160" s="53"/>
      <c r="CM160" s="53"/>
      <c r="CN160" s="53"/>
      <c r="CO160" s="53"/>
      <c r="CP160" s="53"/>
      <c r="CQ160" s="53"/>
      <c r="CR160" s="1"/>
      <c r="CS160" s="1"/>
      <c r="CT160" s="1"/>
      <c r="CU160" s="1"/>
    </row>
    <row r="161" spans="1:99" s="13" customFormat="1" ht="12" customHeight="1" x14ac:dyDescent="0.2">
      <c r="A161" s="68">
        <v>43509</v>
      </c>
      <c r="B161" s="70" t="s">
        <v>151</v>
      </c>
      <c r="C161" s="70" t="s">
        <v>70</v>
      </c>
      <c r="D161" s="69">
        <v>2009</v>
      </c>
      <c r="E161" s="87">
        <v>1</v>
      </c>
      <c r="F161" s="69">
        <v>878</v>
      </c>
      <c r="G161" s="69">
        <v>175.6</v>
      </c>
      <c r="H161" s="69" t="s">
        <v>22</v>
      </c>
      <c r="I161" s="69" t="s">
        <v>871</v>
      </c>
      <c r="J161" s="69" t="s">
        <v>622</v>
      </c>
      <c r="K161" s="69">
        <f>IF(J161="syllables",1,IF(J161="trigrams",2,IF(J161="strings",3,IF(J161="visual array",4,IF(J161="characters",5,IF(J161="letters",6,IF(J161="free forms",7,IF(J161="odors",8,IF(J161="words",9,IF(J161="pictures",10,IF(J161="object pictures",11,IF(J161="faces",12,IF(J161="names",13,IF(J161="idioms",14,IF(J161="grades",15,IF(J161="syllable-digit pairs",16,IF(J161="trigram-word pairs",17,IF(J161="word-digit pairs",18,IF(J161="English-Swahili pairs",19,IF(J161="spatial position",20,IF(J161="word pairs",21,IF(J161="word triads",22,IF(J161="generated words",23,IF(J161="word definition pairs",24,IF(J161="math problems",25,IF(J161="famous faces",26,IF(J161="famous names",27,IF(J161="famous voices",28,IF(J161="television programs",29,IF(J161="race horses",30,IF(J161="new vocabulary",31,IF(J161="sentences",32,IF(J161="concepts",33,IF(J161="ad slides",34,IF(J161="scenes",35,IF(J161="famous scenes",36,IF(J161="poems",37,IF(J161="walk",38,IF(J161="faces and events",39,IF(J161="events and names",40,IF(J161="flashbulb",41,IF(J161="stories",42,IF(J161="course material",43,IF(J161="autobiographical",44,IF(J161="novels",45,IF(J161="public events",46,"99"))))))))))))))))))))))))))))))))))))))))))))))</f>
        <v>44</v>
      </c>
      <c r="L161" s="69">
        <f>IF(J161="syllables",1,IF(J161="trigrams",1,IF(J161="strings",1,IF(J161="visual array",1,IF(J161="characters",1,IF(J161="letters",1,IF(J161="free forms",1,IF(J161="odors",2,IF(J161="words",2,IF(J161="pictures",2,IF(J161="object pictures",2,IF(J161="faces",2,IF(J161="names",2,IF(J161="idioms","2",IF(J161="grades",2,IF(J161="syllable-digit pairs",3,IF(J161="trigram-word pairs",3,IF(J161="word-digit pairs",3,IF(J161="English-Swahili pairs",3,IF(J161="spatial position",3,IF(J161="word pairs",4,IF(J161="word triads",4,IF(J161="generated words",4,IF(J161="word definition pairs",4,IF(J161="math problems",4,IF(J161="famous faces",4,IF(J161="famous names",4,IF(J161="famous voices",4,IF(J161="television programs",4,IF(J161="race horses",4,IF(J161="new vocabulary",4,IF(J161="sentences",5,IF(J161="concepts",5,IF(J161="ad slides",5,IF(J161="scenes",5,IF(J161="famous scenes",5,IF(J161="poems",6,IF(J161="walk",6,IF(J161="faces and events",6,IF(J161="events and names",6,IF(J161="flashbulb",7,IF(J161="stories",7,IF(J161="course material",7,IF(J161="autobiographical",7,IF(J161="novels",7,IF(J161="public events",7,"99"))))))))))))))))))))))))))))))))))))))))))))))</f>
        <v>7</v>
      </c>
      <c r="M161" s="92">
        <v>0</v>
      </c>
      <c r="N161" s="69">
        <v>2</v>
      </c>
      <c r="O161" s="69">
        <v>0</v>
      </c>
      <c r="P161" s="69"/>
      <c r="Q161" s="69" t="s">
        <v>174</v>
      </c>
      <c r="R161" s="69">
        <f>IF(Q161="Free Recall",1,IF(Q161="Cued Recall",2,IF(Q161="Recognition",3,IF(Q161="Multiple Choice",4,IF(Q161="Savings",5,IF(Q161="Stem Completion",6,IF(Q161="Fragment Completion",7,IF(Q161="anagram solution",8,IF(Q161="Matching",9,IF(Q161="Problem Solving",10,"99"))))))))))</f>
        <v>1</v>
      </c>
      <c r="S161" s="69" t="s">
        <v>49</v>
      </c>
      <c r="T161" s="69" t="s">
        <v>261</v>
      </c>
      <c r="U161" s="60">
        <f>IF(T161="within",1,0)</f>
        <v>0</v>
      </c>
      <c r="V161" s="69">
        <v>3</v>
      </c>
      <c r="W161" s="69">
        <f>F161*V161</f>
        <v>2634</v>
      </c>
      <c r="X161" s="69">
        <v>5</v>
      </c>
      <c r="Y161" s="87">
        <f>AV160</f>
        <v>172800</v>
      </c>
      <c r="Z161" s="69" t="s">
        <v>152</v>
      </c>
      <c r="AA161" s="69">
        <v>3974140.8</v>
      </c>
      <c r="AB161" s="69" t="str">
        <f>IF(AA161&lt;60,"1",IF(AA161&lt;=43200,"2",IF(AA161&lt;=777600,"3","4")))</f>
        <v>4</v>
      </c>
      <c r="AC161" s="72">
        <f>AVERAGE(AV160:DA160)</f>
        <v>1745297.2799999998</v>
      </c>
      <c r="AD161" s="69" t="str">
        <f>IF(AC161&lt;60,"1",IF(AC161&lt;=43200,"2",IF(AC161&lt;=777600,"3","4")))</f>
        <v>4</v>
      </c>
      <c r="AE161" s="87">
        <f>AA161-Y161</f>
        <v>3801340.8</v>
      </c>
      <c r="AF161" s="88">
        <f>AV161</f>
        <v>0.68500000000000005</v>
      </c>
      <c r="AG161" s="72">
        <f>((AW161-AV161)+(AX161-AW161)+(AY161-AX161)+(AZ161-AY161))/4</f>
        <v>-7.6250000000000012E-2</v>
      </c>
      <c r="AH161" s="4"/>
      <c r="AI161" s="72">
        <f>RSQ(AV161:AZ161,AV160:AZ160)</f>
        <v>0.73527370444209106</v>
      </c>
      <c r="AJ161" s="110">
        <f>SLOPE(AV161:AZ161,AV160:AZ160)</f>
        <v>-6.3446245390840788E-8</v>
      </c>
      <c r="AK161" s="72">
        <f>INTERCEPT(AV161:AZ161,AV160:AZ160)</f>
        <v>0.6077325595068469</v>
      </c>
      <c r="AL161" s="72">
        <f>INDEX(LINEST(LN(AV161:AZ161),LN(AV160:AZ160),TRUE,TRUE),3,1)</f>
        <v>0.96399323037859252</v>
      </c>
      <c r="AM161" s="72">
        <f>INDEX(LINEST(LN(AV161:AZ161),LN(AV160:AZ160)),1)</f>
        <v>-0.17331820916494636</v>
      </c>
      <c r="AN161" s="72">
        <f>EXP(INDEX(LINEST(LN(AV161:AZ161),LN(AV160:AZ160)),1,2))</f>
        <v>5.4077199840609209</v>
      </c>
      <c r="AO161" s="89">
        <f>INDEX(LINEST((AV161:AZ161),LN(AV160:AZ160),TRUE,TRUE),3,1)</f>
        <v>0.9493728231527897</v>
      </c>
      <c r="AP161" s="89">
        <f>INDEX(LINEST((AV161:AZ161),LN(AV160:AZ160)),1)</f>
        <v>-9.0339518639965921E-2</v>
      </c>
      <c r="AQ161" s="90">
        <f>INDEX(LINEST(LN(AV161:AZ161),SQRT(AV160:AZ160),TRUE,TRUE),3,1)</f>
        <v>0.90478207154807366</v>
      </c>
      <c r="AR161" s="117">
        <f>INDEX(LINEST(LN(AV161:AZ161),SQRT((AV160:AZ160))),1)</f>
        <v>-3.3008648905028708E-4</v>
      </c>
      <c r="AS161" s="91">
        <f>INDEX(LINEST(1/(AV161:AZ161),1/(SQRT(AV160:AZ160)),TRUE,TRUE),3,1)</f>
        <v>0.90281200574799458</v>
      </c>
      <c r="AT161" s="91">
        <f>INDEX(LINEST(1/(AV161:AZ161),1/SQRT(AV160:AZ160)),1)</f>
        <v>-536.60926660136238</v>
      </c>
      <c r="AU161" s="3"/>
      <c r="AV161" s="73">
        <v>0.68500000000000005</v>
      </c>
      <c r="AW161" s="73">
        <v>0.505</v>
      </c>
      <c r="AX161" s="73">
        <v>0.48499999999999999</v>
      </c>
      <c r="AY161" s="73">
        <v>0.43</v>
      </c>
      <c r="AZ161" s="73">
        <v>0.38</v>
      </c>
      <c r="BA161" s="53"/>
      <c r="BB161" s="53"/>
      <c r="BC161" s="53"/>
      <c r="BD161" s="53"/>
      <c r="BE161" s="53"/>
      <c r="BF161" s="53"/>
      <c r="BG161" s="53"/>
      <c r="BH161" s="53"/>
      <c r="BI161" s="53"/>
      <c r="BJ161" s="53"/>
      <c r="BK161" s="53"/>
      <c r="BL161" s="53"/>
      <c r="BM161" s="53"/>
      <c r="BN161" s="53"/>
      <c r="BO161" s="53"/>
      <c r="BP161" s="53"/>
      <c r="BQ161" s="53"/>
      <c r="BR161" s="53"/>
      <c r="BS161" s="53"/>
      <c r="BT161" s="53"/>
      <c r="BU161" s="53"/>
      <c r="BV161" s="53"/>
      <c r="BW161" s="53"/>
      <c r="BX161" s="53"/>
      <c r="BY161" s="53"/>
      <c r="BZ161" s="53"/>
      <c r="CA161" s="53"/>
      <c r="CB161" s="53"/>
      <c r="CC161" s="53"/>
      <c r="CD161" s="53"/>
      <c r="CE161" s="53"/>
      <c r="CF161" s="53"/>
      <c r="CG161" s="53"/>
      <c r="CH161" s="53"/>
      <c r="CI161" s="53"/>
      <c r="CJ161" s="53"/>
      <c r="CK161" s="53"/>
      <c r="CL161" s="53"/>
      <c r="CM161" s="53"/>
      <c r="CN161" s="53"/>
      <c r="CO161" s="53"/>
      <c r="CP161" s="53"/>
      <c r="CQ161" s="53"/>
      <c r="CR161" s="1"/>
      <c r="CS161" s="1"/>
      <c r="CT161" s="1"/>
      <c r="CU161" s="1"/>
    </row>
    <row r="162" spans="1:99" s="13" customFormat="1" ht="12" customHeight="1" x14ac:dyDescent="0.2">
      <c r="A162" s="68">
        <v>43509</v>
      </c>
      <c r="B162" s="70"/>
      <c r="C162" s="70"/>
      <c r="D162" s="69"/>
      <c r="E162" s="87"/>
      <c r="F162" s="69"/>
      <c r="G162" s="69"/>
      <c r="H162" s="69"/>
      <c r="I162" s="69"/>
      <c r="J162" s="69"/>
      <c r="K162" s="107"/>
      <c r="L162" s="107"/>
      <c r="M162" s="69"/>
      <c r="N162" s="69"/>
      <c r="O162" s="69"/>
      <c r="P162" s="69"/>
      <c r="Q162" s="69"/>
      <c r="R162" s="69"/>
      <c r="S162" s="69"/>
      <c r="T162" s="69"/>
      <c r="U162" s="60"/>
      <c r="V162" s="69"/>
      <c r="W162" s="69"/>
      <c r="X162" s="69"/>
      <c r="Y162" s="87"/>
      <c r="Z162" s="69"/>
      <c r="AA162" s="69"/>
      <c r="AB162" s="69"/>
      <c r="AC162" s="69"/>
      <c r="AD162" s="69"/>
      <c r="AE162" s="69"/>
      <c r="AF162" s="88"/>
      <c r="AG162" s="72"/>
      <c r="AH162" s="4"/>
      <c r="AI162" s="72"/>
      <c r="AJ162" s="110"/>
      <c r="AK162" s="72"/>
      <c r="AL162" s="72"/>
      <c r="AM162" s="72"/>
      <c r="AN162" s="72"/>
      <c r="AO162" s="72"/>
      <c r="AP162" s="72"/>
      <c r="AQ162" s="72"/>
      <c r="AR162" s="110"/>
      <c r="AS162" s="72"/>
      <c r="AT162" s="72"/>
      <c r="AU162" s="4"/>
      <c r="AV162" s="71">
        <f>2*24*3600</f>
        <v>172800</v>
      </c>
      <c r="AW162" s="71">
        <f>7*24*3600*1</f>
        <v>604800</v>
      </c>
      <c r="AX162" s="71">
        <f>7*24*3600*2.143</f>
        <v>1296086.3999999999</v>
      </c>
      <c r="AY162" s="71">
        <f>7*24*3600*4.429</f>
        <v>2678659.2000000002</v>
      </c>
      <c r="AZ162" s="71">
        <f>7*24*3600*6.571</f>
        <v>3974140.8</v>
      </c>
      <c r="BA162" s="53"/>
      <c r="BB162" s="53"/>
      <c r="BC162" s="53"/>
      <c r="BD162" s="53"/>
      <c r="BE162" s="53"/>
      <c r="BF162" s="53"/>
      <c r="BG162" s="53"/>
      <c r="BH162" s="53"/>
      <c r="BI162" s="53"/>
      <c r="BJ162" s="53"/>
      <c r="BK162" s="53"/>
      <c r="BL162" s="53"/>
      <c r="BM162" s="53"/>
      <c r="BN162" s="53"/>
      <c r="BO162" s="53"/>
      <c r="BP162" s="53"/>
      <c r="BQ162" s="53"/>
      <c r="BR162" s="53"/>
      <c r="BS162" s="53"/>
      <c r="BT162" s="53"/>
      <c r="BU162" s="53"/>
      <c r="BV162" s="53"/>
      <c r="BW162" s="53"/>
      <c r="BX162" s="53"/>
      <c r="BY162" s="53"/>
      <c r="BZ162" s="53"/>
      <c r="CA162" s="53"/>
      <c r="CB162" s="53"/>
      <c r="CC162" s="53"/>
      <c r="CD162" s="53"/>
      <c r="CE162" s="53"/>
      <c r="CF162" s="53"/>
      <c r="CG162" s="53"/>
      <c r="CH162" s="53"/>
      <c r="CI162" s="53"/>
      <c r="CJ162" s="53"/>
      <c r="CK162" s="53"/>
      <c r="CL162" s="53"/>
      <c r="CM162" s="53"/>
      <c r="CN162" s="53"/>
      <c r="CO162" s="53"/>
      <c r="CP162" s="53"/>
      <c r="CQ162" s="53"/>
      <c r="CR162" s="1"/>
      <c r="CS162" s="1"/>
      <c r="CT162" s="1"/>
      <c r="CU162" s="1"/>
    </row>
    <row r="163" spans="1:99" s="13" customFormat="1" ht="12" customHeight="1" x14ac:dyDescent="0.2">
      <c r="A163" s="68">
        <v>43509</v>
      </c>
      <c r="B163" s="70" t="s">
        <v>151</v>
      </c>
      <c r="C163" s="70" t="s">
        <v>70</v>
      </c>
      <c r="D163" s="69">
        <v>2009</v>
      </c>
      <c r="E163" s="87">
        <v>1</v>
      </c>
      <c r="F163" s="69">
        <v>878</v>
      </c>
      <c r="G163" s="69">
        <v>175.6</v>
      </c>
      <c r="H163" s="69" t="s">
        <v>22</v>
      </c>
      <c r="I163" s="69" t="s">
        <v>872</v>
      </c>
      <c r="J163" s="69" t="s">
        <v>622</v>
      </c>
      <c r="K163" s="69">
        <f>IF(J163="syllables",1,IF(J163="trigrams",2,IF(J163="strings",3,IF(J163="visual array",4,IF(J163="characters",5,IF(J163="letters",6,IF(J163="free forms",7,IF(J163="odors",8,IF(J163="words",9,IF(J163="pictures",10,IF(J163="object pictures",11,IF(J163="faces",12,IF(J163="names",13,IF(J163="idioms",14,IF(J163="grades",15,IF(J163="syllable-digit pairs",16,IF(J163="trigram-word pairs",17,IF(J163="word-digit pairs",18,IF(J163="English-Swahili pairs",19,IF(J163="spatial position",20,IF(J163="word pairs",21,IF(J163="word triads",22,IF(J163="generated words",23,IF(J163="word definition pairs",24,IF(J163="math problems",25,IF(J163="famous faces",26,IF(J163="famous names",27,IF(J163="famous voices",28,IF(J163="television programs",29,IF(J163="race horses",30,IF(J163="new vocabulary",31,IF(J163="sentences",32,IF(J163="concepts",33,IF(J163="ad slides",34,IF(J163="scenes",35,IF(J163="famous scenes",36,IF(J163="poems",37,IF(J163="walk",38,IF(J163="faces and events",39,IF(J163="events and names",40,IF(J163="flashbulb",41,IF(J163="stories",42,IF(J163="course material",43,IF(J163="autobiographical",44,IF(J163="novels",45,IF(J163="public events",46,"99"))))))))))))))))))))))))))))))))))))))))))))))</f>
        <v>44</v>
      </c>
      <c r="L163" s="69">
        <f>IF(J163="syllables",1,IF(J163="trigrams",1,IF(J163="strings",1,IF(J163="visual array",1,IF(J163="characters",1,IF(J163="letters",1,IF(J163="free forms",1,IF(J163="odors",2,IF(J163="words",2,IF(J163="pictures",2,IF(J163="object pictures",2,IF(J163="faces",2,IF(J163="names",2,IF(J163="idioms","2",IF(J163="grades",2,IF(J163="syllable-digit pairs",3,IF(J163="trigram-word pairs",3,IF(J163="word-digit pairs",3,IF(J163="English-Swahili pairs",3,IF(J163="spatial position",3,IF(J163="word pairs",4,IF(J163="word triads",4,IF(J163="generated words",4,IF(J163="word definition pairs",4,IF(J163="math problems",4,IF(J163="famous faces",4,IF(J163="famous names",4,IF(J163="famous voices",4,IF(J163="television programs",4,IF(J163="race horses",4,IF(J163="new vocabulary",4,IF(J163="sentences",5,IF(J163="concepts",5,IF(J163="ad slides",5,IF(J163="scenes",5,IF(J163="famous scenes",5,IF(J163="poems",6,IF(J163="walk",6,IF(J163="faces and events",6,IF(J163="events and names",6,IF(J163="flashbulb",7,IF(J163="stories",7,IF(J163="course material",7,IF(J163="autobiographical",7,IF(J163="novels",7,IF(J163="public events",7,"99"))))))))))))))))))))))))))))))))))))))))))))))</f>
        <v>7</v>
      </c>
      <c r="M163" s="92">
        <v>0</v>
      </c>
      <c r="N163" s="69">
        <v>2</v>
      </c>
      <c r="O163" s="69">
        <v>0</v>
      </c>
      <c r="P163" s="69"/>
      <c r="Q163" s="69" t="s">
        <v>174</v>
      </c>
      <c r="R163" s="69">
        <f>IF(Q163="Free Recall",1,IF(Q163="Cued Recall",2,IF(Q163="Recognition",3,IF(Q163="Multiple Choice",4,IF(Q163="Savings",5,IF(Q163="Stem Completion",6,IF(Q163="Fragment Completion",7,IF(Q163="anagram solution",8,IF(Q163="Matching",9,IF(Q163="Problem Solving",10,"99"))))))))))</f>
        <v>1</v>
      </c>
      <c r="S163" s="69" t="s">
        <v>49</v>
      </c>
      <c r="T163" s="69" t="s">
        <v>261</v>
      </c>
      <c r="U163" s="60">
        <f>IF(T163="within",1,0)</f>
        <v>0</v>
      </c>
      <c r="V163" s="69">
        <v>3</v>
      </c>
      <c r="W163" s="69">
        <f>F163*V163</f>
        <v>2634</v>
      </c>
      <c r="X163" s="69">
        <v>5</v>
      </c>
      <c r="Y163" s="87">
        <f>AV162</f>
        <v>172800</v>
      </c>
      <c r="Z163" s="69" t="s">
        <v>152</v>
      </c>
      <c r="AA163" s="69">
        <v>3974140.8</v>
      </c>
      <c r="AB163" s="69" t="str">
        <f>IF(AA163&lt;60,"1",IF(AA163&lt;=43200,"2",IF(AA163&lt;=777600,"3","4")))</f>
        <v>4</v>
      </c>
      <c r="AC163" s="72">
        <f>AVERAGE(AV162:DA162)</f>
        <v>1745297.2799999998</v>
      </c>
      <c r="AD163" s="69" t="str">
        <f>IF(AC163&lt;60,"1",IF(AC163&lt;=43200,"2",IF(AC163&lt;=777600,"3","4")))</f>
        <v>4</v>
      </c>
      <c r="AE163" s="87">
        <f>AA163-Y163</f>
        <v>3801340.8</v>
      </c>
      <c r="AF163" s="88">
        <f>AV163</f>
        <v>0.65</v>
      </c>
      <c r="AG163" s="72">
        <f>((AW163-AV163)+(AX163-AW163)+(AY163-AX163)+(AZ163-AY163))/4</f>
        <v>-0.10375000000000001</v>
      </c>
      <c r="AH163" s="4"/>
      <c r="AI163" s="72">
        <f>RSQ(AV163:AZ163,AV162:AZ162)</f>
        <v>0.72647266197119453</v>
      </c>
      <c r="AJ163" s="110">
        <f>SLOPE(AV163:AZ163,AV162:AZ162)</f>
        <v>-9.4436548599419464E-8</v>
      </c>
      <c r="AK163" s="72">
        <f>INTERCEPT(AV163:AZ163,AV162:AZ162)</f>
        <v>0.5418198514031547</v>
      </c>
      <c r="AL163" s="72">
        <f>INDEX(LINEST(LN(AV163:AZ163),LN(AV162:AZ162),TRUE,TRUE),3,1)</f>
        <v>0.94768089742660278</v>
      </c>
      <c r="AM163" s="72">
        <f>INDEX(LINEST(LN(AV163:AZ163),LN(AV162:AZ162)),1)</f>
        <v>-0.34508941196526083</v>
      </c>
      <c r="AN163" s="72">
        <f>EXP(INDEX(LINEST(LN(AV163:AZ163),LN(AV162:AZ162)),1,2))</f>
        <v>41.97442670623154</v>
      </c>
      <c r="AO163" s="89">
        <f>INDEX(LINEST((AV163:AZ163),LN(AV162:AZ162),TRUE,TRUE),3,1)</f>
        <v>0.95567011176106231</v>
      </c>
      <c r="AP163" s="89">
        <f>INDEX(LINEST((AV163:AZ163),LN(AV162:AZ162)),1)</f>
        <v>-0.13572580792048036</v>
      </c>
      <c r="AQ163" s="90">
        <f>INDEX(LINEST(LN(AV163:AZ163),SQRT(AV162:AZ162),TRUE,TRUE),3,1)</f>
        <v>0.90944474384658358</v>
      </c>
      <c r="AR163" s="117">
        <f>INDEX(LINEST(LN(AV163:AZ163),SQRT((AV162:AZ162))),1)</f>
        <v>-6.645647231698302E-4</v>
      </c>
      <c r="AS163" s="91">
        <f>INDEX(LINEST(1/(AV163:AZ163),1/(SQRT(AV162:AZ162)),TRUE,TRUE),3,1)</f>
        <v>0.78435370026421292</v>
      </c>
      <c r="AT163" s="91">
        <f>INDEX(LINEST(1/(AV163:AZ163),1/SQRT(AV162:AZ162)),1)</f>
        <v>-1459.1332524117729</v>
      </c>
      <c r="AU163" s="3"/>
      <c r="AV163" s="73">
        <v>0.65</v>
      </c>
      <c r="AW163" s="73">
        <v>0.41</v>
      </c>
      <c r="AX163" s="73">
        <v>0.37</v>
      </c>
      <c r="AY163" s="73">
        <v>0.22</v>
      </c>
      <c r="AZ163" s="73">
        <v>0.23499999999999999</v>
      </c>
      <c r="BA163" s="53"/>
      <c r="BB163" s="53"/>
      <c r="BC163" s="53"/>
      <c r="BD163" s="53"/>
      <c r="BE163" s="53"/>
      <c r="BF163" s="53"/>
      <c r="BG163" s="53"/>
      <c r="BH163" s="53"/>
      <c r="BI163" s="53"/>
      <c r="BJ163" s="53"/>
      <c r="BK163" s="53"/>
      <c r="BL163" s="53"/>
      <c r="BM163" s="53"/>
      <c r="BN163" s="53"/>
      <c r="BO163" s="53"/>
      <c r="BP163" s="53"/>
      <c r="BQ163" s="53"/>
      <c r="BR163" s="53"/>
      <c r="BS163" s="53"/>
      <c r="BT163" s="53"/>
      <c r="BU163" s="53"/>
      <c r="BV163" s="53"/>
      <c r="BW163" s="53"/>
      <c r="BX163" s="53"/>
      <c r="BY163" s="53"/>
      <c r="BZ163" s="53"/>
      <c r="CA163" s="53"/>
      <c r="CB163" s="53"/>
      <c r="CC163" s="53"/>
      <c r="CD163" s="53"/>
      <c r="CE163" s="53"/>
      <c r="CF163" s="53"/>
      <c r="CG163" s="53"/>
      <c r="CH163" s="53"/>
      <c r="CI163" s="53"/>
      <c r="CJ163" s="53"/>
      <c r="CK163" s="53"/>
      <c r="CL163" s="53"/>
      <c r="CM163" s="53"/>
      <c r="CN163" s="53"/>
      <c r="CO163" s="53"/>
      <c r="CP163" s="53"/>
      <c r="CQ163" s="53"/>
      <c r="CR163" s="1"/>
      <c r="CS163" s="1"/>
      <c r="CT163" s="1"/>
      <c r="CU163" s="1"/>
    </row>
    <row r="164" spans="1:99" s="13" customFormat="1" ht="12" customHeight="1" x14ac:dyDescent="0.2">
      <c r="A164" s="68">
        <v>43509</v>
      </c>
      <c r="B164" s="70"/>
      <c r="C164" s="70"/>
      <c r="D164" s="69"/>
      <c r="E164" s="87"/>
      <c r="F164" s="69"/>
      <c r="G164" s="69"/>
      <c r="H164" s="69"/>
      <c r="I164" s="69"/>
      <c r="J164" s="69"/>
      <c r="K164" s="107"/>
      <c r="L164" s="107"/>
      <c r="M164" s="69"/>
      <c r="N164" s="69"/>
      <c r="O164" s="69"/>
      <c r="P164" s="69"/>
      <c r="Q164" s="69"/>
      <c r="R164" s="69"/>
      <c r="S164" s="69"/>
      <c r="T164" s="69"/>
      <c r="U164" s="69"/>
      <c r="V164" s="69"/>
      <c r="W164" s="69"/>
      <c r="X164" s="69"/>
      <c r="Y164" s="87"/>
      <c r="Z164" s="69"/>
      <c r="AA164" s="69"/>
      <c r="AB164" s="69"/>
      <c r="AC164" s="69"/>
      <c r="AD164" s="69"/>
      <c r="AE164" s="69"/>
      <c r="AF164" s="88"/>
      <c r="AG164" s="72"/>
      <c r="AH164" s="4"/>
      <c r="AI164" s="72"/>
      <c r="AJ164" s="110"/>
      <c r="AK164" s="72"/>
      <c r="AL164" s="72"/>
      <c r="AM164" s="72"/>
      <c r="AN164" s="72"/>
      <c r="AO164" s="72"/>
      <c r="AP164" s="72"/>
      <c r="AQ164" s="72"/>
      <c r="AR164" s="110"/>
      <c r="AS164" s="72"/>
      <c r="AT164" s="72"/>
      <c r="AU164" s="5"/>
      <c r="AV164" s="71">
        <f>30*24*60*60*((5/60)/24)/30</f>
        <v>300</v>
      </c>
      <c r="AW164" s="71">
        <f>30*24*60*60*(1/24)/30</f>
        <v>3600</v>
      </c>
      <c r="AX164" s="71">
        <f>30*24*60*60*1/30</f>
        <v>86400</v>
      </c>
      <c r="AY164" s="71">
        <f>30*24*60*60*7/30</f>
        <v>604800</v>
      </c>
      <c r="AZ164" s="71">
        <f>30*24*60*60*1</f>
        <v>2592000</v>
      </c>
      <c r="BA164" s="53"/>
      <c r="BB164" s="53"/>
      <c r="BC164" s="53"/>
      <c r="BD164" s="53"/>
      <c r="BE164" s="53"/>
      <c r="BF164" s="53"/>
      <c r="BG164" s="53"/>
      <c r="BH164" s="53"/>
      <c r="BI164" s="53"/>
      <c r="BJ164" s="53"/>
      <c r="BK164" s="53"/>
      <c r="BL164" s="53"/>
      <c r="BM164" s="53"/>
      <c r="BN164" s="53"/>
      <c r="BO164" s="53"/>
      <c r="BP164" s="53"/>
      <c r="BQ164" s="53"/>
      <c r="BR164" s="53"/>
      <c r="BS164" s="53"/>
      <c r="BT164" s="53"/>
      <c r="BU164" s="53"/>
      <c r="BV164" s="53"/>
      <c r="BW164" s="53"/>
      <c r="BX164" s="53"/>
      <c r="BY164" s="53"/>
      <c r="BZ164" s="53"/>
      <c r="CA164" s="53"/>
      <c r="CB164" s="53"/>
      <c r="CC164" s="53"/>
      <c r="CD164" s="53"/>
      <c r="CE164" s="53"/>
      <c r="CF164" s="53"/>
      <c r="CG164" s="53"/>
      <c r="CH164" s="53"/>
      <c r="CI164" s="53"/>
      <c r="CJ164" s="53"/>
      <c r="CK164" s="53"/>
      <c r="CL164" s="53"/>
      <c r="CM164" s="53"/>
      <c r="CN164" s="53"/>
      <c r="CO164" s="53"/>
      <c r="CP164" s="53"/>
      <c r="CQ164" s="53"/>
      <c r="CR164" s="1"/>
      <c r="CS164" s="1"/>
      <c r="CT164" s="1"/>
      <c r="CU164" s="1"/>
    </row>
    <row r="165" spans="1:99" s="13" customFormat="1" ht="12" customHeight="1" x14ac:dyDescent="0.2">
      <c r="A165" s="68">
        <v>43509</v>
      </c>
      <c r="B165" s="70" t="s">
        <v>184</v>
      </c>
      <c r="C165" s="70" t="s">
        <v>167</v>
      </c>
      <c r="D165" s="69">
        <v>1971</v>
      </c>
      <c r="E165" s="87">
        <v>1</v>
      </c>
      <c r="F165" s="69">
        <v>50</v>
      </c>
      <c r="G165" s="69">
        <v>10</v>
      </c>
      <c r="H165" s="69" t="s">
        <v>32</v>
      </c>
      <c r="I165" s="69" t="s">
        <v>718</v>
      </c>
      <c r="J165" s="69" t="s">
        <v>16</v>
      </c>
      <c r="K165" s="69">
        <f>IF(J165="syllables",1,IF(J165="trigrams",2,IF(J165="strings",3,IF(J165="visual array",4,IF(J165="characters",5,IF(J165="letters",6,IF(J165="free forms",7,IF(J165="odors",8,IF(J165="words",9,IF(J165="pictures",10,IF(J165="object pictures",11,IF(J165="faces",12,IF(J165="names",13,IF(J165="idioms",14,IF(J165="grades",15,IF(J165="syllable-digit pairs",16,IF(J165="trigram-word pairs",17,IF(J165="word-digit pairs",18,IF(J165="English-Swahili pairs",19,IF(J165="spatial position",20,IF(J165="word pairs",21,IF(J165="word triads",22,IF(J165="generated words",23,IF(J165="word definition pairs",24,IF(J165="math problems",25,IF(J165="famous faces",26,IF(J165="famous names",27,IF(J165="famous voices",28,IF(J165="television programs",29,IF(J165="race horses",30,IF(J165="new vocabulary",31,IF(J165="sentences",32,IF(J165="concepts",33,IF(J165="ad slides",34,IF(J165="scenes",35,IF(J165="famous scenes",36,IF(J165="poems",37,IF(J165="walk",38,IF(J165="faces and events",39,IF(J165="events and names",40,IF(J165="flashbulb",41,IF(J165="stories",42,IF(J165="course material",43,IF(J165="autobiographical",44,IF(J165="novels",45,IF(J165="public events",46,"99"))))))))))))))))))))))))))))))))))))))))))))))</f>
        <v>9</v>
      </c>
      <c r="L165" s="69">
        <f>IF(J165="syllables",1,IF(J165="trigrams",1,IF(J165="strings",1,IF(J165="visual array",1,IF(J165="characters",1,IF(J165="letters",1,IF(J165="free forms",1,IF(J165="odors",2,IF(J165="words",2,IF(J165="pictures",2,IF(J165="object pictures",2,IF(J165="faces",2,IF(J165="names",2,IF(J165="idioms","2",IF(J165="grades",2,IF(J165="syllable-digit pairs",3,IF(J165="trigram-word pairs",3,IF(J165="word-digit pairs",3,IF(J165="English-Swahili pairs",3,IF(J165="spatial position",3,IF(J165="word pairs",4,IF(J165="word triads",4,IF(J165="generated words",4,IF(J165="word definition pairs",4,IF(J165="math problems",4,IF(J165="famous faces",4,IF(J165="famous names",4,IF(J165="famous voices",4,IF(J165="television programs",4,IF(J165="race horses",4,IF(J165="new vocabulary",4,IF(J165="sentences",5,IF(J165="concepts",5,IF(J165="ad slides",5,IF(J165="scenes",5,IF(J165="famous scenes",5,IF(J165="poems",6,IF(J165="walk",6,IF(J165="faces and events",6,IF(J165="events and names",6,IF(J165="flashbulb",7,IF(J165="stories",7,IF(J165="course material",7,IF(J165="autobiographical",7,IF(J165="novels",7,IF(J165="public events",7,"99"))))))))))))))))))))))))))))))))))))))))))))))</f>
        <v>2</v>
      </c>
      <c r="M165" s="69">
        <v>0</v>
      </c>
      <c r="N165" s="69">
        <v>3</v>
      </c>
      <c r="O165" s="69">
        <v>0</v>
      </c>
      <c r="P165" s="69"/>
      <c r="Q165" s="69" t="s">
        <v>65</v>
      </c>
      <c r="R165" s="69">
        <f>IF(Q165="Free Recall",1,IF(Q165="Cued Recall",2,IF(Q165="Recognition",3,IF(Q165="Multiple Choice",4,IF(Q165="Savings",5,IF(Q165="Stem Completion",6,IF(Q165="Fragment Completion",7,IF(Q165="anagram solution",8,IF(Q165="Matching",9,IF(Q165="Problem Solving",10,"99"))))))))))</f>
        <v>2</v>
      </c>
      <c r="S165" s="69" t="s">
        <v>15</v>
      </c>
      <c r="T165" s="69" t="s">
        <v>261</v>
      </c>
      <c r="U165" s="69">
        <f>IF(T165="within",1,0)</f>
        <v>0</v>
      </c>
      <c r="V165" s="69">
        <v>8</v>
      </c>
      <c r="W165" s="69">
        <f>F165*V165</f>
        <v>400</v>
      </c>
      <c r="X165" s="69">
        <v>5</v>
      </c>
      <c r="Y165" s="87">
        <f>AV164</f>
        <v>300</v>
      </c>
      <c r="Z165" s="69" t="s">
        <v>185</v>
      </c>
      <c r="AA165" s="69">
        <v>2628002.88</v>
      </c>
      <c r="AB165" s="69" t="str">
        <f>IF(AA165&lt;60,"1",IF(AA165&lt;=43200,"2",IF(AA165&lt;=777600,"3","4")))</f>
        <v>4</v>
      </c>
      <c r="AC165" s="72">
        <f>AVERAGE(AV164:DA164)</f>
        <v>657420</v>
      </c>
      <c r="AD165" s="69" t="str">
        <f>IF(AC165&lt;60,"1",IF(AC165&lt;=43200,"2",IF(AC165&lt;=777600,"3","4")))</f>
        <v>3</v>
      </c>
      <c r="AE165" s="87">
        <f>AA165-Y165</f>
        <v>2627702.88</v>
      </c>
      <c r="AF165" s="88">
        <f>AV165</f>
        <v>0.36249999999999999</v>
      </c>
      <c r="AG165" s="72">
        <f>((AW165-AV165)+(AX165-AW165)+(AY165-AX165)+(AZ165-AY165))/4</f>
        <v>-6.25E-2</v>
      </c>
      <c r="AH165" s="4"/>
      <c r="AI165" s="72">
        <f>RSQ(AV165:AZ165,AV164:AZ164)</f>
        <v>0.76071226605551423</v>
      </c>
      <c r="AJ165" s="110">
        <f>SLOPE(AV165:AZ165,AV164:AZ164)</f>
        <v>-7.0332125190043847E-8</v>
      </c>
      <c r="AK165" s="72">
        <f>INTERCEPT(AV165:AZ165,AV164:AZ164)</f>
        <v>0.28873774574243866</v>
      </c>
      <c r="AL165" s="72">
        <f>INDEX(LINEST(LN(AV165:AZ165),LN(AV164:AZ164),TRUE,TRUE),3,1)</f>
        <v>0.74457961368865933</v>
      </c>
      <c r="AM165" s="72">
        <f>INDEX(LINEST(LN(AV165:AZ165),LN(AV164:AZ164)),1)</f>
        <v>-0.10017691213249223</v>
      </c>
      <c r="AN165" s="72">
        <f>EXP(INDEX(LINEST(LN(AV165:AZ165),LN(AV164:AZ164)),1,2))</f>
        <v>0.66079355665019002</v>
      </c>
      <c r="AO165" s="89">
        <f>INDEX(LINEST((AV165:AZ165),LN(AV164:AZ164),TRUE,TRUE),3,1)</f>
        <v>0.84183925467245402</v>
      </c>
      <c r="AP165" s="89">
        <f>INDEX(LINEST((AV165:AZ165),LN(AV164:AZ164)),1)</f>
        <v>-2.2136396591228302E-2</v>
      </c>
      <c r="AQ165" s="90">
        <f>INDEX(LINEST(LN(AV165:AZ165),SQRT(AV164:AZ164),TRUE,TRUE),3,1)</f>
        <v>0.90908269596479974</v>
      </c>
      <c r="AR165" s="117">
        <f>INDEX(LINEST(LN(AV165:AZ165),SQRT((AV164:AZ164))),1)</f>
        <v>-6.1840844321196244E-4</v>
      </c>
      <c r="AS165" s="91">
        <f>INDEX(LINEST(1/(AV165:AZ165),1/(SQRT(AV164:AZ164)),TRUE,TRUE),3,1)</f>
        <v>0.33421395223980982</v>
      </c>
      <c r="AT165" s="91">
        <f>INDEX(LINEST(1/(AV165:AZ165),1/SQRT(AV164:AZ164)),1)</f>
        <v>-56.685452277463</v>
      </c>
      <c r="AU165" s="3"/>
      <c r="AV165" s="73">
        <f>2.9/8</f>
        <v>0.36249999999999999</v>
      </c>
      <c r="AW165" s="73">
        <f>2.1/8</f>
        <v>0.26250000000000001</v>
      </c>
      <c r="AX165" s="73">
        <f>2/8</f>
        <v>0.25</v>
      </c>
      <c r="AY165" s="73">
        <f>1.8/8</f>
        <v>0.22500000000000001</v>
      </c>
      <c r="AZ165" s="73">
        <f>0.9/8</f>
        <v>0.1125</v>
      </c>
      <c r="BA165" s="53"/>
      <c r="BB165" s="53"/>
      <c r="BC165" s="53"/>
      <c r="BD165" s="53"/>
      <c r="BE165" s="53"/>
      <c r="BF165" s="53"/>
      <c r="BG165" s="53"/>
      <c r="BH165" s="53"/>
      <c r="BI165" s="53"/>
      <c r="BJ165" s="53"/>
      <c r="BK165" s="53"/>
      <c r="BL165" s="53"/>
      <c r="BM165" s="53"/>
      <c r="BN165" s="53"/>
      <c r="BO165" s="53"/>
      <c r="BP165" s="53"/>
      <c r="BQ165" s="53"/>
      <c r="BR165" s="53"/>
      <c r="BS165" s="53"/>
      <c r="BT165" s="53"/>
      <c r="BU165" s="53"/>
      <c r="BV165" s="53"/>
      <c r="BW165" s="53"/>
      <c r="BX165" s="53"/>
      <c r="BY165" s="53"/>
      <c r="BZ165" s="53"/>
      <c r="CA165" s="53"/>
      <c r="CB165" s="53"/>
      <c r="CC165" s="53"/>
      <c r="CD165" s="53"/>
      <c r="CE165" s="53"/>
      <c r="CF165" s="53"/>
      <c r="CG165" s="53"/>
      <c r="CH165" s="53"/>
      <c r="CI165" s="53"/>
      <c r="CJ165" s="53"/>
      <c r="CK165" s="53"/>
      <c r="CL165" s="53"/>
      <c r="CM165" s="53"/>
      <c r="CN165" s="53"/>
      <c r="CO165" s="53"/>
      <c r="CP165" s="53"/>
      <c r="CQ165" s="53"/>
      <c r="CR165" s="1"/>
      <c r="CS165" s="1"/>
      <c r="CT165" s="1"/>
      <c r="CU165" s="1"/>
    </row>
    <row r="166" spans="1:99" ht="12" customHeight="1" x14ac:dyDescent="0.2">
      <c r="A166" s="65">
        <v>43648</v>
      </c>
      <c r="B166" s="15"/>
      <c r="C166" s="15"/>
      <c r="D166" s="59"/>
      <c r="E166" s="75"/>
      <c r="F166" s="59"/>
      <c r="G166" s="59"/>
      <c r="H166" s="59"/>
      <c r="I166" s="59"/>
      <c r="J166" s="59"/>
      <c r="M166" s="59"/>
      <c r="N166" s="59"/>
      <c r="O166" s="59"/>
      <c r="P166" s="59"/>
      <c r="Q166" s="59"/>
      <c r="R166" s="60"/>
      <c r="S166" s="59"/>
      <c r="T166" s="60"/>
      <c r="U166" s="60"/>
      <c r="V166" s="60"/>
      <c r="W166" s="60"/>
      <c r="X166" s="59"/>
      <c r="Y166" s="76"/>
      <c r="Z166" s="59"/>
      <c r="AA166" s="59"/>
      <c r="AB166" s="60"/>
      <c r="AC166" s="60"/>
      <c r="AD166" s="60"/>
      <c r="AE166" s="60"/>
      <c r="AF166" s="80"/>
      <c r="AG166" s="56"/>
      <c r="AH166" s="4"/>
      <c r="AI166" s="55"/>
      <c r="AJ166" s="111"/>
      <c r="AK166" s="55"/>
      <c r="AL166" s="55"/>
      <c r="AM166" s="55"/>
      <c r="AN166" s="55"/>
      <c r="AO166" s="55"/>
      <c r="AP166" s="55"/>
      <c r="AQ166" s="56"/>
      <c r="AR166" s="109"/>
      <c r="AS166" s="56"/>
      <c r="AT166" s="56"/>
      <c r="AU166" s="4"/>
      <c r="AV166" s="47">
        <f>20*60</f>
        <v>1200</v>
      </c>
      <c r="AW166" s="47">
        <f>1*7*(24*(3600))</f>
        <v>604800</v>
      </c>
      <c r="AX166" s="47">
        <f>4*7*(24*(3600))</f>
        <v>2419200</v>
      </c>
      <c r="AY166" s="47">
        <f>120*24*3600</f>
        <v>10368000</v>
      </c>
      <c r="AZ166" s="11"/>
      <c r="BA166" s="11"/>
      <c r="BB166" s="11"/>
      <c r="BC166" s="11"/>
      <c r="BD166" s="11"/>
      <c r="BE166" s="11"/>
      <c r="BF166" s="11"/>
      <c r="BG166" s="11"/>
      <c r="BH166" s="11"/>
      <c r="BI166" s="11"/>
      <c r="BJ166" s="11"/>
      <c r="BK166" s="11"/>
      <c r="BL166" s="11"/>
      <c r="BM166" s="11"/>
      <c r="BN166" s="11"/>
      <c r="BO166" s="11"/>
      <c r="BP166" s="11"/>
      <c r="BQ166" s="11"/>
      <c r="BR166" s="11"/>
      <c r="BS166" s="11"/>
      <c r="BT166" s="11"/>
      <c r="BU166" s="11"/>
      <c r="BV166" s="11"/>
      <c r="BW166" s="11"/>
      <c r="BX166" s="11"/>
      <c r="BY166" s="11"/>
      <c r="BZ166" s="11"/>
      <c r="CA166" s="11"/>
      <c r="CB166" s="11"/>
      <c r="CC166" s="11"/>
      <c r="CD166" s="11"/>
      <c r="CE166" s="11"/>
      <c r="CF166" s="11"/>
      <c r="CG166" s="11"/>
      <c r="CH166" s="11"/>
      <c r="CI166" s="11"/>
      <c r="CJ166" s="11"/>
      <c r="CK166" s="11"/>
      <c r="CL166" s="11"/>
      <c r="CM166" s="11"/>
      <c r="CN166" s="11"/>
      <c r="CO166" s="11"/>
      <c r="CP166" s="11"/>
      <c r="CQ166" s="11"/>
      <c r="CR166" s="15"/>
      <c r="CS166" s="15"/>
      <c r="CT166" s="15"/>
      <c r="CU166" s="15"/>
    </row>
    <row r="167" spans="1:99" ht="12" customHeight="1" x14ac:dyDescent="0.2">
      <c r="A167" s="65">
        <v>43648</v>
      </c>
      <c r="B167" s="15" t="s">
        <v>306</v>
      </c>
      <c r="C167" s="15" t="s">
        <v>308</v>
      </c>
      <c r="D167" s="59">
        <v>1978</v>
      </c>
      <c r="E167" s="76">
        <v>1</v>
      </c>
      <c r="F167" s="59">
        <v>60</v>
      </c>
      <c r="G167" s="59">
        <v>15</v>
      </c>
      <c r="H167" s="59" t="s">
        <v>41</v>
      </c>
      <c r="I167" s="59" t="s">
        <v>313</v>
      </c>
      <c r="J167" s="59" t="s">
        <v>313</v>
      </c>
      <c r="K167" s="60">
        <f>IF(J167="syllables",1,IF(J167="trigrams",2,IF(J167="strings",3,IF(J167="visual array",4,IF(J167="characters",5,IF(J167="letters",6,IF(J167="free forms",7,IF(J167="odors",8,IF(J167="words",9,IF(J167="pictures",10,IF(J167="object pictures",11,IF(J167="faces",12,IF(J167="names",13,IF(J167="idioms",14,IF(J167="grades",15,IF(J167="syllable-digit pairs",16,IF(J167="trigram-word pairs",17,IF(J167="word-digit pairs",18,IF(J167="English-Swahili pairs",19,IF(J167="spatial position",20,IF(J167="word pairs",21,IF(J167="word triads",22,IF(J167="generated words",23,IF(J167="word definition pairs",24,IF(J167="math problems",25,IF(J167="famous faces",26,IF(J167="famous names",27,IF(J167="famous voices",28,IF(J167="television programs",29,IF(J167="race horses",30,IF(J167="new vocabulary",31,IF(J167="sentences",32,IF(J167="concepts",33,IF(J167="ad slides",34,IF(J167="scenes",35,IF(J167="famous scenes",36,IF(J167="poems",37,IF(J167="walk",38,IF(J167="faces and events",39,IF(J167="events and names",40,IF(J167="flashbulb",41,IF(J167="stories",42,IF(J167="course material",43,IF(J167="autobiographical",44,IF(J167="novels",45,IF(J167="public events",46,"99"))))))))))))))))))))))))))))))))))))))))))))))</f>
        <v>10</v>
      </c>
      <c r="L167" s="60">
        <f>IF(J167="syllables",1,IF(J167="trigrams",1,IF(J167="strings",1,IF(J167="visual array",1,IF(J167="characters",1,IF(J167="letters",1,IF(J167="free forms",1,IF(J167="odors",2,IF(J167="words",2,IF(J167="pictures",2,IF(J167="object pictures",2,IF(J167="faces",2,IF(J167="names",2,IF(J167="idioms","2",IF(J167="grades",2,IF(J167="syllable-digit pairs",3,IF(J167="trigram-word pairs",3,IF(J167="word-digit pairs",3,IF(J167="English-Swahili pairs",3,IF(J167="spatial position",3,IF(J167="word pairs",4,IF(J167="word triads",4,IF(J167="generated words",4,IF(J167="word definition pairs",4,IF(J167="math problems",4,IF(J167="famous faces",4,IF(J167="famous names",4,IF(J167="famous voices",4,IF(J167="television programs",4,IF(J167="race horses",4,IF(J167="new vocabulary",4,IF(J167="sentences",5,IF(J167="concepts",5,IF(J167="ad slides",5,IF(J167="scenes",5,IF(J167="famous scenes",5,IF(J167="poems",6,IF(J167="walk",6,IF(J167="faces and events",6,IF(J167="events and names",6,IF(J167="flashbulb",7,IF(J167="stories",7,IF(J167="course material",7,IF(J167="autobiographical",7,IF(J167="novels",7,IF(J167="public events",7,"99"))))))))))))))))))))))))))))))))))))))))))))))</f>
        <v>2</v>
      </c>
      <c r="M167" s="59">
        <v>0</v>
      </c>
      <c r="N167" s="59">
        <v>1</v>
      </c>
      <c r="O167" s="59">
        <v>0</v>
      </c>
      <c r="P167" s="59"/>
      <c r="Q167" s="59" t="s">
        <v>315</v>
      </c>
      <c r="R167" s="60">
        <f>IF(Q167="Free Recall",1,IF(Q167="Cued Recall",2,IF(Q167="Recognition",3,IF(Q167="Multiple Choice",4,IF(Q167="Savings",5,IF(Q167="Stem Completion",6,IF(Q167="Fragment Completion",7,IF(Q167="anagram solution",8,IF(Q167="Matching",9,IF(Q167="Problem Solving",10,"99"))))))))))</f>
        <v>3</v>
      </c>
      <c r="S167" s="59" t="s">
        <v>15</v>
      </c>
      <c r="T167" s="60" t="s">
        <v>261</v>
      </c>
      <c r="U167" s="60">
        <f>IF(T167="within",1,0)</f>
        <v>0</v>
      </c>
      <c r="V167" s="60">
        <v>24</v>
      </c>
      <c r="W167" s="60">
        <f>F167*V167</f>
        <v>1440</v>
      </c>
      <c r="X167" s="59">
        <v>4</v>
      </c>
      <c r="Y167" s="76">
        <f>AV166</f>
        <v>1200</v>
      </c>
      <c r="Z167" s="59" t="s">
        <v>316</v>
      </c>
      <c r="AA167" s="59">
        <f>120*24*3600</f>
        <v>10368000</v>
      </c>
      <c r="AB167" s="60" t="str">
        <f>IF(AA167&lt;60,"1",IF(AA167&lt;=43200,"2",IF(AA167&lt;=777600,"3","4")))</f>
        <v>4</v>
      </c>
      <c r="AC167" s="56">
        <f>AVERAGE(AV166:DA166)</f>
        <v>3348300</v>
      </c>
      <c r="AD167" s="60" t="str">
        <f>IF(AC167&lt;60,"1",IF(AC167&lt;=43200,"2",IF(AC167&lt;=777600,"3","4")))</f>
        <v>4</v>
      </c>
      <c r="AE167" s="76">
        <f>AA167-Y167</f>
        <v>10366800</v>
      </c>
      <c r="AF167" s="80">
        <f>AV167</f>
        <v>1</v>
      </c>
      <c r="AG167" s="56">
        <f>((AW167-AV167)+(AX167-AW167)+(AY167-AX167))/3</f>
        <v>-6.3333333333333311E-2</v>
      </c>
      <c r="AH167" s="4"/>
      <c r="AI167" s="56">
        <f>RSQ(AV167:AY167,AV166:AY166)</f>
        <v>0.99400448935237706</v>
      </c>
      <c r="AJ167" s="109">
        <f>SLOPE(AV167:AY167,AV166:AY166)</f>
        <v>-1.8563209848985685E-8</v>
      </c>
      <c r="AK167" s="56">
        <f>INTERCEPT(AV167:AY167,AV166:AY166)</f>
        <v>1.0046551955373588</v>
      </c>
      <c r="AL167" s="56">
        <f>INDEX(LINEST(LN(AV167:AY167),LN(AV166:AY166),TRUE,TRUE),3,1)</f>
        <v>0.41495166724546584</v>
      </c>
      <c r="AM167" s="56">
        <f>INDEX(LINEST(LN(AV167:AY167),LN(AV166:AY166)),1)</f>
        <v>-1.6057300874033925E-2</v>
      </c>
      <c r="AN167" s="56">
        <f>EXP(INDEX(LINEST(LN(AV167:AY167),LN(AV166:AY166)),1,2))</f>
        <v>1.1536724129802147</v>
      </c>
      <c r="AO167" s="82">
        <f>INDEX(LINEST((AV167:AY167),LN(AV166:AY166),TRUE,TRUE),3,1)</f>
        <v>0.42538824084025983</v>
      </c>
      <c r="AP167" s="82">
        <f>INDEX(LINEST((AV167:AY167),LN(AV166:AY166)),1)</f>
        <v>-1.4588291993186713E-2</v>
      </c>
      <c r="AQ167" s="83">
        <f>INDEX(LINEST(LN(AV167:AY167),SQRT(AV166:AY166),TRUE,TRUE),3,1)</f>
        <v>0.8841648580836855</v>
      </c>
      <c r="AR167" s="116">
        <f>INDEX(LINEST(LN(AV167:AY167),SQRT((AV166:AY166))),1)</f>
        <v>-6.8498607924500298E-5</v>
      </c>
      <c r="AS167" s="84">
        <f>INDEX(LINEST(1/(AV167:AY167),1/(SQRT(AV166:AY166)),TRUE,TRUE),3,1)</f>
        <v>0.1885533773729467</v>
      </c>
      <c r="AT167" s="84">
        <f>INDEX(LINEST(1/(AV167:AY167),1/SQRT(AV166:AY166)),1)</f>
        <v>-3.4325477461966125</v>
      </c>
      <c r="AU167" s="4"/>
      <c r="AV167" s="142">
        <v>1</v>
      </c>
      <c r="AW167" s="142">
        <v>0.99</v>
      </c>
      <c r="AX167" s="142">
        <v>0.97</v>
      </c>
      <c r="AY167" s="11">
        <v>0.81</v>
      </c>
      <c r="AZ167" s="11"/>
      <c r="BA167" s="11"/>
      <c r="BB167" s="11"/>
      <c r="BC167" s="11"/>
      <c r="BD167" s="11"/>
      <c r="BE167" s="11"/>
      <c r="BF167" s="11"/>
      <c r="BG167" s="11"/>
      <c r="BH167" s="11"/>
      <c r="BI167" s="11"/>
      <c r="BJ167" s="11"/>
      <c r="BK167" s="11"/>
      <c r="BL167" s="11"/>
      <c r="BM167" s="11"/>
      <c r="BN167" s="11"/>
      <c r="BO167" s="11"/>
      <c r="BP167" s="11"/>
      <c r="BQ167" s="11"/>
      <c r="BR167" s="11"/>
      <c r="BS167" s="11"/>
      <c r="BT167" s="11"/>
      <c r="BU167" s="11"/>
      <c r="BV167" s="11"/>
      <c r="BW167" s="11"/>
      <c r="BX167" s="11"/>
      <c r="BY167" s="11"/>
      <c r="BZ167" s="11"/>
      <c r="CA167" s="11"/>
      <c r="CB167" s="11"/>
      <c r="CC167" s="11"/>
      <c r="CD167" s="11"/>
      <c r="CE167" s="11"/>
      <c r="CF167" s="11"/>
      <c r="CG167" s="11"/>
      <c r="CH167" s="11"/>
      <c r="CI167" s="11"/>
      <c r="CJ167" s="11"/>
      <c r="CK167" s="11"/>
      <c r="CL167" s="11"/>
      <c r="CM167" s="11"/>
      <c r="CN167" s="11"/>
      <c r="CO167" s="11"/>
      <c r="CP167" s="11"/>
      <c r="CQ167" s="11"/>
      <c r="CR167" s="15"/>
      <c r="CS167" s="15"/>
      <c r="CT167" s="15"/>
      <c r="CU167" s="15"/>
    </row>
    <row r="168" spans="1:99" ht="12" customHeight="1" x14ac:dyDescent="0.2">
      <c r="A168" s="65">
        <v>43648</v>
      </c>
      <c r="B168" s="15"/>
      <c r="C168" s="15"/>
      <c r="D168" s="59"/>
      <c r="E168" s="75"/>
      <c r="F168" s="59"/>
      <c r="G168" s="59"/>
      <c r="H168" s="59"/>
      <c r="I168" s="59"/>
      <c r="J168" s="59"/>
      <c r="M168" s="59"/>
      <c r="N168" s="59"/>
      <c r="O168" s="59"/>
      <c r="P168" s="59"/>
      <c r="Q168" s="59"/>
      <c r="R168" s="60"/>
      <c r="S168" s="59"/>
      <c r="T168" s="59"/>
      <c r="U168" s="60"/>
      <c r="V168" s="59"/>
      <c r="W168" s="60"/>
      <c r="X168" s="59"/>
      <c r="Y168" s="76"/>
      <c r="Z168" s="59"/>
      <c r="AA168" s="59"/>
      <c r="AB168" s="60"/>
      <c r="AC168" s="60"/>
      <c r="AD168" s="60"/>
      <c r="AE168" s="60"/>
      <c r="AF168" s="80"/>
      <c r="AG168" s="56"/>
      <c r="AH168" s="4"/>
      <c r="AI168" s="55"/>
      <c r="AJ168" s="111"/>
      <c r="AK168" s="55"/>
      <c r="AL168" s="55"/>
      <c r="AM168" s="55"/>
      <c r="AN168" s="55"/>
      <c r="AO168" s="55"/>
      <c r="AP168" s="55"/>
      <c r="AQ168" s="56"/>
      <c r="AR168" s="109"/>
      <c r="AS168" s="56"/>
      <c r="AT168" s="56"/>
      <c r="AU168" s="4"/>
      <c r="AV168" s="47">
        <f>20*60</f>
        <v>1200</v>
      </c>
      <c r="AW168" s="47">
        <f>1*7*(24*(3600))</f>
        <v>604800</v>
      </c>
      <c r="AX168" s="47">
        <f>4*7*(24*(3600))</f>
        <v>2419200</v>
      </c>
      <c r="AY168" s="47">
        <f>120*24*3600</f>
        <v>10368000</v>
      </c>
      <c r="AZ168" s="11"/>
      <c r="BA168" s="11"/>
      <c r="BB168" s="11"/>
      <c r="BC168" s="11"/>
      <c r="BD168" s="11"/>
      <c r="BE168" s="11"/>
      <c r="BF168" s="11"/>
      <c r="BG168" s="11"/>
      <c r="BH168" s="11"/>
      <c r="BI168" s="11"/>
      <c r="BJ168" s="11"/>
      <c r="BK168" s="11"/>
      <c r="BL168" s="11"/>
      <c r="BM168" s="11"/>
      <c r="BN168" s="11"/>
      <c r="BO168" s="11"/>
      <c r="BP168" s="11"/>
      <c r="BQ168" s="11"/>
      <c r="BR168" s="11"/>
      <c r="BS168" s="11"/>
      <c r="BT168" s="11"/>
      <c r="BU168" s="11"/>
      <c r="BV168" s="11"/>
      <c r="BW168" s="11"/>
      <c r="BX168" s="11"/>
      <c r="BY168" s="11"/>
      <c r="BZ168" s="11"/>
      <c r="CA168" s="11"/>
      <c r="CB168" s="11"/>
      <c r="CC168" s="11"/>
      <c r="CD168" s="11"/>
      <c r="CE168" s="11"/>
      <c r="CF168" s="11"/>
      <c r="CG168" s="11"/>
      <c r="CH168" s="11"/>
      <c r="CI168" s="11"/>
      <c r="CJ168" s="11"/>
      <c r="CK168" s="11"/>
      <c r="CL168" s="11"/>
      <c r="CM168" s="11"/>
      <c r="CN168" s="11"/>
      <c r="CO168" s="11"/>
      <c r="CP168" s="11"/>
      <c r="CQ168" s="11"/>
      <c r="CR168" s="15"/>
      <c r="CS168" s="15"/>
      <c r="CT168" s="15"/>
      <c r="CU168" s="15"/>
    </row>
    <row r="169" spans="1:99" ht="12" customHeight="1" x14ac:dyDescent="0.2">
      <c r="A169" s="65">
        <v>43648</v>
      </c>
      <c r="B169" s="15" t="s">
        <v>306</v>
      </c>
      <c r="C169" s="15" t="s">
        <v>308</v>
      </c>
      <c r="D169" s="59">
        <v>1978</v>
      </c>
      <c r="E169" s="76">
        <v>1</v>
      </c>
      <c r="F169" s="59">
        <v>60</v>
      </c>
      <c r="G169" s="59">
        <v>15</v>
      </c>
      <c r="H169" s="59" t="s">
        <v>41</v>
      </c>
      <c r="I169" s="59" t="s">
        <v>309</v>
      </c>
      <c r="J169" s="59" t="s">
        <v>309</v>
      </c>
      <c r="K169" s="60">
        <f>IF(J169="syllables",1,IF(J169="trigrams",2,IF(J169="strings",3,IF(J169="visual array",4,IF(J169="characters",5,IF(J169="letters",6,IF(J169="free forms",7,IF(J169="odors",8,IF(J169="words",9,IF(J169="pictures",10,IF(J169="object pictures",11,IF(J169="faces",12,IF(J169="names",13,IF(J169="idioms",14,IF(J169="grades",15,IF(J169="syllable-digit pairs",16,IF(J169="trigram-word pairs",17,IF(J169="word-digit pairs",18,IF(J169="English-Swahili pairs",19,IF(J169="spatial position",20,IF(J169="word pairs",21,IF(J169="word triads",22,IF(J169="generated words",23,IF(J169="word definition pairs",24,IF(J169="math problems",25,IF(J169="famous faces",26,IF(J169="famous names",27,IF(J169="famous voices",28,IF(J169="television programs",29,IF(J169="race horses",30,IF(J169="new vocabulary",31,IF(J169="sentences",32,IF(J169="concepts",33,IF(J169="ad slides",34,IF(J169="scenes",35,IF(J169="famous scenes",36,IF(J169="poems",37,IF(J169="walk",38,IF(J169="faces and events",39,IF(J169="events and names",40,IF(J169="flashbulb",41,IF(J169="stories",42,IF(J169="course material",43,IF(J169="autobiographical",44,IF(J169="novels",45,IF(J169="public events",46,"99"))))))))))))))))))))))))))))))))))))))))))))))</f>
        <v>8</v>
      </c>
      <c r="L169" s="60">
        <f>IF(J169="syllables",1,IF(J169="trigrams",1,IF(J169="strings",1,IF(J169="visual array",1,IF(J169="characters",1,IF(J169="letters",1,IF(J169="free forms",1,IF(J169="odors",2,IF(J169="words",2,IF(J169="pictures",2,IF(J169="object pictures",2,IF(J169="faces",2,IF(J169="names",2,IF(J169="idioms","2",IF(J169="grades",2,IF(J169="syllable-digit pairs",3,IF(J169="trigram-word pairs",3,IF(J169="word-digit pairs",3,IF(J169="English-Swahili pairs",3,IF(J169="spatial position",3,IF(J169="word pairs",4,IF(J169="word triads",4,IF(J169="generated words",4,IF(J169="word definition pairs",4,IF(J169="math problems",4,IF(J169="famous faces",4,IF(J169="famous names",4,IF(J169="famous voices",4,IF(J169="television programs",4,IF(J169="race horses",4,IF(J169="new vocabulary",4,IF(J169="sentences",5,IF(J169="concepts",5,IF(J169="ad slides",5,IF(J169="scenes",5,IF(J169="famous scenes",5,IF(J169="poems",6,IF(J169="walk",6,IF(J169="faces and events",6,IF(J169="events and names",6,IF(J169="flashbulb",7,IF(J169="stories",7,IF(J169="course material",7,IF(J169="autobiographical",7,IF(J169="novels",7,IF(J169="public events",7,"99"))))))))))))))))))))))))))))))))))))))))))))))</f>
        <v>2</v>
      </c>
      <c r="M169" s="59">
        <v>0</v>
      </c>
      <c r="N169" s="59">
        <v>1</v>
      </c>
      <c r="O169" s="59">
        <v>0</v>
      </c>
      <c r="P169" s="59"/>
      <c r="Q169" s="59" t="s">
        <v>315</v>
      </c>
      <c r="R169" s="60">
        <f>IF(Q169="Free Recall",1,IF(Q169="Cued Recall",2,IF(Q169="Recognition",3,IF(Q169="Multiple Choice",4,IF(Q169="Savings",5,IF(Q169="Stem Completion",6,IF(Q169="Fragment Completion",7,IF(Q169="anagram solution",8,IF(Q169="Matching",9,IF(Q169="Problem Solving",10,"99"))))))))))</f>
        <v>3</v>
      </c>
      <c r="S169" s="59" t="s">
        <v>15</v>
      </c>
      <c r="T169" s="60" t="s">
        <v>261</v>
      </c>
      <c r="U169" s="60">
        <f>IF(T169="within",1,0)</f>
        <v>0</v>
      </c>
      <c r="V169" s="60">
        <v>24</v>
      </c>
      <c r="W169" s="60">
        <f>F169*V169</f>
        <v>1440</v>
      </c>
      <c r="X169" s="59">
        <v>4</v>
      </c>
      <c r="Y169" s="76">
        <f>AV168</f>
        <v>1200</v>
      </c>
      <c r="Z169" s="59" t="s">
        <v>316</v>
      </c>
      <c r="AA169" s="59">
        <f>120*24*3600</f>
        <v>10368000</v>
      </c>
      <c r="AB169" s="60" t="str">
        <f>IF(AA169&lt;60,"1",IF(AA169&lt;=43200,"2",IF(AA169&lt;=777600,"3","4")))</f>
        <v>4</v>
      </c>
      <c r="AC169" s="56">
        <f>AVERAGE(AV168:DA168)</f>
        <v>3348300</v>
      </c>
      <c r="AD169" s="60" t="str">
        <f>IF(AC169&lt;60,"1",IF(AC169&lt;=43200,"2",IF(AC169&lt;=777600,"3","4")))</f>
        <v>4</v>
      </c>
      <c r="AE169" s="76">
        <f>AA169-Y169</f>
        <v>10366800</v>
      </c>
      <c r="AF169" s="80">
        <f>AV169</f>
        <v>0.91</v>
      </c>
      <c r="AG169" s="56">
        <f>((AW169-AV169)+(AX169-AW169)+(AY169-AX169))/3</f>
        <v>-6.3333333333333353E-2</v>
      </c>
      <c r="AH169" s="4"/>
      <c r="AI169" s="56">
        <f>RSQ(AV169:AY169,AV168:AY168)</f>
        <v>0.69358586191880423</v>
      </c>
      <c r="AJ169" s="109">
        <f>SLOPE(AV169:AY169,AV168:AY168)</f>
        <v>-1.4952500111284735E-8</v>
      </c>
      <c r="AK169" s="56">
        <f>INTERCEPT(AV169:AY169,AV168:AY168)</f>
        <v>0.86006545612261476</v>
      </c>
      <c r="AL169" s="56">
        <f>INDEX(LINEST(LN(AV169:AY169),LN(AV168:AY168),TRUE,TRUE),3,1)</f>
        <v>0.82977428463246061</v>
      </c>
      <c r="AM169" s="56">
        <f>INDEX(LINEST(LN(AV169:AY169),LN(AV168:AY168)),1)</f>
        <v>-2.4219616948029557E-2</v>
      </c>
      <c r="AN169" s="56">
        <f>EXP(INDEX(LINEST(LN(AV169:AY169),LN(AV168:AY168)),1,2))</f>
        <v>1.1001065172153568</v>
      </c>
      <c r="AO169" s="82">
        <f>INDEX(LINEST((AV169:AY169),LN(AV168:AY168),TRUE,TRUE),3,1)</f>
        <v>0.84706278549707237</v>
      </c>
      <c r="AP169" s="82">
        <f>INDEX(LINEST((AV169:AY169),LN(AV168:AY168)),1)</f>
        <v>-1.9850630493030902E-2</v>
      </c>
      <c r="AQ169" s="83">
        <f>INDEX(LINEST(LN(AV169:AY169),SQRT(AV168:AY168),TRUE,TRUE),3,1)</f>
        <v>0.90592233272490141</v>
      </c>
      <c r="AR169" s="116">
        <f>INDEX(LINEST(LN(AV169:AY169),SQRT((AV168:AY168))),1)</f>
        <v>-7.3956116868037594E-5</v>
      </c>
      <c r="AS169" s="84">
        <f>INDEX(LINEST(1/(AV169:AY169),1/(SQRT(AV168:AY168)),TRUE,TRUE),3,1)</f>
        <v>0.57851721266373402</v>
      </c>
      <c r="AT169" s="84">
        <f>INDEX(LINEST(1/(AV169:AY169),1/SQRT(AV168:AY168)),1)</f>
        <v>-7.1022769570531965</v>
      </c>
      <c r="AU169" s="4"/>
      <c r="AV169" s="11">
        <v>0.91</v>
      </c>
      <c r="AW169" s="11">
        <v>0.85</v>
      </c>
      <c r="AX169" s="11">
        <v>0.76</v>
      </c>
      <c r="AY169" s="11">
        <v>0.72</v>
      </c>
      <c r="AZ169" s="11"/>
      <c r="BA169" s="11"/>
      <c r="BB169" s="11"/>
      <c r="BC169" s="11"/>
      <c r="BD169" s="11"/>
      <c r="BE169" s="11"/>
      <c r="BF169" s="11"/>
      <c r="BG169" s="11"/>
      <c r="BH169" s="11"/>
      <c r="BI169" s="11"/>
      <c r="BJ169" s="11"/>
      <c r="BK169" s="11"/>
      <c r="BL169" s="11"/>
      <c r="BM169" s="11"/>
      <c r="BN169" s="11"/>
      <c r="BO169" s="11"/>
      <c r="BP169" s="11"/>
      <c r="BQ169" s="11"/>
      <c r="BR169" s="11"/>
      <c r="BS169" s="11"/>
      <c r="BT169" s="11"/>
      <c r="BU169" s="11"/>
      <c r="BV169" s="11"/>
      <c r="BW169" s="11"/>
      <c r="BX169" s="11"/>
      <c r="BY169" s="11"/>
      <c r="BZ169" s="11"/>
      <c r="CA169" s="11"/>
      <c r="CB169" s="11"/>
      <c r="CC169" s="11"/>
      <c r="CD169" s="11"/>
      <c r="CE169" s="11"/>
      <c r="CF169" s="11"/>
      <c r="CG169" s="11"/>
      <c r="CH169" s="11"/>
      <c r="CI169" s="11"/>
      <c r="CJ169" s="11"/>
      <c r="CK169" s="11"/>
      <c r="CL169" s="11"/>
      <c r="CM169" s="11"/>
      <c r="CN169" s="11"/>
      <c r="CO169" s="11"/>
      <c r="CP169" s="11"/>
      <c r="CQ169" s="11"/>
      <c r="CR169" s="15"/>
      <c r="CS169" s="15"/>
      <c r="CT169" s="15"/>
      <c r="CU169" s="15"/>
    </row>
    <row r="170" spans="1:99" ht="12" customHeight="1" x14ac:dyDescent="0.2">
      <c r="A170" s="65">
        <v>43648</v>
      </c>
      <c r="B170" s="15"/>
      <c r="C170" s="15"/>
      <c r="D170" s="59"/>
      <c r="E170" s="75"/>
      <c r="F170" s="59"/>
      <c r="G170" s="59"/>
      <c r="H170" s="59"/>
      <c r="I170" s="59"/>
      <c r="J170" s="59"/>
      <c r="M170" s="59"/>
      <c r="N170" s="59"/>
      <c r="O170" s="59"/>
      <c r="P170" s="59"/>
      <c r="Q170" s="59"/>
      <c r="R170" s="60"/>
      <c r="S170" s="59"/>
      <c r="T170" s="60"/>
      <c r="U170" s="60"/>
      <c r="V170" s="60"/>
      <c r="W170" s="60"/>
      <c r="X170" s="59"/>
      <c r="Y170" s="76"/>
      <c r="Z170" s="59"/>
      <c r="AA170" s="59"/>
      <c r="AB170" s="60"/>
      <c r="AC170" s="60"/>
      <c r="AD170" s="60"/>
      <c r="AE170" s="60"/>
      <c r="AF170" s="80"/>
      <c r="AG170" s="56"/>
      <c r="AH170" s="4"/>
      <c r="AI170" s="55"/>
      <c r="AJ170" s="111"/>
      <c r="AK170" s="55"/>
      <c r="AL170" s="55"/>
      <c r="AM170" s="55"/>
      <c r="AN170" s="55"/>
      <c r="AO170" s="55"/>
      <c r="AP170" s="55"/>
      <c r="AQ170" s="56"/>
      <c r="AR170" s="109"/>
      <c r="AS170" s="56"/>
      <c r="AT170" s="56"/>
      <c r="AU170" s="4"/>
      <c r="AV170" s="47">
        <f>20*60</f>
        <v>1200</v>
      </c>
      <c r="AW170" s="47">
        <f>1*7*(24*(3600))</f>
        <v>604800</v>
      </c>
      <c r="AX170" s="47">
        <f>4*7*(24*(3600))</f>
        <v>2419200</v>
      </c>
      <c r="AY170" s="47">
        <f>120*24*3600</f>
        <v>10368000</v>
      </c>
      <c r="AZ170" s="11"/>
      <c r="BA170" s="11"/>
      <c r="BB170" s="11"/>
      <c r="BC170" s="11"/>
      <c r="BD170" s="11"/>
      <c r="BE170" s="11"/>
      <c r="BF170" s="11"/>
      <c r="BG170" s="11"/>
      <c r="BH170" s="11"/>
      <c r="BI170" s="11"/>
      <c r="BJ170" s="11"/>
      <c r="BK170" s="11"/>
      <c r="BL170" s="11"/>
      <c r="BM170" s="11"/>
      <c r="BN170" s="11"/>
      <c r="BO170" s="11"/>
      <c r="BP170" s="11"/>
      <c r="BQ170" s="11"/>
      <c r="BR170" s="11"/>
      <c r="BS170" s="11"/>
      <c r="BT170" s="11"/>
      <c r="BU170" s="11"/>
      <c r="BV170" s="11"/>
      <c r="BW170" s="11"/>
      <c r="BX170" s="11"/>
      <c r="BY170" s="11"/>
      <c r="BZ170" s="11"/>
      <c r="CA170" s="11"/>
      <c r="CB170" s="11"/>
      <c r="CC170" s="11"/>
      <c r="CD170" s="11"/>
      <c r="CE170" s="11"/>
      <c r="CF170" s="11"/>
      <c r="CG170" s="11"/>
      <c r="CH170" s="11"/>
      <c r="CI170" s="11"/>
      <c r="CJ170" s="11"/>
      <c r="CK170" s="11"/>
      <c r="CL170" s="11"/>
      <c r="CM170" s="11"/>
      <c r="CN170" s="11"/>
      <c r="CO170" s="11"/>
      <c r="CP170" s="11"/>
      <c r="CQ170" s="11"/>
      <c r="CR170" s="15"/>
      <c r="CS170" s="15"/>
      <c r="CT170" s="15"/>
      <c r="CU170" s="15"/>
    </row>
    <row r="171" spans="1:99" ht="12" customHeight="1" x14ac:dyDescent="0.2">
      <c r="A171" s="65">
        <v>43648</v>
      </c>
      <c r="B171" s="15" t="s">
        <v>306</v>
      </c>
      <c r="C171" s="15" t="s">
        <v>308</v>
      </c>
      <c r="D171" s="59">
        <v>1978</v>
      </c>
      <c r="E171" s="76">
        <v>1</v>
      </c>
      <c r="F171" s="59">
        <v>60</v>
      </c>
      <c r="G171" s="59">
        <v>15</v>
      </c>
      <c r="H171" s="59" t="s">
        <v>41</v>
      </c>
      <c r="I171" s="59" t="s">
        <v>317</v>
      </c>
      <c r="J171" s="59" t="s">
        <v>317</v>
      </c>
      <c r="K171" s="60">
        <f>IF(J171="syllables",1,IF(J171="trigrams",2,IF(J171="strings",3,IF(J171="visual array",4,IF(J171="characters",5,IF(J171="letters",6,IF(J171="free forms",7,IF(J171="odors",8,IF(J171="words",9,IF(J171="pictures",10,IF(J171="object pictures",11,IF(J171="faces",12,IF(J171="names",13,IF(J171="idioms",14,IF(J171="grades",15,IF(J171="syllable-digit pairs",16,IF(J171="trigram-word pairs",17,IF(J171="word-digit pairs",18,IF(J171="English-Swahili pairs",19,IF(J171="spatial position",20,IF(J171="word pairs",21,IF(J171="word triads",22,IF(J171="generated words",23,IF(J171="word definition pairs",24,IF(J171="math problems",25,IF(J171="famous faces",26,IF(J171="famous names",27,IF(J171="famous voices",28,IF(J171="television programs",29,IF(J171="race horses",30,IF(J171="new vocabulary",31,IF(J171="sentences",32,IF(J171="concepts",33,IF(J171="ad slides",34,IF(J171="scenes",35,IF(J171="famous scenes",36,IF(J171="poems",37,IF(J171="walk",38,IF(J171="faces and events",39,IF(J171="events and names",40,IF(J171="flashbulb",41,IF(J171="stories",42,IF(J171="course material",43,IF(J171="autobiographical",44,IF(J171="novels",45,IF(J171="public events",46,"99"))))))))))))))))))))))))))))))))))))))))))))))</f>
        <v>7</v>
      </c>
      <c r="L171" s="60">
        <f>IF(J171="syllables",1,IF(J171="trigrams",1,IF(J171="strings",1,IF(J171="visual array",1,IF(J171="characters",1,IF(J171="letters",1,IF(J171="free forms",1,IF(J171="odors",2,IF(J171="words",2,IF(J171="pictures",2,IF(J171="object pictures",2,IF(J171="faces",2,IF(J171="names",2,IF(J171="idioms","2",IF(J171="grades",2,IF(J171="syllable-digit pairs",3,IF(J171="trigram-word pairs",3,IF(J171="word-digit pairs",3,IF(J171="English-Swahili pairs",3,IF(J171="spatial position",3,IF(J171="word pairs",4,IF(J171="word triads",4,IF(J171="generated words",4,IF(J171="word definition pairs",4,IF(J171="math problems",4,IF(J171="famous faces",4,IF(J171="famous names",4,IF(J171="famous voices",4,IF(J171="television programs",4,IF(J171="race horses",4,IF(J171="new vocabulary",4,IF(J171="sentences",5,IF(J171="concepts",5,IF(J171="ad slides",5,IF(J171="scenes",5,IF(J171="famous scenes",5,IF(J171="poems",6,IF(J171="walk",6,IF(J171="faces and events",6,IF(J171="events and names",6,IF(J171="flashbulb",7,IF(J171="stories",7,IF(J171="course material",7,IF(J171="autobiographical",7,IF(J171="novels",7,IF(J171="public events",7,"99"))))))))))))))))))))))))))))))))))))))))))))))</f>
        <v>1</v>
      </c>
      <c r="M171" s="59">
        <v>0</v>
      </c>
      <c r="N171" s="59">
        <v>1</v>
      </c>
      <c r="O171" s="59">
        <v>0</v>
      </c>
      <c r="P171" s="59"/>
      <c r="Q171" s="59" t="s">
        <v>315</v>
      </c>
      <c r="R171" s="60">
        <f>IF(Q171="Free Recall",1,IF(Q171="Cued Recall",2,IF(Q171="Recognition",3,IF(Q171="Multiple Choice",4,IF(Q171="Savings",5,IF(Q171="Stem Completion",6,IF(Q171="Fragment Completion",7,IF(Q171="anagram solution",8,IF(Q171="Matching",9,IF(Q171="Problem Solving",10,"99"))))))))))</f>
        <v>3</v>
      </c>
      <c r="S171" s="59" t="s">
        <v>15</v>
      </c>
      <c r="T171" s="60" t="s">
        <v>261</v>
      </c>
      <c r="U171" s="60">
        <f>IF(T171="within",1,0)</f>
        <v>0</v>
      </c>
      <c r="V171" s="60">
        <v>24</v>
      </c>
      <c r="W171" s="60">
        <f>F171*V171</f>
        <v>1440</v>
      </c>
      <c r="X171" s="59">
        <v>4</v>
      </c>
      <c r="Y171" s="76">
        <f>AV170</f>
        <v>1200</v>
      </c>
      <c r="Z171" s="59" t="s">
        <v>316</v>
      </c>
      <c r="AA171" s="59">
        <f>120*24*3600</f>
        <v>10368000</v>
      </c>
      <c r="AB171" s="60" t="str">
        <f>IF(AA171&lt;60,"1",IF(AA171&lt;=43200,"2",IF(AA171&lt;=777600,"3","4")))</f>
        <v>4</v>
      </c>
      <c r="AC171" s="56">
        <f>AVERAGE(AV170:DA170)</f>
        <v>3348300</v>
      </c>
      <c r="AD171" s="60" t="str">
        <f>IF(AC171&lt;60,"1",IF(AC171&lt;=43200,"2",IF(AC171&lt;=777600,"3","4")))</f>
        <v>4</v>
      </c>
      <c r="AE171" s="76">
        <f>AA171-Y171</f>
        <v>10366800</v>
      </c>
      <c r="AF171" s="80">
        <f>AV171</f>
        <v>0.85</v>
      </c>
      <c r="AG171" s="56">
        <f>((AW171-AV171)+(AX171-AW171)+(AY171-AX171))/3</f>
        <v>-4.6666666666666669E-2</v>
      </c>
      <c r="AH171" s="4"/>
      <c r="AI171" s="56">
        <f>RSQ(AV171:AY171,AV170:AY170)</f>
        <v>0.42193712022038776</v>
      </c>
      <c r="AJ171" s="109">
        <f>SLOPE(AV171:AY171,AV170:AY170)</f>
        <v>-9.4577429503393882E-9</v>
      </c>
      <c r="AK171" s="56">
        <f>INTERCEPT(AV171:AY171,AV170:AY170)</f>
        <v>0.79166736072062138</v>
      </c>
      <c r="AL171" s="56">
        <f>INDEX(LINEST(LN(AV171:AY171),LN(AV170:AY170),TRUE,TRUE),3,1)</f>
        <v>0.87045830140466229</v>
      </c>
      <c r="AM171" s="56">
        <f>INDEX(LINEST(LN(AV171:AY171),LN(AV170:AY170)),1)</f>
        <v>-2.116388690400554E-2</v>
      </c>
      <c r="AN171" s="56">
        <f>EXP(INDEX(LINEST(LN(AV171:AY171),LN(AV170:AY170)),1,2))</f>
        <v>0.99367726941952461</v>
      </c>
      <c r="AO171" s="82">
        <f>INDEX(LINEST((AV171:AY171),LN(AV170:AY170),TRUE,TRUE),3,1)</f>
        <v>0.88508660909906889</v>
      </c>
      <c r="AP171" s="82">
        <f>INDEX(LINEST((AV171:AY171),LN(AV170:AY170)),1)</f>
        <v>-1.6455433585399564E-2</v>
      </c>
      <c r="AQ171" s="83">
        <f>INDEX(LINEST(LN(AV171:AY171),SQRT(AV170:AY170),TRUE,TRUE),3,1)</f>
        <v>0.68081133991613196</v>
      </c>
      <c r="AR171" s="116">
        <f>INDEX(LINEST(LN(AV171:AY171),SQRT((AV170:AY170))),1)</f>
        <v>-5.4698594803887693E-5</v>
      </c>
      <c r="AS171" s="84">
        <f>INDEX(LINEST(1/(AV171:AY171),1/(SQRT(AV170:AY170)),TRUE,TRUE),3,1)</f>
        <v>0.71987489253049153</v>
      </c>
      <c r="AT171" s="84">
        <f>INDEX(LINEST(1/(AV171:AY171),1/SQRT(AV170:AY170)),1)</f>
        <v>-7.1021435079347901</v>
      </c>
      <c r="AU171" s="4"/>
      <c r="AV171" s="11">
        <v>0.85</v>
      </c>
      <c r="AW171" s="11">
        <v>0.78</v>
      </c>
      <c r="AX171" s="11">
        <v>0.7</v>
      </c>
      <c r="AY171" s="11">
        <v>0.71</v>
      </c>
      <c r="AZ171" s="11"/>
      <c r="BA171" s="11"/>
      <c r="BB171" s="11"/>
      <c r="BC171" s="11"/>
      <c r="BD171" s="11"/>
      <c r="BE171" s="11"/>
      <c r="BF171" s="11"/>
      <c r="BG171" s="11"/>
      <c r="BH171" s="11"/>
      <c r="BI171" s="11"/>
      <c r="BJ171" s="11"/>
      <c r="BK171" s="11"/>
      <c r="BL171" s="11"/>
      <c r="BM171" s="11"/>
      <c r="BN171" s="11"/>
      <c r="BO171" s="11"/>
      <c r="BP171" s="11"/>
      <c r="BQ171" s="11"/>
      <c r="BR171" s="11"/>
      <c r="BS171" s="11"/>
      <c r="BT171" s="11"/>
      <c r="BU171" s="11"/>
      <c r="BV171" s="11"/>
      <c r="BW171" s="11"/>
      <c r="BX171" s="11"/>
      <c r="BY171" s="11"/>
      <c r="BZ171" s="11"/>
      <c r="CA171" s="11"/>
      <c r="CB171" s="11"/>
      <c r="CC171" s="11"/>
      <c r="CD171" s="11"/>
      <c r="CE171" s="11"/>
      <c r="CF171" s="11"/>
      <c r="CG171" s="11"/>
      <c r="CH171" s="11"/>
      <c r="CI171" s="11"/>
      <c r="CJ171" s="11"/>
      <c r="CK171" s="11"/>
      <c r="CL171" s="11"/>
      <c r="CM171" s="11"/>
      <c r="CN171" s="11"/>
      <c r="CO171" s="11"/>
      <c r="CP171" s="11"/>
      <c r="CQ171" s="11"/>
      <c r="CR171" s="15"/>
      <c r="CS171" s="15"/>
      <c r="CT171" s="15"/>
      <c r="CU171" s="15"/>
    </row>
    <row r="172" spans="1:99" s="13" customFormat="1" ht="12" customHeight="1" x14ac:dyDescent="0.2">
      <c r="A172" s="68">
        <v>43978</v>
      </c>
      <c r="B172" s="70"/>
      <c r="C172" s="70"/>
      <c r="D172" s="69"/>
      <c r="E172" s="87"/>
      <c r="F172" s="69"/>
      <c r="G172" s="69"/>
      <c r="H172" s="69"/>
      <c r="I172" s="69"/>
      <c r="J172" s="69"/>
      <c r="K172" s="69"/>
      <c r="L172" s="69"/>
      <c r="M172" s="69"/>
      <c r="N172" s="69"/>
      <c r="O172" s="69"/>
      <c r="P172" s="69"/>
      <c r="Q172" s="69"/>
      <c r="R172" s="69"/>
      <c r="S172" s="69"/>
      <c r="T172" s="69"/>
      <c r="U172" s="69"/>
      <c r="V172" s="69"/>
      <c r="W172" s="69"/>
      <c r="X172" s="69"/>
      <c r="Y172" s="87"/>
      <c r="Z172" s="92"/>
      <c r="AA172" s="69"/>
      <c r="AB172" s="69"/>
      <c r="AC172" s="72"/>
      <c r="AD172" s="69"/>
      <c r="AE172" s="87"/>
      <c r="AF172" s="88"/>
      <c r="AG172" s="72"/>
      <c r="AH172" s="4"/>
      <c r="AI172" s="72"/>
      <c r="AJ172" s="110"/>
      <c r="AK172" s="72"/>
      <c r="AL172" s="72"/>
      <c r="AM172" s="72"/>
      <c r="AN172" s="72"/>
      <c r="AO172" s="89"/>
      <c r="AP172" s="89"/>
      <c r="AQ172" s="90"/>
      <c r="AR172" s="117"/>
      <c r="AS172" s="91"/>
      <c r="AT172" s="91"/>
      <c r="AU172" s="3"/>
      <c r="AV172" s="71">
        <v>30</v>
      </c>
      <c r="AW172" s="71">
        <f>60*30</f>
        <v>1800</v>
      </c>
      <c r="AX172" s="71">
        <f>60*60*24*7*6</f>
        <v>3628800</v>
      </c>
      <c r="AY172" s="53"/>
      <c r="AZ172" s="11" t="s">
        <v>947</v>
      </c>
      <c r="BA172" s="53"/>
      <c r="BB172" s="53"/>
      <c r="BC172" s="53"/>
      <c r="BD172" s="53"/>
      <c r="BE172" s="53"/>
      <c r="BF172" s="53"/>
      <c r="BG172" s="53"/>
      <c r="BH172" s="53"/>
      <c r="BI172" s="53"/>
      <c r="BJ172" s="53"/>
      <c r="BK172" s="53"/>
      <c r="BL172" s="53"/>
      <c r="BM172" s="53"/>
      <c r="BN172" s="53"/>
      <c r="BO172" s="53"/>
      <c r="BP172" s="53"/>
      <c r="BQ172" s="53"/>
      <c r="BR172" s="53"/>
      <c r="BS172" s="53"/>
      <c r="BT172" s="53"/>
      <c r="BU172" s="53"/>
      <c r="BV172" s="53"/>
      <c r="BW172" s="53"/>
      <c r="BX172" s="53"/>
      <c r="BY172" s="53"/>
      <c r="BZ172" s="53"/>
      <c r="CA172" s="53"/>
      <c r="CB172" s="53"/>
      <c r="CC172" s="53"/>
      <c r="CD172" s="53"/>
      <c r="CE172" s="53"/>
      <c r="CF172" s="53"/>
      <c r="CG172" s="53"/>
      <c r="CH172" s="53"/>
      <c r="CI172" s="53"/>
      <c r="CJ172" s="53"/>
      <c r="CK172" s="53"/>
      <c r="CL172" s="53"/>
      <c r="CM172" s="53"/>
      <c r="CN172" s="53"/>
      <c r="CO172" s="53"/>
      <c r="CP172" s="53"/>
      <c r="CQ172" s="53"/>
      <c r="CR172" s="1"/>
      <c r="CS172" s="1"/>
      <c r="CT172" s="1"/>
      <c r="CU172" s="1"/>
    </row>
    <row r="173" spans="1:99" s="13" customFormat="1" ht="12" customHeight="1" x14ac:dyDescent="0.2">
      <c r="A173" s="68">
        <v>43978</v>
      </c>
      <c r="B173" s="70" t="s">
        <v>977</v>
      </c>
      <c r="C173" s="70" t="s">
        <v>360</v>
      </c>
      <c r="D173" s="69">
        <v>2005</v>
      </c>
      <c r="E173" s="87">
        <v>1</v>
      </c>
      <c r="F173" s="69">
        <v>7</v>
      </c>
      <c r="G173" s="69">
        <v>7</v>
      </c>
      <c r="H173" s="69" t="s">
        <v>38</v>
      </c>
      <c r="I173" s="69" t="s">
        <v>330</v>
      </c>
      <c r="J173" s="69" t="s">
        <v>677</v>
      </c>
      <c r="K173" s="69">
        <f>IF(J173="syllables",1,IF(J173="trigrams",2,IF(J173="strings",3,IF(J173="visual array",4,IF(J173="characters",5,IF(J173="letters",6,IF(J173="free forms",7,IF(J173="odors",8,IF(J173="words",9,IF(J173="pictures",10,IF(J173="object pictures",11,IF(J173="faces",12,IF(J173="names",13,IF(J173="idioms",14,IF(J173="grades",15,IF(J173="syllable-digit pairs",16,IF(J173="trigram-word pairs",17,IF(J173="word-digit pairs",18,IF(J173="English-Swahili pairs",19,IF(J173="spatial position",20,IF(J173="word pairs",21,IF(J173="word triads",22,IF(J173="generated words",23,IF(J173="word definition pairs",24,IF(J173="math problems",25,IF(J173="famous faces",26,IF(J173="famous names",27,IF(J173="famous voices",28,IF(J173="television programs",29,IF(J173="race horses",30,IF(J173="new vocabulary",31,IF(J173="sentences",32,IF(J173="concepts",33,IF(J173="ad slides",34,IF(J173="scenes",35,IF(J173="famous scenes",36,IF(J173="poems",37,IF(J173="walk",38,IF(J173="faces and events",39,IF(J173="events and names",40,IF(J173="flashbulb",41,IF(J173="stories",42,IF(J173="course material",43,IF(J173="autobiographical",44,IF(J173="novels",45,IF(J173="public events",46,"99"))))))))))))))))))))))))))))))))))))))))))))))</f>
        <v>42</v>
      </c>
      <c r="L173" s="69">
        <f>IF(J173="syllables",1,IF(J173="trigrams",1,IF(J173="strings",1,IF(J173="visual array",1,IF(J173="characters",1,IF(J173="letters",1,IF(J173="free forms",1,IF(J173="odors",2,IF(J173="words",2,IF(J173="pictures",2,IF(J173="object pictures",2,IF(J173="faces",2,IF(J173="names",2,IF(J173="idioms","2",IF(J173="grades",2,IF(J173="syllable-digit pairs",3,IF(J173="trigram-word pairs",3,IF(J173="word-digit pairs",3,IF(J173="English-Swahili pairs",3,IF(J173="spatial position",3,IF(J173="word pairs",4,IF(J173="word triads",4,IF(J173="generated words",4,IF(J173="word definition pairs",4,IF(J173="math problems",4,IF(J173="famous faces",4,IF(J173="famous names",4,IF(J173="famous voices",4,IF(J173="television programs",4,IF(J173="race horses",4,IF(J173="new vocabulary",4,IF(J173="sentences",5,IF(J173="concepts",5,IF(J173="ad slides",5,IF(J173="scenes",5,IF(J173="famous scenes",5,IF(J173="poems",6,IF(J173="walk",6,IF(J173="faces and events",6,IF(J173="events and names",6,IF(J173="flashbulb",7,IF(J173="stories",7,IF(J173="course material",7,IF(J173="autobiographical",7,IF(J173="novels",7,IF(J173="public events",7,"99"))))))))))))))))))))))))))))))))))))))))))))))</f>
        <v>7</v>
      </c>
      <c r="M173" s="69">
        <v>0</v>
      </c>
      <c r="N173" s="69">
        <v>3</v>
      </c>
      <c r="O173" s="69">
        <v>0</v>
      </c>
      <c r="P173" s="69"/>
      <c r="Q173" s="69" t="s">
        <v>174</v>
      </c>
      <c r="R173" s="69">
        <f>IF(Q173="Free Recall",1,IF(Q173="Cued Recall",2,IF(Q173="Recognition",3,IF(Q173="Multiple Choice",4,IF(Q173="Savings",5,IF(Q173="Stem Completion",6,IF(Q173="Fragment Completion",7,IF(Q173="anagram solution",8,IF(Q173="Matching",9,IF(Q173="Problem Solving",10,"99"))))))))))</f>
        <v>1</v>
      </c>
      <c r="S173" s="69" t="s">
        <v>49</v>
      </c>
      <c r="T173" s="69" t="s">
        <v>581</v>
      </c>
      <c r="U173" s="69">
        <f>IF(T173="within",1,0)</f>
        <v>1</v>
      </c>
      <c r="V173" s="69">
        <v>150</v>
      </c>
      <c r="W173" s="69">
        <f>F173*V173</f>
        <v>1050</v>
      </c>
      <c r="X173" s="69">
        <v>3</v>
      </c>
      <c r="Y173" s="87">
        <f>AV172</f>
        <v>30</v>
      </c>
      <c r="Z173" s="92" t="s">
        <v>160</v>
      </c>
      <c r="AA173" s="69">
        <f>60*60*24*7*6</f>
        <v>3628800</v>
      </c>
      <c r="AB173" s="69" t="str">
        <f>IF(AA173&lt;60,"1",IF(AA173&lt;=43200,"2",IF(AA173&lt;=777600,"3","4")))</f>
        <v>4</v>
      </c>
      <c r="AC173" s="72">
        <f>AVERAGE(AV172:DA172)</f>
        <v>1210210</v>
      </c>
      <c r="AD173" s="69" t="str">
        <f>IF(AC173&lt;60,"1",IF(AC173&lt;=43200,"2",IF(AC173&lt;=777600,"3","4")))</f>
        <v>4</v>
      </c>
      <c r="AE173" s="87">
        <f>AA173-Y173</f>
        <v>3628770</v>
      </c>
      <c r="AF173" s="88">
        <f>AV173</f>
        <v>0.52</v>
      </c>
      <c r="AG173" s="72">
        <f>((AW173-AV173)+(AX173-AW173))/2</f>
        <v>-0.14200000000000002</v>
      </c>
      <c r="AH173" s="4"/>
      <c r="AI173" s="72">
        <f>RSQ(AV173:AX173,AV172:AX172)</f>
        <v>0.98318263243973891</v>
      </c>
      <c r="AJ173" s="110">
        <f>SLOPE(AV173:AX173,AV172:AX172)</f>
        <v>-7.2773693072887726E-8</v>
      </c>
      <c r="AK173" s="72">
        <f>INTERCEPT(AV173:AX173,AV172:AX172)</f>
        <v>0.50007145109373941</v>
      </c>
      <c r="AL173" s="72">
        <f>INDEX(LINEST(LN(AV173:AX173),LN(AV172:AX172),TRUE,TRUE),3,1)</f>
        <v>0.93402970875967029</v>
      </c>
      <c r="AM173" s="72">
        <f>INDEX(LINEST(LN(AV173:AX173),LN(AV172:AX172)),1)</f>
        <v>-7.0763197295137165E-2</v>
      </c>
      <c r="AN173" s="72">
        <f>EXP(INDEX(LINEST(LN(AV173:AX173),LN(AV172:AX172)),1,2))</f>
        <v>0.71846988246412591</v>
      </c>
      <c r="AO173" s="89">
        <f>INDEX(LINEST((AV173:AX173),LN(AV172:AX172),TRUE,TRUE),3,1)</f>
        <v>0.95175457548661024</v>
      </c>
      <c r="AP173" s="89">
        <f>INDEX(LINEST((AV173:AX173),LN(AV172:AX172)),1)</f>
        <v>-2.5252598903831931E-2</v>
      </c>
      <c r="AQ173" s="90">
        <f>INDEX(LINEST(LN(AV173:AX173),SQRT(AV172:AX172),TRUE,TRUE),3,1)</f>
        <v>0.99436214597385386</v>
      </c>
      <c r="AR173" s="117">
        <f>INDEX(LINEST(LN(AV173:AX173),SQRT((AV172:AX172))),1)</f>
        <v>-3.9922483266062773E-4</v>
      </c>
      <c r="AS173" s="91">
        <f>INDEX(LINEST(1/(AV173:AX173),1/(SQRT(AV172:AX172)),TRUE,TRUE),3,1)</f>
        <v>0.41713342774098361</v>
      </c>
      <c r="AT173" s="91">
        <f>INDEX(LINEST(1/(AV173:AX173),1/SQRT(AV172:AX172)),1)</f>
        <v>-8.4202868328174016</v>
      </c>
      <c r="AU173" s="3"/>
      <c r="AV173" s="73">
        <f>26/50</f>
        <v>0.52</v>
      </c>
      <c r="AW173" s="73">
        <f>24/50</f>
        <v>0.48</v>
      </c>
      <c r="AX173" s="73">
        <f>11.8/50</f>
        <v>0.23600000000000002</v>
      </c>
      <c r="AY173" s="53"/>
      <c r="AZ173" s="53"/>
      <c r="BA173" s="53"/>
      <c r="BB173" s="53"/>
      <c r="BC173" s="53"/>
      <c r="BD173" s="53"/>
      <c r="BE173" s="53"/>
      <c r="BF173" s="53"/>
      <c r="BG173" s="53"/>
      <c r="BH173" s="53"/>
      <c r="BI173" s="53"/>
      <c r="BJ173" s="53"/>
      <c r="BK173" s="53"/>
      <c r="BL173" s="53"/>
      <c r="BM173" s="53"/>
      <c r="BN173" s="53"/>
      <c r="BO173" s="53"/>
      <c r="BP173" s="53"/>
      <c r="BQ173" s="53"/>
      <c r="BR173" s="53"/>
      <c r="BS173" s="53"/>
      <c r="BT173" s="53"/>
      <c r="BU173" s="53"/>
      <c r="BV173" s="53"/>
      <c r="BW173" s="53"/>
      <c r="BX173" s="53"/>
      <c r="BY173" s="53"/>
      <c r="BZ173" s="53"/>
      <c r="CA173" s="53"/>
      <c r="CB173" s="53"/>
      <c r="CC173" s="53"/>
      <c r="CD173" s="53"/>
      <c r="CE173" s="53"/>
      <c r="CF173" s="53"/>
      <c r="CG173" s="53"/>
      <c r="CH173" s="53"/>
      <c r="CI173" s="53"/>
      <c r="CJ173" s="53"/>
      <c r="CK173" s="53"/>
      <c r="CL173" s="53"/>
      <c r="CM173" s="53"/>
      <c r="CN173" s="53"/>
      <c r="CO173" s="53"/>
      <c r="CP173" s="53"/>
      <c r="CQ173" s="53"/>
      <c r="CR173" s="1"/>
      <c r="CS173" s="1"/>
      <c r="CT173" s="1"/>
      <c r="CU173" s="1"/>
    </row>
    <row r="174" spans="1:99" s="13" customFormat="1" ht="12" customHeight="1" x14ac:dyDescent="0.2">
      <c r="A174" s="68">
        <v>43978</v>
      </c>
      <c r="B174" s="70"/>
      <c r="C174" s="70"/>
      <c r="D174" s="69"/>
      <c r="E174" s="87"/>
      <c r="F174" s="69"/>
      <c r="G174" s="69"/>
      <c r="H174" s="69"/>
      <c r="I174" s="69"/>
      <c r="J174" s="69"/>
      <c r="K174" s="69"/>
      <c r="L174" s="69"/>
      <c r="M174" s="69"/>
      <c r="N174" s="69"/>
      <c r="O174" s="69"/>
      <c r="P174" s="69"/>
      <c r="Q174" s="69"/>
      <c r="R174" s="69"/>
      <c r="S174" s="69"/>
      <c r="T174" s="69"/>
      <c r="U174" s="69"/>
      <c r="V174" s="69"/>
      <c r="W174" s="69"/>
      <c r="X174" s="69"/>
      <c r="Y174" s="87"/>
      <c r="Z174" s="92"/>
      <c r="AA174" s="69"/>
      <c r="AB174" s="69"/>
      <c r="AC174" s="72"/>
      <c r="AD174" s="69"/>
      <c r="AE174" s="87"/>
      <c r="AF174" s="88"/>
      <c r="AG174" s="72"/>
      <c r="AH174" s="4"/>
      <c r="AI174" s="72"/>
      <c r="AJ174" s="110"/>
      <c r="AK174" s="72"/>
      <c r="AL174" s="72"/>
      <c r="AM174" s="72"/>
      <c r="AN174" s="72"/>
      <c r="AO174" s="89"/>
      <c r="AP174" s="89"/>
      <c r="AQ174" s="90"/>
      <c r="AR174" s="117"/>
      <c r="AS174" s="91"/>
      <c r="AT174" s="91"/>
      <c r="AU174" s="3"/>
      <c r="AV174" s="71">
        <v>30</v>
      </c>
      <c r="AW174" s="71">
        <f>60*30</f>
        <v>1800</v>
      </c>
      <c r="AX174" s="71">
        <f>60*60*24*7*6</f>
        <v>3628800</v>
      </c>
      <c r="AY174" s="53"/>
      <c r="AZ174" s="53"/>
      <c r="BA174" s="53"/>
      <c r="BB174" s="53"/>
      <c r="BC174" s="53"/>
      <c r="BD174" s="53"/>
      <c r="BE174" s="53"/>
      <c r="BF174" s="53"/>
      <c r="BG174" s="53"/>
      <c r="BH174" s="53"/>
      <c r="BI174" s="53"/>
      <c r="BJ174" s="53"/>
      <c r="BK174" s="53"/>
      <c r="BL174" s="53"/>
      <c r="BM174" s="53"/>
      <c r="BN174" s="53"/>
      <c r="BO174" s="53"/>
      <c r="BP174" s="53"/>
      <c r="BQ174" s="53"/>
      <c r="BR174" s="53"/>
      <c r="BS174" s="53"/>
      <c r="BT174" s="53"/>
      <c r="BU174" s="53"/>
      <c r="BV174" s="53"/>
      <c r="BW174" s="53"/>
      <c r="BX174" s="53"/>
      <c r="BY174" s="53"/>
      <c r="BZ174" s="53"/>
      <c r="CA174" s="53"/>
      <c r="CB174" s="53"/>
      <c r="CC174" s="53"/>
      <c r="CD174" s="53"/>
      <c r="CE174" s="53"/>
      <c r="CF174" s="53"/>
      <c r="CG174" s="53"/>
      <c r="CH174" s="53"/>
      <c r="CI174" s="53"/>
      <c r="CJ174" s="53"/>
      <c r="CK174" s="53"/>
      <c r="CL174" s="53"/>
      <c r="CM174" s="53"/>
      <c r="CN174" s="53"/>
      <c r="CO174" s="53"/>
      <c r="CP174" s="53"/>
      <c r="CQ174" s="53"/>
      <c r="CR174" s="1"/>
      <c r="CS174" s="1"/>
      <c r="CT174" s="1"/>
      <c r="CU174" s="1"/>
    </row>
    <row r="175" spans="1:99" s="13" customFormat="1" ht="12" customHeight="1" x14ac:dyDescent="0.2">
      <c r="A175" s="68">
        <v>43978</v>
      </c>
      <c r="B175" s="70" t="s">
        <v>977</v>
      </c>
      <c r="C175" s="70" t="s">
        <v>360</v>
      </c>
      <c r="D175" s="69">
        <v>2005</v>
      </c>
      <c r="E175" s="87">
        <v>1</v>
      </c>
      <c r="F175" s="69">
        <v>7</v>
      </c>
      <c r="G175" s="69">
        <v>7</v>
      </c>
      <c r="H175" s="69" t="s">
        <v>38</v>
      </c>
      <c r="I175" s="69" t="s">
        <v>330</v>
      </c>
      <c r="J175" s="69" t="s">
        <v>317</v>
      </c>
      <c r="K175" s="69">
        <f>IF(J175="syllables",1,IF(J175="trigrams",2,IF(J175="strings",3,IF(J175="visual array",4,IF(J175="characters",5,IF(J175="letters",6,IF(J175="free forms",7,IF(J175="odors",8,IF(J175="words",9,IF(J175="pictures",10,IF(J175="object pictures",11,IF(J175="faces",12,IF(J175="names",13,IF(J175="idioms",14,IF(J175="grades",15,IF(J175="syllable-digit pairs",16,IF(J175="trigram-word pairs",17,IF(J175="word-digit pairs",18,IF(J175="English-Swahili pairs",19,IF(J175="spatial position",20,IF(J175="word pairs",21,IF(J175="word triads",22,IF(J175="generated words",23,IF(J175="word definition pairs",24,IF(J175="math problems",25,IF(J175="famous faces",26,IF(J175="famous names",27,IF(J175="famous voices",28,IF(J175="television programs",29,IF(J175="race horses",30,IF(J175="new vocabulary",31,IF(J175="sentences",32,IF(J175="concepts",33,IF(J175="ad slides",34,IF(J175="scenes",35,IF(J175="famous scenes",36,IF(J175="poems",37,IF(J175="walk",38,IF(J175="faces and events",39,IF(J175="events and names",40,IF(J175="flashbulb",41,IF(J175="stories",42,IF(J175="course material",43,IF(J175="autobiographical",44,IF(J175="novels",45,IF(J175="public events",46,"99"))))))))))))))))))))))))))))))))))))))))))))))</f>
        <v>7</v>
      </c>
      <c r="L175" s="69">
        <f>IF(J175="syllables",1,IF(J175="trigrams",1,IF(J175="strings",1,IF(J175="visual array",1,IF(J175="characters",1,IF(J175="letters",1,IF(J175="free forms",1,IF(J175="odors",2,IF(J175="words",2,IF(J175="pictures",2,IF(J175="object pictures",2,IF(J175="faces",2,IF(J175="names",2,IF(J175="idioms","2",IF(J175="grades",2,IF(J175="syllable-digit pairs",3,IF(J175="trigram-word pairs",3,IF(J175="word-digit pairs",3,IF(J175="English-Swahili pairs",3,IF(J175="spatial position",3,IF(J175="word pairs",4,IF(J175="word triads",4,IF(J175="generated words",4,IF(J175="word definition pairs",4,IF(J175="math problems",4,IF(J175="famous faces",4,IF(J175="famous names",4,IF(J175="famous voices",4,IF(J175="television programs",4,IF(J175="race horses",4,IF(J175="new vocabulary",4,IF(J175="sentences",5,IF(J175="concepts",5,IF(J175="ad slides",5,IF(J175="scenes",5,IF(J175="famous scenes",5,IF(J175="poems",6,IF(J175="walk",6,IF(J175="faces and events",6,IF(J175="events and names",6,IF(J175="flashbulb",7,IF(J175="stories",7,IF(J175="course material",7,IF(J175="autobiographical",7,IF(J175="novels",7,IF(J175="public events",7,"99"))))))))))))))))))))))))))))))))))))))))))))))</f>
        <v>1</v>
      </c>
      <c r="M175" s="69">
        <v>0</v>
      </c>
      <c r="N175" s="69">
        <v>1</v>
      </c>
      <c r="O175" s="69">
        <v>0</v>
      </c>
      <c r="P175" s="69"/>
      <c r="Q175" s="69" t="s">
        <v>174</v>
      </c>
      <c r="R175" s="69">
        <f>IF(Q175="Free Recall",1,IF(Q175="Cued Recall",2,IF(Q175="Recognition",3,IF(Q175="Multiple Choice",4,IF(Q175="Savings",5,IF(Q175="Stem Completion",6,IF(Q175="Fragment Completion",7,IF(Q175="anagram solution",8,IF(Q175="Matching",9,IF(Q175="Problem Solving",10,"99"))))))))))</f>
        <v>1</v>
      </c>
      <c r="S175" s="69" t="s">
        <v>49</v>
      </c>
      <c r="T175" s="69" t="s">
        <v>581</v>
      </c>
      <c r="U175" s="69">
        <f>IF(T175="within",1,0)</f>
        <v>1</v>
      </c>
      <c r="V175" s="69">
        <f>3*41</f>
        <v>123</v>
      </c>
      <c r="W175" s="69">
        <f>F175*V175</f>
        <v>861</v>
      </c>
      <c r="X175" s="69">
        <v>3</v>
      </c>
      <c r="Y175" s="87">
        <f>AV174</f>
        <v>30</v>
      </c>
      <c r="Z175" s="92" t="s">
        <v>160</v>
      </c>
      <c r="AA175" s="69">
        <f>60*60*24*7*6</f>
        <v>3628800</v>
      </c>
      <c r="AB175" s="69" t="str">
        <f>IF(AA175&lt;60,"1",IF(AA175&lt;=43200,"2",IF(AA175&lt;=777600,"3","4")))</f>
        <v>4</v>
      </c>
      <c r="AC175" s="72">
        <f>AVERAGE(AV174:DA174)</f>
        <v>1210210</v>
      </c>
      <c r="AD175" s="69" t="str">
        <f>IF(AC175&lt;60,"1",IF(AC175&lt;=43200,"2",IF(AC175&lt;=777600,"3","4")))</f>
        <v>4</v>
      </c>
      <c r="AE175" s="87">
        <f>AA175-Y175</f>
        <v>3628770</v>
      </c>
      <c r="AF175" s="88">
        <f>AV175</f>
        <v>0.73170731707317072</v>
      </c>
      <c r="AG175" s="72">
        <f>((AW175-AV175)+(AX175-AW175))/2</f>
        <v>-0.32560975609756093</v>
      </c>
      <c r="AH175" s="4"/>
      <c r="AI175" s="72">
        <f>RSQ(AV175:AX175,AV174:AX174)</f>
        <v>0.82260380987301007</v>
      </c>
      <c r="AJ175" s="110">
        <f>SLOPE(AV175:AX175,AV174:AX174)</f>
        <v>-1.4154676689074929E-7</v>
      </c>
      <c r="AK175" s="72">
        <f>INTERCEPT(AV175:AX175,AV174:AX174)</f>
        <v>0.59406554040113013</v>
      </c>
      <c r="AL175" s="72">
        <f>INDEX(LINEST(LN(AV175:AX175),LN(AV174:AX174),TRUE,TRUE),3,1)</f>
        <v>0.97850438785155369</v>
      </c>
      <c r="AM175" s="72">
        <f>INDEX(LINEST(LN(AV175:AX175),LN(AV174:AX174)),1)</f>
        <v>-0.193578675770681</v>
      </c>
      <c r="AN175" s="72">
        <f>EXP(INDEX(LINEST(LN(AV175:AX175),LN(AV174:AX174)),1,2))</f>
        <v>1.6033019834392768</v>
      </c>
      <c r="AO175" s="89">
        <f>INDEX(LINEST((AV175:AX175),LN(AV174:AX174),TRUE,TRUE),3,1)</f>
        <v>0.99308567567686457</v>
      </c>
      <c r="AP175" s="89">
        <f>INDEX(LINEST((AV175:AX175),LN(AV174:AX174)),1)</f>
        <v>-5.4850959992760059E-2</v>
      </c>
      <c r="AQ175" s="90">
        <f>INDEX(LINEST(LN(AV175:AX175),SQRT(AV174:AX174),TRUE,TRUE),3,1)</f>
        <v>0.96515473809531616</v>
      </c>
      <c r="AR175" s="117">
        <f>INDEX(LINEST(LN(AV175:AX175),SQRT((AV174:AX174))),1)</f>
        <v>-1.0512179137722273E-3</v>
      </c>
      <c r="AS175" s="91">
        <f>INDEX(LINEST(1/(AV175:AX175),1/(SQRT(AV174:AX174)),TRUE,TRUE),3,1)</f>
        <v>0.42211355548581286</v>
      </c>
      <c r="AT175" s="91">
        <f>INDEX(LINEST(1/(AV175:AX175),1/SQRT(AV174:AX174)),1)</f>
        <v>-40.371780178974021</v>
      </c>
      <c r="AU175" s="3"/>
      <c r="AV175" s="73">
        <f>30/41</f>
        <v>0.73170731707317072</v>
      </c>
      <c r="AW175" s="73">
        <f>18.7/41</f>
        <v>0.45609756097560972</v>
      </c>
      <c r="AX175" s="73">
        <f>3.3/41</f>
        <v>8.0487804878048783E-2</v>
      </c>
      <c r="AY175" s="53"/>
      <c r="AZ175" s="53"/>
      <c r="BA175" s="53"/>
      <c r="BB175" s="53"/>
      <c r="BC175" s="53"/>
      <c r="BD175" s="53"/>
      <c r="BE175" s="53"/>
      <c r="BF175" s="53"/>
      <c r="BG175" s="53"/>
      <c r="BH175" s="53"/>
      <c r="BI175" s="53"/>
      <c r="BJ175" s="53"/>
      <c r="BK175" s="53"/>
      <c r="BL175" s="53"/>
      <c r="BM175" s="53"/>
      <c r="BN175" s="53"/>
      <c r="BO175" s="53"/>
      <c r="BP175" s="53"/>
      <c r="BQ175" s="53"/>
      <c r="BR175" s="53"/>
      <c r="BS175" s="53"/>
      <c r="BT175" s="53"/>
      <c r="BU175" s="53"/>
      <c r="BV175" s="53"/>
      <c r="BW175" s="53"/>
      <c r="BX175" s="53"/>
      <c r="BY175" s="53"/>
      <c r="BZ175" s="53"/>
      <c r="CA175" s="53"/>
      <c r="CB175" s="53"/>
      <c r="CC175" s="53"/>
      <c r="CD175" s="53"/>
      <c r="CE175" s="53"/>
      <c r="CF175" s="53"/>
      <c r="CG175" s="53"/>
      <c r="CH175" s="53"/>
      <c r="CI175" s="53"/>
      <c r="CJ175" s="53"/>
      <c r="CK175" s="53"/>
      <c r="CL175" s="53"/>
      <c r="CM175" s="53"/>
      <c r="CN175" s="53"/>
      <c r="CO175" s="53"/>
      <c r="CP175" s="53"/>
      <c r="CQ175" s="53"/>
      <c r="CR175" s="1"/>
      <c r="CS175" s="1"/>
      <c r="CT175" s="1"/>
      <c r="CU175" s="1"/>
    </row>
    <row r="176" spans="1:99" s="13" customFormat="1" ht="12" customHeight="1" x14ac:dyDescent="0.2">
      <c r="A176" s="65">
        <v>43979</v>
      </c>
      <c r="B176" s="1"/>
      <c r="C176" s="1"/>
      <c r="D176" s="60"/>
      <c r="E176" s="76"/>
      <c r="F176" s="60"/>
      <c r="G176" s="60"/>
      <c r="H176" s="60"/>
      <c r="I176" s="60"/>
      <c r="J176" s="60"/>
      <c r="K176" s="60"/>
      <c r="L176" s="60"/>
      <c r="M176" s="60"/>
      <c r="N176" s="61"/>
      <c r="O176" s="60"/>
      <c r="P176" s="60"/>
      <c r="Q176" s="60"/>
      <c r="R176" s="60"/>
      <c r="S176" s="60"/>
      <c r="T176" s="59"/>
      <c r="U176" s="60"/>
      <c r="V176" s="59"/>
      <c r="W176" s="60"/>
      <c r="X176" s="60"/>
      <c r="Y176" s="76"/>
      <c r="Z176" s="59"/>
      <c r="AA176" s="60"/>
      <c r="AB176" s="60"/>
      <c r="AC176" s="56"/>
      <c r="AD176" s="60"/>
      <c r="AE176" s="76"/>
      <c r="AF176" s="80"/>
      <c r="AG176" s="56"/>
      <c r="AH176" s="4"/>
      <c r="AI176" s="56"/>
      <c r="AJ176" s="109"/>
      <c r="AK176" s="56"/>
      <c r="AL176" s="56"/>
      <c r="AM176" s="56"/>
      <c r="AN176" s="56"/>
      <c r="AO176" s="82"/>
      <c r="AP176" s="82"/>
      <c r="AQ176" s="83"/>
      <c r="AR176" s="116"/>
      <c r="AS176" s="84"/>
      <c r="AT176" s="84"/>
      <c r="AU176" s="3"/>
      <c r="AV176" s="25">
        <v>20</v>
      </c>
      <c r="AW176" s="25">
        <f>60*30</f>
        <v>1800</v>
      </c>
      <c r="AX176" s="25">
        <f>60*60*24*7*3</f>
        <v>1814400</v>
      </c>
      <c r="AY176" s="53"/>
      <c r="AZ176" s="53"/>
      <c r="BA176" s="53"/>
      <c r="BB176" s="53"/>
      <c r="BC176" s="53"/>
      <c r="BD176" s="53"/>
      <c r="BE176" s="53"/>
      <c r="BF176" s="53"/>
      <c r="BG176" s="53"/>
      <c r="BH176" s="53"/>
      <c r="BI176" s="53"/>
      <c r="BJ176" s="53"/>
      <c r="BK176" s="53"/>
      <c r="BL176" s="53"/>
      <c r="BM176" s="53"/>
      <c r="BN176" s="53"/>
      <c r="BO176" s="53"/>
      <c r="BP176" s="53"/>
      <c r="BQ176" s="53"/>
      <c r="BR176" s="53"/>
      <c r="BS176" s="53"/>
      <c r="BT176" s="53"/>
      <c r="BU176" s="53"/>
      <c r="BV176" s="53"/>
      <c r="BW176" s="53"/>
      <c r="BX176" s="53"/>
      <c r="BY176" s="53"/>
      <c r="BZ176" s="53"/>
      <c r="CA176" s="53"/>
      <c r="CB176" s="53"/>
      <c r="CC176" s="53"/>
      <c r="CD176" s="53"/>
      <c r="CE176" s="53"/>
      <c r="CF176" s="53"/>
      <c r="CG176" s="53"/>
      <c r="CH176" s="53"/>
      <c r="CI176" s="53"/>
      <c r="CJ176" s="53"/>
      <c r="CK176" s="53"/>
      <c r="CL176" s="53"/>
      <c r="CM176" s="53"/>
      <c r="CN176" s="53"/>
      <c r="CO176" s="53"/>
      <c r="CP176" s="53"/>
      <c r="CQ176" s="53"/>
      <c r="CR176" s="1"/>
      <c r="CS176" s="1"/>
      <c r="CT176" s="1"/>
      <c r="CU176" s="1"/>
    </row>
    <row r="177" spans="1:99" s="13" customFormat="1" ht="12" customHeight="1" x14ac:dyDescent="0.2">
      <c r="A177" s="65">
        <v>43979</v>
      </c>
      <c r="B177" s="1" t="s">
        <v>979</v>
      </c>
      <c r="C177" s="1" t="s">
        <v>357</v>
      </c>
      <c r="D177" s="60">
        <v>2003</v>
      </c>
      <c r="E177" s="76">
        <v>1</v>
      </c>
      <c r="F177" s="60">
        <v>10</v>
      </c>
      <c r="G177" s="60">
        <v>10</v>
      </c>
      <c r="H177" s="60" t="s">
        <v>452</v>
      </c>
      <c r="I177" s="60" t="s">
        <v>330</v>
      </c>
      <c r="J177" s="60" t="s">
        <v>677</v>
      </c>
      <c r="K177" s="60">
        <f>IF(J177="syllables",1,IF(J177="trigrams",2,IF(J177="strings",3,IF(J177="visual array",4,IF(J177="characters",5,IF(J177="letters",6,IF(J177="free forms",7,IF(J177="odors",8,IF(J177="words",9,IF(J177="pictures",10,IF(J177="object pictures",11,IF(J177="faces",12,IF(J177="names",13,IF(J177="idioms",14,IF(J177="grades",15,IF(J177="syllable-digit pairs",16,IF(J177="trigram-word pairs",17,IF(J177="word-digit pairs",18,IF(J177="English-Swahili pairs",19,IF(J177="spatial position",20,IF(J177="word pairs",21,IF(J177="word triads",22,IF(J177="generated words",23,IF(J177="word definition pairs",24,IF(J177="math problems",25,IF(J177="famous faces",26,IF(J177="famous names",27,IF(J177="famous voices",28,IF(J177="television programs",29,IF(J177="race horses",30,IF(J177="new vocabulary",31,IF(J177="sentences",32,IF(J177="concepts",33,IF(J177="ad slides",34,IF(J177="scenes",35,IF(J177="famous scenes",36,IF(J177="poems",37,IF(J177="walk",38,IF(J177="faces and events",39,IF(J177="events and names",40,IF(J177="flashbulb",41,IF(J177="stories",42,IF(J177="course material",43,IF(J177="autobiographical",44,IF(J177="novels",45,IF(J177="public events",46,"99"))))))))))))))))))))))))))))))))))))))))))))))</f>
        <v>42</v>
      </c>
      <c r="L177" s="60">
        <f>IF(J177="syllables",1,IF(J177="trigrams",1,IF(J177="strings",1,IF(J177="visual array",1,IF(J177="characters",1,IF(J177="letters",1,IF(J177="free forms",1,IF(J177="odors",2,IF(J177="words",2,IF(J177="pictures",2,IF(J177="object pictures",2,IF(J177="faces",2,IF(J177="names",2,IF(J177="idioms","2",IF(J177="grades",2,IF(J177="syllable-digit pairs",3,IF(J177="trigram-word pairs",3,IF(J177="word-digit pairs",3,IF(J177="English-Swahili pairs",3,IF(J177="spatial position",3,IF(J177="word pairs",4,IF(J177="word triads",4,IF(J177="generated words",4,IF(J177="word definition pairs",4,IF(J177="math problems",4,IF(J177="famous faces",4,IF(J177="famous names",4,IF(J177="famous voices",4,IF(J177="television programs",4,IF(J177="race horses",4,IF(J177="new vocabulary",4,IF(J177="sentences",5,IF(J177="concepts",5,IF(J177="ad slides",5,IF(J177="scenes",5,IF(J177="famous scenes",5,IF(J177="poems",6,IF(J177="walk",6,IF(J177="faces and events",6,IF(J177="events and names",6,IF(J177="flashbulb",7,IF(J177="stories",7,IF(J177="course material",7,IF(J177="autobiographical",7,IF(J177="novels",7,IF(J177="public events",7,"99"))))))))))))))))))))))))))))))))))))))))))))))</f>
        <v>7</v>
      </c>
      <c r="M177" s="60">
        <v>0</v>
      </c>
      <c r="N177" s="61">
        <v>3</v>
      </c>
      <c r="O177" s="60">
        <v>0</v>
      </c>
      <c r="P177" s="60"/>
      <c r="Q177" s="60" t="s">
        <v>174</v>
      </c>
      <c r="R177" s="60">
        <f>IF(Q177="Free Recall",1,IF(Q177="Cued Recall",2,IF(Q177="Recognition",3,IF(Q177="Multiple Choice",4,IF(Q177="Savings",5,IF(Q177="Stem Completion",6,IF(Q177="Fragment Completion",7,IF(Q177="anagram solution",8,IF(Q177="Matching",9,IF(Q177="Problem Solving",10,"99"))))))))))</f>
        <v>1</v>
      </c>
      <c r="S177" s="60" t="s">
        <v>49</v>
      </c>
      <c r="T177" s="59" t="s">
        <v>581</v>
      </c>
      <c r="U177" s="60">
        <f>IF(T177="within",1,0)</f>
        <v>1</v>
      </c>
      <c r="V177" s="59">
        <v>100</v>
      </c>
      <c r="W177" s="60">
        <f>F177*V177</f>
        <v>1000</v>
      </c>
      <c r="X177" s="60">
        <v>3</v>
      </c>
      <c r="Y177" s="76">
        <f>AV176</f>
        <v>20</v>
      </c>
      <c r="Z177" s="59" t="s">
        <v>165</v>
      </c>
      <c r="AA177" s="60">
        <f>60*60*24*7*3</f>
        <v>1814400</v>
      </c>
      <c r="AB177" s="60" t="str">
        <f>IF(AA177&lt;60,"1",IF(AA177&lt;=43200,"2",IF(AA177&lt;=777600,"3","4")))</f>
        <v>4</v>
      </c>
      <c r="AC177" s="56">
        <f>AVERAGE(AV176:DA176)</f>
        <v>605406.66666666663</v>
      </c>
      <c r="AD177" s="60" t="str">
        <f>IF(AC177&lt;60,"1",IF(AC177&lt;=43200,"2",IF(AC177&lt;=777600,"3","4")))</f>
        <v>3</v>
      </c>
      <c r="AE177" s="76">
        <f>AA177-Y177</f>
        <v>1814380</v>
      </c>
      <c r="AF177" s="80">
        <f>AV177</f>
        <v>0.32800000000000001</v>
      </c>
      <c r="AG177" s="56">
        <f>((AW177-AV177)+(AX177-AW177))/2</f>
        <v>-5.2000000000000005E-2</v>
      </c>
      <c r="AH177" s="4"/>
      <c r="AI177" s="56">
        <f>RSQ(AV177:AX177,AV176:AX176)</f>
        <v>0.98802560572758469</v>
      </c>
      <c r="AJ177" s="109">
        <f>SLOPE(AV177:AX177,AV176:AX176)</f>
        <v>-6.1202219868329481E-8</v>
      </c>
      <c r="AK177" s="56">
        <f>INTERCEPT(AV177:AX177,AV176:AX176)</f>
        <v>0.33505223192308575</v>
      </c>
      <c r="AL177" s="56">
        <f>INDEX(LINEST(LN(AV177:AX177),LN(AV176:AX176),TRUE,TRUE),3,1)</f>
        <v>0.77705076806684892</v>
      </c>
      <c r="AM177" s="56">
        <f>INDEX(LINEST(LN(AV177:AX177),LN(AV176:AX176)),1)</f>
        <v>-3.5747405860801697E-2</v>
      </c>
      <c r="AN177" s="56">
        <f>EXP(INDEX(LINEST(LN(AV177:AX177),LN(AV176:AX176)),1,2))</f>
        <v>0.39408128530542003</v>
      </c>
      <c r="AO177" s="82">
        <f>INDEX(LINEST((AV177:AX177),LN(AV176:AX176),TRUE,TRUE),3,1)</f>
        <v>0.7609909895088558</v>
      </c>
      <c r="AP177" s="82">
        <f>INDEX(LINEST((AV177:AX177),LN(AV176:AX176)),1)</f>
        <v>-9.780101387685914E-3</v>
      </c>
      <c r="AQ177" s="83">
        <f>INDEX(LINEST(LN(AV177:AX177),SQRT(AV176:AX176),TRUE,TRUE),3,1)</f>
        <v>0.98693078707503867</v>
      </c>
      <c r="AR177" s="116">
        <f>INDEX(LINEST(LN(AV177:AX177),SQRT((AV176:AX176))),1)</f>
        <v>-3.0306417503530973E-4</v>
      </c>
      <c r="AS177" s="84">
        <f>INDEX(LINEST(1/(AV177:AX177),1/(SQRT(AV176:AX176)),TRUE,TRUE),3,1)</f>
        <v>0.26771145048578238</v>
      </c>
      <c r="AT177" s="84">
        <f>INDEX(LINEST(1/(AV177:AX177),1/SQRT(AV176:AX176)),1)</f>
        <v>-3.6102754654817728</v>
      </c>
      <c r="AU177" s="3"/>
      <c r="AV177" s="53">
        <v>0.32800000000000001</v>
      </c>
      <c r="AW177" s="53">
        <v>0.34200000000000003</v>
      </c>
      <c r="AX177" s="53">
        <v>0.224</v>
      </c>
      <c r="AY177" s="53"/>
      <c r="AZ177" s="53"/>
      <c r="BA177" s="53"/>
      <c r="BB177" s="53"/>
      <c r="BC177" s="53"/>
      <c r="BD177" s="53"/>
      <c r="BE177" s="53"/>
      <c r="BF177" s="53"/>
      <c r="BG177" s="53"/>
      <c r="BH177" s="53"/>
      <c r="BI177" s="53"/>
      <c r="BJ177" s="53"/>
      <c r="BK177" s="53"/>
      <c r="BL177" s="53"/>
      <c r="BM177" s="53"/>
      <c r="BN177" s="53"/>
      <c r="BO177" s="53"/>
      <c r="BP177" s="53"/>
      <c r="BQ177" s="53"/>
      <c r="BR177" s="53"/>
      <c r="BS177" s="53"/>
      <c r="BT177" s="53"/>
      <c r="BU177" s="53"/>
      <c r="BV177" s="53"/>
      <c r="BW177" s="53"/>
      <c r="BX177" s="53"/>
      <c r="BY177" s="53"/>
      <c r="BZ177" s="53"/>
      <c r="CA177" s="53"/>
      <c r="CB177" s="53"/>
      <c r="CC177" s="53"/>
      <c r="CD177" s="53"/>
      <c r="CE177" s="53"/>
      <c r="CF177" s="53"/>
      <c r="CG177" s="53"/>
      <c r="CH177" s="53"/>
      <c r="CI177" s="53"/>
      <c r="CJ177" s="53"/>
      <c r="CK177" s="53"/>
      <c r="CL177" s="53"/>
      <c r="CM177" s="53"/>
      <c r="CN177" s="53"/>
      <c r="CO177" s="53"/>
      <c r="CP177" s="53"/>
      <c r="CQ177" s="53"/>
      <c r="CR177" s="1"/>
      <c r="CS177" s="1"/>
      <c r="CT177" s="1"/>
      <c r="CU177" s="1"/>
    </row>
    <row r="178" spans="1:99" s="13" customFormat="1" ht="12" customHeight="1" x14ac:dyDescent="0.2">
      <c r="A178" s="65">
        <v>43979</v>
      </c>
      <c r="B178" s="1"/>
      <c r="C178" s="1"/>
      <c r="D178" s="60"/>
      <c r="E178" s="76"/>
      <c r="F178" s="60"/>
      <c r="G178" s="60"/>
      <c r="H178" s="60"/>
      <c r="I178" s="60"/>
      <c r="J178" s="60"/>
      <c r="K178" s="60"/>
      <c r="L178" s="60"/>
      <c r="M178" s="60"/>
      <c r="N178" s="61"/>
      <c r="O178" s="60"/>
      <c r="P178" s="60"/>
      <c r="Q178" s="60"/>
      <c r="R178" s="60"/>
      <c r="S178" s="60"/>
      <c r="T178" s="59"/>
      <c r="U178" s="60"/>
      <c r="V178" s="59"/>
      <c r="W178" s="60"/>
      <c r="X178" s="60"/>
      <c r="Y178" s="76"/>
      <c r="Z178" s="59"/>
      <c r="AA178" s="60"/>
      <c r="AB178" s="60"/>
      <c r="AC178" s="56"/>
      <c r="AD178" s="60"/>
      <c r="AE178" s="76"/>
      <c r="AF178" s="80"/>
      <c r="AG178" s="56"/>
      <c r="AH178" s="4"/>
      <c r="AI178" s="56"/>
      <c r="AJ178" s="109"/>
      <c r="AK178" s="56"/>
      <c r="AL178" s="56"/>
      <c r="AM178" s="56"/>
      <c r="AN178" s="56"/>
      <c r="AO178" s="82"/>
      <c r="AP178" s="82"/>
      <c r="AQ178" s="83"/>
      <c r="AR178" s="116"/>
      <c r="AS178" s="84"/>
      <c r="AT178" s="84"/>
      <c r="AU178" s="3"/>
      <c r="AV178" s="25">
        <v>20</v>
      </c>
      <c r="AW178" s="25">
        <f>60*30</f>
        <v>1800</v>
      </c>
      <c r="AX178" s="25">
        <f>60*60*24*7*3</f>
        <v>1814400</v>
      </c>
      <c r="AY178" s="53"/>
      <c r="AZ178" s="53"/>
      <c r="BA178" s="53"/>
      <c r="BB178" s="53"/>
      <c r="BC178" s="53"/>
      <c r="BD178" s="53"/>
      <c r="BE178" s="53"/>
      <c r="BF178" s="53"/>
      <c r="BG178" s="53"/>
      <c r="BH178" s="53"/>
      <c r="BI178" s="53"/>
      <c r="BJ178" s="53"/>
      <c r="BK178" s="53"/>
      <c r="BL178" s="53"/>
      <c r="BM178" s="53"/>
      <c r="BN178" s="53"/>
      <c r="BO178" s="53"/>
      <c r="BP178" s="53"/>
      <c r="BQ178" s="53"/>
      <c r="BR178" s="53"/>
      <c r="BS178" s="53"/>
      <c r="BT178" s="53"/>
      <c r="BU178" s="53"/>
      <c r="BV178" s="53"/>
      <c r="BW178" s="53"/>
      <c r="BX178" s="53"/>
      <c r="BY178" s="53"/>
      <c r="BZ178" s="53"/>
      <c r="CA178" s="53"/>
      <c r="CB178" s="53"/>
      <c r="CC178" s="53"/>
      <c r="CD178" s="53"/>
      <c r="CE178" s="53"/>
      <c r="CF178" s="53"/>
      <c r="CG178" s="53"/>
      <c r="CH178" s="53"/>
      <c r="CI178" s="53"/>
      <c r="CJ178" s="53"/>
      <c r="CK178" s="53"/>
      <c r="CL178" s="53"/>
      <c r="CM178" s="53"/>
      <c r="CN178" s="53"/>
      <c r="CO178" s="53"/>
      <c r="CP178" s="53"/>
      <c r="CQ178" s="53"/>
      <c r="CR178" s="1"/>
      <c r="CS178" s="1"/>
      <c r="CT178" s="1"/>
      <c r="CU178" s="1"/>
    </row>
    <row r="179" spans="1:99" s="13" customFormat="1" ht="12" customHeight="1" x14ac:dyDescent="0.2">
      <c r="A179" s="65">
        <v>43979</v>
      </c>
      <c r="B179" s="1" t="s">
        <v>979</v>
      </c>
      <c r="C179" s="1" t="s">
        <v>357</v>
      </c>
      <c r="D179" s="60">
        <v>2003</v>
      </c>
      <c r="E179" s="76">
        <v>1</v>
      </c>
      <c r="F179" s="60">
        <v>10</v>
      </c>
      <c r="G179" s="60">
        <v>10</v>
      </c>
      <c r="H179" s="60" t="s">
        <v>452</v>
      </c>
      <c r="I179" s="60" t="s">
        <v>330</v>
      </c>
      <c r="J179" s="60" t="s">
        <v>677</v>
      </c>
      <c r="K179" s="60">
        <f>IF(J179="syllables",1,IF(J179="trigrams",2,IF(J179="strings",3,IF(J179="visual array",4,IF(J179="characters",5,IF(J179="letters",6,IF(J179="free forms",7,IF(J179="odors",8,IF(J179="words",9,IF(J179="pictures",10,IF(J179="object pictures",11,IF(J179="faces",12,IF(J179="names",13,IF(J179="idioms",14,IF(J179="grades",15,IF(J179="syllable-digit pairs",16,IF(J179="trigram-word pairs",17,IF(J179="word-digit pairs",18,IF(J179="English-Swahili pairs",19,IF(J179="spatial position",20,IF(J179="word pairs",21,IF(J179="word triads",22,IF(J179="generated words",23,IF(J179="word definition pairs",24,IF(J179="math problems",25,IF(J179="famous faces",26,IF(J179="famous names",27,IF(J179="famous voices",28,IF(J179="television programs",29,IF(J179="race horses",30,IF(J179="new vocabulary",31,IF(J179="sentences",32,IF(J179="concepts",33,IF(J179="ad slides",34,IF(J179="scenes",35,IF(J179="famous scenes",36,IF(J179="poems",37,IF(J179="walk",38,IF(J179="faces and events",39,IF(J179="events and names",40,IF(J179="flashbulb",41,IF(J179="stories",42,IF(J179="course material",43,IF(J179="autobiographical",44,IF(J179="novels",45,IF(J179="public events",46,"99"))))))))))))))))))))))))))))))))))))))))))))))</f>
        <v>42</v>
      </c>
      <c r="L179" s="60">
        <f>IF(J179="syllables",1,IF(J179="trigrams",1,IF(J179="strings",1,IF(J179="visual array",1,IF(J179="characters",1,IF(J179="letters",1,IF(J179="free forms",1,IF(J179="odors",2,IF(J179="words",2,IF(J179="pictures",2,IF(J179="object pictures",2,IF(J179="faces",2,IF(J179="names",2,IF(J179="idioms","2",IF(J179="grades",2,IF(J179="syllable-digit pairs",3,IF(J179="trigram-word pairs",3,IF(J179="word-digit pairs",3,IF(J179="English-Swahili pairs",3,IF(J179="spatial position",3,IF(J179="word pairs",4,IF(J179="word triads",4,IF(J179="generated words",4,IF(J179="word definition pairs",4,IF(J179="math problems",4,IF(J179="famous faces",4,IF(J179="famous names",4,IF(J179="famous voices",4,IF(J179="television programs",4,IF(J179="race horses",4,IF(J179="new vocabulary",4,IF(J179="sentences",5,IF(J179="concepts",5,IF(J179="ad slides",5,IF(J179="scenes",5,IF(J179="famous scenes",5,IF(J179="poems",6,IF(J179="walk",6,IF(J179="faces and events",6,IF(J179="events and names",6,IF(J179="flashbulb",7,IF(J179="stories",7,IF(J179="course material",7,IF(J179="autobiographical",7,IF(J179="novels",7,IF(J179="public events",7,"99"))))))))))))))))))))))))))))))))))))))))))))))</f>
        <v>7</v>
      </c>
      <c r="M179" s="60">
        <v>0</v>
      </c>
      <c r="N179" s="61">
        <v>3</v>
      </c>
      <c r="O179" s="60">
        <v>0</v>
      </c>
      <c r="P179" s="60"/>
      <c r="Q179" s="60" t="s">
        <v>182</v>
      </c>
      <c r="R179" s="60">
        <f>IF(Q179="Free Recall",1,IF(Q179="Cued Recall",2,IF(Q179="Recognition",3,IF(Q179="Multiple Choice",4,IF(Q179="Savings",5,IF(Q179="Stem Completion",6,IF(Q179="Fragment Completion",7,IF(Q179="anagram solution",8,IF(Q179="Matching",9,IF(Q179="Problem Solving",10,"99"))))))))))</f>
        <v>4</v>
      </c>
      <c r="S179" s="60" t="s">
        <v>15</v>
      </c>
      <c r="T179" s="59" t="s">
        <v>581</v>
      </c>
      <c r="U179" s="60">
        <f>IF(T179="within",1,0)</f>
        <v>1</v>
      </c>
      <c r="V179" s="59">
        <v>36</v>
      </c>
      <c r="W179" s="60">
        <f>F179*V179</f>
        <v>360</v>
      </c>
      <c r="X179" s="60">
        <v>3</v>
      </c>
      <c r="Y179" s="76">
        <f>AV178</f>
        <v>20</v>
      </c>
      <c r="Z179" s="59" t="s">
        <v>165</v>
      </c>
      <c r="AA179" s="60">
        <f>60*60*24*7*3</f>
        <v>1814400</v>
      </c>
      <c r="AB179" s="60" t="str">
        <f>IF(AA179&lt;60,"1",IF(AA179&lt;=43200,"2",IF(AA179&lt;=777600,"3","4")))</f>
        <v>4</v>
      </c>
      <c r="AC179" s="56">
        <f>AVERAGE(AV178:DA178)</f>
        <v>605406.66666666663</v>
      </c>
      <c r="AD179" s="60" t="str">
        <f>IF(AC179&lt;60,"1",IF(AC179&lt;=43200,"2",IF(AC179&lt;=777600,"3","4")))</f>
        <v>3</v>
      </c>
      <c r="AE179" s="76">
        <f>AA179-Y179</f>
        <v>1814380</v>
      </c>
      <c r="AF179" s="80">
        <f>AV179</f>
        <v>0.90833333333333333</v>
      </c>
      <c r="AG179" s="56">
        <f>((AW179-AV179)+(AX179-AW179))/2</f>
        <v>-0.10416666666666663</v>
      </c>
      <c r="AH179" s="4"/>
      <c r="AI179" s="56">
        <f>RSQ(AV179:AX179,AV178:AX178)</f>
        <v>0.64555027142614685</v>
      </c>
      <c r="AJ179" s="109">
        <f>SLOPE(AV179:AX179,AV178:AX178)</f>
        <v>-8.0466529508614036E-8</v>
      </c>
      <c r="AK179" s="56">
        <f>INTERCEPT(AV179:AX179,AV178:AX178)</f>
        <v>0.84593719563026715</v>
      </c>
      <c r="AL179" s="56">
        <f>INDEX(LINEST(LN(AV179:AX179),LN(AV178:AX178),TRUE,TRUE),3,1)</f>
        <v>0.96043005336436826</v>
      </c>
      <c r="AM179" s="56">
        <f>INDEX(LINEST(LN(AV179:AX179),LN(AV178:AX178)),1)</f>
        <v>-2.2270177520680771E-2</v>
      </c>
      <c r="AN179" s="56">
        <f>EXP(INDEX(LINEST(LN(AV179:AX179),LN(AV178:AX178)),1,2))</f>
        <v>0.95363215620082431</v>
      </c>
      <c r="AO179" s="82">
        <f>INDEX(LINEST((AV179:AX179),LN(AV178:AX178),TRUE,TRUE),3,1)</f>
        <v>0.94508224858077294</v>
      </c>
      <c r="AP179" s="82">
        <f>INDEX(LINEST((AV179:AX179),LN(AV178:AX178)),1)</f>
        <v>-1.772782943850874E-2</v>
      </c>
      <c r="AQ179" s="83">
        <f>INDEX(LINEST(LN(AV179:AX179),SQRT(AV178:AX178),TRUE,TRUE),3,1)</f>
        <v>0.70201126923910306</v>
      </c>
      <c r="AR179" s="116">
        <f>INDEX(LINEST(LN(AV179:AX179),SQRT((AV178:AX178))),1)</f>
        <v>-1.4323009150943691E-4</v>
      </c>
      <c r="AS179" s="84">
        <f>INDEX(LINEST(1/(AV179:AX179),1/(SQRT(AV178:AX178)),TRUE,TRUE),3,1)</f>
        <v>0.85641636842115176</v>
      </c>
      <c r="AT179" s="84">
        <f>INDEX(LINEST(1/(AV179:AX179),1/SQRT(AV178:AX178)),1)</f>
        <v>-1.2375662498862186</v>
      </c>
      <c r="AU179" s="3"/>
      <c r="AV179" s="53">
        <f>10.9/12</f>
        <v>0.90833333333333333</v>
      </c>
      <c r="AW179" s="53">
        <f>9.4/12</f>
        <v>0.78333333333333333</v>
      </c>
      <c r="AX179" s="53">
        <f>8.4/12</f>
        <v>0.70000000000000007</v>
      </c>
      <c r="AY179" s="53"/>
      <c r="AZ179" s="53"/>
      <c r="BA179" s="53"/>
      <c r="BB179" s="53"/>
      <c r="BC179" s="53"/>
      <c r="BD179" s="53"/>
      <c r="BE179" s="53"/>
      <c r="BF179" s="53"/>
      <c r="BG179" s="53"/>
      <c r="BH179" s="53"/>
      <c r="BI179" s="53"/>
      <c r="BJ179" s="53"/>
      <c r="BK179" s="53"/>
      <c r="BL179" s="53"/>
      <c r="BM179" s="53"/>
      <c r="BN179" s="53"/>
      <c r="BO179" s="53"/>
      <c r="BP179" s="53"/>
      <c r="BQ179" s="53"/>
      <c r="BR179" s="53"/>
      <c r="BS179" s="53"/>
      <c r="BT179" s="53"/>
      <c r="BU179" s="53"/>
      <c r="BV179" s="53"/>
      <c r="BW179" s="53"/>
      <c r="BX179" s="53"/>
      <c r="BY179" s="53"/>
      <c r="BZ179" s="53"/>
      <c r="CA179" s="53"/>
      <c r="CB179" s="53"/>
      <c r="CC179" s="53"/>
      <c r="CD179" s="53"/>
      <c r="CE179" s="53"/>
      <c r="CF179" s="53"/>
      <c r="CG179" s="53"/>
      <c r="CH179" s="53"/>
      <c r="CI179" s="53"/>
      <c r="CJ179" s="53"/>
      <c r="CK179" s="53"/>
      <c r="CL179" s="53"/>
      <c r="CM179" s="53"/>
      <c r="CN179" s="53"/>
      <c r="CO179" s="53"/>
      <c r="CP179" s="53"/>
      <c r="CQ179" s="53"/>
      <c r="CR179" s="1"/>
      <c r="CS179" s="1"/>
      <c r="CT179" s="1"/>
      <c r="CU179" s="1"/>
    </row>
    <row r="180" spans="1:99" s="13" customFormat="1" ht="12" customHeight="1" x14ac:dyDescent="0.2">
      <c r="A180" s="65">
        <v>43979</v>
      </c>
      <c r="B180" s="1"/>
      <c r="C180" s="1"/>
      <c r="D180" s="60"/>
      <c r="E180" s="76"/>
      <c r="F180" s="60"/>
      <c r="G180" s="60"/>
      <c r="H180" s="60"/>
      <c r="I180" s="60"/>
      <c r="J180" s="60"/>
      <c r="K180" s="60"/>
      <c r="L180" s="60"/>
      <c r="M180" s="60"/>
      <c r="N180" s="61"/>
      <c r="O180" s="60"/>
      <c r="P180" s="60"/>
      <c r="Q180" s="60"/>
      <c r="R180" s="60"/>
      <c r="S180" s="60"/>
      <c r="T180" s="59"/>
      <c r="U180" s="60"/>
      <c r="V180" s="59"/>
      <c r="W180" s="60"/>
      <c r="X180" s="60"/>
      <c r="Y180" s="76"/>
      <c r="Z180" s="59"/>
      <c r="AA180" s="60"/>
      <c r="AB180" s="60"/>
      <c r="AC180" s="56"/>
      <c r="AD180" s="60"/>
      <c r="AE180" s="76"/>
      <c r="AF180" s="80"/>
      <c r="AG180" s="56"/>
      <c r="AH180" s="4"/>
      <c r="AI180" s="56"/>
      <c r="AJ180" s="109"/>
      <c r="AK180" s="56"/>
      <c r="AL180" s="56"/>
      <c r="AM180" s="56"/>
      <c r="AN180" s="56"/>
      <c r="AO180" s="82"/>
      <c r="AP180" s="82"/>
      <c r="AQ180" s="83"/>
      <c r="AR180" s="116"/>
      <c r="AS180" s="84"/>
      <c r="AT180" s="84"/>
      <c r="AU180" s="3"/>
      <c r="AV180" s="25">
        <v>20</v>
      </c>
      <c r="AW180" s="25">
        <f>60*30</f>
        <v>1800</v>
      </c>
      <c r="AX180" s="25">
        <f>60*60*24*7*3</f>
        <v>1814400</v>
      </c>
      <c r="AY180" s="53"/>
      <c r="AZ180" s="53"/>
      <c r="BA180" s="53"/>
      <c r="BB180" s="53"/>
      <c r="BC180" s="53"/>
      <c r="BD180" s="53"/>
      <c r="BE180" s="53"/>
      <c r="BF180" s="53"/>
      <c r="BG180" s="53"/>
      <c r="BH180" s="53"/>
      <c r="BI180" s="53"/>
      <c r="BJ180" s="53"/>
      <c r="BK180" s="53"/>
      <c r="BL180" s="53"/>
      <c r="BM180" s="53"/>
      <c r="BN180" s="53"/>
      <c r="BO180" s="53"/>
      <c r="BP180" s="53"/>
      <c r="BQ180" s="53"/>
      <c r="BR180" s="53"/>
      <c r="BS180" s="53"/>
      <c r="BT180" s="53"/>
      <c r="BU180" s="53"/>
      <c r="BV180" s="53"/>
      <c r="BW180" s="53"/>
      <c r="BX180" s="53"/>
      <c r="BY180" s="53"/>
      <c r="BZ180" s="53"/>
      <c r="CA180" s="53"/>
      <c r="CB180" s="53"/>
      <c r="CC180" s="53"/>
      <c r="CD180" s="53"/>
      <c r="CE180" s="53"/>
      <c r="CF180" s="53"/>
      <c r="CG180" s="53"/>
      <c r="CH180" s="53"/>
      <c r="CI180" s="53"/>
      <c r="CJ180" s="53"/>
      <c r="CK180" s="53"/>
      <c r="CL180" s="53"/>
      <c r="CM180" s="53"/>
      <c r="CN180" s="53"/>
      <c r="CO180" s="53"/>
      <c r="CP180" s="53"/>
      <c r="CQ180" s="53"/>
      <c r="CR180" s="1"/>
      <c r="CS180" s="1"/>
      <c r="CT180" s="1"/>
      <c r="CU180" s="1"/>
    </row>
    <row r="181" spans="1:99" s="13" customFormat="1" ht="12" customHeight="1" x14ac:dyDescent="0.2">
      <c r="A181" s="65">
        <v>43979</v>
      </c>
      <c r="B181" s="1" t="s">
        <v>979</v>
      </c>
      <c r="C181" s="1" t="s">
        <v>357</v>
      </c>
      <c r="D181" s="60">
        <v>2003</v>
      </c>
      <c r="E181" s="76">
        <v>1</v>
      </c>
      <c r="F181" s="60">
        <v>10</v>
      </c>
      <c r="G181" s="60">
        <v>10</v>
      </c>
      <c r="H181" s="60" t="s">
        <v>452</v>
      </c>
      <c r="I181" s="60" t="s">
        <v>330</v>
      </c>
      <c r="J181" s="60" t="s">
        <v>317</v>
      </c>
      <c r="K181" s="60">
        <f>IF(J181="syllables",1,IF(J181="trigrams",2,IF(J181="strings",3,IF(J181="visual array",4,IF(J181="characters",5,IF(J181="letters",6,IF(J181="free forms",7,IF(J181="odors",8,IF(J181="words",9,IF(J181="pictures",10,IF(J181="object pictures",11,IF(J181="faces",12,IF(J181="names",13,IF(J181="idioms",14,IF(J181="grades",15,IF(J181="syllable-digit pairs",16,IF(J181="trigram-word pairs",17,IF(J181="word-digit pairs",18,IF(J181="English-Swahili pairs",19,IF(J181="spatial position",20,IF(J181="word pairs",21,IF(J181="word triads",22,IF(J181="generated words",23,IF(J181="word definition pairs",24,IF(J181="math problems",25,IF(J181="famous faces",26,IF(J181="famous names",27,IF(J181="famous voices",28,IF(J181="television programs",29,IF(J181="race horses",30,IF(J181="new vocabulary",31,IF(J181="sentences",32,IF(J181="concepts",33,IF(J181="ad slides",34,IF(J181="scenes",35,IF(J181="famous scenes",36,IF(J181="poems",37,IF(J181="walk",38,IF(J181="faces and events",39,IF(J181="events and names",40,IF(J181="flashbulb",41,IF(J181="stories",42,IF(J181="course material",43,IF(J181="autobiographical",44,IF(J181="novels",45,IF(J181="public events",46,"99"))))))))))))))))))))))))))))))))))))))))))))))</f>
        <v>7</v>
      </c>
      <c r="L181" s="60">
        <f>IF(J181="syllables",1,IF(J181="trigrams",1,IF(J181="strings",1,IF(J181="visual array",1,IF(J181="characters",1,IF(J181="letters",1,IF(J181="free forms",1,IF(J181="odors",2,IF(J181="words",2,IF(J181="pictures",2,IF(J181="object pictures",2,IF(J181="faces",2,IF(J181="names",2,IF(J181="idioms","2",IF(J181="grades",2,IF(J181="syllable-digit pairs",3,IF(J181="trigram-word pairs",3,IF(J181="word-digit pairs",3,IF(J181="English-Swahili pairs",3,IF(J181="spatial position",3,IF(J181="word pairs",4,IF(J181="word triads",4,IF(J181="generated words",4,IF(J181="word definition pairs",4,IF(J181="math problems",4,IF(J181="famous faces",4,IF(J181="famous names",4,IF(J181="famous voices",4,IF(J181="television programs",4,IF(J181="race horses",4,IF(J181="new vocabulary",4,IF(J181="sentences",5,IF(J181="concepts",5,IF(J181="ad slides",5,IF(J181="scenes",5,IF(J181="famous scenes",5,IF(J181="poems",6,IF(J181="walk",6,IF(J181="faces and events",6,IF(J181="events and names",6,IF(J181="flashbulb",7,IF(J181="stories",7,IF(J181="course material",7,IF(J181="autobiographical",7,IF(J181="novels",7,IF(J181="public events",7,"99"))))))))))))))))))))))))))))))))))))))))))))))</f>
        <v>1</v>
      </c>
      <c r="M181" s="60">
        <v>0</v>
      </c>
      <c r="N181" s="61">
        <v>1</v>
      </c>
      <c r="O181" s="60">
        <v>0</v>
      </c>
      <c r="P181" s="60"/>
      <c r="Q181" s="60" t="s">
        <v>174</v>
      </c>
      <c r="R181" s="60">
        <f>IF(Q181="Free Recall",1,IF(Q181="Cued Recall",2,IF(Q181="Recognition",3,IF(Q181="Multiple Choice",4,IF(Q181="Savings",5,IF(Q181="Stem Completion",6,IF(Q181="Fragment Completion",7,IF(Q181="anagram solution",8,IF(Q181="Matching",9,IF(Q181="Problem Solving",10,"99"))))))))))</f>
        <v>1</v>
      </c>
      <c r="S181" s="60" t="s">
        <v>49</v>
      </c>
      <c r="T181" s="59" t="s">
        <v>581</v>
      </c>
      <c r="U181" s="60">
        <f>IF(T181="within",1,0)</f>
        <v>1</v>
      </c>
      <c r="V181" s="59">
        <v>90</v>
      </c>
      <c r="W181" s="60">
        <f>F181*V181</f>
        <v>900</v>
      </c>
      <c r="X181" s="60">
        <v>3</v>
      </c>
      <c r="Y181" s="76">
        <f>AV180</f>
        <v>20</v>
      </c>
      <c r="Z181" s="59" t="s">
        <v>165</v>
      </c>
      <c r="AA181" s="60">
        <f>60*60*24*7*3</f>
        <v>1814400</v>
      </c>
      <c r="AB181" s="60" t="str">
        <f>IF(AA181&lt;60,"1",IF(AA181&lt;=43200,"2",IF(AA181&lt;=777600,"3","4")))</f>
        <v>4</v>
      </c>
      <c r="AC181" s="56">
        <f>AVERAGE(AV180:DA180)</f>
        <v>605406.66666666663</v>
      </c>
      <c r="AD181" s="60" t="str">
        <f>IF(AC181&lt;60,"1",IF(AC181&lt;=43200,"2",IF(AC181&lt;=777600,"3","4")))</f>
        <v>3</v>
      </c>
      <c r="AE181" s="76">
        <f>AA181-Y181</f>
        <v>1814380</v>
      </c>
      <c r="AF181" s="80">
        <f>AV181</f>
        <v>0.74666666666666659</v>
      </c>
      <c r="AG181" s="56">
        <f>((AW181-AV181)+(AX181-AW181))/2</f>
        <v>-0.11833333333333329</v>
      </c>
      <c r="AH181" s="4"/>
      <c r="AI181" s="56">
        <f>RSQ(AV181:AX181,AV180:AX180)</f>
        <v>0.9818842786929296</v>
      </c>
      <c r="AJ181" s="109">
        <f>SLOPE(AV181:AX181,AV180:AX180)</f>
        <v>-1.415155502632586E-7</v>
      </c>
      <c r="AK181" s="56">
        <f>INTERCEPT(AV181:AX181,AV180:AX180)</f>
        <v>0.76678556867748948</v>
      </c>
      <c r="AL181" s="56">
        <f>INDEX(LINEST(LN(AV181:AX181),LN(AV180:AX180),TRUE,TRUE),3,1)</f>
        <v>0.75953005635477955</v>
      </c>
      <c r="AM181" s="56">
        <f>INDEX(LINEST(LN(AV181:AX181),LN(AV180:AX180)),1)</f>
        <v>-3.5859183422681816E-2</v>
      </c>
      <c r="AN181" s="56">
        <f>EXP(INDEX(LINEST(LN(AV181:AX181),LN(AV180:AX180)),1,2))</f>
        <v>0.90109105184865146</v>
      </c>
      <c r="AO181" s="82">
        <f>INDEX(LINEST((AV181:AX181),LN(AV180:AX180),TRUE,TRUE),3,1)</f>
        <v>0.73903608342283178</v>
      </c>
      <c r="AP181" s="82">
        <f>INDEX(LINEST((AV181:AX181),LN(AV180:AX180)),1)</f>
        <v>-2.2355138137705979E-2</v>
      </c>
      <c r="AQ181" s="83">
        <f>INDEX(LINEST(LN(AV181:AX181),SQRT(AV180:AX180),TRUE,TRUE),3,1)</f>
        <v>0.98179536877842544</v>
      </c>
      <c r="AR181" s="116">
        <f>INDEX(LINEST(LN(AV181:AX181),SQRT((AV180:AX180))),1)</f>
        <v>-3.0669720785868061E-4</v>
      </c>
      <c r="AS181" s="84">
        <f>INDEX(LINEST(1/(AV181:AX181),1/(SQRT(AV180:AX180)),TRUE,TRUE),3,1)</f>
        <v>0.25303825176368672</v>
      </c>
      <c r="AT181" s="84">
        <f>INDEX(LINEST(1/(AV181:AX181),1/SQRT(AV180:AX180)),1)</f>
        <v>-1.5590124011608113</v>
      </c>
      <c r="AU181" s="3"/>
      <c r="AV181" s="53">
        <f>22.4/30</f>
        <v>0.74666666666666659</v>
      </c>
      <c r="AW181" s="53">
        <f>23.6/30</f>
        <v>0.78666666666666674</v>
      </c>
      <c r="AX181" s="53">
        <f>15.3/30</f>
        <v>0.51</v>
      </c>
      <c r="AY181" s="53"/>
      <c r="AZ181" s="53"/>
      <c r="BA181" s="53"/>
      <c r="BB181" s="53"/>
      <c r="BC181" s="53"/>
      <c r="BD181" s="53"/>
      <c r="BE181" s="53"/>
      <c r="BF181" s="53"/>
      <c r="BG181" s="53"/>
      <c r="BH181" s="53"/>
      <c r="BI181" s="53"/>
      <c r="BJ181" s="53"/>
      <c r="BK181" s="53"/>
      <c r="BL181" s="53"/>
      <c r="BM181" s="53"/>
      <c r="BN181" s="53"/>
      <c r="BO181" s="53"/>
      <c r="BP181" s="53"/>
      <c r="BQ181" s="53"/>
      <c r="BR181" s="53"/>
      <c r="BS181" s="53"/>
      <c r="BT181" s="53"/>
      <c r="BU181" s="53"/>
      <c r="BV181" s="53"/>
      <c r="BW181" s="53"/>
      <c r="BX181" s="53"/>
      <c r="BY181" s="53"/>
      <c r="BZ181" s="53"/>
      <c r="CA181" s="53"/>
      <c r="CB181" s="53"/>
      <c r="CC181" s="53"/>
      <c r="CD181" s="53"/>
      <c r="CE181" s="53"/>
      <c r="CF181" s="53"/>
      <c r="CG181" s="53"/>
      <c r="CH181" s="53"/>
      <c r="CI181" s="53"/>
      <c r="CJ181" s="53"/>
      <c r="CK181" s="53"/>
      <c r="CL181" s="53"/>
      <c r="CM181" s="53"/>
      <c r="CN181" s="53"/>
      <c r="CO181" s="53"/>
      <c r="CP181" s="53"/>
      <c r="CQ181" s="53"/>
      <c r="CR181" s="1"/>
      <c r="CS181" s="1"/>
      <c r="CT181" s="1"/>
      <c r="CU181" s="1"/>
    </row>
    <row r="182" spans="1:99" s="13" customFormat="1" ht="12" customHeight="1" x14ac:dyDescent="0.2">
      <c r="A182" s="65">
        <v>43979</v>
      </c>
      <c r="B182" s="1"/>
      <c r="C182" s="1"/>
      <c r="D182" s="60"/>
      <c r="E182" s="76"/>
      <c r="F182" s="60"/>
      <c r="G182" s="60"/>
      <c r="H182" s="60"/>
      <c r="I182" s="60"/>
      <c r="J182" s="60"/>
      <c r="K182" s="60"/>
      <c r="L182" s="60"/>
      <c r="M182" s="60"/>
      <c r="N182" s="61"/>
      <c r="O182" s="60"/>
      <c r="P182" s="60"/>
      <c r="Q182" s="60"/>
      <c r="R182" s="60"/>
      <c r="S182" s="60"/>
      <c r="T182" s="59"/>
      <c r="U182" s="60"/>
      <c r="V182" s="59"/>
      <c r="W182" s="60"/>
      <c r="X182" s="60"/>
      <c r="Y182" s="76"/>
      <c r="Z182" s="59"/>
      <c r="AA182" s="60"/>
      <c r="AB182" s="60"/>
      <c r="AC182" s="56"/>
      <c r="AD182" s="60"/>
      <c r="AE182" s="76"/>
      <c r="AF182" s="80"/>
      <c r="AG182" s="56"/>
      <c r="AH182" s="4"/>
      <c r="AI182" s="56"/>
      <c r="AJ182" s="109"/>
      <c r="AK182" s="56"/>
      <c r="AL182" s="56"/>
      <c r="AM182" s="56"/>
      <c r="AN182" s="56"/>
      <c r="AO182" s="82"/>
      <c r="AP182" s="82"/>
      <c r="AQ182" s="83"/>
      <c r="AR182" s="116"/>
      <c r="AS182" s="84"/>
      <c r="AT182" s="84"/>
      <c r="AU182" s="3"/>
      <c r="AV182" s="25">
        <v>20</v>
      </c>
      <c r="AW182" s="25">
        <f>60*30</f>
        <v>1800</v>
      </c>
      <c r="AX182" s="25">
        <f>60*60*24*7*3</f>
        <v>1814400</v>
      </c>
      <c r="AY182" s="53"/>
      <c r="AZ182" s="53"/>
      <c r="BA182" s="53"/>
      <c r="BB182" s="53"/>
      <c r="BC182" s="53"/>
      <c r="BD182" s="53"/>
      <c r="BE182" s="53"/>
      <c r="BF182" s="53"/>
      <c r="BG182" s="53"/>
      <c r="BH182" s="53"/>
      <c r="BI182" s="53"/>
      <c r="BJ182" s="53"/>
      <c r="BK182" s="53"/>
      <c r="BL182" s="53"/>
      <c r="BM182" s="53"/>
      <c r="BN182" s="53"/>
      <c r="BO182" s="53"/>
      <c r="BP182" s="53"/>
      <c r="BQ182" s="53"/>
      <c r="BR182" s="53"/>
      <c r="BS182" s="53"/>
      <c r="BT182" s="53"/>
      <c r="BU182" s="53"/>
      <c r="BV182" s="53"/>
      <c r="BW182" s="53"/>
      <c r="BX182" s="53"/>
      <c r="BY182" s="53"/>
      <c r="BZ182" s="53"/>
      <c r="CA182" s="53"/>
      <c r="CB182" s="53"/>
      <c r="CC182" s="53"/>
      <c r="CD182" s="53"/>
      <c r="CE182" s="53"/>
      <c r="CF182" s="53"/>
      <c r="CG182" s="53"/>
      <c r="CH182" s="53"/>
      <c r="CI182" s="53"/>
      <c r="CJ182" s="53"/>
      <c r="CK182" s="53"/>
      <c r="CL182" s="53"/>
      <c r="CM182" s="53"/>
      <c r="CN182" s="53"/>
      <c r="CO182" s="53"/>
      <c r="CP182" s="53"/>
      <c r="CQ182" s="53"/>
      <c r="CR182" s="1"/>
      <c r="CS182" s="1"/>
      <c r="CT182" s="1"/>
      <c r="CU182" s="1"/>
    </row>
    <row r="183" spans="1:99" s="13" customFormat="1" ht="12" customHeight="1" x14ac:dyDescent="0.2">
      <c r="A183" s="65">
        <v>43979</v>
      </c>
      <c r="B183" s="1" t="s">
        <v>979</v>
      </c>
      <c r="C183" s="1" t="s">
        <v>357</v>
      </c>
      <c r="D183" s="60">
        <v>2003</v>
      </c>
      <c r="E183" s="76">
        <v>1</v>
      </c>
      <c r="F183" s="60">
        <v>10</v>
      </c>
      <c r="G183" s="60">
        <v>10</v>
      </c>
      <c r="H183" s="60" t="s">
        <v>452</v>
      </c>
      <c r="I183" s="60" t="s">
        <v>330</v>
      </c>
      <c r="J183" s="60" t="s">
        <v>317</v>
      </c>
      <c r="K183" s="60">
        <f>IF(J183="syllables",1,IF(J183="trigrams",2,IF(J183="strings",3,IF(J183="visual array",4,IF(J183="characters",5,IF(J183="letters",6,IF(J183="free forms",7,IF(J183="odors",8,IF(J183="words",9,IF(J183="pictures",10,IF(J183="object pictures",11,IF(J183="faces",12,IF(J183="names",13,IF(J183="idioms",14,IF(J183="grades",15,IF(J183="syllable-digit pairs",16,IF(J183="trigram-word pairs",17,IF(J183="word-digit pairs",18,IF(J183="English-Swahili pairs",19,IF(J183="spatial position",20,IF(J183="word pairs",21,IF(J183="word triads",22,IF(J183="generated words",23,IF(J183="word definition pairs",24,IF(J183="math problems",25,IF(J183="famous faces",26,IF(J183="famous names",27,IF(J183="famous voices",28,IF(J183="television programs",29,IF(J183="race horses",30,IF(J183="new vocabulary",31,IF(J183="sentences",32,IF(J183="concepts",33,IF(J183="ad slides",34,IF(J183="scenes",35,IF(J183="famous scenes",36,IF(J183="poems",37,IF(J183="walk",38,IF(J183="faces and events",39,IF(J183="events and names",40,IF(J183="flashbulb",41,IF(J183="stories",42,IF(J183="course material",43,IF(J183="autobiographical",44,IF(J183="novels",45,IF(J183="public events",46,"99"))))))))))))))))))))))))))))))))))))))))))))))</f>
        <v>7</v>
      </c>
      <c r="L183" s="60">
        <f>IF(J183="syllables",1,IF(J183="trigrams",1,IF(J183="strings",1,IF(J183="visual array",1,IF(J183="characters",1,IF(J183="letters",1,IF(J183="free forms",1,IF(J183="odors",2,IF(J183="words",2,IF(J183="pictures",2,IF(J183="object pictures",2,IF(J183="faces",2,IF(J183="names",2,IF(J183="idioms","2",IF(J183="grades",2,IF(J183="syllable-digit pairs",3,IF(J183="trigram-word pairs",3,IF(J183="word-digit pairs",3,IF(J183="English-Swahili pairs",3,IF(J183="spatial position",3,IF(J183="word pairs",4,IF(J183="word triads",4,IF(J183="generated words",4,IF(J183="word definition pairs",4,IF(J183="math problems",4,IF(J183="famous faces",4,IF(J183="famous names",4,IF(J183="famous voices",4,IF(J183="television programs",4,IF(J183="race horses",4,IF(J183="new vocabulary",4,IF(J183="sentences",5,IF(J183="concepts",5,IF(J183="ad slides",5,IF(J183="scenes",5,IF(J183="famous scenes",5,IF(J183="poems",6,IF(J183="walk",6,IF(J183="faces and events",6,IF(J183="events and names",6,IF(J183="flashbulb",7,IF(J183="stories",7,IF(J183="course material",7,IF(J183="autobiographical",7,IF(J183="novels",7,IF(J183="public events",7,"99"))))))))))))))))))))))))))))))))))))))))))))))</f>
        <v>1</v>
      </c>
      <c r="M183" s="60">
        <v>0</v>
      </c>
      <c r="N183" s="61">
        <v>1</v>
      </c>
      <c r="O183" s="60">
        <v>0</v>
      </c>
      <c r="P183" s="60"/>
      <c r="Q183" s="60" t="s">
        <v>182</v>
      </c>
      <c r="R183" s="60">
        <f>IF(Q183="Free Recall",1,IF(Q183="Cued Recall",2,IF(Q183="Recognition",3,IF(Q183="Multiple Choice",4,IF(Q183="Savings",5,IF(Q183="Stem Completion",6,IF(Q183="Fragment Completion",7,IF(Q183="anagram solution",8,IF(Q183="Matching",9,IF(Q183="Problem Solving",10,"99"))))))))))</f>
        <v>4</v>
      </c>
      <c r="S183" s="60" t="s">
        <v>15</v>
      </c>
      <c r="T183" s="59" t="s">
        <v>581</v>
      </c>
      <c r="U183" s="60">
        <f>IF(T183="within",1,0)</f>
        <v>1</v>
      </c>
      <c r="V183" s="59">
        <v>15</v>
      </c>
      <c r="W183" s="60">
        <f>F183*V183</f>
        <v>150</v>
      </c>
      <c r="X183" s="60">
        <v>3</v>
      </c>
      <c r="Y183" s="76">
        <f>AV182</f>
        <v>20</v>
      </c>
      <c r="Z183" s="59" t="s">
        <v>165</v>
      </c>
      <c r="AA183" s="60">
        <f>60*60*24*7*3</f>
        <v>1814400</v>
      </c>
      <c r="AB183" s="60" t="str">
        <f>IF(AA183&lt;60,"1",IF(AA183&lt;=43200,"2",IF(AA183&lt;=777600,"3","4")))</f>
        <v>4</v>
      </c>
      <c r="AC183" s="56">
        <f>AVERAGE(AV182:DA182)</f>
        <v>605406.66666666663</v>
      </c>
      <c r="AD183" s="60" t="str">
        <f>IF(AC183&lt;60,"1",IF(AC183&lt;=43200,"2",IF(AC183&lt;=777600,"3","4")))</f>
        <v>3</v>
      </c>
      <c r="AE183" s="76">
        <f>AA183-Y183</f>
        <v>1814380</v>
      </c>
      <c r="AF183" s="80">
        <f>AV183</f>
        <v>0.82</v>
      </c>
      <c r="AG183" s="56">
        <f>((AW183-AV183)+(AX183-AW183))/2</f>
        <v>-0.12</v>
      </c>
      <c r="AH183" s="4"/>
      <c r="AI183" s="56">
        <f>RSQ(AV183:AX183,AV182:AX182)</f>
        <v>0.99448749183031082</v>
      </c>
      <c r="AJ183" s="109">
        <f>SLOPE(AV183:AX183,AV182:AX182)</f>
        <v>-1.2683530474086107E-7</v>
      </c>
      <c r="AK183" s="56">
        <f>INTERCEPT(AV183:AX183,AV182:AX182)</f>
        <v>0.81012027239214901</v>
      </c>
      <c r="AL183" s="56">
        <f>INDEX(LINEST(LN(AV183:AX183),LN(AV182:AX182),TRUE,TRUE),3,1)</f>
        <v>0.89000127463873746</v>
      </c>
      <c r="AM183" s="56">
        <f>INDEX(LINEST(LN(AV183:AX183),LN(AV182:AX182)),1)</f>
        <v>-3.1695277143817535E-2</v>
      </c>
      <c r="AN183" s="56">
        <f>EXP(INDEX(LINEST(LN(AV183:AX183),LN(AV182:AX182)),1,2))</f>
        <v>0.9426977283417054</v>
      </c>
      <c r="AO183" s="82">
        <f>INDEX(LINEST((AV183:AX183),LN(AV182:AX182),TRUE,TRUE),3,1)</f>
        <v>0.8969196532379119</v>
      </c>
      <c r="AP183" s="82">
        <f>INDEX(LINEST((AV183:AX183),LN(AV182:AX182)),1)</f>
        <v>-2.193248238706013E-2</v>
      </c>
      <c r="AQ183" s="83">
        <f>INDEX(LINEST(LN(AV183:AX183),SQRT(AV182:AX182),TRUE,TRUE),3,1)</f>
        <v>0.99847023732058837</v>
      </c>
      <c r="AR183" s="116">
        <f>INDEX(LINEST(LN(AV183:AX183),SQRT((AV182:AX182))),1)</f>
        <v>-2.5254467777207468E-4</v>
      </c>
      <c r="AS183" s="84">
        <f>INDEX(LINEST(1/(AV183:AX183),1/(SQRT(AV182:AX182)),TRUE,TRUE),3,1)</f>
        <v>0.38632687823243039</v>
      </c>
      <c r="AT183" s="84">
        <f>INDEX(LINEST(1/(AV183:AX183),1/SQRT(AV182:AX182)),1)</f>
        <v>-1.4343590768561645</v>
      </c>
      <c r="AU183" s="3"/>
      <c r="AV183" s="53">
        <f>4.1/5</f>
        <v>0.82</v>
      </c>
      <c r="AW183" s="53">
        <f>4/5</f>
        <v>0.8</v>
      </c>
      <c r="AX183" s="53">
        <f>2.9/5</f>
        <v>0.57999999999999996</v>
      </c>
      <c r="AY183" s="53"/>
      <c r="AZ183" s="53"/>
      <c r="BA183" s="53"/>
      <c r="BB183" s="53"/>
      <c r="BC183" s="53"/>
      <c r="BD183" s="53"/>
      <c r="BE183" s="53"/>
      <c r="BF183" s="53"/>
      <c r="BG183" s="53"/>
      <c r="BH183" s="53"/>
      <c r="BI183" s="53"/>
      <c r="BJ183" s="53"/>
      <c r="BK183" s="53"/>
      <c r="BL183" s="53"/>
      <c r="BM183" s="53"/>
      <c r="BN183" s="53"/>
      <c r="BO183" s="53"/>
      <c r="BP183" s="53"/>
      <c r="BQ183" s="53"/>
      <c r="BR183" s="53"/>
      <c r="BS183" s="53"/>
      <c r="BT183" s="53"/>
      <c r="BU183" s="53"/>
      <c r="BV183" s="53"/>
      <c r="BW183" s="53"/>
      <c r="BX183" s="53"/>
      <c r="BY183" s="53"/>
      <c r="BZ183" s="53"/>
      <c r="CA183" s="53"/>
      <c r="CB183" s="53"/>
      <c r="CC183" s="53"/>
      <c r="CD183" s="53"/>
      <c r="CE183" s="53"/>
      <c r="CF183" s="53"/>
      <c r="CG183" s="53"/>
      <c r="CH183" s="53"/>
      <c r="CI183" s="53"/>
      <c r="CJ183" s="53"/>
      <c r="CK183" s="53"/>
      <c r="CL183" s="53"/>
      <c r="CM183" s="53"/>
      <c r="CN183" s="53"/>
      <c r="CO183" s="53"/>
      <c r="CP183" s="53"/>
      <c r="CQ183" s="53"/>
      <c r="CR183" s="1"/>
      <c r="CS183" s="1"/>
      <c r="CT183" s="1"/>
      <c r="CU183" s="1"/>
    </row>
    <row r="184" spans="1:99" s="13" customFormat="1" ht="12" customHeight="1" x14ac:dyDescent="0.2">
      <c r="A184" s="65">
        <v>43979</v>
      </c>
      <c r="B184" s="1"/>
      <c r="C184" s="1"/>
      <c r="D184" s="60"/>
      <c r="E184" s="76"/>
      <c r="F184" s="60"/>
      <c r="G184" s="60"/>
      <c r="H184" s="60"/>
      <c r="I184" s="60"/>
      <c r="J184" s="60"/>
      <c r="K184" s="60"/>
      <c r="L184" s="60"/>
      <c r="M184" s="60"/>
      <c r="N184" s="61"/>
      <c r="O184" s="60"/>
      <c r="P184" s="60"/>
      <c r="Q184" s="60"/>
      <c r="R184" s="60"/>
      <c r="S184" s="60"/>
      <c r="T184" s="59"/>
      <c r="U184" s="60"/>
      <c r="V184" s="59"/>
      <c r="W184" s="60"/>
      <c r="X184" s="60"/>
      <c r="Y184" s="76"/>
      <c r="Z184" s="59"/>
      <c r="AA184" s="60"/>
      <c r="AB184" s="60"/>
      <c r="AC184" s="56"/>
      <c r="AD184" s="60"/>
      <c r="AE184" s="76"/>
      <c r="AF184" s="80"/>
      <c r="AG184" s="56"/>
      <c r="AH184" s="4"/>
      <c r="AI184" s="56"/>
      <c r="AJ184" s="109"/>
      <c r="AK184" s="56"/>
      <c r="AL184" s="56"/>
      <c r="AM184" s="56"/>
      <c r="AN184" s="56"/>
      <c r="AO184" s="82"/>
      <c r="AP184" s="82"/>
      <c r="AQ184" s="83"/>
      <c r="AR184" s="116"/>
      <c r="AS184" s="84"/>
      <c r="AT184" s="84"/>
      <c r="AU184" s="3"/>
      <c r="AV184" s="25">
        <v>20</v>
      </c>
      <c r="AW184" s="25">
        <f>60*30</f>
        <v>1800</v>
      </c>
      <c r="AX184" s="25">
        <f>60*60*24*7*3</f>
        <v>1814400</v>
      </c>
      <c r="AY184" s="53"/>
      <c r="AZ184" s="53"/>
      <c r="BA184" s="53"/>
      <c r="BB184" s="53"/>
      <c r="BC184" s="53"/>
      <c r="BD184" s="53"/>
      <c r="BE184" s="53"/>
      <c r="BF184" s="53"/>
      <c r="BG184" s="53"/>
      <c r="BH184" s="53"/>
      <c r="BI184" s="53"/>
      <c r="BJ184" s="53"/>
      <c r="BK184" s="53"/>
      <c r="BL184" s="53"/>
      <c r="BM184" s="53"/>
      <c r="BN184" s="53"/>
      <c r="BO184" s="53"/>
      <c r="BP184" s="53"/>
      <c r="BQ184" s="53"/>
      <c r="BR184" s="53"/>
      <c r="BS184" s="53"/>
      <c r="BT184" s="53"/>
      <c r="BU184" s="53"/>
      <c r="BV184" s="53"/>
      <c r="BW184" s="53"/>
      <c r="BX184" s="53"/>
      <c r="BY184" s="53"/>
      <c r="BZ184" s="53"/>
      <c r="CA184" s="53"/>
      <c r="CB184" s="53"/>
      <c r="CC184" s="53"/>
      <c r="CD184" s="53"/>
      <c r="CE184" s="53"/>
      <c r="CF184" s="53"/>
      <c r="CG184" s="53"/>
      <c r="CH184" s="53"/>
      <c r="CI184" s="53"/>
      <c r="CJ184" s="53"/>
      <c r="CK184" s="53"/>
      <c r="CL184" s="53"/>
      <c r="CM184" s="53"/>
      <c r="CN184" s="53"/>
      <c r="CO184" s="53"/>
      <c r="CP184" s="53"/>
      <c r="CQ184" s="53"/>
      <c r="CR184" s="1"/>
      <c r="CS184" s="1"/>
      <c r="CT184" s="1"/>
      <c r="CU184" s="1"/>
    </row>
    <row r="185" spans="1:99" s="13" customFormat="1" ht="12" customHeight="1" x14ac:dyDescent="0.2">
      <c r="A185" s="65">
        <v>43979</v>
      </c>
      <c r="B185" s="1" t="s">
        <v>979</v>
      </c>
      <c r="C185" s="1" t="s">
        <v>357</v>
      </c>
      <c r="D185" s="60">
        <v>2003</v>
      </c>
      <c r="E185" s="76">
        <v>1</v>
      </c>
      <c r="F185" s="60">
        <v>10</v>
      </c>
      <c r="G185" s="60">
        <v>10</v>
      </c>
      <c r="H185" s="60" t="s">
        <v>452</v>
      </c>
      <c r="I185" s="60" t="s">
        <v>330</v>
      </c>
      <c r="J185" s="60" t="s">
        <v>16</v>
      </c>
      <c r="K185" s="60">
        <f>IF(J185="syllables",1,IF(J185="trigrams",2,IF(J185="strings",3,IF(J185="visual array",4,IF(J185="characters",5,IF(J185="letters",6,IF(J185="free forms",7,IF(J185="odors",8,IF(J185="words",9,IF(J185="pictures",10,IF(J185="object pictures",11,IF(J185="faces",12,IF(J185="names",13,IF(J185="idioms",14,IF(J185="grades",15,IF(J185="syllable-digit pairs",16,IF(J185="trigram-word pairs",17,IF(J185="word-digit pairs",18,IF(J185="English-Swahili pairs",19,IF(J185="spatial position",20,IF(J185="word pairs",21,IF(J185="word triads",22,IF(J185="generated words",23,IF(J185="word definition pairs",24,IF(J185="math problems",25,IF(J185="famous faces",26,IF(J185="famous names",27,IF(J185="famous voices",28,IF(J185="television programs",29,IF(J185="race horses",30,IF(J185="new vocabulary",31,IF(J185="sentences",32,IF(J185="concepts",33,IF(J185="ad slides",34,IF(J185="scenes",35,IF(J185="famous scenes",36,IF(J185="poems",37,IF(J185="walk",38,IF(J185="faces and events",39,IF(J185="events and names",40,IF(J185="flashbulb",41,IF(J185="stories",42,IF(J185="course material",43,IF(J185="autobiographical",44,IF(J185="novels",45,IF(J185="public events",46,"99"))))))))))))))))))))))))))))))))))))))))))))))</f>
        <v>9</v>
      </c>
      <c r="L185" s="60">
        <f>IF(J185="syllables",1,IF(J185="trigrams",1,IF(J185="strings",1,IF(J185="visual array",1,IF(J185="characters",1,IF(J185="letters",1,IF(J185="free forms",1,IF(J185="odors",2,IF(J185="words",2,IF(J185="pictures",2,IF(J185="object pictures",2,IF(J185="faces",2,IF(J185="names",2,IF(J185="idioms","2",IF(J185="grades",2,IF(J185="syllable-digit pairs",3,IF(J185="trigram-word pairs",3,IF(J185="word-digit pairs",3,IF(J185="English-Swahili pairs",3,IF(J185="spatial position",3,IF(J185="word pairs",4,IF(J185="word triads",4,IF(J185="generated words",4,IF(J185="word definition pairs",4,IF(J185="math problems",4,IF(J185="famous faces",4,IF(J185="famous names",4,IF(J185="famous voices",4,IF(J185="television programs",4,IF(J185="race horses",4,IF(J185="new vocabulary",4,IF(J185="sentences",5,IF(J185="concepts",5,IF(J185="ad slides",5,IF(J185="scenes",5,IF(J185="famous scenes",5,IF(J185="poems",6,IF(J185="walk",6,IF(J185="faces and events",6,IF(J185="events and names",6,IF(J185="flashbulb",7,IF(J185="stories",7,IF(J185="course material",7,IF(J185="autobiographical",7,IF(J185="novels",7,IF(J185="public events",7,"99"))))))))))))))))))))))))))))))))))))))))))))))</f>
        <v>2</v>
      </c>
      <c r="M185" s="60">
        <v>0</v>
      </c>
      <c r="N185" s="61">
        <v>1</v>
      </c>
      <c r="O185" s="60">
        <v>0</v>
      </c>
      <c r="P185" s="60"/>
      <c r="Q185" s="60" t="s">
        <v>182</v>
      </c>
      <c r="R185" s="60">
        <f>IF(Q185="Free Recall",1,IF(Q185="Cued Recall",2,IF(Q185="Recognition",3,IF(Q185="Multiple Choice",4,IF(Q185="Savings",5,IF(Q185="Stem Completion",6,IF(Q185="Fragment Completion",7,IF(Q185="anagram solution",8,IF(Q185="Matching",9,IF(Q185="Problem Solving",10,"99"))))))))))</f>
        <v>4</v>
      </c>
      <c r="S185" s="60" t="s">
        <v>15</v>
      </c>
      <c r="T185" s="59" t="s">
        <v>581</v>
      </c>
      <c r="U185" s="60">
        <f>IF(T185="within",1,0)</f>
        <v>1</v>
      </c>
      <c r="V185" s="59">
        <v>150</v>
      </c>
      <c r="W185" s="60">
        <f>F185*V185</f>
        <v>1500</v>
      </c>
      <c r="X185" s="60">
        <v>3</v>
      </c>
      <c r="Y185" s="76">
        <f>AV184</f>
        <v>20</v>
      </c>
      <c r="Z185" s="59" t="s">
        <v>165</v>
      </c>
      <c r="AA185" s="60">
        <f>60*60*24*7*3</f>
        <v>1814400</v>
      </c>
      <c r="AB185" s="60" t="str">
        <f>IF(AA185&lt;60,"1",IF(AA185&lt;=43200,"2",IF(AA185&lt;=777600,"3","4")))</f>
        <v>4</v>
      </c>
      <c r="AC185" s="56">
        <f>AVERAGE(AV184:DA184)</f>
        <v>605406.66666666663</v>
      </c>
      <c r="AD185" s="60" t="str">
        <f>IF(AC185&lt;60,"1",IF(AC185&lt;=43200,"2",IF(AC185&lt;=777600,"3","4")))</f>
        <v>3</v>
      </c>
      <c r="AE185" s="76">
        <f>AA185-Y185</f>
        <v>1814380</v>
      </c>
      <c r="AF185" s="80">
        <f>AV185</f>
        <v>0.95200000000000007</v>
      </c>
      <c r="AG185" s="56">
        <f>((AW185-AV185)+(AX185-AW185))/2</f>
        <v>-0.14200000000000007</v>
      </c>
      <c r="AH185" s="4"/>
      <c r="AI185" s="56">
        <f>RSQ(AV185:AX185,AV184:AX184)</f>
        <v>0.99527037646260141</v>
      </c>
      <c r="AJ185" s="109">
        <f>SLOPE(AV185:AX185,AV184:AX184)</f>
        <v>-1.5054728618457463E-7</v>
      </c>
      <c r="AK185" s="56">
        <f>INTERCEPT(AV185:AX185,AV184:AX184)</f>
        <v>0.94114233070471598</v>
      </c>
      <c r="AL185" s="56">
        <f>INDEX(LINEST(LN(AV185:AX185),LN(AV184:AX184),TRUE,TRUE),3,1)</f>
        <v>0.88690581232497678</v>
      </c>
      <c r="AM185" s="56">
        <f>INDEX(LINEST(LN(AV185:AX185),LN(AV184:AX184)),1)</f>
        <v>-3.245051501258598E-2</v>
      </c>
      <c r="AN185" s="56">
        <f>EXP(INDEX(LINEST(LN(AV185:AX185),LN(AV184:AX184)),1,2))</f>
        <v>1.0988791777202964</v>
      </c>
      <c r="AO185" s="82">
        <f>INDEX(LINEST((AV185:AX185),LN(AV184:AX184),TRUE,TRUE),3,1)</f>
        <v>0.89355836705785707</v>
      </c>
      <c r="AP185" s="82">
        <f>INDEX(LINEST((AV185:AX185),LN(AV184:AX184)),1)</f>
        <v>-2.597373349772409E-2</v>
      </c>
      <c r="AQ185" s="83">
        <f>INDEX(LINEST(LN(AV185:AX185),SQRT(AV184:AX184),TRUE,TRUE),3,1)</f>
        <v>0.9988304321732735</v>
      </c>
      <c r="AR185" s="116">
        <f>INDEX(LINEST(LN(AV185:AX185),SQRT((AV184:AX184))),1)</f>
        <v>-2.5905987129000435E-4</v>
      </c>
      <c r="AS185" s="84">
        <f>INDEX(LINEST(1/(AV185:AX185),1/(SQRT(AV184:AX184)),TRUE,TRUE),3,1)</f>
        <v>0.38207119015909125</v>
      </c>
      <c r="AT185" s="84">
        <f>INDEX(LINEST(1/(AV185:AX185),1/SQRT(AV184:AX184)),1)</f>
        <v>-1.2651956620167515</v>
      </c>
      <c r="AU185" s="3"/>
      <c r="AV185" s="53">
        <f>47.6/50</f>
        <v>0.95200000000000007</v>
      </c>
      <c r="AW185" s="53">
        <f>46.5/50</f>
        <v>0.93</v>
      </c>
      <c r="AX185" s="53">
        <f>33.4/50</f>
        <v>0.66799999999999993</v>
      </c>
      <c r="AY185" s="53"/>
      <c r="AZ185" s="53"/>
      <c r="BA185" s="53"/>
      <c r="BB185" s="53"/>
      <c r="BC185" s="53"/>
      <c r="BD185" s="53"/>
      <c r="BE185" s="53"/>
      <c r="BF185" s="53"/>
      <c r="BG185" s="53"/>
      <c r="BH185" s="53"/>
      <c r="BI185" s="53"/>
      <c r="BJ185" s="53"/>
      <c r="BK185" s="53"/>
      <c r="BL185" s="53"/>
      <c r="BM185" s="53"/>
      <c r="BN185" s="53"/>
      <c r="BO185" s="53"/>
      <c r="BP185" s="53"/>
      <c r="BQ185" s="53"/>
      <c r="BR185" s="53"/>
      <c r="BS185" s="53"/>
      <c r="BT185" s="53"/>
      <c r="BU185" s="53"/>
      <c r="BV185" s="53"/>
      <c r="BW185" s="53"/>
      <c r="BX185" s="53"/>
      <c r="BY185" s="53"/>
      <c r="BZ185" s="53"/>
      <c r="CA185" s="53"/>
      <c r="CB185" s="53"/>
      <c r="CC185" s="53"/>
      <c r="CD185" s="53"/>
      <c r="CE185" s="53"/>
      <c r="CF185" s="53"/>
      <c r="CG185" s="53"/>
      <c r="CH185" s="53"/>
      <c r="CI185" s="53"/>
      <c r="CJ185" s="53"/>
      <c r="CK185" s="53"/>
      <c r="CL185" s="53"/>
      <c r="CM185" s="53"/>
      <c r="CN185" s="53"/>
      <c r="CO185" s="53"/>
      <c r="CP185" s="53"/>
      <c r="CQ185" s="53"/>
      <c r="CR185" s="1"/>
      <c r="CS185" s="1"/>
      <c r="CT185" s="1"/>
      <c r="CU185" s="1"/>
    </row>
    <row r="186" spans="1:99" s="13" customFormat="1" ht="12" customHeight="1" x14ac:dyDescent="0.2">
      <c r="A186" s="65">
        <v>43979</v>
      </c>
      <c r="B186" s="1"/>
      <c r="C186" s="1"/>
      <c r="D186" s="60"/>
      <c r="E186" s="76"/>
      <c r="F186" s="60"/>
      <c r="G186" s="60"/>
      <c r="H186" s="60"/>
      <c r="I186" s="60"/>
      <c r="J186" s="60"/>
      <c r="K186" s="60"/>
      <c r="L186" s="60"/>
      <c r="M186" s="60"/>
      <c r="N186" s="61"/>
      <c r="O186" s="60"/>
      <c r="P186" s="60"/>
      <c r="Q186" s="60"/>
      <c r="R186" s="60"/>
      <c r="S186" s="60"/>
      <c r="T186" s="59"/>
      <c r="U186" s="60"/>
      <c r="V186" s="59"/>
      <c r="W186" s="60"/>
      <c r="X186" s="60"/>
      <c r="Y186" s="76"/>
      <c r="Z186" s="59"/>
      <c r="AA186" s="60"/>
      <c r="AB186" s="60"/>
      <c r="AC186" s="56"/>
      <c r="AD186" s="60"/>
      <c r="AE186" s="76"/>
      <c r="AF186" s="80"/>
      <c r="AG186" s="56"/>
      <c r="AH186" s="4"/>
      <c r="AI186" s="56"/>
      <c r="AJ186" s="109"/>
      <c r="AK186" s="56"/>
      <c r="AL186" s="56"/>
      <c r="AM186" s="56"/>
      <c r="AN186" s="56"/>
      <c r="AO186" s="82"/>
      <c r="AP186" s="82"/>
      <c r="AQ186" s="83"/>
      <c r="AR186" s="116"/>
      <c r="AS186" s="84"/>
      <c r="AT186" s="84"/>
      <c r="AU186" s="3"/>
      <c r="AV186" s="25">
        <v>20</v>
      </c>
      <c r="AW186" s="25">
        <f>60*30</f>
        <v>1800</v>
      </c>
      <c r="AX186" s="25">
        <f>60*60*24*7*3</f>
        <v>1814400</v>
      </c>
      <c r="AY186" s="53"/>
      <c r="AZ186" s="53"/>
      <c r="BA186" s="53"/>
      <c r="BB186" s="53"/>
      <c r="BC186" s="53"/>
      <c r="BD186" s="53"/>
      <c r="BE186" s="53"/>
      <c r="BF186" s="53"/>
      <c r="BG186" s="53"/>
      <c r="BH186" s="53"/>
      <c r="BI186" s="53"/>
      <c r="BJ186" s="53"/>
      <c r="BK186" s="53"/>
      <c r="BL186" s="53"/>
      <c r="BM186" s="53"/>
      <c r="BN186" s="53"/>
      <c r="BO186" s="53"/>
      <c r="BP186" s="53"/>
      <c r="BQ186" s="53"/>
      <c r="BR186" s="53"/>
      <c r="BS186" s="53"/>
      <c r="BT186" s="53"/>
      <c r="BU186" s="53"/>
      <c r="BV186" s="53"/>
      <c r="BW186" s="53"/>
      <c r="BX186" s="53"/>
      <c r="BY186" s="53"/>
      <c r="BZ186" s="53"/>
      <c r="CA186" s="53"/>
      <c r="CB186" s="53"/>
      <c r="CC186" s="53"/>
      <c r="CD186" s="53"/>
      <c r="CE186" s="53"/>
      <c r="CF186" s="53"/>
      <c r="CG186" s="53"/>
      <c r="CH186" s="53"/>
      <c r="CI186" s="53"/>
      <c r="CJ186" s="53"/>
      <c r="CK186" s="53"/>
      <c r="CL186" s="53"/>
      <c r="CM186" s="53"/>
      <c r="CN186" s="53"/>
      <c r="CO186" s="53"/>
      <c r="CP186" s="53"/>
      <c r="CQ186" s="53"/>
      <c r="CR186" s="1"/>
      <c r="CS186" s="1"/>
      <c r="CT186" s="1"/>
      <c r="CU186" s="1"/>
    </row>
    <row r="187" spans="1:99" s="13" customFormat="1" ht="12" customHeight="1" x14ac:dyDescent="0.2">
      <c r="A187" s="65">
        <v>43979</v>
      </c>
      <c r="B187" s="1" t="s">
        <v>979</v>
      </c>
      <c r="C187" s="1" t="s">
        <v>357</v>
      </c>
      <c r="D187" s="60">
        <v>2003</v>
      </c>
      <c r="E187" s="76">
        <v>1</v>
      </c>
      <c r="F187" s="60">
        <v>10</v>
      </c>
      <c r="G187" s="60">
        <v>10</v>
      </c>
      <c r="H187" s="60" t="s">
        <v>452</v>
      </c>
      <c r="I187" s="60" t="s">
        <v>330</v>
      </c>
      <c r="J187" s="60" t="s">
        <v>328</v>
      </c>
      <c r="K187" s="60">
        <f>IF(J187="syllables",1,IF(J187="trigrams",2,IF(J187="strings",3,IF(J187="visual array",4,IF(J187="characters",5,IF(J187="letters",6,IF(J187="free forms",7,IF(J187="odors",8,IF(J187="words",9,IF(J187="pictures",10,IF(J187="object pictures",11,IF(J187="faces",12,IF(J187="names",13,IF(J187="idioms",14,IF(J187="grades",15,IF(J187="syllable-digit pairs",16,IF(J187="trigram-word pairs",17,IF(J187="word-digit pairs",18,IF(J187="English-Swahili pairs",19,IF(J187="spatial position",20,IF(J187="word pairs",21,IF(J187="word triads",22,IF(J187="generated words",23,IF(J187="word definition pairs",24,IF(J187="math problems",25,IF(J187="famous faces",26,IF(J187="famous names",27,IF(J187="famous voices",28,IF(J187="television programs",29,IF(J187="race horses",30,IF(J187="new vocabulary",31,IF(J187="sentences",32,IF(J187="concepts",33,IF(J187="ad slides",34,IF(J187="scenes",35,IF(J187="famous scenes",36,IF(J187="poems",37,IF(J187="walk",38,IF(J187="faces and events",39,IF(J187="events and names",40,IF(J187="flashbulb",41,IF(J187="stories",42,IF(J187="course material",43,IF(J187="autobiographical",44,IF(J187="novels",45,IF(J187="public events",46,"99"))))))))))))))))))))))))))))))))))))))))))))))</f>
        <v>12</v>
      </c>
      <c r="L187" s="60">
        <f>IF(J187="syllables",1,IF(J187="trigrams",1,IF(J187="strings",1,IF(J187="visual array",1,IF(J187="characters",1,IF(J187="letters",1,IF(J187="free forms",1,IF(J187="odors",2,IF(J187="words",2,IF(J187="pictures",2,IF(J187="object pictures",2,IF(J187="faces",2,IF(J187="names",2,IF(J187="idioms","2",IF(J187="grades",2,IF(J187="syllable-digit pairs",3,IF(J187="trigram-word pairs",3,IF(J187="word-digit pairs",3,IF(J187="English-Swahili pairs",3,IF(J187="spatial position",3,IF(J187="word pairs",4,IF(J187="word triads",4,IF(J187="generated words",4,IF(J187="word definition pairs",4,IF(J187="math problems",4,IF(J187="famous faces",4,IF(J187="famous names",4,IF(J187="famous voices",4,IF(J187="television programs",4,IF(J187="race horses",4,IF(J187="new vocabulary",4,IF(J187="sentences",5,IF(J187="concepts",5,IF(J187="ad slides",5,IF(J187="scenes",5,IF(J187="famous scenes",5,IF(J187="poems",6,IF(J187="walk",6,IF(J187="faces and events",6,IF(J187="events and names",6,IF(J187="flashbulb",7,IF(J187="stories",7,IF(J187="course material",7,IF(J187="autobiographical",7,IF(J187="novels",7,IF(J187="public events",7,"99"))))))))))))))))))))))))))))))))))))))))))))))</f>
        <v>2</v>
      </c>
      <c r="M187" s="60">
        <v>0</v>
      </c>
      <c r="N187" s="61">
        <v>1</v>
      </c>
      <c r="O187" s="60">
        <v>0</v>
      </c>
      <c r="P187" s="60"/>
      <c r="Q187" s="60" t="s">
        <v>182</v>
      </c>
      <c r="R187" s="60">
        <f>IF(Q187="Free Recall",1,IF(Q187="Cued Recall",2,IF(Q187="Recognition",3,IF(Q187="Multiple Choice",4,IF(Q187="Savings",5,IF(Q187="Stem Completion",6,IF(Q187="Fragment Completion",7,IF(Q187="anagram solution",8,IF(Q187="Matching",9,IF(Q187="Problem Solving",10,"99"))))))))))</f>
        <v>4</v>
      </c>
      <c r="S187" s="60" t="s">
        <v>15</v>
      </c>
      <c r="T187" s="59" t="s">
        <v>581</v>
      </c>
      <c r="U187" s="60">
        <f>IF(T187="within",1,0)</f>
        <v>1</v>
      </c>
      <c r="V187" s="59">
        <v>150</v>
      </c>
      <c r="W187" s="60">
        <f>F187*V187</f>
        <v>1500</v>
      </c>
      <c r="X187" s="60">
        <v>3</v>
      </c>
      <c r="Y187" s="76">
        <f>AV186</f>
        <v>20</v>
      </c>
      <c r="Z187" s="59" t="s">
        <v>165</v>
      </c>
      <c r="AA187" s="60">
        <f>60*60*24*7*3</f>
        <v>1814400</v>
      </c>
      <c r="AB187" s="60" t="str">
        <f>IF(AA187&lt;60,"1",IF(AA187&lt;=43200,"2",IF(AA187&lt;=777600,"3","4")))</f>
        <v>4</v>
      </c>
      <c r="AC187" s="56">
        <f>AVERAGE(AV186:DA186)</f>
        <v>605406.66666666663</v>
      </c>
      <c r="AD187" s="60" t="str">
        <f>IF(AC187&lt;60,"1",IF(AC187&lt;=43200,"2",IF(AC187&lt;=777600,"3","4")))</f>
        <v>3</v>
      </c>
      <c r="AE187" s="76">
        <f>AA187-Y187</f>
        <v>1814380</v>
      </c>
      <c r="AF187" s="80">
        <f>AV187</f>
        <v>0.88400000000000001</v>
      </c>
      <c r="AG187" s="56">
        <f>((AW187-AV187)+(AX187-AW187))/2</f>
        <v>-8.9000000000000024E-2</v>
      </c>
      <c r="AH187" s="4"/>
      <c r="AI187" s="56">
        <f>RSQ(AV187:AX187,AV186:AX186)</f>
        <v>0.963738621202198</v>
      </c>
      <c r="AJ187" s="109">
        <f>SLOPE(AV187:AX187,AV186:AX186)</f>
        <v>-8.8242221219282349E-8</v>
      </c>
      <c r="AK187" s="56">
        <f>INTERCEPT(AV187:AX187,AV186:AX186)</f>
        <v>0.86608909567429482</v>
      </c>
      <c r="AL187" s="56">
        <f>INDEX(LINEST(LN(AV187:AX187),LN(AV186:AX186),TRUE,TRUE),3,1)</f>
        <v>0.94919304613758848</v>
      </c>
      <c r="AM187" s="56">
        <f>INDEX(LINEST(LN(AV187:AX187),LN(AV186:AX186)),1)</f>
        <v>-2.0269115675704209E-2</v>
      </c>
      <c r="AN187" s="56">
        <f>EXP(INDEX(LINEST(LN(AV187:AX187),LN(AV186:AX186)),1,2))</f>
        <v>0.95709417902807392</v>
      </c>
      <c r="AO187" s="82">
        <f>INDEX(LINEST((AV187:AX187),LN(AV186:AX186),TRUE,TRUE),3,1)</f>
        <v>0.9567195197211239</v>
      </c>
      <c r="AP187" s="82">
        <f>INDEX(LINEST((AV187:AX187),LN(AV186:AX186)),1)</f>
        <v>-1.6008831822842375E-2</v>
      </c>
      <c r="AQ187" s="83">
        <f>INDEX(LINEST(LN(AV187:AX187),SQRT(AV186:AX186),TRUE,TRUE),3,1)</f>
        <v>0.97771913105154673</v>
      </c>
      <c r="AR187" s="116">
        <f>INDEX(LINEST(LN(AV187:AX187),SQRT((AV186:AX186))),1)</f>
        <v>-1.5475190470558064E-4</v>
      </c>
      <c r="AS187" s="84">
        <f>INDEX(LINEST(1/(AV187:AX187),1/(SQRT(AV186:AX186)),TRUE,TRUE),3,1)</f>
        <v>0.48932649981933685</v>
      </c>
      <c r="AT187" s="84">
        <f>INDEX(LINEST(1/(AV187:AX187),1/SQRT(AV186:AX186)),1)</f>
        <v>-0.87117595215390142</v>
      </c>
      <c r="AU187" s="3"/>
      <c r="AV187" s="53">
        <f>44.2/50</f>
        <v>0.88400000000000001</v>
      </c>
      <c r="AW187" s="53">
        <f>42.4/50</f>
        <v>0.84799999999999998</v>
      </c>
      <c r="AX187" s="53">
        <f>35.3/50</f>
        <v>0.70599999999999996</v>
      </c>
      <c r="AY187" s="53"/>
      <c r="AZ187" s="53"/>
      <c r="BA187" s="53"/>
      <c r="BB187" s="53"/>
      <c r="BC187" s="53"/>
      <c r="BD187" s="53"/>
      <c r="BE187" s="53"/>
      <c r="BF187" s="53"/>
      <c r="BG187" s="53"/>
      <c r="BH187" s="53"/>
      <c r="BI187" s="53"/>
      <c r="BJ187" s="53"/>
      <c r="BK187" s="53"/>
      <c r="BL187" s="53"/>
      <c r="BM187" s="53"/>
      <c r="BN187" s="53"/>
      <c r="BO187" s="53"/>
      <c r="BP187" s="53"/>
      <c r="BQ187" s="53"/>
      <c r="BR187" s="53"/>
      <c r="BS187" s="53"/>
      <c r="BT187" s="53"/>
      <c r="BU187" s="53"/>
      <c r="BV187" s="53"/>
      <c r="BW187" s="53"/>
      <c r="BX187" s="53"/>
      <c r="BY187" s="53"/>
      <c r="BZ187" s="53"/>
      <c r="CA187" s="53"/>
      <c r="CB187" s="53"/>
      <c r="CC187" s="53"/>
      <c r="CD187" s="53"/>
      <c r="CE187" s="53"/>
      <c r="CF187" s="53"/>
      <c r="CG187" s="53"/>
      <c r="CH187" s="53"/>
      <c r="CI187" s="53"/>
      <c r="CJ187" s="53"/>
      <c r="CK187" s="53"/>
      <c r="CL187" s="53"/>
      <c r="CM187" s="53"/>
      <c r="CN187" s="53"/>
      <c r="CO187" s="53"/>
      <c r="CP187" s="53"/>
      <c r="CQ187" s="53"/>
      <c r="CR187" s="1"/>
      <c r="CS187" s="1"/>
      <c r="CT187" s="1"/>
      <c r="CU187" s="1"/>
    </row>
    <row r="188" spans="1:99" s="13" customFormat="1" ht="12" customHeight="1" x14ac:dyDescent="0.2">
      <c r="A188" s="68">
        <v>43509</v>
      </c>
      <c r="B188" s="70"/>
      <c r="C188" s="70"/>
      <c r="D188" s="69"/>
      <c r="E188" s="87"/>
      <c r="F188" s="69"/>
      <c r="G188" s="69"/>
      <c r="H188" s="69"/>
      <c r="I188" s="69"/>
      <c r="J188" s="69"/>
      <c r="K188" s="107"/>
      <c r="L188" s="107"/>
      <c r="M188" s="69"/>
      <c r="N188" s="69"/>
      <c r="O188" s="69"/>
      <c r="P188" s="69"/>
      <c r="Q188" s="69"/>
      <c r="R188" s="69"/>
      <c r="S188" s="69"/>
      <c r="T188" s="69"/>
      <c r="U188" s="60"/>
      <c r="V188" s="69"/>
      <c r="W188" s="69"/>
      <c r="X188" s="69"/>
      <c r="Y188" s="87"/>
      <c r="Z188" s="69"/>
      <c r="AA188" s="69"/>
      <c r="AB188" s="69"/>
      <c r="AC188" s="69"/>
      <c r="AD188" s="69"/>
      <c r="AE188" s="69"/>
      <c r="AF188" s="88"/>
      <c r="AG188" s="72"/>
      <c r="AH188" s="4"/>
      <c r="AI188" s="72"/>
      <c r="AJ188" s="110"/>
      <c r="AK188" s="72"/>
      <c r="AL188" s="72"/>
      <c r="AM188" s="72"/>
      <c r="AN188" s="72"/>
      <c r="AO188" s="72"/>
      <c r="AP188" s="72"/>
      <c r="AQ188" s="72"/>
      <c r="AR188" s="110"/>
      <c r="AS188" s="72"/>
      <c r="AT188" s="72"/>
      <c r="AU188" s="5"/>
      <c r="AV188" s="71">
        <f>24*60*60</f>
        <v>86400</v>
      </c>
      <c r="AW188" s="71">
        <f>4*24*60*60</f>
        <v>345600</v>
      </c>
      <c r="AX188" s="71">
        <f>7*24*60*60</f>
        <v>604800</v>
      </c>
      <c r="AY188" s="71">
        <f>10*24*60*60</f>
        <v>864000</v>
      </c>
      <c r="AZ188" s="71">
        <f>13*24*60*60</f>
        <v>1123200</v>
      </c>
      <c r="BA188" s="71">
        <f>16*24*60*60</f>
        <v>1382400</v>
      </c>
      <c r="BB188" s="71">
        <f>19*24*60*60</f>
        <v>1641600</v>
      </c>
      <c r="BC188" s="71">
        <f>22*24*60*60</f>
        <v>1900800</v>
      </c>
      <c r="BD188" s="71">
        <f>25*24*60*60</f>
        <v>2160000</v>
      </c>
      <c r="BE188" s="71">
        <f>28*24*60*60</f>
        <v>2419200</v>
      </c>
      <c r="BF188" s="71">
        <f>31*24*60*60</f>
        <v>2678400</v>
      </c>
      <c r="BG188" s="71">
        <f>34*24*60*60</f>
        <v>2937600</v>
      </c>
      <c r="BH188" s="71">
        <f>37*24*60*60</f>
        <v>3196800</v>
      </c>
      <c r="BI188" s="71">
        <f>40*24*60*60</f>
        <v>3456000</v>
      </c>
      <c r="BJ188" s="71">
        <f>43*24*60*60</f>
        <v>3715200</v>
      </c>
      <c r="BK188" s="71">
        <f>46*24*60*60</f>
        <v>3974400</v>
      </c>
      <c r="BL188" s="71">
        <f>49*24*60*60</f>
        <v>4233600</v>
      </c>
      <c r="BM188" s="71">
        <f>52*24*60*60</f>
        <v>4492800</v>
      </c>
      <c r="BN188" s="71">
        <f>55*24*60*60</f>
        <v>4752000</v>
      </c>
      <c r="BO188" s="71">
        <f>58*24*60*60</f>
        <v>5011200</v>
      </c>
      <c r="BP188" s="71">
        <f>64.5*24*60*60</f>
        <v>5572800</v>
      </c>
      <c r="BQ188" s="71">
        <f>74.5*24*60*60</f>
        <v>6436800</v>
      </c>
      <c r="BR188" s="71">
        <f>84.5*24*60*60</f>
        <v>7300800</v>
      </c>
      <c r="BS188" s="71">
        <f>94.5*24*60*60</f>
        <v>8164800</v>
      </c>
      <c r="BT188" s="71">
        <f>104.5*24*60*60</f>
        <v>9028800</v>
      </c>
      <c r="BU188" s="71">
        <f>114.5*24*60*60</f>
        <v>9892800</v>
      </c>
      <c r="BV188" s="71">
        <f>124.5*24*60*60</f>
        <v>10756800</v>
      </c>
      <c r="BW188" s="71">
        <f>134.5*24*60*60</f>
        <v>11620800</v>
      </c>
      <c r="BX188" s="71">
        <f>144.5*24*60*60</f>
        <v>12484800</v>
      </c>
      <c r="BY188" s="71">
        <f>154.5*24*60*60</f>
        <v>13348800</v>
      </c>
      <c r="BZ188" s="71">
        <f>164.5*24*60*60</f>
        <v>14212800</v>
      </c>
      <c r="CA188" s="71">
        <f>174.5*24*60*60</f>
        <v>15076800</v>
      </c>
      <c r="CB188" s="71">
        <f>184.5*24*60*60</f>
        <v>15940800</v>
      </c>
      <c r="CC188" s="71">
        <f>194.5*24*60*60</f>
        <v>16804800</v>
      </c>
      <c r="CD188" s="71">
        <f>204.5*24*60*60</f>
        <v>17668800</v>
      </c>
      <c r="CE188" s="71">
        <f>214.5*24*60*60</f>
        <v>18532800</v>
      </c>
      <c r="CF188" s="71">
        <f>224.5*24*60*60</f>
        <v>19396800</v>
      </c>
      <c r="CG188" s="71">
        <f>234.5*24*60*60</f>
        <v>20260800</v>
      </c>
      <c r="CH188" s="71">
        <f>244.5*24*60*60</f>
        <v>21124800</v>
      </c>
      <c r="CI188" s="71">
        <f>254.5*24*60*60</f>
        <v>21988800</v>
      </c>
      <c r="CJ188" s="71">
        <f>264.5*24*60*60</f>
        <v>22852800</v>
      </c>
      <c r="CK188" s="71">
        <f>274.5*24*60*60</f>
        <v>23716800</v>
      </c>
      <c r="CL188" s="71">
        <f>284.5*24*60*60</f>
        <v>24580800</v>
      </c>
      <c r="CM188" s="71">
        <f>294.5*24*60*60</f>
        <v>25444800</v>
      </c>
      <c r="CN188" s="71">
        <f>304.5*24*60*60</f>
        <v>26308800</v>
      </c>
      <c r="CO188" s="71">
        <f>314.5*24*60*60</f>
        <v>27172800</v>
      </c>
      <c r="CP188" s="71">
        <f>324.5*24*60*60</f>
        <v>28036800</v>
      </c>
      <c r="CQ188" s="71">
        <f>334.5*24*60*60</f>
        <v>28900800</v>
      </c>
      <c r="CR188" s="71">
        <f>344.5*24*60*60</f>
        <v>29764800</v>
      </c>
      <c r="CS188" s="71">
        <f>354.5*24*60*60</f>
        <v>30628800</v>
      </c>
      <c r="CT188" s="71">
        <f>364.5*24*60*60</f>
        <v>31492800</v>
      </c>
      <c r="CU188" s="71">
        <f>374.5*24*60*60</f>
        <v>32356800</v>
      </c>
    </row>
    <row r="189" spans="1:99" s="13" customFormat="1" ht="12" customHeight="1" x14ac:dyDescent="0.2">
      <c r="A189" s="68">
        <v>43509</v>
      </c>
      <c r="B189" s="70" t="s">
        <v>187</v>
      </c>
      <c r="C189" s="70" t="s">
        <v>188</v>
      </c>
      <c r="D189" s="69">
        <v>2005</v>
      </c>
      <c r="E189" s="87">
        <v>1</v>
      </c>
      <c r="F189" s="69">
        <v>4239</v>
      </c>
      <c r="G189" s="69">
        <v>81.5</v>
      </c>
      <c r="H189" s="69" t="s">
        <v>41</v>
      </c>
      <c r="I189" s="69" t="s">
        <v>739</v>
      </c>
      <c r="J189" s="69" t="s">
        <v>677</v>
      </c>
      <c r="K189" s="69">
        <f>IF(J189="syllables",1,IF(J189="trigrams",2,IF(J189="strings",3,IF(J189="visual array",4,IF(J189="characters",5,IF(J189="letters",6,IF(J189="free forms",7,IF(J189="odors",8,IF(J189="words",9,IF(J189="pictures",10,IF(J189="object pictures",11,IF(J189="faces",12,IF(J189="names",13,IF(J189="idioms",14,IF(J189="grades",15,IF(J189="syllable-digit pairs",16,IF(J189="trigram-word pairs",17,IF(J189="word-digit pairs",18,IF(J189="English-Swahili pairs",19,IF(J189="spatial position",20,IF(J189="word pairs",21,IF(J189="word triads",22,IF(J189="generated words",23,IF(J189="word definition pairs",24,IF(J189="math problems",25,IF(J189="famous faces",26,IF(J189="famous names",27,IF(J189="famous voices",28,IF(J189="television programs",29,IF(J189="race horses",30,IF(J189="new vocabulary",31,IF(J189="sentences",32,IF(J189="concepts",33,IF(J189="ad slides",34,IF(J189="scenes",35,IF(J189="famous scenes",36,IF(J189="poems",37,IF(J189="walk",38,IF(J189="faces and events",39,IF(J189="events and names",40,IF(J189="flashbulb",41,IF(J189="stories",42,IF(J189="course material",43,IF(J189="autobiographical",44,IF(J189="novels",45,IF(J189="public events",46,"99"))))))))))))))))))))))))))))))))))))))))))))))</f>
        <v>42</v>
      </c>
      <c r="L189" s="69">
        <f>IF(J189="syllables",1,IF(J189="trigrams",1,IF(J189="strings",1,IF(J189="visual array",1,IF(J189="characters",1,IF(J189="letters",1,IF(J189="free forms",1,IF(J189="odors",2,IF(J189="words",2,IF(J189="pictures",2,IF(J189="object pictures",2,IF(J189="faces",2,IF(J189="names",2,IF(J189="idioms","2",IF(J189="grades",2,IF(J189="syllable-digit pairs",3,IF(J189="trigram-word pairs",3,IF(J189="word-digit pairs",3,IF(J189="English-Swahili pairs",3,IF(J189="spatial position",3,IF(J189="word pairs",4,IF(J189="word triads",4,IF(J189="generated words",4,IF(J189="word definition pairs",4,IF(J189="math problems",4,IF(J189="famous faces",4,IF(J189="famous names",4,IF(J189="famous voices",4,IF(J189="television programs",4,IF(J189="race horses",4,IF(J189="new vocabulary",4,IF(J189="sentences",5,IF(J189="concepts",5,IF(J189="ad slides",5,IF(J189="scenes",5,IF(J189="famous scenes",5,IF(J189="poems",6,IF(J189="walk",6,IF(J189="faces and events",6,IF(J189="events and names",6,IF(J189="flashbulb",7,IF(J189="stories",7,IF(J189="course material",7,IF(J189="autobiographical",7,IF(J189="novels",7,IF(J189="public events",7,"99"))))))))))))))))))))))))))))))))))))))))))))))</f>
        <v>7</v>
      </c>
      <c r="M189" s="69">
        <v>0</v>
      </c>
      <c r="N189" s="69">
        <v>3</v>
      </c>
      <c r="O189" s="69">
        <v>0</v>
      </c>
      <c r="P189" s="69"/>
      <c r="Q189" s="69" t="s">
        <v>182</v>
      </c>
      <c r="R189" s="69">
        <f>IF(Q189="Free Recall",1,IF(Q189="Cued Recall",2,IF(Q189="Recognition",3,IF(Q189="Multiple Choice",4,IF(Q189="Savings",5,IF(Q189="Stem Completion",6,IF(Q189="Fragment Completion",7,IF(Q189="anagram solution",8,IF(Q189="Matching",9,IF(Q189="Problem Solving",10,"99"))))))))))</f>
        <v>4</v>
      </c>
      <c r="S189" s="69" t="s">
        <v>15</v>
      </c>
      <c r="T189" s="69" t="s">
        <v>261</v>
      </c>
      <c r="U189" s="60">
        <f>IF(T189="within",1,0)</f>
        <v>0</v>
      </c>
      <c r="V189" s="69">
        <v>30</v>
      </c>
      <c r="W189" s="69">
        <f>F189*V189</f>
        <v>127170</v>
      </c>
      <c r="X189" s="69">
        <v>52</v>
      </c>
      <c r="Y189" s="87">
        <f>AV188</f>
        <v>86400</v>
      </c>
      <c r="Z189" s="69" t="s">
        <v>189</v>
      </c>
      <c r="AA189" s="87">
        <f>374.5*24*60*60</f>
        <v>32356800</v>
      </c>
      <c r="AB189" s="69" t="str">
        <f>IF(AA189&lt;60,"1",IF(AA189&lt;=43200,"2",IF(AA189&lt;=777600,"3","4")))</f>
        <v>4</v>
      </c>
      <c r="AC189" s="72">
        <f>AVERAGE(AV188:DA188)</f>
        <v>12650953.846153846</v>
      </c>
      <c r="AD189" s="69" t="str">
        <f>IF(AC189&lt;60,"1",IF(AC189&lt;=43200,"2",IF(AC189&lt;=777600,"3","4")))</f>
        <v>4</v>
      </c>
      <c r="AE189" s="87">
        <f>AA189-Y189</f>
        <v>32270400</v>
      </c>
      <c r="AF189" s="88">
        <f>AV189</f>
        <v>0.78902439024390203</v>
      </c>
      <c r="AG189" s="93">
        <f>((AW189-AV189)+(AX189-AW189)+(AY189-AX189)+(AZ189-AY189)+(BA189-AZ189)+(BB189-BA189)+(BC189-BB189)+(BD189-BC189)+(BE189-BD189)+(BF189-BE189)+(BG189-BF189)+(BH189-BG189)+(BI189-BH189)+(BJ189-BI189)+(BK189-BJ189)+(BL189-BK189)+(BM189-BL189)+(BN189-BM189)+(BO189-BN189)+(BP189-BO189)+(BQ189-BP189)+(BR189-BQ189)+(BS189-BR189)+(BT189-BS189)+(BU189-BT189)+(BV189-BU189)+(BW189-BV189)+(BX189-BW189)+(BY189-BX189)+(BZ189-BY189)+(CA189-BZ189)+(CB189-CA189)+(CC189-CB189)+(CD189-CC189)+(CE189-CD189)+(CF189-CE189)+(CG189-CF189)+(CH189-CG189)+(CI189-CH189)+(CJ189-CI189)+(CK189-CJ189)+(CL189-CK189)+(CM189-CL189)+(CN189-CM189)+(CO189-CN189)+(CP189-CO189)+(CQ189-CP189)+(CR189-CQ189)+(CS189-CR189)+(CT189-CS189)+(CU189-CT189))/51</f>
        <v>-4.3519846963175485E-3</v>
      </c>
      <c r="AH189" s="4"/>
      <c r="AI189" s="72">
        <f>RSQ(AV189:CU189,AV188:CU188)</f>
        <v>0.77652397228479209</v>
      </c>
      <c r="AJ189" s="110">
        <f>SLOPE(AV189:CU189,AV188:CU188)</f>
        <v>-5.2070740796136494E-9</v>
      </c>
      <c r="AK189" s="72">
        <f>INTERCEPT(AV189:CU189,AV188:CU188)</f>
        <v>0.69950484785094358</v>
      </c>
      <c r="AL189" s="72">
        <f>INDEX(LINEST(LN(AV189:CU189),LN(AV188:CU188),TRUE,TRUE),3,1)</f>
        <v>0.91005477002053914</v>
      </c>
      <c r="AM189" s="72">
        <f>INDEX(LINEST(LN(AV189:CU189),LN(AV188:CU188)),1)</f>
        <v>-6.812349177381842E-2</v>
      </c>
      <c r="AN189" s="72">
        <f>EXP(INDEX(LINEST(LN(AV189:CU189),LN(AV188:CU188)),1,2))</f>
        <v>1.8505792786453077</v>
      </c>
      <c r="AO189" s="89">
        <f>INDEX(LINEST((AV189:CU189),LN(AV188:CU188),TRUE,TRUE),3,1)</f>
        <v>0.92521043973231809</v>
      </c>
      <c r="AP189" s="89">
        <f>INDEX(LINEST((AV189:CU189),LN(AV188:CU188)),1)</f>
        <v>-4.4458207079897054E-2</v>
      </c>
      <c r="AQ189" s="90">
        <f>INDEX(LINEST(LN(AV189:CU189),SQRT(AV188:CU188),TRUE,TRUE),3,1)</f>
        <v>0.90143938215654074</v>
      </c>
      <c r="AR189" s="117">
        <f>INDEX(LINEST(LN(AV189:CU189),SQRT((AV188:CU188))),1)</f>
        <v>-5.6174076245665551E-5</v>
      </c>
      <c r="AS189" s="91">
        <f>INDEX(LINEST(1/(AV189:CU189),1/(SQRT(AV188:CU188)),TRUE,TRUE),3,1)</f>
        <v>0.54842157308642014</v>
      </c>
      <c r="AT189" s="91">
        <f>INDEX(LINEST(1/(AV189:CU189),1/SQRT(AV188:CU188)),1)</f>
        <v>-210.88356575788177</v>
      </c>
      <c r="AU189" s="3"/>
      <c r="AV189" s="73">
        <v>0.78902439024390203</v>
      </c>
      <c r="AW189" s="73">
        <v>0.76951219512195101</v>
      </c>
      <c r="AX189" s="73">
        <v>0.75731707317073105</v>
      </c>
      <c r="AY189" s="73">
        <v>0.732926829268292</v>
      </c>
      <c r="AZ189" s="73">
        <v>0.71341463414634099</v>
      </c>
      <c r="BA189" s="73">
        <v>0.70365853658536504</v>
      </c>
      <c r="BB189" s="73">
        <v>0.69146341463414596</v>
      </c>
      <c r="BC189" s="73">
        <v>0.698780487804878</v>
      </c>
      <c r="BD189" s="73">
        <v>0.70853658536585296</v>
      </c>
      <c r="BE189" s="73">
        <v>0.71097560975609697</v>
      </c>
      <c r="BF189" s="73">
        <v>0.68170731707317</v>
      </c>
      <c r="BG189" s="73">
        <v>0.65731707317073096</v>
      </c>
      <c r="BH189" s="73">
        <v>0.66463414634146301</v>
      </c>
      <c r="BI189" s="73">
        <v>0.65487804878048705</v>
      </c>
      <c r="BJ189" s="73">
        <v>0.68414634146341402</v>
      </c>
      <c r="BK189" s="73">
        <v>0.66707317073170702</v>
      </c>
      <c r="BL189" s="73">
        <v>0.68414634146341402</v>
      </c>
      <c r="BM189" s="73">
        <v>0.65975609756097497</v>
      </c>
      <c r="BN189" s="73">
        <v>0.63536585365853604</v>
      </c>
      <c r="BO189" s="73">
        <v>0.63536585365853604</v>
      </c>
      <c r="BP189" s="73">
        <v>0.65</v>
      </c>
      <c r="BQ189" s="73">
        <v>0.65975609756097497</v>
      </c>
      <c r="BR189" s="73">
        <v>0.66951219512195104</v>
      </c>
      <c r="BS189" s="73">
        <v>0.63780487804878006</v>
      </c>
      <c r="BT189" s="73">
        <v>0.64756097560975601</v>
      </c>
      <c r="BU189" s="73">
        <v>0.59878048780487803</v>
      </c>
      <c r="BV189" s="73">
        <v>0.60609756097560896</v>
      </c>
      <c r="BW189" s="73">
        <v>0.58902439024390196</v>
      </c>
      <c r="BX189" s="73">
        <v>0.58170731707317003</v>
      </c>
      <c r="BY189" s="73">
        <v>0.60853658536585298</v>
      </c>
      <c r="BZ189" s="73">
        <v>0.63048780487804801</v>
      </c>
      <c r="CA189" s="73">
        <v>0.60609756097560896</v>
      </c>
      <c r="CB189" s="73">
        <v>0.59634146341463401</v>
      </c>
      <c r="CC189" s="73">
        <v>0.60853658536585298</v>
      </c>
      <c r="CD189" s="73">
        <v>0.61341463414634101</v>
      </c>
      <c r="CE189" s="73">
        <v>0.59390243902438999</v>
      </c>
      <c r="CF189" s="73">
        <v>0.57926829268292601</v>
      </c>
      <c r="CG189" s="73">
        <v>0.57926829268292601</v>
      </c>
      <c r="CH189" s="73">
        <v>0.56951219512195095</v>
      </c>
      <c r="CI189" s="73">
        <v>0.59146341463414598</v>
      </c>
      <c r="CJ189" s="73">
        <v>0.59878048780487803</v>
      </c>
      <c r="CK189" s="73">
        <v>0.59878048780487803</v>
      </c>
      <c r="CL189" s="73">
        <v>0.54999999999999905</v>
      </c>
      <c r="CM189" s="73">
        <v>0.56951219512195095</v>
      </c>
      <c r="CN189" s="73">
        <v>0.58658536585365795</v>
      </c>
      <c r="CO189" s="73">
        <v>0.559756097560975</v>
      </c>
      <c r="CP189" s="73">
        <v>0.56707317073170704</v>
      </c>
      <c r="CQ189" s="73">
        <v>0.56707317073170704</v>
      </c>
      <c r="CR189" s="156">
        <v>0.55243902439024395</v>
      </c>
      <c r="CS189" s="156">
        <v>0.55487804878048697</v>
      </c>
      <c r="CT189" s="156">
        <v>0.559756097560975</v>
      </c>
      <c r="CU189" s="156">
        <v>0.56707317073170704</v>
      </c>
    </row>
    <row r="190" spans="1:99" s="13" customFormat="1" ht="12" customHeight="1" x14ac:dyDescent="0.2">
      <c r="A190" s="68">
        <v>43509</v>
      </c>
      <c r="B190" s="70"/>
      <c r="C190" s="70"/>
      <c r="D190" s="69"/>
      <c r="E190" s="87"/>
      <c r="F190" s="69"/>
      <c r="G190" s="69"/>
      <c r="H190" s="69"/>
      <c r="I190" s="69"/>
      <c r="J190" s="69"/>
      <c r="K190" s="107"/>
      <c r="L190" s="107"/>
      <c r="M190" s="69"/>
      <c r="N190" s="69"/>
      <c r="O190" s="69"/>
      <c r="P190" s="69"/>
      <c r="Q190" s="69"/>
      <c r="R190" s="69"/>
      <c r="S190" s="69"/>
      <c r="T190" s="69"/>
      <c r="U190" s="60"/>
      <c r="V190" s="69"/>
      <c r="W190" s="69"/>
      <c r="X190" s="69"/>
      <c r="Y190" s="87"/>
      <c r="Z190" s="69"/>
      <c r="AA190" s="69"/>
      <c r="AB190" s="69"/>
      <c r="AC190" s="69"/>
      <c r="AD190" s="69"/>
      <c r="AE190" s="69"/>
      <c r="AF190" s="88"/>
      <c r="AG190" s="72"/>
      <c r="AH190" s="4"/>
      <c r="AI190" s="72"/>
      <c r="AJ190" s="110"/>
      <c r="AK190" s="72"/>
      <c r="AL190" s="72"/>
      <c r="AM190" s="72"/>
      <c r="AN190" s="72"/>
      <c r="AO190" s="72"/>
      <c r="AP190" s="72"/>
      <c r="AQ190" s="72"/>
      <c r="AR190" s="110"/>
      <c r="AS190" s="72"/>
      <c r="AT190" s="72"/>
      <c r="AU190" s="5"/>
      <c r="AV190" s="71">
        <f>24*60*60</f>
        <v>86400</v>
      </c>
      <c r="AW190" s="71">
        <f>4*24*60*60</f>
        <v>345600</v>
      </c>
      <c r="AX190" s="71">
        <f>7*24*60*60</f>
        <v>604800</v>
      </c>
      <c r="AY190" s="71">
        <f>10*24*60*60</f>
        <v>864000</v>
      </c>
      <c r="AZ190" s="71">
        <f>13*24*60*60</f>
        <v>1123200</v>
      </c>
      <c r="BA190" s="71">
        <f>16*24*60*60</f>
        <v>1382400</v>
      </c>
      <c r="BB190" s="71">
        <f>19*24*60*60</f>
        <v>1641600</v>
      </c>
      <c r="BC190" s="71">
        <f>22*24*60*60</f>
        <v>1900800</v>
      </c>
      <c r="BD190" s="71">
        <f>25*24*60*60</f>
        <v>2160000</v>
      </c>
      <c r="BE190" s="71">
        <f>28*24*60*60</f>
        <v>2419200</v>
      </c>
      <c r="BF190" s="71">
        <f>31*24*60*60</f>
        <v>2678400</v>
      </c>
      <c r="BG190" s="71">
        <f>34*24*60*60</f>
        <v>2937600</v>
      </c>
      <c r="BH190" s="71">
        <f>37*24*60*60</f>
        <v>3196800</v>
      </c>
      <c r="BI190" s="71">
        <f>40*24*60*60</f>
        <v>3456000</v>
      </c>
      <c r="BJ190" s="71">
        <f>43*24*60*60</f>
        <v>3715200</v>
      </c>
      <c r="BK190" s="71">
        <f>46*24*60*60</f>
        <v>3974400</v>
      </c>
      <c r="BL190" s="71">
        <f>49*24*60*60</f>
        <v>4233600</v>
      </c>
      <c r="BM190" s="71">
        <f>52*24*60*60</f>
        <v>4492800</v>
      </c>
      <c r="BN190" s="71">
        <f>55*24*60*60</f>
        <v>4752000</v>
      </c>
      <c r="BO190" s="71">
        <f>58*24*60*60</f>
        <v>5011200</v>
      </c>
      <c r="BP190" s="71">
        <f>64.5*24*60*60</f>
        <v>5572800</v>
      </c>
      <c r="BQ190" s="71">
        <f>74.5*24*60*60</f>
        <v>6436800</v>
      </c>
      <c r="BR190" s="71">
        <f>84.5*24*60*60</f>
        <v>7300800</v>
      </c>
      <c r="BS190" s="71">
        <f>94.5*24*60*60</f>
        <v>8164800</v>
      </c>
      <c r="BT190" s="71">
        <f>104.5*24*60*60</f>
        <v>9028800</v>
      </c>
      <c r="BU190" s="71">
        <f>114.5*24*60*60</f>
        <v>9892800</v>
      </c>
      <c r="BV190" s="71">
        <f>124.5*24*60*60</f>
        <v>10756800</v>
      </c>
      <c r="BW190" s="71">
        <f>134.5*24*60*60</f>
        <v>11620800</v>
      </c>
      <c r="BX190" s="71">
        <f>144.5*24*60*60</f>
        <v>12484800</v>
      </c>
      <c r="BY190" s="71">
        <f>154.5*24*60*60</f>
        <v>13348800</v>
      </c>
      <c r="BZ190" s="71">
        <f>164.5*24*60*60</f>
        <v>14212800</v>
      </c>
      <c r="CA190" s="71">
        <f>174.5*24*60*60</f>
        <v>15076800</v>
      </c>
      <c r="CB190" s="71">
        <f>184.5*24*60*60</f>
        <v>15940800</v>
      </c>
      <c r="CC190" s="71">
        <f>194.5*24*60*60</f>
        <v>16804800</v>
      </c>
      <c r="CD190" s="71">
        <f>204.5*24*60*60</f>
        <v>17668800</v>
      </c>
      <c r="CE190" s="71">
        <f>214.5*24*60*60</f>
        <v>18532800</v>
      </c>
      <c r="CF190" s="71">
        <f>224.5*24*60*60</f>
        <v>19396800</v>
      </c>
      <c r="CG190" s="71">
        <f>234.5*24*60*60</f>
        <v>20260800</v>
      </c>
      <c r="CH190" s="71">
        <f>244.5*24*60*60</f>
        <v>21124800</v>
      </c>
      <c r="CI190" s="71">
        <f>254.5*24*60*60</f>
        <v>21988800</v>
      </c>
      <c r="CJ190" s="71">
        <f>264.5*24*60*60</f>
        <v>22852800</v>
      </c>
      <c r="CK190" s="71">
        <f>274.5*24*60*60</f>
        <v>23716800</v>
      </c>
      <c r="CL190" s="71">
        <f>284.5*24*60*60</f>
        <v>24580800</v>
      </c>
      <c r="CM190" s="71">
        <f>294.5*24*60*60</f>
        <v>25444800</v>
      </c>
      <c r="CN190" s="71">
        <f>304.5*24*60*60</f>
        <v>26308800</v>
      </c>
      <c r="CO190" s="71">
        <f>314.5*24*60*60</f>
        <v>27172800</v>
      </c>
      <c r="CP190" s="71">
        <f>324.5*24*60*60</f>
        <v>28036800</v>
      </c>
      <c r="CQ190" s="71">
        <f>334.5*24*60*60</f>
        <v>28900800</v>
      </c>
      <c r="CR190" s="71">
        <f>344.5*24*60*60</f>
        <v>29764800</v>
      </c>
      <c r="CS190" s="71">
        <f>354.5*24*60*60</f>
        <v>30628800</v>
      </c>
      <c r="CT190" s="71">
        <f>364.5*24*60*60</f>
        <v>31492800</v>
      </c>
      <c r="CU190" s="71">
        <f>374.5*24*60*60</f>
        <v>32356800</v>
      </c>
    </row>
    <row r="191" spans="1:99" s="13" customFormat="1" ht="12" customHeight="1" x14ac:dyDescent="0.2">
      <c r="A191" s="68">
        <v>43509</v>
      </c>
      <c r="B191" s="70" t="s">
        <v>187</v>
      </c>
      <c r="C191" s="70" t="s">
        <v>188</v>
      </c>
      <c r="D191" s="69">
        <v>2005</v>
      </c>
      <c r="E191" s="87">
        <v>1</v>
      </c>
      <c r="F191" s="69">
        <v>4239</v>
      </c>
      <c r="G191" s="69">
        <v>81.5</v>
      </c>
      <c r="H191" s="69" t="s">
        <v>41</v>
      </c>
      <c r="I191" s="69" t="s">
        <v>740</v>
      </c>
      <c r="J191" s="69" t="s">
        <v>677</v>
      </c>
      <c r="K191" s="69">
        <f>IF(J191="syllables",1,IF(J191="trigrams",2,IF(J191="strings",3,IF(J191="visual array",4,IF(J191="characters",5,IF(J191="letters",6,IF(J191="free forms",7,IF(J191="odors",8,IF(J191="words",9,IF(J191="pictures",10,IF(J191="object pictures",11,IF(J191="faces",12,IF(J191="names",13,IF(J191="idioms",14,IF(J191="grades",15,IF(J191="syllable-digit pairs",16,IF(J191="trigram-word pairs",17,IF(J191="word-digit pairs",18,IF(J191="English-Swahili pairs",19,IF(J191="spatial position",20,IF(J191="word pairs",21,IF(J191="word triads",22,IF(J191="generated words",23,IF(J191="word definition pairs",24,IF(J191="math problems",25,IF(J191="famous faces",26,IF(J191="famous names",27,IF(J191="famous voices",28,IF(J191="television programs",29,IF(J191="race horses",30,IF(J191="new vocabulary",31,IF(J191="sentences",32,IF(J191="concepts",33,IF(J191="ad slides",34,IF(J191="scenes",35,IF(J191="famous scenes",36,IF(J191="poems",37,IF(J191="walk",38,IF(J191="faces and events",39,IF(J191="events and names",40,IF(J191="flashbulb",41,IF(J191="stories",42,IF(J191="course material",43,IF(J191="autobiographical",44,IF(J191="novels",45,IF(J191="public events",46,"99"))))))))))))))))))))))))))))))))))))))))))))))</f>
        <v>42</v>
      </c>
      <c r="L191" s="69">
        <f>IF(J191="syllables",1,IF(J191="trigrams",1,IF(J191="strings",1,IF(J191="visual array",1,IF(J191="characters",1,IF(J191="letters",1,IF(J191="free forms",1,IF(J191="odors",2,IF(J191="words",2,IF(J191="pictures",2,IF(J191="object pictures",2,IF(J191="faces",2,IF(J191="names",2,IF(J191="idioms","2",IF(J191="grades",2,IF(J191="syllable-digit pairs",3,IF(J191="trigram-word pairs",3,IF(J191="word-digit pairs",3,IF(J191="English-Swahili pairs",3,IF(J191="spatial position",3,IF(J191="word pairs",4,IF(J191="word triads",4,IF(J191="generated words",4,IF(J191="word definition pairs",4,IF(J191="math problems",4,IF(J191="famous faces",4,IF(J191="famous names",4,IF(J191="famous voices",4,IF(J191="television programs",4,IF(J191="race horses",4,IF(J191="new vocabulary",4,IF(J191="sentences",5,IF(J191="concepts",5,IF(J191="ad slides",5,IF(J191="scenes",5,IF(J191="famous scenes",5,IF(J191="poems",6,IF(J191="walk",6,IF(J191="faces and events",6,IF(J191="events and names",6,IF(J191="flashbulb",7,IF(J191="stories",7,IF(J191="course material",7,IF(J191="autobiographical",7,IF(J191="novels",7,IF(J191="public events",7,"99"))))))))))))))))))))))))))))))))))))))))))))))</f>
        <v>7</v>
      </c>
      <c r="M191" s="69">
        <v>0</v>
      </c>
      <c r="N191" s="69">
        <v>3</v>
      </c>
      <c r="O191" s="69">
        <v>0</v>
      </c>
      <c r="P191" s="69"/>
      <c r="Q191" s="69" t="s">
        <v>65</v>
      </c>
      <c r="R191" s="69">
        <f>IF(Q191="Free Recall",1,IF(Q191="Cued Recall",2,IF(Q191="Recognition",3,IF(Q191="Multiple Choice",4,IF(Q191="Savings",5,IF(Q191="Stem Completion",6,IF(Q191="Fragment Completion",7,IF(Q191="anagram solution",8,IF(Q191="Matching",9,IF(Q191="Problem Solving",10,"99"))))))))))</f>
        <v>2</v>
      </c>
      <c r="S191" s="69" t="s">
        <v>15</v>
      </c>
      <c r="T191" s="69" t="s">
        <v>261</v>
      </c>
      <c r="U191" s="60">
        <f>IF(T191="within",1,0)</f>
        <v>0</v>
      </c>
      <c r="V191" s="69">
        <v>30</v>
      </c>
      <c r="W191" s="69">
        <f>F191*V191</f>
        <v>127170</v>
      </c>
      <c r="X191" s="69">
        <v>52</v>
      </c>
      <c r="Y191" s="87">
        <f>AV190</f>
        <v>86400</v>
      </c>
      <c r="Z191" s="69" t="s">
        <v>189</v>
      </c>
      <c r="AA191" s="87">
        <f>374.5*24*60*60</f>
        <v>32356800</v>
      </c>
      <c r="AB191" s="69" t="str">
        <f>IF(AA191&lt;60,"1",IF(AA191&lt;=43200,"2",IF(AA191&lt;=777600,"3","4")))</f>
        <v>4</v>
      </c>
      <c r="AC191" s="72">
        <f>AVERAGE(AV190:DA190)</f>
        <v>12650953.846153846</v>
      </c>
      <c r="AD191" s="69" t="str">
        <f>IF(AC191&lt;60,"1",IF(AC191&lt;=43200,"2",IF(AC191&lt;=777600,"3","4")))</f>
        <v>4</v>
      </c>
      <c r="AE191" s="87">
        <f>AA191-Y191</f>
        <v>32270400</v>
      </c>
      <c r="AF191" s="88">
        <f>AV191</f>
        <v>0.62560975609756098</v>
      </c>
      <c r="AG191" s="72">
        <f>((AW191-AV191)+(AX191-AW191)+(AY191-AX191)+(AZ191-AY191)+(BA191-AZ191)+(BB191-BA191)+(BC191-BB191)+(BD191-BC191)+(BE191-BD191)+(BF191-BE191)+(BG191-BF191)+(BH191-BG191)+(BI191-BH191)+(BJ191-BI191)+(BK191-BJ191)+(BL191-BK191)+(BM191-BL191)+(BN191-BM191)+(BO191-BN191)+(BP191-BO191)+(BQ191-BP191)+(BR191-BQ191)+(BS191-BR191)+(BT191-BS191)+(BU191-BT191)+(BV191-BU191)+(BW191-BV191)+(BX191-BW191)+(BY191-BX191)+(BZ191-BY191)+(CA191-BZ191)+(CB191-CA191)+(CC191-CB191)+(CD191-CC191)+(CE191-CD191)+(CF191-CE191)+(CG191-CF191)+(CH191-CG191)+(CI191-CH191)+(CJ191-CI191)+(CK191-CJ191)+(CL191-CK191)+(CM191-CL191)+(CN191-CM191)+(CO191-CN191)+(CP191-CO191)+(CQ191-CP191)+(CR191-CQ191)+(CS191-CR191)+(CT191-CS191)+(CU191-CT191))/51</f>
        <v>-6.0736489717838427E-3</v>
      </c>
      <c r="AH191" s="4"/>
      <c r="AI191" s="72">
        <f>RSQ(AV191:CU191,AV190:CU190)</f>
        <v>0.76456434156351927</v>
      </c>
      <c r="AJ191" s="110">
        <f>SLOPE(AV191:CU191,AV190:CU190)</f>
        <v>-7.9386611615569551E-9</v>
      </c>
      <c r="AK191" s="72">
        <f>INTERCEPT(AV191:CU191,AV190:CU190)</f>
        <v>0.5065291969307204</v>
      </c>
      <c r="AL191" s="72">
        <f>INDEX(LINEST(LN(AV191:CU191),LN(AV190:CU190),TRUE,TRUE),3,1)</f>
        <v>0.88586791126068598</v>
      </c>
      <c r="AM191" s="72">
        <f>INDEX(LINEST(LN(AV191:CU191),LN(AV190:CU190)),1)</f>
        <v>-0.1593494789550107</v>
      </c>
      <c r="AN191" s="72">
        <f>EXP(INDEX(LINEST(LN(AV191:CU191),LN(AV190:CU190)),1,2))</f>
        <v>4.9103795715116103</v>
      </c>
      <c r="AO191" s="89">
        <f>INDEX(LINEST((AV191:CU191),LN(AV190:CU190),TRUE,TRUE),3,1)</f>
        <v>0.91825482678518033</v>
      </c>
      <c r="AP191" s="89">
        <f>INDEX(LINEST((AV191:CU191),LN(AV190:CU190)),1)</f>
        <v>-6.8051423731975078E-2</v>
      </c>
      <c r="AQ191" s="90">
        <f>INDEX(LINEST(LN(AV191:CU191),SQRT(AV190:CU190),TRUE,TRUE),3,1)</f>
        <v>0.90866370308973077</v>
      </c>
      <c r="AR191" s="117">
        <f>INDEX(LINEST(LN(AV191:CU191),SQRT((AV190:CU190))),1)</f>
        <v>-1.3371258752841868E-4</v>
      </c>
      <c r="AS191" s="91">
        <f>INDEX(LINEST(1/(AV191:CU191),1/(SQRT(AV190:CU190)),TRUE,TRUE),3,1)</f>
        <v>0.46066038912968427</v>
      </c>
      <c r="AT191" s="91">
        <f>INDEX(LINEST(1/(AV191:CU191),1/SQRT(AV190:CU190)),1)</f>
        <v>-730.51802000417695</v>
      </c>
      <c r="AU191" s="3"/>
      <c r="AV191" s="73">
        <v>0.62560975609756098</v>
      </c>
      <c r="AW191" s="73">
        <v>0.63536585365853604</v>
      </c>
      <c r="AX191" s="73">
        <v>0.59146341463414598</v>
      </c>
      <c r="AY191" s="73">
        <v>0.57804878048780495</v>
      </c>
      <c r="AZ191" s="73">
        <v>0.51219512195121897</v>
      </c>
      <c r="BA191" s="73">
        <v>0.49878048780487799</v>
      </c>
      <c r="BB191" s="73">
        <v>0.49390243902439002</v>
      </c>
      <c r="BC191" s="73">
        <v>0.51097560975609702</v>
      </c>
      <c r="BD191" s="73">
        <v>0.48170731707316999</v>
      </c>
      <c r="BE191" s="73">
        <v>0.50365853658536497</v>
      </c>
      <c r="BF191" s="73">
        <v>0.48902439024390199</v>
      </c>
      <c r="BG191" s="73">
        <v>0.46707317073170701</v>
      </c>
      <c r="BH191" s="73">
        <v>0.45243902439024303</v>
      </c>
      <c r="BI191" s="73">
        <v>0.45243902439024303</v>
      </c>
      <c r="BJ191" s="73">
        <v>0.49634146341463398</v>
      </c>
      <c r="BK191" s="73">
        <v>0.48658536585365803</v>
      </c>
      <c r="BL191" s="73">
        <v>0.46707317073170701</v>
      </c>
      <c r="BM191" s="73">
        <v>0.48414634146341401</v>
      </c>
      <c r="BN191" s="73">
        <v>0.41829268292682897</v>
      </c>
      <c r="BO191" s="73">
        <v>0.413414634146341</v>
      </c>
      <c r="BP191" s="73">
        <v>0.42073170731707299</v>
      </c>
      <c r="BQ191" s="73">
        <v>0.440243902439024</v>
      </c>
      <c r="BR191" s="73">
        <v>0.48902439024390199</v>
      </c>
      <c r="BS191" s="73">
        <v>0.413414634146341</v>
      </c>
      <c r="BT191" s="73">
        <v>0.40609756097560901</v>
      </c>
      <c r="BU191" s="73">
        <v>0.39146341463414602</v>
      </c>
      <c r="BV191" s="73">
        <v>0.34024390243902403</v>
      </c>
      <c r="BW191" s="73">
        <v>0.36707317073170698</v>
      </c>
      <c r="BX191" s="73">
        <v>0.37317073170731702</v>
      </c>
      <c r="BY191" s="73">
        <v>0.35487804878048701</v>
      </c>
      <c r="BZ191" s="73">
        <v>0.35975609756097499</v>
      </c>
      <c r="CA191" s="73">
        <v>0.319512195121951</v>
      </c>
      <c r="CB191" s="73">
        <v>0.345121951219512</v>
      </c>
      <c r="CC191" s="73">
        <v>0.29024390243902398</v>
      </c>
      <c r="CD191" s="73">
        <v>0.35731707317073103</v>
      </c>
      <c r="CE191" s="73">
        <v>0.326829268292682</v>
      </c>
      <c r="CF191" s="73">
        <v>0.31707317073170699</v>
      </c>
      <c r="CG191" s="73">
        <v>0.32317073170731703</v>
      </c>
      <c r="CH191" s="73">
        <v>0.34146341463414598</v>
      </c>
      <c r="CI191" s="73">
        <v>0.32560975609755999</v>
      </c>
      <c r="CJ191" s="73">
        <v>0.34878048780487703</v>
      </c>
      <c r="CK191" s="73">
        <v>0.30487804878048702</v>
      </c>
      <c r="CL191" s="73">
        <v>0.32317073170731703</v>
      </c>
      <c r="CM191" s="73">
        <v>0.32317073170731703</v>
      </c>
      <c r="CN191" s="73">
        <v>0.30365853658536501</v>
      </c>
      <c r="CO191" s="73">
        <v>0.29878048780487798</v>
      </c>
      <c r="CP191" s="73">
        <v>0.32926829268292601</v>
      </c>
      <c r="CQ191" s="73">
        <v>0.31219512195121901</v>
      </c>
      <c r="CR191" s="156">
        <v>0.27926829268292602</v>
      </c>
      <c r="CS191" s="156">
        <v>0.29024390243902398</v>
      </c>
      <c r="CT191" s="156">
        <v>0.326829268292682</v>
      </c>
      <c r="CU191" s="156">
        <v>0.31585365853658498</v>
      </c>
    </row>
    <row r="192" spans="1:99" s="13" customFormat="1" ht="12" customHeight="1" x14ac:dyDescent="0.2">
      <c r="A192" s="68">
        <v>43979</v>
      </c>
      <c r="B192" s="70"/>
      <c r="C192" s="70"/>
      <c r="D192" s="69"/>
      <c r="E192" s="87"/>
      <c r="F192" s="69"/>
      <c r="G192" s="69"/>
      <c r="H192" s="69"/>
      <c r="I192" s="69"/>
      <c r="J192" s="69"/>
      <c r="K192" s="69"/>
      <c r="L192" s="69"/>
      <c r="M192" s="69"/>
      <c r="N192" s="86"/>
      <c r="O192" s="69"/>
      <c r="P192" s="69"/>
      <c r="Q192" s="69"/>
      <c r="R192" s="69"/>
      <c r="S192" s="69"/>
      <c r="T192" s="92"/>
      <c r="U192" s="69"/>
      <c r="V192" s="92"/>
      <c r="W192" s="69"/>
      <c r="X192" s="69"/>
      <c r="Y192" s="87"/>
      <c r="Z192" s="69"/>
      <c r="AA192" s="69"/>
      <c r="AB192" s="69"/>
      <c r="AC192" s="72"/>
      <c r="AD192" s="69"/>
      <c r="AE192" s="87"/>
      <c r="AF192" s="88"/>
      <c r="AG192" s="72"/>
      <c r="AH192" s="4"/>
      <c r="AI192" s="72"/>
      <c r="AJ192" s="110"/>
      <c r="AK192" s="72"/>
      <c r="AL192" s="72"/>
      <c r="AM192" s="72"/>
      <c r="AN192" s="72"/>
      <c r="AO192" s="89"/>
      <c r="AP192" s="89"/>
      <c r="AQ192" s="90"/>
      <c r="AR192" s="117"/>
      <c r="AS192" s="91"/>
      <c r="AT192" s="91"/>
      <c r="AU192" s="3"/>
      <c r="AV192" s="71">
        <v>40</v>
      </c>
      <c r="AW192" s="71">
        <f>60*30</f>
        <v>1800</v>
      </c>
      <c r="AX192" s="71">
        <f>60*60*24*7*3</f>
        <v>1814400</v>
      </c>
      <c r="AY192" s="53"/>
      <c r="AZ192" s="53"/>
      <c r="BA192" s="53"/>
      <c r="BB192" s="53"/>
      <c r="BC192" s="53"/>
      <c r="BD192" s="53"/>
      <c r="BE192" s="53"/>
      <c r="BF192" s="53"/>
      <c r="BG192" s="53"/>
      <c r="BH192" s="53"/>
      <c r="BI192" s="53"/>
      <c r="BJ192" s="53"/>
      <c r="BK192" s="53"/>
      <c r="BL192" s="53"/>
      <c r="BM192" s="53"/>
      <c r="BN192" s="53"/>
      <c r="BO192" s="53"/>
      <c r="BP192" s="53"/>
      <c r="BQ192" s="53"/>
      <c r="BR192" s="53"/>
      <c r="BS192" s="53"/>
      <c r="BT192" s="53"/>
      <c r="BU192" s="53"/>
      <c r="BV192" s="53"/>
      <c r="BW192" s="53"/>
      <c r="BX192" s="53"/>
      <c r="BY192" s="53"/>
      <c r="BZ192" s="53"/>
      <c r="CA192" s="53"/>
      <c r="CB192" s="53"/>
      <c r="CC192" s="53"/>
      <c r="CD192" s="53"/>
      <c r="CE192" s="53"/>
      <c r="CF192" s="53"/>
      <c r="CG192" s="53"/>
      <c r="CH192" s="53"/>
      <c r="CI192" s="53"/>
      <c r="CJ192" s="53"/>
      <c r="CK192" s="53"/>
      <c r="CL192" s="53"/>
      <c r="CM192" s="53"/>
      <c r="CN192" s="53"/>
      <c r="CO192" s="53"/>
      <c r="CP192" s="53"/>
      <c r="CQ192" s="53"/>
      <c r="CR192" s="16"/>
      <c r="CS192" s="16"/>
      <c r="CT192" s="16"/>
      <c r="CU192" s="16"/>
    </row>
    <row r="193" spans="1:99" s="13" customFormat="1" ht="12" customHeight="1" x14ac:dyDescent="0.2">
      <c r="A193" s="68">
        <v>43979</v>
      </c>
      <c r="B193" s="70" t="s">
        <v>986</v>
      </c>
      <c r="C193" s="70" t="s">
        <v>54</v>
      </c>
      <c r="D193" s="69">
        <v>2011</v>
      </c>
      <c r="E193" s="87">
        <v>1</v>
      </c>
      <c r="F193" s="69">
        <v>15</v>
      </c>
      <c r="G193" s="69">
        <v>15</v>
      </c>
      <c r="H193" s="69" t="s">
        <v>41</v>
      </c>
      <c r="I193" s="69" t="s">
        <v>987</v>
      </c>
      <c r="J193" s="69" t="s">
        <v>686</v>
      </c>
      <c r="K193" s="69">
        <f>IF(J193="syllables",1,IF(J193="trigrams",2,IF(J193="strings",3,IF(J193="visual array",4,IF(J193="characters",5,IF(J193="letters",6,IF(J193="free forms",7,IF(J193="odors",8,IF(J193="words",9,IF(J193="pictures",10,IF(J193="object pictures",11,IF(J193="faces",12,IF(J193="names",13,IF(J193="idioms",14,IF(J193="grades",15,IF(J193="syllable-digit pairs",16,IF(J193="trigram-word pairs",17,IF(J193="word-digit pairs",18,IF(J193="English-Swahili pairs",19,IF(J193="spatial position",20,IF(J193="word pairs",21,IF(J193="word triads",22,IF(J193="generated words",23,IF(J193="word definition pairs",24,IF(J193="math problems",25,IF(J193="famous faces",26,IF(J193="famous names",27,IF(J193="famous voices",28,IF(J193="television programs",29,IF(J193="race horses",30,IF(J193="new vocabulary",31,IF(J193="sentences",32,IF(J193="concepts",33,IF(J193="ad slides",34,IF(J193="scenes",35,IF(J193="famous scenes",36,IF(J193="poems",37,IF(J193="walk",38,IF(J193="faces and events",39,IF(J193="events and names",40,IF(J193="flashbulb",41,IF(J193="stories",42,IF(J193="course material",43,IF(J193="autobiographical",44,IF(J193="novels",45,IF(J193="public events",46,"99"))))))))))))))))))))))))))))))))))))))))))))))</f>
        <v>35</v>
      </c>
      <c r="L193" s="69">
        <f>IF(J193="syllables",1,IF(J193="trigrams",1,IF(J193="strings",1,IF(J193="visual array",1,IF(J193="characters",1,IF(J193="letters",1,IF(J193="free forms",1,IF(J193="odors",2,IF(J193="words",2,IF(J193="pictures",2,IF(J193="object pictures",2,IF(J193="faces",2,IF(J193="names",2,IF(J193="idioms","2",IF(J193="grades",2,IF(J193="syllable-digit pairs",3,IF(J193="trigram-word pairs",3,IF(J193="word-digit pairs",3,IF(J193="English-Swahili pairs",3,IF(J193="spatial position",3,IF(J193="word pairs",4,IF(J193="word triads",4,IF(J193="generated words",4,IF(J193="word definition pairs",4,IF(J193="math problems",4,IF(J193="famous faces",4,IF(J193="famous names",4,IF(J193="famous voices",4,IF(J193="television programs",4,IF(J193="race horses",4,IF(J193="new vocabulary",4,IF(J193="sentences",5,IF(J193="concepts",5,IF(J193="ad slides",5,IF(J193="scenes",5,IF(J193="famous scenes",5,IF(J193="poems",6,IF(J193="walk",6,IF(J193="faces and events",6,IF(J193="events and names",6,IF(J193="flashbulb",7,IF(J193="stories",7,IF(J193="course material",7,IF(J193="autobiographical",7,IF(J193="novels",7,IF(J193="public events",7,"99"))))))))))))))))))))))))))))))))))))))))))))))</f>
        <v>5</v>
      </c>
      <c r="M193" s="69">
        <v>0</v>
      </c>
      <c r="N193" s="86">
        <v>3</v>
      </c>
      <c r="O193" s="69">
        <v>0</v>
      </c>
      <c r="P193" s="69"/>
      <c r="Q193" s="69" t="s">
        <v>174</v>
      </c>
      <c r="R193" s="69">
        <f>IF(Q193="Free Recall",1,IF(Q193="Cued Recall",2,IF(Q193="Recognition",3,IF(Q193="Multiple Choice",4,IF(Q193="Savings",5,IF(Q193="Stem Completion",6,IF(Q193="Fragment Completion",7,IF(Q193="anagram solution",8,IF(Q193="Matching",9,IF(Q193="Problem Solving",10,"99"))))))))))</f>
        <v>1</v>
      </c>
      <c r="S193" s="69" t="s">
        <v>49</v>
      </c>
      <c r="T193" s="92" t="s">
        <v>581</v>
      </c>
      <c r="U193" s="69">
        <f>IF(T193="within",1,0)</f>
        <v>1</v>
      </c>
      <c r="V193" s="92">
        <v>60</v>
      </c>
      <c r="W193" s="69">
        <f>F193*V193</f>
        <v>900</v>
      </c>
      <c r="X193" s="69">
        <v>3</v>
      </c>
      <c r="Y193" s="87">
        <f>AV192</f>
        <v>40</v>
      </c>
      <c r="Z193" s="69" t="s">
        <v>165</v>
      </c>
      <c r="AA193" s="69">
        <f>60*60*24*7*3</f>
        <v>1814400</v>
      </c>
      <c r="AB193" s="69" t="str">
        <f>IF(AA193&lt;60,"1",IF(AA193&lt;=43200,"2",IF(AA193&lt;=777600,"3","4")))</f>
        <v>4</v>
      </c>
      <c r="AC193" s="72">
        <f>AVERAGE(AV192:DA192)</f>
        <v>605413.33333333337</v>
      </c>
      <c r="AD193" s="69" t="str">
        <f>IF(AC193&lt;60,"1",IF(AC193&lt;=43200,"2",IF(AC193&lt;=777600,"3","4")))</f>
        <v>3</v>
      </c>
      <c r="AE193" s="87">
        <f>AA193-Y193</f>
        <v>1814360</v>
      </c>
      <c r="AF193" s="88">
        <f>AV193</f>
        <v>0.83366141732283006</v>
      </c>
      <c r="AG193" s="72">
        <f>((AW193-AV193)+(AX193-AW193))/2</f>
        <v>-3.0511811023619995E-2</v>
      </c>
      <c r="AH193" s="4"/>
      <c r="AI193" s="72">
        <f>RSQ(AV193:AX193,AV192:AX192)</f>
        <v>0.9358149219305153</v>
      </c>
      <c r="AJ193" s="110">
        <f>SLOPE(AV193:AX193,AV192:AX192)</f>
        <v>-3.9611455171626265E-8</v>
      </c>
      <c r="AK193" s="72">
        <f>INTERCEPT(AV193:AX193,AV192:AX192)</f>
        <v>0.8445193608564181</v>
      </c>
      <c r="AL193" s="72">
        <f>INDEX(LINEST(LN(AV193:AX193),LN(AV192:AX192),TRUE,TRUE),3,1)</f>
        <v>0.67867827756176258</v>
      </c>
      <c r="AM193" s="72">
        <f>INDEX(LINEST(LN(AV193:AX193),LN(AV192:AX192)),1)</f>
        <v>-8.0125213049529343E-3</v>
      </c>
      <c r="AN193" s="72">
        <f>EXP(INDEX(LINEST(LN(AV193:AX193),LN(AV192:AX192)),1,2))</f>
        <v>0.87778160858338528</v>
      </c>
      <c r="AO193" s="89">
        <f>INDEX(LINEST((AV193:AX193),LN(AV192:AX192),TRUE,TRUE),3,1)</f>
        <v>0.66897673185097672</v>
      </c>
      <c r="AP193" s="89">
        <f>INDEX(LINEST((AV193:AX193),LN(AV192:AX192)),1)</f>
        <v>-6.4508986719673733E-3</v>
      </c>
      <c r="AQ193" s="90">
        <f>INDEX(LINEST(LN(AV193:AX193),SQRT(AV192:AX192),TRUE,TRUE),3,1)</f>
        <v>0.92957962092637458</v>
      </c>
      <c r="AR193" s="117">
        <f>INDEX(LINEST(LN(AV193:AX193),SQRT((AV192:AX192))),1)</f>
        <v>-6.6734093460847936E-5</v>
      </c>
      <c r="AS193" s="91">
        <f>INDEX(LINEST(1/(AV193:AX193),1/(SQRT(AV192:AX192)),TRUE,TRUE),3,1)</f>
        <v>0.1688007294917899</v>
      </c>
      <c r="AT193" s="91">
        <f>INDEX(LINEST(1/(AV193:AX193),1/SQRT(AV192:AX192)),1)</f>
        <v>-0.31527608578278027</v>
      </c>
      <c r="AU193" s="3"/>
      <c r="AV193" s="73">
        <v>0.83366141732283006</v>
      </c>
      <c r="AW193" s="73">
        <v>0.85531496062992007</v>
      </c>
      <c r="AX193" s="73">
        <v>0.77263779527559007</v>
      </c>
      <c r="AY193" s="53"/>
      <c r="AZ193" s="53"/>
      <c r="BA193" s="53"/>
      <c r="BB193" s="53"/>
      <c r="BC193" s="53"/>
      <c r="BD193" s="53"/>
      <c r="BE193" s="53"/>
      <c r="BF193" s="53"/>
      <c r="BG193" s="53"/>
      <c r="BH193" s="53"/>
      <c r="BI193" s="53"/>
      <c r="BJ193" s="53"/>
      <c r="BK193" s="53"/>
      <c r="BL193" s="53"/>
      <c r="BM193" s="53"/>
      <c r="BN193" s="53"/>
      <c r="BO193" s="53"/>
      <c r="BP193" s="53"/>
      <c r="BQ193" s="53"/>
      <c r="BR193" s="53"/>
      <c r="BS193" s="53"/>
      <c r="BT193" s="53"/>
      <c r="BU193" s="53"/>
      <c r="BV193" s="53"/>
      <c r="BW193" s="53"/>
      <c r="BX193" s="53"/>
      <c r="BY193" s="53"/>
      <c r="BZ193" s="53"/>
      <c r="CA193" s="53"/>
      <c r="CB193" s="53"/>
      <c r="CC193" s="53"/>
      <c r="CD193" s="53"/>
      <c r="CE193" s="53"/>
      <c r="CF193" s="53"/>
      <c r="CG193" s="53"/>
      <c r="CH193" s="53"/>
      <c r="CI193" s="53"/>
      <c r="CJ193" s="53"/>
      <c r="CK193" s="53"/>
      <c r="CL193" s="53"/>
      <c r="CM193" s="53"/>
      <c r="CN193" s="53"/>
      <c r="CO193" s="53"/>
      <c r="CP193" s="53"/>
      <c r="CQ193" s="53"/>
      <c r="CR193" s="16"/>
      <c r="CS193" s="16"/>
      <c r="CT193" s="16"/>
      <c r="CU193" s="16"/>
    </row>
    <row r="194" spans="1:99" s="13" customFormat="1" ht="12" customHeight="1" x14ac:dyDescent="0.2">
      <c r="A194" s="68">
        <v>43979</v>
      </c>
      <c r="B194" s="70"/>
      <c r="C194" s="70"/>
      <c r="D194" s="69"/>
      <c r="E194" s="87"/>
      <c r="F194" s="69"/>
      <c r="G194" s="69"/>
      <c r="H194" s="69"/>
      <c r="I194" s="69"/>
      <c r="J194" s="69"/>
      <c r="K194" s="69"/>
      <c r="L194" s="69"/>
      <c r="M194" s="69"/>
      <c r="N194" s="86"/>
      <c r="O194" s="69"/>
      <c r="P194" s="69"/>
      <c r="Q194" s="69"/>
      <c r="R194" s="69"/>
      <c r="S194" s="69"/>
      <c r="T194" s="92"/>
      <c r="U194" s="69"/>
      <c r="V194" s="92"/>
      <c r="W194" s="69"/>
      <c r="X194" s="69"/>
      <c r="Y194" s="87"/>
      <c r="Z194" s="69"/>
      <c r="AA194" s="69"/>
      <c r="AB194" s="69"/>
      <c r="AC194" s="72"/>
      <c r="AD194" s="69"/>
      <c r="AE194" s="87"/>
      <c r="AF194" s="88"/>
      <c r="AG194" s="72"/>
      <c r="AH194" s="4"/>
      <c r="AI194" s="72"/>
      <c r="AJ194" s="110"/>
      <c r="AK194" s="72"/>
      <c r="AL194" s="72"/>
      <c r="AM194" s="72"/>
      <c r="AN194" s="72"/>
      <c r="AO194" s="89"/>
      <c r="AP194" s="89"/>
      <c r="AQ194" s="90"/>
      <c r="AR194" s="117"/>
      <c r="AS194" s="91"/>
      <c r="AT194" s="91"/>
      <c r="AU194" s="3"/>
      <c r="AV194" s="71">
        <v>40</v>
      </c>
      <c r="AW194" s="71">
        <f>60*30</f>
        <v>1800</v>
      </c>
      <c r="AX194" s="71">
        <f>60*60*24*7*3</f>
        <v>1814400</v>
      </c>
      <c r="AY194" s="53"/>
      <c r="AZ194" s="53"/>
      <c r="BA194" s="53"/>
      <c r="BB194" s="53"/>
      <c r="BC194" s="53"/>
      <c r="BD194" s="53"/>
      <c r="BE194" s="53"/>
      <c r="BF194" s="53"/>
      <c r="BG194" s="53"/>
      <c r="BH194" s="53"/>
      <c r="BI194" s="53"/>
      <c r="BJ194" s="53"/>
      <c r="BK194" s="53"/>
      <c r="BL194" s="53"/>
      <c r="BM194" s="53"/>
      <c r="BN194" s="53"/>
      <c r="BO194" s="53"/>
      <c r="BP194" s="53"/>
      <c r="BQ194" s="53"/>
      <c r="BR194" s="53"/>
      <c r="BS194" s="53"/>
      <c r="BT194" s="53"/>
      <c r="BU194" s="53"/>
      <c r="BV194" s="53"/>
      <c r="BW194" s="53"/>
      <c r="BX194" s="53"/>
      <c r="BY194" s="53"/>
      <c r="BZ194" s="53"/>
      <c r="CA194" s="53"/>
      <c r="CB194" s="53"/>
      <c r="CC194" s="53"/>
      <c r="CD194" s="53"/>
      <c r="CE194" s="53"/>
      <c r="CF194" s="53"/>
      <c r="CG194" s="53"/>
      <c r="CH194" s="53"/>
      <c r="CI194" s="53"/>
      <c r="CJ194" s="53"/>
      <c r="CK194" s="53"/>
      <c r="CL194" s="53"/>
      <c r="CM194" s="53"/>
      <c r="CN194" s="53"/>
      <c r="CO194" s="53"/>
      <c r="CP194" s="53"/>
      <c r="CQ194" s="53"/>
      <c r="CR194" s="16"/>
      <c r="CS194" s="16"/>
      <c r="CT194" s="16"/>
      <c r="CU194" s="16"/>
    </row>
    <row r="195" spans="1:99" s="13" customFormat="1" ht="12" customHeight="1" x14ac:dyDescent="0.2">
      <c r="A195" s="68">
        <v>43979</v>
      </c>
      <c r="B195" s="70" t="s">
        <v>986</v>
      </c>
      <c r="C195" s="70" t="s">
        <v>54</v>
      </c>
      <c r="D195" s="69">
        <v>2011</v>
      </c>
      <c r="E195" s="87">
        <v>1</v>
      </c>
      <c r="F195" s="69">
        <v>10</v>
      </c>
      <c r="G195" s="69">
        <v>10</v>
      </c>
      <c r="H195" s="69" t="s">
        <v>41</v>
      </c>
      <c r="I195" s="69" t="s">
        <v>988</v>
      </c>
      <c r="J195" s="69" t="s">
        <v>686</v>
      </c>
      <c r="K195" s="69">
        <f>IF(J195="syllables",1,IF(J195="trigrams",2,IF(J195="strings",3,IF(J195="visual array",4,IF(J195="characters",5,IF(J195="letters",6,IF(J195="free forms",7,IF(J195="odors",8,IF(J195="words",9,IF(J195="pictures",10,IF(J195="object pictures",11,IF(J195="faces",12,IF(J195="names",13,IF(J195="idioms",14,IF(J195="grades",15,IF(J195="syllable-digit pairs",16,IF(J195="trigram-word pairs",17,IF(J195="word-digit pairs",18,IF(J195="English-Swahili pairs",19,IF(J195="spatial position",20,IF(J195="word pairs",21,IF(J195="word triads",22,IF(J195="generated words",23,IF(J195="word definition pairs",24,IF(J195="math problems",25,IF(J195="famous faces",26,IF(J195="famous names",27,IF(J195="famous voices",28,IF(J195="television programs",29,IF(J195="race horses",30,IF(J195="new vocabulary",31,IF(J195="sentences",32,IF(J195="concepts",33,IF(J195="ad slides",34,IF(J195="scenes",35,IF(J195="famous scenes",36,IF(J195="poems",37,IF(J195="walk",38,IF(J195="faces and events",39,IF(J195="events and names",40,IF(J195="flashbulb",41,IF(J195="stories",42,IF(J195="course material",43,IF(J195="autobiographical",44,IF(J195="novels",45,IF(J195="public events",46,"99"))))))))))))))))))))))))))))))))))))))))))))))</f>
        <v>35</v>
      </c>
      <c r="L195" s="69">
        <f>IF(J195="syllables",1,IF(J195="trigrams",1,IF(J195="strings",1,IF(J195="visual array",1,IF(J195="characters",1,IF(J195="letters",1,IF(J195="free forms",1,IF(J195="odors",2,IF(J195="words",2,IF(J195="pictures",2,IF(J195="object pictures",2,IF(J195="faces",2,IF(J195="names",2,IF(J195="idioms","2",IF(J195="grades",2,IF(J195="syllable-digit pairs",3,IF(J195="trigram-word pairs",3,IF(J195="word-digit pairs",3,IF(J195="English-Swahili pairs",3,IF(J195="spatial position",3,IF(J195="word pairs",4,IF(J195="word triads",4,IF(J195="generated words",4,IF(J195="word definition pairs",4,IF(J195="math problems",4,IF(J195="famous faces",4,IF(J195="famous names",4,IF(J195="famous voices",4,IF(J195="television programs",4,IF(J195="race horses",4,IF(J195="new vocabulary",4,IF(J195="sentences",5,IF(J195="concepts",5,IF(J195="ad slides",5,IF(J195="scenes",5,IF(J195="famous scenes",5,IF(J195="poems",6,IF(J195="walk",6,IF(J195="faces and events",6,IF(J195="events and names",6,IF(J195="flashbulb",7,IF(J195="stories",7,IF(J195="course material",7,IF(J195="autobiographical",7,IF(J195="novels",7,IF(J195="public events",7,"99"))))))))))))))))))))))))))))))))))))))))))))))</f>
        <v>5</v>
      </c>
      <c r="M195" s="69">
        <v>0</v>
      </c>
      <c r="N195" s="86">
        <v>3</v>
      </c>
      <c r="O195" s="69">
        <v>0</v>
      </c>
      <c r="P195" s="69"/>
      <c r="Q195" s="69" t="s">
        <v>174</v>
      </c>
      <c r="R195" s="69">
        <f>IF(Q195="Free Recall",1,IF(Q195="Cued Recall",2,IF(Q195="Recognition",3,IF(Q195="Multiple Choice",4,IF(Q195="Savings",5,IF(Q195="Stem Completion",6,IF(Q195="Fragment Completion",7,IF(Q195="anagram solution",8,IF(Q195="Matching",9,IF(Q195="Problem Solving",10,"99"))))))))))</f>
        <v>1</v>
      </c>
      <c r="S195" s="69" t="s">
        <v>49</v>
      </c>
      <c r="T195" s="92" t="s">
        <v>581</v>
      </c>
      <c r="U195" s="69">
        <f>IF(T195="within",1,0)</f>
        <v>1</v>
      </c>
      <c r="V195" s="92">
        <v>60</v>
      </c>
      <c r="W195" s="69">
        <f>F195*V195</f>
        <v>600</v>
      </c>
      <c r="X195" s="69">
        <v>3</v>
      </c>
      <c r="Y195" s="87">
        <f>AV194</f>
        <v>40</v>
      </c>
      <c r="Z195" s="69" t="s">
        <v>165</v>
      </c>
      <c r="AA195" s="69">
        <f>60*60*24*7*3</f>
        <v>1814400</v>
      </c>
      <c r="AB195" s="69" t="str">
        <f>IF(AA195&lt;60,"1",IF(AA195&lt;=43200,"2",IF(AA195&lt;=777600,"3","4")))</f>
        <v>4</v>
      </c>
      <c r="AC195" s="72">
        <f>AVERAGE(AV194:DA194)</f>
        <v>605413.33333333337</v>
      </c>
      <c r="AD195" s="69" t="str">
        <f>IF(AC195&lt;60,"1",IF(AC195&lt;=43200,"2",IF(AC195&lt;=777600,"3","4")))</f>
        <v>3</v>
      </c>
      <c r="AE195" s="87">
        <f>AA195-Y195</f>
        <v>1814360</v>
      </c>
      <c r="AF195" s="88">
        <f>AV195</f>
        <v>0.8228346456692901</v>
      </c>
      <c r="AG195" s="72">
        <f>((AW195-AV195)+(AX195-AW195))/2</f>
        <v>-5.019685039370253E-2</v>
      </c>
      <c r="AH195" s="4"/>
      <c r="AI195" s="72">
        <f>RSQ(AV195:AX195,AV194:AX194)</f>
        <v>0.98759313399476145</v>
      </c>
      <c r="AJ195" s="110">
        <f>SLOPE(AV195:AX195,AV194:AX194)</f>
        <v>-5.9153317882171334E-8</v>
      </c>
      <c r="AK195" s="72">
        <f>INTERCEPT(AV195:AX195,AV194:AX194)</f>
        <v>0.829775461949945</v>
      </c>
      <c r="AL195" s="72">
        <f>INDEX(LINEST(LN(AV195:AX195),LN(AV194:AX194),TRUE,TRUE),3,1)</f>
        <v>0.80190601739456713</v>
      </c>
      <c r="AM195" s="72">
        <f>INDEX(LINEST(LN(AV195:AX195),LN(AV194:AX194)),1)</f>
        <v>-1.3236682347725693E-2</v>
      </c>
      <c r="AN195" s="72">
        <f>EXP(INDEX(LINEST(LN(AV195:AX195),LN(AV194:AX194)),1,2))</f>
        <v>0.88700620083285175</v>
      </c>
      <c r="AO195" s="89">
        <f>INDEX(LINEST((AV195:AX195),LN(AV194:AX194),TRUE,TRUE),3,1)</f>
        <v>0.7960993694373294</v>
      </c>
      <c r="AP195" s="89">
        <f>INDEX(LINEST((AV195:AX195),LN(AV194:AX194)),1)</f>
        <v>-1.0229693412254806E-2</v>
      </c>
      <c r="AQ195" s="90">
        <f>INDEX(LINEST(LN(AV195:AX195),SQRT(AV194:AX194),TRUE,TRUE),3,1)</f>
        <v>0.98391562988868064</v>
      </c>
      <c r="AR195" s="117">
        <f>INDEX(LINEST(LN(AV195:AX195),SQRT((AV194:AX194))),1)</f>
        <v>-1.0434306406788991E-4</v>
      </c>
      <c r="AS195" s="91">
        <f>INDEX(LINEST(1/(AV195:AX195),1/(SQRT(AV194:AX194)),TRUE,TRUE),3,1)</f>
        <v>0.28362345802300309</v>
      </c>
      <c r="AT195" s="91">
        <f>INDEX(LINEST(1/(AV195:AX195),1/SQRT(AV194:AX194)),1)</f>
        <v>-0.64986201060893944</v>
      </c>
      <c r="AU195" s="3"/>
      <c r="AV195" s="73">
        <v>0.8228346456692901</v>
      </c>
      <c r="AW195" s="73">
        <v>0.83661417322834508</v>
      </c>
      <c r="AX195" s="73">
        <v>0.72244094488188504</v>
      </c>
      <c r="AY195" s="53"/>
      <c r="AZ195" s="53"/>
      <c r="BA195" s="53"/>
      <c r="BB195" s="53"/>
      <c r="BC195" s="53"/>
      <c r="BD195" s="53"/>
      <c r="BE195" s="53"/>
      <c r="BF195" s="53"/>
      <c r="BG195" s="53"/>
      <c r="BH195" s="53"/>
      <c r="BI195" s="53"/>
      <c r="BJ195" s="53"/>
      <c r="BK195" s="53"/>
      <c r="BL195" s="53"/>
      <c r="BM195" s="53"/>
      <c r="BN195" s="53"/>
      <c r="BO195" s="53"/>
      <c r="BP195" s="53"/>
      <c r="BQ195" s="53"/>
      <c r="BR195" s="53"/>
      <c r="BS195" s="53"/>
      <c r="BT195" s="53"/>
      <c r="BU195" s="53"/>
      <c r="BV195" s="53"/>
      <c r="BW195" s="53"/>
      <c r="BX195" s="53"/>
      <c r="BY195" s="53"/>
      <c r="BZ195" s="53"/>
      <c r="CA195" s="53"/>
      <c r="CB195" s="53"/>
      <c r="CC195" s="53"/>
      <c r="CD195" s="53"/>
      <c r="CE195" s="53"/>
      <c r="CF195" s="53"/>
      <c r="CG195" s="53"/>
      <c r="CH195" s="53"/>
      <c r="CI195" s="53"/>
      <c r="CJ195" s="53"/>
      <c r="CK195" s="53"/>
      <c r="CL195" s="53"/>
      <c r="CM195" s="53"/>
      <c r="CN195" s="53"/>
      <c r="CO195" s="53"/>
      <c r="CP195" s="53"/>
      <c r="CQ195" s="53"/>
      <c r="CR195" s="16"/>
      <c r="CS195" s="16"/>
      <c r="CT195" s="16"/>
      <c r="CU195" s="16"/>
    </row>
    <row r="196" spans="1:99" s="13" customFormat="1" ht="12" customHeight="1" x14ac:dyDescent="0.2">
      <c r="A196" s="68">
        <v>43979</v>
      </c>
      <c r="B196" s="70"/>
      <c r="C196" s="70"/>
      <c r="D196" s="69"/>
      <c r="E196" s="87"/>
      <c r="F196" s="69"/>
      <c r="G196" s="69"/>
      <c r="H196" s="69"/>
      <c r="I196" s="69"/>
      <c r="J196" s="69"/>
      <c r="K196" s="69"/>
      <c r="L196" s="69"/>
      <c r="M196" s="69"/>
      <c r="N196" s="86"/>
      <c r="O196" s="69"/>
      <c r="P196" s="69"/>
      <c r="Q196" s="69"/>
      <c r="R196" s="69"/>
      <c r="S196" s="69"/>
      <c r="T196" s="92"/>
      <c r="U196" s="69"/>
      <c r="V196" s="92"/>
      <c r="W196" s="69"/>
      <c r="X196" s="69"/>
      <c r="Y196" s="87"/>
      <c r="Z196" s="69"/>
      <c r="AA196" s="69"/>
      <c r="AB196" s="69"/>
      <c r="AC196" s="72"/>
      <c r="AD196" s="69"/>
      <c r="AE196" s="87"/>
      <c r="AF196" s="88"/>
      <c r="AG196" s="72"/>
      <c r="AH196" s="4"/>
      <c r="AI196" s="72"/>
      <c r="AJ196" s="110"/>
      <c r="AK196" s="72"/>
      <c r="AL196" s="72"/>
      <c r="AM196" s="72"/>
      <c r="AN196" s="72"/>
      <c r="AO196" s="89"/>
      <c r="AP196" s="89"/>
      <c r="AQ196" s="90"/>
      <c r="AR196" s="117"/>
      <c r="AS196" s="91"/>
      <c r="AT196" s="91"/>
      <c r="AU196" s="3"/>
      <c r="AV196" s="71">
        <v>40</v>
      </c>
      <c r="AW196" s="71">
        <f>60*30</f>
        <v>1800</v>
      </c>
      <c r="AX196" s="71">
        <f>60*60*24*7*3</f>
        <v>1814400</v>
      </c>
      <c r="AY196" s="53"/>
      <c r="AZ196" s="53"/>
      <c r="BA196" s="53"/>
      <c r="BB196" s="53"/>
      <c r="BC196" s="53"/>
      <c r="BD196" s="53"/>
      <c r="BE196" s="53"/>
      <c r="BF196" s="53"/>
      <c r="BG196" s="53"/>
      <c r="BH196" s="53"/>
      <c r="BI196" s="53"/>
      <c r="BJ196" s="53"/>
      <c r="BK196" s="53"/>
      <c r="BL196" s="53"/>
      <c r="BM196" s="53"/>
      <c r="BN196" s="53"/>
      <c r="BO196" s="53"/>
      <c r="BP196" s="53"/>
      <c r="BQ196" s="53"/>
      <c r="BR196" s="53"/>
      <c r="BS196" s="53"/>
      <c r="BT196" s="53"/>
      <c r="BU196" s="53"/>
      <c r="BV196" s="53"/>
      <c r="BW196" s="53"/>
      <c r="BX196" s="53"/>
      <c r="BY196" s="53"/>
      <c r="BZ196" s="53"/>
      <c r="CA196" s="53"/>
      <c r="CB196" s="53"/>
      <c r="CC196" s="53"/>
      <c r="CD196" s="53"/>
      <c r="CE196" s="53"/>
      <c r="CF196" s="53"/>
      <c r="CG196" s="53"/>
      <c r="CH196" s="53"/>
      <c r="CI196" s="53"/>
      <c r="CJ196" s="53"/>
      <c r="CK196" s="53"/>
      <c r="CL196" s="53"/>
      <c r="CM196" s="53"/>
      <c r="CN196" s="53"/>
      <c r="CO196" s="53"/>
      <c r="CP196" s="53"/>
      <c r="CQ196" s="53"/>
      <c r="CR196" s="16"/>
      <c r="CS196" s="16"/>
      <c r="CT196" s="16"/>
      <c r="CU196" s="16"/>
    </row>
    <row r="197" spans="1:99" s="13" customFormat="1" ht="12" customHeight="1" x14ac:dyDescent="0.2">
      <c r="A197" s="68">
        <v>43979</v>
      </c>
      <c r="B197" s="70" t="s">
        <v>986</v>
      </c>
      <c r="C197" s="70" t="s">
        <v>54</v>
      </c>
      <c r="D197" s="69">
        <v>2011</v>
      </c>
      <c r="E197" s="87">
        <v>1</v>
      </c>
      <c r="F197" s="69">
        <v>15</v>
      </c>
      <c r="G197" s="69">
        <v>15</v>
      </c>
      <c r="H197" s="69" t="s">
        <v>41</v>
      </c>
      <c r="I197" s="69" t="s">
        <v>989</v>
      </c>
      <c r="J197" s="69" t="s">
        <v>686</v>
      </c>
      <c r="K197" s="69">
        <f>IF(J197="syllables",1,IF(J197="trigrams",2,IF(J197="strings",3,IF(J197="visual array",4,IF(J197="characters",5,IF(J197="letters",6,IF(J197="free forms",7,IF(J197="odors",8,IF(J197="words",9,IF(J197="pictures",10,IF(J197="object pictures",11,IF(J197="faces",12,IF(J197="names",13,IF(J197="idioms",14,IF(J197="grades",15,IF(J197="syllable-digit pairs",16,IF(J197="trigram-word pairs",17,IF(J197="word-digit pairs",18,IF(J197="English-Swahili pairs",19,IF(J197="spatial position",20,IF(J197="word pairs",21,IF(J197="word triads",22,IF(J197="generated words",23,IF(J197="word definition pairs",24,IF(J197="math problems",25,IF(J197="famous faces",26,IF(J197="famous names",27,IF(J197="famous voices",28,IF(J197="television programs",29,IF(J197="race horses",30,IF(J197="new vocabulary",31,IF(J197="sentences",32,IF(J197="concepts",33,IF(J197="ad slides",34,IF(J197="scenes",35,IF(J197="famous scenes",36,IF(J197="poems",37,IF(J197="walk",38,IF(J197="faces and events",39,IF(J197="events and names",40,IF(J197="flashbulb",41,IF(J197="stories",42,IF(J197="course material",43,IF(J197="autobiographical",44,IF(J197="novels",45,IF(J197="public events",46,"99"))))))))))))))))))))))))))))))))))))))))))))))</f>
        <v>35</v>
      </c>
      <c r="L197" s="69">
        <f>IF(J197="syllables",1,IF(J197="trigrams",1,IF(J197="strings",1,IF(J197="visual array",1,IF(J197="characters",1,IF(J197="letters",1,IF(J197="free forms",1,IF(J197="odors",2,IF(J197="words",2,IF(J197="pictures",2,IF(J197="object pictures",2,IF(J197="faces",2,IF(J197="names",2,IF(J197="idioms","2",IF(J197="grades",2,IF(J197="syllable-digit pairs",3,IF(J197="trigram-word pairs",3,IF(J197="word-digit pairs",3,IF(J197="English-Swahili pairs",3,IF(J197="spatial position",3,IF(J197="word pairs",4,IF(J197="word triads",4,IF(J197="generated words",4,IF(J197="word definition pairs",4,IF(J197="math problems",4,IF(J197="famous faces",4,IF(J197="famous names",4,IF(J197="famous voices",4,IF(J197="television programs",4,IF(J197="race horses",4,IF(J197="new vocabulary",4,IF(J197="sentences",5,IF(J197="concepts",5,IF(J197="ad slides",5,IF(J197="scenes",5,IF(J197="famous scenes",5,IF(J197="poems",6,IF(J197="walk",6,IF(J197="faces and events",6,IF(J197="events and names",6,IF(J197="flashbulb",7,IF(J197="stories",7,IF(J197="course material",7,IF(J197="autobiographical",7,IF(J197="novels",7,IF(J197="public events",7,"99"))))))))))))))))))))))))))))))))))))))))))))))</f>
        <v>5</v>
      </c>
      <c r="M197" s="69">
        <v>0</v>
      </c>
      <c r="N197" s="86">
        <v>3</v>
      </c>
      <c r="O197" s="69">
        <v>0</v>
      </c>
      <c r="P197" s="69"/>
      <c r="Q197" s="69" t="s">
        <v>174</v>
      </c>
      <c r="R197" s="69">
        <f>IF(Q197="Free Recall",1,IF(Q197="Cued Recall",2,IF(Q197="Recognition",3,IF(Q197="Multiple Choice",4,IF(Q197="Savings",5,IF(Q197="Stem Completion",6,IF(Q197="Fragment Completion",7,IF(Q197="anagram solution",8,IF(Q197="Matching",9,IF(Q197="Problem Solving",10,"99"))))))))))</f>
        <v>1</v>
      </c>
      <c r="S197" s="69" t="s">
        <v>49</v>
      </c>
      <c r="T197" s="92" t="s">
        <v>581</v>
      </c>
      <c r="U197" s="69">
        <f>IF(T197="within",1,0)</f>
        <v>1</v>
      </c>
      <c r="V197" s="92">
        <v>24</v>
      </c>
      <c r="W197" s="69">
        <f>F197*V197</f>
        <v>360</v>
      </c>
      <c r="X197" s="69">
        <v>3</v>
      </c>
      <c r="Y197" s="87">
        <f>AV196</f>
        <v>40</v>
      </c>
      <c r="Z197" s="69" t="s">
        <v>165</v>
      </c>
      <c r="AA197" s="69">
        <f>60*60*24*7*3</f>
        <v>1814400</v>
      </c>
      <c r="AB197" s="69" t="str">
        <f>IF(AA197&lt;60,"1",IF(AA197&lt;=43200,"2",IF(AA197&lt;=777600,"3","4")))</f>
        <v>4</v>
      </c>
      <c r="AC197" s="72">
        <f>AVERAGE(AV196:DA196)</f>
        <v>605413.33333333337</v>
      </c>
      <c r="AD197" s="69" t="str">
        <f>IF(AC197&lt;60,"1",IF(AC197&lt;=43200,"2",IF(AC197&lt;=777600,"3","4")))</f>
        <v>3</v>
      </c>
      <c r="AE197" s="87">
        <f>AA197-Y197</f>
        <v>1814360</v>
      </c>
      <c r="AF197" s="88">
        <f>AV197</f>
        <v>0.98695955070872377</v>
      </c>
      <c r="AG197" s="72">
        <f>((AW197-AV197)+(AX197-AW197))/2</f>
        <v>-7.8181822281041258E-2</v>
      </c>
      <c r="AH197" s="4"/>
      <c r="AI197" s="72">
        <f>RSQ(AV197:AX197,AV196:AX196)</f>
        <v>0.99966817936839747</v>
      </c>
      <c r="AJ197" s="110">
        <f>SLOPE(AV197:AX197,AV196:AX196)</f>
        <v>-8.5285799804815157E-8</v>
      </c>
      <c r="AK197" s="72">
        <f>INTERCEPT(AV197:AX197,AV196:AX196)</f>
        <v>0.98533688242012873</v>
      </c>
      <c r="AL197" s="72">
        <f>INDEX(LINEST(LN(AV197:AX197),LN(AV196:AX196),TRUE,TRUE),3,1)</f>
        <v>0.88865495999214583</v>
      </c>
      <c r="AM197" s="72">
        <f>INDEX(LINEST(LN(AV197:AX197),LN(AV196:AX196)),1)</f>
        <v>-1.7099796840932026E-2</v>
      </c>
      <c r="AN197" s="72">
        <f>EXP(INDEX(LINEST(LN(AV197:AX197),LN(AV196:AX196)),1,2))</f>
        <v>1.0769367287550693</v>
      </c>
      <c r="AO197" s="89">
        <f>INDEX(LINEST((AV197:AX197),LN(AV196:AX196),TRUE,TRUE),3,1)</f>
        <v>0.88962059623727585</v>
      </c>
      <c r="AP197" s="89">
        <f>INDEX(LINEST((AV197:AX197),LN(AV196:AX196)),1)</f>
        <v>-1.5496731446574218E-2</v>
      </c>
      <c r="AQ197" s="90">
        <f>INDEX(LINEST(LN(AV197:AX197),SQRT(AV196:AX196),TRUE,TRUE),3,1)</f>
        <v>0.99996261033441414</v>
      </c>
      <c r="AR197" s="117">
        <f>INDEX(LINEST(LN(AV197:AX197),SQRT((AV196:AX196))),1)</f>
        <v>-1.2908729257264141E-4</v>
      </c>
      <c r="AS197" s="91">
        <f>INDEX(LINEST(1/(AV197:AX197),1/(SQRT(AV196:AX196)),TRUE,TRUE),3,1)</f>
        <v>0.38980694065105215</v>
      </c>
      <c r="AT197" s="91">
        <f>INDEX(LINEST(1/(AV197:AX197),1/SQRT(AV196:AX196)),1)</f>
        <v>-0.80120353021905077</v>
      </c>
      <c r="AU197" s="3"/>
      <c r="AV197" s="73">
        <v>0.98695955070872377</v>
      </c>
      <c r="AW197" s="73">
        <v>0.98355570936752379</v>
      </c>
      <c r="AX197" s="73">
        <v>0.83059590614664125</v>
      </c>
      <c r="AY197" s="53"/>
      <c r="AZ197" s="53"/>
      <c r="BA197" s="53"/>
      <c r="BB197" s="53"/>
      <c r="BC197" s="53"/>
      <c r="BD197" s="53"/>
      <c r="BE197" s="53"/>
      <c r="BF197" s="53"/>
      <c r="BG197" s="53"/>
      <c r="BH197" s="53"/>
      <c r="BI197" s="53"/>
      <c r="BJ197" s="53"/>
      <c r="BK197" s="53"/>
      <c r="BL197" s="53"/>
      <c r="BM197" s="53"/>
      <c r="BN197" s="53"/>
      <c r="BO197" s="53"/>
      <c r="BP197" s="53"/>
      <c r="BQ197" s="53"/>
      <c r="BR197" s="53"/>
      <c r="BS197" s="53"/>
      <c r="BT197" s="53"/>
      <c r="BU197" s="53"/>
      <c r="BV197" s="53"/>
      <c r="BW197" s="53"/>
      <c r="BX197" s="53"/>
      <c r="BY197" s="53"/>
      <c r="BZ197" s="53"/>
      <c r="CA197" s="53"/>
      <c r="CB197" s="53"/>
      <c r="CC197" s="53"/>
      <c r="CD197" s="53"/>
      <c r="CE197" s="53"/>
      <c r="CF197" s="53"/>
      <c r="CG197" s="53"/>
      <c r="CH197" s="53"/>
      <c r="CI197" s="53"/>
      <c r="CJ197" s="53"/>
      <c r="CK197" s="53"/>
      <c r="CL197" s="53"/>
      <c r="CM197" s="53"/>
      <c r="CN197" s="53"/>
      <c r="CO197" s="53"/>
      <c r="CP197" s="53"/>
      <c r="CQ197" s="53"/>
      <c r="CR197" s="16"/>
      <c r="CS197" s="16"/>
      <c r="CT197" s="16"/>
      <c r="CU197" s="16"/>
    </row>
    <row r="198" spans="1:99" s="13" customFormat="1" ht="12" customHeight="1" x14ac:dyDescent="0.2">
      <c r="A198" s="68">
        <v>43979</v>
      </c>
      <c r="B198" s="70"/>
      <c r="C198" s="70"/>
      <c r="D198" s="69"/>
      <c r="E198" s="87"/>
      <c r="F198" s="69"/>
      <c r="G198" s="69"/>
      <c r="H198" s="69"/>
      <c r="I198" s="69"/>
      <c r="J198" s="69"/>
      <c r="K198" s="69"/>
      <c r="L198" s="69"/>
      <c r="M198" s="69"/>
      <c r="N198" s="86"/>
      <c r="O198" s="69"/>
      <c r="P198" s="69"/>
      <c r="Q198" s="69"/>
      <c r="R198" s="69"/>
      <c r="S198" s="69"/>
      <c r="T198" s="92"/>
      <c r="U198" s="69"/>
      <c r="V198" s="92"/>
      <c r="W198" s="69"/>
      <c r="X198" s="69"/>
      <c r="Y198" s="87"/>
      <c r="Z198" s="69"/>
      <c r="AA198" s="69"/>
      <c r="AB198" s="69"/>
      <c r="AC198" s="72"/>
      <c r="AD198" s="69"/>
      <c r="AE198" s="87"/>
      <c r="AF198" s="88"/>
      <c r="AG198" s="72"/>
      <c r="AH198" s="4"/>
      <c r="AI198" s="72"/>
      <c r="AJ198" s="110"/>
      <c r="AK198" s="72"/>
      <c r="AL198" s="72"/>
      <c r="AM198" s="72"/>
      <c r="AN198" s="72"/>
      <c r="AO198" s="89"/>
      <c r="AP198" s="89"/>
      <c r="AQ198" s="90"/>
      <c r="AR198" s="117"/>
      <c r="AS198" s="91"/>
      <c r="AT198" s="91"/>
      <c r="AU198" s="3"/>
      <c r="AV198" s="71">
        <v>40</v>
      </c>
      <c r="AW198" s="71">
        <f>60*30</f>
        <v>1800</v>
      </c>
      <c r="AX198" s="71">
        <f>60*60*24*7*3</f>
        <v>1814400</v>
      </c>
      <c r="AY198" s="53"/>
      <c r="AZ198" s="53"/>
      <c r="BA198" s="53"/>
      <c r="BB198" s="53"/>
      <c r="BC198" s="53"/>
      <c r="BD198" s="53"/>
      <c r="BE198" s="53"/>
      <c r="BF198" s="53"/>
      <c r="BG198" s="53"/>
      <c r="BH198" s="53"/>
      <c r="BI198" s="53"/>
      <c r="BJ198" s="53"/>
      <c r="BK198" s="53"/>
      <c r="BL198" s="53"/>
      <c r="BM198" s="53"/>
      <c r="BN198" s="53"/>
      <c r="BO198" s="53"/>
      <c r="BP198" s="53"/>
      <c r="BQ198" s="53"/>
      <c r="BR198" s="53"/>
      <c r="BS198" s="53"/>
      <c r="BT198" s="53"/>
      <c r="BU198" s="53"/>
      <c r="BV198" s="53"/>
      <c r="BW198" s="53"/>
      <c r="BX198" s="53"/>
      <c r="BY198" s="53"/>
      <c r="BZ198" s="53"/>
      <c r="CA198" s="53"/>
      <c r="CB198" s="53"/>
      <c r="CC198" s="53"/>
      <c r="CD198" s="53"/>
      <c r="CE198" s="53"/>
      <c r="CF198" s="53"/>
      <c r="CG198" s="53"/>
      <c r="CH198" s="53"/>
      <c r="CI198" s="53"/>
      <c r="CJ198" s="53"/>
      <c r="CK198" s="53"/>
      <c r="CL198" s="53"/>
      <c r="CM198" s="53"/>
      <c r="CN198" s="53"/>
      <c r="CO198" s="53"/>
      <c r="CP198" s="53"/>
      <c r="CQ198" s="53"/>
      <c r="CR198" s="16"/>
      <c r="CS198" s="16"/>
      <c r="CT198" s="16"/>
      <c r="CU198" s="16"/>
    </row>
    <row r="199" spans="1:99" s="13" customFormat="1" ht="12" customHeight="1" x14ac:dyDescent="0.2">
      <c r="A199" s="68">
        <v>43979</v>
      </c>
      <c r="B199" s="70" t="s">
        <v>986</v>
      </c>
      <c r="C199" s="70" t="s">
        <v>54</v>
      </c>
      <c r="D199" s="69">
        <v>2011</v>
      </c>
      <c r="E199" s="87">
        <v>1</v>
      </c>
      <c r="F199" s="69">
        <v>10</v>
      </c>
      <c r="G199" s="69">
        <v>10</v>
      </c>
      <c r="H199" s="69" t="s">
        <v>41</v>
      </c>
      <c r="I199" s="69" t="s">
        <v>990</v>
      </c>
      <c r="J199" s="69" t="s">
        <v>686</v>
      </c>
      <c r="K199" s="69">
        <f>IF(J199="syllables",1,IF(J199="trigrams",2,IF(J199="strings",3,IF(J199="visual array",4,IF(J199="characters",5,IF(J199="letters",6,IF(J199="free forms",7,IF(J199="odors",8,IF(J199="words",9,IF(J199="pictures",10,IF(J199="object pictures",11,IF(J199="faces",12,IF(J199="names",13,IF(J199="idioms",14,IF(J199="grades",15,IF(J199="syllable-digit pairs",16,IF(J199="trigram-word pairs",17,IF(J199="word-digit pairs",18,IF(J199="English-Swahili pairs",19,IF(J199="spatial position",20,IF(J199="word pairs",21,IF(J199="word triads",22,IF(J199="generated words",23,IF(J199="word definition pairs",24,IF(J199="math problems",25,IF(J199="famous faces",26,IF(J199="famous names",27,IF(J199="famous voices",28,IF(J199="television programs",29,IF(J199="race horses",30,IF(J199="new vocabulary",31,IF(J199="sentences",32,IF(J199="concepts",33,IF(J199="ad slides",34,IF(J199="scenes",35,IF(J199="famous scenes",36,IF(J199="poems",37,IF(J199="walk",38,IF(J199="faces and events",39,IF(J199="events and names",40,IF(J199="flashbulb",41,IF(J199="stories",42,IF(J199="course material",43,IF(J199="autobiographical",44,IF(J199="novels",45,IF(J199="public events",46,"99"))))))))))))))))))))))))))))))))))))))))))))))</f>
        <v>35</v>
      </c>
      <c r="L199" s="69">
        <f>IF(J199="syllables",1,IF(J199="trigrams",1,IF(J199="strings",1,IF(J199="visual array",1,IF(J199="characters",1,IF(J199="letters",1,IF(J199="free forms",1,IF(J199="odors",2,IF(J199="words",2,IF(J199="pictures",2,IF(J199="object pictures",2,IF(J199="faces",2,IF(J199="names",2,IF(J199="idioms","2",IF(J199="grades",2,IF(J199="syllable-digit pairs",3,IF(J199="trigram-word pairs",3,IF(J199="word-digit pairs",3,IF(J199="English-Swahili pairs",3,IF(J199="spatial position",3,IF(J199="word pairs",4,IF(J199="word triads",4,IF(J199="generated words",4,IF(J199="word definition pairs",4,IF(J199="math problems",4,IF(J199="famous faces",4,IF(J199="famous names",4,IF(J199="famous voices",4,IF(J199="television programs",4,IF(J199="race horses",4,IF(J199="new vocabulary",4,IF(J199="sentences",5,IF(J199="concepts",5,IF(J199="ad slides",5,IF(J199="scenes",5,IF(J199="famous scenes",5,IF(J199="poems",6,IF(J199="walk",6,IF(J199="faces and events",6,IF(J199="events and names",6,IF(J199="flashbulb",7,IF(J199="stories",7,IF(J199="course material",7,IF(J199="autobiographical",7,IF(J199="novels",7,IF(J199="public events",7,"99"))))))))))))))))))))))))))))))))))))))))))))))</f>
        <v>5</v>
      </c>
      <c r="M199" s="69">
        <v>0</v>
      </c>
      <c r="N199" s="86">
        <v>3</v>
      </c>
      <c r="O199" s="69">
        <v>0</v>
      </c>
      <c r="P199" s="69"/>
      <c r="Q199" s="69" t="s">
        <v>174</v>
      </c>
      <c r="R199" s="69">
        <f>IF(Q199="Free Recall",1,IF(Q199="Cued Recall",2,IF(Q199="Recognition",3,IF(Q199="Multiple Choice",4,IF(Q199="Savings",5,IF(Q199="Stem Completion",6,IF(Q199="Fragment Completion",7,IF(Q199="anagram solution",8,IF(Q199="Matching",9,IF(Q199="Problem Solving",10,"99"))))))))))</f>
        <v>1</v>
      </c>
      <c r="S199" s="69" t="s">
        <v>49</v>
      </c>
      <c r="T199" s="92" t="s">
        <v>581</v>
      </c>
      <c r="U199" s="69">
        <f>IF(T199="within",1,0)</f>
        <v>1</v>
      </c>
      <c r="V199" s="92">
        <v>24</v>
      </c>
      <c r="W199" s="69">
        <f>F199*V199</f>
        <v>240</v>
      </c>
      <c r="X199" s="69">
        <v>3</v>
      </c>
      <c r="Y199" s="87">
        <f>AV198</f>
        <v>40</v>
      </c>
      <c r="Z199" s="69" t="s">
        <v>165</v>
      </c>
      <c r="AA199" s="69">
        <f>60*60*24*7*3</f>
        <v>1814400</v>
      </c>
      <c r="AB199" s="69" t="str">
        <f>IF(AA199&lt;60,"1",IF(AA199&lt;=43200,"2",IF(AA199&lt;=777600,"3","4")))</f>
        <v>4</v>
      </c>
      <c r="AC199" s="72">
        <f>AVERAGE(AV198:DA198)</f>
        <v>605413.33333333337</v>
      </c>
      <c r="AD199" s="69" t="str">
        <f>IF(AC199&lt;60,"1",IF(AC199&lt;=43200,"2",IF(AC199&lt;=777600,"3","4")))</f>
        <v>3</v>
      </c>
      <c r="AE199" s="87">
        <f>AA199-Y199</f>
        <v>1814360</v>
      </c>
      <c r="AF199" s="88">
        <f>AV199</f>
        <v>0.969964017017515</v>
      </c>
      <c r="AG199" s="72">
        <f>((AW199-AV199)+(AX199-AW199))/2</f>
        <v>-0.11500350586076252</v>
      </c>
      <c r="AH199" s="4"/>
      <c r="AI199" s="72">
        <f>RSQ(AV199:AX199,AV198:AX198)</f>
        <v>0.99884557521650552</v>
      </c>
      <c r="AJ199" s="110">
        <f>SLOPE(AV199:AX199,AV198:AX198)</f>
        <v>-1.2433463902364323E-7</v>
      </c>
      <c r="AK199" s="72">
        <f>INTERCEPT(AV199:AX199,AV198:AX198)</f>
        <v>0.96554547919554434</v>
      </c>
      <c r="AL199" s="72">
        <f>INDEX(LINEST(LN(AV199:AX199),LN(AV198:AX198),TRUE,TRUE),3,1)</f>
        <v>0.89673896708152878</v>
      </c>
      <c r="AM199" s="72">
        <f>INDEX(LINEST(LN(AV199:AX199),LN(AV198:AX198)),1)</f>
        <v>-2.6763552856926078E-2</v>
      </c>
      <c r="AN199" s="72">
        <f>EXP(INDEX(LINEST(LN(AV199:AX199),LN(AV198:AX198)),1,2))</f>
        <v>1.1101482534550551</v>
      </c>
      <c r="AO199" s="89">
        <f>INDEX(LINEST((AV199:AX199),LN(AV198:AX198),TRUE,TRUE),3,1)</f>
        <v>0.89930646480190712</v>
      </c>
      <c r="AP199" s="89">
        <f>INDEX(LINEST((AV199:AX199),LN(AV198:AX198)),1)</f>
        <v>-2.2724049174646817E-2</v>
      </c>
      <c r="AQ199" s="90">
        <f>INDEX(LINEST(LN(AV199:AX199),SQRT(AV198:AX198),TRUE,TRUE),3,1)</f>
        <v>0.99995173604113086</v>
      </c>
      <c r="AR199" s="117">
        <f>INDEX(LINEST(LN(AV199:AX199),SQRT((AV198:AX198))),1)</f>
        <v>-2.011256724265467E-4</v>
      </c>
      <c r="AS199" s="91">
        <f>INDEX(LINEST(1/(AV199:AX199),1/(SQRT(AV198:AX198)),TRUE,TRUE),3,1)</f>
        <v>0.40020078863247027</v>
      </c>
      <c r="AT199" s="91">
        <f>INDEX(LINEST(1/(AV199:AX199),1/SQRT(AV198:AX198)),1)</f>
        <v>-1.3559813942446997</v>
      </c>
      <c r="AU199" s="3"/>
      <c r="AV199" s="73">
        <v>0.969964017017515</v>
      </c>
      <c r="AW199" s="73">
        <v>0.96089387049282626</v>
      </c>
      <c r="AX199" s="73">
        <v>0.73995700529598996</v>
      </c>
      <c r="AY199" s="53"/>
      <c r="AZ199" s="53"/>
      <c r="BA199" s="53"/>
      <c r="BB199" s="53"/>
      <c r="BC199" s="53"/>
      <c r="BD199" s="53"/>
      <c r="BE199" s="53"/>
      <c r="BF199" s="53"/>
      <c r="BG199" s="53"/>
      <c r="BH199" s="53"/>
      <c r="BI199" s="53"/>
      <c r="BJ199" s="53"/>
      <c r="BK199" s="53"/>
      <c r="BL199" s="53"/>
      <c r="BM199" s="53"/>
      <c r="BN199" s="53"/>
      <c r="BO199" s="53"/>
      <c r="BP199" s="53"/>
      <c r="BQ199" s="53"/>
      <c r="BR199" s="53"/>
      <c r="BS199" s="53"/>
      <c r="BT199" s="53"/>
      <c r="BU199" s="53"/>
      <c r="BV199" s="53"/>
      <c r="BW199" s="53"/>
      <c r="BX199" s="53"/>
      <c r="BY199" s="53"/>
      <c r="BZ199" s="53"/>
      <c r="CA199" s="53"/>
      <c r="CB199" s="53"/>
      <c r="CC199" s="53"/>
      <c r="CD199" s="53"/>
      <c r="CE199" s="53"/>
      <c r="CF199" s="53"/>
      <c r="CG199" s="53"/>
      <c r="CH199" s="53"/>
      <c r="CI199" s="53"/>
      <c r="CJ199" s="53"/>
      <c r="CK199" s="53"/>
      <c r="CL199" s="53"/>
      <c r="CM199" s="53"/>
      <c r="CN199" s="53"/>
      <c r="CO199" s="53"/>
      <c r="CP199" s="53"/>
      <c r="CQ199" s="53"/>
      <c r="CR199" s="16"/>
      <c r="CS199" s="16"/>
      <c r="CT199" s="16"/>
      <c r="CU199" s="16"/>
    </row>
    <row r="200" spans="1:99" s="13" customFormat="1" ht="12" customHeight="1" x14ac:dyDescent="0.2">
      <c r="A200" s="68">
        <v>43979</v>
      </c>
      <c r="B200" s="70"/>
      <c r="C200" s="70"/>
      <c r="D200" s="69"/>
      <c r="E200" s="87"/>
      <c r="F200" s="69"/>
      <c r="G200" s="69"/>
      <c r="H200" s="69"/>
      <c r="I200" s="69"/>
      <c r="J200" s="69"/>
      <c r="K200" s="69"/>
      <c r="L200" s="69"/>
      <c r="M200" s="69"/>
      <c r="N200" s="86"/>
      <c r="O200" s="69"/>
      <c r="P200" s="69"/>
      <c r="Q200" s="69"/>
      <c r="R200" s="69"/>
      <c r="S200" s="69"/>
      <c r="T200" s="92"/>
      <c r="U200" s="69"/>
      <c r="V200" s="92"/>
      <c r="W200" s="69"/>
      <c r="X200" s="69"/>
      <c r="Y200" s="87"/>
      <c r="Z200" s="69"/>
      <c r="AA200" s="69"/>
      <c r="AB200" s="69"/>
      <c r="AC200" s="72"/>
      <c r="AD200" s="69"/>
      <c r="AE200" s="87"/>
      <c r="AF200" s="88"/>
      <c r="AG200" s="72"/>
      <c r="AH200" s="4"/>
      <c r="AI200" s="72"/>
      <c r="AJ200" s="110"/>
      <c r="AK200" s="72"/>
      <c r="AL200" s="72"/>
      <c r="AM200" s="72"/>
      <c r="AN200" s="72"/>
      <c r="AO200" s="89"/>
      <c r="AP200" s="89"/>
      <c r="AQ200" s="90"/>
      <c r="AR200" s="117"/>
      <c r="AS200" s="91"/>
      <c r="AT200" s="91"/>
      <c r="AU200" s="3"/>
      <c r="AV200" s="71">
        <v>40</v>
      </c>
      <c r="AW200" s="71">
        <f>60*30</f>
        <v>1800</v>
      </c>
      <c r="AX200" s="71">
        <f>60*60*24*7*3</f>
        <v>1814400</v>
      </c>
      <c r="AY200" s="53"/>
      <c r="AZ200" s="53"/>
      <c r="BA200" s="53"/>
      <c r="BB200" s="53"/>
      <c r="BC200" s="53"/>
      <c r="BD200" s="53"/>
      <c r="BE200" s="53"/>
      <c r="BF200" s="53"/>
      <c r="BG200" s="53"/>
      <c r="BH200" s="53"/>
      <c r="BI200" s="53"/>
      <c r="BJ200" s="53"/>
      <c r="BK200" s="53"/>
      <c r="BL200" s="53"/>
      <c r="BM200" s="53"/>
      <c r="BN200" s="53"/>
      <c r="BO200" s="53"/>
      <c r="BP200" s="53"/>
      <c r="BQ200" s="53"/>
      <c r="BR200" s="53"/>
      <c r="BS200" s="53"/>
      <c r="BT200" s="53"/>
      <c r="BU200" s="53"/>
      <c r="BV200" s="53"/>
      <c r="BW200" s="53"/>
      <c r="BX200" s="53"/>
      <c r="BY200" s="53"/>
      <c r="BZ200" s="53"/>
      <c r="CA200" s="53"/>
      <c r="CB200" s="53"/>
      <c r="CC200" s="53"/>
      <c r="CD200" s="53"/>
      <c r="CE200" s="53"/>
      <c r="CF200" s="53"/>
      <c r="CG200" s="53"/>
      <c r="CH200" s="53"/>
      <c r="CI200" s="53"/>
      <c r="CJ200" s="53"/>
      <c r="CK200" s="53"/>
      <c r="CL200" s="53"/>
      <c r="CM200" s="53"/>
      <c r="CN200" s="53"/>
      <c r="CO200" s="53"/>
      <c r="CP200" s="53"/>
      <c r="CQ200" s="53"/>
      <c r="CR200" s="16"/>
      <c r="CS200" s="16"/>
      <c r="CT200" s="16"/>
      <c r="CU200" s="16"/>
    </row>
    <row r="201" spans="1:99" s="13" customFormat="1" ht="12" customHeight="1" x14ac:dyDescent="0.2">
      <c r="A201" s="68">
        <v>43979</v>
      </c>
      <c r="B201" s="70" t="s">
        <v>986</v>
      </c>
      <c r="C201" s="70" t="s">
        <v>54</v>
      </c>
      <c r="D201" s="69">
        <v>2011</v>
      </c>
      <c r="E201" s="87">
        <v>1</v>
      </c>
      <c r="F201" s="69">
        <v>15</v>
      </c>
      <c r="G201" s="69">
        <v>15</v>
      </c>
      <c r="H201" s="69" t="s">
        <v>41</v>
      </c>
      <c r="I201" s="69" t="s">
        <v>991</v>
      </c>
      <c r="J201" s="69" t="s">
        <v>686</v>
      </c>
      <c r="K201" s="69">
        <f>IF(J201="syllables",1,IF(J201="trigrams",2,IF(J201="strings",3,IF(J201="visual array",4,IF(J201="characters",5,IF(J201="letters",6,IF(J201="free forms",7,IF(J201="odors",8,IF(J201="words",9,IF(J201="pictures",10,IF(J201="object pictures",11,IF(J201="faces",12,IF(J201="names",13,IF(J201="idioms",14,IF(J201="grades",15,IF(J201="syllable-digit pairs",16,IF(J201="trigram-word pairs",17,IF(J201="word-digit pairs",18,IF(J201="English-Swahili pairs",19,IF(J201="spatial position",20,IF(J201="word pairs",21,IF(J201="word triads",22,IF(J201="generated words",23,IF(J201="word definition pairs",24,IF(J201="math problems",25,IF(J201="famous faces",26,IF(J201="famous names",27,IF(J201="famous voices",28,IF(J201="television programs",29,IF(J201="race horses",30,IF(J201="new vocabulary",31,IF(J201="sentences",32,IF(J201="concepts",33,IF(J201="ad slides",34,IF(J201="scenes",35,IF(J201="famous scenes",36,IF(J201="poems",37,IF(J201="walk",38,IF(J201="faces and events",39,IF(J201="events and names",40,IF(J201="flashbulb",41,IF(J201="stories",42,IF(J201="course material",43,IF(J201="autobiographical",44,IF(J201="novels",45,IF(J201="public events",46,"99"))))))))))))))))))))))))))))))))))))))))))))))</f>
        <v>35</v>
      </c>
      <c r="L201" s="69">
        <f>IF(J201="syllables",1,IF(J201="trigrams",1,IF(J201="strings",1,IF(J201="visual array",1,IF(J201="characters",1,IF(J201="letters",1,IF(J201="free forms",1,IF(J201="odors",2,IF(J201="words",2,IF(J201="pictures",2,IF(J201="object pictures",2,IF(J201="faces",2,IF(J201="names",2,IF(J201="idioms","2",IF(J201="grades",2,IF(J201="syllable-digit pairs",3,IF(J201="trigram-word pairs",3,IF(J201="word-digit pairs",3,IF(J201="English-Swahili pairs",3,IF(J201="spatial position",3,IF(J201="word pairs",4,IF(J201="word triads",4,IF(J201="generated words",4,IF(J201="word definition pairs",4,IF(J201="math problems",4,IF(J201="famous faces",4,IF(J201="famous names",4,IF(J201="famous voices",4,IF(J201="television programs",4,IF(J201="race horses",4,IF(J201="new vocabulary",4,IF(J201="sentences",5,IF(J201="concepts",5,IF(J201="ad slides",5,IF(J201="scenes",5,IF(J201="famous scenes",5,IF(J201="poems",6,IF(J201="walk",6,IF(J201="faces and events",6,IF(J201="events and names",6,IF(J201="flashbulb",7,IF(J201="stories",7,IF(J201="course material",7,IF(J201="autobiographical",7,IF(J201="novels",7,IF(J201="public events",7,"99"))))))))))))))))))))))))))))))))))))))))))))))</f>
        <v>5</v>
      </c>
      <c r="M201" s="69">
        <v>0</v>
      </c>
      <c r="N201" s="86">
        <v>3</v>
      </c>
      <c r="O201" s="69">
        <v>0</v>
      </c>
      <c r="P201" s="69"/>
      <c r="Q201" s="69" t="s">
        <v>174</v>
      </c>
      <c r="R201" s="69">
        <f>IF(Q201="Free Recall",1,IF(Q201="Cued Recall",2,IF(Q201="Recognition",3,IF(Q201="Multiple Choice",4,IF(Q201="Savings",5,IF(Q201="Stem Completion",6,IF(Q201="Fragment Completion",7,IF(Q201="anagram solution",8,IF(Q201="Matching",9,IF(Q201="Problem Solving",10,"99"))))))))))</f>
        <v>1</v>
      </c>
      <c r="S201" s="69" t="s">
        <v>49</v>
      </c>
      <c r="T201" s="92" t="s">
        <v>581</v>
      </c>
      <c r="U201" s="69">
        <f>IF(T201="within",1,0)</f>
        <v>1</v>
      </c>
      <c r="V201" s="92">
        <f>60*3</f>
        <v>180</v>
      </c>
      <c r="W201" s="69">
        <f>F201*V201</f>
        <v>2700</v>
      </c>
      <c r="X201" s="69">
        <v>3</v>
      </c>
      <c r="Y201" s="87">
        <f>AV200</f>
        <v>40</v>
      </c>
      <c r="Z201" s="69" t="s">
        <v>165</v>
      </c>
      <c r="AA201" s="69">
        <f>60*60*24*7*3</f>
        <v>1814400</v>
      </c>
      <c r="AB201" s="69" t="str">
        <f>IF(AA201&lt;60,"1",IF(AA201&lt;=43200,"2",IF(AA201&lt;=777600,"3","4")))</f>
        <v>4</v>
      </c>
      <c r="AC201" s="72">
        <f>AVERAGE(AV200:DA200)</f>
        <v>605413.33333333337</v>
      </c>
      <c r="AD201" s="69" t="str">
        <f>IF(AC201&lt;60,"1",IF(AC201&lt;=43200,"2",IF(AC201&lt;=777600,"3","4")))</f>
        <v>3</v>
      </c>
      <c r="AE201" s="87">
        <f>AA201-Y201</f>
        <v>1814360</v>
      </c>
      <c r="AF201" s="88">
        <f>AV201</f>
        <v>0.90106382978723398</v>
      </c>
      <c r="AG201" s="72">
        <f>((AW201-AV201)+(AX201-AW201))/2</f>
        <v>-8.5106382978724637E-3</v>
      </c>
      <c r="AH201" s="4"/>
      <c r="AI201" s="72">
        <f>RSQ(AV201:AX201,AV200:AX200)</f>
        <v>0.96397310898932853</v>
      </c>
      <c r="AJ201" s="110">
        <f>SLOPE(AV201:AX201,AV200:AX200)</f>
        <v>-1.0557505610083529E-8</v>
      </c>
      <c r="AK201" s="72">
        <f>INTERCEPT(AV201:AX201,AV200:AX200)</f>
        <v>0.90320016530138358</v>
      </c>
      <c r="AL201" s="72">
        <f>INDEX(LINEST(LN(AV201:AX201),LN(AV200:AX200),TRUE,TRUE),3,1)</f>
        <v>0.73044146743931315</v>
      </c>
      <c r="AM201" s="72">
        <f>INDEX(LINEST(LN(AV201:AX201),LN(AV200:AX200)),1)</f>
        <v>-1.9799636788292896E-3</v>
      </c>
      <c r="AN201" s="72">
        <f>EXP(INDEX(LINEST(LN(AV201:AX201),LN(AV200:AX200)),1,2))</f>
        <v>0.91203872713661449</v>
      </c>
      <c r="AO201" s="89">
        <f>INDEX(LINEST((AV201:AX201),LN(AV200:AX200),TRUE,TRUE),3,1)</f>
        <v>0.72870838260849469</v>
      </c>
      <c r="AP201" s="89">
        <f>INDEX(LINEST((AV201:AX201),LN(AV200:AX200)),1)</f>
        <v>-1.768050412887199E-3</v>
      </c>
      <c r="AQ201" s="90">
        <f>INDEX(LINEST(LN(AV201:AX201),SQRT(AV200:AX200),TRUE,TRUE),3,1)</f>
        <v>0.95580381514663704</v>
      </c>
      <c r="AR201" s="117">
        <f>INDEX(LINEST(LN(AV201:AX201),SQRT((AV200:AX200))),1)</f>
        <v>-1.6118185087166273E-5</v>
      </c>
      <c r="AS201" s="91">
        <f>INDEX(LINEST(1/(AV201:AX201),1/(SQRT(AV200:AX200)),TRUE,TRUE),3,1)</f>
        <v>0.20671575335629136</v>
      </c>
      <c r="AT201" s="91">
        <f>INDEX(LINEST(1/(AV201:AX201),1/SQRT(AV200:AX200)),1)</f>
        <v>-7.5312714167434597E-2</v>
      </c>
      <c r="AU201" s="3"/>
      <c r="AV201" s="73">
        <v>0.90106382978723398</v>
      </c>
      <c r="AW201" s="73">
        <v>0.90531914893617005</v>
      </c>
      <c r="AX201" s="73">
        <v>0.88404255319148906</v>
      </c>
      <c r="AY201" s="53"/>
      <c r="AZ201" s="53"/>
      <c r="BA201" s="53"/>
      <c r="BB201" s="53"/>
      <c r="BC201" s="53"/>
      <c r="BD201" s="53"/>
      <c r="BE201" s="53"/>
      <c r="BF201" s="53"/>
      <c r="BG201" s="53"/>
      <c r="BH201" s="53"/>
      <c r="BI201" s="53"/>
      <c r="BJ201" s="53"/>
      <c r="BK201" s="53"/>
      <c r="BL201" s="53"/>
      <c r="BM201" s="53"/>
      <c r="BN201" s="53"/>
      <c r="BO201" s="53"/>
      <c r="BP201" s="53"/>
      <c r="BQ201" s="53"/>
      <c r="BR201" s="53"/>
      <c r="BS201" s="53"/>
      <c r="BT201" s="53"/>
      <c r="BU201" s="53"/>
      <c r="BV201" s="53"/>
      <c r="BW201" s="53"/>
      <c r="BX201" s="53"/>
      <c r="BY201" s="53"/>
      <c r="BZ201" s="53"/>
      <c r="CA201" s="53"/>
      <c r="CB201" s="53"/>
      <c r="CC201" s="53"/>
      <c r="CD201" s="53"/>
      <c r="CE201" s="53"/>
      <c r="CF201" s="53"/>
      <c r="CG201" s="53"/>
      <c r="CH201" s="53"/>
      <c r="CI201" s="53"/>
      <c r="CJ201" s="53"/>
      <c r="CK201" s="53"/>
      <c r="CL201" s="53"/>
      <c r="CM201" s="53"/>
      <c r="CN201" s="53"/>
      <c r="CO201" s="53"/>
      <c r="CP201" s="53"/>
      <c r="CQ201" s="53"/>
      <c r="CR201" s="16"/>
      <c r="CS201" s="16"/>
      <c r="CT201" s="16"/>
      <c r="CU201" s="16"/>
    </row>
    <row r="202" spans="1:99" s="13" customFormat="1" ht="12" customHeight="1" x14ac:dyDescent="0.2">
      <c r="A202" s="68">
        <v>43979</v>
      </c>
      <c r="B202" s="70"/>
      <c r="C202" s="70"/>
      <c r="D202" s="69"/>
      <c r="E202" s="87"/>
      <c r="F202" s="69"/>
      <c r="G202" s="69"/>
      <c r="H202" s="69"/>
      <c r="I202" s="69"/>
      <c r="J202" s="69"/>
      <c r="K202" s="69"/>
      <c r="L202" s="69"/>
      <c r="M202" s="69"/>
      <c r="N202" s="86"/>
      <c r="O202" s="69"/>
      <c r="P202" s="69"/>
      <c r="Q202" s="69"/>
      <c r="R202" s="69"/>
      <c r="S202" s="69"/>
      <c r="T202" s="92"/>
      <c r="U202" s="69"/>
      <c r="V202" s="92"/>
      <c r="W202" s="69"/>
      <c r="X202" s="69"/>
      <c r="Y202" s="87"/>
      <c r="Z202" s="69"/>
      <c r="AA202" s="69"/>
      <c r="AB202" s="69"/>
      <c r="AC202" s="72"/>
      <c r="AD202" s="69"/>
      <c r="AE202" s="87"/>
      <c r="AF202" s="88"/>
      <c r="AG202" s="72"/>
      <c r="AH202" s="4"/>
      <c r="AI202" s="72"/>
      <c r="AJ202" s="110"/>
      <c r="AK202" s="72"/>
      <c r="AL202" s="72"/>
      <c r="AM202" s="72"/>
      <c r="AN202" s="72"/>
      <c r="AO202" s="89"/>
      <c r="AP202" s="89"/>
      <c r="AQ202" s="90"/>
      <c r="AR202" s="117"/>
      <c r="AS202" s="91"/>
      <c r="AT202" s="91"/>
      <c r="AU202" s="3"/>
      <c r="AV202" s="71">
        <v>40</v>
      </c>
      <c r="AW202" s="71">
        <f>60*30</f>
        <v>1800</v>
      </c>
      <c r="AX202" s="71">
        <f>60*60*24*7*3</f>
        <v>1814400</v>
      </c>
      <c r="AY202" s="53"/>
      <c r="AZ202" s="53"/>
      <c r="BA202" s="53"/>
      <c r="BB202" s="53"/>
      <c r="BC202" s="53"/>
      <c r="BD202" s="53"/>
      <c r="BE202" s="53"/>
      <c r="BF202" s="53"/>
      <c r="BG202" s="53"/>
      <c r="BH202" s="53"/>
      <c r="BI202" s="53"/>
      <c r="BJ202" s="53"/>
      <c r="BK202" s="53"/>
      <c r="BL202" s="53"/>
      <c r="BM202" s="53"/>
      <c r="BN202" s="53"/>
      <c r="BO202" s="53"/>
      <c r="BP202" s="53"/>
      <c r="BQ202" s="53"/>
      <c r="BR202" s="53"/>
      <c r="BS202" s="53"/>
      <c r="BT202" s="53"/>
      <c r="BU202" s="53"/>
      <c r="BV202" s="53"/>
      <c r="BW202" s="53"/>
      <c r="BX202" s="53"/>
      <c r="BY202" s="53"/>
      <c r="BZ202" s="53"/>
      <c r="CA202" s="53"/>
      <c r="CB202" s="53"/>
      <c r="CC202" s="53"/>
      <c r="CD202" s="53"/>
      <c r="CE202" s="53"/>
      <c r="CF202" s="53"/>
      <c r="CG202" s="53"/>
      <c r="CH202" s="53"/>
      <c r="CI202" s="53"/>
      <c r="CJ202" s="53"/>
      <c r="CK202" s="53"/>
      <c r="CL202" s="53"/>
      <c r="CM202" s="53"/>
      <c r="CN202" s="53"/>
      <c r="CO202" s="53"/>
      <c r="CP202" s="53"/>
      <c r="CQ202" s="53"/>
      <c r="CR202" s="16"/>
      <c r="CS202" s="16"/>
      <c r="CT202" s="16"/>
      <c r="CU202" s="16"/>
    </row>
    <row r="203" spans="1:99" s="13" customFormat="1" ht="12" customHeight="1" x14ac:dyDescent="0.2">
      <c r="A203" s="68">
        <v>43979</v>
      </c>
      <c r="B203" s="70" t="s">
        <v>986</v>
      </c>
      <c r="C203" s="70" t="s">
        <v>54</v>
      </c>
      <c r="D203" s="69">
        <v>2011</v>
      </c>
      <c r="E203" s="87">
        <v>1</v>
      </c>
      <c r="F203" s="69">
        <v>10</v>
      </c>
      <c r="G203" s="69">
        <v>10</v>
      </c>
      <c r="H203" s="69" t="s">
        <v>41</v>
      </c>
      <c r="I203" s="69" t="s">
        <v>992</v>
      </c>
      <c r="J203" s="69" t="s">
        <v>686</v>
      </c>
      <c r="K203" s="69">
        <f>IF(J203="syllables",1,IF(J203="trigrams",2,IF(J203="strings",3,IF(J203="visual array",4,IF(J203="characters",5,IF(J203="letters",6,IF(J203="free forms",7,IF(J203="odors",8,IF(J203="words",9,IF(J203="pictures",10,IF(J203="object pictures",11,IF(J203="faces",12,IF(J203="names",13,IF(J203="idioms",14,IF(J203="grades",15,IF(J203="syllable-digit pairs",16,IF(J203="trigram-word pairs",17,IF(J203="word-digit pairs",18,IF(J203="English-Swahili pairs",19,IF(J203="spatial position",20,IF(J203="word pairs",21,IF(J203="word triads",22,IF(J203="generated words",23,IF(J203="word definition pairs",24,IF(J203="math problems",25,IF(J203="famous faces",26,IF(J203="famous names",27,IF(J203="famous voices",28,IF(J203="television programs",29,IF(J203="race horses",30,IF(J203="new vocabulary",31,IF(J203="sentences",32,IF(J203="concepts",33,IF(J203="ad slides",34,IF(J203="scenes",35,IF(J203="famous scenes",36,IF(J203="poems",37,IF(J203="walk",38,IF(J203="faces and events",39,IF(J203="events and names",40,IF(J203="flashbulb",41,IF(J203="stories",42,IF(J203="course material",43,IF(J203="autobiographical",44,IF(J203="novels",45,IF(J203="public events",46,"99"))))))))))))))))))))))))))))))))))))))))))))))</f>
        <v>35</v>
      </c>
      <c r="L203" s="69">
        <f>IF(J203="syllables",1,IF(J203="trigrams",1,IF(J203="strings",1,IF(J203="visual array",1,IF(J203="characters",1,IF(J203="letters",1,IF(J203="free forms",1,IF(J203="odors",2,IF(J203="words",2,IF(J203="pictures",2,IF(J203="object pictures",2,IF(J203="faces",2,IF(J203="names",2,IF(J203="idioms","2",IF(J203="grades",2,IF(J203="syllable-digit pairs",3,IF(J203="trigram-word pairs",3,IF(J203="word-digit pairs",3,IF(J203="English-Swahili pairs",3,IF(J203="spatial position",3,IF(J203="word pairs",4,IF(J203="word triads",4,IF(J203="generated words",4,IF(J203="word definition pairs",4,IF(J203="math problems",4,IF(J203="famous faces",4,IF(J203="famous names",4,IF(J203="famous voices",4,IF(J203="television programs",4,IF(J203="race horses",4,IF(J203="new vocabulary",4,IF(J203="sentences",5,IF(J203="concepts",5,IF(J203="ad slides",5,IF(J203="scenes",5,IF(J203="famous scenes",5,IF(J203="poems",6,IF(J203="walk",6,IF(J203="faces and events",6,IF(J203="events and names",6,IF(J203="flashbulb",7,IF(J203="stories",7,IF(J203="course material",7,IF(J203="autobiographical",7,IF(J203="novels",7,IF(J203="public events",7,"99"))))))))))))))))))))))))))))))))))))))))))))))</f>
        <v>5</v>
      </c>
      <c r="M203" s="69">
        <v>0</v>
      </c>
      <c r="N203" s="86">
        <v>3</v>
      </c>
      <c r="O203" s="69">
        <v>0</v>
      </c>
      <c r="P203" s="69"/>
      <c r="Q203" s="69" t="s">
        <v>174</v>
      </c>
      <c r="R203" s="69">
        <f>IF(Q203="Free Recall",1,IF(Q203="Cued Recall",2,IF(Q203="Recognition",3,IF(Q203="Multiple Choice",4,IF(Q203="Savings",5,IF(Q203="Stem Completion",6,IF(Q203="Fragment Completion",7,IF(Q203="anagram solution",8,IF(Q203="Matching",9,IF(Q203="Problem Solving",10,"99"))))))))))</f>
        <v>1</v>
      </c>
      <c r="S203" s="69" t="s">
        <v>49</v>
      </c>
      <c r="T203" s="92" t="s">
        <v>581</v>
      </c>
      <c r="U203" s="69">
        <f>IF(T203="within",1,0)</f>
        <v>1</v>
      </c>
      <c r="V203" s="92">
        <f>60*3</f>
        <v>180</v>
      </c>
      <c r="W203" s="69">
        <f>F203*V203</f>
        <v>1800</v>
      </c>
      <c r="X203" s="69">
        <v>3</v>
      </c>
      <c r="Y203" s="87">
        <f>AV202</f>
        <v>40</v>
      </c>
      <c r="Z203" s="69" t="s">
        <v>165</v>
      </c>
      <c r="AA203" s="69">
        <f>60*60*24*7*3</f>
        <v>1814400</v>
      </c>
      <c r="AB203" s="69" t="str">
        <f>IF(AA203&lt;60,"1",IF(AA203&lt;=43200,"2",IF(AA203&lt;=777600,"3","4")))</f>
        <v>4</v>
      </c>
      <c r="AC203" s="72">
        <f>AVERAGE(AV202:DA202)</f>
        <v>605413.33333333337</v>
      </c>
      <c r="AD203" s="69" t="str">
        <f>IF(AC203&lt;60,"1",IF(AC203&lt;=43200,"2",IF(AC203&lt;=777600,"3","4")))</f>
        <v>3</v>
      </c>
      <c r="AE203" s="87">
        <f>AA203-Y203</f>
        <v>1814360</v>
      </c>
      <c r="AF203" s="88">
        <f>AV203</f>
        <v>0.90106382978723398</v>
      </c>
      <c r="AG203" s="72">
        <f>((AW203-AV203)+(AX203-AW203))/2</f>
        <v>-6.3829787234044866E-3</v>
      </c>
      <c r="AH203" s="4"/>
      <c r="AI203" s="72">
        <f>RSQ(AV203:AX203,AV202:AX202)</f>
        <v>0.89233667225183044</v>
      </c>
      <c r="AJ203" s="110">
        <f>SLOPE(AV203:AX203,AV202:AX202)</f>
        <v>-8.7967826951134003E-9</v>
      </c>
      <c r="AK203" s="72">
        <f>INTERCEPT(AV203:AX203,AV202:AX202)</f>
        <v>0.90426185974682316</v>
      </c>
      <c r="AL203" s="72">
        <f>INDEX(LINEST(LN(AV203:AX203),LN(AV202:AX202),TRUE,TRUE),3,1)</f>
        <v>0.59622340073218894</v>
      </c>
      <c r="AM203" s="72">
        <f>INDEX(LINEST(LN(AV203:AX203),LN(AV202:AX202)),1)</f>
        <v>-1.5433919466815139E-3</v>
      </c>
      <c r="AN203" s="72">
        <f>EXP(INDEX(LINEST(LN(AV203:AX203),LN(AV202:AX202)),1,2))</f>
        <v>0.91081589434018417</v>
      </c>
      <c r="AO203" s="89">
        <f>INDEX(LINEST((AV203:AX203),LN(AV202:AX202),TRUE,TRUE),3,1)</f>
        <v>0.59364025208041737</v>
      </c>
      <c r="AP203" s="89">
        <f>INDEX(LINEST((AV203:AX203),LN(AV202:AX202)),1)</f>
        <v>-1.3820064291961945E-3</v>
      </c>
      <c r="AQ203" s="90">
        <f>INDEX(LINEST(LN(AV203:AX203),SQRT(AV202:AX202),TRUE,TRUE),3,1)</f>
        <v>0.87952195280929257</v>
      </c>
      <c r="AR203" s="117">
        <f>INDEX(LINEST(LN(AV203:AX203),SQRT((AV202:AX202))),1)</f>
        <v>-1.3340199008528806E-5</v>
      </c>
      <c r="AS203" s="91">
        <f>INDEX(LINEST(1/(AV203:AX203),1/(SQRT(AV202:AX202)),TRUE,TRUE),3,1)</f>
        <v>0.10500762682904399</v>
      </c>
      <c r="AT203" s="91">
        <f>INDEX(LINEST(1/(AV203:AX203),1/SQRT(AV202:AX202)),1)</f>
        <v>-4.613962106834938E-2</v>
      </c>
      <c r="AU203" s="3"/>
      <c r="AV203" s="73">
        <v>0.90106382978723398</v>
      </c>
      <c r="AW203" s="73">
        <v>0.90744680851063808</v>
      </c>
      <c r="AX203" s="73">
        <v>0.88829787234042501</v>
      </c>
      <c r="AY203" s="53"/>
      <c r="AZ203" s="53"/>
      <c r="BA203" s="53"/>
      <c r="BB203" s="53"/>
      <c r="BC203" s="53"/>
      <c r="BD203" s="53"/>
      <c r="BE203" s="53"/>
      <c r="BF203" s="53"/>
      <c r="BG203" s="53"/>
      <c r="BH203" s="53"/>
      <c r="BI203" s="53"/>
      <c r="BJ203" s="53"/>
      <c r="BK203" s="53"/>
      <c r="BL203" s="53"/>
      <c r="BM203" s="53"/>
      <c r="BN203" s="53"/>
      <c r="BO203" s="53"/>
      <c r="BP203" s="53"/>
      <c r="BQ203" s="53"/>
      <c r="BR203" s="53"/>
      <c r="BS203" s="53"/>
      <c r="BT203" s="53"/>
      <c r="BU203" s="53"/>
      <c r="BV203" s="53"/>
      <c r="BW203" s="53"/>
      <c r="BX203" s="53"/>
      <c r="BY203" s="53"/>
      <c r="BZ203" s="53"/>
      <c r="CA203" s="53"/>
      <c r="CB203" s="53"/>
      <c r="CC203" s="53"/>
      <c r="CD203" s="53"/>
      <c r="CE203" s="53"/>
      <c r="CF203" s="53"/>
      <c r="CG203" s="53"/>
      <c r="CH203" s="53"/>
      <c r="CI203" s="53"/>
      <c r="CJ203" s="53"/>
      <c r="CK203" s="53"/>
      <c r="CL203" s="53"/>
      <c r="CM203" s="53"/>
      <c r="CN203" s="53"/>
      <c r="CO203" s="53"/>
      <c r="CP203" s="53"/>
      <c r="CQ203" s="53"/>
      <c r="CR203" s="16"/>
      <c r="CS203" s="16"/>
      <c r="CT203" s="16"/>
      <c r="CU203" s="16"/>
    </row>
    <row r="204" spans="1:99" s="13" customFormat="1" ht="12" customHeight="1" x14ac:dyDescent="0.2">
      <c r="A204" s="68">
        <v>43979</v>
      </c>
      <c r="B204" s="70"/>
      <c r="C204" s="70"/>
      <c r="D204" s="69"/>
      <c r="E204" s="87"/>
      <c r="F204" s="69"/>
      <c r="G204" s="69"/>
      <c r="H204" s="69"/>
      <c r="I204" s="69"/>
      <c r="J204" s="69"/>
      <c r="K204" s="69"/>
      <c r="L204" s="69"/>
      <c r="M204" s="69"/>
      <c r="N204" s="86"/>
      <c r="O204" s="69"/>
      <c r="P204" s="69"/>
      <c r="Q204" s="69"/>
      <c r="R204" s="69"/>
      <c r="S204" s="69"/>
      <c r="T204" s="92"/>
      <c r="U204" s="69"/>
      <c r="V204" s="92"/>
      <c r="W204" s="69"/>
      <c r="X204" s="69"/>
      <c r="Y204" s="87"/>
      <c r="Z204" s="69"/>
      <c r="AA204" s="69"/>
      <c r="AB204" s="69"/>
      <c r="AC204" s="72"/>
      <c r="AD204" s="69"/>
      <c r="AE204" s="87"/>
      <c r="AF204" s="88"/>
      <c r="AG204" s="72"/>
      <c r="AH204" s="4"/>
      <c r="AI204" s="72"/>
      <c r="AJ204" s="110"/>
      <c r="AK204" s="72"/>
      <c r="AL204" s="72"/>
      <c r="AM204" s="72"/>
      <c r="AN204" s="72"/>
      <c r="AO204" s="89"/>
      <c r="AP204" s="89"/>
      <c r="AQ204" s="90"/>
      <c r="AR204" s="117"/>
      <c r="AS204" s="91"/>
      <c r="AT204" s="91"/>
      <c r="AU204" s="3"/>
      <c r="AV204" s="71">
        <v>40</v>
      </c>
      <c r="AW204" s="71">
        <f>60*30</f>
        <v>1800</v>
      </c>
      <c r="AX204" s="71">
        <f>60*60*24*7*3</f>
        <v>1814400</v>
      </c>
      <c r="AY204" s="53"/>
      <c r="AZ204" s="53"/>
      <c r="BA204" s="53"/>
      <c r="BB204" s="53"/>
      <c r="BC204" s="53"/>
      <c r="BD204" s="53"/>
      <c r="BE204" s="53"/>
      <c r="BF204" s="53"/>
      <c r="BG204" s="53"/>
      <c r="BH204" s="53"/>
      <c r="BI204" s="53"/>
      <c r="BJ204" s="53"/>
      <c r="BK204" s="53"/>
      <c r="BL204" s="53"/>
      <c r="BM204" s="53"/>
      <c r="BN204" s="53"/>
      <c r="BO204" s="53"/>
      <c r="BP204" s="53"/>
      <c r="BQ204" s="53"/>
      <c r="BR204" s="53"/>
      <c r="BS204" s="53"/>
      <c r="BT204" s="53"/>
      <c r="BU204" s="53"/>
      <c r="BV204" s="53"/>
      <c r="BW204" s="53"/>
      <c r="BX204" s="53"/>
      <c r="BY204" s="53"/>
      <c r="BZ204" s="53"/>
      <c r="CA204" s="53"/>
      <c r="CB204" s="53"/>
      <c r="CC204" s="53"/>
      <c r="CD204" s="53"/>
      <c r="CE204" s="53"/>
      <c r="CF204" s="53"/>
      <c r="CG204" s="53"/>
      <c r="CH204" s="53"/>
      <c r="CI204" s="53"/>
      <c r="CJ204" s="53"/>
      <c r="CK204" s="53"/>
      <c r="CL204" s="53"/>
      <c r="CM204" s="53"/>
      <c r="CN204" s="53"/>
      <c r="CO204" s="53"/>
      <c r="CP204" s="53"/>
      <c r="CQ204" s="53"/>
      <c r="CR204" s="16"/>
      <c r="CS204" s="16"/>
      <c r="CT204" s="16"/>
      <c r="CU204" s="16"/>
    </row>
    <row r="205" spans="1:99" s="13" customFormat="1" ht="12" customHeight="1" x14ac:dyDescent="0.2">
      <c r="A205" s="68">
        <v>43979</v>
      </c>
      <c r="B205" s="70" t="s">
        <v>986</v>
      </c>
      <c r="C205" s="70" t="s">
        <v>54</v>
      </c>
      <c r="D205" s="69">
        <v>2011</v>
      </c>
      <c r="E205" s="87">
        <v>1</v>
      </c>
      <c r="F205" s="69">
        <v>15</v>
      </c>
      <c r="G205" s="69">
        <v>15</v>
      </c>
      <c r="H205" s="69" t="s">
        <v>32</v>
      </c>
      <c r="I205" s="69" t="s">
        <v>994</v>
      </c>
      <c r="J205" s="69" t="s">
        <v>686</v>
      </c>
      <c r="K205" s="69">
        <f>IF(J205="syllables",1,IF(J205="trigrams",2,IF(J205="strings",3,IF(J205="visual array",4,IF(J205="characters",5,IF(J205="letters",6,IF(J205="free forms",7,IF(J205="odors",8,IF(J205="words",9,IF(J205="pictures",10,IF(J205="object pictures",11,IF(J205="faces",12,IF(J205="names",13,IF(J205="idioms",14,IF(J205="grades",15,IF(J205="syllable-digit pairs",16,IF(J205="trigram-word pairs",17,IF(J205="word-digit pairs",18,IF(J205="English-Swahili pairs",19,IF(J205="spatial position",20,IF(J205="word pairs",21,IF(J205="word triads",22,IF(J205="generated words",23,IF(J205="word definition pairs",24,IF(J205="math problems",25,IF(J205="famous faces",26,IF(J205="famous names",27,IF(J205="famous voices",28,IF(J205="television programs",29,IF(J205="race horses",30,IF(J205="new vocabulary",31,IF(J205="sentences",32,IF(J205="concepts",33,IF(J205="ad slides",34,IF(J205="scenes",35,IF(J205="famous scenes",36,IF(J205="poems",37,IF(J205="walk",38,IF(J205="faces and events",39,IF(J205="events and names",40,IF(J205="flashbulb",41,IF(J205="stories",42,IF(J205="course material",43,IF(J205="autobiographical",44,IF(J205="novels",45,IF(J205="public events",46,"99"))))))))))))))))))))))))))))))))))))))))))))))</f>
        <v>35</v>
      </c>
      <c r="L205" s="69">
        <f>IF(J205="syllables",1,IF(J205="trigrams",1,IF(J205="strings",1,IF(J205="visual array",1,IF(J205="characters",1,IF(J205="letters",1,IF(J205="free forms",1,IF(J205="odors",2,IF(J205="words",2,IF(J205="pictures",2,IF(J205="object pictures",2,IF(J205="faces",2,IF(J205="names",2,IF(J205="idioms","2",IF(J205="grades",2,IF(J205="syllable-digit pairs",3,IF(J205="trigram-word pairs",3,IF(J205="word-digit pairs",3,IF(J205="English-Swahili pairs",3,IF(J205="spatial position",3,IF(J205="word pairs",4,IF(J205="word triads",4,IF(J205="generated words",4,IF(J205="word definition pairs",4,IF(J205="math problems",4,IF(J205="famous faces",4,IF(J205="famous names",4,IF(J205="famous voices",4,IF(J205="television programs",4,IF(J205="race horses",4,IF(J205="new vocabulary",4,IF(J205="sentences",5,IF(J205="concepts",5,IF(J205="ad slides",5,IF(J205="scenes",5,IF(J205="famous scenes",5,IF(J205="poems",6,IF(J205="walk",6,IF(J205="faces and events",6,IF(J205="events and names",6,IF(J205="flashbulb",7,IF(J205="stories",7,IF(J205="course material",7,IF(J205="autobiographical",7,IF(J205="novels",7,IF(J205="public events",7,"99"))))))))))))))))))))))))))))))))))))))))))))))</f>
        <v>5</v>
      </c>
      <c r="M205" s="69">
        <v>0</v>
      </c>
      <c r="N205" s="86">
        <v>3</v>
      </c>
      <c r="O205" s="69">
        <v>0</v>
      </c>
      <c r="P205" s="69"/>
      <c r="Q205" s="69" t="s">
        <v>182</v>
      </c>
      <c r="R205" s="69">
        <f>IF(Q205="Free Recall",1,IF(Q205="Cued Recall",2,IF(Q205="Recognition",3,IF(Q205="Multiple Choice",4,IF(Q205="Savings",5,IF(Q205="Stem Completion",6,IF(Q205="Fragment Completion",7,IF(Q205="anagram solution",8,IF(Q205="Matching",9,IF(Q205="Problem Solving",10,"99"))))))))))</f>
        <v>4</v>
      </c>
      <c r="S205" s="69" t="s">
        <v>15</v>
      </c>
      <c r="T205" s="92" t="s">
        <v>581</v>
      </c>
      <c r="U205" s="69">
        <f>IF(T205="within",1,0)</f>
        <v>1</v>
      </c>
      <c r="V205" s="92">
        <v>18</v>
      </c>
      <c r="W205" s="69">
        <f>F205*V205</f>
        <v>270</v>
      </c>
      <c r="X205" s="69">
        <v>3</v>
      </c>
      <c r="Y205" s="87">
        <f>AV204</f>
        <v>40</v>
      </c>
      <c r="Z205" s="69" t="s">
        <v>165</v>
      </c>
      <c r="AA205" s="69">
        <f>60*60*24*7*3</f>
        <v>1814400</v>
      </c>
      <c r="AB205" s="69" t="str">
        <f>IF(AA205&lt;60,"1",IF(AA205&lt;=43200,"2",IF(AA205&lt;=777600,"3","4")))</f>
        <v>4</v>
      </c>
      <c r="AC205" s="72">
        <f>AVERAGE(AV204:DA204)</f>
        <v>605413.33333333337</v>
      </c>
      <c r="AD205" s="69" t="str">
        <f>IF(AC205&lt;60,"1",IF(AC205&lt;=43200,"2",IF(AC205&lt;=777600,"3","4")))</f>
        <v>3</v>
      </c>
      <c r="AE205" s="87">
        <f>AA205-Y205</f>
        <v>1814360</v>
      </c>
      <c r="AF205" s="88">
        <f>AV205</f>
        <v>0.89677632727988843</v>
      </c>
      <c r="AG205" s="72">
        <f>((AW205-AV205)+(AX205-AW205))/2</f>
        <v>-6.2437802625760042E-2</v>
      </c>
      <c r="AH205" s="4"/>
      <c r="AI205" s="72">
        <f>RSQ(AV205:AX205,AV204:AX204)</f>
        <v>0.99677446997483099</v>
      </c>
      <c r="AJ205" s="110">
        <f>SLOPE(AV205:AX205,AV204:AX204)</f>
        <v>-6.6641792392522329E-8</v>
      </c>
      <c r="AK205" s="72">
        <f>INTERCEPT(AV205:AX205,AV204:AX204)</f>
        <v>0.89281173801654823</v>
      </c>
      <c r="AL205" s="72">
        <f>INDEX(LINEST(LN(AV205:AX205),LN(AV204:AX204),TRUE,TRUE),3,1)</f>
        <v>0.91036797922204538</v>
      </c>
      <c r="AM205" s="72">
        <f>INDEX(LINEST(LN(AV205:AX205),LN(AV204:AX204)),1)</f>
        <v>-1.4760147964970787E-2</v>
      </c>
      <c r="AN205" s="72">
        <f>EXP(INDEX(LINEST(LN(AV205:AX205),LN(AV204:AX204)),1,2))</f>
        <v>0.96463247698128785</v>
      </c>
      <c r="AO205" s="89">
        <f>INDEX(LINEST((AV205:AX205),LN(AV204:AX204),TRUE,TRUE),3,1)</f>
        <v>0.91263182884918626</v>
      </c>
      <c r="AP205" s="89">
        <f>INDEX(LINEST((AV205:AX205),LN(AV204:AX204)),1)</f>
        <v>-1.228244764994787E-2</v>
      </c>
      <c r="AQ205" s="90">
        <f>INDEX(LINEST(LN(AV205:AX205),SQRT(AV204:AX204),TRUE,TRUE),3,1)</f>
        <v>0.99909756830891872</v>
      </c>
      <c r="AR205" s="117">
        <f>INDEX(LINEST(LN(AV205:AX205),SQRT((AV204:AX204))),1)</f>
        <v>-1.1004071931297462E-4</v>
      </c>
      <c r="AS205" s="91">
        <f>INDEX(LINEST(1/(AV205:AX205),1/(SQRT(AV204:AX204)),TRUE,TRUE),3,1)</f>
        <v>0.42301595125315161</v>
      </c>
      <c r="AT205" s="91">
        <f>INDEX(LINEST(1/(AV205:AX205),1/SQRT(AV204:AX204)),1)</f>
        <v>-0.77524007736917278</v>
      </c>
      <c r="AU205" s="3"/>
      <c r="AV205" s="73">
        <v>0.89677632727988843</v>
      </c>
      <c r="AW205" s="73">
        <v>0.88872067572639335</v>
      </c>
      <c r="AX205" s="73">
        <v>0.77190072202836835</v>
      </c>
      <c r="AY205" s="53"/>
      <c r="AZ205" s="53"/>
      <c r="BA205" s="53"/>
      <c r="BB205" s="53"/>
      <c r="BC205" s="53"/>
      <c r="BD205" s="53"/>
      <c r="BE205" s="53"/>
      <c r="BF205" s="53"/>
      <c r="BG205" s="53"/>
      <c r="BH205" s="53"/>
      <c r="BI205" s="53"/>
      <c r="BJ205" s="53"/>
      <c r="BK205" s="53"/>
      <c r="BL205" s="53"/>
      <c r="BM205" s="53"/>
      <c r="BN205" s="53"/>
      <c r="BO205" s="53"/>
      <c r="BP205" s="53"/>
      <c r="BQ205" s="53"/>
      <c r="BR205" s="53"/>
      <c r="BS205" s="53"/>
      <c r="BT205" s="53"/>
      <c r="BU205" s="53"/>
      <c r="BV205" s="53"/>
      <c r="BW205" s="53"/>
      <c r="BX205" s="53"/>
      <c r="BY205" s="53"/>
      <c r="BZ205" s="53"/>
      <c r="CA205" s="53"/>
      <c r="CB205" s="53"/>
      <c r="CC205" s="53"/>
      <c r="CD205" s="53"/>
      <c r="CE205" s="53"/>
      <c r="CF205" s="53"/>
      <c r="CG205" s="53"/>
      <c r="CH205" s="53"/>
      <c r="CI205" s="53"/>
      <c r="CJ205" s="53"/>
      <c r="CK205" s="53"/>
      <c r="CL205" s="53"/>
      <c r="CM205" s="53"/>
      <c r="CN205" s="53"/>
      <c r="CO205" s="53"/>
      <c r="CP205" s="53"/>
      <c r="CQ205" s="53"/>
      <c r="CR205" s="16"/>
      <c r="CS205" s="16"/>
      <c r="CT205" s="16"/>
      <c r="CU205" s="16"/>
    </row>
    <row r="206" spans="1:99" s="13" customFormat="1" ht="12" customHeight="1" x14ac:dyDescent="0.2">
      <c r="A206" s="68">
        <v>43979</v>
      </c>
      <c r="B206" s="70"/>
      <c r="C206" s="70"/>
      <c r="D206" s="69"/>
      <c r="E206" s="87"/>
      <c r="F206" s="69"/>
      <c r="G206" s="69"/>
      <c r="H206" s="69"/>
      <c r="I206" s="69"/>
      <c r="J206" s="69"/>
      <c r="K206" s="69"/>
      <c r="L206" s="69"/>
      <c r="M206" s="69"/>
      <c r="N206" s="86"/>
      <c r="O206" s="69"/>
      <c r="P206" s="69"/>
      <c r="Q206" s="69"/>
      <c r="R206" s="69"/>
      <c r="S206" s="69"/>
      <c r="T206" s="92"/>
      <c r="U206" s="69"/>
      <c r="V206" s="92"/>
      <c r="W206" s="69"/>
      <c r="X206" s="69"/>
      <c r="Y206" s="87"/>
      <c r="Z206" s="69"/>
      <c r="AA206" s="69"/>
      <c r="AB206" s="69"/>
      <c r="AC206" s="72"/>
      <c r="AD206" s="69"/>
      <c r="AE206" s="87"/>
      <c r="AF206" s="88"/>
      <c r="AG206" s="72"/>
      <c r="AH206" s="4"/>
      <c r="AI206" s="72"/>
      <c r="AJ206" s="110"/>
      <c r="AK206" s="72"/>
      <c r="AL206" s="72"/>
      <c r="AM206" s="72"/>
      <c r="AN206" s="72"/>
      <c r="AO206" s="89"/>
      <c r="AP206" s="89"/>
      <c r="AQ206" s="90"/>
      <c r="AR206" s="117"/>
      <c r="AS206" s="91"/>
      <c r="AT206" s="91"/>
      <c r="AU206" s="3"/>
      <c r="AV206" s="71">
        <v>40</v>
      </c>
      <c r="AW206" s="71">
        <f>60*30</f>
        <v>1800</v>
      </c>
      <c r="AX206" s="71">
        <f>60*60*24*7*3</f>
        <v>1814400</v>
      </c>
      <c r="AY206" s="53"/>
      <c r="AZ206" s="53"/>
      <c r="BA206" s="53"/>
      <c r="BB206" s="53"/>
      <c r="BC206" s="53"/>
      <c r="BD206" s="53"/>
      <c r="BE206" s="53"/>
      <c r="BF206" s="53"/>
      <c r="BG206" s="53"/>
      <c r="BH206" s="53"/>
      <c r="BI206" s="53"/>
      <c r="BJ206" s="53"/>
      <c r="BK206" s="53"/>
      <c r="BL206" s="53"/>
      <c r="BM206" s="53"/>
      <c r="BN206" s="53"/>
      <c r="BO206" s="53"/>
      <c r="BP206" s="53"/>
      <c r="BQ206" s="53"/>
      <c r="BR206" s="53"/>
      <c r="BS206" s="53"/>
      <c r="BT206" s="53"/>
      <c r="BU206" s="53"/>
      <c r="BV206" s="53"/>
      <c r="BW206" s="53"/>
      <c r="BX206" s="53"/>
      <c r="BY206" s="53"/>
      <c r="BZ206" s="53"/>
      <c r="CA206" s="53"/>
      <c r="CB206" s="53"/>
      <c r="CC206" s="53"/>
      <c r="CD206" s="53"/>
      <c r="CE206" s="53"/>
      <c r="CF206" s="53"/>
      <c r="CG206" s="53"/>
      <c r="CH206" s="53"/>
      <c r="CI206" s="53"/>
      <c r="CJ206" s="53"/>
      <c r="CK206" s="53"/>
      <c r="CL206" s="53"/>
      <c r="CM206" s="53"/>
      <c r="CN206" s="53"/>
      <c r="CO206" s="53"/>
      <c r="CP206" s="53"/>
      <c r="CQ206" s="53"/>
      <c r="CR206" s="16"/>
      <c r="CS206" s="16"/>
      <c r="CT206" s="16"/>
      <c r="CU206" s="16"/>
    </row>
    <row r="207" spans="1:99" s="13" customFormat="1" ht="12" customHeight="1" x14ac:dyDescent="0.2">
      <c r="A207" s="68">
        <v>43979</v>
      </c>
      <c r="B207" s="70" t="s">
        <v>986</v>
      </c>
      <c r="C207" s="70" t="s">
        <v>54</v>
      </c>
      <c r="D207" s="69">
        <v>2011</v>
      </c>
      <c r="E207" s="87">
        <v>1</v>
      </c>
      <c r="F207" s="69">
        <v>10</v>
      </c>
      <c r="G207" s="69">
        <v>10</v>
      </c>
      <c r="H207" s="69" t="s">
        <v>32</v>
      </c>
      <c r="I207" s="69" t="s">
        <v>995</v>
      </c>
      <c r="J207" s="69" t="s">
        <v>686</v>
      </c>
      <c r="K207" s="69">
        <f>IF(J207="syllables",1,IF(J207="trigrams",2,IF(J207="strings",3,IF(J207="visual array",4,IF(J207="characters",5,IF(J207="letters",6,IF(J207="free forms",7,IF(J207="odors",8,IF(J207="words",9,IF(J207="pictures",10,IF(J207="object pictures",11,IF(J207="faces",12,IF(J207="names",13,IF(J207="idioms",14,IF(J207="grades",15,IF(J207="syllable-digit pairs",16,IF(J207="trigram-word pairs",17,IF(J207="word-digit pairs",18,IF(J207="English-Swahili pairs",19,IF(J207="spatial position",20,IF(J207="word pairs",21,IF(J207="word triads",22,IF(J207="generated words",23,IF(J207="word definition pairs",24,IF(J207="math problems",25,IF(J207="famous faces",26,IF(J207="famous names",27,IF(J207="famous voices",28,IF(J207="television programs",29,IF(J207="race horses",30,IF(J207="new vocabulary",31,IF(J207="sentences",32,IF(J207="concepts",33,IF(J207="ad slides",34,IF(J207="scenes",35,IF(J207="famous scenes",36,IF(J207="poems",37,IF(J207="walk",38,IF(J207="faces and events",39,IF(J207="events and names",40,IF(J207="flashbulb",41,IF(J207="stories",42,IF(J207="course material",43,IF(J207="autobiographical",44,IF(J207="novels",45,IF(J207="public events",46,"99"))))))))))))))))))))))))))))))))))))))))))))))</f>
        <v>35</v>
      </c>
      <c r="L207" s="69">
        <f>IF(J207="syllables",1,IF(J207="trigrams",1,IF(J207="strings",1,IF(J207="visual array",1,IF(J207="characters",1,IF(J207="letters",1,IF(J207="free forms",1,IF(J207="odors",2,IF(J207="words",2,IF(J207="pictures",2,IF(J207="object pictures",2,IF(J207="faces",2,IF(J207="names",2,IF(J207="idioms","2",IF(J207="grades",2,IF(J207="syllable-digit pairs",3,IF(J207="trigram-word pairs",3,IF(J207="word-digit pairs",3,IF(J207="English-Swahili pairs",3,IF(J207="spatial position",3,IF(J207="word pairs",4,IF(J207="word triads",4,IF(J207="generated words",4,IF(J207="word definition pairs",4,IF(J207="math problems",4,IF(J207="famous faces",4,IF(J207="famous names",4,IF(J207="famous voices",4,IF(J207="television programs",4,IF(J207="race horses",4,IF(J207="new vocabulary",4,IF(J207="sentences",5,IF(J207="concepts",5,IF(J207="ad slides",5,IF(J207="scenes",5,IF(J207="famous scenes",5,IF(J207="poems",6,IF(J207="walk",6,IF(J207="faces and events",6,IF(J207="events and names",6,IF(J207="flashbulb",7,IF(J207="stories",7,IF(J207="course material",7,IF(J207="autobiographical",7,IF(J207="novels",7,IF(J207="public events",7,"99"))))))))))))))))))))))))))))))))))))))))))))))</f>
        <v>5</v>
      </c>
      <c r="M207" s="69">
        <v>0</v>
      </c>
      <c r="N207" s="86">
        <v>3</v>
      </c>
      <c r="O207" s="69">
        <v>0</v>
      </c>
      <c r="P207" s="69"/>
      <c r="Q207" s="69" t="s">
        <v>182</v>
      </c>
      <c r="R207" s="69">
        <f>IF(Q207="Free Recall",1,IF(Q207="Cued Recall",2,IF(Q207="Recognition",3,IF(Q207="Multiple Choice",4,IF(Q207="Savings",5,IF(Q207="Stem Completion",6,IF(Q207="Fragment Completion",7,IF(Q207="anagram solution",8,IF(Q207="Matching",9,IF(Q207="Problem Solving",10,"99"))))))))))</f>
        <v>4</v>
      </c>
      <c r="S207" s="69" t="s">
        <v>15</v>
      </c>
      <c r="T207" s="92" t="s">
        <v>581</v>
      </c>
      <c r="U207" s="69">
        <f>IF(T207="within",1,0)</f>
        <v>1</v>
      </c>
      <c r="V207" s="92">
        <v>18</v>
      </c>
      <c r="W207" s="69">
        <f>F207*V207</f>
        <v>180</v>
      </c>
      <c r="X207" s="69">
        <v>3</v>
      </c>
      <c r="Y207" s="87">
        <f>AV206</f>
        <v>40</v>
      </c>
      <c r="Z207" s="69" t="s">
        <v>165</v>
      </c>
      <c r="AA207" s="69">
        <f>60*60*24*7*3</f>
        <v>1814400</v>
      </c>
      <c r="AB207" s="69" t="str">
        <f>IF(AA207&lt;60,"1",IF(AA207&lt;=43200,"2",IF(AA207&lt;=777600,"3","4")))</f>
        <v>4</v>
      </c>
      <c r="AC207" s="72">
        <f>AVERAGE(AV206:DA206)</f>
        <v>605413.33333333337</v>
      </c>
      <c r="AD207" s="69" t="str">
        <f>IF(AC207&lt;60,"1",IF(AC207&lt;=43200,"2",IF(AC207&lt;=777600,"3","4")))</f>
        <v>3</v>
      </c>
      <c r="AE207" s="87">
        <f>AA207-Y207</f>
        <v>1814360</v>
      </c>
      <c r="AF207" s="88">
        <f>AV207</f>
        <v>0.90583977138865002</v>
      </c>
      <c r="AG207" s="72">
        <f>((AW207-AV207)+(AX207-AW207))/2</f>
        <v>-8.2580275953817561E-2</v>
      </c>
      <c r="AH207" s="4"/>
      <c r="AI207" s="72">
        <f>RSQ(AV207:AX207,AV206:AX206)</f>
        <v>0.98896250570358402</v>
      </c>
      <c r="AJ207" s="110">
        <f>SLOPE(AV207:AX207,AV206:AX206)</f>
        <v>-8.5806169089660223E-8</v>
      </c>
      <c r="AK207" s="72">
        <f>INTERCEPT(AV207:AX207,AV206:AX206)</f>
        <v>0.8963567214842092</v>
      </c>
      <c r="AL207" s="72">
        <f>INDEX(LINEST(LN(AV207:AX207),LN(AV206:AX206),TRUE,TRUE),3,1)</f>
        <v>0.93339112466341123</v>
      </c>
      <c r="AM207" s="72">
        <f>INDEX(LINEST(LN(AV207:AX207),LN(AV206:AX206)),1)</f>
        <v>-1.9652187665199831E-2</v>
      </c>
      <c r="AN207" s="72">
        <f>EXP(INDEX(LINEST(LN(AV207:AX207),LN(AV206:AX206)),1,2))</f>
        <v>0.99457795068734367</v>
      </c>
      <c r="AO207" s="89">
        <f>INDEX(LINEST((AV207:AX207),LN(AV206:AX206),TRUE,TRUE),3,1)</f>
        <v>0.93800539989567921</v>
      </c>
      <c r="AP207" s="89">
        <f>INDEX(LINEST((AV207:AX207),LN(AV206:AX206)),1)</f>
        <v>-1.6096081736059725E-2</v>
      </c>
      <c r="AQ207" s="90">
        <f>INDEX(LINEST(LN(AV207:AX207),SQRT(AV206:AX206),TRUE,TRUE),3,1)</f>
        <v>0.99467280098832223</v>
      </c>
      <c r="AR207" s="117">
        <f>INDEX(LINEST(LN(AV207:AX207),SQRT((AV206:AX206))),1)</f>
        <v>-1.443731511835275E-4</v>
      </c>
      <c r="AS207" s="91">
        <f>INDEX(LINEST(1/(AV207:AX207),1/(SQRT(AV206:AX206)),TRUE,TRUE),3,1)</f>
        <v>0.4607064331851814</v>
      </c>
      <c r="AT207" s="91">
        <f>INDEX(LINEST(1/(AV207:AX207),1/SQRT(AV206:AX206)),1)</f>
        <v>-1.0836822144234408</v>
      </c>
      <c r="AU207" s="3"/>
      <c r="AV207" s="73">
        <v>0.90583977138865002</v>
      </c>
      <c r="AW207" s="73">
        <v>0.88670657703555833</v>
      </c>
      <c r="AX207" s="73">
        <v>0.74067921948101489</v>
      </c>
      <c r="AY207" s="53"/>
      <c r="AZ207" s="53"/>
      <c r="BA207" s="53"/>
      <c r="BB207" s="53"/>
      <c r="BC207" s="53"/>
      <c r="BD207" s="53"/>
      <c r="BE207" s="53"/>
      <c r="BF207" s="53"/>
      <c r="BG207" s="53"/>
      <c r="BH207" s="53"/>
      <c r="BI207" s="53"/>
      <c r="BJ207" s="53"/>
      <c r="BK207" s="53"/>
      <c r="BL207" s="53"/>
      <c r="BM207" s="53"/>
      <c r="BN207" s="53"/>
      <c r="BO207" s="53"/>
      <c r="BP207" s="53"/>
      <c r="BQ207" s="53"/>
      <c r="BR207" s="53"/>
      <c r="BS207" s="53"/>
      <c r="BT207" s="53"/>
      <c r="BU207" s="53"/>
      <c r="BV207" s="53"/>
      <c r="BW207" s="53"/>
      <c r="BX207" s="53"/>
      <c r="BY207" s="53"/>
      <c r="BZ207" s="53"/>
      <c r="CA207" s="53"/>
      <c r="CB207" s="53"/>
      <c r="CC207" s="53"/>
      <c r="CD207" s="53"/>
      <c r="CE207" s="53"/>
      <c r="CF207" s="53"/>
      <c r="CG207" s="53"/>
      <c r="CH207" s="53"/>
      <c r="CI207" s="53"/>
      <c r="CJ207" s="53"/>
      <c r="CK207" s="53"/>
      <c r="CL207" s="53"/>
      <c r="CM207" s="53"/>
      <c r="CN207" s="53"/>
      <c r="CO207" s="53"/>
      <c r="CP207" s="53"/>
      <c r="CQ207" s="53"/>
      <c r="CR207" s="16"/>
      <c r="CS207" s="16"/>
      <c r="CT207" s="16"/>
      <c r="CU207" s="16"/>
    </row>
    <row r="208" spans="1:99" s="13" customFormat="1" ht="12" customHeight="1" x14ac:dyDescent="0.2">
      <c r="A208" s="68">
        <v>43979</v>
      </c>
      <c r="B208" s="70"/>
      <c r="C208" s="70"/>
      <c r="D208" s="69"/>
      <c r="E208" s="87"/>
      <c r="F208" s="69"/>
      <c r="G208" s="69"/>
      <c r="H208" s="69"/>
      <c r="I208" s="69"/>
      <c r="J208" s="69"/>
      <c r="K208" s="69"/>
      <c r="L208" s="69"/>
      <c r="M208" s="69"/>
      <c r="N208" s="86"/>
      <c r="O208" s="69"/>
      <c r="P208" s="69"/>
      <c r="Q208" s="69"/>
      <c r="R208" s="69"/>
      <c r="S208" s="69"/>
      <c r="T208" s="92"/>
      <c r="U208" s="69"/>
      <c r="V208" s="92"/>
      <c r="W208" s="69"/>
      <c r="X208" s="69"/>
      <c r="Y208" s="87"/>
      <c r="Z208" s="69"/>
      <c r="AA208" s="69"/>
      <c r="AB208" s="69"/>
      <c r="AC208" s="72"/>
      <c r="AD208" s="69"/>
      <c r="AE208" s="87"/>
      <c r="AF208" s="88"/>
      <c r="AG208" s="72"/>
      <c r="AH208" s="4"/>
      <c r="AI208" s="72"/>
      <c r="AJ208" s="110"/>
      <c r="AK208" s="72"/>
      <c r="AL208" s="72"/>
      <c r="AM208" s="72"/>
      <c r="AN208" s="72"/>
      <c r="AO208" s="89"/>
      <c r="AP208" s="89"/>
      <c r="AQ208" s="90"/>
      <c r="AR208" s="117"/>
      <c r="AS208" s="91"/>
      <c r="AT208" s="91"/>
      <c r="AU208" s="3"/>
      <c r="AV208" s="71">
        <v>40</v>
      </c>
      <c r="AW208" s="71">
        <f>60*30</f>
        <v>1800</v>
      </c>
      <c r="AX208" s="71">
        <f>60*60*24*7*3</f>
        <v>1814400</v>
      </c>
      <c r="AY208" s="53"/>
      <c r="AZ208" s="53"/>
      <c r="BA208" s="53"/>
      <c r="BB208" s="53"/>
      <c r="BC208" s="53"/>
      <c r="BD208" s="53"/>
      <c r="BE208" s="53"/>
      <c r="BF208" s="53"/>
      <c r="BG208" s="53"/>
      <c r="BH208" s="53"/>
      <c r="BI208" s="53"/>
      <c r="BJ208" s="53"/>
      <c r="BK208" s="53"/>
      <c r="BL208" s="53"/>
      <c r="BM208" s="53"/>
      <c r="BN208" s="53"/>
      <c r="BO208" s="53"/>
      <c r="BP208" s="53"/>
      <c r="BQ208" s="53"/>
      <c r="BR208" s="53"/>
      <c r="BS208" s="53"/>
      <c r="BT208" s="53"/>
      <c r="BU208" s="53"/>
      <c r="BV208" s="53"/>
      <c r="BW208" s="53"/>
      <c r="BX208" s="53"/>
      <c r="BY208" s="53"/>
      <c r="BZ208" s="53"/>
      <c r="CA208" s="53"/>
      <c r="CB208" s="53"/>
      <c r="CC208" s="53"/>
      <c r="CD208" s="53"/>
      <c r="CE208" s="53"/>
      <c r="CF208" s="53"/>
      <c r="CG208" s="53"/>
      <c r="CH208" s="53"/>
      <c r="CI208" s="53"/>
      <c r="CJ208" s="53"/>
      <c r="CK208" s="53"/>
      <c r="CL208" s="53"/>
      <c r="CM208" s="53"/>
      <c r="CN208" s="53"/>
      <c r="CO208" s="53"/>
      <c r="CP208" s="53"/>
      <c r="CQ208" s="53"/>
      <c r="CR208" s="16"/>
      <c r="CS208" s="16"/>
      <c r="CT208" s="16"/>
      <c r="CU208" s="16"/>
    </row>
    <row r="209" spans="1:133" s="13" customFormat="1" ht="12" customHeight="1" x14ac:dyDescent="0.2">
      <c r="A209" s="68">
        <v>43979</v>
      </c>
      <c r="B209" s="70" t="s">
        <v>986</v>
      </c>
      <c r="C209" s="70" t="s">
        <v>54</v>
      </c>
      <c r="D209" s="69">
        <v>2011</v>
      </c>
      <c r="E209" s="87">
        <v>1</v>
      </c>
      <c r="F209" s="69">
        <v>15</v>
      </c>
      <c r="G209" s="69">
        <v>15</v>
      </c>
      <c r="H209" s="69" t="s">
        <v>32</v>
      </c>
      <c r="I209" s="69" t="s">
        <v>330</v>
      </c>
      <c r="J209" s="69" t="s">
        <v>677</v>
      </c>
      <c r="K209" s="69">
        <f>IF(J209="syllables",1,IF(J209="trigrams",2,IF(J209="strings",3,IF(J209="visual array",4,IF(J209="characters",5,IF(J209="letters",6,IF(J209="free forms",7,IF(J209="odors",8,IF(J209="words",9,IF(J209="pictures",10,IF(J209="object pictures",11,IF(J209="faces",12,IF(J209="names",13,IF(J209="idioms",14,IF(J209="grades",15,IF(J209="syllable-digit pairs",16,IF(J209="trigram-word pairs",17,IF(J209="word-digit pairs",18,IF(J209="English-Swahili pairs",19,IF(J209="spatial position",20,IF(J209="word pairs",21,IF(J209="word triads",22,IF(J209="generated words",23,IF(J209="word definition pairs",24,IF(J209="math problems",25,IF(J209="famous faces",26,IF(J209="famous names",27,IF(J209="famous voices",28,IF(J209="television programs",29,IF(J209="race horses",30,IF(J209="new vocabulary",31,IF(J209="sentences",32,IF(J209="concepts",33,IF(J209="ad slides",34,IF(J209="scenes",35,IF(J209="famous scenes",36,IF(J209="poems",37,IF(J209="walk",38,IF(J209="faces and events",39,IF(J209="events and names",40,IF(J209="flashbulb",41,IF(J209="stories",42,IF(J209="course material",43,IF(J209="autobiographical",44,IF(J209="novels",45,IF(J209="public events",46,"99"))))))))))))))))))))))))))))))))))))))))))))))</f>
        <v>42</v>
      </c>
      <c r="L209" s="69">
        <f>IF(J209="syllables",1,IF(J209="trigrams",1,IF(J209="strings",1,IF(J209="visual array",1,IF(J209="characters",1,IF(J209="letters",1,IF(J209="free forms",1,IF(J209="odors",2,IF(J209="words",2,IF(J209="pictures",2,IF(J209="object pictures",2,IF(J209="faces",2,IF(J209="names",2,IF(J209="idioms","2",IF(J209="grades",2,IF(J209="syllable-digit pairs",3,IF(J209="trigram-word pairs",3,IF(J209="word-digit pairs",3,IF(J209="English-Swahili pairs",3,IF(J209="spatial position",3,IF(J209="word pairs",4,IF(J209="word triads",4,IF(J209="generated words",4,IF(J209="word definition pairs",4,IF(J209="math problems",4,IF(J209="famous faces",4,IF(J209="famous names",4,IF(J209="famous voices",4,IF(J209="television programs",4,IF(J209="race horses",4,IF(J209="new vocabulary",4,IF(J209="sentences",5,IF(J209="concepts",5,IF(J209="ad slides",5,IF(J209="scenes",5,IF(J209="famous scenes",5,IF(J209="poems",6,IF(J209="walk",6,IF(J209="faces and events",6,IF(J209="events and names",6,IF(J209="flashbulb",7,IF(J209="stories",7,IF(J209="course material",7,IF(J209="autobiographical",7,IF(J209="novels",7,IF(J209="public events",7,"99"))))))))))))))))))))))))))))))))))))))))))))))</f>
        <v>7</v>
      </c>
      <c r="M209" s="69">
        <v>0</v>
      </c>
      <c r="N209" s="86">
        <v>3</v>
      </c>
      <c r="O209" s="69">
        <v>0</v>
      </c>
      <c r="P209" s="69"/>
      <c r="Q209" s="69" t="s">
        <v>174</v>
      </c>
      <c r="R209" s="69">
        <f>IF(Q209="Free Recall",1,IF(Q209="Cued Recall",2,IF(Q209="Recognition",3,IF(Q209="Multiple Choice",4,IF(Q209="Savings",5,IF(Q209="Stem Completion",6,IF(Q209="Fragment Completion",7,IF(Q209="anagram solution",8,IF(Q209="Matching",9,IF(Q209="Problem Solving",10,"99"))))))))))</f>
        <v>1</v>
      </c>
      <c r="S209" s="69" t="s">
        <v>15</v>
      </c>
      <c r="T209" s="92" t="s">
        <v>581</v>
      </c>
      <c r="U209" s="69">
        <f>IF(T209="within",1,0)</f>
        <v>1</v>
      </c>
      <c r="V209" s="92">
        <f>152*3</f>
        <v>456</v>
      </c>
      <c r="W209" s="69">
        <f>F209*V209</f>
        <v>6840</v>
      </c>
      <c r="X209" s="69">
        <v>3</v>
      </c>
      <c r="Y209" s="87">
        <f>AV208</f>
        <v>40</v>
      </c>
      <c r="Z209" s="69" t="s">
        <v>165</v>
      </c>
      <c r="AA209" s="69">
        <f>60*60*24*7*3</f>
        <v>1814400</v>
      </c>
      <c r="AB209" s="69" t="str">
        <f>IF(AA209&lt;60,"1",IF(AA209&lt;=43200,"2",IF(AA209&lt;=777600,"3","4")))</f>
        <v>4</v>
      </c>
      <c r="AC209" s="72">
        <f>AVERAGE(AV208:DA208)</f>
        <v>605413.33333333337</v>
      </c>
      <c r="AD209" s="69" t="str">
        <f>IF(AC209&lt;60,"1",IF(AC209&lt;=43200,"2",IF(AC209&lt;=777600,"3","4")))</f>
        <v>3</v>
      </c>
      <c r="AE209" s="87">
        <f>AA209-Y209</f>
        <v>1814360</v>
      </c>
      <c r="AF209" s="88">
        <f>AV209</f>
        <v>0.37295249422489868</v>
      </c>
      <c r="AG209" s="72">
        <f>((AW209-AV209)+(AX209-AW209))/2</f>
        <v>-5.4415753794964467E-2</v>
      </c>
      <c r="AH209" s="4"/>
      <c r="AI209" s="72">
        <f>RSQ(AV209:AX209,AV208:AX208)</f>
        <v>0.93356016917510265</v>
      </c>
      <c r="AJ209" s="110">
        <f>SLOPE(AV209:AX209,AV208:AX208)</f>
        <v>-7.0879180602908351E-8</v>
      </c>
      <c r="AK209" s="72">
        <f>INTERCEPT(AV209:AX209,AV208:AX208)</f>
        <v>0.39274338574587975</v>
      </c>
      <c r="AL209" s="72">
        <f>INDEX(LINEST(LN(AV209:AX209),LN(AV208:AX208),TRUE,TRUE),3,1)</f>
        <v>0.70458151483580556</v>
      </c>
      <c r="AM209" s="72">
        <f>INDEX(LINEST(LN(AV209:AX209),LN(AV208:AX208)),1)</f>
        <v>-3.6092156247544707E-2</v>
      </c>
      <c r="AN209" s="72">
        <f>EXP(INDEX(LINEST(LN(AV209:AX209),LN(AV208:AX208)),1,2))</f>
        <v>0.46773591504021078</v>
      </c>
      <c r="AO209" s="89">
        <f>INDEX(LINEST((AV209:AX209),LN(AV208:AX208),TRUE,TRUE),3,1)</f>
        <v>0.6646752019190626</v>
      </c>
      <c r="AP209" s="89">
        <f>INDEX(LINEST((AV209:AX209),LN(AV208:AX208)),1)</f>
        <v>-1.1519700001551744E-2</v>
      </c>
      <c r="AQ209" s="90">
        <f>INDEX(LINEST(LN(AV209:AX209),SQRT(AV208:AX208),TRUE,TRUE),3,1)</f>
        <v>0.94324983628356762</v>
      </c>
      <c r="AR209" s="117">
        <f>INDEX(LINEST(LN(AV209:AX209),SQRT((AV208:AX208))),1)</f>
        <v>-2.9718564027728984E-4</v>
      </c>
      <c r="AS209" s="91">
        <f>INDEX(LINEST(1/(AV209:AX209),1/(SQRT(AV208:AX208)),TRUE,TRUE),3,1)</f>
        <v>0.21317756146448372</v>
      </c>
      <c r="AT209" s="91">
        <f>INDEX(LINEST(1/(AV209:AX209),1/SQRT(AV208:AX208)),1)</f>
        <v>-3.927808544054495</v>
      </c>
      <c r="AU209" s="3"/>
      <c r="AV209" s="73">
        <v>0.37295249422489868</v>
      </c>
      <c r="AW209" s="73">
        <v>0.41242307339954476</v>
      </c>
      <c r="AX209" s="73">
        <v>0.26412098663496975</v>
      </c>
      <c r="AY209" s="53"/>
      <c r="AZ209" s="53"/>
      <c r="BA209" s="53"/>
      <c r="BB209" s="53"/>
      <c r="BC209" s="53"/>
      <c r="BD209" s="53"/>
      <c r="BE209" s="53"/>
      <c r="BF209" s="53"/>
      <c r="BG209" s="53"/>
      <c r="BH209" s="53"/>
      <c r="BI209" s="53"/>
      <c r="BJ209" s="53"/>
      <c r="BK209" s="53"/>
      <c r="BL209" s="53"/>
      <c r="BM209" s="53"/>
      <c r="BN209" s="53"/>
      <c r="BO209" s="53"/>
      <c r="BP209" s="53"/>
      <c r="BQ209" s="53"/>
      <c r="BR209" s="53"/>
      <c r="BS209" s="53"/>
      <c r="BT209" s="53"/>
      <c r="BU209" s="53"/>
      <c r="BV209" s="53"/>
      <c r="BW209" s="53"/>
      <c r="BX209" s="53"/>
      <c r="BY209" s="53"/>
      <c r="BZ209" s="53"/>
      <c r="CA209" s="53"/>
      <c r="CB209" s="53"/>
      <c r="CC209" s="53"/>
      <c r="CD209" s="53"/>
      <c r="CE209" s="53"/>
      <c r="CF209" s="53"/>
      <c r="CG209" s="53"/>
      <c r="CH209" s="53"/>
      <c r="CI209" s="53"/>
      <c r="CJ209" s="53"/>
      <c r="CK209" s="53"/>
      <c r="CL209" s="53"/>
      <c r="CM209" s="53"/>
      <c r="CN209" s="53"/>
      <c r="CO209" s="53"/>
      <c r="CP209" s="53"/>
      <c r="CQ209" s="53"/>
      <c r="CR209" s="16"/>
      <c r="CS209" s="16"/>
      <c r="CT209" s="16"/>
      <c r="CU209" s="16"/>
    </row>
    <row r="210" spans="1:133" s="13" customFormat="1" ht="12" customHeight="1" x14ac:dyDescent="0.2">
      <c r="A210" s="68">
        <v>43979</v>
      </c>
      <c r="B210" s="70"/>
      <c r="C210" s="70"/>
      <c r="D210" s="69"/>
      <c r="E210" s="87"/>
      <c r="F210" s="69"/>
      <c r="G210" s="69"/>
      <c r="H210" s="69"/>
      <c r="I210" s="69"/>
      <c r="J210" s="69"/>
      <c r="K210" s="69"/>
      <c r="L210" s="69"/>
      <c r="M210" s="69"/>
      <c r="N210" s="86"/>
      <c r="O210" s="69"/>
      <c r="P210" s="69"/>
      <c r="Q210" s="69"/>
      <c r="R210" s="69"/>
      <c r="S210" s="69"/>
      <c r="T210" s="92"/>
      <c r="U210" s="69"/>
      <c r="V210" s="92"/>
      <c r="W210" s="69"/>
      <c r="X210" s="69"/>
      <c r="Y210" s="87"/>
      <c r="Z210" s="69"/>
      <c r="AA210" s="69"/>
      <c r="AB210" s="69"/>
      <c r="AC210" s="72"/>
      <c r="AD210" s="69"/>
      <c r="AE210" s="87"/>
      <c r="AF210" s="88"/>
      <c r="AG210" s="72"/>
      <c r="AH210" s="4"/>
      <c r="AI210" s="72"/>
      <c r="AJ210" s="110"/>
      <c r="AK210" s="72"/>
      <c r="AL210" s="72"/>
      <c r="AM210" s="72"/>
      <c r="AN210" s="72"/>
      <c r="AO210" s="89"/>
      <c r="AP210" s="89"/>
      <c r="AQ210" s="90"/>
      <c r="AR210" s="117"/>
      <c r="AS210" s="91"/>
      <c r="AT210" s="91"/>
      <c r="AU210" s="3"/>
      <c r="AV210" s="71">
        <v>40</v>
      </c>
      <c r="AW210" s="71">
        <f>60*30</f>
        <v>1800</v>
      </c>
      <c r="AX210" s="71">
        <f>60*60*24*7*3</f>
        <v>1814400</v>
      </c>
      <c r="AY210" s="53"/>
      <c r="AZ210" s="53"/>
      <c r="BA210" s="53"/>
      <c r="BB210" s="53"/>
      <c r="BC210" s="53"/>
      <c r="BD210" s="53"/>
      <c r="BE210" s="53"/>
      <c r="BF210" s="53"/>
      <c r="BG210" s="53"/>
      <c r="BH210" s="53"/>
      <c r="BI210" s="53"/>
      <c r="BJ210" s="53"/>
      <c r="BK210" s="53"/>
      <c r="BL210" s="53"/>
      <c r="BM210" s="53"/>
      <c r="BN210" s="53"/>
      <c r="BO210" s="53"/>
      <c r="BP210" s="53"/>
      <c r="BQ210" s="53"/>
      <c r="BR210" s="53"/>
      <c r="BS210" s="53"/>
      <c r="BT210" s="53"/>
      <c r="BU210" s="53"/>
      <c r="BV210" s="53"/>
      <c r="BW210" s="53"/>
      <c r="BX210" s="53"/>
      <c r="BY210" s="53"/>
      <c r="BZ210" s="53"/>
      <c r="CA210" s="53"/>
      <c r="CB210" s="53"/>
      <c r="CC210" s="53"/>
      <c r="CD210" s="53"/>
      <c r="CE210" s="53"/>
      <c r="CF210" s="53"/>
      <c r="CG210" s="53"/>
      <c r="CH210" s="53"/>
      <c r="CI210" s="53"/>
      <c r="CJ210" s="53"/>
      <c r="CK210" s="53"/>
      <c r="CL210" s="53"/>
      <c r="CM210" s="53"/>
      <c r="CN210" s="53"/>
      <c r="CO210" s="53"/>
      <c r="CP210" s="53"/>
      <c r="CQ210" s="53"/>
      <c r="CR210" s="16"/>
      <c r="CS210" s="16"/>
      <c r="CT210" s="16"/>
      <c r="CU210" s="16"/>
    </row>
    <row r="211" spans="1:133" s="13" customFormat="1" ht="12" customHeight="1" x14ac:dyDescent="0.2">
      <c r="A211" s="68">
        <v>43979</v>
      </c>
      <c r="B211" s="70" t="s">
        <v>986</v>
      </c>
      <c r="C211" s="70" t="s">
        <v>54</v>
      </c>
      <c r="D211" s="69">
        <v>2011</v>
      </c>
      <c r="E211" s="87">
        <v>1</v>
      </c>
      <c r="F211" s="69">
        <v>10</v>
      </c>
      <c r="G211" s="69">
        <v>10</v>
      </c>
      <c r="H211" s="69" t="s">
        <v>32</v>
      </c>
      <c r="I211" s="69" t="s">
        <v>330</v>
      </c>
      <c r="J211" s="69" t="s">
        <v>677</v>
      </c>
      <c r="K211" s="69">
        <f>IF(J211="syllables",1,IF(J211="trigrams",2,IF(J211="strings",3,IF(J211="visual array",4,IF(J211="characters",5,IF(J211="letters",6,IF(J211="free forms",7,IF(J211="odors",8,IF(J211="words",9,IF(J211="pictures",10,IF(J211="object pictures",11,IF(J211="faces",12,IF(J211="names",13,IF(J211="idioms",14,IF(J211="grades",15,IF(J211="syllable-digit pairs",16,IF(J211="trigram-word pairs",17,IF(J211="word-digit pairs",18,IF(J211="English-Swahili pairs",19,IF(J211="spatial position",20,IF(J211="word pairs",21,IF(J211="word triads",22,IF(J211="generated words",23,IF(J211="word definition pairs",24,IF(J211="math problems",25,IF(J211="famous faces",26,IF(J211="famous names",27,IF(J211="famous voices",28,IF(J211="television programs",29,IF(J211="race horses",30,IF(J211="new vocabulary",31,IF(J211="sentences",32,IF(J211="concepts",33,IF(J211="ad slides",34,IF(J211="scenes",35,IF(J211="famous scenes",36,IF(J211="poems",37,IF(J211="walk",38,IF(J211="faces and events",39,IF(J211="events and names",40,IF(J211="flashbulb",41,IF(J211="stories",42,IF(J211="course material",43,IF(J211="autobiographical",44,IF(J211="novels",45,IF(J211="public events",46,"99"))))))))))))))))))))))))))))))))))))))))))))))</f>
        <v>42</v>
      </c>
      <c r="L211" s="69">
        <f>IF(J211="syllables",1,IF(J211="trigrams",1,IF(J211="strings",1,IF(J211="visual array",1,IF(J211="characters",1,IF(J211="letters",1,IF(J211="free forms",1,IF(J211="odors",2,IF(J211="words",2,IF(J211="pictures",2,IF(J211="object pictures",2,IF(J211="faces",2,IF(J211="names",2,IF(J211="idioms","2",IF(J211="grades",2,IF(J211="syllable-digit pairs",3,IF(J211="trigram-word pairs",3,IF(J211="word-digit pairs",3,IF(J211="English-Swahili pairs",3,IF(J211="spatial position",3,IF(J211="word pairs",4,IF(J211="word triads",4,IF(J211="generated words",4,IF(J211="word definition pairs",4,IF(J211="math problems",4,IF(J211="famous faces",4,IF(J211="famous names",4,IF(J211="famous voices",4,IF(J211="television programs",4,IF(J211="race horses",4,IF(J211="new vocabulary",4,IF(J211="sentences",5,IF(J211="concepts",5,IF(J211="ad slides",5,IF(J211="scenes",5,IF(J211="famous scenes",5,IF(J211="poems",6,IF(J211="walk",6,IF(J211="faces and events",6,IF(J211="events and names",6,IF(J211="flashbulb",7,IF(J211="stories",7,IF(J211="course material",7,IF(J211="autobiographical",7,IF(J211="novels",7,IF(J211="public events",7,"99"))))))))))))))))))))))))))))))))))))))))))))))</f>
        <v>7</v>
      </c>
      <c r="M211" s="69">
        <v>0</v>
      </c>
      <c r="N211" s="86">
        <v>3</v>
      </c>
      <c r="O211" s="69">
        <v>0</v>
      </c>
      <c r="P211" s="69"/>
      <c r="Q211" s="69" t="s">
        <v>174</v>
      </c>
      <c r="R211" s="69">
        <f>IF(Q211="Free Recall",1,IF(Q211="Cued Recall",2,IF(Q211="Recognition",3,IF(Q211="Multiple Choice",4,IF(Q211="Savings",5,IF(Q211="Stem Completion",6,IF(Q211="Fragment Completion",7,IF(Q211="anagram solution",8,IF(Q211="Matching",9,IF(Q211="Problem Solving",10,"99"))))))))))</f>
        <v>1</v>
      </c>
      <c r="S211" s="69" t="s">
        <v>15</v>
      </c>
      <c r="T211" s="92" t="s">
        <v>581</v>
      </c>
      <c r="U211" s="69">
        <f>IF(T211="within",1,0)</f>
        <v>1</v>
      </c>
      <c r="V211" s="92">
        <f>152*3</f>
        <v>456</v>
      </c>
      <c r="W211" s="69">
        <f>F211*V211</f>
        <v>4560</v>
      </c>
      <c r="X211" s="69">
        <v>3</v>
      </c>
      <c r="Y211" s="87">
        <f>AV210</f>
        <v>40</v>
      </c>
      <c r="Z211" s="69" t="s">
        <v>165</v>
      </c>
      <c r="AA211" s="69">
        <f>60*60*24*7*3</f>
        <v>1814400</v>
      </c>
      <c r="AB211" s="69" t="str">
        <f>IF(AA211&lt;60,"1",IF(AA211&lt;=43200,"2",IF(AA211&lt;=777600,"3","4")))</f>
        <v>4</v>
      </c>
      <c r="AC211" s="72">
        <f>AVERAGE(AV210:DA210)</f>
        <v>605413.33333333337</v>
      </c>
      <c r="AD211" s="69" t="str">
        <f>IF(AC211&lt;60,"1",IF(AC211&lt;=43200,"2",IF(AC211&lt;=777600,"3","4")))</f>
        <v>3</v>
      </c>
      <c r="AE211" s="87">
        <f>AA211-Y211</f>
        <v>1814360</v>
      </c>
      <c r="AF211" s="88">
        <f>AV211</f>
        <v>0.35694961699780459</v>
      </c>
      <c r="AG211" s="72">
        <f>((AW211-AV211)+(AX211-AW211))/2</f>
        <v>-6.7484770197090468E-2</v>
      </c>
      <c r="AH211" s="4"/>
      <c r="AI211" s="72">
        <f>RSQ(AV211:AX211,AV210:AX210)</f>
        <v>0.95204388217253566</v>
      </c>
      <c r="AJ211" s="110">
        <f>SLOPE(AV211:AX211,AV210:AX210)</f>
        <v>-8.5439220139339903E-8</v>
      </c>
      <c r="AK211" s="72">
        <f>INTERCEPT(AV211:AX211,AV210:AX210)</f>
        <v>0.37702048273355249</v>
      </c>
      <c r="AL211" s="72">
        <f>INDEX(LINEST(LN(AV211:AX211),LN(AV210:AX210),TRUE,TRUE),3,1)</f>
        <v>0.74427145528357219</v>
      </c>
      <c r="AM211" s="72">
        <f>INDEX(LINEST(LN(AV211:AX211),LN(AV210:AX210)),1)</f>
        <v>-4.9120702232254843E-2</v>
      </c>
      <c r="AN211" s="72">
        <f>EXP(INDEX(LINEST(LN(AV211:AX211),LN(AV210:AX210)),1,2))</f>
        <v>0.47998744570704321</v>
      </c>
      <c r="AO211" s="89">
        <f>INDEX(LINEST((AV211:AX211),LN(AV210:AX210),TRUE,TRUE),3,1)</f>
        <v>0.70180731899927462</v>
      </c>
      <c r="AP211" s="89">
        <f>INDEX(LINEST((AV211:AX211),LN(AV210:AX210)),1)</f>
        <v>-1.4129494957171026E-2</v>
      </c>
      <c r="AQ211" s="90">
        <f>INDEX(LINEST(LN(AV211:AX211),SQRT(AV210:AX210),TRUE,TRUE),3,1)</f>
        <v>0.96203731432868478</v>
      </c>
      <c r="AR211" s="117">
        <f>INDEX(LINEST(LN(AV211:AX211),SQRT((AV210:AX210))),1)</f>
        <v>-3.9743132015725185E-4</v>
      </c>
      <c r="AS211" s="91">
        <f>INDEX(LINEST(1/(AV211:AX211),1/(SQRT(AV210:AX210)),TRUE,TRUE),3,1)</f>
        <v>0.25246445244070842</v>
      </c>
      <c r="AT211" s="91">
        <f>INDEX(LINEST(1/(AV211:AX211),1/SQRT(AV210:AX210)),1)</f>
        <v>-6.3474668140103363</v>
      </c>
      <c r="AU211" s="3"/>
      <c r="AV211" s="73">
        <v>0.35694961699780459</v>
      </c>
      <c r="AW211" s="73">
        <v>0.3969536254133546</v>
      </c>
      <c r="AX211" s="73">
        <v>0.22198007660362365</v>
      </c>
      <c r="AY211" s="53"/>
      <c r="AZ211" s="53"/>
      <c r="BA211" s="53"/>
      <c r="BB211" s="53"/>
      <c r="BC211" s="53"/>
      <c r="BD211" s="53"/>
      <c r="BE211" s="53"/>
      <c r="BF211" s="53"/>
      <c r="BG211" s="53"/>
      <c r="BH211" s="53"/>
      <c r="BI211" s="53"/>
      <c r="BJ211" s="53"/>
      <c r="BK211" s="53"/>
      <c r="BL211" s="53"/>
      <c r="BM211" s="53"/>
      <c r="BN211" s="53"/>
      <c r="BO211" s="53"/>
      <c r="BP211" s="53"/>
      <c r="BQ211" s="53"/>
      <c r="BR211" s="53"/>
      <c r="BS211" s="53"/>
      <c r="BT211" s="53"/>
      <c r="BU211" s="53"/>
      <c r="BV211" s="53"/>
      <c r="BW211" s="53"/>
      <c r="BX211" s="53"/>
      <c r="BY211" s="53"/>
      <c r="BZ211" s="53"/>
      <c r="CA211" s="53"/>
      <c r="CB211" s="53"/>
      <c r="CC211" s="53"/>
      <c r="CD211" s="53"/>
      <c r="CE211" s="53"/>
      <c r="CF211" s="53"/>
      <c r="CG211" s="53"/>
      <c r="CH211" s="53"/>
      <c r="CI211" s="53"/>
      <c r="CJ211" s="53"/>
      <c r="CK211" s="53"/>
      <c r="CL211" s="53"/>
      <c r="CM211" s="53"/>
      <c r="CN211" s="53"/>
      <c r="CO211" s="53"/>
      <c r="CP211" s="53"/>
      <c r="CQ211" s="53"/>
      <c r="CR211" s="16"/>
      <c r="CS211" s="16"/>
      <c r="CT211" s="16"/>
      <c r="CU211" s="16"/>
    </row>
    <row r="212" spans="1:133" s="13" customFormat="1" ht="12" customHeight="1" x14ac:dyDescent="0.2">
      <c r="A212" s="68">
        <v>43979</v>
      </c>
      <c r="B212" s="70"/>
      <c r="C212" s="70"/>
      <c r="D212" s="69"/>
      <c r="E212" s="87"/>
      <c r="F212" s="69"/>
      <c r="G212" s="69"/>
      <c r="H212" s="69"/>
      <c r="I212" s="69"/>
      <c r="J212" s="69"/>
      <c r="K212" s="69"/>
      <c r="L212" s="69"/>
      <c r="M212" s="69"/>
      <c r="N212" s="86"/>
      <c r="O212" s="69"/>
      <c r="P212" s="69"/>
      <c r="Q212" s="69"/>
      <c r="R212" s="69"/>
      <c r="S212" s="69"/>
      <c r="T212" s="92"/>
      <c r="U212" s="69"/>
      <c r="V212" s="92"/>
      <c r="W212" s="69"/>
      <c r="X212" s="69"/>
      <c r="Y212" s="87"/>
      <c r="Z212" s="69"/>
      <c r="AA212" s="69"/>
      <c r="AB212" s="69"/>
      <c r="AC212" s="72"/>
      <c r="AD212" s="69"/>
      <c r="AE212" s="87"/>
      <c r="AF212" s="88"/>
      <c r="AG212" s="72"/>
      <c r="AH212" s="4"/>
      <c r="AI212" s="72"/>
      <c r="AJ212" s="110"/>
      <c r="AK212" s="72"/>
      <c r="AL212" s="72"/>
      <c r="AM212" s="72"/>
      <c r="AN212" s="72"/>
      <c r="AO212" s="89"/>
      <c r="AP212" s="89"/>
      <c r="AQ212" s="90"/>
      <c r="AR212" s="117"/>
      <c r="AS212" s="91"/>
      <c r="AT212" s="91"/>
      <c r="AU212" s="3"/>
      <c r="AV212" s="71">
        <v>40</v>
      </c>
      <c r="AW212" s="71">
        <f>60*30</f>
        <v>1800</v>
      </c>
      <c r="AX212" s="71">
        <f>60*60*24*7*3</f>
        <v>1814400</v>
      </c>
      <c r="AY212" s="53"/>
      <c r="AZ212" s="53"/>
      <c r="BA212" s="53"/>
      <c r="BB212" s="53"/>
      <c r="BC212" s="53"/>
      <c r="BD212" s="53"/>
      <c r="BE212" s="53"/>
      <c r="BF212" s="53"/>
      <c r="BG212" s="53"/>
      <c r="BH212" s="53"/>
      <c r="BI212" s="53"/>
      <c r="BJ212" s="53"/>
      <c r="BK212" s="53"/>
      <c r="BL212" s="53"/>
      <c r="BM212" s="53"/>
      <c r="BN212" s="53"/>
      <c r="BO212" s="53"/>
      <c r="BP212" s="53"/>
      <c r="BQ212" s="53"/>
      <c r="BR212" s="53"/>
      <c r="BS212" s="53"/>
      <c r="BT212" s="53"/>
      <c r="BU212" s="53"/>
      <c r="BV212" s="53"/>
      <c r="BW212" s="53"/>
      <c r="BX212" s="53"/>
      <c r="BY212" s="53"/>
      <c r="BZ212" s="53"/>
      <c r="CA212" s="53"/>
      <c r="CB212" s="53"/>
      <c r="CC212" s="53"/>
      <c r="CD212" s="53"/>
      <c r="CE212" s="53"/>
      <c r="CF212" s="53"/>
      <c r="CG212" s="53"/>
      <c r="CH212" s="53"/>
      <c r="CI212" s="53"/>
      <c r="CJ212" s="53"/>
      <c r="CK212" s="53"/>
      <c r="CL212" s="53"/>
      <c r="CM212" s="53"/>
      <c r="CN212" s="53"/>
      <c r="CO212" s="53"/>
      <c r="CP212" s="53"/>
      <c r="CQ212" s="53"/>
      <c r="CR212" s="16"/>
      <c r="CS212" s="16"/>
      <c r="CT212" s="16"/>
      <c r="CU212" s="16"/>
    </row>
    <row r="213" spans="1:133" s="13" customFormat="1" ht="12" customHeight="1" x14ac:dyDescent="0.2">
      <c r="A213" s="68">
        <v>43979</v>
      </c>
      <c r="B213" s="70" t="s">
        <v>986</v>
      </c>
      <c r="C213" s="70" t="s">
        <v>54</v>
      </c>
      <c r="D213" s="69">
        <v>2011</v>
      </c>
      <c r="E213" s="87">
        <v>1</v>
      </c>
      <c r="F213" s="69">
        <v>15</v>
      </c>
      <c r="G213" s="69">
        <v>15</v>
      </c>
      <c r="H213" s="69" t="s">
        <v>32</v>
      </c>
      <c r="I213" s="69" t="s">
        <v>330</v>
      </c>
      <c r="J213" s="69" t="s">
        <v>677</v>
      </c>
      <c r="K213" s="69">
        <f>IF(J213="syllables",1,IF(J213="trigrams",2,IF(J213="strings",3,IF(J213="visual array",4,IF(J213="characters",5,IF(J213="letters",6,IF(J213="free forms",7,IF(J213="odors",8,IF(J213="words",9,IF(J213="pictures",10,IF(J213="object pictures",11,IF(J213="faces",12,IF(J213="names",13,IF(J213="idioms",14,IF(J213="grades",15,IF(J213="syllable-digit pairs",16,IF(J213="trigram-word pairs",17,IF(J213="word-digit pairs",18,IF(J213="English-Swahili pairs",19,IF(J213="spatial position",20,IF(J213="word pairs",21,IF(J213="word triads",22,IF(J213="generated words",23,IF(J213="word definition pairs",24,IF(J213="math problems",25,IF(J213="famous faces",26,IF(J213="famous names",27,IF(J213="famous voices",28,IF(J213="television programs",29,IF(J213="race horses",30,IF(J213="new vocabulary",31,IF(J213="sentences",32,IF(J213="concepts",33,IF(J213="ad slides",34,IF(J213="scenes",35,IF(J213="famous scenes",36,IF(J213="poems",37,IF(J213="walk",38,IF(J213="faces and events",39,IF(J213="events and names",40,IF(J213="flashbulb",41,IF(J213="stories",42,IF(J213="course material",43,IF(J213="autobiographical",44,IF(J213="novels",45,IF(J213="public events",46,"99"))))))))))))))))))))))))))))))))))))))))))))))</f>
        <v>42</v>
      </c>
      <c r="L213" s="69">
        <f>IF(J213="syllables",1,IF(J213="trigrams",1,IF(J213="strings",1,IF(J213="visual array",1,IF(J213="characters",1,IF(J213="letters",1,IF(J213="free forms",1,IF(J213="odors",2,IF(J213="words",2,IF(J213="pictures",2,IF(J213="object pictures",2,IF(J213="faces",2,IF(J213="names",2,IF(J213="idioms","2",IF(J213="grades",2,IF(J213="syllable-digit pairs",3,IF(J213="trigram-word pairs",3,IF(J213="word-digit pairs",3,IF(J213="English-Swahili pairs",3,IF(J213="spatial position",3,IF(J213="word pairs",4,IF(J213="word triads",4,IF(J213="generated words",4,IF(J213="word definition pairs",4,IF(J213="math problems",4,IF(J213="famous faces",4,IF(J213="famous names",4,IF(J213="famous voices",4,IF(J213="television programs",4,IF(J213="race horses",4,IF(J213="new vocabulary",4,IF(J213="sentences",5,IF(J213="concepts",5,IF(J213="ad slides",5,IF(J213="scenes",5,IF(J213="famous scenes",5,IF(J213="poems",6,IF(J213="walk",6,IF(J213="faces and events",6,IF(J213="events and names",6,IF(J213="flashbulb",7,IF(J213="stories",7,IF(J213="course material",7,IF(J213="autobiographical",7,IF(J213="novels",7,IF(J213="public events",7,"99"))))))))))))))))))))))))))))))))))))))))))))))</f>
        <v>7</v>
      </c>
      <c r="M213" s="69">
        <v>0</v>
      </c>
      <c r="N213" s="86">
        <v>3</v>
      </c>
      <c r="O213" s="69">
        <v>0</v>
      </c>
      <c r="P213" s="69"/>
      <c r="Q213" s="69" t="s">
        <v>182</v>
      </c>
      <c r="R213" s="69">
        <f>IF(Q213="Free Recall",1,IF(Q213="Cued Recall",2,IF(Q213="Recognition",3,IF(Q213="Multiple Choice",4,IF(Q213="Savings",5,IF(Q213="Stem Completion",6,IF(Q213="Fragment Completion",7,IF(Q213="anagram solution",8,IF(Q213="Matching",9,IF(Q213="Problem Solving",10,"99"))))))))))</f>
        <v>4</v>
      </c>
      <c r="S213" s="69" t="s">
        <v>15</v>
      </c>
      <c r="T213" s="92" t="s">
        <v>581</v>
      </c>
      <c r="U213" s="69">
        <f>IF(T213="within",1,0)</f>
        <v>1</v>
      </c>
      <c r="V213" s="92">
        <f>12*3</f>
        <v>36</v>
      </c>
      <c r="W213" s="69">
        <f>F213*V213</f>
        <v>540</v>
      </c>
      <c r="X213" s="69">
        <v>3</v>
      </c>
      <c r="Y213" s="87">
        <f>AV212</f>
        <v>40</v>
      </c>
      <c r="Z213" s="69" t="s">
        <v>165</v>
      </c>
      <c r="AA213" s="69">
        <f>60*60*24*7*3</f>
        <v>1814400</v>
      </c>
      <c r="AB213" s="69" t="str">
        <f>IF(AA213&lt;60,"1",IF(AA213&lt;=43200,"2",IF(AA213&lt;=777600,"3","4")))</f>
        <v>4</v>
      </c>
      <c r="AC213" s="72">
        <f>AVERAGE(AV212:DA212)</f>
        <v>605413.33333333337</v>
      </c>
      <c r="AD213" s="69" t="str">
        <f>IF(AC213&lt;60,"1",IF(AC213&lt;=43200,"2",IF(AC213&lt;=777600,"3","4")))</f>
        <v>3</v>
      </c>
      <c r="AE213" s="87">
        <f>AA213-Y213</f>
        <v>1814360</v>
      </c>
      <c r="AF213" s="88">
        <f>AV213</f>
        <v>0.86202365308804163</v>
      </c>
      <c r="AG213" s="72">
        <f>((AW213-AV213)+(AX213-AW213))/2</f>
        <v>-5.1741130091984167E-2</v>
      </c>
      <c r="AH213" s="4"/>
      <c r="AI213" s="72">
        <f>RSQ(AV213:AX213,AV212:AX212)</f>
        <v>0.99654483686097228</v>
      </c>
      <c r="AJ213" s="110">
        <f>SLOPE(AV213:AX213,AV212:AX212)</f>
        <v>-5.5163443969516944E-8</v>
      </c>
      <c r="AK213" s="72">
        <f>INTERCEPT(AV213:AX213,AV212:AX212)</f>
        <v>0.85862664506991737</v>
      </c>
      <c r="AL213" s="72">
        <f>INDEX(LINEST(LN(AV213:AX213),LN(AV212:AX212),TRUE,TRUE),3,1)</f>
        <v>0.91175726323079698</v>
      </c>
      <c r="AM213" s="72">
        <f>INDEX(LINEST(LN(AV213:AX213),LN(AV212:AX212)),1)</f>
        <v>-1.2582240343330695E-2</v>
      </c>
      <c r="AN213" s="72">
        <f>EXP(INDEX(LINEST(LN(AV213:AX213),LN(AV212:AX212)),1,2))</f>
        <v>0.91720060364447287</v>
      </c>
      <c r="AO213" s="89">
        <f>INDEX(LINEST((AV213:AX213),LN(AV212:AX212),TRUE,TRUE),3,1)</f>
        <v>0.91375252458866574</v>
      </c>
      <c r="AP213" s="89">
        <f>INDEX(LINEST((AV213:AX213),LN(AV212:AX212)),1)</f>
        <v>-1.0174337631425416E-2</v>
      </c>
      <c r="AQ213" s="90">
        <f>INDEX(LINEST(LN(AV213:AX213),SQRT(AV212:AX212),TRUE,TRUE),3,1)</f>
        <v>0.99894507338396865</v>
      </c>
      <c r="AR213" s="117">
        <f>INDEX(LINEST(LN(AV213:AX213),SQRT((AV212:AX212))),1)</f>
        <v>-9.3725207570924372E-5</v>
      </c>
      <c r="AS213" s="91">
        <f>INDEX(LINEST(1/(AV213:AX213),1/(SQRT(AV212:AX212)),TRUE,TRUE),3,1)</f>
        <v>0.4258284617683602</v>
      </c>
      <c r="AT213" s="91">
        <f>INDEX(LINEST(1/(AV213:AX213),1/SQRT(AV212:AX212)),1)</f>
        <v>-0.68136427073619654</v>
      </c>
      <c r="AU213" s="3" t="s">
        <v>993</v>
      </c>
      <c r="AV213" s="73">
        <v>0.86202365308804163</v>
      </c>
      <c r="AW213" s="73">
        <v>0.85512483574244158</v>
      </c>
      <c r="AX213" s="73">
        <v>0.7585413929040733</v>
      </c>
      <c r="AY213" s="53"/>
      <c r="AZ213" s="53"/>
      <c r="BA213" s="53"/>
      <c r="BB213" s="53"/>
      <c r="BC213" s="53"/>
      <c r="BD213" s="53"/>
      <c r="BE213" s="53"/>
      <c r="BF213" s="53"/>
      <c r="BG213" s="53"/>
      <c r="BH213" s="53"/>
      <c r="BI213" s="53"/>
      <c r="BJ213" s="53"/>
      <c r="BK213" s="53"/>
      <c r="BL213" s="53"/>
      <c r="BM213" s="53"/>
      <c r="BN213" s="53"/>
      <c r="BO213" s="53"/>
      <c r="BP213" s="53"/>
      <c r="BQ213" s="53"/>
      <c r="BR213" s="53"/>
      <c r="BS213" s="53"/>
      <c r="BT213" s="53"/>
      <c r="BU213" s="53"/>
      <c r="BV213" s="53"/>
      <c r="BW213" s="53"/>
      <c r="BX213" s="53"/>
      <c r="BY213" s="53"/>
      <c r="BZ213" s="53"/>
      <c r="CA213" s="53"/>
      <c r="CB213" s="53"/>
      <c r="CC213" s="53"/>
      <c r="CD213" s="53"/>
      <c r="CE213" s="53"/>
      <c r="CF213" s="53"/>
      <c r="CG213" s="53"/>
      <c r="CH213" s="53"/>
      <c r="CI213" s="53"/>
      <c r="CJ213" s="53"/>
      <c r="CK213" s="53"/>
      <c r="CL213" s="53"/>
      <c r="CM213" s="53"/>
      <c r="CN213" s="53"/>
      <c r="CO213" s="53"/>
      <c r="CP213" s="53"/>
      <c r="CQ213" s="53"/>
      <c r="CR213" s="16"/>
      <c r="CS213" s="16"/>
      <c r="CT213" s="16"/>
      <c r="CU213" s="16"/>
    </row>
    <row r="214" spans="1:133" s="13" customFormat="1" ht="12" customHeight="1" x14ac:dyDescent="0.2">
      <c r="A214" s="68">
        <v>43979</v>
      </c>
      <c r="B214" s="70"/>
      <c r="C214" s="70"/>
      <c r="D214" s="69"/>
      <c r="E214" s="87"/>
      <c r="F214" s="69"/>
      <c r="G214" s="69"/>
      <c r="H214" s="69"/>
      <c r="I214" s="69"/>
      <c r="J214" s="69"/>
      <c r="K214" s="69"/>
      <c r="L214" s="69"/>
      <c r="M214" s="69"/>
      <c r="N214" s="86"/>
      <c r="O214" s="69"/>
      <c r="P214" s="69"/>
      <c r="Q214" s="69"/>
      <c r="R214" s="69"/>
      <c r="S214" s="69"/>
      <c r="T214" s="92"/>
      <c r="U214" s="69"/>
      <c r="V214" s="92"/>
      <c r="W214" s="69"/>
      <c r="X214" s="69"/>
      <c r="Y214" s="87"/>
      <c r="Z214" s="69"/>
      <c r="AA214" s="69"/>
      <c r="AB214" s="69"/>
      <c r="AC214" s="72"/>
      <c r="AD214" s="69"/>
      <c r="AE214" s="87"/>
      <c r="AF214" s="88"/>
      <c r="AG214" s="72"/>
      <c r="AH214" s="4"/>
      <c r="AI214" s="72"/>
      <c r="AJ214" s="110"/>
      <c r="AK214" s="72"/>
      <c r="AL214" s="72"/>
      <c r="AM214" s="72"/>
      <c r="AN214" s="72"/>
      <c r="AO214" s="89"/>
      <c r="AP214" s="89"/>
      <c r="AQ214" s="90"/>
      <c r="AR214" s="117"/>
      <c r="AS214" s="91"/>
      <c r="AT214" s="91"/>
      <c r="AU214" s="3"/>
      <c r="AV214" s="71">
        <v>40</v>
      </c>
      <c r="AW214" s="71">
        <f>60*30</f>
        <v>1800</v>
      </c>
      <c r="AX214" s="71">
        <f>60*60*24*7*3</f>
        <v>1814400</v>
      </c>
      <c r="AY214" s="53"/>
      <c r="AZ214" s="53"/>
      <c r="BA214" s="53"/>
      <c r="BB214" s="53"/>
      <c r="BC214" s="53"/>
      <c r="BD214" s="53"/>
      <c r="BE214" s="53"/>
      <c r="BF214" s="53"/>
      <c r="BG214" s="53"/>
      <c r="BH214" s="53"/>
      <c r="BI214" s="53"/>
      <c r="BJ214" s="53"/>
      <c r="BK214" s="53"/>
      <c r="BL214" s="53"/>
      <c r="BM214" s="53"/>
      <c r="BN214" s="53"/>
      <c r="BO214" s="53"/>
      <c r="BP214" s="53"/>
      <c r="BQ214" s="53"/>
      <c r="BR214" s="53"/>
      <c r="BS214" s="53"/>
      <c r="BT214" s="53"/>
      <c r="BU214" s="53"/>
      <c r="BV214" s="53"/>
      <c r="BW214" s="53"/>
      <c r="BX214" s="53"/>
      <c r="BY214" s="53"/>
      <c r="BZ214" s="53"/>
      <c r="CA214" s="53"/>
      <c r="CB214" s="53"/>
      <c r="CC214" s="53"/>
      <c r="CD214" s="53"/>
      <c r="CE214" s="53"/>
      <c r="CF214" s="53"/>
      <c r="CG214" s="53"/>
      <c r="CH214" s="53"/>
      <c r="CI214" s="53"/>
      <c r="CJ214" s="53"/>
      <c r="CK214" s="53"/>
      <c r="CL214" s="53"/>
      <c r="CM214" s="53"/>
      <c r="CN214" s="53"/>
      <c r="CO214" s="53"/>
      <c r="CP214" s="53"/>
      <c r="CQ214" s="53"/>
      <c r="CR214" s="16"/>
      <c r="CS214" s="16"/>
      <c r="CT214" s="16"/>
      <c r="CU214" s="16"/>
    </row>
    <row r="215" spans="1:133" s="13" customFormat="1" ht="12" customHeight="1" x14ac:dyDescent="0.2">
      <c r="A215" s="68">
        <v>43979</v>
      </c>
      <c r="B215" s="70" t="s">
        <v>986</v>
      </c>
      <c r="C215" s="70" t="s">
        <v>54</v>
      </c>
      <c r="D215" s="69">
        <v>2011</v>
      </c>
      <c r="E215" s="87">
        <v>1</v>
      </c>
      <c r="F215" s="69">
        <v>10</v>
      </c>
      <c r="G215" s="69">
        <v>10</v>
      </c>
      <c r="H215" s="69" t="s">
        <v>32</v>
      </c>
      <c r="I215" s="69" t="s">
        <v>330</v>
      </c>
      <c r="J215" s="69" t="s">
        <v>677</v>
      </c>
      <c r="K215" s="69">
        <f>IF(J215="syllables",1,IF(J215="trigrams",2,IF(J215="strings",3,IF(J215="visual array",4,IF(J215="characters",5,IF(J215="letters",6,IF(J215="free forms",7,IF(J215="odors",8,IF(J215="words",9,IF(J215="pictures",10,IF(J215="object pictures",11,IF(J215="faces",12,IF(J215="names",13,IF(J215="idioms",14,IF(J215="grades",15,IF(J215="syllable-digit pairs",16,IF(J215="trigram-word pairs",17,IF(J215="word-digit pairs",18,IF(J215="English-Swahili pairs",19,IF(J215="spatial position",20,IF(J215="word pairs",21,IF(J215="word triads",22,IF(J215="generated words",23,IF(J215="word definition pairs",24,IF(J215="math problems",25,IF(J215="famous faces",26,IF(J215="famous names",27,IF(J215="famous voices",28,IF(J215="television programs",29,IF(J215="race horses",30,IF(J215="new vocabulary",31,IF(J215="sentences",32,IF(J215="concepts",33,IF(J215="ad slides",34,IF(J215="scenes",35,IF(J215="famous scenes",36,IF(J215="poems",37,IF(J215="walk",38,IF(J215="faces and events",39,IF(J215="events and names",40,IF(J215="flashbulb",41,IF(J215="stories",42,IF(J215="course material",43,IF(J215="autobiographical",44,IF(J215="novels",45,IF(J215="public events",46,"99"))))))))))))))))))))))))))))))))))))))))))))))</f>
        <v>42</v>
      </c>
      <c r="L215" s="69">
        <f>IF(J215="syllables",1,IF(J215="trigrams",1,IF(J215="strings",1,IF(J215="visual array",1,IF(J215="characters",1,IF(J215="letters",1,IF(J215="free forms",1,IF(J215="odors",2,IF(J215="words",2,IF(J215="pictures",2,IF(J215="object pictures",2,IF(J215="faces",2,IF(J215="names",2,IF(J215="idioms","2",IF(J215="grades",2,IF(J215="syllable-digit pairs",3,IF(J215="trigram-word pairs",3,IF(J215="word-digit pairs",3,IF(J215="English-Swahili pairs",3,IF(J215="spatial position",3,IF(J215="word pairs",4,IF(J215="word triads",4,IF(J215="generated words",4,IF(J215="word definition pairs",4,IF(J215="math problems",4,IF(J215="famous faces",4,IF(J215="famous names",4,IF(J215="famous voices",4,IF(J215="television programs",4,IF(J215="race horses",4,IF(J215="new vocabulary",4,IF(J215="sentences",5,IF(J215="concepts",5,IF(J215="ad slides",5,IF(J215="scenes",5,IF(J215="famous scenes",5,IF(J215="poems",6,IF(J215="walk",6,IF(J215="faces and events",6,IF(J215="events and names",6,IF(J215="flashbulb",7,IF(J215="stories",7,IF(J215="course material",7,IF(J215="autobiographical",7,IF(J215="novels",7,IF(J215="public events",7,"99"))))))))))))))))))))))))))))))))))))))))))))))</f>
        <v>7</v>
      </c>
      <c r="M215" s="69">
        <v>0</v>
      </c>
      <c r="N215" s="86">
        <v>3</v>
      </c>
      <c r="O215" s="69">
        <v>0</v>
      </c>
      <c r="P215" s="69"/>
      <c r="Q215" s="69" t="s">
        <v>182</v>
      </c>
      <c r="R215" s="69">
        <f>IF(Q215="Free Recall",1,IF(Q215="Cued Recall",2,IF(Q215="Recognition",3,IF(Q215="Multiple Choice",4,IF(Q215="Savings",5,IF(Q215="Stem Completion",6,IF(Q215="Fragment Completion",7,IF(Q215="anagram solution",8,IF(Q215="Matching",9,IF(Q215="Problem Solving",10,"99"))))))))))</f>
        <v>4</v>
      </c>
      <c r="S215" s="69" t="s">
        <v>15</v>
      </c>
      <c r="T215" s="92" t="s">
        <v>581</v>
      </c>
      <c r="U215" s="69">
        <f>IF(T215="within",1,0)</f>
        <v>1</v>
      </c>
      <c r="V215" s="92">
        <f>12*3</f>
        <v>36</v>
      </c>
      <c r="W215" s="69">
        <f>F215*V215</f>
        <v>360</v>
      </c>
      <c r="X215" s="69">
        <v>3</v>
      </c>
      <c r="Y215" s="87">
        <f>AV214</f>
        <v>40</v>
      </c>
      <c r="Z215" s="69" t="s">
        <v>165</v>
      </c>
      <c r="AA215" s="69">
        <f>60*60*24*7*3</f>
        <v>1814400</v>
      </c>
      <c r="AB215" s="69" t="str">
        <f>IF(AA215&lt;60,"1",IF(AA215&lt;=43200,"2",IF(AA215&lt;=777600,"3","4")))</f>
        <v>4</v>
      </c>
      <c r="AC215" s="72">
        <f>AVERAGE(AV214:DA214)</f>
        <v>605413.33333333337</v>
      </c>
      <c r="AD215" s="69" t="str">
        <f>IF(AC215&lt;60,"1",IF(AC215&lt;=43200,"2",IF(AC215&lt;=777600,"3","4")))</f>
        <v>3</v>
      </c>
      <c r="AE215" s="87">
        <f>AA215-Y215</f>
        <v>1814360</v>
      </c>
      <c r="AF215" s="88">
        <f>AV215</f>
        <v>0.884691195795</v>
      </c>
      <c r="AG215" s="72">
        <f>((AW215-AV215)+(AX215-AW215))/2</f>
        <v>-6.4060446780548785E-2</v>
      </c>
      <c r="AH215" s="4"/>
      <c r="AI215" s="72">
        <f>RSQ(AV215:AX215,AV214:AX214)</f>
        <v>0.88438127462016358</v>
      </c>
      <c r="AJ215" s="110">
        <f>SLOPE(AV215:AX215,AV214:AX214)</f>
        <v>-5.8439205230934507E-8</v>
      </c>
      <c r="AK215" s="72">
        <f>INTERCEPT(AV215:AX215,AV214:AX214)</f>
        <v>0.86258092528456431</v>
      </c>
      <c r="AL215" s="72">
        <f>INDEX(LINEST(LN(AV215:AX215),LN(AV214:AX214),TRUE,TRUE),3,1)</f>
        <v>0.99913836426692693</v>
      </c>
      <c r="AM215" s="72">
        <f>INDEX(LINEST(LN(AV215:AX215),LN(AV214:AX214)),1)</f>
        <v>-1.4662416901925495E-2</v>
      </c>
      <c r="AN215" s="72">
        <f>EXP(INDEX(LINEST(LN(AV215:AX215),LN(AV214:AX214)),1,2))</f>
        <v>0.93546689892969104</v>
      </c>
      <c r="AO215" s="89">
        <f>INDEX(LINEST((AV215:AX215),LN(AV214:AX214),TRUE,TRUE),3,1)</f>
        <v>0.99990116265622409</v>
      </c>
      <c r="AP215" s="89">
        <f>INDEX(LINEST((AV215:AX215),LN(AV214:AX214)),1)</f>
        <v>-1.1968837435104837E-2</v>
      </c>
      <c r="AQ215" s="90">
        <f>INDEX(LINEST(LN(AV215:AX215),SQRT(AV214:AX214),TRUE,TRUE),3,1)</f>
        <v>0.90997500537961029</v>
      </c>
      <c r="AR215" s="117">
        <f>INDEX(LINEST(LN(AV215:AX215),SQRT((AV214:AX214))),1)</f>
        <v>-9.9580596492972141E-5</v>
      </c>
      <c r="AS215" s="91">
        <f>INDEX(LINEST(1/(AV215:AX215),1/(SQRT(AV214:AX214)),TRUE,TRUE),3,1)</f>
        <v>0.67826014604307105</v>
      </c>
      <c r="AT215" s="91">
        <f>INDEX(LINEST(1/(AV215:AX215),1/SQRT(AV214:AX214)),1)</f>
        <v>-0.94857037619716189</v>
      </c>
      <c r="AU215" s="3"/>
      <c r="AV215" s="73">
        <v>0.884691195795</v>
      </c>
      <c r="AW215" s="73">
        <v>0.84034165571615826</v>
      </c>
      <c r="AX215" s="73">
        <v>0.75657030223390243</v>
      </c>
      <c r="AY215" s="53"/>
      <c r="AZ215" s="53"/>
      <c r="BA215" s="53"/>
      <c r="BB215" s="53"/>
      <c r="BC215" s="53"/>
      <c r="BD215" s="53"/>
      <c r="BE215" s="53"/>
      <c r="BF215" s="53"/>
      <c r="BG215" s="53"/>
      <c r="BH215" s="53"/>
      <c r="BI215" s="53"/>
      <c r="BJ215" s="53"/>
      <c r="BK215" s="53"/>
      <c r="BL215" s="53"/>
      <c r="BM215" s="53"/>
      <c r="BN215" s="53"/>
      <c r="BO215" s="53"/>
      <c r="BP215" s="53"/>
      <c r="BQ215" s="53"/>
      <c r="BR215" s="53"/>
      <c r="BS215" s="53"/>
      <c r="BT215" s="53"/>
      <c r="BU215" s="53"/>
      <c r="BV215" s="53"/>
      <c r="BW215" s="53"/>
      <c r="BX215" s="53"/>
      <c r="BY215" s="53"/>
      <c r="BZ215" s="53"/>
      <c r="CA215" s="53"/>
      <c r="CB215" s="53"/>
      <c r="CC215" s="53"/>
      <c r="CD215" s="53"/>
      <c r="CE215" s="53"/>
      <c r="CF215" s="53"/>
      <c r="CG215" s="53"/>
      <c r="CH215" s="53"/>
      <c r="CI215" s="53"/>
      <c r="CJ215" s="53"/>
      <c r="CK215" s="53"/>
      <c r="CL215" s="53"/>
      <c r="CM215" s="53"/>
      <c r="CN215" s="53"/>
      <c r="CO215" s="53"/>
      <c r="CP215" s="53"/>
      <c r="CQ215" s="53"/>
      <c r="CR215" s="16"/>
      <c r="CS215" s="16"/>
      <c r="CT215" s="16"/>
      <c r="CU215" s="16"/>
    </row>
    <row r="216" spans="1:133" s="13" customFormat="1" ht="12" customHeight="1" x14ac:dyDescent="0.2">
      <c r="A216" s="65">
        <v>43979</v>
      </c>
      <c r="B216" s="1"/>
      <c r="C216" s="1"/>
      <c r="D216" s="60"/>
      <c r="E216" s="76"/>
      <c r="F216" s="60"/>
      <c r="G216" s="60"/>
      <c r="H216" s="60"/>
      <c r="I216" s="60"/>
      <c r="J216" s="60"/>
      <c r="K216" s="60"/>
      <c r="L216" s="60"/>
      <c r="M216" s="60"/>
      <c r="N216" s="61"/>
      <c r="O216" s="60"/>
      <c r="P216" s="60"/>
      <c r="Q216" s="60"/>
      <c r="R216" s="60"/>
      <c r="S216" s="60"/>
      <c r="T216" s="59"/>
      <c r="U216" s="60"/>
      <c r="V216" s="59"/>
      <c r="W216" s="60"/>
      <c r="X216" s="60"/>
      <c r="Y216" s="76"/>
      <c r="Z216" s="60"/>
      <c r="AA216" s="60"/>
      <c r="AB216" s="60"/>
      <c r="AC216" s="56"/>
      <c r="AD216" s="60"/>
      <c r="AE216" s="76"/>
      <c r="AF216" s="80"/>
      <c r="AG216" s="56"/>
      <c r="AH216" s="4"/>
      <c r="AI216" s="56"/>
      <c r="AJ216" s="109"/>
      <c r="AK216" s="56"/>
      <c r="AL216" s="56"/>
      <c r="AM216" s="56"/>
      <c r="AN216" s="56"/>
      <c r="AO216" s="82"/>
      <c r="AP216" s="82"/>
      <c r="AQ216" s="83"/>
      <c r="AR216" s="116"/>
      <c r="AS216" s="84"/>
      <c r="AT216" s="84"/>
      <c r="AU216" s="3"/>
      <c r="AV216" s="25">
        <f>60*60*3</f>
        <v>10800</v>
      </c>
      <c r="AW216" s="25">
        <f>60*60*24</f>
        <v>86400</v>
      </c>
      <c r="AX216" s="25">
        <f>60*60*24*7</f>
        <v>604800</v>
      </c>
      <c r="AY216" s="25">
        <f>60*60*24*7*3</f>
        <v>1814400</v>
      </c>
      <c r="AZ216" s="53"/>
      <c r="BA216" s="53"/>
      <c r="BB216" s="53"/>
      <c r="BC216" s="53"/>
      <c r="BD216" s="53"/>
      <c r="BE216" s="53"/>
      <c r="BF216" s="53"/>
      <c r="BG216" s="53"/>
      <c r="BH216" s="53"/>
      <c r="BI216" s="53"/>
      <c r="BJ216" s="53"/>
      <c r="BK216" s="53"/>
      <c r="BL216" s="53"/>
      <c r="BM216" s="53"/>
      <c r="BN216" s="53"/>
      <c r="BO216" s="53"/>
      <c r="BP216" s="53"/>
      <c r="BQ216" s="53"/>
      <c r="BR216" s="53"/>
      <c r="BS216" s="53"/>
      <c r="BT216" s="53"/>
      <c r="BU216" s="53"/>
      <c r="BV216" s="53"/>
      <c r="BW216" s="53"/>
      <c r="BX216" s="53"/>
      <c r="BY216" s="53"/>
      <c r="BZ216" s="53"/>
      <c r="CA216" s="53"/>
      <c r="CB216" s="53"/>
      <c r="CC216" s="53"/>
      <c r="CD216" s="53"/>
      <c r="CE216" s="53"/>
      <c r="CF216" s="53"/>
      <c r="CG216" s="53"/>
      <c r="CH216" s="53"/>
      <c r="CI216" s="53"/>
      <c r="CJ216" s="53"/>
      <c r="CK216" s="53"/>
      <c r="CL216" s="53"/>
      <c r="CM216" s="53"/>
      <c r="CN216" s="53"/>
      <c r="CO216" s="53"/>
      <c r="CP216" s="53"/>
      <c r="CQ216" s="53"/>
      <c r="CR216" s="16"/>
      <c r="CS216" s="16"/>
      <c r="CT216" s="16"/>
      <c r="CU216" s="16"/>
    </row>
    <row r="217" spans="1:133" s="13" customFormat="1" ht="12" customHeight="1" x14ac:dyDescent="0.2">
      <c r="A217" s="65">
        <v>43979</v>
      </c>
      <c r="B217" s="1" t="s">
        <v>996</v>
      </c>
      <c r="C217" s="1" t="s">
        <v>54</v>
      </c>
      <c r="D217" s="60">
        <v>2010</v>
      </c>
      <c r="E217" s="76">
        <v>1</v>
      </c>
      <c r="F217" s="60">
        <v>11</v>
      </c>
      <c r="G217" s="60">
        <v>11</v>
      </c>
      <c r="H217" s="60" t="s">
        <v>32</v>
      </c>
      <c r="I217" s="60" t="s">
        <v>998</v>
      </c>
      <c r="J217" s="60" t="s">
        <v>622</v>
      </c>
      <c r="K217" s="60">
        <f>IF(J217="syllables",1,IF(J217="trigrams",2,IF(J217="strings",3,IF(J217="visual array",4,IF(J217="characters",5,IF(J217="letters",6,IF(J217="free forms",7,IF(J217="odors",8,IF(J217="words",9,IF(J217="pictures",10,IF(J217="object pictures",11,IF(J217="faces",12,IF(J217="names",13,IF(J217="idioms",14,IF(J217="grades",15,IF(J217="syllable-digit pairs",16,IF(J217="trigram-word pairs",17,IF(J217="word-digit pairs",18,IF(J217="English-Swahili pairs",19,IF(J217="spatial position",20,IF(J217="word pairs",21,IF(J217="word triads",22,IF(J217="generated words",23,IF(J217="word definition pairs",24,IF(J217="math problems",25,IF(J217="famous faces",26,IF(J217="famous names",27,IF(J217="famous voices",28,IF(J217="television programs",29,IF(J217="race horses",30,IF(J217="new vocabulary",31,IF(J217="sentences",32,IF(J217="concepts",33,IF(J217="ad slides",34,IF(J217="scenes",35,IF(J217="famous scenes",36,IF(J217="poems",37,IF(J217="walk",38,IF(J217="faces and events",39,IF(J217="events and names",40,IF(J217="flashbulb",41,IF(J217="stories",42,IF(J217="course material",43,IF(J217="autobiographical",44,IF(J217="novels",45,IF(J217="public events",46,"99"))))))))))))))))))))))))))))))))))))))))))))))</f>
        <v>44</v>
      </c>
      <c r="L217" s="60">
        <f>IF(J217="syllables",1,IF(J217="trigrams",1,IF(J217="strings",1,IF(J217="visual array",1,IF(J217="characters",1,IF(J217="letters",1,IF(J217="free forms",1,IF(J217="odors",2,IF(J217="words",2,IF(J217="pictures",2,IF(J217="object pictures",2,IF(J217="faces",2,IF(J217="names",2,IF(J217="idioms","2",IF(J217="grades",2,IF(J217="syllable-digit pairs",3,IF(J217="trigram-word pairs",3,IF(J217="word-digit pairs",3,IF(J217="English-Swahili pairs",3,IF(J217="spatial position",3,IF(J217="word pairs",4,IF(J217="word triads",4,IF(J217="generated words",4,IF(J217="word definition pairs",4,IF(J217="math problems",4,IF(J217="famous faces",4,IF(J217="famous names",4,IF(J217="famous voices",4,IF(J217="television programs",4,IF(J217="race horses",4,IF(J217="new vocabulary",4,IF(J217="sentences",5,IF(J217="concepts",5,IF(J217="ad slides",5,IF(J217="scenes",5,IF(J217="famous scenes",5,IF(J217="poems",6,IF(J217="walk",6,IF(J217="faces and events",6,IF(J217="events and names",6,IF(J217="flashbulb",7,IF(J217="stories",7,IF(J217="course material",7,IF(J217="autobiographical",7,IF(J217="novels",7,IF(J217="public events",7,"99"))))))))))))))))))))))))))))))))))))))))))))))</f>
        <v>7</v>
      </c>
      <c r="M217" s="60">
        <v>0</v>
      </c>
      <c r="N217" s="61">
        <v>3</v>
      </c>
      <c r="O217" s="60">
        <v>0</v>
      </c>
      <c r="P217" s="60"/>
      <c r="Q217" s="60" t="s">
        <v>174</v>
      </c>
      <c r="R217" s="60">
        <f>IF(Q217="Free Recall",1,IF(Q217="Cued Recall",2,IF(Q217="Recognition",3,IF(Q217="Multiple Choice",4,IF(Q217="Savings",5,IF(Q217="Stem Completion",6,IF(Q217="Fragment Completion",7,IF(Q217="anagram solution",8,IF(Q217="Matching",9,IF(Q217="Problem Solving",10,"99"))))))))))</f>
        <v>1</v>
      </c>
      <c r="S217" s="60" t="s">
        <v>15</v>
      </c>
      <c r="T217" s="59" t="s">
        <v>581</v>
      </c>
      <c r="U217" s="60">
        <f>IF(T217="within",1,0)</f>
        <v>1</v>
      </c>
      <c r="V217" s="59">
        <v>40</v>
      </c>
      <c r="W217" s="60">
        <f>F217*V217</f>
        <v>440</v>
      </c>
      <c r="X217" s="60">
        <v>4</v>
      </c>
      <c r="Y217" s="76">
        <f>AV216</f>
        <v>10800</v>
      </c>
      <c r="Z217" s="60" t="s">
        <v>165</v>
      </c>
      <c r="AA217" s="60">
        <f>60*60*24*7*3</f>
        <v>1814400</v>
      </c>
      <c r="AB217" s="60" t="str">
        <f>IF(AA217&lt;60,"1",IF(AA217&lt;=43200,"2",IF(AA217&lt;=777600,"3","4")))</f>
        <v>4</v>
      </c>
      <c r="AC217" s="56">
        <f>AVERAGE(AV216:DA216)</f>
        <v>629100</v>
      </c>
      <c r="AD217" s="60" t="str">
        <f>IF(AC217&lt;60,"1",IF(AC217&lt;=43200,"2",IF(AC217&lt;=777600,"3","4")))</f>
        <v>3</v>
      </c>
      <c r="AE217" s="76">
        <f>AA217-Y217</f>
        <v>1803600</v>
      </c>
      <c r="AF217" s="80">
        <f>AV217</f>
        <v>0.88722493887530507</v>
      </c>
      <c r="AG217" s="58">
        <f>((AW217-AV217)+(AX217-AW217)+(AY217-AX217))/3</f>
        <v>-2.1393643031783669E-3</v>
      </c>
      <c r="AH217" s="4"/>
      <c r="AI217" s="56">
        <f>RSQ(AV217:AY217,AV216:AY216)</f>
        <v>1.627219441281874E-3</v>
      </c>
      <c r="AJ217" s="109">
        <f>SLOPE(AV217:AY217,AV216:AY216)</f>
        <v>1.3861736528887394E-9</v>
      </c>
      <c r="AK217" s="56">
        <f>INTERCEPT(AV217:AY217,AV216:AY216)</f>
        <v>0.86480644226254699</v>
      </c>
      <c r="AL217" s="56">
        <f>INDEX(LINEST(LN(AV217:AY217),LN(AV216:AY216),TRUE,TRUE),3,1)</f>
        <v>0.16879329139880955</v>
      </c>
      <c r="AM217" s="56">
        <f>INDEX(LINEST(LN(AV217:AY217),LN(AV216:AY216)),1)</f>
        <v>-6.1115221213029116E-3</v>
      </c>
      <c r="AN217" s="56">
        <f>EXP(INDEX(LINEST(LN(AV217:AY217),LN(AV216:AY216)),1,2))</f>
        <v>0.93170031783907981</v>
      </c>
      <c r="AO217" s="82">
        <f>INDEX(LINEST((AV217:AY217),LN(AV216:AY216),TRUE,TRUE),3,1)</f>
        <v>0.17022703107303505</v>
      </c>
      <c r="AP217" s="82">
        <f>INDEX(LINEST((AV217:AY217),LN(AV216:AY216)),1)</f>
        <v>-5.2370834087365073E-3</v>
      </c>
      <c r="AQ217" s="83">
        <f>INDEX(LINEST(LN(AV217:AY217),SQRT(AV216:AY216),TRUE,TRUE),3,1)</f>
        <v>3.0457092529913389E-2</v>
      </c>
      <c r="AR217" s="116">
        <f>INDEX(LINEST(LN(AV217:AY217),SQRT((AV216:AY216))),1)</f>
        <v>-1.0541506048369215E-5</v>
      </c>
      <c r="AS217" s="84">
        <f>INDEX(LINEST(1/(AV217:AY217),1/(SQRT(AV216:AY216)),TRUE,TRUE),3,1)</f>
        <v>0.26411387501985062</v>
      </c>
      <c r="AT217" s="84">
        <f>INDEX(LINEST(1/(AV217:AY217),1/SQRT(AV216:AY216)),1)</f>
        <v>-4.9656523687648244</v>
      </c>
      <c r="AU217" s="3"/>
      <c r="AV217" s="53">
        <v>0.88722493887530507</v>
      </c>
      <c r="AW217" s="53">
        <v>0.87072127139364297</v>
      </c>
      <c r="AX217" s="53">
        <v>0.82396088019559899</v>
      </c>
      <c r="AY217" s="53">
        <v>0.88080684596576997</v>
      </c>
      <c r="AZ217" s="53"/>
      <c r="BA217" s="53"/>
      <c r="BB217" s="53"/>
      <c r="BC217" s="53"/>
      <c r="BD217" s="53"/>
      <c r="BE217" s="53"/>
      <c r="BF217" s="53"/>
      <c r="BG217" s="53"/>
      <c r="BH217" s="53"/>
      <c r="BI217" s="53"/>
      <c r="BJ217" s="53"/>
      <c r="BK217" s="53"/>
      <c r="BL217" s="53"/>
      <c r="BM217" s="53"/>
      <c r="BN217" s="53"/>
      <c r="BO217" s="53"/>
      <c r="BP217" s="53"/>
      <c r="BQ217" s="53"/>
      <c r="BR217" s="53"/>
      <c r="BS217" s="53"/>
      <c r="BT217" s="53"/>
      <c r="BU217" s="53"/>
      <c r="BV217" s="53"/>
      <c r="BW217" s="53"/>
      <c r="BX217" s="53"/>
      <c r="BY217" s="53"/>
      <c r="BZ217" s="53"/>
      <c r="CA217" s="53"/>
      <c r="CB217" s="53"/>
      <c r="CC217" s="53"/>
      <c r="CD217" s="53"/>
      <c r="CE217" s="53"/>
      <c r="CF217" s="53"/>
      <c r="CG217" s="53"/>
      <c r="CH217" s="53"/>
      <c r="CI217" s="53"/>
      <c r="CJ217" s="53"/>
      <c r="CK217" s="53"/>
      <c r="CL217" s="53"/>
      <c r="CM217" s="53"/>
      <c r="CN217" s="53"/>
      <c r="CO217" s="53"/>
      <c r="CP217" s="53"/>
      <c r="CQ217" s="53"/>
      <c r="CR217" s="16"/>
      <c r="CS217" s="16"/>
      <c r="CT217" s="16"/>
      <c r="CU217" s="16"/>
    </row>
    <row r="218" spans="1:133" s="13" customFormat="1" ht="12" customHeight="1" x14ac:dyDescent="0.2">
      <c r="A218" s="65">
        <v>43979</v>
      </c>
      <c r="B218" s="1"/>
      <c r="C218" s="1"/>
      <c r="D218" s="60"/>
      <c r="E218" s="76"/>
      <c r="F218" s="60"/>
      <c r="G218" s="60"/>
      <c r="H218" s="60"/>
      <c r="I218" s="60"/>
      <c r="J218" s="60"/>
      <c r="K218" s="60"/>
      <c r="L218" s="60"/>
      <c r="M218" s="60"/>
      <c r="N218" s="61"/>
      <c r="O218" s="60"/>
      <c r="P218" s="60"/>
      <c r="Q218" s="60"/>
      <c r="R218" s="60"/>
      <c r="S218" s="60"/>
      <c r="T218" s="59"/>
      <c r="U218" s="60"/>
      <c r="V218" s="59"/>
      <c r="W218" s="60"/>
      <c r="X218" s="60"/>
      <c r="Y218" s="76"/>
      <c r="Z218" s="60"/>
      <c r="AA218" s="60"/>
      <c r="AB218" s="60"/>
      <c r="AC218" s="56"/>
      <c r="AD218" s="60"/>
      <c r="AE218" s="76"/>
      <c r="AF218" s="80"/>
      <c r="AG218" s="56"/>
      <c r="AH218" s="4"/>
      <c r="AI218" s="56"/>
      <c r="AJ218" s="109"/>
      <c r="AK218" s="56"/>
      <c r="AL218" s="56"/>
      <c r="AM218" s="56"/>
      <c r="AN218" s="56"/>
      <c r="AO218" s="82"/>
      <c r="AP218" s="82"/>
      <c r="AQ218" s="83"/>
      <c r="AR218" s="116"/>
      <c r="AS218" s="84"/>
      <c r="AT218" s="84"/>
      <c r="AU218" s="3"/>
      <c r="AV218" s="25">
        <f>60*60*3</f>
        <v>10800</v>
      </c>
      <c r="AW218" s="25">
        <f>60*60*24</f>
        <v>86400</v>
      </c>
      <c r="AX218" s="25">
        <f>60*60*24*7</f>
        <v>604800</v>
      </c>
      <c r="AY218" s="25">
        <f>60*60*24*7*3</f>
        <v>1814400</v>
      </c>
      <c r="AZ218" s="53"/>
      <c r="BA218" s="53"/>
      <c r="BB218" s="53"/>
      <c r="BC218" s="53"/>
      <c r="BD218" s="53"/>
      <c r="BE218" s="53"/>
      <c r="BF218" s="53"/>
      <c r="BG218" s="53"/>
      <c r="BH218" s="53"/>
      <c r="BI218" s="53"/>
      <c r="BJ218" s="53"/>
      <c r="BK218" s="53"/>
      <c r="BL218" s="53"/>
      <c r="BM218" s="53"/>
      <c r="BN218" s="53"/>
      <c r="BO218" s="53"/>
      <c r="BP218" s="53"/>
      <c r="BQ218" s="53"/>
      <c r="BR218" s="53"/>
      <c r="BS218" s="53"/>
      <c r="BT218" s="53"/>
      <c r="BU218" s="53"/>
      <c r="BV218" s="53"/>
      <c r="BW218" s="53"/>
      <c r="BX218" s="53"/>
      <c r="BY218" s="53"/>
      <c r="BZ218" s="53"/>
      <c r="CA218" s="53"/>
      <c r="CB218" s="53"/>
      <c r="CC218" s="53"/>
      <c r="CD218" s="53"/>
      <c r="CE218" s="53"/>
      <c r="CF218" s="53"/>
      <c r="CG218" s="53"/>
      <c r="CH218" s="53"/>
      <c r="CI218" s="53"/>
      <c r="CJ218" s="53"/>
      <c r="CK218" s="53"/>
      <c r="CL218" s="53"/>
      <c r="CM218" s="53"/>
      <c r="CN218" s="53"/>
      <c r="CO218" s="53"/>
      <c r="CP218" s="53"/>
      <c r="CQ218" s="53"/>
      <c r="CR218" s="16"/>
      <c r="CS218" s="16"/>
      <c r="CT218" s="16"/>
      <c r="CU218" s="16"/>
    </row>
    <row r="219" spans="1:133" s="13" customFormat="1" ht="12" customHeight="1" x14ac:dyDescent="0.2">
      <c r="A219" s="65">
        <v>43979</v>
      </c>
      <c r="B219" s="1" t="s">
        <v>996</v>
      </c>
      <c r="C219" s="1" t="s">
        <v>54</v>
      </c>
      <c r="D219" s="60">
        <v>2010</v>
      </c>
      <c r="E219" s="76">
        <v>1</v>
      </c>
      <c r="F219" s="60">
        <v>11</v>
      </c>
      <c r="G219" s="60">
        <v>11</v>
      </c>
      <c r="H219" s="60" t="s">
        <v>32</v>
      </c>
      <c r="I219" s="60" t="s">
        <v>999</v>
      </c>
      <c r="J219" s="60" t="s">
        <v>622</v>
      </c>
      <c r="K219" s="60">
        <f>IF(J219="syllables",1,IF(J219="trigrams",2,IF(J219="strings",3,IF(J219="visual array",4,IF(J219="characters",5,IF(J219="letters",6,IF(J219="free forms",7,IF(J219="odors",8,IF(J219="words",9,IF(J219="pictures",10,IF(J219="object pictures",11,IF(J219="faces",12,IF(J219="names",13,IF(J219="idioms",14,IF(J219="grades",15,IF(J219="syllable-digit pairs",16,IF(J219="trigram-word pairs",17,IF(J219="word-digit pairs",18,IF(J219="English-Swahili pairs",19,IF(J219="spatial position",20,IF(J219="word pairs",21,IF(J219="word triads",22,IF(J219="generated words",23,IF(J219="word definition pairs",24,IF(J219="math problems",25,IF(J219="famous faces",26,IF(J219="famous names",27,IF(J219="famous voices",28,IF(J219="television programs",29,IF(J219="race horses",30,IF(J219="new vocabulary",31,IF(J219="sentences",32,IF(J219="concepts",33,IF(J219="ad slides",34,IF(J219="scenes",35,IF(J219="famous scenes",36,IF(J219="poems",37,IF(J219="walk",38,IF(J219="faces and events",39,IF(J219="events and names",40,IF(J219="flashbulb",41,IF(J219="stories",42,IF(J219="course material",43,IF(J219="autobiographical",44,IF(J219="novels",45,IF(J219="public events",46,"99"))))))))))))))))))))))))))))))))))))))))))))))</f>
        <v>44</v>
      </c>
      <c r="L219" s="60">
        <f>IF(J219="syllables",1,IF(J219="trigrams",1,IF(J219="strings",1,IF(J219="visual array",1,IF(J219="characters",1,IF(J219="letters",1,IF(J219="free forms",1,IF(J219="odors",2,IF(J219="words",2,IF(J219="pictures",2,IF(J219="object pictures",2,IF(J219="faces",2,IF(J219="names",2,IF(J219="idioms","2",IF(J219="grades",2,IF(J219="syllable-digit pairs",3,IF(J219="trigram-word pairs",3,IF(J219="word-digit pairs",3,IF(J219="English-Swahili pairs",3,IF(J219="spatial position",3,IF(J219="word pairs",4,IF(J219="word triads",4,IF(J219="generated words",4,IF(J219="word definition pairs",4,IF(J219="math problems",4,IF(J219="famous faces",4,IF(J219="famous names",4,IF(J219="famous voices",4,IF(J219="television programs",4,IF(J219="race horses",4,IF(J219="new vocabulary",4,IF(J219="sentences",5,IF(J219="concepts",5,IF(J219="ad slides",5,IF(J219="scenes",5,IF(J219="famous scenes",5,IF(J219="poems",6,IF(J219="walk",6,IF(J219="faces and events",6,IF(J219="events and names",6,IF(J219="flashbulb",7,IF(J219="stories",7,IF(J219="course material",7,IF(J219="autobiographical",7,IF(J219="novels",7,IF(J219="public events",7,"99"))))))))))))))))))))))))))))))))))))))))))))))</f>
        <v>7</v>
      </c>
      <c r="M219" s="60">
        <v>0</v>
      </c>
      <c r="N219" s="61">
        <v>3</v>
      </c>
      <c r="O219" s="60">
        <v>0</v>
      </c>
      <c r="P219" s="60"/>
      <c r="Q219" s="60" t="s">
        <v>174</v>
      </c>
      <c r="R219" s="60">
        <f>IF(Q219="Free Recall",1,IF(Q219="Cued Recall",2,IF(Q219="Recognition",3,IF(Q219="Multiple Choice",4,IF(Q219="Savings",5,IF(Q219="Stem Completion",6,IF(Q219="Fragment Completion",7,IF(Q219="anagram solution",8,IF(Q219="Matching",9,IF(Q219="Problem Solving",10,"99"))))))))))</f>
        <v>1</v>
      </c>
      <c r="S219" s="60" t="s">
        <v>15</v>
      </c>
      <c r="T219" s="59" t="s">
        <v>581</v>
      </c>
      <c r="U219" s="60">
        <f>IF(T219="within",1,0)</f>
        <v>1</v>
      </c>
      <c r="V219" s="59">
        <v>40</v>
      </c>
      <c r="W219" s="60">
        <f>F219*V219</f>
        <v>440</v>
      </c>
      <c r="X219" s="60">
        <v>4</v>
      </c>
      <c r="Y219" s="76">
        <f>AV218</f>
        <v>10800</v>
      </c>
      <c r="Z219" s="60" t="s">
        <v>165</v>
      </c>
      <c r="AA219" s="60">
        <f>60*60*24*7*3</f>
        <v>1814400</v>
      </c>
      <c r="AB219" s="60" t="str">
        <f>IF(AA219&lt;60,"1",IF(AA219&lt;=43200,"2",IF(AA219&lt;=777600,"3","4")))</f>
        <v>4</v>
      </c>
      <c r="AC219" s="56">
        <f>AVERAGE(AV218:DA218)</f>
        <v>629100</v>
      </c>
      <c r="AD219" s="60" t="str">
        <f>IF(AC219&lt;60,"1",IF(AC219&lt;=43200,"2",IF(AC219&lt;=777600,"3","4")))</f>
        <v>3</v>
      </c>
      <c r="AE219" s="76">
        <f>AA219-Y219</f>
        <v>1803600</v>
      </c>
      <c r="AF219" s="80">
        <f>AV219</f>
        <v>0.83031927876254696</v>
      </c>
      <c r="AG219" s="58">
        <f>((AW219-AV219)+(AX219-AW219)+(AY219-AX219))/3</f>
        <v>-2.672548585898667E-2</v>
      </c>
      <c r="AH219" s="4"/>
      <c r="AI219" s="56">
        <f>RSQ(AV219:AY219,AV218:AY218)</f>
        <v>0.86048333934124466</v>
      </c>
      <c r="AJ219" s="109">
        <f>SLOPE(AV219:AY219,AV218:AY218)</f>
        <v>-5.5278610017150303E-8</v>
      </c>
      <c r="AK219" s="56">
        <f>INTERCEPT(AV219:AY219,AV218:AY218)</f>
        <v>0.84818289784100909</v>
      </c>
      <c r="AL219" s="56">
        <f>INDEX(LINEST(LN(AV219:AY219),LN(AV218:AY218),TRUE,TRUE),3,1)</f>
        <v>0.53974398262131162</v>
      </c>
      <c r="AM219" s="56">
        <f>INDEX(LINEST(LN(AV219:AY219),LN(AV218:AY218)),1)</f>
        <v>-2.0057967977810107E-2</v>
      </c>
      <c r="AN219" s="56">
        <f>EXP(INDEX(LINEST(LN(AV219:AY219),LN(AV218:AY218)),1,2))</f>
        <v>1.03526133060083</v>
      </c>
      <c r="AO219" s="82">
        <f>INDEX(LINEST((AV219:AY219),LN(AV218:AY218),TRUE,TRUE),3,1)</f>
        <v>0.53060755857755748</v>
      </c>
      <c r="AP219" s="82">
        <f>INDEX(LINEST((AV219:AY219),LN(AV218:AY218)),1)</f>
        <v>-1.6034419735631921E-2</v>
      </c>
      <c r="AQ219" s="83">
        <f>INDEX(LINEST(LN(AV219:AY219),SQRT(AV218:AY218),TRUE,TRUE),3,1)</f>
        <v>0.81213564137798999</v>
      </c>
      <c r="AR219" s="116">
        <f>INDEX(LINEST(LN(AV219:AY219),SQRT((AV218:AY218))),1)</f>
        <v>-9.9906549052019523E-5</v>
      </c>
      <c r="AS219" s="84">
        <f>INDEX(LINEST(1/(AV219:AY219),1/(SQRT(AV218:AY218)),TRUE,TRUE),3,1)</f>
        <v>0.2470703199944598</v>
      </c>
      <c r="AT219" s="84">
        <f>INDEX(LINEST(1/(AV219:AY219),1/SQRT(AV218:AY218)),1)</f>
        <v>-9.3457051588124678</v>
      </c>
      <c r="AU219" s="3"/>
      <c r="AV219" s="53">
        <v>0.83031927876254696</v>
      </c>
      <c r="AW219" s="53">
        <v>0.86845882783659212</v>
      </c>
      <c r="AX219" s="53">
        <v>0.80470756933215304</v>
      </c>
      <c r="AY219" s="53">
        <v>0.75014282118558695</v>
      </c>
      <c r="AZ219" s="53"/>
      <c r="BA219" s="53"/>
      <c r="BB219" s="53"/>
      <c r="BC219" s="53"/>
      <c r="BD219" s="53"/>
      <c r="BE219" s="53"/>
      <c r="BF219" s="53"/>
      <c r="BG219" s="53"/>
      <c r="BH219" s="53"/>
      <c r="BI219" s="53"/>
      <c r="BJ219" s="53"/>
      <c r="BK219" s="53"/>
      <c r="BL219" s="53"/>
      <c r="BM219" s="53"/>
      <c r="BN219" s="53"/>
      <c r="BO219" s="53"/>
      <c r="BP219" s="53"/>
      <c r="BQ219" s="53"/>
      <c r="BR219" s="53"/>
      <c r="BS219" s="53"/>
      <c r="BT219" s="53"/>
      <c r="BU219" s="53"/>
      <c r="BV219" s="53"/>
      <c r="BW219" s="53"/>
      <c r="BX219" s="53"/>
      <c r="BY219" s="53"/>
      <c r="BZ219" s="53"/>
      <c r="CA219" s="53"/>
      <c r="CB219" s="53"/>
      <c r="CC219" s="53"/>
      <c r="CD219" s="53"/>
      <c r="CE219" s="53"/>
      <c r="CF219" s="53"/>
      <c r="CG219" s="53"/>
      <c r="CH219" s="53"/>
      <c r="CI219" s="53"/>
      <c r="CJ219" s="53"/>
      <c r="CK219" s="53"/>
      <c r="CL219" s="53"/>
      <c r="CM219" s="53"/>
      <c r="CN219" s="53"/>
      <c r="CO219" s="53"/>
      <c r="CP219" s="53"/>
      <c r="CQ219" s="53"/>
      <c r="CR219" s="16"/>
      <c r="CS219" s="16"/>
      <c r="CT219" s="16"/>
      <c r="CU219" s="16"/>
    </row>
    <row r="220" spans="1:133" s="13" customFormat="1" ht="12" customHeight="1" x14ac:dyDescent="0.2">
      <c r="A220" s="68">
        <v>43509</v>
      </c>
      <c r="B220" s="70"/>
      <c r="C220" s="70"/>
      <c r="D220" s="69"/>
      <c r="E220" s="87"/>
      <c r="F220" s="69"/>
      <c r="G220" s="69"/>
      <c r="H220" s="69"/>
      <c r="I220" s="69"/>
      <c r="J220" s="69"/>
      <c r="K220" s="107"/>
      <c r="L220" s="107"/>
      <c r="M220" s="69"/>
      <c r="N220" s="69"/>
      <c r="O220" s="69"/>
      <c r="P220" s="69"/>
      <c r="Q220" s="69"/>
      <c r="R220" s="69"/>
      <c r="S220" s="69"/>
      <c r="T220" s="69"/>
      <c r="U220" s="60"/>
      <c r="V220" s="69"/>
      <c r="W220" s="69"/>
      <c r="X220" s="69"/>
      <c r="Y220" s="87"/>
      <c r="Z220" s="69"/>
      <c r="AA220" s="69"/>
      <c r="AB220" s="69"/>
      <c r="AC220" s="69"/>
      <c r="AD220" s="69"/>
      <c r="AE220" s="69"/>
      <c r="AF220" s="88"/>
      <c r="AG220" s="72"/>
      <c r="AH220" s="4"/>
      <c r="AI220" s="72"/>
      <c r="AJ220" s="110"/>
      <c r="AK220" s="72"/>
      <c r="AL220" s="72"/>
      <c r="AM220" s="72"/>
      <c r="AN220" s="72"/>
      <c r="AO220" s="72"/>
      <c r="AP220" s="72"/>
      <c r="AQ220" s="72"/>
      <c r="AR220" s="110"/>
      <c r="AS220" s="72"/>
      <c r="AT220" s="72"/>
      <c r="AU220" s="4"/>
      <c r="AV220" s="71">
        <v>40</v>
      </c>
      <c r="AW220" s="71">
        <f>24*3600</f>
        <v>86400</v>
      </c>
      <c r="AX220" s="71">
        <f>7*24*3600*1</f>
        <v>604800</v>
      </c>
      <c r="AY220" s="71">
        <f>7*24*3600*6</f>
        <v>3628800</v>
      </c>
      <c r="AZ220" s="53"/>
      <c r="BA220" s="53"/>
      <c r="BB220" s="53"/>
      <c r="BC220" s="53"/>
      <c r="BD220" s="53"/>
      <c r="BE220" s="53"/>
      <c r="BF220" s="53"/>
      <c r="BG220" s="53"/>
      <c r="BH220" s="53"/>
      <c r="BI220" s="53"/>
      <c r="BJ220" s="53"/>
      <c r="BK220" s="53"/>
      <c r="BL220" s="53"/>
      <c r="BM220" s="53"/>
      <c r="BN220" s="53"/>
      <c r="BO220" s="53"/>
      <c r="BP220" s="53"/>
      <c r="BQ220" s="53"/>
      <c r="BR220" s="53"/>
      <c r="BS220" s="53"/>
      <c r="BT220" s="53"/>
      <c r="BU220" s="53"/>
      <c r="BV220" s="53"/>
      <c r="BW220" s="53"/>
      <c r="BX220" s="53"/>
      <c r="BY220" s="53"/>
      <c r="BZ220" s="53"/>
      <c r="CA220" s="53"/>
      <c r="CB220" s="53"/>
      <c r="CC220" s="53"/>
      <c r="CD220" s="53"/>
      <c r="CE220" s="53"/>
      <c r="CF220" s="53"/>
      <c r="CG220" s="53"/>
      <c r="CH220" s="53"/>
      <c r="CI220" s="53"/>
      <c r="CJ220" s="53"/>
      <c r="CK220" s="53"/>
      <c r="CL220" s="53"/>
      <c r="CM220" s="53"/>
      <c r="CN220" s="53"/>
      <c r="CO220" s="53"/>
      <c r="CP220" s="53"/>
      <c r="CQ220" s="53"/>
      <c r="CR220" s="1"/>
      <c r="CS220" s="1"/>
      <c r="CT220" s="1"/>
      <c r="CU220" s="1"/>
    </row>
    <row r="221" spans="1:133" s="13" customFormat="1" ht="12" customHeight="1" x14ac:dyDescent="0.2">
      <c r="A221" s="68">
        <v>43509</v>
      </c>
      <c r="B221" s="70" t="s">
        <v>158</v>
      </c>
      <c r="C221" s="70" t="s">
        <v>159</v>
      </c>
      <c r="D221" s="69">
        <v>2016</v>
      </c>
      <c r="E221" s="87">
        <v>1</v>
      </c>
      <c r="F221" s="69">
        <v>95</v>
      </c>
      <c r="G221" s="69">
        <v>23.8</v>
      </c>
      <c r="H221" s="69" t="s">
        <v>746</v>
      </c>
      <c r="I221" s="69" t="s">
        <v>743</v>
      </c>
      <c r="J221" s="69" t="s">
        <v>317</v>
      </c>
      <c r="K221" s="69">
        <f>IF(J221="syllables",1,IF(J221="trigrams",2,IF(J221="strings",3,IF(J221="visual array",4,IF(J221="characters",5,IF(J221="letters",6,IF(J221="free forms",7,IF(J221="odors",8,IF(J221="words",9,IF(J221="pictures",10,IF(J221="object pictures",11,IF(J221="faces",12,IF(J221="names",13,IF(J221="idioms",14,IF(J221="grades",15,IF(J221="syllable-digit pairs",16,IF(J221="trigram-word pairs",17,IF(J221="word-digit pairs",18,IF(J221="English-Swahili pairs",19,IF(J221="spatial position",20,IF(J221="word pairs",21,IF(J221="word triads",22,IF(J221="generated words",23,IF(J221="word definition pairs",24,IF(J221="math problems",25,IF(J221="famous faces",26,IF(J221="famous names",27,IF(J221="famous voices",28,IF(J221="television programs",29,IF(J221="race horses",30,IF(J221="new vocabulary",31,IF(J221="sentences",32,IF(J221="concepts",33,IF(J221="ad slides",34,IF(J221="scenes",35,IF(J221="famous scenes",36,IF(J221="poems",37,IF(J221="walk",38,IF(J221="faces and events",39,IF(J221="events and names",40,IF(J221="flashbulb",41,IF(J221="stories",42,IF(J221="course material",43,IF(J221="autobiographical",44,IF(J221="novels",45,IF(J221="public events",46,"99"))))))))))))))))))))))))))))))))))))))))))))))</f>
        <v>7</v>
      </c>
      <c r="L221" s="69">
        <f>IF(J221="syllables",1,IF(J221="trigrams",1,IF(J221="strings",1,IF(J221="visual array",1,IF(J221="characters",1,IF(J221="letters",1,IF(J221="free forms",1,IF(J221="odors",2,IF(J221="words",2,IF(J221="pictures",2,IF(J221="object pictures",2,IF(J221="faces",2,IF(J221="names",2,IF(J221="idioms","2",IF(J221="grades",2,IF(J221="syllable-digit pairs",3,IF(J221="trigram-word pairs",3,IF(J221="word-digit pairs",3,IF(J221="English-Swahili pairs",3,IF(J221="spatial position",3,IF(J221="word pairs",4,IF(J221="word triads",4,IF(J221="generated words",4,IF(J221="word definition pairs",4,IF(J221="math problems",4,IF(J221="famous faces",4,IF(J221="famous names",4,IF(J221="famous voices",4,IF(J221="television programs",4,IF(J221="race horses",4,IF(J221="new vocabulary",4,IF(J221="sentences",5,IF(J221="concepts",5,IF(J221="ad slides",5,IF(J221="scenes",5,IF(J221="famous scenes",5,IF(J221="poems",6,IF(J221="walk",6,IF(J221="faces and events",6,IF(J221="events and names",6,IF(J221="flashbulb",7,IF(J221="stories",7,IF(J221="course material",7,IF(J221="autobiographical",7,IF(J221="novels",7,IF(J221="public events",7,"99"))))))))))))))))))))))))))))))))))))))))))))))</f>
        <v>1</v>
      </c>
      <c r="M221" s="69">
        <v>0</v>
      </c>
      <c r="N221" s="69">
        <v>1</v>
      </c>
      <c r="O221" s="69">
        <v>0</v>
      </c>
      <c r="P221" s="69"/>
      <c r="Q221" s="69" t="s">
        <v>34</v>
      </c>
      <c r="R221" s="69">
        <f>IF(Q221="Free Recall",1,IF(Q221="Cued Recall",2,IF(Q221="Recognition",3,IF(Q221="Multiple Choice",4,IF(Q221="Savings",5,IF(Q221="Stem Completion",6,IF(Q221="Fragment Completion",7,IF(Q221="anagram solution",8,IF(Q221="Matching",9,IF(Q221="Problem Solving",10,"99"))))))))))</f>
        <v>3</v>
      </c>
      <c r="S221" s="99" t="s">
        <v>15</v>
      </c>
      <c r="T221" s="69" t="s">
        <v>261</v>
      </c>
      <c r="U221" s="60">
        <f>IF(T221="within",1,0)</f>
        <v>0</v>
      </c>
      <c r="V221" s="69">
        <v>40</v>
      </c>
      <c r="W221" s="69">
        <f>F221*V221</f>
        <v>3800</v>
      </c>
      <c r="X221" s="69">
        <v>4</v>
      </c>
      <c r="Y221" s="87">
        <f>AV220</f>
        <v>40</v>
      </c>
      <c r="Z221" s="69" t="s">
        <v>160</v>
      </c>
      <c r="AA221" s="69">
        <v>3628800</v>
      </c>
      <c r="AB221" s="69" t="str">
        <f>IF(AA221&lt;60,"1",IF(AA221&lt;=43200,"2",IF(AA221&lt;=777600,"3","4")))</f>
        <v>4</v>
      </c>
      <c r="AC221" s="72">
        <f>AVERAGE(AV220:DA220)</f>
        <v>1080010</v>
      </c>
      <c r="AD221" s="69" t="str">
        <f>IF(AC221&lt;60,"1",IF(AC221&lt;=43200,"2",IF(AC221&lt;=777600,"3","4")))</f>
        <v>4</v>
      </c>
      <c r="AE221" s="87">
        <f>AA221-Y221</f>
        <v>3628760</v>
      </c>
      <c r="AF221" s="88">
        <f>AV221</f>
        <v>0.66249999999999998</v>
      </c>
      <c r="AG221" s="72">
        <f>((AW221-AV221)+(AX221-AW221)+(AY221-AX221))/3</f>
        <v>-3.2246376811594181E-2</v>
      </c>
      <c r="AH221" s="4"/>
      <c r="AI221" s="72">
        <f>RSQ(AV221:AY221,AV220:AY220)</f>
        <v>0.73649351990294543</v>
      </c>
      <c r="AJ221" s="110">
        <f>SLOPE(AV221:AY221,AV220:AY220)</f>
        <v>-2.3685828246347442E-8</v>
      </c>
      <c r="AK221" s="72">
        <f>INTERCEPT(AV221:AY221,AV220:AY220)</f>
        <v>0.64605760708897531</v>
      </c>
      <c r="AL221" s="72">
        <f>INDEX(LINEST(LN(AV221:AY221),LN(AV220:AY220),TRUE,TRUE),3,1)</f>
        <v>0.64188401333215428</v>
      </c>
      <c r="AM221" s="72">
        <f>INDEX(LINEST(LN(AV221:AY221),LN(AV220:AY220)),1)</f>
        <v>-1.230302890150585E-2</v>
      </c>
      <c r="AN221" s="72">
        <f>EXP(INDEX(LINEST(LN(AV221:AY221),LN(AV220:AY220)),1,2))</f>
        <v>0.70767127056120571</v>
      </c>
      <c r="AO221" s="89">
        <f>INDEX(LINEST((AV221:AY221),LN(AV220:AY220),TRUE,TRUE),3,1)</f>
        <v>0.64614149232424745</v>
      </c>
      <c r="AP221" s="89">
        <f>INDEX(LINEST((AV221:AY221),LN(AV220:AY220)),1)</f>
        <v>-7.5960535534413077E-3</v>
      </c>
      <c r="AQ221" s="90">
        <f>INDEX(LINEST(LN(AV221:AY221),SQRT(AV220:AY220),TRUE,TRUE),3,1)</f>
        <v>0.89666964591064413</v>
      </c>
      <c r="AR221" s="117">
        <f>INDEX(LINEST(LN(AV221:AY221),SQRT((AV220:AY220))),1)</f>
        <v>-8.7402822721113283E-5</v>
      </c>
      <c r="AS221" s="91">
        <f>INDEX(LINEST(1/(AV221:AY221),1/(SQRT(AV220:AY220)),TRUE,TRUE),3,1)</f>
        <v>0.35195629180485566</v>
      </c>
      <c r="AT221" s="91">
        <f>INDEX(LINEST(1/(AV221:AY221),1/SQRT(AV220:AY220)),1)</f>
        <v>-0.95311230422845017</v>
      </c>
      <c r="AU221" s="3"/>
      <c r="AV221" s="73">
        <v>0.66249999999999998</v>
      </c>
      <c r="AW221" s="73">
        <v>0.65781249999999991</v>
      </c>
      <c r="AX221" s="73">
        <v>0.59583333333333333</v>
      </c>
      <c r="AY221" s="73">
        <v>0.56576086956521743</v>
      </c>
      <c r="AZ221" s="53"/>
      <c r="BA221" s="53"/>
      <c r="BB221" s="53"/>
      <c r="BC221" s="53"/>
      <c r="BD221" s="53"/>
      <c r="BE221" s="53"/>
      <c r="BF221" s="53"/>
      <c r="BG221" s="53"/>
      <c r="BH221" s="53"/>
      <c r="BI221" s="53"/>
      <c r="BJ221" s="53"/>
      <c r="BK221" s="53"/>
      <c r="BL221" s="53"/>
      <c r="BM221" s="53"/>
      <c r="BN221" s="53"/>
      <c r="BO221" s="53"/>
      <c r="BP221" s="53"/>
      <c r="BQ221" s="53"/>
      <c r="BR221" s="53"/>
      <c r="BS221" s="53"/>
      <c r="BT221" s="53"/>
      <c r="BU221" s="53"/>
      <c r="BV221" s="53"/>
      <c r="BW221" s="53"/>
      <c r="BX221" s="53"/>
      <c r="BY221" s="53"/>
      <c r="BZ221" s="53"/>
      <c r="CA221" s="53"/>
      <c r="CB221" s="53"/>
      <c r="CC221" s="53"/>
      <c r="CD221" s="53"/>
      <c r="CE221" s="53"/>
      <c r="CF221" s="53"/>
      <c r="CG221" s="53"/>
      <c r="CH221" s="53"/>
      <c r="CI221" s="53"/>
      <c r="CJ221" s="53"/>
      <c r="CK221" s="53"/>
      <c r="CL221" s="53"/>
      <c r="CM221" s="53"/>
      <c r="CN221" s="53"/>
      <c r="CO221" s="53"/>
      <c r="CP221" s="53"/>
      <c r="CQ221" s="53"/>
      <c r="CR221" s="1"/>
      <c r="CS221" s="1"/>
      <c r="CT221" s="1"/>
      <c r="CU221" s="1"/>
    </row>
    <row r="222" spans="1:133" s="13" customFormat="1" ht="12" customHeight="1" x14ac:dyDescent="0.2">
      <c r="A222" s="68">
        <v>43509</v>
      </c>
      <c r="B222" s="70"/>
      <c r="C222" s="70"/>
      <c r="D222" s="69"/>
      <c r="E222" s="87"/>
      <c r="F222" s="69"/>
      <c r="G222" s="69"/>
      <c r="H222" s="69"/>
      <c r="I222" s="69"/>
      <c r="J222" s="69"/>
      <c r="K222" s="107"/>
      <c r="L222" s="107"/>
      <c r="M222" s="69"/>
      <c r="N222" s="69"/>
      <c r="O222" s="69"/>
      <c r="P222" s="69"/>
      <c r="Q222" s="69"/>
      <c r="R222" s="69"/>
      <c r="S222" s="69"/>
      <c r="T222" s="69"/>
      <c r="U222" s="60"/>
      <c r="V222" s="69"/>
      <c r="W222" s="69"/>
      <c r="X222" s="69"/>
      <c r="Y222" s="87"/>
      <c r="Z222" s="69"/>
      <c r="AA222" s="69"/>
      <c r="AB222" s="69"/>
      <c r="AC222" s="69"/>
      <c r="AD222" s="69"/>
      <c r="AE222" s="69"/>
      <c r="AF222" s="88"/>
      <c r="AG222" s="72"/>
      <c r="AH222" s="4"/>
      <c r="AI222" s="72"/>
      <c r="AJ222" s="110"/>
      <c r="AK222" s="72"/>
      <c r="AL222" s="72"/>
      <c r="AM222" s="72"/>
      <c r="AN222" s="72"/>
      <c r="AO222" s="72"/>
      <c r="AP222" s="72"/>
      <c r="AQ222" s="72"/>
      <c r="AR222" s="110"/>
      <c r="AS222" s="72"/>
      <c r="AT222" s="72"/>
      <c r="AU222" s="4"/>
      <c r="AV222" s="71">
        <v>40</v>
      </c>
      <c r="AW222" s="71">
        <f>24*3600</f>
        <v>86400</v>
      </c>
      <c r="AX222" s="71">
        <f>7*24*3600*1</f>
        <v>604800</v>
      </c>
      <c r="AY222" s="71">
        <f>7*24*3600*6</f>
        <v>3628800</v>
      </c>
      <c r="AZ222" s="53"/>
      <c r="BA222" s="53"/>
      <c r="BB222" s="53"/>
      <c r="BC222" s="53"/>
      <c r="BD222" s="53"/>
      <c r="BE222" s="53"/>
      <c r="BF222" s="53"/>
      <c r="BG222" s="53"/>
      <c r="BH222" s="53"/>
      <c r="BI222" s="53"/>
      <c r="BJ222" s="53"/>
      <c r="BK222" s="53"/>
      <c r="BL222" s="53"/>
      <c r="BM222" s="53"/>
      <c r="BN222" s="53"/>
      <c r="BO222" s="53"/>
      <c r="BP222" s="53"/>
      <c r="BQ222" s="53"/>
      <c r="BR222" s="53"/>
      <c r="BS222" s="53"/>
      <c r="BT222" s="53"/>
      <c r="BU222" s="53"/>
      <c r="BV222" s="53"/>
      <c r="BW222" s="53"/>
      <c r="BX222" s="53"/>
      <c r="BY222" s="53"/>
      <c r="BZ222" s="53"/>
      <c r="CA222" s="53"/>
      <c r="CB222" s="53"/>
      <c r="CC222" s="53"/>
      <c r="CD222" s="53"/>
      <c r="CE222" s="53"/>
      <c r="CF222" s="53"/>
      <c r="CG222" s="53"/>
      <c r="CH222" s="53"/>
      <c r="CI222" s="53"/>
      <c r="CJ222" s="53"/>
      <c r="CK222" s="53"/>
      <c r="CL222" s="53"/>
      <c r="CM222" s="53"/>
      <c r="CN222" s="53"/>
      <c r="CO222" s="53"/>
      <c r="CP222" s="53"/>
      <c r="CQ222" s="53"/>
      <c r="CR222" s="1"/>
      <c r="CS222" s="1"/>
      <c r="CT222" s="1"/>
      <c r="CU222" s="1"/>
    </row>
    <row r="223" spans="1:133" s="13" customFormat="1" ht="12" customHeight="1" x14ac:dyDescent="0.2">
      <c r="A223" s="68">
        <v>43509</v>
      </c>
      <c r="B223" s="70" t="s">
        <v>158</v>
      </c>
      <c r="C223" s="70" t="s">
        <v>159</v>
      </c>
      <c r="D223" s="69">
        <v>2016</v>
      </c>
      <c r="E223" s="87">
        <v>1</v>
      </c>
      <c r="F223" s="69">
        <v>95</v>
      </c>
      <c r="G223" s="69">
        <v>23.8</v>
      </c>
      <c r="H223" s="69" t="s">
        <v>746</v>
      </c>
      <c r="I223" s="69" t="s">
        <v>745</v>
      </c>
      <c r="J223" s="69" t="s">
        <v>317</v>
      </c>
      <c r="K223" s="69">
        <f>IF(J223="syllables",1,IF(J223="trigrams",2,IF(J223="strings",3,IF(J223="visual array",4,IF(J223="characters",5,IF(J223="letters",6,IF(J223="free forms",7,IF(J223="odors",8,IF(J223="words",9,IF(J223="pictures",10,IF(J223="object pictures",11,IF(J223="faces",12,IF(J223="names",13,IF(J223="idioms",14,IF(J223="grades",15,IF(J223="syllable-digit pairs",16,IF(J223="trigram-word pairs",17,IF(J223="word-digit pairs",18,IF(J223="English-Swahili pairs",19,IF(J223="spatial position",20,IF(J223="word pairs",21,IF(J223="word triads",22,IF(J223="generated words",23,IF(J223="word definition pairs",24,IF(J223="math problems",25,IF(J223="famous faces",26,IF(J223="famous names",27,IF(J223="famous voices",28,IF(J223="television programs",29,IF(J223="race horses",30,IF(J223="new vocabulary",31,IF(J223="sentences",32,IF(J223="concepts",33,IF(J223="ad slides",34,IF(J223="scenes",35,IF(J223="famous scenes",36,IF(J223="poems",37,IF(J223="walk",38,IF(J223="faces and events",39,IF(J223="events and names",40,IF(J223="flashbulb",41,IF(J223="stories",42,IF(J223="course material",43,IF(J223="autobiographical",44,IF(J223="novels",45,IF(J223="public events",46,"99"))))))))))))))))))))))))))))))))))))))))))))))</f>
        <v>7</v>
      </c>
      <c r="L223" s="69">
        <f>IF(J223="syllables",1,IF(J223="trigrams",1,IF(J223="strings",1,IF(J223="visual array",1,IF(J223="characters",1,IF(J223="letters",1,IF(J223="free forms",1,IF(J223="odors",2,IF(J223="words",2,IF(J223="pictures",2,IF(J223="object pictures",2,IF(J223="faces",2,IF(J223="names",2,IF(J223="idioms","2",IF(J223="grades",2,IF(J223="syllable-digit pairs",3,IF(J223="trigram-word pairs",3,IF(J223="word-digit pairs",3,IF(J223="English-Swahili pairs",3,IF(J223="spatial position",3,IF(J223="word pairs",4,IF(J223="word triads",4,IF(J223="generated words",4,IF(J223="word definition pairs",4,IF(J223="math problems",4,IF(J223="famous faces",4,IF(J223="famous names",4,IF(J223="famous voices",4,IF(J223="television programs",4,IF(J223="race horses",4,IF(J223="new vocabulary",4,IF(J223="sentences",5,IF(J223="concepts",5,IF(J223="ad slides",5,IF(J223="scenes",5,IF(J223="famous scenes",5,IF(J223="poems",6,IF(J223="walk",6,IF(J223="faces and events",6,IF(J223="events and names",6,IF(J223="flashbulb",7,IF(J223="stories",7,IF(J223="course material",7,IF(J223="autobiographical",7,IF(J223="novels",7,IF(J223="public events",7,"99"))))))))))))))))))))))))))))))))))))))))))))))</f>
        <v>1</v>
      </c>
      <c r="M223" s="69">
        <v>0</v>
      </c>
      <c r="N223" s="69">
        <v>1</v>
      </c>
      <c r="O223" s="69">
        <v>0</v>
      </c>
      <c r="P223" s="69"/>
      <c r="Q223" s="69" t="s">
        <v>34</v>
      </c>
      <c r="R223" s="69">
        <f>IF(Q223="Free Recall",1,IF(Q223="Cued Recall",2,IF(Q223="Recognition",3,IF(Q223="Multiple Choice",4,IF(Q223="Savings",5,IF(Q223="Stem Completion",6,IF(Q223="Fragment Completion",7,IF(Q223="anagram solution",8,IF(Q223="Matching",9,IF(Q223="Problem Solving",10,"99"))))))))))</f>
        <v>3</v>
      </c>
      <c r="S223" s="99" t="s">
        <v>15</v>
      </c>
      <c r="T223" s="69" t="s">
        <v>261</v>
      </c>
      <c r="U223" s="60">
        <f>IF(T223="within",1,0)</f>
        <v>0</v>
      </c>
      <c r="V223" s="69">
        <v>40</v>
      </c>
      <c r="W223" s="69">
        <f>F223*V223</f>
        <v>3800</v>
      </c>
      <c r="X223" s="69">
        <v>4</v>
      </c>
      <c r="Y223" s="87">
        <f>AV222</f>
        <v>40</v>
      </c>
      <c r="Z223" s="69" t="s">
        <v>160</v>
      </c>
      <c r="AA223" s="69">
        <v>3628800</v>
      </c>
      <c r="AB223" s="69" t="str">
        <f>IF(AA223&lt;60,"1",IF(AA223&lt;=43200,"2",IF(AA223&lt;=777600,"3","4")))</f>
        <v>4</v>
      </c>
      <c r="AC223" s="72">
        <f>AVERAGE(AV222:DA222)</f>
        <v>1080010</v>
      </c>
      <c r="AD223" s="69" t="str">
        <f>IF(AC223&lt;60,"1",IF(AC223&lt;=43200,"2",IF(AC223&lt;=777600,"3","4")))</f>
        <v>4</v>
      </c>
      <c r="AE223" s="87">
        <f>AA223-Y223</f>
        <v>3628760</v>
      </c>
      <c r="AF223" s="88">
        <f>AV223</f>
        <v>0.57291666666666663</v>
      </c>
      <c r="AG223" s="72">
        <f>((AW223-AV223)+(AX223-AW223)+(AY223-AX223))/3</f>
        <v>-2.2675120772946828E-2</v>
      </c>
      <c r="AH223" s="4"/>
      <c r="AI223" s="72">
        <f>RSQ(AV223:AY223,AV222:AY222)</f>
        <v>0.9750498521009765</v>
      </c>
      <c r="AJ223" s="110">
        <f>SLOPE(AV223:AY223,AV222:AY222)</f>
        <v>-1.7194550050794433E-8</v>
      </c>
      <c r="AK223" s="72">
        <f>INTERCEPT(AV223:AY223,AV222:AY222)</f>
        <v>0.56653790375398172</v>
      </c>
      <c r="AL223" s="72">
        <f>INDEX(LINEST(LN(AV223:AY223),LN(AV222:AY222),TRUE,TRUE),3,1)</f>
        <v>0.56924262318449947</v>
      </c>
      <c r="AM223" s="72">
        <f>INDEX(LINEST(LN(AV223:AY223),LN(AV222:AY222)),1)</f>
        <v>-8.3950381219197508E-3</v>
      </c>
      <c r="AN223" s="72">
        <f>EXP(INDEX(LINEST(LN(AV223:AY223),LN(AV222:AY222)),1,2))</f>
        <v>0.59962263968254925</v>
      </c>
      <c r="AO223" s="89">
        <f>INDEX(LINEST((AV223:AY223),LN(AV222:AY222),TRUE,TRUE),3,1)</f>
        <v>0.58261774704848646</v>
      </c>
      <c r="AP223" s="89">
        <f>INDEX(LINEST((AV223:AY223),LN(AV222:AY222)),1)</f>
        <v>-4.5508167927658678E-3</v>
      </c>
      <c r="AQ223" s="90">
        <f>INDEX(LINEST(LN(AV223:AY223),SQRT(AV222:AY222),TRUE,TRUE),3,1)</f>
        <v>0.98352791412183782</v>
      </c>
      <c r="AR223" s="117">
        <f>INDEX(LINEST(LN(AV223:AY223),SQRT((AV222:AY222))),1)</f>
        <v>-6.6327369242836682E-5</v>
      </c>
      <c r="AS223" s="91">
        <f>INDEX(LINEST(1/(AV223:AY223),1/(SQRT(AV222:AY222)),TRUE,TRUE),3,1)</f>
        <v>0.29697170337563644</v>
      </c>
      <c r="AT223" s="91">
        <f>INDEX(LINEST(1/(AV223:AY223),1/SQRT(AV222:AY222)),1)</f>
        <v>-0.72801700715031115</v>
      </c>
      <c r="AU223" s="3"/>
      <c r="AV223" s="73">
        <v>0.57291666666666663</v>
      </c>
      <c r="AW223" s="73">
        <v>0.5619791666666667</v>
      </c>
      <c r="AX223" s="73">
        <v>0.55208333333333337</v>
      </c>
      <c r="AY223" s="73">
        <v>0.50489130434782614</v>
      </c>
      <c r="AZ223" s="53"/>
      <c r="BA223" s="53"/>
      <c r="BB223" s="53"/>
      <c r="BC223" s="53"/>
      <c r="BD223" s="53"/>
      <c r="BE223" s="53"/>
      <c r="BF223" s="53"/>
      <c r="BG223" s="53"/>
      <c r="BH223" s="53"/>
      <c r="BI223" s="53"/>
      <c r="BJ223" s="53"/>
      <c r="BK223" s="53"/>
      <c r="BL223" s="53"/>
      <c r="BM223" s="53"/>
      <c r="BN223" s="53"/>
      <c r="BO223" s="53"/>
      <c r="BP223" s="53"/>
      <c r="BQ223" s="53"/>
      <c r="BR223" s="53"/>
      <c r="BS223" s="53"/>
      <c r="BT223" s="53"/>
      <c r="BU223" s="53"/>
      <c r="BV223" s="53"/>
      <c r="BW223" s="53"/>
      <c r="BX223" s="53"/>
      <c r="BY223" s="53"/>
      <c r="BZ223" s="53"/>
      <c r="CA223" s="53"/>
      <c r="CB223" s="53"/>
      <c r="CC223" s="53"/>
      <c r="CD223" s="53"/>
      <c r="CE223" s="53"/>
      <c r="CF223" s="53"/>
      <c r="CG223" s="53"/>
      <c r="CH223" s="53"/>
      <c r="CI223" s="53"/>
      <c r="CJ223" s="53"/>
      <c r="CK223" s="53"/>
      <c r="CL223" s="53"/>
      <c r="CM223" s="53"/>
      <c r="CN223" s="53"/>
      <c r="CO223" s="53"/>
      <c r="CP223" s="53"/>
      <c r="CQ223" s="53"/>
      <c r="CR223" s="1"/>
      <c r="CS223" s="1"/>
      <c r="CT223" s="1"/>
      <c r="CU223" s="1"/>
    </row>
    <row r="224" spans="1:133" s="13" customFormat="1" ht="12" customHeight="1" x14ac:dyDescent="0.2">
      <c r="A224" s="65">
        <v>43903</v>
      </c>
      <c r="B224" s="1"/>
      <c r="C224" s="1"/>
      <c r="D224" s="60"/>
      <c r="E224" s="76"/>
      <c r="F224" s="60"/>
      <c r="G224" s="60"/>
      <c r="H224" s="60"/>
      <c r="I224" s="60"/>
      <c r="J224" s="60"/>
      <c r="K224" s="64"/>
      <c r="L224" s="64"/>
      <c r="M224" s="60"/>
      <c r="N224" s="61"/>
      <c r="O224" s="60"/>
      <c r="P224" s="60"/>
      <c r="Q224" s="60"/>
      <c r="R224" s="60"/>
      <c r="S224" s="60"/>
      <c r="T224" s="60"/>
      <c r="U224" s="60"/>
      <c r="V224" s="60"/>
      <c r="W224" s="60"/>
      <c r="X224" s="60"/>
      <c r="Y224" s="76"/>
      <c r="Z224" s="60"/>
      <c r="AA224" s="60"/>
      <c r="AB224" s="60"/>
      <c r="AC224" s="56"/>
      <c r="AD224" s="60"/>
      <c r="AE224" s="60"/>
      <c r="AF224" s="80"/>
      <c r="AG224" s="56"/>
      <c r="AH224" s="4"/>
      <c r="AI224" s="56"/>
      <c r="AJ224" s="109"/>
      <c r="AK224" s="56"/>
      <c r="AL224" s="56"/>
      <c r="AM224" s="56"/>
      <c r="AN224" s="56"/>
      <c r="AO224" s="82"/>
      <c r="AP224" s="82"/>
      <c r="AQ224" s="83"/>
      <c r="AR224" s="116"/>
      <c r="AS224" s="84"/>
      <c r="AT224" s="84"/>
      <c r="AU224" s="3"/>
      <c r="AV224" s="25">
        <f>(60*60*24)*7</f>
        <v>604800</v>
      </c>
      <c r="AW224" s="25">
        <f>((60*60*24)*7)*2</f>
        <v>1209600</v>
      </c>
      <c r="AX224" s="25">
        <f>((60*60*24)*7)*3</f>
        <v>1814400</v>
      </c>
      <c r="AY224" s="25">
        <f>((60*60*24)*7)*4</f>
        <v>2419200</v>
      </c>
      <c r="AZ224" s="25">
        <f>((60*60*24)*7)*5</f>
        <v>3024000</v>
      </c>
      <c r="BA224" s="25">
        <f>((60*60*24)*7)*6</f>
        <v>3628800</v>
      </c>
      <c r="BB224" s="25">
        <f>((60*60*24)*7)*7</f>
        <v>4233600</v>
      </c>
      <c r="BC224" s="25">
        <f>((60*60*24)*7)*8</f>
        <v>4838400</v>
      </c>
      <c r="BD224" s="25">
        <f>((60*60*24)*7)*9</f>
        <v>5443200</v>
      </c>
      <c r="BE224" s="25">
        <f>((60*60*24)*7)*10</f>
        <v>6048000</v>
      </c>
      <c r="BF224" s="25">
        <f>((60*60*24)*7)*11</f>
        <v>6652800</v>
      </c>
      <c r="BG224" s="25">
        <f>((60*60*24)*7)*12</f>
        <v>7257600</v>
      </c>
      <c r="BH224" s="25"/>
      <c r="BI224" s="25"/>
      <c r="BJ224" s="25"/>
      <c r="BK224" s="25"/>
      <c r="BL224" s="25"/>
      <c r="BM224" s="25"/>
      <c r="BN224" s="25"/>
      <c r="BO224" s="25"/>
      <c r="BP224" s="25"/>
      <c r="BQ224" s="25"/>
      <c r="BR224" s="25"/>
      <c r="BS224" s="25"/>
      <c r="BT224" s="25"/>
      <c r="BU224" s="25"/>
      <c r="BV224" s="25"/>
      <c r="BW224" s="25"/>
      <c r="BX224" s="25"/>
      <c r="BY224" s="25"/>
      <c r="BZ224" s="25"/>
      <c r="CA224" s="25"/>
      <c r="CB224" s="25"/>
      <c r="CC224" s="25"/>
      <c r="CD224" s="25"/>
      <c r="CE224" s="25"/>
      <c r="CF224" s="25"/>
      <c r="CG224" s="25"/>
      <c r="CH224" s="25"/>
      <c r="CI224" s="25"/>
      <c r="CJ224" s="25"/>
      <c r="CK224" s="25"/>
      <c r="CL224" s="25"/>
      <c r="CM224" s="25"/>
      <c r="CN224" s="25"/>
      <c r="CO224" s="25"/>
      <c r="CP224" s="25"/>
      <c r="CQ224" s="25"/>
      <c r="CR224" s="25"/>
      <c r="CS224" s="25"/>
      <c r="CT224" s="25"/>
      <c r="CU224" s="25"/>
      <c r="CV224" s="25"/>
      <c r="CW224" s="25"/>
      <c r="CX224" s="25"/>
      <c r="CY224" s="25"/>
      <c r="CZ224" s="25"/>
      <c r="DA224" s="25"/>
      <c r="DB224" s="25"/>
      <c r="DC224" s="25"/>
      <c r="DD224" s="25"/>
      <c r="DE224" s="25"/>
      <c r="DF224" s="25"/>
      <c r="DG224" s="25"/>
      <c r="DH224" s="25"/>
      <c r="DI224" s="25"/>
      <c r="DJ224" s="25"/>
      <c r="DK224" s="25"/>
      <c r="DL224" s="25"/>
      <c r="DM224" s="25"/>
      <c r="DN224" s="25"/>
      <c r="DO224" s="25"/>
      <c r="DP224" s="25"/>
      <c r="DQ224" s="25"/>
      <c r="DR224" s="25"/>
      <c r="DS224" s="25"/>
      <c r="DT224" s="25"/>
      <c r="DU224" s="25"/>
      <c r="DV224" s="25"/>
      <c r="DW224" s="25"/>
      <c r="DX224" s="25"/>
      <c r="DY224" s="25"/>
      <c r="DZ224" s="25"/>
      <c r="EA224" s="25"/>
      <c r="EB224" s="25"/>
      <c r="EC224" s="25"/>
    </row>
    <row r="225" spans="1:133" s="13" customFormat="1" ht="12" customHeight="1" x14ac:dyDescent="0.2">
      <c r="A225" s="65">
        <v>43903</v>
      </c>
      <c r="B225" s="1" t="s">
        <v>472</v>
      </c>
      <c r="C225" s="1" t="s">
        <v>262</v>
      </c>
      <c r="D225" s="60">
        <v>2020</v>
      </c>
      <c r="E225" s="76">
        <v>1</v>
      </c>
      <c r="F225" s="60">
        <v>13</v>
      </c>
      <c r="G225" s="60">
        <v>13</v>
      </c>
      <c r="H225" s="60" t="s">
        <v>747</v>
      </c>
      <c r="I225" s="60" t="s">
        <v>873</v>
      </c>
      <c r="J225" s="60" t="s">
        <v>622</v>
      </c>
      <c r="K225" s="60">
        <f>IF(J225="syllables",1,IF(J225="trigrams",2,IF(J225="strings",3,IF(J225="visual array",4,IF(J225="characters",5,IF(J225="letters",6,IF(J225="free forms",7,IF(J225="odors",8,IF(J225="words",9,IF(J225="pictures",10,IF(J225="object pictures",11,IF(J225="faces",12,IF(J225="names",13,IF(J225="idioms",14,IF(J225="grades",15,IF(J225="syllable-digit pairs",16,IF(J225="trigram-word pairs",17,IF(J225="word-digit pairs",18,IF(J225="English-Swahili pairs",19,IF(J225="spatial position",20,IF(J225="word pairs",21,IF(J225="word triads",22,IF(J225="generated words",23,IF(J225="word definition pairs",24,IF(J225="math problems",25,IF(J225="famous faces",26,IF(J225="famous names",27,IF(J225="famous voices",28,IF(J225="television programs",29,IF(J225="race horses",30,IF(J225="new vocabulary",31,IF(J225="sentences",32,IF(J225="concepts",33,IF(J225="ad slides",34,IF(J225="scenes",35,IF(J225="famous scenes",36,IF(J225="poems",37,IF(J225="walk",38,IF(J225="faces and events",39,IF(J225="events and names",40,IF(J225="flashbulb",41,IF(J225="stories",42,IF(J225="course material",43,IF(J225="autobiographical",44,IF(J225="novels",45,IF(J225="public events",46,"99"))))))))))))))))))))))))))))))))))))))))))))))</f>
        <v>44</v>
      </c>
      <c r="L225" s="60">
        <f>IF(J225="syllables",1,IF(J225="trigrams",1,IF(J225="strings",1,IF(J225="visual array",1,IF(J225="characters",1,IF(J225="letters",1,IF(J225="free forms",1,IF(J225="odors",2,IF(J225="words",2,IF(J225="pictures",2,IF(J225="object pictures",2,IF(J225="faces",2,IF(J225="names",2,IF(J225="idioms","2",IF(J225="grades",2,IF(J225="syllable-digit pairs",3,IF(J225="trigram-word pairs",3,IF(J225="word-digit pairs",3,IF(J225="English-Swahili pairs",3,IF(J225="spatial position",3,IF(J225="word pairs",4,IF(J225="word triads",4,IF(J225="generated words",4,IF(J225="word definition pairs",4,IF(J225="math problems",4,IF(J225="famous faces",4,IF(J225="famous names",4,IF(J225="famous voices",4,IF(J225="television programs",4,IF(J225="race horses",4,IF(J225="new vocabulary",4,IF(J225="sentences",5,IF(J225="concepts",5,IF(J225="ad slides",5,IF(J225="scenes",5,IF(J225="famous scenes",5,IF(J225="poems",6,IF(J225="walk",6,IF(J225="faces and events",6,IF(J225="events and names",6,IF(J225="flashbulb",7,IF(J225="stories",7,IF(J225="course material",7,IF(J225="autobiographical",7,IF(J225="novels",7,IF(J225="public events",7,"99"))))))))))))))))))))))))))))))))))))))))))))))</f>
        <v>7</v>
      </c>
      <c r="M225" s="60">
        <v>0</v>
      </c>
      <c r="N225" s="61">
        <v>3</v>
      </c>
      <c r="O225" s="60">
        <v>0</v>
      </c>
      <c r="P225" s="60"/>
      <c r="Q225" s="60" t="s">
        <v>65</v>
      </c>
      <c r="R225" s="60">
        <f>IF(Q225="Free Recall",1,IF(Q225="Cued Recall",2,IF(Q225="Recognition",3,IF(Q225="Multiple Choice",4,IF(Q225="Savings",5,IF(Q225="Stem Completion",6,IF(Q225="Fragment Completion",7,IF(Q225="anagram solution",8,IF(Q225="Matching",9,IF(Q225="Problem Solving",10,"99"))))))))))</f>
        <v>2</v>
      </c>
      <c r="S225" s="60" t="s">
        <v>49</v>
      </c>
      <c r="T225" s="59" t="s">
        <v>581</v>
      </c>
      <c r="U225" s="60">
        <f>IF(T225="within",1,0)</f>
        <v>1</v>
      </c>
      <c r="V225" s="59">
        <v>12</v>
      </c>
      <c r="W225" s="60">
        <f>F225*V225</f>
        <v>156</v>
      </c>
      <c r="X225" s="60">
        <v>12</v>
      </c>
      <c r="Y225" s="76">
        <f>AV224</f>
        <v>604800</v>
      </c>
      <c r="Z225" s="60" t="s">
        <v>874</v>
      </c>
      <c r="AA225" s="60">
        <v>7430400</v>
      </c>
      <c r="AB225" s="60" t="str">
        <f>IF(AA225&lt;60,"1",IF(AA225&lt;=43200,"2",IF(AA225&lt;=777600,"3","4")))</f>
        <v>4</v>
      </c>
      <c r="AC225" s="56">
        <f>AVERAGE(AV224:DA224)</f>
        <v>3931200</v>
      </c>
      <c r="AD225" s="60" t="str">
        <f>IF(AC225&lt;60,"1",IF(AC225&lt;=43200,"2",IF(AC225&lt;=777600,"3","4")))</f>
        <v>4</v>
      </c>
      <c r="AE225" s="76">
        <f>AA225-Y225</f>
        <v>6825600</v>
      </c>
      <c r="AF225" s="80">
        <f>AV225</f>
        <v>0.79589743589743622</v>
      </c>
      <c r="AG225" s="56">
        <f>((AW225-AV225)+(AX225-AW225)+(AY225-AX225)+(AZ225-AY225)+(BA225-AZ225)+(BB225-BA225)+(BC225-BB225)+(BD225-BC225)+(BE225-BD225)+(BF225-BE225)+(BG225-BF225))/11</f>
        <v>-4.5550793292728799E-2</v>
      </c>
      <c r="AH225" s="4"/>
      <c r="AI225" s="56">
        <f>RSQ(AV225:BG225,AV224:BG224)</f>
        <v>0.74459673064385745</v>
      </c>
      <c r="AJ225" s="109">
        <f>SLOPE(AV225:BG225,AV224:BG224)</f>
        <v>-6.2127050095080885E-8</v>
      </c>
      <c r="AK225" s="56">
        <f>INTERCEPT(AV225:BG225,AV224:BG224)</f>
        <v>0.83004032012730555</v>
      </c>
      <c r="AL225" s="56">
        <f>INDEX(LINEST(LN(AV225:BG225),LN(AV224:BG224),TRUE,TRUE),3,1)</f>
        <v>0.59072079695056479</v>
      </c>
      <c r="AM225" s="56">
        <f>INDEX(LINEST(LN(AV225:BG225),LN(AV224:BG224)),1)</f>
        <v>-0.30272886338985389</v>
      </c>
      <c r="AN225" s="56">
        <f>EXP(INDEX(LINEST(LN(AV225:BG225),LN(AV224:BG224)),1,2))</f>
        <v>52.557909102049756</v>
      </c>
      <c r="AO225" s="82">
        <f>INDEX(LINEST((AV225:BG225),LN(AV224:BG224),TRUE,TRUE),3,1)</f>
        <v>0.67112002922158176</v>
      </c>
      <c r="AP225" s="82">
        <f>INDEX(LINEST((AV225:BG225),LN(AV224:BG224)),1)</f>
        <v>-0.17016719222508206</v>
      </c>
      <c r="AQ225" s="83">
        <f>INDEX(LINEST(LN(AV225:BG225),SQRT(AV224:BG224),TRUE,TRUE),3,1)</f>
        <v>0.66520334416862337</v>
      </c>
      <c r="AR225" s="116">
        <f>INDEX(LINEST(LN(AV225:BG225),SQRT((AV224:BG224))),1)</f>
        <v>-3.9981810805720975E-4</v>
      </c>
      <c r="AS225" s="84">
        <f>INDEX(LINEST(1/(AV225:BG225),1/(SQRT(AV224:BG224)),TRUE,TRUE),3,1)</f>
        <v>0.38962273313308138</v>
      </c>
      <c r="AT225" s="84">
        <f>INDEX(LINEST(1/(AV225:BG225),1/SQRT(AV224:BG224)),1)</f>
        <v>-1429.5255737654466</v>
      </c>
      <c r="AU225" s="3"/>
      <c r="AV225" s="53">
        <v>0.79589743589743622</v>
      </c>
      <c r="AW225" s="53">
        <v>0.73250000000000015</v>
      </c>
      <c r="AX225" s="53">
        <v>0.74822222222222223</v>
      </c>
      <c r="AY225" s="53">
        <v>0.65999999999999992</v>
      </c>
      <c r="AZ225" s="53">
        <v>0.6579487179487179</v>
      </c>
      <c r="BA225" s="53">
        <v>0.72080000000000044</v>
      </c>
      <c r="BB225" s="53">
        <v>0.47854166666666659</v>
      </c>
      <c r="BC225" s="53">
        <v>0.42581395348837209</v>
      </c>
      <c r="BD225" s="53">
        <v>0.46765957446808509</v>
      </c>
      <c r="BE225" s="53">
        <v>0.4656603773584907</v>
      </c>
      <c r="BF225" s="53">
        <v>0.58179487179487188</v>
      </c>
      <c r="BG225" s="53">
        <v>0.29483870967741937</v>
      </c>
      <c r="BH225" s="53"/>
      <c r="BI225" s="53"/>
      <c r="BJ225" s="53"/>
      <c r="BK225" s="53"/>
      <c r="BL225" s="53"/>
      <c r="BM225" s="53"/>
      <c r="BN225" s="53"/>
      <c r="BO225" s="53"/>
      <c r="BP225" s="53"/>
      <c r="BQ225" s="53"/>
      <c r="BR225" s="53"/>
      <c r="BS225" s="53"/>
      <c r="BT225" s="53"/>
      <c r="BU225" s="53"/>
      <c r="BV225" s="53"/>
      <c r="BW225" s="53"/>
      <c r="BX225" s="53"/>
      <c r="BY225" s="53"/>
      <c r="BZ225" s="53"/>
      <c r="CA225" s="53"/>
      <c r="CB225" s="53"/>
      <c r="CC225" s="53"/>
      <c r="CD225" s="53"/>
      <c r="CE225" s="53"/>
      <c r="CF225" s="53"/>
      <c r="CG225" s="53"/>
      <c r="CH225" s="53"/>
      <c r="CI225" s="53"/>
      <c r="CJ225" s="53"/>
      <c r="CK225" s="53"/>
      <c r="CL225" s="53"/>
      <c r="CM225" s="53"/>
      <c r="CN225" s="53"/>
      <c r="CO225" s="53"/>
      <c r="CP225" s="53"/>
      <c r="CQ225" s="53"/>
      <c r="CR225" s="53"/>
      <c r="CS225" s="53"/>
      <c r="CT225" s="53"/>
      <c r="CU225" s="53"/>
      <c r="CV225" s="136"/>
      <c r="CW225" s="136"/>
      <c r="CX225" s="136"/>
      <c r="CY225" s="136"/>
      <c r="CZ225" s="136"/>
      <c r="DA225" s="136"/>
      <c r="DB225" s="136"/>
      <c r="DC225" s="136"/>
      <c r="DD225" s="136"/>
      <c r="DE225" s="136"/>
      <c r="DF225" s="136"/>
      <c r="DG225" s="136"/>
      <c r="DH225" s="136"/>
      <c r="DI225" s="136"/>
      <c r="DJ225" s="136"/>
      <c r="DK225" s="136"/>
      <c r="DL225" s="136"/>
      <c r="DM225" s="136"/>
      <c r="DN225" s="136"/>
      <c r="DO225" s="136"/>
      <c r="DP225" s="136"/>
      <c r="DQ225" s="136"/>
      <c r="DR225" s="136"/>
      <c r="DS225" s="136"/>
      <c r="DT225" s="136"/>
      <c r="DU225" s="136"/>
      <c r="DV225" s="136"/>
      <c r="DW225" s="136"/>
      <c r="DX225" s="136"/>
      <c r="DY225" s="136"/>
      <c r="DZ225" s="136"/>
      <c r="EA225" s="136"/>
      <c r="EB225" s="136"/>
      <c r="EC225" s="136"/>
    </row>
    <row r="226" spans="1:133" s="13" customFormat="1" ht="12" customHeight="1" x14ac:dyDescent="0.2">
      <c r="A226" s="65">
        <v>43903</v>
      </c>
      <c r="B226" s="1"/>
      <c r="C226" s="1"/>
      <c r="D226" s="60"/>
      <c r="E226" s="76"/>
      <c r="F226" s="60"/>
      <c r="G226" s="60"/>
      <c r="H226" s="60"/>
      <c r="I226" s="60"/>
      <c r="J226" s="60"/>
      <c r="K226" s="64"/>
      <c r="L226" s="64"/>
      <c r="M226" s="60"/>
      <c r="N226" s="61"/>
      <c r="O226" s="60"/>
      <c r="P226" s="60"/>
      <c r="Q226" s="60"/>
      <c r="R226" s="60"/>
      <c r="S226" s="60"/>
      <c r="T226" s="60"/>
      <c r="U226" s="60"/>
      <c r="V226" s="60"/>
      <c r="W226" s="60"/>
      <c r="X226" s="60"/>
      <c r="Y226" s="76"/>
      <c r="Z226" s="60"/>
      <c r="AA226" s="60"/>
      <c r="AB226" s="60"/>
      <c r="AC226" s="56"/>
      <c r="AD226" s="60"/>
      <c r="AE226" s="60"/>
      <c r="AF226" s="80"/>
      <c r="AG226" s="56"/>
      <c r="AH226" s="4"/>
      <c r="AI226" s="56"/>
      <c r="AJ226" s="109"/>
      <c r="AK226" s="56"/>
      <c r="AL226" s="56"/>
      <c r="AM226" s="56"/>
      <c r="AN226" s="56"/>
      <c r="AO226" s="82"/>
      <c r="AP226" s="82"/>
      <c r="AQ226" s="83"/>
      <c r="AR226" s="116"/>
      <c r="AS226" s="84"/>
      <c r="AT226" s="84"/>
      <c r="AU226" s="3"/>
      <c r="AV226" s="25">
        <f>(60*60*24)*7</f>
        <v>604800</v>
      </c>
      <c r="AW226" s="25">
        <f>((60*60*24)*7)*2</f>
        <v>1209600</v>
      </c>
      <c r="AX226" s="25">
        <f>((60*60*24)*7)*3</f>
        <v>1814400</v>
      </c>
      <c r="AY226" s="25">
        <f>((60*60*24)*7)*4</f>
        <v>2419200</v>
      </c>
      <c r="AZ226" s="25">
        <f>((60*60*24)*7)*5</f>
        <v>3024000</v>
      </c>
      <c r="BA226" s="25">
        <f>((60*60*24)*7)*6</f>
        <v>3628800</v>
      </c>
      <c r="BB226" s="25">
        <f>((60*60*24)*7)*7</f>
        <v>4233600</v>
      </c>
      <c r="BC226" s="25">
        <f>((60*60*24)*7)*8</f>
        <v>4838400</v>
      </c>
      <c r="BD226" s="25">
        <f>((60*60*24)*7)*9</f>
        <v>5443200</v>
      </c>
      <c r="BE226" s="25">
        <f>((60*60*24)*7)*10</f>
        <v>6048000</v>
      </c>
      <c r="BF226" s="25">
        <f>((60*60*24)*7)*11</f>
        <v>6652800</v>
      </c>
      <c r="BG226" s="25">
        <f>((60*60*24)*7)*12</f>
        <v>7257600</v>
      </c>
      <c r="BH226" s="25"/>
      <c r="BI226" s="25"/>
      <c r="BJ226" s="25"/>
      <c r="BK226" s="25"/>
      <c r="BL226" s="25"/>
      <c r="BM226" s="25"/>
      <c r="BN226" s="25"/>
      <c r="BO226" s="25"/>
      <c r="BP226" s="25"/>
      <c r="BQ226" s="25"/>
      <c r="BR226" s="25"/>
      <c r="BS226" s="25"/>
      <c r="BT226" s="25"/>
      <c r="BU226" s="25"/>
      <c r="BV226" s="25"/>
      <c r="BW226" s="25"/>
      <c r="BX226" s="25"/>
      <c r="BY226" s="25"/>
      <c r="BZ226" s="25"/>
      <c r="CA226" s="25"/>
      <c r="CB226" s="25"/>
      <c r="CC226" s="25"/>
      <c r="CD226" s="25"/>
      <c r="CE226" s="25"/>
      <c r="CF226" s="25"/>
      <c r="CG226" s="25"/>
      <c r="CH226" s="25"/>
      <c r="CI226" s="25"/>
      <c r="CJ226" s="25"/>
      <c r="CK226" s="25"/>
      <c r="CL226" s="25"/>
      <c r="CM226" s="25"/>
      <c r="CN226" s="25"/>
      <c r="CO226" s="25"/>
      <c r="CP226" s="25"/>
      <c r="CQ226" s="25"/>
      <c r="CR226" s="25"/>
      <c r="CS226" s="25"/>
      <c r="CT226" s="25"/>
      <c r="CU226" s="25"/>
      <c r="CV226" s="25"/>
      <c r="CW226" s="25"/>
      <c r="CX226" s="25"/>
      <c r="CY226" s="25"/>
      <c r="CZ226" s="25"/>
      <c r="DA226" s="25"/>
      <c r="DB226" s="25"/>
      <c r="DC226" s="25"/>
      <c r="DD226" s="25"/>
      <c r="DE226" s="25"/>
      <c r="DF226" s="25"/>
      <c r="DG226" s="25"/>
      <c r="DH226" s="25"/>
      <c r="DI226" s="25"/>
      <c r="DJ226" s="25"/>
      <c r="DK226" s="25"/>
      <c r="DL226" s="25"/>
      <c r="DM226" s="25"/>
      <c r="DN226" s="25"/>
      <c r="DO226" s="25"/>
      <c r="DP226" s="25"/>
      <c r="DQ226" s="25"/>
      <c r="DR226" s="25"/>
      <c r="DS226" s="25"/>
      <c r="DT226" s="25"/>
      <c r="DU226" s="25"/>
      <c r="DV226" s="25"/>
      <c r="DW226" s="25"/>
      <c r="DX226" s="25"/>
      <c r="DY226" s="25"/>
      <c r="DZ226" s="25"/>
      <c r="EA226" s="25"/>
      <c r="EB226" s="25"/>
      <c r="EC226" s="25"/>
    </row>
    <row r="227" spans="1:133" s="13" customFormat="1" ht="12" customHeight="1" x14ac:dyDescent="0.2">
      <c r="A227" s="65">
        <v>43903</v>
      </c>
      <c r="B227" s="1" t="s">
        <v>472</v>
      </c>
      <c r="C227" s="1" t="s">
        <v>262</v>
      </c>
      <c r="D227" s="60">
        <v>2020</v>
      </c>
      <c r="E227" s="76">
        <v>1</v>
      </c>
      <c r="F227" s="60">
        <v>13</v>
      </c>
      <c r="G227" s="60">
        <v>13</v>
      </c>
      <c r="H227" s="60" t="s">
        <v>747</v>
      </c>
      <c r="I227" s="60" t="s">
        <v>875</v>
      </c>
      <c r="J227" s="60" t="s">
        <v>622</v>
      </c>
      <c r="K227" s="60">
        <f>IF(J227="syllables",1,IF(J227="trigrams",2,IF(J227="strings",3,IF(J227="visual array",4,IF(J227="characters",5,IF(J227="letters",6,IF(J227="free forms",7,IF(J227="odors",8,IF(J227="words",9,IF(J227="pictures",10,IF(J227="object pictures",11,IF(J227="faces",12,IF(J227="names",13,IF(J227="idioms",14,IF(J227="grades",15,IF(J227="syllable-digit pairs",16,IF(J227="trigram-word pairs",17,IF(J227="word-digit pairs",18,IF(J227="English-Swahili pairs",19,IF(J227="spatial position",20,IF(J227="word pairs",21,IF(J227="word triads",22,IF(J227="generated words",23,IF(J227="word definition pairs",24,IF(J227="math problems",25,IF(J227="famous faces",26,IF(J227="famous names",27,IF(J227="famous voices",28,IF(J227="television programs",29,IF(J227="race horses",30,IF(J227="new vocabulary",31,IF(J227="sentences",32,IF(J227="concepts",33,IF(J227="ad slides",34,IF(J227="scenes",35,IF(J227="famous scenes",36,IF(J227="poems",37,IF(J227="walk",38,IF(J227="faces and events",39,IF(J227="events and names",40,IF(J227="flashbulb",41,IF(J227="stories",42,IF(J227="course material",43,IF(J227="autobiographical",44,IF(J227="novels",45,IF(J227="public events",46,"99"))))))))))))))))))))))))))))))))))))))))))))))</f>
        <v>44</v>
      </c>
      <c r="L227" s="60">
        <f>IF(J227="syllables",1,IF(J227="trigrams",1,IF(J227="strings",1,IF(J227="visual array",1,IF(J227="characters",1,IF(J227="letters",1,IF(J227="free forms",1,IF(J227="odors",2,IF(J227="words",2,IF(J227="pictures",2,IF(J227="object pictures",2,IF(J227="faces",2,IF(J227="names",2,IF(J227="idioms","2",IF(J227="grades",2,IF(J227="syllable-digit pairs",3,IF(J227="trigram-word pairs",3,IF(J227="word-digit pairs",3,IF(J227="English-Swahili pairs",3,IF(J227="spatial position",3,IF(J227="word pairs",4,IF(J227="word triads",4,IF(J227="generated words",4,IF(J227="word definition pairs",4,IF(J227="math problems",4,IF(J227="famous faces",4,IF(J227="famous names",4,IF(J227="famous voices",4,IF(J227="television programs",4,IF(J227="race horses",4,IF(J227="new vocabulary",4,IF(J227="sentences",5,IF(J227="concepts",5,IF(J227="ad slides",5,IF(J227="scenes",5,IF(J227="famous scenes",5,IF(J227="poems",6,IF(J227="walk",6,IF(J227="faces and events",6,IF(J227="events and names",6,IF(J227="flashbulb",7,IF(J227="stories",7,IF(J227="course material",7,IF(J227="autobiographical",7,IF(J227="novels",7,IF(J227="public events",7,"99"))))))))))))))))))))))))))))))))))))))))))))))</f>
        <v>7</v>
      </c>
      <c r="M227" s="60">
        <v>0</v>
      </c>
      <c r="N227" s="61">
        <v>3</v>
      </c>
      <c r="O227" s="60">
        <v>0</v>
      </c>
      <c r="P227" s="60"/>
      <c r="Q227" s="60" t="s">
        <v>65</v>
      </c>
      <c r="R227" s="60">
        <f>IF(Q227="Free Recall",1,IF(Q227="Cued Recall",2,IF(Q227="Recognition",3,IF(Q227="Multiple Choice",4,IF(Q227="Savings",5,IF(Q227="Stem Completion",6,IF(Q227="Fragment Completion",7,IF(Q227="anagram solution",8,IF(Q227="Matching",9,IF(Q227="Problem Solving",10,"99"))))))))))</f>
        <v>2</v>
      </c>
      <c r="S227" s="60" t="s">
        <v>49</v>
      </c>
      <c r="T227" s="59" t="s">
        <v>581</v>
      </c>
      <c r="U227" s="60">
        <f>IF(T227="within",1,0)</f>
        <v>1</v>
      </c>
      <c r="V227" s="59">
        <v>12</v>
      </c>
      <c r="W227" s="60">
        <f>F227*V227</f>
        <v>156</v>
      </c>
      <c r="X227" s="60">
        <v>12</v>
      </c>
      <c r="Y227" s="76">
        <f>AV226</f>
        <v>604800</v>
      </c>
      <c r="Z227" s="60" t="s">
        <v>874</v>
      </c>
      <c r="AA227" s="60">
        <v>7430400</v>
      </c>
      <c r="AB227" s="60" t="str">
        <f>IF(AA227&lt;60,"1",IF(AA227&lt;=43200,"2",IF(AA227&lt;=777600,"3","4")))</f>
        <v>4</v>
      </c>
      <c r="AC227" s="56">
        <f>AVERAGE(AV226:DA226)</f>
        <v>3931200</v>
      </c>
      <c r="AD227" s="60" t="str">
        <f>IF(AC227&lt;60,"1",IF(AC227&lt;=43200,"2",IF(AC227&lt;=777600,"3","4")))</f>
        <v>4</v>
      </c>
      <c r="AE227" s="76">
        <f>AA227-Y227</f>
        <v>6825600</v>
      </c>
      <c r="AF227" s="80">
        <f>AV227</f>
        <v>0.84729729729729752</v>
      </c>
      <c r="AG227" s="56">
        <f>((AW227-AV227)+(AX227-AW227)+(AY227-AX227)+(AZ227-AY227)+(BA227-AZ227)+(BB227-BA227)+(BC227-BB227)+(BD227-BC227)+(BE227-BD227)+(BF227-BE227)+(BG227-BF227))/11</f>
        <v>-1.968818405182042E-2</v>
      </c>
      <c r="AH227" s="4"/>
      <c r="AI227" s="56">
        <f>RSQ(AV227:BG227,AV226:BG226)</f>
        <v>0.53107437102443444</v>
      </c>
      <c r="AJ227" s="109">
        <f>SLOPE(AV227:BG227,AV226:BG226)</f>
        <v>-2.4675600158057639E-8</v>
      </c>
      <c r="AK227" s="56">
        <f>INTERCEPT(AV227:BG227,AV226:BG226)</f>
        <v>0.81228172827725298</v>
      </c>
      <c r="AL227" s="56">
        <f>INDEX(LINEST(LN(AV227:BG227),LN(AV226:BG226),TRUE,TRUE),3,1)</f>
        <v>0.539826708454757</v>
      </c>
      <c r="AM227" s="56">
        <f>INDEX(LINEST(LN(AV227:BG227),LN(AV226:BG226)),1)</f>
        <v>-0.1001762268856861</v>
      </c>
      <c r="AN227" s="56">
        <f>EXP(INDEX(LINEST(LN(AV227:BG227),LN(AV226:BG226)),1,2))</f>
        <v>3.1915566951719199</v>
      </c>
      <c r="AO227" s="82">
        <f>INDEX(LINEST((AV227:BG227),LN(AV226:BG226),TRUE,TRUE),3,1)</f>
        <v>0.55206099400442954</v>
      </c>
      <c r="AP227" s="82">
        <f>INDEX(LINEST((AV227:BG227),LN(AV226:BG226)),1)</f>
        <v>-7.2583707294737967E-2</v>
      </c>
      <c r="AQ227" s="83">
        <f>INDEX(LINEST(LN(AV227:BG227),SQRT(AV226:BG226),TRUE,TRUE),3,1)</f>
        <v>0.54826987129964166</v>
      </c>
      <c r="AR227" s="116">
        <f>INDEX(LINEST(LN(AV227:BG227),SQRT((AV226:BG226))),1)</f>
        <v>-1.2564847577442871E-4</v>
      </c>
      <c r="AS227" s="84">
        <f>INDEX(LINEST(1/(AV227:BG227),1/(SQRT(AV226:BG226)),TRUE,TRUE),3,1)</f>
        <v>0.48363260183448831</v>
      </c>
      <c r="AT227" s="84">
        <f>INDEX(LINEST(1/(AV227:BG227),1/SQRT(AV226:BG226)),1)</f>
        <v>-375.7632104670065</v>
      </c>
      <c r="AU227" s="3"/>
      <c r="AV227" s="53">
        <v>0.84729729729729752</v>
      </c>
      <c r="AW227" s="53">
        <v>0.73254901960784335</v>
      </c>
      <c r="AX227" s="53">
        <v>0.7925000000000002</v>
      </c>
      <c r="AY227" s="53">
        <v>0.76916666666666678</v>
      </c>
      <c r="AZ227" s="53">
        <v>0.68977777777777805</v>
      </c>
      <c r="BA227" s="53">
        <v>0.66739130434782634</v>
      </c>
      <c r="BB227" s="53">
        <v>0.69199999999999995</v>
      </c>
      <c r="BC227" s="53">
        <v>0.7834782608695654</v>
      </c>
      <c r="BD227" s="53">
        <v>0.6357142857142859</v>
      </c>
      <c r="BE227" s="53">
        <v>0.73422222222222255</v>
      </c>
      <c r="BF227" s="53">
        <v>0.60850000000000004</v>
      </c>
      <c r="BG227" s="53">
        <v>0.63072727272727291</v>
      </c>
      <c r="BH227" s="53"/>
      <c r="BI227" s="53"/>
      <c r="BJ227" s="53"/>
      <c r="BK227" s="53"/>
      <c r="BL227" s="53"/>
      <c r="BM227" s="53"/>
      <c r="BN227" s="53"/>
      <c r="BO227" s="53"/>
      <c r="BP227" s="53"/>
      <c r="BQ227" s="53"/>
      <c r="BR227" s="53"/>
      <c r="BS227" s="53"/>
      <c r="BT227" s="53"/>
      <c r="BU227" s="53"/>
      <c r="BV227" s="53"/>
      <c r="BW227" s="53"/>
      <c r="BX227" s="53"/>
      <c r="BY227" s="53"/>
      <c r="BZ227" s="53"/>
      <c r="CA227" s="53"/>
      <c r="CB227" s="53"/>
      <c r="CC227" s="53"/>
      <c r="CD227" s="53"/>
      <c r="CE227" s="53"/>
      <c r="CF227" s="53"/>
      <c r="CG227" s="53"/>
      <c r="CH227" s="53"/>
      <c r="CI227" s="53"/>
      <c r="CJ227" s="53"/>
      <c r="CK227" s="53"/>
      <c r="CL227" s="53"/>
      <c r="CM227" s="53"/>
      <c r="CN227" s="53"/>
      <c r="CO227" s="53"/>
      <c r="CP227" s="53"/>
      <c r="CQ227" s="53"/>
      <c r="CR227" s="53"/>
      <c r="CS227" s="53"/>
      <c r="CT227" s="53"/>
      <c r="CU227" s="53"/>
      <c r="CV227" s="136"/>
      <c r="CW227" s="136"/>
      <c r="CX227" s="136"/>
      <c r="CY227" s="136"/>
      <c r="CZ227" s="136"/>
      <c r="DA227" s="136"/>
      <c r="DB227" s="136"/>
      <c r="DC227" s="136"/>
      <c r="DD227" s="136"/>
      <c r="DE227" s="136"/>
      <c r="DF227" s="136"/>
      <c r="DG227" s="136"/>
      <c r="DH227" s="136"/>
      <c r="DI227" s="136"/>
      <c r="DJ227" s="136"/>
      <c r="DK227" s="136"/>
      <c r="DL227" s="136"/>
      <c r="DM227" s="136"/>
      <c r="DN227" s="136"/>
      <c r="DO227" s="136"/>
      <c r="DP227" s="136"/>
      <c r="DQ227" s="136"/>
      <c r="DR227" s="136"/>
      <c r="DS227" s="136"/>
      <c r="DT227" s="136"/>
      <c r="DU227" s="136"/>
      <c r="DV227" s="136"/>
      <c r="DW227" s="136"/>
      <c r="DX227" s="136"/>
      <c r="DY227" s="136"/>
      <c r="DZ227" s="136"/>
      <c r="EA227" s="136"/>
      <c r="EB227" s="136"/>
      <c r="EC227" s="136"/>
    </row>
    <row r="228" spans="1:133" s="13" customFormat="1" ht="12" customHeight="1" x14ac:dyDescent="0.2">
      <c r="A228" s="65">
        <v>43903</v>
      </c>
      <c r="B228" s="1"/>
      <c r="C228" s="1"/>
      <c r="D228" s="60"/>
      <c r="E228" s="76"/>
      <c r="F228" s="60"/>
      <c r="G228" s="60"/>
      <c r="H228" s="60"/>
      <c r="I228" s="60"/>
      <c r="J228" s="60"/>
      <c r="K228" s="64"/>
      <c r="L228" s="64"/>
      <c r="M228" s="60"/>
      <c r="N228" s="61"/>
      <c r="O228" s="60"/>
      <c r="P228" s="60"/>
      <c r="Q228" s="60"/>
      <c r="R228" s="60"/>
      <c r="S228" s="60"/>
      <c r="T228" s="60"/>
      <c r="U228" s="60"/>
      <c r="V228" s="60"/>
      <c r="W228" s="60"/>
      <c r="X228" s="60"/>
      <c r="Y228" s="76"/>
      <c r="Z228" s="60"/>
      <c r="AA228" s="60"/>
      <c r="AB228" s="60"/>
      <c r="AC228" s="56"/>
      <c r="AD228" s="60"/>
      <c r="AE228" s="60"/>
      <c r="AF228" s="80"/>
      <c r="AG228" s="56"/>
      <c r="AH228" s="4"/>
      <c r="AI228" s="56"/>
      <c r="AJ228" s="109"/>
      <c r="AK228" s="56"/>
      <c r="AL228" s="56"/>
      <c r="AM228" s="56"/>
      <c r="AN228" s="56"/>
      <c r="AO228" s="82"/>
      <c r="AP228" s="82"/>
      <c r="AQ228" s="83"/>
      <c r="AR228" s="116"/>
      <c r="AS228" s="84"/>
      <c r="AT228" s="84"/>
      <c r="AU228" s="3"/>
      <c r="AV228" s="25">
        <f>(60*60*24)*7</f>
        <v>604800</v>
      </c>
      <c r="AW228" s="25">
        <f>((60*60*24)*7)*2</f>
        <v>1209600</v>
      </c>
      <c r="AX228" s="25">
        <f>((60*60*24)*7)*3</f>
        <v>1814400</v>
      </c>
      <c r="AY228" s="25">
        <f>((60*60*24)*7)*4</f>
        <v>2419200</v>
      </c>
      <c r="AZ228" s="25">
        <f>((60*60*24)*7)*5</f>
        <v>3024000</v>
      </c>
      <c r="BA228" s="25">
        <f>((60*60*24)*7)*6</f>
        <v>3628800</v>
      </c>
      <c r="BB228" s="25">
        <f>((60*60*24)*7)*7</f>
        <v>4233600</v>
      </c>
      <c r="BC228" s="25">
        <f>((60*60*24)*7)*8</f>
        <v>4838400</v>
      </c>
      <c r="BD228" s="25">
        <f>((60*60*24)*7)*9</f>
        <v>5443200</v>
      </c>
      <c r="BE228" s="25">
        <f>((60*60*24)*7)*10</f>
        <v>6048000</v>
      </c>
      <c r="BF228" s="25">
        <f>((60*60*24)*7)*11</f>
        <v>6652800</v>
      </c>
      <c r="BG228" s="25">
        <f>((60*60*24)*7)*12</f>
        <v>7257600</v>
      </c>
      <c r="BH228" s="25"/>
      <c r="BI228" s="25"/>
      <c r="BJ228" s="25"/>
      <c r="BK228" s="25"/>
      <c r="BL228" s="25"/>
      <c r="BM228" s="25"/>
      <c r="BN228" s="25"/>
      <c r="BO228" s="25"/>
      <c r="BP228" s="25"/>
      <c r="BQ228" s="25"/>
      <c r="BR228" s="25"/>
      <c r="BS228" s="25"/>
      <c r="BT228" s="25"/>
      <c r="BU228" s="25"/>
      <c r="BV228" s="25"/>
      <c r="BW228" s="25"/>
      <c r="BX228" s="25"/>
      <c r="BY228" s="25"/>
      <c r="BZ228" s="25"/>
      <c r="CA228" s="25"/>
      <c r="CB228" s="25"/>
      <c r="CC228" s="25"/>
      <c r="CD228" s="25"/>
      <c r="CE228" s="25"/>
      <c r="CF228" s="25"/>
      <c r="CG228" s="25"/>
      <c r="CH228" s="25"/>
      <c r="CI228" s="25"/>
      <c r="CJ228" s="25"/>
      <c r="CK228" s="25"/>
      <c r="CL228" s="25"/>
      <c r="CM228" s="25"/>
      <c r="CN228" s="25"/>
      <c r="CO228" s="25"/>
      <c r="CP228" s="25"/>
      <c r="CQ228" s="25"/>
      <c r="CR228" s="25"/>
      <c r="CS228" s="25"/>
      <c r="CT228" s="25"/>
      <c r="CU228" s="25"/>
      <c r="CV228" s="25"/>
      <c r="CW228" s="25"/>
      <c r="CX228" s="25"/>
      <c r="CY228" s="25"/>
      <c r="CZ228" s="25"/>
      <c r="DA228" s="25"/>
      <c r="DB228" s="25"/>
      <c r="DC228" s="25"/>
      <c r="DD228" s="25"/>
      <c r="DE228" s="25"/>
      <c r="DF228" s="25"/>
      <c r="DG228" s="25"/>
      <c r="DH228" s="25"/>
      <c r="DI228" s="25"/>
      <c r="DJ228" s="25"/>
      <c r="DK228" s="25"/>
      <c r="DL228" s="25"/>
      <c r="DM228" s="25"/>
      <c r="DN228" s="25"/>
      <c r="DO228" s="25"/>
      <c r="DP228" s="25"/>
      <c r="DQ228" s="25"/>
      <c r="DR228" s="25"/>
      <c r="DS228" s="25"/>
      <c r="DT228" s="25"/>
      <c r="DU228" s="25"/>
      <c r="DV228" s="25"/>
      <c r="DW228" s="25"/>
      <c r="DX228" s="25"/>
      <c r="DY228" s="25"/>
      <c r="DZ228" s="25"/>
      <c r="EA228" s="25"/>
      <c r="EB228" s="25"/>
      <c r="EC228" s="25"/>
    </row>
    <row r="229" spans="1:133" s="13" customFormat="1" ht="12" customHeight="1" x14ac:dyDescent="0.2">
      <c r="A229" s="65">
        <v>43903</v>
      </c>
      <c r="B229" s="1" t="s">
        <v>472</v>
      </c>
      <c r="C229" s="1" t="s">
        <v>262</v>
      </c>
      <c r="D229" s="60">
        <v>2020</v>
      </c>
      <c r="E229" s="76">
        <v>1</v>
      </c>
      <c r="F229" s="60">
        <v>13</v>
      </c>
      <c r="G229" s="60">
        <v>13</v>
      </c>
      <c r="H229" s="60" t="s">
        <v>747</v>
      </c>
      <c r="I229" s="60" t="s">
        <v>864</v>
      </c>
      <c r="J229" s="60" t="s">
        <v>622</v>
      </c>
      <c r="K229" s="60">
        <f>IF(J229="syllables",1,IF(J229="trigrams",2,IF(J229="strings",3,IF(J229="visual array",4,IF(J229="characters",5,IF(J229="letters",6,IF(J229="free forms",7,IF(J229="odors",8,IF(J229="words",9,IF(J229="pictures",10,IF(J229="object pictures",11,IF(J229="faces",12,IF(J229="names",13,IF(J229="idioms",14,IF(J229="grades",15,IF(J229="syllable-digit pairs",16,IF(J229="trigram-word pairs",17,IF(J229="word-digit pairs",18,IF(J229="English-Swahili pairs",19,IF(J229="spatial position",20,IF(J229="word pairs",21,IF(J229="word triads",22,IF(J229="generated words",23,IF(J229="word definition pairs",24,IF(J229="math problems",25,IF(J229="famous faces",26,IF(J229="famous names",27,IF(J229="famous voices",28,IF(J229="television programs",29,IF(J229="race horses",30,IF(J229="new vocabulary",31,IF(J229="sentences",32,IF(J229="concepts",33,IF(J229="ad slides",34,IF(J229="scenes",35,IF(J229="famous scenes",36,IF(J229="poems",37,IF(J229="walk",38,IF(J229="faces and events",39,IF(J229="events and names",40,IF(J229="flashbulb",41,IF(J229="stories",42,IF(J229="course material",43,IF(J229="autobiographical",44,IF(J229="novels",45,IF(J229="public events",46,"99"))))))))))))))))))))))))))))))))))))))))))))))</f>
        <v>44</v>
      </c>
      <c r="L229" s="60">
        <f>IF(J229="syllables",1,IF(J229="trigrams",1,IF(J229="strings",1,IF(J229="visual array",1,IF(J229="characters",1,IF(J229="letters",1,IF(J229="free forms",1,IF(J229="odors",2,IF(J229="words",2,IF(J229="pictures",2,IF(J229="object pictures",2,IF(J229="faces",2,IF(J229="names",2,IF(J229="idioms","2",IF(J229="grades",2,IF(J229="syllable-digit pairs",3,IF(J229="trigram-word pairs",3,IF(J229="word-digit pairs",3,IF(J229="English-Swahili pairs",3,IF(J229="spatial position",3,IF(J229="word pairs",4,IF(J229="word triads",4,IF(J229="generated words",4,IF(J229="word definition pairs",4,IF(J229="math problems",4,IF(J229="famous faces",4,IF(J229="famous names",4,IF(J229="famous voices",4,IF(J229="television programs",4,IF(J229="race horses",4,IF(J229="new vocabulary",4,IF(J229="sentences",5,IF(J229="concepts",5,IF(J229="ad slides",5,IF(J229="scenes",5,IF(J229="famous scenes",5,IF(J229="poems",6,IF(J229="walk",6,IF(J229="faces and events",6,IF(J229="events and names",6,IF(J229="flashbulb",7,IF(J229="stories",7,IF(J229="course material",7,IF(J229="autobiographical",7,IF(J229="novels",7,IF(J229="public events",7,"99"))))))))))))))))))))))))))))))))))))))))))))))</f>
        <v>7</v>
      </c>
      <c r="M229" s="60">
        <v>0</v>
      </c>
      <c r="N229" s="61">
        <v>3</v>
      </c>
      <c r="O229" s="60">
        <v>0</v>
      </c>
      <c r="P229" s="60"/>
      <c r="Q229" s="60" t="s">
        <v>65</v>
      </c>
      <c r="R229" s="60">
        <f>IF(Q229="Free Recall",1,IF(Q229="Cued Recall",2,IF(Q229="Recognition",3,IF(Q229="Multiple Choice",4,IF(Q229="Savings",5,IF(Q229="Stem Completion",6,IF(Q229="Fragment Completion",7,IF(Q229="anagram solution",8,IF(Q229="Matching",9,IF(Q229="Problem Solving",10,"99"))))))))))</f>
        <v>2</v>
      </c>
      <c r="S229" s="60" t="s">
        <v>49</v>
      </c>
      <c r="T229" s="59" t="s">
        <v>581</v>
      </c>
      <c r="U229" s="60">
        <f>IF(T229="within",1,0)</f>
        <v>1</v>
      </c>
      <c r="V229" s="59">
        <v>12</v>
      </c>
      <c r="W229" s="60">
        <f>F229*V229</f>
        <v>156</v>
      </c>
      <c r="X229" s="60">
        <v>12</v>
      </c>
      <c r="Y229" s="76">
        <f>AV228</f>
        <v>604800</v>
      </c>
      <c r="Z229" s="60" t="s">
        <v>874</v>
      </c>
      <c r="AA229" s="60">
        <v>7430400</v>
      </c>
      <c r="AB229" s="60" t="str">
        <f>IF(AA229&lt;60,"1",IF(AA229&lt;=43200,"2",IF(AA229&lt;=777600,"3","4")))</f>
        <v>4</v>
      </c>
      <c r="AC229" s="56">
        <f>AVERAGE(AV228:DA228)</f>
        <v>3931200</v>
      </c>
      <c r="AD229" s="60" t="str">
        <f>IF(AC229&lt;60,"1",IF(AC229&lt;=43200,"2",IF(AC229&lt;=777600,"3","4")))</f>
        <v>4</v>
      </c>
      <c r="AE229" s="76">
        <f>AA229-Y229</f>
        <v>6825600</v>
      </c>
      <c r="AF229" s="80">
        <f>AV229</f>
        <v>0.87804878048780488</v>
      </c>
      <c r="AG229" s="56">
        <f>((AW229-AV229)+(AX229-AW229)+(AY229-AX229)+(AZ229-AY229)+(BA229-AZ229)+(BB229-BA229)+(BC229-BB229)+(BD229-BC229)+(BE229-BD229)+(BF229-BE229)+(BG229-BF229))/11</f>
        <v>-1.164079822616408E-2</v>
      </c>
      <c r="AH229" s="4"/>
      <c r="AI229" s="56">
        <f>RSQ(AV229:BG229,AV228:BG228)</f>
        <v>0.32575544589737637</v>
      </c>
      <c r="AJ229" s="109">
        <f>SLOPE(AV229:BG229,AV228:BG228)</f>
        <v>-1.7994860890415965E-8</v>
      </c>
      <c r="AK229" s="56">
        <f>INTERCEPT(AV229:BG229,AV228:BG228)</f>
        <v>0.82411900982785125</v>
      </c>
      <c r="AL229" s="56">
        <f>INDEX(LINEST(LN(AV229:BG229),LN(AV228:BG228),TRUE,TRUE),3,1)</f>
        <v>0.40972010431611383</v>
      </c>
      <c r="AM229" s="56">
        <f>INDEX(LINEST(LN(AV229:BG229),LN(AV228:BG228)),1)</f>
        <v>-7.6700916801430596E-2</v>
      </c>
      <c r="AN229" s="56">
        <f>EXP(INDEX(LINEST(LN(AV229:BG229),LN(AV228:BG228)),1,2))</f>
        <v>2.3676112983593551</v>
      </c>
      <c r="AO229" s="82">
        <f>INDEX(LINEST((AV229:BG229),LN(AV228:BG228),TRUE,TRUE),3,1)</f>
        <v>0.43168703770736178</v>
      </c>
      <c r="AP229" s="82">
        <f>INDEX(LINEST((AV229:BG229),LN(AV228:BG228)),1)</f>
        <v>-5.9764421183196019E-2</v>
      </c>
      <c r="AQ229" s="83">
        <f>INDEX(LINEST(LN(AV229:BG229),SQRT(AV228:BG228),TRUE,TRUE),3,1)</f>
        <v>0.3663854138662832</v>
      </c>
      <c r="AR229" s="116">
        <f>INDEX(LINEST(LN(AV229:BG229),SQRT((AV228:BG228))),1)</f>
        <v>-9.0271062370979397E-5</v>
      </c>
      <c r="AS229" s="84">
        <f>INDEX(LINEST(1/(AV229:BG229),1/(SQRT(AV228:BG228)),TRUE,TRUE),3,1)</f>
        <v>0.40009061764303305</v>
      </c>
      <c r="AT229" s="84">
        <f>INDEX(LINEST(1/(AV229:BG229),1/SQRT(AV228:BG228)),1)</f>
        <v>-283.71835478883065</v>
      </c>
      <c r="AU229" s="3"/>
      <c r="AV229" s="53">
        <v>0.87804878048780488</v>
      </c>
      <c r="AW229" s="53">
        <v>0.765625</v>
      </c>
      <c r="AX229" s="53">
        <v>0.86111111111111116</v>
      </c>
      <c r="AY229" s="53">
        <v>0.69444444444444442</v>
      </c>
      <c r="AZ229" s="53">
        <v>0.78333333333333333</v>
      </c>
      <c r="BA229" s="53">
        <v>0.7</v>
      </c>
      <c r="BB229" s="53">
        <v>0.77027027027027029</v>
      </c>
      <c r="BC229" s="53">
        <v>0.7</v>
      </c>
      <c r="BD229" s="53">
        <v>0.77380952380952384</v>
      </c>
      <c r="BE229" s="53">
        <v>0.63888888888888884</v>
      </c>
      <c r="BF229" s="53">
        <v>0.72499999999999998</v>
      </c>
      <c r="BG229" s="53">
        <v>0.75</v>
      </c>
      <c r="BH229" s="53"/>
      <c r="BI229" s="53"/>
      <c r="BJ229" s="53"/>
      <c r="BK229" s="53"/>
      <c r="BL229" s="53"/>
      <c r="BM229" s="53"/>
      <c r="BN229" s="53"/>
      <c r="BO229" s="53"/>
      <c r="BP229" s="53"/>
      <c r="BQ229" s="53"/>
      <c r="BR229" s="53"/>
      <c r="BS229" s="53"/>
      <c r="BT229" s="53"/>
      <c r="BU229" s="53"/>
      <c r="BV229" s="53"/>
      <c r="BW229" s="53"/>
      <c r="BX229" s="53"/>
      <c r="BY229" s="53"/>
      <c r="BZ229" s="53"/>
      <c r="CA229" s="53"/>
      <c r="CB229" s="53"/>
      <c r="CC229" s="53"/>
      <c r="CD229" s="53"/>
      <c r="CE229" s="53"/>
      <c r="CF229" s="53"/>
      <c r="CG229" s="53"/>
      <c r="CH229" s="53"/>
      <c r="CI229" s="53"/>
      <c r="CJ229" s="53"/>
      <c r="CK229" s="53"/>
      <c r="CL229" s="53"/>
      <c r="CM229" s="53"/>
      <c r="CN229" s="53"/>
      <c r="CO229" s="53"/>
      <c r="CP229" s="53"/>
      <c r="CQ229" s="53"/>
      <c r="CR229" s="53"/>
      <c r="CS229" s="53"/>
      <c r="CT229" s="53"/>
      <c r="CU229" s="53"/>
      <c r="CV229" s="136"/>
      <c r="CW229" s="136"/>
      <c r="CX229" s="136"/>
      <c r="CY229" s="136"/>
      <c r="CZ229" s="136"/>
      <c r="DA229" s="136"/>
      <c r="DB229" s="136"/>
      <c r="DC229" s="136"/>
      <c r="DD229" s="136"/>
      <c r="DE229" s="136"/>
      <c r="DF229" s="136"/>
      <c r="DG229" s="136"/>
      <c r="DH229" s="136"/>
      <c r="DI229" s="136"/>
      <c r="DJ229" s="136"/>
      <c r="DK229" s="136"/>
      <c r="DL229" s="136"/>
      <c r="DM229" s="136"/>
      <c r="DN229" s="136"/>
      <c r="DO229" s="136"/>
      <c r="DP229" s="136"/>
      <c r="DQ229" s="136"/>
      <c r="DR229" s="136"/>
      <c r="DS229" s="136"/>
      <c r="DT229" s="136"/>
      <c r="DU229" s="136"/>
      <c r="DV229" s="136"/>
      <c r="DW229" s="136"/>
      <c r="DX229" s="136"/>
      <c r="DY229" s="136"/>
      <c r="DZ229" s="136"/>
      <c r="EA229" s="136"/>
      <c r="EB229" s="136"/>
      <c r="EC229" s="136"/>
    </row>
    <row r="230" spans="1:133" s="13" customFormat="1" ht="12" customHeight="1" x14ac:dyDescent="0.2">
      <c r="A230" s="65">
        <v>43903</v>
      </c>
      <c r="B230" s="1"/>
      <c r="C230" s="1"/>
      <c r="D230" s="60"/>
      <c r="E230" s="76"/>
      <c r="F230" s="60"/>
      <c r="G230" s="60"/>
      <c r="H230" s="60"/>
      <c r="I230" s="60"/>
      <c r="J230" s="60"/>
      <c r="K230" s="64"/>
      <c r="L230" s="64"/>
      <c r="M230" s="60"/>
      <c r="N230" s="61"/>
      <c r="O230" s="60"/>
      <c r="P230" s="60"/>
      <c r="Q230" s="60"/>
      <c r="R230" s="60"/>
      <c r="S230" s="60"/>
      <c r="T230" s="60"/>
      <c r="U230" s="60"/>
      <c r="V230" s="60"/>
      <c r="W230" s="60"/>
      <c r="X230" s="60"/>
      <c r="Y230" s="76"/>
      <c r="Z230" s="60"/>
      <c r="AA230" s="60"/>
      <c r="AB230" s="60"/>
      <c r="AC230" s="56"/>
      <c r="AD230" s="60"/>
      <c r="AE230" s="60"/>
      <c r="AF230" s="80"/>
      <c r="AG230" s="56"/>
      <c r="AH230" s="4"/>
      <c r="AI230" s="56"/>
      <c r="AJ230" s="109"/>
      <c r="AK230" s="56"/>
      <c r="AL230" s="56"/>
      <c r="AM230" s="56"/>
      <c r="AN230" s="56"/>
      <c r="AO230" s="82"/>
      <c r="AP230" s="82"/>
      <c r="AQ230" s="83"/>
      <c r="AR230" s="116"/>
      <c r="AS230" s="84"/>
      <c r="AT230" s="84"/>
      <c r="AU230" s="3"/>
      <c r="AV230" s="25">
        <f>(60*60*24)*7</f>
        <v>604800</v>
      </c>
      <c r="AW230" s="25">
        <f>((60*60*24)*7)*2</f>
        <v>1209600</v>
      </c>
      <c r="AX230" s="25">
        <f>((60*60*24)*7)*3</f>
        <v>1814400</v>
      </c>
      <c r="AY230" s="25">
        <f>((60*60*24)*7)*4</f>
        <v>2419200</v>
      </c>
      <c r="AZ230" s="25">
        <f>((60*60*24)*7)*5</f>
        <v>3024000</v>
      </c>
      <c r="BA230" s="25">
        <f>((60*60*24)*7)*6</f>
        <v>3628800</v>
      </c>
      <c r="BB230" s="25">
        <f>((60*60*24)*7)*7</f>
        <v>4233600</v>
      </c>
      <c r="BC230" s="25">
        <f>((60*60*24)*7)*8</f>
        <v>4838400</v>
      </c>
      <c r="BD230" s="25">
        <f>((60*60*24)*7)*9</f>
        <v>5443200</v>
      </c>
      <c r="BE230" s="25">
        <f>((60*60*24)*7)*10</f>
        <v>6048000</v>
      </c>
      <c r="BF230" s="25">
        <f>((60*60*24)*7)*11</f>
        <v>6652800</v>
      </c>
      <c r="BG230" s="25">
        <f>((60*60*24)*7)*12</f>
        <v>7257600</v>
      </c>
      <c r="BH230" s="25"/>
      <c r="BI230" s="25"/>
      <c r="BJ230" s="25"/>
      <c r="BK230" s="25"/>
      <c r="BL230" s="25"/>
      <c r="BM230" s="25"/>
      <c r="BN230" s="25"/>
      <c r="BO230" s="25"/>
      <c r="BP230" s="25"/>
      <c r="BQ230" s="25"/>
      <c r="BR230" s="25"/>
      <c r="BS230" s="25"/>
      <c r="BT230" s="25"/>
      <c r="BU230" s="25"/>
      <c r="BV230" s="25"/>
      <c r="BW230" s="25"/>
      <c r="BX230" s="25"/>
      <c r="BY230" s="25"/>
      <c r="BZ230" s="25"/>
      <c r="CA230" s="25"/>
      <c r="CB230" s="25"/>
      <c r="CC230" s="25"/>
      <c r="CD230" s="25"/>
      <c r="CE230" s="25"/>
      <c r="CF230" s="25"/>
      <c r="CG230" s="25"/>
      <c r="CH230" s="25"/>
      <c r="CI230" s="25"/>
      <c r="CJ230" s="25"/>
      <c r="CK230" s="25"/>
      <c r="CL230" s="25"/>
      <c r="CM230" s="25"/>
      <c r="CN230" s="25"/>
      <c r="CO230" s="25"/>
      <c r="CP230" s="25"/>
      <c r="CQ230" s="25"/>
      <c r="CR230" s="25"/>
      <c r="CS230" s="25"/>
      <c r="CT230" s="25"/>
      <c r="CU230" s="25"/>
      <c r="CV230" s="25"/>
      <c r="CW230" s="25"/>
      <c r="CX230" s="25"/>
      <c r="CY230" s="25"/>
      <c r="CZ230" s="25"/>
      <c r="DA230" s="25"/>
      <c r="DB230" s="25"/>
      <c r="DC230" s="25"/>
      <c r="DD230" s="25"/>
      <c r="DE230" s="25"/>
      <c r="DF230" s="25"/>
      <c r="DG230" s="25"/>
      <c r="DH230" s="25"/>
      <c r="DI230" s="25"/>
      <c r="DJ230" s="25"/>
      <c r="DK230" s="25"/>
      <c r="DL230" s="25"/>
      <c r="DM230" s="25"/>
      <c r="DN230" s="25"/>
      <c r="DO230" s="25"/>
      <c r="DP230" s="25"/>
      <c r="DQ230" s="25"/>
      <c r="DR230" s="25"/>
      <c r="DS230" s="25"/>
      <c r="DT230" s="25"/>
      <c r="DU230" s="25"/>
      <c r="DV230" s="25"/>
      <c r="DW230" s="25"/>
      <c r="DX230" s="25"/>
      <c r="DY230" s="25"/>
      <c r="DZ230" s="25"/>
      <c r="EA230" s="25"/>
      <c r="EB230" s="25"/>
      <c r="EC230" s="25"/>
    </row>
    <row r="231" spans="1:133" s="13" customFormat="1" ht="12" customHeight="1" x14ac:dyDescent="0.2">
      <c r="A231" s="65">
        <v>43903</v>
      </c>
      <c r="B231" s="1" t="s">
        <v>472</v>
      </c>
      <c r="C231" s="1" t="s">
        <v>262</v>
      </c>
      <c r="D231" s="60">
        <v>2020</v>
      </c>
      <c r="E231" s="76">
        <v>1</v>
      </c>
      <c r="F231" s="60">
        <v>13</v>
      </c>
      <c r="G231" s="60">
        <v>13</v>
      </c>
      <c r="H231" s="60" t="s">
        <v>747</v>
      </c>
      <c r="I231" s="60" t="s">
        <v>866</v>
      </c>
      <c r="J231" s="60" t="s">
        <v>622</v>
      </c>
      <c r="K231" s="60">
        <f>IF(J231="syllables",1,IF(J231="trigrams",2,IF(J231="strings",3,IF(J231="visual array",4,IF(J231="characters",5,IF(J231="letters",6,IF(J231="free forms",7,IF(J231="odors",8,IF(J231="words",9,IF(J231="pictures",10,IF(J231="object pictures",11,IF(J231="faces",12,IF(J231="names",13,IF(J231="idioms",14,IF(J231="grades",15,IF(J231="syllable-digit pairs",16,IF(J231="trigram-word pairs",17,IF(J231="word-digit pairs",18,IF(J231="English-Swahili pairs",19,IF(J231="spatial position",20,IF(J231="word pairs",21,IF(J231="word triads",22,IF(J231="generated words",23,IF(J231="word definition pairs",24,IF(J231="math problems",25,IF(J231="famous faces",26,IF(J231="famous names",27,IF(J231="famous voices",28,IF(J231="television programs",29,IF(J231="race horses",30,IF(J231="new vocabulary",31,IF(J231="sentences",32,IF(J231="concepts",33,IF(J231="ad slides",34,IF(J231="scenes",35,IF(J231="famous scenes",36,IF(J231="poems",37,IF(J231="walk",38,IF(J231="faces and events",39,IF(J231="events and names",40,IF(J231="flashbulb",41,IF(J231="stories",42,IF(J231="course material",43,IF(J231="autobiographical",44,IF(J231="novels",45,IF(J231="public events",46,"99"))))))))))))))))))))))))))))))))))))))))))))))</f>
        <v>44</v>
      </c>
      <c r="L231" s="60">
        <f>IF(J231="syllables",1,IF(J231="trigrams",1,IF(J231="strings",1,IF(J231="visual array",1,IF(J231="characters",1,IF(J231="letters",1,IF(J231="free forms",1,IF(J231="odors",2,IF(J231="words",2,IF(J231="pictures",2,IF(J231="object pictures",2,IF(J231="faces",2,IF(J231="names",2,IF(J231="idioms","2",IF(J231="grades",2,IF(J231="syllable-digit pairs",3,IF(J231="trigram-word pairs",3,IF(J231="word-digit pairs",3,IF(J231="English-Swahili pairs",3,IF(J231="spatial position",3,IF(J231="word pairs",4,IF(J231="word triads",4,IF(J231="generated words",4,IF(J231="word definition pairs",4,IF(J231="math problems",4,IF(J231="famous faces",4,IF(J231="famous names",4,IF(J231="famous voices",4,IF(J231="television programs",4,IF(J231="race horses",4,IF(J231="new vocabulary",4,IF(J231="sentences",5,IF(J231="concepts",5,IF(J231="ad slides",5,IF(J231="scenes",5,IF(J231="famous scenes",5,IF(J231="poems",6,IF(J231="walk",6,IF(J231="faces and events",6,IF(J231="events and names",6,IF(J231="flashbulb",7,IF(J231="stories",7,IF(J231="course material",7,IF(J231="autobiographical",7,IF(J231="novels",7,IF(J231="public events",7,"99"))))))))))))))))))))))))))))))))))))))))))))))</f>
        <v>7</v>
      </c>
      <c r="M231" s="60">
        <v>0</v>
      </c>
      <c r="N231" s="61">
        <v>3</v>
      </c>
      <c r="O231" s="60">
        <v>0</v>
      </c>
      <c r="P231" s="60"/>
      <c r="Q231" s="60" t="s">
        <v>65</v>
      </c>
      <c r="R231" s="60">
        <f>IF(Q231="Free Recall",1,IF(Q231="Cued Recall",2,IF(Q231="Recognition",3,IF(Q231="Multiple Choice",4,IF(Q231="Savings",5,IF(Q231="Stem Completion",6,IF(Q231="Fragment Completion",7,IF(Q231="anagram solution",8,IF(Q231="Matching",9,IF(Q231="Problem Solving",10,"99"))))))))))</f>
        <v>2</v>
      </c>
      <c r="S231" s="60" t="s">
        <v>49</v>
      </c>
      <c r="T231" s="59" t="s">
        <v>581</v>
      </c>
      <c r="U231" s="60">
        <f>IF(T231="within",1,0)</f>
        <v>1</v>
      </c>
      <c r="V231" s="59">
        <v>12</v>
      </c>
      <c r="W231" s="60">
        <f>F231*V231</f>
        <v>156</v>
      </c>
      <c r="X231" s="60">
        <v>12</v>
      </c>
      <c r="Y231" s="76">
        <f>AV230</f>
        <v>604800</v>
      </c>
      <c r="Z231" s="60" t="s">
        <v>874</v>
      </c>
      <c r="AA231" s="60">
        <v>7430400</v>
      </c>
      <c r="AB231" s="60" t="str">
        <f>IF(AA231&lt;60,"1",IF(AA231&lt;=43200,"2",IF(AA231&lt;=777600,"3","4")))</f>
        <v>4</v>
      </c>
      <c r="AC231" s="56">
        <f>AVERAGE(AV230:DA230)</f>
        <v>3931200</v>
      </c>
      <c r="AD231" s="60" t="str">
        <f>IF(AC231&lt;60,"1",IF(AC231&lt;=43200,"2",IF(AC231&lt;=777600,"3","4")))</f>
        <v>4</v>
      </c>
      <c r="AE231" s="76">
        <f>AA231-Y231</f>
        <v>6825600</v>
      </c>
      <c r="AF231" s="80">
        <f>AV231</f>
        <v>0.9464285714285714</v>
      </c>
      <c r="AG231" s="56">
        <f>((AW231-AV231)+(AX231-AW231)+(AY231-AX231)+(AZ231-AY231)+(BA231-AZ231)+(BB231-BA231)+(BC231-BB231)+(BD231-BC231)+(BE231-BD231)+(BF231-BE231)+(BG231-BF231))/11</f>
        <v>-1.0281385281385275E-2</v>
      </c>
      <c r="AH231" s="4"/>
      <c r="AI231" s="56">
        <f>RSQ(AV231:BG231,AV230:BG230)</f>
        <v>0.47260768581770618</v>
      </c>
      <c r="AJ231" s="109">
        <f>SLOPE(AV231:BG231,AV230:BG230)</f>
        <v>-2.6115331856772214E-8</v>
      </c>
      <c r="AK231" s="56">
        <f>INTERCEPT(AV231:BG231,AV230:BG230)</f>
        <v>0.96461650025990842</v>
      </c>
      <c r="AL231" s="56">
        <f>INDEX(LINEST(LN(AV231:BG231),LN(AV230:BG230),TRUE,TRUE),3,1)</f>
        <v>0.44785879183780131</v>
      </c>
      <c r="AM231" s="56">
        <f>INDEX(LINEST(LN(AV231:BG231),LN(AV230:BG230)),1)</f>
        <v>-8.6888183909583347E-2</v>
      </c>
      <c r="AN231" s="56">
        <f>EXP(INDEX(LINEST(LN(AV231:BG231),LN(AV230:BG230)),1,2))</f>
        <v>3.1535493812412625</v>
      </c>
      <c r="AO231" s="82">
        <f>INDEX(LINEST((AV231:BG231),LN(AV230:BG230),TRUE,TRUE),3,1)</f>
        <v>0.46802751545211618</v>
      </c>
      <c r="AP231" s="82">
        <f>INDEX(LINEST((AV231:BG231),LN(AV230:BG230)),1)</f>
        <v>-7.4978442423752345E-2</v>
      </c>
      <c r="AQ231" s="83">
        <f>INDEX(LINEST(LN(AV231:BG231),SQRT(AV230:BG230),TRUE,TRUE),3,1)</f>
        <v>0.46903877782830516</v>
      </c>
      <c r="AR231" s="116">
        <f>INDEX(LINEST(LN(AV231:BG231),SQRT((AV230:BG230))),1)</f>
        <v>-1.1066673331907369E-4</v>
      </c>
      <c r="AS231" s="84">
        <f>INDEX(LINEST(1/(AV231:BG231),1/(SQRT(AV230:BG230)),TRUE,TRUE),3,1)</f>
        <v>0.36778188793494543</v>
      </c>
      <c r="AT231" s="84">
        <f>INDEX(LINEST(1/(AV231:BG231),1/SQRT(AV230:BG230)),1)</f>
        <v>-265.32976780017924</v>
      </c>
      <c r="AU231" s="3"/>
      <c r="AV231" s="53">
        <v>0.9464285714285714</v>
      </c>
      <c r="AW231" s="53">
        <v>0.9375</v>
      </c>
      <c r="AX231" s="53">
        <v>1</v>
      </c>
      <c r="AY231" s="53">
        <v>0.86956521739130432</v>
      </c>
      <c r="AZ231" s="53">
        <v>0.8928571428571429</v>
      </c>
      <c r="BA231" s="53">
        <v>0.81666666666666665</v>
      </c>
      <c r="BB231" s="53">
        <v>0.74</v>
      </c>
      <c r="BC231" s="53">
        <v>0.90322580645161288</v>
      </c>
      <c r="BD231" s="53">
        <v>0.84615384615384615</v>
      </c>
      <c r="BE231" s="53">
        <v>0.84615384615384615</v>
      </c>
      <c r="BF231" s="53">
        <v>0.71153846153846156</v>
      </c>
      <c r="BG231" s="53">
        <v>0.83333333333333337</v>
      </c>
      <c r="BH231" s="53"/>
      <c r="BI231" s="53"/>
      <c r="BJ231" s="53"/>
      <c r="BK231" s="53"/>
      <c r="BL231" s="53"/>
      <c r="BM231" s="53"/>
      <c r="BN231" s="53"/>
      <c r="BO231" s="53"/>
      <c r="BP231" s="53"/>
      <c r="BQ231" s="53"/>
      <c r="BR231" s="53"/>
      <c r="BS231" s="53"/>
      <c r="BT231" s="53"/>
      <c r="BU231" s="53"/>
      <c r="BV231" s="53"/>
      <c r="BW231" s="53"/>
      <c r="BX231" s="53"/>
      <c r="BY231" s="53"/>
      <c r="BZ231" s="53"/>
      <c r="CA231" s="53"/>
      <c r="CB231" s="53"/>
      <c r="CC231" s="53"/>
      <c r="CD231" s="53"/>
      <c r="CE231" s="53"/>
      <c r="CF231" s="53"/>
      <c r="CG231" s="53"/>
      <c r="CH231" s="53"/>
      <c r="CI231" s="53"/>
      <c r="CJ231" s="53"/>
      <c r="CK231" s="53"/>
      <c r="CL231" s="53"/>
      <c r="CM231" s="53"/>
      <c r="CN231" s="53"/>
      <c r="CO231" s="53"/>
      <c r="CP231" s="53"/>
      <c r="CQ231" s="53"/>
      <c r="CR231" s="53"/>
      <c r="CS231" s="53"/>
      <c r="CT231" s="53"/>
      <c r="CU231" s="53"/>
      <c r="CV231" s="136"/>
      <c r="CW231" s="136"/>
      <c r="CX231" s="136"/>
      <c r="CY231" s="136"/>
      <c r="CZ231" s="136"/>
      <c r="DA231" s="136"/>
      <c r="DB231" s="136"/>
      <c r="DC231" s="136"/>
      <c r="DD231" s="136"/>
      <c r="DE231" s="136"/>
      <c r="DF231" s="136"/>
      <c r="DG231" s="136"/>
      <c r="DH231" s="136"/>
      <c r="DI231" s="136"/>
      <c r="DJ231" s="136"/>
      <c r="DK231" s="136"/>
      <c r="DL231" s="136"/>
      <c r="DM231" s="136"/>
      <c r="DN231" s="136"/>
      <c r="DO231" s="136"/>
      <c r="DP231" s="136"/>
      <c r="DQ231" s="136"/>
      <c r="DR231" s="136"/>
      <c r="DS231" s="136"/>
      <c r="DT231" s="136"/>
      <c r="DU231" s="136"/>
      <c r="DV231" s="136"/>
      <c r="DW231" s="136"/>
      <c r="DX231" s="136"/>
      <c r="DY231" s="136"/>
      <c r="DZ231" s="136"/>
      <c r="EA231" s="136"/>
      <c r="EB231" s="136"/>
      <c r="EC231" s="136"/>
    </row>
    <row r="232" spans="1:133" s="13" customFormat="1" ht="12" customHeight="1" x14ac:dyDescent="0.2">
      <c r="A232" s="65">
        <v>43903</v>
      </c>
      <c r="B232" s="1"/>
      <c r="C232" s="1"/>
      <c r="D232" s="60"/>
      <c r="E232" s="76"/>
      <c r="F232" s="60"/>
      <c r="G232" s="60"/>
      <c r="H232" s="60"/>
      <c r="I232" s="60"/>
      <c r="J232" s="60"/>
      <c r="K232" s="64"/>
      <c r="L232" s="64"/>
      <c r="M232" s="60"/>
      <c r="N232" s="61"/>
      <c r="O232" s="60"/>
      <c r="P232" s="60"/>
      <c r="Q232" s="60"/>
      <c r="R232" s="60"/>
      <c r="S232" s="60"/>
      <c r="T232" s="60"/>
      <c r="U232" s="60"/>
      <c r="V232" s="60"/>
      <c r="W232" s="60"/>
      <c r="X232" s="60"/>
      <c r="Y232" s="76"/>
      <c r="Z232" s="60"/>
      <c r="AA232" s="60"/>
      <c r="AB232" s="60"/>
      <c r="AC232" s="56"/>
      <c r="AD232" s="60"/>
      <c r="AE232" s="60"/>
      <c r="AF232" s="80"/>
      <c r="AG232" s="56"/>
      <c r="AH232" s="4"/>
      <c r="AI232" s="56"/>
      <c r="AJ232" s="109"/>
      <c r="AK232" s="56"/>
      <c r="AL232" s="56"/>
      <c r="AM232" s="56"/>
      <c r="AN232" s="56"/>
      <c r="AO232" s="82"/>
      <c r="AP232" s="82"/>
      <c r="AQ232" s="83"/>
      <c r="AR232" s="116"/>
      <c r="AS232" s="84"/>
      <c r="AT232" s="84"/>
      <c r="AU232" s="3"/>
      <c r="AV232" s="25">
        <f>(60*60*24)*7</f>
        <v>604800</v>
      </c>
      <c r="AW232" s="25">
        <f>((60*60*24)*7)*2</f>
        <v>1209600</v>
      </c>
      <c r="AX232" s="25">
        <f>((60*60*24)*7)*3</f>
        <v>1814400</v>
      </c>
      <c r="AY232" s="25">
        <f>((60*60*24)*7)*4</f>
        <v>2419200</v>
      </c>
      <c r="AZ232" s="25">
        <f>((60*60*24)*7)*5</f>
        <v>3024000</v>
      </c>
      <c r="BA232" s="25">
        <f>((60*60*24)*7)*6</f>
        <v>3628800</v>
      </c>
      <c r="BB232" s="25">
        <f>((60*60*24)*7)*7</f>
        <v>4233600</v>
      </c>
      <c r="BC232" s="25">
        <f>((60*60*24)*7)*8</f>
        <v>4838400</v>
      </c>
      <c r="BD232" s="25">
        <f>((60*60*24)*7)*9</f>
        <v>5443200</v>
      </c>
      <c r="BE232" s="25">
        <f>((60*60*24)*7)*10</f>
        <v>6048000</v>
      </c>
      <c r="BF232" s="25">
        <f>((60*60*24)*7)*11</f>
        <v>6652800</v>
      </c>
      <c r="BG232" s="25">
        <f>((60*60*24)*7)*12</f>
        <v>7257600</v>
      </c>
      <c r="BH232" s="25"/>
      <c r="BI232" s="25"/>
      <c r="BJ232" s="25"/>
      <c r="BK232" s="25"/>
      <c r="BL232" s="25"/>
      <c r="BM232" s="25"/>
      <c r="BN232" s="25"/>
      <c r="BO232" s="25"/>
      <c r="BP232" s="25"/>
      <c r="BQ232" s="25"/>
      <c r="BR232" s="25"/>
      <c r="BS232" s="25"/>
      <c r="BT232" s="25"/>
      <c r="BU232" s="25"/>
      <c r="BV232" s="25"/>
      <c r="BW232" s="25"/>
      <c r="BX232" s="25"/>
      <c r="BY232" s="25"/>
      <c r="BZ232" s="25"/>
      <c r="CA232" s="25"/>
      <c r="CB232" s="25"/>
      <c r="CC232" s="25"/>
      <c r="CD232" s="25"/>
      <c r="CE232" s="25"/>
      <c r="CF232" s="25"/>
      <c r="CG232" s="25"/>
      <c r="CH232" s="25"/>
      <c r="CI232" s="25"/>
      <c r="CJ232" s="25"/>
      <c r="CK232" s="25"/>
      <c r="CL232" s="25"/>
      <c r="CM232" s="25"/>
      <c r="CN232" s="25"/>
      <c r="CO232" s="25"/>
      <c r="CP232" s="25"/>
      <c r="CQ232" s="25"/>
      <c r="CR232" s="25"/>
      <c r="CS232" s="25"/>
      <c r="CT232" s="25"/>
      <c r="CU232" s="25"/>
      <c r="CV232" s="25"/>
      <c r="CW232" s="25"/>
      <c r="CX232" s="25"/>
      <c r="CY232" s="25"/>
      <c r="CZ232" s="25"/>
      <c r="DA232" s="25"/>
      <c r="DB232" s="25"/>
      <c r="DC232" s="25"/>
      <c r="DD232" s="25"/>
      <c r="DE232" s="25"/>
      <c r="DF232" s="25"/>
      <c r="DG232" s="25"/>
      <c r="DH232" s="25"/>
      <c r="DI232" s="25"/>
      <c r="DJ232" s="25"/>
      <c r="DK232" s="25"/>
      <c r="DL232" s="25"/>
      <c r="DM232" s="25"/>
      <c r="DN232" s="25"/>
      <c r="DO232" s="25"/>
      <c r="DP232" s="25"/>
      <c r="DQ232" s="25"/>
      <c r="DR232" s="25"/>
      <c r="DS232" s="25"/>
      <c r="DT232" s="25"/>
      <c r="DU232" s="25"/>
      <c r="DV232" s="25"/>
      <c r="DW232" s="25"/>
      <c r="DX232" s="25"/>
      <c r="DY232" s="25"/>
      <c r="DZ232" s="25"/>
      <c r="EA232" s="25"/>
      <c r="EB232" s="25"/>
      <c r="EC232" s="25"/>
    </row>
    <row r="233" spans="1:133" s="13" customFormat="1" ht="12" customHeight="1" x14ac:dyDescent="0.2">
      <c r="A233" s="65">
        <v>43903</v>
      </c>
      <c r="B233" s="1" t="s">
        <v>472</v>
      </c>
      <c r="C233" s="1" t="s">
        <v>262</v>
      </c>
      <c r="D233" s="60">
        <v>2020</v>
      </c>
      <c r="E233" s="76">
        <v>1</v>
      </c>
      <c r="F233" s="60">
        <v>13</v>
      </c>
      <c r="G233" s="60">
        <v>13</v>
      </c>
      <c r="H233" s="60" t="s">
        <v>747</v>
      </c>
      <c r="I233" s="60" t="s">
        <v>865</v>
      </c>
      <c r="J233" s="60" t="s">
        <v>622</v>
      </c>
      <c r="K233" s="60">
        <f>IF(J233="syllables",1,IF(J233="trigrams",2,IF(J233="strings",3,IF(J233="visual array",4,IF(J233="characters",5,IF(J233="letters",6,IF(J233="free forms",7,IF(J233="odors",8,IF(J233="words",9,IF(J233="pictures",10,IF(J233="object pictures",11,IF(J233="faces",12,IF(J233="names",13,IF(J233="idioms",14,IF(J233="grades",15,IF(J233="syllable-digit pairs",16,IF(J233="trigram-word pairs",17,IF(J233="word-digit pairs",18,IF(J233="English-Swahili pairs",19,IF(J233="spatial position",20,IF(J233="word pairs",21,IF(J233="word triads",22,IF(J233="generated words",23,IF(J233="word definition pairs",24,IF(J233="math problems",25,IF(J233="famous faces",26,IF(J233="famous names",27,IF(J233="famous voices",28,IF(J233="television programs",29,IF(J233="race horses",30,IF(J233="new vocabulary",31,IF(J233="sentences",32,IF(J233="concepts",33,IF(J233="ad slides",34,IF(J233="scenes",35,IF(J233="famous scenes",36,IF(J233="poems",37,IF(J233="walk",38,IF(J233="faces and events",39,IF(J233="events and names",40,IF(J233="flashbulb",41,IF(J233="stories",42,IF(J233="course material",43,IF(J233="autobiographical",44,IF(J233="novels",45,IF(J233="public events",46,"99"))))))))))))))))))))))))))))))))))))))))))))))</f>
        <v>44</v>
      </c>
      <c r="L233" s="60">
        <f>IF(J233="syllables",1,IF(J233="trigrams",1,IF(J233="strings",1,IF(J233="visual array",1,IF(J233="characters",1,IF(J233="letters",1,IF(J233="free forms",1,IF(J233="odors",2,IF(J233="words",2,IF(J233="pictures",2,IF(J233="object pictures",2,IF(J233="faces",2,IF(J233="names",2,IF(J233="idioms","2",IF(J233="grades",2,IF(J233="syllable-digit pairs",3,IF(J233="trigram-word pairs",3,IF(J233="word-digit pairs",3,IF(J233="English-Swahili pairs",3,IF(J233="spatial position",3,IF(J233="word pairs",4,IF(J233="word triads",4,IF(J233="generated words",4,IF(J233="word definition pairs",4,IF(J233="math problems",4,IF(J233="famous faces",4,IF(J233="famous names",4,IF(J233="famous voices",4,IF(J233="television programs",4,IF(J233="race horses",4,IF(J233="new vocabulary",4,IF(J233="sentences",5,IF(J233="concepts",5,IF(J233="ad slides",5,IF(J233="scenes",5,IF(J233="famous scenes",5,IF(J233="poems",6,IF(J233="walk",6,IF(J233="faces and events",6,IF(J233="events and names",6,IF(J233="flashbulb",7,IF(J233="stories",7,IF(J233="course material",7,IF(J233="autobiographical",7,IF(J233="novels",7,IF(J233="public events",7,"99"))))))))))))))))))))))))))))))))))))))))))))))</f>
        <v>7</v>
      </c>
      <c r="M233" s="60">
        <v>0</v>
      </c>
      <c r="N233" s="61">
        <v>3</v>
      </c>
      <c r="O233" s="60">
        <v>0</v>
      </c>
      <c r="P233" s="60"/>
      <c r="Q233" s="60" t="s">
        <v>65</v>
      </c>
      <c r="R233" s="60">
        <f>IF(Q233="Free Recall",1,IF(Q233="Cued Recall",2,IF(Q233="Recognition",3,IF(Q233="Multiple Choice",4,IF(Q233="Savings",5,IF(Q233="Stem Completion",6,IF(Q233="Fragment Completion",7,IF(Q233="anagram solution",8,IF(Q233="Matching",9,IF(Q233="Problem Solving",10,"99"))))))))))</f>
        <v>2</v>
      </c>
      <c r="S233" s="60" t="s">
        <v>49</v>
      </c>
      <c r="T233" s="59" t="s">
        <v>581</v>
      </c>
      <c r="U233" s="60">
        <f>IF(T233="within",1,0)</f>
        <v>1</v>
      </c>
      <c r="V233" s="59">
        <v>12</v>
      </c>
      <c r="W233" s="60">
        <f>F233*V233</f>
        <v>156</v>
      </c>
      <c r="X233" s="60">
        <v>12</v>
      </c>
      <c r="Y233" s="76">
        <f>AV232</f>
        <v>604800</v>
      </c>
      <c r="Z233" s="60" t="s">
        <v>874</v>
      </c>
      <c r="AA233" s="60">
        <v>7430400</v>
      </c>
      <c r="AB233" s="60" t="str">
        <f>IF(AA233&lt;60,"1",IF(AA233&lt;=43200,"2",IF(AA233&lt;=777600,"3","4")))</f>
        <v>4</v>
      </c>
      <c r="AC233" s="56">
        <f>AVERAGE(AV232:DA232)</f>
        <v>3931200</v>
      </c>
      <c r="AD233" s="60" t="str">
        <f>IF(AC233&lt;60,"1",IF(AC233&lt;=43200,"2",IF(AC233&lt;=777600,"3","4")))</f>
        <v>4</v>
      </c>
      <c r="AE233" s="76">
        <f>AA233-Y233</f>
        <v>6825600</v>
      </c>
      <c r="AF233" s="80">
        <f>AV233</f>
        <v>0.94625000000000004</v>
      </c>
      <c r="AG233" s="56">
        <f>((AW233-AV233)+(AX233-AW233)+(AY233-AX233)+(AZ233-AY233)+(BA233-AZ233)+(BB233-BA233)+(BC233-BB233)+(BD233-BC233)+(BE233-BD233)+(BF233-BE233)+(BG233-BF233))/11</f>
        <v>-1.3017676767676773E-2</v>
      </c>
      <c r="AH233" s="4"/>
      <c r="AI233" s="56">
        <f>RSQ(AV233:BG233,AV232:BG232)</f>
        <v>0.45144452072088165</v>
      </c>
      <c r="AJ233" s="109">
        <f>SLOPE(AV233:BG233,AV232:BG232)</f>
        <v>-1.7300716318825871E-8</v>
      </c>
      <c r="AK233" s="56">
        <f>INTERCEPT(AV233:BG233,AV232:BG232)</f>
        <v>0.89715647049729785</v>
      </c>
      <c r="AL233" s="56">
        <f>INDEX(LINEST(LN(AV233:BG233),LN(AV232:BG232),TRUE,TRUE),3,1)</f>
        <v>0.50008719021308989</v>
      </c>
      <c r="AM233" s="56">
        <f>INDEX(LINEST(LN(AV233:BG233),LN(AV232:BG232)),1)</f>
        <v>-6.2898280047467836E-2</v>
      </c>
      <c r="AN233" s="56">
        <f>EXP(INDEX(LINEST(LN(AV233:BG233),LN(AV232:BG232)),1,2))</f>
        <v>2.1226488332808713</v>
      </c>
      <c r="AO233" s="82">
        <f>INDEX(LINEST((AV233:BG233),LN(AV232:BG232),TRUE,TRUE),3,1)</f>
        <v>0.51353207650411337</v>
      </c>
      <c r="AP233" s="82">
        <f>INDEX(LINEST((AV233:BG233),LN(AV232:BG232)),1)</f>
        <v>-5.3235488328658216E-2</v>
      </c>
      <c r="AQ233" s="83">
        <f>INDEX(LINEST(LN(AV233:BG233),SQRT(AV232:BG232),TRUE,TRUE),3,1)</f>
        <v>0.47955790024813399</v>
      </c>
      <c r="AR233" s="116">
        <f>INDEX(LINEST(LN(AV233:BG233),SQRT((AV232:BG232))),1)</f>
        <v>-7.6658263586261227E-5</v>
      </c>
      <c r="AS233" s="84">
        <f>INDEX(LINEST(1/(AV233:BG233),1/(SQRT(AV232:BG232)),TRUE,TRUE),3,1)</f>
        <v>0.48099595729657507</v>
      </c>
      <c r="AT233" s="84">
        <f>INDEX(LINEST(1/(AV233:BG233),1/SQRT(AV232:BG232)),1)</f>
        <v>-209.24387709394171</v>
      </c>
      <c r="AU233" s="3"/>
      <c r="AV233" s="53">
        <v>0.94625000000000004</v>
      </c>
      <c r="AW233" s="53">
        <v>0.83240000000000003</v>
      </c>
      <c r="AX233" s="53">
        <v>0.86848484848484842</v>
      </c>
      <c r="AY233" s="53">
        <v>0.82189999999999985</v>
      </c>
      <c r="AZ233" s="53">
        <v>0.81612903225806455</v>
      </c>
      <c r="BA233" s="53">
        <v>0.89284375000000005</v>
      </c>
      <c r="BB233" s="53">
        <v>0.76848148148148154</v>
      </c>
      <c r="BC233" s="53">
        <v>0.8418000000000001</v>
      </c>
      <c r="BD233" s="53">
        <v>0.83078947368421052</v>
      </c>
      <c r="BE233" s="53">
        <v>0.79592592592592604</v>
      </c>
      <c r="BF233" s="53">
        <v>0.7316666666666668</v>
      </c>
      <c r="BG233" s="53">
        <v>0.80305555555555552</v>
      </c>
      <c r="BH233" s="53"/>
      <c r="BI233" s="53"/>
      <c r="BJ233" s="53"/>
      <c r="BK233" s="53"/>
      <c r="BL233" s="53"/>
      <c r="BM233" s="53"/>
      <c r="BN233" s="53"/>
      <c r="BO233" s="53"/>
      <c r="BP233" s="53"/>
      <c r="BQ233" s="53"/>
      <c r="BR233" s="53"/>
      <c r="BS233" s="53"/>
      <c r="BT233" s="53"/>
      <c r="BU233" s="53"/>
      <c r="BV233" s="53"/>
      <c r="BW233" s="53"/>
      <c r="BX233" s="53"/>
      <c r="BY233" s="53"/>
      <c r="BZ233" s="53"/>
      <c r="CA233" s="53"/>
      <c r="CB233" s="53"/>
      <c r="CC233" s="53"/>
      <c r="CD233" s="53"/>
      <c r="CE233" s="53"/>
      <c r="CF233" s="53"/>
      <c r="CG233" s="53"/>
      <c r="CH233" s="53"/>
      <c r="CI233" s="53"/>
      <c r="CJ233" s="53"/>
      <c r="CK233" s="53"/>
      <c r="CL233" s="53"/>
      <c r="CM233" s="53"/>
      <c r="CN233" s="53"/>
      <c r="CO233" s="53"/>
      <c r="CP233" s="53"/>
      <c r="CQ233" s="53"/>
      <c r="CR233" s="53"/>
      <c r="CS233" s="53"/>
      <c r="CT233" s="53"/>
      <c r="CU233" s="53"/>
      <c r="CV233" s="136"/>
      <c r="CW233" s="136"/>
      <c r="CX233" s="136"/>
      <c r="CY233" s="136"/>
      <c r="CZ233" s="136"/>
      <c r="DA233" s="136"/>
      <c r="DB233" s="136"/>
      <c r="DC233" s="136"/>
      <c r="DD233" s="136"/>
      <c r="DE233" s="136"/>
      <c r="DF233" s="136"/>
      <c r="DG233" s="136"/>
      <c r="DH233" s="136"/>
      <c r="DI233" s="136"/>
      <c r="DJ233" s="136"/>
      <c r="DK233" s="136"/>
      <c r="DL233" s="136"/>
      <c r="DM233" s="136"/>
      <c r="DN233" s="136"/>
      <c r="DO233" s="136"/>
      <c r="DP233" s="136"/>
      <c r="DQ233" s="136"/>
      <c r="DR233" s="136"/>
      <c r="DS233" s="136"/>
      <c r="DT233" s="136"/>
      <c r="DU233" s="136"/>
      <c r="DV233" s="136"/>
      <c r="DW233" s="136"/>
      <c r="DX233" s="136"/>
      <c r="DY233" s="136"/>
      <c r="DZ233" s="136"/>
      <c r="EA233" s="136"/>
      <c r="EB233" s="136"/>
      <c r="EC233" s="136"/>
    </row>
    <row r="234" spans="1:133" s="13" customFormat="1" ht="12" customHeight="1" x14ac:dyDescent="0.2">
      <c r="A234" s="65">
        <v>43903</v>
      </c>
      <c r="B234" s="1"/>
      <c r="C234" s="1"/>
      <c r="D234" s="60"/>
      <c r="E234" s="76"/>
      <c r="F234" s="60"/>
      <c r="G234" s="60"/>
      <c r="H234" s="60"/>
      <c r="I234" s="60"/>
      <c r="J234" s="60"/>
      <c r="K234" s="64"/>
      <c r="L234" s="64"/>
      <c r="M234" s="60"/>
      <c r="N234" s="61"/>
      <c r="O234" s="60"/>
      <c r="P234" s="60"/>
      <c r="Q234" s="60"/>
      <c r="R234" s="60"/>
      <c r="S234" s="60"/>
      <c r="T234" s="60"/>
      <c r="U234" s="60"/>
      <c r="V234" s="60"/>
      <c r="W234" s="60"/>
      <c r="X234" s="60"/>
      <c r="Y234" s="76"/>
      <c r="Z234" s="60"/>
      <c r="AA234" s="60"/>
      <c r="AB234" s="60"/>
      <c r="AC234" s="56"/>
      <c r="AD234" s="60"/>
      <c r="AE234" s="60"/>
      <c r="AF234" s="80"/>
      <c r="AG234" s="56"/>
      <c r="AH234" s="4"/>
      <c r="AI234" s="56"/>
      <c r="AJ234" s="109"/>
      <c r="AK234" s="56"/>
      <c r="AL234" s="56"/>
      <c r="AM234" s="56"/>
      <c r="AN234" s="56"/>
      <c r="AO234" s="82"/>
      <c r="AP234" s="82"/>
      <c r="AQ234" s="83"/>
      <c r="AR234" s="116"/>
      <c r="AS234" s="84"/>
      <c r="AT234" s="84"/>
      <c r="AU234" s="3"/>
      <c r="AV234" s="25">
        <f>(60*60*24)*7</f>
        <v>604800</v>
      </c>
      <c r="AW234" s="25">
        <f>((60*60*24)*7)*2</f>
        <v>1209600</v>
      </c>
      <c r="AX234" s="25">
        <f>((60*60*24)*7)*3</f>
        <v>1814400</v>
      </c>
      <c r="AY234" s="25">
        <f>((60*60*24)*7)*4</f>
        <v>2419200</v>
      </c>
      <c r="AZ234" s="25">
        <f>((60*60*24)*7)*5</f>
        <v>3024000</v>
      </c>
      <c r="BA234" s="25">
        <f>((60*60*24)*7)*6</f>
        <v>3628800</v>
      </c>
      <c r="BB234" s="25">
        <f>((60*60*24)*7)*7</f>
        <v>4233600</v>
      </c>
      <c r="BC234" s="25">
        <f>((60*60*24)*7)*8</f>
        <v>4838400</v>
      </c>
      <c r="BD234" s="25">
        <f>((60*60*24)*7)*9</f>
        <v>5443200</v>
      </c>
      <c r="BE234" s="25">
        <f>((60*60*24)*7)*10</f>
        <v>6048000</v>
      </c>
      <c r="BF234" s="25">
        <f>((60*60*24)*7)*11</f>
        <v>6652800</v>
      </c>
      <c r="BG234" s="25">
        <f>((60*60*24)*7)*12</f>
        <v>7257600</v>
      </c>
      <c r="BH234" s="25"/>
      <c r="BI234" s="25"/>
      <c r="BJ234" s="25"/>
      <c r="BK234" s="25"/>
      <c r="BL234" s="25"/>
      <c r="BM234" s="25"/>
      <c r="BN234" s="25"/>
      <c r="BO234" s="25"/>
      <c r="BP234" s="25"/>
      <c r="BQ234" s="25"/>
      <c r="BR234" s="25"/>
      <c r="BS234" s="25"/>
      <c r="BT234" s="25"/>
      <c r="BU234" s="25"/>
      <c r="BV234" s="25"/>
      <c r="BW234" s="25"/>
      <c r="BX234" s="25"/>
      <c r="BY234" s="25"/>
      <c r="BZ234" s="25"/>
      <c r="CA234" s="25"/>
      <c r="CB234" s="25"/>
      <c r="CC234" s="25"/>
      <c r="CD234" s="25"/>
      <c r="CE234" s="25"/>
      <c r="CF234" s="25"/>
      <c r="CG234" s="25"/>
      <c r="CH234" s="25"/>
      <c r="CI234" s="25"/>
      <c r="CJ234" s="25"/>
      <c r="CK234" s="25"/>
      <c r="CL234" s="25"/>
      <c r="CM234" s="25"/>
      <c r="CN234" s="25"/>
      <c r="CO234" s="25"/>
      <c r="CP234" s="25"/>
      <c r="CQ234" s="25"/>
      <c r="CR234" s="25"/>
      <c r="CS234" s="25"/>
      <c r="CT234" s="25"/>
      <c r="CU234" s="25"/>
      <c r="CV234" s="25"/>
      <c r="CW234" s="25"/>
      <c r="CX234" s="25"/>
      <c r="CY234" s="25"/>
      <c r="CZ234" s="25"/>
      <c r="DA234" s="25"/>
      <c r="DB234" s="25"/>
      <c r="DC234" s="25"/>
      <c r="DD234" s="25"/>
      <c r="DE234" s="25"/>
      <c r="DF234" s="25"/>
      <c r="DG234" s="25"/>
      <c r="DH234" s="25"/>
      <c r="DI234" s="25"/>
      <c r="DJ234" s="25"/>
      <c r="DK234" s="25"/>
      <c r="DL234" s="25"/>
      <c r="DM234" s="25"/>
      <c r="DN234" s="25"/>
      <c r="DO234" s="25"/>
      <c r="DP234" s="25"/>
      <c r="DQ234" s="25"/>
      <c r="DR234" s="25"/>
      <c r="DS234" s="25"/>
      <c r="DT234" s="25"/>
      <c r="DU234" s="25"/>
      <c r="DV234" s="25"/>
      <c r="DW234" s="25"/>
      <c r="DX234" s="25"/>
      <c r="DY234" s="25"/>
      <c r="DZ234" s="25"/>
      <c r="EA234" s="25"/>
      <c r="EB234" s="25"/>
      <c r="EC234" s="25"/>
    </row>
    <row r="235" spans="1:133" s="13" customFormat="1" ht="12" customHeight="1" x14ac:dyDescent="0.2">
      <c r="A235" s="65">
        <v>43903</v>
      </c>
      <c r="B235" s="1" t="s">
        <v>472</v>
      </c>
      <c r="C235" s="1" t="s">
        <v>262</v>
      </c>
      <c r="D235" s="60">
        <v>2020</v>
      </c>
      <c r="E235" s="76">
        <v>1</v>
      </c>
      <c r="F235" s="60">
        <v>13</v>
      </c>
      <c r="G235" s="60">
        <v>13</v>
      </c>
      <c r="H235" s="60" t="s">
        <v>747</v>
      </c>
      <c r="I235" s="60" t="s">
        <v>876</v>
      </c>
      <c r="J235" s="60" t="s">
        <v>622</v>
      </c>
      <c r="K235" s="60">
        <f>IF(J235="syllables",1,IF(J235="trigrams",2,IF(J235="strings",3,IF(J235="visual array",4,IF(J235="characters",5,IF(J235="letters",6,IF(J235="free forms",7,IF(J235="odors",8,IF(J235="words",9,IF(J235="pictures",10,IF(J235="object pictures",11,IF(J235="faces",12,IF(J235="names",13,IF(J235="idioms",14,IF(J235="grades",15,IF(J235="syllable-digit pairs",16,IF(J235="trigram-word pairs",17,IF(J235="word-digit pairs",18,IF(J235="English-Swahili pairs",19,IF(J235="spatial position",20,IF(J235="word pairs",21,IF(J235="word triads",22,IF(J235="generated words",23,IF(J235="word definition pairs",24,IF(J235="math problems",25,IF(J235="famous faces",26,IF(J235="famous names",27,IF(J235="famous voices",28,IF(J235="television programs",29,IF(J235="race horses",30,IF(J235="new vocabulary",31,IF(J235="sentences",32,IF(J235="concepts",33,IF(J235="ad slides",34,IF(J235="scenes",35,IF(J235="famous scenes",36,IF(J235="poems",37,IF(J235="walk",38,IF(J235="faces and events",39,IF(J235="events and names",40,IF(J235="flashbulb",41,IF(J235="stories",42,IF(J235="course material",43,IF(J235="autobiographical",44,IF(J235="novels",45,IF(J235="public events",46,"99"))))))))))))))))))))))))))))))))))))))))))))))</f>
        <v>44</v>
      </c>
      <c r="L235" s="60">
        <f>IF(J235="syllables",1,IF(J235="trigrams",1,IF(J235="strings",1,IF(J235="visual array",1,IF(J235="characters",1,IF(J235="letters",1,IF(J235="free forms",1,IF(J235="odors",2,IF(J235="words",2,IF(J235="pictures",2,IF(J235="object pictures",2,IF(J235="faces",2,IF(J235="names",2,IF(J235="idioms","2",IF(J235="grades",2,IF(J235="syllable-digit pairs",3,IF(J235="trigram-word pairs",3,IF(J235="word-digit pairs",3,IF(J235="English-Swahili pairs",3,IF(J235="spatial position",3,IF(J235="word pairs",4,IF(J235="word triads",4,IF(J235="generated words",4,IF(J235="word definition pairs",4,IF(J235="math problems",4,IF(J235="famous faces",4,IF(J235="famous names",4,IF(J235="famous voices",4,IF(J235="television programs",4,IF(J235="race horses",4,IF(J235="new vocabulary",4,IF(J235="sentences",5,IF(J235="concepts",5,IF(J235="ad slides",5,IF(J235="scenes",5,IF(J235="famous scenes",5,IF(J235="poems",6,IF(J235="walk",6,IF(J235="faces and events",6,IF(J235="events and names",6,IF(J235="flashbulb",7,IF(J235="stories",7,IF(J235="course material",7,IF(J235="autobiographical",7,IF(J235="novels",7,IF(J235="public events",7,"99"))))))))))))))))))))))))))))))))))))))))))))))</f>
        <v>7</v>
      </c>
      <c r="M235" s="60">
        <v>0</v>
      </c>
      <c r="N235" s="61">
        <v>3</v>
      </c>
      <c r="O235" s="60">
        <v>0</v>
      </c>
      <c r="P235" s="60"/>
      <c r="Q235" s="60" t="s">
        <v>65</v>
      </c>
      <c r="R235" s="60">
        <f>IF(Q235="Free Recall",1,IF(Q235="Cued Recall",2,IF(Q235="Recognition",3,IF(Q235="Multiple Choice",4,IF(Q235="Savings",5,IF(Q235="Stem Completion",6,IF(Q235="Fragment Completion",7,IF(Q235="anagram solution",8,IF(Q235="Matching",9,IF(Q235="Problem Solving",10,"99"))))))))))</f>
        <v>2</v>
      </c>
      <c r="S235" s="60" t="s">
        <v>49</v>
      </c>
      <c r="T235" s="59" t="s">
        <v>581</v>
      </c>
      <c r="U235" s="60">
        <f>IF(T235="within",1,0)</f>
        <v>1</v>
      </c>
      <c r="V235" s="59">
        <v>12</v>
      </c>
      <c r="W235" s="60">
        <f>F235*V235</f>
        <v>156</v>
      </c>
      <c r="X235" s="60">
        <v>12</v>
      </c>
      <c r="Y235" s="76">
        <f>AV234</f>
        <v>604800</v>
      </c>
      <c r="Z235" s="60" t="s">
        <v>874</v>
      </c>
      <c r="AA235" s="60">
        <v>7430400</v>
      </c>
      <c r="AB235" s="60" t="str">
        <f>IF(AA235&lt;60,"1",IF(AA235&lt;=43200,"2",IF(AA235&lt;=777600,"3","4")))</f>
        <v>4</v>
      </c>
      <c r="AC235" s="56">
        <f>AVERAGE(AV234:DA234)</f>
        <v>3931200</v>
      </c>
      <c r="AD235" s="60" t="str">
        <f>IF(AC235&lt;60,"1",IF(AC235&lt;=43200,"2",IF(AC235&lt;=777600,"3","4")))</f>
        <v>4</v>
      </c>
      <c r="AE235" s="76">
        <f>AA235-Y235</f>
        <v>6825600</v>
      </c>
      <c r="AF235" s="80">
        <f>AV235</f>
        <v>0.78260869565217395</v>
      </c>
      <c r="AG235" s="56">
        <f>((AW235-AV235)+(AX235-AW235)+(AY235-AX235)+(AZ235-AY235)+(BA235-AZ235)+(BB235-BA235)+(BC235-BB235)+(BD235-BC235)+(BE235-BD235)+(BF235-BE235)+(BG235-BF235))/11</f>
        <v>-8.1478399556202744E-3</v>
      </c>
      <c r="AH235" s="4"/>
      <c r="AI235" s="56">
        <f>RSQ(AV235:BG235,AV234:BG234)</f>
        <v>0.34663886901856233</v>
      </c>
      <c r="AJ235" s="109">
        <f>SLOPE(AV235:BG235,AV234:BG234)</f>
        <v>-2.4119845796287912E-8</v>
      </c>
      <c r="AK235" s="56">
        <f>INTERCEPT(AV235:BG235,AV234:BG234)</f>
        <v>0.76647225716939948</v>
      </c>
      <c r="AL235" s="56">
        <f>INDEX(LINEST(LN(AV235:BG235),LN(AV234:BG234),TRUE,TRUE),3,1)</f>
        <v>0.3601881773186234</v>
      </c>
      <c r="AM235" s="56">
        <f>INDEX(LINEST(LN(AV235:BG235),LN(AV234:BG234)),1)</f>
        <v>-0.11060405425667763</v>
      </c>
      <c r="AN235" s="56">
        <f>EXP(INDEX(LINEST(LN(AV235:BG235),LN(AV234:BG234)),1,2))</f>
        <v>3.4904383821408378</v>
      </c>
      <c r="AO235" s="82">
        <f>INDEX(LINEST((AV235:BG235),LN(AV234:BG234),TRUE,TRUE),3,1)</f>
        <v>0.37836458348081475</v>
      </c>
      <c r="AP235" s="82">
        <f>INDEX(LINEST((AV235:BG235),LN(AV234:BG234)),1)</f>
        <v>-7.270205698464513E-2</v>
      </c>
      <c r="AQ235" s="83">
        <f>INDEX(LINEST(LN(AV235:BG235),SQRT(AV234:BG234),TRUE,TRUE),3,1)</f>
        <v>0.36124724816651749</v>
      </c>
      <c r="AR235" s="116">
        <f>INDEX(LINEST(LN(AV235:BG235),SQRT((AV234:BG234))),1)</f>
        <v>-1.3785773586220403E-4</v>
      </c>
      <c r="AS235" s="84">
        <f>INDEX(LINEST(1/(AV235:BG235),1/(SQRT(AV234:BG234)),TRUE,TRUE),3,1)</f>
        <v>0.30920287209037539</v>
      </c>
      <c r="AT235" s="84">
        <f>INDEX(LINEST(1/(AV235:BG235),1/SQRT(AV234:BG234)),1)</f>
        <v>-457.83107640208948</v>
      </c>
      <c r="AU235" s="3"/>
      <c r="AV235" s="53">
        <v>0.78260869565217395</v>
      </c>
      <c r="AW235" s="53">
        <v>0.77380952380952384</v>
      </c>
      <c r="AX235" s="53">
        <v>0.6785714285714286</v>
      </c>
      <c r="AY235" s="53">
        <v>0.66279069767441856</v>
      </c>
      <c r="AZ235" s="53">
        <v>0.75</v>
      </c>
      <c r="BA235" s="53">
        <v>0.63513513513513509</v>
      </c>
      <c r="BB235" s="53">
        <v>0.68478260869565222</v>
      </c>
      <c r="BC235" s="53">
        <v>0.56000000000000005</v>
      </c>
      <c r="BD235" s="53">
        <v>0.7558139534883721</v>
      </c>
      <c r="BE235" s="53">
        <v>0.58333333333333337</v>
      </c>
      <c r="BF235" s="53">
        <v>0.5</v>
      </c>
      <c r="BG235" s="53">
        <v>0.69298245614035092</v>
      </c>
      <c r="BH235" s="53"/>
      <c r="BI235" s="53"/>
      <c r="BJ235" s="53"/>
      <c r="BK235" s="53"/>
      <c r="BL235" s="53"/>
      <c r="BM235" s="53"/>
      <c r="BN235" s="53"/>
      <c r="BO235" s="53"/>
      <c r="BP235" s="53"/>
      <c r="BQ235" s="53"/>
      <c r="BR235" s="53"/>
      <c r="BS235" s="53"/>
      <c r="BT235" s="53"/>
      <c r="BU235" s="53"/>
      <c r="BV235" s="53"/>
      <c r="BW235" s="53"/>
      <c r="BX235" s="53"/>
      <c r="BY235" s="53"/>
      <c r="BZ235" s="53"/>
      <c r="CA235" s="53"/>
      <c r="CB235" s="53"/>
      <c r="CC235" s="53"/>
      <c r="CD235" s="53"/>
      <c r="CE235" s="53"/>
      <c r="CF235" s="53"/>
      <c r="CG235" s="53"/>
      <c r="CH235" s="53"/>
      <c r="CI235" s="53"/>
      <c r="CJ235" s="53"/>
      <c r="CK235" s="53"/>
      <c r="CL235" s="53"/>
      <c r="CM235" s="53"/>
      <c r="CN235" s="53"/>
      <c r="CO235" s="53"/>
      <c r="CP235" s="53"/>
      <c r="CQ235" s="53"/>
      <c r="CR235" s="53"/>
      <c r="CS235" s="53"/>
      <c r="CT235" s="53"/>
      <c r="CU235" s="53"/>
      <c r="CV235" s="136"/>
      <c r="CW235" s="136"/>
      <c r="CX235" s="136"/>
      <c r="CY235" s="136"/>
      <c r="CZ235" s="136"/>
      <c r="DA235" s="136"/>
      <c r="DB235" s="136"/>
      <c r="DC235" s="136"/>
      <c r="DD235" s="136"/>
      <c r="DE235" s="136"/>
      <c r="DF235" s="136"/>
      <c r="DG235" s="136"/>
      <c r="DH235" s="136"/>
      <c r="DI235" s="136"/>
      <c r="DJ235" s="136"/>
      <c r="DK235" s="136"/>
      <c r="DL235" s="136"/>
      <c r="DM235" s="136"/>
      <c r="DN235" s="136"/>
      <c r="DO235" s="136"/>
      <c r="DP235" s="136"/>
      <c r="DQ235" s="136"/>
      <c r="DR235" s="136"/>
      <c r="DS235" s="136"/>
      <c r="DT235" s="136"/>
      <c r="DU235" s="136"/>
      <c r="DV235" s="136"/>
      <c r="DW235" s="136"/>
      <c r="DX235" s="136"/>
      <c r="DY235" s="136"/>
      <c r="DZ235" s="136"/>
      <c r="EA235" s="136"/>
      <c r="EB235" s="136"/>
      <c r="EC235" s="136"/>
    </row>
    <row r="236" spans="1:133" s="13" customFormat="1" ht="12" customHeight="1" x14ac:dyDescent="0.2">
      <c r="A236" s="65">
        <v>43509</v>
      </c>
      <c r="B236" s="1"/>
      <c r="C236" s="1"/>
      <c r="D236" s="60"/>
      <c r="E236" s="76"/>
      <c r="F236" s="60"/>
      <c r="G236" s="60"/>
      <c r="H236" s="60"/>
      <c r="I236" s="60"/>
      <c r="J236" s="60"/>
      <c r="K236" s="64"/>
      <c r="L236" s="64"/>
      <c r="M236" s="60"/>
      <c r="N236" s="60"/>
      <c r="O236" s="60"/>
      <c r="P236" s="60"/>
      <c r="Q236" s="60"/>
      <c r="R236" s="60"/>
      <c r="S236" s="60"/>
      <c r="T236" s="60"/>
      <c r="U236" s="60"/>
      <c r="V236" s="60"/>
      <c r="W236" s="60"/>
      <c r="X236" s="60"/>
      <c r="Y236" s="76"/>
      <c r="Z236" s="60"/>
      <c r="AA236" s="60"/>
      <c r="AB236" s="60"/>
      <c r="AC236" s="60"/>
      <c r="AD236" s="60"/>
      <c r="AE236" s="60"/>
      <c r="AF236" s="80"/>
      <c r="AG236" s="56"/>
      <c r="AH236" s="4"/>
      <c r="AI236" s="56"/>
      <c r="AJ236" s="109"/>
      <c r="AK236" s="56"/>
      <c r="AL236" s="56"/>
      <c r="AM236" s="56"/>
      <c r="AN236" s="56"/>
      <c r="AO236" s="56"/>
      <c r="AP236" s="56"/>
      <c r="AQ236" s="56"/>
      <c r="AR236" s="109"/>
      <c r="AS236" s="56"/>
      <c r="AT236" s="56"/>
      <c r="AU236" s="4"/>
      <c r="AV236" s="25">
        <f>20*60</f>
        <v>1200</v>
      </c>
      <c r="AW236" s="25">
        <f>60*60</f>
        <v>3600</v>
      </c>
      <c r="AX236" s="25">
        <f>6*60*60</f>
        <v>21600</v>
      </c>
      <c r="AY236" s="25">
        <f>2*24*60*60</f>
        <v>172800</v>
      </c>
      <c r="AZ236" s="25">
        <f>7*24*60*60</f>
        <v>604800</v>
      </c>
      <c r="BA236" s="25">
        <f>21*24*60*60</f>
        <v>1814400</v>
      </c>
      <c r="BB236" s="53"/>
      <c r="BC236" s="53"/>
      <c r="BD236" s="53"/>
      <c r="BE236" s="53"/>
      <c r="BF236" s="53"/>
      <c r="BG236" s="53"/>
      <c r="BH236" s="53"/>
      <c r="BI236" s="53"/>
      <c r="BJ236" s="53"/>
      <c r="BK236" s="53"/>
      <c r="BL236" s="53"/>
      <c r="BM236" s="53"/>
      <c r="BN236" s="53"/>
      <c r="BO236" s="53"/>
      <c r="BP236" s="53"/>
      <c r="BQ236" s="53"/>
      <c r="BR236" s="53"/>
      <c r="BS236" s="53"/>
      <c r="BT236" s="53"/>
      <c r="BU236" s="53"/>
      <c r="BV236" s="53"/>
      <c r="BW236" s="53"/>
      <c r="BX236" s="53"/>
      <c r="BY236" s="53"/>
      <c r="BZ236" s="53"/>
      <c r="CA236" s="53"/>
      <c r="CB236" s="53"/>
      <c r="CC236" s="53"/>
      <c r="CD236" s="53"/>
      <c r="CE236" s="53"/>
      <c r="CF236" s="53"/>
      <c r="CG236" s="53"/>
      <c r="CH236" s="53"/>
      <c r="CI236" s="53"/>
      <c r="CJ236" s="53"/>
      <c r="CK236" s="53"/>
      <c r="CL236" s="53"/>
      <c r="CM236" s="53"/>
      <c r="CN236" s="53"/>
      <c r="CO236" s="53"/>
      <c r="CP236" s="53"/>
      <c r="CQ236" s="53"/>
      <c r="CR236" s="1"/>
      <c r="CS236" s="1"/>
      <c r="CT236" s="1"/>
      <c r="CU236" s="1"/>
    </row>
    <row r="237" spans="1:133" s="13" customFormat="1" ht="12" customHeight="1" x14ac:dyDescent="0.2">
      <c r="A237" s="65">
        <v>43509</v>
      </c>
      <c r="B237" s="1" t="s">
        <v>163</v>
      </c>
      <c r="C237" s="1" t="s">
        <v>75</v>
      </c>
      <c r="D237" s="60">
        <v>1983</v>
      </c>
      <c r="E237" s="76">
        <v>2</v>
      </c>
      <c r="F237" s="60">
        <v>144</v>
      </c>
      <c r="G237" s="60">
        <v>24</v>
      </c>
      <c r="H237" s="60" t="s">
        <v>50</v>
      </c>
      <c r="I237" s="60" t="s">
        <v>803</v>
      </c>
      <c r="J237" s="60" t="s">
        <v>320</v>
      </c>
      <c r="K237" s="60">
        <f>IF(J237="syllables",1,IF(J237="trigrams",2,IF(J237="strings",3,IF(J237="visual array",4,IF(J237="characters",5,IF(J237="letters",6,IF(J237="free forms",7,IF(J237="odors",8,IF(J237="words",9,IF(J237="pictures",10,IF(J237="object pictures",11,IF(J237="faces",12,IF(J237="names",13,IF(J237="idioms",14,IF(J237="grades",15,IF(J237="syllable-digit pairs",16,IF(J237="trigram-word pairs",17,IF(J237="word-digit pairs",18,IF(J237="English-Swahili pairs",19,IF(J237="spatial position",20,IF(J237="word pairs",21,IF(J237="word triads",22,IF(J237="generated words",23,IF(J237="word definition pairs",24,IF(J237="math problems",25,IF(J237="famous faces",26,IF(J237="famous names",27,IF(J237="famous voices",28,IF(J237="television programs",29,IF(J237="race horses",30,IF(J237="new vocabulary",31,IF(J237="sentences",32,IF(J237="concepts",33,IF(J237="ad slides",34,IF(J237="scenes",35,IF(J237="famous scenes",36,IF(J237="poems",37,IF(J237="walk",38,IF(J237="faces and events",39,IF(J237="events and names",40,IF(J237="flashbulb",41,IF(J237="stories",42,IF(J237="course material",43,IF(J237="autobiographical",44,IF(J237="novels",45,IF(J237="public events",46,"99"))))))))))))))))))))))))))))))))))))))))))))))</f>
        <v>21</v>
      </c>
      <c r="L237" s="60">
        <f>IF(J237="syllables",1,IF(J237="trigrams",1,IF(J237="strings",1,IF(J237="visual array",1,IF(J237="characters",1,IF(J237="letters",1,IF(J237="free forms",1,IF(J237="odors",2,IF(J237="words",2,IF(J237="pictures",2,IF(J237="object pictures",2,IF(J237="faces",2,IF(J237="names",2,IF(J237="idioms","2",IF(J237="grades",2,IF(J237="syllable-digit pairs",3,IF(J237="trigram-word pairs",3,IF(J237="word-digit pairs",3,IF(J237="English-Swahili pairs",3,IF(J237="spatial position",3,IF(J237="word pairs",4,IF(J237="word triads",4,IF(J237="generated words",4,IF(J237="word definition pairs",4,IF(J237="math problems",4,IF(J237="famous faces",4,IF(J237="famous names",4,IF(J237="famous voices",4,IF(J237="television programs",4,IF(J237="race horses",4,IF(J237="new vocabulary",4,IF(J237="sentences",5,IF(J237="concepts",5,IF(J237="ad slides",5,IF(J237="scenes",5,IF(J237="famous scenes",5,IF(J237="poems",6,IF(J237="walk",6,IF(J237="faces and events",6,IF(J237="events and names",6,IF(J237="flashbulb",7,IF(J237="stories",7,IF(J237="course material",7,IF(J237="autobiographical",7,IF(J237="novels",7,IF(J237="public events",7,"99"))))))))))))))))))))))))))))))))))))))))))))))</f>
        <v>4</v>
      </c>
      <c r="M237" s="60">
        <v>0</v>
      </c>
      <c r="N237" s="60">
        <v>1</v>
      </c>
      <c r="O237" s="60">
        <v>1</v>
      </c>
      <c r="P237" s="60" t="s">
        <v>164</v>
      </c>
      <c r="Q237" s="60" t="s">
        <v>65</v>
      </c>
      <c r="R237" s="60">
        <f>IF(Q237="Free Recall",1,IF(Q237="Cued Recall",2,IF(Q237="Recognition",3,IF(Q237="Multiple Choice",4,IF(Q237="Savings",5,IF(Q237="Stem Completion",6,IF(Q237="Fragment Completion",7,IF(Q237="anagram solution",8,IF(Q237="Matching",9,IF(Q237="Problem Solving",10,"99"))))))))))</f>
        <v>2</v>
      </c>
      <c r="S237" s="60" t="s">
        <v>49</v>
      </c>
      <c r="T237" s="60" t="s">
        <v>261</v>
      </c>
      <c r="U237" s="60">
        <f>IF(T237="within",1,0)</f>
        <v>0</v>
      </c>
      <c r="V237" s="60">
        <v>24</v>
      </c>
      <c r="W237" s="60">
        <f>F237*V237</f>
        <v>3456</v>
      </c>
      <c r="X237" s="60">
        <v>6</v>
      </c>
      <c r="Y237" s="76">
        <f>AV236</f>
        <v>1200</v>
      </c>
      <c r="Z237" s="60" t="s">
        <v>165</v>
      </c>
      <c r="AA237" s="60">
        <v>1814400</v>
      </c>
      <c r="AB237" s="60" t="str">
        <f>IF(AA237&lt;60,"1",IF(AA237&lt;=43200,"2",IF(AA237&lt;=777600,"3","4")))</f>
        <v>4</v>
      </c>
      <c r="AC237" s="56">
        <f>AVERAGE(AV236:DA236)</f>
        <v>436400</v>
      </c>
      <c r="AD237" s="60" t="str">
        <f>IF(AC237&lt;60,"1",IF(AC237&lt;=43200,"2",IF(AC237&lt;=777600,"3","4")))</f>
        <v>3</v>
      </c>
      <c r="AE237" s="76">
        <f>AA237-Y237</f>
        <v>1813200</v>
      </c>
      <c r="AF237" s="80">
        <f>AV237</f>
        <v>0.98</v>
      </c>
      <c r="AG237" s="56">
        <f>((AW237-AV237)+(AX237-AW237)+(AY237-AX237)+(AZ237-AY237)+(BA237-AZ237))/5</f>
        <v>-8.2000000000000003E-2</v>
      </c>
      <c r="AH237" s="4"/>
      <c r="AI237" s="56">
        <f>RSQ(AV237:BA237,AV236:BA236)</f>
        <v>0.64604437992644359</v>
      </c>
      <c r="AJ237" s="109">
        <f>SLOPE(AV237:BA237,AV236:BA236)</f>
        <v>-2.5386589449346373E-7</v>
      </c>
      <c r="AK237" s="56">
        <f>INTERCEPT(AV237:BA237,AV236:BA236)</f>
        <v>0.94412040969028088</v>
      </c>
      <c r="AL237" s="56">
        <f>INDEX(LINEST(LN(AV237:BA237),LN(AV236:BA236),TRUE,TRUE),3,1)</f>
        <v>0.6759225173911052</v>
      </c>
      <c r="AM237" s="56">
        <f>INDEX(LINEST(LN(AV237:BA237),LN(AV236:BA236)),1)</f>
        <v>-8.6201465973200567E-2</v>
      </c>
      <c r="AN237" s="56">
        <f>EXP(INDEX(LINEST(LN(AV237:BA237),LN(AV236:BA236)),1,2))</f>
        <v>2.0469090211078673</v>
      </c>
      <c r="AO237" s="82">
        <f>INDEX(LINEST((AV237:BA237),LN(AV236:BA236),TRUE,TRUE),3,1)</f>
        <v>0.6969473981094918</v>
      </c>
      <c r="AP237" s="82">
        <f>INDEX(LINEST((AV237:BA237),LN(AV236:BA236)),1)</f>
        <v>-6.4770049890056178E-2</v>
      </c>
      <c r="AQ237" s="83">
        <f>INDEX(LINEST(LN(AV237:BA237),SQRT(AV236:BA236),TRUE,TRUE),3,1)</f>
        <v>0.77215705864865902</v>
      </c>
      <c r="AR237" s="116">
        <f>INDEX(LINEST(LN(AV237:BA237),SQRT((AV236:BA236))),1)</f>
        <v>-5.1918895356189011E-4</v>
      </c>
      <c r="AS237" s="84">
        <f>INDEX(LINEST(1/(AV237:BA237),1/(SQRT(AV236:BA236)),TRUE,TRUE),3,1)</f>
        <v>0.35837728283612885</v>
      </c>
      <c r="AT237" s="84">
        <f>INDEX(LINEST(1/(AV237:BA237),1/SQRT(AV236:BA236)),1)</f>
        <v>-22.699593354291913</v>
      </c>
      <c r="AU237" s="3"/>
      <c r="AV237" s="53">
        <v>0.98</v>
      </c>
      <c r="AW237" s="53">
        <v>1</v>
      </c>
      <c r="AX237" s="53">
        <v>1</v>
      </c>
      <c r="AY237" s="53">
        <v>0.93</v>
      </c>
      <c r="AZ237" s="53">
        <v>0.52</v>
      </c>
      <c r="BA237" s="53">
        <v>0.56999999999999995</v>
      </c>
      <c r="BB237" s="53"/>
      <c r="BC237" s="53"/>
      <c r="BD237" s="53"/>
      <c r="BE237" s="53"/>
      <c r="BF237" s="53"/>
      <c r="BG237" s="53"/>
      <c r="BH237" s="53"/>
      <c r="BI237" s="53"/>
      <c r="BJ237" s="53"/>
      <c r="BK237" s="53"/>
      <c r="BL237" s="53"/>
      <c r="BM237" s="53"/>
      <c r="BN237" s="53"/>
      <c r="BO237" s="53"/>
      <c r="BP237" s="53"/>
      <c r="BQ237" s="53"/>
      <c r="BR237" s="53"/>
      <c r="BS237" s="53"/>
      <c r="BT237" s="53"/>
      <c r="BU237" s="53"/>
      <c r="BV237" s="53"/>
      <c r="BW237" s="53"/>
      <c r="BX237" s="53"/>
      <c r="BY237" s="53"/>
      <c r="BZ237" s="53"/>
      <c r="CA237" s="53"/>
      <c r="CB237" s="53"/>
      <c r="CC237" s="53"/>
      <c r="CD237" s="53"/>
      <c r="CE237" s="53"/>
      <c r="CF237" s="53"/>
      <c r="CG237" s="53"/>
      <c r="CH237" s="53"/>
      <c r="CI237" s="53"/>
      <c r="CJ237" s="53"/>
      <c r="CK237" s="53"/>
      <c r="CL237" s="53"/>
      <c r="CM237" s="53"/>
      <c r="CN237" s="53"/>
      <c r="CO237" s="53"/>
      <c r="CP237" s="53"/>
      <c r="CQ237" s="53"/>
      <c r="CR237" s="1"/>
      <c r="CS237" s="1"/>
      <c r="CT237" s="1"/>
      <c r="CU237" s="1"/>
    </row>
    <row r="238" spans="1:133" s="13" customFormat="1" ht="12" customHeight="1" x14ac:dyDescent="0.2">
      <c r="A238" s="65">
        <v>43509</v>
      </c>
      <c r="B238" s="1"/>
      <c r="C238" s="1"/>
      <c r="D238" s="60"/>
      <c r="E238" s="76"/>
      <c r="F238" s="60"/>
      <c r="G238" s="60"/>
      <c r="H238" s="60"/>
      <c r="I238" s="60"/>
      <c r="J238" s="60"/>
      <c r="K238" s="64"/>
      <c r="L238" s="64"/>
      <c r="M238" s="60"/>
      <c r="N238" s="60"/>
      <c r="O238" s="60"/>
      <c r="P238" s="60"/>
      <c r="Q238" s="60"/>
      <c r="R238" s="60"/>
      <c r="S238" s="60"/>
      <c r="T238" s="60"/>
      <c r="U238" s="60"/>
      <c r="V238" s="60"/>
      <c r="W238" s="60"/>
      <c r="X238" s="60"/>
      <c r="Y238" s="76"/>
      <c r="Z238" s="60"/>
      <c r="AA238" s="60"/>
      <c r="AB238" s="60"/>
      <c r="AC238" s="60"/>
      <c r="AD238" s="60"/>
      <c r="AE238" s="60"/>
      <c r="AF238" s="80"/>
      <c r="AG238" s="56"/>
      <c r="AH238" s="4"/>
      <c r="AI238" s="56"/>
      <c r="AJ238" s="109"/>
      <c r="AK238" s="56"/>
      <c r="AL238" s="56"/>
      <c r="AM238" s="56"/>
      <c r="AN238" s="56"/>
      <c r="AO238" s="56"/>
      <c r="AP238" s="56"/>
      <c r="AQ238" s="56"/>
      <c r="AR238" s="109"/>
      <c r="AS238" s="56"/>
      <c r="AT238" s="56"/>
      <c r="AU238" s="4"/>
      <c r="AV238" s="25">
        <f>20*60</f>
        <v>1200</v>
      </c>
      <c r="AW238" s="25">
        <f>60*60</f>
        <v>3600</v>
      </c>
      <c r="AX238" s="25">
        <f>6*60*60</f>
        <v>21600</v>
      </c>
      <c r="AY238" s="25">
        <f>2*24*60*60</f>
        <v>172800</v>
      </c>
      <c r="AZ238" s="25">
        <f>7*24*60*60</f>
        <v>604800</v>
      </c>
      <c r="BA238" s="25">
        <f>21*24*60*60</f>
        <v>1814400</v>
      </c>
      <c r="BB238" s="53"/>
      <c r="BC238" s="53"/>
      <c r="BD238" s="53"/>
      <c r="BE238" s="53"/>
      <c r="BF238" s="53"/>
      <c r="BG238" s="53"/>
      <c r="BH238" s="53"/>
      <c r="BI238" s="53"/>
      <c r="BJ238" s="53"/>
      <c r="BK238" s="53"/>
      <c r="BL238" s="53"/>
      <c r="BM238" s="53"/>
      <c r="BN238" s="53"/>
      <c r="BO238" s="53"/>
      <c r="BP238" s="53"/>
      <c r="BQ238" s="53"/>
      <c r="BR238" s="53"/>
      <c r="BS238" s="53"/>
      <c r="BT238" s="53"/>
      <c r="BU238" s="53"/>
      <c r="BV238" s="53"/>
      <c r="BW238" s="53"/>
      <c r="BX238" s="53"/>
      <c r="BY238" s="53"/>
      <c r="BZ238" s="53"/>
      <c r="CA238" s="53"/>
      <c r="CB238" s="53"/>
      <c r="CC238" s="53"/>
      <c r="CD238" s="53"/>
      <c r="CE238" s="53"/>
      <c r="CF238" s="53"/>
      <c r="CG238" s="53"/>
      <c r="CH238" s="53"/>
      <c r="CI238" s="53"/>
      <c r="CJ238" s="53"/>
      <c r="CK238" s="53"/>
      <c r="CL238" s="53"/>
      <c r="CM238" s="53"/>
      <c r="CN238" s="53"/>
      <c r="CO238" s="53"/>
      <c r="CP238" s="53"/>
      <c r="CQ238" s="53"/>
      <c r="CR238" s="1"/>
      <c r="CS238" s="1"/>
      <c r="CT238" s="1"/>
      <c r="CU238" s="1"/>
    </row>
    <row r="239" spans="1:133" s="13" customFormat="1" ht="12" customHeight="1" x14ac:dyDescent="0.2">
      <c r="A239" s="65">
        <v>43509</v>
      </c>
      <c r="B239" s="1" t="s">
        <v>163</v>
      </c>
      <c r="C239" s="1" t="s">
        <v>75</v>
      </c>
      <c r="D239" s="60">
        <v>1983</v>
      </c>
      <c r="E239" s="76">
        <v>2</v>
      </c>
      <c r="F239" s="60">
        <v>144</v>
      </c>
      <c r="G239" s="60">
        <v>24</v>
      </c>
      <c r="H239" s="60" t="s">
        <v>50</v>
      </c>
      <c r="I239" s="60" t="s">
        <v>805</v>
      </c>
      <c r="J239" s="60" t="s">
        <v>320</v>
      </c>
      <c r="K239" s="60">
        <f>IF(J239="syllables",1,IF(J239="trigrams",2,IF(J239="strings",3,IF(J239="visual array",4,IF(J239="characters",5,IF(J239="letters",6,IF(J239="free forms",7,IF(J239="odors",8,IF(J239="words",9,IF(J239="pictures",10,IF(J239="object pictures",11,IF(J239="faces",12,IF(J239="names",13,IF(J239="idioms",14,IF(J239="grades",15,IF(J239="syllable-digit pairs",16,IF(J239="trigram-word pairs",17,IF(J239="word-digit pairs",18,IF(J239="English-Swahili pairs",19,IF(J239="spatial position",20,IF(J239="word pairs",21,IF(J239="word triads",22,IF(J239="generated words",23,IF(J239="word definition pairs",24,IF(J239="math problems",25,IF(J239="famous faces",26,IF(J239="famous names",27,IF(J239="famous voices",28,IF(J239="television programs",29,IF(J239="race horses",30,IF(J239="new vocabulary",31,IF(J239="sentences",32,IF(J239="concepts",33,IF(J239="ad slides",34,IF(J239="scenes",35,IF(J239="famous scenes",36,IF(J239="poems",37,IF(J239="walk",38,IF(J239="faces and events",39,IF(J239="events and names",40,IF(J239="flashbulb",41,IF(J239="stories",42,IF(J239="course material",43,IF(J239="autobiographical",44,IF(J239="novels",45,IF(J239="public events",46,"99"))))))))))))))))))))))))))))))))))))))))))))))</f>
        <v>21</v>
      </c>
      <c r="L239" s="60">
        <f>IF(J239="syllables",1,IF(J239="trigrams",1,IF(J239="strings",1,IF(J239="visual array",1,IF(J239="characters",1,IF(J239="letters",1,IF(J239="free forms",1,IF(J239="odors",2,IF(J239="words",2,IF(J239="pictures",2,IF(J239="object pictures",2,IF(J239="faces",2,IF(J239="names",2,IF(J239="idioms","2",IF(J239="grades",2,IF(J239="syllable-digit pairs",3,IF(J239="trigram-word pairs",3,IF(J239="word-digit pairs",3,IF(J239="English-Swahili pairs",3,IF(J239="spatial position",3,IF(J239="word pairs",4,IF(J239="word triads",4,IF(J239="generated words",4,IF(J239="word definition pairs",4,IF(J239="math problems",4,IF(J239="famous faces",4,IF(J239="famous names",4,IF(J239="famous voices",4,IF(J239="television programs",4,IF(J239="race horses",4,IF(J239="new vocabulary",4,IF(J239="sentences",5,IF(J239="concepts",5,IF(J239="ad slides",5,IF(J239="scenes",5,IF(J239="famous scenes",5,IF(J239="poems",6,IF(J239="walk",6,IF(J239="faces and events",6,IF(J239="events and names",6,IF(J239="flashbulb",7,IF(J239="stories",7,IF(J239="course material",7,IF(J239="autobiographical",7,IF(J239="novels",7,IF(J239="public events",7,"99"))))))))))))))))))))))))))))))))))))))))))))))</f>
        <v>4</v>
      </c>
      <c r="M239" s="60">
        <v>0</v>
      </c>
      <c r="N239" s="60">
        <v>1</v>
      </c>
      <c r="O239" s="60">
        <v>1</v>
      </c>
      <c r="P239" s="60" t="s">
        <v>164</v>
      </c>
      <c r="Q239" s="60" t="s">
        <v>65</v>
      </c>
      <c r="R239" s="60">
        <f>IF(Q239="Free Recall",1,IF(Q239="Cued Recall",2,IF(Q239="Recognition",3,IF(Q239="Multiple Choice",4,IF(Q239="Savings",5,IF(Q239="Stem Completion",6,IF(Q239="Fragment Completion",7,IF(Q239="anagram solution",8,IF(Q239="Matching",9,IF(Q239="Problem Solving",10,"99"))))))))))</f>
        <v>2</v>
      </c>
      <c r="S239" s="60" t="s">
        <v>49</v>
      </c>
      <c r="T239" s="60" t="s">
        <v>261</v>
      </c>
      <c r="U239" s="60">
        <f>IF(T239="within",1,0)</f>
        <v>0</v>
      </c>
      <c r="V239" s="60">
        <v>24</v>
      </c>
      <c r="W239" s="60">
        <f>F239*V239</f>
        <v>3456</v>
      </c>
      <c r="X239" s="60">
        <v>6</v>
      </c>
      <c r="Y239" s="76">
        <f>AV238</f>
        <v>1200</v>
      </c>
      <c r="Z239" s="60" t="s">
        <v>165</v>
      </c>
      <c r="AA239" s="60">
        <v>1814400</v>
      </c>
      <c r="AB239" s="60" t="str">
        <f>IF(AA239&lt;60,"1",IF(AA239&lt;=43200,"2",IF(AA239&lt;=777600,"3","4")))</f>
        <v>4</v>
      </c>
      <c r="AC239" s="56">
        <f>AVERAGE(AV238:DA238)</f>
        <v>436400</v>
      </c>
      <c r="AD239" s="60" t="str">
        <f>IF(AC239&lt;60,"1",IF(AC239&lt;=43200,"2",IF(AC239&lt;=777600,"3","4")))</f>
        <v>3</v>
      </c>
      <c r="AE239" s="76">
        <f>AA239-Y239</f>
        <v>1813200</v>
      </c>
      <c r="AF239" s="80">
        <f>AV239</f>
        <v>0.74</v>
      </c>
      <c r="AG239" s="56">
        <f>((AW239-AV239)+(AX239-AW239)+(AY239-AX239)+(AZ239-AY239)+(BA239-AZ239))/5</f>
        <v>-0.10400000000000001</v>
      </c>
      <c r="AH239" s="4"/>
      <c r="AI239" s="56">
        <f>RSQ(AV239:BA239,AV238:BA238)</f>
        <v>0.397326705125506</v>
      </c>
      <c r="AJ239" s="109">
        <f>SLOPE(AV239:BA239,AV238:BA238)</f>
        <v>-2.2946520116680822E-7</v>
      </c>
      <c r="AK239" s="56">
        <f>INTERCEPT(AV239:BA239,AV238:BA238)</f>
        <v>0.53347194712252854</v>
      </c>
      <c r="AL239" s="56">
        <f>INDEX(LINEST(LN(AV239:BA239),LN(AV238:BA238),TRUE,TRUE),3,1)</f>
        <v>0.85026547079861714</v>
      </c>
      <c r="AM239" s="56">
        <f>INDEX(LINEST(LN(AV239:BA239),LN(AV238:BA238)),1)</f>
        <v>-0.21474824186994065</v>
      </c>
      <c r="AN239" s="56">
        <f>EXP(INDEX(LINEST(LN(AV239:BA239),LN(AV238:BA238)),1,2))</f>
        <v>3.7195461504513876</v>
      </c>
      <c r="AO239" s="82">
        <f>INDEX(LINEST((AV239:BA239),LN(AV238:BA238),TRUE,TRUE),3,1)</f>
        <v>0.88874034109083822</v>
      </c>
      <c r="AP239" s="82">
        <f>INDEX(LINEST((AV239:BA239),LN(AV238:BA238)),1)</f>
        <v>-8.430075224923865E-2</v>
      </c>
      <c r="AQ239" s="83">
        <f>INDEX(LINEST(LN(AV239:BA239),SQRT(AV238:BA238),TRUE,TRUE),3,1)</f>
        <v>0.62613413147428643</v>
      </c>
      <c r="AR239" s="116">
        <f>INDEX(LINEST(LN(AV239:BA239),SQRT((AV238:BA238))),1)</f>
        <v>-1.0384664283952733E-3</v>
      </c>
      <c r="AS239" s="84">
        <f>INDEX(LINEST(1/(AV239:BA239),1/(SQRT(AV238:BA238)),TRUE,TRUE),3,1)</f>
        <v>0.59553007545935954</v>
      </c>
      <c r="AT239" s="84">
        <f>INDEX(LINEST(1/(AV239:BA239),1/SQRT(AV238:BA238)),1)</f>
        <v>-142.65168617888099</v>
      </c>
      <c r="AU239" s="3"/>
      <c r="AV239" s="53">
        <v>0.74</v>
      </c>
      <c r="AW239" s="53">
        <v>0.64</v>
      </c>
      <c r="AX239" s="53">
        <v>0.62</v>
      </c>
      <c r="AY239" s="53">
        <v>0.22</v>
      </c>
      <c r="AZ239" s="53">
        <v>0.16</v>
      </c>
      <c r="BA239" s="53">
        <v>0.22</v>
      </c>
      <c r="BB239" s="53"/>
      <c r="BC239" s="53"/>
      <c r="BD239" s="53"/>
      <c r="BE239" s="53"/>
      <c r="BF239" s="53"/>
      <c r="BG239" s="53"/>
      <c r="BH239" s="53"/>
      <c r="BI239" s="53"/>
      <c r="BJ239" s="53"/>
      <c r="BK239" s="53"/>
      <c r="BL239" s="53"/>
      <c r="BM239" s="53"/>
      <c r="BN239" s="53"/>
      <c r="BO239" s="53"/>
      <c r="BP239" s="53"/>
      <c r="BQ239" s="53"/>
      <c r="BR239" s="53"/>
      <c r="BS239" s="53"/>
      <c r="BT239" s="53"/>
      <c r="BU239" s="53"/>
      <c r="BV239" s="53"/>
      <c r="BW239" s="53"/>
      <c r="BX239" s="53"/>
      <c r="BY239" s="53"/>
      <c r="BZ239" s="53"/>
      <c r="CA239" s="53"/>
      <c r="CB239" s="53"/>
      <c r="CC239" s="53"/>
      <c r="CD239" s="53"/>
      <c r="CE239" s="53"/>
      <c r="CF239" s="53"/>
      <c r="CG239" s="53"/>
      <c r="CH239" s="53"/>
      <c r="CI239" s="53"/>
      <c r="CJ239" s="53"/>
      <c r="CK239" s="53"/>
      <c r="CL239" s="53"/>
      <c r="CM239" s="53"/>
      <c r="CN239" s="53"/>
      <c r="CO239" s="53"/>
      <c r="CP239" s="53"/>
      <c r="CQ239" s="53"/>
      <c r="CR239" s="1"/>
      <c r="CS239" s="1"/>
      <c r="CT239" s="1"/>
      <c r="CU239" s="1"/>
    </row>
    <row r="240" spans="1:133" s="13" customFormat="1" ht="12" customHeight="1" x14ac:dyDescent="0.2">
      <c r="A240" s="65">
        <v>43509</v>
      </c>
      <c r="B240" s="1"/>
      <c r="C240" s="1"/>
      <c r="D240" s="60"/>
      <c r="E240" s="76"/>
      <c r="F240" s="60"/>
      <c r="G240" s="60"/>
      <c r="H240" s="60"/>
      <c r="I240" s="60"/>
      <c r="J240" s="60"/>
      <c r="K240" s="64"/>
      <c r="L240" s="64"/>
      <c r="M240" s="60"/>
      <c r="N240" s="60"/>
      <c r="O240" s="60"/>
      <c r="P240" s="60"/>
      <c r="Q240" s="60"/>
      <c r="R240" s="60"/>
      <c r="S240" s="60"/>
      <c r="T240" s="60"/>
      <c r="U240" s="60"/>
      <c r="V240" s="60"/>
      <c r="W240" s="60"/>
      <c r="X240" s="60"/>
      <c r="Y240" s="76"/>
      <c r="Z240" s="60"/>
      <c r="AA240" s="60"/>
      <c r="AB240" s="60"/>
      <c r="AC240" s="60"/>
      <c r="AD240" s="60"/>
      <c r="AE240" s="60"/>
      <c r="AF240" s="80"/>
      <c r="AG240" s="56"/>
      <c r="AH240" s="4"/>
      <c r="AI240" s="56"/>
      <c r="AJ240" s="109"/>
      <c r="AK240" s="56"/>
      <c r="AL240" s="56"/>
      <c r="AM240" s="56"/>
      <c r="AN240" s="56"/>
      <c r="AO240" s="56"/>
      <c r="AP240" s="56"/>
      <c r="AQ240" s="56"/>
      <c r="AR240" s="109"/>
      <c r="AS240" s="56"/>
      <c r="AT240" s="56"/>
      <c r="AU240" s="4"/>
      <c r="AV240" s="25">
        <v>90</v>
      </c>
      <c r="AW240" s="25">
        <f>14*24*60*60</f>
        <v>1209600</v>
      </c>
      <c r="AX240" s="25">
        <f>61*24*60*60</f>
        <v>5270400</v>
      </c>
      <c r="AZ240" s="53" t="s">
        <v>529</v>
      </c>
      <c r="BA240" s="53"/>
      <c r="BB240" s="53"/>
      <c r="BC240" s="53"/>
      <c r="BD240" s="53"/>
      <c r="BE240" s="53"/>
      <c r="BF240" s="53"/>
      <c r="BG240" s="53"/>
      <c r="BH240" s="53"/>
      <c r="BI240" s="53"/>
      <c r="BJ240" s="53"/>
      <c r="BK240" s="53"/>
      <c r="BL240" s="53"/>
      <c r="BM240" s="53"/>
      <c r="BN240" s="53"/>
      <c r="BO240" s="53"/>
      <c r="BP240" s="53"/>
      <c r="BQ240" s="53"/>
      <c r="BR240" s="53"/>
      <c r="BS240" s="53"/>
      <c r="BT240" s="53"/>
      <c r="BU240" s="53"/>
      <c r="BV240" s="53"/>
      <c r="BW240" s="53"/>
      <c r="BX240" s="53"/>
      <c r="BY240" s="53"/>
      <c r="BZ240" s="53"/>
      <c r="CA240" s="53"/>
      <c r="CB240" s="53"/>
      <c r="CC240" s="53"/>
      <c r="CD240" s="53"/>
      <c r="CE240" s="53"/>
      <c r="CF240" s="53"/>
      <c r="CG240" s="53"/>
      <c r="CH240" s="53"/>
      <c r="CI240" s="53"/>
      <c r="CJ240" s="53"/>
      <c r="CK240" s="53"/>
      <c r="CL240" s="53"/>
      <c r="CM240" s="53"/>
      <c r="CN240" s="53"/>
      <c r="CO240" s="53"/>
      <c r="CP240" s="53"/>
      <c r="CQ240" s="53"/>
      <c r="CR240" s="1"/>
      <c r="CS240" s="1"/>
      <c r="CT240" s="1"/>
      <c r="CU240" s="1"/>
    </row>
    <row r="241" spans="1:99" s="13" customFormat="1" ht="12" customHeight="1" x14ac:dyDescent="0.2">
      <c r="A241" s="65">
        <v>43509</v>
      </c>
      <c r="B241" s="22" t="s">
        <v>194</v>
      </c>
      <c r="C241" s="1" t="s">
        <v>75</v>
      </c>
      <c r="D241" s="60">
        <v>2002</v>
      </c>
      <c r="E241" s="76">
        <v>1</v>
      </c>
      <c r="F241" s="60">
        <v>60</v>
      </c>
      <c r="G241" s="60">
        <v>20</v>
      </c>
      <c r="H241" s="60" t="s">
        <v>22</v>
      </c>
      <c r="I241" s="60" t="s">
        <v>807</v>
      </c>
      <c r="J241" s="60" t="s">
        <v>16</v>
      </c>
      <c r="K241" s="60">
        <f>IF(J241="syllables",1,IF(J241="trigrams",2,IF(J241="strings",3,IF(J241="visual array",4,IF(J241="characters",5,IF(J241="letters",6,IF(J241="free forms",7,IF(J241="odors",8,IF(J241="words",9,IF(J241="pictures",10,IF(J241="object pictures",11,IF(J241="faces",12,IF(J241="names",13,IF(J241="idioms",14,IF(J241="grades",15,IF(J241="syllable-digit pairs",16,IF(J241="trigram-word pairs",17,IF(J241="word-digit pairs",18,IF(J241="English-Swahili pairs",19,IF(J241="spatial position",20,IF(J241="word pairs",21,IF(J241="word triads",22,IF(J241="generated words",23,IF(J241="word definition pairs",24,IF(J241="math problems",25,IF(J241="famous faces",26,IF(J241="famous names",27,IF(J241="famous voices",28,IF(J241="television programs",29,IF(J241="race horses",30,IF(J241="new vocabulary",31,IF(J241="sentences",32,IF(J241="concepts",33,IF(J241="ad slides",34,IF(J241="scenes",35,IF(J241="famous scenes",36,IF(J241="poems",37,IF(J241="walk",38,IF(J241="faces and events",39,IF(J241="events and names",40,IF(J241="flashbulb",41,IF(J241="stories",42,IF(J241="course material",43,IF(J241="autobiographical",44,IF(J241="novels",45,IF(J241="public events",46,"99"))))))))))))))))))))))))))))))))))))))))))))))</f>
        <v>9</v>
      </c>
      <c r="L241" s="60">
        <f>IF(J241="syllables",1,IF(J241="trigrams",1,IF(J241="strings",1,IF(J241="visual array",1,IF(J241="characters",1,IF(J241="letters",1,IF(J241="free forms",1,IF(J241="odors",2,IF(J241="words",2,IF(J241="pictures",2,IF(J241="object pictures",2,IF(J241="faces",2,IF(J241="names",2,IF(J241="idioms","2",IF(J241="grades",2,IF(J241="syllable-digit pairs",3,IF(J241="trigram-word pairs",3,IF(J241="word-digit pairs",3,IF(J241="English-Swahili pairs",3,IF(J241="spatial position",3,IF(J241="word pairs",4,IF(J241="word triads",4,IF(J241="generated words",4,IF(J241="word definition pairs",4,IF(J241="math problems",4,IF(J241="famous faces",4,IF(J241="famous names",4,IF(J241="famous voices",4,IF(J241="television programs",4,IF(J241="race horses",4,IF(J241="new vocabulary",4,IF(J241="sentences",5,IF(J241="concepts",5,IF(J241="ad slides",5,IF(J241="scenes",5,IF(J241="famous scenes",5,IF(J241="poems",6,IF(J241="walk",6,IF(J241="faces and events",6,IF(J241="events and names",6,IF(J241="flashbulb",7,IF(J241="stories",7,IF(J241="course material",7,IF(J241="autobiographical",7,IF(J241="novels",7,IF(J241="public events",7,"99"))))))))))))))))))))))))))))))))))))))))))))))</f>
        <v>2</v>
      </c>
      <c r="M241" s="60">
        <v>0</v>
      </c>
      <c r="N241" s="60">
        <v>1</v>
      </c>
      <c r="O241" s="60">
        <v>0</v>
      </c>
      <c r="P241" s="60"/>
      <c r="Q241" s="60" t="s">
        <v>174</v>
      </c>
      <c r="R241" s="60">
        <f>IF(Q241="Free Recall",1,IF(Q241="Cued Recall",2,IF(Q241="Recognition",3,IF(Q241="Multiple Choice",4,IF(Q241="Savings",5,IF(Q241="Stem Completion",6,IF(Q241="Fragment Completion",7,IF(Q241="anagram solution",8,IF(Q241="Matching",9,IF(Q241="Problem Solving",10,"99"))))))))))</f>
        <v>1</v>
      </c>
      <c r="S241" s="60" t="s">
        <v>49</v>
      </c>
      <c r="T241" s="60" t="s">
        <v>261</v>
      </c>
      <c r="U241" s="60">
        <f>IF(T241="within",1,0)</f>
        <v>0</v>
      </c>
      <c r="V241" s="60">
        <v>120</v>
      </c>
      <c r="W241" s="60">
        <f>F241*V241</f>
        <v>7200</v>
      </c>
      <c r="X241" s="60">
        <v>3</v>
      </c>
      <c r="Y241" s="76">
        <f>AV240</f>
        <v>90</v>
      </c>
      <c r="Z241" s="60" t="s">
        <v>193</v>
      </c>
      <c r="AA241" s="76">
        <f>61*24*60*60</f>
        <v>5270400</v>
      </c>
      <c r="AB241" s="60" t="str">
        <f>IF(AA241&lt;60,"1",IF(AA241&lt;=43200,"2",IF(AA241&lt;=777600,"3","4")))</f>
        <v>4</v>
      </c>
      <c r="AC241" s="56">
        <f>AVERAGE(AV240:DA240)</f>
        <v>2160030</v>
      </c>
      <c r="AD241" s="60" t="str">
        <f>IF(AC241&lt;60,"1",IF(AC241&lt;=43200,"2",IF(AC241&lt;=777600,"3","4")))</f>
        <v>4</v>
      </c>
      <c r="AE241" s="76">
        <f>AA241-Y241</f>
        <v>5270310</v>
      </c>
      <c r="AF241" s="80">
        <f>AV241</f>
        <v>0.17</v>
      </c>
      <c r="AG241" s="56">
        <f>((AW241-AV241)+(AX241-AW241))/2</f>
        <v>-6.5000000000000002E-2</v>
      </c>
      <c r="AH241" s="4"/>
      <c r="AI241" s="56">
        <f>RSQ(AV241:AX241,AV240:AX240)</f>
        <v>0.67729594446361285</v>
      </c>
      <c r="AJ241" s="109">
        <f>SLOPE(AV241:AX241,AV240:AX240)</f>
        <v>-2.0291536583229567E-8</v>
      </c>
      <c r="AK241" s="56">
        <f>INTERCEPT(AV241:AX241,AV240:AX240)</f>
        <v>0.13716366109920669</v>
      </c>
      <c r="AL241" s="56">
        <f>INDEX(LINEST(LN(AV241:AX241),LN(AV240:AX240),TRUE,TRUE),3,1)</f>
        <v>0.92897436632640218</v>
      </c>
      <c r="AM241" s="56">
        <f>INDEX(LINEST(LN(AV241:AX241),LN(AV240:AX240)),1)</f>
        <v>-0.11801571386628593</v>
      </c>
      <c r="AN241" s="56">
        <f>EXP(INDEX(LINEST(LN(AV241:AX241),LN(AV240:AX240)),1,2))</f>
        <v>0.29725072268293973</v>
      </c>
      <c r="AO241" s="82">
        <f>INDEX(LINEST((AV241:AX241),LN(AV240:AX240),TRUE,TRUE),3,1)</f>
        <v>0.99035379459268325</v>
      </c>
      <c r="AP241" s="82">
        <f>INDEX(LINEST((AV241:AX241),LN(AV240:AX240)),1)</f>
        <v>-1.1368014258457543E-2</v>
      </c>
      <c r="AQ241" s="83">
        <f>INDEX(LINEST(LN(AV241:AX241),SQRT(AV240:AX240),TRUE,TRUE),3,1)</f>
        <v>0.97565351132566225</v>
      </c>
      <c r="AR241" s="116">
        <f>INDEX(LINEST(LN(AV241:AX241),SQRT((AV240:AX240))),1)</f>
        <v>-6.3022465824387692E-4</v>
      </c>
      <c r="AS241" s="84">
        <f>INDEX(LINEST(1/(AV241:AX241),1/(SQRT(AV240:AX240)),TRUE,TRUE),3,1)</f>
        <v>0.69105493657012895</v>
      </c>
      <c r="AT241" s="84">
        <f>INDEX(LINEST(1/(AV241:AX241),1/SQRT(AV240:AX240)),1)</f>
        <v>-131.72664471131583</v>
      </c>
      <c r="AU241" s="3"/>
      <c r="AV241" s="53">
        <v>0.17</v>
      </c>
      <c r="AW241" s="53">
        <v>7.0000000000000007E-2</v>
      </c>
      <c r="AX241" s="53">
        <v>0.04</v>
      </c>
      <c r="AY241" s="53"/>
      <c r="AZ241" s="53"/>
      <c r="BA241" s="53"/>
      <c r="BB241" s="53"/>
      <c r="BC241" s="53"/>
      <c r="BD241" s="53"/>
      <c r="BE241" s="53"/>
      <c r="BF241" s="53"/>
      <c r="BG241" s="53"/>
      <c r="BH241" s="53"/>
      <c r="BI241" s="53"/>
      <c r="BJ241" s="53"/>
      <c r="BK241" s="53"/>
      <c r="BL241" s="53"/>
      <c r="BM241" s="53"/>
      <c r="BN241" s="53"/>
      <c r="BO241" s="53"/>
      <c r="BP241" s="53"/>
      <c r="BQ241" s="53"/>
      <c r="BR241" s="53"/>
      <c r="BS241" s="53"/>
      <c r="BT241" s="53"/>
      <c r="BU241" s="53"/>
      <c r="BV241" s="53"/>
      <c r="BW241" s="53"/>
      <c r="BX241" s="53"/>
      <c r="BY241" s="53"/>
      <c r="BZ241" s="53"/>
      <c r="CA241" s="53"/>
      <c r="CB241" s="53"/>
      <c r="CC241" s="53"/>
      <c r="CD241" s="53"/>
      <c r="CE241" s="53"/>
      <c r="CF241" s="53"/>
      <c r="CG241" s="53"/>
      <c r="CH241" s="53"/>
      <c r="CI241" s="53"/>
      <c r="CJ241" s="53"/>
      <c r="CK241" s="53"/>
      <c r="CL241" s="53"/>
      <c r="CM241" s="53"/>
      <c r="CN241" s="53"/>
      <c r="CO241" s="53"/>
      <c r="CP241" s="53"/>
      <c r="CQ241" s="53"/>
      <c r="CR241" s="1"/>
      <c r="CS241" s="1"/>
      <c r="CT241" s="1"/>
      <c r="CU241" s="1"/>
    </row>
    <row r="242" spans="1:99" s="13" customFormat="1" ht="12" customHeight="1" x14ac:dyDescent="0.2">
      <c r="A242" s="65">
        <v>43509</v>
      </c>
      <c r="B242" s="1"/>
      <c r="C242" s="1"/>
      <c r="D242" s="60"/>
      <c r="E242" s="76"/>
      <c r="F242" s="60"/>
      <c r="G242" s="60"/>
      <c r="H242" s="60"/>
      <c r="I242" s="60"/>
      <c r="J242" s="60"/>
      <c r="K242" s="64"/>
      <c r="L242" s="64"/>
      <c r="M242" s="60"/>
      <c r="N242" s="60"/>
      <c r="O242" s="60"/>
      <c r="P242" s="60"/>
      <c r="Q242" s="60"/>
      <c r="R242" s="60"/>
      <c r="S242" s="60"/>
      <c r="T242" s="60"/>
      <c r="U242" s="60"/>
      <c r="V242" s="60"/>
      <c r="W242" s="60"/>
      <c r="X242" s="60"/>
      <c r="Y242" s="76"/>
      <c r="Z242" s="60"/>
      <c r="AA242" s="60"/>
      <c r="AB242" s="60"/>
      <c r="AC242" s="60"/>
      <c r="AD242" s="60"/>
      <c r="AE242" s="60"/>
      <c r="AF242" s="80"/>
      <c r="AG242" s="56"/>
      <c r="AH242" s="4"/>
      <c r="AI242" s="56"/>
      <c r="AJ242" s="109"/>
      <c r="AK242" s="56"/>
      <c r="AL242" s="56"/>
      <c r="AM242" s="56"/>
      <c r="AN242" s="56"/>
      <c r="AO242" s="56"/>
      <c r="AP242" s="56"/>
      <c r="AQ242" s="82"/>
      <c r="AR242" s="115"/>
      <c r="AS242" s="82"/>
      <c r="AT242" s="82"/>
      <c r="AU242" s="4"/>
      <c r="AV242" s="25">
        <v>90</v>
      </c>
      <c r="AW242" s="25">
        <f>2*24*60*60</f>
        <v>172800</v>
      </c>
      <c r="AX242" s="25">
        <f>14*24*60*60</f>
        <v>1209600</v>
      </c>
      <c r="AY242" s="25">
        <f>61*24*60*60</f>
        <v>5270400</v>
      </c>
      <c r="AZ242" s="53"/>
      <c r="BA242" s="53"/>
      <c r="BB242" s="53"/>
      <c r="BC242" s="53"/>
      <c r="BD242" s="53"/>
      <c r="BE242" s="53"/>
      <c r="BF242" s="53"/>
      <c r="BG242" s="53"/>
      <c r="BH242" s="53"/>
      <c r="BI242" s="53"/>
      <c r="BJ242" s="53"/>
      <c r="BK242" s="53"/>
      <c r="BL242" s="53"/>
      <c r="BM242" s="53"/>
      <c r="BN242" s="53"/>
      <c r="BO242" s="53"/>
      <c r="BP242" s="53"/>
      <c r="BQ242" s="53"/>
      <c r="BR242" s="53"/>
      <c r="BS242" s="53"/>
      <c r="BT242" s="53"/>
      <c r="BU242" s="53"/>
      <c r="BV242" s="53"/>
      <c r="BW242" s="53"/>
      <c r="BX242" s="53"/>
      <c r="BY242" s="53"/>
      <c r="BZ242" s="53"/>
      <c r="CA242" s="53"/>
      <c r="CB242" s="53"/>
      <c r="CC242" s="53"/>
      <c r="CD242" s="53"/>
      <c r="CE242" s="53"/>
      <c r="CF242" s="53"/>
      <c r="CG242" s="53"/>
      <c r="CH242" s="53"/>
      <c r="CI242" s="53"/>
      <c r="CJ242" s="53"/>
      <c r="CK242" s="53"/>
      <c r="CL242" s="53"/>
      <c r="CM242" s="53"/>
      <c r="CN242" s="53"/>
      <c r="CO242" s="53"/>
      <c r="CP242" s="53"/>
      <c r="CQ242" s="53"/>
      <c r="CR242" s="1"/>
      <c r="CS242" s="1"/>
      <c r="CT242" s="1"/>
      <c r="CU242" s="1"/>
    </row>
    <row r="243" spans="1:99" s="13" customFormat="1" ht="12" customHeight="1" x14ac:dyDescent="0.2">
      <c r="A243" s="65">
        <v>43509</v>
      </c>
      <c r="B243" s="1" t="s">
        <v>194</v>
      </c>
      <c r="C243" s="1" t="s">
        <v>75</v>
      </c>
      <c r="D243" s="60">
        <v>2002</v>
      </c>
      <c r="E243" s="76">
        <v>2</v>
      </c>
      <c r="F243" s="60">
        <v>60</v>
      </c>
      <c r="G243" s="60">
        <v>20</v>
      </c>
      <c r="H243" s="60" t="s">
        <v>38</v>
      </c>
      <c r="I243" s="60" t="s">
        <v>195</v>
      </c>
      <c r="J243" s="60" t="s">
        <v>16</v>
      </c>
      <c r="K243" s="60">
        <f>IF(J243="syllables",1,IF(J243="trigrams",2,IF(J243="strings",3,IF(J243="visual array",4,IF(J243="characters",5,IF(J243="letters",6,IF(J243="free forms",7,IF(J243="odors",8,IF(J243="words",9,IF(J243="pictures",10,IF(J243="object pictures",11,IF(J243="faces",12,IF(J243="names",13,IF(J243="idioms",14,IF(J243="grades",15,IF(J243="syllable-digit pairs",16,IF(J243="trigram-word pairs",17,IF(J243="word-digit pairs",18,IF(J243="English-Swahili pairs",19,IF(J243="spatial position",20,IF(J243="word pairs",21,IF(J243="word triads",22,IF(J243="generated words",23,IF(J243="word definition pairs",24,IF(J243="math problems",25,IF(J243="famous faces",26,IF(J243="famous names",27,IF(J243="famous voices",28,IF(J243="television programs",29,IF(J243="race horses",30,IF(J243="new vocabulary",31,IF(J243="sentences",32,IF(J243="concepts",33,IF(J243="ad slides",34,IF(J243="scenes",35,IF(J243="famous scenes",36,IF(J243="poems",37,IF(J243="walk",38,IF(J243="faces and events",39,IF(J243="events and names",40,IF(J243="flashbulb",41,IF(J243="stories",42,IF(J243="course material",43,IF(J243="autobiographical",44,IF(J243="novels",45,IF(J243="public events",46,"99"))))))))))))))))))))))))))))))))))))))))))))))</f>
        <v>9</v>
      </c>
      <c r="L243" s="60">
        <f>IF(J243="syllables",1,IF(J243="trigrams",1,IF(J243="strings",1,IF(J243="visual array",1,IF(J243="characters",1,IF(J243="letters",1,IF(J243="free forms",1,IF(J243="odors",2,IF(J243="words",2,IF(J243="pictures",2,IF(J243="object pictures",2,IF(J243="faces",2,IF(J243="names",2,IF(J243="idioms","2",IF(J243="grades",2,IF(J243="syllable-digit pairs",3,IF(J243="trigram-word pairs",3,IF(J243="word-digit pairs",3,IF(J243="English-Swahili pairs",3,IF(J243="spatial position",3,IF(J243="word pairs",4,IF(J243="word triads",4,IF(J243="generated words",4,IF(J243="word definition pairs",4,IF(J243="math problems",4,IF(J243="famous faces",4,IF(J243="famous names",4,IF(J243="famous voices",4,IF(J243="television programs",4,IF(J243="race horses",4,IF(J243="new vocabulary",4,IF(J243="sentences",5,IF(J243="concepts",5,IF(J243="ad slides",5,IF(J243="scenes",5,IF(J243="famous scenes",5,IF(J243="poems",6,IF(J243="walk",6,IF(J243="faces and events",6,IF(J243="events and names",6,IF(J243="flashbulb",7,IF(J243="stories",7,IF(J243="course material",7,IF(J243="autobiographical",7,IF(J243="novels",7,IF(J243="public events",7,"99"))))))))))))))))))))))))))))))))))))))))))))))</f>
        <v>2</v>
      </c>
      <c r="M243" s="60">
        <v>0</v>
      </c>
      <c r="N243" s="60">
        <v>1</v>
      </c>
      <c r="O243" s="60">
        <v>0</v>
      </c>
      <c r="P243" s="60"/>
      <c r="Q243" s="60" t="s">
        <v>34</v>
      </c>
      <c r="R243" s="60">
        <f>IF(Q243="Free Recall",1,IF(Q243="Cued Recall",2,IF(Q243="Recognition",3,IF(Q243="Multiple Choice",4,IF(Q243="Savings",5,IF(Q243="Stem Completion",6,IF(Q243="Fragment Completion",7,IF(Q243="anagram solution",8,IF(Q243="Matching",9,IF(Q243="Problem Solving",10,"99"))))))))))</f>
        <v>3</v>
      </c>
      <c r="S243" s="60" t="s">
        <v>15</v>
      </c>
      <c r="T243" s="60" t="s">
        <v>261</v>
      </c>
      <c r="U243" s="60">
        <f>IF(T243="within",1,0)</f>
        <v>0</v>
      </c>
      <c r="V243" s="60">
        <v>48</v>
      </c>
      <c r="W243" s="60">
        <f>F243*V243</f>
        <v>2880</v>
      </c>
      <c r="X243" s="60">
        <v>4</v>
      </c>
      <c r="Y243" s="76">
        <f>AV242</f>
        <v>90</v>
      </c>
      <c r="Z243" s="60" t="s">
        <v>193</v>
      </c>
      <c r="AA243" s="76">
        <f>61*24*60*60</f>
        <v>5270400</v>
      </c>
      <c r="AB243" s="60" t="str">
        <f>IF(AA243&lt;60,"1",IF(AA243&lt;=43200,"2",IF(AA243&lt;=777600,"3","4")))</f>
        <v>4</v>
      </c>
      <c r="AC243" s="56">
        <f>AVERAGE(AV242:DA242)</f>
        <v>1663222.5</v>
      </c>
      <c r="AD243" s="60" t="str">
        <f>IF(AC243&lt;60,"1",IF(AC243&lt;=43200,"2",IF(AC243&lt;=777600,"3","4")))</f>
        <v>4</v>
      </c>
      <c r="AE243" s="76">
        <f>AA243-Y243</f>
        <v>5270310</v>
      </c>
      <c r="AF243" s="80">
        <f>AV243</f>
        <v>0.67</v>
      </c>
      <c r="AG243" s="56">
        <f>((AW243-AV243)+(AX243-AW243)+(AY243-AX243))/3</f>
        <v>-9.0000000000000011E-2</v>
      </c>
      <c r="AH243" s="4"/>
      <c r="AI243" s="56">
        <f>RSQ(AV243:AY243,AV242:AY242)</f>
        <v>0.86495753752910343</v>
      </c>
      <c r="AJ243" s="109">
        <f>SLOPE(AV243:AY243,AV242:AY242)</f>
        <v>-4.3211551135472024E-8</v>
      </c>
      <c r="AK243" s="56">
        <f>INTERCEPT(AV243:AY243,AV242:AY242)</f>
        <v>0.61687042410841764</v>
      </c>
      <c r="AL243" s="56">
        <f>INDEX(LINEST(LN(AV243:AY243),LN(AV242:AY242),TRUE,TRUE),3,1)</f>
        <v>0.72652132030644589</v>
      </c>
      <c r="AM243" s="56">
        <f>INDEX(LINEST(LN(AV243:AY243),LN(AV242:AY242)),1)</f>
        <v>-3.8483309306141564E-2</v>
      </c>
      <c r="AN243" s="56">
        <f>EXP(INDEX(LINEST(LN(AV243:AY243),LN(AV242:AY242)),1,2))</f>
        <v>0.83392734257545109</v>
      </c>
      <c r="AO243" s="82">
        <f>INDEX(LINEST((AV243:AY243),LN(AV242:AY242),TRUE,TRUE),3,1)</f>
        <v>0.79019362712175167</v>
      </c>
      <c r="AP243" s="82">
        <f>INDEX(LINEST((AV243:AY243),LN(AV242:AY242)),1)</f>
        <v>-2.0852821577341994E-2</v>
      </c>
      <c r="AQ243" s="83">
        <f>INDEX(LINEST(LN(AV243:AY243),SQRT(AV242:AY242),TRUE,TRUE),3,1)</f>
        <v>0.99487436923213646</v>
      </c>
      <c r="AR243" s="116">
        <f>INDEX(LINEST(LN(AV243:AY243),SQRT((AV242:AY242))),1)</f>
        <v>-2.1959609843673759E-4</v>
      </c>
      <c r="AS243" s="84">
        <f>INDEX(LINEST(1/(AV243:AY243),1/(SQRT(AV242:AY242)),TRUE,TRUE),3,1)</f>
        <v>0.40792996380958313</v>
      </c>
      <c r="AT243" s="84">
        <f>INDEX(LINEST(1/(AV243:AY243),1/SQRT(AV242:AY242)),1)</f>
        <v>-5.3383651811356305</v>
      </c>
      <c r="AU243" s="3"/>
      <c r="AV243" s="53">
        <v>0.67</v>
      </c>
      <c r="AW243" s="53">
        <v>0.59</v>
      </c>
      <c r="AX243" s="53">
        <v>0.52</v>
      </c>
      <c r="AY243" s="53">
        <v>0.4</v>
      </c>
      <c r="AZ243" s="53"/>
      <c r="BA243" s="53"/>
      <c r="BB243" s="53"/>
      <c r="BC243" s="53"/>
      <c r="BD243" s="53"/>
      <c r="BE243" s="53"/>
      <c r="BF243" s="53"/>
      <c r="BG243" s="53"/>
      <c r="BH243" s="53"/>
      <c r="BI243" s="53"/>
      <c r="BJ243" s="53"/>
      <c r="BK243" s="53"/>
      <c r="BL243" s="53"/>
      <c r="BM243" s="53"/>
      <c r="BN243" s="53"/>
      <c r="BO243" s="53"/>
      <c r="BP243" s="53"/>
      <c r="BQ243" s="53"/>
      <c r="BR243" s="53"/>
      <c r="BS243" s="53"/>
      <c r="BT243" s="53"/>
      <c r="BU243" s="53"/>
      <c r="BV243" s="53"/>
      <c r="BW243" s="53"/>
      <c r="BX243" s="53"/>
      <c r="BY243" s="53"/>
      <c r="BZ243" s="53"/>
      <c r="CA243" s="53"/>
      <c r="CB243" s="53"/>
      <c r="CC243" s="53"/>
      <c r="CD243" s="53"/>
      <c r="CE243" s="53"/>
      <c r="CF243" s="53"/>
      <c r="CG243" s="53"/>
      <c r="CH243" s="53"/>
      <c r="CI243" s="53"/>
      <c r="CJ243" s="53"/>
      <c r="CK243" s="53"/>
      <c r="CL243" s="53"/>
      <c r="CM243" s="53"/>
      <c r="CN243" s="53"/>
      <c r="CO243" s="53"/>
      <c r="CP243" s="53"/>
      <c r="CQ243" s="53"/>
      <c r="CR243" s="1"/>
      <c r="CS243" s="1"/>
      <c r="CT243" s="1"/>
      <c r="CU243" s="1"/>
    </row>
    <row r="244" spans="1:99" ht="12" customHeight="1" x14ac:dyDescent="0.2">
      <c r="A244" s="65">
        <v>43509</v>
      </c>
      <c r="B244" s="15"/>
      <c r="C244" s="15"/>
      <c r="D244" s="59"/>
      <c r="E244" s="75"/>
      <c r="F244" s="59"/>
      <c r="G244" s="59"/>
      <c r="H244" s="59"/>
      <c r="I244" s="59"/>
      <c r="J244" s="60"/>
      <c r="M244" s="59"/>
      <c r="N244" s="59"/>
      <c r="O244" s="59"/>
      <c r="P244" s="59"/>
      <c r="Q244" s="59"/>
      <c r="R244" s="60"/>
      <c r="S244" s="59"/>
      <c r="T244" s="59"/>
      <c r="U244" s="60"/>
      <c r="V244" s="59"/>
      <c r="W244" s="60"/>
      <c r="X244" s="59"/>
      <c r="Y244" s="76"/>
      <c r="Z244" s="59"/>
      <c r="AA244" s="59"/>
      <c r="AB244" s="60"/>
      <c r="AC244" s="60"/>
      <c r="AD244" s="60"/>
      <c r="AE244" s="60"/>
      <c r="AF244" s="80"/>
      <c r="AG244" s="56"/>
      <c r="AH244" s="4"/>
      <c r="AI244" s="55"/>
      <c r="AJ244" s="111"/>
      <c r="AK244" s="55"/>
      <c r="AL244" s="55"/>
      <c r="AM244" s="55"/>
      <c r="AN244" s="55"/>
      <c r="AO244" s="55"/>
      <c r="AP244" s="55"/>
      <c r="AQ244" s="56"/>
      <c r="AR244" s="109"/>
      <c r="AS244" s="56"/>
      <c r="AT244" s="56"/>
      <c r="AU244" s="4"/>
      <c r="AV244" s="47">
        <f>1*24*3600</f>
        <v>86400</v>
      </c>
      <c r="AW244" s="47">
        <f>6*24*3600</f>
        <v>518400</v>
      </c>
      <c r="AX244" s="47">
        <f>35*24*3600</f>
        <v>3024000</v>
      </c>
      <c r="AY244" s="11"/>
      <c r="AZ244" s="11"/>
      <c r="BA244" s="11"/>
      <c r="BB244" s="11"/>
      <c r="BC244" s="11"/>
      <c r="BD244" s="11"/>
      <c r="BE244" s="11"/>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1"/>
      <c r="CN244" s="11"/>
      <c r="CO244" s="11"/>
      <c r="CP244" s="11"/>
      <c r="CQ244" s="11"/>
      <c r="CR244" s="15"/>
      <c r="CS244" s="15"/>
      <c r="CT244" s="15"/>
      <c r="CU244" s="15"/>
    </row>
    <row r="245" spans="1:99" ht="12" customHeight="1" x14ac:dyDescent="0.2">
      <c r="A245" s="65">
        <v>43509</v>
      </c>
      <c r="B245" s="15" t="s">
        <v>269</v>
      </c>
      <c r="C245" s="15" t="s">
        <v>84</v>
      </c>
      <c r="D245" s="59">
        <v>1973</v>
      </c>
      <c r="E245" s="75">
        <v>1</v>
      </c>
      <c r="F245" s="59">
        <v>36</v>
      </c>
      <c r="G245" s="59">
        <v>36</v>
      </c>
      <c r="H245" s="59" t="s">
        <v>50</v>
      </c>
      <c r="I245" s="59" t="s">
        <v>130</v>
      </c>
      <c r="J245" s="59" t="s">
        <v>328</v>
      </c>
      <c r="K245" s="60">
        <f>IF(J245="syllables",1,IF(J245="trigrams",2,IF(J245="strings",3,IF(J245="visual array",4,IF(J245="characters",5,IF(J245="letters",6,IF(J245="free forms",7,IF(J245="odors",8,IF(J245="words",9,IF(J245="pictures",10,IF(J245="object pictures",11,IF(J245="faces",12,IF(J245="names",13,IF(J245="idioms",14,IF(J245="grades",15,IF(J245="syllable-digit pairs",16,IF(J245="trigram-word pairs",17,IF(J245="word-digit pairs",18,IF(J245="English-Swahili pairs",19,IF(J245="spatial position",20,IF(J245="word pairs",21,IF(J245="word triads",22,IF(J245="generated words",23,IF(J245="word definition pairs",24,IF(J245="math problems",25,IF(J245="famous faces",26,IF(J245="famous names",27,IF(J245="famous voices",28,IF(J245="television programs",29,IF(J245="race horses",30,IF(J245="new vocabulary",31,IF(J245="sentences",32,IF(J245="concepts",33,IF(J245="ad slides",34,IF(J245="scenes",35,IF(J245="famous scenes",36,IF(J245="poems",37,IF(J245="walk",38,IF(J245="faces and events",39,IF(J245="events and names",40,IF(J245="flashbulb",41,IF(J245="stories",42,IF(J245="course material",43,IF(J245="autobiographical",44,IF(J245="novels",45,IF(J245="public events",46,"99"))))))))))))))))))))))))))))))))))))))))))))))</f>
        <v>12</v>
      </c>
      <c r="L245" s="60">
        <f>IF(J245="syllables",1,IF(J245="trigrams",1,IF(J245="strings",1,IF(J245="visual array",1,IF(J245="characters",1,IF(J245="letters",1,IF(J245="free forms",1,IF(J245="odors",2,IF(J245="words",2,IF(J245="pictures",2,IF(J245="object pictures",2,IF(J245="faces",2,IF(J245="names",2,IF(J245="idioms","2",IF(J245="grades",2,IF(J245="syllable-digit pairs",3,IF(J245="trigram-word pairs",3,IF(J245="word-digit pairs",3,IF(J245="English-Swahili pairs",3,IF(J245="spatial position",3,IF(J245="word pairs",4,IF(J245="word triads",4,IF(J245="generated words",4,IF(J245="word definition pairs",4,IF(J245="math problems",4,IF(J245="famous faces",4,IF(J245="famous names",4,IF(J245="famous voices",4,IF(J245="television programs",4,IF(J245="race horses",4,IF(J245="new vocabulary",4,IF(J245="sentences",5,IF(J245="concepts",5,IF(J245="ad slides",5,IF(J245="scenes",5,IF(J245="famous scenes",5,IF(J245="poems",6,IF(J245="walk",6,IF(J245="faces and events",6,IF(J245="events and names",6,IF(J245="flashbulb",7,IF(J245="stories",7,IF(J245="course material",7,IF(J245="autobiographical",7,IF(J245="novels",7,IF(J245="public events",7,"99"))))))))))))))))))))))))))))))))))))))))))))))</f>
        <v>2</v>
      </c>
      <c r="M245" s="59">
        <v>0</v>
      </c>
      <c r="N245" s="59">
        <v>1</v>
      </c>
      <c r="O245" s="59">
        <v>0</v>
      </c>
      <c r="P245" s="59"/>
      <c r="Q245" s="59" t="s">
        <v>34</v>
      </c>
      <c r="R245" s="60">
        <f>IF(Q245="Free Recall",1,IF(Q245="Cued Recall",2,IF(Q245="Recognition",3,IF(Q245="Multiple Choice",4,IF(Q245="Savings",5,IF(Q245="Stem Completion",6,IF(Q245="Fragment Completion",7,IF(Q245="anagram solution",8,IF(Q245="Matching",9,IF(Q245="Problem Solving",10,"99"))))))))))</f>
        <v>3</v>
      </c>
      <c r="S245" s="60" t="s">
        <v>15</v>
      </c>
      <c r="T245" s="59" t="s">
        <v>581</v>
      </c>
      <c r="U245" s="60">
        <f>IF(T245="within",1,0)</f>
        <v>1</v>
      </c>
      <c r="V245" s="59">
        <v>18</v>
      </c>
      <c r="W245" s="60">
        <f>F245*V245</f>
        <v>648</v>
      </c>
      <c r="X245" s="59">
        <v>3</v>
      </c>
      <c r="Y245" s="76">
        <f>AV244</f>
        <v>86400</v>
      </c>
      <c r="Z245" s="59" t="s">
        <v>270</v>
      </c>
      <c r="AA245" s="59">
        <f>35*24*3600</f>
        <v>3024000</v>
      </c>
      <c r="AB245" s="60" t="str">
        <f>IF(AA245&lt;60,"1",IF(AA245&lt;=43200,"2",IF(AA245&lt;=777600,"3","4")))</f>
        <v>4</v>
      </c>
      <c r="AC245" s="56">
        <f>AVERAGE(AV244:DA244)</f>
        <v>1209600</v>
      </c>
      <c r="AD245" s="60" t="str">
        <f>IF(AC245&lt;60,"1",IF(AC245&lt;=43200,"2",IF(AC245&lt;=777600,"3","4")))</f>
        <v>4</v>
      </c>
      <c r="AE245" s="76">
        <f>AA245-Y245</f>
        <v>2937600</v>
      </c>
      <c r="AF245" s="80">
        <f>AV245</f>
        <v>0.87</v>
      </c>
      <c r="AG245" s="56">
        <f>((AW245-AV245)+(AX245-AW245))/2</f>
        <v>-3.999999999999998E-2</v>
      </c>
      <c r="AH245" s="4"/>
      <c r="AI245" s="56">
        <f>RSQ(AV245:AX245,AV244:AX244)</f>
        <v>0.4897704201155712</v>
      </c>
      <c r="AJ245" s="109">
        <f>SLOPE(AV245:AX245,AV244:AX244)</f>
        <v>-1.9232882734366408E-8</v>
      </c>
      <c r="AK245" s="56">
        <f>INTERCEPT(AV245:AX245,AV244:AX244)</f>
        <v>0.8432640949554896</v>
      </c>
      <c r="AL245" s="56">
        <f>INDEX(LINEST(LN(AV245:AX245),LN(AV244:AX244),TRUE,TRUE),3,1)</f>
        <v>0.84921547332174907</v>
      </c>
      <c r="AM245" s="56">
        <f>INDEX(LINEST(LN(AV245:AX245),LN(AV244:AX244)),1)</f>
        <v>-2.7183433179021613E-2</v>
      </c>
      <c r="AN245" s="56">
        <f>EXP(INDEX(LINEST(LN(AV245:AX245),LN(AV244:AX244)),1,2))</f>
        <v>1.1712388408150201</v>
      </c>
      <c r="AO245" s="82">
        <f>INDEX(LINEST((AV245:AX245),LN(AV244:AX244),TRUE,TRUE),3,1)</f>
        <v>0.84542709449275533</v>
      </c>
      <c r="AP245" s="82">
        <f>INDEX(LINEST((AV245:AX245),LN(AV244:AX244)),1)</f>
        <v>-2.2545413718011314E-2</v>
      </c>
      <c r="AQ245" s="83">
        <f>INDEX(LINEST(LN(AV245:AX245),SQRT(AV244:AX244),TRUE,TRUE),3,1)</f>
        <v>0.6472095742100783</v>
      </c>
      <c r="AR245" s="116">
        <f>INDEX(LINEST(LN(AV245:AX245),SQRT((AV244:AX244))),1)</f>
        <v>-5.6816260003917958E-5</v>
      </c>
      <c r="AS245" s="84">
        <f>INDEX(LINEST(1/(AV245:AX245),1/(SQRT(AV244:AX244)),TRUE,TRUE),3,1)</f>
        <v>0.9753222081312255</v>
      </c>
      <c r="AT245" s="84">
        <f>INDEX(LINEST(1/(AV245:AX245),1/SQRT(AV244:AX244)),1)</f>
        <v>-42.842499162113903</v>
      </c>
      <c r="AU245" s="3"/>
      <c r="AV245" s="11">
        <v>0.87</v>
      </c>
      <c r="AW245" s="11">
        <v>0.8</v>
      </c>
      <c r="AX245" s="11">
        <v>0.79</v>
      </c>
      <c r="AY245" s="11"/>
      <c r="AZ245" s="11"/>
      <c r="BA245" s="11"/>
      <c r="BB245" s="11"/>
      <c r="BC245" s="11"/>
      <c r="BD245" s="11"/>
      <c r="BE245" s="11"/>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1"/>
      <c r="CN245" s="11"/>
      <c r="CO245" s="11"/>
      <c r="CP245" s="11"/>
      <c r="CQ245" s="11"/>
      <c r="CR245" s="15"/>
      <c r="CS245" s="15"/>
      <c r="CT245" s="15"/>
      <c r="CU245" s="15"/>
    </row>
    <row r="246" spans="1:99" ht="12" customHeight="1" x14ac:dyDescent="0.2">
      <c r="A246" s="65">
        <v>43509</v>
      </c>
      <c r="B246" s="15"/>
      <c r="C246" s="15"/>
      <c r="D246" s="59"/>
      <c r="E246" s="75"/>
      <c r="F246" s="59"/>
      <c r="G246" s="59"/>
      <c r="H246" s="59"/>
      <c r="I246" s="59"/>
      <c r="J246" s="60"/>
      <c r="M246" s="59"/>
      <c r="N246" s="59"/>
      <c r="O246" s="59"/>
      <c r="P246" s="59"/>
      <c r="Q246" s="59"/>
      <c r="R246" s="60"/>
      <c r="S246" s="59"/>
      <c r="T246" s="59"/>
      <c r="U246" s="60"/>
      <c r="V246" s="59"/>
      <c r="W246" s="60"/>
      <c r="X246" s="59"/>
      <c r="Y246" s="76"/>
      <c r="Z246" s="59"/>
      <c r="AA246" s="59"/>
      <c r="AB246" s="60"/>
      <c r="AC246" s="60"/>
      <c r="AD246" s="60"/>
      <c r="AE246" s="60"/>
      <c r="AF246" s="80"/>
      <c r="AG246" s="56"/>
      <c r="AH246" s="4"/>
      <c r="AI246" s="55"/>
      <c r="AJ246" s="111"/>
      <c r="AK246" s="55"/>
      <c r="AL246" s="55"/>
      <c r="AM246" s="55"/>
      <c r="AN246" s="55"/>
      <c r="AO246" s="55"/>
      <c r="AP246" s="55"/>
      <c r="AQ246" s="56"/>
      <c r="AR246" s="109"/>
      <c r="AS246" s="56"/>
      <c r="AT246" s="56"/>
      <c r="AU246" s="4"/>
      <c r="AV246" s="47">
        <f>1*24*3600</f>
        <v>86400</v>
      </c>
      <c r="AW246" s="47">
        <f>6*24*3600</f>
        <v>518400</v>
      </c>
      <c r="AX246" s="47">
        <f>35*24*3600</f>
        <v>3024000</v>
      </c>
      <c r="AY246" s="11"/>
      <c r="AZ246" s="11"/>
      <c r="BA246" s="11"/>
      <c r="BB246" s="11"/>
      <c r="BC246" s="11"/>
      <c r="BD246" s="11"/>
      <c r="BE246" s="11"/>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1"/>
      <c r="CN246" s="11"/>
      <c r="CO246" s="11"/>
      <c r="CP246" s="11"/>
      <c r="CQ246" s="11"/>
      <c r="CR246" s="15"/>
      <c r="CS246" s="15"/>
      <c r="CT246" s="15"/>
      <c r="CU246" s="15"/>
    </row>
    <row r="247" spans="1:99" ht="12" customHeight="1" x14ac:dyDescent="0.2">
      <c r="A247" s="65">
        <v>43509</v>
      </c>
      <c r="B247" s="15" t="s">
        <v>269</v>
      </c>
      <c r="C247" s="15" t="s">
        <v>84</v>
      </c>
      <c r="D247" s="59">
        <v>1973</v>
      </c>
      <c r="E247" s="75">
        <v>1</v>
      </c>
      <c r="F247" s="59">
        <v>36</v>
      </c>
      <c r="G247" s="59">
        <v>36</v>
      </c>
      <c r="H247" s="59" t="s">
        <v>50</v>
      </c>
      <c r="I247" s="59" t="s">
        <v>822</v>
      </c>
      <c r="J247" s="59" t="s">
        <v>328</v>
      </c>
      <c r="K247" s="60">
        <f>IF(J247="syllables",1,IF(J247="trigrams",2,IF(J247="strings",3,IF(J247="visual array",4,IF(J247="characters",5,IF(J247="letters",6,IF(J247="free forms",7,IF(J247="odors",8,IF(J247="words",9,IF(J247="pictures",10,IF(J247="object pictures",11,IF(J247="faces",12,IF(J247="names",13,IF(J247="idioms",14,IF(J247="grades",15,IF(J247="syllable-digit pairs",16,IF(J247="trigram-word pairs",17,IF(J247="word-digit pairs",18,IF(J247="English-Swahili pairs",19,IF(J247="spatial position",20,IF(J247="word pairs",21,IF(J247="word triads",22,IF(J247="generated words",23,IF(J247="word definition pairs",24,IF(J247="math problems",25,IF(J247="famous faces",26,IF(J247="famous names",27,IF(J247="famous voices",28,IF(J247="television programs",29,IF(J247="race horses",30,IF(J247="new vocabulary",31,IF(J247="sentences",32,IF(J247="concepts",33,IF(J247="ad slides",34,IF(J247="scenes",35,IF(J247="famous scenes",36,IF(J247="poems",37,IF(J247="walk",38,IF(J247="faces and events",39,IF(J247="events and names",40,IF(J247="flashbulb",41,IF(J247="stories",42,IF(J247="course material",43,IF(J247="autobiographical",44,IF(J247="novels",45,IF(J247="public events",46,"99"))))))))))))))))))))))))))))))))))))))))))))))</f>
        <v>12</v>
      </c>
      <c r="L247" s="60">
        <f>IF(J247="syllables",1,IF(J247="trigrams",1,IF(J247="strings",1,IF(J247="visual array",1,IF(J247="characters",1,IF(J247="letters",1,IF(J247="free forms",1,IF(J247="odors",2,IF(J247="words",2,IF(J247="pictures",2,IF(J247="object pictures",2,IF(J247="faces",2,IF(J247="names",2,IF(J247="idioms","2",IF(J247="grades",2,IF(J247="syllable-digit pairs",3,IF(J247="trigram-word pairs",3,IF(J247="word-digit pairs",3,IF(J247="English-Swahili pairs",3,IF(J247="spatial position",3,IF(J247="word pairs",4,IF(J247="word triads",4,IF(J247="generated words",4,IF(J247="word definition pairs",4,IF(J247="math problems",4,IF(J247="famous faces",4,IF(J247="famous names",4,IF(J247="famous voices",4,IF(J247="television programs",4,IF(J247="race horses",4,IF(J247="new vocabulary",4,IF(J247="sentences",5,IF(J247="concepts",5,IF(J247="ad slides",5,IF(J247="scenes",5,IF(J247="famous scenes",5,IF(J247="poems",6,IF(J247="walk",6,IF(J247="faces and events",6,IF(J247="events and names",6,IF(J247="flashbulb",7,IF(J247="stories",7,IF(J247="course material",7,IF(J247="autobiographical",7,IF(J247="novels",7,IF(J247="public events",7,"99"))))))))))))))))))))))))))))))))))))))))))))))</f>
        <v>2</v>
      </c>
      <c r="M247" s="59">
        <v>0</v>
      </c>
      <c r="N247" s="59">
        <v>1</v>
      </c>
      <c r="O247" s="59">
        <v>0</v>
      </c>
      <c r="P247" s="59"/>
      <c r="Q247" s="59" t="s">
        <v>34</v>
      </c>
      <c r="R247" s="60">
        <f>IF(Q247="Free Recall",1,IF(Q247="Cued Recall",2,IF(Q247="Recognition",3,IF(Q247="Multiple Choice",4,IF(Q247="Savings",5,IF(Q247="Stem Completion",6,IF(Q247="Fragment Completion",7,IF(Q247="anagram solution",8,IF(Q247="Matching",9,IF(Q247="Problem Solving",10,"99"))))))))))</f>
        <v>3</v>
      </c>
      <c r="S247" s="60" t="s">
        <v>15</v>
      </c>
      <c r="T247" s="59" t="s">
        <v>581</v>
      </c>
      <c r="U247" s="60">
        <f>IF(T247="within",1,0)</f>
        <v>1</v>
      </c>
      <c r="V247" s="59">
        <v>18</v>
      </c>
      <c r="W247" s="60">
        <f>F247*V247</f>
        <v>648</v>
      </c>
      <c r="X247" s="59">
        <v>3</v>
      </c>
      <c r="Y247" s="76">
        <f>AV246</f>
        <v>86400</v>
      </c>
      <c r="Z247" s="59" t="s">
        <v>270</v>
      </c>
      <c r="AA247" s="59">
        <f>35*24*3600</f>
        <v>3024000</v>
      </c>
      <c r="AB247" s="60" t="str">
        <f>IF(AA247&lt;60,"1",IF(AA247&lt;=43200,"2",IF(AA247&lt;=777600,"3","4")))</f>
        <v>4</v>
      </c>
      <c r="AC247" s="56">
        <f>AVERAGE(AV246:DA246)</f>
        <v>1209600</v>
      </c>
      <c r="AD247" s="60" t="str">
        <f>IF(AC247&lt;60,"1",IF(AC247&lt;=43200,"2",IF(AC247&lt;=777600,"3","4")))</f>
        <v>4</v>
      </c>
      <c r="AE247" s="76">
        <f>AA247-Y247</f>
        <v>2937600</v>
      </c>
      <c r="AF247" s="80">
        <f>AV247</f>
        <v>0.93</v>
      </c>
      <c r="AG247" s="56">
        <f>((AW247-AV247)+(AX247-AW247))/2</f>
        <v>-0.21000000000000002</v>
      </c>
      <c r="AH247" s="4"/>
      <c r="AI247" s="56">
        <f>RSQ(AV247:AX247,AV246:AX246)</f>
        <v>0.998088718466838</v>
      </c>
      <c r="AJ247" s="109">
        <f>SLOPE(AV247:AX247,AV246:AX246)</f>
        <v>-1.4046873282778327E-7</v>
      </c>
      <c r="AK247" s="56">
        <f>INTERCEPT(AV247:AX247,AV246:AX246)</f>
        <v>0.93324431256181994</v>
      </c>
      <c r="AL247" s="56">
        <f>INDEX(LINEST(LN(AV247:AX247),LN(AV246:AX246),TRUE,TRUE),3,1)</f>
        <v>0.85621085793939655</v>
      </c>
      <c r="AM247" s="56">
        <f>INDEX(LINEST(LN(AV247:AX247),LN(AV246:AX246)),1)</f>
        <v>-0.16866132108640955</v>
      </c>
      <c r="AN247" s="56">
        <f>EXP(INDEX(LINEST(LN(AV247:AX247),LN(AV246:AX246)),1,2))</f>
        <v>6.7864992305749929</v>
      </c>
      <c r="AO247" s="82">
        <f>INDEX(LINEST((AV247:AX247),LN(AV246:AX246),TRUE,TRUE),3,1)</f>
        <v>0.88381347054928172</v>
      </c>
      <c r="AP247" s="82">
        <f>INDEX(LINEST((AV247:AX247),LN(AV246:AX246)),1)</f>
        <v>-0.11793627869762348</v>
      </c>
      <c r="AQ247" s="83">
        <f>INDEX(LINEST(LN(AV247:AX247),SQRT(AV246:AX246),TRUE,TRUE),3,1)</f>
        <v>0.97714844271452705</v>
      </c>
      <c r="AR247" s="116">
        <f>INDEX(LINEST(LN(AV247:AX247),SQRT((AV246:AX246))),1)</f>
        <v>-4.3138021610242614E-4</v>
      </c>
      <c r="AS247" s="84">
        <f>INDEX(LINEST(1/(AV247:AX247),1/(SQRT(AV246:AX246)),TRUE,TRUE),3,1)</f>
        <v>0.62484545799304991</v>
      </c>
      <c r="AT247" s="84">
        <f>INDEX(LINEST(1/(AV247:AX247),1/SQRT(AV246:AX246)),1)</f>
        <v>-263.26772316929095</v>
      </c>
      <c r="AU247" s="3"/>
      <c r="AV247" s="11">
        <v>0.93</v>
      </c>
      <c r="AW247" s="11">
        <v>0.85</v>
      </c>
      <c r="AX247" s="11">
        <v>0.51</v>
      </c>
      <c r="AY247" s="11"/>
      <c r="AZ247" s="11"/>
      <c r="BA247" s="11"/>
      <c r="BB247" s="11"/>
      <c r="BC247" s="11"/>
      <c r="BD247" s="11"/>
      <c r="BE247" s="11"/>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1"/>
      <c r="CN247" s="11"/>
      <c r="CO247" s="11"/>
      <c r="CP247" s="11"/>
      <c r="CQ247" s="11"/>
      <c r="CR247" s="15"/>
      <c r="CS247" s="15"/>
      <c r="CT247" s="15"/>
      <c r="CU247" s="15"/>
    </row>
    <row r="248" spans="1:99" ht="12" customHeight="1" x14ac:dyDescent="0.2">
      <c r="A248" s="65">
        <v>43509</v>
      </c>
      <c r="B248" s="15"/>
      <c r="C248" s="15"/>
      <c r="D248" s="59"/>
      <c r="E248" s="75"/>
      <c r="F248" s="59"/>
      <c r="G248" s="59"/>
      <c r="H248" s="59"/>
      <c r="I248" s="59"/>
      <c r="J248" s="60"/>
      <c r="M248" s="59"/>
      <c r="N248" s="59"/>
      <c r="O248" s="59"/>
      <c r="P248" s="59"/>
      <c r="Q248" s="59"/>
      <c r="R248" s="60"/>
      <c r="S248" s="59"/>
      <c r="T248" s="59"/>
      <c r="U248" s="60"/>
      <c r="V248" s="59"/>
      <c r="W248" s="60"/>
      <c r="X248" s="59"/>
      <c r="Y248" s="76"/>
      <c r="Z248" s="59"/>
      <c r="AA248" s="59"/>
      <c r="AB248" s="60"/>
      <c r="AC248" s="60"/>
      <c r="AD248" s="60"/>
      <c r="AE248" s="60"/>
      <c r="AF248" s="80"/>
      <c r="AG248" s="56"/>
      <c r="AH248" s="4"/>
      <c r="AI248" s="55"/>
      <c r="AJ248" s="111"/>
      <c r="AK248" s="55"/>
      <c r="AL248" s="55"/>
      <c r="AM248" s="55"/>
      <c r="AN248" s="55"/>
      <c r="AO248" s="55"/>
      <c r="AP248" s="55"/>
      <c r="AQ248" s="56"/>
      <c r="AR248" s="109"/>
      <c r="AS248" s="56"/>
      <c r="AT248" s="56"/>
      <c r="AU248" s="4"/>
      <c r="AV248" s="47">
        <f>1*24*3600</f>
        <v>86400</v>
      </c>
      <c r="AW248" s="47">
        <f>6*24*3600</f>
        <v>518400</v>
      </c>
      <c r="AX248" s="47">
        <f>35*24*3600</f>
        <v>3024000</v>
      </c>
      <c r="AY248" s="11"/>
      <c r="AZ248" s="11"/>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1"/>
      <c r="CN248" s="11"/>
      <c r="CO248" s="11"/>
      <c r="CP248" s="11"/>
      <c r="CQ248" s="11"/>
      <c r="CR248" s="15"/>
      <c r="CS248" s="15"/>
      <c r="CT248" s="15"/>
      <c r="CU248" s="15"/>
    </row>
    <row r="249" spans="1:99" ht="12" customHeight="1" x14ac:dyDescent="0.2">
      <c r="A249" s="65">
        <v>43509</v>
      </c>
      <c r="B249" s="15" t="s">
        <v>269</v>
      </c>
      <c r="C249" s="15" t="s">
        <v>84</v>
      </c>
      <c r="D249" s="59">
        <v>1973</v>
      </c>
      <c r="E249" s="75">
        <v>1</v>
      </c>
      <c r="F249" s="59">
        <v>36</v>
      </c>
      <c r="G249" s="59">
        <v>36</v>
      </c>
      <c r="H249" s="59" t="s">
        <v>50</v>
      </c>
      <c r="I249" s="59" t="s">
        <v>132</v>
      </c>
      <c r="J249" s="59" t="s">
        <v>328</v>
      </c>
      <c r="K249" s="60">
        <f>IF(J249="syllables",1,IF(J249="trigrams",2,IF(J249="strings",3,IF(J249="visual array",4,IF(J249="characters",5,IF(J249="letters",6,IF(J249="free forms",7,IF(J249="odors",8,IF(J249="words",9,IF(J249="pictures",10,IF(J249="object pictures",11,IF(J249="faces",12,IF(J249="names",13,IF(J249="idioms",14,IF(J249="grades",15,IF(J249="syllable-digit pairs",16,IF(J249="trigram-word pairs",17,IF(J249="word-digit pairs",18,IF(J249="English-Swahili pairs",19,IF(J249="spatial position",20,IF(J249="word pairs",21,IF(J249="word triads",22,IF(J249="generated words",23,IF(J249="word definition pairs",24,IF(J249="math problems",25,IF(J249="famous faces",26,IF(J249="famous names",27,IF(J249="famous voices",28,IF(J249="television programs",29,IF(J249="race horses",30,IF(J249="new vocabulary",31,IF(J249="sentences",32,IF(J249="concepts",33,IF(J249="ad slides",34,IF(J249="scenes",35,IF(J249="famous scenes",36,IF(J249="poems",37,IF(J249="walk",38,IF(J249="faces and events",39,IF(J249="events and names",40,IF(J249="flashbulb",41,IF(J249="stories",42,IF(J249="course material",43,IF(J249="autobiographical",44,IF(J249="novels",45,IF(J249="public events",46,"99"))))))))))))))))))))))))))))))))))))))))))))))</f>
        <v>12</v>
      </c>
      <c r="L249" s="60">
        <f>IF(J249="syllables",1,IF(J249="trigrams",1,IF(J249="strings",1,IF(J249="visual array",1,IF(J249="characters",1,IF(J249="letters",1,IF(J249="free forms",1,IF(J249="odors",2,IF(J249="words",2,IF(J249="pictures",2,IF(J249="object pictures",2,IF(J249="faces",2,IF(J249="names",2,IF(J249="idioms","2",IF(J249="grades",2,IF(J249="syllable-digit pairs",3,IF(J249="trigram-word pairs",3,IF(J249="word-digit pairs",3,IF(J249="English-Swahili pairs",3,IF(J249="spatial position",3,IF(J249="word pairs",4,IF(J249="word triads",4,IF(J249="generated words",4,IF(J249="word definition pairs",4,IF(J249="math problems",4,IF(J249="famous faces",4,IF(J249="famous names",4,IF(J249="famous voices",4,IF(J249="television programs",4,IF(J249="race horses",4,IF(J249="new vocabulary",4,IF(J249="sentences",5,IF(J249="concepts",5,IF(J249="ad slides",5,IF(J249="scenes",5,IF(J249="famous scenes",5,IF(J249="poems",6,IF(J249="walk",6,IF(J249="faces and events",6,IF(J249="events and names",6,IF(J249="flashbulb",7,IF(J249="stories",7,IF(J249="course material",7,IF(J249="autobiographical",7,IF(J249="novels",7,IF(J249="public events",7,"99"))))))))))))))))))))))))))))))))))))))))))))))</f>
        <v>2</v>
      </c>
      <c r="M249" s="59">
        <v>0</v>
      </c>
      <c r="N249" s="59">
        <v>1</v>
      </c>
      <c r="O249" s="59">
        <v>0</v>
      </c>
      <c r="P249" s="59"/>
      <c r="Q249" s="59" t="s">
        <v>34</v>
      </c>
      <c r="R249" s="60">
        <f>IF(Q249="Free Recall",1,IF(Q249="Cued Recall",2,IF(Q249="Recognition",3,IF(Q249="Multiple Choice",4,IF(Q249="Savings",5,IF(Q249="Stem Completion",6,IF(Q249="Fragment Completion",7,IF(Q249="anagram solution",8,IF(Q249="Matching",9,IF(Q249="Problem Solving",10,"99"))))))))))</f>
        <v>3</v>
      </c>
      <c r="S249" s="60" t="s">
        <v>15</v>
      </c>
      <c r="T249" s="59" t="s">
        <v>581</v>
      </c>
      <c r="U249" s="60">
        <f>IF(T249="within",1,0)</f>
        <v>1</v>
      </c>
      <c r="V249" s="59">
        <v>18</v>
      </c>
      <c r="W249" s="60">
        <f>F249*V249</f>
        <v>648</v>
      </c>
      <c r="X249" s="59">
        <v>3</v>
      </c>
      <c r="Y249" s="76">
        <f>AV248</f>
        <v>86400</v>
      </c>
      <c r="Z249" s="59" t="s">
        <v>270</v>
      </c>
      <c r="AA249" s="59">
        <f>35*24*3600</f>
        <v>3024000</v>
      </c>
      <c r="AB249" s="60" t="str">
        <f>IF(AA249&lt;60,"1",IF(AA249&lt;=43200,"2",IF(AA249&lt;=777600,"3","4")))</f>
        <v>4</v>
      </c>
      <c r="AC249" s="56">
        <f>AVERAGE(AV248:DA248)</f>
        <v>1209600</v>
      </c>
      <c r="AD249" s="60" t="str">
        <f>IF(AC249&lt;60,"1",IF(AC249&lt;=43200,"2",IF(AC249&lt;=777600,"3","4")))</f>
        <v>4</v>
      </c>
      <c r="AE249" s="76">
        <f>AA249-Y249</f>
        <v>2937600</v>
      </c>
      <c r="AF249" s="80">
        <f>AV249</f>
        <v>0.87</v>
      </c>
      <c r="AG249" s="56">
        <f>((AW249-AV249)+(AX249-AW249))/2</f>
        <v>-1.5000000000000013E-2</v>
      </c>
      <c r="AH249" s="4"/>
      <c r="AI249" s="56">
        <f>RSQ(AV249:AX249,AV248:AX248)</f>
        <v>8.1414566352401435E-3</v>
      </c>
      <c r="AJ249" s="109">
        <f>SLOPE(AV249:AX249,AV248:AX248)</f>
        <v>2.9192768436091754E-9</v>
      </c>
      <c r="AK249" s="56">
        <f>INTERCEPT(AV249:AX249,AV248:AX248)</f>
        <v>0.82313550939663704</v>
      </c>
      <c r="AL249" s="56">
        <f>INDEX(LINEST(LN(AV249:AX249),LN(AV248:AX248),TRUE,TRUE),3,1)</f>
        <v>8.0368866369222039E-2</v>
      </c>
      <c r="AM249" s="56">
        <f>INDEX(LINEST(LN(AV249:AX249),LN(AV248:AX248)),1)</f>
        <v>-1.0025145191168542E-2</v>
      </c>
      <c r="AN249" s="56">
        <f>EXP(INDEX(LINEST(LN(AV249:AX249),LN(AV248:AX248)),1,2))</f>
        <v>0.94191681545535444</v>
      </c>
      <c r="AO249" s="82">
        <f>INDEX(LINEST((AV249:AX249),LN(AV248:AX248),TRUE,TRUE),3,1)</f>
        <v>8.8017927683504554E-2</v>
      </c>
      <c r="AP249" s="82">
        <f>INDEX(LINEST((AV249:AX249),LN(AV248:AX248)),1)</f>
        <v>-8.5641016920552059E-3</v>
      </c>
      <c r="AQ249" s="83">
        <f>INDEX(LINEST(LN(AV249:AX249),SQRT(AV248:AX248),TRUE,TRUE),3,1)</f>
        <v>2.523753933991073E-3</v>
      </c>
      <c r="AR249" s="116">
        <f>INDEX(LINEST(LN(AV249:AX249),SQRT((AV248:AX248))),1)</f>
        <v>-4.2532907699055293E-6</v>
      </c>
      <c r="AS249" s="84">
        <f>INDEX(LINEST(1/(AV249:AX249),1/(SQRT(AV248:AX248)),TRUE,TRUE),3,1)</f>
        <v>0.23799288806011099</v>
      </c>
      <c r="AT249" s="84">
        <f>INDEX(LINEST(1/(AV249:AX249),1/SQRT(AV248:AX248)),1)</f>
        <v>-25.850926529800578</v>
      </c>
      <c r="AU249" s="3"/>
      <c r="AV249" s="11">
        <v>0.87</v>
      </c>
      <c r="AW249" s="11">
        <v>0.77</v>
      </c>
      <c r="AX249" s="11">
        <v>0.84</v>
      </c>
      <c r="AY249" s="11"/>
      <c r="AZ249" s="11"/>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1"/>
      <c r="CN249" s="11"/>
      <c r="CO249" s="11"/>
      <c r="CP249" s="11"/>
      <c r="CQ249" s="11"/>
      <c r="CR249" s="15"/>
      <c r="CS249" s="15"/>
      <c r="CT249" s="15"/>
      <c r="CU249" s="15"/>
    </row>
    <row r="250" spans="1:99" ht="12" customHeight="1" x14ac:dyDescent="0.2">
      <c r="A250" s="68">
        <v>43906</v>
      </c>
      <c r="B250" s="94"/>
      <c r="C250" s="94"/>
      <c r="D250" s="92"/>
      <c r="E250" s="105"/>
      <c r="F250" s="92"/>
      <c r="G250" s="92"/>
      <c r="H250" s="92"/>
      <c r="I250" s="92"/>
      <c r="J250" s="92"/>
      <c r="K250" s="107"/>
      <c r="L250" s="107"/>
      <c r="M250" s="92"/>
      <c r="N250" s="92"/>
      <c r="O250" s="92"/>
      <c r="P250" s="92"/>
      <c r="Q250" s="92"/>
      <c r="R250" s="69"/>
      <c r="S250" s="92"/>
      <c r="T250" s="92"/>
      <c r="U250" s="60"/>
      <c r="V250" s="92"/>
      <c r="W250" s="69"/>
      <c r="X250" s="92"/>
      <c r="Y250" s="87"/>
      <c r="Z250" s="92"/>
      <c r="AA250" s="92"/>
      <c r="AB250" s="69"/>
      <c r="AC250" s="69"/>
      <c r="AD250" s="69"/>
      <c r="AE250" s="69"/>
      <c r="AF250" s="88"/>
      <c r="AG250" s="72"/>
      <c r="AH250" s="4"/>
      <c r="AI250" s="108"/>
      <c r="AJ250" s="113"/>
      <c r="AK250" s="108"/>
      <c r="AL250" s="108"/>
      <c r="AM250" s="108"/>
      <c r="AN250" s="108"/>
      <c r="AO250" s="108"/>
      <c r="AP250" s="108"/>
      <c r="AQ250" s="89"/>
      <c r="AR250" s="118"/>
      <c r="AS250" s="89"/>
      <c r="AT250" s="89"/>
      <c r="AU250" s="4"/>
      <c r="AV250" s="98">
        <f>60*60*24*7</f>
        <v>604800</v>
      </c>
      <c r="AW250" s="98">
        <f>60*60*24*30</f>
        <v>2592000</v>
      </c>
      <c r="AX250" s="98">
        <f>60*60*24*30*4</f>
        <v>10368000</v>
      </c>
      <c r="AY250" s="98">
        <f>60*60*24*30*11</f>
        <v>28512000</v>
      </c>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1"/>
      <c r="CN250" s="11"/>
      <c r="CO250" s="11"/>
      <c r="CP250" s="11"/>
      <c r="CQ250" s="11"/>
      <c r="CR250" s="15"/>
      <c r="CS250" s="15"/>
      <c r="CT250" s="15"/>
      <c r="CU250" s="15"/>
    </row>
    <row r="251" spans="1:99" ht="12" customHeight="1" x14ac:dyDescent="0.2">
      <c r="A251" s="68">
        <v>43906</v>
      </c>
      <c r="B251" s="94" t="s">
        <v>271</v>
      </c>
      <c r="C251" s="94" t="s">
        <v>139</v>
      </c>
      <c r="D251" s="92">
        <v>1982</v>
      </c>
      <c r="E251" s="105">
        <v>1</v>
      </c>
      <c r="F251" s="92">
        <v>80</v>
      </c>
      <c r="G251" s="92">
        <v>20</v>
      </c>
      <c r="H251" s="92" t="s">
        <v>502</v>
      </c>
      <c r="I251" s="92"/>
      <c r="J251" s="92" t="s">
        <v>328</v>
      </c>
      <c r="K251" s="69">
        <f>IF(J251="syllables",1,IF(J251="trigrams",2,IF(J251="strings",3,IF(J251="visual array",4,IF(J251="characters",5,IF(J251="letters",6,IF(J251="free forms",7,IF(J251="odors",8,IF(J251="words",9,IF(J251="pictures",10,IF(J251="object pictures",11,IF(J251="faces",12,IF(J251="names",13,IF(J251="idioms",14,IF(J251="grades",15,IF(J251="syllable-digit pairs",16,IF(J251="trigram-word pairs",17,IF(J251="word-digit pairs",18,IF(J251="English-Swahili pairs",19,IF(J251="spatial position",20,IF(J251="word pairs",21,IF(J251="word triads",22,IF(J251="generated words",23,IF(J251="word definition pairs",24,IF(J251="math problems",25,IF(J251="famous faces",26,IF(J251="famous names",27,IF(J251="famous voices",28,IF(J251="television programs",29,IF(J251="race horses",30,IF(J251="new vocabulary",31,IF(J251="sentences",32,IF(J251="concepts",33,IF(J251="ad slides",34,IF(J251="scenes",35,IF(J251="famous scenes",36,IF(J251="poems",37,IF(J251="walk",38,IF(J251="faces and events",39,IF(J251="events and names",40,IF(J251="flashbulb",41,IF(J251="stories",42,IF(J251="course material",43,IF(J251="autobiographical",44,IF(J251="novels",45,IF(J251="public events",46,"99"))))))))))))))))))))))))))))))))))))))))))))))</f>
        <v>12</v>
      </c>
      <c r="L251" s="69">
        <f>IF(J251="syllables",1,IF(J251="trigrams",1,IF(J251="strings",1,IF(J251="visual array",1,IF(J251="characters",1,IF(J251="letters",1,IF(J251="free forms",1,IF(J251="odors",2,IF(J251="words",2,IF(J251="pictures",2,IF(J251="object pictures",2,IF(J251="faces",2,IF(J251="names",2,IF(J251="idioms","2",IF(J251="grades",2,IF(J251="syllable-digit pairs",3,IF(J251="trigram-word pairs",3,IF(J251="word-digit pairs",3,IF(J251="English-Swahili pairs",3,IF(J251="spatial position",3,IF(J251="word pairs",4,IF(J251="word triads",4,IF(J251="generated words",4,IF(J251="word definition pairs",4,IF(J251="math problems",4,IF(J251="famous faces",4,IF(J251="famous names",4,IF(J251="famous voices",4,IF(J251="television programs",4,IF(J251="race horses",4,IF(J251="new vocabulary",4,IF(J251="sentences",5,IF(J251="concepts",5,IF(J251="ad slides",5,IF(J251="scenes",5,IF(J251="famous scenes",5,IF(J251="poems",6,IF(J251="walk",6,IF(J251="faces and events",6,IF(J251="events and names",6,IF(J251="flashbulb",7,IF(J251="stories",7,IF(J251="course material",7,IF(J251="autobiographical",7,IF(J251="novels",7,IF(J251="public events",7,"99"))))))))))))))))))))))))))))))))))))))))))))))</f>
        <v>2</v>
      </c>
      <c r="M251" s="92">
        <v>0</v>
      </c>
      <c r="N251" s="92">
        <v>1</v>
      </c>
      <c r="O251" s="92">
        <v>0</v>
      </c>
      <c r="P251" s="92"/>
      <c r="Q251" s="92" t="s">
        <v>34</v>
      </c>
      <c r="R251" s="69">
        <f>IF(Q251="Free Recall",1,IF(Q251="Cued Recall",2,IF(Q251="Recognition",3,IF(Q251="Multiple Choice",4,IF(Q251="Savings",5,IF(Q251="Stem Completion",6,IF(Q251="Fragment Completion",7,IF(Q251="anagram solution",8,IF(Q251="Matching",9,IF(Q251="Problem Solving",10,"99"))))))))))</f>
        <v>3</v>
      </c>
      <c r="S251" s="69" t="s">
        <v>15</v>
      </c>
      <c r="T251" s="92" t="s">
        <v>261</v>
      </c>
      <c r="U251" s="60">
        <f>IF(T251="within",1,0)</f>
        <v>0</v>
      </c>
      <c r="V251" s="92">
        <v>1</v>
      </c>
      <c r="W251" s="69">
        <f>F251*V251</f>
        <v>80</v>
      </c>
      <c r="X251" s="92">
        <v>4</v>
      </c>
      <c r="Y251" s="87">
        <f>AV250</f>
        <v>604800</v>
      </c>
      <c r="Z251" s="92" t="s">
        <v>501</v>
      </c>
      <c r="AA251" s="92">
        <f>11*30*24*3600</f>
        <v>28512000</v>
      </c>
      <c r="AB251" s="69" t="str">
        <f>IF(AA251&lt;60,"1",IF(AA251&lt;=43200,"2",IF(AA251&lt;=777600,"3","4")))</f>
        <v>4</v>
      </c>
      <c r="AC251" s="72">
        <f>AVERAGE(AV250:DA250)</f>
        <v>10519200</v>
      </c>
      <c r="AD251" s="69" t="str">
        <f>IF(AC251&lt;60,"1",IF(AC251&lt;=43200,"2",IF(AC251&lt;=777600,"3","4")))</f>
        <v>4</v>
      </c>
      <c r="AE251" s="87">
        <f>AA251-Y251</f>
        <v>27907200</v>
      </c>
      <c r="AF251" s="88">
        <f>AV251</f>
        <v>0.64150331479029898</v>
      </c>
      <c r="AG251" s="72">
        <f>((AW251-AV251)+(AX251-AW251)+(AY251-AX251))/3</f>
        <v>-0.17681723748489034</v>
      </c>
      <c r="AH251" s="4"/>
      <c r="AI251" s="72">
        <f>RSQ(AV251:AY251,AV250:AY250)</f>
        <v>0.98201256694299155</v>
      </c>
      <c r="AJ251" s="110">
        <f>SLOPE(AV251:AY251,AV250:AY250)</f>
        <v>-1.8415229696953148E-8</v>
      </c>
      <c r="AK251" s="72">
        <f>INTERCEPT(AV251:AY251,AV250:AY250)</f>
        <v>0.64815992891926033</v>
      </c>
      <c r="AL251" s="72">
        <f>INDEX(LINEST(LN(AV251:AY251),LN(AV250:AY250),TRUE,TRUE),3,1)</f>
        <v>0.64479708109420131</v>
      </c>
      <c r="AM251" s="72">
        <f>INDEX(LINEST(LN(AV251:AY251),LN(AV250:AY250)),1)</f>
        <v>-0.39305204447771663</v>
      </c>
      <c r="AN251" s="72">
        <f>EXP(INDEX(LINEST(LN(AV251:AY251),LN(AV250:AY250)),1,2))</f>
        <v>157.11631953673279</v>
      </c>
      <c r="AO251" s="89">
        <f>INDEX(LINEST((AV251:AY251),LN(AV250:AY250),TRUE,TRUE),3,1)</f>
        <v>0.75780633769582795</v>
      </c>
      <c r="AP251" s="89">
        <f>INDEX(LINEST((AV251:AY251),LN(AV250:AY250)),1)</f>
        <v>-0.12266379495160135</v>
      </c>
      <c r="AQ251" s="90">
        <f>INDEX(LINEST(LN(AV251:AY251),SQRT(AV250:AY250),TRUE,TRUE),3,1)</f>
        <v>0.84447375833918614</v>
      </c>
      <c r="AR251" s="117">
        <f>INDEX(LINEST(LN(AV251:AY251),SQRT((AV250:AY250))),1)</f>
        <v>-3.752804445221067E-4</v>
      </c>
      <c r="AS251" s="91">
        <f>INDEX(LINEST(1/(AV251:AY251),1/(SQRT(AV250:AY250)),TRUE,TRUE),3,1)</f>
        <v>0.3613137424114648</v>
      </c>
      <c r="AT251" s="91">
        <f>INDEX(LINEST(1/(AV251:AY251),1/SQRT(AV250:AY250)),1)</f>
        <v>-4424.9819161781024</v>
      </c>
      <c r="AU251" s="3"/>
      <c r="AV251" s="97">
        <v>0.64150331479029898</v>
      </c>
      <c r="AW251" s="97">
        <v>0.56667725282330994</v>
      </c>
      <c r="AX251" s="97">
        <v>0.49855360881504601</v>
      </c>
      <c r="AY251" s="97">
        <v>0.11105160233562801</v>
      </c>
      <c r="AZ251" s="11"/>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1"/>
      <c r="CN251" s="11"/>
      <c r="CO251" s="11"/>
      <c r="CP251" s="11"/>
      <c r="CQ251" s="11"/>
      <c r="CR251" s="15"/>
      <c r="CS251" s="15"/>
      <c r="CT251" s="15"/>
      <c r="CU251" s="15"/>
    </row>
    <row r="252" spans="1:99" s="13" customFormat="1" ht="12" customHeight="1" x14ac:dyDescent="0.2">
      <c r="A252" s="68">
        <v>43509</v>
      </c>
      <c r="B252" s="70"/>
      <c r="C252" s="70"/>
      <c r="D252" s="69"/>
      <c r="E252" s="87"/>
      <c r="F252" s="69"/>
      <c r="G252" s="69"/>
      <c r="H252" s="69"/>
      <c r="I252" s="69"/>
      <c r="J252" s="69"/>
      <c r="K252" s="107"/>
      <c r="L252" s="107"/>
      <c r="M252" s="69"/>
      <c r="N252" s="69"/>
      <c r="O252" s="69"/>
      <c r="P252" s="69"/>
      <c r="Q252" s="69"/>
      <c r="R252" s="69"/>
      <c r="S252" s="69"/>
      <c r="T252" s="69"/>
      <c r="U252" s="60"/>
      <c r="V252" s="69"/>
      <c r="W252" s="69"/>
      <c r="X252" s="69"/>
      <c r="Y252" s="87"/>
      <c r="Z252" s="69"/>
      <c r="AA252" s="69"/>
      <c r="AB252" s="69"/>
      <c r="AC252" s="69"/>
      <c r="AD252" s="69"/>
      <c r="AE252" s="69"/>
      <c r="AF252" s="88"/>
      <c r="AG252" s="72"/>
      <c r="AH252" s="4"/>
      <c r="AI252" s="72"/>
      <c r="AJ252" s="110"/>
      <c r="AK252" s="72"/>
      <c r="AL252" s="72"/>
      <c r="AM252" s="72"/>
      <c r="AN252" s="72"/>
      <c r="AO252" s="72"/>
      <c r="AP252" s="72"/>
      <c r="AQ252" s="72"/>
      <c r="AR252" s="110"/>
      <c r="AS252" s="72"/>
      <c r="AT252" s="72"/>
      <c r="AU252" s="4"/>
      <c r="AV252" s="71">
        <f>18*60</f>
        <v>1080</v>
      </c>
      <c r="AW252" s="71">
        <f>7*24*60*60</f>
        <v>604800</v>
      </c>
      <c r="AX252" s="71">
        <f>5*7*24*60*60</f>
        <v>3024000</v>
      </c>
      <c r="AY252" s="71">
        <f>12*7*24*60*60</f>
        <v>7257600</v>
      </c>
      <c r="AZ252" s="71">
        <f>23*7*24*60*60</f>
        <v>13910400</v>
      </c>
      <c r="BA252" s="73"/>
      <c r="BB252" s="73"/>
      <c r="BC252" s="73"/>
      <c r="BD252" s="73"/>
      <c r="BE252" s="73"/>
      <c r="BF252" s="73"/>
      <c r="BG252" s="73"/>
      <c r="BH252" s="73"/>
      <c r="BI252" s="73"/>
      <c r="BJ252" s="73"/>
      <c r="BK252" s="53"/>
      <c r="BL252" s="53"/>
      <c r="BM252" s="53"/>
      <c r="BN252" s="53"/>
      <c r="BO252" s="53"/>
      <c r="BP252" s="53"/>
      <c r="BQ252" s="53"/>
      <c r="BR252" s="53"/>
      <c r="BS252" s="53"/>
      <c r="BT252" s="53"/>
      <c r="BU252" s="53"/>
      <c r="BV252" s="53"/>
      <c r="BW252" s="53"/>
      <c r="BX252" s="53"/>
      <c r="BY252" s="53"/>
      <c r="BZ252" s="53"/>
      <c r="CA252" s="53"/>
      <c r="CB252" s="53"/>
      <c r="CC252" s="53"/>
      <c r="CD252" s="53"/>
      <c r="CE252" s="53"/>
      <c r="CF252" s="53"/>
      <c r="CG252" s="53"/>
      <c r="CH252" s="53"/>
      <c r="CI252" s="53"/>
      <c r="CJ252" s="53"/>
      <c r="CK252" s="53"/>
      <c r="CL252" s="53"/>
      <c r="CM252" s="53"/>
      <c r="CN252" s="53"/>
      <c r="CO252" s="53"/>
      <c r="CP252" s="53"/>
      <c r="CQ252" s="53"/>
      <c r="CR252" s="1"/>
      <c r="CS252" s="1"/>
      <c r="CT252" s="1"/>
      <c r="CU252" s="1"/>
    </row>
    <row r="253" spans="1:99" s="13" customFormat="1" ht="12" customHeight="1" x14ac:dyDescent="0.2">
      <c r="A253" s="68">
        <v>43509</v>
      </c>
      <c r="B253" s="70" t="s">
        <v>197</v>
      </c>
      <c r="C253" s="70" t="s">
        <v>45</v>
      </c>
      <c r="D253" s="69">
        <v>1988</v>
      </c>
      <c r="E253" s="87">
        <v>2</v>
      </c>
      <c r="F253" s="69">
        <v>109</v>
      </c>
      <c r="G253" s="69">
        <v>109</v>
      </c>
      <c r="H253" s="69" t="s">
        <v>38</v>
      </c>
      <c r="I253" s="69" t="s">
        <v>823</v>
      </c>
      <c r="J253" s="69" t="s">
        <v>16</v>
      </c>
      <c r="K253" s="69">
        <f>IF(J253="syllables",1,IF(J253="trigrams",2,IF(J253="strings",3,IF(J253="visual array",4,IF(J253="characters",5,IF(J253="letters",6,IF(J253="free forms",7,IF(J253="odors",8,IF(J253="words",9,IF(J253="pictures",10,IF(J253="object pictures",11,IF(J253="faces",12,IF(J253="names",13,IF(J253="idioms",14,IF(J253="grades",15,IF(J253="syllable-digit pairs",16,IF(J253="trigram-word pairs",17,IF(J253="word-digit pairs",18,IF(J253="English-Swahili pairs",19,IF(J253="spatial position",20,IF(J253="word pairs",21,IF(J253="word triads",22,IF(J253="generated words",23,IF(J253="word definition pairs",24,IF(J253="math problems",25,IF(J253="famous faces",26,IF(J253="famous names",27,IF(J253="famous voices",28,IF(J253="television programs",29,IF(J253="race horses",30,IF(J253="new vocabulary",31,IF(J253="sentences",32,IF(J253="concepts",33,IF(J253="ad slides",34,IF(J253="scenes",35,IF(J253="famous scenes",36,IF(J253="poems",37,IF(J253="walk",38,IF(J253="faces and events",39,IF(J253="events and names",40,IF(J253="flashbulb",41,IF(J253="stories",42,IF(J253="course material",43,IF(J253="autobiographical",44,IF(J253="novels",45,IF(J253="public events",46,"99"))))))))))))))))))))))))))))))))))))))))))))))</f>
        <v>9</v>
      </c>
      <c r="L253" s="69">
        <f>IF(J253="syllables",1,IF(J253="trigrams",1,IF(J253="strings",1,IF(J253="visual array",1,IF(J253="characters",1,IF(J253="letters",1,IF(J253="free forms",1,IF(J253="odors",2,IF(J253="words",2,IF(J253="pictures",2,IF(J253="object pictures",2,IF(J253="faces",2,IF(J253="names",2,IF(J253="idioms","2",IF(J253="grades",2,IF(J253="syllable-digit pairs",3,IF(J253="trigram-word pairs",3,IF(J253="word-digit pairs",3,IF(J253="English-Swahili pairs",3,IF(J253="spatial position",3,IF(J253="word pairs",4,IF(J253="word triads",4,IF(J253="generated words",4,IF(J253="word definition pairs",4,IF(J253="math problems",4,IF(J253="famous faces",4,IF(J253="famous names",4,IF(J253="famous voices",4,IF(J253="television programs",4,IF(J253="race horses",4,IF(J253="new vocabulary",4,IF(J253="sentences",5,IF(J253="concepts",5,IF(J253="ad slides",5,IF(J253="scenes",5,IF(J253="famous scenes",5,IF(J253="poems",6,IF(J253="walk",6,IF(J253="faces and events",6,IF(J253="events and names",6,IF(J253="flashbulb",7,IF(J253="stories",7,IF(J253="course material",7,IF(J253="autobiographical",7,IF(J253="novels",7,IF(J253="public events",7,"99"))))))))))))))))))))))))))))))))))))))))))))))</f>
        <v>2</v>
      </c>
      <c r="M253" s="69">
        <v>0</v>
      </c>
      <c r="N253" s="69">
        <v>1</v>
      </c>
      <c r="O253" s="69">
        <v>0</v>
      </c>
      <c r="P253" s="69"/>
      <c r="Q253" s="69" t="s">
        <v>46</v>
      </c>
      <c r="R253" s="69">
        <f>IF(Q253="Free Recall",1,IF(Q253="Cued Recall",2,IF(Q253="Recognition",3,IF(Q253="Multiple Choice",4,IF(Q253="Savings",5,IF(Q253="Stem Completion",6,IF(Q253="Fragment Completion",7,IF(Q253="anagram solution",8,IF(Q253="Matching",9,IF(Q253="Problem Solving",10,"99"))))))))))</f>
        <v>7</v>
      </c>
      <c r="S253" s="69" t="s">
        <v>49</v>
      </c>
      <c r="T253" s="92" t="s">
        <v>581</v>
      </c>
      <c r="U253" s="60">
        <f>IF(T253="within",1,0)</f>
        <v>1</v>
      </c>
      <c r="V253" s="92">
        <v>128</v>
      </c>
      <c r="W253" s="69">
        <f>F253*V253</f>
        <v>13952</v>
      </c>
      <c r="X253" s="69">
        <v>5</v>
      </c>
      <c r="Y253" s="87">
        <f>AV252</f>
        <v>1080</v>
      </c>
      <c r="Z253" s="69" t="s">
        <v>534</v>
      </c>
      <c r="AA253" s="87">
        <f>23*7*24*60*60</f>
        <v>13910400</v>
      </c>
      <c r="AB253" s="69" t="str">
        <f>IF(AA253&lt;60,"1",IF(AA253&lt;=43200,"2",IF(AA253&lt;=777600,"3","4")))</f>
        <v>4</v>
      </c>
      <c r="AC253" s="72">
        <f>AVERAGE(AV252:DA252)</f>
        <v>4959576</v>
      </c>
      <c r="AD253" s="69" t="str">
        <f>IF(AC253&lt;60,"1",IF(AC253&lt;=43200,"2",IF(AC253&lt;=777600,"3","4")))</f>
        <v>4</v>
      </c>
      <c r="AE253" s="87">
        <f>AA253-Y253</f>
        <v>13909320</v>
      </c>
      <c r="AF253" s="88">
        <f>AV253</f>
        <v>0.47</v>
      </c>
      <c r="AG253" s="72">
        <f>((AW253-AV253)+(AX253-AW253)+(AY253-AX253)+(AZ253-AY253))/4</f>
        <v>-5.2499999999999991E-2</v>
      </c>
      <c r="AH253" s="4"/>
      <c r="AI253" s="72">
        <f>RSQ(AV253:AZ253,AV252:AZ252)</f>
        <v>0.60205913705150593</v>
      </c>
      <c r="AJ253" s="110">
        <f>SLOPE(AV253:AZ253,AV252:AZ252)</f>
        <v>-1.1010572697734529E-8</v>
      </c>
      <c r="AK253" s="72">
        <f>INTERCEPT(AV253:AZ253,AV252:AZ252)</f>
        <v>0.3906077720979394</v>
      </c>
      <c r="AL253" s="72">
        <f>INDEX(LINEST(LN(AV253:AZ253),LN(AV252:AZ252),TRUE,TRUE),3,1)</f>
        <v>0.96226686446508902</v>
      </c>
      <c r="AM253" s="72">
        <f>INDEX(LINEST(LN(AV253:AZ253),LN(AV252:AZ252)),1)</f>
        <v>-5.8209117567300031E-2</v>
      </c>
      <c r="AN253" s="72">
        <f>EXP(INDEX(LINEST(LN(AV253:AZ253),LN(AV252:AZ252)),1,2))</f>
        <v>0.72124415487685589</v>
      </c>
      <c r="AO253" s="89">
        <f>INDEX(LINEST((AV253:AZ253),LN(AV252:AZ252),TRUE,TRUE),3,1)</f>
        <v>0.98786997993757131</v>
      </c>
      <c r="AP253" s="89">
        <f>INDEX(LINEST((AV253:AZ253),LN(AV252:AZ252)),1)</f>
        <v>-2.1246017374122555E-2</v>
      </c>
      <c r="AQ253" s="90">
        <f>INDEX(LINEST(LN(AV253:AZ253),SQRT(AV252:AZ252),TRUE,TRUE),3,1)</f>
        <v>0.8825104180472898</v>
      </c>
      <c r="AR253" s="117">
        <f>INDEX(LINEST(LN(AV253:AZ253),SQRT((AV252:AZ252))),1)</f>
        <v>-1.4456939139487942E-4</v>
      </c>
      <c r="AS253" s="91">
        <f>INDEX(LINEST(1/(AV253:AZ253),1/(SQRT(AV252:AZ252)),TRUE,TRUE),3,1)</f>
        <v>0.72198053117464811</v>
      </c>
      <c r="AT253" s="91">
        <f>INDEX(LINEST(1/(AV253:AZ253),1/SQRT(AV252:AZ252)),1)</f>
        <v>-41.519937917807631</v>
      </c>
      <c r="AU253" s="3"/>
      <c r="AV253" s="73">
        <v>0.47</v>
      </c>
      <c r="AW253" s="73">
        <v>0.35</v>
      </c>
      <c r="AX253" s="73">
        <v>0.31</v>
      </c>
      <c r="AY253" s="73">
        <v>0.28999999999999998</v>
      </c>
      <c r="AZ253" s="73">
        <v>0.26</v>
      </c>
      <c r="BA253" s="73"/>
      <c r="BB253" s="73"/>
      <c r="BC253" s="73"/>
      <c r="BD253" s="73"/>
      <c r="BE253" s="73"/>
      <c r="BF253" s="73"/>
      <c r="BG253" s="73"/>
      <c r="BH253" s="73"/>
      <c r="BI253" s="73"/>
      <c r="BJ253" s="73"/>
      <c r="BK253" s="53"/>
      <c r="BL253" s="53"/>
      <c r="BM253" s="53"/>
      <c r="BN253" s="53"/>
      <c r="BO253" s="53"/>
      <c r="BP253" s="53"/>
      <c r="BQ253" s="53"/>
      <c r="BR253" s="53"/>
      <c r="BS253" s="53"/>
      <c r="BT253" s="53"/>
      <c r="BU253" s="53"/>
      <c r="BV253" s="53"/>
      <c r="BW253" s="53"/>
      <c r="BX253" s="53"/>
      <c r="BY253" s="53"/>
      <c r="BZ253" s="53"/>
      <c r="CA253" s="53"/>
      <c r="CB253" s="53"/>
      <c r="CC253" s="53"/>
      <c r="CD253" s="53"/>
      <c r="CE253" s="53"/>
      <c r="CF253" s="53"/>
      <c r="CG253" s="53"/>
      <c r="CH253" s="53"/>
      <c r="CI253" s="53"/>
      <c r="CJ253" s="53"/>
      <c r="CK253" s="53"/>
      <c r="CL253" s="53"/>
      <c r="CM253" s="53"/>
      <c r="CN253" s="53"/>
      <c r="CO253" s="53"/>
      <c r="CP253" s="53"/>
      <c r="CQ253" s="53"/>
      <c r="CR253" s="1"/>
      <c r="CS253" s="1"/>
      <c r="CT253" s="1"/>
      <c r="CU253" s="1"/>
    </row>
    <row r="254" spans="1:99" s="13" customFormat="1" ht="12" customHeight="1" x14ac:dyDescent="0.2">
      <c r="A254" s="65">
        <v>43899</v>
      </c>
      <c r="B254" s="1"/>
      <c r="C254" s="1"/>
      <c r="D254" s="60"/>
      <c r="E254" s="76"/>
      <c r="F254" s="60"/>
      <c r="G254" s="60"/>
      <c r="H254" s="60"/>
      <c r="I254" s="60"/>
      <c r="J254" s="60"/>
      <c r="K254" s="64"/>
      <c r="L254" s="64"/>
      <c r="M254" s="60"/>
      <c r="N254" s="60"/>
      <c r="O254" s="60"/>
      <c r="P254" s="60"/>
      <c r="Q254" s="60"/>
      <c r="R254" s="60"/>
      <c r="S254" s="60"/>
      <c r="T254" s="60"/>
      <c r="U254" s="60"/>
      <c r="V254" s="60"/>
      <c r="W254" s="60"/>
      <c r="X254" s="60"/>
      <c r="Y254" s="76"/>
      <c r="Z254" s="60"/>
      <c r="AA254" s="60"/>
      <c r="AB254" s="60"/>
      <c r="AC254" s="56"/>
      <c r="AD254" s="60"/>
      <c r="AE254" s="60"/>
      <c r="AF254" s="80"/>
      <c r="AG254" s="56"/>
      <c r="AH254" s="4"/>
      <c r="AI254" s="56"/>
      <c r="AJ254" s="109"/>
      <c r="AK254" s="56"/>
      <c r="AL254" s="56"/>
      <c r="AM254" s="56"/>
      <c r="AN254" s="56"/>
      <c r="AO254" s="82"/>
      <c r="AP254" s="82"/>
      <c r="AQ254" s="83"/>
      <c r="AR254" s="116"/>
      <c r="AS254" s="84"/>
      <c r="AT254" s="84"/>
      <c r="AU254" s="3"/>
      <c r="AV254" s="25">
        <f>30*60</f>
        <v>1800</v>
      </c>
      <c r="AW254" s="25">
        <f>60*60*24*2</f>
        <v>172800</v>
      </c>
      <c r="AX254" s="25">
        <f>60*60*24*7</f>
        <v>604800</v>
      </c>
      <c r="AY254" s="25">
        <f>60*60*24*21</f>
        <v>1814400</v>
      </c>
      <c r="AZ254" s="25"/>
      <c r="BA254" s="53"/>
      <c r="BB254" s="53"/>
      <c r="BC254" s="53"/>
      <c r="BD254" s="53"/>
      <c r="BE254" s="53"/>
      <c r="BF254" s="53"/>
      <c r="BG254" s="53"/>
      <c r="BH254" s="53"/>
      <c r="BI254" s="53"/>
      <c r="BJ254" s="53"/>
      <c r="BK254" s="53"/>
      <c r="BL254" s="53"/>
      <c r="BM254" s="53"/>
      <c r="BN254" s="53"/>
      <c r="BO254" s="53"/>
      <c r="BP254" s="53"/>
      <c r="BQ254" s="53"/>
      <c r="BR254" s="53"/>
      <c r="BS254" s="53"/>
      <c r="BT254" s="53"/>
      <c r="BU254" s="53"/>
      <c r="BV254" s="53"/>
      <c r="BW254" s="53"/>
      <c r="BX254" s="53"/>
      <c r="BY254" s="53"/>
      <c r="BZ254" s="53"/>
      <c r="CA254" s="53"/>
      <c r="CB254" s="53"/>
      <c r="CC254" s="53"/>
      <c r="CD254" s="53"/>
      <c r="CE254" s="53"/>
      <c r="CF254" s="53"/>
      <c r="CG254" s="53"/>
      <c r="CH254" s="53"/>
      <c r="CI254" s="53"/>
      <c r="CJ254" s="53"/>
      <c r="CK254" s="53"/>
      <c r="CL254" s="53"/>
      <c r="CM254" s="53"/>
      <c r="CN254" s="53"/>
      <c r="CO254" s="53"/>
      <c r="CP254" s="53"/>
      <c r="CQ254" s="53"/>
      <c r="CR254" s="1"/>
      <c r="CS254" s="1"/>
      <c r="CT254" s="1"/>
      <c r="CU254" s="1"/>
    </row>
    <row r="255" spans="1:99" s="13" customFormat="1" ht="12" customHeight="1" x14ac:dyDescent="0.25">
      <c r="A255" s="65">
        <v>43899</v>
      </c>
      <c r="B255" s="1" t="s">
        <v>382</v>
      </c>
      <c r="C255" s="1" t="s">
        <v>383</v>
      </c>
      <c r="D255" s="60">
        <v>1981</v>
      </c>
      <c r="E255" s="76">
        <v>1</v>
      </c>
      <c r="F255" s="60">
        <v>48</v>
      </c>
      <c r="G255" s="60">
        <v>48</v>
      </c>
      <c r="H255" s="60" t="s">
        <v>22</v>
      </c>
      <c r="I255" s="60" t="s">
        <v>384</v>
      </c>
      <c r="J255" s="60" t="s">
        <v>677</v>
      </c>
      <c r="K255" s="60">
        <f>IF(J255="syllables",1,IF(J255="trigrams",2,IF(J255="strings",3,IF(J255="visual array",4,IF(J255="characters",5,IF(J255="letters",6,IF(J255="free forms",7,IF(J255="odors",8,IF(J255="words",9,IF(J255="pictures",10,IF(J255="object pictures",11,IF(J255="faces",12,IF(J255="names",13,IF(J255="idioms",14,IF(J255="grades",15,IF(J255="syllable-digit pairs",16,IF(J255="trigram-word pairs",17,IF(J255="word-digit pairs",18,IF(J255="English-Swahili pairs",19,IF(J255="spatial position",20,IF(J255="word pairs",21,IF(J255="word triads",22,IF(J255="generated words",23,IF(J255="word definition pairs",24,IF(J255="math problems",25,IF(J255="famous faces",26,IF(J255="famous names",27,IF(J255="famous voices",28,IF(J255="television programs",29,IF(J255="race horses",30,IF(J255="new vocabulary",31,IF(J255="sentences",32,IF(J255="concepts",33,IF(J255="ad slides",34,IF(J255="scenes",35,IF(J255="famous scenes",36,IF(J255="poems",37,IF(J255="walk",38,IF(J255="faces and events",39,IF(J255="events and names",40,IF(J255="flashbulb",41,IF(J255="stories",42,IF(J255="course material",43,IF(J255="autobiographical",44,IF(J255="novels",45,IF(J255="public events",46,"99"))))))))))))))))))))))))))))))))))))))))))))))</f>
        <v>42</v>
      </c>
      <c r="L255" s="60">
        <f>IF(J255="syllables",1,IF(J255="trigrams",1,IF(J255="strings",1,IF(J255="visual array",1,IF(J255="characters",1,IF(J255="letters",1,IF(J255="free forms",1,IF(J255="odors",2,IF(J255="words",2,IF(J255="pictures",2,IF(J255="object pictures",2,IF(J255="faces",2,IF(J255="names",2,IF(J255="idioms","2",IF(J255="grades",2,IF(J255="syllable-digit pairs",3,IF(J255="trigram-word pairs",3,IF(J255="word-digit pairs",3,IF(J255="English-Swahili pairs",3,IF(J255="spatial position",3,IF(J255="word pairs",4,IF(J255="word triads",4,IF(J255="generated words",4,IF(J255="word definition pairs",4,IF(J255="math problems",4,IF(J255="famous faces",4,IF(J255="famous names",4,IF(J255="famous voices",4,IF(J255="television programs",4,IF(J255="race horses",4,IF(J255="new vocabulary",4,IF(J255="sentences",5,IF(J255="concepts",5,IF(J255="ad slides",5,IF(J255="scenes",5,IF(J255="famous scenes",5,IF(J255="poems",6,IF(J255="walk",6,IF(J255="faces and events",6,IF(J255="events and names",6,IF(J255="flashbulb",7,IF(J255="stories",7,IF(J255="course material",7,IF(J255="autobiographical",7,IF(J255="novels",7,IF(J255="public events",7,"99"))))))))))))))))))))))))))))))))))))))))))))))</f>
        <v>7</v>
      </c>
      <c r="M255" s="60">
        <v>0</v>
      </c>
      <c r="N255" s="60">
        <v>3</v>
      </c>
      <c r="O255" s="60">
        <v>0</v>
      </c>
      <c r="P255" s="60"/>
      <c r="Q255" s="60" t="s">
        <v>174</v>
      </c>
      <c r="R255" s="60">
        <f>IF(Q255="Free Recall",1,IF(Q255="Cued Recall",2,IF(Q255="Recognition",3,IF(Q255="Multiple Choice",4,IF(Q255="Savings",5,IF(Q255="Stem Completion",6,IF(Q255="Fragment Completion",7,IF(Q255="anagram solution",8,IF(Q255="Matching",9,IF(Q255="Problem Solving",10,"99"))))))))))</f>
        <v>1</v>
      </c>
      <c r="S255" s="60" t="s">
        <v>49</v>
      </c>
      <c r="T255" s="59" t="s">
        <v>581</v>
      </c>
      <c r="U255" s="60">
        <f>IF(T255="within",1,0)</f>
        <v>1</v>
      </c>
      <c r="V255" s="59">
        <v>64</v>
      </c>
      <c r="W255" s="60">
        <f>F255*V255</f>
        <v>3072</v>
      </c>
      <c r="X255" s="60">
        <v>4</v>
      </c>
      <c r="Y255" s="76">
        <f>AV254</f>
        <v>1800</v>
      </c>
      <c r="Z255" s="60" t="s">
        <v>165</v>
      </c>
      <c r="AA255" s="60">
        <v>1814400</v>
      </c>
      <c r="AB255" s="60" t="str">
        <f>IF(AA255&lt;60,"1",IF(AA255&lt;=43200,"2",IF(AA255&lt;=777600,"3","4")))</f>
        <v>4</v>
      </c>
      <c r="AC255" s="56">
        <f>AVERAGE(AV254:DA254)</f>
        <v>648450</v>
      </c>
      <c r="AD255" s="60" t="str">
        <f>IF(AC255&lt;60,"1",IF(AC255&lt;=43200,"2",IF(AC255&lt;=777600,"3","4")))</f>
        <v>3</v>
      </c>
      <c r="AE255" s="76">
        <f>AA255-Y255</f>
        <v>1812600</v>
      </c>
      <c r="AF255" s="80">
        <f>AV255</f>
        <v>0.28799999999999998</v>
      </c>
      <c r="AG255" s="56">
        <f>((AW255-AV255)+(AX255-AW255)+(AY255-AX255))/3</f>
        <v>-4.0999999999999988E-2</v>
      </c>
      <c r="AH255" s="4"/>
      <c r="AI255" s="56">
        <f>RSQ(AV255:AY255,AV254:AY254)</f>
        <v>0.94347285629577904</v>
      </c>
      <c r="AJ255" s="109">
        <f>SLOPE(AV255:AY255,AV254:AY254)</f>
        <v>-6.1316178919694254E-8</v>
      </c>
      <c r="AK255" s="56">
        <f>INTERCEPT(AV255:AY255,AV254:AY254)</f>
        <v>0.27651047622047575</v>
      </c>
      <c r="AL255" s="56">
        <f>INDEX(LINEST(LN(AV255:AY255),LN(AV254:AY254),TRUE,TRUE),3,1)</f>
        <v>0.62488249955238806</v>
      </c>
      <c r="AM255" s="56">
        <f>INDEX(LINEST(LN(AV255:AY255),LN(AV254:AY254)),1)</f>
        <v>-6.2083523036937302E-2</v>
      </c>
      <c r="AN255" s="56">
        <f>EXP(INDEX(LINEST(LN(AV255:AY255),LN(AV254:AY254)),1,2))</f>
        <v>0.4833405259537496</v>
      </c>
      <c r="AO255" s="82">
        <f>INDEX(LINEST((AV255:AY255),LN(AV254:AY254),TRUE,TRUE),3,1)</f>
        <v>0.69508785161479525</v>
      </c>
      <c r="AP255" s="82">
        <f>INDEX(LINEST((AV255:AY255),LN(AV254:AY254)),1)</f>
        <v>-1.4161818715196133E-2</v>
      </c>
      <c r="AQ255" s="83">
        <f>INDEX(LINEST(LN(AV255:AY255),SQRT(AV254:AY254),TRUE,TRUE),3,1)</f>
        <v>0.90541260962842363</v>
      </c>
      <c r="AR255" s="116">
        <f>INDEX(LINEST(LN(AV255:AY255),SQRT((AV254:AY254))),1)</f>
        <v>-4.0871912598523818E-4</v>
      </c>
      <c r="AS255" s="84">
        <f>INDEX(LINEST(1/(AV255:AY255),1/(SQRT(AV254:AY254)),TRUE,TRUE),3,1)</f>
        <v>0.34624518004069077</v>
      </c>
      <c r="AT255" s="84">
        <f>INDEX(LINEST(1/(AV255:AY255),1/SQRT(AV254:AY254)),1)</f>
        <v>-60.360333599301271</v>
      </c>
      <c r="AU255" s="3"/>
      <c r="AV255" s="53">
        <v>0.28799999999999998</v>
      </c>
      <c r="AW255" s="53">
        <v>0.249</v>
      </c>
      <c r="AX255" s="53">
        <v>0.245</v>
      </c>
      <c r="AY255" s="53">
        <v>0.16500000000000001</v>
      </c>
      <c r="AZ255" s="53"/>
      <c r="BA255" s="44"/>
      <c r="BB255" s="44"/>
      <c r="BC255" s="31"/>
      <c r="BD255" s="31"/>
      <c r="BE255" s="53"/>
      <c r="BF255" s="53"/>
      <c r="BG255" s="53"/>
      <c r="BH255" s="53"/>
      <c r="BI255" s="53"/>
      <c r="BJ255" s="53"/>
      <c r="BK255" s="53"/>
      <c r="BL255" s="53"/>
      <c r="BM255" s="53"/>
      <c r="BN255" s="53"/>
      <c r="BO255" s="53"/>
      <c r="BP255" s="53"/>
      <c r="BQ255" s="53"/>
      <c r="BR255" s="53"/>
      <c r="BS255" s="53"/>
      <c r="BT255" s="53"/>
      <c r="BU255" s="53"/>
      <c r="BV255" s="53"/>
      <c r="BW255" s="53"/>
      <c r="BX255" s="53"/>
      <c r="BY255" s="53"/>
      <c r="BZ255" s="53"/>
      <c r="CA255" s="53"/>
      <c r="CB255" s="53"/>
      <c r="CC255" s="53"/>
      <c r="CD255" s="53"/>
      <c r="CE255" s="53"/>
      <c r="CF255" s="53"/>
      <c r="CG255" s="53"/>
      <c r="CH255" s="53"/>
      <c r="CI255" s="53"/>
      <c r="CJ255" s="53"/>
      <c r="CK255" s="53"/>
      <c r="CL255" s="53"/>
      <c r="CM255" s="53"/>
      <c r="CN255" s="53"/>
      <c r="CO255" s="53"/>
      <c r="CP255" s="53"/>
      <c r="CQ255" s="53"/>
      <c r="CR255" s="1"/>
      <c r="CS255" s="1"/>
      <c r="CT255" s="1"/>
      <c r="CU255" s="1"/>
    </row>
    <row r="256" spans="1:99" s="13" customFormat="1" ht="12" customHeight="1" x14ac:dyDescent="0.2">
      <c r="A256" s="65">
        <v>43899</v>
      </c>
      <c r="B256" s="1"/>
      <c r="C256" s="1"/>
      <c r="D256" s="60"/>
      <c r="E256" s="76"/>
      <c r="F256" s="60"/>
      <c r="G256" s="60"/>
      <c r="H256" s="60"/>
      <c r="I256" s="60"/>
      <c r="J256" s="60"/>
      <c r="K256" s="64"/>
      <c r="L256" s="64"/>
      <c r="M256" s="60"/>
      <c r="N256" s="60"/>
      <c r="O256" s="60"/>
      <c r="P256" s="60"/>
      <c r="Q256" s="60"/>
      <c r="R256" s="60"/>
      <c r="S256" s="60"/>
      <c r="T256" s="60"/>
      <c r="U256" s="60"/>
      <c r="V256" s="60"/>
      <c r="W256" s="60"/>
      <c r="X256" s="60"/>
      <c r="Y256" s="76"/>
      <c r="Z256" s="60"/>
      <c r="AA256" s="60"/>
      <c r="AB256" s="60"/>
      <c r="AC256" s="56"/>
      <c r="AD256" s="60"/>
      <c r="AE256" s="60"/>
      <c r="AF256" s="80"/>
      <c r="AG256" s="56"/>
      <c r="AH256" s="4"/>
      <c r="AI256" s="56"/>
      <c r="AJ256" s="109"/>
      <c r="AK256" s="56"/>
      <c r="AL256" s="56"/>
      <c r="AM256" s="56"/>
      <c r="AN256" s="56"/>
      <c r="AO256" s="82"/>
      <c r="AP256" s="82"/>
      <c r="AQ256" s="83"/>
      <c r="AR256" s="116"/>
      <c r="AS256" s="84"/>
      <c r="AT256" s="84"/>
      <c r="AU256" s="3"/>
      <c r="AV256" s="25">
        <f>30*60</f>
        <v>1800</v>
      </c>
      <c r="AW256" s="25">
        <f>60*60*24*2</f>
        <v>172800</v>
      </c>
      <c r="AX256" s="25">
        <f>60*60*24*7</f>
        <v>604800</v>
      </c>
      <c r="AY256" s="25">
        <f>60*60*24*21</f>
        <v>1814400</v>
      </c>
      <c r="AZ256" s="53"/>
      <c r="BA256" s="53"/>
      <c r="BB256" s="53"/>
      <c r="BC256" s="53"/>
      <c r="BD256" s="53"/>
      <c r="BE256" s="53"/>
      <c r="BF256" s="53"/>
      <c r="BG256" s="53"/>
      <c r="BH256" s="53"/>
      <c r="BI256" s="53"/>
      <c r="BJ256" s="53"/>
      <c r="BK256" s="53"/>
      <c r="BL256" s="53"/>
      <c r="BM256" s="53"/>
      <c r="BN256" s="53"/>
      <c r="BO256" s="53"/>
      <c r="BP256" s="53"/>
      <c r="BQ256" s="53"/>
      <c r="BR256" s="53"/>
      <c r="BS256" s="53"/>
      <c r="BT256" s="53"/>
      <c r="BU256" s="53"/>
      <c r="BV256" s="53"/>
      <c r="BW256" s="53"/>
      <c r="BX256" s="53"/>
      <c r="BY256" s="53"/>
      <c r="BZ256" s="53"/>
      <c r="CA256" s="53"/>
      <c r="CB256" s="53"/>
      <c r="CC256" s="53"/>
      <c r="CD256" s="53"/>
      <c r="CE256" s="53"/>
      <c r="CF256" s="53"/>
      <c r="CG256" s="53"/>
      <c r="CH256" s="53"/>
      <c r="CI256" s="53"/>
      <c r="CJ256" s="53"/>
      <c r="CK256" s="53"/>
      <c r="CL256" s="53"/>
      <c r="CM256" s="53"/>
      <c r="CN256" s="53"/>
      <c r="CO256" s="53"/>
      <c r="CP256" s="53"/>
      <c r="CQ256" s="53"/>
      <c r="CR256" s="1"/>
      <c r="CS256" s="1"/>
      <c r="CT256" s="1"/>
      <c r="CU256" s="1"/>
    </row>
    <row r="257" spans="1:99" s="13" customFormat="1" ht="12" customHeight="1" x14ac:dyDescent="0.25">
      <c r="A257" s="65">
        <v>43899</v>
      </c>
      <c r="B257" s="1" t="s">
        <v>382</v>
      </c>
      <c r="C257" s="1" t="s">
        <v>383</v>
      </c>
      <c r="D257" s="60">
        <v>1981</v>
      </c>
      <c r="E257" s="76">
        <v>1</v>
      </c>
      <c r="F257" s="60">
        <v>48</v>
      </c>
      <c r="G257" s="60">
        <v>48</v>
      </c>
      <c r="H257" s="60" t="s">
        <v>22</v>
      </c>
      <c r="I257" s="60" t="s">
        <v>385</v>
      </c>
      <c r="J257" s="60" t="s">
        <v>677</v>
      </c>
      <c r="K257" s="60">
        <f>IF(J257="syllables",1,IF(J257="trigrams",2,IF(J257="strings",3,IF(J257="visual array",4,IF(J257="characters",5,IF(J257="letters",6,IF(J257="free forms",7,IF(J257="odors",8,IF(J257="words",9,IF(J257="pictures",10,IF(J257="object pictures",11,IF(J257="faces",12,IF(J257="names",13,IF(J257="idioms",14,IF(J257="grades",15,IF(J257="syllable-digit pairs",16,IF(J257="trigram-word pairs",17,IF(J257="word-digit pairs",18,IF(J257="English-Swahili pairs",19,IF(J257="spatial position",20,IF(J257="word pairs",21,IF(J257="word triads",22,IF(J257="generated words",23,IF(J257="word definition pairs",24,IF(J257="math problems",25,IF(J257="famous faces",26,IF(J257="famous names",27,IF(J257="famous voices",28,IF(J257="television programs",29,IF(J257="race horses",30,IF(J257="new vocabulary",31,IF(J257="sentences",32,IF(J257="concepts",33,IF(J257="ad slides",34,IF(J257="scenes",35,IF(J257="famous scenes",36,IF(J257="poems",37,IF(J257="walk",38,IF(J257="faces and events",39,IF(J257="events and names",40,IF(J257="flashbulb",41,IF(J257="stories",42,IF(J257="course material",43,IF(J257="autobiographical",44,IF(J257="novels",45,IF(J257="public events",46,"99"))))))))))))))))))))))))))))))))))))))))))))))</f>
        <v>42</v>
      </c>
      <c r="L257" s="60">
        <f>IF(J257="syllables",1,IF(J257="trigrams",1,IF(J257="strings",1,IF(J257="visual array",1,IF(J257="characters",1,IF(J257="letters",1,IF(J257="free forms",1,IF(J257="odors",2,IF(J257="words",2,IF(J257="pictures",2,IF(J257="object pictures",2,IF(J257="faces",2,IF(J257="names",2,IF(J257="idioms","2",IF(J257="grades",2,IF(J257="syllable-digit pairs",3,IF(J257="trigram-word pairs",3,IF(J257="word-digit pairs",3,IF(J257="English-Swahili pairs",3,IF(J257="spatial position",3,IF(J257="word pairs",4,IF(J257="word triads",4,IF(J257="generated words",4,IF(J257="word definition pairs",4,IF(J257="math problems",4,IF(J257="famous faces",4,IF(J257="famous names",4,IF(J257="famous voices",4,IF(J257="television programs",4,IF(J257="race horses",4,IF(J257="new vocabulary",4,IF(J257="sentences",5,IF(J257="concepts",5,IF(J257="ad slides",5,IF(J257="scenes",5,IF(J257="famous scenes",5,IF(J257="poems",6,IF(J257="walk",6,IF(J257="faces and events",6,IF(J257="events and names",6,IF(J257="flashbulb",7,IF(J257="stories",7,IF(J257="course material",7,IF(J257="autobiographical",7,IF(J257="novels",7,IF(J257="public events",7,"99"))))))))))))))))))))))))))))))))))))))))))))))</f>
        <v>7</v>
      </c>
      <c r="M257" s="60">
        <v>0</v>
      </c>
      <c r="N257" s="60">
        <v>3</v>
      </c>
      <c r="O257" s="60">
        <v>0</v>
      </c>
      <c r="P257" s="60"/>
      <c r="Q257" s="60" t="s">
        <v>174</v>
      </c>
      <c r="R257" s="60">
        <f>IF(Q257="Free Recall",1,IF(Q257="Cued Recall",2,IF(Q257="Recognition",3,IF(Q257="Multiple Choice",4,IF(Q257="Savings",5,IF(Q257="Stem Completion",6,IF(Q257="Fragment Completion",7,IF(Q257="anagram solution",8,IF(Q257="Matching",9,IF(Q257="Problem Solving",10,"99"))))))))))</f>
        <v>1</v>
      </c>
      <c r="S257" s="60" t="s">
        <v>49</v>
      </c>
      <c r="T257" s="59" t="s">
        <v>581</v>
      </c>
      <c r="U257" s="60">
        <f>IF(T257="within",1,0)</f>
        <v>1</v>
      </c>
      <c r="V257" s="59">
        <v>64</v>
      </c>
      <c r="W257" s="60">
        <f>F257*V257</f>
        <v>3072</v>
      </c>
      <c r="X257" s="60">
        <v>4</v>
      </c>
      <c r="Y257" s="76">
        <f>AV256</f>
        <v>1800</v>
      </c>
      <c r="Z257" s="60" t="s">
        <v>165</v>
      </c>
      <c r="AA257" s="60">
        <v>1814400</v>
      </c>
      <c r="AB257" s="60" t="str">
        <f>IF(AA257&lt;60,"1",IF(AA257&lt;=43200,"2",IF(AA257&lt;=777600,"3","4")))</f>
        <v>4</v>
      </c>
      <c r="AC257" s="56">
        <f>AVERAGE(AV256:DA256)</f>
        <v>648450</v>
      </c>
      <c r="AD257" s="60" t="str">
        <f>IF(AC257&lt;60,"1",IF(AC257&lt;=43200,"2",IF(AC257&lt;=777600,"3","4")))</f>
        <v>3</v>
      </c>
      <c r="AE257" s="76">
        <f>AA257-Y257</f>
        <v>1812600</v>
      </c>
      <c r="AF257" s="80">
        <f>AV257</f>
        <v>0.28699999999999998</v>
      </c>
      <c r="AG257" s="56">
        <f>((AW257-AV257)+(AX257-AW257)+(AY257-AX257))/3</f>
        <v>-9.2000000000000012E-2</v>
      </c>
      <c r="AH257" s="4"/>
      <c r="AI257" s="56">
        <f>RSQ(AV257:AY257,AV256:AY256)</f>
        <v>0.50868292267032111</v>
      </c>
      <c r="AJ257" s="109">
        <f>SLOPE(AV257:AY257,AV256:AY256)</f>
        <v>-1.0959639627366777E-7</v>
      </c>
      <c r="AK257" s="56">
        <f>INTERCEPT(AV257:AY257,AV256:AY256)</f>
        <v>0.1775677831636599</v>
      </c>
      <c r="AL257" s="56">
        <f>INDEX(LINEST(LN(AV257:AY257),LN(AV256:AY256),TRUE,TRUE),3,1)</f>
        <v>0.87623246875520366</v>
      </c>
      <c r="AM257" s="170"/>
      <c r="AN257" s="56">
        <f>EXP(INDEX(LINEST(LN(AV257:AY257),LN(AV256:AY256)),1,2))</f>
        <v>9.3008039354249288</v>
      </c>
      <c r="AO257" s="82">
        <f>INDEX(LINEST((AV257:AY257),LN(AV256:AY256),TRUE,TRUE),3,1)</f>
        <v>0.9936303600797215</v>
      </c>
      <c r="AP257" s="82">
        <f>INDEX(LINEST((AV257:AY257),LN(AV256:AY256)),1)</f>
        <v>-4.121676719662587E-2</v>
      </c>
      <c r="AQ257" s="83">
        <f>INDEX(LINEST(LN(AV257:AY257),SQRT(AV256:AY256),TRUE,TRUE),3,1)</f>
        <v>0.98555268165738341</v>
      </c>
      <c r="AR257" s="116">
        <f>INDEX(LINEST(LN(AV257:AY257),SQRT((AV256:AY256))),1)</f>
        <v>-2.5105738863217208E-3</v>
      </c>
      <c r="AS257" s="84">
        <f>INDEX(LINEST(1/(AV257:AY257),1/(SQRT(AV256:AY256)),TRUE,TRUE),3,1)</f>
        <v>0.31284299625842621</v>
      </c>
      <c r="AT257" s="84">
        <f>INDEX(LINEST(1/(AV257:AY257),1/SQRT(AV256:AY256)),1)</f>
        <v>-2007.4086758352435</v>
      </c>
      <c r="AU257" s="3"/>
      <c r="AV257" s="53">
        <v>0.28699999999999998</v>
      </c>
      <c r="AW257" s="53">
        <v>9.6000000000000002E-2</v>
      </c>
      <c r="AX257" s="53">
        <v>3.2000000000000001E-2</v>
      </c>
      <c r="AY257" s="53">
        <v>1.0999999999999999E-2</v>
      </c>
      <c r="AZ257" s="53"/>
      <c r="BA257" s="44"/>
      <c r="BB257" s="44"/>
      <c r="BC257" s="31"/>
      <c r="BD257" s="31"/>
      <c r="BE257" s="53"/>
      <c r="BF257" s="53"/>
      <c r="BG257" s="53"/>
      <c r="BH257" s="53"/>
      <c r="BI257" s="53"/>
      <c r="BJ257" s="53"/>
      <c r="BK257" s="53"/>
      <c r="BL257" s="53"/>
      <c r="BM257" s="53"/>
      <c r="BN257" s="53"/>
      <c r="BO257" s="53"/>
      <c r="BP257" s="53"/>
      <c r="BQ257" s="53"/>
      <c r="BR257" s="53"/>
      <c r="BS257" s="53"/>
      <c r="BT257" s="53"/>
      <c r="BU257" s="53"/>
      <c r="BV257" s="53"/>
      <c r="BW257" s="53"/>
      <c r="BX257" s="53"/>
      <c r="BY257" s="53"/>
      <c r="BZ257" s="53"/>
      <c r="CA257" s="53"/>
      <c r="CB257" s="53"/>
      <c r="CC257" s="53"/>
      <c r="CD257" s="53"/>
      <c r="CE257" s="53"/>
      <c r="CF257" s="53"/>
      <c r="CG257" s="53"/>
      <c r="CH257" s="53"/>
      <c r="CI257" s="53"/>
      <c r="CJ257" s="53"/>
      <c r="CK257" s="53"/>
      <c r="CL257" s="53"/>
      <c r="CM257" s="53"/>
      <c r="CN257" s="53"/>
      <c r="CO257" s="53"/>
      <c r="CP257" s="53"/>
      <c r="CQ257" s="53"/>
      <c r="CR257" s="1"/>
      <c r="CS257" s="1"/>
      <c r="CT257" s="1"/>
      <c r="CU257" s="1"/>
    </row>
    <row r="258" spans="1:99" s="13" customFormat="1" ht="12" customHeight="1" x14ac:dyDescent="0.2">
      <c r="A258" s="65">
        <v>43899</v>
      </c>
      <c r="B258" s="1"/>
      <c r="C258" s="1"/>
      <c r="D258" s="60"/>
      <c r="E258" s="76"/>
      <c r="F258" s="60"/>
      <c r="G258" s="60"/>
      <c r="H258" s="60"/>
      <c r="I258" s="60"/>
      <c r="J258" s="60"/>
      <c r="K258" s="64"/>
      <c r="L258" s="64"/>
      <c r="M258" s="60"/>
      <c r="N258" s="60"/>
      <c r="O258" s="60"/>
      <c r="P258" s="60"/>
      <c r="Q258" s="60"/>
      <c r="R258" s="60"/>
      <c r="S258" s="60"/>
      <c r="T258" s="60"/>
      <c r="U258" s="60"/>
      <c r="V258" s="60"/>
      <c r="W258" s="60"/>
      <c r="X258" s="60"/>
      <c r="Y258" s="76"/>
      <c r="Z258" s="60"/>
      <c r="AA258" s="60"/>
      <c r="AB258" s="60"/>
      <c r="AC258" s="56"/>
      <c r="AD258" s="60"/>
      <c r="AE258" s="60"/>
      <c r="AF258" s="80"/>
      <c r="AG258" s="56"/>
      <c r="AH258" s="4"/>
      <c r="AI258" s="56"/>
      <c r="AJ258" s="109"/>
      <c r="AK258" s="56"/>
      <c r="AL258" s="56"/>
      <c r="AM258" s="56"/>
      <c r="AN258" s="56"/>
      <c r="AO258" s="82"/>
      <c r="AP258" s="82"/>
      <c r="AQ258" s="83"/>
      <c r="AR258" s="116"/>
      <c r="AS258" s="84"/>
      <c r="AT258" s="84"/>
      <c r="AU258" s="3"/>
      <c r="AV258" s="25">
        <f>30*60</f>
        <v>1800</v>
      </c>
      <c r="AW258" s="25">
        <f>60*60*24*2</f>
        <v>172800</v>
      </c>
      <c r="AX258" s="25">
        <f>60*60*24*7</f>
        <v>604800</v>
      </c>
      <c r="AY258" s="25">
        <f>60*60*24*21</f>
        <v>1814400</v>
      </c>
      <c r="AZ258" s="53"/>
      <c r="BA258" s="53"/>
      <c r="BB258" s="53"/>
      <c r="BC258" s="53"/>
      <c r="BD258" s="53"/>
      <c r="BE258" s="53"/>
      <c r="BF258" s="53"/>
      <c r="BG258" s="53"/>
      <c r="BH258" s="53"/>
      <c r="BI258" s="53"/>
      <c r="BJ258" s="53"/>
      <c r="BK258" s="53"/>
      <c r="BL258" s="53"/>
      <c r="BM258" s="53"/>
      <c r="BN258" s="53"/>
      <c r="BO258" s="53"/>
      <c r="BP258" s="53"/>
      <c r="BQ258" s="53"/>
      <c r="BR258" s="53"/>
      <c r="BS258" s="53"/>
      <c r="BT258" s="53"/>
      <c r="BU258" s="53"/>
      <c r="BV258" s="53"/>
      <c r="BW258" s="53"/>
      <c r="BX258" s="53"/>
      <c r="BY258" s="53"/>
      <c r="BZ258" s="53"/>
      <c r="CA258" s="53"/>
      <c r="CB258" s="53"/>
      <c r="CC258" s="53"/>
      <c r="CD258" s="53"/>
      <c r="CE258" s="53"/>
      <c r="CF258" s="53"/>
      <c r="CG258" s="53"/>
      <c r="CH258" s="53"/>
      <c r="CI258" s="53"/>
      <c r="CJ258" s="53"/>
      <c r="CK258" s="53"/>
      <c r="CL258" s="53"/>
      <c r="CM258" s="53"/>
      <c r="CN258" s="53"/>
      <c r="CO258" s="53"/>
      <c r="CP258" s="53"/>
      <c r="CQ258" s="53"/>
      <c r="CR258" s="1"/>
      <c r="CS258" s="1"/>
      <c r="CT258" s="1"/>
      <c r="CU258" s="1"/>
    </row>
    <row r="259" spans="1:99" s="13" customFormat="1" ht="12" customHeight="1" x14ac:dyDescent="0.25">
      <c r="A259" s="65">
        <v>43899</v>
      </c>
      <c r="B259" s="1" t="s">
        <v>382</v>
      </c>
      <c r="C259" s="1" t="s">
        <v>383</v>
      </c>
      <c r="D259" s="60">
        <v>1981</v>
      </c>
      <c r="E259" s="76">
        <v>1</v>
      </c>
      <c r="F259" s="60">
        <v>48</v>
      </c>
      <c r="G259" s="60">
        <v>48</v>
      </c>
      <c r="H259" s="60" t="s">
        <v>22</v>
      </c>
      <c r="I259" s="60" t="s">
        <v>384</v>
      </c>
      <c r="J259" s="60" t="s">
        <v>677</v>
      </c>
      <c r="K259" s="60">
        <f>IF(J259="syllables",1,IF(J259="trigrams",2,IF(J259="strings",3,IF(J259="visual array",4,IF(J259="characters",5,IF(J259="letters",6,IF(J259="free forms",7,IF(J259="odors",8,IF(J259="words",9,IF(J259="pictures",10,IF(J259="object pictures",11,IF(J259="faces",12,IF(J259="names",13,IF(J259="idioms",14,IF(J259="grades",15,IF(J259="syllable-digit pairs",16,IF(J259="trigram-word pairs",17,IF(J259="word-digit pairs",18,IF(J259="English-Swahili pairs",19,IF(J259="spatial position",20,IF(J259="word pairs",21,IF(J259="word triads",22,IF(J259="generated words",23,IF(J259="word definition pairs",24,IF(J259="math problems",25,IF(J259="famous faces",26,IF(J259="famous names",27,IF(J259="famous voices",28,IF(J259="television programs",29,IF(J259="race horses",30,IF(J259="new vocabulary",31,IF(J259="sentences",32,IF(J259="concepts",33,IF(J259="ad slides",34,IF(J259="scenes",35,IF(J259="famous scenes",36,IF(J259="poems",37,IF(J259="walk",38,IF(J259="faces and events",39,IF(J259="events and names",40,IF(J259="flashbulb",41,IF(J259="stories",42,IF(J259="course material",43,IF(J259="autobiographical",44,IF(J259="novels",45,IF(J259="public events",46,"99"))))))))))))))))))))))))))))))))))))))))))))))</f>
        <v>42</v>
      </c>
      <c r="L259" s="60">
        <f>IF(J259="syllables",1,IF(J259="trigrams",1,IF(J259="strings",1,IF(J259="visual array",1,IF(J259="characters",1,IF(J259="letters",1,IF(J259="free forms",1,IF(J259="odors",2,IF(J259="words",2,IF(J259="pictures",2,IF(J259="object pictures",2,IF(J259="faces",2,IF(J259="names",2,IF(J259="idioms","2",IF(J259="grades",2,IF(J259="syllable-digit pairs",3,IF(J259="trigram-word pairs",3,IF(J259="word-digit pairs",3,IF(J259="English-Swahili pairs",3,IF(J259="spatial position",3,IF(J259="word pairs",4,IF(J259="word triads",4,IF(J259="generated words",4,IF(J259="word definition pairs",4,IF(J259="math problems",4,IF(J259="famous faces",4,IF(J259="famous names",4,IF(J259="famous voices",4,IF(J259="television programs",4,IF(J259="race horses",4,IF(J259="new vocabulary",4,IF(J259="sentences",5,IF(J259="concepts",5,IF(J259="ad slides",5,IF(J259="scenes",5,IF(J259="famous scenes",5,IF(J259="poems",6,IF(J259="walk",6,IF(J259="faces and events",6,IF(J259="events and names",6,IF(J259="flashbulb",7,IF(J259="stories",7,IF(J259="course material",7,IF(J259="autobiographical",7,IF(J259="novels",7,IF(J259="public events",7,"99"))))))))))))))))))))))))))))))))))))))))))))))</f>
        <v>7</v>
      </c>
      <c r="M259" s="60">
        <v>0</v>
      </c>
      <c r="N259" s="60">
        <v>3</v>
      </c>
      <c r="O259" s="60">
        <v>0</v>
      </c>
      <c r="P259" s="60"/>
      <c r="Q259" s="60" t="s">
        <v>34</v>
      </c>
      <c r="R259" s="60">
        <f>IF(Q259="Free Recall",1,IF(Q259="Cued Recall",2,IF(Q259="Recognition",3,IF(Q259="Multiple Choice",4,IF(Q259="Savings",5,IF(Q259="Stem Completion",6,IF(Q259="Fragment Completion",7,IF(Q259="anagram solution",8,IF(Q259="Matching",9,IF(Q259="Problem Solving",10,"99"))))))))))</f>
        <v>3</v>
      </c>
      <c r="S259" s="60" t="s">
        <v>15</v>
      </c>
      <c r="T259" s="59" t="s">
        <v>581</v>
      </c>
      <c r="U259" s="60">
        <f>IF(T259="within",1,0)</f>
        <v>1</v>
      </c>
      <c r="V259" s="59">
        <v>64</v>
      </c>
      <c r="W259" s="60">
        <f>F259*V259</f>
        <v>3072</v>
      </c>
      <c r="X259" s="60">
        <v>4</v>
      </c>
      <c r="Y259" s="76">
        <f>AV258</f>
        <v>1800</v>
      </c>
      <c r="Z259" s="60" t="s">
        <v>165</v>
      </c>
      <c r="AA259" s="60">
        <v>1814400</v>
      </c>
      <c r="AB259" s="60" t="str">
        <f>IF(AA259&lt;60,"1",IF(AA259&lt;=43200,"2",IF(AA259&lt;=777600,"3","4")))</f>
        <v>4</v>
      </c>
      <c r="AC259" s="56">
        <f>AVERAGE(AV258:DA258)</f>
        <v>648450</v>
      </c>
      <c r="AD259" s="60" t="str">
        <f>IF(AC259&lt;60,"1",IF(AC259&lt;=43200,"2",IF(AC259&lt;=777600,"3","4")))</f>
        <v>3</v>
      </c>
      <c r="AE259" s="76">
        <f>AA259-Y259</f>
        <v>1812600</v>
      </c>
      <c r="AF259" s="80">
        <f>AV259</f>
        <v>0.60850000000000004</v>
      </c>
      <c r="AG259" s="56">
        <f>((AW259-AV259)+(AX259-AW259)+(AY259-AX259))/3</f>
        <v>-4.7000000000000021E-2</v>
      </c>
      <c r="AH259" s="4"/>
      <c r="AI259" s="56">
        <f>RSQ(AV259:AY259,AV258:AY258)</f>
        <v>0.81982718656599529</v>
      </c>
      <c r="AJ259" s="109">
        <f>SLOPE(AV259:AY259,AV258:AY258)</f>
        <v>-7.9248254165174182E-8</v>
      </c>
      <c r="AK259" s="56">
        <f>INTERCEPT(AV259:AY259,AV258:AY258)</f>
        <v>0.59838853041340723</v>
      </c>
      <c r="AL259" s="56">
        <f>INDEX(LINEST(LN(AV259:AY259),LN(AV258:AY258),TRUE,TRUE),3,1)</f>
        <v>0.63185307714474181</v>
      </c>
      <c r="AM259" s="56">
        <f>INDEX(LINEST(LN(AV259:AY259),LN(AV258:AY258)),1)</f>
        <v>-3.4681778044997398E-2</v>
      </c>
      <c r="AN259" s="56">
        <f>EXP(INDEX(LINEST(LN(AV259:AY259),LN(AV258:AY258)),1,2))</f>
        <v>0.8188044124487307</v>
      </c>
      <c r="AO259" s="82">
        <f>INDEX(LINEST((AV259:AY259),LN(AV258:AY258),TRUE,TRUE),3,1)</f>
        <v>0.63439588754048271</v>
      </c>
      <c r="AP259" s="82">
        <f>INDEX(LINEST((AV259:AY259),LN(AV258:AY258)),1)</f>
        <v>-1.8758475000008462E-2</v>
      </c>
      <c r="AQ259" s="83">
        <f>INDEX(LINEST(LN(AV259:AY259),SQRT(AV258:AY258),TRUE,TRUE),3,1)</f>
        <v>0.8908617159234663</v>
      </c>
      <c r="AR259" s="116">
        <f>INDEX(LINEST(LN(AV259:AY259),SQRT((AV258:AY258))),1)</f>
        <v>-2.2522830525425607E-4</v>
      </c>
      <c r="AS259" s="84">
        <f>INDEX(LINEST(1/(AV259:AY259),1/(SQRT(AV258:AY258)),TRUE,TRUE),3,1)</f>
        <v>0.37755057409495385</v>
      </c>
      <c r="AT259" s="84">
        <f>INDEX(LINEST(1/(AV259:AY259),1/SQRT(AV258:AY258)),1)</f>
        <v>-13.71672306418519</v>
      </c>
      <c r="AU259" s="3"/>
      <c r="AV259" s="53">
        <v>0.60850000000000004</v>
      </c>
      <c r="AW259" s="53">
        <v>0.60650000000000004</v>
      </c>
      <c r="AX259" s="53">
        <v>0.50550000000000006</v>
      </c>
      <c r="AY259" s="53">
        <v>0.46749999999999997</v>
      </c>
      <c r="AZ259" s="53"/>
      <c r="BA259" s="44"/>
      <c r="BB259" s="44"/>
      <c r="BC259" s="31"/>
      <c r="BD259" s="31"/>
      <c r="BE259" s="53"/>
      <c r="BF259" s="53"/>
      <c r="BG259" s="53"/>
      <c r="BH259" s="53"/>
      <c r="BI259" s="53"/>
      <c r="BJ259" s="53"/>
      <c r="BK259" s="53"/>
      <c r="BL259" s="53"/>
      <c r="BM259" s="53"/>
      <c r="BN259" s="53"/>
      <c r="BO259" s="53"/>
      <c r="BP259" s="53"/>
      <c r="BQ259" s="53"/>
      <c r="BR259" s="53"/>
      <c r="BS259" s="53"/>
      <c r="BT259" s="53"/>
      <c r="BU259" s="53"/>
      <c r="BV259" s="53"/>
      <c r="BW259" s="53"/>
      <c r="BX259" s="53"/>
      <c r="BY259" s="53"/>
      <c r="BZ259" s="53"/>
      <c r="CA259" s="53"/>
      <c r="CB259" s="53"/>
      <c r="CC259" s="53"/>
      <c r="CD259" s="53"/>
      <c r="CE259" s="53"/>
      <c r="CF259" s="53"/>
      <c r="CG259" s="53"/>
      <c r="CH259" s="53"/>
      <c r="CI259" s="53"/>
      <c r="CJ259" s="53"/>
      <c r="CK259" s="53"/>
      <c r="CL259" s="53"/>
      <c r="CM259" s="53"/>
      <c r="CN259" s="53"/>
      <c r="CO259" s="53"/>
      <c r="CP259" s="53"/>
      <c r="CQ259" s="53"/>
      <c r="CR259" s="1"/>
      <c r="CS259" s="1"/>
      <c r="CT259" s="1"/>
      <c r="CU259" s="1"/>
    </row>
    <row r="260" spans="1:99" s="13" customFormat="1" ht="12" customHeight="1" x14ac:dyDescent="0.2">
      <c r="A260" s="65">
        <v>43899</v>
      </c>
      <c r="B260" s="1"/>
      <c r="C260" s="1"/>
      <c r="D260" s="60"/>
      <c r="E260" s="76"/>
      <c r="F260" s="60"/>
      <c r="G260" s="60"/>
      <c r="H260" s="60"/>
      <c r="I260" s="60"/>
      <c r="J260" s="60"/>
      <c r="K260" s="64"/>
      <c r="L260" s="64"/>
      <c r="M260" s="60"/>
      <c r="N260" s="60"/>
      <c r="O260" s="60"/>
      <c r="P260" s="60"/>
      <c r="Q260" s="60"/>
      <c r="R260" s="60"/>
      <c r="S260" s="60"/>
      <c r="T260" s="60"/>
      <c r="U260" s="60"/>
      <c r="V260" s="60"/>
      <c r="W260" s="60"/>
      <c r="X260" s="60"/>
      <c r="Y260" s="76"/>
      <c r="Z260" s="60"/>
      <c r="AA260" s="60"/>
      <c r="AB260" s="60"/>
      <c r="AC260" s="56"/>
      <c r="AD260" s="60"/>
      <c r="AE260" s="60"/>
      <c r="AF260" s="80"/>
      <c r="AG260" s="56"/>
      <c r="AH260" s="4"/>
      <c r="AI260" s="56"/>
      <c r="AJ260" s="109"/>
      <c r="AK260" s="56"/>
      <c r="AL260" s="56"/>
      <c r="AM260" s="56"/>
      <c r="AN260" s="56"/>
      <c r="AO260" s="82"/>
      <c r="AP260" s="82"/>
      <c r="AQ260" s="83"/>
      <c r="AR260" s="116"/>
      <c r="AS260" s="84"/>
      <c r="AT260" s="84"/>
      <c r="AU260" s="3"/>
      <c r="AV260" s="25">
        <f>30*60</f>
        <v>1800</v>
      </c>
      <c r="AW260" s="25">
        <f>60*60*24*2</f>
        <v>172800</v>
      </c>
      <c r="AX260" s="25">
        <f>60*60*24*7</f>
        <v>604800</v>
      </c>
      <c r="AY260" s="25">
        <f>60*60*24*21</f>
        <v>1814400</v>
      </c>
      <c r="AZ260" s="53"/>
      <c r="BA260" s="53"/>
      <c r="BB260" s="53"/>
      <c r="BC260" s="53"/>
      <c r="BD260" s="53"/>
      <c r="BE260" s="53"/>
      <c r="BF260" s="53"/>
      <c r="BG260" s="53"/>
      <c r="BH260" s="53"/>
      <c r="BI260" s="53"/>
      <c r="BJ260" s="53"/>
      <c r="BK260" s="53"/>
      <c r="BL260" s="53"/>
      <c r="BM260" s="53"/>
      <c r="BN260" s="53"/>
      <c r="BO260" s="53"/>
      <c r="BP260" s="53"/>
      <c r="BQ260" s="53"/>
      <c r="BR260" s="53"/>
      <c r="BS260" s="53"/>
      <c r="BT260" s="53"/>
      <c r="BU260" s="53"/>
      <c r="BV260" s="53"/>
      <c r="BW260" s="53"/>
      <c r="BX260" s="53"/>
      <c r="BY260" s="53"/>
      <c r="BZ260" s="53"/>
      <c r="CA260" s="53"/>
      <c r="CB260" s="53"/>
      <c r="CC260" s="53"/>
      <c r="CD260" s="53"/>
      <c r="CE260" s="53"/>
      <c r="CF260" s="53"/>
      <c r="CG260" s="53"/>
      <c r="CH260" s="53"/>
      <c r="CI260" s="53"/>
      <c r="CJ260" s="53"/>
      <c r="CK260" s="53"/>
      <c r="CL260" s="53"/>
      <c r="CM260" s="53"/>
      <c r="CN260" s="53"/>
      <c r="CO260" s="53"/>
      <c r="CP260" s="53"/>
      <c r="CQ260" s="53"/>
      <c r="CR260" s="1"/>
      <c r="CS260" s="1"/>
      <c r="CT260" s="1"/>
      <c r="CU260" s="1"/>
    </row>
    <row r="261" spans="1:99" s="13" customFormat="1" ht="12" customHeight="1" x14ac:dyDescent="0.25">
      <c r="A261" s="65">
        <v>43899</v>
      </c>
      <c r="B261" s="1" t="s">
        <v>382</v>
      </c>
      <c r="C261" s="1" t="s">
        <v>383</v>
      </c>
      <c r="D261" s="60">
        <v>1981</v>
      </c>
      <c r="E261" s="76">
        <v>1</v>
      </c>
      <c r="F261" s="60">
        <v>48</v>
      </c>
      <c r="G261" s="60">
        <v>48</v>
      </c>
      <c r="H261" s="60" t="s">
        <v>22</v>
      </c>
      <c r="I261" s="60" t="s">
        <v>385</v>
      </c>
      <c r="J261" s="60" t="s">
        <v>677</v>
      </c>
      <c r="K261" s="60">
        <f>IF(J261="syllables",1,IF(J261="trigrams",2,IF(J261="strings",3,IF(J261="visual array",4,IF(J261="characters",5,IF(J261="letters",6,IF(J261="free forms",7,IF(J261="odors",8,IF(J261="words",9,IF(J261="pictures",10,IF(J261="object pictures",11,IF(J261="faces",12,IF(J261="names",13,IF(J261="idioms",14,IF(J261="grades",15,IF(J261="syllable-digit pairs",16,IF(J261="trigram-word pairs",17,IF(J261="word-digit pairs",18,IF(J261="English-Swahili pairs",19,IF(J261="spatial position",20,IF(J261="word pairs",21,IF(J261="word triads",22,IF(J261="generated words",23,IF(J261="word definition pairs",24,IF(J261="math problems",25,IF(J261="famous faces",26,IF(J261="famous names",27,IF(J261="famous voices",28,IF(J261="television programs",29,IF(J261="race horses",30,IF(J261="new vocabulary",31,IF(J261="sentences",32,IF(J261="concepts",33,IF(J261="ad slides",34,IF(J261="scenes",35,IF(J261="famous scenes",36,IF(J261="poems",37,IF(J261="walk",38,IF(J261="faces and events",39,IF(J261="events and names",40,IF(J261="flashbulb",41,IF(J261="stories",42,IF(J261="course material",43,IF(J261="autobiographical",44,IF(J261="novels",45,IF(J261="public events",46,"99"))))))))))))))))))))))))))))))))))))))))))))))</f>
        <v>42</v>
      </c>
      <c r="L261" s="60">
        <f>IF(J261="syllables",1,IF(J261="trigrams",1,IF(J261="strings",1,IF(J261="visual array",1,IF(J261="characters",1,IF(J261="letters",1,IF(J261="free forms",1,IF(J261="odors",2,IF(J261="words",2,IF(J261="pictures",2,IF(J261="object pictures",2,IF(J261="faces",2,IF(J261="names",2,IF(J261="idioms","2",IF(J261="grades",2,IF(J261="syllable-digit pairs",3,IF(J261="trigram-word pairs",3,IF(J261="word-digit pairs",3,IF(J261="English-Swahili pairs",3,IF(J261="spatial position",3,IF(J261="word pairs",4,IF(J261="word triads",4,IF(J261="generated words",4,IF(J261="word definition pairs",4,IF(J261="math problems",4,IF(J261="famous faces",4,IF(J261="famous names",4,IF(J261="famous voices",4,IF(J261="television programs",4,IF(J261="race horses",4,IF(J261="new vocabulary",4,IF(J261="sentences",5,IF(J261="concepts",5,IF(J261="ad slides",5,IF(J261="scenes",5,IF(J261="famous scenes",5,IF(J261="poems",6,IF(J261="walk",6,IF(J261="faces and events",6,IF(J261="events and names",6,IF(J261="flashbulb",7,IF(J261="stories",7,IF(J261="course material",7,IF(J261="autobiographical",7,IF(J261="novels",7,IF(J261="public events",7,"99"))))))))))))))))))))))))))))))))))))))))))))))</f>
        <v>7</v>
      </c>
      <c r="M261" s="60">
        <v>0</v>
      </c>
      <c r="N261" s="60">
        <v>3</v>
      </c>
      <c r="O261" s="60">
        <v>0</v>
      </c>
      <c r="P261" s="60"/>
      <c r="Q261" s="60" t="s">
        <v>34</v>
      </c>
      <c r="R261" s="60">
        <f>IF(Q261="Free Recall",1,IF(Q261="Cued Recall",2,IF(Q261="Recognition",3,IF(Q261="Multiple Choice",4,IF(Q261="Savings",5,IF(Q261="Stem Completion",6,IF(Q261="Fragment Completion",7,IF(Q261="anagram solution",8,IF(Q261="Matching",9,IF(Q261="Problem Solving",10,"99"))))))))))</f>
        <v>3</v>
      </c>
      <c r="S261" s="60" t="s">
        <v>15</v>
      </c>
      <c r="T261" s="59" t="s">
        <v>581</v>
      </c>
      <c r="U261" s="60">
        <f>IF(T261="within",1,0)</f>
        <v>1</v>
      </c>
      <c r="V261" s="59">
        <v>64</v>
      </c>
      <c r="W261" s="60">
        <f>F261*V261</f>
        <v>3072</v>
      </c>
      <c r="X261" s="60">
        <v>4</v>
      </c>
      <c r="Y261" s="76">
        <f>AV260</f>
        <v>1800</v>
      </c>
      <c r="Z261" s="60" t="s">
        <v>165</v>
      </c>
      <c r="AA261" s="60">
        <v>1814400</v>
      </c>
      <c r="AB261" s="60" t="str">
        <f>IF(AA261&lt;60,"1",IF(AA261&lt;=43200,"2",IF(AA261&lt;=777600,"3","4")))</f>
        <v>4</v>
      </c>
      <c r="AC261" s="56">
        <f>AVERAGE(AV260:DA260)</f>
        <v>648450</v>
      </c>
      <c r="AD261" s="60" t="str">
        <f>IF(AC261&lt;60,"1",IF(AC261&lt;=43200,"2",IF(AC261&lt;=777600,"3","4")))</f>
        <v>3</v>
      </c>
      <c r="AE261" s="76">
        <f>AA261-Y261</f>
        <v>1812600</v>
      </c>
      <c r="AF261" s="80">
        <f>AV261</f>
        <v>0.78699999999999992</v>
      </c>
      <c r="AG261" s="56">
        <f>((AW261-AV261)+(AX261-AW261)+(AY261-AX261))/3</f>
        <v>-6.1999999999999979E-2</v>
      </c>
      <c r="AH261" s="4"/>
      <c r="AI261" s="56">
        <f>RSQ(AV261:AY261,AV260:AY260)</f>
        <v>0.81785907907900313</v>
      </c>
      <c r="AJ261" s="109">
        <f>SLOPE(AV261:AY261,AV260:AY260)</f>
        <v>-8.4043407795632448E-8</v>
      </c>
      <c r="AK261" s="56">
        <f>INTERCEPT(AV261:AY261,AV260:AY260)</f>
        <v>0.74724794778507786</v>
      </c>
      <c r="AL261" s="56">
        <f>INDEX(LINEST(LN(AV261:AY261),LN(AV260:AY260),TRUE,TRUE),3,1)</f>
        <v>0.85430763809927546</v>
      </c>
      <c r="AM261" s="56">
        <f>INDEX(LINEST(LN(AV261:AY261),LN(AV260:AY260)),1)</f>
        <v>-3.3513376224917048E-2</v>
      </c>
      <c r="AN261" s="56">
        <f>EXP(INDEX(LINEST(LN(AV261:AY261),LN(AV260:AY260)),1,2))</f>
        <v>1.0248026451391432</v>
      </c>
      <c r="AO261" s="82">
        <f>INDEX(LINEST((AV261:AY261),LN(AV260:AY260),TRUE,TRUE),3,1)</f>
        <v>0.88388743099002243</v>
      </c>
      <c r="AP261" s="82">
        <f>INDEX(LINEST((AV261:AY261),LN(AV260:AY260)),1)</f>
        <v>-2.3509949552096194E-2</v>
      </c>
      <c r="AQ261" s="83">
        <f>INDEX(LINEST(LN(AV261:AY261),SQRT(AV260:AY260),TRUE,TRUE),3,1)</f>
        <v>0.93925199193499043</v>
      </c>
      <c r="AR261" s="116">
        <f>INDEX(LINEST(LN(AV261:AY261),SQRT((AV260:AY260))),1)</f>
        <v>-1.9218815548304854E-4</v>
      </c>
      <c r="AS261" s="84">
        <f>INDEX(LINEST(1/(AV261:AY261),1/(SQRT(AV260:AY260)),TRUE,TRUE),3,1)</f>
        <v>0.63968583807030077</v>
      </c>
      <c r="AT261" s="84">
        <f>INDEX(LINEST(1/(AV261:AY261),1/SQRT(AV260:AY260)),1)</f>
        <v>-11.640654212417603</v>
      </c>
      <c r="AU261" s="3"/>
      <c r="AV261" s="53">
        <v>0.78699999999999992</v>
      </c>
      <c r="AW261" s="53">
        <v>0.69450000000000001</v>
      </c>
      <c r="AX261" s="53">
        <v>0.6885</v>
      </c>
      <c r="AY261" s="53">
        <v>0.60099999999999998</v>
      </c>
      <c r="AZ261" s="53"/>
      <c r="BA261" s="44"/>
      <c r="BB261" s="44"/>
      <c r="BC261" s="31"/>
      <c r="BD261" s="31"/>
      <c r="BE261" s="53"/>
      <c r="BF261" s="53"/>
      <c r="BG261" s="53"/>
      <c r="BH261" s="53"/>
      <c r="BI261" s="53"/>
      <c r="BJ261" s="53"/>
      <c r="BK261" s="53"/>
      <c r="BL261" s="53"/>
      <c r="BM261" s="53"/>
      <c r="BN261" s="53"/>
      <c r="BO261" s="53"/>
      <c r="BP261" s="53"/>
      <c r="BQ261" s="53"/>
      <c r="BR261" s="53"/>
      <c r="BS261" s="53"/>
      <c r="BT261" s="53"/>
      <c r="BU261" s="53"/>
      <c r="BV261" s="53"/>
      <c r="BW261" s="53"/>
      <c r="BX261" s="53"/>
      <c r="BY261" s="53"/>
      <c r="BZ261" s="53"/>
      <c r="CA261" s="53"/>
      <c r="CB261" s="53"/>
      <c r="CC261" s="53"/>
      <c r="CD261" s="53"/>
      <c r="CE261" s="53"/>
      <c r="CF261" s="53"/>
      <c r="CG261" s="53"/>
      <c r="CH261" s="53"/>
      <c r="CI261" s="53"/>
      <c r="CJ261" s="53"/>
      <c r="CK261" s="53"/>
      <c r="CL261" s="53"/>
      <c r="CM261" s="53"/>
      <c r="CN261" s="53"/>
      <c r="CO261" s="53"/>
      <c r="CP261" s="53"/>
      <c r="CQ261" s="53"/>
      <c r="CR261" s="1"/>
      <c r="CS261" s="1"/>
      <c r="CT261" s="1"/>
      <c r="CU261" s="1"/>
    </row>
    <row r="262" spans="1:99" s="13" customFormat="1" ht="12" customHeight="1" x14ac:dyDescent="0.25">
      <c r="A262" s="65">
        <v>43979</v>
      </c>
      <c r="B262" s="1"/>
      <c r="C262" s="1"/>
      <c r="D262" s="60"/>
      <c r="E262" s="76"/>
      <c r="F262" s="60"/>
      <c r="G262" s="60"/>
      <c r="H262" s="60"/>
      <c r="I262" s="60"/>
      <c r="J262" s="60"/>
      <c r="K262" s="60"/>
      <c r="L262" s="60"/>
      <c r="M262" s="60"/>
      <c r="N262" s="60"/>
      <c r="O262" s="60"/>
      <c r="P262" s="60"/>
      <c r="Q262" s="60"/>
      <c r="R262" s="60"/>
      <c r="S262" s="60"/>
      <c r="T262" s="59"/>
      <c r="U262" s="60"/>
      <c r="V262" s="59"/>
      <c r="W262" s="60"/>
      <c r="X262" s="60"/>
      <c r="Y262" s="76"/>
      <c r="Z262" s="60"/>
      <c r="AA262" s="60"/>
      <c r="AB262" s="60"/>
      <c r="AC262" s="56"/>
      <c r="AD262" s="60"/>
      <c r="AE262" s="76"/>
      <c r="AF262" s="80"/>
      <c r="AG262" s="56"/>
      <c r="AH262" s="4"/>
      <c r="AI262" s="56"/>
      <c r="AJ262" s="109"/>
      <c r="AK262" s="56"/>
      <c r="AL262" s="56"/>
      <c r="AM262" s="56"/>
      <c r="AN262" s="56"/>
      <c r="AO262" s="82"/>
      <c r="AP262" s="82"/>
      <c r="AQ262" s="83"/>
      <c r="AR262" s="116"/>
      <c r="AS262" s="84"/>
      <c r="AT262" s="84"/>
      <c r="AU262" s="3"/>
      <c r="AV262" s="25">
        <f>5*60</f>
        <v>300</v>
      </c>
      <c r="AW262" s="25">
        <f>60*60*2</f>
        <v>7200</v>
      </c>
      <c r="AX262" s="25">
        <f>60*60*24*7*3</f>
        <v>1814400</v>
      </c>
      <c r="AY262" s="25">
        <f>60*60*24*7*6</f>
        <v>3628800</v>
      </c>
      <c r="AZ262" s="25">
        <f>60*60*24*7*27</f>
        <v>16329600</v>
      </c>
      <c r="BA262" s="44"/>
      <c r="BB262" s="53" t="s">
        <v>1011</v>
      </c>
      <c r="BC262" s="31"/>
      <c r="BD262" s="31"/>
      <c r="BE262" s="53"/>
      <c r="BF262" s="53"/>
      <c r="BG262" s="53"/>
      <c r="BH262" s="53"/>
      <c r="BI262" s="53"/>
      <c r="BJ262" s="53"/>
      <c r="BK262" s="53"/>
      <c r="BL262" s="53"/>
      <c r="BM262" s="53"/>
      <c r="BN262" s="53"/>
      <c r="BO262" s="53"/>
      <c r="BP262" s="53"/>
      <c r="BQ262" s="53"/>
      <c r="BR262" s="53"/>
      <c r="BS262" s="53"/>
      <c r="BT262" s="53"/>
      <c r="BU262" s="53"/>
      <c r="BV262" s="53"/>
      <c r="BW262" s="53"/>
      <c r="BX262" s="53"/>
      <c r="BY262" s="53"/>
      <c r="BZ262" s="53"/>
      <c r="CA262" s="53"/>
      <c r="CB262" s="53"/>
      <c r="CC262" s="53"/>
      <c r="CD262" s="53"/>
      <c r="CE262" s="53"/>
      <c r="CF262" s="53"/>
      <c r="CG262" s="53"/>
      <c r="CH262" s="53"/>
      <c r="CI262" s="53"/>
      <c r="CJ262" s="53"/>
      <c r="CK262" s="53"/>
      <c r="CL262" s="53"/>
      <c r="CM262" s="53"/>
      <c r="CN262" s="53"/>
      <c r="CO262" s="53"/>
      <c r="CP262" s="53"/>
      <c r="CQ262" s="53"/>
      <c r="CR262" s="1"/>
      <c r="CS262" s="1"/>
      <c r="CT262" s="1"/>
      <c r="CU262" s="1"/>
    </row>
    <row r="263" spans="1:99" s="13" customFormat="1" ht="12" customHeight="1" x14ac:dyDescent="0.25">
      <c r="A263" s="65">
        <v>43979</v>
      </c>
      <c r="B263" s="1" t="s">
        <v>1007</v>
      </c>
      <c r="C263" s="1" t="s">
        <v>1008</v>
      </c>
      <c r="D263" s="60">
        <v>1995</v>
      </c>
      <c r="E263" s="76">
        <v>1</v>
      </c>
      <c r="F263" s="60">
        <v>15</v>
      </c>
      <c r="G263" s="60">
        <v>15</v>
      </c>
      <c r="H263" s="60" t="s">
        <v>50</v>
      </c>
      <c r="I263" s="60" t="s">
        <v>1009</v>
      </c>
      <c r="J263" s="60" t="s">
        <v>313</v>
      </c>
      <c r="K263" s="60">
        <f>IF(J263="syllables",1,IF(J263="trigrams",2,IF(J263="strings",3,IF(J263="visual array",4,IF(J263="characters",5,IF(J263="letters",6,IF(J263="free forms",7,IF(J263="odors",8,IF(J263="words",9,IF(J263="pictures",10,IF(J263="object pictures",11,IF(J263="faces",12,IF(J263="names",13,IF(J263="idioms",14,IF(J263="grades",15,IF(J263="syllable-digit pairs",16,IF(J263="trigram-word pairs",17,IF(J263="word-digit pairs",18,IF(J263="English-Swahili pairs",19,IF(J263="spatial position",20,IF(J263="word pairs",21,IF(J263="word triads",22,IF(J263="generated words",23,IF(J263="word definition pairs",24,IF(J263="math problems",25,IF(J263="famous faces",26,IF(J263="famous names",27,IF(J263="famous voices",28,IF(J263="television programs",29,IF(J263="race horses",30,IF(J263="new vocabulary",31,IF(J263="sentences",32,IF(J263="concepts",33,IF(J263="ad slides",34,IF(J263="scenes",35,IF(J263="famous scenes",36,IF(J263="poems",37,IF(J263="walk",38,IF(J263="faces and events",39,IF(J263="events and names",40,IF(J263="flashbulb",41,IF(J263="stories",42,IF(J263="course material",43,IF(J263="autobiographical",44,IF(J263="novels",45,IF(J263="public events",46,"99"))))))))))))))))))))))))))))))))))))))))))))))</f>
        <v>10</v>
      </c>
      <c r="L263" s="60">
        <f>IF(J263="syllables",1,IF(J263="trigrams",1,IF(J263="strings",1,IF(J263="visual array",1,IF(J263="characters",1,IF(J263="letters",1,IF(J263="free forms",1,IF(J263="odors",2,IF(J263="words",2,IF(J263="pictures",2,IF(J263="object pictures",2,IF(J263="faces",2,IF(J263="names",2,IF(J263="idioms","2",IF(J263="grades",2,IF(J263="syllable-digit pairs",3,IF(J263="trigram-word pairs",3,IF(J263="word-digit pairs",3,IF(J263="English-Swahili pairs",3,IF(J263="spatial position",3,IF(J263="word pairs",4,IF(J263="word triads",4,IF(J263="generated words",4,IF(J263="word definition pairs",4,IF(J263="math problems",4,IF(J263="famous faces",4,IF(J263="famous names",4,IF(J263="famous voices",4,IF(J263="television programs",4,IF(J263="race horses",4,IF(J263="new vocabulary",4,IF(J263="sentences",5,IF(J263="concepts",5,IF(J263="ad slides",5,IF(J263="scenes",5,IF(J263="famous scenes",5,IF(J263="poems",6,IF(J263="walk",6,IF(J263="faces and events",6,IF(J263="events and names",6,IF(J263="flashbulb",7,IF(J263="stories",7,IF(J263="course material",7,IF(J263="autobiographical",7,IF(J263="novels",7,IF(J263="public events",7,"99"))))))))))))))))))))))))))))))))))))))))))))))</f>
        <v>2</v>
      </c>
      <c r="M263" s="60">
        <v>0</v>
      </c>
      <c r="N263" s="60">
        <v>1</v>
      </c>
      <c r="O263" s="60">
        <v>0</v>
      </c>
      <c r="P263" s="60"/>
      <c r="Q263" s="60" t="s">
        <v>182</v>
      </c>
      <c r="R263" s="60">
        <f>IF(Q263="Free Recall",1,IF(Q263="Cued Recall",2,IF(Q263="Recognition",3,IF(Q263="Multiple Choice",4,IF(Q263="Savings",5,IF(Q263="Stem Completion",6,IF(Q263="Fragment Completion",7,IF(Q263="anagram solution",8,IF(Q263="Matching",9,IF(Q263="Problem Solving",10,"99"))))))))))</f>
        <v>4</v>
      </c>
      <c r="S263" s="60" t="s">
        <v>15</v>
      </c>
      <c r="T263" s="59" t="s">
        <v>581</v>
      </c>
      <c r="U263" s="60">
        <f>IF(T263="within",1,0)</f>
        <v>1</v>
      </c>
      <c r="V263" s="59">
        <v>100</v>
      </c>
      <c r="W263" s="60">
        <f>F263*V263</f>
        <v>1500</v>
      </c>
      <c r="X263" s="60">
        <v>5</v>
      </c>
      <c r="Y263" s="76">
        <f>AV262</f>
        <v>300</v>
      </c>
      <c r="Z263" s="60" t="s">
        <v>1010</v>
      </c>
      <c r="AA263" s="60">
        <f>60*60*24*7*27</f>
        <v>16329600</v>
      </c>
      <c r="AB263" s="60" t="str">
        <f>IF(AA263&lt;60,"1",IF(AA263&lt;=43200,"2",IF(AA263&lt;=777600,"3","4")))</f>
        <v>4</v>
      </c>
      <c r="AC263" s="56">
        <f>AVERAGE(AV262:DA262)</f>
        <v>4356060</v>
      </c>
      <c r="AD263" s="60" t="str">
        <f>IF(AC263&lt;60,"1",IF(AC263&lt;=43200,"2",IF(AC263&lt;=777600,"3","4")))</f>
        <v>4</v>
      </c>
      <c r="AE263" s="76">
        <f>AA263-Y263</f>
        <v>16329300</v>
      </c>
      <c r="AF263" s="80">
        <f>AV263</f>
        <v>0.98523068834677108</v>
      </c>
      <c r="AG263" s="56">
        <f>((AW263-AV263)+(AX263-AW263)+(AY263-AX263)+(AZ263-AY263))/4</f>
        <v>-6.4347504263039257E-2</v>
      </c>
      <c r="AH263" s="4"/>
      <c r="AI263" s="56">
        <f>RSQ(AV263:AZ263,AV262:AZ262)</f>
        <v>0.58286447448136014</v>
      </c>
      <c r="AJ263" s="109">
        <f>SLOPE(AV263:AZ263,AV262:AZ262)</f>
        <v>-1.3433463136831948E-8</v>
      </c>
      <c r="AK263" s="56">
        <f>INTERCEPT(AV263:AZ263,AV262:AZ262)</f>
        <v>0.91725566529893166</v>
      </c>
      <c r="AL263" s="56">
        <f>INDEX(LINEST(LN(AV263:AZ263),LN(AV262:AZ262),TRUE,TRUE),3,1)</f>
        <v>0.90213728635991253</v>
      </c>
      <c r="AM263" s="56">
        <f>INDEX(LINEST(LN(AV263:AZ263),LN(AV262:AZ262)),1)</f>
        <v>-2.8799291828359688E-2</v>
      </c>
      <c r="AN263" s="56">
        <f>EXP(INDEX(LINEST(LN(AV263:AZ263),LN(AV262:AZ262)),1,2))</f>
        <v>1.2086253315431912</v>
      </c>
      <c r="AO263" s="82">
        <f>INDEX(LINEST((AV263:AZ263),LN(AV262:AZ262),TRUE,TRUE),3,1)</f>
        <v>0.91326885749907716</v>
      </c>
      <c r="AP263" s="82">
        <f>INDEX(LINEST((AV263:AZ263),LN(AV262:AZ262)),1)</f>
        <v>-2.4884303031488773E-2</v>
      </c>
      <c r="AQ263" s="83">
        <f>INDEX(LINEST(LN(AV263:AZ263),SQRT(AV262:AZ262),TRUE,TRUE),3,1)</f>
        <v>0.86215054861499774</v>
      </c>
      <c r="AR263" s="116">
        <f>INDEX(LINEST(LN(AV263:AZ263),SQRT((AV262:AZ262))),1)</f>
        <v>-7.9268418348703716E-5</v>
      </c>
      <c r="AS263" s="84">
        <f>INDEX(LINEST(1/(AV263:AZ263),1/(SQRT(AV262:AZ262)),TRUE,TRUE),3,1)</f>
        <v>0.49458491689591083</v>
      </c>
      <c r="AT263" s="84">
        <f>INDEX(LINEST(1/(AV263:AZ263),1/SQRT(AV262:AZ262)),1)</f>
        <v>-4.6751073452250616</v>
      </c>
      <c r="AU263" s="3"/>
      <c r="AV263" s="53">
        <v>0.98523068834677108</v>
      </c>
      <c r="AW263" s="53">
        <v>0.98218412869708305</v>
      </c>
      <c r="AX263" s="53">
        <v>0.83677939075724694</v>
      </c>
      <c r="AY263" s="53">
        <v>0.76165859023980209</v>
      </c>
      <c r="AZ263" s="53">
        <v>0.72784067129461405</v>
      </c>
      <c r="BA263" s="44"/>
      <c r="BB263" s="44"/>
      <c r="BC263" s="31"/>
      <c r="BD263" s="31"/>
      <c r="BE263" s="53"/>
      <c r="BF263" s="53"/>
      <c r="BG263" s="53"/>
      <c r="BH263" s="53"/>
      <c r="BI263" s="53"/>
      <c r="BJ263" s="53"/>
      <c r="BK263" s="53"/>
      <c r="BL263" s="53"/>
      <c r="BM263" s="53"/>
      <c r="BN263" s="53"/>
      <c r="BO263" s="53"/>
      <c r="BP263" s="53"/>
      <c r="BQ263" s="53"/>
      <c r="BR263" s="53"/>
      <c r="BS263" s="53"/>
      <c r="BT263" s="53"/>
      <c r="BU263" s="53"/>
      <c r="BV263" s="53"/>
      <c r="BW263" s="53"/>
      <c r="BX263" s="53"/>
      <c r="BY263" s="53"/>
      <c r="BZ263" s="53"/>
      <c r="CA263" s="53"/>
      <c r="CB263" s="53"/>
      <c r="CC263" s="53"/>
      <c r="CD263" s="53"/>
      <c r="CE263" s="53"/>
      <c r="CF263" s="53"/>
      <c r="CG263" s="53"/>
      <c r="CH263" s="53"/>
      <c r="CI263" s="53"/>
      <c r="CJ263" s="53"/>
      <c r="CK263" s="53"/>
      <c r="CL263" s="53"/>
      <c r="CM263" s="53"/>
      <c r="CN263" s="53"/>
      <c r="CO263" s="53"/>
      <c r="CP263" s="53"/>
      <c r="CQ263" s="53"/>
      <c r="CR263" s="1"/>
      <c r="CS263" s="1"/>
      <c r="CT263" s="1"/>
      <c r="CU263" s="1"/>
    </row>
    <row r="264" spans="1:99" s="13" customFormat="1" ht="12" customHeight="1" x14ac:dyDescent="0.25">
      <c r="A264" s="65">
        <v>43979</v>
      </c>
      <c r="B264" s="1"/>
      <c r="C264" s="1"/>
      <c r="D264" s="60"/>
      <c r="E264" s="76"/>
      <c r="F264" s="60"/>
      <c r="G264" s="60"/>
      <c r="H264" s="60"/>
      <c r="I264" s="60"/>
      <c r="J264" s="60"/>
      <c r="K264" s="60"/>
      <c r="L264" s="60"/>
      <c r="M264" s="60"/>
      <c r="N264" s="60"/>
      <c r="O264" s="60"/>
      <c r="P264" s="60"/>
      <c r="Q264" s="60"/>
      <c r="R264" s="60"/>
      <c r="S264" s="60"/>
      <c r="T264" s="59"/>
      <c r="U264" s="60"/>
      <c r="V264" s="59"/>
      <c r="W264" s="60"/>
      <c r="X264" s="60"/>
      <c r="Y264" s="76"/>
      <c r="Z264" s="60"/>
      <c r="AA264" s="60"/>
      <c r="AB264" s="60"/>
      <c r="AC264" s="56"/>
      <c r="AD264" s="60"/>
      <c r="AE264" s="76"/>
      <c r="AF264" s="80"/>
      <c r="AG264" s="56"/>
      <c r="AH264" s="4"/>
      <c r="AI264" s="56"/>
      <c r="AJ264" s="109"/>
      <c r="AK264" s="56"/>
      <c r="AL264" s="56"/>
      <c r="AM264" s="56"/>
      <c r="AN264" s="56"/>
      <c r="AO264" s="82"/>
      <c r="AP264" s="82"/>
      <c r="AQ264" s="83"/>
      <c r="AR264" s="116"/>
      <c r="AS264" s="84"/>
      <c r="AT264" s="84"/>
      <c r="AU264" s="3"/>
      <c r="AV264" s="25">
        <f>5*60</f>
        <v>300</v>
      </c>
      <c r="AW264" s="25">
        <f>60*60*2</f>
        <v>7200</v>
      </c>
      <c r="AX264" s="25">
        <f>60*60*24*7*3</f>
        <v>1814400</v>
      </c>
      <c r="AY264" s="25">
        <f>60*60*24*7*6</f>
        <v>3628800</v>
      </c>
      <c r="AZ264" s="25">
        <f>60*60*24*7*27</f>
        <v>16329600</v>
      </c>
      <c r="BA264" s="44"/>
      <c r="BB264" s="44"/>
      <c r="BC264" s="31"/>
      <c r="BD264" s="31"/>
      <c r="BE264" s="53"/>
      <c r="BF264" s="53"/>
      <c r="BG264" s="53"/>
      <c r="BH264" s="53"/>
      <c r="BI264" s="53"/>
      <c r="BJ264" s="53"/>
      <c r="BK264" s="53"/>
      <c r="BL264" s="53"/>
      <c r="BM264" s="53"/>
      <c r="BN264" s="53"/>
      <c r="BO264" s="53"/>
      <c r="BP264" s="53"/>
      <c r="BQ264" s="53"/>
      <c r="BR264" s="53"/>
      <c r="BS264" s="53"/>
      <c r="BT264" s="53"/>
      <c r="BU264" s="53"/>
      <c r="BV264" s="53"/>
      <c r="BW264" s="53"/>
      <c r="BX264" s="53"/>
      <c r="BY264" s="53"/>
      <c r="BZ264" s="53"/>
      <c r="CA264" s="53"/>
      <c r="CB264" s="53"/>
      <c r="CC264" s="53"/>
      <c r="CD264" s="53"/>
      <c r="CE264" s="53"/>
      <c r="CF264" s="53"/>
      <c r="CG264" s="53"/>
      <c r="CH264" s="53"/>
      <c r="CI264" s="53"/>
      <c r="CJ264" s="53"/>
      <c r="CK264" s="53"/>
      <c r="CL264" s="53"/>
      <c r="CM264" s="53"/>
      <c r="CN264" s="53"/>
      <c r="CO264" s="53"/>
      <c r="CP264" s="53"/>
      <c r="CQ264" s="53"/>
      <c r="CR264" s="1"/>
      <c r="CS264" s="1"/>
      <c r="CT264" s="1"/>
      <c r="CU264" s="1"/>
    </row>
    <row r="265" spans="1:99" s="13" customFormat="1" ht="12" customHeight="1" x14ac:dyDescent="0.25">
      <c r="A265" s="65">
        <v>43979</v>
      </c>
      <c r="B265" s="1" t="s">
        <v>1007</v>
      </c>
      <c r="C265" s="1" t="s">
        <v>1008</v>
      </c>
      <c r="D265" s="60">
        <v>1995</v>
      </c>
      <c r="E265" s="76">
        <v>1</v>
      </c>
      <c r="F265" s="60">
        <v>15</v>
      </c>
      <c r="G265" s="60">
        <v>15</v>
      </c>
      <c r="H265" s="60" t="s">
        <v>50</v>
      </c>
      <c r="I265" s="60" t="s">
        <v>1012</v>
      </c>
      <c r="J265" s="60" t="s">
        <v>313</v>
      </c>
      <c r="K265" s="60">
        <f>IF(J265="syllables",1,IF(J265="trigrams",2,IF(J265="strings",3,IF(J265="visual array",4,IF(J265="characters",5,IF(J265="letters",6,IF(J265="free forms",7,IF(J265="odors",8,IF(J265="words",9,IF(J265="pictures",10,IF(J265="object pictures",11,IF(J265="faces",12,IF(J265="names",13,IF(J265="idioms",14,IF(J265="grades",15,IF(J265="syllable-digit pairs",16,IF(J265="trigram-word pairs",17,IF(J265="word-digit pairs",18,IF(J265="English-Swahili pairs",19,IF(J265="spatial position",20,IF(J265="word pairs",21,IF(J265="word triads",22,IF(J265="generated words",23,IF(J265="word definition pairs",24,IF(J265="math problems",25,IF(J265="famous faces",26,IF(J265="famous names",27,IF(J265="famous voices",28,IF(J265="television programs",29,IF(J265="race horses",30,IF(J265="new vocabulary",31,IF(J265="sentences",32,IF(J265="concepts",33,IF(J265="ad slides",34,IF(J265="scenes",35,IF(J265="famous scenes",36,IF(J265="poems",37,IF(J265="walk",38,IF(J265="faces and events",39,IF(J265="events and names",40,IF(J265="flashbulb",41,IF(J265="stories",42,IF(J265="course material",43,IF(J265="autobiographical",44,IF(J265="novels",45,IF(J265="public events",46,"99"))))))))))))))))))))))))))))))))))))))))))))))</f>
        <v>10</v>
      </c>
      <c r="L265" s="60">
        <f>IF(J265="syllables",1,IF(J265="trigrams",1,IF(J265="strings",1,IF(J265="visual array",1,IF(J265="characters",1,IF(J265="letters",1,IF(J265="free forms",1,IF(J265="odors",2,IF(J265="words",2,IF(J265="pictures",2,IF(J265="object pictures",2,IF(J265="faces",2,IF(J265="names",2,IF(J265="idioms","2",IF(J265="grades",2,IF(J265="syllable-digit pairs",3,IF(J265="trigram-word pairs",3,IF(J265="word-digit pairs",3,IF(J265="English-Swahili pairs",3,IF(J265="spatial position",3,IF(J265="word pairs",4,IF(J265="word triads",4,IF(J265="generated words",4,IF(J265="word definition pairs",4,IF(J265="math problems",4,IF(J265="famous faces",4,IF(J265="famous names",4,IF(J265="famous voices",4,IF(J265="television programs",4,IF(J265="race horses",4,IF(J265="new vocabulary",4,IF(J265="sentences",5,IF(J265="concepts",5,IF(J265="ad slides",5,IF(J265="scenes",5,IF(J265="famous scenes",5,IF(J265="poems",6,IF(J265="walk",6,IF(J265="faces and events",6,IF(J265="events and names",6,IF(J265="flashbulb",7,IF(J265="stories",7,IF(J265="course material",7,IF(J265="autobiographical",7,IF(J265="novels",7,IF(J265="public events",7,"99"))))))))))))))))))))))))))))))))))))))))))))))</f>
        <v>2</v>
      </c>
      <c r="M265" s="60">
        <v>0</v>
      </c>
      <c r="N265" s="60">
        <v>1</v>
      </c>
      <c r="O265" s="60">
        <v>0</v>
      </c>
      <c r="P265" s="60"/>
      <c r="Q265" s="60" t="s">
        <v>182</v>
      </c>
      <c r="R265" s="60">
        <f>IF(Q265="Free Recall",1,IF(Q265="Cued Recall",2,IF(Q265="Recognition",3,IF(Q265="Multiple Choice",4,IF(Q265="Savings",5,IF(Q265="Stem Completion",6,IF(Q265="Fragment Completion",7,IF(Q265="anagram solution",8,IF(Q265="Matching",9,IF(Q265="Problem Solving",10,"99"))))))))))</f>
        <v>4</v>
      </c>
      <c r="S265" s="60" t="s">
        <v>15</v>
      </c>
      <c r="T265" s="59" t="s">
        <v>581</v>
      </c>
      <c r="U265" s="60">
        <f>IF(T265="within",1,0)</f>
        <v>1</v>
      </c>
      <c r="V265" s="59">
        <v>100</v>
      </c>
      <c r="W265" s="60">
        <f>F265*V265</f>
        <v>1500</v>
      </c>
      <c r="X265" s="60">
        <v>5</v>
      </c>
      <c r="Y265" s="76">
        <f>AV264</f>
        <v>300</v>
      </c>
      <c r="Z265" s="60" t="s">
        <v>1010</v>
      </c>
      <c r="AA265" s="60">
        <f>60*60*24*7*27</f>
        <v>16329600</v>
      </c>
      <c r="AB265" s="60" t="str">
        <f>IF(AA265&lt;60,"1",IF(AA265&lt;=43200,"2",IF(AA265&lt;=777600,"3","4")))</f>
        <v>4</v>
      </c>
      <c r="AC265" s="56">
        <f>AVERAGE(AV264:DA264)</f>
        <v>4356060</v>
      </c>
      <c r="AD265" s="60" t="str">
        <f>IF(AC265&lt;60,"1",IF(AC265&lt;=43200,"2",IF(AC265&lt;=777600,"3","4")))</f>
        <v>4</v>
      </c>
      <c r="AE265" s="76">
        <f>AA265-Y265</f>
        <v>16329300</v>
      </c>
      <c r="AF265" s="80">
        <f>AV265</f>
        <v>0.99842829620252205</v>
      </c>
      <c r="AG265" s="56">
        <f>((AW265-AV265)+(AX265-AW265)+(AY265-AX265)+(AZ265-AY265))/4</f>
        <v>-8.3962326149291E-2</v>
      </c>
      <c r="AH265" s="4"/>
      <c r="AI265" s="56">
        <f>RSQ(AV265:AZ265,AV264:AZ264)</f>
        <v>0.60825325813478348</v>
      </c>
      <c r="AJ265" s="109">
        <f>SLOPE(AV265:AZ265,AV264:AZ264)</f>
        <v>-1.8188818937887309E-8</v>
      </c>
      <c r="AK265" s="56">
        <f>INTERCEPT(AV265:AZ265,AV264:AZ264)</f>
        <v>0.92037107187574374</v>
      </c>
      <c r="AL265" s="56">
        <f>INDEX(LINEST(LN(AV265:AZ265),LN(AV264:AZ264),TRUE,TRUE),3,1)</f>
        <v>0.81899768836940856</v>
      </c>
      <c r="AM265" s="56">
        <f>INDEX(LINEST(LN(AV265:AZ265),LN(AV264:AZ264)),1)</f>
        <v>-3.7895681646718304E-2</v>
      </c>
      <c r="AN265" s="56">
        <f>EXP(INDEX(LINEST(LN(AV265:AZ265),LN(AV264:AZ264)),1,2))</f>
        <v>1.3129152547321392</v>
      </c>
      <c r="AO265" s="82">
        <f>INDEX(LINEST((AV265:AZ265),LN(AV264:AZ264),TRUE,TRUE),3,1)</f>
        <v>0.84332201562954479</v>
      </c>
      <c r="AP265" s="82">
        <f>INDEX(LINEST((AV265:AZ265),LN(AV264:AZ264)),1)</f>
        <v>-3.1694285015315474E-2</v>
      </c>
      <c r="AQ265" s="83">
        <f>INDEX(LINEST(LN(AV265:AZ265),SQRT(AV264:AZ264),TRUE,TRUE),3,1)</f>
        <v>0.85471679792933741</v>
      </c>
      <c r="AR265" s="116">
        <f>INDEX(LINEST(LN(AV265:AZ265),SQRT((AV264:AZ264))),1)</f>
        <v>-1.0899903454701368E-4</v>
      </c>
      <c r="AS265" s="84">
        <f>INDEX(LINEST(1/(AV265:AZ265),1/(SQRT(AV264:AZ264)),TRUE,TRUE),3,1)</f>
        <v>0.41997791664476863</v>
      </c>
      <c r="AT265" s="84">
        <f>INDEX(LINEST(1/(AV265:AZ265),1/SQRT(AV264:AZ264)),1)</f>
        <v>-6.2406536297329342</v>
      </c>
      <c r="AU265" s="3"/>
      <c r="AV265" s="53">
        <v>0.99842829620252205</v>
      </c>
      <c r="AW265" s="53">
        <v>0.99684967469466901</v>
      </c>
      <c r="AX265" s="53">
        <v>0.85291010781251597</v>
      </c>
      <c r="AY265" s="53">
        <v>0.69493035595078689</v>
      </c>
      <c r="AZ265" s="53">
        <v>0.66257899160535805</v>
      </c>
      <c r="BA265" s="44"/>
      <c r="BB265" s="44"/>
      <c r="BC265" s="31"/>
      <c r="BD265" s="31"/>
      <c r="BE265" s="53"/>
      <c r="BF265" s="53"/>
      <c r="BG265" s="53"/>
      <c r="BH265" s="53"/>
      <c r="BI265" s="53"/>
      <c r="BJ265" s="53"/>
      <c r="BK265" s="53"/>
      <c r="BL265" s="53"/>
      <c r="BM265" s="53"/>
      <c r="BN265" s="53"/>
      <c r="BO265" s="53"/>
      <c r="BP265" s="53"/>
      <c r="BQ265" s="53"/>
      <c r="BR265" s="53"/>
      <c r="BS265" s="53"/>
      <c r="BT265" s="53"/>
      <c r="BU265" s="53"/>
      <c r="BV265" s="53"/>
      <c r="BW265" s="53"/>
      <c r="BX265" s="53"/>
      <c r="BY265" s="53"/>
      <c r="BZ265" s="53"/>
      <c r="CA265" s="53"/>
      <c r="CB265" s="53"/>
      <c r="CC265" s="53"/>
      <c r="CD265" s="53"/>
      <c r="CE265" s="53"/>
      <c r="CF265" s="53"/>
      <c r="CG265" s="53"/>
      <c r="CH265" s="53"/>
      <c r="CI265" s="53"/>
      <c r="CJ265" s="53"/>
      <c r="CK265" s="53"/>
      <c r="CL265" s="53"/>
      <c r="CM265" s="53"/>
      <c r="CN265" s="53"/>
      <c r="CO265" s="53"/>
      <c r="CP265" s="53"/>
      <c r="CQ265" s="53"/>
      <c r="CR265" s="1"/>
      <c r="CS265" s="1"/>
      <c r="CT265" s="1"/>
      <c r="CU265" s="1"/>
    </row>
    <row r="266" spans="1:99" s="13" customFormat="1" ht="12" customHeight="1" x14ac:dyDescent="0.2">
      <c r="A266" s="68">
        <v>43897</v>
      </c>
      <c r="B266" s="103"/>
      <c r="C266" s="103"/>
      <c r="D266" s="126"/>
      <c r="E266" s="87"/>
      <c r="F266" s="69"/>
      <c r="G266" s="69"/>
      <c r="H266" s="69"/>
      <c r="I266" s="69"/>
      <c r="J266" s="69"/>
      <c r="K266" s="107"/>
      <c r="L266" s="107"/>
      <c r="M266" s="69"/>
      <c r="N266" s="86"/>
      <c r="O266" s="69"/>
      <c r="P266" s="69"/>
      <c r="Q266" s="69"/>
      <c r="R266" s="69"/>
      <c r="S266" s="69"/>
      <c r="T266" s="92"/>
      <c r="U266" s="60"/>
      <c r="V266" s="92"/>
      <c r="W266" s="69"/>
      <c r="X266" s="69"/>
      <c r="Y266" s="87"/>
      <c r="Z266" s="92"/>
      <c r="AA266" s="92"/>
      <c r="AB266" s="69"/>
      <c r="AC266" s="72"/>
      <c r="AD266" s="69"/>
      <c r="AE266" s="69"/>
      <c r="AF266" s="88"/>
      <c r="AG266" s="72"/>
      <c r="AH266" s="4"/>
      <c r="AI266" s="72"/>
      <c r="AJ266" s="110"/>
      <c r="AK266" s="72"/>
      <c r="AL266" s="72"/>
      <c r="AM266" s="72"/>
      <c r="AN266" s="72"/>
      <c r="AO266" s="89"/>
      <c r="AP266" s="89"/>
      <c r="AQ266" s="90"/>
      <c r="AR266" s="117"/>
      <c r="AS266" s="91"/>
      <c r="AT266" s="91"/>
      <c r="AU266" s="3"/>
      <c r="AV266" s="71">
        <v>15</v>
      </c>
      <c r="AW266" s="71">
        <v>600</v>
      </c>
      <c r="AX266" s="71">
        <v>7200</v>
      </c>
      <c r="AY266" s="71">
        <v>86400</v>
      </c>
      <c r="AZ266" s="71">
        <v>1209600</v>
      </c>
      <c r="BA266" s="98">
        <v>4838400</v>
      </c>
      <c r="BB266" s="53"/>
      <c r="BC266" s="53"/>
      <c r="BD266" s="53"/>
      <c r="BE266" s="53"/>
      <c r="BF266" s="53"/>
      <c r="BG266" s="53"/>
      <c r="BH266" s="53"/>
      <c r="BI266" s="53"/>
      <c r="BJ266" s="53"/>
      <c r="BK266" s="53"/>
      <c r="BL266" s="53"/>
      <c r="BM266" s="53"/>
      <c r="BN266" s="53"/>
      <c r="BO266" s="53"/>
      <c r="BP266" s="53"/>
      <c r="BQ266" s="53"/>
      <c r="BR266" s="53"/>
      <c r="BS266" s="53"/>
      <c r="BT266" s="53"/>
      <c r="BU266" s="53"/>
      <c r="BV266" s="53"/>
      <c r="BW266" s="53"/>
      <c r="BX266" s="53"/>
      <c r="BY266" s="53"/>
      <c r="BZ266" s="53"/>
      <c r="CA266" s="53"/>
      <c r="CB266" s="53"/>
      <c r="CC266" s="53"/>
      <c r="CD266" s="53"/>
      <c r="CE266" s="53"/>
      <c r="CF266" s="53"/>
      <c r="CG266" s="53"/>
      <c r="CH266" s="53"/>
      <c r="CI266" s="53"/>
      <c r="CJ266" s="53"/>
      <c r="CK266" s="53"/>
      <c r="CL266" s="53"/>
      <c r="CM266" s="53"/>
      <c r="CN266" s="53"/>
      <c r="CO266" s="53"/>
      <c r="CP266" s="53"/>
      <c r="CQ266" s="53"/>
      <c r="CR266" s="1"/>
      <c r="CS266" s="1"/>
      <c r="CT266" s="1"/>
      <c r="CU266" s="1"/>
    </row>
    <row r="267" spans="1:99" s="13" customFormat="1" ht="12" customHeight="1" x14ac:dyDescent="0.2">
      <c r="A267" s="68">
        <v>43897</v>
      </c>
      <c r="B267" s="103" t="s">
        <v>412</v>
      </c>
      <c r="C267" s="103" t="s">
        <v>139</v>
      </c>
      <c r="D267" s="126">
        <v>1990</v>
      </c>
      <c r="E267" s="87">
        <v>1</v>
      </c>
      <c r="F267" s="69">
        <v>20</v>
      </c>
      <c r="G267" s="69">
        <v>20</v>
      </c>
      <c r="H267" s="69" t="s">
        <v>444</v>
      </c>
      <c r="I267" s="69" t="s">
        <v>330</v>
      </c>
      <c r="J267" s="69" t="s">
        <v>16</v>
      </c>
      <c r="K267" s="69">
        <f>IF(J267="syllables",1,IF(J267="trigrams",2,IF(J267="strings",3,IF(J267="visual array",4,IF(J267="characters",5,IF(J267="letters",6,IF(J267="free forms",7,IF(J267="odors",8,IF(J267="words",9,IF(J267="pictures",10,IF(J267="object pictures",11,IF(J267="faces",12,IF(J267="names",13,IF(J267="idioms",14,IF(J267="grades",15,IF(J267="syllable-digit pairs",16,IF(J267="trigram-word pairs",17,IF(J267="word-digit pairs",18,IF(J267="English-Swahili pairs",19,IF(J267="spatial position",20,IF(J267="word pairs",21,IF(J267="word triads",22,IF(J267="generated words",23,IF(J267="word definition pairs",24,IF(J267="math problems",25,IF(J267="famous faces",26,IF(J267="famous names",27,IF(J267="famous voices",28,IF(J267="television programs",29,IF(J267="race horses",30,IF(J267="new vocabulary",31,IF(J267="sentences",32,IF(J267="concepts",33,IF(J267="ad slides",34,IF(J267="scenes",35,IF(J267="famous scenes",36,IF(J267="poems",37,IF(J267="walk",38,IF(J267="faces and events",39,IF(J267="events and names",40,IF(J267="flashbulb",41,IF(J267="stories",42,IF(J267="course material",43,IF(J267="autobiographical",44,IF(J267="novels",45,IF(J267="public events",46,"99"))))))))))))))))))))))))))))))))))))))))))))))</f>
        <v>9</v>
      </c>
      <c r="L267" s="69">
        <f>IF(J267="syllables",1,IF(J267="trigrams",1,IF(J267="strings",1,IF(J267="visual array",1,IF(J267="characters",1,IF(J267="letters",1,IF(J267="free forms",1,IF(J267="odors",2,IF(J267="words",2,IF(J267="pictures",2,IF(J267="object pictures",2,IF(J267="faces",2,IF(J267="names",2,IF(J267="idioms","2",IF(J267="grades",2,IF(J267="syllable-digit pairs",3,IF(J267="trigram-word pairs",3,IF(J267="word-digit pairs",3,IF(J267="English-Swahili pairs",3,IF(J267="spatial position",3,IF(J267="word pairs",4,IF(J267="word triads",4,IF(J267="generated words",4,IF(J267="word definition pairs",4,IF(J267="math problems",4,IF(J267="famous faces",4,IF(J267="famous names",4,IF(J267="famous voices",4,IF(J267="television programs",4,IF(J267="race horses",4,IF(J267="new vocabulary",4,IF(J267="sentences",5,IF(J267="concepts",5,IF(J267="ad slides",5,IF(J267="scenes",5,IF(J267="famous scenes",5,IF(J267="poems",6,IF(J267="walk",6,IF(J267="faces and events",6,IF(J267="events and names",6,IF(J267="flashbulb",7,IF(J267="stories",7,IF(J267="course material",7,IF(J267="autobiographical",7,IF(J267="novels",7,IF(J267="public events",7,"99"))))))))))))))))))))))))))))))))))))))))))))))</f>
        <v>2</v>
      </c>
      <c r="M267" s="69">
        <v>0</v>
      </c>
      <c r="N267" s="86">
        <v>1</v>
      </c>
      <c r="O267" s="69">
        <v>0</v>
      </c>
      <c r="P267" s="69"/>
      <c r="Q267" s="69" t="s">
        <v>34</v>
      </c>
      <c r="R267" s="69">
        <f>IF(Q267="Free Recall",1,IF(Q267="Cued Recall",2,IF(Q267="Recognition",3,IF(Q267="Multiple Choice",4,IF(Q267="Savings",5,IF(Q267="Stem Completion",6,IF(Q267="Fragment Completion",7,IF(Q267="anagram solution",8,IF(Q267="Matching",9,IF(Q267="Problem Solving",10,"99"))))))))))</f>
        <v>3</v>
      </c>
      <c r="S267" s="69" t="s">
        <v>15</v>
      </c>
      <c r="T267" s="92" t="s">
        <v>581</v>
      </c>
      <c r="U267" s="60">
        <f>IF(T267="within",1,0)</f>
        <v>1</v>
      </c>
      <c r="V267" s="92">
        <v>20</v>
      </c>
      <c r="W267" s="69">
        <f>F267*V267</f>
        <v>400</v>
      </c>
      <c r="X267" s="69">
        <v>6</v>
      </c>
      <c r="Y267" s="87">
        <f>AV266</f>
        <v>15</v>
      </c>
      <c r="Z267" s="92" t="s">
        <v>276</v>
      </c>
      <c r="AA267" s="92">
        <v>4838400</v>
      </c>
      <c r="AB267" s="69" t="str">
        <f>IF(AA267&lt;60,"1",IF(AA267&lt;=43200,"2",IF(AA267&lt;=777600,"3","4")))</f>
        <v>4</v>
      </c>
      <c r="AC267" s="72">
        <f>AVERAGE(AV266:DA266)</f>
        <v>1023702.5</v>
      </c>
      <c r="AD267" s="69" t="str">
        <f>IF(AC267&lt;60,"1",IF(AC267&lt;=43200,"2",IF(AC267&lt;=777600,"3","4")))</f>
        <v>4</v>
      </c>
      <c r="AE267" s="87">
        <f>AA267-Y267</f>
        <v>4838385</v>
      </c>
      <c r="AF267" s="88">
        <f>AV267</f>
        <v>0.97</v>
      </c>
      <c r="AG267" s="72">
        <f>((AW267-AV267)+(AX267-AW267)+(AY267-AX267)+(AZ267-AY267)+(BA267-AZ267))/5</f>
        <v>-7.5999999999999998E-2</v>
      </c>
      <c r="AH267" s="4"/>
      <c r="AI267" s="72">
        <f>RSQ(AV267:BA267,AV266:BA266)</f>
        <v>0.71498819716598194</v>
      </c>
      <c r="AJ267" s="110">
        <f>SLOPE(AV267:BA267,AV266:BA266)</f>
        <v>-6.560770588771004E-8</v>
      </c>
      <c r="AK267" s="72">
        <f>INTERCEPT(AV267:BA267,AV266:BA266)</f>
        <v>0.88049610586984683</v>
      </c>
      <c r="AL267" s="72">
        <f>INDEX(LINEST(LN(AV267:BA267),LN(AV266:BA266),TRUE,TRUE),3,1)</f>
        <v>0.87188949137169602</v>
      </c>
      <c r="AM267" s="72">
        <f>INDEX(LINEST(LN(AV267:BA267),LN(AV266:BA266)),1)</f>
        <v>-3.7914969201065102E-2</v>
      </c>
      <c r="AN267" s="72">
        <f>EXP(INDEX(LINEST(LN(AV267:BA267),LN(AV266:BA266)),1,2))</f>
        <v>1.1612719345974014</v>
      </c>
      <c r="AO267" s="89">
        <f>INDEX(LINEST((AV267:BA267),LN(AV266:BA266),TRUE,TRUE),3,1)</f>
        <v>0.90458823982658176</v>
      </c>
      <c r="AP267" s="89">
        <f>INDEX(LINEST((AV267:BA267),LN(AV266:BA266)),1)</f>
        <v>-2.9784973899016118E-2</v>
      </c>
      <c r="AQ267" s="90">
        <f>INDEX(LINEST(LN(AV267:BA267),SQRT(AV266:BA266),TRUE,TRUE),3,1)</f>
        <v>0.91526189828349014</v>
      </c>
      <c r="AR267" s="117">
        <f>INDEX(LINEST(LN(AV267:BA267),SQRT((AV266:BA266))),1)</f>
        <v>-2.114442433717422E-4</v>
      </c>
      <c r="AS267" s="91">
        <f>INDEX(LINEST(1/(AV267:BA267),1/(SQRT(AV266:BA266)),TRUE,TRUE),3,1)</f>
        <v>0.29529900012126981</v>
      </c>
      <c r="AT267" s="91">
        <f>INDEX(LINEST(1/(AV267:BA267),1/SQRT(AV266:BA266)),1)</f>
        <v>-1.3719685575824938</v>
      </c>
      <c r="AU267" s="3"/>
      <c r="AV267" s="73">
        <v>0.97</v>
      </c>
      <c r="AW267" s="73">
        <v>0.94</v>
      </c>
      <c r="AX267" s="73">
        <v>0.9</v>
      </c>
      <c r="AY267" s="73">
        <v>0.78</v>
      </c>
      <c r="AZ267" s="73">
        <v>0.7</v>
      </c>
      <c r="BA267" s="73">
        <v>0.59</v>
      </c>
      <c r="BB267" s="53"/>
      <c r="BC267" s="53"/>
      <c r="BD267" s="53"/>
      <c r="BE267" s="53"/>
      <c r="BF267" s="53"/>
      <c r="BG267" s="53"/>
      <c r="BH267" s="53"/>
      <c r="BI267" s="53"/>
      <c r="BJ267" s="53"/>
      <c r="BK267" s="53"/>
      <c r="BL267" s="53"/>
      <c r="BM267" s="53"/>
      <c r="BN267" s="53"/>
      <c r="BO267" s="53"/>
      <c r="BP267" s="53"/>
      <c r="BQ267" s="53"/>
      <c r="BR267" s="53"/>
      <c r="BS267" s="53"/>
      <c r="BT267" s="53"/>
      <c r="BU267" s="53"/>
      <c r="BV267" s="53"/>
      <c r="BW267" s="53"/>
      <c r="BX267" s="53"/>
      <c r="BY267" s="53"/>
      <c r="BZ267" s="53"/>
      <c r="CA267" s="53"/>
      <c r="CB267" s="53"/>
      <c r="CC267" s="53"/>
      <c r="CD267" s="53"/>
      <c r="CE267" s="53"/>
      <c r="CF267" s="53"/>
      <c r="CG267" s="53"/>
      <c r="CH267" s="53"/>
      <c r="CI267" s="53"/>
      <c r="CJ267" s="53"/>
      <c r="CK267" s="53"/>
      <c r="CL267" s="53"/>
      <c r="CM267" s="53"/>
      <c r="CN267" s="53"/>
      <c r="CO267" s="53"/>
      <c r="CP267" s="53"/>
      <c r="CQ267" s="53"/>
      <c r="CR267" s="1"/>
      <c r="CS267" s="1"/>
      <c r="CT267" s="1"/>
      <c r="CU267" s="1"/>
    </row>
    <row r="268" spans="1:99" s="13" customFormat="1" ht="12" customHeight="1" x14ac:dyDescent="0.2">
      <c r="A268" s="68">
        <v>43897</v>
      </c>
      <c r="B268" s="103"/>
      <c r="C268" s="103"/>
      <c r="D268" s="126"/>
      <c r="E268" s="87"/>
      <c r="F268" s="69"/>
      <c r="G268" s="69"/>
      <c r="H268" s="69"/>
      <c r="I268" s="69"/>
      <c r="J268" s="69"/>
      <c r="K268" s="107"/>
      <c r="L268" s="107"/>
      <c r="M268" s="69"/>
      <c r="N268" s="86"/>
      <c r="O268" s="69"/>
      <c r="P268" s="69"/>
      <c r="Q268" s="69"/>
      <c r="R268" s="69"/>
      <c r="S268" s="69"/>
      <c r="T268" s="92"/>
      <c r="U268" s="60"/>
      <c r="V268" s="92"/>
      <c r="W268" s="69"/>
      <c r="X268" s="69"/>
      <c r="Y268" s="87"/>
      <c r="Z268" s="92"/>
      <c r="AA268" s="92"/>
      <c r="AB268" s="69"/>
      <c r="AC268" s="72"/>
      <c r="AD268" s="69"/>
      <c r="AE268" s="69"/>
      <c r="AF268" s="88"/>
      <c r="AG268" s="72"/>
      <c r="AH268" s="4"/>
      <c r="AI268" s="72"/>
      <c r="AJ268" s="110"/>
      <c r="AK268" s="72"/>
      <c r="AL268" s="72"/>
      <c r="AM268" s="72"/>
      <c r="AN268" s="72"/>
      <c r="AO268" s="89"/>
      <c r="AP268" s="89"/>
      <c r="AQ268" s="90"/>
      <c r="AR268" s="117"/>
      <c r="AS268" s="91"/>
      <c r="AT268" s="91"/>
      <c r="AU268" s="3"/>
      <c r="AV268" s="71">
        <v>15</v>
      </c>
      <c r="AW268" s="71">
        <v>600</v>
      </c>
      <c r="AX268" s="71">
        <v>7200</v>
      </c>
      <c r="AY268" s="71">
        <v>86400</v>
      </c>
      <c r="AZ268" s="71">
        <v>1209600</v>
      </c>
      <c r="BA268" s="98">
        <v>4838400</v>
      </c>
      <c r="BB268" s="53"/>
      <c r="BC268" s="53"/>
      <c r="BD268" s="53"/>
      <c r="BE268" s="53"/>
      <c r="BF268" s="53"/>
      <c r="BG268" s="53"/>
      <c r="BH268" s="53"/>
      <c r="BI268" s="53"/>
      <c r="BJ268" s="53"/>
      <c r="BK268" s="53"/>
      <c r="BL268" s="53"/>
      <c r="BM268" s="53"/>
      <c r="BN268" s="53"/>
      <c r="BO268" s="53"/>
      <c r="BP268" s="53"/>
      <c r="BQ268" s="53"/>
      <c r="BR268" s="53"/>
      <c r="BS268" s="53"/>
      <c r="BT268" s="53"/>
      <c r="BU268" s="53"/>
      <c r="BV268" s="53"/>
      <c r="BW268" s="53"/>
      <c r="BX268" s="53"/>
      <c r="BY268" s="53"/>
      <c r="BZ268" s="53"/>
      <c r="CA268" s="53"/>
      <c r="CB268" s="53"/>
      <c r="CC268" s="53"/>
      <c r="CD268" s="53"/>
      <c r="CE268" s="53"/>
      <c r="CF268" s="53"/>
      <c r="CG268" s="53"/>
      <c r="CH268" s="53"/>
      <c r="CI268" s="53"/>
      <c r="CJ268" s="53"/>
      <c r="CK268" s="53"/>
      <c r="CL268" s="53"/>
      <c r="CM268" s="53"/>
      <c r="CN268" s="53"/>
      <c r="CO268" s="53"/>
      <c r="CP268" s="53"/>
      <c r="CQ268" s="53"/>
      <c r="CR268" s="1"/>
      <c r="CS268" s="1"/>
      <c r="CT268" s="1"/>
      <c r="CU268" s="1"/>
    </row>
    <row r="269" spans="1:99" s="13" customFormat="1" ht="12" customHeight="1" x14ac:dyDescent="0.2">
      <c r="A269" s="68">
        <v>43897</v>
      </c>
      <c r="B269" s="103" t="s">
        <v>412</v>
      </c>
      <c r="C269" s="103" t="s">
        <v>139</v>
      </c>
      <c r="D269" s="126">
        <v>1990</v>
      </c>
      <c r="E269" s="87">
        <v>1</v>
      </c>
      <c r="F269" s="69">
        <v>20</v>
      </c>
      <c r="G269" s="69">
        <v>20</v>
      </c>
      <c r="H269" s="69" t="s">
        <v>444</v>
      </c>
      <c r="I269" s="69" t="s">
        <v>330</v>
      </c>
      <c r="J269" s="69" t="s">
        <v>16</v>
      </c>
      <c r="K269" s="69">
        <f>IF(J269="syllables",1,IF(J269="trigrams",2,IF(J269="strings",3,IF(J269="visual array",4,IF(J269="characters",5,IF(J269="letters",6,IF(J269="free forms",7,IF(J269="odors",8,IF(J269="words",9,IF(J269="pictures",10,IF(J269="object pictures",11,IF(J269="faces",12,IF(J269="names",13,IF(J269="idioms",14,IF(J269="grades",15,IF(J269="syllable-digit pairs",16,IF(J269="trigram-word pairs",17,IF(J269="word-digit pairs",18,IF(J269="English-Swahili pairs",19,IF(J269="spatial position",20,IF(J269="word pairs",21,IF(J269="word triads",22,IF(J269="generated words",23,IF(J269="word definition pairs",24,IF(J269="math problems",25,IF(J269="famous faces",26,IF(J269="famous names",27,IF(J269="famous voices",28,IF(J269="television programs",29,IF(J269="race horses",30,IF(J269="new vocabulary",31,IF(J269="sentences",32,IF(J269="concepts",33,IF(J269="ad slides",34,IF(J269="scenes",35,IF(J269="famous scenes",36,IF(J269="poems",37,IF(J269="walk",38,IF(J269="faces and events",39,IF(J269="events and names",40,IF(J269="flashbulb",41,IF(J269="stories",42,IF(J269="course material",43,IF(J269="autobiographical",44,IF(J269="novels",45,IF(J269="public events",46,"99"))))))))))))))))))))))))))))))))))))))))))))))</f>
        <v>9</v>
      </c>
      <c r="L269" s="69">
        <f>IF(J269="syllables",1,IF(J269="trigrams",1,IF(J269="strings",1,IF(J269="visual array",1,IF(J269="characters",1,IF(J269="letters",1,IF(J269="free forms",1,IF(J269="odors",2,IF(J269="words",2,IF(J269="pictures",2,IF(J269="object pictures",2,IF(J269="faces",2,IF(J269="names",2,IF(J269="idioms","2",IF(J269="grades",2,IF(J269="syllable-digit pairs",3,IF(J269="trigram-word pairs",3,IF(J269="word-digit pairs",3,IF(J269="English-Swahili pairs",3,IF(J269="spatial position",3,IF(J269="word pairs",4,IF(J269="word triads",4,IF(J269="generated words",4,IF(J269="word definition pairs",4,IF(J269="math problems",4,IF(J269="famous faces",4,IF(J269="famous names",4,IF(J269="famous voices",4,IF(J269="television programs",4,IF(J269="race horses",4,IF(J269="new vocabulary",4,IF(J269="sentences",5,IF(J269="concepts",5,IF(J269="ad slides",5,IF(J269="scenes",5,IF(J269="famous scenes",5,IF(J269="poems",6,IF(J269="walk",6,IF(J269="faces and events",6,IF(J269="events and names",6,IF(J269="flashbulb",7,IF(J269="stories",7,IF(J269="course material",7,IF(J269="autobiographical",7,IF(J269="novels",7,IF(J269="public events",7,"99"))))))))))))))))))))))))))))))))))))))))))))))</f>
        <v>2</v>
      </c>
      <c r="M269" s="69">
        <v>0</v>
      </c>
      <c r="N269" s="86">
        <v>1</v>
      </c>
      <c r="O269" s="69">
        <v>0</v>
      </c>
      <c r="P269" s="69"/>
      <c r="Q269" s="69" t="s">
        <v>174</v>
      </c>
      <c r="R269" s="69">
        <f>IF(Q269="Free Recall",1,IF(Q269="Cued Recall",2,IF(Q269="Recognition",3,IF(Q269="Multiple Choice",4,IF(Q269="Savings",5,IF(Q269="Stem Completion",6,IF(Q269="Fragment Completion",7,IF(Q269="anagram solution",8,IF(Q269="Matching",9,IF(Q269="Problem Solving",10,"99"))))))))))</f>
        <v>1</v>
      </c>
      <c r="S269" s="69" t="s">
        <v>49</v>
      </c>
      <c r="T269" s="92" t="s">
        <v>581</v>
      </c>
      <c r="U269" s="60">
        <f>IF(T269="within",1,0)</f>
        <v>1</v>
      </c>
      <c r="V269" s="92">
        <v>20</v>
      </c>
      <c r="W269" s="69">
        <f>F269*V269</f>
        <v>400</v>
      </c>
      <c r="X269" s="69">
        <v>6</v>
      </c>
      <c r="Y269" s="87">
        <f>AV268</f>
        <v>15</v>
      </c>
      <c r="Z269" s="92" t="s">
        <v>276</v>
      </c>
      <c r="AA269" s="92">
        <v>4838400</v>
      </c>
      <c r="AB269" s="69" t="str">
        <f>IF(AA269&lt;60,"1",IF(AA269&lt;=43200,"2",IF(AA269&lt;=777600,"3","4")))</f>
        <v>4</v>
      </c>
      <c r="AC269" s="72">
        <f>AVERAGE(AV268:DA268)</f>
        <v>1023702.5</v>
      </c>
      <c r="AD269" s="69" t="str">
        <f>IF(AC269&lt;60,"1",IF(AC269&lt;=43200,"2",IF(AC269&lt;=777600,"3","4")))</f>
        <v>4</v>
      </c>
      <c r="AE269" s="87">
        <f>AA269-Y269</f>
        <v>4838385</v>
      </c>
      <c r="AF269" s="88">
        <f>AV269</f>
        <v>0.48</v>
      </c>
      <c r="AG269" s="72">
        <f>((AW269-AV269)+(AX269-AW269)+(AY269-AX269)+(AZ269-AY269)+(BA269-AZ269))/5</f>
        <v>-0.08</v>
      </c>
      <c r="AH269" s="4"/>
      <c r="AI269" s="72">
        <f>RSQ(AV269:BA269,AV268:BA268)</f>
        <v>0.38360613148549694</v>
      </c>
      <c r="AJ269" s="110">
        <f>SLOPE(AV269:BA269,AV268:BA268)</f>
        <v>-5.053924963572969E-8</v>
      </c>
      <c r="AK269" s="72">
        <f>INTERCEPT(AV269:BA269,AV268:BA268)</f>
        <v>0.29173715620022062</v>
      </c>
      <c r="AL269" s="72">
        <f>INDEX(LINEST(LN(AV269:BA269),LN(AV268:BA268),TRUE,TRUE),3,1)</f>
        <v>0.96215452424857362</v>
      </c>
      <c r="AM269" s="72">
        <f>INDEX(LINEST(LN(AV269:BA269),LN(AV268:BA268)),1)</f>
        <v>-0.14561903803937642</v>
      </c>
      <c r="AN269" s="72">
        <f>EXP(INDEX(LINEST(LN(AV269:BA269),LN(AV268:BA268)),1,2))</f>
        <v>0.81865663842123049</v>
      </c>
      <c r="AO269" s="89">
        <f>INDEX(LINEST((AV269:BA269),LN(AV268:BA268),TRUE,TRUE),3,1)</f>
        <v>0.97479781834997759</v>
      </c>
      <c r="AP269" s="89">
        <f>INDEX(LINEST((AV269:BA269),LN(AV268:BA268)),1)</f>
        <v>-3.2516937274107899E-2</v>
      </c>
      <c r="AQ269" s="90">
        <f>INDEX(LINEST(LN(AV269:BA269),SQRT(AV268:BA268),TRUE,TRUE),3,1)</f>
        <v>0.73616969096770235</v>
      </c>
      <c r="AR269" s="117">
        <f>INDEX(LINEST(LN(AV269:BA269),SQRT((AV268:BA268))),1)</f>
        <v>-6.9331069455009348E-4</v>
      </c>
      <c r="AS269" s="91">
        <f>INDEX(LINEST(1/(AV269:BA269),1/(SQRT(AV268:BA268)),TRUE,TRUE),3,1)</f>
        <v>0.3439109240916573</v>
      </c>
      <c r="AT269" s="91">
        <f>INDEX(LINEST(1/(AV269:BA269),1/SQRT(AV268:BA268)),1)</f>
        <v>-23.591109894328941</v>
      </c>
      <c r="AU269" s="3"/>
      <c r="AV269" s="73">
        <v>0.48</v>
      </c>
      <c r="AW269" s="73">
        <v>0.35</v>
      </c>
      <c r="AX269" s="73">
        <v>0.28000000000000003</v>
      </c>
      <c r="AY269" s="73">
        <v>0.14000000000000001</v>
      </c>
      <c r="AZ269" s="73">
        <v>0.11</v>
      </c>
      <c r="BA269" s="73">
        <v>0.08</v>
      </c>
      <c r="BB269" s="53"/>
      <c r="BC269" s="53"/>
      <c r="BD269" s="53"/>
      <c r="BE269" s="53"/>
      <c r="BF269" s="53"/>
      <c r="BG269" s="53"/>
      <c r="BH269" s="53"/>
      <c r="BI269" s="53"/>
      <c r="BJ269" s="53"/>
      <c r="BK269" s="53"/>
      <c r="BL269" s="53"/>
      <c r="BM269" s="53"/>
      <c r="BN269" s="53"/>
      <c r="BO269" s="53"/>
      <c r="BP269" s="53"/>
      <c r="BQ269" s="53"/>
      <c r="BR269" s="53"/>
      <c r="BS269" s="53"/>
      <c r="BT269" s="53"/>
      <c r="BU269" s="53"/>
      <c r="BV269" s="53"/>
      <c r="BW269" s="53"/>
      <c r="BX269" s="53"/>
      <c r="BY269" s="53"/>
      <c r="BZ269" s="53"/>
      <c r="CA269" s="53"/>
      <c r="CB269" s="53"/>
      <c r="CC269" s="53"/>
      <c r="CD269" s="53"/>
      <c r="CE269" s="53"/>
      <c r="CF269" s="53"/>
      <c r="CG269" s="53"/>
      <c r="CH269" s="53"/>
      <c r="CI269" s="53"/>
      <c r="CJ269" s="53"/>
      <c r="CK269" s="53"/>
      <c r="CL269" s="53"/>
      <c r="CM269" s="53"/>
      <c r="CN269" s="53"/>
      <c r="CO269" s="53"/>
      <c r="CP269" s="53"/>
      <c r="CQ269" s="53"/>
      <c r="CR269" s="1"/>
      <c r="CS269" s="1"/>
      <c r="CT269" s="1"/>
      <c r="CU269" s="1"/>
    </row>
    <row r="270" spans="1:99" ht="12" customHeight="1" x14ac:dyDescent="0.2">
      <c r="A270" s="68">
        <v>43509</v>
      </c>
      <c r="B270" s="94"/>
      <c r="C270" s="94"/>
      <c r="D270" s="92"/>
      <c r="E270" s="105"/>
      <c r="F270" s="92"/>
      <c r="G270" s="92"/>
      <c r="H270" s="92"/>
      <c r="I270" s="92"/>
      <c r="J270" s="92"/>
      <c r="K270" s="107"/>
      <c r="L270" s="107"/>
      <c r="M270" s="92"/>
      <c r="N270" s="92"/>
      <c r="O270" s="92"/>
      <c r="P270" s="92"/>
      <c r="Q270" s="92"/>
      <c r="R270" s="69"/>
      <c r="S270" s="92"/>
      <c r="T270" s="92"/>
      <c r="U270" s="60"/>
      <c r="V270" s="92"/>
      <c r="W270" s="69"/>
      <c r="X270" s="92"/>
      <c r="Y270" s="87"/>
      <c r="Z270" s="92"/>
      <c r="AA270" s="92"/>
      <c r="AB270" s="69"/>
      <c r="AC270" s="69"/>
      <c r="AD270" s="69"/>
      <c r="AE270" s="69"/>
      <c r="AF270" s="88"/>
      <c r="AG270" s="72"/>
      <c r="AH270" s="4"/>
      <c r="AI270" s="108"/>
      <c r="AJ270" s="113"/>
      <c r="AK270" s="108"/>
      <c r="AL270" s="108"/>
      <c r="AM270" s="108"/>
      <c r="AN270" s="108"/>
      <c r="AO270" s="108"/>
      <c r="AP270" s="108"/>
      <c r="AQ270" s="72"/>
      <c r="AR270" s="110"/>
      <c r="AS270" s="72"/>
      <c r="AT270" s="72"/>
      <c r="AU270" s="4"/>
      <c r="AV270" s="98">
        <f>3*30*24*3600</f>
        <v>7776000</v>
      </c>
      <c r="AW270" s="98">
        <f>15*30*24*3600</f>
        <v>38880000</v>
      </c>
      <c r="AX270" s="98">
        <f>27*30*24*3600</f>
        <v>69984000</v>
      </c>
      <c r="AY270" s="98">
        <f>39*30*24*3600</f>
        <v>101088000</v>
      </c>
      <c r="AZ270" s="11"/>
      <c r="BA270" s="11"/>
      <c r="BB270" s="11"/>
      <c r="BC270" s="11"/>
      <c r="BD270" s="11"/>
      <c r="BE270" s="11"/>
      <c r="BF270" s="11"/>
      <c r="BG270" s="11"/>
      <c r="BH270" s="11"/>
      <c r="BI270" s="11"/>
      <c r="BJ270" s="11"/>
      <c r="BK270" s="11"/>
      <c r="BL270" s="11"/>
      <c r="BM270" s="11"/>
      <c r="BN270" s="11"/>
      <c r="BO270" s="11"/>
      <c r="BP270" s="11"/>
      <c r="BQ270" s="11"/>
      <c r="BR270" s="11"/>
      <c r="BS270" s="11"/>
      <c r="BT270" s="11"/>
      <c r="BU270" s="11"/>
      <c r="BV270" s="11"/>
      <c r="BW270" s="11"/>
      <c r="BX270" s="11"/>
      <c r="BY270" s="11"/>
      <c r="BZ270" s="11"/>
      <c r="CA270" s="11"/>
      <c r="CB270" s="11"/>
      <c r="CC270" s="11"/>
      <c r="CD270" s="11"/>
      <c r="CE270" s="11"/>
      <c r="CF270" s="11"/>
      <c r="CG270" s="11"/>
      <c r="CH270" s="11"/>
      <c r="CI270" s="11"/>
      <c r="CJ270" s="11"/>
      <c r="CK270" s="11"/>
      <c r="CL270" s="11"/>
      <c r="CM270" s="11"/>
      <c r="CN270" s="11"/>
      <c r="CO270" s="11"/>
      <c r="CP270" s="11"/>
      <c r="CQ270" s="11"/>
      <c r="CR270" s="15"/>
      <c r="CS270" s="15"/>
      <c r="CT270" s="15"/>
      <c r="CU270" s="15"/>
    </row>
    <row r="271" spans="1:99" ht="12" customHeight="1" x14ac:dyDescent="0.2">
      <c r="A271" s="68">
        <v>43509</v>
      </c>
      <c r="B271" s="94" t="s">
        <v>283</v>
      </c>
      <c r="C271" s="94" t="s">
        <v>192</v>
      </c>
      <c r="D271" s="92">
        <v>1993</v>
      </c>
      <c r="E271" s="105">
        <v>1</v>
      </c>
      <c r="F271" s="92">
        <v>140</v>
      </c>
      <c r="G271" s="92">
        <v>35</v>
      </c>
      <c r="H271" s="92" t="s">
        <v>50</v>
      </c>
      <c r="I271" s="92" t="s">
        <v>599</v>
      </c>
      <c r="J271" s="92" t="s">
        <v>483</v>
      </c>
      <c r="K271" s="69">
        <f>IF(J271="syllables",1,IF(J271="trigrams",2,IF(J271="strings",3,IF(J271="visual array",4,IF(J271="characters",5,IF(J271="letters",6,IF(J271="free forms",7,IF(J271="odors",8,IF(J271="words",9,IF(J271="pictures",10,IF(J271="object pictures",11,IF(J271="faces",12,IF(J271="names",13,IF(J271="idioms",14,IF(J271="grades",15,IF(J271="syllable-digit pairs",16,IF(J271="trigram-word pairs",17,IF(J271="word-digit pairs",18,IF(J271="English-Swahili pairs",19,IF(J271="spatial position",20,IF(J271="word pairs",21,IF(J271="word triads",22,IF(J271="generated words",23,IF(J271="word definition pairs",24,IF(J271="math problems",25,IF(J271="famous faces",26,IF(J271="famous names",27,IF(J271="famous voices",28,IF(J271="television programs",29,IF(J271="race horses",30,IF(J271="new vocabulary",31,IF(J271="sentences",32,IF(J271="concepts",33,IF(J271="ad slides",34,IF(J271="scenes",35,IF(J271="famous scenes",36,IF(J271="poems",37,IF(J271="walk",38,IF(J271="faces and events",39,IF(J271="events and names",40,IF(J271="flashbulb",41,IF(J271="stories",42,IF(J271="course material",43,IF(J271="autobiographical",44,IF(J271="novels",45,IF(J271="public events",46,"99"))))))))))))))))))))))))))))))))))))))))))))))</f>
        <v>45</v>
      </c>
      <c r="L271" s="69">
        <f>IF(J271="syllables",1,IF(J271="trigrams",1,IF(J271="strings",1,IF(J271="visual array",1,IF(J271="characters",1,IF(J271="letters",1,IF(J271="free forms",1,IF(J271="odors",2,IF(J271="words",2,IF(J271="pictures",2,IF(J271="object pictures",2,IF(J271="faces",2,IF(J271="names",2,IF(J271="idioms","2",IF(J271="grades",2,IF(J271="syllable-digit pairs",3,IF(J271="trigram-word pairs",3,IF(J271="word-digit pairs",3,IF(J271="English-Swahili pairs",3,IF(J271="spatial position",3,IF(J271="word pairs",4,IF(J271="word triads",4,IF(J271="generated words",4,IF(J271="word definition pairs",4,IF(J271="math problems",4,IF(J271="famous faces",4,IF(J271="famous names",4,IF(J271="famous voices",4,IF(J271="television programs",4,IF(J271="race horses",4,IF(J271="new vocabulary",4,IF(J271="sentences",5,IF(J271="concepts",5,IF(J271="ad slides",5,IF(J271="scenes",5,IF(J271="famous scenes",5,IF(J271="poems",6,IF(J271="walk",6,IF(J271="faces and events",6,IF(J271="events and names",6,IF(J271="flashbulb",7,IF(J271="stories",7,IF(J271="course material",7,IF(J271="autobiographical",7,IF(J271="novels",7,IF(J271="public events",7,"99"))))))))))))))))))))))))))))))))))))))))))))))</f>
        <v>7</v>
      </c>
      <c r="M271" s="92">
        <v>0</v>
      </c>
      <c r="N271" s="92">
        <v>3</v>
      </c>
      <c r="O271" s="92">
        <v>0</v>
      </c>
      <c r="P271" s="92"/>
      <c r="Q271" s="92" t="s">
        <v>174</v>
      </c>
      <c r="R271" s="69">
        <f>IF(Q271="Free Recall",1,IF(Q271="Cued Recall",2,IF(Q271="Recognition",3,IF(Q271="Multiple Choice",4,IF(Q271="Savings",5,IF(Q271="Stem Completion",6,IF(Q271="Fragment Completion",7,IF(Q271="anagram solution",8,IF(Q271="Matching",9,IF(Q271="Problem Solving",10,"99"))))))))))</f>
        <v>1</v>
      </c>
      <c r="S271" s="92" t="s">
        <v>49</v>
      </c>
      <c r="T271" s="92" t="s">
        <v>261</v>
      </c>
      <c r="U271" s="60">
        <f>IF(T271="within",1,0)</f>
        <v>0</v>
      </c>
      <c r="V271" s="92">
        <v>30</v>
      </c>
      <c r="W271" s="69">
        <f>F271*V271</f>
        <v>4200</v>
      </c>
      <c r="X271" s="92">
        <v>4</v>
      </c>
      <c r="Y271" s="87">
        <f>AV270</f>
        <v>7776000</v>
      </c>
      <c r="Z271" s="92" t="s">
        <v>284</v>
      </c>
      <c r="AA271" s="92">
        <f>39*30*24*3600</f>
        <v>101088000</v>
      </c>
      <c r="AB271" s="69" t="str">
        <f>IF(AA271&lt;60,"1",IF(AA271&lt;=43200,"2",IF(AA271&lt;=777600,"3","4")))</f>
        <v>4</v>
      </c>
      <c r="AC271" s="72">
        <f>AVERAGE(AV270:DA270)</f>
        <v>54432000</v>
      </c>
      <c r="AD271" s="69" t="str">
        <f>IF(AC271&lt;60,"1",IF(AC271&lt;=43200,"2",IF(AC271&lt;=777600,"3","4")))</f>
        <v>4</v>
      </c>
      <c r="AE271" s="87">
        <f>AA271-Y271</f>
        <v>93312000</v>
      </c>
      <c r="AF271" s="88">
        <f>AV271</f>
        <v>0.43</v>
      </c>
      <c r="AG271" s="72">
        <f>((AW271-AV271)+(AX271-AW271)+(AY271-AX271))/3</f>
        <v>-7.3333333333333334E-2</v>
      </c>
      <c r="AH271" s="4"/>
      <c r="AI271" s="72">
        <f>RSQ(AV271:AY271,AV270:AY270)</f>
        <v>0.8493681550126374</v>
      </c>
      <c r="AJ271" s="110">
        <f>SLOPE(AV271:AY271,AV270:AY270)</f>
        <v>-2.2826646090534983E-9</v>
      </c>
      <c r="AK271" s="72">
        <f>INTERCEPT(AV271:AY271,AV270:AY270)</f>
        <v>0.41175</v>
      </c>
      <c r="AL271" s="72">
        <f>INDEX(LINEST(LN(AV271:AY271),LN(AV270:AY270),TRUE,TRUE),3,1)</f>
        <v>0.99824325317002605</v>
      </c>
      <c r="AM271" s="72">
        <f>INDEX(LINEST(LN(AV271:AY271),LN(AV270:AY270)),1)</f>
        <v>-0.28117244260117219</v>
      </c>
      <c r="AN271" s="72">
        <f>EXP(INDEX(LINEST(LN(AV271:AY271),LN(AV270:AY270)),1,2))</f>
        <v>37.423651880364481</v>
      </c>
      <c r="AO271" s="89">
        <f>INDEX(LINEST((AV271:AY271),LN(AV270:AY270),TRUE,TRUE),3,1)</f>
        <v>0.99579658405343918</v>
      </c>
      <c r="AP271" s="89">
        <f>INDEX(LINEST((AV271:AY271),LN(AV270:AY270)),1)</f>
        <v>-8.7635592305806073E-2</v>
      </c>
      <c r="AQ271" s="90">
        <f>INDEX(LINEST(LN(AV271:AY271),SQRT(AV270:AY270),TRUE,TRUE),3,1)</f>
        <v>0.97785431548366841</v>
      </c>
      <c r="AR271" s="117">
        <f>INDEX(LINEST(LN(AV271:AY271),SQRT((AV270:AY270))),1)</f>
        <v>-1.0061076132399828E-4</v>
      </c>
      <c r="AS271" s="91">
        <f>INDEX(LINEST(1/(AV271:AY271),1/(SQRT(AV270:AY270)),TRUE,TRUE),3,1)</f>
        <v>0.93198195667223305</v>
      </c>
      <c r="AT271" s="91">
        <f>INDEX(LINEST(1/(AV271:AY271),1/SQRT(AV270:AY270)),1)</f>
        <v>-8703.7042317557643</v>
      </c>
      <c r="AU271" s="3"/>
      <c r="AV271" s="97">
        <v>0.43</v>
      </c>
      <c r="AW271" s="97">
        <v>0.28000000000000003</v>
      </c>
      <c r="AX271" s="97">
        <v>0.23</v>
      </c>
      <c r="AY271" s="97">
        <v>0.21</v>
      </c>
      <c r="AZ271" s="11"/>
      <c r="BA271" s="11"/>
      <c r="BB271" s="11"/>
      <c r="BC271" s="11"/>
      <c r="BD271" s="11"/>
      <c r="BE271" s="11"/>
      <c r="BF271" s="11"/>
      <c r="BG271" s="11"/>
      <c r="BH271" s="11"/>
      <c r="BI271" s="11"/>
      <c r="BJ271" s="11"/>
      <c r="BK271" s="11"/>
      <c r="BL271" s="11"/>
      <c r="BM271" s="11"/>
      <c r="BN271" s="11"/>
      <c r="BO271" s="11"/>
      <c r="BP271" s="11"/>
      <c r="BQ271" s="11"/>
      <c r="BR271" s="11"/>
      <c r="BS271" s="11"/>
      <c r="BT271" s="11"/>
      <c r="BU271" s="11"/>
      <c r="BV271" s="11"/>
      <c r="BW271" s="11"/>
      <c r="BX271" s="11"/>
      <c r="BY271" s="11"/>
      <c r="BZ271" s="11"/>
      <c r="CA271" s="11"/>
      <c r="CB271" s="11"/>
      <c r="CC271" s="11"/>
      <c r="CD271" s="11"/>
      <c r="CE271" s="11"/>
      <c r="CF271" s="11"/>
      <c r="CG271" s="11"/>
      <c r="CH271" s="11"/>
      <c r="CI271" s="11"/>
      <c r="CJ271" s="11"/>
      <c r="CK271" s="11"/>
      <c r="CL271" s="11"/>
      <c r="CM271" s="11"/>
      <c r="CN271" s="11"/>
      <c r="CO271" s="11"/>
      <c r="CP271" s="11"/>
      <c r="CQ271" s="11"/>
      <c r="CR271" s="15"/>
      <c r="CS271" s="15"/>
      <c r="CT271" s="15"/>
      <c r="CU271" s="15"/>
    </row>
    <row r="272" spans="1:99" ht="12" customHeight="1" x14ac:dyDescent="0.2">
      <c r="A272" s="68">
        <v>43509</v>
      </c>
      <c r="B272" s="94"/>
      <c r="C272" s="94"/>
      <c r="D272" s="92"/>
      <c r="E272" s="105"/>
      <c r="F272" s="92"/>
      <c r="G272" s="92"/>
      <c r="H272" s="92"/>
      <c r="I272" s="92"/>
      <c r="J272" s="92"/>
      <c r="K272" s="107"/>
      <c r="L272" s="107"/>
      <c r="M272" s="92"/>
      <c r="N272" s="92"/>
      <c r="O272" s="92"/>
      <c r="P272" s="92"/>
      <c r="Q272" s="92"/>
      <c r="R272" s="69"/>
      <c r="S272" s="92"/>
      <c r="T272" s="92"/>
      <c r="U272" s="60"/>
      <c r="V272" s="92"/>
      <c r="W272" s="69"/>
      <c r="X272" s="92"/>
      <c r="Y272" s="87"/>
      <c r="Z272" s="92"/>
      <c r="AA272" s="92"/>
      <c r="AB272" s="69"/>
      <c r="AC272" s="69"/>
      <c r="AD272" s="69"/>
      <c r="AE272" s="69"/>
      <c r="AF272" s="88"/>
      <c r="AG272" s="72"/>
      <c r="AH272" s="4"/>
      <c r="AI272" s="108"/>
      <c r="AJ272" s="113"/>
      <c r="AK272" s="108"/>
      <c r="AL272" s="108"/>
      <c r="AM272" s="108"/>
      <c r="AN272" s="119"/>
      <c r="AO272" s="119"/>
      <c r="AP272" s="119"/>
      <c r="AQ272" s="72"/>
      <c r="AR272" s="110"/>
      <c r="AS272" s="72"/>
      <c r="AT272" s="72"/>
      <c r="AU272" s="4"/>
      <c r="AV272" s="98">
        <f>3*30*24*3600</f>
        <v>7776000</v>
      </c>
      <c r="AW272" s="98">
        <f>15*30*24*3600</f>
        <v>38880000</v>
      </c>
      <c r="AX272" s="98">
        <f>27*30*24*3600</f>
        <v>69984000</v>
      </c>
      <c r="AY272" s="98">
        <f>39*30*24*3600</f>
        <v>101088000</v>
      </c>
      <c r="AZ272" s="11"/>
      <c r="BA272" s="11"/>
      <c r="BB272" s="11"/>
      <c r="BC272" s="11"/>
      <c r="BD272" s="11"/>
      <c r="BE272" s="11"/>
      <c r="BF272" s="11"/>
      <c r="BG272" s="11"/>
      <c r="BH272" s="11"/>
      <c r="BI272" s="11"/>
      <c r="BJ272" s="11"/>
      <c r="BK272" s="11"/>
      <c r="BL272" s="11"/>
      <c r="BM272" s="11"/>
      <c r="BN272" s="11"/>
      <c r="BO272" s="11"/>
      <c r="BP272" s="11"/>
      <c r="BQ272" s="11"/>
      <c r="BR272" s="11"/>
      <c r="BS272" s="11"/>
      <c r="BT272" s="11"/>
      <c r="BU272" s="11"/>
      <c r="BV272" s="11"/>
      <c r="BW272" s="11"/>
      <c r="BX272" s="11"/>
      <c r="BY272" s="11"/>
      <c r="BZ272" s="11"/>
      <c r="CA272" s="11"/>
      <c r="CB272" s="11"/>
      <c r="CC272" s="11"/>
      <c r="CD272" s="11"/>
      <c r="CE272" s="11"/>
      <c r="CF272" s="11"/>
      <c r="CG272" s="11"/>
      <c r="CH272" s="11"/>
      <c r="CI272" s="11"/>
      <c r="CJ272" s="11"/>
      <c r="CK272" s="11"/>
      <c r="CL272" s="11"/>
      <c r="CM272" s="11"/>
      <c r="CN272" s="11"/>
      <c r="CO272" s="11"/>
      <c r="CP272" s="11"/>
      <c r="CQ272" s="11"/>
      <c r="CR272" s="15"/>
      <c r="CS272" s="15"/>
      <c r="CT272" s="15"/>
      <c r="CU272" s="15"/>
    </row>
    <row r="273" spans="1:99" ht="12" customHeight="1" x14ac:dyDescent="0.2">
      <c r="A273" s="68">
        <v>43509</v>
      </c>
      <c r="B273" s="94" t="s">
        <v>283</v>
      </c>
      <c r="C273" s="94" t="s">
        <v>192</v>
      </c>
      <c r="D273" s="92">
        <v>1993</v>
      </c>
      <c r="E273" s="105">
        <v>1</v>
      </c>
      <c r="F273" s="92">
        <v>140</v>
      </c>
      <c r="G273" s="92">
        <v>35</v>
      </c>
      <c r="H273" s="92" t="s">
        <v>50</v>
      </c>
      <c r="I273" s="92" t="s">
        <v>829</v>
      </c>
      <c r="J273" s="92" t="s">
        <v>483</v>
      </c>
      <c r="K273" s="69">
        <f>IF(J273="syllables",1,IF(J273="trigrams",2,IF(J273="strings",3,IF(J273="visual array",4,IF(J273="characters",5,IF(J273="letters",6,IF(J273="free forms",7,IF(J273="odors",8,IF(J273="words",9,IF(J273="pictures",10,IF(J273="object pictures",11,IF(J273="faces",12,IF(J273="names",13,IF(J273="idioms",14,IF(J273="grades",15,IF(J273="syllable-digit pairs",16,IF(J273="trigram-word pairs",17,IF(J273="word-digit pairs",18,IF(J273="English-Swahili pairs",19,IF(J273="spatial position",20,IF(J273="word pairs",21,IF(J273="word triads",22,IF(J273="generated words",23,IF(J273="word definition pairs",24,IF(J273="math problems",25,IF(J273="famous faces",26,IF(J273="famous names",27,IF(J273="famous voices",28,IF(J273="television programs",29,IF(J273="race horses",30,IF(J273="new vocabulary",31,IF(J273="sentences",32,IF(J273="concepts",33,IF(J273="ad slides",34,IF(J273="scenes",35,IF(J273="famous scenes",36,IF(J273="poems",37,IF(J273="walk",38,IF(J273="faces and events",39,IF(J273="events and names",40,IF(J273="flashbulb",41,IF(J273="stories",42,IF(J273="course material",43,IF(J273="autobiographical",44,IF(J273="novels",45,IF(J273="public events",46,"99"))))))))))))))))))))))))))))))))))))))))))))))</f>
        <v>45</v>
      </c>
      <c r="L273" s="69">
        <f>IF(J273="syllables",1,IF(J273="trigrams",1,IF(J273="strings",1,IF(J273="visual array",1,IF(J273="characters",1,IF(J273="letters",1,IF(J273="free forms",1,IF(J273="odors",2,IF(J273="words",2,IF(J273="pictures",2,IF(J273="object pictures",2,IF(J273="faces",2,IF(J273="names",2,IF(J273="idioms","2",IF(J273="grades",2,IF(J273="syllable-digit pairs",3,IF(J273="trigram-word pairs",3,IF(J273="word-digit pairs",3,IF(J273="English-Swahili pairs",3,IF(J273="spatial position",3,IF(J273="word pairs",4,IF(J273="word triads",4,IF(J273="generated words",4,IF(J273="word definition pairs",4,IF(J273="math problems",4,IF(J273="famous faces",4,IF(J273="famous names",4,IF(J273="famous voices",4,IF(J273="television programs",4,IF(J273="race horses",4,IF(J273="new vocabulary",4,IF(J273="sentences",5,IF(J273="concepts",5,IF(J273="ad slides",5,IF(J273="scenes",5,IF(J273="famous scenes",5,IF(J273="poems",6,IF(J273="walk",6,IF(J273="faces and events",6,IF(J273="events and names",6,IF(J273="flashbulb",7,IF(J273="stories",7,IF(J273="course material",7,IF(J273="autobiographical",7,IF(J273="novels",7,IF(J273="public events",7,"99"))))))))))))))))))))))))))))))))))))))))))))))</f>
        <v>7</v>
      </c>
      <c r="M273" s="92">
        <v>0</v>
      </c>
      <c r="N273" s="92">
        <v>3</v>
      </c>
      <c r="O273" s="92">
        <v>0</v>
      </c>
      <c r="P273" s="92"/>
      <c r="Q273" s="92" t="s">
        <v>174</v>
      </c>
      <c r="R273" s="69">
        <f>IF(Q273="Free Recall",1,IF(Q273="Cued Recall",2,IF(Q273="Recognition",3,IF(Q273="Multiple Choice",4,IF(Q273="Savings",5,IF(Q273="Stem Completion",6,IF(Q273="Fragment Completion",7,IF(Q273="anagram solution",8,IF(Q273="Matching",9,IF(Q273="Problem Solving",10,"99"))))))))))</f>
        <v>1</v>
      </c>
      <c r="S273" s="92" t="s">
        <v>49</v>
      </c>
      <c r="T273" s="92" t="s">
        <v>261</v>
      </c>
      <c r="U273" s="60">
        <f>IF(T273="within",1,0)</f>
        <v>0</v>
      </c>
      <c r="V273" s="92">
        <v>30</v>
      </c>
      <c r="W273" s="69">
        <f>F273*V273</f>
        <v>4200</v>
      </c>
      <c r="X273" s="92">
        <v>4</v>
      </c>
      <c r="Y273" s="87">
        <f>AV272</f>
        <v>7776000</v>
      </c>
      <c r="Z273" s="92" t="s">
        <v>284</v>
      </c>
      <c r="AA273" s="92">
        <f>39*30*24*3600</f>
        <v>101088000</v>
      </c>
      <c r="AB273" s="69" t="str">
        <f>IF(AA273&lt;60,"1",IF(AA273&lt;=43200,"2",IF(AA273&lt;=777600,"3","4")))</f>
        <v>4</v>
      </c>
      <c r="AC273" s="72">
        <f>AVERAGE(AV272:DA272)</f>
        <v>54432000</v>
      </c>
      <c r="AD273" s="69" t="str">
        <f>IF(AC273&lt;60,"1",IF(AC273&lt;=43200,"2",IF(AC273&lt;=777600,"3","4")))</f>
        <v>4</v>
      </c>
      <c r="AE273" s="87">
        <f>AA273-Y273</f>
        <v>93312000</v>
      </c>
      <c r="AF273" s="88">
        <f>AV273</f>
        <v>0.48</v>
      </c>
      <c r="AG273" s="72">
        <f>((AW273-AV273)+(AX273-AW273)+(AY273-AX273))/3</f>
        <v>-3.666666666666666E-2</v>
      </c>
      <c r="AH273" s="4"/>
      <c r="AI273" s="72">
        <f>RSQ(AV273:AY273,AV272:AY272)</f>
        <v>0.8018181818181821</v>
      </c>
      <c r="AJ273" s="110">
        <f>SLOPE(AV273:AY273,AV272:AY272)</f>
        <v>-1.3503086419753085E-9</v>
      </c>
      <c r="AK273" s="72">
        <f>INTERCEPT(AV273:AY273,AV272:AY272)</f>
        <v>0.48350000000000004</v>
      </c>
      <c r="AL273" s="72">
        <f>INDEX(LINEST(LN(AV273:AY273),LN(AV272:AY272),TRUE,TRUE),3,1)</f>
        <v>0.7912252764839045</v>
      </c>
      <c r="AM273" s="72">
        <f>INDEX(LINEST(LN(AV273:AY273),LN(AV272:AY272)),1)</f>
        <v>-0.11573762504492044</v>
      </c>
      <c r="AN273" s="72">
        <f>EXP(INDEX(LINEST(LN(AV273:AY273),LN(AV272:AY272)),1,2))</f>
        <v>3.067797547689318</v>
      </c>
      <c r="AO273" s="89">
        <f>INDEX(LINEST((AV273:AY273),LN(AV272:AY272),TRUE,TRUE),3,1)</f>
        <v>0.81870079169875742</v>
      </c>
      <c r="AP273" s="89">
        <f>INDEX(LINEST((AV273:AY273),LN(AV272:AY272)),1)</f>
        <v>-4.8379212429826936E-2</v>
      </c>
      <c r="AQ273" s="90">
        <f>INDEX(LINEST(LN(AV273:AY273),SQRT(AV272:AY272),TRUE,TRUE),3,1)</f>
        <v>0.81744180331332494</v>
      </c>
      <c r="AR273" s="117">
        <f>INDEX(LINEST(LN(AV273:AY273),SQRT((AV272:AY272))),1)</f>
        <v>-4.2531011028207945E-5</v>
      </c>
      <c r="AS273" s="91">
        <f>INDEX(LINEST(1/(AV273:AY273),1/(SQRT(AV272:AY272)),TRUE,TRUE),3,1)</f>
        <v>0.69592660830635056</v>
      </c>
      <c r="AT273" s="91">
        <f>INDEX(LINEST(1/(AV273:AY273),1/SQRT(AV272:AY272)),1)</f>
        <v>-2538.5317953736999</v>
      </c>
      <c r="AU273" s="3"/>
      <c r="AV273" s="97">
        <v>0.48</v>
      </c>
      <c r="AW273" s="97">
        <v>0.44</v>
      </c>
      <c r="AX273" s="97">
        <v>0.35</v>
      </c>
      <c r="AY273" s="97">
        <v>0.37</v>
      </c>
      <c r="AZ273" s="11"/>
      <c r="BA273" s="11"/>
      <c r="BB273" s="11"/>
      <c r="BC273" s="11"/>
      <c r="BD273" s="11"/>
      <c r="BE273" s="11"/>
      <c r="BF273" s="11"/>
      <c r="BG273" s="11"/>
      <c r="BH273" s="11"/>
      <c r="BI273" s="11"/>
      <c r="BJ273" s="11"/>
      <c r="BK273" s="11"/>
      <c r="BL273" s="11"/>
      <c r="BM273" s="11"/>
      <c r="BN273" s="11"/>
      <c r="BO273" s="11"/>
      <c r="BP273" s="11"/>
      <c r="BQ273" s="11"/>
      <c r="BR273" s="11"/>
      <c r="BS273" s="11"/>
      <c r="BT273" s="11"/>
      <c r="BU273" s="11"/>
      <c r="BV273" s="11"/>
      <c r="BW273" s="11"/>
      <c r="BX273" s="11"/>
      <c r="BY273" s="11"/>
      <c r="BZ273" s="11"/>
      <c r="CA273" s="11"/>
      <c r="CB273" s="11"/>
      <c r="CC273" s="11"/>
      <c r="CD273" s="11"/>
      <c r="CE273" s="11"/>
      <c r="CF273" s="11"/>
      <c r="CG273" s="11"/>
      <c r="CH273" s="11"/>
      <c r="CI273" s="11"/>
      <c r="CJ273" s="11"/>
      <c r="CK273" s="11"/>
      <c r="CL273" s="11"/>
      <c r="CM273" s="11"/>
      <c r="CN273" s="11"/>
      <c r="CO273" s="11"/>
      <c r="CP273" s="11"/>
      <c r="CQ273" s="11"/>
      <c r="CR273" s="15"/>
      <c r="CS273" s="15"/>
      <c r="CT273" s="15"/>
      <c r="CU273" s="15"/>
    </row>
    <row r="274" spans="1:99" ht="12" customHeight="1" x14ac:dyDescent="0.2">
      <c r="A274" s="68">
        <v>43509</v>
      </c>
      <c r="B274" s="94"/>
      <c r="C274" s="94"/>
      <c r="D274" s="92"/>
      <c r="E274" s="105"/>
      <c r="F274" s="92"/>
      <c r="G274" s="92"/>
      <c r="H274" s="92"/>
      <c r="I274" s="92"/>
      <c r="J274" s="92"/>
      <c r="K274" s="107"/>
      <c r="L274" s="107"/>
      <c r="M274" s="92"/>
      <c r="N274" s="92"/>
      <c r="O274" s="92"/>
      <c r="P274" s="92"/>
      <c r="Q274" s="92"/>
      <c r="R274" s="69"/>
      <c r="S274" s="92"/>
      <c r="T274" s="92"/>
      <c r="U274" s="60"/>
      <c r="V274" s="92"/>
      <c r="W274" s="69"/>
      <c r="X274" s="92"/>
      <c r="Y274" s="87"/>
      <c r="Z274" s="92"/>
      <c r="AA274" s="92"/>
      <c r="AB274" s="69"/>
      <c r="AC274" s="69"/>
      <c r="AD274" s="69"/>
      <c r="AE274" s="69"/>
      <c r="AF274" s="88"/>
      <c r="AG274" s="72"/>
      <c r="AH274" s="4"/>
      <c r="AI274" s="108"/>
      <c r="AJ274" s="113"/>
      <c r="AK274" s="108"/>
      <c r="AL274" s="108"/>
      <c r="AM274" s="108"/>
      <c r="AN274" s="119"/>
      <c r="AO274" s="119"/>
      <c r="AP274" s="119"/>
      <c r="AQ274" s="72"/>
      <c r="AR274" s="110"/>
      <c r="AS274" s="72"/>
      <c r="AT274" s="72"/>
      <c r="AU274" s="4"/>
      <c r="AV274" s="98">
        <f>3*30*24*3600</f>
        <v>7776000</v>
      </c>
      <c r="AW274" s="98">
        <f>15*30*24*3600</f>
        <v>38880000</v>
      </c>
      <c r="AX274" s="98">
        <f>27*30*24*3600</f>
        <v>69984000</v>
      </c>
      <c r="AY274" s="98">
        <f>39*30*24*3600</f>
        <v>101088000</v>
      </c>
      <c r="AZ274" s="11"/>
      <c r="BA274" s="11"/>
      <c r="BB274" s="11"/>
      <c r="BC274" s="11"/>
      <c r="BD274" s="11"/>
      <c r="BE274" s="11"/>
      <c r="BF274" s="11"/>
      <c r="BG274" s="11"/>
      <c r="BH274" s="11"/>
      <c r="BI274" s="11"/>
      <c r="BJ274" s="11"/>
      <c r="BK274" s="11"/>
      <c r="BL274" s="11"/>
      <c r="BM274" s="11"/>
      <c r="BN274" s="11"/>
      <c r="BO274" s="11"/>
      <c r="BP274" s="11"/>
      <c r="BQ274" s="11"/>
      <c r="BR274" s="11"/>
      <c r="BS274" s="11"/>
      <c r="BT274" s="11"/>
      <c r="BU274" s="11"/>
      <c r="BV274" s="11"/>
      <c r="BW274" s="11"/>
      <c r="BX274" s="11"/>
      <c r="BY274" s="11"/>
      <c r="BZ274" s="11"/>
      <c r="CA274" s="11"/>
      <c r="CB274" s="11"/>
      <c r="CC274" s="11"/>
      <c r="CD274" s="11"/>
      <c r="CE274" s="11"/>
      <c r="CF274" s="11"/>
      <c r="CG274" s="11"/>
      <c r="CH274" s="11"/>
      <c r="CI274" s="11"/>
      <c r="CJ274" s="11"/>
      <c r="CK274" s="11"/>
      <c r="CL274" s="11"/>
      <c r="CM274" s="11"/>
      <c r="CN274" s="11"/>
      <c r="CO274" s="11"/>
      <c r="CP274" s="11"/>
      <c r="CQ274" s="11"/>
      <c r="CR274" s="15"/>
      <c r="CS274" s="15"/>
      <c r="CT274" s="15"/>
      <c r="CU274" s="15"/>
    </row>
    <row r="275" spans="1:99" ht="12" customHeight="1" x14ac:dyDescent="0.2">
      <c r="A275" s="68">
        <v>43509</v>
      </c>
      <c r="B275" s="94" t="s">
        <v>283</v>
      </c>
      <c r="C275" s="94" t="s">
        <v>192</v>
      </c>
      <c r="D275" s="92">
        <v>1993</v>
      </c>
      <c r="E275" s="105">
        <v>1</v>
      </c>
      <c r="F275" s="92">
        <v>140</v>
      </c>
      <c r="G275" s="92">
        <v>35</v>
      </c>
      <c r="H275" s="92" t="s">
        <v>41</v>
      </c>
      <c r="I275" s="92" t="s">
        <v>130</v>
      </c>
      <c r="J275" s="92" t="s">
        <v>483</v>
      </c>
      <c r="K275" s="69">
        <f>IF(J275="syllables",1,IF(J275="trigrams",2,IF(J275="strings",3,IF(J275="visual array",4,IF(J275="characters",5,IF(J275="letters",6,IF(J275="free forms",7,IF(J275="odors",8,IF(J275="words",9,IF(J275="pictures",10,IF(J275="object pictures",11,IF(J275="faces",12,IF(J275="names",13,IF(J275="idioms",14,IF(J275="grades",15,IF(J275="syllable-digit pairs",16,IF(J275="trigram-word pairs",17,IF(J275="word-digit pairs",18,IF(J275="English-Swahili pairs",19,IF(J275="spatial position",20,IF(J275="word pairs",21,IF(J275="word triads",22,IF(J275="generated words",23,IF(J275="word definition pairs",24,IF(J275="math problems",25,IF(J275="famous faces",26,IF(J275="famous names",27,IF(J275="famous voices",28,IF(J275="television programs",29,IF(J275="race horses",30,IF(J275="new vocabulary",31,IF(J275="sentences",32,IF(J275="concepts",33,IF(J275="ad slides",34,IF(J275="scenes",35,IF(J275="famous scenes",36,IF(J275="poems",37,IF(J275="walk",38,IF(J275="faces and events",39,IF(J275="events and names",40,IF(J275="flashbulb",41,IF(J275="stories",42,IF(J275="course material",43,IF(J275="autobiographical",44,IF(J275="novels",45,IF(J275="public events",46,"99"))))))))))))))))))))))))))))))))))))))))))))))</f>
        <v>45</v>
      </c>
      <c r="L275" s="69">
        <f>IF(J275="syllables",1,IF(J275="trigrams",1,IF(J275="strings",1,IF(J275="visual array",1,IF(J275="characters",1,IF(J275="letters",1,IF(J275="free forms",1,IF(J275="odors",2,IF(J275="words",2,IF(J275="pictures",2,IF(J275="object pictures",2,IF(J275="faces",2,IF(J275="names",2,IF(J275="idioms","2",IF(J275="grades",2,IF(J275="syllable-digit pairs",3,IF(J275="trigram-word pairs",3,IF(J275="word-digit pairs",3,IF(J275="English-Swahili pairs",3,IF(J275="spatial position",3,IF(J275="word pairs",4,IF(J275="word triads",4,IF(J275="generated words",4,IF(J275="word definition pairs",4,IF(J275="math problems",4,IF(J275="famous faces",4,IF(J275="famous names",4,IF(J275="famous voices",4,IF(J275="television programs",4,IF(J275="race horses",4,IF(J275="new vocabulary",4,IF(J275="sentences",5,IF(J275="concepts",5,IF(J275="ad slides",5,IF(J275="scenes",5,IF(J275="famous scenes",5,IF(J275="poems",6,IF(J275="walk",6,IF(J275="faces and events",6,IF(J275="events and names",6,IF(J275="flashbulb",7,IF(J275="stories",7,IF(J275="course material",7,IF(J275="autobiographical",7,IF(J275="novels",7,IF(J275="public events",7,"99"))))))))))))))))))))))))))))))))))))))))))))))</f>
        <v>7</v>
      </c>
      <c r="M275" s="92">
        <v>0</v>
      </c>
      <c r="N275" s="92">
        <v>3</v>
      </c>
      <c r="O275" s="92">
        <v>0</v>
      </c>
      <c r="P275" s="92"/>
      <c r="Q275" s="92" t="s">
        <v>174</v>
      </c>
      <c r="R275" s="69">
        <f>IF(Q275="Free Recall",1,IF(Q275="Cued Recall",2,IF(Q275="Recognition",3,IF(Q275="Multiple Choice",4,IF(Q275="Savings",5,IF(Q275="Stem Completion",6,IF(Q275="Fragment Completion",7,IF(Q275="anagram solution",8,IF(Q275="Matching",9,IF(Q275="Problem Solving",10,"99"))))))))))</f>
        <v>1</v>
      </c>
      <c r="S275" s="92" t="s">
        <v>49</v>
      </c>
      <c r="T275" s="92" t="s">
        <v>261</v>
      </c>
      <c r="U275" s="60">
        <f>IF(T275="within",1,0)</f>
        <v>0</v>
      </c>
      <c r="V275" s="92">
        <v>18</v>
      </c>
      <c r="W275" s="69">
        <f>F275*V275</f>
        <v>2520</v>
      </c>
      <c r="X275" s="92">
        <v>4</v>
      </c>
      <c r="Y275" s="87">
        <f>AV274</f>
        <v>7776000</v>
      </c>
      <c r="Z275" s="92" t="s">
        <v>284</v>
      </c>
      <c r="AA275" s="92">
        <f>39*30*24*3600</f>
        <v>101088000</v>
      </c>
      <c r="AB275" s="69" t="str">
        <f>IF(AA275&lt;60,"1",IF(AA275&lt;=43200,"2",IF(AA275&lt;=777600,"3","4")))</f>
        <v>4</v>
      </c>
      <c r="AC275" s="72">
        <f>AVERAGE(AV274:DA274)</f>
        <v>54432000</v>
      </c>
      <c r="AD275" s="69" t="str">
        <f>IF(AC275&lt;60,"1",IF(AC275&lt;=43200,"2",IF(AC275&lt;=777600,"3","4")))</f>
        <v>4</v>
      </c>
      <c r="AE275" s="87">
        <f>AA275-Y275</f>
        <v>93312000</v>
      </c>
      <c r="AF275" s="88">
        <f>AV275</f>
        <v>0.9</v>
      </c>
      <c r="AG275" s="72">
        <f>((AW275-AV275)+(AX275-AW275)+(AY275-AX275))/3</f>
        <v>-1.666666666666668E-2</v>
      </c>
      <c r="AH275" s="4"/>
      <c r="AI275" s="72">
        <f>RSQ(AV275:AY275,AV274:AY274)</f>
        <v>0.97966101694915242</v>
      </c>
      <c r="AJ275" s="110">
        <f>SLOPE(AV275:AY275,AV274:AY274)</f>
        <v>-5.4655349794238732E-10</v>
      </c>
      <c r="AK275" s="72">
        <f>INTERCEPT(AV275:AY275,AV274:AY274)</f>
        <v>0.90725000000000011</v>
      </c>
      <c r="AL275" s="72">
        <f>INDEX(LINEST(LN(AV275:AY275),LN(AV274:AY274),TRUE,TRUE),3,1)</f>
        <v>0.78325265128904742</v>
      </c>
      <c r="AM275" s="72">
        <f>INDEX(LINEST(LN(AV275:AY275),LN(AV274:AY274)),1)</f>
        <v>-1.9812609586346855E-2</v>
      </c>
      <c r="AN275" s="72">
        <f>EXP(INDEX(LINEST(LN(AV275:AY275),LN(AV274:AY274)),1,2))</f>
        <v>1.2398600929035299</v>
      </c>
      <c r="AO275" s="89">
        <f>INDEX(LINEST((AV275:AY275),LN(AV274:AY274),TRUE,TRUE),3,1)</f>
        <v>0.78854245870348483</v>
      </c>
      <c r="AP275" s="89">
        <f>INDEX(LINEST((AV275:AY275),LN(AV274:AY274)),1)</f>
        <v>-1.7386349193415928E-2</v>
      </c>
      <c r="AQ275" s="90">
        <f>INDEX(LINEST(LN(AV275:AY275),SQRT(AV274:AY274),TRUE,TRUE),3,1)</f>
        <v>0.90413508642304341</v>
      </c>
      <c r="AR275" s="117">
        <f>INDEX(LINEST(LN(AV275:AY275),SQRT((AV274:AY274))),1)</f>
        <v>-7.6959139213870232E-6</v>
      </c>
      <c r="AS275" s="91">
        <f>INDEX(LINEST(1/(AV275:AY275),1/(SQRT(AV274:AY274)),TRUE,TRUE),3,1)</f>
        <v>0.6523429515501894</v>
      </c>
      <c r="AT275" s="91">
        <f>INDEX(LINEST(1/(AV275:AY275),1/SQRT(AV274:AY274)),1)</f>
        <v>-197.1235459103514</v>
      </c>
      <c r="AU275" s="3"/>
      <c r="AV275" s="97">
        <v>0.9</v>
      </c>
      <c r="AW275" s="97">
        <v>0.89</v>
      </c>
      <c r="AX275" s="97">
        <v>0.87</v>
      </c>
      <c r="AY275" s="97">
        <v>0.85</v>
      </c>
      <c r="AZ275" s="11"/>
      <c r="BA275" s="11"/>
      <c r="BB275" s="11"/>
      <c r="BC275" s="11"/>
      <c r="BD275" s="11"/>
      <c r="BE275" s="11"/>
      <c r="BF275" s="11"/>
      <c r="BG275" s="11"/>
      <c r="BH275" s="11"/>
      <c r="BI275" s="11"/>
      <c r="BJ275" s="11"/>
      <c r="BK275" s="11"/>
      <c r="BL275" s="11"/>
      <c r="BM275" s="11"/>
      <c r="BN275" s="11"/>
      <c r="BO275" s="11"/>
      <c r="BP275" s="11"/>
      <c r="BQ275" s="11"/>
      <c r="BR275" s="11"/>
      <c r="BS275" s="11"/>
      <c r="BT275" s="11"/>
      <c r="BU275" s="11"/>
      <c r="BV275" s="11"/>
      <c r="BW275" s="11"/>
      <c r="BX275" s="11"/>
      <c r="BY275" s="11"/>
      <c r="BZ275" s="11"/>
      <c r="CA275" s="11"/>
      <c r="CB275" s="11"/>
      <c r="CC275" s="11"/>
      <c r="CD275" s="11"/>
      <c r="CE275" s="11"/>
      <c r="CF275" s="11"/>
      <c r="CG275" s="11"/>
      <c r="CH275" s="11"/>
      <c r="CI275" s="11"/>
      <c r="CJ275" s="11"/>
      <c r="CK275" s="11"/>
      <c r="CL275" s="11"/>
      <c r="CM275" s="11"/>
      <c r="CN275" s="11"/>
      <c r="CO275" s="11"/>
      <c r="CP275" s="11"/>
      <c r="CQ275" s="11"/>
      <c r="CR275" s="15"/>
      <c r="CS275" s="15"/>
      <c r="CT275" s="15"/>
      <c r="CU275" s="15"/>
    </row>
    <row r="276" spans="1:99" ht="12" customHeight="1" x14ac:dyDescent="0.2">
      <c r="A276" s="68">
        <v>43509</v>
      </c>
      <c r="B276" s="94"/>
      <c r="C276" s="94"/>
      <c r="D276" s="92"/>
      <c r="E276" s="105"/>
      <c r="F276" s="92"/>
      <c r="G276" s="92"/>
      <c r="H276" s="92"/>
      <c r="I276" s="92"/>
      <c r="J276" s="92"/>
      <c r="K276" s="107"/>
      <c r="L276" s="107"/>
      <c r="M276" s="92"/>
      <c r="N276" s="92"/>
      <c r="O276" s="92"/>
      <c r="P276" s="92"/>
      <c r="Q276" s="92"/>
      <c r="R276" s="69"/>
      <c r="S276" s="92"/>
      <c r="T276" s="92"/>
      <c r="U276" s="60"/>
      <c r="V276" s="92"/>
      <c r="W276" s="69"/>
      <c r="X276" s="92"/>
      <c r="Y276" s="87"/>
      <c r="Z276" s="92"/>
      <c r="AA276" s="92"/>
      <c r="AB276" s="69"/>
      <c r="AC276" s="69"/>
      <c r="AD276" s="69"/>
      <c r="AE276" s="69"/>
      <c r="AF276" s="88"/>
      <c r="AG276" s="72"/>
      <c r="AH276" s="4"/>
      <c r="AI276" s="108"/>
      <c r="AJ276" s="113"/>
      <c r="AK276" s="108"/>
      <c r="AL276" s="108"/>
      <c r="AM276" s="108"/>
      <c r="AN276" s="108"/>
      <c r="AO276" s="108"/>
      <c r="AP276" s="108"/>
      <c r="AQ276" s="72"/>
      <c r="AR276" s="110"/>
      <c r="AS276" s="72"/>
      <c r="AT276" s="72"/>
      <c r="AU276" s="4"/>
      <c r="AV276" s="98">
        <f>3*30*24*3600</f>
        <v>7776000</v>
      </c>
      <c r="AW276" s="98">
        <f>15*30*24*3600</f>
        <v>38880000</v>
      </c>
      <c r="AX276" s="98">
        <f>27*30*24*3600</f>
        <v>69984000</v>
      </c>
      <c r="AY276" s="98">
        <f>39*30*24*3600</f>
        <v>101088000</v>
      </c>
      <c r="AZ276" s="11"/>
      <c r="BA276" s="11"/>
      <c r="BB276" s="11"/>
      <c r="BC276" s="11"/>
      <c r="BD276" s="11"/>
      <c r="BE276" s="11"/>
      <c r="BF276" s="11"/>
      <c r="BG276" s="11"/>
      <c r="BH276" s="11"/>
      <c r="BI276" s="11"/>
      <c r="BJ276" s="11"/>
      <c r="BK276" s="11"/>
      <c r="BL276" s="11"/>
      <c r="BM276" s="11"/>
      <c r="BN276" s="11"/>
      <c r="BO276" s="11"/>
      <c r="BP276" s="11"/>
      <c r="BQ276" s="11"/>
      <c r="BR276" s="11"/>
      <c r="BS276" s="11"/>
      <c r="BT276" s="11"/>
      <c r="BU276" s="11"/>
      <c r="BV276" s="11"/>
      <c r="BW276" s="11"/>
      <c r="BX276" s="11"/>
      <c r="BY276" s="11"/>
      <c r="BZ276" s="11"/>
      <c r="CA276" s="11"/>
      <c r="CB276" s="11"/>
      <c r="CC276" s="11"/>
      <c r="CD276" s="11"/>
      <c r="CE276" s="11"/>
      <c r="CF276" s="11"/>
      <c r="CG276" s="11"/>
      <c r="CH276" s="11"/>
      <c r="CI276" s="11"/>
      <c r="CJ276" s="11"/>
      <c r="CK276" s="11"/>
      <c r="CL276" s="11"/>
      <c r="CM276" s="11"/>
      <c r="CN276" s="11"/>
      <c r="CO276" s="11"/>
      <c r="CP276" s="11"/>
      <c r="CQ276" s="11"/>
      <c r="CR276" s="15"/>
      <c r="CS276" s="15"/>
      <c r="CT276" s="15"/>
      <c r="CU276" s="15"/>
    </row>
    <row r="277" spans="1:99" ht="12" customHeight="1" x14ac:dyDescent="0.2">
      <c r="A277" s="68">
        <v>43509</v>
      </c>
      <c r="B277" s="94" t="s">
        <v>283</v>
      </c>
      <c r="C277" s="94" t="s">
        <v>192</v>
      </c>
      <c r="D277" s="92">
        <v>1993</v>
      </c>
      <c r="E277" s="105">
        <v>1</v>
      </c>
      <c r="F277" s="92">
        <v>140</v>
      </c>
      <c r="G277" s="92">
        <v>35</v>
      </c>
      <c r="H277" s="92" t="s">
        <v>41</v>
      </c>
      <c r="I277" s="92" t="s">
        <v>822</v>
      </c>
      <c r="J277" s="92" t="s">
        <v>483</v>
      </c>
      <c r="K277" s="69">
        <f>IF(J277="syllables",1,IF(J277="trigrams",2,IF(J277="strings",3,IF(J277="visual array",4,IF(J277="characters",5,IF(J277="letters",6,IF(J277="free forms",7,IF(J277="odors",8,IF(J277="words",9,IF(J277="pictures",10,IF(J277="object pictures",11,IF(J277="faces",12,IF(J277="names",13,IF(J277="idioms",14,IF(J277="grades",15,IF(J277="syllable-digit pairs",16,IF(J277="trigram-word pairs",17,IF(J277="word-digit pairs",18,IF(J277="English-Swahili pairs",19,IF(J277="spatial position",20,IF(J277="word pairs",21,IF(J277="word triads",22,IF(J277="generated words",23,IF(J277="word definition pairs",24,IF(J277="math problems",25,IF(J277="famous faces",26,IF(J277="famous names",27,IF(J277="famous voices",28,IF(J277="television programs",29,IF(J277="race horses",30,IF(J277="new vocabulary",31,IF(J277="sentences",32,IF(J277="concepts",33,IF(J277="ad slides",34,IF(J277="scenes",35,IF(J277="famous scenes",36,IF(J277="poems",37,IF(J277="walk",38,IF(J277="faces and events",39,IF(J277="events and names",40,IF(J277="flashbulb",41,IF(J277="stories",42,IF(J277="course material",43,IF(J277="autobiographical",44,IF(J277="novels",45,IF(J277="public events",46,"99"))))))))))))))))))))))))))))))))))))))))))))))</f>
        <v>45</v>
      </c>
      <c r="L277" s="69">
        <f>IF(J277="syllables",1,IF(J277="trigrams",1,IF(J277="strings",1,IF(J277="visual array",1,IF(J277="characters",1,IF(J277="letters",1,IF(J277="free forms",1,IF(J277="odors",2,IF(J277="words",2,IF(J277="pictures",2,IF(J277="object pictures",2,IF(J277="faces",2,IF(J277="names",2,IF(J277="idioms","2",IF(J277="grades",2,IF(J277="syllable-digit pairs",3,IF(J277="trigram-word pairs",3,IF(J277="word-digit pairs",3,IF(J277="English-Swahili pairs",3,IF(J277="spatial position",3,IF(J277="word pairs",4,IF(J277="word triads",4,IF(J277="generated words",4,IF(J277="word definition pairs",4,IF(J277="math problems",4,IF(J277="famous faces",4,IF(J277="famous names",4,IF(J277="famous voices",4,IF(J277="television programs",4,IF(J277="race horses",4,IF(J277="new vocabulary",4,IF(J277="sentences",5,IF(J277="concepts",5,IF(J277="ad slides",5,IF(J277="scenes",5,IF(J277="famous scenes",5,IF(J277="poems",6,IF(J277="walk",6,IF(J277="faces and events",6,IF(J277="events and names",6,IF(J277="flashbulb",7,IF(J277="stories",7,IF(J277="course material",7,IF(J277="autobiographical",7,IF(J277="novels",7,IF(J277="public events",7,"99"))))))))))))))))))))))))))))))))))))))))))))))</f>
        <v>7</v>
      </c>
      <c r="M277" s="92">
        <v>0</v>
      </c>
      <c r="N277" s="92">
        <v>3</v>
      </c>
      <c r="O277" s="92">
        <v>0</v>
      </c>
      <c r="P277" s="92"/>
      <c r="Q277" s="92" t="s">
        <v>174</v>
      </c>
      <c r="R277" s="69">
        <f>IF(Q277="Free Recall",1,IF(Q277="Cued Recall",2,IF(Q277="Recognition",3,IF(Q277="Multiple Choice",4,IF(Q277="Savings",5,IF(Q277="Stem Completion",6,IF(Q277="Fragment Completion",7,IF(Q277="anagram solution",8,IF(Q277="Matching",9,IF(Q277="Problem Solving",10,"99"))))))))))</f>
        <v>1</v>
      </c>
      <c r="S277" s="92" t="s">
        <v>49</v>
      </c>
      <c r="T277" s="92" t="s">
        <v>261</v>
      </c>
      <c r="U277" s="60">
        <f>IF(T277="within",1,0)</f>
        <v>0</v>
      </c>
      <c r="V277" s="92">
        <v>18</v>
      </c>
      <c r="W277" s="69">
        <f>F277*V277</f>
        <v>2520</v>
      </c>
      <c r="X277" s="92">
        <v>4</v>
      </c>
      <c r="Y277" s="87">
        <f>AV276</f>
        <v>7776000</v>
      </c>
      <c r="Z277" s="92" t="s">
        <v>284</v>
      </c>
      <c r="AA277" s="92">
        <f>39*30*24*3600</f>
        <v>101088000</v>
      </c>
      <c r="AB277" s="69" t="str">
        <f>IF(AA277&lt;60,"1",IF(AA277&lt;=43200,"2",IF(AA277&lt;=777600,"3","4")))</f>
        <v>4</v>
      </c>
      <c r="AC277" s="72">
        <f>AVERAGE(AV276:DA276)</f>
        <v>54432000</v>
      </c>
      <c r="AD277" s="69" t="str">
        <f>IF(AC277&lt;60,"1",IF(AC277&lt;=43200,"2",IF(AC277&lt;=777600,"3","4")))</f>
        <v>4</v>
      </c>
      <c r="AE277" s="87">
        <f>AA277-Y277</f>
        <v>93312000</v>
      </c>
      <c r="AF277" s="88">
        <f>AV277</f>
        <v>0.81</v>
      </c>
      <c r="AG277" s="72">
        <f>((AW277-AV277)+(AX277-AW277)+(AY277-AX277))/3</f>
        <v>-3.0000000000000027E-2</v>
      </c>
      <c r="AH277" s="4"/>
      <c r="AI277" s="72">
        <f>RSQ(AV277:AY277,AV276:AY276)</f>
        <v>0.7623529411764709</v>
      </c>
      <c r="AJ277" s="110">
        <f>SLOPE(AV277:AY277,AV276:AY276)</f>
        <v>-1.1574074074074086E-9</v>
      </c>
      <c r="AK277" s="72">
        <f>INTERCEPT(AV277:AY277,AV276:AY276)</f>
        <v>0.81799999999999995</v>
      </c>
      <c r="AL277" s="72">
        <f>INDEX(LINEST(LN(AV277:AY277),LN(AV276:AY276),TRUE,TRUE),3,1)</f>
        <v>0.71676371019965301</v>
      </c>
      <c r="AM277" s="72">
        <f>INDEX(LINEST(LN(AV277:AY277),LN(AV276:AY276)),1)</f>
        <v>-5.2786728159439598E-2</v>
      </c>
      <c r="AN277" s="72">
        <f>EXP(INDEX(LINEST(LN(AV277:AY277),LN(AV276:AY276)),1,2))</f>
        <v>1.8940586148627601</v>
      </c>
      <c r="AO277" s="89">
        <f>INDEX(LINEST((AV277:AY277),LN(AV276:AY276),TRUE,TRUE),3,1)</f>
        <v>0.72787657972600417</v>
      </c>
      <c r="AP277" s="89">
        <f>INDEX(LINEST((AV277:AY277),LN(AV276:AY276)),1)</f>
        <v>-4.0099428410164194E-2</v>
      </c>
      <c r="AQ277" s="90">
        <f>INDEX(LINEST(LN(AV277:AY277),SQRT(AV276:AY276),TRUE,TRUE),3,1)</f>
        <v>0.7642291145898108</v>
      </c>
      <c r="AR277" s="117">
        <f>INDEX(LINEST(LN(AV277:AY277),SQRT((AV276:AY276))),1)</f>
        <v>-1.9706129131435797E-5</v>
      </c>
      <c r="AS277" s="91">
        <f>INDEX(LINEST(1/(AV277:AY277),1/(SQRT(AV276:AY276)),TRUE,TRUE),3,1)</f>
        <v>0.62691614065233214</v>
      </c>
      <c r="AT277" s="91">
        <f>INDEX(LINEST(1/(AV277:AY277),1/SQRT(AV276:AY276)),1)</f>
        <v>-625.26502153942306</v>
      </c>
      <c r="AU277" s="3"/>
      <c r="AV277" s="97">
        <v>0.81</v>
      </c>
      <c r="AW277" s="97">
        <v>0.79</v>
      </c>
      <c r="AX277" s="97">
        <v>0.7</v>
      </c>
      <c r="AY277" s="97">
        <v>0.72</v>
      </c>
      <c r="AZ277" s="11"/>
      <c r="BA277" s="11"/>
      <c r="BB277" s="11"/>
      <c r="BC277" s="11"/>
      <c r="BD277" s="11"/>
      <c r="BE277" s="11"/>
      <c r="BF277" s="11"/>
      <c r="BG277" s="11"/>
      <c r="BH277" s="11"/>
      <c r="BI277" s="11"/>
      <c r="BJ277" s="11"/>
      <c r="BK277" s="11"/>
      <c r="BL277" s="11"/>
      <c r="BM277" s="11"/>
      <c r="BN277" s="11"/>
      <c r="BO277" s="11"/>
      <c r="BP277" s="11"/>
      <c r="BQ277" s="11"/>
      <c r="BR277" s="11"/>
      <c r="BS277" s="11"/>
      <c r="BT277" s="11"/>
      <c r="BU277" s="11"/>
      <c r="BV277" s="11"/>
      <c r="BW277" s="11"/>
      <c r="BX277" s="11"/>
      <c r="BY277" s="11"/>
      <c r="BZ277" s="11"/>
      <c r="CA277" s="11"/>
      <c r="CB277" s="11"/>
      <c r="CC277" s="11"/>
      <c r="CD277" s="11"/>
      <c r="CE277" s="11"/>
      <c r="CF277" s="11"/>
      <c r="CG277" s="11"/>
      <c r="CH277" s="11"/>
      <c r="CI277" s="11"/>
      <c r="CJ277" s="11"/>
      <c r="CK277" s="11"/>
      <c r="CL277" s="11"/>
      <c r="CM277" s="11"/>
      <c r="CN277" s="11"/>
      <c r="CO277" s="11"/>
      <c r="CP277" s="11"/>
      <c r="CQ277" s="11"/>
      <c r="CR277" s="15"/>
      <c r="CS277" s="15"/>
      <c r="CT277" s="15"/>
      <c r="CU277" s="15"/>
    </row>
    <row r="278" spans="1:99" ht="12" customHeight="1" x14ac:dyDescent="0.2">
      <c r="A278" s="68">
        <v>43509</v>
      </c>
      <c r="B278" s="94"/>
      <c r="C278" s="94"/>
      <c r="D278" s="92"/>
      <c r="E278" s="105"/>
      <c r="F278" s="92"/>
      <c r="G278" s="92"/>
      <c r="H278" s="92"/>
      <c r="I278" s="92"/>
      <c r="J278" s="92"/>
      <c r="K278" s="107"/>
      <c r="L278" s="107"/>
      <c r="M278" s="92"/>
      <c r="N278" s="92"/>
      <c r="O278" s="92"/>
      <c r="P278" s="92"/>
      <c r="Q278" s="92"/>
      <c r="R278" s="69"/>
      <c r="S278" s="92"/>
      <c r="T278" s="92"/>
      <c r="U278" s="60"/>
      <c r="V278" s="92"/>
      <c r="W278" s="69"/>
      <c r="X278" s="92"/>
      <c r="Y278" s="87"/>
      <c r="Z278" s="92"/>
      <c r="AA278" s="92"/>
      <c r="AB278" s="69"/>
      <c r="AC278" s="69"/>
      <c r="AD278" s="69"/>
      <c r="AE278" s="69"/>
      <c r="AF278" s="88"/>
      <c r="AG278" s="72"/>
      <c r="AH278" s="4"/>
      <c r="AI278" s="108"/>
      <c r="AJ278" s="113"/>
      <c r="AK278" s="108"/>
      <c r="AL278" s="108"/>
      <c r="AM278" s="108"/>
      <c r="AN278" s="108"/>
      <c r="AO278" s="108"/>
      <c r="AP278" s="108"/>
      <c r="AQ278" s="72"/>
      <c r="AR278" s="110"/>
      <c r="AS278" s="72"/>
      <c r="AT278" s="72"/>
      <c r="AU278" s="4"/>
      <c r="AV278" s="98">
        <f>3*30*24*3600</f>
        <v>7776000</v>
      </c>
      <c r="AW278" s="98">
        <f>15*30*24*3600</f>
        <v>38880000</v>
      </c>
      <c r="AX278" s="98">
        <f>27*30*24*3600</f>
        <v>69984000</v>
      </c>
      <c r="AY278" s="98">
        <f>39*30*24*3600</f>
        <v>101088000</v>
      </c>
      <c r="AZ278" s="11"/>
      <c r="BA278" s="11"/>
      <c r="BB278" s="11"/>
      <c r="BC278" s="11"/>
      <c r="BD278" s="11"/>
      <c r="BE278" s="11"/>
      <c r="BF278" s="11"/>
      <c r="BG278" s="11"/>
      <c r="BH278" s="11"/>
      <c r="BI278" s="11"/>
      <c r="BJ278" s="11"/>
      <c r="BK278" s="11"/>
      <c r="BL278" s="11"/>
      <c r="BM278" s="11"/>
      <c r="BN278" s="11"/>
      <c r="BO278" s="11"/>
      <c r="BP278" s="11"/>
      <c r="BQ278" s="11"/>
      <c r="BR278" s="11"/>
      <c r="BS278" s="11"/>
      <c r="BT278" s="11"/>
      <c r="BU278" s="11"/>
      <c r="BV278" s="11"/>
      <c r="BW278" s="11"/>
      <c r="BX278" s="11"/>
      <c r="BY278" s="11"/>
      <c r="BZ278" s="11"/>
      <c r="CA278" s="11"/>
      <c r="CB278" s="11"/>
      <c r="CC278" s="11"/>
      <c r="CD278" s="11"/>
      <c r="CE278" s="11"/>
      <c r="CF278" s="11"/>
      <c r="CG278" s="11"/>
      <c r="CH278" s="11"/>
      <c r="CI278" s="11"/>
      <c r="CJ278" s="11"/>
      <c r="CK278" s="11"/>
      <c r="CL278" s="11"/>
      <c r="CM278" s="11"/>
      <c r="CN278" s="11"/>
      <c r="CO278" s="11"/>
      <c r="CP278" s="11"/>
      <c r="CQ278" s="11"/>
      <c r="CR278" s="15"/>
      <c r="CS278" s="15"/>
      <c r="CT278" s="15"/>
      <c r="CU278" s="15"/>
    </row>
    <row r="279" spans="1:99" ht="12" customHeight="1" x14ac:dyDescent="0.2">
      <c r="A279" s="68">
        <v>43509</v>
      </c>
      <c r="B279" s="94" t="s">
        <v>283</v>
      </c>
      <c r="C279" s="94" t="s">
        <v>192</v>
      </c>
      <c r="D279" s="92">
        <v>1993</v>
      </c>
      <c r="E279" s="105">
        <v>1</v>
      </c>
      <c r="F279" s="92">
        <v>140</v>
      </c>
      <c r="G279" s="92">
        <v>35</v>
      </c>
      <c r="H279" s="92" t="s">
        <v>41</v>
      </c>
      <c r="I279" s="92" t="s">
        <v>132</v>
      </c>
      <c r="J279" s="92" t="s">
        <v>483</v>
      </c>
      <c r="K279" s="69">
        <f>IF(J279="syllables",1,IF(J279="trigrams",2,IF(J279="strings",3,IF(J279="visual array",4,IF(J279="characters",5,IF(J279="letters",6,IF(J279="free forms",7,IF(J279="odors",8,IF(J279="words",9,IF(J279="pictures",10,IF(J279="object pictures",11,IF(J279="faces",12,IF(J279="names",13,IF(J279="idioms",14,IF(J279="grades",15,IF(J279="syllable-digit pairs",16,IF(J279="trigram-word pairs",17,IF(J279="word-digit pairs",18,IF(J279="English-Swahili pairs",19,IF(J279="spatial position",20,IF(J279="word pairs",21,IF(J279="word triads",22,IF(J279="generated words",23,IF(J279="word definition pairs",24,IF(J279="math problems",25,IF(J279="famous faces",26,IF(J279="famous names",27,IF(J279="famous voices",28,IF(J279="television programs",29,IF(J279="race horses",30,IF(J279="new vocabulary",31,IF(J279="sentences",32,IF(J279="concepts",33,IF(J279="ad slides",34,IF(J279="scenes",35,IF(J279="famous scenes",36,IF(J279="poems",37,IF(J279="walk",38,IF(J279="faces and events",39,IF(J279="events and names",40,IF(J279="flashbulb",41,IF(J279="stories",42,IF(J279="course material",43,IF(J279="autobiographical",44,IF(J279="novels",45,IF(J279="public events",46,"99"))))))))))))))))))))))))))))))))))))))))))))))</f>
        <v>45</v>
      </c>
      <c r="L279" s="69">
        <f>IF(J279="syllables",1,IF(J279="trigrams",1,IF(J279="strings",1,IF(J279="visual array",1,IF(J279="characters",1,IF(J279="letters",1,IF(J279="free forms",1,IF(J279="odors",2,IF(J279="words",2,IF(J279="pictures",2,IF(J279="object pictures",2,IF(J279="faces",2,IF(J279="names",2,IF(J279="idioms","2",IF(J279="grades",2,IF(J279="syllable-digit pairs",3,IF(J279="trigram-word pairs",3,IF(J279="word-digit pairs",3,IF(J279="English-Swahili pairs",3,IF(J279="spatial position",3,IF(J279="word pairs",4,IF(J279="word triads",4,IF(J279="generated words",4,IF(J279="word definition pairs",4,IF(J279="math problems",4,IF(J279="famous faces",4,IF(J279="famous names",4,IF(J279="famous voices",4,IF(J279="television programs",4,IF(J279="race horses",4,IF(J279="new vocabulary",4,IF(J279="sentences",5,IF(J279="concepts",5,IF(J279="ad slides",5,IF(J279="scenes",5,IF(J279="famous scenes",5,IF(J279="poems",6,IF(J279="walk",6,IF(J279="faces and events",6,IF(J279="events and names",6,IF(J279="flashbulb",7,IF(J279="stories",7,IF(J279="course material",7,IF(J279="autobiographical",7,IF(J279="novels",7,IF(J279="public events",7,"99"))))))))))))))))))))))))))))))))))))))))))))))</f>
        <v>7</v>
      </c>
      <c r="M279" s="92">
        <v>0</v>
      </c>
      <c r="N279" s="92">
        <v>3</v>
      </c>
      <c r="O279" s="92">
        <v>0</v>
      </c>
      <c r="P279" s="92"/>
      <c r="Q279" s="92" t="s">
        <v>174</v>
      </c>
      <c r="R279" s="69">
        <f>IF(Q279="Free Recall",1,IF(Q279="Cued Recall",2,IF(Q279="Recognition",3,IF(Q279="Multiple Choice",4,IF(Q279="Savings",5,IF(Q279="Stem Completion",6,IF(Q279="Fragment Completion",7,IF(Q279="anagram solution",8,IF(Q279="Matching",9,IF(Q279="Problem Solving",10,"99"))))))))))</f>
        <v>1</v>
      </c>
      <c r="S279" s="92" t="s">
        <v>49</v>
      </c>
      <c r="T279" s="92" t="s">
        <v>261</v>
      </c>
      <c r="U279" s="60">
        <f>IF(T279="within",1,0)</f>
        <v>0</v>
      </c>
      <c r="V279" s="92">
        <v>18</v>
      </c>
      <c r="W279" s="69">
        <f>F279*V279</f>
        <v>2520</v>
      </c>
      <c r="X279" s="92">
        <v>4</v>
      </c>
      <c r="Y279" s="87">
        <f>AV278</f>
        <v>7776000</v>
      </c>
      <c r="Z279" s="92" t="s">
        <v>284</v>
      </c>
      <c r="AA279" s="92">
        <f>39*30*24*3600</f>
        <v>101088000</v>
      </c>
      <c r="AB279" s="69" t="str">
        <f>IF(AA279&lt;60,"1",IF(AA279&lt;=43200,"2",IF(AA279&lt;=777600,"3","4")))</f>
        <v>4</v>
      </c>
      <c r="AC279" s="72">
        <f>AVERAGE(AV278:DA278)</f>
        <v>54432000</v>
      </c>
      <c r="AD279" s="69" t="str">
        <f>IF(AC279&lt;60,"1",IF(AC279&lt;=43200,"2",IF(AC279&lt;=777600,"3","4")))</f>
        <v>4</v>
      </c>
      <c r="AE279" s="87">
        <f>AA279-Y279</f>
        <v>93312000</v>
      </c>
      <c r="AF279" s="88">
        <f>AV279</f>
        <v>0.65</v>
      </c>
      <c r="AG279" s="93">
        <f>((AW279-AV279)+(AX279-AW279)+(AY279-AX279))/3</f>
        <v>-3.3333333333333361E-3</v>
      </c>
      <c r="AH279" s="4"/>
      <c r="AI279" s="72">
        <f>RSQ(AV279:AY279,AV278:AY278)</f>
        <v>0.20000000000000004</v>
      </c>
      <c r="AJ279" s="110">
        <f>SLOPE(AV279:AY279,AV278:AY278)</f>
        <v>-1.9290123456790137E-10</v>
      </c>
      <c r="AK279" s="72">
        <f>INTERCEPT(AV279:AY279,AV278:AY278)</f>
        <v>0.64549999999999996</v>
      </c>
      <c r="AL279" s="72">
        <f>INDEX(LINEST(LN(AV279:AY279),LN(AV278:AY278),TRUE,TRUE),3,1)</f>
        <v>0.32866727506701393</v>
      </c>
      <c r="AM279" s="72">
        <f>INDEX(LINEST(LN(AV279:AY279),LN(AV278:AY278)),1)</f>
        <v>-1.3958932447355842E-2</v>
      </c>
      <c r="AN279" s="72">
        <f>EXP(INDEX(LINEST(LN(AV279:AY279),LN(AV278:AY278)),1,2))</f>
        <v>0.8100186558353023</v>
      </c>
      <c r="AO279" s="89">
        <f>INDEX(LINEST((AV279:AY279),LN(AV278:AY278),TRUE,TRUE),3,1)</f>
        <v>0.33497527999960752</v>
      </c>
      <c r="AP279" s="89">
        <f>INDEX(LINEST((AV279:AY279),LN(AV278:AY278)),1)</f>
        <v>-8.8517161839560127E-3</v>
      </c>
      <c r="AQ279" s="90">
        <f>INDEX(LINEST(LN(AV279:AY279),SQRT(AV278:AY278),TRUE,TRUE),3,1)</f>
        <v>0.27293218676144204</v>
      </c>
      <c r="AR279" s="117">
        <f>INDEX(LINEST(LN(AV279:AY279),SQRT((AV278:AY278))),1)</f>
        <v>-4.5989019028757241E-6</v>
      </c>
      <c r="AS279" s="91">
        <f>INDEX(LINEST(1/(AV279:AY279),1/(SQRT(AV278:AY278)),TRUE,TRUE),3,1)</f>
        <v>0.34373208360034263</v>
      </c>
      <c r="AT279" s="91">
        <f>INDEX(LINEST(1/(AV279:AY279),1/SQRT(AV278:AY278)),1)</f>
        <v>-216.70734690922814</v>
      </c>
      <c r="AU279" s="3"/>
      <c r="AV279" s="97">
        <v>0.65</v>
      </c>
      <c r="AW279" s="97">
        <v>0.64</v>
      </c>
      <c r="AX279" s="97">
        <v>0.61</v>
      </c>
      <c r="AY279" s="97">
        <v>0.64</v>
      </c>
      <c r="AZ279" s="11"/>
      <c r="BA279" s="11"/>
      <c r="BB279" s="11"/>
      <c r="BC279" s="11"/>
      <c r="BD279" s="11"/>
      <c r="BE279" s="11"/>
      <c r="BF279" s="11"/>
      <c r="BG279" s="11"/>
      <c r="BH279" s="11"/>
      <c r="BI279" s="11"/>
      <c r="BJ279" s="11"/>
      <c r="BK279" s="11"/>
      <c r="BL279" s="11"/>
      <c r="BM279" s="11"/>
      <c r="BN279" s="11"/>
      <c r="BO279" s="11"/>
      <c r="BP279" s="11"/>
      <c r="BQ279" s="11"/>
      <c r="BR279" s="11"/>
      <c r="BS279" s="11"/>
      <c r="BT279" s="11"/>
      <c r="BU279" s="11"/>
      <c r="BV279" s="11"/>
      <c r="BW279" s="11"/>
      <c r="BX279" s="11"/>
      <c r="BY279" s="11"/>
      <c r="BZ279" s="11"/>
      <c r="CA279" s="11"/>
      <c r="CB279" s="11"/>
      <c r="CC279" s="11"/>
      <c r="CD279" s="11"/>
      <c r="CE279" s="11"/>
      <c r="CF279" s="11"/>
      <c r="CG279" s="11"/>
      <c r="CH279" s="11"/>
      <c r="CI279" s="11"/>
      <c r="CJ279" s="11"/>
      <c r="CK279" s="11"/>
      <c r="CL279" s="11"/>
      <c r="CM279" s="11"/>
      <c r="CN279" s="11"/>
      <c r="CO279" s="11"/>
      <c r="CP279" s="11"/>
      <c r="CQ279" s="11"/>
      <c r="CR279" s="15"/>
      <c r="CS279" s="15"/>
      <c r="CT279" s="15"/>
      <c r="CU279" s="15"/>
    </row>
    <row r="280" spans="1:99" s="13" customFormat="1" ht="12" customHeight="1" x14ac:dyDescent="0.2">
      <c r="A280" s="68">
        <v>43509</v>
      </c>
      <c r="B280" s="70"/>
      <c r="C280" s="70"/>
      <c r="D280" s="69"/>
      <c r="E280" s="87"/>
      <c r="F280" s="69"/>
      <c r="G280" s="69"/>
      <c r="H280" s="69"/>
      <c r="I280" s="69"/>
      <c r="J280" s="69"/>
      <c r="K280" s="107"/>
      <c r="L280" s="107"/>
      <c r="M280" s="69"/>
      <c r="N280" s="69"/>
      <c r="O280" s="69"/>
      <c r="P280" s="69"/>
      <c r="Q280" s="69"/>
      <c r="R280" s="69"/>
      <c r="S280" s="69"/>
      <c r="T280" s="69"/>
      <c r="U280" s="60"/>
      <c r="V280" s="69"/>
      <c r="W280" s="69"/>
      <c r="X280" s="69"/>
      <c r="Y280" s="87"/>
      <c r="Z280" s="69"/>
      <c r="AA280" s="69"/>
      <c r="AB280" s="69"/>
      <c r="AC280" s="69"/>
      <c r="AD280" s="69"/>
      <c r="AE280" s="69"/>
      <c r="AF280" s="88"/>
      <c r="AG280" s="72"/>
      <c r="AH280" s="4"/>
      <c r="AI280" s="72"/>
      <c r="AJ280" s="110"/>
      <c r="AK280" s="72"/>
      <c r="AL280" s="72"/>
      <c r="AM280" s="72"/>
      <c r="AN280" s="72"/>
      <c r="AO280" s="72"/>
      <c r="AP280" s="72"/>
      <c r="AQ280" s="72"/>
      <c r="AR280" s="110"/>
      <c r="AS280" s="72"/>
      <c r="AT280" s="72"/>
      <c r="AU280" s="4"/>
      <c r="AV280" s="71">
        <v>15</v>
      </c>
      <c r="AW280" s="71">
        <v>300</v>
      </c>
      <c r="AX280" s="71">
        <v>900</v>
      </c>
      <c r="AY280" s="71">
        <v>1800</v>
      </c>
      <c r="AZ280" s="71">
        <v>3600</v>
      </c>
      <c r="BA280" s="71">
        <v>7200</v>
      </c>
      <c r="BB280" s="71">
        <v>14400</v>
      </c>
      <c r="BC280" s="71">
        <v>28800</v>
      </c>
      <c r="BD280" s="71">
        <v>43200</v>
      </c>
      <c r="BE280" s="71">
        <v>86400</v>
      </c>
      <c r="BF280" s="71">
        <v>172800</v>
      </c>
      <c r="BG280" s="73">
        <v>345600</v>
      </c>
      <c r="BH280" s="73">
        <v>604800</v>
      </c>
      <c r="BI280" s="73">
        <v>3628800</v>
      </c>
      <c r="BJ280" s="53"/>
      <c r="BK280" s="53"/>
      <c r="BL280" s="53"/>
      <c r="BM280" s="53"/>
      <c r="BN280" s="53"/>
      <c r="BO280" s="53"/>
      <c r="BP280" s="53"/>
      <c r="BQ280" s="53"/>
      <c r="BR280" s="53"/>
      <c r="BS280" s="53"/>
      <c r="BT280" s="53"/>
      <c r="BU280" s="53"/>
      <c r="BV280" s="53"/>
      <c r="BW280" s="53"/>
      <c r="BX280" s="53"/>
      <c r="BY280" s="53"/>
      <c r="BZ280" s="53"/>
      <c r="CA280" s="53"/>
      <c r="CB280" s="53"/>
      <c r="CC280" s="53"/>
      <c r="CD280" s="53"/>
      <c r="CE280" s="53"/>
      <c r="CF280" s="53"/>
      <c r="CG280" s="53"/>
      <c r="CH280" s="53"/>
      <c r="CI280" s="53"/>
      <c r="CJ280" s="53"/>
      <c r="CK280" s="53"/>
      <c r="CL280" s="53"/>
      <c r="CM280" s="53"/>
      <c r="CN280" s="53"/>
      <c r="CO280" s="53"/>
      <c r="CP280" s="53"/>
      <c r="CQ280" s="53"/>
      <c r="CR280" s="1"/>
      <c r="CS280" s="1"/>
      <c r="CT280" s="1"/>
      <c r="CU280" s="1"/>
    </row>
    <row r="281" spans="1:99" s="13" customFormat="1" ht="12" customHeight="1" x14ac:dyDescent="0.2">
      <c r="A281" s="68">
        <v>43509</v>
      </c>
      <c r="B281" s="70" t="s">
        <v>134</v>
      </c>
      <c r="C281" s="70" t="s">
        <v>135</v>
      </c>
      <c r="D281" s="69">
        <v>1913</v>
      </c>
      <c r="E281" s="87">
        <v>1</v>
      </c>
      <c r="F281" s="69">
        <v>5</v>
      </c>
      <c r="G281" s="69">
        <v>5</v>
      </c>
      <c r="H281" s="69" t="s">
        <v>547</v>
      </c>
      <c r="I281" s="69"/>
      <c r="J281" s="69" t="s">
        <v>16</v>
      </c>
      <c r="K281" s="69">
        <f>IF(J281="syllables",1,IF(J281="trigrams",2,IF(J281="strings",3,IF(J281="visual array",4,IF(J281="characters",5,IF(J281="letters",6,IF(J281="free forms",7,IF(J281="odors",8,IF(J281="words",9,IF(J281="pictures",10,IF(J281="object pictures",11,IF(J281="faces",12,IF(J281="names",13,IF(J281="idioms",14,IF(J281="grades",15,IF(J281="syllable-digit pairs",16,IF(J281="trigram-word pairs",17,IF(J281="word-digit pairs",18,IF(J281="English-Swahili pairs",19,IF(J281="spatial position",20,IF(J281="word pairs",21,IF(J281="word triads",22,IF(J281="generated words",23,IF(J281="word definition pairs",24,IF(J281="math problems",25,IF(J281="famous faces",26,IF(J281="famous names",27,IF(J281="famous voices",28,IF(J281="television programs",29,IF(J281="race horses",30,IF(J281="new vocabulary",31,IF(J281="sentences",32,IF(J281="concepts",33,IF(J281="ad slides",34,IF(J281="scenes",35,IF(J281="famous scenes",36,IF(J281="poems",37,IF(J281="walk",38,IF(J281="faces and events",39,IF(J281="events and names",40,IF(J281="flashbulb",41,IF(J281="stories",42,IF(J281="course material",43,IF(J281="autobiographical",44,IF(J281="novels",45,IF(J281="public events",46,"99"))))))))))))))))))))))))))))))))))))))))))))))</f>
        <v>9</v>
      </c>
      <c r="L281" s="69">
        <f>IF(J281="syllables",1,IF(J281="trigrams",1,IF(J281="strings",1,IF(J281="visual array",1,IF(J281="characters",1,IF(J281="letters",1,IF(J281="free forms",1,IF(J281="odors",2,IF(J281="words",2,IF(J281="pictures",2,IF(J281="object pictures",2,IF(J281="faces",2,IF(J281="names",2,IF(J281="idioms","2",IF(J281="grades",2,IF(J281="syllable-digit pairs",3,IF(J281="trigram-word pairs",3,IF(J281="word-digit pairs",3,IF(J281="English-Swahili pairs",3,IF(J281="spatial position",3,IF(J281="word pairs",4,IF(J281="word triads",4,IF(J281="generated words",4,IF(J281="word definition pairs",4,IF(J281="math problems",4,IF(J281="famous faces",4,IF(J281="famous names",4,IF(J281="famous voices",4,IF(J281="television programs",4,IF(J281="race horses",4,IF(J281="new vocabulary",4,IF(J281="sentences",5,IF(J281="concepts",5,IF(J281="ad slides",5,IF(J281="scenes",5,IF(J281="famous scenes",5,IF(J281="poems",6,IF(J281="walk",6,IF(J281="faces and events",6,IF(J281="events and names",6,IF(J281="flashbulb",7,IF(J281="stories",7,IF(J281="course material",7,IF(J281="autobiographical",7,IF(J281="novels",7,IF(J281="public events",7,"99"))))))))))))))))))))))))))))))))))))))))))))))</f>
        <v>2</v>
      </c>
      <c r="M281" s="69">
        <v>0</v>
      </c>
      <c r="N281" s="69">
        <v>1</v>
      </c>
      <c r="O281" s="69">
        <v>1</v>
      </c>
      <c r="P281" s="69" t="s">
        <v>136</v>
      </c>
      <c r="Q281" s="69" t="s">
        <v>34</v>
      </c>
      <c r="R281" s="69">
        <f>IF(Q281="Free Recall",1,IF(Q281="Cued Recall",2,IF(Q281="Recognition",3,IF(Q281="Multiple Choice",4,IF(Q281="Savings",5,IF(Q281="Stem Completion",6,IF(Q281="Fragment Completion",7,IF(Q281="anagram solution",8,IF(Q281="Matching",9,IF(Q281="Problem Solving",10,"99"))))))))))</f>
        <v>3</v>
      </c>
      <c r="S281" s="69" t="s">
        <v>15</v>
      </c>
      <c r="T281" s="92" t="s">
        <v>581</v>
      </c>
      <c r="U281" s="60">
        <f>IF(T281="within",1,0)</f>
        <v>1</v>
      </c>
      <c r="V281" s="92">
        <v>80</v>
      </c>
      <c r="W281" s="69">
        <f>F281*V281</f>
        <v>400</v>
      </c>
      <c r="X281" s="69">
        <v>14</v>
      </c>
      <c r="Y281" s="87">
        <f>AV280</f>
        <v>15</v>
      </c>
      <c r="Z281" s="69" t="s">
        <v>144</v>
      </c>
      <c r="AA281" s="69">
        <v>3628800</v>
      </c>
      <c r="AB281" s="69" t="str">
        <f>IF(AA281&lt;60,"1",IF(AA281&lt;=43200,"2",IF(AA281&lt;=777600,"3","4")))</f>
        <v>4</v>
      </c>
      <c r="AC281" s="72">
        <f>AVERAGE(AV280:DA280)</f>
        <v>352758.21428571426</v>
      </c>
      <c r="AD281" s="69" t="str">
        <f>IF(AC281&lt;60,"1",IF(AC281&lt;=43200,"2",IF(AC281&lt;=777600,"3","4")))</f>
        <v>3</v>
      </c>
      <c r="AE281" s="87">
        <f>AA281-Y281</f>
        <v>3628785</v>
      </c>
      <c r="AF281" s="88">
        <f>AV281</f>
        <v>0.91650000000000009</v>
      </c>
      <c r="AG281" s="72">
        <f>((AW281-AV281)+(AX281-AW281)+(AY281-AX281)+(AZ281-AY281)+(BA281-AZ281)+(BB281-BA281)+(BC281-BB281)+(BD281-BC281)+(BE281-BD281)+(BF281-BE281)+(BG281-BF281)+(BH281-BG281)+(BI281-BH281))/13</f>
        <v>-2.6269230769230781E-2</v>
      </c>
      <c r="AH281" s="4"/>
      <c r="AI281" s="72">
        <f>RSQ(AV281:BI281,AV280:BI280)</f>
        <v>0.28209961534997025</v>
      </c>
      <c r="AJ281" s="110">
        <f>SLOPE(AV281:BI281,AV280:BI280)</f>
        <v>-5.7116795328765527E-8</v>
      </c>
      <c r="AK281" s="72">
        <f>INTERCEPT(AV281:BI281,AV280:BI280)</f>
        <v>0.74338413301161221</v>
      </c>
      <c r="AL281" s="72" cm="1">
        <f t="array" ref="AL281">INDEX(LINEST(LN(AV281:BI281),LN(AV280:BI280),TRUE,TRUE),3,1)</f>
        <v>0.93736605620198232</v>
      </c>
      <c r="AM281" s="72" cm="1">
        <f t="array" ref="AM281">_xlfn.SINGLE(INDEX(LINEST(LN(AV281:BI281),LN(AV280:BI280)),1))</f>
        <v>-4.1965243581902553E-2</v>
      </c>
      <c r="AN281" s="72" cm="1">
        <f t="array" ref="AN281">EXP(INDEX(LINEST(LN(AV281:BI281),LN(AV280:BI280)),1,2))</f>
        <v>1.0734001202885581</v>
      </c>
      <c r="AO281" s="89" cm="1">
        <f t="array" ref="AO281">INDEX(LINEST((AV281:BI281),LN(AV280:BI280),TRUE,TRUE),3,1)</f>
        <v>0.95317739577770622</v>
      </c>
      <c r="AP281" s="89" cm="1">
        <f t="array" ref="AP281">_xlfn.SINGLE(INDEX(LINEST((AV281:BI281),LN(AV280:BI280)),1))</f>
        <v>-3.0435472314262399E-2</v>
      </c>
      <c r="AQ281" s="90" cm="1">
        <f t="array" ref="AQ281">INDEX(LINEST(LN(AV281:BI281),SQRT(AV280:BI280),TRUE,TRUE),3,1)</f>
        <v>0.58378291252818548</v>
      </c>
      <c r="AR281" s="117" cm="1">
        <f t="array" ref="AR281">_xlfn.SINGLE(INDEX(LINEST(LN(AV281:BI281),SQRT((AV280:BI280))),1))</f>
        <v>-2.1578818390287902E-4</v>
      </c>
      <c r="AS281" s="91" cm="1">
        <f t="array" ref="AS281">INDEX(LINEST(1/(AV281:BI281),1/(SQRT(AV280:BI280)),TRUE,TRUE),3,1)</f>
        <v>0.35993888110918948</v>
      </c>
      <c r="AT281" s="91" cm="1">
        <f t="array" ref="AT281">_xlfn.SINGLE(INDEX(LINEST(1/(AV281:BI281),1/SQRT(AV280:BI280)),1))</f>
        <v>-1.8076078099186463</v>
      </c>
      <c r="AU281" s="3"/>
      <c r="AV281" s="73">
        <v>0.91650000000000009</v>
      </c>
      <c r="AW281" s="73">
        <v>0.86</v>
      </c>
      <c r="AX281" s="73">
        <v>0.80349999999999999</v>
      </c>
      <c r="AY281" s="73">
        <v>0.79049999999999998</v>
      </c>
      <c r="AZ281" s="73">
        <v>0.77649999999999997</v>
      </c>
      <c r="BA281" s="73">
        <v>0.72</v>
      </c>
      <c r="BB281" s="73">
        <v>0.76</v>
      </c>
      <c r="BC281" s="73">
        <v>0.72</v>
      </c>
      <c r="BD281" s="73">
        <v>0.71700000000000008</v>
      </c>
      <c r="BE281" s="73">
        <v>0.64</v>
      </c>
      <c r="BF281" s="73">
        <v>0.64649999999999996</v>
      </c>
      <c r="BG281" s="73">
        <v>0.62930000000000008</v>
      </c>
      <c r="BH281" s="73">
        <v>0.57050000000000001</v>
      </c>
      <c r="BI281" s="73">
        <v>0.57499999999999996</v>
      </c>
      <c r="BJ281" s="53"/>
      <c r="BK281" s="53"/>
      <c r="BL281" s="53"/>
      <c r="BM281" s="53"/>
      <c r="BN281" s="53"/>
      <c r="BO281" s="53"/>
      <c r="BP281" s="53"/>
      <c r="BQ281" s="53"/>
      <c r="BR281" s="53"/>
      <c r="BS281" s="53"/>
      <c r="BT281" s="53"/>
      <c r="BU281" s="53"/>
      <c r="BV281" s="53"/>
      <c r="BW281" s="53"/>
      <c r="BX281" s="53"/>
      <c r="BY281" s="53"/>
      <c r="BZ281" s="53"/>
      <c r="CA281" s="53"/>
      <c r="CB281" s="53"/>
      <c r="CC281" s="53"/>
      <c r="CD281" s="53"/>
      <c r="CE281" s="53"/>
      <c r="CF281" s="53"/>
      <c r="CG281" s="53"/>
      <c r="CH281" s="53"/>
      <c r="CI281" s="53"/>
      <c r="CJ281" s="53"/>
      <c r="CK281" s="53"/>
      <c r="CL281" s="53"/>
      <c r="CM281" s="53"/>
      <c r="CN281" s="53"/>
      <c r="CO281" s="53"/>
      <c r="CP281" s="53"/>
      <c r="CQ281" s="53"/>
      <c r="CR281" s="1"/>
      <c r="CS281" s="1"/>
      <c r="CT281" s="1"/>
      <c r="CU281" s="1"/>
    </row>
    <row r="282" spans="1:99" s="13" customFormat="1" ht="12" customHeight="1" x14ac:dyDescent="0.2">
      <c r="A282" s="68">
        <v>43509</v>
      </c>
      <c r="B282" s="70"/>
      <c r="C282" s="70"/>
      <c r="D282" s="69"/>
      <c r="E282" s="87"/>
      <c r="F282" s="69"/>
      <c r="G282" s="69"/>
      <c r="H282" s="69"/>
      <c r="I282" s="69"/>
      <c r="J282" s="69"/>
      <c r="K282" s="107"/>
      <c r="L282" s="107"/>
      <c r="M282" s="69"/>
      <c r="N282" s="69"/>
      <c r="O282" s="69"/>
      <c r="P282" s="69"/>
      <c r="Q282" s="69"/>
      <c r="R282" s="69"/>
      <c r="S282" s="69"/>
      <c r="T282" s="69"/>
      <c r="U282" s="60"/>
      <c r="V282" s="69"/>
      <c r="W282" s="69"/>
      <c r="X282" s="69"/>
      <c r="Y282" s="87"/>
      <c r="Z282" s="69"/>
      <c r="AA282" s="69"/>
      <c r="AB282" s="69"/>
      <c r="AC282" s="69"/>
      <c r="AD282" s="69"/>
      <c r="AE282" s="69"/>
      <c r="AF282" s="88"/>
      <c r="AG282" s="72"/>
      <c r="AH282" s="4"/>
      <c r="AI282" s="72"/>
      <c r="AJ282" s="110"/>
      <c r="AK282" s="72"/>
      <c r="AL282" s="72"/>
      <c r="AM282" s="72"/>
      <c r="AN282" s="72"/>
      <c r="AO282" s="72"/>
      <c r="AP282" s="72"/>
      <c r="AQ282" s="72"/>
      <c r="AR282" s="110"/>
      <c r="AS282" s="72"/>
      <c r="AT282" s="72"/>
      <c r="AU282" s="4"/>
      <c r="AV282" s="71">
        <f>24*60*60</f>
        <v>86400</v>
      </c>
      <c r="AW282" s="71">
        <f>2*24*60*60</f>
        <v>172800</v>
      </c>
      <c r="AX282" s="71">
        <f>30*24*60*60</f>
        <v>2592000</v>
      </c>
      <c r="AY282" s="71">
        <f>90*24*60*60</f>
        <v>7776000</v>
      </c>
      <c r="AZ282" s="53"/>
      <c r="BA282" s="53"/>
      <c r="BB282" s="53"/>
      <c r="BC282" s="53"/>
      <c r="BD282" s="53"/>
      <c r="BE282" s="53"/>
      <c r="BF282" s="53"/>
      <c r="BG282" s="53"/>
      <c r="BH282" s="53"/>
      <c r="BI282" s="53"/>
      <c r="BJ282" s="53"/>
      <c r="BK282" s="53"/>
      <c r="BL282" s="53"/>
      <c r="BM282" s="53"/>
      <c r="BN282" s="53"/>
      <c r="BO282" s="53"/>
      <c r="BP282" s="53"/>
      <c r="BQ282" s="53"/>
      <c r="BR282" s="53"/>
      <c r="BS282" s="53"/>
      <c r="BT282" s="53"/>
      <c r="BU282" s="53"/>
      <c r="BV282" s="53"/>
      <c r="BW282" s="53"/>
      <c r="BX282" s="53"/>
      <c r="BY282" s="53"/>
      <c r="BZ282" s="53"/>
      <c r="CA282" s="53"/>
      <c r="CB282" s="53"/>
      <c r="CC282" s="53"/>
      <c r="CD282" s="53"/>
      <c r="CE282" s="53"/>
      <c r="CF282" s="53"/>
      <c r="CG282" s="53"/>
      <c r="CH282" s="53"/>
      <c r="CI282" s="53"/>
      <c r="CJ282" s="53"/>
      <c r="CK282" s="53"/>
      <c r="CL282" s="53"/>
      <c r="CM282" s="53"/>
      <c r="CN282" s="53"/>
      <c r="CO282" s="53"/>
      <c r="CP282" s="53"/>
      <c r="CQ282" s="53"/>
      <c r="CR282" s="1"/>
      <c r="CS282" s="1"/>
      <c r="CT282" s="1"/>
      <c r="CU282" s="1"/>
    </row>
    <row r="283" spans="1:99" s="13" customFormat="1" ht="12" customHeight="1" x14ac:dyDescent="0.2">
      <c r="A283" s="68">
        <v>43509</v>
      </c>
      <c r="B283" s="103" t="s">
        <v>198</v>
      </c>
      <c r="C283" s="70" t="s">
        <v>199</v>
      </c>
      <c r="D283" s="69">
        <v>2006</v>
      </c>
      <c r="E283" s="87">
        <v>1</v>
      </c>
      <c r="F283" s="69">
        <v>22</v>
      </c>
      <c r="G283" s="69">
        <v>22</v>
      </c>
      <c r="H283" s="69" t="s">
        <v>832</v>
      </c>
      <c r="I283" s="69" t="s">
        <v>830</v>
      </c>
      <c r="J283" s="69" t="s">
        <v>313</v>
      </c>
      <c r="K283" s="69">
        <f>IF(J283="syllables",1,IF(J283="trigrams",2,IF(J283="strings",3,IF(J283="visual array",4,IF(J283="characters",5,IF(J283="letters",6,IF(J283="free forms",7,IF(J283="odors",8,IF(J283="words",9,IF(J283="pictures",10,IF(J283="object pictures",11,IF(J283="faces",12,IF(J283="names",13,IF(J283="idioms",14,IF(J283="grades",15,IF(J283="syllable-digit pairs",16,IF(J283="trigram-word pairs",17,IF(J283="word-digit pairs",18,IF(J283="English-Swahili pairs",19,IF(J283="spatial position",20,IF(J283="word pairs",21,IF(J283="word triads",22,IF(J283="generated words",23,IF(J283="word definition pairs",24,IF(J283="math problems",25,IF(J283="famous faces",26,IF(J283="famous names",27,IF(J283="famous voices",28,IF(J283="television programs",29,IF(J283="race horses",30,IF(J283="new vocabulary",31,IF(J283="sentences",32,IF(J283="concepts",33,IF(J283="ad slides",34,IF(J283="scenes",35,IF(J283="famous scenes",36,IF(J283="poems",37,IF(J283="walk",38,IF(J283="faces and events",39,IF(J283="events and names",40,IF(J283="flashbulb",41,IF(J283="stories",42,IF(J283="course material",43,IF(J283="autobiographical",44,IF(J283="novels",45,IF(J283="public events",46,"99"))))))))))))))))))))))))))))))))))))))))))))))</f>
        <v>10</v>
      </c>
      <c r="L283" s="69">
        <f>IF(J283="syllables",1,IF(J283="trigrams",1,IF(J283="strings",1,IF(J283="visual array",1,IF(J283="characters",1,IF(J283="letters",1,IF(J283="free forms",1,IF(J283="odors",2,IF(J283="words",2,IF(J283="pictures",2,IF(J283="object pictures",2,IF(J283="faces",2,IF(J283="names",2,IF(J283="idioms","2",IF(J283="grades",2,IF(J283="syllable-digit pairs",3,IF(J283="trigram-word pairs",3,IF(J283="word-digit pairs",3,IF(J283="English-Swahili pairs",3,IF(J283="spatial position",3,IF(J283="word pairs",4,IF(J283="word triads",4,IF(J283="generated words",4,IF(J283="word definition pairs",4,IF(J283="math problems",4,IF(J283="famous faces",4,IF(J283="famous names",4,IF(J283="famous voices",4,IF(J283="television programs",4,IF(J283="race horses",4,IF(J283="new vocabulary",4,IF(J283="sentences",5,IF(J283="concepts",5,IF(J283="ad slides",5,IF(J283="scenes",5,IF(J283="famous scenes",5,IF(J283="poems",6,IF(J283="walk",6,IF(J283="faces and events",6,IF(J283="events and names",6,IF(J283="flashbulb",7,IF(J283="stories",7,IF(J283="course material",7,IF(J283="autobiographical",7,IF(J283="novels",7,IF(J283="public events",7,"99"))))))))))))))))))))))))))))))))))))))))))))))</f>
        <v>2</v>
      </c>
      <c r="M283" s="69">
        <v>0</v>
      </c>
      <c r="N283" s="69">
        <v>1</v>
      </c>
      <c r="O283" s="69">
        <v>0</v>
      </c>
      <c r="P283" s="69"/>
      <c r="Q283" s="69" t="s">
        <v>34</v>
      </c>
      <c r="R283" s="69">
        <f>IF(Q283="Free Recall",1,IF(Q283="Cued Recall",2,IF(Q283="Recognition",3,IF(Q283="Multiple Choice",4,IF(Q283="Savings",5,IF(Q283="Stem Completion",6,IF(Q283="Fragment Completion",7,IF(Q283="anagram solution",8,IF(Q283="Matching",9,IF(Q283="Problem Solving",10,"99"))))))))))</f>
        <v>3</v>
      </c>
      <c r="S283" s="69" t="s">
        <v>15</v>
      </c>
      <c r="T283" s="92" t="s">
        <v>581</v>
      </c>
      <c r="U283" s="60">
        <f>IF(T283="within",1,0)</f>
        <v>1</v>
      </c>
      <c r="V283" s="92">
        <v>480</v>
      </c>
      <c r="W283" s="69">
        <f>F283*V283</f>
        <v>10560</v>
      </c>
      <c r="X283" s="69">
        <v>4</v>
      </c>
      <c r="Y283" s="87">
        <f>AV282</f>
        <v>86400</v>
      </c>
      <c r="Z283" s="69" t="s">
        <v>179</v>
      </c>
      <c r="AA283" s="69">
        <f>30*24*60*60*3</f>
        <v>7776000</v>
      </c>
      <c r="AB283" s="69" t="str">
        <f>IF(AA283&lt;60,"1",IF(AA283&lt;=43200,"2",IF(AA283&lt;=777600,"3","4")))</f>
        <v>4</v>
      </c>
      <c r="AC283" s="72">
        <f>AVERAGE(AV282:DA282)</f>
        <v>2656800</v>
      </c>
      <c r="AD283" s="69" t="str">
        <f>IF(AC283&lt;60,"1",IF(AC283&lt;=43200,"2",IF(AC283&lt;=777600,"3","4")))</f>
        <v>4</v>
      </c>
      <c r="AE283" s="87">
        <f>AA283-Y283</f>
        <v>7689600</v>
      </c>
      <c r="AF283" s="88">
        <f>AV283</f>
        <v>0.71900000000000008</v>
      </c>
      <c r="AG283" s="72">
        <f>((AW283-AV283)+(AX283-AW283)+(AY283-AX283))/3</f>
        <v>-1.4333333333333345E-2</v>
      </c>
      <c r="AH283" s="4"/>
      <c r="AI283" s="72">
        <f>RSQ(AV283:AY283,AV282:AY282)</f>
        <v>0.90511316608364267</v>
      </c>
      <c r="AJ283" s="110">
        <f>SLOPE(AV283:AY283,AV282:AY282)</f>
        <v>-5.1551749202651475E-9</v>
      </c>
      <c r="AK283" s="72">
        <f>INTERCEPT(AV283:AY283,AV282:AY282)</f>
        <v>0.71344626872816053</v>
      </c>
      <c r="AL283" s="72">
        <f>INDEX(LINEST(LN(AV283:AY283),LN(AV282:AY282),TRUE,TRUE),3,1)</f>
        <v>0.9809447636851979</v>
      </c>
      <c r="AM283" s="72">
        <f>INDEX(LINEST(LN(AV283:AY283),LN(AV282:AY282)),1)</f>
        <v>-1.2919749232237219E-2</v>
      </c>
      <c r="AN283" s="72">
        <f>EXP(INDEX(LINEST(LN(AV283:AY283),LN(AV282:AY282)),1,2))</f>
        <v>0.83300831419926602</v>
      </c>
      <c r="AO283" s="89">
        <f>INDEX(LINEST((AV283:AY283),LN(AV282:AY282),TRUE,TRUE),3,1)</f>
        <v>0.98266720784783501</v>
      </c>
      <c r="AP283" s="89">
        <f>INDEX(LINEST((AV283:AY283),LN(AV282:AY282)),1)</f>
        <v>-9.018117298963884E-3</v>
      </c>
      <c r="AQ283" s="90">
        <f>INDEX(LINEST(LN(AV283:AY283),SQRT(AV282:AY282),TRUE,TRUE),3,1)</f>
        <v>0.98472835667413317</v>
      </c>
      <c r="AR283" s="117">
        <f>INDEX(LINEST(LN(AV283:AY283),SQRT((AV282:AY282))),1)</f>
        <v>-2.3764790709787598E-5</v>
      </c>
      <c r="AS283" s="91">
        <f>INDEX(LINEST(1/(AV283:AY283),1/(SQRT(AV282:AY282)),TRUE,TRUE),3,1)</f>
        <v>0.90661405578099064</v>
      </c>
      <c r="AT283" s="91">
        <f>INDEX(LINEST(1/(AV283:AY283),1/SQRT(AV282:AY282)),1)</f>
        <v>-26.277595359458331</v>
      </c>
      <c r="AU283" s="3"/>
      <c r="AV283" s="73">
        <v>0.71900000000000008</v>
      </c>
      <c r="AW283" s="73">
        <v>0.71199999999999997</v>
      </c>
      <c r="AX283" s="73">
        <v>0.69199999999999995</v>
      </c>
      <c r="AY283" s="73">
        <v>0.67600000000000005</v>
      </c>
      <c r="AZ283" s="53"/>
      <c r="BA283" s="53"/>
      <c r="BB283" s="53"/>
      <c r="BC283" s="53"/>
      <c r="BD283" s="53"/>
      <c r="BE283" s="53"/>
      <c r="BF283" s="53"/>
      <c r="BG283" s="53"/>
      <c r="BH283" s="53"/>
      <c r="BI283" s="53"/>
      <c r="BJ283" s="53"/>
      <c r="BK283" s="53"/>
      <c r="BL283" s="53"/>
      <c r="BM283" s="53"/>
      <c r="BN283" s="53"/>
      <c r="BO283" s="53"/>
      <c r="BP283" s="53"/>
      <c r="BQ283" s="53"/>
      <c r="BR283" s="53"/>
      <c r="BS283" s="53"/>
      <c r="BT283" s="53"/>
      <c r="BU283" s="53"/>
      <c r="BV283" s="53"/>
      <c r="BW283" s="53"/>
      <c r="BX283" s="53"/>
      <c r="BY283" s="53"/>
      <c r="BZ283" s="53"/>
      <c r="CA283" s="53"/>
      <c r="CB283" s="53"/>
      <c r="CC283" s="53"/>
      <c r="CD283" s="53"/>
      <c r="CE283" s="53"/>
      <c r="CF283" s="53"/>
      <c r="CG283" s="53"/>
      <c r="CH283" s="53"/>
      <c r="CI283" s="53"/>
      <c r="CJ283" s="53"/>
      <c r="CK283" s="53"/>
      <c r="CL283" s="53"/>
      <c r="CM283" s="53"/>
      <c r="CN283" s="53"/>
      <c r="CO283" s="53"/>
      <c r="CP283" s="53"/>
      <c r="CQ283" s="53"/>
      <c r="CR283" s="1"/>
      <c r="CS283" s="1"/>
      <c r="CT283" s="1"/>
      <c r="CU283" s="1"/>
    </row>
    <row r="284" spans="1:99" s="13" customFormat="1" ht="12" customHeight="1" x14ac:dyDescent="0.2">
      <c r="A284" s="68">
        <v>43509</v>
      </c>
      <c r="B284" s="70"/>
      <c r="C284" s="70"/>
      <c r="D284" s="69"/>
      <c r="E284" s="87"/>
      <c r="F284" s="69"/>
      <c r="G284" s="69"/>
      <c r="H284" s="69"/>
      <c r="I284" s="69"/>
      <c r="J284" s="69"/>
      <c r="K284" s="107"/>
      <c r="L284" s="107"/>
      <c r="M284" s="69"/>
      <c r="N284" s="69"/>
      <c r="O284" s="69"/>
      <c r="P284" s="69"/>
      <c r="Q284" s="69"/>
      <c r="R284" s="69"/>
      <c r="S284" s="69"/>
      <c r="T284" s="69"/>
      <c r="U284" s="60"/>
      <c r="V284" s="92"/>
      <c r="W284" s="69"/>
      <c r="X284" s="69"/>
      <c r="Y284" s="87"/>
      <c r="Z284" s="69"/>
      <c r="AA284" s="69"/>
      <c r="AB284" s="69"/>
      <c r="AC284" s="69"/>
      <c r="AD284" s="69"/>
      <c r="AE284" s="69"/>
      <c r="AF284" s="88"/>
      <c r="AG284" s="72"/>
      <c r="AH284" s="4"/>
      <c r="AI284" s="72"/>
      <c r="AJ284" s="110"/>
      <c r="AK284" s="72"/>
      <c r="AL284" s="72"/>
      <c r="AM284" s="72"/>
      <c r="AN284" s="72"/>
      <c r="AO284" s="72"/>
      <c r="AP284" s="72"/>
      <c r="AQ284" s="72"/>
      <c r="AR284" s="110"/>
      <c r="AS284" s="72"/>
      <c r="AT284" s="72"/>
      <c r="AU284" s="4"/>
      <c r="AV284" s="71">
        <f>24*60*60</f>
        <v>86400</v>
      </c>
      <c r="AW284" s="71">
        <f>2*24*60*60</f>
        <v>172800</v>
      </c>
      <c r="AX284" s="71">
        <f>30*24*60*60</f>
        <v>2592000</v>
      </c>
      <c r="AY284" s="71">
        <f>90*24*60*60</f>
        <v>7776000</v>
      </c>
      <c r="AZ284" s="53"/>
      <c r="BA284" s="53"/>
      <c r="BB284" s="53"/>
      <c r="BC284" s="53"/>
      <c r="BD284" s="53"/>
      <c r="BE284" s="53"/>
      <c r="BF284" s="53"/>
      <c r="BG284" s="53"/>
      <c r="BH284" s="53"/>
      <c r="BI284" s="53"/>
      <c r="BJ284" s="53"/>
      <c r="BK284" s="53"/>
      <c r="BL284" s="53"/>
      <c r="BM284" s="53"/>
      <c r="BN284" s="53"/>
      <c r="BO284" s="53"/>
      <c r="BP284" s="53"/>
      <c r="BQ284" s="53"/>
      <c r="BR284" s="53"/>
      <c r="BS284" s="53"/>
      <c r="BT284" s="53"/>
      <c r="BU284" s="53"/>
      <c r="BV284" s="53"/>
      <c r="BW284" s="53"/>
      <c r="BX284" s="53"/>
      <c r="BY284" s="53"/>
      <c r="BZ284" s="53"/>
      <c r="CA284" s="53"/>
      <c r="CB284" s="53"/>
      <c r="CC284" s="53"/>
      <c r="CD284" s="53"/>
      <c r="CE284" s="53"/>
      <c r="CF284" s="53"/>
      <c r="CG284" s="53"/>
      <c r="CH284" s="53"/>
      <c r="CI284" s="53"/>
      <c r="CJ284" s="53"/>
      <c r="CK284" s="53"/>
      <c r="CL284" s="53"/>
      <c r="CM284" s="53"/>
      <c r="CN284" s="53"/>
      <c r="CO284" s="53"/>
      <c r="CP284" s="53"/>
      <c r="CQ284" s="53"/>
      <c r="CR284" s="1"/>
      <c r="CS284" s="1"/>
      <c r="CT284" s="1"/>
      <c r="CU284" s="1"/>
    </row>
    <row r="285" spans="1:99" s="13" customFormat="1" ht="12" customHeight="1" x14ac:dyDescent="0.2">
      <c r="A285" s="68">
        <v>43509</v>
      </c>
      <c r="B285" s="70" t="s">
        <v>198</v>
      </c>
      <c r="C285" s="70" t="s">
        <v>199</v>
      </c>
      <c r="D285" s="69">
        <v>2006</v>
      </c>
      <c r="E285" s="87">
        <v>1</v>
      </c>
      <c r="F285" s="69">
        <v>22</v>
      </c>
      <c r="G285" s="69">
        <v>22</v>
      </c>
      <c r="H285" s="69" t="s">
        <v>832</v>
      </c>
      <c r="I285" s="69" t="s">
        <v>831</v>
      </c>
      <c r="J285" s="69" t="s">
        <v>313</v>
      </c>
      <c r="K285" s="69">
        <f>IF(J285="syllables",1,IF(J285="trigrams",2,IF(J285="strings",3,IF(J285="visual array",4,IF(J285="characters",5,IF(J285="letters",6,IF(J285="free forms",7,IF(J285="odors",8,IF(J285="words",9,IF(J285="pictures",10,IF(J285="object pictures",11,IF(J285="faces",12,IF(J285="names",13,IF(J285="idioms",14,IF(J285="grades",15,IF(J285="syllable-digit pairs",16,IF(J285="trigram-word pairs",17,IF(J285="word-digit pairs",18,IF(J285="English-Swahili pairs",19,IF(J285="spatial position",20,IF(J285="word pairs",21,IF(J285="word triads",22,IF(J285="generated words",23,IF(J285="word definition pairs",24,IF(J285="math problems",25,IF(J285="famous faces",26,IF(J285="famous names",27,IF(J285="famous voices",28,IF(J285="television programs",29,IF(J285="race horses",30,IF(J285="new vocabulary",31,IF(J285="sentences",32,IF(J285="concepts",33,IF(J285="ad slides",34,IF(J285="scenes",35,IF(J285="famous scenes",36,IF(J285="poems",37,IF(J285="walk",38,IF(J285="faces and events",39,IF(J285="events and names",40,IF(J285="flashbulb",41,IF(J285="stories",42,IF(J285="course material",43,IF(J285="autobiographical",44,IF(J285="novels",45,IF(J285="public events",46,"99"))))))))))))))))))))))))))))))))))))))))))))))</f>
        <v>10</v>
      </c>
      <c r="L285" s="69">
        <f>IF(J285="syllables",1,IF(J285="trigrams",1,IF(J285="strings",1,IF(J285="visual array",1,IF(J285="characters",1,IF(J285="letters",1,IF(J285="free forms",1,IF(J285="odors",2,IF(J285="words",2,IF(J285="pictures",2,IF(J285="object pictures",2,IF(J285="faces",2,IF(J285="names",2,IF(J285="idioms","2",IF(J285="grades",2,IF(J285="syllable-digit pairs",3,IF(J285="trigram-word pairs",3,IF(J285="word-digit pairs",3,IF(J285="English-Swahili pairs",3,IF(J285="spatial position",3,IF(J285="word pairs",4,IF(J285="word triads",4,IF(J285="generated words",4,IF(J285="word definition pairs",4,IF(J285="math problems",4,IF(J285="famous faces",4,IF(J285="famous names",4,IF(J285="famous voices",4,IF(J285="television programs",4,IF(J285="race horses",4,IF(J285="new vocabulary",4,IF(J285="sentences",5,IF(J285="concepts",5,IF(J285="ad slides",5,IF(J285="scenes",5,IF(J285="famous scenes",5,IF(J285="poems",6,IF(J285="walk",6,IF(J285="faces and events",6,IF(J285="events and names",6,IF(J285="flashbulb",7,IF(J285="stories",7,IF(J285="course material",7,IF(J285="autobiographical",7,IF(J285="novels",7,IF(J285="public events",7,"99"))))))))))))))))))))))))))))))))))))))))))))))</f>
        <v>2</v>
      </c>
      <c r="M285" s="69">
        <v>0</v>
      </c>
      <c r="N285" s="69">
        <v>1</v>
      </c>
      <c r="O285" s="69">
        <v>0</v>
      </c>
      <c r="P285" s="69"/>
      <c r="Q285" s="69" t="s">
        <v>34</v>
      </c>
      <c r="R285" s="69">
        <f>IF(Q285="Free Recall",1,IF(Q285="Cued Recall",2,IF(Q285="Recognition",3,IF(Q285="Multiple Choice",4,IF(Q285="Savings",5,IF(Q285="Stem Completion",6,IF(Q285="Fragment Completion",7,IF(Q285="anagram solution",8,IF(Q285="Matching",9,IF(Q285="Problem Solving",10,"99"))))))))))</f>
        <v>3</v>
      </c>
      <c r="S285" s="69" t="s">
        <v>15</v>
      </c>
      <c r="T285" s="92" t="s">
        <v>581</v>
      </c>
      <c r="U285" s="60">
        <f>IF(T285="within",1,0)</f>
        <v>1</v>
      </c>
      <c r="V285" s="92">
        <v>480</v>
      </c>
      <c r="W285" s="69">
        <f>F285*V285</f>
        <v>10560</v>
      </c>
      <c r="X285" s="69">
        <v>4</v>
      </c>
      <c r="Y285" s="87">
        <f>AV284</f>
        <v>86400</v>
      </c>
      <c r="Z285" s="69" t="s">
        <v>179</v>
      </c>
      <c r="AA285" s="69">
        <f>30*24*60*60*3</f>
        <v>7776000</v>
      </c>
      <c r="AB285" s="69" t="str">
        <f>IF(AA285&lt;60,"1",IF(AA285&lt;=43200,"2",IF(AA285&lt;=777600,"3","4")))</f>
        <v>4</v>
      </c>
      <c r="AC285" s="72">
        <f>AVERAGE(AV284:DA284)</f>
        <v>2656800</v>
      </c>
      <c r="AD285" s="69" t="str">
        <f>IF(AC285&lt;60,"1",IF(AC285&lt;=43200,"2",IF(AC285&lt;=777600,"3","4")))</f>
        <v>4</v>
      </c>
      <c r="AE285" s="87">
        <f>AA285-Y285</f>
        <v>7689600</v>
      </c>
      <c r="AF285" s="88">
        <f>AV285</f>
        <v>0.72650000000000003</v>
      </c>
      <c r="AG285" s="72">
        <f>((AW285-AV285)+(AX285-AW285)+(AY285-AX285))/3</f>
        <v>-4.8499999999999988E-2</v>
      </c>
      <c r="AH285" s="4"/>
      <c r="AI285" s="72">
        <f>RSQ(AV285:AY285,AV284:AY284)</f>
        <v>0.82792228611234331</v>
      </c>
      <c r="AJ285" s="110">
        <f>SLOPE(AV285:AY285,AV284:AY284)</f>
        <v>-1.8157240757583008E-8</v>
      </c>
      <c r="AK285" s="72">
        <f>INTERCEPT(AV285:AY285,AV284:AY284)</f>
        <v>0.70786515724474652</v>
      </c>
      <c r="AL285" s="72">
        <f>INDEX(LINEST(LN(AV285:AY285),LN(AV284:AY284),TRUE,TRUE),3,1)</f>
        <v>0.99496338337730517</v>
      </c>
      <c r="AM285" s="72">
        <f>INDEX(LINEST(LN(AV285:AY285),LN(AV284:AY284)),1)</f>
        <v>-5.1106210175642756E-2</v>
      </c>
      <c r="AN285" s="72">
        <f>EXP(INDEX(LINEST(LN(AV285:AY285),LN(AV284:AY284)),1,2))</f>
        <v>1.3101179594747607</v>
      </c>
      <c r="AO285" s="89">
        <f>INDEX(LINEST((AV285:AY285),LN(AV284:AY284),TRUE,TRUE),3,1)</f>
        <v>0.99582791039843455</v>
      </c>
      <c r="AP285" s="89">
        <f>INDEX(LINEST((AV285:AY285),LN(AV284:AY284)),1)</f>
        <v>-3.343242631078177E-2</v>
      </c>
      <c r="AQ285" s="90">
        <f>INDEX(LINEST(LN(AV285:AY285),SQRT(AV284:AY284),TRUE,TRUE),3,1)</f>
        <v>0.95947500562284982</v>
      </c>
      <c r="AR285" s="117">
        <f>INDEX(LINEST(LN(AV285:AY285),SQRT((AV284:AY284))),1)</f>
        <v>-9.2136333265252187E-5</v>
      </c>
      <c r="AS285" s="91">
        <f>INDEX(LINEST(1/(AV285:AY285),1/(SQRT(AV284:AY284)),TRUE,TRUE),3,1)</f>
        <v>0.92386012175704868</v>
      </c>
      <c r="AT285" s="91">
        <f>INDEX(LINEST(1/(AV285:AY285),1/SQRT(AV284:AY284)),1)</f>
        <v>-111.52790062117251</v>
      </c>
      <c r="AU285" s="3"/>
      <c r="AV285" s="73">
        <v>0.72650000000000003</v>
      </c>
      <c r="AW285" s="73">
        <v>0.71450000000000002</v>
      </c>
      <c r="AX285" s="73">
        <v>0.61650000000000005</v>
      </c>
      <c r="AY285" s="73">
        <v>0.58100000000000007</v>
      </c>
      <c r="AZ285" s="53"/>
      <c r="BA285" s="53"/>
      <c r="BB285" s="53"/>
      <c r="BC285" s="53"/>
      <c r="BD285" s="53"/>
      <c r="BE285" s="53"/>
      <c r="BF285" s="53"/>
      <c r="BG285" s="53"/>
      <c r="BH285" s="53"/>
      <c r="BI285" s="53"/>
      <c r="BJ285" s="53"/>
      <c r="BK285" s="53"/>
      <c r="BL285" s="53"/>
      <c r="BM285" s="53"/>
      <c r="BN285" s="53"/>
      <c r="BO285" s="53"/>
      <c r="BP285" s="53"/>
      <c r="BQ285" s="53"/>
      <c r="BR285" s="53"/>
      <c r="BS285" s="53"/>
      <c r="BT285" s="53"/>
      <c r="BU285" s="53"/>
      <c r="BV285" s="53"/>
      <c r="BW285" s="53"/>
      <c r="BX285" s="53"/>
      <c r="BY285" s="53"/>
      <c r="BZ285" s="53"/>
      <c r="CA285" s="53"/>
      <c r="CB285" s="53"/>
      <c r="CC285" s="53"/>
      <c r="CD285" s="53"/>
      <c r="CE285" s="53"/>
      <c r="CF285" s="53"/>
      <c r="CG285" s="53"/>
      <c r="CH285" s="53"/>
      <c r="CI285" s="53"/>
      <c r="CJ285" s="53"/>
      <c r="CK285" s="53"/>
      <c r="CL285" s="53"/>
      <c r="CM285" s="53"/>
      <c r="CN285" s="53"/>
      <c r="CO285" s="53"/>
      <c r="CP285" s="53"/>
      <c r="CQ285" s="53"/>
      <c r="CR285" s="1"/>
      <c r="CS285" s="1"/>
      <c r="CT285" s="1"/>
      <c r="CU285" s="1"/>
    </row>
    <row r="286" spans="1:99" s="13" customFormat="1" ht="12" customHeight="1" x14ac:dyDescent="0.2">
      <c r="A286" s="65">
        <v>43900</v>
      </c>
      <c r="B286" s="1"/>
      <c r="C286" s="1"/>
      <c r="D286" s="60"/>
      <c r="E286" s="76"/>
      <c r="F286" s="60"/>
      <c r="G286" s="60"/>
      <c r="H286" s="60"/>
      <c r="I286" s="60"/>
      <c r="J286" s="60"/>
      <c r="K286" s="64"/>
      <c r="L286" s="64"/>
      <c r="M286" s="60"/>
      <c r="N286" s="60"/>
      <c r="O286" s="60"/>
      <c r="P286" s="60"/>
      <c r="Q286" s="60"/>
      <c r="R286" s="60"/>
      <c r="S286" s="60"/>
      <c r="T286" s="60"/>
      <c r="U286" s="60"/>
      <c r="V286" s="60"/>
      <c r="W286" s="60"/>
      <c r="X286" s="60"/>
      <c r="Y286" s="76"/>
      <c r="Z286" s="60"/>
      <c r="AA286" s="60"/>
      <c r="AB286" s="60"/>
      <c r="AC286" s="56"/>
      <c r="AD286" s="60"/>
      <c r="AE286" s="60"/>
      <c r="AF286" s="80"/>
      <c r="AG286" s="56"/>
      <c r="AH286" s="4"/>
      <c r="AI286" s="56"/>
      <c r="AJ286" s="109"/>
      <c r="AK286" s="56"/>
      <c r="AL286" s="56"/>
      <c r="AM286" s="56"/>
      <c r="AN286" s="56"/>
      <c r="AO286" s="82"/>
      <c r="AP286" s="82"/>
      <c r="AQ286" s="83"/>
      <c r="AR286" s="116"/>
      <c r="AS286" s="84"/>
      <c r="AT286" s="84"/>
      <c r="AU286" s="3"/>
      <c r="AV286" s="25">
        <v>900</v>
      </c>
      <c r="AW286" s="25">
        <v>86400</v>
      </c>
      <c r="AX286" s="25">
        <v>604800</v>
      </c>
      <c r="AY286" s="25">
        <v>2592000</v>
      </c>
      <c r="AZ286" s="53">
        <v>7862400</v>
      </c>
      <c r="BA286" s="53"/>
      <c r="BB286" s="53"/>
      <c r="BC286" s="53"/>
      <c r="BD286" s="53"/>
      <c r="BE286" s="53"/>
      <c r="BF286" s="53"/>
      <c r="BG286" s="53"/>
      <c r="BH286" s="53"/>
      <c r="BI286" s="53"/>
      <c r="BJ286" s="53"/>
      <c r="BK286" s="53"/>
      <c r="BL286" s="53"/>
      <c r="BM286" s="53"/>
      <c r="BN286" s="53"/>
      <c r="BO286" s="53"/>
      <c r="BP286" s="53"/>
      <c r="BQ286" s="53"/>
      <c r="BR286" s="53"/>
      <c r="BS286" s="53"/>
      <c r="BT286" s="53"/>
      <c r="BU286" s="53"/>
      <c r="BV286" s="53"/>
      <c r="BW286" s="53"/>
      <c r="BX286" s="53"/>
      <c r="BY286" s="53"/>
      <c r="BZ286" s="53"/>
      <c r="CA286" s="53"/>
      <c r="CB286" s="53"/>
      <c r="CC286" s="53"/>
      <c r="CD286" s="53"/>
      <c r="CE286" s="53"/>
      <c r="CF286" s="53"/>
      <c r="CG286" s="53"/>
      <c r="CH286" s="53"/>
      <c r="CI286" s="53"/>
      <c r="CJ286" s="53"/>
      <c r="CK286" s="53"/>
      <c r="CL286" s="53"/>
      <c r="CM286" s="53"/>
      <c r="CN286" s="53"/>
      <c r="CO286" s="53"/>
      <c r="CP286" s="53"/>
      <c r="CQ286" s="53"/>
      <c r="CR286" s="1"/>
      <c r="CS286" s="1"/>
      <c r="CT286" s="1"/>
      <c r="CU286" s="1"/>
    </row>
    <row r="287" spans="1:99" s="13" customFormat="1" ht="12" customHeight="1" x14ac:dyDescent="0.2">
      <c r="A287" s="65">
        <v>43900</v>
      </c>
      <c r="B287" s="1" t="s">
        <v>436</v>
      </c>
      <c r="C287" s="1" t="s">
        <v>437</v>
      </c>
      <c r="D287" s="60">
        <v>2012</v>
      </c>
      <c r="E287" s="76">
        <v>1</v>
      </c>
      <c r="F287" s="60">
        <v>58</v>
      </c>
      <c r="G287" s="60">
        <v>58</v>
      </c>
      <c r="H287" s="60" t="s">
        <v>439</v>
      </c>
      <c r="I287" s="60" t="s">
        <v>438</v>
      </c>
      <c r="J287" s="60" t="s">
        <v>313</v>
      </c>
      <c r="K287" s="60">
        <f>IF(J287="syllables",1,IF(J287="trigrams",2,IF(J287="strings",3,IF(J287="visual array",4,IF(J287="characters",5,IF(J287="letters",6,IF(J287="free forms",7,IF(J287="odors",8,IF(J287="words",9,IF(J287="pictures",10,IF(J287="object pictures",11,IF(J287="faces",12,IF(J287="names",13,IF(J287="idioms",14,IF(J287="grades",15,IF(J287="syllable-digit pairs",16,IF(J287="trigram-word pairs",17,IF(J287="word-digit pairs",18,IF(J287="English-Swahili pairs",19,IF(J287="spatial position",20,IF(J287="word pairs",21,IF(J287="word triads",22,IF(J287="generated words",23,IF(J287="word definition pairs",24,IF(J287="math problems",25,IF(J287="famous faces",26,IF(J287="famous names",27,IF(J287="famous voices",28,IF(J287="television programs",29,IF(J287="race horses",30,IF(J287="new vocabulary",31,IF(J287="sentences",32,IF(J287="concepts",33,IF(J287="ad slides",34,IF(J287="scenes",35,IF(J287="famous scenes",36,IF(J287="poems",37,IF(J287="walk",38,IF(J287="faces and events",39,IF(J287="events and names",40,IF(J287="flashbulb",41,IF(J287="stories",42,IF(J287="course material",43,IF(J287="autobiographical",44,IF(J287="novels",45,IF(J287="public events",46,"99"))))))))))))))))))))))))))))))))))))))))))))))</f>
        <v>10</v>
      </c>
      <c r="L287" s="60">
        <f>IF(J287="syllables",1,IF(J287="trigrams",1,IF(J287="strings",1,IF(J287="visual array",1,IF(J287="characters",1,IF(J287="letters",1,IF(J287="free forms",1,IF(J287="odors",2,IF(J287="words",2,IF(J287="pictures",2,IF(J287="object pictures",2,IF(J287="faces",2,IF(J287="names",2,IF(J287="idioms","2",IF(J287="grades",2,IF(J287="syllable-digit pairs",3,IF(J287="trigram-word pairs",3,IF(J287="word-digit pairs",3,IF(J287="English-Swahili pairs",3,IF(J287="spatial position",3,IF(J287="word pairs",4,IF(J287="word triads",4,IF(J287="generated words",4,IF(J287="word definition pairs",4,IF(J287="math problems",4,IF(J287="famous faces",4,IF(J287="famous names",4,IF(J287="famous voices",4,IF(J287="television programs",4,IF(J287="race horses",4,IF(J287="new vocabulary",4,IF(J287="sentences",5,IF(J287="concepts",5,IF(J287="ad slides",5,IF(J287="scenes",5,IF(J287="famous scenes",5,IF(J287="poems",6,IF(J287="walk",6,IF(J287="faces and events",6,IF(J287="events and names",6,IF(J287="flashbulb",7,IF(J287="stories",7,IF(J287="course material",7,IF(J287="autobiographical",7,IF(J287="novels",7,IF(J287="public events",7,"99"))))))))))))))))))))))))))))))))))))))))))))))</f>
        <v>2</v>
      </c>
      <c r="M287" s="60">
        <v>0</v>
      </c>
      <c r="N287" s="60">
        <v>1</v>
      </c>
      <c r="O287" s="60">
        <v>1</v>
      </c>
      <c r="P287" s="60" t="s">
        <v>71</v>
      </c>
      <c r="Q287" s="60" t="s">
        <v>34</v>
      </c>
      <c r="R287" s="60">
        <f>IF(Q287="Free Recall",1,IF(Q287="Cued Recall",2,IF(Q287="Recognition",3,IF(Q287="Multiple Choice",4,IF(Q287="Savings",5,IF(Q287="Stem Completion",6,IF(Q287="Fragment Completion",7,IF(Q287="anagram solution",8,IF(Q287="Matching",9,IF(Q287="Problem Solving",10,"99"))))))))))</f>
        <v>3</v>
      </c>
      <c r="S287" s="60" t="s">
        <v>15</v>
      </c>
      <c r="T287" s="59" t="s">
        <v>581</v>
      </c>
      <c r="U287" s="60">
        <f>IF(T287="within",1,0)</f>
        <v>1</v>
      </c>
      <c r="V287" s="59">
        <v>50</v>
      </c>
      <c r="W287" s="60">
        <f>F287*V287</f>
        <v>2900</v>
      </c>
      <c r="X287" s="60">
        <v>5</v>
      </c>
      <c r="Y287" s="76">
        <f>AV286</f>
        <v>900</v>
      </c>
      <c r="Z287" s="60" t="s">
        <v>440</v>
      </c>
      <c r="AA287" s="60">
        <f>60*60*24*91</f>
        <v>7862400</v>
      </c>
      <c r="AB287" s="60" t="str">
        <f>IF(AA287&lt;60,"1",IF(AA287&lt;=43200,"2",IF(AA287&lt;=777600,"3","4")))</f>
        <v>4</v>
      </c>
      <c r="AC287" s="56">
        <f>AVERAGE(AV286:DA286)</f>
        <v>2229300</v>
      </c>
      <c r="AD287" s="60" t="str">
        <f>IF(AC287&lt;60,"1",IF(AC287&lt;=43200,"2",IF(AC287&lt;=777600,"3","4")))</f>
        <v>4</v>
      </c>
      <c r="AE287" s="76">
        <f>AA287-Y287</f>
        <v>7861500</v>
      </c>
      <c r="AF287" s="80">
        <f>AV287</f>
        <v>0.99</v>
      </c>
      <c r="AG287" s="56">
        <f>((AW287-AV287)+(AX287-AW287)+(AY287-AX287)+(AZ287-AY287))/4</f>
        <v>-7.5000000000000011E-2</v>
      </c>
      <c r="AH287" s="4"/>
      <c r="AI287" s="56">
        <f>RSQ(AV287:AZ287,AV286:AZ286)</f>
        <v>0.66058699596167014</v>
      </c>
      <c r="AJ287" s="109">
        <f>SLOPE(AV287:AZ287,AV286:AZ286)</f>
        <v>-3.1760329212393608E-8</v>
      </c>
      <c r="AK287" s="56">
        <f>INTERCEPT(AV287:AZ287,AV286:AZ286)</f>
        <v>0.90280330191318914</v>
      </c>
      <c r="AL287" s="56">
        <f>INDEX(LINEST(LN(AV287:AZ287),LN(AV286:AZ286),TRUE,TRUE),3,1)</f>
        <v>0.86808276799736428</v>
      </c>
      <c r="AM287" s="56">
        <f>INDEX(LINEST(LN(AV287:AZ287),LN(AV286:AZ286)),1)</f>
        <v>-4.0887134782659061E-2</v>
      </c>
      <c r="AN287" s="56">
        <f>EXP(INDEX(LINEST(LN(AV287:AZ287),LN(AV286:AZ286)),1,2))</f>
        <v>1.3693525838752374</v>
      </c>
      <c r="AO287" s="82">
        <f>INDEX(LINEST((AV287:AZ287),LN(AV286:AZ286),TRUE,TRUE),3,1)</f>
        <v>0.89019129963004962</v>
      </c>
      <c r="AP287" s="82">
        <f>INDEX(LINEST((AV287:AZ287),LN(AV286:AZ286)),1)</f>
        <v>-3.429193857560181E-2</v>
      </c>
      <c r="AQ287" s="83">
        <f>INDEX(LINEST(LN(AV287:AZ287),SQRT(AV286:AZ286),TRUE,TRUE),3,1)</f>
        <v>0.89734462068884824</v>
      </c>
      <c r="AR287" s="116">
        <f>INDEX(LINEST(LN(AV287:AZ287),SQRT((AV286:AZ286))),1)</f>
        <v>-1.3185939323051912E-4</v>
      </c>
      <c r="AS287" s="84">
        <f>INDEX(LINEST(1/(AV287:AZ287),1/(SQRT(AV286:AZ286)),TRUE,TRUE),3,1)</f>
        <v>0.47432959657858992</v>
      </c>
      <c r="AT287" s="84">
        <f>INDEX(LINEST(1/(AV287:AZ287),1/SQRT(AV286:AZ286)),1)</f>
        <v>-9.1913310963058752</v>
      </c>
      <c r="AU287" s="3"/>
      <c r="AV287" s="53">
        <v>0.99</v>
      </c>
      <c r="AW287" s="53">
        <v>0.93</v>
      </c>
      <c r="AX287" s="53">
        <v>0.83</v>
      </c>
      <c r="AY287" s="53">
        <v>0.72</v>
      </c>
      <c r="AZ287" s="53">
        <v>0.69</v>
      </c>
      <c r="BA287" s="53"/>
      <c r="BB287" s="53"/>
      <c r="BC287" s="53"/>
      <c r="BD287" s="53"/>
      <c r="BE287" s="53"/>
      <c r="BF287" s="53"/>
      <c r="BG287" s="53"/>
      <c r="BH287" s="53"/>
      <c r="BI287" s="53"/>
      <c r="BJ287" s="53"/>
      <c r="BK287" s="53"/>
      <c r="BL287" s="53"/>
      <c r="BM287" s="53"/>
      <c r="BN287" s="53"/>
      <c r="BO287" s="53"/>
      <c r="BP287" s="53"/>
      <c r="BQ287" s="53"/>
      <c r="BR287" s="53"/>
      <c r="BS287" s="53"/>
      <c r="BT287" s="53"/>
      <c r="BU287" s="53"/>
      <c r="BV287" s="53"/>
      <c r="BW287" s="53"/>
      <c r="BX287" s="53"/>
      <c r="BY287" s="53"/>
      <c r="BZ287" s="53"/>
      <c r="CA287" s="53"/>
      <c r="CB287" s="53"/>
      <c r="CC287" s="53"/>
      <c r="CD287" s="53"/>
      <c r="CE287" s="53"/>
      <c r="CF287" s="53"/>
      <c r="CG287" s="53"/>
      <c r="CH287" s="53"/>
      <c r="CI287" s="53"/>
      <c r="CJ287" s="53"/>
      <c r="CK287" s="53"/>
      <c r="CL287" s="53"/>
      <c r="CM287" s="53"/>
      <c r="CN287" s="53"/>
      <c r="CO287" s="53"/>
      <c r="CP287" s="53"/>
      <c r="CQ287" s="53"/>
      <c r="CR287" s="1"/>
      <c r="CS287" s="1"/>
      <c r="CT287" s="1"/>
      <c r="CU287" s="1"/>
    </row>
    <row r="288" spans="1:99" ht="12" customHeight="1" x14ac:dyDescent="0.2">
      <c r="A288" s="68">
        <v>43509</v>
      </c>
      <c r="B288" s="94"/>
      <c r="C288" s="94"/>
      <c r="D288" s="92"/>
      <c r="E288" s="105"/>
      <c r="F288" s="92"/>
      <c r="G288" s="92"/>
      <c r="H288" s="92"/>
      <c r="I288" s="92"/>
      <c r="J288" s="92"/>
      <c r="K288" s="107"/>
      <c r="L288" s="107"/>
      <c r="M288" s="92"/>
      <c r="N288" s="92"/>
      <c r="O288" s="92"/>
      <c r="P288" s="92"/>
      <c r="Q288" s="92"/>
      <c r="R288" s="69"/>
      <c r="S288" s="92"/>
      <c r="T288" s="69"/>
      <c r="U288" s="60"/>
      <c r="V288" s="92"/>
      <c r="W288" s="69"/>
      <c r="X288" s="92"/>
      <c r="Y288" s="87"/>
      <c r="Z288" s="92"/>
      <c r="AA288" s="92"/>
      <c r="AB288" s="69"/>
      <c r="AC288" s="69"/>
      <c r="AD288" s="69"/>
      <c r="AE288" s="69"/>
      <c r="AF288" s="88"/>
      <c r="AG288" s="72"/>
      <c r="AH288" s="4"/>
      <c r="AI288" s="119"/>
      <c r="AJ288" s="120"/>
      <c r="AK288" s="119"/>
      <c r="AL288" s="119"/>
      <c r="AM288" s="119"/>
      <c r="AN288" s="119"/>
      <c r="AO288" s="119"/>
      <c r="AP288" s="119"/>
      <c r="AQ288" s="89"/>
      <c r="AR288" s="118"/>
      <c r="AS288" s="89"/>
      <c r="AT288" s="89"/>
      <c r="AU288" s="4"/>
      <c r="AV288" s="98">
        <f>24*3600*100</f>
        <v>8640000</v>
      </c>
      <c r="AW288" s="98">
        <f>24*3600*200</f>
        <v>17280000</v>
      </c>
      <c r="AX288" s="98">
        <f>24*3600*300</f>
        <v>25920000</v>
      </c>
      <c r="AY288" s="98">
        <f>24*3600*400</f>
        <v>34560000</v>
      </c>
      <c r="AZ288" s="98">
        <f>24*3600*500</f>
        <v>43200000</v>
      </c>
      <c r="BA288" s="98">
        <f>24*3600*600</f>
        <v>51840000</v>
      </c>
      <c r="BB288" s="98">
        <f>24*3600*700</f>
        <v>60480000</v>
      </c>
      <c r="BC288" s="98">
        <f>24*3600*800</f>
        <v>69120000</v>
      </c>
      <c r="BD288" s="98">
        <f>24*3600*900</f>
        <v>77760000</v>
      </c>
      <c r="BE288" s="11"/>
      <c r="BF288" s="11"/>
      <c r="BG288" s="11"/>
      <c r="BH288" s="11"/>
      <c r="BI288" s="11"/>
      <c r="BJ288" s="11"/>
      <c r="BK288" s="11"/>
      <c r="BL288" s="11"/>
      <c r="BM288" s="11"/>
      <c r="BN288" s="11"/>
      <c r="BO288" s="11"/>
      <c r="BP288" s="11"/>
      <c r="BQ288" s="11"/>
      <c r="BR288" s="11"/>
      <c r="BS288" s="11"/>
      <c r="BT288" s="11"/>
      <c r="BU288" s="11"/>
      <c r="BV288" s="11"/>
      <c r="BW288" s="11"/>
      <c r="BX288" s="11"/>
      <c r="BY288" s="11"/>
      <c r="BZ288" s="11"/>
      <c r="CA288" s="11"/>
      <c r="CB288" s="11"/>
      <c r="CC288" s="11"/>
      <c r="CD288" s="11"/>
      <c r="CE288" s="11"/>
      <c r="CF288" s="11"/>
      <c r="CG288" s="11"/>
      <c r="CH288" s="11"/>
      <c r="CI288" s="11"/>
      <c r="CJ288" s="11"/>
      <c r="CK288" s="11"/>
      <c r="CL288" s="11"/>
      <c r="CM288" s="11"/>
      <c r="CN288" s="11"/>
      <c r="CO288" s="11"/>
      <c r="CP288" s="11"/>
      <c r="CQ288" s="11"/>
      <c r="CR288" s="15"/>
      <c r="CS288" s="15"/>
      <c r="CT288" s="15"/>
      <c r="CU288" s="15"/>
    </row>
    <row r="289" spans="1:99" ht="12" customHeight="1" x14ac:dyDescent="0.2">
      <c r="A289" s="68">
        <v>43509</v>
      </c>
      <c r="B289" s="94" t="s">
        <v>263</v>
      </c>
      <c r="C289" s="94" t="s">
        <v>139</v>
      </c>
      <c r="D289" s="92">
        <v>1996</v>
      </c>
      <c r="E289" s="105">
        <v>1</v>
      </c>
      <c r="F289" s="92">
        <v>6</v>
      </c>
      <c r="G289" s="92">
        <v>6</v>
      </c>
      <c r="H289" s="92" t="s">
        <v>837</v>
      </c>
      <c r="I289" s="92" t="s">
        <v>719</v>
      </c>
      <c r="J289" s="92" t="s">
        <v>622</v>
      </c>
      <c r="K289" s="69">
        <f>IF(J289="syllables",1,IF(J289="trigrams",2,IF(J289="strings",3,IF(J289="visual array",4,IF(J289="characters",5,IF(J289="letters",6,IF(J289="free forms",7,IF(J289="odors",8,IF(J289="words",9,IF(J289="pictures",10,IF(J289="object pictures",11,IF(J289="faces",12,IF(J289="names",13,IF(J289="idioms",14,IF(J289="grades",15,IF(J289="syllable-digit pairs",16,IF(J289="trigram-word pairs",17,IF(J289="word-digit pairs",18,IF(J289="English-Swahili pairs",19,IF(J289="spatial position",20,IF(J289="word pairs",21,IF(J289="word triads",22,IF(J289="generated words",23,IF(J289="word definition pairs",24,IF(J289="math problems",25,IF(J289="famous faces",26,IF(J289="famous names",27,IF(J289="famous voices",28,IF(J289="television programs",29,IF(J289="race horses",30,IF(J289="new vocabulary",31,IF(J289="sentences",32,IF(J289="concepts",33,IF(J289="ad slides",34,IF(J289="scenes",35,IF(J289="famous scenes",36,IF(J289="poems",37,IF(J289="walk",38,IF(J289="faces and events",39,IF(J289="events and names",40,IF(J289="flashbulb",41,IF(J289="stories",42,IF(J289="course material",43,IF(J289="autobiographical",44,IF(J289="novels",45,IF(J289="public events",46,"99"))))))))))))))))))))))))))))))))))))))))))))))</f>
        <v>44</v>
      </c>
      <c r="L289" s="69">
        <f>IF(J289="syllables",1,IF(J289="trigrams",1,IF(J289="strings",1,IF(J289="visual array",1,IF(J289="characters",1,IF(J289="letters",1,IF(J289="free forms",1,IF(J289="odors",2,IF(J289="words",2,IF(J289="pictures",2,IF(J289="object pictures",2,IF(J289="faces",2,IF(J289="names",2,IF(J289="idioms","2",IF(J289="grades",2,IF(J289="syllable-digit pairs",3,IF(J289="trigram-word pairs",3,IF(J289="word-digit pairs",3,IF(J289="English-Swahili pairs",3,IF(J289="spatial position",3,IF(J289="word pairs",4,IF(J289="word triads",4,IF(J289="generated words",4,IF(J289="word definition pairs",4,IF(J289="math problems",4,IF(J289="famous faces",4,IF(J289="famous names",4,IF(J289="famous voices",4,IF(J289="television programs",4,IF(J289="race horses",4,IF(J289="new vocabulary",4,IF(J289="sentences",5,IF(J289="concepts",5,IF(J289="ad slides",5,IF(J289="scenes",5,IF(J289="famous scenes",5,IF(J289="poems",6,IF(J289="walk",6,IF(J289="faces and events",6,IF(J289="events and names",6,IF(J289="flashbulb",7,IF(J289="stories",7,IF(J289="course material",7,IF(J289="autobiographical",7,IF(J289="novels",7,IF(J289="public events",7,"99"))))))))))))))))))))))))))))))))))))))))))))))</f>
        <v>7</v>
      </c>
      <c r="M289" s="92">
        <v>0</v>
      </c>
      <c r="N289" s="92">
        <v>3</v>
      </c>
      <c r="O289" s="92">
        <v>0</v>
      </c>
      <c r="P289" s="92"/>
      <c r="Q289" s="92" t="s">
        <v>174</v>
      </c>
      <c r="R289" s="69">
        <f>IF(Q289="Free Recall",1,IF(Q289="Cued Recall",2,IF(Q289="Recognition",3,IF(Q289="Multiple Choice",4,IF(Q289="Savings",5,IF(Q289="Stem Completion",6,IF(Q289="Fragment Completion",7,IF(Q289="anagram solution",8,IF(Q289="Matching",9,IF(Q289="Problem Solving",10,"99"))))))))))</f>
        <v>1</v>
      </c>
      <c r="S289" s="69" t="s">
        <v>49</v>
      </c>
      <c r="T289" s="92" t="s">
        <v>581</v>
      </c>
      <c r="U289" s="60">
        <f>IF(T289="within",1,0)</f>
        <v>1</v>
      </c>
      <c r="V289" s="92">
        <v>800</v>
      </c>
      <c r="W289" s="69">
        <f>F289*V289</f>
        <v>4800</v>
      </c>
      <c r="X289" s="92">
        <v>9</v>
      </c>
      <c r="Y289" s="87">
        <f>AV288</f>
        <v>8640000</v>
      </c>
      <c r="Z289" s="92" t="s">
        <v>264</v>
      </c>
      <c r="AA289" s="92">
        <f>24*3600*900</f>
        <v>77760000</v>
      </c>
      <c r="AB289" s="69" t="str">
        <f>IF(AA289&lt;60,"1",IF(AA289&lt;=43200,"2",IF(AA289&lt;=777600,"3","4")))</f>
        <v>4</v>
      </c>
      <c r="AC289" s="72">
        <f>AVERAGE(AV288:DA288)</f>
        <v>43200000</v>
      </c>
      <c r="AD289" s="69" t="str">
        <f>IF(AC289&lt;60,"1",IF(AC289&lt;=43200,"2",IF(AC289&lt;=777600,"3","4")))</f>
        <v>4</v>
      </c>
      <c r="AE289" s="87">
        <f>AA289-Y289</f>
        <v>69120000</v>
      </c>
      <c r="AF289" s="88">
        <f>AV289</f>
        <v>0.89</v>
      </c>
      <c r="AG289" s="72">
        <f>((AW289-AV289)+(AX289-AW289)+(AY289-AX289)+(AZ289-AY289)+(BA289-AZ289)+(BB289-BA289)+(BC289-BB289)+(BD289-BC289))/8</f>
        <v>-2.1250000000000005E-2</v>
      </c>
      <c r="AH289" s="4"/>
      <c r="AI289" s="72">
        <f>RSQ(AV289:BD289,AV288:BD288)</f>
        <v>0.93815136476426819</v>
      </c>
      <c r="AJ289" s="110">
        <f>SLOPE(AV289:BD289,AV288:BD288)</f>
        <v>-2.7391975308641979E-9</v>
      </c>
      <c r="AK289" s="72">
        <f>INTERCEPT(AV289:BD289,AV288:BD288)</f>
        <v>0.93277777777777771</v>
      </c>
      <c r="AL289" s="72">
        <f>INDEX(LINEST(LN(AV289:BD289),LN(AV288:BD288),TRUE,TRUE),3,1)</f>
        <v>0.7939709930816673</v>
      </c>
      <c r="AM289" s="72">
        <f>INDEX(LINEST(LN(AV289:BD289),LN(AV288:BD288)),1)</f>
        <v>-0.10246600971556949</v>
      </c>
      <c r="AN289" s="72">
        <f>EXP(INDEX(LINEST(LN(AV289:BD289),LN(AV288:BD288)),1,2))</f>
        <v>4.8261679281908272</v>
      </c>
      <c r="AO289" s="89">
        <f>INDEX(LINEST((AV289:BD289),LN(AV288:BD288),TRUE,TRUE),3,1)</f>
        <v>0.80567729138487965</v>
      </c>
      <c r="AP289" s="89">
        <f>INDEX(LINEST((AV289:BD289),LN(AV288:BD288)),1)</f>
        <v>-8.3507350996017651E-2</v>
      </c>
      <c r="AQ289" s="90">
        <f>INDEX(LINEST(LN(AV289:BD289),SQRT(AV288:BD288),TRUE,TRUE),3,1)</f>
        <v>0.88948878152732236</v>
      </c>
      <c r="AR289" s="117">
        <f>INDEX(LINEST(LN(AV289:BD289),SQRT((AV288:BD288))),1)</f>
        <v>-3.9635890701677218E-5</v>
      </c>
      <c r="AS289" s="91">
        <f>INDEX(LINEST(1/(AV289:BD289),1/(SQRT(AV288:BD288)),TRUE,TRUE),3,1)</f>
        <v>0.64854430843874911</v>
      </c>
      <c r="AT289" s="91">
        <f>INDEX(LINEST(1/(AV289:BD289),1/SQRT(AV288:BD288)),1)</f>
        <v>-1131.0444085441879</v>
      </c>
      <c r="AU289" s="3"/>
      <c r="AV289" s="97">
        <v>0.89</v>
      </c>
      <c r="AW289" s="97">
        <v>0.91</v>
      </c>
      <c r="AX289" s="97">
        <v>0.85</v>
      </c>
      <c r="AY289" s="97">
        <v>0.83</v>
      </c>
      <c r="AZ289" s="121">
        <v>0.84</v>
      </c>
      <c r="BA289" s="97">
        <v>0.8</v>
      </c>
      <c r="BB289" s="97">
        <v>0.75</v>
      </c>
      <c r="BC289" s="97">
        <v>0.74</v>
      </c>
      <c r="BD289" s="97">
        <v>0.72</v>
      </c>
      <c r="BE289" s="11"/>
      <c r="BF289" s="11"/>
      <c r="BG289" s="11"/>
      <c r="BH289" s="11"/>
      <c r="BI289" s="11"/>
      <c r="BJ289" s="11"/>
      <c r="BK289" s="11"/>
      <c r="BL289" s="11"/>
      <c r="BM289" s="11"/>
      <c r="BN289" s="11"/>
      <c r="BO289" s="11"/>
      <c r="BP289" s="11"/>
      <c r="BQ289" s="11"/>
      <c r="BR289" s="11"/>
      <c r="BS289" s="11"/>
      <c r="BT289" s="11"/>
      <c r="BU289" s="11"/>
      <c r="BV289" s="11"/>
      <c r="BW289" s="11"/>
      <c r="BX289" s="11"/>
      <c r="BY289" s="11"/>
      <c r="BZ289" s="11"/>
      <c r="CA289" s="11"/>
      <c r="CB289" s="11"/>
      <c r="CC289" s="11"/>
      <c r="CD289" s="11"/>
      <c r="CE289" s="11"/>
      <c r="CF289" s="11"/>
      <c r="CG289" s="11"/>
      <c r="CH289" s="11"/>
      <c r="CI289" s="11"/>
      <c r="CJ289" s="11"/>
      <c r="CK289" s="11"/>
      <c r="CL289" s="11"/>
      <c r="CM289" s="11"/>
      <c r="CN289" s="11"/>
      <c r="CO289" s="11"/>
      <c r="CP289" s="11"/>
      <c r="CQ289" s="11"/>
      <c r="CR289" s="15"/>
      <c r="CS289" s="15"/>
      <c r="CT289" s="15"/>
      <c r="CU289" s="15"/>
    </row>
    <row r="290" spans="1:99" ht="12" customHeight="1" x14ac:dyDescent="0.2">
      <c r="A290" s="68">
        <v>43509</v>
      </c>
      <c r="B290" s="94"/>
      <c r="C290" s="94"/>
      <c r="D290" s="92"/>
      <c r="E290" s="105"/>
      <c r="F290" s="92"/>
      <c r="G290" s="92"/>
      <c r="H290" s="92"/>
      <c r="I290" s="92"/>
      <c r="J290" s="92"/>
      <c r="K290" s="107"/>
      <c r="L290" s="107"/>
      <c r="M290" s="92"/>
      <c r="N290" s="92"/>
      <c r="O290" s="92"/>
      <c r="P290" s="92"/>
      <c r="Q290" s="92"/>
      <c r="R290" s="69"/>
      <c r="S290" s="69"/>
      <c r="T290" s="69"/>
      <c r="U290" s="60"/>
      <c r="V290" s="92"/>
      <c r="W290" s="69"/>
      <c r="X290" s="92"/>
      <c r="Y290" s="87"/>
      <c r="Z290" s="92"/>
      <c r="AA290" s="92"/>
      <c r="AB290" s="69"/>
      <c r="AC290" s="69"/>
      <c r="AD290" s="69"/>
      <c r="AE290" s="69"/>
      <c r="AF290" s="88"/>
      <c r="AG290" s="72"/>
      <c r="AH290" s="4"/>
      <c r="AI290" s="119"/>
      <c r="AJ290" s="120"/>
      <c r="AK290" s="119"/>
      <c r="AL290" s="119"/>
      <c r="AM290" s="119"/>
      <c r="AN290" s="119"/>
      <c r="AO290" s="119"/>
      <c r="AP290" s="119"/>
      <c r="AQ290" s="89"/>
      <c r="AR290" s="118"/>
      <c r="AS290" s="89"/>
      <c r="AT290" s="89"/>
      <c r="AU290" s="4"/>
      <c r="AV290" s="98">
        <f>24*3600*100</f>
        <v>8640000</v>
      </c>
      <c r="AW290" s="98">
        <f>24*3600*200</f>
        <v>17280000</v>
      </c>
      <c r="AX290" s="98">
        <f>24*3600*300</f>
        <v>25920000</v>
      </c>
      <c r="AY290" s="98">
        <f>24*3600*400</f>
        <v>34560000</v>
      </c>
      <c r="AZ290" s="98">
        <f>24*3600*500</f>
        <v>43200000</v>
      </c>
      <c r="BA290" s="98">
        <f>24*3600*600</f>
        <v>51840000</v>
      </c>
      <c r="BB290" s="98">
        <f>24*3600*700</f>
        <v>60480000</v>
      </c>
      <c r="BC290" s="98">
        <f>24*3600*800</f>
        <v>69120000</v>
      </c>
      <c r="BD290" s="98">
        <f>24*3600*900</f>
        <v>77760000</v>
      </c>
      <c r="BE290" s="11"/>
      <c r="BF290" s="11"/>
      <c r="BG290" s="11"/>
      <c r="BH290" s="11"/>
      <c r="BI290" s="11"/>
      <c r="BJ290" s="11"/>
      <c r="BK290" s="11"/>
      <c r="BL290" s="11"/>
      <c r="BM290" s="11"/>
      <c r="BN290" s="11"/>
      <c r="BO290" s="11"/>
      <c r="BP290" s="11"/>
      <c r="BQ290" s="11"/>
      <c r="BR290" s="11"/>
      <c r="BS290" s="11"/>
      <c r="BT290" s="11"/>
      <c r="BU290" s="11"/>
      <c r="BV290" s="11"/>
      <c r="BW290" s="11"/>
      <c r="BX290" s="11"/>
      <c r="BY290" s="11"/>
      <c r="BZ290" s="11"/>
      <c r="CA290" s="11"/>
      <c r="CB290" s="11"/>
      <c r="CC290" s="11"/>
      <c r="CD290" s="11"/>
      <c r="CE290" s="11"/>
      <c r="CF290" s="11"/>
      <c r="CG290" s="11"/>
      <c r="CH290" s="11"/>
      <c r="CI290" s="11"/>
      <c r="CJ290" s="11"/>
      <c r="CK290" s="11"/>
      <c r="CL290" s="11"/>
      <c r="CM290" s="11"/>
      <c r="CN290" s="11"/>
      <c r="CO290" s="11"/>
      <c r="CP290" s="11"/>
      <c r="CQ290" s="11"/>
      <c r="CR290" s="15"/>
      <c r="CS290" s="15"/>
      <c r="CT290" s="15"/>
      <c r="CU290" s="15"/>
    </row>
    <row r="291" spans="1:99" ht="12" customHeight="1" x14ac:dyDescent="0.2">
      <c r="A291" s="68">
        <v>43509</v>
      </c>
      <c r="B291" s="94" t="s">
        <v>263</v>
      </c>
      <c r="C291" s="94" t="s">
        <v>139</v>
      </c>
      <c r="D291" s="92">
        <v>1996</v>
      </c>
      <c r="E291" s="105">
        <v>1</v>
      </c>
      <c r="F291" s="92">
        <v>6</v>
      </c>
      <c r="G291" s="92">
        <v>6</v>
      </c>
      <c r="H291" s="92" t="s">
        <v>837</v>
      </c>
      <c r="I291" s="92" t="s">
        <v>720</v>
      </c>
      <c r="J291" s="92" t="s">
        <v>622</v>
      </c>
      <c r="K291" s="69">
        <f>IF(J291="syllables",1,IF(J291="trigrams",2,IF(J291="strings",3,IF(J291="visual array",4,IF(J291="characters",5,IF(J291="letters",6,IF(J291="free forms",7,IF(J291="odors",8,IF(J291="words",9,IF(J291="pictures",10,IF(J291="object pictures",11,IF(J291="faces",12,IF(J291="names",13,IF(J291="idioms",14,IF(J291="grades",15,IF(J291="syllable-digit pairs",16,IF(J291="trigram-word pairs",17,IF(J291="word-digit pairs",18,IF(J291="English-Swahili pairs",19,IF(J291="spatial position",20,IF(J291="word pairs",21,IF(J291="word triads",22,IF(J291="generated words",23,IF(J291="word definition pairs",24,IF(J291="math problems",25,IF(J291="famous faces",26,IF(J291="famous names",27,IF(J291="famous voices",28,IF(J291="television programs",29,IF(J291="race horses",30,IF(J291="new vocabulary",31,IF(J291="sentences",32,IF(J291="concepts",33,IF(J291="ad slides",34,IF(J291="scenes",35,IF(J291="famous scenes",36,IF(J291="poems",37,IF(J291="walk",38,IF(J291="faces and events",39,IF(J291="events and names",40,IF(J291="flashbulb",41,IF(J291="stories",42,IF(J291="course material",43,IF(J291="autobiographical",44,IF(J291="novels",45,IF(J291="public events",46,"99"))))))))))))))))))))))))))))))))))))))))))))))</f>
        <v>44</v>
      </c>
      <c r="L291" s="69">
        <f>IF(J291="syllables",1,IF(J291="trigrams",1,IF(J291="strings",1,IF(J291="visual array",1,IF(J291="characters",1,IF(J291="letters",1,IF(J291="free forms",1,IF(J291="odors",2,IF(J291="words",2,IF(J291="pictures",2,IF(J291="object pictures",2,IF(J291="faces",2,IF(J291="names",2,IF(J291="idioms","2",IF(J291="grades",2,IF(J291="syllable-digit pairs",3,IF(J291="trigram-word pairs",3,IF(J291="word-digit pairs",3,IF(J291="English-Swahili pairs",3,IF(J291="spatial position",3,IF(J291="word pairs",4,IF(J291="word triads",4,IF(J291="generated words",4,IF(J291="word definition pairs",4,IF(J291="math problems",4,IF(J291="famous faces",4,IF(J291="famous names",4,IF(J291="famous voices",4,IF(J291="television programs",4,IF(J291="race horses",4,IF(J291="new vocabulary",4,IF(J291="sentences",5,IF(J291="concepts",5,IF(J291="ad slides",5,IF(J291="scenes",5,IF(J291="famous scenes",5,IF(J291="poems",6,IF(J291="walk",6,IF(J291="faces and events",6,IF(J291="events and names",6,IF(J291="flashbulb",7,IF(J291="stories",7,IF(J291="course material",7,IF(J291="autobiographical",7,IF(J291="novels",7,IF(J291="public events",7,"99"))))))))))))))))))))))))))))))))))))))))))))))</f>
        <v>7</v>
      </c>
      <c r="M291" s="92">
        <v>0</v>
      </c>
      <c r="N291" s="92">
        <v>3</v>
      </c>
      <c r="O291" s="92">
        <v>0</v>
      </c>
      <c r="P291" s="92"/>
      <c r="Q291" s="92" t="s">
        <v>174</v>
      </c>
      <c r="R291" s="69">
        <f>IF(Q291="Free Recall",1,IF(Q291="Cued Recall",2,IF(Q291="Recognition",3,IF(Q291="Multiple Choice",4,IF(Q291="Savings",5,IF(Q291="Stem Completion",6,IF(Q291="Fragment Completion",7,IF(Q291="anagram solution",8,IF(Q291="Matching",9,IF(Q291="Problem Solving",10,"99"))))))))))</f>
        <v>1</v>
      </c>
      <c r="S291" s="69" t="s">
        <v>49</v>
      </c>
      <c r="T291" s="92" t="s">
        <v>581</v>
      </c>
      <c r="U291" s="60">
        <f>IF(T291="within",1,0)</f>
        <v>1</v>
      </c>
      <c r="V291" s="92">
        <v>800</v>
      </c>
      <c r="W291" s="69">
        <f>F291*V291</f>
        <v>4800</v>
      </c>
      <c r="X291" s="92">
        <v>9</v>
      </c>
      <c r="Y291" s="87">
        <f>AV290</f>
        <v>8640000</v>
      </c>
      <c r="Z291" s="92" t="s">
        <v>264</v>
      </c>
      <c r="AA291" s="92">
        <f>24*3600*900</f>
        <v>77760000</v>
      </c>
      <c r="AB291" s="69" t="str">
        <f>IF(AA291&lt;60,"1",IF(AA291&lt;=43200,"2",IF(AA291&lt;=777600,"3","4")))</f>
        <v>4</v>
      </c>
      <c r="AC291" s="72">
        <f>AVERAGE(AV290:DA290)</f>
        <v>43200000</v>
      </c>
      <c r="AD291" s="69" t="str">
        <f>IF(AC291&lt;60,"1",IF(AC291&lt;=43200,"2",IF(AC291&lt;=777600,"3","4")))</f>
        <v>4</v>
      </c>
      <c r="AE291" s="87">
        <f>AA291-Y291</f>
        <v>69120000</v>
      </c>
      <c r="AF291" s="88">
        <f>AV291</f>
        <v>0.89500000000000002</v>
      </c>
      <c r="AG291" s="72">
        <f>((AW291-AV291)+(AX291-AW291)+(AY291-AX291)+(AZ291-AY291)+(BA291-AZ291)+(BB291-BA291)+(BC291-BB291)+(BD291-BC291))/8</f>
        <v>-3.9375000000000007E-2</v>
      </c>
      <c r="AH291" s="4"/>
      <c r="AI291" s="72">
        <f>RSQ(AV291:BD291,AV290:BD290)</f>
        <v>0.79097475115319249</v>
      </c>
      <c r="AJ291" s="110">
        <f>SLOPE(AV291:BD291,AV290:BD290)</f>
        <v>-3.4818672839506179E-9</v>
      </c>
      <c r="AK291" s="72">
        <f>INTERCEPT(AV291:BD291,AV290:BD290)</f>
        <v>0.94041666666666668</v>
      </c>
      <c r="AL291" s="72">
        <f>INDEX(LINEST(LN(AV291:BD291),LN(AV290:BD290),TRUE,TRUE),3,1)</f>
        <v>0.58102530099277838</v>
      </c>
      <c r="AM291" s="72">
        <f>INDEX(LINEST(LN(AV291:BD291),LN(AV290:BD290)),1)</f>
        <v>-0.13558694942411967</v>
      </c>
      <c r="AN291" s="72">
        <f>EXP(INDEX(LINEST(LN(AV291:BD291),LN(AV290:BD290)),1,2))</f>
        <v>8.296800075574291</v>
      </c>
      <c r="AO291" s="89">
        <f>INDEX(LINEST((AV291:BD291),LN(AV290:BD290),TRUE,TRUE),3,1)</f>
        <v>0.64736460223891035</v>
      </c>
      <c r="AP291" s="89">
        <f>INDEX(LINEST((AV291:BD291),LN(AV290:BD290)),1)</f>
        <v>-0.10362454319572602</v>
      </c>
      <c r="AQ291" s="90">
        <f>INDEX(LINEST(LN(AV291:BD291),SQRT(AV290:BD290),TRUE,TRUE),3,1)</f>
        <v>0.67071979274817617</v>
      </c>
      <c r="AR291" s="117">
        <f>INDEX(LINEST(LN(AV291:BD291),SQRT((AV290:BD290))),1)</f>
        <v>-5.3239235121203983E-5</v>
      </c>
      <c r="AS291" s="91">
        <f>INDEX(LINEST(1/(AV291:BD291),1/(SQRT(AV290:BD290)),TRUE,TRUE),3,1)</f>
        <v>0.41718539933984577</v>
      </c>
      <c r="AT291" s="91">
        <f>INDEX(LINEST(1/(AV291:BD291),1/SQRT(AV290:BD290)),1)</f>
        <v>-1591.4711049288962</v>
      </c>
      <c r="AU291" s="3"/>
      <c r="AV291" s="97">
        <v>0.89500000000000002</v>
      </c>
      <c r="AW291" s="97">
        <v>0.88</v>
      </c>
      <c r="AX291" s="97">
        <v>0.83</v>
      </c>
      <c r="AY291" s="97">
        <v>0.82499999999999996</v>
      </c>
      <c r="AZ291" s="97">
        <v>0.79</v>
      </c>
      <c r="BA291" s="97">
        <v>0.8</v>
      </c>
      <c r="BB291" s="97">
        <v>0.75</v>
      </c>
      <c r="BC291" s="97">
        <v>0.76</v>
      </c>
      <c r="BD291" s="97">
        <v>0.57999999999999996</v>
      </c>
      <c r="BE291" s="11"/>
      <c r="BF291" s="11"/>
      <c r="BG291" s="11"/>
      <c r="BH291" s="11"/>
      <c r="BI291" s="11"/>
      <c r="BJ291" s="11"/>
      <c r="BK291" s="11"/>
      <c r="BL291" s="11"/>
      <c r="BM291" s="11"/>
      <c r="BN291" s="11"/>
      <c r="BO291" s="11"/>
      <c r="BP291" s="11"/>
      <c r="BQ291" s="11"/>
      <c r="BR291" s="11"/>
      <c r="BS291" s="11"/>
      <c r="BT291" s="11"/>
      <c r="BU291" s="11"/>
      <c r="BV291" s="11"/>
      <c r="BW291" s="11"/>
      <c r="BX291" s="11"/>
      <c r="BY291" s="11"/>
      <c r="BZ291" s="11"/>
      <c r="CA291" s="11"/>
      <c r="CB291" s="11"/>
      <c r="CC291" s="11"/>
      <c r="CD291" s="11"/>
      <c r="CE291" s="11"/>
      <c r="CF291" s="11"/>
      <c r="CG291" s="11"/>
      <c r="CH291" s="11"/>
      <c r="CI291" s="11"/>
      <c r="CJ291" s="11"/>
      <c r="CK291" s="11"/>
      <c r="CL291" s="11"/>
      <c r="CM291" s="11"/>
      <c r="CN291" s="11"/>
      <c r="CO291" s="11"/>
      <c r="CP291" s="11"/>
      <c r="CQ291" s="11"/>
      <c r="CR291" s="15"/>
      <c r="CS291" s="15"/>
      <c r="CT291" s="15"/>
      <c r="CU291" s="15"/>
    </row>
    <row r="292" spans="1:99" ht="12" customHeight="1" x14ac:dyDescent="0.2">
      <c r="A292" s="65">
        <v>43979</v>
      </c>
      <c r="B292" s="15"/>
      <c r="C292" s="15"/>
      <c r="D292" s="59"/>
      <c r="E292" s="75"/>
      <c r="F292" s="59"/>
      <c r="G292" s="59"/>
      <c r="H292" s="59"/>
      <c r="I292" s="59"/>
      <c r="J292" s="59"/>
      <c r="K292" s="60"/>
      <c r="L292" s="60"/>
      <c r="M292" s="59"/>
      <c r="N292" s="59"/>
      <c r="O292" s="59"/>
      <c r="P292" s="59"/>
      <c r="Q292" s="59"/>
      <c r="R292" s="60"/>
      <c r="S292" s="60"/>
      <c r="T292" s="59"/>
      <c r="U292" s="60"/>
      <c r="V292" s="59"/>
      <c r="W292" s="60"/>
      <c r="X292" s="59"/>
      <c r="Y292" s="76"/>
      <c r="Z292" s="59"/>
      <c r="AA292" s="59"/>
      <c r="AB292" s="60"/>
      <c r="AC292" s="56"/>
      <c r="AD292" s="60"/>
      <c r="AE292" s="76"/>
      <c r="AF292" s="80"/>
      <c r="AG292" s="56"/>
      <c r="AH292" s="4"/>
      <c r="AI292" s="56"/>
      <c r="AJ292" s="109"/>
      <c r="AK292" s="56"/>
      <c r="AL292" s="56"/>
      <c r="AM292" s="56"/>
      <c r="AN292" s="56"/>
      <c r="AO292" s="82"/>
      <c r="AP292" s="82"/>
      <c r="AQ292" s="83"/>
      <c r="AR292" s="116"/>
      <c r="AS292" s="84"/>
      <c r="AT292" s="84"/>
      <c r="AU292" s="3"/>
      <c r="AV292" s="47">
        <f>60*60*24*15</f>
        <v>1296000</v>
      </c>
      <c r="AW292" s="47">
        <f>60*60*24*(365/2)</f>
        <v>15768000</v>
      </c>
      <c r="AX292" s="47">
        <f>60*60*24*365*9</f>
        <v>283824000</v>
      </c>
      <c r="AY292" s="47">
        <f>60*60*24*365*12</f>
        <v>378432000</v>
      </c>
      <c r="AZ292" s="47">
        <f>60*60*24*365*22</f>
        <v>693792000</v>
      </c>
      <c r="BA292" s="11"/>
      <c r="BB292" s="11"/>
      <c r="BC292" s="11"/>
      <c r="BD292" s="11"/>
      <c r="BE292" s="11"/>
      <c r="BF292" s="11"/>
      <c r="BG292" s="11"/>
      <c r="BH292" s="11"/>
      <c r="BI292" s="11"/>
      <c r="BJ292" s="11"/>
      <c r="BK292" s="11"/>
      <c r="BL292" s="11"/>
      <c r="BM292" s="11"/>
      <c r="BN292" s="11"/>
      <c r="BO292" s="11"/>
      <c r="BP292" s="11"/>
      <c r="BQ292" s="11"/>
      <c r="BR292" s="11"/>
      <c r="BS292" s="11"/>
      <c r="BT292" s="11"/>
      <c r="BU292" s="11"/>
      <c r="BV292" s="11"/>
      <c r="BW292" s="11"/>
      <c r="BX292" s="11"/>
      <c r="BY292" s="11"/>
      <c r="BZ292" s="11"/>
      <c r="CA292" s="11"/>
      <c r="CB292" s="11"/>
      <c r="CC292" s="11"/>
      <c r="CD292" s="11"/>
      <c r="CE292" s="11"/>
      <c r="CF292" s="11"/>
      <c r="CG292" s="11"/>
      <c r="CH292" s="11"/>
      <c r="CI292" s="11"/>
      <c r="CJ292" s="11"/>
      <c r="CK292" s="11"/>
      <c r="CL292" s="11"/>
      <c r="CM292" s="11"/>
      <c r="CN292" s="11"/>
      <c r="CO292" s="11"/>
      <c r="CP292" s="11"/>
      <c r="CQ292" s="11"/>
      <c r="CR292" s="15"/>
      <c r="CS292" s="15"/>
      <c r="CT292" s="15"/>
      <c r="CU292" s="15"/>
    </row>
    <row r="293" spans="1:99" ht="12" customHeight="1" x14ac:dyDescent="0.2">
      <c r="A293" s="65">
        <v>43979</v>
      </c>
      <c r="B293" s="15" t="s">
        <v>1013</v>
      </c>
      <c r="C293" s="15" t="s">
        <v>405</v>
      </c>
      <c r="D293" s="59">
        <v>2011</v>
      </c>
      <c r="E293" s="75">
        <v>1</v>
      </c>
      <c r="F293" s="59">
        <v>15</v>
      </c>
      <c r="G293" s="59">
        <v>15</v>
      </c>
      <c r="H293" s="59" t="s">
        <v>792</v>
      </c>
      <c r="I293" s="59" t="s">
        <v>330</v>
      </c>
      <c r="J293" s="59" t="s">
        <v>622</v>
      </c>
      <c r="K293" s="60">
        <f>IF(J293="syllables",1,IF(J293="trigrams",2,IF(J293="strings",3,IF(J293="visual array",4,IF(J293="characters",5,IF(J293="letters",6,IF(J293="free forms",7,IF(J293="odors",8,IF(J293="words",9,IF(J293="pictures",10,IF(J293="object pictures",11,IF(J293="faces",12,IF(J293="names",13,IF(J293="idioms",14,IF(J293="grades",15,IF(J293="syllable-digit pairs",16,IF(J293="trigram-word pairs",17,IF(J293="word-digit pairs",18,IF(J293="English-Swahili pairs",19,IF(J293="spatial position",20,IF(J293="word pairs",21,IF(J293="word triads",22,IF(J293="generated words",23,IF(J293="word definition pairs",24,IF(J293="math problems",25,IF(J293="famous faces",26,IF(J293="famous names",27,IF(J293="famous voices",28,IF(J293="television programs",29,IF(J293="race horses",30,IF(J293="new vocabulary",31,IF(J293="sentences",32,IF(J293="concepts",33,IF(J293="ad slides",34,IF(J293="scenes",35,IF(J293="famous scenes",36,IF(J293="poems",37,IF(J293="walk",38,IF(J293="faces and events",39,IF(J293="events and names",40,IF(J293="flashbulb",41,IF(J293="stories",42,IF(J293="course material",43,IF(J293="autobiographical",44,IF(J293="novels",45,IF(J293="public events",46,"99"))))))))))))))))))))))))))))))))))))))))))))))</f>
        <v>44</v>
      </c>
      <c r="L293" s="60">
        <f>IF(J293="syllables",1,IF(J293="trigrams",1,IF(J293="strings",1,IF(J293="visual array",1,IF(J293="characters",1,IF(J293="letters",1,IF(J293="free forms",1,IF(J293="odors",2,IF(J293="words",2,IF(J293="pictures",2,IF(J293="object pictures",2,IF(J293="faces",2,IF(J293="names",2,IF(J293="idioms","2",IF(J293="grades",2,IF(J293="syllable-digit pairs",3,IF(J293="trigram-word pairs",3,IF(J293="word-digit pairs",3,IF(J293="English-Swahili pairs",3,IF(J293="spatial position",3,IF(J293="word pairs",4,IF(J293="word triads",4,IF(J293="generated words",4,IF(J293="word definition pairs",4,IF(J293="math problems",4,IF(J293="famous faces",4,IF(J293="famous names",4,IF(J293="famous voices",4,IF(J293="television programs",4,IF(J293="race horses",4,IF(J293="new vocabulary",4,IF(J293="sentences",5,IF(J293="concepts",5,IF(J293="ad slides",5,IF(J293="scenes",5,IF(J293="famous scenes",5,IF(J293="poems",6,IF(J293="walk",6,IF(J293="faces and events",6,IF(J293="events and names",6,IF(J293="flashbulb",7,IF(J293="stories",7,IF(J293="course material",7,IF(J293="autobiographical",7,IF(J293="novels",7,IF(J293="public events",7,"99"))))))))))))))))))))))))))))))))))))))))))))))</f>
        <v>7</v>
      </c>
      <c r="M293" s="59">
        <v>0</v>
      </c>
      <c r="N293" s="59">
        <v>3</v>
      </c>
      <c r="O293" s="59">
        <v>0</v>
      </c>
      <c r="P293" s="59"/>
      <c r="Q293" s="59" t="s">
        <v>65</v>
      </c>
      <c r="R293" s="60">
        <f>IF(Q293="Free Recall",1,IF(Q293="Cued Recall",2,IF(Q293="Recognition",3,IF(Q293="Multiple Choice",4,IF(Q293="Savings",5,IF(Q293="Stem Completion",6,IF(Q293="Fragment Completion",7,IF(Q293="anagram solution",8,IF(Q293="Matching",9,IF(Q293="Problem Solving",10,"99"))))))))))</f>
        <v>2</v>
      </c>
      <c r="S293" s="60" t="s">
        <v>49</v>
      </c>
      <c r="T293" s="59" t="s">
        <v>581</v>
      </c>
      <c r="U293" s="60">
        <f>IF(T293="within",1,0)</f>
        <v>1</v>
      </c>
      <c r="V293" s="59">
        <v>25</v>
      </c>
      <c r="W293" s="60">
        <f>F293*V293</f>
        <v>375</v>
      </c>
      <c r="X293" s="59">
        <v>5</v>
      </c>
      <c r="Y293" s="76">
        <f>AV292</f>
        <v>1296000</v>
      </c>
      <c r="Z293" s="60" t="s">
        <v>1014</v>
      </c>
      <c r="AA293" s="60">
        <f>60*60*24*265*22</f>
        <v>503712000</v>
      </c>
      <c r="AB293" s="60" t="str">
        <f>IF(AA293&lt;60,"1",IF(AA293&lt;=43200,"2",IF(AA293&lt;=777600,"3","4")))</f>
        <v>4</v>
      </c>
      <c r="AC293" s="56">
        <f>AVERAGE(AV292:DA292)</f>
        <v>274622400</v>
      </c>
      <c r="AD293" s="60" t="str">
        <f>IF(AC293&lt;60,"1",IF(AC293&lt;=43200,"2",IF(AC293&lt;=777600,"3","4")))</f>
        <v>4</v>
      </c>
      <c r="AE293" s="76">
        <f>AA293-Y293</f>
        <v>502416000</v>
      </c>
      <c r="AF293" s="80">
        <f>AV293</f>
        <v>0.76182432432432001</v>
      </c>
      <c r="AG293" s="56">
        <f>((AW293-AV293)+(AX293-AW293)+(AY293-AX293)+(AZ293-AY293))/4</f>
        <v>-9.0456081081079998E-2</v>
      </c>
      <c r="AH293" s="4"/>
      <c r="AI293" s="56">
        <f>RSQ(AV293:AZ293,AV292:AZ292)</f>
        <v>0.69510985704172135</v>
      </c>
      <c r="AJ293" s="109">
        <f>SLOPE(AV293:AZ293,AV292:AZ292)</f>
        <v>-4.6505212165281698E-10</v>
      </c>
      <c r="AK293" s="56">
        <f>INTERCEPT(AV293:AZ293,AV292:AZ292)</f>
        <v>0.66413264869230604</v>
      </c>
      <c r="AL293" s="56">
        <f>INDEX(LINEST(LN(AV293:AZ293),LN(AV292:AZ292),TRUE,TRUE),3,1)</f>
        <v>0.91585649449929196</v>
      </c>
      <c r="AM293" s="56">
        <f>INDEX(LINEST(LN(AV293:AZ293),LN(AV292:AZ292)),1)</f>
        <v>-0.10416239400418872</v>
      </c>
      <c r="AN293" s="56">
        <f>EXP(INDEX(LINEST(LN(AV293:AZ293),LN(AV292:AZ292)),1,2))</f>
        <v>3.3958886388527323</v>
      </c>
      <c r="AO293" s="82">
        <f>INDEX(LINEST((AV293:AZ293),LN(AV292:AZ292),TRUE,TRUE),3,1)</f>
        <v>0.94807484929906716</v>
      </c>
      <c r="AP293" s="82">
        <f>INDEX(LINEST((AV293:AZ293),LN(AV292:AZ292)),1)</f>
        <v>-5.85973175663606E-2</v>
      </c>
      <c r="AQ293" s="83">
        <f>INDEX(LINEST(LN(AV293:AZ293),SQRT(AV292:AZ292),TRUE,TRUE),3,1)</f>
        <v>0.85773571148302141</v>
      </c>
      <c r="AR293" s="116">
        <f>INDEX(LINEST(LN(AV293:AZ293),SQRT((AV292:AZ292))),1)</f>
        <v>-2.5093146748339255E-5</v>
      </c>
      <c r="AS293" s="84">
        <f>INDEX(LINEST(1/(AV293:AZ293),1/(SQRT(AV292:AZ292)),TRUE,TRUE),3,1)</f>
        <v>0.69809695043009168</v>
      </c>
      <c r="AT293" s="84">
        <f>INDEX(LINEST(1/(AV293:AZ293),1/SQRT(AV292:AZ292)),1)</f>
        <v>-1262.289498680366</v>
      </c>
      <c r="AU293" s="3"/>
      <c r="AV293" s="11">
        <v>0.76182432432432001</v>
      </c>
      <c r="AW293" s="11">
        <v>0.64020270270269997</v>
      </c>
      <c r="AX293" s="11">
        <v>0.39898648648648649</v>
      </c>
      <c r="AY293" s="11">
        <v>0.48108108108108094</v>
      </c>
      <c r="AZ293" s="11">
        <v>0.4</v>
      </c>
      <c r="BA293" s="11"/>
      <c r="BB293" s="11"/>
      <c r="BC293" s="11"/>
      <c r="BD293" s="11"/>
      <c r="BE293" s="11"/>
      <c r="BF293" s="11"/>
      <c r="BG293" s="11"/>
      <c r="BH293" s="11"/>
      <c r="BI293" s="11"/>
      <c r="BJ293" s="11"/>
      <c r="BK293" s="11"/>
      <c r="BL293" s="11"/>
      <c r="BM293" s="11"/>
      <c r="BN293" s="11"/>
      <c r="BO293" s="11"/>
      <c r="BP293" s="11"/>
      <c r="BQ293" s="11"/>
      <c r="BR293" s="11"/>
      <c r="BS293" s="11"/>
      <c r="BT293" s="11"/>
      <c r="BU293" s="11"/>
      <c r="BV293" s="11"/>
      <c r="BW293" s="11"/>
      <c r="BX293" s="11"/>
      <c r="BY293" s="11"/>
      <c r="BZ293" s="11"/>
      <c r="CA293" s="11"/>
      <c r="CB293" s="11"/>
      <c r="CC293" s="11"/>
      <c r="CD293" s="11"/>
      <c r="CE293" s="11"/>
      <c r="CF293" s="11"/>
      <c r="CG293" s="11"/>
      <c r="CH293" s="11"/>
      <c r="CI293" s="11"/>
      <c r="CJ293" s="11"/>
      <c r="CK293" s="11"/>
      <c r="CL293" s="11"/>
      <c r="CM293" s="11"/>
      <c r="CN293" s="11"/>
      <c r="CO293" s="11"/>
      <c r="CP293" s="11"/>
      <c r="CQ293" s="11"/>
      <c r="CR293" s="15"/>
      <c r="CS293" s="15"/>
      <c r="CT293" s="15"/>
      <c r="CU293" s="15"/>
    </row>
    <row r="294" spans="1:99" s="13" customFormat="1" ht="12" customHeight="1" x14ac:dyDescent="0.2">
      <c r="A294" s="68">
        <v>43509</v>
      </c>
      <c r="B294" s="70"/>
      <c r="C294" s="70"/>
      <c r="D294" s="69"/>
      <c r="E294" s="87"/>
      <c r="F294" s="69"/>
      <c r="G294" s="69"/>
      <c r="H294" s="69"/>
      <c r="I294" s="69"/>
      <c r="J294" s="69"/>
      <c r="K294" s="107"/>
      <c r="L294" s="107"/>
      <c r="M294" s="69"/>
      <c r="N294" s="69"/>
      <c r="O294" s="69"/>
      <c r="P294" s="69"/>
      <c r="Q294" s="69"/>
      <c r="R294" s="69"/>
      <c r="S294" s="69"/>
      <c r="T294" s="69"/>
      <c r="U294" s="60"/>
      <c r="V294" s="69"/>
      <c r="W294" s="69"/>
      <c r="X294" s="69"/>
      <c r="Y294" s="87"/>
      <c r="Z294" s="69"/>
      <c r="AA294" s="69"/>
      <c r="AB294" s="69"/>
      <c r="AC294" s="69"/>
      <c r="AD294" s="69"/>
      <c r="AE294" s="69"/>
      <c r="AF294" s="88"/>
      <c r="AG294" s="72"/>
      <c r="AH294" s="4"/>
      <c r="AI294" s="72"/>
      <c r="AJ294" s="110"/>
      <c r="AK294" s="72"/>
      <c r="AL294" s="72"/>
      <c r="AM294" s="72"/>
      <c r="AN294" s="72"/>
      <c r="AO294" s="72"/>
      <c r="AP294" s="72"/>
      <c r="AQ294" s="72"/>
      <c r="AR294" s="110"/>
      <c r="AS294" s="72"/>
      <c r="AT294" s="72"/>
      <c r="AU294" s="4"/>
      <c r="AV294" s="71">
        <f>(365*24*60*60)/2</f>
        <v>15768000</v>
      </c>
      <c r="AW294" s="71">
        <f>365*24*60*60</f>
        <v>31536000</v>
      </c>
      <c r="AX294" s="71">
        <f>365*24*60*60*1.5</f>
        <v>47304000</v>
      </c>
      <c r="AY294" s="71">
        <f>365*24*60*60*2</f>
        <v>63072000</v>
      </c>
      <c r="AZ294" s="71">
        <f>365*24*60*60*2.5</f>
        <v>78840000</v>
      </c>
      <c r="BA294" s="71">
        <f>365*24*60*60*3</f>
        <v>94608000</v>
      </c>
      <c r="BB294" s="71">
        <f>365*24*60*60*3.5</f>
        <v>110376000</v>
      </c>
      <c r="BC294" s="71">
        <f>365*24*60*60*4</f>
        <v>126144000</v>
      </c>
      <c r="BD294" s="71">
        <f>365*24*60*60*4.5</f>
        <v>141912000</v>
      </c>
      <c r="BE294" s="71">
        <f>365*24*60*60*5</f>
        <v>157680000</v>
      </c>
      <c r="BF294" s="53"/>
      <c r="BG294" s="53"/>
      <c r="BH294" s="53"/>
      <c r="BI294" s="53"/>
      <c r="BJ294" s="53"/>
      <c r="BK294" s="53"/>
      <c r="BL294" s="53"/>
      <c r="BM294" s="53"/>
      <c r="BN294" s="53"/>
      <c r="BO294" s="53"/>
      <c r="BP294" s="53"/>
      <c r="BQ294" s="53"/>
      <c r="BR294" s="53"/>
      <c r="BS294" s="53"/>
      <c r="BT294" s="53"/>
      <c r="BU294" s="53"/>
      <c r="BV294" s="53"/>
      <c r="BW294" s="53"/>
      <c r="BX294" s="53"/>
      <c r="BY294" s="53"/>
      <c r="BZ294" s="53"/>
      <c r="CA294" s="53"/>
      <c r="CB294" s="53"/>
      <c r="CC294" s="53"/>
      <c r="CD294" s="53"/>
      <c r="CE294" s="53"/>
      <c r="CF294" s="53"/>
      <c r="CG294" s="53"/>
      <c r="CH294" s="53"/>
      <c r="CI294" s="53"/>
      <c r="CJ294" s="53"/>
      <c r="CK294" s="53"/>
      <c r="CL294" s="53"/>
      <c r="CM294" s="53"/>
      <c r="CN294" s="53"/>
      <c r="CO294" s="53"/>
      <c r="CP294" s="53"/>
      <c r="CQ294" s="53"/>
      <c r="CR294" s="1"/>
      <c r="CS294" s="1"/>
      <c r="CT294" s="1"/>
      <c r="CU294" s="1"/>
    </row>
    <row r="295" spans="1:99" s="13" customFormat="1" ht="12" customHeight="1" x14ac:dyDescent="0.2">
      <c r="A295" s="68">
        <v>43509</v>
      </c>
      <c r="B295" s="70" t="s">
        <v>225</v>
      </c>
      <c r="C295" s="70" t="s">
        <v>226</v>
      </c>
      <c r="D295" s="69">
        <v>1986</v>
      </c>
      <c r="E295" s="87">
        <v>1</v>
      </c>
      <c r="F295" s="69">
        <v>1</v>
      </c>
      <c r="G295" s="69">
        <v>1</v>
      </c>
      <c r="H295" s="69" t="s">
        <v>41</v>
      </c>
      <c r="I295" s="69"/>
      <c r="J295" s="69" t="s">
        <v>622</v>
      </c>
      <c r="K295" s="69">
        <f>IF(J295="syllables",1,IF(J295="trigrams",2,IF(J295="strings",3,IF(J295="visual array",4,IF(J295="characters",5,IF(J295="letters",6,IF(J295="free forms",7,IF(J295="odors",8,IF(J295="words",9,IF(J295="pictures",10,IF(J295="object pictures",11,IF(J295="faces",12,IF(J295="names",13,IF(J295="idioms",14,IF(J295="grades",15,IF(J295="syllable-digit pairs",16,IF(J295="trigram-word pairs",17,IF(J295="word-digit pairs",18,IF(J295="English-Swahili pairs",19,IF(J295="spatial position",20,IF(J295="word pairs",21,IF(J295="word triads",22,IF(J295="generated words",23,IF(J295="word definition pairs",24,IF(J295="math problems",25,IF(J295="famous faces",26,IF(J295="famous names",27,IF(J295="famous voices",28,IF(J295="television programs",29,IF(J295="race horses",30,IF(J295="new vocabulary",31,IF(J295="sentences",32,IF(J295="concepts",33,IF(J295="ad slides",34,IF(J295="scenes",35,IF(J295="famous scenes",36,IF(J295="poems",37,IF(J295="walk",38,IF(J295="faces and events",39,IF(J295="events and names",40,IF(J295="flashbulb",41,IF(J295="stories",42,IF(J295="course material",43,IF(J295="autobiographical",44,IF(J295="novels",45,IF(J295="public events",46,"99"))))))))))))))))))))))))))))))))))))))))))))))</f>
        <v>44</v>
      </c>
      <c r="L295" s="69">
        <f>IF(J295="syllables",1,IF(J295="trigrams",1,IF(J295="strings",1,IF(J295="visual array",1,IF(J295="characters",1,IF(J295="letters",1,IF(J295="free forms",1,IF(J295="odors",2,IF(J295="words",2,IF(J295="pictures",2,IF(J295="object pictures",2,IF(J295="faces",2,IF(J295="names",2,IF(J295="idioms","2",IF(J295="grades",2,IF(J295="syllable-digit pairs",3,IF(J295="trigram-word pairs",3,IF(J295="word-digit pairs",3,IF(J295="English-Swahili pairs",3,IF(J295="spatial position",3,IF(J295="word pairs",4,IF(J295="word triads",4,IF(J295="generated words",4,IF(J295="word definition pairs",4,IF(J295="math problems",4,IF(J295="famous faces",4,IF(J295="famous names",4,IF(J295="famous voices",4,IF(J295="television programs",4,IF(J295="race horses",4,IF(J295="new vocabulary",4,IF(J295="sentences",5,IF(J295="concepts",5,IF(J295="ad slides",5,IF(J295="scenes",5,IF(J295="famous scenes",5,IF(J295="poems",6,IF(J295="walk",6,IF(J295="faces and events",6,IF(J295="events and names",6,IF(J295="flashbulb",7,IF(J295="stories",7,IF(J295="course material",7,IF(J295="autobiographical",7,IF(J295="novels",7,IF(J295="public events",7,"99"))))))))))))))))))))))))))))))))))))))))))))))</f>
        <v>7</v>
      </c>
      <c r="M295" s="69">
        <v>0</v>
      </c>
      <c r="N295" s="69">
        <v>3</v>
      </c>
      <c r="O295" s="69">
        <v>0</v>
      </c>
      <c r="P295" s="69"/>
      <c r="Q295" s="69" t="s">
        <v>174</v>
      </c>
      <c r="R295" s="69">
        <f>IF(Q295="Free Recall",1,IF(Q295="Cued Recall",2,IF(Q295="Recognition",3,IF(Q295="Multiple Choice",4,IF(Q295="Savings",5,IF(Q295="Stem Completion",6,IF(Q295="Fragment Completion",7,IF(Q295="anagram solution",8,IF(Q295="Matching",9,IF(Q295="Problem Solving",10,"99"))))))))))</f>
        <v>1</v>
      </c>
      <c r="S295" s="69" t="s">
        <v>49</v>
      </c>
      <c r="T295" s="92" t="s">
        <v>581</v>
      </c>
      <c r="U295" s="60">
        <f>IF(T295="within",1,0)</f>
        <v>1</v>
      </c>
      <c r="V295" s="92">
        <v>2400</v>
      </c>
      <c r="W295" s="69">
        <f>F295*V295</f>
        <v>2400</v>
      </c>
      <c r="X295" s="69">
        <v>10</v>
      </c>
      <c r="Y295" s="87">
        <f>AV294</f>
        <v>15768000</v>
      </c>
      <c r="Z295" s="69" t="s">
        <v>319</v>
      </c>
      <c r="AA295" s="69">
        <f>5*365*24*60*60</f>
        <v>157680000</v>
      </c>
      <c r="AB295" s="69" t="str">
        <f>IF(AA295&lt;60,"1",IF(AA295&lt;=43200,"2",IF(AA295&lt;=777600,"3","4")))</f>
        <v>4</v>
      </c>
      <c r="AC295" s="72">
        <f>AVERAGE(AV294:DA294)</f>
        <v>86724000</v>
      </c>
      <c r="AD295" s="69" t="str">
        <f>IF(AC295&lt;60,"1",IF(AC295&lt;=43200,"2",IF(AC295&lt;=777600,"3","4")))</f>
        <v>4</v>
      </c>
      <c r="AE295" s="87">
        <f>AA295-Y295</f>
        <v>141912000</v>
      </c>
      <c r="AF295" s="88">
        <f>AV295</f>
        <v>0.7</v>
      </c>
      <c r="AG295" s="72">
        <f>((AW295-AV295)+(AX295-AW295)+(AY295-AX295)+(AZ295-AY295)+(BA295-AZ295)+(BB295-BA295)+(BC295-BB295)+(BD295-BC295)+(BE295-BD295))/9</f>
        <v>-4.4444444444444439E-2</v>
      </c>
      <c r="AH295" s="4"/>
      <c r="AI295" s="72">
        <f>RSQ(AV295:BE295,AV294:BE294)</f>
        <v>0.80479873033491767</v>
      </c>
      <c r="AJ295" s="110">
        <f>SLOPE(AV295:BE295,AV294:BE294)</f>
        <v>-2.2100764109896528E-9</v>
      </c>
      <c r="AK295" s="72">
        <f>INTERCEPT(AV295:BE295,AV294:BE294)</f>
        <v>0.61266666666666669</v>
      </c>
      <c r="AL295" s="72">
        <f>INDEX(LINEST(LN(AV295:BE295),LN(AV294:BE294),TRUE,TRUE),3,1)</f>
        <v>0.97707226137410719</v>
      </c>
      <c r="AM295" s="72">
        <f>INDEX(LINEST(LN(AV295:BE295),LN(AV294:BE294)),1)</f>
        <v>-0.33858002550310967</v>
      </c>
      <c r="AN295" s="72">
        <f>EXP(INDEX(LINEST(LN(AV295:BE295),LN(AV294:BE294)),1,2))</f>
        <v>186.31357686872596</v>
      </c>
      <c r="AO295" s="89">
        <f>INDEX(LINEST((AV295:BE295),LN(AV294:BE294),TRUE,TRUE),3,1)</f>
        <v>0.95931368626768765</v>
      </c>
      <c r="AP295" s="89">
        <f>INDEX(LINEST((AV295:BE295),LN(AV294:BE294)),1)</f>
        <v>-0.15714775619389901</v>
      </c>
      <c r="AQ295" s="90">
        <f>INDEX(LINEST(LN(AV295:BE295),SQRT(AV294:BE294),TRUE,TRUE),3,1)</f>
        <v>0.95316843675134133</v>
      </c>
      <c r="AR295" s="117">
        <f>INDEX(LINEST(LN(AV295:BE295),SQRT((AV294:BE294))),1)</f>
        <v>-8.7132005285518136E-5</v>
      </c>
      <c r="AS295" s="91">
        <f>INDEX(LINEST(1/(AV295:BE295),1/(SQRT(AV294:BE294)),TRUE,TRUE),3,1)</f>
        <v>0.88765594911665147</v>
      </c>
      <c r="AT295" s="91">
        <f>INDEX(LINEST(1/(AV295:BE295),1/SQRT(AV294:BE294)),1)</f>
        <v>-10077.742586247447</v>
      </c>
      <c r="AU295" s="3"/>
      <c r="AV295" s="73">
        <v>0.7</v>
      </c>
      <c r="AW295" s="73">
        <v>0.51</v>
      </c>
      <c r="AX295" s="73">
        <v>0.46</v>
      </c>
      <c r="AY295" s="73">
        <v>0.42</v>
      </c>
      <c r="AZ295" s="73">
        <v>0.42</v>
      </c>
      <c r="BA295" s="73">
        <v>0.39</v>
      </c>
      <c r="BB295" s="73">
        <v>0.35</v>
      </c>
      <c r="BC295" s="73">
        <v>0.33</v>
      </c>
      <c r="BD295" s="73">
        <v>0.33</v>
      </c>
      <c r="BE295" s="73">
        <v>0.3</v>
      </c>
      <c r="BF295" s="53"/>
      <c r="BG295" s="53"/>
      <c r="BH295" s="53"/>
      <c r="BI295" s="53"/>
      <c r="BJ295" s="53"/>
      <c r="BK295" s="53"/>
      <c r="BL295" s="53"/>
      <c r="BM295" s="53"/>
      <c r="BN295" s="53"/>
      <c r="BO295" s="53"/>
      <c r="BP295" s="53"/>
      <c r="BQ295" s="53"/>
      <c r="BR295" s="53"/>
      <c r="BS295" s="53"/>
      <c r="BT295" s="53"/>
      <c r="BU295" s="53"/>
      <c r="BV295" s="53"/>
      <c r="BW295" s="53"/>
      <c r="BX295" s="53"/>
      <c r="BY295" s="53"/>
      <c r="BZ295" s="53"/>
      <c r="CA295" s="53"/>
      <c r="CB295" s="53"/>
      <c r="CC295" s="53"/>
      <c r="CD295" s="53"/>
      <c r="CE295" s="53"/>
      <c r="CF295" s="53"/>
      <c r="CG295" s="53"/>
      <c r="CH295" s="53"/>
      <c r="CI295" s="53"/>
      <c r="CJ295" s="53"/>
      <c r="CK295" s="53"/>
      <c r="CL295" s="53"/>
      <c r="CM295" s="53"/>
      <c r="CN295" s="53"/>
      <c r="CO295" s="53"/>
      <c r="CP295" s="53"/>
      <c r="CQ295" s="53"/>
      <c r="CR295" s="1"/>
      <c r="CS295" s="1"/>
      <c r="CT295" s="1"/>
      <c r="CU295" s="1"/>
    </row>
    <row r="296" spans="1:99" s="13" customFormat="1" ht="12" customHeight="1" x14ac:dyDescent="0.2">
      <c r="A296" s="65">
        <v>43979</v>
      </c>
      <c r="B296" s="1"/>
      <c r="C296" s="1"/>
      <c r="D296" s="60"/>
      <c r="E296" s="76"/>
      <c r="F296" s="60"/>
      <c r="G296" s="60"/>
      <c r="H296" s="60"/>
      <c r="I296" s="60"/>
      <c r="J296" s="60"/>
      <c r="K296" s="60"/>
      <c r="L296" s="60"/>
      <c r="M296" s="60"/>
      <c r="N296" s="60"/>
      <c r="O296" s="60"/>
      <c r="P296" s="60"/>
      <c r="Q296" s="60"/>
      <c r="R296" s="60"/>
      <c r="S296" s="60"/>
      <c r="T296" s="59"/>
      <c r="U296" s="60"/>
      <c r="V296" s="59"/>
      <c r="W296" s="60"/>
      <c r="X296" s="60"/>
      <c r="Y296" s="76"/>
      <c r="Z296" s="60"/>
      <c r="AA296" s="60"/>
      <c r="AB296" s="60"/>
      <c r="AC296" s="56"/>
      <c r="AD296" s="60"/>
      <c r="AE296" s="76"/>
      <c r="AF296" s="80"/>
      <c r="AG296" s="56"/>
      <c r="AH296" s="4"/>
      <c r="AI296" s="56"/>
      <c r="AJ296" s="109"/>
      <c r="AK296" s="56"/>
      <c r="AL296" s="56"/>
      <c r="AM296" s="56"/>
      <c r="AN296" s="56"/>
      <c r="AO296" s="82"/>
      <c r="AP296" s="82"/>
      <c r="AQ296" s="83"/>
      <c r="AR296" s="116"/>
      <c r="AS296" s="84"/>
      <c r="AT296" s="84"/>
      <c r="AU296" s="3"/>
      <c r="AV296" s="25">
        <v>30</v>
      </c>
      <c r="AW296" s="25">
        <f>60*60</f>
        <v>3600</v>
      </c>
      <c r="AX296" s="25">
        <f>60*60*24*7*6</f>
        <v>3628800</v>
      </c>
      <c r="AY296" s="53"/>
      <c r="AZ296" s="53"/>
      <c r="BA296" s="53"/>
      <c r="BB296" s="53"/>
      <c r="BC296" s="53"/>
      <c r="BD296" s="53"/>
      <c r="BE296" s="53"/>
      <c r="BF296" s="53"/>
      <c r="BG296" s="53"/>
      <c r="BH296" s="53"/>
      <c r="BI296" s="53"/>
      <c r="BJ296" s="53"/>
      <c r="BK296" s="53"/>
      <c r="BL296" s="53"/>
      <c r="BM296" s="53"/>
      <c r="BN296" s="53"/>
      <c r="BO296" s="53"/>
      <c r="BP296" s="53"/>
      <c r="BQ296" s="53"/>
      <c r="BR296" s="53"/>
      <c r="BS296" s="53"/>
      <c r="BT296" s="53"/>
      <c r="BU296" s="53"/>
      <c r="BV296" s="53"/>
      <c r="BW296" s="53"/>
      <c r="BX296" s="53"/>
      <c r="BY296" s="53"/>
      <c r="BZ296" s="53"/>
      <c r="CA296" s="53"/>
      <c r="CB296" s="53"/>
      <c r="CC296" s="53"/>
      <c r="CD296" s="53"/>
      <c r="CE296" s="53"/>
      <c r="CF296" s="53"/>
      <c r="CG296" s="53"/>
      <c r="CH296" s="53"/>
      <c r="CI296" s="53"/>
      <c r="CJ296" s="53"/>
      <c r="CK296" s="53"/>
      <c r="CL296" s="53"/>
      <c r="CM296" s="53"/>
      <c r="CN296" s="53"/>
      <c r="CO296" s="53"/>
      <c r="CP296" s="53"/>
      <c r="CQ296" s="53"/>
      <c r="CR296" s="1"/>
      <c r="CS296" s="1"/>
      <c r="CT296" s="1"/>
      <c r="CU296" s="1"/>
    </row>
    <row r="297" spans="1:99" s="13" customFormat="1" ht="12" customHeight="1" x14ac:dyDescent="0.2">
      <c r="A297" s="65">
        <v>43979</v>
      </c>
      <c r="B297" s="1" t="s">
        <v>1017</v>
      </c>
      <c r="C297" s="1" t="s">
        <v>357</v>
      </c>
      <c r="D297" s="60">
        <v>2012</v>
      </c>
      <c r="E297" s="76">
        <v>1</v>
      </c>
      <c r="F297" s="60">
        <v>22</v>
      </c>
      <c r="G297" s="60">
        <v>22</v>
      </c>
      <c r="H297" s="60" t="s">
        <v>30</v>
      </c>
      <c r="I297" s="60" t="s">
        <v>330</v>
      </c>
      <c r="J297" s="60" t="s">
        <v>317</v>
      </c>
      <c r="K297" s="60">
        <f>IF(J297="syllables",1,IF(J297="trigrams",2,IF(J297="strings",3,IF(J297="visual array",4,IF(J297="characters",5,IF(J297="letters",6,IF(J297="free forms",7,IF(J297="odors",8,IF(J297="words",9,IF(J297="pictures",10,IF(J297="object pictures",11,IF(J297="faces",12,IF(J297="names",13,IF(J297="idioms",14,IF(J297="grades",15,IF(J297="syllable-digit pairs",16,IF(J297="trigram-word pairs",17,IF(J297="word-digit pairs",18,IF(J297="English-Swahili pairs",19,IF(J297="spatial position",20,IF(J297="word pairs",21,IF(J297="word triads",22,IF(J297="generated words",23,IF(J297="word definition pairs",24,IF(J297="math problems",25,IF(J297="famous faces",26,IF(J297="famous names",27,IF(J297="famous voices",28,IF(J297="television programs",29,IF(J297="race horses",30,IF(J297="new vocabulary",31,IF(J297="sentences",32,IF(J297="concepts",33,IF(J297="ad slides",34,IF(J297="scenes",35,IF(J297="famous scenes",36,IF(J297="poems",37,IF(J297="walk",38,IF(J297="faces and events",39,IF(J297="events and names",40,IF(J297="flashbulb",41,IF(J297="stories",42,IF(J297="course material",43,IF(J297="autobiographical",44,IF(J297="novels",45,IF(J297="public events",46,"99"))))))))))))))))))))))))))))))))))))))))))))))</f>
        <v>7</v>
      </c>
      <c r="L297" s="60">
        <f>IF(J297="syllables",1,IF(J297="trigrams",1,IF(J297="strings",1,IF(J297="visual array",1,IF(J297="characters",1,IF(J297="letters",1,IF(J297="free forms",1,IF(J297="odors",2,IF(J297="words",2,IF(J297="pictures",2,IF(J297="object pictures",2,IF(J297="faces",2,IF(J297="names",2,IF(J297="idioms","2",IF(J297="grades",2,IF(J297="syllable-digit pairs",3,IF(J297="trigram-word pairs",3,IF(J297="word-digit pairs",3,IF(J297="English-Swahili pairs",3,IF(J297="spatial position",3,IF(J297="word pairs",4,IF(J297="word triads",4,IF(J297="generated words",4,IF(J297="word definition pairs",4,IF(J297="math problems",4,IF(J297="famous faces",4,IF(J297="famous names",4,IF(J297="famous voices",4,IF(J297="television programs",4,IF(J297="race horses",4,IF(J297="new vocabulary",4,IF(J297="sentences",5,IF(J297="concepts",5,IF(J297="ad slides",5,IF(J297="scenes",5,IF(J297="famous scenes",5,IF(J297="poems",6,IF(J297="walk",6,IF(J297="faces and events",6,IF(J297="events and names",6,IF(J297="flashbulb",7,IF(J297="stories",7,IF(J297="course material",7,IF(J297="autobiographical",7,IF(J297="novels",7,IF(J297="public events",7,"99"))))))))))))))))))))))))))))))))))))))))))))))</f>
        <v>1</v>
      </c>
      <c r="M297" s="60">
        <v>0</v>
      </c>
      <c r="N297" s="60">
        <v>2</v>
      </c>
      <c r="O297" s="60">
        <v>0</v>
      </c>
      <c r="P297" s="60"/>
      <c r="Q297" s="60" t="s">
        <v>174</v>
      </c>
      <c r="R297" s="60">
        <f>IF(Q297="Free Recall",1,IF(Q297="Cued Recall",2,IF(Q297="Recognition",3,IF(Q297="Multiple Choice",4,IF(Q297="Savings",5,IF(Q297="Stem Completion",6,IF(Q297="Fragment Completion",7,IF(Q297="anagram solution",8,IF(Q297="Matching",9,IF(Q297="Problem Solving",10,"99"))))))))))</f>
        <v>1</v>
      </c>
      <c r="S297" s="60" t="s">
        <v>49</v>
      </c>
      <c r="T297" s="59" t="s">
        <v>581</v>
      </c>
      <c r="U297" s="60">
        <f>IF(T297="within",1,0)</f>
        <v>1</v>
      </c>
      <c r="V297" s="59">
        <f>48*3</f>
        <v>144</v>
      </c>
      <c r="W297" s="60">
        <f>F297*V297</f>
        <v>3168</v>
      </c>
      <c r="X297" s="60">
        <v>3</v>
      </c>
      <c r="Y297" s="76">
        <f>AV296</f>
        <v>30</v>
      </c>
      <c r="Z297" s="60" t="s">
        <v>160</v>
      </c>
      <c r="AA297" s="60">
        <f>60*60*24*7*6</f>
        <v>3628800</v>
      </c>
      <c r="AB297" s="60" t="str">
        <f>IF(AA297&lt;60,"1",IF(AA297&lt;=43200,"2",IF(AA297&lt;=777600,"3","4")))</f>
        <v>4</v>
      </c>
      <c r="AC297" s="56">
        <f>AVERAGE(AV296:DA296)</f>
        <v>1210810</v>
      </c>
      <c r="AD297" s="60" t="str">
        <f>IF(AC297&lt;60,"1",IF(AC297&lt;=43200,"2",IF(AC297&lt;=777600,"3","4")))</f>
        <v>4</v>
      </c>
      <c r="AE297" s="76">
        <f>AA297-Y297</f>
        <v>3628770</v>
      </c>
      <c r="AF297" s="80">
        <f>AV297</f>
        <v>0.6865</v>
      </c>
      <c r="AG297" s="56">
        <f>((AW297-AV297)+(AX297-AW297))/2</f>
        <v>-0.17599999999999999</v>
      </c>
      <c r="AH297" s="4"/>
      <c r="AI297" s="56">
        <f>RSQ(AV297:AX297,AV296:AX296)</f>
        <v>0.96001040592205666</v>
      </c>
      <c r="AJ297" s="109">
        <f>SLOPE(AV297:AX297,AV296:AX296)</f>
        <v>-8.6795166890099554E-8</v>
      </c>
      <c r="AK297" s="56">
        <f>INTERCEPT(AV297:AX297,AV296:AX296)</f>
        <v>0.64942578935553474</v>
      </c>
      <c r="AL297" s="56">
        <f>INDEX(LINEST(LN(AV297:AX297),LN(AV296:AX296),TRUE,TRUE),3,1)</f>
        <v>0.92899540906395373</v>
      </c>
      <c r="AM297" s="56">
        <f>INDEX(LINEST(LN(AV297:AX297),LN(AV296:AX296)),1)</f>
        <v>-6.3269973440317914E-2</v>
      </c>
      <c r="AN297" s="56">
        <f>EXP(INDEX(LINEST(LN(AV297:AX297),LN(AV296:AX296)),1,2))</f>
        <v>0.91291337235551051</v>
      </c>
      <c r="AO297" s="82">
        <f>INDEX(LINEST((AV297:AX297),LN(AV296:AX296),TRUE,TRUE),3,1)</f>
        <v>0.95372662729577162</v>
      </c>
      <c r="AP297" s="82">
        <f>INDEX(LINEST((AV297:AX297),LN(AV296:AX296)),1)</f>
        <v>-3.0789247070257379E-2</v>
      </c>
      <c r="AQ297" s="83">
        <f>INDEX(LINEST(LN(AV297:AX297),SQRT(AV296:AX296),TRUE,TRUE),3,1)</f>
        <v>0.98469036888931838</v>
      </c>
      <c r="AR297" s="116">
        <f>INDEX(LINEST(LN(AV297:AX297),SQRT((AV296:AX296))),1)</f>
        <v>-3.5445917920288718E-4</v>
      </c>
      <c r="AS297" s="84">
        <f>INDEX(LINEST(1/(AV297:AX297),1/(SQRT(AV296:AX296)),TRUE,TRUE),3,1)</f>
        <v>0.42460096043252976</v>
      </c>
      <c r="AT297" s="84">
        <f>INDEX(LINEST(1/(AV297:AX297),1/SQRT(AV296:AX296)),1)</f>
        <v>-5.4221291046624991</v>
      </c>
      <c r="AU297" s="3"/>
      <c r="AV297" s="53">
        <v>0.6865</v>
      </c>
      <c r="AW297" s="53">
        <v>0.61199999999999999</v>
      </c>
      <c r="AX297" s="53">
        <v>0.33450000000000002</v>
      </c>
      <c r="AY297" s="53"/>
      <c r="AZ297" s="53"/>
      <c r="BA297" s="53"/>
      <c r="BB297" s="53"/>
      <c r="BC297" s="53"/>
      <c r="BD297" s="53"/>
      <c r="BE297" s="53"/>
      <c r="BF297" s="53"/>
      <c r="BG297" s="53"/>
      <c r="BH297" s="53"/>
      <c r="BI297" s="53"/>
      <c r="BJ297" s="53"/>
      <c r="BK297" s="53"/>
      <c r="BL297" s="53"/>
      <c r="BM297" s="53"/>
      <c r="BN297" s="53"/>
      <c r="BO297" s="53"/>
      <c r="BP297" s="53"/>
      <c r="BQ297" s="53"/>
      <c r="BR297" s="53"/>
      <c r="BS297" s="53"/>
      <c r="BT297" s="53"/>
      <c r="BU297" s="53"/>
      <c r="BV297" s="53"/>
      <c r="BW297" s="53"/>
      <c r="BX297" s="53"/>
      <c r="BY297" s="53"/>
      <c r="BZ297" s="53"/>
      <c r="CA297" s="53"/>
      <c r="CB297" s="53"/>
      <c r="CC297" s="53"/>
      <c r="CD297" s="53"/>
      <c r="CE297" s="53"/>
      <c r="CF297" s="53"/>
      <c r="CG297" s="53"/>
      <c r="CH297" s="53"/>
      <c r="CI297" s="53"/>
      <c r="CJ297" s="53"/>
      <c r="CK297" s="53"/>
      <c r="CL297" s="53"/>
      <c r="CM297" s="53"/>
      <c r="CN297" s="53"/>
      <c r="CO297" s="53"/>
      <c r="CP297" s="53"/>
      <c r="CQ297" s="53"/>
      <c r="CR297" s="1"/>
      <c r="CS297" s="1"/>
      <c r="CT297" s="1"/>
      <c r="CU297" s="1"/>
    </row>
    <row r="298" spans="1:99" s="13" customFormat="1" ht="12" customHeight="1" x14ac:dyDescent="0.2">
      <c r="A298" s="68">
        <v>43509</v>
      </c>
      <c r="B298" s="70"/>
      <c r="C298" s="70"/>
      <c r="D298" s="69"/>
      <c r="E298" s="87"/>
      <c r="F298" s="69"/>
      <c r="G298" s="69"/>
      <c r="H298" s="69"/>
      <c r="I298" s="69"/>
      <c r="J298" s="69"/>
      <c r="K298" s="107"/>
      <c r="L298" s="107"/>
      <c r="M298" s="69"/>
      <c r="N298" s="69"/>
      <c r="O298" s="69"/>
      <c r="P298" s="69"/>
      <c r="Q298" s="69"/>
      <c r="R298" s="69"/>
      <c r="S298" s="69"/>
      <c r="T298" s="69"/>
      <c r="U298" s="60"/>
      <c r="V298" s="69"/>
      <c r="W298" s="69"/>
      <c r="X298" s="69"/>
      <c r="Y298" s="87"/>
      <c r="Z298" s="69"/>
      <c r="AA298" s="69"/>
      <c r="AB298" s="69"/>
      <c r="AC298" s="69"/>
      <c r="AD298" s="69"/>
      <c r="AE298" s="69"/>
      <c r="AF298" s="88"/>
      <c r="AG298" s="72"/>
      <c r="AH298" s="4"/>
      <c r="AI298" s="72"/>
      <c r="AJ298" s="110"/>
      <c r="AK298" s="72"/>
      <c r="AL298" s="72"/>
      <c r="AM298" s="72"/>
      <c r="AN298" s="72"/>
      <c r="AO298" s="72"/>
      <c r="AP298" s="72"/>
      <c r="AQ298" s="72"/>
      <c r="AR298" s="110"/>
      <c r="AS298" s="72"/>
      <c r="AT298" s="72"/>
      <c r="AU298" s="4"/>
      <c r="AV298" s="71">
        <f>60*60</f>
        <v>3600</v>
      </c>
      <c r="AW298" s="71">
        <f>24*3600</f>
        <v>86400</v>
      </c>
      <c r="AX298" s="71">
        <f>7*24*3600*1</f>
        <v>604800</v>
      </c>
      <c r="AY298" s="71">
        <f>7*24*3600*2</f>
        <v>1209600</v>
      </c>
      <c r="AZ298" s="73"/>
      <c r="BA298" s="53"/>
      <c r="BB298" s="53"/>
      <c r="BC298" s="53"/>
      <c r="BD298" s="53"/>
      <c r="BE298" s="53"/>
      <c r="BF298" s="53"/>
      <c r="BG298" s="53"/>
      <c r="BH298" s="53"/>
      <c r="BI298" s="53"/>
      <c r="BJ298" s="53"/>
      <c r="BK298" s="53"/>
      <c r="BL298" s="53"/>
      <c r="BM298" s="53"/>
      <c r="BN298" s="53"/>
      <c r="BO298" s="53"/>
      <c r="BP298" s="53"/>
      <c r="BQ298" s="53"/>
      <c r="BR298" s="53"/>
      <c r="BS298" s="53"/>
      <c r="BT298" s="53"/>
      <c r="BU298" s="53"/>
      <c r="BV298" s="53"/>
      <c r="BW298" s="53"/>
      <c r="BX298" s="53"/>
      <c r="BY298" s="53"/>
      <c r="BZ298" s="53"/>
      <c r="CA298" s="53"/>
      <c r="CB298" s="53"/>
      <c r="CC298" s="53"/>
      <c r="CD298" s="53"/>
      <c r="CE298" s="53"/>
      <c r="CF298" s="53"/>
      <c r="CG298" s="53"/>
      <c r="CH298" s="53"/>
      <c r="CI298" s="53"/>
      <c r="CJ298" s="53"/>
      <c r="CK298" s="53"/>
      <c r="CL298" s="53"/>
      <c r="CM298" s="53"/>
      <c r="CN298" s="53"/>
      <c r="CO298" s="53"/>
      <c r="CP298" s="53"/>
      <c r="CQ298" s="53"/>
      <c r="CR298" s="1"/>
      <c r="CS298" s="1"/>
      <c r="CT298" s="1"/>
      <c r="CU298" s="1"/>
    </row>
    <row r="299" spans="1:99" s="13" customFormat="1" ht="12" customHeight="1" x14ac:dyDescent="0.2">
      <c r="A299" s="68">
        <v>43509</v>
      </c>
      <c r="B299" s="70" t="s">
        <v>171</v>
      </c>
      <c r="C299" s="70" t="s">
        <v>55</v>
      </c>
      <c r="D299" s="69">
        <v>1991</v>
      </c>
      <c r="E299" s="87">
        <v>2</v>
      </c>
      <c r="F299" s="69">
        <v>195</v>
      </c>
      <c r="G299" s="69">
        <v>48.8</v>
      </c>
      <c r="H299" s="69" t="s">
        <v>41</v>
      </c>
      <c r="I299" s="69"/>
      <c r="J299" s="69" t="s">
        <v>328</v>
      </c>
      <c r="K299" s="69">
        <f>IF(J299="syllables",1,IF(J299="trigrams",2,IF(J299="strings",3,IF(J299="visual array",4,IF(J299="characters",5,IF(J299="letters",6,IF(J299="free forms",7,IF(J299="odors",8,IF(J299="words",9,IF(J299="pictures",10,IF(J299="object pictures",11,IF(J299="faces",12,IF(J299="names",13,IF(J299="idioms",14,IF(J299="grades",15,IF(J299="syllable-digit pairs",16,IF(J299="trigram-word pairs",17,IF(J299="word-digit pairs",18,IF(J299="English-Swahili pairs",19,IF(J299="spatial position",20,IF(J299="word pairs",21,IF(J299="word triads",22,IF(J299="generated words",23,IF(J299="word definition pairs",24,IF(J299="math problems",25,IF(J299="famous faces",26,IF(J299="famous names",27,IF(J299="famous voices",28,IF(J299="television programs",29,IF(J299="race horses",30,IF(J299="new vocabulary",31,IF(J299="sentences",32,IF(J299="concepts",33,IF(J299="ad slides",34,IF(J299="scenes",35,IF(J299="famous scenes",36,IF(J299="poems",37,IF(J299="walk",38,IF(J299="faces and events",39,IF(J299="events and names",40,IF(J299="flashbulb",41,IF(J299="stories",42,IF(J299="course material",43,IF(J299="autobiographical",44,IF(J299="novels",45,IF(J299="public events",46,"99"))))))))))))))))))))))))))))))))))))))))))))))</f>
        <v>12</v>
      </c>
      <c r="L299" s="69">
        <f>IF(J299="syllables",1,IF(J299="trigrams",1,IF(J299="strings",1,IF(J299="visual array",1,IF(J299="characters",1,IF(J299="letters",1,IF(J299="free forms",1,IF(J299="odors",2,IF(J299="words",2,IF(J299="pictures",2,IF(J299="object pictures",2,IF(J299="faces",2,IF(J299="names",2,IF(J299="idioms","2",IF(J299="grades",2,IF(J299="syllable-digit pairs",3,IF(J299="trigram-word pairs",3,IF(J299="word-digit pairs",3,IF(J299="English-Swahili pairs",3,IF(J299="spatial position",3,IF(J299="word pairs",4,IF(J299="word triads",4,IF(J299="generated words",4,IF(J299="word definition pairs",4,IF(J299="math problems",4,IF(J299="famous faces",4,IF(J299="famous names",4,IF(J299="famous voices",4,IF(J299="television programs",4,IF(J299="race horses",4,IF(J299="new vocabulary",4,IF(J299="sentences",5,IF(J299="concepts",5,IF(J299="ad slides",5,IF(J299="scenes",5,IF(J299="famous scenes",5,IF(J299="poems",6,IF(J299="walk",6,IF(J299="faces and events",6,IF(J299="events and names",6,IF(J299="flashbulb",7,IF(J299="stories",7,IF(J299="course material",7,IF(J299="autobiographical",7,IF(J299="novels",7,IF(J299="public events",7,"99"))))))))))))))))))))))))))))))))))))))))))))))</f>
        <v>2</v>
      </c>
      <c r="M299" s="69">
        <v>0</v>
      </c>
      <c r="N299" s="69">
        <v>1</v>
      </c>
      <c r="O299" s="69">
        <v>0</v>
      </c>
      <c r="P299" s="69"/>
      <c r="Q299" s="69" t="s">
        <v>34</v>
      </c>
      <c r="R299" s="69">
        <f>IF(Q299="Free Recall",1,IF(Q299="Cued Recall",2,IF(Q299="Recognition",3,IF(Q299="Multiple Choice",4,IF(Q299="Savings",5,IF(Q299="Stem Completion",6,IF(Q299="Fragment Completion",7,IF(Q299="anagram solution",8,IF(Q299="Matching",9,IF(Q299="Problem Solving",10,"99"))))))))))</f>
        <v>3</v>
      </c>
      <c r="S299" s="69" t="s">
        <v>15</v>
      </c>
      <c r="T299" s="69" t="s">
        <v>261</v>
      </c>
      <c r="U299" s="60">
        <f>IF(T299="within",1,0)</f>
        <v>0</v>
      </c>
      <c r="V299" s="69">
        <v>40</v>
      </c>
      <c r="W299" s="69">
        <f>F299*V299</f>
        <v>7800</v>
      </c>
      <c r="X299" s="69">
        <v>4</v>
      </c>
      <c r="Y299" s="87">
        <f>AV298</f>
        <v>3600</v>
      </c>
      <c r="Z299" s="69" t="s">
        <v>170</v>
      </c>
      <c r="AA299" s="69">
        <v>1209600</v>
      </c>
      <c r="AB299" s="69" t="str">
        <f t="shared" ref="AB299" si="43">IF(AA299&lt;60,"1",IF(AA299&lt;=43200,"2",IF(AA299&lt;=777600,"3","4")))</f>
        <v>4</v>
      </c>
      <c r="AC299" s="72">
        <f t="shared" ref="AC299" si="44">AVERAGE(AV298:DA298)</f>
        <v>476100</v>
      </c>
      <c r="AD299" s="69" t="str">
        <f>IF(AC299&lt;60,"1",IF(AC299&lt;=43200,"2",IF(AC299&lt;=777600,"3","4")))</f>
        <v>3</v>
      </c>
      <c r="AE299" s="87">
        <f>AA299-Y299</f>
        <v>1206000</v>
      </c>
      <c r="AF299" s="88">
        <f>AV299</f>
        <v>0.82699999999999996</v>
      </c>
      <c r="AG299" s="72">
        <f>((AW299-AV299)+(AX299-AW299)+(AY299-AX299))/3</f>
        <v>-2.4333333333333318E-2</v>
      </c>
      <c r="AH299" s="4"/>
      <c r="AI299" s="72">
        <f>RSQ(AV299:AY299,AV298:AY298)</f>
        <v>0.67513334905066702</v>
      </c>
      <c r="AJ299" s="110">
        <f>SLOPE(AV299:AY299,AV298:AY298)</f>
        <v>-4.7175765714380838E-8</v>
      </c>
      <c r="AK299" s="72">
        <f>INTERCEPT(AV299:AY299,AV298:AY298)</f>
        <v>0.80471038205661671</v>
      </c>
      <c r="AL299" s="72">
        <f>INDEX(LINEST(LN(AV299:AY299),LN(AV298:AY298),TRUE,TRUE),3,1)</f>
        <v>0.99016073813171968</v>
      </c>
      <c r="AM299" s="72">
        <f>INDEX(LINEST(LN(AV299:AY299),LN(AV298:AY298)),1)</f>
        <v>-1.5417705311268558E-2</v>
      </c>
      <c r="AN299" s="72">
        <f>EXP(INDEX(LINEST(LN(AV299:AY299),LN(AV298:AY298)),1,2))</f>
        <v>0.9365757749790834</v>
      </c>
      <c r="AO299" s="89">
        <f>INDEX(LINEST((AV299:AY299),LN(AV298:AY298),TRUE,TRUE),3,1)</f>
        <v>0.98896528862385791</v>
      </c>
      <c r="AP299" s="89">
        <f>INDEX(LINEST((AV299:AY299),LN(AV298:AY298)),1)</f>
        <v>-1.2202194447609808E-2</v>
      </c>
      <c r="AQ299" s="90">
        <f>INDEX(LINEST(LN(AV299:AY299),SQRT(AV298:AY298),TRUE,TRUE),3,1)</f>
        <v>0.84410757252460089</v>
      </c>
      <c r="AR299" s="117">
        <f>INDEX(LINEST(LN(AV299:AY299),SQRT((AV298:AY298))),1)</f>
        <v>-7.9083877844639362E-5</v>
      </c>
      <c r="AS299" s="91">
        <f>INDEX(LINEST(1/(AV299:AY299),1/(SQRT(AV298:AY298)),TRUE,TRUE),3,1)</f>
        <v>0.93654862499447311</v>
      </c>
      <c r="AT299" s="91">
        <f>INDEX(LINEST(1/(AV299:AY299),1/SQRT(AV298:AY298)),1)</f>
        <v>-6.5979395844339388</v>
      </c>
      <c r="AU299" s="3"/>
      <c r="AV299" s="73">
        <v>0.82699999999999996</v>
      </c>
      <c r="AW299" s="73">
        <v>0.78200000000000003</v>
      </c>
      <c r="AX299" s="73">
        <v>0.76600000000000001</v>
      </c>
      <c r="AY299" s="73">
        <v>0.754</v>
      </c>
      <c r="AZ299" s="73"/>
      <c r="BA299" s="53"/>
      <c r="BB299" s="53"/>
      <c r="BC299" s="53"/>
      <c r="BD299" s="53"/>
      <c r="BE299" s="53"/>
      <c r="BF299" s="53"/>
      <c r="BG299" s="53"/>
      <c r="BH299" s="53"/>
      <c r="BI299" s="53"/>
      <c r="BJ299" s="53"/>
      <c r="BK299" s="53"/>
      <c r="BL299" s="53"/>
      <c r="BM299" s="53"/>
      <c r="BN299" s="53"/>
      <c r="BO299" s="53"/>
      <c r="BP299" s="53"/>
      <c r="BQ299" s="53"/>
      <c r="BR299" s="53"/>
      <c r="BS299" s="53"/>
      <c r="BT299" s="53"/>
      <c r="BU299" s="53"/>
      <c r="BV299" s="53"/>
      <c r="BW299" s="53"/>
      <c r="BX299" s="53"/>
      <c r="BY299" s="53"/>
      <c r="BZ299" s="53"/>
      <c r="CA299" s="53"/>
      <c r="CB299" s="53"/>
      <c r="CC299" s="53"/>
      <c r="CD299" s="53"/>
      <c r="CE299" s="53"/>
      <c r="CF299" s="53"/>
      <c r="CG299" s="53"/>
      <c r="CH299" s="53"/>
      <c r="CI299" s="53"/>
      <c r="CJ299" s="53"/>
      <c r="CK299" s="53"/>
      <c r="CL299" s="53"/>
      <c r="CM299" s="53"/>
      <c r="CN299" s="53"/>
      <c r="CO299" s="53"/>
      <c r="CP299" s="53"/>
      <c r="CQ299" s="53"/>
      <c r="CR299" s="1"/>
      <c r="CS299" s="1"/>
      <c r="CT299" s="1"/>
      <c r="CU299" s="1"/>
    </row>
    <row r="300" spans="1:99" ht="12" customHeight="1" x14ac:dyDescent="0.2">
      <c r="R300" s="60"/>
      <c r="U300" s="60"/>
      <c r="W300" s="60"/>
      <c r="Y300" s="76"/>
      <c r="AB300" s="60"/>
      <c r="AD300" s="60"/>
      <c r="AE300" s="60"/>
      <c r="AF300" s="80"/>
    </row>
    <row r="301" spans="1:99" ht="12" customHeight="1" x14ac:dyDescent="0.2">
      <c r="K301" s="60"/>
      <c r="R301" s="60"/>
      <c r="U301" s="60"/>
      <c r="Y301" s="64"/>
      <c r="AB301" s="60"/>
      <c r="AD301" s="60"/>
      <c r="AE301" s="77"/>
      <c r="AF301" s="57"/>
      <c r="AL301" s="167" t="s">
        <v>695</v>
      </c>
      <c r="AM301" s="57">
        <f>AVERAGE(AM3:AM299)</f>
        <v>-0.10049104625592108</v>
      </c>
    </row>
    <row r="302" spans="1:99" ht="12" customHeight="1" x14ac:dyDescent="0.2">
      <c r="R302" s="60"/>
      <c r="Y302" s="64"/>
      <c r="AB302" s="60"/>
      <c r="AD302" s="60"/>
      <c r="AF302" s="64"/>
      <c r="AG302" s="64"/>
      <c r="AL302" s="45" t="s">
        <v>1026</v>
      </c>
      <c r="AM302" s="57">
        <f>MEDIAN(AM3:AM299)</f>
        <v>-6.1582042770250908E-2</v>
      </c>
    </row>
    <row r="303" spans="1:99" ht="12" customHeight="1" x14ac:dyDescent="0.2">
      <c r="K303" s="60"/>
      <c r="R303" s="60"/>
      <c r="Y303" s="64"/>
      <c r="AB303" s="60"/>
      <c r="AD303" s="60"/>
      <c r="AF303" s="64"/>
      <c r="AG303" s="64"/>
      <c r="AL303" s="167" t="s">
        <v>918</v>
      </c>
      <c r="AM303" s="57">
        <f>MIN(AM3:AM299)</f>
        <v>-0.41544136809419413</v>
      </c>
    </row>
    <row r="304" spans="1:99" ht="12" customHeight="1" x14ac:dyDescent="0.2">
      <c r="R304" s="60"/>
      <c r="Y304" s="64"/>
      <c r="AB304" s="60"/>
      <c r="AD304" s="60"/>
      <c r="AF304" s="57"/>
      <c r="AG304" s="174"/>
      <c r="AL304" s="167" t="s">
        <v>917</v>
      </c>
      <c r="AM304" s="57">
        <f>MAX(AM3:AM299)</f>
        <v>1.031189540628568E-2</v>
      </c>
    </row>
    <row r="305" spans="11:39" ht="12" customHeight="1" x14ac:dyDescent="0.2">
      <c r="K305" s="60"/>
      <c r="R305" s="60"/>
      <c r="Y305" s="64"/>
      <c r="AB305" s="60"/>
      <c r="AD305" s="60"/>
      <c r="AF305" s="64"/>
      <c r="AG305" s="64"/>
      <c r="AL305" s="167" t="s">
        <v>919</v>
      </c>
      <c r="AM305" s="64">
        <f xml:space="preserve"> STDEV(AM3:AM299)</f>
        <v>0.10248444208750256</v>
      </c>
    </row>
    <row r="306" spans="11:39" ht="12" customHeight="1" x14ac:dyDescent="0.2">
      <c r="R306" s="60"/>
      <c r="W306" s="60"/>
      <c r="Y306" s="76"/>
      <c r="AB306" s="60"/>
      <c r="AD306" s="60"/>
      <c r="AE306" s="60"/>
      <c r="AF306" s="80"/>
      <c r="AL306" s="45" t="s">
        <v>1025</v>
      </c>
      <c r="AM306" s="64">
        <f xml:space="preserve"> STDEV(AM3:AM299)/SQRT(COUNT(AM3:AM299))</f>
        <v>8.4527743181383157E-3</v>
      </c>
    </row>
    <row r="307" spans="11:39" ht="12" customHeight="1" x14ac:dyDescent="0.2">
      <c r="K307" s="60"/>
      <c r="R307" s="60"/>
      <c r="W307" s="60"/>
      <c r="Y307" s="76"/>
      <c r="AB307" s="60"/>
      <c r="AD307" s="60"/>
      <c r="AE307" s="76"/>
      <c r="AF307" s="80"/>
      <c r="AL307" s="168"/>
      <c r="AM307" s="169"/>
    </row>
    <row r="308" spans="11:39" ht="12" customHeight="1" x14ac:dyDescent="0.2">
      <c r="R308" s="60"/>
      <c r="W308" s="60"/>
      <c r="Y308" s="76"/>
      <c r="AB308" s="60"/>
      <c r="AD308" s="60"/>
      <c r="AE308" s="60"/>
      <c r="AF308" s="80"/>
      <c r="AL308" s="168" t="s">
        <v>132</v>
      </c>
      <c r="AM308" s="207">
        <f>AM301-(3*AM305)</f>
        <v>-0.40794437251842874</v>
      </c>
    </row>
    <row r="309" spans="11:39" ht="12" customHeight="1" x14ac:dyDescent="0.2">
      <c r="K309" s="60"/>
      <c r="L309" s="60"/>
      <c r="R309" s="60"/>
      <c r="W309" s="60"/>
      <c r="Y309" s="76"/>
      <c r="AB309" s="60"/>
      <c r="AE309" s="76"/>
      <c r="AF309" s="80"/>
      <c r="AL309" s="168" t="s">
        <v>130</v>
      </c>
      <c r="AM309" s="169">
        <f>AM301+(3*AM305)</f>
        <v>0.20696228000658656</v>
      </c>
    </row>
    <row r="310" spans="11:39" ht="12" customHeight="1" x14ac:dyDescent="0.2">
      <c r="R310" s="60"/>
      <c r="W310" s="60"/>
      <c r="Y310" s="76"/>
      <c r="AB310" s="60"/>
      <c r="AE310" s="60"/>
      <c r="AF310" s="80"/>
    </row>
    <row r="311" spans="11:39" ht="12" customHeight="1" x14ac:dyDescent="0.2">
      <c r="K311" s="60"/>
      <c r="L311" s="60"/>
      <c r="R311" s="60"/>
      <c r="W311" s="60"/>
      <c r="Y311" s="76"/>
      <c r="AB311" s="60"/>
      <c r="AE311" s="76"/>
      <c r="AF311" s="80"/>
      <c r="AM311" s="56">
        <f>INDEX(LINEST(LN(AV13:AX13),LN(AV12:AX12)),1)</f>
        <v>-0.44220536145469269</v>
      </c>
    </row>
    <row r="312" spans="11:39" ht="12" customHeight="1" x14ac:dyDescent="0.2">
      <c r="R312" s="60"/>
      <c r="W312" s="60"/>
      <c r="Y312" s="76"/>
      <c r="AB312" s="60"/>
      <c r="AE312" s="60"/>
      <c r="AF312" s="80"/>
      <c r="AM312" s="58">
        <f>INDEX(LINEST(LN(AV257:AY257),LN(AV256:AY256)),1)</f>
        <v>-0.4328308796194435</v>
      </c>
    </row>
    <row r="313" spans="11:39" ht="12" customHeight="1" x14ac:dyDescent="0.2">
      <c r="K313" s="60"/>
      <c r="L313" s="60"/>
      <c r="R313" s="60"/>
      <c r="W313" s="60"/>
      <c r="Y313" s="76"/>
      <c r="AB313" s="60"/>
      <c r="AE313" s="76"/>
      <c r="AF313" s="80"/>
    </row>
    <row r="314" spans="11:39" ht="12" customHeight="1" x14ac:dyDescent="0.2">
      <c r="R314" s="60"/>
      <c r="W314" s="60"/>
      <c r="Y314" s="76"/>
      <c r="AB314" s="60"/>
      <c r="AE314" s="60"/>
      <c r="AF314" s="80"/>
    </row>
    <row r="315" spans="11:39" ht="12" customHeight="1" x14ac:dyDescent="0.2">
      <c r="K315" s="60"/>
      <c r="L315" s="60"/>
      <c r="R315" s="60"/>
      <c r="W315" s="60"/>
      <c r="Y315" s="76"/>
      <c r="AB315" s="60"/>
      <c r="AE315" s="76"/>
      <c r="AF315" s="80"/>
    </row>
    <row r="316" spans="11:39" ht="12" customHeight="1" x14ac:dyDescent="0.2">
      <c r="R316" s="60"/>
      <c r="W316" s="60"/>
      <c r="Y316" s="76"/>
      <c r="AB316" s="60"/>
      <c r="AE316" s="60"/>
      <c r="AF316" s="80"/>
    </row>
    <row r="317" spans="11:39" ht="12" customHeight="1" x14ac:dyDescent="0.2">
      <c r="K317" s="60"/>
      <c r="L317" s="60"/>
      <c r="R317" s="60"/>
      <c r="W317" s="60"/>
      <c r="Y317" s="76"/>
      <c r="AB317" s="60"/>
      <c r="AE317" s="76"/>
      <c r="AF317" s="80"/>
    </row>
    <row r="318" spans="11:39" ht="12" customHeight="1" x14ac:dyDescent="0.2">
      <c r="R318" s="60"/>
      <c r="W318" s="60"/>
      <c r="Y318" s="76"/>
      <c r="AB318" s="60"/>
      <c r="AE318" s="60"/>
      <c r="AF318" s="80"/>
    </row>
    <row r="319" spans="11:39" ht="12" customHeight="1" x14ac:dyDescent="0.2">
      <c r="K319" s="60"/>
      <c r="L319" s="60"/>
      <c r="R319" s="60"/>
      <c r="W319" s="60"/>
      <c r="Y319" s="76"/>
      <c r="AB319" s="60"/>
      <c r="AE319" s="76"/>
      <c r="AF319" s="80"/>
    </row>
    <row r="320" spans="11:39" ht="12" customHeight="1" x14ac:dyDescent="0.2">
      <c r="R320" s="60"/>
      <c r="W320" s="60"/>
      <c r="Y320" s="76"/>
      <c r="AB320" s="60"/>
      <c r="AE320" s="60"/>
      <c r="AF320" s="80"/>
    </row>
    <row r="321" spans="11:32" ht="12" customHeight="1" x14ac:dyDescent="0.2">
      <c r="K321" s="60"/>
      <c r="L321" s="60"/>
      <c r="R321" s="60"/>
      <c r="W321" s="60"/>
      <c r="Y321" s="76"/>
      <c r="AB321" s="60"/>
      <c r="AE321" s="76"/>
      <c r="AF321" s="80"/>
    </row>
    <row r="322" spans="11:32" ht="12" customHeight="1" x14ac:dyDescent="0.2">
      <c r="R322" s="60"/>
      <c r="W322" s="60"/>
      <c r="Y322" s="76"/>
      <c r="AB322" s="60"/>
      <c r="AE322" s="60"/>
      <c r="AF322" s="80"/>
    </row>
    <row r="323" spans="11:32" ht="12" customHeight="1" x14ac:dyDescent="0.2">
      <c r="K323" s="60"/>
      <c r="L323" s="60"/>
      <c r="R323" s="60"/>
      <c r="W323" s="60"/>
      <c r="Y323" s="76"/>
      <c r="AB323" s="60"/>
      <c r="AE323" s="76"/>
      <c r="AF323" s="80"/>
    </row>
    <row r="324" spans="11:32" ht="12" customHeight="1" x14ac:dyDescent="0.2">
      <c r="R324" s="60"/>
      <c r="W324" s="60"/>
      <c r="Y324" s="76"/>
      <c r="AB324" s="60"/>
      <c r="AE324" s="60"/>
      <c r="AF324" s="80"/>
    </row>
    <row r="325" spans="11:32" ht="12" customHeight="1" x14ac:dyDescent="0.2">
      <c r="K325" s="60"/>
      <c r="L325" s="60"/>
      <c r="R325" s="60"/>
      <c r="W325" s="60"/>
      <c r="Y325" s="76"/>
      <c r="AB325" s="60"/>
      <c r="AE325" s="76"/>
      <c r="AF325" s="80"/>
    </row>
    <row r="326" spans="11:32" ht="12" customHeight="1" x14ac:dyDescent="0.2">
      <c r="R326" s="60"/>
      <c r="W326" s="60"/>
      <c r="Y326" s="76"/>
      <c r="AB326" s="60"/>
      <c r="AE326" s="60"/>
      <c r="AF326" s="80"/>
    </row>
    <row r="327" spans="11:32" ht="12" customHeight="1" x14ac:dyDescent="0.2">
      <c r="K327" s="60"/>
      <c r="L327" s="60"/>
      <c r="R327" s="60"/>
      <c r="W327" s="60"/>
      <c r="Y327" s="76"/>
      <c r="AB327" s="60"/>
      <c r="AE327" s="76"/>
      <c r="AF327" s="80"/>
    </row>
    <row r="328" spans="11:32" ht="12" customHeight="1" x14ac:dyDescent="0.2">
      <c r="R328" s="60"/>
      <c r="W328" s="60"/>
      <c r="Y328" s="76"/>
      <c r="AB328" s="60"/>
      <c r="AE328" s="60"/>
      <c r="AF328" s="80"/>
    </row>
    <row r="329" spans="11:32" ht="12" customHeight="1" x14ac:dyDescent="0.2">
      <c r="K329" s="60"/>
      <c r="L329" s="60"/>
      <c r="R329" s="60"/>
      <c r="W329" s="60"/>
      <c r="Y329" s="76"/>
      <c r="AB329" s="60"/>
      <c r="AE329" s="76"/>
      <c r="AF329" s="80"/>
    </row>
    <row r="330" spans="11:32" ht="12" customHeight="1" x14ac:dyDescent="0.2">
      <c r="R330" s="60"/>
      <c r="W330" s="60"/>
      <c r="Y330" s="76"/>
      <c r="AB330" s="60"/>
      <c r="AE330" s="60"/>
      <c r="AF330" s="80"/>
    </row>
    <row r="331" spans="11:32" ht="12" customHeight="1" x14ac:dyDescent="0.2">
      <c r="K331" s="60"/>
      <c r="L331" s="60"/>
      <c r="R331" s="60"/>
      <c r="W331" s="60"/>
      <c r="Y331" s="76"/>
      <c r="AB331" s="60"/>
      <c r="AE331" s="76"/>
      <c r="AF331" s="80"/>
    </row>
    <row r="332" spans="11:32" ht="12" customHeight="1" x14ac:dyDescent="0.2">
      <c r="W332" s="60"/>
      <c r="Y332" s="76"/>
      <c r="AB332" s="60"/>
      <c r="AE332" s="60"/>
      <c r="AF332" s="80"/>
    </row>
    <row r="333" spans="11:32" ht="12" customHeight="1" x14ac:dyDescent="0.2">
      <c r="K333" s="60"/>
      <c r="L333" s="60"/>
      <c r="W333" s="60"/>
      <c r="Y333" s="76"/>
      <c r="AE333" s="76"/>
      <c r="AF333" s="80"/>
    </row>
    <row r="334" spans="11:32" ht="12" customHeight="1" x14ac:dyDescent="0.2">
      <c r="W334" s="60"/>
      <c r="Y334" s="76"/>
      <c r="AE334" s="60"/>
      <c r="AF334" s="80"/>
    </row>
    <row r="335" spans="11:32" ht="12" customHeight="1" x14ac:dyDescent="0.2">
      <c r="K335" s="60"/>
      <c r="L335" s="60"/>
      <c r="W335" s="60"/>
      <c r="Y335" s="76"/>
      <c r="AE335" s="76"/>
      <c r="AF335" s="80"/>
    </row>
    <row r="336" spans="11:32" ht="12" customHeight="1" x14ac:dyDescent="0.2">
      <c r="W336" s="60"/>
      <c r="Y336" s="76"/>
      <c r="AE336" s="60"/>
      <c r="AF336" s="80"/>
    </row>
    <row r="337" spans="11:32" ht="12" customHeight="1" x14ac:dyDescent="0.2">
      <c r="K337" s="60"/>
      <c r="L337" s="60"/>
      <c r="W337" s="60"/>
      <c r="Y337" s="76"/>
      <c r="AE337" s="76"/>
      <c r="AF337" s="80"/>
    </row>
    <row r="338" spans="11:32" ht="12" customHeight="1" x14ac:dyDescent="0.2">
      <c r="W338" s="60"/>
      <c r="Y338" s="76"/>
      <c r="AE338" s="60"/>
      <c r="AF338" s="80"/>
    </row>
    <row r="339" spans="11:32" ht="12" customHeight="1" x14ac:dyDescent="0.2">
      <c r="K339" s="60"/>
      <c r="L339" s="60"/>
      <c r="W339" s="60"/>
      <c r="Y339" s="76"/>
      <c r="AE339" s="76"/>
      <c r="AF339" s="80"/>
    </row>
    <row r="341" spans="11:32" ht="12" customHeight="1" x14ac:dyDescent="0.2">
      <c r="K341" s="60"/>
      <c r="L341" s="60"/>
    </row>
  </sheetData>
  <conditionalFormatting sqref="AB2:AD2 AB4:AD4 AB6:AC6 AB8:AC8 AB10:AC10 AB12:AC12 AC14 AB16:AC16 AB18:AC18 AB20:AC20 AB22:AC22 AC24 AB26:AC26 AB28:AC28 AB30:AC30 AC38 AC40 AC44 AC46 AC48 AC50 AC86 AC88 AC102 AC104 AC106 AC112 AC122 AC124 AC126 AC128 AC130 AC132 AC134 AC146 AC166 AC164 AC188 AC190 AC220 AC222 AC236 AC238 AC240 AC242 AC252 AC244 AC250 AC270 AC272 AC274 AC276 AC278 AC280 AC282 AC284 AC288 AC290 AC294 AC298 AC170 AC42 AC168 AG22 AG20 AG18 AG16 AG14 AG12 AG10 AG8 AG6 AG30 AG28 AG26 AG24 AG38 AG42 AG40 AG50 AG48 AG46 AG44 AG88 AG86 AG102 AG112 AG106 AG104 AG134 AG132 AG130 AG128 AG126 AG124 AG122 AG168 AG170 AG164 AG166 AG146 AG222 AG220 AG190 AG188 AG242 AG240 AG238 AG250 AG244 AG252 AG284 AG282 AG280 AG278 AG276 AG274 AG272 AG270 AG290 AG288 AG294 AG298 Z42:AA42 Z168:AA168 AG4 AG2 Z170:AA170 E266:I266 E268:I268 E140:I140 E142:I142 E144:I144 T42 S168:T168 S170 X42 X170 X168 V42 V168 B168:Q168 B170:Q170 B42:Q42">
    <cfRule type="expression" dxfId="590" priority="553">
      <formula>MOD(ROW(),2)=1</formula>
    </cfRule>
  </conditionalFormatting>
  <conditionalFormatting sqref="AX166">
    <cfRule type="expression" dxfId="589" priority="552">
      <formula>MOD(ROW(),2)=1</formula>
    </cfRule>
  </conditionalFormatting>
  <conditionalFormatting sqref="J140">
    <cfRule type="expression" dxfId="588" priority="540">
      <formula>MOD(ROW(),2)=1</formula>
    </cfRule>
  </conditionalFormatting>
  <conditionalFormatting sqref="J142">
    <cfRule type="expression" dxfId="587" priority="516">
      <formula>MOD(ROW(),2)=1</formula>
    </cfRule>
  </conditionalFormatting>
  <conditionalFormatting sqref="J144">
    <cfRule type="expression" dxfId="586" priority="515">
      <formula>MOD(ROW(),2)=1</formula>
    </cfRule>
  </conditionalFormatting>
  <conditionalFormatting sqref="AB34:AC34 AG34">
    <cfRule type="expression" dxfId="585" priority="513">
      <formula>MOD(ROW(),2)=1</formula>
    </cfRule>
  </conditionalFormatting>
  <conditionalFormatting sqref="AB32:AC32 AG32">
    <cfRule type="expression" dxfId="584" priority="514">
      <formula>MOD(ROW(),2)=1</formula>
    </cfRule>
  </conditionalFormatting>
  <conditionalFormatting sqref="AX168">
    <cfRule type="expression" dxfId="583" priority="512">
      <formula>MOD(ROW(),2)=1</formula>
    </cfRule>
  </conditionalFormatting>
  <conditionalFormatting sqref="AX170">
    <cfRule type="expression" dxfId="582" priority="511">
      <formula>MOD(ROW(),2)=1</formula>
    </cfRule>
  </conditionalFormatting>
  <conditionalFormatting sqref="AD10 AD12 AD14 AD16 AD18 AD20">
    <cfRule type="expression" dxfId="581" priority="500">
      <formula>MOD(ROW(),2)=1</formula>
    </cfRule>
  </conditionalFormatting>
  <conditionalFormatting sqref="AD24 AD26">
    <cfRule type="expression" dxfId="580" priority="499">
      <formula>MOD(ROW(),2)=1</formula>
    </cfRule>
  </conditionalFormatting>
  <conditionalFormatting sqref="AD40 AD42">
    <cfRule type="expression" dxfId="579" priority="497">
      <formula>MOD(ROW(),2)=1</formula>
    </cfRule>
  </conditionalFormatting>
  <conditionalFormatting sqref="AB132">
    <cfRule type="expression" dxfId="578" priority="506">
      <formula>MOD(ROW(),2)=1</formula>
    </cfRule>
  </conditionalFormatting>
  <conditionalFormatting sqref="AD46 AD48 AD50">
    <cfRule type="expression" dxfId="577" priority="495">
      <formula>MOD(ROW(),2)=1</formula>
    </cfRule>
  </conditionalFormatting>
  <conditionalFormatting sqref="AD90 AD92 AD94 AD96">
    <cfRule type="expression" dxfId="576" priority="494">
      <formula>MOD(ROW(),2)=1</formula>
    </cfRule>
  </conditionalFormatting>
  <conditionalFormatting sqref="AD98 AD102">
    <cfRule type="expression" dxfId="575" priority="493">
      <formula>MOD(ROW(),2)=1</formula>
    </cfRule>
  </conditionalFormatting>
  <conditionalFormatting sqref="AB270">
    <cfRule type="expression" dxfId="574" priority="502">
      <formula>MOD(ROW(),2)=1</formula>
    </cfRule>
  </conditionalFormatting>
  <conditionalFormatting sqref="AD146">
    <cfRule type="expression" dxfId="573" priority="488">
      <formula>MOD(ROW(),2)=1</formula>
    </cfRule>
  </conditionalFormatting>
  <conditionalFormatting sqref="AD104 AD106">
    <cfRule type="expression" dxfId="572" priority="492">
      <formula>MOD(ROW(),2)=1</formula>
    </cfRule>
  </conditionalFormatting>
  <conditionalFormatting sqref="AD244 AD250">
    <cfRule type="expression" dxfId="571" priority="481">
      <formula>MOD(ROW(),2)=1</formula>
    </cfRule>
  </conditionalFormatting>
  <conditionalFormatting sqref="AD126 AD128 AD130 AD132 AD134">
    <cfRule type="expression" dxfId="570" priority="490">
      <formula>MOD(ROW(),2)=1</formula>
    </cfRule>
  </conditionalFormatting>
  <conditionalFormatting sqref="AD140 AD142">
    <cfRule type="expression" dxfId="569" priority="489">
      <formula>MOD(ROW(),2)=1</formula>
    </cfRule>
  </conditionalFormatting>
  <conditionalFormatting sqref="AD288 AD290">
    <cfRule type="expression" dxfId="568" priority="477">
      <formula>MOD(ROW(),2)=1</formula>
    </cfRule>
  </conditionalFormatting>
  <conditionalFormatting sqref="AD188 AD190 AD220 AD222 AD224">
    <cfRule type="expression" dxfId="567" priority="485">
      <formula>MOD(ROW(),2)=1</formula>
    </cfRule>
  </conditionalFormatting>
  <conditionalFormatting sqref="AD240 AD242 AD236">
    <cfRule type="expression" dxfId="566" priority="482">
      <formula>MOD(ROW(),2)=1</formula>
    </cfRule>
  </conditionalFormatting>
  <conditionalFormatting sqref="AD252 AD254 AD256 AD258 AD260">
    <cfRule type="expression" dxfId="565" priority="480">
      <formula>MOD(ROW(),2)=1</formula>
    </cfRule>
  </conditionalFormatting>
  <conditionalFormatting sqref="AD266">
    <cfRule type="expression" dxfId="564" priority="479">
      <formula>MOD(ROW(),2)=1</formula>
    </cfRule>
  </conditionalFormatting>
  <conditionalFormatting sqref="AD280 AD282 AD284 AD286">
    <cfRule type="expression" dxfId="563" priority="478">
      <formula>MOD(ROW(),2)=1</formula>
    </cfRule>
  </conditionalFormatting>
  <conditionalFormatting sqref="AD300 AD302 AD304 AD306">
    <cfRule type="expression" dxfId="562" priority="475">
      <formula>MOD(ROW(),2)=1</formula>
    </cfRule>
  </conditionalFormatting>
  <conditionalFormatting sqref="Y2">
    <cfRule type="expression" dxfId="561" priority="471">
      <formula>MOD(ROW(),2)=1</formula>
    </cfRule>
  </conditionalFormatting>
  <conditionalFormatting sqref="Y8">
    <cfRule type="expression" dxfId="560" priority="459">
      <formula>MOD(ROW(),2)=1</formula>
    </cfRule>
  </conditionalFormatting>
  <conditionalFormatting sqref="Y10">
    <cfRule type="expression" dxfId="559" priority="457">
      <formula>MOD(ROW(),2)=1</formula>
    </cfRule>
  </conditionalFormatting>
  <conditionalFormatting sqref="Y14">
    <cfRule type="expression" dxfId="558" priority="456">
      <formula>MOD(ROW(),2)=1</formula>
    </cfRule>
  </conditionalFormatting>
  <conditionalFormatting sqref="Y18">
    <cfRule type="expression" dxfId="557" priority="455">
      <formula>MOD(ROW(),2)=1</formula>
    </cfRule>
  </conditionalFormatting>
  <conditionalFormatting sqref="Y20">
    <cfRule type="expression" dxfId="556" priority="454">
      <formula>MOD(ROW(),2)=1</formula>
    </cfRule>
  </conditionalFormatting>
  <conditionalFormatting sqref="Y24">
    <cfRule type="expression" dxfId="555" priority="453">
      <formula>MOD(ROW(),2)=1</formula>
    </cfRule>
  </conditionalFormatting>
  <conditionalFormatting sqref="Y26">
    <cfRule type="expression" dxfId="554" priority="452">
      <formula>MOD(ROW(),2)=1</formula>
    </cfRule>
  </conditionalFormatting>
  <conditionalFormatting sqref="Y30">
    <cfRule type="expression" dxfId="553" priority="451">
      <formula>MOD(ROW(),2)=1</formula>
    </cfRule>
  </conditionalFormatting>
  <conditionalFormatting sqref="Y34">
    <cfRule type="expression" dxfId="552" priority="450">
      <formula>MOD(ROW(),2)=1</formula>
    </cfRule>
  </conditionalFormatting>
  <conditionalFormatting sqref="Y40">
    <cfRule type="expression" dxfId="551" priority="439">
      <formula>MOD(ROW(),2)=1</formula>
    </cfRule>
  </conditionalFormatting>
  <conditionalFormatting sqref="Y46">
    <cfRule type="expression" dxfId="550" priority="427">
      <formula>MOD(ROW(),2)=1</formula>
    </cfRule>
  </conditionalFormatting>
  <conditionalFormatting sqref="Y50">
    <cfRule type="expression" dxfId="549" priority="426">
      <formula>MOD(ROW(),2)=1</formula>
    </cfRule>
  </conditionalFormatting>
  <conditionalFormatting sqref="Y88">
    <cfRule type="expression" dxfId="548" priority="423">
      <formula>MOD(ROW(),2)=1</formula>
    </cfRule>
  </conditionalFormatting>
  <conditionalFormatting sqref="Y92">
    <cfRule type="expression" dxfId="547" priority="422">
      <formula>MOD(ROW(),2)=1</formula>
    </cfRule>
  </conditionalFormatting>
  <conditionalFormatting sqref="Y96">
    <cfRule type="expression" dxfId="546" priority="421">
      <formula>MOD(ROW(),2)=1</formula>
    </cfRule>
  </conditionalFormatting>
  <conditionalFormatting sqref="Y98">
    <cfRule type="expression" dxfId="545" priority="420">
      <formula>MOD(ROW(),2)=1</formula>
    </cfRule>
  </conditionalFormatting>
  <conditionalFormatting sqref="Y106">
    <cfRule type="expression" dxfId="544" priority="415">
      <formula>MOD(ROW(),2)=1</formula>
    </cfRule>
  </conditionalFormatting>
  <conditionalFormatting sqref="Y110">
    <cfRule type="expression" dxfId="543" priority="414">
      <formula>MOD(ROW(),2)=1</formula>
    </cfRule>
  </conditionalFormatting>
  <conditionalFormatting sqref="Y102">
    <cfRule type="expression" dxfId="542" priority="416">
      <formula>MOD(ROW(),2)=1</formula>
    </cfRule>
  </conditionalFormatting>
  <conditionalFormatting sqref="Y112">
    <cfRule type="expression" dxfId="541" priority="413">
      <formula>MOD(ROW(),2)=1</formula>
    </cfRule>
  </conditionalFormatting>
  <conditionalFormatting sqref="Y132">
    <cfRule type="expression" dxfId="540" priority="402">
      <formula>MOD(ROW(),2)=1</formula>
    </cfRule>
  </conditionalFormatting>
  <conditionalFormatting sqref="Y142">
    <cfRule type="expression" dxfId="539" priority="396">
      <formula>MOD(ROW(),2)=1</formula>
    </cfRule>
  </conditionalFormatting>
  <conditionalFormatting sqref="Y146">
    <cfRule type="expression" dxfId="538" priority="395">
      <formula>MOD(ROW(),2)=1</formula>
    </cfRule>
  </conditionalFormatting>
  <conditionalFormatting sqref="Y126">
    <cfRule type="expression" dxfId="537" priority="404">
      <formula>MOD(ROW(),2)=1</formula>
    </cfRule>
  </conditionalFormatting>
  <conditionalFormatting sqref="Y128">
    <cfRule type="expression" dxfId="536" priority="403">
      <formula>MOD(ROW(),2)=1</formula>
    </cfRule>
  </conditionalFormatting>
  <conditionalFormatting sqref="Y188">
    <cfRule type="expression" dxfId="535" priority="388">
      <formula>MOD(ROW(),2)=1</formula>
    </cfRule>
  </conditionalFormatting>
  <conditionalFormatting sqref="Y220">
    <cfRule type="expression" dxfId="534" priority="384">
      <formula>MOD(ROW(),2)=1</formula>
    </cfRule>
  </conditionalFormatting>
  <conditionalFormatting sqref="Y166">
    <cfRule type="expression" dxfId="533" priority="393">
      <formula>MOD(ROW(),2)=1</formula>
    </cfRule>
  </conditionalFormatting>
  <conditionalFormatting sqref="Y170">
    <cfRule type="expression" dxfId="532" priority="392">
      <formula>MOD(ROW(),2)=1</formula>
    </cfRule>
  </conditionalFormatting>
  <conditionalFormatting sqref="Y222">
    <cfRule type="expression" dxfId="531" priority="383">
      <formula>MOD(ROW(),2)=1</formula>
    </cfRule>
  </conditionalFormatting>
  <conditionalFormatting sqref="Y236">
    <cfRule type="expression" dxfId="530" priority="371">
      <formula>MOD(ROW(),2)=1</formula>
    </cfRule>
  </conditionalFormatting>
  <conditionalFormatting sqref="Y238">
    <cfRule type="expression" dxfId="529" priority="370">
      <formula>MOD(ROW(),2)=1</formula>
    </cfRule>
  </conditionalFormatting>
  <conditionalFormatting sqref="Y242">
    <cfRule type="expression" dxfId="528" priority="367">
      <formula>MOD(ROW(),2)=1</formula>
    </cfRule>
  </conditionalFormatting>
  <conditionalFormatting sqref="Y244">
    <cfRule type="expression" dxfId="527" priority="363">
      <formula>MOD(ROW(),2)=1</formula>
    </cfRule>
  </conditionalFormatting>
  <conditionalFormatting sqref="Y254">
    <cfRule type="expression" dxfId="526" priority="362">
      <formula>MOD(ROW(),2)=1</formula>
    </cfRule>
  </conditionalFormatting>
  <conditionalFormatting sqref="Y266">
    <cfRule type="expression" dxfId="525" priority="355">
      <formula>MOD(ROW(),2)=1</formula>
    </cfRule>
  </conditionalFormatting>
  <conditionalFormatting sqref="Y258">
    <cfRule type="expression" dxfId="524" priority="361">
      <formula>MOD(ROW(),2)=1</formula>
    </cfRule>
  </conditionalFormatting>
  <conditionalFormatting sqref="Y282">
    <cfRule type="expression" dxfId="523" priority="350">
      <formula>MOD(ROW(),2)=1</formula>
    </cfRule>
  </conditionalFormatting>
  <conditionalFormatting sqref="Y286">
    <cfRule type="expression" dxfId="522" priority="349">
      <formula>MOD(ROW(),2)=1</formula>
    </cfRule>
  </conditionalFormatting>
  <conditionalFormatting sqref="Y272">
    <cfRule type="expression" dxfId="521" priority="353">
      <formula>MOD(ROW(),2)=1</formula>
    </cfRule>
  </conditionalFormatting>
  <conditionalFormatting sqref="Y276">
    <cfRule type="expression" dxfId="520" priority="352">
      <formula>MOD(ROW(),2)=1</formula>
    </cfRule>
  </conditionalFormatting>
  <conditionalFormatting sqref="Y280">
    <cfRule type="expression" dxfId="519" priority="351">
      <formula>MOD(ROW(),2)=1</formula>
    </cfRule>
  </conditionalFormatting>
  <conditionalFormatting sqref="Y318">
    <cfRule type="expression" dxfId="518" priority="338">
      <formula>MOD(ROW(),2)=1</formula>
    </cfRule>
  </conditionalFormatting>
  <conditionalFormatting sqref="Y322">
    <cfRule type="expression" dxfId="517" priority="337">
      <formula>MOD(ROW(),2)=1</formula>
    </cfRule>
  </conditionalFormatting>
  <conditionalFormatting sqref="Y326">
    <cfRule type="expression" dxfId="516" priority="336">
      <formula>MOD(ROW(),2)=1</formula>
    </cfRule>
  </conditionalFormatting>
  <conditionalFormatting sqref="Y288">
    <cfRule type="expression" dxfId="515" priority="345">
      <formula>MOD(ROW(),2)=1</formula>
    </cfRule>
  </conditionalFormatting>
  <conditionalFormatting sqref="Y334">
    <cfRule type="expression" dxfId="514" priority="334">
      <formula>MOD(ROW(),2)=1</formula>
    </cfRule>
  </conditionalFormatting>
  <conditionalFormatting sqref="Y338">
    <cfRule type="expression" dxfId="513" priority="333">
      <formula>MOD(ROW(),2)=1</formula>
    </cfRule>
  </conditionalFormatting>
  <conditionalFormatting sqref="Y306">
    <cfRule type="expression" dxfId="512" priority="341">
      <formula>MOD(ROW(),2)=1</formula>
    </cfRule>
  </conditionalFormatting>
  <conditionalFormatting sqref="Y310">
    <cfRule type="expression" dxfId="511" priority="340">
      <formula>MOD(ROW(),2)=1</formula>
    </cfRule>
  </conditionalFormatting>
  <conditionalFormatting sqref="Y314">
    <cfRule type="expression" dxfId="510" priority="339">
      <formula>MOD(ROW(),2)=1</formula>
    </cfRule>
  </conditionalFormatting>
  <conditionalFormatting sqref="Y330">
    <cfRule type="expression" dxfId="509" priority="335">
      <formula>MOD(ROW(),2)=1</formula>
    </cfRule>
  </conditionalFormatting>
  <conditionalFormatting sqref="W2">
    <cfRule type="expression" dxfId="508" priority="329">
      <formula>MOD(ROW(),2)=1</formula>
    </cfRule>
  </conditionalFormatting>
  <conditionalFormatting sqref="W8">
    <cfRule type="expression" dxfId="507" priority="317">
      <formula>MOD(ROW(),2)=1</formula>
    </cfRule>
  </conditionalFormatting>
  <conditionalFormatting sqref="W10">
    <cfRule type="expression" dxfId="506" priority="315">
      <formula>MOD(ROW(),2)=1</formula>
    </cfRule>
  </conditionalFormatting>
  <conditionalFormatting sqref="W14">
    <cfRule type="expression" dxfId="505" priority="314">
      <formula>MOD(ROW(),2)=1</formula>
    </cfRule>
  </conditionalFormatting>
  <conditionalFormatting sqref="W18">
    <cfRule type="expression" dxfId="504" priority="313">
      <formula>MOD(ROW(),2)=1</formula>
    </cfRule>
  </conditionalFormatting>
  <conditionalFormatting sqref="W20">
    <cfRule type="expression" dxfId="503" priority="312">
      <formula>MOD(ROW(),2)=1</formula>
    </cfRule>
  </conditionalFormatting>
  <conditionalFormatting sqref="W24">
    <cfRule type="expression" dxfId="502" priority="311">
      <formula>MOD(ROW(),2)=1</formula>
    </cfRule>
  </conditionalFormatting>
  <conditionalFormatting sqref="W26">
    <cfRule type="expression" dxfId="501" priority="310">
      <formula>MOD(ROW(),2)=1</formula>
    </cfRule>
  </conditionalFormatting>
  <conditionalFormatting sqref="W30">
    <cfRule type="expression" dxfId="500" priority="309">
      <formula>MOD(ROW(),2)=1</formula>
    </cfRule>
  </conditionalFormatting>
  <conditionalFormatting sqref="W34">
    <cfRule type="expression" dxfId="499" priority="308">
      <formula>MOD(ROW(),2)=1</formula>
    </cfRule>
  </conditionalFormatting>
  <conditionalFormatting sqref="W40">
    <cfRule type="expression" dxfId="498" priority="297">
      <formula>MOD(ROW(),2)=1</formula>
    </cfRule>
  </conditionalFormatting>
  <conditionalFormatting sqref="W46">
    <cfRule type="expression" dxfId="497" priority="285">
      <formula>MOD(ROW(),2)=1</formula>
    </cfRule>
  </conditionalFormatting>
  <conditionalFormatting sqref="W50">
    <cfRule type="expression" dxfId="496" priority="284">
      <formula>MOD(ROW(),2)=1</formula>
    </cfRule>
  </conditionalFormatting>
  <conditionalFormatting sqref="W88">
    <cfRule type="expression" dxfId="495" priority="281">
      <formula>MOD(ROW(),2)=1</formula>
    </cfRule>
  </conditionalFormatting>
  <conditionalFormatting sqref="W92">
    <cfRule type="expression" dxfId="494" priority="280">
      <formula>MOD(ROW(),2)=1</formula>
    </cfRule>
  </conditionalFormatting>
  <conditionalFormatting sqref="W96">
    <cfRule type="expression" dxfId="493" priority="279">
      <formula>MOD(ROW(),2)=1</formula>
    </cfRule>
  </conditionalFormatting>
  <conditionalFormatting sqref="W98">
    <cfRule type="expression" dxfId="492" priority="278">
      <formula>MOD(ROW(),2)=1</formula>
    </cfRule>
  </conditionalFormatting>
  <conditionalFormatting sqref="W106">
    <cfRule type="expression" dxfId="491" priority="273">
      <formula>MOD(ROW(),2)=1</formula>
    </cfRule>
  </conditionalFormatting>
  <conditionalFormatting sqref="W110">
    <cfRule type="expression" dxfId="490" priority="272">
      <formula>MOD(ROW(),2)=1</formula>
    </cfRule>
  </conditionalFormatting>
  <conditionalFormatting sqref="W102">
    <cfRule type="expression" dxfId="489" priority="274">
      <formula>MOD(ROW(),2)=1</formula>
    </cfRule>
  </conditionalFormatting>
  <conditionalFormatting sqref="W112">
    <cfRule type="expression" dxfId="488" priority="271">
      <formula>MOD(ROW(),2)=1</formula>
    </cfRule>
  </conditionalFormatting>
  <conditionalFormatting sqref="W132">
    <cfRule type="expression" dxfId="487" priority="260">
      <formula>MOD(ROW(),2)=1</formula>
    </cfRule>
  </conditionalFormatting>
  <conditionalFormatting sqref="W142">
    <cfRule type="expression" dxfId="486" priority="254">
      <formula>MOD(ROW(),2)=1</formula>
    </cfRule>
  </conditionalFormatting>
  <conditionalFormatting sqref="W146">
    <cfRule type="expression" dxfId="485" priority="253">
      <formula>MOD(ROW(),2)=1</formula>
    </cfRule>
  </conditionalFormatting>
  <conditionalFormatting sqref="W126">
    <cfRule type="expression" dxfId="484" priority="262">
      <formula>MOD(ROW(),2)=1</formula>
    </cfRule>
  </conditionalFormatting>
  <conditionalFormatting sqref="W128">
    <cfRule type="expression" dxfId="483" priority="261">
      <formula>MOD(ROW(),2)=1</formula>
    </cfRule>
  </conditionalFormatting>
  <conditionalFormatting sqref="W188">
    <cfRule type="expression" dxfId="482" priority="246">
      <formula>MOD(ROW(),2)=1</formula>
    </cfRule>
  </conditionalFormatting>
  <conditionalFormatting sqref="W220">
    <cfRule type="expression" dxfId="481" priority="242">
      <formula>MOD(ROW(),2)=1</formula>
    </cfRule>
  </conditionalFormatting>
  <conditionalFormatting sqref="W166">
    <cfRule type="expression" dxfId="480" priority="251">
      <formula>MOD(ROW(),2)=1</formula>
    </cfRule>
  </conditionalFormatting>
  <conditionalFormatting sqref="W170">
    <cfRule type="expression" dxfId="479" priority="250">
      <formula>MOD(ROW(),2)=1</formula>
    </cfRule>
  </conditionalFormatting>
  <conditionalFormatting sqref="W222">
    <cfRule type="expression" dxfId="478" priority="241">
      <formula>MOD(ROW(),2)=1</formula>
    </cfRule>
  </conditionalFormatting>
  <conditionalFormatting sqref="W236">
    <cfRule type="expression" dxfId="477" priority="229">
      <formula>MOD(ROW(),2)=1</formula>
    </cfRule>
  </conditionalFormatting>
  <conditionalFormatting sqref="W238">
    <cfRule type="expression" dxfId="476" priority="228">
      <formula>MOD(ROW(),2)=1</formula>
    </cfRule>
  </conditionalFormatting>
  <conditionalFormatting sqref="W242">
    <cfRule type="expression" dxfId="475" priority="225">
      <formula>MOD(ROW(),2)=1</formula>
    </cfRule>
  </conditionalFormatting>
  <conditionalFormatting sqref="W244">
    <cfRule type="expression" dxfId="474" priority="221">
      <formula>MOD(ROW(),2)=1</formula>
    </cfRule>
  </conditionalFormatting>
  <conditionalFormatting sqref="W254">
    <cfRule type="expression" dxfId="473" priority="220">
      <formula>MOD(ROW(),2)=1</formula>
    </cfRule>
  </conditionalFormatting>
  <conditionalFormatting sqref="W266">
    <cfRule type="expression" dxfId="472" priority="213">
      <formula>MOD(ROW(),2)=1</formula>
    </cfRule>
  </conditionalFormatting>
  <conditionalFormatting sqref="W258">
    <cfRule type="expression" dxfId="471" priority="219">
      <formula>MOD(ROW(),2)=1</formula>
    </cfRule>
  </conditionalFormatting>
  <conditionalFormatting sqref="W282">
    <cfRule type="expression" dxfId="470" priority="208">
      <formula>MOD(ROW(),2)=1</formula>
    </cfRule>
  </conditionalFormatting>
  <conditionalFormatting sqref="W286">
    <cfRule type="expression" dxfId="469" priority="207">
      <formula>MOD(ROW(),2)=1</formula>
    </cfRule>
  </conditionalFormatting>
  <conditionalFormatting sqref="W272">
    <cfRule type="expression" dxfId="468" priority="211">
      <formula>MOD(ROW(),2)=1</formula>
    </cfRule>
  </conditionalFormatting>
  <conditionalFormatting sqref="W276">
    <cfRule type="expression" dxfId="467" priority="210">
      <formula>MOD(ROW(),2)=1</formula>
    </cfRule>
  </conditionalFormatting>
  <conditionalFormatting sqref="W280">
    <cfRule type="expression" dxfId="466" priority="209">
      <formula>MOD(ROW(),2)=1</formula>
    </cfRule>
  </conditionalFormatting>
  <conditionalFormatting sqref="W318">
    <cfRule type="expression" dxfId="465" priority="196">
      <formula>MOD(ROW(),2)=1</formula>
    </cfRule>
  </conditionalFormatting>
  <conditionalFormatting sqref="W322">
    <cfRule type="expression" dxfId="464" priority="195">
      <formula>MOD(ROW(),2)=1</formula>
    </cfRule>
  </conditionalFormatting>
  <conditionalFormatting sqref="W326">
    <cfRule type="expression" dxfId="463" priority="194">
      <formula>MOD(ROW(),2)=1</formula>
    </cfRule>
  </conditionalFormatting>
  <conditionalFormatting sqref="W288">
    <cfRule type="expression" dxfId="462" priority="203">
      <formula>MOD(ROW(),2)=1</formula>
    </cfRule>
  </conditionalFormatting>
  <conditionalFormatting sqref="W334">
    <cfRule type="expression" dxfId="461" priority="192">
      <formula>MOD(ROW(),2)=1</formula>
    </cfRule>
  </conditionalFormatting>
  <conditionalFormatting sqref="W338">
    <cfRule type="expression" dxfId="460" priority="191">
      <formula>MOD(ROW(),2)=1</formula>
    </cfRule>
  </conditionalFormatting>
  <conditionalFormatting sqref="W306">
    <cfRule type="expression" dxfId="459" priority="199">
      <formula>MOD(ROW(),2)=1</formula>
    </cfRule>
  </conditionalFormatting>
  <conditionalFormatting sqref="W310">
    <cfRule type="expression" dxfId="458" priority="198">
      <formula>MOD(ROW(),2)=1</formula>
    </cfRule>
  </conditionalFormatting>
  <conditionalFormatting sqref="W314">
    <cfRule type="expression" dxfId="457" priority="197">
      <formula>MOD(ROW(),2)=1</formula>
    </cfRule>
  </conditionalFormatting>
  <conditionalFormatting sqref="W330">
    <cfRule type="expression" dxfId="456" priority="193">
      <formula>MOD(ROW(),2)=1</formula>
    </cfRule>
  </conditionalFormatting>
  <conditionalFormatting sqref="AC246 AG246">
    <cfRule type="expression" dxfId="455" priority="180">
      <formula>MOD(ROW(),2)=1</formula>
    </cfRule>
  </conditionalFormatting>
  <conditionalFormatting sqref="AD246">
    <cfRule type="expression" dxfId="454" priority="179">
      <formula>MOD(ROW(),2)=1</formula>
    </cfRule>
  </conditionalFormatting>
  <conditionalFormatting sqref="Y246">
    <cfRule type="expression" dxfId="453" priority="178">
      <formula>MOD(ROW(),2)=1</formula>
    </cfRule>
  </conditionalFormatting>
  <conditionalFormatting sqref="H6:I6">
    <cfRule type="expression" dxfId="452" priority="187">
      <formula>MOD(ROW(),2)=1</formula>
    </cfRule>
  </conditionalFormatting>
  <conditionalFormatting sqref="H8:I8">
    <cfRule type="expression" dxfId="451" priority="186">
      <formula>MOD(ROW(),2)=1</formula>
    </cfRule>
  </conditionalFormatting>
  <conditionalFormatting sqref="AD248">
    <cfRule type="expression" dxfId="450" priority="175">
      <formula>MOD(ROW(),2)=1</formula>
    </cfRule>
  </conditionalFormatting>
  <conditionalFormatting sqref="W248">
    <cfRule type="expression" dxfId="449" priority="173">
      <formula>MOD(ROW(),2)=1</formula>
    </cfRule>
  </conditionalFormatting>
  <conditionalFormatting sqref="Y248">
    <cfRule type="expression" dxfId="448" priority="174">
      <formula>MOD(ROW(),2)=1</formula>
    </cfRule>
  </conditionalFormatting>
  <conditionalFormatting sqref="AC148 AG148">
    <cfRule type="expression" dxfId="447" priority="171">
      <formula>MOD(ROW(),2)=1</formula>
    </cfRule>
  </conditionalFormatting>
  <conditionalFormatting sqref="W246">
    <cfRule type="expression" dxfId="446" priority="177">
      <formula>MOD(ROW(),2)=1</formula>
    </cfRule>
  </conditionalFormatting>
  <conditionalFormatting sqref="AC248 AG248">
    <cfRule type="expression" dxfId="445" priority="176">
      <formula>MOD(ROW(),2)=1</formula>
    </cfRule>
  </conditionalFormatting>
  <conditionalFormatting sqref="AD152">
    <cfRule type="expression" dxfId="444" priority="162">
      <formula>MOD(ROW(),2)=1</formula>
    </cfRule>
  </conditionalFormatting>
  <conditionalFormatting sqref="W148">
    <cfRule type="expression" dxfId="443" priority="168">
      <formula>MOD(ROW(),2)=1</formula>
    </cfRule>
  </conditionalFormatting>
  <conditionalFormatting sqref="AD148">
    <cfRule type="expression" dxfId="442" priority="170">
      <formula>MOD(ROW(),2)=1</formula>
    </cfRule>
  </conditionalFormatting>
  <conditionalFormatting sqref="Y148">
    <cfRule type="expression" dxfId="441" priority="169">
      <formula>MOD(ROW(),2)=1</formula>
    </cfRule>
  </conditionalFormatting>
  <conditionalFormatting sqref="W150">
    <cfRule type="expression" dxfId="440" priority="164">
      <formula>MOD(ROW(),2)=1</formula>
    </cfRule>
  </conditionalFormatting>
  <conditionalFormatting sqref="W152">
    <cfRule type="expression" dxfId="439" priority="160">
      <formula>MOD(ROW(),2)=1</formula>
    </cfRule>
  </conditionalFormatting>
  <conditionalFormatting sqref="AC150 AG150">
    <cfRule type="expression" dxfId="438" priority="167">
      <formula>MOD(ROW(),2)=1</formula>
    </cfRule>
  </conditionalFormatting>
  <conditionalFormatting sqref="AD150">
    <cfRule type="expression" dxfId="437" priority="166">
      <formula>MOD(ROW(),2)=1</formula>
    </cfRule>
  </conditionalFormatting>
  <conditionalFormatting sqref="Y150">
    <cfRule type="expression" dxfId="436" priority="165">
      <formula>MOD(ROW(),2)=1</formula>
    </cfRule>
  </conditionalFormatting>
  <conditionalFormatting sqref="W154">
    <cfRule type="expression" dxfId="435" priority="156">
      <formula>MOD(ROW(),2)=1</formula>
    </cfRule>
  </conditionalFormatting>
  <conditionalFormatting sqref="AC152 AG152">
    <cfRule type="expression" dxfId="434" priority="163">
      <formula>MOD(ROW(),2)=1</formula>
    </cfRule>
  </conditionalFormatting>
  <conditionalFormatting sqref="Y152">
    <cfRule type="expression" dxfId="433" priority="161">
      <formula>MOD(ROW(),2)=1</formula>
    </cfRule>
  </conditionalFormatting>
  <conditionalFormatting sqref="W156">
    <cfRule type="expression" dxfId="432" priority="152">
      <formula>MOD(ROW(),2)=1</formula>
    </cfRule>
  </conditionalFormatting>
  <conditionalFormatting sqref="AC154 AG154">
    <cfRule type="expression" dxfId="431" priority="159">
      <formula>MOD(ROW(),2)=1</formula>
    </cfRule>
  </conditionalFormatting>
  <conditionalFormatting sqref="AD154">
    <cfRule type="expression" dxfId="430" priority="158">
      <formula>MOD(ROW(),2)=1</formula>
    </cfRule>
  </conditionalFormatting>
  <conditionalFormatting sqref="Y154">
    <cfRule type="expression" dxfId="429" priority="157">
      <formula>MOD(ROW(),2)=1</formula>
    </cfRule>
  </conditionalFormatting>
  <conditionalFormatting sqref="W158">
    <cfRule type="expression" dxfId="428" priority="148">
      <formula>MOD(ROW(),2)=1</formula>
    </cfRule>
  </conditionalFormatting>
  <conditionalFormatting sqref="AC156 AG156">
    <cfRule type="expression" dxfId="427" priority="155">
      <formula>MOD(ROW(),2)=1</formula>
    </cfRule>
  </conditionalFormatting>
  <conditionalFormatting sqref="AD156">
    <cfRule type="expression" dxfId="426" priority="154">
      <formula>MOD(ROW(),2)=1</formula>
    </cfRule>
  </conditionalFormatting>
  <conditionalFormatting sqref="Y156">
    <cfRule type="expression" dxfId="425" priority="153">
      <formula>MOD(ROW(),2)=1</formula>
    </cfRule>
  </conditionalFormatting>
  <conditionalFormatting sqref="W160">
    <cfRule type="expression" dxfId="424" priority="144">
      <formula>MOD(ROW(),2)=1</formula>
    </cfRule>
  </conditionalFormatting>
  <conditionalFormatting sqref="W162">
    <cfRule type="expression" dxfId="423" priority="140">
      <formula>MOD(ROW(),2)=1</formula>
    </cfRule>
  </conditionalFormatting>
  <conditionalFormatting sqref="AC158 AG158">
    <cfRule type="expression" dxfId="422" priority="151">
      <formula>MOD(ROW(),2)=1</formula>
    </cfRule>
  </conditionalFormatting>
  <conditionalFormatting sqref="AD158">
    <cfRule type="expression" dxfId="421" priority="150">
      <formula>MOD(ROW(),2)=1</formula>
    </cfRule>
  </conditionalFormatting>
  <conditionalFormatting sqref="Y158">
    <cfRule type="expression" dxfId="420" priority="149">
      <formula>MOD(ROW(),2)=1</formula>
    </cfRule>
  </conditionalFormatting>
  <conditionalFormatting sqref="AC160 AG160">
    <cfRule type="expression" dxfId="419" priority="147">
      <formula>MOD(ROW(),2)=1</formula>
    </cfRule>
  </conditionalFormatting>
  <conditionalFormatting sqref="AD160">
    <cfRule type="expression" dxfId="418" priority="146">
      <formula>MOD(ROW(),2)=1</formula>
    </cfRule>
  </conditionalFormatting>
  <conditionalFormatting sqref="Y160">
    <cfRule type="expression" dxfId="417" priority="145">
      <formula>MOD(ROW(),2)=1</formula>
    </cfRule>
  </conditionalFormatting>
  <conditionalFormatting sqref="AC162 AG162">
    <cfRule type="expression" dxfId="416" priority="143">
      <formula>MOD(ROW(),2)=1</formula>
    </cfRule>
  </conditionalFormatting>
  <conditionalFormatting sqref="AD162">
    <cfRule type="expression" dxfId="415" priority="142">
      <formula>MOD(ROW(),2)=1</formula>
    </cfRule>
  </conditionalFormatting>
  <conditionalFormatting sqref="Y162">
    <cfRule type="expression" dxfId="414" priority="141">
      <formula>MOD(ROW(),2)=1</formula>
    </cfRule>
  </conditionalFormatting>
  <conditionalFormatting sqref="AD226">
    <cfRule type="expression" dxfId="413" priority="139">
      <formula>MOD(ROW(),2)=1</formula>
    </cfRule>
  </conditionalFormatting>
  <conditionalFormatting sqref="AD228">
    <cfRule type="expression" dxfId="412" priority="138">
      <formula>MOD(ROW(),2)=1</formula>
    </cfRule>
  </conditionalFormatting>
  <conditionalFormatting sqref="AD230">
    <cfRule type="expression" dxfId="411" priority="137">
      <formula>MOD(ROW(),2)=1</formula>
    </cfRule>
  </conditionalFormatting>
  <conditionalFormatting sqref="AD232">
    <cfRule type="expression" dxfId="410" priority="136">
      <formula>MOD(ROW(),2)=1</formula>
    </cfRule>
  </conditionalFormatting>
  <conditionalFormatting sqref="AD234">
    <cfRule type="expression" dxfId="409" priority="135">
      <formula>MOD(ROW(),2)=1</formula>
    </cfRule>
  </conditionalFormatting>
  <conditionalFormatting sqref="U4 U2">
    <cfRule type="expression" dxfId="408" priority="124">
      <formula>MOD(ROW(),2)=1</formula>
    </cfRule>
  </conditionalFormatting>
  <conditionalFormatting sqref="U8">
    <cfRule type="expression" dxfId="407" priority="118">
      <formula>MOD(ROW(),2)=1</formula>
    </cfRule>
  </conditionalFormatting>
  <conditionalFormatting sqref="U12 U14 U10">
    <cfRule type="expression" dxfId="406" priority="117">
      <formula>MOD(ROW(),2)=1</formula>
    </cfRule>
  </conditionalFormatting>
  <conditionalFormatting sqref="U20 U22 U18">
    <cfRule type="expression" dxfId="405" priority="116">
      <formula>MOD(ROW(),2)=1</formula>
    </cfRule>
  </conditionalFormatting>
  <conditionalFormatting sqref="U26 U28">
    <cfRule type="expression" dxfId="404" priority="115">
      <formula>MOD(ROW(),2)=1</formula>
    </cfRule>
  </conditionalFormatting>
  <conditionalFormatting sqref="U34 U32">
    <cfRule type="expression" dxfId="403" priority="114">
      <formula>MOD(ROW(),2)=1</formula>
    </cfRule>
  </conditionalFormatting>
  <conditionalFormatting sqref="U44">
    <cfRule type="expression" dxfId="402" priority="101">
      <formula>MOD(ROW(),2)=1</formula>
    </cfRule>
  </conditionalFormatting>
  <conditionalFormatting sqref="U50 U48">
    <cfRule type="expression" dxfId="401" priority="100">
      <formula>MOD(ROW(),2)=1</formula>
    </cfRule>
  </conditionalFormatting>
  <conditionalFormatting sqref="U40 U42">
    <cfRule type="expression" dxfId="400" priority="107">
      <formula>MOD(ROW(),2)=1</formula>
    </cfRule>
  </conditionalFormatting>
  <conditionalFormatting sqref="U96 U94">
    <cfRule type="expression" dxfId="399" priority="96">
      <formula>MOD(ROW(),2)=1</formula>
    </cfRule>
  </conditionalFormatting>
  <conditionalFormatting sqref="U100">
    <cfRule type="expression" dxfId="398" priority="95">
      <formula>MOD(ROW(),2)=1</formula>
    </cfRule>
  </conditionalFormatting>
  <conditionalFormatting sqref="U102">
    <cfRule type="expression" dxfId="397" priority="93">
      <formula>MOD(ROW(),2)=1</formula>
    </cfRule>
  </conditionalFormatting>
  <conditionalFormatting sqref="U108 U110 U106">
    <cfRule type="expression" dxfId="396" priority="92">
      <formula>MOD(ROW(),2)=1</formula>
    </cfRule>
  </conditionalFormatting>
  <conditionalFormatting sqref="U88 U90 U86">
    <cfRule type="expression" dxfId="395" priority="97">
      <formula>MOD(ROW(),2)=1</formula>
    </cfRule>
  </conditionalFormatting>
  <conditionalFormatting sqref="U112">
    <cfRule type="expression" dxfId="394" priority="91">
      <formula>MOD(ROW(),2)=1</formula>
    </cfRule>
  </conditionalFormatting>
  <conditionalFormatting sqref="U140 U142">
    <cfRule type="expression" dxfId="393" priority="78">
      <formula>MOD(ROW(),2)=1</formula>
    </cfRule>
  </conditionalFormatting>
  <conditionalFormatting sqref="U148 U150 U146">
    <cfRule type="expression" dxfId="392" priority="75">
      <formula>MOD(ROW(),2)=1</formula>
    </cfRule>
  </conditionalFormatting>
  <conditionalFormatting sqref="U156 U158 U154">
    <cfRule type="expression" dxfId="391" priority="74">
      <formula>MOD(ROW(),2)=1</formula>
    </cfRule>
  </conditionalFormatting>
  <conditionalFormatting sqref="U122">
    <cfRule type="expression" dxfId="390" priority="83">
      <formula>MOD(ROW(),2)=1</formula>
    </cfRule>
  </conditionalFormatting>
  <conditionalFormatting sqref="U128 U126">
    <cfRule type="expression" dxfId="389" priority="82">
      <formula>MOD(ROW(),2)=1</formula>
    </cfRule>
  </conditionalFormatting>
  <conditionalFormatting sqref="U134 U132">
    <cfRule type="expression" dxfId="388" priority="81">
      <formula>MOD(ROW(),2)=1</formula>
    </cfRule>
  </conditionalFormatting>
  <conditionalFormatting sqref="U162">
    <cfRule type="expression" dxfId="387" priority="73">
      <formula>MOD(ROW(),2)=1</formula>
    </cfRule>
  </conditionalFormatting>
  <conditionalFormatting sqref="U166 U164">
    <cfRule type="expression" dxfId="386" priority="72">
      <formula>MOD(ROW(),2)=1</formula>
    </cfRule>
  </conditionalFormatting>
  <conditionalFormatting sqref="U170">
    <cfRule type="expression" dxfId="385" priority="71">
      <formula>MOD(ROW(),2)=1</formula>
    </cfRule>
  </conditionalFormatting>
  <conditionalFormatting sqref="U188 U190">
    <cfRule type="expression" dxfId="384" priority="68">
      <formula>MOD(ROW(),2)=1</formula>
    </cfRule>
  </conditionalFormatting>
  <conditionalFormatting sqref="U236">
    <cfRule type="expression" dxfId="383" priority="55">
      <formula>MOD(ROW(),2)=1</formula>
    </cfRule>
  </conditionalFormatting>
  <conditionalFormatting sqref="U222 U220">
    <cfRule type="expression" dxfId="382" priority="64">
      <formula>MOD(ROW(),2)=1</formula>
    </cfRule>
  </conditionalFormatting>
  <conditionalFormatting sqref="U228 U230 U226">
    <cfRule type="expression" dxfId="381" priority="63">
      <formula>MOD(ROW(),2)=1</formula>
    </cfRule>
  </conditionalFormatting>
  <conditionalFormatting sqref="U234">
    <cfRule type="expression" dxfId="380" priority="62">
      <formula>MOD(ROW(),2)=1</formula>
    </cfRule>
  </conditionalFormatting>
  <conditionalFormatting sqref="U248 U250 U246">
    <cfRule type="expression" dxfId="379" priority="48">
      <formula>MOD(ROW(),2)=1</formula>
    </cfRule>
  </conditionalFormatting>
  <conditionalFormatting sqref="U252">
    <cfRule type="expression" dxfId="378" priority="47">
      <formula>MOD(ROW(),2)=1</formula>
    </cfRule>
  </conditionalFormatting>
  <conditionalFormatting sqref="U258 U260 U256">
    <cfRule type="expression" dxfId="377" priority="46">
      <formula>MOD(ROW(),2)=1</formula>
    </cfRule>
  </conditionalFormatting>
  <conditionalFormatting sqref="U238">
    <cfRule type="expression" dxfId="376" priority="54">
      <formula>MOD(ROW(),2)=1</formula>
    </cfRule>
  </conditionalFormatting>
  <conditionalFormatting sqref="U242">
    <cfRule type="expression" dxfId="375" priority="52">
      <formula>MOD(ROW(),2)=1</formula>
    </cfRule>
  </conditionalFormatting>
  <conditionalFormatting sqref="U270 U272">
    <cfRule type="expression" dxfId="374" priority="41">
      <formula>MOD(ROW(),2)=1</formula>
    </cfRule>
  </conditionalFormatting>
  <conditionalFormatting sqref="U278 U276">
    <cfRule type="expression" dxfId="373" priority="40">
      <formula>MOD(ROW(),2)=1</formula>
    </cfRule>
  </conditionalFormatting>
  <conditionalFormatting sqref="U280">
    <cfRule type="expression" dxfId="372" priority="39">
      <formula>MOD(ROW(),2)=1</formula>
    </cfRule>
  </conditionalFormatting>
  <conditionalFormatting sqref="U290">
    <cfRule type="expression" dxfId="371" priority="35">
      <formula>MOD(ROW(),2)=1</formula>
    </cfRule>
  </conditionalFormatting>
  <conditionalFormatting sqref="U294">
    <cfRule type="expression" dxfId="370" priority="33">
      <formula>MOD(ROW(),2)=1</formula>
    </cfRule>
  </conditionalFormatting>
  <conditionalFormatting sqref="U268">
    <cfRule type="expression" dxfId="369" priority="42">
      <formula>MOD(ROW(),2)=1</formula>
    </cfRule>
  </conditionalFormatting>
  <conditionalFormatting sqref="U282 U284">
    <cfRule type="expression" dxfId="368" priority="38">
      <formula>MOD(ROW(),2)=1</formula>
    </cfRule>
  </conditionalFormatting>
  <conditionalFormatting sqref="Y56">
    <cfRule type="expression" dxfId="367" priority="27">
      <formula>MOD(ROW(),2)=1</formula>
    </cfRule>
  </conditionalFormatting>
  <conditionalFormatting sqref="Y58">
    <cfRule type="expression" dxfId="366" priority="26">
      <formula>MOD(ROW(),2)=1</formula>
    </cfRule>
  </conditionalFormatting>
  <conditionalFormatting sqref="Y62">
    <cfRule type="expression" dxfId="365" priority="24">
      <formula>MOD(ROW(),2)=1</formula>
    </cfRule>
  </conditionalFormatting>
  <conditionalFormatting sqref="Y66">
    <cfRule type="expression" dxfId="364" priority="22">
      <formula>MOD(ROW(),2)=1</formula>
    </cfRule>
  </conditionalFormatting>
  <conditionalFormatting sqref="U298">
    <cfRule type="expression" dxfId="363" priority="31">
      <formula>MOD(ROW(),2)=1</formula>
    </cfRule>
  </conditionalFormatting>
  <conditionalFormatting sqref="U300">
    <cfRule type="expression" dxfId="362" priority="30">
      <formula>MOD(ROW(),2)=1</formula>
    </cfRule>
  </conditionalFormatting>
  <conditionalFormatting sqref="W56 W58 W60 W62 W64 W66 W68">
    <cfRule type="expression" dxfId="361" priority="29">
      <formula>MOD(ROW(),2)=1</formula>
    </cfRule>
  </conditionalFormatting>
  <conditionalFormatting sqref="U56 U58 U60 U62 U64 U66 U68">
    <cfRule type="expression" dxfId="360" priority="28">
      <formula>MOD(ROW(),2)=1</formula>
    </cfRule>
  </conditionalFormatting>
  <conditionalFormatting sqref="Y60">
    <cfRule type="expression" dxfId="359" priority="25">
      <formula>MOD(ROW(),2)=1</formula>
    </cfRule>
  </conditionalFormatting>
  <conditionalFormatting sqref="Y64">
    <cfRule type="expression" dxfId="358" priority="23">
      <formula>MOD(ROW(),2)=1</formula>
    </cfRule>
  </conditionalFormatting>
  <conditionalFormatting sqref="Y68">
    <cfRule type="expression" dxfId="357" priority="21">
      <formula>MOD(ROW(),2)=1</formula>
    </cfRule>
  </conditionalFormatting>
  <conditionalFormatting sqref="U70 U72 U74 U76 U78 U80 U82 U84">
    <cfRule type="expression" dxfId="356" priority="1">
      <formula>MOD(ROW(),2)=1</formula>
    </cfRule>
  </conditionalFormatting>
  <conditionalFormatting sqref="Y72">
    <cfRule type="expression" dxfId="355" priority="9">
      <formula>MOD(ROW(),2)=1</formula>
    </cfRule>
  </conditionalFormatting>
  <conditionalFormatting sqref="Y74">
    <cfRule type="expression" dxfId="354" priority="8">
      <formula>MOD(ROW(),2)=1</formula>
    </cfRule>
  </conditionalFormatting>
  <conditionalFormatting sqref="Y76">
    <cfRule type="expression" dxfId="353" priority="7">
      <formula>MOD(ROW(),2)=1</formula>
    </cfRule>
  </conditionalFormatting>
  <conditionalFormatting sqref="Y84">
    <cfRule type="expression" dxfId="352" priority="3">
      <formula>MOD(ROW(),2)=1</formula>
    </cfRule>
  </conditionalFormatting>
  <conditionalFormatting sqref="W70 W72 W74 W76 W78 W80 W82 W84">
    <cfRule type="expression" dxfId="351" priority="2">
      <formula>MOD(ROW(),2)=1</formula>
    </cfRule>
  </conditionalFormatting>
  <conditionalFormatting sqref="Y70">
    <cfRule type="expression" dxfId="350" priority="10">
      <formula>MOD(ROW(),2)=1</formula>
    </cfRule>
  </conditionalFormatting>
  <conditionalFormatting sqref="Y78">
    <cfRule type="expression" dxfId="349" priority="6">
      <formula>MOD(ROW(),2)=1</formula>
    </cfRule>
  </conditionalFormatting>
  <conditionalFormatting sqref="Y80">
    <cfRule type="expression" dxfId="348" priority="5">
      <formula>MOD(ROW(),2)=1</formula>
    </cfRule>
  </conditionalFormatting>
  <conditionalFormatting sqref="Y82">
    <cfRule type="expression" dxfId="347" priority="4">
      <formula>MOD(ROW(),2)=1</formula>
    </cfRule>
  </conditionalFormatting>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3:H683"/>
  <sheetViews>
    <sheetView workbookViewId="0"/>
  </sheetViews>
  <sheetFormatPr defaultRowHeight="15" x14ac:dyDescent="0.25"/>
  <cols>
    <col min="2" max="2" width="11" bestFit="1" customWidth="1"/>
    <col min="3" max="3" width="9.140625" style="63"/>
  </cols>
  <sheetData>
    <row r="3" spans="1:5" x14ac:dyDescent="0.25">
      <c r="A3" t="str">
        <f>'LLM Single'!B3</f>
        <v>Averell, L., &amp; Heathcote, A. (2009). Long term implicit and explicit memory for briefly studied words. In A. Taatgen, &amp; H. van Rijn (Eds.), Proceedings of the 31st annual conference of the cognitive science society (pp. 267–281). Austin, TX: Cognitive Science Society.</v>
      </c>
      <c r="B3">
        <f>'LLM Single'!AA3</f>
        <v>2419200</v>
      </c>
      <c r="C3" s="63">
        <f>B3/(60*60*24*365)</f>
        <v>7.6712328767123292E-2</v>
      </c>
      <c r="D3" s="63">
        <f>'LLM Single'!AM3</f>
        <v>-9.1845072529178631E-2</v>
      </c>
    </row>
    <row r="5" spans="1:5" x14ac:dyDescent="0.25">
      <c r="A5" t="str">
        <f>'LLM Single'!B5</f>
        <v>Averell, L., &amp; Heathcote, A. (2009). Long term implicit and explicit memory for briefly studied words. In A. Taatgen, &amp; H. van Rijn (Eds.), Proceedings of the 31st annual conference of the cognitive science society (pp. 267–281). Austin, TX: Cognitive Science Society.</v>
      </c>
      <c r="B5">
        <f>'LLM Single'!AA5</f>
        <v>2419200</v>
      </c>
      <c r="C5" s="63">
        <f>B5/(60*60*24*365)</f>
        <v>7.6712328767123292E-2</v>
      </c>
      <c r="D5" s="63">
        <f>'LLM Single'!AM5</f>
        <v>-6.1582042770250908E-2</v>
      </c>
    </row>
    <row r="7" spans="1:5" x14ac:dyDescent="0.25">
      <c r="A7" t="str">
        <f>'LLM Single'!B7</f>
        <v xml:space="preserve">Bahrick, H. P., Hall, L. K., &amp; Da Costa, L. A. (2008). Fifty years of memory of college grades: Accuracy and distortions. Emotion, 8(1), 13-22.
</v>
      </c>
      <c r="B7">
        <f>'LLM Single'!AA7</f>
        <v>1490076000</v>
      </c>
      <c r="C7" s="63">
        <f>B7/(60*60*24*365)</f>
        <v>47.25</v>
      </c>
      <c r="D7" s="63">
        <f>'LLM Single'!AM7</f>
        <v>-0.16166396883374459</v>
      </c>
    </row>
    <row r="9" spans="1:5" x14ac:dyDescent="0.25">
      <c r="A9" t="str">
        <f>'LLM Single'!B9</f>
        <v xml:space="preserve">Bahrick, H. P., Hall, L. K., &amp; Da Costa, L. A. (2008). Fifty years of memory of college grades: Accuracy and distortions. Emotion, 8(1), 13-22.
</v>
      </c>
      <c r="B9">
        <f>'LLM Single'!AA9</f>
        <v>1490076000</v>
      </c>
      <c r="C9" s="63">
        <f>B9/(60*60*24*365)</f>
        <v>47.25</v>
      </c>
      <c r="D9" s="63">
        <f>'LLM Single'!AM9</f>
        <v>-0.12214566922916996</v>
      </c>
    </row>
    <row r="11" spans="1:5" x14ac:dyDescent="0.25">
      <c r="A11" t="str">
        <f>'LLM Single'!B11</f>
        <v>Bauer, P. J., &amp; Larkina, M. (2016). Predicting remembering and forgetting of autobiographical memories in children and adults: a 4-year prospective study. Memory, 24(10), 1345-1368.</v>
      </c>
      <c r="B11">
        <f>'LLM Single'!AA11</f>
        <v>94608000</v>
      </c>
      <c r="C11" s="63">
        <f>B11/(60*60*24*365)</f>
        <v>3</v>
      </c>
      <c r="D11" s="63">
        <f>'LLM Single'!AM11</f>
        <v>-0.41421029776418783</v>
      </c>
    </row>
    <row r="13" spans="1:5" x14ac:dyDescent="0.25">
      <c r="A13" t="str">
        <f>'LLM Single'!B13</f>
        <v>Bauer, P. J., Stweart, R., Sirkin, R. E., Larkina, M. (2017). Robust memory of where from way back when: evidence from behaviour and visual attention. Memory 25(8), 1089-1109.</v>
      </c>
      <c r="B13">
        <f>'LLM Single'!AA13</f>
        <v>80015040</v>
      </c>
      <c r="C13" s="63">
        <f>B13/(60*60*24*365)</f>
        <v>2.5372602739726027</v>
      </c>
      <c r="D13" s="171"/>
      <c r="E13" s="63">
        <f>'LLM Single'!AM311</f>
        <v>-0.44220536145469269</v>
      </c>
    </row>
    <row r="15" spans="1:5" x14ac:dyDescent="0.25">
      <c r="A15" t="str">
        <f>'LLM Single'!B15</f>
        <v>Bauer, P. J., Stweart, R., Sirkin, R. E., Larkina, M. (2017). Robust memory of where from way back when: evidence from behaviour and visual attention. Memory 25(8), 1089-1109.</v>
      </c>
      <c r="B15">
        <f>'LLM Single'!AA15</f>
        <v>80015040</v>
      </c>
      <c r="C15" s="63">
        <f>B15/(60*60*24*365)</f>
        <v>2.5372602739726027</v>
      </c>
      <c r="D15" s="63">
        <f>'LLM Single'!AM15</f>
        <v>-0.39308731788945506</v>
      </c>
    </row>
    <row r="17" spans="1:8" x14ac:dyDescent="0.25">
      <c r="A17" t="str">
        <f>'LLM Single'!B17</f>
        <v>Bauer, P. J., Stweart, R., Sirkin, R. E., Larkina, M. (2017). Robust memory of where from way back when: evidence from behaviour and visual attention. Memory 25(8), 1089-1109.</v>
      </c>
      <c r="B17">
        <f>'LLM Single'!AA17</f>
        <v>80015040</v>
      </c>
      <c r="C17" s="63">
        <f>B17/(60*60*24*365)</f>
        <v>2.5372602739726027</v>
      </c>
      <c r="D17" s="63">
        <f>'LLM Single'!AM17</f>
        <v>-0.10955062355742998</v>
      </c>
    </row>
    <row r="18" spans="1:8" x14ac:dyDescent="0.25">
      <c r="G18" s="166">
        <f>AVERAGE(D3:D299)</f>
        <v>-0.10049104625592108</v>
      </c>
      <c r="H18" s="165">
        <f xml:space="preserve"> STDEV(D3:D299)/SQRT(COUNT(D3:D299))</f>
        <v>8.4527743181383157E-3</v>
      </c>
    </row>
    <row r="19" spans="1:8" x14ac:dyDescent="0.25">
      <c r="A19" t="str">
        <f>'LLM Single'!B19</f>
        <v>Bauer, P. J., Stweart, R., Sirkin, R. E., Larkina, M. (2017). Robust memory of where from way back when: evidence from behaviour and visual attention. Memory 25(8), 1089-1109.</v>
      </c>
      <c r="B19">
        <f>'LLM Single'!AA19</f>
        <v>80015040</v>
      </c>
      <c r="C19" s="63">
        <f>B19/(60*60*24*365)</f>
        <v>2.5372602739726027</v>
      </c>
      <c r="D19" s="63">
        <f>'LLM Single'!AM19</f>
        <v>-2.4988556565272876E-2</v>
      </c>
    </row>
    <row r="21" spans="1:8" x14ac:dyDescent="0.25">
      <c r="A21" t="str">
        <f>'LLM Single'!B21</f>
        <v>Bauer, P. J., Stweart, R., Sirkin, R. E., Larkina, M. (2017). Robust memory of where from way back when: evidence from behaviour and visual attention. Memory 25(8), 1089-1109.</v>
      </c>
      <c r="B21">
        <f>'LLM Single'!AA21</f>
        <v>80015040</v>
      </c>
      <c r="C21" s="63">
        <f>B21/(60*60*24*365)</f>
        <v>2.5372602739726027</v>
      </c>
      <c r="D21" s="63">
        <f>'LLM Single'!AM21</f>
        <v>-0.41544136809419413</v>
      </c>
    </row>
    <row r="23" spans="1:8" x14ac:dyDescent="0.25">
      <c r="A23" t="str">
        <f>'LLM Single'!B23</f>
        <v>Bauer, P. J., Stweart, R., Sirkin, R. E., Larkina, M. (2017). Robust memory of where from way back when: evidence from behaviour and visual attention. Memory 25(8), 1089-1109.</v>
      </c>
      <c r="B23">
        <f>'LLM Single'!AA23</f>
        <v>80015040</v>
      </c>
      <c r="C23" s="63">
        <f>B23/(60*60*24*365)</f>
        <v>2.5372602739726027</v>
      </c>
      <c r="D23" s="63">
        <f>'LLM Single'!AM23</f>
        <v>-0.17084918671938898</v>
      </c>
    </row>
    <row r="25" spans="1:8" x14ac:dyDescent="0.25">
      <c r="A25" t="str">
        <f>'LLM Single'!B25</f>
        <v>Bauer, P. J., Stweart, R., Sirkin, R. E., Larkina, M. (2017). Robust memory of where from way back when: evidence from behaviour and visual attention. Memory 25(8), 1089-1109.</v>
      </c>
      <c r="B25">
        <f>'LLM Single'!AA25</f>
        <v>80015040</v>
      </c>
      <c r="C25" s="63">
        <f>B25/(60*60*24*365)</f>
        <v>2.5372602739726027</v>
      </c>
      <c r="D25" s="63">
        <f>'LLM Single'!AM25</f>
        <v>-0.17899844858944491</v>
      </c>
    </row>
    <row r="27" spans="1:8" x14ac:dyDescent="0.25">
      <c r="A27" t="str">
        <f>'LLM Single'!B27</f>
        <v>Bauer, P. J., Stweart, R., Sirkin, R. E., Larkina, M. (2017). Robust memory of where from way back when: evidence from behaviour and visual attention. Memory 25(8), 1089-1109.</v>
      </c>
      <c r="B27">
        <f>'LLM Single'!AA27</f>
        <v>15992640</v>
      </c>
      <c r="C27" s="63">
        <f>B27/(60*60*24*365)</f>
        <v>0.50712328767123283</v>
      </c>
      <c r="D27" s="63">
        <f>'LLM Single'!AM27</f>
        <v>-2.4885337409498599E-2</v>
      </c>
    </row>
    <row r="29" spans="1:8" x14ac:dyDescent="0.25">
      <c r="A29" t="str">
        <f>'LLM Single'!B29</f>
        <v>Bauer, P. J., Stweart, R., Sirkin, R. E., Larkina, M. (2017). Robust memory of where from way back when: evidence from behaviour and visual attention. Memory 25(8), 1089-1109.</v>
      </c>
      <c r="B29">
        <f>'LLM Single'!AA29</f>
        <v>15992640</v>
      </c>
      <c r="C29" s="63">
        <f>B29/(60*60*24*365)</f>
        <v>0.50712328767123283</v>
      </c>
      <c r="D29" s="63">
        <f>'LLM Single'!AM29</f>
        <v>-0.23299301160884989</v>
      </c>
    </row>
    <row r="31" spans="1:8" x14ac:dyDescent="0.25">
      <c r="A31" t="str">
        <f>'LLM Single'!B31</f>
        <v>Bauer, P. J., Stweart, R., Sirkin, R. E., Larkina, M. (2017). Robust memory of where from way back when: evidence from behaviour and visual attention. Memory 25(8), 1089-1109.</v>
      </c>
      <c r="B31">
        <f>'LLM Single'!AA31</f>
        <v>15992640</v>
      </c>
      <c r="C31" s="63">
        <f>B31/(60*60*24*365)</f>
        <v>0.50712328767123283</v>
      </c>
      <c r="D31" s="63">
        <f>'LLM Single'!AM31</f>
        <v>-2.9353553163112629E-2</v>
      </c>
    </row>
    <row r="33" spans="1:4" x14ac:dyDescent="0.25">
      <c r="A33" t="str">
        <f>'LLM Single'!B33</f>
        <v>Bean, C. H. (1912). The Curve of Forgetting. Press of the New era printing Company.</v>
      </c>
      <c r="B33">
        <f>'LLM Single'!AA33</f>
        <v>2419200</v>
      </c>
      <c r="C33" s="63">
        <f>B33/(60*60*24*365)</f>
        <v>7.6712328767123292E-2</v>
      </c>
      <c r="D33" s="63">
        <f>'LLM Single'!AM33</f>
        <v>-5.4609784021250732E-2</v>
      </c>
    </row>
    <row r="35" spans="1:4" x14ac:dyDescent="0.25">
      <c r="A35" t="str">
        <f>'LLM Single'!B35</f>
        <v>Bean, C. H. (1912). The Curve of Forgetting. Press of the New era printing Company.</v>
      </c>
      <c r="B35">
        <f>'LLM Single'!AA35</f>
        <v>2419200</v>
      </c>
      <c r="C35" s="63">
        <f>B35/(60*60*24*365)</f>
        <v>7.6712328767123292E-2</v>
      </c>
      <c r="D35" s="63">
        <f>'LLM Single'!AM35</f>
        <v>-4.801418031946577E-2</v>
      </c>
    </row>
    <row r="36" spans="1:4" x14ac:dyDescent="0.25">
      <c r="D36" s="63"/>
    </row>
    <row r="37" spans="1:4" x14ac:dyDescent="0.25">
      <c r="A37" t="str">
        <f>'LLM Single'!B37</f>
        <v>Bell, B. D. (2006). WMS-III logical memory performance after a two-week delay in temporal lobe epilepsy and control groups. Journal of Clinical and Experimental Neuropsychology, 28(8), 1435-1443.</v>
      </c>
      <c r="B37">
        <f>'LLM Single'!AA37</f>
        <v>1209600</v>
      </c>
      <c r="C37" s="63">
        <f>B37/(60*60*24*365)</f>
        <v>3.8356164383561646E-2</v>
      </c>
      <c r="D37" s="63">
        <f>'LLM Single'!AM37</f>
        <v>-5.2178222224896535E-2</v>
      </c>
    </row>
    <row r="39" spans="1:4" x14ac:dyDescent="0.25">
      <c r="A39" t="str">
        <f>'LLM Single'!B39</f>
        <v>Burt, C. D. B. (1992). Retrieval characteristics of autobiographical memories: event and date informatino. Applied Cognitive Psychology, 6, 389-404.</v>
      </c>
      <c r="B39">
        <f>'LLM Single'!AA39</f>
        <v>157680000</v>
      </c>
      <c r="C39" s="63">
        <f>B39/(60*60*24*365)</f>
        <v>5</v>
      </c>
      <c r="D39" s="63">
        <f>'LLM Single'!AM39</f>
        <v>-0.13838251656515202</v>
      </c>
    </row>
    <row r="41" spans="1:4" x14ac:dyDescent="0.25">
      <c r="A41" t="str">
        <f>'LLM Single'!B41</f>
        <v>Catal, L. L. &amp; Fitzgerald, J. M. (2004). Autobiographical memories in two older adults over a twenty-year retention interval. Memory &amp; Cognition, 32(2), 311-323.</v>
      </c>
      <c r="B41">
        <f>'LLM Single'!AA41</f>
        <v>599184000</v>
      </c>
      <c r="C41" s="63">
        <f>B41/(60*60*24*365)</f>
        <v>19</v>
      </c>
      <c r="D41" s="63">
        <f>'LLM Single'!AM41</f>
        <v>-0.11051762327997081</v>
      </c>
    </row>
    <row r="43" spans="1:4" x14ac:dyDescent="0.25">
      <c r="A43" t="str">
        <f>'LLM Single'!B43</f>
        <v>Catal, L. L. &amp; Fitzgerald, J. M. (2004). Autobiographical memories in two older adults over a twenty-year retention interval. Memory &amp; Cognition, 32(2), 311-323.</v>
      </c>
      <c r="B43">
        <f>'LLM Single'!AA43</f>
        <v>599184000</v>
      </c>
      <c r="C43" s="63">
        <f>B43/(60*60*24*365)</f>
        <v>19</v>
      </c>
      <c r="D43" s="63">
        <f>'LLM Single'!AM43</f>
        <v>-0.16375524329559488</v>
      </c>
    </row>
    <row r="45" spans="1:4" x14ac:dyDescent="0.25">
      <c r="A45" t="str">
        <f>'LLM Single'!B45</f>
        <v>Courtois, M. R., &amp; Mueller, J. H. (1981). Target and distractor typicality in facial recognition. Journal of Applied Psychology, 66(5), 639-645.</v>
      </c>
      <c r="B45">
        <f>'LLM Single'!AA45</f>
        <v>2419200</v>
      </c>
      <c r="C45" s="63">
        <f>B45/(60*60*24*365)</f>
        <v>7.6712328767123292E-2</v>
      </c>
      <c r="D45" s="63">
        <f>'LLM Single'!AM45</f>
        <v>-2.2743344529909733E-2</v>
      </c>
    </row>
    <row r="47" spans="1:4" x14ac:dyDescent="0.25">
      <c r="A47" t="str">
        <f>'LLM Single'!B47</f>
        <v>Courtois, M. R., &amp; Mueller, J. H. (1981). Target and distractor typicality in facial recognition. Journal of Applied Psychology, 66(5), 639-645.</v>
      </c>
      <c r="B47">
        <f>'LLM Single'!AA47</f>
        <v>2419200</v>
      </c>
      <c r="C47" s="63">
        <f>B47/(60*60*24*365)</f>
        <v>7.6712328767123292E-2</v>
      </c>
      <c r="D47" s="63">
        <f>'LLM Single'!AM47</f>
        <v>-1.553238468963266E-2</v>
      </c>
    </row>
    <row r="49" spans="1:4" x14ac:dyDescent="0.25">
      <c r="A49" t="str">
        <f>'LLM Single'!B49</f>
        <v>Courtois, M. R., &amp; Mueller, J. H. (1981). Target and distractor typicality in facial recognition. Journal of Applied Psychology, 66(5), 639-645.</v>
      </c>
      <c r="B49">
        <f>'LLM Single'!AA49</f>
        <v>2419200</v>
      </c>
      <c r="C49" s="63">
        <f>B49/(60*60*24*365)</f>
        <v>7.6712328767123292E-2</v>
      </c>
      <c r="D49" s="63">
        <f>'LLM Single'!AM49</f>
        <v>-1.8480787588194606E-2</v>
      </c>
    </row>
    <row r="51" spans="1:4" x14ac:dyDescent="0.25">
      <c r="A51" t="str">
        <f>'LLM Single'!B51</f>
        <v>Courtois, M. R., &amp; Mueller, J. H. (1981). Target and distractor typicality in facial recognition. Journal of Applied Psychology, 66(5), 639-645.</v>
      </c>
      <c r="B51">
        <f>'LLM Single'!AA51</f>
        <v>2419200</v>
      </c>
      <c r="C51" s="63">
        <f>B51/(60*60*24*365)</f>
        <v>7.6712328767123292E-2</v>
      </c>
      <c r="D51" s="63">
        <f>'LLM Single'!AM51</f>
        <v>-1.0679510028953815E-2</v>
      </c>
    </row>
    <row r="52" spans="1:4" x14ac:dyDescent="0.25">
      <c r="D52" s="63"/>
    </row>
    <row r="53" spans="1:4" x14ac:dyDescent="0.25">
      <c r="A53" t="str">
        <f>'LLM Single'!B53</f>
        <v>Cronel-Ohayon, S., Zesiger, P., Davidoff, V., Boni, A., Roulet, E., &amp; Deonna, T. (2006). Deficit in memory consolidation (abnormal forgetting rate) in childhood temporal lobe epilepsy. Pre and postoperative long-term observation. Neuropediatrics, 37(06), 317-324.</v>
      </c>
      <c r="B53">
        <f>'LLM Single'!AA53</f>
        <v>2505600</v>
      </c>
      <c r="C53" s="63">
        <f>B53/(60*60*24*365)</f>
        <v>7.9452054794520555E-2</v>
      </c>
      <c r="D53" s="63">
        <f>'LLM Single'!AM53</f>
        <v>-3.3316891270817953E-2</v>
      </c>
    </row>
    <row r="54" spans="1:4" x14ac:dyDescent="0.25">
      <c r="D54" s="63"/>
    </row>
    <row r="55" spans="1:4" x14ac:dyDescent="0.25">
      <c r="A55" t="str">
        <f>'LLM Single'!B55</f>
        <v>Cronel-Ohayon, S., Zesiger, P., Davidoff, V., Boni, A., Roulet, E., &amp; Deonna, T. (2006). Deficit in memory consolidation (abnormal forgetting rate) in childhood temporal lobe epilepsy. Pre and postoperative long-term observation. Neuropediatrics, 37(06), 317-324.</v>
      </c>
      <c r="B55">
        <f>'LLM Single'!AA55</f>
        <v>2505600</v>
      </c>
      <c r="C55" s="63">
        <f>B55/(60*60*24*365)</f>
        <v>7.9452054794520555E-2</v>
      </c>
      <c r="D55" s="63">
        <f>'LLM Single'!AM55</f>
        <v>-1.6513926157402267E-2</v>
      </c>
    </row>
    <row r="57" spans="1:4" x14ac:dyDescent="0.25">
      <c r="A57" t="str">
        <f>'LLM Single'!B57</f>
        <v>Doolen &amp; Radvansky (2020). Novel 1</v>
      </c>
      <c r="B57">
        <f>'LLM Single'!AA57</f>
        <v>236520000</v>
      </c>
      <c r="C57" s="63">
        <f>B57/(60*60*24*365)</f>
        <v>7.5</v>
      </c>
      <c r="D57" s="63">
        <f>'LLM Single'!AM57</f>
        <v>-0.12632832890763682</v>
      </c>
    </row>
    <row r="59" spans="1:4" x14ac:dyDescent="0.25">
      <c r="A59" t="str">
        <f>'LLM Single'!B59</f>
        <v>Doolen &amp; Radvansky (2020). Novel 1</v>
      </c>
      <c r="B59">
        <f>'LLM Single'!AA59</f>
        <v>236520000</v>
      </c>
      <c r="C59" s="63">
        <f>B59/(60*60*24*365)</f>
        <v>7.5</v>
      </c>
      <c r="D59" s="63">
        <f>'LLM Single'!AM59</f>
        <v>-0.21741765996869467</v>
      </c>
    </row>
    <row r="61" spans="1:4" x14ac:dyDescent="0.25">
      <c r="A61" t="str">
        <f>'LLM Single'!B61</f>
        <v>Doolen &amp; Radvansky (2020). Novel 1</v>
      </c>
      <c r="B61">
        <f>'LLM Single'!AA61</f>
        <v>236520000</v>
      </c>
      <c r="C61" s="63">
        <f>B61/(60*60*24*365)</f>
        <v>7.5</v>
      </c>
      <c r="D61" s="63">
        <f>'LLM Single'!AM61</f>
        <v>-0.15112086460236174</v>
      </c>
    </row>
    <row r="63" spans="1:4" x14ac:dyDescent="0.25">
      <c r="A63" t="str">
        <f>'LLM Single'!B63</f>
        <v>Doolen &amp; Radvansky (2020). Novel 1</v>
      </c>
      <c r="B63">
        <f>'LLM Single'!AA63</f>
        <v>236520000</v>
      </c>
      <c r="C63" s="63">
        <f>B63/(60*60*24*365)</f>
        <v>7.5</v>
      </c>
      <c r="D63" s="63">
        <f>'LLM Single'!AM63</f>
        <v>-0.21018429189648599</v>
      </c>
    </row>
    <row r="65" spans="1:4" x14ac:dyDescent="0.25">
      <c r="A65" t="str">
        <f>'LLM Single'!B65</f>
        <v>Doolen &amp; Radvansky (2020). Novel 1</v>
      </c>
      <c r="B65">
        <f>'LLM Single'!AA65</f>
        <v>236520000</v>
      </c>
      <c r="C65" s="63">
        <f>B65/(60*60*24*365)</f>
        <v>7.5</v>
      </c>
      <c r="D65" s="63">
        <f>'LLM Single'!AM65</f>
        <v>-0.12162549739752275</v>
      </c>
    </row>
    <row r="67" spans="1:4" x14ac:dyDescent="0.25">
      <c r="A67" t="str">
        <f>'LLM Single'!B67</f>
        <v>Doolen &amp; Radvansky (2020). Novel 1</v>
      </c>
      <c r="B67">
        <f>'LLM Single'!AA67</f>
        <v>236520000</v>
      </c>
      <c r="C67" s="63">
        <f>B67/(60*60*24*365)</f>
        <v>7.5</v>
      </c>
      <c r="D67" s="63">
        <f>'LLM Single'!AM67</f>
        <v>-0.26002428706625635</v>
      </c>
    </row>
    <row r="69" spans="1:4" x14ac:dyDescent="0.25">
      <c r="A69" t="str">
        <f>'LLM Single'!B69</f>
        <v>Doolen &amp; Radvansky (2020). Novel 1</v>
      </c>
      <c r="B69">
        <f>'LLM Single'!AA69</f>
        <v>236520000</v>
      </c>
      <c r="C69" s="63">
        <f>B69/(60*60*24*365)</f>
        <v>7.5</v>
      </c>
      <c r="D69" s="63">
        <f>'LLM Single'!AM69</f>
        <v>-0.11998941029435654</v>
      </c>
    </row>
    <row r="71" spans="1:4" x14ac:dyDescent="0.25">
      <c r="A71" t="str">
        <f>'LLM Single'!B71</f>
        <v>Doolen &amp; Radvansky (2020). Novel 1</v>
      </c>
      <c r="B71">
        <f>'LLM Single'!AA71</f>
        <v>236520000</v>
      </c>
      <c r="C71" s="63">
        <f>B71/(60*60*24*365)</f>
        <v>7.5</v>
      </c>
      <c r="D71" s="63">
        <f>'LLM Single'!AM71</f>
        <v>-1.4103545186359603E-2</v>
      </c>
    </row>
    <row r="73" spans="1:4" x14ac:dyDescent="0.25">
      <c r="A73" t="str">
        <f>'LLM Single'!B73</f>
        <v>Doolen &amp; Radvansky (2020). Novel 1</v>
      </c>
      <c r="B73">
        <f>'LLM Single'!AA73</f>
        <v>236520000</v>
      </c>
      <c r="C73" s="63">
        <f>B73/(60*60*24*365)</f>
        <v>7.5</v>
      </c>
      <c r="D73" s="63">
        <f>'LLM Single'!AM73</f>
        <v>-0.12571446897933886</v>
      </c>
    </row>
    <row r="75" spans="1:4" x14ac:dyDescent="0.25">
      <c r="A75" t="str">
        <f>'LLM Single'!B75</f>
        <v>Doolen &amp; Radvansky (2020). Novel 1</v>
      </c>
      <c r="B75">
        <f>'LLM Single'!AA75</f>
        <v>236520000</v>
      </c>
      <c r="C75" s="63">
        <f>B75/(60*60*24*365)</f>
        <v>7.5</v>
      </c>
      <c r="D75" s="63">
        <f>'LLM Single'!AM75</f>
        <v>-7.0723711191251898E-2</v>
      </c>
    </row>
    <row r="77" spans="1:4" x14ac:dyDescent="0.25">
      <c r="A77" t="str">
        <f>'LLM Single'!B77</f>
        <v>Doolen &amp; Radvansky (2020). Novel 1</v>
      </c>
      <c r="B77">
        <f>'LLM Single'!AA77</f>
        <v>236520000</v>
      </c>
      <c r="C77" s="63">
        <f>B77/(60*60*24*365)</f>
        <v>7.5</v>
      </c>
      <c r="D77" s="63">
        <f>'LLM Single'!AM77</f>
        <v>-0.11173740271049858</v>
      </c>
    </row>
    <row r="79" spans="1:4" x14ac:dyDescent="0.25">
      <c r="A79" t="str">
        <f>'LLM Single'!B79</f>
        <v>Doolen &amp; Radvansky (2020). Novel 1</v>
      </c>
      <c r="B79">
        <f>'LLM Single'!AA79</f>
        <v>236520000</v>
      </c>
      <c r="C79" s="63">
        <f>B79/(60*60*24*365)</f>
        <v>7.5</v>
      </c>
      <c r="D79" s="63">
        <f>'LLM Single'!AM79</f>
        <v>-0.17435575550386112</v>
      </c>
    </row>
    <row r="81" spans="1:4" x14ac:dyDescent="0.25">
      <c r="A81" t="str">
        <f>'LLM Single'!B81</f>
        <v>Doolen &amp; Radvansky (2020). Novel 1</v>
      </c>
      <c r="B81">
        <f>'LLM Single'!AA81</f>
        <v>236520000</v>
      </c>
      <c r="C81" s="63">
        <f>B81/(60*60*24*365)</f>
        <v>7.5</v>
      </c>
      <c r="D81" s="63">
        <f>'LLM Single'!AM81</f>
        <v>-0.25573163049038727</v>
      </c>
    </row>
    <row r="83" spans="1:4" x14ac:dyDescent="0.25">
      <c r="A83" t="str">
        <f>'LLM Single'!B83</f>
        <v>Doolen &amp; Radvansky (2020). Novel 1</v>
      </c>
      <c r="B83">
        <f>'LLM Single'!AA83</f>
        <v>236520000</v>
      </c>
      <c r="C83" s="63">
        <f>B83/(60*60*24*365)</f>
        <v>7.5</v>
      </c>
      <c r="D83" s="63">
        <f>'LLM Single'!AM83</f>
        <v>-0.13570917735172788</v>
      </c>
    </row>
    <row r="85" spans="1:4" x14ac:dyDescent="0.25">
      <c r="A85" t="str">
        <f>'LLM Single'!B85</f>
        <v>Doolen &amp; Radvansky (2020). Novel 1</v>
      </c>
      <c r="B85">
        <f>'LLM Single'!AA85</f>
        <v>236520000</v>
      </c>
      <c r="C85" s="63">
        <f>B85/(60*60*24*365)</f>
        <v>7.5</v>
      </c>
      <c r="D85" s="63">
        <f>'LLM Single'!AM85</f>
        <v>-0.12802922936849193</v>
      </c>
    </row>
    <row r="87" spans="1:4" x14ac:dyDescent="0.25">
      <c r="A87" t="str">
        <f>'LLM Single'!B87</f>
        <v xml:space="preserve">Ellis, J. A., Semb, G. B., &amp; Cole, B. (1998). Very long-term memory for information taught in school. Contemporary Educational Psychology, 23(4), 419-433.
</v>
      </c>
      <c r="B87">
        <f>'LLM Single'!AA87</f>
        <v>504576000</v>
      </c>
      <c r="C87" s="63">
        <f>B87/(60*60*24*365)</f>
        <v>16</v>
      </c>
      <c r="D87" s="63">
        <f>'LLM Single'!AM87</f>
        <v>-0.37807976225248124</v>
      </c>
    </row>
    <row r="89" spans="1:4" x14ac:dyDescent="0.25">
      <c r="A89" t="str">
        <f>'LLM Single'!B89</f>
        <v xml:space="preserve">Ellis, J. A., Semb, G. B., &amp; Cole, B. (1998). Very long-term memory for information taught in school. Contemporary Educational Psychology, 23(4), 419-433.
</v>
      </c>
      <c r="B89">
        <f>'LLM Single'!AA89</f>
        <v>504576000</v>
      </c>
      <c r="C89" s="63">
        <f>B89/(60*60*24*365)</f>
        <v>16</v>
      </c>
      <c r="D89" s="63">
        <f>'LLM Single'!AM89</f>
        <v>-0.3977072828056179</v>
      </c>
    </row>
    <row r="91" spans="1:4" x14ac:dyDescent="0.25">
      <c r="A91" t="str">
        <f>'LLM Single'!B91</f>
        <v>Epstein, M. L., &amp; Phillips, W. D. (1976). Delayed recall of paired associates as a function of processing level. The Journal of General Psychology, 95(1), 127-132.</v>
      </c>
      <c r="B91">
        <f>'LLM Single'!AA91</f>
        <v>1814400</v>
      </c>
      <c r="C91" s="63">
        <f>B91/(60*60*24*365)</f>
        <v>5.7534246575342465E-2</v>
      </c>
      <c r="D91" s="63">
        <f>'LLM Single'!AM91</f>
        <v>-4.9707177621142622E-2</v>
      </c>
    </row>
    <row r="93" spans="1:4" x14ac:dyDescent="0.25">
      <c r="A93" t="str">
        <f>'LLM Single'!B93</f>
        <v>Epstein, M. L., &amp; Phillips, W. D. (1976). Delayed recall of paired associates as a function of processing level. The Journal of General Psychology, 95(1), 127-132.</v>
      </c>
      <c r="B93">
        <f>'LLM Single'!AA93</f>
        <v>1814400</v>
      </c>
      <c r="C93" s="63">
        <f>B93/(60*60*24*365)</f>
        <v>5.7534246575342465E-2</v>
      </c>
      <c r="D93" s="63">
        <f>'LLM Single'!AM93</f>
        <v>-5.8463487871096113E-2</v>
      </c>
    </row>
    <row r="95" spans="1:4" x14ac:dyDescent="0.25">
      <c r="A95" t="str">
        <f>'LLM Single'!B95</f>
        <v>Epstein, M. L., &amp; Phillips, W. D. (1976). Delayed recall of paired associates as a function of processing level. The Journal of General Psychology, 95(1), 127-132.</v>
      </c>
      <c r="B95">
        <f>'LLM Single'!AA95</f>
        <v>1814400</v>
      </c>
      <c r="C95" s="63">
        <f>B95/(60*60*24*365)</f>
        <v>5.7534246575342465E-2</v>
      </c>
      <c r="D95" s="63">
        <f>'LLM Single'!AM95</f>
        <v>-0.21530283029307667</v>
      </c>
    </row>
    <row r="97" spans="1:4" x14ac:dyDescent="0.25">
      <c r="A97" t="str">
        <f>'LLM Single'!B97</f>
        <v>Epstein, M. L., &amp; Phillips, W. D. (1976). Delayed recall of paired associates as a function of processing level. The Journal of General Psychology, 95(1), 127-132.</v>
      </c>
      <c r="B97">
        <f>'LLM Single'!AA97</f>
        <v>1814400</v>
      </c>
      <c r="C97" s="63">
        <f>B97/(60*60*24*365)</f>
        <v>5.7534246575342465E-2</v>
      </c>
      <c r="D97" s="63">
        <f>'LLM Single'!AM97</f>
        <v>-0.38484057447004455</v>
      </c>
    </row>
    <row r="99" spans="1:4" x14ac:dyDescent="0.25">
      <c r="A99" t="str">
        <f>'LLM Single'!B99</f>
        <v>Fisher, J. S. (2020). Dissertation</v>
      </c>
      <c r="B99">
        <f>'LLM Single'!AA99</f>
        <v>1209600</v>
      </c>
      <c r="C99" s="63">
        <f>B99/(60*60*24*365)</f>
        <v>3.8356164383561646E-2</v>
      </c>
      <c r="D99" s="63">
        <f>'LLM Single'!AM99</f>
        <v>-3.3609155370252476E-2</v>
      </c>
    </row>
    <row r="101" spans="1:4" x14ac:dyDescent="0.25">
      <c r="A101" t="str">
        <f>'LLM Single'!B101</f>
        <v>Fisher, J. S. (2020). Dissertation</v>
      </c>
      <c r="B101">
        <f>'LLM Single'!AA101</f>
        <v>1209600</v>
      </c>
      <c r="C101" s="63">
        <f>B101/(60*60*24*365)</f>
        <v>3.8356164383561646E-2</v>
      </c>
      <c r="D101" s="63">
        <f>'LLM Single'!AM101</f>
        <v>-3.3739237523484067E-2</v>
      </c>
    </row>
    <row r="103" spans="1:4" x14ac:dyDescent="0.25">
      <c r="A103" t="str">
        <f>'LLM Single'!B103</f>
        <v>Fisher, J. S., &amp; Radvansky, G. A. (2018). Patterns of forgetting. Journal of Memory and Language, 102, 130-141.</v>
      </c>
      <c r="B103">
        <f>'LLM Single'!AA103</f>
        <v>7257600</v>
      </c>
      <c r="C103" s="63">
        <f>B103/(60*60*24*365)</f>
        <v>0.23013698630136986</v>
      </c>
      <c r="D103" s="63">
        <f>'LLM Single'!AM103</f>
        <v>-0.25494616483910487</v>
      </c>
    </row>
    <row r="105" spans="1:4" x14ac:dyDescent="0.25">
      <c r="A105" t="str">
        <f>'LLM Single'!B105</f>
        <v xml:space="preserve">Gehring, R. E., Toglia, M. P., &amp; Kimble, G. A. (1976). Recognition memory for words and pictures at short and long retention intervals. Memory &amp; Cognition, 4(3), 256-260.
</v>
      </c>
      <c r="B105">
        <f>'LLM Single'!AA105</f>
        <v>7776000</v>
      </c>
      <c r="C105" s="63">
        <f>B105/(60*60*24*365)</f>
        <v>0.24657534246575341</v>
      </c>
      <c r="D105" s="63">
        <f>'LLM Single'!AM105</f>
        <v>-0.13643061076973123</v>
      </c>
    </row>
    <row r="107" spans="1:4" x14ac:dyDescent="0.25">
      <c r="A107" t="str">
        <f>'LLM Single'!B107</f>
        <v xml:space="preserve">Gehring, R. E., Toglia, M. P., &amp; Kimble, G. A. (1976). Recognition memory for words and pictures at short and long retention intervals. Memory &amp; Cognition, 4(3), 256-260.
</v>
      </c>
      <c r="B107">
        <f>'LLM Single'!AA107</f>
        <v>7776000</v>
      </c>
      <c r="C107" s="63">
        <f>B107/(60*60*24*365)</f>
        <v>0.24657534246575341</v>
      </c>
      <c r="D107" s="63">
        <f>'LLM Single'!AM107</f>
        <v>-0.12476404999902357</v>
      </c>
    </row>
    <row r="109" spans="1:4" x14ac:dyDescent="0.25">
      <c r="A109" t="str">
        <f>'LLM Single'!B109</f>
        <v xml:space="preserve">Gehring, R. E., Toglia, M. P., &amp; Kimble, G. A. (1976). Recognition memory for words and pictures at short and long retention intervals. Memory &amp; Cognition, 4(3), 256-260.
</v>
      </c>
      <c r="B109">
        <f>'LLM Single'!AA109</f>
        <v>5270400</v>
      </c>
      <c r="C109" s="63">
        <f>B109/(60*60*24*365)</f>
        <v>0.16712328767123288</v>
      </c>
      <c r="D109" s="63">
        <f>'LLM Single'!AM109</f>
        <v>-3.5106235397858558E-2</v>
      </c>
    </row>
    <row r="111" spans="1:4" x14ac:dyDescent="0.25">
      <c r="A111" t="str">
        <f>'LLM Single'!B111</f>
        <v xml:space="preserve">Gehring, R. E., Toglia, M. P., &amp; Kimble, G. A. (1976). Recognition memory for words and pictures at short and long retention intervals. Memory &amp; Cognition, 4(3), 256-260.
</v>
      </c>
      <c r="B111">
        <f>'LLM Single'!AA111</f>
        <v>5270400</v>
      </c>
      <c r="C111" s="63">
        <f>B111/(60*60*24*365)</f>
        <v>0.16712328767123288</v>
      </c>
      <c r="D111" s="63">
        <f>'LLM Single'!AM111</f>
        <v>-3.9377200187181965E-2</v>
      </c>
    </row>
    <row r="113" spans="1:4" x14ac:dyDescent="0.25">
      <c r="A113" t="str">
        <f>'LLM Single'!B113</f>
        <v>Gilliland, A. R. (1948). The rate of forgetting. Journal of Educational Psychology, 39(1), 19-26.</v>
      </c>
      <c r="B113">
        <f>'LLM Single'!AA113</f>
        <v>2592000</v>
      </c>
      <c r="C113" s="63">
        <f>B113/(60*60*24*365)</f>
        <v>8.2191780821917804E-2</v>
      </c>
      <c r="D113" s="63">
        <f>'LLM Single'!AM113</f>
        <v>-2.9535312735414349E-2</v>
      </c>
    </row>
    <row r="114" spans="1:4" x14ac:dyDescent="0.25">
      <c r="D114" s="63"/>
    </row>
    <row r="115" spans="1:4" x14ac:dyDescent="0.25">
      <c r="A115" t="str">
        <f>'LLM Single'!B115</f>
        <v>Jansari, A. S., Davis, K., McGibbon, T., Firminger, S., &amp; Kapur, N. (2010). When “long-term memory” no longer means “forever”: Analysis of accelerated long-term forgetting in a patient with temporal lobe epilepsy. Neuropsychologia, 48(6), 1707-1715.</v>
      </c>
      <c r="B115">
        <f>'LLM Single'!AA115</f>
        <v>2419200</v>
      </c>
      <c r="C115" s="63">
        <f>B115/(60*60*24*365)</f>
        <v>7.6712328767123292E-2</v>
      </c>
      <c r="D115" s="63">
        <f>'LLM Single'!AM115</f>
        <v>-0.23360480330926128</v>
      </c>
    </row>
    <row r="116" spans="1:4" x14ac:dyDescent="0.25">
      <c r="D116" s="63"/>
    </row>
    <row r="117" spans="1:4" x14ac:dyDescent="0.25">
      <c r="A117" t="str">
        <f>'LLM Single'!B117</f>
        <v>Jansari, A. S., Davis, K., McGibbon, T., Firminger, S., &amp; Kapur, N. (2010). When “long-term memory” no longer means “forever”: Analysis of accelerated long-term forgetting in a patient with temporal lobe epilepsy. Neuropsychologia, 48(6), 1707-1715.</v>
      </c>
      <c r="B117">
        <f>'LLM Single'!AA117</f>
        <v>2419200</v>
      </c>
      <c r="C117" s="63">
        <f>B117/(60*60*24*365)</f>
        <v>7.6712328767123292E-2</v>
      </c>
      <c r="D117" s="63">
        <f>'LLM Single'!AM117</f>
        <v>-5.9748803239064709E-2</v>
      </c>
    </row>
    <row r="118" spans="1:4" x14ac:dyDescent="0.25">
      <c r="D118" s="63"/>
    </row>
    <row r="119" spans="1:4" x14ac:dyDescent="0.25">
      <c r="A119" t="str">
        <f>'LLM Single'!B119</f>
        <v>Jansari, A. S., Davis, K., McGibbon, T., Firminger, S., &amp; Kapur, N. (2010). When “long-term memory” no longer means “forever”: Analysis of accelerated long-term forgetting in a patient with temporal lobe epilepsy. Neuropsychologia, 48(6), 1707-1715.</v>
      </c>
      <c r="B119">
        <f>'LLM Single'!AA119</f>
        <v>2419200</v>
      </c>
      <c r="C119" s="63">
        <f>B119/(60*60*24*365)</f>
        <v>7.6712328767123292E-2</v>
      </c>
      <c r="D119" s="63">
        <f>'LLM Single'!AM119</f>
        <v>-0.10180611561737737</v>
      </c>
    </row>
    <row r="120" spans="1:4" x14ac:dyDescent="0.25">
      <c r="D120" s="63"/>
    </row>
    <row r="121" spans="1:4" x14ac:dyDescent="0.25">
      <c r="A121" t="str">
        <f>'LLM Single'!B121</f>
        <v>Jansari, A. S., Davis, K., McGibbon, T., Firminger, S., &amp; Kapur, N. (2010). When “long-term memory” no longer means “forever”: Analysis of accelerated long-term forgetting in a patient with temporal lobe epilepsy. Neuropsychologia, 48(6), 1707-1715.</v>
      </c>
      <c r="B121">
        <f>'LLM Single'!AA121</f>
        <v>2419200</v>
      </c>
      <c r="C121" s="63">
        <f>B121/(60*60*24*365)</f>
        <v>7.6712328767123292E-2</v>
      </c>
      <c r="D121" s="63">
        <f>'LLM Single'!AM121</f>
        <v>-3.0566825183116993E-2</v>
      </c>
    </row>
    <row r="123" spans="1:4" x14ac:dyDescent="0.25">
      <c r="A123" t="str">
        <f>'LLM Single'!B123</f>
        <v>Jeunehomme, O., Folville, A., Stawarczyk, D., Van der Linden, M., &amp; D'Argembeau, A. (2018). Temporal compression in episodic memory for real-life events. Memory, 26(6), 759-770.</v>
      </c>
      <c r="B123">
        <f>'LLM Single'!AA123</f>
        <v>2592000</v>
      </c>
      <c r="C123" s="63">
        <f>B123/(60*60*24*365)</f>
        <v>8.2191780821917804E-2</v>
      </c>
      <c r="D123" s="63">
        <f>'LLM Single'!AM123</f>
        <v>-4.1967432260001207E-2</v>
      </c>
    </row>
    <row r="125" spans="1:4" x14ac:dyDescent="0.25">
      <c r="A125" t="str">
        <f>'LLM Single'!B125</f>
        <v>Jeunehomme, O., Folville, A., Stawarczyk, D., Van der Linden, M., &amp; D'Argembeau, A. (2018). Temporal compression in episodic memory for real-life events. Memory, 26(6), 759-770.</v>
      </c>
      <c r="B125">
        <f>'LLM Single'!AA125</f>
        <v>2592000</v>
      </c>
      <c r="C125" s="63">
        <f>B125/(60*60*24*365)</f>
        <v>8.2191780821917804E-2</v>
      </c>
      <c r="D125" s="63">
        <f>'LLM Single'!AM125</f>
        <v>-5.5159960492932612E-2</v>
      </c>
    </row>
    <row r="127" spans="1:4" x14ac:dyDescent="0.25">
      <c r="A127" t="str">
        <f>'LLM Single'!B127</f>
        <v>Jeunehomme, O., Folville, A., Stawarczyk, D., Van der Linden, M., &amp; D'Argembeau, A. (2018). Temporal compression in episodic memory for real-life events. Memory, 26(6), 759-770.</v>
      </c>
      <c r="B127">
        <f>'LLM Single'!AA127</f>
        <v>2592000</v>
      </c>
      <c r="C127" s="63">
        <f>B127/(60*60*24*365)</f>
        <v>8.2191780821917804E-2</v>
      </c>
      <c r="D127" s="63">
        <f>'LLM Single'!AM127</f>
        <v>-6.6142744251778728E-3</v>
      </c>
    </row>
    <row r="129" spans="1:4" x14ac:dyDescent="0.25">
      <c r="A129" t="str">
        <f>'LLM Single'!B129</f>
        <v>Jeunehomme, O., Folville, A., Stawarczyk, D., Van der Linden, M., &amp; D'Argembeau, A. (2018). Temporal compression in episodic memory for real-life events. Memory, 26(6), 759-770.</v>
      </c>
      <c r="B129">
        <f>'LLM Single'!AA129</f>
        <v>2592000</v>
      </c>
      <c r="C129" s="63">
        <f>B129/(60*60*24*365)</f>
        <v>8.2191780821917804E-2</v>
      </c>
      <c r="D129" s="63">
        <f>'LLM Single'!AM129</f>
        <v>-2.8396505986087468E-2</v>
      </c>
    </row>
    <row r="131" spans="1:4" x14ac:dyDescent="0.25">
      <c r="A131" t="str">
        <f>'LLM Single'!B131</f>
        <v>Jeunehomme, O., Folville, A., Stawarczyk, D., Van der Linden, M., &amp; D'Argembeau, A. (2018). Temporal compression in episodic memory for real-life events. Memory, 26(6), 759-770.</v>
      </c>
      <c r="B131">
        <f>'LLM Single'!AA131</f>
        <v>2592000</v>
      </c>
      <c r="C131" s="63">
        <f>B131/(60*60*24*365)</f>
        <v>8.2191780821917804E-2</v>
      </c>
      <c r="D131" s="63">
        <f>'LLM Single'!AM131</f>
        <v>1.031189540628568E-2</v>
      </c>
    </row>
    <row r="133" spans="1:4" x14ac:dyDescent="0.25">
      <c r="A133" t="str">
        <f>'LLM Single'!B133</f>
        <v>Jeunehomme, O., Folville, A., Stawarczyk, D., Van der Linden, M., &amp; D'Argembeau, A. (2018). Temporal compression in episodic memory for real-life events. Memory, 26(6), 759-770.</v>
      </c>
      <c r="B133">
        <f>'LLM Single'!AA133</f>
        <v>2592000</v>
      </c>
      <c r="C133" s="63">
        <f>B133/(60*60*24*365)</f>
        <v>8.2191780821917804E-2</v>
      </c>
      <c r="D133" s="63">
        <f>'LLM Single'!AM133</f>
        <v>-3.3693994142109641E-2</v>
      </c>
    </row>
    <row r="135" spans="1:4" x14ac:dyDescent="0.25">
      <c r="A135" t="str">
        <f>'LLM Single'!B135</f>
        <v>Jones, H. E. (1923). Experimental studies of college teaching: The effect of examination on the permanance of forgetting. Archives of Psychology, 68.</v>
      </c>
      <c r="B135">
        <f>'LLM Single'!AA135</f>
        <v>4838400</v>
      </c>
      <c r="C135" s="63">
        <f>B135/(60*60*24*365)</f>
        <v>0.15342465753424658</v>
      </c>
      <c r="D135" s="63">
        <f>'LLM Single'!AM135</f>
        <v>-9.7071033538941989E-2</v>
      </c>
    </row>
    <row r="136" spans="1:4" x14ac:dyDescent="0.25">
      <c r="D136" s="63"/>
    </row>
    <row r="137" spans="1:4" x14ac:dyDescent="0.25">
      <c r="A137" t="str">
        <f>'LLM Single'!B137</f>
        <v>Kapur, N., Millar, J., Colbourn, C., Abbott, P., Kennedy, P., &amp; Docherty, T. (1997). Very long-term amnesia in association with temporal lobe epilepsy: evidence for multiple-stage consolidation processes. Brain and Cognition, 35(1), 58-70.</v>
      </c>
      <c r="B137">
        <f>'LLM Single'!AA137</f>
        <v>3628800</v>
      </c>
      <c r="C137" s="63">
        <f>B137/(60*60*24*365)</f>
        <v>0.11506849315068493</v>
      </c>
      <c r="D137" s="63">
        <f>'LLM Single'!AM137</f>
        <v>-6.9497098352175088E-2</v>
      </c>
    </row>
    <row r="138" spans="1:4" x14ac:dyDescent="0.25">
      <c r="D138" s="63"/>
    </row>
    <row r="139" spans="1:4" x14ac:dyDescent="0.25">
      <c r="A139" t="str">
        <f>'LLM Single'!B139</f>
        <v>Kapur, N., Millar, J., Colbourn, C., Abbott, P., Kennedy, P., &amp; Docherty, T. (1997). Very long-term amnesia in association with temporal lobe epilepsy: evidence for multiple-stage consolidation processes. Brain and Cognition, 35(1), 58-70.</v>
      </c>
      <c r="B139">
        <f>'LLM Single'!AA139</f>
        <v>3628800</v>
      </c>
      <c r="C139" s="63">
        <f>B139/(60*60*24*365)</f>
        <v>0.11506849315068493</v>
      </c>
      <c r="D139" s="63">
        <f>'LLM Single'!AM139</f>
        <v>-0.13203417914226587</v>
      </c>
    </row>
    <row r="141" spans="1:4" x14ac:dyDescent="0.25">
      <c r="A141" t="str">
        <f>'LLM Single'!B141</f>
        <v>Komatsu, S. I., &amp; Ohta, N. (1985). Priming effects in word-fragment completion for short-and long-term retention intervals. Japanese Psychological Research, 26(4), 194-200.</v>
      </c>
      <c r="B141">
        <f>'LLM Single'!AA141</f>
        <v>3024000</v>
      </c>
      <c r="C141" s="63">
        <f>B141/(60*60*24*365)</f>
        <v>9.5890410958904104E-2</v>
      </c>
      <c r="D141" s="63">
        <f>'LLM Single'!AM141</f>
        <v>-0.12855663071896861</v>
      </c>
    </row>
    <row r="143" spans="1:4" x14ac:dyDescent="0.25">
      <c r="A143" t="str">
        <f>'LLM Single'!B143</f>
        <v>Komatsu, S. I., &amp; Ohta, N. (1985). Priming effects in word-fragment completion for short-and long-term retention intervals. Japanese Psychological Research, 26(4), 194-200.</v>
      </c>
      <c r="B143">
        <f>'LLM Single'!AA143</f>
        <v>3024000</v>
      </c>
      <c r="C143" s="63">
        <f>B143/(60*60*24*365)</f>
        <v>9.5890410958904104E-2</v>
      </c>
      <c r="D143" s="63">
        <f>'LLM Single'!AM143</f>
        <v>-3.1738159437455275E-2</v>
      </c>
    </row>
    <row r="145" spans="1:4" x14ac:dyDescent="0.25">
      <c r="A145" t="str">
        <f>'LLM Single'!B145</f>
        <v>Komatsu, S. I., &amp; Ohta, N. (1985). Priming effects in word-fragment completion for short-and long-term retention intervals. Japanese Psychological Research, 26(4), 194-200.</v>
      </c>
      <c r="B145">
        <f>'LLM Single'!AA145</f>
        <v>3024000</v>
      </c>
      <c r="C145" s="63">
        <f>B145/(60*60*24*365)</f>
        <v>9.5890410958904104E-2</v>
      </c>
      <c r="D145" s="63">
        <f>'LLM Single'!AM145</f>
        <v>-8.9931235466484474E-3</v>
      </c>
    </row>
    <row r="147" spans="1:4" x14ac:dyDescent="0.25">
      <c r="A147" t="str">
        <f>'LLM Single'!B147</f>
        <v xml:space="preserve">Kristo, G., Janssen, S. M., &amp; Murre, J. M. (2009). Retention of autobiographical memories: An Internet-based diary study. Memory, 17(8), 816-829.
</v>
      </c>
      <c r="B147">
        <f>'LLM Single'!AA147</f>
        <v>3974140.8</v>
      </c>
      <c r="C147" s="63">
        <f>B147/(60*60*24*365)</f>
        <v>0.12601917808219176</v>
      </c>
      <c r="D147" s="63">
        <f>'LLM Single'!AM147</f>
        <v>-0.1257962676550925</v>
      </c>
    </row>
    <row r="149" spans="1:4" x14ac:dyDescent="0.25">
      <c r="A149" t="str">
        <f>'LLM Single'!B149</f>
        <v xml:space="preserve">Kristo, G., Janssen, S. M., &amp; Murre, J. M. (2009). Retention of autobiographical memories: An Internet-based diary study. Memory, 17(8), 816-829.
</v>
      </c>
      <c r="B149">
        <f>'LLM Single'!AA149</f>
        <v>3974140.8</v>
      </c>
      <c r="C149" s="63">
        <f>B149/(60*60*24*365)</f>
        <v>0.12601917808219176</v>
      </c>
      <c r="D149" s="63">
        <f>'LLM Single'!AM149</f>
        <v>-0.10245942774086458</v>
      </c>
    </row>
    <row r="151" spans="1:4" x14ac:dyDescent="0.25">
      <c r="A151" t="str">
        <f>'LLM Single'!B151</f>
        <v xml:space="preserve">Kristo, G., Janssen, S. M., &amp; Murre, J. M. (2009). Retention of autobiographical memories: An Internet-based diary study. Memory, 17(8), 816-829.
</v>
      </c>
      <c r="B151">
        <f>'LLM Single'!AA151</f>
        <v>3974140.8</v>
      </c>
      <c r="C151" s="63">
        <f>B151/(60*60*24*365)</f>
        <v>0.12601917808219176</v>
      </c>
      <c r="D151" s="63">
        <f>'LLM Single'!AM151</f>
        <v>-0.10446228159936932</v>
      </c>
    </row>
    <row r="153" spans="1:4" x14ac:dyDescent="0.25">
      <c r="A153" t="str">
        <f>'LLM Single'!B153</f>
        <v xml:space="preserve">Kristo, G., Janssen, S. M., &amp; Murre, J. M. (2009). Retention of autobiographical memories: An Internet-based diary study. Memory, 17(8), 816-829.
</v>
      </c>
      <c r="B153">
        <f>'LLM Single'!AA153</f>
        <v>3974140.8</v>
      </c>
      <c r="C153" s="63">
        <f>B153/(60*60*24*365)</f>
        <v>0.12601917808219176</v>
      </c>
      <c r="D153" s="63">
        <f>'LLM Single'!AM153</f>
        <v>-7.7860164813678023E-2</v>
      </c>
    </row>
    <row r="155" spans="1:4" x14ac:dyDescent="0.25">
      <c r="A155" t="str">
        <f>'LLM Single'!B155</f>
        <v xml:space="preserve">Kristo, G., Janssen, S. M., &amp; Murre, J. M. (2009). Retention of autobiographical memories: An Internet-based diary study. Memory, 17(8), 816-829.
</v>
      </c>
      <c r="B155">
        <f>'LLM Single'!AA155</f>
        <v>3974140.8</v>
      </c>
      <c r="C155" s="63">
        <f>B155/(60*60*24*365)</f>
        <v>0.12601917808219176</v>
      </c>
      <c r="D155" s="63">
        <f>'LLM Single'!AM155</f>
        <v>-4.7376859656874416E-2</v>
      </c>
    </row>
    <row r="157" spans="1:4" x14ac:dyDescent="0.25">
      <c r="A157" t="str">
        <f>'LLM Single'!B157</f>
        <v xml:space="preserve">Kristo, G., Janssen, S. M., &amp; Murre, J. M. (2009). Retention of autobiographical memories: An Internet-based diary study. Memory, 17(8), 816-829.
</v>
      </c>
      <c r="B157">
        <f>'LLM Single'!AA157</f>
        <v>3974140.8</v>
      </c>
      <c r="C157" s="63">
        <f>B157/(60*60*24*365)</f>
        <v>0.12601917808219176</v>
      </c>
      <c r="D157" s="63">
        <f>'LLM Single'!AM157</f>
        <v>-0.40127212015301539</v>
      </c>
    </row>
    <row r="159" spans="1:4" x14ac:dyDescent="0.25">
      <c r="A159" t="str">
        <f>'LLM Single'!B159</f>
        <v xml:space="preserve">Kristo, G., Janssen, S. M., &amp; Murre, J. M. (2009). Retention of autobiographical memories: An Internet-based diary study. Memory, 17(8), 816-829.
</v>
      </c>
      <c r="B159">
        <f>'LLM Single'!AA159</f>
        <v>3974140.8</v>
      </c>
      <c r="C159" s="63">
        <f>B159/(60*60*24*365)</f>
        <v>0.12601917808219176</v>
      </c>
      <c r="D159" s="63">
        <f>'LLM Single'!AM159</f>
        <v>-0.11567753955703121</v>
      </c>
    </row>
    <row r="161" spans="1:4" x14ac:dyDescent="0.25">
      <c r="A161" t="str">
        <f>'LLM Single'!B161</f>
        <v xml:space="preserve">Kristo, G., Janssen, S. M., &amp; Murre, J. M. (2009). Retention of autobiographical memories: An Internet-based diary study. Memory, 17(8), 816-829.
</v>
      </c>
      <c r="B161">
        <f>'LLM Single'!AA161</f>
        <v>3974140.8</v>
      </c>
      <c r="C161" s="63">
        <f>B161/(60*60*24*365)</f>
        <v>0.12601917808219176</v>
      </c>
      <c r="D161" s="63">
        <f>'LLM Single'!AM161</f>
        <v>-0.17331820916494636</v>
      </c>
    </row>
    <row r="163" spans="1:4" x14ac:dyDescent="0.25">
      <c r="A163" t="str">
        <f>'LLM Single'!B163</f>
        <v xml:space="preserve">Kristo, G., Janssen, S. M., &amp; Murre, J. M. (2009). Retention of autobiographical memories: An Internet-based diary study. Memory, 17(8), 816-829.
</v>
      </c>
      <c r="B163">
        <f>'LLM Single'!AA163</f>
        <v>3974140.8</v>
      </c>
      <c r="C163" s="63">
        <f>B163/(60*60*24*365)</f>
        <v>0.12601917808219176</v>
      </c>
      <c r="D163" s="63">
        <f>'LLM Single'!AM163</f>
        <v>-0.34508941196526083</v>
      </c>
    </row>
    <row r="165" spans="1:4" x14ac:dyDescent="0.25">
      <c r="A165" t="str">
        <f>'LLM Single'!B165</f>
        <v xml:space="preserve">Lavach, J. F. (1971). The effects of emotional arousal on short vs. long term retention of continuously presented information. Final report. Williamsburg, VA: College of William and Mary.
</v>
      </c>
      <c r="B165">
        <f>'LLM Single'!AA165</f>
        <v>2628002.88</v>
      </c>
      <c r="C165" s="63">
        <f>B165/(60*60*24*365)</f>
        <v>8.3333424657534239E-2</v>
      </c>
      <c r="D165" s="63">
        <f>'LLM Single'!AM165</f>
        <v>-0.10017691213249223</v>
      </c>
    </row>
    <row r="167" spans="1:4" x14ac:dyDescent="0.25">
      <c r="A167" t="str">
        <f>'LLM Single'!B167</f>
        <v>Lawless, H. T. (1978)Recognition of common odors, pictures, and simple shapes. Perception &amp; Psychophysics, 24(6), 493-495.</v>
      </c>
      <c r="B167">
        <f>'LLM Single'!AA167</f>
        <v>10368000</v>
      </c>
      <c r="C167" s="63">
        <f>B167/(60*60*24*365)</f>
        <v>0.32876712328767121</v>
      </c>
      <c r="D167" s="63">
        <f>'LLM Single'!AM167</f>
        <v>-1.6057300874033925E-2</v>
      </c>
    </row>
    <row r="169" spans="1:4" x14ac:dyDescent="0.25">
      <c r="A169" t="str">
        <f>'LLM Single'!B169</f>
        <v>Lawless, H. T. (1978)Recognition of common odors, pictures, and simple shapes. Perception &amp; Psychophysics, 24(6), 493-495.</v>
      </c>
      <c r="B169">
        <f>'LLM Single'!AA169</f>
        <v>10368000</v>
      </c>
      <c r="C169" s="63">
        <f>B169/(60*60*24*365)</f>
        <v>0.32876712328767121</v>
      </c>
      <c r="D169" s="63">
        <f>'LLM Single'!AM169</f>
        <v>-2.4219616948029557E-2</v>
      </c>
    </row>
    <row r="171" spans="1:4" x14ac:dyDescent="0.25">
      <c r="A171" t="str">
        <f>'LLM Single'!B171</f>
        <v>Lawless, H. T. (1978)Recognition of common odors, pictures, and simple shapes. Perception &amp; Psychophysics, 24(6), 493-495.</v>
      </c>
      <c r="B171">
        <f>'LLM Single'!AA171</f>
        <v>10368000</v>
      </c>
      <c r="C171" s="63">
        <f>B171/(60*60*24*365)</f>
        <v>0.32876712328767121</v>
      </c>
      <c r="D171" s="63">
        <f>'LLM Single'!AM171</f>
        <v>-2.116388690400554E-2</v>
      </c>
    </row>
    <row r="172" spans="1:4" x14ac:dyDescent="0.25">
      <c r="D172" s="63"/>
    </row>
    <row r="173" spans="1:4" x14ac:dyDescent="0.25">
      <c r="A173" t="str">
        <f>'LLM Single'!B173</f>
        <v>Manes, F., Graham, K. S., Zeman, A., de Lujan Calcagno, M., &amp; Hodges, J. R. (2005). Autobiographical amnesia and accelerated forgetting in transient epileptic amnesia. Journal of Neurology, Neurosurgery &amp; Psychiatry, 76(10), 1387-1391.</v>
      </c>
      <c r="B173">
        <f>'LLM Single'!AA173</f>
        <v>3628800</v>
      </c>
      <c r="C173" s="63">
        <f>B173/(60*60*24*365)</f>
        <v>0.11506849315068493</v>
      </c>
      <c r="D173" s="63">
        <f>'LLM Single'!AM173</f>
        <v>-7.0763197295137165E-2</v>
      </c>
    </row>
    <row r="174" spans="1:4" x14ac:dyDescent="0.25">
      <c r="D174" s="63"/>
    </row>
    <row r="175" spans="1:4" x14ac:dyDescent="0.25">
      <c r="A175" t="str">
        <f>'LLM Single'!B175</f>
        <v>Manes, F., Graham, K. S., Zeman, A., de Lujan Calcagno, M., &amp; Hodges, J. R. (2005). Autobiographical amnesia and accelerated forgetting in transient epileptic amnesia. Journal of Neurology, Neurosurgery &amp; Psychiatry, 76(10), 1387-1391.</v>
      </c>
      <c r="B175">
        <f>'LLM Single'!AA175</f>
        <v>3628800</v>
      </c>
      <c r="C175" s="63">
        <f>B175/(60*60*24*365)</f>
        <v>0.11506849315068493</v>
      </c>
      <c r="D175" s="63">
        <f>'LLM Single'!AM175</f>
        <v>-0.193578675770681</v>
      </c>
    </row>
    <row r="176" spans="1:4" x14ac:dyDescent="0.25">
      <c r="D176" s="63"/>
    </row>
    <row r="177" spans="1:4" x14ac:dyDescent="0.25">
      <c r="A177" t="str">
        <f>'LLM Single'!B177</f>
        <v>Mayes, A. R., Isaac, C. L., Holdstock, J. S., Cariga, P., Gummer, A., &amp; Roberts, N. (2003). Long-term amnesia: a review and detailed illustrative case study. Cortex, 39(4-5), 567-603.</v>
      </c>
      <c r="B177">
        <f>'LLM Single'!AA177</f>
        <v>1814400</v>
      </c>
      <c r="C177" s="63">
        <f>B177/(60*60*24*365)</f>
        <v>5.7534246575342465E-2</v>
      </c>
      <c r="D177" s="63">
        <f>'LLM Single'!AM177</f>
        <v>-3.5747405860801697E-2</v>
      </c>
    </row>
    <row r="178" spans="1:4" x14ac:dyDescent="0.25">
      <c r="D178" s="63"/>
    </row>
    <row r="179" spans="1:4" x14ac:dyDescent="0.25">
      <c r="A179" t="str">
        <f>'LLM Single'!B179</f>
        <v>Mayes, A. R., Isaac, C. L., Holdstock, J. S., Cariga, P., Gummer, A., &amp; Roberts, N. (2003). Long-term amnesia: a review and detailed illustrative case study. Cortex, 39(4-5), 567-603.</v>
      </c>
      <c r="B179">
        <f>'LLM Single'!AA179</f>
        <v>1814400</v>
      </c>
      <c r="C179" s="63">
        <f>B179/(60*60*24*365)</f>
        <v>5.7534246575342465E-2</v>
      </c>
      <c r="D179" s="63">
        <f>'LLM Single'!AM179</f>
        <v>-2.2270177520680771E-2</v>
      </c>
    </row>
    <row r="180" spans="1:4" x14ac:dyDescent="0.25">
      <c r="D180" s="63"/>
    </row>
    <row r="181" spans="1:4" x14ac:dyDescent="0.25">
      <c r="A181" t="str">
        <f>'LLM Single'!B181</f>
        <v>Mayes, A. R., Isaac, C. L., Holdstock, J. S., Cariga, P., Gummer, A., &amp; Roberts, N. (2003). Long-term amnesia: a review and detailed illustrative case study. Cortex, 39(4-5), 567-603.</v>
      </c>
      <c r="B181">
        <f>'LLM Single'!AA181</f>
        <v>1814400</v>
      </c>
      <c r="C181" s="63">
        <f>B181/(60*60*24*365)</f>
        <v>5.7534246575342465E-2</v>
      </c>
      <c r="D181" s="63">
        <f>'LLM Single'!AM181</f>
        <v>-3.5859183422681816E-2</v>
      </c>
    </row>
    <row r="182" spans="1:4" x14ac:dyDescent="0.25">
      <c r="D182" s="63"/>
    </row>
    <row r="183" spans="1:4" x14ac:dyDescent="0.25">
      <c r="A183" t="str">
        <f>'LLM Single'!B183</f>
        <v>Mayes, A. R., Isaac, C. L., Holdstock, J. S., Cariga, P., Gummer, A., &amp; Roberts, N. (2003). Long-term amnesia: a review and detailed illustrative case study. Cortex, 39(4-5), 567-603.</v>
      </c>
      <c r="B183">
        <f>'LLM Single'!AA183</f>
        <v>1814400</v>
      </c>
      <c r="C183" s="63">
        <f>B183/(60*60*24*365)</f>
        <v>5.7534246575342465E-2</v>
      </c>
      <c r="D183" s="63">
        <f>'LLM Single'!AM183</f>
        <v>-3.1695277143817535E-2</v>
      </c>
    </row>
    <row r="184" spans="1:4" x14ac:dyDescent="0.25">
      <c r="D184" s="63"/>
    </row>
    <row r="185" spans="1:4" x14ac:dyDescent="0.25">
      <c r="A185" t="str">
        <f>'LLM Single'!B185</f>
        <v>Mayes, A. R., Isaac, C. L., Holdstock, J. S., Cariga, P., Gummer, A., &amp; Roberts, N. (2003). Long-term amnesia: a review and detailed illustrative case study. Cortex, 39(4-5), 567-603.</v>
      </c>
      <c r="B185">
        <f>'LLM Single'!AA185</f>
        <v>1814400</v>
      </c>
      <c r="C185" s="63">
        <f>B185/(60*60*24*365)</f>
        <v>5.7534246575342465E-2</v>
      </c>
      <c r="D185" s="63">
        <f>'LLM Single'!AM185</f>
        <v>-3.245051501258598E-2</v>
      </c>
    </row>
    <row r="186" spans="1:4" x14ac:dyDescent="0.25">
      <c r="D186" s="63"/>
    </row>
    <row r="187" spans="1:4" x14ac:dyDescent="0.25">
      <c r="A187" t="str">
        <f>'LLM Single'!B187</f>
        <v>Mayes, A. R., Isaac, C. L., Holdstock, J. S., Cariga, P., Gummer, A., &amp; Roberts, N. (2003). Long-term amnesia: a review and detailed illustrative case study. Cortex, 39(4-5), 567-603.</v>
      </c>
      <c r="B187">
        <f>'LLM Single'!AA187</f>
        <v>1814400</v>
      </c>
      <c r="C187" s="63">
        <f>B187/(60*60*24*365)</f>
        <v>5.7534246575342465E-2</v>
      </c>
      <c r="D187" s="63">
        <f>'LLM Single'!AM187</f>
        <v>-2.0269115675704209E-2</v>
      </c>
    </row>
    <row r="189" spans="1:4" x14ac:dyDescent="0.25">
      <c r="A189" t="str">
        <f>'LLM Single'!B189</f>
        <v xml:space="preserve">Meeter, M., Murre, J. M., &amp; Janssen, S. M. (2005). Remembering the news: Modeling retention data from a study with 14,000 participants. Memory &amp; Cognition, 33(5), 793-810.
</v>
      </c>
      <c r="B189">
        <f>'LLM Single'!AA189</f>
        <v>32356800</v>
      </c>
      <c r="C189" s="63">
        <f>B189/(60*60*24*365)</f>
        <v>1.026027397260274</v>
      </c>
      <c r="D189" s="63">
        <f>'LLM Single'!AM189</f>
        <v>-6.812349177381842E-2</v>
      </c>
    </row>
    <row r="191" spans="1:4" x14ac:dyDescent="0.25">
      <c r="A191" t="str">
        <f>'LLM Single'!B191</f>
        <v xml:space="preserve">Meeter, M., Murre, J. M., &amp; Janssen, S. M. (2005). Remembering the news: Modeling retention data from a study with 14,000 participants. Memory &amp; Cognition, 33(5), 793-810.
</v>
      </c>
      <c r="B191">
        <f>'LLM Single'!AA191</f>
        <v>32356800</v>
      </c>
      <c r="C191" s="63">
        <f>B191/(60*60*24*365)</f>
        <v>1.026027397260274</v>
      </c>
      <c r="D191" s="63">
        <f>'LLM Single'!AM191</f>
        <v>-0.1593494789550107</v>
      </c>
    </row>
    <row r="192" spans="1:4" x14ac:dyDescent="0.25">
      <c r="D192" s="63"/>
    </row>
    <row r="193" spans="1:4" x14ac:dyDescent="0.25">
      <c r="A193" t="str">
        <f>'LLM Single'!B193</f>
        <v>Muhlert, N., Grünewald, R. A., Hunkin, N. M., Reuber, M., Howell, S., Reynders, H., &amp; Isaac, C. L. (2011). Accelerated long-term forgetting in temporal lobe but not idiopathic generalised epilepsy. Neuropsychologia, 49(9), 2417-2426.</v>
      </c>
      <c r="B193">
        <f>'LLM Single'!AA193</f>
        <v>1814400</v>
      </c>
      <c r="C193" s="63">
        <f>B193/(60*60*24*365)</f>
        <v>5.7534246575342465E-2</v>
      </c>
      <c r="D193" s="63">
        <f>'LLM Single'!AM193</f>
        <v>-8.0125213049529343E-3</v>
      </c>
    </row>
    <row r="194" spans="1:4" x14ac:dyDescent="0.25">
      <c r="D194" s="63"/>
    </row>
    <row r="195" spans="1:4" x14ac:dyDescent="0.25">
      <c r="A195" t="str">
        <f>'LLM Single'!B195</f>
        <v>Muhlert, N., Grünewald, R. A., Hunkin, N. M., Reuber, M., Howell, S., Reynders, H., &amp; Isaac, C. L. (2011). Accelerated long-term forgetting in temporal lobe but not idiopathic generalised epilepsy. Neuropsychologia, 49(9), 2417-2426.</v>
      </c>
      <c r="B195">
        <f>'LLM Single'!AA195</f>
        <v>1814400</v>
      </c>
      <c r="C195" s="63">
        <f>B195/(60*60*24*365)</f>
        <v>5.7534246575342465E-2</v>
      </c>
      <c r="D195" s="63">
        <f>'LLM Single'!AM195</f>
        <v>-1.3236682347725693E-2</v>
      </c>
    </row>
    <row r="196" spans="1:4" x14ac:dyDescent="0.25">
      <c r="D196" s="63"/>
    </row>
    <row r="197" spans="1:4" x14ac:dyDescent="0.25">
      <c r="A197" t="str">
        <f>'LLM Single'!B197</f>
        <v>Muhlert, N., Grünewald, R. A., Hunkin, N. M., Reuber, M., Howell, S., Reynders, H., &amp; Isaac, C. L. (2011). Accelerated long-term forgetting in temporal lobe but not idiopathic generalised epilepsy. Neuropsychologia, 49(9), 2417-2426.</v>
      </c>
      <c r="B197">
        <f>'LLM Single'!AA197</f>
        <v>1814400</v>
      </c>
      <c r="C197" s="63">
        <f>B197/(60*60*24*365)</f>
        <v>5.7534246575342465E-2</v>
      </c>
      <c r="D197" s="63">
        <f>'LLM Single'!AM197</f>
        <v>-1.7099796840932026E-2</v>
      </c>
    </row>
    <row r="198" spans="1:4" x14ac:dyDescent="0.25">
      <c r="D198" s="63"/>
    </row>
    <row r="199" spans="1:4" x14ac:dyDescent="0.25">
      <c r="A199" t="str">
        <f>'LLM Single'!B199</f>
        <v>Muhlert, N., Grünewald, R. A., Hunkin, N. M., Reuber, M., Howell, S., Reynders, H., &amp; Isaac, C. L. (2011). Accelerated long-term forgetting in temporal lobe but not idiopathic generalised epilepsy. Neuropsychologia, 49(9), 2417-2426.</v>
      </c>
      <c r="B199">
        <f>'LLM Single'!AA199</f>
        <v>1814400</v>
      </c>
      <c r="C199" s="63">
        <f>B199/(60*60*24*365)</f>
        <v>5.7534246575342465E-2</v>
      </c>
      <c r="D199" s="63">
        <f>'LLM Single'!AM199</f>
        <v>-2.6763552856926078E-2</v>
      </c>
    </row>
    <row r="200" spans="1:4" x14ac:dyDescent="0.25">
      <c r="D200" s="63"/>
    </row>
    <row r="201" spans="1:4" x14ac:dyDescent="0.25">
      <c r="A201" t="str">
        <f>'LLM Single'!B201</f>
        <v>Muhlert, N., Grünewald, R. A., Hunkin, N. M., Reuber, M., Howell, S., Reynders, H., &amp; Isaac, C. L. (2011). Accelerated long-term forgetting in temporal lobe but not idiopathic generalised epilepsy. Neuropsychologia, 49(9), 2417-2426.</v>
      </c>
      <c r="B201">
        <f>'LLM Single'!AA201</f>
        <v>1814400</v>
      </c>
      <c r="C201" s="63">
        <f>B201/(60*60*24*365)</f>
        <v>5.7534246575342465E-2</v>
      </c>
      <c r="D201" s="63">
        <f>'LLM Single'!AM201</f>
        <v>-1.9799636788292896E-3</v>
      </c>
    </row>
    <row r="202" spans="1:4" x14ac:dyDescent="0.25">
      <c r="D202" s="63"/>
    </row>
    <row r="203" spans="1:4" x14ac:dyDescent="0.25">
      <c r="A203" t="str">
        <f>'LLM Single'!B203</f>
        <v>Muhlert, N., Grünewald, R. A., Hunkin, N. M., Reuber, M., Howell, S., Reynders, H., &amp; Isaac, C. L. (2011). Accelerated long-term forgetting in temporal lobe but not idiopathic generalised epilepsy. Neuropsychologia, 49(9), 2417-2426.</v>
      </c>
      <c r="B203">
        <f>'LLM Single'!AA203</f>
        <v>1814400</v>
      </c>
      <c r="C203" s="63">
        <f>B203/(60*60*24*365)</f>
        <v>5.7534246575342465E-2</v>
      </c>
      <c r="D203" s="63">
        <f>'LLM Single'!AM203</f>
        <v>-1.5433919466815139E-3</v>
      </c>
    </row>
    <row r="204" spans="1:4" x14ac:dyDescent="0.25">
      <c r="D204" s="63"/>
    </row>
    <row r="205" spans="1:4" x14ac:dyDescent="0.25">
      <c r="A205" t="str">
        <f>'LLM Single'!B205</f>
        <v>Muhlert, N., Grünewald, R. A., Hunkin, N. M., Reuber, M., Howell, S., Reynders, H., &amp; Isaac, C. L. (2011). Accelerated long-term forgetting in temporal lobe but not idiopathic generalised epilepsy. Neuropsychologia, 49(9), 2417-2426.</v>
      </c>
      <c r="B205">
        <f>'LLM Single'!AA205</f>
        <v>1814400</v>
      </c>
      <c r="C205" s="63">
        <f>B205/(60*60*24*365)</f>
        <v>5.7534246575342465E-2</v>
      </c>
      <c r="D205" s="63">
        <f>'LLM Single'!AM205</f>
        <v>-1.4760147964970787E-2</v>
      </c>
    </row>
    <row r="206" spans="1:4" x14ac:dyDescent="0.25">
      <c r="D206" s="63"/>
    </row>
    <row r="207" spans="1:4" x14ac:dyDescent="0.25">
      <c r="A207" t="str">
        <f>'LLM Single'!B207</f>
        <v>Muhlert, N., Grünewald, R. A., Hunkin, N. M., Reuber, M., Howell, S., Reynders, H., &amp; Isaac, C. L. (2011). Accelerated long-term forgetting in temporal lobe but not idiopathic generalised epilepsy. Neuropsychologia, 49(9), 2417-2426.</v>
      </c>
      <c r="B207">
        <f>'LLM Single'!AA207</f>
        <v>1814400</v>
      </c>
      <c r="C207" s="63">
        <f>B207/(60*60*24*365)</f>
        <v>5.7534246575342465E-2</v>
      </c>
      <c r="D207" s="63">
        <f>'LLM Single'!AM207</f>
        <v>-1.9652187665199831E-2</v>
      </c>
    </row>
    <row r="208" spans="1:4" x14ac:dyDescent="0.25">
      <c r="D208" s="63"/>
    </row>
    <row r="209" spans="1:4" x14ac:dyDescent="0.25">
      <c r="A209" t="str">
        <f>'LLM Single'!B209</f>
        <v>Muhlert, N., Grünewald, R. A., Hunkin, N. M., Reuber, M., Howell, S., Reynders, H., &amp; Isaac, C. L. (2011). Accelerated long-term forgetting in temporal lobe but not idiopathic generalised epilepsy. Neuropsychologia, 49(9), 2417-2426.</v>
      </c>
      <c r="B209">
        <f>'LLM Single'!AA209</f>
        <v>1814400</v>
      </c>
      <c r="C209" s="63">
        <f>B209/(60*60*24*365)</f>
        <v>5.7534246575342465E-2</v>
      </c>
      <c r="D209" s="63">
        <f>'LLM Single'!AM209</f>
        <v>-3.6092156247544707E-2</v>
      </c>
    </row>
    <row r="210" spans="1:4" x14ac:dyDescent="0.25">
      <c r="D210" s="63"/>
    </row>
    <row r="211" spans="1:4" x14ac:dyDescent="0.25">
      <c r="A211" t="str">
        <f>'LLM Single'!B211</f>
        <v>Muhlert, N., Grünewald, R. A., Hunkin, N. M., Reuber, M., Howell, S., Reynders, H., &amp; Isaac, C. L. (2011). Accelerated long-term forgetting in temporal lobe but not idiopathic generalised epilepsy. Neuropsychologia, 49(9), 2417-2426.</v>
      </c>
      <c r="B211">
        <f>'LLM Single'!AA211</f>
        <v>1814400</v>
      </c>
      <c r="C211" s="63">
        <f>B211/(60*60*24*365)</f>
        <v>5.7534246575342465E-2</v>
      </c>
      <c r="D211" s="63">
        <f>'LLM Single'!AM211</f>
        <v>-4.9120702232254843E-2</v>
      </c>
    </row>
    <row r="212" spans="1:4" x14ac:dyDescent="0.25">
      <c r="D212" s="63"/>
    </row>
    <row r="213" spans="1:4" x14ac:dyDescent="0.25">
      <c r="A213" t="str">
        <f>'LLM Single'!B213</f>
        <v>Muhlert, N., Grünewald, R. A., Hunkin, N. M., Reuber, M., Howell, S., Reynders, H., &amp; Isaac, C. L. (2011). Accelerated long-term forgetting in temporal lobe but not idiopathic generalised epilepsy. Neuropsychologia, 49(9), 2417-2426.</v>
      </c>
      <c r="B213">
        <f>'LLM Single'!AA213</f>
        <v>1814400</v>
      </c>
      <c r="C213" s="63">
        <f>B213/(60*60*24*365)</f>
        <v>5.7534246575342465E-2</v>
      </c>
      <c r="D213" s="63">
        <f>'LLM Single'!AM213</f>
        <v>-1.2582240343330695E-2</v>
      </c>
    </row>
    <row r="214" spans="1:4" x14ac:dyDescent="0.25">
      <c r="D214" s="63"/>
    </row>
    <row r="215" spans="1:4" x14ac:dyDescent="0.25">
      <c r="A215" t="str">
        <f>'LLM Single'!B215</f>
        <v>Muhlert, N., Grünewald, R. A., Hunkin, N. M., Reuber, M., Howell, S., Reynders, H., &amp; Isaac, C. L. (2011). Accelerated long-term forgetting in temporal lobe but not idiopathic generalised epilepsy. Neuropsychologia, 49(9), 2417-2426.</v>
      </c>
      <c r="B215">
        <f>'LLM Single'!AA215</f>
        <v>1814400</v>
      </c>
      <c r="C215" s="63">
        <f>B215/(60*60*24*365)</f>
        <v>5.7534246575342465E-2</v>
      </c>
      <c r="D215" s="63">
        <f>'LLM Single'!AM215</f>
        <v>-1.4662416901925495E-2</v>
      </c>
    </row>
    <row r="216" spans="1:4" x14ac:dyDescent="0.25">
      <c r="D216" s="63"/>
    </row>
    <row r="217" spans="1:4" x14ac:dyDescent="0.25">
      <c r="A217" t="str">
        <f>'LLM Single'!B217</f>
        <v>Muhlert, N., Milton, F., Butler, C. R., Kapur, N., &amp; Zeman, A. Z. (2010). Accelerated forgetting of real-life events in Transient Epileptic Amnesia. Neuropsychologia, 48(11), 3235-3244.</v>
      </c>
      <c r="B217">
        <f>'LLM Single'!AA217</f>
        <v>1814400</v>
      </c>
      <c r="C217" s="63">
        <f>B217/(60*60*24*365)</f>
        <v>5.7534246575342465E-2</v>
      </c>
      <c r="D217" s="63">
        <f>'LLM Single'!AM217</f>
        <v>-6.1115221213029116E-3</v>
      </c>
    </row>
    <row r="218" spans="1:4" x14ac:dyDescent="0.25">
      <c r="D218" s="63"/>
    </row>
    <row r="219" spans="1:4" x14ac:dyDescent="0.25">
      <c r="A219" t="str">
        <f>'LLM Single'!B219</f>
        <v>Muhlert, N., Milton, F., Butler, C. R., Kapur, N., &amp; Zeman, A. Z. (2010). Accelerated forgetting of real-life events in Transient Epileptic Amnesia. Neuropsychologia, 48(11), 3235-3244.</v>
      </c>
      <c r="B219">
        <f>'LLM Single'!AA219</f>
        <v>1814400</v>
      </c>
      <c r="C219" s="63">
        <f>B219/(60*60*24*365)</f>
        <v>5.7534246575342465E-2</v>
      </c>
      <c r="D219" s="63">
        <f>'LLM Single'!AM219</f>
        <v>-2.0057967977810107E-2</v>
      </c>
    </row>
    <row r="221" spans="1:4" x14ac:dyDescent="0.25">
      <c r="A221" t="str">
        <f>'LLM Single'!B221</f>
        <v>Nunoi, M., &amp; Yoshikawa, S. (2016). Deep processing makes stimuli more preferable over long durations. Journal of Cognitive Psychology, 28(6), 756-763.</v>
      </c>
      <c r="B221">
        <f>'LLM Single'!AA221</f>
        <v>3628800</v>
      </c>
      <c r="C221" s="63">
        <f>B221/(60*60*24*365)</f>
        <v>0.11506849315068493</v>
      </c>
      <c r="D221" s="63">
        <f>'LLM Single'!AM221</f>
        <v>-1.230302890150585E-2</v>
      </c>
    </row>
    <row r="223" spans="1:4" x14ac:dyDescent="0.25">
      <c r="A223" t="str">
        <f>'LLM Single'!B223</f>
        <v>Nunoi, M., &amp; Yoshikawa, S. (2016). Deep processing makes stimuli more preferable over long durations. Journal of Cognitive Psychology, 28(6), 756-763.</v>
      </c>
      <c r="B223">
        <f>'LLM Single'!AA223</f>
        <v>3628800</v>
      </c>
      <c r="C223" s="63">
        <f>B223/(60*60*24*365)</f>
        <v>0.11506849315068493</v>
      </c>
      <c r="D223" s="63">
        <f>'LLM Single'!AM223</f>
        <v>-8.3950381219197508E-3</v>
      </c>
    </row>
    <row r="225" spans="1:4" x14ac:dyDescent="0.25">
      <c r="A225" t="str">
        <f>'LLM Single'!B225</f>
        <v>O'Rear,A. E. &amp; Radvansky, G. A. (2020) Diary Study</v>
      </c>
      <c r="B225">
        <f>'LLM Single'!AA225</f>
        <v>7430400</v>
      </c>
      <c r="C225" s="63">
        <f>B225/(60*60*24*365)</f>
        <v>0.23561643835616439</v>
      </c>
      <c r="D225" s="63">
        <f>'LLM Single'!AM225</f>
        <v>-0.30272886338985389</v>
      </c>
    </row>
    <row r="227" spans="1:4" x14ac:dyDescent="0.25">
      <c r="A227" t="str">
        <f>'LLM Single'!B227</f>
        <v>O'Rear,A. E. &amp; Radvansky, G. A. (2020) Diary Study</v>
      </c>
      <c r="B227">
        <f>'LLM Single'!AA227</f>
        <v>7430400</v>
      </c>
      <c r="C227" s="63">
        <f>B227/(60*60*24*365)</f>
        <v>0.23561643835616439</v>
      </c>
      <c r="D227" s="63">
        <f>'LLM Single'!AM227</f>
        <v>-0.1001762268856861</v>
      </c>
    </row>
    <row r="229" spans="1:4" x14ac:dyDescent="0.25">
      <c r="A229" t="str">
        <f>'LLM Single'!B229</f>
        <v>O'Rear,A. E. &amp; Radvansky, G. A. (2020) Diary Study</v>
      </c>
      <c r="B229">
        <f>'LLM Single'!AA229</f>
        <v>7430400</v>
      </c>
      <c r="C229" s="63">
        <f>B229/(60*60*24*365)</f>
        <v>0.23561643835616439</v>
      </c>
      <c r="D229" s="63">
        <f>'LLM Single'!AM229</f>
        <v>-7.6700916801430596E-2</v>
      </c>
    </row>
    <row r="231" spans="1:4" x14ac:dyDescent="0.25">
      <c r="A231" t="str">
        <f>'LLM Single'!B231</f>
        <v>O'Rear,A. E. &amp; Radvansky, G. A. (2020) Diary Study</v>
      </c>
      <c r="B231">
        <f>'LLM Single'!AA231</f>
        <v>7430400</v>
      </c>
      <c r="C231" s="63">
        <f>B231/(60*60*24*365)</f>
        <v>0.23561643835616439</v>
      </c>
      <c r="D231" s="63">
        <f>'LLM Single'!AM231</f>
        <v>-8.6888183909583347E-2</v>
      </c>
    </row>
    <row r="233" spans="1:4" x14ac:dyDescent="0.25">
      <c r="A233" t="str">
        <f>'LLM Single'!B233</f>
        <v>O'Rear,A. E. &amp; Radvansky, G. A. (2020) Diary Study</v>
      </c>
      <c r="B233">
        <f>'LLM Single'!AA233</f>
        <v>7430400</v>
      </c>
      <c r="C233" s="63">
        <f>B233/(60*60*24*365)</f>
        <v>0.23561643835616439</v>
      </c>
      <c r="D233" s="63">
        <f>'LLM Single'!AM233</f>
        <v>-6.2898280047467836E-2</v>
      </c>
    </row>
    <row r="235" spans="1:4" x14ac:dyDescent="0.25">
      <c r="A235" t="str">
        <f>'LLM Single'!B235</f>
        <v>O'Rear,A. E. &amp; Radvansky, G. A. (2020) Diary Study</v>
      </c>
      <c r="B235">
        <f>'LLM Single'!AA235</f>
        <v>7430400</v>
      </c>
      <c r="C235" s="63">
        <f>B235/(60*60*24*365)</f>
        <v>0.23561643835616439</v>
      </c>
      <c r="D235" s="63">
        <f>'LLM Single'!AM235</f>
        <v>-0.11060405425667763</v>
      </c>
    </row>
    <row r="237" spans="1:4" x14ac:dyDescent="0.25">
      <c r="A237" t="str">
        <f>'LLM Single'!B237</f>
        <v xml:space="preserve">Runquist, W. N. (1983). Some effects of remembering on forgetting. Memory and Cognition, 11(6), 641-650.
</v>
      </c>
      <c r="B237">
        <f>'LLM Single'!AA237</f>
        <v>1814400</v>
      </c>
      <c r="C237" s="63">
        <f>B237/(60*60*24*365)</f>
        <v>5.7534246575342465E-2</v>
      </c>
      <c r="D237" s="63">
        <f>'LLM Single'!AM237</f>
        <v>-8.6201465973200567E-2</v>
      </c>
    </row>
    <row r="239" spans="1:4" x14ac:dyDescent="0.25">
      <c r="A239" t="str">
        <f>'LLM Single'!B239</f>
        <v xml:space="preserve">Runquist, W. N. (1983). Some effects of remembering on forgetting. Memory and Cognition, 11(6), 641-650.
</v>
      </c>
      <c r="B239">
        <f>'LLM Single'!AA239</f>
        <v>1814400</v>
      </c>
      <c r="C239" s="63">
        <f>B239/(60*60*24*365)</f>
        <v>5.7534246575342465E-2</v>
      </c>
      <c r="D239" s="63">
        <f>'LLM Single'!AM239</f>
        <v>-0.21474824186994065</v>
      </c>
    </row>
    <row r="241" spans="1:4" x14ac:dyDescent="0.25">
      <c r="A241" t="str">
        <f>'LLM Single'!B241</f>
        <v xml:space="preserve">Seamon, J. G., Luo, C. R., Kopecky, J. J., Price, C. A., Rothschild, L., Fung, N. S., &amp; Schwartz, M. A. (2002). Are false memories more difficult to forget than accurate memories? The effect of retention interval on recall and recognition. Memory and Cognition, 30(7), 1054-1064.
</v>
      </c>
      <c r="B241">
        <f>'LLM Single'!AA241</f>
        <v>5270400</v>
      </c>
      <c r="C241" s="63">
        <f>B241/(60*60*24*365)</f>
        <v>0.16712328767123288</v>
      </c>
      <c r="D241" s="63">
        <f>'LLM Single'!AM241</f>
        <v>-0.11801571386628593</v>
      </c>
    </row>
    <row r="243" spans="1:4" x14ac:dyDescent="0.25">
      <c r="A243" t="str">
        <f>'LLM Single'!B243</f>
        <v xml:space="preserve">Seamon, J. G., Luo, C. R., Kopecky, J. J., Price, C. A., Rothschild, L., Fung, N. S., &amp; Schwartz, M. A. (2002). Are false memories more difficult to forget than accurate memories? The effect of retention interval on recall and recognition. Memory and Cognition, 30(7), 1054-1064.
</v>
      </c>
      <c r="B243">
        <f>'LLM Single'!AA243</f>
        <v>5270400</v>
      </c>
      <c r="C243" s="63">
        <f>B243/(60*60*24*365)</f>
        <v>0.16712328767123288</v>
      </c>
      <c r="D243" s="63">
        <f>'LLM Single'!AM243</f>
        <v>-3.8483309306141564E-2</v>
      </c>
    </row>
    <row r="245" spans="1:4" x14ac:dyDescent="0.25">
      <c r="A245" t="str">
        <f>'LLM Single'!B245</f>
        <v>Shepherd, J. W., &amp; Ellis, H. D. (1973). The effect of attractiveness on recognition memory for faces. American Journal of Psychology, 86(3), 627-633.</v>
      </c>
      <c r="B245">
        <f>'LLM Single'!AA245</f>
        <v>3024000</v>
      </c>
      <c r="C245" s="63">
        <f>B245/(60*60*24*365)</f>
        <v>9.5890410958904104E-2</v>
      </c>
      <c r="D245" s="63">
        <f>'LLM Single'!AM245</f>
        <v>-2.7183433179021613E-2</v>
      </c>
    </row>
    <row r="247" spans="1:4" x14ac:dyDescent="0.25">
      <c r="A247" t="str">
        <f>'LLM Single'!B247</f>
        <v>Shepherd, J. W., &amp; Ellis, H. D. (1973). The effect of attractiveness on recognition memory for faces. American Journal of Psychology, 86(3), 627-633.</v>
      </c>
      <c r="B247">
        <f>'LLM Single'!AA247</f>
        <v>3024000</v>
      </c>
      <c r="C247" s="63">
        <f>B247/(60*60*24*365)</f>
        <v>9.5890410958904104E-2</v>
      </c>
      <c r="D247" s="63">
        <f>'LLM Single'!AM247</f>
        <v>-0.16866132108640955</v>
      </c>
    </row>
    <row r="249" spans="1:4" x14ac:dyDescent="0.25">
      <c r="A249" t="str">
        <f>'LLM Single'!B249</f>
        <v>Shepherd, J. W., &amp; Ellis, H. D. (1973). The effect of attractiveness on recognition memory for faces. American Journal of Psychology, 86(3), 627-633.</v>
      </c>
      <c r="B249">
        <f>'LLM Single'!AA249</f>
        <v>3024000</v>
      </c>
      <c r="C249" s="63">
        <f>B249/(60*60*24*365)</f>
        <v>9.5890410958904104E-2</v>
      </c>
      <c r="D249" s="63">
        <f>'LLM Single'!AM249</f>
        <v>-1.0025145191168542E-2</v>
      </c>
    </row>
    <row r="251" spans="1:4" x14ac:dyDescent="0.25">
      <c r="A251" t="str">
        <f>'LLM Single'!B251</f>
        <v>Shepherd, J. W., Ellis, H. D., &amp; Davies, G. M. (1982). Identification evidence: A psychological evaluation. Aberdeen, Scotland: Aberdeen University Press</v>
      </c>
      <c r="B251">
        <f>'LLM Single'!AA251</f>
        <v>28512000</v>
      </c>
      <c r="C251" s="63">
        <f>B251/(60*60*24*365)</f>
        <v>0.90410958904109584</v>
      </c>
      <c r="D251" s="63">
        <f>'LLM Single'!AM251</f>
        <v>-0.39305204447771663</v>
      </c>
    </row>
    <row r="253" spans="1:4" x14ac:dyDescent="0.25">
      <c r="A253" t="str">
        <f>'LLM Single'!B253</f>
        <v xml:space="preserve">Sloman, S. A., Hayman, C. A. G., Ohta, N., Law, J., &amp; Tulving, E. (1988). Forgetting in primed fragment completion. Journal of Experimental Psychology: Learning, Memory, and Cognition, 14(2), 223-239.
</v>
      </c>
      <c r="B253">
        <f>'LLM Single'!AA253</f>
        <v>13910400</v>
      </c>
      <c r="C253" s="63">
        <f>B253/(60*60*24*365)</f>
        <v>0.44109589041095892</v>
      </c>
      <c r="D253" s="63">
        <f>'LLM Single'!AM253</f>
        <v>-5.8209117567300031E-2</v>
      </c>
    </row>
    <row r="255" spans="1:4" x14ac:dyDescent="0.25">
      <c r="A255" t="str">
        <f>'LLM Single'!B255</f>
        <v>Smith, D. A., &amp; Graesser, A. C. (1981). Memory for actions in scripted activities as a function of typicality, retention interval, and retrieval task. Memory &amp; Cognition, 9(6), 550-559.</v>
      </c>
      <c r="B255">
        <f>'LLM Single'!AA255</f>
        <v>1814400</v>
      </c>
      <c r="C255" s="63">
        <f>B255/(60*60*24*365)</f>
        <v>5.7534246575342465E-2</v>
      </c>
      <c r="D255" s="63">
        <f>'LLM Single'!AM255</f>
        <v>-6.2083523036937302E-2</v>
      </c>
    </row>
    <row r="257" spans="1:5" x14ac:dyDescent="0.25">
      <c r="A257" t="str">
        <f>'LLM Single'!B257</f>
        <v>Smith, D. A., &amp; Graesser, A. C. (1981). Memory for actions in scripted activities as a function of typicality, retention interval, and retrieval task. Memory &amp; Cognition, 9(6), 550-559.</v>
      </c>
      <c r="B257">
        <f>'LLM Single'!AA257</f>
        <v>1814400</v>
      </c>
      <c r="C257" s="63">
        <f>B257/(60*60*24*365)</f>
        <v>5.7534246575342465E-2</v>
      </c>
      <c r="D257" s="171"/>
      <c r="E257" s="63">
        <f>'LLM Single'!AM312</f>
        <v>-0.4328308796194435</v>
      </c>
    </row>
    <row r="259" spans="1:5" x14ac:dyDescent="0.25">
      <c r="A259" t="str">
        <f>'LLM Single'!B259</f>
        <v>Smith, D. A., &amp; Graesser, A. C. (1981). Memory for actions in scripted activities as a function of typicality, retention interval, and retrieval task. Memory &amp; Cognition, 9(6), 550-559.</v>
      </c>
      <c r="B259">
        <f>'LLM Single'!AA259</f>
        <v>1814400</v>
      </c>
      <c r="C259" s="63">
        <f>B259/(60*60*24*365)</f>
        <v>5.7534246575342465E-2</v>
      </c>
      <c r="D259" s="63">
        <f>'LLM Single'!AM259</f>
        <v>-3.4681778044997398E-2</v>
      </c>
    </row>
    <row r="261" spans="1:5" x14ac:dyDescent="0.25">
      <c r="A261" t="str">
        <f>'LLM Single'!B261</f>
        <v>Smith, D. A., &amp; Graesser, A. C. (1981). Memory for actions in scripted activities as a function of typicality, retention interval, and retrieval task. Memory &amp; Cognition, 9(6), 550-559.</v>
      </c>
      <c r="B261">
        <f>'LLM Single'!AA261</f>
        <v>1814400</v>
      </c>
      <c r="C261" s="63">
        <f>B261/(60*60*24*365)</f>
        <v>5.7534246575342465E-2</v>
      </c>
      <c r="D261" s="63">
        <f>'LLM Single'!AM261</f>
        <v>-3.3513376224917048E-2</v>
      </c>
    </row>
    <row r="262" spans="1:5" x14ac:dyDescent="0.25">
      <c r="D262" s="63"/>
    </row>
    <row r="263" spans="1:5" x14ac:dyDescent="0.25">
      <c r="A263" t="str">
        <f>'LLM Single'!B263</f>
        <v>Spikman, J. M., Berg, I. J., &amp; Deelman, B. G. (1995). Spared recognition capacity in elderly and closed-head-injury subjects with clinical memory deficits. Journal of clinical and experimental neuropsychology, 17(1), 29-34.</v>
      </c>
      <c r="B263">
        <f>'LLM Single'!AA263</f>
        <v>16329600</v>
      </c>
      <c r="C263" s="63">
        <f>B263/(60*60*24*365)</f>
        <v>0.51780821917808217</v>
      </c>
      <c r="D263" s="63">
        <f>'LLM Single'!AM263</f>
        <v>-2.8799291828359688E-2</v>
      </c>
    </row>
    <row r="264" spans="1:5" x14ac:dyDescent="0.25">
      <c r="D264" s="63"/>
    </row>
    <row r="265" spans="1:5" x14ac:dyDescent="0.25">
      <c r="A265" t="str">
        <f>'LLM Single'!B265</f>
        <v>Spikman, J. M., Berg, I. J., &amp; Deelman, B. G. (1995). Spared recognition capacity in elderly and closed-head-injury subjects with clinical memory deficits. Journal of clinical and experimental neuropsychology, 17(1), 29-34.</v>
      </c>
      <c r="B265">
        <f>'LLM Single'!AA265</f>
        <v>16329600</v>
      </c>
      <c r="C265" s="63">
        <f>B265/(60*60*24*365)</f>
        <v>0.51780821917808217</v>
      </c>
      <c r="D265" s="63">
        <f>'LLM Single'!AM265</f>
        <v>-3.7895681646718304E-2</v>
      </c>
    </row>
    <row r="267" spans="1:5" x14ac:dyDescent="0.25">
      <c r="A267" t="str">
        <f>'LLM Single'!B267</f>
        <v>Squire, L. R., Zola-Morgan, S., Cave, C. B., Haist, F., Musen, G., &amp; Suzuki, W. A. (1990, January). Memory: organization of brain systems and cognition. In Cold Spring Harbor symposia on quantitative biology (Vol. 55, pp. 1007-1023). Cold Spring Harbor Laboratory Press.</v>
      </c>
      <c r="B267">
        <f>'LLM Single'!AA267</f>
        <v>4838400</v>
      </c>
      <c r="C267" s="63">
        <f>B267/(60*60*24*365)</f>
        <v>0.15342465753424658</v>
      </c>
      <c r="D267" s="63">
        <f>'LLM Single'!AM267</f>
        <v>-3.7914969201065102E-2</v>
      </c>
    </row>
    <row r="269" spans="1:5" x14ac:dyDescent="0.25">
      <c r="A269" t="str">
        <f>'LLM Single'!B269</f>
        <v>Squire, L. R., Zola-Morgan, S., Cave, C. B., Haist, F., Musen, G., &amp; Suzuki, W. A. (1990, January). Memory: organization of brain systems and cognition. In Cold Spring Harbor symposia on quantitative biology (Vol. 55, pp. 1007-1023). Cold Spring Harbor Laboratory Press.</v>
      </c>
      <c r="B269">
        <f>'LLM Single'!AA269</f>
        <v>4838400</v>
      </c>
      <c r="C269" s="63">
        <f>B269/(60*60*24*365)</f>
        <v>0.15342465753424658</v>
      </c>
      <c r="D269" s="63">
        <f>'LLM Single'!AM269</f>
        <v>-0.14561903803937642</v>
      </c>
    </row>
    <row r="271" spans="1:5" x14ac:dyDescent="0.25">
      <c r="A271" t="str">
        <f>'LLM Single'!B271</f>
        <v>Stanhope, N., Cohen, G., &amp; Conway, M. (1993). Very long-term retention of a novel. Applied Cognitive Psychology, 7, 239-256.</v>
      </c>
      <c r="B271">
        <f>'LLM Single'!AA271</f>
        <v>101088000</v>
      </c>
      <c r="C271" s="63">
        <f>B271/(60*60*24*365)</f>
        <v>3.2054794520547945</v>
      </c>
      <c r="D271" s="63">
        <f>'LLM Single'!AM271</f>
        <v>-0.28117244260117219</v>
      </c>
    </row>
    <row r="273" spans="1:4" x14ac:dyDescent="0.25">
      <c r="A273" t="str">
        <f>'LLM Single'!B273</f>
        <v>Stanhope, N., Cohen, G., &amp; Conway, M. (1993). Very long-term retention of a novel. Applied Cognitive Psychology, 7, 239-256.</v>
      </c>
      <c r="B273">
        <f>'LLM Single'!AA273</f>
        <v>101088000</v>
      </c>
      <c r="C273" s="63">
        <f>B273/(60*60*24*365)</f>
        <v>3.2054794520547945</v>
      </c>
      <c r="D273" s="63">
        <f>'LLM Single'!AM273</f>
        <v>-0.11573762504492044</v>
      </c>
    </row>
    <row r="275" spans="1:4" x14ac:dyDescent="0.25">
      <c r="A275" t="str">
        <f>'LLM Single'!B275</f>
        <v>Stanhope, N., Cohen, G., &amp; Conway, M. (1993). Very long-term retention of a novel. Applied Cognitive Psychology, 7, 239-256.</v>
      </c>
      <c r="B275">
        <f>'LLM Single'!AA275</f>
        <v>101088000</v>
      </c>
      <c r="C275" s="63">
        <f>B275/(60*60*24*365)</f>
        <v>3.2054794520547945</v>
      </c>
      <c r="D275" s="63">
        <f>'LLM Single'!AM275</f>
        <v>-1.9812609586346855E-2</v>
      </c>
    </row>
    <row r="277" spans="1:4" x14ac:dyDescent="0.25">
      <c r="A277" t="str">
        <f>'LLM Single'!B277</f>
        <v>Stanhope, N., Cohen, G., &amp; Conway, M. (1993). Very long-term retention of a novel. Applied Cognitive Psychology, 7, 239-256.</v>
      </c>
      <c r="B277">
        <f>'LLM Single'!AA277</f>
        <v>101088000</v>
      </c>
      <c r="C277" s="63">
        <f>B277/(60*60*24*365)</f>
        <v>3.2054794520547945</v>
      </c>
      <c r="D277" s="63">
        <f>'LLM Single'!AM277</f>
        <v>-5.2786728159439598E-2</v>
      </c>
    </row>
    <row r="279" spans="1:4" x14ac:dyDescent="0.25">
      <c r="A279" t="str">
        <f>'LLM Single'!B279</f>
        <v>Stanhope, N., Cohen, G., &amp; Conway, M. (1993). Very long-term retention of a novel. Applied Cognitive Psychology, 7, 239-256.</v>
      </c>
      <c r="B279">
        <f>'LLM Single'!AA279</f>
        <v>101088000</v>
      </c>
      <c r="C279" s="63">
        <f>B279/(60*60*24*365)</f>
        <v>3.2054794520547945</v>
      </c>
      <c r="D279" s="63">
        <f>'LLM Single'!AM279</f>
        <v>-1.3958932447355842E-2</v>
      </c>
    </row>
    <row r="281" spans="1:4" x14ac:dyDescent="0.25">
      <c r="A281" t="str">
        <f>'LLM Single'!B281</f>
        <v>Strong, E. K., (1913). The effect of time-interval upon recognition memory. The Psychological Review, 20(5), 339-372.</v>
      </c>
      <c r="B281">
        <f>'LLM Single'!AA281</f>
        <v>3628800</v>
      </c>
      <c r="C281" s="63">
        <f>B281/(60*60*24*365)</f>
        <v>0.11506849315068493</v>
      </c>
      <c r="D281" s="63">
        <f>'LLM Single'!AM281</f>
        <v>-4.1965243581902553E-2</v>
      </c>
    </row>
    <row r="283" spans="1:4" x14ac:dyDescent="0.25">
      <c r="A283" t="str">
        <f>'LLM Single'!B283</f>
        <v xml:space="preserve">Takashima, A., Petersson, K. M., Rutters, F., Tendolkar, I., Jensen, O., Zwarts, M. J., McNaughton, B.L., &amp; Fernandez, G. (2006). Declarative memory consolidation in humans: A prospective functional magnetic resonance imaging study. Proceedings of the National Academy of Sciences of the United States of America, 103(3), 756-761.
</v>
      </c>
      <c r="B283">
        <f>'LLM Single'!AA283</f>
        <v>7776000</v>
      </c>
      <c r="C283" s="63">
        <f>B283/(60*60*24*365)</f>
        <v>0.24657534246575341</v>
      </c>
      <c r="D283" s="63">
        <f>'LLM Single'!AM283</f>
        <v>-1.2919749232237219E-2</v>
      </c>
    </row>
    <row r="285" spans="1:4" x14ac:dyDescent="0.25">
      <c r="A285" t="str">
        <f>'LLM Single'!B285</f>
        <v xml:space="preserve">Takashima, A., Petersson, K. M., Rutters, F., Tendolkar, I., Jensen, O., Zwarts, M. J., McNaughton, B.L., &amp; Fernandez, G. (2006). Declarative memory consolidation in humans: A prospective functional magnetic resonance imaging study. Proceedings of the National Academy of Sciences of the United States of America, 103(3), 756-761.
</v>
      </c>
      <c r="B285">
        <f>'LLM Single'!AA285</f>
        <v>7776000</v>
      </c>
      <c r="C285" s="63">
        <f>B285/(60*60*24*365)</f>
        <v>0.24657534246575341</v>
      </c>
      <c r="D285" s="63">
        <f>'LLM Single'!AM285</f>
        <v>-5.1106210175642756E-2</v>
      </c>
    </row>
    <row r="287" spans="1:4" x14ac:dyDescent="0.25">
      <c r="A287" t="str">
        <f>'LLM Single'!B287</f>
        <v>Talamini, L. M., &amp; Gorree, E. (2012). Aging memories: Differential decay of episodic memory components. Learning &amp; Memory, 19(6), 239-246.</v>
      </c>
      <c r="B287">
        <f>'LLM Single'!AA287</f>
        <v>7862400</v>
      </c>
      <c r="C287" s="63">
        <f>B287/(60*60*24*365)</f>
        <v>0.24931506849315069</v>
      </c>
      <c r="D287" s="63">
        <f>'LLM Single'!AM287</f>
        <v>-4.0887134782659061E-2</v>
      </c>
    </row>
    <row r="289" spans="1:4" x14ac:dyDescent="0.25">
      <c r="A289" t="str">
        <f>'LLM Single'!B289</f>
        <v xml:space="preserve">Thompson, C. P., Skowronski, J. J., Larsen, S. F., &amp; Beltz, A. L. (1996). Autobiographical Memory: Remembering what and remembering when. New Jersey: Lawrence Erlbaum Associates, Inc. </v>
      </c>
      <c r="B289">
        <f>'LLM Single'!AA289</f>
        <v>77760000</v>
      </c>
      <c r="C289" s="63">
        <f>B289/(60*60*24*365)</f>
        <v>2.4657534246575343</v>
      </c>
      <c r="D289" s="63">
        <f>'LLM Single'!AM289</f>
        <v>-0.10246600971556949</v>
      </c>
    </row>
    <row r="291" spans="1:4" x14ac:dyDescent="0.25">
      <c r="A291" t="str">
        <f>'LLM Single'!B291</f>
        <v xml:space="preserve">Thompson, C. P., Skowronski, J. J., Larsen, S. F., &amp; Beltz, A. L. (1996). Autobiographical Memory: Remembering what and remembering when. New Jersey: Lawrence Erlbaum Associates, Inc. </v>
      </c>
      <c r="B291">
        <f>'LLM Single'!AA291</f>
        <v>77760000</v>
      </c>
      <c r="C291" s="63">
        <f>B291/(60*60*24*365)</f>
        <v>2.4657534246575343</v>
      </c>
      <c r="D291" s="63">
        <f>'LLM Single'!AM291</f>
        <v>-0.13558694942411967</v>
      </c>
    </row>
    <row r="292" spans="1:4" x14ac:dyDescent="0.25">
      <c r="D292" s="63"/>
    </row>
    <row r="293" spans="1:4" x14ac:dyDescent="0.25">
      <c r="A293" t="str">
        <f>'LLM Single'!B293</f>
        <v>Tramoni, E., Felician, O., Barbeau, E. J., Guedj, E., Guye, M., Bartolomei, F., &amp; Ceccaldi, M. (2011). Long-term consolidation of declarative memory: insight from temporal lobe epilepsy. Brain, 134(3), 816-831.</v>
      </c>
      <c r="B293">
        <f>'LLM Single'!AA293</f>
        <v>503712000</v>
      </c>
      <c r="C293" s="63">
        <f>B293/(60*60*24*365)</f>
        <v>15.972602739726028</v>
      </c>
      <c r="D293" s="63">
        <f>'LLM Single'!AM293</f>
        <v>-0.10416239400418872</v>
      </c>
    </row>
    <row r="295" spans="1:4" x14ac:dyDescent="0.25">
      <c r="A295" t="str">
        <f>'LLM Single'!B295</f>
        <v xml:space="preserve">Wagenaar, W. A. (1986). My memory: A study of autobiographical memory over six years. Cognitive Psychology, 18(2), 225-252.
</v>
      </c>
      <c r="B295">
        <f>'LLM Single'!AA295</f>
        <v>157680000</v>
      </c>
      <c r="C295" s="63">
        <f>B295/(60*60*24*365)</f>
        <v>5</v>
      </c>
      <c r="D295" s="63">
        <f>'LLM Single'!AM295</f>
        <v>-0.33858002550310967</v>
      </c>
    </row>
    <row r="296" spans="1:4" x14ac:dyDescent="0.25">
      <c r="D296" s="63"/>
    </row>
    <row r="297" spans="1:4" x14ac:dyDescent="0.25">
      <c r="A297" t="str">
        <f>'LLM Single'!B297</f>
        <v>Wilkinson, H., Holdstock, J. S., Baker, G., Herbert, A., Clague, F., &amp; Downes, J. J. (2012). Long-term accelerated forgetting of verbal and non-verbal information in temporal lobe epilepsy. Cortex, 48(3), 317-332.</v>
      </c>
      <c r="B297">
        <f>'LLM Single'!AA297</f>
        <v>3628800</v>
      </c>
      <c r="C297" s="63">
        <f>B297/(60*60*24*365)</f>
        <v>0.11506849315068493</v>
      </c>
      <c r="D297" s="63">
        <f>'LLM Single'!AM297</f>
        <v>-6.3269973440317914E-2</v>
      </c>
    </row>
    <row r="299" spans="1:4" x14ac:dyDescent="0.25">
      <c r="A299" t="str">
        <f>'LLM Single'!B299</f>
        <v>Wixted, J. T., &amp; Ebbesen, E. B. (1991). On the form of forgetting. Psychological Science, 2(6), 409-415.</v>
      </c>
      <c r="B299">
        <f>'LLM Single'!AA299</f>
        <v>1209600</v>
      </c>
      <c r="C299" s="63">
        <f>B299/(60*60*24*365)</f>
        <v>3.8356164383561646E-2</v>
      </c>
      <c r="D299" s="63">
        <f>'LLM Single'!AM299</f>
        <v>-1.5417705311268558E-2</v>
      </c>
    </row>
    <row r="301" spans="1:4" x14ac:dyDescent="0.25">
      <c r="D301" s="63"/>
    </row>
    <row r="303" spans="1:4" x14ac:dyDescent="0.25">
      <c r="D303" s="63"/>
    </row>
    <row r="305" spans="4:4" x14ac:dyDescent="0.25">
      <c r="D305" s="63"/>
    </row>
    <row r="307" spans="4:4" x14ac:dyDescent="0.25">
      <c r="D307" s="63"/>
    </row>
    <row r="309" spans="4:4" x14ac:dyDescent="0.25">
      <c r="D309" s="63"/>
    </row>
    <row r="311" spans="4:4" x14ac:dyDescent="0.25">
      <c r="D311" s="63"/>
    </row>
    <row r="313" spans="4:4" x14ac:dyDescent="0.25">
      <c r="D313" s="63"/>
    </row>
    <row r="315" spans="4:4" x14ac:dyDescent="0.25">
      <c r="D315" s="63"/>
    </row>
    <row r="317" spans="4:4" x14ac:dyDescent="0.25">
      <c r="D317" s="63"/>
    </row>
    <row r="319" spans="4:4" x14ac:dyDescent="0.25">
      <c r="D319" s="63"/>
    </row>
    <row r="321" spans="4:4" x14ac:dyDescent="0.25">
      <c r="D321" s="63"/>
    </row>
    <row r="323" spans="4:4" x14ac:dyDescent="0.25">
      <c r="D323" s="63"/>
    </row>
    <row r="325" spans="4:4" x14ac:dyDescent="0.25">
      <c r="D325" s="63"/>
    </row>
    <row r="327" spans="4:4" x14ac:dyDescent="0.25">
      <c r="D327" s="63"/>
    </row>
    <row r="329" spans="4:4" x14ac:dyDescent="0.25">
      <c r="D329" s="63"/>
    </row>
    <row r="331" spans="4:4" x14ac:dyDescent="0.25">
      <c r="D331" s="63"/>
    </row>
    <row r="333" spans="4:4" x14ac:dyDescent="0.25">
      <c r="D333" s="63"/>
    </row>
    <row r="335" spans="4:4" x14ac:dyDescent="0.25">
      <c r="D335" s="63"/>
    </row>
    <row r="337" spans="4:4" x14ac:dyDescent="0.25">
      <c r="D337" s="63"/>
    </row>
    <row r="339" spans="4:4" x14ac:dyDescent="0.25">
      <c r="D339" s="63"/>
    </row>
    <row r="341" spans="4:4" x14ac:dyDescent="0.25">
      <c r="D341" s="63"/>
    </row>
    <row r="343" spans="4:4" x14ac:dyDescent="0.25">
      <c r="D343" s="63"/>
    </row>
    <row r="345" spans="4:4" x14ac:dyDescent="0.25">
      <c r="D345" s="63"/>
    </row>
    <row r="347" spans="4:4" x14ac:dyDescent="0.25">
      <c r="D347" s="63"/>
    </row>
    <row r="349" spans="4:4" x14ac:dyDescent="0.25">
      <c r="D349" s="63"/>
    </row>
    <row r="351" spans="4:4" x14ac:dyDescent="0.25">
      <c r="D351" s="63"/>
    </row>
    <row r="353" spans="4:4" x14ac:dyDescent="0.25">
      <c r="D353" s="63"/>
    </row>
    <row r="355" spans="4:4" x14ac:dyDescent="0.25">
      <c r="D355" s="63"/>
    </row>
    <row r="357" spans="4:4" x14ac:dyDescent="0.25">
      <c r="D357" s="63"/>
    </row>
    <row r="359" spans="4:4" x14ac:dyDescent="0.25">
      <c r="D359" s="63"/>
    </row>
    <row r="361" spans="4:4" x14ac:dyDescent="0.25">
      <c r="D361" s="63"/>
    </row>
    <row r="363" spans="4:4" x14ac:dyDescent="0.25">
      <c r="D363" s="63"/>
    </row>
    <row r="365" spans="4:4" x14ac:dyDescent="0.25">
      <c r="D365" s="63"/>
    </row>
    <row r="367" spans="4:4" x14ac:dyDescent="0.25">
      <c r="D367" s="63"/>
    </row>
    <row r="369" spans="4:4" x14ac:dyDescent="0.25">
      <c r="D369" s="63"/>
    </row>
    <row r="371" spans="4:4" x14ac:dyDescent="0.25">
      <c r="D371" s="63"/>
    </row>
    <row r="373" spans="4:4" x14ac:dyDescent="0.25">
      <c r="D373" s="63"/>
    </row>
    <row r="375" spans="4:4" x14ac:dyDescent="0.25">
      <c r="D375" s="63"/>
    </row>
    <row r="377" spans="4:4" x14ac:dyDescent="0.25">
      <c r="D377" s="63"/>
    </row>
    <row r="379" spans="4:4" x14ac:dyDescent="0.25">
      <c r="D379" s="63"/>
    </row>
    <row r="381" spans="4:4" x14ac:dyDescent="0.25">
      <c r="D381" s="63"/>
    </row>
    <row r="383" spans="4:4" x14ac:dyDescent="0.25">
      <c r="D383" s="63"/>
    </row>
    <row r="385" spans="4:4" x14ac:dyDescent="0.25">
      <c r="D385" s="63"/>
    </row>
    <row r="387" spans="4:4" x14ac:dyDescent="0.25">
      <c r="D387" s="63"/>
    </row>
    <row r="389" spans="4:4" x14ac:dyDescent="0.25">
      <c r="D389" s="63"/>
    </row>
    <row r="391" spans="4:4" x14ac:dyDescent="0.25">
      <c r="D391" s="63"/>
    </row>
    <row r="393" spans="4:4" x14ac:dyDescent="0.25">
      <c r="D393" s="63"/>
    </row>
    <row r="395" spans="4:4" x14ac:dyDescent="0.25">
      <c r="D395" s="63"/>
    </row>
    <row r="397" spans="4:4" x14ac:dyDescent="0.25">
      <c r="D397" s="63"/>
    </row>
    <row r="399" spans="4:4" x14ac:dyDescent="0.25">
      <c r="D399" s="63"/>
    </row>
    <row r="401" spans="4:4" x14ac:dyDescent="0.25">
      <c r="D401" s="63"/>
    </row>
    <row r="403" spans="4:4" x14ac:dyDescent="0.25">
      <c r="D403" s="63"/>
    </row>
    <row r="405" spans="4:4" x14ac:dyDescent="0.25">
      <c r="D405" s="63"/>
    </row>
    <row r="407" spans="4:4" x14ac:dyDescent="0.25">
      <c r="D407" s="63"/>
    </row>
    <row r="409" spans="4:4" x14ac:dyDescent="0.25">
      <c r="D409" s="63"/>
    </row>
    <row r="411" spans="4:4" x14ac:dyDescent="0.25">
      <c r="D411" s="63"/>
    </row>
    <row r="413" spans="4:4" x14ac:dyDescent="0.25">
      <c r="D413" s="63"/>
    </row>
    <row r="415" spans="4:4" x14ac:dyDescent="0.25">
      <c r="D415" s="63"/>
    </row>
    <row r="417" spans="4:4" x14ac:dyDescent="0.25">
      <c r="D417" s="63"/>
    </row>
    <row r="419" spans="4:4" x14ac:dyDescent="0.25">
      <c r="D419" s="63"/>
    </row>
    <row r="421" spans="4:4" x14ac:dyDescent="0.25">
      <c r="D421" s="63"/>
    </row>
    <row r="423" spans="4:4" x14ac:dyDescent="0.25">
      <c r="D423" s="63"/>
    </row>
    <row r="425" spans="4:4" x14ac:dyDescent="0.25">
      <c r="D425" s="63"/>
    </row>
    <row r="427" spans="4:4" x14ac:dyDescent="0.25">
      <c r="D427" s="63"/>
    </row>
    <row r="429" spans="4:4" x14ac:dyDescent="0.25">
      <c r="D429" s="63"/>
    </row>
    <row r="431" spans="4:4" x14ac:dyDescent="0.25">
      <c r="D431" s="63"/>
    </row>
    <row r="433" spans="4:4" x14ac:dyDescent="0.25">
      <c r="D433" s="63"/>
    </row>
    <row r="435" spans="4:4" x14ac:dyDescent="0.25">
      <c r="D435" s="63"/>
    </row>
    <row r="437" spans="4:4" x14ac:dyDescent="0.25">
      <c r="D437" s="63"/>
    </row>
    <row r="439" spans="4:4" x14ac:dyDescent="0.25">
      <c r="D439" s="63"/>
    </row>
    <row r="441" spans="4:4" x14ac:dyDescent="0.25">
      <c r="D441" s="63"/>
    </row>
    <row r="443" spans="4:4" x14ac:dyDescent="0.25">
      <c r="D443" s="63"/>
    </row>
    <row r="445" spans="4:4" x14ac:dyDescent="0.25">
      <c r="D445" s="63"/>
    </row>
    <row r="447" spans="4:4" x14ac:dyDescent="0.25">
      <c r="D447" s="63"/>
    </row>
    <row r="449" spans="4:4" x14ac:dyDescent="0.25">
      <c r="D449" s="63"/>
    </row>
    <row r="451" spans="4:4" x14ac:dyDescent="0.25">
      <c r="D451" s="63"/>
    </row>
    <row r="453" spans="4:4" x14ac:dyDescent="0.25">
      <c r="D453" s="63"/>
    </row>
    <row r="455" spans="4:4" x14ac:dyDescent="0.25">
      <c r="D455" s="63"/>
    </row>
    <row r="457" spans="4:4" x14ac:dyDescent="0.25">
      <c r="D457" s="63"/>
    </row>
    <row r="459" spans="4:4" x14ac:dyDescent="0.25">
      <c r="D459" s="63"/>
    </row>
    <row r="461" spans="4:4" x14ac:dyDescent="0.25">
      <c r="D461" s="63"/>
    </row>
    <row r="463" spans="4:4" x14ac:dyDescent="0.25">
      <c r="D463" s="63"/>
    </row>
    <row r="465" spans="4:4" x14ac:dyDescent="0.25">
      <c r="D465" s="63"/>
    </row>
    <row r="467" spans="4:4" x14ac:dyDescent="0.25">
      <c r="D467" s="63"/>
    </row>
    <row r="469" spans="4:4" x14ac:dyDescent="0.25">
      <c r="D469" s="63"/>
    </row>
    <row r="471" spans="4:4" x14ac:dyDescent="0.25">
      <c r="D471" s="63"/>
    </row>
    <row r="473" spans="4:4" x14ac:dyDescent="0.25">
      <c r="D473" s="63"/>
    </row>
    <row r="475" spans="4:4" x14ac:dyDescent="0.25">
      <c r="D475" s="63"/>
    </row>
    <row r="477" spans="4:4" x14ac:dyDescent="0.25">
      <c r="D477" s="63"/>
    </row>
    <row r="479" spans="4:4" x14ac:dyDescent="0.25">
      <c r="D479" s="63"/>
    </row>
    <row r="481" spans="4:4" x14ac:dyDescent="0.25">
      <c r="D481" s="63"/>
    </row>
    <row r="483" spans="4:4" x14ac:dyDescent="0.25">
      <c r="D483" s="63"/>
    </row>
    <row r="485" spans="4:4" x14ac:dyDescent="0.25">
      <c r="D485" s="63"/>
    </row>
    <row r="487" spans="4:4" x14ac:dyDescent="0.25">
      <c r="D487" s="63"/>
    </row>
    <row r="489" spans="4:4" x14ac:dyDescent="0.25">
      <c r="D489" s="63"/>
    </row>
    <row r="491" spans="4:4" x14ac:dyDescent="0.25">
      <c r="D491" s="63"/>
    </row>
    <row r="493" spans="4:4" x14ac:dyDescent="0.25">
      <c r="D493" s="63"/>
    </row>
    <row r="495" spans="4:4" x14ac:dyDescent="0.25">
      <c r="D495" s="63"/>
    </row>
    <row r="497" spans="4:4" x14ac:dyDescent="0.25">
      <c r="D497" s="63"/>
    </row>
    <row r="499" spans="4:4" x14ac:dyDescent="0.25">
      <c r="D499" s="63"/>
    </row>
    <row r="501" spans="4:4" x14ac:dyDescent="0.25">
      <c r="D501" s="63"/>
    </row>
    <row r="503" spans="4:4" x14ac:dyDescent="0.25">
      <c r="D503" s="63"/>
    </row>
    <row r="505" spans="4:4" x14ac:dyDescent="0.25">
      <c r="D505" s="63"/>
    </row>
    <row r="507" spans="4:4" x14ac:dyDescent="0.25">
      <c r="D507" s="63"/>
    </row>
    <row r="509" spans="4:4" x14ac:dyDescent="0.25">
      <c r="D509" s="63"/>
    </row>
    <row r="511" spans="4:4" x14ac:dyDescent="0.25">
      <c r="D511" s="63"/>
    </row>
    <row r="513" spans="4:4" x14ac:dyDescent="0.25">
      <c r="D513" s="63"/>
    </row>
    <row r="515" spans="4:4" x14ac:dyDescent="0.25">
      <c r="D515" s="63"/>
    </row>
    <row r="517" spans="4:4" x14ac:dyDescent="0.25">
      <c r="D517" s="63"/>
    </row>
    <row r="519" spans="4:4" x14ac:dyDescent="0.25">
      <c r="D519" s="63"/>
    </row>
    <row r="521" spans="4:4" x14ac:dyDescent="0.25">
      <c r="D521" s="63"/>
    </row>
    <row r="523" spans="4:4" x14ac:dyDescent="0.25">
      <c r="D523" s="63"/>
    </row>
    <row r="525" spans="4:4" x14ac:dyDescent="0.25">
      <c r="D525" s="63"/>
    </row>
    <row r="527" spans="4:4" x14ac:dyDescent="0.25">
      <c r="D527" s="63"/>
    </row>
    <row r="529" spans="4:4" x14ac:dyDescent="0.25">
      <c r="D529" s="63"/>
    </row>
    <row r="531" spans="4:4" x14ac:dyDescent="0.25">
      <c r="D531" s="63"/>
    </row>
    <row r="533" spans="4:4" x14ac:dyDescent="0.25">
      <c r="D533" s="63"/>
    </row>
    <row r="535" spans="4:4" x14ac:dyDescent="0.25">
      <c r="D535" s="63"/>
    </row>
    <row r="537" spans="4:4" x14ac:dyDescent="0.25">
      <c r="D537" s="63"/>
    </row>
    <row r="539" spans="4:4" x14ac:dyDescent="0.25">
      <c r="D539" s="63"/>
    </row>
    <row r="541" spans="4:4" x14ac:dyDescent="0.25">
      <c r="D541" s="63"/>
    </row>
    <row r="543" spans="4:4" x14ac:dyDescent="0.25">
      <c r="D543" s="63"/>
    </row>
    <row r="545" spans="4:4" x14ac:dyDescent="0.25">
      <c r="D545" s="63"/>
    </row>
    <row r="547" spans="4:4" x14ac:dyDescent="0.25">
      <c r="D547" s="63"/>
    </row>
    <row r="549" spans="4:4" x14ac:dyDescent="0.25">
      <c r="D549" s="63"/>
    </row>
    <row r="551" spans="4:4" x14ac:dyDescent="0.25">
      <c r="D551" s="63"/>
    </row>
    <row r="553" spans="4:4" x14ac:dyDescent="0.25">
      <c r="D553" s="63"/>
    </row>
    <row r="555" spans="4:4" x14ac:dyDescent="0.25">
      <c r="D555" s="63"/>
    </row>
    <row r="557" spans="4:4" x14ac:dyDescent="0.25">
      <c r="D557" s="63"/>
    </row>
    <row r="559" spans="4:4" x14ac:dyDescent="0.25">
      <c r="D559" s="63"/>
    </row>
    <row r="561" spans="4:4" x14ac:dyDescent="0.25">
      <c r="D561" s="63"/>
    </row>
    <row r="563" spans="4:4" x14ac:dyDescent="0.25">
      <c r="D563" s="63"/>
    </row>
    <row r="565" spans="4:4" x14ac:dyDescent="0.25">
      <c r="D565" s="63"/>
    </row>
    <row r="567" spans="4:4" x14ac:dyDescent="0.25">
      <c r="D567" s="63"/>
    </row>
    <row r="569" spans="4:4" x14ac:dyDescent="0.25">
      <c r="D569" s="63"/>
    </row>
    <row r="571" spans="4:4" x14ac:dyDescent="0.25">
      <c r="D571" s="63"/>
    </row>
    <row r="573" spans="4:4" x14ac:dyDescent="0.25">
      <c r="D573" s="63"/>
    </row>
    <row r="575" spans="4:4" x14ac:dyDescent="0.25">
      <c r="D575" s="63"/>
    </row>
    <row r="577" spans="4:4" x14ac:dyDescent="0.25">
      <c r="D577" s="63"/>
    </row>
    <row r="579" spans="4:4" x14ac:dyDescent="0.25">
      <c r="D579" s="63"/>
    </row>
    <row r="581" spans="4:4" x14ac:dyDescent="0.25">
      <c r="D581" s="63"/>
    </row>
    <row r="583" spans="4:4" x14ac:dyDescent="0.25">
      <c r="D583" s="63"/>
    </row>
    <row r="585" spans="4:4" x14ac:dyDescent="0.25">
      <c r="D585" s="63"/>
    </row>
    <row r="587" spans="4:4" x14ac:dyDescent="0.25">
      <c r="D587" s="63"/>
    </row>
    <row r="589" spans="4:4" x14ac:dyDescent="0.25">
      <c r="D589" s="63"/>
    </row>
    <row r="591" spans="4:4" x14ac:dyDescent="0.25">
      <c r="D591" s="63"/>
    </row>
    <row r="593" spans="4:4" x14ac:dyDescent="0.25">
      <c r="D593" s="63"/>
    </row>
    <row r="595" spans="4:4" x14ac:dyDescent="0.25">
      <c r="D595" s="63"/>
    </row>
    <row r="597" spans="4:4" x14ac:dyDescent="0.25">
      <c r="D597" s="63"/>
    </row>
    <row r="599" spans="4:4" x14ac:dyDescent="0.25">
      <c r="D599" s="63"/>
    </row>
    <row r="601" spans="4:4" x14ac:dyDescent="0.25">
      <c r="D601" s="63"/>
    </row>
    <row r="603" spans="4:4" x14ac:dyDescent="0.25">
      <c r="D603" s="63"/>
    </row>
    <row r="605" spans="4:4" x14ac:dyDescent="0.25">
      <c r="D605" s="63"/>
    </row>
    <row r="607" spans="4:4" x14ac:dyDescent="0.25">
      <c r="D607" s="63"/>
    </row>
    <row r="609" spans="4:4" x14ac:dyDescent="0.25">
      <c r="D609" s="63"/>
    </row>
    <row r="611" spans="4:4" x14ac:dyDescent="0.25">
      <c r="D611" s="63"/>
    </row>
    <row r="613" spans="4:4" x14ac:dyDescent="0.25">
      <c r="D613" s="63"/>
    </row>
    <row r="615" spans="4:4" x14ac:dyDescent="0.25">
      <c r="D615" s="63"/>
    </row>
    <row r="617" spans="4:4" x14ac:dyDescent="0.25">
      <c r="D617" s="63"/>
    </row>
    <row r="619" spans="4:4" x14ac:dyDescent="0.25">
      <c r="D619" s="63"/>
    </row>
    <row r="621" spans="4:4" x14ac:dyDescent="0.25">
      <c r="D621" s="63"/>
    </row>
    <row r="623" spans="4:4" x14ac:dyDescent="0.25">
      <c r="D623" s="63"/>
    </row>
    <row r="625" spans="4:4" x14ac:dyDescent="0.25">
      <c r="D625" s="63"/>
    </row>
    <row r="627" spans="4:4" x14ac:dyDescent="0.25">
      <c r="D627" s="63"/>
    </row>
    <row r="629" spans="4:4" x14ac:dyDescent="0.25">
      <c r="D629" s="63"/>
    </row>
    <row r="631" spans="4:4" x14ac:dyDescent="0.25">
      <c r="D631" s="63"/>
    </row>
    <row r="633" spans="4:4" x14ac:dyDescent="0.25">
      <c r="D633" s="63"/>
    </row>
    <row r="635" spans="4:4" x14ac:dyDescent="0.25">
      <c r="D635" s="63"/>
    </row>
    <row r="637" spans="4:4" x14ac:dyDescent="0.25">
      <c r="D637" s="63"/>
    </row>
    <row r="639" spans="4:4" x14ac:dyDescent="0.25">
      <c r="D639" s="63"/>
    </row>
    <row r="641" spans="4:4" x14ac:dyDescent="0.25">
      <c r="D641" s="63"/>
    </row>
    <row r="643" spans="4:4" x14ac:dyDescent="0.25">
      <c r="D643" s="63"/>
    </row>
    <row r="645" spans="4:4" x14ac:dyDescent="0.25">
      <c r="D645" s="63"/>
    </row>
    <row r="647" spans="4:4" x14ac:dyDescent="0.25">
      <c r="D647" s="63"/>
    </row>
    <row r="649" spans="4:4" x14ac:dyDescent="0.25">
      <c r="D649" s="63"/>
    </row>
    <row r="651" spans="4:4" x14ac:dyDescent="0.25">
      <c r="D651" s="63"/>
    </row>
    <row r="653" spans="4:4" x14ac:dyDescent="0.25">
      <c r="D653" s="63"/>
    </row>
    <row r="655" spans="4:4" x14ac:dyDescent="0.25">
      <c r="D655" s="63"/>
    </row>
    <row r="657" spans="4:4" x14ac:dyDescent="0.25">
      <c r="D657" s="63"/>
    </row>
    <row r="659" spans="4:4" x14ac:dyDescent="0.25">
      <c r="D659" s="63"/>
    </row>
    <row r="661" spans="4:4" x14ac:dyDescent="0.25">
      <c r="D661" s="63"/>
    </row>
    <row r="663" spans="4:4" x14ac:dyDescent="0.25">
      <c r="D663" s="63"/>
    </row>
    <row r="665" spans="4:4" x14ac:dyDescent="0.25">
      <c r="D665" s="63"/>
    </row>
    <row r="667" spans="4:4" x14ac:dyDescent="0.25">
      <c r="D667" s="63"/>
    </row>
    <row r="669" spans="4:4" x14ac:dyDescent="0.25">
      <c r="D669" s="63"/>
    </row>
    <row r="671" spans="4:4" x14ac:dyDescent="0.25">
      <c r="D671" s="63"/>
    </row>
    <row r="673" spans="4:4" x14ac:dyDescent="0.25">
      <c r="D673" s="63"/>
    </row>
    <row r="675" spans="4:4" x14ac:dyDescent="0.25">
      <c r="D675" s="63"/>
    </row>
    <row r="677" spans="4:4" x14ac:dyDescent="0.25">
      <c r="D677" s="63"/>
    </row>
    <row r="679" spans="4:4" x14ac:dyDescent="0.25">
      <c r="D679" s="63"/>
    </row>
    <row r="681" spans="4:4" x14ac:dyDescent="0.25">
      <c r="D681" s="63"/>
    </row>
    <row r="683" spans="4:4" x14ac:dyDescent="0.25">
      <c r="D683" s="63"/>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CU457"/>
  <sheetViews>
    <sheetView workbookViewId="0">
      <pane ySplit="1" topLeftCell="A2" activePane="bottomLeft" state="frozen"/>
      <selection pane="bottomLeft" activeCell="A2" sqref="A2"/>
    </sheetView>
  </sheetViews>
  <sheetFormatPr defaultColWidth="5.28515625" defaultRowHeight="12" customHeight="1" outlineLevelCol="1" x14ac:dyDescent="0.2"/>
  <cols>
    <col min="1" max="1" width="11.28515625" style="61" bestFit="1" customWidth="1"/>
    <col min="2" max="2" width="9.7109375" style="14" customWidth="1"/>
    <col min="3" max="3" width="17.85546875" style="14" customWidth="1"/>
    <col min="4" max="4" width="6.85546875" style="64" customWidth="1"/>
    <col min="5" max="5" width="4.28515625" style="77" customWidth="1"/>
    <col min="6" max="6" width="10.28515625" style="64" bestFit="1" customWidth="1"/>
    <col min="7" max="7" width="9.28515625" style="64" customWidth="1"/>
    <col min="8" max="8" width="14.85546875" style="64" bestFit="1" customWidth="1"/>
    <col min="9" max="9" width="30.5703125" style="64" customWidth="1"/>
    <col min="10" max="10" width="17.5703125" style="64" customWidth="1"/>
    <col min="11" max="11" width="9.5703125" style="64" customWidth="1"/>
    <col min="12" max="13" width="9.7109375" style="64" customWidth="1"/>
    <col min="14" max="14" width="13.85546875" style="64" customWidth="1"/>
    <col min="15" max="15" width="8.7109375" style="64" customWidth="1"/>
    <col min="16" max="16" width="22.7109375" style="64" bestFit="1" customWidth="1"/>
    <col min="17" max="17" width="18.28515625" style="64" bestFit="1" customWidth="1"/>
    <col min="18" max="18" width="8.7109375" style="64" bestFit="1" customWidth="1"/>
    <col min="19" max="19" width="11.42578125" style="64" bestFit="1" customWidth="1"/>
    <col min="20" max="20" width="12.7109375" style="64" customWidth="1"/>
    <col min="21" max="21" width="10.42578125" style="64" bestFit="1" customWidth="1"/>
    <col min="22" max="22" width="10.42578125" style="64" customWidth="1"/>
    <col min="23" max="23" width="11.85546875" style="64" customWidth="1"/>
    <col min="24" max="24" width="8.140625" style="64" customWidth="1"/>
    <col min="25" max="25" width="10" style="77" customWidth="1"/>
    <col min="26" max="26" width="15.42578125" style="64" customWidth="1"/>
    <col min="27" max="27" width="11" style="64" customWidth="1"/>
    <col min="28" max="28" width="16.42578125" style="64" customWidth="1"/>
    <col min="29" max="29" width="13.5703125" style="64" customWidth="1"/>
    <col min="30" max="30" width="13.140625" style="64" customWidth="1"/>
    <col min="31" max="31" width="11" style="64" customWidth="1"/>
    <col min="32" max="32" width="12.5703125" style="81" customWidth="1"/>
    <col min="33" max="33" width="10.140625" style="57" customWidth="1"/>
    <col min="34" max="34" width="10.7109375" style="12" customWidth="1"/>
    <col min="35" max="35" width="10.7109375" style="57" customWidth="1"/>
    <col min="36" max="36" width="10.7109375" style="114" customWidth="1"/>
    <col min="37" max="40" width="10.7109375" style="57" customWidth="1"/>
    <col min="41" max="43" width="10.7109375" style="57" customWidth="1" outlineLevel="1"/>
    <col min="44" max="44" width="16.85546875" style="114" customWidth="1" outlineLevel="1"/>
    <col min="45" max="46" width="16.85546875" style="57" customWidth="1" outlineLevel="1"/>
    <col min="47" max="47" width="5.28515625" style="12" outlineLevel="1"/>
    <col min="48" max="50" width="13.42578125" style="45" bestFit="1" customWidth="1" outlineLevel="1"/>
    <col min="51" max="51" width="14.85546875" style="45" bestFit="1" customWidth="1" outlineLevel="1"/>
    <col min="52" max="53" width="14.5703125" style="45" bestFit="1" customWidth="1"/>
    <col min="54" max="54" width="13.5703125" style="45" bestFit="1" customWidth="1"/>
    <col min="55" max="57" width="13.5703125" style="20" bestFit="1" customWidth="1"/>
    <col min="58" max="62" width="12.42578125" style="20" bestFit="1" customWidth="1"/>
    <col min="63" max="74" width="10.42578125" style="20" bestFit="1" customWidth="1"/>
    <col min="75" max="95" width="11.42578125" style="20" bestFit="1" customWidth="1"/>
    <col min="96" max="99" width="12.42578125" style="14" bestFit="1" customWidth="1"/>
    <col min="100" max="133" width="10.42578125" style="14" bestFit="1" customWidth="1"/>
    <col min="134" max="16384" width="5.28515625" style="14"/>
  </cols>
  <sheetData>
    <row r="1" spans="1:99" ht="12" customHeight="1" x14ac:dyDescent="0.2">
      <c r="A1" s="61" t="s">
        <v>304</v>
      </c>
      <c r="B1" s="15" t="s">
        <v>0</v>
      </c>
      <c r="C1" s="15" t="s">
        <v>1</v>
      </c>
      <c r="D1" s="59" t="s">
        <v>2</v>
      </c>
      <c r="E1" s="75" t="s">
        <v>579</v>
      </c>
      <c r="F1" s="59" t="s">
        <v>6</v>
      </c>
      <c r="G1" s="59" t="s">
        <v>485</v>
      </c>
      <c r="H1" s="59" t="s">
        <v>1</v>
      </c>
      <c r="I1" s="59" t="s">
        <v>8</v>
      </c>
      <c r="J1" s="59" t="s">
        <v>7</v>
      </c>
      <c r="K1" s="59" t="s">
        <v>571</v>
      </c>
      <c r="L1" s="59" t="s">
        <v>565</v>
      </c>
      <c r="M1" s="59" t="s">
        <v>569</v>
      </c>
      <c r="N1" s="59" t="s">
        <v>566</v>
      </c>
      <c r="O1" s="59" t="s">
        <v>5</v>
      </c>
      <c r="P1" s="59" t="s">
        <v>570</v>
      </c>
      <c r="Q1" s="59" t="s">
        <v>3</v>
      </c>
      <c r="R1" s="59" t="s">
        <v>568</v>
      </c>
      <c r="S1" s="59" t="s">
        <v>4</v>
      </c>
      <c r="T1" s="59" t="s">
        <v>237</v>
      </c>
      <c r="U1" s="59" t="s">
        <v>910</v>
      </c>
      <c r="V1" s="59" t="s">
        <v>563</v>
      </c>
      <c r="W1" s="59" t="s">
        <v>564</v>
      </c>
      <c r="X1" s="59" t="s">
        <v>576</v>
      </c>
      <c r="Y1" s="75" t="s">
        <v>558</v>
      </c>
      <c r="Z1" s="59" t="s">
        <v>577</v>
      </c>
      <c r="AA1" s="59" t="s">
        <v>327</v>
      </c>
      <c r="AB1" s="59" t="s">
        <v>325</v>
      </c>
      <c r="AC1" s="59" t="s">
        <v>326</v>
      </c>
      <c r="AD1" s="59" t="s">
        <v>578</v>
      </c>
      <c r="AE1" s="59" t="s">
        <v>559</v>
      </c>
      <c r="AF1" s="79" t="s">
        <v>560</v>
      </c>
      <c r="AG1" s="55" t="s">
        <v>546</v>
      </c>
      <c r="AH1" s="4"/>
      <c r="AI1" s="139" t="s">
        <v>297</v>
      </c>
      <c r="AJ1" s="111" t="s">
        <v>289</v>
      </c>
      <c r="AK1" s="55" t="s">
        <v>9</v>
      </c>
      <c r="AL1" s="139" t="s">
        <v>298</v>
      </c>
      <c r="AM1" s="55" t="s">
        <v>10</v>
      </c>
      <c r="AN1" s="55" t="s">
        <v>11</v>
      </c>
      <c r="AO1" s="139" t="s">
        <v>907</v>
      </c>
      <c r="AP1" s="55" t="s">
        <v>303</v>
      </c>
      <c r="AQ1" s="139" t="s">
        <v>908</v>
      </c>
      <c r="AR1" s="111" t="s">
        <v>301</v>
      </c>
      <c r="AS1" s="139" t="s">
        <v>909</v>
      </c>
      <c r="AT1" s="55" t="s">
        <v>302</v>
      </c>
      <c r="AU1" s="4"/>
      <c r="AV1" s="11" t="s">
        <v>292</v>
      </c>
      <c r="AW1" s="11"/>
      <c r="AX1" s="11"/>
      <c r="AY1" s="11"/>
      <c r="AZ1" s="11"/>
      <c r="BA1" s="11"/>
      <c r="BB1" s="11"/>
      <c r="BC1" s="10"/>
      <c r="BD1" s="10"/>
      <c r="BE1" s="10"/>
      <c r="BF1" s="10"/>
      <c r="BG1" s="10"/>
      <c r="BH1" s="10"/>
      <c r="BI1" s="10"/>
      <c r="BJ1" s="10"/>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5"/>
      <c r="CS1" s="15"/>
      <c r="CT1" s="15"/>
      <c r="CU1" s="15"/>
    </row>
    <row r="2" spans="1:99" s="13" customFormat="1" ht="12" customHeight="1" x14ac:dyDescent="0.2">
      <c r="A2" s="65">
        <v>43895</v>
      </c>
      <c r="B2" s="1"/>
      <c r="C2" s="1"/>
      <c r="D2" s="60"/>
      <c r="E2" s="76"/>
      <c r="F2" s="60"/>
      <c r="G2" s="60"/>
      <c r="H2" s="60"/>
      <c r="I2" s="60"/>
      <c r="J2" s="60"/>
      <c r="K2" s="64"/>
      <c r="L2" s="64"/>
      <c r="M2" s="60"/>
      <c r="N2" s="61"/>
      <c r="O2" s="60"/>
      <c r="P2" s="60"/>
      <c r="Q2" s="60"/>
      <c r="R2" s="60"/>
      <c r="S2" s="60"/>
      <c r="T2" s="60"/>
      <c r="U2" s="60"/>
      <c r="V2" s="60"/>
      <c r="W2" s="60"/>
      <c r="X2" s="60"/>
      <c r="Y2" s="76"/>
      <c r="Z2" s="60"/>
      <c r="AA2" s="60"/>
      <c r="AB2" s="60"/>
      <c r="AC2" s="56"/>
      <c r="AD2" s="60"/>
      <c r="AE2" s="60"/>
      <c r="AF2" s="80"/>
      <c r="AG2" s="56"/>
      <c r="AH2" s="4"/>
      <c r="AI2" s="56"/>
      <c r="AJ2" s="109"/>
      <c r="AK2" s="56"/>
      <c r="AL2" s="56"/>
      <c r="AM2" s="56"/>
      <c r="AN2" s="56"/>
      <c r="AO2" s="82"/>
      <c r="AP2" s="82"/>
      <c r="AQ2" s="83"/>
      <c r="AR2" s="116"/>
      <c r="AS2" s="84"/>
      <c r="AT2" s="84"/>
      <c r="AU2" s="4"/>
      <c r="AV2" s="25">
        <v>157680000</v>
      </c>
      <c r="AW2" s="25">
        <v>473040000</v>
      </c>
      <c r="AX2" s="25">
        <v>788400000</v>
      </c>
      <c r="AY2" s="25">
        <v>1103760000</v>
      </c>
      <c r="AZ2" s="25">
        <v>1419120000</v>
      </c>
      <c r="BA2" s="25">
        <v>1734480000</v>
      </c>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1"/>
      <c r="CS2" s="1"/>
      <c r="CT2" s="1"/>
      <c r="CU2" s="1"/>
    </row>
    <row r="3" spans="1:99" s="13" customFormat="1" ht="12" customHeight="1" x14ac:dyDescent="0.2">
      <c r="A3" s="65">
        <v>43895</v>
      </c>
      <c r="B3" s="15" t="s">
        <v>561</v>
      </c>
      <c r="C3" s="15" t="s">
        <v>562</v>
      </c>
      <c r="D3" s="59">
        <v>1981</v>
      </c>
      <c r="E3" s="76">
        <v>1</v>
      </c>
      <c r="F3" s="60">
        <v>12</v>
      </c>
      <c r="G3" s="60">
        <v>12</v>
      </c>
      <c r="H3" s="60" t="s">
        <v>32</v>
      </c>
      <c r="I3" s="59" t="s">
        <v>330</v>
      </c>
      <c r="J3" s="59" t="s">
        <v>340</v>
      </c>
      <c r="K3" s="60">
        <f>IF(J3="syllables",1,IF(J3="trigrams",2,IF(J3="strings",3,IF(J3="visual array",4,IF(J3="characters",5,IF(J3="letters",6,IF(J3="free forms",7,IF(J3="odors",8,IF(J3="words",9,IF(J3="pictures",10,IF(J3="object pictures",11,IF(J3="faces",12,IF(J3="names",13,IF(J3="idioms",14,IF(J3="grades",15,IF(J3="syllable-digit pairs",16,IF(J3="trigram-word pairs",17,IF(J3="word-digit pairs",18,IF(J3="English-Swahili pairs",19,IF(J3="spatial position",20,IF(J3="word pairs",21,IF(J3="word triads",22,IF(J3="generated words",23,IF(J3="word definition pairs",24,IF(J3="math problems",25,IF(J3="famous faces",26,IF(J3="famous names",27,IF(J3="famous voices",28,IF(J3="television programs",29,IF(J3="race horses",30,IF(J3="new vocabulary",31,IF(J3="sentences",32,IF(J3="concepts",33,IF(J3="ad slides",34,IF(J3="scenes",35,IF(J3="famous scenes",36,IF(J3="poems",37,IF(J3="walk",38,IF(J3="faces and events",39,IF(J3="events and names",40,IF(J3="flashbulb",41,IF(J3="stories",42,IF(J3="course material",43,IF(J3="autobiographical",44,IF(J3="novels",45,IF(J3="public events",46,"99"))))))))))))))))))))))))))))))))))))))))))))))</f>
        <v>46</v>
      </c>
      <c r="L3" s="60">
        <f>IF(J3="syllables",1,IF(J3="trigrams",1,IF(J3="strings",1,IF(J3="visual array",1,IF(J3="characters",1,IF(J3="letters",1,IF(J3="free forms",1,IF(J3="odors",2,IF(J3="words",2,IF(J3="pictures",2,IF(J3="object pictures",2,IF(J3="faces",2,IF(J3="names",2,IF(J3="idioms","2",IF(J3="grades",2,IF(J3="syllable-digit pairs",3,IF(J3="trigram-word pairs",3,IF(J3="word-digit pairs",3,IF(J3="English-Swahili pairs",3,IF(J3="spatial position",3,IF(J3="word pairs",4,IF(J3="word triads",4,IF(J3="generated words",4,IF(J3="word definition pairs",4,IF(J3="math problems",4,IF(J3="famous faces",4,IF(J3="famous names",4,IF(J3="famous voices",4,IF(J3="television programs",4,IF(J3="race horses",4,IF(J3="new vocabulary",4,IF(J3="sentences",5,IF(J3="concepts",5,IF(J3="ad slides",5,IF(J3="scenes",5,IF(J3="famous scenes",5,IF(J3="poems",6,IF(J3="walk",6,IF(J3="faces and events",6,IF(J3="events and names",6,IF(J3="flashbulb",7,IF(J3="stories",7,IF(J3="course material",7,IF(J3="autobiographical",7,IF(J3="novels",7,IF(J3="public events",7,"99"))))))))))))))))))))))))))))))))))))))))))))))</f>
        <v>7</v>
      </c>
      <c r="M3" s="60">
        <v>1</v>
      </c>
      <c r="N3" s="61">
        <v>4</v>
      </c>
      <c r="O3" s="60">
        <v>0</v>
      </c>
      <c r="P3" s="60"/>
      <c r="Q3" s="59" t="s">
        <v>34</v>
      </c>
      <c r="R3" s="60">
        <f>IF(Q3="Free Recall",1,IF(Q3="Cued Recall",2,IF(Q3="Recognition",3,IF(Q3="Multiple Choice",4,IF(Q3="Savings",5,IF(Q3="Stem Completion",6,IF(Q3="Fragment Completion",7,IF(Q3="anagram solution",8,IF(Q3="Matching",9,IF(Q3="Problem Solving",10,"99"))))))))))</f>
        <v>3</v>
      </c>
      <c r="S3" s="60" t="s">
        <v>15</v>
      </c>
      <c r="T3" s="59" t="s">
        <v>581</v>
      </c>
      <c r="U3" s="60">
        <f>IF(T3="within",1,0)</f>
        <v>1</v>
      </c>
      <c r="V3" s="59">
        <v>132</v>
      </c>
      <c r="W3" s="60">
        <f>F3*V3</f>
        <v>1584</v>
      </c>
      <c r="X3" s="60">
        <v>6</v>
      </c>
      <c r="Y3" s="76">
        <f>AV2</f>
        <v>157680000</v>
      </c>
      <c r="Z3" s="60" t="s">
        <v>374</v>
      </c>
      <c r="AA3" s="60">
        <f>60*60*24*365*55</f>
        <v>1734480000</v>
      </c>
      <c r="AB3" s="60" t="str">
        <f>IF(AA3&lt;60,"1",IF(AA3&lt;=43200,"2",IF(AA3&lt;=777600,"3","4")))</f>
        <v>4</v>
      </c>
      <c r="AC3" s="56">
        <f>AVERAGE(AV2:DA2)</f>
        <v>946080000</v>
      </c>
      <c r="AD3" s="60" t="str">
        <f>IF(AC3&lt;60,"1",IF(AC3&lt;=43200,"2",IF(AC3&lt;=777600,"3","4")))</f>
        <v>4</v>
      </c>
      <c r="AE3" s="76">
        <f>AA3-Y3</f>
        <v>1576800000</v>
      </c>
      <c r="AF3" s="80">
        <f>AV3</f>
        <v>0.75324675324675316</v>
      </c>
      <c r="AG3" s="56">
        <f>((AW3-AV3)+(AX3-AW3)+(AY3-AX3)+(AZ3-AY3)+(BA3-AZ3))/5</f>
        <v>-5.4438711972958354E-3</v>
      </c>
      <c r="AH3" s="4"/>
      <c r="AI3" s="56">
        <f>RSQ(AV3:BA3,AV2:BA2)</f>
        <v>0.22661558671267712</v>
      </c>
      <c r="AJ3" s="109">
        <f>SLOPE(AV3:BA3,AV2:BA2)</f>
        <v>-4.6858310640164344E-11</v>
      </c>
      <c r="AK3" s="56">
        <f>INTERCEPT(AV3:BA3,AV2:BA2)</f>
        <v>0.81052210226687516</v>
      </c>
      <c r="AL3" s="56">
        <f>INDEX(LINEST(LN(AV3:BA3),LN(AV2:BA2),TRUE,TRUE),3,1)</f>
        <v>0.10314785929385968</v>
      </c>
      <c r="AM3" s="56">
        <f>INDEX(LINEST(LN(AV3:BA3),LN(AV2:BA2)),1)</f>
        <v>-2.7360457951633936E-2</v>
      </c>
      <c r="AN3" s="56">
        <f>EXP(INDEX(LINEST(LN(AV3:BA3),LN(AV2:BA2)),1,2))</f>
        <v>1.3363457031944128</v>
      </c>
      <c r="AO3" s="82">
        <f>INDEX(LINEST((AV3:BA3),LN(AV2:BA2),TRUE,TRUE),3,1)</f>
        <v>0.101021288447529</v>
      </c>
      <c r="AP3" s="82">
        <f>INDEX(LINEST((AV3:BA3),LN(AV2:BA2)),1)</f>
        <v>-2.0889268314020912E-2</v>
      </c>
      <c r="AQ3" s="83">
        <f>INDEX(LINEST(LN(AV3:BA3),SQRT(AV2:BA2),TRUE,TRUE),3,1)</f>
        <v>0.17201686574086325</v>
      </c>
      <c r="AR3" s="116">
        <f>INDEX(LINEST(LN(AV3:BA3),SQRT((AV2:BA2))),1)</f>
        <v>-2.9072700994193713E-6</v>
      </c>
      <c r="AS3" s="84">
        <f>INDEX(LINEST(1/(AV3:BA3),1/(SQRT(AV2:BA2)),TRUE,TRUE),3,1)</f>
        <v>4.7241673476552407E-2</v>
      </c>
      <c r="AT3" s="84">
        <f>INDEX(LINEST(1/(AV3:BA3),1/SQRT(AV2:BA2)),1)</f>
        <v>-1024.8500191622115</v>
      </c>
      <c r="AU3" s="4"/>
      <c r="AV3" s="53">
        <v>0.75324675324675316</v>
      </c>
      <c r="AW3" s="53">
        <v>0.85526315789473684</v>
      </c>
      <c r="AX3" s="53">
        <v>0.80519480519480513</v>
      </c>
      <c r="AY3" s="53">
        <v>0.69117647058823517</v>
      </c>
      <c r="AZ3" s="53">
        <v>0.76623376623376616</v>
      </c>
      <c r="BA3" s="53">
        <v>0.72602739726027399</v>
      </c>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1"/>
      <c r="CS3" s="1"/>
      <c r="CT3" s="1"/>
      <c r="CU3" s="1"/>
    </row>
    <row r="4" spans="1:99" s="13" customFormat="1" ht="12" customHeight="1" x14ac:dyDescent="0.2">
      <c r="A4" s="68">
        <v>43900</v>
      </c>
      <c r="B4" s="70"/>
      <c r="C4" s="70"/>
      <c r="D4" s="69"/>
      <c r="E4" s="87"/>
      <c r="F4" s="69"/>
      <c r="G4" s="69"/>
      <c r="H4" s="69"/>
      <c r="I4" s="69"/>
      <c r="J4" s="69"/>
      <c r="K4" s="107"/>
      <c r="L4" s="107"/>
      <c r="M4" s="92"/>
      <c r="N4" s="86"/>
      <c r="O4" s="69"/>
      <c r="P4" s="69"/>
      <c r="Q4" s="69"/>
      <c r="R4" s="69"/>
      <c r="S4" s="69"/>
      <c r="T4" s="69"/>
      <c r="U4" s="69"/>
      <c r="V4" s="69"/>
      <c r="W4" s="69"/>
      <c r="X4" s="69"/>
      <c r="Y4" s="87"/>
      <c r="Z4" s="69"/>
      <c r="AA4" s="87"/>
      <c r="AB4" s="69"/>
      <c r="AC4" s="72"/>
      <c r="AD4" s="69"/>
      <c r="AE4" s="69"/>
      <c r="AF4" s="88"/>
      <c r="AG4" s="72"/>
      <c r="AH4" s="4"/>
      <c r="AI4" s="72"/>
      <c r="AJ4" s="110"/>
      <c r="AK4" s="72"/>
      <c r="AL4" s="72"/>
      <c r="AM4" s="72"/>
      <c r="AN4" s="72"/>
      <c r="AO4" s="89"/>
      <c r="AP4" s="89"/>
      <c r="AQ4" s="90"/>
      <c r="AR4" s="117"/>
      <c r="AS4" s="91"/>
      <c r="AT4" s="91"/>
      <c r="AU4" s="4"/>
      <c r="AV4" s="71">
        <v>157680000</v>
      </c>
      <c r="AW4" s="71">
        <v>473040000</v>
      </c>
      <c r="AX4" s="71">
        <v>788400000</v>
      </c>
      <c r="AY4" s="71">
        <v>1103760000</v>
      </c>
      <c r="AZ4" s="71">
        <v>1419120000</v>
      </c>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1"/>
      <c r="CS4" s="1"/>
      <c r="CT4" s="1"/>
      <c r="CU4" s="1"/>
    </row>
    <row r="5" spans="1:99" s="13" customFormat="1" ht="12" customHeight="1" x14ac:dyDescent="0.2">
      <c r="A5" s="68">
        <v>43900</v>
      </c>
      <c r="B5" s="94" t="s">
        <v>427</v>
      </c>
      <c r="C5" s="94" t="s">
        <v>425</v>
      </c>
      <c r="D5" s="92">
        <v>1979</v>
      </c>
      <c r="E5" s="87">
        <v>1</v>
      </c>
      <c r="F5" s="92">
        <v>15</v>
      </c>
      <c r="G5" s="92">
        <v>15</v>
      </c>
      <c r="H5" s="69" t="s">
        <v>50</v>
      </c>
      <c r="I5" s="92" t="s">
        <v>330</v>
      </c>
      <c r="J5" s="92" t="s">
        <v>340</v>
      </c>
      <c r="K5" s="69">
        <f>IF(J5="syllables",1,IF(J5="trigrams",2,IF(J5="strings",3,IF(J5="visual array",4,IF(J5="characters",5,IF(J5="letters",6,IF(J5="free forms",7,IF(J5="odors",8,IF(J5="words",9,IF(J5="pictures",10,IF(J5="object pictures",11,IF(J5="faces",12,IF(J5="names",13,IF(J5="idioms",14,IF(J5="grades",15,IF(J5="syllable-digit pairs",16,IF(J5="trigram-word pairs",17,IF(J5="word-digit pairs",18,IF(J5="English-Swahili pairs",19,IF(J5="spatial position",20,IF(J5="word pairs",21,IF(J5="word triads",22,IF(J5="generated words",23,IF(J5="word definition pairs",24,IF(J5="math problems",25,IF(J5="famous faces",26,IF(J5="famous names",27,IF(J5="famous voices",28,IF(J5="television programs",29,IF(J5="race horses",30,IF(J5="new vocabulary",31,IF(J5="sentences",32,IF(J5="concepts",33,IF(J5="ad slides",34,IF(J5="scenes",35,IF(J5="famous scenes",36,IF(J5="poems",37,IF(J5="walk",38,IF(J5="faces and events",39,IF(J5="events and names",40,IF(J5="flashbulb",41,IF(J5="stories",42,IF(J5="course material",43,IF(J5="autobiographical",44,IF(J5="novels",45,IF(J5="public events",46,"99"))))))))))))))))))))))))))))))))))))))))))))))</f>
        <v>46</v>
      </c>
      <c r="L5" s="69">
        <f>IF(J5="syllables",1,IF(J5="trigrams",1,IF(J5="strings",1,IF(J5="visual array",1,IF(J5="characters",1,IF(J5="letters",1,IF(J5="free forms",1,IF(J5="odors",2,IF(J5="words",2,IF(J5="pictures",2,IF(J5="object pictures",2,IF(J5="faces",2,IF(J5="names",2,IF(J5="idioms","2",IF(J5="grades",2,IF(J5="syllable-digit pairs",3,IF(J5="trigram-word pairs",3,IF(J5="word-digit pairs",3,IF(J5="English-Swahili pairs",3,IF(J5="spatial position",3,IF(J5="word pairs",4,IF(J5="word triads",4,IF(J5="generated words",4,IF(J5="word definition pairs",4,IF(J5="math problems",4,IF(J5="famous faces",4,IF(J5="famous names",4,IF(J5="famous voices",4,IF(J5="television programs",4,IF(J5="race horses",4,IF(J5="new vocabulary",4,IF(J5="sentences",5,IF(J5="concepts",5,IF(J5="ad slides",5,IF(J5="scenes",5,IF(J5="famous scenes",5,IF(J5="poems",6,IF(J5="walk",6,IF(J5="faces and events",6,IF(J5="events and names",6,IF(J5="flashbulb",7,IF(J5="stories",7,IF(J5="course material",7,IF(J5="autobiographical",7,IF(J5="novels",7,IF(J5="public events",7,"99"))))))))))))))))))))))))))))))))))))))))))))))</f>
        <v>7</v>
      </c>
      <c r="M5" s="92">
        <v>1</v>
      </c>
      <c r="N5" s="86">
        <v>4</v>
      </c>
      <c r="O5" s="69">
        <v>0</v>
      </c>
      <c r="P5" s="69"/>
      <c r="Q5" s="92" t="s">
        <v>34</v>
      </c>
      <c r="R5" s="69">
        <f>IF(Q5="Free Recall",1,IF(Q5="Cued Recall",2,IF(Q5="Recognition",3,IF(Q5="Multiple Choice",4,IF(Q5="Savings",5,IF(Q5="Stem Completion",6,IF(Q5="Fragment Completion",7,IF(Q5="anagram solution",8,IF(Q5="Matching",9,IF(Q5="Problem Solving",10,"99"))))))))))</f>
        <v>3</v>
      </c>
      <c r="S5" s="69" t="s">
        <v>15</v>
      </c>
      <c r="T5" s="92" t="s">
        <v>581</v>
      </c>
      <c r="U5" s="69">
        <f>IF(T5="within",1,0)</f>
        <v>1</v>
      </c>
      <c r="V5" s="92">
        <v>132</v>
      </c>
      <c r="W5" s="69">
        <f>F5*V5</f>
        <v>1980</v>
      </c>
      <c r="X5" s="69">
        <v>5</v>
      </c>
      <c r="Y5" s="87">
        <f>AV4</f>
        <v>157680000</v>
      </c>
      <c r="Z5" s="69" t="s">
        <v>373</v>
      </c>
      <c r="AA5" s="69">
        <f>60*60*24*365*45</f>
        <v>1419120000</v>
      </c>
      <c r="AB5" s="69" t="str">
        <f>IF(AA5&lt;60,"1",IF(AA5&lt;=43200,"2",IF(AA5&lt;=777600,"3","4")))</f>
        <v>4</v>
      </c>
      <c r="AC5" s="72">
        <f>AVERAGE(AV4:DA4)</f>
        <v>788400000</v>
      </c>
      <c r="AD5" s="69" t="str">
        <f>IF(AC5&lt;60,"1",IF(AC5&lt;=43200,"2",IF(AC5&lt;=777600,"3","4")))</f>
        <v>4</v>
      </c>
      <c r="AE5" s="87">
        <f>AA5-Y5</f>
        <v>1261440000</v>
      </c>
      <c r="AF5" s="88">
        <f>AV5</f>
        <v>0.79661016949152541</v>
      </c>
      <c r="AG5" s="72">
        <f>((AW5-AV5)+(AX5-AW5)+(AY5-AX5)+(AZ5-AY5))/4</f>
        <v>-7.0793716411740315E-3</v>
      </c>
      <c r="AH5" s="4"/>
      <c r="AI5" s="72">
        <f>RSQ(AV5:AZ5,AV4:AZ4)</f>
        <v>0.26454180868884225</v>
      </c>
      <c r="AJ5" s="110">
        <f>SLOPE(AV5:AZ5,AV4:AZ4)</f>
        <v>-6.4391027574189401E-11</v>
      </c>
      <c r="AK5" s="72">
        <f>INTERCEPT(AV5:AZ5,AV4:AZ4)</f>
        <v>0.85718801506472042</v>
      </c>
      <c r="AL5" s="72">
        <f>INDEX(LINEST(LN(AV5:AZ5),LN(AV4:AZ4),TRUE,TRUE),3,1)</f>
        <v>0.10491219409410404</v>
      </c>
      <c r="AM5" s="72">
        <f>INDEX(LINEST(LN(AV5:AZ5),LN(AV4:AZ4)),1)</f>
        <v>-2.8936119196109365E-2</v>
      </c>
      <c r="AN5" s="72">
        <f>EXP(INDEX(LINEST(LN(AV5:AZ5),LN(AV4:AZ4)),1,2))</f>
        <v>1.4452669171394714</v>
      </c>
      <c r="AO5" s="89">
        <f>INDEX(LINEST((AV5:AZ5),LN(AV4:AZ4),TRUE,TRUE),3,1)</f>
        <v>9.7660786115475184E-2</v>
      </c>
      <c r="AP5" s="89">
        <f>INDEX(LINEST((AV5:AZ5),LN(AV4:AZ4)),1)</f>
        <v>-2.2436983290147306E-2</v>
      </c>
      <c r="AQ5" s="90">
        <f>INDEX(LINEST(LN(AV5:AZ5),SQRT(AV4:AZ4),TRUE,TRUE),3,1)</f>
        <v>0.18842526669091003</v>
      </c>
      <c r="AR5" s="117">
        <f>INDEX(LINEST(LN(AV5:AZ5),SQRT((AV4:AZ4))),1)</f>
        <v>-3.4175515146593196E-6</v>
      </c>
      <c r="AS5" s="91">
        <f>INDEX(LINEST(1/(AV5:AZ5),1/(SQRT(AV4:AZ4)),TRUE,TRUE),3,1)</f>
        <v>5.0110538660963815E-2</v>
      </c>
      <c r="AT5" s="91">
        <f>INDEX(LINEST(1/(AV5:AZ5),1/SQRT(AV4:AZ4)),1)</f>
        <v>-1011.507725693132</v>
      </c>
      <c r="AU5" s="4"/>
      <c r="AV5" s="73">
        <v>0.79661016949152541</v>
      </c>
      <c r="AW5" s="73">
        <v>0.87500000000000011</v>
      </c>
      <c r="AX5" s="73">
        <v>0.86363636363636354</v>
      </c>
      <c r="AY5" s="73">
        <v>0.72857142857142865</v>
      </c>
      <c r="AZ5" s="73">
        <v>0.76829268292682928</v>
      </c>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1"/>
      <c r="CS5" s="1"/>
      <c r="CT5" s="1"/>
      <c r="CU5" s="1"/>
    </row>
    <row r="6" spans="1:99" ht="12" customHeight="1" x14ac:dyDescent="0.2">
      <c r="A6" s="65">
        <v>43509</v>
      </c>
      <c r="B6" s="15"/>
      <c r="C6" s="15"/>
      <c r="D6" s="59"/>
      <c r="E6" s="75"/>
      <c r="F6" s="59"/>
      <c r="G6" s="59"/>
      <c r="H6" s="59"/>
      <c r="I6" s="59"/>
      <c r="J6" s="59"/>
      <c r="M6" s="59"/>
      <c r="N6" s="59"/>
      <c r="O6" s="59"/>
      <c r="P6" s="59"/>
      <c r="Q6" s="59"/>
      <c r="R6" s="60"/>
      <c r="S6" s="59"/>
      <c r="T6" s="59"/>
      <c r="U6" s="60"/>
      <c r="V6" s="59"/>
      <c r="W6" s="60"/>
      <c r="X6" s="59"/>
      <c r="Y6" s="76"/>
      <c r="Z6" s="59"/>
      <c r="AA6" s="59"/>
      <c r="AB6" s="60"/>
      <c r="AC6" s="60"/>
      <c r="AD6" s="60"/>
      <c r="AE6" s="60"/>
      <c r="AF6" s="80"/>
      <c r="AG6" s="56"/>
      <c r="AH6" s="4"/>
      <c r="AI6" s="55"/>
      <c r="AJ6" s="111"/>
      <c r="AK6" s="55"/>
      <c r="AL6" s="55"/>
      <c r="AM6" s="55"/>
      <c r="AN6" s="55"/>
      <c r="AO6" s="55"/>
      <c r="AP6" s="55"/>
      <c r="AQ6" s="55"/>
      <c r="AR6" s="111"/>
      <c r="AS6" s="55"/>
      <c r="AT6" s="55"/>
      <c r="AU6" s="4"/>
      <c r="AV6" s="47">
        <f>24*3600</f>
        <v>86400</v>
      </c>
      <c r="AW6" s="47">
        <f>14*24*3600</f>
        <v>1209600</v>
      </c>
      <c r="AX6" s="47">
        <f>30*24*3600</f>
        <v>2592000</v>
      </c>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5"/>
      <c r="CS6" s="15"/>
      <c r="CT6" s="15"/>
      <c r="CU6" s="15"/>
    </row>
    <row r="7" spans="1:99" ht="12" customHeight="1" x14ac:dyDescent="0.2">
      <c r="A7" s="65">
        <v>43509</v>
      </c>
      <c r="B7" s="15" t="s">
        <v>265</v>
      </c>
      <c r="C7" s="15" t="s">
        <v>84</v>
      </c>
      <c r="D7" s="59">
        <v>1921</v>
      </c>
      <c r="E7" s="75">
        <v>1</v>
      </c>
      <c r="F7" s="59">
        <v>5</v>
      </c>
      <c r="G7" s="59">
        <v>5</v>
      </c>
      <c r="H7" s="59" t="s">
        <v>575</v>
      </c>
      <c r="I7" s="59" t="s">
        <v>586</v>
      </c>
      <c r="J7" s="59" t="s">
        <v>585</v>
      </c>
      <c r="K7" s="60">
        <f>IF(J7="syllables",1,IF(J7="trigrams",2,IF(J7="strings",3,IF(J7="visual array",4,IF(J7="characters",5,IF(J7="letters",6,IF(J7="free forms",7,IF(J7="odors",8,IF(J7="words",9,IF(J7="pictures",10,IF(J7="object pictures",11,IF(J7="faces",12,IF(J7="names",13,IF(J7="idioms",14,IF(J7="grades",15,IF(J7="syllable-digit pairs",16,IF(J7="trigram-word pairs",17,IF(J7="word-digit pairs",18,IF(J7="English-Swahili pairs",19,IF(J7="spatial position",20,IF(J7="word pairs",21,IF(J7="word triads",22,IF(J7="generated words",23,IF(J7="word definition pairs",24,IF(J7="math problems",25,IF(J7="famous faces",26,IF(J7="famous names",27,IF(J7="famous voices",28,IF(J7="television programs",29,IF(J7="race horses",30,IF(J7="new vocabulary",31,IF(J7="sentences",32,IF(J7="concepts",33,IF(J7="ad slides",34,IF(J7="scenes",35,IF(J7="famous scenes",36,IF(J7="poems",37,IF(J7="walk",38,IF(J7="faces and events",39,IF(J7="events and names",40,IF(J7="flashbulb",41,IF(J7="stories",42,IF(J7="course material",43,IF(J7="autobiographical",44,IF(J7="novels",45,IF(J7="public events",46,"99"))))))))))))))))))))))))))))))))))))))))))))))</f>
        <v>43</v>
      </c>
      <c r="L7" s="60">
        <f>IF(J7="syllables",1,IF(J7="trigrams",1,IF(J7="strings",1,IF(J7="visual array",1,IF(J7="characters",1,IF(J7="letters",1,IF(J7="free forms",1,IF(J7="odors",2,IF(J7="words",2,IF(J7="pictures",2,IF(J7="object pictures",2,IF(J7="faces",2,IF(J7="names",2,IF(J7="idioms","2",IF(J7="grades",2,IF(J7="syllable-digit pairs",3,IF(J7="trigram-word pairs",3,IF(J7="word-digit pairs",3,IF(J7="English-Swahili pairs",3,IF(J7="spatial position",3,IF(J7="word pairs",4,IF(J7="word triads",4,IF(J7="generated words",4,IF(J7="word definition pairs",4,IF(J7="math problems",4,IF(J7="famous faces",4,IF(J7="famous names",4,IF(J7="famous voices",4,IF(J7="television programs",4,IF(J7="race horses",4,IF(J7="new vocabulary",4,IF(J7="sentences",5,IF(J7="concepts",5,IF(J7="ad slides",5,IF(J7="scenes",5,IF(J7="famous scenes",5,IF(J7="poems",6,IF(J7="walk",6,IF(J7="faces and events",6,IF(J7="events and names",6,IF(J7="flashbulb",7,IF(J7="stories",7,IF(J7="course material",7,IF(J7="autobiographical",7,IF(J7="novels",7,IF(J7="public events",7,"99"))))))))))))))))))))))))))))))))))))))))))))))</f>
        <v>7</v>
      </c>
      <c r="M7" s="59">
        <v>1</v>
      </c>
      <c r="N7" s="59">
        <v>4</v>
      </c>
      <c r="O7" s="59">
        <v>0</v>
      </c>
      <c r="P7" s="59"/>
      <c r="Q7" s="59" t="s">
        <v>65</v>
      </c>
      <c r="R7" s="60">
        <f>IF(Q7="Free Recall",1,IF(Q7="Cued Recall",2,IF(Q7="Recognition",3,IF(Q7="Multiple Choice",4,IF(Q7="Savings",5,IF(Q7="Stem Completion",6,IF(Q7="Fragment Completion",7,IF(Q7="anagram solution",8,IF(Q7="Matching",9,IF(Q7="Problem Solving",10,"99"))))))))))</f>
        <v>2</v>
      </c>
      <c r="S7" s="59" t="s">
        <v>274</v>
      </c>
      <c r="T7" s="59" t="s">
        <v>581</v>
      </c>
      <c r="U7" s="60">
        <f>IF(T7="within",1,0)</f>
        <v>1</v>
      </c>
      <c r="V7" s="59">
        <v>2</v>
      </c>
      <c r="W7" s="60">
        <f>F7*V7</f>
        <v>10</v>
      </c>
      <c r="X7" s="59">
        <v>3</v>
      </c>
      <c r="Y7" s="76">
        <f>AV6</f>
        <v>86400</v>
      </c>
      <c r="Z7" s="59" t="s">
        <v>185</v>
      </c>
      <c r="AA7" s="59">
        <f>31*24*3600</f>
        <v>2678400</v>
      </c>
      <c r="AB7" s="60" t="str">
        <f>IF(AA7&lt;60,"1",IF(AA7&lt;=43200,"2",IF(AA7&lt;=777600,"3","4")))</f>
        <v>4</v>
      </c>
      <c r="AC7" s="56">
        <f>AVERAGE(AV6:DA6)</f>
        <v>1296000</v>
      </c>
      <c r="AD7" s="60" t="str">
        <f>IF(AC7&lt;60,"1",IF(AC7&lt;=43200,"2",IF(AC7&lt;=777600,"3","4")))</f>
        <v>4</v>
      </c>
      <c r="AE7" s="76">
        <f>AA7-Y7</f>
        <v>2592000</v>
      </c>
      <c r="AF7" s="80">
        <f>AV7</f>
        <v>0.71</v>
      </c>
      <c r="AG7" s="56">
        <f>((AW7-AV7)+(AX7-AW7))/2</f>
        <v>-0.14499999999999999</v>
      </c>
      <c r="AH7" s="4"/>
      <c r="AI7" s="56">
        <f>RSQ(AV7:AX7,AV6:AX6)</f>
        <v>0.90524143856115702</v>
      </c>
      <c r="AJ7" s="109">
        <f>SLOPE(AV7:AX7,AV6:AX6)</f>
        <v>-1.1354660347551342E-7</v>
      </c>
      <c r="AK7" s="56">
        <f>INTERCEPT(AV7:AX7,AV6:AX6)</f>
        <v>0.69048973143759873</v>
      </c>
      <c r="AL7" s="56">
        <f>INDEX(LINEST(LN(AV7:AX7),LN(AV6:AX6),TRUE,TRUE),3,1)</f>
        <v>0.98638882982357545</v>
      </c>
      <c r="AM7" s="56">
        <f>INDEX(LINEST(LN(AV7:AX7),LN(AV6:AX6)),1)</f>
        <v>-0.14879170498863489</v>
      </c>
      <c r="AN7" s="56">
        <f>EXP(INDEX(LINEST(LN(AV7:AX7),LN(AV6:AX6)),1,2))</f>
        <v>3.8824936650027446</v>
      </c>
      <c r="AO7" s="82">
        <f>INDEX(LINEST((AV7:AX7),LN(AV6:AX6),TRUE,TRUE),3,1)</f>
        <v>0.99695804436948032</v>
      </c>
      <c r="AP7" s="82">
        <f>INDEX(LINEST((AV7:AX7),LN(AV6:AX6)),1)</f>
        <v>-8.378947013623543E-2</v>
      </c>
      <c r="AQ7" s="83">
        <f>INDEX(LINEST(LN(AV7:AX7),SQRT(AV6:AX6),TRUE,TRUE),3,1)</f>
        <v>0.99610050497606895</v>
      </c>
      <c r="AR7" s="116">
        <f>INDEX(LINEST(LN(AV7:AX7),SQRT((AV6:AX6))),1)</f>
        <v>-4.0219965297991531E-4</v>
      </c>
      <c r="AS7" s="84">
        <f>INDEX(LINEST(1/(AV7:AX7),1/(SQRT(AV6:AX6)),TRUE,TRUE),3,1)</f>
        <v>0.90989548745406723</v>
      </c>
      <c r="AT7" s="84">
        <f>INDEX(LINEST(1/(AV7:AX7),1/SQRT(AV6:AX6)),1)</f>
        <v>-305.67385307077353</v>
      </c>
      <c r="AU7" s="3"/>
      <c r="AV7" s="11">
        <v>0.71</v>
      </c>
      <c r="AW7" s="11">
        <v>0.5</v>
      </c>
      <c r="AX7" s="11">
        <v>0.42</v>
      </c>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5"/>
      <c r="CS7" s="15"/>
      <c r="CT7" s="15"/>
      <c r="CU7" s="15"/>
    </row>
    <row r="8" spans="1:99" ht="12" customHeight="1" x14ac:dyDescent="0.2">
      <c r="A8" s="65">
        <v>43509</v>
      </c>
      <c r="B8" s="15"/>
      <c r="C8" s="15"/>
      <c r="D8" s="59"/>
      <c r="E8" s="75"/>
      <c r="F8" s="59"/>
      <c r="G8" s="59"/>
      <c r="H8" s="59"/>
      <c r="I8" s="59"/>
      <c r="J8" s="59"/>
      <c r="M8" s="59"/>
      <c r="N8" s="59"/>
      <c r="O8" s="59"/>
      <c r="P8" s="59"/>
      <c r="Q8" s="59"/>
      <c r="R8" s="60"/>
      <c r="S8" s="59"/>
      <c r="T8" s="59"/>
      <c r="U8" s="60"/>
      <c r="V8" s="59"/>
      <c r="W8" s="60"/>
      <c r="X8" s="59"/>
      <c r="Y8" s="76"/>
      <c r="Z8" s="59"/>
      <c r="AA8" s="59"/>
      <c r="AB8" s="60"/>
      <c r="AC8" s="60"/>
      <c r="AD8" s="60"/>
      <c r="AE8" s="60"/>
      <c r="AF8" s="80"/>
      <c r="AG8" s="56"/>
      <c r="AH8" s="4"/>
      <c r="AI8" s="55"/>
      <c r="AJ8" s="111"/>
      <c r="AK8" s="55"/>
      <c r="AL8" s="55"/>
      <c r="AM8" s="55"/>
      <c r="AN8" s="55"/>
      <c r="AO8" s="55"/>
      <c r="AP8" s="55"/>
      <c r="AQ8" s="55"/>
      <c r="AR8" s="111"/>
      <c r="AS8" s="55"/>
      <c r="AT8" s="55"/>
      <c r="AU8" s="4"/>
      <c r="AV8" s="47">
        <f>24*3600</f>
        <v>86400</v>
      </c>
      <c r="AW8" s="47">
        <f>14*24*3600</f>
        <v>1209600</v>
      </c>
      <c r="AX8" s="47">
        <f>30*24*3600</f>
        <v>2592000</v>
      </c>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5"/>
      <c r="CS8" s="15"/>
      <c r="CT8" s="15"/>
      <c r="CU8" s="15"/>
    </row>
    <row r="9" spans="1:99" ht="12" customHeight="1" x14ac:dyDescent="0.2">
      <c r="A9" s="65">
        <v>43509</v>
      </c>
      <c r="B9" s="15" t="s">
        <v>265</v>
      </c>
      <c r="C9" s="15" t="s">
        <v>84</v>
      </c>
      <c r="D9" s="59">
        <v>1921</v>
      </c>
      <c r="E9" s="75">
        <v>1</v>
      </c>
      <c r="F9" s="59">
        <v>5</v>
      </c>
      <c r="G9" s="59">
        <v>5</v>
      </c>
      <c r="H9" s="59" t="s">
        <v>582</v>
      </c>
      <c r="I9" s="59" t="s">
        <v>587</v>
      </c>
      <c r="J9" s="59" t="s">
        <v>585</v>
      </c>
      <c r="K9" s="60">
        <f>IF(J9="syllables",1,IF(J9="trigrams",2,IF(J9="strings",3,IF(J9="visual array",4,IF(J9="characters",5,IF(J9="letters",6,IF(J9="free forms",7,IF(J9="odors",8,IF(J9="words",9,IF(J9="pictures",10,IF(J9="object pictures",11,IF(J9="faces",12,IF(J9="names",13,IF(J9="idioms",14,IF(J9="grades",15,IF(J9="syllable-digit pairs",16,IF(J9="trigram-word pairs",17,IF(J9="word-digit pairs",18,IF(J9="English-Swahili pairs",19,IF(J9="spatial position",20,IF(J9="word pairs",21,IF(J9="word triads",22,IF(J9="generated words",23,IF(J9="word definition pairs",24,IF(J9="math problems",25,IF(J9="famous faces",26,IF(J9="famous names",27,IF(J9="famous voices",28,IF(J9="television programs",29,IF(J9="race horses",30,IF(J9="new vocabulary",31,IF(J9="sentences",32,IF(J9="concepts",33,IF(J9="ad slides",34,IF(J9="scenes",35,IF(J9="famous scenes",36,IF(J9="poems",37,IF(J9="walk",38,IF(J9="faces and events",39,IF(J9="events and names",40,IF(J9="flashbulb",41,IF(J9="stories",42,IF(J9="course material",43,IF(J9="autobiographical",44,IF(J9="novels",45,IF(J9="public events",46,"99"))))))))))))))))))))))))))))))))))))))))))))))</f>
        <v>43</v>
      </c>
      <c r="L9" s="60">
        <f>IF(J9="syllables",1,IF(J9="trigrams",1,IF(J9="strings",1,IF(J9="visual array",1,IF(J9="characters",1,IF(J9="letters",1,IF(J9="free forms",1,IF(J9="odors",2,IF(J9="words",2,IF(J9="pictures",2,IF(J9="object pictures",2,IF(J9="faces",2,IF(J9="names",2,IF(J9="idioms","2",IF(J9="grades",2,IF(J9="syllable-digit pairs",3,IF(J9="trigram-word pairs",3,IF(J9="word-digit pairs",3,IF(J9="English-Swahili pairs",3,IF(J9="spatial position",3,IF(J9="word pairs",4,IF(J9="word triads",4,IF(J9="generated words",4,IF(J9="word definition pairs",4,IF(J9="math problems",4,IF(J9="famous faces",4,IF(J9="famous names",4,IF(J9="famous voices",4,IF(J9="television programs",4,IF(J9="race horses",4,IF(J9="new vocabulary",4,IF(J9="sentences",5,IF(J9="concepts",5,IF(J9="ad slides",5,IF(J9="scenes",5,IF(J9="famous scenes",5,IF(J9="poems",6,IF(J9="walk",6,IF(J9="faces and events",6,IF(J9="events and names",6,IF(J9="flashbulb",7,IF(J9="stories",7,IF(J9="course material",7,IF(J9="autobiographical",7,IF(J9="novels",7,IF(J9="public events",7,"99"))))))))))))))))))))))))))))))))))))))))))))))</f>
        <v>7</v>
      </c>
      <c r="M9" s="59">
        <v>1</v>
      </c>
      <c r="N9" s="59">
        <v>4</v>
      </c>
      <c r="O9" s="59">
        <v>0</v>
      </c>
      <c r="P9" s="59"/>
      <c r="Q9" s="59" t="s">
        <v>174</v>
      </c>
      <c r="R9" s="60">
        <f>IF(Q9="Free Recall",1,IF(Q9="Cued Recall",2,IF(Q9="Recognition",3,IF(Q9="Multiple Choice",4,IF(Q9="Savings",5,IF(Q9="Stem Completion",6,IF(Q9="Fragment Completion",7,IF(Q9="anagram solution",8,IF(Q9="Matching",9,IF(Q9="Problem Solving",10,"99"))))))))))</f>
        <v>1</v>
      </c>
      <c r="S9" s="59" t="s">
        <v>274</v>
      </c>
      <c r="T9" s="59" t="s">
        <v>581</v>
      </c>
      <c r="U9" s="60">
        <f>IF(T9="within",1,0)</f>
        <v>1</v>
      </c>
      <c r="V9" s="59">
        <v>2</v>
      </c>
      <c r="W9" s="60">
        <f>F9*V9</f>
        <v>10</v>
      </c>
      <c r="X9" s="59">
        <v>3</v>
      </c>
      <c r="Y9" s="76">
        <f>AV8</f>
        <v>86400</v>
      </c>
      <c r="Z9" s="59" t="s">
        <v>185</v>
      </c>
      <c r="AA9" s="59">
        <f>31*24*3600</f>
        <v>2678400</v>
      </c>
      <c r="AB9" s="60" t="str">
        <f>IF(AA9&lt;60,"1",IF(AA9&lt;=43200,"2",IF(AA9&lt;=777600,"3","4")))</f>
        <v>4</v>
      </c>
      <c r="AC9" s="56">
        <f>AVERAGE(AV8:DA8)</f>
        <v>1296000</v>
      </c>
      <c r="AD9" s="60" t="str">
        <f>IF(AC9&lt;60,"1",IF(AC9&lt;=43200,"2",IF(AC9&lt;=777600,"3","4")))</f>
        <v>4</v>
      </c>
      <c r="AE9" s="76">
        <f>AA9-Y9</f>
        <v>2592000</v>
      </c>
      <c r="AF9" s="80">
        <f>AV9</f>
        <v>0.64410000000000001</v>
      </c>
      <c r="AG9" s="56">
        <f>((AW9-AV9)+(AX9-AW9))/2</f>
        <v>-0.17205000000000001</v>
      </c>
      <c r="AH9" s="4"/>
      <c r="AI9" s="56">
        <f>RSQ(AV9:AX9,AV8:AX8)</f>
        <v>0.86120426390791571</v>
      </c>
      <c r="AJ9" s="109">
        <f>SLOPE(AV9:AX9,AV8:AX8)</f>
        <v>-1.3411664033701948E-7</v>
      </c>
      <c r="AK9" s="56">
        <f>INTERCEPT(AV9:AX9,AV8:AX8)</f>
        <v>0.61271516587677732</v>
      </c>
      <c r="AL9" s="56">
        <f>INDEX(LINEST(LN(AV9:AX9),LN(AV8:AX8),TRUE,TRUE),3,1)</f>
        <v>0.99595796202348619</v>
      </c>
      <c r="AM9" s="56">
        <f>INDEX(LINEST(LN(AV9:AX9),LN(AV8:AX8)),1)</f>
        <v>-0.22017882796682423</v>
      </c>
      <c r="AN9" s="56">
        <f>EXP(INDEX(LINEST(LN(AV9:AX9),LN(AV8:AX8)),1,2))</f>
        <v>7.9167985903115348</v>
      </c>
      <c r="AO9" s="82">
        <f>INDEX(LINEST((AV9:AX9),LN(AV8:AX8),TRUE,TRUE),3,1)</f>
        <v>0.99981323951135725</v>
      </c>
      <c r="AP9" s="82">
        <f>INDEX(LINEST((AV9:AX9),LN(AV8:AX8)),1)</f>
        <v>-0.1016127231032585</v>
      </c>
      <c r="AQ9" s="83">
        <f>INDEX(LINEST(LN(AV9:AX9),SQRT(AV8:AX8),TRUE,TRUE),3,1)</f>
        <v>0.98665022065945795</v>
      </c>
      <c r="AR9" s="116">
        <f>INDEX(LINEST(LN(AV9:AX9),SQRT((AV8:AX8))),1)</f>
        <v>-5.894841389779506E-4</v>
      </c>
      <c r="AS9" s="84">
        <f>INDEX(LINEST(1/(AV9:AX9),1/(SQRT(AV8:AX8)),TRUE,TRUE),3,1)</f>
        <v>0.9266261466389073</v>
      </c>
      <c r="AT9" s="84">
        <f>INDEX(LINEST(1/(AV9:AX9),1/SQRT(AV8:AX8)),1)</f>
        <v>-567.28496704681595</v>
      </c>
      <c r="AU9" s="3"/>
      <c r="AV9" s="11">
        <v>0.64410000000000001</v>
      </c>
      <c r="AW9" s="11">
        <v>0.37259999999999999</v>
      </c>
      <c r="AX9" s="11">
        <v>0.3</v>
      </c>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5"/>
      <c r="CS9" s="15"/>
      <c r="CT9" s="15"/>
      <c r="CU9" s="15"/>
    </row>
    <row r="10" spans="1:99" ht="12" customHeight="1" x14ac:dyDescent="0.2">
      <c r="A10" s="65">
        <v>43509</v>
      </c>
      <c r="B10" s="15"/>
      <c r="C10" s="15"/>
      <c r="D10" s="59"/>
      <c r="E10" s="75"/>
      <c r="F10" s="59"/>
      <c r="G10" s="59"/>
      <c r="H10" s="59"/>
      <c r="I10" s="59"/>
      <c r="J10" s="59"/>
      <c r="M10" s="59"/>
      <c r="N10" s="59"/>
      <c r="O10" s="59"/>
      <c r="P10" s="59"/>
      <c r="Q10" s="59"/>
      <c r="R10" s="60"/>
      <c r="S10" s="59"/>
      <c r="T10" s="59"/>
      <c r="U10" s="60"/>
      <c r="V10" s="59"/>
      <c r="W10" s="60"/>
      <c r="X10" s="59"/>
      <c r="Y10" s="76"/>
      <c r="Z10" s="59"/>
      <c r="AA10" s="59"/>
      <c r="AB10" s="60"/>
      <c r="AC10" s="60"/>
      <c r="AD10" s="60"/>
      <c r="AE10" s="60"/>
      <c r="AF10" s="80"/>
      <c r="AG10" s="56"/>
      <c r="AH10" s="4"/>
      <c r="AI10" s="55"/>
      <c r="AJ10" s="111"/>
      <c r="AK10" s="55"/>
      <c r="AL10" s="55"/>
      <c r="AM10" s="55"/>
      <c r="AN10" s="55"/>
      <c r="AO10" s="55"/>
      <c r="AP10" s="55"/>
      <c r="AQ10" s="55"/>
      <c r="AR10" s="111"/>
      <c r="AS10" s="55"/>
      <c r="AT10" s="55"/>
      <c r="AU10" s="4"/>
      <c r="AV10" s="47">
        <f>24*3600</f>
        <v>86400</v>
      </c>
      <c r="AW10" s="47">
        <f>14*24*3600</f>
        <v>1209600</v>
      </c>
      <c r="AX10" s="47">
        <f>30*24*3600</f>
        <v>2592000</v>
      </c>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5"/>
      <c r="CS10" s="15"/>
      <c r="CT10" s="15"/>
      <c r="CU10" s="15"/>
    </row>
    <row r="11" spans="1:99" ht="12" customHeight="1" x14ac:dyDescent="0.2">
      <c r="A11" s="65">
        <v>43509</v>
      </c>
      <c r="B11" s="15" t="s">
        <v>265</v>
      </c>
      <c r="C11" s="15" t="s">
        <v>84</v>
      </c>
      <c r="D11" s="59">
        <v>1921</v>
      </c>
      <c r="E11" s="75">
        <v>1</v>
      </c>
      <c r="F11" s="59">
        <v>5</v>
      </c>
      <c r="G11" s="59">
        <v>5</v>
      </c>
      <c r="H11" s="59" t="s">
        <v>583</v>
      </c>
      <c r="I11" s="59" t="s">
        <v>588</v>
      </c>
      <c r="J11" s="59" t="s">
        <v>585</v>
      </c>
      <c r="K11" s="60">
        <f>IF(J11="syllables",1,IF(J11="trigrams",2,IF(J11="strings",3,IF(J11="visual array",4,IF(J11="characters",5,IF(J11="letters",6,IF(J11="free forms",7,IF(J11="odors",8,IF(J11="words",9,IF(J11="pictures",10,IF(J11="object pictures",11,IF(J11="faces",12,IF(J11="names",13,IF(J11="idioms",14,IF(J11="grades",15,IF(J11="syllable-digit pairs",16,IF(J11="trigram-word pairs",17,IF(J11="word-digit pairs",18,IF(J11="English-Swahili pairs",19,IF(J11="spatial position",20,IF(J11="word pairs",21,IF(J11="word triads",22,IF(J11="generated words",23,IF(J11="word definition pairs",24,IF(J11="math problems",25,IF(J11="famous faces",26,IF(J11="famous names",27,IF(J11="famous voices",28,IF(J11="television programs",29,IF(J11="race horses",30,IF(J11="new vocabulary",31,IF(J11="sentences",32,IF(J11="concepts",33,IF(J11="ad slides",34,IF(J11="scenes",35,IF(J11="famous scenes",36,IF(J11="poems",37,IF(J11="walk",38,IF(J11="faces and events",39,IF(J11="events and names",40,IF(J11="flashbulb",41,IF(J11="stories",42,IF(J11="course material",43,IF(J11="autobiographical",44,IF(J11="novels",45,IF(J11="public events",46,"99"))))))))))))))))))))))))))))))))))))))))))))))</f>
        <v>43</v>
      </c>
      <c r="L11" s="60">
        <f>IF(J11="syllables",1,IF(J11="trigrams",1,IF(J11="strings",1,IF(J11="visual array",1,IF(J11="characters",1,IF(J11="letters",1,IF(J11="free forms",1,IF(J11="odors",2,IF(J11="words",2,IF(J11="pictures",2,IF(J11="object pictures",2,IF(J11="faces",2,IF(J11="names",2,IF(J11="idioms","2",IF(J11="grades",2,IF(J11="syllable-digit pairs",3,IF(J11="trigram-word pairs",3,IF(J11="word-digit pairs",3,IF(J11="English-Swahili pairs",3,IF(J11="spatial position",3,IF(J11="word pairs",4,IF(J11="word triads",4,IF(J11="generated words",4,IF(J11="word definition pairs",4,IF(J11="math problems",4,IF(J11="famous faces",4,IF(J11="famous names",4,IF(J11="famous voices",4,IF(J11="television programs",4,IF(J11="race horses",4,IF(J11="new vocabulary",4,IF(J11="sentences",5,IF(J11="concepts",5,IF(J11="ad slides",5,IF(J11="scenes",5,IF(J11="famous scenes",5,IF(J11="poems",6,IF(J11="walk",6,IF(J11="faces and events",6,IF(J11="events and names",6,IF(J11="flashbulb",7,IF(J11="stories",7,IF(J11="course material",7,IF(J11="autobiographical",7,IF(J11="novels",7,IF(J11="public events",7,"99"))))))))))))))))))))))))))))))))))))))))))))))</f>
        <v>7</v>
      </c>
      <c r="M11" s="59">
        <v>1</v>
      </c>
      <c r="N11" s="59">
        <v>4</v>
      </c>
      <c r="O11" s="59">
        <v>0</v>
      </c>
      <c r="P11" s="59"/>
      <c r="Q11" s="59" t="s">
        <v>65</v>
      </c>
      <c r="R11" s="60">
        <f>IF(Q11="Free Recall",1,IF(Q11="Cued Recall",2,IF(Q11="Recognition",3,IF(Q11="Multiple Choice",4,IF(Q11="Savings",5,IF(Q11="Stem Completion",6,IF(Q11="Fragment Completion",7,IF(Q11="anagram solution",8,IF(Q11="Matching",9,IF(Q11="Problem Solving",10,"99"))))))))))</f>
        <v>2</v>
      </c>
      <c r="S11" s="59" t="s">
        <v>274</v>
      </c>
      <c r="T11" s="59" t="s">
        <v>581</v>
      </c>
      <c r="U11" s="60">
        <f>IF(T11="within",1,0)</f>
        <v>1</v>
      </c>
      <c r="V11" s="59">
        <v>2</v>
      </c>
      <c r="W11" s="60">
        <f>F11*V11</f>
        <v>10</v>
      </c>
      <c r="X11" s="59">
        <v>3</v>
      </c>
      <c r="Y11" s="76">
        <f>AV10</f>
        <v>86400</v>
      </c>
      <c r="Z11" s="59" t="s">
        <v>185</v>
      </c>
      <c r="AA11" s="59">
        <f>31*24*3600</f>
        <v>2678400</v>
      </c>
      <c r="AB11" s="60" t="str">
        <f>IF(AA11&lt;60,"1",IF(AA11&lt;=43200,"2",IF(AA11&lt;=777600,"3","4")))</f>
        <v>4</v>
      </c>
      <c r="AC11" s="56">
        <f>AVERAGE(AV10:DA10)</f>
        <v>1296000</v>
      </c>
      <c r="AD11" s="60" t="str">
        <f>IF(AC11&lt;60,"1",IF(AC11&lt;=43200,"2",IF(AC11&lt;=777600,"3","4")))</f>
        <v>4</v>
      </c>
      <c r="AE11" s="76">
        <f>AA11-Y11</f>
        <v>2592000</v>
      </c>
      <c r="AF11" s="80">
        <f>AV11</f>
        <v>0.69499999999999995</v>
      </c>
      <c r="AG11" s="56">
        <f>((AW11-AV11)+(AX11-AW11))/2</f>
        <v>-0.23544999999999999</v>
      </c>
      <c r="AH11" s="4"/>
      <c r="AI11" s="56">
        <f>RSQ(AV11:AX11,AV10:AX10)</f>
        <v>0.82619753966578957</v>
      </c>
      <c r="AJ11" s="109">
        <f>SLOPE(AV11:AX11,AV10:AX10)</f>
        <v>-1.8292796647358254E-7</v>
      </c>
      <c r="AK11" s="56">
        <f>INTERCEPT(AV11:AX11,AV10:AX10)</f>
        <v>0.64384131121642962</v>
      </c>
      <c r="AL11" s="56">
        <f>INDEX(LINEST(LN(AV11:AX11),LN(AV10:AX10),TRUE,TRUE),3,1)</f>
        <v>0.99844616468973013</v>
      </c>
      <c r="AM11" s="56">
        <f>INDEX(LINEST(LN(AV11:AX11),LN(AV10:AX10)),1)</f>
        <v>-0.32864028094881648</v>
      </c>
      <c r="AN11" s="56">
        <f>EXP(INDEX(LINEST(LN(AV11:AX11),LN(AV10:AX10)),1,2))</f>
        <v>29.295411364108038</v>
      </c>
      <c r="AO11" s="82">
        <f>INDEX(LINEST((AV11:AX11),LN(AV10:AX10),TRUE,TRUE),3,1)</f>
        <v>0.99616884982886345</v>
      </c>
      <c r="AP11" s="82">
        <f>INDEX(LINEST((AV11:AX11),LN(AV10:AX10)),1)</f>
        <v>-0.14124195002609072</v>
      </c>
      <c r="AQ11" s="83">
        <f>INDEX(LINEST(LN(AV11:AX11),SQRT(AV10:AX10),TRUE,TRUE),3,1)</f>
        <v>0.98053024058344407</v>
      </c>
      <c r="AR11" s="116">
        <f>INDEX(LINEST(LN(AV11:AX11),SQRT((AV10:AX10))),1)</f>
        <v>-8.7604098868357882E-4</v>
      </c>
      <c r="AS11" s="84">
        <f>INDEX(LINEST(1/(AV11:AX11),1/(SQRT(AV10:AX10)),TRUE,TRUE),3,1)</f>
        <v>0.91873987652368128</v>
      </c>
      <c r="AT11" s="84">
        <f>INDEX(LINEST(1/(AV11:AX11),1/SQRT(AV10:AX10)),1)</f>
        <v>-956.93801475936812</v>
      </c>
      <c r="AU11" s="3"/>
      <c r="AV11" s="11">
        <v>0.69499999999999995</v>
      </c>
      <c r="AW11" s="11">
        <v>0.30120000000000002</v>
      </c>
      <c r="AX11" s="11">
        <v>0.22409999999999999</v>
      </c>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5"/>
      <c r="CS11" s="15"/>
      <c r="CT11" s="15"/>
      <c r="CU11" s="15"/>
    </row>
    <row r="12" spans="1:99" ht="12" customHeight="1" x14ac:dyDescent="0.2">
      <c r="A12" s="65">
        <v>43509</v>
      </c>
      <c r="B12" s="15"/>
      <c r="C12" s="15"/>
      <c r="D12" s="59"/>
      <c r="E12" s="75"/>
      <c r="F12" s="59"/>
      <c r="G12" s="59"/>
      <c r="H12" s="59"/>
      <c r="I12" s="59"/>
      <c r="J12" s="59"/>
      <c r="M12" s="59"/>
      <c r="N12" s="59"/>
      <c r="O12" s="59"/>
      <c r="P12" s="59"/>
      <c r="Q12" s="59"/>
      <c r="R12" s="60"/>
      <c r="S12" s="59"/>
      <c r="T12" s="59"/>
      <c r="U12" s="60"/>
      <c r="V12" s="59"/>
      <c r="W12" s="60"/>
      <c r="X12" s="59"/>
      <c r="Y12" s="76"/>
      <c r="Z12" s="59"/>
      <c r="AA12" s="59"/>
      <c r="AB12" s="60"/>
      <c r="AC12" s="60"/>
      <c r="AD12" s="60"/>
      <c r="AE12" s="60"/>
      <c r="AF12" s="80"/>
      <c r="AG12" s="56"/>
      <c r="AH12" s="4"/>
      <c r="AI12" s="55"/>
      <c r="AJ12" s="111"/>
      <c r="AK12" s="55"/>
      <c r="AL12" s="55"/>
      <c r="AM12" s="55"/>
      <c r="AN12" s="55"/>
      <c r="AO12" s="55"/>
      <c r="AP12" s="55"/>
      <c r="AQ12" s="55"/>
      <c r="AR12" s="111"/>
      <c r="AS12" s="55"/>
      <c r="AT12" s="55"/>
      <c r="AU12" s="4"/>
      <c r="AV12" s="47">
        <f>24*3600</f>
        <v>86400</v>
      </c>
      <c r="AW12" s="47">
        <f>14*24*3600</f>
        <v>1209600</v>
      </c>
      <c r="AX12" s="47">
        <f>30*24*3600</f>
        <v>2592000</v>
      </c>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5"/>
      <c r="CS12" s="15"/>
      <c r="CT12" s="15"/>
      <c r="CU12" s="15"/>
    </row>
    <row r="13" spans="1:99" ht="12" customHeight="1" x14ac:dyDescent="0.2">
      <c r="A13" s="65">
        <v>43509</v>
      </c>
      <c r="B13" s="15" t="s">
        <v>265</v>
      </c>
      <c r="C13" s="15" t="s">
        <v>84</v>
      </c>
      <c r="D13" s="59">
        <v>1921</v>
      </c>
      <c r="E13" s="75">
        <v>1</v>
      </c>
      <c r="F13" s="59">
        <v>5</v>
      </c>
      <c r="G13" s="59">
        <v>5</v>
      </c>
      <c r="H13" s="59" t="s">
        <v>584</v>
      </c>
      <c r="I13" s="59" t="s">
        <v>589</v>
      </c>
      <c r="J13" s="59" t="s">
        <v>585</v>
      </c>
      <c r="K13" s="60">
        <f>IF(J13="syllables",1,IF(J13="trigrams",2,IF(J13="strings",3,IF(J13="visual array",4,IF(J13="characters",5,IF(J13="letters",6,IF(J13="free forms",7,IF(J13="odors",8,IF(J13="words",9,IF(J13="pictures",10,IF(J13="object pictures",11,IF(J13="faces",12,IF(J13="names",13,IF(J13="idioms",14,IF(J13="grades",15,IF(J13="syllable-digit pairs",16,IF(J13="trigram-word pairs",17,IF(J13="word-digit pairs",18,IF(J13="English-Swahili pairs",19,IF(J13="spatial position",20,IF(J13="word pairs",21,IF(J13="word triads",22,IF(J13="generated words",23,IF(J13="word definition pairs",24,IF(J13="math problems",25,IF(J13="famous faces",26,IF(J13="famous names",27,IF(J13="famous voices",28,IF(J13="television programs",29,IF(J13="race horses",30,IF(J13="new vocabulary",31,IF(J13="sentences",32,IF(J13="concepts",33,IF(J13="ad slides",34,IF(J13="scenes",35,IF(J13="famous scenes",36,IF(J13="poems",37,IF(J13="walk",38,IF(J13="faces and events",39,IF(J13="events and names",40,IF(J13="flashbulb",41,IF(J13="stories",42,IF(J13="course material",43,IF(J13="autobiographical",44,IF(J13="novels",45,IF(J13="public events",46,"99"))))))))))))))))))))))))))))))))))))))))))))))</f>
        <v>43</v>
      </c>
      <c r="L13" s="60">
        <f>IF(J13="syllables",1,IF(J13="trigrams",1,IF(J13="strings",1,IF(J13="visual array",1,IF(J13="characters",1,IF(J13="letters",1,IF(J13="free forms",1,IF(J13="odors",2,IF(J13="words",2,IF(J13="pictures",2,IF(J13="object pictures",2,IF(J13="faces",2,IF(J13="names",2,IF(J13="idioms","2",IF(J13="grades",2,IF(J13="syllable-digit pairs",3,IF(J13="trigram-word pairs",3,IF(J13="word-digit pairs",3,IF(J13="English-Swahili pairs",3,IF(J13="spatial position",3,IF(J13="word pairs",4,IF(J13="word triads",4,IF(J13="generated words",4,IF(J13="word definition pairs",4,IF(J13="math problems",4,IF(J13="famous faces",4,IF(J13="famous names",4,IF(J13="famous voices",4,IF(J13="television programs",4,IF(J13="race horses",4,IF(J13="new vocabulary",4,IF(J13="sentences",5,IF(J13="concepts",5,IF(J13="ad slides",5,IF(J13="scenes",5,IF(J13="famous scenes",5,IF(J13="poems",6,IF(J13="walk",6,IF(J13="faces and events",6,IF(J13="events and names",6,IF(J13="flashbulb",7,IF(J13="stories",7,IF(J13="course material",7,IF(J13="autobiographical",7,IF(J13="novels",7,IF(J13="public events",7,"99"))))))))))))))))))))))))))))))))))))))))))))))</f>
        <v>7</v>
      </c>
      <c r="M13" s="59">
        <v>1</v>
      </c>
      <c r="N13" s="59">
        <v>4</v>
      </c>
      <c r="O13" s="59">
        <v>0</v>
      </c>
      <c r="P13" s="59"/>
      <c r="Q13" s="59" t="s">
        <v>174</v>
      </c>
      <c r="R13" s="60">
        <f>IF(Q13="Free Recall",1,IF(Q13="Cued Recall",2,IF(Q13="Recognition",3,IF(Q13="Multiple Choice",4,IF(Q13="Savings",5,IF(Q13="Stem Completion",6,IF(Q13="Fragment Completion",7,IF(Q13="anagram solution",8,IF(Q13="Matching",9,IF(Q13="Problem Solving",10,"99"))))))))))</f>
        <v>1</v>
      </c>
      <c r="S13" s="59" t="s">
        <v>274</v>
      </c>
      <c r="T13" s="59" t="s">
        <v>581</v>
      </c>
      <c r="U13" s="60">
        <f>IF(T13="within",1,0)</f>
        <v>1</v>
      </c>
      <c r="V13" s="59">
        <v>2</v>
      </c>
      <c r="W13" s="60">
        <f>F13*V13</f>
        <v>10</v>
      </c>
      <c r="X13" s="59">
        <v>3</v>
      </c>
      <c r="Y13" s="76">
        <f>AV12</f>
        <v>86400</v>
      </c>
      <c r="Z13" s="59" t="s">
        <v>185</v>
      </c>
      <c r="AA13" s="59">
        <f>31*24*3600</f>
        <v>2678400</v>
      </c>
      <c r="AB13" s="60" t="str">
        <f>IF(AA13&lt;60,"1",IF(AA13&lt;=43200,"2",IF(AA13&lt;=777600,"3","4")))</f>
        <v>4</v>
      </c>
      <c r="AC13" s="56">
        <f>AVERAGE(AV12:DA12)</f>
        <v>1296000</v>
      </c>
      <c r="AD13" s="60" t="str">
        <f>IF(AC13&lt;60,"1",IF(AC13&lt;=43200,"2",IF(AC13&lt;=777600,"3","4")))</f>
        <v>4</v>
      </c>
      <c r="AE13" s="76">
        <f>AA13-Y13</f>
        <v>2592000</v>
      </c>
      <c r="AF13" s="80">
        <f>AV13</f>
        <v>0.66</v>
      </c>
      <c r="AG13" s="56">
        <f>((AW13-AV13)+(AX13-AW13))/2</f>
        <v>-0.27255000000000001</v>
      </c>
      <c r="AH13" s="4"/>
      <c r="AI13" s="56">
        <f>RSQ(AV13:AX13,AV12:AX12)</f>
        <v>0.7232078084806306</v>
      </c>
      <c r="AJ13" s="109">
        <f>SLOPE(AV13:AX13,AV12:AX12)</f>
        <v>-2.0980066262945412E-7</v>
      </c>
      <c r="AK13" s="56">
        <f>INTERCEPT(AV13:AX13,AV12:AX12)</f>
        <v>0.57453499210110592</v>
      </c>
      <c r="AL13" s="56">
        <f>INDEX(LINEST(LN(AV13:AX13),LN(AV12:AX12),TRUE,TRUE),3,1)</f>
        <v>0.9806181983528186</v>
      </c>
      <c r="AM13" s="56">
        <f>INDEX(LINEST(LN(AV13:AX13),LN(AV12:AX12)),1)</f>
        <v>-0.53809101988255281</v>
      </c>
      <c r="AN13" s="56">
        <f>EXP(INDEX(LINEST(LN(AV13:AX13),LN(AV12:AX12)),1,2))</f>
        <v>289.32183535639928</v>
      </c>
      <c r="AO13" s="82">
        <f>INDEX(LINEST((AV13:AX13),LN(AV12:AX12),TRUE,TRUE),3,1)</f>
        <v>0.96582719897646863</v>
      </c>
      <c r="AP13" s="82">
        <f>INDEX(LINEST((AV13:AX13),LN(AV12:AX12)),1)</f>
        <v>-0.17048418055012046</v>
      </c>
      <c r="AQ13" s="83">
        <f>INDEX(LINEST(LN(AV13:AX13),SQRT(AV12:AX12),TRUE,TRUE),3,1)</f>
        <v>0.9015894504354105</v>
      </c>
      <c r="AR13" s="116">
        <f>INDEX(LINEST(LN(AV13:AX13),SQRT((AV12:AX12))),1)</f>
        <v>-1.3878599534918358E-3</v>
      </c>
      <c r="AS13" s="84">
        <f>INDEX(LINEST(1/(AV13:AX13),1/(SQRT(AV12:AX12)),TRUE,TRUE),3,1)</f>
        <v>0.99641217842885987</v>
      </c>
      <c r="AT13" s="84">
        <f>INDEX(LINEST(1/(AV13:AX13),1/SQRT(AV12:AX12)),1)</f>
        <v>-2515.6675615535414</v>
      </c>
      <c r="AU13" s="3"/>
      <c r="AV13" s="11">
        <v>0.66</v>
      </c>
      <c r="AW13" s="11">
        <v>0.13300000000000001</v>
      </c>
      <c r="AX13" s="11">
        <v>0.1149</v>
      </c>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5"/>
      <c r="CS13" s="15"/>
      <c r="CT13" s="15"/>
      <c r="CU13" s="15"/>
    </row>
    <row r="14" spans="1:99" s="13" customFormat="1" ht="12" customHeight="1" x14ac:dyDescent="0.2">
      <c r="A14" s="65">
        <v>43509</v>
      </c>
      <c r="B14" s="1"/>
      <c r="C14" s="1"/>
      <c r="D14" s="60"/>
      <c r="E14" s="76"/>
      <c r="F14" s="60"/>
      <c r="G14" s="60"/>
      <c r="H14" s="60"/>
      <c r="I14" s="60"/>
      <c r="J14" s="60"/>
      <c r="K14" s="64"/>
      <c r="L14" s="64"/>
      <c r="M14" s="60"/>
      <c r="N14" s="60"/>
      <c r="O14" s="60"/>
      <c r="P14" s="60"/>
      <c r="Q14" s="60"/>
      <c r="R14" s="60"/>
      <c r="S14" s="60"/>
      <c r="T14" s="60"/>
      <c r="U14" s="60"/>
      <c r="V14" s="60"/>
      <c r="W14" s="60"/>
      <c r="X14" s="60"/>
      <c r="Y14" s="76"/>
      <c r="Z14" s="60"/>
      <c r="AA14" s="60"/>
      <c r="AB14" s="60"/>
      <c r="AC14" s="60"/>
      <c r="AD14" s="60"/>
      <c r="AE14" s="60"/>
      <c r="AF14" s="80"/>
      <c r="AG14" s="56"/>
      <c r="AH14" s="4"/>
      <c r="AI14" s="56"/>
      <c r="AJ14" s="109"/>
      <c r="AK14" s="56"/>
      <c r="AL14" s="56"/>
      <c r="AM14" s="56"/>
      <c r="AN14" s="56"/>
      <c r="AO14" s="56"/>
      <c r="AP14" s="56"/>
      <c r="AQ14" s="56"/>
      <c r="AR14" s="109"/>
      <c r="AS14" s="56"/>
      <c r="AT14" s="56"/>
      <c r="AU14" s="5"/>
      <c r="AV14" s="25">
        <f>365*24*60*60*3.26/12</f>
        <v>8567280</v>
      </c>
      <c r="AW14" s="25">
        <f>365*24*60*60*9.3/12</f>
        <v>24440400</v>
      </c>
      <c r="AX14" s="25">
        <f>365*24*60*60*23.18/12</f>
        <v>60917040</v>
      </c>
      <c r="AY14" s="25">
        <f>365*24*60*60*45.5/12</f>
        <v>119574000</v>
      </c>
      <c r="AZ14" s="25">
        <f>365*24*60*60*89.08/12</f>
        <v>234102240</v>
      </c>
      <c r="BA14" s="25">
        <f>365*24*60*60*173.56/12</f>
        <v>456115680</v>
      </c>
      <c r="BB14" s="25">
        <f>365*24*60*60*309.61/12</f>
        <v>813655080</v>
      </c>
      <c r="BC14" s="25">
        <f>365*24*60*60*408.89/12</f>
        <v>1074562920</v>
      </c>
      <c r="BD14" s="25">
        <f>365*24*60*60*570.73/12</f>
        <v>1499878440</v>
      </c>
      <c r="BE14" s="53"/>
      <c r="BF14" s="53"/>
      <c r="BG14" s="53"/>
      <c r="BH14" s="53"/>
      <c r="BI14" s="53"/>
      <c r="BJ14" s="53"/>
      <c r="BK14" s="53"/>
      <c r="BL14" s="53"/>
      <c r="BM14" s="53"/>
      <c r="BN14" s="53"/>
      <c r="BO14" s="53"/>
      <c r="BP14" s="53"/>
      <c r="BQ14" s="53"/>
      <c r="BR14" s="53"/>
      <c r="BS14" s="53"/>
      <c r="BT14" s="53"/>
      <c r="BU14" s="53"/>
      <c r="BV14" s="53"/>
      <c r="BW14" s="53"/>
      <c r="BX14" s="53"/>
      <c r="BY14" s="53"/>
      <c r="BZ14" s="53"/>
      <c r="CA14" s="53"/>
      <c r="CB14" s="53"/>
      <c r="CC14" s="53"/>
      <c r="CD14" s="53"/>
      <c r="CE14" s="53"/>
      <c r="CF14" s="53"/>
      <c r="CG14" s="53"/>
      <c r="CH14" s="53"/>
      <c r="CI14" s="53"/>
      <c r="CJ14" s="53"/>
      <c r="CK14" s="53"/>
      <c r="CL14" s="53"/>
      <c r="CM14" s="53"/>
      <c r="CN14" s="53"/>
      <c r="CO14" s="53"/>
      <c r="CP14" s="53"/>
      <c r="CQ14" s="53"/>
      <c r="CR14" s="1"/>
      <c r="CS14" s="1"/>
      <c r="CT14" s="1"/>
      <c r="CU14" s="1"/>
    </row>
    <row r="15" spans="1:99" s="13" customFormat="1" ht="12" customHeight="1" x14ac:dyDescent="0.2">
      <c r="A15" s="65">
        <v>43509</v>
      </c>
      <c r="B15" s="1" t="s">
        <v>201</v>
      </c>
      <c r="C15" s="1" t="s">
        <v>202</v>
      </c>
      <c r="D15" s="60">
        <v>1975</v>
      </c>
      <c r="E15" s="76">
        <v>1</v>
      </c>
      <c r="F15" s="60">
        <v>392</v>
      </c>
      <c r="G15" s="60">
        <v>43.6</v>
      </c>
      <c r="H15" s="60" t="s">
        <v>227</v>
      </c>
      <c r="I15" s="60" t="s">
        <v>593</v>
      </c>
      <c r="J15" s="60" t="s">
        <v>599</v>
      </c>
      <c r="K15" s="60">
        <f>IF(J15="syllables",1,IF(J15="trigrams",2,IF(J15="strings",3,IF(J15="visual array",4,IF(J15="characters",5,IF(J15="letters",6,IF(J15="free forms",7,IF(J15="odors",8,IF(J15="words",9,IF(J15="pictures",10,IF(J15="object pictures",11,IF(J15="faces",12,IF(J15="names",13,IF(J15="idioms",14,IF(J15="grades",15,IF(J15="syllable-digit pairs",16,IF(J15="trigram-word pairs",17,IF(J15="word-digit pairs",18,IF(J15="English-Swahili pairs",19,IF(J15="spatial position",20,IF(J15="word pairs",21,IF(J15="word triads",22,IF(J15="generated words",23,IF(J15="word definition pairs",24,IF(J15="math problems",25,IF(J15="famous faces",26,IF(J15="famous names",27,IF(J15="famous voices",28,IF(J15="television programs",29,IF(J15="race horses",30,IF(J15="new vocabulary",31,IF(J15="sentences",32,IF(J15="concepts",33,IF(J15="ad slides",34,IF(J15="scenes",35,IF(J15="famous scenes",36,IF(J15="poems",37,IF(J15="walk",38,IF(J15="faces and events",39,IF(J15="events and names",40,IF(J15="flashbulb",41,IF(J15="stories",42,IF(J15="course material",43,IF(J15="autobiographical",44,IF(J15="novels",45,IF(J15="public events",46,"99"))))))))))))))))))))))))))))))))))))))))))))))</f>
        <v>13</v>
      </c>
      <c r="L15" s="60">
        <f>IF(J15="syllables",1,IF(J15="trigrams",1,IF(J15="strings",1,IF(J15="visual array",1,IF(J15="characters",1,IF(J15="letters",1,IF(J15="free forms",1,IF(J15="odors",2,IF(J15="words",2,IF(J15="pictures",2,IF(J15="object pictures",2,IF(J15="faces",2,IF(J15="names",2,IF(J15="idioms","2",IF(J15="grades",2,IF(J15="syllable-digit pairs",3,IF(J15="trigram-word pairs",3,IF(J15="word-digit pairs",3,IF(J15="English-Swahili pairs",3,IF(J15="spatial position",3,IF(J15="word pairs",4,IF(J15="word triads",4,IF(J15="generated words",4,IF(J15="word definition pairs",4,IF(J15="math problems",4,IF(J15="famous faces",4,IF(J15="famous names",4,IF(J15="famous voices",4,IF(J15="television programs",4,IF(J15="race horses",4,IF(J15="new vocabulary",4,IF(J15="sentences",5,IF(J15="concepts",5,IF(J15="ad slides",5,IF(J15="scenes",5,IF(J15="famous scenes",5,IF(J15="poems",6,IF(J15="walk",6,IF(J15="faces and events",6,IF(J15="events and names",6,IF(J15="flashbulb",7,IF(J15="stories",7,IF(J15="course material",7,IF(J15="autobiographical",7,IF(J15="novels",7,IF(J15="public events",7,"99"))))))))))))))))))))))))))))))))))))))))))))))</f>
        <v>2</v>
      </c>
      <c r="M15" s="60">
        <v>1</v>
      </c>
      <c r="N15" s="60">
        <v>2</v>
      </c>
      <c r="O15" s="60">
        <v>0</v>
      </c>
      <c r="P15" s="60"/>
      <c r="Q15" s="59" t="s">
        <v>174</v>
      </c>
      <c r="R15" s="60">
        <f>IF(Q15="Free Recall",1,IF(Q15="Cued Recall",2,IF(Q15="Recognition",3,IF(Q15="Multiple Choice",4,IF(Q15="Savings",5,IF(Q15="Stem Completion",6,IF(Q15="Fragment Completion",7,IF(Q15="anagram solution",8,IF(Q15="Matching",9,IF(Q15="Problem Solving",10,"99"))))))))))</f>
        <v>1</v>
      </c>
      <c r="S15" s="60" t="s">
        <v>20</v>
      </c>
      <c r="T15" s="60" t="s">
        <v>261</v>
      </c>
      <c r="U15" s="60">
        <f>IF(T15="within",1,0)</f>
        <v>0</v>
      </c>
      <c r="V15" s="60">
        <v>294.2</v>
      </c>
      <c r="W15" s="60">
        <f>F15*V15</f>
        <v>115326.39999999999</v>
      </c>
      <c r="X15" s="60">
        <v>9</v>
      </c>
      <c r="Y15" s="76">
        <f>AV14</f>
        <v>8567280</v>
      </c>
      <c r="Z15" s="60" t="s">
        <v>204</v>
      </c>
      <c r="AA15" s="60">
        <v>1513728000</v>
      </c>
      <c r="AB15" s="60" t="str">
        <f>IF(AA15&lt;60,"1",IF(AA15&lt;=43200,"2",IF(AA15&lt;=777600,"3","4")))</f>
        <v>4</v>
      </c>
      <c r="AC15" s="56">
        <f>AVERAGE(AV14:DA14)</f>
        <v>476868120</v>
      </c>
      <c r="AD15" s="60" t="str">
        <f>IF(AC15&lt;60,"1",IF(AC15&lt;=43200,"2",IF(AC15&lt;=777600,"3","4")))</f>
        <v>4</v>
      </c>
      <c r="AE15" s="76">
        <f>AA15-Y15</f>
        <v>1505160720</v>
      </c>
      <c r="AF15" s="80">
        <f>AV15</f>
        <v>0.47</v>
      </c>
      <c r="AG15" s="56">
        <f>((AW15-AV15)+(AX15-AW15)+(AY15-AX15)+(AZ15-AY15)+(BA15-AZ15)+(BB15-BA15)+(BC15-BB15)+(BD15-BC15))/8</f>
        <v>-3.4374999999999996E-2</v>
      </c>
      <c r="AH15" s="4"/>
      <c r="AI15" s="56">
        <f>RSQ(AV15:BD15,AV14:BD14)</f>
        <v>0.90241199663830218</v>
      </c>
      <c r="AJ15" s="109">
        <f>SLOPE(AV15:BD15,AV14:BD14)</f>
        <v>-1.4765502706662541E-10</v>
      </c>
      <c r="AK15" s="56">
        <f>INTERCEPT(AV15:BD15,AV14:BD14)</f>
        <v>0.42118975294358857</v>
      </c>
      <c r="AL15" s="56">
        <f>INDEX(LINEST(LN(AV15:BD15),LN(AV14:BD14),TRUE,TRUE),3,1)</f>
        <v>0.68800936125085654</v>
      </c>
      <c r="AM15" s="56">
        <f>INDEX(LINEST(LN(AV15:BD15),LN(AV14:BD14)),1)</f>
        <v>-0.12391683411031684</v>
      </c>
      <c r="AN15" s="56">
        <f>EXP(INDEX(LINEST(LN(AV15:BD15),LN(AV14:BD14)),1,2))</f>
        <v>3.5958022901434026</v>
      </c>
      <c r="AO15" s="82">
        <f>INDEX(LINEST((AV15:BD15),LN(AV14:BD14),TRUE,TRUE),3,1)</f>
        <v>0.75711495998692835</v>
      </c>
      <c r="AP15" s="82">
        <f>INDEX(LINEST((AV15:BD15),LN(AV14:BD14)),1)</f>
        <v>-4.063210830879245E-2</v>
      </c>
      <c r="AQ15" s="83">
        <f>INDEX(LINEST(LN(AV15:BD15),SQRT(AV14:BD14),TRUE,TRUE),3,1)</f>
        <v>0.86074341233883944</v>
      </c>
      <c r="AR15" s="116">
        <f>INDEX(LINEST(LN(AV15:BD15),SQRT((AV14:BD14))),1)</f>
        <v>-1.9199210865646748E-5</v>
      </c>
      <c r="AS15" s="84">
        <f>INDEX(LINEST(1/(AV15:BD15),1/(SQRT(AV14:BD14)),TRUE,TRUE),3,1)</f>
        <v>0.37137543176266247</v>
      </c>
      <c r="AT15" s="84">
        <f>INDEX(LINEST(1/(AV15:BD15),1/SQRT(AV14:BD14)),1)</f>
        <v>-5321.6026544701854</v>
      </c>
      <c r="AU15" s="3"/>
      <c r="AV15" s="53">
        <v>0.47</v>
      </c>
      <c r="AW15" s="53">
        <v>0.39200000000000002</v>
      </c>
      <c r="AX15" s="53">
        <v>0.372</v>
      </c>
      <c r="AY15" s="53">
        <v>0.41599999999999998</v>
      </c>
      <c r="AZ15" s="53">
        <v>0.39600000000000002</v>
      </c>
      <c r="BA15" s="53">
        <v>0.34499999999999997</v>
      </c>
      <c r="BB15" s="53">
        <v>0.29299999999999998</v>
      </c>
      <c r="BC15" s="53">
        <v>0.27800000000000002</v>
      </c>
      <c r="BD15" s="53">
        <v>0.19500000000000001</v>
      </c>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1"/>
      <c r="CS15" s="1"/>
      <c r="CT15" s="1"/>
      <c r="CU15" s="1"/>
    </row>
    <row r="16" spans="1:99" s="13" customFormat="1" ht="12" customHeight="1" x14ac:dyDescent="0.2">
      <c r="A16" s="65">
        <v>43509</v>
      </c>
      <c r="B16" s="1"/>
      <c r="C16" s="1"/>
      <c r="D16" s="60"/>
      <c r="E16" s="76"/>
      <c r="F16" s="60"/>
      <c r="G16" s="60"/>
      <c r="H16" s="60"/>
      <c r="I16" s="60"/>
      <c r="J16" s="60"/>
      <c r="K16" s="64"/>
      <c r="L16" s="64"/>
      <c r="M16" s="60"/>
      <c r="N16" s="60"/>
      <c r="O16" s="60"/>
      <c r="P16" s="60"/>
      <c r="Q16" s="60"/>
      <c r="R16" s="60"/>
      <c r="S16" s="60"/>
      <c r="T16" s="60"/>
      <c r="U16" s="60"/>
      <c r="V16" s="60"/>
      <c r="W16" s="60"/>
      <c r="X16" s="60"/>
      <c r="Y16" s="76"/>
      <c r="Z16" s="60"/>
      <c r="AA16" s="60"/>
      <c r="AB16" s="60"/>
      <c r="AC16" s="60"/>
      <c r="AD16" s="60"/>
      <c r="AE16" s="60"/>
      <c r="AF16" s="80"/>
      <c r="AG16" s="56"/>
      <c r="AH16" s="4"/>
      <c r="AI16" s="56"/>
      <c r="AJ16" s="109"/>
      <c r="AK16" s="56"/>
      <c r="AL16" s="56"/>
      <c r="AM16" s="56"/>
      <c r="AN16" s="56"/>
      <c r="AO16" s="56"/>
      <c r="AP16" s="56"/>
      <c r="AQ16" s="82"/>
      <c r="AR16" s="115"/>
      <c r="AS16" s="82"/>
      <c r="AT16" s="82"/>
      <c r="AU16" s="3"/>
      <c r="AV16" s="25">
        <f>365*24*60*60*3.26/12</f>
        <v>8567280</v>
      </c>
      <c r="AW16" s="25">
        <f>365*24*60*60*9.3/12</f>
        <v>24440400</v>
      </c>
      <c r="AX16" s="25">
        <f>365*24*60*60*23.18/12</f>
        <v>60917040</v>
      </c>
      <c r="AY16" s="25">
        <f>365*24*60*60*45.5/12</f>
        <v>119574000</v>
      </c>
      <c r="AZ16" s="25">
        <f>365*24*60*60*89.08/12</f>
        <v>234102240</v>
      </c>
      <c r="BA16" s="25">
        <f>365*24*60*60*173.56/12</f>
        <v>456115680</v>
      </c>
      <c r="BB16" s="25">
        <f>365*24*60*60*309.61/12</f>
        <v>813655080</v>
      </c>
      <c r="BC16" s="25">
        <f>365*24*60*60*408.89/12</f>
        <v>1074562920</v>
      </c>
      <c r="BD16" s="25">
        <f>365*24*60*60*570.73/12</f>
        <v>1499878440</v>
      </c>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1"/>
      <c r="CS16" s="1"/>
      <c r="CT16" s="1"/>
      <c r="CU16" s="1"/>
    </row>
    <row r="17" spans="1:99" s="13" customFormat="1" ht="12" customHeight="1" x14ac:dyDescent="0.2">
      <c r="A17" s="65">
        <v>43509</v>
      </c>
      <c r="B17" s="1" t="s">
        <v>201</v>
      </c>
      <c r="C17" s="1" t="s">
        <v>202</v>
      </c>
      <c r="D17" s="60">
        <v>1975</v>
      </c>
      <c r="E17" s="76">
        <v>1</v>
      </c>
      <c r="F17" s="60">
        <v>392</v>
      </c>
      <c r="G17" s="60">
        <v>43.6</v>
      </c>
      <c r="H17" s="60" t="s">
        <v>227</v>
      </c>
      <c r="I17" s="60" t="s">
        <v>595</v>
      </c>
      <c r="J17" s="60" t="s">
        <v>599</v>
      </c>
      <c r="K17" s="60">
        <f>IF(J17="syllables",1,IF(J17="trigrams",2,IF(J17="strings",3,IF(J17="visual array",4,IF(J17="characters",5,IF(J17="letters",6,IF(J17="free forms",7,IF(J17="odors",8,IF(J17="words",9,IF(J17="pictures",10,IF(J17="object pictures",11,IF(J17="faces",12,IF(J17="names",13,IF(J17="idioms",14,IF(J17="grades",15,IF(J17="syllable-digit pairs",16,IF(J17="trigram-word pairs",17,IF(J17="word-digit pairs",18,IF(J17="English-Swahili pairs",19,IF(J17="spatial position",20,IF(J17="word pairs",21,IF(J17="word triads",22,IF(J17="generated words",23,IF(J17="word definition pairs",24,IF(J17="math problems",25,IF(J17="famous faces",26,IF(J17="famous names",27,IF(J17="famous voices",28,IF(J17="television programs",29,IF(J17="race horses",30,IF(J17="new vocabulary",31,IF(J17="sentences",32,IF(J17="concepts",33,IF(J17="ad slides",34,IF(J17="scenes",35,IF(J17="famous scenes",36,IF(J17="poems",37,IF(J17="walk",38,IF(J17="faces and events",39,IF(J17="events and names",40,IF(J17="flashbulb",41,IF(J17="stories",42,IF(J17="course material",43,IF(J17="autobiographical",44,IF(J17="novels",45,IF(J17="public events",46,"99"))))))))))))))))))))))))))))))))))))))))))))))</f>
        <v>13</v>
      </c>
      <c r="L17" s="60">
        <f>IF(J17="syllables",1,IF(J17="trigrams",1,IF(J17="strings",1,IF(J17="visual array",1,IF(J17="characters",1,IF(J17="letters",1,IF(J17="free forms",1,IF(J17="odors",2,IF(J17="words",2,IF(J17="pictures",2,IF(J17="object pictures",2,IF(J17="faces",2,IF(J17="names",2,IF(J17="idioms","2",IF(J17="grades",2,IF(J17="syllable-digit pairs",3,IF(J17="trigram-word pairs",3,IF(J17="word-digit pairs",3,IF(J17="English-Swahili pairs",3,IF(J17="spatial position",3,IF(J17="word pairs",4,IF(J17="word triads",4,IF(J17="generated words",4,IF(J17="word definition pairs",4,IF(J17="math problems",4,IF(J17="famous faces",4,IF(J17="famous names",4,IF(J17="famous voices",4,IF(J17="television programs",4,IF(J17="race horses",4,IF(J17="new vocabulary",4,IF(J17="sentences",5,IF(J17="concepts",5,IF(J17="ad slides",5,IF(J17="scenes",5,IF(J17="famous scenes",5,IF(J17="poems",6,IF(J17="walk",6,IF(J17="faces and events",6,IF(J17="events and names",6,IF(J17="flashbulb",7,IF(J17="stories",7,IF(J17="course material",7,IF(J17="autobiographical",7,IF(J17="novels",7,IF(J17="public events",7,"99"))))))))))))))))))))))))))))))))))))))))))))))</f>
        <v>2</v>
      </c>
      <c r="M17" s="60">
        <v>1</v>
      </c>
      <c r="N17" s="60">
        <v>2</v>
      </c>
      <c r="O17" s="60">
        <v>0</v>
      </c>
      <c r="P17" s="60"/>
      <c r="Q17" s="60" t="s">
        <v>34</v>
      </c>
      <c r="R17" s="60">
        <f>IF(Q17="Free Recall",1,IF(Q17="Cued Recall",2,IF(Q17="Recognition",3,IF(Q17="Multiple Choice",4,IF(Q17="Savings",5,IF(Q17="Stem Completion",6,IF(Q17="Fragment Completion",7,IF(Q17="anagram solution",8,IF(Q17="Matching",9,IF(Q17="Problem Solving",10,"99"))))))))))</f>
        <v>3</v>
      </c>
      <c r="S17" s="60" t="s">
        <v>15</v>
      </c>
      <c r="T17" s="60" t="s">
        <v>261</v>
      </c>
      <c r="U17" s="60">
        <f>IF(T17="within",1,0)</f>
        <v>0</v>
      </c>
      <c r="V17" s="60">
        <v>130</v>
      </c>
      <c r="W17" s="60">
        <f>F17*V17</f>
        <v>50960</v>
      </c>
      <c r="X17" s="60">
        <v>9</v>
      </c>
      <c r="Y17" s="76">
        <f>AV16</f>
        <v>8567280</v>
      </c>
      <c r="Z17" s="60" t="s">
        <v>204</v>
      </c>
      <c r="AA17" s="60">
        <v>1513728000</v>
      </c>
      <c r="AB17" s="60" t="str">
        <f>IF(AA17&lt;60,"1",IF(AA17&lt;=43200,"2",IF(AA17&lt;=777600,"3","4")))</f>
        <v>4</v>
      </c>
      <c r="AC17" s="56">
        <f>AVERAGE(AV16:DA16)</f>
        <v>476868120</v>
      </c>
      <c r="AD17" s="60" t="str">
        <f>IF(AC17&lt;60,"1",IF(AC17&lt;=43200,"2",IF(AC17&lt;=777600,"3","4")))</f>
        <v>4</v>
      </c>
      <c r="AE17" s="76">
        <f>AA17-Y17</f>
        <v>1505160720</v>
      </c>
      <c r="AF17" s="80">
        <f>AV17</f>
        <v>0.91</v>
      </c>
      <c r="AG17" s="56">
        <f>((AW17-AV17)+(AX17-AW17)+(AY17-AX17)+(AZ17-AY17)+(BA17-AZ17)+(BB17-BA17)+(BC17-BB17)+(BD17-BC17))/8</f>
        <v>-1.7500000000000002E-2</v>
      </c>
      <c r="AH17" s="4"/>
      <c r="AI17" s="56">
        <f>RSQ(AV17:BD17,AV16:BD16)</f>
        <v>0.51345650455272251</v>
      </c>
      <c r="AJ17" s="109">
        <f>SLOPE(AV17:BD17,AV16:BD16)</f>
        <v>-1.0279103918610415E-10</v>
      </c>
      <c r="AK17" s="56">
        <f>INTERCEPT(AV17:BD17,AV16:BD16)</f>
        <v>0.89679554738730172</v>
      </c>
      <c r="AL17" s="56">
        <f>INDEX(LINEST(LN(AV17:BD17),LN(AV16:BD16),TRUE,TRUE),3,1)</f>
        <v>0.37062694328995588</v>
      </c>
      <c r="AM17" s="56">
        <f>INDEX(LINEST(LN(AV17:BD17),LN(AV16:BD16)),1)</f>
        <v>-3.1298120737212873E-2</v>
      </c>
      <c r="AN17" s="56">
        <f>EXP(INDEX(LINEST(LN(AV17:BD17),LN(AV16:BD16)),1,2))</f>
        <v>1.5316308133925172</v>
      </c>
      <c r="AO17" s="82">
        <f>INDEX(LINEST((AV17:BD17),LN(AV16:BD16),TRUE,TRUE),3,1)</f>
        <v>0.36315139009192043</v>
      </c>
      <c r="AP17" s="82">
        <f>INDEX(LINEST((AV17:BD17),LN(AV16:BD16)),1)</f>
        <v>-2.5971074519629943E-2</v>
      </c>
      <c r="AQ17" s="83">
        <f>INDEX(LINEST(LN(AV17:BD17),SQRT(AV16:BD16),TRUE,TRUE),3,1)</f>
        <v>0.48091679395508696</v>
      </c>
      <c r="AR17" s="116">
        <f>INDEX(LINEST(LN(AV17:BD17),SQRT((AV16:BD16))),1)</f>
        <v>-4.9385349133153751E-6</v>
      </c>
      <c r="AS17" s="84">
        <f>INDEX(LINEST(1/(AV17:BD17),1/(SQRT(AV16:BD16)),TRUE,TRUE),3,1)</f>
        <v>0.24791411691070406</v>
      </c>
      <c r="AT17" s="84">
        <f>INDEX(LINEST(1/(AV17:BD17),1/SQRT(AV16:BD16)),1)</f>
        <v>-522.33493148958496</v>
      </c>
      <c r="AU17" s="3"/>
      <c r="AV17" s="53">
        <v>0.91</v>
      </c>
      <c r="AW17" s="53">
        <v>0.91</v>
      </c>
      <c r="AX17" s="53">
        <v>0.79</v>
      </c>
      <c r="AY17" s="53">
        <v>0.93</v>
      </c>
      <c r="AZ17" s="53">
        <v>0.87</v>
      </c>
      <c r="BA17" s="53">
        <v>0.93</v>
      </c>
      <c r="BB17" s="53">
        <v>0.78</v>
      </c>
      <c r="BC17" s="53">
        <v>0.74</v>
      </c>
      <c r="BD17" s="53">
        <v>0.77</v>
      </c>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1"/>
      <c r="CS17" s="1"/>
      <c r="CT17" s="1"/>
      <c r="CU17" s="1"/>
    </row>
    <row r="18" spans="1:99" s="13" customFormat="1" ht="12" customHeight="1" x14ac:dyDescent="0.2">
      <c r="A18" s="65">
        <v>43509</v>
      </c>
      <c r="B18" s="1"/>
      <c r="C18" s="1"/>
      <c r="D18" s="60"/>
      <c r="E18" s="76"/>
      <c r="F18" s="60"/>
      <c r="G18" s="60"/>
      <c r="H18" s="60"/>
      <c r="I18" s="60"/>
      <c r="J18" s="60"/>
      <c r="K18" s="64"/>
      <c r="L18" s="64"/>
      <c r="M18" s="60"/>
      <c r="N18" s="60"/>
      <c r="O18" s="60"/>
      <c r="P18" s="60"/>
      <c r="Q18" s="60"/>
      <c r="R18" s="60"/>
      <c r="S18" s="60"/>
      <c r="T18" s="60"/>
      <c r="U18" s="60"/>
      <c r="V18" s="60"/>
      <c r="W18" s="60"/>
      <c r="X18" s="60"/>
      <c r="Y18" s="76"/>
      <c r="Z18" s="60"/>
      <c r="AA18" s="60"/>
      <c r="AB18" s="60"/>
      <c r="AC18" s="60"/>
      <c r="AD18" s="60"/>
      <c r="AE18" s="60"/>
      <c r="AF18" s="80"/>
      <c r="AG18" s="56"/>
      <c r="AH18" s="4"/>
      <c r="AI18" s="56"/>
      <c r="AJ18" s="109"/>
      <c r="AK18" s="56"/>
      <c r="AL18" s="56"/>
      <c r="AM18" s="56"/>
      <c r="AN18" s="56"/>
      <c r="AO18" s="56"/>
      <c r="AP18" s="56"/>
      <c r="AQ18" s="82"/>
      <c r="AR18" s="115"/>
      <c r="AS18" s="82"/>
      <c r="AT18" s="82"/>
      <c r="AU18" s="3"/>
      <c r="AV18" s="25">
        <f>365*24*60*60*3.26/12</f>
        <v>8567280</v>
      </c>
      <c r="AW18" s="25">
        <f>365*24*60*60*9.3/12</f>
        <v>24440400</v>
      </c>
      <c r="AX18" s="25">
        <f>365*24*60*60*23.18/12</f>
        <v>60917040</v>
      </c>
      <c r="AY18" s="25">
        <f>365*24*60*60*45.5/12</f>
        <v>119574000</v>
      </c>
      <c r="AZ18" s="25">
        <f>365*24*60*60*89.08/12</f>
        <v>234102240</v>
      </c>
      <c r="BA18" s="25">
        <f>365*24*60*60*173.56/12</f>
        <v>456115680</v>
      </c>
      <c r="BB18" s="25">
        <f>365*24*60*60*309.61/12</f>
        <v>813655080</v>
      </c>
      <c r="BC18" s="25">
        <f>365*24*60*60*408.89/12</f>
        <v>1074562920</v>
      </c>
      <c r="BD18" s="25">
        <f>365*24*60*60*570.73/12</f>
        <v>1499878440</v>
      </c>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1"/>
      <c r="CS18" s="1"/>
      <c r="CT18" s="1"/>
      <c r="CU18" s="1"/>
    </row>
    <row r="19" spans="1:99" s="13" customFormat="1" ht="12" customHeight="1" x14ac:dyDescent="0.2">
      <c r="A19" s="65">
        <v>43509</v>
      </c>
      <c r="B19" s="1" t="s">
        <v>201</v>
      </c>
      <c r="C19" s="1" t="s">
        <v>202</v>
      </c>
      <c r="D19" s="60">
        <v>1975</v>
      </c>
      <c r="E19" s="76">
        <v>1</v>
      </c>
      <c r="F19" s="60">
        <v>392</v>
      </c>
      <c r="G19" s="60">
        <v>43.6</v>
      </c>
      <c r="H19" s="60" t="s">
        <v>227</v>
      </c>
      <c r="I19" s="60" t="s">
        <v>596</v>
      </c>
      <c r="J19" s="60" t="s">
        <v>313</v>
      </c>
      <c r="K19" s="60">
        <f>IF(J19="syllables",1,IF(J19="trigrams",2,IF(J19="strings",3,IF(J19="visual array",4,IF(J19="characters",5,IF(J19="letters",6,IF(J19="free forms",7,IF(J19="odors",8,IF(J19="words",9,IF(J19="pictures",10,IF(J19="object pictures",11,IF(J19="faces",12,IF(J19="names",13,IF(J19="idioms",14,IF(J19="grades",15,IF(J19="syllable-digit pairs",16,IF(J19="trigram-word pairs",17,IF(J19="word-digit pairs",18,IF(J19="English-Swahili pairs",19,IF(J19="spatial position",20,IF(J19="word pairs",21,IF(J19="word triads",22,IF(J19="generated words",23,IF(J19="word definition pairs",24,IF(J19="math problems",25,IF(J19="famous faces",26,IF(J19="famous names",27,IF(J19="famous voices",28,IF(J19="television programs",29,IF(J19="race horses",30,IF(J19="new vocabulary",31,IF(J19="sentences",32,IF(J19="concepts",33,IF(J19="ad slides",34,IF(J19="scenes",35,IF(J19="famous scenes",36,IF(J19="poems",37,IF(J19="walk",38,IF(J19="faces and events",39,IF(J19="events and names",40,IF(J19="flashbulb",41,IF(J19="stories",42,IF(J19="course material",43,IF(J19="autobiographical",44,IF(J19="novels",45,IF(J19="public events",46,"99"))))))))))))))))))))))))))))))))))))))))))))))</f>
        <v>10</v>
      </c>
      <c r="L19" s="60">
        <f>IF(J19="syllables",1,IF(J19="trigrams",1,IF(J19="strings",1,IF(J19="visual array",1,IF(J19="characters",1,IF(J19="letters",1,IF(J19="free forms",1,IF(J19="odors",2,IF(J19="words",2,IF(J19="pictures",2,IF(J19="object pictures",2,IF(J19="faces",2,IF(J19="names",2,IF(J19="idioms","2",IF(J19="grades",2,IF(J19="syllable-digit pairs",3,IF(J19="trigram-word pairs",3,IF(J19="word-digit pairs",3,IF(J19="English-Swahili pairs",3,IF(J19="spatial position",3,IF(J19="word pairs",4,IF(J19="word triads",4,IF(J19="generated words",4,IF(J19="word definition pairs",4,IF(J19="math problems",4,IF(J19="famous faces",4,IF(J19="famous names",4,IF(J19="famous voices",4,IF(J19="television programs",4,IF(J19="race horses",4,IF(J19="new vocabulary",4,IF(J19="sentences",5,IF(J19="concepts",5,IF(J19="ad slides",5,IF(J19="scenes",5,IF(J19="famous scenes",5,IF(J19="poems",6,IF(J19="walk",6,IF(J19="faces and events",6,IF(J19="events and names",6,IF(J19="flashbulb",7,IF(J19="stories",7,IF(J19="course material",7,IF(J19="autobiographical",7,IF(J19="novels",7,IF(J19="public events",7,"99"))))))))))))))))))))))))))))))))))))))))))))))</f>
        <v>2</v>
      </c>
      <c r="M19" s="60">
        <v>1</v>
      </c>
      <c r="N19" s="60">
        <v>2</v>
      </c>
      <c r="O19" s="60">
        <v>0</v>
      </c>
      <c r="P19" s="60"/>
      <c r="Q19" s="60" t="s">
        <v>34</v>
      </c>
      <c r="R19" s="60">
        <f>IF(Q19="Free Recall",1,IF(Q19="Cued Recall",2,IF(Q19="Recognition",3,IF(Q19="Multiple Choice",4,IF(Q19="Savings",5,IF(Q19="Stem Completion",6,IF(Q19="Fragment Completion",7,IF(Q19="anagram solution",8,IF(Q19="Matching",9,IF(Q19="Problem Solving",10,"99"))))))))))</f>
        <v>3</v>
      </c>
      <c r="S19" s="60" t="s">
        <v>15</v>
      </c>
      <c r="T19" s="60" t="s">
        <v>261</v>
      </c>
      <c r="U19" s="60">
        <f>IF(T19="within",1,0)</f>
        <v>0</v>
      </c>
      <c r="V19" s="60">
        <v>130</v>
      </c>
      <c r="W19" s="60">
        <f>F19*V19</f>
        <v>50960</v>
      </c>
      <c r="X19" s="60">
        <v>9</v>
      </c>
      <c r="Y19" s="76">
        <f>AV18</f>
        <v>8567280</v>
      </c>
      <c r="Z19" s="60" t="s">
        <v>204</v>
      </c>
      <c r="AA19" s="60">
        <v>1513728000</v>
      </c>
      <c r="AB19" s="60" t="str">
        <f>IF(AA19&lt;60,"1",IF(AA19&lt;=43200,"2",IF(AA19&lt;=777600,"3","4")))</f>
        <v>4</v>
      </c>
      <c r="AC19" s="56">
        <f>AVERAGE(AV18:DA18)</f>
        <v>476868120</v>
      </c>
      <c r="AD19" s="60" t="str">
        <f>IF(AC19&lt;60,"1",IF(AC19&lt;=43200,"2",IF(AC19&lt;=777600,"3","4")))</f>
        <v>4</v>
      </c>
      <c r="AE19" s="76">
        <f>AA19-Y19</f>
        <v>1505160720</v>
      </c>
      <c r="AF19" s="80">
        <f>AV19</f>
        <v>0.89</v>
      </c>
      <c r="AG19" s="56">
        <f>((AW19-AV19)+(AX19-AW19)+(AY19-AX19)+(AZ19-AY19)+(BA19-AZ19)+(BB19-BA19)+(BC19-BB19)+(BD19-BC19))/8</f>
        <v>-2.0000000000000004E-2</v>
      </c>
      <c r="AH19" s="4"/>
      <c r="AI19" s="56">
        <f>RSQ(AV19:BD19,AV18:BD18)</f>
        <v>0.17872924954501196</v>
      </c>
      <c r="AJ19" s="109">
        <f>SLOPE(AV19:BD19,AV18:BD18)</f>
        <v>-5.7923880387482679E-11</v>
      </c>
      <c r="AK19" s="56">
        <f>INTERCEPT(AV19:BD19,AV18:BD18)</f>
        <v>0.90762205194348378</v>
      </c>
      <c r="AL19" s="56">
        <f>INDEX(LINEST(LN(AV19:BD19),LN(AV18:BD18),TRUE,TRUE),3,1)</f>
        <v>2.9573196367683185E-2</v>
      </c>
      <c r="AM19" s="56">
        <f>INDEX(LINEST(LN(AV19:BD19),LN(AV18:BD18)),1)</f>
        <v>-8.5133962084087255E-3</v>
      </c>
      <c r="AN19" s="56">
        <f>EXP(INDEX(LINEST(LN(AV19:BD19),LN(AV18:BD18)),1,2))</f>
        <v>1.0311969596540929</v>
      </c>
      <c r="AO19" s="82">
        <f>INDEX(LINEST((AV19:BD19),LN(AV18:BD18),TRUE,TRUE),3,1)</f>
        <v>2.4930438345216931E-2</v>
      </c>
      <c r="AP19" s="82">
        <f>INDEX(LINEST((AV19:BD19),LN(AV18:BD18)),1)</f>
        <v>-6.4993125966708613E-3</v>
      </c>
      <c r="AQ19" s="83">
        <f>INDEX(LINEST(LN(AV19:BD19),SQRT(AV18:BD18),TRUE,TRUE),3,1)</f>
        <v>9.2442512592241302E-2</v>
      </c>
      <c r="AR19" s="116">
        <f>INDEX(LINEST(LN(AV19:BD19),SQRT((AV18:BD18))),1)</f>
        <v>-2.0849851774471761E-6</v>
      </c>
      <c r="AS19" s="84">
        <f>INDEX(LINEST(1/(AV19:BD19),1/(SQRT(AV18:BD18)),TRUE,TRUE),3,1)</f>
        <v>1.2454946694497135E-2</v>
      </c>
      <c r="AT19" s="84">
        <f>INDEX(LINEST(1/(AV19:BD19),1/SQRT(AV18:BD18)),1)</f>
        <v>-113.78381406681143</v>
      </c>
      <c r="AU19" s="3"/>
      <c r="AV19" s="53">
        <v>0.89</v>
      </c>
      <c r="AW19" s="53">
        <v>0.91</v>
      </c>
      <c r="AX19" s="53">
        <v>0.78</v>
      </c>
      <c r="AY19" s="53">
        <v>0.94</v>
      </c>
      <c r="AZ19" s="53">
        <v>0.92</v>
      </c>
      <c r="BA19" s="53">
        <v>0.92</v>
      </c>
      <c r="BB19" s="53">
        <v>0.93</v>
      </c>
      <c r="BC19" s="53">
        <v>0.9</v>
      </c>
      <c r="BD19" s="53">
        <v>0.73</v>
      </c>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1"/>
      <c r="CS19" s="1"/>
      <c r="CT19" s="1"/>
      <c r="CU19" s="1"/>
    </row>
    <row r="20" spans="1:99" s="13" customFormat="1" ht="12" customHeight="1" x14ac:dyDescent="0.2">
      <c r="A20" s="65">
        <v>43509</v>
      </c>
      <c r="B20" s="1"/>
      <c r="C20" s="1"/>
      <c r="D20" s="60"/>
      <c r="E20" s="76"/>
      <c r="F20" s="60"/>
      <c r="G20" s="60"/>
      <c r="H20" s="60"/>
      <c r="I20" s="60"/>
      <c r="J20" s="60"/>
      <c r="K20" s="64"/>
      <c r="L20" s="64"/>
      <c r="M20" s="60"/>
      <c r="N20" s="60"/>
      <c r="O20" s="60"/>
      <c r="P20" s="60"/>
      <c r="Q20" s="60"/>
      <c r="R20" s="60"/>
      <c r="S20" s="60"/>
      <c r="T20" s="60"/>
      <c r="U20" s="60"/>
      <c r="V20" s="60"/>
      <c r="W20" s="60"/>
      <c r="X20" s="60"/>
      <c r="Y20" s="76"/>
      <c r="Z20" s="60"/>
      <c r="AA20" s="60"/>
      <c r="AB20" s="60"/>
      <c r="AC20" s="60"/>
      <c r="AD20" s="60"/>
      <c r="AE20" s="60"/>
      <c r="AF20" s="80"/>
      <c r="AG20" s="56"/>
      <c r="AH20" s="4"/>
      <c r="AI20" s="56"/>
      <c r="AJ20" s="109"/>
      <c r="AK20" s="56"/>
      <c r="AL20" s="56"/>
      <c r="AM20" s="56"/>
      <c r="AN20" s="56"/>
      <c r="AO20" s="56"/>
      <c r="AP20" s="56"/>
      <c r="AQ20" s="82"/>
      <c r="AR20" s="115"/>
      <c r="AS20" s="82"/>
      <c r="AT20" s="82"/>
      <c r="AU20" s="3"/>
      <c r="AV20" s="25">
        <f>365*24*60*60*3.26/12</f>
        <v>8567280</v>
      </c>
      <c r="AW20" s="25">
        <f>365*24*60*60*9.3/12</f>
        <v>24440400</v>
      </c>
      <c r="AX20" s="25">
        <f>365*24*60*60*23.18/12</f>
        <v>60917040</v>
      </c>
      <c r="AY20" s="25">
        <f>365*24*60*60*45.5/12</f>
        <v>119574000</v>
      </c>
      <c r="AZ20" s="25">
        <f>365*24*60*60*89.08/12</f>
        <v>234102240</v>
      </c>
      <c r="BA20" s="25">
        <f>365*24*60*60*173.56/12</f>
        <v>456115680</v>
      </c>
      <c r="BB20" s="25">
        <f>365*24*60*60*309.61/12</f>
        <v>813655080</v>
      </c>
      <c r="BC20" s="25">
        <f>365*24*60*60*408.89/12</f>
        <v>1074562920</v>
      </c>
      <c r="BD20" s="25">
        <f>365*24*60*60*570.73/12</f>
        <v>1499878440</v>
      </c>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1"/>
      <c r="CS20" s="1"/>
      <c r="CT20" s="1"/>
      <c r="CU20" s="1"/>
    </row>
    <row r="21" spans="1:99" s="13" customFormat="1" ht="12" customHeight="1" x14ac:dyDescent="0.2">
      <c r="A21" s="65">
        <v>43509</v>
      </c>
      <c r="B21" s="1" t="s">
        <v>201</v>
      </c>
      <c r="C21" s="1" t="s">
        <v>202</v>
      </c>
      <c r="D21" s="60">
        <v>1975</v>
      </c>
      <c r="E21" s="76">
        <v>1</v>
      </c>
      <c r="F21" s="60">
        <v>392</v>
      </c>
      <c r="G21" s="60">
        <v>43.6</v>
      </c>
      <c r="H21" s="60" t="s">
        <v>227</v>
      </c>
      <c r="I21" s="60" t="s">
        <v>597</v>
      </c>
      <c r="J21" s="60" t="s">
        <v>313</v>
      </c>
      <c r="K21" s="60">
        <f>IF(J21="syllables",1,IF(J21="trigrams",2,IF(J21="strings",3,IF(J21="visual array",4,IF(J21="characters",5,IF(J21="letters",6,IF(J21="free forms",7,IF(J21="odors",8,IF(J21="words",9,IF(J21="pictures",10,IF(J21="object pictures",11,IF(J21="faces",12,IF(J21="names",13,IF(J21="idioms",14,IF(J21="grades",15,IF(J21="syllable-digit pairs",16,IF(J21="trigram-word pairs",17,IF(J21="word-digit pairs",18,IF(J21="English-Swahili pairs",19,IF(J21="spatial position",20,IF(J21="word pairs",21,IF(J21="word triads",22,IF(J21="generated words",23,IF(J21="word definition pairs",24,IF(J21="math problems",25,IF(J21="famous faces",26,IF(J21="famous names",27,IF(J21="famous voices",28,IF(J21="television programs",29,IF(J21="race horses",30,IF(J21="new vocabulary",31,IF(J21="sentences",32,IF(J21="concepts",33,IF(J21="ad slides",34,IF(J21="scenes",35,IF(J21="famous scenes",36,IF(J21="poems",37,IF(J21="walk",38,IF(J21="faces and events",39,IF(J21="events and names",40,IF(J21="flashbulb",41,IF(J21="stories",42,IF(J21="course material",43,IF(J21="autobiographical",44,IF(J21="novels",45,IF(J21="public events",46,"99"))))))))))))))))))))))))))))))))))))))))))))))</f>
        <v>10</v>
      </c>
      <c r="L21" s="60">
        <f>IF(J21="syllables",1,IF(J21="trigrams",1,IF(J21="strings",1,IF(J21="visual array",1,IF(J21="characters",1,IF(J21="letters",1,IF(J21="free forms",1,IF(J21="odors",2,IF(J21="words",2,IF(J21="pictures",2,IF(J21="object pictures",2,IF(J21="faces",2,IF(J21="names",2,IF(J21="idioms","2",IF(J21="grades",2,IF(J21="syllable-digit pairs",3,IF(J21="trigram-word pairs",3,IF(J21="word-digit pairs",3,IF(J21="English-Swahili pairs",3,IF(J21="spatial position",3,IF(J21="word pairs",4,IF(J21="word triads",4,IF(J21="generated words",4,IF(J21="word definition pairs",4,IF(J21="math problems",4,IF(J21="famous faces",4,IF(J21="famous names",4,IF(J21="famous voices",4,IF(J21="television programs",4,IF(J21="race horses",4,IF(J21="new vocabulary",4,IF(J21="sentences",5,IF(J21="concepts",5,IF(J21="ad slides",5,IF(J21="scenes",5,IF(J21="famous scenes",5,IF(J21="poems",6,IF(J21="walk",6,IF(J21="faces and events",6,IF(J21="events and names",6,IF(J21="flashbulb",7,IF(J21="stories",7,IF(J21="course material",7,IF(J21="autobiographical",7,IF(J21="novels",7,IF(J21="public events",7,"99"))))))))))))))))))))))))))))))))))))))))))))))</f>
        <v>2</v>
      </c>
      <c r="M21" s="60">
        <v>1</v>
      </c>
      <c r="N21" s="60">
        <v>2</v>
      </c>
      <c r="O21" s="60">
        <v>0</v>
      </c>
      <c r="P21" s="60"/>
      <c r="Q21" s="60" t="s">
        <v>133</v>
      </c>
      <c r="R21" s="60">
        <f>IF(Q21="Free Recall",1,IF(Q21="Cued Recall",2,IF(Q21="Recognition",3,IF(Q21="Multiple Choice",4,IF(Q21="Savings",5,IF(Q21="Stem Completion",6,IF(Q21="Fragment Completion",7,IF(Q21="anagram solution",8,IF(Q21="Matching",9,IF(Q21="Problem Solving",10,"99"))))))))))</f>
        <v>9</v>
      </c>
      <c r="S21" s="60" t="s">
        <v>15</v>
      </c>
      <c r="T21" s="60" t="s">
        <v>261</v>
      </c>
      <c r="U21" s="60">
        <f>IF(T21="within",1,0)</f>
        <v>0</v>
      </c>
      <c r="V21" s="60">
        <v>5</v>
      </c>
      <c r="W21" s="60">
        <f>F21*V21</f>
        <v>1960</v>
      </c>
      <c r="X21" s="60">
        <v>9</v>
      </c>
      <c r="Y21" s="76">
        <f>AV20</f>
        <v>8567280</v>
      </c>
      <c r="Z21" s="60" t="s">
        <v>204</v>
      </c>
      <c r="AA21" s="60">
        <v>1513728000</v>
      </c>
      <c r="AB21" s="60" t="str">
        <f>IF(AA21&lt;60,"1",IF(AA21&lt;=43200,"2",IF(AA21&lt;=777600,"3","4")))</f>
        <v>4</v>
      </c>
      <c r="AC21" s="56">
        <f>AVERAGE(AV20:DA20)</f>
        <v>476868120</v>
      </c>
      <c r="AD21" s="60" t="str">
        <f>IF(AC21&lt;60,"1",IF(AC21&lt;=43200,"2",IF(AC21&lt;=777600,"3","4")))</f>
        <v>4</v>
      </c>
      <c r="AE21" s="76">
        <f>AA21-Y21</f>
        <v>1505160720</v>
      </c>
      <c r="AF21" s="80">
        <f>AV21</f>
        <v>0.88</v>
      </c>
      <c r="AG21" s="56">
        <f>((AW21-AV21)+(AX21-AW21)+(AY21-AX21)+(AZ21-AY21)+(BA21-AZ21)+(BB21-BA21)+(BC21-BB21)+(BD21-BC21))/8</f>
        <v>-2.3750000000000007E-2</v>
      </c>
      <c r="AH21" s="4"/>
      <c r="AI21" s="56">
        <f>RSQ(AV21:BD21,AV20:BD20)</f>
        <v>0.39173725515018781</v>
      </c>
      <c r="AJ21" s="109">
        <f>SLOPE(AV21:BD21,AV20:BD20)</f>
        <v>-8.8190274620311761E-11</v>
      </c>
      <c r="AK21" s="56">
        <f>INTERCEPT(AV21:BD21,AV20:BD20)</f>
        <v>0.90316624157158298</v>
      </c>
      <c r="AL21" s="56">
        <f>INDEX(LINEST(LN(AV21:BD21),LN(AV20:BD20),TRUE,TRUE),3,1)</f>
        <v>0.1625545445069948</v>
      </c>
      <c r="AM21" s="56">
        <f>INDEX(LINEST(LN(AV21:BD21),LN(AV20:BD20)),1)</f>
        <v>-2.101185512065248E-2</v>
      </c>
      <c r="AN21" s="56">
        <f>EXP(INDEX(LINEST(LN(AV21:BD21),LN(AV20:BD20)),1,2))</f>
        <v>1.2793447286659043</v>
      </c>
      <c r="AO21" s="82">
        <f>INDEX(LINEST((AV21:BD21),LN(AV20:BD20),TRUE,TRUE),3,1)</f>
        <v>0.15502060230550416</v>
      </c>
      <c r="AP21" s="82">
        <f>INDEX(LINEST((AV21:BD21),LN(AV20:BD20)),1)</f>
        <v>-1.6667121570380691E-2</v>
      </c>
      <c r="AQ21" s="83">
        <f>INDEX(LINEST(LN(AV21:BD21),SQRT(AV20:BD20),TRUE,TRUE),3,1)</f>
        <v>0.29382745662737797</v>
      </c>
      <c r="AR21" s="116">
        <f>INDEX(LINEST(LN(AV21:BD21),SQRT((AV20:BD20))),1)</f>
        <v>-3.9131312695514376E-6</v>
      </c>
      <c r="AS21" s="84">
        <f>INDEX(LINEST(1/(AV21:BD21),1/(SQRT(AV20:BD20)),TRUE,TRUE),3,1)</f>
        <v>7.3883489813693887E-2</v>
      </c>
      <c r="AT21" s="84">
        <f>INDEX(LINEST(1/(AV21:BD21),1/SQRT(AV20:BD20)),1)</f>
        <v>-300.68758420624727</v>
      </c>
      <c r="AU21" s="3"/>
      <c r="AV21" s="53">
        <v>0.88</v>
      </c>
      <c r="AW21" s="53">
        <v>0.9</v>
      </c>
      <c r="AX21" s="53">
        <v>0.82</v>
      </c>
      <c r="AY21" s="53">
        <v>0.97</v>
      </c>
      <c r="AZ21" s="53">
        <v>0.86</v>
      </c>
      <c r="BA21" s="53">
        <v>0.87</v>
      </c>
      <c r="BB21" s="53">
        <v>0.87</v>
      </c>
      <c r="BC21" s="53">
        <v>0.89</v>
      </c>
      <c r="BD21" s="53">
        <v>0.69</v>
      </c>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1"/>
      <c r="CS21" s="1"/>
      <c r="CT21" s="1"/>
      <c r="CU21" s="1"/>
    </row>
    <row r="22" spans="1:99" s="13" customFormat="1" ht="12" customHeight="1" x14ac:dyDescent="0.2">
      <c r="A22" s="65">
        <v>43509</v>
      </c>
      <c r="B22" s="1"/>
      <c r="C22" s="1"/>
      <c r="D22" s="60"/>
      <c r="E22" s="76"/>
      <c r="F22" s="60"/>
      <c r="G22" s="60"/>
      <c r="H22" s="60"/>
      <c r="I22" s="60"/>
      <c r="J22" s="60"/>
      <c r="K22" s="64"/>
      <c r="L22" s="64"/>
      <c r="M22" s="60"/>
      <c r="N22" s="60"/>
      <c r="O22" s="60"/>
      <c r="P22" s="60"/>
      <c r="Q22" s="60"/>
      <c r="R22" s="60"/>
      <c r="S22" s="60"/>
      <c r="T22" s="60"/>
      <c r="U22" s="60"/>
      <c r="V22" s="60"/>
      <c r="W22" s="60"/>
      <c r="X22" s="60"/>
      <c r="Y22" s="76"/>
      <c r="Z22" s="60"/>
      <c r="AA22" s="60"/>
      <c r="AB22" s="60"/>
      <c r="AC22" s="60"/>
      <c r="AD22" s="60"/>
      <c r="AE22" s="60"/>
      <c r="AF22" s="80"/>
      <c r="AG22" s="56"/>
      <c r="AH22" s="4"/>
      <c r="AI22" s="56"/>
      <c r="AJ22" s="109"/>
      <c r="AK22" s="56"/>
      <c r="AL22" s="56"/>
      <c r="AM22" s="56"/>
      <c r="AN22" s="56"/>
      <c r="AO22" s="56"/>
      <c r="AP22" s="56"/>
      <c r="AQ22" s="82"/>
      <c r="AR22" s="115"/>
      <c r="AS22" s="82"/>
      <c r="AT22" s="82"/>
      <c r="AU22" s="3"/>
      <c r="AV22" s="25">
        <f>365*24*60*60*3.26/12</f>
        <v>8567280</v>
      </c>
      <c r="AW22" s="25">
        <f>365*24*60*60*9.3/12</f>
        <v>24440400</v>
      </c>
      <c r="AX22" s="25">
        <f>365*24*60*60*23.18/12</f>
        <v>60917040</v>
      </c>
      <c r="AY22" s="25">
        <f>365*24*60*60*45.5/12</f>
        <v>119574000</v>
      </c>
      <c r="AZ22" s="25">
        <f>365*24*60*60*89.08/12</f>
        <v>234102240</v>
      </c>
      <c r="BA22" s="25">
        <f>365*24*60*60*173.56/12</f>
        <v>456115680</v>
      </c>
      <c r="BB22" s="25">
        <f>365*24*60*60*309.61/12</f>
        <v>813655080</v>
      </c>
      <c r="BC22" s="25">
        <f>365*24*60*60*408.89/12</f>
        <v>1074562920</v>
      </c>
      <c r="BD22" s="25">
        <f>365*24*60*60*570.73/12</f>
        <v>1499878440</v>
      </c>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1"/>
      <c r="CS22" s="1"/>
      <c r="CT22" s="1"/>
      <c r="CU22" s="1"/>
    </row>
    <row r="23" spans="1:99" s="13" customFormat="1" ht="12" customHeight="1" x14ac:dyDescent="0.2">
      <c r="A23" s="65">
        <v>43509</v>
      </c>
      <c r="B23" s="1" t="s">
        <v>201</v>
      </c>
      <c r="C23" s="1" t="s">
        <v>202</v>
      </c>
      <c r="D23" s="60">
        <v>1975</v>
      </c>
      <c r="E23" s="76">
        <v>1</v>
      </c>
      <c r="F23" s="60">
        <v>392</v>
      </c>
      <c r="G23" s="60">
        <v>43.6</v>
      </c>
      <c r="H23" s="60" t="s">
        <v>227</v>
      </c>
      <c r="I23" s="60" t="s">
        <v>594</v>
      </c>
      <c r="J23" s="60" t="s">
        <v>599</v>
      </c>
      <c r="K23" s="60">
        <f>IF(J23="syllables",1,IF(J23="trigrams",2,IF(J23="strings",3,IF(J23="visual array",4,IF(J23="characters",5,IF(J23="letters",6,IF(J23="free forms",7,IF(J23="odors",8,IF(J23="words",9,IF(J23="pictures",10,IF(J23="object pictures",11,IF(J23="faces",12,IF(J23="names",13,IF(J23="idioms",14,IF(J23="grades",15,IF(J23="syllable-digit pairs",16,IF(J23="trigram-word pairs",17,IF(J23="word-digit pairs",18,IF(J23="English-Swahili pairs",19,IF(J23="spatial position",20,IF(J23="word pairs",21,IF(J23="word triads",22,IF(J23="generated words",23,IF(J23="word definition pairs",24,IF(J23="math problems",25,IF(J23="famous faces",26,IF(J23="famous names",27,IF(J23="famous voices",28,IF(J23="television programs",29,IF(J23="race horses",30,IF(J23="new vocabulary",31,IF(J23="sentences",32,IF(J23="concepts",33,IF(J23="ad slides",34,IF(J23="scenes",35,IF(J23="famous scenes",36,IF(J23="poems",37,IF(J23="walk",38,IF(J23="faces and events",39,IF(J23="events and names",40,IF(J23="flashbulb",41,IF(J23="stories",42,IF(J23="course material",43,IF(J23="autobiographical",44,IF(J23="novels",45,IF(J23="public events",46,"99"))))))))))))))))))))))))))))))))))))))))))))))</f>
        <v>13</v>
      </c>
      <c r="L23" s="60">
        <f>IF(J23="syllables",1,IF(J23="trigrams",1,IF(J23="strings",1,IF(J23="visual array",1,IF(J23="characters",1,IF(J23="letters",1,IF(J23="free forms",1,IF(J23="odors",2,IF(J23="words",2,IF(J23="pictures",2,IF(J23="object pictures",2,IF(J23="faces",2,IF(J23="names",2,IF(J23="idioms","2",IF(J23="grades",2,IF(J23="syllable-digit pairs",3,IF(J23="trigram-word pairs",3,IF(J23="word-digit pairs",3,IF(J23="English-Swahili pairs",3,IF(J23="spatial position",3,IF(J23="word pairs",4,IF(J23="word triads",4,IF(J23="generated words",4,IF(J23="word definition pairs",4,IF(J23="math problems",4,IF(J23="famous faces",4,IF(J23="famous names",4,IF(J23="famous voices",4,IF(J23="television programs",4,IF(J23="race horses",4,IF(J23="new vocabulary",4,IF(J23="sentences",5,IF(J23="concepts",5,IF(J23="ad slides",5,IF(J23="scenes",5,IF(J23="famous scenes",5,IF(J23="poems",6,IF(J23="walk",6,IF(J23="faces and events",6,IF(J23="events and names",6,IF(J23="flashbulb",7,IF(J23="stories",7,IF(J23="course material",7,IF(J23="autobiographical",7,IF(J23="novels",7,IF(J23="public events",7,"99"))))))))))))))))))))))))))))))))))))))))))))))</f>
        <v>2</v>
      </c>
      <c r="M23" s="60">
        <v>1</v>
      </c>
      <c r="N23" s="60">
        <v>2</v>
      </c>
      <c r="O23" s="60">
        <v>0</v>
      </c>
      <c r="P23" s="60"/>
      <c r="Q23" s="60" t="s">
        <v>133</v>
      </c>
      <c r="R23" s="60">
        <f>IF(Q23="Free Recall",1,IF(Q23="Cued Recall",2,IF(Q23="Recognition",3,IF(Q23="Multiple Choice",4,IF(Q23="Savings",5,IF(Q23="Stem Completion",6,IF(Q23="Fragment Completion",7,IF(Q23="anagram solution",8,IF(Q23="Matching",9,IF(Q23="Problem Solving",10,"99"))))))))))</f>
        <v>9</v>
      </c>
      <c r="S23" s="60" t="s">
        <v>15</v>
      </c>
      <c r="T23" s="60" t="s">
        <v>261</v>
      </c>
      <c r="U23" s="60">
        <f>IF(T23="within",1,0)</f>
        <v>0</v>
      </c>
      <c r="V23" s="60">
        <v>10</v>
      </c>
      <c r="W23" s="60">
        <f>F23*V23</f>
        <v>3920</v>
      </c>
      <c r="X23" s="60">
        <v>9</v>
      </c>
      <c r="Y23" s="76">
        <f>AV22</f>
        <v>8567280</v>
      </c>
      <c r="Z23" s="60" t="s">
        <v>204</v>
      </c>
      <c r="AA23" s="60">
        <v>1513728000</v>
      </c>
      <c r="AB23" s="60" t="str">
        <f>IF(AA23&lt;60,"1",IF(AA23&lt;=43200,"2",IF(AA23&lt;=777600,"3","4")))</f>
        <v>4</v>
      </c>
      <c r="AC23" s="56">
        <f>AVERAGE(AV22:DA22)</f>
        <v>476868120</v>
      </c>
      <c r="AD23" s="60" t="str">
        <f>IF(AC23&lt;60,"1",IF(AC23&lt;=43200,"2",IF(AC23&lt;=777600,"3","4")))</f>
        <v>4</v>
      </c>
      <c r="AE23" s="76">
        <f>AA23-Y23</f>
        <v>1505160720</v>
      </c>
      <c r="AF23" s="80">
        <f>AV23</f>
        <v>0.9</v>
      </c>
      <c r="AG23" s="56">
        <f>((AW23-AV23)+(AX23-AW23)+(AY23-AX23)+(AZ23-AY23)+(BA23-AZ23)+(BB23-BA23)+(BC23-BB23)+(BD23-BC23))/8</f>
        <v>-3.8750000000000007E-2</v>
      </c>
      <c r="AH23" s="4"/>
      <c r="AI23" s="56">
        <f>RSQ(AV23:BD23,AV22:BD22)</f>
        <v>0.89704057102656654</v>
      </c>
      <c r="AJ23" s="109">
        <f>SLOPE(AV23:BD23,AV22:BD22)</f>
        <v>-2.0518040336869323E-10</v>
      </c>
      <c r="AK23" s="56">
        <f>INTERCEPT(AV23:BD23,AV22:BD22)</f>
        <v>0.93784399321527034</v>
      </c>
      <c r="AL23" s="56">
        <f>INDEX(LINEST(LN(AV23:BD23),LN(AV22:BD22),TRUE,TRUE),3,1)</f>
        <v>0.5254836652462358</v>
      </c>
      <c r="AM23" s="56">
        <f>INDEX(LINEST(LN(AV23:BD23),LN(AV22:BD22)),1)</f>
        <v>-6.1910155377298333E-2</v>
      </c>
      <c r="AN23" s="56">
        <f>EXP(INDEX(LINEST(LN(AV23:BD23),LN(AV22:BD22)),1,2))</f>
        <v>2.7001343201081487</v>
      </c>
      <c r="AO23" s="82">
        <f>INDEX(LINEST((AV23:BD23),LN(AV22:BD22),TRUE,TRUE),3,1)</f>
        <v>0.55521723255639721</v>
      </c>
      <c r="AP23" s="82">
        <f>INDEX(LINEST((AV23:BD23),LN(AV22:BD22)),1)</f>
        <v>-4.8495779147293652E-2</v>
      </c>
      <c r="AQ23" s="83">
        <f>INDEX(LINEST(LN(AV23:BD23),SQRT(AV22:BD22),TRUE,TRUE),3,1)</f>
        <v>0.76201027511983987</v>
      </c>
      <c r="AR23" s="116">
        <f>INDEX(LINEST(LN(AV23:BD23),SQRT((AV22:BD22))),1)</f>
        <v>-1.0327045408208397E-5</v>
      </c>
      <c r="AS23" s="84">
        <f>INDEX(LINEST(1/(AV23:BD23),1/(SQRT(AV22:BD22)),TRUE,TRUE),3,1)</f>
        <v>0.24923498853250242</v>
      </c>
      <c r="AT23" s="84">
        <f>INDEX(LINEST(1/(AV23:BD23),1/SQRT(AV22:BD22)),1)</f>
        <v>-974.43582402973823</v>
      </c>
      <c r="AU23" s="3"/>
      <c r="AV23" s="53">
        <v>0.9</v>
      </c>
      <c r="AW23" s="53">
        <v>0.96</v>
      </c>
      <c r="AX23" s="53">
        <v>0.9</v>
      </c>
      <c r="AY23" s="53">
        <v>0.92</v>
      </c>
      <c r="AZ23" s="53">
        <v>0.85</v>
      </c>
      <c r="BA23" s="53">
        <v>0.91</v>
      </c>
      <c r="BB23" s="53">
        <v>0.79</v>
      </c>
      <c r="BC23" s="53">
        <v>0.74</v>
      </c>
      <c r="BD23" s="53">
        <v>0.59</v>
      </c>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1"/>
      <c r="CS23" s="1"/>
      <c r="CT23" s="1"/>
      <c r="CU23" s="1"/>
    </row>
    <row r="24" spans="1:99" s="13" customFormat="1" ht="12" customHeight="1" x14ac:dyDescent="0.2">
      <c r="A24" s="65">
        <v>43509</v>
      </c>
      <c r="B24" s="1"/>
      <c r="C24" s="1"/>
      <c r="D24" s="60"/>
      <c r="E24" s="76"/>
      <c r="F24" s="60"/>
      <c r="G24" s="60"/>
      <c r="H24" s="60"/>
      <c r="I24" s="60"/>
      <c r="J24" s="60"/>
      <c r="K24" s="64"/>
      <c r="L24" s="64"/>
      <c r="M24" s="60"/>
      <c r="N24" s="60"/>
      <c r="O24" s="60"/>
      <c r="P24" s="60"/>
      <c r="Q24" s="60"/>
      <c r="R24" s="60"/>
      <c r="S24" s="60"/>
      <c r="T24" s="60"/>
      <c r="U24" s="60"/>
      <c r="V24" s="60"/>
      <c r="W24" s="60"/>
      <c r="X24" s="60"/>
      <c r="Y24" s="76"/>
      <c r="Z24" s="60"/>
      <c r="AA24" s="60"/>
      <c r="AB24" s="60"/>
      <c r="AC24" s="60"/>
      <c r="AD24" s="60"/>
      <c r="AE24" s="60"/>
      <c r="AF24" s="80"/>
      <c r="AG24" s="56"/>
      <c r="AH24" s="4"/>
      <c r="AI24" s="56"/>
      <c r="AJ24" s="109"/>
      <c r="AK24" s="56"/>
      <c r="AL24" s="56"/>
      <c r="AM24" s="56"/>
      <c r="AN24" s="56"/>
      <c r="AO24" s="56"/>
      <c r="AP24" s="56"/>
      <c r="AQ24" s="82"/>
      <c r="AR24" s="115"/>
      <c r="AS24" s="82"/>
      <c r="AT24" s="82"/>
      <c r="AU24" s="3"/>
      <c r="AV24" s="25">
        <f>365*24*60*60*3.26/12</f>
        <v>8567280</v>
      </c>
      <c r="AW24" s="25">
        <f>365*24*60*60*9.3/12</f>
        <v>24440400</v>
      </c>
      <c r="AX24" s="25">
        <f>365*24*60*60*23.18/12</f>
        <v>60917040</v>
      </c>
      <c r="AY24" s="25">
        <f>365*24*60*60*45.5/12</f>
        <v>119574000</v>
      </c>
      <c r="AZ24" s="25">
        <f>365*24*60*60*89.08/12</f>
        <v>234102240</v>
      </c>
      <c r="BA24" s="25">
        <f>365*24*60*60*173.56/12</f>
        <v>456115680</v>
      </c>
      <c r="BB24" s="25">
        <f>365*24*60*60*309.61/12</f>
        <v>813655080</v>
      </c>
      <c r="BC24" s="25">
        <f>365*24*60*60*408.89/12</f>
        <v>1074562920</v>
      </c>
      <c r="BD24" s="25">
        <f>365*24*60*60*570.73/12</f>
        <v>1499878440</v>
      </c>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1"/>
      <c r="CS24" s="1"/>
      <c r="CT24" s="1"/>
      <c r="CU24" s="1"/>
    </row>
    <row r="25" spans="1:99" s="13" customFormat="1" ht="12" customHeight="1" x14ac:dyDescent="0.2">
      <c r="A25" s="65">
        <v>43509</v>
      </c>
      <c r="B25" s="1" t="s">
        <v>201</v>
      </c>
      <c r="C25" s="1" t="s">
        <v>202</v>
      </c>
      <c r="D25" s="60">
        <v>1975</v>
      </c>
      <c r="E25" s="76">
        <v>1</v>
      </c>
      <c r="F25" s="60">
        <v>392</v>
      </c>
      <c r="G25" s="60">
        <v>43.6</v>
      </c>
      <c r="H25" s="60" t="s">
        <v>227</v>
      </c>
      <c r="I25" s="60" t="s">
        <v>598</v>
      </c>
      <c r="J25" s="60" t="s">
        <v>313</v>
      </c>
      <c r="K25" s="60">
        <f>IF(J25="syllables",1,IF(J25="trigrams",2,IF(J25="strings",3,IF(J25="visual array",4,IF(J25="characters",5,IF(J25="letters",6,IF(J25="free forms",7,IF(J25="odors",8,IF(J25="words",9,IF(J25="pictures",10,IF(J25="object pictures",11,IF(J25="faces",12,IF(J25="names",13,IF(J25="idioms",14,IF(J25="grades",15,IF(J25="syllable-digit pairs",16,IF(J25="trigram-word pairs",17,IF(J25="word-digit pairs",18,IF(J25="English-Swahili pairs",19,IF(J25="spatial position",20,IF(J25="word pairs",21,IF(J25="word triads",22,IF(J25="generated words",23,IF(J25="word definition pairs",24,IF(J25="math problems",25,IF(J25="famous faces",26,IF(J25="famous names",27,IF(J25="famous voices",28,IF(J25="television programs",29,IF(J25="race horses",30,IF(J25="new vocabulary",31,IF(J25="sentences",32,IF(J25="concepts",33,IF(J25="ad slides",34,IF(J25="scenes",35,IF(J25="famous scenes",36,IF(J25="poems",37,IF(J25="walk",38,IF(J25="faces and events",39,IF(J25="events and names",40,IF(J25="flashbulb",41,IF(J25="stories",42,IF(J25="course material",43,IF(J25="autobiographical",44,IF(J25="novels",45,IF(J25="public events",46,"99"))))))))))))))))))))))))))))))))))))))))))))))</f>
        <v>10</v>
      </c>
      <c r="L25" s="60">
        <f>IF(J25="syllables",1,IF(J25="trigrams",1,IF(J25="strings",1,IF(J25="visual array",1,IF(J25="characters",1,IF(J25="letters",1,IF(J25="free forms",1,IF(J25="odors",2,IF(J25="words",2,IF(J25="pictures",2,IF(J25="object pictures",2,IF(J25="faces",2,IF(J25="names",2,IF(J25="idioms","2",IF(J25="grades",2,IF(J25="syllable-digit pairs",3,IF(J25="trigram-word pairs",3,IF(J25="word-digit pairs",3,IF(J25="English-Swahili pairs",3,IF(J25="spatial position",3,IF(J25="word pairs",4,IF(J25="word triads",4,IF(J25="generated words",4,IF(J25="word definition pairs",4,IF(J25="math problems",4,IF(J25="famous faces",4,IF(J25="famous names",4,IF(J25="famous voices",4,IF(J25="television programs",4,IF(J25="race horses",4,IF(J25="new vocabulary",4,IF(J25="sentences",5,IF(J25="concepts",5,IF(J25="ad slides",5,IF(J25="scenes",5,IF(J25="famous scenes",5,IF(J25="poems",6,IF(J25="walk",6,IF(J25="faces and events",6,IF(J25="events and names",6,IF(J25="flashbulb",7,IF(J25="stories",7,IF(J25="course material",7,IF(J25="autobiographical",7,IF(J25="novels",7,IF(J25="public events",7,"99"))))))))))))))))))))))))))))))))))))))))))))))</f>
        <v>2</v>
      </c>
      <c r="M25" s="60">
        <v>1</v>
      </c>
      <c r="N25" s="60">
        <v>2</v>
      </c>
      <c r="O25" s="60">
        <v>0</v>
      </c>
      <c r="P25" s="60"/>
      <c r="Q25" s="59" t="s">
        <v>65</v>
      </c>
      <c r="R25" s="60">
        <f>IF(Q25="Free Recall",1,IF(Q25="Cued Recall",2,IF(Q25="Recognition",3,IF(Q25="Multiple Choice",4,IF(Q25="Savings",5,IF(Q25="Stem Completion",6,IF(Q25="Fragment Completion",7,IF(Q25="anagram solution",8,IF(Q25="Matching",9,IF(Q25="Problem Solving",10,"99"))))))))))</f>
        <v>2</v>
      </c>
      <c r="S25" s="60" t="s">
        <v>20</v>
      </c>
      <c r="T25" s="60" t="s">
        <v>261</v>
      </c>
      <c r="U25" s="60">
        <f>IF(T25="within",1,0)</f>
        <v>0</v>
      </c>
      <c r="V25" s="60">
        <v>10</v>
      </c>
      <c r="W25" s="60">
        <f>F25*V25</f>
        <v>3920</v>
      </c>
      <c r="X25" s="60">
        <v>9</v>
      </c>
      <c r="Y25" s="76">
        <f>AV24</f>
        <v>8567280</v>
      </c>
      <c r="Z25" s="60" t="s">
        <v>204</v>
      </c>
      <c r="AA25" s="60">
        <v>1513728000</v>
      </c>
      <c r="AB25" s="60" t="str">
        <f>IF(AA25&lt;60,"1",IF(AA25&lt;=43200,"2",IF(AA25&lt;=777600,"3","4")))</f>
        <v>4</v>
      </c>
      <c r="AC25" s="56">
        <f>AVERAGE(AV24:DA24)</f>
        <v>476868120</v>
      </c>
      <c r="AD25" s="60" t="str">
        <f>IF(AC25&lt;60,"1",IF(AC25&lt;=43200,"2",IF(AC25&lt;=777600,"3","4")))</f>
        <v>4</v>
      </c>
      <c r="AE25" s="76">
        <f>AA25-Y25</f>
        <v>1505160720</v>
      </c>
      <c r="AF25" s="80">
        <f>AV25</f>
        <v>0.68</v>
      </c>
      <c r="AG25" s="56">
        <f>((AW25-AV25)+(AX25-AW25)+(AY25-AX25)+(AZ25-AY25)+(BA25-AZ25)+(BB25-BA25)+(BC25-BB25)+(BD25-BC25))/8</f>
        <v>-6.25E-2</v>
      </c>
      <c r="AH25" s="4"/>
      <c r="AI25" s="56">
        <f>RSQ(AV25:BD25,AV24:BD24)</f>
        <v>0.4828856041031685</v>
      </c>
      <c r="AJ25" s="109">
        <f>SLOPE(AV25:BD25,AV24:BD24)</f>
        <v>-2.0298394304099969E-10</v>
      </c>
      <c r="AK25" s="56">
        <f>INTERCEPT(AV25:BD25,AV24:BD24)</f>
        <v>0.58901879353037079</v>
      </c>
      <c r="AL25" s="56">
        <f>INDEX(LINEST(LN(AV25:BD25),LN(AV24:BD24),TRUE,TRUE),3,1)</f>
        <v>0.32657819428049367</v>
      </c>
      <c r="AM25" s="56">
        <f>INDEX(LINEST(LN(AV25:BD25),LN(AV24:BD24)),1)</f>
        <v>-0.13119101181828052</v>
      </c>
      <c r="AN25" s="56">
        <f>EXP(INDEX(LINEST(LN(AV25:BD25),LN(AV24:BD24)),1,2))</f>
        <v>5.6054800961255076</v>
      </c>
      <c r="AO25" s="82">
        <f>INDEX(LINEST((AV25:BD25),LN(AV24:BD24),TRUE,TRUE),3,1)</f>
        <v>0.38310211910932651</v>
      </c>
      <c r="AP25" s="82">
        <f>INDEX(LINEST((AV25:BD25),LN(AV24:BD24)),1)</f>
        <v>-5.431746194827871E-2</v>
      </c>
      <c r="AQ25" s="83">
        <f>INDEX(LINEST(LN(AV25:BD25),SQRT(AV24:BD24),TRUE,TRUE),3,1)</f>
        <v>0.42625862691096617</v>
      </c>
      <c r="AR25" s="116">
        <f>INDEX(LINEST(LN(AV25:BD25),SQRT((AV24:BD24))),1)</f>
        <v>-2.0761583283413699E-5</v>
      </c>
      <c r="AS25" s="84">
        <f>INDEX(LINEST(1/(AV25:BD25),1/(SQRT(AV24:BD24)),TRUE,TRUE),3,1)</f>
        <v>0.16929334276131006</v>
      </c>
      <c r="AT25" s="84">
        <f>INDEX(LINEST(1/(AV25:BD25),1/SQRT(AV24:BD24)),1)</f>
        <v>-4988.6667216331871</v>
      </c>
      <c r="AU25" s="3"/>
      <c r="AV25" s="53">
        <v>0.68</v>
      </c>
      <c r="AW25" s="53">
        <v>0.59</v>
      </c>
      <c r="AX25" s="53">
        <v>0.36</v>
      </c>
      <c r="AY25" s="53">
        <v>0.64</v>
      </c>
      <c r="AZ25" s="53">
        <v>0.56999999999999995</v>
      </c>
      <c r="BA25" s="53">
        <v>0.41</v>
      </c>
      <c r="BB25" s="53">
        <v>0.53</v>
      </c>
      <c r="BC25" s="53">
        <v>0.47</v>
      </c>
      <c r="BD25" s="53">
        <v>0.18</v>
      </c>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1"/>
      <c r="CS25" s="1"/>
      <c r="CT25" s="1"/>
      <c r="CU25" s="1"/>
    </row>
    <row r="26" spans="1:99" s="13" customFormat="1" ht="12" customHeight="1" x14ac:dyDescent="0.2">
      <c r="A26" s="68">
        <v>43509</v>
      </c>
      <c r="B26" s="70"/>
      <c r="C26" s="70"/>
      <c r="D26" s="69"/>
      <c r="E26" s="87"/>
      <c r="F26" s="69"/>
      <c r="G26" s="69"/>
      <c r="H26" s="69"/>
      <c r="I26" s="69"/>
      <c r="J26" s="69"/>
      <c r="K26" s="107"/>
      <c r="L26" s="107"/>
      <c r="M26" s="69"/>
      <c r="N26" s="69"/>
      <c r="O26" s="69"/>
      <c r="P26" s="69"/>
      <c r="Q26" s="69"/>
      <c r="R26" s="69"/>
      <c r="S26" s="69"/>
      <c r="T26" s="69"/>
      <c r="U26" s="69"/>
      <c r="V26" s="69"/>
      <c r="W26" s="69"/>
      <c r="X26" s="69"/>
      <c r="Y26" s="87"/>
      <c r="Z26" s="69"/>
      <c r="AA26" s="69"/>
      <c r="AB26" s="69"/>
      <c r="AC26" s="69"/>
      <c r="AD26" s="69"/>
      <c r="AE26" s="69"/>
      <c r="AF26" s="88"/>
      <c r="AG26" s="72"/>
      <c r="AH26" s="4"/>
      <c r="AI26" s="72"/>
      <c r="AJ26" s="110"/>
      <c r="AK26" s="72"/>
      <c r="AL26" s="72"/>
      <c r="AM26" s="72"/>
      <c r="AN26" s="72"/>
      <c r="AO26" s="72"/>
      <c r="AP26" s="72"/>
      <c r="AQ26" s="89"/>
      <c r="AR26" s="118"/>
      <c r="AS26" s="89"/>
      <c r="AT26" s="89"/>
      <c r="AU26" s="3"/>
      <c r="AV26" s="71">
        <f>24*60*60</f>
        <v>86400</v>
      </c>
      <c r="AW26" s="71">
        <f>365*24*60*60*14/12</f>
        <v>36792000</v>
      </c>
      <c r="AX26" s="71">
        <f>365*24*60*60*44/12</f>
        <v>115632000</v>
      </c>
      <c r="AY26" s="71">
        <f>365*24*60*60*76/12</f>
        <v>199728000</v>
      </c>
      <c r="AZ26" s="71">
        <f>365*24*60*60*126/12</f>
        <v>331128000</v>
      </c>
      <c r="BA26" s="71">
        <f>365*24*60*60*179/12</f>
        <v>470412000</v>
      </c>
      <c r="BB26" s="71">
        <f>365*24*60*60*249/12</f>
        <v>654372000</v>
      </c>
      <c r="BC26" s="71">
        <f>365*24*60*60*341/12</f>
        <v>896148000</v>
      </c>
      <c r="BD26" s="71">
        <f>365*24*60*60*556/12</f>
        <v>1461168000</v>
      </c>
      <c r="BE26" s="53"/>
      <c r="BF26" s="53" t="s">
        <v>506</v>
      </c>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1"/>
      <c r="CS26" s="1"/>
      <c r="CT26" s="1"/>
      <c r="CU26" s="1"/>
    </row>
    <row r="27" spans="1:99" s="13" customFormat="1" ht="12" customHeight="1" x14ac:dyDescent="0.2">
      <c r="A27" s="68">
        <v>43509</v>
      </c>
      <c r="B27" s="70" t="s">
        <v>205</v>
      </c>
      <c r="C27" s="70" t="s">
        <v>206</v>
      </c>
      <c r="D27" s="69">
        <v>1983</v>
      </c>
      <c r="E27" s="87">
        <v>1</v>
      </c>
      <c r="F27" s="69">
        <v>851</v>
      </c>
      <c r="G27" s="69">
        <v>106.4</v>
      </c>
      <c r="H27" s="69" t="s">
        <v>44</v>
      </c>
      <c r="I27" s="69" t="s">
        <v>600</v>
      </c>
      <c r="J27" s="69" t="s">
        <v>599</v>
      </c>
      <c r="K27" s="69">
        <f>IF(J27="syllables",1,IF(J27="trigrams",2,IF(J27="strings",3,IF(J27="visual array",4,IF(J27="characters",5,IF(J27="letters",6,IF(J27="free forms",7,IF(J27="odors",8,IF(J27="words",9,IF(J27="pictures",10,IF(J27="object pictures",11,IF(J27="faces",12,IF(J27="names",13,IF(J27="idioms",14,IF(J27="grades",15,IF(J27="syllable-digit pairs",16,IF(J27="trigram-word pairs",17,IF(J27="word-digit pairs",18,IF(J27="English-Swahili pairs",19,IF(J27="spatial position",20,IF(J27="word pairs",21,IF(J27="word triads",22,IF(J27="generated words",23,IF(J27="word definition pairs",24,IF(J27="math problems",25,IF(J27="famous faces",26,IF(J27="famous names",27,IF(J27="famous voices",28,IF(J27="television programs",29,IF(J27="race horses",30,IF(J27="new vocabulary",31,IF(J27="sentences",32,IF(J27="concepts",33,IF(J27="ad slides",34,IF(J27="scenes",35,IF(J27="famous scenes",36,IF(J27="poems",37,IF(J27="walk",38,IF(J27="faces and events",39,IF(J27="events and names",40,IF(J27="flashbulb",41,IF(J27="stories",42,IF(J27="course material",43,IF(J27="autobiographical",44,IF(J27="novels",45,IF(J27="public events",46,"99"))))))))))))))))))))))))))))))))))))))))))))))</f>
        <v>13</v>
      </c>
      <c r="L27" s="69">
        <f>IF(J27="syllables",1,IF(J27="trigrams",1,IF(J27="strings",1,IF(J27="visual array",1,IF(J27="characters",1,IF(J27="letters",1,IF(J27="free forms",1,IF(J27="odors",2,IF(J27="words",2,IF(J27="pictures",2,IF(J27="object pictures",2,IF(J27="faces",2,IF(J27="names",2,IF(J27="idioms","2",IF(J27="grades",2,IF(J27="syllable-digit pairs",3,IF(J27="trigram-word pairs",3,IF(J27="word-digit pairs",3,IF(J27="English-Swahili pairs",3,IF(J27="spatial position",3,IF(J27="word pairs",4,IF(J27="word triads",4,IF(J27="generated words",4,IF(J27="word definition pairs",4,IF(J27="math problems",4,IF(J27="famous faces",4,IF(J27="famous names",4,IF(J27="famous voices",4,IF(J27="television programs",4,IF(J27="race horses",4,IF(J27="new vocabulary",4,IF(J27="sentences",5,IF(J27="concepts",5,IF(J27="ad slides",5,IF(J27="scenes",5,IF(J27="famous scenes",5,IF(J27="poems",6,IF(J27="walk",6,IF(J27="faces and events",6,IF(J27="events and names",6,IF(J27="flashbulb",7,IF(J27="stories",7,IF(J27="course material",7,IF(J27="autobiographical",7,IF(J27="novels",7,IF(J27="public events",7,"99"))))))))))))))))))))))))))))))))))))))))))))))</f>
        <v>2</v>
      </c>
      <c r="M27" s="69">
        <v>1</v>
      </c>
      <c r="N27" s="69">
        <v>2</v>
      </c>
      <c r="O27" s="69">
        <v>0</v>
      </c>
      <c r="P27" s="69"/>
      <c r="Q27" s="92" t="s">
        <v>174</v>
      </c>
      <c r="R27" s="69">
        <f>IF(Q27="Free Recall",1,IF(Q27="Cued Recall",2,IF(Q27="Recognition",3,IF(Q27="Multiple Choice",4,IF(Q27="Savings",5,IF(Q27="Stem Completion",6,IF(Q27="Fragment Completion",7,IF(Q27="anagram solution",8,IF(Q27="Matching",9,IF(Q27="Problem Solving",10,"99"))))))))))</f>
        <v>1</v>
      </c>
      <c r="S27" s="69" t="s">
        <v>15</v>
      </c>
      <c r="T27" s="69" t="s">
        <v>261</v>
      </c>
      <c r="U27" s="69">
        <f>IF(T27="within",1,0)</f>
        <v>0</v>
      </c>
      <c r="V27" s="69">
        <v>30</v>
      </c>
      <c r="W27" s="69">
        <f>F27*V27</f>
        <v>25530</v>
      </c>
      <c r="X27" s="69">
        <v>9</v>
      </c>
      <c r="Y27" s="87">
        <f>AV26</f>
        <v>86400</v>
      </c>
      <c r="Z27" s="69" t="s">
        <v>207</v>
      </c>
      <c r="AA27" s="69">
        <v>1450656000</v>
      </c>
      <c r="AB27" s="69" t="str">
        <f>IF(AA27&lt;60,"1",IF(AA27&lt;=43200,"2",IF(AA27&lt;=777600,"3","4")))</f>
        <v>4</v>
      </c>
      <c r="AC27" s="72">
        <f>AVERAGE(AV26:DA26)</f>
        <v>462829600</v>
      </c>
      <c r="AD27" s="69" t="str">
        <f>IF(AC27&lt;60,"1",IF(AC27&lt;=43200,"2",IF(AC27&lt;=777600,"3","4")))</f>
        <v>4</v>
      </c>
      <c r="AE27" s="87">
        <f>AA27-Y27</f>
        <v>1450569600</v>
      </c>
      <c r="AF27" s="88">
        <f>AV27</f>
        <v>0.98699999999999999</v>
      </c>
      <c r="AG27" s="72">
        <f>((AW27-AV27)+(AX27-AW27)+(AY27-AX27)+(AZ27-AY27)+(BA27-AZ27)+(BB27-BA27)+(BC27-BB27)+(BD27-BC27))/8</f>
        <v>-8.4624999999999978E-2</v>
      </c>
      <c r="AH27" s="4"/>
      <c r="AI27" s="72">
        <f>RSQ(AV27:BD27,AV26:BD26)</f>
        <v>0.20458877223278307</v>
      </c>
      <c r="AJ27" s="110">
        <f>SLOPE(AV27:BD27,AV26:BD26)</f>
        <v>-2.4546812782017294E-10</v>
      </c>
      <c r="AK27" s="72">
        <f>INTERCEPT(AV27:BD27,AV26:BD26)</f>
        <v>0.50160991541175948</v>
      </c>
      <c r="AL27" s="72">
        <f>INDEX(LINEST(LN(AV27:BD27),LN(AV26:BD26),TRUE,TRUE),3,1)</f>
        <v>0.76396234437934052</v>
      </c>
      <c r="AM27" s="72">
        <f>INDEX(LINEST(LN(AV27:BD27),LN(AV26:BD26)),1)</f>
        <v>-0.15126571288944954</v>
      </c>
      <c r="AN27" s="72">
        <f>EXP(INDEX(LINEST(LN(AV27:BD27),LN(AV26:BD26)),1,2))</f>
        <v>5.6863915136905945</v>
      </c>
      <c r="AO27" s="89">
        <f>INDEX(LINEST((AV27:BD27),LN(AV26:BD26),TRUE,TRUE),3,1)</f>
        <v>0.86510872326203003</v>
      </c>
      <c r="AP27" s="89">
        <f>INDEX(LINEST((AV27:BD27),LN(AV26:BD26)),1)</f>
        <v>-8.1455871591126369E-2</v>
      </c>
      <c r="AQ27" s="90">
        <f>INDEX(LINEST(LN(AV27:BD27),SQRT(AV26:BD26),TRUE,TRUE),3,1)</f>
        <v>0.42130846634695546</v>
      </c>
      <c r="AR27" s="117">
        <f>INDEX(LINEST(LN(AV27:BD27),SQRT((AV26:BD26))),1)</f>
        <v>-2.7781197583420251E-5</v>
      </c>
      <c r="AS27" s="91">
        <f>INDEX(LINEST(1/(AV27:BD27),1/(SQRT(AV26:BD26)),TRUE,TRUE),3,1)</f>
        <v>0.51496226666801093</v>
      </c>
      <c r="AT27" s="91">
        <f>INDEX(LINEST(1/(AV27:BD27),1/SQRT(AV26:BD26)),1)</f>
        <v>-776.78468636958155</v>
      </c>
      <c r="AU27" s="3"/>
      <c r="AV27" s="73">
        <v>0.98699999999999999</v>
      </c>
      <c r="AW27" s="73">
        <v>0.64600000000000002</v>
      </c>
      <c r="AX27" s="73">
        <v>0.30499999999999999</v>
      </c>
      <c r="AY27" s="73">
        <v>0.23300000000000001</v>
      </c>
      <c r="AZ27" s="73">
        <v>0.22</v>
      </c>
      <c r="BA27" s="73">
        <v>0.252</v>
      </c>
      <c r="BB27" s="73">
        <v>0.26700000000000002</v>
      </c>
      <c r="BC27" s="73">
        <v>0.27200000000000002</v>
      </c>
      <c r="BD27" s="73">
        <v>0.31</v>
      </c>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1"/>
      <c r="CS27" s="1"/>
      <c r="CT27" s="1"/>
      <c r="CU27" s="1"/>
    </row>
    <row r="28" spans="1:99" s="13" customFormat="1" ht="12" customHeight="1" x14ac:dyDescent="0.2">
      <c r="A28" s="68">
        <v>43509</v>
      </c>
      <c r="B28" s="70"/>
      <c r="C28" s="70"/>
      <c r="D28" s="69"/>
      <c r="E28" s="87"/>
      <c r="F28" s="69"/>
      <c r="G28" s="69"/>
      <c r="H28" s="69"/>
      <c r="I28" s="69"/>
      <c r="J28" s="69"/>
      <c r="K28" s="107"/>
      <c r="L28" s="107"/>
      <c r="M28" s="69"/>
      <c r="N28" s="69"/>
      <c r="O28" s="69"/>
      <c r="P28" s="69"/>
      <c r="Q28" s="69"/>
      <c r="R28" s="69"/>
      <c r="S28" s="69"/>
      <c r="T28" s="69"/>
      <c r="U28" s="69"/>
      <c r="V28" s="69"/>
      <c r="W28" s="69"/>
      <c r="X28" s="69"/>
      <c r="Y28" s="87"/>
      <c r="Z28" s="69"/>
      <c r="AA28" s="69"/>
      <c r="AB28" s="69"/>
      <c r="AC28" s="69"/>
      <c r="AD28" s="69"/>
      <c r="AE28" s="69"/>
      <c r="AF28" s="88"/>
      <c r="AG28" s="72"/>
      <c r="AH28" s="4"/>
      <c r="AI28" s="72"/>
      <c r="AJ28" s="110"/>
      <c r="AK28" s="72"/>
      <c r="AL28" s="72"/>
      <c r="AM28" s="72"/>
      <c r="AN28" s="72"/>
      <c r="AO28" s="72"/>
      <c r="AP28" s="72"/>
      <c r="AQ28" s="89"/>
      <c r="AR28" s="118"/>
      <c r="AS28" s="89"/>
      <c r="AT28" s="89"/>
      <c r="AU28" s="3"/>
      <c r="AV28" s="71">
        <f>24*60*60</f>
        <v>86400</v>
      </c>
      <c r="AW28" s="71">
        <f>365*24*60*60*14/12</f>
        <v>36792000</v>
      </c>
      <c r="AX28" s="71">
        <f>365*24*60*60*44/12</f>
        <v>115632000</v>
      </c>
      <c r="AY28" s="71">
        <f>365*24*60*60*76/12</f>
        <v>199728000</v>
      </c>
      <c r="AZ28" s="71">
        <f>365*24*60*60*126/12</f>
        <v>331128000</v>
      </c>
      <c r="BA28" s="71">
        <f>365*24*60*60*179/12</f>
        <v>470412000</v>
      </c>
      <c r="BB28" s="71">
        <f>365*24*60*60*249/12</f>
        <v>654372000</v>
      </c>
      <c r="BC28" s="71">
        <f>365*24*60*60*341/12</f>
        <v>896148000</v>
      </c>
      <c r="BD28" s="71">
        <f>365*24*60*60*556/12</f>
        <v>1461168000</v>
      </c>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1"/>
      <c r="CS28" s="1"/>
      <c r="CT28" s="1"/>
      <c r="CU28" s="1"/>
    </row>
    <row r="29" spans="1:99" s="13" customFormat="1" ht="12" customHeight="1" x14ac:dyDescent="0.2">
      <c r="A29" s="68">
        <v>43509</v>
      </c>
      <c r="B29" s="70" t="s">
        <v>205</v>
      </c>
      <c r="C29" s="70" t="s">
        <v>206</v>
      </c>
      <c r="D29" s="69">
        <v>1983</v>
      </c>
      <c r="E29" s="87">
        <v>1</v>
      </c>
      <c r="F29" s="69">
        <v>851</v>
      </c>
      <c r="G29" s="69">
        <v>106.4</v>
      </c>
      <c r="H29" s="69" t="s">
        <v>44</v>
      </c>
      <c r="I29" s="69" t="s">
        <v>601</v>
      </c>
      <c r="J29" s="69" t="s">
        <v>599</v>
      </c>
      <c r="K29" s="69">
        <f>IF(J29="syllables",1,IF(J29="trigrams",2,IF(J29="strings",3,IF(J29="visual array",4,IF(J29="characters",5,IF(J29="letters",6,IF(J29="free forms",7,IF(J29="odors",8,IF(J29="words",9,IF(J29="pictures",10,IF(J29="object pictures",11,IF(J29="faces",12,IF(J29="names",13,IF(J29="idioms",14,IF(J29="grades",15,IF(J29="syllable-digit pairs",16,IF(J29="trigram-word pairs",17,IF(J29="word-digit pairs",18,IF(J29="English-Swahili pairs",19,IF(J29="spatial position",20,IF(J29="word pairs",21,IF(J29="word triads",22,IF(J29="generated words",23,IF(J29="word definition pairs",24,IF(J29="math problems",25,IF(J29="famous faces",26,IF(J29="famous names",27,IF(J29="famous voices",28,IF(J29="television programs",29,IF(J29="race horses",30,IF(J29="new vocabulary",31,IF(J29="sentences",32,IF(J29="concepts",33,IF(J29="ad slides",34,IF(J29="scenes",35,IF(J29="famous scenes",36,IF(J29="poems",37,IF(J29="walk",38,IF(J29="faces and events",39,IF(J29="events and names",40,IF(J29="flashbulb",41,IF(J29="stories",42,IF(J29="course material",43,IF(J29="autobiographical",44,IF(J29="novels",45,IF(J29="public events",46,"99"))))))))))))))))))))))))))))))))))))))))))))))</f>
        <v>13</v>
      </c>
      <c r="L29" s="69">
        <f>IF(J29="syllables",1,IF(J29="trigrams",1,IF(J29="strings",1,IF(J29="visual array",1,IF(J29="characters",1,IF(J29="letters",1,IF(J29="free forms",1,IF(J29="odors",2,IF(J29="words",2,IF(J29="pictures",2,IF(J29="object pictures",2,IF(J29="faces",2,IF(J29="names",2,IF(J29="idioms","2",IF(J29="grades",2,IF(J29="syllable-digit pairs",3,IF(J29="trigram-word pairs",3,IF(J29="word-digit pairs",3,IF(J29="English-Swahili pairs",3,IF(J29="spatial position",3,IF(J29="word pairs",4,IF(J29="word triads",4,IF(J29="generated words",4,IF(J29="word definition pairs",4,IF(J29="math problems",4,IF(J29="famous faces",4,IF(J29="famous names",4,IF(J29="famous voices",4,IF(J29="television programs",4,IF(J29="race horses",4,IF(J29="new vocabulary",4,IF(J29="sentences",5,IF(J29="concepts",5,IF(J29="ad slides",5,IF(J29="scenes",5,IF(J29="famous scenes",5,IF(J29="poems",6,IF(J29="walk",6,IF(J29="faces and events",6,IF(J29="events and names",6,IF(J29="flashbulb",7,IF(J29="stories",7,IF(J29="course material",7,IF(J29="autobiographical",7,IF(J29="novels",7,IF(J29="public events",7,"99"))))))))))))))))))))))))))))))))))))))))))))))</f>
        <v>2</v>
      </c>
      <c r="M29" s="69">
        <v>1</v>
      </c>
      <c r="N29" s="69">
        <v>2</v>
      </c>
      <c r="O29" s="69">
        <v>0</v>
      </c>
      <c r="P29" s="69"/>
      <c r="Q29" s="69" t="s">
        <v>133</v>
      </c>
      <c r="R29" s="69">
        <f>IF(Q29="Free Recall",1,IF(Q29="Cued Recall",2,IF(Q29="Recognition",3,IF(Q29="Multiple Choice",4,IF(Q29="Savings",5,IF(Q29="Stem Completion",6,IF(Q29="Fragment Completion",7,IF(Q29="anagram solution",8,IF(Q29="Matching",9,IF(Q29="Problem Solving",10,"99"))))))))))</f>
        <v>9</v>
      </c>
      <c r="S29" s="69" t="s">
        <v>15</v>
      </c>
      <c r="T29" s="69" t="s">
        <v>261</v>
      </c>
      <c r="U29" s="69">
        <f>IF(T29="within",1,0)</f>
        <v>0</v>
      </c>
      <c r="V29" s="69">
        <v>27</v>
      </c>
      <c r="W29" s="69">
        <f>F29*V29</f>
        <v>22977</v>
      </c>
      <c r="X29" s="69">
        <v>9</v>
      </c>
      <c r="Y29" s="87">
        <f>AV28</f>
        <v>86400</v>
      </c>
      <c r="Z29" s="69" t="s">
        <v>207</v>
      </c>
      <c r="AA29" s="69">
        <v>1450656000</v>
      </c>
      <c r="AB29" s="69" t="str">
        <f>IF(AA29&lt;60,"1",IF(AA29&lt;=43200,"2",IF(AA29&lt;=777600,"3","4")))</f>
        <v>4</v>
      </c>
      <c r="AC29" s="72">
        <f>AVERAGE(AV28:DA28)</f>
        <v>462829600</v>
      </c>
      <c r="AD29" s="69" t="str">
        <f>IF(AC29&lt;60,"1",IF(AC29&lt;=43200,"2",IF(AC29&lt;=777600,"3","4")))</f>
        <v>4</v>
      </c>
      <c r="AE29" s="87">
        <f>AA29-Y29</f>
        <v>1450569600</v>
      </c>
      <c r="AF29" s="88">
        <f>AV29</f>
        <v>0.98699999999999999</v>
      </c>
      <c r="AG29" s="72">
        <f>((AW29-AV29)+(AX29-AW29)+(AY29-AX29)+(AZ29-AY29)+(BA29-AZ29)+(BB29-BA29)+(BC29-BB29)+(BD29-BC29))/8</f>
        <v>-9.4375000000000014E-2</v>
      </c>
      <c r="AH29" s="4"/>
      <c r="AI29" s="72">
        <f>RSQ(AV29:BD29,AV28:BD28)</f>
        <v>0.40465320063876148</v>
      </c>
      <c r="AJ29" s="110">
        <f>SLOPE(AV29:BD29,AV28:BD28)</f>
        <v>-3.6491123716119366E-10</v>
      </c>
      <c r="AK29" s="72">
        <f>INTERCEPT(AV29:BD29,AV28:BD28)</f>
        <v>0.56811394415304262</v>
      </c>
      <c r="AL29" s="72">
        <f>INDEX(LINEST(LN(AV29:BD29),LN(AV28:BD28),TRUE,TRUE),3,1)</f>
        <v>0.80617869089388561</v>
      </c>
      <c r="AM29" s="72">
        <f>INDEX(LINEST(LN(AV29:BD29),LN(AV28:BD28)),1)</f>
        <v>-0.17438629115214344</v>
      </c>
      <c r="AN29" s="72">
        <f>EXP(INDEX(LINEST(LN(AV29:BD29),LN(AV28:BD28)),1,2))</f>
        <v>8.7815837273991804</v>
      </c>
      <c r="AO29" s="89">
        <f>INDEX(LINEST((AV29:BD29),LN(AV28:BD28),TRUE,TRUE),3,1)</f>
        <v>0.90258592740258659</v>
      </c>
      <c r="AP29" s="89">
        <f>INDEX(LINEST((AV29:BD29),LN(AV28:BD28)),1)</f>
        <v>-8.7947371396810151E-2</v>
      </c>
      <c r="AQ29" s="90">
        <f>INDEX(LINEST(LN(AV29:BD29),SQRT(AV28:BD28),TRUE,TRUE),3,1)</f>
        <v>0.76082935964823983</v>
      </c>
      <c r="AR29" s="117">
        <f>INDEX(LINEST(LN(AV29:BD29),SQRT((AV28:BD28))),1)</f>
        <v>-4.1897360479706004E-5</v>
      </c>
      <c r="AS29" s="91">
        <f>INDEX(LINEST(1/(AV29:BD29),1/(SQRT(AV28:BD28)),TRUE,TRUE),3,1)</f>
        <v>0.38454203044529994</v>
      </c>
      <c r="AT29" s="91">
        <f>INDEX(LINEST(1/(AV29:BD29),1/SQRT(AV28:BD28)),1)</f>
        <v>-821.76653242255657</v>
      </c>
      <c r="AU29" s="3"/>
      <c r="AV29" s="73">
        <v>0.98699999999999999</v>
      </c>
      <c r="AW29" s="73">
        <v>0.70799999999999996</v>
      </c>
      <c r="AX29" s="73">
        <v>0.43099999999999999</v>
      </c>
      <c r="AY29" s="73">
        <v>0.35299999999999998</v>
      </c>
      <c r="AZ29" s="73">
        <v>0.222</v>
      </c>
      <c r="BA29" s="73">
        <v>0.23799999999999999</v>
      </c>
      <c r="BB29" s="73">
        <v>0.214</v>
      </c>
      <c r="BC29" s="73">
        <v>0.20799999999999999</v>
      </c>
      <c r="BD29" s="73">
        <v>0.23200000000000001</v>
      </c>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1"/>
      <c r="CS29" s="1"/>
      <c r="CT29" s="1"/>
      <c r="CU29" s="1"/>
    </row>
    <row r="30" spans="1:99" s="13" customFormat="1" ht="12" customHeight="1" x14ac:dyDescent="0.2">
      <c r="A30" s="68">
        <v>43509</v>
      </c>
      <c r="B30" s="70"/>
      <c r="C30" s="70"/>
      <c r="D30" s="69"/>
      <c r="E30" s="87"/>
      <c r="F30" s="69"/>
      <c r="G30" s="69"/>
      <c r="H30" s="69"/>
      <c r="I30" s="69"/>
      <c r="J30" s="69"/>
      <c r="K30" s="107"/>
      <c r="L30" s="107"/>
      <c r="M30" s="69"/>
      <c r="N30" s="69"/>
      <c r="O30" s="69"/>
      <c r="P30" s="69"/>
      <c r="Q30" s="69"/>
      <c r="R30" s="69"/>
      <c r="S30" s="69"/>
      <c r="T30" s="69"/>
      <c r="U30" s="69"/>
      <c r="V30" s="69"/>
      <c r="W30" s="69"/>
      <c r="X30" s="69"/>
      <c r="Y30" s="87"/>
      <c r="Z30" s="69"/>
      <c r="AA30" s="69"/>
      <c r="AB30" s="69"/>
      <c r="AC30" s="69"/>
      <c r="AD30" s="69"/>
      <c r="AE30" s="69"/>
      <c r="AF30" s="88"/>
      <c r="AG30" s="72"/>
      <c r="AH30" s="4"/>
      <c r="AI30" s="72"/>
      <c r="AJ30" s="110"/>
      <c r="AK30" s="72"/>
      <c r="AL30" s="72"/>
      <c r="AM30" s="72"/>
      <c r="AN30" s="72"/>
      <c r="AO30" s="72"/>
      <c r="AP30" s="72"/>
      <c r="AQ30" s="89"/>
      <c r="AR30" s="118"/>
      <c r="AS30" s="89"/>
      <c r="AT30" s="89"/>
      <c r="AU30" s="3"/>
      <c r="AV30" s="71">
        <f>24*60*60</f>
        <v>86400</v>
      </c>
      <c r="AW30" s="71">
        <f>365*24*60*60*14/12</f>
        <v>36792000</v>
      </c>
      <c r="AX30" s="71">
        <f>365*24*60*60*44/12</f>
        <v>115632000</v>
      </c>
      <c r="AY30" s="71">
        <f>365*24*60*60*76/12</f>
        <v>199728000</v>
      </c>
      <c r="AZ30" s="71">
        <f>365*24*60*60*126/12</f>
        <v>331128000</v>
      </c>
      <c r="BA30" s="71">
        <f>365*24*60*60*179/12</f>
        <v>470412000</v>
      </c>
      <c r="BB30" s="71">
        <f>365*24*60*60*249/12</f>
        <v>654372000</v>
      </c>
      <c r="BC30" s="71">
        <f>365*24*60*60*341/12</f>
        <v>896148000</v>
      </c>
      <c r="BD30" s="71">
        <f>365*24*60*60*556/12</f>
        <v>1461168000</v>
      </c>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1"/>
      <c r="CS30" s="1"/>
      <c r="CT30" s="1"/>
      <c r="CU30" s="1"/>
    </row>
    <row r="31" spans="1:99" s="13" customFormat="1" ht="12" customHeight="1" x14ac:dyDescent="0.2">
      <c r="A31" s="68">
        <v>43509</v>
      </c>
      <c r="B31" s="70" t="s">
        <v>205</v>
      </c>
      <c r="C31" s="70" t="s">
        <v>206</v>
      </c>
      <c r="D31" s="69">
        <v>1983</v>
      </c>
      <c r="E31" s="87">
        <v>1</v>
      </c>
      <c r="F31" s="69">
        <v>851</v>
      </c>
      <c r="G31" s="69">
        <v>106.4</v>
      </c>
      <c r="H31" s="69" t="s">
        <v>44</v>
      </c>
      <c r="I31" s="69" t="s">
        <v>602</v>
      </c>
      <c r="J31" s="69" t="s">
        <v>599</v>
      </c>
      <c r="K31" s="69">
        <f>IF(J31="syllables",1,IF(J31="trigrams",2,IF(J31="strings",3,IF(J31="visual array",4,IF(J31="characters",5,IF(J31="letters",6,IF(J31="free forms",7,IF(J31="odors",8,IF(J31="words",9,IF(J31="pictures",10,IF(J31="object pictures",11,IF(J31="faces",12,IF(J31="names",13,IF(J31="idioms",14,IF(J31="grades",15,IF(J31="syllable-digit pairs",16,IF(J31="trigram-word pairs",17,IF(J31="word-digit pairs",18,IF(J31="English-Swahili pairs",19,IF(J31="spatial position",20,IF(J31="word pairs",21,IF(J31="word triads",22,IF(J31="generated words",23,IF(J31="word definition pairs",24,IF(J31="math problems",25,IF(J31="famous faces",26,IF(J31="famous names",27,IF(J31="famous voices",28,IF(J31="television programs",29,IF(J31="race horses",30,IF(J31="new vocabulary",31,IF(J31="sentences",32,IF(J31="concepts",33,IF(J31="ad slides",34,IF(J31="scenes",35,IF(J31="famous scenes",36,IF(J31="poems",37,IF(J31="walk",38,IF(J31="faces and events",39,IF(J31="events and names",40,IF(J31="flashbulb",41,IF(J31="stories",42,IF(J31="course material",43,IF(J31="autobiographical",44,IF(J31="novels",45,IF(J31="public events",46,"99"))))))))))))))))))))))))))))))))))))))))))))))</f>
        <v>13</v>
      </c>
      <c r="L31" s="69">
        <f>IF(J31="syllables",1,IF(J31="trigrams",1,IF(J31="strings",1,IF(J31="visual array",1,IF(J31="characters",1,IF(J31="letters",1,IF(J31="free forms",1,IF(J31="odors",2,IF(J31="words",2,IF(J31="pictures",2,IF(J31="object pictures",2,IF(J31="faces",2,IF(J31="names",2,IF(J31="idioms","2",IF(J31="grades",2,IF(J31="syllable-digit pairs",3,IF(J31="trigram-word pairs",3,IF(J31="word-digit pairs",3,IF(J31="English-Swahili pairs",3,IF(J31="spatial position",3,IF(J31="word pairs",4,IF(J31="word triads",4,IF(J31="generated words",4,IF(J31="word definition pairs",4,IF(J31="math problems",4,IF(J31="famous faces",4,IF(J31="famous names",4,IF(J31="famous voices",4,IF(J31="television programs",4,IF(J31="race horses",4,IF(J31="new vocabulary",4,IF(J31="sentences",5,IF(J31="concepts",5,IF(J31="ad slides",5,IF(J31="scenes",5,IF(J31="famous scenes",5,IF(J31="poems",6,IF(J31="walk",6,IF(J31="faces and events",6,IF(J31="events and names",6,IF(J31="flashbulb",7,IF(J31="stories",7,IF(J31="course material",7,IF(J31="autobiographical",7,IF(J31="novels",7,IF(J31="public events",7,"99"))))))))))))))))))))))))))))))))))))))))))))))</f>
        <v>2</v>
      </c>
      <c r="M31" s="69">
        <v>1</v>
      </c>
      <c r="N31" s="69">
        <v>2</v>
      </c>
      <c r="O31" s="69">
        <v>0</v>
      </c>
      <c r="P31" s="69"/>
      <c r="Q31" s="69" t="s">
        <v>65</v>
      </c>
      <c r="R31" s="69">
        <f>IF(Q31="Free Recall",1,IF(Q31="Cued Recall",2,IF(Q31="Recognition",3,IF(Q31="Multiple Choice",4,IF(Q31="Savings",5,IF(Q31="Stem Completion",6,IF(Q31="Fragment Completion",7,IF(Q31="anagram solution",8,IF(Q31="Matching",9,IF(Q31="Problem Solving",10,"99"))))))))))</f>
        <v>2</v>
      </c>
      <c r="S31" s="69" t="s">
        <v>15</v>
      </c>
      <c r="T31" s="69" t="s">
        <v>261</v>
      </c>
      <c r="U31" s="69">
        <f>IF(T31="within",1,0)</f>
        <v>0</v>
      </c>
      <c r="V31" s="69">
        <v>20</v>
      </c>
      <c r="W31" s="69">
        <f>F31*V31</f>
        <v>17020</v>
      </c>
      <c r="X31" s="69">
        <v>9</v>
      </c>
      <c r="Y31" s="87">
        <f>AV30</f>
        <v>86400</v>
      </c>
      <c r="Z31" s="69" t="s">
        <v>207</v>
      </c>
      <c r="AA31" s="69">
        <v>1450656000</v>
      </c>
      <c r="AB31" s="69" t="str">
        <f>IF(AA31&lt;60,"1",IF(AA31&lt;=43200,"2",IF(AA31&lt;=777600,"3","4")))</f>
        <v>4</v>
      </c>
      <c r="AC31" s="72">
        <f>AVERAGE(AV30:DA30)</f>
        <v>462829600</v>
      </c>
      <c r="AD31" s="69" t="str">
        <f>IF(AC31&lt;60,"1",IF(AC31&lt;=43200,"2",IF(AC31&lt;=777600,"3","4")))</f>
        <v>4</v>
      </c>
      <c r="AE31" s="87">
        <f>AA31-Y31</f>
        <v>1450569600</v>
      </c>
      <c r="AF31" s="88">
        <f>AV31</f>
        <v>0.98499999999999999</v>
      </c>
      <c r="AG31" s="72">
        <f>((AW31-AV31)+(AX31-AW31)+(AY31-AX31)+(AZ31-AY31)+(BA31-AZ31)+(BB31-BA31)+(BC31-BB31)+(BD31-BC31))/8</f>
        <v>-0.11412499999999999</v>
      </c>
      <c r="AH31" s="4"/>
      <c r="AI31" s="72">
        <f>RSQ(AV31:BD31,AV30:BD30)</f>
        <v>0.32000952625137474</v>
      </c>
      <c r="AJ31" s="110">
        <f>SLOPE(AV31:BD31,AV30:BD30)</f>
        <v>-3.5659992325411255E-10</v>
      </c>
      <c r="AK31" s="72">
        <f>INTERCEPT(AV31:BD31,AV30:BD30)</f>
        <v>0.43504499983973166</v>
      </c>
      <c r="AL31" s="72">
        <f>INDEX(LINEST(LN(AV31:BD31),LN(AV30:BD30),TRUE,TRUE),3,1)</f>
        <v>0.82433181774276076</v>
      </c>
      <c r="AM31" s="72">
        <f>INDEX(LINEST(LN(AV31:BD31),LN(AV30:BD30)),1)</f>
        <v>-0.26139512516214641</v>
      </c>
      <c r="AN31" s="72">
        <f>EXP(INDEX(LINEST(LN(AV31:BD31),LN(AV30:BD30)),1,2))</f>
        <v>24.175344597564418</v>
      </c>
      <c r="AO31" s="89">
        <f>INDEX(LINEST((AV31:BD31),LN(AV30:BD30),TRUE,TRUE),3,1)</f>
        <v>0.93948914036949649</v>
      </c>
      <c r="AP31" s="89">
        <f>INDEX(LINEST((AV31:BD31),LN(AV30:BD30)),1)</f>
        <v>-9.8600362447390122E-2</v>
      </c>
      <c r="AQ31" s="90">
        <f>INDEX(LINEST(LN(AV31:BD31),SQRT(AV30:BD30),TRUE,TRUE),3,1)</f>
        <v>0.73428733692810078</v>
      </c>
      <c r="AR31" s="117">
        <f>INDEX(LINEST(LN(AV31:BD31),SQRT((AV30:BD30))),1)</f>
        <v>-6.1013483275753766E-5</v>
      </c>
      <c r="AS31" s="91">
        <f>INDEX(LINEST(1/(AV31:BD31),1/(SQRT(AV30:BD30)),TRUE,TRUE),3,1)</f>
        <v>0.31811838256742819</v>
      </c>
      <c r="AT31" s="91">
        <f>INDEX(LINEST(1/(AV31:BD31),1/SQRT(AV30:BD30)),1)</f>
        <v>-2097.2777719735609</v>
      </c>
      <c r="AU31" s="3"/>
      <c r="AV31" s="73">
        <v>0.98499999999999999</v>
      </c>
      <c r="AW31" s="73">
        <v>0.52600000000000002</v>
      </c>
      <c r="AX31" s="73">
        <v>0.16700000000000001</v>
      </c>
      <c r="AY31" s="73">
        <v>0.20899999999999999</v>
      </c>
      <c r="AZ31" s="73">
        <v>9.6000000000000002E-2</v>
      </c>
      <c r="BA31" s="73">
        <v>0.13</v>
      </c>
      <c r="BB31" s="73">
        <v>9.9000000000000005E-2</v>
      </c>
      <c r="BC31" s="73">
        <v>0.14599999999999999</v>
      </c>
      <c r="BD31" s="73">
        <v>7.1999999999999995E-2</v>
      </c>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1"/>
      <c r="CS31" s="1"/>
      <c r="CT31" s="1"/>
      <c r="CU31" s="1"/>
    </row>
    <row r="32" spans="1:99" s="13" customFormat="1" ht="12" customHeight="1" x14ac:dyDescent="0.2">
      <c r="A32" s="68">
        <v>43509</v>
      </c>
      <c r="B32" s="70"/>
      <c r="C32" s="70"/>
      <c r="D32" s="69"/>
      <c r="E32" s="87"/>
      <c r="F32" s="69"/>
      <c r="G32" s="69"/>
      <c r="H32" s="69"/>
      <c r="I32" s="69"/>
      <c r="J32" s="69"/>
      <c r="K32" s="107"/>
      <c r="L32" s="107"/>
      <c r="M32" s="69"/>
      <c r="N32" s="69"/>
      <c r="O32" s="69"/>
      <c r="P32" s="69"/>
      <c r="Q32" s="69"/>
      <c r="R32" s="69"/>
      <c r="S32" s="69"/>
      <c r="T32" s="69"/>
      <c r="U32" s="69"/>
      <c r="V32" s="69"/>
      <c r="W32" s="69"/>
      <c r="X32" s="69"/>
      <c r="Y32" s="87"/>
      <c r="Z32" s="69"/>
      <c r="AA32" s="69"/>
      <c r="AB32" s="69"/>
      <c r="AC32" s="69"/>
      <c r="AD32" s="69"/>
      <c r="AE32" s="69"/>
      <c r="AF32" s="88"/>
      <c r="AG32" s="72"/>
      <c r="AH32" s="4"/>
      <c r="AI32" s="72"/>
      <c r="AJ32" s="110"/>
      <c r="AK32" s="72"/>
      <c r="AL32" s="72"/>
      <c r="AM32" s="72"/>
      <c r="AN32" s="72"/>
      <c r="AO32" s="72"/>
      <c r="AP32" s="72"/>
      <c r="AQ32" s="89"/>
      <c r="AR32" s="118"/>
      <c r="AS32" s="89"/>
      <c r="AT32" s="89"/>
      <c r="AU32" s="3"/>
      <c r="AV32" s="71">
        <f>24*60*60</f>
        <v>86400</v>
      </c>
      <c r="AW32" s="71">
        <f>365*24*60*60*14/12</f>
        <v>36792000</v>
      </c>
      <c r="AX32" s="71">
        <f>365*24*60*60*44/12</f>
        <v>115632000</v>
      </c>
      <c r="AY32" s="71">
        <f>365*24*60*60*76/12</f>
        <v>199728000</v>
      </c>
      <c r="AZ32" s="71">
        <f>365*24*60*60*126/12</f>
        <v>331128000</v>
      </c>
      <c r="BA32" s="71">
        <f>365*24*60*60*179/12</f>
        <v>470412000</v>
      </c>
      <c r="BB32" s="71">
        <f>365*24*60*60*249/12</f>
        <v>654372000</v>
      </c>
      <c r="BC32" s="71">
        <f>365*24*60*60*341/12</f>
        <v>896148000</v>
      </c>
      <c r="BD32" s="71">
        <f>365*24*60*60*556/12</f>
        <v>1461168000</v>
      </c>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1"/>
      <c r="CS32" s="1"/>
      <c r="CT32" s="1"/>
      <c r="CU32" s="1"/>
    </row>
    <row r="33" spans="1:99" s="13" customFormat="1" ht="12" customHeight="1" x14ac:dyDescent="0.2">
      <c r="A33" s="68">
        <v>43509</v>
      </c>
      <c r="B33" s="70" t="s">
        <v>205</v>
      </c>
      <c r="C33" s="70" t="s">
        <v>206</v>
      </c>
      <c r="D33" s="69">
        <v>1983</v>
      </c>
      <c r="E33" s="87">
        <v>1</v>
      </c>
      <c r="F33" s="69">
        <v>851</v>
      </c>
      <c r="G33" s="69">
        <v>106.4</v>
      </c>
      <c r="H33" s="69" t="s">
        <v>232</v>
      </c>
      <c r="I33" s="69" t="s">
        <v>603</v>
      </c>
      <c r="J33" s="69" t="s">
        <v>599</v>
      </c>
      <c r="K33" s="69">
        <f>IF(J33="syllables",1,IF(J33="trigrams",2,IF(J33="strings",3,IF(J33="visual array",4,IF(J33="characters",5,IF(J33="letters",6,IF(J33="free forms",7,IF(J33="odors",8,IF(J33="words",9,IF(J33="pictures",10,IF(J33="object pictures",11,IF(J33="faces",12,IF(J33="names",13,IF(J33="idioms",14,IF(J33="grades",15,IF(J33="syllable-digit pairs",16,IF(J33="trigram-word pairs",17,IF(J33="word-digit pairs",18,IF(J33="English-Swahili pairs",19,IF(J33="spatial position",20,IF(J33="word pairs",21,IF(J33="word triads",22,IF(J33="generated words",23,IF(J33="word definition pairs",24,IF(J33="math problems",25,IF(J33="famous faces",26,IF(J33="famous names",27,IF(J33="famous voices",28,IF(J33="television programs",29,IF(J33="race horses",30,IF(J33="new vocabulary",31,IF(J33="sentences",32,IF(J33="concepts",33,IF(J33="ad slides",34,IF(J33="scenes",35,IF(J33="famous scenes",36,IF(J33="poems",37,IF(J33="walk",38,IF(J33="faces and events",39,IF(J33="events and names",40,IF(J33="flashbulb",41,IF(J33="stories",42,IF(J33="course material",43,IF(J33="autobiographical",44,IF(J33="novels",45,IF(J33="public events",46,"99"))))))))))))))))))))))))))))))))))))))))))))))</f>
        <v>13</v>
      </c>
      <c r="L33" s="69">
        <f>IF(J33="syllables",1,IF(J33="trigrams",1,IF(J33="strings",1,IF(J33="visual array",1,IF(J33="characters",1,IF(J33="letters",1,IF(J33="free forms",1,IF(J33="odors",2,IF(J33="words",2,IF(J33="pictures",2,IF(J33="object pictures",2,IF(J33="faces",2,IF(J33="names",2,IF(J33="idioms","2",IF(J33="grades",2,IF(J33="syllable-digit pairs",3,IF(J33="trigram-word pairs",3,IF(J33="word-digit pairs",3,IF(J33="English-Swahili pairs",3,IF(J33="spatial position",3,IF(J33="word pairs",4,IF(J33="word triads",4,IF(J33="generated words",4,IF(J33="word definition pairs",4,IF(J33="math problems",4,IF(J33="famous faces",4,IF(J33="famous names",4,IF(J33="famous voices",4,IF(J33="television programs",4,IF(J33="race horses",4,IF(J33="new vocabulary",4,IF(J33="sentences",5,IF(J33="concepts",5,IF(J33="ad slides",5,IF(J33="scenes",5,IF(J33="famous scenes",5,IF(J33="poems",6,IF(J33="walk",6,IF(J33="faces and events",6,IF(J33="events and names",6,IF(J33="flashbulb",7,IF(J33="stories",7,IF(J33="course material",7,IF(J33="autobiographical",7,IF(J33="novels",7,IF(J33="public events",7,"99"))))))))))))))))))))))))))))))))))))))))))))))</f>
        <v>2</v>
      </c>
      <c r="M33" s="69">
        <v>1</v>
      </c>
      <c r="N33" s="69">
        <v>2</v>
      </c>
      <c r="O33" s="69">
        <v>0</v>
      </c>
      <c r="P33" s="69"/>
      <c r="Q33" s="92" t="s">
        <v>174</v>
      </c>
      <c r="R33" s="69">
        <f>IF(Q33="Free Recall",1,IF(Q33="Cued Recall",2,IF(Q33="Recognition",3,IF(Q33="Multiple Choice",4,IF(Q33="Savings",5,IF(Q33="Stem Completion",6,IF(Q33="Fragment Completion",7,IF(Q33="anagram solution",8,IF(Q33="Matching",9,IF(Q33="Problem Solving",10,"99"))))))))))</f>
        <v>1</v>
      </c>
      <c r="S33" s="69" t="s">
        <v>15</v>
      </c>
      <c r="T33" s="69" t="s">
        <v>261</v>
      </c>
      <c r="U33" s="69">
        <f>IF(T33="within",1,0)</f>
        <v>0</v>
      </c>
      <c r="V33" s="69">
        <v>30</v>
      </c>
      <c r="W33" s="69">
        <f>F33*V33</f>
        <v>25530</v>
      </c>
      <c r="X33" s="69">
        <v>9</v>
      </c>
      <c r="Y33" s="87">
        <f>AV32</f>
        <v>86400</v>
      </c>
      <c r="Z33" s="69" t="s">
        <v>207</v>
      </c>
      <c r="AA33" s="69">
        <v>1450656000</v>
      </c>
      <c r="AB33" s="69" t="str">
        <f>IF(AA33&lt;60,"1",IF(AA33&lt;=43200,"2",IF(AA33&lt;=777600,"3","4")))</f>
        <v>4</v>
      </c>
      <c r="AC33" s="72">
        <f>AVERAGE(AV32:DA32)</f>
        <v>462829600</v>
      </c>
      <c r="AD33" s="69" t="str">
        <f>IF(AC33&lt;60,"1",IF(AC33&lt;=43200,"2",IF(AC33&lt;=777600,"3","4")))</f>
        <v>4</v>
      </c>
      <c r="AE33" s="87">
        <f>AA33-Y33</f>
        <v>1450569600</v>
      </c>
      <c r="AF33" s="88">
        <f>AV33</f>
        <v>0.99399999999999999</v>
      </c>
      <c r="AG33" s="72">
        <f>((AW33-AV33)+(AX33-AW33)+(AY33-AX33)+(AZ33-AY33)+(BA33-AZ33)+(BB33-BA33)+(BC33-BB33)+(BD33-BC33))/8</f>
        <v>-7.7250000000000013E-2</v>
      </c>
      <c r="AH33" s="4"/>
      <c r="AI33" s="72">
        <f>RSQ(AV33:BD33,AV32:BD32)</f>
        <v>0.6847293458448428</v>
      </c>
      <c r="AJ33" s="110">
        <f>SLOPE(AV33:BD33,AV32:BD32)</f>
        <v>-3.5752146357956833E-10</v>
      </c>
      <c r="AK33" s="72">
        <f>INTERCEPT(AV33:BD33,AV32:BD32)</f>
        <v>0.78680484931327943</v>
      </c>
      <c r="AL33" s="72">
        <f>INDEX(LINEST(LN(AV33:BD33),LN(AV32:BD32),TRUE,TRUE),3,1)</f>
        <v>0.72399896613077253</v>
      </c>
      <c r="AM33" s="72">
        <f>INDEX(LINEST(LN(AV33:BD33),LN(AV32:BD32)),1)</f>
        <v>-9.2441845506879464E-2</v>
      </c>
      <c r="AN33" s="72">
        <f>EXP(INDEX(LINEST(LN(AV33:BD33),LN(AV32:BD32)),1,2))</f>
        <v>3.3321829699183336</v>
      </c>
      <c r="AO33" s="89">
        <f>INDEX(LINEST((AV33:BD33),LN(AV32:BD32),TRUE,TRUE),3,1)</f>
        <v>0.80871389901669877</v>
      </c>
      <c r="AP33" s="89">
        <f>INDEX(LINEST((AV33:BD33),LN(AV32:BD32)),1)</f>
        <v>-6.2700779467482787E-2</v>
      </c>
      <c r="AQ33" s="90">
        <f>INDEX(LINEST(LN(AV33:BD33),SQRT(AV32:BD32),TRUE,TRUE),3,1)</f>
        <v>0.94692767506012832</v>
      </c>
      <c r="AR33" s="117">
        <f>INDEX(LINEST(LN(AV33:BD33),SQRT((AV32:BD32))),1)</f>
        <v>-2.6145947618388683E-5</v>
      </c>
      <c r="AS33" s="91">
        <f>INDEX(LINEST(1/(AV33:BD33),1/(SQRT(AV32:BD32)),TRUE,TRUE),3,1)</f>
        <v>0.30428947035329978</v>
      </c>
      <c r="AT33" s="91">
        <f>INDEX(LINEST(1/(AV33:BD33),1/SQRT(AV32:BD32)),1)</f>
        <v>-268.51150728266498</v>
      </c>
      <c r="AU33" s="3"/>
      <c r="AV33" s="73">
        <v>0.99399999999999999</v>
      </c>
      <c r="AW33" s="73">
        <v>0.874</v>
      </c>
      <c r="AX33" s="73">
        <v>0.70299999999999996</v>
      </c>
      <c r="AY33" s="73">
        <v>0.65600000000000003</v>
      </c>
      <c r="AZ33" s="73">
        <v>0.499</v>
      </c>
      <c r="BA33" s="73">
        <v>0.56299999999999994</v>
      </c>
      <c r="BB33" s="73">
        <v>0.49099999999999999</v>
      </c>
      <c r="BC33" s="73">
        <v>0.436</v>
      </c>
      <c r="BD33" s="73">
        <v>0.376</v>
      </c>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1"/>
      <c r="CS33" s="1"/>
      <c r="CT33" s="1"/>
      <c r="CU33" s="1"/>
    </row>
    <row r="34" spans="1:99" s="13" customFormat="1" ht="12" customHeight="1" x14ac:dyDescent="0.2">
      <c r="A34" s="68">
        <v>43509</v>
      </c>
      <c r="B34" s="70"/>
      <c r="C34" s="70"/>
      <c r="D34" s="69"/>
      <c r="E34" s="87"/>
      <c r="F34" s="69"/>
      <c r="G34" s="69"/>
      <c r="H34" s="69"/>
      <c r="I34" s="69"/>
      <c r="J34" s="69"/>
      <c r="K34" s="107"/>
      <c r="L34" s="107"/>
      <c r="M34" s="69"/>
      <c r="N34" s="69"/>
      <c r="O34" s="69"/>
      <c r="P34" s="69"/>
      <c r="Q34" s="69"/>
      <c r="R34" s="69"/>
      <c r="S34" s="69"/>
      <c r="T34" s="69"/>
      <c r="U34" s="69"/>
      <c r="V34" s="69"/>
      <c r="W34" s="69"/>
      <c r="X34" s="69"/>
      <c r="Y34" s="87"/>
      <c r="Z34" s="69"/>
      <c r="AA34" s="69"/>
      <c r="AB34" s="69"/>
      <c r="AC34" s="69"/>
      <c r="AD34" s="69"/>
      <c r="AE34" s="69"/>
      <c r="AF34" s="88"/>
      <c r="AG34" s="72"/>
      <c r="AH34" s="4"/>
      <c r="AI34" s="72"/>
      <c r="AJ34" s="110"/>
      <c r="AK34" s="72"/>
      <c r="AL34" s="72"/>
      <c r="AM34" s="72"/>
      <c r="AN34" s="72"/>
      <c r="AO34" s="72"/>
      <c r="AP34" s="72"/>
      <c r="AQ34" s="89"/>
      <c r="AR34" s="118"/>
      <c r="AS34" s="89"/>
      <c r="AT34" s="89"/>
      <c r="AU34" s="3"/>
      <c r="AV34" s="71">
        <f>24*60*60</f>
        <v>86400</v>
      </c>
      <c r="AW34" s="71">
        <f>365*24*60*60*14/12</f>
        <v>36792000</v>
      </c>
      <c r="AX34" s="71">
        <f>365*24*60*60*44/12</f>
        <v>115632000</v>
      </c>
      <c r="AY34" s="71">
        <f>365*24*60*60*76/12</f>
        <v>199728000</v>
      </c>
      <c r="AZ34" s="71">
        <f>365*24*60*60*126/12</f>
        <v>331128000</v>
      </c>
      <c r="BA34" s="71">
        <f>365*24*60*60*179/12</f>
        <v>470412000</v>
      </c>
      <c r="BB34" s="71">
        <f>365*24*60*60*249/12</f>
        <v>654372000</v>
      </c>
      <c r="BC34" s="71">
        <f>365*24*60*60*341/12</f>
        <v>896148000</v>
      </c>
      <c r="BD34" s="71">
        <f>365*24*60*60*556/12</f>
        <v>1461168000</v>
      </c>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1"/>
      <c r="CS34" s="1"/>
      <c r="CT34" s="1"/>
      <c r="CU34" s="1"/>
    </row>
    <row r="35" spans="1:99" s="13" customFormat="1" ht="12" customHeight="1" x14ac:dyDescent="0.2">
      <c r="A35" s="68">
        <v>43509</v>
      </c>
      <c r="B35" s="70" t="s">
        <v>205</v>
      </c>
      <c r="C35" s="70" t="s">
        <v>206</v>
      </c>
      <c r="D35" s="69">
        <v>1983</v>
      </c>
      <c r="E35" s="87">
        <v>1</v>
      </c>
      <c r="F35" s="69">
        <v>851</v>
      </c>
      <c r="G35" s="69">
        <v>106.4</v>
      </c>
      <c r="H35" s="69" t="s">
        <v>232</v>
      </c>
      <c r="I35" s="69" t="s">
        <v>604</v>
      </c>
      <c r="J35" s="69" t="s">
        <v>599</v>
      </c>
      <c r="K35" s="69">
        <f>IF(J35="syllables",1,IF(J35="trigrams",2,IF(J35="strings",3,IF(J35="visual array",4,IF(J35="characters",5,IF(J35="letters",6,IF(J35="free forms",7,IF(J35="odors",8,IF(J35="words",9,IF(J35="pictures",10,IF(J35="object pictures",11,IF(J35="faces",12,IF(J35="names",13,IF(J35="idioms",14,IF(J35="grades",15,IF(J35="syllable-digit pairs",16,IF(J35="trigram-word pairs",17,IF(J35="word-digit pairs",18,IF(J35="English-Swahili pairs",19,IF(J35="spatial position",20,IF(J35="word pairs",21,IF(J35="word triads",22,IF(J35="generated words",23,IF(J35="word definition pairs",24,IF(J35="math problems",25,IF(J35="famous faces",26,IF(J35="famous names",27,IF(J35="famous voices",28,IF(J35="television programs",29,IF(J35="race horses",30,IF(J35="new vocabulary",31,IF(J35="sentences",32,IF(J35="concepts",33,IF(J35="ad slides",34,IF(J35="scenes",35,IF(J35="famous scenes",36,IF(J35="poems",37,IF(J35="walk",38,IF(J35="faces and events",39,IF(J35="events and names",40,IF(J35="flashbulb",41,IF(J35="stories",42,IF(J35="course material",43,IF(J35="autobiographical",44,IF(J35="novels",45,IF(J35="public events",46,"99"))))))))))))))))))))))))))))))))))))))))))))))</f>
        <v>13</v>
      </c>
      <c r="L35" s="69">
        <f>IF(J35="syllables",1,IF(J35="trigrams",1,IF(J35="strings",1,IF(J35="visual array",1,IF(J35="characters",1,IF(J35="letters",1,IF(J35="free forms",1,IF(J35="odors",2,IF(J35="words",2,IF(J35="pictures",2,IF(J35="object pictures",2,IF(J35="faces",2,IF(J35="names",2,IF(J35="idioms","2",IF(J35="grades",2,IF(J35="syllable-digit pairs",3,IF(J35="trigram-word pairs",3,IF(J35="word-digit pairs",3,IF(J35="English-Swahili pairs",3,IF(J35="spatial position",3,IF(J35="word pairs",4,IF(J35="word triads",4,IF(J35="generated words",4,IF(J35="word definition pairs",4,IF(J35="math problems",4,IF(J35="famous faces",4,IF(J35="famous names",4,IF(J35="famous voices",4,IF(J35="television programs",4,IF(J35="race horses",4,IF(J35="new vocabulary",4,IF(J35="sentences",5,IF(J35="concepts",5,IF(J35="ad slides",5,IF(J35="scenes",5,IF(J35="famous scenes",5,IF(J35="poems",6,IF(J35="walk",6,IF(J35="faces and events",6,IF(J35="events and names",6,IF(J35="flashbulb",7,IF(J35="stories",7,IF(J35="course material",7,IF(J35="autobiographical",7,IF(J35="novels",7,IF(J35="public events",7,"99"))))))))))))))))))))))))))))))))))))))))))))))</f>
        <v>2</v>
      </c>
      <c r="M35" s="69">
        <v>1</v>
      </c>
      <c r="N35" s="69">
        <v>2</v>
      </c>
      <c r="O35" s="69">
        <v>0</v>
      </c>
      <c r="P35" s="69"/>
      <c r="Q35" s="69" t="s">
        <v>133</v>
      </c>
      <c r="R35" s="69">
        <f>IF(Q35="Free Recall",1,IF(Q35="Cued Recall",2,IF(Q35="Recognition",3,IF(Q35="Multiple Choice",4,IF(Q35="Savings",5,IF(Q35="Stem Completion",6,IF(Q35="Fragment Completion",7,IF(Q35="anagram solution",8,IF(Q35="Matching",9,IF(Q35="Problem Solving",10,"99"))))))))))</f>
        <v>9</v>
      </c>
      <c r="S35" s="69" t="s">
        <v>15</v>
      </c>
      <c r="T35" s="69" t="s">
        <v>261</v>
      </c>
      <c r="U35" s="69">
        <f>IF(T35="within",1,0)</f>
        <v>0</v>
      </c>
      <c r="V35" s="69">
        <v>13</v>
      </c>
      <c r="W35" s="69">
        <f>F35*V35</f>
        <v>11063</v>
      </c>
      <c r="X35" s="69">
        <v>9</v>
      </c>
      <c r="Y35" s="87">
        <f>AV34</f>
        <v>86400</v>
      </c>
      <c r="Z35" s="69" t="s">
        <v>207</v>
      </c>
      <c r="AA35" s="69">
        <v>1450656000</v>
      </c>
      <c r="AB35" s="69" t="str">
        <f>IF(AA35&lt;60,"1",IF(AA35&lt;=43200,"2",IF(AA35&lt;=777600,"3","4")))</f>
        <v>4</v>
      </c>
      <c r="AC35" s="72">
        <f>AVERAGE(AV34:DA34)</f>
        <v>462829600</v>
      </c>
      <c r="AD35" s="69" t="str">
        <f>IF(AC35&lt;60,"1",IF(AC35&lt;=43200,"2",IF(AC35&lt;=777600,"3","4")))</f>
        <v>4</v>
      </c>
      <c r="AE35" s="87">
        <f>AA35-Y35</f>
        <v>1450569600</v>
      </c>
      <c r="AF35" s="88">
        <f>AV35</f>
        <v>0.997</v>
      </c>
      <c r="AG35" s="72">
        <f>((AW35-AV35)+(AX35-AW35)+(AY35-AX35)+(AZ35-AY35)+(BA35-AZ35)+(BB35-BA35)+(BC35-BB35)+(BD35-BC35))/8</f>
        <v>-5.1250000000000004E-2</v>
      </c>
      <c r="AH35" s="4"/>
      <c r="AI35" s="72">
        <f>RSQ(AV35:BD35,AV34:BD34)</f>
        <v>0.78786692554679372</v>
      </c>
      <c r="AJ35" s="110">
        <f>SLOPE(AV35:BD35,AV34:BD34)</f>
        <v>-2.5862197692865627E-10</v>
      </c>
      <c r="AK35" s="72">
        <f>INTERCEPT(AV35:BD35,AV34:BD34)</f>
        <v>0.90625346168865473</v>
      </c>
      <c r="AL35" s="72">
        <f>INDEX(LINEST(LN(AV35:BD35),LN(AV34:BD34),TRUE,TRUE),3,1)</f>
        <v>0.64206358255766494</v>
      </c>
      <c r="AM35" s="72">
        <f>INDEX(LINEST(LN(AV35:BD35),LN(AV34:BD34)),1)</f>
        <v>-4.7938234961320811E-2</v>
      </c>
      <c r="AN35" s="72">
        <f>EXP(INDEX(LINEST(LN(AV35:BD35),LN(AV34:BD34)),1,2))</f>
        <v>1.8987842291536425</v>
      </c>
      <c r="AO35" s="89">
        <f>INDEX(LINEST((AV35:BD35),LN(AV34:BD34),TRUE,TRUE),3,1)</f>
        <v>0.68660833014041656</v>
      </c>
      <c r="AP35" s="89">
        <f>INDEX(LINEST((AV35:BD35),LN(AV34:BD34)),1)</f>
        <v>-3.8960665250170182E-2</v>
      </c>
      <c r="AQ35" s="90">
        <f>INDEX(LINEST(LN(AV35:BD35),SQRT(AV34:BD34),TRUE,TRUE),3,1)</f>
        <v>0.95332375297028593</v>
      </c>
      <c r="AR35" s="117">
        <f>INDEX(LINEST(LN(AV35:BD35),SQRT((AV34:BD34))),1)</f>
        <v>-1.4446398006289651E-5</v>
      </c>
      <c r="AS35" s="91">
        <f>INDEX(LINEST(1/(AV35:BD35),1/(SQRT(AV34:BD34)),TRUE,TRUE),3,1)</f>
        <v>0.2734270381758922</v>
      </c>
      <c r="AT35" s="91">
        <f>INDEX(LINEST(1/(AV35:BD35),1/SQRT(AV34:BD34)),1)</f>
        <v>-108.33422041556456</v>
      </c>
      <c r="AU35" s="3"/>
      <c r="AV35" s="73">
        <v>0.997</v>
      </c>
      <c r="AW35" s="73">
        <v>0.95399999999999996</v>
      </c>
      <c r="AX35" s="73">
        <v>0.89700000000000002</v>
      </c>
      <c r="AY35" s="73">
        <v>0.82099999999999995</v>
      </c>
      <c r="AZ35" s="73">
        <v>0.73799999999999999</v>
      </c>
      <c r="BA35" s="73">
        <v>0.72399999999999998</v>
      </c>
      <c r="BB35" s="73">
        <v>0.66400000000000003</v>
      </c>
      <c r="BC35" s="73">
        <v>0.69699999999999995</v>
      </c>
      <c r="BD35" s="73">
        <v>0.58699999999999997</v>
      </c>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1"/>
      <c r="CS35" s="1"/>
      <c r="CT35" s="1"/>
      <c r="CU35" s="1"/>
    </row>
    <row r="36" spans="1:99" s="13" customFormat="1" ht="12" customHeight="1" x14ac:dyDescent="0.2">
      <c r="A36" s="68">
        <v>43509</v>
      </c>
      <c r="B36" s="70"/>
      <c r="C36" s="70"/>
      <c r="D36" s="69"/>
      <c r="E36" s="87"/>
      <c r="F36" s="69"/>
      <c r="G36" s="69"/>
      <c r="H36" s="69"/>
      <c r="I36" s="69"/>
      <c r="J36" s="69"/>
      <c r="K36" s="107"/>
      <c r="L36" s="107"/>
      <c r="M36" s="69"/>
      <c r="N36" s="69"/>
      <c r="O36" s="69"/>
      <c r="P36" s="69"/>
      <c r="Q36" s="69"/>
      <c r="R36" s="69"/>
      <c r="S36" s="69"/>
      <c r="T36" s="69"/>
      <c r="U36" s="69"/>
      <c r="V36" s="69"/>
      <c r="W36" s="69"/>
      <c r="X36" s="69"/>
      <c r="Y36" s="87"/>
      <c r="Z36" s="69"/>
      <c r="AA36" s="69"/>
      <c r="AB36" s="69"/>
      <c r="AC36" s="69"/>
      <c r="AD36" s="69"/>
      <c r="AE36" s="69"/>
      <c r="AF36" s="88"/>
      <c r="AG36" s="72"/>
      <c r="AH36" s="4"/>
      <c r="AI36" s="72"/>
      <c r="AJ36" s="110"/>
      <c r="AK36" s="72"/>
      <c r="AL36" s="72"/>
      <c r="AM36" s="72"/>
      <c r="AN36" s="72"/>
      <c r="AO36" s="72"/>
      <c r="AP36" s="72"/>
      <c r="AQ36" s="89"/>
      <c r="AR36" s="118"/>
      <c r="AS36" s="89"/>
      <c r="AT36" s="89"/>
      <c r="AU36" s="3"/>
      <c r="AV36" s="71">
        <f>24*60*60</f>
        <v>86400</v>
      </c>
      <c r="AW36" s="71">
        <f>365*24*60*60*14/12</f>
        <v>36792000</v>
      </c>
      <c r="AX36" s="71">
        <f>365*24*60*60*44/12</f>
        <v>115632000</v>
      </c>
      <c r="AY36" s="71">
        <f>365*24*60*60*76/12</f>
        <v>199728000</v>
      </c>
      <c r="AZ36" s="71">
        <f>365*24*60*60*126/12</f>
        <v>331128000</v>
      </c>
      <c r="BA36" s="71">
        <f>365*24*60*60*179/12</f>
        <v>470412000</v>
      </c>
      <c r="BB36" s="71">
        <f>365*24*60*60*249/12</f>
        <v>654372000</v>
      </c>
      <c r="BC36" s="71">
        <f>365*24*60*60*341/12</f>
        <v>896148000</v>
      </c>
      <c r="BD36" s="71">
        <f>365*24*60*60*556/12</f>
        <v>1461168000</v>
      </c>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1"/>
      <c r="CS36" s="1"/>
      <c r="CT36" s="1"/>
      <c r="CU36" s="1"/>
    </row>
    <row r="37" spans="1:99" s="13" customFormat="1" ht="12" customHeight="1" x14ac:dyDescent="0.2">
      <c r="A37" s="68">
        <v>43509</v>
      </c>
      <c r="B37" s="70" t="s">
        <v>205</v>
      </c>
      <c r="C37" s="70" t="s">
        <v>206</v>
      </c>
      <c r="D37" s="69">
        <v>1983</v>
      </c>
      <c r="E37" s="87">
        <v>1</v>
      </c>
      <c r="F37" s="69">
        <v>851</v>
      </c>
      <c r="G37" s="69">
        <v>106.4</v>
      </c>
      <c r="H37" s="69" t="s">
        <v>232</v>
      </c>
      <c r="I37" s="69" t="s">
        <v>605</v>
      </c>
      <c r="J37" s="69" t="s">
        <v>599</v>
      </c>
      <c r="K37" s="69">
        <f>IF(J37="syllables",1,IF(J37="trigrams",2,IF(J37="strings",3,IF(J37="visual array",4,IF(J37="characters",5,IF(J37="letters",6,IF(J37="free forms",7,IF(J37="odors",8,IF(J37="words",9,IF(J37="pictures",10,IF(J37="object pictures",11,IF(J37="faces",12,IF(J37="names",13,IF(J37="idioms",14,IF(J37="grades",15,IF(J37="syllable-digit pairs",16,IF(J37="trigram-word pairs",17,IF(J37="word-digit pairs",18,IF(J37="English-Swahili pairs",19,IF(J37="spatial position",20,IF(J37="word pairs",21,IF(J37="word triads",22,IF(J37="generated words",23,IF(J37="word definition pairs",24,IF(J37="math problems",25,IF(J37="famous faces",26,IF(J37="famous names",27,IF(J37="famous voices",28,IF(J37="television programs",29,IF(J37="race horses",30,IF(J37="new vocabulary",31,IF(J37="sentences",32,IF(J37="concepts",33,IF(J37="ad slides",34,IF(J37="scenes",35,IF(J37="famous scenes",36,IF(J37="poems",37,IF(J37="walk",38,IF(J37="faces and events",39,IF(J37="events and names",40,IF(J37="flashbulb",41,IF(J37="stories",42,IF(J37="course material",43,IF(J37="autobiographical",44,IF(J37="novels",45,IF(J37="public events",46,"99"))))))))))))))))))))))))))))))))))))))))))))))</f>
        <v>13</v>
      </c>
      <c r="L37" s="69">
        <f>IF(J37="syllables",1,IF(J37="trigrams",1,IF(J37="strings",1,IF(J37="visual array",1,IF(J37="characters",1,IF(J37="letters",1,IF(J37="free forms",1,IF(J37="odors",2,IF(J37="words",2,IF(J37="pictures",2,IF(J37="object pictures",2,IF(J37="faces",2,IF(J37="names",2,IF(J37="idioms","2",IF(J37="grades",2,IF(J37="syllable-digit pairs",3,IF(J37="trigram-word pairs",3,IF(J37="word-digit pairs",3,IF(J37="English-Swahili pairs",3,IF(J37="spatial position",3,IF(J37="word pairs",4,IF(J37="word triads",4,IF(J37="generated words",4,IF(J37="word definition pairs",4,IF(J37="math problems",4,IF(J37="famous faces",4,IF(J37="famous names",4,IF(J37="famous voices",4,IF(J37="television programs",4,IF(J37="race horses",4,IF(J37="new vocabulary",4,IF(J37="sentences",5,IF(J37="concepts",5,IF(J37="ad slides",5,IF(J37="scenes",5,IF(J37="famous scenes",5,IF(J37="poems",6,IF(J37="walk",6,IF(J37="faces and events",6,IF(J37="events and names",6,IF(J37="flashbulb",7,IF(J37="stories",7,IF(J37="course material",7,IF(J37="autobiographical",7,IF(J37="novels",7,IF(J37="public events",7,"99"))))))))))))))))))))))))))))))))))))))))))))))</f>
        <v>2</v>
      </c>
      <c r="M37" s="69">
        <v>1</v>
      </c>
      <c r="N37" s="69">
        <v>2</v>
      </c>
      <c r="O37" s="69">
        <v>0</v>
      </c>
      <c r="P37" s="69"/>
      <c r="Q37" s="69" t="s">
        <v>65</v>
      </c>
      <c r="R37" s="69">
        <f>IF(Q37="Free Recall",1,IF(Q37="Cued Recall",2,IF(Q37="Recognition",3,IF(Q37="Multiple Choice",4,IF(Q37="Savings",5,IF(Q37="Stem Completion",6,IF(Q37="Fragment Completion",7,IF(Q37="anagram solution",8,IF(Q37="Matching",9,IF(Q37="Problem Solving",10,"99"))))))))))</f>
        <v>2</v>
      </c>
      <c r="S37" s="69" t="s">
        <v>15</v>
      </c>
      <c r="T37" s="69" t="s">
        <v>261</v>
      </c>
      <c r="U37" s="69">
        <f>IF(T37="within",1,0)</f>
        <v>0</v>
      </c>
      <c r="V37" s="69">
        <v>13</v>
      </c>
      <c r="W37" s="69">
        <f>F37*V37</f>
        <v>11063</v>
      </c>
      <c r="X37" s="69">
        <v>9</v>
      </c>
      <c r="Y37" s="87">
        <f>AV36</f>
        <v>86400</v>
      </c>
      <c r="Z37" s="69" t="s">
        <v>207</v>
      </c>
      <c r="AA37" s="69">
        <v>1450656000</v>
      </c>
      <c r="AB37" s="69" t="str">
        <f>IF(AA37&lt;60,"1",IF(AA37&lt;=43200,"2",IF(AA37&lt;=777600,"3","4")))</f>
        <v>4</v>
      </c>
      <c r="AC37" s="72">
        <f>AVERAGE(AV36:DA36)</f>
        <v>462829600</v>
      </c>
      <c r="AD37" s="69" t="str">
        <f>IF(AC37&lt;60,"1",IF(AC37&lt;=43200,"2",IF(AC37&lt;=777600,"3","4")))</f>
        <v>4</v>
      </c>
      <c r="AE37" s="87">
        <f>AA37-Y37</f>
        <v>1450569600</v>
      </c>
      <c r="AF37" s="88">
        <f>AV37</f>
        <v>0.996</v>
      </c>
      <c r="AG37" s="72">
        <f>((AW37-AV37)+(AX37-AW37)+(AY37-AX37)+(AZ37-AY37)+(BA37-AZ37)+(BB37-BA37)+(BC37-BB37)+(BD37-BC37))/8</f>
        <v>-9.0124999999999983E-2</v>
      </c>
      <c r="AH37" s="4"/>
      <c r="AI37" s="72">
        <f>RSQ(AV37:BD37,AV36:BD36)</f>
        <v>0.57142225903063404</v>
      </c>
      <c r="AJ37" s="110">
        <f>SLOPE(AV37:BD37,AV36:BD36)</f>
        <v>-4.0303916651224E-10</v>
      </c>
      <c r="AK37" s="72">
        <f>INTERCEPT(AV37:BD37,AV36:BD36)</f>
        <v>0.69487178955452678</v>
      </c>
      <c r="AL37" s="72">
        <f>INDEX(LINEST(LN(AV37:BD37),LN(AV36:BD36),TRUE,TRUE),3,1)</f>
        <v>0.76202673095763607</v>
      </c>
      <c r="AM37" s="72">
        <f>INDEX(LINEST(LN(AV37:BD37),LN(AV36:BD36)),1)</f>
        <v>-0.13542522044117383</v>
      </c>
      <c r="AN37" s="72">
        <f>EXP(INDEX(LINEST(LN(AV37:BD37),LN(AV36:BD36)),1,2))</f>
        <v>5.7735756375403362</v>
      </c>
      <c r="AO37" s="89">
        <f>INDEX(LINEST((AV37:BD37),LN(AV36:BD36),TRUE,TRUE),3,1)</f>
        <v>0.84737693079151122</v>
      </c>
      <c r="AP37" s="89">
        <f>INDEX(LINEST((AV37:BD37),LN(AV36:BD36)),1)</f>
        <v>-7.9202671511385297E-2</v>
      </c>
      <c r="AQ37" s="90">
        <f>INDEX(LINEST(LN(AV37:BD37),SQRT(AV36:BD36),TRUE,TRUE),3,1)</f>
        <v>0.91421187326910613</v>
      </c>
      <c r="AR37" s="117">
        <f>INDEX(LINEST(LN(AV37:BD37),SQRT((AV36:BD36))),1)</f>
        <v>-3.668463688848618E-5</v>
      </c>
      <c r="AS37" s="91">
        <f>INDEX(LINEST(1/(AV37:BD37),1/(SQRT(AV36:BD36)),TRUE,TRUE),3,1)</f>
        <v>0.32043764481855663</v>
      </c>
      <c r="AT37" s="91">
        <f>INDEX(LINEST(1/(AV37:BD37),1/SQRT(AV36:BD36)),1)</f>
        <v>-483.33362682527468</v>
      </c>
      <c r="AU37" s="3"/>
      <c r="AV37" s="73">
        <v>0.996</v>
      </c>
      <c r="AW37" s="73">
        <v>0.83899999999999997</v>
      </c>
      <c r="AX37" s="73">
        <v>0.56899999999999995</v>
      </c>
      <c r="AY37" s="73">
        <v>0.51400000000000001</v>
      </c>
      <c r="AZ37" s="73">
        <v>0.376</v>
      </c>
      <c r="BA37" s="73">
        <v>0.39700000000000002</v>
      </c>
      <c r="BB37" s="73">
        <v>0.314</v>
      </c>
      <c r="BC37" s="73">
        <v>0.29499999999999998</v>
      </c>
      <c r="BD37" s="73">
        <v>0.27500000000000002</v>
      </c>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1"/>
      <c r="CS37" s="1"/>
      <c r="CT37" s="1"/>
      <c r="CU37" s="1"/>
    </row>
    <row r="38" spans="1:99" s="13" customFormat="1" ht="12" customHeight="1" x14ac:dyDescent="0.2">
      <c r="A38" s="68">
        <v>43509</v>
      </c>
      <c r="B38" s="70"/>
      <c r="C38" s="70"/>
      <c r="D38" s="69"/>
      <c r="E38" s="87"/>
      <c r="F38" s="69"/>
      <c r="G38" s="69"/>
      <c r="H38" s="69"/>
      <c r="I38" s="69"/>
      <c r="J38" s="69"/>
      <c r="K38" s="107"/>
      <c r="L38" s="107"/>
      <c r="M38" s="69"/>
      <c r="N38" s="69"/>
      <c r="O38" s="69"/>
      <c r="P38" s="69"/>
      <c r="Q38" s="69"/>
      <c r="R38" s="69"/>
      <c r="S38" s="69"/>
      <c r="T38" s="69"/>
      <c r="U38" s="69"/>
      <c r="V38" s="69"/>
      <c r="W38" s="69"/>
      <c r="X38" s="69"/>
      <c r="Y38" s="87"/>
      <c r="Z38" s="69"/>
      <c r="AA38" s="69"/>
      <c r="AB38" s="69"/>
      <c r="AC38" s="69"/>
      <c r="AD38" s="69"/>
      <c r="AE38" s="69"/>
      <c r="AF38" s="88"/>
      <c r="AG38" s="72"/>
      <c r="AH38" s="4"/>
      <c r="AI38" s="72"/>
      <c r="AJ38" s="110"/>
      <c r="AK38" s="72"/>
      <c r="AL38" s="72"/>
      <c r="AM38" s="72"/>
      <c r="AN38" s="72"/>
      <c r="AO38" s="72"/>
      <c r="AP38" s="72"/>
      <c r="AQ38" s="89"/>
      <c r="AR38" s="118"/>
      <c r="AS38" s="89"/>
      <c r="AT38" s="89"/>
      <c r="AU38" s="3"/>
      <c r="AV38" s="71">
        <f>24*60*60</f>
        <v>86400</v>
      </c>
      <c r="AW38" s="71">
        <f>365*24*60*60*14/12</f>
        <v>36792000</v>
      </c>
      <c r="AX38" s="71">
        <f>365*24*60*60*44/12</f>
        <v>115632000</v>
      </c>
      <c r="AY38" s="71">
        <f>365*24*60*60*76/12</f>
        <v>199728000</v>
      </c>
      <c r="AZ38" s="71">
        <f>365*24*60*60*126/12</f>
        <v>331128000</v>
      </c>
      <c r="BA38" s="71">
        <f>365*24*60*60*179/12</f>
        <v>470412000</v>
      </c>
      <c r="BB38" s="71">
        <f>365*24*60*60*249/12</f>
        <v>654372000</v>
      </c>
      <c r="BC38" s="71">
        <f>365*24*60*60*341/12</f>
        <v>896148000</v>
      </c>
      <c r="BD38" s="71">
        <f>365*24*60*60*556/12</f>
        <v>1461168000</v>
      </c>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1"/>
      <c r="CS38" s="1"/>
      <c r="CT38" s="1"/>
      <c r="CU38" s="1"/>
    </row>
    <row r="39" spans="1:99" s="13" customFormat="1" ht="12" customHeight="1" x14ac:dyDescent="0.2">
      <c r="A39" s="68">
        <v>43509</v>
      </c>
      <c r="B39" s="70" t="s">
        <v>205</v>
      </c>
      <c r="C39" s="70" t="s">
        <v>206</v>
      </c>
      <c r="D39" s="69">
        <v>1983</v>
      </c>
      <c r="E39" s="87">
        <v>1</v>
      </c>
      <c r="F39" s="69">
        <v>851</v>
      </c>
      <c r="G39" s="69">
        <v>106.4</v>
      </c>
      <c r="H39" s="69" t="s">
        <v>232</v>
      </c>
      <c r="I39" s="69" t="s">
        <v>606</v>
      </c>
      <c r="J39" s="69" t="s">
        <v>599</v>
      </c>
      <c r="K39" s="69">
        <f>IF(J39="syllables",1,IF(J39="trigrams",2,IF(J39="strings",3,IF(J39="visual array",4,IF(J39="characters",5,IF(J39="letters",6,IF(J39="free forms",7,IF(J39="odors",8,IF(J39="words",9,IF(J39="pictures",10,IF(J39="object pictures",11,IF(J39="faces",12,IF(J39="names",13,IF(J39="idioms",14,IF(J39="grades",15,IF(J39="syllable-digit pairs",16,IF(J39="trigram-word pairs",17,IF(J39="word-digit pairs",18,IF(J39="English-Swahili pairs",19,IF(J39="spatial position",20,IF(J39="word pairs",21,IF(J39="word triads",22,IF(J39="generated words",23,IF(J39="word definition pairs",24,IF(J39="math problems",25,IF(J39="famous faces",26,IF(J39="famous names",27,IF(J39="famous voices",28,IF(J39="television programs",29,IF(J39="race horses",30,IF(J39="new vocabulary",31,IF(J39="sentences",32,IF(J39="concepts",33,IF(J39="ad slides",34,IF(J39="scenes",35,IF(J39="famous scenes",36,IF(J39="poems",37,IF(J39="walk",38,IF(J39="faces and events",39,IF(J39="events and names",40,IF(J39="flashbulb",41,IF(J39="stories",42,IF(J39="course material",43,IF(J39="autobiographical",44,IF(J39="novels",45,IF(J39="public events",46,"99"))))))))))))))))))))))))))))))))))))))))))))))</f>
        <v>13</v>
      </c>
      <c r="L39" s="69">
        <f>IF(J39="syllables",1,IF(J39="trigrams",1,IF(J39="strings",1,IF(J39="visual array",1,IF(J39="characters",1,IF(J39="letters",1,IF(J39="free forms",1,IF(J39="odors",2,IF(J39="words",2,IF(J39="pictures",2,IF(J39="object pictures",2,IF(J39="faces",2,IF(J39="names",2,IF(J39="idioms","2",IF(J39="grades",2,IF(J39="syllable-digit pairs",3,IF(J39="trigram-word pairs",3,IF(J39="word-digit pairs",3,IF(J39="English-Swahili pairs",3,IF(J39="spatial position",3,IF(J39="word pairs",4,IF(J39="word triads",4,IF(J39="generated words",4,IF(J39="word definition pairs",4,IF(J39="math problems",4,IF(J39="famous faces",4,IF(J39="famous names",4,IF(J39="famous voices",4,IF(J39="television programs",4,IF(J39="race horses",4,IF(J39="new vocabulary",4,IF(J39="sentences",5,IF(J39="concepts",5,IF(J39="ad slides",5,IF(J39="scenes",5,IF(J39="famous scenes",5,IF(J39="poems",6,IF(J39="walk",6,IF(J39="faces and events",6,IF(J39="events and names",6,IF(J39="flashbulb",7,IF(J39="stories",7,IF(J39="course material",7,IF(J39="autobiographical",7,IF(J39="novels",7,IF(J39="public events",7,"99"))))))))))))))))))))))))))))))))))))))))))))))</f>
        <v>2</v>
      </c>
      <c r="M39" s="69">
        <v>1</v>
      </c>
      <c r="N39" s="69">
        <v>2</v>
      </c>
      <c r="O39" s="69">
        <v>0</v>
      </c>
      <c r="P39" s="69"/>
      <c r="Q39" s="92" t="s">
        <v>174</v>
      </c>
      <c r="R39" s="69">
        <f>IF(Q39="Free Recall",1,IF(Q39="Cued Recall",2,IF(Q39="Recognition",3,IF(Q39="Multiple Choice",4,IF(Q39="Savings",5,IF(Q39="Stem Completion",6,IF(Q39="Fragment Completion",7,IF(Q39="anagram solution",8,IF(Q39="Matching",9,IF(Q39="Problem Solving",10,"99"))))))))))</f>
        <v>1</v>
      </c>
      <c r="S39" s="69" t="s">
        <v>15</v>
      </c>
      <c r="T39" s="69" t="s">
        <v>261</v>
      </c>
      <c r="U39" s="69">
        <f>IF(T39="within",1,0)</f>
        <v>0</v>
      </c>
      <c r="V39" s="69">
        <v>30</v>
      </c>
      <c r="W39" s="69">
        <f>F39*V39</f>
        <v>25530</v>
      </c>
      <c r="X39" s="69">
        <v>9</v>
      </c>
      <c r="Y39" s="87">
        <f>AV38</f>
        <v>86400</v>
      </c>
      <c r="Z39" s="69" t="s">
        <v>207</v>
      </c>
      <c r="AA39" s="69">
        <v>1450656000</v>
      </c>
      <c r="AB39" s="69" t="str">
        <f>IF(AA39&lt;60,"1",IF(AA39&lt;=43200,"2",IF(AA39&lt;=777600,"3","4")))</f>
        <v>4</v>
      </c>
      <c r="AC39" s="72">
        <f>AVERAGE(AV38:DA38)</f>
        <v>462829600</v>
      </c>
      <c r="AD39" s="69" t="str">
        <f>IF(AC39&lt;60,"1",IF(AC39&lt;=43200,"2",IF(AC39&lt;=777600,"3","4")))</f>
        <v>4</v>
      </c>
      <c r="AE39" s="87">
        <f>AA39-Y39</f>
        <v>1450569600</v>
      </c>
      <c r="AF39" s="88">
        <f>AV39</f>
        <v>0.99399999999999999</v>
      </c>
      <c r="AG39" s="72">
        <f>((AW39-AV39)+(AX39-AW39)+(AY39-AX39)+(AZ39-AY39)+(BA39-AZ39)+(BB39-BA39)+(BC39-BB39)+(BD39-BC39))/8</f>
        <v>-0.104375</v>
      </c>
      <c r="AH39" s="4"/>
      <c r="AI39" s="72">
        <f>RSQ(AV39:BD39,AV38:BD38)</f>
        <v>0.69809147369778823</v>
      </c>
      <c r="AJ39" s="110">
        <f>SLOPE(AV39:BD39,AV38:BD38)</f>
        <v>-4.7111436885444136E-10</v>
      </c>
      <c r="AK39" s="72">
        <f>INTERCEPT(AV39:BD39,AV38:BD38)</f>
        <v>0.72349011933559793</v>
      </c>
      <c r="AL39" s="72">
        <f>INDEX(LINEST(LN(AV39:BD39),LN(AV38:BD38),TRUE,TRUE),3,1)</f>
        <v>0.6319618372249679</v>
      </c>
      <c r="AM39" s="72">
        <f>INDEX(LINEST(LN(AV39:BD39),LN(AV38:BD38)),1)</f>
        <v>-0.1519162661259072</v>
      </c>
      <c r="AN39" s="72">
        <f>EXP(INDEX(LINEST(LN(AV39:BD39),LN(AV38:BD38)),1,2))</f>
        <v>7.5437074359172724</v>
      </c>
      <c r="AO39" s="89">
        <f>INDEX(LINEST((AV39:BD39),LN(AV38:BD38),TRUE,TRUE),3,1)</f>
        <v>0.81049026268983804</v>
      </c>
      <c r="AP39" s="89">
        <f>INDEX(LINEST((AV39:BD39),LN(AV38:BD38)),1)</f>
        <v>-8.1917543695080433E-2</v>
      </c>
      <c r="AQ39" s="90">
        <f>INDEX(LINEST(LN(AV39:BD39),SQRT(AV38:BD38),TRUE,TRUE),3,1)</f>
        <v>0.94879896462809343</v>
      </c>
      <c r="AR39" s="117">
        <f>INDEX(LINEST(LN(AV39:BD39),SQRT((AV38:BD38))),1)</f>
        <v>-4.603544016601435E-5</v>
      </c>
      <c r="AS39" s="91">
        <f>INDEX(LINEST(1/(AV39:BD39),1/(SQRT(AV38:BD38)),TRUE,TRUE),3,1)</f>
        <v>0.16141383108260013</v>
      </c>
      <c r="AT39" s="91">
        <f>INDEX(LINEST(1/(AV39:BD39),1/SQRT(AV38:BD38)),1)</f>
        <v>-577.79907168568025</v>
      </c>
      <c r="AU39" s="3"/>
      <c r="AV39" s="73">
        <v>0.99399999999999999</v>
      </c>
      <c r="AW39" s="73">
        <v>0.80300000000000005</v>
      </c>
      <c r="AX39" s="73">
        <v>0.64900000000000002</v>
      </c>
      <c r="AY39" s="73">
        <v>0.56999999999999995</v>
      </c>
      <c r="AZ39" s="73">
        <v>0.378</v>
      </c>
      <c r="BA39" s="73">
        <v>0.35099999999999998</v>
      </c>
      <c r="BB39" s="73">
        <v>0.30199999999999999</v>
      </c>
      <c r="BC39" s="73">
        <v>0.34300000000000003</v>
      </c>
      <c r="BD39" s="73">
        <v>0.159</v>
      </c>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1"/>
      <c r="CS39" s="1"/>
      <c r="CT39" s="1"/>
      <c r="CU39" s="1"/>
    </row>
    <row r="40" spans="1:99" s="13" customFormat="1" ht="12" customHeight="1" x14ac:dyDescent="0.2">
      <c r="A40" s="68">
        <v>43509</v>
      </c>
      <c r="B40" s="70"/>
      <c r="C40" s="70"/>
      <c r="D40" s="69"/>
      <c r="E40" s="87"/>
      <c r="F40" s="69"/>
      <c r="G40" s="69"/>
      <c r="H40" s="69"/>
      <c r="I40" s="69"/>
      <c r="J40" s="69"/>
      <c r="K40" s="107"/>
      <c r="L40" s="107"/>
      <c r="M40" s="69"/>
      <c r="N40" s="69"/>
      <c r="O40" s="69"/>
      <c r="P40" s="69"/>
      <c r="Q40" s="69"/>
      <c r="R40" s="69"/>
      <c r="S40" s="69"/>
      <c r="T40" s="69"/>
      <c r="U40" s="69"/>
      <c r="V40" s="69"/>
      <c r="W40" s="69"/>
      <c r="X40" s="69"/>
      <c r="Y40" s="87"/>
      <c r="Z40" s="69"/>
      <c r="AA40" s="69"/>
      <c r="AB40" s="69"/>
      <c r="AC40" s="69"/>
      <c r="AD40" s="69"/>
      <c r="AE40" s="69"/>
      <c r="AF40" s="88"/>
      <c r="AG40" s="72"/>
      <c r="AH40" s="4"/>
      <c r="AI40" s="72"/>
      <c r="AJ40" s="110"/>
      <c r="AK40" s="72"/>
      <c r="AL40" s="72"/>
      <c r="AM40" s="72"/>
      <c r="AN40" s="72"/>
      <c r="AO40" s="72"/>
      <c r="AP40" s="72"/>
      <c r="AQ40" s="89"/>
      <c r="AR40" s="118"/>
      <c r="AS40" s="89"/>
      <c r="AT40" s="89"/>
      <c r="AU40" s="3"/>
      <c r="AV40" s="71">
        <f>24*60*60</f>
        <v>86400</v>
      </c>
      <c r="AW40" s="71">
        <f>365*24*60*60*14/12</f>
        <v>36792000</v>
      </c>
      <c r="AX40" s="71">
        <f>365*24*60*60*44/12</f>
        <v>115632000</v>
      </c>
      <c r="AY40" s="71">
        <f>365*24*60*60*76/12</f>
        <v>199728000</v>
      </c>
      <c r="AZ40" s="71">
        <f>365*24*60*60*126/12</f>
        <v>331128000</v>
      </c>
      <c r="BA40" s="71">
        <f>365*24*60*60*179/12</f>
        <v>470412000</v>
      </c>
      <c r="BB40" s="71">
        <f>365*24*60*60*249/12</f>
        <v>654372000</v>
      </c>
      <c r="BC40" s="71">
        <f>365*24*60*60*341/12</f>
        <v>896148000</v>
      </c>
      <c r="BD40" s="71">
        <f>365*24*60*60*556/12</f>
        <v>1461168000</v>
      </c>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1"/>
      <c r="CS40" s="1"/>
      <c r="CT40" s="1"/>
      <c r="CU40" s="1"/>
    </row>
    <row r="41" spans="1:99" s="13" customFormat="1" ht="12" customHeight="1" x14ac:dyDescent="0.2">
      <c r="A41" s="68">
        <v>43509</v>
      </c>
      <c r="B41" s="70" t="s">
        <v>205</v>
      </c>
      <c r="C41" s="70" t="s">
        <v>206</v>
      </c>
      <c r="D41" s="69">
        <v>1983</v>
      </c>
      <c r="E41" s="87">
        <v>1</v>
      </c>
      <c r="F41" s="69">
        <v>851</v>
      </c>
      <c r="G41" s="69">
        <v>106.4</v>
      </c>
      <c r="H41" s="69" t="s">
        <v>232</v>
      </c>
      <c r="I41" s="69" t="s">
        <v>607</v>
      </c>
      <c r="J41" s="69" t="s">
        <v>599</v>
      </c>
      <c r="K41" s="69">
        <f>IF(J41="syllables",1,IF(J41="trigrams",2,IF(J41="strings",3,IF(J41="visual array",4,IF(J41="characters",5,IF(J41="letters",6,IF(J41="free forms",7,IF(J41="odors",8,IF(J41="words",9,IF(J41="pictures",10,IF(J41="object pictures",11,IF(J41="faces",12,IF(J41="names",13,IF(J41="idioms",14,IF(J41="grades",15,IF(J41="syllable-digit pairs",16,IF(J41="trigram-word pairs",17,IF(J41="word-digit pairs",18,IF(J41="English-Swahili pairs",19,IF(J41="spatial position",20,IF(J41="word pairs",21,IF(J41="word triads",22,IF(J41="generated words",23,IF(J41="word definition pairs",24,IF(J41="math problems",25,IF(J41="famous faces",26,IF(J41="famous names",27,IF(J41="famous voices",28,IF(J41="television programs",29,IF(J41="race horses",30,IF(J41="new vocabulary",31,IF(J41="sentences",32,IF(J41="concepts",33,IF(J41="ad slides",34,IF(J41="scenes",35,IF(J41="famous scenes",36,IF(J41="poems",37,IF(J41="walk",38,IF(J41="faces and events",39,IF(J41="events and names",40,IF(J41="flashbulb",41,IF(J41="stories",42,IF(J41="course material",43,IF(J41="autobiographical",44,IF(J41="novels",45,IF(J41="public events",46,"99"))))))))))))))))))))))))))))))))))))))))))))))</f>
        <v>13</v>
      </c>
      <c r="L41" s="69">
        <f>IF(J41="syllables",1,IF(J41="trigrams",1,IF(J41="strings",1,IF(J41="visual array",1,IF(J41="characters",1,IF(J41="letters",1,IF(J41="free forms",1,IF(J41="odors",2,IF(J41="words",2,IF(J41="pictures",2,IF(J41="object pictures",2,IF(J41="faces",2,IF(J41="names",2,IF(J41="idioms","2",IF(J41="grades",2,IF(J41="syllable-digit pairs",3,IF(J41="trigram-word pairs",3,IF(J41="word-digit pairs",3,IF(J41="English-Swahili pairs",3,IF(J41="spatial position",3,IF(J41="word pairs",4,IF(J41="word triads",4,IF(J41="generated words",4,IF(J41="word definition pairs",4,IF(J41="math problems",4,IF(J41="famous faces",4,IF(J41="famous names",4,IF(J41="famous voices",4,IF(J41="television programs",4,IF(J41="race horses",4,IF(J41="new vocabulary",4,IF(J41="sentences",5,IF(J41="concepts",5,IF(J41="ad slides",5,IF(J41="scenes",5,IF(J41="famous scenes",5,IF(J41="poems",6,IF(J41="walk",6,IF(J41="faces and events",6,IF(J41="events and names",6,IF(J41="flashbulb",7,IF(J41="stories",7,IF(J41="course material",7,IF(J41="autobiographical",7,IF(J41="novels",7,IF(J41="public events",7,"99"))))))))))))))))))))))))))))))))))))))))))))))</f>
        <v>2</v>
      </c>
      <c r="M41" s="69">
        <v>1</v>
      </c>
      <c r="N41" s="69">
        <v>2</v>
      </c>
      <c r="O41" s="69">
        <v>0</v>
      </c>
      <c r="P41" s="69"/>
      <c r="Q41" s="69" t="s">
        <v>133</v>
      </c>
      <c r="R41" s="69">
        <f>IF(Q41="Free Recall",1,IF(Q41="Cued Recall",2,IF(Q41="Recognition",3,IF(Q41="Multiple Choice",4,IF(Q41="Savings",5,IF(Q41="Stem Completion",6,IF(Q41="Fragment Completion",7,IF(Q41="anagram solution",8,IF(Q41="Matching",9,IF(Q41="Problem Solving",10,"99"))))))))))</f>
        <v>9</v>
      </c>
      <c r="S41" s="69" t="s">
        <v>15</v>
      </c>
      <c r="T41" s="69" t="s">
        <v>261</v>
      </c>
      <c r="U41" s="69">
        <f>IF(T41="within",1,0)</f>
        <v>0</v>
      </c>
      <c r="V41" s="69">
        <v>13</v>
      </c>
      <c r="W41" s="69">
        <f>F41*V41</f>
        <v>11063</v>
      </c>
      <c r="X41" s="69">
        <v>9</v>
      </c>
      <c r="Y41" s="87">
        <f>AV40</f>
        <v>86400</v>
      </c>
      <c r="Z41" s="69" t="s">
        <v>207</v>
      </c>
      <c r="AA41" s="69">
        <v>1450656000</v>
      </c>
      <c r="AB41" s="69" t="str">
        <f>IF(AA41&lt;60,"1",IF(AA41&lt;=43200,"2",IF(AA41&lt;=777600,"3","4")))</f>
        <v>4</v>
      </c>
      <c r="AC41" s="72">
        <f>AVERAGE(AV40:DA40)</f>
        <v>462829600</v>
      </c>
      <c r="AD41" s="69" t="str">
        <f>IF(AC41&lt;60,"1",IF(AC41&lt;=43200,"2",IF(AC41&lt;=777600,"3","4")))</f>
        <v>4</v>
      </c>
      <c r="AE41" s="87">
        <f>AA41-Y41</f>
        <v>1450569600</v>
      </c>
      <c r="AF41" s="88">
        <f>AV41</f>
        <v>0.999</v>
      </c>
      <c r="AG41" s="72">
        <f>((AW41-AV41)+(AX41-AW41)+(AY41-AX41)+(AZ41-AY41)+(BA41-AZ41)+(BB41-BA41)+(BC41-BB41)+(BD41-BC41))/8</f>
        <v>-6.9750000000000006E-2</v>
      </c>
      <c r="AH41" s="4"/>
      <c r="AI41" s="72">
        <f>RSQ(AV41:BD41,AV40:BD40)</f>
        <v>0.5717970906326858</v>
      </c>
      <c r="AJ41" s="110">
        <f>SLOPE(AV41:BD41,AV40:BD40)</f>
        <v>-3.4768335774492709E-10</v>
      </c>
      <c r="AK41" s="72">
        <f>INTERCEPT(AV41:BD41,AV40:BD40)</f>
        <v>0.81236259383618592</v>
      </c>
      <c r="AL41" s="72">
        <f>INDEX(LINEST(LN(AV41:BD41),LN(AV40:BD40),TRUE,TRUE),3,1)</f>
        <v>0.65346824229338407</v>
      </c>
      <c r="AM41" s="72">
        <f>INDEX(LINEST(LN(AV41:BD41),LN(AV40:BD40)),1)</f>
        <v>-8.7656895894171291E-2</v>
      </c>
      <c r="AN41" s="72">
        <f>EXP(INDEX(LINEST(LN(AV41:BD41),LN(AV40:BD40)),1,2))</f>
        <v>3.1935613057314631</v>
      </c>
      <c r="AO41" s="89">
        <f>INDEX(LINEST((AV41:BD41),LN(AV40:BD40),TRUE,TRUE),3,1)</f>
        <v>0.6979275921697965</v>
      </c>
      <c r="AP41" s="89">
        <f>INDEX(LINEST((AV41:BD41),LN(AV40:BD40)),1)</f>
        <v>-6.1987047913812286E-2</v>
      </c>
      <c r="AQ41" s="90">
        <f>INDEX(LINEST(LN(AV41:BD41),SQRT(AV40:BD40),TRUE,TRUE),3,1)</f>
        <v>0.82312011877781932</v>
      </c>
      <c r="AR41" s="117">
        <f>INDEX(LINEST(LN(AV41:BD41),SQRT((AV40:BD40))),1)</f>
        <v>-2.4330542948732228E-5</v>
      </c>
      <c r="AS41" s="91">
        <f>INDEX(LINEST(1/(AV41:BD41),1/(SQRT(AV40:BD40)),TRUE,TRUE),3,1)</f>
        <v>0.28830884230463549</v>
      </c>
      <c r="AT41" s="91">
        <f>INDEX(LINEST(1/(AV41:BD41),1/SQRT(AV40:BD40)),1)</f>
        <v>-242.06592195524317</v>
      </c>
      <c r="AU41" s="3"/>
      <c r="AV41" s="73">
        <v>0.999</v>
      </c>
      <c r="AW41" s="73">
        <v>0.99</v>
      </c>
      <c r="AX41" s="73">
        <v>0.76500000000000001</v>
      </c>
      <c r="AY41" s="73">
        <v>0.61199999999999999</v>
      </c>
      <c r="AZ41" s="73">
        <v>0.53100000000000003</v>
      </c>
      <c r="BA41" s="73">
        <v>0.59499999999999997</v>
      </c>
      <c r="BB41" s="73">
        <v>0.41899999999999998</v>
      </c>
      <c r="BC41" s="73">
        <v>0.51100000000000001</v>
      </c>
      <c r="BD41" s="73">
        <v>0.441</v>
      </c>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1"/>
      <c r="CS41" s="1"/>
      <c r="CT41" s="1"/>
      <c r="CU41" s="1"/>
    </row>
    <row r="42" spans="1:99" s="13" customFormat="1" ht="12" customHeight="1" x14ac:dyDescent="0.2">
      <c r="A42" s="68">
        <v>43509</v>
      </c>
      <c r="B42" s="70"/>
      <c r="C42" s="70"/>
      <c r="D42" s="69"/>
      <c r="E42" s="87"/>
      <c r="F42" s="69"/>
      <c r="G42" s="69"/>
      <c r="H42" s="69"/>
      <c r="I42" s="69"/>
      <c r="J42" s="69"/>
      <c r="K42" s="107"/>
      <c r="L42" s="107"/>
      <c r="M42" s="69"/>
      <c r="N42" s="69"/>
      <c r="O42" s="69"/>
      <c r="P42" s="69"/>
      <c r="Q42" s="69"/>
      <c r="R42" s="69"/>
      <c r="S42" s="69"/>
      <c r="T42" s="69"/>
      <c r="U42" s="69"/>
      <c r="V42" s="69"/>
      <c r="W42" s="69"/>
      <c r="X42" s="69"/>
      <c r="Y42" s="87"/>
      <c r="Z42" s="69"/>
      <c r="AA42" s="69"/>
      <c r="AB42" s="69"/>
      <c r="AC42" s="69"/>
      <c r="AD42" s="69"/>
      <c r="AE42" s="69"/>
      <c r="AF42" s="88"/>
      <c r="AG42" s="72"/>
      <c r="AH42" s="4"/>
      <c r="AI42" s="72"/>
      <c r="AJ42" s="110"/>
      <c r="AK42" s="72"/>
      <c r="AL42" s="72"/>
      <c r="AM42" s="72"/>
      <c r="AN42" s="72"/>
      <c r="AO42" s="72"/>
      <c r="AP42" s="72"/>
      <c r="AQ42" s="89"/>
      <c r="AR42" s="118"/>
      <c r="AS42" s="89"/>
      <c r="AT42" s="89"/>
      <c r="AU42" s="3"/>
      <c r="AV42" s="71">
        <f>24*60*60</f>
        <v>86400</v>
      </c>
      <c r="AW42" s="71">
        <f>365*24*60*60*14/12</f>
        <v>36792000</v>
      </c>
      <c r="AX42" s="71">
        <f>365*24*60*60*44/12</f>
        <v>115632000</v>
      </c>
      <c r="AY42" s="71">
        <f>365*24*60*60*76/12</f>
        <v>199728000</v>
      </c>
      <c r="AZ42" s="71">
        <f>365*24*60*60*126/12</f>
        <v>331128000</v>
      </c>
      <c r="BA42" s="71">
        <f>365*24*60*60*179/12</f>
        <v>470412000</v>
      </c>
      <c r="BB42" s="71">
        <f>365*24*60*60*249/12</f>
        <v>654372000</v>
      </c>
      <c r="BC42" s="71">
        <f>365*24*60*60*341/12</f>
        <v>896148000</v>
      </c>
      <c r="BD42" s="71">
        <f>365*24*60*60*556/12</f>
        <v>1461168000</v>
      </c>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1"/>
      <c r="CS42" s="1"/>
      <c r="CT42" s="1"/>
      <c r="CU42" s="1"/>
    </row>
    <row r="43" spans="1:99" s="13" customFormat="1" ht="12" customHeight="1" x14ac:dyDescent="0.2">
      <c r="A43" s="68">
        <v>43509</v>
      </c>
      <c r="B43" s="70" t="s">
        <v>205</v>
      </c>
      <c r="C43" s="70" t="s">
        <v>206</v>
      </c>
      <c r="D43" s="69">
        <v>1983</v>
      </c>
      <c r="E43" s="87">
        <v>1</v>
      </c>
      <c r="F43" s="69">
        <v>851</v>
      </c>
      <c r="G43" s="69">
        <v>106.4</v>
      </c>
      <c r="H43" s="69" t="s">
        <v>232</v>
      </c>
      <c r="I43" s="69" t="s">
        <v>608</v>
      </c>
      <c r="J43" s="69" t="s">
        <v>599</v>
      </c>
      <c r="K43" s="69">
        <f>IF(J43="syllables",1,IF(J43="trigrams",2,IF(J43="strings",3,IF(J43="visual array",4,IF(J43="characters",5,IF(J43="letters",6,IF(J43="free forms",7,IF(J43="odors",8,IF(J43="words",9,IF(J43="pictures",10,IF(J43="object pictures",11,IF(J43="faces",12,IF(J43="names",13,IF(J43="idioms",14,IF(J43="grades",15,IF(J43="syllable-digit pairs",16,IF(J43="trigram-word pairs",17,IF(J43="word-digit pairs",18,IF(J43="English-Swahili pairs",19,IF(J43="spatial position",20,IF(J43="word pairs",21,IF(J43="word triads",22,IF(J43="generated words",23,IF(J43="word definition pairs",24,IF(J43="math problems",25,IF(J43="famous faces",26,IF(J43="famous names",27,IF(J43="famous voices",28,IF(J43="television programs",29,IF(J43="race horses",30,IF(J43="new vocabulary",31,IF(J43="sentences",32,IF(J43="concepts",33,IF(J43="ad slides",34,IF(J43="scenes",35,IF(J43="famous scenes",36,IF(J43="poems",37,IF(J43="walk",38,IF(J43="faces and events",39,IF(J43="events and names",40,IF(J43="flashbulb",41,IF(J43="stories",42,IF(J43="course material",43,IF(J43="autobiographical",44,IF(J43="novels",45,IF(J43="public events",46,"99"))))))))))))))))))))))))))))))))))))))))))))))</f>
        <v>13</v>
      </c>
      <c r="L43" s="69">
        <f>IF(J43="syllables",1,IF(J43="trigrams",1,IF(J43="strings",1,IF(J43="visual array",1,IF(J43="characters",1,IF(J43="letters",1,IF(J43="free forms",1,IF(J43="odors",2,IF(J43="words",2,IF(J43="pictures",2,IF(J43="object pictures",2,IF(J43="faces",2,IF(J43="names",2,IF(J43="idioms","2",IF(J43="grades",2,IF(J43="syllable-digit pairs",3,IF(J43="trigram-word pairs",3,IF(J43="word-digit pairs",3,IF(J43="English-Swahili pairs",3,IF(J43="spatial position",3,IF(J43="word pairs",4,IF(J43="word triads",4,IF(J43="generated words",4,IF(J43="word definition pairs",4,IF(J43="math problems",4,IF(J43="famous faces",4,IF(J43="famous names",4,IF(J43="famous voices",4,IF(J43="television programs",4,IF(J43="race horses",4,IF(J43="new vocabulary",4,IF(J43="sentences",5,IF(J43="concepts",5,IF(J43="ad slides",5,IF(J43="scenes",5,IF(J43="famous scenes",5,IF(J43="poems",6,IF(J43="walk",6,IF(J43="faces and events",6,IF(J43="events and names",6,IF(J43="flashbulb",7,IF(J43="stories",7,IF(J43="course material",7,IF(J43="autobiographical",7,IF(J43="novels",7,IF(J43="public events",7,"99"))))))))))))))))))))))))))))))))))))))))))))))</f>
        <v>2</v>
      </c>
      <c r="M43" s="69">
        <v>1</v>
      </c>
      <c r="N43" s="69">
        <v>2</v>
      </c>
      <c r="O43" s="69">
        <v>0</v>
      </c>
      <c r="P43" s="69"/>
      <c r="Q43" s="69" t="s">
        <v>65</v>
      </c>
      <c r="R43" s="69">
        <f>IF(Q43="Free Recall",1,IF(Q43="Cued Recall",2,IF(Q43="Recognition",3,IF(Q43="Multiple Choice",4,IF(Q43="Savings",5,IF(Q43="Stem Completion",6,IF(Q43="Fragment Completion",7,IF(Q43="anagram solution",8,IF(Q43="Matching",9,IF(Q43="Problem Solving",10,"99"))))))))))</f>
        <v>2</v>
      </c>
      <c r="S43" s="69" t="s">
        <v>15</v>
      </c>
      <c r="T43" s="69" t="s">
        <v>261</v>
      </c>
      <c r="U43" s="69">
        <f>IF(T43="within",1,0)</f>
        <v>0</v>
      </c>
      <c r="V43" s="69">
        <v>13</v>
      </c>
      <c r="W43" s="69">
        <f>F43*V43</f>
        <v>11063</v>
      </c>
      <c r="X43" s="69">
        <v>9</v>
      </c>
      <c r="Y43" s="87">
        <f>AV42</f>
        <v>86400</v>
      </c>
      <c r="Z43" s="69" t="s">
        <v>207</v>
      </c>
      <c r="AA43" s="69">
        <v>1450656000</v>
      </c>
      <c r="AB43" s="69" t="str">
        <f>IF(AA43&lt;60,"1",IF(AA43&lt;=43200,"2",IF(AA43&lt;=777600,"3","4")))</f>
        <v>4</v>
      </c>
      <c r="AC43" s="72">
        <f>AVERAGE(AV42:DA42)</f>
        <v>462829600</v>
      </c>
      <c r="AD43" s="69" t="str">
        <f>IF(AC43&lt;60,"1",IF(AC43&lt;=43200,"2",IF(AC43&lt;=777600,"3","4")))</f>
        <v>4</v>
      </c>
      <c r="AE43" s="87">
        <f>AA43-Y43</f>
        <v>1450569600</v>
      </c>
      <c r="AF43" s="88">
        <f>AV43</f>
        <v>0.998</v>
      </c>
      <c r="AG43" s="72">
        <f>((AW43-AV43)+(AX43-AW43)+(AY43-AX43)+(AZ43-AY43)+(BA43-AZ43)+(BB43-BA43)+(BC43-BB43)+(BD43-BC43))/8</f>
        <v>-0.12425</v>
      </c>
      <c r="AH43" s="4"/>
      <c r="AI43" s="72">
        <f>RSQ(AV43:BD43,AV42:BD42)</f>
        <v>0.50946815917764254</v>
      </c>
      <c r="AJ43" s="110">
        <f>SLOPE(AV43:BD43,AV42:BD42)</f>
        <v>-4.5764774648214109E-10</v>
      </c>
      <c r="AK43" s="72">
        <f>INTERCEPT(AV43:BD43,AV42:BD42)</f>
        <v>0.56014625677856411</v>
      </c>
      <c r="AL43" s="72">
        <f>INDEX(LINEST(LN(AV43:BD43),LN(AV42:BD42),TRUE,TRUE),3,1)</f>
        <v>0.37029169276737128</v>
      </c>
      <c r="AM43" s="72">
        <f>INDEX(LINEST(LN(AV43:BD43),LN(AV42:BD42)),1)</f>
        <v>-0.33010491176757845</v>
      </c>
      <c r="AN43" s="72">
        <f>EXP(INDEX(LINEST(LN(AV43:BD43),LN(AV42:BD42)),1,2))</f>
        <v>90.844985452656459</v>
      </c>
      <c r="AO43" s="89">
        <f>INDEX(LINEST((AV43:BD43),LN(AV42:BD42),TRUE,TRUE),3,1)</f>
        <v>0.89301900400720668</v>
      </c>
      <c r="AP43" s="89">
        <f>INDEX(LINEST((AV43:BD43),LN(AV42:BD42)),1)</f>
        <v>-9.7776838926139517E-2</v>
      </c>
      <c r="AQ43" s="90">
        <f>INDEX(LINEST(LN(AV43:BD43),SQRT(AV42:BD42),TRUE,TRUE),3,1)</f>
        <v>0.70952494994118165</v>
      </c>
      <c r="AR43" s="117">
        <f>INDEX(LINEST(LN(AV43:BD43),SQRT((AV42:BD42))),1)</f>
        <v>-1.1300825936114278E-4</v>
      </c>
      <c r="AS43" s="91">
        <f>INDEX(LINEST(1/(AV43:BD43),1/(SQRT(AV42:BD42)),TRUE,TRUE),3,1)</f>
        <v>2.3380139711930523E-2</v>
      </c>
      <c r="AT43" s="91">
        <f>INDEX(LINEST(1/(AV43:BD43),1/SQRT(AV42:BD42)),1)</f>
        <v>-11271.085700169997</v>
      </c>
      <c r="AU43" s="3"/>
      <c r="AV43" s="73">
        <v>0.998</v>
      </c>
      <c r="AW43" s="73">
        <v>0.65800000000000003</v>
      </c>
      <c r="AX43" s="73">
        <v>0.36899999999999999</v>
      </c>
      <c r="AY43" s="73">
        <v>0.32500000000000001</v>
      </c>
      <c r="AZ43" s="73">
        <v>0.193</v>
      </c>
      <c r="BA43" s="73">
        <v>0.21099999999999999</v>
      </c>
      <c r="BB43" s="73">
        <v>9.2999999999999999E-2</v>
      </c>
      <c r="BC43" s="73">
        <v>0.28399999999999997</v>
      </c>
      <c r="BD43" s="73">
        <v>4.0000000000000001E-3</v>
      </c>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1"/>
      <c r="CS43" s="1"/>
      <c r="CT43" s="1"/>
      <c r="CU43" s="1"/>
    </row>
    <row r="44" spans="1:99" s="13" customFormat="1" ht="12" customHeight="1" x14ac:dyDescent="0.2">
      <c r="A44" s="65">
        <v>43509</v>
      </c>
      <c r="B44" s="1"/>
      <c r="C44" s="1"/>
      <c r="D44" s="60"/>
      <c r="E44" s="76"/>
      <c r="F44" s="60"/>
      <c r="G44" s="60"/>
      <c r="H44" s="60"/>
      <c r="I44" s="60"/>
      <c r="J44" s="60"/>
      <c r="K44" s="64"/>
      <c r="L44" s="64"/>
      <c r="M44" s="60"/>
      <c r="N44" s="60"/>
      <c r="O44" s="60"/>
      <c r="P44" s="60"/>
      <c r="Q44" s="60"/>
      <c r="R44" s="60"/>
      <c r="S44" s="60"/>
      <c r="T44" s="60"/>
      <c r="U44" s="60"/>
      <c r="V44" s="60"/>
      <c r="W44" s="60"/>
      <c r="X44" s="60"/>
      <c r="Y44" s="76"/>
      <c r="Z44" s="60"/>
      <c r="AA44" s="60"/>
      <c r="AB44" s="60"/>
      <c r="AC44" s="60"/>
      <c r="AD44" s="60"/>
      <c r="AE44" s="60"/>
      <c r="AF44" s="80"/>
      <c r="AG44" s="56"/>
      <c r="AH44" s="4"/>
      <c r="AI44" s="56"/>
      <c r="AJ44" s="109"/>
      <c r="AK44" s="56"/>
      <c r="AL44" s="56"/>
      <c r="AM44" s="56"/>
      <c r="AN44" s="56"/>
      <c r="AO44" s="56"/>
      <c r="AP44" s="56"/>
      <c r="AQ44" s="82"/>
      <c r="AR44" s="115"/>
      <c r="AS44" s="82"/>
      <c r="AT44" s="82"/>
      <c r="AU44" s="3"/>
      <c r="AV44" s="25">
        <v>60</v>
      </c>
      <c r="AW44" s="25">
        <f>365*24*60*60*14.5/12</f>
        <v>38106000</v>
      </c>
      <c r="AX44" s="25">
        <f>365*24*60*60*37.8/12</f>
        <v>99338400</v>
      </c>
      <c r="AY44" s="25">
        <f>365*24*60*60*69.1/12</f>
        <v>181594800</v>
      </c>
      <c r="AZ44" s="25">
        <f>365*24*60*60*114/12</f>
        <v>299592000</v>
      </c>
      <c r="BA44" s="25">
        <f>365*24*60*60*175.1/12</f>
        <v>460162800</v>
      </c>
      <c r="BB44" s="25">
        <f>365*24*60*60*300.6/12</f>
        <v>789976800</v>
      </c>
      <c r="BC44" s="25">
        <f>365*24*60*60*415.2/12</f>
        <v>1091145600</v>
      </c>
      <c r="BD44" s="25">
        <f>365*24*60*60*596.4/12</f>
        <v>1567339200</v>
      </c>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1"/>
      <c r="CS44" s="1"/>
      <c r="CT44" s="1"/>
      <c r="CU44" s="1"/>
    </row>
    <row r="45" spans="1:99" s="13" customFormat="1" ht="12" customHeight="1" x14ac:dyDescent="0.2">
      <c r="A45" s="65">
        <v>43509</v>
      </c>
      <c r="B45" s="1" t="s">
        <v>208</v>
      </c>
      <c r="C45" s="1" t="s">
        <v>202</v>
      </c>
      <c r="D45" s="60">
        <v>1984</v>
      </c>
      <c r="E45" s="76">
        <v>1</v>
      </c>
      <c r="F45" s="60">
        <v>773</v>
      </c>
      <c r="G45" s="60">
        <v>91.6</v>
      </c>
      <c r="H45" s="60" t="s">
        <v>615</v>
      </c>
      <c r="I45" s="60" t="s">
        <v>613</v>
      </c>
      <c r="J45" s="60" t="s">
        <v>616</v>
      </c>
      <c r="K45" s="60">
        <f>IF(J45="syllables",1,IF(J45="trigrams",2,IF(J45="strings",3,IF(J45="visual array",4,IF(J45="characters",5,IF(J45="letters",6,IF(J45="free forms",7,IF(J45="odors",8,IF(J45="words",9,IF(J45="pictures",10,IF(J45="object pictures",11,IF(J45="faces",12,IF(J45="names",13,IF(J45="idioms",14,IF(J45="grades",15,IF(J45="syllable-digit pairs",16,IF(J45="trigram-word pairs",17,IF(J45="word-digit pairs",18,IF(J45="English-Swahili pairs",19,IF(J45="spatial position",20,IF(J45="word pairs",21,IF(J45="word triads",22,IF(J45="generated words",23,IF(J45="word definition pairs",24,IF(J45="math problems",25,IF(J45="famous faces",26,IF(J45="famous names",27,IF(J45="famous voices",28,IF(J45="television programs",29,IF(J45="race horses",30,IF(J45="new vocabulary",31,IF(J45="sentences",32,IF(J45="concepts",33,IF(J45="ad slides",34,IF(J45="scenes",35,IF(J45="famous scenes",36,IF(J45="poems",37,IF(J45="walk",38,IF(J45="faces and events",39,IF(J45="events and names",40,IF(J45="flashbulb",41,IF(J45="stories",42,IF(J45="course material",43,IF(J45="autobiographical",44,IF(J45="novels",45,IF(J45="public events",46,"99"))))))))))))))))))))))))))))))))))))))))))))))</f>
        <v>14</v>
      </c>
      <c r="L45" s="60" t="str">
        <f>IF(J45="syllables",1,IF(J45="trigrams",1,IF(J45="strings",1,IF(J45="visual array",1,IF(J45="characters",1,IF(J45="letters",1,IF(J45="free forms",1,IF(J45="odors",2,IF(J45="words",2,IF(J45="pictures",2,IF(J45="object pictures",2,IF(J45="faces",2,IF(J45="names",2,IF(J45="idioms","2",IF(J45="grades",2,IF(J45="syllable-digit pairs",3,IF(J45="trigram-word pairs",3,IF(J45="word-digit pairs",3,IF(J45="English-Swahili pairs",3,IF(J45="spatial position",3,IF(J45="word pairs",4,IF(J45="word triads",4,IF(J45="generated words",4,IF(J45="word definition pairs",4,IF(J45="math problems",4,IF(J45="famous faces",4,IF(J45="famous names",4,IF(J45="famous voices",4,IF(J45="television programs",4,IF(J45="race horses",4,IF(J45="new vocabulary",4,IF(J45="sentences",5,IF(J45="concepts",5,IF(J45="ad slides",5,IF(J45="scenes",5,IF(J45="famous scenes",5,IF(J45="poems",6,IF(J45="walk",6,IF(J45="faces and events",6,IF(J45="events and names",6,IF(J45="flashbulb",7,IF(J45="stories",7,IF(J45="course material",7,IF(J45="autobiographical",7,IF(J45="novels",7,IF(J45="public events",7,"99"))))))))))))))))))))))))))))))))))))))))))))))</f>
        <v>2</v>
      </c>
      <c r="M45" s="60">
        <v>1</v>
      </c>
      <c r="N45" s="60">
        <v>2</v>
      </c>
      <c r="O45" s="60">
        <v>0</v>
      </c>
      <c r="P45" s="60"/>
      <c r="Q45" s="59" t="s">
        <v>174</v>
      </c>
      <c r="R45" s="60">
        <f>IF(Q45="Free Recall",1,IF(Q45="Cued Recall",2,IF(Q45="Recognition",3,IF(Q45="Multiple Choice",4,IF(Q45="Savings",5,IF(Q45="Stem Completion",6,IF(Q45="Fragment Completion",7,IF(Q45="anagram solution",8,IF(Q45="Matching",9,IF(Q45="Problem Solving",10,"99"))))))))))</f>
        <v>1</v>
      </c>
      <c r="S45" s="60" t="s">
        <v>49</v>
      </c>
      <c r="T45" s="60" t="s">
        <v>261</v>
      </c>
      <c r="U45" s="60">
        <f>IF(T45="within",1,0)</f>
        <v>0</v>
      </c>
      <c r="V45" s="60">
        <v>30</v>
      </c>
      <c r="W45" s="60">
        <f>F45*V45</f>
        <v>23190</v>
      </c>
      <c r="X45" s="60">
        <v>9</v>
      </c>
      <c r="Y45" s="76">
        <f>AV44</f>
        <v>60</v>
      </c>
      <c r="Z45" s="60" t="s">
        <v>209</v>
      </c>
      <c r="AA45" s="60">
        <v>1576800000</v>
      </c>
      <c r="AB45" s="60" t="str">
        <f>IF(AA45&lt;60,"1",IF(AA45&lt;=43200,"2",IF(AA45&lt;=777600,"3","4")))</f>
        <v>4</v>
      </c>
      <c r="AC45" s="56">
        <f>AVERAGE(AV44:DA44)</f>
        <v>503028406.66666669</v>
      </c>
      <c r="AD45" s="60" t="str">
        <f>IF(AC45&lt;60,"1",IF(AC45&lt;=43200,"2",IF(AC45&lt;=777600,"3","4")))</f>
        <v>4</v>
      </c>
      <c r="AE45" s="76">
        <f>AA45-Y45</f>
        <v>1576799940</v>
      </c>
      <c r="AF45" s="80">
        <f>AV45</f>
        <v>1</v>
      </c>
      <c r="AG45" s="58">
        <f>((AW45-AV45)+(AX45-AW45)+(AY45-AX45)+(AZ45-AY45)+(BA45-AZ45)+(BB45-BA45)+(BC45-BB45)+(BD45-BC45))/8</f>
        <v>-5.7441977447706377E-2</v>
      </c>
      <c r="AH45" s="4"/>
      <c r="AI45" s="56">
        <f>RSQ(AV45:BD45,AV44:BD44)</f>
        <v>0.26059130920828649</v>
      </c>
      <c r="AJ45" s="109">
        <f>SLOPE(AV45:BD45,AV44:BD44)</f>
        <v>-1.4498798828635417E-10</v>
      </c>
      <c r="AK45" s="56">
        <f>INTERCEPT(AV45:BD45,AV44:BD44)</f>
        <v>0.7164435090711746</v>
      </c>
      <c r="AL45" s="56">
        <f>INDEX(LINEST(LN(AV45:BD45),LN(AV44:BD44),TRUE,TRUE),3,1)</f>
        <v>0.7354548202608745</v>
      </c>
      <c r="AM45" s="56">
        <f>INDEX(LINEST(LN(AV45:BD45),LN(AV44:BD44)),1)</f>
        <v>-3.4286545603981373E-2</v>
      </c>
      <c r="AN45" s="56">
        <f>EXP(INDEX(LINEST(LN(AV45:BD45),LN(AV44:BD44)),1,2))</f>
        <v>1.1625817785484069</v>
      </c>
      <c r="AO45" s="82">
        <f>INDEX(LINEST((AV45:BD45),LN(AV44:BD44),TRUE,TRUE),3,1)</f>
        <v>0.81661169353845087</v>
      </c>
      <c r="AP45" s="82">
        <f>INDEX(LINEST((AV45:BD45),LN(AV44:BD44)),1)</f>
        <v>-2.6173347534701741E-2</v>
      </c>
      <c r="AQ45" s="83">
        <f>INDEX(LINEST(LN(AV45:BD45),SQRT(AV44:BD44),TRUE,TRUE),3,1)</f>
        <v>0.43239869410629556</v>
      </c>
      <c r="AR45" s="116">
        <f>INDEX(LINEST(LN(AV45:BD45),SQRT((AV44:BD44))),1)</f>
        <v>-1.0734062786589248E-5</v>
      </c>
      <c r="AS45" s="84">
        <f>INDEX(LINEST(1/(AV45:BD45),1/(SQRT(AV44:BD44)),TRUE,TRUE),3,1)</f>
        <v>0.5740437842326207</v>
      </c>
      <c r="AT45" s="84">
        <f>INDEX(LINEST(1/(AV45:BD45),1/SQRT(AV44:BD44)),1)</f>
        <v>-5.3854225990071267</v>
      </c>
      <c r="AU45" s="3"/>
      <c r="AV45" s="53">
        <v>1</v>
      </c>
      <c r="AW45" s="53">
        <v>0.74999650676987895</v>
      </c>
      <c r="AX45" s="53">
        <v>0.50296086184973499</v>
      </c>
      <c r="AY45" s="53">
        <v>0.59085612083781602</v>
      </c>
      <c r="AZ45" s="53">
        <v>0.61036790699624099</v>
      </c>
      <c r="BA45" s="53">
        <v>0.6773596769460779</v>
      </c>
      <c r="BB45" s="53">
        <v>0.58110302234269906</v>
      </c>
      <c r="BC45" s="53">
        <v>0.53848561487836499</v>
      </c>
      <c r="BD45" s="53">
        <v>0.54046418041834898</v>
      </c>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1"/>
      <c r="CS45" s="1"/>
      <c r="CT45" s="1"/>
      <c r="CU45" s="1"/>
    </row>
    <row r="46" spans="1:99" s="13" customFormat="1" ht="12" customHeight="1" x14ac:dyDescent="0.2">
      <c r="A46" s="65">
        <v>43509</v>
      </c>
      <c r="B46" s="1"/>
      <c r="C46" s="1"/>
      <c r="D46" s="60"/>
      <c r="E46" s="76"/>
      <c r="F46" s="60"/>
      <c r="G46" s="60"/>
      <c r="H46" s="60"/>
      <c r="I46" s="60"/>
      <c r="J46" s="60"/>
      <c r="K46" s="64"/>
      <c r="L46" s="64"/>
      <c r="M46" s="60"/>
      <c r="N46" s="60"/>
      <c r="O46" s="60"/>
      <c r="P46" s="60"/>
      <c r="Q46" s="60"/>
      <c r="R46" s="60"/>
      <c r="S46" s="60"/>
      <c r="T46" s="60"/>
      <c r="U46" s="60"/>
      <c r="V46" s="60"/>
      <c r="W46" s="60"/>
      <c r="X46" s="60"/>
      <c r="Y46" s="76"/>
      <c r="Z46" s="60"/>
      <c r="AA46" s="60"/>
      <c r="AB46" s="60"/>
      <c r="AC46" s="60"/>
      <c r="AD46" s="60"/>
      <c r="AE46" s="60"/>
      <c r="AF46" s="80"/>
      <c r="AG46" s="56"/>
      <c r="AH46" s="4"/>
      <c r="AI46" s="56"/>
      <c r="AJ46" s="109"/>
      <c r="AK46" s="56"/>
      <c r="AL46" s="56"/>
      <c r="AM46" s="56"/>
      <c r="AN46" s="56"/>
      <c r="AO46" s="56"/>
      <c r="AP46" s="56"/>
      <c r="AQ46" s="82"/>
      <c r="AR46" s="115"/>
      <c r="AS46" s="82"/>
      <c r="AT46" s="82"/>
      <c r="AU46" s="3"/>
      <c r="AV46" s="25">
        <v>60</v>
      </c>
      <c r="AW46" s="25">
        <f>365*24*60*60*14.5/12</f>
        <v>38106000</v>
      </c>
      <c r="AX46" s="25">
        <f>365*24*60*60*37.8/12</f>
        <v>99338400</v>
      </c>
      <c r="AY46" s="25">
        <f>365*24*60*60*69.1/12</f>
        <v>181594800</v>
      </c>
      <c r="AZ46" s="25">
        <f>365*24*60*60*114/12</f>
        <v>299592000</v>
      </c>
      <c r="BA46" s="25">
        <f>365*24*60*60*175.1/12</f>
        <v>460162800</v>
      </c>
      <c r="BB46" s="25">
        <f>365*24*60*60*300.6/12</f>
        <v>789976800</v>
      </c>
      <c r="BC46" s="25">
        <f>365*24*60*60*415.2/12</f>
        <v>1091145600</v>
      </c>
      <c r="BD46" s="25">
        <f>365*24*60*60*596.4/12</f>
        <v>1567339200</v>
      </c>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53"/>
      <c r="CO46" s="53"/>
      <c r="CP46" s="53"/>
      <c r="CQ46" s="53"/>
      <c r="CR46" s="1"/>
      <c r="CS46" s="1"/>
      <c r="CT46" s="1"/>
      <c r="CU46" s="1"/>
    </row>
    <row r="47" spans="1:99" s="13" customFormat="1" ht="12" customHeight="1" x14ac:dyDescent="0.2">
      <c r="A47" s="65">
        <v>43509</v>
      </c>
      <c r="B47" s="1" t="s">
        <v>208</v>
      </c>
      <c r="C47" s="1" t="s">
        <v>202</v>
      </c>
      <c r="D47" s="60">
        <v>1984</v>
      </c>
      <c r="E47" s="76">
        <v>1</v>
      </c>
      <c r="F47" s="60">
        <v>773</v>
      </c>
      <c r="G47" s="60">
        <v>91.6</v>
      </c>
      <c r="H47" s="60" t="s">
        <v>615</v>
      </c>
      <c r="I47" s="60" t="s">
        <v>614</v>
      </c>
      <c r="J47" s="60" t="s">
        <v>616</v>
      </c>
      <c r="K47" s="60">
        <f>IF(J47="syllables",1,IF(J47="trigrams",2,IF(J47="strings",3,IF(J47="visual array",4,IF(J47="characters",5,IF(J47="letters",6,IF(J47="free forms",7,IF(J47="odors",8,IF(J47="words",9,IF(J47="pictures",10,IF(J47="object pictures",11,IF(J47="faces",12,IF(J47="names",13,IF(J47="idioms",14,IF(J47="grades",15,IF(J47="syllable-digit pairs",16,IF(J47="trigram-word pairs",17,IF(J47="word-digit pairs",18,IF(J47="English-Swahili pairs",19,IF(J47="spatial position",20,IF(J47="word pairs",21,IF(J47="word triads",22,IF(J47="generated words",23,IF(J47="word definition pairs",24,IF(J47="math problems",25,IF(J47="famous faces",26,IF(J47="famous names",27,IF(J47="famous voices",28,IF(J47="television programs",29,IF(J47="race horses",30,IF(J47="new vocabulary",31,IF(J47="sentences",32,IF(J47="concepts",33,IF(J47="ad slides",34,IF(J47="scenes",35,IF(J47="famous scenes",36,IF(J47="poems",37,IF(J47="walk",38,IF(J47="faces and events",39,IF(J47="events and names",40,IF(J47="flashbulb",41,IF(J47="stories",42,IF(J47="course material",43,IF(J47="autobiographical",44,IF(J47="novels",45,IF(J47="public events",46,"99"))))))))))))))))))))))))))))))))))))))))))))))</f>
        <v>14</v>
      </c>
      <c r="L47" s="60" t="str">
        <f>IF(J47="syllables",1,IF(J47="trigrams",1,IF(J47="strings",1,IF(J47="visual array",1,IF(J47="characters",1,IF(J47="letters",1,IF(J47="free forms",1,IF(J47="odors",2,IF(J47="words",2,IF(J47="pictures",2,IF(J47="object pictures",2,IF(J47="faces",2,IF(J47="names",2,IF(J47="idioms","2",IF(J47="grades",2,IF(J47="syllable-digit pairs",3,IF(J47="trigram-word pairs",3,IF(J47="word-digit pairs",3,IF(J47="English-Swahili pairs",3,IF(J47="spatial position",3,IF(J47="word pairs",4,IF(J47="word triads",4,IF(J47="generated words",4,IF(J47="word definition pairs",4,IF(J47="math problems",4,IF(J47="famous faces",4,IF(J47="famous names",4,IF(J47="famous voices",4,IF(J47="television programs",4,IF(J47="race horses",4,IF(J47="new vocabulary",4,IF(J47="sentences",5,IF(J47="concepts",5,IF(J47="ad slides",5,IF(J47="scenes",5,IF(J47="famous scenes",5,IF(J47="poems",6,IF(J47="walk",6,IF(J47="faces and events",6,IF(J47="events and names",6,IF(J47="flashbulb",7,IF(J47="stories",7,IF(J47="course material",7,IF(J47="autobiographical",7,IF(J47="novels",7,IF(J47="public events",7,"99"))))))))))))))))))))))))))))))))))))))))))))))</f>
        <v>2</v>
      </c>
      <c r="M47" s="60">
        <v>1</v>
      </c>
      <c r="N47" s="60">
        <v>2</v>
      </c>
      <c r="O47" s="60">
        <v>0</v>
      </c>
      <c r="P47" s="60"/>
      <c r="Q47" s="60" t="s">
        <v>34</v>
      </c>
      <c r="R47" s="60">
        <f>IF(Q47="Free Recall",1,IF(Q47="Cued Recall",2,IF(Q47="Recognition",3,IF(Q47="Multiple Choice",4,IF(Q47="Savings",5,IF(Q47="Stem Completion",6,IF(Q47="Fragment Completion",7,IF(Q47="anagram solution",8,IF(Q47="Matching",9,IF(Q47="Problem Solving",10,"99"))))))))))</f>
        <v>3</v>
      </c>
      <c r="S47" s="60" t="s">
        <v>15</v>
      </c>
      <c r="T47" s="60" t="s">
        <v>261</v>
      </c>
      <c r="U47" s="60">
        <f>IF(T47="within",1,0)</f>
        <v>0</v>
      </c>
      <c r="V47" s="60">
        <v>30</v>
      </c>
      <c r="W47" s="60">
        <f>F47*V47</f>
        <v>23190</v>
      </c>
      <c r="X47" s="60">
        <v>9</v>
      </c>
      <c r="Y47" s="76">
        <f>AV46</f>
        <v>60</v>
      </c>
      <c r="Z47" s="60" t="s">
        <v>209</v>
      </c>
      <c r="AA47" s="60">
        <v>1576800000</v>
      </c>
      <c r="AB47" s="60" t="str">
        <f>IF(AA47&lt;60,"1",IF(AA47&lt;=43200,"2",IF(AA47&lt;=777600,"3","4")))</f>
        <v>4</v>
      </c>
      <c r="AC47" s="56">
        <f>AVERAGE(AV46:DA46)</f>
        <v>503028406.66666669</v>
      </c>
      <c r="AD47" s="60" t="str">
        <f>IF(AC47&lt;60,"1",IF(AC47&lt;=43200,"2",IF(AC47&lt;=777600,"3","4")))</f>
        <v>4</v>
      </c>
      <c r="AE47" s="76">
        <f>AA47-Y47</f>
        <v>1576799940</v>
      </c>
      <c r="AF47" s="80">
        <f>AV47</f>
        <v>1</v>
      </c>
      <c r="AG47" s="58">
        <f>((AW47-AV47)+(AX47-AW47)+(AY47-AX47)+(AZ47-AY47)+(BA47-AZ47)+(BB47-BA47)+(BC47-BB47)+(BD47-BC47))/8</f>
        <v>-7.1332457696983265E-2</v>
      </c>
      <c r="AH47" s="4"/>
      <c r="AI47" s="56">
        <f>RSQ(AV47:BD47,AV46:BD46)</f>
        <v>0.61401155297672894</v>
      </c>
      <c r="AJ47" s="109">
        <f>SLOPE(AV47:BD47,AV46:BD46)</f>
        <v>-2.5838617013863213E-10</v>
      </c>
      <c r="AK47" s="56">
        <f>INTERCEPT(AV47:BD47,AV46:BD46)</f>
        <v>0.75355442101570669</v>
      </c>
      <c r="AL47" s="56">
        <f>INDEX(LINEST(LN(AV47:BD47),LN(AV46:BD46),TRUE,TRUE),3,1)</f>
        <v>0.70912738373758788</v>
      </c>
      <c r="AM47" s="56">
        <f>INDEX(LINEST(LN(AV47:BD47),LN(AV46:BD46)),1)</f>
        <v>-4.2337376341122862E-2</v>
      </c>
      <c r="AN47" s="56">
        <f>EXP(INDEX(LINEST(LN(AV47:BD47),LN(AV46:BD46)),1,2))</f>
        <v>1.2862931370977502</v>
      </c>
      <c r="AO47" s="82">
        <f>INDEX(LINEST((AV47:BD47),LN(AV46:BD46),TRUE,TRUE),3,1)</f>
        <v>0.8135444351165666</v>
      </c>
      <c r="AP47" s="82">
        <f>INDEX(LINEST((AV47:BD47),LN(AV46:BD46)),1)</f>
        <v>-3.0329904803266954E-2</v>
      </c>
      <c r="AQ47" s="83">
        <f>INDEX(LINEST(LN(AV47:BD47),SQRT(AV46:BD46),TRUE,TRUE),3,1)</f>
        <v>0.9048458783456752</v>
      </c>
      <c r="AR47" s="116">
        <f>INDEX(LINEST(LN(AV47:BD47),SQRT((AV46:BD46))),1)</f>
        <v>-1.9526541607767111E-5</v>
      </c>
      <c r="AS47" s="84">
        <f>INDEX(LINEST(1/(AV47:BD47),1/(SQRT(AV46:BD46)),TRUE,TRUE),3,1)</f>
        <v>0.38668539981570399</v>
      </c>
      <c r="AT47" s="84">
        <f>INDEX(LINEST(1/(AV47:BD47),1/SQRT(AV46:BD46)),1)</f>
        <v>-6.1795982890492276</v>
      </c>
      <c r="AU47" s="3"/>
      <c r="AV47" s="53">
        <v>1</v>
      </c>
      <c r="AW47" s="53">
        <v>0.79126133553173905</v>
      </c>
      <c r="AX47" s="53">
        <v>0.61409588218033395</v>
      </c>
      <c r="AY47" s="53">
        <v>0.63689409923568097</v>
      </c>
      <c r="AZ47" s="53">
        <v>0.59448349099445208</v>
      </c>
      <c r="BA47" s="53">
        <v>0.59164419355289399</v>
      </c>
      <c r="BB47" s="53">
        <v>0.50807495074545495</v>
      </c>
      <c r="BC47" s="53">
        <v>0.44641524725082699</v>
      </c>
      <c r="BD47" s="53">
        <v>0.42934033842413399</v>
      </c>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53"/>
      <c r="CO47" s="53"/>
      <c r="CP47" s="53"/>
      <c r="CQ47" s="53"/>
      <c r="CR47" s="1"/>
      <c r="CS47" s="1"/>
      <c r="CT47" s="1"/>
      <c r="CU47" s="1"/>
    </row>
    <row r="48" spans="1:99" s="13" customFormat="1" ht="12" customHeight="1" x14ac:dyDescent="0.2">
      <c r="A48" s="65">
        <v>43509</v>
      </c>
      <c r="B48" s="1"/>
      <c r="C48" s="1"/>
      <c r="D48" s="60"/>
      <c r="E48" s="76"/>
      <c r="F48" s="60"/>
      <c r="G48" s="60"/>
      <c r="H48" s="60"/>
      <c r="I48" s="60"/>
      <c r="J48" s="60"/>
      <c r="K48" s="64"/>
      <c r="L48" s="64"/>
      <c r="M48" s="60"/>
      <c r="N48" s="60"/>
      <c r="O48" s="60"/>
      <c r="P48" s="60"/>
      <c r="Q48" s="60"/>
      <c r="R48" s="60"/>
      <c r="S48" s="60"/>
      <c r="T48" s="60"/>
      <c r="U48" s="60"/>
      <c r="V48" s="60"/>
      <c r="W48" s="60"/>
      <c r="X48" s="60"/>
      <c r="Y48" s="76"/>
      <c r="Z48" s="60"/>
      <c r="AA48" s="60"/>
      <c r="AB48" s="60"/>
      <c r="AC48" s="60"/>
      <c r="AD48" s="60"/>
      <c r="AE48" s="60"/>
      <c r="AF48" s="80"/>
      <c r="AG48" s="56"/>
      <c r="AH48" s="4"/>
      <c r="AI48" s="56"/>
      <c r="AJ48" s="109"/>
      <c r="AK48" s="56"/>
      <c r="AL48" s="56"/>
      <c r="AM48" s="56"/>
      <c r="AN48" s="56"/>
      <c r="AO48" s="56"/>
      <c r="AP48" s="56"/>
      <c r="AQ48" s="82"/>
      <c r="AR48" s="115"/>
      <c r="AS48" s="82"/>
      <c r="AT48" s="82"/>
      <c r="AU48" s="3"/>
      <c r="AV48" s="25">
        <v>60</v>
      </c>
      <c r="AW48" s="25">
        <f>365*24*60*60*14.5/12</f>
        <v>38106000</v>
      </c>
      <c r="AX48" s="25">
        <f>365*24*60*60*37.8/12</f>
        <v>99338400</v>
      </c>
      <c r="AY48" s="25">
        <f>365*24*60*60*69.1/12</f>
        <v>181594800</v>
      </c>
      <c r="AZ48" s="25">
        <f>365*24*60*60*114/12</f>
        <v>299592000</v>
      </c>
      <c r="BA48" s="25">
        <f>365*24*60*60*175.1/12</f>
        <v>460162800</v>
      </c>
      <c r="BB48" s="25">
        <f>365*24*60*60*300.6/12</f>
        <v>789976800</v>
      </c>
      <c r="BC48" s="25">
        <f>365*24*60*60*415.2/12</f>
        <v>1091145600</v>
      </c>
      <c r="BD48" s="25">
        <f>365*24*60*60*596.4/12</f>
        <v>1567339200</v>
      </c>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53"/>
      <c r="CO48" s="53"/>
      <c r="CP48" s="53"/>
      <c r="CQ48" s="53"/>
      <c r="CR48" s="1"/>
      <c r="CS48" s="1"/>
      <c r="CT48" s="1"/>
      <c r="CU48" s="1"/>
    </row>
    <row r="49" spans="1:99" s="13" customFormat="1" ht="12" customHeight="1" x14ac:dyDescent="0.2">
      <c r="A49" s="65">
        <v>43509</v>
      </c>
      <c r="B49" s="1" t="s">
        <v>208</v>
      </c>
      <c r="C49" s="1" t="s">
        <v>202</v>
      </c>
      <c r="D49" s="60">
        <v>1984</v>
      </c>
      <c r="E49" s="76">
        <v>1</v>
      </c>
      <c r="F49" s="60">
        <v>773</v>
      </c>
      <c r="G49" s="60">
        <v>91.6</v>
      </c>
      <c r="H49" s="60" t="s">
        <v>43</v>
      </c>
      <c r="I49" s="60" t="s">
        <v>609</v>
      </c>
      <c r="J49" s="60" t="s">
        <v>320</v>
      </c>
      <c r="K49" s="60">
        <f>IF(J49="syllables",1,IF(J49="trigrams",2,IF(J49="strings",3,IF(J49="visual array",4,IF(J49="characters",5,IF(J49="letters",6,IF(J49="free forms",7,IF(J49="odors",8,IF(J49="words",9,IF(J49="pictures",10,IF(J49="object pictures",11,IF(J49="faces",12,IF(J49="names",13,IF(J49="idioms",14,IF(J49="grades",15,IF(J49="syllable-digit pairs",16,IF(J49="trigram-word pairs",17,IF(J49="word-digit pairs",18,IF(J49="English-Swahili pairs",19,IF(J49="spatial position",20,IF(J49="word pairs",21,IF(J49="word triads",22,IF(J49="generated words",23,IF(J49="word definition pairs",24,IF(J49="math problems",25,IF(J49="famous faces",26,IF(J49="famous names",27,IF(J49="famous voices",28,IF(J49="television programs",29,IF(J49="race horses",30,IF(J49="new vocabulary",31,IF(J49="sentences",32,IF(J49="concepts",33,IF(J49="ad slides",34,IF(J49="scenes",35,IF(J49="famous scenes",36,IF(J49="poems",37,IF(J49="walk",38,IF(J49="faces and events",39,IF(J49="events and names",40,IF(J49="flashbulb",41,IF(J49="stories",42,IF(J49="course material",43,IF(J49="autobiographical",44,IF(J49="novels",45,IF(J49="public events",46,"99"))))))))))))))))))))))))))))))))))))))))))))))</f>
        <v>21</v>
      </c>
      <c r="L49" s="60">
        <f>IF(J49="syllables",1,IF(J49="trigrams",1,IF(J49="strings",1,IF(J49="visual array",1,IF(J49="characters",1,IF(J49="letters",1,IF(J49="free forms",1,IF(J49="odors",2,IF(J49="words",2,IF(J49="pictures",2,IF(J49="object pictures",2,IF(J49="faces",2,IF(J49="names",2,IF(J49="idioms","2",IF(J49="grades",2,IF(J49="syllable-digit pairs",3,IF(J49="trigram-word pairs",3,IF(J49="word-digit pairs",3,IF(J49="English-Swahili pairs",3,IF(J49="spatial position",3,IF(J49="word pairs",4,IF(J49="word triads",4,IF(J49="generated words",4,IF(J49="word definition pairs",4,IF(J49="math problems",4,IF(J49="famous faces",4,IF(J49="famous names",4,IF(J49="famous voices",4,IF(J49="television programs",4,IF(J49="race horses",4,IF(J49="new vocabulary",4,IF(J49="sentences",5,IF(J49="concepts",5,IF(J49="ad slides",5,IF(J49="scenes",5,IF(J49="famous scenes",5,IF(J49="poems",6,IF(J49="walk",6,IF(J49="faces and events",6,IF(J49="events and names",6,IF(J49="flashbulb",7,IF(J49="stories",7,IF(J49="course material",7,IF(J49="autobiographical",7,IF(J49="novels",7,IF(J49="public events",7,"99"))))))))))))))))))))))))))))))))))))))))))))))</f>
        <v>4</v>
      </c>
      <c r="M49" s="60">
        <v>1</v>
      </c>
      <c r="N49" s="60">
        <v>2</v>
      </c>
      <c r="O49" s="60">
        <v>0</v>
      </c>
      <c r="P49" s="60"/>
      <c r="Q49" s="60" t="s">
        <v>34</v>
      </c>
      <c r="R49" s="60">
        <f>IF(Q49="Free Recall",1,IF(Q49="Cued Recall",2,IF(Q49="Recognition",3,IF(Q49="Multiple Choice",4,IF(Q49="Savings",5,IF(Q49="Stem Completion",6,IF(Q49="Fragment Completion",7,IF(Q49="anagram solution",8,IF(Q49="Matching",9,IF(Q49="Problem Solving",10,"99"))))))))))</f>
        <v>3</v>
      </c>
      <c r="S49" s="60" t="s">
        <v>15</v>
      </c>
      <c r="T49" s="60" t="s">
        <v>261</v>
      </c>
      <c r="U49" s="60">
        <f>IF(T49="within",1,0)</f>
        <v>0</v>
      </c>
      <c r="V49" s="60">
        <v>30</v>
      </c>
      <c r="W49" s="60">
        <f>F49*V49</f>
        <v>23190</v>
      </c>
      <c r="X49" s="60">
        <v>9</v>
      </c>
      <c r="Y49" s="76">
        <f>AV48</f>
        <v>60</v>
      </c>
      <c r="Z49" s="60" t="s">
        <v>209</v>
      </c>
      <c r="AA49" s="60">
        <v>1576800000</v>
      </c>
      <c r="AB49" s="60" t="str">
        <f>IF(AA49&lt;60,"1",IF(AA49&lt;=43200,"2",IF(AA49&lt;=777600,"3","4")))</f>
        <v>4</v>
      </c>
      <c r="AC49" s="56">
        <f>AVERAGE(AV48:DA48)</f>
        <v>503028406.66666669</v>
      </c>
      <c r="AD49" s="60" t="str">
        <f>IF(AC49&lt;60,"1",IF(AC49&lt;=43200,"2",IF(AC49&lt;=777600,"3","4")))</f>
        <v>4</v>
      </c>
      <c r="AE49" s="76">
        <f>AA49-Y49</f>
        <v>1576799940</v>
      </c>
      <c r="AF49" s="80">
        <f>AV49</f>
        <v>1</v>
      </c>
      <c r="AG49" s="56">
        <f>((AW49-AV49)+(AX49-AW49)+(AY49-AX49)+(AZ49-AY49)+(BA49-AZ49)+(BB49-BA49)+(BC49-BB49)+(BD49-BC49))/8</f>
        <v>-7.8474505167613867E-2</v>
      </c>
      <c r="AH49" s="4"/>
      <c r="AI49" s="56">
        <f>RSQ(AV49:BD49,AV48:BD48)</f>
        <v>0.40179245946303216</v>
      </c>
      <c r="AJ49" s="109">
        <f>SLOPE(AV49:BD49,AV48:BD48)</f>
        <v>-2.4194374535953367E-10</v>
      </c>
      <c r="AK49" s="56">
        <f>INTERCEPT(AV49:BD49,AV48:BD48)</f>
        <v>0.66077495713025769</v>
      </c>
      <c r="AL49" s="56">
        <f>INDEX(LINEST(LN(AV49:BD49),LN(AV48:BD48),TRUE,TRUE),3,1)</f>
        <v>0.75874248517363851</v>
      </c>
      <c r="AM49" s="56">
        <f>INDEX(LINEST(LN(AV49:BD49),LN(AV48:BD48)),1)</f>
        <v>-5.3559106996117975E-2</v>
      </c>
      <c r="AN49" s="56">
        <f>EXP(INDEX(LINEST(LN(AV49:BD49),LN(AV48:BD48)),1,2))</f>
        <v>1.3326645931412864</v>
      </c>
      <c r="AO49" s="82">
        <f>INDEX(LINEST((AV49:BD49),LN(AV48:BD48),TRUE,TRUE),3,1)</f>
        <v>0.83992479001420617</v>
      </c>
      <c r="AP49" s="82">
        <f>INDEX(LINEST((AV49:BD49),LN(AV48:BD48)),1)</f>
        <v>-3.567246516489949E-2</v>
      </c>
      <c r="AQ49" s="83">
        <f>INDEX(LINEST(LN(AV49:BD49),SQRT(AV48:BD48),TRUE,TRUE),3,1)</f>
        <v>0.70378303672131481</v>
      </c>
      <c r="AR49" s="116">
        <f>INDEX(LINEST(LN(AV49:BD49),SQRT((AV48:BD48))),1)</f>
        <v>-2.106113322618E-5</v>
      </c>
      <c r="AS49" s="84">
        <f>INDEX(LINEST(1/(AV49:BD49),1/(SQRT(AV48:BD48)),TRUE,TRUE),3,1)</f>
        <v>0.48533025019529086</v>
      </c>
      <c r="AT49" s="84">
        <f>INDEX(LINEST(1/(AV49:BD49),1/SQRT(AV48:BD48)),1)</f>
        <v>-9.0656022562566019</v>
      </c>
      <c r="AU49" s="3"/>
      <c r="AV49" s="53">
        <v>1</v>
      </c>
      <c r="AW49" s="53">
        <v>0.75226574119980105</v>
      </c>
      <c r="AX49" s="53">
        <v>0.44158346363601603</v>
      </c>
      <c r="AY49" s="53">
        <v>0.49771862247816601</v>
      </c>
      <c r="AZ49" s="53">
        <v>0.47590709736470699</v>
      </c>
      <c r="BA49" s="53">
        <v>0.51390412264978402</v>
      </c>
      <c r="BB49" s="53">
        <v>0.40406849471797401</v>
      </c>
      <c r="BC49" s="53">
        <v>0.39398192288623596</v>
      </c>
      <c r="BD49" s="53">
        <v>0.37220395865908901</v>
      </c>
      <c r="BE49" s="53"/>
      <c r="BF49" s="53"/>
      <c r="BG49" s="53"/>
      <c r="BH49" s="53"/>
      <c r="BI49" s="53"/>
      <c r="BJ49" s="53"/>
      <c r="BK49" s="53"/>
      <c r="BL49" s="53"/>
      <c r="BM49" s="53"/>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53"/>
      <c r="CO49" s="53"/>
      <c r="CP49" s="53"/>
      <c r="CQ49" s="53"/>
      <c r="CR49" s="1"/>
      <c r="CS49" s="1"/>
      <c r="CT49" s="1"/>
      <c r="CU49" s="1"/>
    </row>
    <row r="50" spans="1:99" s="13" customFormat="1" ht="12" customHeight="1" x14ac:dyDescent="0.2">
      <c r="A50" s="65">
        <v>43509</v>
      </c>
      <c r="B50" s="1"/>
      <c r="C50" s="1"/>
      <c r="D50" s="60"/>
      <c r="E50" s="76"/>
      <c r="F50" s="60"/>
      <c r="G50" s="60"/>
      <c r="H50" s="60"/>
      <c r="I50" s="60"/>
      <c r="J50" s="60"/>
      <c r="K50" s="64"/>
      <c r="L50" s="64"/>
      <c r="M50" s="60"/>
      <c r="N50" s="60"/>
      <c r="O50" s="60"/>
      <c r="P50" s="60"/>
      <c r="Q50" s="60"/>
      <c r="R50" s="60"/>
      <c r="S50" s="60"/>
      <c r="T50" s="60"/>
      <c r="U50" s="60"/>
      <c r="V50" s="60"/>
      <c r="W50" s="60"/>
      <c r="X50" s="60"/>
      <c r="Y50" s="76"/>
      <c r="Z50" s="60"/>
      <c r="AA50" s="60"/>
      <c r="AB50" s="60"/>
      <c r="AC50" s="60"/>
      <c r="AD50" s="60"/>
      <c r="AE50" s="60"/>
      <c r="AF50" s="80"/>
      <c r="AG50" s="56"/>
      <c r="AH50" s="4"/>
      <c r="AI50" s="56"/>
      <c r="AJ50" s="109"/>
      <c r="AK50" s="56"/>
      <c r="AL50" s="56"/>
      <c r="AM50" s="56"/>
      <c r="AN50" s="56"/>
      <c r="AO50" s="56"/>
      <c r="AP50" s="56"/>
      <c r="AQ50" s="82"/>
      <c r="AR50" s="115"/>
      <c r="AS50" s="82"/>
      <c r="AT50" s="82"/>
      <c r="AU50" s="3"/>
      <c r="AV50" s="25">
        <v>60</v>
      </c>
      <c r="AW50" s="25">
        <f>365*24*60*60*14.5/12</f>
        <v>38106000</v>
      </c>
      <c r="AX50" s="25">
        <f>365*24*60*60*37.8/12</f>
        <v>99338400</v>
      </c>
      <c r="AY50" s="25">
        <f>365*24*60*60*69.1/12</f>
        <v>181594800</v>
      </c>
      <c r="AZ50" s="25">
        <f>365*24*60*60*114/12</f>
        <v>299592000</v>
      </c>
      <c r="BA50" s="25">
        <f>365*24*60*60*175.1/12</f>
        <v>460162800</v>
      </c>
      <c r="BB50" s="25">
        <f>365*24*60*60*300.6/12</f>
        <v>789976800</v>
      </c>
      <c r="BC50" s="25">
        <f>365*24*60*60*415.2/12</f>
        <v>1091145600</v>
      </c>
      <c r="BD50" s="25">
        <f>365*24*60*60*596.4/12</f>
        <v>1567339200</v>
      </c>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53"/>
      <c r="CO50" s="53"/>
      <c r="CP50" s="53"/>
      <c r="CQ50" s="53"/>
      <c r="CR50" s="1"/>
      <c r="CS50" s="1"/>
      <c r="CT50" s="1"/>
      <c r="CU50" s="1"/>
    </row>
    <row r="51" spans="1:99" s="13" customFormat="1" ht="12" customHeight="1" x14ac:dyDescent="0.2">
      <c r="A51" s="65">
        <v>43509</v>
      </c>
      <c r="B51" s="1" t="s">
        <v>208</v>
      </c>
      <c r="C51" s="1" t="s">
        <v>202</v>
      </c>
      <c r="D51" s="60">
        <v>1984</v>
      </c>
      <c r="E51" s="76">
        <v>1</v>
      </c>
      <c r="F51" s="60">
        <v>773</v>
      </c>
      <c r="G51" s="60">
        <v>91.6</v>
      </c>
      <c r="H51" s="60" t="s">
        <v>43</v>
      </c>
      <c r="I51" s="60" t="s">
        <v>610</v>
      </c>
      <c r="J51" s="60" t="s">
        <v>320</v>
      </c>
      <c r="K51" s="60">
        <f>IF(J51="syllables",1,IF(J51="trigrams",2,IF(J51="strings",3,IF(J51="visual array",4,IF(J51="characters",5,IF(J51="letters",6,IF(J51="free forms",7,IF(J51="odors",8,IF(J51="words",9,IF(J51="pictures",10,IF(J51="object pictures",11,IF(J51="faces",12,IF(J51="names",13,IF(J51="idioms",14,IF(J51="grades",15,IF(J51="syllable-digit pairs",16,IF(J51="trigram-word pairs",17,IF(J51="word-digit pairs",18,IF(J51="English-Swahili pairs",19,IF(J51="spatial position",20,IF(J51="word pairs",21,IF(J51="word triads",22,IF(J51="generated words",23,IF(J51="word definition pairs",24,IF(J51="math problems",25,IF(J51="famous faces",26,IF(J51="famous names",27,IF(J51="famous voices",28,IF(J51="television programs",29,IF(J51="race horses",30,IF(J51="new vocabulary",31,IF(J51="sentences",32,IF(J51="concepts",33,IF(J51="ad slides",34,IF(J51="scenes",35,IF(J51="famous scenes",36,IF(J51="poems",37,IF(J51="walk",38,IF(J51="faces and events",39,IF(J51="events and names",40,IF(J51="flashbulb",41,IF(J51="stories",42,IF(J51="course material",43,IF(J51="autobiographical",44,IF(J51="novels",45,IF(J51="public events",46,"99"))))))))))))))))))))))))))))))))))))))))))))))</f>
        <v>21</v>
      </c>
      <c r="L51" s="60">
        <f>IF(J51="syllables",1,IF(J51="trigrams",1,IF(J51="strings",1,IF(J51="visual array",1,IF(J51="characters",1,IF(J51="letters",1,IF(J51="free forms",1,IF(J51="odors",2,IF(J51="words",2,IF(J51="pictures",2,IF(J51="object pictures",2,IF(J51="faces",2,IF(J51="names",2,IF(J51="idioms","2",IF(J51="grades",2,IF(J51="syllable-digit pairs",3,IF(J51="trigram-word pairs",3,IF(J51="word-digit pairs",3,IF(J51="English-Swahili pairs",3,IF(J51="spatial position",3,IF(J51="word pairs",4,IF(J51="word triads",4,IF(J51="generated words",4,IF(J51="word definition pairs",4,IF(J51="math problems",4,IF(J51="famous faces",4,IF(J51="famous names",4,IF(J51="famous voices",4,IF(J51="television programs",4,IF(J51="race horses",4,IF(J51="new vocabulary",4,IF(J51="sentences",5,IF(J51="concepts",5,IF(J51="ad slides",5,IF(J51="scenes",5,IF(J51="famous scenes",5,IF(J51="poems",6,IF(J51="walk",6,IF(J51="faces and events",6,IF(J51="events and names",6,IF(J51="flashbulb",7,IF(J51="stories",7,IF(J51="course material",7,IF(J51="autobiographical",7,IF(J51="novels",7,IF(J51="public events",7,"99"))))))))))))))))))))))))))))))))))))))))))))))</f>
        <v>4</v>
      </c>
      <c r="M51" s="60">
        <v>1</v>
      </c>
      <c r="N51" s="60">
        <v>2</v>
      </c>
      <c r="O51" s="60">
        <v>0</v>
      </c>
      <c r="P51" s="60"/>
      <c r="Q51" s="59" t="s">
        <v>174</v>
      </c>
      <c r="R51" s="60">
        <f>IF(Q51="Free Recall",1,IF(Q51="Cued Recall",2,IF(Q51="Recognition",3,IF(Q51="Multiple Choice",4,IF(Q51="Savings",5,IF(Q51="Stem Completion",6,IF(Q51="Fragment Completion",7,IF(Q51="anagram solution",8,IF(Q51="Matching",9,IF(Q51="Problem Solving",10,"99"))))))))))</f>
        <v>1</v>
      </c>
      <c r="S51" s="60" t="s">
        <v>49</v>
      </c>
      <c r="T51" s="60" t="s">
        <v>261</v>
      </c>
      <c r="U51" s="60">
        <f>IF(T51="within",1,0)</f>
        <v>0</v>
      </c>
      <c r="V51" s="60">
        <v>30</v>
      </c>
      <c r="W51" s="60">
        <f>F51*V51</f>
        <v>23190</v>
      </c>
      <c r="X51" s="60">
        <v>9</v>
      </c>
      <c r="Y51" s="76">
        <f>AV50</f>
        <v>60</v>
      </c>
      <c r="Z51" s="60" t="s">
        <v>209</v>
      </c>
      <c r="AA51" s="60">
        <v>1576800000</v>
      </c>
      <c r="AB51" s="60" t="str">
        <f>IF(AA51&lt;60,"1",IF(AA51&lt;=43200,"2",IF(AA51&lt;=777600,"3","4")))</f>
        <v>4</v>
      </c>
      <c r="AC51" s="56">
        <f>AVERAGE(AV50:DA50)</f>
        <v>503028406.66666669</v>
      </c>
      <c r="AD51" s="60" t="str">
        <f>IF(AC51&lt;60,"1",IF(AC51&lt;=43200,"2",IF(AC51&lt;=777600,"3","4")))</f>
        <v>4</v>
      </c>
      <c r="AE51" s="76">
        <f>AA51-Y51</f>
        <v>1576799940</v>
      </c>
      <c r="AF51" s="80">
        <f>AV51</f>
        <v>1</v>
      </c>
      <c r="AG51" s="58">
        <f>((AW51-AV51)+(AX51-AW51)+(AY51-AX51)+(AZ51-AY51)+(BA51-AZ51)+(BB51-BA51)+(BC51-BB51)+(BD51-BC51))/8</f>
        <v>-3.5944090614393132E-2</v>
      </c>
      <c r="AH51" s="4"/>
      <c r="AI51" s="56">
        <f>RSQ(AV51:BD51,AV50:BD50)</f>
        <v>0.23707456137914881</v>
      </c>
      <c r="AJ51" s="109">
        <f>SLOPE(AV51:BD51,AV50:BD50)</f>
        <v>-9.6411123894057521E-11</v>
      </c>
      <c r="AK51" s="56">
        <f>INTERCEPT(AV51:BD51,AV50:BD50)</f>
        <v>0.8055451930384252</v>
      </c>
      <c r="AL51" s="56">
        <f>INDEX(LINEST(LN(AV51:BD51),LN(AV50:BD50),TRUE,TRUE),3,1)</f>
        <v>0.76208958250528314</v>
      </c>
      <c r="AM51" s="56">
        <f>INDEX(LINEST(LN(AV51:BD51),LN(AV50:BD50)),1)</f>
        <v>-2.1493974579724399E-2</v>
      </c>
      <c r="AN51" s="56">
        <f>EXP(INDEX(LINEST(LN(AV51:BD51),LN(AV50:BD50)),1,2))</f>
        <v>1.1029491337776929</v>
      </c>
      <c r="AO51" s="82">
        <f>INDEX(LINEST((AV51:BD51),LN(AV50:BD50),TRUE,TRUE),3,1)</f>
        <v>0.80462782538631794</v>
      </c>
      <c r="AP51" s="82">
        <f>INDEX(LINEST((AV51:BD51),LN(AV50:BD50)),1)</f>
        <v>-1.8112633760091E-2</v>
      </c>
      <c r="AQ51" s="83">
        <f>INDEX(LINEST(LN(AV51:BD51),SQRT(AV50:BD50),TRUE,TRUE),3,1)</f>
        <v>0.44253009691505446</v>
      </c>
      <c r="AR51" s="116">
        <f>INDEX(LINEST(LN(AV51:BD51),SQRT((AV50:BD50))),1)</f>
        <v>-6.6874621472329408E-6</v>
      </c>
      <c r="AS51" s="84">
        <f>INDEX(LINEST(1/(AV51:BD51),1/(SQRT(AV50:BD50)),TRUE,TRUE),3,1)</f>
        <v>0.62784678116785797</v>
      </c>
      <c r="AT51" s="84">
        <f>INDEX(LINEST(1/(AV51:BD51),1/SQRT(AV50:BD50)),1)</f>
        <v>-2.9754575857853802</v>
      </c>
      <c r="AU51" s="3"/>
      <c r="AV51" s="53">
        <v>1</v>
      </c>
      <c r="AW51" s="53">
        <v>0.85185309484764105</v>
      </c>
      <c r="AX51" s="53">
        <v>0.67560962587239204</v>
      </c>
      <c r="AY51" s="53">
        <v>0.74004652759238698</v>
      </c>
      <c r="AZ51" s="53">
        <v>0.69332977384539107</v>
      </c>
      <c r="BA51" s="53">
        <v>0.77115746920407302</v>
      </c>
      <c r="BB51" s="53">
        <v>0.68124175279356192</v>
      </c>
      <c r="BC51" s="53">
        <v>0.68774341176919196</v>
      </c>
      <c r="BD51" s="53">
        <v>0.71244727508485495</v>
      </c>
      <c r="BE51" s="53"/>
      <c r="BF51" s="53"/>
      <c r="BG51" s="53"/>
      <c r="BH51" s="53"/>
      <c r="BI51" s="53"/>
      <c r="BJ51" s="53"/>
      <c r="BK51" s="53"/>
      <c r="BL51" s="53"/>
      <c r="BM51" s="53"/>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53"/>
      <c r="CO51" s="53"/>
      <c r="CP51" s="53"/>
      <c r="CQ51" s="53"/>
      <c r="CR51" s="1"/>
      <c r="CS51" s="1"/>
      <c r="CT51" s="1"/>
      <c r="CU51" s="1"/>
    </row>
    <row r="52" spans="1:99" s="13" customFormat="1" ht="12" customHeight="1" x14ac:dyDescent="0.2">
      <c r="A52" s="65">
        <v>43509</v>
      </c>
      <c r="B52" s="1"/>
      <c r="C52" s="1"/>
      <c r="D52" s="60"/>
      <c r="E52" s="76"/>
      <c r="F52" s="60"/>
      <c r="G52" s="60"/>
      <c r="H52" s="60"/>
      <c r="I52" s="60"/>
      <c r="J52" s="60"/>
      <c r="K52" s="64"/>
      <c r="L52" s="64"/>
      <c r="M52" s="60"/>
      <c r="N52" s="60"/>
      <c r="O52" s="60"/>
      <c r="P52" s="60"/>
      <c r="Q52" s="60"/>
      <c r="R52" s="60"/>
      <c r="S52" s="60"/>
      <c r="T52" s="60"/>
      <c r="U52" s="60"/>
      <c r="V52" s="60"/>
      <c r="W52" s="60"/>
      <c r="X52" s="60"/>
      <c r="Y52" s="76"/>
      <c r="Z52" s="60"/>
      <c r="AA52" s="60"/>
      <c r="AB52" s="60"/>
      <c r="AC52" s="60"/>
      <c r="AD52" s="60"/>
      <c r="AE52" s="60"/>
      <c r="AF52" s="80"/>
      <c r="AG52" s="56"/>
      <c r="AH52" s="4"/>
      <c r="AI52" s="56"/>
      <c r="AJ52" s="109"/>
      <c r="AK52" s="56"/>
      <c r="AL52" s="56"/>
      <c r="AM52" s="56"/>
      <c r="AN52" s="56"/>
      <c r="AO52" s="56"/>
      <c r="AP52" s="56"/>
      <c r="AQ52" s="82"/>
      <c r="AR52" s="115"/>
      <c r="AS52" s="82"/>
      <c r="AT52" s="82"/>
      <c r="AU52" s="3"/>
      <c r="AV52" s="25">
        <v>60</v>
      </c>
      <c r="AW52" s="25">
        <f>365*24*60*60*14.5/12</f>
        <v>38106000</v>
      </c>
      <c r="AX52" s="25">
        <f>365*24*60*60*37.8/12</f>
        <v>99338400</v>
      </c>
      <c r="AY52" s="25">
        <f>365*24*60*60*69.1/12</f>
        <v>181594800</v>
      </c>
      <c r="AZ52" s="25">
        <f>365*24*60*60*114/12</f>
        <v>299592000</v>
      </c>
      <c r="BA52" s="25">
        <f>365*24*60*60*175.1/12</f>
        <v>460162800</v>
      </c>
      <c r="BB52" s="25">
        <f>365*24*60*60*300.6/12</f>
        <v>789976800</v>
      </c>
      <c r="BC52" s="25">
        <f>365*24*60*60*415.2/12</f>
        <v>1091145600</v>
      </c>
      <c r="BD52" s="25">
        <f>365*24*60*60*596.4/12</f>
        <v>1567339200</v>
      </c>
      <c r="BE52" s="53"/>
      <c r="BF52" s="53"/>
      <c r="BG52" s="53"/>
      <c r="BH52" s="53"/>
      <c r="BI52" s="53"/>
      <c r="BJ52" s="53"/>
      <c r="BK52" s="53"/>
      <c r="BL52" s="53"/>
      <c r="BM52" s="53"/>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53"/>
      <c r="CO52" s="53"/>
      <c r="CP52" s="53"/>
      <c r="CQ52" s="53"/>
      <c r="CR52" s="1"/>
      <c r="CS52" s="1"/>
      <c r="CT52" s="1"/>
      <c r="CU52" s="1"/>
    </row>
    <row r="53" spans="1:99" s="13" customFormat="1" ht="12" customHeight="1" x14ac:dyDescent="0.2">
      <c r="A53" s="65">
        <v>43509</v>
      </c>
      <c r="B53" s="1" t="s">
        <v>208</v>
      </c>
      <c r="C53" s="1" t="s">
        <v>202</v>
      </c>
      <c r="D53" s="60">
        <v>1984</v>
      </c>
      <c r="E53" s="76">
        <v>1</v>
      </c>
      <c r="F53" s="60">
        <v>773</v>
      </c>
      <c r="G53" s="60">
        <v>91.6</v>
      </c>
      <c r="H53" s="60" t="s">
        <v>43</v>
      </c>
      <c r="I53" s="60" t="s">
        <v>611</v>
      </c>
      <c r="J53" s="60" t="s">
        <v>320</v>
      </c>
      <c r="K53" s="60">
        <f>IF(J53="syllables",1,IF(J53="trigrams",2,IF(J53="strings",3,IF(J53="visual array",4,IF(J53="characters",5,IF(J53="letters",6,IF(J53="free forms",7,IF(J53="odors",8,IF(J53="words",9,IF(J53="pictures",10,IF(J53="object pictures",11,IF(J53="faces",12,IF(J53="names",13,IF(J53="idioms",14,IF(J53="grades",15,IF(J53="syllable-digit pairs",16,IF(J53="trigram-word pairs",17,IF(J53="word-digit pairs",18,IF(J53="English-Swahili pairs",19,IF(J53="spatial position",20,IF(J53="word pairs",21,IF(J53="word triads",22,IF(J53="generated words",23,IF(J53="word definition pairs",24,IF(J53="math problems",25,IF(J53="famous faces",26,IF(J53="famous names",27,IF(J53="famous voices",28,IF(J53="television programs",29,IF(J53="race horses",30,IF(J53="new vocabulary",31,IF(J53="sentences",32,IF(J53="concepts",33,IF(J53="ad slides",34,IF(J53="scenes",35,IF(J53="famous scenes",36,IF(J53="poems",37,IF(J53="walk",38,IF(J53="faces and events",39,IF(J53="events and names",40,IF(J53="flashbulb",41,IF(J53="stories",42,IF(J53="course material",43,IF(J53="autobiographical",44,IF(J53="novels",45,IF(J53="public events",46,"99"))))))))))))))))))))))))))))))))))))))))))))))</f>
        <v>21</v>
      </c>
      <c r="L53" s="60">
        <f>IF(J53="syllables",1,IF(J53="trigrams",1,IF(J53="strings",1,IF(J53="visual array",1,IF(J53="characters",1,IF(J53="letters",1,IF(J53="free forms",1,IF(J53="odors",2,IF(J53="words",2,IF(J53="pictures",2,IF(J53="object pictures",2,IF(J53="faces",2,IF(J53="names",2,IF(J53="idioms","2",IF(J53="grades",2,IF(J53="syllable-digit pairs",3,IF(J53="trigram-word pairs",3,IF(J53="word-digit pairs",3,IF(J53="English-Swahili pairs",3,IF(J53="spatial position",3,IF(J53="word pairs",4,IF(J53="word triads",4,IF(J53="generated words",4,IF(J53="word definition pairs",4,IF(J53="math problems",4,IF(J53="famous faces",4,IF(J53="famous names",4,IF(J53="famous voices",4,IF(J53="television programs",4,IF(J53="race horses",4,IF(J53="new vocabulary",4,IF(J53="sentences",5,IF(J53="concepts",5,IF(J53="ad slides",5,IF(J53="scenes",5,IF(J53="famous scenes",5,IF(J53="poems",6,IF(J53="walk",6,IF(J53="faces and events",6,IF(J53="events and names",6,IF(J53="flashbulb",7,IF(J53="stories",7,IF(J53="course material",7,IF(J53="autobiographical",7,IF(J53="novels",7,IF(J53="public events",7,"99"))))))))))))))))))))))))))))))))))))))))))))))</f>
        <v>4</v>
      </c>
      <c r="M53" s="60">
        <v>1</v>
      </c>
      <c r="N53" s="60">
        <v>2</v>
      </c>
      <c r="O53" s="60">
        <v>0</v>
      </c>
      <c r="P53" s="60"/>
      <c r="Q53" s="60" t="s">
        <v>34</v>
      </c>
      <c r="R53" s="60">
        <f>IF(Q53="Free Recall",1,IF(Q53="Cued Recall",2,IF(Q53="Recognition",3,IF(Q53="Multiple Choice",4,IF(Q53="Savings",5,IF(Q53="Stem Completion",6,IF(Q53="Fragment Completion",7,IF(Q53="anagram solution",8,IF(Q53="Matching",9,IF(Q53="Problem Solving",10,"99"))))))))))</f>
        <v>3</v>
      </c>
      <c r="S53" s="60" t="s">
        <v>15</v>
      </c>
      <c r="T53" s="60" t="s">
        <v>261</v>
      </c>
      <c r="U53" s="60">
        <f>IF(T53="within",1,0)</f>
        <v>0</v>
      </c>
      <c r="V53" s="60">
        <v>30</v>
      </c>
      <c r="W53" s="60">
        <f>F53*V53</f>
        <v>23190</v>
      </c>
      <c r="X53" s="60">
        <v>9</v>
      </c>
      <c r="Y53" s="76">
        <f>AV52</f>
        <v>60</v>
      </c>
      <c r="Z53" s="60" t="s">
        <v>209</v>
      </c>
      <c r="AA53" s="60">
        <v>1576800000</v>
      </c>
      <c r="AB53" s="60" t="str">
        <f>IF(AA53&lt;60,"1",IF(AA53&lt;=43200,"2",IF(AA53&lt;=777600,"3","4")))</f>
        <v>4</v>
      </c>
      <c r="AC53" s="56">
        <f>AVERAGE(AV52:DA52)</f>
        <v>503028406.66666669</v>
      </c>
      <c r="AD53" s="60" t="str">
        <f>IF(AC53&lt;60,"1",IF(AC53&lt;=43200,"2",IF(AC53&lt;=777600,"3","4")))</f>
        <v>4</v>
      </c>
      <c r="AE53" s="76">
        <f>AA53-Y53</f>
        <v>1576799940</v>
      </c>
      <c r="AF53" s="80">
        <f>AV53</f>
        <v>1</v>
      </c>
      <c r="AG53" s="56">
        <f>((AW53-AV53)+(AX53-AW53)+(AY53-AX53)+(AZ53-AY53)+(BA53-AZ53)+(BB53-BA53)+(BC53-BB53)+(BD53-BC53))/8</f>
        <v>-8.5942183745852621E-2</v>
      </c>
      <c r="AH53" s="4"/>
      <c r="AI53" s="56">
        <f>RSQ(AV53:BD53,AV52:BD52)</f>
        <v>0.33272770963753318</v>
      </c>
      <c r="AJ53" s="109">
        <f>SLOPE(AV53:BD53,AV52:BD52)</f>
        <v>-2.4644330281607513E-10</v>
      </c>
      <c r="AK53" s="56">
        <f>INTERCEPT(AV53:BD53,AV52:BD52)</f>
        <v>0.6012615846171615</v>
      </c>
      <c r="AL53" s="56">
        <f>INDEX(LINEST(LN(AV53:BD53),LN(AV52:BD52),TRUE,TRUE),3,1)</f>
        <v>0.77000619393135439</v>
      </c>
      <c r="AM53" s="56">
        <f>INDEX(LINEST(LN(AV53:BD53),LN(AV52:BD52)),1)</f>
        <v>-6.4877870240526714E-2</v>
      </c>
      <c r="AN53" s="56">
        <f>EXP(INDEX(LINEST(LN(AV53:BD53),LN(AV52:BD52)),1,2))</f>
        <v>1.40715911030984</v>
      </c>
      <c r="AO53" s="82">
        <f>INDEX(LINEST((AV53:BD53),LN(AV52:BD52),TRUE,TRUE),3,1)</f>
        <v>0.84830371197881738</v>
      </c>
      <c r="AP53" s="82">
        <f>INDEX(LINEST((AV53:BD53),LN(AV52:BD52)),1)</f>
        <v>-4.0128010956527738E-2</v>
      </c>
      <c r="AQ53" s="83">
        <f>INDEX(LINEST(LN(AV53:BD53),SQRT(AV52:BD52),TRUE,TRUE),3,1)</f>
        <v>0.63792464675581306</v>
      </c>
      <c r="AR53" s="116">
        <f>INDEX(LINEST(LN(AV53:BD53),SQRT((AV52:BD52))),1)</f>
        <v>-2.4110731034191455E-5</v>
      </c>
      <c r="AS53" s="84">
        <f>INDEX(LINEST(1/(AV53:BD53),1/(SQRT(AV52:BD52)),TRUE,TRUE),3,1)</f>
        <v>0.50657254889960668</v>
      </c>
      <c r="AT53" s="84">
        <f>INDEX(LINEST(1/(AV53:BD53),1/SQRT(AV52:BD52)),1)</f>
        <v>-12.236647141297313</v>
      </c>
      <c r="AU53" s="3"/>
      <c r="AV53" s="53">
        <v>1</v>
      </c>
      <c r="AW53" s="53">
        <v>0.72239655238167799</v>
      </c>
      <c r="AX53" s="53">
        <v>0.405072270317684</v>
      </c>
      <c r="AY53" s="53">
        <v>0.39315510468708198</v>
      </c>
      <c r="AZ53" s="53">
        <v>0.33814881202089903</v>
      </c>
      <c r="BA53" s="53">
        <v>0.42261851187978999</v>
      </c>
      <c r="BB53" s="53">
        <v>0.35261965600091499</v>
      </c>
      <c r="BC53" s="53">
        <v>0.34916898669005697</v>
      </c>
      <c r="BD53" s="53">
        <v>0.31246253003317898</v>
      </c>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1"/>
      <c r="CS53" s="1"/>
      <c r="CT53" s="1"/>
      <c r="CU53" s="1"/>
    </row>
    <row r="54" spans="1:99" s="13" customFormat="1" ht="12" customHeight="1" x14ac:dyDescent="0.2">
      <c r="A54" s="65">
        <v>43509</v>
      </c>
      <c r="B54" s="1"/>
      <c r="C54" s="1"/>
      <c r="D54" s="60"/>
      <c r="E54" s="76"/>
      <c r="F54" s="60"/>
      <c r="G54" s="60"/>
      <c r="H54" s="60"/>
      <c r="I54" s="60"/>
      <c r="J54" s="60"/>
      <c r="K54" s="64"/>
      <c r="L54" s="64"/>
      <c r="M54" s="60"/>
      <c r="N54" s="60"/>
      <c r="O54" s="60"/>
      <c r="P54" s="60"/>
      <c r="Q54" s="60"/>
      <c r="R54" s="60"/>
      <c r="S54" s="60"/>
      <c r="T54" s="60"/>
      <c r="U54" s="60"/>
      <c r="V54" s="60"/>
      <c r="W54" s="60"/>
      <c r="X54" s="60"/>
      <c r="Y54" s="76"/>
      <c r="Z54" s="60"/>
      <c r="AA54" s="60"/>
      <c r="AB54" s="60"/>
      <c r="AC54" s="60"/>
      <c r="AD54" s="60"/>
      <c r="AE54" s="60"/>
      <c r="AF54" s="80"/>
      <c r="AG54" s="56"/>
      <c r="AH54" s="4"/>
      <c r="AI54" s="56"/>
      <c r="AJ54" s="109"/>
      <c r="AK54" s="56"/>
      <c r="AL54" s="56"/>
      <c r="AM54" s="56"/>
      <c r="AN54" s="56"/>
      <c r="AO54" s="56"/>
      <c r="AP54" s="56"/>
      <c r="AQ54" s="82"/>
      <c r="AR54" s="115"/>
      <c r="AS54" s="82"/>
      <c r="AT54" s="82"/>
      <c r="AU54" s="3"/>
      <c r="AV54" s="25">
        <v>60</v>
      </c>
      <c r="AW54" s="25">
        <f>365*24*60*60*14.5/12</f>
        <v>38106000</v>
      </c>
      <c r="AX54" s="25">
        <f>365*24*60*60*37.8/12</f>
        <v>99338400</v>
      </c>
      <c r="AY54" s="25">
        <f>365*24*60*60*69.1/12</f>
        <v>181594800</v>
      </c>
      <c r="AZ54" s="25">
        <f>365*24*60*60*114/12</f>
        <v>299592000</v>
      </c>
      <c r="BA54" s="25">
        <f>365*24*60*60*175.1/12</f>
        <v>460162800</v>
      </c>
      <c r="BB54" s="25">
        <f>365*24*60*60*300.6/12</f>
        <v>789976800</v>
      </c>
      <c r="BC54" s="25">
        <f>365*24*60*60*415.2/12</f>
        <v>1091145600</v>
      </c>
      <c r="BD54" s="25">
        <f>365*24*60*60*596.4/12</f>
        <v>1567339200</v>
      </c>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1"/>
      <c r="CS54" s="1"/>
      <c r="CT54" s="1"/>
      <c r="CU54" s="1"/>
    </row>
    <row r="55" spans="1:99" s="13" customFormat="1" ht="12" customHeight="1" x14ac:dyDescent="0.2">
      <c r="A55" s="65">
        <v>43509</v>
      </c>
      <c r="B55" s="1" t="s">
        <v>208</v>
      </c>
      <c r="C55" s="1" t="s">
        <v>202</v>
      </c>
      <c r="D55" s="60">
        <v>1984</v>
      </c>
      <c r="E55" s="76">
        <v>1</v>
      </c>
      <c r="F55" s="60">
        <v>773</v>
      </c>
      <c r="G55" s="60">
        <v>91.6</v>
      </c>
      <c r="H55" s="60" t="s">
        <v>43</v>
      </c>
      <c r="I55" s="60" t="s">
        <v>612</v>
      </c>
      <c r="J55" s="60" t="s">
        <v>320</v>
      </c>
      <c r="K55" s="60">
        <f>IF(J55="syllables",1,IF(J55="trigrams",2,IF(J55="strings",3,IF(J55="visual array",4,IF(J55="characters",5,IF(J55="letters",6,IF(J55="free forms",7,IF(J55="odors",8,IF(J55="words",9,IF(J55="pictures",10,IF(J55="object pictures",11,IF(J55="faces",12,IF(J55="names",13,IF(J55="idioms",14,IF(J55="grades",15,IF(J55="syllable-digit pairs",16,IF(J55="trigram-word pairs",17,IF(J55="word-digit pairs",18,IF(J55="English-Swahili pairs",19,IF(J55="spatial position",20,IF(J55="word pairs",21,IF(J55="word triads",22,IF(J55="generated words",23,IF(J55="word definition pairs",24,IF(J55="math problems",25,IF(J55="famous faces",26,IF(J55="famous names",27,IF(J55="famous voices",28,IF(J55="television programs",29,IF(J55="race horses",30,IF(J55="new vocabulary",31,IF(J55="sentences",32,IF(J55="concepts",33,IF(J55="ad slides",34,IF(J55="scenes",35,IF(J55="famous scenes",36,IF(J55="poems",37,IF(J55="walk",38,IF(J55="faces and events",39,IF(J55="events and names",40,IF(J55="flashbulb",41,IF(J55="stories",42,IF(J55="course material",43,IF(J55="autobiographical",44,IF(J55="novels",45,IF(J55="public events",46,"99"))))))))))))))))))))))))))))))))))))))))))))))</f>
        <v>21</v>
      </c>
      <c r="L55" s="60">
        <f>IF(J55="syllables",1,IF(J55="trigrams",1,IF(J55="strings",1,IF(J55="visual array",1,IF(J55="characters",1,IF(J55="letters",1,IF(J55="free forms",1,IF(J55="odors",2,IF(J55="words",2,IF(J55="pictures",2,IF(J55="object pictures",2,IF(J55="faces",2,IF(J55="names",2,IF(J55="idioms","2",IF(J55="grades",2,IF(J55="syllable-digit pairs",3,IF(J55="trigram-word pairs",3,IF(J55="word-digit pairs",3,IF(J55="English-Swahili pairs",3,IF(J55="spatial position",3,IF(J55="word pairs",4,IF(J55="word triads",4,IF(J55="generated words",4,IF(J55="word definition pairs",4,IF(J55="math problems",4,IF(J55="famous faces",4,IF(J55="famous names",4,IF(J55="famous voices",4,IF(J55="television programs",4,IF(J55="race horses",4,IF(J55="new vocabulary",4,IF(J55="sentences",5,IF(J55="concepts",5,IF(J55="ad slides",5,IF(J55="scenes",5,IF(J55="famous scenes",5,IF(J55="poems",6,IF(J55="walk",6,IF(J55="faces and events",6,IF(J55="events and names",6,IF(J55="flashbulb",7,IF(J55="stories",7,IF(J55="course material",7,IF(J55="autobiographical",7,IF(J55="novels",7,IF(J55="public events",7,"99"))))))))))))))))))))))))))))))))))))))))))))))</f>
        <v>4</v>
      </c>
      <c r="M55" s="60">
        <v>1</v>
      </c>
      <c r="N55" s="60">
        <v>2</v>
      </c>
      <c r="O55" s="60">
        <v>0</v>
      </c>
      <c r="P55" s="60"/>
      <c r="Q55" s="59" t="s">
        <v>174</v>
      </c>
      <c r="R55" s="60">
        <f>IF(Q55="Free Recall",1,IF(Q55="Cued Recall",2,IF(Q55="Recognition",3,IF(Q55="Multiple Choice",4,IF(Q55="Savings",5,IF(Q55="Stem Completion",6,IF(Q55="Fragment Completion",7,IF(Q55="anagram solution",8,IF(Q55="Matching",9,IF(Q55="Problem Solving",10,"99"))))))))))</f>
        <v>1</v>
      </c>
      <c r="S55" s="60" t="s">
        <v>49</v>
      </c>
      <c r="T55" s="60" t="s">
        <v>261</v>
      </c>
      <c r="U55" s="60">
        <f>IF(T55="within",1,0)</f>
        <v>0</v>
      </c>
      <c r="V55" s="60">
        <v>30</v>
      </c>
      <c r="W55" s="60">
        <f>F55*V55</f>
        <v>23190</v>
      </c>
      <c r="X55" s="60">
        <v>9</v>
      </c>
      <c r="Y55" s="76">
        <f>AV54</f>
        <v>60</v>
      </c>
      <c r="Z55" s="60" t="s">
        <v>209</v>
      </c>
      <c r="AA55" s="60">
        <v>1576800000</v>
      </c>
      <c r="AB55" s="60" t="str">
        <f>IF(AA55&lt;60,"1",IF(AA55&lt;=43200,"2",IF(AA55&lt;=777600,"3","4")))</f>
        <v>4</v>
      </c>
      <c r="AC55" s="56">
        <f>AVERAGE(AV54:DA54)</f>
        <v>503028406.66666669</v>
      </c>
      <c r="AD55" s="60" t="str">
        <f>IF(AC55&lt;60,"1",IF(AC55&lt;=43200,"2",IF(AC55&lt;=777600,"3","4")))</f>
        <v>4</v>
      </c>
      <c r="AE55" s="76">
        <f>AA55-Y55</f>
        <v>1576799940</v>
      </c>
      <c r="AF55" s="80">
        <f>AV55</f>
        <v>1</v>
      </c>
      <c r="AG55" s="58">
        <f>((AW55-AV55)+(AX55-AW55)+(AY55-AX55)+(AZ55-AY55)+(BA55-AZ55)+(BB55-BA55)+(BC55-BB55)+(BD55-BC55))/8</f>
        <v>-3.9470271919453875E-2</v>
      </c>
      <c r="AH55" s="4"/>
      <c r="AI55" s="56">
        <f>RSQ(AV55:BD55,AV54:BD54)</f>
        <v>0.36022676046998414</v>
      </c>
      <c r="AJ55" s="109">
        <f>SLOPE(AV55:BD55,AV54:BD54)</f>
        <v>-1.2795368958834734E-10</v>
      </c>
      <c r="AK55" s="56">
        <f>INTERCEPT(AV55:BD55,AV54:BD54)</f>
        <v>0.83118635349117842</v>
      </c>
      <c r="AL55" s="56">
        <f>INDEX(LINEST(LN(AV55:BD55),LN(AV54:BD54),TRUE,TRUE),3,1)</f>
        <v>0.68451094051104722</v>
      </c>
      <c r="AM55" s="56">
        <f>INDEX(LINEST(LN(AV55:BD55),LN(AV54:BD54)),1)</f>
        <v>-2.1813466443657538E-2</v>
      </c>
      <c r="AN55" s="56">
        <f>EXP(INDEX(LINEST(LN(AV55:BD55),LN(AV54:BD54)),1,2))</f>
        <v>1.1223176172957749</v>
      </c>
      <c r="AO55" s="82">
        <f>INDEX(LINEST((AV55:BD55),LN(AV54:BD54),TRUE,TRUE),3,1)</f>
        <v>0.71348205123294317</v>
      </c>
      <c r="AP55" s="82">
        <f>INDEX(LINEST((AV55:BD55),LN(AV54:BD54)),1)</f>
        <v>-1.8363513040474677E-2</v>
      </c>
      <c r="AQ55" s="83">
        <f>INDEX(LINEST(LN(AV55:BD55),SQRT(AV54:BD54),TRUE,TRUE),3,1)</f>
        <v>0.57841092234190916</v>
      </c>
      <c r="AR55" s="116">
        <f>INDEX(LINEST(LN(AV55:BD55),SQRT((AV54:BD54))),1)</f>
        <v>-8.1870782979847235E-6</v>
      </c>
      <c r="AS55" s="84">
        <f>INDEX(LINEST(1/(AV55:BD55),1/(SQRT(AV54:BD54)),TRUE,TRUE),3,1)</f>
        <v>0.51103630534596201</v>
      </c>
      <c r="AT55" s="84">
        <f>INDEX(LINEST(1/(AV55:BD55),1/SQRT(AV54:BD54)),1)</f>
        <v>-2.8526631573695664</v>
      </c>
      <c r="AU55" s="3"/>
      <c r="AV55" s="53">
        <v>1</v>
      </c>
      <c r="AW55" s="53">
        <v>0.92156210670836303</v>
      </c>
      <c r="AX55" s="53">
        <v>0.69884596315929892</v>
      </c>
      <c r="AY55" s="53">
        <v>0.70518897067236097</v>
      </c>
      <c r="AZ55" s="53">
        <v>0.75805957057320394</v>
      </c>
      <c r="BA55" s="53">
        <v>0.757876511193318</v>
      </c>
      <c r="BB55" s="53">
        <v>0.696176347202623</v>
      </c>
      <c r="BC55" s="53">
        <v>0.67945082186034</v>
      </c>
      <c r="BD55" s="53">
        <v>0.684237824644369</v>
      </c>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1"/>
      <c r="CS55" s="1"/>
      <c r="CT55" s="1"/>
      <c r="CU55" s="1"/>
    </row>
    <row r="56" spans="1:99" ht="12" customHeight="1" x14ac:dyDescent="0.2">
      <c r="A56" s="65">
        <v>43895</v>
      </c>
      <c r="B56" s="15"/>
      <c r="C56" s="15"/>
      <c r="D56" s="59"/>
      <c r="E56" s="75"/>
      <c r="F56" s="59"/>
      <c r="G56" s="59"/>
      <c r="H56" s="59"/>
      <c r="I56" s="59"/>
      <c r="J56" s="59"/>
      <c r="M56" s="59"/>
      <c r="N56" s="59"/>
      <c r="O56" s="59"/>
      <c r="P56" s="59"/>
      <c r="Q56" s="59"/>
      <c r="R56" s="60"/>
      <c r="S56" s="59"/>
      <c r="T56" s="59"/>
      <c r="U56" s="60"/>
      <c r="V56" s="59"/>
      <c r="W56" s="60"/>
      <c r="X56" s="59"/>
      <c r="Y56" s="76"/>
      <c r="Z56" s="59"/>
      <c r="AA56" s="59"/>
      <c r="AB56" s="60"/>
      <c r="AC56" s="56"/>
      <c r="AD56" s="60"/>
      <c r="AE56" s="60"/>
      <c r="AF56" s="80"/>
      <c r="AG56" s="56"/>
      <c r="AH56" s="4"/>
      <c r="AI56" s="56"/>
      <c r="AJ56" s="109"/>
      <c r="AK56" s="56"/>
      <c r="AL56" s="56"/>
      <c r="AM56" s="56"/>
      <c r="AN56" s="56"/>
      <c r="AO56" s="82"/>
      <c r="AP56" s="82"/>
      <c r="AQ56" s="83"/>
      <c r="AR56" s="116"/>
      <c r="AS56" s="84"/>
      <c r="AT56" s="84"/>
      <c r="AU56" s="3"/>
      <c r="AV56" s="25">
        <v>157680000</v>
      </c>
      <c r="AW56" s="25">
        <v>473040000</v>
      </c>
      <c r="AX56" s="25">
        <v>788400000</v>
      </c>
      <c r="AY56" s="25">
        <v>1103760000</v>
      </c>
      <c r="AZ56" s="53"/>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5"/>
      <c r="CS56" s="15"/>
      <c r="CT56" s="15"/>
      <c r="CU56" s="15"/>
    </row>
    <row r="57" spans="1:99" ht="12" customHeight="1" x14ac:dyDescent="0.2">
      <c r="A57" s="65">
        <v>43895</v>
      </c>
      <c r="B57" s="15" t="s">
        <v>331</v>
      </c>
      <c r="C57" s="15" t="s">
        <v>54</v>
      </c>
      <c r="D57" s="59">
        <v>1990</v>
      </c>
      <c r="E57" s="75">
        <v>1</v>
      </c>
      <c r="F57" s="59">
        <v>6</v>
      </c>
      <c r="G57" s="59">
        <v>6</v>
      </c>
      <c r="H57" s="59" t="s">
        <v>50</v>
      </c>
      <c r="I57" s="59" t="s">
        <v>330</v>
      </c>
      <c r="J57" s="59" t="s">
        <v>342</v>
      </c>
      <c r="K57" s="60">
        <f>IF(J57="syllables",1,IF(J57="trigrams",2,IF(J57="strings",3,IF(J57="visual array",4,IF(J57="characters",5,IF(J57="letters",6,IF(J57="free forms",7,IF(J57="odors",8,IF(J57="words",9,IF(J57="pictures",10,IF(J57="object pictures",11,IF(J57="faces",12,IF(J57="names",13,IF(J57="idioms",14,IF(J57="grades",15,IF(J57="syllable-digit pairs",16,IF(J57="trigram-word pairs",17,IF(J57="word-digit pairs",18,IF(J57="English-Swahili pairs",19,IF(J57="spatial position",20,IF(J57="word pairs",21,IF(J57="word triads",22,IF(J57="generated words",23,IF(J57="word definition pairs",24,IF(J57="math problems",25,IF(J57="famous faces",26,IF(J57="famous names",27,IF(J57="famous voices",28,IF(J57="television programs",29,IF(J57="race horses",30,IF(J57="new vocabulary",31,IF(J57="sentences",32,IF(J57="concepts",33,IF(J57="ad slides",34,IF(J57="scenes",35,IF(J57="famous scenes",36,IF(J57="poems",37,IF(J57="walk",38,IF(J57="faces and events",39,IF(J57="events and names",40,IF(J57="flashbulb",41,IF(J57="stories",42,IF(J57="course material",43,IF(J57="autobiographical",44,IF(J57="novels",45,IF(J57="public events",46,"99"))))))))))))))))))))))))))))))))))))))))))))))</f>
        <v>26</v>
      </c>
      <c r="L57" s="60">
        <f>IF(J57="syllables",1,IF(J57="trigrams",1,IF(J57="strings",1,IF(J57="visual array",1,IF(J57="characters",1,IF(J57="letters",1,IF(J57="free forms",1,IF(J57="odors",2,IF(J57="words",2,IF(J57="pictures",2,IF(J57="object pictures",2,IF(J57="faces",2,IF(J57="names",2,IF(J57="idioms","2",IF(J57="grades",2,IF(J57="syllable-digit pairs",3,IF(J57="trigram-word pairs",3,IF(J57="word-digit pairs",3,IF(J57="English-Swahili pairs",3,IF(J57="spatial position",3,IF(J57="word pairs",4,IF(J57="word triads",4,IF(J57="generated words",4,IF(J57="word definition pairs",4,IF(J57="math problems",4,IF(J57="famous faces",4,IF(J57="famous names",4,IF(J57="famous voices",4,IF(J57="television programs",4,IF(J57="race horses",4,IF(J57="new vocabulary",4,IF(J57="sentences",5,IF(J57="concepts",5,IF(J57="ad slides",5,IF(J57="scenes",5,IF(J57="famous scenes",5,IF(J57="poems",6,IF(J57="walk",6,IF(J57="faces and events",6,IF(J57="events and names",6,IF(J57="flashbulb",7,IF(J57="stories",7,IF(J57="course material",7,IF(J57="autobiographical",7,IF(J57="novels",7,IF(J57="public events",7,"99"))))))))))))))))))))))))))))))))))))))))))))))</f>
        <v>4</v>
      </c>
      <c r="M57" s="60">
        <v>1</v>
      </c>
      <c r="N57" s="59">
        <v>2</v>
      </c>
      <c r="O57" s="60">
        <v>0</v>
      </c>
      <c r="P57" s="59"/>
      <c r="Q57" s="60" t="s">
        <v>174</v>
      </c>
      <c r="R57" s="60">
        <f>IF(Q57="Free Recall",1,IF(Q57="Cued Recall",2,IF(Q57="Recognition",3,IF(Q57="Multiple Choice",4,IF(Q57="Savings",5,IF(Q57="Stem Completion",6,IF(Q57="Fragment Completion",7,IF(Q57="anagram solution",8,IF(Q57="Matching",9,IF(Q57="Problem Solving",10,"99"))))))))))</f>
        <v>1</v>
      </c>
      <c r="S57" s="60" t="s">
        <v>49</v>
      </c>
      <c r="T57" s="59" t="s">
        <v>581</v>
      </c>
      <c r="U57" s="60">
        <f>IF(T57="within",1,0)</f>
        <v>1</v>
      </c>
      <c r="V57" s="59">
        <v>32</v>
      </c>
      <c r="W57" s="60">
        <f>F57*V57</f>
        <v>192</v>
      </c>
      <c r="X57" s="59">
        <v>4</v>
      </c>
      <c r="Y57" s="76">
        <f>AV56</f>
        <v>157680000</v>
      </c>
      <c r="Z57" s="59" t="s">
        <v>375</v>
      </c>
      <c r="AA57" s="60">
        <f>35*365*24*60*60</f>
        <v>1103760000</v>
      </c>
      <c r="AB57" s="60" t="str">
        <f>IF(AA57&lt;60,"1",IF(AA57&lt;=43200,"2",IF(AA57&lt;=777600,"3","4")))</f>
        <v>4</v>
      </c>
      <c r="AC57" s="56">
        <f>AVERAGE(AV56:DA56)</f>
        <v>630720000</v>
      </c>
      <c r="AD57" s="60" t="str">
        <f>IF(AC57&lt;60,"1",IF(AC57&lt;=43200,"2",IF(AC57&lt;=777600,"3","4")))</f>
        <v>4</v>
      </c>
      <c r="AE57" s="76">
        <f>AA57-Y57</f>
        <v>946080000</v>
      </c>
      <c r="AF57" s="80">
        <f>AV57</f>
        <v>0.92307692307692302</v>
      </c>
      <c r="AG57" s="56">
        <f>((AW57-AV57)+(AX57-AW57)+(AY57-AX57))/3</f>
        <v>-5.3667262969588165E-3</v>
      </c>
      <c r="AH57" s="4"/>
      <c r="AI57" s="56">
        <f>RSQ(AV57:AY57,AV56:AY56)</f>
        <v>4.4545890782241256E-2</v>
      </c>
      <c r="AJ57" s="109">
        <f>SLOPE(AV57:AY57,AV56:AY56)</f>
        <v>3.660216620440542E-11</v>
      </c>
      <c r="AK57" s="56">
        <f>INTERCEPT(AV57:AY57,AV56:AY56)</f>
        <v>0.87308725327828307</v>
      </c>
      <c r="AL57" s="56">
        <f>INDEX(LINEST(LN(AV57:AY57),LN(AV56:AY56),TRUE,TRUE),3,1)</f>
        <v>3.9286534295971893E-3</v>
      </c>
      <c r="AM57" s="56">
        <f>INDEX(LINEST(LN(AV57:AY57),LN(AV56:AY56)),1)</f>
        <v>5.9924734840943851E-3</v>
      </c>
      <c r="AN57" s="56">
        <f>EXP(INDEX(LINEST(LN(AV57:AY57),LN(AV56:AY56)),1,2))</f>
        <v>0.79283873138974337</v>
      </c>
      <c r="AO57" s="82">
        <f>INDEX(LINEST((AV57:AY57),LN(AV56:AY56),TRUE,TRUE),3,1)</f>
        <v>4.2813287257643376E-3</v>
      </c>
      <c r="AP57" s="82">
        <f>INDEX(LINEST((AV57:AY57),LN(AV56:AY56)),1)</f>
        <v>5.4332188162053013E-3</v>
      </c>
      <c r="AQ57" s="83">
        <f>INDEX(LINEST(LN(AV57:AY57),SQRT(AV56:AY56),TRUE,TRUE),3,1)</f>
        <v>2.1264338194641554E-2</v>
      </c>
      <c r="AR57" s="116">
        <f>INDEX(LINEST(LN(AV57:AY57),SQRT((AV56:AY56))),1)</f>
        <v>1.3318537962492323E-6</v>
      </c>
      <c r="AS57" s="84">
        <f>INDEX(LINEST(1/(AV57:AY57),1/(SQRT(AV56:AY56)),TRUE,TRUE),3,1)</f>
        <v>6.9640780536182607E-4</v>
      </c>
      <c r="AT57" s="84">
        <f>INDEX(LINEST(1/(AV57:AY57),1/SQRT(AV56:AY56)),1)</f>
        <v>-111.60521174418781</v>
      </c>
      <c r="AU57" s="3"/>
      <c r="AV57" s="27">
        <v>0.92307692307692302</v>
      </c>
      <c r="AW57" s="27">
        <v>0.79545454545454541</v>
      </c>
      <c r="AX57" s="27">
        <v>0.95918367346938771</v>
      </c>
      <c r="AY57" s="27">
        <v>0.90697674418604657</v>
      </c>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5"/>
      <c r="CS57" s="15"/>
      <c r="CT57" s="15"/>
      <c r="CU57" s="15"/>
    </row>
    <row r="58" spans="1:99" ht="12" customHeight="1" x14ac:dyDescent="0.2">
      <c r="A58" s="65">
        <v>43895</v>
      </c>
      <c r="B58" s="15"/>
      <c r="C58" s="15"/>
      <c r="D58" s="59"/>
      <c r="E58" s="76"/>
      <c r="F58" s="59"/>
      <c r="G58" s="59"/>
      <c r="H58" s="59"/>
      <c r="I58" s="60"/>
      <c r="J58" s="60"/>
      <c r="M58" s="60"/>
      <c r="N58" s="59"/>
      <c r="O58" s="60"/>
      <c r="P58" s="59"/>
      <c r="Q58" s="60"/>
      <c r="R58" s="60"/>
      <c r="S58" s="60"/>
      <c r="T58" s="59"/>
      <c r="U58" s="60"/>
      <c r="V58" s="59"/>
      <c r="W58" s="60"/>
      <c r="X58" s="59"/>
      <c r="Y58" s="76"/>
      <c r="Z58" s="59"/>
      <c r="AA58" s="59"/>
      <c r="AB58" s="60"/>
      <c r="AC58" s="56"/>
      <c r="AD58" s="60"/>
      <c r="AE58" s="60"/>
      <c r="AF58" s="80"/>
      <c r="AG58" s="56"/>
      <c r="AH58" s="4"/>
      <c r="AI58" s="56"/>
      <c r="AJ58" s="109"/>
      <c r="AK58" s="56"/>
      <c r="AL58" s="56"/>
      <c r="AM58" s="56"/>
      <c r="AN58" s="56"/>
      <c r="AO58" s="82"/>
      <c r="AP58" s="82"/>
      <c r="AQ58" s="83"/>
      <c r="AR58" s="116"/>
      <c r="AS58" s="84"/>
      <c r="AT58" s="84"/>
      <c r="AU58" s="3"/>
      <c r="AV58" s="49">
        <v>189216000</v>
      </c>
      <c r="AW58" s="49">
        <v>283824000</v>
      </c>
      <c r="AX58" s="49">
        <v>378432000</v>
      </c>
      <c r="AY58" s="49">
        <v>473040000</v>
      </c>
      <c r="AZ58" s="47">
        <v>567648000</v>
      </c>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5"/>
      <c r="CS58" s="15"/>
      <c r="CT58" s="15"/>
      <c r="CU58" s="15"/>
    </row>
    <row r="59" spans="1:99" ht="12" customHeight="1" x14ac:dyDescent="0.2">
      <c r="A59" s="65">
        <v>43895</v>
      </c>
      <c r="B59" s="15" t="s">
        <v>331</v>
      </c>
      <c r="C59" s="15" t="s">
        <v>54</v>
      </c>
      <c r="D59" s="59">
        <v>1990</v>
      </c>
      <c r="E59" s="75">
        <v>1</v>
      </c>
      <c r="F59" s="59">
        <v>6</v>
      </c>
      <c r="G59" s="59">
        <v>6</v>
      </c>
      <c r="H59" s="59" t="s">
        <v>41</v>
      </c>
      <c r="I59" s="59" t="s">
        <v>330</v>
      </c>
      <c r="J59" s="59" t="s">
        <v>376</v>
      </c>
      <c r="K59" s="60">
        <f>IF(J59="syllables",1,IF(J59="trigrams",2,IF(J59="strings",3,IF(J59="visual array",4,IF(J59="characters",5,IF(J59="letters",6,IF(J59="free forms",7,IF(J59="odors",8,IF(J59="words",9,IF(J59="pictures",10,IF(J59="object pictures",11,IF(J59="faces",12,IF(J59="names",13,IF(J59="idioms",14,IF(J59="grades",15,IF(J59="syllable-digit pairs",16,IF(J59="trigram-word pairs",17,IF(J59="word-digit pairs",18,IF(J59="English-Swahili pairs",19,IF(J59="spatial position",20,IF(J59="word pairs",21,IF(J59="word triads",22,IF(J59="generated words",23,IF(J59="word definition pairs",24,IF(J59="math problems",25,IF(J59="famous faces",26,IF(J59="famous names",27,IF(J59="famous voices",28,IF(J59="television programs",29,IF(J59="race horses",30,IF(J59="new vocabulary",31,IF(J59="sentences",32,IF(J59="concepts",33,IF(J59="ad slides",34,IF(J59="scenes",35,IF(J59="famous scenes",36,IF(J59="poems",37,IF(J59="walk",38,IF(J59="faces and events",39,IF(J59="events and names",40,IF(J59="flashbulb",41,IF(J59="stories",42,IF(J59="course material",43,IF(J59="autobiographical",44,IF(J59="novels",45,IF(J59="public events",46,"99"))))))))))))))))))))))))))))))))))))))))))))))</f>
        <v>29</v>
      </c>
      <c r="L59" s="60">
        <f>IF(J59="syllables",1,IF(J59="trigrams",1,IF(J59="strings",1,IF(J59="visual array",1,IF(J59="characters",1,IF(J59="letters",1,IF(J59="free forms",1,IF(J59="odors",2,IF(J59="words",2,IF(J59="pictures",2,IF(J59="object pictures",2,IF(J59="faces",2,IF(J59="names",2,IF(J59="idioms","2",IF(J59="grades",2,IF(J59="syllable-digit pairs",3,IF(J59="trigram-word pairs",3,IF(J59="word-digit pairs",3,IF(J59="English-Swahili pairs",3,IF(J59="spatial position",3,IF(J59="word pairs",4,IF(J59="word triads",4,IF(J59="generated words",4,IF(J59="word definition pairs",4,IF(J59="math problems",4,IF(J59="famous faces",4,IF(J59="famous names",4,IF(J59="famous voices",4,IF(J59="television programs",4,IF(J59="race horses",4,IF(J59="new vocabulary",4,IF(J59="sentences",5,IF(J59="concepts",5,IF(J59="ad slides",5,IF(J59="scenes",5,IF(J59="famous scenes",5,IF(J59="poems",6,IF(J59="walk",6,IF(J59="faces and events",6,IF(J59="events and names",6,IF(J59="flashbulb",7,IF(J59="stories",7,IF(J59="course material",7,IF(J59="autobiographical",7,IF(J59="novels",7,IF(J59="public events",7,"99"))))))))))))))))))))))))))))))))))))))))))))))</f>
        <v>4</v>
      </c>
      <c r="M59" s="60">
        <v>1</v>
      </c>
      <c r="N59" s="59">
        <v>2</v>
      </c>
      <c r="O59" s="60">
        <v>0</v>
      </c>
      <c r="P59" s="59"/>
      <c r="Q59" s="60" t="s">
        <v>182</v>
      </c>
      <c r="R59" s="60">
        <f>IF(Q59="Free Recall",1,IF(Q59="Cued Recall",2,IF(Q59="Recognition",3,IF(Q59="Multiple Choice",4,IF(Q59="Savings",5,IF(Q59="Stem Completion",6,IF(Q59="Fragment Completion",7,IF(Q59="anagram solution",8,IF(Q59="Matching",9,IF(Q59="Problem Solving",10,"99"))))))))))</f>
        <v>4</v>
      </c>
      <c r="S59" s="60" t="s">
        <v>15</v>
      </c>
      <c r="T59" s="59" t="s">
        <v>581</v>
      </c>
      <c r="U59" s="60">
        <f>IF(T59="within",1,0)</f>
        <v>1</v>
      </c>
      <c r="V59" s="59">
        <v>72</v>
      </c>
      <c r="W59" s="60">
        <f>F59*V59</f>
        <v>432</v>
      </c>
      <c r="X59" s="59">
        <v>5</v>
      </c>
      <c r="Y59" s="76">
        <f>AV58</f>
        <v>189216000</v>
      </c>
      <c r="Z59" s="59" t="s">
        <v>377</v>
      </c>
      <c r="AA59" s="60">
        <f>18*365*24*60*60</f>
        <v>567648000</v>
      </c>
      <c r="AB59" s="60" t="str">
        <f>IF(AA59&lt;60,"1",IF(AA59&lt;=43200,"2",IF(AA59&lt;=777600,"3","4")))</f>
        <v>4</v>
      </c>
      <c r="AC59" s="56">
        <f>AVERAGE(AV58:DA58)</f>
        <v>378432000</v>
      </c>
      <c r="AD59" s="60" t="str">
        <f>IF(AC59&lt;60,"1",IF(AC59&lt;=43200,"2",IF(AC59&lt;=777600,"3","4")))</f>
        <v>4</v>
      </c>
      <c r="AE59" s="76">
        <f>AA59-Y59</f>
        <v>378432000</v>
      </c>
      <c r="AF59" s="80">
        <f>AV59</f>
        <v>0.67</v>
      </c>
      <c r="AG59" s="58">
        <f>((AW59-AV59)+(AX59-AW59)+(AY59-AX59)+(AZ59-AY59))/4</f>
        <v>-2.5000000000000022E-3</v>
      </c>
      <c r="AH59" s="4"/>
      <c r="AI59" s="56">
        <f>RSQ(AV59:AZ59,AV58:AZ58)</f>
        <v>0.27067669172932324</v>
      </c>
      <c r="AJ59" s="109">
        <f>SLOPE(AV59:AZ59,AV58:AZ58)</f>
        <v>-1.2683916793505834E-10</v>
      </c>
      <c r="AK59" s="56">
        <f>INTERCEPT(AV59:AZ59,AV58:AZ58)</f>
        <v>0.70400000000000007</v>
      </c>
      <c r="AL59" s="56">
        <f>INDEX(LINEST(LN(AV59:AZ59),LN(AV58:AZ58),TRUE,TRUE),3,1)</f>
        <v>0.27353151239066303</v>
      </c>
      <c r="AM59" s="56">
        <f>INDEX(LINEST(LN(AV59:AZ59),LN(AV58:AZ58)),1)</f>
        <v>-6.8036294754760432E-2</v>
      </c>
      <c r="AN59" s="56">
        <f>EXP(INDEX(LINEST(LN(AV59:AZ59),LN(AV58:AZ58)),1,2))</f>
        <v>2.4997082248725393</v>
      </c>
      <c r="AO59" s="82">
        <f>INDEX(LINEST((AV59:AZ59),LN(AV58:AZ58),TRUE,TRUE),3,1)</f>
        <v>0.27589882765412821</v>
      </c>
      <c r="AP59" s="82">
        <f>INDEX(LINEST((AV59:AZ59),LN(AV58:AZ58)),1)</f>
        <v>-4.4162074728400176E-2</v>
      </c>
      <c r="AQ59" s="83">
        <f>INDEX(LINEST(LN(AV59:AZ59),SQRT(AV58:AZ58),TRUE,TRUE),3,1)</f>
        <v>0.27470338255471649</v>
      </c>
      <c r="AR59" s="116">
        <f>INDEX(LINEST(LN(AV59:AZ59),SQRT((AV58:AZ58))),1)</f>
        <v>-7.4457000517046645E-6</v>
      </c>
      <c r="AS59" s="84">
        <f>INDEX(LINEST(1/(AV59:AZ59),1/(SQRT(AV58:AZ58)),TRUE,TRUE),3,1)</f>
        <v>0.26148225875151665</v>
      </c>
      <c r="AT59" s="84">
        <f>INDEX(LINEST(1/(AV59:AZ59),1/SQRT(AV58:AZ58)),1)</f>
        <v>-3673.9932880418505</v>
      </c>
      <c r="AU59" s="3"/>
      <c r="AV59" s="27">
        <v>0.67</v>
      </c>
      <c r="AW59" s="27">
        <v>0.7</v>
      </c>
      <c r="AX59" s="27">
        <v>0.65</v>
      </c>
      <c r="AY59" s="27">
        <v>0.6</v>
      </c>
      <c r="AZ59" s="11">
        <v>0.66</v>
      </c>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5"/>
      <c r="CS59" s="15"/>
      <c r="CT59" s="15"/>
      <c r="CU59" s="15"/>
    </row>
    <row r="60" spans="1:99" s="13" customFormat="1" ht="12" customHeight="1" x14ac:dyDescent="0.2">
      <c r="A60" s="68">
        <v>43902</v>
      </c>
      <c r="B60" s="70"/>
      <c r="C60" s="70"/>
      <c r="D60" s="69"/>
      <c r="E60" s="87"/>
      <c r="F60" s="69"/>
      <c r="G60" s="69"/>
      <c r="H60" s="69"/>
      <c r="I60" s="69"/>
      <c r="J60" s="69"/>
      <c r="K60" s="107"/>
      <c r="L60" s="107"/>
      <c r="M60" s="69"/>
      <c r="N60" s="86"/>
      <c r="O60" s="69"/>
      <c r="P60" s="69"/>
      <c r="Q60" s="69"/>
      <c r="R60" s="69"/>
      <c r="S60" s="69"/>
      <c r="T60" s="69"/>
      <c r="U60" s="69"/>
      <c r="V60" s="69"/>
      <c r="W60" s="69"/>
      <c r="X60" s="69"/>
      <c r="Y60" s="87"/>
      <c r="Z60" s="69"/>
      <c r="AA60" s="69"/>
      <c r="AB60" s="69"/>
      <c r="AC60" s="72"/>
      <c r="AD60" s="69"/>
      <c r="AE60" s="69"/>
      <c r="AF60" s="88"/>
      <c r="AG60" s="72"/>
      <c r="AH60" s="4"/>
      <c r="AI60" s="72"/>
      <c r="AJ60" s="110"/>
      <c r="AK60" s="72"/>
      <c r="AL60" s="72"/>
      <c r="AM60" s="72"/>
      <c r="AN60" s="72"/>
      <c r="AO60" s="89"/>
      <c r="AP60" s="89"/>
      <c r="AQ60" s="90"/>
      <c r="AR60" s="117"/>
      <c r="AS60" s="91"/>
      <c r="AT60" s="91"/>
      <c r="AU60" s="3"/>
      <c r="AV60" s="71">
        <v>94608000</v>
      </c>
      <c r="AW60" s="71">
        <v>409968000</v>
      </c>
      <c r="AX60" s="71">
        <v>725328000</v>
      </c>
      <c r="AY60" s="71">
        <v>1040688000</v>
      </c>
      <c r="AZ60" s="71">
        <v>1356048000</v>
      </c>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1"/>
      <c r="CS60" s="1"/>
      <c r="CT60" s="1"/>
      <c r="CU60" s="1"/>
    </row>
    <row r="61" spans="1:99" s="13" customFormat="1" ht="12" customHeight="1" x14ac:dyDescent="0.2">
      <c r="A61" s="68">
        <v>43902</v>
      </c>
      <c r="B61" s="70" t="s">
        <v>453</v>
      </c>
      <c r="C61" s="70" t="s">
        <v>425</v>
      </c>
      <c r="D61" s="69">
        <v>1988</v>
      </c>
      <c r="E61" s="87">
        <v>1</v>
      </c>
      <c r="F61" s="69">
        <v>26</v>
      </c>
      <c r="G61" s="69">
        <v>26</v>
      </c>
      <c r="H61" s="69" t="s">
        <v>50</v>
      </c>
      <c r="I61" s="92" t="s">
        <v>330</v>
      </c>
      <c r="J61" s="69" t="s">
        <v>336</v>
      </c>
      <c r="K61" s="69">
        <f>IF(J61="syllables",1,IF(J61="trigrams",2,IF(J61="strings",3,IF(J61="visual array",4,IF(J61="characters",5,IF(J61="letters",6,IF(J61="free forms",7,IF(J61="odors",8,IF(J61="words",9,IF(J61="pictures",10,IF(J61="object pictures",11,IF(J61="faces",12,IF(J61="names",13,IF(J61="idioms",14,IF(J61="grades",15,IF(J61="syllable-digit pairs",16,IF(J61="trigram-word pairs",17,IF(J61="word-digit pairs",18,IF(J61="English-Swahili pairs",19,IF(J61="spatial position",20,IF(J61="word pairs",21,IF(J61="word triads",22,IF(J61="generated words",23,IF(J61="word definition pairs",24,IF(J61="math problems",25,IF(J61="famous faces",26,IF(J61="famous names",27,IF(J61="famous voices",28,IF(J61="television programs",29,IF(J61="race horses",30,IF(J61="new vocabulary",31,IF(J61="sentences",32,IF(J61="concepts",33,IF(J61="ad slides",34,IF(J61="scenes",35,IF(J61="famous scenes",36,IF(J61="poems",37,IF(J61="walk",38,IF(J61="faces and events",39,IF(J61="events and names",40,IF(J61="flashbulb",41,IF(J61="stories",42,IF(J61="course material",43,IF(J61="autobiographical",44,IF(J61="novels",45,IF(J61="public events",46,"99"))))))))))))))))))))))))))))))))))))))))))))))</f>
        <v>39</v>
      </c>
      <c r="L61" s="69">
        <f>IF(J61="syllables",1,IF(J61="trigrams",1,IF(J61="strings",1,IF(J61="visual array",1,IF(J61="characters",1,IF(J61="letters",1,IF(J61="free forms",1,IF(J61="odors",2,IF(J61="words",2,IF(J61="pictures",2,IF(J61="object pictures",2,IF(J61="faces",2,IF(J61="names",2,IF(J61="idioms","2",IF(J61="grades",2,IF(J61="syllable-digit pairs",3,IF(J61="trigram-word pairs",3,IF(J61="word-digit pairs",3,IF(J61="English-Swahili pairs",3,IF(J61="spatial position",3,IF(J61="word pairs",4,IF(J61="word triads",4,IF(J61="generated words",4,IF(J61="word definition pairs",4,IF(J61="math problems",4,IF(J61="famous faces",4,IF(J61="famous names",4,IF(J61="famous voices",4,IF(J61="television programs",4,IF(J61="race horses",4,IF(J61="new vocabulary",4,IF(J61="sentences",5,IF(J61="concepts",5,IF(J61="ad slides",5,IF(J61="scenes",5,IF(J61="famous scenes",5,IF(J61="poems",6,IF(J61="walk",6,IF(J61="faces and events",6,IF(J61="events and names",6,IF(J61="flashbulb",7,IF(J61="stories",7,IF(J61="course material",7,IF(J61="autobiographical",7,IF(J61="novels",7,IF(J61="public events",7,"99"))))))))))))))))))))))))))))))))))))))))))))))</f>
        <v>6</v>
      </c>
      <c r="M61" s="69">
        <v>1</v>
      </c>
      <c r="N61" s="86">
        <v>3</v>
      </c>
      <c r="O61" s="69">
        <v>0</v>
      </c>
      <c r="P61" s="69"/>
      <c r="Q61" s="69" t="s">
        <v>174</v>
      </c>
      <c r="R61" s="69">
        <f>IF(Q61="Free Recall",1,IF(Q61="Cued Recall",2,IF(Q61="Recognition",3,IF(Q61="Multiple Choice",4,IF(Q61="Savings",5,IF(Q61="Stem Completion",6,IF(Q61="Fragment Completion",7,IF(Q61="anagram solution",8,IF(Q61="Matching",9,IF(Q61="Problem Solving",10,"99"))))))))))</f>
        <v>1</v>
      </c>
      <c r="S61" s="69" t="s">
        <v>49</v>
      </c>
      <c r="T61" s="92" t="s">
        <v>581</v>
      </c>
      <c r="U61" s="69">
        <f>IF(T61="within",1,0)</f>
        <v>1</v>
      </c>
      <c r="V61" s="92">
        <v>75</v>
      </c>
      <c r="W61" s="69">
        <f>F61*V61</f>
        <v>1950</v>
      </c>
      <c r="X61" s="69">
        <v>5</v>
      </c>
      <c r="Y61" s="87">
        <f>AV60</f>
        <v>94608000</v>
      </c>
      <c r="Z61" s="69" t="s">
        <v>426</v>
      </c>
      <c r="AA61" s="69">
        <f>43*365*24*60*60</f>
        <v>1356048000</v>
      </c>
      <c r="AB61" s="69" t="str">
        <f>IF(AA61&lt;60,"1",IF(AA61&lt;=43200,"2",IF(AA61&lt;=777600,"3","4")))</f>
        <v>4</v>
      </c>
      <c r="AC61" s="72">
        <f>AVERAGE(AV60:DA60)</f>
        <v>725328000</v>
      </c>
      <c r="AD61" s="69" t="str">
        <f>IF(AC61&lt;60,"1",IF(AC61&lt;=43200,"2",IF(AC61&lt;=777600,"3","4")))</f>
        <v>4</v>
      </c>
      <c r="AE61" s="87">
        <f>AA61-Y61</f>
        <v>1261440000</v>
      </c>
      <c r="AF61" s="88">
        <f>AV61</f>
        <v>0.57999999999999996</v>
      </c>
      <c r="AG61" s="72">
        <f>((AW61-AV61)+(AX61-AW61)+(AY61-AX61)+(AZ61-AY61))/4</f>
        <v>-2.4999999999999994E-2</v>
      </c>
      <c r="AH61" s="4"/>
      <c r="AI61" s="72">
        <f>RSQ(AV61:AZ61,AV60:AZ60)</f>
        <v>0.52083333333333348</v>
      </c>
      <c r="AJ61" s="110">
        <f>SLOPE(AV61:AZ61,AV60:AZ60)</f>
        <v>-6.3419583967529159E-11</v>
      </c>
      <c r="AK61" s="72">
        <f>INTERCEPT(AV61:AZ61,AV60:AZ60)</f>
        <v>0.60400000000000009</v>
      </c>
      <c r="AL61" s="72">
        <f>INDEX(LINEST(LN(AV61:AZ61),LN(AV60:AZ60),TRUE,TRUE),3,1)</f>
        <v>0.27876984355354839</v>
      </c>
      <c r="AM61" s="72">
        <f>INDEX(LINEST(LN(AV61:AZ61),LN(AV60:AZ60)),1)</f>
        <v>-4.1465481467406064E-2</v>
      </c>
      <c r="AN61" s="72">
        <f>EXP(INDEX(LINEST(LN(AV61:AZ61),LN(AV60:AZ60)),1,2))</f>
        <v>1.2795260339791454</v>
      </c>
      <c r="AO61" s="89">
        <f>INDEX(LINEST((AV61:AZ61),LN(AV60:AZ60),TRUE,TRUE),3,1)</f>
        <v>0.28099410716676088</v>
      </c>
      <c r="AP61" s="89">
        <f>INDEX(LINEST((AV61:AZ61),LN(AV60:AZ60)),1)</f>
        <v>-2.1970062088028489E-2</v>
      </c>
      <c r="AQ61" s="90">
        <f>INDEX(LINEST(LN(AV61:AZ61),SQRT(AV60:AZ60),TRUE,TRUE),3,1)</f>
        <v>0.39918031603574167</v>
      </c>
      <c r="AR61" s="117">
        <f>INDEX(LINEST(LN(AV61:AZ61),SQRT((AV60:AZ60))),1)</f>
        <v>-4.9353285677035235E-6</v>
      </c>
      <c r="AS61" s="91">
        <f>INDEX(LINEST(1/(AV61:AZ61),1/(SQRT(AV60:AZ60)),TRUE,TRUE),3,1)</f>
        <v>0.18459492975610362</v>
      </c>
      <c r="AT61" s="91">
        <f>INDEX(LINEST(1/(AV61:AZ61),1/SQRT(AV60:AZ60)),1)</f>
        <v>-2189.1487818446717</v>
      </c>
      <c r="AU61" s="3"/>
      <c r="AV61" s="73">
        <v>0.57999999999999996</v>
      </c>
      <c r="AW61" s="73">
        <v>0.57999999999999996</v>
      </c>
      <c r="AX61" s="73">
        <v>0.56999999999999995</v>
      </c>
      <c r="AY61" s="73">
        <v>0.57999999999999996</v>
      </c>
      <c r="AZ61" s="73">
        <v>0.48</v>
      </c>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1"/>
      <c r="CS61" s="1"/>
      <c r="CT61" s="1"/>
      <c r="CU61" s="1"/>
    </row>
    <row r="62" spans="1:99" s="13" customFormat="1" ht="12" customHeight="1" x14ac:dyDescent="0.2">
      <c r="A62" s="68">
        <v>43902</v>
      </c>
      <c r="B62" s="70"/>
      <c r="C62" s="70"/>
      <c r="D62" s="69"/>
      <c r="E62" s="87"/>
      <c r="F62" s="69"/>
      <c r="G62" s="69"/>
      <c r="H62" s="69"/>
      <c r="I62" s="69"/>
      <c r="J62" s="69"/>
      <c r="K62" s="107"/>
      <c r="L62" s="107"/>
      <c r="M62" s="69"/>
      <c r="N62" s="86"/>
      <c r="O62" s="69"/>
      <c r="P62" s="69"/>
      <c r="Q62" s="69"/>
      <c r="R62" s="69"/>
      <c r="S62" s="69"/>
      <c r="T62" s="69"/>
      <c r="U62" s="69"/>
      <c r="V62" s="69"/>
      <c r="W62" s="69"/>
      <c r="X62" s="69"/>
      <c r="Y62" s="87"/>
      <c r="Z62" s="69"/>
      <c r="AA62" s="69"/>
      <c r="AB62" s="69"/>
      <c r="AC62" s="72"/>
      <c r="AD62" s="69"/>
      <c r="AE62" s="69"/>
      <c r="AF62" s="88"/>
      <c r="AG62" s="72"/>
      <c r="AH62" s="4"/>
      <c r="AI62" s="72"/>
      <c r="AJ62" s="110"/>
      <c r="AK62" s="72"/>
      <c r="AL62" s="72"/>
      <c r="AM62" s="72"/>
      <c r="AN62" s="72"/>
      <c r="AO62" s="89"/>
      <c r="AP62" s="89"/>
      <c r="AQ62" s="90"/>
      <c r="AR62" s="117"/>
      <c r="AS62" s="91"/>
      <c r="AT62" s="91"/>
      <c r="AU62" s="3"/>
      <c r="AV62" s="71">
        <v>94608000</v>
      </c>
      <c r="AW62" s="71">
        <v>409968000</v>
      </c>
      <c r="AX62" s="71">
        <v>725328000</v>
      </c>
      <c r="AY62" s="71">
        <v>1040688000</v>
      </c>
      <c r="AZ62" s="71">
        <v>1356048000</v>
      </c>
      <c r="BA62" s="53"/>
      <c r="BB62" s="53"/>
      <c r="BC62" s="53"/>
      <c r="BD62" s="53"/>
      <c r="BE62" s="53"/>
      <c r="BF62" s="53"/>
      <c r="BG62" s="53"/>
      <c r="BH62" s="53"/>
      <c r="BI62" s="53"/>
      <c r="BJ62" s="53"/>
      <c r="BK62" s="53"/>
      <c r="BL62" s="53"/>
      <c r="BM62" s="53"/>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53"/>
      <c r="CO62" s="53"/>
      <c r="CP62" s="53"/>
      <c r="CQ62" s="53"/>
      <c r="CR62" s="1"/>
      <c r="CS62" s="1"/>
      <c r="CT62" s="1"/>
      <c r="CU62" s="1"/>
    </row>
    <row r="63" spans="1:99" s="13" customFormat="1" ht="12" customHeight="1" x14ac:dyDescent="0.2">
      <c r="A63" s="68">
        <v>43902</v>
      </c>
      <c r="B63" s="70" t="s">
        <v>453</v>
      </c>
      <c r="C63" s="70" t="s">
        <v>425</v>
      </c>
      <c r="D63" s="69">
        <v>1988</v>
      </c>
      <c r="E63" s="87">
        <v>1</v>
      </c>
      <c r="F63" s="69">
        <v>26</v>
      </c>
      <c r="G63" s="69">
        <v>26</v>
      </c>
      <c r="H63" s="69" t="s">
        <v>50</v>
      </c>
      <c r="I63" s="92" t="s">
        <v>330</v>
      </c>
      <c r="J63" s="69" t="s">
        <v>336</v>
      </c>
      <c r="K63" s="69">
        <f>IF(J63="syllables",1,IF(J63="trigrams",2,IF(J63="strings",3,IF(J63="visual array",4,IF(J63="characters",5,IF(J63="letters",6,IF(J63="free forms",7,IF(J63="odors",8,IF(J63="words",9,IF(J63="pictures",10,IF(J63="object pictures",11,IF(J63="faces",12,IF(J63="names",13,IF(J63="idioms",14,IF(J63="grades",15,IF(J63="syllable-digit pairs",16,IF(J63="trigram-word pairs",17,IF(J63="word-digit pairs",18,IF(J63="English-Swahili pairs",19,IF(J63="spatial position",20,IF(J63="word pairs",21,IF(J63="word triads",22,IF(J63="generated words",23,IF(J63="word definition pairs",24,IF(J63="math problems",25,IF(J63="famous faces",26,IF(J63="famous names",27,IF(J63="famous voices",28,IF(J63="television programs",29,IF(J63="race horses",30,IF(J63="new vocabulary",31,IF(J63="sentences",32,IF(J63="concepts",33,IF(J63="ad slides",34,IF(J63="scenes",35,IF(J63="famous scenes",36,IF(J63="poems",37,IF(J63="walk",38,IF(J63="faces and events",39,IF(J63="events and names",40,IF(J63="flashbulb",41,IF(J63="stories",42,IF(J63="course material",43,IF(J63="autobiographical",44,IF(J63="novels",45,IF(J63="public events",46,"99"))))))))))))))))))))))))))))))))))))))))))))))</f>
        <v>39</v>
      </c>
      <c r="L63" s="69">
        <f>IF(J63="syllables",1,IF(J63="trigrams",1,IF(J63="strings",1,IF(J63="visual array",1,IF(J63="characters",1,IF(J63="letters",1,IF(J63="free forms",1,IF(J63="odors",2,IF(J63="words",2,IF(J63="pictures",2,IF(J63="object pictures",2,IF(J63="faces",2,IF(J63="names",2,IF(J63="idioms","2",IF(J63="grades",2,IF(J63="syllable-digit pairs",3,IF(J63="trigram-word pairs",3,IF(J63="word-digit pairs",3,IF(J63="English-Swahili pairs",3,IF(J63="spatial position",3,IF(J63="word pairs",4,IF(J63="word triads",4,IF(J63="generated words",4,IF(J63="word definition pairs",4,IF(J63="math problems",4,IF(J63="famous faces",4,IF(J63="famous names",4,IF(J63="famous voices",4,IF(J63="television programs",4,IF(J63="race horses",4,IF(J63="new vocabulary",4,IF(J63="sentences",5,IF(J63="concepts",5,IF(J63="ad slides",5,IF(J63="scenes",5,IF(J63="famous scenes",5,IF(J63="poems",6,IF(J63="walk",6,IF(J63="faces and events",6,IF(J63="events and names",6,IF(J63="flashbulb",7,IF(J63="stories",7,IF(J63="course material",7,IF(J63="autobiographical",7,IF(J63="novels",7,IF(J63="public events",7,"99"))))))))))))))))))))))))))))))))))))))))))))))</f>
        <v>6</v>
      </c>
      <c r="M63" s="69">
        <v>1</v>
      </c>
      <c r="N63" s="86">
        <v>3</v>
      </c>
      <c r="O63" s="69">
        <v>0</v>
      </c>
      <c r="P63" s="69"/>
      <c r="Q63" s="69" t="s">
        <v>34</v>
      </c>
      <c r="R63" s="69">
        <f>IF(Q63="Free Recall",1,IF(Q63="Cued Recall",2,IF(Q63="Recognition",3,IF(Q63="Multiple Choice",4,IF(Q63="Savings",5,IF(Q63="Stem Completion",6,IF(Q63="Fragment Completion",7,IF(Q63="anagram solution",8,IF(Q63="Matching",9,IF(Q63="Problem Solving",10,"99"))))))))))</f>
        <v>3</v>
      </c>
      <c r="S63" s="69" t="s">
        <v>15</v>
      </c>
      <c r="T63" s="92" t="s">
        <v>581</v>
      </c>
      <c r="U63" s="69">
        <f>IF(T63="within",1,0)</f>
        <v>1</v>
      </c>
      <c r="V63" s="92">
        <v>75</v>
      </c>
      <c r="W63" s="69">
        <f>F63*V63</f>
        <v>1950</v>
      </c>
      <c r="X63" s="69">
        <v>5</v>
      </c>
      <c r="Y63" s="87">
        <f>AV62</f>
        <v>94608000</v>
      </c>
      <c r="Z63" s="69" t="s">
        <v>426</v>
      </c>
      <c r="AA63" s="69">
        <f>43*365*24*60*60</f>
        <v>1356048000</v>
      </c>
      <c r="AB63" s="69" t="str">
        <f>IF(AA63&lt;60,"1",IF(AA63&lt;=43200,"2",IF(AA63&lt;=777600,"3","4")))</f>
        <v>4</v>
      </c>
      <c r="AC63" s="72">
        <f>AVERAGE(AV62:DA62)</f>
        <v>725328000</v>
      </c>
      <c r="AD63" s="69" t="str">
        <f>IF(AC63&lt;60,"1",IF(AC63&lt;=43200,"2",IF(AC63&lt;=777600,"3","4")))</f>
        <v>4</v>
      </c>
      <c r="AE63" s="87">
        <f>AA63-Y63</f>
        <v>1261440000</v>
      </c>
      <c r="AF63" s="88">
        <f>AV63</f>
        <v>0.9</v>
      </c>
      <c r="AG63" s="72">
        <f>((AW63-AV63)+(AX63-AW63)+(AY63-AX63)+(AZ63-AY63))/4</f>
        <v>-2.7499999999999997E-2</v>
      </c>
      <c r="AH63" s="4"/>
      <c r="AI63" s="72">
        <f>RSQ(AV63:AZ63,AV62:AZ62)</f>
        <v>0.85786802030456866</v>
      </c>
      <c r="AJ63" s="110">
        <f>SLOPE(AV63:AZ63,AV62:AZ62)</f>
        <v>-8.2445459157787926E-11</v>
      </c>
      <c r="AK63" s="72">
        <f>INTERCEPT(AV63:AZ63,AV62:AZ62)</f>
        <v>0.92180000000000006</v>
      </c>
      <c r="AL63" s="72">
        <f>INDEX(LINEST(LN(AV63:AZ63),LN(AV62:AZ62),TRUE,TRUE),3,1)</f>
        <v>0.56503942925891548</v>
      </c>
      <c r="AM63" s="72">
        <f>INDEX(LINEST(LN(AV63:AZ63),LN(AV62:AZ62)),1)</f>
        <v>-3.7468316457231234E-2</v>
      </c>
      <c r="AN63" s="72">
        <f>EXP(INDEX(LINEST(LN(AV63:AZ63),LN(AV62:AZ62)),1,2))</f>
        <v>1.8270356733881319</v>
      </c>
      <c r="AO63" s="89">
        <f>INDEX(LINEST((AV63:AZ63),LN(AV62:AZ62),TRUE,TRUE),3,1)</f>
        <v>0.57848153616717801</v>
      </c>
      <c r="AP63" s="89">
        <f>INDEX(LINEST((AV63:AZ63),LN(AV62:AZ62)),1)</f>
        <v>-3.1930809424982776E-2</v>
      </c>
      <c r="AQ63" s="90">
        <f>INDEX(LINEST(LN(AV63:AZ63),SQRT(AV62:AZ62),TRUE,TRUE),3,1)</f>
        <v>0.72133707000506753</v>
      </c>
      <c r="AR63" s="117">
        <f>INDEX(LINEST(LN(AV63:AZ63),SQRT((AV62:AZ62))),1)</f>
        <v>-4.2107710016297187E-6</v>
      </c>
      <c r="AS63" s="91">
        <f>INDEX(LINEST(1/(AV63:AZ63),1/(SQRT(AV62:AZ62)),TRUE,TRUE),3,1)</f>
        <v>0.41136651009331671</v>
      </c>
      <c r="AT63" s="91">
        <f>INDEX(LINEST(1/(AV63:AZ63),1/SQRT(AV62:AZ62)),1)</f>
        <v>-1297.7934209038874</v>
      </c>
      <c r="AU63" s="3"/>
      <c r="AV63" s="73">
        <v>0.9</v>
      </c>
      <c r="AW63" s="73">
        <v>0.89</v>
      </c>
      <c r="AX63" s="73">
        <v>0.88</v>
      </c>
      <c r="AY63" s="73">
        <v>0.85</v>
      </c>
      <c r="AZ63" s="73">
        <v>0.79</v>
      </c>
      <c r="BA63" s="53"/>
      <c r="BB63" s="53"/>
      <c r="BC63" s="53"/>
      <c r="BD63" s="53"/>
      <c r="BE63" s="53"/>
      <c r="BF63" s="53"/>
      <c r="BG63" s="53"/>
      <c r="BH63" s="53"/>
      <c r="BI63" s="53"/>
      <c r="BJ63" s="53"/>
      <c r="BK63" s="53"/>
      <c r="BL63" s="53"/>
      <c r="BM63" s="53"/>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53"/>
      <c r="CO63" s="53"/>
      <c r="CP63" s="53"/>
      <c r="CQ63" s="53"/>
      <c r="CR63" s="1"/>
      <c r="CS63" s="1"/>
      <c r="CT63" s="1"/>
      <c r="CU63" s="1"/>
    </row>
    <row r="64" spans="1:99" s="13" customFormat="1" ht="12" customHeight="1" x14ac:dyDescent="0.2">
      <c r="A64" s="68">
        <v>43895</v>
      </c>
      <c r="B64" s="70"/>
      <c r="C64" s="70"/>
      <c r="D64" s="69"/>
      <c r="E64" s="87"/>
      <c r="F64" s="69"/>
      <c r="G64" s="69"/>
      <c r="H64" s="69"/>
      <c r="I64" s="69"/>
      <c r="J64" s="69"/>
      <c r="K64" s="107"/>
      <c r="L64" s="107"/>
      <c r="M64" s="69"/>
      <c r="N64" s="92"/>
      <c r="O64" s="69"/>
      <c r="P64" s="69"/>
      <c r="Q64" s="69"/>
      <c r="R64" s="69"/>
      <c r="S64" s="69"/>
      <c r="T64" s="92"/>
      <c r="U64" s="69"/>
      <c r="V64" s="92"/>
      <c r="W64" s="69"/>
      <c r="X64" s="69"/>
      <c r="Y64" s="87"/>
      <c r="Z64" s="69"/>
      <c r="AA64" s="87"/>
      <c r="AB64" s="69"/>
      <c r="AC64" s="72"/>
      <c r="AD64" s="69"/>
      <c r="AE64" s="69"/>
      <c r="AF64" s="88"/>
      <c r="AG64" s="72"/>
      <c r="AH64" s="4"/>
      <c r="AI64" s="72"/>
      <c r="AJ64" s="110"/>
      <c r="AK64" s="72"/>
      <c r="AL64" s="72"/>
      <c r="AM64" s="72"/>
      <c r="AN64" s="72"/>
      <c r="AO64" s="89"/>
      <c r="AP64" s="89"/>
      <c r="AQ64" s="90"/>
      <c r="AR64" s="117"/>
      <c r="AS64" s="91"/>
      <c r="AT64" s="91"/>
      <c r="AU64" s="3"/>
      <c r="AV64" s="71">
        <v>157680000</v>
      </c>
      <c r="AW64" s="71">
        <v>473040000</v>
      </c>
      <c r="AX64" s="71">
        <v>788400000</v>
      </c>
      <c r="AY64" s="71">
        <v>1103760000</v>
      </c>
      <c r="AZ64" s="71">
        <v>1419120000</v>
      </c>
      <c r="BA64" s="53"/>
      <c r="BB64" s="53"/>
      <c r="BC64" s="53"/>
      <c r="BD64" s="53"/>
      <c r="BE64" s="53"/>
      <c r="BF64" s="53"/>
      <c r="BG64" s="53"/>
      <c r="BH64" s="53"/>
      <c r="BI64" s="53"/>
      <c r="BJ64" s="53"/>
      <c r="BK64" s="53"/>
      <c r="BL64" s="53"/>
      <c r="BM64" s="53"/>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53"/>
      <c r="CO64" s="53"/>
      <c r="CP64" s="53"/>
      <c r="CQ64" s="53"/>
      <c r="CR64" s="1"/>
      <c r="CS64" s="1"/>
      <c r="CT64" s="1"/>
      <c r="CU64" s="1"/>
    </row>
    <row r="65" spans="1:99" s="13" customFormat="1" ht="12" customHeight="1" x14ac:dyDescent="0.2">
      <c r="A65" s="68">
        <v>43895</v>
      </c>
      <c r="B65" s="70" t="s">
        <v>337</v>
      </c>
      <c r="C65" s="70" t="s">
        <v>338</v>
      </c>
      <c r="D65" s="69">
        <v>1988</v>
      </c>
      <c r="E65" s="87">
        <v>1</v>
      </c>
      <c r="F65" s="69">
        <v>12</v>
      </c>
      <c r="G65" s="69">
        <v>12</v>
      </c>
      <c r="H65" s="69" t="s">
        <v>50</v>
      </c>
      <c r="I65" s="92" t="s">
        <v>396</v>
      </c>
      <c r="J65" s="69" t="s">
        <v>336</v>
      </c>
      <c r="K65" s="69">
        <f>IF(J65="syllables",1,IF(J65="trigrams",2,IF(J65="strings",3,IF(J65="visual array",4,IF(J65="characters",5,IF(J65="letters",6,IF(J65="free forms",7,IF(J65="odors",8,IF(J65="words",9,IF(J65="pictures",10,IF(J65="object pictures",11,IF(J65="faces",12,IF(J65="names",13,IF(J65="idioms",14,IF(J65="grades",15,IF(J65="syllable-digit pairs",16,IF(J65="trigram-word pairs",17,IF(J65="word-digit pairs",18,IF(J65="English-Swahili pairs",19,IF(J65="spatial position",20,IF(J65="word pairs",21,IF(J65="word triads",22,IF(J65="generated words",23,IF(J65="word definition pairs",24,IF(J65="math problems",25,IF(J65="famous faces",26,IF(J65="famous names",27,IF(J65="famous voices",28,IF(J65="television programs",29,IF(J65="race horses",30,IF(J65="new vocabulary",31,IF(J65="sentences",32,IF(J65="concepts",33,IF(J65="ad slides",34,IF(J65="scenes",35,IF(J65="famous scenes",36,IF(J65="poems",37,IF(J65="walk",38,IF(J65="faces and events",39,IF(J65="events and names",40,IF(J65="flashbulb",41,IF(J65="stories",42,IF(J65="course material",43,IF(J65="autobiographical",44,IF(J65="novels",45,IF(J65="public events",46,"99"))))))))))))))))))))))))))))))))))))))))))))))</f>
        <v>39</v>
      </c>
      <c r="L65" s="69">
        <f>IF(J65="syllables",1,IF(J65="trigrams",1,IF(J65="strings",1,IF(J65="visual array",1,IF(J65="characters",1,IF(J65="letters",1,IF(J65="free forms",1,IF(J65="odors",2,IF(J65="words",2,IF(J65="pictures",2,IF(J65="object pictures",2,IF(J65="faces",2,IF(J65="names",2,IF(J65="idioms","2",IF(J65="grades",2,IF(J65="syllable-digit pairs",3,IF(J65="trigram-word pairs",3,IF(J65="word-digit pairs",3,IF(J65="English-Swahili pairs",3,IF(J65="spatial position",3,IF(J65="word pairs",4,IF(J65="word triads",4,IF(J65="generated words",4,IF(J65="word definition pairs",4,IF(J65="math problems",4,IF(J65="famous faces",4,IF(J65="famous names",4,IF(J65="famous voices",4,IF(J65="television programs",4,IF(J65="race horses",4,IF(J65="new vocabulary",4,IF(J65="sentences",5,IF(J65="concepts",5,IF(J65="ad slides",5,IF(J65="scenes",5,IF(J65="famous scenes",5,IF(J65="poems",6,IF(J65="walk",6,IF(J65="faces and events",6,IF(J65="events and names",6,IF(J65="flashbulb",7,IF(J65="stories",7,IF(J65="course material",7,IF(J65="autobiographical",7,IF(J65="novels",7,IF(J65="public events",7,"99"))))))))))))))))))))))))))))))))))))))))))))))</f>
        <v>6</v>
      </c>
      <c r="M65" s="69">
        <v>1</v>
      </c>
      <c r="N65" s="92">
        <v>3</v>
      </c>
      <c r="O65" s="69">
        <v>0</v>
      </c>
      <c r="P65" s="69"/>
      <c r="Q65" s="69" t="s">
        <v>174</v>
      </c>
      <c r="R65" s="69">
        <f>IF(Q65="Free Recall",1,IF(Q65="Cued Recall",2,IF(Q65="Recognition",3,IF(Q65="Multiple Choice",4,IF(Q65="Savings",5,IF(Q65="Stem Completion",6,IF(Q65="Fragment Completion",7,IF(Q65="anagram solution",8,IF(Q65="Matching",9,IF(Q65="Problem Solving",10,"99"))))))))))</f>
        <v>1</v>
      </c>
      <c r="S65" s="69" t="s">
        <v>49</v>
      </c>
      <c r="T65" s="92" t="s">
        <v>581</v>
      </c>
      <c r="U65" s="69">
        <f>IF(T65="within",1,0)</f>
        <v>1</v>
      </c>
      <c r="V65" s="92">
        <v>75</v>
      </c>
      <c r="W65" s="69">
        <f>F65*V65</f>
        <v>900</v>
      </c>
      <c r="X65" s="69">
        <v>5</v>
      </c>
      <c r="Y65" s="87">
        <f>AV64</f>
        <v>157680000</v>
      </c>
      <c r="Z65" s="69" t="s">
        <v>373</v>
      </c>
      <c r="AA65" s="69">
        <f>45*365*24*60*60</f>
        <v>1419120000</v>
      </c>
      <c r="AB65" s="69" t="str">
        <f>IF(AA65&lt;60,"1",IF(AA65&lt;=43200,"2",IF(AA65&lt;=777600,"3","4")))</f>
        <v>4</v>
      </c>
      <c r="AC65" s="72">
        <f>AVERAGE(AV64:DA64)</f>
        <v>788400000</v>
      </c>
      <c r="AD65" s="69" t="str">
        <f>IF(AC65&lt;60,"1",IF(AC65&lt;=43200,"2",IF(AC65&lt;=777600,"3","4")))</f>
        <v>4</v>
      </c>
      <c r="AE65" s="87">
        <f>AA65-Y65</f>
        <v>1261440000</v>
      </c>
      <c r="AF65" s="88">
        <f>AV65</f>
        <v>0.59375</v>
      </c>
      <c r="AG65" s="93">
        <f>((AW65-AV65)+(AX65-AW65)+(AY65-AX65)+(AZ65-AY65))/4</f>
        <v>-3.43750000000001E-3</v>
      </c>
      <c r="AH65" s="4"/>
      <c r="AI65" s="72">
        <f>RSQ(AV65:AZ65,AV64:AZ64)</f>
        <v>0.17179401042027329</v>
      </c>
      <c r="AJ65" s="110">
        <f>SLOPE(AV65:AZ65,AV64:AZ64)</f>
        <v>-3.6591431012844188E-11</v>
      </c>
      <c r="AK65" s="72">
        <f>INTERCEPT(AV65:AZ65,AV64:AZ64)</f>
        <v>0.63201973684210533</v>
      </c>
      <c r="AL65" s="72">
        <f>INDEX(LINEST(LN(AV65:AZ65),LN(AV64:AZ64),TRUE,TRUE),3,1)</f>
        <v>7.6750710241200476E-2</v>
      </c>
      <c r="AM65" s="72">
        <f>INDEX(LINEST(LN(AV65:AZ65),LN(AV64:AZ64)),1)</f>
        <v>-2.2348868169555933E-2</v>
      </c>
      <c r="AN65" s="72">
        <f>EXP(INDEX(LINEST(LN(AV65:AZ65),LN(AV64:AZ64)),1,2))</f>
        <v>0.94639709083873058</v>
      </c>
      <c r="AO65" s="89">
        <f>INDEX(LINEST((AV65:AZ65),LN(AV64:AZ64),TRUE,TRUE),3,1)</f>
        <v>7.3220537919481174E-2</v>
      </c>
      <c r="AP65" s="89">
        <f>INDEX(LINEST((AV65:AZ65),LN(AV64:AZ64)),1)</f>
        <v>-1.3699919104943852E-2</v>
      </c>
      <c r="AQ65" s="90">
        <f>INDEX(LINEST(LN(AV65:AZ65),SQRT(AV64:AZ64),TRUE,TRUE),3,1)</f>
        <v>0.13048439630196418</v>
      </c>
      <c r="AR65" s="117">
        <f>INDEX(LINEST(LN(AV65:AZ65),SQRT((AV64:AZ64))),1)</f>
        <v>-2.5680993621745155E-6</v>
      </c>
      <c r="AS65" s="91">
        <f>INDEX(LINEST(1/(AV65:AZ65),1/(SQRT(AV64:AZ64)),TRUE,TRUE),3,1)</f>
        <v>3.5626311567929607E-2</v>
      </c>
      <c r="AT65" s="91">
        <f>INDEX(LINEST(1/(AV65:AZ65),1/SQRT(AV64:AZ64)),1)</f>
        <v>-985.78832194629126</v>
      </c>
      <c r="AU65" s="3"/>
      <c r="AV65" s="73">
        <v>0.59375</v>
      </c>
      <c r="AW65" s="73">
        <v>0.68</v>
      </c>
      <c r="AX65" s="73">
        <v>0.56999999999999995</v>
      </c>
      <c r="AY65" s="73">
        <v>0.59210526315789469</v>
      </c>
      <c r="AZ65" s="73">
        <v>0.57999999999999996</v>
      </c>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1"/>
      <c r="CS65" s="1"/>
      <c r="CT65" s="1"/>
      <c r="CU65" s="1"/>
    </row>
    <row r="66" spans="1:99" s="13" customFormat="1" ht="12" customHeight="1" x14ac:dyDescent="0.2">
      <c r="A66" s="68">
        <v>43895</v>
      </c>
      <c r="B66" s="70"/>
      <c r="C66" s="70"/>
      <c r="D66" s="69"/>
      <c r="E66" s="87"/>
      <c r="F66" s="69"/>
      <c r="G66" s="69"/>
      <c r="H66" s="69"/>
      <c r="I66" s="69"/>
      <c r="J66" s="69"/>
      <c r="K66" s="107"/>
      <c r="L66" s="107"/>
      <c r="M66" s="69"/>
      <c r="N66" s="92"/>
      <c r="O66" s="69"/>
      <c r="P66" s="69"/>
      <c r="Q66" s="69"/>
      <c r="R66" s="69"/>
      <c r="S66" s="69"/>
      <c r="T66" s="92"/>
      <c r="U66" s="69"/>
      <c r="V66" s="92"/>
      <c r="W66" s="69"/>
      <c r="X66" s="69"/>
      <c r="Y66" s="87"/>
      <c r="Z66" s="69"/>
      <c r="AA66" s="87"/>
      <c r="AB66" s="69"/>
      <c r="AC66" s="72"/>
      <c r="AD66" s="69"/>
      <c r="AE66" s="69"/>
      <c r="AF66" s="88"/>
      <c r="AG66" s="72"/>
      <c r="AH66" s="4"/>
      <c r="AI66" s="72"/>
      <c r="AJ66" s="110"/>
      <c r="AK66" s="72"/>
      <c r="AL66" s="72"/>
      <c r="AM66" s="72"/>
      <c r="AN66" s="72"/>
      <c r="AO66" s="89"/>
      <c r="AP66" s="89"/>
      <c r="AQ66" s="90"/>
      <c r="AR66" s="117"/>
      <c r="AS66" s="91"/>
      <c r="AT66" s="91"/>
      <c r="AU66" s="3"/>
      <c r="AV66" s="71">
        <v>157680000</v>
      </c>
      <c r="AW66" s="71">
        <v>473040000</v>
      </c>
      <c r="AX66" s="71">
        <v>788400000</v>
      </c>
      <c r="AY66" s="71">
        <v>1103760000</v>
      </c>
      <c r="AZ66" s="71">
        <v>1419120000</v>
      </c>
      <c r="BA66" s="53"/>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53"/>
      <c r="CD66" s="53"/>
      <c r="CE66" s="53"/>
      <c r="CF66" s="53"/>
      <c r="CG66" s="53"/>
      <c r="CH66" s="53"/>
      <c r="CI66" s="53"/>
      <c r="CJ66" s="53"/>
      <c r="CK66" s="53"/>
      <c r="CL66" s="53"/>
      <c r="CM66" s="53"/>
      <c r="CN66" s="53"/>
      <c r="CO66" s="53"/>
      <c r="CP66" s="53"/>
      <c r="CQ66" s="53"/>
      <c r="CR66" s="1"/>
      <c r="CS66" s="1"/>
      <c r="CT66" s="1"/>
      <c r="CU66" s="1"/>
    </row>
    <row r="67" spans="1:99" s="13" customFormat="1" ht="12" customHeight="1" x14ac:dyDescent="0.2">
      <c r="A67" s="68">
        <v>43895</v>
      </c>
      <c r="B67" s="70" t="s">
        <v>337</v>
      </c>
      <c r="C67" s="70" t="s">
        <v>338</v>
      </c>
      <c r="D67" s="69">
        <v>1988</v>
      </c>
      <c r="E67" s="87">
        <v>1</v>
      </c>
      <c r="F67" s="69">
        <v>12</v>
      </c>
      <c r="G67" s="69">
        <v>12</v>
      </c>
      <c r="H67" s="69" t="s">
        <v>50</v>
      </c>
      <c r="I67" s="92" t="s">
        <v>631</v>
      </c>
      <c r="J67" s="69" t="s">
        <v>336</v>
      </c>
      <c r="K67" s="69">
        <f>IF(J67="syllables",1,IF(J67="trigrams",2,IF(J67="strings",3,IF(J67="visual array",4,IF(J67="characters",5,IF(J67="letters",6,IF(J67="free forms",7,IF(J67="odors",8,IF(J67="words",9,IF(J67="pictures",10,IF(J67="object pictures",11,IF(J67="faces",12,IF(J67="names",13,IF(J67="idioms",14,IF(J67="grades",15,IF(J67="syllable-digit pairs",16,IF(J67="trigram-word pairs",17,IF(J67="word-digit pairs",18,IF(J67="English-Swahili pairs",19,IF(J67="spatial position",20,IF(J67="word pairs",21,IF(J67="word triads",22,IF(J67="generated words",23,IF(J67="word definition pairs",24,IF(J67="math problems",25,IF(J67="famous faces",26,IF(J67="famous names",27,IF(J67="famous voices",28,IF(J67="television programs",29,IF(J67="race horses",30,IF(J67="new vocabulary",31,IF(J67="sentences",32,IF(J67="concepts",33,IF(J67="ad slides",34,IF(J67="scenes",35,IF(J67="famous scenes",36,IF(J67="poems",37,IF(J67="walk",38,IF(J67="faces and events",39,IF(J67="events and names",40,IF(J67="flashbulb",41,IF(J67="stories",42,IF(J67="course material",43,IF(J67="autobiographical",44,IF(J67="novels",45,IF(J67="public events",46,"99"))))))))))))))))))))))))))))))))))))))))))))))</f>
        <v>39</v>
      </c>
      <c r="L67" s="69">
        <f>IF(J67="syllables",1,IF(J67="trigrams",1,IF(J67="strings",1,IF(J67="visual array",1,IF(J67="characters",1,IF(J67="letters",1,IF(J67="free forms",1,IF(J67="odors",2,IF(J67="words",2,IF(J67="pictures",2,IF(J67="object pictures",2,IF(J67="faces",2,IF(J67="names",2,IF(J67="idioms","2",IF(J67="grades",2,IF(J67="syllable-digit pairs",3,IF(J67="trigram-word pairs",3,IF(J67="word-digit pairs",3,IF(J67="English-Swahili pairs",3,IF(J67="spatial position",3,IF(J67="word pairs",4,IF(J67="word triads",4,IF(J67="generated words",4,IF(J67="word definition pairs",4,IF(J67="math problems",4,IF(J67="famous faces",4,IF(J67="famous names",4,IF(J67="famous voices",4,IF(J67="television programs",4,IF(J67="race horses",4,IF(J67="new vocabulary",4,IF(J67="sentences",5,IF(J67="concepts",5,IF(J67="ad slides",5,IF(J67="scenes",5,IF(J67="famous scenes",5,IF(J67="poems",6,IF(J67="walk",6,IF(J67="faces and events",6,IF(J67="events and names",6,IF(J67="flashbulb",7,IF(J67="stories",7,IF(J67="course material",7,IF(J67="autobiographical",7,IF(J67="novels",7,IF(J67="public events",7,"99"))))))))))))))))))))))))))))))))))))))))))))))</f>
        <v>6</v>
      </c>
      <c r="M67" s="69">
        <v>1</v>
      </c>
      <c r="N67" s="92">
        <v>3</v>
      </c>
      <c r="O67" s="69">
        <v>0</v>
      </c>
      <c r="P67" s="69"/>
      <c r="Q67" s="69" t="s">
        <v>174</v>
      </c>
      <c r="R67" s="69">
        <f>IF(Q67="Free Recall",1,IF(Q67="Cued Recall",2,IF(Q67="Recognition",3,IF(Q67="Multiple Choice",4,IF(Q67="Savings",5,IF(Q67="Stem Completion",6,IF(Q67="Fragment Completion",7,IF(Q67="anagram solution",8,IF(Q67="Matching",9,IF(Q67="Problem Solving",10,"99"))))))))))</f>
        <v>1</v>
      </c>
      <c r="S67" s="69" t="s">
        <v>49</v>
      </c>
      <c r="T67" s="92" t="s">
        <v>581</v>
      </c>
      <c r="U67" s="69">
        <f>IF(T67="within",1,0)</f>
        <v>1</v>
      </c>
      <c r="V67" s="92">
        <v>75</v>
      </c>
      <c r="W67" s="69">
        <f>F67*V67</f>
        <v>900</v>
      </c>
      <c r="X67" s="69">
        <v>5</v>
      </c>
      <c r="Y67" s="87">
        <f>AV66</f>
        <v>157680000</v>
      </c>
      <c r="Z67" s="69" t="s">
        <v>373</v>
      </c>
      <c r="AA67" s="69">
        <f>45*365*24*60*60</f>
        <v>1419120000</v>
      </c>
      <c r="AB67" s="69" t="str">
        <f>IF(AA67&lt;60,"1",IF(AA67&lt;=43200,"2",IF(AA67&lt;=777600,"3","4")))</f>
        <v>4</v>
      </c>
      <c r="AC67" s="72">
        <f>AVERAGE(AV66:DA66)</f>
        <v>788400000</v>
      </c>
      <c r="AD67" s="69" t="str">
        <f>IF(AC67&lt;60,"1",IF(AC67&lt;=43200,"2",IF(AC67&lt;=777600,"3","4")))</f>
        <v>4</v>
      </c>
      <c r="AE67" s="87">
        <f>AA67-Y67</f>
        <v>1261440000</v>
      </c>
      <c r="AF67" s="88">
        <f>AV67</f>
        <v>0.66</v>
      </c>
      <c r="AG67" s="72">
        <f>((AW67-AV67)+(AX67-AW67)+(AY67-AX67)+(AZ67-AY67))/4</f>
        <v>-1.5000000000000013E-2</v>
      </c>
      <c r="AH67" s="4"/>
      <c r="AI67" s="72">
        <f>RSQ(AV67:AZ67,AV66:AZ66)</f>
        <v>0.52688172043010761</v>
      </c>
      <c r="AJ67" s="110">
        <f>SLOPE(AV67:AZ67,AV66:AZ66)</f>
        <v>-4.4393708777270463E-11</v>
      </c>
      <c r="AK67" s="72">
        <f>INTERCEPT(AV67:AZ67,AV66:AZ66)</f>
        <v>0.66100000000000003</v>
      </c>
      <c r="AL67" s="72">
        <f>INDEX(LINEST(LN(AV67:AZ67),LN(AV66:AZ66),TRUE,TRUE),3,1)</f>
        <v>0.56940274386818346</v>
      </c>
      <c r="AM67" s="72">
        <f>INDEX(LINEST(LN(AV67:AZ67),LN(AV66:AZ66)),1)</f>
        <v>-4.2420096194482636E-2</v>
      </c>
      <c r="AN67" s="72">
        <f>EXP(INDEX(LINEST(LN(AV67:AZ67),LN(AV66:AZ66)),1,2))</f>
        <v>1.4762309756978926</v>
      </c>
      <c r="AO67" s="89">
        <f>INDEX(LINEST((AV67:AZ67),LN(AV66:AZ66),TRUE,TRUE),3,1)</f>
        <v>0.58207452531510762</v>
      </c>
      <c r="AP67" s="89">
        <f>INDEX(LINEST((AV67:AZ67),LN(AV66:AZ66)),1)</f>
        <v>-2.6759643259723576E-2</v>
      </c>
      <c r="AQ67" s="90">
        <f>INDEX(LINEST(LN(AV67:AZ67),SQRT(AV66:AZ66),TRUE,TRUE),3,1)</f>
        <v>0.55731398264522247</v>
      </c>
      <c r="AR67" s="117">
        <f>INDEX(LINEST(LN(AV67:AZ67),SQRT((AV66:AZ66))),1)</f>
        <v>-3.6985376272877465E-6</v>
      </c>
      <c r="AS67" s="91">
        <f>INDEX(LINEST(1/(AV67:AZ67),1/(SQRT(AV66:AZ66)),TRUE,TRUE),3,1)</f>
        <v>0.53606408182937182</v>
      </c>
      <c r="AT67" s="91">
        <f>INDEX(LINEST(1/(AV67:AZ67),1/SQRT(AV66:AZ66)),1)</f>
        <v>-2676.2511721455257</v>
      </c>
      <c r="AU67" s="3"/>
      <c r="AV67" s="73">
        <v>0.66</v>
      </c>
      <c r="AW67" s="73">
        <v>0.65</v>
      </c>
      <c r="AX67" s="73">
        <v>0.59</v>
      </c>
      <c r="AY67" s="73">
        <v>0.63</v>
      </c>
      <c r="AZ67" s="73">
        <v>0.6</v>
      </c>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1"/>
      <c r="CS67" s="1"/>
      <c r="CT67" s="1"/>
      <c r="CU67" s="1"/>
    </row>
    <row r="68" spans="1:99" s="13" customFormat="1" ht="12" customHeight="1" x14ac:dyDescent="0.2">
      <c r="A68" s="68">
        <v>43895</v>
      </c>
      <c r="B68" s="70"/>
      <c r="C68" s="70"/>
      <c r="D68" s="69"/>
      <c r="E68" s="87"/>
      <c r="F68" s="69"/>
      <c r="G68" s="69"/>
      <c r="H68" s="69"/>
      <c r="I68" s="69"/>
      <c r="J68" s="69"/>
      <c r="K68" s="107"/>
      <c r="L68" s="107"/>
      <c r="M68" s="69"/>
      <c r="N68" s="92"/>
      <c r="O68" s="69"/>
      <c r="P68" s="69"/>
      <c r="Q68" s="69"/>
      <c r="R68" s="69"/>
      <c r="S68" s="69"/>
      <c r="T68" s="92"/>
      <c r="U68" s="69"/>
      <c r="V68" s="92"/>
      <c r="W68" s="69"/>
      <c r="X68" s="69"/>
      <c r="Y68" s="87"/>
      <c r="Z68" s="69"/>
      <c r="AA68" s="87"/>
      <c r="AB68" s="69"/>
      <c r="AC68" s="72"/>
      <c r="AD68" s="69"/>
      <c r="AE68" s="69"/>
      <c r="AF68" s="88"/>
      <c r="AG68" s="72"/>
      <c r="AH68" s="4"/>
      <c r="AI68" s="72"/>
      <c r="AJ68" s="110"/>
      <c r="AK68" s="72"/>
      <c r="AL68" s="72"/>
      <c r="AM68" s="72"/>
      <c r="AN68" s="72"/>
      <c r="AO68" s="89"/>
      <c r="AP68" s="89"/>
      <c r="AQ68" s="90"/>
      <c r="AR68" s="117"/>
      <c r="AS68" s="91"/>
      <c r="AT68" s="91"/>
      <c r="AU68" s="3"/>
      <c r="AV68" s="71">
        <v>157680000</v>
      </c>
      <c r="AW68" s="71">
        <v>473040000</v>
      </c>
      <c r="AX68" s="71">
        <v>788400000</v>
      </c>
      <c r="AY68" s="71">
        <v>1103760000</v>
      </c>
      <c r="AZ68" s="71">
        <v>1419120000</v>
      </c>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1"/>
      <c r="CS68" s="1"/>
      <c r="CT68" s="1"/>
      <c r="CU68" s="1"/>
    </row>
    <row r="69" spans="1:99" s="13" customFormat="1" ht="12" customHeight="1" x14ac:dyDescent="0.2">
      <c r="A69" s="68">
        <v>43895</v>
      </c>
      <c r="B69" s="70" t="s">
        <v>337</v>
      </c>
      <c r="C69" s="70" t="s">
        <v>338</v>
      </c>
      <c r="D69" s="69">
        <v>1988</v>
      </c>
      <c r="E69" s="87">
        <v>1</v>
      </c>
      <c r="F69" s="69">
        <v>12</v>
      </c>
      <c r="G69" s="69">
        <v>12</v>
      </c>
      <c r="H69" s="69" t="s">
        <v>41</v>
      </c>
      <c r="I69" s="92" t="s">
        <v>631</v>
      </c>
      <c r="J69" s="69" t="s">
        <v>336</v>
      </c>
      <c r="K69" s="69">
        <f>IF(J69="syllables",1,IF(J69="trigrams",2,IF(J69="strings",3,IF(J69="visual array",4,IF(J69="characters",5,IF(J69="letters",6,IF(J69="free forms",7,IF(J69="odors",8,IF(J69="words",9,IF(J69="pictures",10,IF(J69="object pictures",11,IF(J69="faces",12,IF(J69="names",13,IF(J69="idioms",14,IF(J69="grades",15,IF(J69="syllable-digit pairs",16,IF(J69="trigram-word pairs",17,IF(J69="word-digit pairs",18,IF(J69="English-Swahili pairs",19,IF(J69="spatial position",20,IF(J69="word pairs",21,IF(J69="word triads",22,IF(J69="generated words",23,IF(J69="word definition pairs",24,IF(J69="math problems",25,IF(J69="famous faces",26,IF(J69="famous names",27,IF(J69="famous voices",28,IF(J69="television programs",29,IF(J69="race horses",30,IF(J69="new vocabulary",31,IF(J69="sentences",32,IF(J69="concepts",33,IF(J69="ad slides",34,IF(J69="scenes",35,IF(J69="famous scenes",36,IF(J69="poems",37,IF(J69="walk",38,IF(J69="faces and events",39,IF(J69="events and names",40,IF(J69="flashbulb",41,IF(J69="stories",42,IF(J69="course material",43,IF(J69="autobiographical",44,IF(J69="novels",45,IF(J69="public events",46,"99"))))))))))))))))))))))))))))))))))))))))))))))</f>
        <v>39</v>
      </c>
      <c r="L69" s="69">
        <f>IF(J69="syllables",1,IF(J69="trigrams",1,IF(J69="strings",1,IF(J69="visual array",1,IF(J69="characters",1,IF(J69="letters",1,IF(J69="free forms",1,IF(J69="odors",2,IF(J69="words",2,IF(J69="pictures",2,IF(J69="object pictures",2,IF(J69="faces",2,IF(J69="names",2,IF(J69="idioms","2",IF(J69="grades",2,IF(J69="syllable-digit pairs",3,IF(J69="trigram-word pairs",3,IF(J69="word-digit pairs",3,IF(J69="English-Swahili pairs",3,IF(J69="spatial position",3,IF(J69="word pairs",4,IF(J69="word triads",4,IF(J69="generated words",4,IF(J69="word definition pairs",4,IF(J69="math problems",4,IF(J69="famous faces",4,IF(J69="famous names",4,IF(J69="famous voices",4,IF(J69="television programs",4,IF(J69="race horses",4,IF(J69="new vocabulary",4,IF(J69="sentences",5,IF(J69="concepts",5,IF(J69="ad slides",5,IF(J69="scenes",5,IF(J69="famous scenes",5,IF(J69="poems",6,IF(J69="walk",6,IF(J69="faces and events",6,IF(J69="events and names",6,IF(J69="flashbulb",7,IF(J69="stories",7,IF(J69="course material",7,IF(J69="autobiographical",7,IF(J69="novels",7,IF(J69="public events",7,"99"))))))))))))))))))))))))))))))))))))))))))))))</f>
        <v>6</v>
      </c>
      <c r="M69" s="69">
        <v>1</v>
      </c>
      <c r="N69" s="92">
        <v>3</v>
      </c>
      <c r="O69" s="69">
        <v>0</v>
      </c>
      <c r="P69" s="69"/>
      <c r="Q69" s="69" t="s">
        <v>65</v>
      </c>
      <c r="R69" s="69">
        <f>IF(Q69="Free Recall",1,IF(Q69="Cued Recall",2,IF(Q69="Recognition",3,IF(Q69="Multiple Choice",4,IF(Q69="Savings",5,IF(Q69="Stem Completion",6,IF(Q69="Fragment Completion",7,IF(Q69="anagram solution",8,IF(Q69="Matching",9,IF(Q69="Problem Solving",10,"99"))))))))))</f>
        <v>2</v>
      </c>
      <c r="S69" s="69" t="s">
        <v>49</v>
      </c>
      <c r="T69" s="92" t="s">
        <v>581</v>
      </c>
      <c r="U69" s="69">
        <f>IF(T69="within",1,0)</f>
        <v>1</v>
      </c>
      <c r="V69" s="92">
        <v>75</v>
      </c>
      <c r="W69" s="69">
        <f>F69*V69</f>
        <v>900</v>
      </c>
      <c r="X69" s="69">
        <v>5</v>
      </c>
      <c r="Y69" s="87">
        <f>AV68</f>
        <v>157680000</v>
      </c>
      <c r="Z69" s="69" t="s">
        <v>373</v>
      </c>
      <c r="AA69" s="69">
        <f>45*365*24*60*60</f>
        <v>1419120000</v>
      </c>
      <c r="AB69" s="69" t="str">
        <f>IF(AA69&lt;60,"1",IF(AA69&lt;=43200,"2",IF(AA69&lt;=777600,"3","4")))</f>
        <v>4</v>
      </c>
      <c r="AC69" s="72">
        <f>AVERAGE(AV68:DA68)</f>
        <v>788400000</v>
      </c>
      <c r="AD69" s="69" t="str">
        <f>IF(AC69&lt;60,"1",IF(AC69&lt;=43200,"2",IF(AC69&lt;=777600,"3","4")))</f>
        <v>4</v>
      </c>
      <c r="AE69" s="87">
        <f>AA69-Y69</f>
        <v>1261440000</v>
      </c>
      <c r="AF69" s="88">
        <f>AV69</f>
        <v>0.77</v>
      </c>
      <c r="AG69" s="72">
        <f>((AW69-AV69)+(AX69-AW69)+(AY69-AX69)+(AZ69-AY69))/4</f>
        <v>-1.7500000000000016E-2</v>
      </c>
      <c r="AH69" s="4"/>
      <c r="AI69" s="72">
        <f>RSQ(AV69:AZ69,AV68:AZ68)</f>
        <v>0.72321428571428548</v>
      </c>
      <c r="AJ69" s="110">
        <f>SLOPE(AV69:AZ69,AV68:AZ68)</f>
        <v>-5.7077625570776301E-11</v>
      </c>
      <c r="AK69" s="72">
        <f>INTERCEPT(AV69:AZ69,AV68:AZ68)</f>
        <v>0.78700000000000003</v>
      </c>
      <c r="AL69" s="72">
        <f>INDEX(LINEST(LN(AV69:AZ69),LN(AV68:AZ68),TRUE,TRUE),3,1)</f>
        <v>0.59508986639141004</v>
      </c>
      <c r="AM69" s="72">
        <f>INDEX(LINEST(LN(AV69:AZ69),LN(AV68:AZ68)),1)</f>
        <v>-4.0101943635617227E-2</v>
      </c>
      <c r="AN69" s="72">
        <f>EXP(INDEX(LINEST(LN(AV69:AZ69),LN(AV68:AZ68)),1,2))</f>
        <v>1.6697844492734366</v>
      </c>
      <c r="AO69" s="89">
        <f>INDEX(LINEST((AV69:AZ69),LN(AV68:AZ68),TRUE,TRUE),3,1)</f>
        <v>0.59574201197950583</v>
      </c>
      <c r="AP69" s="89">
        <f>INDEX(LINEST((AV69:AZ69),LN(AV68:AZ68)),1)</f>
        <v>-2.9708975393664874E-2</v>
      </c>
      <c r="AQ69" s="90">
        <f>INDEX(LINEST(LN(AV69:AZ69),SQRT(AV68:AZ68),TRUE,TRUE),3,1)</f>
        <v>0.67890890678198335</v>
      </c>
      <c r="AR69" s="117">
        <f>INDEX(LINEST(LN(AV69:AZ69),SQRT((AV68:AZ68))),1)</f>
        <v>-3.7748360893638983E-6</v>
      </c>
      <c r="AS69" s="91">
        <f>INDEX(LINEST(1/(AV69:AZ69),1/(SQRT(AV68:AZ68)),TRUE,TRUE),3,1)</f>
        <v>0.49218849713973767</v>
      </c>
      <c r="AT69" s="91">
        <f>INDEX(LINEST(1/(AV69:AZ69),1/SQRT(AV68:AZ68)),1)</f>
        <v>-1998.2053009499716</v>
      </c>
      <c r="AU69" s="3"/>
      <c r="AV69" s="73">
        <v>0.77</v>
      </c>
      <c r="AW69" s="73">
        <v>0.78</v>
      </c>
      <c r="AX69" s="73">
        <v>0.72</v>
      </c>
      <c r="AY69" s="73">
        <v>0.74</v>
      </c>
      <c r="AZ69" s="73">
        <v>0.7</v>
      </c>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1"/>
      <c r="CS69" s="1"/>
      <c r="CT69" s="1"/>
      <c r="CU69" s="1"/>
    </row>
    <row r="70" spans="1:99" s="13" customFormat="1" ht="12" customHeight="1" x14ac:dyDescent="0.2">
      <c r="A70" s="68" t="s">
        <v>932</v>
      </c>
      <c r="B70" s="70"/>
      <c r="C70" s="70"/>
      <c r="D70" s="69"/>
      <c r="E70" s="87"/>
      <c r="F70" s="69"/>
      <c r="G70" s="69"/>
      <c r="H70" s="99"/>
      <c r="I70" s="69"/>
      <c r="J70" s="69"/>
      <c r="K70" s="69"/>
      <c r="L70" s="69"/>
      <c r="M70" s="69"/>
      <c r="N70" s="69"/>
      <c r="O70" s="69"/>
      <c r="P70" s="69"/>
      <c r="Q70" s="99"/>
      <c r="R70" s="69"/>
      <c r="S70" s="69"/>
      <c r="T70" s="92"/>
      <c r="U70" s="69"/>
      <c r="V70" s="92"/>
      <c r="W70" s="69"/>
      <c r="X70" s="69"/>
      <c r="Y70" s="87"/>
      <c r="Z70" s="69"/>
      <c r="AA70" s="69"/>
      <c r="AB70" s="69"/>
      <c r="AC70" s="72"/>
      <c r="AD70" s="69"/>
      <c r="AE70" s="87"/>
      <c r="AF70" s="88"/>
      <c r="AG70" s="72"/>
      <c r="AH70" s="4"/>
      <c r="AI70" s="72"/>
      <c r="AJ70" s="110"/>
      <c r="AK70" s="72"/>
      <c r="AL70" s="72"/>
      <c r="AM70" s="72"/>
      <c r="AN70" s="72"/>
      <c r="AO70" s="89"/>
      <c r="AP70" s="89"/>
      <c r="AQ70" s="90"/>
      <c r="AR70" s="117"/>
      <c r="AS70" s="91"/>
      <c r="AT70" s="91"/>
      <c r="AU70" s="3"/>
      <c r="AV70" s="71">
        <v>30</v>
      </c>
      <c r="AW70" s="71">
        <f>60*30</f>
        <v>1800</v>
      </c>
      <c r="AX70" s="71">
        <f>60*60*24*7*8</f>
        <v>4838400</v>
      </c>
      <c r="AY70" s="53"/>
      <c r="AZ70" s="53" t="s">
        <v>935</v>
      </c>
      <c r="BA70" s="53"/>
      <c r="BB70" s="53"/>
      <c r="BC70" s="53"/>
      <c r="BD70" s="53"/>
      <c r="BE70" s="53"/>
      <c r="BF70" s="53"/>
      <c r="BG70" s="53"/>
      <c r="BH70" s="53"/>
      <c r="BI70" s="53"/>
      <c r="BJ70" s="53"/>
      <c r="BK70" s="53"/>
      <c r="BL70" s="53"/>
      <c r="BM70" s="53"/>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3"/>
      <c r="CQ70" s="53"/>
      <c r="CR70" s="1"/>
      <c r="CS70" s="1"/>
      <c r="CT70" s="1"/>
      <c r="CU70" s="1"/>
    </row>
    <row r="71" spans="1:99" s="13" customFormat="1" ht="12" customHeight="1" x14ac:dyDescent="0.2">
      <c r="A71" s="68" t="s">
        <v>932</v>
      </c>
      <c r="B71" s="70" t="s">
        <v>940</v>
      </c>
      <c r="C71" s="70" t="s">
        <v>405</v>
      </c>
      <c r="D71" s="69">
        <v>2000</v>
      </c>
      <c r="E71" s="87">
        <v>1</v>
      </c>
      <c r="F71" s="69">
        <v>16</v>
      </c>
      <c r="G71" s="69">
        <v>16</v>
      </c>
      <c r="H71" s="99" t="s">
        <v>38</v>
      </c>
      <c r="I71" s="69" t="s">
        <v>330</v>
      </c>
      <c r="J71" s="69" t="s">
        <v>677</v>
      </c>
      <c r="K71" s="69">
        <f>IF(J71="syllables",1,IF(J71="trigrams",2,IF(J71="strings",3,IF(J71="visual array",4,IF(J71="characters",5,IF(J71="letters",6,IF(J71="free forms",7,IF(J71="odors",8,IF(J71="words",9,IF(J71="pictures",10,IF(J71="object pictures",11,IF(J71="faces",12,IF(J71="names",13,IF(J71="idioms",14,IF(J71="grades",15,IF(J71="syllable-digit pairs",16,IF(J71="trigram-word pairs",17,IF(J71="word-digit pairs",18,IF(J71="English-Swahili pairs",19,IF(J71="spatial position",20,IF(J71="word pairs",21,IF(J71="word triads",22,IF(J71="generated words",23,IF(J71="word definition pairs",24,IF(J71="math problems",25,IF(J71="famous faces",26,IF(J71="famous names",27,IF(J71="famous voices",28,IF(J71="television programs",29,IF(J71="race horses",30,IF(J71="new vocabulary",31,IF(J71="sentences",32,IF(J71="concepts",33,IF(J71="ad slides",34,IF(J71="scenes",35,IF(J71="famous scenes",36,IF(J71="poems",37,IF(J71="walk",38,IF(J71="faces and events",39,IF(J71="events and names",40,IF(J71="flashbulb",41,IF(J71="stories",42,IF(J71="course material",43,IF(J71="autobiographical",44,IF(J71="novels",45,IF(J71="public events",46,"99"))))))))))))))))))))))))))))))))))))))))))))))</f>
        <v>42</v>
      </c>
      <c r="L71" s="69">
        <f>IF(J71="syllables",1,IF(J71="trigrams",1,IF(J71="strings",1,IF(J71="visual array",1,IF(J71="characters",1,IF(J71="letters",1,IF(J71="free forms",1,IF(J71="odors",2,IF(J71="words",2,IF(J71="pictures",2,IF(J71="object pictures",2,IF(J71="faces",2,IF(J71="names",2,IF(J71="idioms","2",IF(J71="grades",2,IF(J71="syllable-digit pairs",3,IF(J71="trigram-word pairs",3,IF(J71="word-digit pairs",3,IF(J71="English-Swahili pairs",3,IF(J71="spatial position",3,IF(J71="word pairs",4,IF(J71="word triads",4,IF(J71="generated words",4,IF(J71="word definition pairs",4,IF(J71="math problems",4,IF(J71="famous faces",4,IF(J71="famous names",4,IF(J71="famous voices",4,IF(J71="television programs",4,IF(J71="race horses",4,IF(J71="new vocabulary",4,IF(J71="sentences",5,IF(J71="concepts",5,IF(J71="ad slides",5,IF(J71="scenes",5,IF(J71="famous scenes",5,IF(J71="poems",6,IF(J71="walk",6,IF(J71="faces and events",6,IF(J71="events and names",6,IF(J71="flashbulb",7,IF(J71="stories",7,IF(J71="course material",7,IF(J71="autobiographical",7,IF(J71="novels",7,IF(J71="public events",7,"99"))))))))))))))))))))))))))))))))))))))))))))))</f>
        <v>7</v>
      </c>
      <c r="M71" s="69">
        <v>1</v>
      </c>
      <c r="N71" s="69">
        <v>4</v>
      </c>
      <c r="O71" s="69">
        <v>0</v>
      </c>
      <c r="P71" s="69"/>
      <c r="Q71" s="99" t="s">
        <v>174</v>
      </c>
      <c r="R71" s="69">
        <f>IF(Q71="Free Recall",1,IF(Q71="Cued Recall",2,IF(Q71="Recognition",3,IF(Q71="Multiple Choice",4,IF(Q71="Savings",5,IF(Q71="Stem Completion",6,IF(Q71="Fragment Completion",7,IF(Q71="anagram solution",8,IF(Q71="Matching",9,IF(Q71="Problem Solving",10,"99"))))))))))</f>
        <v>1</v>
      </c>
      <c r="S71" s="69" t="s">
        <v>49</v>
      </c>
      <c r="T71" s="92" t="s">
        <v>581</v>
      </c>
      <c r="U71" s="69">
        <f>IF(T71="within",1,0)</f>
        <v>1</v>
      </c>
      <c r="V71" s="92">
        <v>20</v>
      </c>
      <c r="W71" s="69">
        <f>F71*V71</f>
        <v>320</v>
      </c>
      <c r="X71" s="69">
        <v>3</v>
      </c>
      <c r="Y71" s="87">
        <f>AV70</f>
        <v>30</v>
      </c>
      <c r="Z71" s="69" t="s">
        <v>276</v>
      </c>
      <c r="AA71" s="69">
        <f>60*60*24*7*8</f>
        <v>4838400</v>
      </c>
      <c r="AB71" s="69" t="str">
        <f>IF(AA71&lt;60,"1",IF(AA71&lt;=43200,"2",IF(AA71&lt;=777600,"3","4")))</f>
        <v>4</v>
      </c>
      <c r="AC71" s="72">
        <f>AVERAGE(AV70:DA70)</f>
        <v>1613410</v>
      </c>
      <c r="AD71" s="69" t="str">
        <f>IF(AC71&lt;60,"1",IF(AC71&lt;=43200,"2",IF(AC71&lt;=777600,"3","4")))</f>
        <v>4</v>
      </c>
      <c r="AE71" s="87">
        <f>AA71-Y71</f>
        <v>4838370</v>
      </c>
      <c r="AF71" s="88">
        <f>AV71</f>
        <v>0.85</v>
      </c>
      <c r="AG71" s="72">
        <f>((AW71-AV71)+(AX71-AW71))/2</f>
        <v>-0.16499999999999998</v>
      </c>
      <c r="AH71" s="4"/>
      <c r="AI71" s="72">
        <f>RSQ(AV71:AX71,AV70:AX70)</f>
        <v>0.96601087583598977</v>
      </c>
      <c r="AJ71" s="110">
        <f>SLOPE(AV71:AX71,AV70:AX70)</f>
        <v>-7.6481479383354035E-8</v>
      </c>
      <c r="AK71" s="72">
        <f>INTERCEPT(AV71:AX71,AV70:AX70)</f>
        <v>0.8900626503185638</v>
      </c>
      <c r="AL71" s="72">
        <f>INDEX(LINEST(LN(AV71:AX71),LN(AV70:AX70),TRUE,TRUE),3,1)</f>
        <v>0.78120401563249142</v>
      </c>
      <c r="AM71" s="72">
        <f>INDEX(LINEST(LN(AV71:AX71),LN(AV70:AX70)),1)</f>
        <v>-4.5378230455479424E-2</v>
      </c>
      <c r="AN71" s="72">
        <f>EXP(INDEX(LINEST(LN(AV71:AX71),LN(AV70:AX70)),1,2))</f>
        <v>1.1066176770287262</v>
      </c>
      <c r="AO71" s="89">
        <f>INDEX(LINEST((AV71:AX71),LN(AV70:AX70),TRUE,TRUE),3,1)</f>
        <v>0.74649521643317107</v>
      </c>
      <c r="AP71" s="89">
        <f>INDEX(LINEST((AV71:AX71),LN(AV70:AX70)),1)</f>
        <v>-3.0807581442521076E-2</v>
      </c>
      <c r="AQ71" s="90">
        <f>INDEX(LINEST(LN(AV71:AX71),SQRT(AV70:AX70),TRUE,TRUE),3,1)</f>
        <v>0.97495450259259819</v>
      </c>
      <c r="AR71" s="117">
        <f>INDEX(LINEST(LN(AV71:AX71),SQRT((AV70:AX70))),1)</f>
        <v>-2.4595488032372055E-4</v>
      </c>
      <c r="AS71" s="91">
        <f>INDEX(LINEST(1/(AV71:AX71),1/(SQRT(AV70:AX70)),TRUE,TRUE),3,1)</f>
        <v>0.25638028168728111</v>
      </c>
      <c r="AT71" s="91">
        <f>INDEX(LINEST(1/(AV71:AX71),1/SQRT(AV70:AX70)),1)</f>
        <v>-2.3646656268232311</v>
      </c>
      <c r="AU71" s="3"/>
      <c r="AV71" s="73">
        <v>0.85</v>
      </c>
      <c r="AW71" s="73">
        <v>0.93</v>
      </c>
      <c r="AX71" s="73">
        <v>0.52</v>
      </c>
      <c r="AY71" s="53"/>
      <c r="AZ71" s="53"/>
      <c r="BA71" s="53"/>
      <c r="BB71" s="53"/>
      <c r="BC71" s="53"/>
      <c r="BD71" s="53"/>
      <c r="BE71" s="53"/>
      <c r="BF71" s="53"/>
      <c r="BG71" s="53"/>
      <c r="BH71" s="53"/>
      <c r="BI71" s="53"/>
      <c r="BJ71" s="53"/>
      <c r="BK71" s="53"/>
      <c r="BL71" s="53"/>
      <c r="BM71" s="53"/>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3"/>
      <c r="CQ71" s="53"/>
      <c r="CR71" s="1"/>
      <c r="CS71" s="1"/>
      <c r="CT71" s="1"/>
      <c r="CU71" s="1"/>
    </row>
    <row r="72" spans="1:99" s="13" customFormat="1" ht="12" customHeight="1" x14ac:dyDescent="0.2">
      <c r="A72" s="65">
        <v>43509</v>
      </c>
      <c r="B72" s="1"/>
      <c r="C72" s="1"/>
      <c r="D72" s="60"/>
      <c r="E72" s="76"/>
      <c r="F72" s="60"/>
      <c r="G72" s="60"/>
      <c r="H72" s="60"/>
      <c r="I72" s="60"/>
      <c r="J72" s="60"/>
      <c r="K72" s="64"/>
      <c r="L72" s="64"/>
      <c r="M72" s="60"/>
      <c r="N72" s="60"/>
      <c r="O72" s="60"/>
      <c r="P72" s="60"/>
      <c r="Q72" s="60"/>
      <c r="R72" s="60"/>
      <c r="S72" s="60"/>
      <c r="T72" s="60"/>
      <c r="U72" s="60"/>
      <c r="V72" s="60"/>
      <c r="W72" s="60"/>
      <c r="X72" s="60"/>
      <c r="Y72" s="76"/>
      <c r="Z72" s="60"/>
      <c r="AA72" s="60"/>
      <c r="AB72" s="60"/>
      <c r="AC72" s="60"/>
      <c r="AD72" s="60"/>
      <c r="AE72" s="60"/>
      <c r="AF72" s="80"/>
      <c r="AG72" s="56"/>
      <c r="AH72" s="4"/>
      <c r="AI72" s="56"/>
      <c r="AJ72" s="109"/>
      <c r="AK72" s="56"/>
      <c r="AL72" s="56"/>
      <c r="AM72" s="56"/>
      <c r="AN72" s="56"/>
      <c r="AO72" s="56"/>
      <c r="AP72" s="56"/>
      <c r="AQ72" s="56"/>
      <c r="AR72" s="109"/>
      <c r="AS72" s="56"/>
      <c r="AT72" s="56"/>
      <c r="AU72" s="4"/>
      <c r="AV72" s="25">
        <f>(4*100)/2</f>
        <v>200</v>
      </c>
      <c r="AW72" s="25">
        <f>7*24*60*60*1</f>
        <v>604800</v>
      </c>
      <c r="AX72" s="25">
        <f>7*24*60*60*2</f>
        <v>1209600</v>
      </c>
      <c r="AY72" s="25">
        <f>7*24*60*60*3</f>
        <v>1814400</v>
      </c>
      <c r="AZ72" s="25">
        <f>7*24*60*60*4</f>
        <v>2419200</v>
      </c>
      <c r="BA72" s="53" t="s">
        <v>507</v>
      </c>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1"/>
      <c r="CS72" s="1"/>
      <c r="CT72" s="1"/>
      <c r="CU72" s="1"/>
    </row>
    <row r="73" spans="1:99" s="13" customFormat="1" ht="12" customHeight="1" x14ac:dyDescent="0.2">
      <c r="A73" s="65">
        <v>43509</v>
      </c>
      <c r="B73" s="1" t="s">
        <v>141</v>
      </c>
      <c r="C73" s="1" t="s">
        <v>142</v>
      </c>
      <c r="D73" s="60">
        <v>1925</v>
      </c>
      <c r="E73" s="76">
        <v>1</v>
      </c>
      <c r="F73" s="60">
        <v>58</v>
      </c>
      <c r="G73" s="60">
        <v>58</v>
      </c>
      <c r="H73" s="60" t="s">
        <v>22</v>
      </c>
      <c r="I73" s="60" t="s">
        <v>641</v>
      </c>
      <c r="J73" s="60" t="s">
        <v>320</v>
      </c>
      <c r="K73" s="60">
        <f>IF(J73="syllables",1,IF(J73="trigrams",2,IF(J73="strings",3,IF(J73="visual array",4,IF(J73="characters",5,IF(J73="letters",6,IF(J73="free forms",7,IF(J73="odors",8,IF(J73="words",9,IF(J73="pictures",10,IF(J73="object pictures",11,IF(J73="faces",12,IF(J73="names",13,IF(J73="idioms",14,IF(J73="grades",15,IF(J73="syllable-digit pairs",16,IF(J73="trigram-word pairs",17,IF(J73="word-digit pairs",18,IF(J73="English-Swahili pairs",19,IF(J73="spatial position",20,IF(J73="word pairs",21,IF(J73="word triads",22,IF(J73="generated words",23,IF(J73="word definition pairs",24,IF(J73="math problems",25,IF(J73="famous faces",26,IF(J73="famous names",27,IF(J73="famous voices",28,IF(J73="television programs",29,IF(J73="race horses",30,IF(J73="new vocabulary",31,IF(J73="sentences",32,IF(J73="concepts",33,IF(J73="ad slides",34,IF(J73="scenes",35,IF(J73="famous scenes",36,IF(J73="poems",37,IF(J73="walk",38,IF(J73="faces and events",39,IF(J73="events and names",40,IF(J73="flashbulb",41,IF(J73="stories",42,IF(J73="course material",43,IF(J73="autobiographical",44,IF(J73="novels",45,IF(J73="public events",46,"99"))))))))))))))))))))))))))))))))))))))))))))))</f>
        <v>21</v>
      </c>
      <c r="L73" s="60">
        <f>IF(J73="syllables",1,IF(J73="trigrams",1,IF(J73="strings",1,IF(J73="visual array",1,IF(J73="characters",1,IF(J73="letters",1,IF(J73="free forms",1,IF(J73="odors",2,IF(J73="words",2,IF(J73="pictures",2,IF(J73="object pictures",2,IF(J73="faces",2,IF(J73="names",2,IF(J73="idioms","2",IF(J73="grades",2,IF(J73="syllable-digit pairs",3,IF(J73="trigram-word pairs",3,IF(J73="word-digit pairs",3,IF(J73="English-Swahili pairs",3,IF(J73="spatial position",3,IF(J73="word pairs",4,IF(J73="word triads",4,IF(J73="generated words",4,IF(J73="word definition pairs",4,IF(J73="math problems",4,IF(J73="famous faces",4,IF(J73="famous names",4,IF(J73="famous voices",4,IF(J73="television programs",4,IF(J73="race horses",4,IF(J73="new vocabulary",4,IF(J73="sentences",5,IF(J73="concepts",5,IF(J73="ad slides",5,IF(J73="scenes",5,IF(J73="famous scenes",5,IF(J73="poems",6,IF(J73="walk",6,IF(J73="faces and events",6,IF(J73="events and names",6,IF(J73="flashbulb",7,IF(J73="stories",7,IF(J73="course material",7,IF(J73="autobiographical",7,IF(J73="novels",7,IF(J73="public events",7,"99"))))))))))))))))))))))))))))))))))))))))))))))</f>
        <v>4</v>
      </c>
      <c r="M73" s="60">
        <v>1</v>
      </c>
      <c r="N73" s="60">
        <v>2</v>
      </c>
      <c r="O73" s="60">
        <v>0</v>
      </c>
      <c r="P73" s="60"/>
      <c r="Q73" s="60" t="s">
        <v>174</v>
      </c>
      <c r="R73" s="60">
        <f>IF(Q73="Free Recall",1,IF(Q73="Cued Recall",2,IF(Q73="Recognition",3,IF(Q73="Multiple Choice",4,IF(Q73="Savings",5,IF(Q73="Stem Completion",6,IF(Q73="Fragment Completion",7,IF(Q73="anagram solution",8,IF(Q73="Matching",9,IF(Q73="Problem Solving",10,"99"))))))))))</f>
        <v>1</v>
      </c>
      <c r="S73" s="60" t="s">
        <v>234</v>
      </c>
      <c r="T73" s="59" t="s">
        <v>581</v>
      </c>
      <c r="U73" s="60">
        <f>IF(T73="within",1,0)</f>
        <v>1</v>
      </c>
      <c r="V73" s="59">
        <v>20</v>
      </c>
      <c r="W73" s="60">
        <f>F73*V73</f>
        <v>1160</v>
      </c>
      <c r="X73" s="60">
        <v>5</v>
      </c>
      <c r="Y73" s="76">
        <f>AV72</f>
        <v>200</v>
      </c>
      <c r="Z73" s="60" t="s">
        <v>140</v>
      </c>
      <c r="AA73" s="60">
        <v>2419200</v>
      </c>
      <c r="AB73" s="60" t="str">
        <f>IF(AA73&lt;60,"1",IF(AA73&lt;=43200,"2",IF(AA73&lt;=777600,"3","4")))</f>
        <v>4</v>
      </c>
      <c r="AC73" s="56">
        <f>AVERAGE(AV72:DA72)</f>
        <v>1209640</v>
      </c>
      <c r="AD73" s="60" t="str">
        <f>IF(AC73&lt;60,"1",IF(AC73&lt;=43200,"2",IF(AC73&lt;=777600,"3","4")))</f>
        <v>4</v>
      </c>
      <c r="AE73" s="76">
        <f>AA73-Y73</f>
        <v>2419000</v>
      </c>
      <c r="AF73" s="80">
        <f>AV73</f>
        <v>0.43</v>
      </c>
      <c r="AG73" s="56">
        <f>((AW73-AV73)+(AX73-AW73)+(AY73-AX73)+(AZ73-AY73))/4</f>
        <v>-0.10249999999999999</v>
      </c>
      <c r="AH73" s="4"/>
      <c r="AI73" s="56">
        <f>RSQ(AV73:AZ73,AV72:AZ72)</f>
        <v>0.58997282221218716</v>
      </c>
      <c r="AJ73" s="109">
        <f>SLOPE(AV73:AZ73,AV72:AZ72)</f>
        <v>-1.4385084562420381E-7</v>
      </c>
      <c r="AK73" s="56">
        <f>INTERCEPT(AV73:AZ73,AV72:AZ72)</f>
        <v>0.2860077369008619</v>
      </c>
      <c r="AL73" s="56">
        <f>INDEX(LINEST(LN(AV73:AZ73),LN(AV72:AZ72),TRUE,TRUE),3,1)</f>
        <v>0.90981219162216187</v>
      </c>
      <c r="AM73" s="56">
        <f>INDEX(LINEST(LN(AV73:AZ73),LN(AV72:AZ72)),1)</f>
        <v>-0.32312839514614783</v>
      </c>
      <c r="AN73" s="56">
        <f>EXP(INDEX(LINEST(LN(AV73:AZ73),LN(AV72:AZ72)),1,2))</f>
        <v>2.5632818385814997</v>
      </c>
      <c r="AO73" s="82">
        <f>INDEX(LINEST((AV73:AZ73),LN(AV72:AZ72),TRUE,TRUE),3,1)</f>
        <v>0.99613225730283173</v>
      </c>
      <c r="AP73" s="82">
        <f>INDEX(LINEST((AV73:AZ73),LN(AV72:AZ72)),1)</f>
        <v>-4.4979428887124459E-2</v>
      </c>
      <c r="AQ73" s="83">
        <f>INDEX(LINEST(LN(AV73:AZ73),SQRT(AV72:AZ72),TRUE,TRUE),3,1)</f>
        <v>0.92818290965383776</v>
      </c>
      <c r="AR73" s="116">
        <f>INDEX(LINEST(LN(AV73:AZ73),SQRT((AV72:AZ72))),1)</f>
        <v>-2.1528139169105223E-3</v>
      </c>
      <c r="AS73" s="84">
        <f>INDEX(LINEST(1/(AV73:AZ73),1/(SQRT(AV72:AZ72)),TRUE,TRUE),3,1)</f>
        <v>0.56379467675011896</v>
      </c>
      <c r="AT73" s="84">
        <f>INDEX(LINEST(1/(AV73:AZ73),1/SQRT(AV72:AZ72)),1)</f>
        <v>-558.51885796177191</v>
      </c>
      <c r="AU73" s="3"/>
      <c r="AV73" s="53">
        <v>0.43</v>
      </c>
      <c r="AW73" s="53">
        <v>7.0000000000000007E-2</v>
      </c>
      <c r="AX73" s="53">
        <v>0.02</v>
      </c>
      <c r="AY73" s="53">
        <v>0.02</v>
      </c>
      <c r="AZ73" s="53">
        <v>0.02</v>
      </c>
      <c r="BA73" s="53"/>
      <c r="BB73" s="53"/>
      <c r="BC73" s="53"/>
      <c r="BD73" s="53"/>
      <c r="BE73" s="53"/>
      <c r="BF73" s="53"/>
      <c r="BG73" s="53"/>
      <c r="BH73" s="53"/>
      <c r="BI73" s="53"/>
      <c r="BJ73" s="53"/>
      <c r="BK73" s="53"/>
      <c r="BL73" s="53"/>
      <c r="BM73" s="53"/>
      <c r="BN73" s="53"/>
      <c r="BO73" s="53"/>
      <c r="BP73" s="53"/>
      <c r="BQ73" s="53"/>
      <c r="BR73" s="53"/>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3"/>
      <c r="CQ73" s="53"/>
      <c r="CR73" s="1"/>
      <c r="CS73" s="1"/>
      <c r="CT73" s="1"/>
      <c r="CU73" s="1"/>
    </row>
    <row r="74" spans="1:99" s="13" customFormat="1" ht="12" customHeight="1" x14ac:dyDescent="0.2">
      <c r="A74" s="65">
        <v>43509</v>
      </c>
      <c r="B74" s="1"/>
      <c r="C74" s="1"/>
      <c r="D74" s="60"/>
      <c r="E74" s="76"/>
      <c r="F74" s="60"/>
      <c r="G74" s="60"/>
      <c r="H74" s="60"/>
      <c r="I74" s="60"/>
      <c r="J74" s="60"/>
      <c r="K74" s="64"/>
      <c r="L74" s="64"/>
      <c r="M74" s="60"/>
      <c r="N74" s="60"/>
      <c r="O74" s="60"/>
      <c r="P74" s="60"/>
      <c r="Q74" s="60"/>
      <c r="R74" s="60"/>
      <c r="S74" s="60"/>
      <c r="T74" s="60"/>
      <c r="U74" s="60"/>
      <c r="V74" s="60"/>
      <c r="W74" s="60"/>
      <c r="X74" s="60"/>
      <c r="Y74" s="76"/>
      <c r="Z74" s="60"/>
      <c r="AA74" s="60"/>
      <c r="AB74" s="60"/>
      <c r="AC74" s="60"/>
      <c r="AD74" s="60"/>
      <c r="AE74" s="60"/>
      <c r="AF74" s="80"/>
      <c r="AG74" s="56"/>
      <c r="AH74" s="4"/>
      <c r="AI74" s="56"/>
      <c r="AJ74" s="109"/>
      <c r="AK74" s="56"/>
      <c r="AL74" s="56"/>
      <c r="AM74" s="56"/>
      <c r="AN74" s="56"/>
      <c r="AO74" s="56"/>
      <c r="AP74" s="56"/>
      <c r="AQ74" s="82"/>
      <c r="AR74" s="115"/>
      <c r="AS74" s="82"/>
      <c r="AT74" s="82"/>
      <c r="AU74" s="4"/>
      <c r="AV74" s="25">
        <f>(4*100)/2</f>
        <v>200</v>
      </c>
      <c r="AW74" s="25">
        <f>7*24*60*60*1</f>
        <v>604800</v>
      </c>
      <c r="AX74" s="25">
        <f>7*24*60*60*2</f>
        <v>1209600</v>
      </c>
      <c r="AY74" s="25">
        <f>7*24*60*60*3</f>
        <v>1814400</v>
      </c>
      <c r="AZ74" s="25">
        <f>7*24*60*60*4</f>
        <v>2419200</v>
      </c>
      <c r="BA74" s="53"/>
      <c r="BB74" s="53"/>
      <c r="BC74" s="53"/>
      <c r="BD74" s="53"/>
      <c r="BE74" s="53"/>
      <c r="BF74" s="53"/>
      <c r="BG74" s="53"/>
      <c r="BH74" s="53"/>
      <c r="BI74" s="53"/>
      <c r="BJ74" s="53"/>
      <c r="BK74" s="53"/>
      <c r="BL74" s="53"/>
      <c r="BM74" s="53"/>
      <c r="BN74" s="53"/>
      <c r="BO74" s="53"/>
      <c r="BP74" s="53"/>
      <c r="BQ74" s="53"/>
      <c r="BR74" s="53"/>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3"/>
      <c r="CQ74" s="53"/>
      <c r="CR74" s="1"/>
      <c r="CS74" s="1"/>
      <c r="CT74" s="1"/>
      <c r="CU74" s="1"/>
    </row>
    <row r="75" spans="1:99" s="13" customFormat="1" ht="12" customHeight="1" x14ac:dyDescent="0.2">
      <c r="A75" s="65">
        <v>43509</v>
      </c>
      <c r="B75" s="1" t="s">
        <v>141</v>
      </c>
      <c r="C75" s="1" t="s">
        <v>142</v>
      </c>
      <c r="D75" s="60">
        <v>1925</v>
      </c>
      <c r="E75" s="76">
        <v>1</v>
      </c>
      <c r="F75" s="60">
        <v>58</v>
      </c>
      <c r="G75" s="60">
        <v>58</v>
      </c>
      <c r="H75" s="60" t="s">
        <v>22</v>
      </c>
      <c r="I75" s="60" t="s">
        <v>641</v>
      </c>
      <c r="J75" s="60" t="s">
        <v>320</v>
      </c>
      <c r="K75" s="60">
        <f>IF(J75="syllables",1,IF(J75="trigrams",2,IF(J75="strings",3,IF(J75="visual array",4,IF(J75="characters",5,IF(J75="letters",6,IF(J75="free forms",7,IF(J75="odors",8,IF(J75="words",9,IF(J75="pictures",10,IF(J75="object pictures",11,IF(J75="faces",12,IF(J75="names",13,IF(J75="idioms",14,IF(J75="grades",15,IF(J75="syllable-digit pairs",16,IF(J75="trigram-word pairs",17,IF(J75="word-digit pairs",18,IF(J75="English-Swahili pairs",19,IF(J75="spatial position",20,IF(J75="word pairs",21,IF(J75="word triads",22,IF(J75="generated words",23,IF(J75="word definition pairs",24,IF(J75="math problems",25,IF(J75="famous faces",26,IF(J75="famous names",27,IF(J75="famous voices",28,IF(J75="television programs",29,IF(J75="race horses",30,IF(J75="new vocabulary",31,IF(J75="sentences",32,IF(J75="concepts",33,IF(J75="ad slides",34,IF(J75="scenes",35,IF(J75="famous scenes",36,IF(J75="poems",37,IF(J75="walk",38,IF(J75="faces and events",39,IF(J75="events and names",40,IF(J75="flashbulb",41,IF(J75="stories",42,IF(J75="course material",43,IF(J75="autobiographical",44,IF(J75="novels",45,IF(J75="public events",46,"99"))))))))))))))))))))))))))))))))))))))))))))))</f>
        <v>21</v>
      </c>
      <c r="L75" s="60">
        <f>IF(J75="syllables",1,IF(J75="trigrams",1,IF(J75="strings",1,IF(J75="visual array",1,IF(J75="characters",1,IF(J75="letters",1,IF(J75="free forms",1,IF(J75="odors",2,IF(J75="words",2,IF(J75="pictures",2,IF(J75="object pictures",2,IF(J75="faces",2,IF(J75="names",2,IF(J75="idioms","2",IF(J75="grades",2,IF(J75="syllable-digit pairs",3,IF(J75="trigram-word pairs",3,IF(J75="word-digit pairs",3,IF(J75="English-Swahili pairs",3,IF(J75="spatial position",3,IF(J75="word pairs",4,IF(J75="word triads",4,IF(J75="generated words",4,IF(J75="word definition pairs",4,IF(J75="math problems",4,IF(J75="famous faces",4,IF(J75="famous names",4,IF(J75="famous voices",4,IF(J75="television programs",4,IF(J75="race horses",4,IF(J75="new vocabulary",4,IF(J75="sentences",5,IF(J75="concepts",5,IF(J75="ad slides",5,IF(J75="scenes",5,IF(J75="famous scenes",5,IF(J75="poems",6,IF(J75="walk",6,IF(J75="faces and events",6,IF(J75="events and names",6,IF(J75="flashbulb",7,IF(J75="stories",7,IF(J75="course material",7,IF(J75="autobiographical",7,IF(J75="novels",7,IF(J75="public events",7,"99"))))))))))))))))))))))))))))))))))))))))))))))</f>
        <v>4</v>
      </c>
      <c r="M75" s="60">
        <v>1</v>
      </c>
      <c r="N75" s="60">
        <v>2</v>
      </c>
      <c r="O75" s="60">
        <v>0</v>
      </c>
      <c r="P75" s="60"/>
      <c r="Q75" s="60" t="s">
        <v>34</v>
      </c>
      <c r="R75" s="60">
        <f>IF(Q75="Free Recall",1,IF(Q75="Cued Recall",2,IF(Q75="Recognition",3,IF(Q75="Multiple Choice",4,IF(Q75="Savings",5,IF(Q75="Stem Completion",6,IF(Q75="Fragment Completion",7,IF(Q75="anagram solution",8,IF(Q75="Matching",9,IF(Q75="Problem Solving",10,"99"))))))))))</f>
        <v>3</v>
      </c>
      <c r="S75" s="60" t="s">
        <v>234</v>
      </c>
      <c r="T75" s="59" t="s">
        <v>581</v>
      </c>
      <c r="U75" s="60">
        <f>IF(T75="within",1,0)</f>
        <v>1</v>
      </c>
      <c r="V75" s="59">
        <v>20</v>
      </c>
      <c r="W75" s="60">
        <f>F75*V75</f>
        <v>1160</v>
      </c>
      <c r="X75" s="60">
        <v>5</v>
      </c>
      <c r="Y75" s="76">
        <f>AV74</f>
        <v>200</v>
      </c>
      <c r="Z75" s="60" t="s">
        <v>140</v>
      </c>
      <c r="AA75" s="60">
        <v>2419200</v>
      </c>
      <c r="AB75" s="60" t="str">
        <f>IF(AA75&lt;60,"1",IF(AA75&lt;=43200,"2",IF(AA75&lt;=777600,"3","4")))</f>
        <v>4</v>
      </c>
      <c r="AC75" s="56">
        <f>AVERAGE(AV74:DA74)</f>
        <v>1209640</v>
      </c>
      <c r="AD75" s="60" t="str">
        <f>IF(AC75&lt;60,"1",IF(AC75&lt;=43200,"2",IF(AC75&lt;=777600,"3","4")))</f>
        <v>4</v>
      </c>
      <c r="AE75" s="76">
        <f>AA75-Y75</f>
        <v>2419000</v>
      </c>
      <c r="AF75" s="80">
        <f>AV75</f>
        <v>0.88</v>
      </c>
      <c r="AG75" s="56">
        <f>((AW75-AV75)+(AX75-AW75)+(AY75-AX75)+(AZ75-AY75))/4</f>
        <v>-9.2499999999999999E-2</v>
      </c>
      <c r="AH75" s="4"/>
      <c r="AI75" s="56">
        <f>RSQ(AV75:AZ75,AV74:AZ74)</f>
        <v>0.89530722572750143</v>
      </c>
      <c r="AJ75" s="109">
        <f>SLOPE(AV75:AZ75,AV74:AZ74)</f>
        <v>-1.5377705827230499E-7</v>
      </c>
      <c r="AK75" s="56">
        <f>INTERCEPT(AV75:AZ75,AV74:AZ74)</f>
        <v>0.82601488076851104</v>
      </c>
      <c r="AL75" s="56">
        <f>INDEX(LINEST(LN(AV75:AZ75),LN(AV74:AZ74),TRUE,TRUE),3,1)</f>
        <v>0.78918604313855156</v>
      </c>
      <c r="AM75" s="56">
        <f>INDEX(LINEST(LN(AV75:AZ75),LN(AV74:AZ74)),1)</f>
        <v>-5.1742685667533234E-2</v>
      </c>
      <c r="AN75" s="56">
        <f>EXP(INDEX(LINEST(LN(AV75:AZ75),LN(AV74:AZ74)),1,2))</f>
        <v>1.1857546091699338</v>
      </c>
      <c r="AO75" s="82">
        <f>INDEX(LINEST((AV75:AZ75),LN(AV74:AZ74),TRUE,TRUE),3,1)</f>
        <v>0.84768355058934231</v>
      </c>
      <c r="AP75" s="82">
        <f>INDEX(LINEST((AV75:AZ75),LN(AV74:AZ74)),1)</f>
        <v>-3.6006540817578217E-2</v>
      </c>
      <c r="AQ75" s="83">
        <f>INDEX(LINEST(LN(AV75:AZ75),SQRT(AV74:AZ74),TRUE,TRUE),3,1)</f>
        <v>0.97165779194769131</v>
      </c>
      <c r="AR75" s="116">
        <f>INDEX(LINEST(LN(AV75:AZ75),SQRT((AV74:AZ74))),1)</f>
        <v>-3.7870967335754737E-4</v>
      </c>
      <c r="AS75" s="84">
        <f>INDEX(LINEST(1/(AV75:AZ75),1/(SQRT(AV74:AZ74)),TRUE,TRUE),3,1)</f>
        <v>0.61282323559986385</v>
      </c>
      <c r="AT75" s="84">
        <f>INDEX(LINEST(1/(AV75:AZ75),1/SQRT(AV74:AZ74)),1)</f>
        <v>-8.9034251606849821</v>
      </c>
      <c r="AU75" s="3"/>
      <c r="AV75" s="53">
        <v>0.88</v>
      </c>
      <c r="AW75" s="53">
        <v>0.7</v>
      </c>
      <c r="AX75" s="53">
        <v>0.6</v>
      </c>
      <c r="AY75" s="53">
        <v>0.51</v>
      </c>
      <c r="AZ75" s="53">
        <v>0.51</v>
      </c>
      <c r="BA75" s="53"/>
      <c r="BB75" s="53"/>
      <c r="BC75" s="53"/>
      <c r="BD75" s="53"/>
      <c r="BE75" s="53"/>
      <c r="BF75" s="53"/>
      <c r="BG75" s="53"/>
      <c r="BH75" s="53"/>
      <c r="BI75" s="53"/>
      <c r="BJ75" s="53"/>
      <c r="BK75" s="53"/>
      <c r="BL75" s="53"/>
      <c r="BM75" s="53"/>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1"/>
      <c r="CS75" s="1"/>
      <c r="CT75" s="1"/>
      <c r="CU75" s="1"/>
    </row>
    <row r="76" spans="1:99" s="13" customFormat="1" ht="12" customHeight="1" x14ac:dyDescent="0.2">
      <c r="A76" s="65">
        <v>43509</v>
      </c>
      <c r="B76" s="1"/>
      <c r="C76" s="1"/>
      <c r="D76" s="60"/>
      <c r="E76" s="76"/>
      <c r="F76" s="60"/>
      <c r="G76" s="60"/>
      <c r="H76" s="60"/>
      <c r="I76" s="60"/>
      <c r="J76" s="60"/>
      <c r="K76" s="64"/>
      <c r="L76" s="64"/>
      <c r="M76" s="60"/>
      <c r="N76" s="60"/>
      <c r="O76" s="60"/>
      <c r="P76" s="60"/>
      <c r="Q76" s="60"/>
      <c r="R76" s="60"/>
      <c r="S76" s="60"/>
      <c r="T76" s="60"/>
      <c r="U76" s="60"/>
      <c r="V76" s="60"/>
      <c r="W76" s="60"/>
      <c r="X76" s="60"/>
      <c r="Y76" s="76"/>
      <c r="Z76" s="60"/>
      <c r="AA76" s="60"/>
      <c r="AB76" s="60"/>
      <c r="AC76" s="60"/>
      <c r="AD76" s="60"/>
      <c r="AE76" s="60"/>
      <c r="AF76" s="80"/>
      <c r="AG76" s="56"/>
      <c r="AH76" s="4"/>
      <c r="AI76" s="56"/>
      <c r="AJ76" s="109"/>
      <c r="AK76" s="56"/>
      <c r="AL76" s="56"/>
      <c r="AM76" s="56"/>
      <c r="AN76" s="56"/>
      <c r="AO76" s="56"/>
      <c r="AP76" s="56"/>
      <c r="AQ76" s="82"/>
      <c r="AR76" s="115"/>
      <c r="AS76" s="82"/>
      <c r="AT76" s="82"/>
      <c r="AU76" s="4"/>
      <c r="AV76" s="25">
        <f>(4*100)/2</f>
        <v>200</v>
      </c>
      <c r="AW76" s="25">
        <f>7*24*60*60*3/7</f>
        <v>259200</v>
      </c>
      <c r="AX76" s="25">
        <f>7*24*60*60*10/7</f>
        <v>864000</v>
      </c>
      <c r="AY76" s="25">
        <f>7*24*60*60*16/7</f>
        <v>1382400</v>
      </c>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1"/>
      <c r="CS76" s="1"/>
      <c r="CT76" s="1"/>
      <c r="CU76" s="1"/>
    </row>
    <row r="77" spans="1:99" s="13" customFormat="1" ht="12" customHeight="1" x14ac:dyDescent="0.2">
      <c r="A77" s="65">
        <v>43509</v>
      </c>
      <c r="B77" s="1" t="s">
        <v>141</v>
      </c>
      <c r="C77" s="1" t="s">
        <v>142</v>
      </c>
      <c r="D77" s="60">
        <v>1925</v>
      </c>
      <c r="E77" s="76">
        <v>2</v>
      </c>
      <c r="F77" s="60">
        <v>41</v>
      </c>
      <c r="G77" s="60">
        <v>41</v>
      </c>
      <c r="H77" s="60" t="s">
        <v>38</v>
      </c>
      <c r="I77" s="60" t="s">
        <v>641</v>
      </c>
      <c r="J77" s="60" t="s">
        <v>320</v>
      </c>
      <c r="K77" s="60">
        <f>IF(J77="syllables",1,IF(J77="trigrams",2,IF(J77="strings",3,IF(J77="visual array",4,IF(J77="characters",5,IF(J77="letters",6,IF(J77="free forms",7,IF(J77="odors",8,IF(J77="words",9,IF(J77="pictures",10,IF(J77="object pictures",11,IF(J77="faces",12,IF(J77="names",13,IF(J77="idioms",14,IF(J77="grades",15,IF(J77="syllable-digit pairs",16,IF(J77="trigram-word pairs",17,IF(J77="word-digit pairs",18,IF(J77="English-Swahili pairs",19,IF(J77="spatial position",20,IF(J77="word pairs",21,IF(J77="word triads",22,IF(J77="generated words",23,IF(J77="word definition pairs",24,IF(J77="math problems",25,IF(J77="famous faces",26,IF(J77="famous names",27,IF(J77="famous voices",28,IF(J77="television programs",29,IF(J77="race horses",30,IF(J77="new vocabulary",31,IF(J77="sentences",32,IF(J77="concepts",33,IF(J77="ad slides",34,IF(J77="scenes",35,IF(J77="famous scenes",36,IF(J77="poems",37,IF(J77="walk",38,IF(J77="faces and events",39,IF(J77="events and names",40,IF(J77="flashbulb",41,IF(J77="stories",42,IF(J77="course material",43,IF(J77="autobiographical",44,IF(J77="novels",45,IF(J77="public events",46,"99"))))))))))))))))))))))))))))))))))))))))))))))</f>
        <v>21</v>
      </c>
      <c r="L77" s="60">
        <f>IF(J77="syllables",1,IF(J77="trigrams",1,IF(J77="strings",1,IF(J77="visual array",1,IF(J77="characters",1,IF(J77="letters",1,IF(J77="free forms",1,IF(J77="odors",2,IF(J77="words",2,IF(J77="pictures",2,IF(J77="object pictures",2,IF(J77="faces",2,IF(J77="names",2,IF(J77="idioms","2",IF(J77="grades",2,IF(J77="syllable-digit pairs",3,IF(J77="trigram-word pairs",3,IF(J77="word-digit pairs",3,IF(J77="English-Swahili pairs",3,IF(J77="spatial position",3,IF(J77="word pairs",4,IF(J77="word triads",4,IF(J77="generated words",4,IF(J77="word definition pairs",4,IF(J77="math problems",4,IF(J77="famous faces",4,IF(J77="famous names",4,IF(J77="famous voices",4,IF(J77="television programs",4,IF(J77="race horses",4,IF(J77="new vocabulary",4,IF(J77="sentences",5,IF(J77="concepts",5,IF(J77="ad slides",5,IF(J77="scenes",5,IF(J77="famous scenes",5,IF(J77="poems",6,IF(J77="walk",6,IF(J77="faces and events",6,IF(J77="events and names",6,IF(J77="flashbulb",7,IF(J77="stories",7,IF(J77="course material",7,IF(J77="autobiographical",7,IF(J77="novels",7,IF(J77="public events",7,"99"))))))))))))))))))))))))))))))))))))))))))))))</f>
        <v>4</v>
      </c>
      <c r="M77" s="60">
        <v>1</v>
      </c>
      <c r="N77" s="60">
        <v>2</v>
      </c>
      <c r="O77" s="60">
        <v>0</v>
      </c>
      <c r="P77" s="60"/>
      <c r="Q77" s="60" t="s">
        <v>174</v>
      </c>
      <c r="R77" s="60">
        <f>IF(Q77="Free Recall",1,IF(Q77="Cued Recall",2,IF(Q77="Recognition",3,IF(Q77="Multiple Choice",4,IF(Q77="Savings",5,IF(Q77="Stem Completion",6,IF(Q77="Fragment Completion",7,IF(Q77="anagram solution",8,IF(Q77="Matching",9,IF(Q77="Problem Solving",10,"99"))))))))))</f>
        <v>1</v>
      </c>
      <c r="S77" s="60" t="s">
        <v>234</v>
      </c>
      <c r="T77" s="59" t="s">
        <v>581</v>
      </c>
      <c r="U77" s="60">
        <f>IF(T77="within",1,0)</f>
        <v>1</v>
      </c>
      <c r="V77" s="59">
        <v>10</v>
      </c>
      <c r="W77" s="60">
        <f>F77*V77</f>
        <v>410</v>
      </c>
      <c r="X77" s="60">
        <v>4</v>
      </c>
      <c r="Y77" s="76">
        <f>AV76</f>
        <v>200</v>
      </c>
      <c r="Z77" s="60" t="s">
        <v>140</v>
      </c>
      <c r="AA77" s="60">
        <v>2419200</v>
      </c>
      <c r="AB77" s="60" t="str">
        <f>IF(AA77&lt;60,"1",IF(AA77&lt;=43200,"2",IF(AA77&lt;=777600,"3","4")))</f>
        <v>4</v>
      </c>
      <c r="AC77" s="56">
        <f>AVERAGE(AV76:DA76)</f>
        <v>626450</v>
      </c>
      <c r="AD77" s="60" t="str">
        <f>IF(AC77&lt;60,"1",IF(AC77&lt;=43200,"2",IF(AC77&lt;=777600,"3","4")))</f>
        <v>3</v>
      </c>
      <c r="AE77" s="76">
        <f>AA77-Y77</f>
        <v>2419000</v>
      </c>
      <c r="AF77" s="80">
        <f>AV77</f>
        <v>0.52</v>
      </c>
      <c r="AG77" s="56">
        <f>((AW77-AV77)+(AX77-AW77)+(AY77-AX77))/3</f>
        <v>-6.6666666666666723E-3</v>
      </c>
      <c r="AH77" s="4"/>
      <c r="AI77" s="56">
        <f>RSQ(AV77:AY77,AV76:AY76)</f>
        <v>0.1431736091560171</v>
      </c>
      <c r="AJ77" s="109">
        <f>SLOPE(AV77:AY77,AV76:AY76)</f>
        <v>1.337349915736327E-7</v>
      </c>
      <c r="AK77" s="56">
        <f>INTERCEPT(AV77:AY77,AV76:AY76)</f>
        <v>0.34872171452869782</v>
      </c>
      <c r="AL77" s="56">
        <f>INDEX(LINEST(LN(AV77:AY77),LN(AV76:AY76),TRUE,TRUE),3,1)</f>
        <v>2.1508006277049709E-2</v>
      </c>
      <c r="AM77" s="56">
        <f>INDEX(LINEST(LN(AV77:AY77),LN(AV76:AY76)),1)</f>
        <v>-2.837347748746365E-2</v>
      </c>
      <c r="AN77" s="56">
        <f>EXP(INDEX(LINEST(LN(AV77:AY77),LN(AV76:AY76)),1,2))</f>
        <v>0.50005751366642681</v>
      </c>
      <c r="AO77" s="82">
        <f>INDEX(LINEST((AV77:AY77),LN(AV76:AY76),TRUE,TRUE),3,1)</f>
        <v>1.3263448402744122E-2</v>
      </c>
      <c r="AP77" s="82">
        <f>INDEX(LINEST((AV77:AY77),LN(AV76:AY76)),1)</f>
        <v>-6.1243123431826254E-3</v>
      </c>
      <c r="AQ77" s="83">
        <f>INDEX(LINEST(LN(AV77:AY77),SQRT(AV76:AY76),TRUE,TRUE),3,1)</f>
        <v>4.1555920125193581E-2</v>
      </c>
      <c r="AR77" s="116">
        <f>INDEX(LINEST(LN(AV77:AY77),SQRT((AV76:AY76))),1)</f>
        <v>3.1927433521747995E-4</v>
      </c>
      <c r="AS77" s="84">
        <f>INDEX(LINEST(1/(AV77:AY77),1/(SQRT(AV76:AY76)),TRUE,TRUE),3,1)</f>
        <v>9.5638263422807596E-2</v>
      </c>
      <c r="AT77" s="84">
        <f>INDEX(LINEST(1/(AV77:AY77),1/SQRT(AV76:AY76)),1)</f>
        <v>-32.222804719544634</v>
      </c>
      <c r="AU77" s="3"/>
      <c r="AV77" s="53">
        <v>0.52</v>
      </c>
      <c r="AW77" s="53">
        <v>0.11</v>
      </c>
      <c r="AX77" s="53">
        <v>0.6</v>
      </c>
      <c r="AY77" s="53">
        <v>0.5</v>
      </c>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1"/>
      <c r="CS77" s="1"/>
      <c r="CT77" s="1"/>
      <c r="CU77" s="1"/>
    </row>
    <row r="78" spans="1:99" s="13" customFormat="1" ht="12" customHeight="1" x14ac:dyDescent="0.2">
      <c r="A78" s="65">
        <v>43509</v>
      </c>
      <c r="B78" s="1"/>
      <c r="C78" s="1"/>
      <c r="D78" s="60"/>
      <c r="E78" s="76"/>
      <c r="F78" s="60"/>
      <c r="G78" s="60"/>
      <c r="H78" s="60"/>
      <c r="I78" s="60"/>
      <c r="J78" s="60"/>
      <c r="K78" s="64"/>
      <c r="L78" s="64"/>
      <c r="M78" s="60"/>
      <c r="N78" s="60"/>
      <c r="O78" s="60"/>
      <c r="P78" s="60"/>
      <c r="Q78" s="60"/>
      <c r="R78" s="60"/>
      <c r="S78" s="60"/>
      <c r="T78" s="60"/>
      <c r="U78" s="60"/>
      <c r="V78" s="60"/>
      <c r="W78" s="60"/>
      <c r="X78" s="60"/>
      <c r="Y78" s="76"/>
      <c r="Z78" s="60"/>
      <c r="AA78" s="60"/>
      <c r="AB78" s="60"/>
      <c r="AC78" s="60"/>
      <c r="AD78" s="60"/>
      <c r="AE78" s="60"/>
      <c r="AF78" s="80"/>
      <c r="AG78" s="56"/>
      <c r="AH78" s="4"/>
      <c r="AI78" s="56"/>
      <c r="AJ78" s="109"/>
      <c r="AK78" s="56"/>
      <c r="AL78" s="56"/>
      <c r="AM78" s="56"/>
      <c r="AN78" s="56"/>
      <c r="AO78" s="56"/>
      <c r="AP78" s="56"/>
      <c r="AQ78" s="56"/>
      <c r="AR78" s="109"/>
      <c r="AS78" s="56"/>
      <c r="AT78" s="56"/>
      <c r="AU78" s="4"/>
      <c r="AV78" s="25">
        <f>7*24*60*60*3/7</f>
        <v>259200</v>
      </c>
      <c r="AW78" s="25">
        <f>7*24*60*60*10/7</f>
        <v>864000</v>
      </c>
      <c r="AX78" s="25">
        <f>7*24*60*60*16/7</f>
        <v>1382400</v>
      </c>
      <c r="AY78" s="43"/>
      <c r="AZ78" s="53"/>
      <c r="BA78" s="53"/>
      <c r="BB78" s="53"/>
      <c r="BC78" s="53"/>
      <c r="BD78" s="53"/>
      <c r="BE78" s="53"/>
      <c r="BF78" s="53"/>
      <c r="BG78" s="53"/>
      <c r="BH78" s="53"/>
      <c r="BI78" s="53"/>
      <c r="BJ78" s="53"/>
      <c r="BK78" s="53"/>
      <c r="BL78" s="53"/>
      <c r="BM78" s="53"/>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1"/>
      <c r="CS78" s="1"/>
      <c r="CT78" s="1"/>
      <c r="CU78" s="1"/>
    </row>
    <row r="79" spans="1:99" s="13" customFormat="1" ht="12" customHeight="1" x14ac:dyDescent="0.2">
      <c r="A79" s="65">
        <v>43509</v>
      </c>
      <c r="B79" s="1" t="s">
        <v>141</v>
      </c>
      <c r="C79" s="1" t="s">
        <v>142</v>
      </c>
      <c r="D79" s="60">
        <v>1925</v>
      </c>
      <c r="E79" s="76">
        <v>2</v>
      </c>
      <c r="F79" s="60">
        <v>41</v>
      </c>
      <c r="G79" s="60">
        <v>41</v>
      </c>
      <c r="H79" s="60" t="s">
        <v>38</v>
      </c>
      <c r="I79" s="60" t="s">
        <v>642</v>
      </c>
      <c r="J79" s="60" t="s">
        <v>320</v>
      </c>
      <c r="K79" s="60">
        <f>IF(J79="syllables",1,IF(J79="trigrams",2,IF(J79="strings",3,IF(J79="visual array",4,IF(J79="characters",5,IF(J79="letters",6,IF(J79="free forms",7,IF(J79="odors",8,IF(J79="words",9,IF(J79="pictures",10,IF(J79="object pictures",11,IF(J79="faces",12,IF(J79="names",13,IF(J79="idioms",14,IF(J79="grades",15,IF(J79="syllable-digit pairs",16,IF(J79="trigram-word pairs",17,IF(J79="word-digit pairs",18,IF(J79="English-Swahili pairs",19,IF(J79="spatial position",20,IF(J79="word pairs",21,IF(J79="word triads",22,IF(J79="generated words",23,IF(J79="word definition pairs",24,IF(J79="math problems",25,IF(J79="famous faces",26,IF(J79="famous names",27,IF(J79="famous voices",28,IF(J79="television programs",29,IF(J79="race horses",30,IF(J79="new vocabulary",31,IF(J79="sentences",32,IF(J79="concepts",33,IF(J79="ad slides",34,IF(J79="scenes",35,IF(J79="famous scenes",36,IF(J79="poems",37,IF(J79="walk",38,IF(J79="faces and events",39,IF(J79="events and names",40,IF(J79="flashbulb",41,IF(J79="stories",42,IF(J79="course material",43,IF(J79="autobiographical",44,IF(J79="novels",45,IF(J79="public events",46,"99"))))))))))))))))))))))))))))))))))))))))))))))</f>
        <v>21</v>
      </c>
      <c r="L79" s="60">
        <f>IF(J79="syllables",1,IF(J79="trigrams",1,IF(J79="strings",1,IF(J79="visual array",1,IF(J79="characters",1,IF(J79="letters",1,IF(J79="free forms",1,IF(J79="odors",2,IF(J79="words",2,IF(J79="pictures",2,IF(J79="object pictures",2,IF(J79="faces",2,IF(J79="names",2,IF(J79="idioms","2",IF(J79="grades",2,IF(J79="syllable-digit pairs",3,IF(J79="trigram-word pairs",3,IF(J79="word-digit pairs",3,IF(J79="English-Swahili pairs",3,IF(J79="spatial position",3,IF(J79="word pairs",4,IF(J79="word triads",4,IF(J79="generated words",4,IF(J79="word definition pairs",4,IF(J79="math problems",4,IF(J79="famous faces",4,IF(J79="famous names",4,IF(J79="famous voices",4,IF(J79="television programs",4,IF(J79="race horses",4,IF(J79="new vocabulary",4,IF(J79="sentences",5,IF(J79="concepts",5,IF(J79="ad slides",5,IF(J79="scenes",5,IF(J79="famous scenes",5,IF(J79="poems",6,IF(J79="walk",6,IF(J79="faces and events",6,IF(J79="events and names",6,IF(J79="flashbulb",7,IF(J79="stories",7,IF(J79="course material",7,IF(J79="autobiographical",7,IF(J79="novels",7,IF(J79="public events",7,"99"))))))))))))))))))))))))))))))))))))))))))))))</f>
        <v>4</v>
      </c>
      <c r="M79" s="60">
        <v>1</v>
      </c>
      <c r="N79" s="60">
        <v>2</v>
      </c>
      <c r="O79" s="60">
        <v>0</v>
      </c>
      <c r="P79" s="60"/>
      <c r="Q79" s="60" t="s">
        <v>174</v>
      </c>
      <c r="R79" s="60">
        <f>IF(Q79="Free Recall",1,IF(Q79="Cued Recall",2,IF(Q79="Recognition",3,IF(Q79="Multiple Choice",4,IF(Q79="Savings",5,IF(Q79="Stem Completion",6,IF(Q79="Fragment Completion",7,IF(Q79="anagram solution",8,IF(Q79="Matching",9,IF(Q79="Problem Solving",10,"99"))))))))))</f>
        <v>1</v>
      </c>
      <c r="S79" s="60" t="s">
        <v>234</v>
      </c>
      <c r="T79" s="59" t="s">
        <v>581</v>
      </c>
      <c r="U79" s="60">
        <f>IF(T79="within",1,0)</f>
        <v>1</v>
      </c>
      <c r="V79" s="59">
        <v>10</v>
      </c>
      <c r="W79" s="60">
        <f>F79*V79</f>
        <v>410</v>
      </c>
      <c r="X79" s="60">
        <v>3</v>
      </c>
      <c r="Y79" s="76">
        <f>AV78</f>
        <v>259200</v>
      </c>
      <c r="Z79" s="60" t="s">
        <v>140</v>
      </c>
      <c r="AA79" s="60">
        <v>2419200</v>
      </c>
      <c r="AB79" s="60" t="str">
        <f>IF(AA79&lt;60,"1",IF(AA79&lt;=43200,"2",IF(AA79&lt;=777600,"3","4")))</f>
        <v>4</v>
      </c>
      <c r="AC79" s="56">
        <f>AVERAGE(AV78:DA78)</f>
        <v>835200</v>
      </c>
      <c r="AD79" s="60" t="str">
        <f>IF(AC79&lt;60,"1",IF(AC79&lt;=43200,"2",IF(AC79&lt;=777600,"3","4")))</f>
        <v>4</v>
      </c>
      <c r="AE79" s="76">
        <f>AA79-Y79</f>
        <v>2160000</v>
      </c>
      <c r="AF79" s="80">
        <f>AV79</f>
        <v>0.56999999999999995</v>
      </c>
      <c r="AG79" s="56">
        <f>((AW79-AV79)+(AX79-AW79))/2</f>
        <v>-0.20499999999999999</v>
      </c>
      <c r="AH79" s="4"/>
      <c r="AI79" s="56">
        <f>RSQ(AV79:AX79,AV78:AX78)</f>
        <v>0.88669125400793258</v>
      </c>
      <c r="AJ79" s="109">
        <f>SLOPE(AV79:AX79,AV78:AX78)</f>
        <v>-3.7091717701953911E-7</v>
      </c>
      <c r="AK79" s="56">
        <f>INTERCEPT(AV79:AX79,AV78:AX78)</f>
        <v>0.62645669291338568</v>
      </c>
      <c r="AL79" s="56">
        <f>INDEX(LINEST(LN(AV79:AX79),LN(AV78:AX78),TRUE,TRUE),3,1)</f>
        <v>0.99895086757211438</v>
      </c>
      <c r="AM79" s="170"/>
      <c r="AN79" s="56">
        <f>EXP(INDEX(LINEST(LN(AV79:AX79),LN(AV78:AX78)),1,2))</f>
        <v>7863.3893633680136</v>
      </c>
      <c r="AO79" s="82">
        <f>INDEX(LINEST((AV79:AX79),LN(AV78:AX78),TRUE,TRUE),3,1)</f>
        <v>0.98059258050629639</v>
      </c>
      <c r="AP79" s="82">
        <f>INDEX(LINEST((AV79:AX79),LN(AV78:AX78)),1)</f>
        <v>-0.25397041500211165</v>
      </c>
      <c r="AQ79" s="83">
        <f>INDEX(LINEST(LN(AV79:AX79),SQRT(AV78:AX78),TRUE,TRUE),3,1)</f>
        <v>0.98303351017332552</v>
      </c>
      <c r="AR79" s="116">
        <f>INDEX(LINEST(LN(AV79:AX79),SQRT((AV78:AX78))),1)</f>
        <v>-1.9443029477799545E-3</v>
      </c>
      <c r="AS79" s="84">
        <f>INDEX(LINEST(1/(AV79:AX79),1/(SQRT(AV78:AX78)),TRUE,TRUE),3,1)</f>
        <v>0.96342061724466288</v>
      </c>
      <c r="AT79" s="84">
        <f>INDEX(LINEST(1/(AV79:AX79),1/SQRT(AV78:AX78)),1)</f>
        <v>-3783.3578362493035</v>
      </c>
      <c r="AU79" s="3"/>
      <c r="AV79" s="53">
        <v>0.56999999999999995</v>
      </c>
      <c r="AW79" s="53">
        <v>0.22</v>
      </c>
      <c r="AX79" s="53">
        <v>0.16</v>
      </c>
      <c r="AY79" s="4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1"/>
      <c r="CS79" s="1"/>
      <c r="CT79" s="1"/>
      <c r="CU79" s="1"/>
    </row>
    <row r="80" spans="1:99" s="13" customFormat="1" ht="12" customHeight="1" x14ac:dyDescent="0.2">
      <c r="A80" s="65">
        <v>43509</v>
      </c>
      <c r="B80" s="1"/>
      <c r="C80" s="1"/>
      <c r="D80" s="60"/>
      <c r="E80" s="76"/>
      <c r="F80" s="60"/>
      <c r="G80" s="60"/>
      <c r="H80" s="60"/>
      <c r="I80" s="60"/>
      <c r="J80" s="60"/>
      <c r="K80" s="64"/>
      <c r="L80" s="64"/>
      <c r="M80" s="60"/>
      <c r="N80" s="60"/>
      <c r="O80" s="60"/>
      <c r="P80" s="60"/>
      <c r="Q80" s="60"/>
      <c r="R80" s="60"/>
      <c r="S80" s="60"/>
      <c r="T80" s="60"/>
      <c r="U80" s="60"/>
      <c r="V80" s="60"/>
      <c r="W80" s="60"/>
      <c r="X80" s="60"/>
      <c r="Y80" s="76"/>
      <c r="Z80" s="60"/>
      <c r="AA80" s="60"/>
      <c r="AB80" s="60"/>
      <c r="AC80" s="60"/>
      <c r="AD80" s="60"/>
      <c r="AE80" s="60"/>
      <c r="AF80" s="80"/>
      <c r="AG80" s="56"/>
      <c r="AH80" s="4"/>
      <c r="AI80" s="56"/>
      <c r="AJ80" s="109"/>
      <c r="AK80" s="56"/>
      <c r="AL80" s="56"/>
      <c r="AM80" s="56"/>
      <c r="AN80" s="56"/>
      <c r="AO80" s="56"/>
      <c r="AP80" s="56"/>
      <c r="AQ80" s="56"/>
      <c r="AR80" s="109"/>
      <c r="AS80" s="56"/>
      <c r="AT80" s="56"/>
      <c r="AU80" s="4"/>
      <c r="AV80" s="25">
        <f>(4*100)/2</f>
        <v>200</v>
      </c>
      <c r="AW80" s="25">
        <f>7*24*60*60*3/7</f>
        <v>259200</v>
      </c>
      <c r="AX80" s="25">
        <f>7*24*60*60*10/7</f>
        <v>864000</v>
      </c>
      <c r="AY80" s="25">
        <f>7*24*60*60*16/7</f>
        <v>1382400</v>
      </c>
      <c r="AZ80" s="53"/>
      <c r="BA80" s="53"/>
      <c r="BB80" s="53"/>
      <c r="BC80" s="53"/>
      <c r="BD80" s="53"/>
      <c r="BE80" s="53"/>
      <c r="BF80" s="53"/>
      <c r="BG80" s="53"/>
      <c r="BH80" s="53"/>
      <c r="BI80" s="53"/>
      <c r="BJ80" s="53"/>
      <c r="BK80" s="53"/>
      <c r="BL80" s="53"/>
      <c r="BM80" s="53"/>
      <c r="BN80" s="53"/>
      <c r="BO80" s="53"/>
      <c r="BP80" s="53"/>
      <c r="BQ80" s="53"/>
      <c r="BR80" s="53"/>
      <c r="BS80" s="53"/>
      <c r="BT80" s="53"/>
      <c r="BU80" s="53"/>
      <c r="BV80" s="53"/>
      <c r="BW80" s="53"/>
      <c r="BX80" s="53"/>
      <c r="BY80" s="53"/>
      <c r="BZ80" s="53"/>
      <c r="CA80" s="53"/>
      <c r="CB80" s="53"/>
      <c r="CC80" s="53"/>
      <c r="CD80" s="53"/>
      <c r="CE80" s="53"/>
      <c r="CF80" s="53"/>
      <c r="CG80" s="53"/>
      <c r="CH80" s="53"/>
      <c r="CI80" s="53"/>
      <c r="CJ80" s="53"/>
      <c r="CK80" s="53"/>
      <c r="CL80" s="53"/>
      <c r="CM80" s="53"/>
      <c r="CN80" s="53"/>
      <c r="CO80" s="53"/>
      <c r="CP80" s="53"/>
      <c r="CQ80" s="53"/>
      <c r="CR80" s="1"/>
      <c r="CS80" s="1"/>
      <c r="CT80" s="1"/>
      <c r="CU80" s="1"/>
    </row>
    <row r="81" spans="1:99" s="13" customFormat="1" ht="12" customHeight="1" x14ac:dyDescent="0.2">
      <c r="A81" s="65">
        <v>43509</v>
      </c>
      <c r="B81" s="1" t="s">
        <v>141</v>
      </c>
      <c r="C81" s="1" t="s">
        <v>142</v>
      </c>
      <c r="D81" s="60">
        <v>1925</v>
      </c>
      <c r="E81" s="76">
        <v>2</v>
      </c>
      <c r="F81" s="60">
        <v>41</v>
      </c>
      <c r="G81" s="60">
        <v>41</v>
      </c>
      <c r="H81" s="60" t="s">
        <v>38</v>
      </c>
      <c r="I81" s="60" t="s">
        <v>641</v>
      </c>
      <c r="J81" s="60" t="s">
        <v>320</v>
      </c>
      <c r="K81" s="60">
        <f>IF(J81="syllables",1,IF(J81="trigrams",2,IF(J81="strings",3,IF(J81="visual array",4,IF(J81="characters",5,IF(J81="letters",6,IF(J81="free forms",7,IF(J81="odors",8,IF(J81="words",9,IF(J81="pictures",10,IF(J81="object pictures",11,IF(J81="faces",12,IF(J81="names",13,IF(J81="idioms",14,IF(J81="grades",15,IF(J81="syllable-digit pairs",16,IF(J81="trigram-word pairs",17,IF(J81="word-digit pairs",18,IF(J81="English-Swahili pairs",19,IF(J81="spatial position",20,IF(J81="word pairs",21,IF(J81="word triads",22,IF(J81="generated words",23,IF(J81="word definition pairs",24,IF(J81="math problems",25,IF(J81="famous faces",26,IF(J81="famous names",27,IF(J81="famous voices",28,IF(J81="television programs",29,IF(J81="race horses",30,IF(J81="new vocabulary",31,IF(J81="sentences",32,IF(J81="concepts",33,IF(J81="ad slides",34,IF(J81="scenes",35,IF(J81="famous scenes",36,IF(J81="poems",37,IF(J81="walk",38,IF(J81="faces and events",39,IF(J81="events and names",40,IF(J81="flashbulb",41,IF(J81="stories",42,IF(J81="course material",43,IF(J81="autobiographical",44,IF(J81="novels",45,IF(J81="public events",46,"99"))))))))))))))))))))))))))))))))))))))))))))))</f>
        <v>21</v>
      </c>
      <c r="L81" s="60">
        <f>IF(J81="syllables",1,IF(J81="trigrams",1,IF(J81="strings",1,IF(J81="visual array",1,IF(J81="characters",1,IF(J81="letters",1,IF(J81="free forms",1,IF(J81="odors",2,IF(J81="words",2,IF(J81="pictures",2,IF(J81="object pictures",2,IF(J81="faces",2,IF(J81="names",2,IF(J81="idioms","2",IF(J81="grades",2,IF(J81="syllable-digit pairs",3,IF(J81="trigram-word pairs",3,IF(J81="word-digit pairs",3,IF(J81="English-Swahili pairs",3,IF(J81="spatial position",3,IF(J81="word pairs",4,IF(J81="word triads",4,IF(J81="generated words",4,IF(J81="word definition pairs",4,IF(J81="math problems",4,IF(J81="famous faces",4,IF(J81="famous names",4,IF(J81="famous voices",4,IF(J81="television programs",4,IF(J81="race horses",4,IF(J81="new vocabulary",4,IF(J81="sentences",5,IF(J81="concepts",5,IF(J81="ad slides",5,IF(J81="scenes",5,IF(J81="famous scenes",5,IF(J81="poems",6,IF(J81="walk",6,IF(J81="faces and events",6,IF(J81="events and names",6,IF(J81="flashbulb",7,IF(J81="stories",7,IF(J81="course material",7,IF(J81="autobiographical",7,IF(J81="novels",7,IF(J81="public events",7,"99"))))))))))))))))))))))))))))))))))))))))))))))</f>
        <v>4</v>
      </c>
      <c r="M81" s="60">
        <v>1</v>
      </c>
      <c r="N81" s="60">
        <v>2</v>
      </c>
      <c r="O81" s="60">
        <v>0</v>
      </c>
      <c r="P81" s="60"/>
      <c r="Q81" s="60" t="s">
        <v>34</v>
      </c>
      <c r="R81" s="60">
        <f>IF(Q81="Free Recall",1,IF(Q81="Cued Recall",2,IF(Q81="Recognition",3,IF(Q81="Multiple Choice",4,IF(Q81="Savings",5,IF(Q81="Stem Completion",6,IF(Q81="Fragment Completion",7,IF(Q81="anagram solution",8,IF(Q81="Matching",9,IF(Q81="Problem Solving",10,"99"))))))))))</f>
        <v>3</v>
      </c>
      <c r="S81" s="60" t="s">
        <v>234</v>
      </c>
      <c r="T81" s="59" t="s">
        <v>581</v>
      </c>
      <c r="U81" s="60">
        <f>IF(T81="within",1,0)</f>
        <v>1</v>
      </c>
      <c r="V81" s="59">
        <v>10</v>
      </c>
      <c r="W81" s="60">
        <f>F81*V81</f>
        <v>410</v>
      </c>
      <c r="X81" s="60">
        <v>4</v>
      </c>
      <c r="Y81" s="76">
        <f>AV80</f>
        <v>200</v>
      </c>
      <c r="Z81" s="60" t="s">
        <v>140</v>
      </c>
      <c r="AA81" s="60">
        <v>2419200</v>
      </c>
      <c r="AB81" s="60" t="str">
        <f>IF(AA81&lt;60,"1",IF(AA81&lt;=43200,"2",IF(AA81&lt;=777600,"3","4")))</f>
        <v>4</v>
      </c>
      <c r="AC81" s="56">
        <f>AVERAGE(AV80:DA80)</f>
        <v>626450</v>
      </c>
      <c r="AD81" s="60" t="str">
        <f>IF(AC81&lt;60,"1",IF(AC81&lt;=43200,"2",IF(AC81&lt;=777600,"3","4")))</f>
        <v>3</v>
      </c>
      <c r="AE81" s="76">
        <f>AA81-Y81</f>
        <v>2419000</v>
      </c>
      <c r="AF81" s="80">
        <f>AV81</f>
        <v>0.93</v>
      </c>
      <c r="AG81" s="56">
        <f>((AW81-AV81)+(AX81-AW81)+(AY81-AX81))/3</f>
        <v>-9.6666666666666679E-2</v>
      </c>
      <c r="AH81" s="4"/>
      <c r="AI81" s="56">
        <f>RSQ(AV81:AY81,AV80:AY80)</f>
        <v>0.75935492066924859</v>
      </c>
      <c r="AJ81" s="109">
        <f>SLOPE(AV81:AY81,AV80:AY80)</f>
        <v>-1.9222443377150479E-7</v>
      </c>
      <c r="AK81" s="56">
        <f>INTERCEPT(AV81:AY81,AV80:AY80)</f>
        <v>0.86041899653615928</v>
      </c>
      <c r="AL81" s="56">
        <f>INDEX(LINEST(LN(AV81:AY81),LN(AV80:AY80),TRUE,TRUE),3,1)</f>
        <v>0.92648082668429821</v>
      </c>
      <c r="AM81" s="56">
        <f>INDEX(LINEST(LN(AV81:AY81),LN(AV80:AY80)),1)</f>
        <v>-4.13109173593613E-2</v>
      </c>
      <c r="AN81" s="56">
        <f>EXP(INDEX(LINEST(LN(AV81:AY81),LN(AV80:AY80)),1,2))</f>
        <v>1.1705245376297082</v>
      </c>
      <c r="AO81" s="82">
        <f>INDEX(LINEST((AV81:AY81),LN(AV80:AY80),TRUE,TRUE),3,1)</f>
        <v>0.94896974469480833</v>
      </c>
      <c r="AP81" s="82">
        <f>INDEX(LINEST((AV81:AY81),LN(AV80:AY80)),1)</f>
        <v>-3.2331652710597653E-2</v>
      </c>
      <c r="AQ81" s="83">
        <f>INDEX(LINEST(LN(AV81:AY81),SQRT(AV80:AY80),TRUE,TRUE),3,1)</f>
        <v>0.95097437850292799</v>
      </c>
      <c r="AR81" s="116">
        <f>INDEX(LINEST(LN(AV81:AY81),SQRT((AV80:AY80))),1)</f>
        <v>-3.3881770592015761E-4</v>
      </c>
      <c r="AS81" s="84">
        <f>INDEX(LINEST(1/(AV81:AY81),1/(SQRT(AV80:AY80)),TRUE,TRUE),3,1)</f>
        <v>0.79444090076338036</v>
      </c>
      <c r="AT81" s="84">
        <f>INDEX(LINEST(1/(AV81:AY81),1/SQRT(AV80:AY80)),1)</f>
        <v>-5.9599144084099445</v>
      </c>
      <c r="AU81" s="3"/>
      <c r="AV81" s="53">
        <v>0.93</v>
      </c>
      <c r="AW81" s="53">
        <v>0.75</v>
      </c>
      <c r="AX81" s="53">
        <v>0.64</v>
      </c>
      <c r="AY81" s="53">
        <v>0.64</v>
      </c>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c r="BZ81" s="53"/>
      <c r="CA81" s="53"/>
      <c r="CB81" s="53"/>
      <c r="CC81" s="53"/>
      <c r="CD81" s="53"/>
      <c r="CE81" s="53"/>
      <c r="CF81" s="53"/>
      <c r="CG81" s="53"/>
      <c r="CH81" s="53"/>
      <c r="CI81" s="53"/>
      <c r="CJ81" s="53"/>
      <c r="CK81" s="53"/>
      <c r="CL81" s="53"/>
      <c r="CM81" s="53"/>
      <c r="CN81" s="53"/>
      <c r="CO81" s="53"/>
      <c r="CP81" s="53"/>
      <c r="CQ81" s="53"/>
      <c r="CR81" s="1"/>
      <c r="CS81" s="1"/>
      <c r="CT81" s="1"/>
      <c r="CU81" s="1"/>
    </row>
    <row r="82" spans="1:99" s="13" customFormat="1" ht="12" customHeight="1" x14ac:dyDescent="0.2">
      <c r="A82" s="65">
        <v>43509</v>
      </c>
      <c r="B82" s="1"/>
      <c r="C82" s="1"/>
      <c r="D82" s="60"/>
      <c r="E82" s="76"/>
      <c r="F82" s="60"/>
      <c r="G82" s="60"/>
      <c r="H82" s="60"/>
      <c r="I82" s="60"/>
      <c r="J82" s="60"/>
      <c r="K82" s="64"/>
      <c r="L82" s="64"/>
      <c r="M82" s="60"/>
      <c r="N82" s="60"/>
      <c r="O82" s="60"/>
      <c r="P82" s="60"/>
      <c r="Q82" s="60"/>
      <c r="R82" s="60"/>
      <c r="S82" s="60"/>
      <c r="T82" s="60"/>
      <c r="U82" s="60"/>
      <c r="V82" s="60"/>
      <c r="W82" s="60"/>
      <c r="X82" s="60"/>
      <c r="Y82" s="76"/>
      <c r="Z82" s="60"/>
      <c r="AA82" s="60"/>
      <c r="AB82" s="60"/>
      <c r="AC82" s="60"/>
      <c r="AD82" s="60"/>
      <c r="AE82" s="60"/>
      <c r="AF82" s="80"/>
      <c r="AG82" s="56"/>
      <c r="AH82" s="4"/>
      <c r="AI82" s="56"/>
      <c r="AJ82" s="109"/>
      <c r="AK82" s="56"/>
      <c r="AL82" s="56"/>
      <c r="AM82" s="56"/>
      <c r="AN82" s="56"/>
      <c r="AO82" s="56"/>
      <c r="AP82" s="56"/>
      <c r="AQ82" s="56"/>
      <c r="AR82" s="109"/>
      <c r="AS82" s="56"/>
      <c r="AT82" s="56"/>
      <c r="AU82" s="4"/>
      <c r="AV82" s="25">
        <f>7*24*60*60*3/7</f>
        <v>259200</v>
      </c>
      <c r="AW82" s="25">
        <f>7*24*60*60*10/7</f>
        <v>864000</v>
      </c>
      <c r="AX82" s="25">
        <f>7*24*60*60*16/7</f>
        <v>1382400</v>
      </c>
      <c r="AY82" s="25">
        <f>7*24*60*60*16/7</f>
        <v>1382400</v>
      </c>
      <c r="AZ82" s="53"/>
      <c r="BA82" s="53"/>
      <c r="BB82" s="53"/>
      <c r="BC82" s="53"/>
      <c r="BD82" s="53"/>
      <c r="BE82" s="53"/>
      <c r="BF82" s="53"/>
      <c r="BG82" s="53"/>
      <c r="BH82" s="53"/>
      <c r="BI82" s="53"/>
      <c r="BJ82" s="53"/>
      <c r="BK82" s="53"/>
      <c r="BL82" s="53"/>
      <c r="BM82" s="53"/>
      <c r="BN82" s="53"/>
      <c r="BO82" s="53"/>
      <c r="BP82" s="53"/>
      <c r="BQ82" s="53"/>
      <c r="BR82" s="53"/>
      <c r="BS82" s="53"/>
      <c r="BT82" s="53"/>
      <c r="BU82" s="53"/>
      <c r="BV82" s="53"/>
      <c r="BW82" s="53"/>
      <c r="BX82" s="53"/>
      <c r="BY82" s="53"/>
      <c r="BZ82" s="53"/>
      <c r="CA82" s="53"/>
      <c r="CB82" s="53"/>
      <c r="CC82" s="53"/>
      <c r="CD82" s="53"/>
      <c r="CE82" s="53"/>
      <c r="CF82" s="53"/>
      <c r="CG82" s="53"/>
      <c r="CH82" s="53"/>
      <c r="CI82" s="53"/>
      <c r="CJ82" s="53"/>
      <c r="CK82" s="53"/>
      <c r="CL82" s="53"/>
      <c r="CM82" s="53"/>
      <c r="CN82" s="53"/>
      <c r="CO82" s="53"/>
      <c r="CP82" s="53"/>
      <c r="CQ82" s="53"/>
      <c r="CR82" s="1"/>
      <c r="CS82" s="1"/>
      <c r="CT82" s="1"/>
      <c r="CU82" s="1"/>
    </row>
    <row r="83" spans="1:99" s="13" customFormat="1" ht="12" customHeight="1" x14ac:dyDescent="0.2">
      <c r="A83" s="65">
        <v>43509</v>
      </c>
      <c r="B83" s="1" t="s">
        <v>141</v>
      </c>
      <c r="C83" s="1" t="s">
        <v>142</v>
      </c>
      <c r="D83" s="60">
        <v>1925</v>
      </c>
      <c r="E83" s="76">
        <v>2</v>
      </c>
      <c r="F83" s="60">
        <v>41</v>
      </c>
      <c r="G83" s="60">
        <v>41</v>
      </c>
      <c r="H83" s="60" t="s">
        <v>38</v>
      </c>
      <c r="I83" s="60" t="s">
        <v>642</v>
      </c>
      <c r="J83" s="60" t="s">
        <v>320</v>
      </c>
      <c r="K83" s="60">
        <f>IF(J83="syllables",1,IF(J83="trigrams",2,IF(J83="strings",3,IF(J83="visual array",4,IF(J83="characters",5,IF(J83="letters",6,IF(J83="free forms",7,IF(J83="odors",8,IF(J83="words",9,IF(J83="pictures",10,IF(J83="object pictures",11,IF(J83="faces",12,IF(J83="names",13,IF(J83="idioms",14,IF(J83="grades",15,IF(J83="syllable-digit pairs",16,IF(J83="trigram-word pairs",17,IF(J83="word-digit pairs",18,IF(J83="English-Swahili pairs",19,IF(J83="spatial position",20,IF(J83="word pairs",21,IF(J83="word triads",22,IF(J83="generated words",23,IF(J83="word definition pairs",24,IF(J83="math problems",25,IF(J83="famous faces",26,IF(J83="famous names",27,IF(J83="famous voices",28,IF(J83="television programs",29,IF(J83="race horses",30,IF(J83="new vocabulary",31,IF(J83="sentences",32,IF(J83="concepts",33,IF(J83="ad slides",34,IF(J83="scenes",35,IF(J83="famous scenes",36,IF(J83="poems",37,IF(J83="walk",38,IF(J83="faces and events",39,IF(J83="events and names",40,IF(J83="flashbulb",41,IF(J83="stories",42,IF(J83="course material",43,IF(J83="autobiographical",44,IF(J83="novels",45,IF(J83="public events",46,"99"))))))))))))))))))))))))))))))))))))))))))))))</f>
        <v>21</v>
      </c>
      <c r="L83" s="60">
        <f>IF(J83="syllables",1,IF(J83="trigrams",1,IF(J83="strings",1,IF(J83="visual array",1,IF(J83="characters",1,IF(J83="letters",1,IF(J83="free forms",1,IF(J83="odors",2,IF(J83="words",2,IF(J83="pictures",2,IF(J83="object pictures",2,IF(J83="faces",2,IF(J83="names",2,IF(J83="idioms","2",IF(J83="grades",2,IF(J83="syllable-digit pairs",3,IF(J83="trigram-word pairs",3,IF(J83="word-digit pairs",3,IF(J83="English-Swahili pairs",3,IF(J83="spatial position",3,IF(J83="word pairs",4,IF(J83="word triads",4,IF(J83="generated words",4,IF(J83="word definition pairs",4,IF(J83="math problems",4,IF(J83="famous faces",4,IF(J83="famous names",4,IF(J83="famous voices",4,IF(J83="television programs",4,IF(J83="race horses",4,IF(J83="new vocabulary",4,IF(J83="sentences",5,IF(J83="concepts",5,IF(J83="ad slides",5,IF(J83="scenes",5,IF(J83="famous scenes",5,IF(J83="poems",6,IF(J83="walk",6,IF(J83="faces and events",6,IF(J83="events and names",6,IF(J83="flashbulb",7,IF(J83="stories",7,IF(J83="course material",7,IF(J83="autobiographical",7,IF(J83="novels",7,IF(J83="public events",7,"99"))))))))))))))))))))))))))))))))))))))))))))))</f>
        <v>4</v>
      </c>
      <c r="M83" s="60">
        <v>1</v>
      </c>
      <c r="N83" s="60">
        <v>2</v>
      </c>
      <c r="O83" s="60">
        <v>0</v>
      </c>
      <c r="P83" s="60"/>
      <c r="Q83" s="60" t="s">
        <v>34</v>
      </c>
      <c r="R83" s="60">
        <f>IF(Q83="Free Recall",1,IF(Q83="Cued Recall",2,IF(Q83="Recognition",3,IF(Q83="Multiple Choice",4,IF(Q83="Savings",5,IF(Q83="Stem Completion",6,IF(Q83="Fragment Completion",7,IF(Q83="anagram solution",8,IF(Q83="Matching",9,IF(Q83="Problem Solving",10,"99"))))))))))</f>
        <v>3</v>
      </c>
      <c r="S83" s="60" t="s">
        <v>234</v>
      </c>
      <c r="T83" s="59" t="s">
        <v>581</v>
      </c>
      <c r="U83" s="60">
        <f>IF(T83="within",1,0)</f>
        <v>1</v>
      </c>
      <c r="V83" s="59">
        <v>10</v>
      </c>
      <c r="W83" s="60">
        <f>F83*V83</f>
        <v>410</v>
      </c>
      <c r="X83" s="60">
        <v>4</v>
      </c>
      <c r="Y83" s="76">
        <f>AV82</f>
        <v>259200</v>
      </c>
      <c r="Z83" s="60" t="s">
        <v>140</v>
      </c>
      <c r="AA83" s="60">
        <v>2419200</v>
      </c>
      <c r="AB83" s="60" t="str">
        <f>IF(AA83&lt;60,"1",IF(AA83&lt;=43200,"2",IF(AA83&lt;=777600,"3","4")))</f>
        <v>4</v>
      </c>
      <c r="AC83" s="56">
        <f>AVERAGE(AV82:DA82)</f>
        <v>972000</v>
      </c>
      <c r="AD83" s="60" t="str">
        <f>IF(AC83&lt;60,"1",IF(AC83&lt;=43200,"2",IF(AC83&lt;=777600,"3","4")))</f>
        <v>4</v>
      </c>
      <c r="AE83" s="76">
        <f>AA83-Y83</f>
        <v>2160000</v>
      </c>
      <c r="AF83" s="80">
        <f>AV83</f>
        <v>0.99</v>
      </c>
      <c r="AG83" s="56">
        <f>((AW83-AV83)+(AX83-AW83)+(AY83-AX83))/3</f>
        <v>-6.3333333333333311E-2</v>
      </c>
      <c r="AH83" s="4"/>
      <c r="AI83" s="56">
        <f>RSQ(AV83:AY83,AV82:AY82)</f>
        <v>0.99555147194581861</v>
      </c>
      <c r="AJ83" s="109">
        <f>SLOPE(AV83:AY83,AV82:AY82)</f>
        <v>-1.7071128863067856E-7</v>
      </c>
      <c r="AK83" s="56">
        <f>INTERCEPT(AV83:AY83,AV82:AY82)</f>
        <v>1.0384313725490197</v>
      </c>
      <c r="AL83" s="56">
        <f>INDEX(LINEST(LN(AV83:AY83),LN(AV82:AY82),TRUE,TRUE),3,1)</f>
        <v>0.92131180535102941</v>
      </c>
      <c r="AM83" s="56">
        <f>INDEX(LINEST(LN(AV83:AY83),LN(AV82:AY82)),1)</f>
        <v>-0.1252567951266868</v>
      </c>
      <c r="AN83" s="56">
        <f>EXP(INDEX(LINEST(LN(AV83:AY83),LN(AV82:AY82)),1,2))</f>
        <v>4.7754387985376683</v>
      </c>
      <c r="AO83" s="82">
        <f>INDEX(LINEST((AV83:AY83),LN(AV82:AY82),TRUE,TRUE),3,1)</f>
        <v>0.93510039399308198</v>
      </c>
      <c r="AP83" s="82">
        <f>INDEX(LINEST((AV83:AY83),LN(AV82:AY82)),1)</f>
        <v>-0.11185927373276755</v>
      </c>
      <c r="AQ83" s="83">
        <f>INDEX(LINEST(LN(AV83:AY83),SQRT(AV82:AY82),TRUE,TRUE),3,1)</f>
        <v>0.9641735226070669</v>
      </c>
      <c r="AR83" s="116">
        <f>INDEX(LINEST(LN(AV83:AY83),SQRT((AV82:AY82))),1)</f>
        <v>-3.2202643130137439E-4</v>
      </c>
      <c r="AS83" s="84">
        <f>INDEX(LINEST(1/(AV83:AY83),1/(SQRT(AV82:AY82)),TRUE,TRUE),3,1)</f>
        <v>0.85338973495820203</v>
      </c>
      <c r="AT83" s="84">
        <f>INDEX(LINEST(1/(AV83:AY83),1/SQRT(AV82:AY82)),1)</f>
        <v>-203.6814123008636</v>
      </c>
      <c r="AU83" s="3"/>
      <c r="AV83" s="53">
        <v>0.99</v>
      </c>
      <c r="AW83" s="53">
        <v>0.9</v>
      </c>
      <c r="AX83" s="53">
        <v>0.8</v>
      </c>
      <c r="AY83" s="53">
        <v>0.8</v>
      </c>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53"/>
      <c r="CD83" s="53"/>
      <c r="CE83" s="53"/>
      <c r="CF83" s="53"/>
      <c r="CG83" s="53"/>
      <c r="CH83" s="53"/>
      <c r="CI83" s="53"/>
      <c r="CJ83" s="53"/>
      <c r="CK83" s="53"/>
      <c r="CL83" s="53"/>
      <c r="CM83" s="53"/>
      <c r="CN83" s="53"/>
      <c r="CO83" s="53"/>
      <c r="CP83" s="53"/>
      <c r="CQ83" s="53"/>
      <c r="CR83" s="1"/>
      <c r="CS83" s="1"/>
      <c r="CT83" s="1"/>
      <c r="CU83" s="1"/>
    </row>
    <row r="84" spans="1:99" s="13" customFormat="1" ht="12" customHeight="1" x14ac:dyDescent="0.2">
      <c r="A84" s="65">
        <v>43509</v>
      </c>
      <c r="B84" s="1"/>
      <c r="C84" s="1"/>
      <c r="D84" s="60"/>
      <c r="E84" s="76"/>
      <c r="F84" s="60"/>
      <c r="G84" s="60"/>
      <c r="H84" s="60"/>
      <c r="I84" s="60"/>
      <c r="J84" s="60"/>
      <c r="K84" s="64"/>
      <c r="L84" s="64"/>
      <c r="M84" s="60"/>
      <c r="N84" s="60"/>
      <c r="O84" s="60"/>
      <c r="P84" s="60"/>
      <c r="Q84" s="60"/>
      <c r="R84" s="60"/>
      <c r="S84" s="60"/>
      <c r="T84" s="60"/>
      <c r="U84" s="60"/>
      <c r="V84" s="60"/>
      <c r="W84" s="60"/>
      <c r="X84" s="60"/>
      <c r="Y84" s="76"/>
      <c r="Z84" s="60"/>
      <c r="AA84" s="60"/>
      <c r="AB84" s="60"/>
      <c r="AC84" s="60"/>
      <c r="AD84" s="60"/>
      <c r="AE84" s="60"/>
      <c r="AF84" s="80"/>
      <c r="AG84" s="56"/>
      <c r="AH84" s="4"/>
      <c r="AI84" s="56"/>
      <c r="AJ84" s="109"/>
      <c r="AK84" s="56"/>
      <c r="AL84" s="56"/>
      <c r="AM84" s="56"/>
      <c r="AN84" s="56"/>
      <c r="AO84" s="56"/>
      <c r="AP84" s="56"/>
      <c r="AQ84" s="56"/>
      <c r="AR84" s="109"/>
      <c r="AS84" s="56"/>
      <c r="AT84" s="56"/>
      <c r="AU84" s="4"/>
      <c r="AV84" s="25">
        <f>7*24*60*60*3/7</f>
        <v>259200</v>
      </c>
      <c r="AW84" s="25">
        <f>7*24*60*60*10/7</f>
        <v>864000</v>
      </c>
      <c r="AX84" s="25">
        <f>7*24*60*60*16/7</f>
        <v>1382400</v>
      </c>
      <c r="AY84" s="43"/>
      <c r="AZ84" s="53"/>
      <c r="BA84" s="53"/>
      <c r="BB84" s="53"/>
      <c r="BC84" s="53"/>
      <c r="BD84" s="53"/>
      <c r="BE84" s="53"/>
      <c r="BF84" s="53"/>
      <c r="BG84" s="53"/>
      <c r="BH84" s="53"/>
      <c r="BI84" s="53"/>
      <c r="BJ84" s="53"/>
      <c r="BK84" s="53"/>
      <c r="BL84" s="53"/>
      <c r="BM84" s="53"/>
      <c r="BN84" s="53"/>
      <c r="BO84" s="53"/>
      <c r="BP84" s="53"/>
      <c r="BQ84" s="53"/>
      <c r="BR84" s="53"/>
      <c r="BS84" s="53"/>
      <c r="BT84" s="53"/>
      <c r="BU84" s="53"/>
      <c r="BV84" s="53"/>
      <c r="BW84" s="53"/>
      <c r="BX84" s="53"/>
      <c r="BY84" s="53"/>
      <c r="BZ84" s="53"/>
      <c r="CA84" s="53"/>
      <c r="CB84" s="53"/>
      <c r="CC84" s="53"/>
      <c r="CD84" s="53"/>
      <c r="CE84" s="53"/>
      <c r="CF84" s="53"/>
      <c r="CG84" s="53"/>
      <c r="CH84" s="53"/>
      <c r="CI84" s="53"/>
      <c r="CJ84" s="53"/>
      <c r="CK84" s="53"/>
      <c r="CL84" s="53"/>
      <c r="CM84" s="53"/>
      <c r="CN84" s="53"/>
      <c r="CO84" s="53"/>
      <c r="CP84" s="53"/>
      <c r="CQ84" s="53"/>
      <c r="CR84" s="1"/>
      <c r="CS84" s="1"/>
      <c r="CT84" s="1"/>
      <c r="CU84" s="1"/>
    </row>
    <row r="85" spans="1:99" s="13" customFormat="1" ht="12" customHeight="1" x14ac:dyDescent="0.2">
      <c r="A85" s="65">
        <v>43509</v>
      </c>
      <c r="B85" s="1" t="s">
        <v>141</v>
      </c>
      <c r="C85" s="1" t="s">
        <v>142</v>
      </c>
      <c r="D85" s="60">
        <v>1925</v>
      </c>
      <c r="E85" s="76">
        <v>3</v>
      </c>
      <c r="F85" s="60">
        <v>47</v>
      </c>
      <c r="G85" s="60">
        <v>47</v>
      </c>
      <c r="H85" s="60" t="s">
        <v>398</v>
      </c>
      <c r="I85" s="60" t="s">
        <v>642</v>
      </c>
      <c r="J85" s="60" t="s">
        <v>320</v>
      </c>
      <c r="K85" s="60">
        <f>IF(J85="syllables",1,IF(J85="trigrams",2,IF(J85="strings",3,IF(J85="visual array",4,IF(J85="characters",5,IF(J85="letters",6,IF(J85="free forms",7,IF(J85="odors",8,IF(J85="words",9,IF(J85="pictures",10,IF(J85="object pictures",11,IF(J85="faces",12,IF(J85="names",13,IF(J85="idioms",14,IF(J85="grades",15,IF(J85="syllable-digit pairs",16,IF(J85="trigram-word pairs",17,IF(J85="word-digit pairs",18,IF(J85="English-Swahili pairs",19,IF(J85="spatial position",20,IF(J85="word pairs",21,IF(J85="word triads",22,IF(J85="generated words",23,IF(J85="word definition pairs",24,IF(J85="math problems",25,IF(J85="famous faces",26,IF(J85="famous names",27,IF(J85="famous voices",28,IF(J85="television programs",29,IF(J85="race horses",30,IF(J85="new vocabulary",31,IF(J85="sentences",32,IF(J85="concepts",33,IF(J85="ad slides",34,IF(J85="scenes",35,IF(J85="famous scenes",36,IF(J85="poems",37,IF(J85="walk",38,IF(J85="faces and events",39,IF(J85="events and names",40,IF(J85="flashbulb",41,IF(J85="stories",42,IF(J85="course material",43,IF(J85="autobiographical",44,IF(J85="novels",45,IF(J85="public events",46,"99"))))))))))))))))))))))))))))))))))))))))))))))</f>
        <v>21</v>
      </c>
      <c r="L85" s="60">
        <f>IF(J85="syllables",1,IF(J85="trigrams",1,IF(J85="strings",1,IF(J85="visual array",1,IF(J85="characters",1,IF(J85="letters",1,IF(J85="free forms",1,IF(J85="odors",2,IF(J85="words",2,IF(J85="pictures",2,IF(J85="object pictures",2,IF(J85="faces",2,IF(J85="names",2,IF(J85="idioms","2",IF(J85="grades",2,IF(J85="syllable-digit pairs",3,IF(J85="trigram-word pairs",3,IF(J85="word-digit pairs",3,IF(J85="English-Swahili pairs",3,IF(J85="spatial position",3,IF(J85="word pairs",4,IF(J85="word triads",4,IF(J85="generated words",4,IF(J85="word definition pairs",4,IF(J85="math problems",4,IF(J85="famous faces",4,IF(J85="famous names",4,IF(J85="famous voices",4,IF(J85="television programs",4,IF(J85="race horses",4,IF(J85="new vocabulary",4,IF(J85="sentences",5,IF(J85="concepts",5,IF(J85="ad slides",5,IF(J85="scenes",5,IF(J85="famous scenes",5,IF(J85="poems",6,IF(J85="walk",6,IF(J85="faces and events",6,IF(J85="events and names",6,IF(J85="flashbulb",7,IF(J85="stories",7,IF(J85="course material",7,IF(J85="autobiographical",7,IF(J85="novels",7,IF(J85="public events",7,"99"))))))))))))))))))))))))))))))))))))))))))))))</f>
        <v>4</v>
      </c>
      <c r="M85" s="60">
        <v>1</v>
      </c>
      <c r="N85" s="60">
        <v>2</v>
      </c>
      <c r="O85" s="60">
        <v>0</v>
      </c>
      <c r="P85" s="60"/>
      <c r="Q85" s="60" t="s">
        <v>174</v>
      </c>
      <c r="R85" s="60">
        <f>IF(Q85="Free Recall",1,IF(Q85="Cued Recall",2,IF(Q85="Recognition",3,IF(Q85="Multiple Choice",4,IF(Q85="Savings",5,IF(Q85="Stem Completion",6,IF(Q85="Fragment Completion",7,IF(Q85="anagram solution",8,IF(Q85="Matching",9,IF(Q85="Problem Solving",10,"99"))))))))))</f>
        <v>1</v>
      </c>
      <c r="S85" s="60" t="s">
        <v>234</v>
      </c>
      <c r="T85" s="59" t="s">
        <v>581</v>
      </c>
      <c r="U85" s="60">
        <f>IF(T85="within",1,0)</f>
        <v>1</v>
      </c>
      <c r="V85" s="59">
        <v>10</v>
      </c>
      <c r="W85" s="60">
        <f>F85*V85</f>
        <v>470</v>
      </c>
      <c r="X85" s="60">
        <v>3</v>
      </c>
      <c r="Y85" s="76">
        <f>AV84</f>
        <v>259200</v>
      </c>
      <c r="Z85" s="60" t="s">
        <v>140</v>
      </c>
      <c r="AA85" s="60">
        <v>2419200</v>
      </c>
      <c r="AB85" s="60" t="str">
        <f>IF(AA85&lt;60,"1",IF(AA85&lt;=43200,"2",IF(AA85&lt;=777600,"3","4")))</f>
        <v>4</v>
      </c>
      <c r="AC85" s="56">
        <f>AVERAGE(AV84:DA84)</f>
        <v>835200</v>
      </c>
      <c r="AD85" s="60" t="str">
        <f>IF(AC85&lt;60,"1",IF(AC85&lt;=43200,"2",IF(AC85&lt;=777600,"3","4")))</f>
        <v>4</v>
      </c>
      <c r="AE85" s="76">
        <f>AA85-Y85</f>
        <v>2160000</v>
      </c>
      <c r="AF85" s="80">
        <f>AV85</f>
        <v>0.65</v>
      </c>
      <c r="AG85" s="56">
        <f>((AW85-AV85)+(AX85-AW85))/2</f>
        <v>-0.22000000000000003</v>
      </c>
      <c r="AH85" s="4"/>
      <c r="AI85" s="56">
        <f>RSQ(AV85:AX85,AV84:AX84)</f>
        <v>0.9212756294112221</v>
      </c>
      <c r="AJ85" s="109">
        <f>SLOPE(AV85:AX85,AV84:AX84)</f>
        <v>-3.9689049285505984E-7</v>
      </c>
      <c r="AK85" s="56">
        <f>INTERCEPT(AV85:AX85,AV84:AX84)</f>
        <v>0.71814960629921265</v>
      </c>
      <c r="AL85" s="56">
        <f>INDEX(LINEST(LN(AV85:AX85),LN(AV84:AX84),TRUE,TRUE),3,1)</f>
        <v>0.99853921344178687</v>
      </c>
      <c r="AM85" s="56">
        <f>INDEX(LINEST(LN(AV85:AX85),LN(AV84:AX84)),1)</f>
        <v>-0.66848613975194271</v>
      </c>
      <c r="AN85" s="56">
        <f>EXP(INDEX(LINEST(LN(AV85:AX85),LN(AV84:AX84)),1,2))</f>
        <v>2721.8646112133324</v>
      </c>
      <c r="AO85" s="82">
        <f>INDEX(LINEST((AV85:AX85),LN(AV84:AX84),TRUE,TRUE),3,1)</f>
        <v>0.99347852900894018</v>
      </c>
      <c r="AP85" s="82">
        <f>INDEX(LINEST((AV85:AX85),LN(AV84:AX84)),1)</f>
        <v>-0.2683510142310544</v>
      </c>
      <c r="AQ85" s="83">
        <f>INDEX(LINEST(LN(AV85:AX85),SQRT(AV84:AX84),TRUE,TRUE),3,1)</f>
        <v>0.99640418377092466</v>
      </c>
      <c r="AR85" s="116">
        <f>INDEX(LINEST(LN(AV85:AX85),SQRT((AV84:AX84))),1)</f>
        <v>-1.7103673641531817E-3</v>
      </c>
      <c r="AS85" s="84">
        <f>INDEX(LINEST(1/(AV85:AX85),1/(SQRT(AV84:AX84)),TRUE,TRUE),3,1)</f>
        <v>0.93111474075430534</v>
      </c>
      <c r="AT85" s="84">
        <f>INDEX(LINEST(1/(AV85:AX85),1/SQRT(AV84:AX84)),1)</f>
        <v>-2646.9601144353173</v>
      </c>
      <c r="AU85" s="3"/>
      <c r="AV85" s="53">
        <v>0.65</v>
      </c>
      <c r="AW85" s="53">
        <v>0.3</v>
      </c>
      <c r="AX85" s="53">
        <v>0.21</v>
      </c>
      <c r="AY85" s="43"/>
      <c r="AZ85" s="53"/>
      <c r="BA85" s="53"/>
      <c r="BB85" s="53"/>
      <c r="BC85" s="53"/>
      <c r="BD85" s="53"/>
      <c r="BE85" s="53"/>
      <c r="BF85" s="53"/>
      <c r="BG85" s="53"/>
      <c r="BH85" s="53"/>
      <c r="BI85" s="53"/>
      <c r="BJ85" s="53"/>
      <c r="BK85" s="53"/>
      <c r="BL85" s="53"/>
      <c r="BM85" s="53"/>
      <c r="BN85" s="53"/>
      <c r="BO85" s="53"/>
      <c r="BP85" s="53"/>
      <c r="BQ85" s="53"/>
      <c r="BR85" s="53"/>
      <c r="BS85" s="53"/>
      <c r="BT85" s="53"/>
      <c r="BU85" s="53"/>
      <c r="BV85" s="53"/>
      <c r="BW85" s="53"/>
      <c r="BX85" s="53"/>
      <c r="BY85" s="53"/>
      <c r="BZ85" s="53"/>
      <c r="CA85" s="53"/>
      <c r="CB85" s="53"/>
      <c r="CC85" s="53"/>
      <c r="CD85" s="53"/>
      <c r="CE85" s="53"/>
      <c r="CF85" s="53"/>
      <c r="CG85" s="53"/>
      <c r="CH85" s="53"/>
      <c r="CI85" s="53"/>
      <c r="CJ85" s="53"/>
      <c r="CK85" s="53"/>
      <c r="CL85" s="53"/>
      <c r="CM85" s="53"/>
      <c r="CN85" s="53"/>
      <c r="CO85" s="53"/>
      <c r="CP85" s="53"/>
      <c r="CQ85" s="53"/>
      <c r="CR85" s="1"/>
      <c r="CS85" s="1"/>
      <c r="CT85" s="1"/>
      <c r="CU85" s="1"/>
    </row>
    <row r="86" spans="1:99" s="13" customFormat="1" ht="12" customHeight="1" x14ac:dyDescent="0.2">
      <c r="A86" s="65">
        <v>43509</v>
      </c>
      <c r="B86" s="1"/>
      <c r="C86" s="1"/>
      <c r="D86" s="60"/>
      <c r="E86" s="76"/>
      <c r="F86" s="60"/>
      <c r="G86" s="60"/>
      <c r="H86" s="60"/>
      <c r="I86" s="60"/>
      <c r="J86" s="60"/>
      <c r="K86" s="64"/>
      <c r="L86" s="64"/>
      <c r="M86" s="60"/>
      <c r="N86" s="60"/>
      <c r="O86" s="60"/>
      <c r="P86" s="60"/>
      <c r="Q86" s="60"/>
      <c r="R86" s="60"/>
      <c r="S86" s="60"/>
      <c r="T86" s="60"/>
      <c r="U86" s="60"/>
      <c r="V86" s="60"/>
      <c r="W86" s="60"/>
      <c r="X86" s="60"/>
      <c r="Y86" s="76"/>
      <c r="Z86" s="60"/>
      <c r="AA86" s="60"/>
      <c r="AB86" s="60"/>
      <c r="AC86" s="60"/>
      <c r="AD86" s="60"/>
      <c r="AE86" s="60"/>
      <c r="AF86" s="80"/>
      <c r="AG86" s="56"/>
      <c r="AH86" s="4"/>
      <c r="AI86" s="56"/>
      <c r="AJ86" s="109"/>
      <c r="AK86" s="56"/>
      <c r="AL86" s="56"/>
      <c r="AM86" s="56"/>
      <c r="AN86" s="56"/>
      <c r="AO86" s="56"/>
      <c r="AP86" s="56"/>
      <c r="AQ86" s="56"/>
      <c r="AR86" s="109"/>
      <c r="AS86" s="56"/>
      <c r="AT86" s="56"/>
      <c r="AU86" s="4"/>
      <c r="AV86" s="25">
        <f>(4*100)/2</f>
        <v>200</v>
      </c>
      <c r="AW86" s="25">
        <f>7*24*60*60*3/7</f>
        <v>259200</v>
      </c>
      <c r="AX86" s="25">
        <f>7*24*60*60*10/7</f>
        <v>864000</v>
      </c>
      <c r="AY86" s="25">
        <f>7*24*60*60*16/7</f>
        <v>1382400</v>
      </c>
      <c r="AZ86" s="53"/>
      <c r="BA86" s="53"/>
      <c r="BB86" s="53"/>
      <c r="BC86" s="53"/>
      <c r="BD86" s="53"/>
      <c r="BE86" s="53"/>
      <c r="BF86" s="53"/>
      <c r="BG86" s="53"/>
      <c r="BH86" s="53"/>
      <c r="BI86" s="53"/>
      <c r="BJ86" s="53"/>
      <c r="BK86" s="53"/>
      <c r="BL86" s="53"/>
      <c r="BM86" s="53"/>
      <c r="BN86" s="53"/>
      <c r="BO86" s="53"/>
      <c r="BP86" s="53"/>
      <c r="BQ86" s="53"/>
      <c r="BR86" s="53"/>
      <c r="BS86" s="53"/>
      <c r="BT86" s="53"/>
      <c r="BU86" s="53"/>
      <c r="BV86" s="53"/>
      <c r="BW86" s="53"/>
      <c r="BX86" s="53"/>
      <c r="BY86" s="53"/>
      <c r="BZ86" s="53"/>
      <c r="CA86" s="53"/>
      <c r="CB86" s="53"/>
      <c r="CC86" s="53"/>
      <c r="CD86" s="53"/>
      <c r="CE86" s="53"/>
      <c r="CF86" s="53"/>
      <c r="CG86" s="53"/>
      <c r="CH86" s="53"/>
      <c r="CI86" s="53"/>
      <c r="CJ86" s="53"/>
      <c r="CK86" s="53"/>
      <c r="CL86" s="53"/>
      <c r="CM86" s="53"/>
      <c r="CN86" s="53"/>
      <c r="CO86" s="53"/>
      <c r="CP86" s="53"/>
      <c r="CQ86" s="53"/>
      <c r="CR86" s="1"/>
      <c r="CS86" s="1"/>
      <c r="CT86" s="1"/>
      <c r="CU86" s="1"/>
    </row>
    <row r="87" spans="1:99" s="13" customFormat="1" ht="12" customHeight="1" x14ac:dyDescent="0.2">
      <c r="A87" s="65">
        <v>43509</v>
      </c>
      <c r="B87" s="1" t="s">
        <v>141</v>
      </c>
      <c r="C87" s="1" t="s">
        <v>142</v>
      </c>
      <c r="D87" s="60">
        <v>1925</v>
      </c>
      <c r="E87" s="76">
        <v>3</v>
      </c>
      <c r="F87" s="60">
        <v>47</v>
      </c>
      <c r="G87" s="60">
        <v>47</v>
      </c>
      <c r="H87" s="60" t="s">
        <v>398</v>
      </c>
      <c r="I87" s="60" t="s">
        <v>641</v>
      </c>
      <c r="J87" s="60" t="s">
        <v>320</v>
      </c>
      <c r="K87" s="60">
        <f>IF(J87="syllables",1,IF(J87="trigrams",2,IF(J87="strings",3,IF(J87="visual array",4,IF(J87="characters",5,IF(J87="letters",6,IF(J87="free forms",7,IF(J87="odors",8,IF(J87="words",9,IF(J87="pictures",10,IF(J87="object pictures",11,IF(J87="faces",12,IF(J87="names",13,IF(J87="idioms",14,IF(J87="grades",15,IF(J87="syllable-digit pairs",16,IF(J87="trigram-word pairs",17,IF(J87="word-digit pairs",18,IF(J87="English-Swahili pairs",19,IF(J87="spatial position",20,IF(J87="word pairs",21,IF(J87="word triads",22,IF(J87="generated words",23,IF(J87="word definition pairs",24,IF(J87="math problems",25,IF(J87="famous faces",26,IF(J87="famous names",27,IF(J87="famous voices",28,IF(J87="television programs",29,IF(J87="race horses",30,IF(J87="new vocabulary",31,IF(J87="sentences",32,IF(J87="concepts",33,IF(J87="ad slides",34,IF(J87="scenes",35,IF(J87="famous scenes",36,IF(J87="poems",37,IF(J87="walk",38,IF(J87="faces and events",39,IF(J87="events and names",40,IF(J87="flashbulb",41,IF(J87="stories",42,IF(J87="course material",43,IF(J87="autobiographical",44,IF(J87="novels",45,IF(J87="public events",46,"99"))))))))))))))))))))))))))))))))))))))))))))))</f>
        <v>21</v>
      </c>
      <c r="L87" s="60">
        <f>IF(J87="syllables",1,IF(J87="trigrams",1,IF(J87="strings",1,IF(J87="visual array",1,IF(J87="characters",1,IF(J87="letters",1,IF(J87="free forms",1,IF(J87="odors",2,IF(J87="words",2,IF(J87="pictures",2,IF(J87="object pictures",2,IF(J87="faces",2,IF(J87="names",2,IF(J87="idioms","2",IF(J87="grades",2,IF(J87="syllable-digit pairs",3,IF(J87="trigram-word pairs",3,IF(J87="word-digit pairs",3,IF(J87="English-Swahili pairs",3,IF(J87="spatial position",3,IF(J87="word pairs",4,IF(J87="word triads",4,IF(J87="generated words",4,IF(J87="word definition pairs",4,IF(J87="math problems",4,IF(J87="famous faces",4,IF(J87="famous names",4,IF(J87="famous voices",4,IF(J87="television programs",4,IF(J87="race horses",4,IF(J87="new vocabulary",4,IF(J87="sentences",5,IF(J87="concepts",5,IF(J87="ad slides",5,IF(J87="scenes",5,IF(J87="famous scenes",5,IF(J87="poems",6,IF(J87="walk",6,IF(J87="faces and events",6,IF(J87="events and names",6,IF(J87="flashbulb",7,IF(J87="stories",7,IF(J87="course material",7,IF(J87="autobiographical",7,IF(J87="novels",7,IF(J87="public events",7,"99"))))))))))))))))))))))))))))))))))))))))))))))</f>
        <v>4</v>
      </c>
      <c r="M87" s="60">
        <v>1</v>
      </c>
      <c r="N87" s="60">
        <v>2</v>
      </c>
      <c r="O87" s="60">
        <v>0</v>
      </c>
      <c r="P87" s="60"/>
      <c r="Q87" s="60" t="s">
        <v>34</v>
      </c>
      <c r="R87" s="60">
        <f>IF(Q87="Free Recall",1,IF(Q87="Cued Recall",2,IF(Q87="Recognition",3,IF(Q87="Multiple Choice",4,IF(Q87="Savings",5,IF(Q87="Stem Completion",6,IF(Q87="Fragment Completion",7,IF(Q87="anagram solution",8,IF(Q87="Matching",9,IF(Q87="Problem Solving",10,"99"))))))))))</f>
        <v>3</v>
      </c>
      <c r="S87" s="60" t="s">
        <v>234</v>
      </c>
      <c r="T87" s="59" t="s">
        <v>581</v>
      </c>
      <c r="U87" s="60">
        <f>IF(T87="within",1,0)</f>
        <v>1</v>
      </c>
      <c r="V87" s="59">
        <v>10</v>
      </c>
      <c r="W87" s="60">
        <f>F87*V87</f>
        <v>470</v>
      </c>
      <c r="X87" s="60">
        <v>4</v>
      </c>
      <c r="Y87" s="76">
        <f>AV86</f>
        <v>200</v>
      </c>
      <c r="Z87" s="60" t="s">
        <v>140</v>
      </c>
      <c r="AA87" s="60">
        <v>2419200</v>
      </c>
      <c r="AB87" s="60" t="str">
        <f>IF(AA87&lt;60,"1",IF(AA87&lt;=43200,"2",IF(AA87&lt;=777600,"3","4")))</f>
        <v>4</v>
      </c>
      <c r="AC87" s="56">
        <f>AVERAGE(AV86:DA86)</f>
        <v>626450</v>
      </c>
      <c r="AD87" s="60" t="str">
        <f>IF(AC87&lt;60,"1",IF(AC87&lt;=43200,"2",IF(AC87&lt;=777600,"3","4")))</f>
        <v>3</v>
      </c>
      <c r="AE87" s="76">
        <f>AA87-Y87</f>
        <v>2419000</v>
      </c>
      <c r="AF87" s="80">
        <f>AV87</f>
        <v>0.95</v>
      </c>
      <c r="AG87" s="56">
        <f>((AW87-AV87)+(AX87-AW87)+(AY87-AX87))/3</f>
        <v>-9.6666666666666637E-2</v>
      </c>
      <c r="AH87" s="4"/>
      <c r="AI87" s="56">
        <f>RSQ(AV87:AY87,AV86:AY86)</f>
        <v>0.92178749270917226</v>
      </c>
      <c r="AJ87" s="109">
        <f>SLOPE(AV87:AY87,AV86:AY86)</f>
        <v>-1.8755540868654081E-7</v>
      </c>
      <c r="AK87" s="56">
        <f>INTERCEPT(AV87:AY87,AV86:AY86)</f>
        <v>0.91499408577168362</v>
      </c>
      <c r="AL87" s="56">
        <f>INDEX(LINEST(LN(AV87:AY87),LN(AV86:AY86),TRUE,TRUE),3,1)</f>
        <v>0.78584447993003959</v>
      </c>
      <c r="AM87" s="56">
        <f>INDEX(LINEST(LN(AV87:AY87),LN(AV86:AY86)),1)</f>
        <v>-3.2653784473412759E-2</v>
      </c>
      <c r="AN87" s="56">
        <f>EXP(INDEX(LINEST(LN(AV87:AY87),LN(AV86:AY86)),1,2))</f>
        <v>1.1469464485795819</v>
      </c>
      <c r="AO87" s="82">
        <f>INDEX(LINEST((AV87:AY87),LN(AV86:AY86),TRUE,TRUE),3,1)</f>
        <v>0.83259473987406729</v>
      </c>
      <c r="AP87" s="82">
        <f>INDEX(LINEST((AV87:AY87),LN(AV86:AY86)),1)</f>
        <v>-2.6819245520803281E-2</v>
      </c>
      <c r="AQ87" s="83">
        <f>INDEX(LINEST(LN(AV87:AY87),SQRT(AV86:AY86),TRUE,TRUE),3,1)</f>
        <v>0.96368518379171042</v>
      </c>
      <c r="AR87" s="116">
        <f>INDEX(LINEST(LN(AV87:AY87),SQRT((AV86:AY86))),1)</f>
        <v>-2.9273043487145059E-4</v>
      </c>
      <c r="AS87" s="84">
        <f>INDEX(LINEST(1/(AV87:AY87),1/(SQRT(AV86:AY86)),TRUE,TRUE),3,1)</f>
        <v>0.60517585152111097</v>
      </c>
      <c r="AT87" s="84">
        <f>INDEX(LINEST(1/(AV87:AY87),1/SQRT(AV86:AY86)),1)</f>
        <v>-4.3277419395009451</v>
      </c>
      <c r="AU87" s="3"/>
      <c r="AV87" s="53">
        <v>0.95</v>
      </c>
      <c r="AW87" s="53">
        <v>0.82</v>
      </c>
      <c r="AX87" s="53">
        <v>0.76</v>
      </c>
      <c r="AY87" s="53">
        <v>0.66</v>
      </c>
      <c r="AZ87" s="53"/>
      <c r="BA87" s="53"/>
      <c r="BB87" s="53"/>
      <c r="BC87" s="53"/>
      <c r="BD87" s="53"/>
      <c r="BE87" s="53"/>
      <c r="BF87" s="53"/>
      <c r="BG87" s="53"/>
      <c r="BH87" s="53"/>
      <c r="BI87" s="53"/>
      <c r="BJ87" s="53"/>
      <c r="BK87" s="53"/>
      <c r="BL87" s="53"/>
      <c r="BM87" s="53"/>
      <c r="BN87" s="53"/>
      <c r="BO87" s="53"/>
      <c r="BP87" s="53"/>
      <c r="BQ87" s="53"/>
      <c r="BR87" s="53"/>
      <c r="BS87" s="53"/>
      <c r="BT87" s="53"/>
      <c r="BU87" s="53"/>
      <c r="BV87" s="53"/>
      <c r="BW87" s="53"/>
      <c r="BX87" s="53"/>
      <c r="BY87" s="53"/>
      <c r="BZ87" s="53"/>
      <c r="CA87" s="53"/>
      <c r="CB87" s="53"/>
      <c r="CC87" s="53"/>
      <c r="CD87" s="53"/>
      <c r="CE87" s="53"/>
      <c r="CF87" s="53"/>
      <c r="CG87" s="53"/>
      <c r="CH87" s="53"/>
      <c r="CI87" s="53"/>
      <c r="CJ87" s="53"/>
      <c r="CK87" s="53"/>
      <c r="CL87" s="53"/>
      <c r="CM87" s="53"/>
      <c r="CN87" s="53"/>
      <c r="CO87" s="53"/>
      <c r="CP87" s="53"/>
      <c r="CQ87" s="53"/>
      <c r="CR87" s="1"/>
      <c r="CS87" s="1"/>
      <c r="CT87" s="1"/>
      <c r="CU87" s="1"/>
    </row>
    <row r="88" spans="1:99" s="13" customFormat="1" ht="12" customHeight="1" x14ac:dyDescent="0.2">
      <c r="A88" s="65">
        <v>43509</v>
      </c>
      <c r="B88" s="1"/>
      <c r="C88" s="1"/>
      <c r="D88" s="60"/>
      <c r="E88" s="76"/>
      <c r="F88" s="60"/>
      <c r="G88" s="60"/>
      <c r="H88" s="60"/>
      <c r="I88" s="60"/>
      <c r="J88" s="60"/>
      <c r="K88" s="64"/>
      <c r="L88" s="64"/>
      <c r="M88" s="60"/>
      <c r="N88" s="60"/>
      <c r="O88" s="60"/>
      <c r="P88" s="60"/>
      <c r="Q88" s="60"/>
      <c r="R88" s="60"/>
      <c r="S88" s="60"/>
      <c r="T88" s="60"/>
      <c r="U88" s="60"/>
      <c r="V88" s="60"/>
      <c r="W88" s="60"/>
      <c r="X88" s="60"/>
      <c r="Y88" s="76"/>
      <c r="Z88" s="60"/>
      <c r="AA88" s="60"/>
      <c r="AB88" s="60"/>
      <c r="AC88" s="60"/>
      <c r="AD88" s="60"/>
      <c r="AE88" s="60"/>
      <c r="AF88" s="80"/>
      <c r="AG88" s="56"/>
      <c r="AH88" s="4"/>
      <c r="AI88" s="56"/>
      <c r="AJ88" s="109"/>
      <c r="AK88" s="56"/>
      <c r="AL88" s="56"/>
      <c r="AM88" s="56"/>
      <c r="AN88" s="56"/>
      <c r="AO88" s="56"/>
      <c r="AP88" s="56"/>
      <c r="AQ88" s="56"/>
      <c r="AR88" s="109"/>
      <c r="AS88" s="56"/>
      <c r="AT88" s="56"/>
      <c r="AU88" s="4"/>
      <c r="AV88" s="25">
        <f>7*24*60*60*3/7</f>
        <v>259200</v>
      </c>
      <c r="AW88" s="25">
        <f>7*24*60*60*10/7</f>
        <v>864000</v>
      </c>
      <c r="AX88" s="25">
        <f>7*24*60*60*16/7</f>
        <v>1382400</v>
      </c>
      <c r="AY88" s="43"/>
      <c r="AZ88" s="53"/>
      <c r="BA88" s="53"/>
      <c r="BB88" s="53"/>
      <c r="BC88" s="53"/>
      <c r="BD88" s="53"/>
      <c r="BE88" s="53"/>
      <c r="BF88" s="53"/>
      <c r="BG88" s="53"/>
      <c r="BH88" s="53"/>
      <c r="BI88" s="53"/>
      <c r="BJ88" s="53"/>
      <c r="BK88" s="53"/>
      <c r="BL88" s="53"/>
      <c r="BM88" s="53"/>
      <c r="BN88" s="53"/>
      <c r="BO88" s="53"/>
      <c r="BP88" s="53"/>
      <c r="BQ88" s="53"/>
      <c r="BR88" s="53"/>
      <c r="BS88" s="53"/>
      <c r="BT88" s="53"/>
      <c r="BU88" s="53"/>
      <c r="BV88" s="53"/>
      <c r="BW88" s="53"/>
      <c r="BX88" s="53"/>
      <c r="BY88" s="53"/>
      <c r="BZ88" s="53"/>
      <c r="CA88" s="53"/>
      <c r="CB88" s="53"/>
      <c r="CC88" s="53"/>
      <c r="CD88" s="53"/>
      <c r="CE88" s="53"/>
      <c r="CF88" s="53"/>
      <c r="CG88" s="53"/>
      <c r="CH88" s="53"/>
      <c r="CI88" s="53"/>
      <c r="CJ88" s="53"/>
      <c r="CK88" s="53"/>
      <c r="CL88" s="53"/>
      <c r="CM88" s="53"/>
      <c r="CN88" s="53"/>
      <c r="CO88" s="53"/>
      <c r="CP88" s="53"/>
      <c r="CQ88" s="53"/>
      <c r="CR88" s="1"/>
      <c r="CS88" s="1"/>
      <c r="CT88" s="1"/>
      <c r="CU88" s="1"/>
    </row>
    <row r="89" spans="1:99" s="13" customFormat="1" ht="12" customHeight="1" x14ac:dyDescent="0.2">
      <c r="A89" s="65">
        <v>43509</v>
      </c>
      <c r="B89" s="1" t="s">
        <v>141</v>
      </c>
      <c r="C89" s="1" t="s">
        <v>142</v>
      </c>
      <c r="D89" s="60">
        <v>1925</v>
      </c>
      <c r="E89" s="76">
        <v>3</v>
      </c>
      <c r="F89" s="60">
        <v>47</v>
      </c>
      <c r="G89" s="60">
        <v>47</v>
      </c>
      <c r="H89" s="60" t="s">
        <v>398</v>
      </c>
      <c r="I89" s="60" t="s">
        <v>642</v>
      </c>
      <c r="J89" s="60" t="s">
        <v>320</v>
      </c>
      <c r="K89" s="60">
        <f>IF(J89="syllables",1,IF(J89="trigrams",2,IF(J89="strings",3,IF(J89="visual array",4,IF(J89="characters",5,IF(J89="letters",6,IF(J89="free forms",7,IF(J89="odors",8,IF(J89="words",9,IF(J89="pictures",10,IF(J89="object pictures",11,IF(J89="faces",12,IF(J89="names",13,IF(J89="idioms",14,IF(J89="grades",15,IF(J89="syllable-digit pairs",16,IF(J89="trigram-word pairs",17,IF(J89="word-digit pairs",18,IF(J89="English-Swahili pairs",19,IF(J89="spatial position",20,IF(J89="word pairs",21,IF(J89="word triads",22,IF(J89="generated words",23,IF(J89="word definition pairs",24,IF(J89="math problems",25,IF(J89="famous faces",26,IF(J89="famous names",27,IF(J89="famous voices",28,IF(J89="television programs",29,IF(J89="race horses",30,IF(J89="new vocabulary",31,IF(J89="sentences",32,IF(J89="concepts",33,IF(J89="ad slides",34,IF(J89="scenes",35,IF(J89="famous scenes",36,IF(J89="poems",37,IF(J89="walk",38,IF(J89="faces and events",39,IF(J89="events and names",40,IF(J89="flashbulb",41,IF(J89="stories",42,IF(J89="course material",43,IF(J89="autobiographical",44,IF(J89="novels",45,IF(J89="public events",46,"99"))))))))))))))))))))))))))))))))))))))))))))))</f>
        <v>21</v>
      </c>
      <c r="L89" s="60">
        <f>IF(J89="syllables",1,IF(J89="trigrams",1,IF(J89="strings",1,IF(J89="visual array",1,IF(J89="characters",1,IF(J89="letters",1,IF(J89="free forms",1,IF(J89="odors",2,IF(J89="words",2,IF(J89="pictures",2,IF(J89="object pictures",2,IF(J89="faces",2,IF(J89="names",2,IF(J89="idioms","2",IF(J89="grades",2,IF(J89="syllable-digit pairs",3,IF(J89="trigram-word pairs",3,IF(J89="word-digit pairs",3,IF(J89="English-Swahili pairs",3,IF(J89="spatial position",3,IF(J89="word pairs",4,IF(J89="word triads",4,IF(J89="generated words",4,IF(J89="word definition pairs",4,IF(J89="math problems",4,IF(J89="famous faces",4,IF(J89="famous names",4,IF(J89="famous voices",4,IF(J89="television programs",4,IF(J89="race horses",4,IF(J89="new vocabulary",4,IF(J89="sentences",5,IF(J89="concepts",5,IF(J89="ad slides",5,IF(J89="scenes",5,IF(J89="famous scenes",5,IF(J89="poems",6,IF(J89="walk",6,IF(J89="faces and events",6,IF(J89="events and names",6,IF(J89="flashbulb",7,IF(J89="stories",7,IF(J89="course material",7,IF(J89="autobiographical",7,IF(J89="novels",7,IF(J89="public events",7,"99"))))))))))))))))))))))))))))))))))))))))))))))</f>
        <v>4</v>
      </c>
      <c r="M89" s="60">
        <v>1</v>
      </c>
      <c r="N89" s="60">
        <v>2</v>
      </c>
      <c r="O89" s="60">
        <v>0</v>
      </c>
      <c r="P89" s="60"/>
      <c r="Q89" s="60" t="s">
        <v>34</v>
      </c>
      <c r="R89" s="60">
        <f>IF(Q89="Free Recall",1,IF(Q89="Cued Recall",2,IF(Q89="Recognition",3,IF(Q89="Multiple Choice",4,IF(Q89="Savings",5,IF(Q89="Stem Completion",6,IF(Q89="Fragment Completion",7,IF(Q89="anagram solution",8,IF(Q89="Matching",9,IF(Q89="Problem Solving",10,"99"))))))))))</f>
        <v>3</v>
      </c>
      <c r="S89" s="60" t="s">
        <v>234</v>
      </c>
      <c r="T89" s="59" t="s">
        <v>581</v>
      </c>
      <c r="U89" s="60">
        <f>IF(T89="within",1,0)</f>
        <v>1</v>
      </c>
      <c r="V89" s="59">
        <v>10</v>
      </c>
      <c r="W89" s="60">
        <f>F89*V89</f>
        <v>470</v>
      </c>
      <c r="X89" s="60">
        <v>3</v>
      </c>
      <c r="Y89" s="76">
        <f>AV88</f>
        <v>259200</v>
      </c>
      <c r="Z89" s="60" t="s">
        <v>140</v>
      </c>
      <c r="AA89" s="60">
        <v>2419200</v>
      </c>
      <c r="AB89" s="60" t="str">
        <f>IF(AA89&lt;60,"1",IF(AA89&lt;=43200,"2",IF(AA89&lt;=777600,"3","4")))</f>
        <v>4</v>
      </c>
      <c r="AC89" s="56">
        <f>AVERAGE(AV88:DA88)</f>
        <v>835200</v>
      </c>
      <c r="AD89" s="60" t="str">
        <f>IF(AC89&lt;60,"1",IF(AC89&lt;=43200,"2",IF(AC89&lt;=777600,"3","4")))</f>
        <v>4</v>
      </c>
      <c r="AE89" s="76">
        <f>AA89-Y89</f>
        <v>2160000</v>
      </c>
      <c r="AF89" s="80">
        <f>AV89</f>
        <v>0.99</v>
      </c>
      <c r="AG89" s="56">
        <f>((AW89-AV89)+(AX89-AW89))/2</f>
        <v>-8.9999999999999969E-2</v>
      </c>
      <c r="AH89" s="4"/>
      <c r="AI89" s="56">
        <f>RSQ(AV89:AX89,AV88:AX88)</f>
        <v>0.98828578804698608</v>
      </c>
      <c r="AJ89" s="109">
        <f>SLOPE(AV89:AX89,AV88:AX88)</f>
        <v>-1.5948527267424901E-7</v>
      </c>
      <c r="AK89" s="56">
        <f>INTERCEPT(AV89:AX89,AV88:AX88)</f>
        <v>1.036535433070866</v>
      </c>
      <c r="AL89" s="56">
        <f>INDEX(LINEST(LN(AV89:AX89),LN(AV88:AX88),TRUE,TRUE),3,1)</f>
        <v>0.88867814080980079</v>
      </c>
      <c r="AM89" s="56">
        <f>INDEX(LINEST(LN(AV89:AX89),LN(AV88:AX88)),1)</f>
        <v>-0.11001941854743814</v>
      </c>
      <c r="AN89" s="56">
        <f>EXP(INDEX(LINEST(LN(AV89:AX89),LN(AV88:AX88)),1,2))</f>
        <v>3.9430211582656649</v>
      </c>
      <c r="AO89" s="82">
        <f>INDEX(LINEST((AV89:AX89),LN(AV88:AX88),TRUE,TRUE),3,1)</f>
        <v>0.90577513646585184</v>
      </c>
      <c r="AP89" s="82">
        <f>INDEX(LINEST((AV89:AX89),LN(AV88:AX88)),1)</f>
        <v>-9.9411723116108713E-2</v>
      </c>
      <c r="AQ89" s="83">
        <f>INDEX(LINEST(LN(AV89:AX89),SQRT(AV88:AX88),TRUE,TRUE),3,1)</f>
        <v>0.94259762289031745</v>
      </c>
      <c r="AR89" s="116">
        <f>INDEX(LINEST(LN(AV89:AX89),SQRT((AV88:AX88))),1)</f>
        <v>-2.9021646754231908E-4</v>
      </c>
      <c r="AS89" s="84">
        <f>INDEX(LINEST(1/(AV89:AX89),1/(SQRT(AV88:AX88)),TRUE,TRUE),3,1)</f>
        <v>0.80998054284344478</v>
      </c>
      <c r="AT89" s="84">
        <f>INDEX(LINEST(1/(AV89:AX89),1/SQRT(AV88:AX88)),1)</f>
        <v>-172.78871995208561</v>
      </c>
      <c r="AU89" s="3"/>
      <c r="AV89" s="53">
        <v>0.99</v>
      </c>
      <c r="AW89" s="53">
        <v>0.91</v>
      </c>
      <c r="AX89" s="53">
        <v>0.81</v>
      </c>
      <c r="AY89" s="4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53"/>
      <c r="CD89" s="53"/>
      <c r="CE89" s="53"/>
      <c r="CF89" s="53"/>
      <c r="CG89" s="1"/>
      <c r="CH89" s="1"/>
      <c r="CI89" s="1"/>
      <c r="CJ89" s="1"/>
    </row>
    <row r="90" spans="1:99" s="13" customFormat="1" ht="12" customHeight="1" x14ac:dyDescent="0.2">
      <c r="A90" s="65">
        <v>43977</v>
      </c>
      <c r="B90" s="1"/>
      <c r="C90" s="1"/>
      <c r="D90" s="60"/>
      <c r="E90" s="76"/>
      <c r="F90" s="60"/>
      <c r="G90" s="60"/>
      <c r="H90" s="60"/>
      <c r="I90" s="60"/>
      <c r="J90" s="60"/>
      <c r="K90" s="60"/>
      <c r="L90" s="60"/>
      <c r="M90" s="60"/>
      <c r="N90" s="60"/>
      <c r="O90" s="60"/>
      <c r="P90" s="60"/>
      <c r="Q90" s="60"/>
      <c r="R90" s="60"/>
      <c r="S90" s="60"/>
      <c r="T90" s="59"/>
      <c r="U90" s="60"/>
      <c r="V90" s="59"/>
      <c r="W90" s="60"/>
      <c r="X90" s="60"/>
      <c r="Y90" s="76"/>
      <c r="Z90" s="60"/>
      <c r="AA90" s="60"/>
      <c r="AB90" s="60"/>
      <c r="AC90" s="56"/>
      <c r="AD90" s="60"/>
      <c r="AE90" s="76"/>
      <c r="AF90" s="80"/>
      <c r="AG90" s="56"/>
      <c r="AH90" s="4"/>
      <c r="AI90" s="56"/>
      <c r="AJ90" s="109"/>
      <c r="AK90" s="56"/>
      <c r="AL90" s="56"/>
      <c r="AM90" s="56"/>
      <c r="AN90" s="56"/>
      <c r="AO90" s="82"/>
      <c r="AP90" s="82"/>
      <c r="AQ90" s="83"/>
      <c r="AR90" s="116"/>
      <c r="AS90" s="84"/>
      <c r="AT90" s="84"/>
      <c r="AU90" s="3"/>
      <c r="AV90" s="25">
        <v>30</v>
      </c>
      <c r="AW90" s="25">
        <f>60*30</f>
        <v>1800</v>
      </c>
      <c r="AX90" s="25">
        <f>60*60*24*7</f>
        <v>604800</v>
      </c>
      <c r="AY90" s="25">
        <f>60*60*24*7*3</f>
        <v>1814400</v>
      </c>
      <c r="AZ90" s="53"/>
      <c r="BA90" s="53" t="s">
        <v>935</v>
      </c>
      <c r="BB90" s="53"/>
      <c r="BC90" s="53"/>
      <c r="BD90" s="53"/>
      <c r="BE90" s="53"/>
      <c r="BF90" s="53"/>
      <c r="BG90" s="53"/>
      <c r="BH90" s="53"/>
      <c r="BI90" s="53"/>
      <c r="BJ90" s="53"/>
      <c r="BK90" s="53"/>
      <c r="BL90" s="53"/>
      <c r="BM90" s="53"/>
      <c r="BN90" s="53"/>
      <c r="BO90" s="53"/>
      <c r="BP90" s="53"/>
      <c r="BQ90" s="53"/>
      <c r="BR90" s="53"/>
      <c r="BS90" s="53"/>
      <c r="BT90" s="53"/>
      <c r="BU90" s="53"/>
      <c r="BV90" s="53"/>
      <c r="BW90" s="53"/>
      <c r="BX90" s="53"/>
      <c r="BY90" s="53"/>
      <c r="BZ90" s="53"/>
      <c r="CA90" s="53"/>
      <c r="CB90" s="53"/>
      <c r="CC90" s="53"/>
      <c r="CD90" s="53"/>
      <c r="CE90" s="53"/>
      <c r="CF90" s="53"/>
      <c r="CG90" s="1"/>
      <c r="CH90" s="1"/>
      <c r="CI90" s="1"/>
      <c r="CJ90" s="1"/>
    </row>
    <row r="91" spans="1:99" s="13" customFormat="1" ht="12" customHeight="1" x14ac:dyDescent="0.2">
      <c r="A91" s="65">
        <v>43977</v>
      </c>
      <c r="B91" s="1" t="s">
        <v>941</v>
      </c>
      <c r="C91" s="1" t="s">
        <v>942</v>
      </c>
      <c r="D91" s="60">
        <v>2007</v>
      </c>
      <c r="E91" s="76">
        <v>1</v>
      </c>
      <c r="F91" s="60">
        <v>24</v>
      </c>
      <c r="G91" s="60">
        <v>24</v>
      </c>
      <c r="H91" s="60" t="s">
        <v>41</v>
      </c>
      <c r="I91" s="60" t="s">
        <v>330</v>
      </c>
      <c r="J91" s="60" t="s">
        <v>16</v>
      </c>
      <c r="K91" s="60">
        <f>IF(J91="syllables",1,IF(J91="trigrams",2,IF(J91="strings",3,IF(J91="visual array",4,IF(J91="characters",5,IF(J91="letters",6,IF(J91="free forms",7,IF(J91="odors",8,IF(J91="words",9,IF(J91="pictures",10,IF(J91="object pictures",11,IF(J91="faces",12,IF(J91="names",13,IF(J91="idioms",14,IF(J91="grades",15,IF(J91="syllable-digit pairs",16,IF(J91="trigram-word pairs",17,IF(J91="word-digit pairs",18,IF(J91="English-Swahili pairs",19,IF(J91="spatial position",20,IF(J91="word pairs",21,IF(J91="word triads",22,IF(J91="generated words",23,IF(J91="word definition pairs",24,IF(J91="math problems",25,IF(J91="famous faces",26,IF(J91="famous names",27,IF(J91="famous voices",28,IF(J91="television programs",29,IF(J91="race horses",30,IF(J91="new vocabulary",31,IF(J91="sentences",32,IF(J91="concepts",33,IF(J91="ad slides",34,IF(J91="scenes",35,IF(J91="famous scenes",36,IF(J91="poems",37,IF(J91="walk",38,IF(J91="faces and events",39,IF(J91="events and names",40,IF(J91="flashbulb",41,IF(J91="stories",42,IF(J91="course material",43,IF(J91="autobiographical",44,IF(J91="novels",45,IF(J91="public events",46,"99"))))))))))))))))))))))))))))))))))))))))))))))</f>
        <v>9</v>
      </c>
      <c r="L91" s="60">
        <f>IF(J91="syllables",1,IF(J91="trigrams",1,IF(J91="strings",1,IF(J91="visual array",1,IF(J91="characters",1,IF(J91="letters",1,IF(J91="free forms",1,IF(J91="odors",2,IF(J91="words",2,IF(J91="pictures",2,IF(J91="object pictures",2,IF(J91="faces",2,IF(J91="names",2,IF(J91="idioms","2",IF(J91="grades",2,IF(J91="syllable-digit pairs",3,IF(J91="trigram-word pairs",3,IF(J91="word-digit pairs",3,IF(J91="English-Swahili pairs",3,IF(J91="spatial position",3,IF(J91="word pairs",4,IF(J91="word triads",4,IF(J91="generated words",4,IF(J91="word definition pairs",4,IF(J91="math problems",4,IF(J91="famous faces",4,IF(J91="famous names",4,IF(J91="famous voices",4,IF(J91="television programs",4,IF(J91="race horses",4,IF(J91="new vocabulary",4,IF(J91="sentences",5,IF(J91="concepts",5,IF(J91="ad slides",5,IF(J91="scenes",5,IF(J91="famous scenes",5,IF(J91="poems",6,IF(J91="walk",6,IF(J91="faces and events",6,IF(J91="events and names",6,IF(J91="flashbulb",7,IF(J91="stories",7,IF(J91="course material",7,IF(J91="autobiographical",7,IF(J91="novels",7,IF(J91="public events",7,"99"))))))))))))))))))))))))))))))))))))))))))))))</f>
        <v>2</v>
      </c>
      <c r="M91" s="60">
        <v>1</v>
      </c>
      <c r="N91" s="60">
        <v>2</v>
      </c>
      <c r="O91" s="60">
        <v>0</v>
      </c>
      <c r="P91" s="60"/>
      <c r="Q91" s="60" t="s">
        <v>174</v>
      </c>
      <c r="R91" s="60">
        <f>IF(Q91="Free Recall",1,IF(Q91="Cued Recall",2,IF(Q91="Recognition",3,IF(Q91="Multiple Choice",4,IF(Q91="Savings",5,IF(Q91="Stem Completion",6,IF(Q91="Fragment Completion",7,IF(Q91="anagram solution",8,IF(Q91="Matching",9,IF(Q91="Problem Solving",10,"99"))))))))))</f>
        <v>1</v>
      </c>
      <c r="S91" s="60" t="s">
        <v>49</v>
      </c>
      <c r="T91" s="59" t="s">
        <v>581</v>
      </c>
      <c r="U91" s="60">
        <f>IF(T91="within",1,0)</f>
        <v>1</v>
      </c>
      <c r="V91" s="59">
        <v>15</v>
      </c>
      <c r="W91" s="60">
        <f>F91*V91</f>
        <v>360</v>
      </c>
      <c r="X91" s="60">
        <v>4</v>
      </c>
      <c r="Y91" s="76">
        <f>AV90</f>
        <v>30</v>
      </c>
      <c r="Z91" s="60" t="s">
        <v>165</v>
      </c>
      <c r="AA91" s="60">
        <f>60*60*24*7*3</f>
        <v>1814400</v>
      </c>
      <c r="AB91" s="60" t="str">
        <f>IF(AA91&lt;60,"1",IF(AA91&lt;=43200,"2",IF(AA91&lt;=777600,"3","4")))</f>
        <v>4</v>
      </c>
      <c r="AC91" s="56">
        <f>AVERAGE(AV90:DA90)</f>
        <v>605257.5</v>
      </c>
      <c r="AD91" s="60" t="str">
        <f>IF(AC91&lt;60,"1",IF(AC91&lt;=43200,"2",IF(AC91&lt;=777600,"3","4")))</f>
        <v>3</v>
      </c>
      <c r="AE91" s="76">
        <f>AA91-Y91</f>
        <v>1814370</v>
      </c>
      <c r="AF91" s="80">
        <f>AV91</f>
        <v>0.98499999999999999</v>
      </c>
      <c r="AG91" s="56">
        <f>((AW91-AV91)+(AX91-AW91)+(AY91-AX91))/3</f>
        <v>-0.11733333333333333</v>
      </c>
      <c r="AH91" s="4"/>
      <c r="AI91" s="56">
        <f>RSQ(AV91:AY91,AV90:AY90)</f>
        <v>0.7120748709772502</v>
      </c>
      <c r="AJ91" s="109">
        <f>SLOPE(AV91:AY91,AV90:AY90)</f>
        <v>-1.7754379686829304E-7</v>
      </c>
      <c r="AK91" s="56">
        <f>INTERCEPT(AV91:AY91,AV90:AY90)</f>
        <v>0.9084597146330109</v>
      </c>
      <c r="AL91" s="56">
        <f>INDEX(LINEST(LN(AV91:AY91),LN(AV90:AY90),TRUE,TRUE),3,1)</f>
        <v>0.95358708745838083</v>
      </c>
      <c r="AM91" s="56">
        <f>INDEX(LINEST(LN(AV91:AY91),LN(AV90:AY90)),1)</f>
        <v>-4.2949077420221644E-2</v>
      </c>
      <c r="AN91" s="56">
        <f>EXP(INDEX(LINEST(LN(AV91:AY91),LN(AV90:AY90)),1,2))</f>
        <v>1.189567786933492</v>
      </c>
      <c r="AO91" s="82">
        <f>INDEX(LINEST((AV91:AY91),LN(AV90:AY90),TRUE,TRUE),3,1)</f>
        <v>0.96230839757452014</v>
      </c>
      <c r="AP91" s="82">
        <f>INDEX(LINEST((AV91:AY91),LN(AV90:AY90)),1)</f>
        <v>-3.4216707045697493E-2</v>
      </c>
      <c r="AQ91" s="83">
        <f>INDEX(LINEST(LN(AV91:AY91),SQRT(AV90:AY90),TRUE,TRUE),3,1)</f>
        <v>0.9103091357507832</v>
      </c>
      <c r="AR91" s="116">
        <f>INDEX(LINEST(LN(AV91:AY91),SQRT((AV90:AY90))),1)</f>
        <v>-3.3644445643444426E-4</v>
      </c>
      <c r="AS91" s="84">
        <f>INDEX(LINEST(1/(AV91:AY91),1/(SQRT(AV90:AY90)),TRUE,TRUE),3,1)</f>
        <v>0.54032756766134904</v>
      </c>
      <c r="AT91" s="84">
        <f>INDEX(LINEST(1/(AV91:AY91),1/SQRT(AV90:AY90)),1)</f>
        <v>-2.4328828705391423</v>
      </c>
      <c r="AU91" s="3"/>
      <c r="AV91" s="53">
        <v>0.98499999999999999</v>
      </c>
      <c r="AW91" s="53">
        <v>0.92500000000000004</v>
      </c>
      <c r="AX91" s="53">
        <v>0.66100000000000003</v>
      </c>
      <c r="AY91" s="43">
        <v>0.63300000000000001</v>
      </c>
      <c r="AZ91" s="53"/>
      <c r="BA91" s="53"/>
      <c r="BB91" s="53"/>
      <c r="BC91" s="53"/>
      <c r="BD91" s="53"/>
      <c r="BE91" s="53"/>
      <c r="BF91" s="53"/>
      <c r="BG91" s="53"/>
      <c r="BH91" s="53"/>
      <c r="BI91" s="53"/>
      <c r="BJ91" s="53"/>
      <c r="BK91" s="53"/>
      <c r="BL91" s="53"/>
      <c r="BM91" s="53"/>
      <c r="BN91" s="53"/>
      <c r="BO91" s="53"/>
      <c r="BP91" s="53"/>
      <c r="BQ91" s="53"/>
      <c r="BR91" s="53"/>
      <c r="BS91" s="53"/>
      <c r="BT91" s="53"/>
      <c r="BU91" s="53"/>
      <c r="BV91" s="53"/>
      <c r="BW91" s="53"/>
      <c r="BX91" s="53"/>
      <c r="BY91" s="53"/>
      <c r="BZ91" s="53"/>
      <c r="CA91" s="53"/>
      <c r="CB91" s="53"/>
      <c r="CC91" s="53"/>
      <c r="CD91" s="53"/>
      <c r="CE91" s="53"/>
      <c r="CF91" s="53"/>
      <c r="CG91" s="1"/>
      <c r="CH91" s="1"/>
      <c r="CI91" s="1"/>
      <c r="CJ91" s="1"/>
    </row>
    <row r="92" spans="1:99" s="13" customFormat="1" ht="12" customHeight="1" x14ac:dyDescent="0.2">
      <c r="A92" s="65">
        <v>43977</v>
      </c>
      <c r="B92" s="1"/>
      <c r="C92" s="1"/>
      <c r="D92" s="60"/>
      <c r="E92" s="76"/>
      <c r="F92" s="60"/>
      <c r="G92" s="60"/>
      <c r="H92" s="60"/>
      <c r="I92" s="60"/>
      <c r="J92" s="60"/>
      <c r="K92" s="60"/>
      <c r="L92" s="60"/>
      <c r="M92" s="60"/>
      <c r="N92" s="60"/>
      <c r="O92" s="60"/>
      <c r="P92" s="60"/>
      <c r="Q92" s="60"/>
      <c r="R92" s="60"/>
      <c r="S92" s="60"/>
      <c r="T92" s="59"/>
      <c r="U92" s="60"/>
      <c r="V92" s="59"/>
      <c r="W92" s="60"/>
      <c r="X92" s="60"/>
      <c r="Y92" s="76"/>
      <c r="Z92" s="60"/>
      <c r="AA92" s="60"/>
      <c r="AB92" s="60"/>
      <c r="AC92" s="56"/>
      <c r="AD92" s="60"/>
      <c r="AE92" s="76"/>
      <c r="AF92" s="80"/>
      <c r="AG92" s="56"/>
      <c r="AH92" s="4"/>
      <c r="AI92" s="56"/>
      <c r="AJ92" s="109"/>
      <c r="AK92" s="56"/>
      <c r="AL92" s="56"/>
      <c r="AM92" s="56"/>
      <c r="AN92" s="56"/>
      <c r="AO92" s="82"/>
      <c r="AP92" s="82"/>
      <c r="AQ92" s="83"/>
      <c r="AR92" s="116"/>
      <c r="AS92" s="84"/>
      <c r="AT92" s="84"/>
      <c r="AU92" s="3"/>
      <c r="AV92" s="25">
        <v>30</v>
      </c>
      <c r="AW92" s="25">
        <f>60*30</f>
        <v>1800</v>
      </c>
      <c r="AX92" s="25">
        <f>60*60*24*7</f>
        <v>604800</v>
      </c>
      <c r="AY92" s="25">
        <f>60*60*24*7*3</f>
        <v>1814400</v>
      </c>
      <c r="AZ92" s="53"/>
      <c r="BA92" s="53"/>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53"/>
      <c r="CD92" s="53"/>
      <c r="CE92" s="53"/>
      <c r="CF92" s="53"/>
      <c r="CG92" s="1"/>
      <c r="CH92" s="1"/>
      <c r="CI92" s="1"/>
      <c r="CJ92" s="1"/>
    </row>
    <row r="93" spans="1:99" s="13" customFormat="1" ht="12" customHeight="1" x14ac:dyDescent="0.2">
      <c r="A93" s="65">
        <v>43977</v>
      </c>
      <c r="B93" s="1" t="s">
        <v>941</v>
      </c>
      <c r="C93" s="1" t="s">
        <v>942</v>
      </c>
      <c r="D93" s="60">
        <v>2007</v>
      </c>
      <c r="E93" s="76">
        <v>1</v>
      </c>
      <c r="F93" s="60">
        <v>24</v>
      </c>
      <c r="G93" s="60">
        <v>24</v>
      </c>
      <c r="H93" s="60" t="s">
        <v>41</v>
      </c>
      <c r="I93" s="60" t="s">
        <v>330</v>
      </c>
      <c r="J93" s="60" t="s">
        <v>764</v>
      </c>
      <c r="K93" s="60">
        <f>IF(J93="syllables",1,IF(J93="trigrams",2,IF(J93="strings",3,IF(J93="visual array",4,IF(J93="characters",5,IF(J93="letters",6,IF(J93="free forms",7,IF(J93="odors",8,IF(J93="words",9,IF(J93="pictures",10,IF(J93="object pictures",11,IF(J93="faces",12,IF(J93="names",13,IF(J93="idioms",14,IF(J93="grades",15,IF(J93="syllable-digit pairs",16,IF(J93="trigram-word pairs",17,IF(J93="word-digit pairs",18,IF(J93="English-Swahili pairs",19,IF(J93="spatial position",20,IF(J93="word pairs",21,IF(J93="word triads",22,IF(J93="generated words",23,IF(J93="word definition pairs",24,IF(J93="math problems",25,IF(J93="famous faces",26,IF(J93="famous names",27,IF(J93="famous voices",28,IF(J93="television programs",29,IF(J93="race horses",30,IF(J93="new vocabulary",31,IF(J93="sentences",32,IF(J93="concepts",33,IF(J93="ad slides",34,IF(J93="scenes",35,IF(J93="famous scenes",36,IF(J93="poems",37,IF(J93="walk",38,IF(J93="faces and events",39,IF(J93="events and names",40,IF(J93="flashbulb",41,IF(J93="stories",42,IF(J93="course material",43,IF(J93="autobiographical",44,IF(J93="novels",45,IF(J93="public events",46,"99"))))))))))))))))))))))))))))))))))))))))))))))</f>
        <v>4</v>
      </c>
      <c r="L93" s="60">
        <f>IF(J93="syllables",1,IF(J93="trigrams",1,IF(J93="strings",1,IF(J93="visual array",1,IF(J93="characters",1,IF(J93="letters",1,IF(J93="free forms",1,IF(J93="odors",2,IF(J93="words",2,IF(J93="pictures",2,IF(J93="object pictures",2,IF(J93="faces",2,IF(J93="names",2,IF(J93="idioms","2",IF(J93="grades",2,IF(J93="syllable-digit pairs",3,IF(J93="trigram-word pairs",3,IF(J93="word-digit pairs",3,IF(J93="English-Swahili pairs",3,IF(J93="spatial position",3,IF(J93="word pairs",4,IF(J93="word triads",4,IF(J93="generated words",4,IF(J93="word definition pairs",4,IF(J93="math problems",4,IF(J93="famous faces",4,IF(J93="famous names",4,IF(J93="famous voices",4,IF(J93="television programs",4,IF(J93="race horses",4,IF(J93="new vocabulary",4,IF(J93="sentences",5,IF(J93="concepts",5,IF(J93="ad slides",5,IF(J93="scenes",5,IF(J93="famous scenes",5,IF(J93="poems",6,IF(J93="walk",6,IF(J93="faces and events",6,IF(J93="events and names",6,IF(J93="flashbulb",7,IF(J93="stories",7,IF(J93="course material",7,IF(J93="autobiographical",7,IF(J93="novels",7,IF(J93="public events",7,"99"))))))))))))))))))))))))))))))))))))))))))))))</f>
        <v>1</v>
      </c>
      <c r="M93" s="60">
        <v>1</v>
      </c>
      <c r="N93" s="60">
        <v>2</v>
      </c>
      <c r="O93" s="60">
        <v>0</v>
      </c>
      <c r="P93" s="60"/>
      <c r="Q93" s="60" t="s">
        <v>174</v>
      </c>
      <c r="R93" s="60">
        <f>IF(Q93="Free Recall",1,IF(Q93="Cued Recall",2,IF(Q93="Recognition",3,IF(Q93="Multiple Choice",4,IF(Q93="Savings",5,IF(Q93="Stem Completion",6,IF(Q93="Fragment Completion",7,IF(Q93="anagram solution",8,IF(Q93="Matching",9,IF(Q93="Problem Solving",10,"99"))))))))))</f>
        <v>1</v>
      </c>
      <c r="S93" s="60" t="s">
        <v>49</v>
      </c>
      <c r="T93" s="59" t="s">
        <v>581</v>
      </c>
      <c r="U93" s="60">
        <f>IF(T93="within",1,0)</f>
        <v>1</v>
      </c>
      <c r="V93" s="59">
        <v>15</v>
      </c>
      <c r="W93" s="60">
        <f>F93*V93</f>
        <v>360</v>
      </c>
      <c r="X93" s="60">
        <v>4</v>
      </c>
      <c r="Y93" s="76">
        <f>AV92</f>
        <v>30</v>
      </c>
      <c r="Z93" s="60" t="s">
        <v>165</v>
      </c>
      <c r="AA93" s="60">
        <f>60*60*24*7*3</f>
        <v>1814400</v>
      </c>
      <c r="AB93" s="60" t="str">
        <f>IF(AA93&lt;60,"1",IF(AA93&lt;=43200,"2",IF(AA93&lt;=777600,"3","4")))</f>
        <v>4</v>
      </c>
      <c r="AC93" s="56">
        <f>AVERAGE(AV92:DA92)</f>
        <v>605257.5</v>
      </c>
      <c r="AD93" s="60" t="str">
        <f>IF(AC93&lt;60,"1",IF(AC93&lt;=43200,"2",IF(AC93&lt;=777600,"3","4")))</f>
        <v>3</v>
      </c>
      <c r="AE93" s="76">
        <f>AA93-Y93</f>
        <v>1814370</v>
      </c>
      <c r="AF93" s="80">
        <f>AV93</f>
        <v>0.94599999999999995</v>
      </c>
      <c r="AG93" s="56">
        <f>((AW93-AV93)+(AX93-AW93)+(AY93-AX93))/3</f>
        <v>-9.8333333333333314E-2</v>
      </c>
      <c r="AH93" s="4"/>
      <c r="AI93" s="56">
        <f>RSQ(AV93:AY93,AV92:AY92)</f>
        <v>0.88331404297887062</v>
      </c>
      <c r="AJ93" s="109">
        <f>SLOPE(AV93:AY93,AV92:AY92)</f>
        <v>-1.5411625511907362E-7</v>
      </c>
      <c r="AK93" s="56">
        <f>INTERCEPT(AV93:AY93,AV92:AY92)</f>
        <v>0.90753001928273258</v>
      </c>
      <c r="AL93" s="56">
        <f>INDEX(LINEST(LN(AV93:AY93),LN(AV92:AY92),TRUE,TRUE),3,1)</f>
        <v>0.89146758674074211</v>
      </c>
      <c r="AM93" s="56">
        <f>INDEX(LINEST(LN(AV93:AY93),LN(AV92:AY92)),1)</f>
        <v>-3.2331142164548875E-2</v>
      </c>
      <c r="AN93" s="56">
        <f>EXP(INDEX(LINEST(LN(AV93:AY93),LN(AV92:AY92)),1,2))</f>
        <v>1.099848385981524</v>
      </c>
      <c r="AO93" s="82">
        <f>INDEX(LINEST((AV93:AY93),LN(AV92:AY92),TRUE,TRUE),3,1)</f>
        <v>0.91219735335423724</v>
      </c>
      <c r="AP93" s="82">
        <f>INDEX(LINEST((AV93:AY93),LN(AV92:AY92)),1)</f>
        <v>-2.5964124581191673E-2</v>
      </c>
      <c r="AQ93" s="83">
        <f>INDEX(LINEST(LN(AV93:AY93),SQRT(AV92:AY92),TRUE,TRUE),3,1)</f>
        <v>0.99446164936987136</v>
      </c>
      <c r="AR93" s="116">
        <f>INDEX(LINEST(LN(AV93:AY93),SQRT((AV92:AY92))),1)</f>
        <v>-2.7378367972799789E-4</v>
      </c>
      <c r="AS93" s="84">
        <f>INDEX(LINEST(1/(AV93:AY93),1/(SQRT(AV92:AY92)),TRUE,TRUE),3,1)</f>
        <v>0.45792254566241924</v>
      </c>
      <c r="AT93" s="84">
        <f>INDEX(LINEST(1/(AV93:AY93),1/SQRT(AV92:AY92)),1)</f>
        <v>-1.7378382585877286</v>
      </c>
      <c r="AU93" s="3"/>
      <c r="AV93" s="53">
        <v>0.94599999999999995</v>
      </c>
      <c r="AW93" s="53">
        <v>0.91500000000000004</v>
      </c>
      <c r="AX93" s="53">
        <v>0.745</v>
      </c>
      <c r="AY93" s="43">
        <v>0.65100000000000002</v>
      </c>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53"/>
      <c r="CD93" s="53"/>
      <c r="CE93" s="53"/>
      <c r="CF93" s="53"/>
      <c r="CG93" s="1"/>
      <c r="CH93" s="1"/>
      <c r="CI93" s="1"/>
      <c r="CJ93" s="1"/>
    </row>
    <row r="94" spans="1:99" s="13" customFormat="1" ht="12" customHeight="1" x14ac:dyDescent="0.2">
      <c r="A94" s="68">
        <v>43509</v>
      </c>
      <c r="B94" s="70"/>
      <c r="C94" s="70"/>
      <c r="D94" s="69"/>
      <c r="E94" s="87"/>
      <c r="F94" s="69"/>
      <c r="G94" s="69"/>
      <c r="H94" s="69"/>
      <c r="I94" s="69"/>
      <c r="J94" s="69"/>
      <c r="K94" s="107"/>
      <c r="L94" s="107"/>
      <c r="M94" s="69"/>
      <c r="N94" s="69"/>
      <c r="O94" s="69"/>
      <c r="P94" s="69"/>
      <c r="Q94" s="69"/>
      <c r="R94" s="69"/>
      <c r="S94" s="69"/>
      <c r="T94" s="69"/>
      <c r="U94" s="69"/>
      <c r="V94" s="69"/>
      <c r="W94" s="69"/>
      <c r="X94" s="69"/>
      <c r="Y94" s="87"/>
      <c r="Z94" s="69"/>
      <c r="AA94" s="69"/>
      <c r="AB94" s="69"/>
      <c r="AC94" s="69"/>
      <c r="AD94" s="69"/>
      <c r="AE94" s="69"/>
      <c r="AF94" s="88"/>
      <c r="AG94" s="72"/>
      <c r="AH94" s="4"/>
      <c r="AI94" s="72"/>
      <c r="AJ94" s="110"/>
      <c r="AK94" s="72"/>
      <c r="AL94" s="72"/>
      <c r="AM94" s="72"/>
      <c r="AN94" s="72"/>
      <c r="AO94" s="72"/>
      <c r="AP94" s="72"/>
      <c r="AQ94" s="72"/>
      <c r="AR94" s="110"/>
      <c r="AS94" s="72"/>
      <c r="AT94" s="72"/>
      <c r="AU94" s="3"/>
      <c r="AV94" s="71">
        <f>5*60</f>
        <v>300</v>
      </c>
      <c r="AW94" s="71">
        <f>24*60*60*1</f>
        <v>86400</v>
      </c>
      <c r="AX94" s="71">
        <f>24*60*60*2</f>
        <v>172800</v>
      </c>
      <c r="AY94" s="71">
        <f>24*60*60*7</f>
        <v>604800</v>
      </c>
      <c r="AZ94" s="71">
        <f>24*60*60*14</f>
        <v>1209600</v>
      </c>
      <c r="BA94" s="71">
        <f>24*60*60*42</f>
        <v>3628800</v>
      </c>
      <c r="BB94" s="53"/>
      <c r="BC94" s="53"/>
      <c r="BD94" s="53"/>
      <c r="BE94" s="53"/>
      <c r="BF94" s="53"/>
      <c r="BG94" s="53"/>
      <c r="BH94" s="53"/>
      <c r="BI94" s="53"/>
      <c r="BJ94" s="53"/>
      <c r="BK94" s="53"/>
      <c r="BL94" s="53"/>
      <c r="BM94" s="53"/>
      <c r="BN94" s="53"/>
      <c r="BO94" s="53"/>
      <c r="BP94" s="53"/>
      <c r="BQ94" s="53"/>
      <c r="BR94" s="53"/>
      <c r="BS94" s="53"/>
      <c r="BT94" s="53"/>
      <c r="BU94" s="53"/>
      <c r="BV94" s="53"/>
      <c r="BW94" s="53"/>
      <c r="BX94" s="53"/>
      <c r="BY94" s="53"/>
      <c r="BZ94" s="53"/>
      <c r="CA94" s="53"/>
      <c r="CB94" s="53"/>
      <c r="CC94" s="53"/>
      <c r="CD94" s="53"/>
      <c r="CE94" s="53"/>
      <c r="CF94" s="53"/>
      <c r="CG94" s="53"/>
      <c r="CH94" s="53"/>
      <c r="CI94" s="53"/>
      <c r="CJ94" s="53"/>
      <c r="CK94" s="53"/>
      <c r="CL94" s="53"/>
      <c r="CM94" s="53"/>
      <c r="CN94" s="53"/>
      <c r="CO94" s="53"/>
      <c r="CP94" s="53"/>
      <c r="CQ94" s="53"/>
      <c r="CR94" s="1"/>
      <c r="CS94" s="1"/>
      <c r="CT94" s="1"/>
      <c r="CU94" s="1"/>
    </row>
    <row r="95" spans="1:99" s="13" customFormat="1" ht="12" customHeight="1" x14ac:dyDescent="0.2">
      <c r="A95" s="68">
        <v>43509</v>
      </c>
      <c r="B95" s="70" t="s">
        <v>143</v>
      </c>
      <c r="C95" s="70" t="s">
        <v>75</v>
      </c>
      <c r="D95" s="69">
        <v>2008</v>
      </c>
      <c r="E95" s="87">
        <v>1</v>
      </c>
      <c r="F95" s="69">
        <v>55</v>
      </c>
      <c r="G95" s="69">
        <v>55</v>
      </c>
      <c r="H95" s="69" t="s">
        <v>22</v>
      </c>
      <c r="I95" s="69" t="s">
        <v>648</v>
      </c>
      <c r="J95" s="69" t="s">
        <v>475</v>
      </c>
      <c r="K95" s="69">
        <f>IF(J95="syllables",1,IF(J95="trigrams",2,IF(J95="strings",3,IF(J95="visual array",4,IF(J95="characters",5,IF(J95="letters",6,IF(J95="free forms",7,IF(J95="odors",8,IF(J95="words",9,IF(J95="pictures",10,IF(J95="object pictures",11,IF(J95="faces",12,IF(J95="names",13,IF(J95="idioms",14,IF(J95="grades",15,IF(J95="syllable-digit pairs",16,IF(J95="trigram-word pairs",17,IF(J95="word-digit pairs",18,IF(J95="English-Swahili pairs",19,IF(J95="spatial position",20,IF(J95="word pairs",21,IF(J95="word triads",22,IF(J95="generated words",23,IF(J95="word definition pairs",24,IF(J95="math problems",25,IF(J95="famous faces",26,IF(J95="famous names",27,IF(J95="famous voices",28,IF(J95="television programs",29,IF(J95="race horses",30,IF(J95="new vocabulary",31,IF(J95="sentences",32,IF(J95="concepts",33,IF(J95="ad slides",34,IF(J95="scenes",35,IF(J95="famous scenes",36,IF(J95="poems",37,IF(J95="walk",38,IF(J95="faces and events",39,IF(J95="events and names",40,IF(J95="flashbulb",41,IF(J95="stories",42,IF(J95="course material",43,IF(J95="autobiographical",44,IF(J95="novels",45,IF(J95="public events",46,"99"))))))))))))))))))))))))))))))))))))))))))))))</f>
        <v>32</v>
      </c>
      <c r="L95" s="69">
        <f>IF(J95="syllables",1,IF(J95="trigrams",1,IF(J95="strings",1,IF(J95="visual array",1,IF(J95="characters",1,IF(J95="letters",1,IF(J95="free forms",1,IF(J95="odors",2,IF(J95="words",2,IF(J95="pictures",2,IF(J95="object pictures",2,IF(J95="faces",2,IF(J95="names",2,IF(J95="idioms","2",IF(J95="grades",2,IF(J95="syllable-digit pairs",3,IF(J95="trigram-word pairs",3,IF(J95="word-digit pairs",3,IF(J95="English-Swahili pairs",3,IF(J95="spatial position",3,IF(J95="word pairs",4,IF(J95="word triads",4,IF(J95="generated words",4,IF(J95="word definition pairs",4,IF(J95="math problems",4,IF(J95="famous faces",4,IF(J95="famous names",4,IF(J95="famous voices",4,IF(J95="television programs",4,IF(J95="race horses",4,IF(J95="new vocabulary",4,IF(J95="sentences",5,IF(J95="concepts",5,IF(J95="ad slides",5,IF(J95="scenes",5,IF(J95="famous scenes",5,IF(J95="poems",6,IF(J95="walk",6,IF(J95="faces and events",6,IF(J95="events and names",6,IF(J95="flashbulb",7,IF(J95="stories",7,IF(J95="course material",7,IF(J95="autobiographical",7,IF(J95="novels",7,IF(J95="public events",7,"99"))))))))))))))))))))))))))))))))))))))))))))))</f>
        <v>5</v>
      </c>
      <c r="M95" s="69">
        <v>1</v>
      </c>
      <c r="N95" s="69">
        <v>4</v>
      </c>
      <c r="O95" s="69">
        <v>0</v>
      </c>
      <c r="P95" s="69"/>
      <c r="Q95" s="69" t="s">
        <v>65</v>
      </c>
      <c r="R95" s="69">
        <f>IF(Q95="Free Recall",1,IF(Q95="Cued Recall",2,IF(Q95="Recognition",3,IF(Q95="Multiple Choice",4,IF(Q95="Savings",5,IF(Q95="Stem Completion",6,IF(Q95="Fragment Completion",7,IF(Q95="anagram solution",8,IF(Q95="Matching",9,IF(Q95="Problem Solving",10,"99"))))))))))</f>
        <v>2</v>
      </c>
      <c r="S95" s="69" t="s">
        <v>49</v>
      </c>
      <c r="T95" s="92" t="s">
        <v>581</v>
      </c>
      <c r="U95" s="69">
        <f>IF(T95="within",1,0)</f>
        <v>1</v>
      </c>
      <c r="V95" s="92">
        <v>60</v>
      </c>
      <c r="W95" s="69">
        <f>F95*V95</f>
        <v>3300</v>
      </c>
      <c r="X95" s="69">
        <v>6</v>
      </c>
      <c r="Y95" s="87">
        <f>AV94</f>
        <v>300</v>
      </c>
      <c r="Z95" s="69" t="s">
        <v>144</v>
      </c>
      <c r="AA95" s="69">
        <f>42*24*60*60</f>
        <v>3628800</v>
      </c>
      <c r="AB95" s="69" t="str">
        <f>IF(AA95&lt;60,"1",IF(AA95&lt;=43200,"2",IF(AA95&lt;=777600,"3","4")))</f>
        <v>4</v>
      </c>
      <c r="AC95" s="72">
        <f>AVERAGE(AV94:DA94)</f>
        <v>950450</v>
      </c>
      <c r="AD95" s="69" t="str">
        <f>IF(AC95&lt;60,"1",IF(AC95&lt;=43200,"2",IF(AC95&lt;=777600,"3","4")))</f>
        <v>4</v>
      </c>
      <c r="AE95" s="87">
        <f>AA95-Y95</f>
        <v>3628500</v>
      </c>
      <c r="AF95" s="88">
        <f>AV95</f>
        <v>0.93</v>
      </c>
      <c r="AG95" s="72">
        <f>((AW95-AV95)+(AX95-AW95)+(AY95-AX95)+(AZ95-AY95)+(BA95-AZ95))/5</f>
        <v>-0.11800000000000002</v>
      </c>
      <c r="AH95" s="4"/>
      <c r="AI95" s="72">
        <f>RSQ(AV95:BA95,AV94:BA94)</f>
        <v>0.80393161437229466</v>
      </c>
      <c r="AJ95" s="110">
        <f>SLOPE(AV95:BA95,AV94:BA94)</f>
        <v>-1.5689881368113134E-7</v>
      </c>
      <c r="AK95" s="72">
        <f>INTERCEPT(AV95:BA95,AV94:BA94)</f>
        <v>0.83912447746323127</v>
      </c>
      <c r="AL95" s="72">
        <f>INDEX(LINEST(LN(AV95:BA95),LN(AV94:BA94),TRUE,TRUE),3,1)</f>
        <v>0.56412396114012264</v>
      </c>
      <c r="AM95" s="72">
        <f>INDEX(LINEST(LN(AV95:BA95),LN(AV94:BA94)),1)</f>
        <v>-9.1587453005604905E-2</v>
      </c>
      <c r="AN95" s="72">
        <f>EXP(INDEX(LINEST(LN(AV95:BA95),LN(AV94:BA94)),1,2))</f>
        <v>1.9324746060229707</v>
      </c>
      <c r="AO95" s="89">
        <f>INDEX(LINEST((AV95:BA95),LN(AV94:BA94),TRUE,TRUE),3,1)</f>
        <v>0.62334256237276353</v>
      </c>
      <c r="AP95" s="89">
        <f>INDEX(LINEST((AV95:BA95),LN(AV94:BA94)),1)</f>
        <v>-5.7555619268506587E-2</v>
      </c>
      <c r="AQ95" s="90">
        <f>INDEX(LINEST(LN(AV95:BA95),SQRT(AV94:BA94),TRUE,TRUE),3,1)</f>
        <v>0.96428276231674814</v>
      </c>
      <c r="AR95" s="117">
        <f>INDEX(LINEST(LN(AV95:BA95),SQRT((AV94:BA94))),1)</f>
        <v>-5.8593931863966983E-4</v>
      </c>
      <c r="AS95" s="91">
        <f>INDEX(LINEST(1/(AV95:BA95),1/(SQRT(AV94:BA94)),TRUE,TRUE),3,1)</f>
        <v>0.1782100025552712</v>
      </c>
      <c r="AT95" s="91">
        <f>INDEX(LINEST(1/(AV95:BA95),1/SQRT(AV94:BA94)),1)</f>
        <v>-13.658515386446597</v>
      </c>
      <c r="AU95" s="3"/>
      <c r="AV95" s="73">
        <v>0.93</v>
      </c>
      <c r="AW95" s="73">
        <v>0.88</v>
      </c>
      <c r="AX95" s="73">
        <v>0.86</v>
      </c>
      <c r="AY95" s="73">
        <v>0.66</v>
      </c>
      <c r="AZ95" s="73">
        <v>0.47</v>
      </c>
      <c r="BA95" s="73">
        <v>0.34</v>
      </c>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53"/>
      <c r="CD95" s="53"/>
      <c r="CE95" s="53"/>
      <c r="CF95" s="53"/>
      <c r="CG95" s="53"/>
      <c r="CH95" s="53"/>
      <c r="CI95" s="53"/>
      <c r="CJ95" s="53"/>
      <c r="CK95" s="53"/>
      <c r="CL95" s="53"/>
      <c r="CM95" s="53"/>
      <c r="CN95" s="53"/>
      <c r="CO95" s="53"/>
      <c r="CP95" s="53"/>
      <c r="CQ95" s="53"/>
      <c r="CR95" s="1"/>
      <c r="CS95" s="1"/>
      <c r="CT95" s="1"/>
      <c r="CU95" s="1"/>
    </row>
    <row r="96" spans="1:99" s="13" customFormat="1" ht="12" customHeight="1" x14ac:dyDescent="0.2">
      <c r="A96" s="68">
        <v>43509</v>
      </c>
      <c r="B96" s="70"/>
      <c r="C96" s="70"/>
      <c r="D96" s="69"/>
      <c r="E96" s="87"/>
      <c r="F96" s="69"/>
      <c r="G96" s="69"/>
      <c r="H96" s="69"/>
      <c r="I96" s="69"/>
      <c r="J96" s="69"/>
      <c r="K96" s="107"/>
      <c r="L96" s="107"/>
      <c r="M96" s="69"/>
      <c r="N96" s="69"/>
      <c r="O96" s="69"/>
      <c r="P96" s="69"/>
      <c r="Q96" s="69"/>
      <c r="R96" s="69"/>
      <c r="S96" s="69"/>
      <c r="T96" s="69"/>
      <c r="U96" s="69"/>
      <c r="V96" s="69"/>
      <c r="W96" s="69"/>
      <c r="X96" s="69"/>
      <c r="Y96" s="87"/>
      <c r="Z96" s="69"/>
      <c r="AA96" s="69"/>
      <c r="AB96" s="69"/>
      <c r="AC96" s="69"/>
      <c r="AD96" s="69"/>
      <c r="AE96" s="69"/>
      <c r="AF96" s="88"/>
      <c r="AG96" s="72"/>
      <c r="AH96" s="4"/>
      <c r="AI96" s="72"/>
      <c r="AJ96" s="110"/>
      <c r="AK96" s="72"/>
      <c r="AL96" s="72"/>
      <c r="AM96" s="72"/>
      <c r="AN96" s="72"/>
      <c r="AO96" s="72"/>
      <c r="AP96" s="72"/>
      <c r="AQ96" s="72"/>
      <c r="AR96" s="110"/>
      <c r="AS96" s="72"/>
      <c r="AT96" s="72"/>
      <c r="AU96" s="3"/>
      <c r="AV96" s="71">
        <f>5*60</f>
        <v>300</v>
      </c>
      <c r="AW96" s="71">
        <f>24*60*60*1</f>
        <v>86400</v>
      </c>
      <c r="AX96" s="71">
        <f>24*60*60*2</f>
        <v>172800</v>
      </c>
      <c r="AY96" s="71">
        <f>24*60*60*7</f>
        <v>604800</v>
      </c>
      <c r="AZ96" s="71">
        <f>24*60*60*14</f>
        <v>1209600</v>
      </c>
      <c r="BA96" s="71">
        <f>24*60*60*42</f>
        <v>3628800</v>
      </c>
      <c r="BB96" s="53"/>
      <c r="BC96" s="53"/>
      <c r="BD96" s="53"/>
      <c r="BE96" s="53"/>
      <c r="BF96" s="53"/>
      <c r="BG96" s="53"/>
      <c r="BH96" s="53"/>
      <c r="BI96" s="53"/>
      <c r="BJ96" s="53"/>
      <c r="BK96" s="53"/>
      <c r="BL96" s="53"/>
      <c r="BM96" s="53"/>
      <c r="BN96" s="53"/>
      <c r="BO96" s="53"/>
      <c r="BP96" s="53"/>
      <c r="BQ96" s="53"/>
      <c r="BR96" s="53"/>
      <c r="BS96" s="53"/>
      <c r="BT96" s="53"/>
      <c r="BU96" s="53"/>
      <c r="BV96" s="53"/>
      <c r="BW96" s="53"/>
      <c r="BX96" s="53"/>
      <c r="BY96" s="53"/>
      <c r="BZ96" s="53"/>
      <c r="CA96" s="53"/>
      <c r="CB96" s="53"/>
      <c r="CC96" s="53"/>
      <c r="CD96" s="53"/>
      <c r="CE96" s="53"/>
      <c r="CF96" s="53"/>
      <c r="CG96" s="53"/>
      <c r="CH96" s="53"/>
      <c r="CI96" s="53"/>
      <c r="CJ96" s="53"/>
      <c r="CK96" s="53"/>
      <c r="CL96" s="53"/>
      <c r="CM96" s="53"/>
      <c r="CN96" s="53"/>
      <c r="CO96" s="53"/>
      <c r="CP96" s="53"/>
      <c r="CQ96" s="53"/>
      <c r="CR96" s="1"/>
      <c r="CS96" s="1"/>
      <c r="CT96" s="1"/>
      <c r="CU96" s="1"/>
    </row>
    <row r="97" spans="1:99" s="13" customFormat="1" ht="12" customHeight="1" x14ac:dyDescent="0.2">
      <c r="A97" s="68">
        <v>43509</v>
      </c>
      <c r="B97" s="70" t="s">
        <v>143</v>
      </c>
      <c r="C97" s="70" t="s">
        <v>75</v>
      </c>
      <c r="D97" s="69">
        <v>2008</v>
      </c>
      <c r="E97" s="87">
        <v>1</v>
      </c>
      <c r="F97" s="69">
        <v>55</v>
      </c>
      <c r="G97" s="69">
        <v>55</v>
      </c>
      <c r="H97" s="69" t="s">
        <v>22</v>
      </c>
      <c r="I97" s="69" t="s">
        <v>649</v>
      </c>
      <c r="J97" s="69" t="s">
        <v>475</v>
      </c>
      <c r="K97" s="69">
        <f>IF(J97="syllables",1,IF(J97="trigrams",2,IF(J97="strings",3,IF(J97="visual array",4,IF(J97="characters",5,IF(J97="letters",6,IF(J97="free forms",7,IF(J97="odors",8,IF(J97="words",9,IF(J97="pictures",10,IF(J97="object pictures",11,IF(J97="faces",12,IF(J97="names",13,IF(J97="idioms",14,IF(J97="grades",15,IF(J97="syllable-digit pairs",16,IF(J97="trigram-word pairs",17,IF(J97="word-digit pairs",18,IF(J97="English-Swahili pairs",19,IF(J97="spatial position",20,IF(J97="word pairs",21,IF(J97="word triads",22,IF(J97="generated words",23,IF(J97="word definition pairs",24,IF(J97="math problems",25,IF(J97="famous faces",26,IF(J97="famous names",27,IF(J97="famous voices",28,IF(J97="television programs",29,IF(J97="race horses",30,IF(J97="new vocabulary",31,IF(J97="sentences",32,IF(J97="concepts",33,IF(J97="ad slides",34,IF(J97="scenes",35,IF(J97="famous scenes",36,IF(J97="poems",37,IF(J97="walk",38,IF(J97="faces and events",39,IF(J97="events and names",40,IF(J97="flashbulb",41,IF(J97="stories",42,IF(J97="course material",43,IF(J97="autobiographical",44,IF(J97="novels",45,IF(J97="public events",46,"99"))))))))))))))))))))))))))))))))))))))))))))))</f>
        <v>32</v>
      </c>
      <c r="L97" s="69">
        <f>IF(J97="syllables",1,IF(J97="trigrams",1,IF(J97="strings",1,IF(J97="visual array",1,IF(J97="characters",1,IF(J97="letters",1,IF(J97="free forms",1,IF(J97="odors",2,IF(J97="words",2,IF(J97="pictures",2,IF(J97="object pictures",2,IF(J97="faces",2,IF(J97="names",2,IF(J97="idioms","2",IF(J97="grades",2,IF(J97="syllable-digit pairs",3,IF(J97="trigram-word pairs",3,IF(J97="word-digit pairs",3,IF(J97="English-Swahili pairs",3,IF(J97="spatial position",3,IF(J97="word pairs",4,IF(J97="word triads",4,IF(J97="generated words",4,IF(J97="word definition pairs",4,IF(J97="math problems",4,IF(J97="famous faces",4,IF(J97="famous names",4,IF(J97="famous voices",4,IF(J97="television programs",4,IF(J97="race horses",4,IF(J97="new vocabulary",4,IF(J97="sentences",5,IF(J97="concepts",5,IF(J97="ad slides",5,IF(J97="scenes",5,IF(J97="famous scenes",5,IF(J97="poems",6,IF(J97="walk",6,IF(J97="faces and events",6,IF(J97="events and names",6,IF(J97="flashbulb",7,IF(J97="stories",7,IF(J97="course material",7,IF(J97="autobiographical",7,IF(J97="novels",7,IF(J97="public events",7,"99"))))))))))))))))))))))))))))))))))))))))))))))</f>
        <v>5</v>
      </c>
      <c r="M97" s="69">
        <v>1</v>
      </c>
      <c r="N97" s="69">
        <v>4</v>
      </c>
      <c r="O97" s="69">
        <v>0</v>
      </c>
      <c r="P97" s="69"/>
      <c r="Q97" s="69" t="s">
        <v>65</v>
      </c>
      <c r="R97" s="69">
        <f>IF(Q97="Free Recall",1,IF(Q97="Cued Recall",2,IF(Q97="Recognition",3,IF(Q97="Multiple Choice",4,IF(Q97="Savings",5,IF(Q97="Stem Completion",6,IF(Q97="Fragment Completion",7,IF(Q97="anagram solution",8,IF(Q97="Matching",9,IF(Q97="Problem Solving",10,"99"))))))))))</f>
        <v>2</v>
      </c>
      <c r="S97" s="69" t="s">
        <v>49</v>
      </c>
      <c r="T97" s="92" t="s">
        <v>581</v>
      </c>
      <c r="U97" s="69">
        <f>IF(T97="within",1,0)</f>
        <v>1</v>
      </c>
      <c r="V97" s="92">
        <v>60</v>
      </c>
      <c r="W97" s="69">
        <f>F97*V97</f>
        <v>3300</v>
      </c>
      <c r="X97" s="69">
        <v>6</v>
      </c>
      <c r="Y97" s="87">
        <f>AV96</f>
        <v>300</v>
      </c>
      <c r="Z97" s="69" t="s">
        <v>144</v>
      </c>
      <c r="AA97" s="69">
        <f>42*24*60*60</f>
        <v>3628800</v>
      </c>
      <c r="AB97" s="69" t="str">
        <f>IF(AA97&lt;60,"1",IF(AA97&lt;=43200,"2",IF(AA97&lt;=777600,"3","4")))</f>
        <v>4</v>
      </c>
      <c r="AC97" s="72">
        <f>AVERAGE(AV96:DA96)</f>
        <v>950450</v>
      </c>
      <c r="AD97" s="69" t="str">
        <f>IF(AC97&lt;60,"1",IF(AC97&lt;=43200,"2",IF(AC97&lt;=777600,"3","4")))</f>
        <v>4</v>
      </c>
      <c r="AE97" s="87">
        <f>AA97-Y97</f>
        <v>3628500</v>
      </c>
      <c r="AF97" s="88">
        <f>AV97</f>
        <v>0.91</v>
      </c>
      <c r="AG97" s="72">
        <f>((AW97-AV97)+(AX97-AW97)+(AY97-AX97)+(AZ97-AY97)+(BA97-AZ97))/5</f>
        <v>-0.12200000000000003</v>
      </c>
      <c r="AH97" s="4"/>
      <c r="AI97" s="72">
        <f>RSQ(AV97:BA97,AV96:BA96)</f>
        <v>0.77876731312522551</v>
      </c>
      <c r="AJ97" s="110">
        <f>SLOPE(AV97:BA97,AV96:BA96)</f>
        <v>-1.5339304561614281E-7</v>
      </c>
      <c r="AK97" s="72">
        <f>INTERCEPT(AV97:BA97,AV96:BA96)</f>
        <v>0.78412575353919622</v>
      </c>
      <c r="AL97" s="72">
        <f>INDEX(LINEST(LN(AV97:BA97),LN(AV96:BA96),TRUE,TRUE),3,1)</f>
        <v>0.61414722818215162</v>
      </c>
      <c r="AM97" s="72">
        <f>INDEX(LINEST(LN(AV97:BA97),LN(AV96:BA96)),1)</f>
        <v>-0.10246268954207854</v>
      </c>
      <c r="AN97" s="72">
        <f>EXP(INDEX(LINEST(LN(AV97:BA97),LN(AV96:BA96)),1,2))</f>
        <v>2.0164461216717644</v>
      </c>
      <c r="AO97" s="89">
        <f>INDEX(LINEST((AV97:BA97),LN(AV96:BA96),TRUE,TRUE),3,1)</f>
        <v>0.69973232164094767</v>
      </c>
      <c r="AP97" s="89">
        <f>INDEX(LINEST((AV97:BA97),LN(AV96:BA96)),1)</f>
        <v>-6.0573408809146502E-2</v>
      </c>
      <c r="AQ97" s="90">
        <f>INDEX(LINEST(LN(AV97:BA97),SQRT(AV96:BA96),TRUE,TRUE),3,1)</f>
        <v>0.97366552987887434</v>
      </c>
      <c r="AR97" s="117">
        <f>INDEX(LINEST(LN(AV97:BA97),SQRT((AV96:BA96))),1)</f>
        <v>-6.3130049922256357E-4</v>
      </c>
      <c r="AS97" s="91">
        <f>INDEX(LINEST(1/(AV97:BA97),1/(SQRT(AV96:BA96)),TRUE,TRUE),3,1)</f>
        <v>0.1992590167158407</v>
      </c>
      <c r="AT97" s="91">
        <f>INDEX(LINEST(1/(AV97:BA97),1/SQRT(AV96:BA96)),1)</f>
        <v>-16.989497071975389</v>
      </c>
      <c r="AU97" s="3"/>
      <c r="AV97" s="73">
        <v>0.91</v>
      </c>
      <c r="AW97" s="73">
        <v>0.82</v>
      </c>
      <c r="AX97" s="73">
        <v>0.78</v>
      </c>
      <c r="AY97" s="73">
        <v>0.6</v>
      </c>
      <c r="AZ97" s="73">
        <v>0.42</v>
      </c>
      <c r="BA97" s="73">
        <v>0.3</v>
      </c>
      <c r="BB97" s="53"/>
      <c r="BC97" s="53"/>
      <c r="BD97" s="53"/>
      <c r="BE97" s="53"/>
      <c r="BF97" s="53"/>
      <c r="BG97" s="53"/>
      <c r="BH97" s="53"/>
      <c r="BI97" s="53"/>
      <c r="BJ97" s="53"/>
      <c r="BK97" s="53"/>
      <c r="BL97" s="53"/>
      <c r="BM97" s="53"/>
      <c r="BN97" s="53"/>
      <c r="BO97" s="53"/>
      <c r="BP97" s="53"/>
      <c r="BQ97" s="53"/>
      <c r="BR97" s="53"/>
      <c r="BS97" s="53"/>
      <c r="BT97" s="53"/>
      <c r="BU97" s="53"/>
      <c r="BV97" s="53"/>
      <c r="BW97" s="53"/>
      <c r="BX97" s="53"/>
      <c r="BY97" s="53"/>
      <c r="BZ97" s="53"/>
      <c r="CA97" s="53"/>
      <c r="CB97" s="53"/>
      <c r="CC97" s="53"/>
      <c r="CD97" s="53"/>
      <c r="CE97" s="53"/>
      <c r="CF97" s="53"/>
      <c r="CG97" s="53"/>
      <c r="CH97" s="53"/>
      <c r="CI97" s="53"/>
      <c r="CJ97" s="53"/>
      <c r="CK97" s="53"/>
      <c r="CL97" s="53"/>
      <c r="CM97" s="53"/>
      <c r="CN97" s="53"/>
      <c r="CO97" s="53"/>
      <c r="CP97" s="53"/>
      <c r="CQ97" s="53"/>
      <c r="CR97" s="1"/>
      <c r="CS97" s="1"/>
      <c r="CT97" s="1"/>
      <c r="CU97" s="1"/>
    </row>
    <row r="98" spans="1:99" s="13" customFormat="1" ht="12" customHeight="1" x14ac:dyDescent="0.2">
      <c r="A98" s="68">
        <v>43509</v>
      </c>
      <c r="B98" s="70"/>
      <c r="C98" s="70"/>
      <c r="D98" s="69"/>
      <c r="E98" s="87"/>
      <c r="F98" s="69"/>
      <c r="G98" s="69"/>
      <c r="H98" s="69"/>
      <c r="I98" s="69"/>
      <c r="J98" s="69"/>
      <c r="K98" s="107"/>
      <c r="L98" s="107"/>
      <c r="M98" s="69"/>
      <c r="N98" s="69"/>
      <c r="O98" s="69"/>
      <c r="P98" s="69"/>
      <c r="Q98" s="69"/>
      <c r="R98" s="69"/>
      <c r="S98" s="69"/>
      <c r="T98" s="69"/>
      <c r="U98" s="69"/>
      <c r="V98" s="69"/>
      <c r="W98" s="69"/>
      <c r="X98" s="69"/>
      <c r="Y98" s="87"/>
      <c r="Z98" s="69"/>
      <c r="AA98" s="69"/>
      <c r="AB98" s="69"/>
      <c r="AC98" s="69"/>
      <c r="AD98" s="69"/>
      <c r="AE98" s="69"/>
      <c r="AF98" s="88"/>
      <c r="AG98" s="72"/>
      <c r="AH98" s="4"/>
      <c r="AI98" s="72"/>
      <c r="AJ98" s="110"/>
      <c r="AK98" s="72"/>
      <c r="AL98" s="72"/>
      <c r="AM98" s="72"/>
      <c r="AN98" s="72"/>
      <c r="AO98" s="72"/>
      <c r="AP98" s="72"/>
      <c r="AQ98" s="72"/>
      <c r="AR98" s="110"/>
      <c r="AS98" s="72"/>
      <c r="AT98" s="72"/>
      <c r="AU98" s="3"/>
      <c r="AV98" s="71">
        <f>5*60</f>
        <v>300</v>
      </c>
      <c r="AW98" s="71">
        <f>24*60*60*1</f>
        <v>86400</v>
      </c>
      <c r="AX98" s="71">
        <f>24*60*60*2</f>
        <v>172800</v>
      </c>
      <c r="AY98" s="71">
        <f>24*60*60*7</f>
        <v>604800</v>
      </c>
      <c r="AZ98" s="71">
        <f>24*60*60*14</f>
        <v>1209600</v>
      </c>
      <c r="BA98" s="71">
        <f>24*60*60*42</f>
        <v>3628800</v>
      </c>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53"/>
      <c r="CD98" s="53"/>
      <c r="CE98" s="53"/>
      <c r="CF98" s="53"/>
      <c r="CG98" s="53"/>
      <c r="CH98" s="53"/>
      <c r="CI98" s="53"/>
      <c r="CJ98" s="53"/>
      <c r="CK98" s="53"/>
      <c r="CL98" s="53"/>
      <c r="CM98" s="53"/>
      <c r="CN98" s="53"/>
      <c r="CO98" s="53"/>
      <c r="CP98" s="53"/>
      <c r="CQ98" s="53"/>
      <c r="CR98" s="1"/>
      <c r="CS98" s="1"/>
      <c r="CT98" s="1"/>
      <c r="CU98" s="1"/>
    </row>
    <row r="99" spans="1:99" s="13" customFormat="1" ht="12" customHeight="1" x14ac:dyDescent="0.2">
      <c r="A99" s="68">
        <v>43509</v>
      </c>
      <c r="B99" s="70" t="s">
        <v>143</v>
      </c>
      <c r="C99" s="70" t="s">
        <v>75</v>
      </c>
      <c r="D99" s="69">
        <v>2008</v>
      </c>
      <c r="E99" s="87">
        <v>2</v>
      </c>
      <c r="F99" s="69">
        <v>57</v>
      </c>
      <c r="G99" s="69">
        <v>57</v>
      </c>
      <c r="H99" s="69" t="s">
        <v>22</v>
      </c>
      <c r="I99" s="69" t="s">
        <v>648</v>
      </c>
      <c r="J99" s="69" t="s">
        <v>475</v>
      </c>
      <c r="K99" s="69">
        <f>IF(J99="syllables",1,IF(J99="trigrams",2,IF(J99="strings",3,IF(J99="visual array",4,IF(J99="characters",5,IF(J99="letters",6,IF(J99="free forms",7,IF(J99="odors",8,IF(J99="words",9,IF(J99="pictures",10,IF(J99="object pictures",11,IF(J99="faces",12,IF(J99="names",13,IF(J99="idioms",14,IF(J99="grades",15,IF(J99="syllable-digit pairs",16,IF(J99="trigram-word pairs",17,IF(J99="word-digit pairs",18,IF(J99="English-Swahili pairs",19,IF(J99="spatial position",20,IF(J99="word pairs",21,IF(J99="word triads",22,IF(J99="generated words",23,IF(J99="word definition pairs",24,IF(J99="math problems",25,IF(J99="famous faces",26,IF(J99="famous names",27,IF(J99="famous voices",28,IF(J99="television programs",29,IF(J99="race horses",30,IF(J99="new vocabulary",31,IF(J99="sentences",32,IF(J99="concepts",33,IF(J99="ad slides",34,IF(J99="scenes",35,IF(J99="famous scenes",36,IF(J99="poems",37,IF(J99="walk",38,IF(J99="faces and events",39,IF(J99="events and names",40,IF(J99="flashbulb",41,IF(J99="stories",42,IF(J99="course material",43,IF(J99="autobiographical",44,IF(J99="novels",45,IF(J99="public events",46,"99"))))))))))))))))))))))))))))))))))))))))))))))</f>
        <v>32</v>
      </c>
      <c r="L99" s="69">
        <f>IF(J99="syllables",1,IF(J99="trigrams",1,IF(J99="strings",1,IF(J99="visual array",1,IF(J99="characters",1,IF(J99="letters",1,IF(J99="free forms",1,IF(J99="odors",2,IF(J99="words",2,IF(J99="pictures",2,IF(J99="object pictures",2,IF(J99="faces",2,IF(J99="names",2,IF(J99="idioms","2",IF(J99="grades",2,IF(J99="syllable-digit pairs",3,IF(J99="trigram-word pairs",3,IF(J99="word-digit pairs",3,IF(J99="English-Swahili pairs",3,IF(J99="spatial position",3,IF(J99="word pairs",4,IF(J99="word triads",4,IF(J99="generated words",4,IF(J99="word definition pairs",4,IF(J99="math problems",4,IF(J99="famous faces",4,IF(J99="famous names",4,IF(J99="famous voices",4,IF(J99="television programs",4,IF(J99="race horses",4,IF(J99="new vocabulary",4,IF(J99="sentences",5,IF(J99="concepts",5,IF(J99="ad slides",5,IF(J99="scenes",5,IF(J99="famous scenes",5,IF(J99="poems",6,IF(J99="walk",6,IF(J99="faces and events",6,IF(J99="events and names",6,IF(J99="flashbulb",7,IF(J99="stories",7,IF(J99="course material",7,IF(J99="autobiographical",7,IF(J99="novels",7,IF(J99="public events",7,"99"))))))))))))))))))))))))))))))))))))))))))))))</f>
        <v>5</v>
      </c>
      <c r="M99" s="69">
        <v>1</v>
      </c>
      <c r="N99" s="69">
        <v>4</v>
      </c>
      <c r="O99" s="69">
        <v>0</v>
      </c>
      <c r="P99" s="69"/>
      <c r="Q99" s="69" t="s">
        <v>65</v>
      </c>
      <c r="R99" s="69">
        <f>IF(Q99="Free Recall",1,IF(Q99="Cued Recall",2,IF(Q99="Recognition",3,IF(Q99="Multiple Choice",4,IF(Q99="Savings",5,IF(Q99="Stem Completion",6,IF(Q99="Fragment Completion",7,IF(Q99="anagram solution",8,IF(Q99="Matching",9,IF(Q99="Problem Solving",10,"99"))))))))))</f>
        <v>2</v>
      </c>
      <c r="S99" s="69" t="s">
        <v>49</v>
      </c>
      <c r="T99" s="92" t="s">
        <v>581</v>
      </c>
      <c r="U99" s="69">
        <f>IF(T99="within",1,0)</f>
        <v>1</v>
      </c>
      <c r="V99" s="92">
        <v>60</v>
      </c>
      <c r="W99" s="69">
        <f>F99*V99</f>
        <v>3420</v>
      </c>
      <c r="X99" s="69">
        <v>6</v>
      </c>
      <c r="Y99" s="87">
        <f>AV98</f>
        <v>300</v>
      </c>
      <c r="Z99" s="69" t="s">
        <v>144</v>
      </c>
      <c r="AA99" s="69">
        <f>42*24*60*60</f>
        <v>3628800</v>
      </c>
      <c r="AB99" s="69" t="str">
        <f>IF(AA99&lt;60,"1",IF(AA99&lt;=43200,"2",IF(AA99&lt;=777600,"3","4")))</f>
        <v>4</v>
      </c>
      <c r="AC99" s="72">
        <f>AVERAGE(AV98:DA98)</f>
        <v>950450</v>
      </c>
      <c r="AD99" s="69" t="str">
        <f>IF(AC99&lt;60,"1",IF(AC99&lt;=43200,"2",IF(AC99&lt;=777600,"3","4")))</f>
        <v>4</v>
      </c>
      <c r="AE99" s="87">
        <f>AA99-Y99</f>
        <v>3628500</v>
      </c>
      <c r="AF99" s="88">
        <f>AV99</f>
        <v>0.96</v>
      </c>
      <c r="AG99" s="72">
        <f>((AW99-AV99)+(AX99-AW99)+(AY99-AX99)+(AZ99-AY99)+(BA99-AZ99))/5</f>
        <v>-0.11399999999999999</v>
      </c>
      <c r="AH99" s="4"/>
      <c r="AI99" s="72">
        <f>RSQ(AV99:BA99,AV98:BA98)</f>
        <v>0.97567546112004788</v>
      </c>
      <c r="AJ99" s="110">
        <f>SLOPE(AV99:BA99,AV98:BA98)</f>
        <v>-1.5366555640311439E-7</v>
      </c>
      <c r="AK99" s="72">
        <f>INTERCEPT(AV99:BA99,AV98:BA98)</f>
        <v>0.92771809475000666</v>
      </c>
      <c r="AL99" s="72">
        <f>INDEX(LINEST(LN(AV99:BA99),LN(AV98:BA98),TRUE,TRUE),3,1)</f>
        <v>0.43473281634337863</v>
      </c>
      <c r="AM99" s="72">
        <f>INDEX(LINEST(LN(AV99:BA99),LN(AV98:BA98)),1)</f>
        <v>-6.7845954926792254E-2</v>
      </c>
      <c r="AN99" s="72">
        <f>EXP(INDEX(LINEST(LN(AV99:BA99),LN(AV98:BA98)),1,2))</f>
        <v>1.682882842203467</v>
      </c>
      <c r="AO99" s="89">
        <f>INDEX(LINEST((AV99:BA99),LN(AV98:BA98),TRUE,TRUE),3,1)</f>
        <v>0.50585157755457111</v>
      </c>
      <c r="AP99" s="89">
        <f>INDEX(LINEST((AV99:BA99),LN(AV98:BA98)),1)</f>
        <v>-4.6094555357590425E-2</v>
      </c>
      <c r="AQ99" s="90">
        <f>INDEX(LINEST(LN(AV99:BA99),SQRT(AV98:BA98),TRUE,TRUE),3,1)</f>
        <v>0.92858684195072649</v>
      </c>
      <c r="AR99" s="117">
        <f>INDEX(LINEST(LN(AV99:BA99),SQRT((AV98:BA98))),1)</f>
        <v>-4.8520552958858414E-4</v>
      </c>
      <c r="AS99" s="91">
        <f>INDEX(LINEST(1/(AV99:BA99),1/(SQRT(AV98:BA98)),TRUE,TRUE),3,1)</f>
        <v>0.11549127967163347</v>
      </c>
      <c r="AT99" s="91">
        <f>INDEX(LINEST(1/(AV99:BA99),1/SQRT(AV98:BA98)),1)</f>
        <v>-8.6883061351228807</v>
      </c>
      <c r="AU99" s="3"/>
      <c r="AV99" s="73">
        <v>0.96</v>
      </c>
      <c r="AW99" s="73">
        <v>0.93</v>
      </c>
      <c r="AX99" s="73">
        <v>0.89</v>
      </c>
      <c r="AY99" s="73">
        <v>0.84</v>
      </c>
      <c r="AZ99" s="73">
        <v>0.68</v>
      </c>
      <c r="BA99" s="73">
        <v>0.39</v>
      </c>
      <c r="BB99" s="53"/>
      <c r="BC99" s="53"/>
      <c r="BD99" s="53"/>
      <c r="BE99" s="53"/>
      <c r="BF99" s="53"/>
      <c r="BG99" s="53"/>
      <c r="BH99" s="53"/>
      <c r="BI99" s="53"/>
      <c r="BJ99" s="53"/>
      <c r="BK99" s="53"/>
      <c r="BL99" s="53"/>
      <c r="BM99" s="53"/>
      <c r="BN99" s="53"/>
      <c r="BO99" s="53"/>
      <c r="BP99" s="53"/>
      <c r="BQ99" s="53"/>
      <c r="BR99" s="53"/>
      <c r="BS99" s="53"/>
      <c r="BT99" s="53"/>
      <c r="BU99" s="53"/>
      <c r="BV99" s="53"/>
      <c r="BW99" s="53"/>
      <c r="BX99" s="53"/>
      <c r="BY99" s="53"/>
      <c r="BZ99" s="53"/>
      <c r="CA99" s="53"/>
      <c r="CB99" s="53"/>
      <c r="CC99" s="53"/>
      <c r="CD99" s="53"/>
      <c r="CE99" s="53"/>
      <c r="CF99" s="53"/>
      <c r="CG99" s="53"/>
      <c r="CH99" s="53"/>
      <c r="CI99" s="53"/>
      <c r="CJ99" s="53"/>
      <c r="CK99" s="53"/>
      <c r="CL99" s="53"/>
      <c r="CM99" s="53"/>
      <c r="CN99" s="53"/>
      <c r="CO99" s="53"/>
      <c r="CP99" s="53"/>
      <c r="CQ99" s="53"/>
      <c r="CR99" s="1"/>
      <c r="CS99" s="1"/>
      <c r="CT99" s="1"/>
      <c r="CU99" s="1"/>
    </row>
    <row r="100" spans="1:99" s="13" customFormat="1" ht="12" customHeight="1" x14ac:dyDescent="0.2">
      <c r="A100" s="68">
        <v>43509</v>
      </c>
      <c r="B100" s="70"/>
      <c r="C100" s="70"/>
      <c r="D100" s="69"/>
      <c r="E100" s="87"/>
      <c r="F100" s="69"/>
      <c r="G100" s="69"/>
      <c r="H100" s="69"/>
      <c r="I100" s="69"/>
      <c r="J100" s="69"/>
      <c r="K100" s="107"/>
      <c r="L100" s="107"/>
      <c r="M100" s="69"/>
      <c r="N100" s="69"/>
      <c r="O100" s="69"/>
      <c r="P100" s="69"/>
      <c r="Q100" s="69"/>
      <c r="R100" s="69"/>
      <c r="S100" s="69"/>
      <c r="T100" s="69"/>
      <c r="U100" s="69"/>
      <c r="V100" s="69"/>
      <c r="W100" s="69"/>
      <c r="X100" s="69"/>
      <c r="Y100" s="87"/>
      <c r="Z100" s="69"/>
      <c r="AA100" s="69"/>
      <c r="AB100" s="69"/>
      <c r="AC100" s="69"/>
      <c r="AD100" s="69"/>
      <c r="AE100" s="69"/>
      <c r="AF100" s="88"/>
      <c r="AG100" s="72"/>
      <c r="AH100" s="4"/>
      <c r="AI100" s="72"/>
      <c r="AJ100" s="110"/>
      <c r="AK100" s="72"/>
      <c r="AL100" s="72"/>
      <c r="AM100" s="72"/>
      <c r="AN100" s="72"/>
      <c r="AO100" s="72"/>
      <c r="AP100" s="72"/>
      <c r="AQ100" s="72"/>
      <c r="AR100" s="110"/>
      <c r="AS100" s="72"/>
      <c r="AT100" s="72"/>
      <c r="AU100" s="3"/>
      <c r="AV100" s="71">
        <f>5*60</f>
        <v>300</v>
      </c>
      <c r="AW100" s="71">
        <f>24*60*60*1</f>
        <v>86400</v>
      </c>
      <c r="AX100" s="71">
        <f>24*60*60*2</f>
        <v>172800</v>
      </c>
      <c r="AY100" s="71">
        <f>24*60*60*7</f>
        <v>604800</v>
      </c>
      <c r="AZ100" s="71">
        <f>24*60*60*14</f>
        <v>1209600</v>
      </c>
      <c r="BA100" s="71">
        <f>24*60*60*42</f>
        <v>3628800</v>
      </c>
      <c r="BB100" s="53"/>
      <c r="BC100" s="53"/>
      <c r="BD100" s="53"/>
      <c r="BE100" s="53"/>
      <c r="BF100" s="53"/>
      <c r="BG100" s="53"/>
      <c r="BH100" s="53"/>
      <c r="BI100" s="53"/>
      <c r="BJ100" s="53"/>
      <c r="BK100" s="53"/>
      <c r="BL100" s="53"/>
      <c r="BM100" s="53"/>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1"/>
      <c r="CS100" s="1"/>
      <c r="CT100" s="1"/>
      <c r="CU100" s="1"/>
    </row>
    <row r="101" spans="1:99" s="13" customFormat="1" ht="12" customHeight="1" x14ac:dyDescent="0.2">
      <c r="A101" s="68">
        <v>43509</v>
      </c>
      <c r="B101" s="70" t="s">
        <v>143</v>
      </c>
      <c r="C101" s="70" t="s">
        <v>75</v>
      </c>
      <c r="D101" s="69">
        <v>2008</v>
      </c>
      <c r="E101" s="87">
        <v>2</v>
      </c>
      <c r="F101" s="69">
        <v>57</v>
      </c>
      <c r="G101" s="69">
        <v>57</v>
      </c>
      <c r="H101" s="69" t="s">
        <v>22</v>
      </c>
      <c r="I101" s="69" t="s">
        <v>649</v>
      </c>
      <c r="J101" s="69" t="s">
        <v>475</v>
      </c>
      <c r="K101" s="69">
        <f>IF(J101="syllables",1,IF(J101="trigrams",2,IF(J101="strings",3,IF(J101="visual array",4,IF(J101="characters",5,IF(J101="letters",6,IF(J101="free forms",7,IF(J101="odors",8,IF(J101="words",9,IF(J101="pictures",10,IF(J101="object pictures",11,IF(J101="faces",12,IF(J101="names",13,IF(J101="idioms",14,IF(J101="grades",15,IF(J101="syllable-digit pairs",16,IF(J101="trigram-word pairs",17,IF(J101="word-digit pairs",18,IF(J101="English-Swahili pairs",19,IF(J101="spatial position",20,IF(J101="word pairs",21,IF(J101="word triads",22,IF(J101="generated words",23,IF(J101="word definition pairs",24,IF(J101="math problems",25,IF(J101="famous faces",26,IF(J101="famous names",27,IF(J101="famous voices",28,IF(J101="television programs",29,IF(J101="race horses",30,IF(J101="new vocabulary",31,IF(J101="sentences",32,IF(J101="concepts",33,IF(J101="ad slides",34,IF(J101="scenes",35,IF(J101="famous scenes",36,IF(J101="poems",37,IF(J101="walk",38,IF(J101="faces and events",39,IF(J101="events and names",40,IF(J101="flashbulb",41,IF(J101="stories",42,IF(J101="course material",43,IF(J101="autobiographical",44,IF(J101="novels",45,IF(J101="public events",46,"99"))))))))))))))))))))))))))))))))))))))))))))))</f>
        <v>32</v>
      </c>
      <c r="L101" s="69">
        <f>IF(J101="syllables",1,IF(J101="trigrams",1,IF(J101="strings",1,IF(J101="visual array",1,IF(J101="characters",1,IF(J101="letters",1,IF(J101="free forms",1,IF(J101="odors",2,IF(J101="words",2,IF(J101="pictures",2,IF(J101="object pictures",2,IF(J101="faces",2,IF(J101="names",2,IF(J101="idioms","2",IF(J101="grades",2,IF(J101="syllable-digit pairs",3,IF(J101="trigram-word pairs",3,IF(J101="word-digit pairs",3,IF(J101="English-Swahili pairs",3,IF(J101="spatial position",3,IF(J101="word pairs",4,IF(J101="word triads",4,IF(J101="generated words",4,IF(J101="word definition pairs",4,IF(J101="math problems",4,IF(J101="famous faces",4,IF(J101="famous names",4,IF(J101="famous voices",4,IF(J101="television programs",4,IF(J101="race horses",4,IF(J101="new vocabulary",4,IF(J101="sentences",5,IF(J101="concepts",5,IF(J101="ad slides",5,IF(J101="scenes",5,IF(J101="famous scenes",5,IF(J101="poems",6,IF(J101="walk",6,IF(J101="faces and events",6,IF(J101="events and names",6,IF(J101="flashbulb",7,IF(J101="stories",7,IF(J101="course material",7,IF(J101="autobiographical",7,IF(J101="novels",7,IF(J101="public events",7,"99"))))))))))))))))))))))))))))))))))))))))))))))</f>
        <v>5</v>
      </c>
      <c r="M101" s="69">
        <v>1</v>
      </c>
      <c r="N101" s="69">
        <v>4</v>
      </c>
      <c r="O101" s="69">
        <v>0</v>
      </c>
      <c r="P101" s="69"/>
      <c r="Q101" s="69" t="s">
        <v>65</v>
      </c>
      <c r="R101" s="69">
        <f>IF(Q101="Free Recall",1,IF(Q101="Cued Recall",2,IF(Q101="Recognition",3,IF(Q101="Multiple Choice",4,IF(Q101="Savings",5,IF(Q101="Stem Completion",6,IF(Q101="Fragment Completion",7,IF(Q101="anagram solution",8,IF(Q101="Matching",9,IF(Q101="Problem Solving",10,"99"))))))))))</f>
        <v>2</v>
      </c>
      <c r="S101" s="69" t="s">
        <v>49</v>
      </c>
      <c r="T101" s="92" t="s">
        <v>581</v>
      </c>
      <c r="U101" s="69">
        <f>IF(T101="within",1,0)</f>
        <v>1</v>
      </c>
      <c r="V101" s="92">
        <v>60</v>
      </c>
      <c r="W101" s="69">
        <f>F101*V101</f>
        <v>3420</v>
      </c>
      <c r="X101" s="69">
        <v>6</v>
      </c>
      <c r="Y101" s="87">
        <f>AV100</f>
        <v>300</v>
      </c>
      <c r="Z101" s="69" t="s">
        <v>144</v>
      </c>
      <c r="AA101" s="69">
        <f>42*24*60*60</f>
        <v>3628800</v>
      </c>
      <c r="AB101" s="69" t="str">
        <f>IF(AA101&lt;60,"1",IF(AA101&lt;=43200,"2",IF(AA101&lt;=777600,"3","4")))</f>
        <v>4</v>
      </c>
      <c r="AC101" s="72">
        <f>AVERAGE(AV100:DA100)</f>
        <v>950450</v>
      </c>
      <c r="AD101" s="69" t="str">
        <f>IF(AC101&lt;60,"1",IF(AC101&lt;=43200,"2",IF(AC101&lt;=777600,"3","4")))</f>
        <v>4</v>
      </c>
      <c r="AE101" s="87">
        <f>AA101-Y101</f>
        <v>3628500</v>
      </c>
      <c r="AF101" s="88">
        <f>AV101</f>
        <v>0.93</v>
      </c>
      <c r="AG101" s="72">
        <f>((AW101-AV101)+(AX101-AW101)+(AY101-AX101)+(AZ101-AY101)+(BA101-AZ101))/5</f>
        <v>-0.11400000000000002</v>
      </c>
      <c r="AH101" s="4"/>
      <c r="AI101" s="72">
        <f>RSQ(AV101:BA101,AV100:BA100)</f>
        <v>0.85493541604825107</v>
      </c>
      <c r="AJ101" s="110">
        <f>SLOPE(AV101:BA101,AV100:BA100)</f>
        <v>-1.489011421422698E-7</v>
      </c>
      <c r="AK101" s="72">
        <f>INTERCEPT(AV101:BA101,AV100:BA100)</f>
        <v>0.84485642388245363</v>
      </c>
      <c r="AL101" s="72">
        <f>INDEX(LINEST(LN(AV101:BA101),LN(AV100:BA100),TRUE,TRUE),3,1)</f>
        <v>0.56189155602929042</v>
      </c>
      <c r="AM101" s="72">
        <f>INDEX(LINEST(LN(AV101:BA101),LN(AV100:BA100)),1)</f>
        <v>-8.297968446750012E-2</v>
      </c>
      <c r="AN101" s="72">
        <f>EXP(INDEX(LINEST(LN(AV101:BA101),LN(AV100:BA100)),1,2))</f>
        <v>1.797694456213542</v>
      </c>
      <c r="AO101" s="89">
        <f>INDEX(LINEST((AV101:BA101),LN(AV100:BA100),TRUE,TRUE),3,1)</f>
        <v>0.63538048532245084</v>
      </c>
      <c r="AP101" s="89">
        <f>INDEX(LINEST((AV101:BA101),LN(AV100:BA100)),1)</f>
        <v>-5.3476447006060905E-2</v>
      </c>
      <c r="AQ101" s="90">
        <f>INDEX(LINEST(LN(AV101:BA101),SQRT(AV100:BA100),TRUE,TRUE),3,1)</f>
        <v>0.97870208989889174</v>
      </c>
      <c r="AR101" s="117">
        <f>INDEX(LINEST(LN(AV101:BA101),SQRT((AV100:BA100))),1)</f>
        <v>-5.3588612901461308E-4</v>
      </c>
      <c r="AS101" s="91">
        <f>INDEX(LINEST(1/(AV101:BA101),1/(SQRT(AV100:BA100)),TRUE,TRUE),3,1)</f>
        <v>0.17480899645548734</v>
      </c>
      <c r="AT101" s="91">
        <f>INDEX(LINEST(1/(AV101:BA101),1/SQRT(AV100:BA100)),1)</f>
        <v>-12.019095779709707</v>
      </c>
      <c r="AU101" s="3"/>
      <c r="AV101" s="73">
        <v>0.93</v>
      </c>
      <c r="AW101" s="73">
        <v>0.87</v>
      </c>
      <c r="AX101" s="73">
        <v>0.84</v>
      </c>
      <c r="AY101" s="73">
        <v>0.7</v>
      </c>
      <c r="AZ101" s="73">
        <v>0.52</v>
      </c>
      <c r="BA101" s="73">
        <v>0.36</v>
      </c>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1"/>
      <c r="CS101" s="1"/>
      <c r="CT101" s="1"/>
      <c r="CU101" s="1"/>
    </row>
    <row r="102" spans="1:99" s="13" customFormat="1" ht="12" customHeight="1" x14ac:dyDescent="0.2">
      <c r="A102" s="68">
        <v>43509</v>
      </c>
      <c r="B102" s="70"/>
      <c r="C102" s="70"/>
      <c r="D102" s="69"/>
      <c r="E102" s="87"/>
      <c r="F102" s="69"/>
      <c r="G102" s="69"/>
      <c r="H102" s="69"/>
      <c r="I102" s="69"/>
      <c r="J102" s="69"/>
      <c r="K102" s="107"/>
      <c r="L102" s="107"/>
      <c r="M102" s="69"/>
      <c r="N102" s="69"/>
      <c r="O102" s="69"/>
      <c r="P102" s="69"/>
      <c r="Q102" s="69"/>
      <c r="R102" s="69"/>
      <c r="S102" s="69"/>
      <c r="T102" s="69"/>
      <c r="U102" s="69"/>
      <c r="V102" s="69"/>
      <c r="W102" s="69"/>
      <c r="X102" s="69"/>
      <c r="Y102" s="87"/>
      <c r="Z102" s="69"/>
      <c r="AA102" s="69"/>
      <c r="AB102" s="69"/>
      <c r="AC102" s="69"/>
      <c r="AD102" s="69"/>
      <c r="AE102" s="69"/>
      <c r="AF102" s="88"/>
      <c r="AG102" s="72"/>
      <c r="AH102" s="4"/>
      <c r="AI102" s="72"/>
      <c r="AJ102" s="110"/>
      <c r="AK102" s="72"/>
      <c r="AL102" s="72"/>
      <c r="AM102" s="72"/>
      <c r="AN102" s="72"/>
      <c r="AO102" s="72"/>
      <c r="AP102" s="72"/>
      <c r="AQ102" s="72"/>
      <c r="AR102" s="110"/>
      <c r="AS102" s="72"/>
      <c r="AT102" s="72"/>
      <c r="AU102" s="3"/>
      <c r="AV102" s="71">
        <f>5*60</f>
        <v>300</v>
      </c>
      <c r="AW102" s="71">
        <f>24*60*60*1</f>
        <v>86400</v>
      </c>
      <c r="AX102" s="71">
        <f>24*60*60*2</f>
        <v>172800</v>
      </c>
      <c r="AY102" s="71">
        <f>24*60*60*7</f>
        <v>604800</v>
      </c>
      <c r="AZ102" s="71">
        <f>24*60*60*14</f>
        <v>1209600</v>
      </c>
      <c r="BA102" s="71">
        <f>24*60*60*42</f>
        <v>3628800</v>
      </c>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1"/>
      <c r="CS102" s="1"/>
      <c r="CT102" s="1"/>
      <c r="CU102" s="1"/>
    </row>
    <row r="103" spans="1:99" s="13" customFormat="1" ht="12" customHeight="1" x14ac:dyDescent="0.2">
      <c r="A103" s="68">
        <v>43509</v>
      </c>
      <c r="B103" s="70" t="s">
        <v>143</v>
      </c>
      <c r="C103" s="70" t="s">
        <v>75</v>
      </c>
      <c r="D103" s="69">
        <v>2008</v>
      </c>
      <c r="E103" s="87">
        <v>3</v>
      </c>
      <c r="F103" s="69">
        <v>54</v>
      </c>
      <c r="G103" s="69">
        <v>54</v>
      </c>
      <c r="H103" s="69" t="s">
        <v>22</v>
      </c>
      <c r="I103" s="69" t="s">
        <v>648</v>
      </c>
      <c r="J103" s="69" t="s">
        <v>490</v>
      </c>
      <c r="K103" s="69">
        <f>IF(J103="syllables",1,IF(J103="trigrams",2,IF(J103="strings",3,IF(J103="visual array",4,IF(J103="characters",5,IF(J103="letters",6,IF(J103="free forms",7,IF(J103="odors",8,IF(J103="words",9,IF(J103="pictures",10,IF(J103="object pictures",11,IF(J103="faces",12,IF(J103="names",13,IF(J103="idioms",14,IF(J103="grades",15,IF(J103="syllable-digit pairs",16,IF(J103="trigram-word pairs",17,IF(J103="word-digit pairs",18,IF(J103="English-Swahili pairs",19,IF(J103="spatial position",20,IF(J103="word pairs",21,IF(J103="word triads",22,IF(J103="generated words",23,IF(J103="word definition pairs",24,IF(J103="math problems",25,IF(J103="famous faces",26,IF(J103="famous names",27,IF(J103="famous voices",28,IF(J103="television programs",29,IF(J103="race horses",30,IF(J103="new vocabulary",31,IF(J103="sentences",32,IF(J103="concepts",33,IF(J103="ad slides",34,IF(J103="scenes",35,IF(J103="famous scenes",36,IF(J103="poems",37,IF(J103="walk",38,IF(J103="faces and events",39,IF(J103="events and names",40,IF(J103="flashbulb",41,IF(J103="stories",42,IF(J103="course material",43,IF(J103="autobiographical",44,IF(J103="novels",45,IF(J103="public events",46,"99"))))))))))))))))))))))))))))))))))))))))))))))</f>
        <v>19</v>
      </c>
      <c r="L103" s="69">
        <f>IF(J103="syllables",1,IF(J103="trigrams",1,IF(J103="strings",1,IF(J103="visual array",1,IF(J103="characters",1,IF(J103="letters",1,IF(J103="free forms",1,IF(J103="odors",2,IF(J103="words",2,IF(J103="pictures",2,IF(J103="object pictures",2,IF(J103="faces",2,IF(J103="names",2,IF(J103="idioms","2",IF(J103="grades",2,IF(J103="syllable-digit pairs",3,IF(J103="trigram-word pairs",3,IF(J103="word-digit pairs",3,IF(J103="English-Swahili pairs",3,IF(J103="spatial position",3,IF(J103="word pairs",4,IF(J103="word triads",4,IF(J103="generated words",4,IF(J103="word definition pairs",4,IF(J103="math problems",4,IF(J103="famous faces",4,IF(J103="famous names",4,IF(J103="famous voices",4,IF(J103="television programs",4,IF(J103="race horses",4,IF(J103="new vocabulary",4,IF(J103="sentences",5,IF(J103="concepts",5,IF(J103="ad slides",5,IF(J103="scenes",5,IF(J103="famous scenes",5,IF(J103="poems",6,IF(J103="walk",6,IF(J103="faces and events",6,IF(J103="events and names",6,IF(J103="flashbulb",7,IF(J103="stories",7,IF(J103="course material",7,IF(J103="autobiographical",7,IF(J103="novels",7,IF(J103="public events",7,"99"))))))))))))))))))))))))))))))))))))))))))))))</f>
        <v>3</v>
      </c>
      <c r="M103" s="69">
        <v>1</v>
      </c>
      <c r="N103" s="69">
        <v>2</v>
      </c>
      <c r="O103" s="69">
        <v>0</v>
      </c>
      <c r="P103" s="69"/>
      <c r="Q103" s="69" t="s">
        <v>65</v>
      </c>
      <c r="R103" s="69">
        <f>IF(Q103="Free Recall",1,IF(Q103="Cued Recall",2,IF(Q103="Recognition",3,IF(Q103="Multiple Choice",4,IF(Q103="Savings",5,IF(Q103="Stem Completion",6,IF(Q103="Fragment Completion",7,IF(Q103="anagram solution",8,IF(Q103="Matching",9,IF(Q103="Problem Solving",10,"99"))))))))))</f>
        <v>2</v>
      </c>
      <c r="S103" s="69" t="s">
        <v>49</v>
      </c>
      <c r="T103" s="92" t="s">
        <v>581</v>
      </c>
      <c r="U103" s="69">
        <f>IF(T103="within",1,0)</f>
        <v>1</v>
      </c>
      <c r="V103" s="92">
        <v>60</v>
      </c>
      <c r="W103" s="69">
        <f>F103*V103</f>
        <v>3240</v>
      </c>
      <c r="X103" s="69">
        <v>6</v>
      </c>
      <c r="Y103" s="87">
        <f>AV102</f>
        <v>300</v>
      </c>
      <c r="Z103" s="69" t="s">
        <v>144</v>
      </c>
      <c r="AA103" s="69">
        <f>42*24*60*60</f>
        <v>3628800</v>
      </c>
      <c r="AB103" s="69" t="str">
        <f>IF(AA103&lt;60,"1",IF(AA103&lt;=43200,"2",IF(AA103&lt;=777600,"3","4")))</f>
        <v>4</v>
      </c>
      <c r="AC103" s="72">
        <f>AVERAGE(AV102:DA102)</f>
        <v>950450</v>
      </c>
      <c r="AD103" s="69" t="str">
        <f>IF(AC103&lt;60,"1",IF(AC103&lt;=43200,"2",IF(AC103&lt;=777600,"3","4")))</f>
        <v>4</v>
      </c>
      <c r="AE103" s="87">
        <f>AA103-Y103</f>
        <v>3628500</v>
      </c>
      <c r="AF103" s="88">
        <f>AV103</f>
        <v>0.59</v>
      </c>
      <c r="AG103" s="72">
        <f>((AW103-AV103)+(AX103-AW103)+(AY103-AX103)+(AZ103-AY103)+(BA103-AZ103))/5</f>
        <v>-7.9999999999999988E-2</v>
      </c>
      <c r="AH103" s="4"/>
      <c r="AI103" s="72">
        <f>RSQ(AV103:BA103,AV102:BA102)</f>
        <v>0.60487284939678887</v>
      </c>
      <c r="AJ103" s="110">
        <f>SLOPE(AV103:BA103,AV102:BA102)</f>
        <v>-8.1231877190821289E-8</v>
      </c>
      <c r="AK103" s="72">
        <f>INTERCEPT(AV103:BA103,AV102:BA102)</f>
        <v>0.43887350434268274</v>
      </c>
      <c r="AL103" s="72">
        <f>INDEX(LINEST(LN(AV103:BA103),LN(AV102:BA102),TRUE,TRUE),3,1)</f>
        <v>0.82315908489974188</v>
      </c>
      <c r="AM103" s="72">
        <f>INDEX(LINEST(LN(AV103:BA103),LN(AV102:BA102)),1)</f>
        <v>-0.11189128699965727</v>
      </c>
      <c r="AN103" s="72">
        <f>EXP(INDEX(LINEST(LN(AV103:BA103),LN(AV102:BA102)),1,2))</f>
        <v>1.2823122699988281</v>
      </c>
      <c r="AO103" s="89">
        <f>INDEX(LINEST((AV103:BA103),LN(AV102:BA102),TRUE,TRUE),3,1)</f>
        <v>0.92306306726375076</v>
      </c>
      <c r="AP103" s="89">
        <f>INDEX(LINEST((AV103:BA103),LN(AV102:BA102)),1)</f>
        <v>-4.1804628204079639E-2</v>
      </c>
      <c r="AQ103" s="90">
        <f>INDEX(LINEST(LN(AV103:BA103),SQRT(AV102:BA102),TRUE,TRUE),3,1)</f>
        <v>0.94406715125454088</v>
      </c>
      <c r="AR103" s="117">
        <f>INDEX(LINEST(LN(AV103:BA103),SQRT((AV102:BA102))),1)</f>
        <v>-5.8635084646039312E-4</v>
      </c>
      <c r="AS103" s="91">
        <f>INDEX(LINEST(1/(AV103:BA103),1/(SQRT(AV102:BA102)),TRUE,TRUE),3,1)</f>
        <v>0.34772134038205482</v>
      </c>
      <c r="AT103" s="91">
        <f>INDEX(LINEST(1/(AV103:BA103),1/SQRT(AV102:BA102)),1)</f>
        <v>-33.615943917135517</v>
      </c>
      <c r="AU103" s="3"/>
      <c r="AV103" s="73">
        <v>0.59</v>
      </c>
      <c r="AW103" s="73">
        <v>0.43</v>
      </c>
      <c r="AX103" s="73">
        <v>0.41</v>
      </c>
      <c r="AY103" s="73">
        <v>0.3</v>
      </c>
      <c r="AZ103" s="73">
        <v>0.25</v>
      </c>
      <c r="BA103" s="73">
        <v>0.19</v>
      </c>
      <c r="BB103" s="53"/>
      <c r="BC103" s="53"/>
      <c r="BD103" s="53"/>
      <c r="BE103" s="53"/>
      <c r="BF103" s="53"/>
      <c r="BG103" s="53"/>
      <c r="BH103" s="53"/>
      <c r="BI103" s="53"/>
      <c r="BJ103" s="53"/>
      <c r="BK103" s="53"/>
      <c r="BL103" s="53"/>
      <c r="BM103" s="53"/>
      <c r="BN103" s="53"/>
      <c r="BO103" s="53"/>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53"/>
      <c r="CR103" s="1"/>
      <c r="CS103" s="1"/>
      <c r="CT103" s="1"/>
      <c r="CU103" s="1"/>
    </row>
    <row r="104" spans="1:99" s="13" customFormat="1" ht="12" customHeight="1" x14ac:dyDescent="0.2">
      <c r="A104" s="68">
        <v>43509</v>
      </c>
      <c r="B104" s="70"/>
      <c r="C104" s="70"/>
      <c r="D104" s="69"/>
      <c r="E104" s="87"/>
      <c r="F104" s="69"/>
      <c r="G104" s="69"/>
      <c r="H104" s="69"/>
      <c r="I104" s="69"/>
      <c r="J104" s="69"/>
      <c r="K104" s="107"/>
      <c r="L104" s="107"/>
      <c r="M104" s="69"/>
      <c r="N104" s="69"/>
      <c r="O104" s="69"/>
      <c r="P104" s="69"/>
      <c r="Q104" s="69"/>
      <c r="R104" s="69"/>
      <c r="S104" s="69"/>
      <c r="T104" s="69"/>
      <c r="U104" s="69"/>
      <c r="V104" s="69"/>
      <c r="W104" s="69"/>
      <c r="X104" s="69"/>
      <c r="Y104" s="87"/>
      <c r="Z104" s="69"/>
      <c r="AA104" s="69"/>
      <c r="AB104" s="69"/>
      <c r="AC104" s="69"/>
      <c r="AD104" s="69"/>
      <c r="AE104" s="69"/>
      <c r="AF104" s="88"/>
      <c r="AG104" s="72"/>
      <c r="AH104" s="4"/>
      <c r="AI104" s="72"/>
      <c r="AJ104" s="110"/>
      <c r="AK104" s="72"/>
      <c r="AL104" s="72"/>
      <c r="AM104" s="72"/>
      <c r="AN104" s="72"/>
      <c r="AO104" s="72"/>
      <c r="AP104" s="72"/>
      <c r="AQ104" s="72"/>
      <c r="AR104" s="110"/>
      <c r="AS104" s="72"/>
      <c r="AT104" s="72"/>
      <c r="AU104" s="3"/>
      <c r="AV104" s="71">
        <f>5*60</f>
        <v>300</v>
      </c>
      <c r="AW104" s="71">
        <f>24*60*60*1</f>
        <v>86400</v>
      </c>
      <c r="AX104" s="71">
        <f>24*60*60*2</f>
        <v>172800</v>
      </c>
      <c r="AY104" s="71">
        <f>24*60*60*7</f>
        <v>604800</v>
      </c>
      <c r="AZ104" s="71">
        <f>24*60*60*14</f>
        <v>1209600</v>
      </c>
      <c r="BA104" s="71">
        <f>24*60*60*42</f>
        <v>3628800</v>
      </c>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53"/>
      <c r="CR104" s="1"/>
      <c r="CS104" s="1"/>
      <c r="CT104" s="1"/>
      <c r="CU104" s="1"/>
    </row>
    <row r="105" spans="1:99" s="13" customFormat="1" ht="12" customHeight="1" x14ac:dyDescent="0.2">
      <c r="A105" s="68">
        <v>43509</v>
      </c>
      <c r="B105" s="70" t="s">
        <v>143</v>
      </c>
      <c r="C105" s="70" t="s">
        <v>75</v>
      </c>
      <c r="D105" s="69">
        <v>2008</v>
      </c>
      <c r="E105" s="87">
        <v>3</v>
      </c>
      <c r="F105" s="69">
        <v>54</v>
      </c>
      <c r="G105" s="69">
        <v>54</v>
      </c>
      <c r="H105" s="69" t="s">
        <v>22</v>
      </c>
      <c r="I105" s="69" t="s">
        <v>649</v>
      </c>
      <c r="J105" s="69" t="s">
        <v>490</v>
      </c>
      <c r="K105" s="69">
        <f>IF(J105="syllables",1,IF(J105="trigrams",2,IF(J105="strings",3,IF(J105="visual array",4,IF(J105="characters",5,IF(J105="letters",6,IF(J105="free forms",7,IF(J105="odors",8,IF(J105="words",9,IF(J105="pictures",10,IF(J105="object pictures",11,IF(J105="faces",12,IF(J105="names",13,IF(J105="idioms",14,IF(J105="grades",15,IF(J105="syllable-digit pairs",16,IF(J105="trigram-word pairs",17,IF(J105="word-digit pairs",18,IF(J105="English-Swahili pairs",19,IF(J105="spatial position",20,IF(J105="word pairs",21,IF(J105="word triads",22,IF(J105="generated words",23,IF(J105="word definition pairs",24,IF(J105="math problems",25,IF(J105="famous faces",26,IF(J105="famous names",27,IF(J105="famous voices",28,IF(J105="television programs",29,IF(J105="race horses",30,IF(J105="new vocabulary",31,IF(J105="sentences",32,IF(J105="concepts",33,IF(J105="ad slides",34,IF(J105="scenes",35,IF(J105="famous scenes",36,IF(J105="poems",37,IF(J105="walk",38,IF(J105="faces and events",39,IF(J105="events and names",40,IF(J105="flashbulb",41,IF(J105="stories",42,IF(J105="course material",43,IF(J105="autobiographical",44,IF(J105="novels",45,IF(J105="public events",46,"99"))))))))))))))))))))))))))))))))))))))))))))))</f>
        <v>19</v>
      </c>
      <c r="L105" s="69">
        <f>IF(J105="syllables",1,IF(J105="trigrams",1,IF(J105="strings",1,IF(J105="visual array",1,IF(J105="characters",1,IF(J105="letters",1,IF(J105="free forms",1,IF(J105="odors",2,IF(J105="words",2,IF(J105="pictures",2,IF(J105="object pictures",2,IF(J105="faces",2,IF(J105="names",2,IF(J105="idioms","2",IF(J105="grades",2,IF(J105="syllable-digit pairs",3,IF(J105="trigram-word pairs",3,IF(J105="word-digit pairs",3,IF(J105="English-Swahili pairs",3,IF(J105="spatial position",3,IF(J105="word pairs",4,IF(J105="word triads",4,IF(J105="generated words",4,IF(J105="word definition pairs",4,IF(J105="math problems",4,IF(J105="famous faces",4,IF(J105="famous names",4,IF(J105="famous voices",4,IF(J105="television programs",4,IF(J105="race horses",4,IF(J105="new vocabulary",4,IF(J105="sentences",5,IF(J105="concepts",5,IF(J105="ad slides",5,IF(J105="scenes",5,IF(J105="famous scenes",5,IF(J105="poems",6,IF(J105="walk",6,IF(J105="faces and events",6,IF(J105="events and names",6,IF(J105="flashbulb",7,IF(J105="stories",7,IF(J105="course material",7,IF(J105="autobiographical",7,IF(J105="novels",7,IF(J105="public events",7,"99"))))))))))))))))))))))))))))))))))))))))))))))</f>
        <v>3</v>
      </c>
      <c r="M105" s="69">
        <v>1</v>
      </c>
      <c r="N105" s="69">
        <v>2</v>
      </c>
      <c r="O105" s="69">
        <v>0</v>
      </c>
      <c r="P105" s="69"/>
      <c r="Q105" s="69" t="s">
        <v>65</v>
      </c>
      <c r="R105" s="69">
        <f>IF(Q105="Free Recall",1,IF(Q105="Cued Recall",2,IF(Q105="Recognition",3,IF(Q105="Multiple Choice",4,IF(Q105="Savings",5,IF(Q105="Stem Completion",6,IF(Q105="Fragment Completion",7,IF(Q105="anagram solution",8,IF(Q105="Matching",9,IF(Q105="Problem Solving",10,"99"))))))))))</f>
        <v>2</v>
      </c>
      <c r="S105" s="69" t="s">
        <v>49</v>
      </c>
      <c r="T105" s="92" t="s">
        <v>581</v>
      </c>
      <c r="U105" s="69">
        <f>IF(T105="within",1,0)</f>
        <v>1</v>
      </c>
      <c r="V105" s="92">
        <v>60</v>
      </c>
      <c r="W105" s="69">
        <f>F105*V105</f>
        <v>3240</v>
      </c>
      <c r="X105" s="69">
        <v>6</v>
      </c>
      <c r="Y105" s="87">
        <f>AV104</f>
        <v>300</v>
      </c>
      <c r="Z105" s="69" t="s">
        <v>144</v>
      </c>
      <c r="AA105" s="69">
        <f>42*24*60*60</f>
        <v>3628800</v>
      </c>
      <c r="AB105" s="69" t="str">
        <f>IF(AA105&lt;60,"1",IF(AA105&lt;=43200,"2",IF(AA105&lt;=777600,"3","4")))</f>
        <v>4</v>
      </c>
      <c r="AC105" s="72">
        <f>AVERAGE(AV104:DA104)</f>
        <v>950450</v>
      </c>
      <c r="AD105" s="69" t="str">
        <f>IF(AC105&lt;60,"1",IF(AC105&lt;=43200,"2",IF(AC105&lt;=777600,"3","4")))</f>
        <v>4</v>
      </c>
      <c r="AE105" s="87">
        <f>AA105-Y105</f>
        <v>3628500</v>
      </c>
      <c r="AF105" s="88">
        <f>AV105</f>
        <v>0.51</v>
      </c>
      <c r="AG105" s="72">
        <f>((AW105-AV105)+(AX105-AW105)+(AY105-AX105)+(AZ105-AY105)+(BA105-AZ105))/5</f>
        <v>-7.0000000000000021E-2</v>
      </c>
      <c r="AH105" s="4"/>
      <c r="AI105" s="72">
        <f>RSQ(AV105:BA105,AV104:BA104)</f>
        <v>0.47323791628981138</v>
      </c>
      <c r="AJ105" s="110">
        <f>SLOPE(AV105:BA105,AV104:BA104)</f>
        <v>-6.4606898979917916E-8</v>
      </c>
      <c r="AK105" s="72">
        <f>INTERCEPT(AV105:BA105,AV104:BA104)</f>
        <v>0.35140562713546297</v>
      </c>
      <c r="AL105" s="72">
        <f>INDEX(LINEST(LN(AV105:BA105),LN(AV104:BA104),TRUE,TRUE),3,1)</f>
        <v>0.88646295415362486</v>
      </c>
      <c r="AM105" s="72">
        <f>INDEX(LINEST(LN(AV105:BA105),LN(AV104:BA104)),1)</f>
        <v>-0.12166290531877358</v>
      </c>
      <c r="AN105" s="72">
        <f>EXP(INDEX(LINEST(LN(AV105:BA105),LN(AV104:BA104)),1,2))</f>
        <v>1.1433441094787642</v>
      </c>
      <c r="AO105" s="89">
        <f>INDEX(LINEST((AV105:BA105),LN(AV104:BA104),TRUE,TRUE),3,1)</f>
        <v>0.95492425645023737</v>
      </c>
      <c r="AP105" s="89">
        <f>INDEX(LINEST((AV105:BA105),LN(AV104:BA104)),1)</f>
        <v>-3.8232951508857596E-2</v>
      </c>
      <c r="AQ105" s="90">
        <f>INDEX(LINEST(LN(AV105:BA105),SQRT(AV104:BA104),TRUE,TRUE),3,1)</f>
        <v>0.84982370503279514</v>
      </c>
      <c r="AR105" s="117">
        <f>INDEX(LINEST(LN(AV105:BA105),SQRT((AV104:BA104))),1)</f>
        <v>-5.8289997957591952E-4</v>
      </c>
      <c r="AS105" s="91">
        <f>INDEX(LINEST(1/(AV105:BA105),1/(SQRT(AV104:BA104)),TRUE,TRUE),3,1)</f>
        <v>0.44095600968427573</v>
      </c>
      <c r="AT105" s="91">
        <f>INDEX(LINEST(1/(AV105:BA105),1/SQRT(AV104:BA104)),1)</f>
        <v>-46.28804131705666</v>
      </c>
      <c r="AU105" s="3"/>
      <c r="AV105" s="73">
        <v>0.51</v>
      </c>
      <c r="AW105" s="73">
        <v>0.36</v>
      </c>
      <c r="AX105" s="73">
        <v>0.3</v>
      </c>
      <c r="AY105" s="73">
        <v>0.21</v>
      </c>
      <c r="AZ105" s="73">
        <v>0.2</v>
      </c>
      <c r="BA105" s="73">
        <v>0.16</v>
      </c>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1"/>
      <c r="CS105" s="1"/>
      <c r="CT105" s="1"/>
      <c r="CU105" s="1"/>
    </row>
    <row r="106" spans="1:99" s="13" customFormat="1" ht="12" customHeight="1" x14ac:dyDescent="0.2">
      <c r="A106" s="68">
        <v>43509</v>
      </c>
      <c r="B106" s="70"/>
      <c r="C106" s="70"/>
      <c r="D106" s="69"/>
      <c r="E106" s="87"/>
      <c r="F106" s="69"/>
      <c r="G106" s="69"/>
      <c r="H106" s="69"/>
      <c r="I106" s="69"/>
      <c r="J106" s="69"/>
      <c r="K106" s="107"/>
      <c r="L106" s="107"/>
      <c r="M106" s="69"/>
      <c r="N106" s="69"/>
      <c r="O106" s="69"/>
      <c r="P106" s="69"/>
      <c r="Q106" s="69"/>
      <c r="R106" s="69"/>
      <c r="S106" s="69"/>
      <c r="T106" s="69"/>
      <c r="U106" s="69"/>
      <c r="V106" s="69"/>
      <c r="W106" s="69"/>
      <c r="X106" s="69"/>
      <c r="Y106" s="87"/>
      <c r="Z106" s="69"/>
      <c r="AA106" s="69"/>
      <c r="AB106" s="69"/>
      <c r="AC106" s="69"/>
      <c r="AD106" s="69"/>
      <c r="AE106" s="69"/>
      <c r="AF106" s="88"/>
      <c r="AG106" s="72"/>
      <c r="AH106" s="4"/>
      <c r="AI106" s="72"/>
      <c r="AJ106" s="110"/>
      <c r="AK106" s="72"/>
      <c r="AL106" s="72"/>
      <c r="AM106" s="72"/>
      <c r="AN106" s="72"/>
      <c r="AO106" s="72"/>
      <c r="AP106" s="72"/>
      <c r="AQ106" s="72"/>
      <c r="AR106" s="110"/>
      <c r="AS106" s="72"/>
      <c r="AT106" s="72"/>
      <c r="AU106" s="4"/>
      <c r="AV106" s="71">
        <f>24*3600*7</f>
        <v>604800</v>
      </c>
      <c r="AW106" s="71">
        <f>24*3600*35</f>
        <v>3024000</v>
      </c>
      <c r="AX106" s="71">
        <f>24*3600*70</f>
        <v>6048000</v>
      </c>
      <c r="AY106" s="71">
        <f>24*3600*350</f>
        <v>30240000</v>
      </c>
      <c r="AZ106" s="53"/>
      <c r="BA106" s="53"/>
      <c r="BB106" s="53"/>
      <c r="BC106" s="53"/>
      <c r="BD106" s="53"/>
      <c r="BE106" s="53"/>
      <c r="BF106" s="53"/>
      <c r="BG106" s="53"/>
      <c r="BH106" s="53"/>
      <c r="BI106" s="53"/>
      <c r="BJ106" s="53"/>
      <c r="BK106" s="53"/>
      <c r="BL106" s="53"/>
      <c r="BM106" s="53"/>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1"/>
      <c r="CS106" s="1"/>
      <c r="CT106" s="1"/>
      <c r="CU106" s="1"/>
    </row>
    <row r="107" spans="1:99" s="19" customFormat="1" ht="12" customHeight="1" x14ac:dyDescent="0.2">
      <c r="A107" s="68">
        <v>43509</v>
      </c>
      <c r="B107" s="100" t="s">
        <v>176</v>
      </c>
      <c r="C107" s="100" t="s">
        <v>95</v>
      </c>
      <c r="D107" s="99">
        <v>2008</v>
      </c>
      <c r="E107" s="106">
        <v>1</v>
      </c>
      <c r="F107" s="99">
        <v>1354</v>
      </c>
      <c r="G107" s="99">
        <v>52.1</v>
      </c>
      <c r="H107" s="99" t="s">
        <v>32</v>
      </c>
      <c r="I107" s="99" t="s">
        <v>652</v>
      </c>
      <c r="J107" s="69" t="s">
        <v>475</v>
      </c>
      <c r="K107" s="69">
        <f>IF(J107="syllables",1,IF(J107="trigrams",2,IF(J107="strings",3,IF(J107="visual array",4,IF(J107="characters",5,IF(J107="letters",6,IF(J107="free forms",7,IF(J107="odors",8,IF(J107="words",9,IF(J107="pictures",10,IF(J107="object pictures",11,IF(J107="faces",12,IF(J107="names",13,IF(J107="idioms",14,IF(J107="grades",15,IF(J107="syllable-digit pairs",16,IF(J107="trigram-word pairs",17,IF(J107="word-digit pairs",18,IF(J107="English-Swahili pairs",19,IF(J107="spatial position",20,IF(J107="word pairs",21,IF(J107="word triads",22,IF(J107="generated words",23,IF(J107="word definition pairs",24,IF(J107="math problems",25,IF(J107="famous faces",26,IF(J107="famous names",27,IF(J107="famous voices",28,IF(J107="television programs",29,IF(J107="race horses",30,IF(J107="new vocabulary",31,IF(J107="sentences",32,IF(J107="concepts",33,IF(J107="ad slides",34,IF(J107="scenes",35,IF(J107="famous scenes",36,IF(J107="poems",37,IF(J107="walk",38,IF(J107="faces and events",39,IF(J107="events and names",40,IF(J107="flashbulb",41,IF(J107="stories",42,IF(J107="course material",43,IF(J107="autobiographical",44,IF(J107="novels",45,IF(J107="public events",46,"99"))))))))))))))))))))))))))))))))))))))))))))))</f>
        <v>32</v>
      </c>
      <c r="L107" s="69">
        <f>IF(J107="syllables",1,IF(J107="trigrams",1,IF(J107="strings",1,IF(J107="visual array",1,IF(J107="characters",1,IF(J107="letters",1,IF(J107="free forms",1,IF(J107="odors",2,IF(J107="words",2,IF(J107="pictures",2,IF(J107="object pictures",2,IF(J107="faces",2,IF(J107="names",2,IF(J107="idioms","2",IF(J107="grades",2,IF(J107="syllable-digit pairs",3,IF(J107="trigram-word pairs",3,IF(J107="word-digit pairs",3,IF(J107="English-Swahili pairs",3,IF(J107="spatial position",3,IF(J107="word pairs",4,IF(J107="word triads",4,IF(J107="generated words",4,IF(J107="word definition pairs",4,IF(J107="math problems",4,IF(J107="famous faces",4,IF(J107="famous names",4,IF(J107="famous voices",4,IF(J107="television programs",4,IF(J107="race horses",4,IF(J107="new vocabulary",4,IF(J107="sentences",5,IF(J107="concepts",5,IF(J107="ad slides",5,IF(J107="scenes",5,IF(J107="famous scenes",5,IF(J107="poems",6,IF(J107="walk",6,IF(J107="faces and events",6,IF(J107="events and names",6,IF(J107="flashbulb",7,IF(J107="stories",7,IF(J107="course material",7,IF(J107="autobiographical",7,IF(J107="novels",7,IF(J107="public events",7,"99"))))))))))))))))))))))))))))))))))))))))))))))</f>
        <v>5</v>
      </c>
      <c r="M107" s="99">
        <v>1</v>
      </c>
      <c r="N107" s="99">
        <v>4</v>
      </c>
      <c r="O107" s="99">
        <v>0</v>
      </c>
      <c r="P107" s="99"/>
      <c r="Q107" s="69" t="s">
        <v>174</v>
      </c>
      <c r="R107" s="69">
        <f>IF(Q107="Free Recall",1,IF(Q107="Cued Recall",2,IF(Q107="Recognition",3,IF(Q107="Multiple Choice",4,IF(Q107="Savings",5,IF(Q107="Stem Completion",6,IF(Q107="Fragment Completion",7,IF(Q107="anagram solution",8,IF(Q107="Matching",9,IF(Q107="Problem Solving",10,"99"))))))))))</f>
        <v>1</v>
      </c>
      <c r="S107" s="99" t="s">
        <v>49</v>
      </c>
      <c r="T107" s="99" t="s">
        <v>261</v>
      </c>
      <c r="U107" s="69">
        <f>IF(T107="within",1,0)</f>
        <v>0</v>
      </c>
      <c r="V107" s="99">
        <v>32</v>
      </c>
      <c r="W107" s="69">
        <f>F107*V107</f>
        <v>43328</v>
      </c>
      <c r="X107" s="99">
        <v>4</v>
      </c>
      <c r="Y107" s="87">
        <f>AV106</f>
        <v>604800</v>
      </c>
      <c r="Z107" s="99" t="s">
        <v>177</v>
      </c>
      <c r="AA107" s="99">
        <v>30240000</v>
      </c>
      <c r="AB107" s="69" t="str">
        <f>IF(AA107&lt;60,"1",IF(AA107&lt;=43200,"2",IF(AA107&lt;=777600,"3","4")))</f>
        <v>4</v>
      </c>
      <c r="AC107" s="72">
        <f>AVERAGE(AV106:DA106)</f>
        <v>9979200</v>
      </c>
      <c r="AD107" s="69" t="str">
        <f>IF(AC107&lt;60,"1",IF(AC107&lt;=43200,"2",IF(AC107&lt;=777600,"3","4")))</f>
        <v>4</v>
      </c>
      <c r="AE107" s="87">
        <f>AA107-Y107</f>
        <v>29635200</v>
      </c>
      <c r="AF107" s="88">
        <f>AV107</f>
        <v>0.89</v>
      </c>
      <c r="AG107" s="72">
        <f>((AW107-AV107)+(AX107-AW107)+(AY107-AX107))/3</f>
        <v>-0.25666666666666665</v>
      </c>
      <c r="AH107" s="4"/>
      <c r="AI107" s="72">
        <f>RSQ(AV107:AY107,AV106:AY106)</f>
        <v>0.6186314285292801</v>
      </c>
      <c r="AJ107" s="110">
        <f>SLOPE(AV107:AY107,AV106:AY106)</f>
        <v>-1.9046285108419134E-8</v>
      </c>
      <c r="AK107" s="72">
        <f>INTERCEPT(AV107:AY107,AV106:AY106)</f>
        <v>0.64756668835393627</v>
      </c>
      <c r="AL107" s="72">
        <f>INDEX(LINEST(LN(AV107:AY107),LN(AV106:AY106),TRUE,TRUE),3,1)</f>
        <v>0.97524501539840502</v>
      </c>
      <c r="AM107" s="72">
        <f>INDEX(LINEST(LN(AV107:AY107),LN(AV106:AY106)),1)</f>
        <v>-0.52076175220920773</v>
      </c>
      <c r="AN107" s="72">
        <f>EXP(INDEX(LINEST(LN(AV107:AY107),LN(AV106:AY106)),1,2))</f>
        <v>1020.1065670904101</v>
      </c>
      <c r="AO107" s="89">
        <f>INDEX(LINEST((AV107:AY107),LN(AV106:AY106),TRUE,TRUE),3,1)</f>
        <v>0.96235517679792959</v>
      </c>
      <c r="AP107" s="89">
        <f>INDEX(LINEST((AV107:AY107),LN(AV106:AY106)),1)</f>
        <v>-0.20049889153781347</v>
      </c>
      <c r="AQ107" s="90">
        <f>INDEX(LINEST(LN(AV107:AY107),SQRT(AV106:AY106),TRUE,TRUE),3,1)</f>
        <v>0.95864814218962657</v>
      </c>
      <c r="AR107" s="117">
        <f>INDEX(LINEST(LN(AV107:AY107),SQRT((AV106:AY106))),1)</f>
        <v>-4.1049760259548497E-4</v>
      </c>
      <c r="AS107" s="91">
        <f>INDEX(LINEST(1/(AV107:AY107),1/(SQRT(AV106:AY106)),TRUE,TRUE),3,1)</f>
        <v>0.60072473199349685</v>
      </c>
      <c r="AT107" s="91">
        <f>INDEX(LINEST(1/(AV107:AY107),1/SQRT(AV106:AY106)),1)</f>
        <v>-5256.1702665879811</v>
      </c>
      <c r="AU107" s="4"/>
      <c r="AV107" s="101">
        <v>0.89</v>
      </c>
      <c r="AW107" s="101">
        <v>0.52</v>
      </c>
      <c r="AX107" s="101">
        <v>0.3</v>
      </c>
      <c r="AY107" s="101">
        <v>0.12</v>
      </c>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c r="CR107" s="17"/>
      <c r="CS107" s="17"/>
      <c r="CT107" s="17"/>
      <c r="CU107" s="17"/>
    </row>
    <row r="108" spans="1:99" s="19" customFormat="1" ht="12" customHeight="1" x14ac:dyDescent="0.2">
      <c r="A108" s="68">
        <v>43509</v>
      </c>
      <c r="B108" s="100"/>
      <c r="C108" s="100"/>
      <c r="D108" s="99"/>
      <c r="E108" s="106"/>
      <c r="F108" s="99"/>
      <c r="G108" s="99"/>
      <c r="H108" s="99"/>
      <c r="I108" s="99"/>
      <c r="J108" s="99"/>
      <c r="K108" s="107"/>
      <c r="L108" s="107"/>
      <c r="M108" s="99"/>
      <c r="N108" s="99"/>
      <c r="O108" s="99"/>
      <c r="P108" s="99"/>
      <c r="Q108" s="99"/>
      <c r="R108" s="69"/>
      <c r="S108" s="99"/>
      <c r="T108" s="99"/>
      <c r="U108" s="69"/>
      <c r="V108" s="99"/>
      <c r="W108" s="69"/>
      <c r="X108" s="99"/>
      <c r="Y108" s="87"/>
      <c r="Z108" s="99"/>
      <c r="AA108" s="99"/>
      <c r="AB108" s="69"/>
      <c r="AC108" s="69"/>
      <c r="AD108" s="69"/>
      <c r="AE108" s="69"/>
      <c r="AF108" s="88"/>
      <c r="AG108" s="72"/>
      <c r="AH108" s="4"/>
      <c r="AI108" s="123"/>
      <c r="AJ108" s="124"/>
      <c r="AK108" s="123"/>
      <c r="AL108" s="123"/>
      <c r="AM108" s="123"/>
      <c r="AN108" s="123"/>
      <c r="AO108" s="123"/>
      <c r="AP108" s="123"/>
      <c r="AQ108" s="72"/>
      <c r="AR108" s="110"/>
      <c r="AS108" s="72"/>
      <c r="AT108" s="72"/>
      <c r="AU108" s="4"/>
      <c r="AV108" s="71">
        <f>24*3600*7</f>
        <v>604800</v>
      </c>
      <c r="AW108" s="71">
        <f>24*3600*35</f>
        <v>3024000</v>
      </c>
      <c r="AX108" s="71">
        <f>24*3600*70</f>
        <v>6048000</v>
      </c>
      <c r="AY108" s="71">
        <f>24*3600*350</f>
        <v>30240000</v>
      </c>
      <c r="AZ108" s="18"/>
      <c r="BA108" s="18"/>
      <c r="BB108" s="18"/>
      <c r="BC108" s="18"/>
      <c r="BD108" s="18"/>
      <c r="BE108" s="18"/>
      <c r="BF108" s="18"/>
      <c r="BG108" s="18"/>
      <c r="BH108" s="18"/>
      <c r="BI108" s="18"/>
      <c r="BJ108" s="18"/>
      <c r="BK108" s="18"/>
      <c r="BL108" s="18"/>
      <c r="BM108" s="18"/>
      <c r="BN108" s="18"/>
      <c r="BO108" s="18"/>
      <c r="BP108" s="18"/>
      <c r="BQ108" s="18"/>
      <c r="BR108" s="18"/>
      <c r="BS108" s="18"/>
      <c r="BT108" s="18"/>
      <c r="BU108" s="18"/>
      <c r="BV108" s="18"/>
      <c r="BW108" s="18"/>
      <c r="BX108" s="18"/>
      <c r="BY108" s="18"/>
      <c r="BZ108" s="18"/>
      <c r="CA108" s="18"/>
      <c r="CB108" s="18"/>
      <c r="CC108" s="18"/>
      <c r="CD108" s="18"/>
      <c r="CE108" s="18"/>
      <c r="CF108" s="18"/>
      <c r="CG108" s="18"/>
      <c r="CH108" s="18"/>
      <c r="CI108" s="18"/>
      <c r="CJ108" s="18"/>
      <c r="CK108" s="18"/>
      <c r="CL108" s="18"/>
      <c r="CM108" s="18"/>
      <c r="CN108" s="18"/>
      <c r="CO108" s="18"/>
      <c r="CP108" s="18"/>
      <c r="CQ108" s="18"/>
      <c r="CR108" s="17"/>
      <c r="CS108" s="17"/>
      <c r="CT108" s="17"/>
      <c r="CU108" s="17"/>
    </row>
    <row r="109" spans="1:99" s="19" customFormat="1" ht="12" customHeight="1" x14ac:dyDescent="0.2">
      <c r="A109" s="68">
        <v>43509</v>
      </c>
      <c r="B109" s="100" t="s">
        <v>176</v>
      </c>
      <c r="C109" s="100" t="s">
        <v>95</v>
      </c>
      <c r="D109" s="99">
        <v>2008</v>
      </c>
      <c r="E109" s="106">
        <v>1</v>
      </c>
      <c r="F109" s="99">
        <v>1354</v>
      </c>
      <c r="G109" s="99">
        <v>52.1</v>
      </c>
      <c r="H109" s="99" t="s">
        <v>32</v>
      </c>
      <c r="I109" s="99" t="s">
        <v>653</v>
      </c>
      <c r="J109" s="69" t="s">
        <v>475</v>
      </c>
      <c r="K109" s="69">
        <f>IF(J109="syllables",1,IF(J109="trigrams",2,IF(J109="strings",3,IF(J109="visual array",4,IF(J109="characters",5,IF(J109="letters",6,IF(J109="free forms",7,IF(J109="odors",8,IF(J109="words",9,IF(J109="pictures",10,IF(J109="object pictures",11,IF(J109="faces",12,IF(J109="names",13,IF(J109="idioms",14,IF(J109="grades",15,IF(J109="syllable-digit pairs",16,IF(J109="trigram-word pairs",17,IF(J109="word-digit pairs",18,IF(J109="English-Swahili pairs",19,IF(J109="spatial position",20,IF(J109="word pairs",21,IF(J109="word triads",22,IF(J109="generated words",23,IF(J109="word definition pairs",24,IF(J109="math problems",25,IF(J109="famous faces",26,IF(J109="famous names",27,IF(J109="famous voices",28,IF(J109="television programs",29,IF(J109="race horses",30,IF(J109="new vocabulary",31,IF(J109="sentences",32,IF(J109="concepts",33,IF(J109="ad slides",34,IF(J109="scenes",35,IF(J109="famous scenes",36,IF(J109="poems",37,IF(J109="walk",38,IF(J109="faces and events",39,IF(J109="events and names",40,IF(J109="flashbulb",41,IF(J109="stories",42,IF(J109="course material",43,IF(J109="autobiographical",44,IF(J109="novels",45,IF(J109="public events",46,"99"))))))))))))))))))))))))))))))))))))))))))))))</f>
        <v>32</v>
      </c>
      <c r="L109" s="69">
        <f>IF(J109="syllables",1,IF(J109="trigrams",1,IF(J109="strings",1,IF(J109="visual array",1,IF(J109="characters",1,IF(J109="letters",1,IF(J109="free forms",1,IF(J109="odors",2,IF(J109="words",2,IF(J109="pictures",2,IF(J109="object pictures",2,IF(J109="faces",2,IF(J109="names",2,IF(J109="idioms","2",IF(J109="grades",2,IF(J109="syllable-digit pairs",3,IF(J109="trigram-word pairs",3,IF(J109="word-digit pairs",3,IF(J109="English-Swahili pairs",3,IF(J109="spatial position",3,IF(J109="word pairs",4,IF(J109="word triads",4,IF(J109="generated words",4,IF(J109="word definition pairs",4,IF(J109="math problems",4,IF(J109="famous faces",4,IF(J109="famous names",4,IF(J109="famous voices",4,IF(J109="television programs",4,IF(J109="race horses",4,IF(J109="new vocabulary",4,IF(J109="sentences",5,IF(J109="concepts",5,IF(J109="ad slides",5,IF(J109="scenes",5,IF(J109="famous scenes",5,IF(J109="poems",6,IF(J109="walk",6,IF(J109="faces and events",6,IF(J109="events and names",6,IF(J109="flashbulb",7,IF(J109="stories",7,IF(J109="course material",7,IF(J109="autobiographical",7,IF(J109="novels",7,IF(J109="public events",7,"99"))))))))))))))))))))))))))))))))))))))))))))))</f>
        <v>5</v>
      </c>
      <c r="M109" s="99">
        <v>1</v>
      </c>
      <c r="N109" s="99">
        <v>4</v>
      </c>
      <c r="O109" s="99">
        <v>0</v>
      </c>
      <c r="P109" s="99"/>
      <c r="Q109" s="69" t="s">
        <v>174</v>
      </c>
      <c r="R109" s="69">
        <f>IF(Q109="Free Recall",1,IF(Q109="Cued Recall",2,IF(Q109="Recognition",3,IF(Q109="Multiple Choice",4,IF(Q109="Savings",5,IF(Q109="Stem Completion",6,IF(Q109="Fragment Completion",7,IF(Q109="anagram solution",8,IF(Q109="Matching",9,IF(Q109="Problem Solving",10,"99"))))))))))</f>
        <v>1</v>
      </c>
      <c r="S109" s="99" t="s">
        <v>49</v>
      </c>
      <c r="T109" s="99" t="s">
        <v>261</v>
      </c>
      <c r="U109" s="69">
        <f>IF(T109="within",1,0)</f>
        <v>0</v>
      </c>
      <c r="V109" s="99">
        <v>32</v>
      </c>
      <c r="W109" s="69">
        <f>F109*V109</f>
        <v>43328</v>
      </c>
      <c r="X109" s="99">
        <v>4</v>
      </c>
      <c r="Y109" s="87">
        <f>AV108</f>
        <v>604800</v>
      </c>
      <c r="Z109" s="99" t="s">
        <v>177</v>
      </c>
      <c r="AA109" s="99">
        <v>30240000</v>
      </c>
      <c r="AB109" s="69" t="str">
        <f>IF(AA109&lt;60,"1",IF(AA109&lt;=43200,"2",IF(AA109&lt;=777600,"3","4")))</f>
        <v>4</v>
      </c>
      <c r="AC109" s="72">
        <f>AVERAGE(AV108:DA108)</f>
        <v>9979200</v>
      </c>
      <c r="AD109" s="69" t="str">
        <f>IF(AC109&lt;60,"1",IF(AC109&lt;=43200,"2",IF(AC109&lt;=777600,"3","4")))</f>
        <v>4</v>
      </c>
      <c r="AE109" s="87">
        <f>AA109-Y109</f>
        <v>29635200</v>
      </c>
      <c r="AF109" s="88">
        <f>AV109</f>
        <v>0.98</v>
      </c>
      <c r="AG109" s="72">
        <f>((AW109-AV109)+(AX109-AW109)+(AY109-AX109))/3</f>
        <v>-0.28333333333333338</v>
      </c>
      <c r="AH109" s="4"/>
      <c r="AI109" s="72">
        <f>RSQ(AV109:AY109,AV108:AY108)</f>
        <v>0.76585316007177029</v>
      </c>
      <c r="AJ109" s="110">
        <f>SLOPE(AV109:AY109,AV108:AY108)</f>
        <v>-2.3198708746854484E-8</v>
      </c>
      <c r="AK109" s="72">
        <f>INTERCEPT(AV109:AY109,AV108:AY108)</f>
        <v>0.78900455432661021</v>
      </c>
      <c r="AL109" s="72">
        <f>INDEX(LINEST(LN(AV109:AY109),LN(AV108:AY108),TRUE,TRUE),3,1)</f>
        <v>0.92059077450383398</v>
      </c>
      <c r="AM109" s="72">
        <f>INDEX(LINEST(LN(AV109:AY109),LN(AV108:AY108)),1)</f>
        <v>-0.5214112085031487</v>
      </c>
      <c r="AN109" s="72">
        <f>EXP(INDEX(LINEST(LN(AV109:AY109),LN(AV108:AY108)),1,2))</f>
        <v>1264.4449660405814</v>
      </c>
      <c r="AO109" s="89">
        <f>INDEX(LINEST((AV109:AY109),LN(AV108:AY108),TRUE,TRUE),3,1)</f>
        <v>0.98525250185941826</v>
      </c>
      <c r="AP109" s="89">
        <f>INDEX(LINEST((AV109:AY109),LN(AV108:AY108)),1)</f>
        <v>-0.22208274799690472</v>
      </c>
      <c r="AQ109" s="90">
        <f>INDEX(LINEST(LN(AV109:AY109),SQRT(AV108:AY108),TRUE,TRUE),3,1)</f>
        <v>0.99401774346541827</v>
      </c>
      <c r="AR109" s="117">
        <f>INDEX(LINEST(LN(AV109:AY109),SQRT((AV108:AY108))),1)</f>
        <v>-4.3076748984350569E-4</v>
      </c>
      <c r="AS109" s="91">
        <f>INDEX(LINEST(1/(AV109:AY109),1/(SQRT(AV108:AY108)),TRUE,TRUE),3,1)</f>
        <v>0.50796695023227234</v>
      </c>
      <c r="AT109" s="91">
        <f>INDEX(LINEST(1/(AV109:AY109),1/SQRT(AV108:AY108)),1)</f>
        <v>-4624.161187438227</v>
      </c>
      <c r="AU109" s="4"/>
      <c r="AV109" s="101">
        <v>0.98</v>
      </c>
      <c r="AW109" s="101">
        <v>0.69</v>
      </c>
      <c r="AX109" s="101">
        <v>0.43</v>
      </c>
      <c r="AY109" s="101">
        <v>0.13</v>
      </c>
      <c r="AZ109" s="18"/>
      <c r="BA109" s="18"/>
      <c r="BB109" s="18"/>
      <c r="BC109" s="18"/>
      <c r="BD109" s="18"/>
      <c r="BE109" s="18"/>
      <c r="BF109" s="18"/>
      <c r="BG109" s="18"/>
      <c r="BH109" s="18"/>
      <c r="BI109" s="18"/>
      <c r="BJ109" s="18"/>
      <c r="BK109" s="18"/>
      <c r="BL109" s="18"/>
      <c r="BM109" s="18"/>
      <c r="BN109" s="18"/>
      <c r="BO109" s="18"/>
      <c r="BP109" s="18"/>
      <c r="BQ109" s="18"/>
      <c r="BR109" s="18"/>
      <c r="BS109" s="18"/>
      <c r="BT109" s="18"/>
      <c r="BU109" s="18"/>
      <c r="BV109" s="18"/>
      <c r="BW109" s="18"/>
      <c r="BX109" s="18"/>
      <c r="BY109" s="18"/>
      <c r="BZ109" s="18"/>
      <c r="CA109" s="18"/>
      <c r="CB109" s="18"/>
      <c r="CC109" s="18"/>
      <c r="CD109" s="18"/>
      <c r="CE109" s="18"/>
      <c r="CF109" s="18"/>
      <c r="CG109" s="18"/>
      <c r="CH109" s="18"/>
      <c r="CI109" s="18"/>
      <c r="CJ109" s="18"/>
      <c r="CK109" s="18"/>
      <c r="CL109" s="18"/>
      <c r="CM109" s="18"/>
      <c r="CN109" s="18"/>
      <c r="CO109" s="18"/>
      <c r="CP109" s="18"/>
      <c r="CQ109" s="18"/>
      <c r="CR109" s="17"/>
      <c r="CS109" s="17"/>
      <c r="CT109" s="17"/>
      <c r="CU109" s="17"/>
    </row>
    <row r="110" spans="1:99" s="19" customFormat="1" ht="12" customHeight="1" x14ac:dyDescent="0.2">
      <c r="A110" s="68">
        <v>43509</v>
      </c>
      <c r="B110" s="100"/>
      <c r="C110" s="100"/>
      <c r="D110" s="99"/>
      <c r="E110" s="106"/>
      <c r="F110" s="99"/>
      <c r="G110" s="99"/>
      <c r="H110" s="99"/>
      <c r="I110" s="99"/>
      <c r="J110" s="99"/>
      <c r="K110" s="107"/>
      <c r="L110" s="107"/>
      <c r="M110" s="99"/>
      <c r="N110" s="99"/>
      <c r="O110" s="99"/>
      <c r="P110" s="99"/>
      <c r="Q110" s="99"/>
      <c r="R110" s="69"/>
      <c r="S110" s="99"/>
      <c r="T110" s="99"/>
      <c r="U110" s="69"/>
      <c r="V110" s="99"/>
      <c r="W110" s="69"/>
      <c r="X110" s="99"/>
      <c r="Y110" s="87"/>
      <c r="Z110" s="99"/>
      <c r="AA110" s="99"/>
      <c r="AB110" s="69"/>
      <c r="AC110" s="69"/>
      <c r="AD110" s="69"/>
      <c r="AE110" s="69"/>
      <c r="AF110" s="88"/>
      <c r="AG110" s="72"/>
      <c r="AH110" s="4"/>
      <c r="AI110" s="123"/>
      <c r="AJ110" s="124"/>
      <c r="AK110" s="123"/>
      <c r="AL110" s="123"/>
      <c r="AM110" s="123"/>
      <c r="AN110" s="123"/>
      <c r="AO110" s="123"/>
      <c r="AP110" s="123"/>
      <c r="AQ110" s="72"/>
      <c r="AR110" s="110"/>
      <c r="AS110" s="72"/>
      <c r="AT110" s="72"/>
      <c r="AU110" s="4"/>
      <c r="AV110" s="71">
        <f>24*3600*7</f>
        <v>604800</v>
      </c>
      <c r="AW110" s="71">
        <f>24*3600*35</f>
        <v>3024000</v>
      </c>
      <c r="AX110" s="71">
        <f>24*3600*70</f>
        <v>6048000</v>
      </c>
      <c r="AY110" s="71">
        <f>24*3600*350</f>
        <v>30240000</v>
      </c>
      <c r="AZ110" s="18"/>
      <c r="BA110" s="18"/>
      <c r="BB110" s="18"/>
      <c r="BC110" s="18"/>
      <c r="BD110" s="18"/>
      <c r="BE110" s="18"/>
      <c r="BF110" s="18"/>
      <c r="BG110" s="18"/>
      <c r="BH110" s="18"/>
      <c r="BI110" s="18"/>
      <c r="BJ110" s="18"/>
      <c r="BK110" s="18"/>
      <c r="BL110" s="18"/>
      <c r="BM110" s="18"/>
      <c r="BN110" s="18"/>
      <c r="BO110" s="18"/>
      <c r="BP110" s="18"/>
      <c r="BQ110" s="18"/>
      <c r="BR110" s="18"/>
      <c r="BS110" s="18"/>
      <c r="BT110" s="18"/>
      <c r="BU110" s="18"/>
      <c r="BV110" s="18"/>
      <c r="BW110" s="18"/>
      <c r="BX110" s="18"/>
      <c r="BY110" s="18"/>
      <c r="BZ110" s="18"/>
      <c r="CA110" s="18"/>
      <c r="CB110" s="18"/>
      <c r="CC110" s="18"/>
      <c r="CD110" s="18"/>
      <c r="CE110" s="18"/>
      <c r="CF110" s="18"/>
      <c r="CG110" s="18"/>
      <c r="CH110" s="18"/>
      <c r="CI110" s="18"/>
      <c r="CJ110" s="18"/>
      <c r="CK110" s="18"/>
      <c r="CL110" s="18"/>
      <c r="CM110" s="18"/>
      <c r="CN110" s="18"/>
      <c r="CO110" s="18"/>
      <c r="CP110" s="18"/>
      <c r="CQ110" s="18"/>
      <c r="CR110" s="17"/>
      <c r="CS110" s="17"/>
      <c r="CT110" s="17"/>
      <c r="CU110" s="17"/>
    </row>
    <row r="111" spans="1:99" s="19" customFormat="1" ht="12" customHeight="1" x14ac:dyDescent="0.2">
      <c r="A111" s="68">
        <v>43509</v>
      </c>
      <c r="B111" s="100" t="s">
        <v>176</v>
      </c>
      <c r="C111" s="100" t="s">
        <v>95</v>
      </c>
      <c r="D111" s="99">
        <v>2008</v>
      </c>
      <c r="E111" s="106">
        <v>1</v>
      </c>
      <c r="F111" s="99">
        <v>1354</v>
      </c>
      <c r="G111" s="99">
        <v>52.1</v>
      </c>
      <c r="H111" s="99" t="s">
        <v>32</v>
      </c>
      <c r="I111" s="99" t="s">
        <v>654</v>
      </c>
      <c r="J111" s="69" t="s">
        <v>475</v>
      </c>
      <c r="K111" s="69">
        <f>IF(J111="syllables",1,IF(J111="trigrams",2,IF(J111="strings",3,IF(J111="visual array",4,IF(J111="characters",5,IF(J111="letters",6,IF(J111="free forms",7,IF(J111="odors",8,IF(J111="words",9,IF(J111="pictures",10,IF(J111="object pictures",11,IF(J111="faces",12,IF(J111="names",13,IF(J111="idioms",14,IF(J111="grades",15,IF(J111="syllable-digit pairs",16,IF(J111="trigram-word pairs",17,IF(J111="word-digit pairs",18,IF(J111="English-Swahili pairs",19,IF(J111="spatial position",20,IF(J111="word pairs",21,IF(J111="word triads",22,IF(J111="generated words",23,IF(J111="word definition pairs",24,IF(J111="math problems",25,IF(J111="famous faces",26,IF(J111="famous names",27,IF(J111="famous voices",28,IF(J111="television programs",29,IF(J111="race horses",30,IF(J111="new vocabulary",31,IF(J111="sentences",32,IF(J111="concepts",33,IF(J111="ad slides",34,IF(J111="scenes",35,IF(J111="famous scenes",36,IF(J111="poems",37,IF(J111="walk",38,IF(J111="faces and events",39,IF(J111="events and names",40,IF(J111="flashbulb",41,IF(J111="stories",42,IF(J111="course material",43,IF(J111="autobiographical",44,IF(J111="novels",45,IF(J111="public events",46,"99"))))))))))))))))))))))))))))))))))))))))))))))</f>
        <v>32</v>
      </c>
      <c r="L111" s="69">
        <f>IF(J111="syllables",1,IF(J111="trigrams",1,IF(J111="strings",1,IF(J111="visual array",1,IF(J111="characters",1,IF(J111="letters",1,IF(J111="free forms",1,IF(J111="odors",2,IF(J111="words",2,IF(J111="pictures",2,IF(J111="object pictures",2,IF(J111="faces",2,IF(J111="names",2,IF(J111="idioms","2",IF(J111="grades",2,IF(J111="syllable-digit pairs",3,IF(J111="trigram-word pairs",3,IF(J111="word-digit pairs",3,IF(J111="English-Swahili pairs",3,IF(J111="spatial position",3,IF(J111="word pairs",4,IF(J111="word triads",4,IF(J111="generated words",4,IF(J111="word definition pairs",4,IF(J111="math problems",4,IF(J111="famous faces",4,IF(J111="famous names",4,IF(J111="famous voices",4,IF(J111="television programs",4,IF(J111="race horses",4,IF(J111="new vocabulary",4,IF(J111="sentences",5,IF(J111="concepts",5,IF(J111="ad slides",5,IF(J111="scenes",5,IF(J111="famous scenes",5,IF(J111="poems",6,IF(J111="walk",6,IF(J111="faces and events",6,IF(J111="events and names",6,IF(J111="flashbulb",7,IF(J111="stories",7,IF(J111="course material",7,IF(J111="autobiographical",7,IF(J111="novels",7,IF(J111="public events",7,"99"))))))))))))))))))))))))))))))))))))))))))))))</f>
        <v>5</v>
      </c>
      <c r="M111" s="99">
        <v>1</v>
      </c>
      <c r="N111" s="99">
        <v>4</v>
      </c>
      <c r="O111" s="99">
        <v>0</v>
      </c>
      <c r="P111" s="99"/>
      <c r="Q111" s="69" t="s">
        <v>174</v>
      </c>
      <c r="R111" s="69">
        <f>IF(Q111="Free Recall",1,IF(Q111="Cued Recall",2,IF(Q111="Recognition",3,IF(Q111="Multiple Choice",4,IF(Q111="Savings",5,IF(Q111="Stem Completion",6,IF(Q111="Fragment Completion",7,IF(Q111="anagram solution",8,IF(Q111="Matching",9,IF(Q111="Problem Solving",10,"99"))))))))))</f>
        <v>1</v>
      </c>
      <c r="S111" s="99" t="s">
        <v>49</v>
      </c>
      <c r="T111" s="99" t="s">
        <v>261</v>
      </c>
      <c r="U111" s="69">
        <f>IF(T111="within",1,0)</f>
        <v>0</v>
      </c>
      <c r="V111" s="99">
        <v>32</v>
      </c>
      <c r="W111" s="69">
        <f>F111*V111</f>
        <v>43328</v>
      </c>
      <c r="X111" s="99">
        <v>4</v>
      </c>
      <c r="Y111" s="87">
        <f>AV110</f>
        <v>604800</v>
      </c>
      <c r="Z111" s="99" t="s">
        <v>177</v>
      </c>
      <c r="AA111" s="99">
        <v>30240000</v>
      </c>
      <c r="AB111" s="69" t="str">
        <f>IF(AA111&lt;60,"1",IF(AA111&lt;=43200,"2",IF(AA111&lt;=777600,"3","4")))</f>
        <v>4</v>
      </c>
      <c r="AC111" s="72">
        <f>AVERAGE(AV110:DA110)</f>
        <v>9979200</v>
      </c>
      <c r="AD111" s="69" t="str">
        <f>IF(AC111&lt;60,"1",IF(AC111&lt;=43200,"2",IF(AC111&lt;=777600,"3","4")))</f>
        <v>4</v>
      </c>
      <c r="AE111" s="87">
        <f>AA111-Y111</f>
        <v>29635200</v>
      </c>
      <c r="AF111" s="88">
        <f>AV111</f>
        <v>0.95</v>
      </c>
      <c r="AG111" s="72">
        <f>((AW111-AV111)+(AX111-AW111)+(AY111-AX111))/3</f>
        <v>-0.26666666666666666</v>
      </c>
      <c r="AH111" s="4"/>
      <c r="AI111" s="72">
        <f>RSQ(AV111:AY111,AV110:AY110)</f>
        <v>0.93944206949650599</v>
      </c>
      <c r="AJ111" s="110">
        <f>SLOPE(AV111:AY111,AV110:AY110)</f>
        <v>-2.4597193391923386E-8</v>
      </c>
      <c r="AK111" s="72">
        <f>INTERCEPT(AV111:AY111,AV110:AY110)</f>
        <v>0.87296031229668181</v>
      </c>
      <c r="AL111" s="72">
        <f>INDEX(LINEST(LN(AV111:AY111),LN(AV110:AY110),TRUE,TRUE),3,1)</f>
        <v>0.82052082151714656</v>
      </c>
      <c r="AM111" s="72">
        <f>INDEX(LINEST(LN(AV111:AY111),LN(AV110:AY110)),1)</f>
        <v>-0.46937964364704871</v>
      </c>
      <c r="AN111" s="72">
        <f>EXP(INDEX(LINEST(LN(AV111:AY111),LN(AV110:AY110)),1,2))</f>
        <v>665.36586606126309</v>
      </c>
      <c r="AO111" s="89">
        <f>INDEX(LINEST((AV111:AY111),LN(AV110:AY110),TRUE,TRUE),3,1)</f>
        <v>0.93052893022318917</v>
      </c>
      <c r="AP111" s="89">
        <f>INDEX(LINEST((AV111:AY111),LN(AV110:AY110)),1)</f>
        <v>-0.20661673037880743</v>
      </c>
      <c r="AQ111" s="90">
        <f>INDEX(LINEST(LN(AV111:AY111),SQRT(AV110:AY110),TRUE,TRUE),3,1)</f>
        <v>0.98105017333981503</v>
      </c>
      <c r="AR111" s="117">
        <f>INDEX(LINEST(LN(AV111:AY111),SQRT((AV110:AY110))),1)</f>
        <v>-4.0805983993045516E-4</v>
      </c>
      <c r="AS111" s="91">
        <f>INDEX(LINEST(1/(AV111:AY111),1/(SQRT(AV110:AY110)),TRUE,TRUE),3,1)</f>
        <v>0.43786809683746369</v>
      </c>
      <c r="AT111" s="91">
        <f>INDEX(LINEST(1/(AV111:AY111),1/SQRT(AV110:AY110)),1)</f>
        <v>-3727.8971790097903</v>
      </c>
      <c r="AU111" s="4"/>
      <c r="AV111" s="101">
        <v>0.95</v>
      </c>
      <c r="AW111" s="101">
        <v>0.8</v>
      </c>
      <c r="AX111" s="101">
        <v>0.61</v>
      </c>
      <c r="AY111" s="101">
        <v>0.15</v>
      </c>
      <c r="AZ111" s="18"/>
      <c r="BA111" s="18"/>
      <c r="BB111" s="18"/>
      <c r="BC111" s="18"/>
      <c r="BD111" s="18"/>
      <c r="BE111" s="18"/>
      <c r="BF111" s="18"/>
      <c r="BG111" s="18"/>
      <c r="BH111" s="18"/>
      <c r="BI111" s="18"/>
      <c r="BJ111" s="18"/>
      <c r="BK111" s="18"/>
      <c r="BL111" s="18"/>
      <c r="BM111" s="18"/>
      <c r="BN111" s="18"/>
      <c r="BO111" s="18"/>
      <c r="BP111" s="18"/>
      <c r="BQ111" s="18"/>
      <c r="BR111" s="18"/>
      <c r="BS111" s="18"/>
      <c r="BT111" s="18"/>
      <c r="BU111" s="18"/>
      <c r="BV111" s="18"/>
      <c r="BW111" s="18"/>
      <c r="BX111" s="18"/>
      <c r="BY111" s="18"/>
      <c r="BZ111" s="18"/>
      <c r="CA111" s="18"/>
      <c r="CB111" s="18"/>
      <c r="CC111" s="18"/>
      <c r="CD111" s="18"/>
      <c r="CE111" s="18"/>
      <c r="CF111" s="18"/>
      <c r="CG111" s="18"/>
      <c r="CH111" s="18"/>
      <c r="CI111" s="18"/>
      <c r="CJ111" s="18"/>
      <c r="CK111" s="18"/>
      <c r="CL111" s="18"/>
      <c r="CM111" s="18"/>
      <c r="CN111" s="18"/>
      <c r="CO111" s="18"/>
      <c r="CP111" s="18"/>
      <c r="CQ111" s="18"/>
      <c r="CR111" s="17"/>
      <c r="CS111" s="17"/>
      <c r="CT111" s="17"/>
      <c r="CU111" s="17"/>
    </row>
    <row r="112" spans="1:99" s="19" customFormat="1" ht="12" customHeight="1" x14ac:dyDescent="0.2">
      <c r="A112" s="68">
        <v>43509</v>
      </c>
      <c r="B112" s="100"/>
      <c r="C112" s="100"/>
      <c r="D112" s="99"/>
      <c r="E112" s="106"/>
      <c r="F112" s="99"/>
      <c r="G112" s="99"/>
      <c r="H112" s="99"/>
      <c r="I112" s="99"/>
      <c r="J112" s="99"/>
      <c r="K112" s="107"/>
      <c r="L112" s="107"/>
      <c r="M112" s="99"/>
      <c r="N112" s="99"/>
      <c r="O112" s="99"/>
      <c r="P112" s="99"/>
      <c r="Q112" s="99"/>
      <c r="R112" s="69"/>
      <c r="S112" s="99"/>
      <c r="T112" s="99"/>
      <c r="U112" s="69"/>
      <c r="V112" s="99"/>
      <c r="W112" s="69"/>
      <c r="X112" s="99"/>
      <c r="Y112" s="87"/>
      <c r="Z112" s="99"/>
      <c r="AA112" s="99"/>
      <c r="AB112" s="69"/>
      <c r="AC112" s="69"/>
      <c r="AD112" s="69"/>
      <c r="AE112" s="69"/>
      <c r="AF112" s="88"/>
      <c r="AG112" s="72"/>
      <c r="AH112" s="4"/>
      <c r="AI112" s="123"/>
      <c r="AJ112" s="124"/>
      <c r="AK112" s="123"/>
      <c r="AL112" s="123"/>
      <c r="AM112" s="123"/>
      <c r="AN112" s="123"/>
      <c r="AO112" s="123"/>
      <c r="AP112" s="123"/>
      <c r="AQ112" s="72"/>
      <c r="AR112" s="110"/>
      <c r="AS112" s="72"/>
      <c r="AT112" s="72"/>
      <c r="AU112" s="4"/>
      <c r="AV112" s="71">
        <f>24*3600*7</f>
        <v>604800</v>
      </c>
      <c r="AW112" s="71">
        <f>24*3600*35</f>
        <v>3024000</v>
      </c>
      <c r="AX112" s="71">
        <f>24*3600*70</f>
        <v>6048000</v>
      </c>
      <c r="AY112" s="71">
        <f>24*3600*350</f>
        <v>30240000</v>
      </c>
      <c r="AZ112" s="18"/>
      <c r="BA112" s="18"/>
      <c r="BB112" s="18"/>
      <c r="BC112" s="18"/>
      <c r="BD112" s="18"/>
      <c r="BE112" s="18"/>
      <c r="BF112" s="18"/>
      <c r="BG112" s="18"/>
      <c r="BH112" s="18"/>
      <c r="BI112" s="18"/>
      <c r="BJ112" s="18"/>
      <c r="BK112" s="18"/>
      <c r="BL112" s="18"/>
      <c r="BM112" s="18"/>
      <c r="BN112" s="18"/>
      <c r="BO112" s="18"/>
      <c r="BP112" s="18"/>
      <c r="BQ112" s="18"/>
      <c r="BR112" s="18"/>
      <c r="BS112" s="18"/>
      <c r="BT112" s="18"/>
      <c r="BU112" s="18"/>
      <c r="BV112" s="18"/>
      <c r="BW112" s="18"/>
      <c r="BX112" s="18"/>
      <c r="BY112" s="18"/>
      <c r="BZ112" s="18"/>
      <c r="CA112" s="18"/>
      <c r="CB112" s="18"/>
      <c r="CC112" s="18"/>
      <c r="CD112" s="18"/>
      <c r="CE112" s="18"/>
      <c r="CF112" s="18"/>
      <c r="CG112" s="18"/>
      <c r="CH112" s="18"/>
      <c r="CI112" s="18"/>
      <c r="CJ112" s="18"/>
      <c r="CK112" s="18"/>
      <c r="CL112" s="18"/>
      <c r="CM112" s="18"/>
      <c r="CN112" s="18"/>
      <c r="CO112" s="18"/>
      <c r="CP112" s="18"/>
      <c r="CQ112" s="18"/>
      <c r="CR112" s="17"/>
      <c r="CS112" s="17"/>
      <c r="CT112" s="17"/>
      <c r="CU112" s="17"/>
    </row>
    <row r="113" spans="1:99" s="19" customFormat="1" ht="12" customHeight="1" x14ac:dyDescent="0.2">
      <c r="A113" s="68">
        <v>43509</v>
      </c>
      <c r="B113" s="100" t="s">
        <v>176</v>
      </c>
      <c r="C113" s="100" t="s">
        <v>95</v>
      </c>
      <c r="D113" s="99">
        <v>2008</v>
      </c>
      <c r="E113" s="106">
        <v>1</v>
      </c>
      <c r="F113" s="99">
        <v>1354</v>
      </c>
      <c r="G113" s="99">
        <v>52.1</v>
      </c>
      <c r="H113" s="99" t="s">
        <v>32</v>
      </c>
      <c r="I113" s="99" t="s">
        <v>655</v>
      </c>
      <c r="J113" s="69" t="s">
        <v>475</v>
      </c>
      <c r="K113" s="69">
        <f>IF(J113="syllables",1,IF(J113="trigrams",2,IF(J113="strings",3,IF(J113="visual array",4,IF(J113="characters",5,IF(J113="letters",6,IF(J113="free forms",7,IF(J113="odors",8,IF(J113="words",9,IF(J113="pictures",10,IF(J113="object pictures",11,IF(J113="faces",12,IF(J113="names",13,IF(J113="idioms",14,IF(J113="grades",15,IF(J113="syllable-digit pairs",16,IF(J113="trigram-word pairs",17,IF(J113="word-digit pairs",18,IF(J113="English-Swahili pairs",19,IF(J113="spatial position",20,IF(J113="word pairs",21,IF(J113="word triads",22,IF(J113="generated words",23,IF(J113="word definition pairs",24,IF(J113="math problems",25,IF(J113="famous faces",26,IF(J113="famous names",27,IF(J113="famous voices",28,IF(J113="television programs",29,IF(J113="race horses",30,IF(J113="new vocabulary",31,IF(J113="sentences",32,IF(J113="concepts",33,IF(J113="ad slides",34,IF(J113="scenes",35,IF(J113="famous scenes",36,IF(J113="poems",37,IF(J113="walk",38,IF(J113="faces and events",39,IF(J113="events and names",40,IF(J113="flashbulb",41,IF(J113="stories",42,IF(J113="course material",43,IF(J113="autobiographical",44,IF(J113="novels",45,IF(J113="public events",46,"99"))))))))))))))))))))))))))))))))))))))))))))))</f>
        <v>32</v>
      </c>
      <c r="L113" s="69">
        <f>IF(J113="syllables",1,IF(J113="trigrams",1,IF(J113="strings",1,IF(J113="visual array",1,IF(J113="characters",1,IF(J113="letters",1,IF(J113="free forms",1,IF(J113="odors",2,IF(J113="words",2,IF(J113="pictures",2,IF(J113="object pictures",2,IF(J113="faces",2,IF(J113="names",2,IF(J113="idioms","2",IF(J113="grades",2,IF(J113="syllable-digit pairs",3,IF(J113="trigram-word pairs",3,IF(J113="word-digit pairs",3,IF(J113="English-Swahili pairs",3,IF(J113="spatial position",3,IF(J113="word pairs",4,IF(J113="word triads",4,IF(J113="generated words",4,IF(J113="word definition pairs",4,IF(J113="math problems",4,IF(J113="famous faces",4,IF(J113="famous names",4,IF(J113="famous voices",4,IF(J113="television programs",4,IF(J113="race horses",4,IF(J113="new vocabulary",4,IF(J113="sentences",5,IF(J113="concepts",5,IF(J113="ad slides",5,IF(J113="scenes",5,IF(J113="famous scenes",5,IF(J113="poems",6,IF(J113="walk",6,IF(J113="faces and events",6,IF(J113="events and names",6,IF(J113="flashbulb",7,IF(J113="stories",7,IF(J113="course material",7,IF(J113="autobiographical",7,IF(J113="novels",7,IF(J113="public events",7,"99"))))))))))))))))))))))))))))))))))))))))))))))</f>
        <v>5</v>
      </c>
      <c r="M113" s="99">
        <v>1</v>
      </c>
      <c r="N113" s="99">
        <v>4</v>
      </c>
      <c r="O113" s="99">
        <v>0</v>
      </c>
      <c r="P113" s="99"/>
      <c r="Q113" s="69" t="s">
        <v>174</v>
      </c>
      <c r="R113" s="69">
        <f>IF(Q113="Free Recall",1,IF(Q113="Cued Recall",2,IF(Q113="Recognition",3,IF(Q113="Multiple Choice",4,IF(Q113="Savings",5,IF(Q113="Stem Completion",6,IF(Q113="Fragment Completion",7,IF(Q113="anagram solution",8,IF(Q113="Matching",9,IF(Q113="Problem Solving",10,"99"))))))))))</f>
        <v>1</v>
      </c>
      <c r="S113" s="99" t="s">
        <v>49</v>
      </c>
      <c r="T113" s="99" t="s">
        <v>261</v>
      </c>
      <c r="U113" s="69">
        <f>IF(T113="within",1,0)</f>
        <v>0</v>
      </c>
      <c r="V113" s="99">
        <v>32</v>
      </c>
      <c r="W113" s="69">
        <f>F113*V113</f>
        <v>43328</v>
      </c>
      <c r="X113" s="99">
        <v>4</v>
      </c>
      <c r="Y113" s="87">
        <f>AV112</f>
        <v>604800</v>
      </c>
      <c r="Z113" s="99" t="s">
        <v>177</v>
      </c>
      <c r="AA113" s="99">
        <v>30240000</v>
      </c>
      <c r="AB113" s="69" t="str">
        <f>IF(AA113&lt;60,"1",IF(AA113&lt;=43200,"2",IF(AA113&lt;=777600,"3","4")))</f>
        <v>4</v>
      </c>
      <c r="AC113" s="72">
        <f>AVERAGE(AV112:DA112)</f>
        <v>9979200</v>
      </c>
      <c r="AD113" s="69" t="str">
        <f>IF(AC113&lt;60,"1",IF(AC113&lt;=43200,"2",IF(AC113&lt;=777600,"3","4")))</f>
        <v>4</v>
      </c>
      <c r="AE113" s="87">
        <f>AA113-Y113</f>
        <v>29635200</v>
      </c>
      <c r="AF113" s="88">
        <f>AV113</f>
        <v>0.94</v>
      </c>
      <c r="AG113" s="72">
        <f>((AW113-AV113)+(AX113-AW113)+(AY113-AX113))/3</f>
        <v>-0.23666666666666666</v>
      </c>
      <c r="AH113" s="4"/>
      <c r="AI113" s="72">
        <f>RSQ(AV113:AY113,AV112:AY112)</f>
        <v>0.91173400313906006</v>
      </c>
      <c r="AJ113" s="110">
        <f>SLOPE(AV113:AY113,AV112:AY112)</f>
        <v>-2.1052572695383367E-8</v>
      </c>
      <c r="AK113" s="72">
        <f>INTERCEPT(AV113:AY113,AV112:AY112)</f>
        <v>0.84508783344176974</v>
      </c>
      <c r="AL113" s="72">
        <f>INDEX(LINEST(LN(AV113:AY113),LN(AV112:AY112),TRUE,TRUE),3,1)</f>
        <v>0.87429094548962816</v>
      </c>
      <c r="AM113" s="72">
        <f>INDEX(LINEST(LN(AV113:AY113),LN(AV112:AY112)),1)</f>
        <v>-0.3585661426719528</v>
      </c>
      <c r="AN113" s="72">
        <f>EXP(INDEX(LINEST(LN(AV113:AY113),LN(AV112:AY112)),1,2))</f>
        <v>134.25688760632858</v>
      </c>
      <c r="AO113" s="89">
        <f>INDEX(LINEST((AV113:AY113),LN(AV112:AY112),TRUE,TRUE),3,1)</f>
        <v>0.96237140514587072</v>
      </c>
      <c r="AP113" s="89">
        <f>INDEX(LINEST((AV113:AY113),LN(AV112:AY112)),1)</f>
        <v>-0.18255445934357042</v>
      </c>
      <c r="AQ113" s="90">
        <f>INDEX(LINEST(LN(AV113:AY113),SQRT(AV112:AY112),TRUE,TRUE),3,1)</f>
        <v>0.9959813128129722</v>
      </c>
      <c r="AR113" s="117">
        <f>INDEX(LINEST(LN(AV113:AY113),SQRT((AV112:AY112))),1)</f>
        <v>-3.0427458693928124E-4</v>
      </c>
      <c r="AS113" s="91">
        <f>INDEX(LINEST(1/(AV113:AY113),1/(SQRT(AV112:AY112)),TRUE,TRUE),3,1)</f>
        <v>0.50063213941419626</v>
      </c>
      <c r="AT113" s="91">
        <f>INDEX(LINEST(1/(AV113:AY113),1/SQRT(AV112:AY112)),1)</f>
        <v>-2258.1419281121475</v>
      </c>
      <c r="AU113" s="4"/>
      <c r="AV113" s="101">
        <v>0.94</v>
      </c>
      <c r="AW113" s="101">
        <v>0.76</v>
      </c>
      <c r="AX113" s="101">
        <v>0.61</v>
      </c>
      <c r="AY113" s="101">
        <v>0.23</v>
      </c>
      <c r="AZ113" s="18"/>
      <c r="BA113" s="18"/>
      <c r="BB113" s="18"/>
      <c r="BC113" s="18"/>
      <c r="BD113" s="18"/>
      <c r="BE113" s="18"/>
      <c r="BF113" s="18"/>
      <c r="BG113" s="18"/>
      <c r="BH113" s="18"/>
      <c r="BI113" s="18"/>
      <c r="BJ113" s="18"/>
      <c r="BK113" s="18"/>
      <c r="BL113" s="18"/>
      <c r="BM113" s="18"/>
      <c r="BN113" s="18"/>
      <c r="BO113" s="18"/>
      <c r="BP113" s="18"/>
      <c r="BQ113" s="18"/>
      <c r="BR113" s="18"/>
      <c r="BS113" s="18"/>
      <c r="BT113" s="18"/>
      <c r="BU113" s="18"/>
      <c r="BV113" s="18"/>
      <c r="BW113" s="18"/>
      <c r="BX113" s="18"/>
      <c r="BY113" s="18"/>
      <c r="BZ113" s="18"/>
      <c r="CA113" s="18"/>
      <c r="CB113" s="18"/>
      <c r="CC113" s="18"/>
      <c r="CD113" s="18"/>
      <c r="CE113" s="18"/>
      <c r="CF113" s="18"/>
      <c r="CG113" s="18"/>
      <c r="CH113" s="18"/>
      <c r="CI113" s="18"/>
      <c r="CJ113" s="18"/>
      <c r="CK113" s="18"/>
      <c r="CL113" s="18"/>
      <c r="CM113" s="18"/>
      <c r="CN113" s="18"/>
      <c r="CO113" s="18"/>
      <c r="CP113" s="18"/>
      <c r="CQ113" s="18"/>
      <c r="CR113" s="17"/>
      <c r="CS113" s="17"/>
      <c r="CT113" s="17"/>
      <c r="CU113" s="17"/>
    </row>
    <row r="114" spans="1:99" s="19" customFormat="1" ht="12" customHeight="1" x14ac:dyDescent="0.2">
      <c r="A114" s="68">
        <v>43509</v>
      </c>
      <c r="B114" s="100"/>
      <c r="C114" s="100"/>
      <c r="D114" s="99"/>
      <c r="E114" s="106"/>
      <c r="F114" s="99"/>
      <c r="G114" s="99"/>
      <c r="H114" s="99"/>
      <c r="I114" s="99"/>
      <c r="J114" s="99"/>
      <c r="K114" s="107"/>
      <c r="L114" s="107"/>
      <c r="M114" s="99"/>
      <c r="N114" s="99"/>
      <c r="O114" s="99"/>
      <c r="P114" s="99"/>
      <c r="Q114" s="99"/>
      <c r="R114" s="69"/>
      <c r="S114" s="99"/>
      <c r="T114" s="99"/>
      <c r="U114" s="69"/>
      <c r="V114" s="99"/>
      <c r="W114" s="69"/>
      <c r="X114" s="99"/>
      <c r="Y114" s="87"/>
      <c r="Z114" s="99"/>
      <c r="AA114" s="99"/>
      <c r="AB114" s="69"/>
      <c r="AC114" s="69"/>
      <c r="AD114" s="69"/>
      <c r="AE114" s="69"/>
      <c r="AF114" s="88"/>
      <c r="AG114" s="72"/>
      <c r="AH114" s="4"/>
      <c r="AI114" s="123"/>
      <c r="AJ114" s="124"/>
      <c r="AK114" s="123"/>
      <c r="AL114" s="123"/>
      <c r="AM114" s="123"/>
      <c r="AN114" s="123"/>
      <c r="AO114" s="123"/>
      <c r="AP114" s="123"/>
      <c r="AQ114" s="72"/>
      <c r="AR114" s="110"/>
      <c r="AS114" s="72"/>
      <c r="AT114" s="72"/>
      <c r="AU114" s="4"/>
      <c r="AV114" s="71">
        <f>24*3600*7</f>
        <v>604800</v>
      </c>
      <c r="AW114" s="71">
        <f>24*3600*35</f>
        <v>3024000</v>
      </c>
      <c r="AX114" s="71">
        <f>24*3600*70</f>
        <v>6048000</v>
      </c>
      <c r="AY114" s="71">
        <f>24*3600*350</f>
        <v>30240000</v>
      </c>
      <c r="AZ114" s="18"/>
      <c r="BA114" s="18"/>
      <c r="BB114" s="18"/>
      <c r="BC114" s="18"/>
      <c r="BD114" s="18"/>
      <c r="BE114" s="18"/>
      <c r="BF114" s="18"/>
      <c r="BG114" s="18"/>
      <c r="BH114" s="18"/>
      <c r="BI114" s="18"/>
      <c r="BJ114" s="18"/>
      <c r="BK114" s="18"/>
      <c r="BL114" s="18"/>
      <c r="BM114" s="18"/>
      <c r="BN114" s="18"/>
      <c r="BO114" s="18"/>
      <c r="BP114" s="18"/>
      <c r="BQ114" s="18"/>
      <c r="BR114" s="18"/>
      <c r="BS114" s="18"/>
      <c r="BT114" s="18"/>
      <c r="BU114" s="18"/>
      <c r="BV114" s="18"/>
      <c r="BW114" s="18"/>
      <c r="BX114" s="18"/>
      <c r="BY114" s="18"/>
      <c r="BZ114" s="18"/>
      <c r="CA114" s="18"/>
      <c r="CB114" s="18"/>
      <c r="CC114" s="18"/>
      <c r="CD114" s="18"/>
      <c r="CE114" s="18"/>
      <c r="CF114" s="18"/>
      <c r="CG114" s="18"/>
      <c r="CH114" s="18"/>
      <c r="CI114" s="18"/>
      <c r="CJ114" s="18"/>
      <c r="CK114" s="18"/>
      <c r="CL114" s="18"/>
      <c r="CM114" s="18"/>
      <c r="CN114" s="18"/>
      <c r="CO114" s="18"/>
      <c r="CP114" s="18"/>
      <c r="CQ114" s="18"/>
      <c r="CR114" s="17"/>
      <c r="CS114" s="17"/>
      <c r="CT114" s="17"/>
      <c r="CU114" s="17"/>
    </row>
    <row r="115" spans="1:99" s="19" customFormat="1" ht="12" customHeight="1" x14ac:dyDescent="0.2">
      <c r="A115" s="68">
        <v>43509</v>
      </c>
      <c r="B115" s="100" t="s">
        <v>176</v>
      </c>
      <c r="C115" s="100" t="s">
        <v>95</v>
      </c>
      <c r="D115" s="99">
        <v>2008</v>
      </c>
      <c r="E115" s="106">
        <v>1</v>
      </c>
      <c r="F115" s="99">
        <v>1354</v>
      </c>
      <c r="G115" s="99">
        <v>52.1</v>
      </c>
      <c r="H115" s="99" t="s">
        <v>32</v>
      </c>
      <c r="I115" s="99" t="s">
        <v>656</v>
      </c>
      <c r="J115" s="69" t="s">
        <v>475</v>
      </c>
      <c r="K115" s="69">
        <f>IF(J115="syllables",1,IF(J115="trigrams",2,IF(J115="strings",3,IF(J115="visual array",4,IF(J115="characters",5,IF(J115="letters",6,IF(J115="free forms",7,IF(J115="odors",8,IF(J115="words",9,IF(J115="pictures",10,IF(J115="object pictures",11,IF(J115="faces",12,IF(J115="names",13,IF(J115="idioms",14,IF(J115="grades",15,IF(J115="syllable-digit pairs",16,IF(J115="trigram-word pairs",17,IF(J115="word-digit pairs",18,IF(J115="English-Swahili pairs",19,IF(J115="spatial position",20,IF(J115="word pairs",21,IF(J115="word triads",22,IF(J115="generated words",23,IF(J115="word definition pairs",24,IF(J115="math problems",25,IF(J115="famous faces",26,IF(J115="famous names",27,IF(J115="famous voices",28,IF(J115="television programs",29,IF(J115="race horses",30,IF(J115="new vocabulary",31,IF(J115="sentences",32,IF(J115="concepts",33,IF(J115="ad slides",34,IF(J115="scenes",35,IF(J115="famous scenes",36,IF(J115="poems",37,IF(J115="walk",38,IF(J115="faces and events",39,IF(J115="events and names",40,IF(J115="flashbulb",41,IF(J115="stories",42,IF(J115="course material",43,IF(J115="autobiographical",44,IF(J115="novels",45,IF(J115="public events",46,"99"))))))))))))))))))))))))))))))))))))))))))))))</f>
        <v>32</v>
      </c>
      <c r="L115" s="69">
        <f>IF(J115="syllables",1,IF(J115="trigrams",1,IF(J115="strings",1,IF(J115="visual array",1,IF(J115="characters",1,IF(J115="letters",1,IF(J115="free forms",1,IF(J115="odors",2,IF(J115="words",2,IF(J115="pictures",2,IF(J115="object pictures",2,IF(J115="faces",2,IF(J115="names",2,IF(J115="idioms","2",IF(J115="grades",2,IF(J115="syllable-digit pairs",3,IF(J115="trigram-word pairs",3,IF(J115="word-digit pairs",3,IF(J115="English-Swahili pairs",3,IF(J115="spatial position",3,IF(J115="word pairs",4,IF(J115="word triads",4,IF(J115="generated words",4,IF(J115="word definition pairs",4,IF(J115="math problems",4,IF(J115="famous faces",4,IF(J115="famous names",4,IF(J115="famous voices",4,IF(J115="television programs",4,IF(J115="race horses",4,IF(J115="new vocabulary",4,IF(J115="sentences",5,IF(J115="concepts",5,IF(J115="ad slides",5,IF(J115="scenes",5,IF(J115="famous scenes",5,IF(J115="poems",6,IF(J115="walk",6,IF(J115="faces and events",6,IF(J115="events and names",6,IF(J115="flashbulb",7,IF(J115="stories",7,IF(J115="course material",7,IF(J115="autobiographical",7,IF(J115="novels",7,IF(J115="public events",7,"99"))))))))))))))))))))))))))))))))))))))))))))))</f>
        <v>5</v>
      </c>
      <c r="M115" s="99">
        <v>1</v>
      </c>
      <c r="N115" s="99">
        <v>4</v>
      </c>
      <c r="O115" s="99">
        <v>0</v>
      </c>
      <c r="P115" s="99"/>
      <c r="Q115" s="69" t="s">
        <v>174</v>
      </c>
      <c r="R115" s="69">
        <f>IF(Q115="Free Recall",1,IF(Q115="Cued Recall",2,IF(Q115="Recognition",3,IF(Q115="Multiple Choice",4,IF(Q115="Savings",5,IF(Q115="Stem Completion",6,IF(Q115="Fragment Completion",7,IF(Q115="anagram solution",8,IF(Q115="Matching",9,IF(Q115="Problem Solving",10,"99"))))))))))</f>
        <v>1</v>
      </c>
      <c r="S115" s="99" t="s">
        <v>49</v>
      </c>
      <c r="T115" s="99" t="s">
        <v>261</v>
      </c>
      <c r="U115" s="69">
        <f>IF(T115="within",1,0)</f>
        <v>0</v>
      </c>
      <c r="V115" s="99">
        <v>32</v>
      </c>
      <c r="W115" s="69">
        <f>F115*V115</f>
        <v>43328</v>
      </c>
      <c r="X115" s="99">
        <v>4</v>
      </c>
      <c r="Y115" s="87">
        <f>AV114</f>
        <v>604800</v>
      </c>
      <c r="Z115" s="99" t="s">
        <v>177</v>
      </c>
      <c r="AA115" s="99">
        <v>30240000</v>
      </c>
      <c r="AB115" s="69" t="str">
        <f>IF(AA115&lt;60,"1",IF(AA115&lt;=43200,"2",IF(AA115&lt;=777600,"3","4")))</f>
        <v>4</v>
      </c>
      <c r="AC115" s="72">
        <f>AVERAGE(AV114:DA114)</f>
        <v>9979200</v>
      </c>
      <c r="AD115" s="69" t="str">
        <f>IF(AC115&lt;60,"1",IF(AC115&lt;=43200,"2",IF(AC115&lt;=777600,"3","4")))</f>
        <v>4</v>
      </c>
      <c r="AE115" s="87">
        <f>AA115-Y115</f>
        <v>29635200</v>
      </c>
      <c r="AF115" s="88">
        <f>AV115</f>
        <v>0.81</v>
      </c>
      <c r="AG115" s="72">
        <f>((AW115-AV115)+(AX115-AW115)+(AY115-AX115))/3</f>
        <v>-0.22333333333333336</v>
      </c>
      <c r="AH115" s="4"/>
      <c r="AI115" s="72">
        <f>RSQ(AV115:AY115,AV114:AY114)</f>
        <v>0.82330934284210855</v>
      </c>
      <c r="AJ115" s="110">
        <f>SLOPE(AV115:AY115,AV114:AY114)</f>
        <v>-1.8820376050369545E-8</v>
      </c>
      <c r="AK115" s="72">
        <f>INTERCEPT(AV115:AY115,AV114:AY114)</f>
        <v>0.68031229668184778</v>
      </c>
      <c r="AL115" s="72">
        <f>INDEX(LINEST(LN(AV115:AY115),LN(AV114:AY114),TRUE,TRUE),3,1)</f>
        <v>0.90904764807496408</v>
      </c>
      <c r="AM115" s="72">
        <f>INDEX(LINEST(LN(AV115:AY115),LN(AV114:AY114)),1)</f>
        <v>-0.45072171241934289</v>
      </c>
      <c r="AN115" s="72">
        <f>EXP(INDEX(LINEST(LN(AV115:AY115),LN(AV114:AY114)),1,2))</f>
        <v>400.66619051836255</v>
      </c>
      <c r="AO115" s="89">
        <f>INDEX(LINEST((AV115:AY115),LN(AV114:AY114),TRUE,TRUE),3,1)</f>
        <v>0.98740724048619621</v>
      </c>
      <c r="AP115" s="89">
        <f>INDEX(LINEST((AV115:AY115),LN(AV114:AY114)),1)</f>
        <v>-0.17395820592643071</v>
      </c>
      <c r="AQ115" s="90">
        <f>INDEX(LINEST(LN(AV115:AY115),SQRT(AV114:AY114),TRUE,TRUE),3,1)</f>
        <v>0.99776074022813988</v>
      </c>
      <c r="AR115" s="117">
        <f>INDEX(LINEST(LN(AV115:AY115),SQRT((AV114:AY114))),1)</f>
        <v>-3.7542843166492036E-4</v>
      </c>
      <c r="AS115" s="91">
        <f>INDEX(LINEST(1/(AV115:AY115),1/(SQRT(AV114:AY114)),TRUE,TRUE),3,1)</f>
        <v>0.51113303535761356</v>
      </c>
      <c r="AT115" s="91">
        <f>INDEX(LINEST(1/(AV115:AY115),1/SQRT(AV114:AY114)),1)</f>
        <v>-4094.9404237336698</v>
      </c>
      <c r="AU115" s="4"/>
      <c r="AV115" s="101">
        <v>0.81</v>
      </c>
      <c r="AW115" s="101">
        <v>0.6</v>
      </c>
      <c r="AX115" s="101">
        <v>0.42</v>
      </c>
      <c r="AY115" s="101">
        <v>0.14000000000000001</v>
      </c>
      <c r="AZ115" s="18"/>
      <c r="BA115" s="18"/>
      <c r="BB115" s="18"/>
      <c r="BC115" s="18"/>
      <c r="BD115" s="18"/>
      <c r="BE115" s="18"/>
      <c r="BF115" s="18"/>
      <c r="BG115" s="18"/>
      <c r="BH115" s="18"/>
      <c r="BI115" s="18"/>
      <c r="BJ115" s="18"/>
      <c r="BK115" s="18"/>
      <c r="BL115" s="18"/>
      <c r="BM115" s="18"/>
      <c r="BN115" s="18"/>
      <c r="BO115" s="18"/>
      <c r="BP115" s="18"/>
      <c r="BQ115" s="18"/>
      <c r="BR115" s="18"/>
      <c r="BS115" s="18"/>
      <c r="BT115" s="18"/>
      <c r="BU115" s="18"/>
      <c r="BV115" s="18"/>
      <c r="BW115" s="18"/>
      <c r="BX115" s="18"/>
      <c r="BY115" s="18"/>
      <c r="BZ115" s="18"/>
      <c r="CA115" s="18"/>
      <c r="CB115" s="18"/>
      <c r="CC115" s="18"/>
      <c r="CD115" s="18"/>
      <c r="CE115" s="18"/>
      <c r="CF115" s="18"/>
      <c r="CG115" s="18"/>
      <c r="CH115" s="18"/>
      <c r="CI115" s="18"/>
      <c r="CJ115" s="18"/>
      <c r="CK115" s="18"/>
      <c r="CL115" s="18"/>
      <c r="CM115" s="18"/>
      <c r="CN115" s="18"/>
      <c r="CO115" s="18"/>
      <c r="CP115" s="18"/>
      <c r="CQ115" s="18"/>
      <c r="CR115" s="17"/>
      <c r="CS115" s="17"/>
      <c r="CT115" s="17"/>
      <c r="CU115" s="17"/>
    </row>
    <row r="116" spans="1:99" s="19" customFormat="1" ht="12" customHeight="1" x14ac:dyDescent="0.2">
      <c r="A116" s="68">
        <v>43509</v>
      </c>
      <c r="B116" s="100"/>
      <c r="C116" s="100"/>
      <c r="D116" s="99"/>
      <c r="E116" s="106"/>
      <c r="F116" s="99"/>
      <c r="G116" s="99"/>
      <c r="H116" s="99"/>
      <c r="I116" s="99"/>
      <c r="J116" s="99"/>
      <c r="K116" s="107"/>
      <c r="L116" s="107"/>
      <c r="M116" s="99"/>
      <c r="N116" s="99"/>
      <c r="O116" s="99"/>
      <c r="P116" s="99"/>
      <c r="Q116" s="99"/>
      <c r="R116" s="69"/>
      <c r="S116" s="99"/>
      <c r="T116" s="99"/>
      <c r="U116" s="69"/>
      <c r="V116" s="99"/>
      <c r="W116" s="69"/>
      <c r="X116" s="99"/>
      <c r="Y116" s="87"/>
      <c r="Z116" s="99"/>
      <c r="AA116" s="99"/>
      <c r="AB116" s="69"/>
      <c r="AC116" s="69"/>
      <c r="AD116" s="69"/>
      <c r="AE116" s="69"/>
      <c r="AF116" s="88"/>
      <c r="AG116" s="72"/>
      <c r="AH116" s="4"/>
      <c r="AI116" s="123"/>
      <c r="AJ116" s="124"/>
      <c r="AK116" s="123"/>
      <c r="AL116" s="123"/>
      <c r="AM116" s="123"/>
      <c r="AN116" s="123"/>
      <c r="AO116" s="123"/>
      <c r="AP116" s="123"/>
      <c r="AQ116" s="72"/>
      <c r="AR116" s="110"/>
      <c r="AS116" s="72"/>
      <c r="AT116" s="72"/>
      <c r="AU116" s="4"/>
      <c r="AV116" s="71">
        <f>24*3600*7</f>
        <v>604800</v>
      </c>
      <c r="AW116" s="71">
        <f>24*3600*35</f>
        <v>3024000</v>
      </c>
      <c r="AX116" s="71">
        <f>24*3600*70</f>
        <v>6048000</v>
      </c>
      <c r="AY116" s="71">
        <f>24*3600*350</f>
        <v>30240000</v>
      </c>
      <c r="AZ116" s="18"/>
      <c r="BA116" s="18"/>
      <c r="BB116" s="18"/>
      <c r="BC116" s="18"/>
      <c r="BD116" s="18"/>
      <c r="BE116" s="18"/>
      <c r="BF116" s="18"/>
      <c r="BG116" s="18"/>
      <c r="BH116" s="18"/>
      <c r="BI116" s="18"/>
      <c r="BJ116" s="18"/>
      <c r="BK116" s="18"/>
      <c r="BL116" s="18"/>
      <c r="BM116" s="18"/>
      <c r="BN116" s="18"/>
      <c r="BO116" s="18"/>
      <c r="BP116" s="18"/>
      <c r="BQ116" s="18"/>
      <c r="BR116" s="18"/>
      <c r="BS116" s="18"/>
      <c r="BT116" s="18"/>
      <c r="BU116" s="18"/>
      <c r="BV116" s="18"/>
      <c r="BW116" s="18"/>
      <c r="BX116" s="18"/>
      <c r="BY116" s="18"/>
      <c r="BZ116" s="18"/>
      <c r="CA116" s="18"/>
      <c r="CB116" s="18"/>
      <c r="CC116" s="18"/>
      <c r="CD116" s="18"/>
      <c r="CE116" s="18"/>
      <c r="CF116" s="18"/>
      <c r="CG116" s="18"/>
      <c r="CH116" s="18"/>
      <c r="CI116" s="18"/>
      <c r="CJ116" s="18"/>
      <c r="CK116" s="18"/>
      <c r="CL116" s="18"/>
      <c r="CM116" s="18"/>
      <c r="CN116" s="18"/>
      <c r="CO116" s="18"/>
      <c r="CP116" s="18"/>
      <c r="CQ116" s="18"/>
      <c r="CR116" s="17"/>
      <c r="CS116" s="17"/>
      <c r="CT116" s="17"/>
      <c r="CU116" s="17"/>
    </row>
    <row r="117" spans="1:99" s="19" customFormat="1" ht="12" customHeight="1" x14ac:dyDescent="0.2">
      <c r="A117" s="68">
        <v>43509</v>
      </c>
      <c r="B117" s="100" t="s">
        <v>176</v>
      </c>
      <c r="C117" s="100" t="s">
        <v>95</v>
      </c>
      <c r="D117" s="99">
        <v>2008</v>
      </c>
      <c r="E117" s="106">
        <v>1</v>
      </c>
      <c r="F117" s="99">
        <v>1354</v>
      </c>
      <c r="G117" s="99">
        <v>52.1</v>
      </c>
      <c r="H117" s="99" t="s">
        <v>32</v>
      </c>
      <c r="I117" s="99" t="s">
        <v>657</v>
      </c>
      <c r="J117" s="69" t="s">
        <v>475</v>
      </c>
      <c r="K117" s="69">
        <f>IF(J117="syllables",1,IF(J117="trigrams",2,IF(J117="strings",3,IF(J117="visual array",4,IF(J117="characters",5,IF(J117="letters",6,IF(J117="free forms",7,IF(J117="odors",8,IF(J117="words",9,IF(J117="pictures",10,IF(J117="object pictures",11,IF(J117="faces",12,IF(J117="names",13,IF(J117="idioms",14,IF(J117="grades",15,IF(J117="syllable-digit pairs",16,IF(J117="trigram-word pairs",17,IF(J117="word-digit pairs",18,IF(J117="English-Swahili pairs",19,IF(J117="spatial position",20,IF(J117="word pairs",21,IF(J117="word triads",22,IF(J117="generated words",23,IF(J117="word definition pairs",24,IF(J117="math problems",25,IF(J117="famous faces",26,IF(J117="famous names",27,IF(J117="famous voices",28,IF(J117="television programs",29,IF(J117="race horses",30,IF(J117="new vocabulary",31,IF(J117="sentences",32,IF(J117="concepts",33,IF(J117="ad slides",34,IF(J117="scenes",35,IF(J117="famous scenes",36,IF(J117="poems",37,IF(J117="walk",38,IF(J117="faces and events",39,IF(J117="events and names",40,IF(J117="flashbulb",41,IF(J117="stories",42,IF(J117="course material",43,IF(J117="autobiographical",44,IF(J117="novels",45,IF(J117="public events",46,"99"))))))))))))))))))))))))))))))))))))))))))))))</f>
        <v>32</v>
      </c>
      <c r="L117" s="69">
        <f>IF(J117="syllables",1,IF(J117="trigrams",1,IF(J117="strings",1,IF(J117="visual array",1,IF(J117="characters",1,IF(J117="letters",1,IF(J117="free forms",1,IF(J117="odors",2,IF(J117="words",2,IF(J117="pictures",2,IF(J117="object pictures",2,IF(J117="faces",2,IF(J117="names",2,IF(J117="idioms","2",IF(J117="grades",2,IF(J117="syllable-digit pairs",3,IF(J117="trigram-word pairs",3,IF(J117="word-digit pairs",3,IF(J117="English-Swahili pairs",3,IF(J117="spatial position",3,IF(J117="word pairs",4,IF(J117="word triads",4,IF(J117="generated words",4,IF(J117="word definition pairs",4,IF(J117="math problems",4,IF(J117="famous faces",4,IF(J117="famous names",4,IF(J117="famous voices",4,IF(J117="television programs",4,IF(J117="race horses",4,IF(J117="new vocabulary",4,IF(J117="sentences",5,IF(J117="concepts",5,IF(J117="ad slides",5,IF(J117="scenes",5,IF(J117="famous scenes",5,IF(J117="poems",6,IF(J117="walk",6,IF(J117="faces and events",6,IF(J117="events and names",6,IF(J117="flashbulb",7,IF(J117="stories",7,IF(J117="course material",7,IF(J117="autobiographical",7,IF(J117="novels",7,IF(J117="public events",7,"99"))))))))))))))))))))))))))))))))))))))))))))))</f>
        <v>5</v>
      </c>
      <c r="M117" s="99">
        <v>1</v>
      </c>
      <c r="N117" s="99">
        <v>4</v>
      </c>
      <c r="O117" s="99">
        <v>0</v>
      </c>
      <c r="P117" s="99"/>
      <c r="Q117" s="99" t="s">
        <v>34</v>
      </c>
      <c r="R117" s="69">
        <f>IF(Q117="Free Recall",1,IF(Q117="Cued Recall",2,IF(Q117="Recognition",3,IF(Q117="Multiple Choice",4,IF(Q117="Savings",5,IF(Q117="Stem Completion",6,IF(Q117="Fragment Completion",7,IF(Q117="anagram solution",8,IF(Q117="Matching",9,IF(Q117="Problem Solving",10,"99"))))))))))</f>
        <v>3</v>
      </c>
      <c r="S117" s="99" t="s">
        <v>15</v>
      </c>
      <c r="T117" s="99" t="s">
        <v>261</v>
      </c>
      <c r="U117" s="69">
        <f>IF(T117="within",1,0)</f>
        <v>0</v>
      </c>
      <c r="V117" s="99">
        <v>32</v>
      </c>
      <c r="W117" s="69">
        <f>F117*V117</f>
        <v>43328</v>
      </c>
      <c r="X117" s="99">
        <v>4</v>
      </c>
      <c r="Y117" s="87">
        <f>AV116</f>
        <v>604800</v>
      </c>
      <c r="Z117" s="99" t="s">
        <v>177</v>
      </c>
      <c r="AA117" s="99">
        <v>30240000</v>
      </c>
      <c r="AB117" s="69" t="str">
        <f>IF(AA117&lt;60,"1",IF(AA117&lt;=43200,"2",IF(AA117&lt;=777600,"3","4")))</f>
        <v>4</v>
      </c>
      <c r="AC117" s="72">
        <f>AVERAGE(AV116:DA116)</f>
        <v>9979200</v>
      </c>
      <c r="AD117" s="69" t="str">
        <f>IF(AC117&lt;60,"1",IF(AC117&lt;=43200,"2",IF(AC117&lt;=777600,"3","4")))</f>
        <v>4</v>
      </c>
      <c r="AE117" s="87">
        <f>AA117-Y117</f>
        <v>29635200</v>
      </c>
      <c r="AF117" s="88">
        <f>AV117</f>
        <v>0.99</v>
      </c>
      <c r="AG117" s="72">
        <f>((AW117-AV117)+(AX117-AW117)+(AY117-AX117))/3</f>
        <v>-0.18666666666666668</v>
      </c>
      <c r="AH117" s="4"/>
      <c r="AI117" s="72">
        <f>RSQ(AV117:AY117,AV116:AY116)</f>
        <v>0.89570261239703164</v>
      </c>
      <c r="AJ117" s="110">
        <f>SLOPE(AV117:AY117,AV116:AY116)</f>
        <v>-1.6862497547273085E-8</v>
      </c>
      <c r="AK117" s="72">
        <f>INTERCEPT(AV117:AY117,AV116:AY116)</f>
        <v>0.9207742355237476</v>
      </c>
      <c r="AL117" s="72">
        <f>INDEX(LINEST(LN(AV117:AY117),LN(AV116:AY116),TRUE,TRUE),3,1)</f>
        <v>0.90436772567678769</v>
      </c>
      <c r="AM117" s="72">
        <f>INDEX(LINEST(LN(AV117:AY117),LN(AV116:AY116)),1)</f>
        <v>-0.21610621913419623</v>
      </c>
      <c r="AN117" s="72">
        <f>EXP(INDEX(LINEST(LN(AV117:AY117),LN(AV116:AY116)),1,2))</f>
        <v>19.46401464121049</v>
      </c>
      <c r="AO117" s="89">
        <f>INDEX(LINEST((AV117:AY117),LN(AV116:AY116),TRUE,TRUE),3,1)</f>
        <v>0.9459114333779276</v>
      </c>
      <c r="AP117" s="89">
        <f>INDEX(LINEST((AV117:AY117),LN(AV116:AY116)),1)</f>
        <v>-0.14625651062634551</v>
      </c>
      <c r="AQ117" s="90">
        <f>INDEX(LINEST(LN(AV117:AY117),SQRT(AV116:AY116),TRUE,TRUE),3,1)</f>
        <v>0.99076901916536741</v>
      </c>
      <c r="AR117" s="117">
        <f>INDEX(LINEST(LN(AV117:AY117),SQRT((AV116:AY116))),1)</f>
        <v>-1.7983728783363122E-4</v>
      </c>
      <c r="AS117" s="91">
        <f>INDEX(LINEST(1/(AV117:AY117),1/(SQRT(AV116:AY116)),TRUE,TRUE),3,1)</f>
        <v>0.58998130530877113</v>
      </c>
      <c r="AT117" s="91">
        <f>INDEX(LINEST(1/(AV117:AY117),1/SQRT(AV116:AY116)),1)</f>
        <v>-956.50597605354653</v>
      </c>
      <c r="AU117" s="4"/>
      <c r="AV117" s="101">
        <v>0.99</v>
      </c>
      <c r="AW117" s="101">
        <v>0.88</v>
      </c>
      <c r="AX117" s="101">
        <v>0.71</v>
      </c>
      <c r="AY117" s="101">
        <v>0.43</v>
      </c>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7"/>
      <c r="CS117" s="17"/>
      <c r="CT117" s="17"/>
      <c r="CU117" s="17"/>
    </row>
    <row r="118" spans="1:99" s="19" customFormat="1" ht="12" customHeight="1" x14ac:dyDescent="0.2">
      <c r="A118" s="68">
        <v>43509</v>
      </c>
      <c r="B118" s="100"/>
      <c r="C118" s="100"/>
      <c r="D118" s="99"/>
      <c r="E118" s="106"/>
      <c r="F118" s="99"/>
      <c r="G118" s="99"/>
      <c r="H118" s="99"/>
      <c r="I118" s="99"/>
      <c r="J118" s="99"/>
      <c r="K118" s="107"/>
      <c r="L118" s="107"/>
      <c r="M118" s="99"/>
      <c r="N118" s="99"/>
      <c r="O118" s="99"/>
      <c r="P118" s="99"/>
      <c r="Q118" s="99"/>
      <c r="R118" s="69"/>
      <c r="S118" s="99"/>
      <c r="T118" s="99"/>
      <c r="U118" s="69"/>
      <c r="V118" s="99"/>
      <c r="W118" s="69"/>
      <c r="X118" s="99"/>
      <c r="Y118" s="87"/>
      <c r="Z118" s="99"/>
      <c r="AA118" s="99"/>
      <c r="AB118" s="69"/>
      <c r="AC118" s="69"/>
      <c r="AD118" s="69"/>
      <c r="AE118" s="69"/>
      <c r="AF118" s="88"/>
      <c r="AG118" s="72"/>
      <c r="AH118" s="4"/>
      <c r="AI118" s="123"/>
      <c r="AJ118" s="124"/>
      <c r="AK118" s="123"/>
      <c r="AL118" s="123"/>
      <c r="AM118" s="123"/>
      <c r="AN118" s="123"/>
      <c r="AO118" s="123"/>
      <c r="AP118" s="123"/>
      <c r="AQ118" s="72"/>
      <c r="AR118" s="110"/>
      <c r="AS118" s="72"/>
      <c r="AT118" s="72"/>
      <c r="AU118" s="4"/>
      <c r="AV118" s="71">
        <f>24*3600*7</f>
        <v>604800</v>
      </c>
      <c r="AW118" s="71">
        <f>24*3600*35</f>
        <v>3024000</v>
      </c>
      <c r="AX118" s="71">
        <f>24*3600*70</f>
        <v>6048000</v>
      </c>
      <c r="AY118" s="71">
        <f>24*3600*350</f>
        <v>30240000</v>
      </c>
      <c r="AZ118" s="18"/>
      <c r="BA118" s="18"/>
      <c r="BB118" s="18"/>
      <c r="BC118" s="18"/>
      <c r="BD118" s="18"/>
      <c r="BE118" s="18"/>
      <c r="BF118" s="18"/>
      <c r="BG118" s="18"/>
      <c r="BH118" s="18"/>
      <c r="BI118" s="18"/>
      <c r="BJ118" s="18"/>
      <c r="BK118" s="18"/>
      <c r="BL118" s="18"/>
      <c r="BM118" s="18"/>
      <c r="BN118" s="18"/>
      <c r="BO118" s="18"/>
      <c r="BP118" s="18"/>
      <c r="BQ118" s="18"/>
      <c r="BR118" s="18"/>
      <c r="BS118" s="18"/>
      <c r="BT118" s="18"/>
      <c r="BU118" s="18"/>
      <c r="BV118" s="18"/>
      <c r="BW118" s="18"/>
      <c r="BX118" s="18"/>
      <c r="BY118" s="18"/>
      <c r="BZ118" s="18"/>
      <c r="CA118" s="18"/>
      <c r="CB118" s="18"/>
      <c r="CC118" s="18"/>
      <c r="CD118" s="18"/>
      <c r="CE118" s="18"/>
      <c r="CF118" s="18"/>
      <c r="CG118" s="18"/>
      <c r="CH118" s="18"/>
      <c r="CI118" s="18"/>
      <c r="CJ118" s="18"/>
      <c r="CK118" s="18"/>
      <c r="CL118" s="18"/>
      <c r="CM118" s="18"/>
      <c r="CN118" s="18"/>
      <c r="CO118" s="18"/>
      <c r="CP118" s="18"/>
      <c r="CQ118" s="18"/>
      <c r="CR118" s="17"/>
      <c r="CS118" s="17"/>
      <c r="CT118" s="17"/>
      <c r="CU118" s="17"/>
    </row>
    <row r="119" spans="1:99" s="19" customFormat="1" ht="12" customHeight="1" x14ac:dyDescent="0.2">
      <c r="A119" s="68">
        <v>43509</v>
      </c>
      <c r="B119" s="100" t="s">
        <v>176</v>
      </c>
      <c r="C119" s="100" t="s">
        <v>95</v>
      </c>
      <c r="D119" s="99">
        <v>2008</v>
      </c>
      <c r="E119" s="106">
        <v>1</v>
      </c>
      <c r="F119" s="99">
        <v>1354</v>
      </c>
      <c r="G119" s="99">
        <v>52.1</v>
      </c>
      <c r="H119" s="99" t="s">
        <v>32</v>
      </c>
      <c r="I119" s="99" t="s">
        <v>658</v>
      </c>
      <c r="J119" s="69" t="s">
        <v>475</v>
      </c>
      <c r="K119" s="69">
        <f>IF(J119="syllables",1,IF(J119="trigrams",2,IF(J119="strings",3,IF(J119="visual array",4,IF(J119="characters",5,IF(J119="letters",6,IF(J119="free forms",7,IF(J119="odors",8,IF(J119="words",9,IF(J119="pictures",10,IF(J119="object pictures",11,IF(J119="faces",12,IF(J119="names",13,IF(J119="idioms",14,IF(J119="grades",15,IF(J119="syllable-digit pairs",16,IF(J119="trigram-word pairs",17,IF(J119="word-digit pairs",18,IF(J119="English-Swahili pairs",19,IF(J119="spatial position",20,IF(J119="word pairs",21,IF(J119="word triads",22,IF(J119="generated words",23,IF(J119="word definition pairs",24,IF(J119="math problems",25,IF(J119="famous faces",26,IF(J119="famous names",27,IF(J119="famous voices",28,IF(J119="television programs",29,IF(J119="race horses",30,IF(J119="new vocabulary",31,IF(J119="sentences",32,IF(J119="concepts",33,IF(J119="ad slides",34,IF(J119="scenes",35,IF(J119="famous scenes",36,IF(J119="poems",37,IF(J119="walk",38,IF(J119="faces and events",39,IF(J119="events and names",40,IF(J119="flashbulb",41,IF(J119="stories",42,IF(J119="course material",43,IF(J119="autobiographical",44,IF(J119="novels",45,IF(J119="public events",46,"99"))))))))))))))))))))))))))))))))))))))))))))))</f>
        <v>32</v>
      </c>
      <c r="L119" s="69">
        <f>IF(J119="syllables",1,IF(J119="trigrams",1,IF(J119="strings",1,IF(J119="visual array",1,IF(J119="characters",1,IF(J119="letters",1,IF(J119="free forms",1,IF(J119="odors",2,IF(J119="words",2,IF(J119="pictures",2,IF(J119="object pictures",2,IF(J119="faces",2,IF(J119="names",2,IF(J119="idioms","2",IF(J119="grades",2,IF(J119="syllable-digit pairs",3,IF(J119="trigram-word pairs",3,IF(J119="word-digit pairs",3,IF(J119="English-Swahili pairs",3,IF(J119="spatial position",3,IF(J119="word pairs",4,IF(J119="word triads",4,IF(J119="generated words",4,IF(J119="word definition pairs",4,IF(J119="math problems",4,IF(J119="famous faces",4,IF(J119="famous names",4,IF(J119="famous voices",4,IF(J119="television programs",4,IF(J119="race horses",4,IF(J119="new vocabulary",4,IF(J119="sentences",5,IF(J119="concepts",5,IF(J119="ad slides",5,IF(J119="scenes",5,IF(J119="famous scenes",5,IF(J119="poems",6,IF(J119="walk",6,IF(J119="faces and events",6,IF(J119="events and names",6,IF(J119="flashbulb",7,IF(J119="stories",7,IF(J119="course material",7,IF(J119="autobiographical",7,IF(J119="novels",7,IF(J119="public events",7,"99"))))))))))))))))))))))))))))))))))))))))))))))</f>
        <v>5</v>
      </c>
      <c r="M119" s="99">
        <v>1</v>
      </c>
      <c r="N119" s="99">
        <v>4</v>
      </c>
      <c r="O119" s="99">
        <v>0</v>
      </c>
      <c r="P119" s="99"/>
      <c r="Q119" s="99" t="s">
        <v>34</v>
      </c>
      <c r="R119" s="69">
        <f>IF(Q119="Free Recall",1,IF(Q119="Cued Recall",2,IF(Q119="Recognition",3,IF(Q119="Multiple Choice",4,IF(Q119="Savings",5,IF(Q119="Stem Completion",6,IF(Q119="Fragment Completion",7,IF(Q119="anagram solution",8,IF(Q119="Matching",9,IF(Q119="Problem Solving",10,"99"))))))))))</f>
        <v>3</v>
      </c>
      <c r="S119" s="99" t="s">
        <v>15</v>
      </c>
      <c r="T119" s="99" t="s">
        <v>261</v>
      </c>
      <c r="U119" s="69">
        <f>IF(T119="within",1,0)</f>
        <v>0</v>
      </c>
      <c r="V119" s="99">
        <v>32</v>
      </c>
      <c r="W119" s="69">
        <f>F119*V119</f>
        <v>43328</v>
      </c>
      <c r="X119" s="99">
        <v>4</v>
      </c>
      <c r="Y119" s="87">
        <f>AV118</f>
        <v>604800</v>
      </c>
      <c r="Z119" s="99" t="s">
        <v>177</v>
      </c>
      <c r="AA119" s="99">
        <v>30240000</v>
      </c>
      <c r="AB119" s="69" t="str">
        <f>IF(AA119&lt;60,"1",IF(AA119&lt;=43200,"2",IF(AA119&lt;=777600,"3","4")))</f>
        <v>4</v>
      </c>
      <c r="AC119" s="72">
        <f>AVERAGE(AV118:DA118)</f>
        <v>9979200</v>
      </c>
      <c r="AD119" s="69" t="str">
        <f>IF(AC119&lt;60,"1",IF(AC119&lt;=43200,"2",IF(AC119&lt;=777600,"3","4")))</f>
        <v>4</v>
      </c>
      <c r="AE119" s="87">
        <f>AA119-Y119</f>
        <v>29635200</v>
      </c>
      <c r="AF119" s="88">
        <f>AV119</f>
        <v>0.99</v>
      </c>
      <c r="AG119" s="72">
        <f>((AW119-AV119)+(AX119-AW119)+(AY119-AX119))/3</f>
        <v>-0.17666666666666667</v>
      </c>
      <c r="AH119" s="4"/>
      <c r="AI119" s="72">
        <f>RSQ(AV119:AY119,AV118:AY118)</f>
        <v>0.97729212379267472</v>
      </c>
      <c r="AJ119" s="110">
        <f>SLOPE(AV119:AY119,AV118:AY118)</f>
        <v>-1.7416512618204224E-8</v>
      </c>
      <c r="AK119" s="72">
        <f>INTERCEPT(AV119:AY119,AV118:AY118)</f>
        <v>0.9788028627195835</v>
      </c>
      <c r="AL119" s="72">
        <f>INDEX(LINEST(LN(AV119:AY119),LN(AV118:AY118),TRUE,TRUE),3,1)</f>
        <v>0.8085329128926475</v>
      </c>
      <c r="AM119" s="72">
        <f>INDEX(LINEST(LN(AV119:AY119),LN(AV118:AY118)),1)</f>
        <v>-0.19642734384411326</v>
      </c>
      <c r="AN119" s="72">
        <f>EXP(INDEX(LINEST(LN(AV119:AY119),LN(AV118:AY118)),1,2))</f>
        <v>15.488570937903619</v>
      </c>
      <c r="AO119" s="89">
        <f>INDEX(LINEST((AV119:AY119),LN(AV118:AY118),TRUE,TRUE),3,1)</f>
        <v>0.84967615320782863</v>
      </c>
      <c r="AP119" s="89">
        <f>INDEX(LINEST((AV119:AY119),LN(AV118:AY118)),1)</f>
        <v>-0.13706472704798339</v>
      </c>
      <c r="AQ119" s="90">
        <f>INDEX(LINEST(LN(AV119:AY119),SQRT(AV118:AY118),TRUE,TRUE),3,1)</f>
        <v>0.97518234680746485</v>
      </c>
      <c r="AR119" s="117">
        <f>INDEX(LINEST(LN(AV119:AY119),SQRT((AV118:AY118))),1)</f>
        <v>-1.7151211614970798E-4</v>
      </c>
      <c r="AS119" s="91">
        <f>INDEX(LINEST(1/(AV119:AY119),1/(SQRT(AV118:AY118)),TRUE,TRUE),3,1)</f>
        <v>0.48518323119499701</v>
      </c>
      <c r="AT119" s="91">
        <f>INDEX(LINEST(1/(AV119:AY119),1/SQRT(AV118:AY118)),1)</f>
        <v>-799.35003208564319</v>
      </c>
      <c r="AU119" s="4"/>
      <c r="AV119" s="101">
        <v>0.99</v>
      </c>
      <c r="AW119" s="101">
        <v>0.95</v>
      </c>
      <c r="AX119" s="101">
        <v>0.82</v>
      </c>
      <c r="AY119" s="101">
        <v>0.46</v>
      </c>
      <c r="AZ119" s="18"/>
      <c r="BA119" s="18"/>
      <c r="BB119" s="18"/>
      <c r="BC119" s="18"/>
      <c r="BD119" s="18"/>
      <c r="BE119" s="18"/>
      <c r="BF119" s="18"/>
      <c r="BG119" s="18"/>
      <c r="BH119" s="18"/>
      <c r="BI119" s="18"/>
      <c r="BJ119" s="18"/>
      <c r="BK119" s="18"/>
      <c r="BL119" s="18"/>
      <c r="BM119" s="18"/>
      <c r="BN119" s="18"/>
      <c r="BO119" s="18"/>
      <c r="BP119" s="18"/>
      <c r="BQ119" s="18"/>
      <c r="BR119" s="18"/>
      <c r="BS119" s="18"/>
      <c r="BT119" s="18"/>
      <c r="BU119" s="18"/>
      <c r="BV119" s="18"/>
      <c r="BW119" s="18"/>
      <c r="BX119" s="18"/>
      <c r="BY119" s="18"/>
      <c r="BZ119" s="18"/>
      <c r="CA119" s="18"/>
      <c r="CB119" s="18"/>
      <c r="CC119" s="18"/>
      <c r="CD119" s="18"/>
      <c r="CE119" s="18"/>
      <c r="CF119" s="18"/>
      <c r="CG119" s="18"/>
      <c r="CH119" s="18"/>
      <c r="CI119" s="18"/>
      <c r="CJ119" s="18"/>
      <c r="CK119" s="18"/>
      <c r="CL119" s="18"/>
      <c r="CM119" s="18"/>
      <c r="CN119" s="18"/>
      <c r="CO119" s="18"/>
      <c r="CP119" s="18"/>
      <c r="CQ119" s="18"/>
      <c r="CR119" s="17"/>
      <c r="CS119" s="17"/>
      <c r="CT119" s="17"/>
      <c r="CU119" s="17"/>
    </row>
    <row r="120" spans="1:99" s="19" customFormat="1" ht="12" customHeight="1" x14ac:dyDescent="0.2">
      <c r="A120" s="68">
        <v>43509</v>
      </c>
      <c r="B120" s="100"/>
      <c r="C120" s="100"/>
      <c r="D120" s="99"/>
      <c r="E120" s="106"/>
      <c r="F120" s="99"/>
      <c r="G120" s="99"/>
      <c r="H120" s="99"/>
      <c r="I120" s="99"/>
      <c r="J120" s="99"/>
      <c r="K120" s="107"/>
      <c r="L120" s="107"/>
      <c r="M120" s="99"/>
      <c r="N120" s="99"/>
      <c r="O120" s="99"/>
      <c r="P120" s="99"/>
      <c r="Q120" s="99"/>
      <c r="R120" s="69"/>
      <c r="S120" s="99"/>
      <c r="T120" s="99"/>
      <c r="U120" s="69"/>
      <c r="V120" s="99"/>
      <c r="W120" s="69"/>
      <c r="X120" s="99"/>
      <c r="Y120" s="87"/>
      <c r="Z120" s="99"/>
      <c r="AA120" s="99"/>
      <c r="AB120" s="69"/>
      <c r="AC120" s="69"/>
      <c r="AD120" s="69"/>
      <c r="AE120" s="69"/>
      <c r="AF120" s="88"/>
      <c r="AG120" s="72"/>
      <c r="AH120" s="4"/>
      <c r="AI120" s="123"/>
      <c r="AJ120" s="124"/>
      <c r="AK120" s="123"/>
      <c r="AL120" s="123"/>
      <c r="AM120" s="123"/>
      <c r="AN120" s="123"/>
      <c r="AO120" s="123"/>
      <c r="AP120" s="123"/>
      <c r="AQ120" s="72"/>
      <c r="AR120" s="110"/>
      <c r="AS120" s="72"/>
      <c r="AT120" s="72"/>
      <c r="AU120" s="4"/>
      <c r="AV120" s="71">
        <f>24*3600*7</f>
        <v>604800</v>
      </c>
      <c r="AW120" s="71">
        <f>24*3600*35</f>
        <v>3024000</v>
      </c>
      <c r="AX120" s="71">
        <f>24*3600*70</f>
        <v>6048000</v>
      </c>
      <c r="AY120" s="71">
        <f>24*3600*350</f>
        <v>30240000</v>
      </c>
      <c r="AZ120" s="18"/>
      <c r="BA120" s="18"/>
      <c r="BB120" s="18"/>
      <c r="BC120" s="18"/>
      <c r="BD120" s="18"/>
      <c r="BE120" s="18"/>
      <c r="BF120" s="18"/>
      <c r="BG120" s="18"/>
      <c r="BH120" s="18"/>
      <c r="BI120" s="18"/>
      <c r="BJ120" s="18"/>
      <c r="BK120" s="18"/>
      <c r="BL120" s="18"/>
      <c r="BM120" s="18"/>
      <c r="BN120" s="18"/>
      <c r="BO120" s="18"/>
      <c r="BP120" s="18"/>
      <c r="BQ120" s="18"/>
      <c r="BR120" s="18"/>
      <c r="BS120" s="18"/>
      <c r="BT120" s="18"/>
      <c r="BU120" s="18"/>
      <c r="BV120" s="18"/>
      <c r="BW120" s="18"/>
      <c r="BX120" s="18"/>
      <c r="BY120" s="18"/>
      <c r="BZ120" s="18"/>
      <c r="CA120" s="18"/>
      <c r="CB120" s="18"/>
      <c r="CC120" s="18"/>
      <c r="CD120" s="18"/>
      <c r="CE120" s="18"/>
      <c r="CF120" s="18"/>
      <c r="CG120" s="18"/>
      <c r="CH120" s="18"/>
      <c r="CI120" s="18"/>
      <c r="CJ120" s="18"/>
      <c r="CK120" s="18"/>
      <c r="CL120" s="18"/>
      <c r="CM120" s="18"/>
      <c r="CN120" s="18"/>
      <c r="CO120" s="18"/>
      <c r="CP120" s="18"/>
      <c r="CQ120" s="18"/>
      <c r="CR120" s="17"/>
      <c r="CS120" s="17"/>
      <c r="CT120" s="17"/>
      <c r="CU120" s="17"/>
    </row>
    <row r="121" spans="1:99" s="13" customFormat="1" ht="12" customHeight="1" x14ac:dyDescent="0.2">
      <c r="A121" s="68">
        <v>43509</v>
      </c>
      <c r="B121" s="70" t="s">
        <v>176</v>
      </c>
      <c r="C121" s="70" t="s">
        <v>95</v>
      </c>
      <c r="D121" s="69">
        <v>2008</v>
      </c>
      <c r="E121" s="87">
        <v>1</v>
      </c>
      <c r="F121" s="69">
        <v>1354</v>
      </c>
      <c r="G121" s="99">
        <v>52.1</v>
      </c>
      <c r="H121" s="99" t="s">
        <v>32</v>
      </c>
      <c r="I121" s="69" t="s">
        <v>659</v>
      </c>
      <c r="J121" s="69" t="s">
        <v>475</v>
      </c>
      <c r="K121" s="69">
        <f>IF(J121="syllables",1,IF(J121="trigrams",2,IF(J121="strings",3,IF(J121="visual array",4,IF(J121="characters",5,IF(J121="letters",6,IF(J121="free forms",7,IF(J121="odors",8,IF(J121="words",9,IF(J121="pictures",10,IF(J121="object pictures",11,IF(J121="faces",12,IF(J121="names",13,IF(J121="idioms",14,IF(J121="grades",15,IF(J121="syllable-digit pairs",16,IF(J121="trigram-word pairs",17,IF(J121="word-digit pairs",18,IF(J121="English-Swahili pairs",19,IF(J121="spatial position",20,IF(J121="word pairs",21,IF(J121="word triads",22,IF(J121="generated words",23,IF(J121="word definition pairs",24,IF(J121="math problems",25,IF(J121="famous faces",26,IF(J121="famous names",27,IF(J121="famous voices",28,IF(J121="television programs",29,IF(J121="race horses",30,IF(J121="new vocabulary",31,IF(J121="sentences",32,IF(J121="concepts",33,IF(J121="ad slides",34,IF(J121="scenes",35,IF(J121="famous scenes",36,IF(J121="poems",37,IF(J121="walk",38,IF(J121="faces and events",39,IF(J121="events and names",40,IF(J121="flashbulb",41,IF(J121="stories",42,IF(J121="course material",43,IF(J121="autobiographical",44,IF(J121="novels",45,IF(J121="public events",46,"99"))))))))))))))))))))))))))))))))))))))))))))))</f>
        <v>32</v>
      </c>
      <c r="L121" s="69">
        <f>IF(J121="syllables",1,IF(J121="trigrams",1,IF(J121="strings",1,IF(J121="visual array",1,IF(J121="characters",1,IF(J121="letters",1,IF(J121="free forms",1,IF(J121="odors",2,IF(J121="words",2,IF(J121="pictures",2,IF(J121="object pictures",2,IF(J121="faces",2,IF(J121="names",2,IF(J121="idioms","2",IF(J121="grades",2,IF(J121="syllable-digit pairs",3,IF(J121="trigram-word pairs",3,IF(J121="word-digit pairs",3,IF(J121="English-Swahili pairs",3,IF(J121="spatial position",3,IF(J121="word pairs",4,IF(J121="word triads",4,IF(J121="generated words",4,IF(J121="word definition pairs",4,IF(J121="math problems",4,IF(J121="famous faces",4,IF(J121="famous names",4,IF(J121="famous voices",4,IF(J121="television programs",4,IF(J121="race horses",4,IF(J121="new vocabulary",4,IF(J121="sentences",5,IF(J121="concepts",5,IF(J121="ad slides",5,IF(J121="scenes",5,IF(J121="famous scenes",5,IF(J121="poems",6,IF(J121="walk",6,IF(J121="faces and events",6,IF(J121="events and names",6,IF(J121="flashbulb",7,IF(J121="stories",7,IF(J121="course material",7,IF(J121="autobiographical",7,IF(J121="novels",7,IF(J121="public events",7,"99"))))))))))))))))))))))))))))))))))))))))))))))</f>
        <v>5</v>
      </c>
      <c r="M121" s="69">
        <v>1</v>
      </c>
      <c r="N121" s="69">
        <v>4</v>
      </c>
      <c r="O121" s="69">
        <v>0</v>
      </c>
      <c r="P121" s="69"/>
      <c r="Q121" s="69" t="s">
        <v>34</v>
      </c>
      <c r="R121" s="69">
        <f>IF(Q121="Free Recall",1,IF(Q121="Cued Recall",2,IF(Q121="Recognition",3,IF(Q121="Multiple Choice",4,IF(Q121="Savings",5,IF(Q121="Stem Completion",6,IF(Q121="Fragment Completion",7,IF(Q121="anagram solution",8,IF(Q121="Matching",9,IF(Q121="Problem Solving",10,"99"))))))))))</f>
        <v>3</v>
      </c>
      <c r="S121" s="69" t="s">
        <v>15</v>
      </c>
      <c r="T121" s="69" t="s">
        <v>261</v>
      </c>
      <c r="U121" s="69">
        <f>IF(T121="within",1,0)</f>
        <v>0</v>
      </c>
      <c r="V121" s="69">
        <v>32</v>
      </c>
      <c r="W121" s="69">
        <f>F121*V121</f>
        <v>43328</v>
      </c>
      <c r="X121" s="69">
        <v>4</v>
      </c>
      <c r="Y121" s="87">
        <f>AV120</f>
        <v>604800</v>
      </c>
      <c r="Z121" s="69" t="s">
        <v>177</v>
      </c>
      <c r="AA121" s="69">
        <v>30240000</v>
      </c>
      <c r="AB121" s="69" t="str">
        <f>IF(AA121&lt;60,"1",IF(AA121&lt;=43200,"2",IF(AA121&lt;=777600,"3","4")))</f>
        <v>4</v>
      </c>
      <c r="AC121" s="72">
        <f>AVERAGE(AV120:DA120)</f>
        <v>9979200</v>
      </c>
      <c r="AD121" s="69" t="str">
        <f>IF(AC121&lt;60,"1",IF(AC121&lt;=43200,"2",IF(AC121&lt;=777600,"3","4")))</f>
        <v>4</v>
      </c>
      <c r="AE121" s="87">
        <f>AA121-Y121</f>
        <v>29635200</v>
      </c>
      <c r="AF121" s="88">
        <f>AV121</f>
        <v>1</v>
      </c>
      <c r="AG121" s="72">
        <f>((AW121-AV121)+(AX121-AW121)+(AY121-AX121))/3</f>
        <v>-0.14333333333333334</v>
      </c>
      <c r="AH121" s="4"/>
      <c r="AI121" s="72">
        <f>RSQ(AV121:AY121,AV120:AY120)</f>
        <v>0.99895030784955341</v>
      </c>
      <c r="AJ121" s="110">
        <f>SLOPE(AV121:AY121,AV120:AY120)</f>
        <v>-1.4759391792573317E-8</v>
      </c>
      <c r="AK121" s="72">
        <f>INTERCEPT(AV121:AY121,AV120:AY120)</f>
        <v>1.0172869225764476</v>
      </c>
      <c r="AL121" s="72">
        <f>INDEX(LINEST(LN(AV121:AY121),LN(AV120:AY120),TRUE,TRUE),3,1)</f>
        <v>0.73813199371681304</v>
      </c>
      <c r="AM121" s="72">
        <f>INDEX(LINEST(LN(AV121:AY121),LN(AV120:AY120)),1)</f>
        <v>-0.14161603336344145</v>
      </c>
      <c r="AN121" s="72">
        <f>EXP(INDEX(LINEST(LN(AV121:AY121),LN(AV120:AY120)),1,2))</f>
        <v>7.3784577275153209</v>
      </c>
      <c r="AO121" s="89">
        <f>INDEX(LINEST((AV121:AY121),LN(AV120:AY120),TRUE,TRUE),3,1)</f>
        <v>0.76156203420300017</v>
      </c>
      <c r="AP121" s="89">
        <f>INDEX(LINEST((AV121:AY121),LN(AV120:AY120)),1)</f>
        <v>-0.10876750158667593</v>
      </c>
      <c r="AQ121" s="90">
        <f>INDEX(LINEST(LN(AV121:AY121),SQRT(AV120:AY120),TRUE,TRUE),3,1)</f>
        <v>0.94398776399434492</v>
      </c>
      <c r="AR121" s="117">
        <f>INDEX(LINEST(LN(AV121:AY121),SQRT((AV120:AY120))),1)</f>
        <v>-1.2732901835872708E-4</v>
      </c>
      <c r="AS121" s="91">
        <f>INDEX(LINEST(1/(AV121:AY121),1/(SQRT(AV120:AY120)),TRUE,TRUE),3,1)</f>
        <v>0.4317622101058502</v>
      </c>
      <c r="AT121" s="91">
        <f>INDEX(LINEST(1/(AV121:AY121),1/SQRT(AV120:AY120)),1)</f>
        <v>-499.52618945987444</v>
      </c>
      <c r="AU121" s="4"/>
      <c r="AV121" s="73">
        <v>1</v>
      </c>
      <c r="AW121" s="73">
        <v>0.98</v>
      </c>
      <c r="AX121" s="73">
        <v>0.93</v>
      </c>
      <c r="AY121" s="73">
        <v>0.56999999999999995</v>
      </c>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c r="CO121" s="53"/>
      <c r="CP121" s="53"/>
      <c r="CQ121" s="53"/>
      <c r="CR121" s="1"/>
      <c r="CS121" s="1"/>
      <c r="CT121" s="1"/>
      <c r="CU121" s="1"/>
    </row>
    <row r="122" spans="1:99" s="13" customFormat="1" ht="12" customHeight="1" x14ac:dyDescent="0.2">
      <c r="A122" s="68">
        <v>43509</v>
      </c>
      <c r="B122" s="70"/>
      <c r="C122" s="70"/>
      <c r="D122" s="69"/>
      <c r="E122" s="87"/>
      <c r="F122" s="69"/>
      <c r="G122" s="69"/>
      <c r="H122" s="69"/>
      <c r="I122" s="69"/>
      <c r="J122" s="69"/>
      <c r="K122" s="107"/>
      <c r="L122" s="107"/>
      <c r="M122" s="69"/>
      <c r="N122" s="69"/>
      <c r="O122" s="69"/>
      <c r="P122" s="69"/>
      <c r="Q122" s="69"/>
      <c r="R122" s="69"/>
      <c r="S122" s="69"/>
      <c r="T122" s="69"/>
      <c r="U122" s="69"/>
      <c r="V122" s="69"/>
      <c r="W122" s="69"/>
      <c r="X122" s="69"/>
      <c r="Y122" s="87"/>
      <c r="Z122" s="69"/>
      <c r="AA122" s="69"/>
      <c r="AB122" s="69"/>
      <c r="AC122" s="69"/>
      <c r="AD122" s="69"/>
      <c r="AE122" s="69"/>
      <c r="AF122" s="88"/>
      <c r="AG122" s="72"/>
      <c r="AH122" s="4"/>
      <c r="AI122" s="72"/>
      <c r="AJ122" s="110"/>
      <c r="AK122" s="72"/>
      <c r="AL122" s="72"/>
      <c r="AM122" s="72"/>
      <c r="AN122" s="72"/>
      <c r="AO122" s="72"/>
      <c r="AP122" s="72"/>
      <c r="AQ122" s="72"/>
      <c r="AR122" s="110"/>
      <c r="AS122" s="72"/>
      <c r="AT122" s="72"/>
      <c r="AU122" s="4"/>
      <c r="AV122" s="71">
        <f>24*3600*7</f>
        <v>604800</v>
      </c>
      <c r="AW122" s="71">
        <f>24*3600*35</f>
        <v>3024000</v>
      </c>
      <c r="AX122" s="71">
        <f>24*3600*70</f>
        <v>6048000</v>
      </c>
      <c r="AY122" s="71">
        <f>24*3600*350</f>
        <v>30240000</v>
      </c>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c r="CA122" s="53"/>
      <c r="CB122" s="53"/>
      <c r="CC122" s="53"/>
      <c r="CD122" s="53"/>
      <c r="CE122" s="53"/>
      <c r="CF122" s="53"/>
      <c r="CG122" s="53"/>
      <c r="CH122" s="53"/>
      <c r="CI122" s="53"/>
      <c r="CJ122" s="53"/>
      <c r="CK122" s="53"/>
      <c r="CL122" s="53"/>
      <c r="CM122" s="53"/>
      <c r="CN122" s="53"/>
      <c r="CO122" s="53"/>
      <c r="CP122" s="53"/>
      <c r="CQ122" s="53"/>
      <c r="CR122" s="1"/>
      <c r="CS122" s="1"/>
      <c r="CT122" s="1"/>
      <c r="CU122" s="1"/>
    </row>
    <row r="123" spans="1:99" s="13" customFormat="1" ht="12" customHeight="1" x14ac:dyDescent="0.2">
      <c r="A123" s="68">
        <v>43509</v>
      </c>
      <c r="B123" s="70" t="s">
        <v>176</v>
      </c>
      <c r="C123" s="70" t="s">
        <v>95</v>
      </c>
      <c r="D123" s="69">
        <v>2008</v>
      </c>
      <c r="E123" s="87">
        <v>1</v>
      </c>
      <c r="F123" s="69">
        <v>1354</v>
      </c>
      <c r="G123" s="99">
        <v>52.1</v>
      </c>
      <c r="H123" s="99" t="s">
        <v>32</v>
      </c>
      <c r="I123" s="69" t="s">
        <v>660</v>
      </c>
      <c r="J123" s="69" t="s">
        <v>475</v>
      </c>
      <c r="K123" s="69">
        <f>IF(J123="syllables",1,IF(J123="trigrams",2,IF(J123="strings",3,IF(J123="visual array",4,IF(J123="characters",5,IF(J123="letters",6,IF(J123="free forms",7,IF(J123="odors",8,IF(J123="words",9,IF(J123="pictures",10,IF(J123="object pictures",11,IF(J123="faces",12,IF(J123="names",13,IF(J123="idioms",14,IF(J123="grades",15,IF(J123="syllable-digit pairs",16,IF(J123="trigram-word pairs",17,IF(J123="word-digit pairs",18,IF(J123="English-Swahili pairs",19,IF(J123="spatial position",20,IF(J123="word pairs",21,IF(J123="word triads",22,IF(J123="generated words",23,IF(J123="word definition pairs",24,IF(J123="math problems",25,IF(J123="famous faces",26,IF(J123="famous names",27,IF(J123="famous voices",28,IF(J123="television programs",29,IF(J123="race horses",30,IF(J123="new vocabulary",31,IF(J123="sentences",32,IF(J123="concepts",33,IF(J123="ad slides",34,IF(J123="scenes",35,IF(J123="famous scenes",36,IF(J123="poems",37,IF(J123="walk",38,IF(J123="faces and events",39,IF(J123="events and names",40,IF(J123="flashbulb",41,IF(J123="stories",42,IF(J123="course material",43,IF(J123="autobiographical",44,IF(J123="novels",45,IF(J123="public events",46,"99"))))))))))))))))))))))))))))))))))))))))))))))</f>
        <v>32</v>
      </c>
      <c r="L123" s="69">
        <f>IF(J123="syllables",1,IF(J123="trigrams",1,IF(J123="strings",1,IF(J123="visual array",1,IF(J123="characters",1,IF(J123="letters",1,IF(J123="free forms",1,IF(J123="odors",2,IF(J123="words",2,IF(J123="pictures",2,IF(J123="object pictures",2,IF(J123="faces",2,IF(J123="names",2,IF(J123="idioms","2",IF(J123="grades",2,IF(J123="syllable-digit pairs",3,IF(J123="trigram-word pairs",3,IF(J123="word-digit pairs",3,IF(J123="English-Swahili pairs",3,IF(J123="spatial position",3,IF(J123="word pairs",4,IF(J123="word triads",4,IF(J123="generated words",4,IF(J123="word definition pairs",4,IF(J123="math problems",4,IF(J123="famous faces",4,IF(J123="famous names",4,IF(J123="famous voices",4,IF(J123="television programs",4,IF(J123="race horses",4,IF(J123="new vocabulary",4,IF(J123="sentences",5,IF(J123="concepts",5,IF(J123="ad slides",5,IF(J123="scenes",5,IF(J123="famous scenes",5,IF(J123="poems",6,IF(J123="walk",6,IF(J123="faces and events",6,IF(J123="events and names",6,IF(J123="flashbulb",7,IF(J123="stories",7,IF(J123="course material",7,IF(J123="autobiographical",7,IF(J123="novels",7,IF(J123="public events",7,"99"))))))))))))))))))))))))))))))))))))))))))))))</f>
        <v>5</v>
      </c>
      <c r="M123" s="69">
        <v>1</v>
      </c>
      <c r="N123" s="69">
        <v>4</v>
      </c>
      <c r="O123" s="69">
        <v>0</v>
      </c>
      <c r="P123" s="69"/>
      <c r="Q123" s="69" t="s">
        <v>34</v>
      </c>
      <c r="R123" s="69">
        <f>IF(Q123="Free Recall",1,IF(Q123="Cued Recall",2,IF(Q123="Recognition",3,IF(Q123="Multiple Choice",4,IF(Q123="Savings",5,IF(Q123="Stem Completion",6,IF(Q123="Fragment Completion",7,IF(Q123="anagram solution",8,IF(Q123="Matching",9,IF(Q123="Problem Solving",10,"99"))))))))))</f>
        <v>3</v>
      </c>
      <c r="S123" s="69" t="s">
        <v>15</v>
      </c>
      <c r="T123" s="69" t="s">
        <v>261</v>
      </c>
      <c r="U123" s="69">
        <f>IF(T123="within",1,0)</f>
        <v>0</v>
      </c>
      <c r="V123" s="69">
        <v>32</v>
      </c>
      <c r="W123" s="69">
        <f>F123*V123</f>
        <v>43328</v>
      </c>
      <c r="X123" s="69">
        <v>4</v>
      </c>
      <c r="Y123" s="87">
        <f>AV122</f>
        <v>604800</v>
      </c>
      <c r="Z123" s="69" t="s">
        <v>177</v>
      </c>
      <c r="AA123" s="69">
        <v>30240000</v>
      </c>
      <c r="AB123" s="69" t="str">
        <f>IF(AA123&lt;60,"1",IF(AA123&lt;=43200,"2",IF(AA123&lt;=777600,"3","4")))</f>
        <v>4</v>
      </c>
      <c r="AC123" s="72">
        <f>AVERAGE(AV122:DA122)</f>
        <v>9979200</v>
      </c>
      <c r="AD123" s="69" t="str">
        <f>IF(AC123&lt;60,"1",IF(AC123&lt;=43200,"2",IF(AC123&lt;=777600,"3","4")))</f>
        <v>4</v>
      </c>
      <c r="AE123" s="87">
        <f>AA123-Y123</f>
        <v>29635200</v>
      </c>
      <c r="AF123" s="88">
        <f>AV123</f>
        <v>0.99</v>
      </c>
      <c r="AG123" s="72">
        <f>((AW123-AV123)+(AX123-AW123)+(AY123-AX123))/3</f>
        <v>-0.10000000000000002</v>
      </c>
      <c r="AH123" s="4"/>
      <c r="AI123" s="72">
        <f>RSQ(AV123:AY123,AV122:AY122)</f>
        <v>0.99764354990287396</v>
      </c>
      <c r="AJ123" s="110">
        <f>SLOPE(AV123:AY123,AV122:AY122)</f>
        <v>-9.9507561283748684E-9</v>
      </c>
      <c r="AK123" s="72">
        <f>INTERCEPT(AV123:AY123,AV122:AY122)</f>
        <v>0.98930058555627853</v>
      </c>
      <c r="AL123" s="72">
        <f>INDEX(LINEST(LN(AV123:AY123),LN(AV122:AY122),TRUE,TRUE),3,1)</f>
        <v>0.79747451708440986</v>
      </c>
      <c r="AM123" s="72">
        <f>INDEX(LINEST(LN(AV123:AY123),LN(AV122:AY122)),1)</f>
        <v>-9.134301524438973E-2</v>
      </c>
      <c r="AN123" s="72">
        <f>EXP(INDEX(LINEST(LN(AV123:AY123),LN(AV122:AY122)),1,2))</f>
        <v>3.555004960961559</v>
      </c>
      <c r="AO123" s="89">
        <f>INDEX(LINEST((AV123:AY123),LN(AV122:AY122),TRUE,TRUE),3,1)</f>
        <v>0.8192850336678541</v>
      </c>
      <c r="AP123" s="89">
        <f>INDEX(LINEST((AV123:AY123),LN(AV122:AY122)),1)</f>
        <v>-7.6108977134299149E-2</v>
      </c>
      <c r="AQ123" s="90">
        <f>INDEX(LINEST(LN(AV123:AY123),SQRT(AV122:AY122),TRUE,TRUE),3,1)</f>
        <v>0.97207527654447057</v>
      </c>
      <c r="AR123" s="117">
        <f>INDEX(LINEST(LN(AV123:AY123),SQRT((AV122:AY122))),1)</f>
        <v>-8.0179931869395443E-5</v>
      </c>
      <c r="AS123" s="91">
        <f>INDEX(LINEST(1/(AV123:AY123),1/(SQRT(AV122:AY122)),TRUE,TRUE),3,1)</f>
        <v>0.49830089371960229</v>
      </c>
      <c r="AT123" s="91">
        <f>INDEX(LINEST(1/(AV123:AY123),1/SQRT(AV122:AY122)),1)</f>
        <v>-301.83594894836898</v>
      </c>
      <c r="AU123" s="4"/>
      <c r="AV123" s="73">
        <v>0.99</v>
      </c>
      <c r="AW123" s="73">
        <v>0.96</v>
      </c>
      <c r="AX123" s="73">
        <v>0.92</v>
      </c>
      <c r="AY123" s="73">
        <v>0.69</v>
      </c>
      <c r="AZ123" s="53"/>
      <c r="BA123" s="53"/>
      <c r="BB123" s="53"/>
      <c r="BC123" s="53"/>
      <c r="BD123" s="53"/>
      <c r="BE123" s="53"/>
      <c r="BF123" s="53"/>
      <c r="BG123" s="53"/>
      <c r="BH123" s="53"/>
      <c r="BI123" s="53"/>
      <c r="BJ123" s="53"/>
      <c r="BK123" s="53"/>
      <c r="BL123" s="53"/>
      <c r="BM123" s="53"/>
      <c r="BN123" s="53"/>
      <c r="BO123" s="53"/>
      <c r="BP123" s="53"/>
      <c r="BQ123" s="53"/>
      <c r="BR123" s="53"/>
      <c r="BS123" s="53"/>
      <c r="BT123" s="53"/>
      <c r="BU123" s="53"/>
      <c r="BV123" s="53"/>
      <c r="BW123" s="53"/>
      <c r="BX123" s="53"/>
      <c r="BY123" s="53"/>
      <c r="BZ123" s="53"/>
      <c r="CA123" s="53"/>
      <c r="CB123" s="53"/>
      <c r="CC123" s="53"/>
      <c r="CD123" s="53"/>
      <c r="CE123" s="53"/>
      <c r="CF123" s="53"/>
      <c r="CG123" s="53"/>
      <c r="CH123" s="53"/>
      <c r="CI123" s="53"/>
      <c r="CJ123" s="53"/>
      <c r="CK123" s="53"/>
      <c r="CL123" s="53"/>
      <c r="CM123" s="53"/>
      <c r="CN123" s="53"/>
      <c r="CO123" s="53"/>
      <c r="CP123" s="53"/>
      <c r="CQ123" s="53"/>
      <c r="CR123" s="1"/>
      <c r="CS123" s="1"/>
      <c r="CT123" s="1"/>
      <c r="CU123" s="1"/>
    </row>
    <row r="124" spans="1:99" s="13" customFormat="1" ht="12" customHeight="1" x14ac:dyDescent="0.2">
      <c r="A124" s="68">
        <v>43509</v>
      </c>
      <c r="B124" s="70"/>
      <c r="C124" s="70"/>
      <c r="D124" s="69"/>
      <c r="E124" s="87"/>
      <c r="F124" s="69"/>
      <c r="G124" s="69"/>
      <c r="H124" s="69"/>
      <c r="I124" s="69"/>
      <c r="J124" s="69"/>
      <c r="K124" s="107"/>
      <c r="L124" s="107"/>
      <c r="M124" s="69"/>
      <c r="N124" s="69"/>
      <c r="O124" s="69"/>
      <c r="P124" s="69"/>
      <c r="Q124" s="69"/>
      <c r="R124" s="69"/>
      <c r="S124" s="69"/>
      <c r="T124" s="69"/>
      <c r="U124" s="69"/>
      <c r="V124" s="69"/>
      <c r="W124" s="69"/>
      <c r="X124" s="69"/>
      <c r="Y124" s="87"/>
      <c r="Z124" s="69"/>
      <c r="AA124" s="69"/>
      <c r="AB124" s="69"/>
      <c r="AC124" s="69"/>
      <c r="AD124" s="69"/>
      <c r="AE124" s="69"/>
      <c r="AF124" s="88"/>
      <c r="AG124" s="72"/>
      <c r="AH124" s="4"/>
      <c r="AI124" s="72"/>
      <c r="AJ124" s="110"/>
      <c r="AK124" s="72"/>
      <c r="AL124" s="72"/>
      <c r="AM124" s="72"/>
      <c r="AN124" s="72"/>
      <c r="AO124" s="72"/>
      <c r="AP124" s="72"/>
      <c r="AQ124" s="72"/>
      <c r="AR124" s="110"/>
      <c r="AS124" s="72"/>
      <c r="AT124" s="72"/>
      <c r="AU124" s="4"/>
      <c r="AV124" s="71">
        <f>24*3600*7</f>
        <v>604800</v>
      </c>
      <c r="AW124" s="71">
        <f>24*3600*35</f>
        <v>3024000</v>
      </c>
      <c r="AX124" s="71">
        <f>24*3600*70</f>
        <v>6048000</v>
      </c>
      <c r="AY124" s="71">
        <f>24*3600*350</f>
        <v>30240000</v>
      </c>
      <c r="AZ124" s="53"/>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c r="BY124" s="53"/>
      <c r="BZ124" s="53"/>
      <c r="CA124" s="53"/>
      <c r="CB124" s="53"/>
      <c r="CC124" s="53"/>
      <c r="CD124" s="53"/>
      <c r="CE124" s="53"/>
      <c r="CF124" s="53"/>
      <c r="CG124" s="53"/>
      <c r="CH124" s="53"/>
      <c r="CI124" s="53"/>
      <c r="CJ124" s="53"/>
      <c r="CK124" s="53"/>
      <c r="CL124" s="53"/>
      <c r="CM124" s="53"/>
      <c r="CN124" s="53"/>
      <c r="CO124" s="53"/>
      <c r="CP124" s="53"/>
      <c r="CQ124" s="53"/>
      <c r="CR124" s="1"/>
      <c r="CS124" s="1"/>
      <c r="CT124" s="1"/>
      <c r="CU124" s="1"/>
    </row>
    <row r="125" spans="1:99" s="13" customFormat="1" ht="12" customHeight="1" x14ac:dyDescent="0.2">
      <c r="A125" s="68">
        <v>43509</v>
      </c>
      <c r="B125" s="70" t="s">
        <v>176</v>
      </c>
      <c r="C125" s="70" t="s">
        <v>95</v>
      </c>
      <c r="D125" s="69">
        <v>2008</v>
      </c>
      <c r="E125" s="87">
        <v>1</v>
      </c>
      <c r="F125" s="69">
        <v>1354</v>
      </c>
      <c r="G125" s="99">
        <v>52.1</v>
      </c>
      <c r="H125" s="99" t="s">
        <v>32</v>
      </c>
      <c r="I125" s="69" t="s">
        <v>661</v>
      </c>
      <c r="J125" s="69" t="s">
        <v>475</v>
      </c>
      <c r="K125" s="69">
        <f>IF(J125="syllables",1,IF(J125="trigrams",2,IF(J125="strings",3,IF(J125="visual array",4,IF(J125="characters",5,IF(J125="letters",6,IF(J125="free forms",7,IF(J125="odors",8,IF(J125="words",9,IF(J125="pictures",10,IF(J125="object pictures",11,IF(J125="faces",12,IF(J125="names",13,IF(J125="idioms",14,IF(J125="grades",15,IF(J125="syllable-digit pairs",16,IF(J125="trigram-word pairs",17,IF(J125="word-digit pairs",18,IF(J125="English-Swahili pairs",19,IF(J125="spatial position",20,IF(J125="word pairs",21,IF(J125="word triads",22,IF(J125="generated words",23,IF(J125="word definition pairs",24,IF(J125="math problems",25,IF(J125="famous faces",26,IF(J125="famous names",27,IF(J125="famous voices",28,IF(J125="television programs",29,IF(J125="race horses",30,IF(J125="new vocabulary",31,IF(J125="sentences",32,IF(J125="concepts",33,IF(J125="ad slides",34,IF(J125="scenes",35,IF(J125="famous scenes",36,IF(J125="poems",37,IF(J125="walk",38,IF(J125="faces and events",39,IF(J125="events and names",40,IF(J125="flashbulb",41,IF(J125="stories",42,IF(J125="course material",43,IF(J125="autobiographical",44,IF(J125="novels",45,IF(J125="public events",46,"99"))))))))))))))))))))))))))))))))))))))))))))))</f>
        <v>32</v>
      </c>
      <c r="L125" s="69">
        <f>IF(J125="syllables",1,IF(J125="trigrams",1,IF(J125="strings",1,IF(J125="visual array",1,IF(J125="characters",1,IF(J125="letters",1,IF(J125="free forms",1,IF(J125="odors",2,IF(J125="words",2,IF(J125="pictures",2,IF(J125="object pictures",2,IF(J125="faces",2,IF(J125="names",2,IF(J125="idioms","2",IF(J125="grades",2,IF(J125="syllable-digit pairs",3,IF(J125="trigram-word pairs",3,IF(J125="word-digit pairs",3,IF(J125="English-Swahili pairs",3,IF(J125="spatial position",3,IF(J125="word pairs",4,IF(J125="word triads",4,IF(J125="generated words",4,IF(J125="word definition pairs",4,IF(J125="math problems",4,IF(J125="famous faces",4,IF(J125="famous names",4,IF(J125="famous voices",4,IF(J125="television programs",4,IF(J125="race horses",4,IF(J125="new vocabulary",4,IF(J125="sentences",5,IF(J125="concepts",5,IF(J125="ad slides",5,IF(J125="scenes",5,IF(J125="famous scenes",5,IF(J125="poems",6,IF(J125="walk",6,IF(J125="faces and events",6,IF(J125="events and names",6,IF(J125="flashbulb",7,IF(J125="stories",7,IF(J125="course material",7,IF(J125="autobiographical",7,IF(J125="novels",7,IF(J125="public events",7,"99"))))))))))))))))))))))))))))))))))))))))))))))</f>
        <v>5</v>
      </c>
      <c r="M125" s="69">
        <v>1</v>
      </c>
      <c r="N125" s="69">
        <v>4</v>
      </c>
      <c r="O125" s="69">
        <v>0</v>
      </c>
      <c r="P125" s="69"/>
      <c r="Q125" s="69" t="s">
        <v>34</v>
      </c>
      <c r="R125" s="69">
        <f>IF(Q125="Free Recall",1,IF(Q125="Cued Recall",2,IF(Q125="Recognition",3,IF(Q125="Multiple Choice",4,IF(Q125="Savings",5,IF(Q125="Stem Completion",6,IF(Q125="Fragment Completion",7,IF(Q125="anagram solution",8,IF(Q125="Matching",9,IF(Q125="Problem Solving",10,"99"))))))))))</f>
        <v>3</v>
      </c>
      <c r="S125" s="69" t="s">
        <v>15</v>
      </c>
      <c r="T125" s="69" t="s">
        <v>261</v>
      </c>
      <c r="U125" s="69">
        <f>IF(T125="within",1,0)</f>
        <v>0</v>
      </c>
      <c r="V125" s="69">
        <v>32</v>
      </c>
      <c r="W125" s="69">
        <f>F125*V125</f>
        <v>43328</v>
      </c>
      <c r="X125" s="69">
        <v>4</v>
      </c>
      <c r="Y125" s="87">
        <f>AV124</f>
        <v>604800</v>
      </c>
      <c r="Z125" s="69" t="s">
        <v>177</v>
      </c>
      <c r="AA125" s="69">
        <v>30240000</v>
      </c>
      <c r="AB125" s="69" t="str">
        <f>IF(AA125&lt;60,"1",IF(AA125&lt;=43200,"2",IF(AA125&lt;=777600,"3","4")))</f>
        <v>4</v>
      </c>
      <c r="AC125" s="72">
        <f>AVERAGE(AV124:DA124)</f>
        <v>9979200</v>
      </c>
      <c r="AD125" s="69" t="str">
        <f>IF(AC125&lt;60,"1",IF(AC125&lt;=43200,"2",IF(AC125&lt;=777600,"3","4")))</f>
        <v>4</v>
      </c>
      <c r="AE125" s="87">
        <f>AA125-Y125</f>
        <v>29635200</v>
      </c>
      <c r="AF125" s="88">
        <f>AV125</f>
        <v>0.97</v>
      </c>
      <c r="AG125" s="72">
        <f>((AW125-AV125)+(AX125-AW125)+(AY125-AX125))/3</f>
        <v>-0.15</v>
      </c>
      <c r="AH125" s="4"/>
      <c r="AI125" s="72">
        <f>RSQ(AV125:AY125,AV124:AY124)</f>
        <v>0.98267473596772292</v>
      </c>
      <c r="AJ125" s="110">
        <f>SLOPE(AV125:AY125,AV124:AY124)</f>
        <v>-1.4194619147449335E-8</v>
      </c>
      <c r="AK125" s="72">
        <f>INTERCEPT(AV125:AY125,AV124:AY124)</f>
        <v>0.94415094339622641</v>
      </c>
      <c r="AL125" s="72">
        <f>INDEX(LINEST(LN(AV125:AY125),LN(AV124:AY124),TRUE,TRUE),3,1)</f>
        <v>0.83401451238788715</v>
      </c>
      <c r="AM125" s="72">
        <f>INDEX(LINEST(LN(AV125:AY125),LN(AV124:AY124)),1)</f>
        <v>-0.15656389100607182</v>
      </c>
      <c r="AN125" s="72">
        <f>EXP(INDEX(LINEST(LN(AV125:AY125),LN(AV124:AY124)),1,2))</f>
        <v>8.5324661352976818</v>
      </c>
      <c r="AO125" s="89">
        <f>INDEX(LINEST((AV125:AY125),LN(AV124:AY124),TRUE,TRUE),3,1)</f>
        <v>0.87863528078719111</v>
      </c>
      <c r="AP125" s="89">
        <f>INDEX(LINEST((AV125:AY125),LN(AV124:AY124)),1)</f>
        <v>-0.11328519577648638</v>
      </c>
      <c r="AQ125" s="90">
        <f>INDEX(LINEST(LN(AV125:AY125),SQRT(AV124:AY124),TRUE,TRUE),3,1)</f>
        <v>0.9829132435168787</v>
      </c>
      <c r="AR125" s="117">
        <f>INDEX(LINEST(LN(AV125:AY125),SQRT((AV124:AY124))),1)</f>
        <v>-1.3513292993964712E-4</v>
      </c>
      <c r="AS125" s="91">
        <f>INDEX(LINEST(1/(AV125:AY125),1/(SQRT(AV124:AY124)),TRUE,TRUE),3,1)</f>
        <v>0.52116109074299632</v>
      </c>
      <c r="AT125" s="91">
        <f>INDEX(LINEST(1/(AV125:AY125),1/SQRT(AV124:AY124)),1)</f>
        <v>-616.44477331829307</v>
      </c>
      <c r="AU125" s="4"/>
      <c r="AV125" s="73">
        <v>0.97</v>
      </c>
      <c r="AW125" s="73">
        <v>0.88</v>
      </c>
      <c r="AX125" s="73">
        <v>0.84</v>
      </c>
      <c r="AY125" s="73">
        <v>0.52</v>
      </c>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53"/>
      <c r="CD125" s="53"/>
      <c r="CE125" s="53"/>
      <c r="CF125" s="53"/>
      <c r="CG125" s="53"/>
      <c r="CH125" s="53"/>
      <c r="CI125" s="53"/>
      <c r="CJ125" s="53"/>
      <c r="CK125" s="53"/>
      <c r="CL125" s="53"/>
      <c r="CM125" s="53"/>
      <c r="CN125" s="53"/>
      <c r="CO125" s="53"/>
      <c r="CP125" s="53"/>
      <c r="CQ125" s="53"/>
      <c r="CR125" s="1"/>
      <c r="CS125" s="1"/>
      <c r="CT125" s="1"/>
      <c r="CU125" s="1"/>
    </row>
    <row r="126" spans="1:99" s="13" customFormat="1" ht="12" customHeight="1" x14ac:dyDescent="0.2">
      <c r="A126" s="65">
        <v>43906</v>
      </c>
      <c r="B126" s="1"/>
      <c r="C126" s="1"/>
      <c r="D126" s="60"/>
      <c r="E126" s="76"/>
      <c r="F126" s="60"/>
      <c r="G126" s="62"/>
      <c r="H126" s="60"/>
      <c r="I126" s="60"/>
      <c r="J126" s="60"/>
      <c r="K126" s="64"/>
      <c r="L126" s="64"/>
      <c r="M126" s="60"/>
      <c r="N126" s="61"/>
      <c r="O126" s="60"/>
      <c r="P126" s="60"/>
      <c r="Q126" s="60"/>
      <c r="R126" s="60"/>
      <c r="S126" s="60"/>
      <c r="T126" s="60"/>
      <c r="U126" s="60"/>
      <c r="V126" s="60"/>
      <c r="W126" s="60"/>
      <c r="X126" s="60"/>
      <c r="Y126" s="76"/>
      <c r="Z126" s="60"/>
      <c r="AA126" s="60"/>
      <c r="AB126" s="60"/>
      <c r="AC126" s="56"/>
      <c r="AD126" s="60"/>
      <c r="AE126" s="60"/>
      <c r="AF126" s="80"/>
      <c r="AG126" s="56"/>
      <c r="AH126" s="4"/>
      <c r="AI126" s="56"/>
      <c r="AJ126" s="109"/>
      <c r="AK126" s="56"/>
      <c r="AL126" s="56"/>
      <c r="AM126" s="56"/>
      <c r="AN126" s="56"/>
      <c r="AO126" s="82"/>
      <c r="AP126" s="82"/>
      <c r="AQ126" s="83"/>
      <c r="AR126" s="116"/>
      <c r="AS126" s="84"/>
      <c r="AT126" s="84"/>
      <c r="AU126" s="3"/>
      <c r="AV126" s="25">
        <v>300</v>
      </c>
      <c r="AW126" s="25">
        <f>60*60*24</f>
        <v>86400</v>
      </c>
      <c r="AX126" s="25">
        <f>AW126*2</f>
        <v>172800</v>
      </c>
      <c r="AY126" s="25">
        <f>AW126*4</f>
        <v>345600</v>
      </c>
      <c r="AZ126" s="25">
        <f>AW126*7</f>
        <v>604800</v>
      </c>
      <c r="BA126" s="25">
        <f>AW126*14</f>
        <v>1209600</v>
      </c>
      <c r="BB126" s="53"/>
      <c r="BC126" s="53"/>
      <c r="BD126" s="53"/>
      <c r="BE126" s="53"/>
      <c r="BF126" s="53"/>
      <c r="BG126" s="53"/>
      <c r="BH126" s="53"/>
      <c r="BI126" s="53"/>
      <c r="BJ126" s="53"/>
      <c r="BK126" s="53"/>
      <c r="BL126" s="53"/>
      <c r="BM126" s="53"/>
      <c r="BN126" s="53"/>
      <c r="BO126" s="53"/>
      <c r="BP126" s="53"/>
      <c r="BQ126" s="53"/>
      <c r="BR126" s="53"/>
      <c r="BS126" s="53"/>
      <c r="BT126" s="53"/>
      <c r="BU126" s="53"/>
      <c r="BV126" s="53"/>
      <c r="BW126" s="53"/>
      <c r="BX126" s="53"/>
      <c r="BY126" s="53"/>
      <c r="BZ126" s="53"/>
      <c r="CA126" s="53"/>
      <c r="CB126" s="53"/>
      <c r="CC126" s="53"/>
      <c r="CD126" s="53"/>
      <c r="CE126" s="53"/>
      <c r="CF126" s="53"/>
      <c r="CG126" s="53"/>
      <c r="CH126" s="53"/>
      <c r="CI126" s="53"/>
      <c r="CJ126" s="53"/>
      <c r="CK126" s="53"/>
      <c r="CL126" s="53"/>
      <c r="CM126" s="53"/>
      <c r="CN126" s="53"/>
      <c r="CO126" s="53"/>
      <c r="CP126" s="53"/>
      <c r="CQ126" s="53"/>
      <c r="CR126" s="1"/>
      <c r="CS126" s="1"/>
      <c r="CT126" s="1"/>
      <c r="CU126" s="1"/>
    </row>
    <row r="127" spans="1:99" s="13" customFormat="1" ht="12" customHeight="1" x14ac:dyDescent="0.2">
      <c r="A127" s="65">
        <v>43906</v>
      </c>
      <c r="B127" s="1" t="s">
        <v>489</v>
      </c>
      <c r="C127" s="1" t="s">
        <v>488</v>
      </c>
      <c r="D127" s="60">
        <v>2009</v>
      </c>
      <c r="E127" s="76">
        <v>1</v>
      </c>
      <c r="F127" s="60">
        <v>215</v>
      </c>
      <c r="G127" s="62">
        <v>35.799999999999997</v>
      </c>
      <c r="H127" s="60" t="s">
        <v>491</v>
      </c>
      <c r="I127" s="60"/>
      <c r="J127" s="60" t="s">
        <v>490</v>
      </c>
      <c r="K127" s="60">
        <f>IF(J127="syllables",1,IF(J127="trigrams",2,IF(J127="strings",3,IF(J127="visual array",4,IF(J127="characters",5,IF(J127="letters",6,IF(J127="free forms",7,IF(J127="odors",8,IF(J127="words",9,IF(J127="pictures",10,IF(J127="object pictures",11,IF(J127="faces",12,IF(J127="names",13,IF(J127="idioms",14,IF(J127="grades",15,IF(J127="syllable-digit pairs",16,IF(J127="trigram-word pairs",17,IF(J127="word-digit pairs",18,IF(J127="English-Swahili pairs",19,IF(J127="spatial position",20,IF(J127="word pairs",21,IF(J127="word triads",22,IF(J127="generated words",23,IF(J127="word definition pairs",24,IF(J127="math problems",25,IF(J127="famous faces",26,IF(J127="famous names",27,IF(J127="famous voices",28,IF(J127="television programs",29,IF(J127="race horses",30,IF(J127="new vocabulary",31,IF(J127="sentences",32,IF(J127="concepts",33,IF(J127="ad slides",34,IF(J127="scenes",35,IF(J127="famous scenes",36,IF(J127="poems",37,IF(J127="walk",38,IF(J127="faces and events",39,IF(J127="events and names",40,IF(J127="flashbulb",41,IF(J127="stories",42,IF(J127="course material",43,IF(J127="autobiographical",44,IF(J127="novels",45,IF(J127="public events",46,"99"))))))))))))))))))))))))))))))))))))))))))))))</f>
        <v>19</v>
      </c>
      <c r="L127" s="60">
        <f>IF(J127="syllables",1,IF(J127="trigrams",1,IF(J127="strings",1,IF(J127="visual array",1,IF(J127="characters",1,IF(J127="letters",1,IF(J127="free forms",1,IF(J127="odors",2,IF(J127="words",2,IF(J127="pictures",2,IF(J127="object pictures",2,IF(J127="faces",2,IF(J127="names",2,IF(J127="idioms","2",IF(J127="grades",2,IF(J127="syllable-digit pairs",3,IF(J127="trigram-word pairs",3,IF(J127="word-digit pairs",3,IF(J127="English-Swahili pairs",3,IF(J127="spatial position",3,IF(J127="word pairs",4,IF(J127="word triads",4,IF(J127="generated words",4,IF(J127="word definition pairs",4,IF(J127="math problems",4,IF(J127="famous faces",4,IF(J127="famous names",4,IF(J127="famous voices",4,IF(J127="television programs",4,IF(J127="race horses",4,IF(J127="new vocabulary",4,IF(J127="sentences",5,IF(J127="concepts",5,IF(J127="ad slides",5,IF(J127="scenes",5,IF(J127="famous scenes",5,IF(J127="poems",6,IF(J127="walk",6,IF(J127="faces and events",6,IF(J127="events and names",6,IF(J127="flashbulb",7,IF(J127="stories",7,IF(J127="course material",7,IF(J127="autobiographical",7,IF(J127="novels",7,IF(J127="public events",7,"99"))))))))))))))))))))))))))))))))))))))))))))))</f>
        <v>3</v>
      </c>
      <c r="M127" s="60">
        <v>1</v>
      </c>
      <c r="N127" s="61">
        <v>3</v>
      </c>
      <c r="O127" s="60">
        <v>0</v>
      </c>
      <c r="P127" s="60"/>
      <c r="Q127" s="60" t="s">
        <v>65</v>
      </c>
      <c r="R127" s="60">
        <f>IF(Q127="Free Recall",1,IF(Q127="Cued Recall",2,IF(Q127="Recognition",3,IF(Q127="Multiple Choice",4,IF(Q127="Savings",5,IF(Q127="Stem Completion",6,IF(Q127="Fragment Completion",7,IF(Q127="anagram solution",8,IF(Q127="Matching",9,IF(Q127="Problem Solving",10,"99"))))))))))</f>
        <v>2</v>
      </c>
      <c r="S127" s="60" t="s">
        <v>15</v>
      </c>
      <c r="T127" s="60" t="s">
        <v>261</v>
      </c>
      <c r="U127" s="60">
        <f>IF(T127="within",1,0)</f>
        <v>0</v>
      </c>
      <c r="V127" s="60">
        <v>40</v>
      </c>
      <c r="W127" s="60">
        <f>F127*V127</f>
        <v>8600</v>
      </c>
      <c r="X127" s="60">
        <v>6</v>
      </c>
      <c r="Y127" s="76">
        <f>AV126</f>
        <v>300</v>
      </c>
      <c r="Z127" s="60" t="s">
        <v>476</v>
      </c>
      <c r="AA127" s="60">
        <f>60*60*24*14</f>
        <v>1209600</v>
      </c>
      <c r="AB127" s="60" t="str">
        <f>IF(AA127&lt;60,"1",IF(AA127&lt;=43200,"2",IF(AA127&lt;=777600,"3","4")))</f>
        <v>4</v>
      </c>
      <c r="AC127" s="56">
        <f>AVERAGE(AV126:DA126)</f>
        <v>403250</v>
      </c>
      <c r="AD127" s="60" t="str">
        <f>IF(AC127&lt;60,"1",IF(AC127&lt;=43200,"2",IF(AC127&lt;=777600,"3","4")))</f>
        <v>3</v>
      </c>
      <c r="AE127" s="76">
        <f>AA127-Y127</f>
        <v>1209300</v>
      </c>
      <c r="AF127" s="80">
        <f>AV127</f>
        <v>0.92177419354838697</v>
      </c>
      <c r="AG127" s="56">
        <f>((AW127-AV127)+(AX127-AW127)+(AY127-AX127)+(AZ127-AY127)+(BA127-AZ127))/5</f>
        <v>-0.12763608870967741</v>
      </c>
      <c r="AH127" s="4"/>
      <c r="AI127" s="56">
        <f>RSQ(AV127:BA127,AV126:BA126)</f>
        <v>0.85653457588850723</v>
      </c>
      <c r="AJ127" s="109">
        <f>SLOPE(AV127:BA127,AV126:BA126)</f>
        <v>-5.0362723349508582E-7</v>
      </c>
      <c r="AK127" s="56">
        <f>INTERCEPT(AV127:BA127,AV126:BA126)</f>
        <v>0.81826889212503717</v>
      </c>
      <c r="AL127" s="56">
        <f>INDEX(LINEST(LN(AV127:BA127),LN(AV126:BA126),TRUE,TRUE),3,1)</f>
        <v>0.58236917726593951</v>
      </c>
      <c r="AM127" s="56">
        <f>INDEX(LINEST(LN(AV127:BA127),LN(AV126:BA126)),1)</f>
        <v>-0.11253363439233544</v>
      </c>
      <c r="AN127" s="56">
        <f>EXP(INDEX(LINEST(LN(AV127:BA127),LN(AV126:BA126)),1,2))</f>
        <v>2.0885774429442607</v>
      </c>
      <c r="AO127" s="82">
        <f>INDEX(LINEST((AV127:BA127),LN(AV126:BA126),TRUE,TRUE),3,1)</f>
        <v>0.68368591745718788</v>
      </c>
      <c r="AP127" s="82">
        <f>INDEX(LINEST((AV127:BA127),LN(AV126:BA126)),1)</f>
        <v>-6.7368311822507992E-2</v>
      </c>
      <c r="AQ127" s="83">
        <f>INDEX(LINEST(LN(AV127:BA127),SQRT(AV126:BA126),TRUE,TRUE),3,1)</f>
        <v>0.96856163784038229</v>
      </c>
      <c r="AR127" s="116">
        <f>INDEX(LINEST(LN(AV127:BA127),SQRT((AV126:BA126))),1)</f>
        <v>-1.1472371037217898E-3</v>
      </c>
      <c r="AS127" s="84">
        <f>INDEX(LINEST(1/(AV127:BA127),1/(SQRT(AV126:BA126)),TRUE,TRUE),3,1)</f>
        <v>0.22418293805439554</v>
      </c>
      <c r="AT127" s="84">
        <f>INDEX(LINEST(1/(AV127:BA127),1/SQRT(AV126:BA126)),1)</f>
        <v>-18.934535204172214</v>
      </c>
      <c r="AU127" s="3"/>
      <c r="AV127" s="53">
        <v>0.92177419354838697</v>
      </c>
      <c r="AW127" s="53">
        <v>0.83790322580645205</v>
      </c>
      <c r="AX127" s="53">
        <v>0.68833333333333302</v>
      </c>
      <c r="AY127" s="53">
        <v>0.52155172413793105</v>
      </c>
      <c r="AZ127" s="53">
        <v>0.437931034482759</v>
      </c>
      <c r="BA127" s="53">
        <v>0.28359374999999998</v>
      </c>
      <c r="BB127" s="53"/>
      <c r="BC127" s="53"/>
      <c r="BD127" s="53"/>
      <c r="BE127" s="53"/>
      <c r="BF127" s="53"/>
      <c r="BG127" s="53"/>
      <c r="BH127" s="53"/>
      <c r="BI127" s="53"/>
      <c r="BJ127" s="53"/>
      <c r="BK127" s="53"/>
      <c r="BL127" s="53"/>
      <c r="BM127" s="53"/>
      <c r="BN127" s="53"/>
      <c r="BO127" s="53"/>
      <c r="BP127" s="53"/>
      <c r="BQ127" s="53"/>
      <c r="BR127" s="53"/>
      <c r="BS127" s="53"/>
      <c r="BT127" s="53"/>
      <c r="BU127" s="53"/>
      <c r="BV127" s="53"/>
      <c r="BW127" s="53"/>
      <c r="BX127" s="53"/>
      <c r="BY127" s="53"/>
      <c r="BZ127" s="53"/>
      <c r="CA127" s="53"/>
      <c r="CB127" s="53"/>
      <c r="CC127" s="53"/>
      <c r="CD127" s="53"/>
      <c r="CE127" s="53"/>
      <c r="CF127" s="53"/>
      <c r="CG127" s="53"/>
      <c r="CH127" s="53"/>
      <c r="CI127" s="53"/>
      <c r="CJ127" s="53"/>
      <c r="CK127" s="53"/>
      <c r="CL127" s="53"/>
      <c r="CM127" s="53"/>
      <c r="CN127" s="53"/>
      <c r="CO127" s="53"/>
      <c r="CP127" s="53"/>
      <c r="CQ127" s="53"/>
      <c r="CR127" s="1"/>
      <c r="CS127" s="1"/>
      <c r="CT127" s="1"/>
      <c r="CU127" s="1"/>
    </row>
    <row r="128" spans="1:99" s="13" customFormat="1" ht="12" customHeight="1" x14ac:dyDescent="0.2">
      <c r="A128" s="65">
        <v>43906</v>
      </c>
      <c r="B128" s="1"/>
      <c r="C128" s="1"/>
      <c r="D128" s="60"/>
      <c r="E128" s="76"/>
      <c r="F128" s="60"/>
      <c r="G128" s="62"/>
      <c r="H128" s="60"/>
      <c r="I128" s="60"/>
      <c r="J128" s="60"/>
      <c r="K128" s="64"/>
      <c r="L128" s="64"/>
      <c r="M128" s="60"/>
      <c r="N128" s="61"/>
      <c r="O128" s="60"/>
      <c r="P128" s="60"/>
      <c r="Q128" s="60"/>
      <c r="R128" s="60"/>
      <c r="S128" s="60"/>
      <c r="T128" s="60"/>
      <c r="U128" s="60"/>
      <c r="V128" s="60"/>
      <c r="W128" s="60"/>
      <c r="X128" s="60"/>
      <c r="Y128" s="76"/>
      <c r="Z128" s="60"/>
      <c r="AA128" s="60"/>
      <c r="AB128" s="60"/>
      <c r="AC128" s="56"/>
      <c r="AD128" s="60"/>
      <c r="AE128" s="60"/>
      <c r="AF128" s="80"/>
      <c r="AG128" s="56"/>
      <c r="AH128" s="4"/>
      <c r="AI128" s="56"/>
      <c r="AJ128" s="109"/>
      <c r="AK128" s="56"/>
      <c r="AL128" s="56"/>
      <c r="AM128" s="56"/>
      <c r="AN128" s="56"/>
      <c r="AO128" s="82"/>
      <c r="AP128" s="82"/>
      <c r="AQ128" s="83"/>
      <c r="AR128" s="116"/>
      <c r="AS128" s="84"/>
      <c r="AT128" s="84"/>
      <c r="AU128" s="3"/>
      <c r="AV128" s="25">
        <v>300</v>
      </c>
      <c r="AW128" s="25">
        <f>60*60*24</f>
        <v>86400</v>
      </c>
      <c r="AX128" s="25">
        <f>AW128*7</f>
        <v>604800</v>
      </c>
      <c r="AY128" s="25">
        <f>AW128*28</f>
        <v>2419200</v>
      </c>
      <c r="AZ128" s="25">
        <f>AW128*84</f>
        <v>7257600</v>
      </c>
      <c r="BA128" s="25">
        <f>AW128*168</f>
        <v>14515200</v>
      </c>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53"/>
      <c r="CD128" s="53"/>
      <c r="CE128" s="53"/>
      <c r="CF128" s="53"/>
      <c r="CG128" s="53"/>
      <c r="CH128" s="53"/>
      <c r="CI128" s="53"/>
      <c r="CJ128" s="53"/>
      <c r="CK128" s="53"/>
      <c r="CL128" s="53"/>
      <c r="CM128" s="53"/>
      <c r="CN128" s="53"/>
      <c r="CO128" s="53"/>
      <c r="CP128" s="53"/>
      <c r="CQ128" s="53"/>
      <c r="CR128" s="1"/>
      <c r="CS128" s="1"/>
      <c r="CT128" s="1"/>
      <c r="CU128" s="1"/>
    </row>
    <row r="129" spans="1:99" s="13" customFormat="1" ht="12" customHeight="1" x14ac:dyDescent="0.2">
      <c r="A129" s="65">
        <v>43906</v>
      </c>
      <c r="B129" s="1" t="s">
        <v>489</v>
      </c>
      <c r="C129" s="1" t="s">
        <v>488</v>
      </c>
      <c r="D129" s="60">
        <v>2009</v>
      </c>
      <c r="E129" s="76">
        <v>2</v>
      </c>
      <c r="F129" s="60">
        <v>161</v>
      </c>
      <c r="G129" s="62">
        <v>26.8</v>
      </c>
      <c r="H129" s="60" t="s">
        <v>491</v>
      </c>
      <c r="I129" s="60"/>
      <c r="J129" s="60" t="s">
        <v>475</v>
      </c>
      <c r="K129" s="60">
        <f>IF(J129="syllables",1,IF(J129="trigrams",2,IF(J129="strings",3,IF(J129="visual array",4,IF(J129="characters",5,IF(J129="letters",6,IF(J129="free forms",7,IF(J129="odors",8,IF(J129="words",9,IF(J129="pictures",10,IF(J129="object pictures",11,IF(J129="faces",12,IF(J129="names",13,IF(J129="idioms",14,IF(J129="grades",15,IF(J129="syllable-digit pairs",16,IF(J129="trigram-word pairs",17,IF(J129="word-digit pairs",18,IF(J129="English-Swahili pairs",19,IF(J129="spatial position",20,IF(J129="word pairs",21,IF(J129="word triads",22,IF(J129="generated words",23,IF(J129="word definition pairs",24,IF(J129="math problems",25,IF(J129="famous faces",26,IF(J129="famous names",27,IF(J129="famous voices",28,IF(J129="television programs",29,IF(J129="race horses",30,IF(J129="new vocabulary",31,IF(J129="sentences",32,IF(J129="concepts",33,IF(J129="ad slides",34,IF(J129="scenes",35,IF(J129="famous scenes",36,IF(J129="poems",37,IF(J129="walk",38,IF(J129="faces and events",39,IF(J129="events and names",40,IF(J129="flashbulb",41,IF(J129="stories",42,IF(J129="course material",43,IF(J129="autobiographical",44,IF(J129="novels",45,IF(J129="public events",46,"99"))))))))))))))))))))))))))))))))))))))))))))))</f>
        <v>32</v>
      </c>
      <c r="L129" s="60">
        <f>IF(J129="syllables",1,IF(J129="trigrams",1,IF(J129="strings",1,IF(J129="visual array",1,IF(J129="characters",1,IF(J129="letters",1,IF(J129="free forms",1,IF(J129="odors",2,IF(J129="words",2,IF(J129="pictures",2,IF(J129="object pictures",2,IF(J129="faces",2,IF(J129="names",2,IF(J129="idioms","2",IF(J129="grades",2,IF(J129="syllable-digit pairs",3,IF(J129="trigram-word pairs",3,IF(J129="word-digit pairs",3,IF(J129="English-Swahili pairs",3,IF(J129="spatial position",3,IF(J129="word pairs",4,IF(J129="word triads",4,IF(J129="generated words",4,IF(J129="word definition pairs",4,IF(J129="math problems",4,IF(J129="famous faces",4,IF(J129="famous names",4,IF(J129="famous voices",4,IF(J129="television programs",4,IF(J129="race horses",4,IF(J129="new vocabulary",4,IF(J129="sentences",5,IF(J129="concepts",5,IF(J129="ad slides",5,IF(J129="scenes",5,IF(J129="famous scenes",5,IF(J129="poems",6,IF(J129="walk",6,IF(J129="faces and events",6,IF(J129="events and names",6,IF(J129="flashbulb",7,IF(J129="stories",7,IF(J129="course material",7,IF(J129="autobiographical",7,IF(J129="novels",7,IF(J129="public events",7,"99"))))))))))))))))))))))))))))))))))))))))))))))</f>
        <v>5</v>
      </c>
      <c r="M129" s="60">
        <v>1</v>
      </c>
      <c r="N129" s="61">
        <v>4</v>
      </c>
      <c r="O129" s="60">
        <v>0</v>
      </c>
      <c r="P129" s="60"/>
      <c r="Q129" s="60" t="s">
        <v>65</v>
      </c>
      <c r="R129" s="60">
        <f>IF(Q129="Free Recall",1,IF(Q129="Cued Recall",2,IF(Q129="Recognition",3,IF(Q129="Multiple Choice",4,IF(Q129="Savings",5,IF(Q129="Stem Completion",6,IF(Q129="Fragment Completion",7,IF(Q129="anagram solution",8,IF(Q129="Matching",9,IF(Q129="Problem Solving",10,"99"))))))))))</f>
        <v>2</v>
      </c>
      <c r="S129" s="60" t="s">
        <v>15</v>
      </c>
      <c r="T129" s="60" t="s">
        <v>261</v>
      </c>
      <c r="U129" s="60">
        <f>IF(T129="within",1,0)</f>
        <v>0</v>
      </c>
      <c r="V129" s="60">
        <v>23</v>
      </c>
      <c r="W129" s="60">
        <f>F129*V129</f>
        <v>3703</v>
      </c>
      <c r="X129" s="60">
        <v>6</v>
      </c>
      <c r="Y129" s="76">
        <f>AV128</f>
        <v>300</v>
      </c>
      <c r="Z129" s="60" t="s">
        <v>492</v>
      </c>
      <c r="AA129" s="60">
        <f>60*60*24*168</f>
        <v>14515200</v>
      </c>
      <c r="AB129" s="60" t="str">
        <f>IF(AA129&lt;60,"1",IF(AA129&lt;=43200,"2",IF(AA129&lt;=777600,"3","4")))</f>
        <v>4</v>
      </c>
      <c r="AC129" s="56">
        <f>AVERAGE(AV128:DA128)</f>
        <v>4147250</v>
      </c>
      <c r="AD129" s="60" t="str">
        <f>IF(AC129&lt;60,"1",IF(AC129&lt;=43200,"2",IF(AC129&lt;=777600,"3","4")))</f>
        <v>4</v>
      </c>
      <c r="AE129" s="76">
        <f>AA129-Y129</f>
        <v>14514900</v>
      </c>
      <c r="AF129" s="80">
        <f>AV129</f>
        <v>0.96</v>
      </c>
      <c r="AG129" s="56">
        <f>((AW129-AV129)+(AX129-AW129)+(AY129-AX129)+(AZ129-AY129)+(BA129-AZ129))/5</f>
        <v>-0.14799999999999999</v>
      </c>
      <c r="AH129" s="4"/>
      <c r="AI129" s="56">
        <f>RSQ(AV129:BA129,AV128:BA128)</f>
        <v>0.76281084952639533</v>
      </c>
      <c r="AJ129" s="109">
        <f>SLOPE(AV129:BA129,AV128:BA128)</f>
        <v>-4.924054395557486E-8</v>
      </c>
      <c r="AK129" s="56">
        <f>INTERCEPT(AV129:BA129,AV128:BA128)</f>
        <v>0.81254617925309114</v>
      </c>
      <c r="AL129" s="56">
        <f>INDEX(LINEST(LN(AV129:BA129),LN(AV128:BA128),TRUE,TRUE),3,1)</f>
        <v>0.65039308819117259</v>
      </c>
      <c r="AM129" s="56">
        <f>INDEX(LINEST(LN(AV129:BA129),LN(AV128:BA128)),1)</f>
        <v>-0.12863423140777697</v>
      </c>
      <c r="AN129" s="56">
        <f>EXP(INDEX(LINEST(LN(AV129:BA129),LN(AV128:BA128)),1,2))</f>
        <v>2.7508650139131889</v>
      </c>
      <c r="AO129" s="82">
        <f>INDEX(LINEST((AV129:BA129),LN(AV128:BA128),TRUE,TRUE),3,1)</f>
        <v>0.72823576947956759</v>
      </c>
      <c r="AP129" s="82">
        <f>INDEX(LINEST((AV129:BA129),LN(AV128:BA128)),1)</f>
        <v>-6.9898075649523828E-2</v>
      </c>
      <c r="AQ129" s="83">
        <f>INDEX(LINEST(LN(AV129:BA129),SQRT(AV128:BA128),TRUE,TRUE),3,1)</f>
        <v>0.97778881486569702</v>
      </c>
      <c r="AR129" s="116">
        <f>INDEX(LINEST(LN(AV129:BA129),SQRT((AV128:BA128))),1)</f>
        <v>-4.2347499767166774E-4</v>
      </c>
      <c r="AS129" s="84">
        <f>INDEX(LINEST(1/(AV129:BA129),1/(SQRT(AV128:BA128)),TRUE,TRUE),3,1)</f>
        <v>0.19461314854803363</v>
      </c>
      <c r="AT129" s="84">
        <f>INDEX(LINEST(1/(AV129:BA129),1/SQRT(AV128:BA128)),1)</f>
        <v>-28.08204143124323</v>
      </c>
      <c r="AU129" s="3"/>
      <c r="AV129" s="53">
        <v>0.96</v>
      </c>
      <c r="AW129" s="53">
        <v>0.92</v>
      </c>
      <c r="AX129" s="53">
        <v>0.79</v>
      </c>
      <c r="AY129" s="53">
        <v>0.48</v>
      </c>
      <c r="AZ129" s="53">
        <v>0.28000000000000003</v>
      </c>
      <c r="BA129" s="53">
        <v>0.22</v>
      </c>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53"/>
      <c r="CI129" s="53"/>
      <c r="CJ129" s="53"/>
      <c r="CK129" s="53"/>
      <c r="CL129" s="53"/>
      <c r="CM129" s="53"/>
      <c r="CN129" s="53"/>
      <c r="CO129" s="53"/>
      <c r="CP129" s="53"/>
      <c r="CQ129" s="53"/>
      <c r="CR129" s="1"/>
      <c r="CS129" s="1"/>
      <c r="CT129" s="1"/>
      <c r="CU129" s="1"/>
    </row>
    <row r="130" spans="1:99" s="13" customFormat="1" ht="12" customHeight="1" x14ac:dyDescent="0.2">
      <c r="A130" s="65">
        <v>43906</v>
      </c>
      <c r="B130" s="1"/>
      <c r="C130" s="1"/>
      <c r="D130" s="60"/>
      <c r="E130" s="76"/>
      <c r="F130" s="60"/>
      <c r="G130" s="62"/>
      <c r="H130" s="60"/>
      <c r="I130" s="60"/>
      <c r="J130" s="60"/>
      <c r="K130" s="64"/>
      <c r="L130" s="64"/>
      <c r="M130" s="60"/>
      <c r="N130" s="61"/>
      <c r="O130" s="60"/>
      <c r="P130" s="60"/>
      <c r="Q130" s="60"/>
      <c r="R130" s="60"/>
      <c r="S130" s="60"/>
      <c r="T130" s="60"/>
      <c r="U130" s="60"/>
      <c r="V130" s="60"/>
      <c r="W130" s="60"/>
      <c r="X130" s="60"/>
      <c r="Y130" s="76"/>
      <c r="Z130" s="60"/>
      <c r="AA130" s="60"/>
      <c r="AB130" s="60"/>
      <c r="AC130" s="56"/>
      <c r="AD130" s="60"/>
      <c r="AE130" s="60"/>
      <c r="AF130" s="80"/>
      <c r="AG130" s="56"/>
      <c r="AH130" s="4"/>
      <c r="AI130" s="56"/>
      <c r="AJ130" s="109"/>
      <c r="AK130" s="56"/>
      <c r="AL130" s="56"/>
      <c r="AM130" s="56"/>
      <c r="AN130" s="56"/>
      <c r="AO130" s="82"/>
      <c r="AP130" s="82"/>
      <c r="AQ130" s="83"/>
      <c r="AR130" s="116"/>
      <c r="AS130" s="84"/>
      <c r="AT130" s="84"/>
      <c r="AU130" s="3"/>
      <c r="AV130" s="25">
        <v>300</v>
      </c>
      <c r="AW130" s="25">
        <f>60*60*24</f>
        <v>86400</v>
      </c>
      <c r="AX130" s="25">
        <f>AW130*7</f>
        <v>604800</v>
      </c>
      <c r="AY130" s="25">
        <f>AW130*28</f>
        <v>2419200</v>
      </c>
      <c r="AZ130" s="25">
        <f>AW130*84</f>
        <v>7257600</v>
      </c>
      <c r="BA130" s="25">
        <f>AW130*168</f>
        <v>14515200</v>
      </c>
      <c r="BB130" s="53"/>
      <c r="BC130" s="53"/>
      <c r="BD130" s="53"/>
      <c r="BE130" s="53"/>
      <c r="BF130" s="53"/>
      <c r="BG130" s="53"/>
      <c r="BH130" s="53"/>
      <c r="BI130" s="53"/>
      <c r="BJ130" s="53"/>
      <c r="BK130" s="53"/>
      <c r="BL130" s="53"/>
      <c r="BM130" s="53"/>
      <c r="BN130" s="53"/>
      <c r="BO130" s="53"/>
      <c r="BP130" s="53"/>
      <c r="BQ130" s="53"/>
      <c r="BR130" s="53"/>
      <c r="BS130" s="53"/>
      <c r="BT130" s="53"/>
      <c r="BU130" s="53"/>
      <c r="BV130" s="53"/>
      <c r="BW130" s="53"/>
      <c r="BX130" s="53"/>
      <c r="BY130" s="53"/>
      <c r="BZ130" s="53"/>
      <c r="CA130" s="53"/>
      <c r="CB130" s="53"/>
      <c r="CC130" s="53"/>
      <c r="CD130" s="53"/>
      <c r="CE130" s="53"/>
      <c r="CF130" s="53"/>
      <c r="CG130" s="53"/>
      <c r="CH130" s="53"/>
      <c r="CI130" s="53"/>
      <c r="CJ130" s="53"/>
      <c r="CK130" s="53"/>
      <c r="CL130" s="53"/>
      <c r="CM130" s="53"/>
      <c r="CN130" s="53"/>
      <c r="CO130" s="53"/>
      <c r="CP130" s="53"/>
      <c r="CQ130" s="53"/>
      <c r="CR130" s="1"/>
      <c r="CS130" s="1"/>
      <c r="CT130" s="1"/>
      <c r="CU130" s="1"/>
    </row>
    <row r="131" spans="1:99" s="13" customFormat="1" ht="12" customHeight="1" x14ac:dyDescent="0.2">
      <c r="A131" s="65">
        <v>43906</v>
      </c>
      <c r="B131" s="1" t="s">
        <v>489</v>
      </c>
      <c r="C131" s="1" t="s">
        <v>488</v>
      </c>
      <c r="D131" s="60">
        <v>2009</v>
      </c>
      <c r="E131" s="76">
        <v>2</v>
      </c>
      <c r="F131" s="60">
        <v>161</v>
      </c>
      <c r="G131" s="62">
        <v>26.8</v>
      </c>
      <c r="H131" s="60" t="s">
        <v>491</v>
      </c>
      <c r="I131" s="60"/>
      <c r="J131" s="60" t="s">
        <v>676</v>
      </c>
      <c r="K131" s="60">
        <f>IF(J131="syllables",1,IF(J131="trigrams",2,IF(J131="strings",3,IF(J131="visual array",4,IF(J131="characters",5,IF(J131="letters",6,IF(J131="free forms",7,IF(J131="odors",8,IF(J131="words",9,IF(J131="pictures",10,IF(J131="object pictures",11,IF(J131="faces",12,IF(J131="names",13,IF(J131="idioms",14,IF(J131="grades",15,IF(J131="syllable-digit pairs",16,IF(J131="trigram-word pairs",17,IF(J131="word-digit pairs",18,IF(J131="English-Swahili pairs",19,IF(J131="spatial position",20,IF(J131="word pairs",21,IF(J131="word triads",22,IF(J131="generated words",23,IF(J131="word definition pairs",24,IF(J131="math problems",25,IF(J131="famous faces",26,IF(J131="famous names",27,IF(J131="famous voices",28,IF(J131="television programs",29,IF(J131="race horses",30,IF(J131="new vocabulary",31,IF(J131="sentences",32,IF(J131="concepts",33,IF(J131="ad slides",34,IF(J131="scenes",35,IF(J131="famous scenes",36,IF(J131="poems",37,IF(J131="walk",38,IF(J131="faces and events",39,IF(J131="events and names",40,IF(J131="flashbulb",41,IF(J131="stories",42,IF(J131="course material",43,IF(J131="autobiographical",44,IF(J131="novels",45,IF(J131="public events",46,"99"))))))))))))))))))))))))))))))))))))))))))))))</f>
        <v>11</v>
      </c>
      <c r="L131" s="60">
        <f>IF(J131="syllables",1,IF(J131="trigrams",1,IF(J131="strings",1,IF(J131="visual array",1,IF(J131="characters",1,IF(J131="letters",1,IF(J131="free forms",1,IF(J131="odors",2,IF(J131="words",2,IF(J131="pictures",2,IF(J131="object pictures",2,IF(J131="faces",2,IF(J131="names",2,IF(J131="idioms","2",IF(J131="grades",2,IF(J131="syllable-digit pairs",3,IF(J131="trigram-word pairs",3,IF(J131="word-digit pairs",3,IF(J131="English-Swahili pairs",3,IF(J131="spatial position",3,IF(J131="word pairs",4,IF(J131="word triads",4,IF(J131="generated words",4,IF(J131="word definition pairs",4,IF(J131="math problems",4,IF(J131="famous faces",4,IF(J131="famous names",4,IF(J131="famous voices",4,IF(J131="television programs",4,IF(J131="race horses",4,IF(J131="new vocabulary",4,IF(J131="sentences",5,IF(J131="concepts",5,IF(J131="ad slides",5,IF(J131="scenes",5,IF(J131="famous scenes",5,IF(J131="poems",6,IF(J131="walk",6,IF(J131="faces and events",6,IF(J131="events and names",6,IF(J131="flashbulb",7,IF(J131="stories",7,IF(J131="course material",7,IF(J131="autobiographical",7,IF(J131="novels",7,IF(J131="public events",7,"99"))))))))))))))))))))))))))))))))))))))))))))))</f>
        <v>2</v>
      </c>
      <c r="M131" s="60">
        <v>1</v>
      </c>
      <c r="N131" s="61">
        <v>3</v>
      </c>
      <c r="O131" s="60">
        <v>0</v>
      </c>
      <c r="P131" s="60"/>
      <c r="Q131" s="60" t="s">
        <v>65</v>
      </c>
      <c r="R131" s="60">
        <f>IF(Q131="Free Recall",1,IF(Q131="Cued Recall",2,IF(Q131="Recognition",3,IF(Q131="Multiple Choice",4,IF(Q131="Savings",5,IF(Q131="Stem Completion",6,IF(Q131="Fragment Completion",7,IF(Q131="anagram solution",8,IF(Q131="Matching",9,IF(Q131="Problem Solving",10,"99"))))))))))</f>
        <v>2</v>
      </c>
      <c r="S131" s="60" t="s">
        <v>15</v>
      </c>
      <c r="T131" s="60" t="s">
        <v>261</v>
      </c>
      <c r="U131" s="60">
        <f>IF(T131="within",1,0)</f>
        <v>0</v>
      </c>
      <c r="V131" s="60">
        <v>23</v>
      </c>
      <c r="W131" s="60">
        <f>F131*V131</f>
        <v>3703</v>
      </c>
      <c r="X131" s="60">
        <v>6</v>
      </c>
      <c r="Y131" s="76">
        <f>AV130</f>
        <v>300</v>
      </c>
      <c r="Z131" s="60" t="s">
        <v>492</v>
      </c>
      <c r="AA131" s="60">
        <f>60*60*24*168</f>
        <v>14515200</v>
      </c>
      <c r="AB131" s="60" t="str">
        <f>IF(AA131&lt;60,"1",IF(AA131&lt;=43200,"2",IF(AA131&lt;=777600,"3","4")))</f>
        <v>4</v>
      </c>
      <c r="AC131" s="56">
        <f>AVERAGE(AV130:DA130)</f>
        <v>4147250</v>
      </c>
      <c r="AD131" s="60" t="str">
        <f>IF(AC131&lt;60,"1",IF(AC131&lt;=43200,"2",IF(AC131&lt;=777600,"3","4")))</f>
        <v>4</v>
      </c>
      <c r="AE131" s="76">
        <f>AA131-Y131</f>
        <v>14514900</v>
      </c>
      <c r="AF131" s="80">
        <f>AV131</f>
        <v>0.93</v>
      </c>
      <c r="AG131" s="56">
        <f>((AW131-AV131)+(AX131-AW131)+(AY131-AX131)+(AZ131-AY131)+(BA131-AZ131))/5</f>
        <v>-0.17400000000000002</v>
      </c>
      <c r="AH131" s="4"/>
      <c r="AI131" s="56">
        <f>RSQ(AV131:BA131,AV130:BA130)</f>
        <v>0.65040284987659547</v>
      </c>
      <c r="AJ131" s="109">
        <f>SLOPE(AV131:BA131,AV130:BA130)</f>
        <v>-5.298936292699769E-8</v>
      </c>
      <c r="AK131" s="56">
        <f>INTERCEPT(AV131:BA131,AV130:BA130)</f>
        <v>0.67642680206565775</v>
      </c>
      <c r="AL131" s="56">
        <f>INDEX(LINEST(LN(AV131:BA131),LN(AV130:BA130),TRUE,TRUE),3,1)</f>
        <v>0.67524845173194803</v>
      </c>
      <c r="AM131" s="56">
        <f>INDEX(LINEST(LN(AV131:BA131),LN(AV130:BA130)),1)</f>
        <v>-0.2416812154323445</v>
      </c>
      <c r="AN131" s="56">
        <f>EXP(INDEX(LINEST(LN(AV131:BA131),LN(AV130:BA130)),1,2))</f>
        <v>6.5559922343117218</v>
      </c>
      <c r="AO131" s="82">
        <f>INDEX(LINEST((AV131:BA131),LN(AV130:BA130),TRUE,TRUE),3,1)</f>
        <v>0.81793991554029644</v>
      </c>
      <c r="AP131" s="82">
        <f>INDEX(LINEST((AV131:BA131),LN(AV130:BA130)),1)</f>
        <v>-8.6332235433962207E-2</v>
      </c>
      <c r="AQ131" s="83">
        <f>INDEX(LINEST(LN(AV131:BA131),SQRT(AV130:BA130),TRUE,TRUE),3,1)</f>
        <v>0.97883287374835826</v>
      </c>
      <c r="AR131" s="116">
        <f>INDEX(LINEST(LN(AV131:BA131),SQRT((AV130:BA130))),1)</f>
        <v>-7.8127156057026278E-4</v>
      </c>
      <c r="AS131" s="84">
        <f>INDEX(LINEST(1/(AV131:BA131),1/(SQRT(AV130:BA130)),TRUE,TRUE),3,1)</f>
        <v>0.1616311573122782</v>
      </c>
      <c r="AT131" s="84">
        <f>INDEX(LINEST(1/(AV131:BA131),1/SQRT(AV130:BA130)),1)</f>
        <v>-112.54390059434245</v>
      </c>
      <c r="AU131" s="3"/>
      <c r="AV131" s="53">
        <v>0.93</v>
      </c>
      <c r="AW131" s="53">
        <v>0.84</v>
      </c>
      <c r="AX131" s="53">
        <v>0.56999999999999995</v>
      </c>
      <c r="AY131" s="53">
        <v>0.25</v>
      </c>
      <c r="AZ131" s="53">
        <v>0.09</v>
      </c>
      <c r="BA131" s="53">
        <v>0.06</v>
      </c>
      <c r="BB131" s="53"/>
      <c r="BC131" s="53"/>
      <c r="BD131" s="53"/>
      <c r="BE131" s="53"/>
      <c r="BF131" s="53"/>
      <c r="BG131" s="53"/>
      <c r="BH131" s="53"/>
      <c r="BI131" s="53"/>
      <c r="BJ131" s="53"/>
      <c r="BK131" s="53"/>
      <c r="BL131" s="53"/>
      <c r="BM131" s="53"/>
      <c r="BN131" s="53"/>
      <c r="BO131" s="53"/>
      <c r="BP131" s="53"/>
      <c r="BQ131" s="53"/>
      <c r="BR131" s="53"/>
      <c r="BS131" s="53"/>
      <c r="BT131" s="53"/>
      <c r="BU131" s="53"/>
      <c r="BV131" s="53"/>
      <c r="BW131" s="53"/>
      <c r="BX131" s="53"/>
      <c r="BY131" s="53"/>
      <c r="BZ131" s="53"/>
      <c r="CA131" s="53"/>
      <c r="CB131" s="53"/>
      <c r="CC131" s="53"/>
      <c r="CD131" s="53"/>
      <c r="CE131" s="53"/>
      <c r="CF131" s="53"/>
      <c r="CG131" s="53"/>
      <c r="CH131" s="53"/>
      <c r="CI131" s="53"/>
      <c r="CJ131" s="53"/>
      <c r="CK131" s="53"/>
      <c r="CL131" s="53"/>
      <c r="CM131" s="53"/>
      <c r="CN131" s="53"/>
      <c r="CO131" s="53"/>
      <c r="CP131" s="53"/>
      <c r="CQ131" s="53"/>
      <c r="CR131" s="1"/>
      <c r="CS131" s="1"/>
      <c r="CT131" s="1"/>
      <c r="CU131" s="1"/>
    </row>
    <row r="132" spans="1:99" s="13" customFormat="1" ht="12" customHeight="1" x14ac:dyDescent="0.2">
      <c r="A132" s="68">
        <v>43895</v>
      </c>
      <c r="B132" s="70"/>
      <c r="C132" s="70"/>
      <c r="D132" s="69"/>
      <c r="E132" s="87"/>
      <c r="F132" s="69"/>
      <c r="G132" s="69"/>
      <c r="H132" s="69"/>
      <c r="I132" s="69"/>
      <c r="J132" s="69"/>
      <c r="K132" s="107"/>
      <c r="L132" s="107"/>
      <c r="M132" s="69"/>
      <c r="N132" s="92"/>
      <c r="O132" s="69"/>
      <c r="P132" s="69"/>
      <c r="Q132" s="69"/>
      <c r="R132" s="69"/>
      <c r="S132" s="69"/>
      <c r="T132" s="92"/>
      <c r="U132" s="69"/>
      <c r="V132" s="92"/>
      <c r="W132" s="69"/>
      <c r="X132" s="69"/>
      <c r="Y132" s="87"/>
      <c r="Z132" s="69"/>
      <c r="AA132" s="69"/>
      <c r="AB132" s="69"/>
      <c r="AC132" s="72"/>
      <c r="AD132" s="69"/>
      <c r="AE132" s="69"/>
      <c r="AF132" s="88"/>
      <c r="AG132" s="72"/>
      <c r="AH132" s="4"/>
      <c r="AI132" s="72"/>
      <c r="AJ132" s="110"/>
      <c r="AK132" s="72"/>
      <c r="AL132" s="72"/>
      <c r="AM132" s="72"/>
      <c r="AN132" s="72"/>
      <c r="AO132" s="89"/>
      <c r="AP132" s="89"/>
      <c r="AQ132" s="90"/>
      <c r="AR132" s="117"/>
      <c r="AS132" s="91"/>
      <c r="AT132" s="91"/>
      <c r="AU132" s="3"/>
      <c r="AV132" s="71">
        <v>157680000</v>
      </c>
      <c r="AW132" s="71">
        <v>473040000</v>
      </c>
      <c r="AX132" s="71">
        <v>788400000</v>
      </c>
      <c r="AY132" s="71">
        <v>1103760000</v>
      </c>
      <c r="AZ132" s="71">
        <v>1419120000</v>
      </c>
      <c r="BA132" s="53"/>
      <c r="BB132" s="53"/>
      <c r="BC132" s="53"/>
      <c r="BD132" s="53"/>
      <c r="BE132" s="53"/>
      <c r="BF132" s="53"/>
      <c r="BG132" s="53"/>
      <c r="BH132" s="53"/>
      <c r="BI132" s="53"/>
      <c r="BJ132" s="53"/>
      <c r="BK132" s="53"/>
      <c r="BL132" s="53"/>
      <c r="BM132" s="53"/>
      <c r="BN132" s="53"/>
      <c r="BO132" s="53"/>
      <c r="BP132" s="53"/>
      <c r="BQ132" s="53"/>
      <c r="BR132" s="53"/>
      <c r="BS132" s="53"/>
      <c r="BT132" s="53"/>
      <c r="BU132" s="53"/>
      <c r="BV132" s="53"/>
      <c r="BW132" s="53"/>
      <c r="BX132" s="53"/>
      <c r="BY132" s="53"/>
      <c r="BZ132" s="53"/>
      <c r="CA132" s="53"/>
      <c r="CB132" s="53"/>
      <c r="CC132" s="53"/>
      <c r="CD132" s="53"/>
      <c r="CE132" s="53"/>
      <c r="CF132" s="53"/>
      <c r="CG132" s="53"/>
      <c r="CH132" s="53"/>
      <c r="CI132" s="53"/>
      <c r="CJ132" s="53"/>
      <c r="CK132" s="53"/>
      <c r="CL132" s="53"/>
      <c r="CM132" s="53"/>
      <c r="CN132" s="53"/>
      <c r="CO132" s="53"/>
      <c r="CP132" s="53"/>
      <c r="CQ132" s="53"/>
      <c r="CR132" s="1"/>
      <c r="CS132" s="1"/>
      <c r="CT132" s="1"/>
      <c r="CU132" s="1"/>
    </row>
    <row r="133" spans="1:99" s="13" customFormat="1" ht="12" customHeight="1" x14ac:dyDescent="0.2">
      <c r="A133" s="68">
        <v>43895</v>
      </c>
      <c r="B133" s="70" t="s">
        <v>339</v>
      </c>
      <c r="C133" s="70" t="s">
        <v>54</v>
      </c>
      <c r="D133" s="69">
        <v>1983</v>
      </c>
      <c r="E133" s="87">
        <v>1</v>
      </c>
      <c r="F133" s="69">
        <v>10</v>
      </c>
      <c r="G133" s="69">
        <v>10</v>
      </c>
      <c r="H133" s="69" t="s">
        <v>232</v>
      </c>
      <c r="I133" s="69" t="s">
        <v>330</v>
      </c>
      <c r="J133" s="69" t="s">
        <v>342</v>
      </c>
      <c r="K133" s="69">
        <f>IF(J133="syllables",1,IF(J133="trigrams",2,IF(J133="strings",3,IF(J133="visual array",4,IF(J133="characters",5,IF(J133="letters",6,IF(J133="free forms",7,IF(J133="odors",8,IF(J133="words",9,IF(J133="pictures",10,IF(J133="object pictures",11,IF(J133="faces",12,IF(J133="names",13,IF(J133="idioms",14,IF(J133="grades",15,IF(J133="syllable-digit pairs",16,IF(J133="trigram-word pairs",17,IF(J133="word-digit pairs",18,IF(J133="English-Swahili pairs",19,IF(J133="spatial position",20,IF(J133="word pairs",21,IF(J133="word triads",22,IF(J133="generated words",23,IF(J133="word definition pairs",24,IF(J133="math problems",25,IF(J133="famous faces",26,IF(J133="famous names",27,IF(J133="famous voices",28,IF(J133="television programs",29,IF(J133="race horses",30,IF(J133="new vocabulary",31,IF(J133="sentences",32,IF(J133="concepts",33,IF(J133="ad slides",34,IF(J133="scenes",35,IF(J133="famous scenes",36,IF(J133="poems",37,IF(J133="walk",38,IF(J133="faces and events",39,IF(J133="events and names",40,IF(J133="flashbulb",41,IF(J133="stories",42,IF(J133="course material",43,IF(J133="autobiographical",44,IF(J133="novels",45,IF(J133="public events",46,"99"))))))))))))))))))))))))))))))))))))))))))))))</f>
        <v>26</v>
      </c>
      <c r="L133" s="69">
        <f>IF(J133="syllables",1,IF(J133="trigrams",1,IF(J133="strings",1,IF(J133="visual array",1,IF(J133="characters",1,IF(J133="letters",1,IF(J133="free forms",1,IF(J133="odors",2,IF(J133="words",2,IF(J133="pictures",2,IF(J133="object pictures",2,IF(J133="faces",2,IF(J133="names",2,IF(J133="idioms","2",IF(J133="grades",2,IF(J133="syllable-digit pairs",3,IF(J133="trigram-word pairs",3,IF(J133="word-digit pairs",3,IF(J133="English-Swahili pairs",3,IF(J133="spatial position",3,IF(J133="word pairs",4,IF(J133="word triads",4,IF(J133="generated words",4,IF(J133="word definition pairs",4,IF(J133="math problems",4,IF(J133="famous faces",4,IF(J133="famous names",4,IF(J133="famous voices",4,IF(J133="television programs",4,IF(J133="race horses",4,IF(J133="new vocabulary",4,IF(J133="sentences",5,IF(J133="concepts",5,IF(J133="ad slides",5,IF(J133="scenes",5,IF(J133="famous scenes",5,IF(J133="poems",6,IF(J133="walk",6,IF(J133="faces and events",6,IF(J133="events and names",6,IF(J133="flashbulb",7,IF(J133="stories",7,IF(J133="course material",7,IF(J133="autobiographical",7,IF(J133="novels",7,IF(J133="public events",7,"99"))))))))))))))))))))))))))))))))))))))))))))))</f>
        <v>4</v>
      </c>
      <c r="M133" s="99">
        <v>1</v>
      </c>
      <c r="N133" s="92">
        <v>3</v>
      </c>
      <c r="O133" s="99">
        <v>0</v>
      </c>
      <c r="P133" s="69"/>
      <c r="Q133" s="99" t="s">
        <v>34</v>
      </c>
      <c r="R133" s="69">
        <f>IF(Q133="Free Recall",1,IF(Q133="Cued Recall",2,IF(Q133="Recognition",3,IF(Q133="Multiple Choice",4,IF(Q133="Savings",5,IF(Q133="Stem Completion",6,IF(Q133="Fragment Completion",7,IF(Q133="anagram solution",8,IF(Q133="Matching",9,IF(Q133="Problem Solving",10,"99"))))))))))</f>
        <v>3</v>
      </c>
      <c r="S133" s="69" t="s">
        <v>15</v>
      </c>
      <c r="T133" s="92" t="s">
        <v>581</v>
      </c>
      <c r="U133" s="69">
        <f>IF(T133="within",1,0)</f>
        <v>1</v>
      </c>
      <c r="V133" s="92">
        <v>132</v>
      </c>
      <c r="W133" s="69">
        <f>F133*V133</f>
        <v>1320</v>
      </c>
      <c r="X133" s="69">
        <v>5</v>
      </c>
      <c r="Y133" s="87">
        <f>AV132</f>
        <v>157680000</v>
      </c>
      <c r="Z133" s="69" t="s">
        <v>373</v>
      </c>
      <c r="AA133" s="69">
        <f>45*365*24*60*60</f>
        <v>1419120000</v>
      </c>
      <c r="AB133" s="69" t="str">
        <f>IF(AA133&lt;60,"1",IF(AA133&lt;=43200,"2",IF(AA133&lt;=777600,"3","4")))</f>
        <v>4</v>
      </c>
      <c r="AC133" s="72">
        <f>AVERAGE(AV132:DA132)</f>
        <v>788400000</v>
      </c>
      <c r="AD133" s="69" t="str">
        <f>IF(AC133&lt;60,"1",IF(AC133&lt;=43200,"2",IF(AC133&lt;=777600,"3","4")))</f>
        <v>4</v>
      </c>
      <c r="AE133" s="87">
        <f>AA133-Y133</f>
        <v>1261440000</v>
      </c>
      <c r="AF133" s="88">
        <f>AV133</f>
        <v>0.79032258064516125</v>
      </c>
      <c r="AG133" s="93">
        <f>((AW133-AV133)+(AX133-AW133)+(AY133-AX133)+(AZ133-AY133))/4</f>
        <v>-3.7030941408821572E-3</v>
      </c>
      <c r="AH133" s="4"/>
      <c r="AI133" s="72">
        <f>RSQ(AV133:AZ133,AV132:AZ132)</f>
        <v>0.30255908766880374</v>
      </c>
      <c r="AJ133" s="110">
        <f>SLOPE(AV133:AZ133,AV132:AZ132)</f>
        <v>-4.1826985009757801E-11</v>
      </c>
      <c r="AK133" s="72">
        <f>INTERCEPT(AV133:AZ133,AV132:AZ132)</f>
        <v>0.81188897235945856</v>
      </c>
      <c r="AL133" s="72">
        <f>INDEX(LINEST(LN(AV133:AZ133),LN(AV132:AZ132),TRUE,TRUE),3,1)</f>
        <v>0.21939093081884997</v>
      </c>
      <c r="AM133" s="72">
        <f>INDEX(LINEST(LN(AV133:AZ133),LN(AV132:AZ132)),1)</f>
        <v>-2.6747660098469152E-2</v>
      </c>
      <c r="AN133" s="72">
        <f>EXP(INDEX(LINEST(LN(AV133:AZ133),LN(AV132:AZ132)),1,2))</f>
        <v>1.3373793676793584</v>
      </c>
      <c r="AO133" s="89">
        <f>INDEX(LINEST((AV133:AZ133),LN(AV132:AZ132),TRUE,TRUE),3,1)</f>
        <v>0.22023724423914182</v>
      </c>
      <c r="AP133" s="89">
        <f>INDEX(LINEST((AV133:AZ133),LN(AV132:AZ132)),1)</f>
        <v>-2.0465530274001848E-2</v>
      </c>
      <c r="AQ133" s="90">
        <f>INDEX(LINEST(LN(AV133:AZ133),SQRT(AV132:AZ132),TRUE,TRUE),3,1)</f>
        <v>0.27137636449008401</v>
      </c>
      <c r="AR133" s="117">
        <f>INDEX(LINEST(LN(AV133:AZ133),SQRT((AV132:AZ132))),1)</f>
        <v>-2.6216859755243383E-6</v>
      </c>
      <c r="AS133" s="91">
        <f>INDEX(LINEST(1/(AV133:AZ133),1/(SQRT(AV132:AZ132)),TRUE,TRUE),3,1)</f>
        <v>0.16013339106755831</v>
      </c>
      <c r="AT133" s="91">
        <f>INDEX(LINEST(1/(AV133:AZ133),1/SQRT(AV132:AZ132)),1)</f>
        <v>-1214.8265019391008</v>
      </c>
      <c r="AU133" s="3"/>
      <c r="AV133" s="73">
        <v>0.79032258064516125</v>
      </c>
      <c r="AW133" s="73">
        <v>0.81967213114754101</v>
      </c>
      <c r="AX133" s="73">
        <v>0.79166666666666663</v>
      </c>
      <c r="AY133" s="73">
        <v>0.71739130434782605</v>
      </c>
      <c r="AZ133" s="73">
        <v>0.77551020408163263</v>
      </c>
      <c r="BA133" s="53"/>
      <c r="BB133" s="53"/>
      <c r="BC133" s="53"/>
      <c r="BD133" s="53"/>
      <c r="BE133" s="53"/>
      <c r="BF133" s="53"/>
      <c r="BG133" s="53"/>
      <c r="BH133" s="53"/>
      <c r="BI133" s="53"/>
      <c r="BJ133" s="53"/>
      <c r="BK133" s="53"/>
      <c r="BL133" s="53"/>
      <c r="BM133" s="53"/>
      <c r="BN133" s="53"/>
      <c r="BO133" s="53"/>
      <c r="BP133" s="53"/>
      <c r="BQ133" s="53"/>
      <c r="BR133" s="53"/>
      <c r="BS133" s="53"/>
      <c r="BT133" s="53"/>
      <c r="BU133" s="53"/>
      <c r="BV133" s="53"/>
      <c r="BW133" s="53"/>
      <c r="BX133" s="53"/>
      <c r="BY133" s="53"/>
      <c r="BZ133" s="53"/>
      <c r="CA133" s="53"/>
      <c r="CB133" s="53"/>
      <c r="CC133" s="53"/>
      <c r="CD133" s="53"/>
      <c r="CE133" s="53"/>
      <c r="CF133" s="53"/>
      <c r="CG133" s="53"/>
      <c r="CH133" s="53"/>
      <c r="CI133" s="53"/>
      <c r="CJ133" s="53"/>
      <c r="CK133" s="53"/>
      <c r="CL133" s="53"/>
      <c r="CM133" s="53"/>
      <c r="CN133" s="53"/>
      <c r="CO133" s="53"/>
      <c r="CP133" s="53"/>
      <c r="CQ133" s="53"/>
      <c r="CR133" s="1"/>
      <c r="CS133" s="1"/>
      <c r="CT133" s="1"/>
      <c r="CU133" s="1"/>
    </row>
    <row r="134" spans="1:99" s="13" customFormat="1" ht="12" customHeight="1" x14ac:dyDescent="0.2">
      <c r="A134" s="68">
        <v>43895</v>
      </c>
      <c r="B134" s="70"/>
      <c r="C134" s="70"/>
      <c r="D134" s="69"/>
      <c r="E134" s="87"/>
      <c r="F134" s="69"/>
      <c r="G134" s="69"/>
      <c r="H134" s="69"/>
      <c r="I134" s="69"/>
      <c r="J134" s="69"/>
      <c r="K134" s="107"/>
      <c r="L134" s="107"/>
      <c r="M134" s="69"/>
      <c r="N134" s="86"/>
      <c r="O134" s="69"/>
      <c r="P134" s="69"/>
      <c r="Q134" s="69"/>
      <c r="R134" s="69"/>
      <c r="S134" s="69"/>
      <c r="T134" s="69"/>
      <c r="U134" s="69"/>
      <c r="V134" s="69"/>
      <c r="W134" s="69"/>
      <c r="X134" s="69"/>
      <c r="Y134" s="87"/>
      <c r="Z134" s="69"/>
      <c r="AA134" s="69"/>
      <c r="AB134" s="69"/>
      <c r="AC134" s="72"/>
      <c r="AD134" s="69"/>
      <c r="AE134" s="69"/>
      <c r="AF134" s="88"/>
      <c r="AG134" s="72"/>
      <c r="AH134" s="4"/>
      <c r="AI134" s="72"/>
      <c r="AJ134" s="110"/>
      <c r="AK134" s="72"/>
      <c r="AL134" s="72"/>
      <c r="AM134" s="72"/>
      <c r="AN134" s="72"/>
      <c r="AO134" s="89"/>
      <c r="AP134" s="89"/>
      <c r="AQ134" s="90"/>
      <c r="AR134" s="117"/>
      <c r="AS134" s="91"/>
      <c r="AT134" s="91"/>
      <c r="AU134" s="3"/>
      <c r="AV134" s="71">
        <v>157680000</v>
      </c>
      <c r="AW134" s="71">
        <v>473040000</v>
      </c>
      <c r="AX134" s="71">
        <v>788400000</v>
      </c>
      <c r="AY134" s="71">
        <v>1103760000</v>
      </c>
      <c r="AZ134" s="73"/>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3"/>
      <c r="CA134" s="53"/>
      <c r="CB134" s="53"/>
      <c r="CC134" s="53"/>
      <c r="CD134" s="53"/>
      <c r="CE134" s="53"/>
      <c r="CF134" s="53"/>
      <c r="CG134" s="53"/>
      <c r="CH134" s="53"/>
      <c r="CI134" s="53"/>
      <c r="CJ134" s="53"/>
      <c r="CK134" s="53"/>
      <c r="CL134" s="53"/>
      <c r="CM134" s="53"/>
      <c r="CN134" s="53"/>
      <c r="CO134" s="53"/>
      <c r="CP134" s="53"/>
      <c r="CQ134" s="53"/>
      <c r="CR134" s="1"/>
      <c r="CS134" s="1"/>
      <c r="CT134" s="1"/>
      <c r="CU134" s="1"/>
    </row>
    <row r="135" spans="1:99" s="13" customFormat="1" ht="12" customHeight="1" x14ac:dyDescent="0.2">
      <c r="A135" s="68">
        <v>43895</v>
      </c>
      <c r="B135" s="70" t="s">
        <v>343</v>
      </c>
      <c r="C135" s="70" t="s">
        <v>344</v>
      </c>
      <c r="D135" s="69">
        <v>1981</v>
      </c>
      <c r="E135" s="105">
        <v>1</v>
      </c>
      <c r="F135" s="69">
        <v>28</v>
      </c>
      <c r="G135" s="69">
        <v>28</v>
      </c>
      <c r="H135" s="69" t="s">
        <v>41</v>
      </c>
      <c r="I135" s="69" t="s">
        <v>330</v>
      </c>
      <c r="J135" s="69" t="s">
        <v>340</v>
      </c>
      <c r="K135" s="69">
        <f>IF(J135="syllables",1,IF(J135="trigrams",2,IF(J135="strings",3,IF(J135="visual array",4,IF(J135="characters",5,IF(J135="letters",6,IF(J135="free forms",7,IF(J135="odors",8,IF(J135="words",9,IF(J135="pictures",10,IF(J135="object pictures",11,IF(J135="faces",12,IF(J135="names",13,IF(J135="idioms",14,IF(J135="grades",15,IF(J135="syllable-digit pairs",16,IF(J135="trigram-word pairs",17,IF(J135="word-digit pairs",18,IF(J135="English-Swahili pairs",19,IF(J135="spatial position",20,IF(J135="word pairs",21,IF(J135="word triads",22,IF(J135="generated words",23,IF(J135="word definition pairs",24,IF(J135="math problems",25,IF(J135="famous faces",26,IF(J135="famous names",27,IF(J135="famous voices",28,IF(J135="television programs",29,IF(J135="race horses",30,IF(J135="new vocabulary",31,IF(J135="sentences",32,IF(J135="concepts",33,IF(J135="ad slides",34,IF(J135="scenes",35,IF(J135="famous scenes",36,IF(J135="poems",37,IF(J135="walk",38,IF(J135="faces and events",39,IF(J135="events and names",40,IF(J135="flashbulb",41,IF(J135="stories",42,IF(J135="course material",43,IF(J135="autobiographical",44,IF(J135="novels",45,IF(J135="public events",46,"99"))))))))))))))))))))))))))))))))))))))))))))))</f>
        <v>46</v>
      </c>
      <c r="L135" s="69">
        <f>IF(J135="syllables",1,IF(J135="trigrams",1,IF(J135="strings",1,IF(J135="visual array",1,IF(J135="characters",1,IF(J135="letters",1,IF(J135="free forms",1,IF(J135="odors",2,IF(J135="words",2,IF(J135="pictures",2,IF(J135="object pictures",2,IF(J135="faces",2,IF(J135="names",2,IF(J135="idioms","2",IF(J135="grades",2,IF(J135="syllable-digit pairs",3,IF(J135="trigram-word pairs",3,IF(J135="word-digit pairs",3,IF(J135="English-Swahili pairs",3,IF(J135="spatial position",3,IF(J135="word pairs",4,IF(J135="word triads",4,IF(J135="generated words",4,IF(J135="word definition pairs",4,IF(J135="math problems",4,IF(J135="famous faces",4,IF(J135="famous names",4,IF(J135="famous voices",4,IF(J135="television programs",4,IF(J135="race horses",4,IF(J135="new vocabulary",4,IF(J135="sentences",5,IF(J135="concepts",5,IF(J135="ad slides",5,IF(J135="scenes",5,IF(J135="famous scenes",5,IF(J135="poems",6,IF(J135="walk",6,IF(J135="faces and events",6,IF(J135="events and names",6,IF(J135="flashbulb",7,IF(J135="stories",7,IF(J135="course material",7,IF(J135="autobiographical",7,IF(J135="novels",7,IF(J135="public events",7,"99"))))))))))))))))))))))))))))))))))))))))))))))</f>
        <v>7</v>
      </c>
      <c r="M135" s="69">
        <v>1</v>
      </c>
      <c r="N135" s="86">
        <v>4</v>
      </c>
      <c r="O135" s="69">
        <v>0</v>
      </c>
      <c r="P135" s="69"/>
      <c r="Q135" s="69" t="s">
        <v>34</v>
      </c>
      <c r="R135" s="69">
        <f>IF(Q135="Free Recall",1,IF(Q135="Cued Recall",2,IF(Q135="Recognition",3,IF(Q135="Multiple Choice",4,IF(Q135="Savings",5,IF(Q135="Stem Completion",6,IF(Q135="Fragment Completion",7,IF(Q135="anagram solution",8,IF(Q135="Matching",9,IF(Q135="Problem Solving",10,"99"))))))))))</f>
        <v>3</v>
      </c>
      <c r="S135" s="92" t="s">
        <v>15</v>
      </c>
      <c r="T135" s="92" t="s">
        <v>581</v>
      </c>
      <c r="U135" s="69">
        <f>IF(T135="within",1,0)</f>
        <v>1</v>
      </c>
      <c r="V135" s="92">
        <v>88</v>
      </c>
      <c r="W135" s="69">
        <f>F135*V135</f>
        <v>2464</v>
      </c>
      <c r="X135" s="69">
        <v>4</v>
      </c>
      <c r="Y135" s="87">
        <f>AV134</f>
        <v>157680000</v>
      </c>
      <c r="Z135" s="92" t="s">
        <v>375</v>
      </c>
      <c r="AA135" s="69">
        <f>35*365*24*60*60</f>
        <v>1103760000</v>
      </c>
      <c r="AB135" s="69" t="str">
        <f>IF(AA135&lt;60,"1",IF(AA135&lt;=43200,"2",IF(AA135&lt;=777600,"3","4")))</f>
        <v>4</v>
      </c>
      <c r="AC135" s="72">
        <f>AVERAGE(AV134:DA134)</f>
        <v>630720000</v>
      </c>
      <c r="AD135" s="69" t="str">
        <f>IF(AC135&lt;60,"1",IF(AC135&lt;=43200,"2",IF(AC135&lt;=777600,"3","4")))</f>
        <v>4</v>
      </c>
      <c r="AE135" s="87">
        <f>AA135-Y135</f>
        <v>946080000</v>
      </c>
      <c r="AF135" s="88">
        <f>AV135</f>
        <v>0.90526315789473688</v>
      </c>
      <c r="AG135" s="72">
        <f>((AW135-AV135)+(AX135-AW135)+(AY135-AX135))/3</f>
        <v>-5.508771929824563E-2</v>
      </c>
      <c r="AH135" s="4"/>
      <c r="AI135" s="72">
        <f>RSQ(AV135:AY135,AV134:AY134)</f>
        <v>0.92109515417554022</v>
      </c>
      <c r="AJ135" s="110">
        <f>SLOPE(AV135:AY135,AV134:AY134)</f>
        <v>-1.6503770720826679E-10</v>
      </c>
      <c r="AK135" s="72">
        <f>INTERCEPT(AV135:AY135,AV134:AY134)</f>
        <v>0.91308616606829118</v>
      </c>
      <c r="AL135" s="72">
        <f>INDEX(LINEST(LN(AV135:AY135),LN(AV134:AY134),TRUE,TRUE),3,1)</f>
        <v>0.98561329669187936</v>
      </c>
      <c r="AM135" s="72">
        <f>INDEX(LINEST(LN(AV135:AY135),LN(AV134:AY134)),1)</f>
        <v>-9.9130471757127095E-2</v>
      </c>
      <c r="AN135" s="72">
        <f>EXP(INDEX(LINEST(LN(AV135:AY135),LN(AV134:AY134)),1,2))</f>
        <v>5.8816071037444573</v>
      </c>
      <c r="AO135" s="89">
        <f>INDEX(LINEST((AV135:AY135),LN(AV134:AY134),TRUE,TRUE),3,1)</f>
        <v>0.98775087632320036</v>
      </c>
      <c r="AP135" s="89">
        <f>INDEX(LINEST((AV135:AY135),LN(AV134:AY134)),1)</f>
        <v>-8.1831325989021403E-2</v>
      </c>
      <c r="AQ135" s="90">
        <f>INDEX(LINEST(LN(AV135:AY135),SQRT(AV134:AY134),TRUE,TRUE),3,1)</f>
        <v>0.97563957434515991</v>
      </c>
      <c r="AR135" s="117">
        <f>INDEX(LINEST(LN(AV135:AY135),SQRT((AV134:AY134))),1)</f>
        <v>-9.4220402674466619E-6</v>
      </c>
      <c r="AS135" s="91">
        <f>INDEX(LINEST(1/(AV135:AY135),1/(SQRT(AV134:AY134)),TRUE,TRUE),3,1)</f>
        <v>0.95492937004734824</v>
      </c>
      <c r="AT135" s="91">
        <f>INDEX(LINEST(1/(AV135:AY135),1/SQRT(AV134:AY134)),1)</f>
        <v>-4550.7773959199067</v>
      </c>
      <c r="AU135" s="3"/>
      <c r="AV135" s="95">
        <v>0.90526315789473688</v>
      </c>
      <c r="AW135" s="95">
        <v>0.80769230769230771</v>
      </c>
      <c r="AX135" s="95">
        <v>0.78301886792452824</v>
      </c>
      <c r="AY135" s="95">
        <v>0.74</v>
      </c>
      <c r="AZ135" s="73"/>
      <c r="BA135" s="53"/>
      <c r="BB135" s="53"/>
      <c r="BC135" s="53"/>
      <c r="BD135" s="53"/>
      <c r="BE135" s="53"/>
      <c r="BF135" s="53"/>
      <c r="BG135" s="53"/>
      <c r="BH135" s="53"/>
      <c r="BI135" s="53"/>
      <c r="BJ135" s="53"/>
      <c r="BK135" s="53"/>
      <c r="BL135" s="53"/>
      <c r="BM135" s="53"/>
      <c r="BN135" s="53"/>
      <c r="BO135" s="53"/>
      <c r="BP135" s="53"/>
      <c r="BQ135" s="53"/>
      <c r="BR135" s="53"/>
      <c r="BS135" s="53"/>
      <c r="BT135" s="53"/>
      <c r="BU135" s="53"/>
      <c r="BV135" s="53"/>
      <c r="BW135" s="53"/>
      <c r="BX135" s="53"/>
      <c r="BY135" s="53"/>
      <c r="BZ135" s="53"/>
      <c r="CA135" s="53"/>
      <c r="CB135" s="53"/>
      <c r="CC135" s="53"/>
      <c r="CD135" s="53"/>
      <c r="CE135" s="53"/>
      <c r="CF135" s="53"/>
      <c r="CG135" s="53"/>
      <c r="CH135" s="53"/>
      <c r="CI135" s="53"/>
      <c r="CJ135" s="53"/>
      <c r="CK135" s="53"/>
      <c r="CL135" s="53"/>
      <c r="CM135" s="53"/>
      <c r="CN135" s="53"/>
      <c r="CO135" s="53"/>
      <c r="CP135" s="53"/>
      <c r="CQ135" s="53"/>
      <c r="CR135" s="1"/>
      <c r="CS135" s="1"/>
      <c r="CT135" s="1"/>
      <c r="CU135" s="1"/>
    </row>
    <row r="136" spans="1:99" s="13" customFormat="1" ht="12" customHeight="1" x14ac:dyDescent="0.2">
      <c r="A136" s="68">
        <v>43895</v>
      </c>
      <c r="B136" s="70"/>
      <c r="C136" s="70"/>
      <c r="D136" s="69"/>
      <c r="E136" s="87"/>
      <c r="F136" s="69"/>
      <c r="G136" s="69"/>
      <c r="H136" s="69"/>
      <c r="I136" s="69"/>
      <c r="J136" s="69"/>
      <c r="K136" s="107"/>
      <c r="L136" s="107"/>
      <c r="M136" s="69"/>
      <c r="N136" s="86"/>
      <c r="O136" s="69"/>
      <c r="P136" s="69"/>
      <c r="Q136" s="69"/>
      <c r="R136" s="69"/>
      <c r="S136" s="69"/>
      <c r="T136" s="69"/>
      <c r="U136" s="69"/>
      <c r="V136" s="69"/>
      <c r="W136" s="69"/>
      <c r="X136" s="69"/>
      <c r="Y136" s="87"/>
      <c r="Z136" s="69"/>
      <c r="AA136" s="69"/>
      <c r="AB136" s="69"/>
      <c r="AC136" s="72"/>
      <c r="AD136" s="69"/>
      <c r="AE136" s="69"/>
      <c r="AF136" s="88"/>
      <c r="AG136" s="72"/>
      <c r="AH136" s="4"/>
      <c r="AI136" s="72"/>
      <c r="AJ136" s="110"/>
      <c r="AK136" s="72"/>
      <c r="AL136" s="72"/>
      <c r="AM136" s="72"/>
      <c r="AN136" s="72"/>
      <c r="AO136" s="89"/>
      <c r="AP136" s="89"/>
      <c r="AQ136" s="90"/>
      <c r="AR136" s="117"/>
      <c r="AS136" s="91"/>
      <c r="AT136" s="91"/>
      <c r="AU136" s="3"/>
      <c r="AV136" s="71">
        <v>157680000</v>
      </c>
      <c r="AW136" s="71">
        <v>473040000</v>
      </c>
      <c r="AX136" s="71">
        <v>788400000</v>
      </c>
      <c r="AY136" s="71">
        <v>1103760000</v>
      </c>
      <c r="AZ136" s="73"/>
      <c r="BA136" s="53"/>
      <c r="BB136" s="53"/>
      <c r="BC136" s="53"/>
      <c r="BD136" s="53"/>
      <c r="BE136" s="53"/>
      <c r="BF136" s="53"/>
      <c r="BG136" s="53"/>
      <c r="BH136" s="53"/>
      <c r="BI136" s="53"/>
      <c r="BJ136" s="53"/>
      <c r="BK136" s="53"/>
      <c r="BL136" s="53"/>
      <c r="BM136" s="53"/>
      <c r="BN136" s="53"/>
      <c r="BO136" s="53"/>
      <c r="BP136" s="53"/>
      <c r="BQ136" s="53"/>
      <c r="BR136" s="53"/>
      <c r="BS136" s="53"/>
      <c r="BT136" s="53"/>
      <c r="BU136" s="53"/>
      <c r="BV136" s="53"/>
      <c r="BW136" s="53"/>
      <c r="BX136" s="53"/>
      <c r="BY136" s="53"/>
      <c r="BZ136" s="53"/>
      <c r="CA136" s="53"/>
      <c r="CB136" s="53"/>
      <c r="CC136" s="53"/>
      <c r="CD136" s="53"/>
      <c r="CE136" s="53"/>
      <c r="CF136" s="53"/>
      <c r="CG136" s="53"/>
      <c r="CH136" s="53"/>
      <c r="CI136" s="53"/>
      <c r="CJ136" s="53"/>
      <c r="CK136" s="53"/>
      <c r="CL136" s="53"/>
      <c r="CM136" s="53"/>
      <c r="CN136" s="53"/>
      <c r="CO136" s="53"/>
      <c r="CP136" s="53"/>
      <c r="CQ136" s="53"/>
      <c r="CR136" s="1"/>
      <c r="CS136" s="1"/>
      <c r="CT136" s="1"/>
      <c r="CU136" s="1"/>
    </row>
    <row r="137" spans="1:99" s="13" customFormat="1" ht="12" customHeight="1" x14ac:dyDescent="0.2">
      <c r="A137" s="68">
        <v>43895</v>
      </c>
      <c r="B137" s="70" t="s">
        <v>343</v>
      </c>
      <c r="C137" s="70" t="s">
        <v>344</v>
      </c>
      <c r="D137" s="69">
        <v>1981</v>
      </c>
      <c r="E137" s="105">
        <v>1</v>
      </c>
      <c r="F137" s="69">
        <v>28</v>
      </c>
      <c r="G137" s="69">
        <v>28</v>
      </c>
      <c r="H137" s="69" t="s">
        <v>32</v>
      </c>
      <c r="I137" s="69" t="s">
        <v>330</v>
      </c>
      <c r="J137" s="69" t="s">
        <v>340</v>
      </c>
      <c r="K137" s="69">
        <f>IF(J137="syllables",1,IF(J137="trigrams",2,IF(J137="strings",3,IF(J137="visual array",4,IF(J137="characters",5,IF(J137="letters",6,IF(J137="free forms",7,IF(J137="odors",8,IF(J137="words",9,IF(J137="pictures",10,IF(J137="object pictures",11,IF(J137="faces",12,IF(J137="names",13,IF(J137="idioms",14,IF(J137="grades",15,IF(J137="syllable-digit pairs",16,IF(J137="trigram-word pairs",17,IF(J137="word-digit pairs",18,IF(J137="English-Swahili pairs",19,IF(J137="spatial position",20,IF(J137="word pairs",21,IF(J137="word triads",22,IF(J137="generated words",23,IF(J137="word definition pairs",24,IF(J137="math problems",25,IF(J137="famous faces",26,IF(J137="famous names",27,IF(J137="famous voices",28,IF(J137="television programs",29,IF(J137="race horses",30,IF(J137="new vocabulary",31,IF(J137="sentences",32,IF(J137="concepts",33,IF(J137="ad slides",34,IF(J137="scenes",35,IF(J137="famous scenes",36,IF(J137="poems",37,IF(J137="walk",38,IF(J137="faces and events",39,IF(J137="events and names",40,IF(J137="flashbulb",41,IF(J137="stories",42,IF(J137="course material",43,IF(J137="autobiographical",44,IF(J137="novels",45,IF(J137="public events",46,"99"))))))))))))))))))))))))))))))))))))))))))))))</f>
        <v>46</v>
      </c>
      <c r="L137" s="69">
        <f>IF(J137="syllables",1,IF(J137="trigrams",1,IF(J137="strings",1,IF(J137="visual array",1,IF(J137="characters",1,IF(J137="letters",1,IF(J137="free forms",1,IF(J137="odors",2,IF(J137="words",2,IF(J137="pictures",2,IF(J137="object pictures",2,IF(J137="faces",2,IF(J137="names",2,IF(J137="idioms","2",IF(J137="grades",2,IF(J137="syllable-digit pairs",3,IF(J137="trigram-word pairs",3,IF(J137="word-digit pairs",3,IF(J137="English-Swahili pairs",3,IF(J137="spatial position",3,IF(J137="word pairs",4,IF(J137="word triads",4,IF(J137="generated words",4,IF(J137="word definition pairs",4,IF(J137="math problems",4,IF(J137="famous faces",4,IF(J137="famous names",4,IF(J137="famous voices",4,IF(J137="television programs",4,IF(J137="race horses",4,IF(J137="new vocabulary",4,IF(J137="sentences",5,IF(J137="concepts",5,IF(J137="ad slides",5,IF(J137="scenes",5,IF(J137="famous scenes",5,IF(J137="poems",6,IF(J137="walk",6,IF(J137="faces and events",6,IF(J137="events and names",6,IF(J137="flashbulb",7,IF(J137="stories",7,IF(J137="course material",7,IF(J137="autobiographical",7,IF(J137="novels",7,IF(J137="public events",7,"99"))))))))))))))))))))))))))))))))))))))))))))))</f>
        <v>7</v>
      </c>
      <c r="M137" s="69">
        <v>1</v>
      </c>
      <c r="N137" s="86">
        <v>4</v>
      </c>
      <c r="O137" s="69">
        <v>0</v>
      </c>
      <c r="P137" s="69"/>
      <c r="Q137" s="69" t="s">
        <v>174</v>
      </c>
      <c r="R137" s="69">
        <f>IF(Q137="Free Recall",1,IF(Q137="Cued Recall",2,IF(Q137="Recognition",3,IF(Q137="Multiple Choice",4,IF(Q137="Savings",5,IF(Q137="Stem Completion",6,IF(Q137="Fragment Completion",7,IF(Q137="anagram solution",8,IF(Q137="Matching",9,IF(Q137="Problem Solving",10,"99"))))))))))</f>
        <v>1</v>
      </c>
      <c r="S137" s="99" t="s">
        <v>49</v>
      </c>
      <c r="T137" s="92" t="s">
        <v>581</v>
      </c>
      <c r="U137" s="69">
        <f>IF(T137="within",1,0)</f>
        <v>1</v>
      </c>
      <c r="V137" s="92">
        <v>88</v>
      </c>
      <c r="W137" s="69">
        <f>F137*V137</f>
        <v>2464</v>
      </c>
      <c r="X137" s="69">
        <v>4</v>
      </c>
      <c r="Y137" s="87">
        <f>AV136</f>
        <v>157680000</v>
      </c>
      <c r="Z137" s="92" t="s">
        <v>375</v>
      </c>
      <c r="AA137" s="69">
        <f>35*365*24*60*60</f>
        <v>1103760000</v>
      </c>
      <c r="AB137" s="69" t="str">
        <f>IF(AA137&lt;60,"1",IF(AA137&lt;=43200,"2",IF(AA137&lt;=777600,"3","4")))</f>
        <v>4</v>
      </c>
      <c r="AC137" s="72">
        <f>AVERAGE(AV136:DA136)</f>
        <v>630720000</v>
      </c>
      <c r="AD137" s="69" t="str">
        <f>IF(AC137&lt;60,"1",IF(AC137&lt;=43200,"2",IF(AC137&lt;=777600,"3","4")))</f>
        <v>4</v>
      </c>
      <c r="AE137" s="87">
        <f>AA137-Y137</f>
        <v>946080000</v>
      </c>
      <c r="AF137" s="88">
        <f>AV137</f>
        <v>0.51428571428571435</v>
      </c>
      <c r="AG137" s="72">
        <f>((AW137-AV137)+(AX137-AW137)+(AY137-AX137))/3</f>
        <v>-2.4206349206349214E-2</v>
      </c>
      <c r="AH137" s="4"/>
      <c r="AI137" s="72">
        <f>RSQ(AV137:AY137,AV136:AY136)</f>
        <v>4.8577335667091867E-2</v>
      </c>
      <c r="AJ137" s="110">
        <f>SLOPE(AV137:AY137,AV136:AY136)</f>
        <v>-4.4627573096779033E-11</v>
      </c>
      <c r="AK137" s="72">
        <f>INTERCEPT(AV137:AY137,AV136:AY136)</f>
        <v>0.56690331010452966</v>
      </c>
      <c r="AL137" s="72">
        <f>INDEX(LINEST(LN(AV137:AY137),LN(AV136:AY136),TRUE,TRUE),3,1)</f>
        <v>5.2470867309423359E-3</v>
      </c>
      <c r="AM137" s="72">
        <f>INDEX(LINEST(LN(AV137:AY137),LN(AV136:AY136)),1)</f>
        <v>-1.3160977738390256E-2</v>
      </c>
      <c r="AN137" s="72">
        <f>EXP(INDEX(LINEST(LN(AV137:AY137),LN(AV136:AY136)),1,2))</f>
        <v>0.6951413198332651</v>
      </c>
      <c r="AO137" s="89">
        <f>INDEX(LINEST((AV137:AY137),LN(AV136:AY136),TRUE,TRUE),3,1)</f>
        <v>4.8586777629351511E-4</v>
      </c>
      <c r="AP137" s="89">
        <f>INDEX(LINEST((AV137:AY137),LN(AV136:AY136)),1)</f>
        <v>-2.1370290046564015E-3</v>
      </c>
      <c r="AQ137" s="90">
        <f>INDEX(LINEST(LN(AV137:AY137),SQRT(AV136:AY136),TRUE,TRUE),3,1)</f>
        <v>2.9208776220730041E-2</v>
      </c>
      <c r="AR137" s="117">
        <f>INDEX(LINEST(LN(AV137:AY137),SQRT((AV136:AY136))),1)</f>
        <v>-2.9664161008687797E-6</v>
      </c>
      <c r="AS137" s="91">
        <f>INDEX(LINEST(1/(AV137:AY137),1/(SQRT(AV136:AY136)),TRUE,TRUE),3,1)</f>
        <v>1.5084192126494545E-3</v>
      </c>
      <c r="AT137" s="91">
        <f>INDEX(LINEST(1/(AV137:AY137),1/SQRT(AV136:AY136)),1)</f>
        <v>-513.72687135880517</v>
      </c>
      <c r="AU137" s="3"/>
      <c r="AV137" s="73">
        <v>0.51428571428571435</v>
      </c>
      <c r="AW137" s="73">
        <v>0.56097560975609762</v>
      </c>
      <c r="AX137" s="73">
        <v>0.63809523809523816</v>
      </c>
      <c r="AY137" s="73">
        <v>0.44166666666666671</v>
      </c>
      <c r="AZ137" s="102"/>
      <c r="BA137" s="53"/>
      <c r="BB137" s="53"/>
      <c r="BC137" s="53"/>
      <c r="BD137" s="53"/>
      <c r="BE137" s="53"/>
      <c r="BF137" s="53"/>
      <c r="BG137" s="53"/>
      <c r="BH137" s="53"/>
      <c r="BI137" s="53"/>
      <c r="BJ137" s="53"/>
      <c r="BK137" s="53"/>
      <c r="BL137" s="53"/>
      <c r="BM137" s="53"/>
      <c r="BN137" s="53"/>
      <c r="BO137" s="53"/>
      <c r="BP137" s="53"/>
      <c r="BQ137" s="53"/>
      <c r="BR137" s="53"/>
      <c r="BS137" s="53"/>
      <c r="BT137" s="53"/>
      <c r="BU137" s="53"/>
      <c r="BV137" s="53"/>
      <c r="BW137" s="53"/>
      <c r="BX137" s="53"/>
      <c r="BY137" s="53"/>
      <c r="BZ137" s="53"/>
      <c r="CA137" s="53"/>
      <c r="CB137" s="53"/>
      <c r="CC137" s="53"/>
      <c r="CD137" s="53"/>
      <c r="CE137" s="53"/>
      <c r="CF137" s="53"/>
      <c r="CG137" s="53"/>
      <c r="CH137" s="53"/>
      <c r="CI137" s="53"/>
      <c r="CJ137" s="53"/>
      <c r="CK137" s="53"/>
      <c r="CL137" s="53"/>
      <c r="CM137" s="53"/>
      <c r="CN137" s="53"/>
      <c r="CO137" s="53"/>
      <c r="CP137" s="53"/>
      <c r="CQ137" s="53"/>
      <c r="CR137" s="1"/>
      <c r="CS137" s="1"/>
      <c r="CT137" s="1"/>
      <c r="CU137" s="1"/>
    </row>
    <row r="138" spans="1:99" s="13" customFormat="1" ht="12" customHeight="1" x14ac:dyDescent="0.2">
      <c r="A138" s="68">
        <v>43895</v>
      </c>
      <c r="B138" s="70"/>
      <c r="C138" s="70"/>
      <c r="D138" s="69"/>
      <c r="E138" s="87"/>
      <c r="F138" s="69"/>
      <c r="G138" s="69"/>
      <c r="H138" s="69"/>
      <c r="I138" s="69"/>
      <c r="J138" s="69"/>
      <c r="K138" s="107"/>
      <c r="L138" s="107"/>
      <c r="M138" s="69"/>
      <c r="N138" s="86"/>
      <c r="O138" s="69"/>
      <c r="P138" s="69"/>
      <c r="Q138" s="69"/>
      <c r="R138" s="69"/>
      <c r="S138" s="99"/>
      <c r="T138" s="69"/>
      <c r="U138" s="69"/>
      <c r="V138" s="69"/>
      <c r="W138" s="69"/>
      <c r="X138" s="69"/>
      <c r="Y138" s="87"/>
      <c r="Z138" s="69"/>
      <c r="AA138" s="69"/>
      <c r="AB138" s="69"/>
      <c r="AC138" s="72"/>
      <c r="AD138" s="69"/>
      <c r="AE138" s="69"/>
      <c r="AF138" s="88"/>
      <c r="AG138" s="72"/>
      <c r="AH138" s="4"/>
      <c r="AI138" s="72"/>
      <c r="AJ138" s="110"/>
      <c r="AK138" s="72"/>
      <c r="AL138" s="72"/>
      <c r="AM138" s="72"/>
      <c r="AN138" s="72"/>
      <c r="AO138" s="89"/>
      <c r="AP138" s="89"/>
      <c r="AQ138" s="90"/>
      <c r="AR138" s="117"/>
      <c r="AS138" s="91"/>
      <c r="AT138" s="91"/>
      <c r="AU138" s="3"/>
      <c r="AV138" s="71">
        <v>157680000</v>
      </c>
      <c r="AW138" s="71">
        <v>473040000</v>
      </c>
      <c r="AX138" s="71">
        <v>788400000</v>
      </c>
      <c r="AY138" s="71">
        <v>1103760000</v>
      </c>
      <c r="AZ138" s="73">
        <v>1419120000</v>
      </c>
      <c r="BA138" s="53"/>
      <c r="BB138" s="53"/>
      <c r="BC138" s="53"/>
      <c r="BD138" s="53"/>
      <c r="BE138" s="53"/>
      <c r="BF138" s="53"/>
      <c r="BG138" s="53"/>
      <c r="BH138" s="53"/>
      <c r="BI138" s="53"/>
      <c r="BJ138" s="53"/>
      <c r="BK138" s="53"/>
      <c r="BL138" s="53"/>
      <c r="BM138" s="53"/>
      <c r="BN138" s="53"/>
      <c r="BO138" s="53"/>
      <c r="BP138" s="53"/>
      <c r="BQ138" s="53"/>
      <c r="BR138" s="53"/>
      <c r="BS138" s="53"/>
      <c r="BT138" s="53"/>
      <c r="BU138" s="53"/>
      <c r="BV138" s="53"/>
      <c r="BW138" s="53"/>
      <c r="BX138" s="53"/>
      <c r="BY138" s="53"/>
      <c r="BZ138" s="53"/>
      <c r="CA138" s="53"/>
      <c r="CB138" s="53"/>
      <c r="CC138" s="53"/>
      <c r="CD138" s="53"/>
      <c r="CE138" s="53"/>
      <c r="CF138" s="53"/>
      <c r="CG138" s="53"/>
      <c r="CH138" s="53"/>
      <c r="CI138" s="53"/>
      <c r="CJ138" s="53"/>
      <c r="CK138" s="53"/>
      <c r="CL138" s="53"/>
      <c r="CM138" s="53"/>
      <c r="CN138" s="53"/>
      <c r="CO138" s="53"/>
      <c r="CP138" s="53"/>
      <c r="CQ138" s="53"/>
      <c r="CR138" s="1"/>
      <c r="CS138" s="1"/>
      <c r="CT138" s="1"/>
      <c r="CU138" s="1"/>
    </row>
    <row r="139" spans="1:99" s="13" customFormat="1" ht="12" customHeight="1" x14ac:dyDescent="0.2">
      <c r="A139" s="68">
        <v>43895</v>
      </c>
      <c r="B139" s="70" t="s">
        <v>343</v>
      </c>
      <c r="C139" s="70" t="s">
        <v>344</v>
      </c>
      <c r="D139" s="69">
        <v>1981</v>
      </c>
      <c r="E139" s="105">
        <v>1</v>
      </c>
      <c r="F139" s="69">
        <v>28</v>
      </c>
      <c r="G139" s="69">
        <v>28</v>
      </c>
      <c r="H139" s="69" t="s">
        <v>43</v>
      </c>
      <c r="I139" s="69" t="s">
        <v>330</v>
      </c>
      <c r="J139" s="69" t="s">
        <v>342</v>
      </c>
      <c r="K139" s="69">
        <f>IF(J139="syllables",1,IF(J139="trigrams",2,IF(J139="strings",3,IF(J139="visual array",4,IF(J139="characters",5,IF(J139="letters",6,IF(J139="free forms",7,IF(J139="odors",8,IF(J139="words",9,IF(J139="pictures",10,IF(J139="object pictures",11,IF(J139="faces",12,IF(J139="names",13,IF(J139="idioms",14,IF(J139="grades",15,IF(J139="syllable-digit pairs",16,IF(J139="trigram-word pairs",17,IF(J139="word-digit pairs",18,IF(J139="English-Swahili pairs",19,IF(J139="spatial position",20,IF(J139="word pairs",21,IF(J139="word triads",22,IF(J139="generated words",23,IF(J139="word definition pairs",24,IF(J139="math problems",25,IF(J139="famous faces",26,IF(J139="famous names",27,IF(J139="famous voices",28,IF(J139="television programs",29,IF(J139="race horses",30,IF(J139="new vocabulary",31,IF(J139="sentences",32,IF(J139="concepts",33,IF(J139="ad slides",34,IF(J139="scenes",35,IF(J139="famous scenes",36,IF(J139="poems",37,IF(J139="walk",38,IF(J139="faces and events",39,IF(J139="events and names",40,IF(J139="flashbulb",41,IF(J139="stories",42,IF(J139="course material",43,IF(J139="autobiographical",44,IF(J139="novels",45,IF(J139="public events",46,"99"))))))))))))))))))))))))))))))))))))))))))))))</f>
        <v>26</v>
      </c>
      <c r="L139" s="69">
        <f>IF(J139="syllables",1,IF(J139="trigrams",1,IF(J139="strings",1,IF(J139="visual array",1,IF(J139="characters",1,IF(J139="letters",1,IF(J139="free forms",1,IF(J139="odors",2,IF(J139="words",2,IF(J139="pictures",2,IF(J139="object pictures",2,IF(J139="faces",2,IF(J139="names",2,IF(J139="idioms","2",IF(J139="grades",2,IF(J139="syllable-digit pairs",3,IF(J139="trigram-word pairs",3,IF(J139="word-digit pairs",3,IF(J139="English-Swahili pairs",3,IF(J139="spatial position",3,IF(J139="word pairs",4,IF(J139="word triads",4,IF(J139="generated words",4,IF(J139="word definition pairs",4,IF(J139="math problems",4,IF(J139="famous faces",4,IF(J139="famous names",4,IF(J139="famous voices",4,IF(J139="television programs",4,IF(J139="race horses",4,IF(J139="new vocabulary",4,IF(J139="sentences",5,IF(J139="concepts",5,IF(J139="ad slides",5,IF(J139="scenes",5,IF(J139="famous scenes",5,IF(J139="poems",6,IF(J139="walk",6,IF(J139="faces and events",6,IF(J139="events and names",6,IF(J139="flashbulb",7,IF(J139="stories",7,IF(J139="course material",7,IF(J139="autobiographical",7,IF(J139="novels",7,IF(J139="public events",7,"99"))))))))))))))))))))))))))))))))))))))))))))))</f>
        <v>4</v>
      </c>
      <c r="M139" s="69">
        <v>1</v>
      </c>
      <c r="N139" s="86">
        <v>2</v>
      </c>
      <c r="O139" s="69">
        <v>0</v>
      </c>
      <c r="P139" s="69"/>
      <c r="Q139" s="69" t="s">
        <v>174</v>
      </c>
      <c r="R139" s="69">
        <f>IF(Q139="Free Recall",1,IF(Q139="Cued Recall",2,IF(Q139="Recognition",3,IF(Q139="Multiple Choice",4,IF(Q139="Savings",5,IF(Q139="Stem Completion",6,IF(Q139="Fragment Completion",7,IF(Q139="anagram solution",8,IF(Q139="Matching",9,IF(Q139="Problem Solving",10,"99"))))))))))</f>
        <v>1</v>
      </c>
      <c r="S139" s="99" t="s">
        <v>49</v>
      </c>
      <c r="T139" s="92" t="s">
        <v>581</v>
      </c>
      <c r="U139" s="69">
        <f>IF(T139="within",1,0)</f>
        <v>1</v>
      </c>
      <c r="V139" s="92">
        <v>130</v>
      </c>
      <c r="W139" s="69">
        <f>F139*V139</f>
        <v>3640</v>
      </c>
      <c r="X139" s="69">
        <v>5</v>
      </c>
      <c r="Y139" s="87">
        <f>AV138</f>
        <v>157680000</v>
      </c>
      <c r="Z139" s="92" t="s">
        <v>373</v>
      </c>
      <c r="AA139" s="69">
        <f>45*365*24*60*60</f>
        <v>1419120000</v>
      </c>
      <c r="AB139" s="69" t="str">
        <f>IF(AA139&lt;60,"1",IF(AA139&lt;=43200,"2",IF(AA139&lt;=777600,"3","4")))</f>
        <v>4</v>
      </c>
      <c r="AC139" s="72">
        <f>AVERAGE(AV138:DA138)</f>
        <v>788400000</v>
      </c>
      <c r="AD139" s="69" t="str">
        <f>IF(AC139&lt;60,"1",IF(AC139&lt;=43200,"2",IF(AC139&lt;=777600,"3","4")))</f>
        <v>4</v>
      </c>
      <c r="AE139" s="87">
        <f>AA139-Y139</f>
        <v>1261440000</v>
      </c>
      <c r="AF139" s="88">
        <f>AV139</f>
        <v>0.63380281690140849</v>
      </c>
      <c r="AG139" s="72">
        <f>((AW139-AV139)+(AX139-AW139)+(AY139-AX139)+(AZ139-AY139))/4</f>
        <v>-4.08036454018227E-2</v>
      </c>
      <c r="AH139" s="4"/>
      <c r="AI139" s="72">
        <f>RSQ(AV139:AZ139,AV138:AZ138)</f>
        <v>0.9177679926717125</v>
      </c>
      <c r="AJ139" s="110">
        <f>SLOPE(AV139:AZ139,AV138:AZ138)</f>
        <v>-1.2216797210271225E-10</v>
      </c>
      <c r="AK139" s="72">
        <f>INTERCEPT(AV139:AZ139,AV138:AZ138)</f>
        <v>0.64491989627158974</v>
      </c>
      <c r="AL139" s="72">
        <f>INDEX(LINEST(LN(AV139:AZ139),LN(AV138:AZ138),TRUE,TRUE),3,1)</f>
        <v>0.87813828352088064</v>
      </c>
      <c r="AM139" s="72">
        <f>INDEX(LINEST(LN(AV139:AZ139),LN(AV138:AZ138)),1)</f>
        <v>-0.12458176230171633</v>
      </c>
      <c r="AN139" s="72">
        <f>EXP(INDEX(LINEST(LN(AV139:AZ139),LN(AV138:AZ138)),1,2))</f>
        <v>6.7977269062612145</v>
      </c>
      <c r="AO139" s="89">
        <f>INDEX(LINEST((AV139:AZ139),LN(AV138:AZ138),TRUE,TRUE),3,1)</f>
        <v>0.9002723459264026</v>
      </c>
      <c r="AP139" s="89">
        <f>INDEX(LINEST((AV139:AZ139),LN(AV138:AZ138)),1)</f>
        <v>-6.939114061838024E-2</v>
      </c>
      <c r="AQ139" s="90">
        <f>INDEX(LINEST(LN(AV139:AZ139),SQRT(AV138:AZ138),TRUE,TRUE),3,1)</f>
        <v>0.92023550463612735</v>
      </c>
      <c r="AR139" s="117">
        <f>INDEX(LINEST(LN(AV139:AZ139),SQRT((AV138:AZ138))),1)</f>
        <v>-1.1239337368825386E-5</v>
      </c>
      <c r="AS139" s="91">
        <f>INDEX(LINEST(1/(AV139:AZ139),1/(SQRT(AV138:AZ138)),TRUE,TRUE),3,1)</f>
        <v>0.76943859011240567</v>
      </c>
      <c r="AT139" s="91">
        <f>INDEX(LINEST(1/(AV139:AZ139),1/SQRT(AV138:AZ138)),1)</f>
        <v>-8664.1352871510971</v>
      </c>
      <c r="AU139" s="3"/>
      <c r="AV139" s="73">
        <v>0.63380281690140849</v>
      </c>
      <c r="AW139" s="73">
        <v>0.58904109589041098</v>
      </c>
      <c r="AX139" s="73">
        <v>0.51937984496124034</v>
      </c>
      <c r="AY139" s="73">
        <v>0.53020134228187921</v>
      </c>
      <c r="AZ139" s="73">
        <v>0.4705882352941177</v>
      </c>
      <c r="BA139" s="53"/>
      <c r="BB139" s="53"/>
      <c r="BC139" s="53"/>
      <c r="BD139" s="53"/>
      <c r="BE139" s="53"/>
      <c r="BF139" s="53"/>
      <c r="BG139" s="53"/>
      <c r="BH139" s="53"/>
      <c r="BI139" s="53"/>
      <c r="BJ139" s="53"/>
      <c r="BK139" s="53"/>
      <c r="BL139" s="53"/>
      <c r="BM139" s="53"/>
      <c r="BN139" s="53"/>
      <c r="BO139" s="53"/>
      <c r="BP139" s="53"/>
      <c r="BQ139" s="53"/>
      <c r="BR139" s="53"/>
      <c r="BS139" s="53"/>
      <c r="BT139" s="53"/>
      <c r="BU139" s="53"/>
      <c r="BV139" s="53"/>
      <c r="BW139" s="53"/>
      <c r="BX139" s="53"/>
      <c r="BY139" s="53"/>
      <c r="BZ139" s="53"/>
      <c r="CA139" s="53"/>
      <c r="CB139" s="53"/>
      <c r="CC139" s="53"/>
      <c r="CD139" s="53"/>
      <c r="CE139" s="53"/>
      <c r="CF139" s="53"/>
      <c r="CG139" s="53"/>
      <c r="CH139" s="53"/>
      <c r="CI139" s="53"/>
      <c r="CJ139" s="53"/>
      <c r="CK139" s="53"/>
      <c r="CL139" s="53"/>
      <c r="CM139" s="53"/>
      <c r="CN139" s="53"/>
      <c r="CO139" s="53"/>
      <c r="CP139" s="53"/>
      <c r="CQ139" s="53"/>
      <c r="CR139" s="1"/>
      <c r="CS139" s="1"/>
      <c r="CT139" s="1"/>
      <c r="CU139" s="1"/>
    </row>
    <row r="140" spans="1:99" s="13" customFormat="1" ht="12" customHeight="1" x14ac:dyDescent="0.2">
      <c r="A140" s="65">
        <v>43509</v>
      </c>
      <c r="B140" s="1"/>
      <c r="C140" s="1"/>
      <c r="D140" s="60"/>
      <c r="E140" s="76"/>
      <c r="F140" s="60"/>
      <c r="G140" s="60"/>
      <c r="H140" s="60"/>
      <c r="I140" s="60"/>
      <c r="J140" s="60"/>
      <c r="K140" s="64"/>
      <c r="L140" s="64"/>
      <c r="M140" s="60"/>
      <c r="N140" s="60"/>
      <c r="O140" s="60"/>
      <c r="P140" s="60"/>
      <c r="Q140" s="60"/>
      <c r="R140" s="60"/>
      <c r="S140" s="60"/>
      <c r="T140" s="60"/>
      <c r="U140" s="60"/>
      <c r="V140" s="60"/>
      <c r="W140" s="60"/>
      <c r="X140" s="60"/>
      <c r="Y140" s="76"/>
      <c r="Z140" s="60"/>
      <c r="AA140" s="60"/>
      <c r="AB140" s="60"/>
      <c r="AC140" s="60"/>
      <c r="AD140" s="60"/>
      <c r="AE140" s="60"/>
      <c r="AF140" s="80"/>
      <c r="AG140" s="56"/>
      <c r="AH140" s="4"/>
      <c r="AI140" s="56"/>
      <c r="AJ140" s="109"/>
      <c r="AK140" s="56"/>
      <c r="AL140" s="56"/>
      <c r="AM140" s="56"/>
      <c r="AN140" s="56"/>
      <c r="AO140" s="56"/>
      <c r="AP140" s="56"/>
      <c r="AQ140" s="56"/>
      <c r="AR140" s="109"/>
      <c r="AS140" s="56"/>
      <c r="AT140" s="56"/>
      <c r="AU140" s="4"/>
      <c r="AV140" s="25">
        <f>3*30*24*60*60</f>
        <v>7776000</v>
      </c>
      <c r="AW140" s="25">
        <f>(365*24*60*60)+(3*30*24*60*60)</f>
        <v>39312000</v>
      </c>
      <c r="AX140" s="25">
        <f>(2*365*24*60*60)+(3*30*24*60*60)</f>
        <v>70848000</v>
      </c>
      <c r="AY140" s="25">
        <f>(3*365*24*60*60)+(3*30*24*60*60)</f>
        <v>102384000</v>
      </c>
      <c r="AZ140" s="25">
        <f>(3*365*24*60*60)+(6*30*24*60*60)</f>
        <v>110160000</v>
      </c>
      <c r="BA140" s="25">
        <f>(4*365*24*60*60)+(6*30*24*60*60)</f>
        <v>141696000</v>
      </c>
      <c r="BB140" s="25">
        <f>(5*365*24*60*60)+(6*30*24*60*60)</f>
        <v>173232000</v>
      </c>
      <c r="BC140" s="25">
        <f>(6*365*24*60*60)+(6*30*24*60*60)</f>
        <v>204768000</v>
      </c>
      <c r="BD140" s="25">
        <f>(7*365*24*60*60)+(6*30*24*60*60)</f>
        <v>236304000</v>
      </c>
      <c r="BE140" s="25">
        <f>(8*365*24*60*60)+(6*30*24*60*60)</f>
        <v>267840000</v>
      </c>
      <c r="BF140" s="25">
        <f>(9*365*24*60*60)+(6*30*24*60*60)</f>
        <v>299376000</v>
      </c>
      <c r="BG140" s="25">
        <f>(10*365*24*60*60)+(6*30*24*60*60)</f>
        <v>330912000</v>
      </c>
      <c r="BH140" s="53"/>
      <c r="BI140" s="53"/>
      <c r="BJ140" s="53"/>
      <c r="BK140" s="53"/>
      <c r="BL140" s="53"/>
      <c r="BM140" s="53"/>
      <c r="BN140" s="53"/>
      <c r="BO140" s="53"/>
      <c r="BP140" s="53"/>
      <c r="BQ140" s="53"/>
      <c r="BR140" s="53"/>
      <c r="BS140" s="53"/>
      <c r="BT140" s="53"/>
      <c r="BU140" s="53"/>
      <c r="BV140" s="53"/>
      <c r="BW140" s="53"/>
      <c r="BX140" s="53"/>
      <c r="BY140" s="53"/>
      <c r="BZ140" s="53"/>
      <c r="CA140" s="53"/>
      <c r="CB140" s="53"/>
      <c r="CC140" s="53"/>
      <c r="CD140" s="53"/>
      <c r="CE140" s="53"/>
      <c r="CF140" s="53"/>
      <c r="CG140" s="53"/>
      <c r="CH140" s="53"/>
      <c r="CI140" s="53"/>
      <c r="CJ140" s="53"/>
      <c r="CK140" s="53"/>
      <c r="CL140" s="53"/>
      <c r="CM140" s="53"/>
      <c r="CN140" s="53"/>
      <c r="CO140" s="53"/>
      <c r="CP140" s="53"/>
      <c r="CQ140" s="53"/>
      <c r="CR140" s="1"/>
      <c r="CS140" s="1"/>
      <c r="CT140" s="1"/>
      <c r="CU140" s="1"/>
    </row>
    <row r="141" spans="1:99" s="13" customFormat="1" ht="12" customHeight="1" x14ac:dyDescent="0.2">
      <c r="A141" s="65">
        <v>43509</v>
      </c>
      <c r="B141" s="22" t="s">
        <v>213</v>
      </c>
      <c r="C141" s="1" t="s">
        <v>202</v>
      </c>
      <c r="D141" s="60">
        <v>1991</v>
      </c>
      <c r="E141" s="76">
        <v>1</v>
      </c>
      <c r="F141" s="60">
        <v>373</v>
      </c>
      <c r="G141" s="60">
        <v>31.1</v>
      </c>
      <c r="H141" s="60" t="s">
        <v>50</v>
      </c>
      <c r="I141" s="60" t="s">
        <v>93</v>
      </c>
      <c r="J141" s="60" t="s">
        <v>93</v>
      </c>
      <c r="K141" s="60">
        <f>IF(J141="syllables",1,IF(J141="trigrams",2,IF(J141="strings",3,IF(J141="visual array",4,IF(J141="characters",5,IF(J141="letters",6,IF(J141="free forms",7,IF(J141="odors",8,IF(J141="words",9,IF(J141="pictures",10,IF(J141="object pictures",11,IF(J141="faces",12,IF(J141="names",13,IF(J141="idioms",14,IF(J141="grades",15,IF(J141="syllable-digit pairs",16,IF(J141="trigram-word pairs",17,IF(J141="word-digit pairs",18,IF(J141="English-Swahili pairs",19,IF(J141="spatial position",20,IF(J141="word pairs",21,IF(J141="word triads",22,IF(J141="generated words",23,IF(J141="word definition pairs",24,IF(J141="math problems",25,IF(J141="famous faces",26,IF(J141="famous names",27,IF(J141="famous voices",28,IF(J141="television programs",29,IF(J141="race horses",30,IF(J141="new vocabulary",31,IF(J141="sentences",32,IF(J141="concepts",33,IF(J141="ad slides",34,IF(J141="scenes",35,IF(J141="famous scenes",36,IF(J141="poems",37,IF(J141="walk",38,IF(J141="faces and events",39,IF(J141="events and names",40,IF(J141="flashbulb",41,IF(J141="stories",42,IF(J141="course material",43,IF(J141="autobiographical",44,IF(J141="novels",45,IF(J141="public events",46,"99"))))))))))))))))))))))))))))))))))))))))))))))</f>
        <v>33</v>
      </c>
      <c r="L141" s="60">
        <f>IF(J141="syllables",1,IF(J141="trigrams",1,IF(J141="strings",1,IF(J141="visual array",1,IF(J141="characters",1,IF(J141="letters",1,IF(J141="free forms",1,IF(J141="odors",2,IF(J141="words",2,IF(J141="pictures",2,IF(J141="object pictures",2,IF(J141="faces",2,IF(J141="names",2,IF(J141="idioms","2",IF(J141="grades",2,IF(J141="syllable-digit pairs",3,IF(J141="trigram-word pairs",3,IF(J141="word-digit pairs",3,IF(J141="English-Swahili pairs",3,IF(J141="spatial position",3,IF(J141="word pairs",4,IF(J141="word triads",4,IF(J141="generated words",4,IF(J141="word definition pairs",4,IF(J141="math problems",4,IF(J141="famous faces",4,IF(J141="famous names",4,IF(J141="famous voices",4,IF(J141="television programs",4,IF(J141="race horses",4,IF(J141="new vocabulary",4,IF(J141="sentences",5,IF(J141="concepts",5,IF(J141="ad slides",5,IF(J141="scenes",5,IF(J141="famous scenes",5,IF(J141="poems",6,IF(J141="walk",6,IF(J141="faces and events",6,IF(J141="events and names",6,IF(J141="flashbulb",7,IF(J141="stories",7,IF(J141="course material",7,IF(J141="autobiographical",7,IF(J141="novels",7,IF(J141="public events",7,"99"))))))))))))))))))))))))))))))))))))))))))))))</f>
        <v>5</v>
      </c>
      <c r="M141" s="60">
        <v>1</v>
      </c>
      <c r="N141" s="60">
        <v>4</v>
      </c>
      <c r="O141" s="60">
        <v>0</v>
      </c>
      <c r="P141" s="60"/>
      <c r="Q141" s="60" t="s">
        <v>34</v>
      </c>
      <c r="R141" s="60">
        <f>IF(Q141="Free Recall",1,IF(Q141="Cued Recall",2,IF(Q141="Recognition",3,IF(Q141="Multiple Choice",4,IF(Q141="Savings",5,IF(Q141="Stem Completion",6,IF(Q141="Fragment Completion",7,IF(Q141="anagram solution",8,IF(Q141="Matching",9,IF(Q141="Problem Solving",10,"99"))))))))))</f>
        <v>3</v>
      </c>
      <c r="S141" s="60" t="s">
        <v>15</v>
      </c>
      <c r="T141" s="59" t="s">
        <v>261</v>
      </c>
      <c r="U141" s="60">
        <f>IF(T141="within",1,0)</f>
        <v>0</v>
      </c>
      <c r="V141" s="59">
        <v>16</v>
      </c>
      <c r="W141" s="60">
        <f>F141*V141</f>
        <v>5968</v>
      </c>
      <c r="X141" s="60">
        <v>12</v>
      </c>
      <c r="Y141" s="76">
        <f>AV140</f>
        <v>7776000</v>
      </c>
      <c r="Z141" s="60" t="s">
        <v>510</v>
      </c>
      <c r="AA141" s="76">
        <f>(10*365*24*60*60)+(6*30*24*60*60)</f>
        <v>330912000</v>
      </c>
      <c r="AB141" s="60" t="str">
        <f>IF(AA141&lt;60,"1",IF(AA141&lt;=43200,"2",IF(AA141&lt;=777600,"3","4")))</f>
        <v>4</v>
      </c>
      <c r="AC141" s="56">
        <f>AVERAGE(AV140:DA140)</f>
        <v>165384000</v>
      </c>
      <c r="AD141" s="60" t="str">
        <f>IF(AC141&lt;60,"1",IF(AC141&lt;=43200,"2",IF(AC141&lt;=777600,"3","4")))</f>
        <v>4</v>
      </c>
      <c r="AE141" s="76">
        <f>AA141-Y141</f>
        <v>323136000</v>
      </c>
      <c r="AF141" s="80">
        <f>AV141</f>
        <v>0.80394842868654293</v>
      </c>
      <c r="AG141" s="56">
        <f>((AW141-AV141)+(AX141-AW141)+(AY141-AX141)+(AZ141-AY141)+(BA141-AZ141)+(BB141-BA141)+(BC141-BB141)+(BD141-BC141)+(BE141-BD141)+(BF141-BE141)+(BG141-BF141))/11</f>
        <v>-1.1076111640172909E-2</v>
      </c>
      <c r="AH141" s="4"/>
      <c r="AI141" s="56">
        <f>RSQ(AV141:BG141,AV140:BG140)</f>
        <v>0.57837016706869138</v>
      </c>
      <c r="AJ141" s="109">
        <f>SLOPE(AV141:BG141,AV140:BG140)</f>
        <v>-4.0113704713773496E-10</v>
      </c>
      <c r="AK141" s="56">
        <f>INTERCEPT(AV141:BG141,AV140:BG140)</f>
        <v>0.75774643049434498</v>
      </c>
      <c r="AL141" s="56">
        <f>INDEX(LINEST(LN(AV141:BG141),LN(AV140:BG140),TRUE,TRUE),3,1)</f>
        <v>0.74164197747914307</v>
      </c>
      <c r="AM141" s="56">
        <f>INDEX(LINEST(LN(AV141:BG141),LN(AV140:BG140)),1)</f>
        <v>-6.2716517678125278E-2</v>
      </c>
      <c r="AN141" s="56">
        <f>EXP(INDEX(LINEST(LN(AV141:BG141),LN(AV140:BG140)),1,2))</f>
        <v>2.2124839556105758</v>
      </c>
      <c r="AO141" s="82">
        <f>INDEX(LINEST((AV141:BG141),LN(AV140:BG140),TRUE,TRUE),3,1)</f>
        <v>0.76082827403650133</v>
      </c>
      <c r="AP141" s="82">
        <f>INDEX(LINEST((AV141:BG141),LN(AV140:BG140)),1)</f>
        <v>-4.5105399412176346E-2</v>
      </c>
      <c r="AQ141" s="83">
        <f>INDEX(LINEST(LN(AV141:BG141),SQRT(AV140:BG140),TRUE,TRUE),3,1)</f>
        <v>0.6982080026785602</v>
      </c>
      <c r="AR141" s="116">
        <f>INDEX(LINEST(LN(AV141:BG141),SQRT((AV140:BG140))),1)</f>
        <v>-1.3868682165347466E-5</v>
      </c>
      <c r="AS141" s="84">
        <f>INDEX(LINEST(1/(AV141:BG141),1/(SQRT(AV140:BG140)),TRUE,TRUE),3,1)</f>
        <v>0.62024835671921807</v>
      </c>
      <c r="AT141" s="84">
        <f>INDEX(LINEST(1/(AV141:BG141),1/SQRT(AV140:BG140)),1)</f>
        <v>-1023.3754794771939</v>
      </c>
      <c r="AU141" s="3"/>
      <c r="AV141" s="53">
        <v>0.80394842868654293</v>
      </c>
      <c r="AW141" s="53">
        <v>0.75431103948428602</v>
      </c>
      <c r="AX141" s="53">
        <v>0.74141821112006401</v>
      </c>
      <c r="AY141" s="53">
        <v>0.74335213537469702</v>
      </c>
      <c r="AZ141" s="53">
        <v>0.65052377115229598</v>
      </c>
      <c r="BA141" s="53">
        <v>0.66180499597099096</v>
      </c>
      <c r="BB141" s="53">
        <v>0.67502014504431895</v>
      </c>
      <c r="BC141" s="53">
        <v>0.63634165995165093</v>
      </c>
      <c r="BD141" s="53">
        <v>0.66212731668009595</v>
      </c>
      <c r="BE141" s="53">
        <v>0.64149879129734</v>
      </c>
      <c r="BF141" s="53">
        <v>0.64439967767929007</v>
      </c>
      <c r="BG141" s="53">
        <v>0.68211120064464092</v>
      </c>
      <c r="BH141" s="53"/>
      <c r="BI141" s="53"/>
      <c r="BJ141" s="53"/>
      <c r="BK141" s="53"/>
      <c r="BL141" s="53"/>
      <c r="BM141" s="53"/>
      <c r="BN141" s="53"/>
      <c r="BO141" s="53"/>
      <c r="BP141" s="53"/>
      <c r="BQ141" s="53"/>
      <c r="BR141" s="53"/>
      <c r="BS141" s="53"/>
      <c r="BT141" s="53"/>
      <c r="BU141" s="53"/>
      <c r="BV141" s="53"/>
      <c r="BW141" s="53"/>
      <c r="BX141" s="53"/>
      <c r="BY141" s="53"/>
      <c r="BZ141" s="53"/>
      <c r="CA141" s="53"/>
      <c r="CB141" s="53"/>
      <c r="CC141" s="53"/>
      <c r="CD141" s="53"/>
      <c r="CE141" s="53"/>
      <c r="CF141" s="53"/>
      <c r="CG141" s="53"/>
      <c r="CH141" s="53"/>
      <c r="CI141" s="53"/>
      <c r="CJ141" s="53"/>
      <c r="CK141" s="53"/>
      <c r="CL141" s="53"/>
      <c r="CM141" s="53"/>
      <c r="CN141" s="53"/>
      <c r="CO141" s="53"/>
      <c r="CP141" s="53"/>
      <c r="CQ141" s="53"/>
      <c r="CR141" s="1"/>
      <c r="CS141" s="1"/>
      <c r="CT141" s="1"/>
      <c r="CU141" s="1"/>
    </row>
    <row r="142" spans="1:99" s="13" customFormat="1" ht="12" customHeight="1" x14ac:dyDescent="0.2">
      <c r="A142" s="65">
        <v>43509</v>
      </c>
      <c r="B142" s="1"/>
      <c r="C142" s="1"/>
      <c r="D142" s="60"/>
      <c r="E142" s="76"/>
      <c r="F142" s="60"/>
      <c r="G142" s="60"/>
      <c r="H142" s="60"/>
      <c r="I142" s="60"/>
      <c r="J142" s="60"/>
      <c r="K142" s="64"/>
      <c r="L142" s="64"/>
      <c r="M142" s="60"/>
      <c r="N142" s="60"/>
      <c r="O142" s="60"/>
      <c r="P142" s="60"/>
      <c r="Q142" s="60"/>
      <c r="R142" s="60"/>
      <c r="S142" s="60"/>
      <c r="T142" s="60"/>
      <c r="U142" s="60"/>
      <c r="V142" s="60"/>
      <c r="W142" s="60"/>
      <c r="X142" s="60"/>
      <c r="Y142" s="76"/>
      <c r="Z142" s="60"/>
      <c r="AA142" s="60"/>
      <c r="AB142" s="60"/>
      <c r="AC142" s="60"/>
      <c r="AD142" s="60"/>
      <c r="AE142" s="60"/>
      <c r="AF142" s="80"/>
      <c r="AG142" s="56"/>
      <c r="AH142" s="4"/>
      <c r="AI142" s="56"/>
      <c r="AJ142" s="109"/>
      <c r="AK142" s="56"/>
      <c r="AL142" s="56"/>
      <c r="AM142" s="56"/>
      <c r="AN142" s="56"/>
      <c r="AO142" s="56"/>
      <c r="AP142" s="56"/>
      <c r="AQ142" s="56"/>
      <c r="AR142" s="109"/>
      <c r="AS142" s="56"/>
      <c r="AT142" s="56"/>
      <c r="AU142" s="4"/>
      <c r="AV142" s="25">
        <f>3*30*24*60*60</f>
        <v>7776000</v>
      </c>
      <c r="AW142" s="25">
        <f>(365*24*60*60)+(3*30*24*60*60)</f>
        <v>39312000</v>
      </c>
      <c r="AX142" s="25">
        <f>(2*365*24*60*60)+(3*30*24*60*60)</f>
        <v>70848000</v>
      </c>
      <c r="AY142" s="25">
        <f>(3*365*24*60*60)+(3*30*24*60*60)</f>
        <v>102384000</v>
      </c>
      <c r="AZ142" s="25">
        <f>(3*365*24*60*60)+(6*30*24*60*60)</f>
        <v>110160000</v>
      </c>
      <c r="BA142" s="25">
        <f>(4*365*24*60*60)+(6*30*24*60*60)</f>
        <v>141696000</v>
      </c>
      <c r="BB142" s="25">
        <f>(5*365*24*60*60)+(6*30*24*60*60)</f>
        <v>173232000</v>
      </c>
      <c r="BC142" s="25">
        <f>(6*365*24*60*60)+(6*30*24*60*60)</f>
        <v>204768000</v>
      </c>
      <c r="BD142" s="25">
        <f>(7*365*24*60*60)+(6*30*24*60*60)</f>
        <v>236304000</v>
      </c>
      <c r="BE142" s="25">
        <f>(8*365*24*60*60)+(6*30*24*60*60)</f>
        <v>267840000</v>
      </c>
      <c r="BF142" s="25">
        <f>(9*365*24*60*60)+(6*30*24*60*60)</f>
        <v>299376000</v>
      </c>
      <c r="BG142" s="25">
        <f>(10*365*24*60*60)+(6*30*24*60*60)</f>
        <v>330912000</v>
      </c>
      <c r="BH142" s="53"/>
      <c r="BI142" s="53"/>
      <c r="BJ142" s="53"/>
      <c r="BK142" s="53"/>
      <c r="BL142" s="53"/>
      <c r="BM142" s="53"/>
      <c r="BN142" s="53"/>
      <c r="BO142" s="53"/>
      <c r="BP142" s="53"/>
      <c r="BQ142" s="53"/>
      <c r="BR142" s="53"/>
      <c r="BS142" s="53"/>
      <c r="BT142" s="53"/>
      <c r="BU142" s="53"/>
      <c r="BV142" s="53"/>
      <c r="BW142" s="53"/>
      <c r="BX142" s="53"/>
      <c r="BY142" s="53"/>
      <c r="BZ142" s="53"/>
      <c r="CA142" s="53"/>
      <c r="CB142" s="53"/>
      <c r="CC142" s="53"/>
      <c r="CD142" s="53"/>
      <c r="CE142" s="53"/>
      <c r="CF142" s="53"/>
      <c r="CG142" s="53"/>
      <c r="CH142" s="53"/>
      <c r="CI142" s="53"/>
      <c r="CJ142" s="53"/>
      <c r="CK142" s="53"/>
      <c r="CL142" s="53"/>
      <c r="CM142" s="53"/>
      <c r="CN142" s="53"/>
      <c r="CO142" s="53"/>
      <c r="CP142" s="53"/>
      <c r="CQ142" s="53"/>
      <c r="CR142" s="1"/>
      <c r="CS142" s="1"/>
      <c r="CT142" s="1"/>
      <c r="CU142" s="1"/>
    </row>
    <row r="143" spans="1:99" s="13" customFormat="1" ht="12" customHeight="1" x14ac:dyDescent="0.2">
      <c r="A143" s="65">
        <v>43509</v>
      </c>
      <c r="B143" s="1" t="s">
        <v>213</v>
      </c>
      <c r="C143" s="1" t="s">
        <v>202</v>
      </c>
      <c r="D143" s="60">
        <v>1991</v>
      </c>
      <c r="E143" s="76">
        <v>1</v>
      </c>
      <c r="F143" s="60">
        <v>373</v>
      </c>
      <c r="G143" s="60">
        <v>31.1</v>
      </c>
      <c r="H143" s="60" t="s">
        <v>50</v>
      </c>
      <c r="I143" s="60" t="s">
        <v>203</v>
      </c>
      <c r="J143" s="60" t="s">
        <v>203</v>
      </c>
      <c r="K143" s="60">
        <f>IF(J143="syllables",1,IF(J143="trigrams",2,IF(J143="strings",3,IF(J143="visual array",4,IF(J143="characters",5,IF(J143="letters",6,IF(J143="free forms",7,IF(J143="odors",8,IF(J143="words",9,IF(J143="pictures",10,IF(J143="object pictures",11,IF(J143="faces",12,IF(J143="names",13,IF(J143="idioms",14,IF(J143="grades",15,IF(J143="syllable-digit pairs",16,IF(J143="trigram-word pairs",17,IF(J143="word-digit pairs",18,IF(J143="English-Swahili pairs",19,IF(J143="spatial position",20,IF(J143="word pairs",21,IF(J143="word triads",22,IF(J143="generated words",23,IF(J143="word definition pairs",24,IF(J143="math problems",25,IF(J143="famous faces",26,IF(J143="famous names",27,IF(J143="famous voices",28,IF(J143="television programs",29,IF(J143="race horses",30,IF(J143="new vocabulary",31,IF(J143="sentences",32,IF(J143="concepts",33,IF(J143="ad slides",34,IF(J143="scenes",35,IF(J143="famous scenes",36,IF(J143="poems",37,IF(J143="walk",38,IF(J143="faces and events",39,IF(J143="events and names",40,IF(J143="flashbulb",41,IF(J143="stories",42,IF(J143="course material",43,IF(J143="autobiographical",44,IF(J143="novels",45,IF(J143="public events",46,"99"))))))))))))))))))))))))))))))))))))))))))))))</f>
        <v>13</v>
      </c>
      <c r="L143" s="60">
        <f>IF(J143="syllables",1,IF(J143="trigrams",1,IF(J143="strings",1,IF(J143="visual array",1,IF(J143="characters",1,IF(J143="letters",1,IF(J143="free forms",1,IF(J143="odors",2,IF(J143="words",2,IF(J143="pictures",2,IF(J143="object pictures",2,IF(J143="faces",2,IF(J143="names",2,IF(J143="idioms","2",IF(J143="grades",2,IF(J143="syllable-digit pairs",3,IF(J143="trigram-word pairs",3,IF(J143="word-digit pairs",3,IF(J143="English-Swahili pairs",3,IF(J143="spatial position",3,IF(J143="word pairs",4,IF(J143="word triads",4,IF(J143="generated words",4,IF(J143="word definition pairs",4,IF(J143="math problems",4,IF(J143="famous faces",4,IF(J143="famous names",4,IF(J143="famous voices",4,IF(J143="television programs",4,IF(J143="race horses",4,IF(J143="new vocabulary",4,IF(J143="sentences",5,IF(J143="concepts",5,IF(J143="ad slides",5,IF(J143="scenes",5,IF(J143="famous scenes",5,IF(J143="poems",6,IF(J143="walk",6,IF(J143="faces and events",6,IF(J143="events and names",6,IF(J143="flashbulb",7,IF(J143="stories",7,IF(J143="course material",7,IF(J143="autobiographical",7,IF(J143="novels",7,IF(J143="public events",7,"99"))))))))))))))))))))))))))))))))))))))))))))))</f>
        <v>2</v>
      </c>
      <c r="M143" s="60">
        <v>1</v>
      </c>
      <c r="N143" s="60">
        <v>2</v>
      </c>
      <c r="O143" s="60">
        <v>0</v>
      </c>
      <c r="P143" s="60"/>
      <c r="Q143" s="60" t="s">
        <v>34</v>
      </c>
      <c r="R143" s="60">
        <f>IF(Q143="Free Recall",1,IF(Q143="Cued Recall",2,IF(Q143="Recognition",3,IF(Q143="Multiple Choice",4,IF(Q143="Savings",5,IF(Q143="Stem Completion",6,IF(Q143="Fragment Completion",7,IF(Q143="anagram solution",8,IF(Q143="Matching",9,IF(Q143="Problem Solving",10,"99"))))))))))</f>
        <v>3</v>
      </c>
      <c r="S143" s="60" t="s">
        <v>15</v>
      </c>
      <c r="T143" s="59" t="s">
        <v>261</v>
      </c>
      <c r="U143" s="60">
        <f>IF(T143="within",1,0)</f>
        <v>0</v>
      </c>
      <c r="V143" s="59">
        <v>16</v>
      </c>
      <c r="W143" s="60">
        <f>F143*V143</f>
        <v>5968</v>
      </c>
      <c r="X143" s="60">
        <v>12</v>
      </c>
      <c r="Y143" s="76">
        <f>AV142</f>
        <v>7776000</v>
      </c>
      <c r="Z143" s="60" t="s">
        <v>510</v>
      </c>
      <c r="AA143" s="76">
        <f>(10*365*24*60*60)+(6*30*24*60*60)</f>
        <v>330912000</v>
      </c>
      <c r="AB143" s="60" t="str">
        <f>IF(AA143&lt;60,"1",IF(AA143&lt;=43200,"2",IF(AA143&lt;=777600,"3","4")))</f>
        <v>4</v>
      </c>
      <c r="AC143" s="56">
        <f>AVERAGE(AV142:DA142)</f>
        <v>165384000</v>
      </c>
      <c r="AD143" s="60" t="str">
        <f>IF(AC143&lt;60,"1",IF(AC143&lt;=43200,"2",IF(AC143&lt;=777600,"3","4")))</f>
        <v>4</v>
      </c>
      <c r="AE143" s="76">
        <f>AA143-Y143</f>
        <v>323136000</v>
      </c>
      <c r="AF143" s="80">
        <f>AV143</f>
        <v>0.78557614826752598</v>
      </c>
      <c r="AG143" s="56">
        <f>((AW143-AV143)+(AX143-AW143)+(AY143-AX143)+(AZ143-AY143)+(BA143-AZ143)+(BB143-BA143)+(BC143-BB143)+(BD143-BC143)+(BE143-BD143)+(BF143-BE143)+(BG143-BF143))/11</f>
        <v>-1.0506922569775085E-2</v>
      </c>
      <c r="AH143" s="4"/>
      <c r="AI143" s="56">
        <f>RSQ(AV143:BG143,AV142:BG142)</f>
        <v>0.51384930216801195</v>
      </c>
      <c r="AJ143" s="109">
        <f>SLOPE(AV143:BG143,AV142:BG142)</f>
        <v>-3.4037358578496057E-10</v>
      </c>
      <c r="AK143" s="56">
        <f>INTERCEPT(AV143:BG143,AV142:BG142)</f>
        <v>0.7275366373489025</v>
      </c>
      <c r="AL143" s="56">
        <f>INDEX(LINEST(LN(AV143:BG143),LN(AV142:BG142),TRUE,TRUE),3,1)</f>
        <v>0.79646201167969943</v>
      </c>
      <c r="AM143" s="56">
        <f>INDEX(LINEST(LN(AV143:BG143),LN(AV142:BG142)),1)</f>
        <v>-5.9485316904957383E-2</v>
      </c>
      <c r="AN143" s="56">
        <f>EXP(INDEX(LINEST(LN(AV143:BG143),LN(AV142:BG142)),1,2))</f>
        <v>2.0236194728204682</v>
      </c>
      <c r="AO143" s="82">
        <f>INDEX(LINEST((AV143:BG143),LN(AV142:BG142),TRUE,TRUE),3,1)</f>
        <v>0.8108721226657124</v>
      </c>
      <c r="AP143" s="82">
        <f>INDEX(LINEST((AV143:BG143),LN(AV142:BG142)),1)</f>
        <v>-4.1918866332267608E-2</v>
      </c>
      <c r="AQ143" s="83">
        <f>INDEX(LINEST(LN(AV143:BG143),SQRT(AV142:BG142),TRUE,TRUE),3,1)</f>
        <v>0.68071822723747355</v>
      </c>
      <c r="AR143" s="116">
        <f>INDEX(LINEST(LN(AV143:BG143),SQRT((AV142:BG142))),1)</f>
        <v>-1.2533401026060409E-5</v>
      </c>
      <c r="AS143" s="84">
        <f>INDEX(LINEST(1/(AV143:BG143),1/(SQRT(AV142:BG142)),TRUE,TRUE),3,1)</f>
        <v>0.73229583624597427</v>
      </c>
      <c r="AT143" s="84">
        <f>INDEX(LINEST(1/(AV143:BG143),1/SQRT(AV142:BG142)),1)</f>
        <v>-1035.2426528659148</v>
      </c>
      <c r="AU143" s="3"/>
      <c r="AV143" s="53">
        <v>0.78557614826752598</v>
      </c>
      <c r="AW143" s="53">
        <v>0.74625302175664698</v>
      </c>
      <c r="AX143" s="53">
        <v>0.682755842062852</v>
      </c>
      <c r="AY143" s="53">
        <v>0.68533440773569698</v>
      </c>
      <c r="AZ143" s="53">
        <v>0.63634165995165093</v>
      </c>
      <c r="BA143" s="53">
        <v>0.67340854149879104</v>
      </c>
      <c r="BB143" s="53">
        <v>0.62763900080580104</v>
      </c>
      <c r="BC143" s="53">
        <v>0.64278807413376304</v>
      </c>
      <c r="BD143" s="53">
        <v>0.63892022562449602</v>
      </c>
      <c r="BE143" s="53">
        <v>0.63827558420628494</v>
      </c>
      <c r="BF143" s="53">
        <v>0.62763900080580104</v>
      </c>
      <c r="BG143" s="53">
        <v>0.67</v>
      </c>
      <c r="BH143" s="53"/>
      <c r="BI143" s="53"/>
      <c r="BJ143" s="53"/>
      <c r="BK143" s="53"/>
      <c r="BL143" s="53"/>
      <c r="BM143" s="53"/>
      <c r="BN143" s="53"/>
      <c r="BO143" s="53"/>
      <c r="BP143" s="53"/>
      <c r="BQ143" s="53"/>
      <c r="BR143" s="53"/>
      <c r="BS143" s="53"/>
      <c r="BT143" s="53"/>
      <c r="BU143" s="53"/>
      <c r="BV143" s="53"/>
      <c r="BW143" s="53"/>
      <c r="BX143" s="53"/>
      <c r="BY143" s="53"/>
      <c r="BZ143" s="53"/>
      <c r="CA143" s="53"/>
      <c r="CB143" s="53"/>
      <c r="CC143" s="53"/>
      <c r="CD143" s="53"/>
      <c r="CE143" s="53"/>
      <c r="CF143" s="53"/>
      <c r="CG143" s="53"/>
      <c r="CH143" s="53"/>
      <c r="CI143" s="53"/>
      <c r="CJ143" s="53"/>
      <c r="CK143" s="53"/>
      <c r="CL143" s="53"/>
      <c r="CM143" s="53"/>
      <c r="CN143" s="53"/>
      <c r="CO143" s="53"/>
      <c r="CP143" s="53"/>
      <c r="CQ143" s="53"/>
      <c r="CR143" s="1"/>
      <c r="CS143" s="1"/>
      <c r="CT143" s="1"/>
      <c r="CU143" s="1"/>
    </row>
    <row r="144" spans="1:99" s="13" customFormat="1" ht="12" customHeight="1" x14ac:dyDescent="0.2">
      <c r="A144" s="65">
        <v>43509</v>
      </c>
      <c r="B144" s="1"/>
      <c r="C144" s="1"/>
      <c r="D144" s="60"/>
      <c r="E144" s="76"/>
      <c r="F144" s="60"/>
      <c r="G144" s="60"/>
      <c r="H144" s="60"/>
      <c r="I144" s="60"/>
      <c r="J144" s="60"/>
      <c r="K144" s="64"/>
      <c r="L144" s="64"/>
      <c r="M144" s="60"/>
      <c r="N144" s="60"/>
      <c r="O144" s="60"/>
      <c r="P144" s="60"/>
      <c r="Q144" s="60"/>
      <c r="R144" s="60"/>
      <c r="S144" s="60"/>
      <c r="T144" s="60"/>
      <c r="U144" s="60"/>
      <c r="V144" s="60"/>
      <c r="W144" s="60"/>
      <c r="X144" s="60"/>
      <c r="Y144" s="76"/>
      <c r="Z144" s="60"/>
      <c r="AA144" s="60"/>
      <c r="AB144" s="60"/>
      <c r="AC144" s="60"/>
      <c r="AD144" s="60"/>
      <c r="AE144" s="60"/>
      <c r="AF144" s="80"/>
      <c r="AG144" s="56"/>
      <c r="AH144" s="4"/>
      <c r="AI144" s="56"/>
      <c r="AJ144" s="109"/>
      <c r="AK144" s="56"/>
      <c r="AL144" s="56"/>
      <c r="AM144" s="56"/>
      <c r="AN144" s="56"/>
      <c r="AO144" s="56"/>
      <c r="AP144" s="56"/>
      <c r="AQ144" s="56"/>
      <c r="AR144" s="109"/>
      <c r="AS144" s="56"/>
      <c r="AT144" s="56"/>
      <c r="AU144" s="4"/>
      <c r="AV144" s="25">
        <f>3*30*24*60*60</f>
        <v>7776000</v>
      </c>
      <c r="AW144" s="25">
        <f>(365*24*60*60)+(3*30*24*60*60)</f>
        <v>39312000</v>
      </c>
      <c r="AX144" s="25">
        <f>(2*365*24*60*60)+(3*30*24*60*60)</f>
        <v>70848000</v>
      </c>
      <c r="AY144" s="25">
        <f>(3*365*24*60*60)+(3*30*24*60*60)</f>
        <v>102384000</v>
      </c>
      <c r="AZ144" s="25">
        <f>(3*365*24*60*60)+(6*30*24*60*60)</f>
        <v>110160000</v>
      </c>
      <c r="BA144" s="25">
        <f>(4*365*24*60*60)+(6*30*24*60*60)</f>
        <v>141696000</v>
      </c>
      <c r="BB144" s="25">
        <f>(5*365*24*60*60)+(6*30*24*60*60)</f>
        <v>173232000</v>
      </c>
      <c r="BC144" s="25">
        <f>(6*365*24*60*60)+(6*30*24*60*60)</f>
        <v>204768000</v>
      </c>
      <c r="BD144" s="25">
        <f>(7*365*24*60*60)+(6*30*24*60*60)</f>
        <v>236304000</v>
      </c>
      <c r="BE144" s="25">
        <f>(8*365*24*60*60)+(6*30*24*60*60)</f>
        <v>267840000</v>
      </c>
      <c r="BF144" s="25">
        <f>(9*365*24*60*60)+(6*30*24*60*60)</f>
        <v>299376000</v>
      </c>
      <c r="BG144" s="25">
        <f>(10*365*24*60*60)+(6*30*24*60*60)</f>
        <v>330912000</v>
      </c>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53"/>
      <c r="CD144" s="53"/>
      <c r="CE144" s="53"/>
      <c r="CF144" s="53"/>
      <c r="CG144" s="53"/>
      <c r="CH144" s="53"/>
      <c r="CI144" s="53"/>
      <c r="CJ144" s="53"/>
      <c r="CK144" s="53"/>
      <c r="CL144" s="53"/>
      <c r="CM144" s="53"/>
      <c r="CN144" s="53"/>
      <c r="CO144" s="53"/>
      <c r="CP144" s="53"/>
      <c r="CQ144" s="53"/>
      <c r="CR144" s="1"/>
      <c r="CS144" s="1"/>
      <c r="CT144" s="1"/>
      <c r="CU144" s="1"/>
    </row>
    <row r="145" spans="1:99" s="13" customFormat="1" ht="12" customHeight="1" x14ac:dyDescent="0.2">
      <c r="A145" s="65">
        <v>43509</v>
      </c>
      <c r="B145" s="1" t="s">
        <v>213</v>
      </c>
      <c r="C145" s="1" t="s">
        <v>202</v>
      </c>
      <c r="D145" s="60">
        <v>1991</v>
      </c>
      <c r="E145" s="76">
        <v>1</v>
      </c>
      <c r="F145" s="60">
        <v>373</v>
      </c>
      <c r="G145" s="60">
        <v>31.1</v>
      </c>
      <c r="H145" s="60" t="s">
        <v>41</v>
      </c>
      <c r="I145" s="60" t="s">
        <v>93</v>
      </c>
      <c r="J145" s="60" t="s">
        <v>93</v>
      </c>
      <c r="K145" s="60">
        <f>IF(J145="syllables",1,IF(J145="trigrams",2,IF(J145="strings",3,IF(J145="visual array",4,IF(J145="characters",5,IF(J145="letters",6,IF(J145="free forms",7,IF(J145="odors",8,IF(J145="words",9,IF(J145="pictures",10,IF(J145="object pictures",11,IF(J145="faces",12,IF(J145="names",13,IF(J145="idioms",14,IF(J145="grades",15,IF(J145="syllable-digit pairs",16,IF(J145="trigram-word pairs",17,IF(J145="word-digit pairs",18,IF(J145="English-Swahili pairs",19,IF(J145="spatial position",20,IF(J145="word pairs",21,IF(J145="word triads",22,IF(J145="generated words",23,IF(J145="word definition pairs",24,IF(J145="math problems",25,IF(J145="famous faces",26,IF(J145="famous names",27,IF(J145="famous voices",28,IF(J145="television programs",29,IF(J145="race horses",30,IF(J145="new vocabulary",31,IF(J145="sentences",32,IF(J145="concepts",33,IF(J145="ad slides",34,IF(J145="scenes",35,IF(J145="famous scenes",36,IF(J145="poems",37,IF(J145="walk",38,IF(J145="faces and events",39,IF(J145="events and names",40,IF(J145="flashbulb",41,IF(J145="stories",42,IF(J145="course material",43,IF(J145="autobiographical",44,IF(J145="novels",45,IF(J145="public events",46,"99"))))))))))))))))))))))))))))))))))))))))))))))</f>
        <v>33</v>
      </c>
      <c r="L145" s="60">
        <f>IF(J145="syllables",1,IF(J145="trigrams",1,IF(J145="strings",1,IF(J145="visual array",1,IF(J145="characters",1,IF(J145="letters",1,IF(J145="free forms",1,IF(J145="odors",2,IF(J145="words",2,IF(J145="pictures",2,IF(J145="object pictures",2,IF(J145="faces",2,IF(J145="names",2,IF(J145="idioms","2",IF(J145="grades",2,IF(J145="syllable-digit pairs",3,IF(J145="trigram-word pairs",3,IF(J145="word-digit pairs",3,IF(J145="English-Swahili pairs",3,IF(J145="spatial position",3,IF(J145="word pairs",4,IF(J145="word triads",4,IF(J145="generated words",4,IF(J145="word definition pairs",4,IF(J145="math problems",4,IF(J145="famous faces",4,IF(J145="famous names",4,IF(J145="famous voices",4,IF(J145="television programs",4,IF(J145="race horses",4,IF(J145="new vocabulary",4,IF(J145="sentences",5,IF(J145="concepts",5,IF(J145="ad slides",5,IF(J145="scenes",5,IF(J145="famous scenes",5,IF(J145="poems",6,IF(J145="walk",6,IF(J145="faces and events",6,IF(J145="events and names",6,IF(J145="flashbulb",7,IF(J145="stories",7,IF(J145="course material",7,IF(J145="autobiographical",7,IF(J145="novels",7,IF(J145="public events",7,"99"))))))))))))))))))))))))))))))))))))))))))))))</f>
        <v>5</v>
      </c>
      <c r="M145" s="60">
        <v>1</v>
      </c>
      <c r="N145" s="60">
        <v>4</v>
      </c>
      <c r="O145" s="60">
        <v>0</v>
      </c>
      <c r="P145" s="60"/>
      <c r="Q145" s="60" t="s">
        <v>174</v>
      </c>
      <c r="R145" s="60">
        <f>IF(Q145="Free Recall",1,IF(Q145="Cued Recall",2,IF(Q145="Recognition",3,IF(Q145="Multiple Choice",4,IF(Q145="Savings",5,IF(Q145="Stem Completion",6,IF(Q145="Fragment Completion",7,IF(Q145="anagram solution",8,IF(Q145="Matching",9,IF(Q145="Problem Solving",10,"99"))))))))))</f>
        <v>1</v>
      </c>
      <c r="S145" s="62" t="s">
        <v>49</v>
      </c>
      <c r="T145" s="59" t="s">
        <v>261</v>
      </c>
      <c r="U145" s="60">
        <f>IF(T145="within",1,0)</f>
        <v>0</v>
      </c>
      <c r="V145" s="59">
        <v>12</v>
      </c>
      <c r="W145" s="60">
        <f>F145*V145</f>
        <v>4476</v>
      </c>
      <c r="X145" s="60">
        <v>12</v>
      </c>
      <c r="Y145" s="76">
        <f>AV144</f>
        <v>7776000</v>
      </c>
      <c r="Z145" s="60" t="s">
        <v>510</v>
      </c>
      <c r="AA145" s="76">
        <f>(10*365*24*60*60)+(6*30*24*60*60)</f>
        <v>330912000</v>
      </c>
      <c r="AB145" s="60" t="str">
        <f>IF(AA145&lt;60,"1",IF(AA145&lt;=43200,"2",IF(AA145&lt;=777600,"3","4")))</f>
        <v>4</v>
      </c>
      <c r="AC145" s="56">
        <f>AVERAGE(AV144:DA144)</f>
        <v>165384000</v>
      </c>
      <c r="AD145" s="60" t="str">
        <f>IF(AC145&lt;60,"1",IF(AC145&lt;=43200,"2",IF(AC145&lt;=777600,"3","4")))</f>
        <v>4</v>
      </c>
      <c r="AE145" s="76">
        <f>AA145-Y145</f>
        <v>323136000</v>
      </c>
      <c r="AF145" s="80">
        <f>AV145</f>
        <v>0.60232787750619898</v>
      </c>
      <c r="AG145" s="56">
        <f>((AW145-AV145)+(AX145-AW145)+(AY145-AX145)+(AZ145-AY145)+(BA145-AZ145)+(BB145-BA145)+(BC145-BB145)+(BD145-BC145)+(BE145-BD145)+(BF145-BE145)+(BG145-BF145))/11</f>
        <v>-3.1739311133815347E-2</v>
      </c>
      <c r="AH145" s="4"/>
      <c r="AI145" s="56">
        <f>RSQ(AV145:BG145,AV144:BG144)</f>
        <v>0.60723157322830179</v>
      </c>
      <c r="AJ145" s="109">
        <f>SLOPE(AV145:BG145,AV144:BG144)</f>
        <v>-7.8874967450842775E-10</v>
      </c>
      <c r="AK145" s="56">
        <f>INTERCEPT(AV145:BG145,AV144:BG144)</f>
        <v>0.45291395579693183</v>
      </c>
      <c r="AL145" s="56">
        <f>INDEX(LINEST(LN(AV145:BG145),LN(AV144:BG144),TRUE,TRUE),3,1)</f>
        <v>0.90853591015193713</v>
      </c>
      <c r="AM145" s="56">
        <f>INDEX(LINEST(LN(AV145:BG145),LN(AV144:BG144)),1)</f>
        <v>-0.24881822357505426</v>
      </c>
      <c r="AN145" s="56">
        <f>EXP(INDEX(LINEST(LN(AV145:BG145),LN(AV144:BG144)),1,2))</f>
        <v>31.64897746607069</v>
      </c>
      <c r="AO145" s="82">
        <f>INDEX(LINEST((AV145:BG145),LN(AV144:BG144),TRUE,TRUE),3,1)</f>
        <v>0.93091793243095566</v>
      </c>
      <c r="AP145" s="82">
        <f>INDEX(LINEST((AV145:BG145),LN(AV144:BG144)),1)</f>
        <v>-9.5744337499546806E-2</v>
      </c>
      <c r="AQ145" s="83">
        <f>INDEX(LINEST(LN(AV145:BG145),SQRT(AV144:BG144),TRUE,TRUE),3,1)</f>
        <v>0.82568990287649957</v>
      </c>
      <c r="AR145" s="116">
        <f>INDEX(LINEST(LN(AV145:BG145),SQRT((AV144:BG144))),1)</f>
        <v>-5.4060196855414857E-5</v>
      </c>
      <c r="AS145" s="84">
        <f>INDEX(LINEST(1/(AV145:BG145),1/(SQRT(AV144:BG144)),TRUE,TRUE),3,1)</f>
        <v>0.72221485567093613</v>
      </c>
      <c r="AT145" s="84">
        <f>INDEX(LINEST(1/(AV145:BG145),1/SQRT(AV144:BG144)),1)</f>
        <v>-8030.2295919345861</v>
      </c>
      <c r="AU145" s="3"/>
      <c r="AV145" s="53">
        <v>0.60232787750619898</v>
      </c>
      <c r="AW145" s="53">
        <v>0.43752953022102403</v>
      </c>
      <c r="AX145" s="53">
        <v>0.36835989559743099</v>
      </c>
      <c r="AY145" s="53">
        <v>0.30743623916139001</v>
      </c>
      <c r="AZ145" s="53">
        <v>0.281068399323533</v>
      </c>
      <c r="BA145" s="53">
        <v>0.30258432201870999</v>
      </c>
      <c r="BB145" s="53">
        <v>0.289475347764175</v>
      </c>
      <c r="BC145" s="53">
        <v>0.26358813773057899</v>
      </c>
      <c r="BD145" s="53">
        <v>0.23564057362759802</v>
      </c>
      <c r="BE145" s="53">
        <v>0.30290756592774498</v>
      </c>
      <c r="BF145" s="53">
        <v>0.225495211623746</v>
      </c>
      <c r="BG145" s="53">
        <v>0.25319545503423002</v>
      </c>
      <c r="BH145" s="53"/>
      <c r="BI145" s="53"/>
      <c r="BJ145" s="53"/>
      <c r="BK145" s="53"/>
      <c r="BL145" s="53"/>
      <c r="BM145" s="53"/>
      <c r="BN145" s="53"/>
      <c r="BO145" s="53"/>
      <c r="BP145" s="53"/>
      <c r="BQ145" s="53"/>
      <c r="BR145" s="53"/>
      <c r="BS145" s="53"/>
      <c r="BT145" s="53"/>
      <c r="BU145" s="53"/>
      <c r="BV145" s="53"/>
      <c r="BW145" s="53"/>
      <c r="BX145" s="53"/>
      <c r="BY145" s="53"/>
      <c r="BZ145" s="53"/>
      <c r="CA145" s="53"/>
      <c r="CB145" s="53"/>
      <c r="CC145" s="53"/>
      <c r="CD145" s="53"/>
      <c r="CE145" s="53"/>
      <c r="CF145" s="53"/>
      <c r="CG145" s="53"/>
      <c r="CH145" s="53"/>
      <c r="CI145" s="53"/>
      <c r="CJ145" s="53"/>
      <c r="CK145" s="53"/>
      <c r="CL145" s="53"/>
      <c r="CM145" s="53"/>
      <c r="CN145" s="53"/>
      <c r="CO145" s="53"/>
      <c r="CP145" s="53"/>
      <c r="CQ145" s="53"/>
      <c r="CR145" s="1"/>
      <c r="CS145" s="1"/>
      <c r="CT145" s="1"/>
      <c r="CU145" s="1"/>
    </row>
    <row r="146" spans="1:99" s="13" customFormat="1" ht="12" customHeight="1" x14ac:dyDescent="0.2">
      <c r="A146" s="65">
        <v>43509</v>
      </c>
      <c r="B146" s="1"/>
      <c r="C146" s="1"/>
      <c r="D146" s="60"/>
      <c r="E146" s="76"/>
      <c r="F146" s="60"/>
      <c r="G146" s="60"/>
      <c r="H146" s="60"/>
      <c r="I146" s="60"/>
      <c r="J146" s="60"/>
      <c r="K146" s="64"/>
      <c r="L146" s="64"/>
      <c r="M146" s="60"/>
      <c r="N146" s="60"/>
      <c r="O146" s="60"/>
      <c r="P146" s="60"/>
      <c r="Q146" s="60"/>
      <c r="R146" s="60"/>
      <c r="S146" s="60"/>
      <c r="T146" s="60"/>
      <c r="U146" s="60"/>
      <c r="V146" s="60"/>
      <c r="W146" s="60"/>
      <c r="X146" s="60"/>
      <c r="Y146" s="76"/>
      <c r="Z146" s="60"/>
      <c r="AA146" s="60"/>
      <c r="AB146" s="60"/>
      <c r="AC146" s="60"/>
      <c r="AD146" s="60"/>
      <c r="AE146" s="60"/>
      <c r="AF146" s="80"/>
      <c r="AG146" s="56"/>
      <c r="AH146" s="4"/>
      <c r="AI146" s="56"/>
      <c r="AJ146" s="109"/>
      <c r="AK146" s="56"/>
      <c r="AL146" s="56"/>
      <c r="AM146" s="56"/>
      <c r="AN146" s="56"/>
      <c r="AO146" s="56"/>
      <c r="AP146" s="56"/>
      <c r="AQ146" s="56"/>
      <c r="AR146" s="109"/>
      <c r="AS146" s="56"/>
      <c r="AT146" s="56"/>
      <c r="AU146" s="4"/>
      <c r="AV146" s="25">
        <f>3*30*24*60*60</f>
        <v>7776000</v>
      </c>
      <c r="AW146" s="25">
        <f>(365*24*60*60)+(3*30*24*60*60)</f>
        <v>39312000</v>
      </c>
      <c r="AX146" s="25">
        <f>(2*365*24*60*60)+(3*30*24*60*60)</f>
        <v>70848000</v>
      </c>
      <c r="AY146" s="25">
        <f>(3*365*24*60*60)+(3*30*24*60*60)</f>
        <v>102384000</v>
      </c>
      <c r="AZ146" s="25">
        <f>(3*365*24*60*60)+(6*30*24*60*60)</f>
        <v>110160000</v>
      </c>
      <c r="BA146" s="25">
        <f>(4*365*24*60*60)+(6*30*24*60*60)</f>
        <v>141696000</v>
      </c>
      <c r="BB146" s="25">
        <f>(5*365*24*60*60)+(6*30*24*60*60)</f>
        <v>173232000</v>
      </c>
      <c r="BC146" s="25">
        <f>(6*365*24*60*60)+(6*30*24*60*60)</f>
        <v>204768000</v>
      </c>
      <c r="BD146" s="25">
        <f>(7*365*24*60*60)+(6*30*24*60*60)</f>
        <v>236304000</v>
      </c>
      <c r="BE146" s="25">
        <f>(8*365*24*60*60)+(6*30*24*60*60)</f>
        <v>267840000</v>
      </c>
      <c r="BF146" s="25">
        <f>(9*365*24*60*60)+(6*30*24*60*60)</f>
        <v>299376000</v>
      </c>
      <c r="BG146" s="25">
        <f>(10*365*24*60*60)+(6*30*24*60*60)</f>
        <v>330912000</v>
      </c>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c r="CE146" s="53"/>
      <c r="CF146" s="53"/>
      <c r="CG146" s="53"/>
      <c r="CH146" s="53"/>
      <c r="CI146" s="53"/>
      <c r="CJ146" s="53"/>
      <c r="CK146" s="53"/>
      <c r="CL146" s="53"/>
      <c r="CM146" s="53"/>
      <c r="CN146" s="53"/>
      <c r="CO146" s="53"/>
      <c r="CP146" s="53"/>
      <c r="CQ146" s="53"/>
      <c r="CR146" s="1"/>
      <c r="CS146" s="1"/>
      <c r="CT146" s="1"/>
      <c r="CU146" s="1"/>
    </row>
    <row r="147" spans="1:99" s="13" customFormat="1" ht="12" customHeight="1" x14ac:dyDescent="0.2">
      <c r="A147" s="65">
        <v>43509</v>
      </c>
      <c r="B147" s="1" t="s">
        <v>213</v>
      </c>
      <c r="C147" s="1" t="s">
        <v>202</v>
      </c>
      <c r="D147" s="60">
        <v>1991</v>
      </c>
      <c r="E147" s="76">
        <v>1</v>
      </c>
      <c r="F147" s="60">
        <v>373</v>
      </c>
      <c r="G147" s="60">
        <v>31.1</v>
      </c>
      <c r="H147" s="60" t="s">
        <v>41</v>
      </c>
      <c r="I147" s="60" t="s">
        <v>203</v>
      </c>
      <c r="J147" s="60" t="s">
        <v>203</v>
      </c>
      <c r="K147" s="60">
        <f>IF(J147="syllables",1,IF(J147="trigrams",2,IF(J147="strings",3,IF(J147="visual array",4,IF(J147="characters",5,IF(J147="letters",6,IF(J147="free forms",7,IF(J147="odors",8,IF(J147="words",9,IF(J147="pictures",10,IF(J147="object pictures",11,IF(J147="faces",12,IF(J147="names",13,IF(J147="idioms",14,IF(J147="grades",15,IF(J147="syllable-digit pairs",16,IF(J147="trigram-word pairs",17,IF(J147="word-digit pairs",18,IF(J147="English-Swahili pairs",19,IF(J147="spatial position",20,IF(J147="word pairs",21,IF(J147="word triads",22,IF(J147="generated words",23,IF(J147="word definition pairs",24,IF(J147="math problems",25,IF(J147="famous faces",26,IF(J147="famous names",27,IF(J147="famous voices",28,IF(J147="television programs",29,IF(J147="race horses",30,IF(J147="new vocabulary",31,IF(J147="sentences",32,IF(J147="concepts",33,IF(J147="ad slides",34,IF(J147="scenes",35,IF(J147="famous scenes",36,IF(J147="poems",37,IF(J147="walk",38,IF(J147="faces and events",39,IF(J147="events and names",40,IF(J147="flashbulb",41,IF(J147="stories",42,IF(J147="course material",43,IF(J147="autobiographical",44,IF(J147="novels",45,IF(J147="public events",46,"99"))))))))))))))))))))))))))))))))))))))))))))))</f>
        <v>13</v>
      </c>
      <c r="L147" s="60">
        <f>IF(J147="syllables",1,IF(J147="trigrams",1,IF(J147="strings",1,IF(J147="visual array",1,IF(J147="characters",1,IF(J147="letters",1,IF(J147="free forms",1,IF(J147="odors",2,IF(J147="words",2,IF(J147="pictures",2,IF(J147="object pictures",2,IF(J147="faces",2,IF(J147="names",2,IF(J147="idioms","2",IF(J147="grades",2,IF(J147="syllable-digit pairs",3,IF(J147="trigram-word pairs",3,IF(J147="word-digit pairs",3,IF(J147="English-Swahili pairs",3,IF(J147="spatial position",3,IF(J147="word pairs",4,IF(J147="word triads",4,IF(J147="generated words",4,IF(J147="word definition pairs",4,IF(J147="math problems",4,IF(J147="famous faces",4,IF(J147="famous names",4,IF(J147="famous voices",4,IF(J147="television programs",4,IF(J147="race horses",4,IF(J147="new vocabulary",4,IF(J147="sentences",5,IF(J147="concepts",5,IF(J147="ad slides",5,IF(J147="scenes",5,IF(J147="famous scenes",5,IF(J147="poems",6,IF(J147="walk",6,IF(J147="faces and events",6,IF(J147="events and names",6,IF(J147="flashbulb",7,IF(J147="stories",7,IF(J147="course material",7,IF(J147="autobiographical",7,IF(J147="novels",7,IF(J147="public events",7,"99"))))))))))))))))))))))))))))))))))))))))))))))</f>
        <v>2</v>
      </c>
      <c r="M147" s="60">
        <v>1</v>
      </c>
      <c r="N147" s="60">
        <v>2</v>
      </c>
      <c r="O147" s="60">
        <v>0</v>
      </c>
      <c r="P147" s="60"/>
      <c r="Q147" s="60" t="s">
        <v>174</v>
      </c>
      <c r="R147" s="60">
        <f>IF(Q147="Free Recall",1,IF(Q147="Cued Recall",2,IF(Q147="Recognition",3,IF(Q147="Multiple Choice",4,IF(Q147="Savings",5,IF(Q147="Stem Completion",6,IF(Q147="Fragment Completion",7,IF(Q147="anagram solution",8,IF(Q147="Matching",9,IF(Q147="Problem Solving",10,"99"))))))))))</f>
        <v>1</v>
      </c>
      <c r="S147" s="62" t="s">
        <v>49</v>
      </c>
      <c r="T147" s="59" t="s">
        <v>261</v>
      </c>
      <c r="U147" s="60">
        <f>IF(T147="within",1,0)</f>
        <v>0</v>
      </c>
      <c r="V147" s="59">
        <v>12</v>
      </c>
      <c r="W147" s="60">
        <f>F147*V147</f>
        <v>4476</v>
      </c>
      <c r="X147" s="60">
        <v>12</v>
      </c>
      <c r="Y147" s="76">
        <f>AV146</f>
        <v>7776000</v>
      </c>
      <c r="Z147" s="60" t="s">
        <v>510</v>
      </c>
      <c r="AA147" s="76">
        <f>(10*365*24*60*60)+(6*30*24*60*60)</f>
        <v>330912000</v>
      </c>
      <c r="AB147" s="60" t="str">
        <f>IF(AA147&lt;60,"1",IF(AA147&lt;=43200,"2",IF(AA147&lt;=777600,"3","4")))</f>
        <v>4</v>
      </c>
      <c r="AC147" s="56">
        <f>AVERAGE(AV146:DA146)</f>
        <v>165384000</v>
      </c>
      <c r="AD147" s="60" t="str">
        <f>IF(AC147&lt;60,"1",IF(AC147&lt;=43200,"2",IF(AC147&lt;=777600,"3","4")))</f>
        <v>4</v>
      </c>
      <c r="AE147" s="76">
        <f>AA147-Y147</f>
        <v>323136000</v>
      </c>
      <c r="AF147" s="80">
        <f>AV147</f>
        <v>0.56316941956212097</v>
      </c>
      <c r="AG147" s="56">
        <f>((AW147-AV147)+(AX147-AW147)+(AY147-AX147)+(AZ147-AY147)+(BA147-AZ147)+(BB147-BA147)+(BC147-BB147)+(BD147-BC147)+(BE147-BD147)+(BF147-BE147)+(BG147-BF147))/11</f>
        <v>-1.7724649629018898E-2</v>
      </c>
      <c r="AH147" s="4"/>
      <c r="AI147" s="56">
        <f>RSQ(AV147:BG147,AV146:BG146)</f>
        <v>0.12192481258833034</v>
      </c>
      <c r="AJ147" s="109">
        <f>SLOPE(AV147:BG147,AV146:BG146)</f>
        <v>-3.334351685238285E-10</v>
      </c>
      <c r="AK147" s="56">
        <f>INTERCEPT(AV147:BG147,AV146:BG146)</f>
        <v>0.35655577550602702</v>
      </c>
      <c r="AL147" s="56">
        <f>INDEX(LINEST(LN(AV147:BG147),LN(AV146:BG146),TRUE,TRUE),3,1)</f>
        <v>0.32067986897926026</v>
      </c>
      <c r="AM147" s="56">
        <f>INDEX(LINEST(LN(AV147:BG147),LN(AV146:BG146)),1)</f>
        <v>-0.15770156066902088</v>
      </c>
      <c r="AN147" s="56">
        <f>EXP(INDEX(LINEST(LN(AV147:BG147),LN(AV146:BG146)),1,2))</f>
        <v>5.4180833158321384</v>
      </c>
      <c r="AO147" s="82">
        <f>INDEX(LINEST((AV147:BG147),LN(AV146:BG146),TRUE,TRUE),3,1)</f>
        <v>0.42208688625917956</v>
      </c>
      <c r="AP147" s="82">
        <f>INDEX(LINEST((AV147:BG147),LN(AV146:BG146)),1)</f>
        <v>-6.0822135632044645E-2</v>
      </c>
      <c r="AQ147" s="83">
        <f>INDEX(LINEST(LN(AV147:BG147),SQRT(AV146:BG146),TRUE,TRUE),3,1)</f>
        <v>0.18173029331150617</v>
      </c>
      <c r="AR147" s="116">
        <f>INDEX(LINEST(LN(AV147:BG147),SQRT((AV146:BG146))),1)</f>
        <v>-2.7056511829039438E-5</v>
      </c>
      <c r="AS147" s="84">
        <f>INDEX(LINEST(1/(AV147:BG147),1/(SQRT(AV146:BG146)),TRUE,TRUE),3,1)</f>
        <v>0.30612593261719384</v>
      </c>
      <c r="AT147" s="84">
        <f>INDEX(LINEST(1/(AV147:BG147),1/SQRT(AV146:BG146)),1)</f>
        <v>-6514.8513687229561</v>
      </c>
      <c r="AU147" s="3"/>
      <c r="AV147" s="53">
        <v>0.56316941956212097</v>
      </c>
      <c r="AW147" s="53">
        <v>0.319229754080465</v>
      </c>
      <c r="AX147" s="53">
        <v>0.217082723720954</v>
      </c>
      <c r="AY147" s="53">
        <v>0.232003427949519</v>
      </c>
      <c r="AZ147" s="53">
        <v>0.24726790468214802</v>
      </c>
      <c r="BA147" s="53">
        <v>0.32401943373662695</v>
      </c>
      <c r="BB147" s="53">
        <v>0.345121851874781</v>
      </c>
      <c r="BC147" s="53">
        <v>0.29821238297886099</v>
      </c>
      <c r="BD147" s="53">
        <v>0.23976323687065901</v>
      </c>
      <c r="BE147" s="53">
        <v>0.28147245420982797</v>
      </c>
      <c r="BF147" s="53">
        <v>0.18139033982971001</v>
      </c>
      <c r="BG147" s="53">
        <v>0.36819827364291302</v>
      </c>
      <c r="BH147" s="53"/>
      <c r="BI147" s="53"/>
      <c r="BJ147" s="53"/>
      <c r="BK147" s="53"/>
      <c r="BL147" s="53"/>
      <c r="BM147" s="53"/>
      <c r="BN147" s="53"/>
      <c r="BO147" s="53"/>
      <c r="BP147" s="53"/>
      <c r="BQ147" s="53"/>
      <c r="BR147" s="53"/>
      <c r="BS147" s="53"/>
      <c r="BT147" s="53"/>
      <c r="BU147" s="53"/>
      <c r="BV147" s="53"/>
      <c r="BW147" s="53"/>
      <c r="BX147" s="53"/>
      <c r="BY147" s="53"/>
      <c r="BZ147" s="53"/>
      <c r="CA147" s="53"/>
      <c r="CB147" s="53"/>
      <c r="CC147" s="53"/>
      <c r="CD147" s="53"/>
      <c r="CE147" s="53"/>
      <c r="CF147" s="53"/>
      <c r="CG147" s="53"/>
      <c r="CH147" s="53"/>
      <c r="CI147" s="53"/>
      <c r="CJ147" s="53"/>
      <c r="CK147" s="53"/>
      <c r="CL147" s="53"/>
      <c r="CM147" s="53"/>
      <c r="CN147" s="53"/>
      <c r="CO147" s="53"/>
      <c r="CP147" s="53"/>
      <c r="CQ147" s="53"/>
      <c r="CR147" s="1"/>
      <c r="CS147" s="1"/>
      <c r="CT147" s="1"/>
      <c r="CU147" s="1"/>
    </row>
    <row r="148" spans="1:99" s="13" customFormat="1" ht="12" customHeight="1" x14ac:dyDescent="0.2">
      <c r="A148" s="65">
        <v>43509</v>
      </c>
      <c r="B148" s="1"/>
      <c r="C148" s="1"/>
      <c r="D148" s="60"/>
      <c r="E148" s="76"/>
      <c r="F148" s="60"/>
      <c r="G148" s="60"/>
      <c r="H148" s="60"/>
      <c r="I148" s="60"/>
      <c r="J148" s="60"/>
      <c r="K148" s="64"/>
      <c r="L148" s="64"/>
      <c r="M148" s="60"/>
      <c r="N148" s="60"/>
      <c r="O148" s="60"/>
      <c r="P148" s="60"/>
      <c r="Q148" s="60"/>
      <c r="R148" s="60"/>
      <c r="S148" s="60"/>
      <c r="T148" s="60"/>
      <c r="U148" s="60"/>
      <c r="V148" s="60"/>
      <c r="W148" s="60"/>
      <c r="X148" s="60"/>
      <c r="Y148" s="76"/>
      <c r="Z148" s="60"/>
      <c r="AA148" s="60"/>
      <c r="AB148" s="60"/>
      <c r="AC148" s="60"/>
      <c r="AD148" s="60"/>
      <c r="AE148" s="60"/>
      <c r="AF148" s="80"/>
      <c r="AG148" s="56"/>
      <c r="AH148" s="4"/>
      <c r="AI148" s="56"/>
      <c r="AJ148" s="109"/>
      <c r="AK148" s="56"/>
      <c r="AL148" s="56"/>
      <c r="AM148" s="56"/>
      <c r="AN148" s="56"/>
      <c r="AO148" s="56"/>
      <c r="AP148" s="56"/>
      <c r="AQ148" s="56"/>
      <c r="AR148" s="109"/>
      <c r="AS148" s="56"/>
      <c r="AT148" s="56"/>
      <c r="AU148" s="4"/>
      <c r="AV148" s="25">
        <v>30</v>
      </c>
      <c r="AW148" s="25">
        <f>7*24*60*60*0.143</f>
        <v>86486.399999999994</v>
      </c>
      <c r="AX148" s="25">
        <f>7*24*60*60*1</f>
        <v>604800</v>
      </c>
      <c r="AY148" s="25">
        <f>7*24*60*60*4</f>
        <v>2419200</v>
      </c>
      <c r="AZ148" s="53" t="s">
        <v>511</v>
      </c>
      <c r="BA148" s="53"/>
      <c r="BB148" s="53"/>
      <c r="BC148" s="53"/>
      <c r="BD148" s="53"/>
      <c r="BE148" s="53"/>
      <c r="BF148" s="53"/>
      <c r="BG148" s="53"/>
      <c r="BH148" s="53"/>
      <c r="BI148" s="53"/>
      <c r="BJ148" s="53"/>
      <c r="BK148" s="53"/>
      <c r="BL148" s="53"/>
      <c r="BM148" s="53"/>
      <c r="BN148" s="53"/>
      <c r="BO148" s="53"/>
      <c r="BP148" s="53"/>
      <c r="BQ148" s="53"/>
      <c r="BR148" s="53"/>
      <c r="BS148" s="53"/>
      <c r="BT148" s="53"/>
      <c r="BU148" s="53"/>
      <c r="BV148" s="53"/>
      <c r="BW148" s="53"/>
      <c r="BX148" s="53"/>
      <c r="BY148" s="53"/>
      <c r="BZ148" s="53"/>
      <c r="CA148" s="53"/>
      <c r="CB148" s="53"/>
      <c r="CC148" s="53"/>
      <c r="CD148" s="53"/>
      <c r="CE148" s="53"/>
      <c r="CF148" s="53"/>
      <c r="CG148" s="53"/>
      <c r="CH148" s="53"/>
      <c r="CI148" s="53"/>
      <c r="CJ148" s="53"/>
      <c r="CK148" s="53"/>
      <c r="CL148" s="53"/>
      <c r="CM148" s="53"/>
      <c r="CN148" s="53"/>
      <c r="CO148" s="53"/>
      <c r="CP148" s="53"/>
      <c r="CQ148" s="53"/>
      <c r="CR148" s="1"/>
      <c r="CS148" s="1"/>
      <c r="CT148" s="1"/>
      <c r="CU148" s="1"/>
    </row>
    <row r="149" spans="1:99" s="13" customFormat="1" ht="12" customHeight="1" x14ac:dyDescent="0.2">
      <c r="A149" s="65">
        <v>43509</v>
      </c>
      <c r="B149" s="1" t="s">
        <v>145</v>
      </c>
      <c r="C149" s="1" t="s">
        <v>239</v>
      </c>
      <c r="D149" s="60">
        <v>1972</v>
      </c>
      <c r="E149" s="75">
        <v>1</v>
      </c>
      <c r="F149" s="60">
        <v>180</v>
      </c>
      <c r="G149" s="60">
        <v>15</v>
      </c>
      <c r="H149" s="60" t="s">
        <v>22</v>
      </c>
      <c r="I149" s="74">
        <v>1</v>
      </c>
      <c r="J149" s="60" t="s">
        <v>146</v>
      </c>
      <c r="K149" s="60">
        <f>IF(J149="syllables",1,IF(J149="trigrams",2,IF(J149="strings",3,IF(J149="visual array",4,IF(J149="characters",5,IF(J149="letters",6,IF(J149="free forms",7,IF(J149="odors",8,IF(J149="words",9,IF(J149="pictures",10,IF(J149="object pictures",11,IF(J149="faces",12,IF(J149="names",13,IF(J149="idioms",14,IF(J149="grades",15,IF(J149="syllable-digit pairs",16,IF(J149="trigram-word pairs",17,IF(J149="word-digit pairs",18,IF(J149="English-Swahili pairs",19,IF(J149="spatial position",20,IF(J149="word pairs",21,IF(J149="word triads",22,IF(J149="generated words",23,IF(J149="word definition pairs",24,IF(J149="math problems",25,IF(J149="famous faces",26,IF(J149="famous names",27,IF(J149="famous voices",28,IF(J149="television programs",29,IF(J149="race horses",30,IF(J149="new vocabulary",31,IF(J149="sentences",32,IF(J149="concepts",33,IF(J149="ad slides",34,IF(J149="scenes",35,IF(J149="famous scenes",36,IF(J149="poems",37,IF(J149="walk",38,IF(J149="faces and events",39,IF(J149="events and names",40,IF(J149="flashbulb",41,IF(J149="stories",42,IF(J149="course material",43,IF(J149="autobiographical",44,IF(J149="novels",45,IF(J149="public events",46,"99"))))))))))))))))))))))))))))))))))))))))))))))</f>
        <v>34</v>
      </c>
      <c r="L149" s="60">
        <f>IF(J149="syllables",1,IF(J149="trigrams",1,IF(J149="strings",1,IF(J149="visual array",1,IF(J149="characters",1,IF(J149="letters",1,IF(J149="free forms",1,IF(J149="odors",2,IF(J149="words",2,IF(J149="pictures",2,IF(J149="object pictures",2,IF(J149="faces",2,IF(J149="names",2,IF(J149="idioms","2",IF(J149="grades",2,IF(J149="syllable-digit pairs",3,IF(J149="trigram-word pairs",3,IF(J149="word-digit pairs",3,IF(J149="English-Swahili pairs",3,IF(J149="spatial position",3,IF(J149="word pairs",4,IF(J149="word triads",4,IF(J149="generated words",4,IF(J149="word definition pairs",4,IF(J149="math problems",4,IF(J149="famous faces",4,IF(J149="famous names",4,IF(J149="famous voices",4,IF(J149="television programs",4,IF(J149="race horses",4,IF(J149="new vocabulary",4,IF(J149="sentences",5,IF(J149="concepts",5,IF(J149="ad slides",5,IF(J149="scenes",5,IF(J149="famous scenes",5,IF(J149="poems",6,IF(J149="walk",6,IF(J149="faces and events",6,IF(J149="events and names",6,IF(J149="flashbulb",7,IF(J149="stories",7,IF(J149="course material",7,IF(J149="autobiographical",7,IF(J149="novels",7,IF(J149="public events",7,"99"))))))))))))))))))))))))))))))))))))))))))))))</f>
        <v>5</v>
      </c>
      <c r="M149" s="60">
        <v>1</v>
      </c>
      <c r="N149" s="60">
        <v>4</v>
      </c>
      <c r="O149" s="60">
        <v>0</v>
      </c>
      <c r="P149" s="60"/>
      <c r="Q149" s="60" t="s">
        <v>174</v>
      </c>
      <c r="R149" s="60">
        <f>IF(Q149="Free Recall",1,IF(Q149="Cued Recall",2,IF(Q149="Recognition",3,IF(Q149="Multiple Choice",4,IF(Q149="Savings",5,IF(Q149="Stem Completion",6,IF(Q149="Fragment Completion",7,IF(Q149="anagram solution",8,IF(Q149="Matching",9,IF(Q149="Problem Solving",10,"99"))))))))))</f>
        <v>1</v>
      </c>
      <c r="S149" s="60" t="s">
        <v>49</v>
      </c>
      <c r="T149" s="59" t="s">
        <v>261</v>
      </c>
      <c r="U149" s="60">
        <f>IF(T149="within",1,0)</f>
        <v>0</v>
      </c>
      <c r="V149" s="59">
        <v>100</v>
      </c>
      <c r="W149" s="60">
        <f>F149*V149</f>
        <v>18000</v>
      </c>
      <c r="X149" s="60">
        <v>4</v>
      </c>
      <c r="Y149" s="76">
        <f>AV148</f>
        <v>30</v>
      </c>
      <c r="Z149" s="60" t="s">
        <v>140</v>
      </c>
      <c r="AA149" s="60">
        <v>2419200</v>
      </c>
      <c r="AB149" s="60" t="str">
        <f>IF(AA149&lt;60,"1",IF(AA149&lt;=43200,"2",IF(AA149&lt;=777600,"3","4")))</f>
        <v>4</v>
      </c>
      <c r="AC149" s="56">
        <f>AVERAGE(AV148:DA148)</f>
        <v>777629.1</v>
      </c>
      <c r="AD149" s="60" t="str">
        <f>IF(AC149&lt;60,"1",IF(AC149&lt;=43200,"2",IF(AC149&lt;=777600,"3","4")))</f>
        <v>4</v>
      </c>
      <c r="AE149" s="76">
        <f>AA149-Y149</f>
        <v>2419170</v>
      </c>
      <c r="AF149" s="80">
        <f>AV149</f>
        <v>0.86699999999999999</v>
      </c>
      <c r="AG149" s="56">
        <f>((AW149-AV149)+(AX149-AW149)+(AY149-AX149))/3</f>
        <v>-0.21299999999999999</v>
      </c>
      <c r="AH149" s="4"/>
      <c r="AI149" s="56">
        <f>RSQ(AV149:AY149,AV148:AY148)</f>
        <v>0.62864030459507081</v>
      </c>
      <c r="AJ149" s="109">
        <f>SLOPE(AV149:AY149,AV148:AY148)</f>
        <v>-1.8911662175934427E-7</v>
      </c>
      <c r="AK149" s="56">
        <f>INTERCEPT(AV149:AY149,AV148:AY148)</f>
        <v>0.64981258837375933</v>
      </c>
      <c r="AL149" s="56">
        <f>INDEX(LINEST(LN(AV149:AY149),LN(AV148:AY148),TRUE,TRUE),3,1)</f>
        <v>0.84006674222292355</v>
      </c>
      <c r="AM149" s="56">
        <f>INDEX(LINEST(LN(AV149:AY149),LN(AV148:AY148)),1)</f>
        <v>-0.10015218682287769</v>
      </c>
      <c r="AN149" s="56">
        <f>EXP(INDEX(LINEST(LN(AV149:AY149),LN(AV148:AY148)),1,2))</f>
        <v>1.3135980196836357</v>
      </c>
      <c r="AO149" s="82">
        <f>INDEX(LINEST((AV149:AY149),LN(AV148:AY148),TRUE,TRUE),3,1)</f>
        <v>0.9630376958357586</v>
      </c>
      <c r="AP149" s="82">
        <f>INDEX(LINEST((AV149:AY149),LN(AV148:AY148)),1)</f>
        <v>-5.2204405995874052E-2</v>
      </c>
      <c r="AQ149" s="83">
        <f>INDEX(LINEST(LN(AV149:AY149),SQRT(AV148:AY148),TRUE,TRUE),3,1)</f>
        <v>0.94508527845528278</v>
      </c>
      <c r="AR149" s="116">
        <f>INDEX(LINEST(LN(AV149:AY149),SQRT((AV148:AY148))),1)</f>
        <v>-7.9172320515512773E-4</v>
      </c>
      <c r="AS149" s="84">
        <f>INDEX(LINEST(1/(AV149:AY149),1/(SQRT(AV148:AY148)),TRUE,TRUE),3,1)</f>
        <v>0.43113389714341349</v>
      </c>
      <c r="AT149" s="84">
        <f>INDEX(LINEST(1/(AV149:AY149),1/SQRT(AV148:AY148)),1)</f>
        <v>-9.962089865177095</v>
      </c>
      <c r="AU149" s="3"/>
      <c r="AV149" s="53">
        <v>0.86699999999999999</v>
      </c>
      <c r="AW149" s="53">
        <v>0.505</v>
      </c>
      <c r="AX149" s="53">
        <v>0.41099999999999998</v>
      </c>
      <c r="AY149" s="53">
        <v>0.22800000000000001</v>
      </c>
      <c r="AZ149" s="53"/>
      <c r="BA149" s="53"/>
      <c r="BB149" s="53"/>
      <c r="BC149" s="53"/>
      <c r="BD149" s="53"/>
      <c r="BE149" s="53"/>
      <c r="BF149" s="53"/>
      <c r="BG149" s="53"/>
      <c r="BH149" s="53"/>
      <c r="BI149" s="53"/>
      <c r="BJ149" s="53"/>
      <c r="BK149" s="53"/>
      <c r="BL149" s="53"/>
      <c r="BM149" s="53"/>
      <c r="BN149" s="53"/>
      <c r="BO149" s="53"/>
      <c r="BP149" s="53"/>
      <c r="BQ149" s="53"/>
      <c r="BR149" s="53"/>
      <c r="BS149" s="53"/>
      <c r="BT149" s="53"/>
      <c r="BU149" s="53"/>
      <c r="BV149" s="53"/>
      <c r="BW149" s="53"/>
      <c r="BX149" s="53"/>
      <c r="BY149" s="53"/>
      <c r="BZ149" s="53"/>
      <c r="CA149" s="53"/>
      <c r="CB149" s="53"/>
      <c r="CC149" s="53"/>
      <c r="CD149" s="53"/>
      <c r="CE149" s="53"/>
      <c r="CF149" s="53"/>
      <c r="CG149" s="53"/>
      <c r="CH149" s="53"/>
      <c r="CI149" s="53"/>
      <c r="CJ149" s="53"/>
      <c r="CK149" s="53"/>
      <c r="CL149" s="53"/>
      <c r="CM149" s="53"/>
      <c r="CN149" s="53"/>
      <c r="CO149" s="53"/>
      <c r="CP149" s="53"/>
      <c r="CQ149" s="53"/>
      <c r="CR149" s="1"/>
      <c r="CS149" s="1"/>
      <c r="CT149" s="1"/>
      <c r="CU149" s="1"/>
    </row>
    <row r="150" spans="1:99" s="13" customFormat="1" ht="12" customHeight="1" x14ac:dyDescent="0.2">
      <c r="A150" s="65">
        <v>43509</v>
      </c>
      <c r="B150" s="1"/>
      <c r="C150" s="1"/>
      <c r="D150" s="60"/>
      <c r="E150" s="76"/>
      <c r="F150" s="60"/>
      <c r="G150" s="60"/>
      <c r="H150" s="60"/>
      <c r="I150" s="74"/>
      <c r="J150" s="60"/>
      <c r="K150" s="64"/>
      <c r="L150" s="64"/>
      <c r="M150" s="60"/>
      <c r="N150" s="60"/>
      <c r="O150" s="60"/>
      <c r="P150" s="60"/>
      <c r="Q150" s="60"/>
      <c r="R150" s="60"/>
      <c r="S150" s="60"/>
      <c r="T150" s="60"/>
      <c r="U150" s="60"/>
      <c r="V150" s="60"/>
      <c r="W150" s="60"/>
      <c r="X150" s="60"/>
      <c r="Y150" s="76"/>
      <c r="Z150" s="60"/>
      <c r="AA150" s="60"/>
      <c r="AB150" s="60"/>
      <c r="AC150" s="60"/>
      <c r="AD150" s="60"/>
      <c r="AE150" s="60"/>
      <c r="AF150" s="80"/>
      <c r="AG150" s="56"/>
      <c r="AH150" s="4"/>
      <c r="AI150" s="56"/>
      <c r="AJ150" s="109"/>
      <c r="AK150" s="56"/>
      <c r="AL150" s="56"/>
      <c r="AM150" s="56"/>
      <c r="AN150" s="56"/>
      <c r="AO150" s="56"/>
      <c r="AP150" s="56"/>
      <c r="AQ150" s="56"/>
      <c r="AR150" s="109"/>
      <c r="AS150" s="56"/>
      <c r="AT150" s="56"/>
      <c r="AU150" s="4"/>
      <c r="AV150" s="25">
        <v>30</v>
      </c>
      <c r="AW150" s="25">
        <f>7*24*60*60*0.143</f>
        <v>86486.399999999994</v>
      </c>
      <c r="AX150" s="25">
        <f>7*24*60*60*1</f>
        <v>604800</v>
      </c>
      <c r="AY150" s="25">
        <f>7*24*60*60*4</f>
        <v>2419200</v>
      </c>
      <c r="AZ150" s="53"/>
      <c r="BA150" s="53"/>
      <c r="BB150" s="53"/>
      <c r="BC150" s="53"/>
      <c r="BD150" s="53"/>
      <c r="BE150" s="53"/>
      <c r="BF150" s="53"/>
      <c r="BG150" s="53"/>
      <c r="BH150" s="53"/>
      <c r="BI150" s="53"/>
      <c r="BJ150" s="53"/>
      <c r="BK150" s="53"/>
      <c r="BL150" s="53"/>
      <c r="BM150" s="53"/>
      <c r="BN150" s="53"/>
      <c r="BO150" s="53"/>
      <c r="BP150" s="53"/>
      <c r="BQ150" s="53"/>
      <c r="BR150" s="53"/>
      <c r="BS150" s="53"/>
      <c r="BT150" s="53"/>
      <c r="BU150" s="53"/>
      <c r="BV150" s="53"/>
      <c r="BW150" s="53"/>
      <c r="BX150" s="53"/>
      <c r="BY150" s="53"/>
      <c r="BZ150" s="53"/>
      <c r="CA150" s="53"/>
      <c r="CB150" s="53"/>
      <c r="CC150" s="53"/>
      <c r="CD150" s="53"/>
      <c r="CE150" s="53"/>
      <c r="CF150" s="53"/>
      <c r="CG150" s="53"/>
      <c r="CH150" s="53"/>
      <c r="CI150" s="53"/>
      <c r="CJ150" s="53"/>
      <c r="CK150" s="53"/>
      <c r="CL150" s="53"/>
      <c r="CM150" s="53"/>
      <c r="CN150" s="53"/>
      <c r="CO150" s="53"/>
      <c r="CP150" s="53"/>
      <c r="CQ150" s="53"/>
      <c r="CR150" s="1"/>
      <c r="CS150" s="1"/>
      <c r="CT150" s="1"/>
      <c r="CU150" s="1"/>
    </row>
    <row r="151" spans="1:99" s="13" customFormat="1" ht="12" customHeight="1" x14ac:dyDescent="0.2">
      <c r="A151" s="65">
        <v>43509</v>
      </c>
      <c r="B151" s="1" t="s">
        <v>145</v>
      </c>
      <c r="C151" s="1" t="s">
        <v>239</v>
      </c>
      <c r="D151" s="60">
        <v>1972</v>
      </c>
      <c r="E151" s="75">
        <v>1</v>
      </c>
      <c r="F151" s="60">
        <v>180</v>
      </c>
      <c r="G151" s="60">
        <v>15</v>
      </c>
      <c r="H151" s="60" t="s">
        <v>22</v>
      </c>
      <c r="I151" s="74">
        <v>2</v>
      </c>
      <c r="J151" s="60" t="s">
        <v>146</v>
      </c>
      <c r="K151" s="60">
        <f>IF(J151="syllables",1,IF(J151="trigrams",2,IF(J151="strings",3,IF(J151="visual array",4,IF(J151="characters",5,IF(J151="letters",6,IF(J151="free forms",7,IF(J151="odors",8,IF(J151="words",9,IF(J151="pictures",10,IF(J151="object pictures",11,IF(J151="faces",12,IF(J151="names",13,IF(J151="idioms",14,IF(J151="grades",15,IF(J151="syllable-digit pairs",16,IF(J151="trigram-word pairs",17,IF(J151="word-digit pairs",18,IF(J151="English-Swahili pairs",19,IF(J151="spatial position",20,IF(J151="word pairs",21,IF(J151="word triads",22,IF(J151="generated words",23,IF(J151="word definition pairs",24,IF(J151="math problems",25,IF(J151="famous faces",26,IF(J151="famous names",27,IF(J151="famous voices",28,IF(J151="television programs",29,IF(J151="race horses",30,IF(J151="new vocabulary",31,IF(J151="sentences",32,IF(J151="concepts",33,IF(J151="ad slides",34,IF(J151="scenes",35,IF(J151="famous scenes",36,IF(J151="poems",37,IF(J151="walk",38,IF(J151="faces and events",39,IF(J151="events and names",40,IF(J151="flashbulb",41,IF(J151="stories",42,IF(J151="course material",43,IF(J151="autobiographical",44,IF(J151="novels",45,IF(J151="public events",46,"99"))))))))))))))))))))))))))))))))))))))))))))))</f>
        <v>34</v>
      </c>
      <c r="L151" s="60">
        <f>IF(J151="syllables",1,IF(J151="trigrams",1,IF(J151="strings",1,IF(J151="visual array",1,IF(J151="characters",1,IF(J151="letters",1,IF(J151="free forms",1,IF(J151="odors",2,IF(J151="words",2,IF(J151="pictures",2,IF(J151="object pictures",2,IF(J151="faces",2,IF(J151="names",2,IF(J151="idioms","2",IF(J151="grades",2,IF(J151="syllable-digit pairs",3,IF(J151="trigram-word pairs",3,IF(J151="word-digit pairs",3,IF(J151="English-Swahili pairs",3,IF(J151="spatial position",3,IF(J151="word pairs",4,IF(J151="word triads",4,IF(J151="generated words",4,IF(J151="word definition pairs",4,IF(J151="math problems",4,IF(J151="famous faces",4,IF(J151="famous names",4,IF(J151="famous voices",4,IF(J151="television programs",4,IF(J151="race horses",4,IF(J151="new vocabulary",4,IF(J151="sentences",5,IF(J151="concepts",5,IF(J151="ad slides",5,IF(J151="scenes",5,IF(J151="famous scenes",5,IF(J151="poems",6,IF(J151="walk",6,IF(J151="faces and events",6,IF(J151="events and names",6,IF(J151="flashbulb",7,IF(J151="stories",7,IF(J151="course material",7,IF(J151="autobiographical",7,IF(J151="novels",7,IF(J151="public events",7,"99"))))))))))))))))))))))))))))))))))))))))))))))</f>
        <v>5</v>
      </c>
      <c r="M151" s="60">
        <v>1</v>
      </c>
      <c r="N151" s="60">
        <v>4</v>
      </c>
      <c r="O151" s="60">
        <v>0</v>
      </c>
      <c r="P151" s="60"/>
      <c r="Q151" s="60" t="s">
        <v>174</v>
      </c>
      <c r="R151" s="60">
        <f>IF(Q151="Free Recall",1,IF(Q151="Cued Recall",2,IF(Q151="Recognition",3,IF(Q151="Multiple Choice",4,IF(Q151="Savings",5,IF(Q151="Stem Completion",6,IF(Q151="Fragment Completion",7,IF(Q151="anagram solution",8,IF(Q151="Matching",9,IF(Q151="Problem Solving",10,"99"))))))))))</f>
        <v>1</v>
      </c>
      <c r="S151" s="60" t="s">
        <v>49</v>
      </c>
      <c r="T151" s="59" t="s">
        <v>261</v>
      </c>
      <c r="U151" s="60">
        <f>IF(T151="within",1,0)</f>
        <v>0</v>
      </c>
      <c r="V151" s="59">
        <v>100</v>
      </c>
      <c r="W151" s="60">
        <f>F151*V151</f>
        <v>18000</v>
      </c>
      <c r="X151" s="60">
        <v>4</v>
      </c>
      <c r="Y151" s="76">
        <f>AV150</f>
        <v>30</v>
      </c>
      <c r="Z151" s="60" t="s">
        <v>140</v>
      </c>
      <c r="AA151" s="60">
        <v>2419200</v>
      </c>
      <c r="AB151" s="60" t="str">
        <f>IF(AA151&lt;60,"1",IF(AA151&lt;=43200,"2",IF(AA151&lt;=777600,"3","4")))</f>
        <v>4</v>
      </c>
      <c r="AC151" s="56">
        <f>AVERAGE(AV150:DA150)</f>
        <v>777629.1</v>
      </c>
      <c r="AD151" s="60" t="str">
        <f>IF(AC151&lt;60,"1",IF(AC151&lt;=43200,"2",IF(AC151&lt;=777600,"3","4")))</f>
        <v>4</v>
      </c>
      <c r="AE151" s="76">
        <f>AA151-Y151</f>
        <v>2419170</v>
      </c>
      <c r="AF151" s="80">
        <f>AV151</f>
        <v>0.85599999999999998</v>
      </c>
      <c r="AG151" s="56">
        <f>((AW151-AV151)+(AX151-AW151)+(AY151-AX151))/3</f>
        <v>-0.15566666666666665</v>
      </c>
      <c r="AH151" s="4"/>
      <c r="AI151" s="56">
        <f>RSQ(AV151:AY151,AV150:AY150)</f>
        <v>0.69683533394613073</v>
      </c>
      <c r="AJ151" s="109">
        <f>SLOPE(AV151:AY151,AV150:AY150)</f>
        <v>-1.6274292294496232E-7</v>
      </c>
      <c r="AK151" s="56">
        <f>INTERCEPT(AV151:AY151,AV150:AY150)</f>
        <v>0.74080363270106031</v>
      </c>
      <c r="AL151" s="56">
        <f>INDEX(LINEST(LN(AV151:AY151),LN(AV150:AY150),TRUE,TRUE),3,1)</f>
        <v>0.73500283927905408</v>
      </c>
      <c r="AM151" s="56">
        <f>INDEX(LINEST(LN(AV151:AY151),LN(AV150:AY150)),1)</f>
        <v>-6.2836858409418064E-2</v>
      </c>
      <c r="AN151" s="56">
        <f>EXP(INDEX(LINEST(LN(AV151:AY151),LN(AV150:AY150)),1,2))</f>
        <v>1.1437978449171717</v>
      </c>
      <c r="AO151" s="82">
        <f>INDEX(LINEST((AV151:AY151),LN(AV150:AY150),TRUE,TRUE),3,1)</f>
        <v>0.78635076782022006</v>
      </c>
      <c r="AP151" s="82">
        <f>INDEX(LINEST((AV151:AY151),LN(AV150:AY150)),1)</f>
        <v>-3.855690027265319E-2</v>
      </c>
      <c r="AQ151" s="83">
        <f>INDEX(LINEST(LN(AV151:AY151),SQRT(AV150:AY150),TRUE,TRUE),3,1)</f>
        <v>0.92790621408383245</v>
      </c>
      <c r="AR151" s="116">
        <f>INDEX(LINEST(LN(AV151:AY151),SQRT((AV150:AY150))),1)</f>
        <v>-5.2620664900167704E-4</v>
      </c>
      <c r="AS151" s="84">
        <f>INDEX(LINEST(1/(AV151:AY151),1/(SQRT(AV150:AY150)),TRUE,TRUE),3,1)</f>
        <v>0.42683767963701036</v>
      </c>
      <c r="AT151" s="84">
        <f>INDEX(LINEST(1/(AV151:AY151),1/SQRT(AV150:AY150)),1)</f>
        <v>-4.7414281196427925</v>
      </c>
      <c r="AU151" s="3"/>
      <c r="AV151" s="53">
        <v>0.85599999999999998</v>
      </c>
      <c r="AW151" s="53">
        <v>0.73899999999999999</v>
      </c>
      <c r="AX151" s="53">
        <v>0.47299999999999998</v>
      </c>
      <c r="AY151" s="53">
        <v>0.38900000000000001</v>
      </c>
      <c r="AZ151" s="53"/>
      <c r="BA151" s="53"/>
      <c r="BB151" s="53"/>
      <c r="BC151" s="53"/>
      <c r="BD151" s="53"/>
      <c r="BE151" s="53"/>
      <c r="BF151" s="53"/>
      <c r="BG151" s="53"/>
      <c r="BH151" s="53"/>
      <c r="BI151" s="53"/>
      <c r="BJ151" s="53"/>
      <c r="BK151" s="53"/>
      <c r="BL151" s="53"/>
      <c r="BM151" s="53"/>
      <c r="BN151" s="53"/>
      <c r="BO151" s="53"/>
      <c r="BP151" s="53"/>
      <c r="BQ151" s="53"/>
      <c r="BR151" s="53"/>
      <c r="BS151" s="53"/>
      <c r="BT151" s="53"/>
      <c r="BU151" s="53"/>
      <c r="BV151" s="53"/>
      <c r="BW151" s="53"/>
      <c r="BX151" s="53"/>
      <c r="BY151" s="53"/>
      <c r="BZ151" s="53"/>
      <c r="CA151" s="53"/>
      <c r="CB151" s="53"/>
      <c r="CC151" s="53"/>
      <c r="CD151" s="53"/>
      <c r="CE151" s="53"/>
      <c r="CF151" s="53"/>
      <c r="CG151" s="53"/>
      <c r="CH151" s="53"/>
      <c r="CI151" s="53"/>
      <c r="CJ151" s="53"/>
      <c r="CK151" s="53"/>
      <c r="CL151" s="53"/>
      <c r="CM151" s="53"/>
      <c r="CN151" s="53"/>
      <c r="CO151" s="53"/>
      <c r="CP151" s="53"/>
      <c r="CQ151" s="53"/>
      <c r="CR151" s="1"/>
      <c r="CS151" s="1"/>
      <c r="CT151" s="1"/>
      <c r="CU151" s="1"/>
    </row>
    <row r="152" spans="1:99" s="13" customFormat="1" ht="12" customHeight="1" x14ac:dyDescent="0.2">
      <c r="A152" s="65">
        <v>43509</v>
      </c>
      <c r="B152" s="1"/>
      <c r="C152" s="1"/>
      <c r="D152" s="60"/>
      <c r="E152" s="76"/>
      <c r="F152" s="60"/>
      <c r="G152" s="60"/>
      <c r="H152" s="60"/>
      <c r="I152" s="74"/>
      <c r="J152" s="60"/>
      <c r="K152" s="64"/>
      <c r="L152" s="64"/>
      <c r="M152" s="60"/>
      <c r="N152" s="60"/>
      <c r="O152" s="60"/>
      <c r="P152" s="60"/>
      <c r="Q152" s="60"/>
      <c r="R152" s="60"/>
      <c r="S152" s="60"/>
      <c r="T152" s="60"/>
      <c r="U152" s="60"/>
      <c r="V152" s="60"/>
      <c r="W152" s="60"/>
      <c r="X152" s="60"/>
      <c r="Y152" s="76"/>
      <c r="Z152" s="60"/>
      <c r="AA152" s="60"/>
      <c r="AB152" s="60"/>
      <c r="AC152" s="60"/>
      <c r="AD152" s="60"/>
      <c r="AE152" s="60"/>
      <c r="AF152" s="80"/>
      <c r="AG152" s="56"/>
      <c r="AH152" s="4"/>
      <c r="AI152" s="56"/>
      <c r="AJ152" s="109"/>
      <c r="AK152" s="56"/>
      <c r="AL152" s="56"/>
      <c r="AM152" s="56"/>
      <c r="AN152" s="56"/>
      <c r="AO152" s="56"/>
      <c r="AP152" s="56"/>
      <c r="AQ152" s="56"/>
      <c r="AR152" s="109"/>
      <c r="AS152" s="56"/>
      <c r="AT152" s="56"/>
      <c r="AU152" s="4"/>
      <c r="AV152" s="25">
        <v>30</v>
      </c>
      <c r="AW152" s="25">
        <f>7*24*60*60*0.143</f>
        <v>86486.399999999994</v>
      </c>
      <c r="AX152" s="25">
        <f>7*24*60*60*1</f>
        <v>604800</v>
      </c>
      <c r="AY152" s="25">
        <f>7*24*60*60*4</f>
        <v>2419200</v>
      </c>
      <c r="AZ152" s="53"/>
      <c r="BA152" s="53"/>
      <c r="BB152" s="53"/>
      <c r="BC152" s="53"/>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53"/>
      <c r="BZ152" s="53"/>
      <c r="CA152" s="53"/>
      <c r="CB152" s="53"/>
      <c r="CC152" s="53"/>
      <c r="CD152" s="53"/>
      <c r="CE152" s="53"/>
      <c r="CF152" s="53"/>
      <c r="CG152" s="53"/>
      <c r="CH152" s="53"/>
      <c r="CI152" s="53"/>
      <c r="CJ152" s="53"/>
      <c r="CK152" s="53"/>
      <c r="CL152" s="53"/>
      <c r="CM152" s="53"/>
      <c r="CN152" s="53"/>
      <c r="CO152" s="53"/>
      <c r="CP152" s="53"/>
      <c r="CQ152" s="53"/>
      <c r="CR152" s="1"/>
      <c r="CS152" s="1"/>
      <c r="CT152" s="1"/>
      <c r="CU152" s="1"/>
    </row>
    <row r="153" spans="1:99" s="13" customFormat="1" ht="12" customHeight="1" x14ac:dyDescent="0.2">
      <c r="A153" s="65">
        <v>43509</v>
      </c>
      <c r="B153" s="1" t="s">
        <v>145</v>
      </c>
      <c r="C153" s="1" t="s">
        <v>239</v>
      </c>
      <c r="D153" s="60">
        <v>1972</v>
      </c>
      <c r="E153" s="75">
        <v>1</v>
      </c>
      <c r="F153" s="60">
        <v>180</v>
      </c>
      <c r="G153" s="60">
        <v>15</v>
      </c>
      <c r="H153" s="60" t="s">
        <v>22</v>
      </c>
      <c r="I153" s="74">
        <v>3</v>
      </c>
      <c r="J153" s="60" t="s">
        <v>146</v>
      </c>
      <c r="K153" s="60">
        <f>IF(J153="syllables",1,IF(J153="trigrams",2,IF(J153="strings",3,IF(J153="visual array",4,IF(J153="characters",5,IF(J153="letters",6,IF(J153="free forms",7,IF(J153="odors",8,IF(J153="words",9,IF(J153="pictures",10,IF(J153="object pictures",11,IF(J153="faces",12,IF(J153="names",13,IF(J153="idioms",14,IF(J153="grades",15,IF(J153="syllable-digit pairs",16,IF(J153="trigram-word pairs",17,IF(J153="word-digit pairs",18,IF(J153="English-Swahili pairs",19,IF(J153="spatial position",20,IF(J153="word pairs",21,IF(J153="word triads",22,IF(J153="generated words",23,IF(J153="word definition pairs",24,IF(J153="math problems",25,IF(J153="famous faces",26,IF(J153="famous names",27,IF(J153="famous voices",28,IF(J153="television programs",29,IF(J153="race horses",30,IF(J153="new vocabulary",31,IF(J153="sentences",32,IF(J153="concepts",33,IF(J153="ad slides",34,IF(J153="scenes",35,IF(J153="famous scenes",36,IF(J153="poems",37,IF(J153="walk",38,IF(J153="faces and events",39,IF(J153="events and names",40,IF(J153="flashbulb",41,IF(J153="stories",42,IF(J153="course material",43,IF(J153="autobiographical",44,IF(J153="novels",45,IF(J153="public events",46,"99"))))))))))))))))))))))))))))))))))))))))))))))</f>
        <v>34</v>
      </c>
      <c r="L153" s="60">
        <f>IF(J153="syllables",1,IF(J153="trigrams",1,IF(J153="strings",1,IF(J153="visual array",1,IF(J153="characters",1,IF(J153="letters",1,IF(J153="free forms",1,IF(J153="odors",2,IF(J153="words",2,IF(J153="pictures",2,IF(J153="object pictures",2,IF(J153="faces",2,IF(J153="names",2,IF(J153="idioms","2",IF(J153="grades",2,IF(J153="syllable-digit pairs",3,IF(J153="trigram-word pairs",3,IF(J153="word-digit pairs",3,IF(J153="English-Swahili pairs",3,IF(J153="spatial position",3,IF(J153="word pairs",4,IF(J153="word triads",4,IF(J153="generated words",4,IF(J153="word definition pairs",4,IF(J153="math problems",4,IF(J153="famous faces",4,IF(J153="famous names",4,IF(J153="famous voices",4,IF(J153="television programs",4,IF(J153="race horses",4,IF(J153="new vocabulary",4,IF(J153="sentences",5,IF(J153="concepts",5,IF(J153="ad slides",5,IF(J153="scenes",5,IF(J153="famous scenes",5,IF(J153="poems",6,IF(J153="walk",6,IF(J153="faces and events",6,IF(J153="events and names",6,IF(J153="flashbulb",7,IF(J153="stories",7,IF(J153="course material",7,IF(J153="autobiographical",7,IF(J153="novels",7,IF(J153="public events",7,"99"))))))))))))))))))))))))))))))))))))))))))))))</f>
        <v>5</v>
      </c>
      <c r="M153" s="60">
        <v>1</v>
      </c>
      <c r="N153" s="60">
        <v>4</v>
      </c>
      <c r="O153" s="60">
        <v>0</v>
      </c>
      <c r="P153" s="60"/>
      <c r="Q153" s="60" t="s">
        <v>174</v>
      </c>
      <c r="R153" s="60">
        <f>IF(Q153="Free Recall",1,IF(Q153="Cued Recall",2,IF(Q153="Recognition",3,IF(Q153="Multiple Choice",4,IF(Q153="Savings",5,IF(Q153="Stem Completion",6,IF(Q153="Fragment Completion",7,IF(Q153="anagram solution",8,IF(Q153="Matching",9,IF(Q153="Problem Solving",10,"99"))))))))))</f>
        <v>1</v>
      </c>
      <c r="S153" s="60" t="s">
        <v>49</v>
      </c>
      <c r="T153" s="59" t="s">
        <v>261</v>
      </c>
      <c r="U153" s="60">
        <f>IF(T153="within",1,0)</f>
        <v>0</v>
      </c>
      <c r="V153" s="59">
        <v>100</v>
      </c>
      <c r="W153" s="60">
        <f>F153*V153</f>
        <v>18000</v>
      </c>
      <c r="X153" s="60">
        <v>4</v>
      </c>
      <c r="Y153" s="76">
        <f>AV152</f>
        <v>30</v>
      </c>
      <c r="Z153" s="60" t="s">
        <v>140</v>
      </c>
      <c r="AA153" s="60">
        <v>2419200</v>
      </c>
      <c r="AB153" s="60" t="str">
        <f>IF(AA153&lt;60,"1",IF(AA153&lt;=43200,"2",IF(AA153&lt;=777600,"3","4")))</f>
        <v>4</v>
      </c>
      <c r="AC153" s="56">
        <f>AVERAGE(AV152:DA152)</f>
        <v>777629.1</v>
      </c>
      <c r="AD153" s="60" t="str">
        <f>IF(AC153&lt;60,"1",IF(AC153&lt;=43200,"2",IF(AC153&lt;=777600,"3","4")))</f>
        <v>4</v>
      </c>
      <c r="AE153" s="76">
        <f>AA153-Y153</f>
        <v>2419170</v>
      </c>
      <c r="AF153" s="80">
        <f>AV153</f>
        <v>0.82799999999999996</v>
      </c>
      <c r="AG153" s="56">
        <f>((AW153-AV153)+(AX153-AW153)+(AY153-AX153))/3</f>
        <v>-0.17400000000000002</v>
      </c>
      <c r="AH153" s="4"/>
      <c r="AI153" s="56">
        <f>RSQ(AV153:AY153,AV152:AY152)</f>
        <v>0.85725034417509094</v>
      </c>
      <c r="AJ153" s="109">
        <f>SLOPE(AV153:AY153,AV152:AY152)</f>
        <v>-1.7652086225735336E-7</v>
      </c>
      <c r="AK153" s="56">
        <f>INTERCEPT(AV153:AY153,AV152:AY152)</f>
        <v>0.72101775924840961</v>
      </c>
      <c r="AL153" s="56">
        <f>INDEX(LINEST(LN(AV153:AY153),LN(AV152:AY152),TRUE,TRUE),3,1)</f>
        <v>0.64671078413454564</v>
      </c>
      <c r="AM153" s="56">
        <f>INDEX(LINEST(LN(AV153:AY153),LN(AV152:AY152)),1)</f>
        <v>-6.6866453136152262E-2</v>
      </c>
      <c r="AN153" s="56">
        <f>EXP(INDEX(LINEST(LN(AV153:AY153),LN(AV152:AY152)),1,2))</f>
        <v>1.1236363105767653</v>
      </c>
      <c r="AO153" s="82">
        <f>INDEX(LINEST((AV153:AY153),LN(AV152:AY152),TRUE,TRUE),3,1)</f>
        <v>0.78439809243611403</v>
      </c>
      <c r="AP153" s="82">
        <f>INDEX(LINEST((AV153:AY153),LN(AV152:AY152)),1)</f>
        <v>-3.7658879615104994E-2</v>
      </c>
      <c r="AQ153" s="83">
        <f>INDEX(LINEST(LN(AV153:AY153),SQRT(AV152:AY152),TRUE,TRUE),3,1)</f>
        <v>0.95064431348654532</v>
      </c>
      <c r="AR153" s="116">
        <f>INDEX(LINEST(LN(AV153:AY153),SQRT((AV152:AY152))),1)</f>
        <v>-6.0422208782252569E-4</v>
      </c>
      <c r="AS153" s="84">
        <f>INDEX(LINEST(1/(AV153:AY153),1/(SQRT(AV152:AY152)),TRUE,TRUE),3,1)</f>
        <v>0.3101302590129647</v>
      </c>
      <c r="AT153" s="84">
        <f>INDEX(LINEST(1/(AV153:AY153),1/SQRT(AV152:AY152)),1)</f>
        <v>-5.5726476473195117</v>
      </c>
      <c r="AU153" s="3"/>
      <c r="AV153" s="53">
        <v>0.82799999999999996</v>
      </c>
      <c r="AW153" s="53">
        <v>0.623</v>
      </c>
      <c r="AX153" s="53">
        <v>0.57799999999999996</v>
      </c>
      <c r="AY153" s="53">
        <v>0.30599999999999999</v>
      </c>
      <c r="AZ153" s="53"/>
      <c r="BA153" s="53"/>
      <c r="BB153" s="53"/>
      <c r="BC153" s="53"/>
      <c r="BD153" s="53"/>
      <c r="BE153" s="53"/>
      <c r="BF153" s="53"/>
      <c r="BG153" s="53"/>
      <c r="BH153" s="53"/>
      <c r="BI153" s="53"/>
      <c r="BJ153" s="53"/>
      <c r="BK153" s="53"/>
      <c r="BL153" s="53"/>
      <c r="BM153" s="53"/>
      <c r="BN153" s="53"/>
      <c r="BO153" s="53"/>
      <c r="BP153" s="53"/>
      <c r="BQ153" s="53"/>
      <c r="BR153" s="53"/>
      <c r="BS153" s="53"/>
      <c r="BT153" s="53"/>
      <c r="BU153" s="53"/>
      <c r="BV153" s="53"/>
      <c r="BW153" s="53"/>
      <c r="BX153" s="53"/>
      <c r="BY153" s="53"/>
      <c r="BZ153" s="53"/>
      <c r="CA153" s="53"/>
      <c r="CB153" s="53"/>
      <c r="CC153" s="53"/>
      <c r="CD153" s="53"/>
      <c r="CE153" s="53"/>
      <c r="CF153" s="53"/>
      <c r="CG153" s="53"/>
      <c r="CH153" s="53"/>
      <c r="CI153" s="53"/>
      <c r="CJ153" s="53"/>
      <c r="CK153" s="53"/>
      <c r="CL153" s="53"/>
      <c r="CM153" s="53"/>
      <c r="CN153" s="53"/>
      <c r="CO153" s="53"/>
      <c r="CP153" s="53"/>
      <c r="CQ153" s="53"/>
      <c r="CR153" s="1"/>
      <c r="CS153" s="1"/>
      <c r="CT153" s="1"/>
      <c r="CU153" s="1"/>
    </row>
    <row r="154" spans="1:99" s="13" customFormat="1" ht="12" customHeight="1" x14ac:dyDescent="0.2">
      <c r="A154" s="68">
        <v>43977</v>
      </c>
      <c r="B154" s="70"/>
      <c r="C154" s="70"/>
      <c r="D154" s="69"/>
      <c r="E154" s="105"/>
      <c r="F154" s="69"/>
      <c r="G154" s="69"/>
      <c r="H154" s="69"/>
      <c r="I154" s="104"/>
      <c r="J154" s="69"/>
      <c r="K154" s="69"/>
      <c r="L154" s="69"/>
      <c r="M154" s="69"/>
      <c r="N154" s="69"/>
      <c r="O154" s="69"/>
      <c r="P154" s="69"/>
      <c r="Q154" s="69"/>
      <c r="R154" s="69"/>
      <c r="S154" s="69"/>
      <c r="T154" s="92"/>
      <c r="U154" s="69"/>
      <c r="V154" s="92"/>
      <c r="W154" s="69"/>
      <c r="X154" s="69"/>
      <c r="Y154" s="87"/>
      <c r="Z154" s="69"/>
      <c r="AA154" s="69"/>
      <c r="AB154" s="69"/>
      <c r="AC154" s="72"/>
      <c r="AD154" s="69"/>
      <c r="AE154" s="87"/>
      <c r="AF154" s="88"/>
      <c r="AG154" s="72"/>
      <c r="AH154" s="4"/>
      <c r="AI154" s="72"/>
      <c r="AJ154" s="110"/>
      <c r="AK154" s="72"/>
      <c r="AL154" s="72"/>
      <c r="AM154" s="72"/>
      <c r="AN154" s="72"/>
      <c r="AO154" s="89"/>
      <c r="AP154" s="89"/>
      <c r="AQ154" s="90"/>
      <c r="AR154" s="117"/>
      <c r="AS154" s="91"/>
      <c r="AT154" s="91"/>
      <c r="AU154" s="3"/>
      <c r="AV154" s="71">
        <v>30</v>
      </c>
      <c r="AW154" s="71">
        <f>60*60</f>
        <v>3600</v>
      </c>
      <c r="AX154" s="71">
        <f>24*60*60</f>
        <v>86400</v>
      </c>
      <c r="AY154" s="71">
        <f>24*60*60*29</f>
        <v>2505600</v>
      </c>
      <c r="AZ154" s="53" t="s">
        <v>947</v>
      </c>
      <c r="BA154" s="53"/>
      <c r="BB154" s="53"/>
      <c r="BC154" s="53"/>
      <c r="BD154" s="53"/>
      <c r="BE154" s="53"/>
      <c r="BF154" s="53"/>
      <c r="BG154" s="53"/>
      <c r="BH154" s="53"/>
      <c r="BI154" s="53"/>
      <c r="BJ154" s="53"/>
      <c r="BK154" s="53"/>
      <c r="BL154" s="53"/>
      <c r="BM154" s="53"/>
      <c r="BN154" s="53"/>
      <c r="BO154" s="53"/>
      <c r="BP154" s="53"/>
      <c r="BQ154" s="53"/>
      <c r="BR154" s="53"/>
      <c r="BS154" s="53"/>
      <c r="BT154" s="53"/>
      <c r="BU154" s="53"/>
      <c r="BV154" s="53"/>
      <c r="BW154" s="53"/>
      <c r="BX154" s="53"/>
      <c r="BY154" s="53"/>
      <c r="BZ154" s="53"/>
      <c r="CA154" s="53"/>
      <c r="CB154" s="53"/>
      <c r="CC154" s="53"/>
      <c r="CD154" s="53"/>
      <c r="CE154" s="53"/>
      <c r="CF154" s="53"/>
      <c r="CG154" s="53"/>
      <c r="CH154" s="53"/>
      <c r="CI154" s="53"/>
      <c r="CJ154" s="53"/>
      <c r="CK154" s="53"/>
      <c r="CL154" s="53"/>
      <c r="CM154" s="53"/>
      <c r="CN154" s="53"/>
      <c r="CO154" s="53"/>
      <c r="CP154" s="53"/>
      <c r="CQ154" s="53"/>
      <c r="CR154" s="1"/>
      <c r="CS154" s="1"/>
      <c r="CT154" s="1"/>
      <c r="CU154" s="1"/>
    </row>
    <row r="155" spans="1:99" s="13" customFormat="1" ht="12" customHeight="1" x14ac:dyDescent="0.2">
      <c r="A155" s="68">
        <v>43977</v>
      </c>
      <c r="B155" s="186" t="s">
        <v>944</v>
      </c>
      <c r="C155" s="70" t="s">
        <v>945</v>
      </c>
      <c r="D155" s="69">
        <v>2006</v>
      </c>
      <c r="E155" s="105">
        <v>1</v>
      </c>
      <c r="F155" s="69">
        <v>1</v>
      </c>
      <c r="G155" s="69">
        <v>1</v>
      </c>
      <c r="H155" s="69" t="s">
        <v>22</v>
      </c>
      <c r="I155" s="104" t="s">
        <v>479</v>
      </c>
      <c r="J155" s="69" t="s">
        <v>16</v>
      </c>
      <c r="K155" s="69">
        <f>IF(J155="syllables",1,IF(J155="trigrams",2,IF(J155="strings",3,IF(J155="visual array",4,IF(J155="characters",5,IF(J155="letters",6,IF(J155="free forms",7,IF(J155="odors",8,IF(J155="words",9,IF(J155="pictures",10,IF(J155="object pictures",11,IF(J155="faces",12,IF(J155="names",13,IF(J155="idioms",14,IF(J155="grades",15,IF(J155="syllable-digit pairs",16,IF(J155="trigram-word pairs",17,IF(J155="word-digit pairs",18,IF(J155="English-Swahili pairs",19,IF(J155="spatial position",20,IF(J155="word pairs",21,IF(J155="word triads",22,IF(J155="generated words",23,IF(J155="word definition pairs",24,IF(J155="math problems",25,IF(J155="famous faces",26,IF(J155="famous names",27,IF(J155="famous voices",28,IF(J155="television programs",29,IF(J155="race horses",30,IF(J155="new vocabulary",31,IF(J155="sentences",32,IF(J155="concepts",33,IF(J155="ad slides",34,IF(J155="scenes",35,IF(J155="famous scenes",36,IF(J155="poems",37,IF(J155="walk",38,IF(J155="faces and events",39,IF(J155="events and names",40,IF(J155="flashbulb",41,IF(J155="stories",42,IF(J155="course material",43,IF(J155="autobiographical",44,IF(J155="novels",45,IF(J155="public events",46,"99"))))))))))))))))))))))))))))))))))))))))))))))</f>
        <v>9</v>
      </c>
      <c r="L155" s="69">
        <f>IF(J155="syllables",1,IF(J155="trigrams",1,IF(J155="strings",1,IF(J155="visual array",1,IF(J155="characters",1,IF(J155="letters",1,IF(J155="free forms",1,IF(J155="odors",2,IF(J155="words",2,IF(J155="pictures",2,IF(J155="object pictures",2,IF(J155="faces",2,IF(J155="names",2,IF(J155="idioms","2",IF(J155="grades",2,IF(J155="syllable-digit pairs",3,IF(J155="trigram-word pairs",3,IF(J155="word-digit pairs",3,IF(J155="English-Swahili pairs",3,IF(J155="spatial position",3,IF(J155="word pairs",4,IF(J155="word triads",4,IF(J155="generated words",4,IF(J155="word definition pairs",4,IF(J155="math problems",4,IF(J155="famous faces",4,IF(J155="famous names",4,IF(J155="famous voices",4,IF(J155="television programs",4,IF(J155="race horses",4,IF(J155="new vocabulary",4,IF(J155="sentences",5,IF(J155="concepts",5,IF(J155="ad slides",5,IF(J155="scenes",5,IF(J155="famous scenes",5,IF(J155="poems",6,IF(J155="walk",6,IF(J155="faces and events",6,IF(J155="events and names",6,IF(J155="flashbulb",7,IF(J155="stories",7,IF(J155="course material",7,IF(J155="autobiographical",7,IF(J155="novels",7,IF(J155="public events",7,"99"))))))))))))))))))))))))))))))))))))))))))))))</f>
        <v>2</v>
      </c>
      <c r="M155" s="69">
        <v>1</v>
      </c>
      <c r="N155" s="69">
        <v>2</v>
      </c>
      <c r="O155" s="69">
        <v>0</v>
      </c>
      <c r="P155" s="69"/>
      <c r="Q155" s="69" t="s">
        <v>174</v>
      </c>
      <c r="R155" s="69">
        <f>IF(Q155="Free Recall",1,IF(Q155="Cued Recall",2,IF(Q155="Recognition",3,IF(Q155="Multiple Choice",4,IF(Q155="Savings",5,IF(Q155="Stem Completion",6,IF(Q155="Fragment Completion",7,IF(Q155="anagram solution",8,IF(Q155="Matching",9,IF(Q155="Problem Solving",10,"99"))))))))))</f>
        <v>1</v>
      </c>
      <c r="S155" s="69" t="s">
        <v>49</v>
      </c>
      <c r="T155" s="92" t="s">
        <v>581</v>
      </c>
      <c r="U155" s="69">
        <f>IF(T155="within",1,0)</f>
        <v>1</v>
      </c>
      <c r="V155" s="92">
        <v>60</v>
      </c>
      <c r="W155" s="69">
        <f>F155*V155</f>
        <v>60</v>
      </c>
      <c r="X155" s="69">
        <v>4</v>
      </c>
      <c r="Y155" s="87">
        <f>AV154</f>
        <v>30</v>
      </c>
      <c r="Z155" s="69" t="s">
        <v>946</v>
      </c>
      <c r="AA155" s="69">
        <f>60*60*24*29</f>
        <v>2505600</v>
      </c>
      <c r="AB155" s="69" t="str">
        <f>IF(AA155&lt;60,"1",IF(AA155&lt;=43200,"2",IF(AA155&lt;=777600,"3","4")))</f>
        <v>4</v>
      </c>
      <c r="AC155" s="72">
        <f>AVERAGE(AV154:DA154)</f>
        <v>648907.5</v>
      </c>
      <c r="AD155" s="69" t="str">
        <f>IF(AC155&lt;60,"1",IF(AC155&lt;=43200,"2",IF(AC155&lt;=777600,"3","4")))</f>
        <v>3</v>
      </c>
      <c r="AE155" s="87">
        <f>AA155-Y155</f>
        <v>2505570</v>
      </c>
      <c r="AF155" s="88">
        <f>AV155</f>
        <v>0.93333333333333335</v>
      </c>
      <c r="AG155" s="72">
        <f>((AW155-AV155)+(AX155-AW155)+(AY155-AX155))/3</f>
        <v>-0.15555555555555556</v>
      </c>
      <c r="AH155" s="4"/>
      <c r="AI155" s="72">
        <f>RSQ(AV155:AY155,AV154:AY154)</f>
        <v>0.72650732629125614</v>
      </c>
      <c r="AJ155" s="110">
        <f>SLOPE(AV155:AY155,AV154:AY154)</f>
        <v>-1.3701110270069549E-7</v>
      </c>
      <c r="AK155" s="72">
        <f>INTERCEPT(AV155:AY155,AV154:AY154)</f>
        <v>0.80557419879241821</v>
      </c>
      <c r="AL155" s="72">
        <f>INDEX(LINEST(LN(AV155:AY155),LN(AV154:AY154),TRUE,TRUE),3,1)</f>
        <v>0.92214207588630637</v>
      </c>
      <c r="AM155" s="72">
        <f>INDEX(LINEST(LN(AV155:AY155),LN(AV154:AY154)),1)</f>
        <v>-5.9415478397388574E-2</v>
      </c>
      <c r="AN155" s="72">
        <f>EXP(INDEX(LINEST(LN(AV155:AY155),LN(AV154:AY154)),1,2))</f>
        <v>1.2152099685635247</v>
      </c>
      <c r="AO155" s="89">
        <f>INDEX(LINEST((AV155:AY155),LN(AV154:AY154),TRUE,TRUE),3,1)</f>
        <v>0.96723820537385019</v>
      </c>
      <c r="AP155" s="89">
        <f>INDEX(LINEST((AV155:AY155),LN(AV154:AY154)),1)</f>
        <v>-4.0597584551291047E-2</v>
      </c>
      <c r="AQ155" s="90">
        <f>INDEX(LINEST(LN(AV155:AY155),SQRT(AV154:AY154),TRUE,TRUE),3,1)</f>
        <v>0.90072525703321693</v>
      </c>
      <c r="AR155" s="117">
        <f>INDEX(LINEST(LN(AV155:AY155),SQRT((AV154:AY154))),1)</f>
        <v>-3.8156342135860807E-4</v>
      </c>
      <c r="AS155" s="91">
        <f>INDEX(LINEST(1/(AV155:AY155),1/(SQRT(AV154:AY154)),TRUE,TRUE),3,1)</f>
        <v>0.41886092839850886</v>
      </c>
      <c r="AT155" s="91">
        <f>INDEX(LINEST(1/(AV155:AY155),1/SQRT(AV154:AY154)),1)</f>
        <v>-3.4427462673384426</v>
      </c>
      <c r="AU155" s="3"/>
      <c r="AV155" s="73">
        <f>14/15</f>
        <v>0.93333333333333335</v>
      </c>
      <c r="AW155" s="73">
        <f>12/15</f>
        <v>0.8</v>
      </c>
      <c r="AX155" s="73">
        <f>10/15</f>
        <v>0.66666666666666663</v>
      </c>
      <c r="AY155" s="73">
        <f>7/15</f>
        <v>0.46666666666666667</v>
      </c>
      <c r="AZ155" s="53"/>
      <c r="BA155" s="53"/>
      <c r="BB155" s="53"/>
      <c r="BC155" s="53"/>
      <c r="BD155" s="53"/>
      <c r="BE155" s="53"/>
      <c r="BF155" s="53"/>
      <c r="BG155" s="53"/>
      <c r="BH155" s="53"/>
      <c r="BI155" s="53"/>
      <c r="BJ155" s="53"/>
      <c r="BK155" s="53"/>
      <c r="BL155" s="53"/>
      <c r="BM155" s="53"/>
      <c r="BN155" s="53"/>
      <c r="BO155" s="53"/>
      <c r="BP155" s="53"/>
      <c r="BQ155" s="53"/>
      <c r="BR155" s="53"/>
      <c r="BS155" s="53"/>
      <c r="BT155" s="53"/>
      <c r="BU155" s="53"/>
      <c r="BV155" s="53"/>
      <c r="BW155" s="53"/>
      <c r="BX155" s="53"/>
      <c r="BY155" s="53"/>
      <c r="BZ155" s="53"/>
      <c r="CA155" s="53"/>
      <c r="CB155" s="53"/>
      <c r="CC155" s="53"/>
      <c r="CD155" s="53"/>
      <c r="CE155" s="53"/>
      <c r="CF155" s="53"/>
      <c r="CG155" s="53"/>
      <c r="CH155" s="53"/>
      <c r="CI155" s="53"/>
      <c r="CJ155" s="53"/>
      <c r="CK155" s="53"/>
      <c r="CL155" s="53"/>
      <c r="CM155" s="53"/>
      <c r="CN155" s="53"/>
      <c r="CO155" s="53"/>
      <c r="CP155" s="53"/>
      <c r="CQ155" s="53"/>
      <c r="CR155" s="1"/>
      <c r="CS155" s="1"/>
      <c r="CT155" s="1"/>
      <c r="CU155" s="1"/>
    </row>
    <row r="156" spans="1:99" s="13" customFormat="1" ht="12" customHeight="1" x14ac:dyDescent="0.2">
      <c r="A156" s="68">
        <v>43977</v>
      </c>
      <c r="B156" s="70"/>
      <c r="C156" s="70"/>
      <c r="D156" s="69"/>
      <c r="E156" s="105"/>
      <c r="F156" s="69"/>
      <c r="G156" s="69"/>
      <c r="H156" s="69"/>
      <c r="I156" s="104"/>
      <c r="J156" s="69"/>
      <c r="K156" s="69"/>
      <c r="L156" s="69"/>
      <c r="M156" s="69"/>
      <c r="N156" s="69"/>
      <c r="O156" s="69"/>
      <c r="P156" s="69"/>
      <c r="Q156" s="69"/>
      <c r="R156" s="69"/>
      <c r="S156" s="69"/>
      <c r="T156" s="92"/>
      <c r="U156" s="69"/>
      <c r="V156" s="92"/>
      <c r="W156" s="69"/>
      <c r="X156" s="69"/>
      <c r="Y156" s="87"/>
      <c r="Z156" s="69"/>
      <c r="AA156" s="69"/>
      <c r="AB156" s="69"/>
      <c r="AC156" s="72"/>
      <c r="AD156" s="69"/>
      <c r="AE156" s="87"/>
      <c r="AF156" s="88"/>
      <c r="AG156" s="72"/>
      <c r="AH156" s="4"/>
      <c r="AI156" s="72"/>
      <c r="AJ156" s="110"/>
      <c r="AK156" s="72"/>
      <c r="AL156" s="72"/>
      <c r="AM156" s="72"/>
      <c r="AN156" s="72"/>
      <c r="AO156" s="89"/>
      <c r="AP156" s="89"/>
      <c r="AQ156" s="90"/>
      <c r="AR156" s="117"/>
      <c r="AS156" s="91"/>
      <c r="AT156" s="91"/>
      <c r="AU156" s="3"/>
      <c r="AV156" s="71">
        <v>30</v>
      </c>
      <c r="AW156" s="71">
        <f>60*60</f>
        <v>3600</v>
      </c>
      <c r="AX156" s="71">
        <f>24*60*60</f>
        <v>86400</v>
      </c>
      <c r="AY156" s="71">
        <f>24*60*60*29</f>
        <v>2505600</v>
      </c>
      <c r="AZ156" s="53"/>
      <c r="BA156" s="53"/>
      <c r="BB156" s="53"/>
      <c r="BC156" s="53"/>
      <c r="BD156" s="53"/>
      <c r="BE156" s="53"/>
      <c r="BF156" s="53"/>
      <c r="BG156" s="53"/>
      <c r="BH156" s="53"/>
      <c r="BI156" s="53"/>
      <c r="BJ156" s="53"/>
      <c r="BK156" s="53"/>
      <c r="BL156" s="53"/>
      <c r="BM156" s="53"/>
      <c r="BN156" s="53"/>
      <c r="BO156" s="53"/>
      <c r="BP156" s="53"/>
      <c r="BQ156" s="53"/>
      <c r="BR156" s="53"/>
      <c r="BS156" s="53"/>
      <c r="BT156" s="53"/>
      <c r="BU156" s="53"/>
      <c r="BV156" s="53"/>
      <c r="BW156" s="53"/>
      <c r="BX156" s="53"/>
      <c r="BY156" s="53"/>
      <c r="BZ156" s="53"/>
      <c r="CA156" s="53"/>
      <c r="CB156" s="53"/>
      <c r="CC156" s="53"/>
      <c r="CD156" s="53"/>
      <c r="CE156" s="53"/>
      <c r="CF156" s="53"/>
      <c r="CG156" s="53"/>
      <c r="CH156" s="53"/>
      <c r="CI156" s="53"/>
      <c r="CJ156" s="53"/>
      <c r="CK156" s="53"/>
      <c r="CL156" s="53"/>
      <c r="CM156" s="53"/>
      <c r="CN156" s="53"/>
      <c r="CO156" s="53"/>
      <c r="CP156" s="53"/>
      <c r="CQ156" s="53"/>
      <c r="CR156" s="1"/>
      <c r="CS156" s="1"/>
      <c r="CT156" s="1"/>
      <c r="CU156" s="1"/>
    </row>
    <row r="157" spans="1:99" s="13" customFormat="1" ht="12" customHeight="1" x14ac:dyDescent="0.2">
      <c r="A157" s="68">
        <v>43977</v>
      </c>
      <c r="B157" s="186" t="s">
        <v>944</v>
      </c>
      <c r="C157" s="70" t="s">
        <v>945</v>
      </c>
      <c r="D157" s="69">
        <v>2006</v>
      </c>
      <c r="E157" s="105">
        <v>1</v>
      </c>
      <c r="F157" s="69">
        <v>1</v>
      </c>
      <c r="G157" s="69">
        <v>1</v>
      </c>
      <c r="H157" s="69" t="s">
        <v>22</v>
      </c>
      <c r="I157" s="104" t="s">
        <v>479</v>
      </c>
      <c r="J157" s="69" t="s">
        <v>320</v>
      </c>
      <c r="K157" s="69">
        <f>IF(J157="syllables",1,IF(J157="trigrams",2,IF(J157="strings",3,IF(J157="visual array",4,IF(J157="characters",5,IF(J157="letters",6,IF(J157="free forms",7,IF(J157="odors",8,IF(J157="words",9,IF(J157="pictures",10,IF(J157="object pictures",11,IF(J157="faces",12,IF(J157="names",13,IF(J157="idioms",14,IF(J157="grades",15,IF(J157="syllable-digit pairs",16,IF(J157="trigram-word pairs",17,IF(J157="word-digit pairs",18,IF(J157="English-Swahili pairs",19,IF(J157="spatial position",20,IF(J157="word pairs",21,IF(J157="word triads",22,IF(J157="generated words",23,IF(J157="word definition pairs",24,IF(J157="math problems",25,IF(J157="famous faces",26,IF(J157="famous names",27,IF(J157="famous voices",28,IF(J157="television programs",29,IF(J157="race horses",30,IF(J157="new vocabulary",31,IF(J157="sentences",32,IF(J157="concepts",33,IF(J157="ad slides",34,IF(J157="scenes",35,IF(J157="famous scenes",36,IF(J157="poems",37,IF(J157="walk",38,IF(J157="faces and events",39,IF(J157="events and names",40,IF(J157="flashbulb",41,IF(J157="stories",42,IF(J157="course material",43,IF(J157="autobiographical",44,IF(J157="novels",45,IF(J157="public events",46,"99"))))))))))))))))))))))))))))))))))))))))))))))</f>
        <v>21</v>
      </c>
      <c r="L157" s="69">
        <f>IF(J157="syllables",1,IF(J157="trigrams",1,IF(J157="strings",1,IF(J157="visual array",1,IF(J157="characters",1,IF(J157="letters",1,IF(J157="free forms",1,IF(J157="odors",2,IF(J157="words",2,IF(J157="pictures",2,IF(J157="object pictures",2,IF(J157="faces",2,IF(J157="names",2,IF(J157="idioms","2",IF(J157="grades",2,IF(J157="syllable-digit pairs",3,IF(J157="trigram-word pairs",3,IF(J157="word-digit pairs",3,IF(J157="English-Swahili pairs",3,IF(J157="spatial position",3,IF(J157="word pairs",4,IF(J157="word triads",4,IF(J157="generated words",4,IF(J157="word definition pairs",4,IF(J157="math problems",4,IF(J157="famous faces",4,IF(J157="famous names",4,IF(J157="famous voices",4,IF(J157="television programs",4,IF(J157="race horses",4,IF(J157="new vocabulary",4,IF(J157="sentences",5,IF(J157="concepts",5,IF(J157="ad slides",5,IF(J157="scenes",5,IF(J157="famous scenes",5,IF(J157="poems",6,IF(J157="walk",6,IF(J157="faces and events",6,IF(J157="events and names",6,IF(J157="flashbulb",7,IF(J157="stories",7,IF(J157="course material",7,IF(J157="autobiographical",7,IF(J157="novels",7,IF(J157="public events",7,"99"))))))))))))))))))))))))))))))))))))))))))))))</f>
        <v>4</v>
      </c>
      <c r="M157" s="69">
        <v>1</v>
      </c>
      <c r="N157" s="69">
        <v>2</v>
      </c>
      <c r="O157" s="69">
        <v>0</v>
      </c>
      <c r="P157" s="69"/>
      <c r="Q157" s="69" t="s">
        <v>174</v>
      </c>
      <c r="R157" s="69">
        <f>IF(Q157="Free Recall",1,IF(Q157="Cued Recall",2,IF(Q157="Recognition",3,IF(Q157="Multiple Choice",4,IF(Q157="Savings",5,IF(Q157="Stem Completion",6,IF(Q157="Fragment Completion",7,IF(Q157="anagram solution",8,IF(Q157="Matching",9,IF(Q157="Problem Solving",10,"99"))))))))))</f>
        <v>1</v>
      </c>
      <c r="S157" s="69" t="s">
        <v>49</v>
      </c>
      <c r="T157" s="92" t="s">
        <v>581</v>
      </c>
      <c r="U157" s="69">
        <f>IF(T157="within",1,0)</f>
        <v>1</v>
      </c>
      <c r="V157" s="92">
        <f>12*4</f>
        <v>48</v>
      </c>
      <c r="W157" s="69">
        <f>F157*V157</f>
        <v>48</v>
      </c>
      <c r="X157" s="69">
        <v>4</v>
      </c>
      <c r="Y157" s="87">
        <f>AV156</f>
        <v>30</v>
      </c>
      <c r="Z157" s="69" t="s">
        <v>946</v>
      </c>
      <c r="AA157" s="69">
        <f>60*60*24*29</f>
        <v>2505600</v>
      </c>
      <c r="AB157" s="69" t="str">
        <f>IF(AA157&lt;60,"1",IF(AA157&lt;=43200,"2",IF(AA157&lt;=777600,"3","4")))</f>
        <v>4</v>
      </c>
      <c r="AC157" s="72">
        <f>AVERAGE(AV156:DA156)</f>
        <v>648907.5</v>
      </c>
      <c r="AD157" s="69" t="str">
        <f>IF(AC157&lt;60,"1",IF(AC157&lt;=43200,"2",IF(AC157&lt;=777600,"3","4")))</f>
        <v>3</v>
      </c>
      <c r="AE157" s="87">
        <f>AA157-Y157</f>
        <v>2505570</v>
      </c>
      <c r="AF157" s="88">
        <f>AV157</f>
        <v>0.83333333333333337</v>
      </c>
      <c r="AG157" s="72">
        <f>((AW157-AV157)+(AX157-AW157)+(AY157-AX157))/3</f>
        <v>-0.1388888888888889</v>
      </c>
      <c r="AH157" s="4"/>
      <c r="AI157" s="72">
        <f>RSQ(AV157:AY157,AV156:AY156)</f>
        <v>0.64883574846140468</v>
      </c>
      <c r="AJ157" s="110">
        <f>SLOPE(AV157:AY157,AV156:AY156)</f>
        <v>-1.4925949497226157E-7</v>
      </c>
      <c r="AK157" s="72">
        <f>INTERCEPT(AV157:AY157,AV156:AY156)</f>
        <v>0.78435560573371288</v>
      </c>
      <c r="AL157" s="72">
        <f>INDEX(LINEST(LN(AV157:AY157),LN(AV156:AY156),TRUE,TRUE),3,1)</f>
        <v>0.74368395690505773</v>
      </c>
      <c r="AM157" s="72">
        <f>INDEX(LINEST(LN(AV157:AY157),LN(AV156:AY156)),1)</f>
        <v>-6.4390400558397884E-2</v>
      </c>
      <c r="AN157" s="72">
        <f>EXP(INDEX(LINEST(LN(AV157:AY157),LN(AV156:AY156)),1,2))</f>
        <v>1.2041570317766304</v>
      </c>
      <c r="AO157" s="89">
        <f>INDEX(LINEST((AV157:AY157),LN(AV156:AY156),TRUE,TRUE),3,1)</f>
        <v>0.71222769740831315</v>
      </c>
      <c r="AP157" s="89">
        <f>INDEX(LINEST((AV157:AY157),LN(AV156:AY156)),1)</f>
        <v>-4.0158892130626421E-2</v>
      </c>
      <c r="AQ157" s="90">
        <f>INDEX(LINEST(LN(AV157:AY157),SQRT(AV156:AY156),TRUE,TRUE),3,1)</f>
        <v>0.83546669782696015</v>
      </c>
      <c r="AR157" s="117">
        <f>INDEX(LINEST(LN(AV157:AY157),SQRT((AV156:AY156))),1)</f>
        <v>-4.434670704666635E-4</v>
      </c>
      <c r="AS157" s="91">
        <f>INDEX(LINEST(1/(AV157:AY157),1/(SQRT(AV156:AY156)),TRUE,TRUE),3,1)</f>
        <v>0.26194925290612581</v>
      </c>
      <c r="AT157" s="91">
        <f>INDEX(LINEST(1/(AV157:AY157),1/SQRT(AV156:AY156)),1)</f>
        <v>-3.4724822930832469</v>
      </c>
      <c r="AU157" s="3"/>
      <c r="AV157" s="73">
        <f>10/12</f>
        <v>0.83333333333333337</v>
      </c>
      <c r="AW157" s="73">
        <f>11/12</f>
        <v>0.91666666666666663</v>
      </c>
      <c r="AX157" s="73">
        <f>7/12</f>
        <v>0.58333333333333337</v>
      </c>
      <c r="AY157" s="73">
        <f>5/12</f>
        <v>0.41666666666666669</v>
      </c>
      <c r="AZ157" s="53"/>
      <c r="BA157" s="53"/>
      <c r="BB157" s="53"/>
      <c r="BC157" s="53"/>
      <c r="BD157" s="53"/>
      <c r="BE157" s="53"/>
      <c r="BF157" s="53"/>
      <c r="BG157" s="53"/>
      <c r="BH157" s="53"/>
      <c r="BI157" s="53"/>
      <c r="BJ157" s="53"/>
      <c r="BK157" s="53"/>
      <c r="BL157" s="53"/>
      <c r="BM157" s="53"/>
      <c r="BN157" s="53"/>
      <c r="BO157" s="53"/>
      <c r="BP157" s="53"/>
      <c r="BQ157" s="53"/>
      <c r="BR157" s="53"/>
      <c r="BS157" s="53"/>
      <c r="BT157" s="53"/>
      <c r="BU157" s="53"/>
      <c r="BV157" s="53"/>
      <c r="BW157" s="53"/>
      <c r="BX157" s="53"/>
      <c r="BY157" s="53"/>
      <c r="BZ157" s="53"/>
      <c r="CA157" s="53"/>
      <c r="CB157" s="53"/>
      <c r="CC157" s="53"/>
      <c r="CD157" s="53"/>
      <c r="CE157" s="53"/>
      <c r="CF157" s="53"/>
      <c r="CG157" s="53"/>
      <c r="CH157" s="53"/>
      <c r="CI157" s="53"/>
      <c r="CJ157" s="53"/>
      <c r="CK157" s="53"/>
      <c r="CL157" s="53"/>
      <c r="CM157" s="53"/>
      <c r="CN157" s="53"/>
      <c r="CO157" s="53"/>
      <c r="CP157" s="53"/>
      <c r="CQ157" s="53"/>
      <c r="CR157" s="1"/>
      <c r="CS157" s="1"/>
      <c r="CT157" s="1"/>
      <c r="CU157" s="1"/>
    </row>
    <row r="158" spans="1:99" s="13" customFormat="1" ht="12" customHeight="1" x14ac:dyDescent="0.2">
      <c r="A158" s="68">
        <v>43977</v>
      </c>
      <c r="B158" s="70"/>
      <c r="C158" s="70"/>
      <c r="D158" s="69"/>
      <c r="E158" s="105"/>
      <c r="F158" s="69"/>
      <c r="G158" s="69"/>
      <c r="H158" s="69"/>
      <c r="I158" s="104"/>
      <c r="J158" s="69"/>
      <c r="K158" s="69"/>
      <c r="L158" s="69"/>
      <c r="M158" s="69"/>
      <c r="N158" s="69"/>
      <c r="O158" s="69"/>
      <c r="P158" s="69"/>
      <c r="Q158" s="69"/>
      <c r="R158" s="69"/>
      <c r="S158" s="69"/>
      <c r="T158" s="92"/>
      <c r="U158" s="69"/>
      <c r="V158" s="92"/>
      <c r="W158" s="69"/>
      <c r="X158" s="69"/>
      <c r="Y158" s="87"/>
      <c r="Z158" s="69"/>
      <c r="AA158" s="69"/>
      <c r="AB158" s="69"/>
      <c r="AC158" s="72"/>
      <c r="AD158" s="69"/>
      <c r="AE158" s="87"/>
      <c r="AF158" s="88"/>
      <c r="AG158" s="72"/>
      <c r="AH158" s="4"/>
      <c r="AI158" s="72"/>
      <c r="AJ158" s="110"/>
      <c r="AK158" s="72"/>
      <c r="AL158" s="72"/>
      <c r="AM158" s="72"/>
      <c r="AN158" s="72"/>
      <c r="AO158" s="89"/>
      <c r="AP158" s="89"/>
      <c r="AQ158" s="90"/>
      <c r="AR158" s="117"/>
      <c r="AS158" s="91"/>
      <c r="AT158" s="91"/>
      <c r="AU158" s="3"/>
      <c r="AV158" s="71">
        <v>30</v>
      </c>
      <c r="AW158" s="71">
        <f>60*60</f>
        <v>3600</v>
      </c>
      <c r="AX158" s="71">
        <f>24*60*60</f>
        <v>86400</v>
      </c>
      <c r="AY158" s="71">
        <f>24*60*60*29</f>
        <v>2505600</v>
      </c>
      <c r="AZ158" s="53"/>
      <c r="BA158" s="53"/>
      <c r="BB158" s="53"/>
      <c r="BC158" s="53"/>
      <c r="BD158" s="53"/>
      <c r="BE158" s="53"/>
      <c r="BF158" s="53"/>
      <c r="BG158" s="53"/>
      <c r="BH158" s="53"/>
      <c r="BI158" s="53"/>
      <c r="BJ158" s="53"/>
      <c r="BK158" s="53"/>
      <c r="BL158" s="53"/>
      <c r="BM158" s="53"/>
      <c r="BN158" s="53"/>
      <c r="BO158" s="53"/>
      <c r="BP158" s="53"/>
      <c r="BQ158" s="53"/>
      <c r="BR158" s="53"/>
      <c r="BS158" s="53"/>
      <c r="BT158" s="53"/>
      <c r="BU158" s="53"/>
      <c r="BV158" s="53"/>
      <c r="BW158" s="53"/>
      <c r="BX158" s="53"/>
      <c r="BY158" s="53"/>
      <c r="BZ158" s="53"/>
      <c r="CA158" s="53"/>
      <c r="CB158" s="53"/>
      <c r="CC158" s="53"/>
      <c r="CD158" s="53"/>
      <c r="CE158" s="53"/>
      <c r="CF158" s="53"/>
      <c r="CG158" s="53"/>
      <c r="CH158" s="53"/>
      <c r="CI158" s="53"/>
      <c r="CJ158" s="53"/>
      <c r="CK158" s="53"/>
      <c r="CL158" s="53"/>
      <c r="CM158" s="53"/>
      <c r="CN158" s="53"/>
      <c r="CO158" s="53"/>
      <c r="CP158" s="53"/>
      <c r="CQ158" s="53"/>
      <c r="CR158" s="1"/>
      <c r="CS158" s="1"/>
      <c r="CT158" s="1"/>
      <c r="CU158" s="1"/>
    </row>
    <row r="159" spans="1:99" s="13" customFormat="1" ht="12" customHeight="1" x14ac:dyDescent="0.2">
      <c r="A159" s="68">
        <v>43977</v>
      </c>
      <c r="B159" s="186" t="s">
        <v>944</v>
      </c>
      <c r="C159" s="70" t="s">
        <v>945</v>
      </c>
      <c r="D159" s="69">
        <v>2006</v>
      </c>
      <c r="E159" s="105">
        <v>1</v>
      </c>
      <c r="F159" s="69">
        <v>1</v>
      </c>
      <c r="G159" s="69">
        <v>1</v>
      </c>
      <c r="H159" s="69" t="s">
        <v>22</v>
      </c>
      <c r="I159" s="104" t="s">
        <v>479</v>
      </c>
      <c r="J159" s="69" t="s">
        <v>313</v>
      </c>
      <c r="K159" s="69">
        <f>IF(J159="syllables",1,IF(J159="trigrams",2,IF(J159="strings",3,IF(J159="visual array",4,IF(J159="characters",5,IF(J159="letters",6,IF(J159="free forms",7,IF(J159="odors",8,IF(J159="words",9,IF(J159="pictures",10,IF(J159="object pictures",11,IF(J159="faces",12,IF(J159="names",13,IF(J159="idioms",14,IF(J159="grades",15,IF(J159="syllable-digit pairs",16,IF(J159="trigram-word pairs",17,IF(J159="word-digit pairs",18,IF(J159="English-Swahili pairs",19,IF(J159="spatial position",20,IF(J159="word pairs",21,IF(J159="word triads",22,IF(J159="generated words",23,IF(J159="word definition pairs",24,IF(J159="math problems",25,IF(J159="famous faces",26,IF(J159="famous names",27,IF(J159="famous voices",28,IF(J159="television programs",29,IF(J159="race horses",30,IF(J159="new vocabulary",31,IF(J159="sentences",32,IF(J159="concepts",33,IF(J159="ad slides",34,IF(J159="scenes",35,IF(J159="famous scenes",36,IF(J159="poems",37,IF(J159="walk",38,IF(J159="faces and events",39,IF(J159="events and names",40,IF(J159="flashbulb",41,IF(J159="stories",42,IF(J159="course material",43,IF(J159="autobiographical",44,IF(J159="novels",45,IF(J159="public events",46,"99"))))))))))))))))))))))))))))))))))))))))))))))</f>
        <v>10</v>
      </c>
      <c r="L159" s="69">
        <f>IF(J159="syllables",1,IF(J159="trigrams",1,IF(J159="strings",1,IF(J159="visual array",1,IF(J159="characters",1,IF(J159="letters",1,IF(J159="free forms",1,IF(J159="odors",2,IF(J159="words",2,IF(J159="pictures",2,IF(J159="object pictures",2,IF(J159="faces",2,IF(J159="names",2,IF(J159="idioms","2",IF(J159="grades",2,IF(J159="syllable-digit pairs",3,IF(J159="trigram-word pairs",3,IF(J159="word-digit pairs",3,IF(J159="English-Swahili pairs",3,IF(J159="spatial position",3,IF(J159="word pairs",4,IF(J159="word triads",4,IF(J159="generated words",4,IF(J159="word definition pairs",4,IF(J159="math problems",4,IF(J159="famous faces",4,IF(J159="famous names",4,IF(J159="famous voices",4,IF(J159="television programs",4,IF(J159="race horses",4,IF(J159="new vocabulary",4,IF(J159="sentences",5,IF(J159="concepts",5,IF(J159="ad slides",5,IF(J159="scenes",5,IF(J159="famous scenes",5,IF(J159="poems",6,IF(J159="walk",6,IF(J159="faces and events",6,IF(J159="events and names",6,IF(J159="flashbulb",7,IF(J159="stories",7,IF(J159="course material",7,IF(J159="autobiographical",7,IF(J159="novels",7,IF(J159="public events",7,"99"))))))))))))))))))))))))))))))))))))))))))))))</f>
        <v>2</v>
      </c>
      <c r="M159" s="69">
        <v>1</v>
      </c>
      <c r="N159" s="69">
        <v>2</v>
      </c>
      <c r="O159" s="69">
        <v>0</v>
      </c>
      <c r="P159" s="69"/>
      <c r="Q159" s="69" t="s">
        <v>174</v>
      </c>
      <c r="R159" s="69">
        <f>IF(Q159="Free Recall",1,IF(Q159="Cued Recall",2,IF(Q159="Recognition",3,IF(Q159="Multiple Choice",4,IF(Q159="Savings",5,IF(Q159="Stem Completion",6,IF(Q159="Fragment Completion",7,IF(Q159="anagram solution",8,IF(Q159="Matching",9,IF(Q159="Problem Solving",10,"99"))))))))))</f>
        <v>1</v>
      </c>
      <c r="S159" s="69" t="s">
        <v>49</v>
      </c>
      <c r="T159" s="92" t="s">
        <v>581</v>
      </c>
      <c r="U159" s="69">
        <f>IF(T159="within",1,0)</f>
        <v>1</v>
      </c>
      <c r="V159" s="92">
        <v>60</v>
      </c>
      <c r="W159" s="69">
        <f>F159*V159</f>
        <v>60</v>
      </c>
      <c r="X159" s="69">
        <v>4</v>
      </c>
      <c r="Y159" s="87">
        <f>AV158</f>
        <v>30</v>
      </c>
      <c r="Z159" s="69" t="s">
        <v>946</v>
      </c>
      <c r="AA159" s="69">
        <f>60*60*24*29</f>
        <v>2505600</v>
      </c>
      <c r="AB159" s="69" t="str">
        <f>IF(AA159&lt;60,"1",IF(AA159&lt;=43200,"2",IF(AA159&lt;=777600,"3","4")))</f>
        <v>4</v>
      </c>
      <c r="AC159" s="72">
        <f>AVERAGE(AV158:DA158)</f>
        <v>648907.5</v>
      </c>
      <c r="AD159" s="69" t="str">
        <f>IF(AC159&lt;60,"1",IF(AC159&lt;=43200,"2",IF(AC159&lt;=777600,"3","4")))</f>
        <v>3</v>
      </c>
      <c r="AE159" s="87">
        <f>AA159-Y159</f>
        <v>2505570</v>
      </c>
      <c r="AF159" s="88">
        <f>AV159</f>
        <v>1</v>
      </c>
      <c r="AG159" s="72">
        <f>((AW159-AV159)+(AX159-AW159)+(AY159-AX159))/3</f>
        <v>-1.1111111111111108E-2</v>
      </c>
      <c r="AH159" s="4"/>
      <c r="AI159" s="72">
        <f>RSQ(AV159:AY159,AV158:AY158)</f>
        <v>0.36401810181206101</v>
      </c>
      <c r="AJ159" s="110">
        <f>SLOPE(AV159:AY159,AV158:AY158)</f>
        <v>-9.3757358701180268E-9</v>
      </c>
      <c r="AK159" s="72">
        <f>INTERCEPT(AV159:AY159,AV158:AY158)</f>
        <v>0.98941731865747196</v>
      </c>
      <c r="AL159" s="72">
        <f>INDEX(LINEST(LN(AV159:AY159),LN(AV158:AY158),TRUE,TRUE),3,1)</f>
        <v>0.75449106483023543</v>
      </c>
      <c r="AM159" s="72">
        <f>INDEX(LINEST(LN(AV159:AY159),LN(AV158:AY158)),1)</f>
        <v>-3.5254086548973502E-3</v>
      </c>
      <c r="AN159" s="72">
        <f>EXP(INDEX(LINEST(LN(AV159:AY159),LN(AV158:AY158)),1,2))</f>
        <v>1.0164010201701679</v>
      </c>
      <c r="AO159" s="89">
        <f>INDEX(LINEST((AV159:AY159),LN(AV158:AY158),TRUE,TRUE),3,1)</f>
        <v>0.75449106483023543</v>
      </c>
      <c r="AP159" s="89">
        <f>INDEX(LINEST((AV159:AY159),LN(AV158:AY158)),1)</f>
        <v>-3.4663198591646733E-3</v>
      </c>
      <c r="AQ159" s="90">
        <f>INDEX(LINEST(LN(AV159:AY159),SQRT(AV158:AY158),TRUE,TRUE),3,1)</f>
        <v>0.49638645568808132</v>
      </c>
      <c r="AR159" s="117">
        <f>INDEX(LINEST(LN(AV159:AY159),SQRT((AV158:AY158))),1)</f>
        <v>-1.8580708167388359E-5</v>
      </c>
      <c r="AS159" s="91">
        <f>INDEX(LINEST(1/(AV159:AY159),1/(SQRT(AV158:AY158)),TRUE,TRUE),3,1)</f>
        <v>0.40898435719290099</v>
      </c>
      <c r="AT159" s="91">
        <f>INDEX(LINEST(1/(AV159:AY159),1/SQRT(AV158:AY158)),1)</f>
        <v>-0.14449180958543617</v>
      </c>
      <c r="AU159" s="3"/>
      <c r="AV159" s="73">
        <f>15/15</f>
        <v>1</v>
      </c>
      <c r="AW159" s="73">
        <f>15/15</f>
        <v>1</v>
      </c>
      <c r="AX159" s="73">
        <f>14.5/15</f>
        <v>0.96666666666666667</v>
      </c>
      <c r="AY159" s="73">
        <f>14.5/15</f>
        <v>0.96666666666666667</v>
      </c>
      <c r="AZ159" s="53"/>
      <c r="BA159" s="53"/>
      <c r="BB159" s="53"/>
      <c r="BC159" s="53"/>
      <c r="BD159" s="53"/>
      <c r="BE159" s="53"/>
      <c r="BF159" s="53"/>
      <c r="BG159" s="53"/>
      <c r="BH159" s="53"/>
      <c r="BI159" s="53"/>
      <c r="BJ159" s="53"/>
      <c r="BK159" s="53"/>
      <c r="BL159" s="53"/>
      <c r="BM159" s="53"/>
      <c r="BN159" s="53"/>
      <c r="BO159" s="53"/>
      <c r="BP159" s="53"/>
      <c r="BQ159" s="53"/>
      <c r="BR159" s="53"/>
      <c r="BS159" s="53"/>
      <c r="BT159" s="53"/>
      <c r="BU159" s="53"/>
      <c r="BV159" s="53"/>
      <c r="BW159" s="53"/>
      <c r="BX159" s="53"/>
      <c r="BY159" s="53"/>
      <c r="BZ159" s="53"/>
      <c r="CA159" s="53"/>
      <c r="CB159" s="53"/>
      <c r="CC159" s="53"/>
      <c r="CD159" s="53"/>
      <c r="CE159" s="53"/>
      <c r="CF159" s="53"/>
      <c r="CG159" s="53"/>
      <c r="CH159" s="53"/>
      <c r="CI159" s="53"/>
      <c r="CJ159" s="53"/>
      <c r="CK159" s="53"/>
      <c r="CL159" s="53"/>
      <c r="CM159" s="53"/>
      <c r="CN159" s="53"/>
      <c r="CO159" s="53"/>
      <c r="CP159" s="53"/>
      <c r="CQ159" s="53"/>
      <c r="CR159" s="1"/>
      <c r="CS159" s="1"/>
      <c r="CT159" s="1"/>
      <c r="CU159" s="1"/>
    </row>
    <row r="160" spans="1:99" s="13" customFormat="1" ht="12" customHeight="1" x14ac:dyDescent="0.2">
      <c r="A160" s="68">
        <v>43509</v>
      </c>
      <c r="B160" s="70"/>
      <c r="C160" s="70"/>
      <c r="D160" s="69"/>
      <c r="E160" s="87"/>
      <c r="F160" s="69"/>
      <c r="G160" s="69"/>
      <c r="H160" s="69"/>
      <c r="I160" s="69"/>
      <c r="J160" s="69"/>
      <c r="K160" s="107"/>
      <c r="L160" s="107"/>
      <c r="M160" s="69"/>
      <c r="N160" s="69"/>
      <c r="O160" s="69"/>
      <c r="P160" s="69"/>
      <c r="Q160" s="69"/>
      <c r="R160" s="69"/>
      <c r="S160" s="69"/>
      <c r="T160" s="69"/>
      <c r="U160" s="69"/>
      <c r="V160" s="69"/>
      <c r="W160" s="69"/>
      <c r="X160" s="69"/>
      <c r="Y160" s="87"/>
      <c r="Z160" s="69"/>
      <c r="AA160" s="69"/>
      <c r="AB160" s="69"/>
      <c r="AC160" s="69"/>
      <c r="AD160" s="69"/>
      <c r="AE160" s="69"/>
      <c r="AF160" s="88"/>
      <c r="AG160" s="72"/>
      <c r="AH160" s="4"/>
      <c r="AI160" s="72"/>
      <c r="AJ160" s="110"/>
      <c r="AK160" s="72"/>
      <c r="AL160" s="72"/>
      <c r="AM160" s="72"/>
      <c r="AN160" s="72"/>
      <c r="AO160" s="72"/>
      <c r="AP160" s="72"/>
      <c r="AQ160" s="89"/>
      <c r="AR160" s="118"/>
      <c r="AS160" s="89"/>
      <c r="AT160" s="89"/>
      <c r="AU160" s="4"/>
      <c r="AV160" s="71">
        <v>30</v>
      </c>
      <c r="AW160" s="71">
        <f>19*60</f>
        <v>1140</v>
      </c>
      <c r="AX160" s="71">
        <f>63*60</f>
        <v>3780</v>
      </c>
      <c r="AY160" s="71">
        <f>525*60</f>
        <v>31500</v>
      </c>
      <c r="AZ160" s="71">
        <f>24*60*60</f>
        <v>86400</v>
      </c>
      <c r="BA160" s="71">
        <f>2*24*60*60</f>
        <v>172800</v>
      </c>
      <c r="BB160" s="71">
        <f>6*24*60*60</f>
        <v>518400</v>
      </c>
      <c r="BC160" s="71">
        <f>31*24*60*60</f>
        <v>2678400</v>
      </c>
      <c r="BD160" s="53"/>
      <c r="BE160" s="53"/>
      <c r="BF160" s="53"/>
      <c r="BG160" s="53"/>
      <c r="BH160" s="53"/>
      <c r="BI160" s="53"/>
      <c r="BJ160" s="53"/>
      <c r="BK160" s="53"/>
      <c r="BL160" s="53"/>
      <c r="BM160" s="53"/>
      <c r="BN160" s="53"/>
      <c r="BO160" s="53"/>
      <c r="BP160" s="53"/>
      <c r="BQ160" s="53"/>
      <c r="BR160" s="53"/>
      <c r="BS160" s="53"/>
      <c r="BT160" s="53"/>
      <c r="BU160" s="53"/>
      <c r="BV160" s="53"/>
      <c r="BW160" s="53"/>
      <c r="BX160" s="53"/>
      <c r="BY160" s="53"/>
      <c r="BZ160" s="53"/>
      <c r="CA160" s="53"/>
      <c r="CB160" s="53"/>
      <c r="CC160" s="53"/>
      <c r="CD160" s="53"/>
      <c r="CE160" s="53"/>
      <c r="CF160" s="53"/>
      <c r="CG160" s="53"/>
      <c r="CH160" s="53"/>
      <c r="CI160" s="53"/>
      <c r="CJ160" s="53"/>
      <c r="CK160" s="53"/>
      <c r="CL160" s="53"/>
      <c r="CM160" s="53"/>
      <c r="CN160" s="53"/>
      <c r="CO160" s="53"/>
      <c r="CP160" s="53"/>
      <c r="CQ160" s="53"/>
      <c r="CR160" s="1"/>
      <c r="CS160" s="1"/>
      <c r="CT160" s="1"/>
      <c r="CU160" s="1"/>
    </row>
    <row r="161" spans="1:99" s="13" customFormat="1" ht="12" customHeight="1" x14ac:dyDescent="0.2">
      <c r="A161" s="68">
        <v>43509</v>
      </c>
      <c r="B161" s="70" t="s">
        <v>147</v>
      </c>
      <c r="C161" s="70" t="s">
        <v>139</v>
      </c>
      <c r="D161" s="69">
        <v>1885</v>
      </c>
      <c r="E161" s="87">
        <v>1</v>
      </c>
      <c r="F161" s="69">
        <v>1</v>
      </c>
      <c r="G161" s="69">
        <v>1</v>
      </c>
      <c r="H161" s="86" t="s">
        <v>238</v>
      </c>
      <c r="I161" s="69"/>
      <c r="J161" s="69" t="s">
        <v>281</v>
      </c>
      <c r="K161" s="69">
        <f>IF(J161="syllables",1,IF(J161="trigrams",2,IF(J161="strings",3,IF(J161="visual array",4,IF(J161="characters",5,IF(J161="letters",6,IF(J161="free forms",7,IF(J161="odors",8,IF(J161="words",9,IF(J161="pictures",10,IF(J161="object pictures",11,IF(J161="faces",12,IF(J161="names",13,IF(J161="idioms",14,IF(J161="grades",15,IF(J161="syllable-digit pairs",16,IF(J161="trigram-word pairs",17,IF(J161="word-digit pairs",18,IF(J161="English-Swahili pairs",19,IF(J161="spatial position",20,IF(J161="word pairs",21,IF(J161="word triads",22,IF(J161="generated words",23,IF(J161="word definition pairs",24,IF(J161="math problems",25,IF(J161="famous faces",26,IF(J161="famous names",27,IF(J161="famous voices",28,IF(J161="television programs",29,IF(J161="race horses",30,IF(J161="new vocabulary",31,IF(J161="sentences",32,IF(J161="concepts",33,IF(J161="ad slides",34,IF(J161="scenes",35,IF(J161="famous scenes",36,IF(J161="poems",37,IF(J161="walk",38,IF(J161="faces and events",39,IF(J161="events and names",40,IF(J161="flashbulb",41,IF(J161="stories",42,IF(J161="course material",43,IF(J161="autobiographical",44,IF(J161="novels",45,IF(J161="public events",46,"99"))))))))))))))))))))))))))))))))))))))))))))))</f>
        <v>1</v>
      </c>
      <c r="L161" s="69">
        <f>IF(J161="syllables",1,IF(J161="trigrams",1,IF(J161="strings",1,IF(J161="visual array",1,IF(J161="characters",1,IF(J161="letters",1,IF(J161="free forms",1,IF(J161="odors",2,IF(J161="words",2,IF(J161="pictures",2,IF(J161="object pictures",2,IF(J161="faces",2,IF(J161="names",2,IF(J161="idioms","2",IF(J161="grades",2,IF(J161="syllable-digit pairs",3,IF(J161="trigram-word pairs",3,IF(J161="word-digit pairs",3,IF(J161="English-Swahili pairs",3,IF(J161="spatial position",3,IF(J161="word pairs",4,IF(J161="word triads",4,IF(J161="generated words",4,IF(J161="word definition pairs",4,IF(J161="math problems",4,IF(J161="famous faces",4,IF(J161="famous names",4,IF(J161="famous voices",4,IF(J161="television programs",4,IF(J161="race horses",4,IF(J161="new vocabulary",4,IF(J161="sentences",5,IF(J161="concepts",5,IF(J161="ad slides",5,IF(J161="scenes",5,IF(J161="famous scenes",5,IF(J161="poems",6,IF(J161="walk",6,IF(J161="faces and events",6,IF(J161="events and names",6,IF(J161="flashbulb",7,IF(J161="stories",7,IF(J161="course material",7,IF(J161="autobiographical",7,IF(J161="novels",7,IF(J161="public events",7,"99"))))))))))))))))))))))))))))))))))))))))))))))</f>
        <v>1</v>
      </c>
      <c r="M161" s="69">
        <v>1</v>
      </c>
      <c r="N161" s="69">
        <v>2</v>
      </c>
      <c r="O161" s="69">
        <v>0</v>
      </c>
      <c r="P161" s="69"/>
      <c r="Q161" s="69" t="s">
        <v>87</v>
      </c>
      <c r="R161" s="69">
        <f>IF(Q161="Free Recall",1,IF(Q161="Cued Recall",2,IF(Q161="Recognition",3,IF(Q161="Multiple Choice",4,IF(Q161="Savings",5,IF(Q161="Stem Completion",6,IF(Q161="Fragment Completion",7,IF(Q161="anagram solution",8,IF(Q161="Matching",9,IF(Q161="Problem Solving",10,"99"))))))))))</f>
        <v>5</v>
      </c>
      <c r="S161" s="69" t="s">
        <v>87</v>
      </c>
      <c r="T161" s="92" t="s">
        <v>581</v>
      </c>
      <c r="U161" s="69">
        <f>IF(T161="within",1,0)</f>
        <v>1</v>
      </c>
      <c r="V161" s="92">
        <v>15964</v>
      </c>
      <c r="W161" s="69">
        <f>F161*V161</f>
        <v>15964</v>
      </c>
      <c r="X161" s="69">
        <v>8</v>
      </c>
      <c r="Y161" s="87">
        <f>AV160</f>
        <v>30</v>
      </c>
      <c r="Z161" s="69" t="s">
        <v>148</v>
      </c>
      <c r="AA161" s="69">
        <v>2678659.2000000002</v>
      </c>
      <c r="AB161" s="69" t="str">
        <f>IF(AA161&lt;60,"1",IF(AA161&lt;=43200,"2",IF(AA161&lt;=777600,"3","4")))</f>
        <v>4</v>
      </c>
      <c r="AC161" s="72">
        <f>AVERAGE(AV160:DA160)</f>
        <v>436556.25</v>
      </c>
      <c r="AD161" s="69" t="str">
        <f>IF(AC161&lt;60,"1",IF(AC161&lt;=43200,"2",IF(AC161&lt;=777600,"3","4")))</f>
        <v>3</v>
      </c>
      <c r="AE161" s="87">
        <f>AA161-Y161</f>
        <v>2678629.2000000002</v>
      </c>
      <c r="AF161" s="88">
        <f>AV161</f>
        <v>1</v>
      </c>
      <c r="AG161" s="72">
        <f>((AW161-AV161)+(AX161-AW161)+(AY161-AX161)+(AZ161-AY161)+(BA161-AZ161)+(BB161-BA161)+(BC161-BB161))/7</f>
        <v>-0.11271428571428573</v>
      </c>
      <c r="AH161" s="4"/>
      <c r="AI161" s="72">
        <f>RSQ(AV161:BC161,AV160:BC160)</f>
        <v>0.18954698259697439</v>
      </c>
      <c r="AJ161" s="110">
        <f>SLOPE(AV161:BC161,AV160:BC160)</f>
        <v>-1.2151029190786024E-7</v>
      </c>
      <c r="AK161" s="72">
        <f>INTERCEPT(AV161:BC161,AV160:BC160)</f>
        <v>0.48579607737170083</v>
      </c>
      <c r="AL161" s="72">
        <f>INDEX(LINEST(LN(AV161:BC161),LN(AV160:BC160),TRUE,TRUE),3,1)</f>
        <v>0.98757172762302359</v>
      </c>
      <c r="AM161" s="72">
        <f>INDEX(LINEST(LN(AV161:BC161),LN(AV160:BC160)),1)</f>
        <v>-0.13567423012773172</v>
      </c>
      <c r="AN161" s="72">
        <f>EXP(INDEX(LINEST(LN(AV161:BC161),LN(AV160:BC160)),1,2))</f>
        <v>1.4978019607104573</v>
      </c>
      <c r="AO161" s="89">
        <f>INDEX(LINEST((AV161:BC161),LN(AV160:BC160),TRUE,TRUE),3,1)</f>
        <v>0.9057178616219479</v>
      </c>
      <c r="AP161" s="89">
        <f>INDEX(LINEST((AV161:BC161),LN(AV160:BC160)),1)</f>
        <v>-6.66277516676613E-2</v>
      </c>
      <c r="AQ161" s="90">
        <f>INDEX(LINEST(LN(AV161:BC161),SQRT(AV160:BC160),TRUE,TRUE),3,1)</f>
        <v>0.54987649060603716</v>
      </c>
      <c r="AR161" s="117">
        <f>INDEX(LINEST(LN(AV161:BC161),SQRT((AV160:BC160))),1)</f>
        <v>-6.8062447918154135E-4</v>
      </c>
      <c r="AS161" s="91">
        <f>INDEX(LINEST(1/(AV161:BC161),1/(SQRT(AV160:BC160)),TRUE,TRUE),3,1)</f>
        <v>0.51929840920415204</v>
      </c>
      <c r="AT161" s="91">
        <f>INDEX(LINEST(1/(AV161:BC161),1/SQRT(AV160:BC160)),1)</f>
        <v>-14.066988468289154</v>
      </c>
      <c r="AU161" s="3"/>
      <c r="AV161" s="73">
        <v>1</v>
      </c>
      <c r="AW161" s="73">
        <v>0.58199999999999996</v>
      </c>
      <c r="AX161" s="73">
        <v>0.442</v>
      </c>
      <c r="AY161" s="73">
        <v>0.35799999999999998</v>
      </c>
      <c r="AZ161" s="73">
        <v>0.33700000000000002</v>
      </c>
      <c r="BA161" s="73">
        <v>0.27800000000000002</v>
      </c>
      <c r="BB161" s="73">
        <v>0.254</v>
      </c>
      <c r="BC161" s="73">
        <v>0.21099999999999999</v>
      </c>
      <c r="BD161" s="53"/>
      <c r="BE161" s="53"/>
      <c r="BF161" s="53"/>
      <c r="BG161" s="53"/>
      <c r="BH161" s="53"/>
      <c r="BI161" s="53"/>
      <c r="BJ161" s="53"/>
      <c r="BK161" s="53"/>
      <c r="BL161" s="53"/>
      <c r="BM161" s="53"/>
      <c r="BN161" s="53"/>
      <c r="BO161" s="53"/>
      <c r="BP161" s="53"/>
      <c r="BQ161" s="53"/>
      <c r="BR161" s="53"/>
      <c r="BS161" s="53"/>
      <c r="BT161" s="53"/>
      <c r="BU161" s="53"/>
      <c r="BV161" s="53"/>
      <c r="BW161" s="53"/>
      <c r="BX161" s="53"/>
      <c r="BY161" s="53"/>
      <c r="BZ161" s="53"/>
      <c r="CA161" s="53"/>
      <c r="CB161" s="53"/>
      <c r="CC161" s="53"/>
      <c r="CD161" s="53"/>
      <c r="CE161" s="53"/>
      <c r="CF161" s="53"/>
      <c r="CG161" s="53"/>
      <c r="CH161" s="53"/>
      <c r="CI161" s="53"/>
      <c r="CJ161" s="53"/>
      <c r="CK161" s="53"/>
      <c r="CL161" s="53"/>
      <c r="CM161" s="53"/>
      <c r="CN161" s="53"/>
      <c r="CO161" s="53"/>
      <c r="CP161" s="53"/>
      <c r="CQ161" s="53"/>
      <c r="CR161" s="1"/>
      <c r="CS161" s="1"/>
      <c r="CT161" s="1"/>
      <c r="CU161" s="1"/>
    </row>
    <row r="162" spans="1:99" s="13" customFormat="1" ht="12" customHeight="1" x14ac:dyDescent="0.2">
      <c r="A162" s="65">
        <v>43903</v>
      </c>
      <c r="D162" s="61"/>
      <c r="E162" s="76"/>
      <c r="F162" s="60"/>
      <c r="G162" s="60"/>
      <c r="H162" s="60"/>
      <c r="I162" s="60"/>
      <c r="J162" s="60"/>
      <c r="K162" s="64"/>
      <c r="L162" s="64"/>
      <c r="M162" s="60"/>
      <c r="N162" s="60"/>
      <c r="O162" s="60"/>
      <c r="P162" s="60"/>
      <c r="Q162" s="60"/>
      <c r="R162" s="60"/>
      <c r="S162" s="60"/>
      <c r="T162" s="60"/>
      <c r="U162" s="60"/>
      <c r="V162" s="60"/>
      <c r="W162" s="60"/>
      <c r="X162" s="60"/>
      <c r="Y162" s="76"/>
      <c r="Z162" s="60"/>
      <c r="AA162" s="60"/>
      <c r="AB162" s="60"/>
      <c r="AC162" s="56"/>
      <c r="AD162" s="60"/>
      <c r="AE162" s="60"/>
      <c r="AF162" s="80"/>
      <c r="AG162" s="56"/>
      <c r="AH162" s="4"/>
      <c r="AI162" s="56"/>
      <c r="AJ162" s="109"/>
      <c r="AK162" s="56"/>
      <c r="AL162" s="56"/>
      <c r="AM162" s="56"/>
      <c r="AN162" s="56"/>
      <c r="AO162" s="82"/>
      <c r="AP162" s="82"/>
      <c r="AQ162" s="83"/>
      <c r="AR162" s="116"/>
      <c r="AS162" s="84"/>
      <c r="AT162" s="84"/>
      <c r="AU162" s="3"/>
      <c r="AV162" s="25">
        <v>60</v>
      </c>
      <c r="AW162" s="25">
        <v>86400</v>
      </c>
      <c r="AX162" s="25">
        <v>259200</v>
      </c>
      <c r="AY162" s="25">
        <v>604800</v>
      </c>
      <c r="AZ162" s="25">
        <v>864000</v>
      </c>
      <c r="BA162" s="25">
        <v>1209600</v>
      </c>
      <c r="BB162" s="43"/>
      <c r="BC162" s="53"/>
      <c r="BD162" s="53"/>
      <c r="BE162" s="53"/>
      <c r="BF162" s="53"/>
      <c r="BG162" s="53"/>
      <c r="BH162" s="53"/>
      <c r="BI162" s="53"/>
      <c r="BJ162" s="53"/>
      <c r="BK162" s="53"/>
      <c r="BL162" s="53"/>
      <c r="BM162" s="53"/>
      <c r="BN162" s="53"/>
      <c r="BO162" s="53"/>
      <c r="BP162" s="53"/>
      <c r="BQ162" s="53"/>
      <c r="BR162" s="53"/>
      <c r="BS162" s="53"/>
      <c r="BT162" s="53"/>
      <c r="BU162" s="53"/>
      <c r="BV162" s="53"/>
      <c r="BW162" s="53"/>
      <c r="BX162" s="53"/>
      <c r="BY162" s="53"/>
      <c r="BZ162" s="53"/>
      <c r="CA162" s="53"/>
      <c r="CB162" s="53"/>
      <c r="CC162" s="53"/>
      <c r="CD162" s="53"/>
      <c r="CE162" s="53"/>
      <c r="CF162" s="53"/>
      <c r="CG162" s="53"/>
      <c r="CH162" s="53"/>
      <c r="CI162" s="53"/>
      <c r="CJ162" s="53"/>
      <c r="CK162" s="53"/>
      <c r="CL162" s="53"/>
      <c r="CM162" s="53"/>
      <c r="CN162" s="53"/>
      <c r="CO162" s="53"/>
      <c r="CP162" s="53"/>
      <c r="CQ162" s="53"/>
      <c r="CR162" s="1"/>
      <c r="CS162" s="1"/>
      <c r="CT162" s="1"/>
      <c r="CU162" s="1"/>
    </row>
    <row r="163" spans="1:99" s="13" customFormat="1" ht="12" customHeight="1" x14ac:dyDescent="0.2">
      <c r="A163" s="65">
        <v>43903</v>
      </c>
      <c r="B163" s="1" t="s">
        <v>473</v>
      </c>
      <c r="C163" s="1" t="s">
        <v>474</v>
      </c>
      <c r="D163" s="60">
        <v>2020</v>
      </c>
      <c r="E163" s="76">
        <v>1</v>
      </c>
      <c r="F163" s="60">
        <v>144</v>
      </c>
      <c r="G163" s="60">
        <v>24</v>
      </c>
      <c r="H163" s="60"/>
      <c r="I163" s="60" t="s">
        <v>682</v>
      </c>
      <c r="J163" s="60" t="s">
        <v>475</v>
      </c>
      <c r="K163" s="60">
        <f>IF(J163="syllables",1,IF(J163="trigrams",2,IF(J163="strings",3,IF(J163="visual array",4,IF(J163="characters",5,IF(J163="letters",6,IF(J163="free forms",7,IF(J163="odors",8,IF(J163="words",9,IF(J163="pictures",10,IF(J163="object pictures",11,IF(J163="faces",12,IF(J163="names",13,IF(J163="idioms",14,IF(J163="grades",15,IF(J163="syllable-digit pairs",16,IF(J163="trigram-word pairs",17,IF(J163="word-digit pairs",18,IF(J163="English-Swahili pairs",19,IF(J163="spatial position",20,IF(J163="word pairs",21,IF(J163="word triads",22,IF(J163="generated words",23,IF(J163="word definition pairs",24,IF(J163="math problems",25,IF(J163="famous faces",26,IF(J163="famous names",27,IF(J163="famous voices",28,IF(J163="television programs",29,IF(J163="race horses",30,IF(J163="new vocabulary",31,IF(J163="sentences",32,IF(J163="concepts",33,IF(J163="ad slides",34,IF(J163="scenes",35,IF(J163="famous scenes",36,IF(J163="poems",37,IF(J163="walk",38,IF(J163="faces and events",39,IF(J163="events and names",40,IF(J163="flashbulb",41,IF(J163="stories",42,IF(J163="course material",43,IF(J163="autobiographical",44,IF(J163="novels",45,IF(J163="public events",46,"99"))))))))))))))))))))))))))))))))))))))))))))))</f>
        <v>32</v>
      </c>
      <c r="L163" s="60">
        <f>IF(J163="syllables",1,IF(J163="trigrams",1,IF(J163="strings",1,IF(J163="visual array",1,IF(J163="characters",1,IF(J163="letters",1,IF(J163="free forms",1,IF(J163="odors",2,IF(J163="words",2,IF(J163="pictures",2,IF(J163="object pictures",2,IF(J163="faces",2,IF(J163="names",2,IF(J163="idioms","2",IF(J163="grades",2,IF(J163="syllable-digit pairs",3,IF(J163="trigram-word pairs",3,IF(J163="word-digit pairs",3,IF(J163="English-Swahili pairs",3,IF(J163="spatial position",3,IF(J163="word pairs",4,IF(J163="word triads",4,IF(J163="generated words",4,IF(J163="word definition pairs",4,IF(J163="math problems",4,IF(J163="famous faces",4,IF(J163="famous names",4,IF(J163="famous voices",4,IF(J163="television programs",4,IF(J163="race horses",4,IF(J163="new vocabulary",4,IF(J163="sentences",5,IF(J163="concepts",5,IF(J163="ad slides",5,IF(J163="scenes",5,IF(J163="famous scenes",5,IF(J163="poems",6,IF(J163="walk",6,IF(J163="faces and events",6,IF(J163="events and names",6,IF(J163="flashbulb",7,IF(J163="stories",7,IF(J163="course material",7,IF(J163="autobiographical",7,IF(J163="novels",7,IF(J163="public events",7,"99"))))))))))))))))))))))))))))))))))))))))))))))</f>
        <v>5</v>
      </c>
      <c r="M163" s="60">
        <v>1</v>
      </c>
      <c r="N163" s="60">
        <v>4</v>
      </c>
      <c r="O163" s="60">
        <v>0</v>
      </c>
      <c r="P163" s="60"/>
      <c r="Q163" s="60" t="s">
        <v>34</v>
      </c>
      <c r="R163" s="60">
        <f>IF(Q163="Free Recall",1,IF(Q163="Cued Recall",2,IF(Q163="Recognition",3,IF(Q163="Multiple Choice",4,IF(Q163="Savings",5,IF(Q163="Stem Completion",6,IF(Q163="Fragment Completion",7,IF(Q163="anagram solution",8,IF(Q163="Matching",9,IF(Q163="Problem Solving",10,"99"))))))))))</f>
        <v>3</v>
      </c>
      <c r="S163" s="60" t="s">
        <v>15</v>
      </c>
      <c r="T163" s="60" t="s">
        <v>261</v>
      </c>
      <c r="U163" s="60">
        <f>IF(T163="within",1,0)</f>
        <v>0</v>
      </c>
      <c r="V163" s="60">
        <v>18</v>
      </c>
      <c r="W163" s="60">
        <f>F163*V163</f>
        <v>2592</v>
      </c>
      <c r="X163" s="60">
        <v>6</v>
      </c>
      <c r="Y163" s="76">
        <f>AV162</f>
        <v>60</v>
      </c>
      <c r="Z163" s="60" t="s">
        <v>476</v>
      </c>
      <c r="AA163" s="60">
        <v>1209600</v>
      </c>
      <c r="AB163" s="60" t="str">
        <f>IF(AA163&lt;60,"1",IF(AA163&lt;=43200,"2",IF(AA163&lt;=777600,"3","4")))</f>
        <v>4</v>
      </c>
      <c r="AC163" s="56">
        <f>AVERAGE(AV162:DA162)</f>
        <v>504010</v>
      </c>
      <c r="AD163" s="60" t="str">
        <f>IF(AC163&lt;60,"1",IF(AC163&lt;=43200,"2",IF(AC163&lt;=777600,"3","4")))</f>
        <v>3</v>
      </c>
      <c r="AE163" s="76">
        <f>AA163-Y163</f>
        <v>1209540</v>
      </c>
      <c r="AF163" s="80">
        <f>AV163</f>
        <v>0.90509259259259256</v>
      </c>
      <c r="AG163" s="56">
        <f>((AW163-AV163)+(AX163-AW163)+(AY163-AX163)+(AZ163-AY163)+(BA163-AZ163))/5</f>
        <v>-5.2546296296296299E-2</v>
      </c>
      <c r="AH163" s="4"/>
      <c r="AI163" s="56">
        <f>RSQ(AV163:BA163,AV162:BA162)</f>
        <v>0.87202622027826249</v>
      </c>
      <c r="AJ163" s="109">
        <f>SLOPE(AV163:BA163,AV162:BA162)</f>
        <v>-1.9579104073363328E-7</v>
      </c>
      <c r="AK163" s="56">
        <f>INTERCEPT(AV163:BA163,AV162:BA162)</f>
        <v>0.8700926794771956</v>
      </c>
      <c r="AL163" s="56">
        <f>INDEX(LINEST(LN(AV163:BA163),LN(AV162:BA162),TRUE,TRUE),3,1)</f>
        <v>0.63007191650754135</v>
      </c>
      <c r="AM163" s="56">
        <f>INDEX(LINEST(LN(AV163:BA163),LN(AV162:BA162)),1)</f>
        <v>-2.7351483884457073E-2</v>
      </c>
      <c r="AN163" s="56">
        <f>EXP(INDEX(LINEST(LN(AV163:BA163),LN(AV162:BA162)),1,2))</f>
        <v>1.048844636127074</v>
      </c>
      <c r="AO163" s="82">
        <f>INDEX(LINEST((AV163:BA163),LN(AV162:BA162),TRUE,TRUE),3,1)</f>
        <v>0.66329630856597788</v>
      </c>
      <c r="AP163" s="82">
        <f>INDEX(LINEST((AV163:BA163),LN(AV162:BA162)),1)</f>
        <v>-2.1646540915901034E-2</v>
      </c>
      <c r="AQ163" s="83">
        <f>INDEX(LINEST(LN(AV163:BA163),SQRT(AV162:BA162),TRUE,TRUE),3,1)</f>
        <v>0.91890438195743196</v>
      </c>
      <c r="AR163" s="116">
        <f>INDEX(LINEST(LN(AV163:BA163),SQRT((AV162:BA162))),1)</f>
        <v>-3.0119644439943603E-4</v>
      </c>
      <c r="AS163" s="84">
        <f>INDEX(LINEST(1/(AV163:BA163),1/(SQRT(AV162:BA162)),TRUE,TRUE),3,1)</f>
        <v>0.38362312279226013</v>
      </c>
      <c r="AT163" s="84">
        <f>INDEX(LINEST(1/(AV163:BA163),1/SQRT(AV162:BA162)),1)</f>
        <v>-2.0132458530117385</v>
      </c>
      <c r="AU163" s="3"/>
      <c r="AV163" s="53">
        <v>0.90509259259259256</v>
      </c>
      <c r="AW163" s="53">
        <v>0.86689814814814825</v>
      </c>
      <c r="AX163" s="53">
        <v>0.75115740740740744</v>
      </c>
      <c r="AY163" s="53">
        <v>0.76504629629629617</v>
      </c>
      <c r="AZ163" s="53">
        <v>0.69791666666666663</v>
      </c>
      <c r="BA163" s="53">
        <v>0.64236111111111105</v>
      </c>
      <c r="BB163" s="43"/>
      <c r="BC163" s="53"/>
      <c r="BD163" s="53"/>
      <c r="BE163" s="53"/>
      <c r="BF163" s="53"/>
      <c r="BG163" s="53"/>
      <c r="BH163" s="53"/>
      <c r="BI163" s="53"/>
      <c r="BJ163" s="53"/>
      <c r="BK163" s="53"/>
      <c r="BL163" s="53"/>
      <c r="BM163" s="53"/>
      <c r="BN163" s="53"/>
      <c r="BO163" s="53"/>
      <c r="BP163" s="53"/>
      <c r="BQ163" s="53"/>
      <c r="BR163" s="53"/>
      <c r="BS163" s="53"/>
      <c r="BT163" s="53"/>
      <c r="BU163" s="53"/>
      <c r="BV163" s="53"/>
      <c r="BW163" s="53"/>
      <c r="BX163" s="53"/>
      <c r="BY163" s="53"/>
      <c r="BZ163" s="53"/>
      <c r="CA163" s="53"/>
      <c r="CB163" s="53"/>
      <c r="CC163" s="53"/>
      <c r="CD163" s="53"/>
      <c r="CE163" s="53"/>
      <c r="CF163" s="53"/>
      <c r="CG163" s="53"/>
      <c r="CH163" s="53"/>
      <c r="CI163" s="53"/>
      <c r="CJ163" s="53"/>
      <c r="CK163" s="53"/>
      <c r="CL163" s="53"/>
      <c r="CM163" s="53"/>
      <c r="CN163" s="53"/>
      <c r="CO163" s="53"/>
      <c r="CP163" s="53"/>
      <c r="CQ163" s="53"/>
      <c r="CR163" s="1"/>
      <c r="CS163" s="1"/>
      <c r="CT163" s="1"/>
      <c r="CU163" s="1"/>
    </row>
    <row r="164" spans="1:99" s="13" customFormat="1" ht="12" customHeight="1" x14ac:dyDescent="0.2">
      <c r="A164" s="65">
        <v>43903</v>
      </c>
      <c r="D164" s="61"/>
      <c r="E164" s="76"/>
      <c r="F164" s="60"/>
      <c r="G164" s="60"/>
      <c r="H164" s="60"/>
      <c r="I164" s="60"/>
      <c r="J164" s="60"/>
      <c r="K164" s="64"/>
      <c r="L164" s="64"/>
      <c r="M164" s="60"/>
      <c r="N164" s="60"/>
      <c r="O164" s="60"/>
      <c r="P164" s="60"/>
      <c r="Q164" s="60"/>
      <c r="R164" s="60"/>
      <c r="S164" s="60"/>
      <c r="T164" s="60"/>
      <c r="U164" s="60"/>
      <c r="V164" s="60"/>
      <c r="W164" s="60"/>
      <c r="X164" s="60"/>
      <c r="Y164" s="76"/>
      <c r="Z164" s="60"/>
      <c r="AA164" s="60"/>
      <c r="AB164" s="60"/>
      <c r="AC164" s="56"/>
      <c r="AD164" s="60"/>
      <c r="AE164" s="60"/>
      <c r="AF164" s="80"/>
      <c r="AG164" s="56"/>
      <c r="AH164" s="4"/>
      <c r="AI164" s="56"/>
      <c r="AJ164" s="109"/>
      <c r="AK164" s="56"/>
      <c r="AL164" s="56"/>
      <c r="AM164" s="56"/>
      <c r="AN164" s="56"/>
      <c r="AO164" s="82"/>
      <c r="AP164" s="82"/>
      <c r="AQ164" s="83"/>
      <c r="AR164" s="116"/>
      <c r="AS164" s="84"/>
      <c r="AT164" s="84"/>
      <c r="AU164" s="3"/>
      <c r="AV164" s="25">
        <v>60</v>
      </c>
      <c r="AW164" s="25">
        <v>86400</v>
      </c>
      <c r="AX164" s="25">
        <v>259200</v>
      </c>
      <c r="AY164" s="25">
        <v>604800</v>
      </c>
      <c r="AZ164" s="25">
        <v>864000</v>
      </c>
      <c r="BA164" s="25">
        <v>1209600</v>
      </c>
      <c r="BB164" s="43"/>
      <c r="BC164" s="53"/>
      <c r="BD164" s="53"/>
      <c r="BE164" s="53"/>
      <c r="BF164" s="53"/>
      <c r="BG164" s="53"/>
      <c r="BH164" s="53"/>
      <c r="BI164" s="53"/>
      <c r="BJ164" s="53"/>
      <c r="BK164" s="53"/>
      <c r="BL164" s="53"/>
      <c r="BM164" s="53"/>
      <c r="BN164" s="53"/>
      <c r="BO164" s="53"/>
      <c r="BP164" s="53"/>
      <c r="BQ164" s="53"/>
      <c r="BR164" s="53"/>
      <c r="BS164" s="53"/>
      <c r="BT164" s="53"/>
      <c r="BU164" s="53"/>
      <c r="BV164" s="53"/>
      <c r="BW164" s="53"/>
      <c r="BX164" s="53"/>
      <c r="BY164" s="53"/>
      <c r="BZ164" s="53"/>
      <c r="CA164" s="53"/>
      <c r="CB164" s="53"/>
      <c r="CC164" s="53"/>
      <c r="CD164" s="53"/>
      <c r="CE164" s="53"/>
      <c r="CF164" s="53"/>
      <c r="CG164" s="53"/>
      <c r="CH164" s="53"/>
      <c r="CI164" s="53"/>
      <c r="CJ164" s="53"/>
      <c r="CK164" s="53"/>
      <c r="CL164" s="53"/>
      <c r="CM164" s="53"/>
      <c r="CN164" s="53"/>
      <c r="CO164" s="53"/>
      <c r="CP164" s="53"/>
      <c r="CQ164" s="53"/>
      <c r="CR164" s="1"/>
      <c r="CS164" s="1"/>
      <c r="CT164" s="1"/>
      <c r="CU164" s="1"/>
    </row>
    <row r="165" spans="1:99" s="13" customFormat="1" ht="12" customHeight="1" x14ac:dyDescent="0.2">
      <c r="A165" s="65">
        <v>43903</v>
      </c>
      <c r="B165" s="1" t="s">
        <v>473</v>
      </c>
      <c r="C165" s="1" t="s">
        <v>474</v>
      </c>
      <c r="D165" s="60">
        <v>2020</v>
      </c>
      <c r="E165" s="76">
        <v>1</v>
      </c>
      <c r="F165" s="60">
        <v>144</v>
      </c>
      <c r="G165" s="60">
        <v>24</v>
      </c>
      <c r="H165" s="60"/>
      <c r="I165" s="60" t="s">
        <v>683</v>
      </c>
      <c r="J165" s="60" t="s">
        <v>475</v>
      </c>
      <c r="K165" s="60">
        <f>IF(J165="syllables",1,IF(J165="trigrams",2,IF(J165="strings",3,IF(J165="visual array",4,IF(J165="characters",5,IF(J165="letters",6,IF(J165="free forms",7,IF(J165="odors",8,IF(J165="words",9,IF(J165="pictures",10,IF(J165="object pictures",11,IF(J165="faces",12,IF(J165="names",13,IF(J165="idioms",14,IF(J165="grades",15,IF(J165="syllable-digit pairs",16,IF(J165="trigram-word pairs",17,IF(J165="word-digit pairs",18,IF(J165="English-Swahili pairs",19,IF(J165="spatial position",20,IF(J165="word pairs",21,IF(J165="word triads",22,IF(J165="generated words",23,IF(J165="word definition pairs",24,IF(J165="math problems",25,IF(J165="famous faces",26,IF(J165="famous names",27,IF(J165="famous voices",28,IF(J165="television programs",29,IF(J165="race horses",30,IF(J165="new vocabulary",31,IF(J165="sentences",32,IF(J165="concepts",33,IF(J165="ad slides",34,IF(J165="scenes",35,IF(J165="famous scenes",36,IF(J165="poems",37,IF(J165="walk",38,IF(J165="faces and events",39,IF(J165="events and names",40,IF(J165="flashbulb",41,IF(J165="stories",42,IF(J165="course material",43,IF(J165="autobiographical",44,IF(J165="novels",45,IF(J165="public events",46,"99"))))))))))))))))))))))))))))))))))))))))))))))</f>
        <v>32</v>
      </c>
      <c r="L165" s="60">
        <f>IF(J165="syllables",1,IF(J165="trigrams",1,IF(J165="strings",1,IF(J165="visual array",1,IF(J165="characters",1,IF(J165="letters",1,IF(J165="free forms",1,IF(J165="odors",2,IF(J165="words",2,IF(J165="pictures",2,IF(J165="object pictures",2,IF(J165="faces",2,IF(J165="names",2,IF(J165="idioms","2",IF(J165="grades",2,IF(J165="syllable-digit pairs",3,IF(J165="trigram-word pairs",3,IF(J165="word-digit pairs",3,IF(J165="English-Swahili pairs",3,IF(J165="spatial position",3,IF(J165="word pairs",4,IF(J165="word triads",4,IF(J165="generated words",4,IF(J165="word definition pairs",4,IF(J165="math problems",4,IF(J165="famous faces",4,IF(J165="famous names",4,IF(J165="famous voices",4,IF(J165="television programs",4,IF(J165="race horses",4,IF(J165="new vocabulary",4,IF(J165="sentences",5,IF(J165="concepts",5,IF(J165="ad slides",5,IF(J165="scenes",5,IF(J165="famous scenes",5,IF(J165="poems",6,IF(J165="walk",6,IF(J165="faces and events",6,IF(J165="events and names",6,IF(J165="flashbulb",7,IF(J165="stories",7,IF(J165="course material",7,IF(J165="autobiographical",7,IF(J165="novels",7,IF(J165="public events",7,"99"))))))))))))))))))))))))))))))))))))))))))))))</f>
        <v>5</v>
      </c>
      <c r="M165" s="60">
        <v>1</v>
      </c>
      <c r="N165" s="60">
        <v>4</v>
      </c>
      <c r="O165" s="60">
        <v>0</v>
      </c>
      <c r="P165" s="60"/>
      <c r="Q165" s="60" t="s">
        <v>34</v>
      </c>
      <c r="R165" s="60">
        <f>IF(Q165="Free Recall",1,IF(Q165="Cued Recall",2,IF(Q165="Recognition",3,IF(Q165="Multiple Choice",4,IF(Q165="Savings",5,IF(Q165="Stem Completion",6,IF(Q165="Fragment Completion",7,IF(Q165="anagram solution",8,IF(Q165="Matching",9,IF(Q165="Problem Solving",10,"99"))))))))))</f>
        <v>3</v>
      </c>
      <c r="S165" s="60" t="s">
        <v>15</v>
      </c>
      <c r="T165" s="60" t="s">
        <v>261</v>
      </c>
      <c r="U165" s="60">
        <f>IF(T165="within",1,0)</f>
        <v>0</v>
      </c>
      <c r="V165" s="60">
        <v>18</v>
      </c>
      <c r="W165" s="60">
        <f>F165*V165</f>
        <v>2592</v>
      </c>
      <c r="X165" s="60">
        <v>6</v>
      </c>
      <c r="Y165" s="76">
        <f>AV164</f>
        <v>60</v>
      </c>
      <c r="Z165" s="60" t="s">
        <v>476</v>
      </c>
      <c r="AA165" s="60">
        <v>1209600</v>
      </c>
      <c r="AB165" s="60" t="str">
        <f>IF(AA165&lt;60,"1",IF(AA165&lt;=43200,"2",IF(AA165&lt;=777600,"3","4")))</f>
        <v>4</v>
      </c>
      <c r="AC165" s="56">
        <f>AVERAGE(AV164:DA164)</f>
        <v>504010</v>
      </c>
      <c r="AD165" s="60" t="str">
        <f>IF(AC165&lt;60,"1",IF(AC165&lt;=43200,"2",IF(AC165&lt;=777600,"3","4")))</f>
        <v>3</v>
      </c>
      <c r="AE165" s="76">
        <f>AA165-Y165</f>
        <v>1209540</v>
      </c>
      <c r="AF165" s="80">
        <f>AV165</f>
        <v>0.97106481481481455</v>
      </c>
      <c r="AG165" s="56">
        <f>((AW165-AV165)+(AX165-AW165)+(AY165-AX165)+(AZ165-AY165)+(BA165-AZ165))/5</f>
        <v>-3.6805555555555536E-2</v>
      </c>
      <c r="AH165" s="4"/>
      <c r="AI165" s="56">
        <f>RSQ(AV165:BA165,AV164:BA164)</f>
        <v>0.95813308557581955</v>
      </c>
      <c r="AJ165" s="109">
        <f>SLOPE(AV165:BA165,AV164:BA164)</f>
        <v>-1.535308651753127E-7</v>
      </c>
      <c r="AK165" s="56">
        <f>INTERCEPT(AV165:BA165,AV164:BA164)</f>
        <v>0.95508170864095987</v>
      </c>
      <c r="AL165" s="56">
        <f>INDEX(LINEST(LN(AV165:BA165),LN(AV164:BA164),TRUE,TRUE),3,1)</f>
        <v>0.60763874959763764</v>
      </c>
      <c r="AM165" s="56">
        <f>INDEX(LINEST(LN(AV165:BA165),LN(AV164:BA164)),1)</f>
        <v>-1.7680539009255279E-2</v>
      </c>
      <c r="AN165" s="56">
        <f>EXP(INDEX(LINEST(LN(AV165:BA165),LN(AV164:BA164)),1,2))</f>
        <v>1.072103200841718</v>
      </c>
      <c r="AO165" s="82">
        <f>INDEX(LINEST((AV165:BA165),LN(AV164:BA164),TRUE,TRUE),3,1)</f>
        <v>0.62571672665906986</v>
      </c>
      <c r="AP165" s="82">
        <f>INDEX(LINEST((AV165:BA165),LN(AV164:BA164)),1)</f>
        <v>-1.5728175060977869E-2</v>
      </c>
      <c r="AQ165" s="83">
        <f>INDEX(LINEST(LN(AV165:BA165),SQRT(AV164:BA164),TRUE,TRUE),3,1)</f>
        <v>0.9754830067836785</v>
      </c>
      <c r="AR165" s="116">
        <f>INDEX(LINEST(LN(AV165:BA165),SQRT((AV164:BA164))),1)</f>
        <v>-2.0427323759287933E-4</v>
      </c>
      <c r="AS165" s="84">
        <f>INDEX(LINEST(1/(AV165:BA165),1/(SQRT(AV164:BA164)),TRUE,TRUE),3,1)</f>
        <v>0.35969147120495071</v>
      </c>
      <c r="AT165" s="84">
        <f>INDEX(LINEST(1/(AV165:BA165),1/SQRT(AV164:BA164)),1)</f>
        <v>-1.1208027037702282</v>
      </c>
      <c r="AU165" s="3"/>
      <c r="AV165" s="53">
        <v>0.97106481481481455</v>
      </c>
      <c r="AW165" s="53">
        <v>0.94444444444444431</v>
      </c>
      <c r="AX165" s="53">
        <v>0.90856481481481477</v>
      </c>
      <c r="AY165" s="53">
        <v>0.84027777777777779</v>
      </c>
      <c r="AZ165" s="53">
        <v>0.81481481481481488</v>
      </c>
      <c r="BA165" s="53">
        <v>0.78703703703703687</v>
      </c>
      <c r="BB165" s="43"/>
      <c r="BC165" s="53"/>
      <c r="BD165" s="53"/>
      <c r="BE165" s="53"/>
      <c r="BF165" s="53"/>
      <c r="BG165" s="53"/>
      <c r="BH165" s="53"/>
      <c r="BI165" s="53"/>
      <c r="BJ165" s="53"/>
      <c r="BK165" s="53"/>
      <c r="BL165" s="53"/>
      <c r="BM165" s="53"/>
      <c r="BN165" s="53"/>
      <c r="BO165" s="53"/>
      <c r="BP165" s="53"/>
      <c r="BQ165" s="53"/>
      <c r="BR165" s="53"/>
      <c r="BS165" s="53"/>
      <c r="BT165" s="53"/>
      <c r="BU165" s="53"/>
      <c r="BV165" s="53"/>
      <c r="BW165" s="53"/>
      <c r="BX165" s="53"/>
      <c r="BY165" s="53"/>
      <c r="BZ165" s="53"/>
      <c r="CA165" s="53"/>
      <c r="CB165" s="53"/>
      <c r="CC165" s="53"/>
      <c r="CD165" s="53"/>
      <c r="CE165" s="53"/>
      <c r="CF165" s="53"/>
      <c r="CG165" s="53"/>
      <c r="CH165" s="53"/>
      <c r="CI165" s="53"/>
      <c r="CJ165" s="53"/>
      <c r="CK165" s="53"/>
      <c r="CL165" s="53"/>
      <c r="CM165" s="53"/>
      <c r="CN165" s="53"/>
      <c r="CO165" s="53"/>
      <c r="CP165" s="53"/>
      <c r="CQ165" s="53"/>
      <c r="CR165" s="1"/>
      <c r="CS165" s="1"/>
      <c r="CT165" s="1"/>
      <c r="CU165" s="1"/>
    </row>
    <row r="166" spans="1:99" s="13" customFormat="1" ht="12" customHeight="1" x14ac:dyDescent="0.2">
      <c r="A166" s="65">
        <v>43903</v>
      </c>
      <c r="D166" s="61"/>
      <c r="E166" s="76"/>
      <c r="F166" s="60"/>
      <c r="G166" s="60"/>
      <c r="H166" s="60"/>
      <c r="I166" s="60"/>
      <c r="J166" s="60"/>
      <c r="K166" s="64"/>
      <c r="L166" s="64"/>
      <c r="M166" s="60"/>
      <c r="N166" s="60"/>
      <c r="O166" s="60"/>
      <c r="P166" s="60"/>
      <c r="Q166" s="60"/>
      <c r="R166" s="60"/>
      <c r="S166" s="60"/>
      <c r="T166" s="60"/>
      <c r="U166" s="60"/>
      <c r="V166" s="60"/>
      <c r="W166" s="60"/>
      <c r="X166" s="60"/>
      <c r="Y166" s="76"/>
      <c r="Z166" s="60"/>
      <c r="AA166" s="60"/>
      <c r="AB166" s="60"/>
      <c r="AC166" s="56"/>
      <c r="AD166" s="60"/>
      <c r="AE166" s="60"/>
      <c r="AF166" s="80"/>
      <c r="AG166" s="56"/>
      <c r="AH166" s="4"/>
      <c r="AI166" s="56"/>
      <c r="AJ166" s="109"/>
      <c r="AK166" s="56"/>
      <c r="AL166" s="56"/>
      <c r="AM166" s="56"/>
      <c r="AN166" s="56"/>
      <c r="AO166" s="82"/>
      <c r="AP166" s="82"/>
      <c r="AQ166" s="83"/>
      <c r="AR166" s="116"/>
      <c r="AS166" s="84"/>
      <c r="AT166" s="84"/>
      <c r="AU166" s="3"/>
      <c r="AV166" s="25">
        <v>60</v>
      </c>
      <c r="AW166" s="25">
        <v>86400</v>
      </c>
      <c r="AX166" s="25">
        <v>259200</v>
      </c>
      <c r="AY166" s="25">
        <v>604800</v>
      </c>
      <c r="AZ166" s="25">
        <v>864000</v>
      </c>
      <c r="BA166" s="25">
        <v>1209600</v>
      </c>
      <c r="BB166" s="43"/>
      <c r="BC166" s="53"/>
      <c r="BD166" s="53"/>
      <c r="BE166" s="53"/>
      <c r="BF166" s="53"/>
      <c r="BG166" s="53"/>
      <c r="BH166" s="53"/>
      <c r="BI166" s="53"/>
      <c r="BJ166" s="53"/>
      <c r="BK166" s="53"/>
      <c r="BL166" s="53"/>
      <c r="BM166" s="53"/>
      <c r="BN166" s="53"/>
      <c r="BO166" s="53"/>
      <c r="BP166" s="53"/>
      <c r="BQ166" s="53"/>
      <c r="BR166" s="53"/>
      <c r="BS166" s="53"/>
      <c r="BT166" s="53"/>
      <c r="BU166" s="53"/>
      <c r="BV166" s="53"/>
      <c r="BW166" s="53"/>
      <c r="BX166" s="53"/>
      <c r="BY166" s="53"/>
      <c r="BZ166" s="53"/>
      <c r="CA166" s="53"/>
      <c r="CB166" s="53"/>
      <c r="CC166" s="53"/>
      <c r="CD166" s="53"/>
      <c r="CE166" s="53"/>
      <c r="CF166" s="53"/>
      <c r="CG166" s="53"/>
      <c r="CH166" s="53"/>
      <c r="CI166" s="53"/>
      <c r="CJ166" s="53"/>
      <c r="CK166" s="53"/>
      <c r="CL166" s="53"/>
      <c r="CM166" s="53"/>
      <c r="CN166" s="53"/>
      <c r="CO166" s="53"/>
      <c r="CP166" s="53"/>
      <c r="CQ166" s="53"/>
      <c r="CR166" s="1"/>
      <c r="CS166" s="1"/>
      <c r="CT166" s="1"/>
      <c r="CU166" s="1"/>
    </row>
    <row r="167" spans="1:99" s="13" customFormat="1" ht="12" customHeight="1" x14ac:dyDescent="0.2">
      <c r="A167" s="65">
        <v>43903</v>
      </c>
      <c r="B167" s="1" t="s">
        <v>473</v>
      </c>
      <c r="C167" s="1" t="s">
        <v>474</v>
      </c>
      <c r="D167" s="60">
        <v>2020</v>
      </c>
      <c r="E167" s="76">
        <v>2</v>
      </c>
      <c r="F167" s="60">
        <v>144</v>
      </c>
      <c r="G167" s="60">
        <v>24</v>
      </c>
      <c r="H167" s="60"/>
      <c r="I167" s="60" t="s">
        <v>685</v>
      </c>
      <c r="J167" s="60" t="s">
        <v>475</v>
      </c>
      <c r="K167" s="60">
        <f>IF(J167="syllables",1,IF(J167="trigrams",2,IF(J167="strings",3,IF(J167="visual array",4,IF(J167="characters",5,IF(J167="letters",6,IF(J167="free forms",7,IF(J167="odors",8,IF(J167="words",9,IF(J167="pictures",10,IF(J167="object pictures",11,IF(J167="faces",12,IF(J167="names",13,IF(J167="idioms",14,IF(J167="grades",15,IF(J167="syllable-digit pairs",16,IF(J167="trigram-word pairs",17,IF(J167="word-digit pairs",18,IF(J167="English-Swahili pairs",19,IF(J167="spatial position",20,IF(J167="word pairs",21,IF(J167="word triads",22,IF(J167="generated words",23,IF(J167="word definition pairs",24,IF(J167="math problems",25,IF(J167="famous faces",26,IF(J167="famous names",27,IF(J167="famous voices",28,IF(J167="television programs",29,IF(J167="race horses",30,IF(J167="new vocabulary",31,IF(J167="sentences",32,IF(J167="concepts",33,IF(J167="ad slides",34,IF(J167="scenes",35,IF(J167="famous scenes",36,IF(J167="poems",37,IF(J167="walk",38,IF(J167="faces and events",39,IF(J167="events and names",40,IF(J167="flashbulb",41,IF(J167="stories",42,IF(J167="course material",43,IF(J167="autobiographical",44,IF(J167="novels",45,IF(J167="public events",46,"99"))))))))))))))))))))))))))))))))))))))))))))))</f>
        <v>32</v>
      </c>
      <c r="L167" s="60">
        <f>IF(J167="syllables",1,IF(J167="trigrams",1,IF(J167="strings",1,IF(J167="visual array",1,IF(J167="characters",1,IF(J167="letters",1,IF(J167="free forms",1,IF(J167="odors",2,IF(J167="words",2,IF(J167="pictures",2,IF(J167="object pictures",2,IF(J167="faces",2,IF(J167="names",2,IF(J167="idioms","2",IF(J167="grades",2,IF(J167="syllable-digit pairs",3,IF(J167="trigram-word pairs",3,IF(J167="word-digit pairs",3,IF(J167="English-Swahili pairs",3,IF(J167="spatial position",3,IF(J167="word pairs",4,IF(J167="word triads",4,IF(J167="generated words",4,IF(J167="word definition pairs",4,IF(J167="math problems",4,IF(J167="famous faces",4,IF(J167="famous names",4,IF(J167="famous voices",4,IF(J167="television programs",4,IF(J167="race horses",4,IF(J167="new vocabulary",4,IF(J167="sentences",5,IF(J167="concepts",5,IF(J167="ad slides",5,IF(J167="scenes",5,IF(J167="famous scenes",5,IF(J167="poems",6,IF(J167="walk",6,IF(J167="faces and events",6,IF(J167="events and names",6,IF(J167="flashbulb",7,IF(J167="stories",7,IF(J167="course material",7,IF(J167="autobiographical",7,IF(J167="novels",7,IF(J167="public events",7,"99"))))))))))))))))))))))))))))))))))))))))))))))</f>
        <v>5</v>
      </c>
      <c r="M167" s="60">
        <v>1</v>
      </c>
      <c r="N167" s="60">
        <v>4</v>
      </c>
      <c r="O167" s="60">
        <v>0</v>
      </c>
      <c r="P167" s="60"/>
      <c r="Q167" s="60" t="s">
        <v>34</v>
      </c>
      <c r="R167" s="60">
        <f>IF(Q167="Free Recall",1,IF(Q167="Cued Recall",2,IF(Q167="Recognition",3,IF(Q167="Multiple Choice",4,IF(Q167="Savings",5,IF(Q167="Stem Completion",6,IF(Q167="Fragment Completion",7,IF(Q167="anagram solution",8,IF(Q167="Matching",9,IF(Q167="Problem Solving",10,"99"))))))))))</f>
        <v>3</v>
      </c>
      <c r="S167" s="60" t="s">
        <v>15</v>
      </c>
      <c r="T167" s="60" t="s">
        <v>261</v>
      </c>
      <c r="U167" s="60">
        <f>IF(T167="within",1,0)</f>
        <v>0</v>
      </c>
      <c r="V167" s="60">
        <v>18</v>
      </c>
      <c r="W167" s="60">
        <f>F167*V167</f>
        <v>2592</v>
      </c>
      <c r="X167" s="60">
        <v>6</v>
      </c>
      <c r="Y167" s="76">
        <f>AV166</f>
        <v>60</v>
      </c>
      <c r="Z167" s="60" t="s">
        <v>476</v>
      </c>
      <c r="AA167" s="60">
        <v>1209600</v>
      </c>
      <c r="AB167" s="60" t="str">
        <f>IF(AA167&lt;60,"1",IF(AA167&lt;=43200,"2",IF(AA167&lt;=777600,"3","4")))</f>
        <v>4</v>
      </c>
      <c r="AC167" s="56">
        <f>AVERAGE(AV166:DA166)</f>
        <v>504010</v>
      </c>
      <c r="AD167" s="60" t="str">
        <f>IF(AC167&lt;60,"1",IF(AC167&lt;=43200,"2",IF(AC167&lt;=777600,"3","4")))</f>
        <v>3</v>
      </c>
      <c r="AE167" s="76">
        <f>AA167-Y167</f>
        <v>1209540</v>
      </c>
      <c r="AF167" s="80">
        <f>AV167</f>
        <v>0.80439814814814803</v>
      </c>
      <c r="AG167" s="56">
        <f>((AW167-AV167)+(AX167-AW167)+(AY167-AX167)+(AZ167-AY167)+(BA167-AZ167))/5</f>
        <v>-4.4675925925925862E-2</v>
      </c>
      <c r="AH167" s="4"/>
      <c r="AI167" s="56">
        <f>RSQ(AV167:BA167,AV166:BA166)</f>
        <v>0.8649140033705669</v>
      </c>
      <c r="AJ167" s="109">
        <f>SLOPE(AV167:BA167,AV166:BA166)</f>
        <v>-1.5412757980810297E-7</v>
      </c>
      <c r="AK167" s="56">
        <f>INTERCEPT(AV167:BA167,AV166:BA166)</f>
        <v>0.75595013955904666</v>
      </c>
      <c r="AL167" s="56">
        <f>INDEX(LINEST(LN(AV167:BA167),LN(AV166:BA166),TRUE,TRUE),3,1)</f>
        <v>0.78260996076833589</v>
      </c>
      <c r="AM167" s="56">
        <f>INDEX(LINEST(LN(AV167:BA167),LN(AV166:BA166)),1)</f>
        <v>-2.7014341730541673E-2</v>
      </c>
      <c r="AN167" s="56">
        <f>EXP(INDEX(LINEST(LN(AV167:BA167),LN(AV166:BA166)),1,2))</f>
        <v>0.91995872671015366</v>
      </c>
      <c r="AO167" s="82">
        <f>INDEX(LINEST((AV167:BA167),LN(AV166:BA166),TRUE,TRUE),3,1)</f>
        <v>0.82304055119304054</v>
      </c>
      <c r="AP167" s="82">
        <f>INDEX(LINEST((AV167:BA167),LN(AV166:BA166)),1)</f>
        <v>-1.9059486017818768E-2</v>
      </c>
      <c r="AQ167" s="83">
        <f>INDEX(LINEST(LN(AV167:BA167),SQRT(AV166:BA166),TRUE,TRUE),3,1)</f>
        <v>0.97250895008233929</v>
      </c>
      <c r="AR167" s="116">
        <f>INDEX(LINEST(LN(AV167:BA167),SQRT((AV166:BA166))),1)</f>
        <v>-2.7459799080162349E-4</v>
      </c>
      <c r="AS167" s="84">
        <f>INDEX(LINEST(1/(AV167:BA167),1/(SQRT(AV166:BA166)),TRUE,TRUE),3,1)</f>
        <v>0.53575294241279414</v>
      </c>
      <c r="AT167" s="84">
        <f>INDEX(LINEST(1/(AV167:BA167),1/SQRT(AV166:BA166)),1)</f>
        <v>-2.3624070018552161</v>
      </c>
      <c r="AU167" s="3"/>
      <c r="AV167" s="53">
        <v>0.80439814814814803</v>
      </c>
      <c r="AW167" s="53">
        <v>0.71412037037037013</v>
      </c>
      <c r="AX167" s="53">
        <v>0.7002314814814814</v>
      </c>
      <c r="AY167" s="53">
        <v>0.63888888888888895</v>
      </c>
      <c r="AZ167" s="53">
        <v>0.63095238095238082</v>
      </c>
      <c r="BA167" s="53">
        <v>0.58101851851851871</v>
      </c>
      <c r="BB167" s="43"/>
      <c r="BC167" s="53"/>
      <c r="BD167" s="53"/>
      <c r="BE167" s="53"/>
      <c r="BF167" s="53"/>
      <c r="BG167" s="53"/>
      <c r="BH167" s="53"/>
      <c r="BI167" s="53"/>
      <c r="BJ167" s="53"/>
      <c r="BK167" s="53"/>
      <c r="BL167" s="53"/>
      <c r="BM167" s="53"/>
      <c r="BN167" s="53"/>
      <c r="BO167" s="53"/>
      <c r="BP167" s="53"/>
      <c r="BQ167" s="53"/>
      <c r="BR167" s="53"/>
      <c r="BS167" s="53"/>
      <c r="BT167" s="53"/>
      <c r="BU167" s="53"/>
      <c r="BV167" s="53"/>
      <c r="BW167" s="53"/>
      <c r="BX167" s="53"/>
      <c r="BY167" s="53"/>
      <c r="BZ167" s="53"/>
      <c r="CA167" s="53"/>
      <c r="CB167" s="53"/>
      <c r="CC167" s="53"/>
      <c r="CD167" s="53"/>
      <c r="CE167" s="53"/>
      <c r="CF167" s="53"/>
      <c r="CG167" s="53"/>
      <c r="CH167" s="53"/>
      <c r="CI167" s="53"/>
      <c r="CJ167" s="53"/>
      <c r="CK167" s="53"/>
      <c r="CL167" s="53"/>
      <c r="CM167" s="53"/>
      <c r="CN167" s="53"/>
      <c r="CO167" s="53"/>
      <c r="CP167" s="53"/>
      <c r="CQ167" s="53"/>
      <c r="CR167" s="1"/>
      <c r="CS167" s="1"/>
      <c r="CT167" s="1"/>
      <c r="CU167" s="1"/>
    </row>
    <row r="168" spans="1:99" s="13" customFormat="1" ht="12" customHeight="1" x14ac:dyDescent="0.2">
      <c r="A168" s="65">
        <v>43903</v>
      </c>
      <c r="D168" s="61"/>
      <c r="E168" s="76"/>
      <c r="F168" s="60"/>
      <c r="G168" s="60"/>
      <c r="H168" s="60"/>
      <c r="I168" s="60"/>
      <c r="J168" s="60"/>
      <c r="K168" s="64"/>
      <c r="L168" s="64"/>
      <c r="M168" s="60"/>
      <c r="N168" s="60"/>
      <c r="O168" s="60"/>
      <c r="P168" s="60"/>
      <c r="Q168" s="60"/>
      <c r="R168" s="60"/>
      <c r="S168" s="60"/>
      <c r="T168" s="60"/>
      <c r="U168" s="60"/>
      <c r="V168" s="60"/>
      <c r="W168" s="60"/>
      <c r="X168" s="60"/>
      <c r="Y168" s="76"/>
      <c r="Z168" s="60"/>
      <c r="AA168" s="60"/>
      <c r="AB168" s="60"/>
      <c r="AC168" s="56"/>
      <c r="AD168" s="60"/>
      <c r="AE168" s="60"/>
      <c r="AF168" s="80"/>
      <c r="AG168" s="56"/>
      <c r="AH168" s="4"/>
      <c r="AI168" s="56"/>
      <c r="AJ168" s="109"/>
      <c r="AK168" s="56"/>
      <c r="AL168" s="56"/>
      <c r="AM168" s="56"/>
      <c r="AN168" s="56"/>
      <c r="AO168" s="82"/>
      <c r="AP168" s="82"/>
      <c r="AQ168" s="83"/>
      <c r="AR168" s="116"/>
      <c r="AS168" s="84"/>
      <c r="AT168" s="84"/>
      <c r="AU168" s="3"/>
      <c r="AV168" s="25">
        <v>60</v>
      </c>
      <c r="AW168" s="25">
        <v>86400</v>
      </c>
      <c r="AX168" s="25">
        <v>259200</v>
      </c>
      <c r="AY168" s="25">
        <v>604800</v>
      </c>
      <c r="AZ168" s="25">
        <v>864000</v>
      </c>
      <c r="BA168" s="25">
        <v>1209600</v>
      </c>
      <c r="BB168" s="43"/>
      <c r="BC168" s="53"/>
      <c r="BD168" s="53"/>
      <c r="BE168" s="53"/>
      <c r="BF168" s="53"/>
      <c r="BG168" s="53"/>
      <c r="BH168" s="53"/>
      <c r="BI168" s="53"/>
      <c r="BJ168" s="53"/>
      <c r="BK168" s="53"/>
      <c r="BL168" s="53"/>
      <c r="BM168" s="53"/>
      <c r="BN168" s="53"/>
      <c r="BO168" s="53"/>
      <c r="BP168" s="53"/>
      <c r="BQ168" s="53"/>
      <c r="BR168" s="53"/>
      <c r="BS168" s="53"/>
      <c r="BT168" s="53"/>
      <c r="BU168" s="53"/>
      <c r="BV168" s="53"/>
      <c r="BW168" s="53"/>
      <c r="BX168" s="53"/>
      <c r="BY168" s="53"/>
      <c r="BZ168" s="53"/>
      <c r="CA168" s="53"/>
      <c r="CB168" s="53"/>
      <c r="CC168" s="53"/>
      <c r="CD168" s="53"/>
      <c r="CE168" s="53"/>
      <c r="CF168" s="53"/>
      <c r="CG168" s="53"/>
      <c r="CH168" s="53"/>
      <c r="CI168" s="53"/>
      <c r="CJ168" s="53"/>
      <c r="CK168" s="53"/>
      <c r="CL168" s="53"/>
      <c r="CM168" s="53"/>
      <c r="CN168" s="53"/>
      <c r="CO168" s="53"/>
      <c r="CP168" s="53"/>
      <c r="CQ168" s="53"/>
      <c r="CR168" s="1"/>
      <c r="CS168" s="1"/>
      <c r="CT168" s="1"/>
      <c r="CU168" s="1"/>
    </row>
    <row r="169" spans="1:99" s="13" customFormat="1" ht="12" customHeight="1" x14ac:dyDescent="0.2">
      <c r="A169" s="65">
        <v>43903</v>
      </c>
      <c r="B169" s="1" t="s">
        <v>473</v>
      </c>
      <c r="C169" s="1" t="s">
        <v>474</v>
      </c>
      <c r="D169" s="60">
        <v>2020</v>
      </c>
      <c r="E169" s="76">
        <v>2</v>
      </c>
      <c r="F169" s="60">
        <v>144</v>
      </c>
      <c r="G169" s="60">
        <v>24</v>
      </c>
      <c r="H169" s="60"/>
      <c r="I169" s="60" t="s">
        <v>684</v>
      </c>
      <c r="J169" s="60" t="s">
        <v>475</v>
      </c>
      <c r="K169" s="60">
        <f>IF(J169="syllables",1,IF(J169="trigrams",2,IF(J169="strings",3,IF(J169="visual array",4,IF(J169="characters",5,IF(J169="letters",6,IF(J169="free forms",7,IF(J169="odors",8,IF(J169="words",9,IF(J169="pictures",10,IF(J169="object pictures",11,IF(J169="faces",12,IF(J169="names",13,IF(J169="idioms",14,IF(J169="grades",15,IF(J169="syllable-digit pairs",16,IF(J169="trigram-word pairs",17,IF(J169="word-digit pairs",18,IF(J169="English-Swahili pairs",19,IF(J169="spatial position",20,IF(J169="word pairs",21,IF(J169="word triads",22,IF(J169="generated words",23,IF(J169="word definition pairs",24,IF(J169="math problems",25,IF(J169="famous faces",26,IF(J169="famous names",27,IF(J169="famous voices",28,IF(J169="television programs",29,IF(J169="race horses",30,IF(J169="new vocabulary",31,IF(J169="sentences",32,IF(J169="concepts",33,IF(J169="ad slides",34,IF(J169="scenes",35,IF(J169="famous scenes",36,IF(J169="poems",37,IF(J169="walk",38,IF(J169="faces and events",39,IF(J169="events and names",40,IF(J169="flashbulb",41,IF(J169="stories",42,IF(J169="course material",43,IF(J169="autobiographical",44,IF(J169="novels",45,IF(J169="public events",46,"99"))))))))))))))))))))))))))))))))))))))))))))))</f>
        <v>32</v>
      </c>
      <c r="L169" s="60">
        <f>IF(J169="syllables",1,IF(J169="trigrams",1,IF(J169="strings",1,IF(J169="visual array",1,IF(J169="characters",1,IF(J169="letters",1,IF(J169="free forms",1,IF(J169="odors",2,IF(J169="words",2,IF(J169="pictures",2,IF(J169="object pictures",2,IF(J169="faces",2,IF(J169="names",2,IF(J169="idioms","2",IF(J169="grades",2,IF(J169="syllable-digit pairs",3,IF(J169="trigram-word pairs",3,IF(J169="word-digit pairs",3,IF(J169="English-Swahili pairs",3,IF(J169="spatial position",3,IF(J169="word pairs",4,IF(J169="word triads",4,IF(J169="generated words",4,IF(J169="word definition pairs",4,IF(J169="math problems",4,IF(J169="famous faces",4,IF(J169="famous names",4,IF(J169="famous voices",4,IF(J169="television programs",4,IF(J169="race horses",4,IF(J169="new vocabulary",4,IF(J169="sentences",5,IF(J169="concepts",5,IF(J169="ad slides",5,IF(J169="scenes",5,IF(J169="famous scenes",5,IF(J169="poems",6,IF(J169="walk",6,IF(J169="faces and events",6,IF(J169="events and names",6,IF(J169="flashbulb",7,IF(J169="stories",7,IF(J169="course material",7,IF(J169="autobiographical",7,IF(J169="novels",7,IF(J169="public events",7,"99"))))))))))))))))))))))))))))))))))))))))))))))</f>
        <v>5</v>
      </c>
      <c r="M169" s="60">
        <v>1</v>
      </c>
      <c r="N169" s="60">
        <v>4</v>
      </c>
      <c r="O169" s="60">
        <v>0</v>
      </c>
      <c r="P169" s="60"/>
      <c r="Q169" s="60" t="s">
        <v>34</v>
      </c>
      <c r="R169" s="60">
        <f>IF(Q169="Free Recall",1,IF(Q169="Cued Recall",2,IF(Q169="Recognition",3,IF(Q169="Multiple Choice",4,IF(Q169="Savings",5,IF(Q169="Stem Completion",6,IF(Q169="Fragment Completion",7,IF(Q169="anagram solution",8,IF(Q169="Matching",9,IF(Q169="Problem Solving",10,"99"))))))))))</f>
        <v>3</v>
      </c>
      <c r="S169" s="60" t="s">
        <v>15</v>
      </c>
      <c r="T169" s="60" t="s">
        <v>261</v>
      </c>
      <c r="U169" s="60">
        <f>IF(T169="within",1,0)</f>
        <v>0</v>
      </c>
      <c r="V169" s="60">
        <v>18</v>
      </c>
      <c r="W169" s="60">
        <f>F169*V169</f>
        <v>2592</v>
      </c>
      <c r="X169" s="60">
        <v>6</v>
      </c>
      <c r="Y169" s="76">
        <f>AV168</f>
        <v>60</v>
      </c>
      <c r="Z169" s="60" t="s">
        <v>476</v>
      </c>
      <c r="AA169" s="60">
        <v>1209600</v>
      </c>
      <c r="AB169" s="60" t="str">
        <f>IF(AA169&lt;60,"1",IF(AA169&lt;=43200,"2",IF(AA169&lt;=777600,"3","4")))</f>
        <v>4</v>
      </c>
      <c r="AC169" s="56">
        <f>AVERAGE(AV168:DA168)</f>
        <v>504010</v>
      </c>
      <c r="AD169" s="60" t="str">
        <f>IF(AC169&lt;60,"1",IF(AC169&lt;=43200,"2",IF(AC169&lt;=777600,"3","4")))</f>
        <v>3</v>
      </c>
      <c r="AE169" s="76">
        <f>AA169-Y169</f>
        <v>1209540</v>
      </c>
      <c r="AF169" s="80">
        <f>AV169</f>
        <v>0.87384259259259245</v>
      </c>
      <c r="AG169" s="56">
        <f>((AW169-AV169)+(AX169-AW169)+(AY169-AX169)+(AZ169-AY169)+(BA169-AZ169))/5</f>
        <v>-5.6481481481481396E-2</v>
      </c>
      <c r="AH169" s="4"/>
      <c r="AI169" s="56">
        <f>RSQ(AV169:BA169,AV168:BA168)</f>
        <v>0.73149444226144356</v>
      </c>
      <c r="AJ169" s="109">
        <f>SLOPE(AV169:BA169,AV168:BA168)</f>
        <v>-1.659767762588181E-7</v>
      </c>
      <c r="AK169" s="56">
        <f>INTERCEPT(AV169:BA169,AV168:BA168)</f>
        <v>0.80143944882936746</v>
      </c>
      <c r="AL169" s="56">
        <f>INDEX(LINEST(LN(AV169:BA169),LN(AV168:BA168),TRUE,TRUE),3,1)</f>
        <v>0.780178760108862</v>
      </c>
      <c r="AM169" s="56">
        <f>INDEX(LINEST(LN(AV169:BA169),LN(AV168:BA168)),1)</f>
        <v>-2.9843925761553459E-2</v>
      </c>
      <c r="AN169" s="56">
        <f>EXP(INDEX(LINEST(LN(AV169:BA169),LN(AV168:BA168)),1,2))</f>
        <v>1.0044866059907047</v>
      </c>
      <c r="AO169" s="82">
        <f>INDEX(LINEST((AV169:BA169),LN(AV168:BA168),TRUE,TRUE),3,1)</f>
        <v>0.83733140211294699</v>
      </c>
      <c r="AP169" s="82">
        <f>INDEX(LINEST((AV169:BA169),LN(AV168:BA168)),1)</f>
        <v>-2.2511123594373534E-2</v>
      </c>
      <c r="AQ169" s="83">
        <f>INDEX(LINEST(LN(AV169:BA169),SQRT(AV168:BA168),TRUE,TRUE),3,1)</f>
        <v>0.84938810844202284</v>
      </c>
      <c r="AR169" s="116">
        <f>INDEX(LINEST(LN(AV169:BA169),SQRT((AV168:BA168))),1)</f>
        <v>-2.8394931535671982E-4</v>
      </c>
      <c r="AS169" s="84">
        <f>INDEX(LINEST(1/(AV169:BA169),1/(SQRT(AV168:BA168)),TRUE,TRUE),3,1)</f>
        <v>0.56117176178401584</v>
      </c>
      <c r="AT169" s="84">
        <f>INDEX(LINEST(1/(AV169:BA169),1/SQRT(AV168:BA168)),1)</f>
        <v>-2.5469430889936686</v>
      </c>
      <c r="AU169" s="3"/>
      <c r="AV169" s="53">
        <v>0.87384259259259245</v>
      </c>
      <c r="AW169" s="53">
        <v>0.74652777777777768</v>
      </c>
      <c r="AX169" s="53">
        <v>0.7002314814814814</v>
      </c>
      <c r="AY169" s="53">
        <v>0.70486111111111116</v>
      </c>
      <c r="AZ169" s="53">
        <v>0.68981481481481488</v>
      </c>
      <c r="BA169" s="53">
        <v>0.59143518518518545</v>
      </c>
      <c r="BB169" s="43"/>
      <c r="BC169" s="53"/>
      <c r="BD169" s="53"/>
      <c r="BE169" s="53"/>
      <c r="BF169" s="53"/>
      <c r="BG169" s="53"/>
      <c r="BH169" s="53"/>
      <c r="BI169" s="53"/>
      <c r="BJ169" s="53"/>
      <c r="BK169" s="53"/>
      <c r="BL169" s="53"/>
      <c r="BM169" s="53"/>
      <c r="BN169" s="53"/>
      <c r="BO169" s="53"/>
      <c r="BP169" s="53"/>
      <c r="BQ169" s="53"/>
      <c r="BR169" s="53"/>
      <c r="BS169" s="53"/>
      <c r="BT169" s="53"/>
      <c r="BU169" s="53"/>
      <c r="BV169" s="53"/>
      <c r="BW169" s="53"/>
      <c r="BX169" s="53"/>
      <c r="BY169" s="53"/>
      <c r="BZ169" s="53"/>
      <c r="CA169" s="53"/>
      <c r="CB169" s="53"/>
      <c r="CC169" s="53"/>
      <c r="CD169" s="53"/>
      <c r="CE169" s="53"/>
      <c r="CF169" s="53"/>
      <c r="CG169" s="53"/>
      <c r="CH169" s="53"/>
      <c r="CI169" s="53"/>
      <c r="CJ169" s="53"/>
      <c r="CK169" s="53"/>
      <c r="CL169" s="53"/>
      <c r="CM169" s="53"/>
      <c r="CN169" s="53"/>
      <c r="CO169" s="53"/>
      <c r="CP169" s="53"/>
      <c r="CQ169" s="53"/>
      <c r="CR169" s="1"/>
      <c r="CS169" s="1"/>
      <c r="CT169" s="1"/>
      <c r="CU169" s="1"/>
    </row>
    <row r="170" spans="1:99" s="13" customFormat="1" ht="12" customHeight="1" x14ac:dyDescent="0.2">
      <c r="A170" s="65">
        <v>43509</v>
      </c>
      <c r="B170" s="1"/>
      <c r="C170" s="1"/>
      <c r="D170" s="60"/>
      <c r="E170" s="76"/>
      <c r="F170" s="60"/>
      <c r="G170" s="60"/>
      <c r="H170" s="61"/>
      <c r="I170" s="60"/>
      <c r="J170" s="60"/>
      <c r="K170" s="64"/>
      <c r="L170" s="64"/>
      <c r="M170" s="60"/>
      <c r="N170" s="60"/>
      <c r="O170" s="60"/>
      <c r="P170" s="60"/>
      <c r="Q170" s="60"/>
      <c r="R170" s="60"/>
      <c r="S170" s="60"/>
      <c r="T170" s="60"/>
      <c r="U170" s="60"/>
      <c r="V170" s="60"/>
      <c r="W170" s="60"/>
      <c r="X170" s="60"/>
      <c r="Y170" s="76"/>
      <c r="Z170" s="60"/>
      <c r="AA170" s="60"/>
      <c r="AB170" s="60"/>
      <c r="AC170" s="60"/>
      <c r="AD170" s="60"/>
      <c r="AE170" s="60"/>
      <c r="AF170" s="80"/>
      <c r="AG170" s="56"/>
      <c r="AH170" s="4"/>
      <c r="AI170" s="56"/>
      <c r="AJ170" s="109"/>
      <c r="AK170" s="56"/>
      <c r="AL170" s="56"/>
      <c r="AM170" s="56"/>
      <c r="AN170" s="56"/>
      <c r="AO170" s="56"/>
      <c r="AP170" s="56"/>
      <c r="AQ170" s="56"/>
      <c r="AR170" s="109"/>
      <c r="AS170" s="56"/>
      <c r="AT170" s="56"/>
      <c r="AU170" s="4"/>
      <c r="AV170" s="25">
        <v>60</v>
      </c>
      <c r="AW170" s="25">
        <v>86400</v>
      </c>
      <c r="AX170" s="25">
        <v>259200</v>
      </c>
      <c r="AY170" s="25">
        <v>604800</v>
      </c>
      <c r="AZ170" s="25">
        <v>1209600</v>
      </c>
      <c r="BA170" s="25">
        <v>2419200</v>
      </c>
      <c r="BB170" s="25">
        <v>3628800</v>
      </c>
      <c r="BC170" s="25">
        <v>4838400</v>
      </c>
      <c r="BD170" s="25">
        <v>7257600</v>
      </c>
      <c r="BE170" s="53"/>
      <c r="BF170" s="53"/>
      <c r="BG170" s="53"/>
      <c r="BH170" s="53"/>
      <c r="BI170" s="53"/>
      <c r="BJ170" s="53"/>
      <c r="BK170" s="53"/>
      <c r="BL170" s="53"/>
      <c r="BM170" s="53"/>
      <c r="BN170" s="53"/>
      <c r="BO170" s="53"/>
      <c r="BP170" s="53"/>
      <c r="BQ170" s="53"/>
      <c r="BR170" s="53"/>
      <c r="BS170" s="53"/>
      <c r="BT170" s="53"/>
      <c r="BU170" s="53"/>
      <c r="BV170" s="53"/>
      <c r="BW170" s="53"/>
      <c r="BX170" s="53"/>
      <c r="BY170" s="53"/>
      <c r="BZ170" s="53"/>
      <c r="CA170" s="53"/>
      <c r="CB170" s="53"/>
      <c r="CC170" s="53"/>
      <c r="CD170" s="53"/>
      <c r="CE170" s="53"/>
      <c r="CF170" s="53"/>
      <c r="CG170" s="53"/>
      <c r="CH170" s="53"/>
      <c r="CI170" s="53"/>
      <c r="CJ170" s="53"/>
      <c r="CK170" s="53"/>
      <c r="CL170" s="53"/>
      <c r="CM170" s="53"/>
      <c r="CN170" s="53"/>
      <c r="CO170" s="53"/>
      <c r="CP170" s="53"/>
      <c r="CQ170" s="53"/>
      <c r="CR170" s="1"/>
      <c r="CS170" s="1"/>
      <c r="CT170" s="1"/>
      <c r="CU170" s="1"/>
    </row>
    <row r="171" spans="1:99" s="13" customFormat="1" ht="12" customHeight="1" x14ac:dyDescent="0.2">
      <c r="A171" s="65">
        <v>43509</v>
      </c>
      <c r="B171" s="1" t="s">
        <v>471</v>
      </c>
      <c r="C171" s="1" t="s">
        <v>107</v>
      </c>
      <c r="D171" s="60">
        <v>2019</v>
      </c>
      <c r="E171" s="76">
        <v>2</v>
      </c>
      <c r="F171" s="60">
        <v>144</v>
      </c>
      <c r="G171" s="60">
        <v>16</v>
      </c>
      <c r="H171" s="60" t="s">
        <v>32</v>
      </c>
      <c r="I171" s="60"/>
      <c r="J171" s="60" t="s">
        <v>475</v>
      </c>
      <c r="K171" s="60">
        <f>IF(J171="syllables",1,IF(J171="trigrams",2,IF(J171="strings",3,IF(J171="visual array",4,IF(J171="characters",5,IF(J171="letters",6,IF(J171="free forms",7,IF(J171="odors",8,IF(J171="words",9,IF(J171="pictures",10,IF(J171="object pictures",11,IF(J171="faces",12,IF(J171="names",13,IF(J171="idioms",14,IF(J171="grades",15,IF(J171="syllable-digit pairs",16,IF(J171="trigram-word pairs",17,IF(J171="word-digit pairs",18,IF(J171="English-Swahili pairs",19,IF(J171="spatial position",20,IF(J171="word pairs",21,IF(J171="word triads",22,IF(J171="generated words",23,IF(J171="word definition pairs",24,IF(J171="math problems",25,IF(J171="famous faces",26,IF(J171="famous names",27,IF(J171="famous voices",28,IF(J171="television programs",29,IF(J171="race horses",30,IF(J171="new vocabulary",31,IF(J171="sentences",32,IF(J171="concepts",33,IF(J171="ad slides",34,IF(J171="scenes",35,IF(J171="famous scenes",36,IF(J171="poems",37,IF(J171="walk",38,IF(J171="faces and events",39,IF(J171="events and names",40,IF(J171="flashbulb",41,IF(J171="stories",42,IF(J171="course material",43,IF(J171="autobiographical",44,IF(J171="novels",45,IF(J171="public events",46,"99"))))))))))))))))))))))))))))))))))))))))))))))</f>
        <v>32</v>
      </c>
      <c r="L171" s="60">
        <f>IF(J171="syllables",1,IF(J171="trigrams",1,IF(J171="strings",1,IF(J171="visual array",1,IF(J171="characters",1,IF(J171="letters",1,IF(J171="free forms",1,IF(J171="odors",2,IF(J171="words",2,IF(J171="pictures",2,IF(J171="object pictures",2,IF(J171="faces",2,IF(J171="names",2,IF(J171="idioms","2",IF(J171="grades",2,IF(J171="syllable-digit pairs",3,IF(J171="trigram-word pairs",3,IF(J171="word-digit pairs",3,IF(J171="English-Swahili pairs",3,IF(J171="spatial position",3,IF(J171="word pairs",4,IF(J171="word triads",4,IF(J171="generated words",4,IF(J171="word definition pairs",4,IF(J171="math problems",4,IF(J171="famous faces",4,IF(J171="famous names",4,IF(J171="famous voices",4,IF(J171="television programs",4,IF(J171="race horses",4,IF(J171="new vocabulary",4,IF(J171="sentences",5,IF(J171="concepts",5,IF(J171="ad slides",5,IF(J171="scenes",5,IF(J171="famous scenes",5,IF(J171="poems",6,IF(J171="walk",6,IF(J171="faces and events",6,IF(J171="events and names",6,IF(J171="flashbulb",7,IF(J171="stories",7,IF(J171="course material",7,IF(J171="autobiographical",7,IF(J171="novels",7,IF(J171="public events",7,"99"))))))))))))))))))))))))))))))))))))))))))))))</f>
        <v>5</v>
      </c>
      <c r="M171" s="60">
        <v>1</v>
      </c>
      <c r="N171" s="60">
        <v>4</v>
      </c>
      <c r="O171" s="60">
        <v>0</v>
      </c>
      <c r="P171" s="60"/>
      <c r="Q171" s="60" t="s">
        <v>34</v>
      </c>
      <c r="R171" s="60">
        <f>IF(Q171="Free Recall",1,IF(Q171="Cued Recall",2,IF(Q171="Recognition",3,IF(Q171="Multiple Choice",4,IF(Q171="Savings",5,IF(Q171="Stem Completion",6,IF(Q171="Fragment Completion",7,IF(Q171="anagram solution",8,IF(Q171="Matching",9,IF(Q171="Problem Solving",10,"99"))))))))))</f>
        <v>3</v>
      </c>
      <c r="S171" s="60" t="s">
        <v>15</v>
      </c>
      <c r="T171" s="60" t="s">
        <v>261</v>
      </c>
      <c r="U171" s="60">
        <f>IF(T171="within",1,0)</f>
        <v>0</v>
      </c>
      <c r="V171" s="60">
        <v>18</v>
      </c>
      <c r="W171" s="60">
        <f>F171*V171</f>
        <v>2592</v>
      </c>
      <c r="X171" s="60">
        <v>9</v>
      </c>
      <c r="Y171" s="76">
        <f>AV170</f>
        <v>60</v>
      </c>
      <c r="Z171" s="60" t="s">
        <v>173</v>
      </c>
      <c r="AA171" s="60">
        <v>7257600</v>
      </c>
      <c r="AB171" s="60" t="str">
        <f>IF(AA171&lt;60,"1",IF(AA171&lt;=43200,"2",IF(AA171&lt;=777600,"3","4")))</f>
        <v>4</v>
      </c>
      <c r="AC171" s="56">
        <f>AVERAGE(AV170:DA170)</f>
        <v>2256006.6666666665</v>
      </c>
      <c r="AD171" s="60" t="str">
        <f>IF(AC171&lt;60,"1",IF(AC171&lt;=43200,"2",IF(AC171&lt;=777600,"3","4")))</f>
        <v>4</v>
      </c>
      <c r="AE171" s="76">
        <f>AA171-Y171</f>
        <v>7257540</v>
      </c>
      <c r="AF171" s="80">
        <f>AV171</f>
        <v>1</v>
      </c>
      <c r="AG171" s="56">
        <f>((AW171-AV171)+(AX171-AW171)+(AY171-AX171)+(AZ171-AY171)+(BA171-AZ171)+(BB171-BA171)+(BC171-BB171)+(BD171-BC171))/8</f>
        <v>-3.8750000000000007E-2</v>
      </c>
      <c r="AH171" s="4"/>
      <c r="AI171" s="56">
        <f>RSQ(AV171:BD171,AV170:BD170)</f>
        <v>0.9576538922675969</v>
      </c>
      <c r="AJ171" s="109">
        <f>SLOPE(AV171:BD171,AV170:BD170)</f>
        <v>-4.576017067918815E-8</v>
      </c>
      <c r="AK171" s="56">
        <f>INTERCEPT(AV171:BD171,AV170:BD170)</f>
        <v>0.99101302789783074</v>
      </c>
      <c r="AL171" s="56">
        <f>INDEX(LINEST(LN(AV171:BD171),LN(AV170:BD170),TRUE,TRUE),3,1)</f>
        <v>0.42714412216732872</v>
      </c>
      <c r="AM171" s="56">
        <f>INDEX(LINEST(LN(AV171:BD171),LN(AV170:BD170)),1)</f>
        <v>-2.515431825260913E-2</v>
      </c>
      <c r="AN171" s="56">
        <f>EXP(INDEX(LINEST(LN(AV171:BD171),LN(AV170:BD170)),1,2))</f>
        <v>1.2183578556967045</v>
      </c>
      <c r="AO171" s="82">
        <f>INDEX(LINEST((AV171:BD171),LN(AV170:BD170),TRUE,TRUE),3,1)</f>
        <v>0.44523418578156537</v>
      </c>
      <c r="AP171" s="82">
        <f>INDEX(LINEST((AV171:BD171),LN(AV170:BD170)),1)</f>
        <v>-2.1874635521936966E-2</v>
      </c>
      <c r="AQ171" s="83">
        <f>INDEX(LINEST(LN(AV171:BD171),SQRT(AV170:BD170),TRUE,TRUE),3,1)</f>
        <v>0.94444965104936185</v>
      </c>
      <c r="AR171" s="116">
        <f>INDEX(LINEST(LN(AV171:BD171),SQRT((AV170:BD170))),1)</f>
        <v>-1.4687309355269527E-4</v>
      </c>
      <c r="AS171" s="84">
        <f>INDEX(LINEST(1/(AV171:BD171),1/(SQRT(AV170:BD170)),TRUE,TRUE),3,1)</f>
        <v>0.12035334699306682</v>
      </c>
      <c r="AT171" s="84">
        <f>INDEX(LINEST(1/(AV171:BD171),1/SQRT(AV170:BD170)),1)</f>
        <v>-1.3422830117068729</v>
      </c>
      <c r="AU171" s="3"/>
      <c r="AV171" s="53">
        <v>1</v>
      </c>
      <c r="AW171" s="53">
        <v>0.99</v>
      </c>
      <c r="AX171" s="53">
        <v>1</v>
      </c>
      <c r="AY171" s="53">
        <v>0.98</v>
      </c>
      <c r="AZ171" s="53">
        <v>0.93</v>
      </c>
      <c r="BA171" s="53">
        <v>0.83</v>
      </c>
      <c r="BB171" s="53">
        <v>0.82</v>
      </c>
      <c r="BC171" s="53">
        <v>0.75</v>
      </c>
      <c r="BD171" s="53">
        <v>0.69</v>
      </c>
      <c r="BE171" s="53"/>
      <c r="BF171" s="53"/>
      <c r="BG171" s="53"/>
      <c r="BH171" s="53"/>
      <c r="BI171" s="53"/>
      <c r="BJ171" s="53"/>
      <c r="BK171" s="53"/>
      <c r="BL171" s="53"/>
      <c r="BM171" s="53"/>
      <c r="BN171" s="53"/>
      <c r="BO171" s="53"/>
      <c r="BP171" s="53"/>
      <c r="BQ171" s="53"/>
      <c r="BR171" s="53"/>
      <c r="BS171" s="53"/>
      <c r="BT171" s="53"/>
      <c r="BU171" s="53"/>
      <c r="BV171" s="53"/>
      <c r="BW171" s="53"/>
      <c r="BX171" s="53"/>
      <c r="BY171" s="53"/>
      <c r="BZ171" s="53"/>
      <c r="CA171" s="53"/>
      <c r="CB171" s="53"/>
      <c r="CC171" s="53"/>
      <c r="CD171" s="53"/>
      <c r="CE171" s="53"/>
      <c r="CF171" s="53"/>
      <c r="CG171" s="53"/>
      <c r="CH171" s="53"/>
      <c r="CI171" s="53"/>
      <c r="CJ171" s="53"/>
      <c r="CK171" s="53"/>
      <c r="CL171" s="53"/>
      <c r="CM171" s="53"/>
      <c r="CN171" s="53"/>
      <c r="CO171" s="53"/>
      <c r="CP171" s="53"/>
      <c r="CQ171" s="53"/>
      <c r="CR171" s="1"/>
      <c r="CS171" s="1"/>
      <c r="CT171" s="1"/>
      <c r="CU171" s="1"/>
    </row>
    <row r="172" spans="1:99" s="13" customFormat="1" ht="12" customHeight="1" x14ac:dyDescent="0.2">
      <c r="A172" s="65">
        <v>43509</v>
      </c>
      <c r="B172" s="1"/>
      <c r="C172" s="1"/>
      <c r="D172" s="60"/>
      <c r="E172" s="76"/>
      <c r="F172" s="60"/>
      <c r="G172" s="60"/>
      <c r="H172" s="61"/>
      <c r="I172" s="60"/>
      <c r="J172" s="60"/>
      <c r="K172" s="64"/>
      <c r="L172" s="64"/>
      <c r="M172" s="60"/>
      <c r="N172" s="60"/>
      <c r="O172" s="60"/>
      <c r="P172" s="60"/>
      <c r="Q172" s="60"/>
      <c r="R172" s="60"/>
      <c r="S172" s="60"/>
      <c r="T172" s="60"/>
      <c r="U172" s="60"/>
      <c r="V172" s="60"/>
      <c r="W172" s="60"/>
      <c r="X172" s="60"/>
      <c r="Y172" s="76"/>
      <c r="Z172" s="60"/>
      <c r="AA172" s="60"/>
      <c r="AB172" s="60"/>
      <c r="AC172" s="60"/>
      <c r="AD172" s="60"/>
      <c r="AE172" s="60"/>
      <c r="AF172" s="80"/>
      <c r="AG172" s="56"/>
      <c r="AH172" s="4"/>
      <c r="AI172" s="56"/>
      <c r="AJ172" s="109"/>
      <c r="AK172" s="56"/>
      <c r="AL172" s="56"/>
      <c r="AM172" s="56"/>
      <c r="AN172" s="56"/>
      <c r="AO172" s="56"/>
      <c r="AP172" s="56"/>
      <c r="AQ172" s="82"/>
      <c r="AR172" s="115"/>
      <c r="AS172" s="82"/>
      <c r="AT172" s="82"/>
      <c r="AU172" s="4"/>
      <c r="AV172" s="25">
        <v>60</v>
      </c>
      <c r="AW172" s="25">
        <v>86400</v>
      </c>
      <c r="AX172" s="25">
        <v>259200</v>
      </c>
      <c r="AY172" s="25">
        <v>604800</v>
      </c>
      <c r="AZ172" s="25">
        <v>864000</v>
      </c>
      <c r="BA172" s="25">
        <v>1209600</v>
      </c>
      <c r="BB172" s="53"/>
      <c r="BC172" s="53"/>
      <c r="BD172" s="53"/>
      <c r="BE172" s="53"/>
      <c r="BF172" s="53"/>
      <c r="BG172" s="53"/>
      <c r="BH172" s="53"/>
      <c r="BI172" s="53"/>
      <c r="BJ172" s="53"/>
      <c r="BK172" s="53"/>
      <c r="BL172" s="53"/>
      <c r="BM172" s="53"/>
      <c r="BN172" s="53"/>
      <c r="BO172" s="53"/>
      <c r="BP172" s="53"/>
      <c r="BQ172" s="53"/>
      <c r="BR172" s="53"/>
      <c r="BS172" s="53"/>
      <c r="BT172" s="53"/>
      <c r="BU172" s="53"/>
      <c r="BV172" s="53"/>
      <c r="BW172" s="53"/>
      <c r="BX172" s="53"/>
      <c r="BY172" s="53"/>
      <c r="BZ172" s="53"/>
      <c r="CA172" s="53"/>
      <c r="CB172" s="53"/>
      <c r="CC172" s="53"/>
      <c r="CD172" s="53"/>
      <c r="CE172" s="53"/>
      <c r="CF172" s="53"/>
      <c r="CG172" s="53"/>
      <c r="CH172" s="53"/>
      <c r="CI172" s="53"/>
      <c r="CJ172" s="53"/>
      <c r="CK172" s="53"/>
      <c r="CL172" s="53"/>
      <c r="CM172" s="53"/>
      <c r="CN172" s="53"/>
      <c r="CO172" s="53"/>
      <c r="CP172" s="53"/>
      <c r="CQ172" s="53"/>
      <c r="CR172" s="1"/>
      <c r="CS172" s="1"/>
      <c r="CT172" s="1"/>
      <c r="CU172" s="1"/>
    </row>
    <row r="173" spans="1:99" s="13" customFormat="1" ht="12" customHeight="1" x14ac:dyDescent="0.2">
      <c r="A173" s="65">
        <v>43509</v>
      </c>
      <c r="B173" s="1" t="s">
        <v>471</v>
      </c>
      <c r="C173" s="1" t="s">
        <v>107</v>
      </c>
      <c r="D173" s="60">
        <v>2019</v>
      </c>
      <c r="E173" s="76">
        <v>3</v>
      </c>
      <c r="F173" s="60">
        <v>144</v>
      </c>
      <c r="G173" s="60">
        <v>24</v>
      </c>
      <c r="H173" s="60" t="s">
        <v>17</v>
      </c>
      <c r="I173" s="60"/>
      <c r="J173" s="60" t="s">
        <v>320</v>
      </c>
      <c r="K173" s="60">
        <f>IF(J173="syllables",1,IF(J173="trigrams",2,IF(J173="strings",3,IF(J173="visual array",4,IF(J173="characters",5,IF(J173="letters",6,IF(J173="free forms",7,IF(J173="odors",8,IF(J173="words",9,IF(J173="pictures",10,IF(J173="object pictures",11,IF(J173="faces",12,IF(J173="names",13,IF(J173="idioms",14,IF(J173="grades",15,IF(J173="syllable-digit pairs",16,IF(J173="trigram-word pairs",17,IF(J173="word-digit pairs",18,IF(J173="English-Swahili pairs",19,IF(J173="spatial position",20,IF(J173="word pairs",21,IF(J173="word triads",22,IF(J173="generated words",23,IF(J173="word definition pairs",24,IF(J173="math problems",25,IF(J173="famous faces",26,IF(J173="famous names",27,IF(J173="famous voices",28,IF(J173="television programs",29,IF(J173="race horses",30,IF(J173="new vocabulary",31,IF(J173="sentences",32,IF(J173="concepts",33,IF(J173="ad slides",34,IF(J173="scenes",35,IF(J173="famous scenes",36,IF(J173="poems",37,IF(J173="walk",38,IF(J173="faces and events",39,IF(J173="events and names",40,IF(J173="flashbulb",41,IF(J173="stories",42,IF(J173="course material",43,IF(J173="autobiographical",44,IF(J173="novels",45,IF(J173="public events",46,"99"))))))))))))))))))))))))))))))))))))))))))))))</f>
        <v>21</v>
      </c>
      <c r="L173" s="60">
        <f>IF(J173="syllables",1,IF(J173="trigrams",1,IF(J173="strings",1,IF(J173="visual array",1,IF(J173="characters",1,IF(J173="letters",1,IF(J173="free forms",1,IF(J173="odors",2,IF(J173="words",2,IF(J173="pictures",2,IF(J173="object pictures",2,IF(J173="faces",2,IF(J173="names",2,IF(J173="idioms","2",IF(J173="grades",2,IF(J173="syllable-digit pairs",3,IF(J173="trigram-word pairs",3,IF(J173="word-digit pairs",3,IF(J173="English-Swahili pairs",3,IF(J173="spatial position",3,IF(J173="word pairs",4,IF(J173="word triads",4,IF(J173="generated words",4,IF(J173="word definition pairs",4,IF(J173="math problems",4,IF(J173="famous faces",4,IF(J173="famous names",4,IF(J173="famous voices",4,IF(J173="television programs",4,IF(J173="race horses",4,IF(J173="new vocabulary",4,IF(J173="sentences",5,IF(J173="concepts",5,IF(J173="ad slides",5,IF(J173="scenes",5,IF(J173="famous scenes",5,IF(J173="poems",6,IF(J173="walk",6,IF(J173="faces and events",6,IF(J173="events and names",6,IF(J173="flashbulb",7,IF(J173="stories",7,IF(J173="course material",7,IF(J173="autobiographical",7,IF(J173="novels",7,IF(J173="public events",7,"99"))))))))))))))))))))))))))))))))))))))))))))))</f>
        <v>4</v>
      </c>
      <c r="M173" s="60">
        <v>1</v>
      </c>
      <c r="N173" s="60">
        <v>4</v>
      </c>
      <c r="O173" s="60">
        <v>0</v>
      </c>
      <c r="P173" s="60"/>
      <c r="Q173" s="60" t="s">
        <v>34</v>
      </c>
      <c r="R173" s="60">
        <f>IF(Q173="Free Recall",1,IF(Q173="Cued Recall",2,IF(Q173="Recognition",3,IF(Q173="Multiple Choice",4,IF(Q173="Savings",5,IF(Q173="Stem Completion",6,IF(Q173="Fragment Completion",7,IF(Q173="anagram solution",8,IF(Q173="Matching",9,IF(Q173="Problem Solving",10,"99"))))))))))</f>
        <v>3</v>
      </c>
      <c r="S173" s="60" t="s">
        <v>15</v>
      </c>
      <c r="T173" s="60" t="s">
        <v>261</v>
      </c>
      <c r="U173" s="60">
        <f>IF(T173="within",1,0)</f>
        <v>0</v>
      </c>
      <c r="V173" s="60">
        <v>18</v>
      </c>
      <c r="W173" s="60">
        <f>F173*V173</f>
        <v>2592</v>
      </c>
      <c r="X173" s="60">
        <v>6</v>
      </c>
      <c r="Y173" s="76">
        <f>AV172</f>
        <v>60</v>
      </c>
      <c r="Z173" s="60" t="s">
        <v>170</v>
      </c>
      <c r="AA173" s="60">
        <f>14*24*2600</f>
        <v>873600</v>
      </c>
      <c r="AB173" s="60" t="str">
        <f>IF(AA173&lt;60,"1",IF(AA173&lt;=43200,"2",IF(AA173&lt;=777600,"3","4")))</f>
        <v>4</v>
      </c>
      <c r="AC173" s="56">
        <f>AVERAGE(AV172:DA172)</f>
        <v>504010</v>
      </c>
      <c r="AD173" s="60" t="str">
        <f>IF(AC173&lt;60,"1",IF(AC173&lt;=43200,"2",IF(AC173&lt;=777600,"3","4")))</f>
        <v>3</v>
      </c>
      <c r="AE173" s="76">
        <f>AA173-Y173</f>
        <v>873540</v>
      </c>
      <c r="AF173" s="80">
        <f>AV173</f>
        <v>0.96467391304347827</v>
      </c>
      <c r="AG173" s="56">
        <f>((AW173-AV173)+(AX173-AW173)+(AY173-AX173)+(AZ173-AY173)+(BA173-AZ173))/5</f>
        <v>-3.3152173913043481E-2</v>
      </c>
      <c r="AH173" s="4"/>
      <c r="AI173" s="56">
        <f>RSQ(AV173:BA173,AV172:BA172)</f>
        <v>0.9341051079853373</v>
      </c>
      <c r="AJ173" s="109">
        <f>SLOPE(AV173:BA173,AV172:BA172)</f>
        <v>-1.5623538958867493E-7</v>
      </c>
      <c r="AK173" s="56">
        <f>INTERCEPT(AV173:BA173,AV172:BA172)</f>
        <v>0.96393441609789243</v>
      </c>
      <c r="AL173" s="56">
        <f>INDEX(LINEST(LN(AV173:BA173),LN(AV172:BA172),TRUE,TRUE),3,1)</f>
        <v>0.4763967731021696</v>
      </c>
      <c r="AM173" s="56">
        <f>INDEX(LINEST(LN(AV173:BA173),LN(AV172:BA172)),1)</f>
        <v>-1.6099550602488931E-2</v>
      </c>
      <c r="AN173" s="56">
        <f>EXP(INDEX(LINEST(LN(AV173:BA173),LN(AV172:BA172)),1,2))</f>
        <v>1.0616248232865657</v>
      </c>
      <c r="AO173" s="82">
        <f>INDEX(LINEST((AV173:BA173),LN(AV172:BA172),TRUE,TRUE),3,1)</f>
        <v>0.485579578416234</v>
      </c>
      <c r="AP173" s="82">
        <f>INDEX(LINEST((AV173:BA173),LN(AV172:BA172)),1)</f>
        <v>-1.4279678231667354E-2</v>
      </c>
      <c r="AQ173" s="83">
        <f>INDEX(LINEST(LN(AV173:BA173),SQRT(AV172:BA172),TRUE,TRUE),3,1)</f>
        <v>0.8930031176324783</v>
      </c>
      <c r="AR173" s="116">
        <f>INDEX(LINEST(LN(AV173:BA173),SQRT((AV172:BA172))),1)</f>
        <v>-2.0099473596771561E-4</v>
      </c>
      <c r="AS173" s="84">
        <f>INDEX(LINEST(1/(AV173:BA173),1/(SQRT(AV172:BA172)),TRUE,TRUE),3,1)</f>
        <v>0.25614957778536462</v>
      </c>
      <c r="AT173" s="84">
        <f>INDEX(LINEST(1/(AV173:BA173),1/SQRT(AV172:BA172)),1)</f>
        <v>-0.96993422840949683</v>
      </c>
      <c r="AU173" s="3"/>
      <c r="AV173" s="53">
        <v>0.96467391304347827</v>
      </c>
      <c r="AW173" s="53">
        <v>0.95244565217391308</v>
      </c>
      <c r="AX173" s="53">
        <v>0.94157608695652173</v>
      </c>
      <c r="AY173" s="53">
        <v>0.85054347826086951</v>
      </c>
      <c r="AZ173" s="53">
        <v>0.80298913043478259</v>
      </c>
      <c r="BA173" s="53">
        <v>0.79891304347826086</v>
      </c>
      <c r="BB173" s="53"/>
      <c r="BC173" s="53"/>
      <c r="BD173" s="53"/>
      <c r="BE173" s="53"/>
      <c r="BF173" s="53"/>
      <c r="BG173" s="53"/>
      <c r="BH173" s="53"/>
      <c r="BI173" s="53"/>
      <c r="BJ173" s="53"/>
      <c r="BK173" s="53"/>
      <c r="BL173" s="53"/>
      <c r="BM173" s="53"/>
      <c r="BN173" s="53"/>
      <c r="BO173" s="53"/>
      <c r="BP173" s="53"/>
      <c r="BQ173" s="53"/>
      <c r="BR173" s="53"/>
      <c r="BS173" s="53"/>
      <c r="BT173" s="53"/>
      <c r="BU173" s="53"/>
      <c r="BV173" s="53"/>
      <c r="BW173" s="53"/>
      <c r="BX173" s="53"/>
      <c r="BY173" s="53"/>
      <c r="BZ173" s="53"/>
      <c r="CA173" s="53"/>
      <c r="CB173" s="53"/>
      <c r="CC173" s="53"/>
      <c r="CD173" s="53"/>
      <c r="CE173" s="53"/>
      <c r="CF173" s="53"/>
      <c r="CG173" s="53"/>
      <c r="CH173" s="53"/>
      <c r="CI173" s="53"/>
      <c r="CJ173" s="53"/>
      <c r="CK173" s="53"/>
      <c r="CL173" s="53"/>
      <c r="CM173" s="53"/>
      <c r="CN173" s="53"/>
      <c r="CO173" s="53"/>
      <c r="CP173" s="53"/>
      <c r="CQ173" s="53"/>
      <c r="CR173" s="1"/>
      <c r="CS173" s="1"/>
      <c r="CT173" s="1"/>
      <c r="CU173" s="1"/>
    </row>
    <row r="174" spans="1:99" ht="12" customHeight="1" x14ac:dyDescent="0.2">
      <c r="A174" s="68">
        <v>43978</v>
      </c>
      <c r="B174" s="94"/>
      <c r="C174" s="94"/>
      <c r="D174" s="92"/>
      <c r="E174" s="105"/>
      <c r="F174" s="92"/>
      <c r="G174" s="92"/>
      <c r="H174" s="92"/>
      <c r="I174" s="92"/>
      <c r="J174" s="92"/>
      <c r="K174" s="69"/>
      <c r="L174" s="69"/>
      <c r="M174" s="92"/>
      <c r="N174" s="92"/>
      <c r="O174" s="92"/>
      <c r="P174" s="92"/>
      <c r="Q174" s="92"/>
      <c r="R174" s="69"/>
      <c r="S174" s="92"/>
      <c r="T174" s="92"/>
      <c r="U174" s="69"/>
      <c r="V174" s="92"/>
      <c r="W174" s="69"/>
      <c r="X174" s="92"/>
      <c r="Y174" s="87"/>
      <c r="Z174" s="92"/>
      <c r="AA174" s="92"/>
      <c r="AB174" s="69"/>
      <c r="AC174" s="72"/>
      <c r="AD174" s="69"/>
      <c r="AE174" s="87"/>
      <c r="AF174" s="88"/>
      <c r="AG174" s="72"/>
      <c r="AH174" s="4"/>
      <c r="AI174" s="72"/>
      <c r="AJ174" s="110"/>
      <c r="AK174" s="72"/>
      <c r="AL174" s="72"/>
      <c r="AM174" s="72"/>
      <c r="AN174" s="72"/>
      <c r="AO174" s="89"/>
      <c r="AP174" s="89"/>
      <c r="AQ174" s="90"/>
      <c r="AR174" s="117"/>
      <c r="AS174" s="91"/>
      <c r="AT174" s="91"/>
      <c r="AU174" s="3"/>
      <c r="AV174" s="122">
        <f>60*60</f>
        <v>3600</v>
      </c>
      <c r="AW174" s="122">
        <f>60*60*24</f>
        <v>86400</v>
      </c>
      <c r="AX174" s="122">
        <f>60*60*24*3</f>
        <v>259200</v>
      </c>
      <c r="AY174" s="122">
        <f>60*60*24*6</f>
        <v>518400</v>
      </c>
      <c r="AZ174" s="122">
        <f>60*60*24*13</f>
        <v>1123200</v>
      </c>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c r="BY174" s="11"/>
      <c r="BZ174" s="11"/>
      <c r="CA174" s="11"/>
      <c r="CB174" s="11"/>
      <c r="CC174" s="11"/>
      <c r="CD174" s="11"/>
      <c r="CE174" s="11"/>
      <c r="CF174" s="11"/>
      <c r="CG174" s="11"/>
      <c r="CH174" s="11"/>
      <c r="CI174" s="11"/>
      <c r="CJ174" s="11"/>
      <c r="CK174" s="11"/>
      <c r="CL174" s="11"/>
      <c r="CM174" s="11"/>
      <c r="CN174" s="11"/>
      <c r="CO174" s="11"/>
      <c r="CP174" s="11"/>
      <c r="CQ174" s="11"/>
      <c r="CR174" s="15"/>
      <c r="CS174" s="15"/>
      <c r="CT174" s="15"/>
      <c r="CU174" s="15"/>
    </row>
    <row r="175" spans="1:99" ht="12" customHeight="1" x14ac:dyDescent="0.2">
      <c r="A175" s="68">
        <v>43978</v>
      </c>
      <c r="B175" s="94" t="s">
        <v>965</v>
      </c>
      <c r="C175" s="94" t="s">
        <v>964</v>
      </c>
      <c r="D175" s="92">
        <v>1995</v>
      </c>
      <c r="E175" s="105">
        <v>1</v>
      </c>
      <c r="F175" s="92">
        <v>25</v>
      </c>
      <c r="G175" s="92">
        <v>25</v>
      </c>
      <c r="H175" s="92" t="s">
        <v>17</v>
      </c>
      <c r="I175" s="92" t="s">
        <v>330</v>
      </c>
      <c r="J175" s="92" t="s">
        <v>317</v>
      </c>
      <c r="K175" s="69">
        <f>IF(J175="syllables",1,IF(J175="trigrams",2,IF(J175="strings",3,IF(J175="visual array",4,IF(J175="characters",5,IF(J175="letters",6,IF(J175="free forms",7,IF(J175="odors",8,IF(J175="words",9,IF(J175="pictures",10,IF(J175="object pictures",11,IF(J175="faces",12,IF(J175="names",13,IF(J175="idioms",14,IF(J175="grades",15,IF(J175="syllable-digit pairs",16,IF(J175="trigram-word pairs",17,IF(J175="word-digit pairs",18,IF(J175="English-Swahili pairs",19,IF(J175="spatial position",20,IF(J175="word pairs",21,IF(J175="word triads",22,IF(J175="generated words",23,IF(J175="word definition pairs",24,IF(J175="math problems",25,IF(J175="famous faces",26,IF(J175="famous names",27,IF(J175="famous voices",28,IF(J175="television programs",29,IF(J175="race horses",30,IF(J175="new vocabulary",31,IF(J175="sentences",32,IF(J175="concepts",33,IF(J175="ad slides",34,IF(J175="scenes",35,IF(J175="famous scenes",36,IF(J175="poems",37,IF(J175="walk",38,IF(J175="faces and events",39,IF(J175="events and names",40,IF(J175="flashbulb",41,IF(J175="stories",42,IF(J175="course material",43,IF(J175="autobiographical",44,IF(J175="novels",45,IF(J175="public events",46,"99"))))))))))))))))))))))))))))))))))))))))))))))</f>
        <v>7</v>
      </c>
      <c r="L175" s="69">
        <f>IF(J175="syllables",1,IF(J175="trigrams",1,IF(J175="strings",1,IF(J175="visual array",1,IF(J175="characters",1,IF(J175="letters",1,IF(J175="free forms",1,IF(J175="odors",2,IF(J175="words",2,IF(J175="pictures",2,IF(J175="object pictures",2,IF(J175="faces",2,IF(J175="names",2,IF(J175="idioms","2",IF(J175="grades",2,IF(J175="syllable-digit pairs",3,IF(J175="trigram-word pairs",3,IF(J175="word-digit pairs",3,IF(J175="English-Swahili pairs",3,IF(J175="spatial position",3,IF(J175="word pairs",4,IF(J175="word triads",4,IF(J175="generated words",4,IF(J175="word definition pairs",4,IF(J175="math problems",4,IF(J175="famous faces",4,IF(J175="famous names",4,IF(J175="famous voices",4,IF(J175="television programs",4,IF(J175="race horses",4,IF(J175="new vocabulary",4,IF(J175="sentences",5,IF(J175="concepts",5,IF(J175="ad slides",5,IF(J175="scenes",5,IF(J175="famous scenes",5,IF(J175="poems",6,IF(J175="walk",6,IF(J175="faces and events",6,IF(J175="events and names",6,IF(J175="flashbulb",7,IF(J175="stories",7,IF(J175="course material",7,IF(J175="autobiographical",7,IF(J175="novels",7,IF(J175="public events",7,"99"))))))))))))))))))))))))))))))))))))))))))))))</f>
        <v>1</v>
      </c>
      <c r="M175" s="92">
        <v>1</v>
      </c>
      <c r="N175" s="92">
        <v>2</v>
      </c>
      <c r="O175" s="92">
        <v>0</v>
      </c>
      <c r="P175" s="92"/>
      <c r="Q175" s="92" t="s">
        <v>174</v>
      </c>
      <c r="R175" s="69">
        <f>IF(Q175="Free Recall",1,IF(Q175="Cued Recall",2,IF(Q175="Recognition",3,IF(Q175="Multiple Choice",4,IF(Q175="Savings",5,IF(Q175="Stem Completion",6,IF(Q175="Fragment Completion",7,IF(Q175="anagram solution",8,IF(Q175="Matching",9,IF(Q175="Problem Solving",10,"99"))))))))))</f>
        <v>1</v>
      </c>
      <c r="S175" s="99" t="s">
        <v>49</v>
      </c>
      <c r="T175" s="69" t="s">
        <v>581</v>
      </c>
      <c r="U175" s="69">
        <f>IF(T175="within",1,0)</f>
        <v>1</v>
      </c>
      <c r="V175" s="69">
        <v>50</v>
      </c>
      <c r="W175" s="69">
        <f>F175*V175</f>
        <v>1250</v>
      </c>
      <c r="X175" s="69">
        <v>5</v>
      </c>
      <c r="Y175" s="87">
        <f>AV174</f>
        <v>3600</v>
      </c>
      <c r="Z175" s="69" t="s">
        <v>966</v>
      </c>
      <c r="AA175" s="69">
        <f>60*60*24*13</f>
        <v>1123200</v>
      </c>
      <c r="AB175" s="69" t="str">
        <f>IF(AA175&lt;60,"1",IF(AA175&lt;=43200,"2",IF(AA175&lt;=777600,"3","4")))</f>
        <v>4</v>
      </c>
      <c r="AC175" s="72">
        <f>AVERAGE(AV174:DA174)</f>
        <v>398160</v>
      </c>
      <c r="AD175" s="69" t="str">
        <f>IF(AC175&lt;60,"1",IF(AC175&lt;=43200,"2",IF(AC175&lt;=777600,"3","4")))</f>
        <v>3</v>
      </c>
      <c r="AE175" s="87">
        <f>AA175-Y175</f>
        <v>1119600</v>
      </c>
      <c r="AF175" s="88">
        <f>AV175</f>
        <v>0.947922466569739</v>
      </c>
      <c r="AG175" s="72">
        <f>((AW175-AV175)+(AX175-AW175)+(AY175-AX175)+(AZ175-AY175))/4</f>
        <v>-1.9560261400409007E-2</v>
      </c>
      <c r="AH175" s="4"/>
      <c r="AI175" s="72">
        <f>RSQ(AV175:AZ175,AV174:AZ174)</f>
        <v>0.93887997943133428</v>
      </c>
      <c r="AJ175" s="110">
        <f>SLOPE(AV175:AZ175,AV174:AZ174)</f>
        <v>-6.4636535633427933E-8</v>
      </c>
      <c r="AK175" s="72">
        <f>INTERCEPT(AV175:AZ175,AV174:AZ174)</f>
        <v>0.93760280086444991</v>
      </c>
      <c r="AL175" s="72">
        <f>INDEX(LINEST(LN(AV175:AZ175),LN(AV174:AZ174),TRUE,TRUE),3,1)</f>
        <v>0.82208276315014173</v>
      </c>
      <c r="AM175" s="72">
        <f>INDEX(LINEST(LN(AV175:AZ175),LN(AV174:AZ174)),1)</f>
        <v>-1.3408736112626381E-2</v>
      </c>
      <c r="AN175" s="72">
        <f>EXP(INDEX(LINEST(LN(AV175:AZ175),LN(AV174:AZ174)),1,2))</f>
        <v>1.0680369630588322</v>
      </c>
      <c r="AO175" s="89">
        <f>INDEX(LINEST((AV175:AZ175),LN(AV174:AZ174),TRUE,TRUE),3,1)</f>
        <v>0.83174139505521438</v>
      </c>
      <c r="AP175" s="89">
        <f>INDEX(LINEST((AV175:AZ175),LN(AV174:AZ174)),1)</f>
        <v>-1.2242641080706348E-2</v>
      </c>
      <c r="AQ175" s="90">
        <f>INDEX(LINEST(LN(AV175:AZ175),SQRT(AV174:AZ174),TRUE,TRUE),3,1)</f>
        <v>0.99809438047614851</v>
      </c>
      <c r="AR175" s="117">
        <f>INDEX(LINEST(LN(AV175:AZ175),SQRT((AV174:AZ174))),1)</f>
        <v>-8.5868422072295664E-5</v>
      </c>
      <c r="AS175" s="91">
        <f>INDEX(LINEST(1/(AV175:AZ175),1/(SQRT(AV174:AZ174)),TRUE,TRUE),3,1)</f>
        <v>0.55107610906269533</v>
      </c>
      <c r="AT175" s="91">
        <f>INDEX(LINEST(1/(AV175:AZ175),1/SQRT(AV174:AZ174)),1)</f>
        <v>-4.0710751233790834</v>
      </c>
      <c r="AU175" s="3"/>
      <c r="AV175" s="121">
        <v>0.947922466569739</v>
      </c>
      <c r="AW175" s="97">
        <v>0.92950447366762501</v>
      </c>
      <c r="AX175" s="121">
        <v>0.91499662057169895</v>
      </c>
      <c r="AY175" s="121">
        <v>0.89723060740605509</v>
      </c>
      <c r="AZ175" s="97">
        <v>0.86968142096810297</v>
      </c>
      <c r="BA175" s="11"/>
      <c r="BB175" s="11"/>
      <c r="BC175" s="11"/>
      <c r="BD175" s="11"/>
      <c r="BE175" s="11"/>
      <c r="BF175" s="11"/>
      <c r="BG175" s="11"/>
      <c r="BH175" s="11"/>
      <c r="BI175" s="11"/>
      <c r="BJ175" s="11"/>
      <c r="BK175" s="11"/>
      <c r="BL175" s="11"/>
      <c r="BM175" s="11"/>
      <c r="BN175" s="11"/>
      <c r="BO175" s="11"/>
      <c r="BP175" s="11"/>
      <c r="BQ175" s="11"/>
      <c r="BR175" s="11"/>
      <c r="BS175" s="11"/>
      <c r="BT175" s="11"/>
      <c r="BU175" s="11"/>
      <c r="BV175" s="11"/>
      <c r="BW175" s="11"/>
      <c r="BX175" s="11"/>
      <c r="BY175" s="11"/>
      <c r="BZ175" s="11"/>
      <c r="CA175" s="11"/>
      <c r="CB175" s="11"/>
      <c r="CC175" s="11"/>
      <c r="CD175" s="11"/>
      <c r="CE175" s="11"/>
      <c r="CF175" s="11"/>
      <c r="CG175" s="11"/>
      <c r="CH175" s="11"/>
      <c r="CI175" s="11"/>
      <c r="CJ175" s="11"/>
      <c r="CK175" s="11"/>
      <c r="CL175" s="11"/>
      <c r="CM175" s="11"/>
      <c r="CN175" s="11"/>
      <c r="CO175" s="11"/>
      <c r="CP175" s="11"/>
      <c r="CQ175" s="11"/>
      <c r="CR175" s="15"/>
      <c r="CS175" s="15"/>
      <c r="CT175" s="15"/>
      <c r="CU175" s="15"/>
    </row>
    <row r="176" spans="1:99" s="13" customFormat="1" ht="12" customHeight="1" x14ac:dyDescent="0.2">
      <c r="A176" s="68">
        <v>43509</v>
      </c>
      <c r="B176" s="70"/>
      <c r="C176" s="70"/>
      <c r="D176" s="69"/>
      <c r="E176" s="87"/>
      <c r="F176" s="69"/>
      <c r="G176" s="69"/>
      <c r="H176" s="69"/>
      <c r="I176" s="69"/>
      <c r="J176" s="69"/>
      <c r="K176" s="107"/>
      <c r="L176" s="107"/>
      <c r="M176" s="69"/>
      <c r="N176" s="69"/>
      <c r="O176" s="69"/>
      <c r="P176" s="69"/>
      <c r="Q176" s="69"/>
      <c r="R176" s="69"/>
      <c r="S176" s="69"/>
      <c r="T176" s="69"/>
      <c r="U176" s="69"/>
      <c r="V176" s="69"/>
      <c r="W176" s="69"/>
      <c r="X176" s="69"/>
      <c r="Y176" s="87"/>
      <c r="Z176" s="69"/>
      <c r="AA176" s="69"/>
      <c r="AB176" s="69"/>
      <c r="AC176" s="69"/>
      <c r="AD176" s="69"/>
      <c r="AE176" s="69"/>
      <c r="AF176" s="88"/>
      <c r="AG176" s="72"/>
      <c r="AH176" s="4"/>
      <c r="AI176" s="72"/>
      <c r="AJ176" s="110"/>
      <c r="AK176" s="72"/>
      <c r="AL176" s="72"/>
      <c r="AM176" s="72"/>
      <c r="AN176" s="72"/>
      <c r="AO176" s="72"/>
      <c r="AP176" s="72"/>
      <c r="AQ176" s="72"/>
      <c r="AR176" s="110"/>
      <c r="AS176" s="72"/>
      <c r="AT176" s="72"/>
      <c r="AU176" s="4"/>
      <c r="AV176" s="71">
        <f>30*24*60*60*4</f>
        <v>10368000</v>
      </c>
      <c r="AW176" s="71">
        <f>30*24*60*60*7</f>
        <v>18144000</v>
      </c>
      <c r="AX176" s="71">
        <f>30*24*60*60*10</f>
        <v>25920000</v>
      </c>
      <c r="AY176" s="71">
        <f>30*24*60*60*13</f>
        <v>33696000</v>
      </c>
      <c r="AZ176" s="71">
        <f>30*24*60*60*16</f>
        <v>41472000</v>
      </c>
      <c r="BA176" s="53"/>
      <c r="BB176" s="53"/>
      <c r="BC176" s="53"/>
      <c r="BD176" s="53"/>
      <c r="BE176" s="53"/>
      <c r="BF176" s="53"/>
      <c r="BG176" s="53"/>
      <c r="BH176" s="53"/>
      <c r="BI176" s="53"/>
      <c r="BJ176" s="53"/>
      <c r="BK176" s="53"/>
      <c r="BL176" s="53"/>
      <c r="BM176" s="53"/>
      <c r="BN176" s="53"/>
      <c r="BO176" s="53"/>
      <c r="BP176" s="53"/>
      <c r="BQ176" s="53"/>
      <c r="BR176" s="53"/>
      <c r="BS176" s="53"/>
      <c r="BT176" s="53"/>
      <c r="BU176" s="53"/>
      <c r="BV176" s="53"/>
      <c r="BW176" s="53"/>
      <c r="BX176" s="53"/>
      <c r="BY176" s="53"/>
      <c r="BZ176" s="53"/>
      <c r="CA176" s="53"/>
      <c r="CB176" s="53"/>
      <c r="CC176" s="53"/>
      <c r="CD176" s="53"/>
      <c r="CE176" s="53"/>
      <c r="CF176" s="53"/>
      <c r="CG176" s="53"/>
      <c r="CH176" s="53"/>
      <c r="CI176" s="53"/>
      <c r="CJ176" s="53"/>
      <c r="CK176" s="53"/>
      <c r="CL176" s="53"/>
      <c r="CM176" s="53"/>
      <c r="CN176" s="53"/>
      <c r="CO176" s="53"/>
      <c r="CP176" s="53"/>
      <c r="CQ176" s="53"/>
      <c r="CR176" s="1"/>
      <c r="CS176" s="1"/>
      <c r="CT176" s="1"/>
      <c r="CU176" s="1"/>
    </row>
    <row r="177" spans="1:99" s="13" customFormat="1" ht="12" customHeight="1" x14ac:dyDescent="0.2">
      <c r="A177" s="68">
        <v>43509</v>
      </c>
      <c r="B177" s="70" t="s">
        <v>180</v>
      </c>
      <c r="C177" s="70" t="s">
        <v>181</v>
      </c>
      <c r="D177" s="69">
        <v>1978</v>
      </c>
      <c r="E177" s="87">
        <v>1</v>
      </c>
      <c r="F177" s="69">
        <v>207</v>
      </c>
      <c r="G177" s="69">
        <v>41.4</v>
      </c>
      <c r="H177" s="69" t="s">
        <v>38</v>
      </c>
      <c r="I177" s="69" t="s">
        <v>687</v>
      </c>
      <c r="J177" s="69" t="s">
        <v>585</v>
      </c>
      <c r="K177" s="69">
        <f>IF(J177="syllables",1,IF(J177="trigrams",2,IF(J177="strings",3,IF(J177="visual array",4,IF(J177="characters",5,IF(J177="letters",6,IF(J177="free forms",7,IF(J177="odors",8,IF(J177="words",9,IF(J177="pictures",10,IF(J177="object pictures",11,IF(J177="faces",12,IF(J177="names",13,IF(J177="idioms",14,IF(J177="grades",15,IF(J177="syllable-digit pairs",16,IF(J177="trigram-word pairs",17,IF(J177="word-digit pairs",18,IF(J177="English-Swahili pairs",19,IF(J177="spatial position",20,IF(J177="word pairs",21,IF(J177="word triads",22,IF(J177="generated words",23,IF(J177="word definition pairs",24,IF(J177="math problems",25,IF(J177="famous faces",26,IF(J177="famous names",27,IF(J177="famous voices",28,IF(J177="television programs",29,IF(J177="race horses",30,IF(J177="new vocabulary",31,IF(J177="sentences",32,IF(J177="concepts",33,IF(J177="ad slides",34,IF(J177="scenes",35,IF(J177="famous scenes",36,IF(J177="poems",37,IF(J177="walk",38,IF(J177="faces and events",39,IF(J177="events and names",40,IF(J177="flashbulb",41,IF(J177="stories",42,IF(J177="course material",43,IF(J177="autobiographical",44,IF(J177="novels",45,IF(J177="public events",46,"99"))))))))))))))))))))))))))))))))))))))))))))))</f>
        <v>43</v>
      </c>
      <c r="L177" s="69">
        <f>IF(J177="syllables",1,IF(J177="trigrams",1,IF(J177="strings",1,IF(J177="visual array",1,IF(J177="characters",1,IF(J177="letters",1,IF(J177="free forms",1,IF(J177="odors",2,IF(J177="words",2,IF(J177="pictures",2,IF(J177="object pictures",2,IF(J177="faces",2,IF(J177="names",2,IF(J177="idioms","2",IF(J177="grades",2,IF(J177="syllable-digit pairs",3,IF(J177="trigram-word pairs",3,IF(J177="word-digit pairs",3,IF(J177="English-Swahili pairs",3,IF(J177="spatial position",3,IF(J177="word pairs",4,IF(J177="word triads",4,IF(J177="generated words",4,IF(J177="word definition pairs",4,IF(J177="math problems",4,IF(J177="famous faces",4,IF(J177="famous names",4,IF(J177="famous voices",4,IF(J177="television programs",4,IF(J177="race horses",4,IF(J177="new vocabulary",4,IF(J177="sentences",5,IF(J177="concepts",5,IF(J177="ad slides",5,IF(J177="scenes",5,IF(J177="famous scenes",5,IF(J177="poems",6,IF(J177="walk",6,IF(J177="faces and events",6,IF(J177="events and names",6,IF(J177="flashbulb",7,IF(J177="stories",7,IF(J177="course material",7,IF(J177="autobiographical",7,IF(J177="novels",7,IF(J177="public events",7,"99"))))))))))))))))))))))))))))))))))))))))))))))</f>
        <v>7</v>
      </c>
      <c r="M177" s="69">
        <v>1</v>
      </c>
      <c r="N177" s="69">
        <v>4</v>
      </c>
      <c r="O177" s="69">
        <v>0</v>
      </c>
      <c r="P177" s="69"/>
      <c r="Q177" s="69" t="s">
        <v>182</v>
      </c>
      <c r="R177" s="69">
        <f>IF(Q177="Free Recall",1,IF(Q177="Cued Recall",2,IF(Q177="Recognition",3,IF(Q177="Multiple Choice",4,IF(Q177="Savings",5,IF(Q177="Stem Completion",6,IF(Q177="Fragment Completion",7,IF(Q177="anagram solution",8,IF(Q177="Matching",9,IF(Q177="Problem Solving",10,"99"))))))))))</f>
        <v>4</v>
      </c>
      <c r="S177" s="69" t="s">
        <v>15</v>
      </c>
      <c r="T177" s="69" t="s">
        <v>261</v>
      </c>
      <c r="U177" s="69">
        <f>IF(T177="within",1,0)</f>
        <v>0</v>
      </c>
      <c r="V177" s="69">
        <v>9</v>
      </c>
      <c r="W177" s="69">
        <f>F177*V177</f>
        <v>1863</v>
      </c>
      <c r="X177" s="69">
        <v>5</v>
      </c>
      <c r="Y177" s="87">
        <f>AV176</f>
        <v>10368000</v>
      </c>
      <c r="Z177" s="69" t="s">
        <v>183</v>
      </c>
      <c r="AA177" s="69">
        <v>41472000</v>
      </c>
      <c r="AB177" s="69" t="str">
        <f>IF(AA177&lt;60,"1",IF(AA177&lt;=43200,"2",IF(AA177&lt;=777600,"3","4")))</f>
        <v>4</v>
      </c>
      <c r="AC177" s="72">
        <f>AVERAGE(AV176:DA176)</f>
        <v>25920000</v>
      </c>
      <c r="AD177" s="69" t="str">
        <f>IF(AC177&lt;60,"1",IF(AC177&lt;=43200,"2",IF(AC177&lt;=777600,"3","4")))</f>
        <v>4</v>
      </c>
      <c r="AE177" s="87">
        <f>AA177-Y177</f>
        <v>31104000</v>
      </c>
      <c r="AF177" s="88">
        <f>AV177</f>
        <v>0.66222222222222227</v>
      </c>
      <c r="AG177" s="72">
        <f>((AW177-AV177)+(AX177-AW177)+(AY177-AX177)+(AZ177-AY177))/4</f>
        <v>-2.1944444444444461E-2</v>
      </c>
      <c r="AH177" s="4"/>
      <c r="AI177" s="72">
        <f>RSQ(AV177:AZ177,AV176:AZ176)</f>
        <v>0.96959495002630181</v>
      </c>
      <c r="AJ177" s="110">
        <f>SLOPE(AV177:AZ177,AV176:AZ176)</f>
        <v>-2.7434842249657086E-9</v>
      </c>
      <c r="AK177" s="72">
        <f>INTERCEPT(AV177:AZ177,AV176:AZ176)</f>
        <v>0.68333333333333335</v>
      </c>
      <c r="AL177" s="72">
        <f>INDEX(LINEST(LN(AV177:AZ177),LN(AV176:AZ176),TRUE,TRUE),3,1)</f>
        <v>0.99726515926245407</v>
      </c>
      <c r="AM177" s="72">
        <f>INDEX(LINEST(LN(AV177:AZ177),LN(AV176:AZ176)),1)</f>
        <v>-0.10115046335486202</v>
      </c>
      <c r="AN177" s="72">
        <f>EXP(INDEX(LINEST(LN(AV177:AZ177),LN(AV176:AZ176)),1,2))</f>
        <v>3.4002824587932872</v>
      </c>
      <c r="AO177" s="89">
        <f>INDEX(LINEST((AV177:AZ177),LN(AV176:AZ176),TRUE,TRUE),3,1)</f>
        <v>0.9988753722847481</v>
      </c>
      <c r="AP177" s="89">
        <f>INDEX(LINEST((AV177:AZ177),LN(AV176:AZ176)),1)</f>
        <v>-6.2556664073580723E-2</v>
      </c>
      <c r="AQ177" s="90">
        <f>INDEX(LINEST(LN(AV177:AZ177),SQRT(AV176:AZ176),TRUE,TRUE),3,1)</f>
        <v>0.99651733123483932</v>
      </c>
      <c r="AR177" s="117">
        <f>INDEX(LINEST(LN(AV177:AZ177),SQRT((AV176:AZ176))),1)</f>
        <v>-4.3614441202230193E-5</v>
      </c>
      <c r="AS177" s="91">
        <f>INDEX(LINEST(1/(AV177:AZ177),1/(SQRT(AV176:AZ176)),TRUE,TRUE),3,1)</f>
        <v>0.97159293967676108</v>
      </c>
      <c r="AT177" s="91">
        <f>INDEX(LINEST(1/(AV177:AZ177),1/SQRT(AV176:AZ176)),1)</f>
        <v>-1434.6481786457152</v>
      </c>
      <c r="AU177" s="3"/>
      <c r="AV177" s="73">
        <v>0.66222222222222227</v>
      </c>
      <c r="AW177" s="73">
        <v>0.62777777777777777</v>
      </c>
      <c r="AX177" s="73">
        <v>0.60666666666666669</v>
      </c>
      <c r="AY177" s="73">
        <v>0.59</v>
      </c>
      <c r="AZ177" s="73">
        <v>0.57444444444444442</v>
      </c>
      <c r="BA177" s="53"/>
      <c r="BB177" s="53"/>
      <c r="BC177" s="53"/>
      <c r="BD177" s="53"/>
      <c r="BE177" s="53"/>
      <c r="BF177" s="53"/>
      <c r="BG177" s="53"/>
      <c r="BH177" s="53"/>
      <c r="BI177" s="53"/>
      <c r="BJ177" s="53"/>
      <c r="BK177" s="53"/>
      <c r="BL177" s="53"/>
      <c r="BM177" s="53"/>
      <c r="BN177" s="53"/>
      <c r="BO177" s="53"/>
      <c r="BP177" s="53"/>
      <c r="BQ177" s="53"/>
      <c r="BR177" s="53"/>
      <c r="BS177" s="53"/>
      <c r="BT177" s="53"/>
      <c r="BU177" s="53"/>
      <c r="BV177" s="53"/>
      <c r="BW177" s="53"/>
      <c r="BX177" s="53"/>
      <c r="BY177" s="53"/>
      <c r="BZ177" s="53"/>
      <c r="CA177" s="53"/>
      <c r="CB177" s="53"/>
      <c r="CC177" s="53"/>
      <c r="CD177" s="53"/>
      <c r="CE177" s="53"/>
      <c r="CF177" s="53"/>
      <c r="CG177" s="53"/>
      <c r="CH177" s="53"/>
      <c r="CI177" s="53"/>
      <c r="CJ177" s="53"/>
      <c r="CK177" s="53"/>
      <c r="CL177" s="53"/>
      <c r="CM177" s="53"/>
      <c r="CN177" s="53"/>
      <c r="CO177" s="53"/>
      <c r="CP177" s="53"/>
      <c r="CQ177" s="53"/>
      <c r="CR177" s="1"/>
      <c r="CS177" s="1"/>
      <c r="CT177" s="1"/>
      <c r="CU177" s="1"/>
    </row>
    <row r="178" spans="1:99" s="13" customFormat="1" ht="12" customHeight="1" x14ac:dyDescent="0.2">
      <c r="A178" s="68">
        <v>43509</v>
      </c>
      <c r="B178" s="70"/>
      <c r="C178" s="70"/>
      <c r="D178" s="69"/>
      <c r="E178" s="87"/>
      <c r="F178" s="69"/>
      <c r="G178" s="69"/>
      <c r="H178" s="69"/>
      <c r="I178" s="69"/>
      <c r="J178" s="69"/>
      <c r="K178" s="107"/>
      <c r="L178" s="107"/>
      <c r="M178" s="69"/>
      <c r="N178" s="69"/>
      <c r="O178" s="69"/>
      <c r="P178" s="69"/>
      <c r="Q178" s="69"/>
      <c r="R178" s="69"/>
      <c r="S178" s="69"/>
      <c r="T178" s="69"/>
      <c r="U178" s="69"/>
      <c r="V178" s="69"/>
      <c r="W178" s="69"/>
      <c r="X178" s="69"/>
      <c r="Y178" s="87"/>
      <c r="Z178" s="69"/>
      <c r="AA178" s="69"/>
      <c r="AB178" s="69"/>
      <c r="AC178" s="69"/>
      <c r="AD178" s="69"/>
      <c r="AE178" s="69"/>
      <c r="AF178" s="88"/>
      <c r="AG178" s="72"/>
      <c r="AH178" s="4"/>
      <c r="AI178" s="72"/>
      <c r="AJ178" s="110"/>
      <c r="AK178" s="72"/>
      <c r="AL178" s="72"/>
      <c r="AM178" s="72"/>
      <c r="AN178" s="72"/>
      <c r="AO178" s="72"/>
      <c r="AP178" s="72"/>
      <c r="AQ178" s="89"/>
      <c r="AR178" s="118"/>
      <c r="AS178" s="89"/>
      <c r="AT178" s="89"/>
      <c r="AU178" s="4"/>
      <c r="AV178" s="71">
        <f>30*24*60*60*4</f>
        <v>10368000</v>
      </c>
      <c r="AW178" s="71">
        <f>30*24*60*60*7</f>
        <v>18144000</v>
      </c>
      <c r="AX178" s="71">
        <f>30*24*60*60*10</f>
        <v>25920000</v>
      </c>
      <c r="AY178" s="71">
        <f>30*24*60*60*13</f>
        <v>33696000</v>
      </c>
      <c r="AZ178" s="71">
        <f>30*24*60*60*16</f>
        <v>41472000</v>
      </c>
      <c r="BA178" s="53"/>
      <c r="BB178" s="53"/>
      <c r="BC178" s="53"/>
      <c r="BD178" s="53"/>
      <c r="BE178" s="53"/>
      <c r="BF178" s="53"/>
      <c r="BG178" s="53"/>
      <c r="BH178" s="53"/>
      <c r="BI178" s="53"/>
      <c r="BJ178" s="53"/>
      <c r="BK178" s="53"/>
      <c r="BL178" s="53"/>
      <c r="BM178" s="53"/>
      <c r="BN178" s="53"/>
      <c r="BO178" s="53"/>
      <c r="BP178" s="53"/>
      <c r="BQ178" s="53"/>
      <c r="BR178" s="53"/>
      <c r="BS178" s="53"/>
      <c r="BT178" s="53"/>
      <c r="BU178" s="53"/>
      <c r="BV178" s="53"/>
      <c r="BW178" s="53"/>
      <c r="BX178" s="53"/>
      <c r="BY178" s="53"/>
      <c r="BZ178" s="53"/>
      <c r="CA178" s="53"/>
      <c r="CB178" s="53"/>
      <c r="CC178" s="53"/>
      <c r="CD178" s="53"/>
      <c r="CE178" s="53"/>
      <c r="CF178" s="53"/>
      <c r="CG178" s="53"/>
      <c r="CH178" s="53"/>
      <c r="CI178" s="53"/>
      <c r="CJ178" s="53"/>
      <c r="CK178" s="53"/>
      <c r="CL178" s="53"/>
      <c r="CM178" s="53"/>
      <c r="CN178" s="53"/>
      <c r="CO178" s="53"/>
      <c r="CP178" s="53"/>
      <c r="CQ178" s="53"/>
      <c r="CR178" s="1"/>
      <c r="CS178" s="1"/>
      <c r="CT178" s="1"/>
      <c r="CU178" s="1"/>
    </row>
    <row r="179" spans="1:99" s="13" customFormat="1" ht="12" customHeight="1" x14ac:dyDescent="0.2">
      <c r="A179" s="68">
        <v>43509</v>
      </c>
      <c r="B179" s="70" t="s">
        <v>180</v>
      </c>
      <c r="C179" s="70" t="s">
        <v>181</v>
      </c>
      <c r="D179" s="69">
        <v>1978</v>
      </c>
      <c r="E179" s="87">
        <v>1</v>
      </c>
      <c r="F179" s="69">
        <v>207</v>
      </c>
      <c r="G179" s="69">
        <v>41.4</v>
      </c>
      <c r="H179" s="69" t="s">
        <v>38</v>
      </c>
      <c r="I179" s="69" t="s">
        <v>688</v>
      </c>
      <c r="J179" s="69" t="s">
        <v>585</v>
      </c>
      <c r="K179" s="69">
        <f>IF(J179="syllables",1,IF(J179="trigrams",2,IF(J179="strings",3,IF(J179="visual array",4,IF(J179="characters",5,IF(J179="letters",6,IF(J179="free forms",7,IF(J179="odors",8,IF(J179="words",9,IF(J179="pictures",10,IF(J179="object pictures",11,IF(J179="faces",12,IF(J179="names",13,IF(J179="idioms",14,IF(J179="grades",15,IF(J179="syllable-digit pairs",16,IF(J179="trigram-word pairs",17,IF(J179="word-digit pairs",18,IF(J179="English-Swahili pairs",19,IF(J179="spatial position",20,IF(J179="word pairs",21,IF(J179="word triads",22,IF(J179="generated words",23,IF(J179="word definition pairs",24,IF(J179="math problems",25,IF(J179="famous faces",26,IF(J179="famous names",27,IF(J179="famous voices",28,IF(J179="television programs",29,IF(J179="race horses",30,IF(J179="new vocabulary",31,IF(J179="sentences",32,IF(J179="concepts",33,IF(J179="ad slides",34,IF(J179="scenes",35,IF(J179="famous scenes",36,IF(J179="poems",37,IF(J179="walk",38,IF(J179="faces and events",39,IF(J179="events and names",40,IF(J179="flashbulb",41,IF(J179="stories",42,IF(J179="course material",43,IF(J179="autobiographical",44,IF(J179="novels",45,IF(J179="public events",46,"99"))))))))))))))))))))))))))))))))))))))))))))))</f>
        <v>43</v>
      </c>
      <c r="L179" s="69">
        <f>IF(J179="syllables",1,IF(J179="trigrams",1,IF(J179="strings",1,IF(J179="visual array",1,IF(J179="characters",1,IF(J179="letters",1,IF(J179="free forms",1,IF(J179="odors",2,IF(J179="words",2,IF(J179="pictures",2,IF(J179="object pictures",2,IF(J179="faces",2,IF(J179="names",2,IF(J179="idioms","2",IF(J179="grades",2,IF(J179="syllable-digit pairs",3,IF(J179="trigram-word pairs",3,IF(J179="word-digit pairs",3,IF(J179="English-Swahili pairs",3,IF(J179="spatial position",3,IF(J179="word pairs",4,IF(J179="word triads",4,IF(J179="generated words",4,IF(J179="word definition pairs",4,IF(J179="math problems",4,IF(J179="famous faces",4,IF(J179="famous names",4,IF(J179="famous voices",4,IF(J179="television programs",4,IF(J179="race horses",4,IF(J179="new vocabulary",4,IF(J179="sentences",5,IF(J179="concepts",5,IF(J179="ad slides",5,IF(J179="scenes",5,IF(J179="famous scenes",5,IF(J179="poems",6,IF(J179="walk",6,IF(J179="faces and events",6,IF(J179="events and names",6,IF(J179="flashbulb",7,IF(J179="stories",7,IF(J179="course material",7,IF(J179="autobiographical",7,IF(J179="novels",7,IF(J179="public events",7,"99"))))))))))))))))))))))))))))))))))))))))))))))</f>
        <v>7</v>
      </c>
      <c r="M179" s="69">
        <v>1</v>
      </c>
      <c r="N179" s="69">
        <v>4</v>
      </c>
      <c r="O179" s="69">
        <v>0</v>
      </c>
      <c r="P179" s="69"/>
      <c r="Q179" s="69" t="s">
        <v>182</v>
      </c>
      <c r="R179" s="69">
        <f>IF(Q179="Free Recall",1,IF(Q179="Cued Recall",2,IF(Q179="Recognition",3,IF(Q179="Multiple Choice",4,IF(Q179="Savings",5,IF(Q179="Stem Completion",6,IF(Q179="Fragment Completion",7,IF(Q179="anagram solution",8,IF(Q179="Matching",9,IF(Q179="Problem Solving",10,"99"))))))))))</f>
        <v>4</v>
      </c>
      <c r="S179" s="69" t="s">
        <v>15</v>
      </c>
      <c r="T179" s="69" t="s">
        <v>261</v>
      </c>
      <c r="U179" s="69">
        <f>IF(T179="within",1,0)</f>
        <v>0</v>
      </c>
      <c r="V179" s="69">
        <v>6</v>
      </c>
      <c r="W179" s="69">
        <f>F179*V179</f>
        <v>1242</v>
      </c>
      <c r="X179" s="69">
        <v>5</v>
      </c>
      <c r="Y179" s="87">
        <f>AV178</f>
        <v>10368000</v>
      </c>
      <c r="Z179" s="69" t="s">
        <v>183</v>
      </c>
      <c r="AA179" s="69">
        <v>41472000</v>
      </c>
      <c r="AB179" s="69" t="str">
        <f>IF(AA179&lt;60,"1",IF(AA179&lt;=43200,"2",IF(AA179&lt;=777600,"3","4")))</f>
        <v>4</v>
      </c>
      <c r="AC179" s="72">
        <f>AVERAGE(AV178:DA178)</f>
        <v>25920000</v>
      </c>
      <c r="AD179" s="69" t="str">
        <f>IF(AC179&lt;60,"1",IF(AC179&lt;=43200,"2",IF(AC179&lt;=777600,"3","4")))</f>
        <v>4</v>
      </c>
      <c r="AE179" s="87">
        <f>AA179-Y179</f>
        <v>31104000</v>
      </c>
      <c r="AF179" s="88">
        <f>AV179</f>
        <v>0.72499999999999998</v>
      </c>
      <c r="AG179" s="72">
        <f>((AW179-AV179)+(AX179-AW179)+(AY179-AX179)+(AZ179-AY179))/4</f>
        <v>-1.1666666666666659E-2</v>
      </c>
      <c r="AH179" s="4"/>
      <c r="AI179" s="72">
        <f>RSQ(AV179:AZ179,AV178:AZ178)</f>
        <v>0.12270662240083899</v>
      </c>
      <c r="AJ179" s="110">
        <f>SLOPE(AV179:AZ179,AV178:AZ178)</f>
        <v>-1.1359739368998637E-9</v>
      </c>
      <c r="AK179" s="72">
        <f>INTERCEPT(AV179:AZ179,AV178:AZ178)</f>
        <v>0.69511111111111112</v>
      </c>
      <c r="AL179" s="72">
        <f>INDEX(LINEST(LN(AV179:AZ179),LN(AV178:AZ178),TRUE,TRUE),3,1)</f>
        <v>0.25855362296587237</v>
      </c>
      <c r="AM179" s="72">
        <f>INDEX(LINEST(LN(AV179:AZ179),LN(AV178:AZ178)),1)</f>
        <v>-5.5198547833092602E-2</v>
      </c>
      <c r="AN179" s="72">
        <f>EXP(INDEX(LINEST(LN(AV179:AZ179),LN(AV178:AZ178)),1,2))</f>
        <v>1.6953931401354716</v>
      </c>
      <c r="AO179" s="89">
        <f>INDEX(LINEST((AV179:AZ179),LN(AV178:AZ178),TRUE,TRUE),3,1)</f>
        <v>0.27510514207256409</v>
      </c>
      <c r="AP179" s="89">
        <f>INDEX(LINEST((AV179:AZ179),LN(AV178:AZ178)),1)</f>
        <v>-3.8211523542508126E-2</v>
      </c>
      <c r="AQ179" s="90">
        <f>INDEX(LINEST(LN(AV179:AZ179),SQRT(AV178:AZ178),TRUE,TRUE),3,1)</f>
        <v>0.17823287269527288</v>
      </c>
      <c r="AR179" s="117">
        <f>INDEX(LINEST(LN(AV179:AZ179),SQRT((AV178:AZ178))),1)</f>
        <v>-1.9768402420076484E-5</v>
      </c>
      <c r="AS179" s="91">
        <f>INDEX(LINEST(1/(AV179:AZ179),1/(SQRT(AV178:AZ178)),TRUE,TRUE),3,1)</f>
        <v>0.32540942646264603</v>
      </c>
      <c r="AT179" s="91">
        <f>INDEX(LINEST(1/(AV179:AZ179),1/SQRT(AV178:AZ178)),1)</f>
        <v>-820.07979287991191</v>
      </c>
      <c r="AU179" s="3"/>
      <c r="AV179" s="73">
        <v>0.72499999999999998</v>
      </c>
      <c r="AW179" s="73">
        <v>0.65166666666666673</v>
      </c>
      <c r="AX179" s="73">
        <v>0.6166666666666667</v>
      </c>
      <c r="AY179" s="73">
        <v>0.65666666666666662</v>
      </c>
      <c r="AZ179" s="73">
        <v>0.67833333333333334</v>
      </c>
      <c r="BA179" s="53"/>
      <c r="BB179" s="53"/>
      <c r="BC179" s="53"/>
      <c r="BD179" s="53"/>
      <c r="BE179" s="53"/>
      <c r="BF179" s="53"/>
      <c r="BG179" s="53"/>
      <c r="BH179" s="53"/>
      <c r="BI179" s="53"/>
      <c r="BJ179" s="53"/>
      <c r="BK179" s="53"/>
      <c r="BL179" s="53"/>
      <c r="BM179" s="53"/>
      <c r="BN179" s="53"/>
      <c r="BO179" s="53"/>
      <c r="BP179" s="53"/>
      <c r="BQ179" s="53"/>
      <c r="BR179" s="53"/>
      <c r="BS179" s="53"/>
      <c r="BT179" s="53"/>
      <c r="BU179" s="53"/>
      <c r="BV179" s="53"/>
      <c r="BW179" s="53"/>
      <c r="BX179" s="53"/>
      <c r="BY179" s="53"/>
      <c r="BZ179" s="53"/>
      <c r="CA179" s="53"/>
      <c r="CB179" s="53"/>
      <c r="CC179" s="53"/>
      <c r="CD179" s="53"/>
      <c r="CE179" s="53"/>
      <c r="CF179" s="53"/>
      <c r="CG179" s="53"/>
      <c r="CH179" s="53"/>
      <c r="CI179" s="53"/>
      <c r="CJ179" s="53"/>
      <c r="CK179" s="53"/>
      <c r="CL179" s="53"/>
      <c r="CM179" s="53"/>
      <c r="CN179" s="53"/>
      <c r="CO179" s="53"/>
      <c r="CP179" s="53"/>
      <c r="CQ179" s="53"/>
      <c r="CR179" s="1"/>
      <c r="CS179" s="1"/>
      <c r="CT179" s="1"/>
      <c r="CU179" s="1"/>
    </row>
    <row r="180" spans="1:99" s="13" customFormat="1" ht="12" customHeight="1" x14ac:dyDescent="0.2">
      <c r="A180" s="68">
        <v>43509</v>
      </c>
      <c r="B180" s="70"/>
      <c r="C180" s="70"/>
      <c r="D180" s="69"/>
      <c r="E180" s="87"/>
      <c r="F180" s="69"/>
      <c r="G180" s="69"/>
      <c r="H180" s="69"/>
      <c r="I180" s="69"/>
      <c r="J180" s="69"/>
      <c r="K180" s="107"/>
      <c r="L180" s="107"/>
      <c r="M180" s="69"/>
      <c r="N180" s="69"/>
      <c r="O180" s="69"/>
      <c r="P180" s="69"/>
      <c r="Q180" s="69"/>
      <c r="R180" s="69"/>
      <c r="S180" s="69"/>
      <c r="T180" s="69"/>
      <c r="U180" s="69"/>
      <c r="V180" s="69"/>
      <c r="W180" s="69"/>
      <c r="X180" s="69"/>
      <c r="Y180" s="87"/>
      <c r="Z180" s="69"/>
      <c r="AA180" s="69"/>
      <c r="AB180" s="69"/>
      <c r="AC180" s="69"/>
      <c r="AD180" s="69"/>
      <c r="AE180" s="69"/>
      <c r="AF180" s="88"/>
      <c r="AG180" s="72"/>
      <c r="AH180" s="4"/>
      <c r="AI180" s="72"/>
      <c r="AJ180" s="110"/>
      <c r="AK180" s="72"/>
      <c r="AL180" s="72"/>
      <c r="AM180" s="72"/>
      <c r="AN180" s="72"/>
      <c r="AO180" s="72"/>
      <c r="AP180" s="72"/>
      <c r="AQ180" s="89"/>
      <c r="AR180" s="118"/>
      <c r="AS180" s="89"/>
      <c r="AT180" s="89"/>
      <c r="AU180" s="4"/>
      <c r="AV180" s="71">
        <f>30*24*60*60*4</f>
        <v>10368000</v>
      </c>
      <c r="AW180" s="71">
        <f>30*24*60*60*7</f>
        <v>18144000</v>
      </c>
      <c r="AX180" s="71">
        <f>30*24*60*60*10</f>
        <v>25920000</v>
      </c>
      <c r="AY180" s="71">
        <f>30*24*60*60*13</f>
        <v>33696000</v>
      </c>
      <c r="AZ180" s="71">
        <f>30*24*60*60*16</f>
        <v>41472000</v>
      </c>
      <c r="BA180" s="53"/>
      <c r="BB180" s="53"/>
      <c r="BC180" s="53"/>
      <c r="BD180" s="53"/>
      <c r="BE180" s="53"/>
      <c r="BF180" s="53"/>
      <c r="BG180" s="53"/>
      <c r="BH180" s="53"/>
      <c r="BI180" s="53"/>
      <c r="BJ180" s="53"/>
      <c r="BK180" s="53"/>
      <c r="BL180" s="53"/>
      <c r="BM180" s="53"/>
      <c r="BN180" s="53"/>
      <c r="BO180" s="53"/>
      <c r="BP180" s="53"/>
      <c r="BQ180" s="53"/>
      <c r="BR180" s="53"/>
      <c r="BS180" s="53"/>
      <c r="BT180" s="53"/>
      <c r="BU180" s="53"/>
      <c r="BV180" s="53"/>
      <c r="BW180" s="53"/>
      <c r="BX180" s="53"/>
      <c r="BY180" s="53"/>
      <c r="BZ180" s="53"/>
      <c r="CA180" s="53"/>
      <c r="CB180" s="53"/>
      <c r="CC180" s="53"/>
      <c r="CD180" s="53"/>
      <c r="CE180" s="53"/>
      <c r="CF180" s="53"/>
      <c r="CG180" s="53"/>
      <c r="CH180" s="53"/>
      <c r="CI180" s="53"/>
      <c r="CJ180" s="53"/>
      <c r="CK180" s="53"/>
      <c r="CL180" s="53"/>
      <c r="CM180" s="53"/>
      <c r="CN180" s="53"/>
      <c r="CO180" s="53"/>
      <c r="CP180" s="53"/>
      <c r="CQ180" s="53"/>
      <c r="CR180" s="1"/>
      <c r="CS180" s="1"/>
      <c r="CT180" s="1"/>
      <c r="CU180" s="1"/>
    </row>
    <row r="181" spans="1:99" s="13" customFormat="1" ht="12" customHeight="1" x14ac:dyDescent="0.2">
      <c r="A181" s="68">
        <v>43509</v>
      </c>
      <c r="B181" s="70" t="s">
        <v>180</v>
      </c>
      <c r="C181" s="70" t="s">
        <v>181</v>
      </c>
      <c r="D181" s="69">
        <v>1978</v>
      </c>
      <c r="E181" s="87">
        <v>1</v>
      </c>
      <c r="F181" s="69">
        <v>207</v>
      </c>
      <c r="G181" s="69">
        <v>41.4</v>
      </c>
      <c r="H181" s="69" t="s">
        <v>38</v>
      </c>
      <c r="I181" s="69" t="s">
        <v>690</v>
      </c>
      <c r="J181" s="69" t="s">
        <v>585</v>
      </c>
      <c r="K181" s="69">
        <f>IF(J181="syllables",1,IF(J181="trigrams",2,IF(J181="strings",3,IF(J181="visual array",4,IF(J181="characters",5,IF(J181="letters",6,IF(J181="free forms",7,IF(J181="odors",8,IF(J181="words",9,IF(J181="pictures",10,IF(J181="object pictures",11,IF(J181="faces",12,IF(J181="names",13,IF(J181="idioms",14,IF(J181="grades",15,IF(J181="syllable-digit pairs",16,IF(J181="trigram-word pairs",17,IF(J181="word-digit pairs",18,IF(J181="English-Swahili pairs",19,IF(J181="spatial position",20,IF(J181="word pairs",21,IF(J181="word triads",22,IF(J181="generated words",23,IF(J181="word definition pairs",24,IF(J181="math problems",25,IF(J181="famous faces",26,IF(J181="famous names",27,IF(J181="famous voices",28,IF(J181="television programs",29,IF(J181="race horses",30,IF(J181="new vocabulary",31,IF(J181="sentences",32,IF(J181="concepts",33,IF(J181="ad slides",34,IF(J181="scenes",35,IF(J181="famous scenes",36,IF(J181="poems",37,IF(J181="walk",38,IF(J181="faces and events",39,IF(J181="events and names",40,IF(J181="flashbulb",41,IF(J181="stories",42,IF(J181="course material",43,IF(J181="autobiographical",44,IF(J181="novels",45,IF(J181="public events",46,"99"))))))))))))))))))))))))))))))))))))))))))))))</f>
        <v>43</v>
      </c>
      <c r="L181" s="69">
        <f>IF(J181="syllables",1,IF(J181="trigrams",1,IF(J181="strings",1,IF(J181="visual array",1,IF(J181="characters",1,IF(J181="letters",1,IF(J181="free forms",1,IF(J181="odors",2,IF(J181="words",2,IF(J181="pictures",2,IF(J181="object pictures",2,IF(J181="faces",2,IF(J181="names",2,IF(J181="idioms","2",IF(J181="grades",2,IF(J181="syllable-digit pairs",3,IF(J181="trigram-word pairs",3,IF(J181="word-digit pairs",3,IF(J181="English-Swahili pairs",3,IF(J181="spatial position",3,IF(J181="word pairs",4,IF(J181="word triads",4,IF(J181="generated words",4,IF(J181="word definition pairs",4,IF(J181="math problems",4,IF(J181="famous faces",4,IF(J181="famous names",4,IF(J181="famous voices",4,IF(J181="television programs",4,IF(J181="race horses",4,IF(J181="new vocabulary",4,IF(J181="sentences",5,IF(J181="concepts",5,IF(J181="ad slides",5,IF(J181="scenes",5,IF(J181="famous scenes",5,IF(J181="poems",6,IF(J181="walk",6,IF(J181="faces and events",6,IF(J181="events and names",6,IF(J181="flashbulb",7,IF(J181="stories",7,IF(J181="course material",7,IF(J181="autobiographical",7,IF(J181="novels",7,IF(J181="public events",7,"99"))))))))))))))))))))))))))))))))))))))))))))))</f>
        <v>7</v>
      </c>
      <c r="M181" s="69">
        <v>1</v>
      </c>
      <c r="N181" s="69">
        <v>4</v>
      </c>
      <c r="O181" s="69">
        <v>0</v>
      </c>
      <c r="P181" s="69"/>
      <c r="Q181" s="69" t="s">
        <v>182</v>
      </c>
      <c r="R181" s="69">
        <f>IF(Q181="Free Recall",1,IF(Q181="Cued Recall",2,IF(Q181="Recognition",3,IF(Q181="Multiple Choice",4,IF(Q181="Savings",5,IF(Q181="Stem Completion",6,IF(Q181="Fragment Completion",7,IF(Q181="anagram solution",8,IF(Q181="Matching",9,IF(Q181="Problem Solving",10,"99"))))))))))</f>
        <v>4</v>
      </c>
      <c r="S181" s="69" t="s">
        <v>15</v>
      </c>
      <c r="T181" s="69" t="s">
        <v>261</v>
      </c>
      <c r="U181" s="69">
        <f>IF(T181="within",1,0)</f>
        <v>0</v>
      </c>
      <c r="V181" s="69">
        <v>3</v>
      </c>
      <c r="W181" s="69">
        <f>F181*V181</f>
        <v>621</v>
      </c>
      <c r="X181" s="69">
        <v>5</v>
      </c>
      <c r="Y181" s="87">
        <f>AV180</f>
        <v>10368000</v>
      </c>
      <c r="Z181" s="69" t="s">
        <v>183</v>
      </c>
      <c r="AA181" s="69">
        <v>41472000</v>
      </c>
      <c r="AB181" s="69" t="str">
        <f>IF(AA181&lt;60,"1",IF(AA181&lt;=43200,"2",IF(AA181&lt;=777600,"3","4")))</f>
        <v>4</v>
      </c>
      <c r="AC181" s="72">
        <f>AVERAGE(AV180:DA180)</f>
        <v>25920000</v>
      </c>
      <c r="AD181" s="69" t="str">
        <f>IF(AC181&lt;60,"1",IF(AC181&lt;=43200,"2",IF(AC181&lt;=777600,"3","4")))</f>
        <v>4</v>
      </c>
      <c r="AE181" s="87">
        <f>AA181-Y181</f>
        <v>31104000</v>
      </c>
      <c r="AF181" s="88">
        <f>AV181</f>
        <v>0.51666666666666672</v>
      </c>
      <c r="AG181" s="93">
        <f>((AW181-AV181)+(AX181-AW181)+(AY181-AX181)+(AZ181-AY181))/4</f>
        <v>-2.5000000000000022E-3</v>
      </c>
      <c r="AH181" s="4"/>
      <c r="AI181" s="72">
        <f>RSQ(AV181:AZ181,AV180:AZ180)</f>
        <v>0.1669928245270714</v>
      </c>
      <c r="AJ181" s="110">
        <f>SLOPE(AV181:AZ181,AV180:AZ180)</f>
        <v>-1.3717421124828541E-9</v>
      </c>
      <c r="AK181" s="72">
        <f>INTERCEPT(AV181:AZ181,AV180:AZ180)</f>
        <v>0.54355555555555557</v>
      </c>
      <c r="AL181" s="72">
        <f>INDEX(LINEST(LN(AV181:AZ181),LN(AV180:AZ180),TRUE,TRUE),3,1)</f>
        <v>0.1385854496188042</v>
      </c>
      <c r="AM181" s="72">
        <f>INDEX(LINEST(LN(AV181:AZ181),LN(AV180:AZ180)),1)</f>
        <v>-5.743500690022494E-2</v>
      </c>
      <c r="AN181" s="72">
        <f>EXP(INDEX(LINEST(LN(AV181:AZ181),LN(AV180:AZ180)),1,2))</f>
        <v>1.3420295224620298</v>
      </c>
      <c r="AO181" s="89">
        <f>INDEX(LINEST((AV181:AZ181),LN(AV180:AZ180),TRUE,TRUE),3,1)</f>
        <v>0.13394520236673521</v>
      </c>
      <c r="AP181" s="89">
        <f>INDEX(LINEST((AV181:AZ181),LN(AV180:AZ180)),1)</f>
        <v>-2.7599281837453943E-2</v>
      </c>
      <c r="AQ181" s="90">
        <f>INDEX(LINEST(LN(AV181:AZ181),SQRT(AV180:AZ180),TRUE,TRUE),3,1)</f>
        <v>0.15653258515264634</v>
      </c>
      <c r="AR181" s="117">
        <f>INDEX(LINEST(LN(AV181:AZ181),SQRT((AV180:AZ180))),1)</f>
        <v>-2.6329679343925486E-5</v>
      </c>
      <c r="AS181" s="91">
        <f>INDEX(LINEST(1/(AV181:AZ181),1/(SQRT(AV180:AZ180)),TRUE,TRUE),3,1)</f>
        <v>0.12217769065079481</v>
      </c>
      <c r="AT181" s="91">
        <f>INDEX(LINEST(1/(AV181:AZ181),1/SQRT(AV180:AZ180)),1)</f>
        <v>-982.41706402604905</v>
      </c>
      <c r="AU181" s="3"/>
      <c r="AV181" s="73">
        <v>0.51666666666666672</v>
      </c>
      <c r="AW181" s="73">
        <v>0.52666666666666673</v>
      </c>
      <c r="AX181" s="73">
        <v>0.54999999999999993</v>
      </c>
      <c r="AY181" s="73">
        <v>0.44</v>
      </c>
      <c r="AZ181" s="73">
        <v>0.50666666666666671</v>
      </c>
      <c r="BA181" s="53"/>
      <c r="BB181" s="53"/>
      <c r="BC181" s="53"/>
      <c r="BD181" s="53"/>
      <c r="BE181" s="53"/>
      <c r="BF181" s="53"/>
      <c r="BG181" s="53"/>
      <c r="BH181" s="53"/>
      <c r="BI181" s="53"/>
      <c r="BJ181" s="53"/>
      <c r="BK181" s="53"/>
      <c r="BL181" s="53"/>
      <c r="BM181" s="53"/>
      <c r="BN181" s="53"/>
      <c r="BO181" s="53"/>
      <c r="BP181" s="53"/>
      <c r="BQ181" s="53"/>
      <c r="BR181" s="53"/>
      <c r="BS181" s="53"/>
      <c r="BT181" s="53"/>
      <c r="BU181" s="53"/>
      <c r="BV181" s="53"/>
      <c r="BW181" s="53"/>
      <c r="BX181" s="53"/>
      <c r="BY181" s="53"/>
      <c r="BZ181" s="53"/>
      <c r="CA181" s="53"/>
      <c r="CB181" s="53"/>
      <c r="CC181" s="53"/>
      <c r="CD181" s="53"/>
      <c r="CE181" s="53"/>
      <c r="CF181" s="53"/>
      <c r="CG181" s="53"/>
      <c r="CH181" s="53"/>
      <c r="CI181" s="53"/>
      <c r="CJ181" s="53"/>
      <c r="CK181" s="53"/>
      <c r="CL181" s="53"/>
      <c r="CM181" s="53"/>
      <c r="CN181" s="53"/>
      <c r="CO181" s="53"/>
      <c r="CP181" s="53"/>
      <c r="CQ181" s="53"/>
      <c r="CR181" s="1"/>
      <c r="CS181" s="1"/>
      <c r="CT181" s="1"/>
      <c r="CU181" s="1"/>
    </row>
    <row r="182" spans="1:99" s="13" customFormat="1" ht="12" customHeight="1" x14ac:dyDescent="0.2">
      <c r="A182" s="68">
        <v>43509</v>
      </c>
      <c r="B182" s="70"/>
      <c r="C182" s="70"/>
      <c r="D182" s="69"/>
      <c r="E182" s="87"/>
      <c r="F182" s="69"/>
      <c r="G182" s="69"/>
      <c r="H182" s="69"/>
      <c r="I182" s="69"/>
      <c r="J182" s="69"/>
      <c r="K182" s="107"/>
      <c r="L182" s="107"/>
      <c r="M182" s="69"/>
      <c r="N182" s="69"/>
      <c r="O182" s="69"/>
      <c r="P182" s="69"/>
      <c r="Q182" s="69"/>
      <c r="R182" s="69"/>
      <c r="S182" s="69"/>
      <c r="T182" s="69"/>
      <c r="U182" s="69"/>
      <c r="V182" s="69"/>
      <c r="W182" s="69"/>
      <c r="X182" s="69"/>
      <c r="Y182" s="87"/>
      <c r="Z182" s="69"/>
      <c r="AA182" s="69"/>
      <c r="AB182" s="69"/>
      <c r="AC182" s="69"/>
      <c r="AD182" s="69"/>
      <c r="AE182" s="69"/>
      <c r="AF182" s="88"/>
      <c r="AG182" s="72"/>
      <c r="AH182" s="4"/>
      <c r="AI182" s="72"/>
      <c r="AJ182" s="110"/>
      <c r="AK182" s="72"/>
      <c r="AL182" s="72"/>
      <c r="AM182" s="72"/>
      <c r="AN182" s="72"/>
      <c r="AO182" s="72"/>
      <c r="AP182" s="72"/>
      <c r="AQ182" s="72"/>
      <c r="AR182" s="110"/>
      <c r="AS182" s="72"/>
      <c r="AT182" s="72"/>
      <c r="AU182" s="4"/>
      <c r="AV182" s="71">
        <f>30*24*60*60*4</f>
        <v>10368000</v>
      </c>
      <c r="AW182" s="71">
        <f>30*24*60*60*7</f>
        <v>18144000</v>
      </c>
      <c r="AX182" s="71">
        <f>30*24*60*60*10</f>
        <v>25920000</v>
      </c>
      <c r="AY182" s="71">
        <f>30*24*60*60*13</f>
        <v>33696000</v>
      </c>
      <c r="AZ182" s="71">
        <f>30*24*60*60*16</f>
        <v>41472000</v>
      </c>
      <c r="BA182" s="53"/>
      <c r="BB182" s="53"/>
      <c r="BC182" s="53"/>
      <c r="BD182" s="53"/>
      <c r="BE182" s="53"/>
      <c r="BF182" s="53"/>
      <c r="BG182" s="53"/>
      <c r="BH182" s="53"/>
      <c r="BI182" s="53"/>
      <c r="BJ182" s="53"/>
      <c r="BK182" s="53"/>
      <c r="BL182" s="53"/>
      <c r="BM182" s="53"/>
      <c r="BN182" s="53"/>
      <c r="BO182" s="53"/>
      <c r="BP182" s="53"/>
      <c r="BQ182" s="53"/>
      <c r="BR182" s="53"/>
      <c r="BS182" s="53"/>
      <c r="BT182" s="53"/>
      <c r="BU182" s="53"/>
      <c r="BV182" s="53"/>
      <c r="BW182" s="53"/>
      <c r="BX182" s="53"/>
      <c r="BY182" s="53"/>
      <c r="BZ182" s="53"/>
      <c r="CA182" s="53"/>
      <c r="CB182" s="53"/>
      <c r="CC182" s="53"/>
      <c r="CD182" s="53"/>
      <c r="CE182" s="53"/>
      <c r="CF182" s="53"/>
      <c r="CG182" s="53"/>
      <c r="CH182" s="53"/>
      <c r="CI182" s="53"/>
      <c r="CJ182" s="53"/>
      <c r="CK182" s="53"/>
      <c r="CL182" s="53"/>
      <c r="CM182" s="53"/>
      <c r="CN182" s="53"/>
      <c r="CO182" s="53"/>
      <c r="CP182" s="53"/>
      <c r="CQ182" s="53"/>
      <c r="CR182" s="1"/>
      <c r="CS182" s="1"/>
      <c r="CT182" s="1"/>
      <c r="CU182" s="1"/>
    </row>
    <row r="183" spans="1:99" s="13" customFormat="1" ht="12" customHeight="1" x14ac:dyDescent="0.2">
      <c r="A183" s="68">
        <v>43509</v>
      </c>
      <c r="B183" s="70" t="s">
        <v>180</v>
      </c>
      <c r="C183" s="70" t="s">
        <v>181</v>
      </c>
      <c r="D183" s="69">
        <v>1978</v>
      </c>
      <c r="E183" s="87">
        <v>1</v>
      </c>
      <c r="F183" s="69">
        <v>189</v>
      </c>
      <c r="G183" s="69">
        <v>37.799999999999997</v>
      </c>
      <c r="H183" s="69" t="s">
        <v>38</v>
      </c>
      <c r="I183" s="69" t="s">
        <v>691</v>
      </c>
      <c r="J183" s="69" t="s">
        <v>585</v>
      </c>
      <c r="K183" s="69">
        <f>IF(J183="syllables",1,IF(J183="trigrams",2,IF(J183="strings",3,IF(J183="visual array",4,IF(J183="characters",5,IF(J183="letters",6,IF(J183="free forms",7,IF(J183="odors",8,IF(J183="words",9,IF(J183="pictures",10,IF(J183="object pictures",11,IF(J183="faces",12,IF(J183="names",13,IF(J183="idioms",14,IF(J183="grades",15,IF(J183="syllable-digit pairs",16,IF(J183="trigram-word pairs",17,IF(J183="word-digit pairs",18,IF(J183="English-Swahili pairs",19,IF(J183="spatial position",20,IF(J183="word pairs",21,IF(J183="word triads",22,IF(J183="generated words",23,IF(J183="word definition pairs",24,IF(J183="math problems",25,IF(J183="famous faces",26,IF(J183="famous names",27,IF(J183="famous voices",28,IF(J183="television programs",29,IF(J183="race horses",30,IF(J183="new vocabulary",31,IF(J183="sentences",32,IF(J183="concepts",33,IF(J183="ad slides",34,IF(J183="scenes",35,IF(J183="famous scenes",36,IF(J183="poems",37,IF(J183="walk",38,IF(J183="faces and events",39,IF(J183="events and names",40,IF(J183="flashbulb",41,IF(J183="stories",42,IF(J183="course material",43,IF(J183="autobiographical",44,IF(J183="novels",45,IF(J183="public events",46,"99"))))))))))))))))))))))))))))))))))))))))))))))</f>
        <v>43</v>
      </c>
      <c r="L183" s="69">
        <f>IF(J183="syllables",1,IF(J183="trigrams",1,IF(J183="strings",1,IF(J183="visual array",1,IF(J183="characters",1,IF(J183="letters",1,IF(J183="free forms",1,IF(J183="odors",2,IF(J183="words",2,IF(J183="pictures",2,IF(J183="object pictures",2,IF(J183="faces",2,IF(J183="names",2,IF(J183="idioms","2",IF(J183="grades",2,IF(J183="syllable-digit pairs",3,IF(J183="trigram-word pairs",3,IF(J183="word-digit pairs",3,IF(J183="English-Swahili pairs",3,IF(J183="spatial position",3,IF(J183="word pairs",4,IF(J183="word triads",4,IF(J183="generated words",4,IF(J183="word definition pairs",4,IF(J183="math problems",4,IF(J183="famous faces",4,IF(J183="famous names",4,IF(J183="famous voices",4,IF(J183="television programs",4,IF(J183="race horses",4,IF(J183="new vocabulary",4,IF(J183="sentences",5,IF(J183="concepts",5,IF(J183="ad slides",5,IF(J183="scenes",5,IF(J183="famous scenes",5,IF(J183="poems",6,IF(J183="walk",6,IF(J183="faces and events",6,IF(J183="events and names",6,IF(J183="flashbulb",7,IF(J183="stories",7,IF(J183="course material",7,IF(J183="autobiographical",7,IF(J183="novels",7,IF(J183="public events",7,"99"))))))))))))))))))))))))))))))))))))))))))))))</f>
        <v>7</v>
      </c>
      <c r="M183" s="69">
        <v>1</v>
      </c>
      <c r="N183" s="69">
        <v>4</v>
      </c>
      <c r="O183" s="69">
        <v>0</v>
      </c>
      <c r="P183" s="69"/>
      <c r="Q183" s="69" t="s">
        <v>182</v>
      </c>
      <c r="R183" s="69">
        <f>IF(Q183="Free Recall",1,IF(Q183="Cued Recall",2,IF(Q183="Recognition",3,IF(Q183="Multiple Choice",4,IF(Q183="Savings",5,IF(Q183="Stem Completion",6,IF(Q183="Fragment Completion",7,IF(Q183="anagram solution",8,IF(Q183="Matching",9,IF(Q183="Problem Solving",10,"99"))))))))))</f>
        <v>4</v>
      </c>
      <c r="S183" s="69" t="s">
        <v>15</v>
      </c>
      <c r="T183" s="69" t="s">
        <v>261</v>
      </c>
      <c r="U183" s="69">
        <f>IF(T183="within",1,0)</f>
        <v>0</v>
      </c>
      <c r="V183" s="69">
        <v>9</v>
      </c>
      <c r="W183" s="69">
        <f>F183*V183</f>
        <v>1701</v>
      </c>
      <c r="X183" s="69">
        <v>5</v>
      </c>
      <c r="Y183" s="87">
        <f>AV182</f>
        <v>10368000</v>
      </c>
      <c r="Z183" s="69" t="s">
        <v>183</v>
      </c>
      <c r="AA183" s="69">
        <v>41472000</v>
      </c>
      <c r="AB183" s="69" t="str">
        <f>IF(AA183&lt;60,"1",IF(AA183&lt;=43200,"2",IF(AA183&lt;=777600,"3","4")))</f>
        <v>4</v>
      </c>
      <c r="AC183" s="72">
        <f>AVERAGE(AV182:DA182)</f>
        <v>25920000</v>
      </c>
      <c r="AD183" s="69" t="str">
        <f>IF(AC183&lt;60,"1",IF(AC183&lt;=43200,"2",IF(AC183&lt;=777600,"3","4")))</f>
        <v>4</v>
      </c>
      <c r="AE183" s="87">
        <f>AA183-Y183</f>
        <v>31104000</v>
      </c>
      <c r="AF183" s="88">
        <f>AV183</f>
        <v>0.65333333333333332</v>
      </c>
      <c r="AG183" s="72">
        <f>((AW183-AV183)+(AX183-AW183)+(AY183-AX183)+(AZ183-AY183))/4</f>
        <v>-4.416666666666666E-2</v>
      </c>
      <c r="AH183" s="4"/>
      <c r="AI183" s="72">
        <f>RSQ(AV183:AZ183,AV182:AZ182)</f>
        <v>0.80006192376496477</v>
      </c>
      <c r="AJ183" s="110">
        <f>SLOPE(AV183:AZ183,AV182:AZ182)</f>
        <v>-4.8725422953817999E-9</v>
      </c>
      <c r="AK183" s="72">
        <f>INTERCEPT(AV183:AZ183,AV182:AZ182)</f>
        <v>0.68296296296296288</v>
      </c>
      <c r="AL183" s="72">
        <f>INDEX(LINEST(LN(AV183:AZ183),LN(AV182:AZ182),TRUE,TRUE),3,1)</f>
        <v>0.83414789545755663</v>
      </c>
      <c r="AM183" s="72">
        <f>INDEX(LINEST(LN(AV183:AZ183),LN(AV182:AZ182)),1)</f>
        <v>-0.19913673194180401</v>
      </c>
      <c r="AN183" s="72">
        <f>EXP(INDEX(LINEST(LN(AV183:AZ183),LN(AV182:AZ182)),1,2))</f>
        <v>16.221304568570641</v>
      </c>
      <c r="AO183" s="89">
        <f>INDEX(LINEST((AV183:AZ183),LN(AV182:AZ182),TRUE,TRUE),3,1)</f>
        <v>0.85009517358111308</v>
      </c>
      <c r="AP183" s="89">
        <f>INDEX(LINEST((AV183:AZ183),LN(AV182:AZ182)),1)</f>
        <v>-0.11283354302654863</v>
      </c>
      <c r="AQ183" s="90">
        <f>INDEX(LINEST(LN(AV183:AZ183),SQRT(AV182:AZ182),TRUE,TRUE),3,1)</f>
        <v>0.82388332690335464</v>
      </c>
      <c r="AR183" s="117">
        <f>INDEX(LINEST(LN(AV183:AZ183),SQRT((AV182:AZ182))),1)</f>
        <v>-8.5366609835536408E-5</v>
      </c>
      <c r="AS183" s="91">
        <f>INDEX(LINEST(1/(AV183:AZ183),1/(SQRT(AV182:AZ182)),TRUE,TRUE),3,1)</f>
        <v>0.80234989257175504</v>
      </c>
      <c r="AT183" s="91">
        <f>INDEX(LINEST(1/(AV183:AZ183),1/SQRT(AV182:AZ182)),1)</f>
        <v>-3115.1884519486975</v>
      </c>
      <c r="AU183" s="3"/>
      <c r="AV183" s="73">
        <v>0.65333333333333332</v>
      </c>
      <c r="AW183" s="73">
        <v>0.58111111111111113</v>
      </c>
      <c r="AX183" s="73">
        <v>0.51666666666666672</v>
      </c>
      <c r="AY183" s="73">
        <v>0.55555555555555558</v>
      </c>
      <c r="AZ183" s="73">
        <v>0.47666666666666668</v>
      </c>
      <c r="BA183" s="53"/>
      <c r="BB183" s="53"/>
      <c r="BC183" s="53"/>
      <c r="BD183" s="53"/>
      <c r="BE183" s="53"/>
      <c r="BF183" s="53"/>
      <c r="BG183" s="53"/>
      <c r="BH183" s="53"/>
      <c r="BI183" s="53"/>
      <c r="BJ183" s="53"/>
      <c r="BK183" s="53"/>
      <c r="BL183" s="53"/>
      <c r="BM183" s="53"/>
      <c r="BN183" s="53"/>
      <c r="BO183" s="53"/>
      <c r="BP183" s="53"/>
      <c r="BQ183" s="53"/>
      <c r="BR183" s="53"/>
      <c r="BS183" s="53"/>
      <c r="BT183" s="53"/>
      <c r="BU183" s="53"/>
      <c r="BV183" s="53"/>
      <c r="BW183" s="53"/>
      <c r="BX183" s="53"/>
      <c r="BY183" s="53"/>
      <c r="BZ183" s="53"/>
      <c r="CA183" s="53"/>
      <c r="CB183" s="53"/>
      <c r="CC183" s="53"/>
      <c r="CD183" s="53"/>
      <c r="CE183" s="53"/>
      <c r="CF183" s="53"/>
      <c r="CG183" s="53"/>
      <c r="CH183" s="53"/>
      <c r="CI183" s="53"/>
      <c r="CJ183" s="53"/>
      <c r="CK183" s="53"/>
      <c r="CL183" s="53"/>
      <c r="CM183" s="53"/>
      <c r="CN183" s="53"/>
      <c r="CO183" s="53"/>
      <c r="CP183" s="53"/>
      <c r="CQ183" s="53"/>
      <c r="CR183" s="1"/>
      <c r="CS183" s="1"/>
      <c r="CT183" s="1"/>
      <c r="CU183" s="1"/>
    </row>
    <row r="184" spans="1:99" s="13" customFormat="1" ht="12" customHeight="1" x14ac:dyDescent="0.2">
      <c r="A184" s="68">
        <v>43509</v>
      </c>
      <c r="B184" s="70"/>
      <c r="C184" s="70"/>
      <c r="D184" s="69"/>
      <c r="E184" s="87"/>
      <c r="F184" s="69"/>
      <c r="G184" s="69"/>
      <c r="H184" s="69"/>
      <c r="I184" s="69"/>
      <c r="J184" s="69"/>
      <c r="K184" s="107"/>
      <c r="L184" s="107"/>
      <c r="M184" s="69"/>
      <c r="N184" s="69"/>
      <c r="O184" s="69"/>
      <c r="P184" s="69"/>
      <c r="Q184" s="69"/>
      <c r="R184" s="69"/>
      <c r="S184" s="69"/>
      <c r="T184" s="69"/>
      <c r="U184" s="69"/>
      <c r="V184" s="69"/>
      <c r="W184" s="69"/>
      <c r="X184" s="69"/>
      <c r="Y184" s="87"/>
      <c r="Z184" s="69"/>
      <c r="AA184" s="69"/>
      <c r="AB184" s="69"/>
      <c r="AC184" s="69"/>
      <c r="AD184" s="69"/>
      <c r="AE184" s="69"/>
      <c r="AF184" s="88"/>
      <c r="AG184" s="72"/>
      <c r="AH184" s="4"/>
      <c r="AI184" s="72"/>
      <c r="AJ184" s="110"/>
      <c r="AK184" s="72"/>
      <c r="AL184" s="72"/>
      <c r="AM184" s="72"/>
      <c r="AN184" s="72"/>
      <c r="AO184" s="72"/>
      <c r="AP184" s="72"/>
      <c r="AQ184" s="89"/>
      <c r="AR184" s="118"/>
      <c r="AS184" s="89"/>
      <c r="AT184" s="89"/>
      <c r="AU184" s="4"/>
      <c r="AV184" s="71">
        <f>30*24*60*60*4</f>
        <v>10368000</v>
      </c>
      <c r="AW184" s="71">
        <f>30*24*60*60*7</f>
        <v>18144000</v>
      </c>
      <c r="AX184" s="71">
        <f>30*24*60*60*10</f>
        <v>25920000</v>
      </c>
      <c r="AY184" s="71">
        <f>30*24*60*60*13</f>
        <v>33696000</v>
      </c>
      <c r="AZ184" s="71">
        <f>30*24*60*60*16</f>
        <v>41472000</v>
      </c>
      <c r="BA184" s="53"/>
      <c r="BB184" s="53"/>
      <c r="BC184" s="53"/>
      <c r="BD184" s="53"/>
      <c r="BE184" s="53"/>
      <c r="BF184" s="53"/>
      <c r="BG184" s="53"/>
      <c r="BH184" s="53"/>
      <c r="BI184" s="53"/>
      <c r="BJ184" s="53"/>
      <c r="BK184" s="53"/>
      <c r="BL184" s="53"/>
      <c r="BM184" s="53"/>
      <c r="BN184" s="53"/>
      <c r="BO184" s="53"/>
      <c r="BP184" s="53"/>
      <c r="BQ184" s="53"/>
      <c r="BR184" s="53"/>
      <c r="BS184" s="53"/>
      <c r="BT184" s="53"/>
      <c r="BU184" s="53"/>
      <c r="BV184" s="53"/>
      <c r="BW184" s="53"/>
      <c r="BX184" s="53"/>
      <c r="BY184" s="53"/>
      <c r="BZ184" s="53"/>
      <c r="CA184" s="53"/>
      <c r="CB184" s="53"/>
      <c r="CC184" s="53"/>
      <c r="CD184" s="53"/>
      <c r="CE184" s="53"/>
      <c r="CF184" s="53"/>
      <c r="CG184" s="53"/>
      <c r="CH184" s="53"/>
      <c r="CI184" s="53"/>
      <c r="CJ184" s="53"/>
      <c r="CK184" s="53"/>
      <c r="CL184" s="53"/>
      <c r="CM184" s="53"/>
      <c r="CN184" s="53"/>
      <c r="CO184" s="53"/>
      <c r="CP184" s="53"/>
      <c r="CQ184" s="53"/>
      <c r="CR184" s="1"/>
      <c r="CS184" s="1"/>
      <c r="CT184" s="1"/>
      <c r="CU184" s="1"/>
    </row>
    <row r="185" spans="1:99" s="13" customFormat="1" ht="12" customHeight="1" x14ac:dyDescent="0.2">
      <c r="A185" s="68">
        <v>43509</v>
      </c>
      <c r="B185" s="70" t="s">
        <v>180</v>
      </c>
      <c r="C185" s="70" t="s">
        <v>181</v>
      </c>
      <c r="D185" s="69">
        <v>1978</v>
      </c>
      <c r="E185" s="87">
        <v>1</v>
      </c>
      <c r="F185" s="69">
        <v>189</v>
      </c>
      <c r="G185" s="69">
        <v>37.799999999999997</v>
      </c>
      <c r="H185" s="69" t="s">
        <v>38</v>
      </c>
      <c r="I185" s="69" t="s">
        <v>692</v>
      </c>
      <c r="J185" s="69" t="s">
        <v>585</v>
      </c>
      <c r="K185" s="69">
        <f>IF(J185="syllables",1,IF(J185="trigrams",2,IF(J185="strings",3,IF(J185="visual array",4,IF(J185="characters",5,IF(J185="letters",6,IF(J185="free forms",7,IF(J185="odors",8,IF(J185="words",9,IF(J185="pictures",10,IF(J185="object pictures",11,IF(J185="faces",12,IF(J185="names",13,IF(J185="idioms",14,IF(J185="grades",15,IF(J185="syllable-digit pairs",16,IF(J185="trigram-word pairs",17,IF(J185="word-digit pairs",18,IF(J185="English-Swahili pairs",19,IF(J185="spatial position",20,IF(J185="word pairs",21,IF(J185="word triads",22,IF(J185="generated words",23,IF(J185="word definition pairs",24,IF(J185="math problems",25,IF(J185="famous faces",26,IF(J185="famous names",27,IF(J185="famous voices",28,IF(J185="television programs",29,IF(J185="race horses",30,IF(J185="new vocabulary",31,IF(J185="sentences",32,IF(J185="concepts",33,IF(J185="ad slides",34,IF(J185="scenes",35,IF(J185="famous scenes",36,IF(J185="poems",37,IF(J185="walk",38,IF(J185="faces and events",39,IF(J185="events and names",40,IF(J185="flashbulb",41,IF(J185="stories",42,IF(J185="course material",43,IF(J185="autobiographical",44,IF(J185="novels",45,IF(J185="public events",46,"99"))))))))))))))))))))))))))))))))))))))))))))))</f>
        <v>43</v>
      </c>
      <c r="L185" s="69">
        <f>IF(J185="syllables",1,IF(J185="trigrams",1,IF(J185="strings",1,IF(J185="visual array",1,IF(J185="characters",1,IF(J185="letters",1,IF(J185="free forms",1,IF(J185="odors",2,IF(J185="words",2,IF(J185="pictures",2,IF(J185="object pictures",2,IF(J185="faces",2,IF(J185="names",2,IF(J185="idioms","2",IF(J185="grades",2,IF(J185="syllable-digit pairs",3,IF(J185="trigram-word pairs",3,IF(J185="word-digit pairs",3,IF(J185="English-Swahili pairs",3,IF(J185="spatial position",3,IF(J185="word pairs",4,IF(J185="word triads",4,IF(J185="generated words",4,IF(J185="word definition pairs",4,IF(J185="math problems",4,IF(J185="famous faces",4,IF(J185="famous names",4,IF(J185="famous voices",4,IF(J185="television programs",4,IF(J185="race horses",4,IF(J185="new vocabulary",4,IF(J185="sentences",5,IF(J185="concepts",5,IF(J185="ad slides",5,IF(J185="scenes",5,IF(J185="famous scenes",5,IF(J185="poems",6,IF(J185="walk",6,IF(J185="faces and events",6,IF(J185="events and names",6,IF(J185="flashbulb",7,IF(J185="stories",7,IF(J185="course material",7,IF(J185="autobiographical",7,IF(J185="novels",7,IF(J185="public events",7,"99"))))))))))))))))))))))))))))))))))))))))))))))</f>
        <v>7</v>
      </c>
      <c r="M185" s="69">
        <v>1</v>
      </c>
      <c r="N185" s="69">
        <v>4</v>
      </c>
      <c r="O185" s="69">
        <v>0</v>
      </c>
      <c r="P185" s="69"/>
      <c r="Q185" s="69" t="s">
        <v>182</v>
      </c>
      <c r="R185" s="69">
        <f>IF(Q185="Free Recall",1,IF(Q185="Cued Recall",2,IF(Q185="Recognition",3,IF(Q185="Multiple Choice",4,IF(Q185="Savings",5,IF(Q185="Stem Completion",6,IF(Q185="Fragment Completion",7,IF(Q185="anagram solution",8,IF(Q185="Matching",9,IF(Q185="Problem Solving",10,"99"))))))))))</f>
        <v>4</v>
      </c>
      <c r="S185" s="69" t="s">
        <v>15</v>
      </c>
      <c r="T185" s="69" t="s">
        <v>261</v>
      </c>
      <c r="U185" s="69">
        <f>IF(T185="within",1,0)</f>
        <v>0</v>
      </c>
      <c r="V185" s="69">
        <v>6</v>
      </c>
      <c r="W185" s="69">
        <f>F185*V185</f>
        <v>1134</v>
      </c>
      <c r="X185" s="69">
        <v>5</v>
      </c>
      <c r="Y185" s="87">
        <f>AV184</f>
        <v>10368000</v>
      </c>
      <c r="Z185" s="69" t="s">
        <v>183</v>
      </c>
      <c r="AA185" s="69">
        <v>41472000</v>
      </c>
      <c r="AB185" s="69" t="str">
        <f>IF(AA185&lt;60,"1",IF(AA185&lt;=43200,"2",IF(AA185&lt;=777600,"3","4")))</f>
        <v>4</v>
      </c>
      <c r="AC185" s="72">
        <f>AVERAGE(AV184:DA184)</f>
        <v>25920000</v>
      </c>
      <c r="AD185" s="69" t="str">
        <f>IF(AC185&lt;60,"1",IF(AC185&lt;=43200,"2",IF(AC185&lt;=777600,"3","4")))</f>
        <v>4</v>
      </c>
      <c r="AE185" s="87">
        <f>AA185-Y185</f>
        <v>31104000</v>
      </c>
      <c r="AF185" s="88">
        <f>AV185</f>
        <v>0.73166666666666658</v>
      </c>
      <c r="AG185" s="72">
        <f>((AW185-AV185)+(AX185-AW185)+(AY185-AX185)+(AZ185-AY185))/4</f>
        <v>-3.3333333333333326E-2</v>
      </c>
      <c r="AH185" s="4"/>
      <c r="AI185" s="72">
        <f>RSQ(AV185:AZ185,AV184:AZ184)</f>
        <v>0.20508892744821614</v>
      </c>
      <c r="AJ185" s="110">
        <f>SLOPE(AV185:AZ185,AV184:AZ184)</f>
        <v>-2.6363168724279833E-9</v>
      </c>
      <c r="AK185" s="72">
        <f>INTERCEPT(AV185:AZ185,AV184:AZ184)</f>
        <v>0.68033333333333335</v>
      </c>
      <c r="AL185" s="72">
        <f>INDEX(LINEST(LN(AV185:AZ185),LN(AV184:AZ184),TRUE,TRUE),3,1)</f>
        <v>0.32749230254305395</v>
      </c>
      <c r="AM185" s="72">
        <f>INDEX(LINEST(LN(AV185:AZ185),LN(AV184:AZ184)),1)</f>
        <v>-0.11669377570214917</v>
      </c>
      <c r="AN185" s="72">
        <f>EXP(INDEX(LINEST(LN(AV185:AZ185),LN(AV184:AZ184)),1,2))</f>
        <v>4.4072230624886064</v>
      </c>
      <c r="AO185" s="89">
        <f>INDEX(LINEST((AV185:AZ185),LN(AV184:AZ184),TRUE,TRUE),3,1)</f>
        <v>0.36268253805380002</v>
      </c>
      <c r="AP185" s="89">
        <f>INDEX(LINEST((AV185:AZ185),LN(AV184:AZ184)),1)</f>
        <v>-7.875904817639158E-2</v>
      </c>
      <c r="AQ185" s="90">
        <f>INDEX(LINEST(LN(AV185:AZ185),SQRT(AV184:AZ184),TRUE,TRUE),3,1)</f>
        <v>0.24552753682820774</v>
      </c>
      <c r="AR185" s="117">
        <f>INDEX(LINEST(LN(AV185:AZ185),SQRT((AV184:AZ184))),1)</f>
        <v>-4.3583547638155153E-5</v>
      </c>
      <c r="AS185" s="91">
        <f>INDEX(LINEST(1/(AV185:AZ185),1/(SQRT(AV184:AZ184)),TRUE,TRUE),3,1)</f>
        <v>0.37801334367698886</v>
      </c>
      <c r="AT185" s="91">
        <f>INDEX(LINEST(1/(AV185:AZ185),1/SQRT(AV184:AZ184)),1)</f>
        <v>-1745.8213549593206</v>
      </c>
      <c r="AU185" s="3"/>
      <c r="AV185" s="73">
        <v>0.73166666666666658</v>
      </c>
      <c r="AW185" s="73">
        <v>0.55333333333333334</v>
      </c>
      <c r="AX185" s="73">
        <v>0.56166666666666665</v>
      </c>
      <c r="AY185" s="73">
        <v>0.61499999999999999</v>
      </c>
      <c r="AZ185" s="73">
        <v>0.59833333333333327</v>
      </c>
      <c r="BA185" s="53"/>
      <c r="BB185" s="53"/>
      <c r="BC185" s="53"/>
      <c r="BD185" s="53"/>
      <c r="BE185" s="53"/>
      <c r="BF185" s="53"/>
      <c r="BG185" s="53"/>
      <c r="BH185" s="53"/>
      <c r="BI185" s="53"/>
      <c r="BJ185" s="53"/>
      <c r="BK185" s="53"/>
      <c r="BL185" s="53"/>
      <c r="BM185" s="53"/>
      <c r="BN185" s="53"/>
      <c r="BO185" s="53"/>
      <c r="BP185" s="53"/>
      <c r="BQ185" s="53"/>
      <c r="BR185" s="53"/>
      <c r="BS185" s="53"/>
      <c r="BT185" s="53"/>
      <c r="BU185" s="53"/>
      <c r="BV185" s="53"/>
      <c r="BW185" s="53"/>
      <c r="BX185" s="53"/>
      <c r="BY185" s="53"/>
      <c r="BZ185" s="53"/>
      <c r="CA185" s="53"/>
      <c r="CB185" s="53"/>
      <c r="CC185" s="53"/>
      <c r="CD185" s="53"/>
      <c r="CE185" s="53"/>
      <c r="CF185" s="53"/>
      <c r="CG185" s="53"/>
      <c r="CH185" s="53"/>
      <c r="CI185" s="53"/>
      <c r="CJ185" s="53"/>
      <c r="CK185" s="53"/>
      <c r="CL185" s="53"/>
      <c r="CM185" s="53"/>
      <c r="CN185" s="53"/>
      <c r="CO185" s="53"/>
      <c r="CP185" s="53"/>
      <c r="CQ185" s="53"/>
      <c r="CR185" s="1"/>
      <c r="CS185" s="1"/>
      <c r="CT185" s="1"/>
      <c r="CU185" s="1"/>
    </row>
    <row r="186" spans="1:99" s="13" customFormat="1" ht="12" customHeight="1" x14ac:dyDescent="0.2">
      <c r="A186" s="65">
        <v>43899</v>
      </c>
      <c r="B186" s="1"/>
      <c r="C186" s="1"/>
      <c r="D186" s="60"/>
      <c r="E186" s="76"/>
      <c r="F186" s="60"/>
      <c r="G186" s="60"/>
      <c r="H186" s="60"/>
      <c r="I186" s="60"/>
      <c r="J186" s="60"/>
      <c r="K186" s="64"/>
      <c r="L186" s="64"/>
      <c r="M186" s="60"/>
      <c r="N186" s="61"/>
      <c r="O186" s="60"/>
      <c r="P186" s="60"/>
      <c r="Q186" s="60"/>
      <c r="R186" s="60"/>
      <c r="S186" s="60"/>
      <c r="T186" s="60"/>
      <c r="U186" s="60"/>
      <c r="V186" s="60"/>
      <c r="W186" s="60"/>
      <c r="X186" s="60"/>
      <c r="Y186" s="76"/>
      <c r="Z186" s="60"/>
      <c r="AA186" s="60"/>
      <c r="AB186" s="60"/>
      <c r="AC186" s="56"/>
      <c r="AD186" s="60"/>
      <c r="AE186" s="60"/>
      <c r="AF186" s="80"/>
      <c r="AG186" s="56"/>
      <c r="AH186" s="4"/>
      <c r="AI186" s="56"/>
      <c r="AJ186" s="109"/>
      <c r="AK186" s="56"/>
      <c r="AL186" s="56"/>
      <c r="AM186" s="56"/>
      <c r="AN186" s="56"/>
      <c r="AO186" s="82"/>
      <c r="AP186" s="82"/>
      <c r="AQ186" s="83"/>
      <c r="AR186" s="116"/>
      <c r="AS186" s="84"/>
      <c r="AT186" s="84"/>
      <c r="AU186" s="3"/>
      <c r="AV186" s="25">
        <v>157680000</v>
      </c>
      <c r="AW186" s="25">
        <v>473040000</v>
      </c>
      <c r="AX186" s="25">
        <v>788400000</v>
      </c>
      <c r="AY186" s="25">
        <v>1103760000</v>
      </c>
      <c r="AZ186" s="25">
        <v>1419120000</v>
      </c>
      <c r="BA186" s="25">
        <v>1734480000</v>
      </c>
      <c r="BB186" s="53"/>
      <c r="BC186" s="53"/>
      <c r="BD186" s="53"/>
      <c r="BE186" s="53"/>
      <c r="BF186" s="53"/>
      <c r="BG186" s="53"/>
      <c r="BH186" s="53"/>
      <c r="BI186" s="53"/>
      <c r="BJ186" s="53"/>
      <c r="BK186" s="53"/>
      <c r="BL186" s="53"/>
      <c r="BM186" s="53"/>
      <c r="BN186" s="53"/>
      <c r="BO186" s="53"/>
      <c r="BP186" s="53"/>
      <c r="BQ186" s="53"/>
      <c r="BR186" s="53"/>
      <c r="BS186" s="53"/>
      <c r="BT186" s="53"/>
      <c r="BU186" s="53"/>
      <c r="BV186" s="53"/>
      <c r="BW186" s="53"/>
      <c r="BX186" s="53"/>
      <c r="BY186" s="53"/>
      <c r="BZ186" s="53"/>
      <c r="CA186" s="53"/>
      <c r="CB186" s="53"/>
      <c r="CC186" s="53"/>
      <c r="CD186" s="53"/>
      <c r="CE186" s="53"/>
      <c r="CF186" s="53"/>
      <c r="CG186" s="53"/>
      <c r="CH186" s="53"/>
      <c r="CI186" s="53"/>
      <c r="CJ186" s="53"/>
      <c r="CK186" s="53"/>
      <c r="CL186" s="53"/>
      <c r="CM186" s="53"/>
      <c r="CN186" s="53"/>
      <c r="CO186" s="53"/>
      <c r="CP186" s="53"/>
      <c r="CQ186" s="53"/>
      <c r="CR186" s="1"/>
      <c r="CS186" s="1"/>
      <c r="CT186" s="1"/>
      <c r="CU186" s="1"/>
    </row>
    <row r="187" spans="1:99" s="13" customFormat="1" ht="12" customHeight="1" x14ac:dyDescent="0.2">
      <c r="A187" s="65">
        <v>43899</v>
      </c>
      <c r="B187" s="1" t="s">
        <v>394</v>
      </c>
      <c r="C187" s="1" t="s">
        <v>395</v>
      </c>
      <c r="D187" s="60">
        <v>2001</v>
      </c>
      <c r="E187" s="76">
        <v>1</v>
      </c>
      <c r="F187" s="60">
        <v>8</v>
      </c>
      <c r="G187" s="60">
        <v>8</v>
      </c>
      <c r="H187" s="60" t="s">
        <v>41</v>
      </c>
      <c r="I187" s="60"/>
      <c r="J187" s="60" t="s">
        <v>342</v>
      </c>
      <c r="K187" s="60">
        <f>IF(J187="syllables",1,IF(J187="trigrams",2,IF(J187="strings",3,IF(J187="visual array",4,IF(J187="characters",5,IF(J187="letters",6,IF(J187="free forms",7,IF(J187="odors",8,IF(J187="words",9,IF(J187="pictures",10,IF(J187="object pictures",11,IF(J187="faces",12,IF(J187="names",13,IF(J187="idioms",14,IF(J187="grades",15,IF(J187="syllable-digit pairs",16,IF(J187="trigram-word pairs",17,IF(J187="word-digit pairs",18,IF(J187="English-Swahili pairs",19,IF(J187="spatial position",20,IF(J187="word pairs",21,IF(J187="word triads",22,IF(J187="generated words",23,IF(J187="word definition pairs",24,IF(J187="math problems",25,IF(J187="famous faces",26,IF(J187="famous names",27,IF(J187="famous voices",28,IF(J187="television programs",29,IF(J187="race horses",30,IF(J187="new vocabulary",31,IF(J187="sentences",32,IF(J187="concepts",33,IF(J187="ad slides",34,IF(J187="scenes",35,IF(J187="famous scenes",36,IF(J187="poems",37,IF(J187="walk",38,IF(J187="faces and events",39,IF(J187="events and names",40,IF(J187="flashbulb",41,IF(J187="stories",42,IF(J187="course material",43,IF(J187="autobiographical",44,IF(J187="novels",45,IF(J187="public events",46,"99"))))))))))))))))))))))))))))))))))))))))))))))</f>
        <v>26</v>
      </c>
      <c r="L187" s="60">
        <f>IF(J187="syllables",1,IF(J187="trigrams",1,IF(J187="strings",1,IF(J187="visual array",1,IF(J187="characters",1,IF(J187="letters",1,IF(J187="free forms",1,IF(J187="odors",2,IF(J187="words",2,IF(J187="pictures",2,IF(J187="object pictures",2,IF(J187="faces",2,IF(J187="names",2,IF(J187="idioms","2",IF(J187="grades",2,IF(J187="syllable-digit pairs",3,IF(J187="trigram-word pairs",3,IF(J187="word-digit pairs",3,IF(J187="English-Swahili pairs",3,IF(J187="spatial position",3,IF(J187="word pairs",4,IF(J187="word triads",4,IF(J187="generated words",4,IF(J187="word definition pairs",4,IF(J187="math problems",4,IF(J187="famous faces",4,IF(J187="famous names",4,IF(J187="famous voices",4,IF(J187="television programs",4,IF(J187="race horses",4,IF(J187="new vocabulary",4,IF(J187="sentences",5,IF(J187="concepts",5,IF(J187="ad slides",5,IF(J187="scenes",5,IF(J187="famous scenes",5,IF(J187="poems",6,IF(J187="walk",6,IF(J187="faces and events",6,IF(J187="events and names",6,IF(J187="flashbulb",7,IF(J187="stories",7,IF(J187="course material",7,IF(J187="autobiographical",7,IF(J187="novels",7,IF(J187="public events",7,"99"))))))))))))))))))))))))))))))))))))))))))))))</f>
        <v>4</v>
      </c>
      <c r="M187" s="60">
        <v>1</v>
      </c>
      <c r="N187" s="61">
        <v>2</v>
      </c>
      <c r="O187" s="60">
        <v>0</v>
      </c>
      <c r="P187" s="60"/>
      <c r="Q187" s="60" t="s">
        <v>174</v>
      </c>
      <c r="R187" s="60">
        <f>IF(Q187="Free Recall",1,IF(Q187="Cued Recall",2,IF(Q187="Recognition",3,IF(Q187="Multiple Choice",4,IF(Q187="Savings",5,IF(Q187="Stem Completion",6,IF(Q187="Fragment Completion",7,IF(Q187="anagram solution",8,IF(Q187="Matching",9,IF(Q187="Problem Solving",10,"99"))))))))))</f>
        <v>1</v>
      </c>
      <c r="S187" s="60" t="s">
        <v>49</v>
      </c>
      <c r="T187" s="59" t="s">
        <v>581</v>
      </c>
      <c r="U187" s="60">
        <f>IF(T187="within",1,0)</f>
        <v>1</v>
      </c>
      <c r="V187" s="59">
        <v>78</v>
      </c>
      <c r="W187" s="60">
        <f>F187*V187</f>
        <v>624</v>
      </c>
      <c r="X187" s="60">
        <v>6</v>
      </c>
      <c r="Y187" s="76">
        <f>AV186</f>
        <v>157680000</v>
      </c>
      <c r="Z187" s="60" t="s">
        <v>374</v>
      </c>
      <c r="AA187" s="60">
        <f>55*365*24*60*60</f>
        <v>1734480000</v>
      </c>
      <c r="AB187" s="60" t="str">
        <f>IF(AA187&lt;60,"1",IF(AA187&lt;=43200,"2",IF(AA187&lt;=777600,"3","4")))</f>
        <v>4</v>
      </c>
      <c r="AC187" s="56">
        <f>AVERAGE(AV186:DA186)</f>
        <v>946080000</v>
      </c>
      <c r="AD187" s="60" t="str">
        <f>IF(AC187&lt;60,"1",IF(AC187&lt;=43200,"2",IF(AC187&lt;=777600,"3","4")))</f>
        <v>4</v>
      </c>
      <c r="AE187" s="76">
        <f>AA187-Y187</f>
        <v>1576800000</v>
      </c>
      <c r="AF187" s="80">
        <f>AV187</f>
        <v>0.47</v>
      </c>
      <c r="AG187" s="58">
        <f>((AW187-AV187)+(AX187-AW187)+(AY187-AX187)+(AZ187-AY187)+(BA187-AZ187))/5</f>
        <v>-1.9999999999999905E-3</v>
      </c>
      <c r="AH187" s="4"/>
      <c r="AI187" s="56">
        <f>RSQ(AV187:BA187,AV186:BA186)</f>
        <v>9.07111115071622E-32</v>
      </c>
      <c r="AJ187" s="109">
        <f>SLOPE(AV187:BA187,AV186:BA186)</f>
        <v>2.0334451587518194E-26</v>
      </c>
      <c r="AK187" s="56">
        <f>INTERCEPT(AV187:BA187,AV186:BA186)</f>
        <v>0.47666666666666663</v>
      </c>
      <c r="AL187" s="56">
        <f>INDEX(LINEST(LN(AV187:BA187),LN(AV186:BA186),TRUE,TRUE),3,1)</f>
        <v>2.9383221163841974E-5</v>
      </c>
      <c r="AM187" s="56">
        <f>INDEX(LINEST(LN(AV187:BA187),LN(AV186:BA186)),1)</f>
        <v>-5.2778466108937237E-4</v>
      </c>
      <c r="AN187" s="56">
        <f>EXP(INDEX(LINEST(LN(AV187:BA187),LN(AV186:BA186)),1,2))</f>
        <v>0.48037624328510686</v>
      </c>
      <c r="AO187" s="82">
        <f>INDEX(LINEST((AV187:BA187),LN(AV186:BA186),TRUE,TRUE),3,1)</f>
        <v>7.0707195243694792E-6</v>
      </c>
      <c r="AP187" s="82">
        <f>INDEX(LINEST((AV187:BA187),LN(AV186:BA186)),1)</f>
        <v>-1.1986960198224103E-4</v>
      </c>
      <c r="AQ187" s="83">
        <f>INDEX(LINEST(LN(AV187:BA187),SQRT(AV186:BA186),TRUE,TRUE),3,1)</f>
        <v>1.2421917355466826E-6</v>
      </c>
      <c r="AR187" s="116">
        <f>INDEX(LINEST(LN(AV187:BA187),SQRT((AV186:BA186))),1)</f>
        <v>-8.929106313854037E-9</v>
      </c>
      <c r="AS187" s="84">
        <f>INDEX(LINEST(1/(AV187:BA187),1/(SQRT(AV186:BA186)),TRUE,TRUE),3,1)</f>
        <v>9.7115963227519455E-5</v>
      </c>
      <c r="AT187" s="84">
        <f>INDEX(LINEST(1/(AV187:BA187),1/SQRT(AV186:BA186)),1)</f>
        <v>-88.609728018099048</v>
      </c>
      <c r="AU187" s="3"/>
      <c r="AV187" s="53">
        <v>0.47</v>
      </c>
      <c r="AW187" s="53">
        <v>0.52</v>
      </c>
      <c r="AX187" s="53">
        <v>0.41</v>
      </c>
      <c r="AY187" s="53">
        <v>0.49</v>
      </c>
      <c r="AZ187" s="53">
        <v>0.51</v>
      </c>
      <c r="BA187" s="53">
        <v>0.46</v>
      </c>
      <c r="BB187" s="53"/>
      <c r="BC187" s="53"/>
      <c r="BD187" s="53"/>
      <c r="BE187" s="53"/>
      <c r="BF187" s="53"/>
      <c r="BG187" s="53"/>
      <c r="BH187" s="53"/>
      <c r="BI187" s="53"/>
      <c r="BJ187" s="53"/>
      <c r="BK187" s="53"/>
      <c r="BL187" s="53"/>
      <c r="BM187" s="53"/>
      <c r="BN187" s="53"/>
      <c r="BO187" s="53"/>
      <c r="BP187" s="53"/>
      <c r="BQ187" s="53"/>
      <c r="BR187" s="53"/>
      <c r="BS187" s="53"/>
      <c r="BT187" s="53"/>
      <c r="BU187" s="53"/>
      <c r="BV187" s="53"/>
      <c r="BW187" s="53"/>
      <c r="BX187" s="53"/>
      <c r="BY187" s="53"/>
      <c r="BZ187" s="53"/>
      <c r="CA187" s="53"/>
      <c r="CB187" s="53"/>
      <c r="CC187" s="53"/>
      <c r="CD187" s="53"/>
      <c r="CE187" s="53"/>
      <c r="CF187" s="53"/>
      <c r="CG187" s="53"/>
      <c r="CH187" s="53"/>
      <c r="CI187" s="53"/>
      <c r="CJ187" s="53"/>
      <c r="CK187" s="53"/>
      <c r="CL187" s="53"/>
      <c r="CM187" s="53"/>
      <c r="CN187" s="53"/>
      <c r="CO187" s="53"/>
      <c r="CP187" s="53"/>
      <c r="CQ187" s="53"/>
      <c r="CR187" s="1"/>
      <c r="CS187" s="1"/>
      <c r="CT187" s="1"/>
      <c r="CU187" s="1"/>
    </row>
    <row r="188" spans="1:99" s="13" customFormat="1" ht="12" customHeight="1" x14ac:dyDescent="0.2">
      <c r="A188" s="65">
        <v>43899</v>
      </c>
      <c r="B188" s="1"/>
      <c r="C188" s="1"/>
      <c r="D188" s="60"/>
      <c r="E188" s="76"/>
      <c r="F188" s="60"/>
      <c r="G188" s="60"/>
      <c r="H188" s="60"/>
      <c r="I188" s="60"/>
      <c r="J188" s="60"/>
      <c r="K188" s="64"/>
      <c r="L188" s="64"/>
      <c r="M188" s="60"/>
      <c r="N188" s="61"/>
      <c r="O188" s="60"/>
      <c r="P188" s="60"/>
      <c r="Q188" s="60"/>
      <c r="R188" s="60"/>
      <c r="S188" s="60"/>
      <c r="T188" s="60"/>
      <c r="U188" s="60"/>
      <c r="V188" s="60"/>
      <c r="W188" s="60"/>
      <c r="X188" s="60"/>
      <c r="Y188" s="76"/>
      <c r="Z188" s="60"/>
      <c r="AA188" s="60"/>
      <c r="AB188" s="60"/>
      <c r="AC188" s="56"/>
      <c r="AD188" s="60"/>
      <c r="AE188" s="60"/>
      <c r="AF188" s="80"/>
      <c r="AG188" s="56"/>
      <c r="AH188" s="4"/>
      <c r="AI188" s="56"/>
      <c r="AJ188" s="109"/>
      <c r="AK188" s="56"/>
      <c r="AL188" s="56"/>
      <c r="AM188" s="56"/>
      <c r="AN188" s="56"/>
      <c r="AO188" s="82"/>
      <c r="AP188" s="82"/>
      <c r="AQ188" s="83"/>
      <c r="AR188" s="116"/>
      <c r="AS188" s="84"/>
      <c r="AT188" s="84"/>
      <c r="AU188" s="3"/>
      <c r="AV188" s="25">
        <v>157680000</v>
      </c>
      <c r="AW188" s="25">
        <v>473040000</v>
      </c>
      <c r="AX188" s="25">
        <v>788400000</v>
      </c>
      <c r="AY188" s="25">
        <v>1103760000</v>
      </c>
      <c r="AZ188" s="25">
        <v>1419120000</v>
      </c>
      <c r="BA188" s="25">
        <v>1734480000</v>
      </c>
      <c r="BB188" s="53"/>
      <c r="BC188" s="53"/>
      <c r="BD188" s="53"/>
      <c r="BE188" s="53"/>
      <c r="BF188" s="53"/>
      <c r="BG188" s="53"/>
      <c r="BH188" s="53"/>
      <c r="BI188" s="53"/>
      <c r="BJ188" s="53"/>
      <c r="BK188" s="53"/>
      <c r="BL188" s="53"/>
      <c r="BM188" s="53"/>
      <c r="BN188" s="53"/>
      <c r="BO188" s="53"/>
      <c r="BP188" s="53"/>
      <c r="BQ188" s="53"/>
      <c r="BR188" s="53"/>
      <c r="BS188" s="53"/>
      <c r="BT188" s="53"/>
      <c r="BU188" s="53"/>
      <c r="BV188" s="53"/>
      <c r="BW188" s="53"/>
      <c r="BX188" s="53"/>
      <c r="BY188" s="53"/>
      <c r="BZ188" s="53"/>
      <c r="CA188" s="53"/>
      <c r="CB188" s="53"/>
      <c r="CC188" s="53"/>
      <c r="CD188" s="53"/>
      <c r="CE188" s="53"/>
      <c r="CF188" s="53"/>
      <c r="CG188" s="53"/>
      <c r="CH188" s="53"/>
      <c r="CI188" s="53"/>
      <c r="CJ188" s="53"/>
      <c r="CK188" s="53"/>
      <c r="CL188" s="53"/>
      <c r="CM188" s="53"/>
      <c r="CN188" s="53"/>
      <c r="CO188" s="53"/>
      <c r="CP188" s="53"/>
      <c r="CQ188" s="53"/>
      <c r="CR188" s="1"/>
      <c r="CS188" s="1"/>
      <c r="CT188" s="1"/>
      <c r="CU188" s="1"/>
    </row>
    <row r="189" spans="1:99" s="13" customFormat="1" ht="12" customHeight="1" x14ac:dyDescent="0.2">
      <c r="A189" s="65">
        <v>43899</v>
      </c>
      <c r="B189" s="1" t="s">
        <v>394</v>
      </c>
      <c r="C189" s="1" t="s">
        <v>395</v>
      </c>
      <c r="D189" s="60">
        <v>2001</v>
      </c>
      <c r="E189" s="76">
        <v>1</v>
      </c>
      <c r="F189" s="60">
        <v>8</v>
      </c>
      <c r="G189" s="60">
        <v>8</v>
      </c>
      <c r="H189" s="60" t="s">
        <v>41</v>
      </c>
      <c r="I189" s="60"/>
      <c r="J189" s="60" t="s">
        <v>342</v>
      </c>
      <c r="K189" s="60">
        <f>IF(J189="syllables",1,IF(J189="trigrams",2,IF(J189="strings",3,IF(J189="visual array",4,IF(J189="characters",5,IF(J189="letters",6,IF(J189="free forms",7,IF(J189="odors",8,IF(J189="words",9,IF(J189="pictures",10,IF(J189="object pictures",11,IF(J189="faces",12,IF(J189="names",13,IF(J189="idioms",14,IF(J189="grades",15,IF(J189="syllable-digit pairs",16,IF(J189="trigram-word pairs",17,IF(J189="word-digit pairs",18,IF(J189="English-Swahili pairs",19,IF(J189="spatial position",20,IF(J189="word pairs",21,IF(J189="word triads",22,IF(J189="generated words",23,IF(J189="word definition pairs",24,IF(J189="math problems",25,IF(J189="famous faces",26,IF(J189="famous names",27,IF(J189="famous voices",28,IF(J189="television programs",29,IF(J189="race horses",30,IF(J189="new vocabulary",31,IF(J189="sentences",32,IF(J189="concepts",33,IF(J189="ad slides",34,IF(J189="scenes",35,IF(J189="famous scenes",36,IF(J189="poems",37,IF(J189="walk",38,IF(J189="faces and events",39,IF(J189="events and names",40,IF(J189="flashbulb",41,IF(J189="stories",42,IF(J189="course material",43,IF(J189="autobiographical",44,IF(J189="novels",45,IF(J189="public events",46,"99"))))))))))))))))))))))))))))))))))))))))))))))</f>
        <v>26</v>
      </c>
      <c r="L189" s="60">
        <f>IF(J189="syllables",1,IF(J189="trigrams",1,IF(J189="strings",1,IF(J189="visual array",1,IF(J189="characters",1,IF(J189="letters",1,IF(J189="free forms",1,IF(J189="odors",2,IF(J189="words",2,IF(J189="pictures",2,IF(J189="object pictures",2,IF(J189="faces",2,IF(J189="names",2,IF(J189="idioms","2",IF(J189="grades",2,IF(J189="syllable-digit pairs",3,IF(J189="trigram-word pairs",3,IF(J189="word-digit pairs",3,IF(J189="English-Swahili pairs",3,IF(J189="spatial position",3,IF(J189="word pairs",4,IF(J189="word triads",4,IF(J189="generated words",4,IF(J189="word definition pairs",4,IF(J189="math problems",4,IF(J189="famous faces",4,IF(J189="famous names",4,IF(J189="famous voices",4,IF(J189="television programs",4,IF(J189="race horses",4,IF(J189="new vocabulary",4,IF(J189="sentences",5,IF(J189="concepts",5,IF(J189="ad slides",5,IF(J189="scenes",5,IF(J189="famous scenes",5,IF(J189="poems",6,IF(J189="walk",6,IF(J189="faces and events",6,IF(J189="events and names",6,IF(J189="flashbulb",7,IF(J189="stories",7,IF(J189="course material",7,IF(J189="autobiographical",7,IF(J189="novels",7,IF(J189="public events",7,"99"))))))))))))))))))))))))))))))))))))))))))))))</f>
        <v>4</v>
      </c>
      <c r="M189" s="60">
        <v>1</v>
      </c>
      <c r="N189" s="61">
        <v>2</v>
      </c>
      <c r="O189" s="60">
        <v>0</v>
      </c>
      <c r="P189" s="60"/>
      <c r="Q189" s="60" t="s">
        <v>34</v>
      </c>
      <c r="R189" s="60">
        <f>IF(Q189="Free Recall",1,IF(Q189="Cued Recall",2,IF(Q189="Recognition",3,IF(Q189="Multiple Choice",4,IF(Q189="Savings",5,IF(Q189="Stem Completion",6,IF(Q189="Fragment Completion",7,IF(Q189="anagram solution",8,IF(Q189="Matching",9,IF(Q189="Problem Solving",10,"99"))))))))))</f>
        <v>3</v>
      </c>
      <c r="S189" s="60" t="s">
        <v>15</v>
      </c>
      <c r="T189" s="59" t="s">
        <v>581</v>
      </c>
      <c r="U189" s="60">
        <f>IF(T189="within",1,0)</f>
        <v>1</v>
      </c>
      <c r="V189" s="59">
        <v>78</v>
      </c>
      <c r="W189" s="60">
        <f>F189*V189</f>
        <v>624</v>
      </c>
      <c r="X189" s="60">
        <v>6</v>
      </c>
      <c r="Y189" s="76">
        <f>AV188</f>
        <v>157680000</v>
      </c>
      <c r="Z189" s="60" t="s">
        <v>374</v>
      </c>
      <c r="AA189" s="60">
        <f>55*365*24*60*60</f>
        <v>1734480000</v>
      </c>
      <c r="AB189" s="60" t="str">
        <f>IF(AA189&lt;60,"1",IF(AA189&lt;=43200,"2",IF(AA189&lt;=777600,"3","4")))</f>
        <v>4</v>
      </c>
      <c r="AC189" s="56">
        <f>AVERAGE(AV188:DA188)</f>
        <v>946080000</v>
      </c>
      <c r="AD189" s="60" t="str">
        <f>IF(AC189&lt;60,"1",IF(AC189&lt;=43200,"2",IF(AC189&lt;=777600,"3","4")))</f>
        <v>4</v>
      </c>
      <c r="AE189" s="76">
        <f>AA189-Y189</f>
        <v>1576800000</v>
      </c>
      <c r="AF189" s="80">
        <f>AV189</f>
        <v>0.86</v>
      </c>
      <c r="AG189" s="56">
        <f>((AW189-AV189)+(AX189-AW189)+(AY189-AX189)+(AZ189-AY189)+(BA189-AZ189))/5</f>
        <v>-6.0000000000000053E-3</v>
      </c>
      <c r="AH189" s="4"/>
      <c r="AI189" s="56">
        <f>RSQ(AV189:BA189,AV188:BA188)</f>
        <v>3.931847968545274E-3</v>
      </c>
      <c r="AJ189" s="109">
        <f>SLOPE(AV189:BA189,AV188:BA188)</f>
        <v>-4.5299702833949753E-12</v>
      </c>
      <c r="AK189" s="56">
        <f>INTERCEPT(AV189:BA189,AV188:BA188)</f>
        <v>0.88595238095238105</v>
      </c>
      <c r="AL189" s="56">
        <f>INDEX(LINEST(LN(AV189:BA189),LN(AV188:BA188),TRUE,TRUE),3,1)</f>
        <v>2.7293526535743123E-3</v>
      </c>
      <c r="AM189" s="56">
        <f>INDEX(LINEST(LN(AV189:BA189),LN(AV188:BA188)),1)</f>
        <v>2.8480854992779629E-3</v>
      </c>
      <c r="AN189" s="56">
        <f>EXP(INDEX(LINEST(LN(AV189:BA189),LN(AV188:BA188)),1,2))</f>
        <v>0.83105324100014266</v>
      </c>
      <c r="AO189" s="82">
        <f>INDEX(LINEST((AV189:BA189),LN(AV188:BA188),TRUE,TRUE),3,1)</f>
        <v>3.8234940350894879E-3</v>
      </c>
      <c r="AP189" s="82">
        <f>INDEX(LINEST((AV189:BA189),LN(AV188:BA188)),1)</f>
        <v>2.9826496392287953E-3</v>
      </c>
      <c r="AQ189" s="83">
        <f>INDEX(LINEST(LN(AV189:BA189),SQRT(AV188:BA188),TRUE,TRUE),3,1)</f>
        <v>1.6603561623714034E-4</v>
      </c>
      <c r="AR189" s="116">
        <f>INDEX(LINEST(LN(AV189:BA189),SQRT((AV188:BA188))),1)</f>
        <v>-5.7800346111300691E-8</v>
      </c>
      <c r="AS189" s="84">
        <f>INDEX(LINEST(1/(AV189:BA189),1/(SQRT(AV188:BA188)),TRUE,TRUE),3,1)</f>
        <v>1.0623857402604756E-2</v>
      </c>
      <c r="AT189" s="84">
        <f>INDEX(LINEST(1/(AV189:BA189),1/SQRT(AV188:BA188)),1)</f>
        <v>270.32706103734574</v>
      </c>
      <c r="AU189" s="3"/>
      <c r="AV189" s="53">
        <v>0.86</v>
      </c>
      <c r="AW189" s="53">
        <v>0.92</v>
      </c>
      <c r="AX189" s="53">
        <v>0.85</v>
      </c>
      <c r="AY189" s="53">
        <v>0.89</v>
      </c>
      <c r="AZ189" s="53">
        <v>0.94</v>
      </c>
      <c r="BA189" s="53">
        <v>0.83</v>
      </c>
      <c r="BB189" s="53"/>
      <c r="BC189" s="53"/>
      <c r="BD189" s="53"/>
      <c r="BE189" s="53"/>
      <c r="BF189" s="53"/>
      <c r="BG189" s="53"/>
      <c r="BH189" s="53"/>
      <c r="BI189" s="53"/>
      <c r="BJ189" s="53"/>
      <c r="BK189" s="53"/>
      <c r="BL189" s="53"/>
      <c r="BM189" s="53"/>
      <c r="BN189" s="53"/>
      <c r="BO189" s="53"/>
      <c r="BP189" s="53"/>
      <c r="BQ189" s="53"/>
      <c r="BR189" s="53"/>
      <c r="BS189" s="53"/>
      <c r="BT189" s="53"/>
      <c r="BU189" s="53"/>
      <c r="BV189" s="53"/>
      <c r="BW189" s="53"/>
      <c r="BX189" s="53"/>
      <c r="BY189" s="53"/>
      <c r="BZ189" s="53"/>
      <c r="CA189" s="53"/>
      <c r="CB189" s="53"/>
      <c r="CC189" s="53"/>
      <c r="CD189" s="53"/>
      <c r="CE189" s="53"/>
      <c r="CF189" s="53"/>
      <c r="CG189" s="53"/>
      <c r="CH189" s="53"/>
      <c r="CI189" s="53"/>
      <c r="CJ189" s="53"/>
      <c r="CK189" s="53"/>
      <c r="CL189" s="53"/>
      <c r="CM189" s="53"/>
      <c r="CN189" s="53"/>
      <c r="CO189" s="53"/>
      <c r="CP189" s="53"/>
      <c r="CQ189" s="53"/>
      <c r="CR189" s="1"/>
      <c r="CS189" s="1"/>
      <c r="CT189" s="1"/>
      <c r="CU189" s="1"/>
    </row>
    <row r="190" spans="1:99" s="13" customFormat="1" ht="12" customHeight="1" x14ac:dyDescent="0.2">
      <c r="A190" s="65">
        <v>43509</v>
      </c>
      <c r="B190" s="1"/>
      <c r="C190" s="1"/>
      <c r="D190" s="60"/>
      <c r="E190" s="76"/>
      <c r="F190" s="60"/>
      <c r="G190" s="60"/>
      <c r="H190" s="60"/>
      <c r="I190" s="60"/>
      <c r="J190" s="60"/>
      <c r="K190" s="64"/>
      <c r="L190" s="64"/>
      <c r="M190" s="60"/>
      <c r="N190" s="60"/>
      <c r="O190" s="60"/>
      <c r="P190" s="60"/>
      <c r="Q190" s="60"/>
      <c r="R190" s="60"/>
      <c r="S190" s="60"/>
      <c r="T190" s="60"/>
      <c r="U190" s="60"/>
      <c r="V190" s="60"/>
      <c r="W190" s="60"/>
      <c r="X190" s="60"/>
      <c r="Y190" s="76"/>
      <c r="Z190" s="60"/>
      <c r="AA190" s="60"/>
      <c r="AB190" s="60"/>
      <c r="AC190" s="60"/>
      <c r="AD190" s="60"/>
      <c r="AE190" s="60"/>
      <c r="AF190" s="80"/>
      <c r="AG190" s="56"/>
      <c r="AH190" s="4"/>
      <c r="AI190" s="56"/>
      <c r="AJ190" s="109"/>
      <c r="AK190" s="56"/>
      <c r="AL190" s="56"/>
      <c r="AM190" s="56"/>
      <c r="AN190" s="56"/>
      <c r="AO190" s="56"/>
      <c r="AP190" s="56"/>
      <c r="AQ190" s="56"/>
      <c r="AR190" s="109"/>
      <c r="AS190" s="56"/>
      <c r="AT190" s="56"/>
      <c r="AU190" s="4"/>
      <c r="AV190" s="25">
        <f>365*24*60*60*0.022</f>
        <v>693792</v>
      </c>
      <c r="AW190" s="25">
        <f>365*24*60*60*0.929</f>
        <v>29296944</v>
      </c>
      <c r="AX190" s="25">
        <f>365*24*60*60*2.926</f>
        <v>92274336</v>
      </c>
      <c r="AY190" s="25">
        <f>365*24*60*60*9.907</f>
        <v>312427152</v>
      </c>
      <c r="AZ190" s="53"/>
      <c r="BA190" s="53"/>
      <c r="BB190" s="53"/>
      <c r="BC190" s="53"/>
      <c r="BD190" s="53"/>
      <c r="BE190" s="53"/>
      <c r="BF190" s="53"/>
      <c r="BG190" s="53"/>
      <c r="BH190" s="53"/>
      <c r="BI190" s="53"/>
      <c r="BJ190" s="53"/>
      <c r="BK190" s="53"/>
      <c r="BL190" s="53"/>
      <c r="BM190" s="53"/>
      <c r="BN190" s="53"/>
      <c r="BO190" s="53"/>
      <c r="BP190" s="53"/>
      <c r="BQ190" s="53"/>
      <c r="BR190" s="53"/>
      <c r="BS190" s="53"/>
      <c r="BT190" s="53"/>
      <c r="BU190" s="53"/>
      <c r="BV190" s="53"/>
      <c r="BW190" s="53"/>
      <c r="BX190" s="53"/>
      <c r="BY190" s="53"/>
      <c r="BZ190" s="53"/>
      <c r="CA190" s="53"/>
      <c r="CB190" s="53"/>
      <c r="CC190" s="53"/>
      <c r="CD190" s="53"/>
      <c r="CE190" s="53"/>
      <c r="CF190" s="53"/>
      <c r="CG190" s="53"/>
      <c r="CH190" s="53"/>
      <c r="CI190" s="53"/>
      <c r="CJ190" s="53"/>
      <c r="CK190" s="53"/>
      <c r="CL190" s="53"/>
      <c r="CM190" s="53"/>
      <c r="CN190" s="53"/>
      <c r="CO190" s="53"/>
      <c r="CP190" s="53"/>
      <c r="CQ190" s="53"/>
      <c r="CR190" s="1"/>
      <c r="CS190" s="1"/>
      <c r="CT190" s="1"/>
      <c r="CU190" s="1"/>
    </row>
    <row r="191" spans="1:99" s="13" customFormat="1" ht="12" customHeight="1" x14ac:dyDescent="0.2">
      <c r="A191" s="65">
        <v>43509</v>
      </c>
      <c r="B191" s="1" t="s">
        <v>218</v>
      </c>
      <c r="C191" s="1" t="s">
        <v>202</v>
      </c>
      <c r="D191" s="60">
        <v>2015</v>
      </c>
      <c r="E191" s="76">
        <v>1</v>
      </c>
      <c r="F191" s="60">
        <v>1121</v>
      </c>
      <c r="G191" s="60">
        <v>124.6</v>
      </c>
      <c r="H191" s="60" t="s">
        <v>227</v>
      </c>
      <c r="I191" s="60" t="s">
        <v>705</v>
      </c>
      <c r="J191" s="60" t="s">
        <v>704</v>
      </c>
      <c r="K191" s="60">
        <f>IF(J191="syllables",1,IF(J191="trigrams",2,IF(J191="strings",3,IF(J191="visual array",4,IF(J191="characters",5,IF(J191="letters",6,IF(J191="free forms",7,IF(J191="odors",8,IF(J191="words",9,IF(J191="pictures",10,IF(J191="object pictures",11,IF(J191="faces",12,IF(J191="names",13,IF(J191="idioms",14,IF(J191="grades",15,IF(J191="syllable-digit pairs",16,IF(J191="trigram-word pairs",17,IF(J191="word-digit pairs",18,IF(J191="English-Swahili pairs",19,IF(J191="spatial position",20,IF(J191="word pairs",21,IF(J191="word triads",22,IF(J191="generated words",23,IF(J191="word definition pairs",24,IF(J191="math problems",25,IF(J191="famous faces",26,IF(J191="famous names",27,IF(J191="famous voices",28,IF(J191="television programs",29,IF(J191="race horses",30,IF(J191="new vocabulary",31,IF(J191="sentences",32,IF(J191="concepts",33,IF(J191="ad slides",34,IF(J191="scenes",35,IF(J191="famous scenes",36,IF(J191="poems",37,IF(J191="walk",38,IF(J191="faces and events",39,IF(J191="events and names",40,IF(J191="flashbulb",41,IF(J191="stories",42,IF(J191="course material",43,IF(J191="autobiographical",44,IF(J191="novels",45,IF(J191="public events",46,"99"))))))))))))))))))))))))))))))))))))))))))))))</f>
        <v>41</v>
      </c>
      <c r="L191" s="60">
        <f>IF(J191="syllables",1,IF(J191="trigrams",1,IF(J191="strings",1,IF(J191="visual array",1,IF(J191="characters",1,IF(J191="letters",1,IF(J191="free forms",1,IF(J191="odors",2,IF(J191="words",2,IF(J191="pictures",2,IF(J191="object pictures",2,IF(J191="faces",2,IF(J191="names",2,IF(J191="idioms","2",IF(J191="grades",2,IF(J191="syllable-digit pairs",3,IF(J191="trigram-word pairs",3,IF(J191="word-digit pairs",3,IF(J191="English-Swahili pairs",3,IF(J191="spatial position",3,IF(J191="word pairs",4,IF(J191="word triads",4,IF(J191="generated words",4,IF(J191="word definition pairs",4,IF(J191="math problems",4,IF(J191="famous faces",4,IF(J191="famous names",4,IF(J191="famous voices",4,IF(J191="television programs",4,IF(J191="race horses",4,IF(J191="new vocabulary",4,IF(J191="sentences",5,IF(J191="concepts",5,IF(J191="ad slides",5,IF(J191="scenes",5,IF(J191="famous scenes",5,IF(J191="poems",6,IF(J191="walk",6,IF(J191="faces and events",6,IF(J191="events and names",6,IF(J191="flashbulb",7,IF(J191="stories",7,IF(J191="course material",7,IF(J191="autobiographical",7,IF(J191="novels",7,IF(J191="public events",7,"99"))))))))))))))))))))))))))))))))))))))))))))))</f>
        <v>7</v>
      </c>
      <c r="M191" s="60">
        <v>1</v>
      </c>
      <c r="N191" s="60">
        <v>4</v>
      </c>
      <c r="O191" s="60">
        <v>0</v>
      </c>
      <c r="P191" s="60"/>
      <c r="Q191" s="60" t="s">
        <v>174</v>
      </c>
      <c r="R191" s="60">
        <f>IF(Q191="Free Recall",1,IF(Q191="Cued Recall",2,IF(Q191="Recognition",3,IF(Q191="Multiple Choice",4,IF(Q191="Savings",5,IF(Q191="Stem Completion",6,IF(Q191="Fragment Completion",7,IF(Q191="anagram solution",8,IF(Q191="Matching",9,IF(Q191="Problem Solving",10,"99"))))))))))</f>
        <v>1</v>
      </c>
      <c r="S191" s="60" t="s">
        <v>15</v>
      </c>
      <c r="T191" s="60" t="s">
        <v>261</v>
      </c>
      <c r="U191" s="60">
        <f>IF(T191="within",1,0)</f>
        <v>0</v>
      </c>
      <c r="V191" s="60">
        <v>12</v>
      </c>
      <c r="W191" s="60">
        <f>F191*V191</f>
        <v>13452</v>
      </c>
      <c r="X191" s="60">
        <v>4</v>
      </c>
      <c r="Y191" s="76">
        <f>AV190</f>
        <v>693792</v>
      </c>
      <c r="Z191" s="60" t="s">
        <v>219</v>
      </c>
      <c r="AA191" s="60">
        <v>312427152</v>
      </c>
      <c r="AB191" s="60" t="str">
        <f>IF(AA191&lt;60,"1",IF(AA191&lt;=43200,"2",IF(AA191&lt;=777600,"3","4")))</f>
        <v>4</v>
      </c>
      <c r="AC191" s="56">
        <f>AVERAGE(AV190:DA190)</f>
        <v>108673056</v>
      </c>
      <c r="AD191" s="60" t="str">
        <f>IF(AC191&lt;60,"1",IF(AC191&lt;=43200,"2",IF(AC191&lt;=777600,"3","4")))</f>
        <v>4</v>
      </c>
      <c r="AE191" s="76">
        <f>AA191-Y191</f>
        <v>311733360</v>
      </c>
      <c r="AF191" s="80">
        <f>AV191</f>
        <v>0.91</v>
      </c>
      <c r="AG191" s="56">
        <f>((AW191-AV191)+(AX191-AW191)+(AY191-AX191))/3</f>
        <v>-3.3333333333333326E-2</v>
      </c>
      <c r="AH191" s="4"/>
      <c r="AI191" s="56">
        <f>RSQ(AV191:AY191,AV190:AY190)</f>
        <v>0.20745290581770823</v>
      </c>
      <c r="AJ191" s="109">
        <f>SLOPE(AV191:AY191,AV190:AY190)</f>
        <v>-1.6744847446962547E-10</v>
      </c>
      <c r="AK191" s="56">
        <f>INTERCEPT(AV191:AY191,AV190:AY190)</f>
        <v>0.85069713744315223</v>
      </c>
      <c r="AL191" s="56">
        <f>INDEX(LINEST(LN(AV191:AY191),LN(AV190:AY190),TRUE,TRUE),3,1)</f>
        <v>0.80266519869482433</v>
      </c>
      <c r="AM191" s="56">
        <f>INDEX(LINEST(LN(AV191:AY191),LN(AV190:AY190)),1)</f>
        <v>-2.054809097565808E-2</v>
      </c>
      <c r="AN191" s="56">
        <f>EXP(INDEX(LINEST(LN(AV191:AY191),LN(AV190:AY190)),1,2))</f>
        <v>1.1822073022858959</v>
      </c>
      <c r="AO191" s="82">
        <f>INDEX(LINEST((AV191:AY191),LN(AV190:AY190),TRUE,TRUE),3,1)</f>
        <v>0.80686830506998442</v>
      </c>
      <c r="AP191" s="82">
        <f>INDEX(LINEST((AV191:AY191),LN(AV190:AY190)),1)</f>
        <v>-1.7649592653409929E-2</v>
      </c>
      <c r="AQ191" s="83">
        <f>INDEX(LINEST(LN(AV191:AY191),SQRT(AV190:AY190),TRUE,TRUE),3,1)</f>
        <v>0.41919361923263876</v>
      </c>
      <c r="AR191" s="116">
        <f>INDEX(LINEST(LN(AV191:AY191),SQRT((AV190:AY190))),1)</f>
        <v>-5.478335892915269E-6</v>
      </c>
      <c r="AS191" s="84">
        <f>INDEX(LINEST(1/(AV191:AY191),1/(SQRT(AV190:AY190)),TRUE,TRUE),3,1)</f>
        <v>0.96183791266144225</v>
      </c>
      <c r="AT191" s="84">
        <f>INDEX(LINEST(1/(AV191:AY191),1/SQRT(AV190:AY190)),1)</f>
        <v>-127.30365836830035</v>
      </c>
      <c r="AU191" s="3"/>
      <c r="AV191" s="53">
        <v>0.91</v>
      </c>
      <c r="AW191" s="53">
        <v>0.8</v>
      </c>
      <c r="AX191" s="53">
        <v>0.81</v>
      </c>
      <c r="AY191" s="53">
        <v>0.81</v>
      </c>
      <c r="AZ191" s="53"/>
      <c r="BA191" s="53"/>
      <c r="BB191" s="53"/>
      <c r="BC191" s="53"/>
      <c r="BD191" s="53"/>
      <c r="BE191" s="53"/>
      <c r="BF191" s="53"/>
      <c r="BG191" s="53"/>
      <c r="BH191" s="53"/>
      <c r="BI191" s="53"/>
      <c r="BJ191" s="53"/>
      <c r="BK191" s="53"/>
      <c r="BL191" s="53"/>
      <c r="BM191" s="53"/>
      <c r="BN191" s="53"/>
      <c r="BO191" s="53"/>
      <c r="BP191" s="53"/>
      <c r="BQ191" s="53"/>
      <c r="BR191" s="53"/>
      <c r="BS191" s="53"/>
      <c r="BT191" s="53"/>
      <c r="BU191" s="53"/>
      <c r="BV191" s="53"/>
      <c r="BW191" s="53"/>
      <c r="BX191" s="53"/>
      <c r="BY191" s="53"/>
      <c r="BZ191" s="53"/>
      <c r="CA191" s="53"/>
      <c r="CB191" s="53"/>
      <c r="CC191" s="53"/>
      <c r="CD191" s="53"/>
      <c r="CE191" s="53"/>
      <c r="CF191" s="53"/>
      <c r="CG191" s="53"/>
      <c r="CH191" s="53"/>
      <c r="CI191" s="53"/>
      <c r="CJ191" s="53"/>
      <c r="CK191" s="53"/>
      <c r="CL191" s="53"/>
      <c r="CM191" s="53"/>
      <c r="CN191" s="53"/>
      <c r="CO191" s="53"/>
      <c r="CP191" s="53"/>
      <c r="CQ191" s="53"/>
      <c r="CR191" s="1"/>
      <c r="CS191" s="1"/>
      <c r="CT191" s="1"/>
      <c r="CU191" s="1"/>
    </row>
    <row r="192" spans="1:99" s="13" customFormat="1" ht="12" customHeight="1" x14ac:dyDescent="0.2">
      <c r="A192" s="65">
        <v>43902</v>
      </c>
      <c r="B192" s="1"/>
      <c r="C192" s="1"/>
      <c r="D192" s="60"/>
      <c r="E192" s="76"/>
      <c r="F192" s="60"/>
      <c r="G192" s="60"/>
      <c r="H192" s="60"/>
      <c r="I192" s="60"/>
      <c r="J192" s="60"/>
      <c r="K192" s="64"/>
      <c r="L192" s="64"/>
      <c r="M192" s="60"/>
      <c r="N192" s="61"/>
      <c r="O192" s="60"/>
      <c r="P192" s="60"/>
      <c r="Q192" s="60"/>
      <c r="R192" s="60"/>
      <c r="S192" s="60"/>
      <c r="T192" s="60"/>
      <c r="U192" s="60"/>
      <c r="V192" s="60"/>
      <c r="W192" s="60"/>
      <c r="X192" s="60"/>
      <c r="Y192" s="76"/>
      <c r="Z192" s="60"/>
      <c r="AA192" s="60"/>
      <c r="AB192" s="60"/>
      <c r="AC192" s="56"/>
      <c r="AD192" s="60"/>
      <c r="AE192" s="60"/>
      <c r="AF192" s="80"/>
      <c r="AG192" s="56"/>
      <c r="AH192" s="4"/>
      <c r="AI192" s="56"/>
      <c r="AJ192" s="109"/>
      <c r="AK192" s="56"/>
      <c r="AL192" s="56"/>
      <c r="AM192" s="56"/>
      <c r="AN192" s="56"/>
      <c r="AO192" s="82"/>
      <c r="AP192" s="82"/>
      <c r="AQ192" s="83"/>
      <c r="AR192" s="116"/>
      <c r="AS192" s="84"/>
      <c r="AT192" s="84"/>
      <c r="AU192" s="3"/>
      <c r="AV192" s="25">
        <v>315360000</v>
      </c>
      <c r="AW192" s="25">
        <v>630720000</v>
      </c>
      <c r="AX192" s="25">
        <v>946080000</v>
      </c>
      <c r="AY192" s="25">
        <v>1261440000</v>
      </c>
      <c r="AZ192" s="25">
        <v>1576800000</v>
      </c>
      <c r="BA192" s="25">
        <v>1892160000</v>
      </c>
      <c r="BB192" s="53"/>
      <c r="BC192" s="53"/>
      <c r="BD192" s="53"/>
      <c r="BE192" s="53"/>
      <c r="BF192" s="53"/>
      <c r="BG192" s="53"/>
      <c r="BH192" s="53"/>
      <c r="BI192" s="53"/>
      <c r="BJ192" s="53"/>
      <c r="BK192" s="53"/>
      <c r="BL192" s="53"/>
      <c r="BM192" s="53"/>
      <c r="BN192" s="53"/>
      <c r="BO192" s="53"/>
      <c r="BP192" s="53"/>
      <c r="BQ192" s="53"/>
      <c r="BR192" s="53"/>
      <c r="BS192" s="53"/>
      <c r="BT192" s="53"/>
      <c r="BU192" s="53"/>
      <c r="BV192" s="53"/>
      <c r="BW192" s="53"/>
      <c r="BX192" s="53"/>
      <c r="BY192" s="53"/>
      <c r="BZ192" s="53"/>
      <c r="CA192" s="53"/>
      <c r="CB192" s="53"/>
      <c r="CC192" s="53"/>
      <c r="CD192" s="53"/>
      <c r="CE192" s="53"/>
      <c r="CF192" s="53"/>
      <c r="CG192" s="53"/>
      <c r="CH192" s="53"/>
      <c r="CI192" s="53"/>
      <c r="CJ192" s="53"/>
      <c r="CK192" s="53"/>
      <c r="CL192" s="53"/>
      <c r="CM192" s="53"/>
      <c r="CN192" s="53"/>
      <c r="CO192" s="53"/>
      <c r="CP192" s="53"/>
      <c r="CQ192" s="53"/>
      <c r="CR192" s="1"/>
      <c r="CS192" s="1"/>
      <c r="CT192" s="1"/>
      <c r="CU192" s="1"/>
    </row>
    <row r="193" spans="1:99" s="13" customFormat="1" ht="12" customHeight="1" x14ac:dyDescent="0.2">
      <c r="A193" s="65">
        <v>43902</v>
      </c>
      <c r="B193" s="1" t="s">
        <v>454</v>
      </c>
      <c r="C193" s="1" t="s">
        <v>425</v>
      </c>
      <c r="D193" s="60">
        <v>1986</v>
      </c>
      <c r="E193" s="76">
        <v>1</v>
      </c>
      <c r="F193" s="60">
        <v>18</v>
      </c>
      <c r="G193" s="60">
        <v>18</v>
      </c>
      <c r="H193" s="60" t="s">
        <v>50</v>
      </c>
      <c r="I193" s="60" t="s">
        <v>330</v>
      </c>
      <c r="J193" s="60" t="s">
        <v>336</v>
      </c>
      <c r="K193" s="60">
        <f>IF(J193="syllables",1,IF(J193="trigrams",2,IF(J193="strings",3,IF(J193="visual array",4,IF(J193="characters",5,IF(J193="letters",6,IF(J193="free forms",7,IF(J193="odors",8,IF(J193="words",9,IF(J193="pictures",10,IF(J193="object pictures",11,IF(J193="faces",12,IF(J193="names",13,IF(J193="idioms",14,IF(J193="grades",15,IF(J193="syllable-digit pairs",16,IF(J193="trigram-word pairs",17,IF(J193="word-digit pairs",18,IF(J193="English-Swahili pairs",19,IF(J193="spatial position",20,IF(J193="word pairs",21,IF(J193="word triads",22,IF(J193="generated words",23,IF(J193="word definition pairs",24,IF(J193="math problems",25,IF(J193="famous faces",26,IF(J193="famous names",27,IF(J193="famous voices",28,IF(J193="television programs",29,IF(J193="race horses",30,IF(J193="new vocabulary",31,IF(J193="sentences",32,IF(J193="concepts",33,IF(J193="ad slides",34,IF(J193="scenes",35,IF(J193="famous scenes",36,IF(J193="poems",37,IF(J193="walk",38,IF(J193="faces and events",39,IF(J193="events and names",40,IF(J193="flashbulb",41,IF(J193="stories",42,IF(J193="course material",43,IF(J193="autobiographical",44,IF(J193="novels",45,IF(J193="public events",46,"99"))))))))))))))))))))))))))))))))))))))))))))))</f>
        <v>39</v>
      </c>
      <c r="L193" s="60">
        <f>IF(J193="syllables",1,IF(J193="trigrams",1,IF(J193="strings",1,IF(J193="visual array",1,IF(J193="characters",1,IF(J193="letters",1,IF(J193="free forms",1,IF(J193="odors",2,IF(J193="words",2,IF(J193="pictures",2,IF(J193="object pictures",2,IF(J193="faces",2,IF(J193="names",2,IF(J193="idioms","2",IF(J193="grades",2,IF(J193="syllable-digit pairs",3,IF(J193="trigram-word pairs",3,IF(J193="word-digit pairs",3,IF(J193="English-Swahili pairs",3,IF(J193="spatial position",3,IF(J193="word pairs",4,IF(J193="word triads",4,IF(J193="generated words",4,IF(J193="word definition pairs",4,IF(J193="math problems",4,IF(J193="famous faces",4,IF(J193="famous names",4,IF(J193="famous voices",4,IF(J193="television programs",4,IF(J193="race horses",4,IF(J193="new vocabulary",4,IF(J193="sentences",5,IF(J193="concepts",5,IF(J193="ad slides",5,IF(J193="scenes",5,IF(J193="famous scenes",5,IF(J193="poems",6,IF(J193="walk",6,IF(J193="faces and events",6,IF(J193="events and names",6,IF(J193="flashbulb",7,IF(J193="stories",7,IF(J193="course material",7,IF(J193="autobiographical",7,IF(J193="novels",7,IF(J193="public events",7,"99"))))))))))))))))))))))))))))))))))))))))))))))</f>
        <v>6</v>
      </c>
      <c r="M193" s="60">
        <v>1</v>
      </c>
      <c r="N193" s="61">
        <v>3</v>
      </c>
      <c r="O193" s="60">
        <v>0</v>
      </c>
      <c r="P193" s="60"/>
      <c r="Q193" s="60" t="s">
        <v>174</v>
      </c>
      <c r="R193" s="60">
        <f>IF(Q193="Free Recall",1,IF(Q193="Cued Recall",2,IF(Q193="Recognition",3,IF(Q193="Multiple Choice",4,IF(Q193="Savings",5,IF(Q193="Stem Completion",6,IF(Q193="Fragment Completion",7,IF(Q193="anagram solution",8,IF(Q193="Matching",9,IF(Q193="Problem Solving",10,"99"))))))))))</f>
        <v>1</v>
      </c>
      <c r="S193" s="60" t="s">
        <v>49</v>
      </c>
      <c r="T193" s="59" t="s">
        <v>581</v>
      </c>
      <c r="U193" s="60">
        <f>IF(T193="within",1,0)</f>
        <v>1</v>
      </c>
      <c r="V193" s="59">
        <v>48</v>
      </c>
      <c r="W193" s="60">
        <f>F193*V193</f>
        <v>864</v>
      </c>
      <c r="X193" s="60">
        <v>6</v>
      </c>
      <c r="Y193" s="76">
        <f>AV192</f>
        <v>315360000</v>
      </c>
      <c r="Z193" s="60" t="s">
        <v>419</v>
      </c>
      <c r="AA193" s="60">
        <f>60*365*24*60*60</f>
        <v>1892160000</v>
      </c>
      <c r="AB193" s="60" t="str">
        <f>IF(AA193&lt;60,"1",IF(AA193&lt;=43200,"2",IF(AA193&lt;=777600,"3","4")))</f>
        <v>4</v>
      </c>
      <c r="AC193" s="56">
        <f>AVERAGE(AV192:DA192)</f>
        <v>1103760000</v>
      </c>
      <c r="AD193" s="60" t="str">
        <f>IF(AC193&lt;60,"1",IF(AC193&lt;=43200,"2",IF(AC193&lt;=777600,"3","4")))</f>
        <v>4</v>
      </c>
      <c r="AE193" s="76">
        <f>AA193-Y193</f>
        <v>1576800000</v>
      </c>
      <c r="AF193" s="80">
        <f>AV193</f>
        <v>0.68750000000000011</v>
      </c>
      <c r="AG193" s="56">
        <f>((AW193-AV193)+(AX193-AW193)+(AY193-AX193)+(AZ193-AY193)+(BA193-AZ193))/5</f>
        <v>-5.5851063829787332E-3</v>
      </c>
      <c r="AH193" s="4"/>
      <c r="AI193" s="56">
        <f>RSQ(AV193:BA193,AV192:BA192)</f>
        <v>0.22036183337134405</v>
      </c>
      <c r="AJ193" s="109">
        <f>SLOPE(AV193:BA193,AV192:BA192)</f>
        <v>-3.2311391266144378E-11</v>
      </c>
      <c r="AK193" s="56">
        <f>INTERCEPT(AV193:BA193,AV192:BA192)</f>
        <v>0.7358602656465747</v>
      </c>
      <c r="AL193" s="56">
        <f>INDEX(LINEST(LN(AV193:BA193),LN(AV192:BA192),TRUE,TRUE),3,1)</f>
        <v>0.10170480668612422</v>
      </c>
      <c r="AM193" s="56">
        <f>INDEX(LINEST(LN(AV193:BA193),LN(AV192:BA192)),1)</f>
        <v>-2.7645195459682675E-2</v>
      </c>
      <c r="AN193" s="56">
        <f>EXP(INDEX(LINEST(LN(AV193:BA193),LN(AV192:BA192)),1,2))</f>
        <v>1.2380417407700253</v>
      </c>
      <c r="AO193" s="82">
        <f>INDEX(LINEST((AV193:BA193),LN(AV192:BA192),TRUE,TRUE),3,1)</f>
        <v>9.6490031901509357E-2</v>
      </c>
      <c r="AP193" s="82">
        <f>INDEX(LINEST((AV193:BA193),LN(AV192:BA192)),1)</f>
        <v>-1.9036600043536141E-2</v>
      </c>
      <c r="AQ193" s="83">
        <f>INDEX(LINEST(LN(AV193:BA193),SQRT(AV192:BA192),TRUE,TRUE),3,1)</f>
        <v>0.16464072751717032</v>
      </c>
      <c r="AR193" s="116">
        <f>INDEX(LINEST(LN(AV193:BA193),SQRT((AV192:BA192))),1)</f>
        <v>-2.4412061272716184E-6</v>
      </c>
      <c r="AS193" s="84">
        <f>INDEX(LINEST(1/(AV193:BA193),1/(SQRT(AV192:BA192)),TRUE,TRUE),3,1)</f>
        <v>5.467696893961628E-2</v>
      </c>
      <c r="AT193" s="84">
        <f>INDEX(LINEST(1/(AV193:BA193),1/SQRT(AV192:BA192)),1)</f>
        <v>-1536.9561239437085</v>
      </c>
      <c r="AU193" s="3"/>
      <c r="AV193" s="53">
        <v>0.68750000000000011</v>
      </c>
      <c r="AW193" s="53">
        <v>0.73626373626373631</v>
      </c>
      <c r="AX193" s="53">
        <v>0.76</v>
      </c>
      <c r="AY193" s="53">
        <v>0.66086956521739137</v>
      </c>
      <c r="AZ193" s="53">
        <v>0.69696969696969691</v>
      </c>
      <c r="BA193" s="53">
        <v>0.65957446808510645</v>
      </c>
      <c r="BB193" s="53"/>
      <c r="BC193" s="53"/>
      <c r="BD193" s="53"/>
      <c r="BE193" s="53"/>
      <c r="BF193" s="53"/>
      <c r="BG193" s="53"/>
      <c r="BH193" s="53"/>
      <c r="BI193" s="53"/>
      <c r="BJ193" s="53"/>
      <c r="BK193" s="53"/>
      <c r="BL193" s="53"/>
      <c r="BM193" s="53"/>
      <c r="BN193" s="53"/>
      <c r="BO193" s="53"/>
      <c r="BP193" s="53"/>
      <c r="BQ193" s="53"/>
      <c r="BR193" s="53"/>
      <c r="BS193" s="53"/>
      <c r="BT193" s="53"/>
      <c r="BU193" s="53"/>
      <c r="BV193" s="53"/>
      <c r="BW193" s="53"/>
      <c r="BX193" s="53"/>
      <c r="BY193" s="53"/>
      <c r="BZ193" s="53"/>
      <c r="CA193" s="53"/>
      <c r="CB193" s="53"/>
      <c r="CC193" s="53"/>
      <c r="CD193" s="53"/>
      <c r="CE193" s="53"/>
      <c r="CF193" s="53"/>
      <c r="CG193" s="53"/>
      <c r="CH193" s="53"/>
      <c r="CI193" s="53"/>
      <c r="CJ193" s="53"/>
      <c r="CK193" s="53"/>
      <c r="CL193" s="53"/>
      <c r="CM193" s="53"/>
      <c r="CN193" s="53"/>
      <c r="CO193" s="53"/>
      <c r="CP193" s="53"/>
      <c r="CQ193" s="53"/>
      <c r="CR193" s="1"/>
      <c r="CS193" s="1"/>
      <c r="CT193" s="1"/>
      <c r="CU193" s="1"/>
    </row>
    <row r="194" spans="1:99" s="13" customFormat="1" ht="12" customHeight="1" x14ac:dyDescent="0.2">
      <c r="A194" s="65">
        <v>43902</v>
      </c>
      <c r="B194" s="1"/>
      <c r="C194" s="1"/>
      <c r="D194" s="60"/>
      <c r="E194" s="76"/>
      <c r="F194" s="60"/>
      <c r="G194" s="60"/>
      <c r="H194" s="60"/>
      <c r="I194" s="60"/>
      <c r="J194" s="60"/>
      <c r="K194" s="64"/>
      <c r="L194" s="64"/>
      <c r="M194" s="60"/>
      <c r="N194" s="61"/>
      <c r="O194" s="60"/>
      <c r="P194" s="60"/>
      <c r="Q194" s="60"/>
      <c r="R194" s="60"/>
      <c r="S194" s="60"/>
      <c r="T194" s="60"/>
      <c r="U194" s="60"/>
      <c r="V194" s="60"/>
      <c r="W194" s="60"/>
      <c r="X194" s="60"/>
      <c r="Y194" s="76"/>
      <c r="Z194" s="60"/>
      <c r="AA194" s="60"/>
      <c r="AB194" s="60"/>
      <c r="AC194" s="56"/>
      <c r="AD194" s="60"/>
      <c r="AE194" s="60"/>
      <c r="AF194" s="80"/>
      <c r="AG194" s="56"/>
      <c r="AH194" s="4"/>
      <c r="AI194" s="56"/>
      <c r="AJ194" s="109"/>
      <c r="AK194" s="56"/>
      <c r="AL194" s="56"/>
      <c r="AM194" s="56"/>
      <c r="AN194" s="56"/>
      <c r="AO194" s="82"/>
      <c r="AP194" s="82"/>
      <c r="AQ194" s="83"/>
      <c r="AR194" s="116"/>
      <c r="AS194" s="84"/>
      <c r="AT194" s="84"/>
      <c r="AU194" s="3"/>
      <c r="AV194" s="25">
        <v>315360000</v>
      </c>
      <c r="AW194" s="25">
        <v>630720000</v>
      </c>
      <c r="AX194" s="25">
        <v>946080000</v>
      </c>
      <c r="AY194" s="25">
        <v>1261440000</v>
      </c>
      <c r="AZ194" s="25">
        <v>1576800000</v>
      </c>
      <c r="BA194" s="25">
        <v>1892160000</v>
      </c>
      <c r="BB194" s="53"/>
      <c r="BC194" s="53"/>
      <c r="BD194" s="53"/>
      <c r="BE194" s="53"/>
      <c r="BF194" s="53"/>
      <c r="BG194" s="53"/>
      <c r="BH194" s="53"/>
      <c r="BI194" s="53"/>
      <c r="BJ194" s="53"/>
      <c r="BK194" s="53"/>
      <c r="BL194" s="53"/>
      <c r="BM194" s="53"/>
      <c r="BN194" s="53"/>
      <c r="BO194" s="53"/>
      <c r="BP194" s="53"/>
      <c r="BQ194" s="53"/>
      <c r="BR194" s="53"/>
      <c r="BS194" s="53"/>
      <c r="BT194" s="53"/>
      <c r="BU194" s="53"/>
      <c r="BV194" s="53"/>
      <c r="BW194" s="53"/>
      <c r="BX194" s="53"/>
      <c r="BY194" s="53"/>
      <c r="BZ194" s="53"/>
      <c r="CA194" s="53"/>
      <c r="CB194" s="53"/>
      <c r="CC194" s="53"/>
      <c r="CD194" s="53"/>
      <c r="CE194" s="53"/>
      <c r="CF194" s="53"/>
      <c r="CG194" s="53"/>
      <c r="CH194" s="53"/>
      <c r="CI194" s="53"/>
      <c r="CJ194" s="53"/>
      <c r="CK194" s="53"/>
      <c r="CL194" s="53"/>
      <c r="CM194" s="53"/>
      <c r="CN194" s="53"/>
      <c r="CO194" s="53"/>
      <c r="CP194" s="53"/>
      <c r="CQ194" s="53"/>
      <c r="CR194" s="1"/>
      <c r="CS194" s="1"/>
      <c r="CT194" s="1"/>
      <c r="CU194" s="1"/>
    </row>
    <row r="195" spans="1:99" s="13" customFormat="1" ht="12" customHeight="1" x14ac:dyDescent="0.2">
      <c r="A195" s="65">
        <v>43902</v>
      </c>
      <c r="B195" s="1" t="s">
        <v>454</v>
      </c>
      <c r="C195" s="1" t="s">
        <v>425</v>
      </c>
      <c r="D195" s="60">
        <v>1986</v>
      </c>
      <c r="E195" s="76">
        <v>1</v>
      </c>
      <c r="F195" s="60">
        <v>18</v>
      </c>
      <c r="G195" s="60">
        <v>18</v>
      </c>
      <c r="H195" s="60" t="s">
        <v>41</v>
      </c>
      <c r="I195" s="60" t="s">
        <v>330</v>
      </c>
      <c r="J195" s="60" t="s">
        <v>336</v>
      </c>
      <c r="K195" s="60">
        <f>IF(J195="syllables",1,IF(J195="trigrams",2,IF(J195="strings",3,IF(J195="visual array",4,IF(J195="characters",5,IF(J195="letters",6,IF(J195="free forms",7,IF(J195="odors",8,IF(J195="words",9,IF(J195="pictures",10,IF(J195="object pictures",11,IF(J195="faces",12,IF(J195="names",13,IF(J195="idioms",14,IF(J195="grades",15,IF(J195="syllable-digit pairs",16,IF(J195="trigram-word pairs",17,IF(J195="word-digit pairs",18,IF(J195="English-Swahili pairs",19,IF(J195="spatial position",20,IF(J195="word pairs",21,IF(J195="word triads",22,IF(J195="generated words",23,IF(J195="word definition pairs",24,IF(J195="math problems",25,IF(J195="famous faces",26,IF(J195="famous names",27,IF(J195="famous voices",28,IF(J195="television programs",29,IF(J195="race horses",30,IF(J195="new vocabulary",31,IF(J195="sentences",32,IF(J195="concepts",33,IF(J195="ad slides",34,IF(J195="scenes",35,IF(J195="famous scenes",36,IF(J195="poems",37,IF(J195="walk",38,IF(J195="faces and events",39,IF(J195="events and names",40,IF(J195="flashbulb",41,IF(J195="stories",42,IF(J195="course material",43,IF(J195="autobiographical",44,IF(J195="novels",45,IF(J195="public events",46,"99"))))))))))))))))))))))))))))))))))))))))))))))</f>
        <v>39</v>
      </c>
      <c r="L195" s="60">
        <f>IF(J195="syllables",1,IF(J195="trigrams",1,IF(J195="strings",1,IF(J195="visual array",1,IF(J195="characters",1,IF(J195="letters",1,IF(J195="free forms",1,IF(J195="odors",2,IF(J195="words",2,IF(J195="pictures",2,IF(J195="object pictures",2,IF(J195="faces",2,IF(J195="names",2,IF(J195="idioms","2",IF(J195="grades",2,IF(J195="syllable-digit pairs",3,IF(J195="trigram-word pairs",3,IF(J195="word-digit pairs",3,IF(J195="English-Swahili pairs",3,IF(J195="spatial position",3,IF(J195="word pairs",4,IF(J195="word triads",4,IF(J195="generated words",4,IF(J195="word definition pairs",4,IF(J195="math problems",4,IF(J195="famous faces",4,IF(J195="famous names",4,IF(J195="famous voices",4,IF(J195="television programs",4,IF(J195="race horses",4,IF(J195="new vocabulary",4,IF(J195="sentences",5,IF(J195="concepts",5,IF(J195="ad slides",5,IF(J195="scenes",5,IF(J195="famous scenes",5,IF(J195="poems",6,IF(J195="walk",6,IF(J195="faces and events",6,IF(J195="events and names",6,IF(J195="flashbulb",7,IF(J195="stories",7,IF(J195="course material",7,IF(J195="autobiographical",7,IF(J195="novels",7,IF(J195="public events",7,"99"))))))))))))))))))))))))))))))))))))))))))))))</f>
        <v>6</v>
      </c>
      <c r="M195" s="60">
        <v>1</v>
      </c>
      <c r="N195" s="61">
        <v>3</v>
      </c>
      <c r="O195" s="60">
        <v>0</v>
      </c>
      <c r="P195" s="60"/>
      <c r="Q195" s="60" t="s">
        <v>34</v>
      </c>
      <c r="R195" s="60">
        <f>IF(Q195="Free Recall",1,IF(Q195="Cued Recall",2,IF(Q195="Recognition",3,IF(Q195="Multiple Choice",4,IF(Q195="Savings",5,IF(Q195="Stem Completion",6,IF(Q195="Fragment Completion",7,IF(Q195="anagram solution",8,IF(Q195="Matching",9,IF(Q195="Problem Solving",10,"99"))))))))))</f>
        <v>3</v>
      </c>
      <c r="S195" s="60" t="s">
        <v>15</v>
      </c>
      <c r="T195" s="59" t="s">
        <v>581</v>
      </c>
      <c r="U195" s="60">
        <f>IF(T195="within",1,0)</f>
        <v>1</v>
      </c>
      <c r="V195" s="59">
        <v>48</v>
      </c>
      <c r="W195" s="60">
        <f>F195*V195</f>
        <v>864</v>
      </c>
      <c r="X195" s="60">
        <v>6</v>
      </c>
      <c r="Y195" s="76">
        <f>AV194</f>
        <v>315360000</v>
      </c>
      <c r="Z195" s="60" t="s">
        <v>419</v>
      </c>
      <c r="AA195" s="60">
        <f>60*365*24*60*60</f>
        <v>1892160000</v>
      </c>
      <c r="AB195" s="60" t="str">
        <f>IF(AA195&lt;60,"1",IF(AA195&lt;=43200,"2",IF(AA195&lt;=777600,"3","4")))</f>
        <v>4</v>
      </c>
      <c r="AC195" s="56">
        <f>AVERAGE(AV194:DA194)</f>
        <v>1103760000</v>
      </c>
      <c r="AD195" s="60" t="str">
        <f>IF(AC195&lt;60,"1",IF(AC195&lt;=43200,"2",IF(AC195&lt;=777600,"3","4")))</f>
        <v>4</v>
      </c>
      <c r="AE195" s="76">
        <f>AA195-Y195</f>
        <v>1576800000</v>
      </c>
      <c r="AF195" s="80">
        <f>AV195</f>
        <v>0.69902912621359214</v>
      </c>
      <c r="AG195" s="56">
        <f>((AW195-AV195)+(AX195-AW195)+(AY195-AX195)+(AZ195-AY195)+(BA195-AZ195))/5</f>
        <v>-2.7736859725477035E-2</v>
      </c>
      <c r="AH195" s="4"/>
      <c r="AI195" s="56">
        <f>RSQ(AV195:BA195,AV194:BA194)</f>
        <v>0.28312690619523756</v>
      </c>
      <c r="AJ195" s="109">
        <f>SLOPE(AV195:BA195,AV194:BA194)</f>
        <v>-8.0009429499955656E-11</v>
      </c>
      <c r="AK195" s="56">
        <f>INTERCEPT(AV195:BA195,AV194:BA194)</f>
        <v>0.76902904520520321</v>
      </c>
      <c r="AL195" s="56">
        <f>INDEX(LINEST(LN(AV195:BA195),LN(AV194:BA194),TRUE,TRUE),3,1)</f>
        <v>0.22914177288032941</v>
      </c>
      <c r="AM195" s="56">
        <f>INDEX(LINEST(LN(AV195:BA195),LN(AV194:BA194)),1)</f>
        <v>-9.5086939803385256E-2</v>
      </c>
      <c r="AN195" s="56">
        <f>EXP(INDEX(LINEST(LN(AV195:BA195),LN(AV194:BA194)),1,2))</f>
        <v>4.8223880086574908</v>
      </c>
      <c r="AO195" s="82">
        <f>INDEX(LINEST((AV195:BA195),LN(AV194:BA194),TRUE,TRUE),3,1)</f>
        <v>0.21049084456662323</v>
      </c>
      <c r="AP195" s="82">
        <f>INDEX(LINEST((AV195:BA195),LN(AV194:BA194)),1)</f>
        <v>-6.1422557862815336E-2</v>
      </c>
      <c r="AQ195" s="83">
        <f>INDEX(LINEST(LN(AV195:BA195),SQRT(AV194:BA194),TRUE,TRUE),3,1)</f>
        <v>0.27324424206955289</v>
      </c>
      <c r="AR195" s="116">
        <f>INDEX(LINEST(LN(AV195:BA195),SQRT((AV194:BA194))),1)</f>
        <v>-7.2066118799243266E-6</v>
      </c>
      <c r="AS195" s="84">
        <f>INDEX(LINEST(1/(AV195:BA195),1/(SQRT(AV194:BA194)),TRUE,TRUE),3,1)</f>
        <v>0.19620139180878096</v>
      </c>
      <c r="AT195" s="84">
        <f>INDEX(LINEST(1/(AV195:BA195),1/SQRT(AV194:BA194)),1)</f>
        <v>-7066.4490275645367</v>
      </c>
      <c r="AU195" s="3"/>
      <c r="AV195" s="53">
        <v>0.69902912621359214</v>
      </c>
      <c r="AW195" s="53">
        <v>0.8</v>
      </c>
      <c r="AX195" s="53">
        <v>0.66</v>
      </c>
      <c r="AY195" s="53">
        <v>0.61224489795918369</v>
      </c>
      <c r="AZ195" s="53">
        <v>0.75268817204301064</v>
      </c>
      <c r="BA195" s="53">
        <v>0.56034482758620696</v>
      </c>
      <c r="BB195" s="53"/>
      <c r="BC195" s="53"/>
      <c r="BD195" s="53"/>
      <c r="BE195" s="53"/>
      <c r="BF195" s="53"/>
      <c r="BG195" s="53"/>
      <c r="BH195" s="53"/>
      <c r="BI195" s="53"/>
      <c r="BJ195" s="53"/>
      <c r="BK195" s="53"/>
      <c r="BL195" s="53"/>
      <c r="BM195" s="53"/>
      <c r="BN195" s="53"/>
      <c r="BO195" s="53"/>
      <c r="BP195" s="53"/>
      <c r="BQ195" s="53"/>
      <c r="BR195" s="53"/>
      <c r="BS195" s="53"/>
      <c r="BT195" s="53"/>
      <c r="BU195" s="53"/>
      <c r="BV195" s="53"/>
      <c r="BW195" s="53"/>
      <c r="BX195" s="53"/>
      <c r="BY195" s="53"/>
      <c r="BZ195" s="53"/>
      <c r="CA195" s="53"/>
      <c r="CB195" s="53"/>
      <c r="CC195" s="53"/>
      <c r="CD195" s="53"/>
      <c r="CE195" s="53"/>
      <c r="CF195" s="53"/>
      <c r="CG195" s="53"/>
      <c r="CH195" s="53"/>
      <c r="CI195" s="53"/>
      <c r="CJ195" s="53"/>
      <c r="CK195" s="53"/>
      <c r="CL195" s="53"/>
      <c r="CM195" s="53"/>
      <c r="CN195" s="53"/>
      <c r="CO195" s="53"/>
      <c r="CP195" s="53"/>
      <c r="CQ195" s="53"/>
      <c r="CR195" s="1"/>
      <c r="CS195" s="1"/>
      <c r="CT195" s="1"/>
      <c r="CU195" s="1"/>
    </row>
    <row r="196" spans="1:99" s="13" customFormat="1" ht="12" customHeight="1" x14ac:dyDescent="0.2">
      <c r="A196" s="65">
        <v>43902</v>
      </c>
      <c r="B196" s="1"/>
      <c r="C196" s="1"/>
      <c r="D196" s="60"/>
      <c r="E196" s="76"/>
      <c r="F196" s="60"/>
      <c r="G196" s="60"/>
      <c r="H196" s="60"/>
      <c r="I196" s="60"/>
      <c r="J196" s="60"/>
      <c r="K196" s="64"/>
      <c r="L196" s="64"/>
      <c r="M196" s="60"/>
      <c r="N196" s="61"/>
      <c r="O196" s="60"/>
      <c r="P196" s="60"/>
      <c r="Q196" s="60"/>
      <c r="R196" s="60"/>
      <c r="S196" s="60"/>
      <c r="T196" s="60"/>
      <c r="U196" s="60"/>
      <c r="V196" s="60"/>
      <c r="W196" s="60"/>
      <c r="X196" s="60"/>
      <c r="Y196" s="76"/>
      <c r="Z196" s="60"/>
      <c r="AA196" s="60"/>
      <c r="AB196" s="60"/>
      <c r="AC196" s="56"/>
      <c r="AD196" s="60"/>
      <c r="AE196" s="60"/>
      <c r="AF196" s="80"/>
      <c r="AG196" s="56"/>
      <c r="AH196" s="4"/>
      <c r="AI196" s="56"/>
      <c r="AJ196" s="109"/>
      <c r="AK196" s="56"/>
      <c r="AL196" s="56"/>
      <c r="AM196" s="56"/>
      <c r="AN196" s="56"/>
      <c r="AO196" s="82"/>
      <c r="AP196" s="82"/>
      <c r="AQ196" s="83"/>
      <c r="AR196" s="116"/>
      <c r="AS196" s="84"/>
      <c r="AT196" s="84"/>
      <c r="AU196" s="3"/>
      <c r="AV196" s="25">
        <v>315360000</v>
      </c>
      <c r="AW196" s="25">
        <v>630720000</v>
      </c>
      <c r="AX196" s="25">
        <v>946080000</v>
      </c>
      <c r="AY196" s="25">
        <v>1261440000</v>
      </c>
      <c r="AZ196" s="25">
        <v>1576800000</v>
      </c>
      <c r="BA196" s="25">
        <v>1892160000</v>
      </c>
      <c r="BB196" s="53"/>
      <c r="BC196" s="53"/>
      <c r="BD196" s="53"/>
      <c r="BE196" s="53"/>
      <c r="BF196" s="53"/>
      <c r="BG196" s="53"/>
      <c r="BH196" s="53"/>
      <c r="BI196" s="53"/>
      <c r="BJ196" s="53"/>
      <c r="BK196" s="53"/>
      <c r="BL196" s="53"/>
      <c r="BM196" s="53"/>
      <c r="BN196" s="53"/>
      <c r="BO196" s="53"/>
      <c r="BP196" s="53"/>
      <c r="BQ196" s="53"/>
      <c r="BR196" s="53"/>
      <c r="BS196" s="53"/>
      <c r="BT196" s="53"/>
      <c r="BU196" s="53"/>
      <c r="BV196" s="53"/>
      <c r="BW196" s="53"/>
      <c r="BX196" s="53"/>
      <c r="BY196" s="53"/>
      <c r="BZ196" s="53"/>
      <c r="CA196" s="53"/>
      <c r="CB196" s="53"/>
      <c r="CC196" s="53"/>
      <c r="CD196" s="53"/>
      <c r="CE196" s="53"/>
      <c r="CF196" s="53"/>
      <c r="CG196" s="53"/>
      <c r="CH196" s="53"/>
      <c r="CI196" s="53"/>
      <c r="CJ196" s="53"/>
      <c r="CK196" s="53"/>
      <c r="CL196" s="53"/>
      <c r="CM196" s="53"/>
      <c r="CN196" s="53"/>
      <c r="CO196" s="53"/>
      <c r="CP196" s="53"/>
      <c r="CQ196" s="53"/>
      <c r="CR196" s="1"/>
      <c r="CS196" s="1"/>
      <c r="CT196" s="1"/>
      <c r="CU196" s="1"/>
    </row>
    <row r="197" spans="1:99" s="13" customFormat="1" ht="12" customHeight="1" x14ac:dyDescent="0.2">
      <c r="A197" s="65">
        <v>43902</v>
      </c>
      <c r="B197" s="1" t="s">
        <v>454</v>
      </c>
      <c r="C197" s="1" t="s">
        <v>425</v>
      </c>
      <c r="D197" s="60">
        <v>1986</v>
      </c>
      <c r="E197" s="76">
        <v>1</v>
      </c>
      <c r="F197" s="60">
        <v>18</v>
      </c>
      <c r="G197" s="60">
        <v>18</v>
      </c>
      <c r="H197" s="60" t="s">
        <v>32</v>
      </c>
      <c r="I197" s="60" t="s">
        <v>330</v>
      </c>
      <c r="J197" s="60" t="s">
        <v>342</v>
      </c>
      <c r="K197" s="60">
        <f>IF(J197="syllables",1,IF(J197="trigrams",2,IF(J197="strings",3,IF(J197="visual array",4,IF(J197="characters",5,IF(J197="letters",6,IF(J197="free forms",7,IF(J197="odors",8,IF(J197="words",9,IF(J197="pictures",10,IF(J197="object pictures",11,IF(J197="faces",12,IF(J197="names",13,IF(J197="idioms",14,IF(J197="grades",15,IF(J197="syllable-digit pairs",16,IF(J197="trigram-word pairs",17,IF(J197="word-digit pairs",18,IF(J197="English-Swahili pairs",19,IF(J197="spatial position",20,IF(J197="word pairs",21,IF(J197="word triads",22,IF(J197="generated words",23,IF(J197="word definition pairs",24,IF(J197="math problems",25,IF(J197="famous faces",26,IF(J197="famous names",27,IF(J197="famous voices",28,IF(J197="television programs",29,IF(J197="race horses",30,IF(J197="new vocabulary",31,IF(J197="sentences",32,IF(J197="concepts",33,IF(J197="ad slides",34,IF(J197="scenes",35,IF(J197="famous scenes",36,IF(J197="poems",37,IF(J197="walk",38,IF(J197="faces and events",39,IF(J197="events and names",40,IF(J197="flashbulb",41,IF(J197="stories",42,IF(J197="course material",43,IF(J197="autobiographical",44,IF(J197="novels",45,IF(J197="public events",46,"99"))))))))))))))))))))))))))))))))))))))))))))))</f>
        <v>26</v>
      </c>
      <c r="L197" s="60">
        <f>IF(J197="syllables",1,IF(J197="trigrams",1,IF(J197="strings",1,IF(J197="visual array",1,IF(J197="characters",1,IF(J197="letters",1,IF(J197="free forms",1,IF(J197="odors",2,IF(J197="words",2,IF(J197="pictures",2,IF(J197="object pictures",2,IF(J197="faces",2,IF(J197="names",2,IF(J197="idioms","2",IF(J197="grades",2,IF(J197="syllable-digit pairs",3,IF(J197="trigram-word pairs",3,IF(J197="word-digit pairs",3,IF(J197="English-Swahili pairs",3,IF(J197="spatial position",3,IF(J197="word pairs",4,IF(J197="word triads",4,IF(J197="generated words",4,IF(J197="word definition pairs",4,IF(J197="math problems",4,IF(J197="famous faces",4,IF(J197="famous names",4,IF(J197="famous voices",4,IF(J197="television programs",4,IF(J197="race horses",4,IF(J197="new vocabulary",4,IF(J197="sentences",5,IF(J197="concepts",5,IF(J197="ad slides",5,IF(J197="scenes",5,IF(J197="famous scenes",5,IF(J197="poems",6,IF(J197="walk",6,IF(J197="faces and events",6,IF(J197="events and names",6,IF(J197="flashbulb",7,IF(J197="stories",7,IF(J197="course material",7,IF(J197="autobiographical",7,IF(J197="novels",7,IF(J197="public events",7,"99"))))))))))))))))))))))))))))))))))))))))))))))</f>
        <v>4</v>
      </c>
      <c r="M197" s="60">
        <v>1</v>
      </c>
      <c r="N197" s="61">
        <v>3</v>
      </c>
      <c r="O197" s="60">
        <v>0</v>
      </c>
      <c r="P197" s="60"/>
      <c r="Q197" s="60" t="s">
        <v>174</v>
      </c>
      <c r="R197" s="60">
        <f>IF(Q197="Free Recall",1,IF(Q197="Cued Recall",2,IF(Q197="Recognition",3,IF(Q197="Multiple Choice",4,IF(Q197="Savings",5,IF(Q197="Stem Completion",6,IF(Q197="Fragment Completion",7,IF(Q197="anagram solution",8,IF(Q197="Matching",9,IF(Q197="Problem Solving",10,"99"))))))))))</f>
        <v>1</v>
      </c>
      <c r="S197" s="60" t="s">
        <v>49</v>
      </c>
      <c r="T197" s="59" t="s">
        <v>581</v>
      </c>
      <c r="U197" s="60">
        <f>IF(T197="within",1,0)</f>
        <v>1</v>
      </c>
      <c r="V197" s="59">
        <v>48</v>
      </c>
      <c r="W197" s="60">
        <f>F197*V197</f>
        <v>864</v>
      </c>
      <c r="X197" s="60">
        <v>6</v>
      </c>
      <c r="Y197" s="76">
        <f>AV196</f>
        <v>315360000</v>
      </c>
      <c r="Z197" s="60" t="s">
        <v>419</v>
      </c>
      <c r="AA197" s="60">
        <f>60*365*24*60*60</f>
        <v>1892160000</v>
      </c>
      <c r="AB197" s="60" t="str">
        <f>IF(AA197&lt;60,"1",IF(AA197&lt;=43200,"2",IF(AA197&lt;=777600,"3","4")))</f>
        <v>4</v>
      </c>
      <c r="AC197" s="56">
        <f>AVERAGE(AV196:DA196)</f>
        <v>1103760000</v>
      </c>
      <c r="AD197" s="60" t="str">
        <f>IF(AC197&lt;60,"1",IF(AC197&lt;=43200,"2",IF(AC197&lt;=777600,"3","4")))</f>
        <v>4</v>
      </c>
      <c r="AE197" s="76">
        <f>AA197-Y197</f>
        <v>1576800000</v>
      </c>
      <c r="AF197" s="80">
        <f>AV197</f>
        <v>0.76</v>
      </c>
      <c r="AG197" s="56">
        <f>((AW197-AV197)+(AX197-AW197)+(AY197-AX197)+(AZ197-AY197)+(BA197-AZ197))/5</f>
        <v>-1.9857142857142861E-2</v>
      </c>
      <c r="AH197" s="4"/>
      <c r="AI197" s="56">
        <f>RSQ(AV197:BA197,AV196:BA196)</f>
        <v>0.47372846453818918</v>
      </c>
      <c r="AJ197" s="109">
        <f>SLOPE(AV197:BA197,AV196:BA196)</f>
        <v>-7.0960463392963584E-11</v>
      </c>
      <c r="AK197" s="56">
        <f>INTERCEPT(AV197:BA197,AV196:BA196)</f>
        <v>0.79425503340341808</v>
      </c>
      <c r="AL197" s="56">
        <f>INDEX(LINEST(LN(AV197:BA197),LN(AV196:BA196),TRUE,TRUE),3,1)</f>
        <v>0.43006279401480618</v>
      </c>
      <c r="AM197" s="56">
        <f>INDEX(LINEST(LN(AV197:BA197),LN(AV196:BA196)),1)</f>
        <v>-8.3914012528416307E-2</v>
      </c>
      <c r="AN197" s="56">
        <f>EXP(INDEX(LINEST(LN(AV197:BA197),LN(AV196:BA196)),1,2))</f>
        <v>4.042958074276509</v>
      </c>
      <c r="AO197" s="82">
        <f>INDEX(LINEST((AV197:BA197),LN(AV196:BA196),TRUE,TRUE),3,1)</f>
        <v>0.42800099394821794</v>
      </c>
      <c r="AP197" s="82">
        <f>INDEX(LINEST((AV197:BA197),LN(AV196:BA196)),1)</f>
        <v>-6.0053010269276758E-2</v>
      </c>
      <c r="AQ197" s="83">
        <f>INDEX(LINEST(LN(AV197:BA197),SQRT(AV196:BA196),TRUE,TRUE),3,1)</f>
        <v>0.46102479213329722</v>
      </c>
      <c r="AR197" s="116">
        <f>INDEX(LINEST(LN(AV197:BA197),SQRT((AV196:BA196))),1)</f>
        <v>-6.0300037213201625E-6</v>
      </c>
      <c r="AS197" s="84">
        <f>INDEX(LINEST(1/(AV197:BA197),1/(SQRT(AV196:BA196)),TRUE,TRUE),3,1)</f>
        <v>0.38714361760116761</v>
      </c>
      <c r="AT197" s="84">
        <f>INDEX(LINEST(1/(AV197:BA197),1/SQRT(AV196:BA196)),1)</f>
        <v>-5953.175942638527</v>
      </c>
      <c r="AU197" s="3"/>
      <c r="AV197" s="53">
        <v>0.76</v>
      </c>
      <c r="AW197" s="53">
        <v>0.79166666666666674</v>
      </c>
      <c r="AX197" s="53">
        <v>0.66055045871559626</v>
      </c>
      <c r="AY197" s="53">
        <v>0.75961538461538458</v>
      </c>
      <c r="AZ197" s="53">
        <v>0.66304347826086951</v>
      </c>
      <c r="BA197" s="53">
        <v>0.6607142857142857</v>
      </c>
      <c r="BB197" s="53"/>
      <c r="BC197" s="53"/>
      <c r="BD197" s="53"/>
      <c r="BE197" s="53"/>
      <c r="BF197" s="53"/>
      <c r="BG197" s="53"/>
      <c r="BH197" s="53"/>
      <c r="BI197" s="53"/>
      <c r="BJ197" s="53"/>
      <c r="BK197" s="53"/>
      <c r="BL197" s="53"/>
      <c r="BM197" s="53"/>
      <c r="BN197" s="53"/>
      <c r="BO197" s="53"/>
      <c r="BP197" s="53"/>
      <c r="BQ197" s="53"/>
      <c r="BR197" s="53"/>
      <c r="BS197" s="53"/>
      <c r="BT197" s="53"/>
      <c r="BU197" s="53"/>
      <c r="BV197" s="53"/>
      <c r="BW197" s="53"/>
      <c r="BX197" s="53"/>
      <c r="BY197" s="53"/>
      <c r="BZ197" s="53"/>
      <c r="CA197" s="53"/>
      <c r="CB197" s="53"/>
      <c r="CC197" s="53"/>
      <c r="CD197" s="53"/>
      <c r="CE197" s="53"/>
      <c r="CF197" s="53"/>
      <c r="CG197" s="53"/>
      <c r="CH197" s="53"/>
      <c r="CI197" s="53"/>
      <c r="CJ197" s="53"/>
      <c r="CK197" s="53"/>
      <c r="CL197" s="53"/>
      <c r="CM197" s="53"/>
      <c r="CN197" s="53"/>
      <c r="CO197" s="53"/>
      <c r="CP197" s="53"/>
      <c r="CQ197" s="53"/>
      <c r="CR197" s="1"/>
      <c r="CS197" s="1"/>
      <c r="CT197" s="1"/>
      <c r="CU197" s="1"/>
    </row>
    <row r="198" spans="1:99" s="13" customFormat="1" ht="12" customHeight="1" x14ac:dyDescent="0.2">
      <c r="A198" s="68">
        <v>43895</v>
      </c>
      <c r="B198" s="67"/>
      <c r="C198" s="67"/>
      <c r="D198" s="86"/>
      <c r="E198" s="87"/>
      <c r="F198" s="69"/>
      <c r="G198" s="69"/>
      <c r="H198" s="69"/>
      <c r="I198" s="69"/>
      <c r="J198" s="69"/>
      <c r="K198" s="107"/>
      <c r="L198" s="107"/>
      <c r="M198" s="69"/>
      <c r="N198" s="92"/>
      <c r="O198" s="69"/>
      <c r="P198" s="69"/>
      <c r="Q198" s="69"/>
      <c r="R198" s="69"/>
      <c r="S198" s="69"/>
      <c r="T198" s="69"/>
      <c r="U198" s="69"/>
      <c r="V198" s="69"/>
      <c r="W198" s="69"/>
      <c r="X198" s="69"/>
      <c r="Y198" s="87"/>
      <c r="Z198" s="69"/>
      <c r="AA198" s="69"/>
      <c r="AB198" s="69"/>
      <c r="AC198" s="72"/>
      <c r="AD198" s="69"/>
      <c r="AE198" s="69"/>
      <c r="AF198" s="88"/>
      <c r="AG198" s="72"/>
      <c r="AH198" s="4"/>
      <c r="AI198" s="72"/>
      <c r="AJ198" s="110"/>
      <c r="AK198" s="72"/>
      <c r="AL198" s="72"/>
      <c r="AM198" s="72"/>
      <c r="AN198" s="72"/>
      <c r="AO198" s="72"/>
      <c r="AP198" s="72"/>
      <c r="AQ198" s="72"/>
      <c r="AR198" s="110"/>
      <c r="AS198" s="72"/>
      <c r="AT198" s="72"/>
      <c r="AU198" s="5"/>
      <c r="AV198" s="71">
        <v>31536000</v>
      </c>
      <c r="AW198" s="71">
        <v>315360000</v>
      </c>
      <c r="AX198" s="71">
        <v>630720000</v>
      </c>
      <c r="AY198" s="73"/>
      <c r="AZ198" s="73"/>
      <c r="BA198" s="73"/>
      <c r="BB198" s="53"/>
      <c r="BC198" s="53"/>
      <c r="BD198" s="53"/>
      <c r="BE198" s="53"/>
      <c r="BF198" s="53"/>
      <c r="BG198" s="53"/>
      <c r="BH198" s="53"/>
      <c r="BI198" s="53"/>
      <c r="BJ198" s="53"/>
      <c r="BK198" s="53"/>
      <c r="BL198" s="53"/>
      <c r="BM198" s="53"/>
      <c r="BN198" s="53"/>
      <c r="BO198" s="53"/>
      <c r="BP198" s="53"/>
      <c r="BQ198" s="53"/>
      <c r="BR198" s="53"/>
      <c r="BS198" s="53"/>
      <c r="BT198" s="53"/>
      <c r="BU198" s="53"/>
      <c r="BV198" s="53"/>
      <c r="BW198" s="53"/>
      <c r="BX198" s="53"/>
      <c r="BY198" s="53"/>
      <c r="BZ198" s="53"/>
      <c r="CA198" s="53"/>
      <c r="CB198" s="53"/>
      <c r="CC198" s="53"/>
      <c r="CD198" s="53"/>
      <c r="CE198" s="53"/>
      <c r="CF198" s="53"/>
      <c r="CG198" s="53"/>
      <c r="CH198" s="53"/>
      <c r="CI198" s="53"/>
      <c r="CJ198" s="53"/>
      <c r="CK198" s="53"/>
      <c r="CL198" s="53"/>
      <c r="CM198" s="53"/>
      <c r="CN198" s="53"/>
      <c r="CO198" s="53"/>
      <c r="CP198" s="53"/>
      <c r="CQ198" s="53"/>
      <c r="CR198" s="1"/>
      <c r="CS198" s="1"/>
      <c r="CT198" s="1"/>
      <c r="CU198" s="1"/>
    </row>
    <row r="199" spans="1:99" s="13" customFormat="1" ht="12" customHeight="1" x14ac:dyDescent="0.2">
      <c r="A199" s="68">
        <v>43895</v>
      </c>
      <c r="B199" s="70" t="s">
        <v>349</v>
      </c>
      <c r="C199" s="70" t="s">
        <v>54</v>
      </c>
      <c r="D199" s="69">
        <v>1995</v>
      </c>
      <c r="E199" s="87">
        <v>1</v>
      </c>
      <c r="F199" s="69">
        <v>6</v>
      </c>
      <c r="G199" s="69">
        <v>6</v>
      </c>
      <c r="H199" s="69" t="s">
        <v>38</v>
      </c>
      <c r="I199" s="69" t="s">
        <v>330</v>
      </c>
      <c r="J199" s="69" t="s">
        <v>342</v>
      </c>
      <c r="K199" s="69">
        <f>IF(J199="syllables",1,IF(J199="trigrams",2,IF(J199="strings",3,IF(J199="visual array",4,IF(J199="characters",5,IF(J199="letters",6,IF(J199="free forms",7,IF(J199="odors",8,IF(J199="words",9,IF(J199="pictures",10,IF(J199="object pictures",11,IF(J199="faces",12,IF(J199="names",13,IF(J199="idioms",14,IF(J199="grades",15,IF(J199="syllable-digit pairs",16,IF(J199="trigram-word pairs",17,IF(J199="word-digit pairs",18,IF(J199="English-Swahili pairs",19,IF(J199="spatial position",20,IF(J199="word pairs",21,IF(J199="word triads",22,IF(J199="generated words",23,IF(J199="word definition pairs",24,IF(J199="math problems",25,IF(J199="famous faces",26,IF(J199="famous names",27,IF(J199="famous voices",28,IF(J199="television programs",29,IF(J199="race horses",30,IF(J199="new vocabulary",31,IF(J199="sentences",32,IF(J199="concepts",33,IF(J199="ad slides",34,IF(J199="scenes",35,IF(J199="famous scenes",36,IF(J199="poems",37,IF(J199="walk",38,IF(J199="faces and events",39,IF(J199="events and names",40,IF(J199="flashbulb",41,IF(J199="stories",42,IF(J199="course material",43,IF(J199="autobiographical",44,IF(J199="novels",45,IF(J199="public events",46,"99"))))))))))))))))))))))))))))))))))))))))))))))</f>
        <v>26</v>
      </c>
      <c r="L199" s="69">
        <f>IF(J199="syllables",1,IF(J199="trigrams",1,IF(J199="strings",1,IF(J199="visual array",1,IF(J199="characters",1,IF(J199="letters",1,IF(J199="free forms",1,IF(J199="odors",2,IF(J199="words",2,IF(J199="pictures",2,IF(J199="object pictures",2,IF(J199="faces",2,IF(J199="names",2,IF(J199="idioms","2",IF(J199="grades",2,IF(J199="syllable-digit pairs",3,IF(J199="trigram-word pairs",3,IF(J199="word-digit pairs",3,IF(J199="English-Swahili pairs",3,IF(J199="spatial position",3,IF(J199="word pairs",4,IF(J199="word triads",4,IF(J199="generated words",4,IF(J199="word definition pairs",4,IF(J199="math problems",4,IF(J199="famous faces",4,IF(J199="famous names",4,IF(J199="famous voices",4,IF(J199="television programs",4,IF(J199="race horses",4,IF(J199="new vocabulary",4,IF(J199="sentences",5,IF(J199="concepts",5,IF(J199="ad slides",5,IF(J199="scenes",5,IF(J199="famous scenes",5,IF(J199="poems",6,IF(J199="walk",6,IF(J199="faces and events",6,IF(J199="events and names",6,IF(J199="flashbulb",7,IF(J199="stories",7,IF(J199="course material",7,IF(J199="autobiographical",7,IF(J199="novels",7,IF(J199="public events",7,"99"))))))))))))))))))))))))))))))))))))))))))))))</f>
        <v>4</v>
      </c>
      <c r="M199" s="69">
        <v>1</v>
      </c>
      <c r="N199" s="86">
        <v>3</v>
      </c>
      <c r="O199" s="69">
        <v>0</v>
      </c>
      <c r="P199" s="69"/>
      <c r="Q199" s="69" t="s">
        <v>174</v>
      </c>
      <c r="R199" s="69">
        <f>IF(Q199="Free Recall",1,IF(Q199="Cued Recall",2,IF(Q199="Recognition",3,IF(Q199="Multiple Choice",4,IF(Q199="Savings",5,IF(Q199="Stem Completion",6,IF(Q199="Fragment Completion",7,IF(Q199="anagram solution",8,IF(Q199="Matching",9,IF(Q199="Problem Solving",10,"99"))))))))))</f>
        <v>1</v>
      </c>
      <c r="S199" s="99" t="s">
        <v>49</v>
      </c>
      <c r="T199" s="92" t="s">
        <v>581</v>
      </c>
      <c r="U199" s="69">
        <f>IF(T199="within",1,0)</f>
        <v>1</v>
      </c>
      <c r="V199" s="92">
        <v>24</v>
      </c>
      <c r="W199" s="69">
        <f>F199*V199</f>
        <v>144</v>
      </c>
      <c r="X199" s="69">
        <v>3</v>
      </c>
      <c r="Y199" s="87">
        <f>AV198</f>
        <v>31536000</v>
      </c>
      <c r="Z199" s="92" t="s">
        <v>333</v>
      </c>
      <c r="AA199" s="69">
        <f>20*365*24*60*60</f>
        <v>630720000</v>
      </c>
      <c r="AB199" s="69" t="str">
        <f>IF(AA199&lt;60,"1",IF(AA199&lt;=43200,"2",IF(AA199&lt;=777600,"3","4")))</f>
        <v>4</v>
      </c>
      <c r="AC199" s="72">
        <f>AVERAGE(AV198:DA198)</f>
        <v>325872000</v>
      </c>
      <c r="AD199" s="69" t="str">
        <f>IF(AC199&lt;60,"1",IF(AC199&lt;=43200,"2",IF(AC199&lt;=777600,"3","4")))</f>
        <v>4</v>
      </c>
      <c r="AE199" s="87">
        <f>AA199-Y199</f>
        <v>599184000</v>
      </c>
      <c r="AF199" s="88">
        <f>AV199</f>
        <v>0.78125</v>
      </c>
      <c r="AG199" s="72">
        <f>((AW199-AV199)+(AX199-AW199))/2</f>
        <v>-3.7993421052631537E-2</v>
      </c>
      <c r="AH199" s="4"/>
      <c r="AI199" s="72">
        <f>RSQ(AV199:AX199,AV198:AX198)</f>
        <v>0.13856570877539223</v>
      </c>
      <c r="AJ199" s="110">
        <f>SLOPE(AV199:AX199,AV198:AX198)</f>
        <v>-1.1788559888945648E-10</v>
      </c>
      <c r="AK199" s="72">
        <f>INTERCEPT(AV199:AX199,AV198:AX198)</f>
        <v>0.73145086604374809</v>
      </c>
      <c r="AL199" s="72">
        <f>INDEX(LINEST(LN(AV199:AX199),LN(AV198:AX198),TRUE,TRUE),3,1)</f>
        <v>0.39109744593545037</v>
      </c>
      <c r="AM199" s="72">
        <f>INDEX(LINEST(LN(AV199:AX199),LN(AV198:AX198)),1)</f>
        <v>-5.5722996349914955E-2</v>
      </c>
      <c r="AN199" s="72">
        <f>EXP(INDEX(LINEST(LN(AV199:AX199),LN(AV198:AX198)),1,2))</f>
        <v>1.9886661613693482</v>
      </c>
      <c r="AO199" s="89">
        <f>INDEX(LINEST((AV199:AX199),LN(AV198:AX198),TRUE,TRUE),3,1)</f>
        <v>0.42743014837219478</v>
      </c>
      <c r="AP199" s="89">
        <f>INDEX(LINEST((AV199:AX199),LN(AV198:AX198)),1)</f>
        <v>-3.9570919814244418E-2</v>
      </c>
      <c r="AQ199" s="90">
        <f>INDEX(LINEST(LN(AV199:AX199),SQRT(AV198:AX198),TRUE,TRUE),3,1)</f>
        <v>0.24314895171692216</v>
      </c>
      <c r="AR199" s="117">
        <f>INDEX(LINEST(LN(AV199:AX199),SQRT((AV198:AX198))),1)</f>
        <v>-6.9977545450586129E-6</v>
      </c>
      <c r="AS199" s="91">
        <f>INDEX(LINEST(1/(AV199:AX199),1/(SQRT(AV198:AX198)),TRUE,TRUE),3,1)</f>
        <v>0.46794920044306643</v>
      </c>
      <c r="AT199" s="91">
        <f>INDEX(LINEST(1/(AV199:AX199),1/SQRT(AV198:AX198)),1)</f>
        <v>-1877.6425168973019</v>
      </c>
      <c r="AU199" s="3"/>
      <c r="AV199" s="73">
        <v>0.78125</v>
      </c>
      <c r="AW199" s="73">
        <v>0.59259259259259256</v>
      </c>
      <c r="AX199" s="73">
        <v>0.70526315789473693</v>
      </c>
      <c r="AY199" s="73"/>
      <c r="AZ199" s="73"/>
      <c r="BA199" s="73"/>
      <c r="BB199" s="53"/>
      <c r="BC199" s="53"/>
      <c r="BD199" s="53"/>
      <c r="BE199" s="53"/>
      <c r="BF199" s="53"/>
      <c r="BG199" s="53"/>
      <c r="BH199" s="53"/>
      <c r="BI199" s="53"/>
      <c r="BJ199" s="53"/>
      <c r="BK199" s="53"/>
      <c r="BL199" s="53"/>
      <c r="BM199" s="53"/>
      <c r="BN199" s="53"/>
      <c r="BO199" s="53"/>
      <c r="BP199" s="53"/>
      <c r="BQ199" s="53"/>
      <c r="BR199" s="53"/>
      <c r="BS199" s="53"/>
      <c r="BT199" s="53"/>
      <c r="BU199" s="53"/>
      <c r="BV199" s="53"/>
      <c r="BW199" s="53"/>
      <c r="BX199" s="53"/>
      <c r="BY199" s="53"/>
      <c r="BZ199" s="53"/>
      <c r="CA199" s="53"/>
      <c r="CB199" s="53"/>
      <c r="CC199" s="53"/>
      <c r="CD199" s="53"/>
      <c r="CE199" s="53"/>
      <c r="CF199" s="53"/>
      <c r="CG199" s="53"/>
      <c r="CH199" s="53"/>
      <c r="CI199" s="53"/>
      <c r="CJ199" s="53"/>
      <c r="CK199" s="53"/>
      <c r="CL199" s="53"/>
      <c r="CM199" s="53"/>
      <c r="CN199" s="53"/>
      <c r="CO199" s="53"/>
      <c r="CP199" s="53"/>
      <c r="CQ199" s="53"/>
      <c r="CR199" s="1"/>
      <c r="CS199" s="1"/>
      <c r="CT199" s="1"/>
      <c r="CU199" s="1"/>
    </row>
    <row r="200" spans="1:99" s="13" customFormat="1" ht="12" customHeight="1" x14ac:dyDescent="0.2">
      <c r="A200" s="68">
        <v>43895</v>
      </c>
      <c r="B200" s="70"/>
      <c r="C200" s="67"/>
      <c r="D200" s="86"/>
      <c r="E200" s="87"/>
      <c r="F200" s="69"/>
      <c r="G200" s="69"/>
      <c r="H200" s="69"/>
      <c r="I200" s="69"/>
      <c r="J200" s="69"/>
      <c r="K200" s="107"/>
      <c r="L200" s="107"/>
      <c r="M200" s="69"/>
      <c r="N200" s="92"/>
      <c r="O200" s="69"/>
      <c r="P200" s="69"/>
      <c r="Q200" s="69"/>
      <c r="R200" s="69"/>
      <c r="S200" s="69"/>
      <c r="T200" s="69"/>
      <c r="U200" s="60"/>
      <c r="V200" s="69"/>
      <c r="W200" s="69"/>
      <c r="X200" s="69"/>
      <c r="Y200" s="87"/>
      <c r="Z200" s="69"/>
      <c r="AA200" s="69"/>
      <c r="AB200" s="69"/>
      <c r="AC200" s="72"/>
      <c r="AD200" s="69"/>
      <c r="AE200" s="69"/>
      <c r="AF200" s="88"/>
      <c r="AG200" s="72"/>
      <c r="AH200" s="4"/>
      <c r="AI200" s="72"/>
      <c r="AJ200" s="110"/>
      <c r="AK200" s="72"/>
      <c r="AL200" s="72"/>
      <c r="AM200" s="72"/>
      <c r="AN200" s="72"/>
      <c r="AO200" s="89"/>
      <c r="AP200" s="89"/>
      <c r="AQ200" s="90"/>
      <c r="AR200" s="117"/>
      <c r="AS200" s="91"/>
      <c r="AT200" s="91"/>
      <c r="AU200" s="3"/>
      <c r="AV200" s="71">
        <v>315360000</v>
      </c>
      <c r="AW200" s="71">
        <v>630720000</v>
      </c>
      <c r="AX200" s="71">
        <v>946080000</v>
      </c>
      <c r="AY200" s="71">
        <v>1261440000</v>
      </c>
      <c r="AZ200" s="53"/>
      <c r="BA200" s="53"/>
      <c r="BB200" s="53"/>
      <c r="BC200" s="53"/>
      <c r="BD200" s="53"/>
      <c r="BE200" s="53"/>
      <c r="BF200" s="53"/>
      <c r="BG200" s="53"/>
      <c r="BH200" s="53"/>
      <c r="BI200" s="53"/>
      <c r="BJ200" s="53"/>
      <c r="BK200" s="53"/>
      <c r="BL200" s="53"/>
      <c r="BM200" s="53"/>
      <c r="BN200" s="53"/>
      <c r="BO200" s="53"/>
      <c r="BP200" s="53"/>
      <c r="BQ200" s="53"/>
      <c r="BR200" s="53"/>
      <c r="BS200" s="53"/>
      <c r="BT200" s="53"/>
      <c r="BU200" s="53"/>
      <c r="BV200" s="53"/>
      <c r="BW200" s="53"/>
      <c r="BX200" s="53"/>
      <c r="BY200" s="53"/>
      <c r="BZ200" s="53"/>
      <c r="CA200" s="53"/>
      <c r="CB200" s="53"/>
      <c r="CC200" s="53"/>
      <c r="CD200" s="53"/>
      <c r="CE200" s="53"/>
      <c r="CF200" s="53"/>
      <c r="CG200" s="53"/>
      <c r="CH200" s="53"/>
      <c r="CI200" s="53"/>
      <c r="CJ200" s="53"/>
      <c r="CK200" s="53"/>
      <c r="CL200" s="53"/>
      <c r="CM200" s="53"/>
      <c r="CN200" s="53"/>
      <c r="CO200" s="53"/>
      <c r="CP200" s="53"/>
      <c r="CQ200" s="53"/>
      <c r="CR200" s="1"/>
      <c r="CS200" s="1"/>
      <c r="CT200" s="1"/>
      <c r="CU200" s="1"/>
    </row>
    <row r="201" spans="1:99" s="13" customFormat="1" ht="12" customHeight="1" x14ac:dyDescent="0.2">
      <c r="A201" s="68">
        <v>43895</v>
      </c>
      <c r="B201" s="70" t="s">
        <v>350</v>
      </c>
      <c r="C201" s="70" t="s">
        <v>393</v>
      </c>
      <c r="D201" s="69">
        <v>1991</v>
      </c>
      <c r="E201" s="87">
        <v>1</v>
      </c>
      <c r="F201" s="69">
        <v>7</v>
      </c>
      <c r="G201" s="69">
        <v>7</v>
      </c>
      <c r="H201" s="69" t="s">
        <v>38</v>
      </c>
      <c r="I201" s="69" t="s">
        <v>330</v>
      </c>
      <c r="J201" s="69" t="s">
        <v>342</v>
      </c>
      <c r="K201" s="69">
        <f>IF(J201="syllables",1,IF(J201="trigrams",2,IF(J201="strings",3,IF(J201="visual array",4,IF(J201="characters",5,IF(J201="letters",6,IF(J201="free forms",7,IF(J201="odors",8,IF(J201="words",9,IF(J201="pictures",10,IF(J201="object pictures",11,IF(J201="faces",12,IF(J201="names",13,IF(J201="idioms",14,IF(J201="grades",15,IF(J201="syllable-digit pairs",16,IF(J201="trigram-word pairs",17,IF(J201="word-digit pairs",18,IF(J201="English-Swahili pairs",19,IF(J201="spatial position",20,IF(J201="word pairs",21,IF(J201="word triads",22,IF(J201="generated words",23,IF(J201="word definition pairs",24,IF(J201="math problems",25,IF(J201="famous faces",26,IF(J201="famous names",27,IF(J201="famous voices",28,IF(J201="television programs",29,IF(J201="race horses",30,IF(J201="new vocabulary",31,IF(J201="sentences",32,IF(J201="concepts",33,IF(J201="ad slides",34,IF(J201="scenes",35,IF(J201="famous scenes",36,IF(J201="poems",37,IF(J201="walk",38,IF(J201="faces and events",39,IF(J201="events and names",40,IF(J201="flashbulb",41,IF(J201="stories",42,IF(J201="course material",43,IF(J201="autobiographical",44,IF(J201="novels",45,IF(J201="public events",46,"99"))))))))))))))))))))))))))))))))))))))))))))))</f>
        <v>26</v>
      </c>
      <c r="L201" s="69">
        <f>IF(J201="syllables",1,IF(J201="trigrams",1,IF(J201="strings",1,IF(J201="visual array",1,IF(J201="characters",1,IF(J201="letters",1,IF(J201="free forms",1,IF(J201="odors",2,IF(J201="words",2,IF(J201="pictures",2,IF(J201="object pictures",2,IF(J201="faces",2,IF(J201="names",2,IF(J201="idioms","2",IF(J201="grades",2,IF(J201="syllable-digit pairs",3,IF(J201="trigram-word pairs",3,IF(J201="word-digit pairs",3,IF(J201="English-Swahili pairs",3,IF(J201="spatial position",3,IF(J201="word pairs",4,IF(J201="word triads",4,IF(J201="generated words",4,IF(J201="word definition pairs",4,IF(J201="math problems",4,IF(J201="famous faces",4,IF(J201="famous names",4,IF(J201="famous voices",4,IF(J201="television programs",4,IF(J201="race horses",4,IF(J201="new vocabulary",4,IF(J201="sentences",5,IF(J201="concepts",5,IF(J201="ad slides",5,IF(J201="scenes",5,IF(J201="famous scenes",5,IF(J201="poems",6,IF(J201="walk",6,IF(J201="faces and events",6,IF(J201="events and names",6,IF(J201="flashbulb",7,IF(J201="stories",7,IF(J201="course material",7,IF(J201="autobiographical",7,IF(J201="novels",7,IF(J201="public events",7,"99"))))))))))))))))))))))))))))))))))))))))))))))</f>
        <v>4</v>
      </c>
      <c r="M201" s="69">
        <v>1</v>
      </c>
      <c r="N201" s="86">
        <v>2</v>
      </c>
      <c r="O201" s="69">
        <v>0</v>
      </c>
      <c r="P201" s="69"/>
      <c r="Q201" s="69" t="s">
        <v>174</v>
      </c>
      <c r="R201" s="69">
        <f>IF(Q201="Free Recall",1,IF(Q201="Cued Recall",2,IF(Q201="Recognition",3,IF(Q201="Multiple Choice",4,IF(Q201="Savings",5,IF(Q201="Stem Completion",6,IF(Q201="Fragment Completion",7,IF(Q201="anagram solution",8,IF(Q201="Matching",9,IF(Q201="Problem Solving",10,"99"))))))))))</f>
        <v>1</v>
      </c>
      <c r="S201" s="69" t="s">
        <v>49</v>
      </c>
      <c r="T201" s="92" t="s">
        <v>581</v>
      </c>
      <c r="U201" s="60">
        <f>IF(T201="within",1,0)</f>
        <v>1</v>
      </c>
      <c r="V201" s="92">
        <v>160</v>
      </c>
      <c r="W201" s="69">
        <f>F201*V201</f>
        <v>1120</v>
      </c>
      <c r="X201" s="69">
        <v>4</v>
      </c>
      <c r="Y201" s="87">
        <f>AV200</f>
        <v>315360000</v>
      </c>
      <c r="Z201" s="92" t="s">
        <v>329</v>
      </c>
      <c r="AA201" s="69">
        <f>40*365*24*60*60</f>
        <v>1261440000</v>
      </c>
      <c r="AB201" s="69" t="str">
        <f>IF(AA201&lt;60,"1",IF(AA201&lt;=43200,"2",IF(AA201&lt;=777600,"3","4")))</f>
        <v>4</v>
      </c>
      <c r="AC201" s="72">
        <f>AVERAGE(AV200:DA200)</f>
        <v>788400000</v>
      </c>
      <c r="AD201" s="69" t="str">
        <f>IF(AC201&lt;60,"1",IF(AC201&lt;=43200,"2",IF(AC201&lt;=777600,"3","4")))</f>
        <v>4</v>
      </c>
      <c r="AE201" s="87">
        <f>AA201-Y201</f>
        <v>946080000</v>
      </c>
      <c r="AF201" s="88">
        <f>AV201</f>
        <v>0.98039215686274506</v>
      </c>
      <c r="AG201" s="72">
        <f>((AW201-AV201)+(AX201-AW201)+(AY201-AX201))/3</f>
        <v>-0.16419575960465485</v>
      </c>
      <c r="AH201" s="4"/>
      <c r="AI201" s="72">
        <f>RSQ(AV201:AY201,AV200:AY200)</f>
        <v>0.84186208892881986</v>
      </c>
      <c r="AJ201" s="110">
        <f>SLOPE(AV201:AY201,AV200:AY200)</f>
        <v>-5.3535266115910935E-10</v>
      </c>
      <c r="AK201" s="72">
        <f>INTERCEPT(AV201:AY201,AV200:AY200)</f>
        <v>1.2364897178383549</v>
      </c>
      <c r="AL201" s="72">
        <f>INDEX(LINEST(LN(AV201:AY201),LN(AV200:AY200),TRUE,TRUE),3,1)</f>
        <v>0.63805176473178205</v>
      </c>
      <c r="AM201" s="72">
        <f>INDEX(LINEST(LN(AV201:AY201),LN(AV200:AY200)),1)</f>
        <v>-0.4436014153946779</v>
      </c>
      <c r="AN201" s="72">
        <f>EXP(INDEX(LINEST(LN(AV201:AY201),LN(AV200:AY200)),1,2))</f>
        <v>6567.4150129818217</v>
      </c>
      <c r="AO201" s="89">
        <f>INDEX(LINEST((AV201:AY201),LN(AV200:AY200),TRUE,TRUE),3,1)</f>
        <v>0.67334575830689347</v>
      </c>
      <c r="AP201" s="89">
        <f>INDEX(LINEST((AV201:AY201),LN(AV200:AY200)),1)</f>
        <v>-0.32424550239382299</v>
      </c>
      <c r="AQ201" s="90">
        <f>INDEX(LINEST(LN(AV201:AY201),SQRT(AV200:AY200),TRUE,TRUE),3,1)</f>
        <v>0.72961485232202106</v>
      </c>
      <c r="AR201" s="117">
        <f>INDEX(LINEST(LN(AV201:AY201),SQRT((AV200:AY200))),1)</f>
        <v>-3.7306331374605766E-5</v>
      </c>
      <c r="AS201" s="91">
        <f>INDEX(LINEST(1/(AV201:AY201),1/(SQRT(AV200:AY200)),TRUE,TRUE),3,1)</f>
        <v>0.50809390877642768</v>
      </c>
      <c r="AT201" s="91">
        <f>INDEX(LINEST(1/(AV201:AY201),1/SQRT(AV200:AY200)),1)</f>
        <v>-28347.255353939465</v>
      </c>
      <c r="AU201" s="3"/>
      <c r="AV201" s="95">
        <v>0.98039215686274506</v>
      </c>
      <c r="AW201" s="95">
        <v>1</v>
      </c>
      <c r="AX201" s="95">
        <v>0.78947368421052644</v>
      </c>
      <c r="AY201" s="95">
        <v>0.48780487804878053</v>
      </c>
      <c r="AZ201" s="53"/>
      <c r="BA201" s="53"/>
      <c r="BB201" s="53"/>
      <c r="BC201" s="53"/>
      <c r="BD201" s="53"/>
      <c r="BE201" s="53"/>
      <c r="BF201" s="53"/>
      <c r="BG201" s="53"/>
      <c r="BH201" s="53"/>
      <c r="BI201" s="53"/>
      <c r="BJ201" s="53"/>
      <c r="BK201" s="53"/>
      <c r="BL201" s="53"/>
      <c r="BM201" s="53"/>
      <c r="BN201" s="53"/>
      <c r="BO201" s="53"/>
      <c r="BP201" s="53"/>
      <c r="BQ201" s="53"/>
      <c r="BR201" s="53"/>
      <c r="BS201" s="53"/>
      <c r="BT201" s="53"/>
      <c r="BU201" s="53"/>
      <c r="BV201" s="53"/>
      <c r="BW201" s="53"/>
      <c r="BX201" s="53"/>
      <c r="BY201" s="53"/>
      <c r="BZ201" s="53"/>
      <c r="CA201" s="53"/>
      <c r="CB201" s="53"/>
      <c r="CC201" s="53"/>
      <c r="CD201" s="53"/>
      <c r="CE201" s="53"/>
      <c r="CF201" s="53"/>
      <c r="CG201" s="53"/>
      <c r="CH201" s="53"/>
      <c r="CI201" s="53"/>
      <c r="CJ201" s="53"/>
      <c r="CK201" s="53"/>
      <c r="CL201" s="53"/>
      <c r="CM201" s="53"/>
      <c r="CN201" s="53"/>
      <c r="CO201" s="53"/>
      <c r="CP201" s="53"/>
      <c r="CQ201" s="53"/>
      <c r="CR201" s="1"/>
      <c r="CS201" s="1"/>
      <c r="CT201" s="1"/>
      <c r="CU201" s="1"/>
    </row>
    <row r="202" spans="1:99" s="13" customFormat="1" ht="12" customHeight="1" x14ac:dyDescent="0.2">
      <c r="A202" s="65">
        <v>43896</v>
      </c>
      <c r="B202" s="1"/>
      <c r="D202" s="61"/>
      <c r="E202" s="76"/>
      <c r="F202" s="60"/>
      <c r="G202" s="60"/>
      <c r="H202" s="60"/>
      <c r="I202" s="60"/>
      <c r="J202" s="60"/>
      <c r="K202" s="64"/>
      <c r="L202" s="64"/>
      <c r="M202" s="60"/>
      <c r="N202" s="59"/>
      <c r="O202" s="60"/>
      <c r="P202" s="60"/>
      <c r="Q202" s="60"/>
      <c r="R202" s="60"/>
      <c r="S202" s="60"/>
      <c r="T202" s="60"/>
      <c r="U202" s="60"/>
      <c r="V202" s="60"/>
      <c r="W202" s="60"/>
      <c r="X202" s="60"/>
      <c r="Y202" s="76"/>
      <c r="Z202" s="60"/>
      <c r="AA202" s="60"/>
      <c r="AB202" s="60"/>
      <c r="AC202" s="56"/>
      <c r="AD202" s="60"/>
      <c r="AE202" s="60"/>
      <c r="AF202" s="80"/>
      <c r="AG202" s="56"/>
      <c r="AH202" s="4"/>
      <c r="AI202" s="56"/>
      <c r="AJ202" s="109"/>
      <c r="AK202" s="56"/>
      <c r="AL202" s="56"/>
      <c r="AM202" s="56"/>
      <c r="AN202" s="56"/>
      <c r="AO202" s="82"/>
      <c r="AP202" s="82"/>
      <c r="AQ202" s="83"/>
      <c r="AR202" s="116"/>
      <c r="AS202" s="84"/>
      <c r="AT202" s="84"/>
      <c r="AU202" s="3"/>
      <c r="AV202" s="25">
        <v>315360000</v>
      </c>
      <c r="AW202" s="25">
        <v>630720000</v>
      </c>
      <c r="AX202" s="25">
        <v>646080000</v>
      </c>
      <c r="AY202" s="25">
        <v>12614400000</v>
      </c>
      <c r="AZ202" s="25">
        <v>1576800000</v>
      </c>
      <c r="BA202" s="25">
        <v>1892160000</v>
      </c>
      <c r="BB202" s="53"/>
      <c r="BC202" s="53"/>
      <c r="BD202" s="53"/>
      <c r="BE202" s="53"/>
      <c r="BF202" s="53"/>
      <c r="BG202" s="53"/>
      <c r="BH202" s="53"/>
      <c r="BI202" s="53"/>
      <c r="BJ202" s="53"/>
      <c r="BK202" s="53"/>
      <c r="BL202" s="53"/>
      <c r="BM202" s="53"/>
      <c r="BN202" s="53"/>
      <c r="BO202" s="53"/>
      <c r="BP202" s="53"/>
      <c r="BQ202" s="53"/>
      <c r="BR202" s="53"/>
      <c r="BS202" s="53"/>
      <c r="BT202" s="53"/>
      <c r="BU202" s="53"/>
      <c r="BV202" s="53"/>
      <c r="BW202" s="53"/>
      <c r="BX202" s="53"/>
      <c r="BY202" s="53"/>
      <c r="BZ202" s="53"/>
      <c r="CA202" s="53"/>
      <c r="CB202" s="53"/>
      <c r="CC202" s="53"/>
      <c r="CD202" s="53"/>
      <c r="CE202" s="53"/>
      <c r="CF202" s="53"/>
      <c r="CG202" s="53"/>
      <c r="CH202" s="53"/>
      <c r="CI202" s="53"/>
      <c r="CJ202" s="53"/>
      <c r="CK202" s="53"/>
      <c r="CL202" s="53"/>
      <c r="CM202" s="53"/>
      <c r="CN202" s="53"/>
      <c r="CO202" s="53"/>
      <c r="CP202" s="53"/>
      <c r="CQ202" s="53"/>
      <c r="CR202" s="1"/>
      <c r="CS202" s="1"/>
      <c r="CT202" s="1"/>
      <c r="CU202" s="1"/>
    </row>
    <row r="203" spans="1:99" s="13" customFormat="1" ht="12" customHeight="1" x14ac:dyDescent="0.2">
      <c r="A203" s="65">
        <v>43896</v>
      </c>
      <c r="B203" s="1" t="s">
        <v>352</v>
      </c>
      <c r="C203" s="1" t="s">
        <v>54</v>
      </c>
      <c r="D203" s="60">
        <v>1986</v>
      </c>
      <c r="E203" s="76">
        <v>1</v>
      </c>
      <c r="F203" s="60">
        <v>5</v>
      </c>
      <c r="G203" s="60">
        <v>5</v>
      </c>
      <c r="H203" s="60" t="s">
        <v>38</v>
      </c>
      <c r="I203" s="60" t="s">
        <v>330</v>
      </c>
      <c r="J203" s="60" t="s">
        <v>340</v>
      </c>
      <c r="K203" s="60">
        <f>IF(J203="syllables",1,IF(J203="trigrams",2,IF(J203="strings",3,IF(J203="visual array",4,IF(J203="characters",5,IF(J203="letters",6,IF(J203="free forms",7,IF(J203="odors",8,IF(J203="words",9,IF(J203="pictures",10,IF(J203="object pictures",11,IF(J203="faces",12,IF(J203="names",13,IF(J203="idioms",14,IF(J203="grades",15,IF(J203="syllable-digit pairs",16,IF(J203="trigram-word pairs",17,IF(J203="word-digit pairs",18,IF(J203="English-Swahili pairs",19,IF(J203="spatial position",20,IF(J203="word pairs",21,IF(J203="word triads",22,IF(J203="generated words",23,IF(J203="word definition pairs",24,IF(J203="math problems",25,IF(J203="famous faces",26,IF(J203="famous names",27,IF(J203="famous voices",28,IF(J203="television programs",29,IF(J203="race horses",30,IF(J203="new vocabulary",31,IF(J203="sentences",32,IF(J203="concepts",33,IF(J203="ad slides",34,IF(J203="scenes",35,IF(J203="famous scenes",36,IF(J203="poems",37,IF(J203="walk",38,IF(J203="faces and events",39,IF(J203="events and names",40,IF(J203="flashbulb",41,IF(J203="stories",42,IF(J203="course material",43,IF(J203="autobiographical",44,IF(J203="novels",45,IF(J203="public events",46,"99"))))))))))))))))))))))))))))))))))))))))))))))</f>
        <v>46</v>
      </c>
      <c r="L203" s="60">
        <f>IF(J203="syllables",1,IF(J203="trigrams",1,IF(J203="strings",1,IF(J203="visual array",1,IF(J203="characters",1,IF(J203="letters",1,IF(J203="free forms",1,IF(J203="odors",2,IF(J203="words",2,IF(J203="pictures",2,IF(J203="object pictures",2,IF(J203="faces",2,IF(J203="names",2,IF(J203="idioms","2",IF(J203="grades",2,IF(J203="syllable-digit pairs",3,IF(J203="trigram-word pairs",3,IF(J203="word-digit pairs",3,IF(J203="English-Swahili pairs",3,IF(J203="spatial position",3,IF(J203="word pairs",4,IF(J203="word triads",4,IF(J203="generated words",4,IF(J203="word definition pairs",4,IF(J203="math problems",4,IF(J203="famous faces",4,IF(J203="famous names",4,IF(J203="famous voices",4,IF(J203="television programs",4,IF(J203="race horses",4,IF(J203="new vocabulary",4,IF(J203="sentences",5,IF(J203="concepts",5,IF(J203="ad slides",5,IF(J203="scenes",5,IF(J203="famous scenes",5,IF(J203="poems",6,IF(J203="walk",6,IF(J203="faces and events",6,IF(J203="events and names",6,IF(J203="flashbulb",7,IF(J203="stories",7,IF(J203="course material",7,IF(J203="autobiographical",7,IF(J203="novels",7,IF(J203="public events",7,"99"))))))))))))))))))))))))))))))))))))))))))))))</f>
        <v>7</v>
      </c>
      <c r="M203" s="60">
        <v>1</v>
      </c>
      <c r="N203" s="59">
        <v>4</v>
      </c>
      <c r="O203" s="60">
        <v>0</v>
      </c>
      <c r="P203" s="60"/>
      <c r="Q203" s="60" t="s">
        <v>174</v>
      </c>
      <c r="R203" s="60">
        <f>IF(Q203="Free Recall",1,IF(Q203="Cued Recall",2,IF(Q203="Recognition",3,IF(Q203="Multiple Choice",4,IF(Q203="Savings",5,IF(Q203="Stem Completion",6,IF(Q203="Fragment Completion",7,IF(Q203="anagram solution",8,IF(Q203="Matching",9,IF(Q203="Problem Solving",10,"99"))))))))))</f>
        <v>1</v>
      </c>
      <c r="S203" s="60" t="s">
        <v>49</v>
      </c>
      <c r="T203" s="59" t="s">
        <v>581</v>
      </c>
      <c r="U203" s="60">
        <f>IF(T203="within",1,0)</f>
        <v>1</v>
      </c>
      <c r="V203" s="59">
        <v>80</v>
      </c>
      <c r="W203" s="60">
        <f>F203*V203</f>
        <v>400</v>
      </c>
      <c r="X203" s="60">
        <v>6</v>
      </c>
      <c r="Y203" s="76">
        <f>AV202</f>
        <v>315360000</v>
      </c>
      <c r="Z203" s="59" t="s">
        <v>419</v>
      </c>
      <c r="AA203" s="60">
        <f>60*365*24*60*60</f>
        <v>1892160000</v>
      </c>
      <c r="AB203" s="60" t="str">
        <f>IF(AA203&lt;60,"1",IF(AA203&lt;=43200,"2",IF(AA203&lt;=777600,"3","4")))</f>
        <v>4</v>
      </c>
      <c r="AC203" s="56">
        <f>AVERAGE(AV202:DA202)</f>
        <v>2945920000</v>
      </c>
      <c r="AD203" s="60" t="str">
        <f>IF(AC203&lt;60,"1",IF(AC203&lt;=43200,"2",IF(AC203&lt;=777600,"3","4")))</f>
        <v>4</v>
      </c>
      <c r="AE203" s="76">
        <f>AA203-Y203</f>
        <v>1576800000</v>
      </c>
      <c r="AF203" s="80">
        <f>AV203</f>
        <v>0.64102564102564097</v>
      </c>
      <c r="AG203" s="56">
        <f>((AW203-AV203)+(AX203-AW203)+(AY203-AX203)+(AZ203-AY203)+(BA203-AZ203))/5</f>
        <v>-0.11619311619311619</v>
      </c>
      <c r="AH203" s="4"/>
      <c r="AI203" s="56">
        <f>RSQ(AV203:BA203,AV202:BA202)</f>
        <v>1.5812427452449642E-4</v>
      </c>
      <c r="AJ203" s="109">
        <f>SLOPE(AV203:BA203,AV202:BA202)</f>
        <v>5.3527357686623139E-13</v>
      </c>
      <c r="AK203" s="56">
        <f>INTERCEPT(AV203:BA203,AV202:BA202)</f>
        <v>0.40510793091623393</v>
      </c>
      <c r="AL203" s="56">
        <f>INDEX(LINEST(LN(AV203:BA203),LN(AV202:BA202),TRUE,TRUE),3,1)</f>
        <v>5.3976173266513904E-2</v>
      </c>
      <c r="AM203" s="56">
        <f>INDEX(LINEST(LN(AV203:BA203),LN(AV202:BA202)),1)</f>
        <v>-0.15567545715976089</v>
      </c>
      <c r="AN203" s="56">
        <f>EXP(INDEX(LINEST(LN(AV203:BA203),LN(AV202:BA202)),1,2))</f>
        <v>8.6416202459170179</v>
      </c>
      <c r="AO203" s="82">
        <f>INDEX(LINEST((AV203:BA203),LN(AV202:BA202),TRUE,TRUE),3,1)</f>
        <v>0.11536029244654912</v>
      </c>
      <c r="AP203" s="82">
        <f>INDEX(LINEST((AV203:BA203),LN(AV202:BA202)),1)</f>
        <v>-5.3395643915034534E-2</v>
      </c>
      <c r="AQ203" s="83">
        <f>INDEX(LINEST(LN(AV203:BA203),SQRT(AV202:BA202),TRUE,TRUE),3,1)</f>
        <v>1.929573603041223E-3</v>
      </c>
      <c r="AR203" s="116">
        <f>INDEX(LINEST(LN(AV203:BA203),SQRT((AV202:BA202))),1)</f>
        <v>-1.0918309905305978E-6</v>
      </c>
      <c r="AS203" s="84">
        <f>INDEX(LINEST(1/(AV203:BA203),1/(SQRT(AV202:BA202)),TRUE,TRUE),3,1)</f>
        <v>9.6218128317737517E-2</v>
      </c>
      <c r="AT203" s="84">
        <f>INDEX(LINEST(1/(AV203:BA203),1/SQRT(AV202:BA202)),1)</f>
        <v>-110930.58868884285</v>
      </c>
      <c r="AU203" s="3"/>
      <c r="AV203" s="53">
        <v>0.64102564102564097</v>
      </c>
      <c r="AW203" s="53">
        <v>0.56000000000000005</v>
      </c>
      <c r="AX203" s="53">
        <v>0.37974683544303794</v>
      </c>
      <c r="AY203" s="53">
        <v>0.45977011494252878</v>
      </c>
      <c r="AZ203" s="53">
        <v>0.33950617283950618</v>
      </c>
      <c r="BA203" s="53">
        <v>6.006006006006006E-2</v>
      </c>
      <c r="BB203" s="53"/>
      <c r="BC203" s="53"/>
      <c r="BD203" s="53"/>
      <c r="BE203" s="53"/>
      <c r="BF203" s="53"/>
      <c r="BG203" s="53"/>
      <c r="BH203" s="53"/>
      <c r="BI203" s="53"/>
      <c r="BJ203" s="53"/>
      <c r="BK203" s="53"/>
      <c r="BL203" s="53"/>
      <c r="BM203" s="53"/>
      <c r="BN203" s="53"/>
      <c r="BO203" s="53"/>
      <c r="BP203" s="53"/>
      <c r="BQ203" s="53"/>
      <c r="BR203" s="53"/>
      <c r="BS203" s="53"/>
      <c r="BT203" s="53"/>
      <c r="BU203" s="53"/>
      <c r="BV203" s="53"/>
      <c r="BW203" s="53"/>
      <c r="BX203" s="53"/>
      <c r="BY203" s="53"/>
      <c r="BZ203" s="53"/>
      <c r="CA203" s="53"/>
      <c r="CB203" s="53"/>
      <c r="CC203" s="53"/>
      <c r="CD203" s="53"/>
      <c r="CE203" s="53"/>
      <c r="CF203" s="53"/>
      <c r="CG203" s="53"/>
      <c r="CH203" s="53"/>
      <c r="CI203" s="53"/>
      <c r="CJ203" s="53"/>
      <c r="CK203" s="53"/>
      <c r="CL203" s="53"/>
      <c r="CM203" s="53"/>
      <c r="CN203" s="53"/>
      <c r="CO203" s="53"/>
      <c r="CP203" s="53"/>
      <c r="CQ203" s="53"/>
      <c r="CR203" s="1"/>
      <c r="CS203" s="1"/>
      <c r="CT203" s="1"/>
      <c r="CU203" s="1"/>
    </row>
    <row r="204" spans="1:99" s="13" customFormat="1" ht="12" customHeight="1" x14ac:dyDescent="0.2">
      <c r="A204" s="65">
        <v>43896</v>
      </c>
      <c r="B204" s="1"/>
      <c r="D204" s="61"/>
      <c r="E204" s="76"/>
      <c r="F204" s="60"/>
      <c r="G204" s="60"/>
      <c r="H204" s="60"/>
      <c r="I204" s="60"/>
      <c r="J204" s="60"/>
      <c r="K204" s="64"/>
      <c r="L204" s="64"/>
      <c r="M204" s="60"/>
      <c r="N204" s="59"/>
      <c r="O204" s="60"/>
      <c r="P204" s="60"/>
      <c r="Q204" s="60"/>
      <c r="R204" s="60"/>
      <c r="S204" s="60"/>
      <c r="T204" s="59"/>
      <c r="U204" s="60"/>
      <c r="V204" s="59"/>
      <c r="W204" s="60"/>
      <c r="X204" s="60"/>
      <c r="Y204" s="76"/>
      <c r="Z204" s="59"/>
      <c r="AA204" s="59"/>
      <c r="AB204" s="60"/>
      <c r="AC204" s="56"/>
      <c r="AD204" s="60"/>
      <c r="AE204" s="60"/>
      <c r="AF204" s="80"/>
      <c r="AG204" s="56"/>
      <c r="AH204" s="4"/>
      <c r="AI204" s="56"/>
      <c r="AJ204" s="109"/>
      <c r="AK204" s="56"/>
      <c r="AL204" s="56"/>
      <c r="AM204" s="56"/>
      <c r="AN204" s="56"/>
      <c r="AO204" s="82"/>
      <c r="AP204" s="82"/>
      <c r="AQ204" s="83"/>
      <c r="AR204" s="116"/>
      <c r="AS204" s="84"/>
      <c r="AT204" s="84"/>
      <c r="AU204" s="3"/>
      <c r="AV204" s="25">
        <v>315360000</v>
      </c>
      <c r="AW204" s="25">
        <v>630720000</v>
      </c>
      <c r="AX204" s="25">
        <v>646080000</v>
      </c>
      <c r="AY204" s="25">
        <v>12614400000</v>
      </c>
      <c r="AZ204" s="25">
        <v>1576800000</v>
      </c>
      <c r="BA204" s="25">
        <v>1892160000</v>
      </c>
      <c r="BB204" s="53"/>
      <c r="BC204" s="53"/>
      <c r="BD204" s="53"/>
      <c r="BE204" s="53"/>
      <c r="BF204" s="53"/>
      <c r="BG204" s="53"/>
      <c r="BH204" s="53"/>
      <c r="BI204" s="53"/>
      <c r="BJ204" s="53"/>
      <c r="BK204" s="53"/>
      <c r="BL204" s="53"/>
      <c r="BM204" s="53"/>
      <c r="BN204" s="53"/>
      <c r="BO204" s="53"/>
      <c r="BP204" s="53"/>
      <c r="BQ204" s="53"/>
      <c r="BR204" s="53"/>
      <c r="BS204" s="53"/>
      <c r="BT204" s="53"/>
      <c r="BU204" s="53"/>
      <c r="BV204" s="53"/>
      <c r="BW204" s="53"/>
      <c r="BX204" s="53"/>
      <c r="BY204" s="53"/>
      <c r="BZ204" s="53"/>
      <c r="CA204" s="53"/>
      <c r="CB204" s="53"/>
      <c r="CC204" s="53"/>
      <c r="CD204" s="53"/>
      <c r="CE204" s="53"/>
      <c r="CF204" s="53"/>
      <c r="CG204" s="53"/>
      <c r="CH204" s="53"/>
      <c r="CI204" s="53"/>
      <c r="CJ204" s="53"/>
      <c r="CK204" s="53"/>
      <c r="CL204" s="53"/>
      <c r="CM204" s="53"/>
      <c r="CN204" s="53"/>
      <c r="CO204" s="53"/>
      <c r="CP204" s="53"/>
      <c r="CQ204" s="53"/>
      <c r="CR204" s="1"/>
      <c r="CS204" s="1"/>
      <c r="CT204" s="1"/>
      <c r="CU204" s="1"/>
    </row>
    <row r="205" spans="1:99" s="13" customFormat="1" ht="12" customHeight="1" x14ac:dyDescent="0.2">
      <c r="A205" s="65">
        <v>43896</v>
      </c>
      <c r="B205" s="1" t="s">
        <v>352</v>
      </c>
      <c r="C205" s="1" t="s">
        <v>54</v>
      </c>
      <c r="D205" s="60">
        <v>1986</v>
      </c>
      <c r="E205" s="76">
        <v>1</v>
      </c>
      <c r="F205" s="60">
        <v>5</v>
      </c>
      <c r="G205" s="60">
        <v>5</v>
      </c>
      <c r="H205" s="60" t="s">
        <v>38</v>
      </c>
      <c r="I205" s="60" t="s">
        <v>330</v>
      </c>
      <c r="J205" s="60" t="s">
        <v>340</v>
      </c>
      <c r="K205" s="60">
        <f>IF(J205="syllables",1,IF(J205="trigrams",2,IF(J205="strings",3,IF(J205="visual array",4,IF(J205="characters",5,IF(J205="letters",6,IF(J205="free forms",7,IF(J205="odors",8,IF(J205="words",9,IF(J205="pictures",10,IF(J205="object pictures",11,IF(J205="faces",12,IF(J205="names",13,IF(J205="idioms",14,IF(J205="grades",15,IF(J205="syllable-digit pairs",16,IF(J205="trigram-word pairs",17,IF(J205="word-digit pairs",18,IF(J205="English-Swahili pairs",19,IF(J205="spatial position",20,IF(J205="word pairs",21,IF(J205="word triads",22,IF(J205="generated words",23,IF(J205="word definition pairs",24,IF(J205="math problems",25,IF(J205="famous faces",26,IF(J205="famous names",27,IF(J205="famous voices",28,IF(J205="television programs",29,IF(J205="race horses",30,IF(J205="new vocabulary",31,IF(J205="sentences",32,IF(J205="concepts",33,IF(J205="ad slides",34,IF(J205="scenes",35,IF(J205="famous scenes",36,IF(J205="poems",37,IF(J205="walk",38,IF(J205="faces and events",39,IF(J205="events and names",40,IF(J205="flashbulb",41,IF(J205="stories",42,IF(J205="course material",43,IF(J205="autobiographical",44,IF(J205="novels",45,IF(J205="public events",46,"99"))))))))))))))))))))))))))))))))))))))))))))))</f>
        <v>46</v>
      </c>
      <c r="L205" s="60">
        <f>IF(J205="syllables",1,IF(J205="trigrams",1,IF(J205="strings",1,IF(J205="visual array",1,IF(J205="characters",1,IF(J205="letters",1,IF(J205="free forms",1,IF(J205="odors",2,IF(J205="words",2,IF(J205="pictures",2,IF(J205="object pictures",2,IF(J205="faces",2,IF(J205="names",2,IF(J205="idioms","2",IF(J205="grades",2,IF(J205="syllable-digit pairs",3,IF(J205="trigram-word pairs",3,IF(J205="word-digit pairs",3,IF(J205="English-Swahili pairs",3,IF(J205="spatial position",3,IF(J205="word pairs",4,IF(J205="word triads",4,IF(J205="generated words",4,IF(J205="word definition pairs",4,IF(J205="math problems",4,IF(J205="famous faces",4,IF(J205="famous names",4,IF(J205="famous voices",4,IF(J205="television programs",4,IF(J205="race horses",4,IF(J205="new vocabulary",4,IF(J205="sentences",5,IF(J205="concepts",5,IF(J205="ad slides",5,IF(J205="scenes",5,IF(J205="famous scenes",5,IF(J205="poems",6,IF(J205="walk",6,IF(J205="faces and events",6,IF(J205="events and names",6,IF(J205="flashbulb",7,IF(J205="stories",7,IF(J205="course material",7,IF(J205="autobiographical",7,IF(J205="novels",7,IF(J205="public events",7,"99"))))))))))))))))))))))))))))))))))))))))))))))</f>
        <v>7</v>
      </c>
      <c r="M205" s="60">
        <v>1</v>
      </c>
      <c r="N205" s="59">
        <v>4</v>
      </c>
      <c r="O205" s="60">
        <v>0</v>
      </c>
      <c r="P205" s="60"/>
      <c r="Q205" s="60" t="s">
        <v>34</v>
      </c>
      <c r="R205" s="60">
        <f>IF(Q205="Free Recall",1,IF(Q205="Cued Recall",2,IF(Q205="Recognition",3,IF(Q205="Multiple Choice",4,IF(Q205="Savings",5,IF(Q205="Stem Completion",6,IF(Q205="Fragment Completion",7,IF(Q205="anagram solution",8,IF(Q205="Matching",9,IF(Q205="Problem Solving",10,"99"))))))))))</f>
        <v>3</v>
      </c>
      <c r="S205" s="60" t="s">
        <v>15</v>
      </c>
      <c r="T205" s="59" t="s">
        <v>581</v>
      </c>
      <c r="U205" s="60">
        <f>IF(T205="within",1,0)</f>
        <v>1</v>
      </c>
      <c r="V205" s="59">
        <v>80</v>
      </c>
      <c r="W205" s="60">
        <f>F205*V205</f>
        <v>400</v>
      </c>
      <c r="X205" s="60">
        <v>6</v>
      </c>
      <c r="Y205" s="76">
        <f>AV204</f>
        <v>315360000</v>
      </c>
      <c r="Z205" s="59" t="s">
        <v>419</v>
      </c>
      <c r="AA205" s="60">
        <f>60*365*24*60*60</f>
        <v>1892160000</v>
      </c>
      <c r="AB205" s="60" t="str">
        <f>IF(AA205&lt;60,"1",IF(AA205&lt;=43200,"2",IF(AA205&lt;=777600,"3","4")))</f>
        <v>4</v>
      </c>
      <c r="AC205" s="56">
        <f>AVERAGE(AV204:DA204)</f>
        <v>2945920000</v>
      </c>
      <c r="AD205" s="60" t="str">
        <f>IF(AC205&lt;60,"1",IF(AC205&lt;=43200,"2",IF(AC205&lt;=777600,"3","4")))</f>
        <v>4</v>
      </c>
      <c r="AE205" s="76">
        <f>AA205-Y205</f>
        <v>1576800000</v>
      </c>
      <c r="AF205" s="80">
        <f>AV205</f>
        <v>0.83333333333333337</v>
      </c>
      <c r="AG205" s="56">
        <f>((AW205-AV205)+(AX205-AW205)+(AY205-AX205)+(AZ205-AY205)+(BA205-AZ205))/5</f>
        <v>-0.12068965517241378</v>
      </c>
      <c r="AH205" s="4"/>
      <c r="AI205" s="56">
        <f>RSQ(AV205:BA205,AV204:BA204)</f>
        <v>3.376924157785319E-3</v>
      </c>
      <c r="AJ205" s="109">
        <f>SLOPE(AV205:BA205,AV204:BA204)</f>
        <v>-2.6217097552020363E-12</v>
      </c>
      <c r="AK205" s="56">
        <f>INTERCEPT(AV205:BA205,AV204:BA204)</f>
        <v>0.64119441054142257</v>
      </c>
      <c r="AL205" s="56">
        <f>INDEX(LINEST(LN(AV205:BA205),LN(AV204:BA204),TRUE,TRUE),3,1)</f>
        <v>8.4968416715099651E-2</v>
      </c>
      <c r="AM205" s="56">
        <f>INDEX(LINEST(LN(AV205:BA205),LN(AV204:BA204)),1)</f>
        <v>-0.10705750353645044</v>
      </c>
      <c r="AN205" s="56">
        <f>EXP(INDEX(LINEST(LN(AV205:BA205),LN(AV204:BA204)),1,2))</f>
        <v>5.5581651261611142</v>
      </c>
      <c r="AO205" s="82">
        <f>INDEX(LINEST((AV205:BA205),LN(AV204:BA204),TRUE,TRUE),3,1)</f>
        <v>0.1432980083002818</v>
      </c>
      <c r="AP205" s="82">
        <f>INDEX(LINEST((AV205:BA205),LN(AV204:BA204)),1)</f>
        <v>-6.3073242090405005E-2</v>
      </c>
      <c r="AQ205" s="83">
        <f>INDEX(LINEST(LN(AV205:BA205),SQRT(AV204:BA204),TRUE,TRUE),3,1)</f>
        <v>1.2789417948527311E-2</v>
      </c>
      <c r="AR205" s="116">
        <f>INDEX(LINEST(LN(AV205:BA205),SQRT((AV204:BA204))),1)</f>
        <v>-1.5407045936171615E-6</v>
      </c>
      <c r="AS205" s="84">
        <f>INDEX(LINEST(1/(AV205:BA205),1/(SQRT(AV204:BA204)),TRUE,TRUE),3,1)</f>
        <v>0.13400322788130217</v>
      </c>
      <c r="AT205" s="84">
        <f>INDEX(LINEST(1/(AV205:BA205),1/SQRT(AV204:BA204)),1)</f>
        <v>-26732.83228559907</v>
      </c>
      <c r="AU205" s="3"/>
      <c r="AV205" s="53">
        <v>0.83333333333333337</v>
      </c>
      <c r="AW205" s="53">
        <v>0.79746835443037967</v>
      </c>
      <c r="AX205" s="53">
        <v>0.67</v>
      </c>
      <c r="AY205" s="53">
        <v>0.65789473684210531</v>
      </c>
      <c r="AZ205" s="53">
        <v>0.61224489795918369</v>
      </c>
      <c r="BA205" s="53">
        <v>0.22988505747126439</v>
      </c>
      <c r="BB205" s="53"/>
      <c r="BC205" s="53"/>
      <c r="BD205" s="53"/>
      <c r="BE205" s="53"/>
      <c r="BF205" s="53"/>
      <c r="BG205" s="53"/>
      <c r="BH205" s="53"/>
      <c r="BI205" s="53"/>
      <c r="BJ205" s="53"/>
      <c r="BK205" s="53"/>
      <c r="BL205" s="53"/>
      <c r="BM205" s="53"/>
      <c r="BN205" s="53"/>
      <c r="BO205" s="53"/>
      <c r="BP205" s="53"/>
      <c r="BQ205" s="53"/>
      <c r="BR205" s="53"/>
      <c r="BS205" s="53"/>
      <c r="BT205" s="53"/>
      <c r="BU205" s="53"/>
      <c r="BV205" s="53"/>
      <c r="BW205" s="53"/>
      <c r="BX205" s="53"/>
      <c r="BY205" s="53"/>
      <c r="BZ205" s="53"/>
      <c r="CA205" s="53"/>
      <c r="CB205" s="53"/>
      <c r="CC205" s="53"/>
      <c r="CD205" s="53"/>
      <c r="CE205" s="53"/>
      <c r="CF205" s="53"/>
      <c r="CG205" s="53"/>
      <c r="CH205" s="53"/>
      <c r="CI205" s="53"/>
      <c r="CJ205" s="53"/>
      <c r="CK205" s="53"/>
      <c r="CL205" s="53"/>
      <c r="CM205" s="53"/>
      <c r="CN205" s="53"/>
      <c r="CO205" s="53"/>
      <c r="CP205" s="53"/>
      <c r="CQ205" s="53"/>
      <c r="CR205" s="1"/>
      <c r="CS205" s="1"/>
      <c r="CT205" s="1"/>
      <c r="CU205" s="1"/>
    </row>
    <row r="206" spans="1:99" s="13" customFormat="1" ht="12" customHeight="1" x14ac:dyDescent="0.2">
      <c r="A206" s="65">
        <v>43896</v>
      </c>
      <c r="B206" s="1"/>
      <c r="D206" s="61"/>
      <c r="E206" s="76"/>
      <c r="F206" s="60"/>
      <c r="G206" s="60"/>
      <c r="H206" s="60"/>
      <c r="I206" s="60"/>
      <c r="J206" s="60"/>
      <c r="K206" s="64"/>
      <c r="L206" s="64"/>
      <c r="M206" s="60"/>
      <c r="N206" s="59"/>
      <c r="O206" s="60"/>
      <c r="P206" s="60"/>
      <c r="Q206" s="60"/>
      <c r="R206" s="60"/>
      <c r="S206" s="60"/>
      <c r="T206" s="59"/>
      <c r="U206" s="60"/>
      <c r="V206" s="59"/>
      <c r="W206" s="60"/>
      <c r="X206" s="60"/>
      <c r="Y206" s="76"/>
      <c r="Z206" s="59"/>
      <c r="AA206" s="59"/>
      <c r="AB206" s="60"/>
      <c r="AC206" s="56"/>
      <c r="AD206" s="60"/>
      <c r="AE206" s="60"/>
      <c r="AF206" s="80"/>
      <c r="AG206" s="56"/>
      <c r="AH206" s="4"/>
      <c r="AI206" s="56"/>
      <c r="AJ206" s="109"/>
      <c r="AK206" s="56"/>
      <c r="AL206" s="56"/>
      <c r="AM206" s="56"/>
      <c r="AN206" s="56"/>
      <c r="AO206" s="82"/>
      <c r="AP206" s="82"/>
      <c r="AQ206" s="83"/>
      <c r="AR206" s="116"/>
      <c r="AS206" s="84"/>
      <c r="AT206" s="84"/>
      <c r="AU206" s="3"/>
      <c r="AV206" s="25">
        <v>315360000</v>
      </c>
      <c r="AW206" s="25">
        <v>630720000</v>
      </c>
      <c r="AX206" s="25">
        <v>646080000</v>
      </c>
      <c r="AY206" s="25">
        <v>12614400000</v>
      </c>
      <c r="AZ206" s="25">
        <v>1576800000</v>
      </c>
      <c r="BA206" s="53"/>
      <c r="BB206" s="53"/>
      <c r="BC206" s="53"/>
      <c r="BD206" s="53"/>
      <c r="BE206" s="53"/>
      <c r="BF206" s="53"/>
      <c r="BG206" s="53"/>
      <c r="BH206" s="53"/>
      <c r="BI206" s="53"/>
      <c r="BJ206" s="53"/>
      <c r="BK206" s="53"/>
      <c r="BL206" s="53"/>
      <c r="BM206" s="53"/>
      <c r="BN206" s="53"/>
      <c r="BO206" s="53"/>
      <c r="BP206" s="53"/>
      <c r="BQ206" s="53"/>
      <c r="BR206" s="53"/>
      <c r="BS206" s="53"/>
      <c r="BT206" s="53"/>
      <c r="BU206" s="53"/>
      <c r="BV206" s="53"/>
      <c r="BW206" s="53"/>
      <c r="BX206" s="53"/>
      <c r="BY206" s="53"/>
      <c r="BZ206" s="53"/>
      <c r="CA206" s="53"/>
      <c r="CB206" s="53"/>
      <c r="CC206" s="53"/>
      <c r="CD206" s="53"/>
      <c r="CE206" s="53"/>
      <c r="CF206" s="53"/>
      <c r="CG206" s="53"/>
      <c r="CH206" s="53"/>
      <c r="CI206" s="53"/>
      <c r="CJ206" s="53"/>
      <c r="CK206" s="53"/>
      <c r="CL206" s="53"/>
      <c r="CM206" s="53"/>
      <c r="CN206" s="53"/>
      <c r="CO206" s="53"/>
      <c r="CP206" s="53"/>
      <c r="CQ206" s="53"/>
      <c r="CR206" s="1"/>
      <c r="CS206" s="1"/>
      <c r="CT206" s="1"/>
      <c r="CU206" s="1"/>
    </row>
    <row r="207" spans="1:99" s="13" customFormat="1" ht="12" customHeight="1" x14ac:dyDescent="0.2">
      <c r="A207" s="65">
        <v>43896</v>
      </c>
      <c r="B207" s="1" t="s">
        <v>352</v>
      </c>
      <c r="C207" s="1" t="s">
        <v>54</v>
      </c>
      <c r="D207" s="60">
        <v>1986</v>
      </c>
      <c r="E207" s="76">
        <v>1</v>
      </c>
      <c r="F207" s="60">
        <v>5</v>
      </c>
      <c r="G207" s="60">
        <v>5</v>
      </c>
      <c r="H207" s="60" t="s">
        <v>30</v>
      </c>
      <c r="I207" s="60" t="s">
        <v>330</v>
      </c>
      <c r="J207" s="60" t="s">
        <v>353</v>
      </c>
      <c r="K207" s="60">
        <f>IF(J207="syllables",1,IF(J207="trigrams",2,IF(J207="strings",3,IF(J207="visual array",4,IF(J207="characters",5,IF(J207="letters",6,IF(J207="free forms",7,IF(J207="odors",8,IF(J207="words",9,IF(J207="pictures",10,IF(J207="object pictures",11,IF(J207="faces",12,IF(J207="names",13,IF(J207="idioms",14,IF(J207="grades",15,IF(J207="syllable-digit pairs",16,IF(J207="trigram-word pairs",17,IF(J207="word-digit pairs",18,IF(J207="English-Swahili pairs",19,IF(J207="spatial position",20,IF(J207="word pairs",21,IF(J207="word triads",22,IF(J207="generated words",23,IF(J207="word definition pairs",24,IF(J207="math problems",25,IF(J207="famous faces",26,IF(J207="famous names",27,IF(J207="famous voices",28,IF(J207="television programs",29,IF(J207="race horses",30,IF(J207="new vocabulary",31,IF(J207="sentences",32,IF(J207="concepts",33,IF(J207="ad slides",34,IF(J207="scenes",35,IF(J207="famous scenes",36,IF(J207="poems",37,IF(J207="walk",38,IF(J207="faces and events",39,IF(J207="events and names",40,IF(J207="flashbulb",41,IF(J207="stories",42,IF(J207="course material",43,IF(J207="autobiographical",44,IF(J207="novels",45,IF(J207="public events",46,"99"))))))))))))))))))))))))))))))))))))))))))))))</f>
        <v>28</v>
      </c>
      <c r="L207" s="60">
        <f>IF(J207="syllables",1,IF(J207="trigrams",1,IF(J207="strings",1,IF(J207="visual array",1,IF(J207="characters",1,IF(J207="letters",1,IF(J207="free forms",1,IF(J207="odors",2,IF(J207="words",2,IF(J207="pictures",2,IF(J207="object pictures",2,IF(J207="faces",2,IF(J207="names",2,IF(J207="idioms","2",IF(J207="grades",2,IF(J207="syllable-digit pairs",3,IF(J207="trigram-word pairs",3,IF(J207="word-digit pairs",3,IF(J207="English-Swahili pairs",3,IF(J207="spatial position",3,IF(J207="word pairs",4,IF(J207="word triads",4,IF(J207="generated words",4,IF(J207="word definition pairs",4,IF(J207="math problems",4,IF(J207="famous faces",4,IF(J207="famous names",4,IF(J207="famous voices",4,IF(J207="television programs",4,IF(J207="race horses",4,IF(J207="new vocabulary",4,IF(J207="sentences",5,IF(J207="concepts",5,IF(J207="ad slides",5,IF(J207="scenes",5,IF(J207="famous scenes",5,IF(J207="poems",6,IF(J207="walk",6,IF(J207="faces and events",6,IF(J207="events and names",6,IF(J207="flashbulb",7,IF(J207="stories",7,IF(J207="course material",7,IF(J207="autobiographical",7,IF(J207="novels",7,IF(J207="public events",7,"99"))))))))))))))))))))))))))))))))))))))))))))))</f>
        <v>4</v>
      </c>
      <c r="M207" s="60">
        <v>1</v>
      </c>
      <c r="N207" s="59">
        <v>2</v>
      </c>
      <c r="O207" s="60">
        <v>0</v>
      </c>
      <c r="P207" s="60"/>
      <c r="Q207" s="60" t="s">
        <v>174</v>
      </c>
      <c r="R207" s="60">
        <f>IF(Q207="Free Recall",1,IF(Q207="Cued Recall",2,IF(Q207="Recognition",3,IF(Q207="Multiple Choice",4,IF(Q207="Savings",5,IF(Q207="Stem Completion",6,IF(Q207="Fragment Completion",7,IF(Q207="anagram solution",8,IF(Q207="Matching",9,IF(Q207="Problem Solving",10,"99"))))))))))</f>
        <v>1</v>
      </c>
      <c r="S207" s="60" t="s">
        <v>49</v>
      </c>
      <c r="T207" s="59" t="s">
        <v>581</v>
      </c>
      <c r="U207" s="60">
        <f>IF(T207="within",1,0)</f>
        <v>1</v>
      </c>
      <c r="V207" s="59">
        <v>80</v>
      </c>
      <c r="W207" s="60">
        <f>F207*V207</f>
        <v>400</v>
      </c>
      <c r="X207" s="60">
        <v>5</v>
      </c>
      <c r="Y207" s="76">
        <f>AV206</f>
        <v>315360000</v>
      </c>
      <c r="Z207" s="59" t="s">
        <v>209</v>
      </c>
      <c r="AA207" s="60">
        <f>50*365*24*60*60</f>
        <v>1576800000</v>
      </c>
      <c r="AB207" s="60" t="str">
        <f>IF(AA207&lt;60,"1",IF(AA207&lt;=43200,"2",IF(AA207&lt;=777600,"3","4")))</f>
        <v>4</v>
      </c>
      <c r="AC207" s="56">
        <f>AVERAGE(AV206:DA206)</f>
        <v>3156672000</v>
      </c>
      <c r="AD207" s="60" t="str">
        <f>IF(AC207&lt;60,"1",IF(AC207&lt;=43200,"2",IF(AC207&lt;=777600,"3","4")))</f>
        <v>4</v>
      </c>
      <c r="AE207" s="76">
        <f>AA207-Y207</f>
        <v>1261440000</v>
      </c>
      <c r="AF207" s="80">
        <f>AV207</f>
        <v>0.64</v>
      </c>
      <c r="AG207" s="56">
        <f>((AW207-AV207)+(AX207-AW207)+(AY207-AX207)+(AZ207-AY207))/4</f>
        <v>-8.7500000000000008E-2</v>
      </c>
      <c r="AH207" s="4"/>
      <c r="AI207" s="56">
        <f>RSQ(AV207:AZ207,AV206:AZ206)</f>
        <v>4.0767331629309566E-4</v>
      </c>
      <c r="AJ207" s="109">
        <f>SLOPE(AV207:AZ207,AV206:AZ206)</f>
        <v>-5.4236438688837065E-13</v>
      </c>
      <c r="AK207" s="56">
        <f>INTERCEPT(AV207:AZ207,AV206:AZ206)</f>
        <v>0.47769201634857439</v>
      </c>
      <c r="AL207" s="56">
        <f>INDEX(LINEST(LN(AV207:AZ207),LN(AV206:AZ206),TRUE,TRUE),3,1)</f>
        <v>5.9608053657885768E-2</v>
      </c>
      <c r="AM207" s="56">
        <f>INDEX(LINEST(LN(AV207:AZ207),LN(AV206:AZ206)),1)</f>
        <v>-5.4899457248047401E-2</v>
      </c>
      <c r="AN207" s="56">
        <f>EXP(INDEX(LINEST(LN(AV207:AZ207),LN(AV206:AZ206)),1,2))</f>
        <v>1.4422049608199381</v>
      </c>
      <c r="AO207" s="82">
        <f>INDEX(LINEST((AV207:AZ207),LN(AV206:AZ206),TRUE,TRUE),3,1)</f>
        <v>8.9657513259645993E-2</v>
      </c>
      <c r="AP207" s="82">
        <f>INDEX(LINEST((AV207:AZ207),LN(AV206:AZ206)),1)</f>
        <v>-2.9833585659729312E-2</v>
      </c>
      <c r="AQ207" s="83">
        <f>INDEX(LINEST(LN(AV207:AZ207),SQRT(AV206:AZ206),TRUE,TRUE),3,1)</f>
        <v>4.0908888490707547E-3</v>
      </c>
      <c r="AR207" s="116">
        <f>INDEX(LINEST(LN(AV207:AZ207),SQRT((AV206:AZ206))),1)</f>
        <v>-5.2809400000042343E-7</v>
      </c>
      <c r="AS207" s="84">
        <f>INDEX(LINEST(1/(AV207:AZ207),1/(SQRT(AV206:AZ206)),TRUE,TRUE),3,1)</f>
        <v>0.1569913058104897</v>
      </c>
      <c r="AT207" s="84">
        <f>INDEX(LINEST(1/(AV207:AZ207),1/SQRT(AV206:AZ206)),1)</f>
        <v>-17100.67023125679</v>
      </c>
      <c r="AU207" s="3"/>
      <c r="AV207" s="53">
        <v>0.64</v>
      </c>
      <c r="AW207" s="53">
        <v>0.57894736842105265</v>
      </c>
      <c r="AX207" s="53">
        <v>0.38095238095238099</v>
      </c>
      <c r="AY207" s="53">
        <v>0.49</v>
      </c>
      <c r="AZ207" s="53">
        <v>0.28999999999999998</v>
      </c>
      <c r="BA207" s="53"/>
      <c r="BB207" s="53"/>
      <c r="BC207" s="53"/>
      <c r="BD207" s="53"/>
      <c r="BE207" s="53"/>
      <c r="BF207" s="53"/>
      <c r="BG207" s="53"/>
      <c r="BH207" s="53"/>
      <c r="BI207" s="53"/>
      <c r="BJ207" s="53"/>
      <c r="BK207" s="53"/>
      <c r="BL207" s="53"/>
      <c r="BM207" s="53"/>
      <c r="BN207" s="53"/>
      <c r="BO207" s="53"/>
      <c r="BP207" s="53"/>
      <c r="BQ207" s="53"/>
      <c r="BR207" s="53"/>
      <c r="BS207" s="53"/>
      <c r="BT207" s="53"/>
      <c r="BU207" s="53"/>
      <c r="BV207" s="53"/>
      <c r="BW207" s="53"/>
      <c r="BX207" s="53"/>
      <c r="BY207" s="53"/>
      <c r="BZ207" s="53"/>
      <c r="CA207" s="53"/>
      <c r="CB207" s="53"/>
      <c r="CC207" s="53"/>
      <c r="CD207" s="53"/>
      <c r="CE207" s="53"/>
      <c r="CF207" s="53"/>
      <c r="CG207" s="53"/>
      <c r="CH207" s="53"/>
      <c r="CI207" s="53"/>
      <c r="CJ207" s="53"/>
      <c r="CK207" s="53"/>
      <c r="CL207" s="53"/>
      <c r="CM207" s="53"/>
      <c r="CN207" s="53"/>
      <c r="CO207" s="53"/>
      <c r="CP207" s="53"/>
      <c r="CQ207" s="53"/>
      <c r="CR207" s="1"/>
      <c r="CS207" s="1"/>
      <c r="CT207" s="1"/>
      <c r="CU207" s="1"/>
    </row>
    <row r="208" spans="1:99" s="13" customFormat="1" ht="12" customHeight="1" x14ac:dyDescent="0.2">
      <c r="A208" s="65">
        <v>43896</v>
      </c>
      <c r="B208" s="1"/>
      <c r="D208" s="61"/>
      <c r="E208" s="76"/>
      <c r="F208" s="60"/>
      <c r="G208" s="60"/>
      <c r="H208" s="60"/>
      <c r="I208" s="60"/>
      <c r="J208" s="60"/>
      <c r="K208" s="64"/>
      <c r="L208" s="64"/>
      <c r="M208" s="60"/>
      <c r="N208" s="59"/>
      <c r="O208" s="60"/>
      <c r="P208" s="60"/>
      <c r="Q208" s="60"/>
      <c r="R208" s="60"/>
      <c r="S208" s="60"/>
      <c r="T208" s="59"/>
      <c r="U208" s="60"/>
      <c r="V208" s="59"/>
      <c r="W208" s="60"/>
      <c r="X208" s="60"/>
      <c r="Y208" s="76"/>
      <c r="Z208" s="59"/>
      <c r="AA208" s="59"/>
      <c r="AB208" s="60"/>
      <c r="AC208" s="56"/>
      <c r="AD208" s="60"/>
      <c r="AE208" s="60"/>
      <c r="AF208" s="80"/>
      <c r="AG208" s="56"/>
      <c r="AH208" s="4"/>
      <c r="AI208" s="56"/>
      <c r="AJ208" s="109"/>
      <c r="AK208" s="56"/>
      <c r="AL208" s="56"/>
      <c r="AM208" s="56"/>
      <c r="AN208" s="56"/>
      <c r="AO208" s="82"/>
      <c r="AP208" s="82"/>
      <c r="AQ208" s="83"/>
      <c r="AR208" s="116"/>
      <c r="AS208" s="84"/>
      <c r="AT208" s="84"/>
      <c r="AU208" s="3"/>
      <c r="AV208" s="25">
        <v>315360000</v>
      </c>
      <c r="AW208" s="25">
        <v>630720000</v>
      </c>
      <c r="AX208" s="25">
        <v>646080000</v>
      </c>
      <c r="AY208" s="25">
        <v>12614400000</v>
      </c>
      <c r="AZ208" s="25">
        <v>1576800000</v>
      </c>
      <c r="BA208" s="53"/>
      <c r="BB208" s="53"/>
      <c r="BC208" s="53"/>
      <c r="BD208" s="53"/>
      <c r="BE208" s="53"/>
      <c r="BF208" s="53"/>
      <c r="BG208" s="53"/>
      <c r="BH208" s="53"/>
      <c r="BI208" s="53"/>
      <c r="BJ208" s="53"/>
      <c r="BK208" s="53"/>
      <c r="BL208" s="53"/>
      <c r="BM208" s="53"/>
      <c r="BN208" s="53"/>
      <c r="BO208" s="53"/>
      <c r="BP208" s="53"/>
      <c r="BQ208" s="53"/>
      <c r="BR208" s="53"/>
      <c r="BS208" s="53"/>
      <c r="BT208" s="53"/>
      <c r="BU208" s="53"/>
      <c r="BV208" s="53"/>
      <c r="BW208" s="53"/>
      <c r="BX208" s="53"/>
      <c r="BY208" s="53"/>
      <c r="BZ208" s="53"/>
      <c r="CA208" s="53"/>
      <c r="CB208" s="53"/>
      <c r="CC208" s="53"/>
      <c r="CD208" s="53"/>
      <c r="CE208" s="53"/>
      <c r="CF208" s="53"/>
      <c r="CG208" s="53"/>
      <c r="CH208" s="53"/>
      <c r="CI208" s="53"/>
      <c r="CJ208" s="53"/>
      <c r="CK208" s="53"/>
      <c r="CL208" s="53"/>
      <c r="CM208" s="53"/>
      <c r="CN208" s="53"/>
      <c r="CO208" s="53"/>
      <c r="CP208" s="53"/>
      <c r="CQ208" s="53"/>
      <c r="CR208" s="1"/>
      <c r="CS208" s="1"/>
      <c r="CT208" s="1"/>
      <c r="CU208" s="1"/>
    </row>
    <row r="209" spans="1:99" s="13" customFormat="1" ht="12" customHeight="1" x14ac:dyDescent="0.2">
      <c r="A209" s="65">
        <v>43896</v>
      </c>
      <c r="B209" s="1" t="s">
        <v>352</v>
      </c>
      <c r="C209" s="1" t="s">
        <v>54</v>
      </c>
      <c r="D209" s="60">
        <v>1986</v>
      </c>
      <c r="E209" s="76">
        <v>1</v>
      </c>
      <c r="F209" s="60">
        <v>5</v>
      </c>
      <c r="G209" s="60">
        <v>5</v>
      </c>
      <c r="H209" s="60" t="s">
        <v>30</v>
      </c>
      <c r="I209" s="60" t="s">
        <v>330</v>
      </c>
      <c r="J209" s="60" t="s">
        <v>353</v>
      </c>
      <c r="K209" s="60">
        <f>IF(J209="syllables",1,IF(J209="trigrams",2,IF(J209="strings",3,IF(J209="visual array",4,IF(J209="characters",5,IF(J209="letters",6,IF(J209="free forms",7,IF(J209="odors",8,IF(J209="words",9,IF(J209="pictures",10,IF(J209="object pictures",11,IF(J209="faces",12,IF(J209="names",13,IF(J209="idioms",14,IF(J209="grades",15,IF(J209="syllable-digit pairs",16,IF(J209="trigram-word pairs",17,IF(J209="word-digit pairs",18,IF(J209="English-Swahili pairs",19,IF(J209="spatial position",20,IF(J209="word pairs",21,IF(J209="word triads",22,IF(J209="generated words",23,IF(J209="word definition pairs",24,IF(J209="math problems",25,IF(J209="famous faces",26,IF(J209="famous names",27,IF(J209="famous voices",28,IF(J209="television programs",29,IF(J209="race horses",30,IF(J209="new vocabulary",31,IF(J209="sentences",32,IF(J209="concepts",33,IF(J209="ad slides",34,IF(J209="scenes",35,IF(J209="famous scenes",36,IF(J209="poems",37,IF(J209="walk",38,IF(J209="faces and events",39,IF(J209="events and names",40,IF(J209="flashbulb",41,IF(J209="stories",42,IF(J209="course material",43,IF(J209="autobiographical",44,IF(J209="novels",45,IF(J209="public events",46,"99"))))))))))))))))))))))))))))))))))))))))))))))</f>
        <v>28</v>
      </c>
      <c r="L209" s="60">
        <f>IF(J209="syllables",1,IF(J209="trigrams",1,IF(J209="strings",1,IF(J209="visual array",1,IF(J209="characters",1,IF(J209="letters",1,IF(J209="free forms",1,IF(J209="odors",2,IF(J209="words",2,IF(J209="pictures",2,IF(J209="object pictures",2,IF(J209="faces",2,IF(J209="names",2,IF(J209="idioms","2",IF(J209="grades",2,IF(J209="syllable-digit pairs",3,IF(J209="trigram-word pairs",3,IF(J209="word-digit pairs",3,IF(J209="English-Swahili pairs",3,IF(J209="spatial position",3,IF(J209="word pairs",4,IF(J209="word triads",4,IF(J209="generated words",4,IF(J209="word definition pairs",4,IF(J209="math problems",4,IF(J209="famous faces",4,IF(J209="famous names",4,IF(J209="famous voices",4,IF(J209="television programs",4,IF(J209="race horses",4,IF(J209="new vocabulary",4,IF(J209="sentences",5,IF(J209="concepts",5,IF(J209="ad slides",5,IF(J209="scenes",5,IF(J209="famous scenes",5,IF(J209="poems",6,IF(J209="walk",6,IF(J209="faces and events",6,IF(J209="events and names",6,IF(J209="flashbulb",7,IF(J209="stories",7,IF(J209="course material",7,IF(J209="autobiographical",7,IF(J209="novels",7,IF(J209="public events",7,"99"))))))))))))))))))))))))))))))))))))))))))))))</f>
        <v>4</v>
      </c>
      <c r="M209" s="60">
        <v>1</v>
      </c>
      <c r="N209" s="59">
        <v>2</v>
      </c>
      <c r="O209" s="60">
        <v>0</v>
      </c>
      <c r="P209" s="60"/>
      <c r="Q209" s="60" t="s">
        <v>182</v>
      </c>
      <c r="R209" s="60">
        <f>IF(Q209="Free Recall",1,IF(Q209="Cued Recall",2,IF(Q209="Recognition",3,IF(Q209="Multiple Choice",4,IF(Q209="Savings",5,IF(Q209="Stem Completion",6,IF(Q209="Fragment Completion",7,IF(Q209="anagram solution",8,IF(Q209="Matching",9,IF(Q209="Problem Solving",10,"99"))))))))))</f>
        <v>4</v>
      </c>
      <c r="S209" s="60" t="s">
        <v>15</v>
      </c>
      <c r="T209" s="59" t="s">
        <v>581</v>
      </c>
      <c r="U209" s="60">
        <f>IF(T209="within",1,0)</f>
        <v>1</v>
      </c>
      <c r="V209" s="59">
        <v>80</v>
      </c>
      <c r="W209" s="60">
        <f>F209*V209</f>
        <v>400</v>
      </c>
      <c r="X209" s="60">
        <v>5</v>
      </c>
      <c r="Y209" s="76">
        <f>AV208</f>
        <v>315360000</v>
      </c>
      <c r="Z209" s="59" t="s">
        <v>209</v>
      </c>
      <c r="AA209" s="60">
        <f>50*365*24*60*60</f>
        <v>1576800000</v>
      </c>
      <c r="AB209" s="60" t="str">
        <f>IF(AA209&lt;60,"1",IF(AA209&lt;=43200,"2",IF(AA209&lt;=777600,"3","4")))</f>
        <v>4</v>
      </c>
      <c r="AC209" s="56">
        <f>AVERAGE(AV208:DA208)</f>
        <v>3156672000</v>
      </c>
      <c r="AD209" s="60" t="str">
        <f>IF(AC209&lt;60,"1",IF(AC209&lt;=43200,"2",IF(AC209&lt;=777600,"3","4")))</f>
        <v>4</v>
      </c>
      <c r="AE209" s="76">
        <f>AA209-Y209</f>
        <v>1261440000</v>
      </c>
      <c r="AF209" s="80">
        <f>AV209</f>
        <v>0.92105263157894735</v>
      </c>
      <c r="AG209" s="56">
        <f>((AW209-AV209)+(AX209-AW209)+(AY209-AX209)+(AZ209-AY209))/4</f>
        <v>-0.11040014419610671</v>
      </c>
      <c r="AH209" s="4"/>
      <c r="AI209" s="56">
        <f>RSQ(AV209:AZ209,AV208:AZ208)</f>
        <v>4.3665703774176015E-2</v>
      </c>
      <c r="AJ209" s="109">
        <f>SLOPE(AV209:AZ209,AV208:AZ208)</f>
        <v>7.0952699202415158E-12</v>
      </c>
      <c r="AK209" s="56">
        <f>INTERCEPT(AV209:AZ209,AV208:AZ208)</f>
        <v>0.76462904295627021</v>
      </c>
      <c r="AL209" s="56">
        <f>INDEX(LINEST(LN(AV209:AZ209),LN(AV208:AZ208),TRUE,TRUE),3,1)</f>
        <v>8.0474348484729473E-3</v>
      </c>
      <c r="AM209" s="56">
        <f>INDEX(LINEST(LN(AV209:AZ209),LN(AV208:AZ208)),1)</f>
        <v>-1.6937645279540448E-2</v>
      </c>
      <c r="AN209" s="56">
        <f>EXP(INDEX(LINEST(LN(AV209:AZ209),LN(AV208:AZ208)),1,2))</f>
        <v>1.0925509769859314</v>
      </c>
      <c r="AO209" s="82">
        <f>INDEX(LINEST((AV209:AZ209),LN(AV208:AZ208),TRUE,TRUE),3,1)</f>
        <v>7.9110591799683994E-3</v>
      </c>
      <c r="AP209" s="82">
        <f>INDEX(LINEST((AV209:AZ209),LN(AV208:AZ208)),1)</f>
        <v>-1.1201936171086528E-2</v>
      </c>
      <c r="AQ209" s="83">
        <f>INDEX(LINEST(LN(AV209:AZ209),SQRT(AV208:AZ208),TRUE,TRUE),3,1)</f>
        <v>8.9185675576066766E-3</v>
      </c>
      <c r="AR209" s="116">
        <f>INDEX(LINEST(LN(AV209:AZ209),SQRT((AV208:AZ208))),1)</f>
        <v>6.5472460901359124E-7</v>
      </c>
      <c r="AS209" s="84">
        <f>INDEX(LINEST(1/(AV209:AZ209),1/(SQRT(AV208:AZ208)),TRUE,TRUE),3,1)</f>
        <v>8.1119968720971769E-2</v>
      </c>
      <c r="AT209" s="84">
        <f>INDEX(LINEST(1/(AV209:AZ209),1/SQRT(AV208:AZ208)),1)</f>
        <v>-6720.0066728945785</v>
      </c>
      <c r="AU209" s="3"/>
      <c r="AV209" s="53">
        <v>0.92105263157894735</v>
      </c>
      <c r="AW209" s="53">
        <v>0.87804878048780488</v>
      </c>
      <c r="AX209" s="53">
        <v>0.77499999999999991</v>
      </c>
      <c r="AY209" s="53">
        <v>0.88157894736842113</v>
      </c>
      <c r="AZ209" s="53">
        <v>0.47945205479452052</v>
      </c>
      <c r="BA209" s="53"/>
      <c r="BB209" s="53"/>
      <c r="BC209" s="53"/>
      <c r="BD209" s="53"/>
      <c r="BE209" s="53"/>
      <c r="BF209" s="53"/>
      <c r="BG209" s="53"/>
      <c r="BH209" s="53"/>
      <c r="BI209" s="53"/>
      <c r="BJ209" s="53"/>
      <c r="BK209" s="53"/>
      <c r="BL209" s="53"/>
      <c r="BM209" s="53"/>
      <c r="BN209" s="53"/>
      <c r="BO209" s="53"/>
      <c r="BP209" s="53"/>
      <c r="BQ209" s="53"/>
      <c r="BR209" s="53"/>
      <c r="BS209" s="53"/>
      <c r="BT209" s="53"/>
      <c r="BU209" s="53"/>
      <c r="BV209" s="53"/>
      <c r="BW209" s="53"/>
      <c r="BX209" s="53"/>
      <c r="BY209" s="53"/>
      <c r="BZ209" s="53"/>
      <c r="CA209" s="53"/>
      <c r="CB209" s="53"/>
      <c r="CC209" s="53"/>
      <c r="CD209" s="53"/>
      <c r="CE209" s="53"/>
      <c r="CF209" s="53"/>
      <c r="CG209" s="53"/>
      <c r="CH209" s="53"/>
      <c r="CI209" s="53"/>
      <c r="CJ209" s="53"/>
      <c r="CK209" s="53"/>
      <c r="CL209" s="53"/>
      <c r="CM209" s="53"/>
      <c r="CN209" s="53"/>
      <c r="CO209" s="53"/>
      <c r="CP209" s="53"/>
      <c r="CQ209" s="53"/>
      <c r="CR209" s="1"/>
      <c r="CS209" s="1"/>
      <c r="CT209" s="1"/>
      <c r="CU209" s="1"/>
    </row>
    <row r="210" spans="1:99" s="13" customFormat="1" ht="12" customHeight="1" x14ac:dyDescent="0.2">
      <c r="A210" s="68">
        <v>43978</v>
      </c>
      <c r="B210" s="70"/>
      <c r="C210" s="70"/>
      <c r="D210" s="69"/>
      <c r="E210" s="87"/>
      <c r="F210" s="69"/>
      <c r="G210" s="69"/>
      <c r="H210" s="69"/>
      <c r="I210" s="69"/>
      <c r="J210" s="69"/>
      <c r="K210" s="69"/>
      <c r="L210" s="69"/>
      <c r="M210" s="69"/>
      <c r="N210" s="92"/>
      <c r="O210" s="69"/>
      <c r="P210" s="69"/>
      <c r="Q210" s="69"/>
      <c r="R210" s="69"/>
      <c r="S210" s="69"/>
      <c r="T210" s="92"/>
      <c r="U210" s="69"/>
      <c r="V210" s="92"/>
      <c r="W210" s="69"/>
      <c r="X210" s="69"/>
      <c r="Y210" s="87"/>
      <c r="Z210" s="92"/>
      <c r="AA210" s="69"/>
      <c r="AB210" s="69"/>
      <c r="AC210" s="72"/>
      <c r="AD210" s="69"/>
      <c r="AE210" s="87"/>
      <c r="AF210" s="88"/>
      <c r="AG210" s="72"/>
      <c r="AH210" s="4"/>
      <c r="AI210" s="72"/>
      <c r="AJ210" s="110"/>
      <c r="AK210" s="72"/>
      <c r="AL210" s="72"/>
      <c r="AM210" s="72"/>
      <c r="AN210" s="72"/>
      <c r="AO210" s="89"/>
      <c r="AP210" s="89"/>
      <c r="AQ210" s="90"/>
      <c r="AR210" s="117"/>
      <c r="AS210" s="91"/>
      <c r="AT210" s="91"/>
      <c r="AU210" s="3"/>
      <c r="AV210" s="71">
        <f>60*60*24*265*5</f>
        <v>114480000</v>
      </c>
      <c r="AW210" s="71">
        <f>60*60*24*265*15</f>
        <v>343440000</v>
      </c>
      <c r="AX210" s="71">
        <f>60*60*24*265*25</f>
        <v>572400000</v>
      </c>
      <c r="AY210" s="71">
        <f>60*60*24*265*35</f>
        <v>801360000</v>
      </c>
      <c r="AZ210" s="71">
        <f>60*60*24*265*45</f>
        <v>1030320000</v>
      </c>
      <c r="BA210" s="53"/>
      <c r="BB210" s="53"/>
      <c r="BC210" s="53"/>
      <c r="BD210" s="53"/>
      <c r="BE210" s="53"/>
      <c r="BF210" s="53"/>
      <c r="BG210" s="53"/>
      <c r="BH210" s="53"/>
      <c r="BI210" s="53"/>
      <c r="BJ210" s="53"/>
      <c r="BK210" s="53"/>
      <c r="BL210" s="53"/>
      <c r="BM210" s="53"/>
      <c r="BN210" s="53"/>
      <c r="BO210" s="53"/>
      <c r="BP210" s="53"/>
      <c r="BQ210" s="53"/>
      <c r="BR210" s="53"/>
      <c r="BS210" s="53"/>
      <c r="BT210" s="53"/>
      <c r="BU210" s="53"/>
      <c r="BV210" s="53"/>
      <c r="BW210" s="53"/>
      <c r="BX210" s="53"/>
      <c r="BY210" s="53"/>
      <c r="BZ210" s="53"/>
      <c r="CA210" s="53"/>
      <c r="CB210" s="53"/>
      <c r="CC210" s="53"/>
      <c r="CD210" s="53"/>
      <c r="CE210" s="53"/>
      <c r="CF210" s="53"/>
      <c r="CG210" s="53"/>
      <c r="CH210" s="53"/>
      <c r="CI210" s="53"/>
      <c r="CJ210" s="53"/>
      <c r="CK210" s="53"/>
      <c r="CL210" s="53"/>
      <c r="CM210" s="53"/>
      <c r="CN210" s="53"/>
      <c r="CO210" s="53"/>
      <c r="CP210" s="53"/>
      <c r="CQ210" s="53"/>
      <c r="CR210" s="1"/>
      <c r="CS210" s="1"/>
      <c r="CT210" s="1"/>
      <c r="CU210" s="1"/>
    </row>
    <row r="211" spans="1:99" s="13" customFormat="1" ht="12" customHeight="1" x14ac:dyDescent="0.2">
      <c r="A211" s="68">
        <v>43978</v>
      </c>
      <c r="B211" s="70" t="s">
        <v>968</v>
      </c>
      <c r="C211" s="70" t="s">
        <v>408</v>
      </c>
      <c r="D211" s="69">
        <v>1997</v>
      </c>
      <c r="E211" s="87">
        <v>1</v>
      </c>
      <c r="F211" s="69">
        <v>4</v>
      </c>
      <c r="G211" s="69">
        <v>4</v>
      </c>
      <c r="H211" s="69" t="s">
        <v>17</v>
      </c>
      <c r="I211" s="69" t="s">
        <v>330</v>
      </c>
      <c r="J211" s="69" t="s">
        <v>340</v>
      </c>
      <c r="K211" s="69">
        <f>IF(J211="syllables",1,IF(J211="trigrams",2,IF(J211="strings",3,IF(J211="visual array",4,IF(J211="characters",5,IF(J211="letters",6,IF(J211="free forms",7,IF(J211="odors",8,IF(J211="words",9,IF(J211="pictures",10,IF(J211="object pictures",11,IF(J211="faces",12,IF(J211="names",13,IF(J211="idioms",14,IF(J211="grades",15,IF(J211="syllable-digit pairs",16,IF(J211="trigram-word pairs",17,IF(J211="word-digit pairs",18,IF(J211="English-Swahili pairs",19,IF(J211="spatial position",20,IF(J211="word pairs",21,IF(J211="word triads",22,IF(J211="generated words",23,IF(J211="word definition pairs",24,IF(J211="math problems",25,IF(J211="famous faces",26,IF(J211="famous names",27,IF(J211="famous voices",28,IF(J211="television programs",29,IF(J211="race horses",30,IF(J211="new vocabulary",31,IF(J211="sentences",32,IF(J211="concepts",33,IF(J211="ad slides",34,IF(J211="scenes",35,IF(J211="famous scenes",36,IF(J211="poems",37,IF(J211="walk",38,IF(J211="faces and events",39,IF(J211="events and names",40,IF(J211="flashbulb",41,IF(J211="stories",42,IF(J211="course material",43,IF(J211="autobiographical",44,IF(J211="novels",45,IF(J211="public events",46,"99"))))))))))))))))))))))))))))))))))))))))))))))</f>
        <v>46</v>
      </c>
      <c r="L211" s="69">
        <f>IF(J211="syllables",1,IF(J211="trigrams",1,IF(J211="strings",1,IF(J211="visual array",1,IF(J211="characters",1,IF(J211="letters",1,IF(J211="free forms",1,IF(J211="odors",2,IF(J211="words",2,IF(J211="pictures",2,IF(J211="object pictures",2,IF(J211="faces",2,IF(J211="names",2,IF(J211="idioms","2",IF(J211="grades",2,IF(J211="syllable-digit pairs",3,IF(J211="trigram-word pairs",3,IF(J211="word-digit pairs",3,IF(J211="English-Swahili pairs",3,IF(J211="spatial position",3,IF(J211="word pairs",4,IF(J211="word triads",4,IF(J211="generated words",4,IF(J211="word definition pairs",4,IF(J211="math problems",4,IF(J211="famous faces",4,IF(J211="famous names",4,IF(J211="famous voices",4,IF(J211="television programs",4,IF(J211="race horses",4,IF(J211="new vocabulary",4,IF(J211="sentences",5,IF(J211="concepts",5,IF(J211="ad slides",5,IF(J211="scenes",5,IF(J211="famous scenes",5,IF(J211="poems",6,IF(J211="walk",6,IF(J211="faces and events",6,IF(J211="events and names",6,IF(J211="flashbulb",7,IF(J211="stories",7,IF(J211="course material",7,IF(J211="autobiographical",7,IF(J211="novels",7,IF(J211="public events",7,"99"))))))))))))))))))))))))))))))))))))))))))))))</f>
        <v>7</v>
      </c>
      <c r="M211" s="69">
        <v>1</v>
      </c>
      <c r="N211" s="92">
        <v>4</v>
      </c>
      <c r="O211" s="69">
        <v>0</v>
      </c>
      <c r="P211" s="69"/>
      <c r="Q211" s="69" t="s">
        <v>182</v>
      </c>
      <c r="R211" s="69">
        <f>IF(Q211="Free Recall",1,IF(Q211="Cued Recall",2,IF(Q211="Recognition",3,IF(Q211="Multiple Choice",4,IF(Q211="Savings",5,IF(Q211="Stem Completion",6,IF(Q211="Fragment Completion",7,IF(Q211="anagram solution",8,IF(Q211="Matching",9,IF(Q211="Problem Solving",10,"99"))))))))))</f>
        <v>4</v>
      </c>
      <c r="S211" s="69" t="s">
        <v>15</v>
      </c>
      <c r="T211" s="92" t="s">
        <v>581</v>
      </c>
      <c r="U211" s="69">
        <f>IF(T211="within",1,0)</f>
        <v>1</v>
      </c>
      <c r="V211" s="92">
        <v>94</v>
      </c>
      <c r="W211" s="69">
        <f>F211*V211</f>
        <v>376</v>
      </c>
      <c r="X211" s="69">
        <v>5</v>
      </c>
      <c r="Y211" s="87">
        <f>AV210</f>
        <v>114480000</v>
      </c>
      <c r="Z211" s="92" t="s">
        <v>373</v>
      </c>
      <c r="AA211" s="69">
        <f>60*60*24*365*45</f>
        <v>1419120000</v>
      </c>
      <c r="AB211" s="69" t="str">
        <f>IF(AA211&lt;60,"1",IF(AA211&lt;=43200,"2",IF(AA211&lt;=777600,"3","4")))</f>
        <v>4</v>
      </c>
      <c r="AC211" s="72">
        <f>AVERAGE(AV210:DA210)</f>
        <v>572400000</v>
      </c>
      <c r="AD211" s="69" t="str">
        <f>IF(AC211&lt;60,"1",IF(AC211&lt;=43200,"2",IF(AC211&lt;=777600,"3","4")))</f>
        <v>4</v>
      </c>
      <c r="AE211" s="87">
        <f>AA211-Y211</f>
        <v>1304640000</v>
      </c>
      <c r="AF211" s="88">
        <f>AV211</f>
        <v>0.61</v>
      </c>
      <c r="AG211" s="72">
        <f>((AW211-AV211)+(AX211-AW211)+(AY211-AX211)+(AZ211-AY211))/4</f>
        <v>-4.8931704849767499E-2</v>
      </c>
      <c r="AH211" s="4"/>
      <c r="AI211" s="72">
        <f>RSQ(AV211:AZ211,AV210:AZ210)</f>
        <v>0.49067137770424346</v>
      </c>
      <c r="AJ211" s="110">
        <f>SLOPE(AV211:AZ211,AV210:AZ210)</f>
        <v>-2.0836292105184793E-10</v>
      </c>
      <c r="AK211" s="72">
        <f>INTERCEPT(AV211:AZ211,AV210:AZ210)</f>
        <v>0.64726832482973917</v>
      </c>
      <c r="AL211" s="72">
        <f>INDEX(LINEST(LN(AV211:AZ211),LN(AV210:AZ210),TRUE,TRUE),3,1)</f>
        <v>0.4263886858403631</v>
      </c>
      <c r="AM211" s="72">
        <f>INDEX(LINEST(LN(AV211:AZ211),LN(AV210:AZ210)),1)</f>
        <v>-0.15811696857948115</v>
      </c>
      <c r="AN211" s="72">
        <f>EXP(INDEX(LINEST(LN(AV211:AZ211),LN(AV210:AZ210)),1,2))</f>
        <v>12.117229711310106</v>
      </c>
      <c r="AO211" s="89">
        <f>INDEX(LINEST((AV211:AZ211),LN(AV210:AZ210),TRUE,TRUE),3,1)</f>
        <v>0.43731729304159439</v>
      </c>
      <c r="AP211" s="89">
        <f>INDEX(LINEST((AV211:AZ211),LN(AV210:AZ210)),1)</f>
        <v>-8.1903520536440885E-2</v>
      </c>
      <c r="AQ211" s="90">
        <f>INDEX(LINEST(LN(AV211:AZ211),SQRT(AV210:AZ210),TRUE,TRUE),3,1)</f>
        <v>0.46402787703792703</v>
      </c>
      <c r="AR211" s="117">
        <f>INDEX(LINEST(LN(AV211:AZ211),SQRT((AV210:AZ210))),1)</f>
        <v>-1.7060406508265118E-5</v>
      </c>
      <c r="AS211" s="91">
        <f>INDEX(LINEST(1/(AV211:AZ211),1/(SQRT(AV210:AZ210)),TRUE,TRUE),3,1)</f>
        <v>0.36184924848483002</v>
      </c>
      <c r="AT211" s="91">
        <f>INDEX(LINEST(1/(AV211:AZ211),1/SQRT(AV210:AZ210)),1)</f>
        <v>-9991.1491569357786</v>
      </c>
      <c r="AU211" s="3"/>
      <c r="AV211" s="102">
        <v>0.61</v>
      </c>
      <c r="AW211" s="73">
        <v>0.64292868762205901</v>
      </c>
      <c r="AX211" s="73">
        <v>0.41549049349542999</v>
      </c>
      <c r="AY211" s="73">
        <v>0.55731458237988796</v>
      </c>
      <c r="AZ211" s="73">
        <v>0.41427318060092999</v>
      </c>
      <c r="BA211" s="53"/>
      <c r="BB211" s="53"/>
      <c r="BC211" s="53"/>
      <c r="BD211" s="53"/>
      <c r="BE211" s="53"/>
      <c r="BF211" s="53"/>
      <c r="BG211" s="53"/>
      <c r="BH211" s="53"/>
      <c r="BI211" s="53"/>
      <c r="BJ211" s="53"/>
      <c r="BK211" s="53"/>
      <c r="BL211" s="53"/>
      <c r="BM211" s="53"/>
      <c r="BN211" s="53"/>
      <c r="BO211" s="53"/>
      <c r="BP211" s="53"/>
      <c r="BQ211" s="53"/>
      <c r="BR211" s="53"/>
      <c r="BS211" s="53"/>
      <c r="BT211" s="53"/>
      <c r="BU211" s="53"/>
      <c r="BV211" s="53"/>
      <c r="BW211" s="53"/>
      <c r="BX211" s="53"/>
      <c r="BY211" s="53"/>
      <c r="BZ211" s="53"/>
      <c r="CA211" s="53"/>
      <c r="CB211" s="53"/>
      <c r="CC211" s="53"/>
      <c r="CD211" s="53"/>
      <c r="CE211" s="53"/>
      <c r="CF211" s="53"/>
      <c r="CG211" s="53"/>
      <c r="CH211" s="53"/>
      <c r="CI211" s="53"/>
      <c r="CJ211" s="53"/>
      <c r="CK211" s="53"/>
      <c r="CL211" s="53"/>
      <c r="CM211" s="53"/>
      <c r="CN211" s="53"/>
      <c r="CO211" s="53"/>
      <c r="CP211" s="53"/>
      <c r="CQ211" s="53"/>
      <c r="CR211" s="1"/>
      <c r="CS211" s="1"/>
      <c r="CT211" s="1"/>
      <c r="CU211" s="1"/>
    </row>
    <row r="212" spans="1:99" s="13" customFormat="1" ht="12" customHeight="1" x14ac:dyDescent="0.2">
      <c r="A212" s="68">
        <v>43896</v>
      </c>
      <c r="B212" s="70"/>
      <c r="C212" s="67"/>
      <c r="D212" s="86"/>
      <c r="E212" s="87"/>
      <c r="F212" s="69"/>
      <c r="G212" s="69"/>
      <c r="H212" s="69"/>
      <c r="I212" s="69"/>
      <c r="J212" s="69"/>
      <c r="K212" s="107"/>
      <c r="L212" s="107"/>
      <c r="M212" s="69"/>
      <c r="N212" s="92"/>
      <c r="O212" s="69"/>
      <c r="P212" s="69"/>
      <c r="Q212" s="69"/>
      <c r="R212" s="69"/>
      <c r="S212" s="69"/>
      <c r="T212" s="69"/>
      <c r="U212" s="69"/>
      <c r="V212" s="69"/>
      <c r="W212" s="69"/>
      <c r="X212" s="69"/>
      <c r="Y212" s="87"/>
      <c r="Z212" s="69"/>
      <c r="AA212" s="69"/>
      <c r="AB212" s="69"/>
      <c r="AC212" s="72"/>
      <c r="AD212" s="69"/>
      <c r="AE212" s="69"/>
      <c r="AF212" s="88"/>
      <c r="AG212" s="72"/>
      <c r="AH212" s="4"/>
      <c r="AI212" s="72"/>
      <c r="AJ212" s="110"/>
      <c r="AK212" s="72"/>
      <c r="AL212" s="72"/>
      <c r="AM212" s="72"/>
      <c r="AN212" s="72"/>
      <c r="AO212" s="72"/>
      <c r="AP212" s="72"/>
      <c r="AQ212" s="72"/>
      <c r="AR212" s="110"/>
      <c r="AS212" s="72"/>
      <c r="AT212" s="72"/>
      <c r="AU212" s="5"/>
      <c r="AV212" s="71">
        <v>315360000</v>
      </c>
      <c r="AW212" s="71">
        <v>630720000</v>
      </c>
      <c r="AX212" s="71">
        <v>946080000</v>
      </c>
      <c r="AY212" s="53"/>
      <c r="AZ212" s="53"/>
      <c r="BA212" s="53"/>
      <c r="BB212" s="53"/>
      <c r="BC212" s="53"/>
      <c r="BD212" s="53"/>
      <c r="BE212" s="53"/>
      <c r="BF212" s="53"/>
      <c r="BG212" s="53"/>
      <c r="BH212" s="53"/>
      <c r="BI212" s="53"/>
      <c r="BJ212" s="53"/>
      <c r="BK212" s="53"/>
      <c r="BL212" s="53"/>
      <c r="BM212" s="53"/>
      <c r="BN212" s="53"/>
      <c r="BO212" s="53"/>
      <c r="BP212" s="53"/>
      <c r="BQ212" s="53"/>
      <c r="BR212" s="53"/>
      <c r="BS212" s="53"/>
      <c r="BT212" s="53"/>
      <c r="BU212" s="53"/>
      <c r="BV212" s="53"/>
      <c r="BW212" s="53"/>
      <c r="BX212" s="53"/>
      <c r="BY212" s="53"/>
      <c r="BZ212" s="53"/>
      <c r="CA212" s="53"/>
      <c r="CB212" s="53"/>
      <c r="CC212" s="53"/>
      <c r="CD212" s="53"/>
      <c r="CE212" s="53"/>
      <c r="CF212" s="53"/>
      <c r="CG212" s="53"/>
      <c r="CH212" s="53"/>
      <c r="CI212" s="53"/>
      <c r="CJ212" s="53"/>
      <c r="CK212" s="53"/>
      <c r="CL212" s="53"/>
      <c r="CM212" s="53"/>
      <c r="CN212" s="53"/>
      <c r="CO212" s="53"/>
      <c r="CP212" s="53"/>
      <c r="CQ212" s="53"/>
      <c r="CR212" s="1"/>
      <c r="CS212" s="1"/>
      <c r="CT212" s="1"/>
      <c r="CU212" s="1"/>
    </row>
    <row r="213" spans="1:99" s="13" customFormat="1" ht="12" customHeight="1" x14ac:dyDescent="0.2">
      <c r="A213" s="68">
        <v>43896</v>
      </c>
      <c r="B213" s="70" t="s">
        <v>354</v>
      </c>
      <c r="C213" s="70" t="s">
        <v>355</v>
      </c>
      <c r="D213" s="69">
        <v>1996</v>
      </c>
      <c r="E213" s="87">
        <v>2</v>
      </c>
      <c r="F213" s="69">
        <v>4</v>
      </c>
      <c r="G213" s="69">
        <v>4</v>
      </c>
      <c r="H213" s="69" t="s">
        <v>17</v>
      </c>
      <c r="I213" s="69" t="s">
        <v>330</v>
      </c>
      <c r="J213" s="69" t="s">
        <v>340</v>
      </c>
      <c r="K213" s="69">
        <f>IF(J213="syllables",1,IF(J213="trigrams",2,IF(J213="strings",3,IF(J213="visual array",4,IF(J213="characters",5,IF(J213="letters",6,IF(J213="free forms",7,IF(J213="odors",8,IF(J213="words",9,IF(J213="pictures",10,IF(J213="object pictures",11,IF(J213="faces",12,IF(J213="names",13,IF(J213="idioms",14,IF(J213="grades",15,IF(J213="syllable-digit pairs",16,IF(J213="trigram-word pairs",17,IF(J213="word-digit pairs",18,IF(J213="English-Swahili pairs",19,IF(J213="spatial position",20,IF(J213="word pairs",21,IF(J213="word triads",22,IF(J213="generated words",23,IF(J213="word definition pairs",24,IF(J213="math problems",25,IF(J213="famous faces",26,IF(J213="famous names",27,IF(J213="famous voices",28,IF(J213="television programs",29,IF(J213="race horses",30,IF(J213="new vocabulary",31,IF(J213="sentences",32,IF(J213="concepts",33,IF(J213="ad slides",34,IF(J213="scenes",35,IF(J213="famous scenes",36,IF(J213="poems",37,IF(J213="walk",38,IF(J213="faces and events",39,IF(J213="events and names",40,IF(J213="flashbulb",41,IF(J213="stories",42,IF(J213="course material",43,IF(J213="autobiographical",44,IF(J213="novels",45,IF(J213="public events",46,"99"))))))))))))))))))))))))))))))))))))))))))))))</f>
        <v>46</v>
      </c>
      <c r="L213" s="69">
        <f>IF(J213="syllables",1,IF(J213="trigrams",1,IF(J213="strings",1,IF(J213="visual array",1,IF(J213="characters",1,IF(J213="letters",1,IF(J213="free forms",1,IF(J213="odors",2,IF(J213="words",2,IF(J213="pictures",2,IF(J213="object pictures",2,IF(J213="faces",2,IF(J213="names",2,IF(J213="idioms","2",IF(J213="grades",2,IF(J213="syllable-digit pairs",3,IF(J213="trigram-word pairs",3,IF(J213="word-digit pairs",3,IF(J213="English-Swahili pairs",3,IF(J213="spatial position",3,IF(J213="word pairs",4,IF(J213="word triads",4,IF(J213="generated words",4,IF(J213="word definition pairs",4,IF(J213="math problems",4,IF(J213="famous faces",4,IF(J213="famous names",4,IF(J213="famous voices",4,IF(J213="television programs",4,IF(J213="race horses",4,IF(J213="new vocabulary",4,IF(J213="sentences",5,IF(J213="concepts",5,IF(J213="ad slides",5,IF(J213="scenes",5,IF(J213="famous scenes",5,IF(J213="poems",6,IF(J213="walk",6,IF(J213="faces and events",6,IF(J213="events and names",6,IF(J213="flashbulb",7,IF(J213="stories",7,IF(J213="course material",7,IF(J213="autobiographical",7,IF(J213="novels",7,IF(J213="public events",7,"99"))))))))))))))))))))))))))))))))))))))))))))))</f>
        <v>7</v>
      </c>
      <c r="M213" s="69">
        <v>1</v>
      </c>
      <c r="N213" s="92">
        <v>4</v>
      </c>
      <c r="O213" s="69">
        <v>0</v>
      </c>
      <c r="P213" s="69"/>
      <c r="Q213" s="69" t="s">
        <v>174</v>
      </c>
      <c r="R213" s="69">
        <f>IF(Q213="Free Recall",1,IF(Q213="Cued Recall",2,IF(Q213="Recognition",3,IF(Q213="Multiple Choice",4,IF(Q213="Savings",5,IF(Q213="Stem Completion",6,IF(Q213="Fragment Completion",7,IF(Q213="anagram solution",8,IF(Q213="Matching",9,IF(Q213="Problem Solving",10,"99"))))))))))</f>
        <v>1</v>
      </c>
      <c r="S213" s="69" t="s">
        <v>49</v>
      </c>
      <c r="T213" s="92" t="s">
        <v>581</v>
      </c>
      <c r="U213" s="69">
        <f>IF(T213="within",1,0)</f>
        <v>1</v>
      </c>
      <c r="V213" s="92">
        <v>30</v>
      </c>
      <c r="W213" s="69">
        <f>F213*V213</f>
        <v>120</v>
      </c>
      <c r="X213" s="69">
        <v>3</v>
      </c>
      <c r="Y213" s="87">
        <f>AV212</f>
        <v>315360000</v>
      </c>
      <c r="Z213" s="92" t="s">
        <v>332</v>
      </c>
      <c r="AA213" s="69">
        <f>30*365*24*60*60</f>
        <v>946080000</v>
      </c>
      <c r="AB213" s="69" t="str">
        <f>IF(AA213&lt;60,"1",IF(AA213&lt;=43200,"2",IF(AA213&lt;=777600,"3","4")))</f>
        <v>4</v>
      </c>
      <c r="AC213" s="72">
        <f>AVERAGE(AV212:DA212)</f>
        <v>630720000</v>
      </c>
      <c r="AD213" s="69" t="str">
        <f>IF(AC213&lt;60,"1",IF(AC213&lt;=43200,"2",IF(AC213&lt;=777600,"3","4")))</f>
        <v>4</v>
      </c>
      <c r="AE213" s="87">
        <f>AA213-Y213</f>
        <v>630720000</v>
      </c>
      <c r="AF213" s="88">
        <f>AV213</f>
        <v>0.59090909090909094</v>
      </c>
      <c r="AG213" s="72">
        <f>((AW213-AV213)+(AX213-AW213))/2</f>
        <v>-1.2845849802371578E-2</v>
      </c>
      <c r="AH213" s="4"/>
      <c r="AI213" s="72">
        <f>RSQ(AV213:AX213,AV212:AX212)</f>
        <v>5.4600991425409699E-3</v>
      </c>
      <c r="AJ213" s="110">
        <f>SLOPE(AV213:AX213,AV212:AX212)</f>
        <v>-4.0733922508788623E-11</v>
      </c>
      <c r="AK213" s="72">
        <f>INTERCEPT(AV213:AX213,AV212:AX212)</f>
        <v>0.50365978626848207</v>
      </c>
      <c r="AL213" s="72">
        <f>INDEX(LINEST(LN(AV213:AX213),LN(AV212:AX212),TRUE,TRUE),3,1)</f>
        <v>4.0467150218354973E-2</v>
      </c>
      <c r="AM213" s="72">
        <f>INDEX(LINEST(LN(AV213:AX213),LN(AV212:AX212)),1)</f>
        <v>-0.15337101198759301</v>
      </c>
      <c r="AN213" s="72">
        <f>EXP(INDEX(LINEST(LN(AV213:AX213),LN(AV212:AX212)),1,2))</f>
        <v>9.9784652043438875</v>
      </c>
      <c r="AO213" s="89">
        <f>INDEX(LINEST((AV213:AX213),LN(AV212:AX212),TRUE,TRUE),3,1)</f>
        <v>4.9345947846071173E-2</v>
      </c>
      <c r="AP213" s="89">
        <f>INDEX(LINEST((AV213:AX213),LN(AV212:AX212)),1)</f>
        <v>-6.9513066573456184E-2</v>
      </c>
      <c r="AQ213" s="90">
        <f>INDEX(LINEST(LN(AV213:AX213),SQRT(AV212:AX212),TRUE,TRUE),3,1)</f>
        <v>1.6386496008256157E-2</v>
      </c>
      <c r="AR213" s="117">
        <f>INDEX(LINEST(LN(AV213:AX213),SQRT((AV212:AX212))),1)</f>
        <v>-8.3174732894637526E-6</v>
      </c>
      <c r="AS213" s="91">
        <f>INDEX(LINEST(1/(AV213:AX213),1/(SQRT(AV212:AX212)),TRUE,TRUE),3,1)</f>
        <v>6.3573993015720587E-2</v>
      </c>
      <c r="AT213" s="91">
        <f>INDEX(LINEST(1/(AV213:AX213),1/SQRT(AV212:AX212)),1)</f>
        <v>-22332.930360615093</v>
      </c>
      <c r="AU213" s="3"/>
      <c r="AV213" s="73">
        <v>0.59090909090909094</v>
      </c>
      <c r="AW213" s="73">
        <v>0.27777777777777779</v>
      </c>
      <c r="AX213" s="73">
        <v>0.56521739130434778</v>
      </c>
      <c r="AY213" s="53"/>
      <c r="AZ213" s="53"/>
      <c r="BA213" s="53"/>
      <c r="BB213" s="53"/>
      <c r="BC213" s="53"/>
      <c r="BD213" s="53"/>
      <c r="BE213" s="53"/>
      <c r="BF213" s="53"/>
      <c r="BG213" s="53"/>
      <c r="BH213" s="53"/>
      <c r="BI213" s="53"/>
      <c r="BJ213" s="53"/>
      <c r="BK213" s="53"/>
      <c r="BL213" s="53"/>
      <c r="BM213" s="53"/>
      <c r="BN213" s="53"/>
      <c r="BO213" s="53"/>
      <c r="BP213" s="53"/>
      <c r="BQ213" s="53"/>
      <c r="BR213" s="53"/>
      <c r="BS213" s="53"/>
      <c r="BT213" s="53"/>
      <c r="BU213" s="53"/>
      <c r="BV213" s="53"/>
      <c r="BW213" s="53"/>
      <c r="BX213" s="53"/>
      <c r="BY213" s="53"/>
      <c r="BZ213" s="53"/>
      <c r="CA213" s="53"/>
      <c r="CB213" s="53"/>
      <c r="CC213" s="53"/>
      <c r="CD213" s="53"/>
      <c r="CE213" s="53"/>
      <c r="CF213" s="53"/>
      <c r="CG213" s="53"/>
      <c r="CH213" s="53"/>
      <c r="CI213" s="53"/>
      <c r="CJ213" s="53"/>
      <c r="CK213" s="53"/>
      <c r="CL213" s="53"/>
      <c r="CM213" s="53"/>
      <c r="CN213" s="53"/>
      <c r="CO213" s="53"/>
      <c r="CP213" s="53"/>
      <c r="CQ213" s="53"/>
      <c r="CR213" s="1"/>
      <c r="CS213" s="1"/>
      <c r="CT213" s="1"/>
      <c r="CU213" s="1"/>
    </row>
    <row r="214" spans="1:99" s="13" customFormat="1" ht="12" customHeight="1" x14ac:dyDescent="0.2">
      <c r="A214" s="68">
        <v>43896</v>
      </c>
      <c r="B214" s="70"/>
      <c r="C214" s="67"/>
      <c r="D214" s="86"/>
      <c r="E214" s="87"/>
      <c r="F214" s="69"/>
      <c r="G214" s="69"/>
      <c r="H214" s="69"/>
      <c r="I214" s="69"/>
      <c r="J214" s="69"/>
      <c r="K214" s="107"/>
      <c r="L214" s="107"/>
      <c r="M214" s="69"/>
      <c r="N214" s="92"/>
      <c r="O214" s="69"/>
      <c r="P214" s="69"/>
      <c r="Q214" s="69"/>
      <c r="R214" s="69"/>
      <c r="S214" s="69"/>
      <c r="T214" s="69"/>
      <c r="U214" s="69"/>
      <c r="V214" s="69"/>
      <c r="W214" s="69"/>
      <c r="X214" s="69"/>
      <c r="Y214" s="87"/>
      <c r="Z214" s="69"/>
      <c r="AA214" s="69"/>
      <c r="AB214" s="69"/>
      <c r="AC214" s="72"/>
      <c r="AD214" s="69"/>
      <c r="AE214" s="69"/>
      <c r="AF214" s="88"/>
      <c r="AG214" s="72"/>
      <c r="AH214" s="4"/>
      <c r="AI214" s="72"/>
      <c r="AJ214" s="110"/>
      <c r="AK214" s="72"/>
      <c r="AL214" s="72"/>
      <c r="AM214" s="72"/>
      <c r="AN214" s="72"/>
      <c r="AO214" s="72"/>
      <c r="AP214" s="72"/>
      <c r="AQ214" s="72"/>
      <c r="AR214" s="110"/>
      <c r="AS214" s="72"/>
      <c r="AT214" s="72"/>
      <c r="AU214" s="5"/>
      <c r="AV214" s="71">
        <v>315360000</v>
      </c>
      <c r="AW214" s="71">
        <v>630720000</v>
      </c>
      <c r="AX214" s="71">
        <v>946080000</v>
      </c>
      <c r="AY214" s="53"/>
      <c r="AZ214" s="53"/>
      <c r="BA214" s="53"/>
      <c r="BB214" s="53"/>
      <c r="BC214" s="53"/>
      <c r="BD214" s="53"/>
      <c r="BE214" s="53"/>
      <c r="BF214" s="53"/>
      <c r="BG214" s="53"/>
      <c r="BH214" s="53"/>
      <c r="BI214" s="53"/>
      <c r="BJ214" s="53"/>
      <c r="BK214" s="53"/>
      <c r="BL214" s="53"/>
      <c r="BM214" s="53"/>
      <c r="BN214" s="53"/>
      <c r="BO214" s="53"/>
      <c r="BP214" s="53"/>
      <c r="BQ214" s="53"/>
      <c r="BR214" s="53"/>
      <c r="BS214" s="53"/>
      <c r="BT214" s="53"/>
      <c r="BU214" s="53"/>
      <c r="BV214" s="53"/>
      <c r="BW214" s="53"/>
      <c r="BX214" s="53"/>
      <c r="BY214" s="53"/>
      <c r="BZ214" s="53"/>
      <c r="CA214" s="53"/>
      <c r="CB214" s="53"/>
      <c r="CC214" s="53"/>
      <c r="CD214" s="53"/>
      <c r="CE214" s="53"/>
      <c r="CF214" s="53"/>
      <c r="CG214" s="53"/>
      <c r="CH214" s="53"/>
      <c r="CI214" s="53"/>
      <c r="CJ214" s="53"/>
      <c r="CK214" s="53"/>
      <c r="CL214" s="53"/>
      <c r="CM214" s="53"/>
      <c r="CN214" s="53"/>
      <c r="CO214" s="53"/>
      <c r="CP214" s="53"/>
      <c r="CQ214" s="53"/>
      <c r="CR214" s="1"/>
      <c r="CS214" s="1"/>
      <c r="CT214" s="1"/>
      <c r="CU214" s="1"/>
    </row>
    <row r="215" spans="1:99" s="13" customFormat="1" ht="12" customHeight="1" x14ac:dyDescent="0.2">
      <c r="A215" s="68">
        <v>43896</v>
      </c>
      <c r="B215" s="70" t="s">
        <v>354</v>
      </c>
      <c r="C215" s="70" t="s">
        <v>355</v>
      </c>
      <c r="D215" s="69">
        <v>1996</v>
      </c>
      <c r="E215" s="87">
        <v>2</v>
      </c>
      <c r="F215" s="69">
        <v>4</v>
      </c>
      <c r="G215" s="69">
        <v>4</v>
      </c>
      <c r="H215" s="69" t="s">
        <v>17</v>
      </c>
      <c r="I215" s="69" t="s">
        <v>330</v>
      </c>
      <c r="J215" s="69" t="s">
        <v>340</v>
      </c>
      <c r="K215" s="69">
        <f>IF(J215="syllables",1,IF(J215="trigrams",2,IF(J215="strings",3,IF(J215="visual array",4,IF(J215="characters",5,IF(J215="letters",6,IF(J215="free forms",7,IF(J215="odors",8,IF(J215="words",9,IF(J215="pictures",10,IF(J215="object pictures",11,IF(J215="faces",12,IF(J215="names",13,IF(J215="idioms",14,IF(J215="grades",15,IF(J215="syllable-digit pairs",16,IF(J215="trigram-word pairs",17,IF(J215="word-digit pairs",18,IF(J215="English-Swahili pairs",19,IF(J215="spatial position",20,IF(J215="word pairs",21,IF(J215="word triads",22,IF(J215="generated words",23,IF(J215="word definition pairs",24,IF(J215="math problems",25,IF(J215="famous faces",26,IF(J215="famous names",27,IF(J215="famous voices",28,IF(J215="television programs",29,IF(J215="race horses",30,IF(J215="new vocabulary",31,IF(J215="sentences",32,IF(J215="concepts",33,IF(J215="ad slides",34,IF(J215="scenes",35,IF(J215="famous scenes",36,IF(J215="poems",37,IF(J215="walk",38,IF(J215="faces and events",39,IF(J215="events and names",40,IF(J215="flashbulb",41,IF(J215="stories",42,IF(J215="course material",43,IF(J215="autobiographical",44,IF(J215="novels",45,IF(J215="public events",46,"99"))))))))))))))))))))))))))))))))))))))))))))))</f>
        <v>46</v>
      </c>
      <c r="L215" s="69">
        <f>IF(J215="syllables",1,IF(J215="trigrams",1,IF(J215="strings",1,IF(J215="visual array",1,IF(J215="characters",1,IF(J215="letters",1,IF(J215="free forms",1,IF(J215="odors",2,IF(J215="words",2,IF(J215="pictures",2,IF(J215="object pictures",2,IF(J215="faces",2,IF(J215="names",2,IF(J215="idioms","2",IF(J215="grades",2,IF(J215="syllable-digit pairs",3,IF(J215="trigram-word pairs",3,IF(J215="word-digit pairs",3,IF(J215="English-Swahili pairs",3,IF(J215="spatial position",3,IF(J215="word pairs",4,IF(J215="word triads",4,IF(J215="generated words",4,IF(J215="word definition pairs",4,IF(J215="math problems",4,IF(J215="famous faces",4,IF(J215="famous names",4,IF(J215="famous voices",4,IF(J215="television programs",4,IF(J215="race horses",4,IF(J215="new vocabulary",4,IF(J215="sentences",5,IF(J215="concepts",5,IF(J215="ad slides",5,IF(J215="scenes",5,IF(J215="famous scenes",5,IF(J215="poems",6,IF(J215="walk",6,IF(J215="faces and events",6,IF(J215="events and names",6,IF(J215="flashbulb",7,IF(J215="stories",7,IF(J215="course material",7,IF(J215="autobiographical",7,IF(J215="novels",7,IF(J215="public events",7,"99"))))))))))))))))))))))))))))))))))))))))))))))</f>
        <v>7</v>
      </c>
      <c r="M215" s="69">
        <v>1</v>
      </c>
      <c r="N215" s="92">
        <v>4</v>
      </c>
      <c r="O215" s="69">
        <v>0</v>
      </c>
      <c r="P215" s="69"/>
      <c r="Q215" s="69" t="s">
        <v>182</v>
      </c>
      <c r="R215" s="69">
        <f>IF(Q215="Free Recall",1,IF(Q215="Cued Recall",2,IF(Q215="Recognition",3,IF(Q215="Multiple Choice",4,IF(Q215="Savings",5,IF(Q215="Stem Completion",6,IF(Q215="Fragment Completion",7,IF(Q215="anagram solution",8,IF(Q215="Matching",9,IF(Q215="Problem Solving",10,"99"))))))))))</f>
        <v>4</v>
      </c>
      <c r="S215" s="69" t="s">
        <v>15</v>
      </c>
      <c r="T215" s="92" t="s">
        <v>581</v>
      </c>
      <c r="U215" s="69">
        <f>IF(T215="within",1,0)</f>
        <v>1</v>
      </c>
      <c r="V215" s="92">
        <v>30</v>
      </c>
      <c r="W215" s="69">
        <f>F215*V215</f>
        <v>120</v>
      </c>
      <c r="X215" s="69">
        <v>3</v>
      </c>
      <c r="Y215" s="87">
        <f>AV214</f>
        <v>315360000</v>
      </c>
      <c r="Z215" s="92" t="s">
        <v>332</v>
      </c>
      <c r="AA215" s="69">
        <f>30*365*24*60*60</f>
        <v>946080000</v>
      </c>
      <c r="AB215" s="69" t="str">
        <f>IF(AA215&lt;60,"1",IF(AA215&lt;=43200,"2",IF(AA215&lt;=777600,"3","4")))</f>
        <v>4</v>
      </c>
      <c r="AC215" s="72">
        <f>AVERAGE(AV214:DA214)</f>
        <v>630720000</v>
      </c>
      <c r="AD215" s="69" t="str">
        <f>IF(AC215&lt;60,"1",IF(AC215&lt;=43200,"2",IF(AC215&lt;=777600,"3","4")))</f>
        <v>4</v>
      </c>
      <c r="AE215" s="87">
        <f>AA215-Y215</f>
        <v>630720000</v>
      </c>
      <c r="AF215" s="88">
        <f>AV215</f>
        <v>0.94736842105263175</v>
      </c>
      <c r="AG215" s="72">
        <f>((AW215-AV215)+(AX215-AW215))/2</f>
        <v>-1.9736842105263275E-2</v>
      </c>
      <c r="AH215" s="4"/>
      <c r="AI215" s="72">
        <f>RSQ(AV215:AX215,AV214:AX214)</f>
        <v>6.1524269088845333E-2</v>
      </c>
      <c r="AJ215" s="110">
        <f>SLOPE(AV215:AX215,AV214:AX214)</f>
        <v>-6.2585115757430473E-11</v>
      </c>
      <c r="AK215" s="72">
        <f>INTERCEPT(AV215:AX215,AV214:AX214)</f>
        <v>0.92260061919504677</v>
      </c>
      <c r="AL215" s="72">
        <f>INDEX(LINEST(LN(AV215:AX215),LN(AV214:AX214),TRUE,TRUE),3,1)</f>
        <v>0.13982724723980744</v>
      </c>
      <c r="AM215" s="72">
        <f>INDEX(LINEST(LN(AV215:AX215),LN(AV214:AX214)),1)</f>
        <v>-6.1980810106602814E-2</v>
      </c>
      <c r="AN215" s="72">
        <f>EXP(INDEX(LINEST(LN(AV215:AX215),LN(AV214:AX214)),1,2))</f>
        <v>3.0736387064552058</v>
      </c>
      <c r="AO215" s="89">
        <f>INDEX(LINEST((AV215:AX215),LN(AV214:AX214),TRUE,TRUE),3,1)</f>
        <v>0.15215324986027096</v>
      </c>
      <c r="AP215" s="89">
        <f>INDEX(LINEST((AV215:AX215),LN(AV214:AX214)),1)</f>
        <v>-5.5869293102102272E-2</v>
      </c>
      <c r="AQ215" s="90">
        <f>INDEX(LINEST(LN(AV215:AX215),SQRT(AV214:AX214),TRUE,TRUE),3,1)</f>
        <v>9.2517289553371615E-2</v>
      </c>
      <c r="AR215" s="117">
        <f>INDEX(LINEST(LN(AV215:AX215),SQRT((AV214:AX214))),1)</f>
        <v>-4.2966421940461913E-6</v>
      </c>
      <c r="AS215" s="91">
        <f>INDEX(LINEST(1/(AV215:AX215),1/(SQRT(AV214:AX214)),TRUE,TRUE),3,1)</f>
        <v>0.17812477423890216</v>
      </c>
      <c r="AT215" s="91">
        <f>INDEX(LINEST(1/(AV215:AX215),1/SQRT(AV214:AX214)),1)</f>
        <v>-3698.9380524000608</v>
      </c>
      <c r="AU215" s="3"/>
      <c r="AV215" s="73">
        <v>0.94736842105263175</v>
      </c>
      <c r="AW215" s="73">
        <v>0.79411764705882348</v>
      </c>
      <c r="AX215" s="73">
        <v>0.9078947368421052</v>
      </c>
      <c r="AY215" s="53"/>
      <c r="AZ215" s="53"/>
      <c r="BA215" s="53"/>
      <c r="BB215" s="53"/>
      <c r="BC215" s="53"/>
      <c r="BD215" s="53"/>
      <c r="BE215" s="53"/>
      <c r="BF215" s="53"/>
      <c r="BG215" s="53"/>
      <c r="BH215" s="53"/>
      <c r="BI215" s="53"/>
      <c r="BJ215" s="53"/>
      <c r="BK215" s="53"/>
      <c r="BL215" s="53"/>
      <c r="BM215" s="53"/>
      <c r="BN215" s="53"/>
      <c r="BO215" s="53"/>
      <c r="BP215" s="53"/>
      <c r="BQ215" s="53"/>
      <c r="BR215" s="53"/>
      <c r="BS215" s="53"/>
      <c r="BT215" s="53"/>
      <c r="BU215" s="53"/>
      <c r="BV215" s="53"/>
      <c r="BW215" s="53"/>
      <c r="BX215" s="53"/>
      <c r="BY215" s="53"/>
      <c r="BZ215" s="53"/>
      <c r="CA215" s="53"/>
      <c r="CB215" s="53"/>
      <c r="CC215" s="53"/>
      <c r="CD215" s="53"/>
      <c r="CE215" s="53"/>
      <c r="CF215" s="53"/>
      <c r="CG215" s="53"/>
      <c r="CH215" s="53"/>
      <c r="CI215" s="53"/>
      <c r="CJ215" s="53"/>
      <c r="CK215" s="53"/>
      <c r="CL215" s="53"/>
      <c r="CM215" s="53"/>
      <c r="CN215" s="53"/>
      <c r="CO215" s="53"/>
      <c r="CP215" s="53"/>
      <c r="CQ215" s="53"/>
      <c r="CR215" s="1"/>
      <c r="CS215" s="1"/>
      <c r="CT215" s="1"/>
      <c r="CU215" s="1"/>
    </row>
    <row r="216" spans="1:99" s="13" customFormat="1" ht="12" customHeight="1" x14ac:dyDescent="0.2">
      <c r="A216" s="65">
        <v>43896</v>
      </c>
      <c r="B216" s="1"/>
      <c r="C216" s="1"/>
      <c r="D216" s="60"/>
      <c r="E216" s="76"/>
      <c r="F216" s="60"/>
      <c r="G216" s="60"/>
      <c r="H216" s="60"/>
      <c r="I216" s="60"/>
      <c r="J216" s="60"/>
      <c r="K216" s="64"/>
      <c r="L216" s="64"/>
      <c r="M216" s="60"/>
      <c r="N216" s="59"/>
      <c r="O216" s="60"/>
      <c r="P216" s="60"/>
      <c r="Q216" s="60"/>
      <c r="R216" s="60"/>
      <c r="S216" s="60"/>
      <c r="T216" s="59"/>
      <c r="U216" s="60"/>
      <c r="V216" s="59"/>
      <c r="W216" s="60"/>
      <c r="X216" s="60"/>
      <c r="Y216" s="76"/>
      <c r="Z216" s="59"/>
      <c r="AA216" s="59"/>
      <c r="AB216" s="60"/>
      <c r="AC216" s="56"/>
      <c r="AD216" s="60"/>
      <c r="AE216" s="60"/>
      <c r="AF216" s="80"/>
      <c r="AG216" s="56"/>
      <c r="AH216" s="4"/>
      <c r="AI216" s="56"/>
      <c r="AJ216" s="109"/>
      <c r="AK216" s="56"/>
      <c r="AL216" s="56"/>
      <c r="AM216" s="56"/>
      <c r="AN216" s="56"/>
      <c r="AO216" s="82"/>
      <c r="AP216" s="82"/>
      <c r="AQ216" s="83"/>
      <c r="AR216" s="116"/>
      <c r="AS216" s="84"/>
      <c r="AT216" s="84"/>
      <c r="AU216" s="3"/>
      <c r="AV216" s="25">
        <v>157680000</v>
      </c>
      <c r="AW216" s="25">
        <v>473040000</v>
      </c>
      <c r="AX216" s="25">
        <v>788400000</v>
      </c>
      <c r="AY216" s="25">
        <v>1103760000</v>
      </c>
      <c r="AZ216" s="25">
        <v>1419120000</v>
      </c>
      <c r="BA216" s="25">
        <v>1576800000</v>
      </c>
      <c r="BB216" s="53"/>
      <c r="BC216" s="53"/>
      <c r="BD216" s="53"/>
      <c r="BE216" s="53"/>
      <c r="BF216" s="53"/>
      <c r="BG216" s="53"/>
      <c r="BH216" s="53"/>
      <c r="BI216" s="53"/>
      <c r="BJ216" s="53"/>
      <c r="BK216" s="53"/>
      <c r="BL216" s="53"/>
      <c r="BM216" s="53"/>
      <c r="BN216" s="53"/>
      <c r="BO216" s="53"/>
      <c r="BP216" s="53"/>
      <c r="BQ216" s="53"/>
      <c r="BR216" s="53"/>
      <c r="BS216" s="53"/>
      <c r="BT216" s="53"/>
      <c r="BU216" s="53"/>
      <c r="BV216" s="53"/>
      <c r="BW216" s="53"/>
      <c r="BX216" s="53"/>
      <c r="BY216" s="53"/>
      <c r="BZ216" s="53"/>
      <c r="CA216" s="53"/>
      <c r="CB216" s="53"/>
      <c r="CC216" s="53"/>
      <c r="CD216" s="53"/>
      <c r="CE216" s="53"/>
      <c r="CF216" s="53"/>
      <c r="CG216" s="53"/>
      <c r="CH216" s="53"/>
      <c r="CI216" s="53"/>
      <c r="CJ216" s="53"/>
      <c r="CK216" s="53"/>
      <c r="CL216" s="53"/>
      <c r="CM216" s="53"/>
      <c r="CN216" s="53"/>
      <c r="CO216" s="53"/>
      <c r="CP216" s="53"/>
      <c r="CQ216" s="53"/>
      <c r="CR216" s="1"/>
      <c r="CS216" s="1"/>
      <c r="CT216" s="1"/>
      <c r="CU216" s="1"/>
    </row>
    <row r="217" spans="1:99" s="13" customFormat="1" ht="12" customHeight="1" x14ac:dyDescent="0.2">
      <c r="A217" s="65">
        <v>43896</v>
      </c>
      <c r="B217" s="1" t="s">
        <v>356</v>
      </c>
      <c r="C217" s="1" t="s">
        <v>357</v>
      </c>
      <c r="D217" s="60">
        <v>1989</v>
      </c>
      <c r="E217" s="76">
        <v>1</v>
      </c>
      <c r="F217" s="60">
        <v>5</v>
      </c>
      <c r="G217" s="60">
        <v>5</v>
      </c>
      <c r="H217" s="60" t="s">
        <v>50</v>
      </c>
      <c r="I217" s="60" t="s">
        <v>330</v>
      </c>
      <c r="J217" s="60" t="s">
        <v>406</v>
      </c>
      <c r="K217" s="60">
        <f>IF(J217="syllables",1,IF(J217="trigrams",2,IF(J217="strings",3,IF(J217="visual array",4,IF(J217="characters",5,IF(J217="letters",6,IF(J217="free forms",7,IF(J217="odors",8,IF(J217="words",9,IF(J217="pictures",10,IF(J217="object pictures",11,IF(J217="faces",12,IF(J217="names",13,IF(J217="idioms",14,IF(J217="grades",15,IF(J217="syllable-digit pairs",16,IF(J217="trigram-word pairs",17,IF(J217="word-digit pairs",18,IF(J217="English-Swahili pairs",19,IF(J217="spatial position",20,IF(J217="word pairs",21,IF(J217="word triads",22,IF(J217="generated words",23,IF(J217="word definition pairs",24,IF(J217="math problems",25,IF(J217="famous faces",26,IF(J217="famous names",27,IF(J217="famous voices",28,IF(J217="television programs",29,IF(J217="race horses",30,IF(J217="new vocabulary",31,IF(J217="sentences",32,IF(J217="concepts",33,IF(J217="ad slides",34,IF(J217="scenes",35,IF(J217="famous scenes",36,IF(J217="poems",37,IF(J217="walk",38,IF(J217="faces and events",39,IF(J217="events and names",40,IF(J217="flashbulb",41,IF(J217="stories",42,IF(J217="course material",43,IF(J217="autobiographical",44,IF(J217="novels",45,IF(J217="public events",46,"99"))))))))))))))))))))))))))))))))))))))))))))))</f>
        <v>36</v>
      </c>
      <c r="L217" s="60">
        <f>IF(J217="syllables",1,IF(J217="trigrams",1,IF(J217="strings",1,IF(J217="visual array",1,IF(J217="characters",1,IF(J217="letters",1,IF(J217="free forms",1,IF(J217="odors",2,IF(J217="words",2,IF(J217="pictures",2,IF(J217="object pictures",2,IF(J217="faces",2,IF(J217="names",2,IF(J217="idioms","2",IF(J217="grades",2,IF(J217="syllable-digit pairs",3,IF(J217="trigram-word pairs",3,IF(J217="word-digit pairs",3,IF(J217="English-Swahili pairs",3,IF(J217="spatial position",3,IF(J217="word pairs",4,IF(J217="word triads",4,IF(J217="generated words",4,IF(J217="word definition pairs",4,IF(J217="math problems",4,IF(J217="famous faces",4,IF(J217="famous names",4,IF(J217="famous voices",4,IF(J217="television programs",4,IF(J217="race horses",4,IF(J217="new vocabulary",4,IF(J217="sentences",5,IF(J217="concepts",5,IF(J217="ad slides",5,IF(J217="scenes",5,IF(J217="famous scenes",5,IF(J217="poems",6,IF(J217="walk",6,IF(J217="faces and events",6,IF(J217="events and names",6,IF(J217="flashbulb",7,IF(J217="stories",7,IF(J217="course material",7,IF(J217="autobiographical",7,IF(J217="novels",7,IF(J217="public events",7,"99"))))))))))))))))))))))))))))))))))))))))))))))</f>
        <v>5</v>
      </c>
      <c r="M217" s="60">
        <v>1</v>
      </c>
      <c r="N217" s="59">
        <v>2</v>
      </c>
      <c r="O217" s="60">
        <v>0</v>
      </c>
      <c r="P217" s="60"/>
      <c r="Q217" s="60" t="s">
        <v>174</v>
      </c>
      <c r="R217" s="60">
        <f>IF(Q217="Free Recall",1,IF(Q217="Cued Recall",2,IF(Q217="Recognition",3,IF(Q217="Multiple Choice",4,IF(Q217="Savings",5,IF(Q217="Stem Completion",6,IF(Q217="Fragment Completion",7,IF(Q217="anagram solution",8,IF(Q217="Matching",9,IF(Q217="Problem Solving",10,"99"))))))))))</f>
        <v>1</v>
      </c>
      <c r="S217" s="60" t="s">
        <v>49</v>
      </c>
      <c r="T217" s="59" t="s">
        <v>581</v>
      </c>
      <c r="U217" s="60">
        <f>IF(T217="within",1,0)</f>
        <v>1</v>
      </c>
      <c r="V217" s="59">
        <v>50</v>
      </c>
      <c r="W217" s="60">
        <f>F217*V217</f>
        <v>250</v>
      </c>
      <c r="X217" s="60">
        <v>6</v>
      </c>
      <c r="Y217" s="76">
        <f>AV216</f>
        <v>157680000</v>
      </c>
      <c r="Z217" s="59" t="s">
        <v>209</v>
      </c>
      <c r="AA217" s="60">
        <f>50*365*24*60*60</f>
        <v>1576800000</v>
      </c>
      <c r="AB217" s="60" t="str">
        <f>IF(AA217&lt;60,"1",IF(AA217&lt;=43200,"2",IF(AA217&lt;=777600,"3","4")))</f>
        <v>4</v>
      </c>
      <c r="AC217" s="56">
        <f>AVERAGE(AV216:DA216)</f>
        <v>919800000</v>
      </c>
      <c r="AD217" s="60" t="str">
        <f>IF(AC217&lt;60,"1",IF(AC217&lt;=43200,"2",IF(AC217&lt;=777600,"3","4")))</f>
        <v>4</v>
      </c>
      <c r="AE217" s="76">
        <f>AA217-Y217</f>
        <v>1419120000</v>
      </c>
      <c r="AF217" s="80">
        <f>AV217</f>
        <v>0.54838709677419362</v>
      </c>
      <c r="AG217" s="58">
        <f>((AW217-AV217)+(AX217-AW217)+(AY217-AX217)+(AZ217-AY217)+(BA217-AZ217))/5</f>
        <v>-4.4142614601018872E-3</v>
      </c>
      <c r="AH217" s="4"/>
      <c r="AI217" s="56">
        <f>RSQ(AV217:BA217,AV216:BA216)</f>
        <v>6.0804030603599565E-3</v>
      </c>
      <c r="AJ217" s="109">
        <f>SLOPE(AV217:BA217,AV216:BA216)</f>
        <v>1.2301701099570879E-11</v>
      </c>
      <c r="AK217" s="56">
        <f>INTERCEPT(AV217:BA217,AV216:BA216)</f>
        <v>0.4500242652588165</v>
      </c>
      <c r="AL217" s="56">
        <f>INDEX(LINEST(LN(AV217:BA217),LN(AV216:BA216),TRUE,TRUE),3,1)</f>
        <v>3.0519225971509051E-2</v>
      </c>
      <c r="AM217" s="56">
        <f>INDEX(LINEST(LN(AV217:BA217),LN(AV216:BA216)),1)</f>
        <v>-3.9940156449601992E-2</v>
      </c>
      <c r="AN217" s="56">
        <f>EXP(INDEX(LINEST(LN(AV217:BA217),LN(AV216:BA216)),1,2))</f>
        <v>1.0257774710762311</v>
      </c>
      <c r="AO217" s="82">
        <f>INDEX(LINEST((AV217:BA217),LN(AV216:BA216),TRUE,TRUE),3,1)</f>
        <v>3.1283857192090848E-2</v>
      </c>
      <c r="AP217" s="82">
        <f>INDEX(LINEST((AV217:BA217),LN(AV216:BA216)),1)</f>
        <v>-1.7725249339361929E-2</v>
      </c>
      <c r="AQ217" s="83">
        <f>INDEX(LINEST(LN(AV217:BA217),SQRT(AV216:BA216),TRUE,TRUE),3,1)</f>
        <v>2.5683776752583425E-3</v>
      </c>
      <c r="AR217" s="116">
        <f>INDEX(LINEST(LN(AV217:BA217),SQRT((AV216:BA216))),1)</f>
        <v>-9.731673335397144E-7</v>
      </c>
      <c r="AS217" s="84">
        <f>INDEX(LINEST(1/(AV217:BA217),1/(SQRT(AV216:BA216)),TRUE,TRUE),3,1)</f>
        <v>7.5349279000194475E-2</v>
      </c>
      <c r="AT217" s="84">
        <f>INDEX(LINEST(1/(AV217:BA217),1/SQRT(AV216:BA216)),1)</f>
        <v>-6151.8516676914087</v>
      </c>
      <c r="AU217" s="3"/>
      <c r="AV217" s="53">
        <v>0.54838709677419362</v>
      </c>
      <c r="AW217" s="53">
        <v>0.4</v>
      </c>
      <c r="AX217" s="53">
        <v>0.43</v>
      </c>
      <c r="AY217" s="53">
        <v>0.33333333333333331</v>
      </c>
      <c r="AZ217" s="53">
        <v>0.53</v>
      </c>
      <c r="BA217" s="53">
        <v>0.52631578947368418</v>
      </c>
      <c r="BB217" s="53"/>
      <c r="BC217" s="53"/>
      <c r="BD217" s="53"/>
      <c r="BE217" s="53"/>
      <c r="BF217" s="53"/>
      <c r="BG217" s="53"/>
      <c r="BH217" s="53"/>
      <c r="BI217" s="53"/>
      <c r="BJ217" s="53"/>
      <c r="BK217" s="53"/>
      <c r="BL217" s="53"/>
      <c r="BM217" s="53"/>
      <c r="BN217" s="53"/>
      <c r="BO217" s="53"/>
      <c r="BP217" s="53"/>
      <c r="BQ217" s="53"/>
      <c r="BR217" s="53"/>
      <c r="BS217" s="53"/>
      <c r="BT217" s="53"/>
      <c r="BU217" s="53"/>
      <c r="BV217" s="53"/>
      <c r="BW217" s="53"/>
      <c r="BX217" s="53"/>
      <c r="BY217" s="53"/>
      <c r="BZ217" s="53"/>
      <c r="CA217" s="53"/>
      <c r="CB217" s="53"/>
      <c r="CC217" s="53"/>
      <c r="CD217" s="53"/>
      <c r="CE217" s="53"/>
      <c r="CF217" s="53"/>
      <c r="CG217" s="53"/>
      <c r="CH217" s="53"/>
      <c r="CI217" s="53"/>
      <c r="CJ217" s="53"/>
      <c r="CK217" s="53"/>
      <c r="CL217" s="53"/>
      <c r="CM217" s="53"/>
      <c r="CN217" s="53"/>
      <c r="CO217" s="53"/>
      <c r="CP217" s="53"/>
      <c r="CQ217" s="53"/>
      <c r="CR217" s="1"/>
      <c r="CS217" s="1"/>
      <c r="CT217" s="1"/>
      <c r="CU217" s="1"/>
    </row>
    <row r="218" spans="1:99" s="13" customFormat="1" ht="12" customHeight="1" x14ac:dyDescent="0.2">
      <c r="A218" s="65">
        <v>43896</v>
      </c>
      <c r="B218" s="1"/>
      <c r="C218" s="1"/>
      <c r="D218" s="60"/>
      <c r="E218" s="76"/>
      <c r="F218" s="60"/>
      <c r="G218" s="60"/>
      <c r="H218" s="60"/>
      <c r="I218" s="60"/>
      <c r="J218" s="60"/>
      <c r="K218" s="64"/>
      <c r="L218" s="64"/>
      <c r="M218" s="60"/>
      <c r="N218" s="59"/>
      <c r="O218" s="60"/>
      <c r="P218" s="60"/>
      <c r="Q218" s="60"/>
      <c r="R218" s="60"/>
      <c r="S218" s="60"/>
      <c r="T218" s="60"/>
      <c r="U218" s="60"/>
      <c r="V218" s="60"/>
      <c r="W218" s="60"/>
      <c r="X218" s="60"/>
      <c r="Y218" s="76"/>
      <c r="Z218" s="59"/>
      <c r="AA218" s="59"/>
      <c r="AB218" s="60"/>
      <c r="AC218" s="56"/>
      <c r="AD218" s="60"/>
      <c r="AE218" s="60"/>
      <c r="AF218" s="80"/>
      <c r="AG218" s="56"/>
      <c r="AH218" s="4"/>
      <c r="AI218" s="56"/>
      <c r="AJ218" s="109"/>
      <c r="AK218" s="56"/>
      <c r="AL218" s="56"/>
      <c r="AM218" s="56"/>
      <c r="AN218" s="56"/>
      <c r="AO218" s="82"/>
      <c r="AP218" s="82"/>
      <c r="AQ218" s="83"/>
      <c r="AR218" s="116"/>
      <c r="AS218" s="84"/>
      <c r="AT218" s="84"/>
      <c r="AU218" s="3"/>
      <c r="AV218" s="25">
        <v>157680000</v>
      </c>
      <c r="AW218" s="25">
        <v>473040000</v>
      </c>
      <c r="AX218" s="25">
        <v>788400000</v>
      </c>
      <c r="AY218" s="25">
        <v>1103760000</v>
      </c>
      <c r="AZ218" s="25">
        <v>1419120000</v>
      </c>
      <c r="BA218" s="25">
        <v>1576800000</v>
      </c>
      <c r="BB218" s="53"/>
      <c r="BC218" s="53"/>
      <c r="BD218" s="53"/>
      <c r="BE218" s="53"/>
      <c r="BF218" s="53"/>
      <c r="BG218" s="53"/>
      <c r="BH218" s="53"/>
      <c r="BI218" s="53"/>
      <c r="BJ218" s="53"/>
      <c r="BK218" s="53"/>
      <c r="BL218" s="53"/>
      <c r="BM218" s="53"/>
      <c r="BN218" s="53"/>
      <c r="BO218" s="53"/>
      <c r="BP218" s="53"/>
      <c r="BQ218" s="53"/>
      <c r="BR218" s="53"/>
      <c r="BS218" s="53"/>
      <c r="BT218" s="53"/>
      <c r="BU218" s="53"/>
      <c r="BV218" s="53"/>
      <c r="BW218" s="53"/>
      <c r="BX218" s="53"/>
      <c r="BY218" s="53"/>
      <c r="BZ218" s="53"/>
      <c r="CA218" s="53"/>
      <c r="CB218" s="53"/>
      <c r="CC218" s="53"/>
      <c r="CD218" s="53"/>
      <c r="CE218" s="53"/>
      <c r="CF218" s="53"/>
      <c r="CG218" s="53"/>
      <c r="CH218" s="53"/>
      <c r="CI218" s="53"/>
      <c r="CJ218" s="53"/>
      <c r="CK218" s="53"/>
      <c r="CL218" s="53"/>
      <c r="CM218" s="53"/>
      <c r="CN218" s="53"/>
      <c r="CO218" s="53"/>
      <c r="CP218" s="53"/>
      <c r="CQ218" s="53"/>
      <c r="CR218" s="1"/>
      <c r="CS218" s="1"/>
      <c r="CT218" s="1"/>
      <c r="CU218" s="1"/>
    </row>
    <row r="219" spans="1:99" s="13" customFormat="1" ht="12" customHeight="1" x14ac:dyDescent="0.2">
      <c r="A219" s="65">
        <v>43896</v>
      </c>
      <c r="B219" s="1" t="s">
        <v>356</v>
      </c>
      <c r="C219" s="1" t="s">
        <v>357</v>
      </c>
      <c r="D219" s="60">
        <v>1989</v>
      </c>
      <c r="E219" s="76">
        <v>1</v>
      </c>
      <c r="F219" s="60">
        <v>5</v>
      </c>
      <c r="G219" s="60">
        <v>5</v>
      </c>
      <c r="H219" s="60" t="s">
        <v>50</v>
      </c>
      <c r="I219" s="60" t="s">
        <v>330</v>
      </c>
      <c r="J219" s="60" t="s">
        <v>406</v>
      </c>
      <c r="K219" s="60">
        <f>IF(J219="syllables",1,IF(J219="trigrams",2,IF(J219="strings",3,IF(J219="visual array",4,IF(J219="characters",5,IF(J219="letters",6,IF(J219="free forms",7,IF(J219="odors",8,IF(J219="words",9,IF(J219="pictures",10,IF(J219="object pictures",11,IF(J219="faces",12,IF(J219="names",13,IF(J219="idioms",14,IF(J219="grades",15,IF(J219="syllable-digit pairs",16,IF(J219="trigram-word pairs",17,IF(J219="word-digit pairs",18,IF(J219="English-Swahili pairs",19,IF(J219="spatial position",20,IF(J219="word pairs",21,IF(J219="word triads",22,IF(J219="generated words",23,IF(J219="word definition pairs",24,IF(J219="math problems",25,IF(J219="famous faces",26,IF(J219="famous names",27,IF(J219="famous voices",28,IF(J219="television programs",29,IF(J219="race horses",30,IF(J219="new vocabulary",31,IF(J219="sentences",32,IF(J219="concepts",33,IF(J219="ad slides",34,IF(J219="scenes",35,IF(J219="famous scenes",36,IF(J219="poems",37,IF(J219="walk",38,IF(J219="faces and events",39,IF(J219="events and names",40,IF(J219="flashbulb",41,IF(J219="stories",42,IF(J219="course material",43,IF(J219="autobiographical",44,IF(J219="novels",45,IF(J219="public events",46,"99"))))))))))))))))))))))))))))))))))))))))))))))</f>
        <v>36</v>
      </c>
      <c r="L219" s="60">
        <f>IF(J219="syllables",1,IF(J219="trigrams",1,IF(J219="strings",1,IF(J219="visual array",1,IF(J219="characters",1,IF(J219="letters",1,IF(J219="free forms",1,IF(J219="odors",2,IF(J219="words",2,IF(J219="pictures",2,IF(J219="object pictures",2,IF(J219="faces",2,IF(J219="names",2,IF(J219="idioms","2",IF(J219="grades",2,IF(J219="syllable-digit pairs",3,IF(J219="trigram-word pairs",3,IF(J219="word-digit pairs",3,IF(J219="English-Swahili pairs",3,IF(J219="spatial position",3,IF(J219="word pairs",4,IF(J219="word triads",4,IF(J219="generated words",4,IF(J219="word definition pairs",4,IF(J219="math problems",4,IF(J219="famous faces",4,IF(J219="famous names",4,IF(J219="famous voices",4,IF(J219="television programs",4,IF(J219="race horses",4,IF(J219="new vocabulary",4,IF(J219="sentences",5,IF(J219="concepts",5,IF(J219="ad slides",5,IF(J219="scenes",5,IF(J219="famous scenes",5,IF(J219="poems",6,IF(J219="walk",6,IF(J219="faces and events",6,IF(J219="events and names",6,IF(J219="flashbulb",7,IF(J219="stories",7,IF(J219="course material",7,IF(J219="autobiographical",7,IF(J219="novels",7,IF(J219="public events",7,"99"))))))))))))))))))))))))))))))))))))))))))))))</f>
        <v>5</v>
      </c>
      <c r="M219" s="60">
        <v>1</v>
      </c>
      <c r="N219" s="59">
        <v>2</v>
      </c>
      <c r="O219" s="60">
        <v>0</v>
      </c>
      <c r="P219" s="60"/>
      <c r="Q219" s="60" t="s">
        <v>182</v>
      </c>
      <c r="R219" s="60">
        <f>IF(Q219="Free Recall",1,IF(Q219="Cued Recall",2,IF(Q219="Recognition",3,IF(Q219="Multiple Choice",4,IF(Q219="Savings",5,IF(Q219="Stem Completion",6,IF(Q219="Fragment Completion",7,IF(Q219="anagram solution",8,IF(Q219="Matching",9,IF(Q219="Problem Solving",10,"99"))))))))))</f>
        <v>4</v>
      </c>
      <c r="S219" s="60" t="s">
        <v>15</v>
      </c>
      <c r="T219" s="59" t="s">
        <v>581</v>
      </c>
      <c r="U219" s="60">
        <f>IF(T219="within",1,0)</f>
        <v>1</v>
      </c>
      <c r="V219" s="59">
        <v>50</v>
      </c>
      <c r="W219" s="60">
        <f>F219*V219</f>
        <v>250</v>
      </c>
      <c r="X219" s="60">
        <v>6</v>
      </c>
      <c r="Y219" s="76">
        <f>AV218</f>
        <v>157680000</v>
      </c>
      <c r="Z219" s="59" t="s">
        <v>209</v>
      </c>
      <c r="AA219" s="60">
        <f>50*365*24*60*60</f>
        <v>1576800000</v>
      </c>
      <c r="AB219" s="60" t="str">
        <f>IF(AA219&lt;60,"1",IF(AA219&lt;=43200,"2",IF(AA219&lt;=777600,"3","4")))</f>
        <v>4</v>
      </c>
      <c r="AC219" s="56">
        <f>AVERAGE(AV218:DA218)</f>
        <v>919800000</v>
      </c>
      <c r="AD219" s="60" t="str">
        <f>IF(AC219&lt;60,"1",IF(AC219&lt;=43200,"2",IF(AC219&lt;=777600,"3","4")))</f>
        <v>4</v>
      </c>
      <c r="AE219" s="76">
        <f>AA219-Y219</f>
        <v>1419120000</v>
      </c>
      <c r="AF219" s="80">
        <f>AV219</f>
        <v>0.78</v>
      </c>
      <c r="AG219" s="56">
        <f>((AW219-AV219)+(AX219-AW219)+(AY219-AX219)+(AZ219-AY219)+(BA219-AZ219))/5</f>
        <v>-1.9636363636363653E-2</v>
      </c>
      <c r="AH219" s="4"/>
      <c r="AI219" s="56">
        <f>RSQ(AV219:BA219,AV218:BA218)</f>
        <v>0.42085468549317068</v>
      </c>
      <c r="AJ219" s="109">
        <f>SLOPE(AV219:BA219,AV218:BA218)</f>
        <v>-5.8902746548415208E-11</v>
      </c>
      <c r="AK219" s="56">
        <f>INTERCEPT(AV219:BA219,AV218:BA218)</f>
        <v>0.81630266100784277</v>
      </c>
      <c r="AL219" s="56">
        <f>INDEX(LINEST(LN(AV219:BA219),LN(AV218:BA218),TRUE,TRUE),3,1)</f>
        <v>0.22106641232410407</v>
      </c>
      <c r="AM219" s="56">
        <f>INDEX(LINEST(LN(AV219:BA219),LN(AV218:BA218)),1)</f>
        <v>-3.6025596386846631E-2</v>
      </c>
      <c r="AN219" s="56">
        <f>EXP(INDEX(LINEST(LN(AV219:BA219),LN(AV218:BA218)),1,2))</f>
        <v>1.5864828962655713</v>
      </c>
      <c r="AO219" s="82">
        <f>INDEX(LINEST((AV219:BA219),LN(AV218:BA218),TRUE,TRUE),3,1)</f>
        <v>0.21050409344536361</v>
      </c>
      <c r="AP219" s="82">
        <f>INDEX(LINEST((AV219:BA219),LN(AV218:BA218)),1)</f>
        <v>-2.6462626970925905E-2</v>
      </c>
      <c r="AQ219" s="83">
        <f>INDEX(LINEST(LN(AV219:BA219),SQRT(AV218:BA218),TRUE,TRUE),3,1)</f>
        <v>0.32573241108472656</v>
      </c>
      <c r="AR219" s="116">
        <f>INDEX(LINEST(LN(AV219:BA219),SQRT((AV218:BA218))),1)</f>
        <v>-3.672952902553189E-6</v>
      </c>
      <c r="AS219" s="84">
        <f>INDEX(LINEST(1/(AV219:BA219),1/(SQRT(AV218:BA218)),TRUE,TRUE),3,1)</f>
        <v>0.1478109464975792</v>
      </c>
      <c r="AT219" s="84">
        <f>INDEX(LINEST(1/(AV219:BA219),1/SQRT(AV218:BA218)),1)</f>
        <v>-1651.6141572291006</v>
      </c>
      <c r="AU219" s="3"/>
      <c r="AV219" s="53">
        <v>0.78</v>
      </c>
      <c r="AW219" s="53">
        <v>0.76923076923076927</v>
      </c>
      <c r="AX219" s="53">
        <v>0.83333333333333337</v>
      </c>
      <c r="AY219" s="53">
        <v>0.76923076923076927</v>
      </c>
      <c r="AZ219" s="53">
        <v>0.73913043478260876</v>
      </c>
      <c r="BA219" s="53">
        <v>0.68181818181818177</v>
      </c>
      <c r="BB219" s="53"/>
      <c r="BC219" s="53"/>
      <c r="BD219" s="53"/>
      <c r="BE219" s="53"/>
      <c r="BF219" s="53"/>
      <c r="BG219" s="53"/>
      <c r="BH219" s="53"/>
      <c r="BI219" s="53"/>
      <c r="BJ219" s="53"/>
      <c r="BK219" s="53"/>
      <c r="BL219" s="53"/>
      <c r="BM219" s="53"/>
      <c r="BN219" s="53"/>
      <c r="BO219" s="53"/>
      <c r="BP219" s="53"/>
      <c r="BQ219" s="53"/>
      <c r="BR219" s="53"/>
      <c r="BS219" s="53"/>
      <c r="BT219" s="53"/>
      <c r="BU219" s="53"/>
      <c r="BV219" s="53"/>
      <c r="BW219" s="53"/>
      <c r="BX219" s="53"/>
      <c r="BY219" s="53"/>
      <c r="BZ219" s="53"/>
      <c r="CA219" s="53"/>
      <c r="CB219" s="53"/>
      <c r="CC219" s="53"/>
      <c r="CD219" s="53"/>
      <c r="CE219" s="53"/>
      <c r="CF219" s="53"/>
      <c r="CG219" s="53"/>
      <c r="CH219" s="53"/>
      <c r="CI219" s="53"/>
      <c r="CJ219" s="53"/>
      <c r="CK219" s="53"/>
      <c r="CL219" s="53"/>
      <c r="CM219" s="53"/>
      <c r="CN219" s="53"/>
      <c r="CO219" s="53"/>
      <c r="CP219" s="53"/>
      <c r="CQ219" s="53"/>
      <c r="CR219" s="1"/>
      <c r="CS219" s="1"/>
      <c r="CT219" s="1"/>
      <c r="CU219" s="1"/>
    </row>
    <row r="220" spans="1:99" s="13" customFormat="1" ht="12" customHeight="1" x14ac:dyDescent="0.2">
      <c r="A220" s="65">
        <v>43978</v>
      </c>
      <c r="B220" s="1"/>
      <c r="C220" s="1"/>
      <c r="D220" s="60"/>
      <c r="E220" s="76"/>
      <c r="F220" s="60"/>
      <c r="G220" s="60"/>
      <c r="H220" s="60"/>
      <c r="I220" s="60"/>
      <c r="J220" s="60"/>
      <c r="K220" s="60"/>
      <c r="L220" s="60"/>
      <c r="M220" s="60"/>
      <c r="N220" s="61"/>
      <c r="O220" s="60"/>
      <c r="P220" s="60"/>
      <c r="Q220" s="60"/>
      <c r="R220" s="60"/>
      <c r="S220" s="60"/>
      <c r="T220" s="59"/>
      <c r="U220" s="60"/>
      <c r="V220" s="59"/>
      <c r="W220" s="60"/>
      <c r="X220" s="60"/>
      <c r="Y220" s="76"/>
      <c r="Z220" s="59"/>
      <c r="AA220" s="59"/>
      <c r="AB220" s="60"/>
      <c r="AC220" s="56"/>
      <c r="AD220" s="60"/>
      <c r="AE220" s="76"/>
      <c r="AF220" s="80"/>
      <c r="AG220" s="56"/>
      <c r="AH220" s="4"/>
      <c r="AI220" s="56"/>
      <c r="AJ220" s="109"/>
      <c r="AK220" s="56"/>
      <c r="AL220" s="56"/>
      <c r="AM220" s="56"/>
      <c r="AN220" s="56"/>
      <c r="AO220" s="82"/>
      <c r="AP220" s="82"/>
      <c r="AQ220" s="83"/>
      <c r="AR220" s="116"/>
      <c r="AS220" s="84"/>
      <c r="AT220" s="84"/>
      <c r="AU220" s="3"/>
      <c r="AV220" s="25">
        <v>30</v>
      </c>
      <c r="AW220" s="25">
        <f>60*20</f>
        <v>1200</v>
      </c>
      <c r="AX220" s="25">
        <f>60*60*24*4</f>
        <v>345600</v>
      </c>
      <c r="AY220" s="25">
        <f>60*60*24*11</f>
        <v>950400</v>
      </c>
      <c r="AZ220" s="25">
        <f>60*60*24*30</f>
        <v>2592000</v>
      </c>
      <c r="BA220" s="53"/>
      <c r="BB220" s="11" t="s">
        <v>947</v>
      </c>
      <c r="BC220" s="53"/>
      <c r="BD220" s="53"/>
      <c r="BE220" s="53"/>
      <c r="BF220" s="53"/>
      <c r="BG220" s="53"/>
      <c r="BH220" s="53"/>
      <c r="BI220" s="53"/>
      <c r="BJ220" s="53"/>
      <c r="BK220" s="53"/>
      <c r="BL220" s="53"/>
      <c r="BM220" s="53"/>
      <c r="BN220" s="53"/>
      <c r="BO220" s="53"/>
      <c r="BP220" s="53"/>
      <c r="BQ220" s="53"/>
      <c r="BR220" s="53"/>
      <c r="BS220" s="53"/>
      <c r="BT220" s="53"/>
      <c r="BU220" s="53"/>
      <c r="BV220" s="53"/>
      <c r="BW220" s="53"/>
      <c r="BX220" s="53"/>
      <c r="BY220" s="53"/>
      <c r="BZ220" s="53"/>
      <c r="CA220" s="53"/>
      <c r="CB220" s="53"/>
      <c r="CC220" s="53"/>
      <c r="CD220" s="53"/>
      <c r="CE220" s="53"/>
      <c r="CF220" s="53"/>
      <c r="CG220" s="53"/>
      <c r="CH220" s="53"/>
      <c r="CI220" s="53"/>
      <c r="CJ220" s="53"/>
      <c r="CK220" s="53"/>
      <c r="CL220" s="53"/>
      <c r="CM220" s="53"/>
      <c r="CN220" s="53"/>
      <c r="CO220" s="53"/>
      <c r="CP220" s="53"/>
      <c r="CQ220" s="53"/>
      <c r="CR220" s="1"/>
      <c r="CS220" s="1"/>
      <c r="CT220" s="1"/>
      <c r="CU220" s="1"/>
    </row>
    <row r="221" spans="1:99" s="13" customFormat="1" ht="12" customHeight="1" x14ac:dyDescent="0.2">
      <c r="A221" s="65">
        <v>43978</v>
      </c>
      <c r="B221" s="1" t="s">
        <v>969</v>
      </c>
      <c r="C221" s="1" t="s">
        <v>970</v>
      </c>
      <c r="D221" s="60">
        <v>2012</v>
      </c>
      <c r="E221" s="76">
        <v>1</v>
      </c>
      <c r="F221" s="60">
        <v>10</v>
      </c>
      <c r="G221" s="60">
        <v>10</v>
      </c>
      <c r="H221" s="60" t="s">
        <v>38</v>
      </c>
      <c r="I221" s="60" t="s">
        <v>330</v>
      </c>
      <c r="J221" s="60" t="s">
        <v>677</v>
      </c>
      <c r="K221" s="60">
        <f>IF(J221="syllables",1,IF(J221="trigrams",2,IF(J221="strings",3,IF(J221="visual array",4,IF(J221="characters",5,IF(J221="letters",6,IF(J221="free forms",7,IF(J221="odors",8,IF(J221="words",9,IF(J221="pictures",10,IF(J221="object pictures",11,IF(J221="faces",12,IF(J221="names",13,IF(J221="idioms",14,IF(J221="grades",15,IF(J221="syllable-digit pairs",16,IF(J221="trigram-word pairs",17,IF(J221="word-digit pairs",18,IF(J221="English-Swahili pairs",19,IF(J221="spatial position",20,IF(J221="word pairs",21,IF(J221="word triads",22,IF(J221="generated words",23,IF(J221="word definition pairs",24,IF(J221="math problems",25,IF(J221="famous faces",26,IF(J221="famous names",27,IF(J221="famous voices",28,IF(J221="television programs",29,IF(J221="race horses",30,IF(J221="new vocabulary",31,IF(J221="sentences",32,IF(J221="concepts",33,IF(J221="ad slides",34,IF(J221="scenes",35,IF(J221="famous scenes",36,IF(J221="poems",37,IF(J221="walk",38,IF(J221="faces and events",39,IF(J221="events and names",40,IF(J221="flashbulb",41,IF(J221="stories",42,IF(J221="course material",43,IF(J221="autobiographical",44,IF(J221="novels",45,IF(J221="public events",46,"99"))))))))))))))))))))))))))))))))))))))))))))))</f>
        <v>42</v>
      </c>
      <c r="L221" s="60">
        <f>IF(J221="syllables",1,IF(J221="trigrams",1,IF(J221="strings",1,IF(J221="visual array",1,IF(J221="characters",1,IF(J221="letters",1,IF(J221="free forms",1,IF(J221="odors",2,IF(J221="words",2,IF(J221="pictures",2,IF(J221="object pictures",2,IF(J221="faces",2,IF(J221="names",2,IF(J221="idioms","2",IF(J221="grades",2,IF(J221="syllable-digit pairs",3,IF(J221="trigram-word pairs",3,IF(J221="word-digit pairs",3,IF(J221="English-Swahili pairs",3,IF(J221="spatial position",3,IF(J221="word pairs",4,IF(J221="word triads",4,IF(J221="generated words",4,IF(J221="word definition pairs",4,IF(J221="math problems",4,IF(J221="famous faces",4,IF(J221="famous names",4,IF(J221="famous voices",4,IF(J221="television programs",4,IF(J221="race horses",4,IF(J221="new vocabulary",4,IF(J221="sentences",5,IF(J221="concepts",5,IF(J221="ad slides",5,IF(J221="scenes",5,IF(J221="famous scenes",5,IF(J221="poems",6,IF(J221="walk",6,IF(J221="faces and events",6,IF(J221="events and names",6,IF(J221="flashbulb",7,IF(J221="stories",7,IF(J221="course material",7,IF(J221="autobiographical",7,IF(J221="novels",7,IF(J221="public events",7,"99"))))))))))))))))))))))))))))))))))))))))))))))</f>
        <v>7</v>
      </c>
      <c r="M221" s="60">
        <v>1</v>
      </c>
      <c r="N221" s="61">
        <v>4</v>
      </c>
      <c r="O221" s="60">
        <v>0</v>
      </c>
      <c r="P221" s="60"/>
      <c r="Q221" s="60" t="s">
        <v>174</v>
      </c>
      <c r="R221" s="60">
        <f>IF(Q221="Free Recall",1,IF(Q221="Cued Recall",2,IF(Q221="Recognition",3,IF(Q221="Multiple Choice",4,IF(Q221="Savings",5,IF(Q221="Stem Completion",6,IF(Q221="Fragment Completion",7,IF(Q221="anagram solution",8,IF(Q221="Matching",9,IF(Q221="Problem Solving",10,"99"))))))))))</f>
        <v>1</v>
      </c>
      <c r="S221" s="60" t="s">
        <v>49</v>
      </c>
      <c r="T221" s="59" t="s">
        <v>581</v>
      </c>
      <c r="U221" s="60">
        <f>IF(T221="within",1,0)</f>
        <v>1</v>
      </c>
      <c r="V221" s="59">
        <v>32</v>
      </c>
      <c r="W221" s="60">
        <f>F221*V221</f>
        <v>320</v>
      </c>
      <c r="X221" s="60">
        <v>5</v>
      </c>
      <c r="Y221" s="76">
        <f>AV220</f>
        <v>30</v>
      </c>
      <c r="Z221" s="59" t="s">
        <v>273</v>
      </c>
      <c r="AA221" s="59">
        <f>60*60*24*30</f>
        <v>2592000</v>
      </c>
      <c r="AB221" s="60" t="str">
        <f>IF(AA221&lt;60,"1",IF(AA221&lt;=43200,"2",IF(AA221&lt;=777600,"3","4")))</f>
        <v>4</v>
      </c>
      <c r="AC221" s="56">
        <f>AVERAGE(AV220:DA220)</f>
        <v>777846</v>
      </c>
      <c r="AD221" s="60" t="str">
        <f>IF(AC221&lt;60,"1",IF(AC221&lt;=43200,"2",IF(AC221&lt;=777600,"3","4")))</f>
        <v>4</v>
      </c>
      <c r="AE221" s="76">
        <f>AA221-Y221</f>
        <v>2591970</v>
      </c>
      <c r="AF221" s="80">
        <f>AV221</f>
        <v>0.83260000000000001</v>
      </c>
      <c r="AG221" s="56">
        <f>((AW221-AV221)+(AX221-AW221)+(AY221-AX221)+(AZ221-AY221))/4</f>
        <v>-2.8362500000000013E-2</v>
      </c>
      <c r="AH221" s="4"/>
      <c r="AI221" s="56">
        <f>RSQ(AV221:AZ221,AV220:AZ220)</f>
        <v>0.11944694903737858</v>
      </c>
      <c r="AJ221" s="109">
        <f>SLOPE(AV221:AZ221,AV220:AZ220)</f>
        <v>-1.6505282511243056E-8</v>
      </c>
      <c r="AK221" s="56">
        <f>INTERCEPT(AV221:AZ221,AV220:AZ220)</f>
        <v>0.77126856798024035</v>
      </c>
      <c r="AL221" s="56">
        <f>INDEX(LINEST(LN(AV221:AZ221),LN(AV220:AZ220),TRUE,TRUE),3,1)</f>
        <v>0.19508581846272266</v>
      </c>
      <c r="AM221" s="56">
        <f>INDEX(LINEST(LN(AV221:AZ221),LN(AV220:AZ220)),1)</f>
        <v>-6.0850286552710138E-3</v>
      </c>
      <c r="AN221" s="56">
        <f>EXP(INDEX(LINEST(LN(AV221:AZ221),LN(AV220:AZ220)),1,2))</f>
        <v>0.80627676643443114</v>
      </c>
      <c r="AO221" s="82">
        <f>INDEX(LINEST((AV221:AZ221),LN(AV220:AZ220),TRUE,TRUE),3,1)</f>
        <v>0.20890151713166855</v>
      </c>
      <c r="AP221" s="82">
        <f>INDEX(LINEST((AV221:AZ221),LN(AV220:AZ220)),1)</f>
        <v>-4.8412740312753751E-3</v>
      </c>
      <c r="AQ221" s="83">
        <f>INDEX(LINEST(LN(AV221:AZ221),SQRT(AV220:AZ220),TRUE,TRUE),3,1)</f>
        <v>9.2754264409526388E-2</v>
      </c>
      <c r="AR221" s="116">
        <f>INDEX(LINEST(LN(AV221:AZ221),SQRT((AV220:AZ220))),1)</f>
        <v>-3.0412063524152263E-5</v>
      </c>
      <c r="AS221" s="84">
        <f>INDEX(LINEST(1/(AV221:AZ221),1/(SQRT(AV220:AZ220)),TRUE,TRUE),3,1)</f>
        <v>0.50902105101901529</v>
      </c>
      <c r="AT221" s="84">
        <f>INDEX(LINEST(1/(AV221:AZ221),1/SQRT(AV220:AZ220)),1)</f>
        <v>-0.7942968091736976</v>
      </c>
      <c r="AU221" s="3"/>
      <c r="AV221" s="53">
        <f>(0.8118+0.8534)/2</f>
        <v>0.83260000000000001</v>
      </c>
      <c r="AW221" s="53">
        <f>(0.7059+0.7133)/2</f>
        <v>0.70960000000000001</v>
      </c>
      <c r="AX221" s="53">
        <f>(0.6012+0.88)/2</f>
        <v>0.74059999999999993</v>
      </c>
      <c r="AY221" s="53">
        <f>(0.6471+0.9333)/2</f>
        <v>0.79020000000000001</v>
      </c>
      <c r="AZ221" s="53">
        <f>(0.5383+0.9)/2</f>
        <v>0.71914999999999996</v>
      </c>
      <c r="BA221" s="53"/>
      <c r="BB221" s="53"/>
      <c r="BC221" s="53"/>
      <c r="BD221" s="53"/>
      <c r="BE221" s="53"/>
      <c r="BF221" s="53"/>
      <c r="BG221" s="53"/>
      <c r="BH221" s="53"/>
      <c r="BI221" s="53"/>
      <c r="BJ221" s="53"/>
      <c r="BK221" s="53"/>
      <c r="BL221" s="53"/>
      <c r="BM221" s="53"/>
      <c r="BN221" s="53"/>
      <c r="BO221" s="53"/>
      <c r="BP221" s="53"/>
      <c r="BQ221" s="53"/>
      <c r="BR221" s="53"/>
      <c r="BS221" s="53"/>
      <c r="BT221" s="53"/>
      <c r="BU221" s="53"/>
      <c r="BV221" s="53"/>
      <c r="BW221" s="53"/>
      <c r="BX221" s="53"/>
      <c r="BY221" s="53"/>
      <c r="BZ221" s="53"/>
      <c r="CA221" s="53"/>
      <c r="CB221" s="53"/>
      <c r="CC221" s="53"/>
      <c r="CD221" s="53"/>
      <c r="CE221" s="53"/>
      <c r="CF221" s="53"/>
      <c r="CG221" s="53"/>
      <c r="CH221" s="53"/>
      <c r="CI221" s="53"/>
      <c r="CJ221" s="53"/>
      <c r="CK221" s="53"/>
      <c r="CL221" s="53"/>
      <c r="CM221" s="53"/>
      <c r="CN221" s="53"/>
      <c r="CO221" s="53"/>
      <c r="CP221" s="53"/>
      <c r="CQ221" s="53"/>
      <c r="CR221" s="1"/>
      <c r="CS221" s="1"/>
      <c r="CT221" s="1"/>
      <c r="CU221" s="1"/>
    </row>
    <row r="222" spans="1:99" s="13" customFormat="1" ht="12" customHeight="1" x14ac:dyDescent="0.2">
      <c r="A222" s="65">
        <v>43978</v>
      </c>
      <c r="B222" s="1"/>
      <c r="C222" s="1"/>
      <c r="D222" s="60"/>
      <c r="E222" s="76"/>
      <c r="F222" s="60"/>
      <c r="G222" s="60"/>
      <c r="H222" s="60"/>
      <c r="I222" s="60"/>
      <c r="J222" s="60"/>
      <c r="K222" s="60"/>
      <c r="L222" s="60"/>
      <c r="M222" s="60"/>
      <c r="N222" s="61"/>
      <c r="O222" s="60"/>
      <c r="P222" s="60"/>
      <c r="Q222" s="60"/>
      <c r="R222" s="60"/>
      <c r="S222" s="60"/>
      <c r="T222" s="59"/>
      <c r="U222" s="60"/>
      <c r="V222" s="59"/>
      <c r="W222" s="60"/>
      <c r="X222" s="60"/>
      <c r="Y222" s="76"/>
      <c r="Z222" s="59"/>
      <c r="AA222" s="59"/>
      <c r="AB222" s="60"/>
      <c r="AC222" s="56"/>
      <c r="AD222" s="60"/>
      <c r="AE222" s="76"/>
      <c r="AF222" s="80"/>
      <c r="AG222" s="56"/>
      <c r="AH222" s="4"/>
      <c r="AI222" s="56"/>
      <c r="AJ222" s="109"/>
      <c r="AK222" s="56"/>
      <c r="AL222" s="56"/>
      <c r="AM222" s="56"/>
      <c r="AN222" s="56"/>
      <c r="AO222" s="82"/>
      <c r="AP222" s="82"/>
      <c r="AQ222" s="83"/>
      <c r="AR222" s="116"/>
      <c r="AS222" s="84"/>
      <c r="AT222" s="84"/>
      <c r="AU222" s="3"/>
      <c r="AV222" s="25">
        <v>30</v>
      </c>
      <c r="AW222" s="25">
        <f>60*20</f>
        <v>1200</v>
      </c>
      <c r="AX222" s="25">
        <f>60*60*24*4</f>
        <v>345600</v>
      </c>
      <c r="AY222" s="25">
        <f>60*60*24*11</f>
        <v>950400</v>
      </c>
      <c r="AZ222" s="25">
        <f>60*60*24*30</f>
        <v>2592000</v>
      </c>
      <c r="BA222" s="53"/>
      <c r="BB222" s="53"/>
      <c r="BC222" s="53"/>
      <c r="BD222" s="53"/>
      <c r="BE222" s="53"/>
      <c r="BF222" s="53"/>
      <c r="BG222" s="53"/>
      <c r="BH222" s="53"/>
      <c r="BI222" s="53"/>
      <c r="BJ222" s="53"/>
      <c r="BK222" s="53"/>
      <c r="BL222" s="53"/>
      <c r="BM222" s="53"/>
      <c r="BN222" s="53"/>
      <c r="BO222" s="53"/>
      <c r="BP222" s="53"/>
      <c r="BQ222" s="53"/>
      <c r="BR222" s="53"/>
      <c r="BS222" s="53"/>
      <c r="BT222" s="53"/>
      <c r="BU222" s="53"/>
      <c r="BV222" s="53"/>
      <c r="BW222" s="53"/>
      <c r="BX222" s="53"/>
      <c r="BY222" s="53"/>
      <c r="BZ222" s="53"/>
      <c r="CA222" s="53"/>
      <c r="CB222" s="53"/>
      <c r="CC222" s="53"/>
      <c r="CD222" s="53"/>
      <c r="CE222" s="53"/>
      <c r="CF222" s="53"/>
      <c r="CG222" s="53"/>
      <c r="CH222" s="53"/>
      <c r="CI222" s="53"/>
      <c r="CJ222" s="53"/>
      <c r="CK222" s="53"/>
      <c r="CL222" s="53"/>
      <c r="CM222" s="53"/>
      <c r="CN222" s="53"/>
      <c r="CO222" s="53"/>
      <c r="CP222" s="53"/>
      <c r="CQ222" s="53"/>
      <c r="CR222" s="1"/>
      <c r="CS222" s="1"/>
      <c r="CT222" s="1"/>
      <c r="CU222" s="1"/>
    </row>
    <row r="223" spans="1:99" s="13" customFormat="1" ht="12" customHeight="1" x14ac:dyDescent="0.2">
      <c r="A223" s="65">
        <v>43978</v>
      </c>
      <c r="B223" s="1" t="s">
        <v>969</v>
      </c>
      <c r="C223" s="1" t="s">
        <v>970</v>
      </c>
      <c r="D223" s="60">
        <v>2012</v>
      </c>
      <c r="E223" s="76">
        <v>1</v>
      </c>
      <c r="F223" s="60">
        <v>10</v>
      </c>
      <c r="G223" s="60">
        <v>10</v>
      </c>
      <c r="H223" s="60" t="s">
        <v>38</v>
      </c>
      <c r="I223" s="60" t="s">
        <v>330</v>
      </c>
      <c r="J223" s="60" t="s">
        <v>686</v>
      </c>
      <c r="K223" s="60">
        <f>IF(J223="syllables",1,IF(J223="trigrams",2,IF(J223="strings",3,IF(J223="visual array",4,IF(J223="characters",5,IF(J223="letters",6,IF(J223="free forms",7,IF(J223="odors",8,IF(J223="words",9,IF(J223="pictures",10,IF(J223="object pictures",11,IF(J223="faces",12,IF(J223="names",13,IF(J223="idioms",14,IF(J223="grades",15,IF(J223="syllable-digit pairs",16,IF(J223="trigram-word pairs",17,IF(J223="word-digit pairs",18,IF(J223="English-Swahili pairs",19,IF(J223="spatial position",20,IF(J223="word pairs",21,IF(J223="word triads",22,IF(J223="generated words",23,IF(J223="word definition pairs",24,IF(J223="math problems",25,IF(J223="famous faces",26,IF(J223="famous names",27,IF(J223="famous voices",28,IF(J223="television programs",29,IF(J223="race horses",30,IF(J223="new vocabulary",31,IF(J223="sentences",32,IF(J223="concepts",33,IF(J223="ad slides",34,IF(J223="scenes",35,IF(J223="famous scenes",36,IF(J223="poems",37,IF(J223="walk",38,IF(J223="faces and events",39,IF(J223="events and names",40,IF(J223="flashbulb",41,IF(J223="stories",42,IF(J223="course material",43,IF(J223="autobiographical",44,IF(J223="novels",45,IF(J223="public events",46,"99"))))))))))))))))))))))))))))))))))))))))))))))</f>
        <v>35</v>
      </c>
      <c r="L223" s="60">
        <f>IF(J223="syllables",1,IF(J223="trigrams",1,IF(J223="strings",1,IF(J223="visual array",1,IF(J223="characters",1,IF(J223="letters",1,IF(J223="free forms",1,IF(J223="odors",2,IF(J223="words",2,IF(J223="pictures",2,IF(J223="object pictures",2,IF(J223="faces",2,IF(J223="names",2,IF(J223="idioms","2",IF(J223="grades",2,IF(J223="syllable-digit pairs",3,IF(J223="trigram-word pairs",3,IF(J223="word-digit pairs",3,IF(J223="English-Swahili pairs",3,IF(J223="spatial position",3,IF(J223="word pairs",4,IF(J223="word triads",4,IF(J223="generated words",4,IF(J223="word definition pairs",4,IF(J223="math problems",4,IF(J223="famous faces",4,IF(J223="famous names",4,IF(J223="famous voices",4,IF(J223="television programs",4,IF(J223="race horses",4,IF(J223="new vocabulary",4,IF(J223="sentences",5,IF(J223="concepts",5,IF(J223="ad slides",5,IF(J223="scenes",5,IF(J223="famous scenes",5,IF(J223="poems",6,IF(J223="walk",6,IF(J223="faces and events",6,IF(J223="events and names",6,IF(J223="flashbulb",7,IF(J223="stories",7,IF(J223="course material",7,IF(J223="autobiographical",7,IF(J223="novels",7,IF(J223="public events",7,"99"))))))))))))))))))))))))))))))))))))))))))))))</f>
        <v>5</v>
      </c>
      <c r="M223" s="60">
        <v>1</v>
      </c>
      <c r="N223" s="61">
        <v>4</v>
      </c>
      <c r="O223" s="60">
        <v>0</v>
      </c>
      <c r="P223" s="60"/>
      <c r="Q223" s="60" t="s">
        <v>174</v>
      </c>
      <c r="R223" s="60">
        <f>IF(Q223="Free Recall",1,IF(Q223="Cued Recall",2,IF(Q223="Recognition",3,IF(Q223="Multiple Choice",4,IF(Q223="Savings",5,IF(Q223="Stem Completion",6,IF(Q223="Fragment Completion",7,IF(Q223="anagram solution",8,IF(Q223="Matching",9,IF(Q223="Problem Solving",10,"99"))))))))))</f>
        <v>1</v>
      </c>
      <c r="S223" s="60" t="s">
        <v>49</v>
      </c>
      <c r="T223" s="59" t="s">
        <v>581</v>
      </c>
      <c r="U223" s="60">
        <f>IF(T223="within",1,0)</f>
        <v>1</v>
      </c>
      <c r="V223" s="59">
        <v>32</v>
      </c>
      <c r="W223" s="60">
        <f>F223*V223</f>
        <v>320</v>
      </c>
      <c r="X223" s="60">
        <v>5</v>
      </c>
      <c r="Y223" s="76">
        <f>AV222</f>
        <v>30</v>
      </c>
      <c r="Z223" s="59" t="s">
        <v>273</v>
      </c>
      <c r="AA223" s="59">
        <f>60*60*24*30</f>
        <v>2592000</v>
      </c>
      <c r="AB223" s="60" t="str">
        <f>IF(AA223&lt;60,"1",IF(AA223&lt;=43200,"2",IF(AA223&lt;=777600,"3","4")))</f>
        <v>4</v>
      </c>
      <c r="AC223" s="56">
        <f>AVERAGE(AV222:DA222)</f>
        <v>777846</v>
      </c>
      <c r="AD223" s="60" t="str">
        <f>IF(AC223&lt;60,"1",IF(AC223&lt;=43200,"2",IF(AC223&lt;=777600,"3","4")))</f>
        <v>4</v>
      </c>
      <c r="AE223" s="76">
        <f>AA223-Y223</f>
        <v>2591970</v>
      </c>
      <c r="AF223" s="80">
        <f>AV223</f>
        <v>0.87809999999999999</v>
      </c>
      <c r="AG223" s="56">
        <f>((AW223-AV223)+(AX223-AW223)+(AY223-AX223)+(AZ223-AY223))/4</f>
        <v>-4.9999999999999989E-2</v>
      </c>
      <c r="AH223" s="4"/>
      <c r="AI223" s="56">
        <f>RSQ(AV223:AZ223,AV222:AZ222)</f>
        <v>0.61317609700265152</v>
      </c>
      <c r="AJ223" s="109">
        <f>SLOPE(AV223:AZ223,AV222:AZ222)</f>
        <v>-6.6606098188573892E-8</v>
      </c>
      <c r="AK223" s="56">
        <f>INTERCEPT(AV223:AZ223,AV222:AZ222)</f>
        <v>0.8179092870515895</v>
      </c>
      <c r="AL223" s="56">
        <f>INDEX(LINEST(LN(AV223:AZ223),LN(AV222:AZ222),TRUE,TRUE),3,1)</f>
        <v>0.94219359588695695</v>
      </c>
      <c r="AM223" s="56">
        <f>INDEX(LINEST(LN(AV223:AZ223),LN(AV222:AZ222)),1)</f>
        <v>-2.3720604581557066E-2</v>
      </c>
      <c r="AN223" s="56">
        <f>EXP(INDEX(LINEST(LN(AV223:AZ223),LN(AV222:AZ222)),1,2))</f>
        <v>0.9737868394615572</v>
      </c>
      <c r="AO223" s="82">
        <f>INDEX(LINEST((AV223:AZ223),LN(AV222:AZ222),TRUE,TRUE),3,1)</f>
        <v>0.95319427012560876</v>
      </c>
      <c r="AP223" s="82">
        <f>INDEX(LINEST((AV223:AZ223),LN(AV222:AZ222)),1)</f>
        <v>-1.8418978185228672E-2</v>
      </c>
      <c r="AQ223" s="83">
        <f>INDEX(LINEST(LN(AV223:AZ223),SQRT(AV222:AZ222),TRUE,TRUE),3,1)</f>
        <v>0.87405953221148391</v>
      </c>
      <c r="AR223" s="116">
        <f>INDEX(LINEST(LN(AV223:AZ223),SQRT((AV222:AZ222))),1)</f>
        <v>-1.6559810211985051E-4</v>
      </c>
      <c r="AS223" s="84">
        <f>INDEX(LINEST(1/(AV223:AZ223),1/(SQRT(AV222:AZ222)),TRUE,TRUE),3,1)</f>
        <v>0.56135723446405394</v>
      </c>
      <c r="AT223" s="84">
        <f>INDEX(LINEST(1/(AV223:AZ223),1/SQRT(AV222:AZ222)),1)</f>
        <v>-1.4785818665374522</v>
      </c>
      <c r="AU223" s="3"/>
      <c r="AV223" s="53">
        <v>0.87809999999999999</v>
      </c>
      <c r="AW223" s="53">
        <v>0.84689999999999999</v>
      </c>
      <c r="AX223" s="53">
        <v>0.74380000000000002</v>
      </c>
      <c r="AY223" s="53">
        <v>0.68359999999999999</v>
      </c>
      <c r="AZ223" s="53">
        <v>0.67810000000000004</v>
      </c>
      <c r="BA223" s="53"/>
      <c r="BB223" s="53"/>
      <c r="BC223" s="53"/>
      <c r="BD223" s="53"/>
      <c r="BE223" s="53"/>
      <c r="BF223" s="53"/>
      <c r="BG223" s="53"/>
      <c r="BH223" s="53"/>
      <c r="BI223" s="53"/>
      <c r="BJ223" s="53"/>
      <c r="BK223" s="53"/>
      <c r="BL223" s="53"/>
      <c r="BM223" s="53"/>
      <c r="BN223" s="53"/>
      <c r="BO223" s="53"/>
      <c r="BP223" s="53"/>
      <c r="BQ223" s="53"/>
      <c r="BR223" s="53"/>
      <c r="BS223" s="53"/>
      <c r="BT223" s="53"/>
      <c r="BU223" s="53"/>
      <c r="BV223" s="53"/>
      <c r="BW223" s="53"/>
      <c r="BX223" s="53"/>
      <c r="BY223" s="53"/>
      <c r="BZ223" s="53"/>
      <c r="CA223" s="53"/>
      <c r="CB223" s="53"/>
      <c r="CC223" s="53"/>
      <c r="CD223" s="53"/>
      <c r="CE223" s="53"/>
      <c r="CF223" s="53"/>
      <c r="CG223" s="53"/>
      <c r="CH223" s="53"/>
      <c r="CI223" s="53"/>
      <c r="CJ223" s="53"/>
      <c r="CK223" s="53"/>
      <c r="CL223" s="53"/>
      <c r="CM223" s="53"/>
      <c r="CN223" s="53"/>
      <c r="CO223" s="53"/>
      <c r="CP223" s="53"/>
      <c r="CQ223" s="53"/>
      <c r="CR223" s="1"/>
      <c r="CS223" s="1"/>
      <c r="CT223" s="1"/>
      <c r="CU223" s="1"/>
    </row>
    <row r="224" spans="1:99" s="13" customFormat="1" ht="12" customHeight="1" x14ac:dyDescent="0.2">
      <c r="A224" s="65">
        <v>43978</v>
      </c>
      <c r="B224" s="1"/>
      <c r="C224" s="1"/>
      <c r="D224" s="60"/>
      <c r="E224" s="76"/>
      <c r="F224" s="60"/>
      <c r="G224" s="60"/>
      <c r="H224" s="60"/>
      <c r="I224" s="60"/>
      <c r="J224" s="60"/>
      <c r="K224" s="60"/>
      <c r="L224" s="60"/>
      <c r="M224" s="60"/>
      <c r="N224" s="61"/>
      <c r="O224" s="60"/>
      <c r="P224" s="60"/>
      <c r="Q224" s="60"/>
      <c r="R224" s="60"/>
      <c r="S224" s="60"/>
      <c r="T224" s="59"/>
      <c r="U224" s="60"/>
      <c r="V224" s="59"/>
      <c r="W224" s="60"/>
      <c r="X224" s="60"/>
      <c r="Y224" s="76"/>
      <c r="Z224" s="59"/>
      <c r="AA224" s="59"/>
      <c r="AB224" s="60"/>
      <c r="AC224" s="56"/>
      <c r="AD224" s="60"/>
      <c r="AE224" s="76"/>
      <c r="AF224" s="80"/>
      <c r="AG224" s="56"/>
      <c r="AH224" s="4"/>
      <c r="AI224" s="56"/>
      <c r="AJ224" s="109"/>
      <c r="AK224" s="56"/>
      <c r="AL224" s="56"/>
      <c r="AM224" s="56"/>
      <c r="AN224" s="56"/>
      <c r="AO224" s="82"/>
      <c r="AP224" s="82"/>
      <c r="AQ224" s="83"/>
      <c r="AR224" s="116"/>
      <c r="AS224" s="84"/>
      <c r="AT224" s="84"/>
      <c r="AU224" s="3"/>
      <c r="AV224" s="25">
        <v>30</v>
      </c>
      <c r="AW224" s="25">
        <f>60*20</f>
        <v>1200</v>
      </c>
      <c r="AX224" s="25">
        <f>60*60*24*4</f>
        <v>345600</v>
      </c>
      <c r="AY224" s="25">
        <f>60*60*24*11</f>
        <v>950400</v>
      </c>
      <c r="AZ224" s="25">
        <f>60*60*24*30</f>
        <v>2592000</v>
      </c>
      <c r="BA224" s="53"/>
      <c r="BB224" s="53"/>
      <c r="BC224" s="53"/>
      <c r="BD224" s="53"/>
      <c r="BE224" s="53"/>
      <c r="BF224" s="53"/>
      <c r="BG224" s="53"/>
      <c r="BH224" s="53"/>
      <c r="BI224" s="53"/>
      <c r="BJ224" s="53"/>
      <c r="BK224" s="53"/>
      <c r="BL224" s="53"/>
      <c r="BM224" s="53"/>
      <c r="BN224" s="53"/>
      <c r="BO224" s="53"/>
      <c r="BP224" s="53"/>
      <c r="BQ224" s="53"/>
      <c r="BR224" s="53"/>
      <c r="BS224" s="53"/>
      <c r="BT224" s="53"/>
      <c r="BU224" s="53"/>
      <c r="BV224" s="53"/>
      <c r="BW224" s="53"/>
      <c r="BX224" s="53"/>
      <c r="BY224" s="53"/>
      <c r="BZ224" s="53"/>
      <c r="CA224" s="53"/>
      <c r="CB224" s="53"/>
      <c r="CC224" s="53"/>
      <c r="CD224" s="53"/>
      <c r="CE224" s="53"/>
      <c r="CF224" s="53"/>
      <c r="CG224" s="53"/>
      <c r="CH224" s="53"/>
      <c r="CI224" s="53"/>
      <c r="CJ224" s="53"/>
      <c r="CK224" s="53"/>
      <c r="CL224" s="53"/>
      <c r="CM224" s="53"/>
      <c r="CN224" s="53"/>
      <c r="CO224" s="53"/>
      <c r="CP224" s="53"/>
      <c r="CQ224" s="53"/>
      <c r="CR224" s="1"/>
      <c r="CS224" s="1"/>
      <c r="CT224" s="1"/>
      <c r="CU224" s="1"/>
    </row>
    <row r="225" spans="1:99" s="13" customFormat="1" ht="12" customHeight="1" x14ac:dyDescent="0.2">
      <c r="A225" s="65">
        <v>43978</v>
      </c>
      <c r="B225" s="1" t="s">
        <v>969</v>
      </c>
      <c r="C225" s="1" t="s">
        <v>970</v>
      </c>
      <c r="D225" s="60">
        <v>2012</v>
      </c>
      <c r="E225" s="76">
        <v>2</v>
      </c>
      <c r="F225" s="60">
        <v>4</v>
      </c>
      <c r="G225" s="60">
        <v>4</v>
      </c>
      <c r="H225" s="60" t="s">
        <v>227</v>
      </c>
      <c r="I225" s="60" t="s">
        <v>330</v>
      </c>
      <c r="J225" s="60" t="s">
        <v>16</v>
      </c>
      <c r="K225" s="60">
        <f>IF(J225="syllables",1,IF(J225="trigrams",2,IF(J225="strings",3,IF(J225="visual array",4,IF(J225="characters",5,IF(J225="letters",6,IF(J225="free forms",7,IF(J225="odors",8,IF(J225="words",9,IF(J225="pictures",10,IF(J225="object pictures",11,IF(J225="faces",12,IF(J225="names",13,IF(J225="idioms",14,IF(J225="grades",15,IF(J225="syllable-digit pairs",16,IF(J225="trigram-word pairs",17,IF(J225="word-digit pairs",18,IF(J225="English-Swahili pairs",19,IF(J225="spatial position",20,IF(J225="word pairs",21,IF(J225="word triads",22,IF(J225="generated words",23,IF(J225="word definition pairs",24,IF(J225="math problems",25,IF(J225="famous faces",26,IF(J225="famous names",27,IF(J225="famous voices",28,IF(J225="television programs",29,IF(J225="race horses",30,IF(J225="new vocabulary",31,IF(J225="sentences",32,IF(J225="concepts",33,IF(J225="ad slides",34,IF(J225="scenes",35,IF(J225="famous scenes",36,IF(J225="poems",37,IF(J225="walk",38,IF(J225="faces and events",39,IF(J225="events and names",40,IF(J225="flashbulb",41,IF(J225="stories",42,IF(J225="course material",43,IF(J225="autobiographical",44,IF(J225="novels",45,IF(J225="public events",46,"99"))))))))))))))))))))))))))))))))))))))))))))))</f>
        <v>9</v>
      </c>
      <c r="L225" s="60">
        <f>IF(J225="syllables",1,IF(J225="trigrams",1,IF(J225="strings",1,IF(J225="visual array",1,IF(J225="characters",1,IF(J225="letters",1,IF(J225="free forms",1,IF(J225="odors",2,IF(J225="words",2,IF(J225="pictures",2,IF(J225="object pictures",2,IF(J225="faces",2,IF(J225="names",2,IF(J225="idioms","2",IF(J225="grades",2,IF(J225="syllable-digit pairs",3,IF(J225="trigram-word pairs",3,IF(J225="word-digit pairs",3,IF(J225="English-Swahili pairs",3,IF(J225="spatial position",3,IF(J225="word pairs",4,IF(J225="word triads",4,IF(J225="generated words",4,IF(J225="word definition pairs",4,IF(J225="math problems",4,IF(J225="famous faces",4,IF(J225="famous names",4,IF(J225="famous voices",4,IF(J225="television programs",4,IF(J225="race horses",4,IF(J225="new vocabulary",4,IF(J225="sentences",5,IF(J225="concepts",5,IF(J225="ad slides",5,IF(J225="scenes",5,IF(J225="famous scenes",5,IF(J225="poems",6,IF(J225="walk",6,IF(J225="faces and events",6,IF(J225="events and names",6,IF(J225="flashbulb",7,IF(J225="stories",7,IF(J225="course material",7,IF(J225="autobiographical",7,IF(J225="novels",7,IF(J225="public events",7,"99"))))))))))))))))))))))))))))))))))))))))))))))</f>
        <v>2</v>
      </c>
      <c r="M225" s="60">
        <v>1</v>
      </c>
      <c r="N225" s="61">
        <v>2</v>
      </c>
      <c r="O225" s="60">
        <v>0</v>
      </c>
      <c r="P225" s="60"/>
      <c r="Q225" s="60" t="s">
        <v>174</v>
      </c>
      <c r="R225" s="60">
        <f>IF(Q225="Free Recall",1,IF(Q225="Cued Recall",2,IF(Q225="Recognition",3,IF(Q225="Multiple Choice",4,IF(Q225="Savings",5,IF(Q225="Stem Completion",6,IF(Q225="Fragment Completion",7,IF(Q225="anagram solution",8,IF(Q225="Matching",9,IF(Q225="Problem Solving",10,"99"))))))))))</f>
        <v>1</v>
      </c>
      <c r="S225" s="60" t="s">
        <v>49</v>
      </c>
      <c r="T225" s="59" t="s">
        <v>581</v>
      </c>
      <c r="U225" s="60">
        <f>IF(T225="within",1,0)</f>
        <v>1</v>
      </c>
      <c r="V225" s="59">
        <v>15</v>
      </c>
      <c r="W225" s="60">
        <f>F225*V225</f>
        <v>60</v>
      </c>
      <c r="X225" s="60">
        <v>5</v>
      </c>
      <c r="Y225" s="76">
        <f>AV224</f>
        <v>30</v>
      </c>
      <c r="Z225" s="59" t="s">
        <v>273</v>
      </c>
      <c r="AA225" s="59">
        <f>60*60*24*30</f>
        <v>2592000</v>
      </c>
      <c r="AB225" s="60" t="str">
        <f>IF(AA225&lt;60,"1",IF(AA225&lt;=43200,"2",IF(AA225&lt;=777600,"3","4")))</f>
        <v>4</v>
      </c>
      <c r="AC225" s="56">
        <f>AVERAGE(AV224:DA224)</f>
        <v>777846</v>
      </c>
      <c r="AD225" s="60" t="str">
        <f>IF(AC225&lt;60,"1",IF(AC225&lt;=43200,"2",IF(AC225&lt;=777600,"3","4")))</f>
        <v>4</v>
      </c>
      <c r="AE225" s="76">
        <f>AA225-Y225</f>
        <v>2591970</v>
      </c>
      <c r="AF225" s="80">
        <f>AV225</f>
        <v>0.8</v>
      </c>
      <c r="AG225" s="56">
        <f>((AW225-AV225)+(AX225-AW225)+(AY225-AX225)+(AZ225-AY225))/4</f>
        <v>-0.17915000000000003</v>
      </c>
      <c r="AH225" s="4"/>
      <c r="AI225" s="56">
        <f>RSQ(AV225:AZ225,AV224:AZ224)</f>
        <v>0.60297003500170554</v>
      </c>
      <c r="AJ225" s="109">
        <f>SLOPE(AV225:AZ225,AV224:AZ224)</f>
        <v>-2.1065924323886873E-7</v>
      </c>
      <c r="AK225" s="56">
        <f>INTERCEPT(AV225:AZ225,AV224:AZ224)</f>
        <v>0.55158044971638098</v>
      </c>
      <c r="AL225" s="56">
        <f>INDEX(LINEST(LN(AV225:AZ225),LN(AV224:AZ224),TRUE,TRUE),3,1)</f>
        <v>0.85486498228257024</v>
      </c>
      <c r="AM225" s="56">
        <f>INDEX(LINEST(LN(AV225:AZ225),LN(AV224:AZ224)),1)</f>
        <v>-0.16794010933010456</v>
      </c>
      <c r="AN225" s="56">
        <f>EXP(INDEX(LINEST(LN(AV225:AZ225),LN(AV224:AZ224)),1,2))</f>
        <v>1.6679998957789528</v>
      </c>
      <c r="AO225" s="82">
        <f>INDEX(LINEST((AV225:AZ225),LN(AV224:AZ224),TRUE,TRUE),3,1)</f>
        <v>0.99092130846433635</v>
      </c>
      <c r="AP225" s="82">
        <f>INDEX(LINEST((AV225:AZ225),LN(AV224:AZ224)),1)</f>
        <v>-5.9897083387676936E-2</v>
      </c>
      <c r="AQ225" s="83">
        <f>INDEX(LINEST(LN(AV225:AZ225),SQRT(AV224:AZ224),TRUE,TRUE),3,1)</f>
        <v>0.96257802991326591</v>
      </c>
      <c r="AR225" s="116">
        <f>INDEX(LINEST(LN(AV225:AZ225),SQRT((AV224:AZ224))),1)</f>
        <v>-1.2916736758146461E-3</v>
      </c>
      <c r="AS225" s="84">
        <f>INDEX(LINEST(1/(AV225:AZ225),1/(SQRT(AV224:AZ224)),TRUE,TRUE),3,1)</f>
        <v>0.27208258782842504</v>
      </c>
      <c r="AT225" s="84">
        <f>INDEX(LINEST(1/(AV225:AZ225),1/SQRT(AV224:AZ224)),1)</f>
        <v>-28.504760909348615</v>
      </c>
      <c r="AU225" s="3"/>
      <c r="AV225" s="53">
        <v>0.8</v>
      </c>
      <c r="AW225" s="53">
        <v>0.58299999999999996</v>
      </c>
      <c r="AX225" s="53">
        <v>0.25</v>
      </c>
      <c r="AY225" s="53">
        <v>0.22220000000000001</v>
      </c>
      <c r="AZ225" s="53">
        <v>8.3400000000000002E-2</v>
      </c>
      <c r="BA225" s="53"/>
      <c r="BB225" s="53"/>
      <c r="BC225" s="53"/>
      <c r="BD225" s="53"/>
      <c r="BE225" s="53"/>
      <c r="BF225" s="53"/>
      <c r="BG225" s="53"/>
      <c r="BH225" s="53"/>
      <c r="BI225" s="53"/>
      <c r="BJ225" s="53"/>
      <c r="BK225" s="53"/>
      <c r="BL225" s="53"/>
      <c r="BM225" s="53"/>
      <c r="BN225" s="53"/>
      <c r="BO225" s="53"/>
      <c r="BP225" s="53"/>
      <c r="BQ225" s="53"/>
      <c r="BR225" s="53"/>
      <c r="BS225" s="53"/>
      <c r="BT225" s="53"/>
      <c r="BU225" s="53"/>
      <c r="BV225" s="53"/>
      <c r="BW225" s="53"/>
      <c r="BX225" s="53"/>
      <c r="BY225" s="53"/>
      <c r="BZ225" s="53"/>
      <c r="CA225" s="53"/>
      <c r="CB225" s="53"/>
      <c r="CC225" s="53"/>
      <c r="CD225" s="53"/>
      <c r="CE225" s="53"/>
      <c r="CF225" s="53"/>
      <c r="CG225" s="53"/>
      <c r="CH225" s="53"/>
      <c r="CI225" s="53"/>
      <c r="CJ225" s="53"/>
      <c r="CK225" s="53"/>
      <c r="CL225" s="53"/>
      <c r="CM225" s="53"/>
      <c r="CN225" s="53"/>
      <c r="CO225" s="53"/>
      <c r="CP225" s="53"/>
      <c r="CQ225" s="53"/>
      <c r="CR225" s="1"/>
      <c r="CS225" s="1"/>
      <c r="CT225" s="1"/>
      <c r="CU225" s="1"/>
    </row>
    <row r="226" spans="1:99" s="13" customFormat="1" ht="12" customHeight="1" x14ac:dyDescent="0.2">
      <c r="A226" s="65">
        <v>43978</v>
      </c>
      <c r="B226" s="1"/>
      <c r="C226" s="1"/>
      <c r="D226" s="60"/>
      <c r="E226" s="76"/>
      <c r="F226" s="60"/>
      <c r="G226" s="60"/>
      <c r="H226" s="60"/>
      <c r="I226" s="60"/>
      <c r="J226" s="60"/>
      <c r="K226" s="60"/>
      <c r="L226" s="60"/>
      <c r="M226" s="60"/>
      <c r="N226" s="61"/>
      <c r="O226" s="60"/>
      <c r="P226" s="60"/>
      <c r="Q226" s="60"/>
      <c r="R226" s="60"/>
      <c r="S226" s="60"/>
      <c r="T226" s="59"/>
      <c r="U226" s="60"/>
      <c r="V226" s="59"/>
      <c r="W226" s="60"/>
      <c r="X226" s="60"/>
      <c r="Y226" s="76"/>
      <c r="Z226" s="59"/>
      <c r="AA226" s="59"/>
      <c r="AB226" s="60"/>
      <c r="AC226" s="56"/>
      <c r="AD226" s="60"/>
      <c r="AE226" s="76"/>
      <c r="AF226" s="80"/>
      <c r="AG226" s="56"/>
      <c r="AH226" s="4"/>
      <c r="AI226" s="56"/>
      <c r="AJ226" s="109"/>
      <c r="AK226" s="56"/>
      <c r="AL226" s="56"/>
      <c r="AM226" s="56"/>
      <c r="AN226" s="56"/>
      <c r="AO226" s="82"/>
      <c r="AP226" s="82"/>
      <c r="AQ226" s="83"/>
      <c r="AR226" s="116"/>
      <c r="AS226" s="84"/>
      <c r="AT226" s="84"/>
      <c r="AU226" s="3"/>
      <c r="AV226" s="25">
        <v>30</v>
      </c>
      <c r="AW226" s="25">
        <f>60*20</f>
        <v>1200</v>
      </c>
      <c r="AX226" s="25">
        <f>60*60*24*4</f>
        <v>345600</v>
      </c>
      <c r="AY226" s="25">
        <f>60*60*24*11</f>
        <v>950400</v>
      </c>
      <c r="AZ226" s="25">
        <f>60*60*24*30</f>
        <v>2592000</v>
      </c>
      <c r="BA226" s="53"/>
      <c r="BB226" s="53"/>
      <c r="BC226" s="53"/>
      <c r="BD226" s="53"/>
      <c r="BE226" s="53"/>
      <c r="BF226" s="53"/>
      <c r="BG226" s="53"/>
      <c r="BH226" s="53"/>
      <c r="BI226" s="53"/>
      <c r="BJ226" s="53"/>
      <c r="BK226" s="53"/>
      <c r="BL226" s="53"/>
      <c r="BM226" s="53"/>
      <c r="BN226" s="53"/>
      <c r="BO226" s="53"/>
      <c r="BP226" s="53"/>
      <c r="BQ226" s="53"/>
      <c r="BR226" s="53"/>
      <c r="BS226" s="53"/>
      <c r="BT226" s="53"/>
      <c r="BU226" s="53"/>
      <c r="BV226" s="53"/>
      <c r="BW226" s="53"/>
      <c r="BX226" s="53"/>
      <c r="BY226" s="53"/>
      <c r="BZ226" s="53"/>
      <c r="CA226" s="53"/>
      <c r="CB226" s="53"/>
      <c r="CC226" s="53"/>
      <c r="CD226" s="53"/>
      <c r="CE226" s="53"/>
      <c r="CF226" s="53"/>
      <c r="CG226" s="53"/>
      <c r="CH226" s="53"/>
      <c r="CI226" s="53"/>
      <c r="CJ226" s="53"/>
      <c r="CK226" s="53"/>
      <c r="CL226" s="53"/>
      <c r="CM226" s="53"/>
      <c r="CN226" s="53"/>
      <c r="CO226" s="53"/>
      <c r="CP226" s="53"/>
      <c r="CQ226" s="53"/>
      <c r="CR226" s="1"/>
      <c r="CS226" s="1"/>
      <c r="CT226" s="1"/>
      <c r="CU226" s="1"/>
    </row>
    <row r="227" spans="1:99" s="13" customFormat="1" ht="12" customHeight="1" x14ac:dyDescent="0.2">
      <c r="A227" s="65">
        <v>43978</v>
      </c>
      <c r="B227" s="1" t="s">
        <v>969</v>
      </c>
      <c r="C227" s="1" t="s">
        <v>970</v>
      </c>
      <c r="D227" s="60">
        <v>2012</v>
      </c>
      <c r="E227" s="76">
        <v>2</v>
      </c>
      <c r="F227" s="60">
        <v>4</v>
      </c>
      <c r="G227" s="60">
        <v>4</v>
      </c>
      <c r="H227" s="60" t="s">
        <v>227</v>
      </c>
      <c r="I227" s="60" t="s">
        <v>330</v>
      </c>
      <c r="J227" s="60" t="s">
        <v>677</v>
      </c>
      <c r="K227" s="60">
        <f>IF(J227="syllables",1,IF(J227="trigrams",2,IF(J227="strings",3,IF(J227="visual array",4,IF(J227="characters",5,IF(J227="letters",6,IF(J227="free forms",7,IF(J227="odors",8,IF(J227="words",9,IF(J227="pictures",10,IF(J227="object pictures",11,IF(J227="faces",12,IF(J227="names",13,IF(J227="idioms",14,IF(J227="grades",15,IF(J227="syllable-digit pairs",16,IF(J227="trigram-word pairs",17,IF(J227="word-digit pairs",18,IF(J227="English-Swahili pairs",19,IF(J227="spatial position",20,IF(J227="word pairs",21,IF(J227="word triads",22,IF(J227="generated words",23,IF(J227="word definition pairs",24,IF(J227="math problems",25,IF(J227="famous faces",26,IF(J227="famous names",27,IF(J227="famous voices",28,IF(J227="television programs",29,IF(J227="race horses",30,IF(J227="new vocabulary",31,IF(J227="sentences",32,IF(J227="concepts",33,IF(J227="ad slides",34,IF(J227="scenes",35,IF(J227="famous scenes",36,IF(J227="poems",37,IF(J227="walk",38,IF(J227="faces and events",39,IF(J227="events and names",40,IF(J227="flashbulb",41,IF(J227="stories",42,IF(J227="course material",43,IF(J227="autobiographical",44,IF(J227="novels",45,IF(J227="public events",46,"99"))))))))))))))))))))))))))))))))))))))))))))))</f>
        <v>42</v>
      </c>
      <c r="L227" s="60">
        <f>IF(J227="syllables",1,IF(J227="trigrams",1,IF(J227="strings",1,IF(J227="visual array",1,IF(J227="characters",1,IF(J227="letters",1,IF(J227="free forms",1,IF(J227="odors",2,IF(J227="words",2,IF(J227="pictures",2,IF(J227="object pictures",2,IF(J227="faces",2,IF(J227="names",2,IF(J227="idioms","2",IF(J227="grades",2,IF(J227="syllable-digit pairs",3,IF(J227="trigram-word pairs",3,IF(J227="word-digit pairs",3,IF(J227="English-Swahili pairs",3,IF(J227="spatial position",3,IF(J227="word pairs",4,IF(J227="word triads",4,IF(J227="generated words",4,IF(J227="word definition pairs",4,IF(J227="math problems",4,IF(J227="famous faces",4,IF(J227="famous names",4,IF(J227="famous voices",4,IF(J227="television programs",4,IF(J227="race horses",4,IF(J227="new vocabulary",4,IF(J227="sentences",5,IF(J227="concepts",5,IF(J227="ad slides",5,IF(J227="scenes",5,IF(J227="famous scenes",5,IF(J227="poems",6,IF(J227="walk",6,IF(J227="faces and events",6,IF(J227="events and names",6,IF(J227="flashbulb",7,IF(J227="stories",7,IF(J227="course material",7,IF(J227="autobiographical",7,IF(J227="novels",7,IF(J227="public events",7,"99"))))))))))))))))))))))))))))))))))))))))))))))</f>
        <v>7</v>
      </c>
      <c r="M227" s="60">
        <v>1</v>
      </c>
      <c r="N227" s="61">
        <v>2</v>
      </c>
      <c r="O227" s="60">
        <v>0</v>
      </c>
      <c r="P227" s="60"/>
      <c r="Q227" s="60" t="s">
        <v>174</v>
      </c>
      <c r="R227" s="60">
        <f>IF(Q227="Free Recall",1,IF(Q227="Cued Recall",2,IF(Q227="Recognition",3,IF(Q227="Multiple Choice",4,IF(Q227="Savings",5,IF(Q227="Stem Completion",6,IF(Q227="Fragment Completion",7,IF(Q227="anagram solution",8,IF(Q227="Matching",9,IF(Q227="Problem Solving",10,"99"))))))))))</f>
        <v>1</v>
      </c>
      <c r="S227" s="60" t="s">
        <v>49</v>
      </c>
      <c r="T227" s="59" t="s">
        <v>581</v>
      </c>
      <c r="U227" s="60">
        <f>IF(T227="within",1,0)</f>
        <v>1</v>
      </c>
      <c r="V227" s="59">
        <v>32</v>
      </c>
      <c r="W227" s="60">
        <f>F227*V227</f>
        <v>128</v>
      </c>
      <c r="X227" s="60">
        <v>5</v>
      </c>
      <c r="Y227" s="76">
        <f>AV226</f>
        <v>30</v>
      </c>
      <c r="Z227" s="59" t="s">
        <v>273</v>
      </c>
      <c r="AA227" s="59">
        <f>60*60*24*30</f>
        <v>2592000</v>
      </c>
      <c r="AB227" s="60" t="str">
        <f>IF(AA227&lt;60,"1",IF(AA227&lt;=43200,"2",IF(AA227&lt;=777600,"3","4")))</f>
        <v>4</v>
      </c>
      <c r="AC227" s="56">
        <f>AVERAGE(AV226:DA226)</f>
        <v>777846</v>
      </c>
      <c r="AD227" s="60" t="str">
        <f>IF(AC227&lt;60,"1",IF(AC227&lt;=43200,"2",IF(AC227&lt;=777600,"3","4")))</f>
        <v>4</v>
      </c>
      <c r="AE227" s="76">
        <f>AA227-Y227</f>
        <v>2591970</v>
      </c>
      <c r="AF227" s="80">
        <f>AV227</f>
        <v>0.84870000000000001</v>
      </c>
      <c r="AG227" s="56">
        <f>((AW227-AV227)+(AX227-AW227)+(AY227-AX227)+(AZ227-AY227))/4</f>
        <v>-6.8950000000000011E-2</v>
      </c>
      <c r="AH227" s="4"/>
      <c r="AI227" s="56">
        <f>RSQ(AV227:AZ227,AV226:AZ226)</f>
        <v>0.26908496486897349</v>
      </c>
      <c r="AJ227" s="109">
        <f>SLOPE(AV227:AZ227,AV226:AZ226)</f>
        <v>-5.2452790560959109E-8</v>
      </c>
      <c r="AK227" s="56">
        <f>INTERCEPT(AV227:AZ227,AV226:AZ226)</f>
        <v>0.70245019332667991</v>
      </c>
      <c r="AL227" s="56">
        <f>INDEX(LINEST(LN(AV227:AZ227),LN(AV226:AZ226),TRUE,TRUE),3,1)</f>
        <v>0.4896514852088702</v>
      </c>
      <c r="AM227" s="56">
        <f>INDEX(LINEST(LN(AV227:AZ227),LN(AV226:AZ226)),1)</f>
        <v>-2.2122079847556309E-2</v>
      </c>
      <c r="AN227" s="56">
        <f>EXP(INDEX(LINEST(LN(AV227:AZ227),LN(AV226:AZ226)),1,2))</f>
        <v>0.82368025578961857</v>
      </c>
      <c r="AO227" s="82">
        <f>INDEX(LINEST((AV227:AZ227),LN(AV226:AZ226),TRUE,TRUE),3,1)</f>
        <v>0.51430447655498723</v>
      </c>
      <c r="AP227" s="82">
        <f>INDEX(LINEST((AV227:AZ227),LN(AV226:AZ226)),1)</f>
        <v>-1.6083755832188514E-2</v>
      </c>
      <c r="AQ227" s="83">
        <f>INDEX(LINEST(LN(AV227:AZ227),SQRT(AV226:AZ226),TRUE,TRUE),3,1)</f>
        <v>0.31484355875880704</v>
      </c>
      <c r="AR227" s="116">
        <f>INDEX(LINEST(LN(AV227:AZ227),SQRT((AV226:AZ226))),1)</f>
        <v>-1.2857572808017874E-4</v>
      </c>
      <c r="AS227" s="84">
        <f>INDEX(LINEST(1/(AV227:AZ227),1/(SQRT(AV226:AZ226)),TRUE,TRUE),3,1)</f>
        <v>0.77730645150325772</v>
      </c>
      <c r="AT227" s="84">
        <f>INDEX(LINEST(1/(AV227:AZ227),1/SQRT(AV226:AZ226)),1)</f>
        <v>-2.4718383474925285</v>
      </c>
      <c r="AU227" s="3"/>
      <c r="AV227" s="53">
        <f>(0.853+0.8444)/2</f>
        <v>0.84870000000000001</v>
      </c>
      <c r="AW227" s="53">
        <f>(0.5824+0.6)/2</f>
        <v>0.59119999999999995</v>
      </c>
      <c r="AX227" s="53">
        <f>(0.4706+0.8222)/2</f>
        <v>0.64640000000000009</v>
      </c>
      <c r="AY227" s="53">
        <f>(0.4314+0.8667)/2</f>
        <v>0.64905000000000002</v>
      </c>
      <c r="AZ227" s="53">
        <f>(0.3236+0.8222)/2</f>
        <v>0.57289999999999996</v>
      </c>
      <c r="BA227" s="53"/>
      <c r="BB227" s="53"/>
      <c r="BC227" s="53"/>
      <c r="BD227" s="53"/>
      <c r="BE227" s="53"/>
      <c r="BF227" s="53"/>
      <c r="BG227" s="53"/>
      <c r="BH227" s="53"/>
      <c r="BI227" s="53"/>
      <c r="BJ227" s="53"/>
      <c r="BK227" s="53"/>
      <c r="BL227" s="53"/>
      <c r="BM227" s="53"/>
      <c r="BN227" s="53"/>
      <c r="BO227" s="53"/>
      <c r="BP227" s="53"/>
      <c r="BQ227" s="53"/>
      <c r="BR227" s="53"/>
      <c r="BS227" s="53"/>
      <c r="BT227" s="53"/>
      <c r="BU227" s="53"/>
      <c r="BV227" s="53"/>
      <c r="BW227" s="53"/>
      <c r="BX227" s="53"/>
      <c r="BY227" s="53"/>
      <c r="BZ227" s="53"/>
      <c r="CA227" s="53"/>
      <c r="CB227" s="53"/>
      <c r="CC227" s="53"/>
      <c r="CD227" s="53"/>
      <c r="CE227" s="53"/>
      <c r="CF227" s="53"/>
      <c r="CG227" s="53"/>
      <c r="CH227" s="53"/>
      <c r="CI227" s="53"/>
      <c r="CJ227" s="53"/>
      <c r="CK227" s="53"/>
      <c r="CL227" s="53"/>
      <c r="CM227" s="53"/>
      <c r="CN227" s="53"/>
      <c r="CO227" s="53"/>
      <c r="CP227" s="53"/>
      <c r="CQ227" s="53"/>
      <c r="CR227" s="1"/>
      <c r="CS227" s="1"/>
      <c r="CT227" s="1"/>
      <c r="CU227" s="1"/>
    </row>
    <row r="228" spans="1:99" s="13" customFormat="1" ht="12" customHeight="1" x14ac:dyDescent="0.2">
      <c r="A228" s="65">
        <v>43978</v>
      </c>
      <c r="B228" s="1"/>
      <c r="C228" s="1"/>
      <c r="D228" s="60"/>
      <c r="E228" s="76"/>
      <c r="F228" s="60"/>
      <c r="G228" s="60"/>
      <c r="H228" s="60"/>
      <c r="I228" s="60"/>
      <c r="J228" s="60"/>
      <c r="K228" s="60"/>
      <c r="L228" s="60"/>
      <c r="M228" s="60"/>
      <c r="N228" s="61"/>
      <c r="O228" s="60"/>
      <c r="P228" s="60"/>
      <c r="Q228" s="60"/>
      <c r="R228" s="60"/>
      <c r="S228" s="60"/>
      <c r="T228" s="59"/>
      <c r="U228" s="60"/>
      <c r="V228" s="59"/>
      <c r="W228" s="60"/>
      <c r="X228" s="60"/>
      <c r="Y228" s="76"/>
      <c r="Z228" s="59"/>
      <c r="AA228" s="59"/>
      <c r="AB228" s="60"/>
      <c r="AC228" s="56"/>
      <c r="AD228" s="60"/>
      <c r="AE228" s="76"/>
      <c r="AF228" s="80"/>
      <c r="AG228" s="56"/>
      <c r="AH228" s="4"/>
      <c r="AI228" s="56"/>
      <c r="AJ228" s="109"/>
      <c r="AK228" s="56"/>
      <c r="AL228" s="56"/>
      <c r="AM228" s="56"/>
      <c r="AN228" s="56"/>
      <c r="AO228" s="82"/>
      <c r="AP228" s="82"/>
      <c r="AQ228" s="83"/>
      <c r="AR228" s="116"/>
      <c r="AS228" s="84"/>
      <c r="AT228" s="84"/>
      <c r="AU228" s="3"/>
      <c r="AV228" s="25">
        <v>30</v>
      </c>
      <c r="AW228" s="25">
        <f>60*20</f>
        <v>1200</v>
      </c>
      <c r="AX228" s="25">
        <f>60*60*24*4</f>
        <v>345600</v>
      </c>
      <c r="AY228" s="25">
        <f>60*60*24*11</f>
        <v>950400</v>
      </c>
      <c r="AZ228" s="25">
        <f>60*60*24*30</f>
        <v>2592000</v>
      </c>
      <c r="BA228" s="53"/>
      <c r="BB228" s="53"/>
      <c r="BC228" s="53"/>
      <c r="BD228" s="53"/>
      <c r="BE228" s="53"/>
      <c r="BF228" s="53"/>
      <c r="BG228" s="53"/>
      <c r="BH228" s="53"/>
      <c r="BI228" s="53"/>
      <c r="BJ228" s="53"/>
      <c r="BK228" s="53"/>
      <c r="BL228" s="53"/>
      <c r="BM228" s="53"/>
      <c r="BN228" s="53"/>
      <c r="BO228" s="53"/>
      <c r="BP228" s="53"/>
      <c r="BQ228" s="53"/>
      <c r="BR228" s="53"/>
      <c r="BS228" s="53"/>
      <c r="BT228" s="53"/>
      <c r="BU228" s="53"/>
      <c r="BV228" s="53"/>
      <c r="BW228" s="53"/>
      <c r="BX228" s="53"/>
      <c r="BY228" s="53"/>
      <c r="BZ228" s="53"/>
      <c r="CA228" s="53"/>
      <c r="CB228" s="53"/>
      <c r="CC228" s="53"/>
      <c r="CD228" s="53"/>
      <c r="CE228" s="53"/>
      <c r="CF228" s="53"/>
      <c r="CG228" s="53"/>
      <c r="CH228" s="53"/>
      <c r="CI228" s="53"/>
      <c r="CJ228" s="53"/>
      <c r="CK228" s="53"/>
      <c r="CL228" s="53"/>
      <c r="CM228" s="53"/>
      <c r="CN228" s="53"/>
      <c r="CO228" s="53"/>
      <c r="CP228" s="53"/>
      <c r="CQ228" s="53"/>
      <c r="CR228" s="1"/>
      <c r="CS228" s="1"/>
      <c r="CT228" s="1"/>
      <c r="CU228" s="1"/>
    </row>
    <row r="229" spans="1:99" s="13" customFormat="1" ht="12" customHeight="1" x14ac:dyDescent="0.2">
      <c r="A229" s="65">
        <v>43978</v>
      </c>
      <c r="B229" s="1" t="s">
        <v>969</v>
      </c>
      <c r="C229" s="1" t="s">
        <v>970</v>
      </c>
      <c r="D229" s="60">
        <v>2012</v>
      </c>
      <c r="E229" s="76">
        <v>2</v>
      </c>
      <c r="F229" s="60">
        <v>4</v>
      </c>
      <c r="G229" s="60">
        <v>4</v>
      </c>
      <c r="H229" s="60" t="s">
        <v>227</v>
      </c>
      <c r="I229" s="60" t="s">
        <v>330</v>
      </c>
      <c r="J229" s="60" t="s">
        <v>686</v>
      </c>
      <c r="K229" s="60">
        <f>IF(J229="syllables",1,IF(J229="trigrams",2,IF(J229="strings",3,IF(J229="visual array",4,IF(J229="characters",5,IF(J229="letters",6,IF(J229="free forms",7,IF(J229="odors",8,IF(J229="words",9,IF(J229="pictures",10,IF(J229="object pictures",11,IF(J229="faces",12,IF(J229="names",13,IF(J229="idioms",14,IF(J229="grades",15,IF(J229="syllable-digit pairs",16,IF(J229="trigram-word pairs",17,IF(J229="word-digit pairs",18,IF(J229="English-Swahili pairs",19,IF(J229="spatial position",20,IF(J229="word pairs",21,IF(J229="word triads",22,IF(J229="generated words",23,IF(J229="word definition pairs",24,IF(J229="math problems",25,IF(J229="famous faces",26,IF(J229="famous names",27,IF(J229="famous voices",28,IF(J229="television programs",29,IF(J229="race horses",30,IF(J229="new vocabulary",31,IF(J229="sentences",32,IF(J229="concepts",33,IF(J229="ad slides",34,IF(J229="scenes",35,IF(J229="famous scenes",36,IF(J229="poems",37,IF(J229="walk",38,IF(J229="faces and events",39,IF(J229="events and names",40,IF(J229="flashbulb",41,IF(J229="stories",42,IF(J229="course material",43,IF(J229="autobiographical",44,IF(J229="novels",45,IF(J229="public events",46,"99"))))))))))))))))))))))))))))))))))))))))))))))</f>
        <v>35</v>
      </c>
      <c r="L229" s="60">
        <f>IF(J229="syllables",1,IF(J229="trigrams",1,IF(J229="strings",1,IF(J229="visual array",1,IF(J229="characters",1,IF(J229="letters",1,IF(J229="free forms",1,IF(J229="odors",2,IF(J229="words",2,IF(J229="pictures",2,IF(J229="object pictures",2,IF(J229="faces",2,IF(J229="names",2,IF(J229="idioms","2",IF(J229="grades",2,IF(J229="syllable-digit pairs",3,IF(J229="trigram-word pairs",3,IF(J229="word-digit pairs",3,IF(J229="English-Swahili pairs",3,IF(J229="spatial position",3,IF(J229="word pairs",4,IF(J229="word triads",4,IF(J229="generated words",4,IF(J229="word definition pairs",4,IF(J229="math problems",4,IF(J229="famous faces",4,IF(J229="famous names",4,IF(J229="famous voices",4,IF(J229="television programs",4,IF(J229="race horses",4,IF(J229="new vocabulary",4,IF(J229="sentences",5,IF(J229="concepts",5,IF(J229="ad slides",5,IF(J229="scenes",5,IF(J229="famous scenes",5,IF(J229="poems",6,IF(J229="walk",6,IF(J229="faces and events",6,IF(J229="events and names",6,IF(J229="flashbulb",7,IF(J229="stories",7,IF(J229="course material",7,IF(J229="autobiographical",7,IF(J229="novels",7,IF(J229="public events",7,"99"))))))))))))))))))))))))))))))))))))))))))))))</f>
        <v>5</v>
      </c>
      <c r="M229" s="60">
        <v>1</v>
      </c>
      <c r="N229" s="61">
        <v>2</v>
      </c>
      <c r="O229" s="60">
        <v>0</v>
      </c>
      <c r="P229" s="60"/>
      <c r="Q229" s="60" t="s">
        <v>174</v>
      </c>
      <c r="R229" s="60">
        <f>IF(Q229="Free Recall",1,IF(Q229="Cued Recall",2,IF(Q229="Recognition",3,IF(Q229="Multiple Choice",4,IF(Q229="Savings",5,IF(Q229="Stem Completion",6,IF(Q229="Fragment Completion",7,IF(Q229="anagram solution",8,IF(Q229="Matching",9,IF(Q229="Problem Solving",10,"99"))))))))))</f>
        <v>1</v>
      </c>
      <c r="S229" s="60" t="s">
        <v>49</v>
      </c>
      <c r="T229" s="59" t="s">
        <v>581</v>
      </c>
      <c r="U229" s="60">
        <f>IF(T229="within",1,0)</f>
        <v>1</v>
      </c>
      <c r="V229" s="59">
        <v>32</v>
      </c>
      <c r="W229" s="60">
        <f>F229*V229</f>
        <v>128</v>
      </c>
      <c r="X229" s="60">
        <v>5</v>
      </c>
      <c r="Y229" s="76">
        <f>AV228</f>
        <v>30</v>
      </c>
      <c r="Z229" s="59" t="s">
        <v>273</v>
      </c>
      <c r="AA229" s="59">
        <f>60*60*24*30</f>
        <v>2592000</v>
      </c>
      <c r="AB229" s="60" t="str">
        <f>IF(AA229&lt;60,"1",IF(AA229&lt;=43200,"2",IF(AA229&lt;=777600,"3","4")))</f>
        <v>4</v>
      </c>
      <c r="AC229" s="56">
        <f>AVERAGE(AV228:DA228)</f>
        <v>777846</v>
      </c>
      <c r="AD229" s="60" t="str">
        <f>IF(AC229&lt;60,"1",IF(AC229&lt;=43200,"2",IF(AC229&lt;=777600,"3","4")))</f>
        <v>4</v>
      </c>
      <c r="AE229" s="76">
        <f>AA229-Y229</f>
        <v>2591970</v>
      </c>
      <c r="AF229" s="80">
        <f>AV229</f>
        <v>0.85940000000000005</v>
      </c>
      <c r="AG229" s="56">
        <f>((AW229-AV229)+(AX229-AW229)+(AY229-AX229)+(AZ229-AY229))/4</f>
        <v>-0.12052500000000001</v>
      </c>
      <c r="AH229" s="4"/>
      <c r="AI229" s="56">
        <f>RSQ(AV229:AZ229,AV228:AZ228)</f>
        <v>0.80176590865227393</v>
      </c>
      <c r="AJ229" s="109">
        <f>SLOPE(AV229:AZ229,AV228:AZ228)</f>
        <v>-1.7254826016803393E-7</v>
      </c>
      <c r="AK229" s="56">
        <f>INTERCEPT(AV229:AZ229,AV228:AZ228)</f>
        <v>0.77845597397866451</v>
      </c>
      <c r="AL229" s="56">
        <f>INDEX(LINEST(LN(AV229:AZ229),LN(AV228:AZ228),TRUE,TRUE),3,1)</f>
        <v>0.81043467094826593</v>
      </c>
      <c r="AM229" s="56">
        <f>INDEX(LINEST(LN(AV229:AZ229),LN(AV228:AZ228)),1)</f>
        <v>-6.3602407780228104E-2</v>
      </c>
      <c r="AN229" s="56">
        <f>EXP(INDEX(LINEST(LN(AV229:AZ229),LN(AV228:AZ228)),1,2))</f>
        <v>1.1890254523716046</v>
      </c>
      <c r="AO229" s="82">
        <f>INDEX(LINEST((AV229:AZ229),LN(AV228:AZ228),TRUE,TRUE),3,1)</f>
        <v>0.87765579099732849</v>
      </c>
      <c r="AP229" s="82">
        <f>INDEX(LINEST((AV229:AZ229),LN(AV228:AZ228)),1)</f>
        <v>-4.0040762582998088E-2</v>
      </c>
      <c r="AQ229" s="83">
        <f>INDEX(LINEST(LN(AV229:AZ229),SQRT(AV228:AZ228),TRUE,TRUE),3,1)</f>
        <v>0.99292947730461012</v>
      </c>
      <c r="AR229" s="116">
        <f>INDEX(LINEST(LN(AV229:AZ229),SQRT((AV228:AZ228))),1)</f>
        <v>-5.102733901528806E-4</v>
      </c>
      <c r="AS229" s="84">
        <f>INDEX(LINEST(1/(AV229:AZ229),1/(SQRT(AV228:AZ228)),TRUE,TRUE),3,1)</f>
        <v>0.34570417637522866</v>
      </c>
      <c r="AT229" s="84">
        <f>INDEX(LINEST(1/(AV229:AZ229),1/SQRT(AV228:AZ228)),1)</f>
        <v>-4.5622120232244221</v>
      </c>
      <c r="AU229" s="3"/>
      <c r="AV229" s="53">
        <v>0.85940000000000005</v>
      </c>
      <c r="AW229" s="53">
        <v>0.85160000000000002</v>
      </c>
      <c r="AX229" s="53">
        <v>0.60160000000000002</v>
      </c>
      <c r="AY229" s="53">
        <v>0.53129999999999999</v>
      </c>
      <c r="AZ229" s="53">
        <v>0.37730000000000002</v>
      </c>
      <c r="BA229" s="53"/>
      <c r="BB229" s="53"/>
      <c r="BC229" s="53"/>
      <c r="BD229" s="53"/>
      <c r="BE229" s="53"/>
      <c r="BF229" s="53"/>
      <c r="BG229" s="53"/>
      <c r="BH229" s="53"/>
      <c r="BI229" s="53"/>
      <c r="BJ229" s="53"/>
      <c r="BK229" s="53"/>
      <c r="BL229" s="53"/>
      <c r="BM229" s="53"/>
      <c r="BN229" s="53"/>
      <c r="BO229" s="53"/>
      <c r="BP229" s="53"/>
      <c r="BQ229" s="53"/>
      <c r="BR229" s="53"/>
      <c r="BS229" s="53"/>
      <c r="BT229" s="53"/>
      <c r="BU229" s="53"/>
      <c r="BV229" s="53"/>
      <c r="BW229" s="53"/>
      <c r="BX229" s="53"/>
      <c r="BY229" s="53"/>
      <c r="BZ229" s="53"/>
      <c r="CA229" s="53"/>
      <c r="CB229" s="53"/>
      <c r="CC229" s="53"/>
      <c r="CD229" s="53"/>
      <c r="CE229" s="53"/>
      <c r="CF229" s="53"/>
      <c r="CG229" s="53"/>
      <c r="CH229" s="53"/>
      <c r="CI229" s="53"/>
      <c r="CJ229" s="53"/>
      <c r="CK229" s="53"/>
      <c r="CL229" s="53"/>
      <c r="CM229" s="53"/>
      <c r="CN229" s="53"/>
      <c r="CO229" s="53"/>
      <c r="CP229" s="53"/>
      <c r="CQ229" s="53"/>
      <c r="CR229" s="1"/>
      <c r="CS229" s="1"/>
      <c r="CT229" s="1"/>
      <c r="CU229" s="1"/>
    </row>
    <row r="230" spans="1:99" s="13" customFormat="1" ht="12" customHeight="1" x14ac:dyDescent="0.2">
      <c r="A230" s="65">
        <v>43896</v>
      </c>
      <c r="B230" s="1"/>
      <c r="C230" s="1"/>
      <c r="D230" s="60"/>
      <c r="E230" s="76"/>
      <c r="F230" s="60"/>
      <c r="G230" s="60"/>
      <c r="H230" s="60"/>
      <c r="I230" s="60"/>
      <c r="J230" s="60"/>
      <c r="K230" s="64"/>
      <c r="L230" s="64"/>
      <c r="M230" s="60"/>
      <c r="N230" s="59"/>
      <c r="O230" s="60"/>
      <c r="P230" s="60"/>
      <c r="Q230" s="60"/>
      <c r="R230" s="60"/>
      <c r="S230" s="60"/>
      <c r="T230" s="60"/>
      <c r="U230" s="60"/>
      <c r="V230" s="60"/>
      <c r="W230" s="60"/>
      <c r="X230" s="60"/>
      <c r="Y230" s="76"/>
      <c r="Z230" s="59"/>
      <c r="AA230" s="59"/>
      <c r="AB230" s="60"/>
      <c r="AC230" s="56"/>
      <c r="AD230" s="60"/>
      <c r="AE230" s="60"/>
      <c r="AF230" s="80"/>
      <c r="AG230" s="56"/>
      <c r="AH230" s="4"/>
      <c r="AI230" s="56"/>
      <c r="AJ230" s="109"/>
      <c r="AK230" s="56"/>
      <c r="AL230" s="56"/>
      <c r="AM230" s="56"/>
      <c r="AN230" s="56"/>
      <c r="AO230" s="82"/>
      <c r="AP230" s="82"/>
      <c r="AQ230" s="83"/>
      <c r="AR230" s="116"/>
      <c r="AS230" s="84"/>
      <c r="AT230" s="84"/>
      <c r="AU230" s="3"/>
      <c r="AV230" s="25">
        <v>315360000</v>
      </c>
      <c r="AW230" s="25">
        <v>630720000</v>
      </c>
      <c r="AX230" s="25">
        <v>646080000</v>
      </c>
      <c r="AY230" s="25">
        <v>12614400000</v>
      </c>
      <c r="AZ230" s="25">
        <v>1576800000</v>
      </c>
      <c r="BA230" s="53"/>
      <c r="BB230" s="53"/>
      <c r="BC230" s="53"/>
      <c r="BD230" s="53"/>
      <c r="BE230" s="53"/>
      <c r="BF230" s="53"/>
      <c r="BG230" s="53"/>
      <c r="BH230" s="53"/>
      <c r="BI230" s="53"/>
      <c r="BJ230" s="53"/>
      <c r="BK230" s="53"/>
      <c r="BL230" s="53"/>
      <c r="BM230" s="53"/>
      <c r="BN230" s="53"/>
      <c r="BO230" s="53"/>
      <c r="BP230" s="53"/>
      <c r="BQ230" s="53"/>
      <c r="BR230" s="53"/>
      <c r="BS230" s="53"/>
      <c r="BT230" s="53"/>
      <c r="BU230" s="53"/>
      <c r="BV230" s="53"/>
      <c r="BW230" s="53"/>
      <c r="BX230" s="53"/>
      <c r="BY230" s="53"/>
      <c r="BZ230" s="53"/>
      <c r="CA230" s="53"/>
      <c r="CB230" s="53"/>
      <c r="CC230" s="53"/>
      <c r="CD230" s="53"/>
      <c r="CE230" s="53"/>
      <c r="CF230" s="53"/>
      <c r="CG230" s="53"/>
      <c r="CH230" s="53"/>
      <c r="CI230" s="53"/>
      <c r="CJ230" s="53"/>
      <c r="CK230" s="53"/>
      <c r="CL230" s="53"/>
      <c r="CM230" s="53"/>
      <c r="CN230" s="53"/>
      <c r="CO230" s="53"/>
      <c r="CP230" s="53"/>
      <c r="CQ230" s="53"/>
      <c r="CR230" s="1"/>
      <c r="CS230" s="1"/>
      <c r="CT230" s="1"/>
      <c r="CU230" s="1"/>
    </row>
    <row r="231" spans="1:99" s="13" customFormat="1" ht="12" customHeight="1" x14ac:dyDescent="0.2">
      <c r="A231" s="65">
        <v>43896</v>
      </c>
      <c r="B231" s="1" t="s">
        <v>358</v>
      </c>
      <c r="C231" s="1" t="s">
        <v>54</v>
      </c>
      <c r="D231" s="60">
        <v>1989</v>
      </c>
      <c r="E231" s="76">
        <v>1</v>
      </c>
      <c r="F231" s="60">
        <v>16</v>
      </c>
      <c r="G231" s="60">
        <v>16</v>
      </c>
      <c r="H231" s="60" t="s">
        <v>41</v>
      </c>
      <c r="I231" s="60" t="s">
        <v>330</v>
      </c>
      <c r="J231" s="60" t="s">
        <v>340</v>
      </c>
      <c r="K231" s="60">
        <f>IF(J231="syllables",1,IF(J231="trigrams",2,IF(J231="strings",3,IF(J231="visual array",4,IF(J231="characters",5,IF(J231="letters",6,IF(J231="free forms",7,IF(J231="odors",8,IF(J231="words",9,IF(J231="pictures",10,IF(J231="object pictures",11,IF(J231="faces",12,IF(J231="names",13,IF(J231="idioms",14,IF(J231="grades",15,IF(J231="syllable-digit pairs",16,IF(J231="trigram-word pairs",17,IF(J231="word-digit pairs",18,IF(J231="English-Swahili pairs",19,IF(J231="spatial position",20,IF(J231="word pairs",21,IF(J231="word triads",22,IF(J231="generated words",23,IF(J231="word definition pairs",24,IF(J231="math problems",25,IF(J231="famous faces",26,IF(J231="famous names",27,IF(J231="famous voices",28,IF(J231="television programs",29,IF(J231="race horses",30,IF(J231="new vocabulary",31,IF(J231="sentences",32,IF(J231="concepts",33,IF(J231="ad slides",34,IF(J231="scenes",35,IF(J231="famous scenes",36,IF(J231="poems",37,IF(J231="walk",38,IF(J231="faces and events",39,IF(J231="events and names",40,IF(J231="flashbulb",41,IF(J231="stories",42,IF(J231="course material",43,IF(J231="autobiographical",44,IF(J231="novels",45,IF(J231="public events",46,"99"))))))))))))))))))))))))))))))))))))))))))))))</f>
        <v>46</v>
      </c>
      <c r="L231" s="60">
        <f>IF(J231="syllables",1,IF(J231="trigrams",1,IF(J231="strings",1,IF(J231="visual array",1,IF(J231="characters",1,IF(J231="letters",1,IF(J231="free forms",1,IF(J231="odors",2,IF(J231="words",2,IF(J231="pictures",2,IF(J231="object pictures",2,IF(J231="faces",2,IF(J231="names",2,IF(J231="idioms","2",IF(J231="grades",2,IF(J231="syllable-digit pairs",3,IF(J231="trigram-word pairs",3,IF(J231="word-digit pairs",3,IF(J231="English-Swahili pairs",3,IF(J231="spatial position",3,IF(J231="word pairs",4,IF(J231="word triads",4,IF(J231="generated words",4,IF(J231="word definition pairs",4,IF(J231="math problems",4,IF(J231="famous faces",4,IF(J231="famous names",4,IF(J231="famous voices",4,IF(J231="television programs",4,IF(J231="race horses",4,IF(J231="new vocabulary",4,IF(J231="sentences",5,IF(J231="concepts",5,IF(J231="ad slides",5,IF(J231="scenes",5,IF(J231="famous scenes",5,IF(J231="poems",6,IF(J231="walk",6,IF(J231="faces and events",6,IF(J231="events and names",6,IF(J231="flashbulb",7,IF(J231="stories",7,IF(J231="course material",7,IF(J231="autobiographical",7,IF(J231="novels",7,IF(J231="public events",7,"99"))))))))))))))))))))))))))))))))))))))))))))))</f>
        <v>7</v>
      </c>
      <c r="M231" s="60">
        <v>1</v>
      </c>
      <c r="N231" s="59">
        <v>4</v>
      </c>
      <c r="O231" s="60">
        <v>0</v>
      </c>
      <c r="P231" s="60"/>
      <c r="Q231" s="60" t="s">
        <v>174</v>
      </c>
      <c r="R231" s="60">
        <f>IF(Q231="Free Recall",1,IF(Q231="Cued Recall",2,IF(Q231="Recognition",3,IF(Q231="Multiple Choice",4,IF(Q231="Savings",5,IF(Q231="Stem Completion",6,IF(Q231="Fragment Completion",7,IF(Q231="anagram solution",8,IF(Q231="Matching",9,IF(Q231="Problem Solving",10,"99"))))))))))</f>
        <v>1</v>
      </c>
      <c r="S231" s="60" t="s">
        <v>49</v>
      </c>
      <c r="T231" s="59" t="s">
        <v>581</v>
      </c>
      <c r="U231" s="60">
        <f>IF(T231="within",1,0)</f>
        <v>1</v>
      </c>
      <c r="V231" s="59">
        <v>50</v>
      </c>
      <c r="W231" s="60">
        <f>F231*V231</f>
        <v>800</v>
      </c>
      <c r="X231" s="60">
        <v>5</v>
      </c>
      <c r="Y231" s="76">
        <f>AV230</f>
        <v>315360000</v>
      </c>
      <c r="Z231" s="59" t="s">
        <v>209</v>
      </c>
      <c r="AA231" s="60">
        <f>50*365*24*60*60</f>
        <v>1576800000</v>
      </c>
      <c r="AB231" s="60" t="str">
        <f>IF(AA231&lt;60,"1",IF(AA231&lt;=43200,"2",IF(AA231&lt;=777600,"3","4")))</f>
        <v>4</v>
      </c>
      <c r="AC231" s="56">
        <f>AVERAGE(AV230:DA230)</f>
        <v>3156672000</v>
      </c>
      <c r="AD231" s="60" t="str">
        <f>IF(AC231&lt;60,"1",IF(AC231&lt;=43200,"2",IF(AC231&lt;=777600,"3","4")))</f>
        <v>4</v>
      </c>
      <c r="AE231" s="76">
        <f>AA231-Y231</f>
        <v>1261440000</v>
      </c>
      <c r="AF231" s="80">
        <f>AV231</f>
        <v>0.66666666666666674</v>
      </c>
      <c r="AG231" s="56">
        <f>((AW231-AV231)+(AX231-AW231)+(AY231-AX231)+(AZ231-AY231))/4</f>
        <v>-2.6041666666666657E-2</v>
      </c>
      <c r="AH231" s="4"/>
      <c r="AI231" s="56">
        <f>RSQ(AV231:AZ231,AV230:AZ230)</f>
        <v>0.34108354806196128</v>
      </c>
      <c r="AJ231" s="109">
        <f>SLOPE(AV231:AZ231,AV230:AZ230)</f>
        <v>-5.9162530680544804E-12</v>
      </c>
      <c r="AK231" s="56">
        <f>INTERCEPT(AV231:AZ231,AV230:AZ230)</f>
        <v>0.59466773389690519</v>
      </c>
      <c r="AL231" s="56">
        <f>INDEX(LINEST(LN(AV231:AZ231),LN(AV230:AZ230),TRUE,TRUE),3,1)</f>
        <v>0.59628035336701501</v>
      </c>
      <c r="AM231" s="56">
        <f>INDEX(LINEST(LN(AV231:AZ231),LN(AV230:AZ230)),1)</f>
        <v>-4.8463934323627805E-2</v>
      </c>
      <c r="AN231" s="56">
        <f>EXP(INDEX(LINEST(LN(AV231:AZ231),LN(AV230:AZ230)),1,2))</f>
        <v>1.5816294583612749</v>
      </c>
      <c r="AO231" s="82">
        <f>INDEX(LINEST((AV231:AZ231),LN(AV230:AZ230),TRUE,TRUE),3,1)</f>
        <v>0.56639905020568171</v>
      </c>
      <c r="AP231" s="82">
        <f>INDEX(LINEST((AV231:AZ231),LN(AV230:AZ230)),1)</f>
        <v>-2.8278391475438095E-2</v>
      </c>
      <c r="AQ231" s="83">
        <f>INDEX(LINEST(LN(AV231:AZ231),SQRT(AV230:AZ230),TRUE,TRUE),3,1)</f>
        <v>0.44985289340621376</v>
      </c>
      <c r="AR231" s="116">
        <f>INDEX(LINEST(LN(AV231:AZ231),SQRT((AV230:AZ230))),1)</f>
        <v>-1.545665415309348E-6</v>
      </c>
      <c r="AS231" s="84">
        <f>INDEX(LINEST(1/(AV231:AZ231),1/(SQRT(AV230:AZ230)),TRUE,TRUE),3,1)</f>
        <v>0.7861401864935218</v>
      </c>
      <c r="AT231" s="84">
        <f>INDEX(LINEST(1/(AV231:AZ231),1/SQRT(AV230:AZ230)),1)</f>
        <v>-7514.0184880640663</v>
      </c>
      <c r="AU231" s="3"/>
      <c r="AV231" s="53">
        <v>0.66666666666666674</v>
      </c>
      <c r="AW231" s="53">
        <v>0.55555555555555558</v>
      </c>
      <c r="AX231" s="53">
        <v>0.5714285714285714</v>
      </c>
      <c r="AY231" s="53">
        <v>0.52380952380952384</v>
      </c>
      <c r="AZ231" s="53">
        <v>0.56250000000000011</v>
      </c>
      <c r="BA231" s="53"/>
      <c r="BB231" s="53"/>
      <c r="BC231" s="53"/>
      <c r="BD231" s="53"/>
      <c r="BE231" s="53"/>
      <c r="BF231" s="53"/>
      <c r="BG231" s="53"/>
      <c r="BH231" s="53"/>
      <c r="BI231" s="53"/>
      <c r="BJ231" s="53"/>
      <c r="BK231" s="53"/>
      <c r="BL231" s="53"/>
      <c r="BM231" s="53"/>
      <c r="BN231" s="53"/>
      <c r="BO231" s="53"/>
      <c r="BP231" s="53"/>
      <c r="BQ231" s="53"/>
      <c r="BR231" s="53"/>
      <c r="BS231" s="53"/>
      <c r="BT231" s="53"/>
      <c r="BU231" s="53"/>
      <c r="BV231" s="53"/>
      <c r="BW231" s="53"/>
      <c r="BX231" s="53"/>
      <c r="BY231" s="53"/>
      <c r="BZ231" s="53"/>
      <c r="CA231" s="53"/>
      <c r="CB231" s="53"/>
      <c r="CC231" s="53"/>
      <c r="CD231" s="53"/>
      <c r="CE231" s="53"/>
      <c r="CF231" s="53"/>
      <c r="CG231" s="53"/>
      <c r="CH231" s="53"/>
      <c r="CI231" s="53"/>
      <c r="CJ231" s="53"/>
      <c r="CK231" s="53"/>
      <c r="CL231" s="53"/>
      <c r="CM231" s="53"/>
      <c r="CN231" s="53"/>
      <c r="CO231" s="53"/>
      <c r="CP231" s="53"/>
      <c r="CQ231" s="53"/>
      <c r="CR231" s="1"/>
      <c r="CS231" s="1"/>
      <c r="CT231" s="1"/>
      <c r="CU231" s="1"/>
    </row>
    <row r="232" spans="1:99" s="13" customFormat="1" ht="12" customHeight="1" x14ac:dyDescent="0.2">
      <c r="A232" s="65">
        <v>43896</v>
      </c>
      <c r="B232" s="1"/>
      <c r="C232" s="1"/>
      <c r="D232" s="60"/>
      <c r="E232" s="76"/>
      <c r="F232" s="60"/>
      <c r="G232" s="60"/>
      <c r="H232" s="60"/>
      <c r="I232" s="60"/>
      <c r="J232" s="60"/>
      <c r="K232" s="64"/>
      <c r="L232" s="64"/>
      <c r="M232" s="60"/>
      <c r="N232" s="59"/>
      <c r="O232" s="60"/>
      <c r="P232" s="60"/>
      <c r="Q232" s="60"/>
      <c r="R232" s="60"/>
      <c r="S232" s="60"/>
      <c r="T232" s="60"/>
      <c r="U232" s="60"/>
      <c r="V232" s="60"/>
      <c r="W232" s="60"/>
      <c r="X232" s="60"/>
      <c r="Y232" s="76"/>
      <c r="Z232" s="59"/>
      <c r="AA232" s="59"/>
      <c r="AB232" s="60"/>
      <c r="AC232" s="56"/>
      <c r="AD232" s="60"/>
      <c r="AE232" s="60"/>
      <c r="AF232" s="80"/>
      <c r="AG232" s="56"/>
      <c r="AH232" s="4"/>
      <c r="AI232" s="56"/>
      <c r="AJ232" s="109"/>
      <c r="AK232" s="56"/>
      <c r="AL232" s="56"/>
      <c r="AM232" s="56"/>
      <c r="AN232" s="56"/>
      <c r="AO232" s="82"/>
      <c r="AP232" s="82"/>
      <c r="AQ232" s="83"/>
      <c r="AR232" s="116"/>
      <c r="AS232" s="84"/>
      <c r="AT232" s="84"/>
      <c r="AU232" s="3"/>
      <c r="AV232" s="25">
        <v>315360000</v>
      </c>
      <c r="AW232" s="25">
        <v>630720000</v>
      </c>
      <c r="AX232" s="25">
        <v>646080000</v>
      </c>
      <c r="AY232" s="25">
        <v>12614400000</v>
      </c>
      <c r="AZ232" s="25">
        <v>1576800000</v>
      </c>
      <c r="BA232" s="53"/>
      <c r="BB232" s="53"/>
      <c r="BC232" s="53"/>
      <c r="BD232" s="53"/>
      <c r="BE232" s="53"/>
      <c r="BF232" s="53"/>
      <c r="BG232" s="53"/>
      <c r="BH232" s="53"/>
      <c r="BI232" s="53"/>
      <c r="BJ232" s="53"/>
      <c r="BK232" s="53"/>
      <c r="BL232" s="53"/>
      <c r="BM232" s="53"/>
      <c r="BN232" s="53"/>
      <c r="BO232" s="53"/>
      <c r="BP232" s="53"/>
      <c r="BQ232" s="53"/>
      <c r="BR232" s="53"/>
      <c r="BS232" s="53"/>
      <c r="BT232" s="53"/>
      <c r="BU232" s="53"/>
      <c r="BV232" s="53"/>
      <c r="BW232" s="53"/>
      <c r="BX232" s="53"/>
      <c r="BY232" s="53"/>
      <c r="BZ232" s="53"/>
      <c r="CA232" s="53"/>
      <c r="CB232" s="53"/>
      <c r="CC232" s="53"/>
      <c r="CD232" s="53"/>
      <c r="CE232" s="53"/>
      <c r="CF232" s="53"/>
      <c r="CG232" s="53"/>
      <c r="CH232" s="53"/>
      <c r="CI232" s="53"/>
      <c r="CJ232" s="53"/>
      <c r="CK232" s="53"/>
      <c r="CL232" s="53"/>
      <c r="CM232" s="53"/>
      <c r="CN232" s="53"/>
      <c r="CO232" s="53"/>
      <c r="CP232" s="53"/>
      <c r="CQ232" s="53"/>
      <c r="CR232" s="1"/>
      <c r="CS232" s="1"/>
      <c r="CT232" s="1"/>
      <c r="CU232" s="1"/>
    </row>
    <row r="233" spans="1:99" s="13" customFormat="1" ht="12" customHeight="1" x14ac:dyDescent="0.2">
      <c r="A233" s="65">
        <v>43896</v>
      </c>
      <c r="B233" s="1" t="s">
        <v>358</v>
      </c>
      <c r="C233" s="1" t="s">
        <v>54</v>
      </c>
      <c r="D233" s="60">
        <v>1989</v>
      </c>
      <c r="E233" s="76">
        <v>1</v>
      </c>
      <c r="F233" s="60">
        <v>16</v>
      </c>
      <c r="G233" s="60">
        <v>16</v>
      </c>
      <c r="H233" s="60" t="s">
        <v>17</v>
      </c>
      <c r="I233" s="60" t="s">
        <v>330</v>
      </c>
      <c r="J233" s="60" t="s">
        <v>340</v>
      </c>
      <c r="K233" s="60">
        <f>IF(J233="syllables",1,IF(J233="trigrams",2,IF(J233="strings",3,IF(J233="visual array",4,IF(J233="characters",5,IF(J233="letters",6,IF(J233="free forms",7,IF(J233="odors",8,IF(J233="words",9,IF(J233="pictures",10,IF(J233="object pictures",11,IF(J233="faces",12,IF(J233="names",13,IF(J233="idioms",14,IF(J233="grades",15,IF(J233="syllable-digit pairs",16,IF(J233="trigram-word pairs",17,IF(J233="word-digit pairs",18,IF(J233="English-Swahili pairs",19,IF(J233="spatial position",20,IF(J233="word pairs",21,IF(J233="word triads",22,IF(J233="generated words",23,IF(J233="word definition pairs",24,IF(J233="math problems",25,IF(J233="famous faces",26,IF(J233="famous names",27,IF(J233="famous voices",28,IF(J233="television programs",29,IF(J233="race horses",30,IF(J233="new vocabulary",31,IF(J233="sentences",32,IF(J233="concepts",33,IF(J233="ad slides",34,IF(J233="scenes",35,IF(J233="famous scenes",36,IF(J233="poems",37,IF(J233="walk",38,IF(J233="faces and events",39,IF(J233="events and names",40,IF(J233="flashbulb",41,IF(J233="stories",42,IF(J233="course material",43,IF(J233="autobiographical",44,IF(J233="novels",45,IF(J233="public events",46,"99"))))))))))))))))))))))))))))))))))))))))))))))</f>
        <v>46</v>
      </c>
      <c r="L233" s="60">
        <f>IF(J233="syllables",1,IF(J233="trigrams",1,IF(J233="strings",1,IF(J233="visual array",1,IF(J233="characters",1,IF(J233="letters",1,IF(J233="free forms",1,IF(J233="odors",2,IF(J233="words",2,IF(J233="pictures",2,IF(J233="object pictures",2,IF(J233="faces",2,IF(J233="names",2,IF(J233="idioms","2",IF(J233="grades",2,IF(J233="syllable-digit pairs",3,IF(J233="trigram-word pairs",3,IF(J233="word-digit pairs",3,IF(J233="English-Swahili pairs",3,IF(J233="spatial position",3,IF(J233="word pairs",4,IF(J233="word triads",4,IF(J233="generated words",4,IF(J233="word definition pairs",4,IF(J233="math problems",4,IF(J233="famous faces",4,IF(J233="famous names",4,IF(J233="famous voices",4,IF(J233="television programs",4,IF(J233="race horses",4,IF(J233="new vocabulary",4,IF(J233="sentences",5,IF(J233="concepts",5,IF(J233="ad slides",5,IF(J233="scenes",5,IF(J233="famous scenes",5,IF(J233="poems",6,IF(J233="walk",6,IF(J233="faces and events",6,IF(J233="events and names",6,IF(J233="flashbulb",7,IF(J233="stories",7,IF(J233="course material",7,IF(J233="autobiographical",7,IF(J233="novels",7,IF(J233="public events",7,"99"))))))))))))))))))))))))))))))))))))))))))))))</f>
        <v>7</v>
      </c>
      <c r="M233" s="60">
        <v>1</v>
      </c>
      <c r="N233" s="59">
        <v>4</v>
      </c>
      <c r="O233" s="60">
        <v>0</v>
      </c>
      <c r="P233" s="60"/>
      <c r="Q233" s="60" t="s">
        <v>182</v>
      </c>
      <c r="R233" s="60">
        <f>IF(Q233="Free Recall",1,IF(Q233="Cued Recall",2,IF(Q233="Recognition",3,IF(Q233="Multiple Choice",4,IF(Q233="Savings",5,IF(Q233="Stem Completion",6,IF(Q233="Fragment Completion",7,IF(Q233="anagram solution",8,IF(Q233="Matching",9,IF(Q233="Problem Solving",10,"99"))))))))))</f>
        <v>4</v>
      </c>
      <c r="S233" s="60" t="s">
        <v>15</v>
      </c>
      <c r="T233" s="59" t="s">
        <v>581</v>
      </c>
      <c r="U233" s="60">
        <f>IF(T233="within",1,0)</f>
        <v>1</v>
      </c>
      <c r="V233" s="59">
        <v>50</v>
      </c>
      <c r="W233" s="60">
        <f>F233*V233</f>
        <v>800</v>
      </c>
      <c r="X233" s="60">
        <v>5</v>
      </c>
      <c r="Y233" s="76">
        <f>AV232</f>
        <v>315360000</v>
      </c>
      <c r="Z233" s="59" t="s">
        <v>209</v>
      </c>
      <c r="AA233" s="60">
        <f>50*365*24*60*60</f>
        <v>1576800000</v>
      </c>
      <c r="AB233" s="60" t="str">
        <f>IF(AA233&lt;60,"1",IF(AA233&lt;=43200,"2",IF(AA233&lt;=777600,"3","4")))</f>
        <v>4</v>
      </c>
      <c r="AC233" s="56">
        <f>AVERAGE(AV232:DA232)</f>
        <v>3156672000</v>
      </c>
      <c r="AD233" s="60" t="str">
        <f>IF(AC233&lt;60,"1",IF(AC233&lt;=43200,"2",IF(AC233&lt;=777600,"3","4")))</f>
        <v>4</v>
      </c>
      <c r="AE233" s="76">
        <f>AA233-Y233</f>
        <v>1261440000</v>
      </c>
      <c r="AF233" s="80">
        <f>AV233</f>
        <v>0.79999999999999993</v>
      </c>
      <c r="AG233" s="56">
        <f>((AW233-AV233)+(AX233-AW233)+(AY233-AX233)+(AZ233-AY233))/4</f>
        <v>-2.5757575757575729E-2</v>
      </c>
      <c r="AH233" s="4"/>
      <c r="AI233" s="56">
        <f>RSQ(AV233:AZ233,AV232:AZ232)</f>
        <v>0.52674193610151787</v>
      </c>
      <c r="AJ233" s="109">
        <f>SLOPE(AV233:AZ233,AV232:AZ232)</f>
        <v>-8.8660153617345873E-12</v>
      </c>
      <c r="AK233" s="56">
        <f>INTERCEPT(AV233:AZ233,AV232:AZ232)</f>
        <v>0.78665214158214225</v>
      </c>
      <c r="AL233" s="56">
        <f>INDEX(LINEST(LN(AV233:AZ233),LN(AV232:AZ232),TRUE,TRUE),3,1)</f>
        <v>0.73438148508132028</v>
      </c>
      <c r="AM233" s="56">
        <f>INDEX(LINEST(LN(AV233:AZ233),LN(AV232:AZ232)),1)</f>
        <v>-5.1964405657588801E-2</v>
      </c>
      <c r="AN233" s="56">
        <f>EXP(INDEX(LINEST(LN(AV233:AZ233),LN(AV232:AZ232)),1,2))</f>
        <v>2.2421792570433676</v>
      </c>
      <c r="AO233" s="82">
        <f>INDEX(LINEST((AV233:AZ233),LN(AV232:AZ232),TRUE,TRUE),3,1)</f>
        <v>0.72390729972168566</v>
      </c>
      <c r="AP233" s="82">
        <f>INDEX(LINEST((AV233:AZ233),LN(AV232:AZ232)),1)</f>
        <v>-3.8552105083907266E-2</v>
      </c>
      <c r="AQ233" s="83">
        <f>INDEX(LINEST(LN(AV233:AZ233),SQRT(AV232:AZ232),TRUE,TRUE),3,1)</f>
        <v>0.62767151499197682</v>
      </c>
      <c r="AR233" s="116">
        <f>INDEX(LINEST(LN(AV233:AZ233),SQRT((AV232:AZ232))),1)</f>
        <v>-1.7639981607066108E-6</v>
      </c>
      <c r="AS233" s="84">
        <f>INDEX(LINEST(1/(AV233:AZ233),1/(SQRT(AV232:AZ232)),TRUE,TRUE),3,1)</f>
        <v>0.75053807135019446</v>
      </c>
      <c r="AT233" s="84">
        <f>INDEX(LINEST(1/(AV233:AZ233),1/SQRT(AV232:AZ232)),1)</f>
        <v>-5666.0918557274344</v>
      </c>
      <c r="AU233" s="3"/>
      <c r="AV233" s="53">
        <v>0.79999999999999993</v>
      </c>
      <c r="AW233" s="53">
        <v>0.79166666666666674</v>
      </c>
      <c r="AX233" s="53">
        <v>0.82352941176470584</v>
      </c>
      <c r="AY233" s="53">
        <v>0.6811594202898551</v>
      </c>
      <c r="AZ233" s="53">
        <v>0.69696969696969702</v>
      </c>
      <c r="BA233" s="53"/>
      <c r="BB233" s="53"/>
      <c r="BC233" s="53"/>
      <c r="BD233" s="53"/>
      <c r="BE233" s="53"/>
      <c r="BF233" s="53"/>
      <c r="BG233" s="53"/>
      <c r="BH233" s="53"/>
      <c r="BI233" s="53"/>
      <c r="BJ233" s="53"/>
      <c r="BK233" s="53"/>
      <c r="BL233" s="53"/>
      <c r="BM233" s="53"/>
      <c r="BN233" s="53"/>
      <c r="BO233" s="53"/>
      <c r="BP233" s="53"/>
      <c r="BQ233" s="53"/>
      <c r="BR233" s="53"/>
      <c r="BS233" s="53"/>
      <c r="BT233" s="53"/>
      <c r="BU233" s="53"/>
      <c r="BV233" s="53"/>
      <c r="BW233" s="53"/>
      <c r="BX233" s="53"/>
      <c r="BY233" s="53"/>
      <c r="BZ233" s="53"/>
      <c r="CA233" s="53"/>
      <c r="CB233" s="53"/>
      <c r="CC233" s="53"/>
      <c r="CD233" s="53"/>
      <c r="CE233" s="53"/>
      <c r="CF233" s="53"/>
      <c r="CG233" s="53"/>
      <c r="CH233" s="53"/>
      <c r="CI233" s="53"/>
      <c r="CJ233" s="53"/>
      <c r="CK233" s="53"/>
      <c r="CL233" s="53"/>
      <c r="CM233" s="53"/>
      <c r="CN233" s="53"/>
      <c r="CO233" s="53"/>
      <c r="CP233" s="53"/>
      <c r="CQ233" s="53"/>
      <c r="CR233" s="1"/>
      <c r="CS233" s="1"/>
      <c r="CT233" s="1"/>
      <c r="CU233" s="1"/>
    </row>
    <row r="234" spans="1:99" s="145" customFormat="1" ht="12" customHeight="1" x14ac:dyDescent="0.2">
      <c r="A234" s="150">
        <v>43896</v>
      </c>
      <c r="B234" s="151"/>
      <c r="C234" s="151"/>
      <c r="D234" s="151"/>
      <c r="E234" s="152"/>
      <c r="F234" s="151"/>
      <c r="G234" s="151"/>
      <c r="H234" s="151"/>
      <c r="I234" s="151"/>
      <c r="J234" s="151"/>
      <c r="K234" s="152"/>
      <c r="L234" s="152"/>
      <c r="M234" s="151"/>
      <c r="N234" s="152"/>
      <c r="O234" s="151"/>
      <c r="P234" s="151"/>
      <c r="Q234" s="151"/>
      <c r="R234" s="151"/>
      <c r="S234" s="151"/>
      <c r="T234" s="151"/>
      <c r="U234" s="60"/>
      <c r="V234" s="151"/>
      <c r="W234" s="151"/>
      <c r="X234" s="151"/>
      <c r="Y234" s="151"/>
      <c r="Z234" s="151"/>
      <c r="AA234" s="151"/>
      <c r="AB234" s="151"/>
      <c r="AC234" s="131"/>
      <c r="AD234" s="151"/>
      <c r="AE234" s="151"/>
      <c r="AF234" s="151"/>
      <c r="AG234" s="138"/>
      <c r="AH234" s="147"/>
      <c r="AI234" s="131"/>
      <c r="AJ234" s="131"/>
      <c r="AK234" s="131"/>
      <c r="AL234" s="131"/>
      <c r="AM234" s="131"/>
      <c r="AN234" s="131"/>
      <c r="AO234" s="131"/>
      <c r="AP234" s="131"/>
      <c r="AQ234" s="131"/>
      <c r="AR234" s="131"/>
      <c r="AS234" s="131"/>
      <c r="AT234" s="131"/>
      <c r="AU234" s="148"/>
      <c r="AV234" s="130">
        <v>315360000</v>
      </c>
      <c r="AW234" s="130">
        <v>630720000</v>
      </c>
      <c r="AX234" s="130">
        <v>946080000</v>
      </c>
      <c r="AY234" s="146"/>
      <c r="AZ234" s="146"/>
      <c r="BA234" s="146"/>
      <c r="BB234" s="146"/>
      <c r="BC234" s="146"/>
      <c r="BD234" s="146"/>
      <c r="BE234" s="146"/>
      <c r="BF234" s="146"/>
      <c r="BG234" s="146"/>
      <c r="BH234" s="146"/>
      <c r="BI234" s="146"/>
      <c r="BJ234" s="146"/>
      <c r="BK234" s="146"/>
      <c r="BL234" s="146"/>
      <c r="BM234" s="146"/>
      <c r="BN234" s="146"/>
      <c r="BO234" s="146"/>
      <c r="BP234" s="146"/>
      <c r="BQ234" s="146"/>
      <c r="BR234" s="146"/>
      <c r="BS234" s="146"/>
      <c r="BT234" s="146"/>
      <c r="BU234" s="146"/>
      <c r="BV234" s="146"/>
      <c r="BW234" s="146"/>
      <c r="BX234" s="146"/>
      <c r="BY234" s="146"/>
      <c r="BZ234" s="146"/>
      <c r="CA234" s="146"/>
      <c r="CB234" s="146"/>
      <c r="CC234" s="146"/>
      <c r="CD234" s="146"/>
      <c r="CE234" s="146"/>
      <c r="CF234" s="146"/>
      <c r="CG234" s="146"/>
      <c r="CH234" s="146"/>
      <c r="CI234" s="146"/>
      <c r="CJ234" s="146"/>
      <c r="CK234" s="146"/>
      <c r="CL234" s="146"/>
      <c r="CM234" s="146"/>
      <c r="CN234" s="146"/>
      <c r="CO234" s="146"/>
      <c r="CP234" s="146"/>
      <c r="CQ234" s="146"/>
      <c r="CR234" s="144"/>
      <c r="CS234" s="144"/>
      <c r="CT234" s="144"/>
      <c r="CU234" s="144"/>
    </row>
    <row r="235" spans="1:99" s="145" customFormat="1" ht="12" customHeight="1" x14ac:dyDescent="0.2">
      <c r="A235" s="150">
        <v>43896</v>
      </c>
      <c r="B235" s="151" t="s">
        <v>902</v>
      </c>
      <c r="C235" s="151" t="s">
        <v>54</v>
      </c>
      <c r="D235" s="153">
        <v>1999</v>
      </c>
      <c r="E235" s="69">
        <v>1</v>
      </c>
      <c r="F235" s="153">
        <v>20</v>
      </c>
      <c r="G235" s="153">
        <v>20</v>
      </c>
      <c r="H235" s="153" t="s">
        <v>43</v>
      </c>
      <c r="I235" s="69" t="s">
        <v>330</v>
      </c>
      <c r="J235" s="69" t="s">
        <v>340</v>
      </c>
      <c r="K235" s="69">
        <f>IF(J235="syllables",1,IF(J235="trigrams",2,IF(J235="strings",3,IF(J235="visual array",4,IF(J235="characters",5,IF(J235="letters",6,IF(J235="free forms",7,IF(J235="odors",8,IF(J235="words",9,IF(J235="pictures",10,IF(J235="object pictures",11,IF(J235="faces",12,IF(J235="names",13,IF(J235="idioms",14,IF(J235="grades",15,IF(J235="syllable-digit pairs",16,IF(J235="trigram-word pairs",17,IF(J235="word-digit pairs",18,IF(J235="English-Swahili pairs",19,IF(J235="spatial position",20,IF(J235="word pairs",21,IF(J235="word triads",22,IF(J235="generated words",23,IF(J235="word definition pairs",24,IF(J235="math problems",25,IF(J235="famous faces",26,IF(J235="famous names",27,IF(J235="famous voices",28,IF(J235="television programs",29,IF(J235="race horses",30,IF(J235="new vocabulary",31,IF(J235="sentences",32,IF(J235="concepts",33,IF(J235="ad slides",34,IF(J235="scenes",35,IF(J235="famous scenes",36,IF(J235="poems",37,IF(J235="walk",38,IF(J235="faces and events",39,IF(J235="events and names",40,IF(J235="flashbulb",41,IF(J235="stories",42,IF(J235="course material",43,IF(J235="autobiographical",44,IF(J235="novels",45,IF(J235="public events",46,"99"))))))))))))))))))))))))))))))))))))))))))))))</f>
        <v>46</v>
      </c>
      <c r="L235" s="69">
        <f>IF(J235="syllables",1,IF(J235="trigrams",1,IF(J235="strings",1,IF(J235="visual array",1,IF(J235="characters",1,IF(J235="letters",1,IF(J235="free forms",1,IF(J235="odors",2,IF(J235="words",2,IF(J235="pictures",2,IF(J235="object pictures",2,IF(J235="faces",2,IF(J235="names",2,IF(J235="idioms","2",IF(J235="grades",2,IF(J235="syllable-digit pairs",3,IF(J235="trigram-word pairs",3,IF(J235="word-digit pairs",3,IF(J235="English-Swahili pairs",3,IF(J235="spatial position",3,IF(J235="word pairs",4,IF(J235="word triads",4,IF(J235="generated words",4,IF(J235="word definition pairs",4,IF(J235="math problems",4,IF(J235="famous faces",4,IF(J235="famous names",4,IF(J235="famous voices",4,IF(J235="television programs",4,IF(J235="race horses",4,IF(J235="new vocabulary",4,IF(J235="sentences",5,IF(J235="concepts",5,IF(J235="ad slides",5,IF(J235="scenes",5,IF(J235="famous scenes",5,IF(J235="poems",6,IF(J235="walk",6,IF(J235="faces and events",6,IF(J235="events and names",6,IF(J235="flashbulb",7,IF(J235="stories",7,IF(J235="course material",7,IF(J235="autobiographical",7,IF(J235="novels",7,IF(J235="public events",7,"99"))))))))))))))))))))))))))))))))))))))))))))))</f>
        <v>7</v>
      </c>
      <c r="M235" s="69">
        <v>1</v>
      </c>
      <c r="N235" s="69">
        <v>4</v>
      </c>
      <c r="O235" s="69">
        <v>0</v>
      </c>
      <c r="P235" s="151"/>
      <c r="Q235" s="153" t="s">
        <v>174</v>
      </c>
      <c r="R235" s="69">
        <f>IF(Q235="Free Recall",1,IF(Q235="Cued Recall",2,IF(Q235="Recognition",3,IF(Q235="Multiple Choice",4,IF(Q235="Savings",5,IF(Q235="Stem Completion",6,IF(Q235="Fragment Completion",7,IF(Q235="anagram solution",8,IF(Q235="Matching",9,IF(Q235="Problem Solving",10,"99"))))))))))</f>
        <v>1</v>
      </c>
      <c r="S235" s="153" t="s">
        <v>49</v>
      </c>
      <c r="T235" s="92" t="s">
        <v>581</v>
      </c>
      <c r="U235" s="60">
        <f>IF(T235="within",1,0)</f>
        <v>1</v>
      </c>
      <c r="V235" s="92">
        <v>50</v>
      </c>
      <c r="W235" s="69">
        <f>F235*V235</f>
        <v>1000</v>
      </c>
      <c r="X235" s="153">
        <v>3</v>
      </c>
      <c r="Y235" s="87">
        <f>AV234</f>
        <v>315360000</v>
      </c>
      <c r="Z235" s="154" t="s">
        <v>332</v>
      </c>
      <c r="AA235" s="153">
        <f>30*365*24*60*60</f>
        <v>946080000</v>
      </c>
      <c r="AB235" s="153" t="str">
        <f>IF(AA235&lt;60,"1",IF(AA235&lt;=43200,"2",IF(AA235&lt;=777600,"3","4")))</f>
        <v>4</v>
      </c>
      <c r="AC235" s="138">
        <f>AVERAGE(AV234:DA234)</f>
        <v>630720000</v>
      </c>
      <c r="AD235" s="153" t="str">
        <f>IF(AC235&lt;60,"1",IF(AC235&lt;=43200,"2",IF(AC235&lt;=777600,"3","4")))</f>
        <v>4</v>
      </c>
      <c r="AE235" s="87">
        <f>AA235-Y235</f>
        <v>630720000</v>
      </c>
      <c r="AF235" s="88">
        <f>AV235</f>
        <v>0.79591836734693877</v>
      </c>
      <c r="AG235" s="138">
        <f>((AW235-AV235)+(AX235-AW235))/2</f>
        <v>-5.585392051557464E-2</v>
      </c>
      <c r="AH235" s="147"/>
      <c r="AI235" s="138">
        <f>RSQ(AV235:AX235,AV234:AX234)</f>
        <v>0.47290952638234263</v>
      </c>
      <c r="AJ235" s="138">
        <f>SLOPE(AV235:AX235,AV234:AX234)</f>
        <v>-1.7711162010265932E-10</v>
      </c>
      <c r="AK235" s="138">
        <f>INTERCEPT(AV235:AX235,AV234:AX234)</f>
        <v>0.81772781707964493</v>
      </c>
      <c r="AL235" s="138">
        <f>INDEX(LINEST(LN(AV235:AX235),LN(AV234:AX234),TRUE,TRUE),3,1)</f>
        <v>0.59641729718599623</v>
      </c>
      <c r="AM235" s="138">
        <f>INDEX(LINEST(LN(AV235:AX235),LN(AV234:AX234)),1)</f>
        <v>-0.15720750371087649</v>
      </c>
      <c r="AN235" s="138">
        <f>EXP(INDEX(LINEST(LN(AV235:AX235),LN(AV234:AX234)),1,2))</f>
        <v>16.741610975241624</v>
      </c>
      <c r="AO235" s="155">
        <f>INDEX(LINEST((AV235:AX235),LN(AV234:AX234),TRUE,TRUE),3,1)</f>
        <v>0.62170942673824081</v>
      </c>
      <c r="AP235" s="155">
        <f>INDEX(LINEST((AV235:AX235),LN(AV234:AX234)),1)</f>
        <v>-0.11527535867998195</v>
      </c>
      <c r="AQ235" s="90">
        <f>INDEX(LINEST(LN(AV235:AX235),SQRT(AV234:AX234),TRUE,TRUE),3,1)</f>
        <v>0.52283252444101214</v>
      </c>
      <c r="AR235" s="91">
        <f>INDEX(LINEST(LN(AV235:AX235),SQRT((AV234:AX234))),1)</f>
        <v>-1.2543994324659125E-5</v>
      </c>
      <c r="AS235" s="91">
        <f>INDEX(LINEST(1/(AV235:AX235),1/(SQRT(AV234:AX234)),TRUE,TRUE),3,1)</f>
        <v>0.63751749055198004</v>
      </c>
      <c r="AT235" s="91">
        <f>INDEX(LINEST(1/(AV235:AX235),1/SQRT(AV234:AX234)),1)</f>
        <v>-10359.640507301059</v>
      </c>
      <c r="AU235" s="149"/>
      <c r="AV235" s="131">
        <v>0.79591836734693877</v>
      </c>
      <c r="AW235" s="131">
        <v>0.63793103448275867</v>
      </c>
      <c r="AX235" s="131">
        <v>0.68421052631578949</v>
      </c>
      <c r="AY235" s="146"/>
      <c r="AZ235" s="146"/>
      <c r="BA235" s="146"/>
      <c r="BB235" s="146"/>
      <c r="BC235" s="146"/>
      <c r="BD235" s="146"/>
      <c r="BE235" s="146"/>
      <c r="BF235" s="146"/>
      <c r="BG235" s="146"/>
      <c r="BH235" s="146"/>
      <c r="BI235" s="146"/>
      <c r="BJ235" s="146"/>
      <c r="BK235" s="146"/>
      <c r="BL235" s="146"/>
      <c r="BM235" s="146"/>
      <c r="BN235" s="146"/>
      <c r="BO235" s="146"/>
      <c r="BP235" s="146"/>
      <c r="BQ235" s="146"/>
      <c r="BR235" s="146"/>
      <c r="BS235" s="146"/>
      <c r="BT235" s="146"/>
      <c r="BU235" s="146"/>
      <c r="BV235" s="146"/>
      <c r="BW235" s="146"/>
      <c r="BX235" s="146"/>
      <c r="BY235" s="146"/>
      <c r="BZ235" s="146"/>
      <c r="CA235" s="146"/>
      <c r="CB235" s="146"/>
      <c r="CC235" s="146"/>
      <c r="CD235" s="146"/>
      <c r="CE235" s="146"/>
      <c r="CF235" s="146"/>
      <c r="CG235" s="146"/>
      <c r="CH235" s="146"/>
      <c r="CI235" s="146"/>
      <c r="CJ235" s="146"/>
      <c r="CK235" s="146"/>
      <c r="CL235" s="146"/>
      <c r="CM235" s="146"/>
      <c r="CN235" s="146"/>
      <c r="CO235" s="146"/>
      <c r="CP235" s="146"/>
      <c r="CQ235" s="146"/>
      <c r="CR235" s="144"/>
      <c r="CS235" s="144"/>
      <c r="CT235" s="144"/>
      <c r="CU235" s="144"/>
    </row>
    <row r="236" spans="1:99" s="145" customFormat="1" ht="12" customHeight="1" x14ac:dyDescent="0.2">
      <c r="A236" s="150">
        <v>43896</v>
      </c>
      <c r="B236" s="151"/>
      <c r="C236" s="151"/>
      <c r="D236" s="153"/>
      <c r="E236" s="152"/>
      <c r="F236" s="153"/>
      <c r="G236" s="153"/>
      <c r="H236" s="153"/>
      <c r="I236" s="153"/>
      <c r="J236" s="153"/>
      <c r="K236" s="152"/>
      <c r="L236" s="152"/>
      <c r="M236" s="151"/>
      <c r="N236" s="152"/>
      <c r="O236" s="151"/>
      <c r="P236" s="151"/>
      <c r="Q236" s="69"/>
      <c r="R236" s="151"/>
      <c r="S236" s="153"/>
      <c r="T236" s="151"/>
      <c r="U236" s="60"/>
      <c r="V236" s="151"/>
      <c r="W236" s="151"/>
      <c r="X236" s="153"/>
      <c r="Y236" s="153"/>
      <c r="Z236" s="153"/>
      <c r="AA236" s="153"/>
      <c r="AB236" s="153"/>
      <c r="AC236" s="138"/>
      <c r="AD236" s="153"/>
      <c r="AE236" s="153"/>
      <c r="AF236" s="153"/>
      <c r="AG236" s="138"/>
      <c r="AH236" s="147"/>
      <c r="AI236" s="138"/>
      <c r="AJ236" s="138"/>
      <c r="AK236" s="138"/>
      <c r="AL236" s="138"/>
      <c r="AM236" s="138"/>
      <c r="AN236" s="138"/>
      <c r="AO236" s="138"/>
      <c r="AP236" s="138"/>
      <c r="AQ236" s="138"/>
      <c r="AR236" s="138"/>
      <c r="AS236" s="138"/>
      <c r="AT236" s="138"/>
      <c r="AU236" s="148"/>
      <c r="AV236" s="130">
        <v>315360000</v>
      </c>
      <c r="AW236" s="130">
        <v>630720000</v>
      </c>
      <c r="AX236" s="130">
        <v>946080000</v>
      </c>
      <c r="AY236" s="146"/>
      <c r="AZ236" s="146"/>
      <c r="BA236" s="146"/>
      <c r="BB236" s="146"/>
      <c r="BC236" s="146"/>
      <c r="BD236" s="146"/>
      <c r="BE236" s="146"/>
      <c r="BF236" s="146"/>
      <c r="BG236" s="146"/>
      <c r="BH236" s="146"/>
      <c r="BI236" s="146"/>
      <c r="BJ236" s="146"/>
      <c r="BK236" s="146"/>
      <c r="BL236" s="146"/>
      <c r="BM236" s="146"/>
      <c r="BN236" s="146"/>
      <c r="BO236" s="146"/>
      <c r="BP236" s="146"/>
      <c r="BQ236" s="146"/>
      <c r="BR236" s="146"/>
      <c r="BS236" s="146"/>
      <c r="BT236" s="146"/>
      <c r="BU236" s="146"/>
      <c r="BV236" s="146"/>
      <c r="BW236" s="146"/>
      <c r="BX236" s="146"/>
      <c r="BY236" s="146"/>
      <c r="BZ236" s="146"/>
      <c r="CA236" s="146"/>
      <c r="CB236" s="146"/>
      <c r="CC236" s="146"/>
      <c r="CD236" s="146"/>
      <c r="CE236" s="146"/>
      <c r="CF236" s="146"/>
      <c r="CG236" s="146"/>
      <c r="CH236" s="146"/>
      <c r="CI236" s="146"/>
      <c r="CJ236" s="146"/>
      <c r="CK236" s="146"/>
      <c r="CL236" s="146"/>
      <c r="CM236" s="146"/>
      <c r="CN236" s="146"/>
      <c r="CO236" s="146"/>
      <c r="CP236" s="146"/>
      <c r="CQ236" s="146"/>
      <c r="CR236" s="144"/>
      <c r="CS236" s="144"/>
      <c r="CT236" s="144"/>
      <c r="CU236" s="144"/>
    </row>
    <row r="237" spans="1:99" s="145" customFormat="1" ht="12" customHeight="1" x14ac:dyDescent="0.2">
      <c r="A237" s="150">
        <v>43896</v>
      </c>
      <c r="B237" s="151" t="s">
        <v>902</v>
      </c>
      <c r="C237" s="151" t="s">
        <v>54</v>
      </c>
      <c r="D237" s="153">
        <v>1999</v>
      </c>
      <c r="E237" s="69">
        <v>1</v>
      </c>
      <c r="F237" s="153">
        <v>20</v>
      </c>
      <c r="G237" s="153">
        <v>20</v>
      </c>
      <c r="H237" s="153" t="s">
        <v>769</v>
      </c>
      <c r="I237" s="69" t="s">
        <v>330</v>
      </c>
      <c r="J237" s="69" t="s">
        <v>340</v>
      </c>
      <c r="K237" s="69">
        <f>IF(J237="syllables",1,IF(J237="trigrams",2,IF(J237="strings",3,IF(J237="visual array",4,IF(J237="characters",5,IF(J237="letters",6,IF(J237="free forms",7,IF(J237="odors",8,IF(J237="words",9,IF(J237="pictures",10,IF(J237="object pictures",11,IF(J237="faces",12,IF(J237="names",13,IF(J237="idioms",14,IF(J237="grades",15,IF(J237="syllable-digit pairs",16,IF(J237="trigram-word pairs",17,IF(J237="word-digit pairs",18,IF(J237="English-Swahili pairs",19,IF(J237="spatial position",20,IF(J237="word pairs",21,IF(J237="word triads",22,IF(J237="generated words",23,IF(J237="word definition pairs",24,IF(J237="math problems",25,IF(J237="famous faces",26,IF(J237="famous names",27,IF(J237="famous voices",28,IF(J237="television programs",29,IF(J237="race horses",30,IF(J237="new vocabulary",31,IF(J237="sentences",32,IF(J237="concepts",33,IF(J237="ad slides",34,IF(J237="scenes",35,IF(J237="famous scenes",36,IF(J237="poems",37,IF(J237="walk",38,IF(J237="faces and events",39,IF(J237="events and names",40,IF(J237="flashbulb",41,IF(J237="stories",42,IF(J237="course material",43,IF(J237="autobiographical",44,IF(J237="novels",45,IF(J237="public events",46,"99"))))))))))))))))))))))))))))))))))))))))))))))</f>
        <v>46</v>
      </c>
      <c r="L237" s="69">
        <f>IF(J237="syllables",1,IF(J237="trigrams",1,IF(J237="strings",1,IF(J237="visual array",1,IF(J237="characters",1,IF(J237="letters",1,IF(J237="free forms",1,IF(J237="odors",2,IF(J237="words",2,IF(J237="pictures",2,IF(J237="object pictures",2,IF(J237="faces",2,IF(J237="names",2,IF(J237="idioms","2",IF(J237="grades",2,IF(J237="syllable-digit pairs",3,IF(J237="trigram-word pairs",3,IF(J237="word-digit pairs",3,IF(J237="English-Swahili pairs",3,IF(J237="spatial position",3,IF(J237="word pairs",4,IF(J237="word triads",4,IF(J237="generated words",4,IF(J237="word definition pairs",4,IF(J237="math problems",4,IF(J237="famous faces",4,IF(J237="famous names",4,IF(J237="famous voices",4,IF(J237="television programs",4,IF(J237="race horses",4,IF(J237="new vocabulary",4,IF(J237="sentences",5,IF(J237="concepts",5,IF(J237="ad slides",5,IF(J237="scenes",5,IF(J237="famous scenes",5,IF(J237="poems",6,IF(J237="walk",6,IF(J237="faces and events",6,IF(J237="events and names",6,IF(J237="flashbulb",7,IF(J237="stories",7,IF(J237="course material",7,IF(J237="autobiographical",7,IF(J237="novels",7,IF(J237="public events",7,"99"))))))))))))))))))))))))))))))))))))))))))))))</f>
        <v>7</v>
      </c>
      <c r="M237" s="69">
        <v>1</v>
      </c>
      <c r="N237" s="69">
        <v>4</v>
      </c>
      <c r="O237" s="69">
        <v>0</v>
      </c>
      <c r="P237" s="151"/>
      <c r="Q237" s="69" t="s">
        <v>182</v>
      </c>
      <c r="R237" s="69">
        <f>IF(Q237="Free Recall",1,IF(Q237="Cued Recall",2,IF(Q237="Recognition",3,IF(Q237="Multiple Choice",4,IF(Q237="Savings",5,IF(Q237="Stem Completion",6,IF(Q237="Fragment Completion",7,IF(Q237="anagram solution",8,IF(Q237="Matching",9,IF(Q237="Problem Solving",10,"99"))))))))))</f>
        <v>4</v>
      </c>
      <c r="S237" s="153" t="s">
        <v>15</v>
      </c>
      <c r="T237" s="92" t="s">
        <v>581</v>
      </c>
      <c r="U237" s="60">
        <f>IF(T237="within",1,0)</f>
        <v>1</v>
      </c>
      <c r="V237" s="92">
        <v>50</v>
      </c>
      <c r="W237" s="69">
        <f>F237*V237</f>
        <v>1000</v>
      </c>
      <c r="X237" s="153">
        <v>3</v>
      </c>
      <c r="Y237" s="87">
        <f>AV236</f>
        <v>315360000</v>
      </c>
      <c r="Z237" s="154" t="s">
        <v>332</v>
      </c>
      <c r="AA237" s="153">
        <f>30*365*24*60*60</f>
        <v>946080000</v>
      </c>
      <c r="AB237" s="153" t="str">
        <f>IF(AA237&lt;60,"1",IF(AA237&lt;=43200,"2",IF(AA237&lt;=777600,"3","4")))</f>
        <v>4</v>
      </c>
      <c r="AC237" s="138">
        <f t="shared" ref="AC237" si="0">AVERAGE(AV236:DA236)</f>
        <v>630720000</v>
      </c>
      <c r="AD237" s="153" t="str">
        <f>IF(AC237&lt;60,"1",IF(AC237&lt;=43200,"2",IF(AC237&lt;=777600,"3","4")))</f>
        <v>4</v>
      </c>
      <c r="AE237" s="87">
        <f>AA237-Y237</f>
        <v>630720000</v>
      </c>
      <c r="AF237" s="88">
        <f>AV237</f>
        <v>0.90410958904109595</v>
      </c>
      <c r="AG237" s="138">
        <f>((AW237-AV237)+(AX237-AW237))/2</f>
        <v>-2.1947267638827539E-2</v>
      </c>
      <c r="AH237" s="147"/>
      <c r="AI237" s="138">
        <f>RSQ(AV237:AX237,AV236:AX236)</f>
        <v>0.64364117611807792</v>
      </c>
      <c r="AJ237" s="138">
        <f>SLOPE(AV237:AX237,AV236:AX236)</f>
        <v>-6.9594329143922939E-11</v>
      </c>
      <c r="AK237" s="138">
        <f>INTERCEPT(AV237:AX237,AV236:AX236)</f>
        <v>0.93548533661051059</v>
      </c>
      <c r="AL237" s="138">
        <f>INDEX(LINEST(LN(AV237:AX237),LN(AV236:AX236),TRUE,TRUE),3,1)</f>
        <v>0.49864449333197652</v>
      </c>
      <c r="AM237" s="138">
        <f>INDEX(LINEST(LN(AV237:AX237),LN(AV236:AX236)),1)</f>
        <v>-3.9337551682560964E-2</v>
      </c>
      <c r="AN237" s="138">
        <f>EXP(INDEX(LINEST(LN(AV237:AX237),LN(AV236:AX236)),1,2))</f>
        <v>1.9703958367291514</v>
      </c>
      <c r="AO237" s="155">
        <f>INDEX(LINEST((AV237:AX237),LN(AV236:AX236),TRUE,TRUE),3,1)</f>
        <v>0.49564590874898901</v>
      </c>
      <c r="AP237" s="155">
        <f>INDEX(LINEST((AV237:AX237),LN(AV236:AX236)),1)</f>
        <v>-3.4667493064620331E-2</v>
      </c>
      <c r="AQ237" s="90">
        <f>INDEX(LINEST(LN(AV237:AX237),SQRT(AV236:AX236),TRUE,TRUE),3,1)</f>
        <v>0.57257184230867242</v>
      </c>
      <c r="AR237" s="91">
        <f>INDEX(LINEST(LN(AV237:AX237),SQRT((AV236:AX236))),1)</f>
        <v>-3.5923876966682484E-6</v>
      </c>
      <c r="AS237" s="91">
        <f>INDEX(LINEST(1/(AV237:AX237),1/(SQRT(AV236:AX236)),TRUE,TRUE),3,1)</f>
        <v>0.43258130544787327</v>
      </c>
      <c r="AT237" s="91">
        <f>INDEX(LINEST(1/(AV237:AX237),1/SQRT(AV236:AX236)),1)</f>
        <v>-1889.219459722618</v>
      </c>
      <c r="AU237" s="149"/>
      <c r="AV237" s="131">
        <v>0.90410958904109595</v>
      </c>
      <c r="AW237" s="131">
        <v>0.91044776119402981</v>
      </c>
      <c r="AX237" s="131">
        <v>0.86021505376344087</v>
      </c>
      <c r="AY237" s="146"/>
      <c r="AZ237" s="146"/>
      <c r="BA237" s="146"/>
      <c r="BB237" s="146"/>
      <c r="BC237" s="146"/>
      <c r="BD237" s="146"/>
      <c r="BE237" s="146"/>
      <c r="BF237" s="146"/>
      <c r="BG237" s="146"/>
      <c r="BH237" s="146"/>
      <c r="BI237" s="146"/>
      <c r="BJ237" s="146"/>
      <c r="BK237" s="146"/>
      <c r="BL237" s="146"/>
      <c r="BM237" s="146"/>
      <c r="BN237" s="146"/>
      <c r="BO237" s="146"/>
      <c r="BP237" s="146"/>
      <c r="BQ237" s="146"/>
      <c r="BR237" s="146"/>
      <c r="BS237" s="146"/>
      <c r="BT237" s="146"/>
      <c r="BU237" s="146"/>
      <c r="BV237" s="146"/>
      <c r="BW237" s="146"/>
      <c r="BX237" s="146"/>
      <c r="BY237" s="146"/>
      <c r="BZ237" s="146"/>
      <c r="CA237" s="146"/>
      <c r="CB237" s="146"/>
      <c r="CC237" s="146"/>
      <c r="CD237" s="146"/>
      <c r="CE237" s="146"/>
      <c r="CF237" s="146"/>
      <c r="CG237" s="146"/>
      <c r="CH237" s="146"/>
      <c r="CI237" s="146"/>
      <c r="CJ237" s="146"/>
      <c r="CK237" s="146"/>
      <c r="CL237" s="146"/>
      <c r="CM237" s="146"/>
      <c r="CN237" s="146"/>
      <c r="CO237" s="146"/>
      <c r="CP237" s="146"/>
      <c r="CQ237" s="146"/>
      <c r="CR237" s="144"/>
      <c r="CS237" s="144"/>
      <c r="CT237" s="144"/>
      <c r="CU237" s="144"/>
    </row>
    <row r="238" spans="1:99" s="145" customFormat="1" ht="12" customHeight="1" x14ac:dyDescent="0.2">
      <c r="A238" s="150">
        <v>43896</v>
      </c>
      <c r="B238" s="151"/>
      <c r="C238" s="151"/>
      <c r="D238" s="153"/>
      <c r="E238" s="152"/>
      <c r="F238" s="153"/>
      <c r="G238" s="153"/>
      <c r="H238" s="153"/>
      <c r="I238" s="153"/>
      <c r="J238" s="153"/>
      <c r="K238" s="152"/>
      <c r="L238" s="152"/>
      <c r="M238" s="151"/>
      <c r="N238" s="152"/>
      <c r="O238" s="151"/>
      <c r="P238" s="151"/>
      <c r="Q238" s="153"/>
      <c r="R238" s="151"/>
      <c r="S238" s="153"/>
      <c r="T238" s="152"/>
      <c r="U238" s="60"/>
      <c r="V238" s="152"/>
      <c r="W238" s="152"/>
      <c r="X238" s="153"/>
      <c r="Y238" s="153"/>
      <c r="Z238" s="153"/>
      <c r="AA238" s="153"/>
      <c r="AB238" s="153"/>
      <c r="AC238" s="138"/>
      <c r="AD238" s="153"/>
      <c r="AE238" s="153"/>
      <c r="AF238" s="153"/>
      <c r="AG238" s="138"/>
      <c r="AH238" s="147"/>
      <c r="AI238" s="138"/>
      <c r="AJ238" s="138"/>
      <c r="AK238" s="138"/>
      <c r="AL238" s="138"/>
      <c r="AM238" s="138"/>
      <c r="AN238" s="138"/>
      <c r="AO238" s="138"/>
      <c r="AP238" s="138"/>
      <c r="AQ238" s="138"/>
      <c r="AR238" s="138"/>
      <c r="AS238" s="138"/>
      <c r="AT238" s="138"/>
      <c r="AU238" s="148"/>
      <c r="AV238" s="130">
        <v>315360000</v>
      </c>
      <c r="AW238" s="130">
        <v>630720000</v>
      </c>
      <c r="AX238" s="130">
        <v>946080000</v>
      </c>
      <c r="AY238" s="146"/>
      <c r="AZ238" s="146"/>
      <c r="BA238" s="146"/>
      <c r="BB238" s="146"/>
      <c r="BC238" s="146"/>
      <c r="BD238" s="146"/>
      <c r="BE238" s="146"/>
      <c r="BF238" s="146"/>
      <c r="BG238" s="146"/>
      <c r="BH238" s="146"/>
      <c r="BI238" s="146"/>
      <c r="BJ238" s="146"/>
      <c r="BK238" s="146"/>
      <c r="BL238" s="146"/>
      <c r="BM238" s="146"/>
      <c r="BN238" s="146"/>
      <c r="BO238" s="146"/>
      <c r="BP238" s="146"/>
      <c r="BQ238" s="146"/>
      <c r="BR238" s="146"/>
      <c r="BS238" s="146"/>
      <c r="BT238" s="146"/>
      <c r="BU238" s="146"/>
      <c r="BV238" s="146"/>
      <c r="BW238" s="146"/>
      <c r="BX238" s="146"/>
      <c r="BY238" s="146"/>
      <c r="BZ238" s="146"/>
      <c r="CA238" s="146"/>
      <c r="CB238" s="146"/>
      <c r="CC238" s="146"/>
      <c r="CD238" s="146"/>
      <c r="CE238" s="146"/>
      <c r="CF238" s="146"/>
      <c r="CG238" s="146"/>
      <c r="CH238" s="146"/>
      <c r="CI238" s="146"/>
      <c r="CJ238" s="146"/>
      <c r="CK238" s="146"/>
      <c r="CL238" s="146"/>
      <c r="CM238" s="146"/>
      <c r="CN238" s="146"/>
      <c r="CO238" s="146"/>
      <c r="CP238" s="146"/>
      <c r="CQ238" s="146"/>
      <c r="CR238" s="144"/>
      <c r="CS238" s="144"/>
      <c r="CT238" s="144"/>
      <c r="CU238" s="144"/>
    </row>
    <row r="239" spans="1:99" s="145" customFormat="1" ht="12" customHeight="1" x14ac:dyDescent="0.2">
      <c r="A239" s="150">
        <v>43896</v>
      </c>
      <c r="B239" s="151" t="s">
        <v>902</v>
      </c>
      <c r="C239" s="151" t="s">
        <v>54</v>
      </c>
      <c r="D239" s="153">
        <v>1999</v>
      </c>
      <c r="E239" s="69">
        <v>1</v>
      </c>
      <c r="F239" s="153">
        <v>20</v>
      </c>
      <c r="G239" s="153">
        <v>20</v>
      </c>
      <c r="H239" s="153" t="s">
        <v>341</v>
      </c>
      <c r="I239" s="69" t="s">
        <v>330</v>
      </c>
      <c r="J239" s="69" t="s">
        <v>342</v>
      </c>
      <c r="K239" s="69">
        <f>IF(J239="syllables",1,IF(J239="trigrams",2,IF(J239="strings",3,IF(J239="visual array",4,IF(J239="characters",5,IF(J239="letters",6,IF(J239="free forms",7,IF(J239="odors",8,IF(J239="words",9,IF(J239="pictures",10,IF(J239="object pictures",11,IF(J239="faces",12,IF(J239="names",13,IF(J239="idioms",14,IF(J239="grades",15,IF(J239="syllable-digit pairs",16,IF(J239="trigram-word pairs",17,IF(J239="word-digit pairs",18,IF(J239="English-Swahili pairs",19,IF(J239="spatial position",20,IF(J239="word pairs",21,IF(J239="word triads",22,IF(J239="generated words",23,IF(J239="word definition pairs",24,IF(J239="math problems",25,IF(J239="famous faces",26,IF(J239="famous names",27,IF(J239="famous voices",28,IF(J239="television programs",29,IF(J239="race horses",30,IF(J239="new vocabulary",31,IF(J239="sentences",32,IF(J239="concepts",33,IF(J239="ad slides",34,IF(J239="scenes",35,IF(J239="famous scenes",36,IF(J239="poems",37,IF(J239="walk",38,IF(J239="faces and events",39,IF(J239="events and names",40,IF(J239="flashbulb",41,IF(J239="stories",42,IF(J239="course material",43,IF(J239="autobiographical",44,IF(J239="novels",45,IF(J239="public events",46,"99"))))))))))))))))))))))))))))))))))))))))))))))</f>
        <v>26</v>
      </c>
      <c r="L239" s="69">
        <f>IF(J239="syllables",1,IF(J239="trigrams",1,IF(J239="strings",1,IF(J239="visual array",1,IF(J239="characters",1,IF(J239="letters",1,IF(J239="free forms",1,IF(J239="odors",2,IF(J239="words",2,IF(J239="pictures",2,IF(J239="object pictures",2,IF(J239="faces",2,IF(J239="names",2,IF(J239="idioms","2",IF(J239="grades",2,IF(J239="syllable-digit pairs",3,IF(J239="trigram-word pairs",3,IF(J239="word-digit pairs",3,IF(J239="English-Swahili pairs",3,IF(J239="spatial position",3,IF(J239="word pairs",4,IF(J239="word triads",4,IF(J239="generated words",4,IF(J239="word definition pairs",4,IF(J239="math problems",4,IF(J239="famous faces",4,IF(J239="famous names",4,IF(J239="famous voices",4,IF(J239="television programs",4,IF(J239="race horses",4,IF(J239="new vocabulary",4,IF(J239="sentences",5,IF(J239="concepts",5,IF(J239="ad slides",5,IF(J239="scenes",5,IF(J239="famous scenes",5,IF(J239="poems",6,IF(J239="walk",6,IF(J239="faces and events",6,IF(J239="events and names",6,IF(J239="flashbulb",7,IF(J239="stories",7,IF(J239="course material",7,IF(J239="autobiographical",7,IF(J239="novels",7,IF(J239="public events",7,"99"))))))))))))))))))))))))))))))))))))))))))))))</f>
        <v>4</v>
      </c>
      <c r="M239" s="69">
        <v>1</v>
      </c>
      <c r="N239" s="69">
        <v>2</v>
      </c>
      <c r="O239" s="69">
        <v>0</v>
      </c>
      <c r="P239" s="151"/>
      <c r="Q239" s="153" t="s">
        <v>174</v>
      </c>
      <c r="R239" s="69">
        <f>IF(Q239="Free Recall",1,IF(Q239="Cued Recall",2,IF(Q239="Recognition",3,IF(Q239="Multiple Choice",4,IF(Q239="Savings",5,IF(Q239="Stem Completion",6,IF(Q239="Fragment Completion",7,IF(Q239="anagram solution",8,IF(Q239="Matching",9,IF(Q239="Problem Solving",10,"99"))))))))))</f>
        <v>1</v>
      </c>
      <c r="S239" s="153" t="s">
        <v>49</v>
      </c>
      <c r="T239" s="92" t="s">
        <v>581</v>
      </c>
      <c r="U239" s="60">
        <f>IF(T239="within",1,0)</f>
        <v>1</v>
      </c>
      <c r="V239" s="92">
        <v>50</v>
      </c>
      <c r="W239" s="69">
        <f>F239*V239</f>
        <v>1000</v>
      </c>
      <c r="X239" s="153">
        <v>3</v>
      </c>
      <c r="Y239" s="87">
        <f>AV238</f>
        <v>315360000</v>
      </c>
      <c r="Z239" s="154" t="s">
        <v>332</v>
      </c>
      <c r="AA239" s="153">
        <f>30*365*24*60*60</f>
        <v>946080000</v>
      </c>
      <c r="AB239" s="153" t="str">
        <f>IF(AA239&lt;60,"1",IF(AA239&lt;=43200,"2",IF(AA239&lt;=777600,"3","4")))</f>
        <v>4</v>
      </c>
      <c r="AC239" s="138">
        <f t="shared" ref="AC239" si="1">AVERAGE(AV238:DA238)</f>
        <v>630720000</v>
      </c>
      <c r="AD239" s="153" t="str">
        <f>IF(AC239&lt;60,"1",IF(AC239&lt;=43200,"2",IF(AC239&lt;=777600,"3","4")))</f>
        <v>4</v>
      </c>
      <c r="AE239" s="87">
        <f>AA239-Y239</f>
        <v>630720000</v>
      </c>
      <c r="AF239" s="88">
        <f>AV239</f>
        <v>0.71641791044776115</v>
      </c>
      <c r="AG239" s="138">
        <f>((AW239-AV239)+(AX239-AW239))/2</f>
        <v>-5.9507656522581887E-2</v>
      </c>
      <c r="AH239" s="147"/>
      <c r="AI239" s="138">
        <f>RSQ(AV239:AX239,AV238:AX238)</f>
        <v>0.76343209229863662</v>
      </c>
      <c r="AJ239" s="138">
        <f>SLOPE(AV239:AX239,AV238:AX238)</f>
        <v>-1.8869754097723837E-10</v>
      </c>
      <c r="AK239" s="138">
        <f>INTERCEPT(AV239:AX239,AV238:AX238)</f>
        <v>0.79505072042385472</v>
      </c>
      <c r="AL239" s="138">
        <f>INDEX(LINEST(LN(AV239:AX239),LN(AV238:AX238),TRUE,TRUE),3,1)</f>
        <v>0.62474437168921071</v>
      </c>
      <c r="AM239" s="138">
        <f>INDEX(LINEST(LN(AV239:AX239),LN(AV238:AX238)),1)</f>
        <v>-0.14802152911127761</v>
      </c>
      <c r="AN239" s="138">
        <f>EXP(INDEX(LINEST(LN(AV239:AX239),LN(AV238:AX238)),1,2))</f>
        <v>13.330176426808137</v>
      </c>
      <c r="AO239" s="155">
        <f>INDEX(LINEST((AV239:AX239),LN(AV238:AX238),TRUE,TRUE),3,1)</f>
        <v>0.62603089289127245</v>
      </c>
      <c r="AP239" s="155">
        <f>INDEX(LINEST((AV239:AX239),LN(AV238:AX238)),1)</f>
        <v>-9.6998194061359774E-2</v>
      </c>
      <c r="AQ239" s="90">
        <f>INDEX(LINEST(LN(AV239:AX239),SQRT(AV238:AX238),TRUE,TRUE),3,1)</f>
        <v>0.69494930100310393</v>
      </c>
      <c r="AR239" s="91">
        <f>INDEX(LINEST(LN(AV239:AX239),SQRT((AV238:AX238))),1)</f>
        <v>-1.3304748379916902E-5</v>
      </c>
      <c r="AS239" s="91">
        <f>INDEX(LINEST(1/(AV239:AX239),1/(SQRT(AV238:AX238)),TRUE,TRUE),3,1)</f>
        <v>0.55549227170087734</v>
      </c>
      <c r="AT239" s="91">
        <f>INDEX(LINEST(1/(AV239:AX239),1/SQRT(AV238:AX238)),1)</f>
        <v>-9741.972993791409</v>
      </c>
      <c r="AU239" s="149"/>
      <c r="AV239" s="131">
        <v>0.71641791044776115</v>
      </c>
      <c r="AW239" s="131">
        <v>0.7142857142857143</v>
      </c>
      <c r="AX239" s="131">
        <v>0.59740259740259738</v>
      </c>
      <c r="AY239" s="146"/>
      <c r="AZ239" s="146"/>
      <c r="BA239" s="146"/>
      <c r="BB239" s="146"/>
      <c r="BC239" s="146"/>
      <c r="BD239" s="146"/>
      <c r="BE239" s="146"/>
      <c r="BF239" s="146"/>
      <c r="BG239" s="146"/>
      <c r="BH239" s="146"/>
      <c r="BI239" s="146"/>
      <c r="BJ239" s="146"/>
      <c r="BK239" s="146"/>
      <c r="BL239" s="146"/>
      <c r="BM239" s="146"/>
      <c r="BN239" s="146"/>
      <c r="BO239" s="146"/>
      <c r="BP239" s="146"/>
      <c r="BQ239" s="146"/>
      <c r="BR239" s="146"/>
      <c r="BS239" s="146"/>
      <c r="BT239" s="146"/>
      <c r="BU239" s="146"/>
      <c r="BV239" s="146"/>
      <c r="BW239" s="146"/>
      <c r="BX239" s="146"/>
      <c r="BY239" s="146"/>
      <c r="BZ239" s="146"/>
      <c r="CA239" s="146"/>
      <c r="CB239" s="146"/>
      <c r="CC239" s="146"/>
      <c r="CD239" s="146"/>
      <c r="CE239" s="146"/>
      <c r="CF239" s="146"/>
      <c r="CG239" s="146"/>
      <c r="CH239" s="146"/>
      <c r="CI239" s="146"/>
      <c r="CJ239" s="146"/>
      <c r="CK239" s="146"/>
      <c r="CL239" s="146"/>
      <c r="CM239" s="146"/>
      <c r="CN239" s="146"/>
      <c r="CO239" s="146"/>
      <c r="CP239" s="146"/>
      <c r="CQ239" s="146"/>
      <c r="CR239" s="144"/>
      <c r="CS239" s="144"/>
      <c r="CT239" s="144"/>
      <c r="CU239" s="144"/>
    </row>
    <row r="240" spans="1:99" s="13" customFormat="1" ht="12" customHeight="1" x14ac:dyDescent="0.2">
      <c r="A240" s="65">
        <v>43509</v>
      </c>
      <c r="B240" s="1"/>
      <c r="C240" s="1"/>
      <c r="D240" s="60"/>
      <c r="E240" s="76"/>
      <c r="F240" s="60"/>
      <c r="G240" s="60"/>
      <c r="H240" s="60"/>
      <c r="I240" s="60"/>
      <c r="J240" s="60"/>
      <c r="K240" s="64"/>
      <c r="L240" s="64"/>
      <c r="M240" s="60"/>
      <c r="N240" s="60"/>
      <c r="O240" s="60"/>
      <c r="P240" s="60"/>
      <c r="Q240" s="60"/>
      <c r="R240" s="60"/>
      <c r="S240" s="60"/>
      <c r="T240" s="60"/>
      <c r="U240" s="60"/>
      <c r="V240" s="60"/>
      <c r="W240" s="60"/>
      <c r="X240" s="60"/>
      <c r="Y240" s="76"/>
      <c r="Z240" s="60"/>
      <c r="AA240" s="60"/>
      <c r="AB240" s="60"/>
      <c r="AC240" s="60"/>
      <c r="AD240" s="60"/>
      <c r="AE240" s="60"/>
      <c r="AF240" s="80"/>
      <c r="AG240" s="56"/>
      <c r="AH240" s="4"/>
      <c r="AI240" s="56"/>
      <c r="AJ240" s="109"/>
      <c r="AK240" s="56"/>
      <c r="AL240" s="56"/>
      <c r="AM240" s="56"/>
      <c r="AN240" s="56"/>
      <c r="AO240" s="56"/>
      <c r="AP240" s="56"/>
      <c r="AQ240" s="56"/>
      <c r="AR240" s="109"/>
      <c r="AS240" s="56"/>
      <c r="AT240" s="56"/>
      <c r="AU240" s="4"/>
      <c r="AV240" s="25">
        <f>24*3600</f>
        <v>86400</v>
      </c>
      <c r="AW240" s="25">
        <f>2*24*3600</f>
        <v>172800</v>
      </c>
      <c r="AX240" s="25">
        <f>4*24*3600</f>
        <v>345600</v>
      </c>
      <c r="AY240" s="25">
        <f>7*24*3600*1</f>
        <v>604800</v>
      </c>
      <c r="AZ240" s="25">
        <f>7*24*3600*2</f>
        <v>1209600</v>
      </c>
      <c r="BA240" s="25">
        <f>7*24*3600*4</f>
        <v>2419200</v>
      </c>
      <c r="BB240" s="53"/>
      <c r="BC240" s="53"/>
      <c r="BD240" s="53"/>
      <c r="BE240" s="53"/>
      <c r="BF240" s="53"/>
      <c r="BG240" s="53"/>
      <c r="BH240" s="53"/>
      <c r="BI240" s="53"/>
      <c r="BJ240" s="53"/>
      <c r="BK240" s="53"/>
      <c r="BL240" s="53"/>
      <c r="BM240" s="53"/>
      <c r="BN240" s="53"/>
      <c r="BO240" s="53"/>
      <c r="BP240" s="53"/>
      <c r="BQ240" s="53"/>
      <c r="BR240" s="53"/>
      <c r="BS240" s="53"/>
      <c r="BT240" s="53"/>
      <c r="BU240" s="53"/>
      <c r="BV240" s="53"/>
      <c r="BW240" s="53"/>
      <c r="BX240" s="53"/>
      <c r="BY240" s="53"/>
      <c r="BZ240" s="53"/>
      <c r="CA240" s="53"/>
      <c r="CB240" s="53"/>
      <c r="CC240" s="53"/>
      <c r="CD240" s="53"/>
      <c r="CE240" s="53"/>
      <c r="CF240" s="53"/>
      <c r="CG240" s="53"/>
      <c r="CH240" s="53"/>
      <c r="CI240" s="53"/>
      <c r="CJ240" s="53"/>
      <c r="CK240" s="53"/>
      <c r="CL240" s="53"/>
      <c r="CM240" s="53"/>
      <c r="CN240" s="53"/>
      <c r="CO240" s="53"/>
      <c r="CP240" s="53"/>
      <c r="CQ240" s="53"/>
      <c r="CR240" s="1"/>
      <c r="CS240" s="1"/>
      <c r="CT240" s="1"/>
      <c r="CU240" s="1"/>
    </row>
    <row r="241" spans="1:99" s="13" customFormat="1" ht="12" customHeight="1" x14ac:dyDescent="0.2">
      <c r="A241" s="65">
        <v>43509</v>
      </c>
      <c r="B241" s="1" t="s">
        <v>153</v>
      </c>
      <c r="C241" s="1" t="s">
        <v>119</v>
      </c>
      <c r="D241" s="60">
        <v>1929</v>
      </c>
      <c r="E241" s="76">
        <v>1</v>
      </c>
      <c r="F241" s="60">
        <v>120</v>
      </c>
      <c r="G241" s="60">
        <v>20</v>
      </c>
      <c r="H241" s="60" t="s">
        <v>647</v>
      </c>
      <c r="I241" s="74">
        <v>1</v>
      </c>
      <c r="J241" s="60" t="s">
        <v>16</v>
      </c>
      <c r="K241" s="60">
        <f>IF(J241="syllables",1,IF(J241="trigrams",2,IF(J241="strings",3,IF(J241="visual array",4,IF(J241="characters",5,IF(J241="letters",6,IF(J241="free forms",7,IF(J241="odors",8,IF(J241="words",9,IF(J241="pictures",10,IF(J241="object pictures",11,IF(J241="faces",12,IF(J241="names",13,IF(J241="idioms",14,IF(J241="grades",15,IF(J241="syllable-digit pairs",16,IF(J241="trigram-word pairs",17,IF(J241="word-digit pairs",18,IF(J241="English-Swahili pairs",19,IF(J241="spatial position",20,IF(J241="word pairs",21,IF(J241="word triads",22,IF(J241="generated words",23,IF(J241="word definition pairs",24,IF(J241="math problems",25,IF(J241="famous faces",26,IF(J241="famous names",27,IF(J241="famous voices",28,IF(J241="television programs",29,IF(J241="race horses",30,IF(J241="new vocabulary",31,IF(J241="sentences",32,IF(J241="concepts",33,IF(J241="ad slides",34,IF(J241="scenes",35,IF(J241="famous scenes",36,IF(J241="poems",37,IF(J241="walk",38,IF(J241="faces and events",39,IF(J241="events and names",40,IF(J241="flashbulb",41,IF(J241="stories",42,IF(J241="course material",43,IF(J241="autobiographical",44,IF(J241="novels",45,IF(J241="public events",46,"99"))))))))))))))))))))))))))))))))))))))))))))))</f>
        <v>9</v>
      </c>
      <c r="L241" s="60">
        <f>IF(J241="syllables",1,IF(J241="trigrams",1,IF(J241="strings",1,IF(J241="visual array",1,IF(J241="characters",1,IF(J241="letters",1,IF(J241="free forms",1,IF(J241="odors",2,IF(J241="words",2,IF(J241="pictures",2,IF(J241="object pictures",2,IF(J241="faces",2,IF(J241="names",2,IF(J241="idioms","2",IF(J241="grades",2,IF(J241="syllable-digit pairs",3,IF(J241="trigram-word pairs",3,IF(J241="word-digit pairs",3,IF(J241="English-Swahili pairs",3,IF(J241="spatial position",3,IF(J241="word pairs",4,IF(J241="word triads",4,IF(J241="generated words",4,IF(J241="word definition pairs",4,IF(J241="math problems",4,IF(J241="famous faces",4,IF(J241="famous names",4,IF(J241="famous voices",4,IF(J241="television programs",4,IF(J241="race horses",4,IF(J241="new vocabulary",4,IF(J241="sentences",5,IF(J241="concepts",5,IF(J241="ad slides",5,IF(J241="scenes",5,IF(J241="famous scenes",5,IF(J241="poems",6,IF(J241="walk",6,IF(J241="faces and events",6,IF(J241="events and names",6,IF(J241="flashbulb",7,IF(J241="stories",7,IF(J241="course material",7,IF(J241="autobiographical",7,IF(J241="novels",7,IF(J241="public events",7,"99"))))))))))))))))))))))))))))))))))))))))))))))</f>
        <v>2</v>
      </c>
      <c r="M241" s="60">
        <v>1</v>
      </c>
      <c r="N241" s="60">
        <v>2</v>
      </c>
      <c r="O241" s="60">
        <v>0</v>
      </c>
      <c r="P241" s="60"/>
      <c r="Q241" s="60" t="s">
        <v>87</v>
      </c>
      <c r="R241" s="60">
        <f>IF(Q241="Free Recall",1,IF(Q241="Cued Recall",2,IF(Q241="Recognition",3,IF(Q241="Multiple Choice",4,IF(Q241="Savings",5,IF(Q241="Stem Completion",6,IF(Q241="Fragment Completion",7,IF(Q241="anagram solution",8,IF(Q241="Matching",9,IF(Q241="Problem Solving",10,"99"))))))))))</f>
        <v>5</v>
      </c>
      <c r="S241" s="60" t="s">
        <v>87</v>
      </c>
      <c r="T241" s="60" t="s">
        <v>261</v>
      </c>
      <c r="U241" s="60">
        <f>IF(T241="within",1,0)</f>
        <v>0</v>
      </c>
      <c r="V241" s="60">
        <v>12</v>
      </c>
      <c r="W241" s="60">
        <f>F241*V241</f>
        <v>1440</v>
      </c>
      <c r="X241" s="60">
        <v>6</v>
      </c>
      <c r="Y241" s="76">
        <f>AV240</f>
        <v>86400</v>
      </c>
      <c r="Z241" s="60" t="s">
        <v>140</v>
      </c>
      <c r="AA241" s="60">
        <v>2419200</v>
      </c>
      <c r="AB241" s="60" t="str">
        <f>IF(AA241&lt;60,"1",IF(AA241&lt;=43200,"2",IF(AA241&lt;=777600,"3","4")))</f>
        <v>4</v>
      </c>
      <c r="AC241" s="56">
        <f>AVERAGE(AV240:DA240)</f>
        <v>806400</v>
      </c>
      <c r="AD241" s="60" t="str">
        <f>IF(AC241&lt;60,"1",IF(AC241&lt;=43200,"2",IF(AC241&lt;=777600,"3","4")))</f>
        <v>4</v>
      </c>
      <c r="AE241" s="76">
        <f>AA241-Y241</f>
        <v>2332800</v>
      </c>
      <c r="AF241" s="80">
        <f>AV241</f>
        <v>0.21729999999999999</v>
      </c>
      <c r="AG241" s="56">
        <f>((AW241-AV241)+(AX241-AW241)+(AY241-AX241)+(AZ241-AY241)+(BA241-AZ241))/5</f>
        <v>-4.0459999999999996E-2</v>
      </c>
      <c r="AH241" s="4"/>
      <c r="AI241" s="56">
        <f>RSQ(AV241:BA241,AV240:BA240)</f>
        <v>0.37548280553205715</v>
      </c>
      <c r="AJ241" s="109">
        <f>SLOPE(AV241:BA241,AV240:BA240)</f>
        <v>-5.8353233131994188E-8</v>
      </c>
      <c r="AK241" s="56">
        <f>INTERCEPT(AV241:BA241,AV240:BA240)</f>
        <v>0.11943938053097346</v>
      </c>
      <c r="AL241" s="56">
        <f>INDEX(LINEST(LN(AV241:BA241),LN(AV240:BA240),TRUE,TRUE),3,1)</f>
        <v>0.86497512137647259</v>
      </c>
      <c r="AM241" s="170"/>
      <c r="AN241" s="56">
        <f>EXP(INDEX(LINEST(LN(AV241:BA241),LN(AV240:BA240)),1,2))</f>
        <v>3779.0578315735438</v>
      </c>
      <c r="AO241" s="82">
        <f>INDEX(LINEST((AV241:BA241),LN(AV240:BA240),TRUE,TRUE),3,1)</f>
        <v>0.766218327679418</v>
      </c>
      <c r="AP241" s="82">
        <f>INDEX(LINEST((AV241:BA241),LN(AV240:BA240)),1)</f>
        <v>-5.9985772404347874E-2</v>
      </c>
      <c r="AQ241" s="83">
        <f>INDEX(LINEST(LN(AV241:BA241),SQRT(AV240:BA240),TRUE,TRUE),3,1)</f>
        <v>0.68761792794250554</v>
      </c>
      <c r="AR241" s="116">
        <f>INDEX(LINEST(LN(AV241:BA241),SQRT((AV240:BA240))),1)</f>
        <v>-2.0505752389602034E-3</v>
      </c>
      <c r="AS241" s="84">
        <f>INDEX(LINEST(1/(AV241:BA241),1/(SQRT(AV240:BA240)),TRUE,TRUE),3,1)</f>
        <v>0.89196533510462694</v>
      </c>
      <c r="AT241" s="84">
        <f>INDEX(LINEST(1/(AV241:BA241),1/SQRT(AV240:BA240)),1)</f>
        <v>-25342.724187590098</v>
      </c>
      <c r="AU241" s="3"/>
      <c r="AV241" s="53">
        <v>0.21729999999999999</v>
      </c>
      <c r="AW241" s="53">
        <v>0.13400000000000001</v>
      </c>
      <c r="AX241" s="53">
        <v>3.4000000000000002E-2</v>
      </c>
      <c r="AY241" s="53">
        <v>1.7500000000000002E-2</v>
      </c>
      <c r="AZ241" s="53">
        <v>1.6500000000000001E-2</v>
      </c>
      <c r="BA241" s="53">
        <v>1.4999999999999999E-2</v>
      </c>
      <c r="BB241" s="53"/>
      <c r="BC241" s="53"/>
      <c r="BD241" s="53"/>
      <c r="BE241" s="53"/>
      <c r="BF241" s="53"/>
      <c r="BG241" s="53"/>
      <c r="BH241" s="53"/>
      <c r="BI241" s="53"/>
      <c r="BJ241" s="53"/>
      <c r="BK241" s="53"/>
      <c r="BL241" s="53"/>
      <c r="BM241" s="53"/>
      <c r="BN241" s="53"/>
      <c r="BO241" s="53"/>
      <c r="BP241" s="53"/>
      <c r="BQ241" s="53"/>
      <c r="BR241" s="53"/>
      <c r="BS241" s="53"/>
      <c r="BT241" s="53"/>
      <c r="BU241" s="53"/>
      <c r="BV241" s="53"/>
      <c r="BW241" s="53"/>
      <c r="BX241" s="53"/>
      <c r="BY241" s="53"/>
      <c r="BZ241" s="53"/>
      <c r="CA241" s="53"/>
      <c r="CB241" s="53"/>
      <c r="CC241" s="53"/>
      <c r="CD241" s="53"/>
      <c r="CE241" s="53"/>
      <c r="CF241" s="53"/>
      <c r="CG241" s="53"/>
      <c r="CH241" s="53"/>
      <c r="CI241" s="53"/>
      <c r="CJ241" s="53"/>
      <c r="CK241" s="53"/>
      <c r="CL241" s="53"/>
      <c r="CM241" s="53"/>
      <c r="CN241" s="53"/>
      <c r="CO241" s="53"/>
      <c r="CP241" s="53"/>
      <c r="CQ241" s="53"/>
      <c r="CR241" s="1"/>
      <c r="CS241" s="1"/>
      <c r="CT241" s="1"/>
      <c r="CU241" s="1"/>
    </row>
    <row r="242" spans="1:99" s="13" customFormat="1" ht="12" customHeight="1" x14ac:dyDescent="0.2">
      <c r="A242" s="65">
        <v>43509</v>
      </c>
      <c r="B242" s="1"/>
      <c r="C242" s="1"/>
      <c r="D242" s="60"/>
      <c r="E242" s="76"/>
      <c r="F242" s="60"/>
      <c r="G242" s="60"/>
      <c r="H242" s="60"/>
      <c r="I242" s="74"/>
      <c r="J242" s="60"/>
      <c r="K242" s="64"/>
      <c r="L242" s="64"/>
      <c r="M242" s="60"/>
      <c r="N242" s="60"/>
      <c r="O242" s="60"/>
      <c r="P242" s="60"/>
      <c r="Q242" s="60"/>
      <c r="R242" s="60"/>
      <c r="S242" s="60"/>
      <c r="T242" s="60"/>
      <c r="U242" s="60"/>
      <c r="V242" s="60"/>
      <c r="W242" s="60"/>
      <c r="X242" s="60"/>
      <c r="Y242" s="76"/>
      <c r="Z242" s="60"/>
      <c r="AA242" s="60"/>
      <c r="AB242" s="60"/>
      <c r="AC242" s="60"/>
      <c r="AD242" s="60"/>
      <c r="AE242" s="60"/>
      <c r="AF242" s="80"/>
      <c r="AG242" s="56"/>
      <c r="AH242" s="4"/>
      <c r="AI242" s="56"/>
      <c r="AJ242" s="109"/>
      <c r="AK242" s="56"/>
      <c r="AL242" s="56"/>
      <c r="AM242" s="56"/>
      <c r="AN242" s="56"/>
      <c r="AO242" s="56"/>
      <c r="AP242" s="56"/>
      <c r="AQ242" s="56"/>
      <c r="AR242" s="109"/>
      <c r="AS242" s="56"/>
      <c r="AT242" s="56"/>
      <c r="AU242" s="4"/>
      <c r="AV242" s="25">
        <f>24*3600</f>
        <v>86400</v>
      </c>
      <c r="AW242" s="25">
        <f>2*24*3600</f>
        <v>172800</v>
      </c>
      <c r="AX242" s="25">
        <f>4*24*3600</f>
        <v>345600</v>
      </c>
      <c r="AY242" s="25">
        <f>7*24*3600*1</f>
        <v>604800</v>
      </c>
      <c r="AZ242" s="25">
        <f>7*24*3600*2</f>
        <v>1209600</v>
      </c>
      <c r="BA242" s="25">
        <f>7*24*3600*4</f>
        <v>2419200</v>
      </c>
      <c r="BB242" s="53"/>
      <c r="BC242" s="53"/>
      <c r="BD242" s="53"/>
      <c r="BE242" s="53"/>
      <c r="BF242" s="53"/>
      <c r="BG242" s="53"/>
      <c r="BH242" s="53"/>
      <c r="BI242" s="53"/>
      <c r="BJ242" s="53"/>
      <c r="BK242" s="53"/>
      <c r="BL242" s="53"/>
      <c r="BM242" s="53"/>
      <c r="BN242" s="53"/>
      <c r="BO242" s="53"/>
      <c r="BP242" s="53"/>
      <c r="BQ242" s="53"/>
      <c r="BR242" s="53"/>
      <c r="BS242" s="53"/>
      <c r="BT242" s="53"/>
      <c r="BU242" s="53"/>
      <c r="BV242" s="53"/>
      <c r="BW242" s="53"/>
      <c r="BX242" s="53"/>
      <c r="BY242" s="53"/>
      <c r="BZ242" s="53"/>
      <c r="CA242" s="53"/>
      <c r="CB242" s="53"/>
      <c r="CC242" s="53"/>
      <c r="CD242" s="53"/>
      <c r="CE242" s="53"/>
      <c r="CF242" s="53"/>
      <c r="CG242" s="53"/>
      <c r="CH242" s="53"/>
      <c r="CI242" s="53"/>
      <c r="CJ242" s="53"/>
      <c r="CK242" s="53"/>
      <c r="CL242" s="53"/>
      <c r="CM242" s="53"/>
      <c r="CN242" s="53"/>
      <c r="CO242" s="53"/>
      <c r="CP242" s="53"/>
      <c r="CQ242" s="53"/>
      <c r="CR242" s="1"/>
      <c r="CS242" s="1"/>
      <c r="CT242" s="1"/>
      <c r="CU242" s="1"/>
    </row>
    <row r="243" spans="1:99" s="13" customFormat="1" ht="12" customHeight="1" x14ac:dyDescent="0.2">
      <c r="A243" s="65">
        <v>43509</v>
      </c>
      <c r="B243" s="1" t="s">
        <v>153</v>
      </c>
      <c r="C243" s="1" t="s">
        <v>119</v>
      </c>
      <c r="D243" s="60">
        <v>1929</v>
      </c>
      <c r="E243" s="76">
        <v>1</v>
      </c>
      <c r="F243" s="60">
        <v>120</v>
      </c>
      <c r="G243" s="60">
        <v>20</v>
      </c>
      <c r="H243" s="60" t="s">
        <v>647</v>
      </c>
      <c r="I243" s="74">
        <v>1.5</v>
      </c>
      <c r="J243" s="60" t="s">
        <v>16</v>
      </c>
      <c r="K243" s="60">
        <f>IF(J243="syllables",1,IF(J243="trigrams",2,IF(J243="strings",3,IF(J243="visual array",4,IF(J243="characters",5,IF(J243="letters",6,IF(J243="free forms",7,IF(J243="odors",8,IF(J243="words",9,IF(J243="pictures",10,IF(J243="object pictures",11,IF(J243="faces",12,IF(J243="names",13,IF(J243="idioms",14,IF(J243="grades",15,IF(J243="syllable-digit pairs",16,IF(J243="trigram-word pairs",17,IF(J243="word-digit pairs",18,IF(J243="English-Swahili pairs",19,IF(J243="spatial position",20,IF(J243="word pairs",21,IF(J243="word triads",22,IF(J243="generated words",23,IF(J243="word definition pairs",24,IF(J243="math problems",25,IF(J243="famous faces",26,IF(J243="famous names",27,IF(J243="famous voices",28,IF(J243="television programs",29,IF(J243="race horses",30,IF(J243="new vocabulary",31,IF(J243="sentences",32,IF(J243="concepts",33,IF(J243="ad slides",34,IF(J243="scenes",35,IF(J243="famous scenes",36,IF(J243="poems",37,IF(J243="walk",38,IF(J243="faces and events",39,IF(J243="events and names",40,IF(J243="flashbulb",41,IF(J243="stories",42,IF(J243="course material",43,IF(J243="autobiographical",44,IF(J243="novels",45,IF(J243="public events",46,"99"))))))))))))))))))))))))))))))))))))))))))))))</f>
        <v>9</v>
      </c>
      <c r="L243" s="60">
        <f>IF(J243="syllables",1,IF(J243="trigrams",1,IF(J243="strings",1,IF(J243="visual array",1,IF(J243="characters",1,IF(J243="letters",1,IF(J243="free forms",1,IF(J243="odors",2,IF(J243="words",2,IF(J243="pictures",2,IF(J243="object pictures",2,IF(J243="faces",2,IF(J243="names",2,IF(J243="idioms","2",IF(J243="grades",2,IF(J243="syllable-digit pairs",3,IF(J243="trigram-word pairs",3,IF(J243="word-digit pairs",3,IF(J243="English-Swahili pairs",3,IF(J243="spatial position",3,IF(J243="word pairs",4,IF(J243="word triads",4,IF(J243="generated words",4,IF(J243="word definition pairs",4,IF(J243="math problems",4,IF(J243="famous faces",4,IF(J243="famous names",4,IF(J243="famous voices",4,IF(J243="television programs",4,IF(J243="race horses",4,IF(J243="new vocabulary",4,IF(J243="sentences",5,IF(J243="concepts",5,IF(J243="ad slides",5,IF(J243="scenes",5,IF(J243="famous scenes",5,IF(J243="poems",6,IF(J243="walk",6,IF(J243="faces and events",6,IF(J243="events and names",6,IF(J243="flashbulb",7,IF(J243="stories",7,IF(J243="course material",7,IF(J243="autobiographical",7,IF(J243="novels",7,IF(J243="public events",7,"99"))))))))))))))))))))))))))))))))))))))))))))))</f>
        <v>2</v>
      </c>
      <c r="M243" s="60">
        <v>1</v>
      </c>
      <c r="N243" s="60">
        <v>2</v>
      </c>
      <c r="O243" s="60">
        <v>0</v>
      </c>
      <c r="P243" s="60"/>
      <c r="Q243" s="60" t="s">
        <v>87</v>
      </c>
      <c r="R243" s="60">
        <f>IF(Q243="Free Recall",1,IF(Q243="Cued Recall",2,IF(Q243="Recognition",3,IF(Q243="Multiple Choice",4,IF(Q243="Savings",5,IF(Q243="Stem Completion",6,IF(Q243="Fragment Completion",7,IF(Q243="anagram solution",8,IF(Q243="Matching",9,IF(Q243="Problem Solving",10,"99"))))))))))</f>
        <v>5</v>
      </c>
      <c r="S243" s="60" t="s">
        <v>87</v>
      </c>
      <c r="T243" s="60" t="s">
        <v>261</v>
      </c>
      <c r="U243" s="60">
        <f>IF(T243="within",1,0)</f>
        <v>0</v>
      </c>
      <c r="V243" s="60">
        <v>12</v>
      </c>
      <c r="W243" s="60">
        <f>F243*V243</f>
        <v>1440</v>
      </c>
      <c r="X243" s="60">
        <v>6</v>
      </c>
      <c r="Y243" s="76">
        <f>AV242</f>
        <v>86400</v>
      </c>
      <c r="Z243" s="60" t="s">
        <v>140</v>
      </c>
      <c r="AA243" s="60">
        <v>2419200</v>
      </c>
      <c r="AB243" s="60" t="str">
        <f>IF(AA243&lt;60,"1",IF(AA243&lt;=43200,"2",IF(AA243&lt;=777600,"3","4")))</f>
        <v>4</v>
      </c>
      <c r="AC243" s="56">
        <f>AVERAGE(AV242:DA242)</f>
        <v>806400</v>
      </c>
      <c r="AD243" s="60" t="str">
        <f>IF(AC243&lt;60,"1",IF(AC243&lt;=43200,"2",IF(AC243&lt;=777600,"3","4")))</f>
        <v>4</v>
      </c>
      <c r="AE243" s="76">
        <f>AA243-Y243</f>
        <v>2332800</v>
      </c>
      <c r="AF243" s="80">
        <f>AV243</f>
        <v>0.36149999999999999</v>
      </c>
      <c r="AG243" s="56">
        <f>((AW243-AV243)+(AX243-AW243)+(AY243-AX243)+(AZ243-AY243)+(BA243-AZ243))/5</f>
        <v>-3.1300000000000001E-2</v>
      </c>
      <c r="AH243" s="4"/>
      <c r="AI243" s="56">
        <f>RSQ(AV243:BA243,AV242:BA242)</f>
        <v>0.65014511982705481</v>
      </c>
      <c r="AJ243" s="109">
        <f>SLOPE(AV243:BA243,AV242:BA242)</f>
        <v>-6.1345519033572139E-8</v>
      </c>
      <c r="AK243" s="56">
        <f>INTERCEPT(AV243:BA243,AV242:BA242)</f>
        <v>0.32246902654867254</v>
      </c>
      <c r="AL243" s="56">
        <f>INDEX(LINEST(LN(AV243:BA243),LN(AV242:BA242),TRUE,TRUE),3,1)</f>
        <v>0.93613361982131083</v>
      </c>
      <c r="AM243" s="56">
        <f>INDEX(LINEST(LN(AV243:BA243),LN(AV242:BA242)),1)</f>
        <v>-0.19437002776632611</v>
      </c>
      <c r="AN243" s="56">
        <f>EXP(INDEX(LINEST(LN(AV243:BA243),LN(AV242:BA242)),1,2))</f>
        <v>3.3512923674009731</v>
      </c>
      <c r="AO243" s="82">
        <f>INDEX(LINEST((AV243:BA243),LN(AV242:BA242),TRUE,TRUE),3,1)</f>
        <v>0.93433865528220783</v>
      </c>
      <c r="AP243" s="82">
        <f>INDEX(LINEST((AV243:BA243),LN(AV242:BA242)),1)</f>
        <v>-5.2921475114349678E-2</v>
      </c>
      <c r="AQ243" s="83">
        <f>INDEX(LINEST(LN(AV243:BA243),SQRT(AV242:BA242),TRUE,TRUE),3,1)</f>
        <v>0.8395074902923777</v>
      </c>
      <c r="AR243" s="116">
        <f>INDEX(LINEST(LN(AV243:BA243),SQRT((AV242:BA242))),1)</f>
        <v>-4.819126924277476E-4</v>
      </c>
      <c r="AS243" s="84">
        <f>INDEX(LINEST(1/(AV243:BA243),1/(SQRT(AV242:BA242)),TRUE,TRUE),3,1)</f>
        <v>0.87440110355663014</v>
      </c>
      <c r="AT243" s="84">
        <f>INDEX(LINEST(1/(AV243:BA243),1/SQRT(AV242:BA242)),1)</f>
        <v>-846.53780948294889</v>
      </c>
      <c r="AU243" s="3"/>
      <c r="AV243" s="53">
        <v>0.36149999999999999</v>
      </c>
      <c r="AW243" s="53">
        <v>0.33450000000000002</v>
      </c>
      <c r="AX243" s="53">
        <v>0.29749999999999999</v>
      </c>
      <c r="AY243" s="53">
        <v>0.23150000000000001</v>
      </c>
      <c r="AZ243" s="53">
        <v>0.20799999999999999</v>
      </c>
      <c r="BA243" s="53">
        <v>0.20499999999999999</v>
      </c>
      <c r="BB243" s="53"/>
      <c r="BC243" s="53"/>
      <c r="BD243" s="53"/>
      <c r="BE243" s="53"/>
      <c r="BF243" s="53"/>
      <c r="BG243" s="53"/>
      <c r="BH243" s="53"/>
      <c r="BI243" s="53"/>
      <c r="BJ243" s="53"/>
      <c r="BK243" s="53"/>
      <c r="BL243" s="53"/>
      <c r="BM243" s="53"/>
      <c r="BN243" s="53"/>
      <c r="BO243" s="53"/>
      <c r="BP243" s="53"/>
      <c r="BQ243" s="53"/>
      <c r="BR243" s="53"/>
      <c r="BS243" s="53"/>
      <c r="BT243" s="53"/>
      <c r="BU243" s="53"/>
      <c r="BV243" s="53"/>
      <c r="BW243" s="53"/>
      <c r="BX243" s="53"/>
      <c r="BY243" s="53"/>
      <c r="BZ243" s="53"/>
      <c r="CA243" s="53"/>
      <c r="CB243" s="53"/>
      <c r="CC243" s="53"/>
      <c r="CD243" s="53"/>
      <c r="CE243" s="53"/>
      <c r="CF243" s="53"/>
      <c r="CG243" s="53"/>
      <c r="CH243" s="53"/>
      <c r="CI243" s="53"/>
      <c r="CJ243" s="53"/>
      <c r="CK243" s="53"/>
      <c r="CL243" s="53"/>
      <c r="CM243" s="53"/>
      <c r="CN243" s="53"/>
      <c r="CO243" s="53"/>
      <c r="CP243" s="53"/>
      <c r="CQ243" s="53"/>
      <c r="CR243" s="1"/>
      <c r="CS243" s="1"/>
      <c r="CT243" s="1"/>
      <c r="CU243" s="1"/>
    </row>
    <row r="244" spans="1:99" s="13" customFormat="1" ht="12" customHeight="1" x14ac:dyDescent="0.2">
      <c r="A244" s="65">
        <v>43509</v>
      </c>
      <c r="B244" s="1"/>
      <c r="C244" s="1"/>
      <c r="D244" s="60"/>
      <c r="E244" s="76"/>
      <c r="F244" s="60"/>
      <c r="G244" s="60"/>
      <c r="H244" s="60"/>
      <c r="I244" s="74"/>
      <c r="J244" s="60"/>
      <c r="K244" s="64"/>
      <c r="L244" s="64"/>
      <c r="M244" s="60"/>
      <c r="N244" s="60"/>
      <c r="O244" s="60"/>
      <c r="P244" s="60"/>
      <c r="Q244" s="60"/>
      <c r="R244" s="60"/>
      <c r="S244" s="60"/>
      <c r="T244" s="60"/>
      <c r="U244" s="60"/>
      <c r="V244" s="60"/>
      <c r="W244" s="60"/>
      <c r="X244" s="60"/>
      <c r="Y244" s="76"/>
      <c r="Z244" s="60"/>
      <c r="AA244" s="60"/>
      <c r="AB244" s="60"/>
      <c r="AC244" s="60"/>
      <c r="AD244" s="60"/>
      <c r="AE244" s="60"/>
      <c r="AF244" s="80"/>
      <c r="AG244" s="56"/>
      <c r="AH244" s="4"/>
      <c r="AI244" s="56"/>
      <c r="AJ244" s="109"/>
      <c r="AK244" s="56"/>
      <c r="AL244" s="56"/>
      <c r="AM244" s="56"/>
      <c r="AN244" s="56"/>
      <c r="AO244" s="56"/>
      <c r="AP244" s="56"/>
      <c r="AQ244" s="56"/>
      <c r="AR244" s="109"/>
      <c r="AS244" s="56"/>
      <c r="AT244" s="56"/>
      <c r="AU244" s="4"/>
      <c r="AV244" s="25">
        <f>24*3600</f>
        <v>86400</v>
      </c>
      <c r="AW244" s="25">
        <f>2*24*3600</f>
        <v>172800</v>
      </c>
      <c r="AX244" s="25">
        <f>4*24*3600</f>
        <v>345600</v>
      </c>
      <c r="AY244" s="25">
        <f>7*24*3600*1</f>
        <v>604800</v>
      </c>
      <c r="AZ244" s="25">
        <f>7*24*3600*2</f>
        <v>1209600</v>
      </c>
      <c r="BA244" s="25">
        <f>7*24*3600*4</f>
        <v>2419200</v>
      </c>
      <c r="BB244" s="53"/>
      <c r="BC244" s="53"/>
      <c r="BD244" s="53"/>
      <c r="BE244" s="53"/>
      <c r="BF244" s="53"/>
      <c r="BG244" s="53"/>
      <c r="BH244" s="53"/>
      <c r="BI244" s="53"/>
      <c r="BJ244" s="53"/>
      <c r="BK244" s="53"/>
      <c r="BL244" s="53"/>
      <c r="BM244" s="53"/>
      <c r="BN244" s="53"/>
      <c r="BO244" s="53"/>
      <c r="BP244" s="53"/>
      <c r="BQ244" s="53"/>
      <c r="BR244" s="53"/>
      <c r="BS244" s="53"/>
      <c r="BT244" s="53"/>
      <c r="BU244" s="53"/>
      <c r="BV244" s="53"/>
      <c r="BW244" s="53"/>
      <c r="BX244" s="53"/>
      <c r="BY244" s="53"/>
      <c r="BZ244" s="53"/>
      <c r="CA244" s="53"/>
      <c r="CB244" s="53"/>
      <c r="CC244" s="53"/>
      <c r="CD244" s="53"/>
      <c r="CE244" s="53"/>
      <c r="CF244" s="53"/>
      <c r="CG244" s="53"/>
      <c r="CH244" s="53"/>
      <c r="CI244" s="53"/>
      <c r="CJ244" s="53"/>
      <c r="CK244" s="53"/>
      <c r="CL244" s="53"/>
      <c r="CM244" s="53"/>
      <c r="CN244" s="53"/>
      <c r="CO244" s="53"/>
      <c r="CP244" s="53"/>
      <c r="CQ244" s="53"/>
      <c r="CR244" s="1"/>
      <c r="CS244" s="1"/>
      <c r="CT244" s="1"/>
      <c r="CU244" s="1"/>
    </row>
    <row r="245" spans="1:99" s="13" customFormat="1" ht="12" customHeight="1" x14ac:dyDescent="0.2">
      <c r="A245" s="65">
        <v>43509</v>
      </c>
      <c r="B245" s="1" t="s">
        <v>153</v>
      </c>
      <c r="C245" s="1" t="s">
        <v>119</v>
      </c>
      <c r="D245" s="60">
        <v>1929</v>
      </c>
      <c r="E245" s="76">
        <v>1</v>
      </c>
      <c r="F245" s="60">
        <v>120</v>
      </c>
      <c r="G245" s="60">
        <v>20</v>
      </c>
      <c r="H245" s="60" t="s">
        <v>647</v>
      </c>
      <c r="I245" s="74">
        <v>2</v>
      </c>
      <c r="J245" s="60" t="s">
        <v>16</v>
      </c>
      <c r="K245" s="60">
        <f>IF(J245="syllables",1,IF(J245="trigrams",2,IF(J245="strings",3,IF(J245="visual array",4,IF(J245="characters",5,IF(J245="letters",6,IF(J245="free forms",7,IF(J245="odors",8,IF(J245="words",9,IF(J245="pictures",10,IF(J245="object pictures",11,IF(J245="faces",12,IF(J245="names",13,IF(J245="idioms",14,IF(J245="grades",15,IF(J245="syllable-digit pairs",16,IF(J245="trigram-word pairs",17,IF(J245="word-digit pairs",18,IF(J245="English-Swahili pairs",19,IF(J245="spatial position",20,IF(J245="word pairs",21,IF(J245="word triads",22,IF(J245="generated words",23,IF(J245="word definition pairs",24,IF(J245="math problems",25,IF(J245="famous faces",26,IF(J245="famous names",27,IF(J245="famous voices",28,IF(J245="television programs",29,IF(J245="race horses",30,IF(J245="new vocabulary",31,IF(J245="sentences",32,IF(J245="concepts",33,IF(J245="ad slides",34,IF(J245="scenes",35,IF(J245="famous scenes",36,IF(J245="poems",37,IF(J245="walk",38,IF(J245="faces and events",39,IF(J245="events and names",40,IF(J245="flashbulb",41,IF(J245="stories",42,IF(J245="course material",43,IF(J245="autobiographical",44,IF(J245="novels",45,IF(J245="public events",46,"99"))))))))))))))))))))))))))))))))))))))))))))))</f>
        <v>9</v>
      </c>
      <c r="L245" s="60">
        <f>IF(J245="syllables",1,IF(J245="trigrams",1,IF(J245="strings",1,IF(J245="visual array",1,IF(J245="characters",1,IF(J245="letters",1,IF(J245="free forms",1,IF(J245="odors",2,IF(J245="words",2,IF(J245="pictures",2,IF(J245="object pictures",2,IF(J245="faces",2,IF(J245="names",2,IF(J245="idioms","2",IF(J245="grades",2,IF(J245="syllable-digit pairs",3,IF(J245="trigram-word pairs",3,IF(J245="word-digit pairs",3,IF(J245="English-Swahili pairs",3,IF(J245="spatial position",3,IF(J245="word pairs",4,IF(J245="word triads",4,IF(J245="generated words",4,IF(J245="word definition pairs",4,IF(J245="math problems",4,IF(J245="famous faces",4,IF(J245="famous names",4,IF(J245="famous voices",4,IF(J245="television programs",4,IF(J245="race horses",4,IF(J245="new vocabulary",4,IF(J245="sentences",5,IF(J245="concepts",5,IF(J245="ad slides",5,IF(J245="scenes",5,IF(J245="famous scenes",5,IF(J245="poems",6,IF(J245="walk",6,IF(J245="faces and events",6,IF(J245="events and names",6,IF(J245="flashbulb",7,IF(J245="stories",7,IF(J245="course material",7,IF(J245="autobiographical",7,IF(J245="novels",7,IF(J245="public events",7,"99"))))))))))))))))))))))))))))))))))))))))))))))</f>
        <v>2</v>
      </c>
      <c r="M245" s="60">
        <v>1</v>
      </c>
      <c r="N245" s="60">
        <v>2</v>
      </c>
      <c r="O245" s="60">
        <v>0</v>
      </c>
      <c r="P245" s="60"/>
      <c r="Q245" s="60" t="s">
        <v>87</v>
      </c>
      <c r="R245" s="60">
        <f>IF(Q245="Free Recall",1,IF(Q245="Cued Recall",2,IF(Q245="Recognition",3,IF(Q245="Multiple Choice",4,IF(Q245="Savings",5,IF(Q245="Stem Completion",6,IF(Q245="Fragment Completion",7,IF(Q245="anagram solution",8,IF(Q245="Matching",9,IF(Q245="Problem Solving",10,"99"))))))))))</f>
        <v>5</v>
      </c>
      <c r="S245" s="60" t="s">
        <v>87</v>
      </c>
      <c r="T245" s="60" t="s">
        <v>261</v>
      </c>
      <c r="U245" s="60">
        <f>IF(T245="within",1,0)</f>
        <v>0</v>
      </c>
      <c r="V245" s="60">
        <v>12</v>
      </c>
      <c r="W245" s="60">
        <f>F245*V245</f>
        <v>1440</v>
      </c>
      <c r="X245" s="60">
        <v>6</v>
      </c>
      <c r="Y245" s="76">
        <f>AV244</f>
        <v>86400</v>
      </c>
      <c r="Z245" s="60" t="s">
        <v>140</v>
      </c>
      <c r="AA245" s="60">
        <v>2419200</v>
      </c>
      <c r="AB245" s="60" t="str">
        <f>IF(AA245&lt;60,"1",IF(AA245&lt;=43200,"2",IF(AA245&lt;=777600,"3","4")))</f>
        <v>4</v>
      </c>
      <c r="AC245" s="56">
        <f>AVERAGE(AV244:DA244)</f>
        <v>806400</v>
      </c>
      <c r="AD245" s="60" t="str">
        <f>IF(AC245&lt;60,"1",IF(AC245&lt;=43200,"2",IF(AC245&lt;=777600,"3","4")))</f>
        <v>4</v>
      </c>
      <c r="AE245" s="76">
        <f>AA245-Y245</f>
        <v>2332800</v>
      </c>
      <c r="AF245" s="80">
        <f>AV245</f>
        <v>0.47099999999999997</v>
      </c>
      <c r="AG245" s="56">
        <f>((AW245-AV245)+(AX245-AW245)+(AY245-AX245)+(AZ245-AY245)+(BA245-AZ245))/5</f>
        <v>-4.3999999999999997E-2</v>
      </c>
      <c r="AH245" s="4"/>
      <c r="AI245" s="56">
        <f>RSQ(AV245:BA245,AV244:BA244)</f>
        <v>0.54069909532616967</v>
      </c>
      <c r="AJ245" s="109">
        <f>SLOPE(AV245:BA245,AV244:BA244)</f>
        <v>-7.6844682071451963E-8</v>
      </c>
      <c r="AK245" s="56">
        <f>INTERCEPT(AV245:BA245,AV244:BA244)</f>
        <v>0.39455088495575213</v>
      </c>
      <c r="AL245" s="56">
        <f>INDEX(LINEST(LN(AV245:BA245),LN(AV244:BA244),TRUE,TRUE),3,1)</f>
        <v>0.920417777394131</v>
      </c>
      <c r="AM245" s="56">
        <f>INDEX(LINEST(LN(AV245:BA245),LN(AV244:BA244)),1)</f>
        <v>-0.20807610380928487</v>
      </c>
      <c r="AN245" s="56">
        <f>EXP(INDEX(LINEST(LN(AV245:BA245),LN(AV244:BA244)),1,2))</f>
        <v>4.8563368730996137</v>
      </c>
      <c r="AO245" s="82">
        <f>INDEX(LINEST((AV245:BA245),LN(AV244:BA244),TRUE,TRUE),3,1)</f>
        <v>0.89671262836736432</v>
      </c>
      <c r="AP245" s="82">
        <f>INDEX(LINEST((AV245:BA245),LN(AV244:BA244)),1)</f>
        <v>-7.1213893459317182E-2</v>
      </c>
      <c r="AQ245" s="83">
        <f>INDEX(LINEST(LN(AV245:BA245),SQRT(AV244:BA244),TRUE,TRUE),3,1)</f>
        <v>0.76503279476562192</v>
      </c>
      <c r="AR245" s="116">
        <f>INDEX(LINEST(LN(AV245:BA245),SQRT((AV244:BA244))),1)</f>
        <v>-4.9666714952908064E-4</v>
      </c>
      <c r="AS245" s="84">
        <f>INDEX(LINEST(1/(AV245:BA245),1/(SQRT(AV244:BA244)),TRUE,TRUE),3,1)</f>
        <v>0.94694248441620554</v>
      </c>
      <c r="AT245" s="84">
        <f>INDEX(LINEST(1/(AV245:BA245),1/SQRT(AV244:BA244)),1)</f>
        <v>-752.97254723256583</v>
      </c>
      <c r="AU245" s="3"/>
      <c r="AV245" s="53">
        <v>0.47099999999999997</v>
      </c>
      <c r="AW245" s="53">
        <v>0.42049999999999998</v>
      </c>
      <c r="AX245" s="53">
        <v>0.32300000000000001</v>
      </c>
      <c r="AY245" s="53">
        <v>0.27550000000000002</v>
      </c>
      <c r="AZ245" s="53">
        <v>0.2545</v>
      </c>
      <c r="BA245" s="53">
        <v>0.251</v>
      </c>
      <c r="BB245" s="53"/>
      <c r="BC245" s="53"/>
      <c r="BD245" s="53"/>
      <c r="BE245" s="53"/>
      <c r="BF245" s="53"/>
      <c r="BG245" s="53"/>
      <c r="BH245" s="53"/>
      <c r="BI245" s="53"/>
      <c r="BJ245" s="53"/>
      <c r="BK245" s="53"/>
      <c r="BL245" s="53"/>
      <c r="BM245" s="53"/>
      <c r="BN245" s="53"/>
      <c r="BO245" s="53"/>
      <c r="BP245" s="53"/>
      <c r="BQ245" s="53"/>
      <c r="BR245" s="53"/>
      <c r="BS245" s="53"/>
      <c r="BT245" s="53"/>
      <c r="BU245" s="53"/>
      <c r="BV245" s="53"/>
      <c r="BW245" s="53"/>
      <c r="BX245" s="53"/>
      <c r="BY245" s="53"/>
      <c r="BZ245" s="53"/>
      <c r="CA245" s="53"/>
      <c r="CB245" s="53"/>
      <c r="CC245" s="53"/>
      <c r="CD245" s="53"/>
      <c r="CE245" s="53"/>
      <c r="CF245" s="53"/>
      <c r="CG245" s="53"/>
      <c r="CH245" s="53"/>
      <c r="CI245" s="53"/>
      <c r="CJ245" s="53"/>
      <c r="CK245" s="53"/>
      <c r="CL245" s="53"/>
      <c r="CM245" s="53"/>
      <c r="CN245" s="53"/>
      <c r="CO245" s="53"/>
      <c r="CP245" s="53"/>
      <c r="CQ245" s="53"/>
      <c r="CR245" s="1"/>
      <c r="CS245" s="1"/>
      <c r="CT245" s="1"/>
      <c r="CU245" s="1"/>
    </row>
    <row r="246" spans="1:99" s="13" customFormat="1" ht="12" customHeight="1" x14ac:dyDescent="0.2">
      <c r="A246" s="65">
        <v>43978</v>
      </c>
      <c r="B246" s="1"/>
      <c r="C246" s="1"/>
      <c r="D246" s="60"/>
      <c r="E246" s="76"/>
      <c r="F246" s="60"/>
      <c r="G246" s="60"/>
      <c r="H246" s="60"/>
      <c r="I246" s="60"/>
      <c r="J246" s="60"/>
      <c r="K246" s="60"/>
      <c r="L246" s="60"/>
      <c r="M246" s="60"/>
      <c r="N246" s="60"/>
      <c r="O246" s="60"/>
      <c r="P246" s="60"/>
      <c r="Q246" s="178"/>
      <c r="R246" s="60"/>
      <c r="S246" s="59"/>
      <c r="T246" s="59"/>
      <c r="U246" s="60"/>
      <c r="V246" s="59"/>
      <c r="W246" s="60"/>
      <c r="X246" s="60"/>
      <c r="Y246" s="76"/>
      <c r="Z246" s="60"/>
      <c r="AA246" s="60"/>
      <c r="AB246" s="60"/>
      <c r="AC246" s="56"/>
      <c r="AD246" s="60"/>
      <c r="AE246" s="76"/>
      <c r="AF246" s="80"/>
      <c r="AG246" s="56"/>
      <c r="AH246" s="4"/>
      <c r="AI246" s="56"/>
      <c r="AJ246" s="109"/>
      <c r="AK246" s="56"/>
      <c r="AL246" s="56"/>
      <c r="AM246" s="56"/>
      <c r="AN246" s="56"/>
      <c r="AO246" s="82"/>
      <c r="AP246" s="82"/>
      <c r="AQ246" s="83"/>
      <c r="AR246" s="116"/>
      <c r="AS246" s="84"/>
      <c r="AT246" s="84"/>
      <c r="AU246" s="3"/>
      <c r="AV246" s="25">
        <v>30</v>
      </c>
      <c r="AW246" s="25">
        <f>60*30</f>
        <v>1800</v>
      </c>
      <c r="AX246" s="25">
        <f>60*60</f>
        <v>3600</v>
      </c>
      <c r="AY246" s="25">
        <f>60*60*24</f>
        <v>86400</v>
      </c>
      <c r="AZ246" s="25">
        <f>60*60*24*7</f>
        <v>604800</v>
      </c>
      <c r="BA246" s="25">
        <f>60*60*24*41</f>
        <v>3542400</v>
      </c>
      <c r="BB246" s="25"/>
      <c r="BC246" s="53"/>
      <c r="BD246" s="53"/>
      <c r="BE246" s="53"/>
      <c r="BF246" s="53"/>
      <c r="BG246" s="53"/>
      <c r="BH246" s="53"/>
      <c r="BI246" s="53"/>
      <c r="BJ246" s="53"/>
      <c r="BK246" s="53"/>
      <c r="BL246" s="53"/>
      <c r="BM246" s="53"/>
      <c r="BN246" s="53"/>
      <c r="BO246" s="53"/>
      <c r="BP246" s="53"/>
      <c r="BQ246" s="53"/>
      <c r="BR246" s="53"/>
      <c r="BS246" s="53"/>
      <c r="BT246" s="53"/>
      <c r="BU246" s="53"/>
      <c r="BV246" s="53"/>
      <c r="BW246" s="53"/>
      <c r="BX246" s="53"/>
      <c r="BY246" s="53"/>
      <c r="BZ246" s="53"/>
      <c r="CA246" s="53"/>
      <c r="CB246" s="53"/>
      <c r="CC246" s="53"/>
      <c r="CD246" s="53"/>
      <c r="CE246" s="53"/>
      <c r="CF246" s="53"/>
      <c r="CG246" s="53"/>
      <c r="CH246" s="53"/>
      <c r="CI246" s="53"/>
      <c r="CJ246" s="53"/>
      <c r="CK246" s="53"/>
      <c r="CL246" s="53"/>
      <c r="CM246" s="53"/>
      <c r="CN246" s="53"/>
      <c r="CO246" s="53"/>
      <c r="CP246" s="53"/>
      <c r="CQ246" s="53"/>
      <c r="CR246" s="1"/>
      <c r="CS246" s="1"/>
      <c r="CT246" s="1"/>
      <c r="CU246" s="1"/>
    </row>
    <row r="247" spans="1:99" s="13" customFormat="1" ht="12" customHeight="1" x14ac:dyDescent="0.2">
      <c r="A247" s="65">
        <v>43978</v>
      </c>
      <c r="B247" s="1" t="s">
        <v>971</v>
      </c>
      <c r="C247" s="1" t="s">
        <v>972</v>
      </c>
      <c r="D247" s="60">
        <v>1998</v>
      </c>
      <c r="E247" s="76">
        <v>1</v>
      </c>
      <c r="F247" s="60">
        <v>2</v>
      </c>
      <c r="G247" s="60">
        <v>2</v>
      </c>
      <c r="H247" s="60" t="s">
        <v>41</v>
      </c>
      <c r="I247" s="60" t="s">
        <v>330</v>
      </c>
      <c r="J247" s="60" t="s">
        <v>677</v>
      </c>
      <c r="K247" s="60">
        <f>IF(J247="syllables",1,IF(J247="trigrams",2,IF(J247="strings",3,IF(J247="visual array",4,IF(J247="characters",5,IF(J247="letters",6,IF(J247="free forms",7,IF(J247="odors",8,IF(J247="words",9,IF(J247="pictures",10,IF(J247="object pictures",11,IF(J247="faces",12,IF(J247="names",13,IF(J247="idioms",14,IF(J247="grades",15,IF(J247="syllable-digit pairs",16,IF(J247="trigram-word pairs",17,IF(J247="word-digit pairs",18,IF(J247="English-Swahili pairs",19,IF(J247="spatial position",20,IF(J247="word pairs",21,IF(J247="word triads",22,IF(J247="generated words",23,IF(J247="word definition pairs",24,IF(J247="math problems",25,IF(J247="famous faces",26,IF(J247="famous names",27,IF(J247="famous voices",28,IF(J247="television programs",29,IF(J247="race horses",30,IF(J247="new vocabulary",31,IF(J247="sentences",32,IF(J247="concepts",33,IF(J247="ad slides",34,IF(J247="scenes",35,IF(J247="famous scenes",36,IF(J247="poems",37,IF(J247="walk",38,IF(J247="faces and events",39,IF(J247="events and names",40,IF(J247="flashbulb",41,IF(J247="stories",42,IF(J247="course material",43,IF(J247="autobiographical",44,IF(J247="novels",45,IF(J247="public events",46,"99"))))))))))))))))))))))))))))))))))))))))))))))</f>
        <v>42</v>
      </c>
      <c r="L247" s="60">
        <f>IF(J247="syllables",1,IF(J247="trigrams",1,IF(J247="strings",1,IF(J247="visual array",1,IF(J247="characters",1,IF(J247="letters",1,IF(J247="free forms",1,IF(J247="odors",2,IF(J247="words",2,IF(J247="pictures",2,IF(J247="object pictures",2,IF(J247="faces",2,IF(J247="names",2,IF(J247="idioms","2",IF(J247="grades",2,IF(J247="syllable-digit pairs",3,IF(J247="trigram-word pairs",3,IF(J247="word-digit pairs",3,IF(J247="English-Swahili pairs",3,IF(J247="spatial position",3,IF(J247="word pairs",4,IF(J247="word triads",4,IF(J247="generated words",4,IF(J247="word definition pairs",4,IF(J247="math problems",4,IF(J247="famous faces",4,IF(J247="famous names",4,IF(J247="famous voices",4,IF(J247="television programs",4,IF(J247="race horses",4,IF(J247="new vocabulary",4,IF(J247="sentences",5,IF(J247="concepts",5,IF(J247="ad slides",5,IF(J247="scenes",5,IF(J247="famous scenes",5,IF(J247="poems",6,IF(J247="walk",6,IF(J247="faces and events",6,IF(J247="events and names",6,IF(J247="flashbulb",7,IF(J247="stories",7,IF(J247="course material",7,IF(J247="autobiographical",7,IF(J247="novels",7,IF(J247="public events",7,"99"))))))))))))))))))))))))))))))))))))))))))))))</f>
        <v>7</v>
      </c>
      <c r="M247" s="60">
        <v>1</v>
      </c>
      <c r="N247" s="60">
        <v>4</v>
      </c>
      <c r="O247" s="60">
        <v>0</v>
      </c>
      <c r="P247" s="60"/>
      <c r="Q247" s="178" t="s">
        <v>174</v>
      </c>
      <c r="R247" s="60">
        <f>IF(Q247="Free Recall",1,IF(Q247="Cued Recall",2,IF(Q247="Recognition",3,IF(Q247="Multiple Choice",4,IF(Q247="Savings",5,IF(Q247="Stem Completion",6,IF(Q247="Fragment Completion",7,IF(Q247="anagram solution",8,IF(Q247="Matching",9,IF(Q247="Problem Solving",10,"99"))))))))))</f>
        <v>1</v>
      </c>
      <c r="S247" s="60" t="s">
        <v>49</v>
      </c>
      <c r="T247" s="59" t="s">
        <v>581</v>
      </c>
      <c r="U247" s="60">
        <f>IF(T247="within",1,0)</f>
        <v>1</v>
      </c>
      <c r="V247" s="59">
        <v>8</v>
      </c>
      <c r="W247" s="60">
        <f>F247*V247</f>
        <v>16</v>
      </c>
      <c r="X247" s="60">
        <v>6</v>
      </c>
      <c r="Y247" s="76">
        <f>AV246</f>
        <v>30</v>
      </c>
      <c r="Z247" s="60" t="s">
        <v>973</v>
      </c>
      <c r="AA247" s="76">
        <f>60*60*24*41</f>
        <v>3542400</v>
      </c>
      <c r="AB247" s="60" t="str">
        <f>IF(AA247&lt;60,"1",IF(AA247&lt;=43200,"2",IF(AA247&lt;=777600,"3","4")))</f>
        <v>4</v>
      </c>
      <c r="AC247" s="56">
        <f>AVERAGE(AV246:DA246)</f>
        <v>706505</v>
      </c>
      <c r="AD247" s="60" t="str">
        <f>IF(AC247&lt;60,"1",IF(AC247&lt;=43200,"2",IF(AC247&lt;=777600,"3","4")))</f>
        <v>3</v>
      </c>
      <c r="AE247" s="76">
        <f>AA247-Y247</f>
        <v>3542370</v>
      </c>
      <c r="AF247" s="80">
        <f>AV247</f>
        <v>0.70500000000000007</v>
      </c>
      <c r="AG247" s="56">
        <f>((AW247-AV247)+(AX247-AW247)+(AY247-AX247)+(AZ247-AY247)+(BA247-AZ247))/5</f>
        <v>-2.0999999999999998E-2</v>
      </c>
      <c r="AH247" s="4"/>
      <c r="AI247" s="56">
        <f>RSQ(AV247:BA247,AV246:BA246)</f>
        <v>0.48180198562205073</v>
      </c>
      <c r="AJ247" s="109">
        <f>SLOPE(AV247:BA247,AV246:BA246)</f>
        <v>-4.9107700331161615E-8</v>
      </c>
      <c r="AK247" s="56">
        <f>INTERCEPT(AV247:BA247,AV246:BA246)</f>
        <v>0.77219483582246751</v>
      </c>
      <c r="AL247" s="56">
        <f>INDEX(LINEST(LN(AV247:BA247),LN(AV246:BA246),TRUE,TRUE),3,1)</f>
        <v>8.8772772627733823E-2</v>
      </c>
      <c r="AM247" s="56">
        <f>INDEX(LINEST(LN(AV247:BA247),LN(AV246:BA246)),1)</f>
        <v>-9.410267272012841E-3</v>
      </c>
      <c r="AN247" s="56">
        <f>EXP(INDEX(LINEST(LN(AV247:BA247),LN(AV246:BA246)),1,2))</f>
        <v>0.80267979047702254</v>
      </c>
      <c r="AO247" s="82">
        <f>INDEX(LINEST((AV247:BA247),LN(AV246:BA246),TRUE,TRUE),3,1)</f>
        <v>7.4046924327976854E-2</v>
      </c>
      <c r="AP247" s="82">
        <f>INDEX(LINEST((AV247:BA247),LN(AV246:BA246)),1)</f>
        <v>-6.3402162038255711E-3</v>
      </c>
      <c r="AQ247" s="83">
        <f>INDEX(LINEST(LN(AV247:BA247),SQRT(AV246:BA246),TRUE,TRUE),3,1)</f>
        <v>0.47532516057817153</v>
      </c>
      <c r="AR247" s="116">
        <f>INDEX(LINEST(LN(AV247:BA247),SQRT((AV246:BA246))),1)</f>
        <v>-1.2732905060834908E-4</v>
      </c>
      <c r="AS247" s="84">
        <f>INDEX(LINEST(1/(AV247:BA247),1/(SQRT(AV246:BA246)),TRUE,TRUE),3,1)</f>
        <v>4.8376925087935726E-3</v>
      </c>
      <c r="AT247" s="84">
        <f>INDEX(LINEST(1/(AV247:BA247),1/SQRT(AV246:BA246)),1)</f>
        <v>0.18111109126545416</v>
      </c>
      <c r="AU247" s="3"/>
      <c r="AV247" s="53">
        <f>(0.86+0.55)/2</f>
        <v>0.70500000000000007</v>
      </c>
      <c r="AW247" s="53">
        <f>(0.84+0.55)/2</f>
        <v>0.69500000000000006</v>
      </c>
      <c r="AX247" s="53">
        <f>(0.94+0.83)/2</f>
        <v>0.88500000000000001</v>
      </c>
      <c r="AY247" s="53">
        <f>(0.8+0.83)/2</f>
        <v>0.81499999999999995</v>
      </c>
      <c r="AZ247" s="53">
        <f>(0.8+0.65)/2</f>
        <v>0.72500000000000009</v>
      </c>
      <c r="BA247" s="53">
        <f>(0.55+0.65)/2</f>
        <v>0.60000000000000009</v>
      </c>
      <c r="BB247" s="53"/>
      <c r="BC247" s="53"/>
      <c r="BD247" s="53"/>
      <c r="BE247" s="53"/>
      <c r="BF247" s="53"/>
      <c r="BG247" s="53"/>
      <c r="BH247" s="53"/>
      <c r="BI247" s="53"/>
      <c r="BJ247" s="53"/>
      <c r="BK247" s="53"/>
      <c r="BL247" s="53"/>
      <c r="BM247" s="53"/>
      <c r="BN247" s="53"/>
      <c r="BO247" s="53"/>
      <c r="BP247" s="53"/>
      <c r="BQ247" s="53"/>
      <c r="BR247" s="53"/>
      <c r="BS247" s="53"/>
      <c r="BT247" s="53"/>
      <c r="BU247" s="53"/>
      <c r="BV247" s="53"/>
      <c r="BW247" s="53"/>
      <c r="BX247" s="53"/>
      <c r="BY247" s="53"/>
      <c r="BZ247" s="53"/>
      <c r="CA247" s="53"/>
      <c r="CB247" s="53"/>
      <c r="CC247" s="53"/>
      <c r="CD247" s="53"/>
      <c r="CE247" s="53"/>
      <c r="CF247" s="53"/>
      <c r="CG247" s="53"/>
      <c r="CH247" s="53"/>
      <c r="CI247" s="53"/>
      <c r="CJ247" s="53"/>
      <c r="CK247" s="53"/>
      <c r="CL247" s="53"/>
      <c r="CM247" s="53"/>
      <c r="CN247" s="53"/>
      <c r="CO247" s="53"/>
      <c r="CP247" s="53"/>
      <c r="CQ247" s="53"/>
      <c r="CR247" s="1"/>
      <c r="CS247" s="1"/>
      <c r="CT247" s="1"/>
      <c r="CU247" s="1"/>
    </row>
    <row r="248" spans="1:99" s="13" customFormat="1" ht="12" customHeight="1" x14ac:dyDescent="0.2">
      <c r="A248" s="65">
        <v>43978</v>
      </c>
      <c r="B248" s="1"/>
      <c r="C248" s="1"/>
      <c r="D248" s="60"/>
      <c r="E248" s="76"/>
      <c r="F248" s="60"/>
      <c r="G248" s="60"/>
      <c r="H248" s="60"/>
      <c r="I248" s="60"/>
      <c r="J248" s="60"/>
      <c r="K248" s="60"/>
      <c r="L248" s="60"/>
      <c r="M248" s="60"/>
      <c r="N248" s="60"/>
      <c r="O248" s="60"/>
      <c r="P248" s="60"/>
      <c r="Q248" s="178"/>
      <c r="R248" s="60"/>
      <c r="S248" s="59"/>
      <c r="T248" s="59"/>
      <c r="U248" s="60"/>
      <c r="V248" s="59"/>
      <c r="W248" s="60"/>
      <c r="X248" s="60"/>
      <c r="Y248" s="76"/>
      <c r="Z248" s="60"/>
      <c r="AA248" s="60"/>
      <c r="AB248" s="60"/>
      <c r="AC248" s="56"/>
      <c r="AD248" s="60"/>
      <c r="AE248" s="76"/>
      <c r="AF248" s="80"/>
      <c r="AG248" s="56"/>
      <c r="AH248" s="4"/>
      <c r="AI248" s="56"/>
      <c r="AJ248" s="109"/>
      <c r="AK248" s="56"/>
      <c r="AL248" s="56"/>
      <c r="AM248" s="56"/>
      <c r="AN248" s="56"/>
      <c r="AO248" s="82"/>
      <c r="AP248" s="82"/>
      <c r="AQ248" s="83"/>
      <c r="AR248" s="116"/>
      <c r="AS248" s="84"/>
      <c r="AT248" s="84"/>
      <c r="AU248" s="3"/>
      <c r="AV248" s="25">
        <v>30</v>
      </c>
      <c r="AW248" s="25">
        <f>60*30</f>
        <v>1800</v>
      </c>
      <c r="AX248" s="25">
        <f>60*60</f>
        <v>3600</v>
      </c>
      <c r="AY248" s="25">
        <f>60*60*24</f>
        <v>86400</v>
      </c>
      <c r="AZ248" s="25">
        <f>60*60*24*7</f>
        <v>604800</v>
      </c>
      <c r="BA248" s="25">
        <f>60*60*24*41</f>
        <v>3542400</v>
      </c>
      <c r="BB248" s="53"/>
      <c r="BC248" s="53"/>
      <c r="BD248" s="53"/>
      <c r="BE248" s="53"/>
      <c r="BF248" s="53"/>
      <c r="BG248" s="53"/>
      <c r="BH248" s="53"/>
      <c r="BI248" s="53"/>
      <c r="BJ248" s="53"/>
      <c r="BK248" s="53"/>
      <c r="BL248" s="53"/>
      <c r="BM248" s="53"/>
      <c r="BN248" s="53"/>
      <c r="BO248" s="53"/>
      <c r="BP248" s="53"/>
      <c r="BQ248" s="53"/>
      <c r="BR248" s="53"/>
      <c r="BS248" s="53"/>
      <c r="BT248" s="53"/>
      <c r="BU248" s="53"/>
      <c r="BV248" s="53"/>
      <c r="BW248" s="53"/>
      <c r="BX248" s="53"/>
      <c r="BY248" s="53"/>
      <c r="BZ248" s="53"/>
      <c r="CA248" s="53"/>
      <c r="CB248" s="53"/>
      <c r="CC248" s="53"/>
      <c r="CD248" s="53"/>
      <c r="CE248" s="53"/>
      <c r="CF248" s="53"/>
      <c r="CG248" s="53"/>
      <c r="CH248" s="53"/>
      <c r="CI248" s="53"/>
      <c r="CJ248" s="53"/>
      <c r="CK248" s="53"/>
      <c r="CL248" s="53"/>
      <c r="CM248" s="53"/>
      <c r="CN248" s="53"/>
      <c r="CO248" s="53"/>
      <c r="CP248" s="53"/>
      <c r="CQ248" s="53"/>
      <c r="CR248" s="1"/>
      <c r="CS248" s="1"/>
      <c r="CT248" s="1"/>
      <c r="CU248" s="1"/>
    </row>
    <row r="249" spans="1:99" s="13" customFormat="1" ht="12" customHeight="1" x14ac:dyDescent="0.2">
      <c r="A249" s="65">
        <v>43978</v>
      </c>
      <c r="B249" s="1" t="s">
        <v>971</v>
      </c>
      <c r="C249" s="1" t="s">
        <v>972</v>
      </c>
      <c r="D249" s="60">
        <v>1998</v>
      </c>
      <c r="E249" s="76">
        <v>1</v>
      </c>
      <c r="F249" s="60">
        <v>2</v>
      </c>
      <c r="G249" s="60">
        <v>2</v>
      </c>
      <c r="H249" s="60" t="s">
        <v>41</v>
      </c>
      <c r="I249" s="60" t="s">
        <v>330</v>
      </c>
      <c r="J249" s="60" t="s">
        <v>317</v>
      </c>
      <c r="K249" s="60">
        <f>IF(J249="syllables",1,IF(J249="trigrams",2,IF(J249="strings",3,IF(J249="visual array",4,IF(J249="characters",5,IF(J249="letters",6,IF(J249="free forms",7,IF(J249="odors",8,IF(J249="words",9,IF(J249="pictures",10,IF(J249="object pictures",11,IF(J249="faces",12,IF(J249="names",13,IF(J249="idioms",14,IF(J249="grades",15,IF(J249="syllable-digit pairs",16,IF(J249="trigram-word pairs",17,IF(J249="word-digit pairs",18,IF(J249="English-Swahili pairs",19,IF(J249="spatial position",20,IF(J249="word pairs",21,IF(J249="word triads",22,IF(J249="generated words",23,IF(J249="word definition pairs",24,IF(J249="math problems",25,IF(J249="famous faces",26,IF(J249="famous names",27,IF(J249="famous voices",28,IF(J249="television programs",29,IF(J249="race horses",30,IF(J249="new vocabulary",31,IF(J249="sentences",32,IF(J249="concepts",33,IF(J249="ad slides",34,IF(J249="scenes",35,IF(J249="famous scenes",36,IF(J249="poems",37,IF(J249="walk",38,IF(J249="faces and events",39,IF(J249="events and names",40,IF(J249="flashbulb",41,IF(J249="stories",42,IF(J249="course material",43,IF(J249="autobiographical",44,IF(J249="novels",45,IF(J249="public events",46,"99"))))))))))))))))))))))))))))))))))))))))))))))</f>
        <v>7</v>
      </c>
      <c r="L249" s="60">
        <f>IF(J249="syllables",1,IF(J249="trigrams",1,IF(J249="strings",1,IF(J249="visual array",1,IF(J249="characters",1,IF(J249="letters",1,IF(J249="free forms",1,IF(J249="odors",2,IF(J249="words",2,IF(J249="pictures",2,IF(J249="object pictures",2,IF(J249="faces",2,IF(J249="names",2,IF(J249="idioms","2",IF(J249="grades",2,IF(J249="syllable-digit pairs",3,IF(J249="trigram-word pairs",3,IF(J249="word-digit pairs",3,IF(J249="English-Swahili pairs",3,IF(J249="spatial position",3,IF(J249="word pairs",4,IF(J249="word triads",4,IF(J249="generated words",4,IF(J249="word definition pairs",4,IF(J249="math problems",4,IF(J249="famous faces",4,IF(J249="famous names",4,IF(J249="famous voices",4,IF(J249="television programs",4,IF(J249="race horses",4,IF(J249="new vocabulary",4,IF(J249="sentences",5,IF(J249="concepts",5,IF(J249="ad slides",5,IF(J249="scenes",5,IF(J249="famous scenes",5,IF(J249="poems",6,IF(J249="walk",6,IF(J249="faces and events",6,IF(J249="events and names",6,IF(J249="flashbulb",7,IF(J249="stories",7,IF(J249="course material",7,IF(J249="autobiographical",7,IF(J249="novels",7,IF(J249="public events",7,"99"))))))))))))))))))))))))))))))))))))))))))))))</f>
        <v>1</v>
      </c>
      <c r="M249" s="60">
        <v>1</v>
      </c>
      <c r="N249" s="60">
        <v>2</v>
      </c>
      <c r="O249" s="60">
        <v>0</v>
      </c>
      <c r="P249" s="60"/>
      <c r="Q249" s="178" t="s">
        <v>174</v>
      </c>
      <c r="R249" s="60">
        <f>IF(Q249="Free Recall",1,IF(Q249="Cued Recall",2,IF(Q249="Recognition",3,IF(Q249="Multiple Choice",4,IF(Q249="Savings",5,IF(Q249="Stem Completion",6,IF(Q249="Fragment Completion",7,IF(Q249="anagram solution",8,IF(Q249="Matching",9,IF(Q249="Problem Solving",10,"99"))))))))))</f>
        <v>1</v>
      </c>
      <c r="S249" s="60" t="s">
        <v>49</v>
      </c>
      <c r="T249" s="59" t="s">
        <v>581</v>
      </c>
      <c r="U249" s="60">
        <f>IF(T249="within",1,0)</f>
        <v>1</v>
      </c>
      <c r="V249" s="59">
        <v>8</v>
      </c>
      <c r="W249" s="60">
        <f>F249*V249</f>
        <v>16</v>
      </c>
      <c r="X249" s="60">
        <v>6</v>
      </c>
      <c r="Y249" s="76">
        <f>AV248</f>
        <v>30</v>
      </c>
      <c r="Z249" s="60" t="s">
        <v>973</v>
      </c>
      <c r="AA249" s="76">
        <f>60*60*24*41</f>
        <v>3542400</v>
      </c>
      <c r="AB249" s="60" t="str">
        <f>IF(AA249&lt;60,"1",IF(AA249&lt;=43200,"2",IF(AA249&lt;=777600,"3","4")))</f>
        <v>4</v>
      </c>
      <c r="AC249" s="56">
        <f>AVERAGE(AV248:DA248)</f>
        <v>706505</v>
      </c>
      <c r="AD249" s="60" t="str">
        <f>IF(AC249&lt;60,"1",IF(AC249&lt;=43200,"2",IF(AC249&lt;=777600,"3","4")))</f>
        <v>3</v>
      </c>
      <c r="AE249" s="76">
        <f>AA249-Y249</f>
        <v>3542370</v>
      </c>
      <c r="AF249" s="80">
        <f>AV249</f>
        <v>0.99</v>
      </c>
      <c r="AG249" s="56">
        <f>((AW249-AV249)+(AX249-AW249)+(AY249-AX249)+(AZ249-AY249)+(BA249-AZ249))/5</f>
        <v>-0.16599999999999998</v>
      </c>
      <c r="AH249" s="4"/>
      <c r="AI249" s="56">
        <f>RSQ(AV249:BA249,AV248:BA248)</f>
        <v>0.62356885119057182</v>
      </c>
      <c r="AJ249" s="109">
        <f>SLOPE(AV249:BA249,AV248:BA248)</f>
        <v>-1.5057311462001099E-7</v>
      </c>
      <c r="AK249" s="56">
        <f>INTERCEPT(AV249:BA249,AV248:BA248)</f>
        <v>0.66971399167794421</v>
      </c>
      <c r="AL249" s="56">
        <f>INDEX(LINEST(LN(AV249:BA249),LN(AV248:BA248),TRUE,TRUE),3,1)</f>
        <v>0.75234033542866263</v>
      </c>
      <c r="AM249" s="56">
        <f>INDEX(LINEST(LN(AV249:BA249),LN(AV248:BA248)),1)</f>
        <v>-0.12376574433129726</v>
      </c>
      <c r="AN249" s="56">
        <f>EXP(INDEX(LINEST(LN(AV249:BA249),LN(AV248:BA248)),1,2))</f>
        <v>1.6695920350654296</v>
      </c>
      <c r="AO249" s="82">
        <f>INDEX(LINEST((AV249:BA249),LN(AV248:BA248),TRUE,TRUE),3,1)</f>
        <v>0.89344098399317007</v>
      </c>
      <c r="AP249" s="82">
        <f>INDEX(LINEST((AV249:BA249),LN(AV248:BA248)),1)</f>
        <v>-5.9357201094800652E-2</v>
      </c>
      <c r="AQ249" s="83">
        <f>INDEX(LINEST(LN(AV249:BA249),SQRT(AV248:BA248),TRUE,TRUE),3,1)</f>
        <v>0.91651280206509655</v>
      </c>
      <c r="AR249" s="116">
        <f>INDEX(LINEST(LN(AV249:BA249),SQRT((AV248:BA248))),1)</f>
        <v>-7.9878993769156052E-4</v>
      </c>
      <c r="AS249" s="84">
        <f>INDEX(LINEST(1/(AV249:BA249),1/(SQRT(AV248:BA248)),TRUE,TRUE),3,1)</f>
        <v>0.17978820373245047</v>
      </c>
      <c r="AT249" s="84">
        <f>INDEX(LINEST(1/(AV249:BA249),1/SQRT(AV248:BA248)),1)</f>
        <v>-11.357996798864082</v>
      </c>
      <c r="AU249" s="3"/>
      <c r="AV249" s="53">
        <f>(1+0.98)/2</f>
        <v>0.99</v>
      </c>
      <c r="AW249" s="53">
        <f>(0.71+0.5)/2</f>
        <v>0.60499999999999998</v>
      </c>
      <c r="AX249" s="53">
        <f>(0.68+0.55)/2</f>
        <v>0.61499999999999999</v>
      </c>
      <c r="AY249" s="53">
        <f>(0.56+0.55)/2</f>
        <v>0.55500000000000005</v>
      </c>
      <c r="AZ249" s="53">
        <f>(0.52+0.39)/2</f>
        <v>0.45500000000000002</v>
      </c>
      <c r="BA249" s="53">
        <f>(0.22+0.1)/2</f>
        <v>0.16</v>
      </c>
      <c r="BB249" s="53"/>
      <c r="BC249" s="53"/>
      <c r="BD249" s="53"/>
      <c r="BE249" s="53"/>
      <c r="BF249" s="53"/>
      <c r="BG249" s="53"/>
      <c r="BH249" s="53"/>
      <c r="BI249" s="53"/>
      <c r="BJ249" s="53"/>
      <c r="BK249" s="53"/>
      <c r="BL249" s="53"/>
      <c r="BM249" s="53"/>
      <c r="BN249" s="53"/>
      <c r="BO249" s="53"/>
      <c r="BP249" s="53"/>
      <c r="BQ249" s="53"/>
      <c r="BR249" s="53"/>
      <c r="BS249" s="53"/>
      <c r="BT249" s="53"/>
      <c r="BU249" s="53"/>
      <c r="BV249" s="53"/>
      <c r="BW249" s="53"/>
      <c r="BX249" s="53"/>
      <c r="BY249" s="53"/>
      <c r="BZ249" s="53"/>
      <c r="CA249" s="53"/>
      <c r="CB249" s="53"/>
      <c r="CC249" s="53"/>
      <c r="CD249" s="53"/>
      <c r="CE249" s="53"/>
      <c r="CF249" s="53"/>
      <c r="CG249" s="53"/>
      <c r="CH249" s="53"/>
      <c r="CI249" s="53"/>
      <c r="CJ249" s="53"/>
      <c r="CK249" s="53"/>
      <c r="CL249" s="53"/>
      <c r="CM249" s="53"/>
      <c r="CN249" s="53"/>
      <c r="CO249" s="53"/>
      <c r="CP249" s="53"/>
      <c r="CQ249" s="53"/>
      <c r="CR249" s="1"/>
      <c r="CS249" s="1"/>
      <c r="CT249" s="1"/>
      <c r="CU249" s="1"/>
    </row>
    <row r="250" spans="1:99" s="13" customFormat="1" ht="12" customHeight="1" x14ac:dyDescent="0.2">
      <c r="A250" s="68">
        <v>43509</v>
      </c>
      <c r="B250" s="70"/>
      <c r="C250" s="70"/>
      <c r="D250" s="69"/>
      <c r="E250" s="87"/>
      <c r="F250" s="69"/>
      <c r="G250" s="69"/>
      <c r="H250" s="69"/>
      <c r="I250" s="69"/>
      <c r="J250" s="69"/>
      <c r="K250" s="107"/>
      <c r="L250" s="107"/>
      <c r="M250" s="69"/>
      <c r="N250" s="69"/>
      <c r="O250" s="69"/>
      <c r="P250" s="69"/>
      <c r="Q250" s="69"/>
      <c r="R250" s="69"/>
      <c r="S250" s="69"/>
      <c r="T250" s="69"/>
      <c r="U250" s="69"/>
      <c r="V250" s="69"/>
      <c r="W250" s="69"/>
      <c r="X250" s="69"/>
      <c r="Y250" s="87"/>
      <c r="Z250" s="69"/>
      <c r="AA250" s="69"/>
      <c r="AB250" s="69"/>
      <c r="AC250" s="69"/>
      <c r="AD250" s="69"/>
      <c r="AE250" s="69"/>
      <c r="AF250" s="88"/>
      <c r="AG250" s="72"/>
      <c r="AH250" s="4"/>
      <c r="AI250" s="72"/>
      <c r="AJ250" s="110"/>
      <c r="AK250" s="72"/>
      <c r="AL250" s="72"/>
      <c r="AM250" s="72"/>
      <c r="AN250" s="72"/>
      <c r="AO250" s="72"/>
      <c r="AP250" s="72"/>
      <c r="AQ250" s="72"/>
      <c r="AR250" s="110"/>
      <c r="AS250" s="72"/>
      <c r="AT250" s="72"/>
      <c r="AU250" s="4"/>
      <c r="AV250" s="71">
        <f>30*24*60*60*0.5</f>
        <v>1296000</v>
      </c>
      <c r="AW250" s="71">
        <f>30*24*60*60*1</f>
        <v>2592000</v>
      </c>
      <c r="AX250" s="71">
        <f>30*24*60*60*1.5</f>
        <v>3888000</v>
      </c>
      <c r="AY250" s="71">
        <f>30*24*60*60*2</f>
        <v>5184000</v>
      </c>
      <c r="AZ250" s="71">
        <f>30*24*60*60*2.5</f>
        <v>6480000</v>
      </c>
      <c r="BA250" s="53"/>
      <c r="BB250" s="53"/>
      <c r="BC250" s="53"/>
      <c r="BD250" s="53"/>
      <c r="BE250" s="53"/>
      <c r="BF250" s="53"/>
      <c r="BG250" s="53"/>
      <c r="BH250" s="53"/>
      <c r="BI250" s="53"/>
      <c r="BJ250" s="53"/>
      <c r="BK250" s="53"/>
      <c r="BL250" s="53"/>
      <c r="BM250" s="53"/>
      <c r="BN250" s="53"/>
      <c r="BO250" s="53"/>
      <c r="BP250" s="53"/>
      <c r="BQ250" s="53"/>
      <c r="BR250" s="53"/>
      <c r="BS250" s="53"/>
      <c r="BT250" s="53"/>
      <c r="BU250" s="53"/>
      <c r="BV250" s="53"/>
      <c r="BW250" s="53"/>
      <c r="BX250" s="53"/>
      <c r="BY250" s="53"/>
      <c r="BZ250" s="53"/>
      <c r="CA250" s="53"/>
      <c r="CB250" s="53"/>
      <c r="CC250" s="53"/>
      <c r="CD250" s="53"/>
      <c r="CE250" s="53"/>
      <c r="CF250" s="53"/>
      <c r="CG250" s="53"/>
      <c r="CH250" s="53"/>
      <c r="CI250" s="53"/>
      <c r="CJ250" s="53"/>
      <c r="CK250" s="53"/>
      <c r="CL250" s="53"/>
      <c r="CM250" s="53"/>
      <c r="CN250" s="53"/>
      <c r="CO250" s="53"/>
      <c r="CP250" s="53"/>
      <c r="CQ250" s="53"/>
      <c r="CR250" s="1"/>
      <c r="CS250" s="1"/>
      <c r="CT250" s="1"/>
      <c r="CU250" s="1"/>
    </row>
    <row r="251" spans="1:99" s="13" customFormat="1" ht="12" customHeight="1" x14ac:dyDescent="0.2">
      <c r="A251" s="68">
        <v>43509</v>
      </c>
      <c r="B251" s="70" t="s">
        <v>878</v>
      </c>
      <c r="C251" s="70" t="s">
        <v>45</v>
      </c>
      <c r="D251" s="69">
        <v>1988</v>
      </c>
      <c r="E251" s="87">
        <v>2</v>
      </c>
      <c r="F251" s="69">
        <v>80</v>
      </c>
      <c r="G251" s="69">
        <v>16</v>
      </c>
      <c r="H251" s="69" t="s">
        <v>30</v>
      </c>
      <c r="I251" s="69"/>
      <c r="J251" s="69" t="s">
        <v>320</v>
      </c>
      <c r="K251" s="69">
        <f>IF(J251="syllables",1,IF(J251="trigrams",2,IF(J251="strings",3,IF(J251="visual array",4,IF(J251="characters",5,IF(J251="letters",6,IF(J251="free forms",7,IF(J251="odors",8,IF(J251="words",9,IF(J251="pictures",10,IF(J251="object pictures",11,IF(J251="faces",12,IF(J251="names",13,IF(J251="idioms",14,IF(J251="grades",15,IF(J251="syllable-digit pairs",16,IF(J251="trigram-word pairs",17,IF(J251="word-digit pairs",18,IF(J251="English-Swahili pairs",19,IF(J251="spatial position",20,IF(J251="word pairs",21,IF(J251="word triads",22,IF(J251="generated words",23,IF(J251="word definition pairs",24,IF(J251="math problems",25,IF(J251="famous faces",26,IF(J251="famous names",27,IF(J251="famous voices",28,IF(J251="television programs",29,IF(J251="race horses",30,IF(J251="new vocabulary",31,IF(J251="sentences",32,IF(J251="concepts",33,IF(J251="ad slides",34,IF(J251="scenes",35,IF(J251="famous scenes",36,IF(J251="poems",37,IF(J251="walk",38,IF(J251="faces and events",39,IF(J251="events and names",40,IF(J251="flashbulb",41,IF(J251="stories",42,IF(J251="course material",43,IF(J251="autobiographical",44,IF(J251="novels",45,IF(J251="public events",46,"99"))))))))))))))))))))))))))))))))))))))))))))))</f>
        <v>21</v>
      </c>
      <c r="L251" s="69">
        <f>IF(J251="syllables",1,IF(J251="trigrams",1,IF(J251="strings",1,IF(J251="visual array",1,IF(J251="characters",1,IF(J251="letters",1,IF(J251="free forms",1,IF(J251="odors",2,IF(J251="words",2,IF(J251="pictures",2,IF(J251="object pictures",2,IF(J251="faces",2,IF(J251="names",2,IF(J251="idioms","2",IF(J251="grades",2,IF(J251="syllable-digit pairs",3,IF(J251="trigram-word pairs",3,IF(J251="word-digit pairs",3,IF(J251="English-Swahili pairs",3,IF(J251="spatial position",3,IF(J251="word pairs",4,IF(J251="word triads",4,IF(J251="generated words",4,IF(J251="word definition pairs",4,IF(J251="math problems",4,IF(J251="famous faces",4,IF(J251="famous names",4,IF(J251="famous voices",4,IF(J251="television programs",4,IF(J251="race horses",4,IF(J251="new vocabulary",4,IF(J251="sentences",5,IF(J251="concepts",5,IF(J251="ad slides",5,IF(J251="scenes",5,IF(J251="famous scenes",5,IF(J251="poems",6,IF(J251="walk",6,IF(J251="faces and events",6,IF(J251="events and names",6,IF(J251="flashbulb",7,IF(J251="stories",7,IF(J251="course material",7,IF(J251="autobiographical",7,IF(J251="novels",7,IF(J251="public events",7,"99"))))))))))))))))))))))))))))))))))))))))))))))</f>
        <v>4</v>
      </c>
      <c r="M251" s="69">
        <v>1</v>
      </c>
      <c r="N251" s="69">
        <v>1</v>
      </c>
      <c r="O251" s="69">
        <v>1</v>
      </c>
      <c r="P251" s="69" t="s">
        <v>27</v>
      </c>
      <c r="Q251" s="69" t="s">
        <v>34</v>
      </c>
      <c r="R251" s="69">
        <f>IF(Q251="Free Recall",1,IF(Q251="Cued Recall",2,IF(Q251="Recognition",3,IF(Q251="Multiple Choice",4,IF(Q251="Savings",5,IF(Q251="Stem Completion",6,IF(Q251="Fragment Completion",7,IF(Q251="anagram solution",8,IF(Q251="Matching",9,IF(Q251="Problem Solving",10,"99"))))))))))</f>
        <v>3</v>
      </c>
      <c r="S251" s="69" t="s">
        <v>15</v>
      </c>
      <c r="T251" s="69" t="s">
        <v>261</v>
      </c>
      <c r="U251" s="69">
        <f>IF(T251="within",1,0)</f>
        <v>0</v>
      </c>
      <c r="V251" s="69">
        <v>20</v>
      </c>
      <c r="W251" s="69">
        <f>F251*V251</f>
        <v>1600</v>
      </c>
      <c r="X251" s="69">
        <v>5</v>
      </c>
      <c r="Y251" s="87">
        <f>AV250</f>
        <v>1296000</v>
      </c>
      <c r="Z251" s="69" t="s">
        <v>186</v>
      </c>
      <c r="AA251" s="69">
        <f>30*24*60*60*2.5</f>
        <v>6480000</v>
      </c>
      <c r="AB251" s="69" t="str">
        <f>IF(AA251&lt;60,"1",IF(AA251&lt;=43200,"2",IF(AA251&lt;=777600,"3","4")))</f>
        <v>4</v>
      </c>
      <c r="AC251" s="72">
        <f>AVERAGE(AV250:DA250)</f>
        <v>3888000</v>
      </c>
      <c r="AD251" s="69" t="str">
        <f>IF(AC251&lt;60,"1",IF(AC251&lt;=43200,"2",IF(AC251&lt;=777600,"3","4")))</f>
        <v>4</v>
      </c>
      <c r="AE251" s="87">
        <f>AA251-Y251</f>
        <v>5184000</v>
      </c>
      <c r="AF251" s="88">
        <f>AV251</f>
        <v>0.8</v>
      </c>
      <c r="AG251" s="72">
        <f>((AW251-AV251)+(AX251-AW251)+(AY251-AX251)+(AZ251-AY251))/4</f>
        <v>-4.7500000000000014E-2</v>
      </c>
      <c r="AH251" s="4"/>
      <c r="AI251" s="72">
        <f>RSQ(AV251:AZ251,AV250:AZ250)</f>
        <v>0.74611398963730569</v>
      </c>
      <c r="AJ251" s="110">
        <f>SLOPE(AV251:AZ251,AV250:AZ250)</f>
        <v>-3.703703703703705E-8</v>
      </c>
      <c r="AK251" s="72">
        <f>INTERCEPT(AV251:AZ251,AV250:AZ250)</f>
        <v>0.82200000000000006</v>
      </c>
      <c r="AL251" s="72">
        <f>INDEX(LINEST(LN(AV251:AZ251),LN(AV250:AZ250),TRUE,TRUE),3,1)</f>
        <v>0.76651333664583599</v>
      </c>
      <c r="AM251" s="72">
        <f>INDEX(LINEST(LN(AV251:AZ251),LN(AV250:AZ250)),1)</f>
        <v>-0.17739196345789193</v>
      </c>
      <c r="AN251" s="72">
        <f>EXP(INDEX(LINEST(LN(AV251:AZ251),LN(AV250:AZ250)),1,2))</f>
        <v>9.6923894616613904</v>
      </c>
      <c r="AO251" s="89">
        <f>INDEX(LINEST((AV251:AZ251),LN(AV250:AZ250),TRUE,TRUE),3,1)</f>
        <v>0.78404724750039745</v>
      </c>
      <c r="AP251" s="89">
        <f>INDEX(LINEST((AV251:AZ251),LN(AV250:AZ250)),1)</f>
        <v>-0.12242151853005373</v>
      </c>
      <c r="AQ251" s="90">
        <f>INDEX(LINEST(LN(AV251:AZ251),SQRT(AV250:AZ250),TRUE,TRUE),3,1)</f>
        <v>0.76350387970834332</v>
      </c>
      <c r="AR251" s="117">
        <f>INDEX(LINEST(LN(AV251:AZ251),SQRT((AV250:AZ250))),1)</f>
        <v>-2.0308845512981405E-4</v>
      </c>
      <c r="AS251" s="91">
        <f>INDEX(LINEST(1/(AV251:AZ251),1/(SQRT(AV250:AZ250)),TRUE,TRUE),3,1)</f>
        <v>0.72448664135099916</v>
      </c>
      <c r="AT251" s="91">
        <f>INDEX(LINEST(1/(AV251:AZ251),1/SQRT(AV250:AZ250)),1)</f>
        <v>-837.07533259576701</v>
      </c>
      <c r="AU251" s="3"/>
      <c r="AV251" s="73">
        <v>0.8</v>
      </c>
      <c r="AW251" s="73">
        <v>0.68</v>
      </c>
      <c r="AX251" s="73">
        <v>0.72</v>
      </c>
      <c r="AY251" s="73">
        <v>0.57999999999999996</v>
      </c>
      <c r="AZ251" s="73">
        <v>0.61</v>
      </c>
      <c r="BA251" s="53"/>
      <c r="BB251" s="53"/>
      <c r="BC251" s="53"/>
      <c r="BD251" s="53"/>
      <c r="BE251" s="53"/>
      <c r="BF251" s="53"/>
      <c r="BG251" s="53"/>
      <c r="BH251" s="53"/>
      <c r="BI251" s="53"/>
      <c r="BJ251" s="53"/>
      <c r="BK251" s="53"/>
      <c r="BL251" s="53"/>
      <c r="BM251" s="53"/>
      <c r="BN251" s="53"/>
      <c r="BO251" s="53"/>
      <c r="BP251" s="53"/>
      <c r="BQ251" s="53"/>
      <c r="BR251" s="53"/>
      <c r="BS251" s="53"/>
      <c r="BT251" s="53"/>
      <c r="BU251" s="53"/>
      <c r="BV251" s="53"/>
      <c r="BW251" s="53"/>
      <c r="BX251" s="53"/>
      <c r="BY251" s="53"/>
      <c r="BZ251" s="53"/>
      <c r="CA251" s="53"/>
      <c r="CB251" s="53"/>
      <c r="CC251" s="53"/>
      <c r="CD251" s="53"/>
      <c r="CE251" s="53"/>
      <c r="CF251" s="53"/>
      <c r="CG251" s="53"/>
      <c r="CH251" s="53"/>
      <c r="CI251" s="53"/>
      <c r="CJ251" s="53"/>
      <c r="CK251" s="53"/>
      <c r="CL251" s="53"/>
      <c r="CM251" s="53"/>
      <c r="CN251" s="53"/>
      <c r="CO251" s="53"/>
      <c r="CP251" s="53"/>
      <c r="CQ251" s="53"/>
      <c r="CR251" s="1"/>
      <c r="CS251" s="1"/>
      <c r="CT251" s="1"/>
      <c r="CU251" s="1"/>
    </row>
    <row r="252" spans="1:99" s="13" customFormat="1" ht="12" customHeight="1" x14ac:dyDescent="0.2">
      <c r="A252" s="68">
        <v>43978</v>
      </c>
      <c r="B252" s="70"/>
      <c r="C252" s="70"/>
      <c r="D252" s="69"/>
      <c r="E252" s="87"/>
      <c r="F252" s="69"/>
      <c r="G252" s="69"/>
      <c r="H252" s="69"/>
      <c r="I252" s="69"/>
      <c r="J252" s="69"/>
      <c r="K252" s="69"/>
      <c r="L252" s="69"/>
      <c r="M252" s="69"/>
      <c r="N252" s="69"/>
      <c r="O252" s="69"/>
      <c r="P252" s="69"/>
      <c r="Q252" s="69"/>
      <c r="R252" s="69"/>
      <c r="S252" s="69"/>
      <c r="T252" s="69"/>
      <c r="U252" s="69"/>
      <c r="V252" s="69"/>
      <c r="W252" s="69"/>
      <c r="X252" s="69"/>
      <c r="Y252" s="87"/>
      <c r="Z252" s="69"/>
      <c r="AA252" s="69"/>
      <c r="AB252" s="69"/>
      <c r="AC252" s="72"/>
      <c r="AD252" s="69"/>
      <c r="AE252" s="87"/>
      <c r="AF252" s="88"/>
      <c r="AG252" s="72"/>
      <c r="AH252" s="4"/>
      <c r="AI252" s="72"/>
      <c r="AJ252" s="110"/>
      <c r="AK252" s="72"/>
      <c r="AL252" s="72"/>
      <c r="AM252" s="72"/>
      <c r="AN252" s="72"/>
      <c r="AO252" s="89"/>
      <c r="AP252" s="89"/>
      <c r="AQ252" s="90"/>
      <c r="AR252" s="117"/>
      <c r="AS252" s="91"/>
      <c r="AT252" s="91"/>
      <c r="AU252" s="3"/>
      <c r="AV252" s="71">
        <v>30</v>
      </c>
      <c r="AW252" s="71">
        <f>60*30</f>
        <v>1800</v>
      </c>
      <c r="AX252" s="71">
        <f>60*60*24*7*4</f>
        <v>2419200</v>
      </c>
      <c r="AY252" s="53"/>
      <c r="AZ252" s="53"/>
      <c r="BA252" s="53"/>
      <c r="BB252" s="53"/>
      <c r="BC252" s="53"/>
      <c r="BD252" s="53"/>
      <c r="BE252" s="53"/>
      <c r="BF252" s="53"/>
      <c r="BG252" s="53"/>
      <c r="BH252" s="53"/>
      <c r="BI252" s="53"/>
      <c r="BJ252" s="53"/>
      <c r="BK252" s="53"/>
      <c r="BL252" s="53"/>
      <c r="BM252" s="53"/>
      <c r="BN252" s="53"/>
      <c r="BO252" s="53"/>
      <c r="BP252" s="53"/>
      <c r="BQ252" s="53"/>
      <c r="BR252" s="53"/>
      <c r="BS252" s="53"/>
      <c r="BT252" s="53"/>
      <c r="BU252" s="53"/>
      <c r="BV252" s="53"/>
      <c r="BW252" s="53"/>
      <c r="BX252" s="53"/>
      <c r="BY252" s="53"/>
      <c r="BZ252" s="53"/>
      <c r="CA252" s="53"/>
      <c r="CB252" s="53"/>
      <c r="CC252" s="53"/>
      <c r="CD252" s="53"/>
      <c r="CE252" s="53"/>
      <c r="CF252" s="53"/>
      <c r="CG252" s="53"/>
      <c r="CH252" s="53"/>
      <c r="CI252" s="53"/>
      <c r="CJ252" s="53"/>
      <c r="CK252" s="53"/>
      <c r="CL252" s="53"/>
      <c r="CM252" s="53"/>
      <c r="CN252" s="53"/>
      <c r="CO252" s="53"/>
      <c r="CP252" s="53"/>
      <c r="CQ252" s="53"/>
      <c r="CR252" s="1"/>
      <c r="CS252" s="1"/>
      <c r="CT252" s="1"/>
      <c r="CU252" s="1"/>
    </row>
    <row r="253" spans="1:99" s="13" customFormat="1" ht="12" customHeight="1" x14ac:dyDescent="0.2">
      <c r="A253" s="68">
        <v>43978</v>
      </c>
      <c r="B253" s="70" t="s">
        <v>975</v>
      </c>
      <c r="C253" s="70" t="s">
        <v>976</v>
      </c>
      <c r="D253" s="69">
        <v>2006</v>
      </c>
      <c r="E253" s="87">
        <v>1</v>
      </c>
      <c r="F253" s="69">
        <v>59</v>
      </c>
      <c r="G253" s="69">
        <v>59</v>
      </c>
      <c r="H253" s="69" t="s">
        <v>38</v>
      </c>
      <c r="I253" s="69" t="s">
        <v>330</v>
      </c>
      <c r="J253" s="69" t="s">
        <v>16</v>
      </c>
      <c r="K253" s="69">
        <f>IF(J253="syllables",1,IF(J253="trigrams",2,IF(J253="strings",3,IF(J253="visual array",4,IF(J253="characters",5,IF(J253="letters",6,IF(J253="free forms",7,IF(J253="odors",8,IF(J253="words",9,IF(J253="pictures",10,IF(J253="object pictures",11,IF(J253="faces",12,IF(J253="names",13,IF(J253="idioms",14,IF(J253="grades",15,IF(J253="syllable-digit pairs",16,IF(J253="trigram-word pairs",17,IF(J253="word-digit pairs",18,IF(J253="English-Swahili pairs",19,IF(J253="spatial position",20,IF(J253="word pairs",21,IF(J253="word triads",22,IF(J253="generated words",23,IF(J253="word definition pairs",24,IF(J253="math problems",25,IF(J253="famous faces",26,IF(J253="famous names",27,IF(J253="famous voices",28,IF(J253="television programs",29,IF(J253="race horses",30,IF(J253="new vocabulary",31,IF(J253="sentences",32,IF(J253="concepts",33,IF(J253="ad slides",34,IF(J253="scenes",35,IF(J253="famous scenes",36,IF(J253="poems",37,IF(J253="walk",38,IF(J253="faces and events",39,IF(J253="events and names",40,IF(J253="flashbulb",41,IF(J253="stories",42,IF(J253="course material",43,IF(J253="autobiographical",44,IF(J253="novels",45,IF(J253="public events",46,"99"))))))))))))))))))))))))))))))))))))))))))))))</f>
        <v>9</v>
      </c>
      <c r="L253" s="69">
        <f>IF(J253="syllables",1,IF(J253="trigrams",1,IF(J253="strings",1,IF(J253="visual array",1,IF(J253="characters",1,IF(J253="letters",1,IF(J253="free forms",1,IF(J253="odors",2,IF(J253="words",2,IF(J253="pictures",2,IF(J253="object pictures",2,IF(J253="faces",2,IF(J253="names",2,IF(J253="idioms","2",IF(J253="grades",2,IF(J253="syllable-digit pairs",3,IF(J253="trigram-word pairs",3,IF(J253="word-digit pairs",3,IF(J253="English-Swahili pairs",3,IF(J253="spatial position",3,IF(J253="word pairs",4,IF(J253="word triads",4,IF(J253="generated words",4,IF(J253="word definition pairs",4,IF(J253="math problems",4,IF(J253="famous faces",4,IF(J253="famous names",4,IF(J253="famous voices",4,IF(J253="television programs",4,IF(J253="race horses",4,IF(J253="new vocabulary",4,IF(J253="sentences",5,IF(J253="concepts",5,IF(J253="ad slides",5,IF(J253="scenes",5,IF(J253="famous scenes",5,IF(J253="poems",6,IF(J253="walk",6,IF(J253="faces and events",6,IF(J253="events and names",6,IF(J253="flashbulb",7,IF(J253="stories",7,IF(J253="course material",7,IF(J253="autobiographical",7,IF(J253="novels",7,IF(J253="public events",7,"99"))))))))))))))))))))))))))))))))))))))))))))))</f>
        <v>2</v>
      </c>
      <c r="M253" s="69">
        <v>1</v>
      </c>
      <c r="N253" s="69">
        <v>2</v>
      </c>
      <c r="O253" s="69">
        <v>0</v>
      </c>
      <c r="P253" s="69"/>
      <c r="Q253" s="69" t="s">
        <v>174</v>
      </c>
      <c r="R253" s="69">
        <f>IF(Q253="Free Recall",1,IF(Q253="Cued Recall",2,IF(Q253="Recognition",3,IF(Q253="Multiple Choice",4,IF(Q253="Savings",5,IF(Q253="Stem Completion",6,IF(Q253="Fragment Completion",7,IF(Q253="anagram solution",8,IF(Q253="Matching",9,IF(Q253="Problem Solving",10,"99"))))))))))</f>
        <v>1</v>
      </c>
      <c r="S253" s="69" t="s">
        <v>49</v>
      </c>
      <c r="T253" s="69" t="s">
        <v>581</v>
      </c>
      <c r="U253" s="69">
        <f>IF(T253="within",1,0)</f>
        <v>1</v>
      </c>
      <c r="V253" s="69">
        <v>45</v>
      </c>
      <c r="W253" s="69">
        <f>F253*V253</f>
        <v>2655</v>
      </c>
      <c r="X253" s="69">
        <v>3</v>
      </c>
      <c r="Y253" s="87">
        <f>AV252</f>
        <v>30</v>
      </c>
      <c r="Z253" s="92" t="s">
        <v>140</v>
      </c>
      <c r="AA253" s="69">
        <f>60*60*24*7*4</f>
        <v>2419200</v>
      </c>
      <c r="AB253" s="69" t="str">
        <f>IF(AA253&lt;60,"1",IF(AA253&lt;=43200,"2",IF(AA253&lt;=777600,"3","4")))</f>
        <v>4</v>
      </c>
      <c r="AC253" s="72">
        <f>AVERAGE(AV252:DA252)</f>
        <v>807010</v>
      </c>
      <c r="AD253" s="69" t="str">
        <f>IF(AC253&lt;60,"1",IF(AC253&lt;=43200,"2",IF(AC253&lt;=777600,"3","4")))</f>
        <v>4</v>
      </c>
      <c r="AE253" s="87">
        <f>AA253-Y253</f>
        <v>2419170</v>
      </c>
      <c r="AF253" s="88">
        <f>AV253</f>
        <v>0.94666666666666666</v>
      </c>
      <c r="AG253" s="72">
        <f>((AW253-AV253)+(AX253-AW253))/2</f>
        <v>-0.20666666666666667</v>
      </c>
      <c r="AH253" s="4"/>
      <c r="AI253" s="72">
        <f>RSQ(AV253:AX253,AV252:AX252)</f>
        <v>0.98608091627917394</v>
      </c>
      <c r="AJ253" s="110">
        <f>SLOPE(AV253:AX253,AV252:AX252)</f>
        <v>-1.5990496911847955E-7</v>
      </c>
      <c r="AK253" s="72">
        <f>INTERCEPT(AV253:AX253,AV252:AX252)</f>
        <v>0.92015602023941523</v>
      </c>
      <c r="AL253" s="72">
        <f>INDEX(LINEST(LN(AV253:AX253),LN(AV252:AX252),TRUE,TRUE),3,1)</f>
        <v>0.92672352581825501</v>
      </c>
      <c r="AM253" s="72">
        <f>INDEX(LINEST(LN(AV253:AX253),LN(AV252:AX252)),1)</f>
        <v>-5.3164123577759008E-2</v>
      </c>
      <c r="AN253" s="72">
        <f>EXP(INDEX(LINEST(LN(AV253:AX253),LN(AV252:AX252)),1,2))</f>
        <v>1.2070587578600684</v>
      </c>
      <c r="AO253" s="89">
        <f>INDEX(LINEST((AV253:AX253),LN(AV252:AX252),TRUE,TRUE),3,1)</f>
        <v>0.94015304706243197</v>
      </c>
      <c r="AP253" s="89">
        <f>INDEX(LINEST((AV253:AX253),LN(AV252:AX252)),1)</f>
        <v>-3.8113284599088186E-2</v>
      </c>
      <c r="AQ253" s="90">
        <f>INDEX(LINEST(LN(AV253:AX253),SQRT(AV252:AX252),TRUE,TRUE),3,1)</f>
        <v>0.99496391994943245</v>
      </c>
      <c r="AR253" s="117">
        <f>INDEX(LINEST(LN(AV253:AX253),SQRT((AV252:AX252))),1)</f>
        <v>-3.5628094631879584E-4</v>
      </c>
      <c r="AS253" s="91">
        <f>INDEX(LINEST(1/(AV253:AX253),1/(SQRT(AV252:AX252)),TRUE,TRUE),3,1)</f>
        <v>0.42372949783099845</v>
      </c>
      <c r="AT253" s="91">
        <f>INDEX(LINEST(1/(AV253:AX253),1/SQRT(AV252:AX252)),1)</f>
        <v>-2.9927150945732723</v>
      </c>
      <c r="AU253" s="3"/>
      <c r="AV253" s="73">
        <f>14.2/15</f>
        <v>0.94666666666666666</v>
      </c>
      <c r="AW253" s="73">
        <f>13.4/15</f>
        <v>0.89333333333333331</v>
      </c>
      <c r="AX253" s="73">
        <f>8/15</f>
        <v>0.53333333333333333</v>
      </c>
      <c r="AY253" s="53"/>
      <c r="AZ253" s="53"/>
      <c r="BA253" s="53"/>
      <c r="BB253" s="53"/>
      <c r="BC253" s="53"/>
      <c r="BD253" s="53"/>
      <c r="BE253" s="53"/>
      <c r="BF253" s="53"/>
      <c r="BG253" s="53"/>
      <c r="BH253" s="53"/>
      <c r="BI253" s="53"/>
      <c r="BJ253" s="53"/>
      <c r="BK253" s="53"/>
      <c r="BL253" s="53"/>
      <c r="BM253" s="53"/>
      <c r="BN253" s="53"/>
      <c r="BO253" s="53"/>
      <c r="BP253" s="53"/>
      <c r="BQ253" s="53"/>
      <c r="BR253" s="53"/>
      <c r="BS253" s="53"/>
      <c r="BT253" s="53"/>
      <c r="BU253" s="53"/>
      <c r="BV253" s="53"/>
      <c r="BW253" s="53"/>
      <c r="BX253" s="53"/>
      <c r="BY253" s="53"/>
      <c r="BZ253" s="53"/>
      <c r="CA253" s="53"/>
      <c r="CB253" s="53"/>
      <c r="CC253" s="53"/>
      <c r="CD253" s="53"/>
      <c r="CE253" s="53"/>
      <c r="CF253" s="53"/>
      <c r="CG253" s="53"/>
      <c r="CH253" s="53"/>
      <c r="CI253" s="53"/>
      <c r="CJ253" s="53"/>
      <c r="CK253" s="53"/>
      <c r="CL253" s="53"/>
      <c r="CM253" s="53"/>
      <c r="CN253" s="53"/>
      <c r="CO253" s="53"/>
      <c r="CP253" s="53"/>
      <c r="CQ253" s="53"/>
      <c r="CR253" s="1"/>
      <c r="CS253" s="1"/>
      <c r="CT253" s="1"/>
      <c r="CU253" s="1"/>
    </row>
    <row r="254" spans="1:99" s="13" customFormat="1" ht="12" customHeight="1" x14ac:dyDescent="0.2">
      <c r="A254" s="68">
        <v>43978</v>
      </c>
      <c r="B254" s="70"/>
      <c r="C254" s="70"/>
      <c r="D254" s="69"/>
      <c r="E254" s="87"/>
      <c r="F254" s="69"/>
      <c r="G254" s="69"/>
      <c r="H254" s="69"/>
      <c r="I254" s="69"/>
      <c r="J254" s="69"/>
      <c r="K254" s="69"/>
      <c r="L254" s="69"/>
      <c r="M254" s="69"/>
      <c r="N254" s="69"/>
      <c r="O254" s="69"/>
      <c r="P254" s="69"/>
      <c r="Q254" s="69"/>
      <c r="R254" s="69"/>
      <c r="S254" s="69"/>
      <c r="T254" s="69"/>
      <c r="U254" s="69"/>
      <c r="V254" s="69"/>
      <c r="W254" s="69"/>
      <c r="X254" s="69"/>
      <c r="Y254" s="87"/>
      <c r="Z254" s="69"/>
      <c r="AA254" s="69"/>
      <c r="AB254" s="69"/>
      <c r="AC254" s="72"/>
      <c r="AD254" s="69"/>
      <c r="AE254" s="87"/>
      <c r="AF254" s="88"/>
      <c r="AG254" s="72"/>
      <c r="AH254" s="4"/>
      <c r="AI254" s="72"/>
      <c r="AJ254" s="110"/>
      <c r="AK254" s="72"/>
      <c r="AL254" s="72"/>
      <c r="AM254" s="72"/>
      <c r="AN254" s="72"/>
      <c r="AO254" s="89"/>
      <c r="AP254" s="89"/>
      <c r="AQ254" s="90"/>
      <c r="AR254" s="117"/>
      <c r="AS254" s="91"/>
      <c r="AT254" s="91"/>
      <c r="AU254" s="3"/>
      <c r="AV254" s="71">
        <v>30</v>
      </c>
      <c r="AW254" s="71">
        <f>60*30</f>
        <v>1800</v>
      </c>
      <c r="AX254" s="71">
        <f>60*60*24*7*4</f>
        <v>2419200</v>
      </c>
      <c r="AY254" s="53"/>
      <c r="AZ254" s="53"/>
      <c r="BA254" s="53"/>
      <c r="BB254" s="53"/>
      <c r="BC254" s="53"/>
      <c r="BD254" s="53"/>
      <c r="BE254" s="53"/>
      <c r="BF254" s="53"/>
      <c r="BG254" s="53"/>
      <c r="BH254" s="53"/>
      <c r="BI254" s="53"/>
      <c r="BJ254" s="53"/>
      <c r="BK254" s="53"/>
      <c r="BL254" s="53"/>
      <c r="BM254" s="53"/>
      <c r="BN254" s="53"/>
      <c r="BO254" s="53"/>
      <c r="BP254" s="53"/>
      <c r="BQ254" s="53"/>
      <c r="BR254" s="53"/>
      <c r="BS254" s="53"/>
      <c r="BT254" s="53"/>
      <c r="BU254" s="53"/>
      <c r="BV254" s="53"/>
      <c r="BW254" s="53"/>
      <c r="BX254" s="53"/>
      <c r="BY254" s="53"/>
      <c r="BZ254" s="53"/>
      <c r="CA254" s="53"/>
      <c r="CB254" s="53"/>
      <c r="CC254" s="53"/>
      <c r="CD254" s="53"/>
      <c r="CE254" s="53"/>
      <c r="CF254" s="53"/>
      <c r="CG254" s="53"/>
      <c r="CH254" s="53"/>
      <c r="CI254" s="53"/>
      <c r="CJ254" s="53"/>
      <c r="CK254" s="53"/>
      <c r="CL254" s="53"/>
      <c r="CM254" s="53"/>
      <c r="CN254" s="53"/>
      <c r="CO254" s="53"/>
      <c r="CP254" s="53"/>
      <c r="CQ254" s="53"/>
      <c r="CR254" s="1"/>
      <c r="CS254" s="1"/>
      <c r="CT254" s="1"/>
      <c r="CU254" s="1"/>
    </row>
    <row r="255" spans="1:99" s="13" customFormat="1" ht="12" customHeight="1" x14ac:dyDescent="0.2">
      <c r="A255" s="68">
        <v>43978</v>
      </c>
      <c r="B255" s="70" t="s">
        <v>975</v>
      </c>
      <c r="C255" s="70" t="s">
        <v>976</v>
      </c>
      <c r="D255" s="69">
        <v>2006</v>
      </c>
      <c r="E255" s="87">
        <v>1</v>
      </c>
      <c r="F255" s="69">
        <v>59</v>
      </c>
      <c r="G255" s="69">
        <v>59</v>
      </c>
      <c r="H255" s="69" t="s">
        <v>38</v>
      </c>
      <c r="I255" s="69" t="s">
        <v>330</v>
      </c>
      <c r="J255" s="69" t="s">
        <v>677</v>
      </c>
      <c r="K255" s="69">
        <f>IF(J255="syllables",1,IF(J255="trigrams",2,IF(J255="strings",3,IF(J255="visual array",4,IF(J255="characters",5,IF(J255="letters",6,IF(J255="free forms",7,IF(J255="odors",8,IF(J255="words",9,IF(J255="pictures",10,IF(J255="object pictures",11,IF(J255="faces",12,IF(J255="names",13,IF(J255="idioms",14,IF(J255="grades",15,IF(J255="syllable-digit pairs",16,IF(J255="trigram-word pairs",17,IF(J255="word-digit pairs",18,IF(J255="English-Swahili pairs",19,IF(J255="spatial position",20,IF(J255="word pairs",21,IF(J255="word triads",22,IF(J255="generated words",23,IF(J255="word definition pairs",24,IF(J255="math problems",25,IF(J255="famous faces",26,IF(J255="famous names",27,IF(J255="famous voices",28,IF(J255="television programs",29,IF(J255="race horses",30,IF(J255="new vocabulary",31,IF(J255="sentences",32,IF(J255="concepts",33,IF(J255="ad slides",34,IF(J255="scenes",35,IF(J255="famous scenes",36,IF(J255="poems",37,IF(J255="walk",38,IF(J255="faces and events",39,IF(J255="events and names",40,IF(J255="flashbulb",41,IF(J255="stories",42,IF(J255="course material",43,IF(J255="autobiographical",44,IF(J255="novels",45,IF(J255="public events",46,"99"))))))))))))))))))))))))))))))))))))))))))))))</f>
        <v>42</v>
      </c>
      <c r="L255" s="69">
        <f>IF(J255="syllables",1,IF(J255="trigrams",1,IF(J255="strings",1,IF(J255="visual array",1,IF(J255="characters",1,IF(J255="letters",1,IF(J255="free forms",1,IF(J255="odors",2,IF(J255="words",2,IF(J255="pictures",2,IF(J255="object pictures",2,IF(J255="faces",2,IF(J255="names",2,IF(J255="idioms","2",IF(J255="grades",2,IF(J255="syllable-digit pairs",3,IF(J255="trigram-word pairs",3,IF(J255="word-digit pairs",3,IF(J255="English-Swahili pairs",3,IF(J255="spatial position",3,IF(J255="word pairs",4,IF(J255="word triads",4,IF(J255="generated words",4,IF(J255="word definition pairs",4,IF(J255="math problems",4,IF(J255="famous faces",4,IF(J255="famous names",4,IF(J255="famous voices",4,IF(J255="television programs",4,IF(J255="race horses",4,IF(J255="new vocabulary",4,IF(J255="sentences",5,IF(J255="concepts",5,IF(J255="ad slides",5,IF(J255="scenes",5,IF(J255="famous scenes",5,IF(J255="poems",6,IF(J255="walk",6,IF(J255="faces and events",6,IF(J255="events and names",6,IF(J255="flashbulb",7,IF(J255="stories",7,IF(J255="course material",7,IF(J255="autobiographical",7,IF(J255="novels",7,IF(J255="public events",7,"99"))))))))))))))))))))))))))))))))))))))))))))))</f>
        <v>7</v>
      </c>
      <c r="M255" s="69">
        <v>1</v>
      </c>
      <c r="N255" s="69">
        <v>4</v>
      </c>
      <c r="O255" s="69">
        <v>0</v>
      </c>
      <c r="P255" s="69"/>
      <c r="Q255" s="69" t="s">
        <v>174</v>
      </c>
      <c r="R255" s="69">
        <f>IF(Q255="Free Recall",1,IF(Q255="Cued Recall",2,IF(Q255="Recognition",3,IF(Q255="Multiple Choice",4,IF(Q255="Savings",5,IF(Q255="Stem Completion",6,IF(Q255="Fragment Completion",7,IF(Q255="anagram solution",8,IF(Q255="Matching",9,IF(Q255="Problem Solving",10,"99"))))))))))</f>
        <v>1</v>
      </c>
      <c r="S255" s="69" t="s">
        <v>49</v>
      </c>
      <c r="T255" s="69" t="s">
        <v>581</v>
      </c>
      <c r="U255" s="69">
        <f>IF(T255="within",1,0)</f>
        <v>1</v>
      </c>
      <c r="V255" s="69">
        <f>48*3</f>
        <v>144</v>
      </c>
      <c r="W255" s="69">
        <f>F255*V255</f>
        <v>8496</v>
      </c>
      <c r="X255" s="69">
        <v>3</v>
      </c>
      <c r="Y255" s="87">
        <f>AV254</f>
        <v>30</v>
      </c>
      <c r="Z255" s="92" t="s">
        <v>140</v>
      </c>
      <c r="AA255" s="69">
        <f>60*60*24*7*4</f>
        <v>2419200</v>
      </c>
      <c r="AB255" s="69" t="str">
        <f>IF(AA255&lt;60,"1",IF(AA255&lt;=43200,"2",IF(AA255&lt;=777600,"3","4")))</f>
        <v>4</v>
      </c>
      <c r="AC255" s="72">
        <f>AVERAGE(AV254:DA254)</f>
        <v>807010</v>
      </c>
      <c r="AD255" s="69" t="str">
        <f>IF(AC255&lt;60,"1",IF(AC255&lt;=43200,"2",IF(AC255&lt;=777600,"3","4")))</f>
        <v>4</v>
      </c>
      <c r="AE255" s="87">
        <f>AA255-Y255</f>
        <v>2419170</v>
      </c>
      <c r="AF255" s="88">
        <f>AV255</f>
        <v>0.6958333333333333</v>
      </c>
      <c r="AG255" s="72">
        <f>((AW255-AV255)+(AX255-AW255))/2</f>
        <v>-0.109375</v>
      </c>
      <c r="AH255" s="4"/>
      <c r="AI255" s="72">
        <f>RSQ(AV255:AX255,AV254:AX254)</f>
        <v>0.85038105707002531</v>
      </c>
      <c r="AJ255" s="110">
        <f>SLOPE(AV255:AX255,AV254:AX254)</f>
        <v>-7.2815439361511529E-8</v>
      </c>
      <c r="AK255" s="72">
        <f>INTERCEPT(AV255:AX255,AV254:AX254)</f>
        <v>0.6532072321635779</v>
      </c>
      <c r="AL255" s="72">
        <f>INDEX(LINEST(LN(AV255:AX255),LN(AV254:AX254),TRUE,TRUE),3,1)</f>
        <v>0.99970118030169108</v>
      </c>
      <c r="AM255" s="72">
        <f>INDEX(LINEST(LN(AV255:AX255),LN(AV254:AX254)),1)</f>
        <v>-3.3498580021113722E-2</v>
      </c>
      <c r="AN255" s="72">
        <f>EXP(INDEX(LINEST(LN(AV255:AX255),LN(AV254:AX254)),1,2))</f>
        <v>0.78168676000509674</v>
      </c>
      <c r="AO255" s="89">
        <f>INDEX(LINEST((AV255:AX255),LN(AV254:AX254),TRUE,TRUE),3,1)</f>
        <v>0.99899124081089652</v>
      </c>
      <c r="AP255" s="89">
        <f>INDEX(LINEST((AV255:AX255),LN(AV254:AX254)),1)</f>
        <v>-1.9264996827098726E-2</v>
      </c>
      <c r="AQ255" s="90">
        <f>INDEX(LINEST(LN(AV255:AX255),SQRT(AV254:AX254),TRUE,TRUE),3,1)</f>
        <v>0.89630821059967047</v>
      </c>
      <c r="AR255" s="117">
        <f>INDEX(LINEST(LN(AV255:AX255),SQRT((AV254:AX254))),1)</f>
        <v>-2.0514708448630782E-4</v>
      </c>
      <c r="AS255" s="91">
        <f>INDEX(LINEST(1/(AV255:AX255),1/(SQRT(AV254:AX254)),TRUE,TRUE),3,1)</f>
        <v>0.65394189072153819</v>
      </c>
      <c r="AT255" s="91">
        <f>INDEX(LINEST(1/(AV255:AX255),1/SQRT(AV254:AX254)),1)</f>
        <v>-2.7561335410504557</v>
      </c>
      <c r="AU255" s="3"/>
      <c r="AV255" s="73">
        <f>33.4/48</f>
        <v>0.6958333333333333</v>
      </c>
      <c r="AW255" s="73">
        <f>29.3/48</f>
        <v>0.61041666666666672</v>
      </c>
      <c r="AX255" s="73">
        <f>22.9/48</f>
        <v>0.4770833333333333</v>
      </c>
      <c r="AY255" s="53"/>
      <c r="AZ255" s="53"/>
      <c r="BA255" s="53"/>
      <c r="BB255" s="53"/>
      <c r="BC255" s="53"/>
      <c r="BD255" s="53"/>
      <c r="BE255" s="53"/>
      <c r="BF255" s="53"/>
      <c r="BG255" s="53"/>
      <c r="BH255" s="53"/>
      <c r="BI255" s="53"/>
      <c r="BJ255" s="53"/>
      <c r="BK255" s="53"/>
      <c r="BL255" s="53"/>
      <c r="BM255" s="53"/>
      <c r="BN255" s="53"/>
      <c r="BO255" s="53"/>
      <c r="BP255" s="53"/>
      <c r="BQ255" s="53"/>
      <c r="BR255" s="53"/>
      <c r="BS255" s="53"/>
      <c r="BT255" s="53"/>
      <c r="BU255" s="53"/>
      <c r="BV255" s="53"/>
      <c r="BW255" s="53"/>
      <c r="BX255" s="53"/>
      <c r="BY255" s="53"/>
      <c r="BZ255" s="53"/>
      <c r="CA255" s="53"/>
      <c r="CB255" s="53"/>
      <c r="CC255" s="53"/>
      <c r="CD255" s="53"/>
      <c r="CE255" s="53"/>
      <c r="CF255" s="53"/>
      <c r="CG255" s="53"/>
      <c r="CH255" s="53"/>
      <c r="CI255" s="53"/>
      <c r="CJ255" s="53"/>
      <c r="CK255" s="53"/>
      <c r="CL255" s="53"/>
      <c r="CM255" s="53"/>
      <c r="CN255" s="53"/>
      <c r="CO255" s="53"/>
      <c r="CP255" s="53"/>
      <c r="CQ255" s="53"/>
      <c r="CR255" s="1"/>
      <c r="CS255" s="1"/>
      <c r="CT255" s="1"/>
      <c r="CU255" s="1"/>
    </row>
    <row r="256" spans="1:99" s="13" customFormat="1" ht="12" customHeight="1" x14ac:dyDescent="0.2">
      <c r="A256" s="68">
        <v>43978</v>
      </c>
      <c r="B256" s="70"/>
      <c r="C256" s="70"/>
      <c r="D256" s="69"/>
      <c r="E256" s="87"/>
      <c r="F256" s="69"/>
      <c r="G256" s="69"/>
      <c r="H256" s="69"/>
      <c r="I256" s="69"/>
      <c r="J256" s="69"/>
      <c r="K256" s="69"/>
      <c r="L256" s="69"/>
      <c r="M256" s="69"/>
      <c r="N256" s="69"/>
      <c r="O256" s="69"/>
      <c r="P256" s="69"/>
      <c r="Q256" s="69"/>
      <c r="R256" s="69"/>
      <c r="S256" s="69"/>
      <c r="T256" s="69"/>
      <c r="U256" s="69"/>
      <c r="V256" s="69"/>
      <c r="W256" s="69"/>
      <c r="X256" s="69"/>
      <c r="Y256" s="87"/>
      <c r="Z256" s="69"/>
      <c r="AA256" s="69"/>
      <c r="AB256" s="69"/>
      <c r="AC256" s="72"/>
      <c r="AD256" s="69"/>
      <c r="AE256" s="87"/>
      <c r="AF256" s="88"/>
      <c r="AG256" s="72"/>
      <c r="AH256" s="4"/>
      <c r="AI256" s="72"/>
      <c r="AJ256" s="110"/>
      <c r="AK256" s="72"/>
      <c r="AL256" s="72"/>
      <c r="AM256" s="72"/>
      <c r="AN256" s="72"/>
      <c r="AO256" s="89"/>
      <c r="AP256" s="89"/>
      <c r="AQ256" s="90"/>
      <c r="AR256" s="117"/>
      <c r="AS256" s="91"/>
      <c r="AT256" s="91"/>
      <c r="AU256" s="3"/>
      <c r="AV256" s="71">
        <v>30</v>
      </c>
      <c r="AW256" s="71">
        <f>60*30</f>
        <v>1800</v>
      </c>
      <c r="AX256" s="71">
        <f>60*60*24*7*4</f>
        <v>2419200</v>
      </c>
      <c r="AY256" s="53"/>
      <c r="AZ256" s="53"/>
      <c r="BA256" s="53"/>
      <c r="BB256" s="53"/>
      <c r="BC256" s="53"/>
      <c r="BD256" s="53"/>
      <c r="BE256" s="53"/>
      <c r="BF256" s="53"/>
      <c r="BG256" s="53"/>
      <c r="BH256" s="53"/>
      <c r="BI256" s="53"/>
      <c r="BJ256" s="53"/>
      <c r="BK256" s="53"/>
      <c r="BL256" s="53"/>
      <c r="BM256" s="53"/>
      <c r="BN256" s="53"/>
      <c r="BO256" s="53"/>
      <c r="BP256" s="53"/>
      <c r="BQ256" s="53"/>
      <c r="BR256" s="53"/>
      <c r="BS256" s="53"/>
      <c r="BT256" s="53"/>
      <c r="BU256" s="53"/>
      <c r="BV256" s="53"/>
      <c r="BW256" s="53"/>
      <c r="BX256" s="53"/>
      <c r="BY256" s="53"/>
      <c r="BZ256" s="53"/>
      <c r="CA256" s="53"/>
      <c r="CB256" s="53"/>
      <c r="CC256" s="53"/>
      <c r="CD256" s="53"/>
      <c r="CE256" s="53"/>
      <c r="CF256" s="53"/>
      <c r="CG256" s="53"/>
      <c r="CH256" s="53"/>
      <c r="CI256" s="53"/>
      <c r="CJ256" s="53"/>
      <c r="CK256" s="53"/>
      <c r="CL256" s="53"/>
      <c r="CM256" s="53"/>
      <c r="CN256" s="53"/>
      <c r="CO256" s="53"/>
      <c r="CP256" s="53"/>
      <c r="CQ256" s="53"/>
      <c r="CR256" s="1"/>
      <c r="CS256" s="1"/>
      <c r="CT256" s="1"/>
      <c r="CU256" s="1"/>
    </row>
    <row r="257" spans="1:99" s="13" customFormat="1" ht="12" customHeight="1" x14ac:dyDescent="0.2">
      <c r="A257" s="68">
        <v>43978</v>
      </c>
      <c r="B257" s="70" t="s">
        <v>975</v>
      </c>
      <c r="C257" s="70" t="s">
        <v>976</v>
      </c>
      <c r="D257" s="69">
        <v>2006</v>
      </c>
      <c r="E257" s="87">
        <v>1</v>
      </c>
      <c r="F257" s="69">
        <v>59</v>
      </c>
      <c r="G257" s="69">
        <v>59</v>
      </c>
      <c r="H257" s="69" t="s">
        <v>38</v>
      </c>
      <c r="I257" s="69" t="s">
        <v>330</v>
      </c>
      <c r="J257" s="69" t="s">
        <v>317</v>
      </c>
      <c r="K257" s="69">
        <f>IF(J257="syllables",1,IF(J257="trigrams",2,IF(J257="strings",3,IF(J257="visual array",4,IF(J257="characters",5,IF(J257="letters",6,IF(J257="free forms",7,IF(J257="odors",8,IF(J257="words",9,IF(J257="pictures",10,IF(J257="object pictures",11,IF(J257="faces",12,IF(J257="names",13,IF(J257="idioms",14,IF(J257="grades",15,IF(J257="syllable-digit pairs",16,IF(J257="trigram-word pairs",17,IF(J257="word-digit pairs",18,IF(J257="English-Swahili pairs",19,IF(J257="spatial position",20,IF(J257="word pairs",21,IF(J257="word triads",22,IF(J257="generated words",23,IF(J257="word definition pairs",24,IF(J257="math problems",25,IF(J257="famous faces",26,IF(J257="famous names",27,IF(J257="famous voices",28,IF(J257="television programs",29,IF(J257="race horses",30,IF(J257="new vocabulary",31,IF(J257="sentences",32,IF(J257="concepts",33,IF(J257="ad slides",34,IF(J257="scenes",35,IF(J257="famous scenes",36,IF(J257="poems",37,IF(J257="walk",38,IF(J257="faces and events",39,IF(J257="events and names",40,IF(J257="flashbulb",41,IF(J257="stories",42,IF(J257="course material",43,IF(J257="autobiographical",44,IF(J257="novels",45,IF(J257="public events",46,"99"))))))))))))))))))))))))))))))))))))))))))))))</f>
        <v>7</v>
      </c>
      <c r="L257" s="69">
        <f>IF(J257="syllables",1,IF(J257="trigrams",1,IF(J257="strings",1,IF(J257="visual array",1,IF(J257="characters",1,IF(J257="letters",1,IF(J257="free forms",1,IF(J257="odors",2,IF(J257="words",2,IF(J257="pictures",2,IF(J257="object pictures",2,IF(J257="faces",2,IF(J257="names",2,IF(J257="idioms","2",IF(J257="grades",2,IF(J257="syllable-digit pairs",3,IF(J257="trigram-word pairs",3,IF(J257="word-digit pairs",3,IF(J257="English-Swahili pairs",3,IF(J257="spatial position",3,IF(J257="word pairs",4,IF(J257="word triads",4,IF(J257="generated words",4,IF(J257="word definition pairs",4,IF(J257="math problems",4,IF(J257="famous faces",4,IF(J257="famous names",4,IF(J257="famous voices",4,IF(J257="television programs",4,IF(J257="race horses",4,IF(J257="new vocabulary",4,IF(J257="sentences",5,IF(J257="concepts",5,IF(J257="ad slides",5,IF(J257="scenes",5,IF(J257="famous scenes",5,IF(J257="poems",6,IF(J257="walk",6,IF(J257="faces and events",6,IF(J257="events and names",6,IF(J257="flashbulb",7,IF(J257="stories",7,IF(J257="course material",7,IF(J257="autobiographical",7,IF(J257="novels",7,IF(J257="public events",7,"99"))))))))))))))))))))))))))))))))))))))))))))))</f>
        <v>1</v>
      </c>
      <c r="M257" s="69">
        <v>1</v>
      </c>
      <c r="N257" s="69">
        <v>2</v>
      </c>
      <c r="O257" s="69">
        <v>0</v>
      </c>
      <c r="P257" s="69"/>
      <c r="Q257" s="69" t="s">
        <v>174</v>
      </c>
      <c r="R257" s="69">
        <f>IF(Q257="Free Recall",1,IF(Q257="Cued Recall",2,IF(Q257="Recognition",3,IF(Q257="Multiple Choice",4,IF(Q257="Savings",5,IF(Q257="Stem Completion",6,IF(Q257="Fragment Completion",7,IF(Q257="anagram solution",8,IF(Q257="Matching",9,IF(Q257="Problem Solving",10,"99"))))))))))</f>
        <v>1</v>
      </c>
      <c r="S257" s="69" t="s">
        <v>49</v>
      </c>
      <c r="T257" s="69" t="s">
        <v>581</v>
      </c>
      <c r="U257" s="69">
        <f>IF(T257="within",1,0)</f>
        <v>1</v>
      </c>
      <c r="V257" s="69">
        <f>36*3</f>
        <v>108</v>
      </c>
      <c r="W257" s="69">
        <f>F257*V257</f>
        <v>6372</v>
      </c>
      <c r="X257" s="69">
        <v>3</v>
      </c>
      <c r="Y257" s="87">
        <f>AV256</f>
        <v>30</v>
      </c>
      <c r="Z257" s="92" t="s">
        <v>140</v>
      </c>
      <c r="AA257" s="69">
        <f>60*60*24*7*4</f>
        <v>2419200</v>
      </c>
      <c r="AB257" s="69" t="str">
        <f>IF(AA257&lt;60,"1",IF(AA257&lt;=43200,"2",IF(AA257&lt;=777600,"3","4")))</f>
        <v>4</v>
      </c>
      <c r="AC257" s="72">
        <f>AVERAGE(AV256:DA256)</f>
        <v>807010</v>
      </c>
      <c r="AD257" s="69" t="str">
        <f>IF(AC257&lt;60,"1",IF(AC257&lt;=43200,"2",IF(AC257&lt;=777600,"3","4")))</f>
        <v>4</v>
      </c>
      <c r="AE257" s="87">
        <f>AA257-Y257</f>
        <v>2419170</v>
      </c>
      <c r="AF257" s="88">
        <f>AV257</f>
        <v>0.99722222222222223</v>
      </c>
      <c r="AG257" s="72">
        <f>((AW257-AV257)+(AX257-AW257))/2</f>
        <v>-0.23333333333333334</v>
      </c>
      <c r="AH257" s="4"/>
      <c r="AI257" s="72">
        <f>RSQ(AV257:AX257,AV256:AX256)</f>
        <v>0.7015975523786635</v>
      </c>
      <c r="AJ257" s="110">
        <f>SLOPE(AV257:AX257,AV256:AX256)</f>
        <v>-1.4019399617493716E-7</v>
      </c>
      <c r="AK257" s="72">
        <f>INTERCEPT(AV257:AX257,AV256:AX256)</f>
        <v>0.86961943833461741</v>
      </c>
      <c r="AL257" s="72">
        <f>INDEX(LINEST(LN(AV257:AX257),LN(AV256:AX256),TRUE,TRUE),3,1)</f>
        <v>0.98519223757164154</v>
      </c>
      <c r="AM257" s="72">
        <f>INDEX(LINEST(LN(AV257:AX257),LN(AV256:AX256)),1)</f>
        <v>-5.4788942536359318E-2</v>
      </c>
      <c r="AN257" s="72">
        <f>EXP(INDEX(LINEST(LN(AV257:AX257),LN(AV256:AX256)),1,2))</f>
        <v>1.168394983187216</v>
      </c>
      <c r="AO257" s="89">
        <f>INDEX(LINEST((AV257:AX257),LN(AV256:AX256),TRUE,TRUE),3,1)</f>
        <v>0.95552097488287169</v>
      </c>
      <c r="AP257" s="89">
        <f>INDEX(LINEST((AV257:AX257),LN(AV256:AX256)),1)</f>
        <v>-3.9937135434539986E-2</v>
      </c>
      <c r="AQ257" s="90">
        <f>INDEX(LINEST(LN(AV257:AX257),SQRT(AV256:AX256),TRUE,TRUE),3,1)</f>
        <v>0.79720621412961779</v>
      </c>
      <c r="AR257" s="117">
        <f>INDEX(LINEST(LN(AV257:AX257),SQRT((AV256:AX256))),1)</f>
        <v>-3.1875949607667719E-4</v>
      </c>
      <c r="AS257" s="91">
        <f>INDEX(LINEST(1/(AV257:AX257),1/(SQRT(AV256:AX256)),TRUE,TRUE),3,1)</f>
        <v>0.74268601383558897</v>
      </c>
      <c r="AT257" s="91">
        <f>INDEX(LINEST(1/(AV257:AX257),1/SQRT(AV256:AX256)),1)</f>
        <v>-3.8655926669712311</v>
      </c>
      <c r="AU257" s="3"/>
      <c r="AV257" s="73">
        <f>35.9/36</f>
        <v>0.99722222222222223</v>
      </c>
      <c r="AW257" s="73">
        <f>26.7/36</f>
        <v>0.7416666666666667</v>
      </c>
      <c r="AX257" s="73">
        <f>19.1/36</f>
        <v>0.53055555555555556</v>
      </c>
      <c r="AY257" s="53"/>
      <c r="AZ257" s="53"/>
      <c r="BA257" s="53"/>
      <c r="BB257" s="53"/>
      <c r="BC257" s="53"/>
      <c r="BD257" s="53"/>
      <c r="BE257" s="53"/>
      <c r="BF257" s="53"/>
      <c r="BG257" s="53"/>
      <c r="BH257" s="53"/>
      <c r="BI257" s="53"/>
      <c r="BJ257" s="53"/>
      <c r="BK257" s="53"/>
      <c r="BL257" s="53"/>
      <c r="BM257" s="53"/>
      <c r="BN257" s="53"/>
      <c r="BO257" s="53"/>
      <c r="BP257" s="53"/>
      <c r="BQ257" s="53"/>
      <c r="BR257" s="53"/>
      <c r="BS257" s="53"/>
      <c r="BT257" s="53"/>
      <c r="BU257" s="53"/>
      <c r="BV257" s="53"/>
      <c r="BW257" s="53"/>
      <c r="BX257" s="53"/>
      <c r="BY257" s="53"/>
      <c r="BZ257" s="53"/>
      <c r="CA257" s="53"/>
      <c r="CB257" s="53"/>
      <c r="CC257" s="53"/>
      <c r="CD257" s="53"/>
      <c r="CE257" s="53"/>
      <c r="CF257" s="53"/>
      <c r="CG257" s="53"/>
      <c r="CH257" s="53"/>
      <c r="CI257" s="53"/>
      <c r="CJ257" s="53"/>
      <c r="CK257" s="53"/>
      <c r="CL257" s="53"/>
      <c r="CM257" s="53"/>
      <c r="CN257" s="53"/>
      <c r="CO257" s="53"/>
      <c r="CP257" s="53"/>
      <c r="CQ257" s="53"/>
      <c r="CR257" s="1"/>
      <c r="CS257" s="1"/>
      <c r="CT257" s="1"/>
      <c r="CU257" s="1"/>
    </row>
    <row r="258" spans="1:99" s="13" customFormat="1" ht="12" customHeight="1" x14ac:dyDescent="0.2">
      <c r="A258" s="65">
        <v>43896</v>
      </c>
      <c r="B258" s="1"/>
      <c r="D258" s="61"/>
      <c r="E258" s="76"/>
      <c r="F258" s="60"/>
      <c r="G258" s="60"/>
      <c r="H258" s="60"/>
      <c r="I258" s="60"/>
      <c r="J258" s="60"/>
      <c r="K258" s="64"/>
      <c r="L258" s="64"/>
      <c r="M258" s="60"/>
      <c r="N258" s="59"/>
      <c r="O258" s="60"/>
      <c r="P258" s="60"/>
      <c r="Q258" s="60"/>
      <c r="R258" s="60"/>
      <c r="S258" s="60"/>
      <c r="T258" s="60"/>
      <c r="U258" s="60"/>
      <c r="V258" s="60"/>
      <c r="W258" s="60"/>
      <c r="X258" s="60"/>
      <c r="Y258" s="76"/>
      <c r="Z258" s="60"/>
      <c r="AA258" s="60"/>
      <c r="AB258" s="60"/>
      <c r="AC258" s="56"/>
      <c r="AD258" s="60"/>
      <c r="AE258" s="60"/>
      <c r="AF258" s="80"/>
      <c r="AG258" s="56"/>
      <c r="AH258" s="4"/>
      <c r="AI258" s="56"/>
      <c r="AJ258" s="109"/>
      <c r="AK258" s="56"/>
      <c r="AL258" s="56"/>
      <c r="AM258" s="56"/>
      <c r="AN258" s="56"/>
      <c r="AO258" s="56"/>
      <c r="AP258" s="56"/>
      <c r="AQ258" s="56"/>
      <c r="AR258" s="109"/>
      <c r="AS258" s="56"/>
      <c r="AT258" s="56"/>
      <c r="AU258" s="5"/>
      <c r="AV258" s="25">
        <v>157680000</v>
      </c>
      <c r="AW258" s="25">
        <v>473040000</v>
      </c>
      <c r="AX258" s="25">
        <v>788400000</v>
      </c>
      <c r="AY258" s="53"/>
      <c r="AZ258" s="53"/>
      <c r="BA258" s="53"/>
      <c r="BB258" s="53"/>
      <c r="BC258" s="53"/>
      <c r="BD258" s="53"/>
      <c r="BE258" s="53"/>
      <c r="BF258" s="53"/>
      <c r="BG258" s="53"/>
      <c r="BH258" s="53"/>
      <c r="BI258" s="53"/>
      <c r="BJ258" s="53"/>
      <c r="BK258" s="53"/>
      <c r="BL258" s="53"/>
      <c r="BM258" s="53"/>
      <c r="BN258" s="53"/>
      <c r="BO258" s="53"/>
      <c r="BP258" s="53"/>
      <c r="BQ258" s="53"/>
      <c r="BR258" s="53"/>
      <c r="BS258" s="53"/>
      <c r="BT258" s="53"/>
      <c r="BU258" s="53"/>
      <c r="BV258" s="53"/>
      <c r="BW258" s="53"/>
      <c r="BX258" s="53"/>
      <c r="BY258" s="53"/>
      <c r="BZ258" s="53"/>
      <c r="CA258" s="53"/>
      <c r="CB258" s="53"/>
      <c r="CC258" s="53"/>
      <c r="CD258" s="53"/>
      <c r="CE258" s="53"/>
      <c r="CF258" s="53"/>
      <c r="CG258" s="53"/>
      <c r="CH258" s="53"/>
      <c r="CI258" s="53"/>
      <c r="CJ258" s="53"/>
      <c r="CK258" s="53"/>
      <c r="CL258" s="53"/>
      <c r="CM258" s="53"/>
      <c r="CN258" s="53"/>
      <c r="CO258" s="53"/>
      <c r="CP258" s="53"/>
      <c r="CQ258" s="53"/>
      <c r="CR258" s="1"/>
      <c r="CS258" s="1"/>
      <c r="CT258" s="1"/>
      <c r="CU258" s="1"/>
    </row>
    <row r="259" spans="1:99" s="13" customFormat="1" ht="12" customHeight="1" x14ac:dyDescent="0.2">
      <c r="A259" s="65">
        <v>43896</v>
      </c>
      <c r="B259" s="1" t="s">
        <v>351</v>
      </c>
      <c r="C259" s="1" t="s">
        <v>361</v>
      </c>
      <c r="D259" s="60">
        <v>1997</v>
      </c>
      <c r="E259" s="76">
        <v>1</v>
      </c>
      <c r="F259" s="60">
        <v>6</v>
      </c>
      <c r="G259" s="60">
        <v>6</v>
      </c>
      <c r="H259" s="60" t="s">
        <v>38</v>
      </c>
      <c r="I259" s="60" t="s">
        <v>330</v>
      </c>
      <c r="J259" s="60" t="s">
        <v>342</v>
      </c>
      <c r="K259" s="60">
        <f>IF(J259="syllables",1,IF(J259="trigrams",2,IF(J259="strings",3,IF(J259="visual array",4,IF(J259="characters",5,IF(J259="letters",6,IF(J259="free forms",7,IF(J259="odors",8,IF(J259="words",9,IF(J259="pictures",10,IF(J259="object pictures",11,IF(J259="faces",12,IF(J259="names",13,IF(J259="idioms",14,IF(J259="grades",15,IF(J259="syllable-digit pairs",16,IF(J259="trigram-word pairs",17,IF(J259="word-digit pairs",18,IF(J259="English-Swahili pairs",19,IF(J259="spatial position",20,IF(J259="word pairs",21,IF(J259="word triads",22,IF(J259="generated words",23,IF(J259="word definition pairs",24,IF(J259="math problems",25,IF(J259="famous faces",26,IF(J259="famous names",27,IF(J259="famous voices",28,IF(J259="television programs",29,IF(J259="race horses",30,IF(J259="new vocabulary",31,IF(J259="sentences",32,IF(J259="concepts",33,IF(J259="ad slides",34,IF(J259="scenes",35,IF(J259="famous scenes",36,IF(J259="poems",37,IF(J259="walk",38,IF(J259="faces and events",39,IF(J259="events and names",40,IF(J259="flashbulb",41,IF(J259="stories",42,IF(J259="course material",43,IF(J259="autobiographical",44,IF(J259="novels",45,IF(J259="public events",46,"99"))))))))))))))))))))))))))))))))))))))))))))))</f>
        <v>26</v>
      </c>
      <c r="L259" s="60">
        <f>IF(J259="syllables",1,IF(J259="trigrams",1,IF(J259="strings",1,IF(J259="visual array",1,IF(J259="characters",1,IF(J259="letters",1,IF(J259="free forms",1,IF(J259="odors",2,IF(J259="words",2,IF(J259="pictures",2,IF(J259="object pictures",2,IF(J259="faces",2,IF(J259="names",2,IF(J259="idioms","2",IF(J259="grades",2,IF(J259="syllable-digit pairs",3,IF(J259="trigram-word pairs",3,IF(J259="word-digit pairs",3,IF(J259="English-Swahili pairs",3,IF(J259="spatial position",3,IF(J259="word pairs",4,IF(J259="word triads",4,IF(J259="generated words",4,IF(J259="word definition pairs",4,IF(J259="math problems",4,IF(J259="famous faces",4,IF(J259="famous names",4,IF(J259="famous voices",4,IF(J259="television programs",4,IF(J259="race horses",4,IF(J259="new vocabulary",4,IF(J259="sentences",5,IF(J259="concepts",5,IF(J259="ad slides",5,IF(J259="scenes",5,IF(J259="famous scenes",5,IF(J259="poems",6,IF(J259="walk",6,IF(J259="faces and events",6,IF(J259="events and names",6,IF(J259="flashbulb",7,IF(J259="stories",7,IF(J259="course material",7,IF(J259="autobiographical",7,IF(J259="novels",7,IF(J259="public events",7,"99"))))))))))))))))))))))))))))))))))))))))))))))</f>
        <v>4</v>
      </c>
      <c r="M259" s="60">
        <v>1</v>
      </c>
      <c r="N259" s="61">
        <v>2</v>
      </c>
      <c r="O259" s="60">
        <v>0</v>
      </c>
      <c r="P259" s="60"/>
      <c r="Q259" s="60" t="s">
        <v>174</v>
      </c>
      <c r="R259" s="60">
        <f>IF(Q259="Free Recall",1,IF(Q259="Cued Recall",2,IF(Q259="Recognition",3,IF(Q259="Multiple Choice",4,IF(Q259="Savings",5,IF(Q259="Stem Completion",6,IF(Q259="Fragment Completion",7,IF(Q259="anagram solution",8,IF(Q259="Matching",9,IF(Q259="Problem Solving",10,"99"))))))))))</f>
        <v>1</v>
      </c>
      <c r="S259" s="60" t="s">
        <v>49</v>
      </c>
      <c r="T259" s="59" t="s">
        <v>581</v>
      </c>
      <c r="U259" s="60">
        <f>IF(T259="within",1,0)</f>
        <v>1</v>
      </c>
      <c r="V259" s="59">
        <v>240</v>
      </c>
      <c r="W259" s="60">
        <f>F259*V259</f>
        <v>1440</v>
      </c>
      <c r="X259" s="60">
        <v>3</v>
      </c>
      <c r="Y259" s="76">
        <f>AV258</f>
        <v>157680000</v>
      </c>
      <c r="Z259" s="59" t="s">
        <v>428</v>
      </c>
      <c r="AA259" s="60">
        <f>25*365*24*60*60</f>
        <v>788400000</v>
      </c>
      <c r="AB259" s="60" t="str">
        <f>IF(AA259&lt;60,"1",IF(AA259&lt;=43200,"2",IF(AA259&lt;=777600,"3","4")))</f>
        <v>4</v>
      </c>
      <c r="AC259" s="56">
        <f>AVERAGE(AV258:DA258)</f>
        <v>473040000</v>
      </c>
      <c r="AD259" s="60" t="str">
        <f>IF(AC259&lt;60,"1",IF(AC259&lt;=43200,"2",IF(AC259&lt;=777600,"3","4")))</f>
        <v>4</v>
      </c>
      <c r="AE259" s="76">
        <f>AA259-Y259</f>
        <v>630720000</v>
      </c>
      <c r="AF259" s="80">
        <f>AV259</f>
        <v>0.75</v>
      </c>
      <c r="AG259" s="56">
        <f>((AW259-AV259)+(AX259-AW259))/2</f>
        <v>-0.06</v>
      </c>
      <c r="AH259" s="4"/>
      <c r="AI259" s="56">
        <f>RSQ(AV259:AX259,AV258:AX258)</f>
        <v>0.74999999999999989</v>
      </c>
      <c r="AJ259" s="109">
        <f>SLOPE(AV259:AX259,AV258:AX258)</f>
        <v>-1.9025875190258752E-10</v>
      </c>
      <c r="AK259" s="56">
        <f>INTERCEPT(AV259:AX259,AV258:AX258)</f>
        <v>0.7599999999999999</v>
      </c>
      <c r="AL259" s="56">
        <f>INDEX(LINEST(LN(AV259:AX259),LN(AV258:AX258),TRUE,TRUE),3,1)</f>
        <v>0.9035493700903664</v>
      </c>
      <c r="AM259" s="56">
        <f>INDEX(LINEST(LN(AV259:AX259),LN(AV258:AX258)),1)</f>
        <v>-0.11634709952102547</v>
      </c>
      <c r="AN259" s="56">
        <f>EXP(INDEX(LINEST(LN(AV259:AX259),LN(AV258:AX258)),1,2))</f>
        <v>6.6677594093740797</v>
      </c>
      <c r="AO259" s="82">
        <f>INDEX(LINEST((AV259:AX259),LN(AV258:AX258),TRUE,TRUE),3,1)</f>
        <v>0.90354937009036662</v>
      </c>
      <c r="AP259" s="82">
        <f>INDEX(LINEST((AV259:AX259),LN(AV258:AX258)),1)</f>
        <v>-8.0076746263206905E-2</v>
      </c>
      <c r="AQ259" s="83">
        <f>INDEX(LINEST(LN(AV259:AX259),SQRT(AV258:AX258),TRUE,TRUE),3,1)</f>
        <v>0.83559812660742483</v>
      </c>
      <c r="AR259" s="116">
        <f>INDEX(LINEST(LN(AV259:AX259),SQRT((AV258:AX258))),1)</f>
        <v>-1.1790120122349022E-5</v>
      </c>
      <c r="AS259" s="84">
        <f>INDEX(LINEST(1/(AV259:AX259),1/(SQRT(AV258:AX258)),TRUE,TRUE),3,1)</f>
        <v>0.94930903127098454</v>
      </c>
      <c r="AT259" s="84">
        <f>INDEX(LINEST(1/(AV259:AX259),1/SQRT(AV258:AX258)),1)</f>
        <v>-6207.3539059462682</v>
      </c>
      <c r="AU259" s="3"/>
      <c r="AV259" s="53">
        <v>0.75</v>
      </c>
      <c r="AW259" s="53">
        <v>0.63</v>
      </c>
      <c r="AX259" s="53">
        <v>0.63</v>
      </c>
      <c r="AY259" s="53"/>
      <c r="AZ259" s="53"/>
      <c r="BA259" s="53"/>
      <c r="BB259" s="53"/>
      <c r="BC259" s="53"/>
      <c r="BD259" s="53"/>
      <c r="BE259" s="53"/>
      <c r="BF259" s="53"/>
      <c r="BG259" s="53"/>
      <c r="BH259" s="53"/>
      <c r="BI259" s="53"/>
      <c r="BJ259" s="53"/>
      <c r="BK259" s="53"/>
      <c r="BL259" s="53"/>
      <c r="BM259" s="53"/>
      <c r="BN259" s="53"/>
      <c r="BO259" s="53"/>
      <c r="BP259" s="53"/>
      <c r="BQ259" s="53"/>
      <c r="BR259" s="53"/>
      <c r="BS259" s="53"/>
      <c r="BT259" s="53"/>
      <c r="BU259" s="53"/>
      <c r="BV259" s="53"/>
      <c r="BW259" s="53"/>
      <c r="BX259" s="53"/>
      <c r="BY259" s="53"/>
      <c r="BZ259" s="53"/>
      <c r="CA259" s="53"/>
      <c r="CB259" s="53"/>
      <c r="CC259" s="53"/>
      <c r="CD259" s="53"/>
      <c r="CE259" s="53"/>
      <c r="CF259" s="53"/>
      <c r="CG259" s="53"/>
      <c r="CH259" s="53"/>
      <c r="CI259" s="53"/>
      <c r="CJ259" s="53"/>
      <c r="CK259" s="53"/>
      <c r="CL259" s="53"/>
      <c r="CM259" s="53"/>
      <c r="CN259" s="53"/>
      <c r="CO259" s="53"/>
      <c r="CP259" s="53"/>
      <c r="CQ259" s="53"/>
      <c r="CR259" s="1"/>
      <c r="CS259" s="1"/>
      <c r="CT259" s="1"/>
      <c r="CU259" s="1"/>
    </row>
    <row r="260" spans="1:99" s="13" customFormat="1" ht="12" customHeight="1" x14ac:dyDescent="0.2">
      <c r="A260" s="68">
        <v>43896</v>
      </c>
      <c r="B260" s="70"/>
      <c r="C260" s="67"/>
      <c r="D260" s="86"/>
      <c r="E260" s="87"/>
      <c r="F260" s="69"/>
      <c r="G260" s="69"/>
      <c r="H260" s="69"/>
      <c r="I260" s="69"/>
      <c r="J260" s="69"/>
      <c r="K260" s="107"/>
      <c r="L260" s="107"/>
      <c r="M260" s="69"/>
      <c r="N260" s="92"/>
      <c r="O260" s="69"/>
      <c r="P260" s="69"/>
      <c r="Q260" s="69"/>
      <c r="R260" s="69"/>
      <c r="S260" s="69"/>
      <c r="T260" s="92"/>
      <c r="U260" s="69"/>
      <c r="V260" s="92"/>
      <c r="W260" s="69"/>
      <c r="X260" s="69"/>
      <c r="Y260" s="87"/>
      <c r="Z260" s="92"/>
      <c r="AA260" s="92"/>
      <c r="AB260" s="69"/>
      <c r="AC260" s="72"/>
      <c r="AD260" s="69"/>
      <c r="AE260" s="69"/>
      <c r="AF260" s="88"/>
      <c r="AG260" s="72"/>
      <c r="AH260" s="4"/>
      <c r="AI260" s="72"/>
      <c r="AJ260" s="110"/>
      <c r="AK260" s="72"/>
      <c r="AL260" s="72"/>
      <c r="AM260" s="72"/>
      <c r="AN260" s="72"/>
      <c r="AO260" s="89"/>
      <c r="AP260" s="89"/>
      <c r="AQ260" s="90"/>
      <c r="AR260" s="117"/>
      <c r="AS260" s="91"/>
      <c r="AT260" s="91"/>
      <c r="AU260" s="3"/>
      <c r="AV260" s="71">
        <v>315360000</v>
      </c>
      <c r="AW260" s="71">
        <v>630720000</v>
      </c>
      <c r="AX260" s="71">
        <v>646080000</v>
      </c>
      <c r="AY260" s="71">
        <v>12614400000</v>
      </c>
      <c r="AZ260" s="71">
        <v>1576800000</v>
      </c>
      <c r="BA260" s="53"/>
      <c r="BB260" s="53"/>
      <c r="BC260" s="53"/>
      <c r="BD260" s="53"/>
      <c r="BE260" s="53"/>
      <c r="BF260" s="53"/>
      <c r="BG260" s="53"/>
      <c r="BH260" s="53"/>
      <c r="BI260" s="53"/>
      <c r="BJ260" s="53"/>
      <c r="BK260" s="53"/>
      <c r="BL260" s="53"/>
      <c r="BM260" s="53"/>
      <c r="BN260" s="53"/>
      <c r="BO260" s="53"/>
      <c r="BP260" s="53"/>
      <c r="BQ260" s="53"/>
      <c r="BR260" s="53"/>
      <c r="BS260" s="53"/>
      <c r="BT260" s="53"/>
      <c r="BU260" s="53"/>
      <c r="BV260" s="53"/>
      <c r="BW260" s="53"/>
      <c r="BX260" s="53"/>
      <c r="BY260" s="53"/>
      <c r="BZ260" s="53"/>
      <c r="CA260" s="53"/>
      <c r="CB260" s="53"/>
      <c r="CC260" s="53"/>
      <c r="CD260" s="53"/>
      <c r="CE260" s="53"/>
      <c r="CF260" s="53"/>
      <c r="CG260" s="53"/>
      <c r="CH260" s="53"/>
      <c r="CI260" s="53"/>
      <c r="CJ260" s="53"/>
      <c r="CK260" s="53"/>
      <c r="CL260" s="53"/>
      <c r="CM260" s="53"/>
      <c r="CN260" s="53"/>
      <c r="CO260" s="53"/>
      <c r="CP260" s="53"/>
      <c r="CQ260" s="53"/>
      <c r="CR260" s="1"/>
      <c r="CS260" s="1"/>
      <c r="CT260" s="1"/>
      <c r="CU260" s="1"/>
    </row>
    <row r="261" spans="1:99" s="13" customFormat="1" ht="12" customHeight="1" x14ac:dyDescent="0.2">
      <c r="A261" s="68">
        <v>43896</v>
      </c>
      <c r="B261" s="70" t="s">
        <v>364</v>
      </c>
      <c r="C261" s="70" t="s">
        <v>54</v>
      </c>
      <c r="D261" s="69">
        <v>1975</v>
      </c>
      <c r="E261" s="87">
        <v>1</v>
      </c>
      <c r="F261" s="69">
        <v>15</v>
      </c>
      <c r="G261" s="69">
        <v>15</v>
      </c>
      <c r="H261" s="69" t="s">
        <v>365</v>
      </c>
      <c r="I261" s="69" t="s">
        <v>330</v>
      </c>
      <c r="J261" s="69" t="s">
        <v>342</v>
      </c>
      <c r="K261" s="69">
        <f>IF(J261="syllables",1,IF(J261="trigrams",2,IF(J261="strings",3,IF(J261="visual array",4,IF(J261="characters",5,IF(J261="letters",6,IF(J261="free forms",7,IF(J261="odors",8,IF(J261="words",9,IF(J261="pictures",10,IF(J261="object pictures",11,IF(J261="faces",12,IF(J261="names",13,IF(J261="idioms",14,IF(J261="grades",15,IF(J261="syllable-digit pairs",16,IF(J261="trigram-word pairs",17,IF(J261="word-digit pairs",18,IF(J261="English-Swahili pairs",19,IF(J261="spatial position",20,IF(J261="word pairs",21,IF(J261="word triads",22,IF(J261="generated words",23,IF(J261="word definition pairs",24,IF(J261="math problems",25,IF(J261="famous faces",26,IF(J261="famous names",27,IF(J261="famous voices",28,IF(J261="television programs",29,IF(J261="race horses",30,IF(J261="new vocabulary",31,IF(J261="sentences",32,IF(J261="concepts",33,IF(J261="ad slides",34,IF(J261="scenes",35,IF(J261="famous scenes",36,IF(J261="poems",37,IF(J261="walk",38,IF(J261="faces and events",39,IF(J261="events and names",40,IF(J261="flashbulb",41,IF(J261="stories",42,IF(J261="course material",43,IF(J261="autobiographical",44,IF(J261="novels",45,IF(J261="public events",46,"99"))))))))))))))))))))))))))))))))))))))))))))))</f>
        <v>26</v>
      </c>
      <c r="L261" s="69">
        <f>IF(J261="syllables",1,IF(J261="trigrams",1,IF(J261="strings",1,IF(J261="visual array",1,IF(J261="characters",1,IF(J261="letters",1,IF(J261="free forms",1,IF(J261="odors",2,IF(J261="words",2,IF(J261="pictures",2,IF(J261="object pictures",2,IF(J261="faces",2,IF(J261="names",2,IF(J261="idioms","2",IF(J261="grades",2,IF(J261="syllable-digit pairs",3,IF(J261="trigram-word pairs",3,IF(J261="word-digit pairs",3,IF(J261="English-Swahili pairs",3,IF(J261="spatial position",3,IF(J261="word pairs",4,IF(J261="word triads",4,IF(J261="generated words",4,IF(J261="word definition pairs",4,IF(J261="math problems",4,IF(J261="famous faces",4,IF(J261="famous names",4,IF(J261="famous voices",4,IF(J261="television programs",4,IF(J261="race horses",4,IF(J261="new vocabulary",4,IF(J261="sentences",5,IF(J261="concepts",5,IF(J261="ad slides",5,IF(J261="scenes",5,IF(J261="famous scenes",5,IF(J261="poems",6,IF(J261="walk",6,IF(J261="faces and events",6,IF(J261="events and names",6,IF(J261="flashbulb",7,IF(J261="stories",7,IF(J261="course material",7,IF(J261="autobiographical",7,IF(J261="novels",7,IF(J261="public events",7,"99"))))))))))))))))))))))))))))))))))))))))))))))</f>
        <v>4</v>
      </c>
      <c r="M261" s="69">
        <v>1</v>
      </c>
      <c r="N261" s="86">
        <v>2</v>
      </c>
      <c r="O261" s="69">
        <v>0</v>
      </c>
      <c r="P261" s="69"/>
      <c r="Q261" s="69" t="s">
        <v>174</v>
      </c>
      <c r="R261" s="69">
        <f>IF(Q261="Free Recall",1,IF(Q261="Cued Recall",2,IF(Q261="Recognition",3,IF(Q261="Multiple Choice",4,IF(Q261="Savings",5,IF(Q261="Stem Completion",6,IF(Q261="Fragment Completion",7,IF(Q261="anagram solution",8,IF(Q261="Matching",9,IF(Q261="Problem Solving",10,"99"))))))))))</f>
        <v>1</v>
      </c>
      <c r="S261" s="69" t="s">
        <v>49</v>
      </c>
      <c r="T261" s="92" t="s">
        <v>581</v>
      </c>
      <c r="U261" s="69">
        <f>IF(T261="within",1,0)</f>
        <v>1</v>
      </c>
      <c r="V261" s="92">
        <v>85</v>
      </c>
      <c r="W261" s="69">
        <f>F261*V261</f>
        <v>1275</v>
      </c>
      <c r="X261" s="69">
        <v>5</v>
      </c>
      <c r="Y261" s="87">
        <f>AV260</f>
        <v>315360000</v>
      </c>
      <c r="Z261" s="92" t="s">
        <v>209</v>
      </c>
      <c r="AA261" s="69">
        <f>50*365*24*60*60</f>
        <v>1576800000</v>
      </c>
      <c r="AB261" s="69" t="str">
        <f>IF(AA261&lt;60,"1",IF(AA261&lt;=43200,"2",IF(AA261&lt;=777600,"3","4")))</f>
        <v>4</v>
      </c>
      <c r="AC261" s="72">
        <f>AVERAGE(AV260:DA260)</f>
        <v>3156672000</v>
      </c>
      <c r="AD261" s="69" t="str">
        <f>IF(AC261&lt;60,"1",IF(AC261&lt;=43200,"2",IF(AC261&lt;=777600,"3","4")))</f>
        <v>4</v>
      </c>
      <c r="AE261" s="87">
        <f>AA261-Y261</f>
        <v>1261440000</v>
      </c>
      <c r="AF261" s="88">
        <f>AV261</f>
        <v>0.75</v>
      </c>
      <c r="AG261" s="72">
        <f>((AW261-AV261)+(AX261-AW261)+(AY261-AX261)+(AZ261-AY261))/4</f>
        <v>-9.2499999999999999E-2</v>
      </c>
      <c r="AH261" s="4"/>
      <c r="AI261" s="72">
        <f>RSQ(AV261:AZ261,AV260:AZ260)</f>
        <v>9.9372201196184187E-2</v>
      </c>
      <c r="AJ261" s="110">
        <f>SLOPE(AV261:AZ261,AV260:AZ260)</f>
        <v>-1.0578723515463009E-11</v>
      </c>
      <c r="AK261" s="72">
        <f>INTERCEPT(AV261:AZ261,AV260:AZ260)</f>
        <v>0.6793935603170036</v>
      </c>
      <c r="AL261" s="72">
        <f>INDEX(LINEST(LN(AV261:AZ261),LN(AV260:AZ260),TRUE,TRUE),3,1)</f>
        <v>0.22438971023580714</v>
      </c>
      <c r="AM261" s="72">
        <f>INDEX(LINEST(LN(AV261:AZ261),LN(AV260:AZ260)),1)</f>
        <v>-0.10289085895850124</v>
      </c>
      <c r="AN261" s="72">
        <f>EXP(INDEX(LINEST(LN(AV261:AZ261),LN(AV260:AZ260)),1,2))</f>
        <v>5.3601192335798968</v>
      </c>
      <c r="AO261" s="89">
        <f>INDEX(LINEST((AV261:AZ261),LN(AV260:AZ260),TRUE,TRUE),3,1)</f>
        <v>0.2792522153560118</v>
      </c>
      <c r="AP261" s="89">
        <f>INDEX(LINEST((AV261:AZ261),LN(AV260:AZ260)),1)</f>
        <v>-6.5777325732570738E-2</v>
      </c>
      <c r="AQ261" s="90">
        <f>INDEX(LINEST(LN(AV261:AZ261),SQRT(AV260:AZ260),TRUE,TRUE),3,1)</f>
        <v>0.1131976393388448</v>
      </c>
      <c r="AR261" s="117">
        <f>INDEX(LINEST(LN(AV261:AZ261),SQRT((AV260:AZ260))),1)</f>
        <v>-2.6833716190459296E-6</v>
      </c>
      <c r="AS261" s="91">
        <f>INDEX(LINEST(1/(AV261:AZ261),1/(SQRT(AV260:AZ260)),TRUE,TRUE),3,1)</f>
        <v>0.28716852998211084</v>
      </c>
      <c r="AT261" s="91">
        <f>INDEX(LINEST(1/(AV261:AZ261),1/SQRT(AV260:AZ260)),1)</f>
        <v>-17316.496844570713</v>
      </c>
      <c r="AU261" s="3"/>
      <c r="AV261" s="73">
        <v>0.75</v>
      </c>
      <c r="AW261" s="73">
        <v>0.69</v>
      </c>
      <c r="AX261" s="73">
        <v>0.84</v>
      </c>
      <c r="AY261" s="73">
        <v>0.56999999999999995</v>
      </c>
      <c r="AZ261" s="73">
        <v>0.38</v>
      </c>
      <c r="BA261" s="53"/>
      <c r="BB261" s="53"/>
      <c r="BC261" s="53"/>
      <c r="BD261" s="53"/>
      <c r="BE261" s="53"/>
      <c r="BF261" s="53"/>
      <c r="BG261" s="53"/>
      <c r="BH261" s="53"/>
      <c r="BI261" s="53"/>
      <c r="BJ261" s="53"/>
      <c r="BK261" s="53"/>
      <c r="BL261" s="53"/>
      <c r="BM261" s="53"/>
      <c r="BN261" s="53"/>
      <c r="BO261" s="53"/>
      <c r="BP261" s="53"/>
      <c r="BQ261" s="53"/>
      <c r="BR261" s="53"/>
      <c r="BS261" s="53"/>
      <c r="BT261" s="53"/>
      <c r="BU261" s="53"/>
      <c r="BV261" s="53"/>
      <c r="BW261" s="53"/>
      <c r="BX261" s="53"/>
      <c r="BY261" s="53"/>
      <c r="BZ261" s="53"/>
      <c r="CA261" s="53"/>
      <c r="CB261" s="53"/>
      <c r="CC261" s="53"/>
      <c r="CD261" s="53"/>
      <c r="CE261" s="53"/>
      <c r="CF261" s="53"/>
      <c r="CG261" s="53"/>
      <c r="CH261" s="53"/>
      <c r="CI261" s="53"/>
      <c r="CJ261" s="53"/>
      <c r="CK261" s="53"/>
      <c r="CL261" s="53"/>
      <c r="CM261" s="53"/>
      <c r="CN261" s="53"/>
      <c r="CO261" s="53"/>
      <c r="CP261" s="53"/>
      <c r="CQ261" s="53"/>
      <c r="CR261" s="1"/>
      <c r="CS261" s="1"/>
      <c r="CT261" s="1"/>
      <c r="CU261" s="1"/>
    </row>
    <row r="262" spans="1:99" s="13" customFormat="1" ht="12" customHeight="1" x14ac:dyDescent="0.2">
      <c r="A262" s="68">
        <v>43978</v>
      </c>
      <c r="B262" s="70"/>
      <c r="C262" s="70"/>
      <c r="D262" s="69"/>
      <c r="E262" s="87"/>
      <c r="F262" s="69"/>
      <c r="G262" s="69"/>
      <c r="H262" s="69"/>
      <c r="I262" s="69"/>
      <c r="J262" s="69"/>
      <c r="K262" s="69"/>
      <c r="L262" s="69"/>
      <c r="M262" s="69"/>
      <c r="N262" s="86"/>
      <c r="O262" s="69"/>
      <c r="P262" s="69"/>
      <c r="Q262" s="69"/>
      <c r="R262" s="69"/>
      <c r="S262" s="69"/>
      <c r="T262" s="92"/>
      <c r="U262" s="69"/>
      <c r="V262" s="92"/>
      <c r="W262" s="69"/>
      <c r="X262" s="69"/>
      <c r="Y262" s="87"/>
      <c r="Z262" s="92"/>
      <c r="AA262" s="69"/>
      <c r="AB262" s="69"/>
      <c r="AC262" s="72"/>
      <c r="AD262" s="69"/>
      <c r="AE262" s="87"/>
      <c r="AF262" s="88"/>
      <c r="AG262" s="72"/>
      <c r="AH262" s="4"/>
      <c r="AI262" s="72"/>
      <c r="AJ262" s="110"/>
      <c r="AK262" s="72"/>
      <c r="AL262" s="72"/>
      <c r="AM262" s="72"/>
      <c r="AN262" s="72"/>
      <c r="AO262" s="89"/>
      <c r="AP262" s="89"/>
      <c r="AQ262" s="90"/>
      <c r="AR262" s="117"/>
      <c r="AS262" s="91"/>
      <c r="AT262" s="91"/>
      <c r="AU262" s="3"/>
      <c r="AV262" s="71">
        <v>30</v>
      </c>
      <c r="AW262" s="71">
        <f>60*30</f>
        <v>1800</v>
      </c>
      <c r="AX262" s="71">
        <f>60*60*24</f>
        <v>86400</v>
      </c>
      <c r="AY262" s="53"/>
      <c r="AZ262" s="11" t="s">
        <v>947</v>
      </c>
      <c r="BA262" s="53"/>
      <c r="BB262" s="53"/>
      <c r="BC262" s="53"/>
      <c r="BD262" s="53"/>
      <c r="BE262" s="53"/>
      <c r="BF262" s="53"/>
      <c r="BG262" s="53"/>
      <c r="BH262" s="53"/>
      <c r="BI262" s="53"/>
      <c r="BJ262" s="53"/>
      <c r="BK262" s="53"/>
      <c r="BL262" s="53"/>
      <c r="BM262" s="53"/>
      <c r="BN262" s="53"/>
      <c r="BO262" s="53"/>
      <c r="BP262" s="53"/>
      <c r="BQ262" s="53"/>
      <c r="BR262" s="53"/>
      <c r="BS262" s="53"/>
      <c r="BT262" s="53"/>
      <c r="BU262" s="53"/>
      <c r="BV262" s="53"/>
      <c r="BW262" s="53"/>
      <c r="BX262" s="53"/>
      <c r="BY262" s="53"/>
      <c r="BZ262" s="53"/>
      <c r="CA262" s="53"/>
      <c r="CB262" s="53"/>
      <c r="CC262" s="53"/>
      <c r="CD262" s="53"/>
      <c r="CE262" s="53"/>
      <c r="CF262" s="53"/>
      <c r="CG262" s="53"/>
      <c r="CH262" s="53"/>
      <c r="CI262" s="53"/>
      <c r="CJ262" s="53"/>
      <c r="CK262" s="53"/>
      <c r="CL262" s="53"/>
      <c r="CM262" s="53"/>
      <c r="CN262" s="53"/>
      <c r="CO262" s="53"/>
      <c r="CP262" s="53"/>
      <c r="CQ262" s="53"/>
      <c r="CR262" s="1"/>
      <c r="CS262" s="1"/>
      <c r="CT262" s="1"/>
      <c r="CU262" s="1"/>
    </row>
    <row r="263" spans="1:99" s="13" customFormat="1" ht="12" customHeight="1" x14ac:dyDescent="0.2">
      <c r="A263" s="68">
        <v>43978</v>
      </c>
      <c r="B263" s="70" t="s">
        <v>978</v>
      </c>
      <c r="C263" s="70" t="s">
        <v>393</v>
      </c>
      <c r="D263" s="69">
        <v>1991</v>
      </c>
      <c r="E263" s="87">
        <v>1</v>
      </c>
      <c r="F263" s="69">
        <v>21</v>
      </c>
      <c r="G263" s="69">
        <v>21</v>
      </c>
      <c r="H263" s="69" t="s">
        <v>50</v>
      </c>
      <c r="I263" s="69" t="s">
        <v>330</v>
      </c>
      <c r="J263" s="69" t="s">
        <v>16</v>
      </c>
      <c r="K263" s="69">
        <f>IF(J263="syllables",1,IF(J263="trigrams",2,IF(J263="strings",3,IF(J263="visual array",4,IF(J263="characters",5,IF(J263="letters",6,IF(J263="free forms",7,IF(J263="odors",8,IF(J263="words",9,IF(J263="pictures",10,IF(J263="object pictures",11,IF(J263="faces",12,IF(J263="names",13,IF(J263="idioms",14,IF(J263="grades",15,IF(J263="syllable-digit pairs",16,IF(J263="trigram-word pairs",17,IF(J263="word-digit pairs",18,IF(J263="English-Swahili pairs",19,IF(J263="spatial position",20,IF(J263="word pairs",21,IF(J263="word triads",22,IF(J263="generated words",23,IF(J263="word definition pairs",24,IF(J263="math problems",25,IF(J263="famous faces",26,IF(J263="famous names",27,IF(J263="famous voices",28,IF(J263="television programs",29,IF(J263="race horses",30,IF(J263="new vocabulary",31,IF(J263="sentences",32,IF(J263="concepts",33,IF(J263="ad slides",34,IF(J263="scenes",35,IF(J263="famous scenes",36,IF(J263="poems",37,IF(J263="walk",38,IF(J263="faces and events",39,IF(J263="events and names",40,IF(J263="flashbulb",41,IF(J263="stories",42,IF(J263="course material",43,IF(J263="autobiographical",44,IF(J263="novels",45,IF(J263="public events",46,"99"))))))))))))))))))))))))))))))))))))))))))))))</f>
        <v>9</v>
      </c>
      <c r="L263" s="69">
        <f>IF(J263="syllables",1,IF(J263="trigrams",1,IF(J263="strings",1,IF(J263="visual array",1,IF(J263="characters",1,IF(J263="letters",1,IF(J263="free forms",1,IF(J263="odors",2,IF(J263="words",2,IF(J263="pictures",2,IF(J263="object pictures",2,IF(J263="faces",2,IF(J263="names",2,IF(J263="idioms","2",IF(J263="grades",2,IF(J263="syllable-digit pairs",3,IF(J263="trigram-word pairs",3,IF(J263="word-digit pairs",3,IF(J263="English-Swahili pairs",3,IF(J263="spatial position",3,IF(J263="word pairs",4,IF(J263="word triads",4,IF(J263="generated words",4,IF(J263="word definition pairs",4,IF(J263="math problems",4,IF(J263="famous faces",4,IF(J263="famous names",4,IF(J263="famous voices",4,IF(J263="television programs",4,IF(J263="race horses",4,IF(J263="new vocabulary",4,IF(J263="sentences",5,IF(J263="concepts",5,IF(J263="ad slides",5,IF(J263="scenes",5,IF(J263="famous scenes",5,IF(J263="poems",6,IF(J263="walk",6,IF(J263="faces and events",6,IF(J263="events and names",6,IF(J263="flashbulb",7,IF(J263="stories",7,IF(J263="course material",7,IF(J263="autobiographical",7,IF(J263="novels",7,IF(J263="public events",7,"99"))))))))))))))))))))))))))))))))))))))))))))))</f>
        <v>2</v>
      </c>
      <c r="M263" s="69">
        <v>1</v>
      </c>
      <c r="N263" s="86">
        <v>2</v>
      </c>
      <c r="O263" s="69">
        <v>0</v>
      </c>
      <c r="P263" s="69"/>
      <c r="Q263" s="69" t="s">
        <v>174</v>
      </c>
      <c r="R263" s="69">
        <f>IF(Q263="Free Recall",1,IF(Q263="Cued Recall",2,IF(Q263="Recognition",3,IF(Q263="Multiple Choice",4,IF(Q263="Savings",5,IF(Q263="Stem Completion",6,IF(Q263="Fragment Completion",7,IF(Q263="anagram solution",8,IF(Q263="Matching",9,IF(Q263="Problem Solving",10,"99"))))))))))</f>
        <v>1</v>
      </c>
      <c r="S263" s="69" t="s">
        <v>49</v>
      </c>
      <c r="T263" s="92" t="s">
        <v>581</v>
      </c>
      <c r="U263" s="69">
        <f>IF(T263="within",1,0)</f>
        <v>1</v>
      </c>
      <c r="V263" s="92">
        <v>12</v>
      </c>
      <c r="W263" s="69">
        <f>F263*V263</f>
        <v>252</v>
      </c>
      <c r="X263" s="69">
        <v>3</v>
      </c>
      <c r="Y263" s="87">
        <f>AV262</f>
        <v>30</v>
      </c>
      <c r="Z263" s="92" t="s">
        <v>79</v>
      </c>
      <c r="AA263" s="69">
        <f>60*60*24</f>
        <v>86400</v>
      </c>
      <c r="AB263" s="69" t="str">
        <f>IF(AA263&lt;60,"1",IF(AA263&lt;=43200,"2",IF(AA263&lt;=777600,"3","4")))</f>
        <v>3</v>
      </c>
      <c r="AC263" s="72">
        <f>AVERAGE(AV262:DA262)</f>
        <v>29410</v>
      </c>
      <c r="AD263" s="69" t="str">
        <f>IF(AC263&lt;60,"1",IF(AC263&lt;=43200,"2",IF(AC263&lt;=777600,"3","4")))</f>
        <v>2</v>
      </c>
      <c r="AE263" s="87">
        <f>AA263-Y263</f>
        <v>86370</v>
      </c>
      <c r="AF263" s="88">
        <f>AV263</f>
        <v>1</v>
      </c>
      <c r="AG263" s="72">
        <f>((AW263-AV263)+(AX263-AW263))/2</f>
        <v>-9.5521220301730825E-2</v>
      </c>
      <c r="AH263" s="4"/>
      <c r="AI263" s="72">
        <f>RSQ(AV263:AX263,AV262:AX262)</f>
        <v>0.71467056201420331</v>
      </c>
      <c r="AJ263" s="110">
        <f>SLOPE(AV263:AX263,AV262:AX262)</f>
        <v>-1.6386294600939364E-6</v>
      </c>
      <c r="AK263" s="72">
        <f>INTERCEPT(AV263:AX263,AV262:AX262)</f>
        <v>0.94947707635532819</v>
      </c>
      <c r="AL263" s="72">
        <f>INDEX(LINEST(LN(AV263:AX263),LN(AV262:AX262),TRUE,TRUE),3,1)</f>
        <v>0.9998727468771702</v>
      </c>
      <c r="AM263" s="72">
        <f>INDEX(LINEST(LN(AV263:AX263),LN(AV262:AX262)),1)</f>
        <v>-2.6620588926005297E-2</v>
      </c>
      <c r="AN263" s="72">
        <f>EXP(INDEX(LINEST(LN(AV263:AX263),LN(AV262:AX262)),1,2))</f>
        <v>1.0940327699252308</v>
      </c>
      <c r="AO263" s="89">
        <f>INDEX(LINEST((AV263:AX263),LN(AV262:AX262),TRUE,TRUE),3,1)</f>
        <v>0.99826419502537078</v>
      </c>
      <c r="AP263" s="89">
        <f>INDEX(LINEST((AV263:AX263),LN(AV262:AX262)),1)</f>
        <v>-2.3999783852446638E-2</v>
      </c>
      <c r="AQ263" s="90">
        <f>INDEX(LINEST(LN(AV263:AX263),SQRT(AV262:AX262),TRUE,TRUE),3,1)</f>
        <v>0.82387691566252996</v>
      </c>
      <c r="AR263" s="117">
        <f>INDEX(LINEST(LN(AV263:AX263),SQRT((AV262:AX262))),1)</f>
        <v>-6.1320767613276528E-4</v>
      </c>
      <c r="AS263" s="91">
        <f>INDEX(LINEST(1/(AV263:AX263),1/(SQRT(AV262:AX262)),TRUE,TRUE),3,1)</f>
        <v>0.8309206121318613</v>
      </c>
      <c r="AT263" s="91">
        <f>INDEX(LINEST(1/(AV263:AX263),1/SQRT(AV262:AX262)),1)</f>
        <v>-1.0967281877377142</v>
      </c>
      <c r="AU263" s="3"/>
      <c r="AV263" s="73">
        <v>1</v>
      </c>
      <c r="AW263" s="73">
        <v>0.89489739240535826</v>
      </c>
      <c r="AX263" s="73">
        <v>0.80895755939653835</v>
      </c>
      <c r="AY263" s="53"/>
      <c r="AZ263" s="53"/>
      <c r="BA263" s="53"/>
      <c r="BB263" s="53"/>
      <c r="BC263" s="53"/>
      <c r="BD263" s="53"/>
      <c r="BE263" s="53"/>
      <c r="BF263" s="53"/>
      <c r="BG263" s="53"/>
      <c r="BH263" s="53"/>
      <c r="BI263" s="53"/>
      <c r="BJ263" s="53"/>
      <c r="BK263" s="53"/>
      <c r="BL263" s="53"/>
      <c r="BM263" s="53"/>
      <c r="BN263" s="53"/>
      <c r="BO263" s="53"/>
      <c r="BP263" s="53"/>
      <c r="BQ263" s="53"/>
      <c r="BR263" s="53"/>
      <c r="BS263" s="53"/>
      <c r="BT263" s="53"/>
      <c r="BU263" s="53"/>
      <c r="BV263" s="53"/>
      <c r="BW263" s="53"/>
      <c r="BX263" s="53"/>
      <c r="BY263" s="53"/>
      <c r="BZ263" s="53"/>
      <c r="CA263" s="53"/>
      <c r="CB263" s="53"/>
      <c r="CC263" s="53"/>
      <c r="CD263" s="53"/>
      <c r="CE263" s="53"/>
      <c r="CF263" s="53"/>
      <c r="CG263" s="53"/>
      <c r="CH263" s="53"/>
      <c r="CI263" s="53"/>
      <c r="CJ263" s="53"/>
      <c r="CK263" s="53"/>
      <c r="CL263" s="53"/>
      <c r="CM263" s="53"/>
      <c r="CN263" s="53"/>
      <c r="CO263" s="53"/>
      <c r="CP263" s="53"/>
      <c r="CQ263" s="53"/>
      <c r="CR263" s="1"/>
      <c r="CS263" s="1"/>
      <c r="CT263" s="1"/>
      <c r="CU263" s="1"/>
    </row>
    <row r="264" spans="1:99" s="13" customFormat="1" ht="12" customHeight="1" x14ac:dyDescent="0.2">
      <c r="A264" s="68">
        <v>43896</v>
      </c>
      <c r="B264" s="70"/>
      <c r="C264" s="70"/>
      <c r="D264" s="69"/>
      <c r="E264" s="87"/>
      <c r="F264" s="69"/>
      <c r="G264" s="69"/>
      <c r="H264" s="69"/>
      <c r="I264" s="69"/>
      <c r="J264" s="69"/>
      <c r="K264" s="107"/>
      <c r="L264" s="107"/>
      <c r="M264" s="69"/>
      <c r="N264" s="69"/>
      <c r="O264" s="69"/>
      <c r="P264" s="69"/>
      <c r="Q264" s="69"/>
      <c r="R264" s="69"/>
      <c r="S264" s="69"/>
      <c r="T264" s="92"/>
      <c r="U264" s="69"/>
      <c r="V264" s="92"/>
      <c r="W264" s="69"/>
      <c r="X264" s="69"/>
      <c r="Y264" s="87"/>
      <c r="Z264" s="69"/>
      <c r="AA264" s="87"/>
      <c r="AB264" s="69"/>
      <c r="AC264" s="72"/>
      <c r="AD264" s="69"/>
      <c r="AE264" s="69"/>
      <c r="AF264" s="88"/>
      <c r="AG264" s="72"/>
      <c r="AH264" s="4"/>
      <c r="AI264" s="72"/>
      <c r="AJ264" s="110"/>
      <c r="AK264" s="72"/>
      <c r="AL264" s="72"/>
      <c r="AM264" s="72"/>
      <c r="AN264" s="72"/>
      <c r="AO264" s="89"/>
      <c r="AP264" s="89"/>
      <c r="AQ264" s="90"/>
      <c r="AR264" s="117"/>
      <c r="AS264" s="91"/>
      <c r="AT264" s="91"/>
      <c r="AU264" s="3"/>
      <c r="AV264" s="71">
        <v>94608000</v>
      </c>
      <c r="AW264" s="71">
        <v>252288000</v>
      </c>
      <c r="AX264" s="71">
        <v>409968000</v>
      </c>
      <c r="AY264" s="71">
        <v>567648000</v>
      </c>
      <c r="AZ264" s="53"/>
      <c r="BA264" s="53"/>
      <c r="BB264" s="53"/>
      <c r="BC264" s="53"/>
      <c r="BD264" s="53"/>
      <c r="BE264" s="53"/>
      <c r="BF264" s="53"/>
      <c r="BG264" s="53"/>
      <c r="BH264" s="53"/>
      <c r="BI264" s="53"/>
      <c r="BJ264" s="53"/>
      <c r="BK264" s="53"/>
      <c r="BL264" s="53"/>
      <c r="BM264" s="53"/>
      <c r="BN264" s="53"/>
      <c r="BO264" s="53"/>
      <c r="BP264" s="53"/>
      <c r="BQ264" s="53"/>
      <c r="BR264" s="53"/>
      <c r="BS264" s="53"/>
      <c r="BT264" s="53"/>
      <c r="BU264" s="53"/>
      <c r="BV264" s="53"/>
      <c r="BW264" s="53"/>
      <c r="BX264" s="53"/>
      <c r="BY264" s="53"/>
      <c r="BZ264" s="53"/>
      <c r="CA264" s="53"/>
      <c r="CB264" s="53"/>
      <c r="CC264" s="53"/>
      <c r="CD264" s="53"/>
      <c r="CE264" s="53"/>
      <c r="CF264" s="53"/>
      <c r="CG264" s="53"/>
      <c r="CH264" s="53"/>
      <c r="CI264" s="53"/>
      <c r="CJ264" s="53"/>
      <c r="CK264" s="53"/>
      <c r="CL264" s="53"/>
      <c r="CM264" s="53"/>
      <c r="CN264" s="53"/>
      <c r="CO264" s="53"/>
      <c r="CP264" s="53"/>
      <c r="CQ264" s="53"/>
      <c r="CR264" s="1"/>
      <c r="CS264" s="1"/>
      <c r="CT264" s="1"/>
      <c r="CU264" s="1"/>
    </row>
    <row r="265" spans="1:99" s="13" customFormat="1" ht="12" customHeight="1" x14ac:dyDescent="0.2">
      <c r="A265" s="68">
        <v>43896</v>
      </c>
      <c r="B265" s="70" t="s">
        <v>366</v>
      </c>
      <c r="C265" s="70" t="s">
        <v>357</v>
      </c>
      <c r="D265" s="69">
        <v>1997</v>
      </c>
      <c r="E265" s="87">
        <v>1</v>
      </c>
      <c r="F265" s="69">
        <v>10</v>
      </c>
      <c r="G265" s="69">
        <v>10</v>
      </c>
      <c r="H265" s="69" t="s">
        <v>50</v>
      </c>
      <c r="I265" s="69" t="s">
        <v>330</v>
      </c>
      <c r="J265" s="69" t="s">
        <v>340</v>
      </c>
      <c r="K265" s="69">
        <f>IF(J265="syllables",1,IF(J265="trigrams",2,IF(J265="strings",3,IF(J265="visual array",4,IF(J265="characters",5,IF(J265="letters",6,IF(J265="free forms",7,IF(J265="odors",8,IF(J265="words",9,IF(J265="pictures",10,IF(J265="object pictures",11,IF(J265="faces",12,IF(J265="names",13,IF(J265="idioms",14,IF(J265="grades",15,IF(J265="syllable-digit pairs",16,IF(J265="trigram-word pairs",17,IF(J265="word-digit pairs",18,IF(J265="English-Swahili pairs",19,IF(J265="spatial position",20,IF(J265="word pairs",21,IF(J265="word triads",22,IF(J265="generated words",23,IF(J265="word definition pairs",24,IF(J265="math problems",25,IF(J265="famous faces",26,IF(J265="famous names",27,IF(J265="famous voices",28,IF(J265="television programs",29,IF(J265="race horses",30,IF(J265="new vocabulary",31,IF(J265="sentences",32,IF(J265="concepts",33,IF(J265="ad slides",34,IF(J265="scenes",35,IF(J265="famous scenes",36,IF(J265="poems",37,IF(J265="walk",38,IF(J265="faces and events",39,IF(J265="events and names",40,IF(J265="flashbulb",41,IF(J265="stories",42,IF(J265="course material",43,IF(J265="autobiographical",44,IF(J265="novels",45,IF(J265="public events",46,"99"))))))))))))))))))))))))))))))))))))))))))))))</f>
        <v>46</v>
      </c>
      <c r="L265" s="69">
        <f>IF(J265="syllables",1,IF(J265="trigrams",1,IF(J265="strings",1,IF(J265="visual array",1,IF(J265="characters",1,IF(J265="letters",1,IF(J265="free forms",1,IF(J265="odors",2,IF(J265="words",2,IF(J265="pictures",2,IF(J265="object pictures",2,IF(J265="faces",2,IF(J265="names",2,IF(J265="idioms","2",IF(J265="grades",2,IF(J265="syllable-digit pairs",3,IF(J265="trigram-word pairs",3,IF(J265="word-digit pairs",3,IF(J265="English-Swahili pairs",3,IF(J265="spatial position",3,IF(J265="word pairs",4,IF(J265="word triads",4,IF(J265="generated words",4,IF(J265="word definition pairs",4,IF(J265="math problems",4,IF(J265="famous faces",4,IF(J265="famous names",4,IF(J265="famous voices",4,IF(J265="television programs",4,IF(J265="race horses",4,IF(J265="new vocabulary",4,IF(J265="sentences",5,IF(J265="concepts",5,IF(J265="ad slides",5,IF(J265="scenes",5,IF(J265="famous scenes",5,IF(J265="poems",6,IF(J265="walk",6,IF(J265="faces and events",6,IF(J265="events and names",6,IF(J265="flashbulb",7,IF(J265="stories",7,IF(J265="course material",7,IF(J265="autobiographical",7,IF(J265="novels",7,IF(J265="public events",7,"99"))))))))))))))))))))))))))))))))))))))))))))))</f>
        <v>7</v>
      </c>
      <c r="M265" s="69">
        <v>1</v>
      </c>
      <c r="N265" s="69">
        <v>4</v>
      </c>
      <c r="O265" s="69">
        <v>0</v>
      </c>
      <c r="P265" s="69"/>
      <c r="Q265" s="69" t="s">
        <v>174</v>
      </c>
      <c r="R265" s="69">
        <f>IF(Q265="Free Recall",1,IF(Q265="Cued Recall",2,IF(Q265="Recognition",3,IF(Q265="Multiple Choice",4,IF(Q265="Savings",5,IF(Q265="Stem Completion",6,IF(Q265="Fragment Completion",7,IF(Q265="anagram solution",8,IF(Q265="Matching",9,IF(Q265="Problem Solving",10,"99"))))))))))</f>
        <v>1</v>
      </c>
      <c r="S265" s="69" t="s">
        <v>49</v>
      </c>
      <c r="T265" s="92" t="s">
        <v>581</v>
      </c>
      <c r="U265" s="69">
        <f>IF(T265="within",1,0)</f>
        <v>1</v>
      </c>
      <c r="V265" s="92">
        <v>40</v>
      </c>
      <c r="W265" s="69">
        <f>F265*V265</f>
        <v>400</v>
      </c>
      <c r="X265" s="69">
        <v>4</v>
      </c>
      <c r="Y265" s="87">
        <f>AV264</f>
        <v>94608000</v>
      </c>
      <c r="Z265" s="92" t="s">
        <v>377</v>
      </c>
      <c r="AA265" s="69">
        <f>18*365*24*60*60</f>
        <v>567648000</v>
      </c>
      <c r="AB265" s="69" t="str">
        <f>IF(AA265&lt;60,"1",IF(AA265&lt;=43200,"2",IF(AA265&lt;=777600,"3","4")))</f>
        <v>4</v>
      </c>
      <c r="AC265" s="72">
        <f>AVERAGE(AV264:DA264)</f>
        <v>331128000</v>
      </c>
      <c r="AD265" s="69" t="str">
        <f>IF(AC265&lt;60,"1",IF(AC265&lt;=43200,"2",IF(AC265&lt;=777600,"3","4")))</f>
        <v>4</v>
      </c>
      <c r="AE265" s="87">
        <f>AA265-Y265</f>
        <v>473040000</v>
      </c>
      <c r="AF265" s="88">
        <f>AV265</f>
        <v>0.97</v>
      </c>
      <c r="AG265" s="72">
        <f>((AW265-AV265)+(AX265-AW265)+(AY265-AX265))/3</f>
        <v>-5.6666666666666643E-2</v>
      </c>
      <c r="AH265" s="4"/>
      <c r="AI265" s="72">
        <f>RSQ(AV265:AY265,AV264:AY264)</f>
        <v>0.95706984667802386</v>
      </c>
      <c r="AJ265" s="110">
        <f>SLOPE(AV265:AY265,AV264:AY264)</f>
        <v>-3.361237950279045E-10</v>
      </c>
      <c r="AK265" s="72">
        <f>INTERCEPT(AV265:AY265,AV264:AY264)</f>
        <v>0.99879999999999991</v>
      </c>
      <c r="AL265" s="72">
        <f>INDEX(LINEST(LN(AV265:AY265),LN(AV264:AY264),TRUE,TRUE),3,1)</f>
        <v>0.88158954190447458</v>
      </c>
      <c r="AM265" s="72">
        <f>INDEX(LINEST(LN(AV265:AY265),LN(AV264:AY264)),1)</f>
        <v>-9.5459256484472982E-2</v>
      </c>
      <c r="AN265" s="72">
        <f>EXP(INDEX(LINEST(LN(AV265:AY265),LN(AV264:AY264)),1,2))</f>
        <v>5.6553125213511697</v>
      </c>
      <c r="AO265" s="89">
        <f>INDEX(LINEST((AV265:AY265),LN(AV264:AY264),TRUE,TRUE),3,1)</f>
        <v>0.90035742732873492</v>
      </c>
      <c r="AP265" s="89">
        <f>INDEX(LINEST((AV265:AY265),LN(AV264:AY264)),1)</f>
        <v>-8.49606175454585E-2</v>
      </c>
      <c r="AQ265" s="90">
        <f>INDEX(LINEST(LN(AV265:AY265),SQRT(AV264:AY264),TRUE,TRUE),3,1)</f>
        <v>0.92909763001653811</v>
      </c>
      <c r="AR265" s="117">
        <f>INDEX(LINEST(LN(AV265:AY265),SQRT((AV264:AY264))),1)</f>
        <v>-1.260872019998919E-5</v>
      </c>
      <c r="AS265" s="91">
        <f>INDEX(LINEST(1/(AV265:AY265),1/(SQRT(AV264:AY264)),TRUE,TRUE),3,1)</f>
        <v>0.79422694793442006</v>
      </c>
      <c r="AT265" s="91">
        <f>INDEX(LINEST(1/(AV265:AY265),1/SQRT(AV264:AY264)),1)</f>
        <v>-2975.9079009167422</v>
      </c>
      <c r="AU265" s="3"/>
      <c r="AV265" s="73">
        <v>0.97</v>
      </c>
      <c r="AW265" s="73">
        <v>0.9</v>
      </c>
      <c r="AX265" s="73">
        <v>0.88</v>
      </c>
      <c r="AY265" s="73">
        <v>0.8</v>
      </c>
      <c r="AZ265" s="53"/>
      <c r="BA265" s="53"/>
      <c r="BB265" s="53"/>
      <c r="BC265" s="53"/>
      <c r="BD265" s="53"/>
      <c r="BE265" s="53"/>
      <c r="BF265" s="53"/>
      <c r="BG265" s="53"/>
      <c r="BH265" s="53"/>
      <c r="BI265" s="53"/>
      <c r="BJ265" s="53"/>
      <c r="BK265" s="53"/>
      <c r="BL265" s="53"/>
      <c r="BM265" s="53"/>
      <c r="BN265" s="53"/>
      <c r="BO265" s="53"/>
      <c r="BP265" s="53"/>
      <c r="BQ265" s="53"/>
      <c r="BR265" s="53"/>
      <c r="BS265" s="53"/>
      <c r="BT265" s="53"/>
      <c r="BU265" s="53"/>
      <c r="BV265" s="53"/>
      <c r="BW265" s="53"/>
      <c r="BX265" s="53"/>
      <c r="BY265" s="53"/>
      <c r="BZ265" s="53"/>
      <c r="CA265" s="53"/>
      <c r="CB265" s="53"/>
      <c r="CC265" s="53"/>
      <c r="CD265" s="53"/>
      <c r="CE265" s="53"/>
      <c r="CF265" s="53"/>
      <c r="CG265" s="53"/>
      <c r="CH265" s="53"/>
      <c r="CI265" s="53"/>
      <c r="CJ265" s="53"/>
      <c r="CK265" s="53"/>
      <c r="CL265" s="53"/>
      <c r="CM265" s="53"/>
      <c r="CN265" s="53"/>
      <c r="CO265" s="53"/>
      <c r="CP265" s="53"/>
      <c r="CQ265" s="53"/>
      <c r="CR265" s="1"/>
      <c r="CS265" s="1"/>
      <c r="CT265" s="1"/>
      <c r="CU265" s="1"/>
    </row>
    <row r="266" spans="1:99" s="13" customFormat="1" ht="12" customHeight="1" x14ac:dyDescent="0.2">
      <c r="A266" s="65">
        <v>43902</v>
      </c>
      <c r="B266" s="1"/>
      <c r="C266" s="1"/>
      <c r="D266" s="60"/>
      <c r="E266" s="76"/>
      <c r="F266" s="60"/>
      <c r="G266" s="60"/>
      <c r="H266" s="60"/>
      <c r="I266" s="60"/>
      <c r="J266" s="60"/>
      <c r="K266" s="64"/>
      <c r="L266" s="64"/>
      <c r="M266" s="60"/>
      <c r="N266" s="59"/>
      <c r="O266" s="60"/>
      <c r="P266" s="60"/>
      <c r="Q266" s="60"/>
      <c r="R266" s="60"/>
      <c r="S266" s="60"/>
      <c r="T266" s="59"/>
      <c r="U266" s="60"/>
      <c r="V266" s="59"/>
      <c r="W266" s="60"/>
      <c r="X266" s="60"/>
      <c r="Y266" s="76"/>
      <c r="Z266" s="59"/>
      <c r="AA266" s="59"/>
      <c r="AB266" s="60"/>
      <c r="AC266" s="56"/>
      <c r="AD266" s="60"/>
      <c r="AE266" s="60"/>
      <c r="AF266" s="80"/>
      <c r="AG266" s="56"/>
      <c r="AH266" s="4"/>
      <c r="AI266" s="56"/>
      <c r="AJ266" s="109"/>
      <c r="AK266" s="56"/>
      <c r="AL266" s="56"/>
      <c r="AM266" s="56"/>
      <c r="AN266" s="56"/>
      <c r="AO266" s="82"/>
      <c r="AP266" s="82"/>
      <c r="AQ266" s="83"/>
      <c r="AR266" s="116"/>
      <c r="AS266" s="84"/>
      <c r="AT266" s="84"/>
      <c r="AU266" s="3"/>
      <c r="AV266" s="25">
        <v>315360000</v>
      </c>
      <c r="AW266" s="25">
        <v>630720000</v>
      </c>
      <c r="AX266" s="25">
        <v>946080000</v>
      </c>
      <c r="AY266" s="25">
        <v>1261440000</v>
      </c>
      <c r="AZ266" s="25">
        <v>1576800000</v>
      </c>
      <c r="BA266" s="53"/>
      <c r="BB266" s="53"/>
      <c r="BC266" s="53"/>
      <c r="BD266" s="53"/>
      <c r="BE266" s="53"/>
      <c r="BF266" s="53"/>
      <c r="BG266" s="53"/>
      <c r="BH266" s="53"/>
      <c r="BI266" s="53"/>
      <c r="BJ266" s="53"/>
      <c r="BK266" s="53"/>
      <c r="BL266" s="53"/>
      <c r="BM266" s="53"/>
      <c r="BN266" s="53"/>
      <c r="BO266" s="53"/>
      <c r="BP266" s="53"/>
      <c r="BQ266" s="53"/>
      <c r="BR266" s="53"/>
      <c r="BS266" s="53"/>
      <c r="BT266" s="53"/>
      <c r="BU266" s="53"/>
      <c r="BV266" s="53"/>
      <c r="BW266" s="53"/>
      <c r="BX266" s="53"/>
      <c r="BY266" s="53"/>
      <c r="BZ266" s="53"/>
      <c r="CA266" s="53"/>
      <c r="CB266" s="53"/>
      <c r="CC266" s="53"/>
      <c r="CD266" s="53"/>
      <c r="CE266" s="53"/>
      <c r="CF266" s="53"/>
      <c r="CG266" s="53"/>
      <c r="CH266" s="53"/>
      <c r="CI266" s="53"/>
      <c r="CJ266" s="53"/>
      <c r="CK266" s="53"/>
      <c r="CL266" s="53"/>
      <c r="CM266" s="53"/>
      <c r="CN266" s="53"/>
      <c r="CO266" s="53"/>
      <c r="CP266" s="53"/>
      <c r="CQ266" s="53"/>
      <c r="CR266" s="1"/>
      <c r="CS266" s="1"/>
      <c r="CT266" s="1"/>
      <c r="CU266" s="1"/>
    </row>
    <row r="267" spans="1:99" s="13" customFormat="1" ht="12" customHeight="1" x14ac:dyDescent="0.2">
      <c r="A267" s="65">
        <v>43902</v>
      </c>
      <c r="B267" s="1" t="s">
        <v>448</v>
      </c>
      <c r="C267" s="1" t="s">
        <v>357</v>
      </c>
      <c r="D267" s="60">
        <v>1988</v>
      </c>
      <c r="E267" s="76">
        <v>1</v>
      </c>
      <c r="F267" s="60">
        <v>5</v>
      </c>
      <c r="G267" s="60">
        <v>5</v>
      </c>
      <c r="H267" s="60" t="s">
        <v>451</v>
      </c>
      <c r="I267" s="60" t="s">
        <v>330</v>
      </c>
      <c r="J267" s="59" t="s">
        <v>353</v>
      </c>
      <c r="K267" s="60">
        <f>IF(J267="syllables",1,IF(J267="trigrams",2,IF(J267="strings",3,IF(J267="visual array",4,IF(J267="characters",5,IF(J267="letters",6,IF(J267="free forms",7,IF(J267="odors",8,IF(J267="words",9,IF(J267="pictures",10,IF(J267="object pictures",11,IF(J267="faces",12,IF(J267="names",13,IF(J267="idioms",14,IF(J267="grades",15,IF(J267="syllable-digit pairs",16,IF(J267="trigram-word pairs",17,IF(J267="word-digit pairs",18,IF(J267="English-Swahili pairs",19,IF(J267="spatial position",20,IF(J267="word pairs",21,IF(J267="word triads",22,IF(J267="generated words",23,IF(J267="word definition pairs",24,IF(J267="math problems",25,IF(J267="famous faces",26,IF(J267="famous names",27,IF(J267="famous voices",28,IF(J267="television programs",29,IF(J267="race horses",30,IF(J267="new vocabulary",31,IF(J267="sentences",32,IF(J267="concepts",33,IF(J267="ad slides",34,IF(J267="scenes",35,IF(J267="famous scenes",36,IF(J267="poems",37,IF(J267="walk",38,IF(J267="faces and events",39,IF(J267="events and names",40,IF(J267="flashbulb",41,IF(J267="stories",42,IF(J267="course material",43,IF(J267="autobiographical",44,IF(J267="novels",45,IF(J267="public events",46,"99"))))))))))))))))))))))))))))))))))))))))))))))</f>
        <v>28</v>
      </c>
      <c r="L267" s="60">
        <f>IF(J267="syllables",1,IF(J267="trigrams",1,IF(J267="strings",1,IF(J267="visual array",1,IF(J267="characters",1,IF(J267="letters",1,IF(J267="free forms",1,IF(J267="odors",2,IF(J267="words",2,IF(J267="pictures",2,IF(J267="object pictures",2,IF(J267="faces",2,IF(J267="names",2,IF(J267="idioms","2",IF(J267="grades",2,IF(J267="syllable-digit pairs",3,IF(J267="trigram-word pairs",3,IF(J267="word-digit pairs",3,IF(J267="English-Swahili pairs",3,IF(J267="spatial position",3,IF(J267="word pairs",4,IF(J267="word triads",4,IF(J267="generated words",4,IF(J267="word definition pairs",4,IF(J267="math problems",4,IF(J267="famous faces",4,IF(J267="famous names",4,IF(J267="famous voices",4,IF(J267="television programs",4,IF(J267="race horses",4,IF(J267="new vocabulary",4,IF(J267="sentences",5,IF(J267="concepts",5,IF(J267="ad slides",5,IF(J267="scenes",5,IF(J267="famous scenes",5,IF(J267="poems",6,IF(J267="walk",6,IF(J267="faces and events",6,IF(J267="events and names",6,IF(J267="flashbulb",7,IF(J267="stories",7,IF(J267="course material",7,IF(J267="autobiographical",7,IF(J267="novels",7,IF(J267="public events",7,"99"))))))))))))))))))))))))))))))))))))))))))))))</f>
        <v>4</v>
      </c>
      <c r="M267" s="60">
        <v>1</v>
      </c>
      <c r="N267" s="59">
        <v>3</v>
      </c>
      <c r="O267" s="60">
        <v>0</v>
      </c>
      <c r="P267" s="60"/>
      <c r="Q267" s="60" t="s">
        <v>174</v>
      </c>
      <c r="R267" s="60">
        <f>IF(Q267="Free Recall",1,IF(Q267="Cued Recall",2,IF(Q267="Recognition",3,IF(Q267="Multiple Choice",4,IF(Q267="Savings",5,IF(Q267="Stem Completion",6,IF(Q267="Fragment Completion",7,IF(Q267="anagram solution",8,IF(Q267="Matching",9,IF(Q267="Problem Solving",10,"99"))))))))))</f>
        <v>1</v>
      </c>
      <c r="S267" s="60" t="s">
        <v>49</v>
      </c>
      <c r="T267" s="59" t="s">
        <v>581</v>
      </c>
      <c r="U267" s="60">
        <f>IF(T267="within",1,0)</f>
        <v>1</v>
      </c>
      <c r="V267" s="59">
        <v>75</v>
      </c>
      <c r="W267" s="60">
        <f>F267*V267</f>
        <v>375</v>
      </c>
      <c r="X267" s="60">
        <v>5</v>
      </c>
      <c r="Y267" s="76">
        <f>AV266</f>
        <v>315360000</v>
      </c>
      <c r="Z267" s="59" t="s">
        <v>209</v>
      </c>
      <c r="AA267" s="60">
        <f>50*365*24*60*60</f>
        <v>1576800000</v>
      </c>
      <c r="AB267" s="60" t="str">
        <f>IF(AA267&lt;60,"1",IF(AA267&lt;=43200,"2",IF(AA267&lt;=777600,"3","4")))</f>
        <v>4</v>
      </c>
      <c r="AC267" s="56">
        <f>AVERAGE(AV266:DA266)</f>
        <v>946080000</v>
      </c>
      <c r="AD267" s="60" t="str">
        <f>IF(AC267&lt;60,"1",IF(AC267&lt;=43200,"2",IF(AC267&lt;=777600,"3","4")))</f>
        <v>4</v>
      </c>
      <c r="AE267" s="76">
        <f>AA267-Y267</f>
        <v>1261440000</v>
      </c>
      <c r="AF267" s="80">
        <f>AV267</f>
        <v>0.64</v>
      </c>
      <c r="AG267" s="56">
        <f>((AW267-AV267)+(AX267-AW267)+(AY267-AX267)+(AZ267-AY267))/4</f>
        <v>-8.7500000000000008E-2</v>
      </c>
      <c r="AH267" s="4"/>
      <c r="AI267" s="56">
        <f>RSQ(AV267:AZ267,AV266:AZ266)</f>
        <v>0.76370533529123807</v>
      </c>
      <c r="AJ267" s="109">
        <f>SLOPE(AV267:AZ267,AV266:AZ266)</f>
        <v>-2.5050735667174024E-10</v>
      </c>
      <c r="AK267" s="56">
        <f>INTERCEPT(AV267:AZ267,AV266:AZ266)</f>
        <v>0.71299999999999997</v>
      </c>
      <c r="AL267" s="56">
        <f>INDEX(LINEST(LN(AV267:AZ267),LN(AV266:AZ266),TRUE,TRUE),3,1)</f>
        <v>0.68429305295440535</v>
      </c>
      <c r="AM267" s="56">
        <f>INDEX(LINEST(LN(AV267:AZ267),LN(AV266:AZ266)),1)</f>
        <v>-0.41976270112104347</v>
      </c>
      <c r="AN267" s="56">
        <f>EXP(INDEX(LINEST(LN(AV267:AZ267),LN(AV266:AZ266)),1,2))</f>
        <v>2525.9903857627628</v>
      </c>
      <c r="AO267" s="82">
        <f>INDEX(LINEST((AV267:AZ267),LN(AV266:AZ266),TRUE,TRUE),3,1)</f>
        <v>0.74363999085354504</v>
      </c>
      <c r="AP267" s="82">
        <f>INDEX(LINEST((AV267:AZ267),LN(AV266:AZ266)),1)</f>
        <v>-0.19395168034166685</v>
      </c>
      <c r="AQ267" s="83">
        <f>INDEX(LINEST(LN(AV267:AZ267),SQRT(AV266:AZ266),TRUE,TRUE),3,1)</f>
        <v>0.71968419487952484</v>
      </c>
      <c r="AR267" s="116">
        <f>INDEX(LINEST(LN(AV267:AZ267),SQRT((AV266:AZ266))),1)</f>
        <v>-3.1656178720381467E-5</v>
      </c>
      <c r="AS267" s="84">
        <f>INDEX(LINEST(1/(AV267:AZ267),1/(SQRT(AV266:AZ266)),TRUE,TRUE),3,1)</f>
        <v>0.56281582614682635</v>
      </c>
      <c r="AT267" s="84">
        <f>INDEX(LINEST(1/(AV267:AZ267),1/SQRT(AV266:AZ266)),1)</f>
        <v>-46488.591402182086</v>
      </c>
      <c r="AU267" s="3"/>
      <c r="AV267" s="53">
        <v>0.64</v>
      </c>
      <c r="AW267" s="53">
        <v>0.57999999999999996</v>
      </c>
      <c r="AX267" s="53">
        <v>0.38</v>
      </c>
      <c r="AY267" s="53">
        <v>0.49</v>
      </c>
      <c r="AZ267" s="53">
        <v>0.28999999999999998</v>
      </c>
      <c r="BA267" s="53"/>
      <c r="BB267" s="53"/>
      <c r="BC267" s="53"/>
      <c r="BD267" s="53"/>
      <c r="BE267" s="53"/>
      <c r="BF267" s="53"/>
      <c r="BG267" s="53"/>
      <c r="BH267" s="53"/>
      <c r="BI267" s="53"/>
      <c r="BJ267" s="53"/>
      <c r="BK267" s="53"/>
      <c r="BL267" s="53"/>
      <c r="BM267" s="53"/>
      <c r="BN267" s="53"/>
      <c r="BO267" s="53"/>
      <c r="BP267" s="53"/>
      <c r="BQ267" s="53"/>
      <c r="BR267" s="53"/>
      <c r="BS267" s="53"/>
      <c r="BT267" s="53"/>
      <c r="BU267" s="53"/>
      <c r="BV267" s="53"/>
      <c r="BW267" s="53"/>
      <c r="BX267" s="53"/>
      <c r="BY267" s="53"/>
      <c r="BZ267" s="53"/>
      <c r="CA267" s="53"/>
      <c r="CB267" s="53"/>
      <c r="CC267" s="53"/>
      <c r="CD267" s="53"/>
      <c r="CE267" s="53"/>
      <c r="CF267" s="53"/>
      <c r="CG267" s="53"/>
      <c r="CH267" s="53"/>
      <c r="CI267" s="53"/>
      <c r="CJ267" s="53"/>
      <c r="CK267" s="53"/>
      <c r="CL267" s="53"/>
      <c r="CM267" s="53"/>
      <c r="CN267" s="53"/>
      <c r="CO267" s="53"/>
      <c r="CP267" s="53"/>
      <c r="CQ267" s="53"/>
      <c r="CR267" s="1"/>
      <c r="CS267" s="1"/>
      <c r="CT267" s="1"/>
      <c r="CU267" s="1"/>
    </row>
    <row r="268" spans="1:99" s="13" customFormat="1" ht="12" customHeight="1" x14ac:dyDescent="0.2">
      <c r="A268" s="65">
        <v>43902</v>
      </c>
      <c r="B268" s="1"/>
      <c r="C268" s="1"/>
      <c r="D268" s="60"/>
      <c r="E268" s="76"/>
      <c r="F268" s="60"/>
      <c r="G268" s="60"/>
      <c r="H268" s="60"/>
      <c r="I268" s="60"/>
      <c r="J268" s="60"/>
      <c r="K268" s="64"/>
      <c r="L268" s="64"/>
      <c r="M268" s="60"/>
      <c r="N268" s="59"/>
      <c r="O268" s="60"/>
      <c r="P268" s="60"/>
      <c r="Q268" s="60"/>
      <c r="R268" s="60"/>
      <c r="S268" s="60"/>
      <c r="T268" s="59"/>
      <c r="U268" s="60"/>
      <c r="V268" s="59"/>
      <c r="W268" s="60"/>
      <c r="X268" s="60"/>
      <c r="Y268" s="76"/>
      <c r="Z268" s="59"/>
      <c r="AA268" s="59"/>
      <c r="AB268" s="60"/>
      <c r="AC268" s="56"/>
      <c r="AD268" s="60"/>
      <c r="AE268" s="60"/>
      <c r="AF268" s="80"/>
      <c r="AG268" s="56"/>
      <c r="AH268" s="4"/>
      <c r="AI268" s="56"/>
      <c r="AJ268" s="109"/>
      <c r="AK268" s="56"/>
      <c r="AL268" s="56"/>
      <c r="AM268" s="56"/>
      <c r="AN268" s="56"/>
      <c r="AO268" s="82"/>
      <c r="AP268" s="82"/>
      <c r="AQ268" s="83"/>
      <c r="AR268" s="116"/>
      <c r="AS268" s="84"/>
      <c r="AT268" s="84"/>
      <c r="AU268" s="3"/>
      <c r="AV268" s="25">
        <v>315360000</v>
      </c>
      <c r="AW268" s="25">
        <v>630720000</v>
      </c>
      <c r="AX268" s="25">
        <v>946080000</v>
      </c>
      <c r="AY268" s="25">
        <v>1261440000</v>
      </c>
      <c r="AZ268" s="25">
        <v>1576800000</v>
      </c>
      <c r="BA268" s="53"/>
      <c r="BB268" s="53"/>
      <c r="BC268" s="53"/>
      <c r="BD268" s="53"/>
      <c r="BE268" s="53"/>
      <c r="BF268" s="53"/>
      <c r="BG268" s="53"/>
      <c r="BH268" s="53"/>
      <c r="BI268" s="53"/>
      <c r="BJ268" s="53"/>
      <c r="BK268" s="53"/>
      <c r="BL268" s="53"/>
      <c r="BM268" s="53"/>
      <c r="BN268" s="53"/>
      <c r="BO268" s="53"/>
      <c r="BP268" s="53"/>
      <c r="BQ268" s="53"/>
      <c r="BR268" s="53"/>
      <c r="BS268" s="53"/>
      <c r="BT268" s="53"/>
      <c r="BU268" s="53"/>
      <c r="BV268" s="53"/>
      <c r="BW268" s="53"/>
      <c r="BX268" s="53"/>
      <c r="BY268" s="53"/>
      <c r="BZ268" s="53"/>
      <c r="CA268" s="53"/>
      <c r="CB268" s="53"/>
      <c r="CC268" s="53"/>
      <c r="CD268" s="53"/>
      <c r="CE268" s="53"/>
      <c r="CF268" s="53"/>
      <c r="CG268" s="53"/>
      <c r="CH268" s="53"/>
      <c r="CI268" s="53"/>
      <c r="CJ268" s="53"/>
      <c r="CK268" s="53"/>
      <c r="CL268" s="53"/>
      <c r="CM268" s="53"/>
      <c r="CN268" s="53"/>
      <c r="CO268" s="53"/>
      <c r="CP268" s="53"/>
      <c r="CQ268" s="53"/>
      <c r="CR268" s="1"/>
      <c r="CS268" s="1"/>
      <c r="CT268" s="1"/>
      <c r="CU268" s="1"/>
    </row>
    <row r="269" spans="1:99" s="13" customFormat="1" ht="12" customHeight="1" x14ac:dyDescent="0.2">
      <c r="A269" s="65">
        <v>43902</v>
      </c>
      <c r="B269" s="1" t="s">
        <v>448</v>
      </c>
      <c r="C269" s="1" t="s">
        <v>357</v>
      </c>
      <c r="D269" s="60">
        <v>1988</v>
      </c>
      <c r="E269" s="76">
        <v>1</v>
      </c>
      <c r="F269" s="60">
        <v>5</v>
      </c>
      <c r="G269" s="60">
        <v>5</v>
      </c>
      <c r="H269" s="60" t="s">
        <v>451</v>
      </c>
      <c r="I269" s="60" t="s">
        <v>330</v>
      </c>
      <c r="J269" s="59" t="s">
        <v>353</v>
      </c>
      <c r="K269" s="60">
        <f>IF(J269="syllables",1,IF(J269="trigrams",2,IF(J269="strings",3,IF(J269="visual array",4,IF(J269="characters",5,IF(J269="letters",6,IF(J269="free forms",7,IF(J269="odors",8,IF(J269="words",9,IF(J269="pictures",10,IF(J269="object pictures",11,IF(J269="faces",12,IF(J269="names",13,IF(J269="idioms",14,IF(J269="grades",15,IF(J269="syllable-digit pairs",16,IF(J269="trigram-word pairs",17,IF(J269="word-digit pairs",18,IF(J269="English-Swahili pairs",19,IF(J269="spatial position",20,IF(J269="word pairs",21,IF(J269="word triads",22,IF(J269="generated words",23,IF(J269="word definition pairs",24,IF(J269="math problems",25,IF(J269="famous faces",26,IF(J269="famous names",27,IF(J269="famous voices",28,IF(J269="television programs",29,IF(J269="race horses",30,IF(J269="new vocabulary",31,IF(J269="sentences",32,IF(J269="concepts",33,IF(J269="ad slides",34,IF(J269="scenes",35,IF(J269="famous scenes",36,IF(J269="poems",37,IF(J269="walk",38,IF(J269="faces and events",39,IF(J269="events and names",40,IF(J269="flashbulb",41,IF(J269="stories",42,IF(J269="course material",43,IF(J269="autobiographical",44,IF(J269="novels",45,IF(J269="public events",46,"99"))))))))))))))))))))))))))))))))))))))))))))))</f>
        <v>28</v>
      </c>
      <c r="L269" s="60">
        <f>IF(J269="syllables",1,IF(J269="trigrams",1,IF(J269="strings",1,IF(J269="visual array",1,IF(J269="characters",1,IF(J269="letters",1,IF(J269="free forms",1,IF(J269="odors",2,IF(J269="words",2,IF(J269="pictures",2,IF(J269="object pictures",2,IF(J269="faces",2,IF(J269="names",2,IF(J269="idioms","2",IF(J269="grades",2,IF(J269="syllable-digit pairs",3,IF(J269="trigram-word pairs",3,IF(J269="word-digit pairs",3,IF(J269="English-Swahili pairs",3,IF(J269="spatial position",3,IF(J269="word pairs",4,IF(J269="word triads",4,IF(J269="generated words",4,IF(J269="word definition pairs",4,IF(J269="math problems",4,IF(J269="famous faces",4,IF(J269="famous names",4,IF(J269="famous voices",4,IF(J269="television programs",4,IF(J269="race horses",4,IF(J269="new vocabulary",4,IF(J269="sentences",5,IF(J269="concepts",5,IF(J269="ad slides",5,IF(J269="scenes",5,IF(J269="famous scenes",5,IF(J269="poems",6,IF(J269="walk",6,IF(J269="faces and events",6,IF(J269="events and names",6,IF(J269="flashbulb",7,IF(J269="stories",7,IF(J269="course material",7,IF(J269="autobiographical",7,IF(J269="novels",7,IF(J269="public events",7,"99"))))))))))))))))))))))))))))))))))))))))))))))</f>
        <v>4</v>
      </c>
      <c r="M269" s="60">
        <v>1</v>
      </c>
      <c r="N269" s="59">
        <v>3</v>
      </c>
      <c r="O269" s="60">
        <v>0</v>
      </c>
      <c r="P269" s="60"/>
      <c r="Q269" s="60" t="s">
        <v>182</v>
      </c>
      <c r="R269" s="60">
        <f>IF(Q269="Free Recall",1,IF(Q269="Cued Recall",2,IF(Q269="Recognition",3,IF(Q269="Multiple Choice",4,IF(Q269="Savings",5,IF(Q269="Stem Completion",6,IF(Q269="Fragment Completion",7,IF(Q269="anagram solution",8,IF(Q269="Matching",9,IF(Q269="Problem Solving",10,"99"))))))))))</f>
        <v>4</v>
      </c>
      <c r="S269" s="60" t="s">
        <v>15</v>
      </c>
      <c r="T269" s="59" t="s">
        <v>581</v>
      </c>
      <c r="U269" s="60">
        <f>IF(T269="within",1,0)</f>
        <v>1</v>
      </c>
      <c r="V269" s="59">
        <v>75</v>
      </c>
      <c r="W269" s="60">
        <f>F269*V269</f>
        <v>375</v>
      </c>
      <c r="X269" s="60">
        <v>5</v>
      </c>
      <c r="Y269" s="76">
        <f>AV268</f>
        <v>315360000</v>
      </c>
      <c r="Z269" s="59" t="s">
        <v>209</v>
      </c>
      <c r="AA269" s="60">
        <f>50*365*24*60*60</f>
        <v>1576800000</v>
      </c>
      <c r="AB269" s="60" t="str">
        <f>IF(AA269&lt;60,"1",IF(AA269&lt;=43200,"2",IF(AA269&lt;=777600,"3","4")))</f>
        <v>4</v>
      </c>
      <c r="AC269" s="56">
        <f>AVERAGE(AV268:DA268)</f>
        <v>946080000</v>
      </c>
      <c r="AD269" s="60" t="str">
        <f>IF(AC269&lt;60,"1",IF(AC269&lt;=43200,"2",IF(AC269&lt;=777600,"3","4")))</f>
        <v>4</v>
      </c>
      <c r="AE269" s="76">
        <f>AA269-Y269</f>
        <v>1261440000</v>
      </c>
      <c r="AF269" s="80">
        <f>AV269</f>
        <v>0.92</v>
      </c>
      <c r="AG269" s="56">
        <f>((AW269-AV269)+(AX269-AW269)+(AY269-AX269)+(AZ269-AY269))/4</f>
        <v>-0.11000000000000001</v>
      </c>
      <c r="AH269" s="4"/>
      <c r="AI269" s="56">
        <f>RSQ(AV269:AZ269,AV268:AZ268)</f>
        <v>0.59900990099009899</v>
      </c>
      <c r="AJ269" s="109">
        <f>SLOPE(AV269:AZ269,AV268:AZ268)</f>
        <v>-2.7904616945712838E-10</v>
      </c>
      <c r="AK269" s="56">
        <f>INTERCEPT(AV269:AZ269,AV268:AZ268)</f>
        <v>1.052</v>
      </c>
      <c r="AL269" s="56">
        <f>INDEX(LINEST(LN(AV269:AZ269),LN(AV268:AZ268),TRUE,TRUE),3,1)</f>
        <v>0.4401675434526473</v>
      </c>
      <c r="AM269" s="56">
        <f>INDEX(LINEST(LN(AV269:AZ269),LN(AV268:AZ268)),1)</f>
        <v>-0.28149290710271108</v>
      </c>
      <c r="AN269" s="56">
        <f>EXP(INDEX(LINEST(LN(AV269:AZ269),LN(AV268:AZ268)),1,2))</f>
        <v>248.09986942386752</v>
      </c>
      <c r="AO269" s="82">
        <f>INDEX(LINEST((AV269:AZ269),LN(AV268:AZ268),TRUE,TRUE),3,1)</f>
        <v>0.46964806146866789</v>
      </c>
      <c r="AP269" s="82">
        <f>INDEX(LINEST((AV269:AZ269),LN(AV268:AZ268)),1)</f>
        <v>-0.1938652358734009</v>
      </c>
      <c r="AQ269" s="83">
        <f>INDEX(LINEST(LN(AV269:AZ269),SQRT(AV268:AZ268),TRUE,TRUE),3,1)</f>
        <v>0.51309379991300741</v>
      </c>
      <c r="AR269" s="116">
        <f>INDEX(LINEST(LN(AV269:AZ269),SQRT((AV268:AZ268))),1)</f>
        <v>-2.2349178176397365E-5</v>
      </c>
      <c r="AS269" s="84">
        <f>INDEX(LINEST(1/(AV269:AZ269),1/(SQRT(AV268:AZ268)),TRUE,TRUE),3,1)</f>
        <v>0.34144569867690416</v>
      </c>
      <c r="AT269" s="84">
        <f>INDEX(LINEST(1/(AV269:AZ269),1/SQRT(AV268:AZ268)),1)</f>
        <v>-19719.570036715031</v>
      </c>
      <c r="AU269" s="3"/>
      <c r="AV269" s="53">
        <v>0.92</v>
      </c>
      <c r="AW269" s="53">
        <v>0.88</v>
      </c>
      <c r="AX269" s="53">
        <v>0.78</v>
      </c>
      <c r="AY269" s="53">
        <v>0.88</v>
      </c>
      <c r="AZ269" s="53">
        <v>0.48</v>
      </c>
      <c r="BA269" s="53"/>
      <c r="BB269" s="53"/>
      <c r="BC269" s="53"/>
      <c r="BD269" s="53"/>
      <c r="BE269" s="53"/>
      <c r="BF269" s="53"/>
      <c r="BG269" s="53"/>
      <c r="BH269" s="53"/>
      <c r="BI269" s="53"/>
      <c r="BJ269" s="53"/>
      <c r="BK269" s="53"/>
      <c r="BL269" s="53"/>
      <c r="BM269" s="53"/>
      <c r="BN269" s="53"/>
      <c r="BO269" s="53"/>
      <c r="BP269" s="53"/>
      <c r="BQ269" s="53"/>
      <c r="BR269" s="53"/>
      <c r="BS269" s="53"/>
      <c r="BT269" s="53"/>
      <c r="BU269" s="53"/>
      <c r="BV269" s="53"/>
      <c r="BW269" s="53"/>
      <c r="BX269" s="53"/>
      <c r="BY269" s="53"/>
      <c r="BZ269" s="53"/>
      <c r="CA269" s="53"/>
      <c r="CB269" s="53"/>
      <c r="CC269" s="53"/>
      <c r="CD269" s="53"/>
      <c r="CE269" s="53"/>
      <c r="CF269" s="53"/>
      <c r="CG269" s="53"/>
      <c r="CH269" s="53"/>
      <c r="CI269" s="53"/>
      <c r="CJ269" s="53"/>
      <c r="CK269" s="53"/>
      <c r="CL269" s="53"/>
      <c r="CM269" s="53"/>
      <c r="CN269" s="53"/>
      <c r="CO269" s="53"/>
      <c r="CP269" s="53"/>
      <c r="CQ269" s="53"/>
      <c r="CR269" s="1"/>
      <c r="CS269" s="1"/>
      <c r="CT269" s="1"/>
      <c r="CU269" s="1"/>
    </row>
    <row r="270" spans="1:99" s="13" customFormat="1" ht="12" customHeight="1" x14ac:dyDescent="0.2">
      <c r="A270" s="65">
        <v>43902</v>
      </c>
      <c r="B270" s="1"/>
      <c r="C270" s="1"/>
      <c r="D270" s="60"/>
      <c r="E270" s="76"/>
      <c r="F270" s="60"/>
      <c r="G270" s="60"/>
      <c r="H270" s="60"/>
      <c r="I270" s="60"/>
      <c r="J270" s="60"/>
      <c r="K270" s="64"/>
      <c r="L270" s="64"/>
      <c r="M270" s="60"/>
      <c r="N270" s="59"/>
      <c r="O270" s="60"/>
      <c r="P270" s="60"/>
      <c r="Q270" s="60"/>
      <c r="R270" s="60"/>
      <c r="S270" s="60"/>
      <c r="T270" s="59"/>
      <c r="U270" s="60"/>
      <c r="V270" s="59"/>
      <c r="W270" s="60"/>
      <c r="X270" s="60"/>
      <c r="Y270" s="76"/>
      <c r="Z270" s="59"/>
      <c r="AA270" s="59"/>
      <c r="AB270" s="60"/>
      <c r="AC270" s="56"/>
      <c r="AD270" s="60"/>
      <c r="AE270" s="60"/>
      <c r="AF270" s="80"/>
      <c r="AG270" s="56"/>
      <c r="AH270" s="4"/>
      <c r="AI270" s="56"/>
      <c r="AJ270" s="109"/>
      <c r="AK270" s="56"/>
      <c r="AL270" s="56"/>
      <c r="AM270" s="56"/>
      <c r="AN270" s="56"/>
      <c r="AO270" s="82"/>
      <c r="AP270" s="82"/>
      <c r="AQ270" s="83"/>
      <c r="AR270" s="116"/>
      <c r="AS270" s="84"/>
      <c r="AT270" s="84"/>
      <c r="AU270" s="3"/>
      <c r="AV270" s="25">
        <v>315360000</v>
      </c>
      <c r="AW270" s="25">
        <v>630720000</v>
      </c>
      <c r="AX270" s="25">
        <v>946080000</v>
      </c>
      <c r="AY270" s="25">
        <v>1261440000</v>
      </c>
      <c r="AZ270" s="25">
        <v>1576800000</v>
      </c>
      <c r="BA270" s="53"/>
      <c r="BB270" s="53"/>
      <c r="BC270" s="53"/>
      <c r="BD270" s="53"/>
      <c r="BE270" s="53"/>
      <c r="BF270" s="53"/>
      <c r="BG270" s="53"/>
      <c r="BH270" s="53"/>
      <c r="BI270" s="53"/>
      <c r="BJ270" s="53"/>
      <c r="BK270" s="53"/>
      <c r="BL270" s="53"/>
      <c r="BM270" s="53"/>
      <c r="BN270" s="53"/>
      <c r="BO270" s="53"/>
      <c r="BP270" s="53"/>
      <c r="BQ270" s="53"/>
      <c r="BR270" s="53"/>
      <c r="BS270" s="53"/>
      <c r="BT270" s="53"/>
      <c r="BU270" s="53"/>
      <c r="BV270" s="53"/>
      <c r="BW270" s="53"/>
      <c r="BX270" s="53"/>
      <c r="BY270" s="53"/>
      <c r="BZ270" s="53"/>
      <c r="CA270" s="53"/>
      <c r="CB270" s="53"/>
      <c r="CC270" s="53"/>
      <c r="CD270" s="53"/>
      <c r="CE270" s="53"/>
      <c r="CF270" s="53"/>
      <c r="CG270" s="53"/>
      <c r="CH270" s="53"/>
      <c r="CI270" s="53"/>
      <c r="CJ270" s="53"/>
      <c r="CK270" s="53"/>
      <c r="CL270" s="53"/>
      <c r="CM270" s="53"/>
      <c r="CN270" s="53"/>
      <c r="CO270" s="53"/>
      <c r="CP270" s="53"/>
      <c r="CQ270" s="53"/>
      <c r="CR270" s="1"/>
      <c r="CS270" s="1"/>
      <c r="CT270" s="1"/>
      <c r="CU270" s="1"/>
    </row>
    <row r="271" spans="1:99" s="13" customFormat="1" ht="12" customHeight="1" x14ac:dyDescent="0.2">
      <c r="A271" s="65">
        <v>43902</v>
      </c>
      <c r="B271" s="1" t="s">
        <v>448</v>
      </c>
      <c r="C271" s="1" t="s">
        <v>357</v>
      </c>
      <c r="D271" s="60">
        <v>1988</v>
      </c>
      <c r="E271" s="76">
        <v>1</v>
      </c>
      <c r="F271" s="60">
        <v>8</v>
      </c>
      <c r="G271" s="60">
        <v>8</v>
      </c>
      <c r="H271" s="60" t="s">
        <v>452</v>
      </c>
      <c r="I271" s="60" t="s">
        <v>330</v>
      </c>
      <c r="J271" s="60" t="s">
        <v>340</v>
      </c>
      <c r="K271" s="60">
        <f>IF(J271="syllables",1,IF(J271="trigrams",2,IF(J271="strings",3,IF(J271="visual array",4,IF(J271="characters",5,IF(J271="letters",6,IF(J271="free forms",7,IF(J271="odors",8,IF(J271="words",9,IF(J271="pictures",10,IF(J271="object pictures",11,IF(J271="faces",12,IF(J271="names",13,IF(J271="idioms",14,IF(J271="grades",15,IF(J271="syllable-digit pairs",16,IF(J271="trigram-word pairs",17,IF(J271="word-digit pairs",18,IF(J271="English-Swahili pairs",19,IF(J271="spatial position",20,IF(J271="word pairs",21,IF(J271="word triads",22,IF(J271="generated words",23,IF(J271="word definition pairs",24,IF(J271="math problems",25,IF(J271="famous faces",26,IF(J271="famous names",27,IF(J271="famous voices",28,IF(J271="television programs",29,IF(J271="race horses",30,IF(J271="new vocabulary",31,IF(J271="sentences",32,IF(J271="concepts",33,IF(J271="ad slides",34,IF(J271="scenes",35,IF(J271="famous scenes",36,IF(J271="poems",37,IF(J271="walk",38,IF(J271="faces and events",39,IF(J271="events and names",40,IF(J271="flashbulb",41,IF(J271="stories",42,IF(J271="course material",43,IF(J271="autobiographical",44,IF(J271="novels",45,IF(J271="public events",46,"99"))))))))))))))))))))))))))))))))))))))))))))))</f>
        <v>46</v>
      </c>
      <c r="L271" s="60">
        <f>IF(J271="syllables",1,IF(J271="trigrams",1,IF(J271="strings",1,IF(J271="visual array",1,IF(J271="characters",1,IF(J271="letters",1,IF(J271="free forms",1,IF(J271="odors",2,IF(J271="words",2,IF(J271="pictures",2,IF(J271="object pictures",2,IF(J271="faces",2,IF(J271="names",2,IF(J271="idioms","2",IF(J271="grades",2,IF(J271="syllable-digit pairs",3,IF(J271="trigram-word pairs",3,IF(J271="word-digit pairs",3,IF(J271="English-Swahili pairs",3,IF(J271="spatial position",3,IF(J271="word pairs",4,IF(J271="word triads",4,IF(J271="generated words",4,IF(J271="word definition pairs",4,IF(J271="math problems",4,IF(J271="famous faces",4,IF(J271="famous names",4,IF(J271="famous voices",4,IF(J271="television programs",4,IF(J271="race horses",4,IF(J271="new vocabulary",4,IF(J271="sentences",5,IF(J271="concepts",5,IF(J271="ad slides",5,IF(J271="scenes",5,IF(J271="famous scenes",5,IF(J271="poems",6,IF(J271="walk",6,IF(J271="faces and events",6,IF(J271="events and names",6,IF(J271="flashbulb",7,IF(J271="stories",7,IF(J271="course material",7,IF(J271="autobiographical",7,IF(J271="novels",7,IF(J271="public events",7,"99"))))))))))))))))))))))))))))))))))))))))))))))</f>
        <v>7</v>
      </c>
      <c r="M271" s="60">
        <v>1</v>
      </c>
      <c r="N271" s="59">
        <v>4</v>
      </c>
      <c r="O271" s="60">
        <v>0</v>
      </c>
      <c r="P271" s="60"/>
      <c r="Q271" s="60" t="s">
        <v>174</v>
      </c>
      <c r="R271" s="60">
        <f>IF(Q271="Free Recall",1,IF(Q271="Cued Recall",2,IF(Q271="Recognition",3,IF(Q271="Multiple Choice",4,IF(Q271="Savings",5,IF(Q271="Stem Completion",6,IF(Q271="Fragment Completion",7,IF(Q271="anagram solution",8,IF(Q271="Matching",9,IF(Q271="Problem Solving",10,"99"))))))))))</f>
        <v>1</v>
      </c>
      <c r="S271" s="60" t="s">
        <v>49</v>
      </c>
      <c r="T271" s="59" t="s">
        <v>581</v>
      </c>
      <c r="U271" s="60">
        <f>IF(T271="within",1,0)</f>
        <v>1</v>
      </c>
      <c r="V271" s="59">
        <v>75</v>
      </c>
      <c r="W271" s="60">
        <f>F271*V271</f>
        <v>600</v>
      </c>
      <c r="X271" s="60">
        <v>5</v>
      </c>
      <c r="Y271" s="76">
        <f>AV270</f>
        <v>315360000</v>
      </c>
      <c r="Z271" s="59" t="s">
        <v>209</v>
      </c>
      <c r="AA271" s="60">
        <f>50*365*24*60*60</f>
        <v>1576800000</v>
      </c>
      <c r="AB271" s="60" t="str">
        <f>IF(AA271&lt;60,"1",IF(AA271&lt;=43200,"2",IF(AA271&lt;=777600,"3","4")))</f>
        <v>4</v>
      </c>
      <c r="AC271" s="56">
        <f>AVERAGE(AV270:DA270)</f>
        <v>946080000</v>
      </c>
      <c r="AD271" s="60" t="str">
        <f>IF(AC271&lt;60,"1",IF(AC271&lt;=43200,"2",IF(AC271&lt;=777600,"3","4")))</f>
        <v>4</v>
      </c>
      <c r="AE271" s="76">
        <f>AA271-Y271</f>
        <v>1261440000</v>
      </c>
      <c r="AF271" s="80">
        <f>AV271</f>
        <v>0.64</v>
      </c>
      <c r="AG271" s="56">
        <f>((AW271-AV271)+(AX271-AW271)+(AY271-AX271)+(AZ271-AY271))/4</f>
        <v>-7.4999999999999997E-2</v>
      </c>
      <c r="AH271" s="4"/>
      <c r="AI271" s="56">
        <f>RSQ(AV271:AZ271,AV270:AZ270)</f>
        <v>0.79134366925064592</v>
      </c>
      <c r="AJ271" s="109">
        <f>SLOPE(AV271:AZ271,AV270:AZ270)</f>
        <v>-2.219685438863521E-10</v>
      </c>
      <c r="AK271" s="56">
        <f>INTERCEPT(AV271:AZ271,AV270:AZ270)</f>
        <v>0.68599999999999994</v>
      </c>
      <c r="AL271" s="56">
        <f>INDEX(LINEST(LN(AV271:AZ271),LN(AV270:AZ270),TRUE,TRUE),3,1)</f>
        <v>0.78834199201300792</v>
      </c>
      <c r="AM271" s="56">
        <f>INDEX(LINEST(LN(AV271:AZ271),LN(AV270:AZ270)),1)</f>
        <v>-0.36659852691459716</v>
      </c>
      <c r="AN271" s="56">
        <f>EXP(INDEX(LINEST(LN(AV271:AZ271),LN(AV270:AZ270)),1,2))</f>
        <v>858.5638694230405</v>
      </c>
      <c r="AO271" s="82">
        <f>INDEX(LINEST((AV271:AZ271),LN(AV270:AZ270),TRUE,TRUE),3,1)</f>
        <v>0.83094918826328734</v>
      </c>
      <c r="AP271" s="82">
        <f>INDEX(LINEST((AV271:AZ271),LN(AV270:AZ270)),1)</f>
        <v>-0.17846403457054849</v>
      </c>
      <c r="AQ271" s="83">
        <f>INDEX(LINEST(LN(AV271:AZ271),SQRT(AV270:AZ270),TRUE,TRUE),3,1)</f>
        <v>0.79270064317151567</v>
      </c>
      <c r="AR271" s="116">
        <f>INDEX(LINEST(LN(AV271:AZ271),SQRT((AV270:AZ270))),1)</f>
        <v>-2.7032904914994559E-5</v>
      </c>
      <c r="AS271" s="84">
        <f>INDEX(LINEST(1/(AV271:AZ271),1/(SQRT(AV270:AZ270)),TRUE,TRUE),3,1)</f>
        <v>0.70446287075016867</v>
      </c>
      <c r="AT271" s="84">
        <f>INDEX(LINEST(1/(AV271:AZ271),1/SQRT(AV270:AZ270)),1)</f>
        <v>-38709.767931215516</v>
      </c>
      <c r="AU271" s="3"/>
      <c r="AV271" s="53">
        <v>0.64</v>
      </c>
      <c r="AW271" s="53">
        <v>0.56000000000000005</v>
      </c>
      <c r="AX271" s="53">
        <v>0.38</v>
      </c>
      <c r="AY271" s="53">
        <v>0.46</v>
      </c>
      <c r="AZ271" s="53">
        <v>0.34</v>
      </c>
      <c r="BA271" s="53"/>
      <c r="BB271" s="53"/>
      <c r="BC271" s="53"/>
      <c r="BD271" s="53"/>
      <c r="BE271" s="53"/>
      <c r="BF271" s="53"/>
      <c r="BG271" s="53"/>
      <c r="BH271" s="53"/>
      <c r="BI271" s="53"/>
      <c r="BJ271" s="53"/>
      <c r="BK271" s="53"/>
      <c r="BL271" s="53"/>
      <c r="BM271" s="53"/>
      <c r="BN271" s="53"/>
      <c r="BO271" s="53"/>
      <c r="BP271" s="53"/>
      <c r="BQ271" s="53"/>
      <c r="BR271" s="53"/>
      <c r="BS271" s="53"/>
      <c r="BT271" s="53"/>
      <c r="BU271" s="53"/>
      <c r="BV271" s="53"/>
      <c r="BW271" s="53"/>
      <c r="BX271" s="53"/>
      <c r="BY271" s="53"/>
      <c r="BZ271" s="53"/>
      <c r="CA271" s="53"/>
      <c r="CB271" s="53"/>
      <c r="CC271" s="53"/>
      <c r="CD271" s="53"/>
      <c r="CE271" s="53"/>
      <c r="CF271" s="53"/>
      <c r="CG271" s="53"/>
      <c r="CH271" s="53"/>
      <c r="CI271" s="53"/>
      <c r="CJ271" s="53"/>
      <c r="CK271" s="53"/>
      <c r="CL271" s="53"/>
      <c r="CM271" s="53"/>
      <c r="CN271" s="53"/>
      <c r="CO271" s="53"/>
      <c r="CP271" s="53"/>
      <c r="CQ271" s="53"/>
      <c r="CR271" s="1"/>
      <c r="CS271" s="1"/>
      <c r="CT271" s="1"/>
      <c r="CU271" s="1"/>
    </row>
    <row r="272" spans="1:99" s="13" customFormat="1" ht="12" customHeight="1" x14ac:dyDescent="0.2">
      <c r="A272" s="65">
        <v>43902</v>
      </c>
      <c r="B272" s="1"/>
      <c r="C272" s="1"/>
      <c r="D272" s="60"/>
      <c r="E272" s="76"/>
      <c r="F272" s="60"/>
      <c r="G272" s="60"/>
      <c r="H272" s="60"/>
      <c r="I272" s="60"/>
      <c r="J272" s="60"/>
      <c r="K272" s="64"/>
      <c r="L272" s="64"/>
      <c r="M272" s="60"/>
      <c r="N272" s="59"/>
      <c r="O272" s="60"/>
      <c r="P272" s="60"/>
      <c r="Q272" s="60"/>
      <c r="R272" s="60"/>
      <c r="S272" s="60"/>
      <c r="T272" s="59"/>
      <c r="U272" s="60"/>
      <c r="V272" s="59"/>
      <c r="W272" s="60"/>
      <c r="X272" s="60"/>
      <c r="Y272" s="76"/>
      <c r="Z272" s="59"/>
      <c r="AA272" s="59"/>
      <c r="AB272" s="60"/>
      <c r="AC272" s="56"/>
      <c r="AD272" s="60"/>
      <c r="AE272" s="60"/>
      <c r="AF272" s="80"/>
      <c r="AG272" s="56"/>
      <c r="AH272" s="4"/>
      <c r="AI272" s="56"/>
      <c r="AJ272" s="109"/>
      <c r="AK272" s="56"/>
      <c r="AL272" s="56"/>
      <c r="AM272" s="56"/>
      <c r="AN272" s="56"/>
      <c r="AO272" s="82"/>
      <c r="AP272" s="82"/>
      <c r="AQ272" s="83"/>
      <c r="AR272" s="116"/>
      <c r="AS272" s="84"/>
      <c r="AT272" s="84"/>
      <c r="AU272" s="3"/>
      <c r="AV272" s="25">
        <v>315360000</v>
      </c>
      <c r="AW272" s="25">
        <v>630720000</v>
      </c>
      <c r="AX272" s="25">
        <v>946080000</v>
      </c>
      <c r="AY272" s="25">
        <v>1261440000</v>
      </c>
      <c r="AZ272" s="25">
        <v>1576800000</v>
      </c>
      <c r="BA272" s="53"/>
      <c r="BB272" s="53"/>
      <c r="BC272" s="53"/>
      <c r="BD272" s="53"/>
      <c r="BE272" s="53"/>
      <c r="BF272" s="53"/>
      <c r="BG272" s="53"/>
      <c r="BH272" s="53"/>
      <c r="BI272" s="53"/>
      <c r="BJ272" s="53"/>
      <c r="BK272" s="53"/>
      <c r="BL272" s="53"/>
      <c r="BM272" s="53"/>
      <c r="BN272" s="53"/>
      <c r="BO272" s="53"/>
      <c r="BP272" s="53"/>
      <c r="BQ272" s="53"/>
      <c r="BR272" s="53"/>
      <c r="BS272" s="53"/>
      <c r="BT272" s="53"/>
      <c r="BU272" s="53"/>
      <c r="BV272" s="53"/>
      <c r="BW272" s="53"/>
      <c r="BX272" s="53"/>
      <c r="BY272" s="53"/>
      <c r="BZ272" s="53"/>
      <c r="CA272" s="53"/>
      <c r="CB272" s="53"/>
      <c r="CC272" s="53"/>
      <c r="CD272" s="53"/>
      <c r="CE272" s="53"/>
      <c r="CF272" s="53"/>
      <c r="CG272" s="53"/>
      <c r="CH272" s="53"/>
      <c r="CI272" s="53"/>
      <c r="CJ272" s="53"/>
      <c r="CK272" s="53"/>
      <c r="CL272" s="53"/>
      <c r="CM272" s="53"/>
      <c r="CN272" s="53"/>
      <c r="CO272" s="53"/>
      <c r="CP272" s="53"/>
      <c r="CQ272" s="53"/>
      <c r="CR272" s="1"/>
      <c r="CS272" s="1"/>
      <c r="CT272" s="1"/>
      <c r="CU272" s="1"/>
    </row>
    <row r="273" spans="1:99" s="13" customFormat="1" ht="12" customHeight="1" x14ac:dyDescent="0.2">
      <c r="A273" s="65">
        <v>43902</v>
      </c>
      <c r="B273" s="1" t="s">
        <v>448</v>
      </c>
      <c r="C273" s="1" t="s">
        <v>357</v>
      </c>
      <c r="D273" s="60">
        <v>1988</v>
      </c>
      <c r="E273" s="76">
        <v>1</v>
      </c>
      <c r="F273" s="60">
        <v>8</v>
      </c>
      <c r="G273" s="60">
        <v>8</v>
      </c>
      <c r="H273" s="60" t="s">
        <v>452</v>
      </c>
      <c r="I273" s="60" t="s">
        <v>330</v>
      </c>
      <c r="J273" s="60" t="s">
        <v>340</v>
      </c>
      <c r="K273" s="60">
        <f>IF(J273="syllables",1,IF(J273="trigrams",2,IF(J273="strings",3,IF(J273="visual array",4,IF(J273="characters",5,IF(J273="letters",6,IF(J273="free forms",7,IF(J273="odors",8,IF(J273="words",9,IF(J273="pictures",10,IF(J273="object pictures",11,IF(J273="faces",12,IF(J273="names",13,IF(J273="idioms",14,IF(J273="grades",15,IF(J273="syllable-digit pairs",16,IF(J273="trigram-word pairs",17,IF(J273="word-digit pairs",18,IF(J273="English-Swahili pairs",19,IF(J273="spatial position",20,IF(J273="word pairs",21,IF(J273="word triads",22,IF(J273="generated words",23,IF(J273="word definition pairs",24,IF(J273="math problems",25,IF(J273="famous faces",26,IF(J273="famous names",27,IF(J273="famous voices",28,IF(J273="television programs",29,IF(J273="race horses",30,IF(J273="new vocabulary",31,IF(J273="sentences",32,IF(J273="concepts",33,IF(J273="ad slides",34,IF(J273="scenes",35,IF(J273="famous scenes",36,IF(J273="poems",37,IF(J273="walk",38,IF(J273="faces and events",39,IF(J273="events and names",40,IF(J273="flashbulb",41,IF(J273="stories",42,IF(J273="course material",43,IF(J273="autobiographical",44,IF(J273="novels",45,IF(J273="public events",46,"99"))))))))))))))))))))))))))))))))))))))))))))))</f>
        <v>46</v>
      </c>
      <c r="L273" s="60">
        <f>IF(J273="syllables",1,IF(J273="trigrams",1,IF(J273="strings",1,IF(J273="visual array",1,IF(J273="characters",1,IF(J273="letters",1,IF(J273="free forms",1,IF(J273="odors",2,IF(J273="words",2,IF(J273="pictures",2,IF(J273="object pictures",2,IF(J273="faces",2,IF(J273="names",2,IF(J273="idioms","2",IF(J273="grades",2,IF(J273="syllable-digit pairs",3,IF(J273="trigram-word pairs",3,IF(J273="word-digit pairs",3,IF(J273="English-Swahili pairs",3,IF(J273="spatial position",3,IF(J273="word pairs",4,IF(J273="word triads",4,IF(J273="generated words",4,IF(J273="word definition pairs",4,IF(J273="math problems",4,IF(J273="famous faces",4,IF(J273="famous names",4,IF(J273="famous voices",4,IF(J273="television programs",4,IF(J273="race horses",4,IF(J273="new vocabulary",4,IF(J273="sentences",5,IF(J273="concepts",5,IF(J273="ad slides",5,IF(J273="scenes",5,IF(J273="famous scenes",5,IF(J273="poems",6,IF(J273="walk",6,IF(J273="faces and events",6,IF(J273="events and names",6,IF(J273="flashbulb",7,IF(J273="stories",7,IF(J273="course material",7,IF(J273="autobiographical",7,IF(J273="novels",7,IF(J273="public events",7,"99"))))))))))))))))))))))))))))))))))))))))))))))</f>
        <v>7</v>
      </c>
      <c r="M273" s="60">
        <v>1</v>
      </c>
      <c r="N273" s="59">
        <v>4</v>
      </c>
      <c r="O273" s="60">
        <v>0</v>
      </c>
      <c r="P273" s="60"/>
      <c r="Q273" s="60" t="s">
        <v>182</v>
      </c>
      <c r="R273" s="60">
        <f>IF(Q273="Free Recall",1,IF(Q273="Cued Recall",2,IF(Q273="Recognition",3,IF(Q273="Multiple Choice",4,IF(Q273="Savings",5,IF(Q273="Stem Completion",6,IF(Q273="Fragment Completion",7,IF(Q273="anagram solution",8,IF(Q273="Matching",9,IF(Q273="Problem Solving",10,"99"))))))))))</f>
        <v>4</v>
      </c>
      <c r="S273" s="60" t="s">
        <v>15</v>
      </c>
      <c r="T273" s="59" t="s">
        <v>581</v>
      </c>
      <c r="U273" s="60">
        <f>IF(T273="within",1,0)</f>
        <v>1</v>
      </c>
      <c r="V273" s="59">
        <v>75</v>
      </c>
      <c r="W273" s="60">
        <f>F273*V273</f>
        <v>600</v>
      </c>
      <c r="X273" s="60">
        <v>5</v>
      </c>
      <c r="Y273" s="76">
        <f>AV272</f>
        <v>315360000</v>
      </c>
      <c r="Z273" s="59" t="s">
        <v>209</v>
      </c>
      <c r="AA273" s="60">
        <f>50*365*24*60*60</f>
        <v>1576800000</v>
      </c>
      <c r="AB273" s="60" t="str">
        <f>IF(AA273&lt;60,"1",IF(AA273&lt;=43200,"2",IF(AA273&lt;=777600,"3","4")))</f>
        <v>4</v>
      </c>
      <c r="AC273" s="56">
        <f>AVERAGE(AV272:DA272)</f>
        <v>946080000</v>
      </c>
      <c r="AD273" s="60" t="str">
        <f>IF(AC273&lt;60,"1",IF(AC273&lt;=43200,"2",IF(AC273&lt;=777600,"3","4")))</f>
        <v>4</v>
      </c>
      <c r="AE273" s="76">
        <f>AA273-Y273</f>
        <v>1261440000</v>
      </c>
      <c r="AF273" s="80">
        <f>AV273</f>
        <v>0.83</v>
      </c>
      <c r="AG273" s="56">
        <f>((AW273-AV273)+(AX273-AW273)+(AY273-AX273)+(AZ273-AY273))/4</f>
        <v>-5.4999999999999993E-2</v>
      </c>
      <c r="AH273" s="4"/>
      <c r="AI273" s="56">
        <f>RSQ(AV273:AZ273,AV272:AZ272)</f>
        <v>0.92113910186199377</v>
      </c>
      <c r="AJ273" s="109">
        <f>SLOPE(AV273:AZ273,AV272:AZ272)</f>
        <v>-1.8391679350583459E-10</v>
      </c>
      <c r="AK273" s="56">
        <f>INTERCEPT(AV273:AZ273,AV272:AZ272)</f>
        <v>0.8879999999999999</v>
      </c>
      <c r="AL273" s="56">
        <f>INDEX(LINEST(LN(AV273:AZ273),LN(AV272:AZ272),TRUE,TRUE),3,1)</f>
        <v>0.8982901060774412</v>
      </c>
      <c r="AM273" s="56">
        <f>INDEX(LINEST(LN(AV273:AZ273),LN(AV272:AZ272)),1)</f>
        <v>-0.19779592563291784</v>
      </c>
      <c r="AN273" s="56">
        <f>EXP(INDEX(LINEST(LN(AV273:AZ273),LN(AV272:AZ272)),1,2))</f>
        <v>41.105824712179611</v>
      </c>
      <c r="AO273" s="82">
        <f>INDEX(LINEST((AV273:AZ273),LN(AV272:AZ272),TRUE,TRUE),3,1)</f>
        <v>0.90422254487926623</v>
      </c>
      <c r="AP273" s="82">
        <f>INDEX(LINEST((AV273:AZ273),LN(AV272:AZ272)),1)</f>
        <v>-0.14297201864804351</v>
      </c>
      <c r="AQ273" s="83">
        <f>INDEX(LINEST(LN(AV273:AZ273),SQRT(AV272:AZ272),TRUE,TRUE),3,1)</f>
        <v>0.92825996102427388</v>
      </c>
      <c r="AR273" s="116">
        <f>INDEX(LINEST(LN(AV273:AZ273),SQRT((AV272:AZ272))),1)</f>
        <v>-1.478592737119345E-5</v>
      </c>
      <c r="AS273" s="84">
        <f>INDEX(LINEST(1/(AV273:AZ273),1/(SQRT(AV272:AZ272)),TRUE,TRUE),3,1)</f>
        <v>0.82936915812726009</v>
      </c>
      <c r="AT273" s="84">
        <f>INDEX(LINEST(1/(AV273:AZ273),1/SQRT(AV272:AZ272)),1)</f>
        <v>-13600.906338574458</v>
      </c>
      <c r="AU273" s="3"/>
      <c r="AV273" s="53">
        <v>0.83</v>
      </c>
      <c r="AW273" s="53">
        <v>0.8</v>
      </c>
      <c r="AX273" s="53">
        <v>0.67</v>
      </c>
      <c r="AY273" s="53">
        <v>0.66</v>
      </c>
      <c r="AZ273" s="53">
        <v>0.61</v>
      </c>
      <c r="BA273" s="53"/>
      <c r="BB273" s="53"/>
      <c r="BC273" s="53"/>
      <c r="BD273" s="53"/>
      <c r="BE273" s="53"/>
      <c r="BF273" s="53"/>
      <c r="BG273" s="53"/>
      <c r="BH273" s="53"/>
      <c r="BI273" s="53"/>
      <c r="BJ273" s="53"/>
      <c r="BK273" s="53"/>
      <c r="BL273" s="53"/>
      <c r="BM273" s="53"/>
      <c r="BN273" s="53"/>
      <c r="BO273" s="53"/>
      <c r="BP273" s="53"/>
      <c r="BQ273" s="53"/>
      <c r="BR273" s="53"/>
      <c r="BS273" s="53"/>
      <c r="BT273" s="53"/>
      <c r="BU273" s="53"/>
      <c r="BV273" s="53"/>
      <c r="BW273" s="53"/>
      <c r="BX273" s="53"/>
      <c r="BY273" s="53"/>
      <c r="BZ273" s="53"/>
      <c r="CA273" s="53"/>
      <c r="CB273" s="53"/>
      <c r="CC273" s="53"/>
      <c r="CD273" s="53"/>
      <c r="CE273" s="53"/>
      <c r="CF273" s="53"/>
      <c r="CG273" s="53"/>
      <c r="CH273" s="53"/>
      <c r="CI273" s="53"/>
      <c r="CJ273" s="53"/>
      <c r="CK273" s="53"/>
      <c r="CL273" s="53"/>
      <c r="CM273" s="53"/>
      <c r="CN273" s="53"/>
      <c r="CO273" s="53"/>
      <c r="CP273" s="53"/>
      <c r="CQ273" s="53"/>
      <c r="CR273" s="1"/>
      <c r="CS273" s="1"/>
      <c r="CT273" s="1"/>
      <c r="CU273" s="1"/>
    </row>
    <row r="274" spans="1:99" s="13" customFormat="1" ht="12" customHeight="1" x14ac:dyDescent="0.2">
      <c r="A274" s="65">
        <v>43896</v>
      </c>
      <c r="B274" s="1"/>
      <c r="C274" s="1"/>
      <c r="D274" s="60"/>
      <c r="E274" s="76"/>
      <c r="F274" s="60"/>
      <c r="G274" s="60"/>
      <c r="H274" s="60"/>
      <c r="I274" s="60"/>
      <c r="J274" s="60"/>
      <c r="K274" s="64"/>
      <c r="L274" s="64"/>
      <c r="M274" s="60"/>
      <c r="N274" s="60"/>
      <c r="O274" s="60"/>
      <c r="P274" s="60"/>
      <c r="Q274" s="60"/>
      <c r="R274" s="60"/>
      <c r="S274" s="60"/>
      <c r="T274" s="60"/>
      <c r="U274" s="60"/>
      <c r="V274" s="60"/>
      <c r="W274" s="60"/>
      <c r="X274" s="60"/>
      <c r="Y274" s="76"/>
      <c r="Z274" s="59"/>
      <c r="AA274" s="59"/>
      <c r="AB274" s="60"/>
      <c r="AC274" s="56"/>
      <c r="AD274" s="60"/>
      <c r="AE274" s="60"/>
      <c r="AF274" s="80"/>
      <c r="AG274" s="56"/>
      <c r="AH274" s="4"/>
      <c r="AI274" s="56"/>
      <c r="AJ274" s="109"/>
      <c r="AK274" s="56"/>
      <c r="AL274" s="56"/>
      <c r="AM274" s="56"/>
      <c r="AN274" s="56"/>
      <c r="AO274" s="82"/>
      <c r="AP274" s="82"/>
      <c r="AQ274" s="83"/>
      <c r="AR274" s="116"/>
      <c r="AS274" s="84"/>
      <c r="AT274" s="84"/>
      <c r="AU274" s="3"/>
      <c r="AV274" s="25">
        <v>157680000</v>
      </c>
      <c r="AW274" s="25">
        <v>473040000</v>
      </c>
      <c r="AX274" s="25">
        <v>788400000</v>
      </c>
      <c r="AY274" s="25">
        <v>1103760000</v>
      </c>
      <c r="AZ274" s="25">
        <v>1419120000</v>
      </c>
      <c r="BA274" s="53"/>
      <c r="BB274" s="53"/>
      <c r="BC274" s="53"/>
      <c r="BD274" s="53"/>
      <c r="BE274" s="53"/>
      <c r="BF274" s="53"/>
      <c r="BG274" s="53"/>
      <c r="BH274" s="53"/>
      <c r="BI274" s="53"/>
      <c r="BJ274" s="53"/>
      <c r="BK274" s="53"/>
      <c r="BL274" s="53"/>
      <c r="BM274" s="53"/>
      <c r="BN274" s="53"/>
      <c r="BO274" s="53"/>
      <c r="BP274" s="53"/>
      <c r="BQ274" s="53"/>
      <c r="BR274" s="53"/>
      <c r="BS274" s="53"/>
      <c r="BT274" s="53"/>
      <c r="BU274" s="53"/>
      <c r="BV274" s="53"/>
      <c r="BW274" s="53"/>
      <c r="BX274" s="53"/>
      <c r="BY274" s="53"/>
      <c r="BZ274" s="53"/>
      <c r="CA274" s="53"/>
      <c r="CB274" s="53"/>
      <c r="CC274" s="53"/>
      <c r="CD274" s="53"/>
      <c r="CE274" s="53"/>
      <c r="CF274" s="53"/>
      <c r="CG274" s="53"/>
      <c r="CH274" s="53"/>
      <c r="CI274" s="53"/>
      <c r="CJ274" s="53"/>
      <c r="CK274" s="53"/>
      <c r="CL274" s="53"/>
      <c r="CM274" s="53"/>
      <c r="CN274" s="53"/>
      <c r="CO274" s="53"/>
      <c r="CP274" s="53"/>
      <c r="CQ274" s="53"/>
      <c r="CR274" s="16"/>
      <c r="CS274" s="16"/>
      <c r="CT274" s="16"/>
      <c r="CU274" s="16"/>
    </row>
    <row r="275" spans="1:99" s="13" customFormat="1" ht="12" customHeight="1" x14ac:dyDescent="0.2">
      <c r="A275" s="65">
        <v>43896</v>
      </c>
      <c r="B275" s="1" t="s">
        <v>368</v>
      </c>
      <c r="C275" s="1" t="s">
        <v>54</v>
      </c>
      <c r="D275" s="60">
        <v>1980</v>
      </c>
      <c r="E275" s="76">
        <v>1</v>
      </c>
      <c r="F275" s="60">
        <v>5</v>
      </c>
      <c r="G275" s="60">
        <v>5</v>
      </c>
      <c r="H275" s="60" t="s">
        <v>50</v>
      </c>
      <c r="I275" s="60" t="s">
        <v>330</v>
      </c>
      <c r="J275" s="59" t="s">
        <v>353</v>
      </c>
      <c r="K275" s="60">
        <f>IF(J275="syllables",1,IF(J275="trigrams",2,IF(J275="strings",3,IF(J275="visual array",4,IF(J275="characters",5,IF(J275="letters",6,IF(J275="free forms",7,IF(J275="odors",8,IF(J275="words",9,IF(J275="pictures",10,IF(J275="object pictures",11,IF(J275="faces",12,IF(J275="names",13,IF(J275="idioms",14,IF(J275="grades",15,IF(J275="syllable-digit pairs",16,IF(J275="trigram-word pairs",17,IF(J275="word-digit pairs",18,IF(J275="English-Swahili pairs",19,IF(J275="spatial position",20,IF(J275="word pairs",21,IF(J275="word triads",22,IF(J275="generated words",23,IF(J275="word definition pairs",24,IF(J275="math problems",25,IF(J275="famous faces",26,IF(J275="famous names",27,IF(J275="famous voices",28,IF(J275="television programs",29,IF(J275="race horses",30,IF(J275="new vocabulary",31,IF(J275="sentences",32,IF(J275="concepts",33,IF(J275="ad slides",34,IF(J275="scenes",35,IF(J275="famous scenes",36,IF(J275="poems",37,IF(J275="walk",38,IF(J275="faces and events",39,IF(J275="events and names",40,IF(J275="flashbulb",41,IF(J275="stories",42,IF(J275="course material",43,IF(J275="autobiographical",44,IF(J275="novels",45,IF(J275="public events",46,"99"))))))))))))))))))))))))))))))))))))))))))))))</f>
        <v>28</v>
      </c>
      <c r="L275" s="60">
        <f>IF(J275="syllables",1,IF(J275="trigrams",1,IF(J275="strings",1,IF(J275="visual array",1,IF(J275="characters",1,IF(J275="letters",1,IF(J275="free forms",1,IF(J275="odors",2,IF(J275="words",2,IF(J275="pictures",2,IF(J275="object pictures",2,IF(J275="faces",2,IF(J275="names",2,IF(J275="idioms","2",IF(J275="grades",2,IF(J275="syllable-digit pairs",3,IF(J275="trigram-word pairs",3,IF(J275="word-digit pairs",3,IF(J275="English-Swahili pairs",3,IF(J275="spatial position",3,IF(J275="word pairs",4,IF(J275="word triads",4,IF(J275="generated words",4,IF(J275="word definition pairs",4,IF(J275="math problems",4,IF(J275="famous faces",4,IF(J275="famous names",4,IF(J275="famous voices",4,IF(J275="television programs",4,IF(J275="race horses",4,IF(J275="new vocabulary",4,IF(J275="sentences",5,IF(J275="concepts",5,IF(J275="ad slides",5,IF(J275="scenes",5,IF(J275="famous scenes",5,IF(J275="poems",6,IF(J275="walk",6,IF(J275="faces and events",6,IF(J275="events and names",6,IF(J275="flashbulb",7,IF(J275="stories",7,IF(J275="course material",7,IF(J275="autobiographical",7,IF(J275="novels",7,IF(J275="public events",7,"99"))))))))))))))))))))))))))))))))))))))))))))))</f>
        <v>4</v>
      </c>
      <c r="M275" s="60">
        <v>1</v>
      </c>
      <c r="N275" s="60">
        <v>2</v>
      </c>
      <c r="O275" s="60">
        <v>0</v>
      </c>
      <c r="P275" s="60"/>
      <c r="Q275" s="60" t="s">
        <v>174</v>
      </c>
      <c r="R275" s="60">
        <f>IF(Q275="Free Recall",1,IF(Q275="Cued Recall",2,IF(Q275="Recognition",3,IF(Q275="Multiple Choice",4,IF(Q275="Savings",5,IF(Q275="Stem Completion",6,IF(Q275="Fragment Completion",7,IF(Q275="anagram solution",8,IF(Q275="Matching",9,IF(Q275="Problem Solving",10,"99"))))))))))</f>
        <v>1</v>
      </c>
      <c r="S275" s="60" t="s">
        <v>49</v>
      </c>
      <c r="T275" s="59" t="s">
        <v>581</v>
      </c>
      <c r="U275" s="60">
        <f>IF(T275="within",1,0)</f>
        <v>1</v>
      </c>
      <c r="V275" s="59">
        <v>80</v>
      </c>
      <c r="W275" s="60">
        <f>F275*V275</f>
        <v>400</v>
      </c>
      <c r="X275" s="60">
        <v>5</v>
      </c>
      <c r="Y275" s="76">
        <f>AV274</f>
        <v>157680000</v>
      </c>
      <c r="Z275" s="60" t="s">
        <v>373</v>
      </c>
      <c r="AA275" s="60">
        <f>45*365*24*60*60</f>
        <v>1419120000</v>
      </c>
      <c r="AB275" s="60" t="str">
        <f>IF(AA275&lt;60,"1",IF(AA275&lt;=43200,"2",IF(AA275&lt;=777600,"3","4")))</f>
        <v>4</v>
      </c>
      <c r="AC275" s="56">
        <f>AVERAGE(AV274:DA274)</f>
        <v>788400000</v>
      </c>
      <c r="AD275" s="60" t="str">
        <f>IF(AC275&lt;60,"1",IF(AC275&lt;=43200,"2",IF(AC275&lt;=777600,"3","4")))</f>
        <v>4</v>
      </c>
      <c r="AE275" s="76">
        <f>AA275-Y275</f>
        <v>1261440000</v>
      </c>
      <c r="AF275" s="80">
        <f>AV275</f>
        <v>0.63157894736842102</v>
      </c>
      <c r="AG275" s="56">
        <f>((AW275-AV275)+(AX275-AW275)+(AY275-AX275)+(AZ275-AY275))/4</f>
        <v>-8.2313341493268036E-2</v>
      </c>
      <c r="AH275" s="4"/>
      <c r="AI275" s="56">
        <f>RSQ(AV275:AZ275,AV274:AZ274)</f>
        <v>0.74291117948532459</v>
      </c>
      <c r="AJ275" s="109">
        <f>SLOPE(AV275:AZ275,AV274:AZ274)</f>
        <v>-2.435123966927623E-10</v>
      </c>
      <c r="AK275" s="56">
        <f>INTERCEPT(AV275:AZ275,AV274:AZ274)</f>
        <v>0.67255496252817326</v>
      </c>
      <c r="AL275" s="56">
        <f>INDEX(LINEST(LN(AV275:AZ275),LN(AV274:AZ274),TRUE,TRUE),3,1)</f>
        <v>0.6330801143760495</v>
      </c>
      <c r="AM275" s="56">
        <f>INDEX(LINEST(LN(AV275:AZ275),LN(AV274:AZ274)),1)</f>
        <v>-0.28550487306301897</v>
      </c>
      <c r="AN275" s="56">
        <f>EXP(INDEX(LINEST(LN(AV275:AZ275),LN(AV274:AZ274)),1,2))</f>
        <v>149.94802274061576</v>
      </c>
      <c r="AO275" s="82">
        <f>INDEX(LINEST((AV275:AZ275),LN(AV274:AZ274),TRUE,TRUE),3,1)</f>
        <v>0.68486312324743626</v>
      </c>
      <c r="AP275" s="82">
        <f>INDEX(LINEST((AV275:AZ275),LN(AV274:AZ274)),1)</f>
        <v>-0.1340851491326111</v>
      </c>
      <c r="AQ275" s="83">
        <f>INDEX(LINEST(LN(AV275:AZ275),SQRT(AV274:AZ274),TRUE,TRUE),3,1)</f>
        <v>0.69332543686257131</v>
      </c>
      <c r="AR275" s="116">
        <f>INDEX(LINEST(LN(AV275:AZ275),SQRT((AV274:AZ274))),1)</f>
        <v>-2.633121848574387E-5</v>
      </c>
      <c r="AS275" s="84">
        <f>INDEX(LINEST(1/(AV275:AZ275),1/(SQRT(AV274:AZ274)),TRUE,TRUE),3,1)</f>
        <v>0.4940418702587176</v>
      </c>
      <c r="AT275" s="84">
        <f>INDEX(LINEST(1/(AV275:AZ275),1/SQRT(AV274:AZ274)),1)</f>
        <v>-23752.20815122603</v>
      </c>
      <c r="AU275" s="3"/>
      <c r="AV275" s="53">
        <v>0.63157894736842102</v>
      </c>
      <c r="AW275" s="53">
        <v>0.6</v>
      </c>
      <c r="AX275" s="53">
        <v>0.3783783783783784</v>
      </c>
      <c r="AY275" s="53">
        <v>0.49056603773584906</v>
      </c>
      <c r="AZ275" s="53">
        <v>0.30232558139534887</v>
      </c>
      <c r="BA275" s="53"/>
      <c r="BB275" s="53"/>
      <c r="BC275" s="53"/>
      <c r="BD275" s="53"/>
      <c r="BE275" s="53"/>
      <c r="BF275" s="53"/>
      <c r="BG275" s="53"/>
      <c r="BH275" s="53"/>
      <c r="BI275" s="53"/>
      <c r="BJ275" s="53"/>
      <c r="BK275" s="53"/>
      <c r="BL275" s="53"/>
      <c r="BM275" s="53"/>
      <c r="BN275" s="53"/>
      <c r="BO275" s="53"/>
      <c r="BP275" s="53"/>
      <c r="BQ275" s="53"/>
      <c r="BR275" s="53"/>
      <c r="BS275" s="53"/>
      <c r="BT275" s="53"/>
      <c r="BU275" s="53"/>
      <c r="BV275" s="53"/>
      <c r="BW275" s="53"/>
      <c r="BX275" s="53"/>
      <c r="BY275" s="53"/>
      <c r="BZ275" s="53"/>
      <c r="CA275" s="53"/>
      <c r="CB275" s="53"/>
      <c r="CC275" s="53"/>
      <c r="CD275" s="53"/>
      <c r="CE275" s="53"/>
      <c r="CF275" s="53"/>
      <c r="CG275" s="53"/>
      <c r="CH275" s="53"/>
      <c r="CI275" s="53"/>
      <c r="CJ275" s="53"/>
      <c r="CK275" s="53"/>
      <c r="CL275" s="53"/>
      <c r="CM275" s="53"/>
      <c r="CN275" s="53"/>
      <c r="CO275" s="53"/>
      <c r="CP275" s="53"/>
      <c r="CQ275" s="53"/>
      <c r="CR275" s="16"/>
      <c r="CS275" s="16"/>
      <c r="CT275" s="16"/>
      <c r="CU275" s="16"/>
    </row>
    <row r="276" spans="1:99" s="13" customFormat="1" ht="12" customHeight="1" x14ac:dyDescent="0.2">
      <c r="A276" s="65">
        <v>43896</v>
      </c>
      <c r="B276" s="1"/>
      <c r="C276" s="1"/>
      <c r="D276" s="60"/>
      <c r="E276" s="76"/>
      <c r="F276" s="60"/>
      <c r="G276" s="60"/>
      <c r="H276" s="60"/>
      <c r="I276" s="60"/>
      <c r="J276" s="60"/>
      <c r="K276" s="64"/>
      <c r="L276" s="64"/>
      <c r="M276" s="60"/>
      <c r="N276" s="60"/>
      <c r="O276" s="60"/>
      <c r="P276" s="60"/>
      <c r="Q276" s="60"/>
      <c r="R276" s="60"/>
      <c r="S276" s="60"/>
      <c r="T276" s="60"/>
      <c r="U276" s="60"/>
      <c r="V276" s="60"/>
      <c r="W276" s="60"/>
      <c r="X276" s="60"/>
      <c r="Y276" s="76"/>
      <c r="Z276" s="59"/>
      <c r="AA276" s="59"/>
      <c r="AB276" s="60"/>
      <c r="AC276" s="56"/>
      <c r="AD276" s="60"/>
      <c r="AE276" s="60"/>
      <c r="AF276" s="80"/>
      <c r="AG276" s="56"/>
      <c r="AH276" s="4"/>
      <c r="AI276" s="56"/>
      <c r="AJ276" s="109"/>
      <c r="AK276" s="56"/>
      <c r="AL276" s="56"/>
      <c r="AM276" s="56"/>
      <c r="AN276" s="56"/>
      <c r="AO276" s="82"/>
      <c r="AP276" s="82"/>
      <c r="AQ276" s="83"/>
      <c r="AR276" s="116"/>
      <c r="AS276" s="84"/>
      <c r="AT276" s="84"/>
      <c r="AU276" s="3"/>
      <c r="AV276" s="25">
        <v>157680000</v>
      </c>
      <c r="AW276" s="25">
        <v>473040000</v>
      </c>
      <c r="AX276" s="25">
        <v>788400000</v>
      </c>
      <c r="AY276" s="25">
        <v>1103760000</v>
      </c>
      <c r="AZ276" s="25">
        <v>1419120000</v>
      </c>
      <c r="BA276" s="53"/>
      <c r="BB276" s="53"/>
      <c r="BC276" s="53"/>
      <c r="BD276" s="53"/>
      <c r="BE276" s="53"/>
      <c r="BF276" s="53"/>
      <c r="BG276" s="53"/>
      <c r="BH276" s="53"/>
      <c r="BI276" s="53"/>
      <c r="BJ276" s="53"/>
      <c r="BK276" s="53"/>
      <c r="BL276" s="53"/>
      <c r="BM276" s="53"/>
      <c r="BN276" s="53"/>
      <c r="BO276" s="53"/>
      <c r="BP276" s="53"/>
      <c r="BQ276" s="53"/>
      <c r="BR276" s="53"/>
      <c r="BS276" s="53"/>
      <c r="BT276" s="53"/>
      <c r="BU276" s="53"/>
      <c r="BV276" s="53"/>
      <c r="BW276" s="53"/>
      <c r="BX276" s="53"/>
      <c r="BY276" s="53"/>
      <c r="BZ276" s="53"/>
      <c r="CA276" s="53"/>
      <c r="CB276" s="53"/>
      <c r="CC276" s="53"/>
      <c r="CD276" s="53"/>
      <c r="CE276" s="53"/>
      <c r="CF276" s="53"/>
      <c r="CG276" s="53"/>
      <c r="CH276" s="53"/>
      <c r="CI276" s="53"/>
      <c r="CJ276" s="53"/>
      <c r="CK276" s="53"/>
      <c r="CL276" s="53"/>
      <c r="CM276" s="53"/>
      <c r="CN276" s="53"/>
      <c r="CO276" s="53"/>
      <c r="CP276" s="53"/>
      <c r="CQ276" s="53"/>
      <c r="CR276" s="16"/>
      <c r="CS276" s="16"/>
      <c r="CT276" s="16"/>
      <c r="CU276" s="16"/>
    </row>
    <row r="277" spans="1:99" s="13" customFormat="1" ht="12" customHeight="1" x14ac:dyDescent="0.2">
      <c r="A277" s="65">
        <v>43896</v>
      </c>
      <c r="B277" s="1" t="s">
        <v>368</v>
      </c>
      <c r="C277" s="1" t="s">
        <v>54</v>
      </c>
      <c r="D277" s="60">
        <v>1980</v>
      </c>
      <c r="E277" s="76">
        <v>1</v>
      </c>
      <c r="F277" s="60">
        <v>5</v>
      </c>
      <c r="G277" s="60">
        <v>5</v>
      </c>
      <c r="H277" s="60" t="s">
        <v>50</v>
      </c>
      <c r="I277" s="60" t="s">
        <v>330</v>
      </c>
      <c r="J277" s="59" t="s">
        <v>353</v>
      </c>
      <c r="K277" s="60">
        <f>IF(J277="syllables",1,IF(J277="trigrams",2,IF(J277="strings",3,IF(J277="visual array",4,IF(J277="characters",5,IF(J277="letters",6,IF(J277="free forms",7,IF(J277="odors",8,IF(J277="words",9,IF(J277="pictures",10,IF(J277="object pictures",11,IF(J277="faces",12,IF(J277="names",13,IF(J277="idioms",14,IF(J277="grades",15,IF(J277="syllable-digit pairs",16,IF(J277="trigram-word pairs",17,IF(J277="word-digit pairs",18,IF(J277="English-Swahili pairs",19,IF(J277="spatial position",20,IF(J277="word pairs",21,IF(J277="word triads",22,IF(J277="generated words",23,IF(J277="word definition pairs",24,IF(J277="math problems",25,IF(J277="famous faces",26,IF(J277="famous names",27,IF(J277="famous voices",28,IF(J277="television programs",29,IF(J277="race horses",30,IF(J277="new vocabulary",31,IF(J277="sentences",32,IF(J277="concepts",33,IF(J277="ad slides",34,IF(J277="scenes",35,IF(J277="famous scenes",36,IF(J277="poems",37,IF(J277="walk",38,IF(J277="faces and events",39,IF(J277="events and names",40,IF(J277="flashbulb",41,IF(J277="stories",42,IF(J277="course material",43,IF(J277="autobiographical",44,IF(J277="novels",45,IF(J277="public events",46,"99"))))))))))))))))))))))))))))))))))))))))))))))</f>
        <v>28</v>
      </c>
      <c r="L277" s="60">
        <f>IF(J277="syllables",1,IF(J277="trigrams",1,IF(J277="strings",1,IF(J277="visual array",1,IF(J277="characters",1,IF(J277="letters",1,IF(J277="free forms",1,IF(J277="odors",2,IF(J277="words",2,IF(J277="pictures",2,IF(J277="object pictures",2,IF(J277="faces",2,IF(J277="names",2,IF(J277="idioms","2",IF(J277="grades",2,IF(J277="syllable-digit pairs",3,IF(J277="trigram-word pairs",3,IF(J277="word-digit pairs",3,IF(J277="English-Swahili pairs",3,IF(J277="spatial position",3,IF(J277="word pairs",4,IF(J277="word triads",4,IF(J277="generated words",4,IF(J277="word definition pairs",4,IF(J277="math problems",4,IF(J277="famous faces",4,IF(J277="famous names",4,IF(J277="famous voices",4,IF(J277="television programs",4,IF(J277="race horses",4,IF(J277="new vocabulary",4,IF(J277="sentences",5,IF(J277="concepts",5,IF(J277="ad slides",5,IF(J277="scenes",5,IF(J277="famous scenes",5,IF(J277="poems",6,IF(J277="walk",6,IF(J277="faces and events",6,IF(J277="events and names",6,IF(J277="flashbulb",7,IF(J277="stories",7,IF(J277="course material",7,IF(J277="autobiographical",7,IF(J277="novels",7,IF(J277="public events",7,"99"))))))))))))))))))))))))))))))))))))))))))))))</f>
        <v>4</v>
      </c>
      <c r="M277" s="60">
        <v>1</v>
      </c>
      <c r="N277" s="60">
        <v>2</v>
      </c>
      <c r="O277" s="60">
        <v>0</v>
      </c>
      <c r="P277" s="60"/>
      <c r="Q277" s="60" t="s">
        <v>34</v>
      </c>
      <c r="R277" s="60">
        <f>IF(Q277="Free Recall",1,IF(Q277="Cued Recall",2,IF(Q277="Recognition",3,IF(Q277="Multiple Choice",4,IF(Q277="Savings",5,IF(Q277="Stem Completion",6,IF(Q277="Fragment Completion",7,IF(Q277="anagram solution",8,IF(Q277="Matching",9,IF(Q277="Problem Solving",10,"99"))))))))))</f>
        <v>3</v>
      </c>
      <c r="S277" s="60" t="s">
        <v>15</v>
      </c>
      <c r="T277" s="59" t="s">
        <v>581</v>
      </c>
      <c r="U277" s="60">
        <f>IF(T277="within",1,0)</f>
        <v>1</v>
      </c>
      <c r="V277" s="59">
        <v>80</v>
      </c>
      <c r="W277" s="60">
        <f>F277*V277</f>
        <v>400</v>
      </c>
      <c r="X277" s="60">
        <v>5</v>
      </c>
      <c r="Y277" s="76">
        <f>AV276</f>
        <v>157680000</v>
      </c>
      <c r="Z277" s="60" t="s">
        <v>373</v>
      </c>
      <c r="AA277" s="60">
        <f>45*365*24*60*60</f>
        <v>1419120000</v>
      </c>
      <c r="AB277" s="60" t="str">
        <f>IF(AA277&lt;60,"1",IF(AA277&lt;=43200,"2",IF(AA277&lt;=777600,"3","4")))</f>
        <v>4</v>
      </c>
      <c r="AC277" s="56">
        <f>AVERAGE(AV276:DA276)</f>
        <v>788400000</v>
      </c>
      <c r="AD277" s="60" t="str">
        <f>IF(AC277&lt;60,"1",IF(AC277&lt;=43200,"2",IF(AC277&lt;=777600,"3","4")))</f>
        <v>4</v>
      </c>
      <c r="AE277" s="76">
        <f>AA277-Y277</f>
        <v>1261440000</v>
      </c>
      <c r="AF277" s="80">
        <f>AV277</f>
        <v>0.90624999999999989</v>
      </c>
      <c r="AG277" s="56">
        <f>((AW277-AV277)+(AX277-AW277)+(AY277-AX277)+(AZ277-AY277))/4</f>
        <v>-0.10422207446808507</v>
      </c>
      <c r="AH277" s="4"/>
      <c r="AI277" s="56">
        <f>RSQ(AV277:AZ277,AV276:AZ276)</f>
        <v>0.58066452422558823</v>
      </c>
      <c r="AJ277" s="109">
        <f>SLOPE(AV277:AZ277,AV276:AZ276)</f>
        <v>-2.6342206216922747E-10</v>
      </c>
      <c r="AK277" s="56">
        <f>INTERCEPT(AV277:AZ277,AV276:AZ276)</f>
        <v>0.9943371272603887</v>
      </c>
      <c r="AL277" s="56">
        <f>INDEX(LINEST(LN(AV277:AZ277),LN(AV276:AZ276),TRUE,TRUE),3,1)</f>
        <v>0.37995294015537817</v>
      </c>
      <c r="AM277" s="56">
        <f>INDEX(LINEST(LN(AV277:AZ277),LN(AV276:AZ276)),1)</f>
        <v>-0.182793811559819</v>
      </c>
      <c r="AN277" s="56">
        <f>EXP(INDEX(LINEST(LN(AV277:AZ277),LN(AV276:AZ276)),1,2))</f>
        <v>31.095191816908233</v>
      </c>
      <c r="AO277" s="82">
        <f>INDEX(LINEST((AV277:AZ277),LN(AV276:AZ276),TRUE,TRUE),3,1)</f>
        <v>0.40520089959568656</v>
      </c>
      <c r="AP277" s="82">
        <f>INDEX(LINEST((AV277:AZ277),LN(AV276:AZ276)),1)</f>
        <v>-0.12619753123240668</v>
      </c>
      <c r="AQ277" s="83">
        <f>INDEX(LINEST(LN(AV277:AZ277),SQRT(AV276:AZ276),TRUE,TRUE),3,1)</f>
        <v>0.47711341162366294</v>
      </c>
      <c r="AR277" s="116">
        <f>INDEX(LINEST(LN(AV277:AZ277),SQRT((AV276:AZ276))),1)</f>
        <v>-1.8052011304237449E-5</v>
      </c>
      <c r="AS277" s="84">
        <f>INDEX(LINEST(1/(AV277:AZ277),1/(SQRT(AV276:AZ276)),TRUE,TRUE),3,1)</f>
        <v>0.2698044468937128</v>
      </c>
      <c r="AT277" s="84">
        <f>INDEX(LINEST(1/(AV277:AZ277),1/SQRT(AV276:AZ276)),1)</f>
        <v>-9642.1315711000861</v>
      </c>
      <c r="AU277" s="3"/>
      <c r="AV277" s="53">
        <v>0.90624999999999989</v>
      </c>
      <c r="AW277" s="53">
        <v>0.87500000000000011</v>
      </c>
      <c r="AX277" s="53">
        <v>0.7846153846153846</v>
      </c>
      <c r="AY277" s="53">
        <v>0.87804878048780488</v>
      </c>
      <c r="AZ277" s="53">
        <v>0.48936170212765961</v>
      </c>
      <c r="BA277" s="53"/>
      <c r="BB277" s="53"/>
      <c r="BC277" s="53"/>
      <c r="BD277" s="53"/>
      <c r="BE277" s="53"/>
      <c r="BF277" s="53"/>
      <c r="BG277" s="53"/>
      <c r="BH277" s="53"/>
      <c r="BI277" s="53"/>
      <c r="BJ277" s="53"/>
      <c r="BK277" s="53"/>
      <c r="BL277" s="53"/>
      <c r="BM277" s="53"/>
      <c r="BN277" s="53"/>
      <c r="BO277" s="53"/>
      <c r="BP277" s="53"/>
      <c r="BQ277" s="53"/>
      <c r="BR277" s="53"/>
      <c r="BS277" s="53"/>
      <c r="BT277" s="53"/>
      <c r="BU277" s="53"/>
      <c r="BV277" s="53"/>
      <c r="BW277" s="53"/>
      <c r="BX277" s="53"/>
      <c r="BY277" s="53"/>
      <c r="BZ277" s="53"/>
      <c r="CA277" s="53"/>
      <c r="CB277" s="53"/>
      <c r="CC277" s="53"/>
      <c r="CD277" s="53"/>
      <c r="CE277" s="53"/>
      <c r="CF277" s="53"/>
      <c r="CG277" s="53"/>
      <c r="CH277" s="53"/>
      <c r="CI277" s="53"/>
      <c r="CJ277" s="53"/>
      <c r="CK277" s="53"/>
      <c r="CL277" s="53"/>
      <c r="CM277" s="53"/>
      <c r="CN277" s="53"/>
      <c r="CO277" s="53"/>
      <c r="CP277" s="53"/>
      <c r="CQ277" s="53"/>
      <c r="CR277" s="16"/>
      <c r="CS277" s="16"/>
      <c r="CT277" s="16"/>
      <c r="CU277" s="16"/>
    </row>
    <row r="278" spans="1:99" s="13" customFormat="1" ht="12" customHeight="1" x14ac:dyDescent="0.2">
      <c r="A278" s="68">
        <v>43902</v>
      </c>
      <c r="B278" s="70"/>
      <c r="C278" s="70"/>
      <c r="D278" s="69"/>
      <c r="E278" s="87"/>
      <c r="F278" s="69"/>
      <c r="G278" s="69"/>
      <c r="H278" s="69"/>
      <c r="I278" s="69"/>
      <c r="J278" s="69"/>
      <c r="K278" s="107"/>
      <c r="L278" s="107"/>
      <c r="M278" s="69"/>
      <c r="N278" s="69"/>
      <c r="O278" s="69"/>
      <c r="P278" s="69"/>
      <c r="Q278" s="69"/>
      <c r="R278" s="69"/>
      <c r="S278" s="69"/>
      <c r="T278" s="92"/>
      <c r="U278" s="60"/>
      <c r="V278" s="92"/>
      <c r="W278" s="69"/>
      <c r="X278" s="69"/>
      <c r="Y278" s="87"/>
      <c r="Z278" s="69"/>
      <c r="AA278" s="87"/>
      <c r="AB278" s="69"/>
      <c r="AC278" s="72"/>
      <c r="AD278" s="69"/>
      <c r="AE278" s="69"/>
      <c r="AF278" s="88"/>
      <c r="AG278" s="72"/>
      <c r="AH278" s="4"/>
      <c r="AI278" s="72"/>
      <c r="AJ278" s="110"/>
      <c r="AK278" s="72"/>
      <c r="AL278" s="72"/>
      <c r="AM278" s="72"/>
      <c r="AN278" s="72"/>
      <c r="AO278" s="89"/>
      <c r="AP278" s="89"/>
      <c r="AQ278" s="90"/>
      <c r="AR278" s="117"/>
      <c r="AS278" s="91"/>
      <c r="AT278" s="91"/>
      <c r="AU278" s="3"/>
      <c r="AV278" s="71">
        <v>157680000</v>
      </c>
      <c r="AW278" s="71">
        <v>473040000</v>
      </c>
      <c r="AX278" s="71">
        <v>788400000</v>
      </c>
      <c r="AY278" s="71">
        <v>1103760000</v>
      </c>
      <c r="AZ278" s="71">
        <v>1419120000</v>
      </c>
      <c r="BA278" s="53"/>
      <c r="BB278" s="53"/>
      <c r="BC278" s="53"/>
      <c r="BD278" s="53"/>
      <c r="BE278" s="53"/>
      <c r="BF278" s="53"/>
      <c r="BG278" s="53"/>
      <c r="BH278" s="53"/>
      <c r="BI278" s="53"/>
      <c r="BJ278" s="53"/>
      <c r="BK278" s="53"/>
      <c r="BL278" s="53"/>
      <c r="BM278" s="53"/>
      <c r="BN278" s="53"/>
      <c r="BO278" s="53"/>
      <c r="BP278" s="53"/>
      <c r="BQ278" s="53"/>
      <c r="BR278" s="53"/>
      <c r="BS278" s="53"/>
      <c r="BT278" s="53"/>
      <c r="BU278" s="53"/>
      <c r="BV278" s="53"/>
      <c r="BW278" s="53"/>
      <c r="BX278" s="53"/>
      <c r="BY278" s="53"/>
      <c r="BZ278" s="53"/>
      <c r="CA278" s="53"/>
      <c r="CB278" s="53"/>
      <c r="CC278" s="53"/>
      <c r="CD278" s="53"/>
      <c r="CE278" s="53"/>
      <c r="CF278" s="53"/>
      <c r="CG278" s="53"/>
      <c r="CH278" s="53"/>
      <c r="CI278" s="53"/>
      <c r="CJ278" s="53"/>
      <c r="CK278" s="53"/>
      <c r="CL278" s="53"/>
      <c r="CM278" s="53"/>
      <c r="CN278" s="53"/>
      <c r="CO278" s="53"/>
      <c r="CP278" s="53"/>
      <c r="CQ278" s="53"/>
      <c r="CR278" s="16"/>
      <c r="CS278" s="16"/>
      <c r="CT278" s="16"/>
      <c r="CU278" s="16"/>
    </row>
    <row r="279" spans="1:99" s="13" customFormat="1" ht="12" customHeight="1" x14ac:dyDescent="0.2">
      <c r="A279" s="68">
        <v>43902</v>
      </c>
      <c r="B279" s="70" t="s">
        <v>455</v>
      </c>
      <c r="C279" s="70" t="s">
        <v>139</v>
      </c>
      <c r="D279" s="69">
        <v>1989</v>
      </c>
      <c r="E279" s="87">
        <v>1</v>
      </c>
      <c r="F279" s="69">
        <v>23</v>
      </c>
      <c r="G279" s="69">
        <v>23</v>
      </c>
      <c r="H279" s="69" t="s">
        <v>50</v>
      </c>
      <c r="I279" s="69" t="s">
        <v>330</v>
      </c>
      <c r="J279" s="69" t="s">
        <v>342</v>
      </c>
      <c r="K279" s="69">
        <f>IF(J279="syllables",1,IF(J279="trigrams",2,IF(J279="strings",3,IF(J279="visual array",4,IF(J279="characters",5,IF(J279="letters",6,IF(J279="free forms",7,IF(J279="odors",8,IF(J279="words",9,IF(J279="pictures",10,IF(J279="object pictures",11,IF(J279="faces",12,IF(J279="names",13,IF(J279="idioms",14,IF(J279="grades",15,IF(J279="syllable-digit pairs",16,IF(J279="trigram-word pairs",17,IF(J279="word-digit pairs",18,IF(J279="English-Swahili pairs",19,IF(J279="spatial position",20,IF(J279="word pairs",21,IF(J279="word triads",22,IF(J279="generated words",23,IF(J279="word definition pairs",24,IF(J279="math problems",25,IF(J279="famous faces",26,IF(J279="famous names",27,IF(J279="famous voices",28,IF(J279="television programs",29,IF(J279="race horses",30,IF(J279="new vocabulary",31,IF(J279="sentences",32,IF(J279="concepts",33,IF(J279="ad slides",34,IF(J279="scenes",35,IF(J279="famous scenes",36,IF(J279="poems",37,IF(J279="walk",38,IF(J279="faces and events",39,IF(J279="events and names",40,IF(J279="flashbulb",41,IF(J279="stories",42,IF(J279="course material",43,IF(J279="autobiographical",44,IF(J279="novels",45,IF(J279="public events",46,"99"))))))))))))))))))))))))))))))))))))))))))))))</f>
        <v>26</v>
      </c>
      <c r="L279" s="69">
        <f>IF(J279="syllables",1,IF(J279="trigrams",1,IF(J279="strings",1,IF(J279="visual array",1,IF(J279="characters",1,IF(J279="letters",1,IF(J279="free forms",1,IF(J279="odors",2,IF(J279="words",2,IF(J279="pictures",2,IF(J279="object pictures",2,IF(J279="faces",2,IF(J279="names",2,IF(J279="idioms","2",IF(J279="grades",2,IF(J279="syllable-digit pairs",3,IF(J279="trigram-word pairs",3,IF(J279="word-digit pairs",3,IF(J279="English-Swahili pairs",3,IF(J279="spatial position",3,IF(J279="word pairs",4,IF(J279="word triads",4,IF(J279="generated words",4,IF(J279="word definition pairs",4,IF(J279="math problems",4,IF(J279="famous faces",4,IF(J279="famous names",4,IF(J279="famous voices",4,IF(J279="television programs",4,IF(J279="race horses",4,IF(J279="new vocabulary",4,IF(J279="sentences",5,IF(J279="concepts",5,IF(J279="ad slides",5,IF(J279="scenes",5,IF(J279="famous scenes",5,IF(J279="poems",6,IF(J279="walk",6,IF(J279="faces and events",6,IF(J279="events and names",6,IF(J279="flashbulb",7,IF(J279="stories",7,IF(J279="course material",7,IF(J279="autobiographical",7,IF(J279="novels",7,IF(J279="public events",7,"99"))))))))))))))))))))))))))))))))))))))))))))))</f>
        <v>4</v>
      </c>
      <c r="M279" s="69">
        <v>1</v>
      </c>
      <c r="N279" s="86">
        <v>3</v>
      </c>
      <c r="O279" s="69">
        <v>0</v>
      </c>
      <c r="P279" s="69"/>
      <c r="Q279" s="69" t="s">
        <v>174</v>
      </c>
      <c r="R279" s="69">
        <f>IF(Q279="Free Recall",1,IF(Q279="Cued Recall",2,IF(Q279="Recognition",3,IF(Q279="Multiple Choice",4,IF(Q279="Savings",5,IF(Q279="Stem Completion",6,IF(Q279="Fragment Completion",7,IF(Q279="anagram solution",8,IF(Q279="Matching",9,IF(Q279="Problem Solving",10,"99"))))))))))</f>
        <v>1</v>
      </c>
      <c r="S279" s="69" t="s">
        <v>49</v>
      </c>
      <c r="T279" s="92" t="s">
        <v>581</v>
      </c>
      <c r="U279" s="60">
        <f>IF(T279="within",1,0)</f>
        <v>1</v>
      </c>
      <c r="V279" s="92">
        <v>132</v>
      </c>
      <c r="W279" s="69">
        <f>F279*V279</f>
        <v>3036</v>
      </c>
      <c r="X279" s="69">
        <v>5</v>
      </c>
      <c r="Y279" s="87">
        <f>AV278</f>
        <v>157680000</v>
      </c>
      <c r="Z279" s="69" t="s">
        <v>373</v>
      </c>
      <c r="AA279" s="69">
        <f>45*365*24*60*60</f>
        <v>1419120000</v>
      </c>
      <c r="AB279" s="69" t="str">
        <f>IF(AA279&lt;60,"1",IF(AA279&lt;=43200,"2",IF(AA279&lt;=777600,"3","4")))</f>
        <v>4</v>
      </c>
      <c r="AC279" s="72">
        <f>AVERAGE(AV278:DA278)</f>
        <v>788400000</v>
      </c>
      <c r="AD279" s="69" t="str">
        <f>IF(AC279&lt;60,"1",IF(AC279&lt;=43200,"2",IF(AC279&lt;=777600,"3","4")))</f>
        <v>4</v>
      </c>
      <c r="AE279" s="87">
        <f>AA279-Y279</f>
        <v>1261440000</v>
      </c>
      <c r="AF279" s="88">
        <f>AV279</f>
        <v>0.81132075471698106</v>
      </c>
      <c r="AG279" s="72">
        <f>((AW279-AV279)+(AX279-AW279)+(AY279-AX279)+(AZ279-AY279))/4</f>
        <v>-3.6163522012578608E-2</v>
      </c>
      <c r="AH279" s="4"/>
      <c r="AI279" s="72">
        <f>RSQ(AV279:AZ279,AV278:AZ278)</f>
        <v>0.86508677842846893</v>
      </c>
      <c r="AJ279" s="110">
        <f>SLOPE(AV279:AZ279,AV278:AZ278)</f>
        <v>-9.9084482269543754E-11</v>
      </c>
      <c r="AK279" s="72">
        <f>INTERCEPT(AV279:AZ279,AV278:AZ278)</f>
        <v>0.82700201531950213</v>
      </c>
      <c r="AL279" s="72">
        <f>INDEX(LINEST(LN(AV279:AZ279),LN(AV278:AZ278),TRUE,TRUE),3,1)</f>
        <v>0.71303554731401952</v>
      </c>
      <c r="AM279" s="72">
        <f>INDEX(LINEST(LN(AV279:AZ279),LN(AV278:AZ278)),1)</f>
        <v>-7.0402760275188284E-2</v>
      </c>
      <c r="AN279" s="72">
        <f>EXP(INDEX(LINEST(LN(AV279:AZ279),LN(AV278:AZ278)),1,2))</f>
        <v>3.1085420990615136</v>
      </c>
      <c r="AO279" s="89">
        <f>INDEX(LINEST((AV279:AZ279),LN(AV278:AZ278),TRUE,TRUE),3,1)</f>
        <v>0.73793849554548396</v>
      </c>
      <c r="AP279" s="89">
        <f>INDEX(LINEST((AV279:AZ279),LN(AV278:AZ278)),1)</f>
        <v>-5.2482202250693992E-2</v>
      </c>
      <c r="AQ279" s="90">
        <f>INDEX(LINEST(LN(AV279:AZ279),SQRT(AV278:AZ278),TRUE,TRUE),3,1)</f>
        <v>0.79525835004526857</v>
      </c>
      <c r="AR279" s="117">
        <f>INDEX(LINEST(LN(AV279:AZ279),SQRT((AV278:AZ278))),1)</f>
        <v>-6.552490734007736E-6</v>
      </c>
      <c r="AS279" s="91">
        <f>INDEX(LINEST(1/(AV279:AZ279),1/(SQRT(AV278:AZ278)),TRUE,TRUE),3,1)</f>
        <v>0.59423591502222761</v>
      </c>
      <c r="AT279" s="91">
        <f>INDEX(LINEST(1/(AV279:AZ279),1/SQRT(AV278:AZ278)),1)</f>
        <v>-3568.8036609443288</v>
      </c>
      <c r="AU279" s="3"/>
      <c r="AV279" s="73">
        <v>0.81132075471698106</v>
      </c>
      <c r="AW279" s="73">
        <v>0.76086956521739124</v>
      </c>
      <c r="AX279" s="73">
        <v>0.76785714285714279</v>
      </c>
      <c r="AY279" s="73">
        <v>0.73770491803278693</v>
      </c>
      <c r="AZ279" s="73">
        <v>0.66666666666666663</v>
      </c>
      <c r="BA279" s="53"/>
      <c r="BB279" s="53"/>
      <c r="BC279" s="53"/>
      <c r="BD279" s="53"/>
      <c r="BE279" s="53"/>
      <c r="BF279" s="53"/>
      <c r="BG279" s="53"/>
      <c r="BH279" s="53"/>
      <c r="BI279" s="53"/>
      <c r="BJ279" s="53"/>
      <c r="BK279" s="53"/>
      <c r="BL279" s="53"/>
      <c r="BM279" s="53"/>
      <c r="BN279" s="53"/>
      <c r="BO279" s="53"/>
      <c r="BP279" s="53"/>
      <c r="BQ279" s="53"/>
      <c r="BR279" s="53"/>
      <c r="BS279" s="53"/>
      <c r="BT279" s="53"/>
      <c r="BU279" s="53"/>
      <c r="BV279" s="53"/>
      <c r="BW279" s="53"/>
      <c r="BX279" s="53"/>
      <c r="BY279" s="53"/>
      <c r="BZ279" s="53"/>
      <c r="CA279" s="53"/>
      <c r="CB279" s="53"/>
      <c r="CC279" s="53"/>
      <c r="CD279" s="53"/>
      <c r="CE279" s="53"/>
      <c r="CF279" s="53"/>
      <c r="CG279" s="53"/>
      <c r="CH279" s="53"/>
      <c r="CI279" s="53"/>
      <c r="CJ279" s="53"/>
      <c r="CK279" s="53"/>
      <c r="CL279" s="53"/>
      <c r="CM279" s="53"/>
      <c r="CN279" s="53"/>
      <c r="CO279" s="53"/>
      <c r="CP279" s="53"/>
      <c r="CQ279" s="53"/>
      <c r="CR279" s="16"/>
      <c r="CS279" s="16"/>
      <c r="CT279" s="16"/>
      <c r="CU279" s="16"/>
    </row>
    <row r="280" spans="1:99" s="13" customFormat="1" ht="12" customHeight="1" x14ac:dyDescent="0.2">
      <c r="A280" s="65">
        <v>43979</v>
      </c>
      <c r="B280" s="1"/>
      <c r="C280" s="1"/>
      <c r="D280" s="60"/>
      <c r="E280" s="76"/>
      <c r="F280" s="60"/>
      <c r="G280" s="60"/>
      <c r="H280" s="60"/>
      <c r="I280" s="60"/>
      <c r="J280" s="60"/>
      <c r="K280" s="60"/>
      <c r="L280" s="60"/>
      <c r="M280" s="60"/>
      <c r="N280" s="61"/>
      <c r="O280" s="60"/>
      <c r="P280" s="60"/>
      <c r="Q280" s="60"/>
      <c r="R280" s="60"/>
      <c r="S280" s="60"/>
      <c r="T280" s="59"/>
      <c r="U280" s="60"/>
      <c r="V280" s="59"/>
      <c r="W280" s="60"/>
      <c r="X280" s="60"/>
      <c r="Y280" s="76"/>
      <c r="Z280" s="60"/>
      <c r="AA280" s="60"/>
      <c r="AB280" s="60"/>
      <c r="AC280" s="56"/>
      <c r="AD280" s="60"/>
      <c r="AE280" s="76"/>
      <c r="AF280" s="80"/>
      <c r="AG280" s="56"/>
      <c r="AH280" s="4"/>
      <c r="AI280" s="56"/>
      <c r="AJ280" s="109"/>
      <c r="AK280" s="56"/>
      <c r="AL280" s="56"/>
      <c r="AM280" s="56"/>
      <c r="AN280" s="56"/>
      <c r="AO280" s="82"/>
      <c r="AP280" s="82"/>
      <c r="AQ280" s="83"/>
      <c r="AR280" s="116"/>
      <c r="AS280" s="84"/>
      <c r="AT280" s="84"/>
      <c r="AU280" s="3"/>
      <c r="AV280" s="25">
        <v>2</v>
      </c>
      <c r="AW280" s="25">
        <v>40</v>
      </c>
      <c r="AX280" s="25">
        <f>60*30</f>
        <v>1800</v>
      </c>
      <c r="AY280" s="25">
        <f>60*60*24</f>
        <v>86400</v>
      </c>
      <c r="AZ280" s="25">
        <f>60*60*24*7</f>
        <v>604800</v>
      </c>
      <c r="BA280" s="25">
        <f>60*60*24*7*3</f>
        <v>1814400</v>
      </c>
      <c r="BB280" s="53"/>
      <c r="BC280" s="53"/>
      <c r="BD280" s="53"/>
      <c r="BE280" s="53"/>
      <c r="BF280" s="53"/>
      <c r="BG280" s="53"/>
      <c r="BH280" s="53"/>
      <c r="BI280" s="53"/>
      <c r="BJ280" s="53"/>
      <c r="BK280" s="53"/>
      <c r="BL280" s="53"/>
      <c r="BM280" s="53"/>
      <c r="BN280" s="53"/>
      <c r="BO280" s="53"/>
      <c r="BP280" s="53"/>
      <c r="BQ280" s="53"/>
      <c r="BR280" s="53"/>
      <c r="BS280" s="53"/>
      <c r="BT280" s="53"/>
      <c r="BU280" s="53"/>
      <c r="BV280" s="53"/>
      <c r="BW280" s="53"/>
      <c r="BX280" s="53"/>
      <c r="BY280" s="53"/>
      <c r="BZ280" s="53"/>
      <c r="CA280" s="53"/>
      <c r="CB280" s="53"/>
      <c r="CC280" s="53"/>
      <c r="CD280" s="53"/>
      <c r="CE280" s="53"/>
      <c r="CF280" s="53"/>
      <c r="CG280" s="53"/>
      <c r="CH280" s="53"/>
      <c r="CI280" s="53"/>
      <c r="CJ280" s="53"/>
      <c r="CK280" s="53"/>
      <c r="CL280" s="53"/>
      <c r="CM280" s="53"/>
      <c r="CN280" s="53"/>
      <c r="CO280" s="53"/>
      <c r="CP280" s="53"/>
      <c r="CQ280" s="53"/>
      <c r="CR280" s="16"/>
      <c r="CS280" s="16"/>
      <c r="CT280" s="16"/>
      <c r="CU280" s="16"/>
    </row>
    <row r="281" spans="1:99" s="13" customFormat="1" ht="12" customHeight="1" x14ac:dyDescent="0.2">
      <c r="A281" s="65">
        <v>43979</v>
      </c>
      <c r="B281" s="1" t="s">
        <v>996</v>
      </c>
      <c r="C281" s="1" t="s">
        <v>54</v>
      </c>
      <c r="D281" s="60">
        <v>2010</v>
      </c>
      <c r="E281" s="76">
        <v>1</v>
      </c>
      <c r="F281" s="60">
        <v>11</v>
      </c>
      <c r="G281" s="60">
        <v>11</v>
      </c>
      <c r="H281" s="60" t="s">
        <v>43</v>
      </c>
      <c r="I281" s="60" t="s">
        <v>330</v>
      </c>
      <c r="J281" s="60" t="s">
        <v>16</v>
      </c>
      <c r="K281" s="60">
        <f>IF(J281="syllables",1,IF(J281="trigrams",2,IF(J281="strings",3,IF(J281="visual array",4,IF(J281="characters",5,IF(J281="letters",6,IF(J281="free forms",7,IF(J281="odors",8,IF(J281="words",9,IF(J281="pictures",10,IF(J281="object pictures",11,IF(J281="faces",12,IF(J281="names",13,IF(J281="idioms",14,IF(J281="grades",15,IF(J281="syllable-digit pairs",16,IF(J281="trigram-word pairs",17,IF(J281="word-digit pairs",18,IF(J281="English-Swahili pairs",19,IF(J281="spatial position",20,IF(J281="word pairs",21,IF(J281="word triads",22,IF(J281="generated words",23,IF(J281="word definition pairs",24,IF(J281="math problems",25,IF(J281="famous faces",26,IF(J281="famous names",27,IF(J281="famous voices",28,IF(J281="television programs",29,IF(J281="race horses",30,IF(J281="new vocabulary",31,IF(J281="sentences",32,IF(J281="concepts",33,IF(J281="ad slides",34,IF(J281="scenes",35,IF(J281="famous scenes",36,IF(J281="poems",37,IF(J281="walk",38,IF(J281="faces and events",39,IF(J281="events and names",40,IF(J281="flashbulb",41,IF(J281="stories",42,IF(J281="course material",43,IF(J281="autobiographical",44,IF(J281="novels",45,IF(J281="public events",46,"99"))))))))))))))))))))))))))))))))))))))))))))))</f>
        <v>9</v>
      </c>
      <c r="L281" s="60">
        <f>IF(J281="syllables",1,IF(J281="trigrams",1,IF(J281="strings",1,IF(J281="visual array",1,IF(J281="characters",1,IF(J281="letters",1,IF(J281="free forms",1,IF(J281="odors",2,IF(J281="words",2,IF(J281="pictures",2,IF(J281="object pictures",2,IF(J281="faces",2,IF(J281="names",2,IF(J281="idioms","2",IF(J281="grades",2,IF(J281="syllable-digit pairs",3,IF(J281="trigram-word pairs",3,IF(J281="word-digit pairs",3,IF(J281="English-Swahili pairs",3,IF(J281="spatial position",3,IF(J281="word pairs",4,IF(J281="word triads",4,IF(J281="generated words",4,IF(J281="word definition pairs",4,IF(J281="math problems",4,IF(J281="famous faces",4,IF(J281="famous names",4,IF(J281="famous voices",4,IF(J281="television programs",4,IF(J281="race horses",4,IF(J281="new vocabulary",4,IF(J281="sentences",5,IF(J281="concepts",5,IF(J281="ad slides",5,IF(J281="scenes",5,IF(J281="famous scenes",5,IF(J281="poems",6,IF(J281="walk",6,IF(J281="faces and events",6,IF(J281="events and names",6,IF(J281="flashbulb",7,IF(J281="stories",7,IF(J281="course material",7,IF(J281="autobiographical",7,IF(J281="novels",7,IF(J281="public events",7,"99"))))))))))))))))))))))))))))))))))))))))))))))</f>
        <v>2</v>
      </c>
      <c r="M281" s="60">
        <v>1</v>
      </c>
      <c r="N281" s="61">
        <v>1</v>
      </c>
      <c r="O281" s="60">
        <v>0</v>
      </c>
      <c r="P281" s="60"/>
      <c r="Q281" s="60" t="s">
        <v>174</v>
      </c>
      <c r="R281" s="60">
        <f>IF(Q281="Free Recall",1,IF(Q281="Cued Recall",2,IF(Q281="Recognition",3,IF(Q281="Multiple Choice",4,IF(Q281="Savings",5,IF(Q281="Stem Completion",6,IF(Q281="Fragment Completion",7,IF(Q281="anagram solution",8,IF(Q281="Matching",9,IF(Q281="Problem Solving",10,"99"))))))))))</f>
        <v>1</v>
      </c>
      <c r="S281" s="60" t="s">
        <v>15</v>
      </c>
      <c r="T281" s="59" t="s">
        <v>581</v>
      </c>
      <c r="U281" s="60">
        <f>IF(T281="within",1,0)</f>
        <v>1</v>
      </c>
      <c r="V281" s="59">
        <v>120</v>
      </c>
      <c r="W281" s="60">
        <f>F281*V281</f>
        <v>1320</v>
      </c>
      <c r="X281" s="60">
        <v>6</v>
      </c>
      <c r="Y281" s="76">
        <f>AV280</f>
        <v>2</v>
      </c>
      <c r="Z281" s="60" t="s">
        <v>165</v>
      </c>
      <c r="AA281" s="60">
        <f>60*60*24*7*3</f>
        <v>1814400</v>
      </c>
      <c r="AB281" s="60" t="str">
        <f>IF(AA281&lt;60,"1",IF(AA281&lt;=43200,"2",IF(AA281&lt;=777600,"3","4")))</f>
        <v>4</v>
      </c>
      <c r="AC281" s="56">
        <f>AVERAGE(AV280:DA280)</f>
        <v>417907</v>
      </c>
      <c r="AD281" s="60" t="str">
        <f>IF(AC281&lt;60,"1",IF(AC281&lt;=43200,"2",IF(AC281&lt;=777600,"3","4")))</f>
        <v>3</v>
      </c>
      <c r="AE281" s="76">
        <f>AA281-Y281</f>
        <v>1814398</v>
      </c>
      <c r="AF281" s="80">
        <f>AV281</f>
        <v>0.84312749003984</v>
      </c>
      <c r="AG281" s="56">
        <f>((AW281-AV281)+(AX281-AW281)+(AY281-AX281)+(AZ281-AY281)+(BA281-AZ281))/5</f>
        <v>-4.795816733067719E-2</v>
      </c>
      <c r="AH281" s="4"/>
      <c r="AI281" s="56">
        <f>RSQ(AV281:BA281,AV280:BA280)</f>
        <v>0.4827664481227153</v>
      </c>
      <c r="AJ281" s="109">
        <f>SLOPE(AV281:BA281,AV280:BA280)</f>
        <v>-8.8703440771287719E-8</v>
      </c>
      <c r="AK281" s="56">
        <f>INTERCEPT(AV281:BA281,AV280:BA280)</f>
        <v>0.74025703981842195</v>
      </c>
      <c r="AL281" s="56">
        <f>INDEX(LINEST(LN(AV281:BA281),LN(AV280:BA280),TRUE,TRUE),3,1)</f>
        <v>0.97217173662312839</v>
      </c>
      <c r="AM281" s="56">
        <f>INDEX(LINEST(LN(AV281:BA281),LN(AV280:BA280)),1)</f>
        <v>-2.3219369023365778E-2</v>
      </c>
      <c r="AN281" s="56">
        <f>EXP(INDEX(LINEST(LN(AV281:BA281),LN(AV280:BA280)),1,2))</f>
        <v>0.85048315016090148</v>
      </c>
      <c r="AO281" s="82">
        <f>INDEX(LINEST((AV281:BA281),LN(AV280:BA280),TRUE,TRUE),3,1)</f>
        <v>0.97095956827307817</v>
      </c>
      <c r="AP281" s="82">
        <f>INDEX(LINEST((AV281:BA281),LN(AV280:BA280)),1)</f>
        <v>-1.6539020331656856E-2</v>
      </c>
      <c r="AQ281" s="83">
        <f>INDEX(LINEST(LN(AV281:BA281),SQRT(AV280:BA280),TRUE,TRUE),3,1)</f>
        <v>0.71559194053924247</v>
      </c>
      <c r="AR281" s="116">
        <f>INDEX(LINEST(LN(AV281:BA281),SQRT((AV280:BA280))),1)</f>
        <v>-2.0071590993617236E-4</v>
      </c>
      <c r="AS281" s="84">
        <f>INDEX(LINEST(1/(AV281:BA281),1/(SQRT(AV280:BA280)),TRUE,TRUE),3,1)</f>
        <v>0.61560797977741999</v>
      </c>
      <c r="AT281" s="84">
        <f>INDEX(LINEST(1/(AV281:BA281),1/SQRT(AV280:BA280)),1)</f>
        <v>-0.51417333975166979</v>
      </c>
      <c r="AU281" s="3"/>
      <c r="AV281" s="53">
        <v>0.84312749003984</v>
      </c>
      <c r="AW281" s="53">
        <v>0.75722111553784799</v>
      </c>
      <c r="AX281" s="53">
        <v>0.74003984063744999</v>
      </c>
      <c r="AY281" s="53">
        <v>0.64890438247011906</v>
      </c>
      <c r="AZ281" s="53">
        <v>0.62649402390438202</v>
      </c>
      <c r="BA281" s="53">
        <v>0.60333665338645404</v>
      </c>
      <c r="BB281" s="53"/>
      <c r="BC281" s="53"/>
      <c r="BD281" s="53"/>
      <c r="BE281" s="53"/>
      <c r="BF281" s="53"/>
      <c r="BG281" s="53"/>
      <c r="BH281" s="53"/>
      <c r="BI281" s="53"/>
      <c r="BJ281" s="53"/>
      <c r="BK281" s="53"/>
      <c r="BL281" s="53"/>
      <c r="BM281" s="53"/>
      <c r="BN281" s="53"/>
      <c r="BO281" s="53"/>
      <c r="BP281" s="53"/>
      <c r="BQ281" s="53"/>
      <c r="BR281" s="53"/>
      <c r="BS281" s="53"/>
      <c r="BT281" s="53"/>
      <c r="BU281" s="53"/>
      <c r="BV281" s="53"/>
      <c r="BW281" s="53"/>
      <c r="BX281" s="53"/>
      <c r="BY281" s="53"/>
      <c r="BZ281" s="53"/>
      <c r="CA281" s="53"/>
      <c r="CB281" s="53"/>
      <c r="CC281" s="53"/>
      <c r="CD281" s="53"/>
      <c r="CE281" s="53"/>
      <c r="CF281" s="53"/>
      <c r="CG281" s="53"/>
      <c r="CH281" s="53"/>
      <c r="CI281" s="53"/>
      <c r="CJ281" s="53"/>
      <c r="CK281" s="53"/>
      <c r="CL281" s="53"/>
      <c r="CM281" s="53"/>
      <c r="CN281" s="53"/>
      <c r="CO281" s="53"/>
      <c r="CP281" s="53"/>
      <c r="CQ281" s="53"/>
      <c r="CR281" s="16"/>
      <c r="CS281" s="16"/>
      <c r="CT281" s="16"/>
      <c r="CU281" s="16"/>
    </row>
    <row r="282" spans="1:99" ht="12" customHeight="1" x14ac:dyDescent="0.2">
      <c r="A282" s="68">
        <v>43509</v>
      </c>
      <c r="B282" s="94"/>
      <c r="C282" s="94"/>
      <c r="D282" s="92"/>
      <c r="E282" s="105"/>
      <c r="F282" s="92"/>
      <c r="G282" s="92"/>
      <c r="H282" s="92"/>
      <c r="I282" s="92"/>
      <c r="J282" s="92"/>
      <c r="K282" s="107"/>
      <c r="L282" s="107"/>
      <c r="M282" s="92"/>
      <c r="N282" s="92"/>
      <c r="O282" s="92"/>
      <c r="P282" s="92"/>
      <c r="Q282" s="92"/>
      <c r="R282" s="69"/>
      <c r="S282" s="92"/>
      <c r="T282" s="92"/>
      <c r="U282" s="60"/>
      <c r="V282" s="92"/>
      <c r="W282" s="69"/>
      <c r="X282" s="92"/>
      <c r="Y282" s="87"/>
      <c r="Z282" s="107"/>
      <c r="AA282" s="107"/>
      <c r="AB282" s="69"/>
      <c r="AC282" s="69"/>
      <c r="AD282" s="69"/>
      <c r="AE282" s="69"/>
      <c r="AF282" s="88"/>
      <c r="AG282" s="72"/>
      <c r="AI282" s="108"/>
      <c r="AJ282" s="113"/>
      <c r="AK282" s="108"/>
      <c r="AL282" s="108"/>
      <c r="AM282" s="108"/>
      <c r="AN282" s="108"/>
      <c r="AO282" s="108"/>
      <c r="AP282" s="108"/>
      <c r="AQ282" s="72"/>
      <c r="AR282" s="110"/>
      <c r="AS282" s="72"/>
      <c r="AT282" s="72"/>
      <c r="AU282" s="4"/>
      <c r="AV282" s="140">
        <v>30</v>
      </c>
      <c r="AW282" s="98">
        <f>20*60</f>
        <v>1200</v>
      </c>
      <c r="AX282" s="98">
        <f>3600</f>
        <v>3600</v>
      </c>
      <c r="AY282" s="98">
        <f>9*3600</f>
        <v>32400</v>
      </c>
      <c r="AZ282" s="98">
        <f>1*24*3600</f>
        <v>86400</v>
      </c>
      <c r="BA282" s="98">
        <f>2*24*3600</f>
        <v>172800</v>
      </c>
      <c r="BB282" s="98">
        <f>6*24*3600</f>
        <v>518400</v>
      </c>
      <c r="BC282" s="98">
        <f>31*24*3600</f>
        <v>2678400</v>
      </c>
      <c r="BD282" s="11" t="s">
        <v>898</v>
      </c>
      <c r="BE282" s="11"/>
      <c r="BF282" s="11"/>
      <c r="BG282" s="11"/>
      <c r="BH282" s="11"/>
      <c r="BI282" s="11"/>
      <c r="BJ282" s="11"/>
      <c r="BK282" s="11"/>
      <c r="BL282" s="11"/>
      <c r="BM282" s="11"/>
      <c r="BN282" s="11"/>
      <c r="BO282" s="11"/>
      <c r="BP282" s="11"/>
      <c r="BQ282" s="11"/>
      <c r="BR282" s="11"/>
      <c r="BS282" s="11"/>
      <c r="BT282" s="11"/>
      <c r="BU282" s="11"/>
      <c r="BV282" s="11"/>
      <c r="BW282" s="11"/>
      <c r="BX282" s="11"/>
      <c r="BY282" s="11"/>
      <c r="BZ282" s="11"/>
      <c r="CA282" s="11"/>
      <c r="CB282" s="11"/>
      <c r="CC282" s="11"/>
      <c r="CD282" s="11"/>
      <c r="CE282" s="11"/>
      <c r="CF282" s="11"/>
      <c r="CG282" s="11"/>
      <c r="CH282" s="11"/>
      <c r="CI282" s="11"/>
      <c r="CJ282" s="11"/>
      <c r="CK282" s="11"/>
      <c r="CL282" s="11"/>
      <c r="CM282" s="11"/>
      <c r="CN282" s="11"/>
      <c r="CO282" s="11"/>
      <c r="CP282" s="11"/>
      <c r="CQ282" s="11"/>
      <c r="CR282" s="15"/>
      <c r="CS282" s="15"/>
      <c r="CT282" s="15"/>
      <c r="CU282" s="15"/>
    </row>
    <row r="283" spans="1:99" ht="12" customHeight="1" x14ac:dyDescent="0.2">
      <c r="A283" s="68">
        <v>43509</v>
      </c>
      <c r="B283" s="94" t="s">
        <v>279</v>
      </c>
      <c r="C283" s="94" t="s">
        <v>280</v>
      </c>
      <c r="D283" s="92">
        <v>2015</v>
      </c>
      <c r="E283" s="105">
        <v>1</v>
      </c>
      <c r="F283" s="92">
        <v>1</v>
      </c>
      <c r="G283" s="92">
        <v>1</v>
      </c>
      <c r="H283" s="107" t="s">
        <v>30</v>
      </c>
      <c r="I283" s="92" t="s">
        <v>895</v>
      </c>
      <c r="J283" s="92" t="s">
        <v>281</v>
      </c>
      <c r="K283" s="69">
        <f>IF(J283="syllables",1,IF(J283="trigrams",2,IF(J283="strings",3,IF(J283="visual array",4,IF(J283="characters",5,IF(J283="letters",6,IF(J283="free forms",7,IF(J283="odors",8,IF(J283="words",9,IF(J283="pictures",10,IF(J283="object pictures",11,IF(J283="faces",12,IF(J283="names",13,IF(J283="idioms",14,IF(J283="grades",15,IF(J283="syllable-digit pairs",16,IF(J283="trigram-word pairs",17,IF(J283="word-digit pairs",18,IF(J283="English-Swahili pairs",19,IF(J283="spatial position",20,IF(J283="word pairs",21,IF(J283="word triads",22,IF(J283="generated words",23,IF(J283="word definition pairs",24,IF(J283="math problems",25,IF(J283="famous faces",26,IF(J283="famous names",27,IF(J283="famous voices",28,IF(J283="television programs",29,IF(J283="race horses",30,IF(J283="new vocabulary",31,IF(J283="sentences",32,IF(J283="concepts",33,IF(J283="ad slides",34,IF(J283="scenes",35,IF(J283="famous scenes",36,IF(J283="poems",37,IF(J283="walk",38,IF(J283="faces and events",39,IF(J283="events and names",40,IF(J283="flashbulb",41,IF(J283="stories",42,IF(J283="course material",43,IF(J283="autobiographical",44,IF(J283="novels",45,IF(J283="public events",46,"99"))))))))))))))))))))))))))))))))))))))))))))))</f>
        <v>1</v>
      </c>
      <c r="L283" s="69">
        <f>IF(J283="syllables",1,IF(J283="trigrams",1,IF(J283="strings",1,IF(J283="visual array",1,IF(J283="characters",1,IF(J283="letters",1,IF(J283="free forms",1,IF(J283="odors",2,IF(J283="words",2,IF(J283="pictures",2,IF(J283="object pictures",2,IF(J283="faces",2,IF(J283="names",2,IF(J283="idioms","2",IF(J283="grades",2,IF(J283="syllable-digit pairs",3,IF(J283="trigram-word pairs",3,IF(J283="word-digit pairs",3,IF(J283="English-Swahili pairs",3,IF(J283="spatial position",3,IF(J283="word pairs",4,IF(J283="word triads",4,IF(J283="generated words",4,IF(J283="word definition pairs",4,IF(J283="math problems",4,IF(J283="famous faces",4,IF(J283="famous names",4,IF(J283="famous voices",4,IF(J283="television programs",4,IF(J283="race horses",4,IF(J283="new vocabulary",4,IF(J283="sentences",5,IF(J283="concepts",5,IF(J283="ad slides",5,IF(J283="scenes",5,IF(J283="famous scenes",5,IF(J283="poems",6,IF(J283="walk",6,IF(J283="faces and events",6,IF(J283="events and names",6,IF(J283="flashbulb",7,IF(J283="stories",7,IF(J283="course material",7,IF(J283="autobiographical",7,IF(J283="novels",7,IF(J283="public events",7,"99"))))))))))))))))))))))))))))))))))))))))))))))</f>
        <v>1</v>
      </c>
      <c r="M283" s="92">
        <v>1</v>
      </c>
      <c r="N283" s="92">
        <v>3</v>
      </c>
      <c r="O283" s="92">
        <v>0</v>
      </c>
      <c r="P283" s="92"/>
      <c r="Q283" s="92" t="s">
        <v>87</v>
      </c>
      <c r="R283" s="69">
        <f>IF(Q283="Free Recall",1,IF(Q283="Cued Recall",2,IF(Q283="Recognition",3,IF(Q283="Multiple Choice",4,IF(Q283="Savings",5,IF(Q283="Stem Completion",6,IF(Q283="Fragment Completion",7,IF(Q283="anagram solution",8,IF(Q283="Matching",9,IF(Q283="Problem Solving",10,"99"))))))))))</f>
        <v>5</v>
      </c>
      <c r="S283" s="92" t="s">
        <v>99</v>
      </c>
      <c r="T283" s="92" t="s">
        <v>581</v>
      </c>
      <c r="U283" s="60">
        <f>IF(T283="within",1,0)</f>
        <v>1</v>
      </c>
      <c r="V283" s="92">
        <v>7280</v>
      </c>
      <c r="W283" s="69">
        <f>F283*V283</f>
        <v>7280</v>
      </c>
      <c r="X283" s="92">
        <v>7</v>
      </c>
      <c r="Y283" s="87">
        <f>AV282</f>
        <v>30</v>
      </c>
      <c r="Z283" s="92" t="s">
        <v>282</v>
      </c>
      <c r="AA283" s="92">
        <f>31*24*3600</f>
        <v>2678400</v>
      </c>
      <c r="AB283" s="69" t="str">
        <f>IF(AA283&lt;60,"1",IF(AA283&lt;=43200,"2",IF(AA283&lt;=777600,"3","4")))</f>
        <v>4</v>
      </c>
      <c r="AC283" s="72">
        <f>AVERAGE(AW282:DA282)</f>
        <v>499028.57142857142</v>
      </c>
      <c r="AD283" s="69" t="str">
        <f>IF(AC283&lt;60,"1",IF(AC283&lt;=43200,"2",IF(AC283&lt;=777600,"3","4")))</f>
        <v>3</v>
      </c>
      <c r="AE283" s="87">
        <f>AA283-Y283</f>
        <v>2678370</v>
      </c>
      <c r="AF283" s="88">
        <f>AV283</f>
        <v>1</v>
      </c>
      <c r="AG283" s="72">
        <f>((AW283-AV283)+(AX283-AW283)+(AY283-AX283)+(AZ283-AY283)+(BA283-AZ283)+(BB283-BA283))/6</f>
        <v>-0.11516666666666668</v>
      </c>
      <c r="AH283" s="4"/>
      <c r="AI283" s="72">
        <f>RSQ(AV283:BB283,AW282:BC282)</f>
        <v>0.11810622482071136</v>
      </c>
      <c r="AJ283" s="110">
        <f>SLOPE(AV283:BB283,AW282:BC282)</f>
        <v>-8.8731037396807888E-8</v>
      </c>
      <c r="AK283" s="72">
        <f>INTERCEPT(AV283:BB283,AW282:BC282)</f>
        <v>0.50870789426207563</v>
      </c>
      <c r="AL283" s="72">
        <f>INDEX(LINEST(LN(AV283:BB283),LN(AW282:BC282),TRUE,TRUE),3,1)</f>
        <v>0.71497827408420123</v>
      </c>
      <c r="AM283" s="72">
        <f>INDEX(LINEST(LN(AV283:BB283),LN(AW282:BC282)),1)</f>
        <v>-0.13771605010460941</v>
      </c>
      <c r="AN283" s="72">
        <f>EXP(INDEX(LINEST(LN(AV283:BB283),LN(AW282:BC282)),1,2))</f>
        <v>1.9219576543336088</v>
      </c>
      <c r="AO283" s="89">
        <f>INDEX(LINEST((AV283:BB283),LN(AW282:BC282),TRUE,TRUE),3,1)</f>
        <v>0.65847913554599591</v>
      </c>
      <c r="AP283" s="89">
        <f>INDEX(LINEST((AV283:BB283),LN(AW282:BC282)),1)</f>
        <v>-7.5717981478367835E-2</v>
      </c>
      <c r="AQ283" s="90">
        <f>INDEX(LINEST(LN(AV283:BB283),SQRT(AW282:BC282),TRUE,TRUE),3,1)</f>
        <v>0.29038802909340444</v>
      </c>
      <c r="AR283" s="117">
        <f>INDEX(LINEST(LN(AV283:BB283),SQRT((AW282:BC282))),1)</f>
        <v>-4.221608682359574E-4</v>
      </c>
      <c r="AS283" s="91">
        <f>INDEX(LINEST(1/(AV283:BB283),1/(SQRT(AW282:BC282)),TRUE,TRUE),3,1)</f>
        <v>0.85437768456775209</v>
      </c>
      <c r="AT283" s="91">
        <f>INDEX(LINEST(1/(AV283:BB283),1/SQRT(AW282:BC282)),1)</f>
        <v>-78.203638632846605</v>
      </c>
      <c r="AU283" s="3"/>
      <c r="AV283" s="97">
        <v>1</v>
      </c>
      <c r="AW283" s="97">
        <v>0.54400000000000004</v>
      </c>
      <c r="AX283" s="97">
        <v>0.432</v>
      </c>
      <c r="AY283" s="97">
        <v>0.28499999999999998</v>
      </c>
      <c r="AZ283" s="97">
        <v>0.316</v>
      </c>
      <c r="BA283" s="97">
        <v>0.36499999999999999</v>
      </c>
      <c r="BB283" s="97">
        <v>0.309</v>
      </c>
      <c r="BC283" s="97">
        <v>0.25800000000000001</v>
      </c>
      <c r="BD283" s="11"/>
      <c r="BE283" s="11"/>
      <c r="BF283" s="11"/>
      <c r="BG283" s="11"/>
      <c r="BH283" s="11"/>
      <c r="BI283" s="11"/>
      <c r="BJ283" s="11"/>
      <c r="BK283" s="11"/>
      <c r="BL283" s="11"/>
      <c r="BM283" s="11"/>
      <c r="BN283" s="11"/>
      <c r="BO283" s="11"/>
      <c r="BP283" s="11"/>
      <c r="BQ283" s="11"/>
      <c r="BR283" s="11"/>
      <c r="BS283" s="11"/>
      <c r="BT283" s="11"/>
      <c r="BU283" s="11"/>
      <c r="BV283" s="11"/>
      <c r="BW283" s="11"/>
      <c r="BX283" s="11"/>
      <c r="BY283" s="11"/>
      <c r="BZ283" s="11"/>
      <c r="CA283" s="11"/>
      <c r="CB283" s="11"/>
      <c r="CC283" s="11"/>
      <c r="CD283" s="11"/>
      <c r="CE283" s="11"/>
      <c r="CF283" s="11"/>
      <c r="CG283" s="11"/>
      <c r="CH283" s="11"/>
      <c r="CI283" s="11"/>
      <c r="CJ283" s="11"/>
      <c r="CK283" s="11"/>
      <c r="CL283" s="11"/>
      <c r="CM283" s="11"/>
      <c r="CN283" s="11"/>
      <c r="CO283" s="11"/>
      <c r="CP283" s="11"/>
      <c r="CQ283" s="11"/>
      <c r="CR283" s="15"/>
      <c r="CS283" s="15"/>
      <c r="CT283" s="15"/>
      <c r="CU283" s="15"/>
    </row>
    <row r="284" spans="1:99" ht="12" customHeight="1" x14ac:dyDescent="0.2">
      <c r="A284" s="68">
        <v>43509</v>
      </c>
      <c r="B284" s="94"/>
      <c r="C284" s="94"/>
      <c r="D284" s="92"/>
      <c r="E284" s="105"/>
      <c r="F284" s="92"/>
      <c r="G284" s="92"/>
      <c r="H284" s="92"/>
      <c r="I284" s="92"/>
      <c r="J284" s="92"/>
      <c r="K284" s="107"/>
      <c r="L284" s="107"/>
      <c r="M284" s="92"/>
      <c r="N284" s="92"/>
      <c r="O284" s="92"/>
      <c r="P284" s="92"/>
      <c r="Q284" s="92"/>
      <c r="R284" s="69"/>
      <c r="S284" s="92"/>
      <c r="T284" s="92"/>
      <c r="U284" s="60"/>
      <c r="V284" s="92"/>
      <c r="W284" s="69"/>
      <c r="X284" s="92"/>
      <c r="Y284" s="87"/>
      <c r="Z284" s="107"/>
      <c r="AA284" s="107"/>
      <c r="AB284" s="69"/>
      <c r="AC284" s="69"/>
      <c r="AD284" s="69"/>
      <c r="AE284" s="69"/>
      <c r="AF284" s="88"/>
      <c r="AG284" s="72"/>
      <c r="AI284" s="108"/>
      <c r="AJ284" s="113"/>
      <c r="AK284" s="108"/>
      <c r="AL284" s="108"/>
      <c r="AM284" s="108"/>
      <c r="AN284" s="108"/>
      <c r="AO284" s="108"/>
      <c r="AP284" s="108"/>
      <c r="AQ284" s="72"/>
      <c r="AR284" s="110"/>
      <c r="AS284" s="72"/>
      <c r="AT284" s="72"/>
      <c r="AU284" s="4"/>
      <c r="AV284" s="140">
        <v>30</v>
      </c>
      <c r="AW284" s="98">
        <f>20*60</f>
        <v>1200</v>
      </c>
      <c r="AX284" s="98">
        <f>3600</f>
        <v>3600</v>
      </c>
      <c r="AY284" s="98">
        <f>9*3600</f>
        <v>32400</v>
      </c>
      <c r="AZ284" s="98">
        <f>1*24*3600</f>
        <v>86400</v>
      </c>
      <c r="BA284" s="98">
        <f>2*24*3600</f>
        <v>172800</v>
      </c>
      <c r="BB284" s="98">
        <f>6*24*3600</f>
        <v>518400</v>
      </c>
      <c r="BC284" s="98">
        <f>31*24*3600</f>
        <v>2678400</v>
      </c>
      <c r="BD284" s="11"/>
      <c r="BE284" s="11"/>
      <c r="BF284" s="11"/>
      <c r="BG284" s="11"/>
      <c r="BH284" s="11"/>
      <c r="BI284" s="11"/>
      <c r="BJ284" s="11"/>
      <c r="BK284" s="11"/>
      <c r="BL284" s="11"/>
      <c r="BM284" s="11"/>
      <c r="BN284" s="11"/>
      <c r="BO284" s="11"/>
      <c r="BP284" s="11"/>
      <c r="BQ284" s="11"/>
      <c r="BR284" s="11"/>
      <c r="BS284" s="11"/>
      <c r="BT284" s="11"/>
      <c r="BU284" s="11"/>
      <c r="BV284" s="11"/>
      <c r="BW284" s="11"/>
      <c r="BX284" s="11"/>
      <c r="BY284" s="11"/>
      <c r="BZ284" s="11"/>
      <c r="CA284" s="11"/>
      <c r="CB284" s="11"/>
      <c r="CC284" s="11"/>
      <c r="CD284" s="11"/>
      <c r="CE284" s="11"/>
      <c r="CF284" s="11"/>
      <c r="CG284" s="11"/>
      <c r="CH284" s="11"/>
      <c r="CI284" s="11"/>
      <c r="CJ284" s="11"/>
      <c r="CK284" s="11"/>
      <c r="CL284" s="11"/>
      <c r="CM284" s="11"/>
      <c r="CN284" s="11"/>
      <c r="CO284" s="11"/>
      <c r="CP284" s="11"/>
      <c r="CQ284" s="11"/>
      <c r="CR284" s="15"/>
      <c r="CS284" s="15"/>
      <c r="CT284" s="15"/>
      <c r="CU284" s="15"/>
    </row>
    <row r="285" spans="1:99" ht="12" customHeight="1" x14ac:dyDescent="0.2">
      <c r="A285" s="68">
        <v>43509</v>
      </c>
      <c r="B285" s="94" t="s">
        <v>279</v>
      </c>
      <c r="C285" s="94" t="s">
        <v>280</v>
      </c>
      <c r="D285" s="92">
        <v>2015</v>
      </c>
      <c r="E285" s="105">
        <v>1</v>
      </c>
      <c r="F285" s="92">
        <v>1</v>
      </c>
      <c r="G285" s="92">
        <v>1</v>
      </c>
      <c r="H285" s="107" t="s">
        <v>30</v>
      </c>
      <c r="I285" s="92" t="s">
        <v>896</v>
      </c>
      <c r="J285" s="92" t="s">
        <v>281</v>
      </c>
      <c r="K285" s="69">
        <f>IF(J285="syllables",1,IF(J285="trigrams",2,IF(J285="strings",3,IF(J285="visual array",4,IF(J285="characters",5,IF(J285="letters",6,IF(J285="free forms",7,IF(J285="odors",8,IF(J285="words",9,IF(J285="pictures",10,IF(J285="object pictures",11,IF(J285="faces",12,IF(J285="names",13,IF(J285="idioms",14,IF(J285="grades",15,IF(J285="syllable-digit pairs",16,IF(J285="trigram-word pairs",17,IF(J285="word-digit pairs",18,IF(J285="English-Swahili pairs",19,IF(J285="spatial position",20,IF(J285="word pairs",21,IF(J285="word triads",22,IF(J285="generated words",23,IF(J285="word definition pairs",24,IF(J285="math problems",25,IF(J285="famous faces",26,IF(J285="famous names",27,IF(J285="famous voices",28,IF(J285="television programs",29,IF(J285="race horses",30,IF(J285="new vocabulary",31,IF(J285="sentences",32,IF(J285="concepts",33,IF(J285="ad slides",34,IF(J285="scenes",35,IF(J285="famous scenes",36,IF(J285="poems",37,IF(J285="walk",38,IF(J285="faces and events",39,IF(J285="events and names",40,IF(J285="flashbulb",41,IF(J285="stories",42,IF(J285="course material",43,IF(J285="autobiographical",44,IF(J285="novels",45,IF(J285="public events",46,"99"))))))))))))))))))))))))))))))))))))))))))))))</f>
        <v>1</v>
      </c>
      <c r="L285" s="69">
        <f>IF(J285="syllables",1,IF(J285="trigrams",1,IF(J285="strings",1,IF(J285="visual array",1,IF(J285="characters",1,IF(J285="letters",1,IF(J285="free forms",1,IF(J285="odors",2,IF(J285="words",2,IF(J285="pictures",2,IF(J285="object pictures",2,IF(J285="faces",2,IF(J285="names",2,IF(J285="idioms","2",IF(J285="grades",2,IF(J285="syllable-digit pairs",3,IF(J285="trigram-word pairs",3,IF(J285="word-digit pairs",3,IF(J285="English-Swahili pairs",3,IF(J285="spatial position",3,IF(J285="word pairs",4,IF(J285="word triads",4,IF(J285="generated words",4,IF(J285="word definition pairs",4,IF(J285="math problems",4,IF(J285="famous faces",4,IF(J285="famous names",4,IF(J285="famous voices",4,IF(J285="television programs",4,IF(J285="race horses",4,IF(J285="new vocabulary",4,IF(J285="sentences",5,IF(J285="concepts",5,IF(J285="ad slides",5,IF(J285="scenes",5,IF(J285="famous scenes",5,IF(J285="poems",6,IF(J285="walk",6,IF(J285="faces and events",6,IF(J285="events and names",6,IF(J285="flashbulb",7,IF(J285="stories",7,IF(J285="course material",7,IF(J285="autobiographical",7,IF(J285="novels",7,IF(J285="public events",7,"99"))))))))))))))))))))))))))))))))))))))))))))))</f>
        <v>1</v>
      </c>
      <c r="M285" s="92">
        <v>1</v>
      </c>
      <c r="N285" s="92">
        <v>3</v>
      </c>
      <c r="O285" s="92">
        <v>0</v>
      </c>
      <c r="P285" s="92"/>
      <c r="Q285" s="92" t="s">
        <v>87</v>
      </c>
      <c r="R285" s="69">
        <f>IF(Q285="Free Recall",1,IF(Q285="Cued Recall",2,IF(Q285="Recognition",3,IF(Q285="Multiple Choice",4,IF(Q285="Savings",5,IF(Q285="Stem Completion",6,IF(Q285="Fragment Completion",7,IF(Q285="anagram solution",8,IF(Q285="Matching",9,IF(Q285="Problem Solving",10,"99"))))))))))</f>
        <v>5</v>
      </c>
      <c r="S285" s="92" t="s">
        <v>99</v>
      </c>
      <c r="T285" s="92" t="s">
        <v>581</v>
      </c>
      <c r="U285" s="60">
        <f>IF(T285="within",1,0)</f>
        <v>1</v>
      </c>
      <c r="V285" s="92">
        <v>7280</v>
      </c>
      <c r="W285" s="69">
        <f>F285*V285</f>
        <v>7280</v>
      </c>
      <c r="X285" s="92">
        <v>7</v>
      </c>
      <c r="Y285" s="87">
        <f>AV284</f>
        <v>30</v>
      </c>
      <c r="Z285" s="92" t="s">
        <v>282</v>
      </c>
      <c r="AA285" s="92">
        <f>31*24*3600</f>
        <v>2678400</v>
      </c>
      <c r="AB285" s="69" t="str">
        <f>IF(AA285&lt;60,"1",IF(AA285&lt;=43200,"2",IF(AA285&lt;=777600,"3","4")))</f>
        <v>4</v>
      </c>
      <c r="AC285" s="72">
        <f>AVERAGE(AV284:DA284)</f>
        <v>436653.75</v>
      </c>
      <c r="AD285" s="69" t="str">
        <f>IF(AC285&lt;60,"1",IF(AC285&lt;=43200,"2",IF(AC285&lt;=777600,"3","4")))</f>
        <v>3</v>
      </c>
      <c r="AE285" s="87">
        <f>AA285-Y285</f>
        <v>2678370</v>
      </c>
      <c r="AF285" s="88">
        <f>AV285</f>
        <v>1</v>
      </c>
      <c r="AG285" s="72">
        <f>((AW285-AV285)+(AX285-AW285)+(AY285-AX285)+(AZ285-AY285)+(BA285-AZ285)+(BB285-BA285))/6</f>
        <v>-0.13250000000000001</v>
      </c>
      <c r="AH285" s="4"/>
      <c r="AI285" s="72">
        <f>RSQ(AV285:BB285,AV284:BB284)</f>
        <v>0.19435733971480346</v>
      </c>
      <c r="AJ285" s="110">
        <f>SLOPE(AV285:BB285,AV284:BB284)</f>
        <v>-6.4692537262221053E-7</v>
      </c>
      <c r="AK285" s="72">
        <f>INTERCEPT(AV285:BB285,AV284:BB284)</f>
        <v>0.47216202876767938</v>
      </c>
      <c r="AL285" s="72">
        <f>INDEX(LINEST(LN(AV285:BB285),LN(AV284:BB284),TRUE,TRUE),3,1)</f>
        <v>0.92279764624619454</v>
      </c>
      <c r="AM285" s="72">
        <f>INDEX(LINEST(LN(AV285:BB285),LN(AV284:BB284)),1)</f>
        <v>-0.14901517490609484</v>
      </c>
      <c r="AN285" s="72">
        <f>EXP(INDEX(LINEST(LN(AV285:BB285),LN(AV284:BB284)),1,2))</f>
        <v>1.3919522317769082</v>
      </c>
      <c r="AO285" s="89">
        <f>INDEX(LINEST((AV285:BB285),LN(AV284:BB284),TRUE,TRUE),3,1)</f>
        <v>0.81997855540148301</v>
      </c>
      <c r="AP285" s="89">
        <f>INDEX(LINEST((AV285:BB285),LN(AV284:BB284)),1)</f>
        <v>-7.3795186148611636E-2</v>
      </c>
      <c r="AQ285" s="90">
        <f>INDEX(LINEST(LN(AV285:BB285),SQRT(AV284:BB284),TRUE,TRUE),3,1)</f>
        <v>0.51787043414274037</v>
      </c>
      <c r="AR285" s="117">
        <f>INDEX(LINEST(LN(AV285:BB285),SQRT((AV284:BB284))),1)</f>
        <v>-1.4694314664775619E-3</v>
      </c>
      <c r="AS285" s="91">
        <f>INDEX(LINEST(1/(AV285:BB285),1/(SQRT(AV284:BB284)),TRUE,TRUE),3,1)</f>
        <v>0.72535912469500485</v>
      </c>
      <c r="AT285" s="91">
        <f>INDEX(LINEST(1/(AV285:BB285),1/SQRT(AV284:BB284)),1)</f>
        <v>-16.104458210004129</v>
      </c>
      <c r="AU285" s="3"/>
      <c r="AV285" s="97">
        <v>1</v>
      </c>
      <c r="AW285" s="97">
        <v>0.442</v>
      </c>
      <c r="AX285" s="97">
        <v>0.32500000000000001</v>
      </c>
      <c r="AY285" s="97">
        <v>0.27</v>
      </c>
      <c r="AZ285" s="97">
        <v>0.27</v>
      </c>
      <c r="BA285" s="97">
        <v>0.26600000000000001</v>
      </c>
      <c r="BB285" s="97">
        <v>0.20499999999999999</v>
      </c>
      <c r="BC285" s="97">
        <v>0.20100000000000001</v>
      </c>
      <c r="BD285" s="11"/>
      <c r="BE285" s="11"/>
      <c r="BF285" s="11"/>
      <c r="BG285" s="11"/>
      <c r="BH285" s="11"/>
      <c r="BI285" s="11"/>
      <c r="BJ285" s="11"/>
      <c r="BK285" s="11"/>
      <c r="BL285" s="11"/>
      <c r="BM285" s="11"/>
      <c r="BN285" s="11"/>
      <c r="BO285" s="11"/>
      <c r="BP285" s="11"/>
      <c r="BQ285" s="11"/>
      <c r="BR285" s="11"/>
      <c r="BS285" s="11"/>
      <c r="BT285" s="11"/>
      <c r="BU285" s="11"/>
      <c r="BV285" s="11"/>
      <c r="BW285" s="11"/>
      <c r="BX285" s="11"/>
      <c r="BY285" s="11"/>
      <c r="BZ285" s="11"/>
      <c r="CA285" s="11"/>
      <c r="CB285" s="11"/>
      <c r="CC285" s="11"/>
      <c r="CD285" s="11"/>
      <c r="CE285" s="11"/>
      <c r="CF285" s="11"/>
      <c r="CG285" s="11"/>
      <c r="CH285" s="11"/>
      <c r="CI285" s="11"/>
      <c r="CJ285" s="11"/>
      <c r="CK285" s="11"/>
      <c r="CL285" s="11"/>
      <c r="CM285" s="11"/>
      <c r="CN285" s="11"/>
      <c r="CO285" s="11"/>
      <c r="CP285" s="11"/>
      <c r="CQ285" s="11"/>
      <c r="CR285" s="15"/>
      <c r="CS285" s="15"/>
      <c r="CT285" s="15"/>
      <c r="CU285" s="15"/>
    </row>
    <row r="286" spans="1:99" ht="12" customHeight="1" x14ac:dyDescent="0.2">
      <c r="A286" s="68">
        <v>43509</v>
      </c>
      <c r="B286" s="94"/>
      <c r="C286" s="94"/>
      <c r="D286" s="92"/>
      <c r="E286" s="105"/>
      <c r="F286" s="92"/>
      <c r="G286" s="92"/>
      <c r="H286" s="92"/>
      <c r="I286" s="92"/>
      <c r="J286" s="92"/>
      <c r="K286" s="107"/>
      <c r="L286" s="107"/>
      <c r="M286" s="92"/>
      <c r="N286" s="92"/>
      <c r="O286" s="92"/>
      <c r="P286" s="92"/>
      <c r="Q286" s="92"/>
      <c r="R286" s="69"/>
      <c r="S286" s="92"/>
      <c r="T286" s="92"/>
      <c r="U286" s="60"/>
      <c r="V286" s="92"/>
      <c r="W286" s="69"/>
      <c r="X286" s="92"/>
      <c r="Y286" s="87"/>
      <c r="Z286" s="107"/>
      <c r="AA286" s="107"/>
      <c r="AB286" s="69"/>
      <c r="AC286" s="69"/>
      <c r="AD286" s="69"/>
      <c r="AE286" s="69"/>
      <c r="AF286" s="88"/>
      <c r="AG286" s="72"/>
      <c r="AI286" s="108"/>
      <c r="AJ286" s="113"/>
      <c r="AK286" s="108"/>
      <c r="AL286" s="108"/>
      <c r="AM286" s="108"/>
      <c r="AN286" s="108"/>
      <c r="AO286" s="108"/>
      <c r="AP286" s="108"/>
      <c r="AQ286" s="72"/>
      <c r="AR286" s="110"/>
      <c r="AS286" s="72"/>
      <c r="AT286" s="72"/>
      <c r="AU286" s="4"/>
      <c r="AV286" s="140">
        <v>30</v>
      </c>
      <c r="AW286" s="98">
        <f>20*60</f>
        <v>1200</v>
      </c>
      <c r="AX286" s="98">
        <f>3600</f>
        <v>3600</v>
      </c>
      <c r="AY286" s="98">
        <f>9*3600</f>
        <v>32400</v>
      </c>
      <c r="AZ286" s="98">
        <f>1*24*3600</f>
        <v>86400</v>
      </c>
      <c r="BA286" s="98">
        <f>2*24*3600</f>
        <v>172800</v>
      </c>
      <c r="BB286" s="98">
        <f>6*24*3600</f>
        <v>518400</v>
      </c>
      <c r="BC286" s="98">
        <f>31*24*3600</f>
        <v>2678400</v>
      </c>
      <c r="BD286" s="11"/>
      <c r="BE286" s="11"/>
      <c r="BF286" s="11"/>
      <c r="BG286" s="11"/>
      <c r="BH286" s="11"/>
      <c r="BI286" s="11"/>
      <c r="BJ286" s="11"/>
      <c r="BK286" s="11"/>
      <c r="BL286" s="11"/>
      <c r="BM286" s="11"/>
      <c r="BN286" s="11"/>
      <c r="BO286" s="11"/>
      <c r="BP286" s="11"/>
      <c r="BQ286" s="11"/>
      <c r="BR286" s="11"/>
      <c r="BS286" s="11"/>
      <c r="BT286" s="11"/>
      <c r="BU286" s="11"/>
      <c r="BV286" s="11"/>
      <c r="BW286" s="11"/>
      <c r="BX286" s="11"/>
      <c r="BY286" s="11"/>
      <c r="BZ286" s="11"/>
      <c r="CA286" s="11"/>
      <c r="CB286" s="11"/>
      <c r="CC286" s="11"/>
      <c r="CD286" s="11"/>
      <c r="CE286" s="11"/>
      <c r="CF286" s="11"/>
      <c r="CG286" s="11"/>
      <c r="CH286" s="11"/>
      <c r="CI286" s="11"/>
      <c r="CJ286" s="11"/>
      <c r="CK286" s="11"/>
      <c r="CL286" s="11"/>
      <c r="CM286" s="11"/>
      <c r="CN286" s="11"/>
      <c r="CO286" s="11"/>
      <c r="CP286" s="11"/>
      <c r="CQ286" s="11"/>
      <c r="CR286" s="15"/>
      <c r="CS286" s="15"/>
      <c r="CT286" s="15"/>
      <c r="CU286" s="15"/>
    </row>
    <row r="287" spans="1:99" ht="12" customHeight="1" x14ac:dyDescent="0.2">
      <c r="A287" s="68">
        <v>43509</v>
      </c>
      <c r="B287" s="94" t="s">
        <v>279</v>
      </c>
      <c r="C287" s="94" t="s">
        <v>280</v>
      </c>
      <c r="D287" s="92">
        <v>2015</v>
      </c>
      <c r="E287" s="105">
        <v>1</v>
      </c>
      <c r="F287" s="92">
        <v>1</v>
      </c>
      <c r="G287" s="92">
        <v>1</v>
      </c>
      <c r="H287" s="107" t="s">
        <v>30</v>
      </c>
      <c r="I287" s="92" t="s">
        <v>897</v>
      </c>
      <c r="J287" s="92" t="s">
        <v>281</v>
      </c>
      <c r="K287" s="69">
        <f>IF(J287="syllables",1,IF(J287="trigrams",2,IF(J287="strings",3,IF(J287="visual array",4,IF(J287="characters",5,IF(J287="letters",6,IF(J287="free forms",7,IF(J287="odors",8,IF(J287="words",9,IF(J287="pictures",10,IF(J287="object pictures",11,IF(J287="faces",12,IF(J287="names",13,IF(J287="idioms",14,IF(J287="grades",15,IF(J287="syllable-digit pairs",16,IF(J287="trigram-word pairs",17,IF(J287="word-digit pairs",18,IF(J287="English-Swahili pairs",19,IF(J287="spatial position",20,IF(J287="word pairs",21,IF(J287="word triads",22,IF(J287="generated words",23,IF(J287="word definition pairs",24,IF(J287="math problems",25,IF(J287="famous faces",26,IF(J287="famous names",27,IF(J287="famous voices",28,IF(J287="television programs",29,IF(J287="race horses",30,IF(J287="new vocabulary",31,IF(J287="sentences",32,IF(J287="concepts",33,IF(J287="ad slides",34,IF(J287="scenes",35,IF(J287="famous scenes",36,IF(J287="poems",37,IF(J287="walk",38,IF(J287="faces and events",39,IF(J287="events and names",40,IF(J287="flashbulb",41,IF(J287="stories",42,IF(J287="course material",43,IF(J287="autobiographical",44,IF(J287="novels",45,IF(J287="public events",46,"99"))))))))))))))))))))))))))))))))))))))))))))))</f>
        <v>1</v>
      </c>
      <c r="L287" s="69">
        <f>IF(J287="syllables",1,IF(J287="trigrams",1,IF(J287="strings",1,IF(J287="visual array",1,IF(J287="characters",1,IF(J287="letters",1,IF(J287="free forms",1,IF(J287="odors",2,IF(J287="words",2,IF(J287="pictures",2,IF(J287="object pictures",2,IF(J287="faces",2,IF(J287="names",2,IF(J287="idioms","2",IF(J287="grades",2,IF(J287="syllable-digit pairs",3,IF(J287="trigram-word pairs",3,IF(J287="word-digit pairs",3,IF(J287="English-Swahili pairs",3,IF(J287="spatial position",3,IF(J287="word pairs",4,IF(J287="word triads",4,IF(J287="generated words",4,IF(J287="word definition pairs",4,IF(J287="math problems",4,IF(J287="famous faces",4,IF(J287="famous names",4,IF(J287="famous voices",4,IF(J287="television programs",4,IF(J287="race horses",4,IF(J287="new vocabulary",4,IF(J287="sentences",5,IF(J287="concepts",5,IF(J287="ad slides",5,IF(J287="scenes",5,IF(J287="famous scenes",5,IF(J287="poems",6,IF(J287="walk",6,IF(J287="faces and events",6,IF(J287="events and names",6,IF(J287="flashbulb",7,IF(J287="stories",7,IF(J287="course material",7,IF(J287="autobiographical",7,IF(J287="novels",7,IF(J287="public events",7,"99"))))))))))))))))))))))))))))))))))))))))))))))</f>
        <v>1</v>
      </c>
      <c r="M287" s="92">
        <v>1</v>
      </c>
      <c r="N287" s="92">
        <v>3</v>
      </c>
      <c r="O287" s="92">
        <v>0</v>
      </c>
      <c r="P287" s="92"/>
      <c r="Q287" s="92" t="s">
        <v>87</v>
      </c>
      <c r="R287" s="69">
        <f>IF(Q287="Free Recall",1,IF(Q287="Cued Recall",2,IF(Q287="Recognition",3,IF(Q287="Multiple Choice",4,IF(Q287="Savings",5,IF(Q287="Stem Completion",6,IF(Q287="Fragment Completion",7,IF(Q287="anagram solution",8,IF(Q287="Matching",9,IF(Q287="Problem Solving",10,"99"))))))))))</f>
        <v>5</v>
      </c>
      <c r="S287" s="92" t="s">
        <v>99</v>
      </c>
      <c r="T287" s="92" t="s">
        <v>581</v>
      </c>
      <c r="U287" s="60">
        <f>IF(T287="within",1,0)</f>
        <v>1</v>
      </c>
      <c r="V287" s="92">
        <v>7280</v>
      </c>
      <c r="W287" s="69">
        <f>F287*V287</f>
        <v>7280</v>
      </c>
      <c r="X287" s="92">
        <v>7</v>
      </c>
      <c r="Y287" s="87">
        <f>AV286</f>
        <v>30</v>
      </c>
      <c r="Z287" s="92" t="s">
        <v>282</v>
      </c>
      <c r="AA287" s="92">
        <f>31*24*3600</f>
        <v>2678400</v>
      </c>
      <c r="AB287" s="69" t="str">
        <f>IF(AA287&lt;60,"1",IF(AA287&lt;=43200,"2",IF(AA287&lt;=777600,"3","4")))</f>
        <v>4</v>
      </c>
      <c r="AC287" s="72">
        <f>AVERAGE(AV286:DA286)</f>
        <v>436653.75</v>
      </c>
      <c r="AD287" s="69" t="str">
        <f>IF(AC287&lt;60,"1",IF(AC287&lt;=43200,"2",IF(AC287&lt;=777600,"3","4")))</f>
        <v>3</v>
      </c>
      <c r="AE287" s="87">
        <f>AA287-Y287</f>
        <v>2678370</v>
      </c>
      <c r="AF287" s="88">
        <f>AW287</f>
        <v>0.47199999999999998</v>
      </c>
      <c r="AG287" s="72">
        <f>((AX287-AW287)+(AY287-AX287)+(AZ287-AY287)+(BA287-AZ287)+(BB287-BA287)+(BC287-BB287))/6</f>
        <v>-7.1833333333333318E-2</v>
      </c>
      <c r="AH287" s="4"/>
      <c r="AI287" s="72">
        <f>RSQ(AW287:BC287,AV286:BB286)</f>
        <v>0.7445172714999545</v>
      </c>
      <c r="AJ287" s="110">
        <f>SLOPE(AW287:BC287,AV286:BB286)</f>
        <v>-6.4353349004341637E-7</v>
      </c>
      <c r="AK287" s="72">
        <f>INTERCEPT(AW287:BC287,AV286:BB286)</f>
        <v>0.34305291338458244</v>
      </c>
      <c r="AL287" s="72">
        <f>INDEX(LINEST(LN(AW287:BC287),LN(AV286:BB286),TRUE,TRUE),3,1)</f>
        <v>0.59033183013662915</v>
      </c>
      <c r="AM287" s="72">
        <f>INDEX(LINEST(LN(AW287:BC287),LN(AV286:BB286)),1)</f>
        <v>-0.18391190913912323</v>
      </c>
      <c r="AN287" s="72">
        <f>EXP(INDEX(LINEST(LN(AW287:BC287),LN(AV286:BB286)),1,2))</f>
        <v>1.2307192889180767</v>
      </c>
      <c r="AO287" s="89">
        <f>INDEX(LINEST((AW287:BC287),LN(AV286:BB286),TRUE,TRUE),3,1)</f>
        <v>0.84564832102592769</v>
      </c>
      <c r="AP287" s="89">
        <f>INDEX(LINEST((AW287:BC287),LN(AV286:BB286)),1)</f>
        <v>-3.8089189681043911E-2</v>
      </c>
      <c r="AQ287" s="90">
        <f>INDEX(LINEST(LN(AW287:BC287),SQRT(AV286:BB286),TRUE,TRUE),3,1)</f>
        <v>0.92156159613228783</v>
      </c>
      <c r="AR287" s="117">
        <f>INDEX(LINEST(LN(AW287:BC287),SQRT((AV286:BB286))),1)</f>
        <v>-3.0247219340505532E-3</v>
      </c>
      <c r="AS287" s="91">
        <f>INDEX(LINEST(1/(AW287:BC287),1/(SQRT(AV286:BB286)),TRUE,TRUE),3,1)</f>
        <v>9.8280775320060285E-2</v>
      </c>
      <c r="AT287" s="91">
        <f>INDEX(LINEST(1/(AW287:BC287),1/SQRT(AV286:BB286)),1)</f>
        <v>-37.658475319928669</v>
      </c>
      <c r="AU287" s="3"/>
      <c r="AV287" s="121">
        <v>1</v>
      </c>
      <c r="AW287" s="97">
        <v>0.47199999999999998</v>
      </c>
      <c r="AX287" s="97">
        <v>0.373</v>
      </c>
      <c r="AY287" s="97">
        <v>0.27600000000000002</v>
      </c>
      <c r="AZ287" s="97">
        <v>0.317</v>
      </c>
      <c r="BA287" s="97">
        <v>0.23</v>
      </c>
      <c r="BB287" s="97">
        <v>0.16800000000000001</v>
      </c>
      <c r="BC287" s="97">
        <v>4.1000000000000002E-2</v>
      </c>
      <c r="BD287" s="11"/>
      <c r="BE287" s="11"/>
      <c r="BF287" s="11"/>
      <c r="BG287" s="11"/>
      <c r="BH287" s="11"/>
      <c r="BI287" s="11"/>
      <c r="BJ287" s="11"/>
      <c r="BK287" s="11"/>
      <c r="BL287" s="11"/>
      <c r="BM287" s="11"/>
      <c r="BN287" s="11"/>
      <c r="BO287" s="11"/>
      <c r="BP287" s="11"/>
      <c r="BQ287" s="11"/>
      <c r="BR287" s="11"/>
      <c r="BS287" s="11"/>
      <c r="BT287" s="11"/>
      <c r="BU287" s="11"/>
      <c r="BV287" s="11"/>
      <c r="BW287" s="11"/>
      <c r="BX287" s="11"/>
      <c r="BY287" s="11"/>
      <c r="BZ287" s="11"/>
      <c r="CA287" s="11"/>
      <c r="CB287" s="11"/>
      <c r="CC287" s="11"/>
      <c r="CD287" s="11"/>
      <c r="CE287" s="11"/>
      <c r="CF287" s="11"/>
      <c r="CG287" s="11"/>
      <c r="CH287" s="11"/>
      <c r="CI287" s="11"/>
      <c r="CJ287" s="11"/>
      <c r="CK287" s="11"/>
      <c r="CL287" s="11"/>
      <c r="CM287" s="11"/>
      <c r="CN287" s="11"/>
      <c r="CO287" s="11"/>
      <c r="CP287" s="11"/>
      <c r="CQ287" s="11"/>
      <c r="CR287" s="15"/>
      <c r="CS287" s="15"/>
      <c r="CT287" s="15"/>
      <c r="CU287" s="15"/>
    </row>
    <row r="288" spans="1:99" s="13" customFormat="1" ht="12" customHeight="1" x14ac:dyDescent="0.2">
      <c r="A288" s="65">
        <v>43509</v>
      </c>
      <c r="B288" s="1"/>
      <c r="C288" s="1"/>
      <c r="D288" s="60"/>
      <c r="E288" s="76"/>
      <c r="F288" s="60"/>
      <c r="G288" s="60"/>
      <c r="H288" s="60"/>
      <c r="I288" s="60"/>
      <c r="J288" s="60"/>
      <c r="K288" s="64"/>
      <c r="L288" s="64"/>
      <c r="M288" s="60"/>
      <c r="N288" s="60"/>
      <c r="O288" s="60"/>
      <c r="P288" s="60"/>
      <c r="Q288" s="60"/>
      <c r="R288" s="60"/>
      <c r="S288" s="60"/>
      <c r="T288" s="60"/>
      <c r="U288" s="60"/>
      <c r="V288" s="60"/>
      <c r="W288" s="60"/>
      <c r="X288" s="60"/>
      <c r="Y288" s="76"/>
      <c r="Z288" s="60"/>
      <c r="AA288" s="60"/>
      <c r="AB288" s="60"/>
      <c r="AC288" s="60"/>
      <c r="AD288" s="60"/>
      <c r="AE288" s="60"/>
      <c r="AF288" s="80"/>
      <c r="AG288" s="56"/>
      <c r="AH288" s="4"/>
      <c r="AI288" s="56"/>
      <c r="AJ288" s="109"/>
      <c r="AK288" s="56"/>
      <c r="AL288" s="56"/>
      <c r="AM288" s="56"/>
      <c r="AN288" s="56"/>
      <c r="AO288" s="56"/>
      <c r="AP288" s="56"/>
      <c r="AQ288" s="56"/>
      <c r="AR288" s="109"/>
      <c r="AS288" s="56"/>
      <c r="AT288" s="56"/>
      <c r="AU288" s="4"/>
      <c r="AV288" s="25">
        <f>7*24*3600*1</f>
        <v>604800</v>
      </c>
      <c r="AW288" s="25">
        <f>7*24*3600*3</f>
        <v>1814400</v>
      </c>
      <c r="AX288" s="25">
        <f>7*24*3600*4</f>
        <v>2419200</v>
      </c>
      <c r="AY288" s="25">
        <f>7*24*3600*5</f>
        <v>3024000</v>
      </c>
      <c r="AZ288" s="25">
        <f>7*24*3600*7</f>
        <v>4233600</v>
      </c>
      <c r="BA288" s="53"/>
      <c r="BB288" s="53"/>
      <c r="BC288" s="53"/>
      <c r="BD288" s="53"/>
      <c r="BE288" s="53"/>
      <c r="BF288" s="53"/>
      <c r="BG288" s="53"/>
      <c r="BH288" s="53"/>
      <c r="BI288" s="53"/>
      <c r="BJ288" s="53"/>
      <c r="BK288" s="53"/>
      <c r="BL288" s="53"/>
      <c r="BM288" s="53"/>
      <c r="BN288" s="53"/>
      <c r="BO288" s="53"/>
      <c r="BP288" s="53"/>
      <c r="BQ288" s="53"/>
      <c r="BR288" s="53"/>
      <c r="BS288" s="53"/>
      <c r="BT288" s="53"/>
      <c r="BU288" s="53"/>
      <c r="BV288" s="53"/>
      <c r="BW288" s="53"/>
      <c r="BX288" s="53"/>
      <c r="BY288" s="53"/>
      <c r="BZ288" s="53"/>
      <c r="CA288" s="53"/>
      <c r="CB288" s="53"/>
      <c r="CC288" s="53"/>
      <c r="CD288" s="53"/>
      <c r="CE288" s="53"/>
      <c r="CF288" s="53"/>
      <c r="CG288" s="53"/>
      <c r="CH288" s="53"/>
      <c r="CI288" s="53"/>
      <c r="CJ288" s="53"/>
      <c r="CK288" s="53"/>
      <c r="CL288" s="53"/>
      <c r="CM288" s="53"/>
      <c r="CN288" s="53"/>
      <c r="CO288" s="53"/>
      <c r="CP288" s="53"/>
      <c r="CQ288" s="53"/>
      <c r="CR288" s="1"/>
      <c r="CS288" s="1"/>
      <c r="CT288" s="1"/>
      <c r="CU288" s="1"/>
    </row>
    <row r="289" spans="1:99" s="13" customFormat="1" ht="12" customHeight="1" x14ac:dyDescent="0.2">
      <c r="A289" s="65">
        <v>43509</v>
      </c>
      <c r="B289" s="1" t="s">
        <v>249</v>
      </c>
      <c r="C289" s="1" t="s">
        <v>156</v>
      </c>
      <c r="D289" s="60">
        <v>1980</v>
      </c>
      <c r="E289" s="76">
        <v>1</v>
      </c>
      <c r="F289" s="60">
        <v>126</v>
      </c>
      <c r="G289" s="60">
        <v>21</v>
      </c>
      <c r="H289" s="60" t="s">
        <v>50</v>
      </c>
      <c r="I289" s="60" t="s">
        <v>904</v>
      </c>
      <c r="J289" s="60" t="s">
        <v>90</v>
      </c>
      <c r="K289" s="60">
        <f>IF(J289="syllables",1,IF(J289="trigrams",2,IF(J289="strings",3,IF(J289="visual array",4,IF(J289="characters",5,IF(J289="letters",6,IF(J289="free forms",7,IF(J289="odors",8,IF(J289="words",9,IF(J289="pictures",10,IF(J289="object pictures",11,IF(J289="faces",12,IF(J289="names",13,IF(J289="idioms",14,IF(J289="grades",15,IF(J289="syllable-digit pairs",16,IF(J289="trigram-word pairs",17,IF(J289="word-digit pairs",18,IF(J289="English-Swahili pairs",19,IF(J289="spatial position",20,IF(J289="word pairs",21,IF(J289="word triads",22,IF(J289="generated words",23,IF(J289="word definition pairs",24,IF(J289="math problems",25,IF(J289="famous faces",26,IF(J289="famous names",27,IF(J289="famous voices",28,IF(J289="television programs",29,IF(J289="race horses",30,IF(J289="new vocabulary",31,IF(J289="sentences",32,IF(J289="concepts",33,IF(J289="ad slides",34,IF(J289="scenes",35,IF(J289="famous scenes",36,IF(J289="poems",37,IF(J289="walk",38,IF(J289="faces and events",39,IF(J289="events and names",40,IF(J289="flashbulb",41,IF(J289="stories",42,IF(J289="course material",43,IF(J289="autobiographical",44,IF(J289="novels",45,IF(J289="public events",46,"99"))))))))))))))))))))))))))))))))))))))))))))))</f>
        <v>18</v>
      </c>
      <c r="L289" s="60">
        <f>IF(J289="syllables",1,IF(J289="trigrams",1,IF(J289="strings",1,IF(J289="visual array",1,IF(J289="characters",1,IF(J289="letters",1,IF(J289="free forms",1,IF(J289="odors",2,IF(J289="words",2,IF(J289="pictures",2,IF(J289="object pictures",2,IF(J289="faces",2,IF(J289="names",2,IF(J289="idioms","2",IF(J289="grades",2,IF(J289="syllable-digit pairs",3,IF(J289="trigram-word pairs",3,IF(J289="word-digit pairs",3,IF(J289="English-Swahili pairs",3,IF(J289="spatial position",3,IF(J289="word pairs",4,IF(J289="word triads",4,IF(J289="generated words",4,IF(J289="word definition pairs",4,IF(J289="math problems",4,IF(J289="famous faces",4,IF(J289="famous names",4,IF(J289="famous voices",4,IF(J289="television programs",4,IF(J289="race horses",4,IF(J289="new vocabulary",4,IF(J289="sentences",5,IF(J289="concepts",5,IF(J289="ad slides",5,IF(J289="scenes",5,IF(J289="famous scenes",5,IF(J289="poems",6,IF(J289="walk",6,IF(J289="faces and events",6,IF(J289="events and names",6,IF(J289="flashbulb",7,IF(J289="stories",7,IF(J289="course material",7,IF(J289="autobiographical",7,IF(J289="novels",7,IF(J289="public events",7,"99"))))))))))))))))))))))))))))))))))))))))))))))</f>
        <v>3</v>
      </c>
      <c r="M289" s="60">
        <v>1</v>
      </c>
      <c r="N289" s="60">
        <v>2</v>
      </c>
      <c r="O289" s="60">
        <v>0</v>
      </c>
      <c r="P289" s="60"/>
      <c r="Q289" s="60" t="s">
        <v>174</v>
      </c>
      <c r="R289" s="60">
        <f>IF(Q289="Free Recall",1,IF(Q289="Cued Recall",2,IF(Q289="Recognition",3,IF(Q289="Multiple Choice",4,IF(Q289="Savings",5,IF(Q289="Stem Completion",6,IF(Q289="Fragment Completion",7,IF(Q289="anagram solution",8,IF(Q289="Matching",9,IF(Q289="Problem Solving",10,"99"))))))))))</f>
        <v>1</v>
      </c>
      <c r="S289" s="60" t="s">
        <v>49</v>
      </c>
      <c r="T289" s="60" t="s">
        <v>261</v>
      </c>
      <c r="U289" s="60">
        <f>IF(T289="within",1,0)</f>
        <v>0</v>
      </c>
      <c r="V289" s="60">
        <v>20</v>
      </c>
      <c r="W289" s="60">
        <f>F289*V289</f>
        <v>2520</v>
      </c>
      <c r="X289" s="60">
        <v>5</v>
      </c>
      <c r="Y289" s="76">
        <f>AV288</f>
        <v>604800</v>
      </c>
      <c r="Z289" s="60" t="s">
        <v>157</v>
      </c>
      <c r="AA289" s="60">
        <v>4233600</v>
      </c>
      <c r="AB289" s="60" t="str">
        <f>IF(AA289&lt;60,"1",IF(AA289&lt;=43200,"2",IF(AA289&lt;=777600,"3","4")))</f>
        <v>4</v>
      </c>
      <c r="AC289" s="56">
        <f>AVERAGE(AV288:DA288)</f>
        <v>2419200</v>
      </c>
      <c r="AD289" s="60" t="str">
        <f>IF(AC289&lt;60,"1",IF(AC289&lt;=43200,"2",IF(AC289&lt;=777600,"3","4")))</f>
        <v>4</v>
      </c>
      <c r="AE289" s="76">
        <f>AA289-Y289</f>
        <v>3628800</v>
      </c>
      <c r="AF289" s="80">
        <f>AV289</f>
        <v>0.411373036524952</v>
      </c>
      <c r="AG289" s="56">
        <f>((AW289-AV289)+(AX289-AW289)+(AY289-AX289)+(AZ289-AY289))/4</f>
        <v>-6.7294820455050003E-2</v>
      </c>
      <c r="AH289" s="4"/>
      <c r="AI289" s="56">
        <f>RSQ(AV289:AZ289,AV288:AZ288)</f>
        <v>0.83758852264875328</v>
      </c>
      <c r="AJ289" s="109">
        <f>SLOPE(AV289:AZ289,AV288:AZ288)</f>
        <v>-7.8085891061785882E-8</v>
      </c>
      <c r="AK289" s="56">
        <f>INTERCEPT(AV289:AZ289,AV288:AZ288)</f>
        <v>0.41996800581277521</v>
      </c>
      <c r="AL289" s="56">
        <f>INDEX(LINEST(LN(AV289:AZ289),LN(AV288:AZ288),TRUE,TRUE),3,1)</f>
        <v>0.90942449303650286</v>
      </c>
      <c r="AM289" s="56">
        <f>INDEX(LINEST(LN(AV289:AZ289),LN(AV288:AZ288)),1)</f>
        <v>-0.59517119578547173</v>
      </c>
      <c r="AN289" s="56">
        <f>EXP(INDEX(LINEST(LN(AV289:AZ289),LN(AV288:AZ288)),1,2))</f>
        <v>1195.8922019718161</v>
      </c>
      <c r="AO289" s="82">
        <f>INDEX(LINEST((AV289:AZ289),LN(AV288:AZ288),TRUE,TRUE),3,1)</f>
        <v>0.94501006722139846</v>
      </c>
      <c r="AP289" s="82">
        <f>INDEX(LINEST((AV289:AZ289),LN(AV288:AZ288)),1)</f>
        <v>-0.15095085660822027</v>
      </c>
      <c r="AQ289" s="83">
        <f>INDEX(LINEST(LN(AV289:AZ289),SQRT(AV288:AZ288),TRUE,TRUE),3,1)</f>
        <v>0.91216347158154898</v>
      </c>
      <c r="AR289" s="116">
        <f>INDEX(LINEST(LN(AV289:AZ289),SQRT((AV288:AZ288))),1)</f>
        <v>-9.2553381903205266E-4</v>
      </c>
      <c r="AS289" s="84">
        <f>INDEX(LINEST(1/(AV289:AZ289),1/(SQRT(AV288:AZ288)),TRUE,TRUE),3,1)</f>
        <v>0.78686403011097705</v>
      </c>
      <c r="AT289" s="84">
        <f>INDEX(LINEST(1/(AV289:AZ289),1/SQRT(AV288:AZ288)),1)</f>
        <v>-5798.636299518771</v>
      </c>
      <c r="AU289" s="3"/>
      <c r="AV289" s="53">
        <v>0.411373036524952</v>
      </c>
      <c r="AW289" s="53">
        <v>0.27969281095098197</v>
      </c>
      <c r="AX289" s="53">
        <v>0.17934977047160799</v>
      </c>
      <c r="AY289" s="53">
        <v>0.14270371812822</v>
      </c>
      <c r="AZ289" s="53">
        <v>0.14219375470475198</v>
      </c>
      <c r="BA289" s="53"/>
      <c r="BB289" s="53"/>
      <c r="BC289" s="53"/>
      <c r="BD289" s="53"/>
      <c r="BE289" s="53"/>
      <c r="BF289" s="53"/>
      <c r="BG289" s="53"/>
      <c r="BH289" s="53"/>
      <c r="BI289" s="53"/>
      <c r="BJ289" s="53"/>
      <c r="BK289" s="53"/>
      <c r="BL289" s="53"/>
      <c r="BM289" s="53"/>
      <c r="BN289" s="53"/>
      <c r="BO289" s="53"/>
      <c r="BP289" s="53"/>
      <c r="BQ289" s="53"/>
      <c r="BR289" s="53"/>
      <c r="BS289" s="53"/>
      <c r="BT289" s="53"/>
      <c r="BU289" s="53"/>
      <c r="BV289" s="53"/>
      <c r="BW289" s="53"/>
      <c r="BX289" s="53"/>
      <c r="BY289" s="53"/>
      <c r="BZ289" s="53"/>
      <c r="CA289" s="53"/>
      <c r="CB289" s="53"/>
      <c r="CC289" s="53"/>
      <c r="CD289" s="53"/>
      <c r="CE289" s="53"/>
      <c r="CF289" s="53"/>
      <c r="CG289" s="53"/>
      <c r="CH289" s="53"/>
      <c r="CI289" s="53"/>
      <c r="CJ289" s="53"/>
      <c r="CK289" s="53"/>
      <c r="CL289" s="53"/>
      <c r="CM289" s="53"/>
      <c r="CN289" s="53"/>
      <c r="CO289" s="53"/>
      <c r="CP289" s="53"/>
      <c r="CQ289" s="53"/>
      <c r="CR289" s="1"/>
      <c r="CS289" s="1"/>
      <c r="CT289" s="1"/>
      <c r="CU289" s="1"/>
    </row>
    <row r="290" spans="1:99" s="13" customFormat="1" ht="12" customHeight="1" x14ac:dyDescent="0.2">
      <c r="A290" s="65">
        <v>43509</v>
      </c>
      <c r="B290" s="1"/>
      <c r="C290" s="1"/>
      <c r="D290" s="60"/>
      <c r="E290" s="76"/>
      <c r="F290" s="60"/>
      <c r="G290" s="60"/>
      <c r="H290" s="60"/>
      <c r="I290" s="60"/>
      <c r="J290" s="60"/>
      <c r="K290" s="60"/>
      <c r="L290" s="60"/>
      <c r="M290" s="60"/>
      <c r="N290" s="60"/>
      <c r="O290" s="60"/>
      <c r="P290" s="60"/>
      <c r="Q290" s="60"/>
      <c r="R290" s="60"/>
      <c r="S290" s="60"/>
      <c r="T290" s="60"/>
      <c r="U290" s="60"/>
      <c r="V290" s="60"/>
      <c r="W290" s="60"/>
      <c r="X290" s="60"/>
      <c r="Y290" s="76"/>
      <c r="Z290" s="60"/>
      <c r="AA290" s="60"/>
      <c r="AB290" s="60"/>
      <c r="AC290" s="56"/>
      <c r="AD290" s="60"/>
      <c r="AE290" s="76"/>
      <c r="AF290" s="80"/>
      <c r="AG290" s="56"/>
      <c r="AH290" s="4"/>
      <c r="AI290" s="56"/>
      <c r="AJ290" s="109"/>
      <c r="AK290" s="56"/>
      <c r="AL290" s="56"/>
      <c r="AM290" s="56"/>
      <c r="AN290" s="56"/>
      <c r="AO290" s="82"/>
      <c r="AP290" s="82"/>
      <c r="AQ290" s="83"/>
      <c r="AR290" s="116"/>
      <c r="AS290" s="84"/>
      <c r="AT290" s="84"/>
      <c r="AU290" s="3"/>
      <c r="AV290" s="25">
        <f>7*24*3600*1</f>
        <v>604800</v>
      </c>
      <c r="AW290" s="25">
        <f>7*24*3600*2</f>
        <v>1209600</v>
      </c>
      <c r="AX290" s="25">
        <f>7*24*3600*4</f>
        <v>2419200</v>
      </c>
      <c r="AY290" s="25"/>
      <c r="AZ290" s="25"/>
      <c r="BA290" s="53"/>
      <c r="BB290" s="53"/>
      <c r="BC290" s="53"/>
      <c r="BD290" s="53"/>
      <c r="BE290" s="53"/>
      <c r="BF290" s="53"/>
      <c r="BG290" s="53"/>
      <c r="BH290" s="53"/>
      <c r="BI290" s="53"/>
      <c r="BJ290" s="53"/>
      <c r="BK290" s="53"/>
      <c r="BL290" s="53"/>
      <c r="BM290" s="53"/>
      <c r="BN290" s="53"/>
      <c r="BO290" s="53"/>
      <c r="BP290" s="53"/>
      <c r="BQ290" s="53"/>
      <c r="BR290" s="53"/>
      <c r="BS290" s="53"/>
      <c r="BT290" s="53"/>
      <c r="BU290" s="53"/>
      <c r="BV290" s="53"/>
      <c r="BW290" s="53"/>
      <c r="BX290" s="53"/>
      <c r="BY290" s="53"/>
      <c r="BZ290" s="53"/>
      <c r="CA290" s="53"/>
      <c r="CB290" s="53"/>
      <c r="CC290" s="53"/>
      <c r="CD290" s="53"/>
      <c r="CE290" s="53"/>
      <c r="CF290" s="53"/>
      <c r="CG290" s="53"/>
      <c r="CH290" s="53"/>
      <c r="CI290" s="53"/>
      <c r="CJ290" s="53"/>
      <c r="CK290" s="53"/>
      <c r="CL290" s="53"/>
      <c r="CM290" s="53"/>
      <c r="CN290" s="53"/>
      <c r="CO290" s="53"/>
      <c r="CP290" s="53"/>
      <c r="CQ290" s="53"/>
      <c r="CR290" s="1"/>
      <c r="CS290" s="1"/>
      <c r="CT290" s="1"/>
      <c r="CU290" s="1"/>
    </row>
    <row r="291" spans="1:99" s="13" customFormat="1" ht="12" customHeight="1" x14ac:dyDescent="0.2">
      <c r="A291" s="65">
        <v>43509</v>
      </c>
      <c r="B291" s="1" t="s">
        <v>249</v>
      </c>
      <c r="C291" s="1" t="s">
        <v>156</v>
      </c>
      <c r="D291" s="60">
        <v>1980</v>
      </c>
      <c r="E291" s="76">
        <v>1</v>
      </c>
      <c r="F291" s="60">
        <v>63</v>
      </c>
      <c r="G291" s="60">
        <v>21</v>
      </c>
      <c r="H291" s="60" t="s">
        <v>50</v>
      </c>
      <c r="I291" s="60" t="s">
        <v>903</v>
      </c>
      <c r="J291" s="60" t="s">
        <v>90</v>
      </c>
      <c r="K291" s="60">
        <f>IF(J291="syllables",1,IF(J291="trigrams",2,IF(J291="strings",3,IF(J291="visual array",4,IF(J291="characters",5,IF(J291="letters",6,IF(J291="free forms",7,IF(J291="odors",8,IF(J291="words",9,IF(J291="pictures",10,IF(J291="object pictures",11,IF(J291="faces",12,IF(J291="names",13,IF(J291="idioms",14,IF(J291="grades",15,IF(J291="syllable-digit pairs",16,IF(J291="trigram-word pairs",17,IF(J291="word-digit pairs",18,IF(J291="English-Swahili pairs",19,IF(J291="spatial position",20,IF(J291="word pairs",21,IF(J291="word triads",22,IF(J291="generated words",23,IF(J291="word definition pairs",24,IF(J291="math problems",25,IF(J291="famous faces",26,IF(J291="famous names",27,IF(J291="famous voices",28,IF(J291="television programs",29,IF(J291="race horses",30,IF(J291="new vocabulary",31,IF(J291="sentences",32,IF(J291="concepts",33,IF(J291="ad slides",34,IF(J291="scenes",35,IF(J291="famous scenes",36,IF(J291="poems",37,IF(J291="walk",38,IF(J291="faces and events",39,IF(J291="events and names",40,IF(J291="flashbulb",41,IF(J291="stories",42,IF(J291="course material",43,IF(J291="autobiographical",44,IF(J291="novels",45,IF(J291="public events",46,"99"))))))))))))))))))))))))))))))))))))))))))))))</f>
        <v>18</v>
      </c>
      <c r="L291" s="60">
        <f>IF(J291="syllables",1,IF(J291="trigrams",1,IF(J291="strings",1,IF(J291="visual array",1,IF(J291="characters",1,IF(J291="letters",1,IF(J291="free forms",1,IF(J291="odors",2,IF(J291="words",2,IF(J291="pictures",2,IF(J291="object pictures",2,IF(J291="faces",2,IF(J291="names",2,IF(J291="idioms","2",IF(J291="grades",2,IF(J291="syllable-digit pairs",3,IF(J291="trigram-word pairs",3,IF(J291="word-digit pairs",3,IF(J291="English-Swahili pairs",3,IF(J291="spatial position",3,IF(J291="word pairs",4,IF(J291="word triads",4,IF(J291="generated words",4,IF(J291="word definition pairs",4,IF(J291="math problems",4,IF(J291="famous faces",4,IF(J291="famous names",4,IF(J291="famous voices",4,IF(J291="television programs",4,IF(J291="race horses",4,IF(J291="new vocabulary",4,IF(J291="sentences",5,IF(J291="concepts",5,IF(J291="ad slides",5,IF(J291="scenes",5,IF(J291="famous scenes",5,IF(J291="poems",6,IF(J291="walk",6,IF(J291="faces and events",6,IF(J291="events and names",6,IF(J291="flashbulb",7,IF(J291="stories",7,IF(J291="course material",7,IF(J291="autobiographical",7,IF(J291="novels",7,IF(J291="public events",7,"99"))))))))))))))))))))))))))))))))))))))))))))))</f>
        <v>3</v>
      </c>
      <c r="M291" s="60">
        <v>1</v>
      </c>
      <c r="N291" s="60">
        <v>2</v>
      </c>
      <c r="O291" s="60">
        <v>0</v>
      </c>
      <c r="P291" s="60"/>
      <c r="Q291" s="60" t="s">
        <v>174</v>
      </c>
      <c r="R291" s="60">
        <f>IF(Q291="Free Recall",1,IF(Q291="Cued Recall",2,IF(Q291="Recognition",3,IF(Q291="Multiple Choice",4,IF(Q291="Savings",5,IF(Q291="Stem Completion",6,IF(Q291="Fragment Completion",7,IF(Q291="anagram solution",8,IF(Q291="Matching",9,IF(Q291="Problem Solving",10,"99"))))))))))</f>
        <v>1</v>
      </c>
      <c r="S291" s="60" t="s">
        <v>49</v>
      </c>
      <c r="T291" s="60" t="s">
        <v>261</v>
      </c>
      <c r="U291" s="60">
        <f>IF(T291="within",1,0)</f>
        <v>0</v>
      </c>
      <c r="V291" s="60">
        <v>20</v>
      </c>
      <c r="W291" s="60">
        <f>F291*V291</f>
        <v>1260</v>
      </c>
      <c r="X291" s="60">
        <v>3</v>
      </c>
      <c r="Y291" s="76">
        <f>AV290</f>
        <v>604800</v>
      </c>
      <c r="Z291" s="60" t="s">
        <v>140</v>
      </c>
      <c r="AA291" s="60">
        <f>60*60*24*28</f>
        <v>2419200</v>
      </c>
      <c r="AB291" s="60" t="str">
        <f>IF(AA291&lt;60,"1",IF(AA291&lt;=43200,"2",IF(AA291&lt;=777600,"3","4")))</f>
        <v>4</v>
      </c>
      <c r="AC291" s="56">
        <f>AVERAGE(AV290:DA290)</f>
        <v>1411200</v>
      </c>
      <c r="AD291" s="60" t="str">
        <f>IF(AC291&lt;60,"1",IF(AC291&lt;=43200,"2",IF(AC291&lt;=777600,"3","4")))</f>
        <v>4</v>
      </c>
      <c r="AE291" s="76">
        <f>AA291-Y291</f>
        <v>1814400</v>
      </c>
      <c r="AF291" s="80">
        <f>AV291</f>
        <v>0.86251238092817506</v>
      </c>
      <c r="AG291" s="56">
        <f>((AW291-AV291)+(AX291-AW291))/2</f>
        <v>-0.2422514638461945</v>
      </c>
      <c r="AH291" s="4"/>
      <c r="AI291" s="56">
        <f>RSQ(AV291:AX291,AV290:AX290)</f>
        <v>0.99999464518306502</v>
      </c>
      <c r="AJ291" s="109">
        <f>SLOPE(AV291:AX291,AV290:AX290)</f>
        <v>-2.6691316978657E-7</v>
      </c>
      <c r="AK291" s="56">
        <f>INTERCEPT(AV291:AX291,AV290:AX290)</f>
        <v>1.0235101211518201</v>
      </c>
      <c r="AL291" s="56">
        <f>INDEX(LINEST(LN(AV291:AX291),LN(AV290:AX290),TRUE,TRUE),3,1)</f>
        <v>0.92481133956556438</v>
      </c>
      <c r="AM291" s="56">
        <f>INDEX(LINEST(LN(AV291:AX291),LN(AV290:AX290)),1)</f>
        <v>-0.59506142618098612</v>
      </c>
      <c r="AN291" s="56">
        <f>EXP(INDEX(LINEST(LN(AV291:AX291),LN(AV290:AX290)),1,2))</f>
        <v>2544.8871255963995</v>
      </c>
      <c r="AO291" s="82">
        <f>INDEX(LINEST((AV291:AX291),LN(AV290:AX290),TRUE,TRUE),3,1)</f>
        <v>0.9651396071390943</v>
      </c>
      <c r="AP291" s="82">
        <f>INDEX(LINEST((AV291:AX291),LN(AV290:AX290)),1)</f>
        <v>-0.34949498553899677</v>
      </c>
      <c r="AQ291" s="83">
        <f>INDEX(LINEST(LN(AV291:AX291),SQRT(AV290:AX290),TRUE,TRUE),3,1)</f>
        <v>0.96828997115828797</v>
      </c>
      <c r="AR291" s="116">
        <f>INDEX(LINEST(LN(AV291:AX291),SQRT((AV290:AX290))),1)</f>
        <v>-1.0801079301765756E-3</v>
      </c>
      <c r="AS291" s="84">
        <f>INDEX(LINEST(1/(AV291:AX291),1/(SQRT(AV290:AX290)),TRUE,TRUE),3,1)</f>
        <v>0.80960049228901521</v>
      </c>
      <c r="AT291" s="84">
        <f>INDEX(LINEST(1/(AV291:AX291),1/SQRT(AV290:AX290)),1)</f>
        <v>-2205.3993192365965</v>
      </c>
      <c r="AU291" s="3"/>
      <c r="AV291" s="53">
        <v>0.86251238092817506</v>
      </c>
      <c r="AW291" s="53">
        <v>0.70000493368307604</v>
      </c>
      <c r="AX291" s="53">
        <v>0.37800945323578605</v>
      </c>
      <c r="AY291" s="25"/>
      <c r="AZ291" s="25"/>
      <c r="BA291" s="53"/>
      <c r="BB291" s="53"/>
      <c r="BC291" s="53"/>
      <c r="BD291" s="53"/>
      <c r="BE291" s="53"/>
      <c r="BF291" s="53"/>
      <c r="BG291" s="53"/>
      <c r="BH291" s="53"/>
      <c r="BI291" s="53"/>
      <c r="BJ291" s="53"/>
      <c r="BK291" s="53"/>
      <c r="BL291" s="53"/>
      <c r="BM291" s="53"/>
      <c r="BN291" s="53"/>
      <c r="BO291" s="53"/>
      <c r="BP291" s="53"/>
      <c r="BQ291" s="53"/>
      <c r="BR291" s="53"/>
      <c r="BS291" s="53"/>
      <c r="BT291" s="53"/>
      <c r="BU291" s="53"/>
      <c r="BV291" s="53"/>
      <c r="BW291" s="53"/>
      <c r="BX291" s="53"/>
      <c r="BY291" s="53"/>
      <c r="BZ291" s="53"/>
      <c r="CA291" s="53"/>
      <c r="CB291" s="53"/>
      <c r="CC291" s="53"/>
      <c r="CD291" s="53"/>
      <c r="CE291" s="53"/>
      <c r="CF291" s="53"/>
      <c r="CG291" s="53"/>
      <c r="CH291" s="53"/>
      <c r="CI291" s="53"/>
      <c r="CJ291" s="53"/>
      <c r="CK291" s="53"/>
      <c r="CL291" s="53"/>
      <c r="CM291" s="53"/>
      <c r="CN291" s="53"/>
      <c r="CO291" s="53"/>
      <c r="CP291" s="53"/>
      <c r="CQ291" s="53"/>
      <c r="CR291" s="1"/>
      <c r="CS291" s="1"/>
      <c r="CT291" s="1"/>
      <c r="CU291" s="1"/>
    </row>
    <row r="292" spans="1:99" s="13" customFormat="1" ht="12" customHeight="1" x14ac:dyDescent="0.2">
      <c r="A292" s="68">
        <v>43509</v>
      </c>
      <c r="B292" s="70"/>
      <c r="C292" s="70"/>
      <c r="D292" s="69"/>
      <c r="E292" s="87"/>
      <c r="F292" s="69"/>
      <c r="G292" s="69"/>
      <c r="H292" s="69"/>
      <c r="I292" s="69"/>
      <c r="J292" s="69"/>
      <c r="K292" s="107"/>
      <c r="L292" s="107"/>
      <c r="M292" s="69"/>
      <c r="N292" s="69"/>
      <c r="O292" s="69"/>
      <c r="P292" s="69"/>
      <c r="Q292" s="69"/>
      <c r="R292" s="69"/>
      <c r="S292" s="69"/>
      <c r="T292" s="69"/>
      <c r="U292" s="60"/>
      <c r="V292" s="69"/>
      <c r="W292" s="69"/>
      <c r="X292" s="69"/>
      <c r="Y292" s="87"/>
      <c r="Z292" s="69"/>
      <c r="AA292" s="69"/>
      <c r="AB292" s="69"/>
      <c r="AC292" s="69"/>
      <c r="AD292" s="69"/>
      <c r="AE292" s="69"/>
      <c r="AF292" s="88"/>
      <c r="AG292" s="72"/>
      <c r="AH292" s="4"/>
      <c r="AI292" s="72"/>
      <c r="AJ292" s="110"/>
      <c r="AK292" s="72"/>
      <c r="AL292" s="72"/>
      <c r="AM292" s="72"/>
      <c r="AN292" s="72"/>
      <c r="AO292" s="72"/>
      <c r="AP292" s="72"/>
      <c r="AQ292" s="72"/>
      <c r="AR292" s="110"/>
      <c r="AS292" s="72"/>
      <c r="AT292" s="72"/>
      <c r="AU292" s="4"/>
      <c r="AV292" s="71">
        <v>40</v>
      </c>
      <c r="AW292" s="71">
        <f>24*3600</f>
        <v>86400</v>
      </c>
      <c r="AX292" s="71">
        <f>7*24*3600*1</f>
        <v>604800</v>
      </c>
      <c r="AY292" s="71">
        <f>7*24*3600*6</f>
        <v>3628800</v>
      </c>
      <c r="AZ292" s="53" t="s">
        <v>518</v>
      </c>
      <c r="BB292" s="53"/>
      <c r="BC292" s="53"/>
      <c r="BD292" s="53"/>
      <c r="BE292" s="53"/>
      <c r="BF292" s="53"/>
      <c r="BG292" s="53"/>
      <c r="BH292" s="53"/>
      <c r="BI292" s="53"/>
      <c r="BJ292" s="53"/>
      <c r="BK292" s="53"/>
      <c r="BL292" s="53"/>
      <c r="BM292" s="53"/>
      <c r="BN292" s="53"/>
      <c r="BO292" s="53"/>
      <c r="BP292" s="53"/>
      <c r="BQ292" s="53"/>
      <c r="BR292" s="53"/>
      <c r="BS292" s="53"/>
      <c r="BT292" s="53"/>
      <c r="BU292" s="53"/>
      <c r="BV292" s="53"/>
      <c r="BW292" s="53"/>
      <c r="BX292" s="53"/>
      <c r="BY292" s="53"/>
      <c r="BZ292" s="53"/>
      <c r="CA292" s="53"/>
      <c r="CB292" s="53"/>
      <c r="CC292" s="53"/>
      <c r="CD292" s="53"/>
      <c r="CE292" s="53"/>
      <c r="CF292" s="53"/>
      <c r="CG292" s="53"/>
      <c r="CH292" s="53"/>
      <c r="CI292" s="53"/>
      <c r="CJ292" s="53"/>
      <c r="CK292" s="53"/>
      <c r="CL292" s="53"/>
      <c r="CM292" s="53"/>
      <c r="CN292" s="53"/>
      <c r="CO292" s="53"/>
      <c r="CP292" s="53"/>
      <c r="CQ292" s="53"/>
      <c r="CR292" s="1"/>
      <c r="CS292" s="1"/>
      <c r="CT292" s="1"/>
      <c r="CU292" s="1"/>
    </row>
    <row r="293" spans="1:99" s="13" customFormat="1" ht="12" customHeight="1" x14ac:dyDescent="0.2">
      <c r="A293" s="68">
        <v>43509</v>
      </c>
      <c r="B293" s="70" t="s">
        <v>158</v>
      </c>
      <c r="C293" s="70" t="s">
        <v>159</v>
      </c>
      <c r="D293" s="69">
        <v>2016</v>
      </c>
      <c r="E293" s="87">
        <v>1</v>
      </c>
      <c r="F293" s="69">
        <v>95</v>
      </c>
      <c r="G293" s="69">
        <v>23.8</v>
      </c>
      <c r="H293" s="69" t="s">
        <v>746</v>
      </c>
      <c r="I293" s="69" t="s">
        <v>742</v>
      </c>
      <c r="J293" s="69" t="s">
        <v>317</v>
      </c>
      <c r="K293" s="69">
        <f>IF(J293="syllables",1,IF(J293="trigrams",2,IF(J293="strings",3,IF(J293="visual array",4,IF(J293="characters",5,IF(J293="letters",6,IF(J293="free forms",7,IF(J293="odors",8,IF(J293="words",9,IF(J293="pictures",10,IF(J293="object pictures",11,IF(J293="faces",12,IF(J293="names",13,IF(J293="idioms",14,IF(J293="grades",15,IF(J293="syllable-digit pairs",16,IF(J293="trigram-word pairs",17,IF(J293="word-digit pairs",18,IF(J293="English-Swahili pairs",19,IF(J293="spatial position",20,IF(J293="word pairs",21,IF(J293="word triads",22,IF(J293="generated words",23,IF(J293="word definition pairs",24,IF(J293="math problems",25,IF(J293="famous faces",26,IF(J293="famous names",27,IF(J293="famous voices",28,IF(J293="television programs",29,IF(J293="race horses",30,IF(J293="new vocabulary",31,IF(J293="sentences",32,IF(J293="concepts",33,IF(J293="ad slides",34,IF(J293="scenes",35,IF(J293="famous scenes",36,IF(J293="poems",37,IF(J293="walk",38,IF(J293="faces and events",39,IF(J293="events and names",40,IF(J293="flashbulb",41,IF(J293="stories",42,IF(J293="course material",43,IF(J293="autobiographical",44,IF(J293="novels",45,IF(J293="public events",46,"99"))))))))))))))))))))))))))))))))))))))))))))))</f>
        <v>7</v>
      </c>
      <c r="L293" s="69">
        <f>IF(J293="syllables",1,IF(J293="trigrams",1,IF(J293="strings",1,IF(J293="visual array",1,IF(J293="characters",1,IF(J293="letters",1,IF(J293="free forms",1,IF(J293="odors",2,IF(J293="words",2,IF(J293="pictures",2,IF(J293="object pictures",2,IF(J293="faces",2,IF(J293="names",2,IF(J293="idioms","2",IF(J293="grades",2,IF(J293="syllable-digit pairs",3,IF(J293="trigram-word pairs",3,IF(J293="word-digit pairs",3,IF(J293="English-Swahili pairs",3,IF(J293="spatial position",3,IF(J293="word pairs",4,IF(J293="word triads",4,IF(J293="generated words",4,IF(J293="word definition pairs",4,IF(J293="math problems",4,IF(J293="famous faces",4,IF(J293="famous names",4,IF(J293="famous voices",4,IF(J293="television programs",4,IF(J293="race horses",4,IF(J293="new vocabulary",4,IF(J293="sentences",5,IF(J293="concepts",5,IF(J293="ad slides",5,IF(J293="scenes",5,IF(J293="famous scenes",5,IF(J293="poems",6,IF(J293="walk",6,IF(J293="faces and events",6,IF(J293="events and names",6,IF(J293="flashbulb",7,IF(J293="stories",7,IF(J293="course material",7,IF(J293="autobiographical",7,IF(J293="novels",7,IF(J293="public events",7,"99"))))))))))))))))))))))))))))))))))))))))))))))</f>
        <v>1</v>
      </c>
      <c r="M293" s="69">
        <v>1</v>
      </c>
      <c r="N293" s="69">
        <v>2</v>
      </c>
      <c r="O293" s="69">
        <v>0</v>
      </c>
      <c r="P293" s="69"/>
      <c r="Q293" s="69" t="s">
        <v>34</v>
      </c>
      <c r="R293" s="69">
        <f>IF(Q293="Free Recall",1,IF(Q293="Cued Recall",2,IF(Q293="Recognition",3,IF(Q293="Multiple Choice",4,IF(Q293="Savings",5,IF(Q293="Stem Completion",6,IF(Q293="Fragment Completion",7,IF(Q293="anagram solution",8,IF(Q293="Matching",9,IF(Q293="Problem Solving",10,"99"))))))))))</f>
        <v>3</v>
      </c>
      <c r="S293" s="99" t="s">
        <v>15</v>
      </c>
      <c r="T293" s="69" t="s">
        <v>261</v>
      </c>
      <c r="U293" s="60">
        <f>IF(T293="within",1,0)</f>
        <v>0</v>
      </c>
      <c r="V293" s="69">
        <v>40</v>
      </c>
      <c r="W293" s="69">
        <f>F293*V293</f>
        <v>3800</v>
      </c>
      <c r="X293" s="69">
        <v>4</v>
      </c>
      <c r="Y293" s="87">
        <f>AV292</f>
        <v>40</v>
      </c>
      <c r="Z293" s="69" t="s">
        <v>160</v>
      </c>
      <c r="AA293" s="69">
        <v>3628800</v>
      </c>
      <c r="AB293" s="69" t="str">
        <f>IF(AA293&lt;60,"1",IF(AA293&lt;=43200,"2",IF(AA293&lt;=777600,"3","4")))</f>
        <v>4</v>
      </c>
      <c r="AC293" s="72">
        <f>AVERAGE(AV292:DA292)</f>
        <v>1080010</v>
      </c>
      <c r="AD293" s="69" t="str">
        <f>IF(AC293&lt;60,"1",IF(AC293&lt;=43200,"2",IF(AC293&lt;=777600,"3","4")))</f>
        <v>4</v>
      </c>
      <c r="AE293" s="87">
        <f>AA293-Y293</f>
        <v>3628760</v>
      </c>
      <c r="AF293" s="88">
        <f>AV293</f>
        <v>0.8208333333333333</v>
      </c>
      <c r="AG293" s="72">
        <f>((AW293-AV293)+(AX293-AW293)+(AY293-AX293))/3</f>
        <v>-1.4009661835748774E-2</v>
      </c>
      <c r="AH293" s="4"/>
      <c r="AI293" s="72">
        <f>RSQ(AV293:AY293,AV292:AY292)</f>
        <v>0.89692672641344839</v>
      </c>
      <c r="AJ293" s="110">
        <f>SLOPE(AV293:AY293,AV292:AY292)</f>
        <v>-1.4201142210680998E-8</v>
      </c>
      <c r="AK293" s="72">
        <f>INTERCEPT(AV293:AY293,AV292:AY292)</f>
        <v>0.83178325422214605</v>
      </c>
      <c r="AL293" s="72">
        <f>INDEX(LINEST(LN(AV293:AY293),LN(AV292:AY292),TRUE,TRUE),3,1)</f>
        <v>0.14425810382320323</v>
      </c>
      <c r="AM293" s="72">
        <f>INDEX(LINEST(LN(AV293:AY293),LN(AV292:AY292)),1)</f>
        <v>-2.4218402444285553E-3</v>
      </c>
      <c r="AN293" s="72">
        <f>EXP(INDEX(LINEST(LN(AV293:AY293),LN(AV292:AY292)),1,2))</f>
        <v>0.83790133188251625</v>
      </c>
      <c r="AO293" s="89">
        <f>INDEX(LINEST((AV293:AY293),LN(AV292:AY292),TRUE,TRUE),3,1)</f>
        <v>0.14024471020063992</v>
      </c>
      <c r="AP293" s="89">
        <f>INDEX(LINEST((AV293:AY293),LN(AV292:AY292)),1)</f>
        <v>-1.9226849664697181E-3</v>
      </c>
      <c r="AQ293" s="90">
        <f>INDEX(LINEST(LN(AV293:AY293),SQRT(AV292:AY292),TRUE,TRUE),3,1)</f>
        <v>0.72100739274293879</v>
      </c>
      <c r="AR293" s="117">
        <f>INDEX(LINEST(LN(AV293:AY293),SQRT((AV292:AY292))),1)</f>
        <v>-3.254398273459573E-5</v>
      </c>
      <c r="AS293" s="91">
        <f>INDEX(LINEST(1/(AV293:AY293),1/(SQRT(AV292:AY292)),TRUE,TRUE),3,1)</f>
        <v>1.8741089002515268E-2</v>
      </c>
      <c r="AT293" s="91">
        <f>INDEX(LINEST(1/(AV293:AY293),1/SQRT(AV292:AY292)),1)</f>
        <v>-6.9677289912485868E-2</v>
      </c>
      <c r="AU293" s="3"/>
      <c r="AV293" s="73">
        <v>0.8208333333333333</v>
      </c>
      <c r="AW293" s="73">
        <v>0.83489583333333339</v>
      </c>
      <c r="AX293" s="73">
        <v>0.83125000000000004</v>
      </c>
      <c r="AY293" s="73">
        <v>0.77880434782608698</v>
      </c>
      <c r="AZ293" s="53"/>
      <c r="BA293" s="53"/>
      <c r="BB293" s="53"/>
      <c r="BC293" s="53"/>
      <c r="BD293" s="53"/>
      <c r="BE293" s="53"/>
      <c r="BF293" s="53"/>
      <c r="BG293" s="53"/>
      <c r="BH293" s="53"/>
      <c r="BI293" s="53"/>
      <c r="BJ293" s="53"/>
      <c r="BK293" s="53"/>
      <c r="BL293" s="53"/>
      <c r="BM293" s="53"/>
      <c r="BN293" s="53"/>
      <c r="BO293" s="53"/>
      <c r="BP293" s="53"/>
      <c r="BQ293" s="53"/>
      <c r="BR293" s="53"/>
      <c r="BS293" s="53"/>
      <c r="BT293" s="53"/>
      <c r="BU293" s="53"/>
      <c r="BV293" s="53"/>
      <c r="BW293" s="53"/>
      <c r="BX293" s="53"/>
      <c r="BY293" s="53"/>
      <c r="BZ293" s="53"/>
      <c r="CA293" s="53"/>
      <c r="CB293" s="53"/>
      <c r="CC293" s="53"/>
      <c r="CD293" s="53"/>
      <c r="CE293" s="53"/>
      <c r="CF293" s="53"/>
      <c r="CG293" s="53"/>
      <c r="CH293" s="53"/>
      <c r="CI293" s="53"/>
      <c r="CJ293" s="53"/>
      <c r="CK293" s="53"/>
      <c r="CL293" s="53"/>
      <c r="CM293" s="53"/>
      <c r="CN293" s="53"/>
      <c r="CO293" s="53"/>
      <c r="CP293" s="53"/>
      <c r="CQ293" s="53"/>
      <c r="CR293" s="1"/>
      <c r="CS293" s="1"/>
      <c r="CT293" s="1"/>
      <c r="CU293" s="1"/>
    </row>
    <row r="294" spans="1:99" s="13" customFormat="1" ht="12" customHeight="1" x14ac:dyDescent="0.2">
      <c r="A294" s="68">
        <v>43509</v>
      </c>
      <c r="B294" s="70"/>
      <c r="C294" s="70"/>
      <c r="D294" s="69"/>
      <c r="E294" s="87"/>
      <c r="F294" s="69"/>
      <c r="G294" s="69"/>
      <c r="H294" s="69"/>
      <c r="I294" s="69"/>
      <c r="J294" s="69"/>
      <c r="K294" s="107"/>
      <c r="L294" s="107"/>
      <c r="M294" s="69"/>
      <c r="N294" s="69"/>
      <c r="O294" s="69"/>
      <c r="P294" s="69"/>
      <c r="Q294" s="69"/>
      <c r="R294" s="69"/>
      <c r="S294" s="69"/>
      <c r="T294" s="69"/>
      <c r="U294" s="60"/>
      <c r="V294" s="69"/>
      <c r="W294" s="69"/>
      <c r="X294" s="69"/>
      <c r="Y294" s="87"/>
      <c r="Z294" s="69"/>
      <c r="AA294" s="69"/>
      <c r="AB294" s="69"/>
      <c r="AC294" s="69"/>
      <c r="AD294" s="69"/>
      <c r="AE294" s="69"/>
      <c r="AF294" s="88"/>
      <c r="AG294" s="72"/>
      <c r="AH294" s="4"/>
      <c r="AI294" s="72"/>
      <c r="AJ294" s="110"/>
      <c r="AK294" s="72"/>
      <c r="AL294" s="72"/>
      <c r="AM294" s="72"/>
      <c r="AN294" s="72"/>
      <c r="AO294" s="72"/>
      <c r="AP294" s="72"/>
      <c r="AQ294" s="72"/>
      <c r="AR294" s="110"/>
      <c r="AS294" s="72"/>
      <c r="AT294" s="72"/>
      <c r="AU294" s="4"/>
      <c r="AV294" s="71">
        <v>40</v>
      </c>
      <c r="AW294" s="71">
        <f>24*3600</f>
        <v>86400</v>
      </c>
      <c r="AX294" s="71">
        <f>7*24*3600*1</f>
        <v>604800</v>
      </c>
      <c r="AY294" s="71">
        <f>7*24*3600*6</f>
        <v>3628800</v>
      </c>
      <c r="AZ294" s="53"/>
      <c r="BA294" s="53"/>
      <c r="BB294" s="53"/>
      <c r="BC294" s="53"/>
      <c r="BD294" s="53"/>
      <c r="BE294" s="53"/>
      <c r="BF294" s="53"/>
      <c r="BG294" s="53"/>
      <c r="BH294" s="53"/>
      <c r="BI294" s="53"/>
      <c r="BJ294" s="53"/>
      <c r="BK294" s="53"/>
      <c r="BL294" s="53"/>
      <c r="BM294" s="53"/>
      <c r="BN294" s="53"/>
      <c r="BO294" s="53"/>
      <c r="BP294" s="53"/>
      <c r="BQ294" s="53"/>
      <c r="BR294" s="53"/>
      <c r="BS294" s="53"/>
      <c r="BT294" s="53"/>
      <c r="BU294" s="53"/>
      <c r="BV294" s="53"/>
      <c r="BW294" s="53"/>
      <c r="BX294" s="53"/>
      <c r="BY294" s="53"/>
      <c r="BZ294" s="53"/>
      <c r="CA294" s="53"/>
      <c r="CB294" s="53"/>
      <c r="CC294" s="53"/>
      <c r="CD294" s="53"/>
      <c r="CE294" s="53"/>
      <c r="CF294" s="53"/>
      <c r="CG294" s="53"/>
      <c r="CH294" s="53"/>
      <c r="CI294" s="53"/>
      <c r="CJ294" s="53"/>
      <c r="CK294" s="53"/>
      <c r="CL294" s="53"/>
      <c r="CM294" s="53"/>
      <c r="CN294" s="53"/>
      <c r="CO294" s="53"/>
      <c r="CP294" s="53"/>
      <c r="CQ294" s="53"/>
      <c r="CR294" s="1"/>
      <c r="CS294" s="1"/>
      <c r="CT294" s="1"/>
      <c r="CU294" s="1"/>
    </row>
    <row r="295" spans="1:99" s="13" customFormat="1" ht="12" customHeight="1" x14ac:dyDescent="0.2">
      <c r="A295" s="68">
        <v>43509</v>
      </c>
      <c r="B295" s="70" t="s">
        <v>158</v>
      </c>
      <c r="C295" s="70" t="s">
        <v>159</v>
      </c>
      <c r="D295" s="69">
        <v>2016</v>
      </c>
      <c r="E295" s="87">
        <v>1</v>
      </c>
      <c r="F295" s="69">
        <v>95</v>
      </c>
      <c r="G295" s="69">
        <v>23.8</v>
      </c>
      <c r="H295" s="69" t="s">
        <v>746</v>
      </c>
      <c r="I295" s="69" t="s">
        <v>744</v>
      </c>
      <c r="J295" s="69" t="s">
        <v>317</v>
      </c>
      <c r="K295" s="69">
        <f>IF(J295="syllables",1,IF(J295="trigrams",2,IF(J295="strings",3,IF(J295="visual array",4,IF(J295="characters",5,IF(J295="letters",6,IF(J295="free forms",7,IF(J295="odors",8,IF(J295="words",9,IF(J295="pictures",10,IF(J295="object pictures",11,IF(J295="faces",12,IF(J295="names",13,IF(J295="idioms",14,IF(J295="grades",15,IF(J295="syllable-digit pairs",16,IF(J295="trigram-word pairs",17,IF(J295="word-digit pairs",18,IF(J295="English-Swahili pairs",19,IF(J295="spatial position",20,IF(J295="word pairs",21,IF(J295="word triads",22,IF(J295="generated words",23,IF(J295="word definition pairs",24,IF(J295="math problems",25,IF(J295="famous faces",26,IF(J295="famous names",27,IF(J295="famous voices",28,IF(J295="television programs",29,IF(J295="race horses",30,IF(J295="new vocabulary",31,IF(J295="sentences",32,IF(J295="concepts",33,IF(J295="ad slides",34,IF(J295="scenes",35,IF(J295="famous scenes",36,IF(J295="poems",37,IF(J295="walk",38,IF(J295="faces and events",39,IF(J295="events and names",40,IF(J295="flashbulb",41,IF(J295="stories",42,IF(J295="course material",43,IF(J295="autobiographical",44,IF(J295="novels",45,IF(J295="public events",46,"99"))))))))))))))))))))))))))))))))))))))))))))))</f>
        <v>7</v>
      </c>
      <c r="L295" s="69">
        <f>IF(J295="syllables",1,IF(J295="trigrams",1,IF(J295="strings",1,IF(J295="visual array",1,IF(J295="characters",1,IF(J295="letters",1,IF(J295="free forms",1,IF(J295="odors",2,IF(J295="words",2,IF(J295="pictures",2,IF(J295="object pictures",2,IF(J295="faces",2,IF(J295="names",2,IF(J295="idioms","2",IF(J295="grades",2,IF(J295="syllable-digit pairs",3,IF(J295="trigram-word pairs",3,IF(J295="word-digit pairs",3,IF(J295="English-Swahili pairs",3,IF(J295="spatial position",3,IF(J295="word pairs",4,IF(J295="word triads",4,IF(J295="generated words",4,IF(J295="word definition pairs",4,IF(J295="math problems",4,IF(J295="famous faces",4,IF(J295="famous names",4,IF(J295="famous voices",4,IF(J295="television programs",4,IF(J295="race horses",4,IF(J295="new vocabulary",4,IF(J295="sentences",5,IF(J295="concepts",5,IF(J295="ad slides",5,IF(J295="scenes",5,IF(J295="famous scenes",5,IF(J295="poems",6,IF(J295="walk",6,IF(J295="faces and events",6,IF(J295="events and names",6,IF(J295="flashbulb",7,IF(J295="stories",7,IF(J295="course material",7,IF(J295="autobiographical",7,IF(J295="novels",7,IF(J295="public events",7,"99"))))))))))))))))))))))))))))))))))))))))))))))</f>
        <v>1</v>
      </c>
      <c r="M295" s="69">
        <v>1</v>
      </c>
      <c r="N295" s="69">
        <v>2</v>
      </c>
      <c r="O295" s="69">
        <v>0</v>
      </c>
      <c r="P295" s="69"/>
      <c r="Q295" s="69" t="s">
        <v>34</v>
      </c>
      <c r="R295" s="69">
        <f>IF(Q295="Free Recall",1,IF(Q295="Cued Recall",2,IF(Q295="Recognition",3,IF(Q295="Multiple Choice",4,IF(Q295="Savings",5,IF(Q295="Stem Completion",6,IF(Q295="Fragment Completion",7,IF(Q295="anagram solution",8,IF(Q295="Matching",9,IF(Q295="Problem Solving",10,"99"))))))))))</f>
        <v>3</v>
      </c>
      <c r="S295" s="99" t="s">
        <v>15</v>
      </c>
      <c r="T295" s="69" t="s">
        <v>261</v>
      </c>
      <c r="U295" s="60">
        <f>IF(T295="within",1,0)</f>
        <v>0</v>
      </c>
      <c r="V295" s="69">
        <v>40</v>
      </c>
      <c r="W295" s="69">
        <f>F295*V295</f>
        <v>3800</v>
      </c>
      <c r="X295" s="69">
        <v>4</v>
      </c>
      <c r="Y295" s="87">
        <f>AV294</f>
        <v>40</v>
      </c>
      <c r="Z295" s="69" t="s">
        <v>160</v>
      </c>
      <c r="AA295" s="69">
        <v>3628800</v>
      </c>
      <c r="AB295" s="69" t="str">
        <f>IF(AA295&lt;60,"1",IF(AA295&lt;=43200,"2",IF(AA295&lt;=777600,"3","4")))</f>
        <v>4</v>
      </c>
      <c r="AC295" s="72">
        <f>AVERAGE(AV294:DA294)</f>
        <v>1080010</v>
      </c>
      <c r="AD295" s="69" t="str">
        <f>IF(AC295&lt;60,"1",IF(AC295&lt;=43200,"2",IF(AC295&lt;=777600,"3","4")))</f>
        <v>4</v>
      </c>
      <c r="AE295" s="87">
        <f>AA295-Y295</f>
        <v>3628760</v>
      </c>
      <c r="AF295" s="88">
        <f>AV295</f>
        <v>0.70833333333333326</v>
      </c>
      <c r="AG295" s="72">
        <f>((AW295-AV295)+(AX295-AW295)+(AY295-AX295))/3</f>
        <v>-3.448067632850238E-2</v>
      </c>
      <c r="AH295" s="4"/>
      <c r="AI295" s="72">
        <f>RSQ(AV295:AY295,AV294:AY294)</f>
        <v>0.89024057260359279</v>
      </c>
      <c r="AJ295" s="110">
        <f>SLOPE(AV295:AY295,AV294:AY294)</f>
        <v>-2.6046714087613114E-8</v>
      </c>
      <c r="AK295" s="72">
        <f>INTERCEPT(AV295:AY295,AV294:AY294)</f>
        <v>0.70161916276871961</v>
      </c>
      <c r="AL295" s="72">
        <f>INDEX(LINEST(LN(AV295:AY295),LN(AV294:AY294),TRUE,TRUE),3,1)</f>
        <v>0.42200226638193139</v>
      </c>
      <c r="AM295" s="72">
        <f>INDEX(LINEST(LN(AV295:AY295),LN(AV294:AY294)),1)</f>
        <v>-9.4010097333786929E-3</v>
      </c>
      <c r="AN295" s="72">
        <f>EXP(INDEX(LINEST(LN(AV295:AY295),LN(AV294:AY294)),1,2))</f>
        <v>0.74449084721002834</v>
      </c>
      <c r="AO295" s="89">
        <f>INDEX(LINEST((AV295:AY295),LN(AV294:AY294),TRUE,TRUE),3,1)</f>
        <v>0.42820457249292687</v>
      </c>
      <c r="AP295" s="89">
        <f>INDEX(LINEST((AV295:AY295),LN(AV294:AY294)),1)</f>
        <v>-6.1850753304840637E-3</v>
      </c>
      <c r="AQ295" s="90">
        <f>INDEX(LINEST(LN(AV295:AY295),SQRT(AV294:AY294),TRUE,TRUE),3,1)</f>
        <v>0.80883919411595839</v>
      </c>
      <c r="AR295" s="117">
        <f>INDEX(LINEST(LN(AV295:AY295),SQRT((AV294:AY294))),1)</f>
        <v>-7.8230060210411352E-5</v>
      </c>
      <c r="AS295" s="91">
        <f>INDEX(LINEST(1/(AV295:AY295),1/(SQRT(AV294:AY294)),TRUE,TRUE),3,1)</f>
        <v>0.22959564873414437</v>
      </c>
      <c r="AT295" s="91">
        <f>INDEX(LINEST(1/(AV295:AY295),1/SQRT(AV294:AY294)),1)</f>
        <v>-0.68355956331257661</v>
      </c>
      <c r="AU295" s="3"/>
      <c r="AV295" s="73">
        <v>0.70833333333333326</v>
      </c>
      <c r="AW295" s="73">
        <v>0.67864583333333328</v>
      </c>
      <c r="AX295" s="73">
        <v>0.70208333333333339</v>
      </c>
      <c r="AY295" s="73">
        <v>0.60489130434782612</v>
      </c>
      <c r="AZ295" s="53"/>
      <c r="BA295" s="53"/>
      <c r="BB295" s="53"/>
      <c r="BC295" s="53"/>
      <c r="BD295" s="53"/>
      <c r="BE295" s="53"/>
      <c r="BF295" s="53"/>
      <c r="BG295" s="53"/>
      <c r="BH295" s="53"/>
      <c r="BI295" s="53"/>
      <c r="BJ295" s="53"/>
      <c r="BK295" s="53"/>
      <c r="BL295" s="53"/>
      <c r="BM295" s="53"/>
      <c r="BN295" s="53"/>
      <c r="BO295" s="53"/>
      <c r="BP295" s="53"/>
      <c r="BQ295" s="53"/>
      <c r="BR295" s="53"/>
      <c r="BS295" s="53"/>
      <c r="BT295" s="53"/>
      <c r="BU295" s="53"/>
      <c r="BV295" s="53"/>
      <c r="BW295" s="53"/>
      <c r="BX295" s="53"/>
      <c r="BY295" s="53"/>
      <c r="BZ295" s="53"/>
      <c r="CA295" s="53"/>
      <c r="CB295" s="53"/>
      <c r="CC295" s="53"/>
      <c r="CD295" s="53"/>
      <c r="CE295" s="53"/>
      <c r="CF295" s="53"/>
      <c r="CG295" s="53"/>
      <c r="CH295" s="53"/>
      <c r="CI295" s="53"/>
      <c r="CJ295" s="53"/>
      <c r="CK295" s="53"/>
      <c r="CL295" s="53"/>
      <c r="CM295" s="53"/>
      <c r="CN295" s="53"/>
      <c r="CO295" s="53"/>
      <c r="CP295" s="53"/>
      <c r="CQ295" s="53"/>
      <c r="CR295" s="1"/>
      <c r="CS295" s="1"/>
      <c r="CT295" s="1"/>
      <c r="CU295" s="1"/>
    </row>
    <row r="296" spans="1:99" s="13" customFormat="1" ht="12" customHeight="1" x14ac:dyDescent="0.2">
      <c r="A296" s="68">
        <v>43979</v>
      </c>
      <c r="B296" s="70"/>
      <c r="C296" s="70"/>
      <c r="D296" s="69"/>
      <c r="E296" s="87"/>
      <c r="F296" s="69"/>
      <c r="G296" s="69"/>
      <c r="H296" s="69"/>
      <c r="I296" s="69"/>
      <c r="J296" s="69"/>
      <c r="K296" s="69"/>
      <c r="L296" s="69"/>
      <c r="M296" s="69"/>
      <c r="N296" s="69"/>
      <c r="O296" s="69"/>
      <c r="P296" s="69"/>
      <c r="Q296" s="69"/>
      <c r="R296" s="69"/>
      <c r="S296" s="99"/>
      <c r="T296" s="69"/>
      <c r="U296" s="69"/>
      <c r="V296" s="69"/>
      <c r="W296" s="69"/>
      <c r="X296" s="69"/>
      <c r="Y296" s="87"/>
      <c r="Z296" s="69"/>
      <c r="AA296" s="69"/>
      <c r="AB296" s="69"/>
      <c r="AC296" s="72"/>
      <c r="AD296" s="69"/>
      <c r="AE296" s="87"/>
      <c r="AF296" s="88"/>
      <c r="AG296" s="72"/>
      <c r="AH296" s="4"/>
      <c r="AI296" s="72"/>
      <c r="AJ296" s="110"/>
      <c r="AK296" s="72"/>
      <c r="AL296" s="72"/>
      <c r="AM296" s="72"/>
      <c r="AN296" s="72"/>
      <c r="AO296" s="89"/>
      <c r="AP296" s="89"/>
      <c r="AQ296" s="90"/>
      <c r="AR296" s="117"/>
      <c r="AS296" s="91"/>
      <c r="AT296" s="91"/>
      <c r="AU296" s="3"/>
      <c r="AV296" s="71">
        <f>60*60*24*265*8</f>
        <v>183168000</v>
      </c>
      <c r="AW296" s="71">
        <f>60*60*24*265*13</f>
        <v>297648000</v>
      </c>
      <c r="AX296" s="71">
        <f>60*60*24*265*18</f>
        <v>412128000</v>
      </c>
      <c r="AY296" s="71">
        <f>60*60*24*265*23</f>
        <v>526608000</v>
      </c>
      <c r="AZ296" s="71">
        <f>60*60*24*265*28</f>
        <v>641088000</v>
      </c>
      <c r="BA296" s="71">
        <f>60*60*24*265*33</f>
        <v>755568000</v>
      </c>
      <c r="BB296" s="71">
        <f>60*60*24*265*38</f>
        <v>870048000</v>
      </c>
      <c r="BC296" s="71">
        <f>60*60*24*265*43</f>
        <v>984528000</v>
      </c>
      <c r="BD296" s="53"/>
      <c r="BE296" s="53"/>
      <c r="BF296" s="53"/>
      <c r="BG296" s="53"/>
      <c r="BH296" s="53"/>
      <c r="BI296" s="53"/>
      <c r="BJ296" s="53"/>
      <c r="BK296" s="53"/>
      <c r="BL296" s="53"/>
      <c r="BM296" s="53"/>
      <c r="BN296" s="53"/>
      <c r="BO296" s="53"/>
      <c r="BP296" s="53"/>
      <c r="BQ296" s="53"/>
      <c r="BR296" s="53"/>
      <c r="BS296" s="53"/>
      <c r="BT296" s="53"/>
      <c r="BU296" s="53"/>
      <c r="BV296" s="53"/>
      <c r="BW296" s="53"/>
      <c r="BX296" s="53"/>
      <c r="BY296" s="53"/>
      <c r="BZ296" s="53"/>
      <c r="CA296" s="53"/>
      <c r="CB296" s="53"/>
      <c r="CC296" s="53"/>
      <c r="CD296" s="53"/>
      <c r="CE296" s="53"/>
      <c r="CF296" s="53"/>
      <c r="CG296" s="53"/>
      <c r="CH296" s="53"/>
      <c r="CI296" s="53"/>
      <c r="CJ296" s="53"/>
      <c r="CK296" s="53"/>
      <c r="CL296" s="53"/>
      <c r="CM296" s="53"/>
      <c r="CN296" s="53"/>
      <c r="CO296" s="53"/>
      <c r="CP296" s="53"/>
      <c r="CQ296" s="53"/>
      <c r="CR296" s="1"/>
      <c r="CS296" s="1"/>
      <c r="CT296" s="1"/>
      <c r="CU296" s="1"/>
    </row>
    <row r="297" spans="1:99" s="13" customFormat="1" ht="12" customHeight="1" x14ac:dyDescent="0.2">
      <c r="A297" s="68">
        <v>43979</v>
      </c>
      <c r="B297" s="70" t="s">
        <v>1001</v>
      </c>
      <c r="C297" s="70" t="s">
        <v>408</v>
      </c>
      <c r="D297" s="69">
        <v>1997</v>
      </c>
      <c r="E297" s="87">
        <v>1</v>
      </c>
      <c r="F297" s="69">
        <v>15</v>
      </c>
      <c r="G297" s="69">
        <v>15</v>
      </c>
      <c r="H297" s="69" t="s">
        <v>41</v>
      </c>
      <c r="I297" s="69" t="s">
        <v>330</v>
      </c>
      <c r="J297" s="69" t="s">
        <v>403</v>
      </c>
      <c r="K297" s="69">
        <f>IF(J297="syllables",1,IF(J297="trigrams",2,IF(J297="strings",3,IF(J297="visual array",4,IF(J297="characters",5,IF(J297="letters",6,IF(J297="free forms",7,IF(J297="odors",8,IF(J297="words",9,IF(J297="pictures",10,IF(J297="object pictures",11,IF(J297="faces",12,IF(J297="names",13,IF(J297="idioms",14,IF(J297="grades",15,IF(J297="syllable-digit pairs",16,IF(J297="trigram-word pairs",17,IF(J297="word-digit pairs",18,IF(J297="English-Swahili pairs",19,IF(J297="spatial position",20,IF(J297="word pairs",21,IF(J297="word triads",22,IF(J297="generated words",23,IF(J297="word definition pairs",24,IF(J297="math problems",25,IF(J297="famous faces",26,IF(J297="famous names",27,IF(J297="famous voices",28,IF(J297="television programs",29,IF(J297="race horses",30,IF(J297="new vocabulary",31,IF(J297="sentences",32,IF(J297="concepts",33,IF(J297="ad slides",34,IF(J297="scenes",35,IF(J297="famous scenes",36,IF(J297="poems",37,IF(J297="walk",38,IF(J297="faces and events",39,IF(J297="events and names",40,IF(J297="flashbulb",41,IF(J297="stories",42,IF(J297="course material",43,IF(J297="autobiographical",44,IF(J297="novels",45,IF(J297="public events",46,"99"))))))))))))))))))))))))))))))))))))))))))))))</f>
        <v>40</v>
      </c>
      <c r="L297" s="69">
        <f>IF(J297="syllables",1,IF(J297="trigrams",1,IF(J297="strings",1,IF(J297="visual array",1,IF(J297="characters",1,IF(J297="letters",1,IF(J297="free forms",1,IF(J297="odors",2,IF(J297="words",2,IF(J297="pictures",2,IF(J297="object pictures",2,IF(J297="faces",2,IF(J297="names",2,IF(J297="idioms","2",IF(J297="grades",2,IF(J297="syllable-digit pairs",3,IF(J297="trigram-word pairs",3,IF(J297="word-digit pairs",3,IF(J297="English-Swahili pairs",3,IF(J297="spatial position",3,IF(J297="word pairs",4,IF(J297="word triads",4,IF(J297="generated words",4,IF(J297="word definition pairs",4,IF(J297="math problems",4,IF(J297="famous faces",4,IF(J297="famous names",4,IF(J297="famous voices",4,IF(J297="television programs",4,IF(J297="race horses",4,IF(J297="new vocabulary",4,IF(J297="sentences",5,IF(J297="concepts",5,IF(J297="ad slides",5,IF(J297="scenes",5,IF(J297="famous scenes",5,IF(J297="poems",6,IF(J297="walk",6,IF(J297="faces and events",6,IF(J297="events and names",6,IF(J297="flashbulb",7,IF(J297="stories",7,IF(J297="course material",7,IF(J297="autobiographical",7,IF(J297="novels",7,IF(J297="public events",7,"99"))))))))))))))))))))))))))))))))))))))))))))))</f>
        <v>6</v>
      </c>
      <c r="M297" s="69">
        <v>1</v>
      </c>
      <c r="N297" s="69">
        <v>4</v>
      </c>
      <c r="O297" s="69">
        <v>0</v>
      </c>
      <c r="P297" s="69"/>
      <c r="Q297" s="69" t="s">
        <v>182</v>
      </c>
      <c r="R297" s="69">
        <f>IF(Q297="Free Recall",1,IF(Q297="Cued Recall",2,IF(Q297="Recognition",3,IF(Q297="Multiple Choice",4,IF(Q297="Savings",5,IF(Q297="Stem Completion",6,IF(Q297="Fragment Completion",7,IF(Q297="anagram solution",8,IF(Q297="Matching",9,IF(Q297="Problem Solving",10,"99"))))))))))</f>
        <v>4</v>
      </c>
      <c r="S297" s="99" t="s">
        <v>15</v>
      </c>
      <c r="T297" s="69" t="s">
        <v>581</v>
      </c>
      <c r="U297" s="69">
        <f>IF(T297="within",1,0)</f>
        <v>1</v>
      </c>
      <c r="V297" s="69">
        <v>40</v>
      </c>
      <c r="W297" s="69">
        <f>F297*V297</f>
        <v>600</v>
      </c>
      <c r="X297" s="69">
        <v>8</v>
      </c>
      <c r="Y297" s="87">
        <f>AV296</f>
        <v>183168000</v>
      </c>
      <c r="Z297" s="69" t="s">
        <v>426</v>
      </c>
      <c r="AA297" s="69">
        <f>60*60*24*365*43</f>
        <v>1356048000</v>
      </c>
      <c r="AB297" s="69" t="str">
        <f>IF(AA297&lt;60,"1",IF(AA297&lt;=43200,"2",IF(AA297&lt;=777600,"3","4")))</f>
        <v>4</v>
      </c>
      <c r="AC297" s="72">
        <f>AVERAGE(AV296:DA296)</f>
        <v>583848000</v>
      </c>
      <c r="AD297" s="69" t="str">
        <f>IF(AC297&lt;60,"1",IF(AC297&lt;=43200,"2",IF(AC297&lt;=777600,"3","4")))</f>
        <v>4</v>
      </c>
      <c r="AE297" s="87">
        <f>AA297-Y297</f>
        <v>1172880000</v>
      </c>
      <c r="AF297" s="88">
        <f>AV297</f>
        <v>0.71297933899288912</v>
      </c>
      <c r="AG297" s="72">
        <f>((AW297-AV297)+(AX297-AW297)+(AY297-AX297)+(AZ297-AY297)+(BA297-AZ297)+(BB297-BA297)+(BC297-BB297))/7</f>
        <v>-8.7405458119977159E-2</v>
      </c>
      <c r="AH297" s="4"/>
      <c r="AI297" s="72">
        <f>RSQ(AV297:BC297,AV296:BC296)</f>
        <v>0.94290134268660608</v>
      </c>
      <c r="AJ297" s="110">
        <f>SLOPE(AV297:BC297,AV296:BC296)</f>
        <v>-8.4458879810761777E-10</v>
      </c>
      <c r="AK297" s="72">
        <f>INTERCEPT(AV297:BC297,AV296:BC296)</f>
        <v>0.96413903994426875</v>
      </c>
      <c r="AL297" s="72">
        <f>INDEX(LINEST(LN(AV297:BC297),LN(AV296:BC296),TRUE,TRUE),3,1)</f>
        <v>0.68328081463795343</v>
      </c>
      <c r="AM297" s="170"/>
      <c r="AN297" s="72">
        <f>EXP(INDEX(LINEST(LN(AV297:BC297),LN(AV296:BC296)),1,2))</f>
        <v>222660799.59059179</v>
      </c>
      <c r="AO297" s="89">
        <f>INDEX(LINEST((AV297:BC297),LN(AV296:BC296),TRUE,TRUE),3,1)</f>
        <v>0.82148442493604645</v>
      </c>
      <c r="AP297" s="89">
        <f>INDEX(LINEST((AV297:BC297),LN(AV296:BC296)),1)</f>
        <v>-0.38489305499602056</v>
      </c>
      <c r="AQ297" s="90">
        <f>INDEX(LINEST(LN(AV297:BC297),SQRT(AV296:BC296),TRUE,TRUE),3,1)</f>
        <v>0.78030591299584751</v>
      </c>
      <c r="AR297" s="117">
        <f>INDEX(LINEST(LN(AV297:BC297),SQRT((AV296:BC296))),1)</f>
        <v>-9.9975258380854165E-5</v>
      </c>
      <c r="AS297" s="91">
        <f>INDEX(LINEST(1/(AV297:BC297),1/(SQRT(AV296:BC296)),TRUE,TRUE),3,1)</f>
        <v>0.38010794513117241</v>
      </c>
      <c r="AT297" s="91">
        <f>INDEX(LINEST(1/(AV297:BC297),1/SQRT(AV296:BC296)),1)</f>
        <v>-125850.21260076578</v>
      </c>
      <c r="AU297" s="3"/>
      <c r="AV297" s="73">
        <v>0.71297933899288912</v>
      </c>
      <c r="AW297" s="73">
        <v>0.76308167658298298</v>
      </c>
      <c r="AX297" s="73">
        <v>0.70613768562859802</v>
      </c>
      <c r="AY297" s="73">
        <v>0.48122022081942606</v>
      </c>
      <c r="AZ297" s="73">
        <v>0.43124108136216299</v>
      </c>
      <c r="BA297" s="73">
        <v>0.35863241002757201</v>
      </c>
      <c r="BB297" s="73">
        <v>0.21378692920717801</v>
      </c>
      <c r="BC297" s="73">
        <v>0.10114113215304901</v>
      </c>
      <c r="BD297" s="53"/>
      <c r="BE297" s="53"/>
      <c r="BF297" s="53"/>
      <c r="BG297" s="53"/>
      <c r="BH297" s="53"/>
      <c r="BI297" s="53"/>
      <c r="BJ297" s="53"/>
      <c r="BK297" s="53"/>
      <c r="BL297" s="53"/>
      <c r="BM297" s="53"/>
      <c r="BN297" s="53"/>
      <c r="BO297" s="53"/>
      <c r="BP297" s="53"/>
      <c r="BQ297" s="53"/>
      <c r="BR297" s="53"/>
      <c r="BS297" s="53"/>
      <c r="BT297" s="53"/>
      <c r="BU297" s="53"/>
      <c r="BV297" s="53"/>
      <c r="BW297" s="53"/>
      <c r="BX297" s="53"/>
      <c r="BY297" s="53"/>
      <c r="BZ297" s="53"/>
      <c r="CA297" s="53"/>
      <c r="CB297" s="53"/>
      <c r="CC297" s="53"/>
      <c r="CD297" s="53"/>
      <c r="CE297" s="53"/>
      <c r="CF297" s="53"/>
      <c r="CG297" s="53"/>
      <c r="CH297" s="53"/>
      <c r="CI297" s="53"/>
      <c r="CJ297" s="53"/>
      <c r="CK297" s="53"/>
      <c r="CL297" s="53"/>
      <c r="CM297" s="53"/>
      <c r="CN297" s="53"/>
      <c r="CO297" s="53"/>
      <c r="CP297" s="53"/>
      <c r="CQ297" s="53"/>
      <c r="CR297" s="1"/>
      <c r="CS297" s="1"/>
      <c r="CT297" s="1"/>
      <c r="CU297" s="1"/>
    </row>
    <row r="298" spans="1:99" s="13" customFormat="1" ht="12" customHeight="1" x14ac:dyDescent="0.2">
      <c r="A298" s="68">
        <v>43896</v>
      </c>
      <c r="B298" s="70"/>
      <c r="C298" s="70"/>
      <c r="D298" s="69"/>
      <c r="E298" s="87"/>
      <c r="F298" s="69"/>
      <c r="G298" s="69"/>
      <c r="H298" s="69"/>
      <c r="I298" s="69"/>
      <c r="J298" s="69"/>
      <c r="K298" s="86"/>
      <c r="L298" s="86"/>
      <c r="M298" s="69"/>
      <c r="N298" s="69"/>
      <c r="O298" s="69"/>
      <c r="P298" s="69"/>
      <c r="Q298" s="69"/>
      <c r="R298" s="69"/>
      <c r="S298" s="69"/>
      <c r="T298" s="69"/>
      <c r="U298" s="60"/>
      <c r="V298" s="69"/>
      <c r="W298" s="69"/>
      <c r="X298" s="69"/>
      <c r="Y298" s="87"/>
      <c r="Z298" s="69"/>
      <c r="AA298" s="69"/>
      <c r="AB298" s="69"/>
      <c r="AC298" s="72"/>
      <c r="AD298" s="69"/>
      <c r="AE298" s="69"/>
      <c r="AF298" s="88"/>
      <c r="AG298" s="72"/>
      <c r="AH298" s="4"/>
      <c r="AI298" s="72"/>
      <c r="AJ298" s="110"/>
      <c r="AK298" s="72"/>
      <c r="AL298" s="72"/>
      <c r="AM298" s="72"/>
      <c r="AN298" s="72"/>
      <c r="AO298" s="89"/>
      <c r="AP298" s="89"/>
      <c r="AQ298" s="90"/>
      <c r="AR298" s="117"/>
      <c r="AS298" s="91"/>
      <c r="AT298" s="91"/>
      <c r="AU298" s="3"/>
      <c r="AV298" s="71">
        <v>94608000</v>
      </c>
      <c r="AW298" s="71">
        <v>252288000</v>
      </c>
      <c r="AX298" s="71">
        <v>409968000</v>
      </c>
      <c r="AY298" s="71">
        <v>567648000</v>
      </c>
      <c r="AZ298" s="71">
        <v>725328000</v>
      </c>
      <c r="BA298" s="71">
        <v>883008000</v>
      </c>
      <c r="BB298" s="53"/>
      <c r="BC298" s="53"/>
      <c r="BD298" s="53"/>
      <c r="BE298" s="53"/>
      <c r="BF298" s="53"/>
      <c r="BG298" s="53"/>
      <c r="BH298" s="53"/>
      <c r="BI298" s="53"/>
      <c r="BJ298" s="53"/>
      <c r="BK298" s="53"/>
      <c r="BL298" s="53"/>
      <c r="BM298" s="53"/>
      <c r="BN298" s="53"/>
      <c r="BO298" s="53"/>
      <c r="BP298" s="53"/>
      <c r="BQ298" s="53"/>
      <c r="BR298" s="53"/>
      <c r="BS298" s="53"/>
      <c r="BT298" s="53"/>
      <c r="BU298" s="53"/>
      <c r="BV298" s="53"/>
      <c r="BW298" s="53"/>
      <c r="BX298" s="53"/>
      <c r="BY298" s="53"/>
      <c r="BZ298" s="53"/>
      <c r="CA298" s="53"/>
      <c r="CB298" s="53"/>
      <c r="CC298" s="53"/>
      <c r="CD298" s="53"/>
      <c r="CE298" s="53"/>
      <c r="CF298" s="53"/>
      <c r="CG298" s="53"/>
      <c r="CH298" s="53"/>
      <c r="CI298" s="53"/>
      <c r="CJ298" s="53"/>
      <c r="CK298" s="53"/>
      <c r="CL298" s="53"/>
      <c r="CM298" s="53"/>
      <c r="CN298" s="53"/>
      <c r="CO298" s="53"/>
      <c r="CP298" s="53"/>
      <c r="CQ298" s="53"/>
      <c r="CR298" s="1"/>
      <c r="CS298" s="1"/>
      <c r="CT298" s="1"/>
      <c r="CU298" s="1"/>
    </row>
    <row r="299" spans="1:99" s="13" customFormat="1" ht="12" customHeight="1" x14ac:dyDescent="0.2">
      <c r="A299" s="68">
        <v>43896</v>
      </c>
      <c r="B299" s="70" t="s">
        <v>369</v>
      </c>
      <c r="C299" s="70" t="s">
        <v>370</v>
      </c>
      <c r="D299" s="69">
        <v>1991</v>
      </c>
      <c r="E299" s="87">
        <v>1</v>
      </c>
      <c r="F299" s="69">
        <v>10</v>
      </c>
      <c r="G299" s="69">
        <v>10</v>
      </c>
      <c r="H299" s="69" t="s">
        <v>50</v>
      </c>
      <c r="I299" s="69" t="s">
        <v>330</v>
      </c>
      <c r="J299" s="69" t="s">
        <v>340</v>
      </c>
      <c r="K299" s="69">
        <f>IF(J299="syllables",1,IF(J299="trigrams",2,IF(J299="strings",3,IF(J299="visual array",4,IF(J299="characters",5,IF(J299="letters",6,IF(J299="free forms",7,IF(J299="odors",8,IF(J299="words",9,IF(J299="pictures",10,IF(J299="object pictures",11,IF(J299="faces",12,IF(J299="names",13,IF(J299="idioms",14,IF(J299="grades",15,IF(J299="syllable-digit pairs",16,IF(J299="trigram-word pairs",17,IF(J299="word-digit pairs",18,IF(J299="English-Swahili pairs",19,IF(J299="spatial position",20,IF(J299="word pairs",21,IF(J299="word triads",22,IF(J299="generated words",23,IF(J299="word definition pairs",24,IF(J299="math problems",25,IF(J299="famous faces",26,IF(J299="famous names",27,IF(J299="famous voices",28,IF(J299="television programs",29,IF(J299="race horses",30,IF(J299="new vocabulary",31,IF(J299="sentences",32,IF(J299="concepts",33,IF(J299="ad slides",34,IF(J299="scenes",35,IF(J299="famous scenes",36,IF(J299="poems",37,IF(J299="walk",38,IF(J299="faces and events",39,IF(J299="events and names",40,IF(J299="flashbulb",41,IF(J299="stories",42,IF(J299="course material",43,IF(J299="autobiographical",44,IF(J299="novels",45,IF(J299="public events",46,"99"))))))))))))))))))))))))))))))))))))))))))))))</f>
        <v>46</v>
      </c>
      <c r="L299" s="69">
        <f>IF(J299="syllables",1,IF(J299="trigrams",1,IF(J299="strings",1,IF(J299="visual array",1,IF(J299="characters",1,IF(J299="letters",1,IF(J299="free forms",1,IF(J299="odors",2,IF(J299="words",2,IF(J299="pictures",2,IF(J299="object pictures",2,IF(J299="faces",2,IF(J299="names",2,IF(J299="idioms","2",IF(J299="grades",2,IF(J299="syllable-digit pairs",3,IF(J299="trigram-word pairs",3,IF(J299="word-digit pairs",3,IF(J299="English-Swahili pairs",3,IF(J299="spatial position",3,IF(J299="word pairs",4,IF(J299="word triads",4,IF(J299="generated words",4,IF(J299="word definition pairs",4,IF(J299="math problems",4,IF(J299="famous faces",4,IF(J299="famous names",4,IF(J299="famous voices",4,IF(J299="television programs",4,IF(J299="race horses",4,IF(J299="new vocabulary",4,IF(J299="sentences",5,IF(J299="concepts",5,IF(J299="ad slides",5,IF(J299="scenes",5,IF(J299="famous scenes",5,IF(J299="poems",6,IF(J299="walk",6,IF(J299="faces and events",6,IF(J299="events and names",6,IF(J299="flashbulb",7,IF(J299="stories",7,IF(J299="course material",7,IF(J299="autobiographical",7,IF(J299="novels",7,IF(J299="public events",7,"99"))))))))))))))))))))))))))))))))))))))))))))))</f>
        <v>7</v>
      </c>
      <c r="M299" s="69">
        <v>1</v>
      </c>
      <c r="N299" s="69">
        <v>4</v>
      </c>
      <c r="O299" s="69">
        <v>0</v>
      </c>
      <c r="P299" s="69"/>
      <c r="Q299" s="69" t="s">
        <v>174</v>
      </c>
      <c r="R299" s="69">
        <f>IF(Q299="Free Recall",1,IF(Q299="Cued Recall",2,IF(Q299="Recognition",3,IF(Q299="Multiple Choice",4,IF(Q299="Savings",5,IF(Q299="Stem Completion",6,IF(Q299="Fragment Completion",7,IF(Q299="anagram solution",8,IF(Q299="Matching",9,IF(Q299="Problem Solving",10,"99"))))))))))</f>
        <v>1</v>
      </c>
      <c r="S299" s="69" t="s">
        <v>49</v>
      </c>
      <c r="T299" s="69" t="s">
        <v>581</v>
      </c>
      <c r="U299" s="60">
        <f>IF(T299="within",1,0)</f>
        <v>1</v>
      </c>
      <c r="V299" s="69">
        <v>40</v>
      </c>
      <c r="W299" s="69">
        <f>F299*V299</f>
        <v>400</v>
      </c>
      <c r="X299" s="69">
        <v>6</v>
      </c>
      <c r="Y299" s="87">
        <f>AV298</f>
        <v>94608000</v>
      </c>
      <c r="Z299" s="69" t="s">
        <v>435</v>
      </c>
      <c r="AA299" s="69">
        <f>28*365*24*60*60</f>
        <v>883008000</v>
      </c>
      <c r="AB299" s="69" t="str">
        <f>IF(AA299&lt;60,"1",IF(AA299&lt;=43200,"2",IF(AA299&lt;=777600,"3","4")))</f>
        <v>4</v>
      </c>
      <c r="AC299" s="72">
        <f>AVERAGE(AV298:DA298)</f>
        <v>488808000</v>
      </c>
      <c r="AD299" s="69" t="str">
        <f>IF(AC299&lt;60,"1",IF(AC299&lt;=43200,"2",IF(AC299&lt;=777600,"3","4")))</f>
        <v>4</v>
      </c>
      <c r="AE299" s="87">
        <f>AA299-Y299</f>
        <v>788400000</v>
      </c>
      <c r="AF299" s="88">
        <f>AV299</f>
        <v>0.88</v>
      </c>
      <c r="AG299" s="72">
        <f>((AW299-AV299)+(AX299-AW299)+(AY299-AX299)+(AZ299-AY299)+(BA299-AZ299))/5</f>
        <v>-8.0000000000000071E-3</v>
      </c>
      <c r="AH299" s="4"/>
      <c r="AI299" s="72">
        <f>RSQ(AV299:BA299,AV298:BA298)</f>
        <v>3.1120698107657593E-2</v>
      </c>
      <c r="AJ299" s="110">
        <f>SLOPE(AV299:BA299,AV298:BA298)</f>
        <v>-4.1675726607233436E-11</v>
      </c>
      <c r="AK299" s="72">
        <f>INTERCEPT(AV299:BA299,AV298:BA298)</f>
        <v>0.88870476190476189</v>
      </c>
      <c r="AL299" s="72">
        <f>INDEX(LINEST(LN(AV299:BA299),LN(AV298:BA298),TRUE,TRUE),3,1)</f>
        <v>4.4546804358807465E-2</v>
      </c>
      <c r="AM299" s="72">
        <f>INDEX(LINEST(LN(AV299:BA299),LN(AV298:BA298)),1)</f>
        <v>-2.0658322225105122E-2</v>
      </c>
      <c r="AN299" s="72">
        <f>EXP(INDEX(LINEST(LN(AV299:BA299),LN(AV298:BA298)),1,2))</f>
        <v>1.3031894230762004</v>
      </c>
      <c r="AO299" s="89">
        <f>INDEX(LINEST((AV299:BA299),LN(AV298:BA298),TRUE,TRUE),3,1)</f>
        <v>4.4644937210159295E-2</v>
      </c>
      <c r="AP299" s="89">
        <f>INDEX(LINEST((AV299:BA299),LN(AV298:BA298)),1)</f>
        <v>-1.7877517505267171E-2</v>
      </c>
      <c r="AQ299" s="90">
        <f>INDEX(LINEST(LN(AV299:BA299),SQRT(AV298:BA298),TRUE,TRUE),3,1)</f>
        <v>3.8231208649423913E-2</v>
      </c>
      <c r="AR299" s="117">
        <f>INDEX(LINEST(LN(AV299:BA299),SQRT((AV298:BA298))),1)</f>
        <v>-2.1335008409430641E-6</v>
      </c>
      <c r="AS299" s="91">
        <f>INDEX(LINEST(1/(AV299:BA299),1/(SQRT(AV298:BA298)),TRUE,TRUE),3,1)</f>
        <v>4.5438228262911093E-2</v>
      </c>
      <c r="AT299" s="91">
        <f>INDEX(LINEST(1/(AV299:BA299),1/SQRT(AV298:BA298)),1)</f>
        <v>-774.49304665941611</v>
      </c>
      <c r="AU299" s="3"/>
      <c r="AV299" s="73">
        <v>0.88</v>
      </c>
      <c r="AW299" s="73">
        <v>0.96</v>
      </c>
      <c r="AX299" s="73">
        <v>0.77</v>
      </c>
      <c r="AY299" s="73">
        <v>0.83</v>
      </c>
      <c r="AZ299" s="73">
        <v>0.93</v>
      </c>
      <c r="BA299" s="73">
        <v>0.84</v>
      </c>
      <c r="BB299" s="53"/>
      <c r="BC299" s="53"/>
      <c r="BD299" s="53"/>
      <c r="BE299" s="53"/>
      <c r="BF299" s="53"/>
      <c r="BG299" s="53"/>
      <c r="BH299" s="53"/>
      <c r="BI299" s="53"/>
      <c r="BJ299" s="53"/>
      <c r="BK299" s="53"/>
      <c r="BL299" s="53"/>
      <c r="BM299" s="53"/>
      <c r="BN299" s="53"/>
      <c r="BO299" s="53"/>
      <c r="BP299" s="53"/>
      <c r="BQ299" s="53"/>
      <c r="BR299" s="53"/>
      <c r="BS299" s="53"/>
      <c r="BT299" s="53"/>
      <c r="BU299" s="53"/>
      <c r="BV299" s="53"/>
      <c r="BW299" s="53"/>
      <c r="BX299" s="53"/>
      <c r="BY299" s="53"/>
      <c r="BZ299" s="53"/>
      <c r="CA299" s="53"/>
      <c r="CB299" s="53"/>
      <c r="CC299" s="53"/>
      <c r="CD299" s="53"/>
      <c r="CE299" s="53"/>
      <c r="CF299" s="53"/>
      <c r="CG299" s="53"/>
      <c r="CH299" s="53"/>
      <c r="CI299" s="53"/>
      <c r="CJ299" s="53"/>
      <c r="CK299" s="53"/>
      <c r="CL299" s="53"/>
      <c r="CM299" s="53"/>
      <c r="CN299" s="53"/>
      <c r="CO299" s="53"/>
      <c r="CP299" s="53"/>
      <c r="CQ299" s="53"/>
      <c r="CR299" s="1"/>
      <c r="CS299" s="1"/>
      <c r="CT299" s="1"/>
      <c r="CU299" s="1"/>
    </row>
    <row r="300" spans="1:99" s="13" customFormat="1" ht="12" customHeight="1" x14ac:dyDescent="0.2">
      <c r="A300" s="68">
        <v>43896</v>
      </c>
      <c r="B300" s="70"/>
      <c r="C300" s="70"/>
      <c r="D300" s="69"/>
      <c r="E300" s="87"/>
      <c r="F300" s="69"/>
      <c r="G300" s="69"/>
      <c r="H300" s="69"/>
      <c r="I300" s="69"/>
      <c r="J300" s="69"/>
      <c r="K300" s="86"/>
      <c r="L300" s="86"/>
      <c r="M300" s="69"/>
      <c r="N300" s="69"/>
      <c r="O300" s="69"/>
      <c r="P300" s="69"/>
      <c r="Q300" s="69"/>
      <c r="R300" s="69"/>
      <c r="S300" s="69"/>
      <c r="T300" s="69"/>
      <c r="U300" s="60"/>
      <c r="V300" s="69"/>
      <c r="W300" s="69"/>
      <c r="X300" s="69"/>
      <c r="Y300" s="87"/>
      <c r="Z300" s="92"/>
      <c r="AA300" s="92"/>
      <c r="AB300" s="69"/>
      <c r="AC300" s="72"/>
      <c r="AD300" s="69"/>
      <c r="AE300" s="69"/>
      <c r="AF300" s="88"/>
      <c r="AG300" s="72"/>
      <c r="AH300" s="4"/>
      <c r="AI300" s="72"/>
      <c r="AJ300" s="110"/>
      <c r="AK300" s="72"/>
      <c r="AL300" s="72"/>
      <c r="AM300" s="72"/>
      <c r="AN300" s="72"/>
      <c r="AO300" s="89"/>
      <c r="AP300" s="89"/>
      <c r="AQ300" s="90"/>
      <c r="AR300" s="117"/>
      <c r="AS300" s="91"/>
      <c r="AT300" s="91"/>
      <c r="AU300" s="3"/>
      <c r="AV300" s="71">
        <v>157680000</v>
      </c>
      <c r="AW300" s="71">
        <v>473040000</v>
      </c>
      <c r="AX300" s="71">
        <v>788400000</v>
      </c>
      <c r="AY300" s="71">
        <v>1103760000</v>
      </c>
      <c r="AZ300" s="71">
        <v>1419120000</v>
      </c>
      <c r="BA300" s="73"/>
      <c r="BB300" s="53"/>
      <c r="BC300" s="53"/>
      <c r="BD300" s="53"/>
      <c r="BE300" s="53"/>
      <c r="BF300" s="53"/>
      <c r="BG300" s="53"/>
      <c r="BH300" s="53"/>
      <c r="BI300" s="53"/>
      <c r="BJ300" s="53"/>
      <c r="BK300" s="53"/>
      <c r="BL300" s="53"/>
      <c r="BM300" s="53"/>
      <c r="BN300" s="53"/>
      <c r="BO300" s="53"/>
      <c r="BP300" s="53"/>
      <c r="BQ300" s="53"/>
      <c r="BR300" s="53"/>
      <c r="BS300" s="53"/>
      <c r="BT300" s="53"/>
      <c r="BU300" s="53"/>
      <c r="BV300" s="53"/>
      <c r="BW300" s="53"/>
      <c r="BX300" s="53"/>
      <c r="BY300" s="53"/>
      <c r="BZ300" s="53"/>
      <c r="CA300" s="53"/>
      <c r="CB300" s="53"/>
      <c r="CC300" s="53"/>
      <c r="CD300" s="53"/>
      <c r="CE300" s="53"/>
      <c r="CF300" s="53"/>
      <c r="CG300" s="53"/>
      <c r="CH300" s="53"/>
      <c r="CI300" s="53"/>
      <c r="CJ300" s="53"/>
      <c r="CK300" s="53"/>
      <c r="CL300" s="53"/>
      <c r="CM300" s="53"/>
      <c r="CN300" s="53"/>
      <c r="CO300" s="53"/>
      <c r="CP300" s="53"/>
      <c r="CQ300" s="53"/>
      <c r="CR300" s="1"/>
      <c r="CS300" s="1"/>
      <c r="CT300" s="1"/>
      <c r="CU300" s="1"/>
    </row>
    <row r="301" spans="1:99" s="13" customFormat="1" ht="12" customHeight="1" x14ac:dyDescent="0.2">
      <c r="A301" s="68">
        <v>43896</v>
      </c>
      <c r="B301" s="70" t="s">
        <v>369</v>
      </c>
      <c r="C301" s="70" t="s">
        <v>370</v>
      </c>
      <c r="D301" s="69">
        <v>1991</v>
      </c>
      <c r="E301" s="87">
        <v>1</v>
      </c>
      <c r="F301" s="69">
        <v>7</v>
      </c>
      <c r="G301" s="69">
        <v>7</v>
      </c>
      <c r="H301" s="69" t="s">
        <v>50</v>
      </c>
      <c r="I301" s="69" t="s">
        <v>330</v>
      </c>
      <c r="J301" s="69" t="s">
        <v>342</v>
      </c>
      <c r="K301" s="69">
        <f>IF(J301="syllables",1,IF(J301="trigrams",2,IF(J301="strings",3,IF(J301="visual array",4,IF(J301="characters",5,IF(J301="letters",6,IF(J301="free forms",7,IF(J301="odors",8,IF(J301="words",9,IF(J301="pictures",10,IF(J301="object pictures",11,IF(J301="faces",12,IF(J301="names",13,IF(J301="idioms",14,IF(J301="grades",15,IF(J301="syllable-digit pairs",16,IF(J301="trigram-word pairs",17,IF(J301="word-digit pairs",18,IF(J301="English-Swahili pairs",19,IF(J301="spatial position",20,IF(J301="word pairs",21,IF(J301="word triads",22,IF(J301="generated words",23,IF(J301="word definition pairs",24,IF(J301="math problems",25,IF(J301="famous faces",26,IF(J301="famous names",27,IF(J301="famous voices",28,IF(J301="television programs",29,IF(J301="race horses",30,IF(J301="new vocabulary",31,IF(J301="sentences",32,IF(J301="concepts",33,IF(J301="ad slides",34,IF(J301="scenes",35,IF(J301="famous scenes",36,IF(J301="poems",37,IF(J301="walk",38,IF(J301="faces and events",39,IF(J301="events and names",40,IF(J301="flashbulb",41,IF(J301="stories",42,IF(J301="course material",43,IF(J301="autobiographical",44,IF(J301="novels",45,IF(J301="public events",46,"99"))))))))))))))))))))))))))))))))))))))))))))))</f>
        <v>26</v>
      </c>
      <c r="L301" s="69">
        <f>IF(J301="syllables",1,IF(J301="trigrams",1,IF(J301="strings",1,IF(J301="visual array",1,IF(J301="characters",1,IF(J301="letters",1,IF(J301="free forms",1,IF(J301="odors",2,IF(J301="words",2,IF(J301="pictures",2,IF(J301="object pictures",2,IF(J301="faces",2,IF(J301="names",2,IF(J301="idioms","2",IF(J301="grades",2,IF(J301="syllable-digit pairs",3,IF(J301="trigram-word pairs",3,IF(J301="word-digit pairs",3,IF(J301="English-Swahili pairs",3,IF(J301="spatial position",3,IF(J301="word pairs",4,IF(J301="word triads",4,IF(J301="generated words",4,IF(J301="word definition pairs",4,IF(J301="math problems",4,IF(J301="famous faces",4,IF(J301="famous names",4,IF(J301="famous voices",4,IF(J301="television programs",4,IF(J301="race horses",4,IF(J301="new vocabulary",4,IF(J301="sentences",5,IF(J301="concepts",5,IF(J301="ad slides",5,IF(J301="scenes",5,IF(J301="famous scenes",5,IF(J301="poems",6,IF(J301="walk",6,IF(J301="faces and events",6,IF(J301="events and names",6,IF(J301="flashbulb",7,IF(J301="stories",7,IF(J301="course material",7,IF(J301="autobiographical",7,IF(J301="novels",7,IF(J301="public events",7,"99"))))))))))))))))))))))))))))))))))))))))))))))</f>
        <v>4</v>
      </c>
      <c r="M301" s="69">
        <v>1</v>
      </c>
      <c r="N301" s="86">
        <v>2</v>
      </c>
      <c r="O301" s="69">
        <v>0</v>
      </c>
      <c r="P301" s="69"/>
      <c r="Q301" s="69" t="s">
        <v>174</v>
      </c>
      <c r="R301" s="69">
        <f>IF(Q301="Free Recall",1,IF(Q301="Cued Recall",2,IF(Q301="Recognition",3,IF(Q301="Multiple Choice",4,IF(Q301="Savings",5,IF(Q301="Stem Completion",6,IF(Q301="Fragment Completion",7,IF(Q301="anagram solution",8,IF(Q301="Matching",9,IF(Q301="Problem Solving",10,"99"))))))))))</f>
        <v>1</v>
      </c>
      <c r="S301" s="69" t="s">
        <v>49</v>
      </c>
      <c r="T301" s="69" t="s">
        <v>581</v>
      </c>
      <c r="U301" s="60">
        <f>IF(T301="within",1,0)</f>
        <v>1</v>
      </c>
      <c r="V301" s="69">
        <v>30</v>
      </c>
      <c r="W301" s="69">
        <f>F301*V301</f>
        <v>210</v>
      </c>
      <c r="X301" s="69">
        <v>5</v>
      </c>
      <c r="Y301" s="87">
        <f>AV300</f>
        <v>157680000</v>
      </c>
      <c r="Z301" s="69" t="s">
        <v>373</v>
      </c>
      <c r="AA301" s="69">
        <f>45*365*24*60*60</f>
        <v>1419120000</v>
      </c>
      <c r="AB301" s="69" t="str">
        <f>IF(AA301&lt;60,"1",IF(AA301&lt;=43200,"2",IF(AA301&lt;=777600,"3","4")))</f>
        <v>4</v>
      </c>
      <c r="AC301" s="72">
        <f>AVERAGE(AV300:DA300)</f>
        <v>788400000</v>
      </c>
      <c r="AD301" s="69" t="str">
        <f>IF(AC301&lt;60,"1",IF(AC301&lt;=43200,"2",IF(AC301&lt;=777600,"3","4")))</f>
        <v>4</v>
      </c>
      <c r="AE301" s="87">
        <f>AA301-Y301</f>
        <v>1261440000</v>
      </c>
      <c r="AF301" s="88">
        <f>AV301</f>
        <v>0.89473684210526316</v>
      </c>
      <c r="AG301" s="72">
        <f>((AW301-AV301)+(AX301-AW301)+(AY301-AX301)+(AZ301-AY301))/4</f>
        <v>-0.10054988216810684</v>
      </c>
      <c r="AH301" s="4"/>
      <c r="AI301" s="72">
        <f>RSQ(AV301:AZ301,AV300:AZ300)</f>
        <v>0.78754355140561672</v>
      </c>
      <c r="AJ301" s="110">
        <f>SLOPE(AV301:AZ301,AV300:AZ300)</f>
        <v>-2.8771570072788015E-10</v>
      </c>
      <c r="AK301" s="72">
        <f>INTERCEPT(AV301:AZ301,AV300:AZ300)</f>
        <v>0.95319317969109174</v>
      </c>
      <c r="AL301" s="72">
        <f>INDEX(LINEST(LN(AV301:AZ301),LN(AV300:AZ300),TRUE,TRUE),3,1)</f>
        <v>0.59834608095752873</v>
      </c>
      <c r="AM301" s="72">
        <f>INDEX(LINEST(LN(AV301:AZ301),LN(AV300:AZ300)),1)</f>
        <v>-0.21340489568808363</v>
      </c>
      <c r="AN301" s="72">
        <f>EXP(INDEX(LINEST(LN(AV301:AZ301),LN(AV300:AZ300)),1,2))</f>
        <v>53.467699805639043</v>
      </c>
      <c r="AO301" s="89">
        <f>INDEX(LINEST((AV301:AZ301),LN(AV300:AZ300),TRUE,TRUE),3,1)</f>
        <v>0.63264335495738466</v>
      </c>
      <c r="AP301" s="89">
        <f>INDEX(LINEST((AV301:AZ301),LN(AV300:AZ300)),1)</f>
        <v>-0.14788764994511075</v>
      </c>
      <c r="AQ301" s="90">
        <f>INDEX(LINEST(LN(AV301:AZ301),SQRT(AV300:AZ300),TRUE,TRUE),3,1)</f>
        <v>0.69923128073759711</v>
      </c>
      <c r="AR301" s="117">
        <f>INDEX(LINEST(LN(AV301:AZ301),SQRT((AV300:AZ300))),1)</f>
        <v>-2.0330908119004071E-5</v>
      </c>
      <c r="AS301" s="91">
        <f>INDEX(LINEST(1/(AV301:AZ301),1/(SQRT(AV300:AZ300)),TRUE,TRUE),3,1)</f>
        <v>0.45360514245465838</v>
      </c>
      <c r="AT301" s="91">
        <f>INDEX(LINEST(1/(AV301:AZ301),1/SQRT(AV300:AZ300)),1)</f>
        <v>-11560.502434010989</v>
      </c>
      <c r="AU301" s="3"/>
      <c r="AV301" s="73">
        <v>0.89473684210526316</v>
      </c>
      <c r="AW301" s="73">
        <v>0.75</v>
      </c>
      <c r="AX301" s="73">
        <v>0.84745762711864414</v>
      </c>
      <c r="AY301" s="73">
        <v>0.6470588235294118</v>
      </c>
      <c r="AZ301" s="73">
        <v>0.4925373134328358</v>
      </c>
      <c r="BA301" s="73"/>
      <c r="BB301" s="53"/>
      <c r="BC301" s="53"/>
      <c r="BD301" s="53"/>
      <c r="BE301" s="53"/>
      <c r="BF301" s="53"/>
      <c r="BG301" s="53"/>
      <c r="BH301" s="53"/>
      <c r="BI301" s="53"/>
      <c r="BJ301" s="53"/>
      <c r="BK301" s="53"/>
      <c r="BL301" s="53"/>
      <c r="BM301" s="53"/>
      <c r="BN301" s="53"/>
      <c r="BO301" s="53"/>
      <c r="BP301" s="53"/>
      <c r="BQ301" s="53"/>
      <c r="BR301" s="53"/>
      <c r="BS301" s="53"/>
      <c r="BT301" s="53"/>
      <c r="BU301" s="53"/>
      <c r="BV301" s="53"/>
      <c r="BW301" s="53"/>
      <c r="BX301" s="53"/>
      <c r="BY301" s="53"/>
      <c r="BZ301" s="53"/>
      <c r="CA301" s="53"/>
      <c r="CB301" s="53"/>
      <c r="CC301" s="53"/>
      <c r="CD301" s="53"/>
      <c r="CE301" s="53"/>
      <c r="CF301" s="53"/>
      <c r="CG301" s="53"/>
      <c r="CH301" s="53"/>
      <c r="CI301" s="53"/>
      <c r="CJ301" s="53"/>
      <c r="CK301" s="53"/>
      <c r="CL301" s="53"/>
      <c r="CM301" s="53"/>
      <c r="CN301" s="53"/>
      <c r="CO301" s="53"/>
      <c r="CP301" s="53"/>
      <c r="CQ301" s="53"/>
      <c r="CR301" s="1"/>
      <c r="CS301" s="1"/>
      <c r="CT301" s="1"/>
      <c r="CU301" s="1"/>
    </row>
    <row r="302" spans="1:99" s="13" customFormat="1" ht="12" customHeight="1" x14ac:dyDescent="0.2">
      <c r="A302" s="65">
        <v>43896</v>
      </c>
      <c r="B302" s="1"/>
      <c r="C302" s="1"/>
      <c r="D302" s="60"/>
      <c r="E302" s="76"/>
      <c r="F302" s="60"/>
      <c r="G302" s="60"/>
      <c r="H302" s="60"/>
      <c r="I302" s="60"/>
      <c r="J302" s="60"/>
      <c r="K302" s="64"/>
      <c r="L302" s="64"/>
      <c r="M302" s="60"/>
      <c r="N302" s="60"/>
      <c r="O302" s="60"/>
      <c r="P302" s="60"/>
      <c r="Q302" s="60"/>
      <c r="R302" s="60"/>
      <c r="S302" s="60"/>
      <c r="T302" s="59"/>
      <c r="U302" s="60"/>
      <c r="V302" s="59"/>
      <c r="W302" s="60"/>
      <c r="X302" s="60"/>
      <c r="Y302" s="76"/>
      <c r="Z302" s="59"/>
      <c r="AA302" s="59"/>
      <c r="AB302" s="60"/>
      <c r="AC302" s="56"/>
      <c r="AD302" s="60"/>
      <c r="AE302" s="60"/>
      <c r="AF302" s="80"/>
      <c r="AG302" s="56"/>
      <c r="AH302" s="4"/>
      <c r="AI302" s="56"/>
      <c r="AJ302" s="109"/>
      <c r="AK302" s="56"/>
      <c r="AL302" s="56"/>
      <c r="AM302" s="56"/>
      <c r="AN302" s="56"/>
      <c r="AO302" s="82"/>
      <c r="AP302" s="82"/>
      <c r="AQ302" s="83"/>
      <c r="AR302" s="116"/>
      <c r="AS302" s="84"/>
      <c r="AT302" s="84"/>
      <c r="AU302" s="3"/>
      <c r="AV302" s="25">
        <v>315360000</v>
      </c>
      <c r="AW302" s="25">
        <v>630720000</v>
      </c>
      <c r="AX302" s="25">
        <v>646080000</v>
      </c>
      <c r="AY302" s="25">
        <v>12614400000</v>
      </c>
      <c r="AZ302" s="25">
        <v>1576800000</v>
      </c>
      <c r="BA302" s="53"/>
      <c r="BB302" s="53"/>
      <c r="BC302" s="53"/>
      <c r="BD302" s="53"/>
      <c r="BE302" s="53"/>
      <c r="BF302" s="53"/>
      <c r="BG302" s="53"/>
      <c r="BH302" s="53"/>
      <c r="BI302" s="53"/>
      <c r="BJ302" s="53"/>
      <c r="BK302" s="53"/>
      <c r="BL302" s="53"/>
      <c r="BM302" s="53"/>
      <c r="BN302" s="53"/>
      <c r="BO302" s="53"/>
      <c r="BP302" s="53"/>
      <c r="BQ302" s="53"/>
      <c r="BR302" s="53"/>
      <c r="BS302" s="53"/>
      <c r="BT302" s="53"/>
      <c r="BU302" s="53"/>
      <c r="BV302" s="53"/>
      <c r="BW302" s="53"/>
      <c r="BX302" s="53"/>
      <c r="BY302" s="53"/>
      <c r="BZ302" s="53"/>
      <c r="CA302" s="53"/>
      <c r="CB302" s="53"/>
      <c r="CC302" s="53"/>
      <c r="CD302" s="53"/>
      <c r="CE302" s="53"/>
      <c r="CF302" s="53"/>
      <c r="CG302" s="53"/>
      <c r="CH302" s="53"/>
      <c r="CI302" s="53"/>
      <c r="CJ302" s="53"/>
      <c r="CK302" s="53"/>
      <c r="CL302" s="53"/>
      <c r="CM302" s="53"/>
      <c r="CN302" s="53"/>
      <c r="CO302" s="53"/>
      <c r="CP302" s="53"/>
      <c r="CQ302" s="53"/>
      <c r="CR302" s="1"/>
      <c r="CS302" s="1"/>
      <c r="CT302" s="1"/>
      <c r="CU302" s="1"/>
    </row>
    <row r="303" spans="1:99" s="13" customFormat="1" ht="12" customHeight="1" x14ac:dyDescent="0.2">
      <c r="A303" s="65">
        <v>43896</v>
      </c>
      <c r="B303" s="1" t="s">
        <v>371</v>
      </c>
      <c r="C303" s="1" t="s">
        <v>372</v>
      </c>
      <c r="D303" s="60">
        <v>1990</v>
      </c>
      <c r="E303" s="76">
        <v>1</v>
      </c>
      <c r="F303" s="60">
        <v>20</v>
      </c>
      <c r="G303" s="60">
        <v>20</v>
      </c>
      <c r="H303" s="60" t="s">
        <v>50</v>
      </c>
      <c r="I303" s="60" t="s">
        <v>330</v>
      </c>
      <c r="J303" s="60" t="s">
        <v>342</v>
      </c>
      <c r="K303" s="60">
        <f>IF(J303="syllables",1,IF(J303="trigrams",2,IF(J303="strings",3,IF(J303="visual array",4,IF(J303="characters",5,IF(J303="letters",6,IF(J303="free forms",7,IF(J303="odors",8,IF(J303="words",9,IF(J303="pictures",10,IF(J303="object pictures",11,IF(J303="faces",12,IF(J303="names",13,IF(J303="idioms",14,IF(J303="grades",15,IF(J303="syllable-digit pairs",16,IF(J303="trigram-word pairs",17,IF(J303="word-digit pairs",18,IF(J303="English-Swahili pairs",19,IF(J303="spatial position",20,IF(J303="word pairs",21,IF(J303="word triads",22,IF(J303="generated words",23,IF(J303="word definition pairs",24,IF(J303="math problems",25,IF(J303="famous faces",26,IF(J303="famous names",27,IF(J303="famous voices",28,IF(J303="television programs",29,IF(J303="race horses",30,IF(J303="new vocabulary",31,IF(J303="sentences",32,IF(J303="concepts",33,IF(J303="ad slides",34,IF(J303="scenes",35,IF(J303="famous scenes",36,IF(J303="poems",37,IF(J303="walk",38,IF(J303="faces and events",39,IF(J303="events and names",40,IF(J303="flashbulb",41,IF(J303="stories",42,IF(J303="course material",43,IF(J303="autobiographical",44,IF(J303="novels",45,IF(J303="public events",46,"99"))))))))))))))))))))))))))))))))))))))))))))))</f>
        <v>26</v>
      </c>
      <c r="L303" s="60">
        <f>IF(J303="syllables",1,IF(J303="trigrams",1,IF(J303="strings",1,IF(J303="visual array",1,IF(J303="characters",1,IF(J303="letters",1,IF(J303="free forms",1,IF(J303="odors",2,IF(J303="words",2,IF(J303="pictures",2,IF(J303="object pictures",2,IF(J303="faces",2,IF(J303="names",2,IF(J303="idioms","2",IF(J303="grades",2,IF(J303="syllable-digit pairs",3,IF(J303="trigram-word pairs",3,IF(J303="word-digit pairs",3,IF(J303="English-Swahili pairs",3,IF(J303="spatial position",3,IF(J303="word pairs",4,IF(J303="word triads",4,IF(J303="generated words",4,IF(J303="word definition pairs",4,IF(J303="math problems",4,IF(J303="famous faces",4,IF(J303="famous names",4,IF(J303="famous voices",4,IF(J303="television programs",4,IF(J303="race horses",4,IF(J303="new vocabulary",4,IF(J303="sentences",5,IF(J303="concepts",5,IF(J303="ad slides",5,IF(J303="scenes",5,IF(J303="famous scenes",5,IF(J303="poems",6,IF(J303="walk",6,IF(J303="faces and events",6,IF(J303="events and names",6,IF(J303="flashbulb",7,IF(J303="stories",7,IF(J303="course material",7,IF(J303="autobiographical",7,IF(J303="novels",7,IF(J303="public events",7,"99"))))))))))))))))))))))))))))))))))))))))))))))</f>
        <v>4</v>
      </c>
      <c r="M303" s="60">
        <v>1</v>
      </c>
      <c r="N303" s="61">
        <v>2</v>
      </c>
      <c r="O303" s="60">
        <v>0</v>
      </c>
      <c r="P303" s="60"/>
      <c r="Q303" s="60" t="s">
        <v>174</v>
      </c>
      <c r="R303" s="60">
        <f>IF(Q303="Free Recall",1,IF(Q303="Cued Recall",2,IF(Q303="Recognition",3,IF(Q303="Multiple Choice",4,IF(Q303="Savings",5,IF(Q303="Stem Completion",6,IF(Q303="Fragment Completion",7,IF(Q303="anagram solution",8,IF(Q303="Matching",9,IF(Q303="Problem Solving",10,"99"))))))))))</f>
        <v>1</v>
      </c>
      <c r="S303" s="60" t="s">
        <v>49</v>
      </c>
      <c r="T303" s="59" t="s">
        <v>581</v>
      </c>
      <c r="U303" s="60">
        <f>IF(T303="within",1,0)</f>
        <v>1</v>
      </c>
      <c r="V303" s="59">
        <v>30</v>
      </c>
      <c r="W303" s="60">
        <f>F303*V303</f>
        <v>600</v>
      </c>
      <c r="X303" s="60">
        <v>5</v>
      </c>
      <c r="Y303" s="76">
        <f>AV302</f>
        <v>315360000</v>
      </c>
      <c r="Z303" s="60" t="s">
        <v>209</v>
      </c>
      <c r="AA303" s="60">
        <f>50*365*24*60*60</f>
        <v>1576800000</v>
      </c>
      <c r="AB303" s="60" t="str">
        <f>IF(AA303&lt;60,"1",IF(AA303&lt;=43200,"2",IF(AA303&lt;=777600,"3","4")))</f>
        <v>4</v>
      </c>
      <c r="AC303" s="56">
        <f>AVERAGE(AV302:DA302)</f>
        <v>3156672000</v>
      </c>
      <c r="AD303" s="60" t="str">
        <f>IF(AC303&lt;60,"1",IF(AC303&lt;=43200,"2",IF(AC303&lt;=777600,"3","4")))</f>
        <v>4</v>
      </c>
      <c r="AE303" s="76">
        <f>AA303-Y303</f>
        <v>1261440000</v>
      </c>
      <c r="AF303" s="80">
        <f>AV303</f>
        <v>0.78947368421052633</v>
      </c>
      <c r="AG303" s="56">
        <f>((AW303-AV303)+(AX303-AW303)+(AY303-AX303)+(AZ303-AY303))/4</f>
        <v>-3.9140572951365776E-2</v>
      </c>
      <c r="AH303" s="4"/>
      <c r="AI303" s="56">
        <f>RSQ(AV303:AZ303,AV302:AZ302)</f>
        <v>3.5383586516101913E-3</v>
      </c>
      <c r="AJ303" s="109">
        <f>SLOPE(AV303:AZ303,AV302:AZ302)</f>
        <v>-6.9602508795215246E-13</v>
      </c>
      <c r="AK303" s="56">
        <f>INTERCEPT(AV303:AZ303,AV302:AZ302)</f>
        <v>0.74050555585407507</v>
      </c>
      <c r="AL303" s="56">
        <f>INDEX(LINEST(LN(AV303:AZ303),LN(AV302:AZ302),TRUE,TRUE),3,1)</f>
        <v>0.10555851332660079</v>
      </c>
      <c r="AM303" s="56">
        <f>INDEX(LINEST(LN(AV303:AZ303),LN(AV302:AZ302)),1)</f>
        <v>-2.0033701517740796E-2</v>
      </c>
      <c r="AN303" s="56">
        <f>EXP(INDEX(LINEST(LN(AV303:AZ303),LN(AV302:AZ302)),1,2))</f>
        <v>1.119087171038847</v>
      </c>
      <c r="AO303" s="82">
        <f>INDEX(LINEST((AV303:AZ303),LN(AV302:AZ302),TRUE,TRUE),3,1)</f>
        <v>0.11754028142521085</v>
      </c>
      <c r="AP303" s="82">
        <f>INDEX(LINEST((AV303:AZ303),LN(AV302:AZ302)),1)</f>
        <v>-1.4879708346781968E-2</v>
      </c>
      <c r="AQ303" s="83">
        <f>INDEX(LINEST(LN(AV303:AZ303),SQRT(AV302:AZ302),TRUE,TRUE),3,1)</f>
        <v>2.2803507306179319E-2</v>
      </c>
      <c r="AR303" s="116">
        <f>INDEX(LINEST(LN(AV303:AZ303),SQRT((AV302:AZ302))),1)</f>
        <v>-3.4190244306306381E-7</v>
      </c>
      <c r="AS303" s="84">
        <f>INDEX(LINEST(1/(AV303:AZ303),1/(SQRT(AV302:AZ302)),TRUE,TRUE),3,1)</f>
        <v>0.22918346623810526</v>
      </c>
      <c r="AT303" s="84">
        <f>INDEX(LINEST(1/(AV303:AZ303),1/SQRT(AV302:AZ302)),1)</f>
        <v>-3386.1318692370305</v>
      </c>
      <c r="AU303" s="3"/>
      <c r="AV303" s="53">
        <v>0.78947368421052633</v>
      </c>
      <c r="AW303" s="53">
        <v>0.75000000000000011</v>
      </c>
      <c r="AX303" s="53">
        <v>0.77777777777777768</v>
      </c>
      <c r="AY303" s="53">
        <v>0.74137931034482762</v>
      </c>
      <c r="AZ303" s="53">
        <v>0.63291139240506322</v>
      </c>
      <c r="BA303" s="53"/>
      <c r="BB303" s="53"/>
      <c r="BC303" s="53"/>
      <c r="BD303" s="53"/>
      <c r="BE303" s="53"/>
      <c r="BF303" s="53"/>
      <c r="BG303" s="53"/>
      <c r="BH303" s="53"/>
      <c r="BI303" s="53"/>
      <c r="BJ303" s="53"/>
      <c r="BK303" s="53"/>
      <c r="BL303" s="53"/>
      <c r="BM303" s="53"/>
      <c r="BN303" s="53"/>
      <c r="BO303" s="53"/>
      <c r="BP303" s="53"/>
      <c r="BQ303" s="53"/>
      <c r="BR303" s="53"/>
      <c r="BS303" s="53"/>
      <c r="BT303" s="53"/>
      <c r="BU303" s="53"/>
      <c r="BV303" s="53"/>
      <c r="BW303" s="53"/>
      <c r="BX303" s="53"/>
      <c r="BY303" s="53"/>
      <c r="BZ303" s="53"/>
      <c r="CA303" s="53"/>
      <c r="CB303" s="53"/>
      <c r="CC303" s="53"/>
      <c r="CD303" s="53"/>
      <c r="CE303" s="53"/>
      <c r="CF303" s="53"/>
      <c r="CG303" s="53"/>
      <c r="CH303" s="53"/>
      <c r="CI303" s="53"/>
      <c r="CJ303" s="53"/>
      <c r="CK303" s="53"/>
      <c r="CL303" s="53"/>
      <c r="CM303" s="53"/>
      <c r="CN303" s="53"/>
      <c r="CO303" s="53"/>
      <c r="CP303" s="53"/>
      <c r="CQ303" s="53"/>
      <c r="CR303" s="1"/>
      <c r="CS303" s="1"/>
      <c r="CT303" s="1"/>
      <c r="CU303" s="1"/>
    </row>
    <row r="304" spans="1:99" s="19" customFormat="1" ht="12" customHeight="1" x14ac:dyDescent="0.2">
      <c r="A304" s="65">
        <v>43509</v>
      </c>
      <c r="B304" s="17"/>
      <c r="C304" s="17"/>
      <c r="D304" s="62"/>
      <c r="E304" s="78"/>
      <c r="F304" s="62"/>
      <c r="G304" s="62"/>
      <c r="H304" s="62"/>
      <c r="I304" s="62"/>
      <c r="J304" s="62"/>
      <c r="K304" s="64"/>
      <c r="L304" s="64"/>
      <c r="M304" s="62"/>
      <c r="N304" s="62"/>
      <c r="O304" s="62"/>
      <c r="P304" s="62"/>
      <c r="Q304" s="62"/>
      <c r="R304" s="60"/>
      <c r="S304" s="62"/>
      <c r="T304" s="62"/>
      <c r="U304" s="60"/>
      <c r="V304" s="62"/>
      <c r="W304" s="60"/>
      <c r="X304" s="62"/>
      <c r="Y304" s="76"/>
      <c r="Z304" s="62"/>
      <c r="AA304" s="62"/>
      <c r="AB304" s="60"/>
      <c r="AC304" s="60"/>
      <c r="AD304" s="60"/>
      <c r="AE304" s="60"/>
      <c r="AF304" s="80"/>
      <c r="AG304" s="56"/>
      <c r="AH304" s="4"/>
      <c r="AI304" s="85"/>
      <c r="AJ304" s="112"/>
      <c r="AK304" s="85"/>
      <c r="AL304" s="85"/>
      <c r="AM304" s="85"/>
      <c r="AN304" s="85"/>
      <c r="AO304" s="85"/>
      <c r="AP304" s="85"/>
      <c r="AQ304" s="85"/>
      <c r="AR304" s="112"/>
      <c r="AS304" s="85"/>
      <c r="AT304" s="85"/>
      <c r="AU304" s="4"/>
      <c r="AV304" s="137">
        <v>30</v>
      </c>
      <c r="AW304" s="137">
        <f>5*60</f>
        <v>300</v>
      </c>
      <c r="AX304" s="137">
        <f>20*60</f>
        <v>1200</v>
      </c>
      <c r="AY304" s="137">
        <f>60*60</f>
        <v>3600</v>
      </c>
      <c r="AZ304" s="137">
        <f>8*60*60</f>
        <v>28800</v>
      </c>
      <c r="BA304" s="137">
        <f>24*60*60</f>
        <v>86400</v>
      </c>
      <c r="BB304" s="137">
        <f>2*24*60*60</f>
        <v>172800</v>
      </c>
      <c r="BC304" s="137">
        <f>6*24*60*60</f>
        <v>518400</v>
      </c>
      <c r="BD304" s="137">
        <f>14*24*60*60</f>
        <v>1209600</v>
      </c>
      <c r="BE304" s="137">
        <f>21*24*60*60</f>
        <v>1814400</v>
      </c>
      <c r="BF304" s="137">
        <f>30*24*60*60</f>
        <v>2592000</v>
      </c>
      <c r="BG304" s="137">
        <f>120*24*60*60</f>
        <v>10368000</v>
      </c>
      <c r="BH304" s="18"/>
      <c r="BI304" s="18"/>
      <c r="BJ304" s="18"/>
      <c r="BK304" s="18"/>
      <c r="BL304" s="18"/>
      <c r="BM304" s="18"/>
      <c r="BN304" s="18"/>
      <c r="BO304" s="18"/>
      <c r="BP304" s="18"/>
      <c r="BQ304" s="18"/>
      <c r="BR304" s="18"/>
      <c r="BS304" s="18"/>
      <c r="BT304" s="18"/>
      <c r="BU304" s="18"/>
      <c r="BV304" s="18"/>
      <c r="BW304" s="18"/>
      <c r="BX304" s="18"/>
      <c r="BY304" s="18"/>
      <c r="BZ304" s="18"/>
      <c r="CA304" s="18"/>
      <c r="CB304" s="18"/>
      <c r="CC304" s="18"/>
      <c r="CD304" s="18"/>
      <c r="CE304" s="18"/>
      <c r="CF304" s="18"/>
      <c r="CG304" s="18"/>
      <c r="CH304" s="18"/>
      <c r="CI304" s="18"/>
      <c r="CJ304" s="18"/>
      <c r="CK304" s="18"/>
      <c r="CL304" s="18"/>
      <c r="CM304" s="18"/>
      <c r="CN304" s="18"/>
      <c r="CO304" s="18"/>
      <c r="CP304" s="18"/>
      <c r="CQ304" s="18"/>
      <c r="CR304" s="17"/>
      <c r="CS304" s="17"/>
      <c r="CT304" s="17"/>
      <c r="CU304" s="17"/>
    </row>
    <row r="305" spans="1:99" s="19" customFormat="1" ht="12" customHeight="1" x14ac:dyDescent="0.2">
      <c r="A305" s="65">
        <v>43509</v>
      </c>
      <c r="B305" s="17" t="s">
        <v>190</v>
      </c>
      <c r="C305" s="17" t="s">
        <v>191</v>
      </c>
      <c r="D305" s="62">
        <v>1907</v>
      </c>
      <c r="E305" s="78"/>
      <c r="F305" s="62">
        <v>18</v>
      </c>
      <c r="G305" s="62">
        <v>18</v>
      </c>
      <c r="H305" s="62" t="s">
        <v>754</v>
      </c>
      <c r="I305" s="62"/>
      <c r="J305" s="62" t="s">
        <v>281</v>
      </c>
      <c r="K305" s="60">
        <f>IF(J305="syllables",1,IF(J305="trigrams",2,IF(J305="strings",3,IF(J305="visual array",4,IF(J305="characters",5,IF(J305="letters",6,IF(J305="free forms",7,IF(J305="odors",8,IF(J305="words",9,IF(J305="pictures",10,IF(J305="object pictures",11,IF(J305="faces",12,IF(J305="names",13,IF(J305="idioms",14,IF(J305="grades",15,IF(J305="syllable-digit pairs",16,IF(J305="trigram-word pairs",17,IF(J305="word-digit pairs",18,IF(J305="English-Swahili pairs",19,IF(J305="spatial position",20,IF(J305="word pairs",21,IF(J305="word triads",22,IF(J305="generated words",23,IF(J305="word definition pairs",24,IF(J305="math problems",25,IF(J305="famous faces",26,IF(J305="famous names",27,IF(J305="famous voices",28,IF(J305="television programs",29,IF(J305="race horses",30,IF(J305="new vocabulary",31,IF(J305="sentences",32,IF(J305="concepts",33,IF(J305="ad slides",34,IF(J305="scenes",35,IF(J305="famous scenes",36,IF(J305="poems",37,IF(J305="walk",38,IF(J305="faces and events",39,IF(J305="events and names",40,IF(J305="flashbulb",41,IF(J305="stories",42,IF(J305="course material",43,IF(J305="autobiographical",44,IF(J305="novels",45,IF(J305="public events",46,"99"))))))))))))))))))))))))))))))))))))))))))))))</f>
        <v>1</v>
      </c>
      <c r="L305" s="60">
        <f>IF(J305="syllables",1,IF(J305="trigrams",1,IF(J305="strings",1,IF(J305="visual array",1,IF(J305="characters",1,IF(J305="letters",1,IF(J305="free forms",1,IF(J305="odors",2,IF(J305="words",2,IF(J305="pictures",2,IF(J305="object pictures",2,IF(J305="faces",2,IF(J305="names",2,IF(J305="idioms","2",IF(J305="grades",2,IF(J305="syllable-digit pairs",3,IF(J305="trigram-word pairs",3,IF(J305="word-digit pairs",3,IF(J305="English-Swahili pairs",3,IF(J305="spatial position",3,IF(J305="word pairs",4,IF(J305="word triads",4,IF(J305="generated words",4,IF(J305="word definition pairs",4,IF(J305="math problems",4,IF(J305="famous faces",4,IF(J305="famous names",4,IF(J305="famous voices",4,IF(J305="television programs",4,IF(J305="race horses",4,IF(J305="new vocabulary",4,IF(J305="sentences",5,IF(J305="concepts",5,IF(J305="ad slides",5,IF(J305="scenes",5,IF(J305="famous scenes",5,IF(J305="poems",6,IF(J305="walk",6,IF(J305="faces and events",6,IF(J305="events and names",6,IF(J305="flashbulb",7,IF(J305="stories",7,IF(J305="course material",7,IF(J305="autobiographical",7,IF(J305="novels",7,IF(J305="public events",7,"99"))))))))))))))))))))))))))))))))))))))))))))))</f>
        <v>1</v>
      </c>
      <c r="M305" s="62">
        <v>1</v>
      </c>
      <c r="N305" s="62">
        <v>1</v>
      </c>
      <c r="O305" s="62">
        <v>0</v>
      </c>
      <c r="P305" s="62"/>
      <c r="Q305" s="62" t="s">
        <v>87</v>
      </c>
      <c r="R305" s="60">
        <f>IF(Q305="Free Recall",1,IF(Q305="Cued Recall",2,IF(Q305="Recognition",3,IF(Q305="Multiple Choice",4,IF(Q305="Savings",5,IF(Q305="Stem Completion",6,IF(Q305="Fragment Completion",7,IF(Q305="anagram solution",8,IF(Q305="Matching",9,IF(Q305="Problem Solving",10,"99"))))))))))</f>
        <v>5</v>
      </c>
      <c r="S305" s="62" t="s">
        <v>99</v>
      </c>
      <c r="T305" s="59" t="s">
        <v>581</v>
      </c>
      <c r="U305" s="60">
        <f>IF(T305="within",1,0)</f>
        <v>1</v>
      </c>
      <c r="V305" s="59">
        <v>132</v>
      </c>
      <c r="W305" s="60">
        <f>F305*V305</f>
        <v>2376</v>
      </c>
      <c r="X305" s="62">
        <v>12</v>
      </c>
      <c r="Y305" s="76">
        <f>AV304</f>
        <v>30</v>
      </c>
      <c r="Z305" s="62" t="s">
        <v>179</v>
      </c>
      <c r="AA305" s="78">
        <f>120*24*60*60</f>
        <v>10368000</v>
      </c>
      <c r="AB305" s="60" t="str">
        <f>IF(AA305&lt;60,"1",IF(AA305&lt;=43200,"2",IF(AA305&lt;=777600,"3","4")))</f>
        <v>4</v>
      </c>
      <c r="AC305" s="56">
        <f>AVERAGE(AV304:DA304)</f>
        <v>1399627.5</v>
      </c>
      <c r="AD305" s="60" t="str">
        <f>IF(AC305&lt;60,"1",IF(AC305&lt;=43200,"2",IF(AC305&lt;=777600,"3","4")))</f>
        <v>4</v>
      </c>
      <c r="AE305" s="76">
        <f>AA305-Y305</f>
        <v>10367970</v>
      </c>
      <c r="AF305" s="80">
        <f>AV305</f>
        <v>1</v>
      </c>
      <c r="AG305" s="56">
        <f>((AW305-AV305)+(AX305-AW305)+(AY305-AX305)+(AZ305-AY305)+(BA305-AZ305)+(BB305-BA305)+(BC305-BB305)+(BD305-BC305)+(BE305-BD305)+(BF305-BE305)+(BG305-BF305))/11</f>
        <v>-8.8363636363636366E-2</v>
      </c>
      <c r="AH305" s="4"/>
      <c r="AI305" s="56">
        <f>RSQ(AV305:BG305,AV304:BG304)</f>
        <v>0.53998915512795886</v>
      </c>
      <c r="AJ305" s="109">
        <f>SLOPE(AV305:BG305,AV304:BG304)</f>
        <v>-7.4714165027755701E-8</v>
      </c>
      <c r="AK305" s="56">
        <f>INTERCEPT(AV305:BG305,AV304:BG304)</f>
        <v>0.67548866667905183</v>
      </c>
      <c r="AL305" s="56">
        <f>INDEX(LINEST(LN(AV305:BG305),LN(AV304:BG304),TRUE,TRUE),3,1)</f>
        <v>0.53754507993514233</v>
      </c>
      <c r="AM305" s="56">
        <f>INDEX(LINEST(LN(AV305:BG305),LN(AV304:BG304)),1)</f>
        <v>-0.17930958726966884</v>
      </c>
      <c r="AN305" s="56">
        <f>EXP(INDEX(LINEST(LN(AV305:BG305),LN(AV304:BG304)),1,2))</f>
        <v>3.0953342065135714</v>
      </c>
      <c r="AO305" s="82">
        <f>INDEX(LINEST((AV305:BG305),LN(AV304:BG304),TRUE,TRUE),3,1)</f>
        <v>0.87312248918521063</v>
      </c>
      <c r="AP305" s="82">
        <f>INDEX(LINEST((AV305:BG305),LN(AV304:BG304)),1)</f>
        <v>-6.9942192684847068E-2</v>
      </c>
      <c r="AQ305" s="83">
        <f>INDEX(LINEST(LN(AV305:BG305),SQRT(AV304:BG304),TRUE,TRUE),3,1)</f>
        <v>0.93540932344351368</v>
      </c>
      <c r="AR305" s="116">
        <f>INDEX(LINEST(LN(AV305:BG305),SQRT((AV304:BG304))),1)</f>
        <v>-9.9156205187925987E-4</v>
      </c>
      <c r="AS305" s="84">
        <f>INDEX(LINEST(1/(AV305:BG305),1/(SQRT(AV304:BG304)),TRUE,TRUE),3,1)</f>
        <v>3.8266474121413228E-2</v>
      </c>
      <c r="AT305" s="84">
        <f>INDEX(LINEST(1/(AV305:BG305),1/SQRT(AV304:BG304)),1)</f>
        <v>-36.538800599225745</v>
      </c>
      <c r="AU305" s="3"/>
      <c r="AV305" s="18">
        <v>1</v>
      </c>
      <c r="AW305" s="18">
        <f>1-0.025</f>
        <v>0.97499999999999998</v>
      </c>
      <c r="AX305" s="18">
        <f>1-0.114</f>
        <v>0.88600000000000001</v>
      </c>
      <c r="AY305" s="18">
        <f>1-0.293</f>
        <v>0.70700000000000007</v>
      </c>
      <c r="AZ305" s="18">
        <f>1-0.526</f>
        <v>0.47399999999999998</v>
      </c>
      <c r="BA305" s="18">
        <f>1-0.311</f>
        <v>0.68900000000000006</v>
      </c>
      <c r="BB305" s="18">
        <f>1-0.391</f>
        <v>0.60899999999999999</v>
      </c>
      <c r="BC305" s="18">
        <f>1-0.507</f>
        <v>0.49299999999999999</v>
      </c>
      <c r="BD305" s="18">
        <f>1-0.59</f>
        <v>0.41000000000000003</v>
      </c>
      <c r="BE305" s="18">
        <f>1-0.622</f>
        <v>0.378</v>
      </c>
      <c r="BF305" s="18">
        <f>1-0.798</f>
        <v>0.20199999999999996</v>
      </c>
      <c r="BG305" s="18">
        <f>1-0.972</f>
        <v>2.8000000000000025E-2</v>
      </c>
      <c r="BH305" s="18"/>
      <c r="BI305" s="18"/>
      <c r="BJ305" s="18"/>
      <c r="BK305" s="18"/>
      <c r="BL305" s="18"/>
      <c r="BM305" s="18"/>
      <c r="BN305" s="18"/>
      <c r="BO305" s="18"/>
      <c r="BP305" s="18"/>
      <c r="BQ305" s="18"/>
      <c r="BR305" s="18"/>
      <c r="BS305" s="18"/>
      <c r="BT305" s="18"/>
      <c r="BU305" s="18"/>
      <c r="BV305" s="18"/>
      <c r="BW305" s="18"/>
      <c r="BX305" s="18"/>
      <c r="BY305" s="18"/>
      <c r="BZ305" s="18"/>
      <c r="CA305" s="18"/>
      <c r="CB305" s="18"/>
      <c r="CC305" s="18"/>
      <c r="CD305" s="18"/>
      <c r="CE305" s="18"/>
      <c r="CF305" s="18"/>
      <c r="CG305" s="18"/>
      <c r="CH305" s="18"/>
      <c r="CI305" s="18"/>
      <c r="CJ305" s="18"/>
      <c r="CK305" s="18"/>
      <c r="CL305" s="18"/>
      <c r="CM305" s="18"/>
      <c r="CN305" s="18"/>
      <c r="CO305" s="18"/>
      <c r="CP305" s="18"/>
      <c r="CQ305" s="18"/>
      <c r="CR305" s="17"/>
      <c r="CS305" s="17"/>
      <c r="CT305" s="17"/>
      <c r="CU305" s="17"/>
    </row>
    <row r="306" spans="1:99" s="19" customFormat="1" ht="12" customHeight="1" x14ac:dyDescent="0.2">
      <c r="A306" s="65">
        <v>43912</v>
      </c>
      <c r="B306" s="17"/>
      <c r="C306" s="17"/>
      <c r="D306" s="62"/>
      <c r="E306" s="78"/>
      <c r="F306" s="62"/>
      <c r="G306" s="62"/>
      <c r="H306" s="62"/>
      <c r="I306" s="62"/>
      <c r="J306" s="62"/>
      <c r="K306" s="64"/>
      <c r="L306" s="64"/>
      <c r="M306" s="62"/>
      <c r="N306" s="62"/>
      <c r="O306" s="62"/>
      <c r="P306" s="62"/>
      <c r="Q306" s="62"/>
      <c r="R306" s="60"/>
      <c r="S306" s="62"/>
      <c r="T306" s="62"/>
      <c r="U306" s="60"/>
      <c r="V306" s="62"/>
      <c r="W306" s="60"/>
      <c r="X306" s="62"/>
      <c r="Y306" s="76"/>
      <c r="Z306" s="62"/>
      <c r="AA306" s="62"/>
      <c r="AB306" s="60"/>
      <c r="AC306" s="60"/>
      <c r="AD306" s="60"/>
      <c r="AE306" s="60"/>
      <c r="AF306" s="80"/>
      <c r="AG306" s="56"/>
      <c r="AH306" s="4"/>
      <c r="AI306" s="85"/>
      <c r="AJ306" s="112"/>
      <c r="AK306" s="85"/>
      <c r="AL306" s="85"/>
      <c r="AM306" s="85"/>
      <c r="AN306" s="85"/>
      <c r="AO306" s="85"/>
      <c r="AP306" s="85"/>
      <c r="AQ306" s="85"/>
      <c r="AR306" s="112"/>
      <c r="AS306" s="85"/>
      <c r="AT306" s="85"/>
      <c r="AU306" s="4"/>
      <c r="AV306" s="137">
        <v>30</v>
      </c>
      <c r="AW306" s="137">
        <f>20*60</f>
        <v>1200</v>
      </c>
      <c r="AX306" s="137">
        <f>60*60</f>
        <v>3600</v>
      </c>
      <c r="AY306" s="137">
        <f>8*60*60</f>
        <v>28800</v>
      </c>
      <c r="AZ306" s="137">
        <f>24*60*60</f>
        <v>86400</v>
      </c>
      <c r="BA306" s="137">
        <f>2*24*60*60</f>
        <v>172800</v>
      </c>
      <c r="BB306" s="137">
        <f>3*24*60*60</f>
        <v>259200</v>
      </c>
      <c r="BC306" s="137">
        <f>4*24*60*60</f>
        <v>345600</v>
      </c>
      <c r="BD306" s="137">
        <f>5*24*60*60</f>
        <v>432000</v>
      </c>
      <c r="BE306" s="137">
        <f>6*24*60*60</f>
        <v>518400</v>
      </c>
      <c r="BF306" s="137">
        <f>7*24*60*60</f>
        <v>604800</v>
      </c>
      <c r="BG306" s="137">
        <f>14*24*60*60</f>
        <v>1209600</v>
      </c>
      <c r="BH306" s="137">
        <f>21*24*60*60</f>
        <v>1814400</v>
      </c>
      <c r="BI306" s="137">
        <f>30*24*60*60</f>
        <v>2592000</v>
      </c>
      <c r="BJ306" s="18"/>
      <c r="BK306" s="18"/>
      <c r="BL306" s="18"/>
      <c r="BM306" s="18"/>
      <c r="BN306" s="18"/>
      <c r="BO306" s="18"/>
      <c r="BP306" s="18"/>
      <c r="BQ306" s="18"/>
      <c r="BR306" s="18"/>
      <c r="BS306" s="18"/>
      <c r="BT306" s="18"/>
      <c r="BU306" s="18"/>
      <c r="BV306" s="18"/>
      <c r="BW306" s="18"/>
      <c r="BX306" s="18"/>
      <c r="BY306" s="18"/>
      <c r="BZ306" s="18"/>
      <c r="CA306" s="18"/>
      <c r="CB306" s="18"/>
      <c r="CC306" s="18"/>
      <c r="CD306" s="18"/>
      <c r="CE306" s="18"/>
      <c r="CF306" s="18"/>
      <c r="CG306" s="18"/>
      <c r="CH306" s="18"/>
      <c r="CI306" s="18"/>
      <c r="CJ306" s="18"/>
      <c r="CK306" s="18"/>
      <c r="CL306" s="18"/>
      <c r="CM306" s="18"/>
      <c r="CN306" s="18"/>
      <c r="CO306" s="18"/>
      <c r="CP306" s="18"/>
      <c r="CQ306" s="18"/>
      <c r="CR306" s="17"/>
      <c r="CS306" s="17"/>
      <c r="CT306" s="17"/>
      <c r="CU306" s="17"/>
    </row>
    <row r="307" spans="1:99" s="19" customFormat="1" ht="12" customHeight="1" x14ac:dyDescent="0.2">
      <c r="A307" s="65">
        <v>43912</v>
      </c>
      <c r="B307" s="17" t="s">
        <v>190</v>
      </c>
      <c r="C307" s="17" t="s">
        <v>191</v>
      </c>
      <c r="D307" s="62">
        <v>1907</v>
      </c>
      <c r="E307" s="78"/>
      <c r="F307" s="62">
        <v>18</v>
      </c>
      <c r="G307" s="62">
        <v>18</v>
      </c>
      <c r="H307" s="62" t="s">
        <v>755</v>
      </c>
      <c r="I307" s="62"/>
      <c r="J307" s="62" t="s">
        <v>677</v>
      </c>
      <c r="K307" s="60">
        <f>IF(J307="syllables",1,IF(J307="trigrams",2,IF(J307="strings",3,IF(J307="visual array",4,IF(J307="characters",5,IF(J307="letters",6,IF(J307="free forms",7,IF(J307="odors",8,IF(J307="words",9,IF(J307="pictures",10,IF(J307="object pictures",11,IF(J307="faces",12,IF(J307="names",13,IF(J307="idioms",14,IF(J307="grades",15,IF(J307="syllable-digit pairs",16,IF(J307="trigram-word pairs",17,IF(J307="word-digit pairs",18,IF(J307="English-Swahili pairs",19,IF(J307="spatial position",20,IF(J307="word pairs",21,IF(J307="word triads",22,IF(J307="generated words",23,IF(J307="word definition pairs",24,IF(J307="math problems",25,IF(J307="famous faces",26,IF(J307="famous names",27,IF(J307="famous voices",28,IF(J307="television programs",29,IF(J307="race horses",30,IF(J307="new vocabulary",31,IF(J307="sentences",32,IF(J307="concepts",33,IF(J307="ad slides",34,IF(J307="scenes",35,IF(J307="famous scenes",36,IF(J307="poems",37,IF(J307="walk",38,IF(J307="faces and events",39,IF(J307="events and names",40,IF(J307="flashbulb",41,IF(J307="stories",42,IF(J307="course material",43,IF(J307="autobiographical",44,IF(J307="novels",45,IF(J307="public events",46,"99"))))))))))))))))))))))))))))))))))))))))))))))</f>
        <v>42</v>
      </c>
      <c r="L307" s="60">
        <f>IF(J307="syllables",1,IF(J307="trigrams",1,IF(J307="strings",1,IF(J307="visual array",1,IF(J307="characters",1,IF(J307="letters",1,IF(J307="free forms",1,IF(J307="odors",2,IF(J307="words",2,IF(J307="pictures",2,IF(J307="object pictures",2,IF(J307="faces",2,IF(J307="names",2,IF(J307="idioms","2",IF(J307="grades",2,IF(J307="syllable-digit pairs",3,IF(J307="trigram-word pairs",3,IF(J307="word-digit pairs",3,IF(J307="English-Swahili pairs",3,IF(J307="spatial position",3,IF(J307="word pairs",4,IF(J307="word triads",4,IF(J307="generated words",4,IF(J307="word definition pairs",4,IF(J307="math problems",4,IF(J307="famous faces",4,IF(J307="famous names",4,IF(J307="famous voices",4,IF(J307="television programs",4,IF(J307="race horses",4,IF(J307="new vocabulary",4,IF(J307="sentences",5,IF(J307="concepts",5,IF(J307="ad slides",5,IF(J307="scenes",5,IF(J307="famous scenes",5,IF(J307="poems",6,IF(J307="walk",6,IF(J307="faces and events",6,IF(J307="events and names",6,IF(J307="flashbulb",7,IF(J307="stories",7,IF(J307="course material",7,IF(J307="autobiographical",7,IF(J307="novels",7,IF(J307="public events",7,"99"))))))))))))))))))))))))))))))))))))))))))))))</f>
        <v>7</v>
      </c>
      <c r="M307" s="62">
        <v>1</v>
      </c>
      <c r="N307" s="62">
        <v>3</v>
      </c>
      <c r="O307" s="62">
        <v>0</v>
      </c>
      <c r="P307" s="62"/>
      <c r="Q307" s="62" t="s">
        <v>87</v>
      </c>
      <c r="R307" s="60">
        <f>IF(Q307="Free Recall",1,IF(Q307="Cued Recall",2,IF(Q307="Recognition",3,IF(Q307="Multiple Choice",4,IF(Q307="Savings",5,IF(Q307="Stem Completion",6,IF(Q307="Fragment Completion",7,IF(Q307="anagram solution",8,IF(Q307="Matching",9,IF(Q307="Problem Solving",10,"99"))))))))))</f>
        <v>5</v>
      </c>
      <c r="S307" s="62" t="s">
        <v>99</v>
      </c>
      <c r="T307" s="59" t="s">
        <v>581</v>
      </c>
      <c r="U307" s="60">
        <f>IF(T307="within",1,0)</f>
        <v>1</v>
      </c>
      <c r="V307" s="59">
        <v>132</v>
      </c>
      <c r="W307" s="60">
        <f>F307*V307</f>
        <v>2376</v>
      </c>
      <c r="X307" s="62">
        <v>14</v>
      </c>
      <c r="Y307" s="76">
        <f>AV306</f>
        <v>30</v>
      </c>
      <c r="Z307" s="62" t="s">
        <v>185</v>
      </c>
      <c r="AA307" s="78">
        <f>30*24*60*60</f>
        <v>2592000</v>
      </c>
      <c r="AB307" s="60" t="str">
        <f>IF(AA307&lt;60,"1",IF(AA307&lt;=43200,"2",IF(AA307&lt;=777600,"3","4")))</f>
        <v>4</v>
      </c>
      <c r="AC307" s="56">
        <f>AVERAGE(AV306:DA306)</f>
        <v>576345</v>
      </c>
      <c r="AD307" s="60" t="str">
        <f>IF(AC307&lt;60,"1",IF(AC307&lt;=43200,"2",IF(AC307&lt;=777600,"3","4")))</f>
        <v>3</v>
      </c>
      <c r="AE307" s="76">
        <f>AA307-Y307</f>
        <v>2591970</v>
      </c>
      <c r="AF307" s="80">
        <f>AV307</f>
        <v>1</v>
      </c>
      <c r="AG307" s="56">
        <f>((AW307-AV307)+(AX307-AW307)+(AY307-AX307)+(AZ307-AY307)+(BA307-AZ307)+(BB307-BA307)+(BC307-BB307)+(BD307-BC307)+(BE307-BD307)+(BF307-BE307)+(BG307-BF307)+(BH307-BG307)+(BI307-BH307))/13</f>
        <v>-5.8538461538461539E-2</v>
      </c>
      <c r="AH307" s="4"/>
      <c r="AI307" s="56">
        <f>RSQ(AV307:BI307,AV306:BI306)</f>
        <v>0.55957144339909293</v>
      </c>
      <c r="AJ307" s="109">
        <f>SLOPE(AV307:BI307,AV306:BI306)</f>
        <v>-2.1494989473687514E-7</v>
      </c>
      <c r="AK307" s="56">
        <f>INTERCEPT(AV307:BI307,AV306:BI306)</f>
        <v>0.72417101136783857</v>
      </c>
      <c r="AL307" s="56" cm="1">
        <f t="array" ref="AL307">INDEX(LINEST(LN(AV307:BI307),LN(AV306:BI306),TRUE,TRUE),3,1)</f>
        <v>0.65616176743180732</v>
      </c>
      <c r="AM307" s="56" cm="1">
        <f t="array" ref="AM307">_xlfn.SINGLE(INDEX(LINEST(LN(AV307:BI307),LN(AV306:BI306)),1))</f>
        <v>-0.10212579563002942</v>
      </c>
      <c r="AN307" s="56" cm="1">
        <f t="array" ref="AN307">EXP(INDEX(LINEST(LN(AV307:BI307),LN(AV306:BI306)),1,2))</f>
        <v>1.7998411266496612</v>
      </c>
      <c r="AO307" s="82" cm="1">
        <f t="array" ref="AO307">INDEX(LINEST((AV307:BI307),LN(AV306:BI306),TRUE,TRUE),3,1)</f>
        <v>0.79567437159459786</v>
      </c>
      <c r="AP307" s="82" cm="1">
        <f t="array" ref="AP307">_xlfn.SINGLE(INDEX(LINEST((AV307:BI307),LN(AV306:BI306)),1))</f>
        <v>-6.2123139761289518E-2</v>
      </c>
      <c r="AQ307" s="83" cm="1">
        <f t="array" ref="AQ307">INDEX(LINEST(LN(AV307:BI307),SQRT(AV306:BI306),TRUE,TRUE),3,1)</f>
        <v>0.80932217832985442</v>
      </c>
      <c r="AR307" s="116" cm="1">
        <f t="array" ref="AR307">_xlfn.SINGLE(INDEX(LINEST(LN(AV307:BI307),SQRT((AV306:BI306))),1))</f>
        <v>-7.3822700359478478E-4</v>
      </c>
      <c r="AS307" s="84" cm="1">
        <f t="array" ref="AS307">INDEX(LINEST(1/(AV307:BI307),1/(SQRT(AV306:BI306)),TRUE,TRUE),3,1)</f>
        <v>0.14581641244332327</v>
      </c>
      <c r="AT307" s="84" cm="1">
        <f t="array" ref="AT307">_xlfn.SINGLE(INDEX(LINEST(1/(AV307:BI307),1/SQRT(AV306:BI306)),1))</f>
        <v>-6.9996605514066381</v>
      </c>
      <c r="AU307" s="3"/>
      <c r="AV307" s="18">
        <v>1</v>
      </c>
      <c r="AW307" s="18">
        <f>1-0.039</f>
        <v>0.96099999999999997</v>
      </c>
      <c r="AX307" s="18">
        <f>1-0.217</f>
        <v>0.78300000000000003</v>
      </c>
      <c r="AY307" s="18">
        <f>1-0.419</f>
        <v>0.58099999999999996</v>
      </c>
      <c r="AZ307" s="18">
        <f>1-0.203</f>
        <v>0.79699999999999993</v>
      </c>
      <c r="BA307" s="18">
        <f>1-0.332</f>
        <v>0.66799999999999993</v>
      </c>
      <c r="BB307" s="18">
        <f>1-0.435</f>
        <v>0.56499999999999995</v>
      </c>
      <c r="BC307" s="18">
        <f>1-0.455</f>
        <v>0.54499999999999993</v>
      </c>
      <c r="BD307" s="18">
        <f>1-0.435</f>
        <v>0.56499999999999995</v>
      </c>
      <c r="BE307" s="18">
        <f>1-0.576</f>
        <v>0.42400000000000004</v>
      </c>
      <c r="BF307" s="18">
        <f>1-0.5</f>
        <v>0.5</v>
      </c>
      <c r="BG307" s="18">
        <f>1-0.7</f>
        <v>0.30000000000000004</v>
      </c>
      <c r="BH307" s="18">
        <f>1-0.524</f>
        <v>0.47599999999999998</v>
      </c>
      <c r="BI307" s="18">
        <f>1-0.761</f>
        <v>0.23899999999999999</v>
      </c>
      <c r="BJ307" s="18"/>
      <c r="BK307" s="18"/>
      <c r="BL307" s="18"/>
      <c r="BM307" s="18"/>
      <c r="BN307" s="18"/>
      <c r="BO307" s="18"/>
      <c r="BP307" s="18"/>
      <c r="BQ307" s="18"/>
      <c r="BR307" s="18"/>
      <c r="BS307" s="18"/>
      <c r="BT307" s="18"/>
      <c r="BU307" s="18"/>
      <c r="BV307" s="18"/>
      <c r="BW307" s="18"/>
      <c r="BX307" s="18"/>
      <c r="BY307" s="18"/>
      <c r="BZ307" s="18"/>
      <c r="CA307" s="18"/>
      <c r="CB307" s="18"/>
      <c r="CC307" s="18"/>
      <c r="CD307" s="18"/>
      <c r="CE307" s="18"/>
      <c r="CF307" s="18"/>
      <c r="CG307" s="18"/>
      <c r="CH307" s="18"/>
      <c r="CI307" s="18"/>
      <c r="CJ307" s="18"/>
      <c r="CK307" s="18"/>
      <c r="CL307" s="18"/>
      <c r="CM307" s="18"/>
      <c r="CN307" s="18"/>
      <c r="CO307" s="18"/>
      <c r="CP307" s="18"/>
      <c r="CQ307" s="18"/>
      <c r="CR307" s="17"/>
      <c r="CS307" s="17"/>
      <c r="CT307" s="17"/>
      <c r="CU307" s="17"/>
    </row>
    <row r="308" spans="1:99" s="19" customFormat="1" ht="12" customHeight="1" x14ac:dyDescent="0.2">
      <c r="A308" s="68">
        <v>43509</v>
      </c>
      <c r="B308" s="100"/>
      <c r="C308" s="100"/>
      <c r="D308" s="99"/>
      <c r="E308" s="106"/>
      <c r="F308" s="99"/>
      <c r="G308" s="99"/>
      <c r="H308" s="99"/>
      <c r="I308" s="99"/>
      <c r="J308" s="99"/>
      <c r="K308" s="107"/>
      <c r="L308" s="107"/>
      <c r="M308" s="99"/>
      <c r="N308" s="99"/>
      <c r="O308" s="99"/>
      <c r="P308" s="99"/>
      <c r="Q308" s="99"/>
      <c r="R308" s="69"/>
      <c r="S308" s="99"/>
      <c r="T308" s="99"/>
      <c r="U308" s="60"/>
      <c r="V308" s="99"/>
      <c r="W308" s="69"/>
      <c r="X308" s="99"/>
      <c r="Y308" s="87"/>
      <c r="Z308" s="99"/>
      <c r="AA308" s="99"/>
      <c r="AB308" s="69"/>
      <c r="AC308" s="69"/>
      <c r="AD308" s="69"/>
      <c r="AE308" s="69"/>
      <c r="AF308" s="88"/>
      <c r="AG308" s="72"/>
      <c r="AH308" s="4"/>
      <c r="AI308" s="123"/>
      <c r="AJ308" s="124"/>
      <c r="AK308" s="123"/>
      <c r="AL308" s="123"/>
      <c r="AM308" s="123"/>
      <c r="AN308" s="123"/>
      <c r="AO308" s="123"/>
      <c r="AP308" s="123"/>
      <c r="AQ308" s="72"/>
      <c r="AR308" s="110"/>
      <c r="AS308" s="72"/>
      <c r="AT308" s="72"/>
      <c r="AU308" s="4"/>
      <c r="AV308" s="71">
        <f>60</f>
        <v>60</v>
      </c>
      <c r="AW308" s="71">
        <f>3600</f>
        <v>3600</v>
      </c>
      <c r="AX308" s="71">
        <f>24*3600</f>
        <v>86400</v>
      </c>
      <c r="AY308" s="71">
        <f>7*24*3600</f>
        <v>604800</v>
      </c>
      <c r="AZ308" s="71">
        <f>14*24*3600</f>
        <v>1209600</v>
      </c>
      <c r="BA308" s="18"/>
      <c r="BB308" s="18"/>
      <c r="BC308" s="18"/>
      <c r="BD308" s="18"/>
      <c r="BE308" s="18"/>
      <c r="BF308" s="18"/>
      <c r="BG308" s="18"/>
      <c r="BH308" s="18"/>
      <c r="BI308" s="18"/>
      <c r="BJ308" s="18"/>
      <c r="BK308" s="18"/>
      <c r="BL308" s="18"/>
      <c r="BM308" s="18"/>
      <c r="BN308" s="18"/>
      <c r="BO308" s="18"/>
      <c r="BP308" s="18"/>
      <c r="BQ308" s="18"/>
      <c r="BR308" s="18"/>
      <c r="BS308" s="18"/>
      <c r="BT308" s="18"/>
      <c r="BU308" s="18"/>
      <c r="BV308" s="18"/>
      <c r="BW308" s="18"/>
      <c r="BX308" s="18"/>
      <c r="BY308" s="18"/>
      <c r="BZ308" s="18"/>
      <c r="CA308" s="18"/>
      <c r="CB308" s="18"/>
      <c r="CC308" s="18"/>
      <c r="CD308" s="18"/>
      <c r="CE308" s="18"/>
      <c r="CF308" s="18"/>
      <c r="CG308" s="18"/>
      <c r="CH308" s="18"/>
      <c r="CI308" s="18"/>
      <c r="CJ308" s="18"/>
      <c r="CK308" s="18"/>
      <c r="CL308" s="18"/>
      <c r="CM308" s="18"/>
      <c r="CN308" s="18"/>
      <c r="CO308" s="18"/>
      <c r="CP308" s="18"/>
      <c r="CQ308" s="18"/>
      <c r="CR308" s="17"/>
      <c r="CS308" s="17"/>
      <c r="CT308" s="17"/>
      <c r="CU308" s="17"/>
    </row>
    <row r="309" spans="1:99" s="19" customFormat="1" ht="12" customHeight="1" x14ac:dyDescent="0.2">
      <c r="A309" s="68">
        <v>43509</v>
      </c>
      <c r="B309" s="100" t="s">
        <v>161</v>
      </c>
      <c r="C309" s="100" t="s">
        <v>75</v>
      </c>
      <c r="D309" s="99">
        <v>2017</v>
      </c>
      <c r="E309" s="106">
        <v>1</v>
      </c>
      <c r="F309" s="99">
        <v>200</v>
      </c>
      <c r="G309" s="99">
        <v>40</v>
      </c>
      <c r="H309" s="99" t="s">
        <v>17</v>
      </c>
      <c r="I309" s="99"/>
      <c r="J309" s="99" t="s">
        <v>475</v>
      </c>
      <c r="K309" s="69">
        <f>IF(J309="syllables",1,IF(J309="trigrams",2,IF(J309="strings",3,IF(J309="visual array",4,IF(J309="characters",5,IF(J309="letters",6,IF(J309="free forms",7,IF(J309="odors",8,IF(J309="words",9,IF(J309="pictures",10,IF(J309="object pictures",11,IF(J309="faces",12,IF(J309="names",13,IF(J309="idioms",14,IF(J309="grades",15,IF(J309="syllable-digit pairs",16,IF(J309="trigram-word pairs",17,IF(J309="word-digit pairs",18,IF(J309="English-Swahili pairs",19,IF(J309="spatial position",20,IF(J309="word pairs",21,IF(J309="word triads",22,IF(J309="generated words",23,IF(J309="word definition pairs",24,IF(J309="math problems",25,IF(J309="famous faces",26,IF(J309="famous names",27,IF(J309="famous voices",28,IF(J309="television programs",29,IF(J309="race horses",30,IF(J309="new vocabulary",31,IF(J309="sentences",32,IF(J309="concepts",33,IF(J309="ad slides",34,IF(J309="scenes",35,IF(J309="famous scenes",36,IF(J309="poems",37,IF(J309="walk",38,IF(J309="faces and events",39,IF(J309="events and names",40,IF(J309="flashbulb",41,IF(J309="stories",42,IF(J309="course material",43,IF(J309="autobiographical",44,IF(J309="novels",45,IF(J309="public events",46,"99"))))))))))))))))))))))))))))))))))))))))))))))</f>
        <v>32</v>
      </c>
      <c r="L309" s="69">
        <f>IF(J309="syllables",1,IF(J309="trigrams",1,IF(J309="strings",1,IF(J309="visual array",1,IF(J309="characters",1,IF(J309="letters",1,IF(J309="free forms",1,IF(J309="odors",2,IF(J309="words",2,IF(J309="pictures",2,IF(J309="object pictures",2,IF(J309="faces",2,IF(J309="names",2,IF(J309="idioms","2",IF(J309="grades",2,IF(J309="syllable-digit pairs",3,IF(J309="trigram-word pairs",3,IF(J309="word-digit pairs",3,IF(J309="English-Swahili pairs",3,IF(J309="spatial position",3,IF(J309="word pairs",4,IF(J309="word triads",4,IF(J309="generated words",4,IF(J309="word definition pairs",4,IF(J309="math problems",4,IF(J309="famous faces",4,IF(J309="famous names",4,IF(J309="famous voices",4,IF(J309="television programs",4,IF(J309="race horses",4,IF(J309="new vocabulary",4,IF(J309="sentences",5,IF(J309="concepts",5,IF(J309="ad slides",5,IF(J309="scenes",5,IF(J309="famous scenes",5,IF(J309="poems",6,IF(J309="walk",6,IF(J309="faces and events",6,IF(J309="events and names",6,IF(J309="flashbulb",7,IF(J309="stories",7,IF(J309="course material",7,IF(J309="autobiographical",7,IF(J309="novels",7,IF(J309="public events",7,"99"))))))))))))))))))))))))))))))))))))))))))))))</f>
        <v>5</v>
      </c>
      <c r="M309" s="99">
        <v>1</v>
      </c>
      <c r="N309" s="99">
        <v>4</v>
      </c>
      <c r="O309" s="99">
        <v>0</v>
      </c>
      <c r="P309" s="99"/>
      <c r="Q309" s="99" t="s">
        <v>34</v>
      </c>
      <c r="R309" s="69">
        <f>IF(Q309="Free Recall",1,IF(Q309="Cued Recall",2,IF(Q309="Recognition",3,IF(Q309="Multiple Choice",4,IF(Q309="Savings",5,IF(Q309="Stem Completion",6,IF(Q309="Fragment Completion",7,IF(Q309="anagram solution",8,IF(Q309="Matching",9,IF(Q309="Problem Solving",10,"99"))))))))))</f>
        <v>3</v>
      </c>
      <c r="S309" s="99" t="s">
        <v>15</v>
      </c>
      <c r="T309" s="99" t="s">
        <v>261</v>
      </c>
      <c r="U309" s="60">
        <f>IF(T309="within",1,0)</f>
        <v>0</v>
      </c>
      <c r="V309" s="99">
        <v>18</v>
      </c>
      <c r="W309" s="69">
        <f>F309*V309</f>
        <v>3600</v>
      </c>
      <c r="X309" s="99">
        <v>5</v>
      </c>
      <c r="Y309" s="87">
        <f>AV308</f>
        <v>60</v>
      </c>
      <c r="Z309" s="99" t="s">
        <v>162</v>
      </c>
      <c r="AA309" s="99">
        <v>1209600</v>
      </c>
      <c r="AB309" s="69" t="str">
        <f>IF(AA309&lt;60,"1",IF(AA309&lt;=43200,"2",IF(AA309&lt;=777600,"3","4")))</f>
        <v>4</v>
      </c>
      <c r="AC309" s="72">
        <f>AVERAGE(AV308:DA308)</f>
        <v>380892</v>
      </c>
      <c r="AD309" s="69" t="str">
        <f>IF(AC309&lt;60,"1",IF(AC309&lt;=43200,"2",IF(AC309&lt;=777600,"3","4")))</f>
        <v>3</v>
      </c>
      <c r="AE309" s="87">
        <f>AA309-Y309</f>
        <v>1209540</v>
      </c>
      <c r="AF309" s="88">
        <f>AV309</f>
        <v>0.97799999999999998</v>
      </c>
      <c r="AG309" s="72">
        <f>((AW309-AV309)+(AX309-AW309)+(AY309-AX309)+(AZ309-AY309))/4</f>
        <v>-3.4000000000000002E-2</v>
      </c>
      <c r="AH309" s="4"/>
      <c r="AI309" s="72">
        <f>RSQ(AV309:AZ309,AV308:AZ308)</f>
        <v>0.91156745691797425</v>
      </c>
      <c r="AJ309" s="110">
        <f>SLOPE(AV309:AZ309,AV308:AZ308)</f>
        <v>-9.7679834758752889E-8</v>
      </c>
      <c r="AK309" s="72">
        <f>INTERCEPT(AV309:AZ309,AV308:AZ308)</f>
        <v>0.97140546762093083</v>
      </c>
      <c r="AL309" s="72">
        <f>INDEX(LINEST(LN(AV309:AZ309),LN(AV308:AZ308),TRUE,TRUE),3,1)</f>
        <v>0.53903566619691801</v>
      </c>
      <c r="AM309" s="72">
        <f>INDEX(LINEST(LN(AV309:AZ309),LN(AV308:AZ308)),1)</f>
        <v>-1.0711676187510158E-2</v>
      </c>
      <c r="AN309" s="72">
        <f>EXP(INDEX(LINEST(LN(AV309:AZ309),LN(AV308:AZ308)),1,2))</f>
        <v>1.0405339728262208</v>
      </c>
      <c r="AO309" s="89">
        <f>INDEX(LINEST((AV309:AZ309),LN(AV308:AZ308),TRUE,TRUE),3,1)</f>
        <v>0.55597663309119283</v>
      </c>
      <c r="AP309" s="89">
        <f>INDEX(LINEST((AV309:AZ309),LN(AV308:AZ308)),1)</f>
        <v>-9.8337313763421814E-3</v>
      </c>
      <c r="AQ309" s="90">
        <f>INDEX(LINEST(LN(AV309:AZ309),SQRT(AV308:AZ308),TRUE,TRUE),3,1)</f>
        <v>0.81339114248204525</v>
      </c>
      <c r="AR309" s="117">
        <f>INDEX(LINEST(LN(AV309:AZ309),SQRT((AV308:AZ308))),1)</f>
        <v>-1.1330613132549288E-4</v>
      </c>
      <c r="AS309" s="91">
        <f>INDEX(LINEST(1/(AV309:AZ309),1/(SQRT(AV308:AZ308)),TRUE,TRUE),3,1)</f>
        <v>0.23879486838813058</v>
      </c>
      <c r="AT309" s="91">
        <f>INDEX(LINEST(1/(AV309:AZ309),1/SQRT(AV308:AZ308)),1)</f>
        <v>-0.5808389108307882</v>
      </c>
      <c r="AU309" s="3"/>
      <c r="AV309" s="73">
        <v>0.97799999999999998</v>
      </c>
      <c r="AW309" s="73">
        <v>0.96599999999999997</v>
      </c>
      <c r="AX309" s="73">
        <v>0.94799999999999995</v>
      </c>
      <c r="AY309" s="73">
        <v>0.93700000000000006</v>
      </c>
      <c r="AZ309" s="73">
        <v>0.84199999999999997</v>
      </c>
      <c r="BA309" s="18"/>
      <c r="BB309" s="18"/>
      <c r="BC309" s="18"/>
      <c r="BD309" s="18"/>
      <c r="BE309" s="18"/>
      <c r="BF309" s="18"/>
      <c r="BG309" s="18"/>
      <c r="BH309" s="18"/>
      <c r="BI309" s="18"/>
      <c r="BJ309" s="18"/>
      <c r="BK309" s="18"/>
      <c r="BL309" s="18"/>
      <c r="BM309" s="18"/>
      <c r="BN309" s="18"/>
      <c r="BO309" s="18"/>
      <c r="BP309" s="18"/>
      <c r="BQ309" s="18"/>
      <c r="BR309" s="18"/>
      <c r="BS309" s="18"/>
      <c r="BT309" s="18"/>
      <c r="BU309" s="18"/>
      <c r="BV309" s="18"/>
      <c r="BW309" s="18"/>
      <c r="BX309" s="18"/>
      <c r="BY309" s="18"/>
      <c r="BZ309" s="18"/>
      <c r="CA309" s="18"/>
      <c r="CB309" s="18"/>
      <c r="CC309" s="18"/>
      <c r="CD309" s="18"/>
      <c r="CE309" s="18"/>
      <c r="CF309" s="18"/>
      <c r="CG309" s="18"/>
      <c r="CH309" s="18"/>
      <c r="CI309" s="18"/>
      <c r="CJ309" s="18"/>
      <c r="CK309" s="18"/>
      <c r="CL309" s="18"/>
      <c r="CM309" s="18"/>
      <c r="CN309" s="18"/>
      <c r="CO309" s="18"/>
      <c r="CP309" s="18"/>
      <c r="CQ309" s="18"/>
      <c r="CR309" s="17"/>
      <c r="CS309" s="17"/>
      <c r="CT309" s="17"/>
      <c r="CU309" s="17"/>
    </row>
    <row r="310" spans="1:99" s="13" customFormat="1" ht="12" customHeight="1" x14ac:dyDescent="0.2">
      <c r="A310" s="68">
        <v>43897</v>
      </c>
      <c r="B310" s="67"/>
      <c r="C310" s="67"/>
      <c r="D310" s="86"/>
      <c r="E310" s="87"/>
      <c r="F310" s="69"/>
      <c r="G310" s="69"/>
      <c r="H310" s="69"/>
      <c r="I310" s="69"/>
      <c r="J310" s="69"/>
      <c r="K310" s="107"/>
      <c r="L310" s="107"/>
      <c r="M310" s="69"/>
      <c r="N310" s="69"/>
      <c r="O310" s="69"/>
      <c r="P310" s="69"/>
      <c r="Q310" s="69"/>
      <c r="R310" s="69"/>
      <c r="S310" s="69"/>
      <c r="T310" s="69"/>
      <c r="U310" s="60"/>
      <c r="V310" s="69"/>
      <c r="W310" s="69"/>
      <c r="X310" s="69"/>
      <c r="Y310" s="87"/>
      <c r="Z310" s="69"/>
      <c r="AA310" s="69"/>
      <c r="AB310" s="69"/>
      <c r="AC310" s="72"/>
      <c r="AD310" s="69"/>
      <c r="AE310" s="69"/>
      <c r="AF310" s="88"/>
      <c r="AG310" s="72"/>
      <c r="AH310" s="4"/>
      <c r="AI310" s="72"/>
      <c r="AJ310" s="110"/>
      <c r="AK310" s="72"/>
      <c r="AL310" s="72"/>
      <c r="AM310" s="72"/>
      <c r="AN310" s="72"/>
      <c r="AO310" s="72"/>
      <c r="AP310" s="72"/>
      <c r="AQ310" s="72"/>
      <c r="AR310" s="110"/>
      <c r="AS310" s="72"/>
      <c r="AT310" s="72"/>
      <c r="AU310" s="5"/>
      <c r="AV310" s="71">
        <v>157680000</v>
      </c>
      <c r="AW310" s="71">
        <v>473040000</v>
      </c>
      <c r="AX310" s="71">
        <v>788400000</v>
      </c>
      <c r="AY310" s="73"/>
      <c r="AZ310" s="53"/>
      <c r="BA310" s="53"/>
      <c r="BB310" s="53"/>
      <c r="BC310" s="53"/>
      <c r="BD310" s="53"/>
      <c r="BE310" s="53"/>
      <c r="BF310" s="53"/>
      <c r="BG310" s="53"/>
      <c r="BH310" s="53"/>
      <c r="BI310" s="53"/>
      <c r="BJ310" s="53"/>
      <c r="BK310" s="53"/>
      <c r="BL310" s="53"/>
      <c r="BM310" s="53"/>
      <c r="BN310" s="53"/>
      <c r="BO310" s="53"/>
      <c r="BP310" s="53"/>
      <c r="BQ310" s="53"/>
      <c r="BR310" s="53"/>
      <c r="BS310" s="53"/>
      <c r="BT310" s="53"/>
      <c r="BU310" s="53"/>
      <c r="BV310" s="53"/>
      <c r="BW310" s="53"/>
      <c r="BX310" s="53"/>
      <c r="BY310" s="53"/>
      <c r="BZ310" s="53"/>
      <c r="CA310" s="53"/>
      <c r="CB310" s="53"/>
      <c r="CC310" s="53"/>
      <c r="CD310" s="53"/>
      <c r="CE310" s="53"/>
      <c r="CF310" s="53"/>
      <c r="CG310" s="53"/>
      <c r="CH310" s="53"/>
      <c r="CI310" s="53"/>
      <c r="CJ310" s="53"/>
      <c r="CK310" s="53"/>
      <c r="CL310" s="53"/>
      <c r="CM310" s="53"/>
      <c r="CN310" s="53"/>
      <c r="CO310" s="53"/>
      <c r="CP310" s="53"/>
      <c r="CQ310" s="53"/>
      <c r="CR310" s="1"/>
      <c r="CS310" s="1"/>
      <c r="CT310" s="1"/>
      <c r="CU310" s="1"/>
    </row>
    <row r="311" spans="1:99" s="13" customFormat="1" ht="12" customHeight="1" x14ac:dyDescent="0.2">
      <c r="A311" s="68">
        <v>43897</v>
      </c>
      <c r="B311" s="70" t="s">
        <v>400</v>
      </c>
      <c r="C311" s="70" t="s">
        <v>401</v>
      </c>
      <c r="D311" s="69">
        <v>1998</v>
      </c>
      <c r="E311" s="106">
        <v>1</v>
      </c>
      <c r="F311" s="69">
        <v>9</v>
      </c>
      <c r="G311" s="69">
        <v>9</v>
      </c>
      <c r="H311" s="69" t="s">
        <v>32</v>
      </c>
      <c r="I311" s="69" t="s">
        <v>330</v>
      </c>
      <c r="J311" s="69" t="s">
        <v>340</v>
      </c>
      <c r="K311" s="69">
        <f>IF(J311="syllables",1,IF(J311="trigrams",2,IF(J311="strings",3,IF(J311="visual array",4,IF(J311="characters",5,IF(J311="letters",6,IF(J311="free forms",7,IF(J311="odors",8,IF(J311="words",9,IF(J311="pictures",10,IF(J311="object pictures",11,IF(J311="faces",12,IF(J311="names",13,IF(J311="idioms",14,IF(J311="grades",15,IF(J311="syllable-digit pairs",16,IF(J311="trigram-word pairs",17,IF(J311="word-digit pairs",18,IF(J311="English-Swahili pairs",19,IF(J311="spatial position",20,IF(J311="word pairs",21,IF(J311="word triads",22,IF(J311="generated words",23,IF(J311="word definition pairs",24,IF(J311="math problems",25,IF(J311="famous faces",26,IF(J311="famous names",27,IF(J311="famous voices",28,IF(J311="television programs",29,IF(J311="race horses",30,IF(J311="new vocabulary",31,IF(J311="sentences",32,IF(J311="concepts",33,IF(J311="ad slides",34,IF(J311="scenes",35,IF(J311="famous scenes",36,IF(J311="poems",37,IF(J311="walk",38,IF(J311="faces and events",39,IF(J311="events and names",40,IF(J311="flashbulb",41,IF(J311="stories",42,IF(J311="course material",43,IF(J311="autobiographical",44,IF(J311="novels",45,IF(J311="public events",46,"99"))))))))))))))))))))))))))))))))))))))))))))))</f>
        <v>46</v>
      </c>
      <c r="L311" s="69">
        <f>IF(J311="syllables",1,IF(J311="trigrams",1,IF(J311="strings",1,IF(J311="visual array",1,IF(J311="characters",1,IF(J311="letters",1,IF(J311="free forms",1,IF(J311="odors",2,IF(J311="words",2,IF(J311="pictures",2,IF(J311="object pictures",2,IF(J311="faces",2,IF(J311="names",2,IF(J311="idioms","2",IF(J311="grades",2,IF(J311="syllable-digit pairs",3,IF(J311="trigram-word pairs",3,IF(J311="word-digit pairs",3,IF(J311="English-Swahili pairs",3,IF(J311="spatial position",3,IF(J311="word pairs",4,IF(J311="word triads",4,IF(J311="generated words",4,IF(J311="word definition pairs",4,IF(J311="math problems",4,IF(J311="famous faces",4,IF(J311="famous names",4,IF(J311="famous voices",4,IF(J311="television programs",4,IF(J311="race horses",4,IF(J311="new vocabulary",4,IF(J311="sentences",5,IF(J311="concepts",5,IF(J311="ad slides",5,IF(J311="scenes",5,IF(J311="famous scenes",5,IF(J311="poems",6,IF(J311="walk",6,IF(J311="faces and events",6,IF(J311="events and names",6,IF(J311="flashbulb",7,IF(J311="stories",7,IF(J311="course material",7,IF(J311="autobiographical",7,IF(J311="novels",7,IF(J311="public events",7,"99"))))))))))))))))))))))))))))))))))))))))))))))</f>
        <v>7</v>
      </c>
      <c r="M311" s="99">
        <v>1</v>
      </c>
      <c r="N311" s="69">
        <v>4</v>
      </c>
      <c r="O311" s="99">
        <v>0</v>
      </c>
      <c r="P311" s="69"/>
      <c r="Q311" s="69" t="s">
        <v>174</v>
      </c>
      <c r="R311" s="69">
        <f>IF(Q311="Free Recall",1,IF(Q311="Cued Recall",2,IF(Q311="Recognition",3,IF(Q311="Multiple Choice",4,IF(Q311="Savings",5,IF(Q311="Stem Completion",6,IF(Q311="Fragment Completion",7,IF(Q311="anagram solution",8,IF(Q311="Matching",9,IF(Q311="Problem Solving",10,"99"))))))))))</f>
        <v>1</v>
      </c>
      <c r="S311" s="69" t="s">
        <v>49</v>
      </c>
      <c r="T311" s="92" t="s">
        <v>581</v>
      </c>
      <c r="U311" s="60">
        <f>IF(T311="within",1,0)</f>
        <v>1</v>
      </c>
      <c r="V311" s="92">
        <v>145</v>
      </c>
      <c r="W311" s="69">
        <f>F311*V311</f>
        <v>1305</v>
      </c>
      <c r="X311" s="69">
        <v>3</v>
      </c>
      <c r="Y311" s="87">
        <f>AV310</f>
        <v>157680000</v>
      </c>
      <c r="Z311" s="92" t="s">
        <v>428</v>
      </c>
      <c r="AA311" s="69">
        <f>25*365*24*60*60</f>
        <v>788400000</v>
      </c>
      <c r="AB311" s="69" t="str">
        <f>IF(AA311&lt;60,"1",IF(AA311&lt;=43200,"2",IF(AA311&lt;=777600,"3","4")))</f>
        <v>4</v>
      </c>
      <c r="AC311" s="72">
        <f>AVERAGE(AV310:DA310)</f>
        <v>473040000</v>
      </c>
      <c r="AD311" s="69" t="str">
        <f>IF(AC311&lt;60,"1",IF(AC311&lt;=43200,"2",IF(AC311&lt;=777600,"3","4")))</f>
        <v>4</v>
      </c>
      <c r="AE311" s="87">
        <f>AA311-Y311</f>
        <v>630720000</v>
      </c>
      <c r="AF311" s="88">
        <f>AV311</f>
        <v>0.51190476190476186</v>
      </c>
      <c r="AG311" s="72">
        <f>((AW311-AV311)+(AX311-AW311))/2</f>
        <v>-4.0762507534659403E-2</v>
      </c>
      <c r="AH311" s="4"/>
      <c r="AI311" s="72">
        <f>RSQ(AV311:AX311,AV310:AX310)</f>
        <v>0.99844327800848764</v>
      </c>
      <c r="AJ311" s="110">
        <f>SLOPE(AV311:AX311,AV310:AX310)</f>
        <v>-1.2925706346606863E-10</v>
      </c>
      <c r="AK311" s="72">
        <f>INTERCEPT(AV311:AX311,AV310:AX310)</f>
        <v>0.53135674100863972</v>
      </c>
      <c r="AL311" s="72">
        <f>INDEX(LINEST(LN(AV311:AX311),LN(AV310:AX310),TRUE,TRUE),3,1)</f>
        <v>0.96309249282449216</v>
      </c>
      <c r="AM311" s="72">
        <f>INDEX(LINEST(LN(AV311:AX311),LN(AV310:AX310)),1)</f>
        <v>-0.10351075710531889</v>
      </c>
      <c r="AN311" s="72">
        <f>EXP(INDEX(LINEST(LN(AV311:AX311),LN(AV310:AX310)),1,2))</f>
        <v>3.6336461980170962</v>
      </c>
      <c r="AO311" s="89">
        <f>INDEX(LINEST((AV311:AX311),LN(AV310:AX310),TRUE,TRUE),3,1)</f>
        <v>0.97192639614832377</v>
      </c>
      <c r="AP311" s="89">
        <f>INDEX(LINEST((AV311:AX311),LN(AV310:AX310)),1)</f>
        <v>-4.8901900510450957E-2</v>
      </c>
      <c r="AQ311" s="90">
        <f>INDEX(LINEST(LN(AV311:AX311),SQRT(AV310:AX310),TRUE,TRUE),3,1)</f>
        <v>0.99163015121441966</v>
      </c>
      <c r="AR311" s="117">
        <f>INDEX(LINEST(LN(AV311:AX311),SQRT((AV310:AX310))),1)</f>
        <v>-1.106792561801317E-5</v>
      </c>
      <c r="AS311" s="91">
        <f>INDEX(LINEST(1/(AV311:AX311),1/(SQRT(AV310:AX310)),TRUE,TRUE),3,1)</f>
        <v>0.90865619480639881</v>
      </c>
      <c r="AT311" s="91">
        <f>INDEX(LINEST(1/(AV311:AX311),1/SQRT(AV310:AX310)),1)</f>
        <v>-7663.5086709659936</v>
      </c>
      <c r="AU311" s="3"/>
      <c r="AV311" s="73">
        <v>0.51190476190476186</v>
      </c>
      <c r="AW311" s="73">
        <v>0.46835443037974683</v>
      </c>
      <c r="AX311" s="73">
        <v>0.43037974683544306</v>
      </c>
      <c r="AY311" s="73"/>
      <c r="AZ311" s="53"/>
      <c r="BA311" s="53"/>
      <c r="BB311" s="53"/>
      <c r="BC311" s="53"/>
      <c r="BD311" s="53"/>
      <c r="BE311" s="53"/>
      <c r="BF311" s="53"/>
      <c r="BG311" s="53"/>
      <c r="BH311" s="53"/>
      <c r="BI311" s="53"/>
      <c r="BJ311" s="53"/>
      <c r="BK311" s="53"/>
      <c r="BL311" s="53"/>
      <c r="BM311" s="53"/>
      <c r="BN311" s="53"/>
      <c r="BO311" s="53"/>
      <c r="BP311" s="53"/>
      <c r="BQ311" s="53"/>
      <c r="BR311" s="53"/>
      <c r="BS311" s="53"/>
      <c r="BT311" s="53"/>
      <c r="BU311" s="53"/>
      <c r="BV311" s="53"/>
      <c r="BW311" s="53"/>
      <c r="BX311" s="53"/>
      <c r="BY311" s="53"/>
      <c r="BZ311" s="53"/>
      <c r="CA311" s="53"/>
      <c r="CB311" s="53"/>
      <c r="CC311" s="53"/>
      <c r="CD311" s="53"/>
      <c r="CE311" s="53"/>
      <c r="CF311" s="53"/>
      <c r="CG311" s="53"/>
      <c r="CH311" s="53"/>
      <c r="CI311" s="53"/>
      <c r="CJ311" s="53"/>
      <c r="CK311" s="53"/>
      <c r="CL311" s="53"/>
      <c r="CM311" s="53"/>
      <c r="CN311" s="53"/>
      <c r="CO311" s="53"/>
      <c r="CP311" s="53"/>
      <c r="CQ311" s="53"/>
      <c r="CR311" s="1"/>
      <c r="CS311" s="1"/>
      <c r="CT311" s="1"/>
      <c r="CU311" s="1"/>
    </row>
    <row r="312" spans="1:99" s="13" customFormat="1" ht="12" customHeight="1" x14ac:dyDescent="0.2">
      <c r="A312" s="68">
        <v>43897</v>
      </c>
      <c r="B312" s="67"/>
      <c r="C312" s="67"/>
      <c r="D312" s="86"/>
      <c r="E312" s="87"/>
      <c r="F312" s="69"/>
      <c r="G312" s="69"/>
      <c r="H312" s="69"/>
      <c r="I312" s="69"/>
      <c r="J312" s="69"/>
      <c r="K312" s="107"/>
      <c r="L312" s="107"/>
      <c r="M312" s="69"/>
      <c r="N312" s="69"/>
      <c r="O312" s="69"/>
      <c r="P312" s="69"/>
      <c r="Q312" s="69"/>
      <c r="R312" s="69"/>
      <c r="S312" s="69"/>
      <c r="T312" s="69"/>
      <c r="U312" s="60"/>
      <c r="V312" s="69"/>
      <c r="W312" s="69"/>
      <c r="X312" s="69"/>
      <c r="Y312" s="87"/>
      <c r="Z312" s="69"/>
      <c r="AA312" s="69"/>
      <c r="AB312" s="69"/>
      <c r="AC312" s="72"/>
      <c r="AD312" s="69"/>
      <c r="AE312" s="69"/>
      <c r="AF312" s="88"/>
      <c r="AG312" s="72"/>
      <c r="AH312" s="4"/>
      <c r="AI312" s="72"/>
      <c r="AJ312" s="110"/>
      <c r="AK312" s="72"/>
      <c r="AL312" s="72"/>
      <c r="AM312" s="72"/>
      <c r="AN312" s="72"/>
      <c r="AO312" s="72"/>
      <c r="AP312" s="72"/>
      <c r="AQ312" s="72"/>
      <c r="AR312" s="110"/>
      <c r="AS312" s="72"/>
      <c r="AT312" s="72"/>
      <c r="AU312" s="5"/>
      <c r="AV312" s="71">
        <v>157680000</v>
      </c>
      <c r="AW312" s="71">
        <v>473040000</v>
      </c>
      <c r="AX312" s="71">
        <v>788400000</v>
      </c>
      <c r="AY312" s="73"/>
      <c r="AZ312" s="53"/>
      <c r="BA312" s="53"/>
      <c r="BB312" s="53"/>
      <c r="BC312" s="53"/>
      <c r="BD312" s="53"/>
      <c r="BE312" s="53"/>
      <c r="BF312" s="53"/>
      <c r="BG312" s="53"/>
      <c r="BH312" s="53"/>
      <c r="BI312" s="53"/>
      <c r="BJ312" s="53"/>
      <c r="BK312" s="53"/>
      <c r="BL312" s="53"/>
      <c r="BM312" s="53"/>
      <c r="BN312" s="53"/>
      <c r="BO312" s="53"/>
      <c r="BP312" s="53"/>
      <c r="BQ312" s="53"/>
      <c r="BR312" s="53"/>
      <c r="BS312" s="53"/>
      <c r="BT312" s="53"/>
      <c r="BU312" s="53"/>
      <c r="BV312" s="53"/>
      <c r="BW312" s="53"/>
      <c r="BX312" s="53"/>
      <c r="BY312" s="53"/>
      <c r="BZ312" s="53"/>
      <c r="CA312" s="53"/>
      <c r="CB312" s="53"/>
      <c r="CC312" s="53"/>
      <c r="CD312" s="53"/>
      <c r="CE312" s="53"/>
      <c r="CF312" s="53"/>
      <c r="CG312" s="53"/>
      <c r="CH312" s="53"/>
      <c r="CI312" s="53"/>
      <c r="CJ312" s="53"/>
      <c r="CK312" s="53"/>
      <c r="CL312" s="53"/>
      <c r="CM312" s="53"/>
      <c r="CN312" s="53"/>
      <c r="CO312" s="53"/>
      <c r="CP312" s="53"/>
      <c r="CQ312" s="53"/>
      <c r="CR312" s="1"/>
      <c r="CS312" s="1"/>
      <c r="CT312" s="1"/>
      <c r="CU312" s="1"/>
    </row>
    <row r="313" spans="1:99" s="13" customFormat="1" ht="12" customHeight="1" x14ac:dyDescent="0.2">
      <c r="A313" s="68">
        <v>43897</v>
      </c>
      <c r="B313" s="70" t="s">
        <v>400</v>
      </c>
      <c r="C313" s="70" t="s">
        <v>401</v>
      </c>
      <c r="D313" s="69">
        <v>1998</v>
      </c>
      <c r="E313" s="106">
        <v>1</v>
      </c>
      <c r="F313" s="69">
        <v>9</v>
      </c>
      <c r="G313" s="69">
        <v>9</v>
      </c>
      <c r="H313" s="69" t="s">
        <v>32</v>
      </c>
      <c r="I313" s="69" t="s">
        <v>330</v>
      </c>
      <c r="J313" s="69" t="s">
        <v>340</v>
      </c>
      <c r="K313" s="69">
        <f>IF(J313="syllables",1,IF(J313="trigrams",2,IF(J313="strings",3,IF(J313="visual array",4,IF(J313="characters",5,IF(J313="letters",6,IF(J313="free forms",7,IF(J313="odors",8,IF(J313="words",9,IF(J313="pictures",10,IF(J313="object pictures",11,IF(J313="faces",12,IF(J313="names",13,IF(J313="idioms",14,IF(J313="grades",15,IF(J313="syllable-digit pairs",16,IF(J313="trigram-word pairs",17,IF(J313="word-digit pairs",18,IF(J313="English-Swahili pairs",19,IF(J313="spatial position",20,IF(J313="word pairs",21,IF(J313="word triads",22,IF(J313="generated words",23,IF(J313="word definition pairs",24,IF(J313="math problems",25,IF(J313="famous faces",26,IF(J313="famous names",27,IF(J313="famous voices",28,IF(J313="television programs",29,IF(J313="race horses",30,IF(J313="new vocabulary",31,IF(J313="sentences",32,IF(J313="concepts",33,IF(J313="ad slides",34,IF(J313="scenes",35,IF(J313="famous scenes",36,IF(J313="poems",37,IF(J313="walk",38,IF(J313="faces and events",39,IF(J313="events and names",40,IF(J313="flashbulb",41,IF(J313="stories",42,IF(J313="course material",43,IF(J313="autobiographical",44,IF(J313="novels",45,IF(J313="public events",46,"99"))))))))))))))))))))))))))))))))))))))))))))))</f>
        <v>46</v>
      </c>
      <c r="L313" s="69">
        <f>IF(J313="syllables",1,IF(J313="trigrams",1,IF(J313="strings",1,IF(J313="visual array",1,IF(J313="characters",1,IF(J313="letters",1,IF(J313="free forms",1,IF(J313="odors",2,IF(J313="words",2,IF(J313="pictures",2,IF(J313="object pictures",2,IF(J313="faces",2,IF(J313="names",2,IF(J313="idioms","2",IF(J313="grades",2,IF(J313="syllable-digit pairs",3,IF(J313="trigram-word pairs",3,IF(J313="word-digit pairs",3,IF(J313="English-Swahili pairs",3,IF(J313="spatial position",3,IF(J313="word pairs",4,IF(J313="word triads",4,IF(J313="generated words",4,IF(J313="word definition pairs",4,IF(J313="math problems",4,IF(J313="famous faces",4,IF(J313="famous names",4,IF(J313="famous voices",4,IF(J313="television programs",4,IF(J313="race horses",4,IF(J313="new vocabulary",4,IF(J313="sentences",5,IF(J313="concepts",5,IF(J313="ad slides",5,IF(J313="scenes",5,IF(J313="famous scenes",5,IF(J313="poems",6,IF(J313="walk",6,IF(J313="faces and events",6,IF(J313="events and names",6,IF(J313="flashbulb",7,IF(J313="stories",7,IF(J313="course material",7,IF(J313="autobiographical",7,IF(J313="novels",7,IF(J313="public events",7,"99"))))))))))))))))))))))))))))))))))))))))))))))</f>
        <v>7</v>
      </c>
      <c r="M313" s="99">
        <v>1</v>
      </c>
      <c r="N313" s="69">
        <v>4</v>
      </c>
      <c r="O313" s="99">
        <v>0</v>
      </c>
      <c r="P313" s="69"/>
      <c r="Q313" s="69" t="s">
        <v>34</v>
      </c>
      <c r="R313" s="69">
        <f>IF(Q313="Free Recall",1,IF(Q313="Cued Recall",2,IF(Q313="Recognition",3,IF(Q313="Multiple Choice",4,IF(Q313="Savings",5,IF(Q313="Stem Completion",6,IF(Q313="Fragment Completion",7,IF(Q313="anagram solution",8,IF(Q313="Matching",9,IF(Q313="Problem Solving",10,"99"))))))))))</f>
        <v>3</v>
      </c>
      <c r="S313" s="69" t="s">
        <v>15</v>
      </c>
      <c r="T313" s="92" t="s">
        <v>581</v>
      </c>
      <c r="U313" s="60">
        <f>IF(T313="within",1,0)</f>
        <v>1</v>
      </c>
      <c r="V313" s="92">
        <v>145</v>
      </c>
      <c r="W313" s="69">
        <f>F313*V313</f>
        <v>1305</v>
      </c>
      <c r="X313" s="69">
        <v>3</v>
      </c>
      <c r="Y313" s="87">
        <f>AV312</f>
        <v>157680000</v>
      </c>
      <c r="Z313" s="92" t="s">
        <v>428</v>
      </c>
      <c r="AA313" s="69">
        <f>25*365*24*60*60</f>
        <v>788400000</v>
      </c>
      <c r="AB313" s="69" t="str">
        <f>IF(AA313&lt;60,"1",IF(AA313&lt;=43200,"2",IF(AA313&lt;=777600,"3","4")))</f>
        <v>4</v>
      </c>
      <c r="AC313" s="72">
        <f>AVERAGE(AV312:DA312)</f>
        <v>473040000</v>
      </c>
      <c r="AD313" s="69" t="str">
        <f>IF(AC313&lt;60,"1",IF(AC313&lt;=43200,"2",IF(AC313&lt;=777600,"3","4")))</f>
        <v>4</v>
      </c>
      <c r="AE313" s="87">
        <f>AA313-Y313</f>
        <v>630720000</v>
      </c>
      <c r="AF313" s="88">
        <f>AV313</f>
        <v>0.79120879120879117</v>
      </c>
      <c r="AG313" s="72">
        <f>((AW313-AV313)+(AX313-AW313))/2</f>
        <v>-3.513927932532579E-2</v>
      </c>
      <c r="AH313" s="4"/>
      <c r="AI313" s="72">
        <f>RSQ(AV313:AX313,AV312:AX312)</f>
        <v>0.56453731095689519</v>
      </c>
      <c r="AJ313" s="110">
        <f>SLOPE(AV313:AX313,AV312:AX312)</f>
        <v>-1.1142592378654803E-10</v>
      </c>
      <c r="AK313" s="72">
        <f>INTERCEPT(AV313:AX313,AV312:AX312)</f>
        <v>0.82659653008490208</v>
      </c>
      <c r="AL313" s="72">
        <f>INDEX(LINEST(LN(AV313:AX313),LN(AV312:AX312),TRUE,TRUE),3,1)</f>
        <v>0.36807776218202282</v>
      </c>
      <c r="AM313" s="72">
        <f>INDEX(LINEST(LN(AV313:AX313),LN(AV312:AX312)),1)</f>
        <v>-4.5285010307737343E-2</v>
      </c>
      <c r="AN313" s="72">
        <f>EXP(INDEX(LINEST(LN(AV313:AX313),LN(AV312:AX312)),1,2))</f>
        <v>1.8928992083901401</v>
      </c>
      <c r="AO313" s="89">
        <f>INDEX(LINEST((AV313:AX313),LN(AV312:AX312),TRUE,TRUE),3,1)</f>
        <v>0.35885179317813354</v>
      </c>
      <c r="AP313" s="89">
        <f>INDEX(LINEST((AV313:AX313),LN(AV312:AX312)),1)</f>
        <v>-3.4065435179583783E-2</v>
      </c>
      <c r="AQ313" s="90">
        <f>INDEX(LINEST(LN(AV313:AX313),SQRT(AV312:AX312),TRUE,TRUE),3,1)</f>
        <v>0.46821865377756761</v>
      </c>
      <c r="AR313" s="117">
        <f>INDEX(LINEST(LN(AV313:AX313),SQRT((AV312:AX312))),1)</f>
        <v>-5.3820647803383603E-6</v>
      </c>
      <c r="AS313" s="91">
        <f>INDEX(LINEST(1/(AV313:AX313),1/(SQRT(AV312:AX312)),TRUE,TRUE),3,1)</f>
        <v>0.29348491804640425</v>
      </c>
      <c r="AT313" s="91">
        <f>INDEX(LINEST(1/(AV313:AX313),1/SQRT(AV312:AX312)),1)</f>
        <v>-1898.744737075328</v>
      </c>
      <c r="AU313" s="3"/>
      <c r="AV313" s="73">
        <v>0.79120879120879117</v>
      </c>
      <c r="AW313" s="73">
        <v>0.80952380952380965</v>
      </c>
      <c r="AX313" s="73">
        <v>0.72093023255813959</v>
      </c>
      <c r="AY313" s="73"/>
      <c r="AZ313" s="53"/>
      <c r="BA313" s="53"/>
      <c r="BB313" s="53"/>
      <c r="BC313" s="53"/>
      <c r="BD313" s="53"/>
      <c r="BE313" s="53"/>
      <c r="BF313" s="53"/>
      <c r="BG313" s="53"/>
      <c r="BH313" s="53"/>
      <c r="BI313" s="53"/>
      <c r="BJ313" s="53"/>
      <c r="BK313" s="53"/>
      <c r="BL313" s="53"/>
      <c r="BM313" s="53"/>
      <c r="BN313" s="53"/>
      <c r="BO313" s="53"/>
      <c r="BP313" s="53"/>
      <c r="BQ313" s="53"/>
      <c r="BR313" s="53"/>
      <c r="BS313" s="53"/>
      <c r="BT313" s="53"/>
      <c r="BU313" s="53"/>
      <c r="BV313" s="53"/>
      <c r="BW313" s="53"/>
      <c r="BX313" s="53"/>
      <c r="BY313" s="53"/>
      <c r="BZ313" s="53"/>
      <c r="CA313" s="53"/>
      <c r="CB313" s="53"/>
      <c r="CC313" s="53"/>
      <c r="CD313" s="53"/>
      <c r="CE313" s="53"/>
      <c r="CF313" s="53"/>
      <c r="CG313" s="53"/>
      <c r="CH313" s="53"/>
      <c r="CI313" s="53"/>
      <c r="CJ313" s="53"/>
      <c r="CK313" s="53"/>
      <c r="CL313" s="53"/>
      <c r="CM313" s="53"/>
      <c r="CN313" s="53"/>
      <c r="CO313" s="53"/>
      <c r="CP313" s="53"/>
      <c r="CQ313" s="53"/>
      <c r="CR313" s="1"/>
      <c r="CS313" s="1"/>
      <c r="CT313" s="1"/>
      <c r="CU313" s="1"/>
    </row>
    <row r="314" spans="1:99" s="13" customFormat="1" ht="12" customHeight="1" x14ac:dyDescent="0.2">
      <c r="A314" s="68">
        <v>43897</v>
      </c>
      <c r="B314" s="67"/>
      <c r="C314" s="67"/>
      <c r="D314" s="86"/>
      <c r="E314" s="87"/>
      <c r="F314" s="69"/>
      <c r="G314" s="69"/>
      <c r="H314" s="69"/>
      <c r="I314" s="69"/>
      <c r="J314" s="69"/>
      <c r="K314" s="107"/>
      <c r="L314" s="107"/>
      <c r="M314" s="69"/>
      <c r="N314" s="69"/>
      <c r="O314" s="69"/>
      <c r="P314" s="69"/>
      <c r="Q314" s="69"/>
      <c r="R314" s="69"/>
      <c r="S314" s="69"/>
      <c r="T314" s="69"/>
      <c r="U314" s="60"/>
      <c r="V314" s="69"/>
      <c r="W314" s="69"/>
      <c r="X314" s="69"/>
      <c r="Y314" s="87"/>
      <c r="Z314" s="69"/>
      <c r="AA314" s="69"/>
      <c r="AB314" s="69"/>
      <c r="AC314" s="72"/>
      <c r="AD314" s="69"/>
      <c r="AE314" s="69"/>
      <c r="AF314" s="88"/>
      <c r="AG314" s="72"/>
      <c r="AH314" s="4"/>
      <c r="AI314" s="72"/>
      <c r="AJ314" s="110"/>
      <c r="AK314" s="72"/>
      <c r="AL314" s="72"/>
      <c r="AM314" s="72"/>
      <c r="AN314" s="72"/>
      <c r="AO314" s="72"/>
      <c r="AP314" s="72"/>
      <c r="AQ314" s="72"/>
      <c r="AR314" s="110"/>
      <c r="AS314" s="72"/>
      <c r="AT314" s="72"/>
      <c r="AU314" s="5"/>
      <c r="AV314" s="71">
        <v>157680000</v>
      </c>
      <c r="AW314" s="71">
        <v>473040000</v>
      </c>
      <c r="AX314" s="71">
        <v>788400000</v>
      </c>
      <c r="AY314" s="73"/>
      <c r="AZ314" s="53"/>
      <c r="BA314" s="53"/>
      <c r="BB314" s="53"/>
      <c r="BC314" s="53"/>
      <c r="BD314" s="53"/>
      <c r="BE314" s="53"/>
      <c r="BF314" s="53"/>
      <c r="BG314" s="53"/>
      <c r="BH314" s="53"/>
      <c r="BI314" s="53"/>
      <c r="BJ314" s="53"/>
      <c r="BK314" s="53"/>
      <c r="BL314" s="53"/>
      <c r="BM314" s="53"/>
      <c r="BN314" s="53"/>
      <c r="BO314" s="53"/>
      <c r="BP314" s="53"/>
      <c r="BQ314" s="53"/>
      <c r="BR314" s="53"/>
      <c r="BS314" s="53"/>
      <c r="BT314" s="53"/>
      <c r="BU314" s="53"/>
      <c r="BV314" s="53"/>
      <c r="BW314" s="53"/>
      <c r="BX314" s="53"/>
      <c r="BY314" s="53"/>
      <c r="BZ314" s="53"/>
      <c r="CA314" s="53"/>
      <c r="CB314" s="53"/>
      <c r="CC314" s="53"/>
      <c r="CD314" s="53"/>
      <c r="CE314" s="53"/>
      <c r="CF314" s="53"/>
      <c r="CG314" s="53"/>
      <c r="CH314" s="53"/>
      <c r="CI314" s="53"/>
      <c r="CJ314" s="53"/>
      <c r="CK314" s="53"/>
      <c r="CL314" s="53"/>
      <c r="CM314" s="53"/>
      <c r="CN314" s="53"/>
      <c r="CO314" s="53"/>
      <c r="CP314" s="53"/>
      <c r="CQ314" s="53"/>
      <c r="CR314" s="1"/>
      <c r="CS314" s="1"/>
      <c r="CT314" s="1"/>
      <c r="CU314" s="1"/>
    </row>
    <row r="315" spans="1:99" s="13" customFormat="1" ht="12" customHeight="1" x14ac:dyDescent="0.2">
      <c r="A315" s="68">
        <v>43897</v>
      </c>
      <c r="B315" s="70" t="s">
        <v>400</v>
      </c>
      <c r="C315" s="70" t="s">
        <v>401</v>
      </c>
      <c r="D315" s="69">
        <v>1998</v>
      </c>
      <c r="E315" s="106">
        <v>1</v>
      </c>
      <c r="F315" s="69">
        <v>9</v>
      </c>
      <c r="G315" s="69">
        <v>9</v>
      </c>
      <c r="H315" s="69" t="s">
        <v>32</v>
      </c>
      <c r="I315" s="69" t="s">
        <v>330</v>
      </c>
      <c r="J315" s="69" t="s">
        <v>367</v>
      </c>
      <c r="K315" s="69">
        <f>IF(J315="syllables",1,IF(J315="trigrams",2,IF(J315="strings",3,IF(J315="visual array",4,IF(J315="characters",5,IF(J315="letters",6,IF(J315="free forms",7,IF(J315="odors",8,IF(J315="words",9,IF(J315="pictures",10,IF(J315="object pictures",11,IF(J315="faces",12,IF(J315="names",13,IF(J315="idioms",14,IF(J315="grades",15,IF(J315="syllable-digit pairs",16,IF(J315="trigram-word pairs",17,IF(J315="word-digit pairs",18,IF(J315="English-Swahili pairs",19,IF(J315="spatial position",20,IF(J315="word pairs",21,IF(J315="word triads",22,IF(J315="generated words",23,IF(J315="word definition pairs",24,IF(J315="math problems",25,IF(J315="famous faces",26,IF(J315="famous names",27,IF(J315="famous voices",28,IF(J315="television programs",29,IF(J315="race horses",30,IF(J315="new vocabulary",31,IF(J315="sentences",32,IF(J315="concepts",33,IF(J315="ad slides",34,IF(J315="scenes",35,IF(J315="famous scenes",36,IF(J315="poems",37,IF(J315="walk",38,IF(J315="faces and events",39,IF(J315="events and names",40,IF(J315="flashbulb",41,IF(J315="stories",42,IF(J315="course material",43,IF(J315="autobiographical",44,IF(J315="novels",45,IF(J315="public events",46,"99"))))))))))))))))))))))))))))))))))))))))))))))</f>
        <v>27</v>
      </c>
      <c r="L315" s="69">
        <f>IF(J315="syllables",1,IF(J315="trigrams",1,IF(J315="strings",1,IF(J315="visual array",1,IF(J315="characters",1,IF(J315="letters",1,IF(J315="free forms",1,IF(J315="odors",2,IF(J315="words",2,IF(J315="pictures",2,IF(J315="object pictures",2,IF(J315="faces",2,IF(J315="names",2,IF(J315="idioms","2",IF(J315="grades",2,IF(J315="syllable-digit pairs",3,IF(J315="trigram-word pairs",3,IF(J315="word-digit pairs",3,IF(J315="English-Swahili pairs",3,IF(J315="spatial position",3,IF(J315="word pairs",4,IF(J315="word triads",4,IF(J315="generated words",4,IF(J315="word definition pairs",4,IF(J315="math problems",4,IF(J315="famous faces",4,IF(J315="famous names",4,IF(J315="famous voices",4,IF(J315="television programs",4,IF(J315="race horses",4,IF(J315="new vocabulary",4,IF(J315="sentences",5,IF(J315="concepts",5,IF(J315="ad slides",5,IF(J315="scenes",5,IF(J315="famous scenes",5,IF(J315="poems",6,IF(J315="walk",6,IF(J315="faces and events",6,IF(J315="events and names",6,IF(J315="flashbulb",7,IF(J315="stories",7,IF(J315="course material",7,IF(J315="autobiographical",7,IF(J315="novels",7,IF(J315="public events",7,"99"))))))))))))))))))))))))))))))))))))))))))))))</f>
        <v>4</v>
      </c>
      <c r="M315" s="99">
        <v>1</v>
      </c>
      <c r="N315" s="69">
        <v>3</v>
      </c>
      <c r="O315" s="99">
        <v>0</v>
      </c>
      <c r="P315" s="69"/>
      <c r="Q315" s="69" t="s">
        <v>34</v>
      </c>
      <c r="R315" s="69">
        <f>IF(Q315="Free Recall",1,IF(Q315="Cued Recall",2,IF(Q315="Recognition",3,IF(Q315="Multiple Choice",4,IF(Q315="Savings",5,IF(Q315="Stem Completion",6,IF(Q315="Fragment Completion",7,IF(Q315="anagram solution",8,IF(Q315="Matching",9,IF(Q315="Problem Solving",10,"99"))))))))))</f>
        <v>3</v>
      </c>
      <c r="S315" s="69" t="s">
        <v>15</v>
      </c>
      <c r="T315" s="92" t="s">
        <v>581</v>
      </c>
      <c r="U315" s="60">
        <f>IF(T315="within",1,0)</f>
        <v>1</v>
      </c>
      <c r="V315" s="92">
        <v>70</v>
      </c>
      <c r="W315" s="69">
        <f>F315*V315</f>
        <v>630</v>
      </c>
      <c r="X315" s="69">
        <v>3</v>
      </c>
      <c r="Y315" s="87">
        <f>AV314</f>
        <v>157680000</v>
      </c>
      <c r="Z315" s="92" t="s">
        <v>428</v>
      </c>
      <c r="AA315" s="69">
        <f>25*365*24*60*60</f>
        <v>788400000</v>
      </c>
      <c r="AB315" s="69" t="str">
        <f>IF(AA315&lt;60,"1",IF(AA315&lt;=43200,"2",IF(AA315&lt;=777600,"3","4")))</f>
        <v>4</v>
      </c>
      <c r="AC315" s="72">
        <f>AVERAGE(AV314:DA314)</f>
        <v>473040000</v>
      </c>
      <c r="AD315" s="69" t="str">
        <f>IF(AC315&lt;60,"1",IF(AC315&lt;=43200,"2",IF(AC315&lt;=777600,"3","4")))</f>
        <v>4</v>
      </c>
      <c r="AE315" s="87">
        <f>AA315-Y315</f>
        <v>630720000</v>
      </c>
      <c r="AF315" s="88">
        <f>AV315</f>
        <v>0.98039215686274506</v>
      </c>
      <c r="AG315" s="72">
        <f>((AW315-AV315)+(AX315-AW315))/2</f>
        <v>-5.3475935828876664E-3</v>
      </c>
      <c r="AH315" s="4"/>
      <c r="AI315" s="72">
        <f>RSQ(AV315:AX315,AV314:AX314)</f>
        <v>0.74999999999999989</v>
      </c>
      <c r="AJ315" s="110">
        <f>SLOPE(AV315:AX315,AV314:AX314)</f>
        <v>-1.6957108012708224E-11</v>
      </c>
      <c r="AK315" s="72">
        <f>INTERCEPT(AV315:AX315,AV314:AX314)</f>
        <v>0.98484848484848486</v>
      </c>
      <c r="AL315" s="72">
        <f>INDEX(LINEST(LN(AV315:AX315),LN(AV314:AX314),TRUE,TRUE),3,1)</f>
        <v>0.55388315157390289</v>
      </c>
      <c r="AM315" s="72">
        <f>INDEX(LINEST(LN(AV315:AX315),LN(AV314:AX314)),1)</f>
        <v>-5.7309495367118589E-3</v>
      </c>
      <c r="AN315" s="72">
        <f>EXP(INDEX(LINEST(LN(AV315:AX315),LN(AV314:AX314)),1,2))</f>
        <v>1.0940562436175381</v>
      </c>
      <c r="AO315" s="89">
        <f>INDEX(LINEST((AV315:AX315),LN(AV314:AX314),TRUE,TRUE),3,1)</f>
        <v>0.55388315157390278</v>
      </c>
      <c r="AP315" s="89">
        <f>INDEX(LINEST((AV315:AX315),LN(AV314:AX314)),1)</f>
        <v>-5.5878751607162051E-3</v>
      </c>
      <c r="AQ315" s="90">
        <f>INDEX(LINEST(LN(AV315:AX315),SQRT(AV314:AX314),TRUE,TRUE),3,1)</f>
        <v>0.65318446129403118</v>
      </c>
      <c r="AR315" s="117">
        <f>INDEX(LINEST(LN(AV315:AX315),SQRT((AV314:AX314))),1)</f>
        <v>-6.5580589040447953E-7</v>
      </c>
      <c r="AS315" s="91">
        <f>INDEX(LINEST(1/(AV315:AX315),1/(SQRT(AV314:AX314)),TRUE,TRUE),3,1)</f>
        <v>0.4653219192551204</v>
      </c>
      <c r="AT315" s="91">
        <f>INDEX(LINEST(1/(AV315:AX315),1/SQRT(AV314:AX314)),1)</f>
        <v>-192.50966810282424</v>
      </c>
      <c r="AU315" s="3"/>
      <c r="AV315" s="73">
        <v>0.98039215686274506</v>
      </c>
      <c r="AW315" s="73">
        <v>0.98039215686274506</v>
      </c>
      <c r="AX315" s="73">
        <v>0.96969696969696972</v>
      </c>
      <c r="AY315" s="73"/>
      <c r="AZ315" s="53"/>
      <c r="BA315" s="53"/>
      <c r="BB315" s="53"/>
      <c r="BC315" s="53"/>
      <c r="BD315" s="53"/>
      <c r="BE315" s="53"/>
      <c r="BF315" s="53"/>
      <c r="BG315" s="53"/>
      <c r="BH315" s="53"/>
      <c r="BI315" s="53"/>
      <c r="BJ315" s="53"/>
      <c r="BK315" s="53"/>
      <c r="BL315" s="53"/>
      <c r="BM315" s="53"/>
      <c r="BN315" s="53"/>
      <c r="BO315" s="53"/>
      <c r="BP315" s="53"/>
      <c r="BQ315" s="53"/>
      <c r="BR315" s="53"/>
      <c r="BS315" s="53"/>
      <c r="BT315" s="53"/>
      <c r="BU315" s="53"/>
      <c r="BV315" s="53"/>
      <c r="BW315" s="53"/>
      <c r="BX315" s="53"/>
      <c r="BY315" s="53"/>
      <c r="BZ315" s="53"/>
      <c r="CA315" s="53"/>
      <c r="CB315" s="53"/>
      <c r="CC315" s="53"/>
      <c r="CD315" s="53"/>
      <c r="CE315" s="53"/>
      <c r="CF315" s="53"/>
      <c r="CG315" s="53"/>
      <c r="CH315" s="53"/>
      <c r="CI315" s="53"/>
      <c r="CJ315" s="53"/>
      <c r="CK315" s="53"/>
      <c r="CL315" s="53"/>
      <c r="CM315" s="53"/>
      <c r="CN315" s="53"/>
      <c r="CO315" s="53"/>
      <c r="CP315" s="53"/>
      <c r="CQ315" s="53"/>
      <c r="CR315" s="1"/>
      <c r="CS315" s="1"/>
      <c r="CT315" s="1"/>
      <c r="CU315" s="1"/>
    </row>
    <row r="316" spans="1:99" s="13" customFormat="1" ht="12" customHeight="1" x14ac:dyDescent="0.2">
      <c r="A316" s="68">
        <v>43897</v>
      </c>
      <c r="B316" s="67"/>
      <c r="C316" s="67"/>
      <c r="D316" s="86"/>
      <c r="E316" s="87"/>
      <c r="F316" s="69"/>
      <c r="G316" s="69"/>
      <c r="H316" s="69"/>
      <c r="I316" s="69"/>
      <c r="J316" s="69"/>
      <c r="K316" s="107"/>
      <c r="L316" s="107"/>
      <c r="M316" s="69"/>
      <c r="N316" s="69"/>
      <c r="O316" s="69"/>
      <c r="P316" s="69"/>
      <c r="Q316" s="69"/>
      <c r="R316" s="69"/>
      <c r="S316" s="69"/>
      <c r="T316" s="69"/>
      <c r="U316" s="60"/>
      <c r="V316" s="69"/>
      <c r="W316" s="69"/>
      <c r="X316" s="69"/>
      <c r="Y316" s="87"/>
      <c r="Z316" s="69"/>
      <c r="AA316" s="69"/>
      <c r="AB316" s="69"/>
      <c r="AC316" s="72"/>
      <c r="AD316" s="69"/>
      <c r="AE316" s="69"/>
      <c r="AF316" s="88"/>
      <c r="AG316" s="72"/>
      <c r="AH316" s="4"/>
      <c r="AI316" s="72"/>
      <c r="AJ316" s="110"/>
      <c r="AK316" s="72"/>
      <c r="AL316" s="72"/>
      <c r="AM316" s="72"/>
      <c r="AN316" s="72"/>
      <c r="AO316" s="89"/>
      <c r="AP316" s="89"/>
      <c r="AQ316" s="90"/>
      <c r="AR316" s="117"/>
      <c r="AS316" s="91"/>
      <c r="AT316" s="91"/>
      <c r="AU316" s="3"/>
      <c r="AV316" s="71">
        <v>157680000</v>
      </c>
      <c r="AW316" s="71">
        <v>473040000</v>
      </c>
      <c r="AX316" s="71">
        <v>788400000</v>
      </c>
      <c r="AY316" s="71">
        <v>1103760000</v>
      </c>
      <c r="AZ316" s="53"/>
      <c r="BA316" s="53"/>
      <c r="BB316" s="53"/>
      <c r="BC316" s="53"/>
      <c r="BD316" s="53"/>
      <c r="BE316" s="53"/>
      <c r="BF316" s="53"/>
      <c r="BG316" s="53"/>
      <c r="BH316" s="53"/>
      <c r="BI316" s="53"/>
      <c r="BJ316" s="53"/>
      <c r="BK316" s="53"/>
      <c r="BL316" s="53"/>
      <c r="BM316" s="53"/>
      <c r="BN316" s="53"/>
      <c r="BO316" s="53"/>
      <c r="BP316" s="53"/>
      <c r="BQ316" s="53"/>
      <c r="BR316" s="53"/>
      <c r="BS316" s="53"/>
      <c r="BT316" s="53"/>
      <c r="BU316" s="53"/>
      <c r="BV316" s="53"/>
      <c r="BW316" s="53"/>
      <c r="BX316" s="53"/>
      <c r="BY316" s="53"/>
      <c r="BZ316" s="53"/>
      <c r="CA316" s="53"/>
      <c r="CB316" s="53"/>
      <c r="CC316" s="53"/>
      <c r="CD316" s="53"/>
      <c r="CE316" s="53"/>
      <c r="CF316" s="53"/>
      <c r="CG316" s="53"/>
      <c r="CH316" s="53"/>
      <c r="CI316" s="53"/>
      <c r="CJ316" s="53"/>
      <c r="CK316" s="53"/>
      <c r="CL316" s="53"/>
      <c r="CM316" s="53"/>
      <c r="CN316" s="53"/>
      <c r="CO316" s="53"/>
      <c r="CP316" s="53"/>
      <c r="CQ316" s="53"/>
      <c r="CR316" s="1"/>
      <c r="CS316" s="1"/>
      <c r="CT316" s="1"/>
      <c r="CU316" s="1"/>
    </row>
    <row r="317" spans="1:99" s="13" customFormat="1" ht="12" customHeight="1" x14ac:dyDescent="0.2">
      <c r="A317" s="68">
        <v>43897</v>
      </c>
      <c r="B317" s="70" t="s">
        <v>400</v>
      </c>
      <c r="C317" s="70" t="s">
        <v>401</v>
      </c>
      <c r="D317" s="69">
        <v>1998</v>
      </c>
      <c r="E317" s="106">
        <v>2</v>
      </c>
      <c r="F317" s="69">
        <v>4</v>
      </c>
      <c r="G317" s="69">
        <v>4</v>
      </c>
      <c r="H317" s="69" t="s">
        <v>44</v>
      </c>
      <c r="I317" s="69" t="s">
        <v>330</v>
      </c>
      <c r="J317" s="69" t="s">
        <v>760</v>
      </c>
      <c r="K317" s="69">
        <f>IF(J317="syllables",1,IF(J317="trigrams",2,IF(J317="strings",3,IF(J317="visual array",4,IF(J317="characters",5,IF(J317="letters",6,IF(J317="free forms",7,IF(J317="odors",8,IF(J317="words",9,IF(J317="pictures",10,IF(J317="object pictures",11,IF(J317="faces",12,IF(J317="names",13,IF(J317="idioms",14,IF(J317="grades",15,IF(J317="syllable-digit pairs",16,IF(J317="trigram-word pairs",17,IF(J317="word-digit pairs",18,IF(J317="English-Swahili pairs",19,IF(J317="spatial position",20,IF(J317="word pairs",21,IF(J317="word triads",22,IF(J317="generated words",23,IF(J317="word definition pairs",24,IF(J317="math problems",25,IF(J317="famous faces",26,IF(J317="famous names",27,IF(J317="famous voices",28,IF(J317="television programs",29,IF(J317="race horses",30,IF(J317="new vocabulary",31,IF(J317="sentences",32,IF(J317="concepts",33,IF(J317="ad slides",34,IF(J317="scenes",35,IF(J317="famous scenes",36,IF(J317="poems",37,IF(J317="walk",38,IF(J317="faces and events",39,IF(J317="events and names",40,IF(J317="flashbulb",41,IF(J317="stories",42,IF(J317="course material",43,IF(J317="autobiographical",44,IF(J317="novels",45,IF(J317="public events",46,"99"))))))))))))))))))))))))))))))))))))))))))))))</f>
        <v>31</v>
      </c>
      <c r="L317" s="69">
        <f>IF(J317="syllables",1,IF(J317="trigrams",1,IF(J317="strings",1,IF(J317="visual array",1,IF(J317="characters",1,IF(J317="letters",1,IF(J317="free forms",1,IF(J317="odors",2,IF(J317="words",2,IF(J317="pictures",2,IF(J317="object pictures",2,IF(J317="faces",2,IF(J317="names",2,IF(J317="idioms","2",IF(J317="grades",2,IF(J317="syllable-digit pairs",3,IF(J317="trigram-word pairs",3,IF(J317="word-digit pairs",3,IF(J317="English-Swahili pairs",3,IF(J317="spatial position",3,IF(J317="word pairs",4,IF(J317="word triads",4,IF(J317="generated words",4,IF(J317="word definition pairs",4,IF(J317="math problems",4,IF(J317="famous faces",4,IF(J317="famous names",4,IF(J317="famous voices",4,IF(J317="television programs",4,IF(J317="race horses",4,IF(J317="new vocabulary",4,IF(J317="sentences",5,IF(J317="concepts",5,IF(J317="ad slides",5,IF(J317="scenes",5,IF(J317="famous scenes",5,IF(J317="poems",6,IF(J317="walk",6,IF(J317="faces and events",6,IF(J317="events and names",6,IF(J317="flashbulb",7,IF(J317="stories",7,IF(J317="course material",7,IF(J317="autobiographical",7,IF(J317="novels",7,IF(J317="public events",7,"99"))))))))))))))))))))))))))))))))))))))))))))))</f>
        <v>4</v>
      </c>
      <c r="M317" s="99">
        <v>1</v>
      </c>
      <c r="N317" s="69">
        <v>3</v>
      </c>
      <c r="O317" s="99">
        <v>0</v>
      </c>
      <c r="P317" s="69"/>
      <c r="Q317" s="69" t="s">
        <v>34</v>
      </c>
      <c r="R317" s="69">
        <f>IF(Q317="Free Recall",1,IF(Q317="Cued Recall",2,IF(Q317="Recognition",3,IF(Q317="Multiple Choice",4,IF(Q317="Savings",5,IF(Q317="Stem Completion",6,IF(Q317="Fragment Completion",7,IF(Q317="anagram solution",8,IF(Q317="Matching",9,IF(Q317="Problem Solving",10,"99"))))))))))</f>
        <v>3</v>
      </c>
      <c r="S317" s="69" t="s">
        <v>15</v>
      </c>
      <c r="T317" s="92" t="s">
        <v>581</v>
      </c>
      <c r="U317" s="60">
        <f>IF(T317="within",1,0)</f>
        <v>1</v>
      </c>
      <c r="V317" s="92">
        <v>82</v>
      </c>
      <c r="W317" s="69">
        <f>F317*V317</f>
        <v>328</v>
      </c>
      <c r="X317" s="69">
        <v>4</v>
      </c>
      <c r="Y317" s="87">
        <f>AV316</f>
        <v>157680000</v>
      </c>
      <c r="Z317" s="92" t="s">
        <v>375</v>
      </c>
      <c r="AA317" s="69">
        <f>35*365*24*60*60</f>
        <v>1103760000</v>
      </c>
      <c r="AB317" s="69" t="str">
        <f>IF(AA317&lt;60,"1",IF(AA317&lt;=43200,"2",IF(AA317&lt;=777600,"3","4")))</f>
        <v>4</v>
      </c>
      <c r="AC317" s="72">
        <f>AVERAGE(AV316:DA316)</f>
        <v>630720000</v>
      </c>
      <c r="AD317" s="69" t="str">
        <f>IF(AC317&lt;60,"1",IF(AC317&lt;=43200,"2",IF(AC317&lt;=777600,"3","4")))</f>
        <v>4</v>
      </c>
      <c r="AE317" s="87">
        <f>AA317-Y317</f>
        <v>946080000</v>
      </c>
      <c r="AF317" s="88">
        <f>AV317</f>
        <v>0.96875</v>
      </c>
      <c r="AG317" s="72">
        <f>((AW317-AV317)+(AX317-AW317)+(AY317-AX317))/3</f>
        <v>-6.4609704641350367E-3</v>
      </c>
      <c r="AH317" s="4"/>
      <c r="AI317" s="72">
        <f>RSQ(AV317:AY317,AV316:AY316)</f>
        <v>0.31154947873879185</v>
      </c>
      <c r="AJ317" s="110">
        <f>SLOPE(AV317:AY317,AV316:AY316)</f>
        <v>-1.7558015093682641E-11</v>
      </c>
      <c r="AK317" s="72">
        <f>INTERCEPT(AV317:AY317,AV316:AY316)</f>
        <v>0.97879790787623078</v>
      </c>
      <c r="AL317" s="72">
        <f>INDEX(LINEST(LN(AV317:AY317),LN(AV316:AY316),TRUE,TRUE),3,1)</f>
        <v>0.12704596041746455</v>
      </c>
      <c r="AM317" s="72">
        <f>INDEX(LINEST(LN(AV317:AY317),LN(AV316:AY316)),1)</f>
        <v>-5.5760152791762942E-3</v>
      </c>
      <c r="AN317" s="72">
        <f>EXP(INDEX(LINEST(LN(AV317:AY317),LN(AV316:AY316)),1,2))</f>
        <v>1.0820594936535337</v>
      </c>
      <c r="AO317" s="89">
        <f>INDEX(LINEST((AV317:AY317),LN(AV316:AY316),TRUE,TRUE),3,1)</f>
        <v>0.12489314042161019</v>
      </c>
      <c r="AP317" s="89">
        <f>INDEX(LINEST((AV317:AY317),LN(AV316:AY316)),1)</f>
        <v>-5.3228734425137267E-3</v>
      </c>
      <c r="AQ317" s="90">
        <f>INDEX(LINEST(LN(AV317:AY317),SQRT(AV316:AY316),TRUE,TRUE),3,1)</f>
        <v>0.21186875958438076</v>
      </c>
      <c r="AR317" s="117">
        <f>INDEX(LINEST(LN(AV317:AY317),SQRT((AV316:AY316))),1)</f>
        <v>-6.8789688471268594E-7</v>
      </c>
      <c r="AS317" s="91">
        <f>INDEX(LINEST(1/(AV317:AY317),1/(SQRT(AV316:AY316)),TRUE,TRUE),3,1)</f>
        <v>7.0881832868444877E-2</v>
      </c>
      <c r="AT317" s="91">
        <f>INDEX(LINEST(1/(AV317:AY317),1/SQRT(AV316:AY316)),1)</f>
        <v>-165.69295152547929</v>
      </c>
      <c r="AU317" s="3"/>
      <c r="AV317" s="95">
        <v>0.96875</v>
      </c>
      <c r="AW317" s="95">
        <v>0.97499999999999998</v>
      </c>
      <c r="AX317" s="95">
        <v>0.97777777777777775</v>
      </c>
      <c r="AY317" s="95">
        <v>0.94936708860759489</v>
      </c>
      <c r="AZ317" s="53"/>
      <c r="BA317" s="53"/>
      <c r="BB317" s="53"/>
      <c r="BC317" s="53"/>
      <c r="BD317" s="53"/>
      <c r="BE317" s="53"/>
      <c r="BF317" s="53"/>
      <c r="BG317" s="53"/>
      <c r="BH317" s="53"/>
      <c r="BI317" s="53"/>
      <c r="BJ317" s="53"/>
      <c r="BK317" s="53"/>
      <c r="BL317" s="53"/>
      <c r="BM317" s="53"/>
      <c r="BN317" s="53"/>
      <c r="BO317" s="53"/>
      <c r="BP317" s="53"/>
      <c r="BQ317" s="53"/>
      <c r="BR317" s="53"/>
      <c r="BS317" s="53"/>
      <c r="BT317" s="53"/>
      <c r="BU317" s="53"/>
      <c r="BV317" s="53"/>
      <c r="BW317" s="53"/>
      <c r="BX317" s="53"/>
      <c r="BY317" s="53"/>
      <c r="BZ317" s="53"/>
      <c r="CA317" s="53"/>
      <c r="CB317" s="53"/>
      <c r="CC317" s="53"/>
      <c r="CD317" s="53"/>
      <c r="CE317" s="53"/>
      <c r="CF317" s="53"/>
      <c r="CG317" s="53"/>
      <c r="CH317" s="53"/>
      <c r="CI317" s="53"/>
      <c r="CJ317" s="53"/>
      <c r="CK317" s="53"/>
      <c r="CL317" s="53"/>
      <c r="CM317" s="53"/>
      <c r="CN317" s="53"/>
      <c r="CO317" s="53"/>
      <c r="CP317" s="53"/>
      <c r="CQ317" s="53"/>
      <c r="CR317" s="1"/>
      <c r="CS317" s="1"/>
      <c r="CT317" s="1"/>
      <c r="CU317" s="1"/>
    </row>
    <row r="318" spans="1:99" s="13" customFormat="1" ht="12" customHeight="1" x14ac:dyDescent="0.2">
      <c r="A318" s="68">
        <v>43897</v>
      </c>
      <c r="B318" s="67"/>
      <c r="C318" s="67"/>
      <c r="D318" s="86"/>
      <c r="E318" s="87"/>
      <c r="F318" s="69"/>
      <c r="G318" s="69"/>
      <c r="H318" s="69"/>
      <c r="I318" s="69"/>
      <c r="J318" s="69"/>
      <c r="K318" s="107"/>
      <c r="L318" s="107"/>
      <c r="M318" s="69"/>
      <c r="N318" s="69"/>
      <c r="O318" s="69"/>
      <c r="P318" s="69"/>
      <c r="Q318" s="69"/>
      <c r="R318" s="69"/>
      <c r="S318" s="69"/>
      <c r="T318" s="69"/>
      <c r="U318" s="60"/>
      <c r="V318" s="69"/>
      <c r="W318" s="69"/>
      <c r="X318" s="69"/>
      <c r="Y318" s="87"/>
      <c r="Z318" s="69"/>
      <c r="AA318" s="69"/>
      <c r="AB318" s="69"/>
      <c r="AC318" s="72"/>
      <c r="AD318" s="69"/>
      <c r="AE318" s="69"/>
      <c r="AF318" s="88"/>
      <c r="AG318" s="72"/>
      <c r="AH318" s="4"/>
      <c r="AI318" s="72"/>
      <c r="AJ318" s="110"/>
      <c r="AK318" s="72"/>
      <c r="AL318" s="72"/>
      <c r="AM318" s="72"/>
      <c r="AN318" s="72"/>
      <c r="AO318" s="89"/>
      <c r="AP318" s="89"/>
      <c r="AQ318" s="90"/>
      <c r="AR318" s="117"/>
      <c r="AS318" s="91"/>
      <c r="AT318" s="91"/>
      <c r="AU318" s="3"/>
      <c r="AV318" s="71">
        <v>157680000</v>
      </c>
      <c r="AW318" s="71">
        <v>473040000</v>
      </c>
      <c r="AX318" s="71">
        <v>788400000</v>
      </c>
      <c r="AY318" s="71">
        <v>1103760000</v>
      </c>
      <c r="AZ318" s="53"/>
      <c r="BA318" s="53"/>
      <c r="BB318" s="53"/>
      <c r="BC318" s="53"/>
      <c r="BD318" s="53"/>
      <c r="BE318" s="53"/>
      <c r="BF318" s="53"/>
      <c r="BG318" s="53"/>
      <c r="BH318" s="53"/>
      <c r="BI318" s="53"/>
      <c r="BJ318" s="53"/>
      <c r="BK318" s="53"/>
      <c r="BL318" s="53"/>
      <c r="BM318" s="53"/>
      <c r="BN318" s="53"/>
      <c r="BO318" s="53"/>
      <c r="BP318" s="53"/>
      <c r="BQ318" s="53"/>
      <c r="BR318" s="53"/>
      <c r="BS318" s="53"/>
      <c r="BT318" s="53"/>
      <c r="BU318" s="53"/>
      <c r="BV318" s="53"/>
      <c r="BW318" s="53"/>
      <c r="BX318" s="53"/>
      <c r="BY318" s="53"/>
      <c r="BZ318" s="53"/>
      <c r="CA318" s="53"/>
      <c r="CB318" s="53"/>
      <c r="CC318" s="53"/>
      <c r="CD318" s="53"/>
      <c r="CE318" s="53"/>
      <c r="CF318" s="53"/>
      <c r="CG318" s="53"/>
      <c r="CH318" s="53"/>
      <c r="CI318" s="53"/>
      <c r="CJ318" s="53"/>
      <c r="CK318" s="53"/>
      <c r="CL318" s="53"/>
      <c r="CM318" s="53"/>
      <c r="CN318" s="53"/>
      <c r="CO318" s="53"/>
      <c r="CP318" s="53"/>
      <c r="CQ318" s="53"/>
      <c r="CR318" s="1"/>
      <c r="CS318" s="1"/>
      <c r="CT318" s="1"/>
      <c r="CU318" s="1"/>
    </row>
    <row r="319" spans="1:99" s="13" customFormat="1" ht="12" customHeight="1" x14ac:dyDescent="0.2">
      <c r="A319" s="68">
        <v>43897</v>
      </c>
      <c r="B319" s="70" t="s">
        <v>400</v>
      </c>
      <c r="C319" s="70" t="s">
        <v>401</v>
      </c>
      <c r="D319" s="69">
        <v>1998</v>
      </c>
      <c r="E319" s="106">
        <v>2</v>
      </c>
      <c r="F319" s="69">
        <v>4</v>
      </c>
      <c r="G319" s="69">
        <v>4</v>
      </c>
      <c r="H319" s="69" t="s">
        <v>44</v>
      </c>
      <c r="I319" s="69" t="s">
        <v>330</v>
      </c>
      <c r="J319" s="69" t="s">
        <v>367</v>
      </c>
      <c r="K319" s="69">
        <f>IF(J319="syllables",1,IF(J319="trigrams",2,IF(J319="strings",3,IF(J319="visual array",4,IF(J319="characters",5,IF(J319="letters",6,IF(J319="free forms",7,IF(J319="odors",8,IF(J319="words",9,IF(J319="pictures",10,IF(J319="object pictures",11,IF(J319="faces",12,IF(J319="names",13,IF(J319="idioms",14,IF(J319="grades",15,IF(J319="syllable-digit pairs",16,IF(J319="trigram-word pairs",17,IF(J319="word-digit pairs",18,IF(J319="English-Swahili pairs",19,IF(J319="spatial position",20,IF(J319="word pairs",21,IF(J319="word triads",22,IF(J319="generated words",23,IF(J319="word definition pairs",24,IF(J319="math problems",25,IF(J319="famous faces",26,IF(J319="famous names",27,IF(J319="famous voices",28,IF(J319="television programs",29,IF(J319="race horses",30,IF(J319="new vocabulary",31,IF(J319="sentences",32,IF(J319="concepts",33,IF(J319="ad slides",34,IF(J319="scenes",35,IF(J319="famous scenes",36,IF(J319="poems",37,IF(J319="walk",38,IF(J319="faces and events",39,IF(J319="events and names",40,IF(J319="flashbulb",41,IF(J319="stories",42,IF(J319="course material",43,IF(J319="autobiographical",44,IF(J319="novels",45,IF(J319="public events",46,"99"))))))))))))))))))))))))))))))))))))))))))))))</f>
        <v>27</v>
      </c>
      <c r="L319" s="69">
        <f>IF(J319="syllables",1,IF(J319="trigrams",1,IF(J319="strings",1,IF(J319="visual array",1,IF(J319="characters",1,IF(J319="letters",1,IF(J319="free forms",1,IF(J319="odors",2,IF(J319="words",2,IF(J319="pictures",2,IF(J319="object pictures",2,IF(J319="faces",2,IF(J319="names",2,IF(J319="idioms","2",IF(J319="grades",2,IF(J319="syllable-digit pairs",3,IF(J319="trigram-word pairs",3,IF(J319="word-digit pairs",3,IF(J319="English-Swahili pairs",3,IF(J319="spatial position",3,IF(J319="word pairs",4,IF(J319="word triads",4,IF(J319="generated words",4,IF(J319="word definition pairs",4,IF(J319="math problems",4,IF(J319="famous faces",4,IF(J319="famous names",4,IF(J319="famous voices",4,IF(J319="television programs",4,IF(J319="race horses",4,IF(J319="new vocabulary",4,IF(J319="sentences",5,IF(J319="concepts",5,IF(J319="ad slides",5,IF(J319="scenes",5,IF(J319="famous scenes",5,IF(J319="poems",6,IF(J319="walk",6,IF(J319="faces and events",6,IF(J319="events and names",6,IF(J319="flashbulb",7,IF(J319="stories",7,IF(J319="course material",7,IF(J319="autobiographical",7,IF(J319="novels",7,IF(J319="public events",7,"99"))))))))))))))))))))))))))))))))))))))))))))))</f>
        <v>4</v>
      </c>
      <c r="M319" s="99">
        <v>1</v>
      </c>
      <c r="N319" s="69">
        <v>3</v>
      </c>
      <c r="O319" s="99">
        <v>0</v>
      </c>
      <c r="P319" s="69"/>
      <c r="Q319" s="69" t="s">
        <v>34</v>
      </c>
      <c r="R319" s="69">
        <f>IF(Q319="Free Recall",1,IF(Q319="Cued Recall",2,IF(Q319="Recognition",3,IF(Q319="Multiple Choice",4,IF(Q319="Savings",5,IF(Q319="Stem Completion",6,IF(Q319="Fragment Completion",7,IF(Q319="anagram solution",8,IF(Q319="Matching",9,IF(Q319="Problem Solving",10,"99"))))))))))</f>
        <v>3</v>
      </c>
      <c r="S319" s="69" t="s">
        <v>15</v>
      </c>
      <c r="T319" s="92" t="s">
        <v>581</v>
      </c>
      <c r="U319" s="60">
        <f>IF(T319="within",1,0)</f>
        <v>1</v>
      </c>
      <c r="V319" s="92">
        <v>70</v>
      </c>
      <c r="W319" s="69">
        <f>F319*V319</f>
        <v>280</v>
      </c>
      <c r="X319" s="69">
        <v>4</v>
      </c>
      <c r="Y319" s="87">
        <f>AV318</f>
        <v>157680000</v>
      </c>
      <c r="Z319" s="92" t="s">
        <v>375</v>
      </c>
      <c r="AA319" s="69">
        <f>35*365*24*60*60</f>
        <v>1103760000</v>
      </c>
      <c r="AB319" s="69" t="str">
        <f>IF(AA319&lt;60,"1",IF(AA319&lt;=43200,"2",IF(AA319&lt;=777600,"3","4")))</f>
        <v>4</v>
      </c>
      <c r="AC319" s="72">
        <f>AVERAGE(AV318:DA318)</f>
        <v>630720000</v>
      </c>
      <c r="AD319" s="69" t="str">
        <f>IF(AC319&lt;60,"1",IF(AC319&lt;=43200,"2",IF(AC319&lt;=777600,"3","4")))</f>
        <v>4</v>
      </c>
      <c r="AE319" s="87">
        <f>AA319-Y319</f>
        <v>946080000</v>
      </c>
      <c r="AF319" s="88">
        <f>AV319</f>
        <v>1</v>
      </c>
      <c r="AG319" s="72">
        <f>((AW319-AV319)+(AX319-AW319)+(AY319-AX319))/3</f>
        <v>-1.3888888888888876E-2</v>
      </c>
      <c r="AH319" s="4"/>
      <c r="AI319" s="72">
        <f>RSQ(AV319:AY319,AV318:AY318)</f>
        <v>0.59999999999999987</v>
      </c>
      <c r="AJ319" s="110">
        <f>SLOPE(AV319:AY319,AV318:AY318)</f>
        <v>-3.9637239979705694E-11</v>
      </c>
      <c r="AK319" s="72">
        <f>INTERCEPT(AV319:AY319,AV318:AY318)</f>
        <v>1.0145833333333334</v>
      </c>
      <c r="AL319" s="72">
        <f>INDEX(LINEST(LN(AV319:AY319),LN(AV318:AY318),TRUE,TRUE),3,1)</f>
        <v>0.3763269848771037</v>
      </c>
      <c r="AM319" s="72">
        <f>INDEX(LINEST(LN(AV319:AY319),LN(AV318:AY318)),1)</f>
        <v>-1.5352684727363144E-2</v>
      </c>
      <c r="AN319" s="72">
        <f>EXP(INDEX(LINEST(LN(AV319:AY319),LN(AV318:AY318)),1,2))</f>
        <v>1.345843926193885</v>
      </c>
      <c r="AO319" s="89">
        <f>INDEX(LINEST((AV319:AY319),LN(AV318:AY318),TRUE,TRUE),3,1)</f>
        <v>0.37632698487710392</v>
      </c>
      <c r="AP319" s="89">
        <f>INDEX(LINEST((AV319:AY319),LN(AV318:AY318)),1)</f>
        <v>-1.5030568432287082E-2</v>
      </c>
      <c r="AQ319" s="90">
        <f>INDEX(LINEST(LN(AV319:AY319),SQRT(AV318:AY318),TRUE,TRUE),3,1)</f>
        <v>0.48741027341118975</v>
      </c>
      <c r="AR319" s="117">
        <f>INDEX(LINEST(LN(AV319:AY319),SQRT((AV318:AY318))),1)</f>
        <v>-1.6691499218757742E-6</v>
      </c>
      <c r="AS319" s="91">
        <f>INDEX(LINEST(1/(AV319:AY319),1/(SQRT(AV318:AY318)),TRUE,TRUE),3,1)</f>
        <v>0.28353608667563918</v>
      </c>
      <c r="AT319" s="91">
        <f>INDEX(LINEST(1/(AV319:AY319),1/SQRT(AV318:AY318)),1)</f>
        <v>-521.4023972509475</v>
      </c>
      <c r="AU319" s="3"/>
      <c r="AV319" s="95">
        <v>1</v>
      </c>
      <c r="AW319" s="95">
        <v>1</v>
      </c>
      <c r="AX319" s="95">
        <v>1</v>
      </c>
      <c r="AY319" s="95">
        <v>0.95833333333333337</v>
      </c>
      <c r="AZ319" s="53"/>
      <c r="BA319" s="53"/>
      <c r="BB319" s="53"/>
      <c r="BC319" s="53"/>
      <c r="BD319" s="53"/>
      <c r="BE319" s="53"/>
      <c r="BF319" s="53"/>
      <c r="BG319" s="53"/>
      <c r="BH319" s="53"/>
      <c r="BI319" s="53"/>
      <c r="BJ319" s="53"/>
      <c r="BK319" s="53"/>
      <c r="BL319" s="53"/>
      <c r="BM319" s="53"/>
      <c r="BN319" s="53"/>
      <c r="BO319" s="53"/>
      <c r="BP319" s="53"/>
      <c r="BQ319" s="53"/>
      <c r="BR319" s="53"/>
      <c r="BS319" s="53"/>
      <c r="BT319" s="53"/>
      <c r="BU319" s="53"/>
      <c r="BV319" s="53"/>
      <c r="BW319" s="53"/>
      <c r="BX319" s="53"/>
      <c r="BY319" s="53"/>
      <c r="BZ319" s="53"/>
      <c r="CA319" s="53"/>
      <c r="CB319" s="53"/>
      <c r="CC319" s="53"/>
      <c r="CD319" s="53"/>
      <c r="CE319" s="53"/>
      <c r="CF319" s="53"/>
      <c r="CG319" s="53"/>
      <c r="CH319" s="53"/>
      <c r="CI319" s="53"/>
      <c r="CJ319" s="53"/>
      <c r="CK319" s="53"/>
      <c r="CL319" s="53"/>
      <c r="CM319" s="53"/>
      <c r="CN319" s="53"/>
      <c r="CO319" s="53"/>
      <c r="CP319" s="53"/>
      <c r="CQ319" s="53"/>
      <c r="CR319" s="1"/>
      <c r="CS319" s="1"/>
      <c r="CT319" s="1"/>
      <c r="CU319" s="1"/>
    </row>
    <row r="320" spans="1:99" s="13" customFormat="1" ht="12" customHeight="1" x14ac:dyDescent="0.2">
      <c r="A320" s="68">
        <v>43648</v>
      </c>
      <c r="B320" s="70"/>
      <c r="C320" s="70"/>
      <c r="D320" s="69"/>
      <c r="E320" s="87"/>
      <c r="F320" s="69"/>
      <c r="G320" s="69"/>
      <c r="H320" s="69"/>
      <c r="I320" s="69"/>
      <c r="J320" s="69"/>
      <c r="K320" s="107"/>
      <c r="L320" s="107"/>
      <c r="M320" s="69"/>
      <c r="N320" s="69"/>
      <c r="O320" s="69"/>
      <c r="P320" s="69"/>
      <c r="Q320" s="69"/>
      <c r="R320" s="69"/>
      <c r="S320" s="69"/>
      <c r="T320" s="69"/>
      <c r="U320" s="60"/>
      <c r="V320" s="69"/>
      <c r="W320" s="69"/>
      <c r="X320" s="69"/>
      <c r="Y320" s="87"/>
      <c r="Z320" s="69"/>
      <c r="AA320" s="69"/>
      <c r="AB320" s="69"/>
      <c r="AC320" s="69"/>
      <c r="AD320" s="69"/>
      <c r="AE320" s="69"/>
      <c r="AF320" s="88"/>
      <c r="AG320" s="72"/>
      <c r="AH320" s="4"/>
      <c r="AI320" s="72"/>
      <c r="AJ320" s="110"/>
      <c r="AK320" s="72"/>
      <c r="AL320" s="72"/>
      <c r="AM320" s="72"/>
      <c r="AN320" s="72"/>
      <c r="AO320" s="72"/>
      <c r="AP320" s="72"/>
      <c r="AQ320" s="72"/>
      <c r="AR320" s="110"/>
      <c r="AS320" s="72"/>
      <c r="AT320" s="72"/>
      <c r="AU320" s="4"/>
      <c r="AV320" s="71">
        <f>5*60</f>
        <v>300</v>
      </c>
      <c r="AW320" s="71">
        <f>1*7*24*3600</f>
        <v>604800</v>
      </c>
      <c r="AX320" s="71">
        <f>3*7*24*3600</f>
        <v>1814400</v>
      </c>
      <c r="AY320" s="71">
        <f>9*7*24*3600</f>
        <v>5443200</v>
      </c>
      <c r="AZ320" s="53" t="s">
        <v>524</v>
      </c>
      <c r="BA320" s="53"/>
      <c r="BB320" s="53"/>
      <c r="BC320" s="53"/>
      <c r="BD320" s="53"/>
      <c r="BE320" s="53"/>
      <c r="BF320" s="53"/>
      <c r="BG320" s="53"/>
      <c r="BH320" s="53"/>
      <c r="BI320" s="53"/>
      <c r="BJ320" s="53"/>
      <c r="BK320" s="53"/>
      <c r="BL320" s="53"/>
      <c r="BM320" s="53"/>
      <c r="BN320" s="53"/>
      <c r="BO320" s="53"/>
      <c r="BP320" s="53"/>
      <c r="BQ320" s="53"/>
      <c r="BR320" s="53"/>
      <c r="BS320" s="53"/>
      <c r="BT320" s="53"/>
      <c r="BU320" s="53"/>
      <c r="BV320" s="53"/>
      <c r="BW320" s="53"/>
      <c r="BX320" s="53"/>
      <c r="BY320" s="53"/>
      <c r="BZ320" s="53"/>
      <c r="CA320" s="53"/>
      <c r="CB320" s="53"/>
      <c r="CC320" s="53"/>
      <c r="CD320" s="53"/>
      <c r="CE320" s="53"/>
      <c r="CF320" s="53"/>
      <c r="CG320" s="53"/>
      <c r="CH320" s="53"/>
      <c r="CI320" s="53"/>
      <c r="CJ320" s="53"/>
      <c r="CK320" s="53"/>
      <c r="CL320" s="53"/>
      <c r="CM320" s="53"/>
      <c r="CN320" s="53"/>
      <c r="CO320" s="53"/>
      <c r="CP320" s="53"/>
      <c r="CQ320" s="53"/>
      <c r="CR320" s="1"/>
      <c r="CS320" s="1"/>
      <c r="CT320" s="1"/>
      <c r="CU320" s="1"/>
    </row>
    <row r="321" spans="1:99" s="13" customFormat="1" ht="12" customHeight="1" x14ac:dyDescent="0.2">
      <c r="A321" s="68">
        <v>43648</v>
      </c>
      <c r="B321" s="70" t="s">
        <v>324</v>
      </c>
      <c r="C321" s="70" t="s">
        <v>307</v>
      </c>
      <c r="D321" s="69">
        <v>2005</v>
      </c>
      <c r="E321" s="87">
        <v>1</v>
      </c>
      <c r="F321" s="69">
        <v>63</v>
      </c>
      <c r="G321" s="69">
        <v>21</v>
      </c>
      <c r="H321" s="69" t="s">
        <v>792</v>
      </c>
      <c r="I321" s="69" t="s">
        <v>788</v>
      </c>
      <c r="J321" s="69" t="s">
        <v>320</v>
      </c>
      <c r="K321" s="69">
        <f>IF(J321="syllables",1,IF(J321="trigrams",2,IF(J321="strings",3,IF(J321="visual array",4,IF(J321="characters",5,IF(J321="letters",6,IF(J321="free forms",7,IF(J321="odors",8,IF(J321="words",9,IF(J321="pictures",10,IF(J321="object pictures",11,IF(J321="faces",12,IF(J321="names",13,IF(J321="idioms",14,IF(J321="grades",15,IF(J321="syllable-digit pairs",16,IF(J321="trigram-word pairs",17,IF(J321="word-digit pairs",18,IF(J321="English-Swahili pairs",19,IF(J321="spatial position",20,IF(J321="word pairs",21,IF(J321="word triads",22,IF(J321="generated words",23,IF(J321="word definition pairs",24,IF(J321="math problems",25,IF(J321="famous faces",26,IF(J321="famous names",27,IF(J321="famous voices",28,IF(J321="television programs",29,IF(J321="race horses",30,IF(J321="new vocabulary",31,IF(J321="sentences",32,IF(J321="concepts",33,IF(J321="ad slides",34,IF(J321="scenes",35,IF(J321="famous scenes",36,IF(J321="poems",37,IF(J321="walk",38,IF(J321="faces and events",39,IF(J321="events and names",40,IF(J321="flashbulb",41,IF(J321="stories",42,IF(J321="course material",43,IF(J321="autobiographical",44,IF(J321="novels",45,IF(J321="public events",46,"99"))))))))))))))))))))))))))))))))))))))))))))))</f>
        <v>21</v>
      </c>
      <c r="L321" s="69">
        <f>IF(J321="syllables",1,IF(J321="trigrams",1,IF(J321="strings",1,IF(J321="visual array",1,IF(J321="characters",1,IF(J321="letters",1,IF(J321="free forms",1,IF(J321="odors",2,IF(J321="words",2,IF(J321="pictures",2,IF(J321="object pictures",2,IF(J321="faces",2,IF(J321="names",2,IF(J321="idioms","2",IF(J321="grades",2,IF(J321="syllable-digit pairs",3,IF(J321="trigram-word pairs",3,IF(J321="word-digit pairs",3,IF(J321="English-Swahili pairs",3,IF(J321="spatial position",3,IF(J321="word pairs",4,IF(J321="word triads",4,IF(J321="generated words",4,IF(J321="word definition pairs",4,IF(J321="math problems",4,IF(J321="famous faces",4,IF(J321="famous names",4,IF(J321="famous voices",4,IF(J321="television programs",4,IF(J321="race horses",4,IF(J321="new vocabulary",4,IF(J321="sentences",5,IF(J321="concepts",5,IF(J321="ad slides",5,IF(J321="scenes",5,IF(J321="famous scenes",5,IF(J321="poems",6,IF(J321="walk",6,IF(J321="faces and events",6,IF(J321="events and names",6,IF(J321="flashbulb",7,IF(J321="stories",7,IF(J321="course material",7,IF(J321="autobiographical",7,IF(J321="novels",7,IF(J321="public events",7,"99"))))))))))))))))))))))))))))))))))))))))))))))</f>
        <v>4</v>
      </c>
      <c r="M321" s="69">
        <v>1</v>
      </c>
      <c r="N321" s="69">
        <v>1</v>
      </c>
      <c r="O321" s="69">
        <v>0</v>
      </c>
      <c r="P321" s="69"/>
      <c r="Q321" s="69" t="s">
        <v>65</v>
      </c>
      <c r="R321" s="69">
        <f>IF(Q321="Free Recall",1,IF(Q321="Cued Recall",2,IF(Q321="Recognition",3,IF(Q321="Multiple Choice",4,IF(Q321="Savings",5,IF(Q321="Stem Completion",6,IF(Q321="Fragment Completion",7,IF(Q321="anagram solution",8,IF(Q321="Matching",9,IF(Q321="Problem Solving",10,"99"))))))))))</f>
        <v>2</v>
      </c>
      <c r="S321" s="69" t="s">
        <v>310</v>
      </c>
      <c r="T321" s="69" t="s">
        <v>261</v>
      </c>
      <c r="U321" s="60">
        <f>IF(T321="within",1,0)</f>
        <v>0</v>
      </c>
      <c r="V321" s="69">
        <v>10</v>
      </c>
      <c r="W321" s="69">
        <f>F321*V321</f>
        <v>630</v>
      </c>
      <c r="X321" s="69">
        <v>4</v>
      </c>
      <c r="Y321" s="87">
        <f>AV320</f>
        <v>300</v>
      </c>
      <c r="Z321" s="69" t="s">
        <v>311</v>
      </c>
      <c r="AA321" s="69">
        <f>9*7*24*3600</f>
        <v>5443200</v>
      </c>
      <c r="AB321" s="69" t="str">
        <f>IF(AA321&lt;60,"1",IF(AA321&lt;=43200,"2",IF(AA321&lt;=777600,"3","4")))</f>
        <v>4</v>
      </c>
      <c r="AC321" s="72">
        <f>AVERAGE(AV320:DA320)</f>
        <v>1965675</v>
      </c>
      <c r="AD321" s="69" t="str">
        <f>IF(AC321&lt;60,"1",IF(AC321&lt;=43200,"2",IF(AC321&lt;=777600,"3","4")))</f>
        <v>4</v>
      </c>
      <c r="AE321" s="87">
        <f>AA321-Y321</f>
        <v>5442900</v>
      </c>
      <c r="AF321" s="88">
        <f>AV321</f>
        <v>0.97</v>
      </c>
      <c r="AG321" s="72">
        <f>((AW321-AV321)+(AX321-AW321)+(AY321-AX321))/3</f>
        <v>-0.24333333333333332</v>
      </c>
      <c r="AH321" s="4"/>
      <c r="AI321" s="72">
        <f>RSQ(AV321:AY321,AV320:AY320)</f>
        <v>0.66164586405714199</v>
      </c>
      <c r="AJ321" s="110">
        <f>SLOPE(AV321:AY321,AV320:AY320)</f>
        <v>-1.1599572125142979E-7</v>
      </c>
      <c r="AK321" s="72">
        <f>INTERCEPT(AV321:AY321,AV320:AY320)</f>
        <v>0.77800988937090432</v>
      </c>
      <c r="AL321" s="72">
        <f>INDEX(LINEST(LN(AV321:AY321),LN(AV320:AY320),TRUE,TRUE),3,1)</f>
        <v>0.70368547917842761</v>
      </c>
      <c r="AM321" s="72">
        <f>INDEX(LINEST(LN(AV321:AY321),LN(AV320:AY320)),1)</f>
        <v>-0.12744558128548308</v>
      </c>
      <c r="AN321" s="72">
        <f>EXP(INDEX(LINEST(LN(AV321:AY321),LN(AV320:AY320)),1,2))</f>
        <v>2.2170740337566186</v>
      </c>
      <c r="AO321" s="89">
        <f>INDEX(LINEST((AV321:AY321),LN(AV320:AY320),TRUE,TRUE),3,1)</f>
        <v>0.80608359929243756</v>
      </c>
      <c r="AP321" s="89">
        <f>INDEX(LINEST((AV321:AY321),LN(AV320:AY320)),1)</f>
        <v>-7.0218762436895621E-2</v>
      </c>
      <c r="AQ321" s="90">
        <f>INDEX(LINEST(LN(AV321:AY321),SQRT(AV320:AY320),TRUE,TRUE),3,1)</f>
        <v>0.88551622328065693</v>
      </c>
      <c r="AR321" s="117">
        <f>INDEX(LINEST(LN(AV321:AY321),SQRT((AV320:AY320))),1)</f>
        <v>-6.5132155782914893E-4</v>
      </c>
      <c r="AS321" s="91">
        <f>INDEX(LINEST(1/(AV321:AY321),1/(SQRT(AV320:AY320)),TRUE,TRUE),3,1)</f>
        <v>0.43489849692278648</v>
      </c>
      <c r="AT321" s="91">
        <f>INDEX(LINEST(1/(AV321:AY321),1/SQRT(AV320:AY320)),1)</f>
        <v>-35.34898937579306</v>
      </c>
      <c r="AU321" s="4"/>
      <c r="AV321" s="73">
        <v>0.97</v>
      </c>
      <c r="AW321" s="73">
        <v>0.7</v>
      </c>
      <c r="AX321" s="73">
        <v>0.28999999999999998</v>
      </c>
      <c r="AY321" s="73">
        <v>0.24</v>
      </c>
      <c r="AZ321" s="53"/>
      <c r="BA321" s="53"/>
      <c r="BB321" s="53"/>
      <c r="BC321" s="53"/>
      <c r="BD321" s="53"/>
      <c r="BE321" s="53"/>
      <c r="BF321" s="53"/>
      <c r="BG321" s="53"/>
      <c r="BH321" s="53"/>
      <c r="BI321" s="53"/>
      <c r="BJ321" s="53"/>
      <c r="BK321" s="53"/>
      <c r="BL321" s="53"/>
      <c r="BM321" s="53"/>
      <c r="BN321" s="53"/>
      <c r="BO321" s="53"/>
      <c r="BP321" s="53"/>
      <c r="BQ321" s="53"/>
      <c r="BR321" s="53"/>
      <c r="BS321" s="53"/>
      <c r="BT321" s="53"/>
      <c r="BU321" s="53"/>
      <c r="BV321" s="53"/>
      <c r="BW321" s="53"/>
      <c r="BX321" s="53"/>
      <c r="BY321" s="53"/>
      <c r="BZ321" s="53"/>
      <c r="CA321" s="53"/>
      <c r="CB321" s="53"/>
      <c r="CC321" s="53"/>
      <c r="CD321" s="53"/>
      <c r="CE321" s="53"/>
      <c r="CF321" s="53"/>
      <c r="CG321" s="53"/>
      <c r="CH321" s="53"/>
      <c r="CI321" s="53"/>
      <c r="CJ321" s="53"/>
      <c r="CK321" s="53"/>
      <c r="CL321" s="53"/>
      <c r="CM321" s="53"/>
      <c r="CN321" s="53"/>
      <c r="CO321" s="53"/>
      <c r="CP321" s="53"/>
      <c r="CQ321" s="53"/>
      <c r="CR321" s="1"/>
      <c r="CS321" s="1"/>
      <c r="CT321" s="1"/>
      <c r="CU321" s="1"/>
    </row>
    <row r="322" spans="1:99" s="13" customFormat="1" ht="12" customHeight="1" x14ac:dyDescent="0.2">
      <c r="A322" s="68">
        <v>43648</v>
      </c>
      <c r="B322" s="70"/>
      <c r="C322" s="70"/>
      <c r="D322" s="69"/>
      <c r="E322" s="87"/>
      <c r="F322" s="69"/>
      <c r="G322" s="69"/>
      <c r="H322" s="69"/>
      <c r="I322" s="69"/>
      <c r="J322" s="69"/>
      <c r="K322" s="107"/>
      <c r="L322" s="107"/>
      <c r="M322" s="69"/>
      <c r="N322" s="69"/>
      <c r="O322" s="69"/>
      <c r="P322" s="69"/>
      <c r="Q322" s="69"/>
      <c r="R322" s="69"/>
      <c r="S322" s="69"/>
      <c r="T322" s="69"/>
      <c r="U322" s="60"/>
      <c r="V322" s="69"/>
      <c r="W322" s="69"/>
      <c r="X322" s="69"/>
      <c r="Y322" s="87"/>
      <c r="Z322" s="69"/>
      <c r="AA322" s="69"/>
      <c r="AB322" s="69"/>
      <c r="AC322" s="69"/>
      <c r="AD322" s="69"/>
      <c r="AE322" s="69"/>
      <c r="AF322" s="88"/>
      <c r="AG322" s="72"/>
      <c r="AH322" s="4"/>
      <c r="AI322" s="72"/>
      <c r="AJ322" s="110"/>
      <c r="AK322" s="72"/>
      <c r="AL322" s="72"/>
      <c r="AM322" s="72"/>
      <c r="AN322" s="72"/>
      <c r="AO322" s="72"/>
      <c r="AP322" s="72"/>
      <c r="AQ322" s="72"/>
      <c r="AR322" s="110"/>
      <c r="AS322" s="72"/>
      <c r="AT322" s="72"/>
      <c r="AU322" s="4"/>
      <c r="AV322" s="71">
        <f>5*60</f>
        <v>300</v>
      </c>
      <c r="AW322" s="71">
        <f>1*7*24*3600</f>
        <v>604800</v>
      </c>
      <c r="AX322" s="71">
        <f>3*7*24*3600</f>
        <v>1814400</v>
      </c>
      <c r="AY322" s="71">
        <f>9*7*24*3600</f>
        <v>5443200</v>
      </c>
      <c r="AZ322" s="53"/>
      <c r="BA322" s="53"/>
      <c r="BB322" s="53"/>
      <c r="BC322" s="53"/>
      <c r="BD322" s="53"/>
      <c r="BE322" s="53"/>
      <c r="BF322" s="53"/>
      <c r="BG322" s="53"/>
      <c r="BH322" s="53"/>
      <c r="BI322" s="53"/>
      <c r="BJ322" s="53"/>
      <c r="BK322" s="53"/>
      <c r="BL322" s="53"/>
      <c r="BM322" s="53"/>
      <c r="BN322" s="53"/>
      <c r="BO322" s="53"/>
      <c r="BP322" s="53"/>
      <c r="BQ322" s="53"/>
      <c r="BR322" s="53"/>
      <c r="BS322" s="53"/>
      <c r="BT322" s="53"/>
      <c r="BU322" s="53"/>
      <c r="BV322" s="53"/>
      <c r="BW322" s="53"/>
      <c r="BX322" s="53"/>
      <c r="BY322" s="53"/>
      <c r="BZ322" s="53"/>
      <c r="CA322" s="53"/>
      <c r="CB322" s="53"/>
      <c r="CC322" s="53"/>
      <c r="CD322" s="53"/>
      <c r="CE322" s="53"/>
      <c r="CF322" s="53"/>
      <c r="CG322" s="53"/>
      <c r="CH322" s="53"/>
      <c r="CI322" s="53"/>
      <c r="CJ322" s="53"/>
      <c r="CK322" s="53"/>
      <c r="CL322" s="53"/>
      <c r="CM322" s="53"/>
      <c r="CN322" s="53"/>
      <c r="CO322" s="53"/>
      <c r="CP322" s="53"/>
      <c r="CQ322" s="53"/>
      <c r="CR322" s="1"/>
      <c r="CS322" s="1"/>
      <c r="CT322" s="1"/>
      <c r="CU322" s="1"/>
    </row>
    <row r="323" spans="1:99" s="13" customFormat="1" ht="12" customHeight="1" x14ac:dyDescent="0.2">
      <c r="A323" s="68">
        <v>43648</v>
      </c>
      <c r="B323" s="70" t="s">
        <v>324</v>
      </c>
      <c r="C323" s="70" t="s">
        <v>307</v>
      </c>
      <c r="D323" s="69">
        <v>2005</v>
      </c>
      <c r="E323" s="87">
        <v>1</v>
      </c>
      <c r="F323" s="69">
        <v>67</v>
      </c>
      <c r="G323" s="69">
        <v>22.3</v>
      </c>
      <c r="H323" s="69" t="s">
        <v>792</v>
      </c>
      <c r="I323" s="69" t="s">
        <v>789</v>
      </c>
      <c r="J323" s="69" t="s">
        <v>320</v>
      </c>
      <c r="K323" s="69">
        <f>IF(J323="syllables",1,IF(J323="trigrams",2,IF(J323="strings",3,IF(J323="visual array",4,IF(J323="characters",5,IF(J323="letters",6,IF(J323="free forms",7,IF(J323="odors",8,IF(J323="words",9,IF(J323="pictures",10,IF(J323="object pictures",11,IF(J323="faces",12,IF(J323="names",13,IF(J323="idioms",14,IF(J323="grades",15,IF(J323="syllable-digit pairs",16,IF(J323="trigram-word pairs",17,IF(J323="word-digit pairs",18,IF(J323="English-Swahili pairs",19,IF(J323="spatial position",20,IF(J323="word pairs",21,IF(J323="word triads",22,IF(J323="generated words",23,IF(J323="word definition pairs",24,IF(J323="math problems",25,IF(J323="famous faces",26,IF(J323="famous names",27,IF(J323="famous voices",28,IF(J323="television programs",29,IF(J323="race horses",30,IF(J323="new vocabulary",31,IF(J323="sentences",32,IF(J323="concepts",33,IF(J323="ad slides",34,IF(J323="scenes",35,IF(J323="famous scenes",36,IF(J323="poems",37,IF(J323="walk",38,IF(J323="faces and events",39,IF(J323="events and names",40,IF(J323="flashbulb",41,IF(J323="stories",42,IF(J323="course material",43,IF(J323="autobiographical",44,IF(J323="novels",45,IF(J323="public events",46,"99"))))))))))))))))))))))))))))))))))))))))))))))</f>
        <v>21</v>
      </c>
      <c r="L323" s="69">
        <f>IF(J323="syllables",1,IF(J323="trigrams",1,IF(J323="strings",1,IF(J323="visual array",1,IF(J323="characters",1,IF(J323="letters",1,IF(J323="free forms",1,IF(J323="odors",2,IF(J323="words",2,IF(J323="pictures",2,IF(J323="object pictures",2,IF(J323="faces",2,IF(J323="names",2,IF(J323="idioms","2",IF(J323="grades",2,IF(J323="syllable-digit pairs",3,IF(J323="trigram-word pairs",3,IF(J323="word-digit pairs",3,IF(J323="English-Swahili pairs",3,IF(J323="spatial position",3,IF(J323="word pairs",4,IF(J323="word triads",4,IF(J323="generated words",4,IF(J323="word definition pairs",4,IF(J323="math problems",4,IF(J323="famous faces",4,IF(J323="famous names",4,IF(J323="famous voices",4,IF(J323="television programs",4,IF(J323="race horses",4,IF(J323="new vocabulary",4,IF(J323="sentences",5,IF(J323="concepts",5,IF(J323="ad slides",5,IF(J323="scenes",5,IF(J323="famous scenes",5,IF(J323="poems",6,IF(J323="walk",6,IF(J323="faces and events",6,IF(J323="events and names",6,IF(J323="flashbulb",7,IF(J323="stories",7,IF(J323="course material",7,IF(J323="autobiographical",7,IF(J323="novels",7,IF(J323="public events",7,"99"))))))))))))))))))))))))))))))))))))))))))))))</f>
        <v>4</v>
      </c>
      <c r="M323" s="69">
        <v>1</v>
      </c>
      <c r="N323" s="69">
        <v>1</v>
      </c>
      <c r="O323" s="69">
        <v>0</v>
      </c>
      <c r="P323" s="69"/>
      <c r="Q323" s="69" t="s">
        <v>65</v>
      </c>
      <c r="R323" s="69">
        <f>IF(Q323="Free Recall",1,IF(Q323="Cued Recall",2,IF(Q323="Recognition",3,IF(Q323="Multiple Choice",4,IF(Q323="Savings",5,IF(Q323="Stem Completion",6,IF(Q323="Fragment Completion",7,IF(Q323="anagram solution",8,IF(Q323="Matching",9,IF(Q323="Problem Solving",10,"99"))))))))))</f>
        <v>2</v>
      </c>
      <c r="S323" s="69" t="s">
        <v>310</v>
      </c>
      <c r="T323" s="69" t="s">
        <v>261</v>
      </c>
      <c r="U323" s="60">
        <f>IF(T323="within",1,0)</f>
        <v>0</v>
      </c>
      <c r="V323" s="69">
        <v>10</v>
      </c>
      <c r="W323" s="69">
        <f>F323*V323</f>
        <v>670</v>
      </c>
      <c r="X323" s="69">
        <v>4</v>
      </c>
      <c r="Y323" s="87">
        <f>AV322</f>
        <v>300</v>
      </c>
      <c r="Z323" s="69" t="s">
        <v>311</v>
      </c>
      <c r="AA323" s="69">
        <f>9*7*24*3600</f>
        <v>5443200</v>
      </c>
      <c r="AB323" s="69" t="str">
        <f>IF(AA323&lt;60,"1",IF(AA323&lt;=43200,"2",IF(AA323&lt;=777600,"3","4")))</f>
        <v>4</v>
      </c>
      <c r="AC323" s="72">
        <f>AVERAGE(AV322:DA322)</f>
        <v>1965675</v>
      </c>
      <c r="AD323" s="69" t="str">
        <f>IF(AC323&lt;60,"1",IF(AC323&lt;=43200,"2",IF(AC323&lt;=777600,"3","4")))</f>
        <v>4</v>
      </c>
      <c r="AE323" s="87">
        <f>AA323-Y323</f>
        <v>5442900</v>
      </c>
      <c r="AF323" s="88">
        <f>AV323</f>
        <v>0.85</v>
      </c>
      <c r="AG323" s="72">
        <f>((AW323-AV323)+(AX323-AW323)+(AY323-AX323))/3</f>
        <v>-0.22666666666666668</v>
      </c>
      <c r="AH323" s="4"/>
      <c r="AI323" s="72">
        <f>RSQ(AV323:AY323,AV322:AY322)</f>
        <v>0.42283345639751729</v>
      </c>
      <c r="AJ323" s="110">
        <f>SLOPE(AV323:AY323,AV322:AY322)</f>
        <v>-8.5722180629664225E-8</v>
      </c>
      <c r="AK323" s="72">
        <f>INTERCEPT(AV323:AY323,AV322:AY322)</f>
        <v>0.54600194740921515</v>
      </c>
      <c r="AL323" s="72">
        <f>INDEX(LINEST(LN(AV323:AY323),LN(AV322:AY322),TRUE,TRUE),3,1)</f>
        <v>0.95841486016702515</v>
      </c>
      <c r="AM323" s="72">
        <f>INDEX(LINEST(LN(AV323:AY323),LN(AV322:AY322)),1)</f>
        <v>-0.16428050018277732</v>
      </c>
      <c r="AN323" s="72">
        <f>EXP(INDEX(LINEST(LN(AV323:AY323),LN(AV322:AY322)),1,2))</f>
        <v>2.236155684975432</v>
      </c>
      <c r="AO323" s="89">
        <f>INDEX(LINEST((AV323:AY323),LN(AV322:AY322),TRUE,TRUE),3,1)</f>
        <v>0.99169777674087711</v>
      </c>
      <c r="AP323" s="89">
        <f>INDEX(LINEST((AV323:AY323),LN(AV322:AY322)),1)</f>
        <v>-7.1999945603842735E-2</v>
      </c>
      <c r="AQ323" s="90">
        <f>INDEX(LINEST(LN(AV323:AY323),SQRT(AV322:AY322),TRUE,TRUE),3,1)</f>
        <v>0.80954383926524665</v>
      </c>
      <c r="AR323" s="117">
        <f>INDEX(LINEST(LN(AV323:AY323),SQRT((AV322:AY322))),1)</f>
        <v>-6.878458749655247E-4</v>
      </c>
      <c r="AS323" s="91">
        <f>INDEX(LINEST(1/(AV323:AY323),1/(SQRT(AV322:AY322)),TRUE,TRUE),3,1)</f>
        <v>0.72193806209622968</v>
      </c>
      <c r="AT323" s="91">
        <f>INDEX(LINEST(1/(AV323:AY323),1/SQRT(AV322:AY322)),1)</f>
        <v>-65.698950916725295</v>
      </c>
      <c r="AU323" s="4"/>
      <c r="AV323" s="73">
        <v>0.85</v>
      </c>
      <c r="AW323" s="73">
        <v>0.31</v>
      </c>
      <c r="AX323" s="73">
        <v>0.18</v>
      </c>
      <c r="AY323" s="73">
        <v>0.17</v>
      </c>
      <c r="AZ323" s="53"/>
      <c r="BA323" s="53"/>
      <c r="BB323" s="53"/>
      <c r="BC323" s="53"/>
      <c r="BD323" s="53"/>
      <c r="BE323" s="53"/>
      <c r="BF323" s="53"/>
      <c r="BG323" s="53"/>
      <c r="BH323" s="53"/>
      <c r="BI323" s="53"/>
      <c r="BJ323" s="53"/>
      <c r="BK323" s="53"/>
      <c r="BL323" s="53"/>
      <c r="BM323" s="53"/>
      <c r="BN323" s="53"/>
      <c r="BO323" s="53"/>
      <c r="BP323" s="53"/>
      <c r="BQ323" s="53"/>
      <c r="BR323" s="53"/>
      <c r="BS323" s="53"/>
      <c r="BT323" s="53"/>
      <c r="BU323" s="53"/>
      <c r="BV323" s="53"/>
      <c r="BW323" s="53"/>
      <c r="BX323" s="53"/>
      <c r="BY323" s="53"/>
      <c r="BZ323" s="53"/>
      <c r="CA323" s="53"/>
      <c r="CB323" s="53"/>
      <c r="CC323" s="53"/>
      <c r="CD323" s="53"/>
      <c r="CE323" s="53"/>
      <c r="CF323" s="53"/>
      <c r="CG323" s="53"/>
      <c r="CH323" s="53"/>
      <c r="CI323" s="53"/>
      <c r="CJ323" s="53"/>
      <c r="CK323" s="53"/>
      <c r="CL323" s="53"/>
      <c r="CM323" s="53"/>
      <c r="CN323" s="53"/>
      <c r="CO323" s="53"/>
      <c r="CP323" s="53"/>
      <c r="CQ323" s="53"/>
      <c r="CR323" s="1"/>
      <c r="CS323" s="1"/>
      <c r="CT323" s="1"/>
      <c r="CU323" s="1"/>
    </row>
    <row r="324" spans="1:99" s="13" customFormat="1" ht="12" customHeight="1" x14ac:dyDescent="0.2">
      <c r="A324" s="68">
        <v>43648</v>
      </c>
      <c r="B324" s="70"/>
      <c r="C324" s="70"/>
      <c r="D324" s="69"/>
      <c r="E324" s="87"/>
      <c r="F324" s="69"/>
      <c r="G324" s="69"/>
      <c r="H324" s="69"/>
      <c r="I324" s="69"/>
      <c r="J324" s="69"/>
      <c r="K324" s="107"/>
      <c r="L324" s="107"/>
      <c r="M324" s="69"/>
      <c r="N324" s="69"/>
      <c r="O324" s="69"/>
      <c r="P324" s="69"/>
      <c r="Q324" s="69"/>
      <c r="R324" s="69"/>
      <c r="S324" s="69"/>
      <c r="T324" s="69"/>
      <c r="U324" s="60"/>
      <c r="V324" s="69"/>
      <c r="W324" s="69"/>
      <c r="X324" s="69"/>
      <c r="Y324" s="87"/>
      <c r="Z324" s="69"/>
      <c r="AA324" s="69"/>
      <c r="AB324" s="69"/>
      <c r="AC324" s="69"/>
      <c r="AD324" s="69"/>
      <c r="AE324" s="69"/>
      <c r="AF324" s="88"/>
      <c r="AG324" s="72"/>
      <c r="AH324" s="4"/>
      <c r="AI324" s="72"/>
      <c r="AJ324" s="110"/>
      <c r="AK324" s="72"/>
      <c r="AL324" s="72"/>
      <c r="AM324" s="72"/>
      <c r="AN324" s="72"/>
      <c r="AO324" s="72"/>
      <c r="AP324" s="72"/>
      <c r="AQ324" s="72"/>
      <c r="AR324" s="110"/>
      <c r="AS324" s="72"/>
      <c r="AT324" s="72"/>
      <c r="AU324" s="4"/>
      <c r="AV324" s="71">
        <f>5*30</f>
        <v>150</v>
      </c>
      <c r="AW324" s="71">
        <f>1*7*24*3600</f>
        <v>604800</v>
      </c>
      <c r="AX324" s="71">
        <f>4*7*24*3600</f>
        <v>2419200</v>
      </c>
      <c r="AY324" s="67"/>
      <c r="AZ324" s="53" t="s">
        <v>525</v>
      </c>
      <c r="BA324" s="53"/>
      <c r="BB324" s="53"/>
      <c r="BC324" s="53"/>
      <c r="BD324" s="53"/>
      <c r="BE324" s="53"/>
      <c r="BF324" s="53"/>
      <c r="BG324" s="53"/>
      <c r="BH324" s="53"/>
      <c r="BI324" s="53"/>
      <c r="BJ324" s="53"/>
      <c r="BK324" s="53"/>
      <c r="BL324" s="53"/>
      <c r="BM324" s="53"/>
      <c r="BN324" s="53"/>
      <c r="BO324" s="53"/>
      <c r="BP324" s="53"/>
      <c r="BQ324" s="53"/>
      <c r="BR324" s="53"/>
      <c r="BS324" s="53"/>
      <c r="BT324" s="53"/>
      <c r="BU324" s="53"/>
      <c r="BV324" s="53"/>
      <c r="BW324" s="53"/>
      <c r="BX324" s="53"/>
      <c r="BY324" s="53"/>
      <c r="BZ324" s="53"/>
      <c r="CA324" s="53"/>
      <c r="CB324" s="53"/>
      <c r="CC324" s="53"/>
      <c r="CD324" s="53"/>
      <c r="CE324" s="53"/>
      <c r="CF324" s="53"/>
      <c r="CG324" s="53"/>
      <c r="CH324" s="53"/>
      <c r="CI324" s="53"/>
      <c r="CJ324" s="53"/>
      <c r="CK324" s="53"/>
      <c r="CL324" s="53"/>
      <c r="CM324" s="53"/>
      <c r="CN324" s="53"/>
      <c r="CO324" s="53"/>
      <c r="CP324" s="53"/>
      <c r="CQ324" s="53"/>
      <c r="CR324" s="1"/>
      <c r="CS324" s="1"/>
      <c r="CT324" s="1"/>
      <c r="CU324" s="1"/>
    </row>
    <row r="325" spans="1:99" s="13" customFormat="1" ht="12" customHeight="1" x14ac:dyDescent="0.2">
      <c r="A325" s="68">
        <v>43648</v>
      </c>
      <c r="B325" s="70" t="s">
        <v>324</v>
      </c>
      <c r="C325" s="70" t="s">
        <v>307</v>
      </c>
      <c r="D325" s="69">
        <v>2005</v>
      </c>
      <c r="E325" s="87">
        <v>2</v>
      </c>
      <c r="F325" s="69">
        <v>46</v>
      </c>
      <c r="G325" s="69">
        <v>23</v>
      </c>
      <c r="H325" s="69" t="s">
        <v>793</v>
      </c>
      <c r="I325" s="69" t="s">
        <v>790</v>
      </c>
      <c r="J325" s="69" t="s">
        <v>794</v>
      </c>
      <c r="K325" s="69">
        <f>IF(J325="syllables",1,IF(J325="trigrams",2,IF(J325="strings",3,IF(J325="visual array",4,IF(J325="characters",5,IF(J325="letters",6,IF(J325="free forms",7,IF(J325="odors",8,IF(J325="words",9,IF(J325="pictures",10,IF(J325="object pictures",11,IF(J325="faces",12,IF(J325="names",13,IF(J325="idioms",14,IF(J325="grades",15,IF(J325="syllable-digit pairs",16,IF(J325="trigram-word pairs",17,IF(J325="word-digit pairs",18,IF(J325="English-Swahili pairs",19,IF(J325="spatial position",20,IF(J325="word pairs",21,IF(J325="word triads",22,IF(J325="generated words",23,IF(J325="word definition pairs",24,IF(J325="math problems",25,IF(J325="famous faces",26,IF(J325="famous names",27,IF(J325="famous voices",28,IF(J325="television programs",29,IF(J325="race horses",30,IF(J325="new vocabulary",31,IF(J325="sentences",32,IF(J325="concepts",33,IF(J325="ad slides",34,IF(J325="scenes",35,IF(J325="famous scenes",36,IF(J325="poems",37,IF(J325="walk",38,IF(J325="faces and events",39,IF(J325="events and names",40,IF(J325="flashbulb",41,IF(J325="stories",42,IF(J325="course material",43,IF(J325="autobiographical",44,IF(J325="novels",45,IF(J325="public events",46,"99"))))))))))))))))))))))))))))))))))))))))))))))</f>
        <v>24</v>
      </c>
      <c r="L325" s="69">
        <f>IF(J325="syllables",1,IF(J325="trigrams",1,IF(J325="strings",1,IF(J325="visual array",1,IF(J325="characters",1,IF(J325="letters",1,IF(J325="free forms",1,IF(J325="odors",2,IF(J325="words",2,IF(J325="pictures",2,IF(J325="object pictures",2,IF(J325="faces",2,IF(J325="names",2,IF(J325="idioms","2",IF(J325="grades",2,IF(J325="syllable-digit pairs",3,IF(J325="trigram-word pairs",3,IF(J325="word-digit pairs",3,IF(J325="English-Swahili pairs",3,IF(J325="spatial position",3,IF(J325="word pairs",4,IF(J325="word triads",4,IF(J325="generated words",4,IF(J325="word definition pairs",4,IF(J325="math problems",4,IF(J325="famous faces",4,IF(J325="famous names",4,IF(J325="famous voices",4,IF(J325="television programs",4,IF(J325="race horses",4,IF(J325="new vocabulary",4,IF(J325="sentences",5,IF(J325="concepts",5,IF(J325="ad slides",5,IF(J325="scenes",5,IF(J325="famous scenes",5,IF(J325="poems",6,IF(J325="walk",6,IF(J325="faces and events",6,IF(J325="events and names",6,IF(J325="flashbulb",7,IF(J325="stories",7,IF(J325="course material",7,IF(J325="autobiographical",7,IF(J325="novels",7,IF(J325="public events",7,"99"))))))))))))))))))))))))))))))))))))))))))))))</f>
        <v>4</v>
      </c>
      <c r="M325" s="69">
        <v>1</v>
      </c>
      <c r="N325" s="69">
        <v>1</v>
      </c>
      <c r="O325" s="69">
        <v>0</v>
      </c>
      <c r="P325" s="69"/>
      <c r="Q325" s="69" t="s">
        <v>65</v>
      </c>
      <c r="R325" s="69">
        <f>IF(Q325="Free Recall",1,IF(Q325="Cued Recall",2,IF(Q325="Recognition",3,IF(Q325="Multiple Choice",4,IF(Q325="Savings",5,IF(Q325="Stem Completion",6,IF(Q325="Fragment Completion",7,IF(Q325="anagram solution",8,IF(Q325="Matching",9,IF(Q325="Problem Solving",10,"99"))))))))))</f>
        <v>2</v>
      </c>
      <c r="S325" s="69" t="s">
        <v>310</v>
      </c>
      <c r="T325" s="69" t="s">
        <v>261</v>
      </c>
      <c r="U325" s="60">
        <f>IF(T325="within",1,0)</f>
        <v>0</v>
      </c>
      <c r="V325" s="69">
        <v>20</v>
      </c>
      <c r="W325" s="69">
        <f>F325*V325</f>
        <v>920</v>
      </c>
      <c r="X325" s="69">
        <v>3</v>
      </c>
      <c r="Y325" s="87">
        <f>AV324</f>
        <v>150</v>
      </c>
      <c r="Z325" s="69" t="s">
        <v>140</v>
      </c>
      <c r="AA325" s="69">
        <f>4*7*24*3600</f>
        <v>2419200</v>
      </c>
      <c r="AB325" s="69" t="str">
        <f>IF(AA325&lt;60,"1",IF(AA325&lt;=43200,"2",IF(AA325&lt;=777600,"3","4")))</f>
        <v>4</v>
      </c>
      <c r="AC325" s="72">
        <f>AVERAGE(AV324:DA324)</f>
        <v>1008050</v>
      </c>
      <c r="AD325" s="69" t="str">
        <f>IF(AC325&lt;60,"1",IF(AC325&lt;=43200,"2",IF(AC325&lt;=777600,"3","4")))</f>
        <v>4</v>
      </c>
      <c r="AE325" s="87">
        <f>AA325-Y325</f>
        <v>2419050</v>
      </c>
      <c r="AF325" s="88">
        <f>AV325</f>
        <v>0.97</v>
      </c>
      <c r="AG325" s="72">
        <f>((AW325-AV325)+(AX325-AW325))/2</f>
        <v>-0.375</v>
      </c>
      <c r="AH325" s="4"/>
      <c r="AI325" s="72">
        <f>RSQ(AV325:AX325,AV324:AX324)</f>
        <v>0.9557610966786424</v>
      </c>
      <c r="AJ325" s="110">
        <f>SLOPE(AV325:AX325,AV324:AX324)</f>
        <v>-2.9190641412031286E-7</v>
      </c>
      <c r="AK325" s="72">
        <f>INTERCEPT(AV325:AX325,AV324:AX324)</f>
        <v>0.90425626075398136</v>
      </c>
      <c r="AL325" s="72">
        <f>INDEX(LINEST(LN(AV325:AX325),LN(AV324:AX324),TRUE,TRUE),3,1)</f>
        <v>0.64393817607901838</v>
      </c>
      <c r="AM325" s="72">
        <f>INDEX(LINEST(LN(AV325:AX325),LN(AV324:AX324)),1)</f>
        <v>-0.11721782357999157</v>
      </c>
      <c r="AN325" s="72">
        <f>EXP(INDEX(LINEST(LN(AV325:AX325),LN(AV324:AX324)),1,2))</f>
        <v>1.8713127531699394</v>
      </c>
      <c r="AO325" s="89">
        <f>INDEX(LINEST((AV325:AX325),LN(AV324:AX324),TRUE,TRUE),3,1)</f>
        <v>0.80284126205289941</v>
      </c>
      <c r="AP325" s="89">
        <f>INDEX(LINEST((AV325:AX325),LN(AV324:AX324)),1)</f>
        <v>-6.4284056327613998E-2</v>
      </c>
      <c r="AQ325" s="90">
        <f>INDEX(LINEST(LN(AV325:AX325),SQRT(AV324:AX324),TRUE,TRUE),3,1)</f>
        <v>0.94168462986758383</v>
      </c>
      <c r="AR325" s="117">
        <f>INDEX(LINEST(LN(AV325:AX325),SQRT((AV324:AX324))),1)</f>
        <v>-9.625643884827018E-4</v>
      </c>
      <c r="AS325" s="91">
        <f>INDEX(LINEST(1/(AV325:AX325),1/(SQRT(AV324:AX324)),TRUE,TRUE),3,1)</f>
        <v>0.38685532632695657</v>
      </c>
      <c r="AT325" s="91">
        <f>INDEX(LINEST(1/(AV325:AX325),1/SQRT(AV324:AX324)),1)</f>
        <v>-25.293085496354013</v>
      </c>
      <c r="AU325" s="4"/>
      <c r="AV325" s="73">
        <v>0.97</v>
      </c>
      <c r="AW325" s="73">
        <v>0.64</v>
      </c>
      <c r="AX325" s="73">
        <v>0.22</v>
      </c>
      <c r="AY325" s="67"/>
      <c r="AZ325" s="53"/>
      <c r="BA325" s="53"/>
      <c r="BB325" s="53"/>
      <c r="BC325" s="53"/>
      <c r="BD325" s="53"/>
      <c r="BE325" s="53"/>
      <c r="BF325" s="53"/>
      <c r="BG325" s="53"/>
      <c r="BH325" s="53"/>
      <c r="BI325" s="53"/>
      <c r="BJ325" s="53"/>
      <c r="BK325" s="53"/>
      <c r="BL325" s="53"/>
      <c r="BM325" s="53"/>
      <c r="BN325" s="53"/>
      <c r="BO325" s="53"/>
      <c r="BP325" s="53"/>
      <c r="BQ325" s="53"/>
      <c r="BR325" s="53"/>
      <c r="BS325" s="53"/>
      <c r="BT325" s="53"/>
      <c r="BU325" s="53"/>
      <c r="BV325" s="53"/>
      <c r="BW325" s="53"/>
      <c r="BX325" s="53"/>
      <c r="BY325" s="53"/>
      <c r="BZ325" s="53"/>
      <c r="CA325" s="53"/>
      <c r="CB325" s="53"/>
      <c r="CC325" s="53"/>
      <c r="CD325" s="53"/>
      <c r="CE325" s="53"/>
      <c r="CF325" s="53"/>
      <c r="CG325" s="53"/>
      <c r="CH325" s="53"/>
      <c r="CI325" s="53"/>
      <c r="CJ325" s="53"/>
      <c r="CK325" s="53"/>
      <c r="CL325" s="53"/>
      <c r="CM325" s="53"/>
      <c r="CN325" s="53"/>
      <c r="CO325" s="53"/>
      <c r="CP325" s="53"/>
      <c r="CQ325" s="53"/>
      <c r="CR325" s="1"/>
      <c r="CS325" s="1"/>
      <c r="CT325" s="1"/>
      <c r="CU325" s="1"/>
    </row>
    <row r="326" spans="1:99" s="13" customFormat="1" ht="12" customHeight="1" x14ac:dyDescent="0.2">
      <c r="A326" s="68">
        <v>43648</v>
      </c>
      <c r="B326" s="70"/>
      <c r="C326" s="70"/>
      <c r="D326" s="69"/>
      <c r="E326" s="87"/>
      <c r="F326" s="69"/>
      <c r="G326" s="69"/>
      <c r="H326" s="69"/>
      <c r="I326" s="69"/>
      <c r="J326" s="69"/>
      <c r="K326" s="107"/>
      <c r="L326" s="107"/>
      <c r="M326" s="69"/>
      <c r="N326" s="69"/>
      <c r="O326" s="69"/>
      <c r="P326" s="69"/>
      <c r="Q326" s="69"/>
      <c r="R326" s="69"/>
      <c r="S326" s="69"/>
      <c r="T326" s="69"/>
      <c r="U326" s="60"/>
      <c r="V326" s="69"/>
      <c r="W326" s="69"/>
      <c r="X326" s="69"/>
      <c r="Y326" s="87"/>
      <c r="Z326" s="69"/>
      <c r="AA326" s="69"/>
      <c r="AB326" s="69"/>
      <c r="AC326" s="69"/>
      <c r="AD326" s="69"/>
      <c r="AE326" s="69"/>
      <c r="AF326" s="88"/>
      <c r="AG326" s="72"/>
      <c r="AH326" s="4"/>
      <c r="AI326" s="72"/>
      <c r="AJ326" s="110"/>
      <c r="AK326" s="72"/>
      <c r="AL326" s="72"/>
      <c r="AM326" s="72"/>
      <c r="AN326" s="72"/>
      <c r="AO326" s="72"/>
      <c r="AP326" s="72"/>
      <c r="AQ326" s="89"/>
      <c r="AR326" s="118"/>
      <c r="AS326" s="89"/>
      <c r="AT326" s="89"/>
      <c r="AU326" s="4"/>
      <c r="AV326" s="71">
        <f>10*30</f>
        <v>300</v>
      </c>
      <c r="AW326" s="71">
        <f>1*7*24*3600</f>
        <v>604800</v>
      </c>
      <c r="AX326" s="71">
        <f>4*7*24*3600</f>
        <v>2419200</v>
      </c>
      <c r="AY326" s="67"/>
      <c r="AZ326" s="53" t="s">
        <v>526</v>
      </c>
      <c r="BA326" s="53"/>
      <c r="BB326" s="53"/>
      <c r="BC326" s="53"/>
      <c r="BD326" s="53"/>
      <c r="BE326" s="53"/>
      <c r="BF326" s="53"/>
      <c r="BG326" s="53"/>
      <c r="BH326" s="53"/>
      <c r="BI326" s="53"/>
      <c r="BJ326" s="53"/>
      <c r="BK326" s="53"/>
      <c r="BL326" s="53"/>
      <c r="BM326" s="53"/>
      <c r="BN326" s="53"/>
      <c r="BO326" s="53"/>
      <c r="BP326" s="53"/>
      <c r="BQ326" s="53"/>
      <c r="BR326" s="53"/>
      <c r="BS326" s="53"/>
      <c r="BT326" s="53"/>
      <c r="BU326" s="53"/>
      <c r="BV326" s="53"/>
      <c r="BW326" s="53"/>
      <c r="BX326" s="53"/>
      <c r="BY326" s="53"/>
      <c r="BZ326" s="53"/>
      <c r="CA326" s="53"/>
      <c r="CB326" s="53"/>
      <c r="CC326" s="53"/>
      <c r="CD326" s="53"/>
      <c r="CE326" s="53"/>
      <c r="CF326" s="53"/>
      <c r="CG326" s="53"/>
      <c r="CH326" s="53"/>
      <c r="CI326" s="53"/>
      <c r="CJ326" s="53"/>
      <c r="CK326" s="53"/>
      <c r="CL326" s="53"/>
      <c r="CM326" s="53"/>
      <c r="CN326" s="53"/>
      <c r="CO326" s="53"/>
      <c r="CP326" s="53"/>
      <c r="CQ326" s="53"/>
      <c r="CR326" s="1"/>
      <c r="CS326" s="1"/>
      <c r="CT326" s="1"/>
      <c r="CU326" s="1"/>
    </row>
    <row r="327" spans="1:99" s="13" customFormat="1" ht="12" customHeight="1" x14ac:dyDescent="0.2">
      <c r="A327" s="68">
        <v>43648</v>
      </c>
      <c r="B327" s="70" t="s">
        <v>324</v>
      </c>
      <c r="C327" s="70" t="s">
        <v>307</v>
      </c>
      <c r="D327" s="69">
        <v>2005</v>
      </c>
      <c r="E327" s="87">
        <v>2</v>
      </c>
      <c r="F327" s="69">
        <v>42</v>
      </c>
      <c r="G327" s="69">
        <v>21</v>
      </c>
      <c r="H327" s="69" t="s">
        <v>793</v>
      </c>
      <c r="I327" s="69" t="s">
        <v>791</v>
      </c>
      <c r="J327" s="69" t="s">
        <v>794</v>
      </c>
      <c r="K327" s="69">
        <f>IF(J327="syllables",1,IF(J327="trigrams",2,IF(J327="strings",3,IF(J327="visual array",4,IF(J327="characters",5,IF(J327="letters",6,IF(J327="free forms",7,IF(J327="odors",8,IF(J327="words",9,IF(J327="pictures",10,IF(J327="object pictures",11,IF(J327="faces",12,IF(J327="names",13,IF(J327="idioms",14,IF(J327="grades",15,IF(J327="syllable-digit pairs",16,IF(J327="trigram-word pairs",17,IF(J327="word-digit pairs",18,IF(J327="English-Swahili pairs",19,IF(J327="spatial position",20,IF(J327="word pairs",21,IF(J327="word triads",22,IF(J327="generated words",23,IF(J327="word definition pairs",24,IF(J327="math problems",25,IF(J327="famous faces",26,IF(J327="famous names",27,IF(J327="famous voices",28,IF(J327="television programs",29,IF(J327="race horses",30,IF(J327="new vocabulary",31,IF(J327="sentences",32,IF(J327="concepts",33,IF(J327="ad slides",34,IF(J327="scenes",35,IF(J327="famous scenes",36,IF(J327="poems",37,IF(J327="walk",38,IF(J327="faces and events",39,IF(J327="events and names",40,IF(J327="flashbulb",41,IF(J327="stories",42,IF(J327="course material",43,IF(J327="autobiographical",44,IF(J327="novels",45,IF(J327="public events",46,"99"))))))))))))))))))))))))))))))))))))))))))))))</f>
        <v>24</v>
      </c>
      <c r="L327" s="69">
        <f>IF(J327="syllables",1,IF(J327="trigrams",1,IF(J327="strings",1,IF(J327="visual array",1,IF(J327="characters",1,IF(J327="letters",1,IF(J327="free forms",1,IF(J327="odors",2,IF(J327="words",2,IF(J327="pictures",2,IF(J327="object pictures",2,IF(J327="faces",2,IF(J327="names",2,IF(J327="idioms","2",IF(J327="grades",2,IF(J327="syllable-digit pairs",3,IF(J327="trigram-word pairs",3,IF(J327="word-digit pairs",3,IF(J327="English-Swahili pairs",3,IF(J327="spatial position",3,IF(J327="word pairs",4,IF(J327="word triads",4,IF(J327="generated words",4,IF(J327="word definition pairs",4,IF(J327="math problems",4,IF(J327="famous faces",4,IF(J327="famous names",4,IF(J327="famous voices",4,IF(J327="television programs",4,IF(J327="race horses",4,IF(J327="new vocabulary",4,IF(J327="sentences",5,IF(J327="concepts",5,IF(J327="ad slides",5,IF(J327="scenes",5,IF(J327="famous scenes",5,IF(J327="poems",6,IF(J327="walk",6,IF(J327="faces and events",6,IF(J327="events and names",6,IF(J327="flashbulb",7,IF(J327="stories",7,IF(J327="course material",7,IF(J327="autobiographical",7,IF(J327="novels",7,IF(J327="public events",7,"99"))))))))))))))))))))))))))))))))))))))))))))))</f>
        <v>4</v>
      </c>
      <c r="M327" s="69">
        <v>1</v>
      </c>
      <c r="N327" s="69">
        <v>1</v>
      </c>
      <c r="O327" s="69">
        <v>0</v>
      </c>
      <c r="P327" s="69"/>
      <c r="Q327" s="69" t="s">
        <v>65</v>
      </c>
      <c r="R327" s="69">
        <f>IF(Q327="Free Recall",1,IF(Q327="Cued Recall",2,IF(Q327="Recognition",3,IF(Q327="Multiple Choice",4,IF(Q327="Savings",5,IF(Q327="Stem Completion",6,IF(Q327="Fragment Completion",7,IF(Q327="anagram solution",8,IF(Q327="Matching",9,IF(Q327="Problem Solving",10,"99"))))))))))</f>
        <v>2</v>
      </c>
      <c r="S327" s="69" t="s">
        <v>310</v>
      </c>
      <c r="T327" s="69" t="s">
        <v>261</v>
      </c>
      <c r="U327" s="60">
        <f>IF(T327="within",1,0)</f>
        <v>0</v>
      </c>
      <c r="V327" s="69">
        <v>10</v>
      </c>
      <c r="W327" s="69">
        <f>F327*V327</f>
        <v>420</v>
      </c>
      <c r="X327" s="69">
        <v>3</v>
      </c>
      <c r="Y327" s="87">
        <f>AV326</f>
        <v>300</v>
      </c>
      <c r="Z327" s="69" t="s">
        <v>140</v>
      </c>
      <c r="AA327" s="69">
        <f>4*7*24*3600</f>
        <v>2419200</v>
      </c>
      <c r="AB327" s="69" t="str">
        <f>IF(AA327&lt;60,"1",IF(AA327&lt;=43200,"2",IF(AA327&lt;=777600,"3","4")))</f>
        <v>4</v>
      </c>
      <c r="AC327" s="72">
        <f>AVERAGE(AV326:DA326)</f>
        <v>1008100</v>
      </c>
      <c r="AD327" s="69" t="str">
        <f>IF(AC327&lt;60,"1",IF(AC327&lt;=43200,"2",IF(AC327&lt;=777600,"3","4")))</f>
        <v>4</v>
      </c>
      <c r="AE327" s="87">
        <f>AA327-Y327</f>
        <v>2418900</v>
      </c>
      <c r="AF327" s="88">
        <f>AV327</f>
        <v>0.7</v>
      </c>
      <c r="AG327" s="72">
        <f>((AW327-AV327)+(AX327-AW327))/2</f>
        <v>-0.26</v>
      </c>
      <c r="AH327" s="4"/>
      <c r="AI327" s="72">
        <f>RSQ(AV327:AX327,AV326:AX326)</f>
        <v>0.83847801942167366</v>
      </c>
      <c r="AJ327" s="110">
        <f>SLOPE(AV327:AX327,AV326:AX326)</f>
        <v>-1.90791339194634E-7</v>
      </c>
      <c r="AK327" s="72">
        <f>INTERCEPT(AV327:AX327,AV326:AX326)</f>
        <v>0.61233674904211055</v>
      </c>
      <c r="AL327" s="72">
        <f>INDEX(LINEST(LN(AV327:AX327),LN(AV326:AX326),TRUE,TRUE),3,1)</f>
        <v>0.82021981939435806</v>
      </c>
      <c r="AM327" s="72">
        <f>INDEX(LINEST(LN(AV327:AX327),LN(AV326:AX326)),1)</f>
        <v>-0.1271993749383778</v>
      </c>
      <c r="AN327" s="72">
        <f>EXP(INDEX(LINEST(LN(AV327:AX327),LN(AV326:AX326)),1,2))</f>
        <v>1.5166532279275395</v>
      </c>
      <c r="AO327" s="89">
        <f>INDEX(LINEST((AV327:AX327),LN(AV326:AX326),TRUE,TRUE),3,1)</f>
        <v>0.93997085955518644</v>
      </c>
      <c r="AP327" s="89">
        <f>INDEX(LINEST((AV327:AX327),LN(AV326:AX326)),1)</f>
        <v>-5.2509046413618379E-2</v>
      </c>
      <c r="AQ327" s="90">
        <f>INDEX(LINEST(LN(AV327:AX327),SQRT(AV326:AX326),TRUE,TRUE),3,1)</f>
        <v>0.99736259675337724</v>
      </c>
      <c r="AR327" s="117">
        <f>INDEX(LINEST(LN(AV327:AX327),SQRT((AV326:AX326))),1)</f>
        <v>-8.8330762949497725E-4</v>
      </c>
      <c r="AS327" s="91">
        <f>INDEX(LINEST(1/(AV327:AX327),1/(SQRT(AV326:AX326)),TRUE,TRUE),3,1)</f>
        <v>0.53531642155129067</v>
      </c>
      <c r="AT327" s="91">
        <f>INDEX(LINEST(1/(AV327:AX327),1/SQRT(AV326:AX326)),1)</f>
        <v>-47.376129350754603</v>
      </c>
      <c r="AU327" s="4"/>
      <c r="AV327" s="73">
        <v>0.7</v>
      </c>
      <c r="AW327" s="73">
        <v>0.38</v>
      </c>
      <c r="AX327" s="73">
        <v>0.18</v>
      </c>
      <c r="AY327" s="67"/>
      <c r="AZ327" s="53"/>
      <c r="BA327" s="53"/>
      <c r="BB327" s="53"/>
      <c r="BC327" s="53"/>
      <c r="BD327" s="53"/>
      <c r="BE327" s="53"/>
      <c r="BF327" s="53"/>
      <c r="BG327" s="53"/>
      <c r="BH327" s="53"/>
      <c r="BI327" s="53"/>
      <c r="BJ327" s="53"/>
      <c r="BK327" s="53"/>
      <c r="BL327" s="53"/>
      <c r="BM327" s="53"/>
      <c r="BN327" s="53"/>
      <c r="BO327" s="53"/>
      <c r="BP327" s="53"/>
      <c r="BQ327" s="53"/>
      <c r="BR327" s="53"/>
      <c r="BS327" s="53"/>
      <c r="BT327" s="53"/>
      <c r="BU327" s="53"/>
      <c r="BV327" s="53"/>
      <c r="BW327" s="53"/>
      <c r="BX327" s="53"/>
      <c r="BY327" s="53"/>
      <c r="BZ327" s="53"/>
      <c r="CA327" s="53"/>
      <c r="CB327" s="53"/>
      <c r="CC327" s="53"/>
      <c r="CD327" s="53"/>
      <c r="CE327" s="53"/>
      <c r="CF327" s="53"/>
      <c r="CG327" s="53"/>
      <c r="CH327" s="53"/>
      <c r="CI327" s="53"/>
      <c r="CJ327" s="53"/>
      <c r="CK327" s="53"/>
      <c r="CL327" s="53"/>
      <c r="CM327" s="53"/>
      <c r="CN327" s="53"/>
      <c r="CO327" s="53"/>
      <c r="CP327" s="53"/>
      <c r="CQ327" s="53"/>
      <c r="CR327" s="1"/>
      <c r="CS327" s="1"/>
      <c r="CT327" s="1"/>
      <c r="CU327" s="1"/>
    </row>
    <row r="328" spans="1:99" s="13" customFormat="1" ht="12" customHeight="1" x14ac:dyDescent="0.2">
      <c r="A328" s="65">
        <v>43648</v>
      </c>
      <c r="B328" s="1"/>
      <c r="C328" s="1"/>
      <c r="D328" s="60"/>
      <c r="E328" s="76"/>
      <c r="F328" s="60"/>
      <c r="G328" s="60"/>
      <c r="H328" s="60"/>
      <c r="I328" s="60"/>
      <c r="J328" s="60"/>
      <c r="K328" s="64"/>
      <c r="L328" s="64"/>
      <c r="M328" s="60"/>
      <c r="N328" s="60"/>
      <c r="O328" s="60"/>
      <c r="P328" s="60"/>
      <c r="Q328" s="60"/>
      <c r="R328" s="60"/>
      <c r="S328" s="60"/>
      <c r="T328" s="60"/>
      <c r="U328" s="60"/>
      <c r="V328" s="60"/>
      <c r="W328" s="60"/>
      <c r="X328" s="60"/>
      <c r="Y328" s="76"/>
      <c r="Z328" s="60"/>
      <c r="AA328" s="60"/>
      <c r="AB328" s="60"/>
      <c r="AC328" s="60"/>
      <c r="AD328" s="60"/>
      <c r="AE328" s="60"/>
      <c r="AF328" s="80"/>
      <c r="AG328" s="56"/>
      <c r="AH328" s="4"/>
      <c r="AI328" s="56"/>
      <c r="AJ328" s="109"/>
      <c r="AK328" s="56"/>
      <c r="AL328" s="56"/>
      <c r="AM328" s="56"/>
      <c r="AN328" s="56"/>
      <c r="AO328" s="56"/>
      <c r="AP328" s="56"/>
      <c r="AQ328" s="82"/>
      <c r="AR328" s="115"/>
      <c r="AS328" s="82"/>
      <c r="AT328" s="82"/>
      <c r="AU328" s="4"/>
      <c r="AV328" s="53">
        <v>300</v>
      </c>
      <c r="AW328" s="1">
        <f>1*7*24*3600</f>
        <v>604800</v>
      </c>
      <c r="AX328" s="1">
        <f>4*7*24*3600</f>
        <v>2419200</v>
      </c>
      <c r="AZ328" s="53" t="s">
        <v>527</v>
      </c>
      <c r="BA328" s="53"/>
      <c r="BB328" s="53"/>
      <c r="BC328" s="53"/>
      <c r="BD328" s="53"/>
      <c r="BE328" s="53"/>
      <c r="BF328" s="53"/>
      <c r="BG328" s="53"/>
      <c r="BH328" s="53"/>
      <c r="BI328" s="53"/>
      <c r="BJ328" s="53"/>
      <c r="BK328" s="53"/>
      <c r="BL328" s="53"/>
      <c r="BM328" s="53"/>
      <c r="BN328" s="53"/>
      <c r="BO328" s="53"/>
      <c r="BP328" s="53"/>
      <c r="BQ328" s="53"/>
      <c r="BR328" s="53"/>
      <c r="BS328" s="53"/>
      <c r="BT328" s="53"/>
      <c r="BU328" s="53"/>
      <c r="BV328" s="53"/>
      <c r="BW328" s="53"/>
      <c r="BX328" s="53"/>
      <c r="BY328" s="53"/>
      <c r="BZ328" s="53"/>
      <c r="CA328" s="53"/>
      <c r="CB328" s="53"/>
      <c r="CC328" s="53"/>
      <c r="CD328" s="53"/>
      <c r="CE328" s="53"/>
      <c r="CF328" s="53"/>
      <c r="CG328" s="53"/>
      <c r="CH328" s="53"/>
      <c r="CI328" s="53"/>
      <c r="CJ328" s="53"/>
      <c r="CK328" s="53"/>
      <c r="CL328" s="53"/>
      <c r="CM328" s="53"/>
      <c r="CN328" s="53"/>
      <c r="CO328" s="53"/>
      <c r="CP328" s="53"/>
      <c r="CQ328" s="53"/>
      <c r="CR328" s="1"/>
      <c r="CS328" s="1"/>
      <c r="CT328" s="1"/>
      <c r="CU328" s="1"/>
    </row>
    <row r="329" spans="1:99" s="13" customFormat="1" ht="12" customHeight="1" x14ac:dyDescent="0.2">
      <c r="A329" s="65">
        <v>43648</v>
      </c>
      <c r="B329" s="1" t="s">
        <v>795</v>
      </c>
      <c r="C329" s="1" t="s">
        <v>307</v>
      </c>
      <c r="D329" s="60">
        <v>2006</v>
      </c>
      <c r="E329" s="76">
        <v>1</v>
      </c>
      <c r="F329" s="60">
        <v>58</v>
      </c>
      <c r="G329" s="60">
        <v>29</v>
      </c>
      <c r="H329" s="60" t="s">
        <v>792</v>
      </c>
      <c r="I329" s="60" t="s">
        <v>796</v>
      </c>
      <c r="J329" s="60" t="s">
        <v>164</v>
      </c>
      <c r="K329" s="60">
        <f>IF(J329="syllables",1,IF(J329="trigrams",2,IF(J329="strings",3,IF(J329="visual array",4,IF(J329="characters",5,IF(J329="letters",6,IF(J329="free forms",7,IF(J329="odors",8,IF(J329="words",9,IF(J329="pictures",10,IF(J329="object pictures",11,IF(J329="faces",12,IF(J329="names",13,IF(J329="idioms",14,IF(J329="grades",15,IF(J329="syllable-digit pairs",16,IF(J329="trigram-word pairs",17,IF(J329="word-digit pairs",18,IF(J329="English-Swahili pairs",19,IF(J329="spatial position",20,IF(J329="word pairs",21,IF(J329="word triads",22,IF(J329="generated words",23,IF(J329="word definition pairs",24,IF(J329="math problems",25,IF(J329="famous faces",26,IF(J329="famous names",27,IF(J329="famous voices",28,IF(J329="television programs",29,IF(J329="race horses",30,IF(J329="new vocabulary",31,IF(J329="sentences",32,IF(J329="concepts",33,IF(J329="ad slides",34,IF(J329="scenes",35,IF(J329="famous scenes",36,IF(J329="poems",37,IF(J329="walk",38,IF(J329="faces and events",39,IF(J329="events and names",40,IF(J329="flashbulb",41,IF(J329="stories",42,IF(J329="course material",43,IF(J329="autobiographical",44,IF(J329="novels",45,IF(J329="public events",46,"99"))))))))))))))))))))))))))))))))))))))))))))))</f>
        <v>25</v>
      </c>
      <c r="L329" s="60">
        <f>IF(J329="syllables",1,IF(J329="trigrams",1,IF(J329="strings",1,IF(J329="visual array",1,IF(J329="characters",1,IF(J329="letters",1,IF(J329="free forms",1,IF(J329="odors",2,IF(J329="words",2,IF(J329="pictures",2,IF(J329="object pictures",2,IF(J329="faces",2,IF(J329="names",2,IF(J329="idioms","2",IF(J329="grades",2,IF(J329="syllable-digit pairs",3,IF(J329="trigram-word pairs",3,IF(J329="word-digit pairs",3,IF(J329="English-Swahili pairs",3,IF(J329="spatial position",3,IF(J329="word pairs",4,IF(J329="word triads",4,IF(J329="generated words",4,IF(J329="word definition pairs",4,IF(J329="math problems",4,IF(J329="famous faces",4,IF(J329="famous names",4,IF(J329="famous voices",4,IF(J329="television programs",4,IF(J329="race horses",4,IF(J329="new vocabulary",4,IF(J329="sentences",5,IF(J329="concepts",5,IF(J329="ad slides",5,IF(J329="scenes",5,IF(J329="famous scenes",5,IF(J329="poems",6,IF(J329="walk",6,IF(J329="faces and events",6,IF(J329="events and names",6,IF(J329="flashbulb",7,IF(J329="stories",7,IF(J329="course material",7,IF(J329="autobiographical",7,IF(J329="novels",7,IF(J329="public events",7,"99"))))))))))))))))))))))))))))))))))))))))))))))</f>
        <v>4</v>
      </c>
      <c r="M329" s="60">
        <v>1</v>
      </c>
      <c r="N329" s="60">
        <v>1</v>
      </c>
      <c r="O329" s="60">
        <v>0</v>
      </c>
      <c r="P329" s="60"/>
      <c r="Q329" s="60" t="s">
        <v>312</v>
      </c>
      <c r="R329" s="60">
        <f>IF(Q329="Free Recall",1,IF(Q329="Cued Recall",2,IF(Q329="Recognition",3,IF(Q329="Multiple Choice",4,IF(Q329="Savings",5,IF(Q329="Stem Completion",6,IF(Q329="Fragment Completion",7,IF(Q329="anagram solution",8,IF(Q329="Matching",9,IF(Q329="Problem Solving",10,"99"))))))))))</f>
        <v>10</v>
      </c>
      <c r="S329" s="60" t="s">
        <v>15</v>
      </c>
      <c r="T329" s="60" t="s">
        <v>261</v>
      </c>
      <c r="U329" s="60">
        <f>IF(T329="within",1,0)</f>
        <v>0</v>
      </c>
      <c r="V329" s="60">
        <v>10</v>
      </c>
      <c r="W329" s="60">
        <f>F329*V329</f>
        <v>580</v>
      </c>
      <c r="X329" s="60">
        <v>3</v>
      </c>
      <c r="Y329" s="76">
        <f>AV328</f>
        <v>300</v>
      </c>
      <c r="Z329" s="60" t="s">
        <v>140</v>
      </c>
      <c r="AA329" s="60">
        <f>4*7*24*3600</f>
        <v>2419200</v>
      </c>
      <c r="AB329" s="60" t="str">
        <f>IF(AA329&lt;60,"1",IF(AA329&lt;=43200,"2",IF(AA329&lt;=777600,"3","4")))</f>
        <v>4</v>
      </c>
      <c r="AC329" s="56">
        <f>AVERAGE(AV328:DA328)</f>
        <v>1008100</v>
      </c>
      <c r="AD329" s="60" t="str">
        <f>IF(AC329&lt;60,"1",IF(AC329&lt;=43200,"2",IF(AC329&lt;=777600,"3","4")))</f>
        <v>4</v>
      </c>
      <c r="AE329" s="76">
        <f>AA329-Y329</f>
        <v>2418900</v>
      </c>
      <c r="AF329" s="80">
        <f>AV329</f>
        <v>0.85</v>
      </c>
      <c r="AG329" s="56">
        <f>((AW329-AV329)+(AX329-AW329))/2</f>
        <v>-0.10499999999999998</v>
      </c>
      <c r="AH329" s="4"/>
      <c r="AI329" s="56">
        <f>RSQ(AV329:AX329,AV328:AX328)</f>
        <v>0.74991413524765216</v>
      </c>
      <c r="AJ329" s="109">
        <f>SLOPE(AV329:AX329,AV328:AX328)</f>
        <v>-7.4407600047469704E-8</v>
      </c>
      <c r="AK329" s="56">
        <f>INTERCEPT(AV329:AX329,AV328:AX328)</f>
        <v>0.80501030160785425</v>
      </c>
      <c r="AL329" s="56">
        <f>INDEX(LINEST(LN(AV329:AX329),LN(AV328:AX328),TRUE,TRUE),3,1)</f>
        <v>0.97124274518846521</v>
      </c>
      <c r="AM329" s="56">
        <f>INDEX(LINEST(LN(AV329:AX329),LN(AV328:AX328)),1)</f>
        <v>-2.9518131890255525E-2</v>
      </c>
      <c r="AN329" s="56">
        <f>EXP(INDEX(LINEST(LN(AV329:AX329),LN(AV328:AX328)),1,2))</f>
        <v>1.0099606628764184</v>
      </c>
      <c r="AO329" s="82">
        <f>INDEX(LINEST((AV329:AX329),LN(AV328:AX328),TRUE,TRUE),3,1)</f>
        <v>0.98123455190482423</v>
      </c>
      <c r="AP329" s="82">
        <f>INDEX(LINEST((AV329:AX329),LN(AV328:AX328)),1)</f>
        <v>-2.2123919233917207E-2</v>
      </c>
      <c r="AQ329" s="83">
        <f>INDEX(LINEST(LN(AV329:AX329),SQRT(AV328:AX328),TRUE,TRUE),3,1)</f>
        <v>0.95403096371340235</v>
      </c>
      <c r="AR329" s="116">
        <f>INDEX(LINEST(LN(AV329:AX329),SQRT((AV328:AX328))),1)</f>
        <v>-1.8423485867246584E-4</v>
      </c>
      <c r="AS329" s="84">
        <f>INDEX(LINEST(1/(AV329:AX329),1/(SQRT(AV328:AX328)),TRUE,TRUE),3,1)</f>
        <v>0.8895034520284395</v>
      </c>
      <c r="AT329" s="84">
        <f>INDEX(LINEST(1/(AV329:AX329),1/SQRT(AV328:AX328)),1)</f>
        <v>-5.6397451259025271</v>
      </c>
      <c r="AU329" s="4"/>
      <c r="AV329" s="53">
        <v>0.85</v>
      </c>
      <c r="AW329" s="53">
        <v>0.7</v>
      </c>
      <c r="AX329" s="53">
        <v>0.64</v>
      </c>
      <c r="AY329" s="53"/>
      <c r="AZ329" s="53"/>
      <c r="BA329" s="53"/>
      <c r="BB329" s="53"/>
      <c r="BC329" s="53"/>
      <c r="BD329" s="53"/>
      <c r="BE329" s="53"/>
      <c r="BF329" s="53"/>
      <c r="BG329" s="53"/>
      <c r="BH329" s="53"/>
      <c r="BI329" s="53"/>
      <c r="BJ329" s="53"/>
      <c r="BK329" s="53"/>
      <c r="BL329" s="53"/>
      <c r="BM329" s="53"/>
      <c r="BN329" s="53"/>
      <c r="BO329" s="53"/>
      <c r="BP329" s="53"/>
      <c r="BQ329" s="53"/>
      <c r="BR329" s="53"/>
      <c r="BS329" s="53"/>
      <c r="BT329" s="53"/>
      <c r="BU329" s="53"/>
      <c r="BV329" s="53"/>
      <c r="BW329" s="53"/>
      <c r="BX329" s="53"/>
      <c r="BY329" s="53"/>
      <c r="BZ329" s="53"/>
      <c r="CA329" s="53"/>
      <c r="CB329" s="53"/>
      <c r="CC329" s="53"/>
      <c r="CD329" s="53"/>
      <c r="CE329" s="53"/>
      <c r="CF329" s="53"/>
      <c r="CG329" s="53"/>
      <c r="CH329" s="53"/>
      <c r="CI329" s="53"/>
      <c r="CJ329" s="53"/>
      <c r="CK329" s="53"/>
      <c r="CL329" s="53"/>
      <c r="CM329" s="53"/>
      <c r="CN329" s="53"/>
      <c r="CO329" s="53"/>
      <c r="CP329" s="53"/>
      <c r="CQ329" s="53"/>
      <c r="CR329" s="1"/>
      <c r="CS329" s="1"/>
      <c r="CT329" s="1"/>
      <c r="CU329" s="1"/>
    </row>
    <row r="330" spans="1:99" s="13" customFormat="1" ht="12" customHeight="1" x14ac:dyDescent="0.2">
      <c r="A330" s="65">
        <v>43648</v>
      </c>
      <c r="B330" s="1"/>
      <c r="C330" s="1"/>
      <c r="D330" s="60"/>
      <c r="E330" s="76"/>
      <c r="F330" s="60"/>
      <c r="G330" s="60"/>
      <c r="H330" s="60"/>
      <c r="I330" s="60"/>
      <c r="J330" s="60"/>
      <c r="K330" s="64"/>
      <c r="L330" s="64"/>
      <c r="M330" s="60"/>
      <c r="N330" s="60"/>
      <c r="O330" s="60"/>
      <c r="P330" s="60"/>
      <c r="Q330" s="60"/>
      <c r="R330" s="60"/>
      <c r="S330" s="60"/>
      <c r="T330" s="60"/>
      <c r="U330" s="60"/>
      <c r="V330" s="60"/>
      <c r="W330" s="60"/>
      <c r="X330" s="60"/>
      <c r="Y330" s="76"/>
      <c r="Z330" s="60"/>
      <c r="AA330" s="60"/>
      <c r="AB330" s="60"/>
      <c r="AC330" s="60"/>
      <c r="AD330" s="60"/>
      <c r="AE330" s="60"/>
      <c r="AF330" s="80"/>
      <c r="AG330" s="56"/>
      <c r="AH330" s="4"/>
      <c r="AI330" s="56"/>
      <c r="AJ330" s="109"/>
      <c r="AK330" s="56"/>
      <c r="AL330" s="56"/>
      <c r="AM330" s="56"/>
      <c r="AN330" s="56"/>
      <c r="AO330" s="56"/>
      <c r="AP330" s="56"/>
      <c r="AQ330" s="82"/>
      <c r="AR330" s="115"/>
      <c r="AS330" s="82"/>
      <c r="AT330" s="82"/>
      <c r="AU330" s="4"/>
      <c r="AV330" s="53">
        <v>300</v>
      </c>
      <c r="AW330" s="1">
        <f>1*7*24*3600</f>
        <v>604800</v>
      </c>
      <c r="AX330" s="1">
        <f>4*7*24*3600</f>
        <v>2419200</v>
      </c>
      <c r="AY330" s="53"/>
      <c r="AZ330" s="53"/>
      <c r="BA330" s="53"/>
      <c r="BB330" s="53"/>
      <c r="BC330" s="53"/>
      <c r="BD330" s="53"/>
      <c r="BE330" s="53"/>
      <c r="BF330" s="53"/>
      <c r="BG330" s="53"/>
      <c r="BH330" s="53"/>
      <c r="BI330" s="53"/>
      <c r="BJ330" s="53"/>
      <c r="BK330" s="53"/>
      <c r="BL330" s="53"/>
      <c r="BM330" s="53"/>
      <c r="BN330" s="53"/>
      <c r="BO330" s="53"/>
      <c r="BP330" s="53"/>
      <c r="BQ330" s="53"/>
      <c r="BR330" s="53"/>
      <c r="BS330" s="53"/>
      <c r="BT330" s="53"/>
      <c r="BU330" s="53"/>
      <c r="BV330" s="53"/>
      <c r="BW330" s="53"/>
      <c r="BX330" s="53"/>
      <c r="BY330" s="53"/>
      <c r="BZ330" s="53"/>
      <c r="CA330" s="53"/>
      <c r="CB330" s="53"/>
      <c r="CC330" s="53"/>
      <c r="CD330" s="53"/>
      <c r="CE330" s="53"/>
      <c r="CF330" s="53"/>
      <c r="CG330" s="53"/>
      <c r="CH330" s="53"/>
      <c r="CI330" s="53"/>
      <c r="CJ330" s="53"/>
      <c r="CK330" s="53"/>
      <c r="CL330" s="53"/>
      <c r="CM330" s="53"/>
      <c r="CN330" s="53"/>
      <c r="CO330" s="53"/>
      <c r="CP330" s="53"/>
      <c r="CQ330" s="53"/>
      <c r="CR330" s="1"/>
      <c r="CS330" s="1"/>
      <c r="CT330" s="1"/>
      <c r="CU330" s="1"/>
    </row>
    <row r="331" spans="1:99" s="13" customFormat="1" ht="12" customHeight="1" x14ac:dyDescent="0.2">
      <c r="A331" s="65">
        <v>43648</v>
      </c>
      <c r="B331" s="1" t="s">
        <v>795</v>
      </c>
      <c r="C331" s="1" t="s">
        <v>307</v>
      </c>
      <c r="D331" s="60">
        <v>2006</v>
      </c>
      <c r="E331" s="76">
        <v>1</v>
      </c>
      <c r="F331" s="60">
        <v>58</v>
      </c>
      <c r="G331" s="60">
        <v>29</v>
      </c>
      <c r="H331" s="60" t="s">
        <v>792</v>
      </c>
      <c r="I331" s="60" t="s">
        <v>797</v>
      </c>
      <c r="J331" s="60" t="s">
        <v>164</v>
      </c>
      <c r="K331" s="60">
        <f>IF(J331="syllables",1,IF(J331="trigrams",2,IF(J331="strings",3,IF(J331="visual array",4,IF(J331="characters",5,IF(J331="letters",6,IF(J331="free forms",7,IF(J331="odors",8,IF(J331="words",9,IF(J331="pictures",10,IF(J331="object pictures",11,IF(J331="faces",12,IF(J331="names",13,IF(J331="idioms",14,IF(J331="grades",15,IF(J331="syllable-digit pairs",16,IF(J331="trigram-word pairs",17,IF(J331="word-digit pairs",18,IF(J331="English-Swahili pairs",19,IF(J331="spatial position",20,IF(J331="word pairs",21,IF(J331="word triads",22,IF(J331="generated words",23,IF(J331="word definition pairs",24,IF(J331="math problems",25,IF(J331="famous faces",26,IF(J331="famous names",27,IF(J331="famous voices",28,IF(J331="television programs",29,IF(J331="race horses",30,IF(J331="new vocabulary",31,IF(J331="sentences",32,IF(J331="concepts",33,IF(J331="ad slides",34,IF(J331="scenes",35,IF(J331="famous scenes",36,IF(J331="poems",37,IF(J331="walk",38,IF(J331="faces and events",39,IF(J331="events and names",40,IF(J331="flashbulb",41,IF(J331="stories",42,IF(J331="course material",43,IF(J331="autobiographical",44,IF(J331="novels",45,IF(J331="public events",46,"99"))))))))))))))))))))))))))))))))))))))))))))))</f>
        <v>25</v>
      </c>
      <c r="L331" s="60">
        <f>IF(J331="syllables",1,IF(J331="trigrams",1,IF(J331="strings",1,IF(J331="visual array",1,IF(J331="characters",1,IF(J331="letters",1,IF(J331="free forms",1,IF(J331="odors",2,IF(J331="words",2,IF(J331="pictures",2,IF(J331="object pictures",2,IF(J331="faces",2,IF(J331="names",2,IF(J331="idioms","2",IF(J331="grades",2,IF(J331="syllable-digit pairs",3,IF(J331="trigram-word pairs",3,IF(J331="word-digit pairs",3,IF(J331="English-Swahili pairs",3,IF(J331="spatial position",3,IF(J331="word pairs",4,IF(J331="word triads",4,IF(J331="generated words",4,IF(J331="word definition pairs",4,IF(J331="math problems",4,IF(J331="famous faces",4,IF(J331="famous names",4,IF(J331="famous voices",4,IF(J331="television programs",4,IF(J331="race horses",4,IF(J331="new vocabulary",4,IF(J331="sentences",5,IF(J331="concepts",5,IF(J331="ad slides",5,IF(J331="scenes",5,IF(J331="famous scenes",5,IF(J331="poems",6,IF(J331="walk",6,IF(J331="faces and events",6,IF(J331="events and names",6,IF(J331="flashbulb",7,IF(J331="stories",7,IF(J331="course material",7,IF(J331="autobiographical",7,IF(J331="novels",7,IF(J331="public events",7,"99"))))))))))))))))))))))))))))))))))))))))))))))</f>
        <v>4</v>
      </c>
      <c r="M331" s="60">
        <v>1</v>
      </c>
      <c r="N331" s="60">
        <v>1</v>
      </c>
      <c r="O331" s="60">
        <v>0</v>
      </c>
      <c r="P331" s="60"/>
      <c r="Q331" s="60" t="s">
        <v>312</v>
      </c>
      <c r="R331" s="60">
        <f>IF(Q331="Free Recall",1,IF(Q331="Cued Recall",2,IF(Q331="Recognition",3,IF(Q331="Multiple Choice",4,IF(Q331="Savings",5,IF(Q331="Stem Completion",6,IF(Q331="Fragment Completion",7,IF(Q331="anagram solution",8,IF(Q331="Matching",9,IF(Q331="Problem Solving",10,"99"))))))))))</f>
        <v>10</v>
      </c>
      <c r="S331" s="60" t="s">
        <v>15</v>
      </c>
      <c r="T331" s="60" t="s">
        <v>261</v>
      </c>
      <c r="U331" s="60">
        <f>IF(T331="within",1,0)</f>
        <v>0</v>
      </c>
      <c r="V331" s="60">
        <v>10</v>
      </c>
      <c r="W331" s="60">
        <f>F331*V331</f>
        <v>580</v>
      </c>
      <c r="X331" s="60">
        <v>3</v>
      </c>
      <c r="Y331" s="76">
        <f>AV330</f>
        <v>300</v>
      </c>
      <c r="Z331" s="60" t="s">
        <v>140</v>
      </c>
      <c r="AA331" s="60">
        <f>4*7*24*3600</f>
        <v>2419200</v>
      </c>
      <c r="AB331" s="60" t="str">
        <f>IF(AA331&lt;60,"1",IF(AA331&lt;=43200,"2",IF(AA331&lt;=777600,"3","4")))</f>
        <v>4</v>
      </c>
      <c r="AC331" s="56">
        <f>AVERAGE(AV330:DA330)</f>
        <v>1008100</v>
      </c>
      <c r="AD331" s="60" t="str">
        <f>IF(AC331&lt;60,"1",IF(AC331&lt;=43200,"2",IF(AC331&lt;=777600,"3","4")))</f>
        <v>4</v>
      </c>
      <c r="AE331" s="76">
        <f>AA331-Y331</f>
        <v>2418900</v>
      </c>
      <c r="AF331" s="80">
        <f>AV331</f>
        <v>0.94</v>
      </c>
      <c r="AG331" s="56">
        <f>((AW331-AV331)+(AX331-AW331))/2</f>
        <v>-0.30999999999999994</v>
      </c>
      <c r="AH331" s="4"/>
      <c r="AI331" s="56">
        <f>RSQ(AV331:AX331,AV330:AX330)</f>
        <v>0.99625228352925932</v>
      </c>
      <c r="AJ331" s="109">
        <f>SLOPE(AV331:AX331,AV330:AX330)</f>
        <v>-2.5185399504695184E-7</v>
      </c>
      <c r="AK331" s="56">
        <f>INTERCEPT(AV331:AX331,AV330:AX330)</f>
        <v>0.923894012406832</v>
      </c>
      <c r="AL331" s="56">
        <f>INDEX(LINEST(LN(AV331:AX331),LN(AV330:AX330),TRUE,TRUE),3,1)</f>
        <v>0.58146054933669544</v>
      </c>
      <c r="AM331" s="56">
        <f>INDEX(LINEST(LN(AV331:AX331),LN(AV330:AX330)),1)</f>
        <v>-8.9474583952758202E-2</v>
      </c>
      <c r="AN331" s="56">
        <f>EXP(INDEX(LINEST(LN(AV331:AX331),LN(AV330:AX330)),1,2))</f>
        <v>1.6640028199649759</v>
      </c>
      <c r="AO331" s="82">
        <f>INDEX(LINEST((AV331:AX331),LN(AV330:AX330),TRUE,TRUE),3,1)</f>
        <v>0.68130921439796943</v>
      </c>
      <c r="AP331" s="82">
        <f>INDEX(LINEST((AV331:AX331),LN(AV330:AX330)),1)</f>
        <v>-5.4137778598609423E-2</v>
      </c>
      <c r="AQ331" s="83">
        <f>INDEX(LINEST(LN(AV331:AX331),SQRT(AV330:AX330),TRUE,TRUE),3,1)</f>
        <v>0.90277995533820632</v>
      </c>
      <c r="AR331" s="116">
        <f>INDEX(LINEST(LN(AV331:AX331),SQRT((AV330:AX330))),1)</f>
        <v>-7.0209537122052732E-4</v>
      </c>
      <c r="AS331" s="84">
        <f>INDEX(LINEST(1/(AV331:AX331),1/(SQRT(AV330:AX330)),TRUE,TRUE),3,1)</f>
        <v>0.37008442076548614</v>
      </c>
      <c r="AT331" s="84">
        <f>INDEX(LINEST(1/(AV331:AX331),1/SQRT(AV330:AX330)),1)</f>
        <v>-20.793169890380053</v>
      </c>
      <c r="AU331" s="4"/>
      <c r="AV331" s="53">
        <v>0.94</v>
      </c>
      <c r="AW331" s="53">
        <v>0.75</v>
      </c>
      <c r="AX331" s="53">
        <v>0.32</v>
      </c>
      <c r="AY331" s="53"/>
      <c r="AZ331" s="53"/>
      <c r="BA331" s="53"/>
      <c r="BB331" s="53"/>
      <c r="BC331" s="53"/>
      <c r="BD331" s="53"/>
      <c r="BE331" s="53"/>
      <c r="BF331" s="53"/>
      <c r="BG331" s="53"/>
      <c r="BH331" s="53"/>
      <c r="BI331" s="53"/>
      <c r="BJ331" s="53"/>
      <c r="BK331" s="53"/>
      <c r="BL331" s="53"/>
      <c r="BM331" s="53"/>
      <c r="BN331" s="53"/>
      <c r="BO331" s="53"/>
      <c r="BP331" s="53"/>
      <c r="BQ331" s="53"/>
      <c r="BR331" s="53"/>
      <c r="BS331" s="53"/>
      <c r="BT331" s="53"/>
      <c r="BU331" s="53"/>
      <c r="BV331" s="53"/>
      <c r="BW331" s="53"/>
      <c r="BX331" s="53"/>
      <c r="BY331" s="53"/>
      <c r="BZ331" s="53"/>
      <c r="CA331" s="53"/>
      <c r="CB331" s="53"/>
      <c r="CC331" s="53"/>
      <c r="CD331" s="53"/>
      <c r="CE331" s="53"/>
      <c r="CF331" s="53"/>
      <c r="CG331" s="53"/>
      <c r="CH331" s="53"/>
      <c r="CI331" s="53"/>
      <c r="CJ331" s="53"/>
      <c r="CK331" s="53"/>
      <c r="CL331" s="53"/>
      <c r="CM331" s="53"/>
      <c r="CN331" s="53"/>
      <c r="CO331" s="53"/>
      <c r="CP331" s="53"/>
      <c r="CQ331" s="53"/>
      <c r="CR331" s="1"/>
      <c r="CS331" s="1"/>
      <c r="CT331" s="1"/>
      <c r="CU331" s="1"/>
    </row>
    <row r="332" spans="1:99" s="13" customFormat="1" ht="12" customHeight="1" x14ac:dyDescent="0.2">
      <c r="A332" s="65">
        <v>43648</v>
      </c>
      <c r="B332" s="1"/>
      <c r="C332" s="1"/>
      <c r="D332" s="60"/>
      <c r="E332" s="76"/>
      <c r="F332" s="60"/>
      <c r="G332" s="60"/>
      <c r="H332" s="60"/>
      <c r="I332" s="60"/>
      <c r="J332" s="60"/>
      <c r="K332" s="64"/>
      <c r="L332" s="64"/>
      <c r="M332" s="60"/>
      <c r="N332" s="60"/>
      <c r="O332" s="60"/>
      <c r="P332" s="60"/>
      <c r="Q332" s="60"/>
      <c r="R332" s="60"/>
      <c r="S332" s="60"/>
      <c r="T332" s="60"/>
      <c r="U332" s="60"/>
      <c r="V332" s="60"/>
      <c r="W332" s="60"/>
      <c r="X332" s="60"/>
      <c r="Y332" s="76"/>
      <c r="Z332" s="60"/>
      <c r="AA332" s="60"/>
      <c r="AB332" s="60"/>
      <c r="AC332" s="60"/>
      <c r="AD332" s="60"/>
      <c r="AE332" s="60"/>
      <c r="AF332" s="80"/>
      <c r="AG332" s="56"/>
      <c r="AH332" s="4"/>
      <c r="AI332" s="56"/>
      <c r="AJ332" s="109"/>
      <c r="AK332" s="56"/>
      <c r="AL332" s="56"/>
      <c r="AM332" s="56"/>
      <c r="AN332" s="56"/>
      <c r="AO332" s="56"/>
      <c r="AP332" s="56"/>
      <c r="AQ332" s="82"/>
      <c r="AR332" s="115"/>
      <c r="AS332" s="82"/>
      <c r="AT332" s="82"/>
      <c r="AU332" s="4"/>
      <c r="AV332" s="53">
        <v>300</v>
      </c>
      <c r="AW332" s="1">
        <f>1*7*24*3600</f>
        <v>604800</v>
      </c>
      <c r="AX332" s="1">
        <f>4*7*24*3600</f>
        <v>2419200</v>
      </c>
      <c r="AY332" s="53"/>
      <c r="AZ332" s="53"/>
      <c r="BA332" s="53"/>
      <c r="BB332" s="53"/>
      <c r="BC332" s="53"/>
      <c r="BD332" s="53"/>
      <c r="BE332" s="53"/>
      <c r="BF332" s="53"/>
      <c r="BG332" s="53"/>
      <c r="BH332" s="53"/>
      <c r="BI332" s="53"/>
      <c r="BJ332" s="53"/>
      <c r="BK332" s="53"/>
      <c r="BL332" s="53"/>
      <c r="BM332" s="53"/>
      <c r="BN332" s="53"/>
      <c r="BO332" s="53"/>
      <c r="BP332" s="53"/>
      <c r="BQ332" s="53"/>
      <c r="BR332" s="53"/>
      <c r="BS332" s="53"/>
      <c r="BT332" s="53"/>
      <c r="BU332" s="53"/>
      <c r="BV332" s="53"/>
      <c r="BW332" s="53"/>
      <c r="BX332" s="53"/>
      <c r="BY332" s="53"/>
      <c r="BZ332" s="53"/>
      <c r="CA332" s="53"/>
      <c r="CB332" s="53"/>
      <c r="CC332" s="53"/>
      <c r="CD332" s="53"/>
      <c r="CE332" s="53"/>
      <c r="CF332" s="53"/>
      <c r="CG332" s="53"/>
      <c r="CH332" s="53"/>
      <c r="CI332" s="53"/>
      <c r="CJ332" s="53"/>
      <c r="CK332" s="53"/>
      <c r="CL332" s="53"/>
      <c r="CM332" s="53"/>
      <c r="CN332" s="53"/>
      <c r="CO332" s="53"/>
      <c r="CP332" s="53"/>
      <c r="CQ332" s="53"/>
      <c r="CR332" s="1"/>
      <c r="CS332" s="1"/>
      <c r="CT332" s="1"/>
      <c r="CU332" s="1"/>
    </row>
    <row r="333" spans="1:99" s="13" customFormat="1" ht="12" customHeight="1" x14ac:dyDescent="0.2">
      <c r="A333" s="65">
        <v>43648</v>
      </c>
      <c r="B333" s="1" t="s">
        <v>795</v>
      </c>
      <c r="C333" s="1" t="s">
        <v>307</v>
      </c>
      <c r="D333" s="60">
        <v>2006</v>
      </c>
      <c r="E333" s="76">
        <v>1</v>
      </c>
      <c r="F333" s="60">
        <v>50</v>
      </c>
      <c r="G333" s="60">
        <v>25</v>
      </c>
      <c r="H333" s="60" t="s">
        <v>800</v>
      </c>
      <c r="I333" s="60" t="s">
        <v>798</v>
      </c>
      <c r="J333" s="60" t="s">
        <v>164</v>
      </c>
      <c r="K333" s="60">
        <f>IF(J333="syllables",1,IF(J333="trigrams",2,IF(J333="strings",3,IF(J333="visual array",4,IF(J333="characters",5,IF(J333="letters",6,IF(J333="free forms",7,IF(J333="odors",8,IF(J333="words",9,IF(J333="pictures",10,IF(J333="object pictures",11,IF(J333="faces",12,IF(J333="names",13,IF(J333="idioms",14,IF(J333="grades",15,IF(J333="syllable-digit pairs",16,IF(J333="trigram-word pairs",17,IF(J333="word-digit pairs",18,IF(J333="English-Swahili pairs",19,IF(J333="spatial position",20,IF(J333="word pairs",21,IF(J333="word triads",22,IF(J333="generated words",23,IF(J333="word definition pairs",24,IF(J333="math problems",25,IF(J333="famous faces",26,IF(J333="famous names",27,IF(J333="famous voices",28,IF(J333="television programs",29,IF(J333="race horses",30,IF(J333="new vocabulary",31,IF(J333="sentences",32,IF(J333="concepts",33,IF(J333="ad slides",34,IF(J333="scenes",35,IF(J333="famous scenes",36,IF(J333="poems",37,IF(J333="walk",38,IF(J333="faces and events",39,IF(J333="events and names",40,IF(J333="flashbulb",41,IF(J333="stories",42,IF(J333="course material",43,IF(J333="autobiographical",44,IF(J333="novels",45,IF(J333="public events",46,"99"))))))))))))))))))))))))))))))))))))))))))))))</f>
        <v>25</v>
      </c>
      <c r="L333" s="60">
        <f>IF(J333="syllables",1,IF(J333="trigrams",1,IF(J333="strings",1,IF(J333="visual array",1,IF(J333="characters",1,IF(J333="letters",1,IF(J333="free forms",1,IF(J333="odors",2,IF(J333="words",2,IF(J333="pictures",2,IF(J333="object pictures",2,IF(J333="faces",2,IF(J333="names",2,IF(J333="idioms","2",IF(J333="grades",2,IF(J333="syllable-digit pairs",3,IF(J333="trigram-word pairs",3,IF(J333="word-digit pairs",3,IF(J333="English-Swahili pairs",3,IF(J333="spatial position",3,IF(J333="word pairs",4,IF(J333="word triads",4,IF(J333="generated words",4,IF(J333="word definition pairs",4,IF(J333="math problems",4,IF(J333="famous faces",4,IF(J333="famous names",4,IF(J333="famous voices",4,IF(J333="television programs",4,IF(J333="race horses",4,IF(J333="new vocabulary",4,IF(J333="sentences",5,IF(J333="concepts",5,IF(J333="ad slides",5,IF(J333="scenes",5,IF(J333="famous scenes",5,IF(J333="poems",6,IF(J333="walk",6,IF(J333="faces and events",6,IF(J333="events and names",6,IF(J333="flashbulb",7,IF(J333="stories",7,IF(J333="course material",7,IF(J333="autobiographical",7,IF(J333="novels",7,IF(J333="public events",7,"99"))))))))))))))))))))))))))))))))))))))))))))))</f>
        <v>4</v>
      </c>
      <c r="M333" s="60">
        <v>1</v>
      </c>
      <c r="N333" s="60">
        <v>1</v>
      </c>
      <c r="O333" s="60">
        <v>0</v>
      </c>
      <c r="P333" s="60"/>
      <c r="Q333" s="60" t="s">
        <v>312</v>
      </c>
      <c r="R333" s="60">
        <f>IF(Q333="Free Recall",1,IF(Q333="Cued Recall",2,IF(Q333="Recognition",3,IF(Q333="Multiple Choice",4,IF(Q333="Savings",5,IF(Q333="Stem Completion",6,IF(Q333="Fragment Completion",7,IF(Q333="anagram solution",8,IF(Q333="Matching",9,IF(Q333="Problem Solving",10,"99"))))))))))</f>
        <v>10</v>
      </c>
      <c r="S333" s="60" t="s">
        <v>15</v>
      </c>
      <c r="T333" s="60" t="s">
        <v>261</v>
      </c>
      <c r="U333" s="60">
        <f>IF(T333="within",1,0)</f>
        <v>0</v>
      </c>
      <c r="V333" s="60">
        <v>9</v>
      </c>
      <c r="W333" s="60">
        <f>F333*V333</f>
        <v>450</v>
      </c>
      <c r="X333" s="60">
        <v>3</v>
      </c>
      <c r="Y333" s="76">
        <f>AV332</f>
        <v>300</v>
      </c>
      <c r="Z333" s="60" t="s">
        <v>140</v>
      </c>
      <c r="AA333" s="60">
        <f>4*7*24*3600</f>
        <v>2419200</v>
      </c>
      <c r="AB333" s="60" t="str">
        <f>IF(AA333&lt;60,"1",IF(AA333&lt;=43200,"2",IF(AA333&lt;=777600,"3","4")))</f>
        <v>4</v>
      </c>
      <c r="AC333" s="56">
        <f>AVERAGE(AV332:DA332)</f>
        <v>1008100</v>
      </c>
      <c r="AD333" s="60" t="str">
        <f>IF(AC333&lt;60,"1",IF(AC333&lt;=43200,"2",IF(AC333&lt;=777600,"3","4")))</f>
        <v>4</v>
      </c>
      <c r="AE333" s="76">
        <f>AA333-Y333</f>
        <v>2418900</v>
      </c>
      <c r="AF333" s="80">
        <f>AV333</f>
        <v>0.95</v>
      </c>
      <c r="AG333" s="56">
        <f>((AW333-AV333)+(AX333-AW333))/2</f>
        <v>-0.33499999999999996</v>
      </c>
      <c r="AH333" s="4"/>
      <c r="AI333" s="56">
        <f>RSQ(AV333:AX333,AV332:AX332)</f>
        <v>0.97689666849496715</v>
      </c>
      <c r="AJ333" s="109">
        <f>SLOPE(AV333:AX333,AV332:AX332)</f>
        <v>-2.652074578957498E-7</v>
      </c>
      <c r="AK333" s="56">
        <f>INTERCEPT(AV333:AX333,AV332:AX332)</f>
        <v>0.90735563830470545</v>
      </c>
      <c r="AL333" s="56">
        <f>INDEX(LINEST(LN(AV333:AX333),LN(AV332:AX332),TRUE,TRUE),3,1)</f>
        <v>0.63524118775641902</v>
      </c>
      <c r="AM333" s="56">
        <f>INDEX(LINEST(LN(AV333:AX333),LN(AV332:AX332)),1)</f>
        <v>-0.10426040817463735</v>
      </c>
      <c r="AN333" s="56">
        <f>EXP(INDEX(LINEST(LN(AV333:AX333),LN(AV332:AX332)),1,2))</f>
        <v>1.8342193746695841</v>
      </c>
      <c r="AO333" s="82">
        <f>INDEX(LINEST((AV333:AX333),LN(AV332:AX332),TRUE,TRUE),3,1)</f>
        <v>0.76293630992677641</v>
      </c>
      <c r="AP333" s="82">
        <f>INDEX(LINEST((AV333:AX333),LN(AV332:AX332)),1)</f>
        <v>-6.0921372875818565E-2</v>
      </c>
      <c r="AQ333" s="83">
        <f>INDEX(LINEST(LN(AV333:AX333),SQRT(AV332:AX332),TRUE,TRUE),3,1)</f>
        <v>0.93292911366989661</v>
      </c>
      <c r="AR333" s="116">
        <f>INDEX(LINEST(LN(AV333:AX333),SQRT((AV332:AX332))),1)</f>
        <v>-7.9568288179008857E-4</v>
      </c>
      <c r="AS333" s="84">
        <f>INDEX(LINEST(1/(AV333:AX333),1/(SQRT(AV332:AX332)),TRUE,TRUE),3,1)</f>
        <v>0.39574302946757589</v>
      </c>
      <c r="AT333" s="84">
        <f>INDEX(LINEST(1/(AV333:AX333),1/SQRT(AV332:AX332)),1)</f>
        <v>-25.992375802185901</v>
      </c>
      <c r="AU333" s="4"/>
      <c r="AV333" s="53">
        <v>0.95</v>
      </c>
      <c r="AW333" s="53">
        <v>0.69</v>
      </c>
      <c r="AX333" s="53">
        <v>0.28000000000000003</v>
      </c>
      <c r="AY333" s="53"/>
      <c r="AZ333" s="53"/>
      <c r="BA333" s="53"/>
      <c r="BB333" s="53"/>
      <c r="BC333" s="53"/>
      <c r="BD333" s="53"/>
      <c r="BE333" s="53"/>
      <c r="BF333" s="53"/>
      <c r="BG333" s="53"/>
      <c r="BH333" s="53"/>
      <c r="BI333" s="53"/>
      <c r="BJ333" s="53"/>
      <c r="BK333" s="53"/>
      <c r="BL333" s="53"/>
      <c r="BM333" s="53"/>
      <c r="BN333" s="53"/>
      <c r="BO333" s="53"/>
      <c r="BP333" s="53"/>
      <c r="BQ333" s="53"/>
      <c r="BR333" s="53"/>
      <c r="BS333" s="53"/>
      <c r="BT333" s="53"/>
      <c r="BU333" s="53"/>
      <c r="BV333" s="53"/>
      <c r="BW333" s="53"/>
      <c r="BX333" s="53"/>
      <c r="BY333" s="53"/>
      <c r="BZ333" s="53"/>
      <c r="CA333" s="53"/>
      <c r="CB333" s="53"/>
      <c r="CC333" s="53"/>
      <c r="CD333" s="53"/>
      <c r="CE333" s="53"/>
      <c r="CF333" s="53"/>
      <c r="CG333" s="53"/>
      <c r="CH333" s="53"/>
      <c r="CI333" s="53"/>
      <c r="CJ333" s="53"/>
      <c r="CK333" s="53"/>
      <c r="CL333" s="53"/>
      <c r="CM333" s="53"/>
      <c r="CN333" s="53"/>
      <c r="CO333" s="53"/>
      <c r="CP333" s="53"/>
      <c r="CQ333" s="53"/>
      <c r="CR333" s="1"/>
      <c r="CS333" s="1"/>
      <c r="CT333" s="1"/>
      <c r="CU333" s="1"/>
    </row>
    <row r="334" spans="1:99" s="13" customFormat="1" ht="12" customHeight="1" x14ac:dyDescent="0.2">
      <c r="A334" s="65">
        <v>43648</v>
      </c>
      <c r="B334" s="1"/>
      <c r="C334" s="1"/>
      <c r="D334" s="60"/>
      <c r="E334" s="76"/>
      <c r="F334" s="60"/>
      <c r="G334" s="60"/>
      <c r="H334" s="60"/>
      <c r="I334" s="60"/>
      <c r="J334" s="60"/>
      <c r="K334" s="64"/>
      <c r="L334" s="64"/>
      <c r="M334" s="60"/>
      <c r="N334" s="60"/>
      <c r="O334" s="60"/>
      <c r="P334" s="60"/>
      <c r="Q334" s="60"/>
      <c r="R334" s="60"/>
      <c r="S334" s="60"/>
      <c r="T334" s="60"/>
      <c r="U334" s="60"/>
      <c r="V334" s="60"/>
      <c r="W334" s="60"/>
      <c r="X334" s="60"/>
      <c r="Y334" s="76"/>
      <c r="Z334" s="60"/>
      <c r="AA334" s="60"/>
      <c r="AB334" s="60"/>
      <c r="AC334" s="60"/>
      <c r="AD334" s="60"/>
      <c r="AE334" s="60"/>
      <c r="AF334" s="80"/>
      <c r="AG334" s="56"/>
      <c r="AH334" s="4"/>
      <c r="AI334" s="56"/>
      <c r="AJ334" s="109"/>
      <c r="AK334" s="56"/>
      <c r="AL334" s="56"/>
      <c r="AM334" s="56"/>
      <c r="AN334" s="56"/>
      <c r="AO334" s="56"/>
      <c r="AP334" s="56"/>
      <c r="AQ334" s="82"/>
      <c r="AR334" s="115"/>
      <c r="AS334" s="82"/>
      <c r="AT334" s="82"/>
      <c r="AU334" s="4"/>
      <c r="AV334" s="53">
        <v>300</v>
      </c>
      <c r="AW334" s="1">
        <f>1*7*24*3600</f>
        <v>604800</v>
      </c>
      <c r="AX334" s="1">
        <f>4*7*24*3600</f>
        <v>2419200</v>
      </c>
      <c r="AY334" s="53"/>
      <c r="AZ334" s="53"/>
      <c r="BA334" s="53"/>
      <c r="BB334" s="53"/>
      <c r="BC334" s="53"/>
      <c r="BD334" s="53"/>
      <c r="BE334" s="53"/>
      <c r="BF334" s="53"/>
      <c r="BG334" s="53"/>
      <c r="BH334" s="53"/>
      <c r="BI334" s="53"/>
      <c r="BJ334" s="53"/>
      <c r="BK334" s="53"/>
      <c r="BL334" s="53"/>
      <c r="BM334" s="53"/>
      <c r="BN334" s="53"/>
      <c r="BO334" s="53"/>
      <c r="BP334" s="53"/>
      <c r="BQ334" s="53"/>
      <c r="BR334" s="53"/>
      <c r="BS334" s="53"/>
      <c r="BT334" s="53"/>
      <c r="BU334" s="53"/>
      <c r="BV334" s="53"/>
      <c r="BW334" s="53"/>
      <c r="BX334" s="53"/>
      <c r="BY334" s="53"/>
      <c r="BZ334" s="53"/>
      <c r="CA334" s="53"/>
      <c r="CB334" s="53"/>
      <c r="CC334" s="53"/>
      <c r="CD334" s="53"/>
      <c r="CE334" s="53"/>
      <c r="CF334" s="53"/>
      <c r="CG334" s="53"/>
      <c r="CH334" s="53"/>
      <c r="CI334" s="53"/>
      <c r="CJ334" s="53"/>
      <c r="CK334" s="53"/>
      <c r="CL334" s="53"/>
      <c r="CM334" s="53"/>
      <c r="CN334" s="53"/>
      <c r="CO334" s="53"/>
      <c r="CP334" s="53"/>
      <c r="CQ334" s="53"/>
      <c r="CR334" s="1"/>
      <c r="CS334" s="1"/>
      <c r="CT334" s="1"/>
      <c r="CU334" s="1"/>
    </row>
    <row r="335" spans="1:99" s="13" customFormat="1" ht="12" customHeight="1" x14ac:dyDescent="0.2">
      <c r="A335" s="65">
        <v>43648</v>
      </c>
      <c r="B335" s="1" t="s">
        <v>795</v>
      </c>
      <c r="C335" s="1" t="s">
        <v>307</v>
      </c>
      <c r="D335" s="60">
        <v>2006</v>
      </c>
      <c r="E335" s="76">
        <v>1</v>
      </c>
      <c r="F335" s="60">
        <v>50</v>
      </c>
      <c r="G335" s="60">
        <v>25</v>
      </c>
      <c r="H335" s="60" t="s">
        <v>800</v>
      </c>
      <c r="I335" s="60" t="s">
        <v>799</v>
      </c>
      <c r="J335" s="60" t="s">
        <v>164</v>
      </c>
      <c r="K335" s="60">
        <f>IF(J335="syllables",1,IF(J335="trigrams",2,IF(J335="strings",3,IF(J335="visual array",4,IF(J335="characters",5,IF(J335="letters",6,IF(J335="free forms",7,IF(J335="odors",8,IF(J335="words",9,IF(J335="pictures",10,IF(J335="object pictures",11,IF(J335="faces",12,IF(J335="names",13,IF(J335="idioms",14,IF(J335="grades",15,IF(J335="syllable-digit pairs",16,IF(J335="trigram-word pairs",17,IF(J335="word-digit pairs",18,IF(J335="English-Swahili pairs",19,IF(J335="spatial position",20,IF(J335="word pairs",21,IF(J335="word triads",22,IF(J335="generated words",23,IF(J335="word definition pairs",24,IF(J335="math problems",25,IF(J335="famous faces",26,IF(J335="famous names",27,IF(J335="famous voices",28,IF(J335="television programs",29,IF(J335="race horses",30,IF(J335="new vocabulary",31,IF(J335="sentences",32,IF(J335="concepts",33,IF(J335="ad slides",34,IF(J335="scenes",35,IF(J335="famous scenes",36,IF(J335="poems",37,IF(J335="walk",38,IF(J335="faces and events",39,IF(J335="events and names",40,IF(J335="flashbulb",41,IF(J335="stories",42,IF(J335="course material",43,IF(J335="autobiographical",44,IF(J335="novels",45,IF(J335="public events",46,"99"))))))))))))))))))))))))))))))))))))))))))))))</f>
        <v>25</v>
      </c>
      <c r="L335" s="60">
        <f>IF(J335="syllables",1,IF(J335="trigrams",1,IF(J335="strings",1,IF(J335="visual array",1,IF(J335="characters",1,IF(J335="letters",1,IF(J335="free forms",1,IF(J335="odors",2,IF(J335="words",2,IF(J335="pictures",2,IF(J335="object pictures",2,IF(J335="faces",2,IF(J335="names",2,IF(J335="idioms","2",IF(J335="grades",2,IF(J335="syllable-digit pairs",3,IF(J335="trigram-word pairs",3,IF(J335="word-digit pairs",3,IF(J335="English-Swahili pairs",3,IF(J335="spatial position",3,IF(J335="word pairs",4,IF(J335="word triads",4,IF(J335="generated words",4,IF(J335="word definition pairs",4,IF(J335="math problems",4,IF(J335="famous faces",4,IF(J335="famous names",4,IF(J335="famous voices",4,IF(J335="television programs",4,IF(J335="race horses",4,IF(J335="new vocabulary",4,IF(J335="sentences",5,IF(J335="concepts",5,IF(J335="ad slides",5,IF(J335="scenes",5,IF(J335="famous scenes",5,IF(J335="poems",6,IF(J335="walk",6,IF(J335="faces and events",6,IF(J335="events and names",6,IF(J335="flashbulb",7,IF(J335="stories",7,IF(J335="course material",7,IF(J335="autobiographical",7,IF(J335="novels",7,IF(J335="public events",7,"99"))))))))))))))))))))))))))))))))))))))))))))))</f>
        <v>4</v>
      </c>
      <c r="M335" s="60">
        <v>1</v>
      </c>
      <c r="N335" s="60">
        <v>1</v>
      </c>
      <c r="O335" s="60">
        <v>0</v>
      </c>
      <c r="P335" s="60"/>
      <c r="Q335" s="60" t="s">
        <v>312</v>
      </c>
      <c r="R335" s="60">
        <f>IF(Q335="Free Recall",1,IF(Q335="Cued Recall",2,IF(Q335="Recognition",3,IF(Q335="Multiple Choice",4,IF(Q335="Savings",5,IF(Q335="Stem Completion",6,IF(Q335="Fragment Completion",7,IF(Q335="anagram solution",8,IF(Q335="Matching",9,IF(Q335="Problem Solving",10,"99"))))))))))</f>
        <v>10</v>
      </c>
      <c r="S335" s="60" t="s">
        <v>15</v>
      </c>
      <c r="T335" s="60" t="s">
        <v>261</v>
      </c>
      <c r="U335" s="60">
        <f>IF(T335="within",1,0)</f>
        <v>0</v>
      </c>
      <c r="V335" s="60">
        <v>3</v>
      </c>
      <c r="W335" s="60">
        <f>F335*V335</f>
        <v>150</v>
      </c>
      <c r="X335" s="60">
        <v>3</v>
      </c>
      <c r="Y335" s="76">
        <f>AV334</f>
        <v>300</v>
      </c>
      <c r="Z335" s="60" t="s">
        <v>140</v>
      </c>
      <c r="AA335" s="60">
        <f>4*7*24*3600</f>
        <v>2419200</v>
      </c>
      <c r="AB335" s="60" t="str">
        <f>IF(AA335&lt;60,"1",IF(AA335&lt;=43200,"2",IF(AA335&lt;=777600,"3","4")))</f>
        <v>4</v>
      </c>
      <c r="AC335" s="56">
        <f>AVERAGE(AV334:DA334)</f>
        <v>1008100</v>
      </c>
      <c r="AD335" s="60" t="str">
        <f>IF(AC335&lt;60,"1",IF(AC335&lt;=43200,"2",IF(AC335&lt;=777600,"3","4")))</f>
        <v>4</v>
      </c>
      <c r="AE335" s="76">
        <f>AA335-Y335</f>
        <v>2418900</v>
      </c>
      <c r="AF335" s="80">
        <f>AV335</f>
        <v>0.88</v>
      </c>
      <c r="AG335" s="56">
        <f>((AW335-AV335)+(AX335-AW335))/2</f>
        <v>-0.30499999999999999</v>
      </c>
      <c r="AH335" s="4"/>
      <c r="AI335" s="56">
        <f>RSQ(AV335:AX335,AV334:AX334)</f>
        <v>0.98938641365985869</v>
      </c>
      <c r="AJ335" s="109">
        <f>SLOPE(AV335:AX335,AV334:AX334)</f>
        <v>-2.4485702534659767E-7</v>
      </c>
      <c r="AK335" s="56">
        <f>INTERCEPT(AV335:AX335,AV334:AX334)</f>
        <v>0.85350703391857174</v>
      </c>
      <c r="AL335" s="56">
        <f>INDEX(LINEST(LN(AV335:AX335),LN(AV334:AX334),TRUE,TRUE),3,1)</f>
        <v>0.60324918345642675</v>
      </c>
      <c r="AM335" s="56">
        <f>INDEX(LINEST(LN(AV335:AX335),LN(AV334:AX334)),1)</f>
        <v>-9.9213181364829386E-2</v>
      </c>
      <c r="AN335" s="56">
        <f>EXP(INDEX(LINEST(LN(AV335:AX335),LN(AV334:AX334)),1,2))</f>
        <v>1.6527744900200623</v>
      </c>
      <c r="AO335" s="82">
        <f>INDEX(LINEST((AV335:AX335),LN(AV334:AX334),TRUE,TRUE),3,1)</f>
        <v>0.71971902106667862</v>
      </c>
      <c r="AP335" s="82">
        <f>INDEX(LINEST((AV335:AX335),LN(AV334:AX334)),1)</f>
        <v>-5.4284420915613987E-2</v>
      </c>
      <c r="AQ335" s="83">
        <f>INDEX(LINEST(LN(AV335:AX335),SQRT(AV334:AX334),TRUE,TRUE),3,1)</f>
        <v>0.91551699929519526</v>
      </c>
      <c r="AR335" s="116">
        <f>INDEX(LINEST(LN(AV335:AX335),SQRT((AV334:AX334))),1)</f>
        <v>-7.6969702212792434E-4</v>
      </c>
      <c r="AS335" s="84">
        <f>INDEX(LINEST(1/(AV335:AX335),1/(SQRT(AV334:AX334)),TRUE,TRUE),3,1)</f>
        <v>0.37765412962362499</v>
      </c>
      <c r="AT335" s="84">
        <f>INDEX(LINEST(1/(AV335:AX335),1/SQRT(AV334:AX334)),1)</f>
        <v>-26.076787103183293</v>
      </c>
      <c r="AU335" s="4"/>
      <c r="AV335" s="53">
        <v>0.88</v>
      </c>
      <c r="AW335" s="53">
        <v>0.67</v>
      </c>
      <c r="AX335" s="53">
        <v>0.27</v>
      </c>
      <c r="AY335" s="53"/>
      <c r="AZ335" s="53"/>
      <c r="BA335" s="53"/>
      <c r="BB335" s="53"/>
      <c r="BC335" s="53"/>
      <c r="BD335" s="53"/>
      <c r="BE335" s="53"/>
      <c r="BF335" s="53"/>
      <c r="BG335" s="53"/>
      <c r="BH335" s="53"/>
      <c r="BI335" s="53"/>
      <c r="BJ335" s="53"/>
      <c r="BK335" s="53"/>
      <c r="BL335" s="53"/>
      <c r="BM335" s="53"/>
      <c r="BN335" s="53"/>
      <c r="BO335" s="53"/>
      <c r="BP335" s="53"/>
      <c r="BQ335" s="53"/>
      <c r="BR335" s="53"/>
      <c r="BS335" s="53"/>
      <c r="BT335" s="53"/>
      <c r="BU335" s="53"/>
      <c r="BV335" s="53"/>
      <c r="BW335" s="53"/>
      <c r="BX335" s="53"/>
      <c r="BY335" s="53"/>
      <c r="BZ335" s="53"/>
      <c r="CA335" s="53"/>
      <c r="CB335" s="53"/>
      <c r="CC335" s="53"/>
      <c r="CD335" s="53"/>
      <c r="CE335" s="53"/>
      <c r="CF335" s="53"/>
      <c r="CG335" s="53"/>
      <c r="CH335" s="53"/>
      <c r="CI335" s="53"/>
      <c r="CJ335" s="53"/>
      <c r="CK335" s="53"/>
      <c r="CL335" s="53"/>
      <c r="CM335" s="53"/>
      <c r="CN335" s="53"/>
      <c r="CO335" s="53"/>
      <c r="CP335" s="53"/>
      <c r="CQ335" s="53"/>
      <c r="CR335" s="1"/>
      <c r="CS335" s="1"/>
      <c r="CT335" s="1"/>
      <c r="CU335" s="1"/>
    </row>
    <row r="336" spans="1:99" ht="12" customHeight="1" x14ac:dyDescent="0.2">
      <c r="A336" s="65">
        <v>43509</v>
      </c>
      <c r="B336" s="15"/>
      <c r="C336" s="15"/>
      <c r="D336" s="59"/>
      <c r="E336" s="75"/>
      <c r="F336" s="59"/>
      <c r="G336" s="59"/>
      <c r="H336" s="59"/>
      <c r="I336" s="59"/>
      <c r="J336" s="59"/>
      <c r="M336" s="59"/>
      <c r="N336" s="59"/>
      <c r="O336" s="59"/>
      <c r="P336" s="59"/>
      <c r="Q336" s="59"/>
      <c r="R336" s="60"/>
      <c r="S336" s="59"/>
      <c r="T336" s="59"/>
      <c r="U336" s="60"/>
      <c r="V336" s="59"/>
      <c r="W336" s="60"/>
      <c r="X336" s="59"/>
      <c r="Y336" s="76"/>
      <c r="Z336" s="59"/>
      <c r="AA336" s="59"/>
      <c r="AB336" s="60"/>
      <c r="AC336" s="60"/>
      <c r="AD336" s="60"/>
      <c r="AE336" s="60"/>
      <c r="AF336" s="80"/>
      <c r="AG336" s="56"/>
      <c r="AH336" s="4"/>
      <c r="AL336" s="55"/>
      <c r="AM336" s="55"/>
      <c r="AN336" s="55"/>
      <c r="AO336" s="55"/>
      <c r="AP336" s="55"/>
      <c r="AQ336" s="82"/>
      <c r="AR336" s="115"/>
      <c r="AS336" s="82"/>
      <c r="AT336" s="82"/>
      <c r="AU336" s="4"/>
      <c r="AV336" s="15">
        <v>60</v>
      </c>
      <c r="AW336" s="47">
        <v>600</v>
      </c>
      <c r="AX336" s="47">
        <f>7*24*3600</f>
        <v>604800</v>
      </c>
      <c r="AY336" s="47">
        <f>30*24*3600</f>
        <v>2592000</v>
      </c>
      <c r="AZ336" s="11" t="s">
        <v>528</v>
      </c>
      <c r="BA336" s="11"/>
      <c r="BB336" s="11"/>
      <c r="BC336" s="11"/>
      <c r="BD336" s="11"/>
      <c r="BE336" s="11"/>
      <c r="BF336" s="11"/>
      <c r="BG336" s="11"/>
      <c r="BH336" s="11"/>
      <c r="BI336" s="11"/>
      <c r="BJ336" s="11"/>
      <c r="BK336" s="11"/>
      <c r="BL336" s="11"/>
      <c r="BM336" s="11"/>
      <c r="BN336" s="11"/>
      <c r="BO336" s="11"/>
      <c r="BP336" s="11"/>
      <c r="BQ336" s="11"/>
      <c r="BR336" s="11"/>
      <c r="BS336" s="11"/>
      <c r="BT336" s="11"/>
      <c r="BU336" s="11"/>
      <c r="BV336" s="11"/>
      <c r="BW336" s="11"/>
      <c r="BX336" s="11"/>
      <c r="BY336" s="11"/>
      <c r="BZ336" s="11"/>
      <c r="CA336" s="11"/>
      <c r="CB336" s="11"/>
      <c r="CC336" s="11"/>
      <c r="CD336" s="11"/>
      <c r="CE336" s="11"/>
      <c r="CF336" s="11"/>
      <c r="CG336" s="11"/>
      <c r="CH336" s="11"/>
      <c r="CI336" s="11"/>
      <c r="CJ336" s="11"/>
      <c r="CK336" s="11"/>
      <c r="CL336" s="11"/>
      <c r="CM336" s="11"/>
      <c r="CN336" s="11"/>
      <c r="CO336" s="11"/>
      <c r="CP336" s="11"/>
      <c r="CQ336" s="11"/>
      <c r="CR336" s="15"/>
      <c r="CS336" s="15"/>
      <c r="CT336" s="15"/>
      <c r="CU336" s="15"/>
    </row>
    <row r="337" spans="1:99" ht="12" customHeight="1" x14ac:dyDescent="0.2">
      <c r="A337" s="65">
        <v>43509</v>
      </c>
      <c r="B337" s="15" t="s">
        <v>299</v>
      </c>
      <c r="C337" s="15" t="s">
        <v>58</v>
      </c>
      <c r="D337" s="59">
        <v>1978</v>
      </c>
      <c r="E337" s="75">
        <v>3</v>
      </c>
      <c r="F337" s="59">
        <v>64</v>
      </c>
      <c r="G337" s="59">
        <v>16</v>
      </c>
      <c r="H337" s="59" t="s">
        <v>30</v>
      </c>
      <c r="I337" s="59" t="s">
        <v>801</v>
      </c>
      <c r="J337" s="59" t="s">
        <v>677</v>
      </c>
      <c r="K337" s="60">
        <f>IF(J337="syllables",1,IF(J337="trigrams",2,IF(J337="strings",3,IF(J337="visual array",4,IF(J337="characters",5,IF(J337="letters",6,IF(J337="free forms",7,IF(J337="odors",8,IF(J337="words",9,IF(J337="pictures",10,IF(J337="object pictures",11,IF(J337="faces",12,IF(J337="names",13,IF(J337="idioms",14,IF(J337="grades",15,IF(J337="syllable-digit pairs",16,IF(J337="trigram-word pairs",17,IF(J337="word-digit pairs",18,IF(J337="English-Swahili pairs",19,IF(J337="spatial position",20,IF(J337="word pairs",21,IF(J337="word triads",22,IF(J337="generated words",23,IF(J337="word definition pairs",24,IF(J337="math problems",25,IF(J337="famous faces",26,IF(J337="famous names",27,IF(J337="famous voices",28,IF(J337="television programs",29,IF(J337="race horses",30,IF(J337="new vocabulary",31,IF(J337="sentences",32,IF(J337="concepts",33,IF(J337="ad slides",34,IF(J337="scenes",35,IF(J337="famous scenes",36,IF(J337="poems",37,IF(J337="walk",38,IF(J337="faces and events",39,IF(J337="events and names",40,IF(J337="flashbulb",41,IF(J337="stories",42,IF(J337="course material",43,IF(J337="autobiographical",44,IF(J337="novels",45,IF(J337="public events",46,"99"))))))))))))))))))))))))))))))))))))))))))))))</f>
        <v>42</v>
      </c>
      <c r="L337" s="60">
        <f>IF(J337="syllables",1,IF(J337="trigrams",1,IF(J337="strings",1,IF(J337="visual array",1,IF(J337="characters",1,IF(J337="letters",1,IF(J337="free forms",1,IF(J337="odors",2,IF(J337="words",2,IF(J337="pictures",2,IF(J337="object pictures",2,IF(J337="faces",2,IF(J337="names",2,IF(J337="idioms","2",IF(J337="grades",2,IF(J337="syllable-digit pairs",3,IF(J337="trigram-word pairs",3,IF(J337="word-digit pairs",3,IF(J337="English-Swahili pairs",3,IF(J337="spatial position",3,IF(J337="word pairs",4,IF(J337="word triads",4,IF(J337="generated words",4,IF(J337="word definition pairs",4,IF(J337="math problems",4,IF(J337="famous faces",4,IF(J337="famous names",4,IF(J337="famous voices",4,IF(J337="television programs",4,IF(J337="race horses",4,IF(J337="new vocabulary",4,IF(J337="sentences",5,IF(J337="concepts",5,IF(J337="ad slides",5,IF(J337="scenes",5,IF(J337="famous scenes",5,IF(J337="poems",6,IF(J337="walk",6,IF(J337="faces and events",6,IF(J337="events and names",6,IF(J337="flashbulb",7,IF(J337="stories",7,IF(J337="course material",7,IF(J337="autobiographical",7,IF(J337="novels",7,IF(J337="public events",7,"99"))))))))))))))))))))))))))))))))))))))))))))))</f>
        <v>7</v>
      </c>
      <c r="M337" s="59">
        <v>1</v>
      </c>
      <c r="N337" s="59">
        <v>4</v>
      </c>
      <c r="O337" s="59">
        <v>0</v>
      </c>
      <c r="P337" s="59"/>
      <c r="Q337" s="60" t="s">
        <v>174</v>
      </c>
      <c r="R337" s="60">
        <f>IF(Q337="Free Recall",1,IF(Q337="Cued Recall",2,IF(Q337="Recognition",3,IF(Q337="Multiple Choice",4,IF(Q337="Savings",5,IF(Q337="Stem Completion",6,IF(Q337="Fragment Completion",7,IF(Q337="anagram solution",8,IF(Q337="Matching",9,IF(Q337="Problem Solving",10,"99"))))))))))</f>
        <v>1</v>
      </c>
      <c r="S337" s="60" t="s">
        <v>49</v>
      </c>
      <c r="T337" s="59" t="s">
        <v>261</v>
      </c>
      <c r="U337" s="60">
        <f>IF(T337="within",1,0)</f>
        <v>0</v>
      </c>
      <c r="V337" s="59">
        <v>47</v>
      </c>
      <c r="W337" s="60">
        <f>F337*V337</f>
        <v>3008</v>
      </c>
      <c r="X337" s="59">
        <v>4</v>
      </c>
      <c r="Y337" s="76">
        <f>AV336</f>
        <v>60</v>
      </c>
      <c r="Z337" s="59" t="s">
        <v>185</v>
      </c>
      <c r="AA337" s="59">
        <f>30*24*3600</f>
        <v>2592000</v>
      </c>
      <c r="AB337" s="60" t="str">
        <f>IF(AA337&lt;60,"1",IF(AA337&lt;=43200,"2",IF(AA337&lt;=777600,"3","4")))</f>
        <v>4</v>
      </c>
      <c r="AC337" s="56">
        <f>AVERAGE(AV336:DA336)</f>
        <v>799365</v>
      </c>
      <c r="AD337" s="60" t="str">
        <f>IF(AC337&lt;60,"1",IF(AC337&lt;=43200,"2",IF(AC337&lt;=777600,"3","4")))</f>
        <v>4</v>
      </c>
      <c r="AE337" s="76">
        <f>AA337-Y337</f>
        <v>2591940</v>
      </c>
      <c r="AF337" s="80">
        <f>AV337</f>
        <v>0.7</v>
      </c>
      <c r="AG337" s="56">
        <f>((AW337-AV337)+(AX337-AW337)+(AY337-AX337))/3</f>
        <v>-9.0666666666666659E-2</v>
      </c>
      <c r="AH337" s="4"/>
      <c r="AI337" s="56">
        <f>RSQ(AV337:AY337,AV336:AY336)</f>
        <v>0.80659588274145355</v>
      </c>
      <c r="AJ337" s="109">
        <f>SLOPE(AV337:AY337,AV336:AY336)</f>
        <v>-8.3163440092685346E-8</v>
      </c>
      <c r="AK337" s="56">
        <f>INTERCEPT(AV337:AY337,AV336:AY336)</f>
        <v>0.63347794328968932</v>
      </c>
      <c r="AL337" s="56">
        <f>INDEX(LINEST(LN(AV337:AY337),LN(AV336:AY336),TRUE,TRUE),3,1)</f>
        <v>0.85141048538476394</v>
      </c>
      <c r="AM337" s="56">
        <f>INDEX(LINEST(LN(AV337:AY337),LN(AV336:AY336)),1)</f>
        <v>-3.668101191133457E-2</v>
      </c>
      <c r="AN337" s="56">
        <f>EXP(INDEX(LINEST(LN(AV337:AY337),LN(AV336:AY336)),1,2))</f>
        <v>0.79503756538843451</v>
      </c>
      <c r="AO337" s="82">
        <f>INDEX(LINEST((AV337:AY337),LN(AV336:AY336),TRUE,TRUE),3,1)</f>
        <v>0.87191369291260101</v>
      </c>
      <c r="AP337" s="82">
        <f>INDEX(LINEST((AV337:AY337),LN(AV336:AY336)),1)</f>
        <v>-2.043698834556304E-2</v>
      </c>
      <c r="AQ337" s="83">
        <f>INDEX(LINEST(LN(AV337:AY337),SQRT(AV336:AY336),TRUE,TRUE),3,1)</f>
        <v>0.91096625865019709</v>
      </c>
      <c r="AR337" s="116">
        <f>INDEX(LINEST(LN(AV337:AY337),SQRT((AV336:AY336))),1)</f>
        <v>-2.5945113672762126E-4</v>
      </c>
      <c r="AS337" s="84">
        <f>INDEX(LINEST(1/(AV337:AY337),1/(SQRT(AV336:AY336)),TRUE,TRUE),3,1)</f>
        <v>0.65762419222831503</v>
      </c>
      <c r="AT337" s="84">
        <f>INDEX(LINEST(1/(AV337:AY337),1/SQRT(AV336:AY336)),1)</f>
        <v>-5.1655947561536495</v>
      </c>
      <c r="AU337" s="4"/>
      <c r="AV337" s="11">
        <v>0.7</v>
      </c>
      <c r="AW337" s="11">
        <v>0.6</v>
      </c>
      <c r="AX337" s="11">
        <v>0.54</v>
      </c>
      <c r="AY337" s="11">
        <v>0.42799999999999999</v>
      </c>
      <c r="AZ337" s="11"/>
      <c r="BA337" s="11"/>
      <c r="BB337" s="11"/>
      <c r="BC337" s="11"/>
      <c r="BD337" s="11"/>
      <c r="BE337" s="11"/>
      <c r="BF337" s="11"/>
      <c r="BG337" s="11"/>
      <c r="BH337" s="11"/>
      <c r="BI337" s="11"/>
      <c r="BJ337" s="11"/>
      <c r="BK337" s="11"/>
      <c r="BL337" s="11"/>
      <c r="BM337" s="11"/>
      <c r="BN337" s="11"/>
      <c r="BO337" s="11"/>
      <c r="BP337" s="11"/>
      <c r="BQ337" s="11"/>
      <c r="BR337" s="11"/>
      <c r="BS337" s="11"/>
      <c r="BT337" s="11"/>
      <c r="BU337" s="11"/>
      <c r="BV337" s="11"/>
      <c r="BW337" s="11"/>
      <c r="BX337" s="11"/>
      <c r="BY337" s="11"/>
      <c r="BZ337" s="11"/>
      <c r="CA337" s="11"/>
      <c r="CB337" s="11"/>
      <c r="CC337" s="11"/>
      <c r="CD337" s="11"/>
      <c r="CE337" s="11"/>
      <c r="CF337" s="11"/>
      <c r="CG337" s="11"/>
      <c r="CH337" s="11"/>
      <c r="CI337" s="11"/>
      <c r="CJ337" s="11"/>
      <c r="CK337" s="11"/>
      <c r="CL337" s="11"/>
      <c r="CM337" s="11"/>
      <c r="CN337" s="11"/>
      <c r="CO337" s="11"/>
      <c r="CP337" s="11"/>
      <c r="CQ337" s="11"/>
      <c r="CR337" s="15"/>
      <c r="CS337" s="15"/>
      <c r="CT337" s="15"/>
      <c r="CU337" s="15"/>
    </row>
    <row r="338" spans="1:99" ht="12" customHeight="1" x14ac:dyDescent="0.2">
      <c r="A338" s="65">
        <v>43509</v>
      </c>
      <c r="B338" s="15"/>
      <c r="C338" s="15"/>
      <c r="D338" s="59"/>
      <c r="E338" s="75"/>
      <c r="F338" s="59"/>
      <c r="G338" s="59"/>
      <c r="H338" s="59"/>
      <c r="I338" s="59"/>
      <c r="J338" s="59"/>
      <c r="M338" s="59"/>
      <c r="N338" s="59"/>
      <c r="O338" s="59"/>
      <c r="P338" s="59"/>
      <c r="Q338" s="59"/>
      <c r="R338" s="60"/>
      <c r="S338" s="59"/>
      <c r="T338" s="59"/>
      <c r="U338" s="60"/>
      <c r="V338" s="59"/>
      <c r="W338" s="60"/>
      <c r="X338" s="59"/>
      <c r="Y338" s="76"/>
      <c r="Z338" s="59"/>
      <c r="AA338" s="59"/>
      <c r="AB338" s="60"/>
      <c r="AC338" s="60"/>
      <c r="AD338" s="60"/>
      <c r="AE338" s="60"/>
      <c r="AF338" s="80"/>
      <c r="AG338" s="56"/>
      <c r="AH338" s="4"/>
      <c r="AL338" s="55"/>
      <c r="AM338" s="55"/>
      <c r="AN338" s="55"/>
      <c r="AO338" s="55"/>
      <c r="AP338" s="55"/>
      <c r="AQ338" s="56"/>
      <c r="AR338" s="109"/>
      <c r="AS338" s="56"/>
      <c r="AT338" s="56"/>
      <c r="AU338" s="4"/>
      <c r="AV338" s="15">
        <v>60</v>
      </c>
      <c r="AW338" s="47">
        <v>600</v>
      </c>
      <c r="AX338" s="47">
        <f>7*24*3600</f>
        <v>604800</v>
      </c>
      <c r="AY338" s="47">
        <f>30*24*3600</f>
        <v>2592000</v>
      </c>
      <c r="AZ338" s="11"/>
      <c r="BA338" s="11"/>
      <c r="BB338" s="11"/>
      <c r="BC338" s="11"/>
      <c r="BD338" s="11"/>
      <c r="BE338" s="11"/>
      <c r="BF338" s="11"/>
      <c r="BG338" s="11"/>
      <c r="BH338" s="11"/>
      <c r="BI338" s="11"/>
      <c r="BJ338" s="11"/>
      <c r="BK338" s="11"/>
      <c r="BL338" s="11"/>
      <c r="BM338" s="11"/>
      <c r="BN338" s="11"/>
      <c r="BO338" s="11"/>
      <c r="BP338" s="11"/>
      <c r="BQ338" s="11"/>
      <c r="BR338" s="11"/>
      <c r="BS338" s="11"/>
      <c r="BT338" s="11"/>
      <c r="BU338" s="11"/>
      <c r="BV338" s="11"/>
      <c r="BW338" s="11"/>
      <c r="BX338" s="11"/>
      <c r="BY338" s="11"/>
      <c r="BZ338" s="11"/>
      <c r="CA338" s="11"/>
      <c r="CB338" s="11"/>
      <c r="CC338" s="11"/>
      <c r="CD338" s="11"/>
      <c r="CE338" s="11"/>
      <c r="CF338" s="11"/>
      <c r="CG338" s="11"/>
      <c r="CH338" s="11"/>
      <c r="CI338" s="11"/>
      <c r="CJ338" s="11"/>
      <c r="CK338" s="11"/>
      <c r="CL338" s="11"/>
      <c r="CM338" s="11"/>
      <c r="CN338" s="11"/>
      <c r="CO338" s="11"/>
      <c r="CP338" s="11"/>
      <c r="CQ338" s="11"/>
      <c r="CR338" s="15"/>
      <c r="CS338" s="15"/>
      <c r="CT338" s="15"/>
      <c r="CU338" s="15"/>
    </row>
    <row r="339" spans="1:99" ht="12" customHeight="1" x14ac:dyDescent="0.2">
      <c r="A339" s="65">
        <v>43509</v>
      </c>
      <c r="B339" s="15" t="s">
        <v>299</v>
      </c>
      <c r="C339" s="15" t="s">
        <v>58</v>
      </c>
      <c r="D339" s="59">
        <v>1978</v>
      </c>
      <c r="E339" s="75">
        <v>3</v>
      </c>
      <c r="F339" s="59">
        <v>64</v>
      </c>
      <c r="G339" s="59">
        <v>16</v>
      </c>
      <c r="H339" s="59" t="s">
        <v>30</v>
      </c>
      <c r="I339" s="60" t="s">
        <v>802</v>
      </c>
      <c r="J339" s="59" t="s">
        <v>677</v>
      </c>
      <c r="K339" s="60">
        <f>IF(J339="syllables",1,IF(J339="trigrams",2,IF(J339="strings",3,IF(J339="visual array",4,IF(J339="characters",5,IF(J339="letters",6,IF(J339="free forms",7,IF(J339="odors",8,IF(J339="words",9,IF(J339="pictures",10,IF(J339="object pictures",11,IF(J339="faces",12,IF(J339="names",13,IF(J339="idioms",14,IF(J339="grades",15,IF(J339="syllable-digit pairs",16,IF(J339="trigram-word pairs",17,IF(J339="word-digit pairs",18,IF(J339="English-Swahili pairs",19,IF(J339="spatial position",20,IF(J339="word pairs",21,IF(J339="word triads",22,IF(J339="generated words",23,IF(J339="word definition pairs",24,IF(J339="math problems",25,IF(J339="famous faces",26,IF(J339="famous names",27,IF(J339="famous voices",28,IF(J339="television programs",29,IF(J339="race horses",30,IF(J339="new vocabulary",31,IF(J339="sentences",32,IF(J339="concepts",33,IF(J339="ad slides",34,IF(J339="scenes",35,IF(J339="famous scenes",36,IF(J339="poems",37,IF(J339="walk",38,IF(J339="faces and events",39,IF(J339="events and names",40,IF(J339="flashbulb",41,IF(J339="stories",42,IF(J339="course material",43,IF(J339="autobiographical",44,IF(J339="novels",45,IF(J339="public events",46,"99"))))))))))))))))))))))))))))))))))))))))))))))</f>
        <v>42</v>
      </c>
      <c r="L339" s="60">
        <f>IF(J339="syllables",1,IF(J339="trigrams",1,IF(J339="strings",1,IF(J339="visual array",1,IF(J339="characters",1,IF(J339="letters",1,IF(J339="free forms",1,IF(J339="odors",2,IF(J339="words",2,IF(J339="pictures",2,IF(J339="object pictures",2,IF(J339="faces",2,IF(J339="names",2,IF(J339="idioms","2",IF(J339="grades",2,IF(J339="syllable-digit pairs",3,IF(J339="trigram-word pairs",3,IF(J339="word-digit pairs",3,IF(J339="English-Swahili pairs",3,IF(J339="spatial position",3,IF(J339="word pairs",4,IF(J339="word triads",4,IF(J339="generated words",4,IF(J339="word definition pairs",4,IF(J339="math problems",4,IF(J339="famous faces",4,IF(J339="famous names",4,IF(J339="famous voices",4,IF(J339="television programs",4,IF(J339="race horses",4,IF(J339="new vocabulary",4,IF(J339="sentences",5,IF(J339="concepts",5,IF(J339="ad slides",5,IF(J339="scenes",5,IF(J339="famous scenes",5,IF(J339="poems",6,IF(J339="walk",6,IF(J339="faces and events",6,IF(J339="events and names",6,IF(J339="flashbulb",7,IF(J339="stories",7,IF(J339="course material",7,IF(J339="autobiographical",7,IF(J339="novels",7,IF(J339="public events",7,"99"))))))))))))))))))))))))))))))))))))))))))))))</f>
        <v>7</v>
      </c>
      <c r="M339" s="59">
        <v>1</v>
      </c>
      <c r="N339" s="59">
        <v>4</v>
      </c>
      <c r="O339" s="59">
        <v>0</v>
      </c>
      <c r="P339" s="59"/>
      <c r="Q339" s="60" t="s">
        <v>65</v>
      </c>
      <c r="R339" s="60">
        <f>IF(Q339="Free Recall",1,IF(Q339="Cued Recall",2,IF(Q339="Recognition",3,IF(Q339="Multiple Choice",4,IF(Q339="Savings",5,IF(Q339="Stem Completion",6,IF(Q339="Fragment Completion",7,IF(Q339="anagram solution",8,IF(Q339="Matching",9,IF(Q339="Problem Solving",10,"99"))))))))))</f>
        <v>2</v>
      </c>
      <c r="S339" s="60" t="s">
        <v>49</v>
      </c>
      <c r="T339" s="59" t="s">
        <v>261</v>
      </c>
      <c r="U339" s="60">
        <f>IF(T339="within",1,0)</f>
        <v>0</v>
      </c>
      <c r="V339" s="59">
        <v>47</v>
      </c>
      <c r="W339" s="60">
        <f>F339*V339</f>
        <v>3008</v>
      </c>
      <c r="X339" s="59">
        <v>4</v>
      </c>
      <c r="Y339" s="76">
        <f>AV338</f>
        <v>60</v>
      </c>
      <c r="Z339" s="59" t="s">
        <v>185</v>
      </c>
      <c r="AA339" s="59">
        <f>30*24*3600</f>
        <v>2592000</v>
      </c>
      <c r="AB339" s="60" t="str">
        <f>IF(AA339&lt;60,"1",IF(AA339&lt;=43200,"2",IF(AA339&lt;=777600,"3","4")))</f>
        <v>4</v>
      </c>
      <c r="AC339" s="56">
        <f>AVERAGE(AV338:DA338)</f>
        <v>799365</v>
      </c>
      <c r="AD339" s="60" t="str">
        <f>IF(AC339&lt;60,"1",IF(AC339&lt;=43200,"2",IF(AC339&lt;=777600,"3","4")))</f>
        <v>4</v>
      </c>
      <c r="AE339" s="76">
        <f>AA339-Y339</f>
        <v>2591940</v>
      </c>
      <c r="AF339" s="80">
        <f>AV339</f>
        <v>0.73199999999999998</v>
      </c>
      <c r="AG339" s="56">
        <f>((AW339-AV339)+(AX339-AW339)+(AY339-AX339))/3</f>
        <v>-6.0333333333333315E-2</v>
      </c>
      <c r="AH339" s="4"/>
      <c r="AI339" s="56">
        <f>RSQ(AV339:AY339,AV338:AY338)</f>
        <v>0.87739187069025004</v>
      </c>
      <c r="AJ339" s="109">
        <f>SLOPE(AV339:AY339,AV338:AY338)</f>
        <v>-5.8532143835289021E-8</v>
      </c>
      <c r="AK339" s="56">
        <f>INTERCEPT(AV339:AY339,AV338:AY338)</f>
        <v>0.69678854715689587</v>
      </c>
      <c r="AL339" s="56">
        <f>INDEX(LINEST(LN(AV339:AY339),LN(AV338:AY338),TRUE,TRUE),3,1)</f>
        <v>0.84719948969337744</v>
      </c>
      <c r="AM339" s="56">
        <f>INDEX(LINEST(LN(AV339:AY339),LN(AV338:AY338)),1)</f>
        <v>-2.1432060694601515E-2</v>
      </c>
      <c r="AN339" s="56">
        <f>EXP(INDEX(LINEST(LN(AV339:AY339),LN(AV338:AY338)),1,2))</f>
        <v>0.79491699495138979</v>
      </c>
      <c r="AO339" s="82">
        <f>INDEX(LINEST((AV339:AY339),LN(AV338:AY338),TRUE,TRUE),3,1)</f>
        <v>0.86643623171780537</v>
      </c>
      <c r="AP339" s="82">
        <f>INDEX(LINEST((AV339:AY339),LN(AV338:AY338)),1)</f>
        <v>-1.3748066789339784E-2</v>
      </c>
      <c r="AQ339" s="83">
        <f>INDEX(LINEST(LN(AV339:AY339),SQRT(AV338:AY338),TRUE,TRUE),3,1)</f>
        <v>0.94156714792245044</v>
      </c>
      <c r="AR339" s="116">
        <f>INDEX(LINEST(LN(AV339:AY339),SQRT((AV338:AY338))),1)</f>
        <v>-1.5450031089196824E-4</v>
      </c>
      <c r="AS339" s="84">
        <f>INDEX(LINEST(1/(AV339:AY339),1/(SQRT(AV338:AY338)),TRUE,TRUE),3,1)</f>
        <v>0.63604786499037524</v>
      </c>
      <c r="AT339" s="84">
        <f>INDEX(LINEST(1/(AV339:AY339),1/SQRT(AV338:AY338)),1)</f>
        <v>-2.5388593868917817</v>
      </c>
      <c r="AU339" s="4"/>
      <c r="AV339" s="11">
        <v>0.73199999999999998</v>
      </c>
      <c r="AW339" s="11">
        <v>0.68100000000000005</v>
      </c>
      <c r="AX339" s="11">
        <v>0.63600000000000001</v>
      </c>
      <c r="AY339" s="11">
        <v>0.55100000000000005</v>
      </c>
      <c r="AZ339" s="11"/>
      <c r="BA339" s="11"/>
      <c r="BB339" s="11"/>
      <c r="BC339" s="11"/>
      <c r="BD339" s="11"/>
      <c r="BE339" s="11"/>
      <c r="BF339" s="11"/>
      <c r="BG339" s="11"/>
      <c r="BH339" s="11"/>
      <c r="BI339" s="11"/>
      <c r="BJ339" s="11"/>
      <c r="BK339" s="11"/>
      <c r="BL339" s="11"/>
      <c r="BM339" s="11"/>
      <c r="BN339" s="11"/>
      <c r="BO339" s="11"/>
      <c r="BP339" s="11"/>
      <c r="BQ339" s="11"/>
      <c r="BR339" s="11"/>
      <c r="BS339" s="11"/>
      <c r="BT339" s="11"/>
      <c r="BU339" s="11"/>
      <c r="BV339" s="11"/>
      <c r="BW339" s="11"/>
      <c r="BX339" s="11"/>
      <c r="BY339" s="11"/>
      <c r="BZ339" s="11"/>
      <c r="CA339" s="11"/>
      <c r="CB339" s="11"/>
      <c r="CC339" s="11"/>
      <c r="CD339" s="11"/>
      <c r="CE339" s="11"/>
      <c r="CF339" s="11"/>
      <c r="CG339" s="11"/>
      <c r="CH339" s="11"/>
      <c r="CI339" s="11"/>
      <c r="CJ339" s="11"/>
      <c r="CK339" s="11"/>
      <c r="CL339" s="11"/>
      <c r="CM339" s="11"/>
      <c r="CN339" s="11"/>
      <c r="CO339" s="11"/>
      <c r="CP339" s="11"/>
      <c r="CQ339" s="11"/>
      <c r="CR339" s="15"/>
      <c r="CS339" s="15"/>
      <c r="CT339" s="15"/>
      <c r="CU339" s="15"/>
    </row>
    <row r="340" spans="1:99" s="13" customFormat="1" ht="12" customHeight="1" x14ac:dyDescent="0.2">
      <c r="A340" s="65">
        <v>43509</v>
      </c>
      <c r="B340" s="1"/>
      <c r="C340" s="1"/>
      <c r="D340" s="60"/>
      <c r="E340" s="76"/>
      <c r="F340" s="60"/>
      <c r="G340" s="60"/>
      <c r="H340" s="60"/>
      <c r="I340" s="60"/>
      <c r="J340" s="60"/>
      <c r="K340" s="64"/>
      <c r="L340" s="64"/>
      <c r="M340" s="60"/>
      <c r="N340" s="60"/>
      <c r="O340" s="60"/>
      <c r="P340" s="60"/>
      <c r="Q340" s="60"/>
      <c r="R340" s="60"/>
      <c r="S340" s="60"/>
      <c r="T340" s="60"/>
      <c r="U340" s="60"/>
      <c r="V340" s="60"/>
      <c r="W340" s="60"/>
      <c r="X340" s="60"/>
      <c r="Y340" s="76"/>
      <c r="Z340" s="60"/>
      <c r="AA340" s="60"/>
      <c r="AB340" s="60"/>
      <c r="AC340" s="60"/>
      <c r="AD340" s="60"/>
      <c r="AE340" s="60"/>
      <c r="AF340" s="80"/>
      <c r="AG340" s="56"/>
      <c r="AH340" s="4"/>
      <c r="AI340" s="56"/>
      <c r="AJ340" s="109"/>
      <c r="AK340" s="56"/>
      <c r="AL340" s="56"/>
      <c r="AM340" s="56"/>
      <c r="AN340" s="56"/>
      <c r="AO340" s="56"/>
      <c r="AP340" s="56"/>
      <c r="AQ340" s="56"/>
      <c r="AR340" s="109"/>
      <c r="AS340" s="56"/>
      <c r="AT340" s="56"/>
      <c r="AU340" s="4"/>
      <c r="AV340" s="25">
        <f>20*60</f>
        <v>1200</v>
      </c>
      <c r="AW340" s="25">
        <f>60*60</f>
        <v>3600</v>
      </c>
      <c r="AX340" s="25">
        <f>6*60*60</f>
        <v>21600</v>
      </c>
      <c r="AY340" s="25">
        <f>2*24*60*60</f>
        <v>172800</v>
      </c>
      <c r="AZ340" s="25">
        <f>7*24*60*60</f>
        <v>604800</v>
      </c>
      <c r="BA340" s="25">
        <f>21*24*60*60</f>
        <v>1814400</v>
      </c>
      <c r="BB340" s="53"/>
      <c r="BC340" s="53"/>
      <c r="BD340" s="53"/>
      <c r="BE340" s="53"/>
      <c r="BF340" s="53"/>
      <c r="BG340" s="53"/>
      <c r="BH340" s="53"/>
      <c r="BI340" s="53"/>
      <c r="BJ340" s="53"/>
      <c r="BK340" s="53"/>
      <c r="BL340" s="53"/>
      <c r="BM340" s="53"/>
      <c r="BN340" s="53"/>
      <c r="BO340" s="53"/>
      <c r="BP340" s="53"/>
      <c r="BQ340" s="53"/>
      <c r="BR340" s="53"/>
      <c r="BS340" s="53"/>
      <c r="BT340" s="53"/>
      <c r="BU340" s="53"/>
      <c r="BV340" s="53"/>
      <c r="BW340" s="53"/>
      <c r="BX340" s="53"/>
      <c r="BY340" s="53"/>
      <c r="BZ340" s="53"/>
      <c r="CA340" s="53"/>
      <c r="CB340" s="53"/>
      <c r="CC340" s="53"/>
      <c r="CD340" s="53"/>
      <c r="CE340" s="53"/>
      <c r="CF340" s="53"/>
      <c r="CG340" s="53"/>
      <c r="CH340" s="53"/>
      <c r="CI340" s="53"/>
      <c r="CJ340" s="53"/>
      <c r="CK340" s="53"/>
      <c r="CL340" s="53"/>
      <c r="CM340" s="53"/>
      <c r="CN340" s="53"/>
      <c r="CO340" s="53"/>
      <c r="CP340" s="53"/>
      <c r="CQ340" s="53"/>
      <c r="CR340" s="1"/>
      <c r="CS340" s="1"/>
      <c r="CT340" s="1"/>
      <c r="CU340" s="1"/>
    </row>
    <row r="341" spans="1:99" s="13" customFormat="1" ht="12" customHeight="1" x14ac:dyDescent="0.2">
      <c r="A341" s="65">
        <v>43509</v>
      </c>
      <c r="B341" s="1" t="s">
        <v>163</v>
      </c>
      <c r="C341" s="1" t="s">
        <v>75</v>
      </c>
      <c r="D341" s="60">
        <v>1983</v>
      </c>
      <c r="E341" s="76">
        <v>2</v>
      </c>
      <c r="F341" s="60">
        <v>144</v>
      </c>
      <c r="G341" s="60">
        <v>24</v>
      </c>
      <c r="H341" s="60" t="s">
        <v>50</v>
      </c>
      <c r="I341" s="60" t="s">
        <v>804</v>
      </c>
      <c r="J341" s="60" t="s">
        <v>320</v>
      </c>
      <c r="K341" s="60">
        <f>IF(J341="syllables",1,IF(J341="trigrams",2,IF(J341="strings",3,IF(J341="visual array",4,IF(J341="characters",5,IF(J341="letters",6,IF(J341="free forms",7,IF(J341="odors",8,IF(J341="words",9,IF(J341="pictures",10,IF(J341="object pictures",11,IF(J341="faces",12,IF(J341="names",13,IF(J341="idioms",14,IF(J341="grades",15,IF(J341="syllable-digit pairs",16,IF(J341="trigram-word pairs",17,IF(J341="word-digit pairs",18,IF(J341="English-Swahili pairs",19,IF(J341="spatial position",20,IF(J341="word pairs",21,IF(J341="word triads",22,IF(J341="generated words",23,IF(J341="word definition pairs",24,IF(J341="math problems",25,IF(J341="famous faces",26,IF(J341="famous names",27,IF(J341="famous voices",28,IF(J341="television programs",29,IF(J341="race horses",30,IF(J341="new vocabulary",31,IF(J341="sentences",32,IF(J341="concepts",33,IF(J341="ad slides",34,IF(J341="scenes",35,IF(J341="famous scenes",36,IF(J341="poems",37,IF(J341="walk",38,IF(J341="faces and events",39,IF(J341="events and names",40,IF(J341="flashbulb",41,IF(J341="stories",42,IF(J341="course material",43,IF(J341="autobiographical",44,IF(J341="novels",45,IF(J341="public events",46,"99"))))))))))))))))))))))))))))))))))))))))))))))</f>
        <v>21</v>
      </c>
      <c r="L341" s="60">
        <f>IF(J341="syllables",1,IF(J341="trigrams",1,IF(J341="strings",1,IF(J341="visual array",1,IF(J341="characters",1,IF(J341="letters",1,IF(J341="free forms",1,IF(J341="odors",2,IF(J341="words",2,IF(J341="pictures",2,IF(J341="object pictures",2,IF(J341="faces",2,IF(J341="names",2,IF(J341="idioms","2",IF(J341="grades",2,IF(J341="syllable-digit pairs",3,IF(J341="trigram-word pairs",3,IF(J341="word-digit pairs",3,IF(J341="English-Swahili pairs",3,IF(J341="spatial position",3,IF(J341="word pairs",4,IF(J341="word triads",4,IF(J341="generated words",4,IF(J341="word definition pairs",4,IF(J341="math problems",4,IF(J341="famous faces",4,IF(J341="famous names",4,IF(J341="famous voices",4,IF(J341="television programs",4,IF(J341="race horses",4,IF(J341="new vocabulary",4,IF(J341="sentences",5,IF(J341="concepts",5,IF(J341="ad slides",5,IF(J341="scenes",5,IF(J341="famous scenes",5,IF(J341="poems",6,IF(J341="walk",6,IF(J341="faces and events",6,IF(J341="events and names",6,IF(J341="flashbulb",7,IF(J341="stories",7,IF(J341="course material",7,IF(J341="autobiographical",7,IF(J341="novels",7,IF(J341="public events",7,"99"))))))))))))))))))))))))))))))))))))))))))))))</f>
        <v>4</v>
      </c>
      <c r="M341" s="60">
        <v>1</v>
      </c>
      <c r="N341" s="60">
        <v>2</v>
      </c>
      <c r="O341" s="60">
        <v>1</v>
      </c>
      <c r="P341" s="60" t="s">
        <v>164</v>
      </c>
      <c r="Q341" s="60" t="s">
        <v>65</v>
      </c>
      <c r="R341" s="60">
        <f>IF(Q341="Free Recall",1,IF(Q341="Cued Recall",2,IF(Q341="Recognition",3,IF(Q341="Multiple Choice",4,IF(Q341="Savings",5,IF(Q341="Stem Completion",6,IF(Q341="Fragment Completion",7,IF(Q341="anagram solution",8,IF(Q341="Matching",9,IF(Q341="Problem Solving",10,"99"))))))))))</f>
        <v>2</v>
      </c>
      <c r="S341" s="60" t="s">
        <v>49</v>
      </c>
      <c r="T341" s="60" t="s">
        <v>261</v>
      </c>
      <c r="U341" s="60">
        <f>IF(T341="within",1,0)</f>
        <v>0</v>
      </c>
      <c r="V341" s="60">
        <v>24</v>
      </c>
      <c r="W341" s="60">
        <f>F341*V341</f>
        <v>3456</v>
      </c>
      <c r="X341" s="60">
        <v>6</v>
      </c>
      <c r="Y341" s="76">
        <f>AV340</f>
        <v>1200</v>
      </c>
      <c r="Z341" s="60" t="s">
        <v>165</v>
      </c>
      <c r="AA341" s="60">
        <v>1814400</v>
      </c>
      <c r="AB341" s="60" t="str">
        <f>IF(AA341&lt;60,"1",IF(AA341&lt;=43200,"2",IF(AA341&lt;=777600,"3","4")))</f>
        <v>4</v>
      </c>
      <c r="AC341" s="56">
        <f>AVERAGE(AV340:DA340)</f>
        <v>436400</v>
      </c>
      <c r="AD341" s="60" t="str">
        <f>IF(AC341&lt;60,"1",IF(AC341&lt;=43200,"2",IF(AC341&lt;=777600,"3","4")))</f>
        <v>3</v>
      </c>
      <c r="AE341" s="76">
        <f>AA341-Y341</f>
        <v>1813200</v>
      </c>
      <c r="AF341" s="80">
        <f>AV341</f>
        <v>1</v>
      </c>
      <c r="AG341" s="56">
        <f>((AW341-AV341)+(AX341-AW341)+(AY341-AX341)+(AZ341-AY341)+(BA341-AZ341))/5</f>
        <v>-0.13399999999999998</v>
      </c>
      <c r="AH341" s="4"/>
      <c r="AI341" s="56">
        <f>RSQ(AV341:BA341,AV340:BA340)</f>
        <v>0.92686649558811807</v>
      </c>
      <c r="AJ341" s="109">
        <f>SLOPE(AV341:BA341,AV340:BA340)</f>
        <v>-3.6539912544696889E-7</v>
      </c>
      <c r="AK341" s="56">
        <f>INTERCEPT(AV341:BA341,AV340:BA340)</f>
        <v>0.94779351167839065</v>
      </c>
      <c r="AL341" s="56">
        <f>INDEX(LINEST(LN(AV341:BA341),LN(AV340:BA340),TRUE,TRUE),3,1)</f>
        <v>0.6979605142452594</v>
      </c>
      <c r="AM341" s="56">
        <f>INDEX(LINEST(LN(AV341:BA341),LN(AV340:BA340)),1)</f>
        <v>-0.12642838900926681</v>
      </c>
      <c r="AN341" s="56">
        <f>EXP(INDEX(LINEST(LN(AV341:BA341),LN(AV340:BA340)),1,2))</f>
        <v>2.8994246119715101</v>
      </c>
      <c r="AO341" s="82">
        <f>INDEX(LINEST((AV341:BA341),LN(AV340:BA340),TRUE,TRUE),3,1)</f>
        <v>0.77898079153197308</v>
      </c>
      <c r="AP341" s="82">
        <f>INDEX(LINEST((AV341:BA341),LN(AV340:BA340)),1)</f>
        <v>-8.2285504074326901E-2</v>
      </c>
      <c r="AQ341" s="83">
        <f>INDEX(LINEST(LN(AV341:BA341),SQRT(AV340:BA340),TRUE,TRUE),3,1)</f>
        <v>0.96518334553495821</v>
      </c>
      <c r="AR341" s="116">
        <f>INDEX(LINEST(LN(AV341:BA341),SQRT((AV340:BA340))),1)</f>
        <v>-8.3780030318511773E-4</v>
      </c>
      <c r="AS341" s="84">
        <f>INDEX(LINEST(1/(AV341:BA341),1/(SQRT(AV340:BA340)),TRUE,TRUE),3,1)</f>
        <v>0.29910987231516306</v>
      </c>
      <c r="AT341" s="84">
        <f>INDEX(LINEST(1/(AV341:BA341),1/SQRT(AV340:BA340)),1)</f>
        <v>-38.98088987645022</v>
      </c>
      <c r="AU341" s="3"/>
      <c r="AV341" s="53">
        <v>1</v>
      </c>
      <c r="AW341" s="53">
        <v>1</v>
      </c>
      <c r="AX341" s="53">
        <v>0.92</v>
      </c>
      <c r="AY341" s="53">
        <v>0.89</v>
      </c>
      <c r="AZ341" s="53">
        <v>0.59</v>
      </c>
      <c r="BA341" s="53">
        <v>0.33</v>
      </c>
      <c r="BB341" s="53"/>
      <c r="BC341" s="53"/>
      <c r="BD341" s="53"/>
      <c r="BE341" s="53"/>
      <c r="BF341" s="53"/>
      <c r="BG341" s="53"/>
      <c r="BH341" s="53"/>
      <c r="BI341" s="53"/>
      <c r="BJ341" s="53"/>
      <c r="BK341" s="53"/>
      <c r="BL341" s="53"/>
      <c r="BM341" s="53"/>
      <c r="BN341" s="53"/>
      <c r="BO341" s="53"/>
      <c r="BP341" s="53"/>
      <c r="BQ341" s="53"/>
      <c r="BR341" s="53"/>
      <c r="BS341" s="53"/>
      <c r="BT341" s="53"/>
      <c r="BU341" s="53"/>
      <c r="BV341" s="53"/>
      <c r="BW341" s="53"/>
      <c r="BX341" s="53"/>
      <c r="BY341" s="53"/>
      <c r="BZ341" s="53"/>
      <c r="CA341" s="53"/>
      <c r="CB341" s="53"/>
      <c r="CC341" s="53"/>
      <c r="CD341" s="53"/>
      <c r="CE341" s="53"/>
      <c r="CF341" s="53"/>
      <c r="CG341" s="53"/>
      <c r="CH341" s="53"/>
      <c r="CI341" s="53"/>
      <c r="CJ341" s="53"/>
      <c r="CK341" s="53"/>
      <c r="CL341" s="53"/>
      <c r="CM341" s="53"/>
      <c r="CN341" s="53"/>
      <c r="CO341" s="53"/>
      <c r="CP341" s="53"/>
      <c r="CQ341" s="53"/>
      <c r="CR341" s="1"/>
      <c r="CS341" s="1"/>
      <c r="CT341" s="1"/>
      <c r="CU341" s="1"/>
    </row>
    <row r="342" spans="1:99" s="13" customFormat="1" ht="12" customHeight="1" x14ac:dyDescent="0.2">
      <c r="A342" s="65">
        <v>43509</v>
      </c>
      <c r="B342" s="1"/>
      <c r="C342" s="1"/>
      <c r="D342" s="60"/>
      <c r="E342" s="76"/>
      <c r="F342" s="60"/>
      <c r="G342" s="60"/>
      <c r="H342" s="60"/>
      <c r="I342" s="60"/>
      <c r="J342" s="60"/>
      <c r="K342" s="64"/>
      <c r="L342" s="64"/>
      <c r="M342" s="60"/>
      <c r="N342" s="60"/>
      <c r="O342" s="60"/>
      <c r="P342" s="60"/>
      <c r="Q342" s="60"/>
      <c r="R342" s="60"/>
      <c r="S342" s="60"/>
      <c r="T342" s="60"/>
      <c r="U342" s="60"/>
      <c r="V342" s="60"/>
      <c r="W342" s="60"/>
      <c r="X342" s="60"/>
      <c r="Y342" s="76"/>
      <c r="Z342" s="60"/>
      <c r="AA342" s="60"/>
      <c r="AB342" s="60"/>
      <c r="AC342" s="60"/>
      <c r="AD342" s="60"/>
      <c r="AE342" s="60"/>
      <c r="AF342" s="80"/>
      <c r="AG342" s="56"/>
      <c r="AH342" s="4"/>
      <c r="AI342" s="56"/>
      <c r="AJ342" s="109"/>
      <c r="AK342" s="56"/>
      <c r="AL342" s="56"/>
      <c r="AM342" s="56"/>
      <c r="AN342" s="56"/>
      <c r="AO342" s="56"/>
      <c r="AP342" s="56"/>
      <c r="AQ342" s="56"/>
      <c r="AR342" s="109"/>
      <c r="AS342" s="56"/>
      <c r="AT342" s="56"/>
      <c r="AU342" s="4"/>
      <c r="AV342" s="25">
        <f>20*60</f>
        <v>1200</v>
      </c>
      <c r="AW342" s="25">
        <f>60*60</f>
        <v>3600</v>
      </c>
      <c r="AX342" s="25">
        <f>6*60*60</f>
        <v>21600</v>
      </c>
      <c r="AY342" s="25">
        <f>2*24*60*60</f>
        <v>172800</v>
      </c>
      <c r="AZ342" s="25">
        <f>7*24*60*60</f>
        <v>604800</v>
      </c>
      <c r="BA342" s="25">
        <f>21*24*60*60</f>
        <v>1814400</v>
      </c>
      <c r="BB342" s="53"/>
      <c r="BC342" s="53"/>
      <c r="BD342" s="53"/>
      <c r="BE342" s="53"/>
      <c r="BF342" s="53"/>
      <c r="BG342" s="53"/>
      <c r="BH342" s="53"/>
      <c r="BI342" s="53"/>
      <c r="BJ342" s="53"/>
      <c r="BK342" s="53"/>
      <c r="BL342" s="53"/>
      <c r="BM342" s="53"/>
      <c r="BN342" s="53"/>
      <c r="BO342" s="53"/>
      <c r="BP342" s="53"/>
      <c r="BQ342" s="53"/>
      <c r="BR342" s="53"/>
      <c r="BS342" s="53"/>
      <c r="BT342" s="53"/>
      <c r="BU342" s="53"/>
      <c r="BV342" s="53"/>
      <c r="BW342" s="53"/>
      <c r="BX342" s="53"/>
      <c r="BY342" s="53"/>
      <c r="BZ342" s="53"/>
      <c r="CA342" s="53"/>
      <c r="CB342" s="53"/>
      <c r="CC342" s="53"/>
      <c r="CD342" s="53"/>
      <c r="CE342" s="53"/>
      <c r="CF342" s="53"/>
      <c r="CG342" s="53"/>
      <c r="CH342" s="53"/>
      <c r="CI342" s="53"/>
      <c r="CJ342" s="53"/>
      <c r="CK342" s="53"/>
      <c r="CL342" s="53"/>
      <c r="CM342" s="53"/>
      <c r="CN342" s="53"/>
      <c r="CO342" s="53"/>
      <c r="CP342" s="53"/>
      <c r="CQ342" s="53"/>
      <c r="CR342" s="1"/>
      <c r="CS342" s="1"/>
      <c r="CT342" s="1"/>
      <c r="CU342" s="1"/>
    </row>
    <row r="343" spans="1:99" s="13" customFormat="1" ht="12" customHeight="1" x14ac:dyDescent="0.2">
      <c r="A343" s="65">
        <v>43509</v>
      </c>
      <c r="B343" s="1" t="s">
        <v>163</v>
      </c>
      <c r="C343" s="1" t="s">
        <v>75</v>
      </c>
      <c r="D343" s="60">
        <v>1983</v>
      </c>
      <c r="E343" s="76">
        <v>2</v>
      </c>
      <c r="F343" s="60">
        <v>144</v>
      </c>
      <c r="G343" s="60">
        <v>24</v>
      </c>
      <c r="H343" s="60" t="s">
        <v>50</v>
      </c>
      <c r="I343" s="60" t="s">
        <v>806</v>
      </c>
      <c r="J343" s="60" t="s">
        <v>320</v>
      </c>
      <c r="K343" s="60">
        <f>IF(J343="syllables",1,IF(J343="trigrams",2,IF(J343="strings",3,IF(J343="visual array",4,IF(J343="characters",5,IF(J343="letters",6,IF(J343="free forms",7,IF(J343="odors",8,IF(J343="words",9,IF(J343="pictures",10,IF(J343="object pictures",11,IF(J343="faces",12,IF(J343="names",13,IF(J343="idioms",14,IF(J343="grades",15,IF(J343="syllable-digit pairs",16,IF(J343="trigram-word pairs",17,IF(J343="word-digit pairs",18,IF(J343="English-Swahili pairs",19,IF(J343="spatial position",20,IF(J343="word pairs",21,IF(J343="word triads",22,IF(J343="generated words",23,IF(J343="word definition pairs",24,IF(J343="math problems",25,IF(J343="famous faces",26,IF(J343="famous names",27,IF(J343="famous voices",28,IF(J343="television programs",29,IF(J343="race horses",30,IF(J343="new vocabulary",31,IF(J343="sentences",32,IF(J343="concepts",33,IF(J343="ad slides",34,IF(J343="scenes",35,IF(J343="famous scenes",36,IF(J343="poems",37,IF(J343="walk",38,IF(J343="faces and events",39,IF(J343="events and names",40,IF(J343="flashbulb",41,IF(J343="stories",42,IF(J343="course material",43,IF(J343="autobiographical",44,IF(J343="novels",45,IF(J343="public events",46,"99"))))))))))))))))))))))))))))))))))))))))))))))</f>
        <v>21</v>
      </c>
      <c r="L343" s="60">
        <f>IF(J343="syllables",1,IF(J343="trigrams",1,IF(J343="strings",1,IF(J343="visual array",1,IF(J343="characters",1,IF(J343="letters",1,IF(J343="free forms",1,IF(J343="odors",2,IF(J343="words",2,IF(J343="pictures",2,IF(J343="object pictures",2,IF(J343="faces",2,IF(J343="names",2,IF(J343="idioms","2",IF(J343="grades",2,IF(J343="syllable-digit pairs",3,IF(J343="trigram-word pairs",3,IF(J343="word-digit pairs",3,IF(J343="English-Swahili pairs",3,IF(J343="spatial position",3,IF(J343="word pairs",4,IF(J343="word triads",4,IF(J343="generated words",4,IF(J343="word definition pairs",4,IF(J343="math problems",4,IF(J343="famous faces",4,IF(J343="famous names",4,IF(J343="famous voices",4,IF(J343="television programs",4,IF(J343="race horses",4,IF(J343="new vocabulary",4,IF(J343="sentences",5,IF(J343="concepts",5,IF(J343="ad slides",5,IF(J343="scenes",5,IF(J343="famous scenes",5,IF(J343="poems",6,IF(J343="walk",6,IF(J343="faces and events",6,IF(J343="events and names",6,IF(J343="flashbulb",7,IF(J343="stories",7,IF(J343="course material",7,IF(J343="autobiographical",7,IF(J343="novels",7,IF(J343="public events",7,"99"))))))))))))))))))))))))))))))))))))))))))))))</f>
        <v>4</v>
      </c>
      <c r="M343" s="60">
        <v>1</v>
      </c>
      <c r="N343" s="60">
        <v>2</v>
      </c>
      <c r="O343" s="60">
        <v>1</v>
      </c>
      <c r="P343" s="60" t="s">
        <v>164</v>
      </c>
      <c r="Q343" s="60" t="s">
        <v>65</v>
      </c>
      <c r="R343" s="60">
        <f>IF(Q343="Free Recall",1,IF(Q343="Cued Recall",2,IF(Q343="Recognition",3,IF(Q343="Multiple Choice",4,IF(Q343="Savings",5,IF(Q343="Stem Completion",6,IF(Q343="Fragment Completion",7,IF(Q343="anagram solution",8,IF(Q343="Matching",9,IF(Q343="Problem Solving",10,"99"))))))))))</f>
        <v>2</v>
      </c>
      <c r="S343" s="60" t="s">
        <v>49</v>
      </c>
      <c r="T343" s="60" t="s">
        <v>261</v>
      </c>
      <c r="U343" s="60">
        <f>IF(T343="within",1,0)</f>
        <v>0</v>
      </c>
      <c r="V343" s="60">
        <v>24</v>
      </c>
      <c r="W343" s="60">
        <f>F343*V343</f>
        <v>3456</v>
      </c>
      <c r="X343" s="60">
        <v>6</v>
      </c>
      <c r="Y343" s="76">
        <f>AV342</f>
        <v>1200</v>
      </c>
      <c r="Z343" s="60" t="s">
        <v>165</v>
      </c>
      <c r="AA343" s="60">
        <v>1814400</v>
      </c>
      <c r="AB343" s="60" t="str">
        <f>IF(AA343&lt;60,"1",IF(AA343&lt;=43200,"2",IF(AA343&lt;=777600,"3","4")))</f>
        <v>4</v>
      </c>
      <c r="AC343" s="56">
        <f>AVERAGE(AV342:DA342)</f>
        <v>436400</v>
      </c>
      <c r="AD343" s="60" t="str">
        <f>IF(AC343&lt;60,"1",IF(AC343&lt;=43200,"2",IF(AC343&lt;=777600,"3","4")))</f>
        <v>3</v>
      </c>
      <c r="AE343" s="76">
        <f>AA343-Y343</f>
        <v>1813200</v>
      </c>
      <c r="AF343" s="80">
        <f>AV343</f>
        <v>0.89</v>
      </c>
      <c r="AG343" s="56">
        <f>((AW343-AV343)+(AX343-AW343)+(AY343-AX343)+(AZ343-AY343)+(BA343-AZ343))/5</f>
        <v>-0.14399999999999999</v>
      </c>
      <c r="AH343" s="4"/>
      <c r="AI343" s="56">
        <f>RSQ(AV343:BA343,AV342:BA342)</f>
        <v>0.6317586985478949</v>
      </c>
      <c r="AJ343" s="109">
        <f>SLOPE(AV343:BA343,AV342:BA342)</f>
        <v>-3.3333000196613519E-7</v>
      </c>
      <c r="AK343" s="56">
        <f>INTERCEPT(AV343:BA343,AV342:BA342)</f>
        <v>0.67713187952468812</v>
      </c>
      <c r="AL343" s="56">
        <f>INDEX(LINEST(LN(AV343:BA343),LN(AV342:BA342),TRUE,TRUE),3,1)</f>
        <v>0.92841156875757835</v>
      </c>
      <c r="AM343" s="56">
        <f>INDEX(LINEST(LN(AV343:BA343),LN(AV342:BA342)),1)</f>
        <v>-0.22561313495541505</v>
      </c>
      <c r="AN343" s="56">
        <f>EXP(INDEX(LINEST(LN(AV343:BA343),LN(AV342:BA342)),1,2))</f>
        <v>5.1754003248320037</v>
      </c>
      <c r="AO343" s="82">
        <f>INDEX(LINEST((AV343:BA343),LN(AV342:BA342),TRUE,TRUE),3,1)</f>
        <v>0.97453470403216957</v>
      </c>
      <c r="AP343" s="82">
        <f>INDEX(LINEST((AV343:BA343),LN(AV342:BA342)),1)</f>
        <v>-0.10169474042641907</v>
      </c>
      <c r="AQ343" s="83">
        <f>INDEX(LINEST(LN(AV343:BA343),SQRT(AV342:BA342),TRUE,TRUE),3,1)</f>
        <v>0.94790579613820181</v>
      </c>
      <c r="AR343" s="116">
        <f>INDEX(LINEST(LN(AV343:BA343),SQRT((AV342:BA342))),1)</f>
        <v>-1.2846449804048057E-3</v>
      </c>
      <c r="AS343" s="84">
        <f>INDEX(LINEST(1/(AV343:BA343),1/(SQRT(AV342:BA342)),TRUE,TRUE),3,1)</f>
        <v>0.48699759083343341</v>
      </c>
      <c r="AT343" s="84">
        <f>INDEX(LINEST(1/(AV343:BA343),1/SQRT(AV342:BA342)),1)</f>
        <v>-119.62884982130521</v>
      </c>
      <c r="AU343" s="3"/>
      <c r="AV343" s="53">
        <v>0.89</v>
      </c>
      <c r="AW343" s="53">
        <v>0.77</v>
      </c>
      <c r="AX343" s="53">
        <v>0.71</v>
      </c>
      <c r="AY343" s="53">
        <v>0.41</v>
      </c>
      <c r="AZ343" s="53">
        <v>0.24</v>
      </c>
      <c r="BA343" s="53">
        <v>0.17</v>
      </c>
      <c r="BB343" s="53"/>
      <c r="BC343" s="53"/>
      <c r="BD343" s="53"/>
      <c r="BE343" s="53"/>
      <c r="BF343" s="53"/>
      <c r="BG343" s="53"/>
      <c r="BH343" s="53"/>
      <c r="BI343" s="53"/>
      <c r="BJ343" s="53"/>
      <c r="BK343" s="53"/>
      <c r="BL343" s="53"/>
      <c r="BM343" s="53"/>
      <c r="BN343" s="53"/>
      <c r="BO343" s="53"/>
      <c r="BP343" s="53"/>
      <c r="BQ343" s="53"/>
      <c r="BR343" s="53"/>
      <c r="BS343" s="53"/>
      <c r="BT343" s="53"/>
      <c r="BU343" s="53"/>
      <c r="BV343" s="53"/>
      <c r="BW343" s="53"/>
      <c r="BX343" s="53"/>
      <c r="BY343" s="53"/>
      <c r="BZ343" s="53"/>
      <c r="CA343" s="53"/>
      <c r="CB343" s="53"/>
      <c r="CC343" s="53"/>
      <c r="CD343" s="53"/>
      <c r="CE343" s="53"/>
      <c r="CF343" s="53"/>
      <c r="CG343" s="53"/>
      <c r="CH343" s="53"/>
      <c r="CI343" s="53"/>
      <c r="CJ343" s="53"/>
      <c r="CK343" s="53"/>
      <c r="CL343" s="53"/>
      <c r="CM343" s="53"/>
      <c r="CN343" s="53"/>
      <c r="CO343" s="53"/>
      <c r="CP343" s="53"/>
      <c r="CQ343" s="53"/>
      <c r="CR343" s="1"/>
      <c r="CS343" s="1"/>
      <c r="CT343" s="1"/>
      <c r="CU343" s="1"/>
    </row>
    <row r="344" spans="1:99" s="13" customFormat="1" ht="12" customHeight="1" x14ac:dyDescent="0.2">
      <c r="A344" s="65">
        <v>43897</v>
      </c>
      <c r="B344" s="1"/>
      <c r="C344" s="1"/>
      <c r="D344" s="60"/>
      <c r="E344" s="76"/>
      <c r="F344" s="60"/>
      <c r="G344" s="60"/>
      <c r="H344" s="60"/>
      <c r="I344" s="60"/>
      <c r="J344" s="60"/>
      <c r="K344" s="64"/>
      <c r="L344" s="64"/>
      <c r="M344" s="60"/>
      <c r="N344" s="61"/>
      <c r="O344" s="60"/>
      <c r="P344" s="60"/>
      <c r="Q344" s="60"/>
      <c r="R344" s="60"/>
      <c r="S344" s="60"/>
      <c r="T344" s="60"/>
      <c r="U344" s="60"/>
      <c r="V344" s="60"/>
      <c r="W344" s="60"/>
      <c r="X344" s="60"/>
      <c r="Y344" s="76"/>
      <c r="Z344" s="59"/>
      <c r="AA344" s="59"/>
      <c r="AB344" s="60"/>
      <c r="AC344" s="56"/>
      <c r="AD344" s="60"/>
      <c r="AE344" s="60"/>
      <c r="AF344" s="80"/>
      <c r="AG344" s="56"/>
      <c r="AH344" s="4"/>
      <c r="AI344" s="56"/>
      <c r="AJ344" s="109"/>
      <c r="AK344" s="56"/>
      <c r="AL344" s="56"/>
      <c r="AM344" s="56"/>
      <c r="AN344" s="56"/>
      <c r="AO344" s="82"/>
      <c r="AP344" s="82"/>
      <c r="AQ344" s="83"/>
      <c r="AR344" s="116"/>
      <c r="AS344" s="84"/>
      <c r="AT344" s="84"/>
      <c r="AU344" s="3"/>
      <c r="AV344" s="25">
        <v>94608000</v>
      </c>
      <c r="AW344" s="25">
        <v>409968000</v>
      </c>
      <c r="AX344" s="25">
        <v>725328000</v>
      </c>
      <c r="AY344" s="25">
        <v>1040688000</v>
      </c>
      <c r="AZ344" s="25">
        <v>1356048000</v>
      </c>
      <c r="BA344" s="53"/>
      <c r="BB344" s="53"/>
      <c r="BC344" s="53"/>
      <c r="BD344" s="53"/>
      <c r="BE344" s="53"/>
      <c r="BF344" s="53"/>
      <c r="BG344" s="53"/>
      <c r="BH344" s="53"/>
      <c r="BI344" s="53"/>
      <c r="BJ344" s="53"/>
      <c r="BK344" s="53"/>
      <c r="BL344" s="53"/>
      <c r="BM344" s="53"/>
      <c r="BN344" s="53"/>
      <c r="BO344" s="53"/>
      <c r="BP344" s="53"/>
      <c r="BQ344" s="53"/>
      <c r="BR344" s="53"/>
      <c r="BS344" s="53"/>
      <c r="BT344" s="53"/>
      <c r="BU344" s="53"/>
      <c r="BV344" s="53"/>
      <c r="BW344" s="53"/>
      <c r="BX344" s="53"/>
      <c r="BY344" s="53"/>
      <c r="BZ344" s="53"/>
      <c r="CA344" s="53"/>
      <c r="CB344" s="53"/>
      <c r="CC344" s="53"/>
      <c r="CD344" s="53"/>
      <c r="CE344" s="53"/>
      <c r="CF344" s="53"/>
      <c r="CG344" s="53"/>
      <c r="CH344" s="53"/>
      <c r="CI344" s="53"/>
      <c r="CJ344" s="53"/>
      <c r="CK344" s="53"/>
      <c r="CL344" s="53"/>
      <c r="CM344" s="53"/>
      <c r="CN344" s="53"/>
      <c r="CO344" s="53"/>
      <c r="CP344" s="53"/>
      <c r="CQ344" s="53"/>
      <c r="CR344" s="1"/>
      <c r="CS344" s="1"/>
      <c r="CT344" s="1"/>
      <c r="CU344" s="1"/>
    </row>
    <row r="345" spans="1:99" s="13" customFormat="1" ht="12" customHeight="1" x14ac:dyDescent="0.2">
      <c r="A345" s="65">
        <v>43897</v>
      </c>
      <c r="B345" s="1" t="s">
        <v>404</v>
      </c>
      <c r="C345" s="1" t="s">
        <v>405</v>
      </c>
      <c r="D345" s="60">
        <v>1988</v>
      </c>
      <c r="E345" s="76">
        <v>1</v>
      </c>
      <c r="F345" s="60">
        <v>30</v>
      </c>
      <c r="G345" s="60">
        <v>30</v>
      </c>
      <c r="H345" s="60" t="s">
        <v>341</v>
      </c>
      <c r="I345" s="60" t="s">
        <v>330</v>
      </c>
      <c r="J345" s="60" t="s">
        <v>406</v>
      </c>
      <c r="K345" s="60">
        <f>IF(J345="syllables",1,IF(J345="trigrams",2,IF(J345="strings",3,IF(J345="visual array",4,IF(J345="characters",5,IF(J345="letters",6,IF(J345="free forms",7,IF(J345="odors",8,IF(J345="words",9,IF(J345="pictures",10,IF(J345="object pictures",11,IF(J345="faces",12,IF(J345="names",13,IF(J345="idioms",14,IF(J345="grades",15,IF(J345="syllable-digit pairs",16,IF(J345="trigram-word pairs",17,IF(J345="word-digit pairs",18,IF(J345="English-Swahili pairs",19,IF(J345="spatial position",20,IF(J345="word pairs",21,IF(J345="word triads",22,IF(J345="generated words",23,IF(J345="word definition pairs",24,IF(J345="math problems",25,IF(J345="famous faces",26,IF(J345="famous names",27,IF(J345="famous voices",28,IF(J345="television programs",29,IF(J345="race horses",30,IF(J345="new vocabulary",31,IF(J345="sentences",32,IF(J345="concepts",33,IF(J345="ad slides",34,IF(J345="scenes",35,IF(J345="famous scenes",36,IF(J345="poems",37,IF(J345="walk",38,IF(J345="faces and events",39,IF(J345="events and names",40,IF(J345="flashbulb",41,IF(J345="stories",42,IF(J345="course material",43,IF(J345="autobiographical",44,IF(J345="novels",45,IF(J345="public events",46,"99"))))))))))))))))))))))))))))))))))))))))))))))</f>
        <v>36</v>
      </c>
      <c r="L345" s="60">
        <f>IF(J345="syllables",1,IF(J345="trigrams",1,IF(J345="strings",1,IF(J345="visual array",1,IF(J345="characters",1,IF(J345="letters",1,IF(J345="free forms",1,IF(J345="odors",2,IF(J345="words",2,IF(J345="pictures",2,IF(J345="object pictures",2,IF(J345="faces",2,IF(J345="names",2,IF(J345="idioms","2",IF(J345="grades",2,IF(J345="syllable-digit pairs",3,IF(J345="trigram-word pairs",3,IF(J345="word-digit pairs",3,IF(J345="English-Swahili pairs",3,IF(J345="spatial position",3,IF(J345="word pairs",4,IF(J345="word triads",4,IF(J345="generated words",4,IF(J345="word definition pairs",4,IF(J345="math problems",4,IF(J345="famous faces",4,IF(J345="famous names",4,IF(J345="famous voices",4,IF(J345="television programs",4,IF(J345="race horses",4,IF(J345="new vocabulary",4,IF(J345="sentences",5,IF(J345="concepts",5,IF(J345="ad slides",5,IF(J345="scenes",5,IF(J345="famous scenes",5,IF(J345="poems",6,IF(J345="walk",6,IF(J345="faces and events",6,IF(J345="events and names",6,IF(J345="flashbulb",7,IF(J345="stories",7,IF(J345="course material",7,IF(J345="autobiographical",7,IF(J345="novels",7,IF(J345="public events",7,"99"))))))))))))))))))))))))))))))))))))))))))))))</f>
        <v>5</v>
      </c>
      <c r="M345" s="60">
        <v>1</v>
      </c>
      <c r="N345" s="61">
        <v>2</v>
      </c>
      <c r="O345" s="60">
        <v>0</v>
      </c>
      <c r="P345" s="60"/>
      <c r="Q345" s="60" t="s">
        <v>34</v>
      </c>
      <c r="R345" s="60">
        <f>IF(Q345="Free Recall",1,IF(Q345="Cued Recall",2,IF(Q345="Recognition",3,IF(Q345="Multiple Choice",4,IF(Q345="Savings",5,IF(Q345="Stem Completion",6,IF(Q345="Fragment Completion",7,IF(Q345="anagram solution",8,IF(Q345="Matching",9,IF(Q345="Problem Solving",10,"99"))))))))))</f>
        <v>3</v>
      </c>
      <c r="S345" s="60" t="s">
        <v>15</v>
      </c>
      <c r="T345" s="59" t="s">
        <v>581</v>
      </c>
      <c r="U345" s="60">
        <f>IF(T345="within",1,0)</f>
        <v>1</v>
      </c>
      <c r="V345" s="59">
        <v>20</v>
      </c>
      <c r="W345" s="60">
        <f>F345*V345</f>
        <v>600</v>
      </c>
      <c r="X345" s="60">
        <v>5</v>
      </c>
      <c r="Y345" s="76">
        <f>AV344</f>
        <v>94608000</v>
      </c>
      <c r="Z345" s="59" t="s">
        <v>426</v>
      </c>
      <c r="AA345" s="60">
        <f>43*365*24*60*60</f>
        <v>1356048000</v>
      </c>
      <c r="AB345" s="60" t="str">
        <f>IF(AA345&lt;60,"1",IF(AA345&lt;=43200,"2",IF(AA345&lt;=777600,"3","4")))</f>
        <v>4</v>
      </c>
      <c r="AC345" s="56">
        <f>AVERAGE(AV344:DA344)</f>
        <v>725328000</v>
      </c>
      <c r="AD345" s="60" t="str">
        <f>IF(AC345&lt;60,"1",IF(AC345&lt;=43200,"2",IF(AC345&lt;=777600,"3","4")))</f>
        <v>4</v>
      </c>
      <c r="AE345" s="76">
        <f>AA345-Y345</f>
        <v>1261440000</v>
      </c>
      <c r="AF345" s="80">
        <f>AV345</f>
        <v>0.95384615384615379</v>
      </c>
      <c r="AG345" s="58">
        <f>((AW345-AV345)+(AX345-AW345)+(AY345-AX345)+(AZ345-AY345))/4</f>
        <v>-1.6194331983805654E-3</v>
      </c>
      <c r="AH345" s="4"/>
      <c r="AI345" s="56">
        <f>RSQ(AV345:AZ345,AV344:AZ344)</f>
        <v>5.5621984975579436E-2</v>
      </c>
      <c r="AJ345" s="109">
        <f>SLOPE(AV345:AZ345,AV344:AZ344)</f>
        <v>-3.7851348534413547E-11</v>
      </c>
      <c r="AK345" s="56">
        <f>INTERCEPT(AV345:AZ345,AV344:AZ344)</f>
        <v>0.91878219823776397</v>
      </c>
      <c r="AL345" s="56">
        <f>INDEX(LINEST(LN(AV345:AZ345),LN(AV344:AZ344),TRUE,TRUE),3,1)</f>
        <v>0.16859220416352844</v>
      </c>
      <c r="AM345" s="56">
        <f>INDEX(LINEST(LN(AV345:AZ345),LN(AV344:AZ344)),1)</f>
        <v>-3.5834775397589336E-2</v>
      </c>
      <c r="AN345" s="56">
        <f>EXP(INDEX(LINEST(LN(AV345:AZ345),LN(AV344:AZ344)),1,2))</f>
        <v>1.8241287959152177</v>
      </c>
      <c r="AO345" s="82">
        <f>INDEX(LINEST((AV345:AZ345),LN(AV344:AZ344),TRUE,TRUE),3,1)</f>
        <v>0.17436865958681858</v>
      </c>
      <c r="AP345" s="82">
        <f>INDEX(LINEST((AV345:AZ345),LN(AV344:AZ344)),1)</f>
        <v>-3.160829024500271E-2</v>
      </c>
      <c r="AQ345" s="83">
        <f>INDEX(LINEST(LN(AV345:AZ345),SQRT(AV344:AZ344),TRUE,TRUE),3,1)</f>
        <v>0.11079587201730813</v>
      </c>
      <c r="AR345" s="116">
        <f>INDEX(LINEST(LN(AV345:AZ345),SQRT((AV344:AZ344))),1)</f>
        <v>-2.889451623959383E-6</v>
      </c>
      <c r="AS345" s="84">
        <f>INDEX(LINEST(1/(AV345:AZ345),1/(SQRT(AV344:AZ344)),TRUE,TRUE),3,1)</f>
        <v>0.19502143432750169</v>
      </c>
      <c r="AT345" s="84">
        <f>INDEX(LINEST(1/(AV345:AZ345),1/SQRT(AV344:AZ344)),1)</f>
        <v>-1522.273926687802</v>
      </c>
      <c r="AU345" s="3"/>
      <c r="AV345" s="53">
        <v>0.95384615384615379</v>
      </c>
      <c r="AW345" s="53">
        <v>0.94202898550724645</v>
      </c>
      <c r="AX345" s="53">
        <v>0.77777777777777779</v>
      </c>
      <c r="AY345" s="53">
        <v>0.83561643835616439</v>
      </c>
      <c r="AZ345" s="53">
        <v>0.94736842105263153</v>
      </c>
      <c r="BA345" s="53"/>
      <c r="BB345" s="53"/>
      <c r="BC345" s="53"/>
      <c r="BD345" s="53"/>
      <c r="BE345" s="53"/>
      <c r="BF345" s="53"/>
      <c r="BG345" s="53"/>
      <c r="BH345" s="53"/>
      <c r="BI345" s="53"/>
      <c r="BJ345" s="53"/>
      <c r="BK345" s="53"/>
      <c r="BL345" s="53"/>
      <c r="BM345" s="53"/>
      <c r="BN345" s="53"/>
      <c r="BO345" s="53"/>
      <c r="BP345" s="53"/>
      <c r="BQ345" s="53"/>
      <c r="BR345" s="53"/>
      <c r="BS345" s="53"/>
      <c r="BT345" s="53"/>
      <c r="BU345" s="53"/>
      <c r="BV345" s="53"/>
      <c r="BW345" s="53"/>
      <c r="BX345" s="53"/>
      <c r="BY345" s="53"/>
      <c r="BZ345" s="53"/>
      <c r="CA345" s="53"/>
      <c r="CB345" s="53"/>
      <c r="CC345" s="53"/>
      <c r="CD345" s="53"/>
      <c r="CE345" s="53"/>
      <c r="CF345" s="53"/>
      <c r="CG345" s="53"/>
      <c r="CH345" s="53"/>
      <c r="CI345" s="53"/>
      <c r="CJ345" s="53"/>
      <c r="CK345" s="53"/>
      <c r="CL345" s="53"/>
      <c r="CM345" s="53"/>
      <c r="CN345" s="53"/>
      <c r="CO345" s="53"/>
      <c r="CP345" s="53"/>
      <c r="CQ345" s="53"/>
      <c r="CR345" s="1"/>
      <c r="CS345" s="1"/>
      <c r="CT345" s="1"/>
      <c r="CU345" s="1"/>
    </row>
    <row r="346" spans="1:99" s="13" customFormat="1" ht="12" customHeight="1" x14ac:dyDescent="0.2">
      <c r="A346" s="65">
        <v>43897</v>
      </c>
      <c r="B346" s="1"/>
      <c r="C346" s="1"/>
      <c r="D346" s="60"/>
      <c r="E346" s="76"/>
      <c r="F346" s="60"/>
      <c r="G346" s="60"/>
      <c r="H346" s="60"/>
      <c r="I346" s="60"/>
      <c r="J346" s="60"/>
      <c r="K346" s="64"/>
      <c r="L346" s="64"/>
      <c r="M346" s="60"/>
      <c r="N346" s="61"/>
      <c r="O346" s="60"/>
      <c r="P346" s="60"/>
      <c r="Q346" s="60"/>
      <c r="R346" s="60"/>
      <c r="S346" s="60"/>
      <c r="T346" s="60"/>
      <c r="U346" s="60"/>
      <c r="V346" s="60"/>
      <c r="W346" s="60"/>
      <c r="X346" s="60"/>
      <c r="Y346" s="76"/>
      <c r="Z346" s="60"/>
      <c r="AA346" s="60"/>
      <c r="AB346" s="60"/>
      <c r="AC346" s="56"/>
      <c r="AD346" s="60"/>
      <c r="AE346" s="60"/>
      <c r="AF346" s="80"/>
      <c r="AG346" s="56"/>
      <c r="AH346" s="4"/>
      <c r="AI346" s="56"/>
      <c r="AJ346" s="109"/>
      <c r="AK346" s="56"/>
      <c r="AL346" s="56"/>
      <c r="AM346" s="56"/>
      <c r="AN346" s="56"/>
      <c r="AO346" s="82"/>
      <c r="AP346" s="82"/>
      <c r="AQ346" s="83"/>
      <c r="AR346" s="116"/>
      <c r="AS346" s="84"/>
      <c r="AT346" s="84"/>
      <c r="AU346" s="3"/>
      <c r="AV346" s="25">
        <v>409968000</v>
      </c>
      <c r="AW346" s="25">
        <v>725328000</v>
      </c>
      <c r="AX346" s="25">
        <v>1040688000</v>
      </c>
      <c r="AY346" s="25">
        <v>1356048000</v>
      </c>
      <c r="AZ346" s="53"/>
      <c r="BA346" s="53"/>
      <c r="BB346" s="53"/>
      <c r="BC346" s="53"/>
      <c r="BD346" s="53"/>
      <c r="BE346" s="53"/>
      <c r="BF346" s="53"/>
      <c r="BG346" s="53"/>
      <c r="BH346" s="53"/>
      <c r="BI346" s="53"/>
      <c r="BJ346" s="53"/>
      <c r="BK346" s="53"/>
      <c r="BL346" s="53"/>
      <c r="BM346" s="53"/>
      <c r="BN346" s="53"/>
      <c r="BO346" s="53"/>
      <c r="BP346" s="53"/>
      <c r="BQ346" s="53"/>
      <c r="BR346" s="53"/>
      <c r="BS346" s="53"/>
      <c r="BT346" s="53"/>
      <c r="BU346" s="53"/>
      <c r="BV346" s="53"/>
      <c r="BW346" s="53"/>
      <c r="BX346" s="53"/>
      <c r="BY346" s="53"/>
      <c r="BZ346" s="53"/>
      <c r="CA346" s="53"/>
      <c r="CB346" s="53"/>
      <c r="CC346" s="53"/>
      <c r="CD346" s="53"/>
      <c r="CE346" s="53"/>
      <c r="CF346" s="53"/>
      <c r="CG346" s="53"/>
      <c r="CH346" s="53"/>
      <c r="CI346" s="53"/>
      <c r="CJ346" s="53"/>
      <c r="CK346" s="53"/>
      <c r="CL346" s="53"/>
      <c r="CM346" s="53"/>
      <c r="CN346" s="53"/>
      <c r="CO346" s="53"/>
      <c r="CP346" s="53"/>
      <c r="CQ346" s="53"/>
      <c r="CR346" s="1"/>
      <c r="CS346" s="1"/>
      <c r="CT346" s="1"/>
      <c r="CU346" s="1"/>
    </row>
    <row r="347" spans="1:99" s="13" customFormat="1" ht="12" customHeight="1" x14ac:dyDescent="0.2">
      <c r="A347" s="65">
        <v>43897</v>
      </c>
      <c r="B347" s="1" t="s">
        <v>404</v>
      </c>
      <c r="C347" s="1" t="s">
        <v>405</v>
      </c>
      <c r="D347" s="60">
        <v>1988</v>
      </c>
      <c r="E347" s="76">
        <v>1</v>
      </c>
      <c r="F347" s="60">
        <v>36</v>
      </c>
      <c r="G347" s="60">
        <v>36</v>
      </c>
      <c r="H347" s="60" t="s">
        <v>44</v>
      </c>
      <c r="I347" s="60" t="s">
        <v>330</v>
      </c>
      <c r="J347" s="60" t="s">
        <v>406</v>
      </c>
      <c r="K347" s="60">
        <f>IF(J347="syllables",1,IF(J347="trigrams",2,IF(J347="strings",3,IF(J347="visual array",4,IF(J347="characters",5,IF(J347="letters",6,IF(J347="free forms",7,IF(J347="odors",8,IF(J347="words",9,IF(J347="pictures",10,IF(J347="object pictures",11,IF(J347="faces",12,IF(J347="names",13,IF(J347="idioms",14,IF(J347="grades",15,IF(J347="syllable-digit pairs",16,IF(J347="trigram-word pairs",17,IF(J347="word-digit pairs",18,IF(J347="English-Swahili pairs",19,IF(J347="spatial position",20,IF(J347="word pairs",21,IF(J347="word triads",22,IF(J347="generated words",23,IF(J347="word definition pairs",24,IF(J347="math problems",25,IF(J347="famous faces",26,IF(J347="famous names",27,IF(J347="famous voices",28,IF(J347="television programs",29,IF(J347="race horses",30,IF(J347="new vocabulary",31,IF(J347="sentences",32,IF(J347="concepts",33,IF(J347="ad slides",34,IF(J347="scenes",35,IF(J347="famous scenes",36,IF(J347="poems",37,IF(J347="walk",38,IF(J347="faces and events",39,IF(J347="events and names",40,IF(J347="flashbulb",41,IF(J347="stories",42,IF(J347="course material",43,IF(J347="autobiographical",44,IF(J347="novels",45,IF(J347="public events",46,"99"))))))))))))))))))))))))))))))))))))))))))))))</f>
        <v>36</v>
      </c>
      <c r="L347" s="60">
        <f>IF(J347="syllables",1,IF(J347="trigrams",1,IF(J347="strings",1,IF(J347="visual array",1,IF(J347="characters",1,IF(J347="letters",1,IF(J347="free forms",1,IF(J347="odors",2,IF(J347="words",2,IF(J347="pictures",2,IF(J347="object pictures",2,IF(J347="faces",2,IF(J347="names",2,IF(J347="idioms","2",IF(J347="grades",2,IF(J347="syllable-digit pairs",3,IF(J347="trigram-word pairs",3,IF(J347="word-digit pairs",3,IF(J347="English-Swahili pairs",3,IF(J347="spatial position",3,IF(J347="word pairs",4,IF(J347="word triads",4,IF(J347="generated words",4,IF(J347="word definition pairs",4,IF(J347="math problems",4,IF(J347="famous faces",4,IF(J347="famous names",4,IF(J347="famous voices",4,IF(J347="television programs",4,IF(J347="race horses",4,IF(J347="new vocabulary",4,IF(J347="sentences",5,IF(J347="concepts",5,IF(J347="ad slides",5,IF(J347="scenes",5,IF(J347="famous scenes",5,IF(J347="poems",6,IF(J347="walk",6,IF(J347="faces and events",6,IF(J347="events and names",6,IF(J347="flashbulb",7,IF(J347="stories",7,IF(J347="course material",7,IF(J347="autobiographical",7,IF(J347="novels",7,IF(J347="public events",7,"99"))))))))))))))))))))))))))))))))))))))))))))))</f>
        <v>5</v>
      </c>
      <c r="M347" s="60">
        <v>1</v>
      </c>
      <c r="N347" s="61">
        <v>2</v>
      </c>
      <c r="O347" s="60">
        <v>0</v>
      </c>
      <c r="P347" s="60"/>
      <c r="Q347" s="60" t="s">
        <v>182</v>
      </c>
      <c r="R347" s="60">
        <f>IF(Q347="Free Recall",1,IF(Q347="Cued Recall",2,IF(Q347="Recognition",3,IF(Q347="Multiple Choice",4,IF(Q347="Savings",5,IF(Q347="Stem Completion",6,IF(Q347="Fragment Completion",7,IF(Q347="anagram solution",8,IF(Q347="Matching",9,IF(Q347="Problem Solving",10,"99"))))))))))</f>
        <v>4</v>
      </c>
      <c r="S347" s="60" t="s">
        <v>15</v>
      </c>
      <c r="T347" s="59" t="s">
        <v>581</v>
      </c>
      <c r="U347" s="60">
        <f>IF(T347="within",1,0)</f>
        <v>1</v>
      </c>
      <c r="V347" s="59">
        <v>20</v>
      </c>
      <c r="W347" s="60">
        <f>F347*V347</f>
        <v>720</v>
      </c>
      <c r="X347" s="60">
        <v>4</v>
      </c>
      <c r="Y347" s="76">
        <f>AV346</f>
        <v>409968000</v>
      </c>
      <c r="Z347" s="59" t="s">
        <v>426</v>
      </c>
      <c r="AA347" s="60">
        <f>43*365*24*60*60</f>
        <v>1356048000</v>
      </c>
      <c r="AB347" s="60" t="str">
        <f>IF(AA347&lt;60,"1",IF(AA347&lt;=43200,"2",IF(AA347&lt;=777600,"3","4")))</f>
        <v>4</v>
      </c>
      <c r="AC347" s="56">
        <f>AVERAGE(AV346:DA346)</f>
        <v>883008000</v>
      </c>
      <c r="AD347" s="60" t="str">
        <f>IF(AC347&lt;60,"1",IF(AC347&lt;=43200,"2",IF(AC347&lt;=777600,"3","4")))</f>
        <v>4</v>
      </c>
      <c r="AE347" s="76">
        <f>AA347-Y347</f>
        <v>946080000</v>
      </c>
      <c r="AF347" s="80">
        <f>AV347</f>
        <v>0.76190476190476186</v>
      </c>
      <c r="AG347" s="56">
        <f>((AW347-AV347)+(AX347-AW347)+(AY347-AX347))/3</f>
        <v>-1.1544011544011523E-2</v>
      </c>
      <c r="AH347" s="4"/>
      <c r="AI347" s="56">
        <f>RSQ(AV347:AY347,AV346:AY346)</f>
        <v>0.20149143832788816</v>
      </c>
      <c r="AJ347" s="109">
        <f>SLOPE(AV347:AY347,AV346:AY346)</f>
        <v>-2.2283395322902891E-11</v>
      </c>
      <c r="AK347" s="56">
        <f>INTERCEPT(AV347:AY347,AV346:AY346)</f>
        <v>0.76037658573310751</v>
      </c>
      <c r="AL347" s="56">
        <f>INDEX(LINEST(LN(AV347:AY347),LN(AV346:AY346),TRUE,TRUE),3,1)</f>
        <v>0.25001965859319286</v>
      </c>
      <c r="AM347" s="56">
        <f>INDEX(LINEST(LN(AV347:AY347),LN(AV346:AY346)),1)</f>
        <v>-2.6354258413484558E-2</v>
      </c>
      <c r="AN347" s="56">
        <f>EXP(INDEX(LINEST(LN(AV347:AY347),LN(AV346:AY346)),1,2))</f>
        <v>1.2712320424441965</v>
      </c>
      <c r="AO347" s="82">
        <f>INDEX(LINEST((AV347:AY347),LN(AV346:AY346),TRUE,TRUE),3,1)</f>
        <v>0.25446415807945993</v>
      </c>
      <c r="AP347" s="82">
        <f>INDEX(LINEST((AV347:AY347),LN(AV346:AY346)),1)</f>
        <v>-1.9693089165495056E-2</v>
      </c>
      <c r="AQ347" s="83">
        <f>INDEX(LINEST(LN(AV347:AY347),SQRT(AV346:AY346),TRUE,TRUE),3,1)</f>
        <v>0.22188431485114365</v>
      </c>
      <c r="AR347" s="116">
        <f>INDEX(LINEST(LN(AV347:AY347),SQRT((AV346:AY346))),1)</f>
        <v>-1.8014999352672312E-6</v>
      </c>
      <c r="AS347" s="84">
        <f>INDEX(LINEST(1/(AV347:AY347),1/(SQRT(AV346:AY346)),TRUE,TRUE),3,1)</f>
        <v>0.2756364259565709</v>
      </c>
      <c r="AT347" s="84">
        <f>INDEX(LINEST(1/(AV347:AY347),1/SQRT(AV346:AY346)),1)</f>
        <v>-1989.5513174670496</v>
      </c>
      <c r="AU347" s="3"/>
      <c r="AV347" s="27">
        <v>0.76190476190476186</v>
      </c>
      <c r="AW347" s="27">
        <v>0.72000000000000008</v>
      </c>
      <c r="AX347" s="27">
        <v>0.75362318840579723</v>
      </c>
      <c r="AY347" s="27">
        <v>0.72727272727272729</v>
      </c>
      <c r="AZ347" s="53"/>
      <c r="BA347" s="53"/>
      <c r="BB347" s="53"/>
      <c r="BC347" s="53"/>
      <c r="BD347" s="53"/>
      <c r="BE347" s="53"/>
      <c r="BF347" s="53"/>
      <c r="BG347" s="53"/>
      <c r="BH347" s="53"/>
      <c r="BI347" s="53"/>
      <c r="BJ347" s="53"/>
      <c r="BK347" s="53"/>
      <c r="BL347" s="53"/>
      <c r="BM347" s="53"/>
      <c r="BN347" s="53"/>
      <c r="BO347" s="53"/>
      <c r="BP347" s="53"/>
      <c r="BQ347" s="53"/>
      <c r="BR347" s="53"/>
      <c r="BS347" s="53"/>
      <c r="BT347" s="53"/>
      <c r="BU347" s="53"/>
      <c r="BV347" s="53"/>
      <c r="BW347" s="53"/>
      <c r="BX347" s="53"/>
      <c r="BY347" s="53"/>
      <c r="BZ347" s="53"/>
      <c r="CA347" s="53"/>
      <c r="CB347" s="53"/>
      <c r="CC347" s="53"/>
      <c r="CD347" s="53"/>
      <c r="CE347" s="53"/>
      <c r="CF347" s="53"/>
      <c r="CG347" s="53"/>
      <c r="CH347" s="53"/>
      <c r="CI347" s="53"/>
      <c r="CJ347" s="53"/>
      <c r="CK347" s="53"/>
      <c r="CL347" s="53"/>
      <c r="CM347" s="53"/>
      <c r="CN347" s="53"/>
      <c r="CO347" s="53"/>
      <c r="CP347" s="53"/>
      <c r="CQ347" s="53"/>
      <c r="CR347" s="1"/>
      <c r="CS347" s="1"/>
      <c r="CT347" s="1"/>
      <c r="CU347" s="1"/>
    </row>
    <row r="348" spans="1:99" s="13" customFormat="1" ht="12" customHeight="1" x14ac:dyDescent="0.2">
      <c r="A348" s="68">
        <v>43897</v>
      </c>
      <c r="B348" s="70"/>
      <c r="C348" s="70"/>
      <c r="D348" s="69"/>
      <c r="E348" s="87"/>
      <c r="F348" s="69"/>
      <c r="G348" s="69"/>
      <c r="H348" s="69"/>
      <c r="I348" s="69"/>
      <c r="J348" s="69"/>
      <c r="K348" s="107"/>
      <c r="L348" s="107"/>
      <c r="M348" s="69"/>
      <c r="N348" s="86"/>
      <c r="O348" s="69"/>
      <c r="P348" s="69"/>
      <c r="Q348" s="69"/>
      <c r="R348" s="69"/>
      <c r="S348" s="69"/>
      <c r="T348" s="69"/>
      <c r="U348" s="60"/>
      <c r="V348" s="69"/>
      <c r="W348" s="69"/>
      <c r="X348" s="69"/>
      <c r="Y348" s="87"/>
      <c r="Z348" s="92"/>
      <c r="AA348" s="92"/>
      <c r="AB348" s="69"/>
      <c r="AC348" s="72"/>
      <c r="AD348" s="69"/>
      <c r="AE348" s="69"/>
      <c r="AF348" s="88"/>
      <c r="AG348" s="72"/>
      <c r="AH348" s="4"/>
      <c r="AI348" s="72"/>
      <c r="AJ348" s="110"/>
      <c r="AK348" s="72"/>
      <c r="AL348" s="72"/>
      <c r="AM348" s="72"/>
      <c r="AN348" s="72"/>
      <c r="AO348" s="89"/>
      <c r="AP348" s="89"/>
      <c r="AQ348" s="90"/>
      <c r="AR348" s="117"/>
      <c r="AS348" s="91"/>
      <c r="AT348" s="91"/>
      <c r="AU348" s="3"/>
      <c r="AV348" s="71">
        <v>94608000</v>
      </c>
      <c r="AW348" s="71">
        <v>315360000</v>
      </c>
      <c r="AX348" s="71">
        <v>630720000</v>
      </c>
      <c r="AY348" s="71">
        <v>646080000</v>
      </c>
      <c r="AZ348" s="71">
        <v>12614400000</v>
      </c>
      <c r="BA348" s="53"/>
      <c r="BB348" s="53"/>
      <c r="BC348" s="53"/>
      <c r="BD348" s="53"/>
      <c r="BE348" s="53"/>
      <c r="BF348" s="53"/>
      <c r="BG348" s="53"/>
      <c r="BH348" s="53"/>
      <c r="BI348" s="53"/>
      <c r="BJ348" s="53"/>
      <c r="BK348" s="53"/>
      <c r="BL348" s="53"/>
      <c r="BM348" s="53"/>
      <c r="BN348" s="53"/>
      <c r="BO348" s="53"/>
      <c r="BP348" s="53"/>
      <c r="BQ348" s="53"/>
      <c r="BR348" s="53"/>
      <c r="BS348" s="53"/>
      <c r="BT348" s="53"/>
      <c r="BU348" s="53"/>
      <c r="BV348" s="53"/>
      <c r="BW348" s="53"/>
      <c r="BX348" s="53"/>
      <c r="BY348" s="53"/>
      <c r="BZ348" s="53"/>
      <c r="CA348" s="53"/>
      <c r="CB348" s="53"/>
      <c r="CC348" s="53"/>
      <c r="CD348" s="53"/>
      <c r="CE348" s="53"/>
      <c r="CF348" s="53"/>
      <c r="CG348" s="53"/>
      <c r="CH348" s="53"/>
      <c r="CI348" s="53"/>
      <c r="CJ348" s="53"/>
      <c r="CK348" s="53"/>
      <c r="CL348" s="53"/>
      <c r="CM348" s="53"/>
      <c r="CN348" s="53"/>
      <c r="CO348" s="53"/>
      <c r="CP348" s="53"/>
      <c r="CQ348" s="53"/>
      <c r="CR348" s="1"/>
      <c r="CS348" s="1"/>
      <c r="CT348" s="1"/>
      <c r="CU348" s="1"/>
    </row>
    <row r="349" spans="1:99" s="13" customFormat="1" ht="12" customHeight="1" x14ac:dyDescent="0.2">
      <c r="A349" s="68">
        <v>43897</v>
      </c>
      <c r="B349" s="70" t="s">
        <v>407</v>
      </c>
      <c r="C349" s="70" t="s">
        <v>408</v>
      </c>
      <c r="D349" s="69">
        <v>1988</v>
      </c>
      <c r="E349" s="87">
        <v>1</v>
      </c>
      <c r="F349" s="69">
        <v>14</v>
      </c>
      <c r="G349" s="69">
        <v>14</v>
      </c>
      <c r="H349" s="69" t="s">
        <v>41</v>
      </c>
      <c r="I349" s="69" t="s">
        <v>330</v>
      </c>
      <c r="J349" s="69" t="s">
        <v>403</v>
      </c>
      <c r="K349" s="69">
        <f>IF(J349="syllables",1,IF(J349="trigrams",2,IF(J349="strings",3,IF(J349="visual array",4,IF(J349="characters",5,IF(J349="letters",6,IF(J349="free forms",7,IF(J349="odors",8,IF(J349="words",9,IF(J349="pictures",10,IF(J349="object pictures",11,IF(J349="faces",12,IF(J349="names",13,IF(J349="idioms",14,IF(J349="grades",15,IF(J349="syllable-digit pairs",16,IF(J349="trigram-word pairs",17,IF(J349="word-digit pairs",18,IF(J349="English-Swahili pairs",19,IF(J349="spatial position",20,IF(J349="word pairs",21,IF(J349="word triads",22,IF(J349="generated words",23,IF(J349="word definition pairs",24,IF(J349="math problems",25,IF(J349="famous faces",26,IF(J349="famous names",27,IF(J349="famous voices",28,IF(J349="television programs",29,IF(J349="race horses",30,IF(J349="new vocabulary",31,IF(J349="sentences",32,IF(J349="concepts",33,IF(J349="ad slides",34,IF(J349="scenes",35,IF(J349="famous scenes",36,IF(J349="poems",37,IF(J349="walk",38,IF(J349="faces and events",39,IF(J349="events and names",40,IF(J349="flashbulb",41,IF(J349="stories",42,IF(J349="course material",43,IF(J349="autobiographical",44,IF(J349="novels",45,IF(J349="public events",46,"99"))))))))))))))))))))))))))))))))))))))))))))))</f>
        <v>40</v>
      </c>
      <c r="L349" s="69">
        <f>IF(J349="syllables",1,IF(J349="trigrams",1,IF(J349="strings",1,IF(J349="visual array",1,IF(J349="characters",1,IF(J349="letters",1,IF(J349="free forms",1,IF(J349="odors",2,IF(J349="words",2,IF(J349="pictures",2,IF(J349="object pictures",2,IF(J349="faces",2,IF(J349="names",2,IF(J349="idioms","2",IF(J349="grades",2,IF(J349="syllable-digit pairs",3,IF(J349="trigram-word pairs",3,IF(J349="word-digit pairs",3,IF(J349="English-Swahili pairs",3,IF(J349="spatial position",3,IF(J349="word pairs",4,IF(J349="word triads",4,IF(J349="generated words",4,IF(J349="word definition pairs",4,IF(J349="math problems",4,IF(J349="famous faces",4,IF(J349="famous names",4,IF(J349="famous voices",4,IF(J349="television programs",4,IF(J349="race horses",4,IF(J349="new vocabulary",4,IF(J349="sentences",5,IF(J349="concepts",5,IF(J349="ad slides",5,IF(J349="scenes",5,IF(J349="famous scenes",5,IF(J349="poems",6,IF(J349="walk",6,IF(J349="faces and events",6,IF(J349="events and names",6,IF(J349="flashbulb",7,IF(J349="stories",7,IF(J349="course material",7,IF(J349="autobiographical",7,IF(J349="novels",7,IF(J349="public events",7,"99"))))))))))))))))))))))))))))))))))))))))))))))</f>
        <v>6</v>
      </c>
      <c r="M349" s="69">
        <v>1</v>
      </c>
      <c r="N349" s="86">
        <v>3</v>
      </c>
      <c r="O349" s="69">
        <v>0</v>
      </c>
      <c r="P349" s="69"/>
      <c r="Q349" s="69" t="s">
        <v>34</v>
      </c>
      <c r="R349" s="69">
        <f>IF(Q349="Free Recall",1,IF(Q349="Cued Recall",2,IF(Q349="Recognition",3,IF(Q349="Multiple Choice",4,IF(Q349="Savings",5,IF(Q349="Stem Completion",6,IF(Q349="Fragment Completion",7,IF(Q349="anagram solution",8,IF(Q349="Matching",9,IF(Q349="Problem Solving",10,"99"))))))))))</f>
        <v>3</v>
      </c>
      <c r="S349" s="69" t="s">
        <v>15</v>
      </c>
      <c r="T349" s="92" t="s">
        <v>581</v>
      </c>
      <c r="U349" s="60">
        <f>IF(T349="within",1,0)</f>
        <v>1</v>
      </c>
      <c r="V349" s="92">
        <v>68</v>
      </c>
      <c r="W349" s="69">
        <f>F349*V349</f>
        <v>952</v>
      </c>
      <c r="X349" s="69">
        <v>5</v>
      </c>
      <c r="Y349" s="87">
        <f>AV348</f>
        <v>94608000</v>
      </c>
      <c r="Z349" s="69" t="s">
        <v>329</v>
      </c>
      <c r="AA349" s="69">
        <f>40*365*24*60*60</f>
        <v>1261440000</v>
      </c>
      <c r="AB349" s="69" t="str">
        <f>IF(AA349&lt;60,"1",IF(AA349&lt;=43200,"2",IF(AA349&lt;=777600,"3","4")))</f>
        <v>4</v>
      </c>
      <c r="AC349" s="72">
        <f>AVERAGE(AV348:DA348)</f>
        <v>2860233600</v>
      </c>
      <c r="AD349" s="69" t="str">
        <f>IF(AC349&lt;60,"1",IF(AC349&lt;=43200,"2",IF(AC349&lt;=777600,"3","4")))</f>
        <v>4</v>
      </c>
      <c r="AE349" s="87">
        <f>AA349-Y349</f>
        <v>1166832000</v>
      </c>
      <c r="AF349" s="88">
        <f>AV349</f>
        <v>0.9</v>
      </c>
      <c r="AG349" s="72">
        <f>((AW349-AV349)+(AX349-AW349)+(AY349-AX349)+(AZ349-AY349))/4</f>
        <v>-1.2500000000000011E-2</v>
      </c>
      <c r="AH349" s="4"/>
      <c r="AI349" s="72">
        <f>RSQ(AV349:AZ349,AV348:AZ348)</f>
        <v>3.0986787524075253E-3</v>
      </c>
      <c r="AJ349" s="110">
        <f>SLOPE(AV349:AZ349,AV348:AZ348)</f>
        <v>3.5771596236695868E-13</v>
      </c>
      <c r="AK349" s="72">
        <f>INTERCEPT(AV349:AZ349,AV348:AZ348)</f>
        <v>0.84297684878518164</v>
      </c>
      <c r="AL349" s="72">
        <f>INDEX(LINEST(LN(AV349:AZ349),LN(AV348:AZ348),TRUE,TRUE),3,1)</f>
        <v>0.10991248877450943</v>
      </c>
      <c r="AM349" s="72">
        <f>INDEX(LINEST(LN(AV349:AZ349),LN(AV348:AZ348)),1)</f>
        <v>-7.5328083028667666E-3</v>
      </c>
      <c r="AN349" s="72">
        <f>EXP(INDEX(LINEST(LN(AV349:AZ349),LN(AV348:AZ348)),1,2))</f>
        <v>0.98314242226785487</v>
      </c>
      <c r="AO349" s="89">
        <f>INDEX(LINEST((AV349:AZ349),LN(AV348:AZ348),TRUE,TRUE),3,1)</f>
        <v>0.11631188509292771</v>
      </c>
      <c r="AP349" s="89">
        <f>INDEX(LINEST((AV349:AZ349),LN(AV348:AZ348)),1)</f>
        <v>-6.6302358825121345E-3</v>
      </c>
      <c r="AQ349" s="90">
        <f>INDEX(LINEST(LN(AV349:AZ349),SQRT(AV348:AZ348),TRUE,TRUE),3,1)</f>
        <v>1.9547026688856938E-3</v>
      </c>
      <c r="AR349" s="117">
        <f>INDEX(LINEST(LN(AV349:AZ349),SQRT((AV348:AZ348))),1)</f>
        <v>-4.3148002452845808E-8</v>
      </c>
      <c r="AS349" s="91">
        <f>INDEX(LINEST(1/(AV349:AZ349),1/(SQRT(AV348:AZ348)),TRUE,TRUE),3,1)</f>
        <v>0.44309014789583995</v>
      </c>
      <c r="AT349" s="91">
        <f>INDEX(LINEST(1/(AV349:AZ349),1/SQRT(AV348:AZ348)),1)</f>
        <v>-928.02701018304992</v>
      </c>
      <c r="AU349" s="3"/>
      <c r="AV349" s="73">
        <v>0.9</v>
      </c>
      <c r="AW349" s="73">
        <v>0.84</v>
      </c>
      <c r="AX349" s="73">
        <v>0.82</v>
      </c>
      <c r="AY349" s="73">
        <v>0.81</v>
      </c>
      <c r="AZ349" s="73">
        <v>0.85</v>
      </c>
      <c r="BA349" s="53"/>
      <c r="BB349" s="53"/>
      <c r="BC349" s="53"/>
      <c r="BD349" s="53"/>
      <c r="BE349" s="53"/>
      <c r="BF349" s="53"/>
      <c r="BG349" s="53"/>
      <c r="BH349" s="53"/>
      <c r="BI349" s="53"/>
      <c r="BJ349" s="53"/>
      <c r="BK349" s="53"/>
      <c r="BL349" s="53"/>
      <c r="BM349" s="53"/>
      <c r="BN349" s="53"/>
      <c r="BO349" s="53"/>
      <c r="BP349" s="53"/>
      <c r="BQ349" s="53"/>
      <c r="BR349" s="53"/>
      <c r="BS349" s="53"/>
      <c r="BT349" s="53"/>
      <c r="BU349" s="53"/>
      <c r="BV349" s="53"/>
      <c r="BW349" s="53"/>
      <c r="BX349" s="53"/>
      <c r="BY349" s="53"/>
      <c r="BZ349" s="53"/>
      <c r="CA349" s="53"/>
      <c r="CB349" s="53"/>
      <c r="CC349" s="53"/>
      <c r="CD349" s="53"/>
      <c r="CE349" s="53"/>
      <c r="CF349" s="53"/>
      <c r="CG349" s="53"/>
      <c r="CH349" s="53"/>
      <c r="CI349" s="53"/>
      <c r="CJ349" s="53"/>
      <c r="CK349" s="53"/>
      <c r="CL349" s="53"/>
      <c r="CM349" s="53"/>
      <c r="CN349" s="53"/>
      <c r="CO349" s="53"/>
      <c r="CP349" s="53"/>
      <c r="CQ349" s="53"/>
      <c r="CR349" s="1"/>
      <c r="CS349" s="1"/>
      <c r="CT349" s="1"/>
      <c r="CU349" s="1"/>
    </row>
    <row r="350" spans="1:99" s="13" customFormat="1" ht="12" customHeight="1" x14ac:dyDescent="0.2">
      <c r="A350" s="68">
        <v>43509</v>
      </c>
      <c r="B350" s="70"/>
      <c r="C350" s="70"/>
      <c r="D350" s="69"/>
      <c r="E350" s="87"/>
      <c r="F350" s="69"/>
      <c r="G350" s="69"/>
      <c r="H350" s="69"/>
      <c r="I350" s="69"/>
      <c r="J350" s="69"/>
      <c r="K350" s="107"/>
      <c r="L350" s="107"/>
      <c r="M350" s="69"/>
      <c r="N350" s="69"/>
      <c r="O350" s="69"/>
      <c r="P350" s="69"/>
      <c r="Q350" s="69"/>
      <c r="R350" s="69"/>
      <c r="S350" s="69"/>
      <c r="T350" s="69"/>
      <c r="U350" s="60"/>
      <c r="V350" s="69"/>
      <c r="W350" s="69"/>
      <c r="X350" s="69"/>
      <c r="Y350" s="87"/>
      <c r="Z350" s="69"/>
      <c r="AA350" s="69"/>
      <c r="AB350" s="69"/>
      <c r="AC350" s="69"/>
      <c r="AD350" s="69"/>
      <c r="AE350" s="69"/>
      <c r="AF350" s="88"/>
      <c r="AG350" s="72"/>
      <c r="AH350" s="4"/>
      <c r="AI350" s="72"/>
      <c r="AJ350" s="110"/>
      <c r="AK350" s="72"/>
      <c r="AL350" s="72"/>
      <c r="AM350" s="72"/>
      <c r="AN350" s="72"/>
      <c r="AO350" s="72"/>
      <c r="AP350" s="72"/>
      <c r="AQ350" s="89"/>
      <c r="AR350" s="118"/>
      <c r="AS350" s="89"/>
      <c r="AT350" s="89"/>
      <c r="AU350" s="4"/>
      <c r="AV350" s="71">
        <f>24*60*60</f>
        <v>86400</v>
      </c>
      <c r="AW350" s="71">
        <f>30*24*60*60*0.467</f>
        <v>1210464</v>
      </c>
      <c r="AX350" s="71">
        <f>11*7*24*60*60</f>
        <v>6652800</v>
      </c>
      <c r="AY350" s="53"/>
      <c r="AZ350" s="53"/>
      <c r="BA350" s="53"/>
      <c r="BB350" s="53"/>
      <c r="BC350" s="53"/>
      <c r="BD350" s="53"/>
      <c r="BE350" s="53"/>
      <c r="BF350" s="53"/>
      <c r="BG350" s="53"/>
      <c r="BH350" s="53"/>
      <c r="BI350" s="53"/>
      <c r="BJ350" s="53"/>
      <c r="BK350" s="53"/>
      <c r="BL350" s="53"/>
      <c r="BM350" s="53"/>
      <c r="BN350" s="53"/>
      <c r="BO350" s="53"/>
      <c r="BP350" s="53"/>
      <c r="BQ350" s="53"/>
      <c r="BR350" s="53"/>
      <c r="BS350" s="53"/>
      <c r="BT350" s="53"/>
      <c r="BU350" s="53"/>
      <c r="BV350" s="53"/>
      <c r="BW350" s="53"/>
      <c r="BX350" s="53"/>
      <c r="BY350" s="53"/>
      <c r="BZ350" s="53"/>
      <c r="CA350" s="53"/>
      <c r="CB350" s="53"/>
      <c r="CC350" s="53"/>
      <c r="CD350" s="53"/>
      <c r="CE350" s="53"/>
      <c r="CF350" s="53"/>
      <c r="CG350" s="53"/>
      <c r="CH350" s="53"/>
      <c r="CI350" s="53"/>
      <c r="CJ350" s="53"/>
      <c r="CK350" s="53"/>
      <c r="CL350" s="53"/>
      <c r="CM350" s="53"/>
      <c r="CN350" s="53"/>
      <c r="CO350" s="53"/>
      <c r="CP350" s="53"/>
      <c r="CQ350" s="53"/>
      <c r="CR350" s="1"/>
      <c r="CS350" s="1"/>
      <c r="CT350" s="1"/>
      <c r="CU350" s="1"/>
    </row>
    <row r="351" spans="1:99" s="13" customFormat="1" ht="12" customHeight="1" x14ac:dyDescent="0.2">
      <c r="A351" s="68">
        <v>43509</v>
      </c>
      <c r="B351" s="70" t="s">
        <v>196</v>
      </c>
      <c r="C351" s="70" t="s">
        <v>70</v>
      </c>
      <c r="D351" s="69">
        <v>2006</v>
      </c>
      <c r="E351" s="87">
        <v>1</v>
      </c>
      <c r="F351" s="69">
        <v>13</v>
      </c>
      <c r="G351" s="69">
        <v>13</v>
      </c>
      <c r="H351" s="69" t="s">
        <v>30</v>
      </c>
      <c r="I351" s="69" t="s">
        <v>811</v>
      </c>
      <c r="J351" s="69" t="s">
        <v>704</v>
      </c>
      <c r="K351" s="69">
        <f>IF(J351="syllables",1,IF(J351="trigrams",2,IF(J351="strings",3,IF(J351="visual array",4,IF(J351="characters",5,IF(J351="letters",6,IF(J351="free forms",7,IF(J351="odors",8,IF(J351="words",9,IF(J351="pictures",10,IF(J351="object pictures",11,IF(J351="faces",12,IF(J351="names",13,IF(J351="idioms",14,IF(J351="grades",15,IF(J351="syllable-digit pairs",16,IF(J351="trigram-word pairs",17,IF(J351="word-digit pairs",18,IF(J351="English-Swahili pairs",19,IF(J351="spatial position",20,IF(J351="word pairs",21,IF(J351="word triads",22,IF(J351="generated words",23,IF(J351="word definition pairs",24,IF(J351="math problems",25,IF(J351="famous faces",26,IF(J351="famous names",27,IF(J351="famous voices",28,IF(J351="television programs",29,IF(J351="race horses",30,IF(J351="new vocabulary",31,IF(J351="sentences",32,IF(J351="concepts",33,IF(J351="ad slides",34,IF(J351="scenes",35,IF(J351="famous scenes",36,IF(J351="poems",37,IF(J351="walk",38,IF(J351="faces and events",39,IF(J351="events and names",40,IF(J351="flashbulb",41,IF(J351="stories",42,IF(J351="course material",43,IF(J351="autobiographical",44,IF(J351="novels",45,IF(J351="public events",46,"99"))))))))))))))))))))))))))))))))))))))))))))))</f>
        <v>41</v>
      </c>
      <c r="L351" s="69">
        <f>IF(J351="syllables",1,IF(J351="trigrams",1,IF(J351="strings",1,IF(J351="visual array",1,IF(J351="characters",1,IF(J351="letters",1,IF(J351="free forms",1,IF(J351="odors",2,IF(J351="words",2,IF(J351="pictures",2,IF(J351="object pictures",2,IF(J351="faces",2,IF(J351="names",2,IF(J351="idioms","2",IF(J351="grades",2,IF(J351="syllable-digit pairs",3,IF(J351="trigram-word pairs",3,IF(J351="word-digit pairs",3,IF(J351="English-Swahili pairs",3,IF(J351="spatial position",3,IF(J351="word pairs",4,IF(J351="word triads",4,IF(J351="generated words",4,IF(J351="word definition pairs",4,IF(J351="math problems",4,IF(J351="famous faces",4,IF(J351="famous names",4,IF(J351="famous voices",4,IF(J351="television programs",4,IF(J351="race horses",4,IF(J351="new vocabulary",4,IF(J351="sentences",5,IF(J351="concepts",5,IF(J351="ad slides",5,IF(J351="scenes",5,IF(J351="famous scenes",5,IF(J351="poems",6,IF(J351="walk",6,IF(J351="faces and events",6,IF(J351="events and names",6,IF(J351="flashbulb",7,IF(J351="stories",7,IF(J351="course material",7,IF(J351="autobiographical",7,IF(J351="novels",7,IF(J351="public events",7,"99"))))))))))))))))))))))))))))))))))))))))))))))</f>
        <v>7</v>
      </c>
      <c r="M351" s="69">
        <v>1</v>
      </c>
      <c r="N351" s="69">
        <v>4</v>
      </c>
      <c r="O351" s="69">
        <v>0</v>
      </c>
      <c r="P351" s="69"/>
      <c r="Q351" s="69" t="s">
        <v>174</v>
      </c>
      <c r="R351" s="69">
        <f>IF(Q351="Free Recall",1,IF(Q351="Cued Recall",2,IF(Q351="Recognition",3,IF(Q351="Multiple Choice",4,IF(Q351="Savings",5,IF(Q351="Stem Completion",6,IF(Q351="Fragment Completion",7,IF(Q351="anagram solution",8,IF(Q351="Matching",9,IF(Q351="Problem Solving",10,"99"))))))))))</f>
        <v>1</v>
      </c>
      <c r="S351" s="69" t="s">
        <v>49</v>
      </c>
      <c r="T351" s="92" t="s">
        <v>581</v>
      </c>
      <c r="U351" s="60">
        <f>IF(T351="within",1,0)</f>
        <v>1</v>
      </c>
      <c r="V351" s="92">
        <v>3</v>
      </c>
      <c r="W351" s="69">
        <f>F351*V351</f>
        <v>39</v>
      </c>
      <c r="X351" s="69">
        <v>3</v>
      </c>
      <c r="Y351" s="87">
        <f>AV350</f>
        <v>86400</v>
      </c>
      <c r="Z351" s="69" t="s">
        <v>530</v>
      </c>
      <c r="AA351" s="87">
        <f>11*7*24*60*60</f>
        <v>6652800</v>
      </c>
      <c r="AB351" s="69" t="str">
        <f>IF(AA351&lt;60,"1",IF(AA351&lt;=43200,"2",IF(AA351&lt;=777600,"3","4")))</f>
        <v>4</v>
      </c>
      <c r="AC351" s="72">
        <f>AVERAGE(AV350:DA350)</f>
        <v>2649888</v>
      </c>
      <c r="AD351" s="69" t="str">
        <f>IF(AC351&lt;60,"1",IF(AC351&lt;=43200,"2",IF(AC351&lt;=777600,"3","4")))</f>
        <v>4</v>
      </c>
      <c r="AE351" s="87">
        <f>AA351-Y351</f>
        <v>6566400</v>
      </c>
      <c r="AF351" s="88">
        <f>AV351</f>
        <v>1</v>
      </c>
      <c r="AG351" s="72">
        <f>((AW351-AV351)+(AX351-AW351))/2</f>
        <v>-5.7499999999999996E-2</v>
      </c>
      <c r="AH351" s="4"/>
      <c r="AI351" s="72">
        <f>RSQ(AV351:AX351,AV350:AX350)</f>
        <v>0.72123585241556276</v>
      </c>
      <c r="AJ351" s="110">
        <f>SLOPE(AV351:AX351,AV350:AX350)</f>
        <v>-1.4168859068294758E-8</v>
      </c>
      <c r="AK351" s="72">
        <f>INTERCEPT(AV351:AX351,AV350:AX350)</f>
        <v>0.97354588961876543</v>
      </c>
      <c r="AL351" s="72">
        <f>INDEX(LINEST(LN(AV351:AX351),LN(AV350:AX350),TRUE,TRUE),3,1)</f>
        <v>0.99705011781752595</v>
      </c>
      <c r="AM351" s="72">
        <f>INDEX(LINEST(LN(AV351:AX351),LN(AV350:AX350)),1)</f>
        <v>-2.8316122209775682E-2</v>
      </c>
      <c r="AN351" s="72">
        <f>EXP(INDEX(LINEST(LN(AV351:AX351),LN(AV350:AX350)),1,2))</f>
        <v>1.3776054272972009</v>
      </c>
      <c r="AO351" s="89">
        <f>INDEX(LINEST((AV351:AX351),LN(AV350:AX350),TRUE,TRUE),3,1)</f>
        <v>0.9951616711057929</v>
      </c>
      <c r="AP351" s="89">
        <f>INDEX(LINEST((AV351:AX351),LN(AV350:AX350)),1)</f>
        <v>-2.6706079910039749E-2</v>
      </c>
      <c r="AQ351" s="90">
        <f>INDEX(LINEST(LN(AV351:AX351),SQRT(AV350:AX350),TRUE,TRUE),3,1)</f>
        <v>0.88470406692412251</v>
      </c>
      <c r="AR351" s="117">
        <f>INDEX(LINEST(LN(AV351:AX351),SQRT((AV350:AX350))),1)</f>
        <v>-5.0366047579676756E-5</v>
      </c>
      <c r="AS351" s="91">
        <f>INDEX(LINEST(1/(AV351:AX351),1/(SQRT(AV350:AX350)),TRUE,TRUE),3,1)</f>
        <v>0.96107106985339807</v>
      </c>
      <c r="AT351" s="91">
        <f>INDEX(LINEST(1/(AV351:AX351),1/SQRT(AV350:AX350)),1)</f>
        <v>-40.062715685617007</v>
      </c>
      <c r="AU351" s="3"/>
      <c r="AV351" s="73">
        <v>1</v>
      </c>
      <c r="AW351" s="73">
        <v>0.92300000000000004</v>
      </c>
      <c r="AX351" s="73">
        <v>0.88500000000000001</v>
      </c>
      <c r="AY351" s="53"/>
      <c r="AZ351" s="53"/>
      <c r="BA351" s="53"/>
      <c r="BB351" s="53"/>
      <c r="BC351" s="53"/>
      <c r="BD351" s="53"/>
      <c r="BE351" s="53"/>
      <c r="BF351" s="53"/>
      <c r="BG351" s="53"/>
      <c r="BH351" s="53"/>
      <c r="BI351" s="53"/>
      <c r="BJ351" s="53"/>
      <c r="BK351" s="53"/>
      <c r="BL351" s="53"/>
      <c r="BM351" s="53"/>
      <c r="BN351" s="53"/>
      <c r="BO351" s="53"/>
      <c r="BP351" s="53"/>
      <c r="BQ351" s="53"/>
      <c r="BR351" s="53"/>
      <c r="BS351" s="53"/>
      <c r="BT351" s="53"/>
      <c r="BU351" s="53"/>
      <c r="BV351" s="53"/>
      <c r="BW351" s="53"/>
      <c r="BX351" s="53"/>
      <c r="BY351" s="53"/>
      <c r="BZ351" s="53"/>
      <c r="CA351" s="53"/>
      <c r="CB351" s="53"/>
      <c r="CC351" s="53"/>
      <c r="CD351" s="53"/>
      <c r="CE351" s="53"/>
      <c r="CF351" s="53"/>
      <c r="CG351" s="53"/>
      <c r="CH351" s="53"/>
      <c r="CI351" s="53"/>
      <c r="CJ351" s="53"/>
      <c r="CK351" s="53"/>
      <c r="CL351" s="53"/>
      <c r="CM351" s="53"/>
      <c r="CN351" s="53"/>
      <c r="CO351" s="53"/>
      <c r="CP351" s="53"/>
      <c r="CQ351" s="53"/>
      <c r="CR351" s="1"/>
      <c r="CS351" s="1"/>
      <c r="CT351" s="1"/>
      <c r="CU351" s="1"/>
    </row>
    <row r="352" spans="1:99" s="13" customFormat="1" ht="12" customHeight="1" x14ac:dyDescent="0.2">
      <c r="A352" s="68">
        <v>43509</v>
      </c>
      <c r="B352" s="70"/>
      <c r="C352" s="70"/>
      <c r="D352" s="69"/>
      <c r="E352" s="87"/>
      <c r="F352" s="69"/>
      <c r="G352" s="69"/>
      <c r="H352" s="69"/>
      <c r="I352" s="69"/>
      <c r="J352" s="69"/>
      <c r="K352" s="107"/>
      <c r="L352" s="107"/>
      <c r="M352" s="69"/>
      <c r="N352" s="69"/>
      <c r="O352" s="69"/>
      <c r="P352" s="69"/>
      <c r="Q352" s="69"/>
      <c r="R352" s="69"/>
      <c r="S352" s="69"/>
      <c r="T352" s="69"/>
      <c r="U352" s="60"/>
      <c r="V352" s="69"/>
      <c r="W352" s="69"/>
      <c r="X352" s="69"/>
      <c r="Y352" s="87"/>
      <c r="Z352" s="69"/>
      <c r="AA352" s="69"/>
      <c r="AB352" s="69"/>
      <c r="AC352" s="69"/>
      <c r="AD352" s="69"/>
      <c r="AE352" s="69"/>
      <c r="AF352" s="88"/>
      <c r="AG352" s="72"/>
      <c r="AH352" s="4"/>
      <c r="AI352" s="72"/>
      <c r="AJ352" s="110"/>
      <c r="AK352" s="72"/>
      <c r="AL352" s="72"/>
      <c r="AM352" s="72"/>
      <c r="AN352" s="72"/>
      <c r="AO352" s="72"/>
      <c r="AP352" s="72"/>
      <c r="AQ352" s="89"/>
      <c r="AR352" s="118"/>
      <c r="AS352" s="89"/>
      <c r="AT352" s="89"/>
      <c r="AU352" s="4"/>
      <c r="AV352" s="71">
        <f>24*60*60</f>
        <v>86400</v>
      </c>
      <c r="AW352" s="71">
        <f>30*24*60*60*0.467</f>
        <v>1210464</v>
      </c>
      <c r="AX352" s="71">
        <f>11*7*24*60*60</f>
        <v>6652800</v>
      </c>
      <c r="AY352" s="53"/>
      <c r="AZ352" s="53"/>
      <c r="BA352" s="53"/>
      <c r="BB352" s="53"/>
      <c r="BC352" s="53"/>
      <c r="BD352" s="53"/>
      <c r="BE352" s="53"/>
      <c r="BF352" s="53"/>
      <c r="BG352" s="53"/>
      <c r="BH352" s="53"/>
      <c r="BI352" s="53"/>
      <c r="BJ352" s="53"/>
      <c r="BK352" s="53"/>
      <c r="BL352" s="53"/>
      <c r="BM352" s="53"/>
      <c r="BN352" s="53"/>
      <c r="BO352" s="53"/>
      <c r="BP352" s="53"/>
      <c r="BQ352" s="53"/>
      <c r="BR352" s="53"/>
      <c r="BS352" s="53"/>
      <c r="BT352" s="53"/>
      <c r="BU352" s="53"/>
      <c r="BV352" s="53"/>
      <c r="BW352" s="53"/>
      <c r="BX352" s="53"/>
      <c r="BY352" s="53"/>
      <c r="BZ352" s="53"/>
      <c r="CA352" s="53"/>
      <c r="CB352" s="53"/>
      <c r="CC352" s="53"/>
      <c r="CD352" s="53"/>
      <c r="CE352" s="53"/>
      <c r="CF352" s="53"/>
      <c r="CG352" s="53"/>
      <c r="CH352" s="53"/>
      <c r="CI352" s="53"/>
      <c r="CJ352" s="53"/>
      <c r="CK352" s="53"/>
      <c r="CL352" s="53"/>
      <c r="CM352" s="53"/>
      <c r="CN352" s="53"/>
      <c r="CO352" s="53"/>
      <c r="CP352" s="53"/>
      <c r="CQ352" s="53"/>
      <c r="CR352" s="1"/>
      <c r="CS352" s="1"/>
      <c r="CT352" s="1"/>
      <c r="CU352" s="1"/>
    </row>
    <row r="353" spans="1:99" s="13" customFormat="1" ht="12" customHeight="1" x14ac:dyDescent="0.2">
      <c r="A353" s="68">
        <v>43509</v>
      </c>
      <c r="B353" s="70" t="s">
        <v>196</v>
      </c>
      <c r="C353" s="70" t="s">
        <v>70</v>
      </c>
      <c r="D353" s="69">
        <v>2006</v>
      </c>
      <c r="E353" s="87">
        <v>1</v>
      </c>
      <c r="F353" s="69">
        <v>13</v>
      </c>
      <c r="G353" s="69">
        <v>13</v>
      </c>
      <c r="H353" s="69" t="s">
        <v>30</v>
      </c>
      <c r="I353" s="69" t="s">
        <v>811</v>
      </c>
      <c r="J353" s="69" t="s">
        <v>704</v>
      </c>
      <c r="K353" s="69">
        <f>IF(J353="syllables",1,IF(J353="trigrams",2,IF(J353="strings",3,IF(J353="visual array",4,IF(J353="characters",5,IF(J353="letters",6,IF(J353="free forms",7,IF(J353="odors",8,IF(J353="words",9,IF(J353="pictures",10,IF(J353="object pictures",11,IF(J353="faces",12,IF(J353="names",13,IF(J353="idioms",14,IF(J353="grades",15,IF(J353="syllable-digit pairs",16,IF(J353="trigram-word pairs",17,IF(J353="word-digit pairs",18,IF(J353="English-Swahili pairs",19,IF(J353="spatial position",20,IF(J353="word pairs",21,IF(J353="word triads",22,IF(J353="generated words",23,IF(J353="word definition pairs",24,IF(J353="math problems",25,IF(J353="famous faces",26,IF(J353="famous names",27,IF(J353="famous voices",28,IF(J353="television programs",29,IF(J353="race horses",30,IF(J353="new vocabulary",31,IF(J353="sentences",32,IF(J353="concepts",33,IF(J353="ad slides",34,IF(J353="scenes",35,IF(J353="famous scenes",36,IF(J353="poems",37,IF(J353="walk",38,IF(J353="faces and events",39,IF(J353="events and names",40,IF(J353="flashbulb",41,IF(J353="stories",42,IF(J353="course material",43,IF(J353="autobiographical",44,IF(J353="novels",45,IF(J353="public events",46,"99"))))))))))))))))))))))))))))))))))))))))))))))</f>
        <v>41</v>
      </c>
      <c r="L353" s="69">
        <f>IF(J353="syllables",1,IF(J353="trigrams",1,IF(J353="strings",1,IF(J353="visual array",1,IF(J353="characters",1,IF(J353="letters",1,IF(J353="free forms",1,IF(J353="odors",2,IF(J353="words",2,IF(J353="pictures",2,IF(J353="object pictures",2,IF(J353="faces",2,IF(J353="names",2,IF(J353="idioms","2",IF(J353="grades",2,IF(J353="syllable-digit pairs",3,IF(J353="trigram-word pairs",3,IF(J353="word-digit pairs",3,IF(J353="English-Swahili pairs",3,IF(J353="spatial position",3,IF(J353="word pairs",4,IF(J353="word triads",4,IF(J353="generated words",4,IF(J353="word definition pairs",4,IF(J353="math problems",4,IF(J353="famous faces",4,IF(J353="famous names",4,IF(J353="famous voices",4,IF(J353="television programs",4,IF(J353="race horses",4,IF(J353="new vocabulary",4,IF(J353="sentences",5,IF(J353="concepts",5,IF(J353="ad slides",5,IF(J353="scenes",5,IF(J353="famous scenes",5,IF(J353="poems",6,IF(J353="walk",6,IF(J353="faces and events",6,IF(J353="events and names",6,IF(J353="flashbulb",7,IF(J353="stories",7,IF(J353="course material",7,IF(J353="autobiographical",7,IF(J353="novels",7,IF(J353="public events",7,"99"))))))))))))))))))))))))))))))))))))))))))))))</f>
        <v>7</v>
      </c>
      <c r="M353" s="69">
        <v>1</v>
      </c>
      <c r="N353" s="69">
        <v>4</v>
      </c>
      <c r="O353" s="69">
        <v>0</v>
      </c>
      <c r="P353" s="69"/>
      <c r="Q353" s="69" t="s">
        <v>174</v>
      </c>
      <c r="R353" s="69">
        <f>IF(Q353="Free Recall",1,IF(Q353="Cued Recall",2,IF(Q353="Recognition",3,IF(Q353="Multiple Choice",4,IF(Q353="Savings",5,IF(Q353="Stem Completion",6,IF(Q353="Fragment Completion",7,IF(Q353="anagram solution",8,IF(Q353="Matching",9,IF(Q353="Problem Solving",10,"99"))))))))))</f>
        <v>1</v>
      </c>
      <c r="S353" s="69" t="s">
        <v>49</v>
      </c>
      <c r="T353" s="92" t="s">
        <v>581</v>
      </c>
      <c r="U353" s="60">
        <f>IF(T353="within",1,0)</f>
        <v>1</v>
      </c>
      <c r="V353" s="92">
        <v>2</v>
      </c>
      <c r="W353" s="69">
        <f>F353*V353</f>
        <v>26</v>
      </c>
      <c r="X353" s="69">
        <v>3</v>
      </c>
      <c r="Y353" s="87">
        <f>AV352</f>
        <v>86400</v>
      </c>
      <c r="Z353" s="69" t="s">
        <v>530</v>
      </c>
      <c r="AA353" s="87">
        <f>11*7*24*60*60</f>
        <v>6652800</v>
      </c>
      <c r="AB353" s="69" t="str">
        <f>IF(AA353&lt;60,"1",IF(AA353&lt;=43200,"2",IF(AA353&lt;=777600,"3","4")))</f>
        <v>4</v>
      </c>
      <c r="AC353" s="72">
        <f>AVERAGE(AV352:DA352)</f>
        <v>2649888</v>
      </c>
      <c r="AD353" s="69" t="str">
        <f>IF(AC353&lt;60,"1",IF(AC353&lt;=43200,"2",IF(AC353&lt;=777600,"3","4")))</f>
        <v>4</v>
      </c>
      <c r="AE353" s="87">
        <f>AA353-Y353</f>
        <v>6566400</v>
      </c>
      <c r="AF353" s="88">
        <f>AV353</f>
        <v>0.16700000000000001</v>
      </c>
      <c r="AG353" s="72">
        <f>((AW353-AV353)+(AX353-AW353))/2</f>
        <v>-1.2500000000000011E-2</v>
      </c>
      <c r="AH353" s="4"/>
      <c r="AI353" s="72">
        <f>RSQ(AV353:AX353,AV352:AX352)</f>
        <v>0.2921449890584924</v>
      </c>
      <c r="AJ353" s="110">
        <f>SLOPE(AV353:AX353,AV352:AX352)</f>
        <v>-9.308938971764464E-9</v>
      </c>
      <c r="AK353" s="72">
        <f>INTERCEPT(AV353:AX353,AV352:AX352)</f>
        <v>0.21333431234067768</v>
      </c>
      <c r="AL353" s="72">
        <f>INDEX(LINEST(LN(AV353:AX353),LN(AV352:AX352),TRUE,TRUE),3,1)</f>
        <v>2.0563014894878981E-2</v>
      </c>
      <c r="AM353" s="72">
        <f>INDEX(LINEST(LN(AV353:AX353),LN(AV352:AX352)),1)</f>
        <v>-2.0089188013380822E-2</v>
      </c>
      <c r="AN353" s="72">
        <f>EXP(INDEX(LINEST(LN(AV353:AX353),LN(AV352:AX352)),1,2))</f>
        <v>0.24050617148676021</v>
      </c>
      <c r="AO353" s="89">
        <f>INDEX(LINEST((AV353:AX353),LN(AV352:AX352),TRUE,TRUE),3,1)</f>
        <v>7.1113582866078216E-3</v>
      </c>
      <c r="AP353" s="89">
        <f>INDEX(LINEST((AV353:AX353),LN(AV352:AX352)),1)</f>
        <v>-2.3304744136828227E-3</v>
      </c>
      <c r="AQ353" s="90">
        <f>INDEX(LINEST(LN(AV353:AX353),SQRT(AV352:AX352),TRUE,TRUE),3,1)</f>
        <v>0.17834843670242029</v>
      </c>
      <c r="AR353" s="117">
        <f>INDEX(LINEST(LN(AV353:AX353),SQRT((AV352:AX352))),1)</f>
        <v>-1.1171647343505483E-4</v>
      </c>
      <c r="AS353" s="91">
        <f>INDEX(LINEST(1/(AV353:AX353),1/(SQRT(AV352:AX352)),TRUE,TRUE),3,1)</f>
        <v>6.9159680832878243E-4</v>
      </c>
      <c r="AT353" s="91">
        <f>INDEX(LINEST(1/(AV353:AX353),1/SQRT(AV352:AX352)),1)</f>
        <v>26.183908024876377</v>
      </c>
      <c r="AU353" s="3"/>
      <c r="AV353" s="73">
        <v>0.16700000000000001</v>
      </c>
      <c r="AW353" s="73">
        <v>0.25700000000000001</v>
      </c>
      <c r="AX353" s="73">
        <v>0.14199999999999999</v>
      </c>
      <c r="AY353" s="53"/>
      <c r="AZ353" s="53"/>
      <c r="BA353" s="53"/>
      <c r="BB353" s="53"/>
      <c r="BC353" s="53"/>
      <c r="BD353" s="53"/>
      <c r="BE353" s="53"/>
      <c r="BF353" s="53"/>
      <c r="BG353" s="53"/>
      <c r="BH353" s="53"/>
      <c r="BI353" s="53"/>
      <c r="BJ353" s="53"/>
      <c r="BK353" s="53"/>
      <c r="BL353" s="53"/>
      <c r="BM353" s="53"/>
      <c r="BN353" s="53"/>
      <c r="BO353" s="53"/>
      <c r="BP353" s="53"/>
      <c r="BQ353" s="53"/>
      <c r="BR353" s="53"/>
      <c r="BS353" s="53"/>
      <c r="BT353" s="53"/>
      <c r="BU353" s="53"/>
      <c r="BV353" s="53"/>
      <c r="BW353" s="53"/>
      <c r="BX353" s="53"/>
      <c r="BY353" s="53"/>
      <c r="BZ353" s="53"/>
      <c r="CA353" s="53"/>
      <c r="CB353" s="53"/>
      <c r="CC353" s="53"/>
      <c r="CD353" s="53"/>
      <c r="CE353" s="53"/>
      <c r="CF353" s="53"/>
      <c r="CG353" s="53"/>
      <c r="CH353" s="53"/>
      <c r="CI353" s="53"/>
      <c r="CJ353" s="53"/>
      <c r="CK353" s="53"/>
      <c r="CL353" s="53"/>
      <c r="CM353" s="53"/>
      <c r="CN353" s="53"/>
      <c r="CO353" s="53"/>
      <c r="CP353" s="53"/>
      <c r="CQ353" s="53"/>
      <c r="CR353" s="1"/>
      <c r="CS353" s="1"/>
      <c r="CT353" s="1"/>
      <c r="CU353" s="1"/>
    </row>
    <row r="354" spans="1:99" s="13" customFormat="1" ht="12" customHeight="1" x14ac:dyDescent="0.2">
      <c r="A354" s="68">
        <v>43509</v>
      </c>
      <c r="B354" s="70"/>
      <c r="C354" s="70"/>
      <c r="D354" s="69"/>
      <c r="E354" s="87"/>
      <c r="F354" s="69"/>
      <c r="G354" s="69"/>
      <c r="H354" s="69"/>
      <c r="I354" s="69"/>
      <c r="J354" s="69"/>
      <c r="K354" s="107"/>
      <c r="L354" s="107"/>
      <c r="M354" s="69"/>
      <c r="N354" s="69"/>
      <c r="O354" s="69"/>
      <c r="P354" s="69"/>
      <c r="Q354" s="69"/>
      <c r="R354" s="69"/>
      <c r="S354" s="69"/>
      <c r="T354" s="69"/>
      <c r="U354" s="60"/>
      <c r="V354" s="92"/>
      <c r="W354" s="69"/>
      <c r="X354" s="69"/>
      <c r="Y354" s="87"/>
      <c r="Z354" s="69"/>
      <c r="AA354" s="69"/>
      <c r="AB354" s="69"/>
      <c r="AC354" s="69"/>
      <c r="AD354" s="69"/>
      <c r="AE354" s="69"/>
      <c r="AF354" s="88"/>
      <c r="AG354" s="72"/>
      <c r="AH354" s="4"/>
      <c r="AI354" s="72"/>
      <c r="AJ354" s="110"/>
      <c r="AK354" s="72"/>
      <c r="AL354" s="72"/>
      <c r="AM354" s="72"/>
      <c r="AN354" s="72"/>
      <c r="AO354" s="72"/>
      <c r="AP354" s="72"/>
      <c r="AQ354" s="89"/>
      <c r="AR354" s="118"/>
      <c r="AS354" s="89"/>
      <c r="AT354" s="89"/>
      <c r="AU354" s="4"/>
      <c r="AV354" s="71">
        <f>24*60*60</f>
        <v>86400</v>
      </c>
      <c r="AW354" s="71">
        <f>30*24*60*60*1.4</f>
        <v>3628800</v>
      </c>
      <c r="AX354" s="71">
        <f>11*7*24*60*60</f>
        <v>6652800</v>
      </c>
      <c r="AY354" s="53"/>
      <c r="AZ354" s="53"/>
      <c r="BA354" s="53"/>
      <c r="BB354" s="53"/>
      <c r="BC354" s="53"/>
      <c r="BD354" s="53"/>
      <c r="BE354" s="53"/>
      <c r="BF354" s="53"/>
      <c r="BG354" s="53"/>
      <c r="BH354" s="53"/>
      <c r="BI354" s="53"/>
      <c r="BJ354" s="53"/>
      <c r="BK354" s="53"/>
      <c r="BL354" s="53"/>
      <c r="BM354" s="53"/>
      <c r="BN354" s="53"/>
      <c r="BO354" s="53"/>
      <c r="BP354" s="53"/>
      <c r="BQ354" s="53"/>
      <c r="BR354" s="53"/>
      <c r="BS354" s="53"/>
      <c r="BT354" s="53"/>
      <c r="BU354" s="53"/>
      <c r="BV354" s="53"/>
      <c r="BW354" s="53"/>
      <c r="BX354" s="53"/>
      <c r="BY354" s="53"/>
      <c r="BZ354" s="53"/>
      <c r="CA354" s="53"/>
      <c r="CB354" s="53"/>
      <c r="CC354" s="53"/>
      <c r="CD354" s="53"/>
      <c r="CE354" s="53"/>
      <c r="CF354" s="53"/>
      <c r="CG354" s="53"/>
      <c r="CH354" s="53"/>
      <c r="CI354" s="53"/>
      <c r="CJ354" s="53"/>
      <c r="CK354" s="53"/>
      <c r="CL354" s="53"/>
      <c r="CM354" s="53"/>
      <c r="CN354" s="53"/>
      <c r="CO354" s="53"/>
      <c r="CP354" s="53"/>
      <c r="CQ354" s="53"/>
      <c r="CR354" s="1"/>
      <c r="CS354" s="1"/>
      <c r="CT354" s="1"/>
      <c r="CU354" s="1"/>
    </row>
    <row r="355" spans="1:99" s="13" customFormat="1" ht="12" customHeight="1" x14ac:dyDescent="0.2">
      <c r="A355" s="68">
        <v>43509</v>
      </c>
      <c r="B355" s="70" t="s">
        <v>196</v>
      </c>
      <c r="C355" s="70" t="s">
        <v>70</v>
      </c>
      <c r="D355" s="69">
        <v>2006</v>
      </c>
      <c r="E355" s="87">
        <v>1</v>
      </c>
      <c r="F355" s="69">
        <v>20</v>
      </c>
      <c r="G355" s="69">
        <v>20</v>
      </c>
      <c r="H355" s="69" t="s">
        <v>30</v>
      </c>
      <c r="I355" s="69" t="s">
        <v>812</v>
      </c>
      <c r="J355" s="69" t="s">
        <v>704</v>
      </c>
      <c r="K355" s="69">
        <f>IF(J355="syllables",1,IF(J355="trigrams",2,IF(J355="strings",3,IF(J355="visual array",4,IF(J355="characters",5,IF(J355="letters",6,IF(J355="free forms",7,IF(J355="odors",8,IF(J355="words",9,IF(J355="pictures",10,IF(J355="object pictures",11,IF(J355="faces",12,IF(J355="names",13,IF(J355="idioms",14,IF(J355="grades",15,IF(J355="syllable-digit pairs",16,IF(J355="trigram-word pairs",17,IF(J355="word-digit pairs",18,IF(J355="English-Swahili pairs",19,IF(J355="spatial position",20,IF(J355="word pairs",21,IF(J355="word triads",22,IF(J355="generated words",23,IF(J355="word definition pairs",24,IF(J355="math problems",25,IF(J355="famous faces",26,IF(J355="famous names",27,IF(J355="famous voices",28,IF(J355="television programs",29,IF(J355="race horses",30,IF(J355="new vocabulary",31,IF(J355="sentences",32,IF(J355="concepts",33,IF(J355="ad slides",34,IF(J355="scenes",35,IF(J355="famous scenes",36,IF(J355="poems",37,IF(J355="walk",38,IF(J355="faces and events",39,IF(J355="events and names",40,IF(J355="flashbulb",41,IF(J355="stories",42,IF(J355="course material",43,IF(J355="autobiographical",44,IF(J355="novels",45,IF(J355="public events",46,"99"))))))))))))))))))))))))))))))))))))))))))))))</f>
        <v>41</v>
      </c>
      <c r="L355" s="69">
        <f>IF(J355="syllables",1,IF(J355="trigrams",1,IF(J355="strings",1,IF(J355="visual array",1,IF(J355="characters",1,IF(J355="letters",1,IF(J355="free forms",1,IF(J355="odors",2,IF(J355="words",2,IF(J355="pictures",2,IF(J355="object pictures",2,IF(J355="faces",2,IF(J355="names",2,IF(J355="idioms","2",IF(J355="grades",2,IF(J355="syllable-digit pairs",3,IF(J355="trigram-word pairs",3,IF(J355="word-digit pairs",3,IF(J355="English-Swahili pairs",3,IF(J355="spatial position",3,IF(J355="word pairs",4,IF(J355="word triads",4,IF(J355="generated words",4,IF(J355="word definition pairs",4,IF(J355="math problems",4,IF(J355="famous faces",4,IF(J355="famous names",4,IF(J355="famous voices",4,IF(J355="television programs",4,IF(J355="race horses",4,IF(J355="new vocabulary",4,IF(J355="sentences",5,IF(J355="concepts",5,IF(J355="ad slides",5,IF(J355="scenes",5,IF(J355="famous scenes",5,IF(J355="poems",6,IF(J355="walk",6,IF(J355="faces and events",6,IF(J355="events and names",6,IF(J355="flashbulb",7,IF(J355="stories",7,IF(J355="course material",7,IF(J355="autobiographical",7,IF(J355="novels",7,IF(J355="public events",7,"99"))))))))))))))))))))))))))))))))))))))))))))))</f>
        <v>7</v>
      </c>
      <c r="M355" s="69">
        <v>1</v>
      </c>
      <c r="N355" s="69">
        <v>4</v>
      </c>
      <c r="O355" s="69">
        <v>0</v>
      </c>
      <c r="P355" s="69"/>
      <c r="Q355" s="69" t="s">
        <v>174</v>
      </c>
      <c r="R355" s="69">
        <f>IF(Q355="Free Recall",1,IF(Q355="Cued Recall",2,IF(Q355="Recognition",3,IF(Q355="Multiple Choice",4,IF(Q355="Savings",5,IF(Q355="Stem Completion",6,IF(Q355="Fragment Completion",7,IF(Q355="anagram solution",8,IF(Q355="Matching",9,IF(Q355="Problem Solving",10,"99"))))))))))</f>
        <v>1</v>
      </c>
      <c r="S355" s="69" t="s">
        <v>49</v>
      </c>
      <c r="T355" s="92" t="s">
        <v>581</v>
      </c>
      <c r="U355" s="60">
        <f>IF(T355="within",1,0)</f>
        <v>1</v>
      </c>
      <c r="V355" s="92">
        <v>3</v>
      </c>
      <c r="W355" s="69">
        <f>F355*V355</f>
        <v>60</v>
      </c>
      <c r="X355" s="69">
        <v>3</v>
      </c>
      <c r="Y355" s="87">
        <f>AV354</f>
        <v>86400</v>
      </c>
      <c r="Z355" s="69" t="s">
        <v>530</v>
      </c>
      <c r="AA355" s="87">
        <f>11*7*24*60*60</f>
        <v>6652800</v>
      </c>
      <c r="AB355" s="69" t="str">
        <f>IF(AA355&lt;60,"1",IF(AA355&lt;=43200,"2",IF(AA355&lt;=777600,"3","4")))</f>
        <v>4</v>
      </c>
      <c r="AC355" s="72">
        <f>AVERAGE(AV354:DA354)</f>
        <v>3456000</v>
      </c>
      <c r="AD355" s="69" t="str">
        <f>IF(AC355&lt;60,"1",IF(AC355&lt;=43200,"2",IF(AC355&lt;=777600,"3","4")))</f>
        <v>4</v>
      </c>
      <c r="AE355" s="87">
        <f>AA355-Y355</f>
        <v>6566400</v>
      </c>
      <c r="AF355" s="88">
        <f>AV355</f>
        <v>0.86699999999999999</v>
      </c>
      <c r="AG355" s="72">
        <f>((AW355-AV355)+(AX355-AW355))/2</f>
        <v>-3.3499999999999974E-2</v>
      </c>
      <c r="AH355" s="4"/>
      <c r="AI355" s="72">
        <f>RSQ(AV355:AX355,AV354:AX354)</f>
        <v>0.94735632923904789</v>
      </c>
      <c r="AJ355" s="110">
        <f>SLOPE(AV355:AX355,AV354:AX354)</f>
        <v>-1.0314283703191779E-8</v>
      </c>
      <c r="AK355" s="72">
        <f>INTERCEPT(AV355:AX355,AV354:AX354)</f>
        <v>0.86364616447823073</v>
      </c>
      <c r="AL355" s="72">
        <f>INDEX(LINEST(LN(AV355:AX355),LN(AV354:AX354),TRUE,TRUE),3,1)</f>
        <v>0.98430232606696166</v>
      </c>
      <c r="AM355" s="72">
        <f>INDEX(LINEST(LN(AV355:AX355),LN(AV354:AX354)),1)</f>
        <v>-1.7590767303121063E-2</v>
      </c>
      <c r="AN355" s="72">
        <f>EXP(INDEX(LINEST(LN(AV355:AX355),LN(AV354:AX354)),1,2))</f>
        <v>1.059726476087322</v>
      </c>
      <c r="AO355" s="89">
        <f>INDEX(LINEST((AV355:AX355),LN(AV354:AX354),TRUE,TRUE),3,1)</f>
        <v>0.98628978198748896</v>
      </c>
      <c r="AP355" s="89">
        <f>INDEX(LINEST((AV355:AX355),LN(AV354:AX354)),1)</f>
        <v>-1.4702749905781617E-2</v>
      </c>
      <c r="AQ355" s="90">
        <f>INDEX(LINEST(LN(AV355:AX355),SQRT(AV354:AX354),TRUE,TRUE),3,1)</f>
        <v>0.99867249745409348</v>
      </c>
      <c r="AR355" s="117">
        <f>INDEX(LINEST(LN(AV355:AX355),SQRT((AV354:AX354))),1)</f>
        <v>-3.5498571668828172E-5</v>
      </c>
      <c r="AS355" s="91">
        <f>INDEX(LINEST(1/(AV355:AX355),1/(SQRT(AV354:AX354)),TRUE,TRUE),3,1)</f>
        <v>0.95114014695877958</v>
      </c>
      <c r="AT355" s="91">
        <f>INDEX(LINEST(1/(AV355:AX355),1/SQRT(AV354:AX354)),1)</f>
        <v>-28.639330020669149</v>
      </c>
      <c r="AU355" s="3"/>
      <c r="AV355" s="73">
        <v>0.86699999999999999</v>
      </c>
      <c r="AW355" s="73">
        <v>0.81699999999999995</v>
      </c>
      <c r="AX355" s="73">
        <v>0.8</v>
      </c>
      <c r="AY355" s="53"/>
      <c r="AZ355" s="53"/>
      <c r="BA355" s="53"/>
      <c r="BB355" s="53"/>
      <c r="BC355" s="53"/>
      <c r="BD355" s="53"/>
      <c r="BE355" s="53"/>
      <c r="BF355" s="53"/>
      <c r="BG355" s="53"/>
      <c r="BH355" s="53"/>
      <c r="BI355" s="53"/>
      <c r="BJ355" s="53"/>
      <c r="BK355" s="53"/>
      <c r="BL355" s="53"/>
      <c r="BM355" s="53"/>
      <c r="BN355" s="53"/>
      <c r="BO355" s="53"/>
      <c r="BP355" s="53"/>
      <c r="BQ355" s="53"/>
      <c r="BR355" s="53"/>
      <c r="BS355" s="53"/>
      <c r="BT355" s="53"/>
      <c r="BU355" s="53"/>
      <c r="BV355" s="53"/>
      <c r="BW355" s="53"/>
      <c r="BX355" s="53"/>
      <c r="BY355" s="53"/>
      <c r="BZ355" s="53"/>
      <c r="CA355" s="53"/>
      <c r="CB355" s="53"/>
      <c r="CC355" s="53"/>
      <c r="CD355" s="53"/>
      <c r="CE355" s="53"/>
      <c r="CF355" s="53"/>
      <c r="CG355" s="53"/>
      <c r="CH355" s="53"/>
      <c r="CI355" s="53"/>
      <c r="CJ355" s="53"/>
      <c r="CK355" s="53"/>
      <c r="CL355" s="53"/>
      <c r="CM355" s="53"/>
      <c r="CN355" s="53"/>
      <c r="CO355" s="53"/>
      <c r="CP355" s="53"/>
      <c r="CQ355" s="53"/>
      <c r="CR355" s="1"/>
      <c r="CS355" s="1"/>
      <c r="CT355" s="1"/>
      <c r="CU355" s="1"/>
    </row>
    <row r="356" spans="1:99" s="13" customFormat="1" ht="12" customHeight="1" x14ac:dyDescent="0.2">
      <c r="A356" s="68">
        <v>43509</v>
      </c>
      <c r="B356" s="70"/>
      <c r="C356" s="70"/>
      <c r="D356" s="69"/>
      <c r="E356" s="87"/>
      <c r="F356" s="69"/>
      <c r="G356" s="69"/>
      <c r="H356" s="69"/>
      <c r="I356" s="69"/>
      <c r="J356" s="69"/>
      <c r="K356" s="107"/>
      <c r="L356" s="107"/>
      <c r="M356" s="69"/>
      <c r="N356" s="69"/>
      <c r="O356" s="69"/>
      <c r="P356" s="69"/>
      <c r="Q356" s="69"/>
      <c r="R356" s="69"/>
      <c r="S356" s="69"/>
      <c r="T356" s="92"/>
      <c r="U356" s="60"/>
      <c r="V356" s="69"/>
      <c r="W356" s="69"/>
      <c r="X356" s="69"/>
      <c r="Y356" s="87"/>
      <c r="Z356" s="69"/>
      <c r="AA356" s="69"/>
      <c r="AB356" s="69"/>
      <c r="AC356" s="69"/>
      <c r="AD356" s="69"/>
      <c r="AE356" s="69"/>
      <c r="AF356" s="88"/>
      <c r="AG356" s="72"/>
      <c r="AH356" s="4"/>
      <c r="AI356" s="72"/>
      <c r="AJ356" s="110"/>
      <c r="AK356" s="72"/>
      <c r="AL356" s="72"/>
      <c r="AM356" s="72"/>
      <c r="AN356" s="72"/>
      <c r="AO356" s="72"/>
      <c r="AP356" s="72"/>
      <c r="AQ356" s="89"/>
      <c r="AR356" s="118"/>
      <c r="AS356" s="89"/>
      <c r="AT356" s="89"/>
      <c r="AU356" s="4"/>
      <c r="AV356" s="71">
        <f>24*60*60</f>
        <v>86400</v>
      </c>
      <c r="AW356" s="71">
        <f>30*24*60*60*1.4</f>
        <v>3628800</v>
      </c>
      <c r="AX356" s="71">
        <f>11*7*24*60*60</f>
        <v>6652800</v>
      </c>
      <c r="AY356" s="53"/>
      <c r="AZ356" s="53"/>
      <c r="BA356" s="53"/>
      <c r="BB356" s="53"/>
      <c r="BC356" s="53"/>
      <c r="BD356" s="53"/>
      <c r="BE356" s="53"/>
      <c r="BF356" s="53"/>
      <c r="BG356" s="53"/>
      <c r="BH356" s="53"/>
      <c r="BI356" s="53"/>
      <c r="BJ356" s="53"/>
      <c r="BK356" s="53"/>
      <c r="BL356" s="53"/>
      <c r="BM356" s="53"/>
      <c r="BN356" s="53"/>
      <c r="BO356" s="53"/>
      <c r="BP356" s="53"/>
      <c r="BQ356" s="53"/>
      <c r="BR356" s="53"/>
      <c r="BS356" s="53"/>
      <c r="BT356" s="53"/>
      <c r="BU356" s="53"/>
      <c r="BV356" s="53"/>
      <c r="BW356" s="53"/>
      <c r="BX356" s="53"/>
      <c r="BY356" s="53"/>
      <c r="BZ356" s="53"/>
      <c r="CA356" s="53"/>
      <c r="CB356" s="53"/>
      <c r="CC356" s="53"/>
      <c r="CD356" s="53"/>
      <c r="CE356" s="53"/>
      <c r="CF356" s="53"/>
      <c r="CG356" s="53"/>
      <c r="CH356" s="53"/>
      <c r="CI356" s="53"/>
      <c r="CJ356" s="53"/>
      <c r="CK356" s="53"/>
      <c r="CL356" s="53"/>
      <c r="CM356" s="53"/>
      <c r="CN356" s="53"/>
      <c r="CO356" s="53"/>
      <c r="CP356" s="53"/>
      <c r="CQ356" s="53"/>
      <c r="CR356" s="1"/>
      <c r="CS356" s="1"/>
      <c r="CT356" s="1"/>
      <c r="CU356" s="1"/>
    </row>
    <row r="357" spans="1:99" s="13" customFormat="1" ht="12" customHeight="1" x14ac:dyDescent="0.2">
      <c r="A357" s="68">
        <v>43509</v>
      </c>
      <c r="B357" s="70" t="s">
        <v>196</v>
      </c>
      <c r="C357" s="70" t="s">
        <v>70</v>
      </c>
      <c r="D357" s="69">
        <v>2006</v>
      </c>
      <c r="E357" s="87">
        <v>1</v>
      </c>
      <c r="F357" s="69">
        <v>20</v>
      </c>
      <c r="G357" s="69">
        <v>20</v>
      </c>
      <c r="H357" s="69" t="s">
        <v>30</v>
      </c>
      <c r="I357" s="69" t="s">
        <v>813</v>
      </c>
      <c r="J357" s="69" t="s">
        <v>704</v>
      </c>
      <c r="K357" s="69">
        <f>IF(J357="syllables",1,IF(J357="trigrams",2,IF(J357="strings",3,IF(J357="visual array",4,IF(J357="characters",5,IF(J357="letters",6,IF(J357="free forms",7,IF(J357="odors",8,IF(J357="words",9,IF(J357="pictures",10,IF(J357="object pictures",11,IF(J357="faces",12,IF(J357="names",13,IF(J357="idioms",14,IF(J357="grades",15,IF(J357="syllable-digit pairs",16,IF(J357="trigram-word pairs",17,IF(J357="word-digit pairs",18,IF(J357="English-Swahili pairs",19,IF(J357="spatial position",20,IF(J357="word pairs",21,IF(J357="word triads",22,IF(J357="generated words",23,IF(J357="word definition pairs",24,IF(J357="math problems",25,IF(J357="famous faces",26,IF(J357="famous names",27,IF(J357="famous voices",28,IF(J357="television programs",29,IF(J357="race horses",30,IF(J357="new vocabulary",31,IF(J357="sentences",32,IF(J357="concepts",33,IF(J357="ad slides",34,IF(J357="scenes",35,IF(J357="famous scenes",36,IF(J357="poems",37,IF(J357="walk",38,IF(J357="faces and events",39,IF(J357="events and names",40,IF(J357="flashbulb",41,IF(J357="stories",42,IF(J357="course material",43,IF(J357="autobiographical",44,IF(J357="novels",45,IF(J357="public events",46,"99"))))))))))))))))))))))))))))))))))))))))))))))</f>
        <v>41</v>
      </c>
      <c r="L357" s="69">
        <f>IF(J357="syllables",1,IF(J357="trigrams",1,IF(J357="strings",1,IF(J357="visual array",1,IF(J357="characters",1,IF(J357="letters",1,IF(J357="free forms",1,IF(J357="odors",2,IF(J357="words",2,IF(J357="pictures",2,IF(J357="object pictures",2,IF(J357="faces",2,IF(J357="names",2,IF(J357="idioms","2",IF(J357="grades",2,IF(J357="syllable-digit pairs",3,IF(J357="trigram-word pairs",3,IF(J357="word-digit pairs",3,IF(J357="English-Swahili pairs",3,IF(J357="spatial position",3,IF(J357="word pairs",4,IF(J357="word triads",4,IF(J357="generated words",4,IF(J357="word definition pairs",4,IF(J357="math problems",4,IF(J357="famous faces",4,IF(J357="famous names",4,IF(J357="famous voices",4,IF(J357="television programs",4,IF(J357="race horses",4,IF(J357="new vocabulary",4,IF(J357="sentences",5,IF(J357="concepts",5,IF(J357="ad slides",5,IF(J357="scenes",5,IF(J357="famous scenes",5,IF(J357="poems",6,IF(J357="walk",6,IF(J357="faces and events",6,IF(J357="events and names",6,IF(J357="flashbulb",7,IF(J357="stories",7,IF(J357="course material",7,IF(J357="autobiographical",7,IF(J357="novels",7,IF(J357="public events",7,"99"))))))))))))))))))))))))))))))))))))))))))))))</f>
        <v>7</v>
      </c>
      <c r="M357" s="69">
        <v>1</v>
      </c>
      <c r="N357" s="69">
        <v>4</v>
      </c>
      <c r="O357" s="69">
        <v>0</v>
      </c>
      <c r="P357" s="69"/>
      <c r="Q357" s="69" t="s">
        <v>174</v>
      </c>
      <c r="R357" s="69">
        <f>IF(Q357="Free Recall",1,IF(Q357="Cued Recall",2,IF(Q357="Recognition",3,IF(Q357="Multiple Choice",4,IF(Q357="Savings",5,IF(Q357="Stem Completion",6,IF(Q357="Fragment Completion",7,IF(Q357="anagram solution",8,IF(Q357="Matching",9,IF(Q357="Problem Solving",10,"99"))))))))))</f>
        <v>1</v>
      </c>
      <c r="S357" s="69" t="s">
        <v>49</v>
      </c>
      <c r="T357" s="92" t="s">
        <v>581</v>
      </c>
      <c r="U357" s="60">
        <f>IF(T357="within",1,0)</f>
        <v>1</v>
      </c>
      <c r="V357" s="92">
        <v>3</v>
      </c>
      <c r="W357" s="69">
        <f>F357*V357</f>
        <v>60</v>
      </c>
      <c r="X357" s="69">
        <v>3</v>
      </c>
      <c r="Y357" s="87">
        <f>AV356</f>
        <v>86400</v>
      </c>
      <c r="Z357" s="69" t="s">
        <v>530</v>
      </c>
      <c r="AA357" s="87">
        <f>11*7*24*60*60</f>
        <v>6652800</v>
      </c>
      <c r="AB357" s="69" t="str">
        <f>IF(AA357&lt;60,"1",IF(AA357&lt;=43200,"2",IF(AA357&lt;=777600,"3","4")))</f>
        <v>4</v>
      </c>
      <c r="AC357" s="72">
        <f>AVERAGE(AV356:DA356)</f>
        <v>3456000</v>
      </c>
      <c r="AD357" s="69" t="str">
        <f>IF(AC357&lt;60,"1",IF(AC357&lt;=43200,"2",IF(AC357&lt;=777600,"3","4")))</f>
        <v>4</v>
      </c>
      <c r="AE357" s="87">
        <f>AA357-Y357</f>
        <v>6566400</v>
      </c>
      <c r="AF357" s="88">
        <f>AV357</f>
        <v>0.433</v>
      </c>
      <c r="AG357" s="72">
        <f>((AW357-AV357)+(AX357-AW357))/2</f>
        <v>-4.1500000000000009E-2</v>
      </c>
      <c r="AH357" s="4"/>
      <c r="AI357" s="72">
        <f>RSQ(AV357:AX357,AV356:AX356)</f>
        <v>0.43012405316044344</v>
      </c>
      <c r="AJ357" s="110">
        <f>SLOPE(AV357:AX357,AV356:AX356)</f>
        <v>-1.2010001535744455E-8</v>
      </c>
      <c r="AK357" s="72">
        <f>INTERCEPT(AV357:AX357,AV356:AX356)</f>
        <v>0.45817323197419951</v>
      </c>
      <c r="AL357" s="72">
        <f>INDEX(LINEST(LN(AV357:AX357),LN(AV356:AX356),TRUE,TRUE),3,1)</f>
        <v>0.14969003472935691</v>
      </c>
      <c r="AM357" s="72">
        <f>INDEX(LINEST(LN(AV357:AX357),LN(AV356:AX356)),1)</f>
        <v>-2.4593365099385676E-2</v>
      </c>
      <c r="AN357" s="72">
        <f>EXP(INDEX(LINEST(LN(AV357:AX357),LN(AV356:AX356)),1,2))</f>
        <v>0.58452334969369024</v>
      </c>
      <c r="AO357" s="89">
        <f>INDEX(LINEST((AV357:AX357),LN(AV356:AX356),TRUE,TRUE),3,1)</f>
        <v>0.12836690254083791</v>
      </c>
      <c r="AP357" s="89">
        <f>INDEX(LINEST((AV357:AX357),LN(AV356:AX356)),1)</f>
        <v>-9.1661432399831773E-3</v>
      </c>
      <c r="AQ357" s="90">
        <f>INDEX(LINEST(LN(AV357:AX357),SQRT(AV356:AX356),TRUE,TRUE),3,1)</f>
        <v>0.2815546971439325</v>
      </c>
      <c r="AR357" s="117">
        <f>INDEX(LINEST(LN(AV357:AX357),SQRT((AV356:AX356))),1)</f>
        <v>-6.7574323588555406E-5</v>
      </c>
      <c r="AS357" s="91">
        <f>INDEX(LINEST(1/(AV357:AX357),1/(SQRT(AV356:AX356)),TRUE,TRUE),3,1)</f>
        <v>0.10957634565597517</v>
      </c>
      <c r="AT357" s="91">
        <f>INDEX(LINEST(1/(AV357:AX357),1/SQRT(AV356:AX356)),1)</f>
        <v>-72.793487921284367</v>
      </c>
      <c r="AU357" s="3"/>
      <c r="AV357" s="73">
        <v>0.433</v>
      </c>
      <c r="AW357" s="73">
        <v>0.46700000000000003</v>
      </c>
      <c r="AX357" s="73">
        <v>0.35</v>
      </c>
      <c r="AY357" s="53"/>
      <c r="AZ357" s="53"/>
      <c r="BA357" s="53"/>
      <c r="BB357" s="53"/>
      <c r="BC357" s="53"/>
      <c r="BD357" s="53"/>
      <c r="BE357" s="53"/>
      <c r="BF357" s="53"/>
      <c r="BG357" s="53"/>
      <c r="BH357" s="53"/>
      <c r="BI357" s="53"/>
      <c r="BJ357" s="53"/>
      <c r="BK357" s="53"/>
      <c r="BL357" s="53"/>
      <c r="BM357" s="53"/>
      <c r="BN357" s="53"/>
      <c r="BO357" s="53"/>
      <c r="BP357" s="53"/>
      <c r="BQ357" s="53"/>
      <c r="BR357" s="53"/>
      <c r="BS357" s="53"/>
      <c r="BT357" s="53"/>
      <c r="BU357" s="53"/>
      <c r="BV357" s="53"/>
      <c r="BW357" s="53"/>
      <c r="BX357" s="53"/>
      <c r="BY357" s="53"/>
      <c r="BZ357" s="53"/>
      <c r="CA357" s="53"/>
      <c r="CB357" s="53"/>
      <c r="CC357" s="53"/>
      <c r="CD357" s="53"/>
      <c r="CE357" s="53"/>
      <c r="CF357" s="53"/>
      <c r="CG357" s="53"/>
      <c r="CH357" s="53"/>
      <c r="CI357" s="53"/>
      <c r="CJ357" s="53"/>
      <c r="CK357" s="53"/>
      <c r="CL357" s="53"/>
      <c r="CM357" s="53"/>
      <c r="CN357" s="53"/>
      <c r="CO357" s="53"/>
      <c r="CP357" s="53"/>
      <c r="CQ357" s="53"/>
      <c r="CR357" s="1"/>
      <c r="CS357" s="1"/>
      <c r="CT357" s="1"/>
      <c r="CU357" s="1"/>
    </row>
    <row r="358" spans="1:99" s="13" customFormat="1" ht="12" customHeight="1" x14ac:dyDescent="0.2">
      <c r="A358" s="68">
        <v>43509</v>
      </c>
      <c r="B358" s="70"/>
      <c r="C358" s="70"/>
      <c r="D358" s="69"/>
      <c r="E358" s="87"/>
      <c r="F358" s="69"/>
      <c r="G358" s="69"/>
      <c r="H358" s="69"/>
      <c r="I358" s="69"/>
      <c r="J358" s="69"/>
      <c r="K358" s="107"/>
      <c r="L358" s="107"/>
      <c r="M358" s="69"/>
      <c r="N358" s="69"/>
      <c r="O358" s="69"/>
      <c r="P358" s="69"/>
      <c r="Q358" s="69"/>
      <c r="R358" s="69"/>
      <c r="S358" s="69"/>
      <c r="T358" s="69"/>
      <c r="U358" s="60"/>
      <c r="V358" s="69"/>
      <c r="W358" s="69"/>
      <c r="X358" s="69"/>
      <c r="Y358" s="87"/>
      <c r="Z358" s="69"/>
      <c r="AA358" s="69"/>
      <c r="AB358" s="69"/>
      <c r="AC358" s="69"/>
      <c r="AD358" s="69"/>
      <c r="AE358" s="69"/>
      <c r="AF358" s="88"/>
      <c r="AG358" s="72"/>
      <c r="AH358" s="4"/>
      <c r="AI358" s="72"/>
      <c r="AJ358" s="110"/>
      <c r="AK358" s="72"/>
      <c r="AL358" s="72"/>
      <c r="AM358" s="72"/>
      <c r="AN358" s="72"/>
      <c r="AO358" s="72"/>
      <c r="AP358" s="72"/>
      <c r="AQ358" s="89"/>
      <c r="AR358" s="118"/>
      <c r="AS358" s="89"/>
      <c r="AT358" s="89"/>
      <c r="AU358" s="4"/>
      <c r="AV358" s="71">
        <f>24*60*60</f>
        <v>86400</v>
      </c>
      <c r="AW358" s="71">
        <f>30*24*60*60*1.4</f>
        <v>3628800</v>
      </c>
      <c r="AX358" s="71">
        <f>11*7*24*60*60</f>
        <v>6652800</v>
      </c>
      <c r="AY358" s="53"/>
      <c r="AZ358" s="53"/>
      <c r="BA358" s="53"/>
      <c r="BB358" s="53"/>
      <c r="BC358" s="53"/>
      <c r="BD358" s="53"/>
      <c r="BE358" s="53"/>
      <c r="BF358" s="53"/>
      <c r="BG358" s="53"/>
      <c r="BH358" s="53"/>
      <c r="BI358" s="53"/>
      <c r="BJ358" s="53"/>
      <c r="BK358" s="53"/>
      <c r="BL358" s="53"/>
      <c r="BM358" s="53"/>
      <c r="BN358" s="53"/>
      <c r="BO358" s="53"/>
      <c r="BP358" s="53"/>
      <c r="BQ358" s="53"/>
      <c r="BR358" s="53"/>
      <c r="BS358" s="53"/>
      <c r="BT358" s="53"/>
      <c r="BU358" s="53"/>
      <c r="BV358" s="53"/>
      <c r="BW358" s="53"/>
      <c r="BX358" s="53"/>
      <c r="BY358" s="53"/>
      <c r="BZ358" s="53"/>
      <c r="CA358" s="53"/>
      <c r="CB358" s="53"/>
      <c r="CC358" s="53"/>
      <c r="CD358" s="53"/>
      <c r="CE358" s="53"/>
      <c r="CF358" s="53"/>
      <c r="CG358" s="53"/>
      <c r="CH358" s="53"/>
      <c r="CI358" s="53"/>
      <c r="CJ358" s="53"/>
      <c r="CK358" s="53"/>
      <c r="CL358" s="53"/>
      <c r="CM358" s="53"/>
      <c r="CN358" s="53"/>
      <c r="CO358" s="53"/>
      <c r="CP358" s="53"/>
      <c r="CQ358" s="53"/>
      <c r="CR358" s="1"/>
      <c r="CS358" s="1"/>
      <c r="CT358" s="1"/>
      <c r="CU358" s="1"/>
    </row>
    <row r="359" spans="1:99" s="13" customFormat="1" ht="12" customHeight="1" x14ac:dyDescent="0.2">
      <c r="A359" s="68">
        <v>43509</v>
      </c>
      <c r="B359" s="70" t="s">
        <v>196</v>
      </c>
      <c r="C359" s="70" t="s">
        <v>70</v>
      </c>
      <c r="D359" s="69">
        <v>2006</v>
      </c>
      <c r="E359" s="87">
        <v>1</v>
      </c>
      <c r="F359" s="69">
        <v>20</v>
      </c>
      <c r="G359" s="69">
        <v>20</v>
      </c>
      <c r="H359" s="69" t="s">
        <v>30</v>
      </c>
      <c r="I359" s="69" t="s">
        <v>814</v>
      </c>
      <c r="J359" s="69" t="s">
        <v>704</v>
      </c>
      <c r="K359" s="69">
        <f>IF(J359="syllables",1,IF(J359="trigrams",2,IF(J359="strings",3,IF(J359="visual array",4,IF(J359="characters",5,IF(J359="letters",6,IF(J359="free forms",7,IF(J359="odors",8,IF(J359="words",9,IF(J359="pictures",10,IF(J359="object pictures",11,IF(J359="faces",12,IF(J359="names",13,IF(J359="idioms",14,IF(J359="grades",15,IF(J359="syllable-digit pairs",16,IF(J359="trigram-word pairs",17,IF(J359="word-digit pairs",18,IF(J359="English-Swahili pairs",19,IF(J359="spatial position",20,IF(J359="word pairs",21,IF(J359="word triads",22,IF(J359="generated words",23,IF(J359="word definition pairs",24,IF(J359="math problems",25,IF(J359="famous faces",26,IF(J359="famous names",27,IF(J359="famous voices",28,IF(J359="television programs",29,IF(J359="race horses",30,IF(J359="new vocabulary",31,IF(J359="sentences",32,IF(J359="concepts",33,IF(J359="ad slides",34,IF(J359="scenes",35,IF(J359="famous scenes",36,IF(J359="poems",37,IF(J359="walk",38,IF(J359="faces and events",39,IF(J359="events and names",40,IF(J359="flashbulb",41,IF(J359="stories",42,IF(J359="course material",43,IF(J359="autobiographical",44,IF(J359="novels",45,IF(J359="public events",46,"99"))))))))))))))))))))))))))))))))))))))))))))))</f>
        <v>41</v>
      </c>
      <c r="L359" s="69">
        <f>IF(J359="syllables",1,IF(J359="trigrams",1,IF(J359="strings",1,IF(J359="visual array",1,IF(J359="characters",1,IF(J359="letters",1,IF(J359="free forms",1,IF(J359="odors",2,IF(J359="words",2,IF(J359="pictures",2,IF(J359="object pictures",2,IF(J359="faces",2,IF(J359="names",2,IF(J359="idioms","2",IF(J359="grades",2,IF(J359="syllable-digit pairs",3,IF(J359="trigram-word pairs",3,IF(J359="word-digit pairs",3,IF(J359="English-Swahili pairs",3,IF(J359="spatial position",3,IF(J359="word pairs",4,IF(J359="word triads",4,IF(J359="generated words",4,IF(J359="word definition pairs",4,IF(J359="math problems",4,IF(J359="famous faces",4,IF(J359="famous names",4,IF(J359="famous voices",4,IF(J359="television programs",4,IF(J359="race horses",4,IF(J359="new vocabulary",4,IF(J359="sentences",5,IF(J359="concepts",5,IF(J359="ad slides",5,IF(J359="scenes",5,IF(J359="famous scenes",5,IF(J359="poems",6,IF(J359="walk",6,IF(J359="faces and events",6,IF(J359="events and names",6,IF(J359="flashbulb",7,IF(J359="stories",7,IF(J359="course material",7,IF(J359="autobiographical",7,IF(J359="novels",7,IF(J359="public events",7,"99"))))))))))))))))))))))))))))))))))))))))))))))</f>
        <v>7</v>
      </c>
      <c r="M359" s="69">
        <v>1</v>
      </c>
      <c r="N359" s="69">
        <v>4</v>
      </c>
      <c r="O359" s="69">
        <v>0</v>
      </c>
      <c r="P359" s="69"/>
      <c r="Q359" s="69" t="s">
        <v>174</v>
      </c>
      <c r="R359" s="69">
        <f>IF(Q359="Free Recall",1,IF(Q359="Cued Recall",2,IF(Q359="Recognition",3,IF(Q359="Multiple Choice",4,IF(Q359="Savings",5,IF(Q359="Stem Completion",6,IF(Q359="Fragment Completion",7,IF(Q359="anagram solution",8,IF(Q359="Matching",9,IF(Q359="Problem Solving",10,"99"))))))))))</f>
        <v>1</v>
      </c>
      <c r="S359" s="69" t="s">
        <v>49</v>
      </c>
      <c r="T359" s="92" t="s">
        <v>581</v>
      </c>
      <c r="U359" s="60">
        <f>IF(T359="within",1,0)</f>
        <v>1</v>
      </c>
      <c r="V359" s="92">
        <v>2</v>
      </c>
      <c r="W359" s="69">
        <f>F359*V359</f>
        <v>40</v>
      </c>
      <c r="X359" s="69">
        <v>3</v>
      </c>
      <c r="Y359" s="87">
        <f>AV358</f>
        <v>86400</v>
      </c>
      <c r="Z359" s="69" t="s">
        <v>530</v>
      </c>
      <c r="AA359" s="87">
        <f>11*7*24*60*60</f>
        <v>6652800</v>
      </c>
      <c r="AB359" s="69" t="str">
        <f>IF(AA359&lt;60,"1",IF(AA359&lt;=43200,"2",IF(AA359&lt;=777600,"3","4")))</f>
        <v>4</v>
      </c>
      <c r="AC359" s="72">
        <f>AVERAGE(AV358:DA358)</f>
        <v>3456000</v>
      </c>
      <c r="AD359" s="69" t="str">
        <f>IF(AC359&lt;60,"1",IF(AC359&lt;=43200,"2",IF(AC359&lt;=777600,"3","4")))</f>
        <v>4</v>
      </c>
      <c r="AE359" s="87">
        <f>AA359-Y359</f>
        <v>6566400</v>
      </c>
      <c r="AF359" s="88">
        <f>AV359</f>
        <v>0.13300000000000001</v>
      </c>
      <c r="AG359" s="72">
        <f>((AW359-AV359)+(AX359-AW359))/2</f>
        <v>-2.5000000000000001E-2</v>
      </c>
      <c r="AH359" s="4"/>
      <c r="AI359" s="72">
        <f>RSQ(AV359:AX359,AV358:AX358)</f>
        <v>0.70957152729785766</v>
      </c>
      <c r="AJ359" s="110">
        <f>SLOPE(AV359:AX359,AV358:AX358)</f>
        <v>-7.3987688448642148E-9</v>
      </c>
      <c r="AK359" s="72">
        <f>INTERCEPT(AV359:AX359,AV358:AX358)</f>
        <v>0.14190347846118406</v>
      </c>
      <c r="AL359" s="72">
        <f>INDEX(LINEST(LN(AV359:AX359),LN(AV358:AX358),TRUE,TRUE),3,1)</f>
        <v>0.36893566764168001</v>
      </c>
      <c r="AM359" s="72">
        <f>INDEX(LINEST(LN(AV359:AX359),LN(AV358:AX358)),1)</f>
        <v>-7.0286212647664284E-2</v>
      </c>
      <c r="AN359" s="72">
        <f>EXP(INDEX(LINEST(LN(AV359:AX359),LN(AV358:AX358)),1,2))</f>
        <v>0.30534542952549376</v>
      </c>
      <c r="AO359" s="89">
        <f>INDEX(LINEST((AV359:AX359),LN(AV358:AX358),TRUE,TRUE),3,1)</f>
        <v>0.36893566764168007</v>
      </c>
      <c r="AP359" s="89">
        <f>INDEX(LINEST((AV359:AX359),LN(AV358:AX358)),1)</f>
        <v>-7.4533343092387516E-3</v>
      </c>
      <c r="AQ359" s="90">
        <f>INDEX(LINEST(LN(AV359:AX359),SQRT(AV358:AX358),TRUE,TRUE),3,1)</f>
        <v>0.52943277050772453</v>
      </c>
      <c r="AR359" s="117">
        <f>INDEX(LINEST(LN(AV359:AX359),SQRT((AV358:AX358))),1)</f>
        <v>-1.6868599848119406E-4</v>
      </c>
      <c r="AS359" s="91">
        <f>INDEX(LINEST(1/(AV359:AX359),1/(SQRT(AV358:AX358)),TRUE,TRUE),3,1)</f>
        <v>0.28570015746389432</v>
      </c>
      <c r="AT359" s="91">
        <f>INDEX(LINEST(1/(AV359:AX359),1/SQRT(AV358:AX358)),1)</f>
        <v>-821.19711949111922</v>
      </c>
      <c r="AU359" s="3"/>
      <c r="AV359" s="73">
        <v>0.13300000000000001</v>
      </c>
      <c r="AW359" s="73">
        <v>0.13300000000000001</v>
      </c>
      <c r="AX359" s="73">
        <v>8.3000000000000004E-2</v>
      </c>
      <c r="AY359" s="53"/>
      <c r="AZ359" s="53"/>
      <c r="BA359" s="53"/>
      <c r="BB359" s="53"/>
      <c r="BC359" s="53"/>
      <c r="BD359" s="53"/>
      <c r="BE359" s="53"/>
      <c r="BF359" s="53"/>
      <c r="BG359" s="53"/>
      <c r="BH359" s="53"/>
      <c r="BI359" s="53"/>
      <c r="BJ359" s="53"/>
      <c r="BK359" s="53"/>
      <c r="BL359" s="53"/>
      <c r="BM359" s="53"/>
      <c r="BN359" s="53"/>
      <c r="BO359" s="53"/>
      <c r="BP359" s="53"/>
      <c r="BQ359" s="53"/>
      <c r="BR359" s="53"/>
      <c r="BS359" s="53"/>
      <c r="BT359" s="53"/>
      <c r="BU359" s="53"/>
      <c r="BV359" s="53"/>
      <c r="BW359" s="53"/>
      <c r="BX359" s="53"/>
      <c r="BY359" s="53"/>
      <c r="BZ359" s="53"/>
      <c r="CA359" s="53"/>
      <c r="CB359" s="53"/>
      <c r="CC359" s="53"/>
      <c r="CD359" s="53"/>
      <c r="CE359" s="53"/>
      <c r="CF359" s="53"/>
      <c r="CG359" s="53"/>
      <c r="CH359" s="53"/>
      <c r="CI359" s="53"/>
      <c r="CJ359" s="53"/>
      <c r="CK359" s="53"/>
      <c r="CL359" s="53"/>
      <c r="CM359" s="53"/>
      <c r="CN359" s="53"/>
      <c r="CO359" s="53"/>
      <c r="CP359" s="53"/>
      <c r="CQ359" s="53"/>
      <c r="CR359" s="1"/>
      <c r="CS359" s="1"/>
      <c r="CT359" s="1"/>
      <c r="CU359" s="1"/>
    </row>
    <row r="360" spans="1:99" s="13" customFormat="1" ht="12" customHeight="1" x14ac:dyDescent="0.2">
      <c r="A360" s="68">
        <v>43509</v>
      </c>
      <c r="B360" s="70"/>
      <c r="C360" s="70"/>
      <c r="D360" s="69"/>
      <c r="E360" s="87"/>
      <c r="F360" s="69"/>
      <c r="G360" s="69"/>
      <c r="H360" s="69"/>
      <c r="I360" s="69"/>
      <c r="J360" s="69"/>
      <c r="K360" s="107"/>
      <c r="L360" s="107"/>
      <c r="M360" s="69"/>
      <c r="N360" s="69"/>
      <c r="O360" s="69"/>
      <c r="P360" s="69"/>
      <c r="Q360" s="69"/>
      <c r="R360" s="69"/>
      <c r="S360" s="69"/>
      <c r="T360" s="69"/>
      <c r="U360" s="60"/>
      <c r="V360" s="69"/>
      <c r="W360" s="69"/>
      <c r="X360" s="69"/>
      <c r="Y360" s="87"/>
      <c r="Z360" s="69"/>
      <c r="AA360" s="69"/>
      <c r="AB360" s="69"/>
      <c r="AC360" s="69"/>
      <c r="AD360" s="69"/>
      <c r="AE360" s="69"/>
      <c r="AF360" s="88"/>
      <c r="AG360" s="72"/>
      <c r="AH360" s="4"/>
      <c r="AI360" s="72"/>
      <c r="AJ360" s="110"/>
      <c r="AK360" s="72"/>
      <c r="AL360" s="72"/>
      <c r="AM360" s="72"/>
      <c r="AN360" s="72"/>
      <c r="AO360" s="72"/>
      <c r="AP360" s="72"/>
      <c r="AQ360" s="89"/>
      <c r="AR360" s="118"/>
      <c r="AS360" s="89"/>
      <c r="AT360" s="89"/>
      <c r="AU360" s="4"/>
      <c r="AV360" s="71">
        <f>24*60*60</f>
        <v>86400</v>
      </c>
      <c r="AW360" s="71">
        <f>30*24*60*60*1.4</f>
        <v>3628800</v>
      </c>
      <c r="AX360" s="71">
        <f>11*7*24*60*60</f>
        <v>6652800</v>
      </c>
      <c r="AY360" s="53"/>
      <c r="AZ360" s="53"/>
      <c r="BA360" s="53"/>
      <c r="BB360" s="53"/>
      <c r="BC360" s="53"/>
      <c r="BD360" s="53"/>
      <c r="BE360" s="53"/>
      <c r="BF360" s="53"/>
      <c r="BG360" s="53"/>
      <c r="BH360" s="53"/>
      <c r="BI360" s="53"/>
      <c r="BJ360" s="53"/>
      <c r="BK360" s="53"/>
      <c r="BL360" s="53"/>
      <c r="BM360" s="53"/>
      <c r="BN360" s="53"/>
      <c r="BO360" s="53"/>
      <c r="BP360" s="53"/>
      <c r="BQ360" s="53"/>
      <c r="BR360" s="53"/>
      <c r="BS360" s="53"/>
      <c r="BT360" s="53"/>
      <c r="BU360" s="53"/>
      <c r="BV360" s="53"/>
      <c r="BW360" s="53"/>
      <c r="BX360" s="53"/>
      <c r="BY360" s="53"/>
      <c r="BZ360" s="53"/>
      <c r="CA360" s="53"/>
      <c r="CB360" s="53"/>
      <c r="CC360" s="53"/>
      <c r="CD360" s="53"/>
      <c r="CE360" s="53"/>
      <c r="CF360" s="53"/>
      <c r="CG360" s="53"/>
      <c r="CH360" s="53"/>
      <c r="CI360" s="53"/>
      <c r="CJ360" s="53"/>
      <c r="CK360" s="53"/>
      <c r="CL360" s="53"/>
      <c r="CM360" s="53"/>
      <c r="CN360" s="53"/>
      <c r="CO360" s="53"/>
      <c r="CP360" s="53"/>
      <c r="CQ360" s="53"/>
      <c r="CR360" s="1"/>
      <c r="CS360" s="1"/>
      <c r="CT360" s="1"/>
      <c r="CU360" s="1"/>
    </row>
    <row r="361" spans="1:99" s="13" customFormat="1" ht="12" customHeight="1" x14ac:dyDescent="0.2">
      <c r="A361" s="68">
        <v>43509</v>
      </c>
      <c r="B361" s="70" t="s">
        <v>196</v>
      </c>
      <c r="C361" s="70" t="s">
        <v>70</v>
      </c>
      <c r="D361" s="69">
        <v>2006</v>
      </c>
      <c r="E361" s="87">
        <v>1</v>
      </c>
      <c r="F361" s="69">
        <v>20</v>
      </c>
      <c r="G361" s="69">
        <v>20</v>
      </c>
      <c r="H361" s="69" t="s">
        <v>30</v>
      </c>
      <c r="I361" s="69" t="s">
        <v>815</v>
      </c>
      <c r="J361" s="69" t="s">
        <v>704</v>
      </c>
      <c r="K361" s="69">
        <f>IF(J361="syllables",1,IF(J361="trigrams",2,IF(J361="strings",3,IF(J361="visual array",4,IF(J361="characters",5,IF(J361="letters",6,IF(J361="free forms",7,IF(J361="odors",8,IF(J361="words",9,IF(J361="pictures",10,IF(J361="object pictures",11,IF(J361="faces",12,IF(J361="names",13,IF(J361="idioms",14,IF(J361="grades",15,IF(J361="syllable-digit pairs",16,IF(J361="trigram-word pairs",17,IF(J361="word-digit pairs",18,IF(J361="English-Swahili pairs",19,IF(J361="spatial position",20,IF(J361="word pairs",21,IF(J361="word triads",22,IF(J361="generated words",23,IF(J361="word definition pairs",24,IF(J361="math problems",25,IF(J361="famous faces",26,IF(J361="famous names",27,IF(J361="famous voices",28,IF(J361="television programs",29,IF(J361="race horses",30,IF(J361="new vocabulary",31,IF(J361="sentences",32,IF(J361="concepts",33,IF(J361="ad slides",34,IF(J361="scenes",35,IF(J361="famous scenes",36,IF(J361="poems",37,IF(J361="walk",38,IF(J361="faces and events",39,IF(J361="events and names",40,IF(J361="flashbulb",41,IF(J361="stories",42,IF(J361="course material",43,IF(J361="autobiographical",44,IF(J361="novels",45,IF(J361="public events",46,"99"))))))))))))))))))))))))))))))))))))))))))))))</f>
        <v>41</v>
      </c>
      <c r="L361" s="69">
        <f>IF(J361="syllables",1,IF(J361="trigrams",1,IF(J361="strings",1,IF(J361="visual array",1,IF(J361="characters",1,IF(J361="letters",1,IF(J361="free forms",1,IF(J361="odors",2,IF(J361="words",2,IF(J361="pictures",2,IF(J361="object pictures",2,IF(J361="faces",2,IF(J361="names",2,IF(J361="idioms","2",IF(J361="grades",2,IF(J361="syllable-digit pairs",3,IF(J361="trigram-word pairs",3,IF(J361="word-digit pairs",3,IF(J361="English-Swahili pairs",3,IF(J361="spatial position",3,IF(J361="word pairs",4,IF(J361="word triads",4,IF(J361="generated words",4,IF(J361="word definition pairs",4,IF(J361="math problems",4,IF(J361="famous faces",4,IF(J361="famous names",4,IF(J361="famous voices",4,IF(J361="television programs",4,IF(J361="race horses",4,IF(J361="new vocabulary",4,IF(J361="sentences",5,IF(J361="concepts",5,IF(J361="ad slides",5,IF(J361="scenes",5,IF(J361="famous scenes",5,IF(J361="poems",6,IF(J361="walk",6,IF(J361="faces and events",6,IF(J361="events and names",6,IF(J361="flashbulb",7,IF(J361="stories",7,IF(J361="course material",7,IF(J361="autobiographical",7,IF(J361="novels",7,IF(J361="public events",7,"99"))))))))))))))))))))))))))))))))))))))))))))))</f>
        <v>7</v>
      </c>
      <c r="M361" s="69">
        <v>1</v>
      </c>
      <c r="N361" s="69">
        <v>4</v>
      </c>
      <c r="O361" s="69">
        <v>0</v>
      </c>
      <c r="P361" s="69"/>
      <c r="Q361" s="69" t="s">
        <v>174</v>
      </c>
      <c r="R361" s="69">
        <f>IF(Q361="Free Recall",1,IF(Q361="Cued Recall",2,IF(Q361="Recognition",3,IF(Q361="Multiple Choice",4,IF(Q361="Savings",5,IF(Q361="Stem Completion",6,IF(Q361="Fragment Completion",7,IF(Q361="anagram solution",8,IF(Q361="Matching",9,IF(Q361="Problem Solving",10,"99"))))))))))</f>
        <v>1</v>
      </c>
      <c r="S361" s="69" t="s">
        <v>49</v>
      </c>
      <c r="T361" s="92" t="s">
        <v>581</v>
      </c>
      <c r="U361" s="60">
        <f>IF(T361="within",1,0)</f>
        <v>1</v>
      </c>
      <c r="V361" s="92">
        <v>3</v>
      </c>
      <c r="W361" s="69">
        <f>F361*V361</f>
        <v>60</v>
      </c>
      <c r="X361" s="69">
        <v>3</v>
      </c>
      <c r="Y361" s="87">
        <f>AV360</f>
        <v>86400</v>
      </c>
      <c r="Z361" s="69" t="s">
        <v>530</v>
      </c>
      <c r="AA361" s="87">
        <f>11*7*24*60*60</f>
        <v>6652800</v>
      </c>
      <c r="AB361" s="69" t="str">
        <f>IF(AA361&lt;60,"1",IF(AA361&lt;=43200,"2",IF(AA361&lt;=777600,"3","4")))</f>
        <v>4</v>
      </c>
      <c r="AC361" s="72">
        <f>AVERAGE(AV360:DA360)</f>
        <v>3456000</v>
      </c>
      <c r="AD361" s="69" t="str">
        <f>IF(AC361&lt;60,"1",IF(AC361&lt;=43200,"2",IF(AC361&lt;=777600,"3","4")))</f>
        <v>4</v>
      </c>
      <c r="AE361" s="87">
        <f>AA361-Y361</f>
        <v>6566400</v>
      </c>
      <c r="AF361" s="88">
        <f>AV361</f>
        <v>0.95799999999999996</v>
      </c>
      <c r="AG361" s="72">
        <f>((AW361-AV361)+(AX361-AW361))/2</f>
        <v>-4.1499999999999981E-2</v>
      </c>
      <c r="AH361" s="4"/>
      <c r="AI361" s="72">
        <f>RSQ(AV361:AX361,AV360:AX360)</f>
        <v>0.85505211818267868</v>
      </c>
      <c r="AJ361" s="110">
        <f>SLOPE(AV361:AX361,AV360:AX360)</f>
        <v>-1.2881856459085203E-8</v>
      </c>
      <c r="AK361" s="72">
        <f>INTERCEPT(AV361:AX361,AV360:AX360)</f>
        <v>0.94985302925593185</v>
      </c>
      <c r="AL361" s="72">
        <f>INDEX(LINEST(LN(AV361:AX361),LN(AV360:AX360),TRUE,TRUE),3,1)</f>
        <v>0.99856673199237012</v>
      </c>
      <c r="AM361" s="72">
        <f>INDEX(LINEST(LN(AV361:AX361),LN(AV360:AX360)),1)</f>
        <v>-2.1197041933143659E-2</v>
      </c>
      <c r="AN361" s="72">
        <f>EXP(INDEX(LINEST(LN(AV361:AX361),LN(AV360:AX360)),1,2))</f>
        <v>1.21866109318462</v>
      </c>
      <c r="AO361" s="89">
        <f>INDEX(LINEST((AV361:AX361),LN(AV360:AX360),TRUE,TRUE),3,1)</f>
        <v>0.99826122256049976</v>
      </c>
      <c r="AP361" s="89">
        <f>INDEX(LINEST((AV361:AX361),LN(AV360:AX360)),1)</f>
        <v>-1.9445457850438847E-2</v>
      </c>
      <c r="AQ361" s="90">
        <f>INDEX(LINEST(LN(AV361:AX361),SQRT(AV360:AX360),TRUE,TRUE),3,1)</f>
        <v>0.96055734673267612</v>
      </c>
      <c r="AR361" s="117">
        <f>INDEX(LINEST(LN(AV361:AX361),SQRT((AV360:AX360))),1)</f>
        <v>-4.1651166361090354E-5</v>
      </c>
      <c r="AS361" s="91">
        <f>INDEX(LINEST(1/(AV361:AX361),1/(SQRT(AV360:AX360)),TRUE,TRUE),3,1)</f>
        <v>0.9969845045033694</v>
      </c>
      <c r="AT361" s="91">
        <f>INDEX(LINEST(1/(AV361:AX361),1/SQRT(AV360:AX360)),1)</f>
        <v>-31.926531477895903</v>
      </c>
      <c r="AU361" s="3"/>
      <c r="AV361" s="73">
        <v>0.95799999999999996</v>
      </c>
      <c r="AW361" s="73">
        <v>0.88300000000000001</v>
      </c>
      <c r="AX361" s="73">
        <v>0.875</v>
      </c>
      <c r="AY361" s="53"/>
      <c r="AZ361" s="53"/>
      <c r="BA361" s="53"/>
      <c r="BB361" s="53"/>
      <c r="BC361" s="53"/>
      <c r="BD361" s="53"/>
      <c r="BE361" s="53"/>
      <c r="BF361" s="53"/>
      <c r="BG361" s="53"/>
      <c r="BH361" s="53"/>
      <c r="BI361" s="53"/>
      <c r="BJ361" s="53"/>
      <c r="BK361" s="53"/>
      <c r="BL361" s="53"/>
      <c r="BM361" s="53"/>
      <c r="BN361" s="53"/>
      <c r="BO361" s="53"/>
      <c r="BP361" s="53"/>
      <c r="BQ361" s="53"/>
      <c r="BR361" s="53"/>
      <c r="BS361" s="53"/>
      <c r="BT361" s="53"/>
      <c r="BU361" s="53"/>
      <c r="BV361" s="53"/>
      <c r="BW361" s="53"/>
      <c r="BX361" s="53"/>
      <c r="BY361" s="53"/>
      <c r="BZ361" s="53"/>
      <c r="CA361" s="53"/>
      <c r="CB361" s="53"/>
      <c r="CC361" s="53"/>
      <c r="CD361" s="53"/>
      <c r="CE361" s="53"/>
      <c r="CF361" s="53"/>
      <c r="CG361" s="53"/>
      <c r="CH361" s="53"/>
      <c r="CI361" s="53"/>
      <c r="CJ361" s="53"/>
      <c r="CK361" s="53"/>
      <c r="CL361" s="53"/>
      <c r="CM361" s="53"/>
      <c r="CN361" s="53"/>
      <c r="CO361" s="53"/>
      <c r="CP361" s="53"/>
      <c r="CQ361" s="53"/>
      <c r="CR361" s="1"/>
      <c r="CS361" s="1"/>
      <c r="CT361" s="1"/>
      <c r="CU361" s="1"/>
    </row>
    <row r="362" spans="1:99" s="13" customFormat="1" ht="12" customHeight="1" x14ac:dyDescent="0.2">
      <c r="A362" s="68">
        <v>43509</v>
      </c>
      <c r="B362" s="70"/>
      <c r="C362" s="70"/>
      <c r="D362" s="69"/>
      <c r="E362" s="87"/>
      <c r="F362" s="69"/>
      <c r="G362" s="69"/>
      <c r="H362" s="69"/>
      <c r="I362" s="69"/>
      <c r="J362" s="69"/>
      <c r="K362" s="107"/>
      <c r="L362" s="107"/>
      <c r="M362" s="69"/>
      <c r="N362" s="69"/>
      <c r="O362" s="69"/>
      <c r="P362" s="69"/>
      <c r="Q362" s="69"/>
      <c r="R362" s="69"/>
      <c r="S362" s="69"/>
      <c r="T362" s="69"/>
      <c r="U362" s="60"/>
      <c r="V362" s="69"/>
      <c r="W362" s="69"/>
      <c r="X362" s="69"/>
      <c r="Y362" s="87"/>
      <c r="Z362" s="69"/>
      <c r="AA362" s="69"/>
      <c r="AB362" s="69"/>
      <c r="AC362" s="69"/>
      <c r="AD362" s="69"/>
      <c r="AE362" s="69"/>
      <c r="AF362" s="88"/>
      <c r="AG362" s="72"/>
      <c r="AH362" s="4"/>
      <c r="AI362" s="72"/>
      <c r="AJ362" s="110"/>
      <c r="AK362" s="72"/>
      <c r="AL362" s="72"/>
      <c r="AM362" s="72"/>
      <c r="AN362" s="72"/>
      <c r="AO362" s="72"/>
      <c r="AP362" s="72"/>
      <c r="AQ362" s="89"/>
      <c r="AR362" s="118"/>
      <c r="AS362" s="89"/>
      <c r="AT362" s="89"/>
      <c r="AU362" s="4"/>
      <c r="AV362" s="71">
        <f>24*60*60</f>
        <v>86400</v>
      </c>
      <c r="AW362" s="71">
        <f>30*24*60*60*1.4</f>
        <v>3628800</v>
      </c>
      <c r="AX362" s="71">
        <f>11*7*24*60*60</f>
        <v>6652800</v>
      </c>
      <c r="AY362" s="53"/>
      <c r="AZ362" s="53"/>
      <c r="BA362" s="53"/>
      <c r="BB362" s="53"/>
      <c r="BC362" s="53"/>
      <c r="BD362" s="53"/>
      <c r="BE362" s="53"/>
      <c r="BF362" s="53"/>
      <c r="BG362" s="53"/>
      <c r="BH362" s="53"/>
      <c r="BI362" s="53"/>
      <c r="BJ362" s="53"/>
      <c r="BK362" s="53"/>
      <c r="BL362" s="53"/>
      <c r="BM362" s="53"/>
      <c r="BN362" s="53"/>
      <c r="BO362" s="53"/>
      <c r="BP362" s="53"/>
      <c r="BQ362" s="53"/>
      <c r="BR362" s="53"/>
      <c r="BS362" s="53"/>
      <c r="BT362" s="53"/>
      <c r="BU362" s="53"/>
      <c r="BV362" s="53"/>
      <c r="BW362" s="53"/>
      <c r="BX362" s="53"/>
      <c r="BY362" s="53"/>
      <c r="BZ362" s="53"/>
      <c r="CA362" s="53"/>
      <c r="CB362" s="53"/>
      <c r="CC362" s="53"/>
      <c r="CD362" s="53"/>
      <c r="CE362" s="53"/>
      <c r="CF362" s="53"/>
      <c r="CG362" s="53"/>
      <c r="CH362" s="53"/>
      <c r="CI362" s="53"/>
      <c r="CJ362" s="53"/>
      <c r="CK362" s="53"/>
      <c r="CL362" s="53"/>
      <c r="CM362" s="53"/>
      <c r="CN362" s="53"/>
      <c r="CO362" s="53"/>
      <c r="CP362" s="53"/>
      <c r="CQ362" s="53"/>
      <c r="CR362" s="1"/>
      <c r="CS362" s="1"/>
      <c r="CT362" s="1"/>
      <c r="CU362" s="1"/>
    </row>
    <row r="363" spans="1:99" s="13" customFormat="1" ht="12" customHeight="1" x14ac:dyDescent="0.2">
      <c r="A363" s="68">
        <v>43509</v>
      </c>
      <c r="B363" s="70" t="s">
        <v>196</v>
      </c>
      <c r="C363" s="70" t="s">
        <v>70</v>
      </c>
      <c r="D363" s="69">
        <v>2006</v>
      </c>
      <c r="E363" s="87">
        <v>1</v>
      </c>
      <c r="F363" s="69">
        <v>20</v>
      </c>
      <c r="G363" s="69">
        <v>20</v>
      </c>
      <c r="H363" s="69" t="s">
        <v>30</v>
      </c>
      <c r="I363" s="69" t="s">
        <v>815</v>
      </c>
      <c r="J363" s="69" t="s">
        <v>704</v>
      </c>
      <c r="K363" s="69">
        <f>IF(J363="syllables",1,IF(J363="trigrams",2,IF(J363="strings",3,IF(J363="visual array",4,IF(J363="characters",5,IF(J363="letters",6,IF(J363="free forms",7,IF(J363="odors",8,IF(J363="words",9,IF(J363="pictures",10,IF(J363="object pictures",11,IF(J363="faces",12,IF(J363="names",13,IF(J363="idioms",14,IF(J363="grades",15,IF(J363="syllable-digit pairs",16,IF(J363="trigram-word pairs",17,IF(J363="word-digit pairs",18,IF(J363="English-Swahili pairs",19,IF(J363="spatial position",20,IF(J363="word pairs",21,IF(J363="word triads",22,IF(J363="generated words",23,IF(J363="word definition pairs",24,IF(J363="math problems",25,IF(J363="famous faces",26,IF(J363="famous names",27,IF(J363="famous voices",28,IF(J363="television programs",29,IF(J363="race horses",30,IF(J363="new vocabulary",31,IF(J363="sentences",32,IF(J363="concepts",33,IF(J363="ad slides",34,IF(J363="scenes",35,IF(J363="famous scenes",36,IF(J363="poems",37,IF(J363="walk",38,IF(J363="faces and events",39,IF(J363="events and names",40,IF(J363="flashbulb",41,IF(J363="stories",42,IF(J363="course material",43,IF(J363="autobiographical",44,IF(J363="novels",45,IF(J363="public events",46,"99"))))))))))))))))))))))))))))))))))))))))))))))</f>
        <v>41</v>
      </c>
      <c r="L363" s="69">
        <f>IF(J363="syllables",1,IF(J363="trigrams",1,IF(J363="strings",1,IF(J363="visual array",1,IF(J363="characters",1,IF(J363="letters",1,IF(J363="free forms",1,IF(J363="odors",2,IF(J363="words",2,IF(J363="pictures",2,IF(J363="object pictures",2,IF(J363="faces",2,IF(J363="names",2,IF(J363="idioms","2",IF(J363="grades",2,IF(J363="syllable-digit pairs",3,IF(J363="trigram-word pairs",3,IF(J363="word-digit pairs",3,IF(J363="English-Swahili pairs",3,IF(J363="spatial position",3,IF(J363="word pairs",4,IF(J363="word triads",4,IF(J363="generated words",4,IF(J363="word definition pairs",4,IF(J363="math problems",4,IF(J363="famous faces",4,IF(J363="famous names",4,IF(J363="famous voices",4,IF(J363="television programs",4,IF(J363="race horses",4,IF(J363="new vocabulary",4,IF(J363="sentences",5,IF(J363="concepts",5,IF(J363="ad slides",5,IF(J363="scenes",5,IF(J363="famous scenes",5,IF(J363="poems",6,IF(J363="walk",6,IF(J363="faces and events",6,IF(J363="events and names",6,IF(J363="flashbulb",7,IF(J363="stories",7,IF(J363="course material",7,IF(J363="autobiographical",7,IF(J363="novels",7,IF(J363="public events",7,"99"))))))))))))))))))))))))))))))))))))))))))))))</f>
        <v>7</v>
      </c>
      <c r="M363" s="69">
        <v>1</v>
      </c>
      <c r="N363" s="69">
        <v>4</v>
      </c>
      <c r="O363" s="69">
        <v>0</v>
      </c>
      <c r="P363" s="69"/>
      <c r="Q363" s="69" t="s">
        <v>174</v>
      </c>
      <c r="R363" s="69">
        <f>IF(Q363="Free Recall",1,IF(Q363="Cued Recall",2,IF(Q363="Recognition",3,IF(Q363="Multiple Choice",4,IF(Q363="Savings",5,IF(Q363="Stem Completion",6,IF(Q363="Fragment Completion",7,IF(Q363="anagram solution",8,IF(Q363="Matching",9,IF(Q363="Problem Solving",10,"99"))))))))))</f>
        <v>1</v>
      </c>
      <c r="S363" s="69" t="s">
        <v>49</v>
      </c>
      <c r="T363" s="92" t="s">
        <v>581</v>
      </c>
      <c r="U363" s="60">
        <f>IF(T363="within",1,0)</f>
        <v>1</v>
      </c>
      <c r="V363" s="92">
        <v>3</v>
      </c>
      <c r="W363" s="69">
        <f>F363*V363</f>
        <v>60</v>
      </c>
      <c r="X363" s="69">
        <v>3</v>
      </c>
      <c r="Y363" s="87">
        <f>AV362</f>
        <v>86400</v>
      </c>
      <c r="Z363" s="69" t="s">
        <v>530</v>
      </c>
      <c r="AA363" s="87">
        <f>11*7*24*60*60</f>
        <v>6652800</v>
      </c>
      <c r="AB363" s="69" t="str">
        <f>IF(AA363&lt;60,"1",IF(AA363&lt;=43200,"2",IF(AA363&lt;=777600,"3","4")))</f>
        <v>4</v>
      </c>
      <c r="AC363" s="72">
        <f>AVERAGE(AV362:DA362)</f>
        <v>3456000</v>
      </c>
      <c r="AD363" s="69" t="str">
        <f>IF(AC363&lt;60,"1",IF(AC363&lt;=43200,"2",IF(AC363&lt;=777600,"3","4")))</f>
        <v>4</v>
      </c>
      <c r="AE363" s="87">
        <f>AA363-Y363</f>
        <v>6566400</v>
      </c>
      <c r="AF363" s="88">
        <f>AV363</f>
        <v>0.56699999999999995</v>
      </c>
      <c r="AG363" s="72">
        <f>((AW363-AV363)+(AX363-AW363))/2</f>
        <v>-1.699999999999996E-2</v>
      </c>
      <c r="AH363" s="4"/>
      <c r="AI363" s="72">
        <f>RSQ(AV363:AX363,AV362:AX362)</f>
        <v>3.9858598197025648E-2</v>
      </c>
      <c r="AJ363" s="110">
        <f>SLOPE(AV363:AX363,AV362:AX362)</f>
        <v>-4.2312959123601711E-9</v>
      </c>
      <c r="AK363" s="72">
        <f>INTERCEPT(AV363:AX363,AV362:AX362)</f>
        <v>0.60362335867311667</v>
      </c>
      <c r="AL363" s="72">
        <f>INDEX(LINEST(LN(AV363:AX363),LN(AV362:AX362),TRUE,TRUE),3,1)</f>
        <v>1.534917344681825E-2</v>
      </c>
      <c r="AM363" s="72">
        <f>INDEX(LINEST(LN(AV363:AX363),LN(AV362:AX362)),1)</f>
        <v>6.1001670878660236E-3</v>
      </c>
      <c r="AN363" s="72">
        <f>EXP(INDEX(LINEST(LN(AV363:AX363),LN(AV362:AX362)),1,2))</f>
        <v>0.5381398356640692</v>
      </c>
      <c r="AO363" s="89">
        <f>INDEX(LINEST((AV363:AX363),LN(AV362:AX362),TRUE,TRUE),3,1)</f>
        <v>2.1705898634536178E-2</v>
      </c>
      <c r="AP363" s="89">
        <f>INDEX(LINEST((AV363:AX363),LN(AV362:AX362)),1)</f>
        <v>4.3622965325210488E-3</v>
      </c>
      <c r="AQ363" s="90">
        <f>INDEX(LINEST(LN(AV363:AX363),SQRT(AV362:AX362),TRUE,TRUE),3,1)</f>
        <v>1.4321302082853306E-3</v>
      </c>
      <c r="AR363" s="117">
        <f>INDEX(LINEST(LN(AV363:AX363),SQRT((AV362:AX362))),1)</f>
        <v>-3.7330971557886028E-6</v>
      </c>
      <c r="AS363" s="91">
        <f>INDEX(LINEST(1/(AV363:AX363),1/(SQRT(AV362:AX362)),TRUE,TRUE),3,1)</f>
        <v>3.5038786271232386E-2</v>
      </c>
      <c r="AT363" s="91">
        <f>INDEX(LINEST(1/(AV363:AX363),1/SQRT(AV362:AX362)),1)</f>
        <v>21.279396144240483</v>
      </c>
      <c r="AU363" s="3"/>
      <c r="AV363" s="73">
        <v>0.56699999999999995</v>
      </c>
      <c r="AW363" s="73">
        <v>0.66700000000000004</v>
      </c>
      <c r="AX363" s="73">
        <v>0.53300000000000003</v>
      </c>
      <c r="AY363" s="53"/>
      <c r="AZ363" s="53"/>
      <c r="BA363" s="53"/>
      <c r="BB363" s="53"/>
      <c r="BC363" s="53"/>
      <c r="BD363" s="53"/>
      <c r="BE363" s="53"/>
      <c r="BF363" s="53"/>
      <c r="BG363" s="53"/>
      <c r="BH363" s="53"/>
      <c r="BI363" s="53"/>
      <c r="BJ363" s="53"/>
      <c r="BK363" s="53"/>
      <c r="BL363" s="53"/>
      <c r="BM363" s="53"/>
      <c r="BN363" s="53"/>
      <c r="BO363" s="53"/>
      <c r="BP363" s="53"/>
      <c r="BQ363" s="53"/>
      <c r="BR363" s="53"/>
      <c r="BS363" s="53"/>
      <c r="BT363" s="53"/>
      <c r="BU363" s="53"/>
      <c r="BV363" s="53"/>
      <c r="BW363" s="53"/>
      <c r="BX363" s="53"/>
      <c r="BY363" s="53"/>
      <c r="BZ363" s="53"/>
      <c r="CA363" s="53"/>
      <c r="CB363" s="53"/>
      <c r="CC363" s="53"/>
      <c r="CD363" s="53"/>
      <c r="CE363" s="53"/>
      <c r="CF363" s="53"/>
      <c r="CG363" s="53"/>
      <c r="CH363" s="53"/>
      <c r="CI363" s="53"/>
      <c r="CJ363" s="53"/>
      <c r="CK363" s="53"/>
      <c r="CL363" s="53"/>
      <c r="CM363" s="53"/>
      <c r="CN363" s="53"/>
      <c r="CO363" s="53"/>
      <c r="CP363" s="53"/>
      <c r="CQ363" s="53"/>
      <c r="CR363" s="1"/>
      <c r="CS363" s="1"/>
      <c r="CT363" s="1"/>
      <c r="CU363" s="1"/>
    </row>
    <row r="364" spans="1:99" s="13" customFormat="1" ht="12" customHeight="1" x14ac:dyDescent="0.2">
      <c r="A364" s="68">
        <v>43509</v>
      </c>
      <c r="B364" s="70"/>
      <c r="C364" s="70"/>
      <c r="D364" s="69"/>
      <c r="E364" s="87"/>
      <c r="F364" s="69"/>
      <c r="G364" s="69"/>
      <c r="H364" s="69"/>
      <c r="I364" s="69"/>
      <c r="J364" s="69"/>
      <c r="K364" s="107"/>
      <c r="L364" s="107"/>
      <c r="M364" s="69"/>
      <c r="N364" s="69"/>
      <c r="O364" s="69"/>
      <c r="P364" s="69"/>
      <c r="Q364" s="69"/>
      <c r="R364" s="69"/>
      <c r="S364" s="69"/>
      <c r="T364" s="92"/>
      <c r="U364" s="60"/>
      <c r="V364" s="69"/>
      <c r="W364" s="69"/>
      <c r="X364" s="69"/>
      <c r="Y364" s="87"/>
      <c r="Z364" s="69"/>
      <c r="AA364" s="69"/>
      <c r="AB364" s="69"/>
      <c r="AC364" s="69"/>
      <c r="AD364" s="69"/>
      <c r="AE364" s="69"/>
      <c r="AF364" s="88"/>
      <c r="AG364" s="72"/>
      <c r="AH364" s="4"/>
      <c r="AI364" s="72"/>
      <c r="AJ364" s="110"/>
      <c r="AK364" s="72"/>
      <c r="AL364" s="72"/>
      <c r="AM364" s="72"/>
      <c r="AN364" s="72"/>
      <c r="AO364" s="72"/>
      <c r="AP364" s="72"/>
      <c r="AQ364" s="89"/>
      <c r="AR364" s="118"/>
      <c r="AS364" s="89"/>
      <c r="AT364" s="89"/>
      <c r="AU364" s="4"/>
      <c r="AV364" s="71">
        <f>24*60*60</f>
        <v>86400</v>
      </c>
      <c r="AW364" s="71">
        <f>30*24*60*60*1.4</f>
        <v>3628800</v>
      </c>
      <c r="AX364" s="71">
        <f>11*7*24*60*60</f>
        <v>6652800</v>
      </c>
      <c r="AY364" s="53"/>
      <c r="AZ364" s="53"/>
      <c r="BA364" s="53"/>
      <c r="BB364" s="53"/>
      <c r="BC364" s="53"/>
      <c r="BD364" s="53"/>
      <c r="BE364" s="53"/>
      <c r="BF364" s="53"/>
      <c r="BG364" s="53"/>
      <c r="BH364" s="53"/>
      <c r="BI364" s="53"/>
      <c r="BJ364" s="53"/>
      <c r="BK364" s="53"/>
      <c r="BL364" s="53"/>
      <c r="BM364" s="53"/>
      <c r="BN364" s="53"/>
      <c r="BO364" s="53"/>
      <c r="BP364" s="53"/>
      <c r="BQ364" s="53"/>
      <c r="BR364" s="53"/>
      <c r="BS364" s="53"/>
      <c r="BT364" s="53"/>
      <c r="BU364" s="53"/>
      <c r="BV364" s="53"/>
      <c r="BW364" s="53"/>
      <c r="BX364" s="53"/>
      <c r="BY364" s="53"/>
      <c r="BZ364" s="53"/>
      <c r="CA364" s="53"/>
      <c r="CB364" s="53"/>
      <c r="CC364" s="53"/>
      <c r="CD364" s="53"/>
      <c r="CE364" s="53"/>
      <c r="CF364" s="53"/>
      <c r="CG364" s="53"/>
      <c r="CH364" s="53"/>
      <c r="CI364" s="53"/>
      <c r="CJ364" s="53"/>
      <c r="CK364" s="53"/>
      <c r="CL364" s="53"/>
      <c r="CM364" s="53"/>
      <c r="CN364" s="53"/>
      <c r="CO364" s="53"/>
      <c r="CP364" s="53"/>
      <c r="CQ364" s="53"/>
      <c r="CR364" s="1"/>
      <c r="CS364" s="1"/>
      <c r="CT364" s="1"/>
      <c r="CU364" s="1"/>
    </row>
    <row r="365" spans="1:99" s="13" customFormat="1" ht="12" customHeight="1" x14ac:dyDescent="0.2">
      <c r="A365" s="68">
        <v>43509</v>
      </c>
      <c r="B365" s="70" t="s">
        <v>196</v>
      </c>
      <c r="C365" s="70" t="s">
        <v>70</v>
      </c>
      <c r="D365" s="69">
        <v>2006</v>
      </c>
      <c r="E365" s="87">
        <v>1</v>
      </c>
      <c r="F365" s="69">
        <v>20</v>
      </c>
      <c r="G365" s="69">
        <v>20</v>
      </c>
      <c r="H365" s="69" t="s">
        <v>30</v>
      </c>
      <c r="I365" s="69" t="s">
        <v>815</v>
      </c>
      <c r="J365" s="69" t="s">
        <v>704</v>
      </c>
      <c r="K365" s="69">
        <f>IF(J365="syllables",1,IF(J365="trigrams",2,IF(J365="strings",3,IF(J365="visual array",4,IF(J365="characters",5,IF(J365="letters",6,IF(J365="free forms",7,IF(J365="odors",8,IF(J365="words",9,IF(J365="pictures",10,IF(J365="object pictures",11,IF(J365="faces",12,IF(J365="names",13,IF(J365="idioms",14,IF(J365="grades",15,IF(J365="syllable-digit pairs",16,IF(J365="trigram-word pairs",17,IF(J365="word-digit pairs",18,IF(J365="English-Swahili pairs",19,IF(J365="spatial position",20,IF(J365="word pairs",21,IF(J365="word triads",22,IF(J365="generated words",23,IF(J365="word definition pairs",24,IF(J365="math problems",25,IF(J365="famous faces",26,IF(J365="famous names",27,IF(J365="famous voices",28,IF(J365="television programs",29,IF(J365="race horses",30,IF(J365="new vocabulary",31,IF(J365="sentences",32,IF(J365="concepts",33,IF(J365="ad slides",34,IF(J365="scenes",35,IF(J365="famous scenes",36,IF(J365="poems",37,IF(J365="walk",38,IF(J365="faces and events",39,IF(J365="events and names",40,IF(J365="flashbulb",41,IF(J365="stories",42,IF(J365="course material",43,IF(J365="autobiographical",44,IF(J365="novels",45,IF(J365="public events",46,"99"))))))))))))))))))))))))))))))))))))))))))))))</f>
        <v>41</v>
      </c>
      <c r="L365" s="69">
        <f>IF(J365="syllables",1,IF(J365="trigrams",1,IF(J365="strings",1,IF(J365="visual array",1,IF(J365="characters",1,IF(J365="letters",1,IF(J365="free forms",1,IF(J365="odors",2,IF(J365="words",2,IF(J365="pictures",2,IF(J365="object pictures",2,IF(J365="faces",2,IF(J365="names",2,IF(J365="idioms","2",IF(J365="grades",2,IF(J365="syllable-digit pairs",3,IF(J365="trigram-word pairs",3,IF(J365="word-digit pairs",3,IF(J365="English-Swahili pairs",3,IF(J365="spatial position",3,IF(J365="word pairs",4,IF(J365="word triads",4,IF(J365="generated words",4,IF(J365="word definition pairs",4,IF(J365="math problems",4,IF(J365="famous faces",4,IF(J365="famous names",4,IF(J365="famous voices",4,IF(J365="television programs",4,IF(J365="race horses",4,IF(J365="new vocabulary",4,IF(J365="sentences",5,IF(J365="concepts",5,IF(J365="ad slides",5,IF(J365="scenes",5,IF(J365="famous scenes",5,IF(J365="poems",6,IF(J365="walk",6,IF(J365="faces and events",6,IF(J365="events and names",6,IF(J365="flashbulb",7,IF(J365="stories",7,IF(J365="course material",7,IF(J365="autobiographical",7,IF(J365="novels",7,IF(J365="public events",7,"99"))))))))))))))))))))))))))))))))))))))))))))))</f>
        <v>7</v>
      </c>
      <c r="M365" s="69">
        <v>1</v>
      </c>
      <c r="N365" s="69">
        <v>4</v>
      </c>
      <c r="O365" s="69">
        <v>0</v>
      </c>
      <c r="P365" s="69"/>
      <c r="Q365" s="69" t="s">
        <v>174</v>
      </c>
      <c r="R365" s="69">
        <f>IF(Q365="Free Recall",1,IF(Q365="Cued Recall",2,IF(Q365="Recognition",3,IF(Q365="Multiple Choice",4,IF(Q365="Savings",5,IF(Q365="Stem Completion",6,IF(Q365="Fragment Completion",7,IF(Q365="anagram solution",8,IF(Q365="Matching",9,IF(Q365="Problem Solving",10,"99"))))))))))</f>
        <v>1</v>
      </c>
      <c r="S365" s="69" t="s">
        <v>49</v>
      </c>
      <c r="T365" s="92" t="s">
        <v>581</v>
      </c>
      <c r="U365" s="60">
        <f>IF(T365="within",1,0)</f>
        <v>1</v>
      </c>
      <c r="V365" s="92">
        <v>2</v>
      </c>
      <c r="W365" s="69">
        <f>F365*V365</f>
        <v>40</v>
      </c>
      <c r="X365" s="69">
        <v>3</v>
      </c>
      <c r="Y365" s="87">
        <f>AV364</f>
        <v>86400</v>
      </c>
      <c r="Z365" s="69" t="s">
        <v>530</v>
      </c>
      <c r="AA365" s="87">
        <f>11*7*24*60*60</f>
        <v>6652800</v>
      </c>
      <c r="AB365" s="69" t="str">
        <f>IF(AA365&lt;60,"1",IF(AA365&lt;=43200,"2",IF(AA365&lt;=777600,"3","4")))</f>
        <v>4</v>
      </c>
      <c r="AC365" s="72">
        <f>AVERAGE(AV364:DA364)</f>
        <v>3456000</v>
      </c>
      <c r="AD365" s="69" t="str">
        <f>IF(AC365&lt;60,"1",IF(AC365&lt;=43200,"2",IF(AC365&lt;=777600,"3","4")))</f>
        <v>4</v>
      </c>
      <c r="AE365" s="87">
        <f>AA365-Y365</f>
        <v>6566400</v>
      </c>
      <c r="AF365" s="88">
        <f>AV365</f>
        <v>0.316</v>
      </c>
      <c r="AG365" s="72">
        <f>((AW365-AV365)+(AX365-AW365))/2</f>
        <v>-7.2999999999999995E-2</v>
      </c>
      <c r="AH365" s="4"/>
      <c r="AI365" s="72">
        <f>RSQ(AV365:AX365,AV364:AX364)</f>
        <v>0.99888645400792142</v>
      </c>
      <c r="AJ365" s="110">
        <f>SLOPE(AV365:AX365,AV364:AX364)</f>
        <v>-2.2268294555785915E-8</v>
      </c>
      <c r="AK365" s="72">
        <f>INTERCEPT(AV365:AX365,AV364:AX364)</f>
        <v>0.31662589265146279</v>
      </c>
      <c r="AL365" s="72">
        <f>INDEX(LINEST(LN(AV365:AX365),LN(AV364:AX364),TRUE,TRUE),3,1)</f>
        <v>0.84531005171742679</v>
      </c>
      <c r="AM365" s="72">
        <f>INDEX(LINEST(LN(AV365:AX365),LN(AV364:AX364)),1)</f>
        <v>-0.12114824707035662</v>
      </c>
      <c r="AN365" s="72">
        <f>EXP(INDEX(LINEST(LN(AV365:AX365),LN(AV364:AX364)),1,2))</f>
        <v>1.2753035787420786</v>
      </c>
      <c r="AO365" s="89">
        <f>INDEX(LINEST((AV365:AX365),LN(AV364:AX364),TRUE,TRUE),3,1)</f>
        <v>0.903725902106429</v>
      </c>
      <c r="AP365" s="89">
        <f>INDEX(LINEST((AV365:AX365),LN(AV364:AX364)),1)</f>
        <v>-2.9591104189103962E-2</v>
      </c>
      <c r="AQ365" s="90">
        <f>INDEX(LINEST(LN(AV365:AX365),SQRT(AV364:AX364),TRUE,TRUE),3,1)</f>
        <v>0.94249512135304803</v>
      </c>
      <c r="AR365" s="117">
        <f>INDEX(LINEST(LN(AV365:AX365),SQRT((AV364:AX364))),1)</f>
        <v>-2.5628753231060527E-4</v>
      </c>
      <c r="AS365" s="91">
        <f>INDEX(LINEST(1/(AV365:AX365),1/(SQRT(AV364:AX364)),TRUE,TRUE),3,1)</f>
        <v>0.69842413259782332</v>
      </c>
      <c r="AT365" s="91">
        <f>INDEX(LINEST(1/(AV365:AX365),1/SQRT(AV364:AX364)),1)</f>
        <v>-670.42710982926042</v>
      </c>
      <c r="AU365" s="3"/>
      <c r="AV365" s="73">
        <v>0.316</v>
      </c>
      <c r="AW365" s="73">
        <v>0.23300000000000001</v>
      </c>
      <c r="AX365" s="73">
        <v>0.17</v>
      </c>
      <c r="AY365" s="53"/>
      <c r="AZ365" s="53"/>
      <c r="BA365" s="53"/>
      <c r="BB365" s="53"/>
      <c r="BC365" s="53"/>
      <c r="BD365" s="53"/>
      <c r="BE365" s="53"/>
      <c r="BF365" s="53"/>
      <c r="BG365" s="53"/>
      <c r="BH365" s="53"/>
      <c r="BI365" s="53"/>
      <c r="BJ365" s="53"/>
      <c r="BK365" s="53"/>
      <c r="BL365" s="53"/>
      <c r="BM365" s="53"/>
      <c r="BN365" s="53"/>
      <c r="BO365" s="53"/>
      <c r="BP365" s="53"/>
      <c r="BQ365" s="53"/>
      <c r="BR365" s="53"/>
      <c r="BS365" s="53"/>
      <c r="BT365" s="53"/>
      <c r="BU365" s="53"/>
      <c r="BV365" s="53"/>
      <c r="BW365" s="53"/>
      <c r="BX365" s="53"/>
      <c r="BY365" s="53"/>
      <c r="BZ365" s="53"/>
      <c r="CA365" s="53"/>
      <c r="CB365" s="53"/>
      <c r="CC365" s="53"/>
      <c r="CD365" s="53"/>
      <c r="CE365" s="53"/>
      <c r="CF365" s="53"/>
      <c r="CG365" s="53"/>
      <c r="CH365" s="53"/>
      <c r="CI365" s="53"/>
      <c r="CJ365" s="53"/>
      <c r="CK365" s="53"/>
      <c r="CL365" s="53"/>
      <c r="CM365" s="53"/>
      <c r="CN365" s="53"/>
      <c r="CO365" s="53"/>
      <c r="CP365" s="53"/>
      <c r="CQ365" s="53"/>
      <c r="CR365" s="1"/>
      <c r="CS365" s="1"/>
      <c r="CT365" s="1"/>
      <c r="CU365" s="1"/>
    </row>
    <row r="366" spans="1:99" ht="12" customHeight="1" x14ac:dyDescent="0.2">
      <c r="A366" s="65">
        <v>43979</v>
      </c>
      <c r="B366" s="15"/>
      <c r="C366" s="15"/>
      <c r="D366" s="59"/>
      <c r="E366" s="75"/>
      <c r="F366" s="59"/>
      <c r="G366" s="59"/>
      <c r="H366" s="59"/>
      <c r="I366" s="59"/>
      <c r="J366" s="59"/>
      <c r="K366" s="60"/>
      <c r="L366" s="60"/>
      <c r="M366" s="59"/>
      <c r="N366" s="59"/>
      <c r="O366" s="59"/>
      <c r="P366" s="59"/>
      <c r="Q366" s="59"/>
      <c r="R366" s="60"/>
      <c r="S366" s="60"/>
      <c r="T366" s="59"/>
      <c r="U366" s="60"/>
      <c r="V366" s="59"/>
      <c r="W366" s="60"/>
      <c r="X366" s="59"/>
      <c r="Y366" s="76"/>
      <c r="Z366" s="59"/>
      <c r="AA366" s="59"/>
      <c r="AB366" s="60"/>
      <c r="AC366" s="56"/>
      <c r="AD366" s="60"/>
      <c r="AE366" s="76"/>
      <c r="AF366" s="80"/>
      <c r="AG366" s="56"/>
      <c r="AH366" s="4"/>
      <c r="AI366" s="56"/>
      <c r="AJ366" s="109"/>
      <c r="AK366" s="56"/>
      <c r="AL366" s="56"/>
      <c r="AM366" s="56"/>
      <c r="AN366" s="56"/>
      <c r="AO366" s="82"/>
      <c r="AP366" s="82"/>
      <c r="AQ366" s="83"/>
      <c r="AR366" s="116"/>
      <c r="AS366" s="84"/>
      <c r="AT366" s="84"/>
      <c r="AU366" s="3"/>
      <c r="AV366" s="47">
        <v>60</v>
      </c>
      <c r="AW366" s="47">
        <f>60*60*24</f>
        <v>86400</v>
      </c>
      <c r="AX366" s="47">
        <f>60*60*24*7</f>
        <v>604800</v>
      </c>
      <c r="AY366" s="47">
        <f>60*60*24*25</f>
        <v>2160000</v>
      </c>
      <c r="AZ366" s="11"/>
      <c r="BA366" s="53" t="s">
        <v>1006</v>
      </c>
      <c r="BB366" s="11"/>
      <c r="BC366" s="11"/>
      <c r="BD366" s="11"/>
      <c r="BE366" s="11"/>
      <c r="BF366" s="11"/>
      <c r="BG366" s="11"/>
      <c r="BH366" s="11"/>
      <c r="BI366" s="11"/>
      <c r="BJ366" s="11"/>
      <c r="BK366" s="11"/>
      <c r="BL366" s="11"/>
      <c r="BM366" s="11"/>
      <c r="BN366" s="11"/>
      <c r="BO366" s="11"/>
      <c r="BP366" s="11"/>
      <c r="BQ366" s="11"/>
      <c r="BR366" s="11"/>
      <c r="BS366" s="11"/>
      <c r="BT366" s="11"/>
      <c r="BU366" s="11"/>
      <c r="BV366" s="11"/>
      <c r="BW366" s="11"/>
      <c r="BX366" s="11"/>
      <c r="BY366" s="11"/>
      <c r="BZ366" s="11"/>
      <c r="CA366" s="11"/>
      <c r="CB366" s="11"/>
      <c r="CC366" s="11"/>
      <c r="CD366" s="11"/>
      <c r="CE366" s="11"/>
      <c r="CF366" s="11"/>
      <c r="CG366" s="11"/>
      <c r="CH366" s="11"/>
      <c r="CI366" s="11"/>
      <c r="CJ366" s="11"/>
      <c r="CK366" s="11"/>
      <c r="CL366" s="11"/>
      <c r="CM366" s="11"/>
      <c r="CN366" s="11"/>
      <c r="CO366" s="11"/>
      <c r="CP366" s="11"/>
      <c r="CQ366" s="11"/>
      <c r="CR366" s="15"/>
      <c r="CS366" s="15"/>
      <c r="CT366" s="15"/>
      <c r="CU366" s="15"/>
    </row>
    <row r="367" spans="1:99" ht="12" customHeight="1" x14ac:dyDescent="0.2">
      <c r="A367" s="65">
        <v>43979</v>
      </c>
      <c r="B367" s="15" t="s">
        <v>1002</v>
      </c>
      <c r="C367" s="15" t="s">
        <v>75</v>
      </c>
      <c r="D367" s="59">
        <v>2020</v>
      </c>
      <c r="E367" s="75">
        <v>2</v>
      </c>
      <c r="F367" s="59">
        <v>70</v>
      </c>
      <c r="G367" s="59">
        <v>70</v>
      </c>
      <c r="H367" s="59" t="s">
        <v>1003</v>
      </c>
      <c r="I367" s="59" t="s">
        <v>1004</v>
      </c>
      <c r="J367" s="59" t="s">
        <v>313</v>
      </c>
      <c r="K367" s="60">
        <f>IF(J367="syllables",1,IF(J367="trigrams",2,IF(J367="strings",3,IF(J367="visual array",4,IF(J367="characters",5,IF(J367="letters",6,IF(J367="free forms",7,IF(J367="odors",8,IF(J367="words",9,IF(J367="pictures",10,IF(J367="object pictures",11,IF(J367="faces",12,IF(J367="names",13,IF(J367="idioms",14,IF(J367="grades",15,IF(J367="syllable-digit pairs",16,IF(J367="trigram-word pairs",17,IF(J367="word-digit pairs",18,IF(J367="English-Swahili pairs",19,IF(J367="spatial position",20,IF(J367="word pairs",21,IF(J367="word triads",22,IF(J367="generated words",23,IF(J367="word definition pairs",24,IF(J367="math problems",25,IF(J367="famous faces",26,IF(J367="famous names",27,IF(J367="famous voices",28,IF(J367="television programs",29,IF(J367="race horses",30,IF(J367="new vocabulary",31,IF(J367="sentences",32,IF(J367="concepts",33,IF(J367="ad slides",34,IF(J367="scenes",35,IF(J367="famous scenes",36,IF(J367="poems",37,IF(J367="walk",38,IF(J367="faces and events",39,IF(J367="events and names",40,IF(J367="flashbulb",41,IF(J367="stories",42,IF(J367="course material",43,IF(J367="autobiographical",44,IF(J367="novels",45,IF(J367="public events",46,"99"))))))))))))))))))))))))))))))))))))))))))))))</f>
        <v>10</v>
      </c>
      <c r="L367" s="60">
        <f>IF(J367="syllables",1,IF(J367="trigrams",1,IF(J367="strings",1,IF(J367="visual array",1,IF(J367="characters",1,IF(J367="letters",1,IF(J367="free forms",1,IF(J367="odors",2,IF(J367="words",2,IF(J367="pictures",2,IF(J367="object pictures",2,IF(J367="faces",2,IF(J367="names",2,IF(J367="idioms","2",IF(J367="grades",2,IF(J367="syllable-digit pairs",3,IF(J367="trigram-word pairs",3,IF(J367="word-digit pairs",3,IF(J367="English-Swahili pairs",3,IF(J367="spatial position",3,IF(J367="word pairs",4,IF(J367="word triads",4,IF(J367="generated words",4,IF(J367="word definition pairs",4,IF(J367="math problems",4,IF(J367="famous faces",4,IF(J367="famous names",4,IF(J367="famous voices",4,IF(J367="television programs",4,IF(J367="race horses",4,IF(J367="new vocabulary",4,IF(J367="sentences",5,IF(J367="concepts",5,IF(J367="ad slides",5,IF(J367="scenes",5,IF(J367="famous scenes",5,IF(J367="poems",6,IF(J367="walk",6,IF(J367="faces and events",6,IF(J367="events and names",6,IF(J367="flashbulb",7,IF(J367="stories",7,IF(J367="course material",7,IF(J367="autobiographical",7,IF(J367="novels",7,IF(J367="public events",7,"99"))))))))))))))))))))))))))))))))))))))))))))))</f>
        <v>2</v>
      </c>
      <c r="M367" s="59">
        <v>1</v>
      </c>
      <c r="N367" s="59">
        <v>2</v>
      </c>
      <c r="O367" s="59">
        <v>0</v>
      </c>
      <c r="P367" s="59"/>
      <c r="Q367" s="59" t="s">
        <v>34</v>
      </c>
      <c r="R367" s="60">
        <f>IF(Q367="Free Recall",1,IF(Q367="Cued Recall",2,IF(Q367="Recognition",3,IF(Q367="Multiple Choice",4,IF(Q367="Savings",5,IF(Q367="Stem Completion",6,IF(Q367="Fragment Completion",7,IF(Q367="anagram solution",8,IF(Q367="Matching",9,IF(Q367="Problem Solving",10,"99"))))))))))</f>
        <v>3</v>
      </c>
      <c r="S367" s="60" t="s">
        <v>15</v>
      </c>
      <c r="T367" s="59" t="s">
        <v>581</v>
      </c>
      <c r="U367" s="60">
        <f>IF(T367="within",1,0)</f>
        <v>1</v>
      </c>
      <c r="V367" s="59">
        <v>200</v>
      </c>
      <c r="W367" s="60">
        <f>F367*V367</f>
        <v>14000</v>
      </c>
      <c r="X367" s="59">
        <v>4</v>
      </c>
      <c r="Y367" s="76">
        <f>AV366</f>
        <v>60</v>
      </c>
      <c r="Z367" s="59" t="s">
        <v>1005</v>
      </c>
      <c r="AA367" s="76">
        <f>60*60*24*25</f>
        <v>2160000</v>
      </c>
      <c r="AB367" s="60" t="str">
        <f>IF(AA367&lt;60,"1",IF(AA367&lt;=43200,"2",IF(AA367&lt;=777600,"3","4")))</f>
        <v>4</v>
      </c>
      <c r="AC367" s="56">
        <f>AVERAGE(AV366:DA366)</f>
        <v>712815</v>
      </c>
      <c r="AD367" s="60" t="str">
        <f>IF(AC367&lt;60,"1",IF(AC367&lt;=43200,"2",IF(AC367&lt;=777600,"3","4")))</f>
        <v>3</v>
      </c>
      <c r="AE367" s="76">
        <f>AA367-Y367</f>
        <v>2159940</v>
      </c>
      <c r="AF367" s="80">
        <f>AV367</f>
        <v>0.54716428571428577</v>
      </c>
      <c r="AG367" s="56">
        <f>((AW367-AV367)+(AX367-AW367)+(AY367-AX367))/3</f>
        <v>-6.9904761904762873E-3</v>
      </c>
      <c r="AH367" s="4"/>
      <c r="AI367" s="56">
        <f>RSQ(AV367:AY367,AV366:AY366)</f>
        <v>0.36722923887526132</v>
      </c>
      <c r="AJ367" s="109">
        <f>SLOPE(AV367:AY367,AV366:AY366)</f>
        <v>-8.9873329958672518E-9</v>
      </c>
      <c r="AK367" s="56">
        <f>INTERCEPT(AV367:AY367,AV366:AY366)</f>
        <v>0.54092952005516326</v>
      </c>
      <c r="AL367" s="56">
        <f>INDEX(LINEST(LN(AV367:AY367),LN(AV366:AY366),TRUE,TRUE),3,1)</f>
        <v>0.52234080434266905</v>
      </c>
      <c r="AM367" s="56">
        <f>INDEX(LINEST(LN(AV367:AY367),LN(AV366:AY366)),1)</f>
        <v>-4.2912645385226955E-3</v>
      </c>
      <c r="AN367" s="56">
        <f>EXP(INDEX(LINEST(LN(AV367:AY367),LN(AV366:AY366)),1,2))</f>
        <v>0.55981236321008387</v>
      </c>
      <c r="AO367" s="82">
        <f>INDEX(LINEST((AV367:AY367),LN(AV366:AY366),TRUE,TRUE),3,1)</f>
        <v>0.52463792994709835</v>
      </c>
      <c r="AP367" s="82">
        <f>INDEX(LINEST((AV367:AY367),LN(AV366:AY366)),1)</f>
        <v>-2.2939942453357046E-3</v>
      </c>
      <c r="AQ367" s="83">
        <f>INDEX(LINEST(LN(AV367:AY367),SQRT(AV366:AY366),TRUE,TRUE),3,1)</f>
        <v>0.56419873152245981</v>
      </c>
      <c r="AR367" s="116">
        <f>INDEX(LINEST(LN(AV367:AY367),SQRT((AV366:AY366))),1)</f>
        <v>-3.269326832283687E-5</v>
      </c>
      <c r="AS367" s="84">
        <f>INDEX(LINEST(1/(AV367:AY367),1/(SQRT(AV366:AY366)),TRUE,TRUE),3,1)</f>
        <v>0.33528177790051733</v>
      </c>
      <c r="AT367" s="84">
        <f>INDEX(LINEST(1/(AV367:AY367),1/SQRT(AV366:AY366)),1)</f>
        <v>-0.47471192548658164</v>
      </c>
      <c r="AU367" s="3"/>
      <c r="AV367" s="11">
        <v>0.54716428571428577</v>
      </c>
      <c r="AW367" s="11">
        <v>0.54690714285714281</v>
      </c>
      <c r="AX367" s="11">
        <v>0.5178285714285713</v>
      </c>
      <c r="AY367" s="11">
        <v>0.52619285714285691</v>
      </c>
      <c r="AZ367" s="11"/>
      <c r="BA367" s="11"/>
      <c r="BB367" s="11"/>
      <c r="BC367" s="11"/>
      <c r="BD367" s="11"/>
      <c r="BE367" s="11"/>
      <c r="BF367" s="11"/>
      <c r="BG367" s="11"/>
      <c r="BH367" s="11"/>
      <c r="BI367" s="11"/>
      <c r="BJ367" s="11"/>
      <c r="BK367" s="11"/>
      <c r="BL367" s="11"/>
      <c r="BM367" s="11"/>
      <c r="BN367" s="11"/>
      <c r="BO367" s="11"/>
      <c r="BP367" s="11"/>
      <c r="BQ367" s="11"/>
      <c r="BR367" s="11"/>
      <c r="BS367" s="11"/>
      <c r="BT367" s="11"/>
      <c r="BU367" s="11"/>
      <c r="BV367" s="11"/>
      <c r="BW367" s="11"/>
      <c r="BX367" s="11"/>
      <c r="BY367" s="11"/>
      <c r="BZ367" s="11"/>
      <c r="CA367" s="11"/>
      <c r="CB367" s="11"/>
      <c r="CC367" s="11"/>
      <c r="CD367" s="11"/>
      <c r="CE367" s="11"/>
      <c r="CF367" s="11"/>
      <c r="CG367" s="11"/>
      <c r="CH367" s="11"/>
      <c r="CI367" s="11"/>
      <c r="CJ367" s="11"/>
      <c r="CK367" s="11"/>
      <c r="CL367" s="11"/>
      <c r="CM367" s="11"/>
      <c r="CN367" s="11"/>
      <c r="CO367" s="11"/>
      <c r="CP367" s="11"/>
      <c r="CQ367" s="11"/>
      <c r="CR367" s="15"/>
      <c r="CS367" s="15"/>
      <c r="CT367" s="15"/>
      <c r="CU367" s="15"/>
    </row>
    <row r="368" spans="1:99" ht="12" customHeight="1" x14ac:dyDescent="0.2">
      <c r="A368" s="65">
        <v>43979</v>
      </c>
      <c r="B368" s="15"/>
      <c r="C368" s="15"/>
      <c r="D368" s="59"/>
      <c r="E368" s="75"/>
      <c r="F368" s="59"/>
      <c r="G368" s="59"/>
      <c r="H368" s="59"/>
      <c r="I368" s="59"/>
      <c r="J368" s="59"/>
      <c r="K368" s="60"/>
      <c r="L368" s="60"/>
      <c r="M368" s="59"/>
      <c r="N368" s="59"/>
      <c r="O368" s="59"/>
      <c r="P368" s="59"/>
      <c r="Q368" s="59"/>
      <c r="R368" s="60"/>
      <c r="S368" s="60"/>
      <c r="T368" s="59"/>
      <c r="U368" s="60"/>
      <c r="V368" s="59"/>
      <c r="W368" s="60"/>
      <c r="X368" s="59"/>
      <c r="Y368" s="76"/>
      <c r="Z368" s="59"/>
      <c r="AA368" s="59"/>
      <c r="AB368" s="60"/>
      <c r="AC368" s="56"/>
      <c r="AD368" s="60"/>
      <c r="AE368" s="76"/>
      <c r="AF368" s="80"/>
      <c r="AG368" s="56"/>
      <c r="AH368" s="4"/>
      <c r="AI368" s="56"/>
      <c r="AJ368" s="109"/>
      <c r="AK368" s="56"/>
      <c r="AL368" s="56"/>
      <c r="AM368" s="56"/>
      <c r="AN368" s="56"/>
      <c r="AO368" s="82"/>
      <c r="AP368" s="82"/>
      <c r="AQ368" s="83"/>
      <c r="AR368" s="116"/>
      <c r="AS368" s="84"/>
      <c r="AT368" s="84"/>
      <c r="AU368" s="3"/>
      <c r="AV368" s="47">
        <v>60</v>
      </c>
      <c r="AW368" s="47">
        <f>60*60*24</f>
        <v>86400</v>
      </c>
      <c r="AX368" s="47">
        <f>60*60*24*7</f>
        <v>604800</v>
      </c>
      <c r="AY368" s="47">
        <f>60*60*24*25</f>
        <v>2160000</v>
      </c>
      <c r="AZ368" s="11"/>
      <c r="BA368" s="11"/>
      <c r="BB368" s="11"/>
      <c r="BC368" s="11"/>
      <c r="BD368" s="11"/>
      <c r="BE368" s="11"/>
      <c r="BF368" s="11"/>
      <c r="BG368" s="11"/>
      <c r="BH368" s="11"/>
      <c r="BI368" s="11"/>
      <c r="BJ368" s="11"/>
      <c r="BK368" s="11"/>
      <c r="BL368" s="11"/>
      <c r="BM368" s="11"/>
      <c r="BN368" s="11"/>
      <c r="BO368" s="11"/>
      <c r="BP368" s="11"/>
      <c r="BQ368" s="11"/>
      <c r="BR368" s="11"/>
      <c r="BS368" s="11"/>
      <c r="BT368" s="11"/>
      <c r="BU368" s="11"/>
      <c r="BV368" s="11"/>
      <c r="BW368" s="11"/>
      <c r="BX368" s="11"/>
      <c r="BY368" s="11"/>
      <c r="BZ368" s="11"/>
      <c r="CA368" s="11"/>
      <c r="CB368" s="11"/>
      <c r="CC368" s="11"/>
      <c r="CD368" s="11"/>
      <c r="CE368" s="11"/>
      <c r="CF368" s="11"/>
      <c r="CG368" s="11"/>
      <c r="CH368" s="11"/>
      <c r="CI368" s="11"/>
      <c r="CJ368" s="11"/>
      <c r="CK368" s="11"/>
      <c r="CL368" s="11"/>
      <c r="CM368" s="11"/>
      <c r="CN368" s="11"/>
      <c r="CO368" s="11"/>
      <c r="CP368" s="11"/>
      <c r="CQ368" s="11"/>
      <c r="CR368" s="15"/>
      <c r="CS368" s="15"/>
      <c r="CT368" s="15"/>
      <c r="CU368" s="15"/>
    </row>
    <row r="369" spans="1:99" ht="12" customHeight="1" x14ac:dyDescent="0.2">
      <c r="A369" s="65">
        <v>43979</v>
      </c>
      <c r="B369" s="15" t="s">
        <v>1002</v>
      </c>
      <c r="C369" s="15" t="s">
        <v>75</v>
      </c>
      <c r="D369" s="59">
        <v>2020</v>
      </c>
      <c r="E369" s="75">
        <v>2</v>
      </c>
      <c r="F369" s="59">
        <v>70</v>
      </c>
      <c r="G369" s="59">
        <v>70</v>
      </c>
      <c r="H369" s="59" t="s">
        <v>1003</v>
      </c>
      <c r="I369" s="59" t="s">
        <v>785</v>
      </c>
      <c r="J369" s="59" t="s">
        <v>313</v>
      </c>
      <c r="K369" s="60">
        <f>IF(J369="syllables",1,IF(J369="trigrams",2,IF(J369="strings",3,IF(J369="visual array",4,IF(J369="characters",5,IF(J369="letters",6,IF(J369="free forms",7,IF(J369="odors",8,IF(J369="words",9,IF(J369="pictures",10,IF(J369="object pictures",11,IF(J369="faces",12,IF(J369="names",13,IF(J369="idioms",14,IF(J369="grades",15,IF(J369="syllable-digit pairs",16,IF(J369="trigram-word pairs",17,IF(J369="word-digit pairs",18,IF(J369="English-Swahili pairs",19,IF(J369="spatial position",20,IF(J369="word pairs",21,IF(J369="word triads",22,IF(J369="generated words",23,IF(J369="word definition pairs",24,IF(J369="math problems",25,IF(J369="famous faces",26,IF(J369="famous names",27,IF(J369="famous voices",28,IF(J369="television programs",29,IF(J369="race horses",30,IF(J369="new vocabulary",31,IF(J369="sentences",32,IF(J369="concepts",33,IF(J369="ad slides",34,IF(J369="scenes",35,IF(J369="famous scenes",36,IF(J369="poems",37,IF(J369="walk",38,IF(J369="faces and events",39,IF(J369="events and names",40,IF(J369="flashbulb",41,IF(J369="stories",42,IF(J369="course material",43,IF(J369="autobiographical",44,IF(J369="novels",45,IF(J369="public events",46,"99"))))))))))))))))))))))))))))))))))))))))))))))</f>
        <v>10</v>
      </c>
      <c r="L369" s="60">
        <f>IF(J369="syllables",1,IF(J369="trigrams",1,IF(J369="strings",1,IF(J369="visual array",1,IF(J369="characters",1,IF(J369="letters",1,IF(J369="free forms",1,IF(J369="odors",2,IF(J369="words",2,IF(J369="pictures",2,IF(J369="object pictures",2,IF(J369="faces",2,IF(J369="names",2,IF(J369="idioms","2",IF(J369="grades",2,IF(J369="syllable-digit pairs",3,IF(J369="trigram-word pairs",3,IF(J369="word-digit pairs",3,IF(J369="English-Swahili pairs",3,IF(J369="spatial position",3,IF(J369="word pairs",4,IF(J369="word triads",4,IF(J369="generated words",4,IF(J369="word definition pairs",4,IF(J369="math problems",4,IF(J369="famous faces",4,IF(J369="famous names",4,IF(J369="famous voices",4,IF(J369="television programs",4,IF(J369="race horses",4,IF(J369="new vocabulary",4,IF(J369="sentences",5,IF(J369="concepts",5,IF(J369="ad slides",5,IF(J369="scenes",5,IF(J369="famous scenes",5,IF(J369="poems",6,IF(J369="walk",6,IF(J369="faces and events",6,IF(J369="events and names",6,IF(J369="flashbulb",7,IF(J369="stories",7,IF(J369="course material",7,IF(J369="autobiographical",7,IF(J369="novels",7,IF(J369="public events",7,"99"))))))))))))))))))))))))))))))))))))))))))))))</f>
        <v>2</v>
      </c>
      <c r="M369" s="59">
        <v>1</v>
      </c>
      <c r="N369" s="59">
        <v>2</v>
      </c>
      <c r="O369" s="59">
        <v>0</v>
      </c>
      <c r="P369" s="59"/>
      <c r="Q369" s="59" t="s">
        <v>34</v>
      </c>
      <c r="R369" s="60">
        <f>IF(Q369="Free Recall",1,IF(Q369="Cued Recall",2,IF(Q369="Recognition",3,IF(Q369="Multiple Choice",4,IF(Q369="Savings",5,IF(Q369="Stem Completion",6,IF(Q369="Fragment Completion",7,IF(Q369="anagram solution",8,IF(Q369="Matching",9,IF(Q369="Problem Solving",10,"99"))))))))))</f>
        <v>3</v>
      </c>
      <c r="S369" s="60" t="s">
        <v>15</v>
      </c>
      <c r="T369" s="59" t="s">
        <v>581</v>
      </c>
      <c r="U369" s="60">
        <f>IF(T369="within",1,0)</f>
        <v>1</v>
      </c>
      <c r="V369" s="59">
        <v>200</v>
      </c>
      <c r="W369" s="60">
        <f>F369*V369</f>
        <v>14000</v>
      </c>
      <c r="X369" s="59">
        <v>4</v>
      </c>
      <c r="Y369" s="76">
        <f>AV368</f>
        <v>60</v>
      </c>
      <c r="Z369" s="59" t="s">
        <v>1005</v>
      </c>
      <c r="AA369" s="76">
        <f>60*60*24*25</f>
        <v>2160000</v>
      </c>
      <c r="AB369" s="60" t="str">
        <f>IF(AA369&lt;60,"1",IF(AA369&lt;=43200,"2",IF(AA369&lt;=777600,"3","4")))</f>
        <v>4</v>
      </c>
      <c r="AC369" s="56">
        <f>AVERAGE(AV368:DA368)</f>
        <v>712815</v>
      </c>
      <c r="AD369" s="60" t="str">
        <f>IF(AC369&lt;60,"1",IF(AC369&lt;=43200,"2",IF(AC369&lt;=777600,"3","4")))</f>
        <v>3</v>
      </c>
      <c r="AE369" s="76">
        <f>AA369-Y369</f>
        <v>2159940</v>
      </c>
      <c r="AF369" s="80">
        <f>AV369</f>
        <v>0.59951428571428556</v>
      </c>
      <c r="AG369" s="56">
        <f>((AW369-AV369)+(AX369-AW369)+(AY369-AX369))/3</f>
        <v>-1.7290476190476117E-2</v>
      </c>
      <c r="AH369" s="4"/>
      <c r="AI369" s="56">
        <f>RSQ(AV369:AY369,AV368:AY368)</f>
        <v>0.5195402584684119</v>
      </c>
      <c r="AJ369" s="109">
        <f>SLOPE(AV369:AY369,AV368:AY368)</f>
        <v>-1.6296716849221445E-8</v>
      </c>
      <c r="AK369" s="56">
        <f>INTERCEPT(AV369:AY369,AV368:AY368)</f>
        <v>0.5789379727923063</v>
      </c>
      <c r="AL369" s="56">
        <f>INDEX(LINEST(LN(AV369:AY369),LN(AV368:AY368),TRUE,TRUE),3,1)</f>
        <v>0.99550078615717341</v>
      </c>
      <c r="AM369" s="56">
        <f>INDEX(LINEST(LN(AV369:AY369),LN(AV368:AY368)),1)</f>
        <v>-8.3790614830482613E-3</v>
      </c>
      <c r="AN369" s="56">
        <f>EXP(INDEX(LINEST(LN(AV369:AY369),LN(AV368:AY368)),1,2))</f>
        <v>0.62089833208042555</v>
      </c>
      <c r="AO369" s="82">
        <f>INDEX(LINEST((AV369:AY369),LN(AV368:AY368),TRUE,TRUE),3,1)</f>
        <v>0.99664742197350897</v>
      </c>
      <c r="AP369" s="82">
        <f>INDEX(LINEST((AV369:AY369),LN(AV368:AY368)),1)</f>
        <v>-4.8201612256909511E-3</v>
      </c>
      <c r="AQ369" s="83">
        <f>INDEX(LINEST(LN(AV369:AY369),SQRT(AV368:AY368),TRUE,TRUE),3,1)</f>
        <v>0.75167129820423773</v>
      </c>
      <c r="AR369" s="116">
        <f>INDEX(LINEST(LN(AV369:AY369),SQRT((AV368:AY368))),1)</f>
        <v>-5.337311281014088E-5</v>
      </c>
      <c r="AS369" s="84">
        <f>INDEX(LINEST(1/(AV369:AY369),1/(SQRT(AV368:AY368)),TRUE,TRUE),3,1)</f>
        <v>0.89581657147119165</v>
      </c>
      <c r="AT369" s="84">
        <f>INDEX(LINEST(1/(AV369:AY369),1/SQRT(AV368:AY368)),1)</f>
        <v>-1.0187176836328846</v>
      </c>
      <c r="AU369" s="3"/>
      <c r="AV369" s="11">
        <v>0.59951428571428556</v>
      </c>
      <c r="AW369" s="11">
        <v>0.56524285714285694</v>
      </c>
      <c r="AX369" s="11">
        <v>0.55688571428571443</v>
      </c>
      <c r="AY369" s="11">
        <v>0.54764285714285721</v>
      </c>
      <c r="AZ369" s="11"/>
      <c r="BA369" s="11"/>
      <c r="BB369" s="11"/>
      <c r="BC369" s="11"/>
      <c r="BD369" s="11"/>
      <c r="BE369" s="11"/>
      <c r="BF369" s="11"/>
      <c r="BG369" s="11"/>
      <c r="BH369" s="11"/>
      <c r="BI369" s="11"/>
      <c r="BJ369" s="11"/>
      <c r="BK369" s="11"/>
      <c r="BL369" s="11"/>
      <c r="BM369" s="11"/>
      <c r="BN369" s="11"/>
      <c r="BO369" s="11"/>
      <c r="BP369" s="11"/>
      <c r="BQ369" s="11"/>
      <c r="BR369" s="11"/>
      <c r="BS369" s="11"/>
      <c r="BT369" s="11"/>
      <c r="BU369" s="11"/>
      <c r="BV369" s="11"/>
      <c r="BW369" s="11"/>
      <c r="BX369" s="11"/>
      <c r="BY369" s="11"/>
      <c r="BZ369" s="11"/>
      <c r="CA369" s="11"/>
      <c r="CB369" s="11"/>
      <c r="CC369" s="11"/>
      <c r="CD369" s="11"/>
      <c r="CE369" s="11"/>
      <c r="CF369" s="11"/>
      <c r="CG369" s="11"/>
      <c r="CH369" s="11"/>
      <c r="CI369" s="11"/>
      <c r="CJ369" s="11"/>
      <c r="CK369" s="11"/>
      <c r="CL369" s="11"/>
      <c r="CM369" s="11"/>
      <c r="CN369" s="11"/>
      <c r="CO369" s="11"/>
      <c r="CP369" s="11"/>
      <c r="CQ369" s="11"/>
      <c r="CR369" s="15"/>
      <c r="CS369" s="15"/>
      <c r="CT369" s="15"/>
      <c r="CU369" s="15"/>
    </row>
    <row r="370" spans="1:99" s="13" customFormat="1" ht="12" customHeight="1" x14ac:dyDescent="0.2">
      <c r="A370" s="68">
        <v>43509</v>
      </c>
      <c r="B370" s="70"/>
      <c r="C370" s="70"/>
      <c r="D370" s="69"/>
      <c r="E370" s="87"/>
      <c r="F370" s="69"/>
      <c r="G370" s="69"/>
      <c r="H370" s="69"/>
      <c r="I370" s="69"/>
      <c r="J370" s="69"/>
      <c r="K370" s="107"/>
      <c r="L370" s="107"/>
      <c r="M370" s="69"/>
      <c r="N370" s="69"/>
      <c r="O370" s="69"/>
      <c r="P370" s="69"/>
      <c r="Q370" s="69"/>
      <c r="R370" s="69"/>
      <c r="S370" s="69"/>
      <c r="T370" s="69"/>
      <c r="U370" s="60"/>
      <c r="V370" s="69"/>
      <c r="W370" s="69"/>
      <c r="X370" s="69"/>
      <c r="Y370" s="87"/>
      <c r="Z370" s="69"/>
      <c r="AA370" s="69"/>
      <c r="AB370" s="69"/>
      <c r="AC370" s="69"/>
      <c r="AD370" s="69"/>
      <c r="AE370" s="69"/>
      <c r="AF370" s="88"/>
      <c r="AG370" s="72"/>
      <c r="AH370" s="4"/>
      <c r="AI370" s="72"/>
      <c r="AJ370" s="110"/>
      <c r="AK370" s="72"/>
      <c r="AL370" s="72"/>
      <c r="AM370" s="72"/>
      <c r="AN370" s="72"/>
      <c r="AO370" s="72"/>
      <c r="AP370" s="72"/>
      <c r="AQ370" s="89"/>
      <c r="AR370" s="118"/>
      <c r="AS370" s="89"/>
      <c r="AT370" s="89"/>
      <c r="AU370" s="4"/>
      <c r="AV370" s="71">
        <f>365*24*60*60*1</f>
        <v>31536000</v>
      </c>
      <c r="AW370" s="71">
        <f>365*24*60*60*2</f>
        <v>63072000</v>
      </c>
      <c r="AX370" s="71">
        <f>365*24*60*60*3</f>
        <v>94608000</v>
      </c>
      <c r="AY370" s="71">
        <f>365*24*60*60*4</f>
        <v>126144000</v>
      </c>
      <c r="AZ370" s="71">
        <f>365*24*60*60*5</f>
        <v>157680000</v>
      </c>
      <c r="BA370" s="71">
        <f>365*24*60*60*6</f>
        <v>189216000</v>
      </c>
      <c r="BB370" s="71">
        <f>365*24*60*60*7</f>
        <v>220752000</v>
      </c>
      <c r="BC370" s="71">
        <f>365*24*60*60*8</f>
        <v>252288000</v>
      </c>
      <c r="BD370" s="71">
        <f>365*24*60*60*9</f>
        <v>283824000</v>
      </c>
      <c r="BE370" s="71">
        <f>365*24*60*60*10</f>
        <v>315360000</v>
      </c>
      <c r="BF370" s="71">
        <f>365*24*60*60*11</f>
        <v>346896000</v>
      </c>
      <c r="BG370" s="71">
        <f>365*24*60*60*12</f>
        <v>378432000</v>
      </c>
      <c r="BH370" s="71">
        <f>365*24*60*60*13</f>
        <v>409968000</v>
      </c>
      <c r="BI370" s="71">
        <f>365*24*60*60*14</f>
        <v>441504000</v>
      </c>
      <c r="BJ370" s="71">
        <f>365*24*60*60*15</f>
        <v>473040000</v>
      </c>
      <c r="BK370" s="53"/>
      <c r="BL370" s="53"/>
      <c r="BM370" s="53"/>
      <c r="BN370" s="53"/>
      <c r="BO370" s="53"/>
      <c r="BP370" s="53"/>
      <c r="BQ370" s="53"/>
      <c r="BR370" s="53"/>
      <c r="BS370" s="53"/>
      <c r="BT370" s="53"/>
      <c r="BU370" s="53"/>
      <c r="BV370" s="53"/>
      <c r="BW370" s="53"/>
      <c r="BX370" s="53"/>
      <c r="BY370" s="53"/>
      <c r="BZ370" s="53"/>
      <c r="CA370" s="53"/>
      <c r="CB370" s="53"/>
      <c r="CC370" s="53"/>
      <c r="CD370" s="53"/>
      <c r="CE370" s="53"/>
      <c r="CF370" s="53"/>
      <c r="CG370" s="53"/>
      <c r="CH370" s="53"/>
      <c r="CI370" s="53"/>
      <c r="CJ370" s="53"/>
      <c r="CK370" s="53"/>
      <c r="CL370" s="53"/>
      <c r="CM370" s="53"/>
      <c r="CN370" s="53"/>
      <c r="CO370" s="53"/>
      <c r="CP370" s="53"/>
      <c r="CQ370" s="53"/>
      <c r="CR370" s="1"/>
      <c r="CS370" s="1"/>
      <c r="CT370" s="1"/>
      <c r="CU370" s="1"/>
    </row>
    <row r="371" spans="1:99" s="13" customFormat="1" ht="12" customHeight="1" x14ac:dyDescent="0.2">
      <c r="A371" s="68">
        <v>43509</v>
      </c>
      <c r="B371" s="103" t="s">
        <v>222</v>
      </c>
      <c r="C371" s="70" t="s">
        <v>223</v>
      </c>
      <c r="D371" s="69">
        <v>1989</v>
      </c>
      <c r="E371" s="87">
        <v>1</v>
      </c>
      <c r="F371" s="69">
        <v>231</v>
      </c>
      <c r="G371" s="69">
        <v>231</v>
      </c>
      <c r="H371" s="69" t="s">
        <v>216</v>
      </c>
      <c r="I371" s="69"/>
      <c r="J371" s="69" t="s">
        <v>376</v>
      </c>
      <c r="K371" s="69">
        <f>IF(J371="syllables",1,IF(J371="trigrams",2,IF(J371="strings",3,IF(J371="visual array",4,IF(J371="characters",5,IF(J371="letters",6,IF(J371="free forms",7,IF(J371="odors",8,IF(J371="words",9,IF(J371="pictures",10,IF(J371="object pictures",11,IF(J371="faces",12,IF(J371="names",13,IF(J371="idioms",14,IF(J371="grades",15,IF(J371="syllable-digit pairs",16,IF(J371="trigram-word pairs",17,IF(J371="word-digit pairs",18,IF(J371="English-Swahili pairs",19,IF(J371="spatial position",20,IF(J371="word pairs",21,IF(J371="word triads",22,IF(J371="generated words",23,IF(J371="word definition pairs",24,IF(J371="math problems",25,IF(J371="famous faces",26,IF(J371="famous names",27,IF(J371="famous voices",28,IF(J371="television programs",29,IF(J371="race horses",30,IF(J371="new vocabulary",31,IF(J371="sentences",32,IF(J371="concepts",33,IF(J371="ad slides",34,IF(J371="scenes",35,IF(J371="famous scenes",36,IF(J371="poems",37,IF(J371="walk",38,IF(J371="faces and events",39,IF(J371="events and names",40,IF(J371="flashbulb",41,IF(J371="stories",42,IF(J371="course material",43,IF(J371="autobiographical",44,IF(J371="novels",45,IF(J371="public events",46,"99"))))))))))))))))))))))))))))))))))))))))))))))</f>
        <v>29</v>
      </c>
      <c r="L371" s="69">
        <f>IF(J371="syllables",1,IF(J371="trigrams",1,IF(J371="strings",1,IF(J371="visual array",1,IF(J371="characters",1,IF(J371="letters",1,IF(J371="free forms",1,IF(J371="odors",2,IF(J371="words",2,IF(J371="pictures",2,IF(J371="object pictures",2,IF(J371="faces",2,IF(J371="names",2,IF(J371="idioms","2",IF(J371="grades",2,IF(J371="syllable-digit pairs",3,IF(J371="trigram-word pairs",3,IF(J371="word-digit pairs",3,IF(J371="English-Swahili pairs",3,IF(J371="spatial position",3,IF(J371="word pairs",4,IF(J371="word triads",4,IF(J371="generated words",4,IF(J371="word definition pairs",4,IF(J371="math problems",4,IF(J371="famous faces",4,IF(J371="famous names",4,IF(J371="famous voices",4,IF(J371="television programs",4,IF(J371="race horses",4,IF(J371="new vocabulary",4,IF(J371="sentences",5,IF(J371="concepts",5,IF(J371="ad slides",5,IF(J371="scenes",5,IF(J371="famous scenes",5,IF(J371="poems",6,IF(J371="walk",6,IF(J371="faces and events",6,IF(J371="events and names",6,IF(J371="flashbulb",7,IF(J371="stories",7,IF(J371="course material",7,IF(J371="autobiographical",7,IF(J371="novels",7,IF(J371="public events",7,"99"))))))))))))))))))))))))))))))))))))))))))))))</f>
        <v>4</v>
      </c>
      <c r="M371" s="69">
        <v>1</v>
      </c>
      <c r="N371" s="69">
        <v>2</v>
      </c>
      <c r="O371" s="69">
        <v>0</v>
      </c>
      <c r="P371" s="69"/>
      <c r="Q371" s="69" t="s">
        <v>34</v>
      </c>
      <c r="R371" s="69">
        <f>IF(Q371="Free Recall",1,IF(Q371="Cued Recall",2,IF(Q371="Recognition",3,IF(Q371="Multiple Choice",4,IF(Q371="Savings",5,IF(Q371="Stem Completion",6,IF(Q371="Fragment Completion",7,IF(Q371="anagram solution",8,IF(Q371="Matching",9,IF(Q371="Problem Solving",10,"99"))))))))))</f>
        <v>3</v>
      </c>
      <c r="S371" s="69" t="s">
        <v>15</v>
      </c>
      <c r="T371" s="92" t="s">
        <v>581</v>
      </c>
      <c r="U371" s="60">
        <f>IF(T371="within",1,0)</f>
        <v>1</v>
      </c>
      <c r="V371" s="92">
        <v>115</v>
      </c>
      <c r="W371" s="69">
        <f>F371*V371</f>
        <v>26565</v>
      </c>
      <c r="X371" s="69">
        <v>15</v>
      </c>
      <c r="Y371" s="87">
        <f>AV370</f>
        <v>31536000</v>
      </c>
      <c r="Z371" s="69" t="s">
        <v>224</v>
      </c>
      <c r="AA371" s="69">
        <v>473040000</v>
      </c>
      <c r="AB371" s="69" t="str">
        <f>IF(AA371&lt;60,"1",IF(AA371&lt;=43200,"2",IF(AA371&lt;=777600,"3","4")))</f>
        <v>4</v>
      </c>
      <c r="AC371" s="72">
        <f>AVERAGE(AV370:DA370)</f>
        <v>252288000</v>
      </c>
      <c r="AD371" s="69" t="str">
        <f>IF(AC371&lt;60,"1",IF(AC371&lt;=43200,"2",IF(AC371&lt;=777600,"3","4")))</f>
        <v>4</v>
      </c>
      <c r="AE371" s="87">
        <f>AA371-Y371</f>
        <v>441504000</v>
      </c>
      <c r="AF371" s="88">
        <f>AV371</f>
        <v>0.76600000000000001</v>
      </c>
      <c r="AG371" s="72">
        <f>((AW371-AV371)+(AX371-AW371)+(AY371-AX371)+(AZ371-AY371)+(BA371-AZ371)+(BB371-BA371)+(BC371-BB371)+(BD371-BC371)+(BE371-BD371)+(BF371-BE371)+(BG371-BF371)+(BH371-BG371)+(BI371-BH371)+(BJ371-BI371))/14</f>
        <v>-1.3428571428571432E-2</v>
      </c>
      <c r="AH371" s="4"/>
      <c r="AI371" s="72">
        <f>RSQ(AV371:BJ371,AV370:BJ370)</f>
        <v>0.88447795619328795</v>
      </c>
      <c r="AJ371" s="110">
        <f>SLOPE(AV371:BJ371,AV370:BJ370)</f>
        <v>-4.2887493658041609E-10</v>
      </c>
      <c r="AK371" s="72">
        <f>INTERCEPT(AV371:BJ371,AV370:BJ370)</f>
        <v>0.74026666666666663</v>
      </c>
      <c r="AL371" s="72">
        <f>INDEX(LINEST(LN(AV371:BJ371),LN(AV370:BJ370),TRUE,TRUE),3,1)</f>
        <v>0.94481208345524026</v>
      </c>
      <c r="AM371" s="72">
        <f>INDEX(LINEST(LN(AV371:BJ371),LN(AV370:BJ370)),1)</f>
        <v>-0.12310422284221159</v>
      </c>
      <c r="AN371" s="72">
        <f>EXP(INDEX(LINEST(LN(AV371:BJ371),LN(AV370:BJ370)),1,2))</f>
        <v>6.6269552571389596</v>
      </c>
      <c r="AO371" s="89">
        <f>INDEX(LINEST((AV371:BJ371),LN(AV370:BJ370),TRUE,TRUE),3,1)</f>
        <v>0.95795896251584145</v>
      </c>
      <c r="AP371" s="89">
        <f>INDEX(LINEST((AV371:BJ371),LN(AV370:BJ370)),1)</f>
        <v>-8.0499009803404228E-2</v>
      </c>
      <c r="AQ371" s="90">
        <f>INDEX(LINEST(LN(AV371:BJ371),SQRT(AV370:BJ370),TRUE,TRUE),3,1)</f>
        <v>0.95096600056972047</v>
      </c>
      <c r="AR371" s="117">
        <f>INDEX(LINEST(LN(AV371:BJ371),SQRT((AV370:BJ370))),1)</f>
        <v>-1.956573907240783E-5</v>
      </c>
      <c r="AS371" s="91">
        <f>INDEX(LINEST(1/(AV371:BJ371),1/(SQRT(AV370:BJ370)),TRUE,TRUE),3,1)</f>
        <v>0.82975433121503472</v>
      </c>
      <c r="AT371" s="91">
        <f>INDEX(LINEST(1/(AV371:BJ371),1/SQRT(AV370:BJ370)),1)</f>
        <v>-3879.8557325057409</v>
      </c>
      <c r="AU371" s="3"/>
      <c r="AV371" s="73">
        <v>0.76600000000000001</v>
      </c>
      <c r="AW371" s="73">
        <v>0.73099999999999998</v>
      </c>
      <c r="AX371" s="73">
        <v>0.70799999999999996</v>
      </c>
      <c r="AY371" s="73">
        <v>0.68</v>
      </c>
      <c r="AZ371" s="73">
        <v>0.65600000000000003</v>
      </c>
      <c r="BA371" s="73">
        <v>0.63600000000000001</v>
      </c>
      <c r="BB371" s="73">
        <v>0.61</v>
      </c>
      <c r="BC371" s="73">
        <v>0.60599999999999998</v>
      </c>
      <c r="BD371" s="73">
        <v>0.629</v>
      </c>
      <c r="BE371" s="73">
        <v>0.59599999999999997</v>
      </c>
      <c r="BF371" s="73">
        <v>0.59699999999999998</v>
      </c>
      <c r="BG371" s="73">
        <v>0.57999999999999996</v>
      </c>
      <c r="BH371" s="73">
        <v>0.55500000000000005</v>
      </c>
      <c r="BI371" s="73">
        <v>0.55300000000000005</v>
      </c>
      <c r="BJ371" s="73">
        <v>0.57799999999999996</v>
      </c>
      <c r="BK371" s="53"/>
      <c r="BL371" s="53"/>
      <c r="BM371" s="53"/>
      <c r="BN371" s="53"/>
      <c r="BO371" s="53"/>
      <c r="BP371" s="53"/>
      <c r="BQ371" s="53"/>
      <c r="BR371" s="53"/>
      <c r="BS371" s="53"/>
      <c r="BT371" s="53"/>
      <c r="BU371" s="53"/>
      <c r="BV371" s="53"/>
      <c r="BW371" s="53"/>
      <c r="BX371" s="53"/>
      <c r="BY371" s="53"/>
      <c r="BZ371" s="53"/>
      <c r="CA371" s="53"/>
      <c r="CB371" s="53"/>
      <c r="CC371" s="53"/>
      <c r="CD371" s="53"/>
      <c r="CE371" s="53"/>
      <c r="CF371" s="53"/>
      <c r="CG371" s="53"/>
      <c r="CH371" s="53"/>
      <c r="CI371" s="53"/>
      <c r="CJ371" s="53"/>
      <c r="CK371" s="53"/>
      <c r="CL371" s="53"/>
      <c r="CM371" s="53"/>
      <c r="CN371" s="53"/>
      <c r="CO371" s="53"/>
      <c r="CP371" s="53"/>
      <c r="CQ371" s="53"/>
      <c r="CR371" s="1"/>
      <c r="CS371" s="1"/>
      <c r="CT371" s="1"/>
      <c r="CU371" s="1"/>
    </row>
    <row r="372" spans="1:99" ht="12" customHeight="1" x14ac:dyDescent="0.2">
      <c r="A372" s="65">
        <v>43897</v>
      </c>
      <c r="B372" s="15"/>
      <c r="C372" s="15"/>
      <c r="D372" s="59"/>
      <c r="E372" s="75"/>
      <c r="F372" s="59"/>
      <c r="G372" s="59"/>
      <c r="H372" s="59"/>
      <c r="I372" s="59"/>
      <c r="J372" s="59"/>
      <c r="M372" s="59"/>
      <c r="N372" s="61"/>
      <c r="O372" s="59"/>
      <c r="P372" s="59"/>
      <c r="Q372" s="59"/>
      <c r="R372" s="60"/>
      <c r="S372" s="59"/>
      <c r="T372" s="59"/>
      <c r="U372" s="60"/>
      <c r="V372" s="59"/>
      <c r="W372" s="60"/>
      <c r="X372" s="60"/>
      <c r="Y372" s="76"/>
      <c r="Z372" s="59"/>
      <c r="AA372" s="59"/>
      <c r="AB372" s="60"/>
      <c r="AC372" s="56"/>
      <c r="AD372" s="60"/>
      <c r="AE372" s="60"/>
      <c r="AF372" s="80"/>
      <c r="AG372" s="56"/>
      <c r="AH372" s="4"/>
      <c r="AI372" s="56"/>
      <c r="AJ372" s="109"/>
      <c r="AK372" s="56"/>
      <c r="AL372" s="56"/>
      <c r="AM372" s="56"/>
      <c r="AN372" s="56"/>
      <c r="AO372" s="82"/>
      <c r="AP372" s="82"/>
      <c r="AQ372" s="83"/>
      <c r="AR372" s="116"/>
      <c r="AS372" s="84"/>
      <c r="AT372" s="84"/>
      <c r="AU372" s="3"/>
      <c r="AV372" s="25">
        <v>157680000</v>
      </c>
      <c r="AW372" s="25">
        <v>473040000</v>
      </c>
      <c r="AX372" s="25">
        <v>788400000</v>
      </c>
      <c r="AY372" s="25">
        <v>1103760000</v>
      </c>
      <c r="AZ372" s="25">
        <v>1419120000</v>
      </c>
      <c r="BA372" s="11"/>
      <c r="BB372" s="11"/>
      <c r="BC372" s="11"/>
      <c r="BD372" s="11"/>
      <c r="BE372" s="11"/>
      <c r="BF372" s="11"/>
      <c r="BG372" s="11"/>
      <c r="BH372" s="11"/>
      <c r="BI372" s="11"/>
      <c r="BJ372" s="11"/>
      <c r="BK372" s="11"/>
      <c r="BL372" s="11"/>
      <c r="BM372" s="11"/>
      <c r="BN372" s="11"/>
      <c r="BO372" s="11"/>
      <c r="BP372" s="11"/>
      <c r="BQ372" s="11"/>
      <c r="BR372" s="11"/>
      <c r="BS372" s="11"/>
      <c r="BT372" s="11"/>
      <c r="BU372" s="11"/>
      <c r="BV372" s="11"/>
      <c r="BW372" s="11"/>
      <c r="BX372" s="11"/>
      <c r="BY372" s="11"/>
      <c r="BZ372" s="11"/>
      <c r="CA372" s="11"/>
      <c r="CB372" s="11"/>
      <c r="CC372" s="11"/>
      <c r="CD372" s="11"/>
      <c r="CE372" s="11"/>
      <c r="CF372" s="11"/>
      <c r="CG372" s="11"/>
      <c r="CH372" s="11"/>
      <c r="CI372" s="11"/>
      <c r="CJ372" s="11"/>
      <c r="CK372" s="11"/>
      <c r="CL372" s="11"/>
      <c r="CM372" s="11"/>
      <c r="CN372" s="11"/>
      <c r="CO372" s="11"/>
      <c r="CP372" s="11"/>
      <c r="CQ372" s="11"/>
      <c r="CR372" s="15"/>
      <c r="CS372" s="15"/>
      <c r="CT372" s="15"/>
      <c r="CU372" s="15"/>
    </row>
    <row r="373" spans="1:99" ht="12" customHeight="1" x14ac:dyDescent="0.2">
      <c r="A373" s="65">
        <v>43897</v>
      </c>
      <c r="B373" s="15" t="s">
        <v>409</v>
      </c>
      <c r="C373" s="15" t="s">
        <v>139</v>
      </c>
      <c r="D373" s="59">
        <v>1982</v>
      </c>
      <c r="E373" s="76">
        <v>1</v>
      </c>
      <c r="F373" s="60">
        <v>16</v>
      </c>
      <c r="G373" s="60">
        <v>16</v>
      </c>
      <c r="H373" s="59" t="s">
        <v>441</v>
      </c>
      <c r="I373" s="60" t="s">
        <v>330</v>
      </c>
      <c r="J373" s="60" t="s">
        <v>342</v>
      </c>
      <c r="K373" s="60">
        <f>IF(J373="syllables",1,IF(J373="trigrams",2,IF(J373="strings",3,IF(J373="visual array",4,IF(J373="characters",5,IF(J373="letters",6,IF(J373="free forms",7,IF(J373="odors",8,IF(J373="words",9,IF(J373="pictures",10,IF(J373="object pictures",11,IF(J373="faces",12,IF(J373="names",13,IF(J373="idioms",14,IF(J373="grades",15,IF(J373="syllable-digit pairs",16,IF(J373="trigram-word pairs",17,IF(J373="word-digit pairs",18,IF(J373="English-Swahili pairs",19,IF(J373="spatial position",20,IF(J373="word pairs",21,IF(J373="word triads",22,IF(J373="generated words",23,IF(J373="word definition pairs",24,IF(J373="math problems",25,IF(J373="famous faces",26,IF(J373="famous names",27,IF(J373="famous voices",28,IF(J373="television programs",29,IF(J373="race horses",30,IF(J373="new vocabulary",31,IF(J373="sentences",32,IF(J373="concepts",33,IF(J373="ad slides",34,IF(J373="scenes",35,IF(J373="famous scenes",36,IF(J373="poems",37,IF(J373="walk",38,IF(J373="faces and events",39,IF(J373="events and names",40,IF(J373="flashbulb",41,IF(J373="stories",42,IF(J373="course material",43,IF(J373="autobiographical",44,IF(J373="novels",45,IF(J373="public events",46,"99"))))))))))))))))))))))))))))))))))))))))))))))</f>
        <v>26</v>
      </c>
      <c r="L373" s="60">
        <f>IF(J373="syllables",1,IF(J373="trigrams",1,IF(J373="strings",1,IF(J373="visual array",1,IF(J373="characters",1,IF(J373="letters",1,IF(J373="free forms",1,IF(J373="odors",2,IF(J373="words",2,IF(J373="pictures",2,IF(J373="object pictures",2,IF(J373="faces",2,IF(J373="names",2,IF(J373="idioms","2",IF(J373="grades",2,IF(J373="syllable-digit pairs",3,IF(J373="trigram-word pairs",3,IF(J373="word-digit pairs",3,IF(J373="English-Swahili pairs",3,IF(J373="spatial position",3,IF(J373="word pairs",4,IF(J373="word triads",4,IF(J373="generated words",4,IF(J373="word definition pairs",4,IF(J373="math problems",4,IF(J373="famous faces",4,IF(J373="famous names",4,IF(J373="famous voices",4,IF(J373="television programs",4,IF(J373="race horses",4,IF(J373="new vocabulary",4,IF(J373="sentences",5,IF(J373="concepts",5,IF(J373="ad slides",5,IF(J373="scenes",5,IF(J373="famous scenes",5,IF(J373="poems",6,IF(J373="walk",6,IF(J373="faces and events",6,IF(J373="events and names",6,IF(J373="flashbulb",7,IF(J373="stories",7,IF(J373="course material",7,IF(J373="autobiographical",7,IF(J373="novels",7,IF(J373="public events",7,"99"))))))))))))))))))))))))))))))))))))))))))))))</f>
        <v>4</v>
      </c>
      <c r="M373" s="60">
        <v>1</v>
      </c>
      <c r="N373" s="61">
        <v>2</v>
      </c>
      <c r="O373" s="60">
        <v>0</v>
      </c>
      <c r="P373" s="60"/>
      <c r="Q373" s="60" t="s">
        <v>174</v>
      </c>
      <c r="R373" s="60">
        <f>IF(Q373="Free Recall",1,IF(Q373="Cued Recall",2,IF(Q373="Recognition",3,IF(Q373="Multiple Choice",4,IF(Q373="Savings",5,IF(Q373="Stem Completion",6,IF(Q373="Fragment Completion",7,IF(Q373="anagram solution",8,IF(Q373="Matching",9,IF(Q373="Problem Solving",10,"99"))))))))))</f>
        <v>1</v>
      </c>
      <c r="S373" s="60" t="s">
        <v>49</v>
      </c>
      <c r="T373" s="59" t="s">
        <v>581</v>
      </c>
      <c r="U373" s="60">
        <f>IF(T373="within",1,0)</f>
        <v>1</v>
      </c>
      <c r="V373" s="59">
        <v>132</v>
      </c>
      <c r="W373" s="60">
        <f>F373*V373</f>
        <v>2112</v>
      </c>
      <c r="X373" s="60">
        <v>5</v>
      </c>
      <c r="Y373" s="76">
        <f>AV372</f>
        <v>157680000</v>
      </c>
      <c r="Z373" s="60" t="s">
        <v>373</v>
      </c>
      <c r="AA373" s="60">
        <f>45*365*24*60*60</f>
        <v>1419120000</v>
      </c>
      <c r="AB373" s="60" t="str">
        <f>IF(AA373&lt;60,"1",IF(AA373&lt;=43200,"2",IF(AA373&lt;=777600,"3","4")))</f>
        <v>4</v>
      </c>
      <c r="AC373" s="56">
        <f>AVERAGE(AV372:DA372)</f>
        <v>788400000</v>
      </c>
      <c r="AD373" s="60" t="str">
        <f>IF(AC373&lt;60,"1",IF(AC373&lt;=43200,"2",IF(AC373&lt;=777600,"3","4")))</f>
        <v>4</v>
      </c>
      <c r="AE373" s="76">
        <f>AA373-Y373</f>
        <v>1261440000</v>
      </c>
      <c r="AF373" s="80">
        <f>AV373</f>
        <v>0.62857142857142867</v>
      </c>
      <c r="AG373" s="56">
        <f>((AW373-AV373)+(AX373-AW373)+(AY373-AX373)+(AZ373-AY373))/4</f>
        <v>-3.9495798319327743E-2</v>
      </c>
      <c r="AH373" s="4"/>
      <c r="AI373" s="56">
        <f>RSQ(AV373:AZ373,AV372:AZ372)</f>
        <v>0.87344096055965825</v>
      </c>
      <c r="AJ373" s="109">
        <f>SLOPE(AV373:AZ373,AV372:AZ372)</f>
        <v>-1.1704032775433666E-10</v>
      </c>
      <c r="AK373" s="56">
        <f>INTERCEPT(AV373:AZ373,AV372:AZ372)</f>
        <v>0.63635192383613237</v>
      </c>
      <c r="AL373" s="56">
        <f>INDEX(LINEST(LN(AV373:AZ373),LN(AV372:AZ372),TRUE,TRUE),3,1)</f>
        <v>0.86082901739918016</v>
      </c>
      <c r="AM373" s="56">
        <f>INDEX(LINEST(LN(AV373:AZ373),LN(AV372:AZ372)),1)</f>
        <v>-0.1217517685990107</v>
      </c>
      <c r="AN373" s="56">
        <f>EXP(INDEX(LINEST(LN(AV373:AZ373),LN(AV372:AZ372)),1,2))</f>
        <v>6.3670373636810425</v>
      </c>
      <c r="AO373" s="82">
        <f>INDEX(LINEST((AV373:AZ373),LN(AV372:AZ372),TRUE,TRUE),3,1)</f>
        <v>0.88155098032125712</v>
      </c>
      <c r="AP373" s="82">
        <f>INDEX(LINEST((AV373:AZ373),LN(AV372:AZ372)),1)</f>
        <v>-6.7432401778970405E-2</v>
      </c>
      <c r="AQ373" s="83">
        <f>INDEX(LINEST(LN(AV373:AZ373),SQRT(AV372:AZ372),TRUE,TRUE),3,1)</f>
        <v>0.88829232851164652</v>
      </c>
      <c r="AR373" s="116">
        <f>INDEX(LINEST(LN(AV373:AZ373),SQRT((AV372:AZ372))),1)</f>
        <v>-1.0899660875379E-5</v>
      </c>
      <c r="AS373" s="84">
        <f>INDEX(LINEST(1/(AV373:AZ373),1/(SQRT(AV372:AZ372)),TRUE,TRUE),3,1)</f>
        <v>0.76719224226146421</v>
      </c>
      <c r="AT373" s="84">
        <f>INDEX(LINEST(1/(AV373:AZ373),1/SQRT(AV372:AZ372)),1)</f>
        <v>-8576.894747886241</v>
      </c>
      <c r="AU373" s="3"/>
      <c r="AV373" s="53">
        <v>0.62857142857142867</v>
      </c>
      <c r="AW373" s="53">
        <v>0.58333333333333337</v>
      </c>
      <c r="AX373" s="53">
        <v>0.50769230769230766</v>
      </c>
      <c r="AY373" s="53">
        <v>0.53020134228187921</v>
      </c>
      <c r="AZ373" s="53">
        <v>0.4705882352941177</v>
      </c>
      <c r="BA373" s="11"/>
      <c r="BB373" s="11"/>
      <c r="BC373" s="11"/>
      <c r="BD373" s="11"/>
      <c r="BE373" s="11"/>
      <c r="BF373" s="11"/>
      <c r="BG373" s="11"/>
      <c r="BH373" s="11"/>
      <c r="BI373" s="11"/>
      <c r="BJ373" s="11"/>
      <c r="BK373" s="11"/>
      <c r="BL373" s="11"/>
      <c r="BM373" s="11"/>
      <c r="BN373" s="11"/>
      <c r="BO373" s="11"/>
      <c r="BP373" s="11"/>
      <c r="BQ373" s="11"/>
      <c r="BR373" s="11"/>
      <c r="BS373" s="11"/>
      <c r="BT373" s="11"/>
      <c r="BU373" s="11"/>
      <c r="BV373" s="11"/>
      <c r="BW373" s="11"/>
      <c r="BX373" s="11"/>
      <c r="BY373" s="11"/>
      <c r="BZ373" s="11"/>
      <c r="CA373" s="11"/>
      <c r="CB373" s="11"/>
      <c r="CC373" s="11"/>
      <c r="CD373" s="11"/>
      <c r="CE373" s="11"/>
      <c r="CF373" s="11"/>
      <c r="CG373" s="11"/>
      <c r="CH373" s="11"/>
      <c r="CI373" s="11"/>
      <c r="CJ373" s="11"/>
      <c r="CK373" s="11"/>
      <c r="CL373" s="11"/>
      <c r="CM373" s="11"/>
      <c r="CN373" s="11"/>
      <c r="CO373" s="11"/>
      <c r="CP373" s="11"/>
      <c r="CQ373" s="11"/>
      <c r="CR373" s="15"/>
      <c r="CS373" s="15"/>
      <c r="CT373" s="15"/>
      <c r="CU373" s="15"/>
    </row>
    <row r="374" spans="1:99" ht="12" customHeight="1" x14ac:dyDescent="0.2">
      <c r="A374" s="68">
        <v>43897</v>
      </c>
      <c r="B374" s="94"/>
      <c r="C374" s="94"/>
      <c r="D374" s="92"/>
      <c r="E374" s="87"/>
      <c r="F374" s="69"/>
      <c r="G374" s="69"/>
      <c r="H374" s="92"/>
      <c r="I374" s="69"/>
      <c r="J374" s="69"/>
      <c r="K374" s="107"/>
      <c r="L374" s="107"/>
      <c r="M374" s="69"/>
      <c r="N374" s="86"/>
      <c r="O374" s="69"/>
      <c r="P374" s="69"/>
      <c r="Q374" s="69"/>
      <c r="R374" s="69"/>
      <c r="S374" s="69"/>
      <c r="T374" s="69"/>
      <c r="U374" s="60"/>
      <c r="V374" s="69"/>
      <c r="W374" s="69"/>
      <c r="X374" s="69"/>
      <c r="Y374" s="87"/>
      <c r="Z374" s="92"/>
      <c r="AA374" s="92"/>
      <c r="AB374" s="69"/>
      <c r="AC374" s="72"/>
      <c r="AD374" s="69"/>
      <c r="AE374" s="69"/>
      <c r="AF374" s="88"/>
      <c r="AG374" s="72"/>
      <c r="AH374" s="4"/>
      <c r="AI374" s="72"/>
      <c r="AJ374" s="110"/>
      <c r="AK374" s="72"/>
      <c r="AL374" s="72"/>
      <c r="AM374" s="72"/>
      <c r="AN374" s="72"/>
      <c r="AO374" s="89"/>
      <c r="AP374" s="89"/>
      <c r="AQ374" s="90"/>
      <c r="AR374" s="117"/>
      <c r="AS374" s="91"/>
      <c r="AT374" s="91"/>
      <c r="AU374" s="3"/>
      <c r="AV374" s="71">
        <v>94608000</v>
      </c>
      <c r="AW374" s="71">
        <v>409968000</v>
      </c>
      <c r="AX374" s="71">
        <v>725328000</v>
      </c>
      <c r="AY374" s="71">
        <v>1040688000</v>
      </c>
      <c r="AZ374" s="71">
        <v>1324512000</v>
      </c>
      <c r="BA374" s="11"/>
      <c r="BB374" s="11"/>
      <c r="BC374" s="11"/>
      <c r="BD374" s="11"/>
      <c r="BE374" s="11"/>
      <c r="BF374" s="11"/>
      <c r="BG374" s="11"/>
      <c r="BH374" s="11"/>
      <c r="BI374" s="11"/>
      <c r="BJ374" s="11"/>
      <c r="BK374" s="11"/>
      <c r="BL374" s="11"/>
      <c r="BM374" s="11"/>
      <c r="BN374" s="11"/>
      <c r="BO374" s="11"/>
      <c r="BP374" s="11"/>
      <c r="BQ374" s="11"/>
      <c r="BR374" s="11"/>
      <c r="BS374" s="11"/>
      <c r="BT374" s="11"/>
      <c r="BU374" s="11"/>
      <c r="BV374" s="11"/>
      <c r="BW374" s="11"/>
      <c r="BX374" s="11"/>
      <c r="BY374" s="11"/>
      <c r="BZ374" s="11"/>
      <c r="CA374" s="11"/>
      <c r="CB374" s="11"/>
      <c r="CC374" s="11"/>
      <c r="CD374" s="11"/>
      <c r="CE374" s="11"/>
      <c r="CF374" s="11"/>
      <c r="CG374" s="11"/>
      <c r="CH374" s="11"/>
      <c r="CI374" s="11"/>
      <c r="CJ374" s="11"/>
      <c r="CK374" s="11"/>
      <c r="CL374" s="11"/>
      <c r="CM374" s="11"/>
      <c r="CN374" s="11"/>
      <c r="CO374" s="11"/>
      <c r="CP374" s="11"/>
      <c r="CQ374" s="11"/>
      <c r="CR374" s="15"/>
      <c r="CS374" s="15"/>
      <c r="CT374" s="15"/>
      <c r="CU374" s="15"/>
    </row>
    <row r="375" spans="1:99" ht="12" customHeight="1" x14ac:dyDescent="0.2">
      <c r="A375" s="68">
        <v>43897</v>
      </c>
      <c r="B375" s="94" t="s">
        <v>410</v>
      </c>
      <c r="C375" s="94" t="s">
        <v>401</v>
      </c>
      <c r="D375" s="92">
        <v>1989</v>
      </c>
      <c r="E375" s="87">
        <v>1</v>
      </c>
      <c r="F375" s="69">
        <v>8</v>
      </c>
      <c r="G375" s="69">
        <v>8</v>
      </c>
      <c r="H375" s="92" t="s">
        <v>50</v>
      </c>
      <c r="I375" s="69" t="s">
        <v>330</v>
      </c>
      <c r="J375" s="69" t="s">
        <v>342</v>
      </c>
      <c r="K375" s="69">
        <f>IF(J375="syllables",1,IF(J375="trigrams",2,IF(J375="strings",3,IF(J375="visual array",4,IF(J375="characters",5,IF(J375="letters",6,IF(J375="free forms",7,IF(J375="odors",8,IF(J375="words",9,IF(J375="pictures",10,IF(J375="object pictures",11,IF(J375="faces",12,IF(J375="names",13,IF(J375="idioms",14,IF(J375="grades",15,IF(J375="syllable-digit pairs",16,IF(J375="trigram-word pairs",17,IF(J375="word-digit pairs",18,IF(J375="English-Swahili pairs",19,IF(J375="spatial position",20,IF(J375="word pairs",21,IF(J375="word triads",22,IF(J375="generated words",23,IF(J375="word definition pairs",24,IF(J375="math problems",25,IF(J375="famous faces",26,IF(J375="famous names",27,IF(J375="famous voices",28,IF(J375="television programs",29,IF(J375="race horses",30,IF(J375="new vocabulary",31,IF(J375="sentences",32,IF(J375="concepts",33,IF(J375="ad slides",34,IF(J375="scenes",35,IF(J375="famous scenes",36,IF(J375="poems",37,IF(J375="walk",38,IF(J375="faces and events",39,IF(J375="events and names",40,IF(J375="flashbulb",41,IF(J375="stories",42,IF(J375="course material",43,IF(J375="autobiographical",44,IF(J375="novels",45,IF(J375="public events",46,"99"))))))))))))))))))))))))))))))))))))))))))))))</f>
        <v>26</v>
      </c>
      <c r="L375" s="69">
        <f>IF(J375="syllables",1,IF(J375="trigrams",1,IF(J375="strings",1,IF(J375="visual array",1,IF(J375="characters",1,IF(J375="letters",1,IF(J375="free forms",1,IF(J375="odors",2,IF(J375="words",2,IF(J375="pictures",2,IF(J375="object pictures",2,IF(J375="faces",2,IF(J375="names",2,IF(J375="idioms","2",IF(J375="grades",2,IF(J375="syllable-digit pairs",3,IF(J375="trigram-word pairs",3,IF(J375="word-digit pairs",3,IF(J375="English-Swahili pairs",3,IF(J375="spatial position",3,IF(J375="word pairs",4,IF(J375="word triads",4,IF(J375="generated words",4,IF(J375="word definition pairs",4,IF(J375="math problems",4,IF(J375="famous faces",4,IF(J375="famous names",4,IF(J375="famous voices",4,IF(J375="television programs",4,IF(J375="race horses",4,IF(J375="new vocabulary",4,IF(J375="sentences",5,IF(J375="concepts",5,IF(J375="ad slides",5,IF(J375="scenes",5,IF(J375="famous scenes",5,IF(J375="poems",6,IF(J375="walk",6,IF(J375="faces and events",6,IF(J375="events and names",6,IF(J375="flashbulb",7,IF(J375="stories",7,IF(J375="course material",7,IF(J375="autobiographical",7,IF(J375="novels",7,IF(J375="public events",7,"99"))))))))))))))))))))))))))))))))))))))))))))))</f>
        <v>4</v>
      </c>
      <c r="M375" s="69">
        <v>1</v>
      </c>
      <c r="N375" s="86">
        <v>2</v>
      </c>
      <c r="O375" s="69">
        <v>0</v>
      </c>
      <c r="P375" s="69"/>
      <c r="Q375" s="69" t="s">
        <v>34</v>
      </c>
      <c r="R375" s="69">
        <f>IF(Q375="Free Recall",1,IF(Q375="Cued Recall",2,IF(Q375="Recognition",3,IF(Q375="Multiple Choice",4,IF(Q375="Savings",5,IF(Q375="Stem Completion",6,IF(Q375="Fragment Completion",7,IF(Q375="anagram solution",8,IF(Q375="Matching",9,IF(Q375="Problem Solving",10,"99"))))))))))</f>
        <v>3</v>
      </c>
      <c r="S375" s="69" t="s">
        <v>15</v>
      </c>
      <c r="T375" s="92" t="s">
        <v>581</v>
      </c>
      <c r="U375" s="60">
        <f>IF(T375="within",1,0)</f>
        <v>1</v>
      </c>
      <c r="V375" s="92">
        <v>117</v>
      </c>
      <c r="W375" s="69">
        <f>F375*V375</f>
        <v>936</v>
      </c>
      <c r="X375" s="69">
        <v>5</v>
      </c>
      <c r="Y375" s="87">
        <f>AV374</f>
        <v>94608000</v>
      </c>
      <c r="Z375" s="69" t="s">
        <v>426</v>
      </c>
      <c r="AA375" s="69">
        <f>43*365*24*60*60</f>
        <v>1356048000</v>
      </c>
      <c r="AB375" s="69" t="str">
        <f>IF(AA375&lt;60,"1",IF(AA375&lt;=43200,"2",IF(AA375&lt;=777600,"3","4")))</f>
        <v>4</v>
      </c>
      <c r="AC375" s="72">
        <f>AVERAGE(AV374:DA374)</f>
        <v>719020800</v>
      </c>
      <c r="AD375" s="69" t="str">
        <f>IF(AC375&lt;60,"1",IF(AC375&lt;=43200,"2",IF(AC375&lt;=777600,"3","4")))</f>
        <v>4</v>
      </c>
      <c r="AE375" s="87">
        <f>AA375-Y375</f>
        <v>1261440000</v>
      </c>
      <c r="AF375" s="88">
        <f>AV375</f>
        <v>0.9242424242424242</v>
      </c>
      <c r="AG375" s="72">
        <f>((AW375-AV375)+(AX375-AW375)+(AY375-AX375)+(AZ375-AY375))/4</f>
        <v>-1.5374331550802117E-2</v>
      </c>
      <c r="AH375" s="4"/>
      <c r="AI375" s="72">
        <f>RSQ(AV375:AZ375,AV374:AZ374)</f>
        <v>0.7445346877895439</v>
      </c>
      <c r="AJ375" s="110">
        <f>SLOPE(AV375:AZ375,AV374:AZ374)</f>
        <v>-6.7939415194885644E-11</v>
      </c>
      <c r="AK375" s="72">
        <f>INTERCEPT(AV375:AZ375,AV374:AZ374)</f>
        <v>0.93570472146237216</v>
      </c>
      <c r="AL375" s="72">
        <f>INDEX(LINEST(LN(AV375:AZ375),LN(AV374:AZ374),TRUE,TRUE),3,1)</f>
        <v>0.6154072589570645</v>
      </c>
      <c r="AM375" s="72">
        <f>INDEX(LINEST(LN(AV375:AZ375),LN(AV374:AZ374)),1)</f>
        <v>-3.2643197617842429E-2</v>
      </c>
      <c r="AN375" s="72">
        <f>EXP(INDEX(LINEST(LN(AV375:AZ375),LN(AV374:AZ374)),1,2))</f>
        <v>1.7064587577554566</v>
      </c>
      <c r="AO375" s="89">
        <f>INDEX(LINEST((AV375:AZ375),LN(AV374:AZ374),TRUE,TRUE),3,1)</f>
        <v>0.62586279960006663</v>
      </c>
      <c r="AP375" s="89">
        <f>INDEX(LINEST((AV375:AZ375),LN(AV374:AZ374)),1)</f>
        <v>-2.8940387509412385E-2</v>
      </c>
      <c r="AQ375" s="90">
        <f>INDEX(LINEST(LN(AV375:AZ375),SQRT(AV374:AZ374),TRUE,TRUE),3,1)</f>
        <v>0.70445139869747797</v>
      </c>
      <c r="AR375" s="117">
        <f>INDEX(LINEST(LN(AV375:AZ375),SQRT((AV374:AZ374))),1)</f>
        <v>-3.4949253294466101E-6</v>
      </c>
      <c r="AS375" s="91">
        <f>INDEX(LINEST(1/(AV375:AZ375),1/(SQRT(AV374:AZ374)),TRUE,TRUE),3,1)</f>
        <v>0.49350204455660129</v>
      </c>
      <c r="AT375" s="91">
        <f>INDEX(LINEST(1/(AV375:AZ375),1/SQRT(AV374:AZ374)),1)</f>
        <v>-1132.6569170876721</v>
      </c>
      <c r="AU375" s="3"/>
      <c r="AV375" s="73">
        <v>0.9242424242424242</v>
      </c>
      <c r="AW375" s="73">
        <v>0.91860465116279078</v>
      </c>
      <c r="AX375" s="73">
        <v>0.89534883720930236</v>
      </c>
      <c r="AY375" s="73">
        <v>0.83333333333333337</v>
      </c>
      <c r="AZ375" s="73">
        <v>0.86274509803921573</v>
      </c>
      <c r="BA375" s="11"/>
      <c r="BB375" s="11"/>
      <c r="BC375" s="11"/>
      <c r="BD375" s="11"/>
      <c r="BE375" s="11"/>
      <c r="BF375" s="11"/>
      <c r="BG375" s="11"/>
      <c r="BH375" s="11"/>
      <c r="BI375" s="11"/>
      <c r="BJ375" s="11"/>
      <c r="BK375" s="11"/>
      <c r="BL375" s="11"/>
      <c r="BM375" s="11"/>
      <c r="BN375" s="11"/>
      <c r="BO375" s="11"/>
      <c r="BP375" s="11"/>
      <c r="BQ375" s="11"/>
      <c r="BR375" s="11"/>
      <c r="BS375" s="11"/>
      <c r="BT375" s="11"/>
      <c r="BU375" s="11"/>
      <c r="BV375" s="11"/>
      <c r="BW375" s="11"/>
      <c r="BX375" s="11"/>
      <c r="BY375" s="11"/>
      <c r="BZ375" s="11"/>
      <c r="CA375" s="11"/>
      <c r="CB375" s="11"/>
      <c r="CC375" s="11"/>
      <c r="CD375" s="11"/>
      <c r="CE375" s="11"/>
      <c r="CF375" s="11"/>
      <c r="CG375" s="11"/>
      <c r="CH375" s="11"/>
      <c r="CI375" s="11"/>
      <c r="CJ375" s="11"/>
      <c r="CK375" s="11"/>
      <c r="CL375" s="11"/>
      <c r="CM375" s="11"/>
      <c r="CN375" s="11"/>
      <c r="CO375" s="11"/>
      <c r="CP375" s="11"/>
      <c r="CQ375" s="11"/>
      <c r="CR375" s="15"/>
      <c r="CS375" s="15"/>
      <c r="CT375" s="15"/>
      <c r="CU375" s="15"/>
    </row>
    <row r="376" spans="1:99" s="13" customFormat="1" ht="12" customHeight="1" x14ac:dyDescent="0.2">
      <c r="A376" s="68">
        <v>43900</v>
      </c>
      <c r="B376" s="70"/>
      <c r="C376" s="70"/>
      <c r="D376" s="69"/>
      <c r="E376" s="87"/>
      <c r="F376" s="69"/>
      <c r="G376" s="69"/>
      <c r="H376" s="69"/>
      <c r="I376" s="69"/>
      <c r="J376" s="69"/>
      <c r="K376" s="107"/>
      <c r="L376" s="107"/>
      <c r="M376" s="69"/>
      <c r="N376" s="86"/>
      <c r="O376" s="69"/>
      <c r="P376" s="69"/>
      <c r="Q376" s="69"/>
      <c r="R376" s="69"/>
      <c r="S376" s="69"/>
      <c r="T376" s="69"/>
      <c r="U376" s="60"/>
      <c r="V376" s="69"/>
      <c r="W376" s="69"/>
      <c r="X376" s="69"/>
      <c r="Y376" s="87"/>
      <c r="Z376" s="69"/>
      <c r="AA376" s="69"/>
      <c r="AB376" s="69"/>
      <c r="AC376" s="72"/>
      <c r="AD376" s="69"/>
      <c r="AE376" s="69"/>
      <c r="AF376" s="88"/>
      <c r="AG376" s="72"/>
      <c r="AH376" s="4"/>
      <c r="AI376" s="72"/>
      <c r="AJ376" s="110"/>
      <c r="AK376" s="72"/>
      <c r="AL376" s="72"/>
      <c r="AM376" s="72"/>
      <c r="AN376" s="72"/>
      <c r="AO376" s="89"/>
      <c r="AP376" s="89"/>
      <c r="AQ376" s="90"/>
      <c r="AR376" s="117"/>
      <c r="AS376" s="91"/>
      <c r="AT376" s="91"/>
      <c r="AU376" s="3"/>
      <c r="AV376" s="71">
        <v>6307200</v>
      </c>
      <c r="AW376" s="71">
        <v>126144000</v>
      </c>
      <c r="AX376" s="71">
        <v>189216000</v>
      </c>
      <c r="AY376" s="71">
        <v>252880000</v>
      </c>
      <c r="AZ376" s="71">
        <v>315360000</v>
      </c>
      <c r="BA376" s="71">
        <v>378432000</v>
      </c>
      <c r="BB376" s="71">
        <v>441504000</v>
      </c>
      <c r="BC376" s="71">
        <v>504576000</v>
      </c>
      <c r="BD376" s="53"/>
      <c r="BE376" s="53"/>
      <c r="BF376" s="53"/>
      <c r="BG376" s="53"/>
      <c r="BH376" s="53"/>
      <c r="BI376" s="53"/>
      <c r="BJ376" s="53"/>
      <c r="BK376" s="53"/>
      <c r="BL376" s="53"/>
      <c r="BM376" s="53"/>
      <c r="BN376" s="53"/>
      <c r="BO376" s="53"/>
      <c r="BP376" s="53"/>
      <c r="BQ376" s="53"/>
      <c r="BR376" s="53"/>
      <c r="BS376" s="53"/>
      <c r="BT376" s="53"/>
      <c r="BU376" s="53"/>
      <c r="BV376" s="53"/>
      <c r="BW376" s="53"/>
      <c r="BX376" s="53"/>
      <c r="BY376" s="53"/>
      <c r="BZ376" s="53"/>
      <c r="CA376" s="53"/>
      <c r="CB376" s="53"/>
      <c r="CC376" s="53"/>
      <c r="CD376" s="53"/>
      <c r="CE376" s="53"/>
      <c r="CF376" s="53"/>
      <c r="CG376" s="53"/>
      <c r="CH376" s="53"/>
      <c r="CI376" s="53"/>
      <c r="CJ376" s="53"/>
      <c r="CK376" s="53"/>
      <c r="CL376" s="53"/>
      <c r="CM376" s="53"/>
      <c r="CN376" s="53"/>
      <c r="CO376" s="53"/>
      <c r="CP376" s="53"/>
      <c r="CQ376" s="53"/>
      <c r="CR376" s="1"/>
      <c r="CS376" s="1"/>
      <c r="CT376" s="1"/>
      <c r="CU376" s="1"/>
    </row>
    <row r="377" spans="1:99" s="13" customFormat="1" ht="12" customHeight="1" x14ac:dyDescent="0.2">
      <c r="A377" s="68">
        <v>43900</v>
      </c>
      <c r="B377" s="70" t="s">
        <v>420</v>
      </c>
      <c r="C377" s="70" t="s">
        <v>421</v>
      </c>
      <c r="D377" s="69">
        <v>1975</v>
      </c>
      <c r="E377" s="87">
        <v>1</v>
      </c>
      <c r="F377" s="69">
        <v>17</v>
      </c>
      <c r="G377" s="69">
        <v>17</v>
      </c>
      <c r="H377" s="69" t="s">
        <v>50</v>
      </c>
      <c r="I377" s="69" t="s">
        <v>422</v>
      </c>
      <c r="J377" s="69" t="s">
        <v>376</v>
      </c>
      <c r="K377" s="69">
        <f>IF(J377="syllables",1,IF(J377="trigrams",2,IF(J377="strings",3,IF(J377="visual array",4,IF(J377="characters",5,IF(J377="letters",6,IF(J377="free forms",7,IF(J377="odors",8,IF(J377="words",9,IF(J377="pictures",10,IF(J377="object pictures",11,IF(J377="faces",12,IF(J377="names",13,IF(J377="idioms",14,IF(J377="grades",15,IF(J377="syllable-digit pairs",16,IF(J377="trigram-word pairs",17,IF(J377="word-digit pairs",18,IF(J377="English-Swahili pairs",19,IF(J377="spatial position",20,IF(J377="word pairs",21,IF(J377="word triads",22,IF(J377="generated words",23,IF(J377="word definition pairs",24,IF(J377="math problems",25,IF(J377="famous faces",26,IF(J377="famous names",27,IF(J377="famous voices",28,IF(J377="television programs",29,IF(J377="race horses",30,IF(J377="new vocabulary",31,IF(J377="sentences",32,IF(J377="concepts",33,IF(J377="ad slides",34,IF(J377="scenes",35,IF(J377="famous scenes",36,IF(J377="poems",37,IF(J377="walk",38,IF(J377="faces and events",39,IF(J377="events and names",40,IF(J377="flashbulb",41,IF(J377="stories",42,IF(J377="course material",43,IF(J377="autobiographical",44,IF(J377="novels",45,IF(J377="public events",46,"99"))))))))))))))))))))))))))))))))))))))))))))))</f>
        <v>29</v>
      </c>
      <c r="L377" s="69">
        <f>IF(J377="syllables",1,IF(J377="trigrams",1,IF(J377="strings",1,IF(J377="visual array",1,IF(J377="characters",1,IF(J377="letters",1,IF(J377="free forms",1,IF(J377="odors",2,IF(J377="words",2,IF(J377="pictures",2,IF(J377="object pictures",2,IF(J377="faces",2,IF(J377="names",2,IF(J377="idioms","2",IF(J377="grades",2,IF(J377="syllable-digit pairs",3,IF(J377="trigram-word pairs",3,IF(J377="word-digit pairs",3,IF(J377="English-Swahili pairs",3,IF(J377="spatial position",3,IF(J377="word pairs",4,IF(J377="word triads",4,IF(J377="generated words",4,IF(J377="word definition pairs",4,IF(J377="math problems",4,IF(J377="famous faces",4,IF(J377="famous names",4,IF(J377="famous voices",4,IF(J377="television programs",4,IF(J377="race horses",4,IF(J377="new vocabulary",4,IF(J377="sentences",5,IF(J377="concepts",5,IF(J377="ad slides",5,IF(J377="scenes",5,IF(J377="famous scenes",5,IF(J377="poems",6,IF(J377="walk",6,IF(J377="faces and events",6,IF(J377="events and names",6,IF(J377="flashbulb",7,IF(J377="stories",7,IF(J377="course material",7,IF(J377="autobiographical",7,IF(J377="novels",7,IF(J377="public events",7,"99"))))))))))))))))))))))))))))))))))))))))))))))</f>
        <v>4</v>
      </c>
      <c r="M377" s="69">
        <v>1</v>
      </c>
      <c r="N377" s="86">
        <v>3</v>
      </c>
      <c r="O377" s="69">
        <v>0</v>
      </c>
      <c r="P377" s="69"/>
      <c r="Q377" s="69" t="s">
        <v>34</v>
      </c>
      <c r="R377" s="69">
        <f>IF(Q377="Free Recall",1,IF(Q377="Cued Recall",2,IF(Q377="Recognition",3,IF(Q377="Multiple Choice",4,IF(Q377="Savings",5,IF(Q377="Stem Completion",6,IF(Q377="Fragment Completion",7,IF(Q377="anagram solution",8,IF(Q377="Matching",9,IF(Q377="Problem Solving",10,"99"))))))))))</f>
        <v>3</v>
      </c>
      <c r="S377" s="69" t="s">
        <v>15</v>
      </c>
      <c r="T377" s="92" t="s">
        <v>581</v>
      </c>
      <c r="U377" s="60">
        <f>IF(T377="within",1,0)</f>
        <v>1</v>
      </c>
      <c r="V377" s="92">
        <v>213</v>
      </c>
      <c r="W377" s="69">
        <f>F377*V377</f>
        <v>3621</v>
      </c>
      <c r="X377" s="69">
        <v>8</v>
      </c>
      <c r="Y377" s="87">
        <f>AV376</f>
        <v>6307200</v>
      </c>
      <c r="Z377" s="69" t="s">
        <v>217</v>
      </c>
      <c r="AA377" s="69">
        <f>16*365*24*60*60</f>
        <v>504576000</v>
      </c>
      <c r="AB377" s="69" t="str">
        <f>IF(AA377&lt;60,"1",IF(AA377&lt;=43200,"2",IF(AA377&lt;=777600,"3","4")))</f>
        <v>4</v>
      </c>
      <c r="AC377" s="72">
        <f>AVERAGE(AV376:DA376)</f>
        <v>276802400</v>
      </c>
      <c r="AD377" s="69" t="str">
        <f>IF(AC377&lt;60,"1",IF(AC377&lt;=43200,"2",IF(AC377&lt;=777600,"3","4")))</f>
        <v>4</v>
      </c>
      <c r="AE377" s="87">
        <f>AA377-Y377</f>
        <v>498268800</v>
      </c>
      <c r="AF377" s="88">
        <f>AV377</f>
        <v>0.77</v>
      </c>
      <c r="AG377" s="72">
        <f>((AW377-AV377)+(AX377-AW377)+(AY377-AX377)+(AZ377-AY377)+(BA377-AZ377)+(BB377-BA377)+(BC377-BB377))/7</f>
        <v>-5.7142857142857148E-2</v>
      </c>
      <c r="AH377" s="4"/>
      <c r="AI377" s="72">
        <f>RSQ(AV377:BC377,AV376:BC376)</f>
        <v>0.84165197076778375</v>
      </c>
      <c r="AJ377" s="110">
        <f>SLOPE(AV377:BC377,AV376:BC376)</f>
        <v>-7.1302573686738804E-10</v>
      </c>
      <c r="AK377" s="72">
        <f>INTERCEPT(AV377:BC377,AV376:BC376)</f>
        <v>0.77486723522666145</v>
      </c>
      <c r="AL377" s="72">
        <f>INDEX(LINEST(LN(AV377:BC377),LN(AV376:BC376),TRUE,TRUE),3,1)</f>
        <v>0.55746450996835839</v>
      </c>
      <c r="AM377" s="72">
        <f>INDEX(LINEST(LN(AV377:BC377),LN(AV376:BC376)),1)</f>
        <v>-0.12062843784819145</v>
      </c>
      <c r="AN377" s="72">
        <f>EXP(INDEX(LINEST(LN(AV377:BC377),LN(AV376:BC376)),1,2))</f>
        <v>5.5842990177231622</v>
      </c>
      <c r="AO377" s="89">
        <f>INDEX(LINEST((AV377:BC377),LN(AV376:BC376),TRUE,TRUE),3,1)</f>
        <v>0.63276134437053455</v>
      </c>
      <c r="AP377" s="89">
        <f>INDEX(LINEST((AV377:BC377),LN(AV376:BC376)),1)</f>
        <v>-7.241424936809765E-2</v>
      </c>
      <c r="AQ377" s="90">
        <f>INDEX(LINEST(LN(AV377:BC377),SQRT(AV376:BC376),TRUE,TRUE),3,1)</f>
        <v>0.74457930315813836</v>
      </c>
      <c r="AR377" s="117">
        <f>INDEX(LINEST(LN(AV377:BC377),SQRT((AV376:BC376))),1)</f>
        <v>-3.0873369077025697E-5</v>
      </c>
      <c r="AS377" s="91">
        <f>INDEX(LINEST(1/(AV377:BC377),1/(SQRT(AV376:BC376)),TRUE,TRUE),3,1)</f>
        <v>0.31392980893542943</v>
      </c>
      <c r="AT377" s="91">
        <f>INDEX(LINEST(1/(AV377:BC377),1/SQRT(AV376:BC376)),1)</f>
        <v>-2023.0593240898297</v>
      </c>
      <c r="AU377" s="3"/>
      <c r="AV377" s="73">
        <v>0.77</v>
      </c>
      <c r="AW377" s="73">
        <v>0.75</v>
      </c>
      <c r="AX377" s="73">
        <v>0.59</v>
      </c>
      <c r="AY377" s="73">
        <v>0.53</v>
      </c>
      <c r="AZ377" s="73">
        <v>0.54</v>
      </c>
      <c r="BA377" s="73">
        <v>0.55000000000000004</v>
      </c>
      <c r="BB377" s="73">
        <v>0.52</v>
      </c>
      <c r="BC377" s="73">
        <v>0.37</v>
      </c>
      <c r="BD377" s="53"/>
      <c r="BE377" s="53"/>
      <c r="BF377" s="53"/>
      <c r="BG377" s="53"/>
      <c r="BH377" s="53"/>
      <c r="BI377" s="53"/>
      <c r="BJ377" s="53"/>
      <c r="BK377" s="53"/>
      <c r="BL377" s="53"/>
      <c r="BM377" s="53"/>
      <c r="BN377" s="53"/>
      <c r="BO377" s="53"/>
      <c r="BP377" s="53"/>
      <c r="BQ377" s="53"/>
      <c r="BR377" s="53"/>
      <c r="BS377" s="53"/>
      <c r="BT377" s="53"/>
      <c r="BU377" s="53"/>
      <c r="BV377" s="53"/>
      <c r="BW377" s="53"/>
      <c r="BX377" s="53"/>
      <c r="BY377" s="53"/>
      <c r="BZ377" s="53"/>
      <c r="CA377" s="53"/>
      <c r="CB377" s="53"/>
      <c r="CC377" s="53"/>
      <c r="CD377" s="53"/>
      <c r="CE377" s="53"/>
      <c r="CF377" s="53"/>
      <c r="CG377" s="53"/>
      <c r="CH377" s="53"/>
      <c r="CI377" s="53"/>
      <c r="CJ377" s="53"/>
      <c r="CK377" s="53"/>
      <c r="CL377" s="53"/>
      <c r="CM377" s="53"/>
      <c r="CN377" s="53"/>
      <c r="CO377" s="53"/>
      <c r="CP377" s="53"/>
      <c r="CQ377" s="53"/>
      <c r="CR377" s="1"/>
      <c r="CS377" s="1"/>
      <c r="CT377" s="1"/>
      <c r="CU377" s="1"/>
    </row>
    <row r="378" spans="1:99" s="13" customFormat="1" ht="12" customHeight="1" x14ac:dyDescent="0.2">
      <c r="A378" s="68">
        <v>43900</v>
      </c>
      <c r="B378" s="70"/>
      <c r="C378" s="70"/>
      <c r="D378" s="69"/>
      <c r="E378" s="87"/>
      <c r="F378" s="69"/>
      <c r="G378" s="69"/>
      <c r="H378" s="69"/>
      <c r="I378" s="69"/>
      <c r="J378" s="69"/>
      <c r="K378" s="107"/>
      <c r="L378" s="107"/>
      <c r="M378" s="69"/>
      <c r="N378" s="86"/>
      <c r="O378" s="69"/>
      <c r="P378" s="69"/>
      <c r="Q378" s="69"/>
      <c r="R378" s="69"/>
      <c r="S378" s="69"/>
      <c r="T378" s="69"/>
      <c r="U378" s="60"/>
      <c r="V378" s="69"/>
      <c r="W378" s="69"/>
      <c r="X378" s="69"/>
      <c r="Y378" s="87"/>
      <c r="Z378" s="69"/>
      <c r="AA378" s="69"/>
      <c r="AB378" s="69"/>
      <c r="AC378" s="72"/>
      <c r="AD378" s="69"/>
      <c r="AE378" s="69"/>
      <c r="AF378" s="88"/>
      <c r="AG378" s="72"/>
      <c r="AH378" s="4"/>
      <c r="AI378" s="72"/>
      <c r="AJ378" s="110"/>
      <c r="AK378" s="72"/>
      <c r="AL378" s="72"/>
      <c r="AM378" s="72"/>
      <c r="AN378" s="72"/>
      <c r="AO378" s="89"/>
      <c r="AP378" s="89"/>
      <c r="AQ378" s="90"/>
      <c r="AR378" s="117"/>
      <c r="AS378" s="91"/>
      <c r="AT378" s="91"/>
      <c r="AU378" s="3"/>
      <c r="AV378" s="71">
        <v>6307200</v>
      </c>
      <c r="AW378" s="71">
        <v>126144000</v>
      </c>
      <c r="AX378" s="71">
        <v>189216000</v>
      </c>
      <c r="AY378" s="71">
        <v>252880000</v>
      </c>
      <c r="AZ378" s="71">
        <v>315360000</v>
      </c>
      <c r="BA378" s="71">
        <v>378432000</v>
      </c>
      <c r="BB378" s="71">
        <v>441504000</v>
      </c>
      <c r="BC378" s="71">
        <v>504576000</v>
      </c>
      <c r="BD378" s="53"/>
      <c r="BE378" s="53"/>
      <c r="BF378" s="53"/>
      <c r="BG378" s="53"/>
      <c r="BH378" s="53"/>
      <c r="BI378" s="53"/>
      <c r="BJ378" s="53"/>
      <c r="BK378" s="53"/>
      <c r="BL378" s="53"/>
      <c r="BM378" s="53"/>
      <c r="BN378" s="53"/>
      <c r="BO378" s="53"/>
      <c r="BP378" s="53"/>
      <c r="BQ378" s="53"/>
      <c r="BR378" s="53"/>
      <c r="BS378" s="53"/>
      <c r="BT378" s="53"/>
      <c r="BU378" s="53"/>
      <c r="BV378" s="53"/>
      <c r="BW378" s="53"/>
      <c r="BX378" s="53"/>
      <c r="BY378" s="53"/>
      <c r="BZ378" s="53"/>
      <c r="CA378" s="53"/>
      <c r="CB378" s="53"/>
      <c r="CC378" s="53"/>
      <c r="CD378" s="53"/>
      <c r="CE378" s="53"/>
      <c r="CF378" s="53"/>
      <c r="CG378" s="53"/>
      <c r="CH378" s="53"/>
      <c r="CI378" s="53"/>
      <c r="CJ378" s="53"/>
      <c r="CK378" s="53"/>
      <c r="CL378" s="53"/>
      <c r="CM378" s="53"/>
      <c r="CN378" s="53"/>
      <c r="CO378" s="53"/>
      <c r="CP378" s="53"/>
      <c r="CQ378" s="53"/>
      <c r="CR378" s="1"/>
      <c r="CS378" s="1"/>
      <c r="CT378" s="1"/>
      <c r="CU378" s="1"/>
    </row>
    <row r="379" spans="1:99" s="13" customFormat="1" ht="12" customHeight="1" x14ac:dyDescent="0.2">
      <c r="A379" s="68">
        <v>43900</v>
      </c>
      <c r="B379" s="70" t="s">
        <v>420</v>
      </c>
      <c r="C379" s="70" t="s">
        <v>421</v>
      </c>
      <c r="D379" s="69">
        <v>1975</v>
      </c>
      <c r="E379" s="87">
        <v>1</v>
      </c>
      <c r="F379" s="69">
        <v>42</v>
      </c>
      <c r="G379" s="69">
        <v>42</v>
      </c>
      <c r="H379" s="69" t="s">
        <v>41</v>
      </c>
      <c r="I379" s="69" t="s">
        <v>422</v>
      </c>
      <c r="J379" s="69" t="s">
        <v>423</v>
      </c>
      <c r="K379" s="69">
        <f>IF(J379="syllables",1,IF(J379="trigrams",2,IF(J379="strings",3,IF(J379="visual array",4,IF(J379="characters",5,IF(J379="letters",6,IF(J379="free forms",7,IF(J379="odors",8,IF(J379="words",9,IF(J379="pictures",10,IF(J379="object pictures",11,IF(J379="faces",12,IF(J379="names",13,IF(J379="idioms",14,IF(J379="grades",15,IF(J379="syllable-digit pairs",16,IF(J379="trigram-word pairs",17,IF(J379="word-digit pairs",18,IF(J379="English-Swahili pairs",19,IF(J379="spatial position",20,IF(J379="word pairs",21,IF(J379="word triads",22,IF(J379="generated words",23,IF(J379="word definition pairs",24,IF(J379="math problems",25,IF(J379="famous faces",26,IF(J379="famous names",27,IF(J379="famous voices",28,IF(J379="television programs",29,IF(J379="race horses",30,IF(J379="new vocabulary",31,IF(J379="sentences",32,IF(J379="concepts",33,IF(J379="ad slides",34,IF(J379="scenes",35,IF(J379="famous scenes",36,IF(J379="poems",37,IF(J379="walk",38,IF(J379="faces and events",39,IF(J379="events and names",40,IF(J379="flashbulb",41,IF(J379="stories",42,IF(J379="course material",43,IF(J379="autobiographical",44,IF(J379="novels",45,IF(J379="public events",46,"99"))))))))))))))))))))))))))))))))))))))))))))))</f>
        <v>30</v>
      </c>
      <c r="L379" s="69">
        <f>IF(J379="syllables",1,IF(J379="trigrams",1,IF(J379="strings",1,IF(J379="visual array",1,IF(J379="characters",1,IF(J379="letters",1,IF(J379="free forms",1,IF(J379="odors",2,IF(J379="words",2,IF(J379="pictures",2,IF(J379="object pictures",2,IF(J379="faces",2,IF(J379="names",2,IF(J379="idioms","2",IF(J379="grades",2,IF(J379="syllable-digit pairs",3,IF(J379="trigram-word pairs",3,IF(J379="word-digit pairs",3,IF(J379="English-Swahili pairs",3,IF(J379="spatial position",3,IF(J379="word pairs",4,IF(J379="word triads",4,IF(J379="generated words",4,IF(J379="word definition pairs",4,IF(J379="math problems",4,IF(J379="famous faces",4,IF(J379="famous names",4,IF(J379="famous voices",4,IF(J379="television programs",4,IF(J379="race horses",4,IF(J379="new vocabulary",4,IF(J379="sentences",5,IF(J379="concepts",5,IF(J379="ad slides",5,IF(J379="scenes",5,IF(J379="famous scenes",5,IF(J379="poems",6,IF(J379="walk",6,IF(J379="faces and events",6,IF(J379="events and names",6,IF(J379="flashbulb",7,IF(J379="stories",7,IF(J379="course material",7,IF(J379="autobiographical",7,IF(J379="novels",7,IF(J379="public events",7,"99"))))))))))))))))))))))))))))))))))))))))))))))</f>
        <v>4</v>
      </c>
      <c r="M379" s="69">
        <v>1</v>
      </c>
      <c r="N379" s="86">
        <v>3</v>
      </c>
      <c r="O379" s="69">
        <v>0</v>
      </c>
      <c r="P379" s="69"/>
      <c r="Q379" s="69" t="s">
        <v>34</v>
      </c>
      <c r="R379" s="69">
        <f>IF(Q379="Free Recall",1,IF(Q379="Cued Recall",2,IF(Q379="Recognition",3,IF(Q379="Multiple Choice",4,IF(Q379="Savings",5,IF(Q379="Stem Completion",6,IF(Q379="Fragment Completion",7,IF(Q379="anagram solution",8,IF(Q379="Matching",9,IF(Q379="Problem Solving",10,"99"))))))))))</f>
        <v>3</v>
      </c>
      <c r="S379" s="69" t="s">
        <v>15</v>
      </c>
      <c r="T379" s="92" t="s">
        <v>581</v>
      </c>
      <c r="U379" s="60">
        <f>IF(T379="within",1,0)</f>
        <v>1</v>
      </c>
      <c r="V379" s="92">
        <v>39</v>
      </c>
      <c r="W379" s="69">
        <f>F379*V379</f>
        <v>1638</v>
      </c>
      <c r="X379" s="69">
        <v>8</v>
      </c>
      <c r="Y379" s="87">
        <f>AV378</f>
        <v>6307200</v>
      </c>
      <c r="Z379" s="69" t="s">
        <v>217</v>
      </c>
      <c r="AA379" s="69">
        <f>16*365*24*60*60</f>
        <v>504576000</v>
      </c>
      <c r="AB379" s="69" t="str">
        <f>IF(AA379&lt;60,"1",IF(AA379&lt;=43200,"2",IF(AA379&lt;=777600,"3","4")))</f>
        <v>4</v>
      </c>
      <c r="AC379" s="72">
        <f>AVERAGE(AV378:DA378)</f>
        <v>276802400</v>
      </c>
      <c r="AD379" s="69" t="str">
        <f>IF(AC379&lt;60,"1",IF(AC379&lt;=43200,"2",IF(AC379&lt;=777600,"3","4")))</f>
        <v>4</v>
      </c>
      <c r="AE379" s="87">
        <f>AA379-Y379</f>
        <v>498268800</v>
      </c>
      <c r="AF379" s="88">
        <f>AV379</f>
        <v>0.52</v>
      </c>
      <c r="AG379" s="72">
        <f>((AW379-AV379)+(AX379-AW379)+(AY379-AX379)+(AZ379-AY379)+(BA379-AZ379)+(BB379-BA379)+(BC379-BB379))/7</f>
        <v>-1.428571428571429E-2</v>
      </c>
      <c r="AH379" s="4"/>
      <c r="AI379" s="72">
        <f>RSQ(AV379:BC379,AV378:BC378)</f>
        <v>0.41485514313612515</v>
      </c>
      <c r="AJ379" s="110">
        <f>SLOPE(AV379:BC379,AV378:BC378)</f>
        <v>-2.1140553926577457E-10</v>
      </c>
      <c r="AK379" s="72">
        <f>INTERCEPT(AV379:BC379,AV378:BC378)</f>
        <v>0.50851756064206066</v>
      </c>
      <c r="AL379" s="72">
        <f>INDEX(LINEST(LN(AV379:BC379),LN(AV378:BC378),TRUE,TRUE),3,1)</f>
        <v>0.43017657743839155</v>
      </c>
      <c r="AM379" s="72">
        <f>INDEX(LINEST(LN(AV379:BC379),LN(AV378:BC378)),1)</f>
        <v>-5.3262785369837355E-2</v>
      </c>
      <c r="AN379" s="72">
        <f>EXP(INDEX(LINEST(LN(AV379:BC379),LN(AV378:BC378)),1,2))</f>
        <v>1.2303644974538894</v>
      </c>
      <c r="AO379" s="89">
        <f>INDEX(LINEST((AV379:BC379),LN(AV378:BC378),TRUE,TRUE),3,1)</f>
        <v>0.42721848718458738</v>
      </c>
      <c r="AP379" s="89">
        <f>INDEX(LINEST((AV379:BC379),LN(AV378:BC378)),1)</f>
        <v>-2.5128020144778281E-2</v>
      </c>
      <c r="AQ379" s="90">
        <f>INDEX(LINEST(LN(AV379:BC379),SQRT(AV378:BC378),TRUE,TRUE),3,1)</f>
        <v>0.46427879106537523</v>
      </c>
      <c r="AR379" s="117">
        <f>INDEX(LINEST(LN(AV379:BC379),SQRT((AV378:BC378))),1)</f>
        <v>-1.2253985710145961E-5</v>
      </c>
      <c r="AS379" s="91">
        <f>INDEX(LINEST(1/(AV379:BC379),1/(SQRT(AV378:BC378)),TRUE,TRUE),3,1)</f>
        <v>0.35264088979053837</v>
      </c>
      <c r="AT379" s="91">
        <f>INDEX(LINEST(1/(AV379:BC379),1/SQRT(AV378:BC378)),1)</f>
        <v>-1215.8032699521555</v>
      </c>
      <c r="AU379" s="3"/>
      <c r="AV379" s="73">
        <v>0.52</v>
      </c>
      <c r="AW379" s="73">
        <v>0.55000000000000004</v>
      </c>
      <c r="AX379" s="73">
        <v>0.41</v>
      </c>
      <c r="AY379" s="73">
        <v>0.41</v>
      </c>
      <c r="AZ379" s="73">
        <v>0.41</v>
      </c>
      <c r="BA379" s="73">
        <v>0.45</v>
      </c>
      <c r="BB379" s="73">
        <v>0.43</v>
      </c>
      <c r="BC379" s="73">
        <v>0.42</v>
      </c>
      <c r="BD379" s="53"/>
      <c r="BE379" s="53"/>
      <c r="BF379" s="53"/>
      <c r="BG379" s="53"/>
      <c r="BH379" s="53"/>
      <c r="BI379" s="53"/>
      <c r="BJ379" s="53"/>
      <c r="BK379" s="53"/>
      <c r="BL379" s="53"/>
      <c r="BM379" s="53"/>
      <c r="BN379" s="53"/>
      <c r="BO379" s="53"/>
      <c r="BP379" s="53"/>
      <c r="BQ379" s="53"/>
      <c r="BR379" s="53"/>
      <c r="BS379" s="53"/>
      <c r="BT379" s="53"/>
      <c r="BU379" s="53"/>
      <c r="BV379" s="53"/>
      <c r="BW379" s="53"/>
      <c r="BX379" s="53"/>
      <c r="BY379" s="53"/>
      <c r="BZ379" s="53"/>
      <c r="CA379" s="53"/>
      <c r="CB379" s="53"/>
      <c r="CC379" s="53"/>
      <c r="CD379" s="53"/>
      <c r="CE379" s="53"/>
      <c r="CF379" s="53"/>
      <c r="CG379" s="53"/>
      <c r="CH379" s="53"/>
      <c r="CI379" s="53"/>
      <c r="CJ379" s="53"/>
      <c r="CK379" s="53"/>
      <c r="CL379" s="53"/>
      <c r="CM379" s="53"/>
      <c r="CN379" s="53"/>
      <c r="CO379" s="53"/>
      <c r="CP379" s="53"/>
      <c r="CQ379" s="53"/>
      <c r="CR379" s="1"/>
      <c r="CS379" s="1"/>
      <c r="CT379" s="1"/>
      <c r="CU379" s="1"/>
    </row>
    <row r="380" spans="1:99" s="13" customFormat="1" ht="12" customHeight="1" x14ac:dyDescent="0.2">
      <c r="A380" s="65">
        <v>43897</v>
      </c>
      <c r="B380" s="22"/>
      <c r="C380" s="1"/>
      <c r="D380" s="60"/>
      <c r="E380" s="76"/>
      <c r="F380" s="60"/>
      <c r="G380" s="60"/>
      <c r="H380" s="60"/>
      <c r="I380" s="60"/>
      <c r="J380" s="60"/>
      <c r="K380" s="64"/>
      <c r="L380" s="64"/>
      <c r="M380" s="60"/>
      <c r="N380" s="61"/>
      <c r="O380" s="60"/>
      <c r="P380" s="60"/>
      <c r="Q380" s="60"/>
      <c r="R380" s="60"/>
      <c r="S380" s="60"/>
      <c r="T380" s="60"/>
      <c r="U380" s="60"/>
      <c r="V380" s="60"/>
      <c r="W380" s="60"/>
      <c r="X380" s="60"/>
      <c r="Y380" s="76"/>
      <c r="Z380" s="60"/>
      <c r="AA380" s="60"/>
      <c r="AB380" s="60"/>
      <c r="AC380" s="56"/>
      <c r="AD380" s="60"/>
      <c r="AE380" s="60"/>
      <c r="AF380" s="80"/>
      <c r="AG380" s="56"/>
      <c r="AH380" s="4"/>
      <c r="AI380" s="56"/>
      <c r="AJ380" s="109"/>
      <c r="AK380" s="56"/>
      <c r="AL380" s="56"/>
      <c r="AM380" s="56"/>
      <c r="AN380" s="56"/>
      <c r="AO380" s="56"/>
      <c r="AP380" s="56"/>
      <c r="AQ380" s="56"/>
      <c r="AR380" s="109"/>
      <c r="AS380" s="56"/>
      <c r="AT380" s="56"/>
      <c r="AU380" s="5"/>
      <c r="AV380" s="25">
        <v>94608000</v>
      </c>
      <c r="AW380" s="25">
        <v>409968000</v>
      </c>
      <c r="AX380" s="25">
        <v>725328000</v>
      </c>
      <c r="AY380" s="53"/>
      <c r="AZ380" s="53"/>
      <c r="BA380" s="53"/>
      <c r="BB380" s="53"/>
      <c r="BC380" s="53"/>
      <c r="BD380" s="53"/>
      <c r="BE380" s="53"/>
      <c r="BF380" s="53"/>
      <c r="BG380" s="53"/>
      <c r="BH380" s="53"/>
      <c r="BI380" s="53"/>
      <c r="BJ380" s="53"/>
      <c r="BK380" s="53"/>
      <c r="BL380" s="53"/>
      <c r="BM380" s="53"/>
      <c r="BN380" s="53"/>
      <c r="BO380" s="53"/>
      <c r="BP380" s="53"/>
      <c r="BQ380" s="53"/>
      <c r="BR380" s="53"/>
      <c r="BS380" s="53"/>
      <c r="BT380" s="53"/>
      <c r="BU380" s="53"/>
      <c r="BV380" s="53"/>
      <c r="BW380" s="53"/>
      <c r="BX380" s="53"/>
      <c r="BY380" s="53"/>
      <c r="BZ380" s="53"/>
      <c r="CA380" s="53"/>
      <c r="CB380" s="53"/>
      <c r="CC380" s="53"/>
      <c r="CD380" s="53"/>
      <c r="CE380" s="53"/>
      <c r="CF380" s="53"/>
      <c r="CG380" s="53"/>
      <c r="CH380" s="53"/>
      <c r="CI380" s="53"/>
      <c r="CJ380" s="53"/>
      <c r="CK380" s="53"/>
      <c r="CL380" s="53"/>
      <c r="CM380" s="53"/>
      <c r="CN380" s="53"/>
      <c r="CO380" s="53"/>
      <c r="CP380" s="53"/>
      <c r="CQ380" s="53"/>
      <c r="CR380" s="1"/>
      <c r="CS380" s="1"/>
      <c r="CT380" s="1"/>
      <c r="CU380" s="1"/>
    </row>
    <row r="381" spans="1:99" s="13" customFormat="1" ht="12" customHeight="1" x14ac:dyDescent="0.2">
      <c r="A381" s="65">
        <v>43897</v>
      </c>
      <c r="B381" s="22" t="s">
        <v>411</v>
      </c>
      <c r="C381" s="22" t="s">
        <v>54</v>
      </c>
      <c r="D381" s="66">
        <v>1978</v>
      </c>
      <c r="E381" s="76">
        <v>1</v>
      </c>
      <c r="F381" s="60">
        <v>7</v>
      </c>
      <c r="G381" s="60">
        <v>7</v>
      </c>
      <c r="H381" s="60" t="s">
        <v>41</v>
      </c>
      <c r="I381" s="60" t="s">
        <v>330</v>
      </c>
      <c r="J381" s="60" t="s">
        <v>340</v>
      </c>
      <c r="K381" s="60">
        <f>IF(J381="syllables",1,IF(J381="trigrams",2,IF(J381="strings",3,IF(J381="visual array",4,IF(J381="characters",5,IF(J381="letters",6,IF(J381="free forms",7,IF(J381="odors",8,IF(J381="words",9,IF(J381="pictures",10,IF(J381="object pictures",11,IF(J381="faces",12,IF(J381="names",13,IF(J381="idioms",14,IF(J381="grades",15,IF(J381="syllable-digit pairs",16,IF(J381="trigram-word pairs",17,IF(J381="word-digit pairs",18,IF(J381="English-Swahili pairs",19,IF(J381="spatial position",20,IF(J381="word pairs",21,IF(J381="word triads",22,IF(J381="generated words",23,IF(J381="word definition pairs",24,IF(J381="math problems",25,IF(J381="famous faces",26,IF(J381="famous names",27,IF(J381="famous voices",28,IF(J381="television programs",29,IF(J381="race horses",30,IF(J381="new vocabulary",31,IF(J381="sentences",32,IF(J381="concepts",33,IF(J381="ad slides",34,IF(J381="scenes",35,IF(J381="famous scenes",36,IF(J381="poems",37,IF(J381="walk",38,IF(J381="faces and events",39,IF(J381="events and names",40,IF(J381="flashbulb",41,IF(J381="stories",42,IF(J381="course material",43,IF(J381="autobiographical",44,IF(J381="novels",45,IF(J381="public events",46,"99"))))))))))))))))))))))))))))))))))))))))))))))</f>
        <v>46</v>
      </c>
      <c r="L381" s="60">
        <f>IF(J381="syllables",1,IF(J381="trigrams",1,IF(J381="strings",1,IF(J381="visual array",1,IF(J381="characters",1,IF(J381="letters",1,IF(J381="free forms",1,IF(J381="odors",2,IF(J381="words",2,IF(J381="pictures",2,IF(J381="object pictures",2,IF(J381="faces",2,IF(J381="names",2,IF(J381="idioms","2",IF(J381="grades",2,IF(J381="syllable-digit pairs",3,IF(J381="trigram-word pairs",3,IF(J381="word-digit pairs",3,IF(J381="English-Swahili pairs",3,IF(J381="spatial position",3,IF(J381="word pairs",4,IF(J381="word triads",4,IF(J381="generated words",4,IF(J381="word definition pairs",4,IF(J381="math problems",4,IF(J381="famous faces",4,IF(J381="famous names",4,IF(J381="famous voices",4,IF(J381="television programs",4,IF(J381="race horses",4,IF(J381="new vocabulary",4,IF(J381="sentences",5,IF(J381="concepts",5,IF(J381="ad slides",5,IF(J381="scenes",5,IF(J381="famous scenes",5,IF(J381="poems",6,IF(J381="walk",6,IF(J381="faces and events",6,IF(J381="events and names",6,IF(J381="flashbulb",7,IF(J381="stories",7,IF(J381="course material",7,IF(J381="autobiographical",7,IF(J381="novels",7,IF(J381="public events",7,"99"))))))))))))))))))))))))))))))))))))))))))))))</f>
        <v>7</v>
      </c>
      <c r="M381" s="60">
        <v>1</v>
      </c>
      <c r="N381" s="61">
        <v>4</v>
      </c>
      <c r="O381" s="60">
        <v>0</v>
      </c>
      <c r="P381" s="60"/>
      <c r="Q381" s="60" t="s">
        <v>34</v>
      </c>
      <c r="R381" s="60">
        <f>IF(Q381="Free Recall",1,IF(Q381="Cued Recall",2,IF(Q381="Recognition",3,IF(Q381="Multiple Choice",4,IF(Q381="Savings",5,IF(Q381="Stem Completion",6,IF(Q381="Fragment Completion",7,IF(Q381="anagram solution",8,IF(Q381="Matching",9,IF(Q381="Problem Solving",10,"99"))))))))))</f>
        <v>3</v>
      </c>
      <c r="S381" s="60" t="s">
        <v>15</v>
      </c>
      <c r="T381" s="59" t="s">
        <v>581</v>
      </c>
      <c r="U381" s="60">
        <f>IF(T381="within",1,0)</f>
        <v>1</v>
      </c>
      <c r="V381" s="59">
        <v>23</v>
      </c>
      <c r="W381" s="60">
        <f>F381*V381</f>
        <v>161</v>
      </c>
      <c r="X381" s="60">
        <v>3</v>
      </c>
      <c r="Y381" s="76">
        <f>AV380</f>
        <v>94608000</v>
      </c>
      <c r="Z381" s="59" t="s">
        <v>432</v>
      </c>
      <c r="AA381" s="60">
        <f>23*365*24*60*60</f>
        <v>725328000</v>
      </c>
      <c r="AB381" s="60" t="str">
        <f>IF(AA381&lt;60,"1",IF(AA381&lt;=43200,"2",IF(AA381&lt;=777600,"3","4")))</f>
        <v>4</v>
      </c>
      <c r="AC381" s="56">
        <f>AVERAGE(AV380:DA380)</f>
        <v>409968000</v>
      </c>
      <c r="AD381" s="60" t="str">
        <f>IF(AC381&lt;60,"1",IF(AC381&lt;=43200,"2",IF(AC381&lt;=777600,"3","4")))</f>
        <v>4</v>
      </c>
      <c r="AE381" s="76">
        <f>AA381-Y381</f>
        <v>630720000</v>
      </c>
      <c r="AF381" s="80">
        <f>AV381</f>
        <v>0.9009009009009008</v>
      </c>
      <c r="AG381" s="56">
        <f>((AW381-AV381)+(AX381-AW381))/2</f>
        <v>-0.25045045045045045</v>
      </c>
      <c r="AH381" s="4"/>
      <c r="AI381" s="56">
        <f>RSQ(AV381:AX381,AV380:AX380)</f>
        <v>0.8409828939352354</v>
      </c>
      <c r="AJ381" s="109">
        <f>SLOPE(AV381:AX381,AV380:AX380)</f>
        <v>-7.9417316860239214E-10</v>
      </c>
      <c r="AK381" s="56">
        <f>INTERCEPT(AV381:AX381,AV380:AX380)</f>
        <v>1.0389127058092575</v>
      </c>
      <c r="AL381" s="56">
        <f>INDEX(LINEST(LN(AV381:AX381),LN(AV380:AX380),TRUE,TRUE),3,1)</f>
        <v>0.59175143297794408</v>
      </c>
      <c r="AM381" s="56">
        <f>INDEX(LINEST(LN(AV381:AX381),LN(AV380:AX380)),1)</f>
        <v>-0.32918904841306779</v>
      </c>
      <c r="AN381" s="56">
        <f>EXP(INDEX(LINEST(LN(AV381:AX381),LN(AV380:AX380)),1,2))</f>
        <v>416.27551107417361</v>
      </c>
      <c r="AO381" s="82">
        <f>INDEX(LINEST((AV381:AX381),LN(AV380:AX380),TRUE,TRUE),3,1)</f>
        <v>0.62522034398677628</v>
      </c>
      <c r="AP381" s="82">
        <f>INDEX(LINEST((AV381:AX381),LN(AV380:AX380)),1)</f>
        <v>-0.20551432330535421</v>
      </c>
      <c r="AQ381" s="83">
        <f>INDEX(LINEST(LN(AV381:AX381),SQRT(AV380:AX380),TRUE,TRUE),3,1)</f>
        <v>0.70651195556299196</v>
      </c>
      <c r="AR381" s="116">
        <f>INDEX(LINEST(LN(AV381:AX381),SQRT((AV380:AX380))),1)</f>
        <v>-4.3574981825090494E-5</v>
      </c>
      <c r="AS381" s="84">
        <f>INDEX(LINEST(1/(AV381:AX381),1/(SQRT(AV380:AX380)),TRUE,TRUE),3,1)</f>
        <v>0.46708065521575803</v>
      </c>
      <c r="AT381" s="84">
        <f>INDEX(LINEST(1/(AV381:AX381),1/SQRT(AV380:AX380)),1)</f>
        <v>-15263.761375494571</v>
      </c>
      <c r="AU381" s="3"/>
      <c r="AV381" s="53">
        <v>0.9009009009009008</v>
      </c>
      <c r="AW381" s="53">
        <v>0.83908045977011492</v>
      </c>
      <c r="AX381" s="53">
        <v>0.39999999999999997</v>
      </c>
      <c r="AY381" s="53"/>
      <c r="AZ381" s="53"/>
      <c r="BA381" s="53"/>
      <c r="BB381" s="53"/>
      <c r="BC381" s="53"/>
      <c r="BD381" s="53"/>
      <c r="BE381" s="53"/>
      <c r="BF381" s="53"/>
      <c r="BG381" s="53"/>
      <c r="BH381" s="53"/>
      <c r="BI381" s="53"/>
      <c r="BJ381" s="53"/>
      <c r="BK381" s="53"/>
      <c r="BL381" s="53"/>
      <c r="BM381" s="53"/>
      <c r="BN381" s="53"/>
      <c r="BO381" s="53"/>
      <c r="BP381" s="53"/>
      <c r="BQ381" s="53"/>
      <c r="BR381" s="53"/>
      <c r="BS381" s="53"/>
      <c r="BT381" s="53"/>
      <c r="BU381" s="53"/>
      <c r="BV381" s="53"/>
      <c r="BW381" s="53"/>
      <c r="BX381" s="53"/>
      <c r="BY381" s="53"/>
      <c r="BZ381" s="53"/>
      <c r="CA381" s="53"/>
      <c r="CB381" s="53"/>
      <c r="CC381" s="53"/>
      <c r="CD381" s="53"/>
      <c r="CE381" s="53"/>
      <c r="CF381" s="53"/>
      <c r="CG381" s="53"/>
      <c r="CH381" s="53"/>
      <c r="CI381" s="53"/>
      <c r="CJ381" s="53"/>
      <c r="CK381" s="53"/>
      <c r="CL381" s="53"/>
      <c r="CM381" s="53"/>
      <c r="CN381" s="53"/>
      <c r="CO381" s="53"/>
      <c r="CP381" s="53"/>
      <c r="CQ381" s="53"/>
      <c r="CR381" s="1"/>
      <c r="CS381" s="1"/>
      <c r="CT381" s="1"/>
      <c r="CU381" s="1"/>
    </row>
    <row r="382" spans="1:99" s="13" customFormat="1" ht="12" customHeight="1" x14ac:dyDescent="0.2">
      <c r="A382" s="65">
        <v>43897</v>
      </c>
      <c r="B382" s="22"/>
      <c r="C382" s="1"/>
      <c r="D382" s="60"/>
      <c r="E382" s="76"/>
      <c r="F382" s="60"/>
      <c r="G382" s="60"/>
      <c r="H382" s="60"/>
      <c r="I382" s="60"/>
      <c r="J382" s="60"/>
      <c r="K382" s="64"/>
      <c r="L382" s="64"/>
      <c r="M382" s="60"/>
      <c r="N382" s="61"/>
      <c r="O382" s="60"/>
      <c r="P382" s="60"/>
      <c r="Q382" s="60"/>
      <c r="R382" s="60"/>
      <c r="S382" s="60"/>
      <c r="T382" s="60"/>
      <c r="U382" s="60"/>
      <c r="V382" s="60"/>
      <c r="W382" s="60"/>
      <c r="X382" s="60"/>
      <c r="Y382" s="76"/>
      <c r="Z382" s="60"/>
      <c r="AA382" s="60"/>
      <c r="AB382" s="60"/>
      <c r="AC382" s="56"/>
      <c r="AD382" s="60"/>
      <c r="AE382" s="60"/>
      <c r="AF382" s="80"/>
      <c r="AG382" s="56"/>
      <c r="AH382" s="4"/>
      <c r="AI382" s="56"/>
      <c r="AJ382" s="109"/>
      <c r="AK382" s="56"/>
      <c r="AL382" s="56"/>
      <c r="AM382" s="56"/>
      <c r="AN382" s="56"/>
      <c r="AO382" s="56"/>
      <c r="AP382" s="56"/>
      <c r="AQ382" s="56"/>
      <c r="AR382" s="109"/>
      <c r="AS382" s="56"/>
      <c r="AT382" s="56"/>
      <c r="AU382" s="5"/>
      <c r="AV382" s="25">
        <v>94608000</v>
      </c>
      <c r="AW382" s="25">
        <v>409968000</v>
      </c>
      <c r="AX382" s="25">
        <v>725328000</v>
      </c>
      <c r="AY382" s="53"/>
      <c r="AZ382" s="53"/>
      <c r="BA382" s="53"/>
      <c r="BB382" s="53"/>
      <c r="BC382" s="53"/>
      <c r="BD382" s="53"/>
      <c r="BE382" s="53"/>
      <c r="BF382" s="53"/>
      <c r="BG382" s="53"/>
      <c r="BH382" s="53"/>
      <c r="BI382" s="53"/>
      <c r="BJ382" s="53"/>
      <c r="BK382" s="53"/>
      <c r="BL382" s="53"/>
      <c r="BM382" s="53"/>
      <c r="BN382" s="53"/>
      <c r="BO382" s="53"/>
      <c r="BP382" s="53"/>
      <c r="BQ382" s="53"/>
      <c r="BR382" s="53"/>
      <c r="BS382" s="53"/>
      <c r="BT382" s="53"/>
      <c r="BU382" s="53"/>
      <c r="BV382" s="53"/>
      <c r="BW382" s="53"/>
      <c r="BX382" s="53"/>
      <c r="BY382" s="53"/>
      <c r="BZ382" s="53"/>
      <c r="CA382" s="53"/>
      <c r="CB382" s="53"/>
      <c r="CC382" s="53"/>
      <c r="CD382" s="53"/>
      <c r="CE382" s="53"/>
      <c r="CF382" s="53"/>
      <c r="CG382" s="53"/>
      <c r="CH382" s="53"/>
      <c r="CI382" s="53"/>
      <c r="CJ382" s="53"/>
      <c r="CK382" s="53"/>
      <c r="CL382" s="53"/>
      <c r="CM382" s="53"/>
      <c r="CN382" s="53"/>
      <c r="CO382" s="53"/>
      <c r="CP382" s="53"/>
      <c r="CQ382" s="53"/>
      <c r="CR382" s="1"/>
      <c r="CS382" s="1"/>
      <c r="CT382" s="1"/>
      <c r="CU382" s="1"/>
    </row>
    <row r="383" spans="1:99" s="13" customFormat="1" ht="12" customHeight="1" x14ac:dyDescent="0.2">
      <c r="A383" s="65">
        <v>43897</v>
      </c>
      <c r="B383" s="22" t="s">
        <v>411</v>
      </c>
      <c r="C383" s="22" t="s">
        <v>54</v>
      </c>
      <c r="D383" s="66">
        <v>1978</v>
      </c>
      <c r="E383" s="76">
        <v>1</v>
      </c>
      <c r="F383" s="60">
        <v>9</v>
      </c>
      <c r="G383" s="60">
        <v>9</v>
      </c>
      <c r="H383" s="60" t="s">
        <v>41</v>
      </c>
      <c r="I383" s="60" t="s">
        <v>330</v>
      </c>
      <c r="J383" s="60" t="s">
        <v>376</v>
      </c>
      <c r="K383" s="60">
        <f>IF(J383="syllables",1,IF(J383="trigrams",2,IF(J383="strings",3,IF(J383="visual array",4,IF(J383="characters",5,IF(J383="letters",6,IF(J383="free forms",7,IF(J383="odors",8,IF(J383="words",9,IF(J383="pictures",10,IF(J383="object pictures",11,IF(J383="faces",12,IF(J383="names",13,IF(J383="idioms",14,IF(J383="grades",15,IF(J383="syllable-digit pairs",16,IF(J383="trigram-word pairs",17,IF(J383="word-digit pairs",18,IF(J383="English-Swahili pairs",19,IF(J383="spatial position",20,IF(J383="word pairs",21,IF(J383="word triads",22,IF(J383="generated words",23,IF(J383="word definition pairs",24,IF(J383="math problems",25,IF(J383="famous faces",26,IF(J383="famous names",27,IF(J383="famous voices",28,IF(J383="television programs",29,IF(J383="race horses",30,IF(J383="new vocabulary",31,IF(J383="sentences",32,IF(J383="concepts",33,IF(J383="ad slides",34,IF(J383="scenes",35,IF(J383="famous scenes",36,IF(J383="poems",37,IF(J383="walk",38,IF(J383="faces and events",39,IF(J383="events and names",40,IF(J383="flashbulb",41,IF(J383="stories",42,IF(J383="course material",43,IF(J383="autobiographical",44,IF(J383="novels",45,IF(J383="public events",46,"99"))))))))))))))))))))))))))))))))))))))))))))))</f>
        <v>29</v>
      </c>
      <c r="L383" s="60">
        <f>IF(J383="syllables",1,IF(J383="trigrams",1,IF(J383="strings",1,IF(J383="visual array",1,IF(J383="characters",1,IF(J383="letters",1,IF(J383="free forms",1,IF(J383="odors",2,IF(J383="words",2,IF(J383="pictures",2,IF(J383="object pictures",2,IF(J383="faces",2,IF(J383="names",2,IF(J383="idioms","2",IF(J383="grades",2,IF(J383="syllable-digit pairs",3,IF(J383="trigram-word pairs",3,IF(J383="word-digit pairs",3,IF(J383="English-Swahili pairs",3,IF(J383="spatial position",3,IF(J383="word pairs",4,IF(J383="word triads",4,IF(J383="generated words",4,IF(J383="word definition pairs",4,IF(J383="math problems",4,IF(J383="famous faces",4,IF(J383="famous names",4,IF(J383="famous voices",4,IF(J383="television programs",4,IF(J383="race horses",4,IF(J383="new vocabulary",4,IF(J383="sentences",5,IF(J383="concepts",5,IF(J383="ad slides",5,IF(J383="scenes",5,IF(J383="famous scenes",5,IF(J383="poems",6,IF(J383="walk",6,IF(J383="faces and events",6,IF(J383="events and names",6,IF(J383="flashbulb",7,IF(J383="stories",7,IF(J383="course material",7,IF(J383="autobiographical",7,IF(J383="novels",7,IF(J383="public events",7,"99"))))))))))))))))))))))))))))))))))))))))))))))</f>
        <v>4</v>
      </c>
      <c r="M383" s="60">
        <v>1</v>
      </c>
      <c r="N383" s="61">
        <v>2</v>
      </c>
      <c r="O383" s="60">
        <v>0</v>
      </c>
      <c r="P383" s="60"/>
      <c r="Q383" s="60" t="s">
        <v>34</v>
      </c>
      <c r="R383" s="60">
        <f>IF(Q383="Free Recall",1,IF(Q383="Cued Recall",2,IF(Q383="Recognition",3,IF(Q383="Multiple Choice",4,IF(Q383="Savings",5,IF(Q383="Stem Completion",6,IF(Q383="Fragment Completion",7,IF(Q383="anagram solution",8,IF(Q383="Matching",9,IF(Q383="Problem Solving",10,"99"))))))))))</f>
        <v>3</v>
      </c>
      <c r="S383" s="60" t="s">
        <v>15</v>
      </c>
      <c r="T383" s="59" t="s">
        <v>581</v>
      </c>
      <c r="U383" s="60">
        <f>IF(T383="within",1,0)</f>
        <v>1</v>
      </c>
      <c r="V383" s="59">
        <v>31</v>
      </c>
      <c r="W383" s="60">
        <f>F383*V383</f>
        <v>279</v>
      </c>
      <c r="X383" s="60">
        <v>3</v>
      </c>
      <c r="Y383" s="76">
        <f>AV382</f>
        <v>94608000</v>
      </c>
      <c r="Z383" s="59" t="s">
        <v>432</v>
      </c>
      <c r="AA383" s="60">
        <f>23*365*24*60*60</f>
        <v>725328000</v>
      </c>
      <c r="AB383" s="60" t="str">
        <f>IF(AA383&lt;60,"1",IF(AA383&lt;=43200,"2",IF(AA383&lt;=777600,"3","4")))</f>
        <v>4</v>
      </c>
      <c r="AC383" s="56">
        <f>AVERAGE(AV382:DA382)</f>
        <v>409968000</v>
      </c>
      <c r="AD383" s="60" t="str">
        <f>IF(AC383&lt;60,"1",IF(AC383&lt;=43200,"2",IF(AC383&lt;=777600,"3","4")))</f>
        <v>4</v>
      </c>
      <c r="AE383" s="76">
        <f>AA383-Y383</f>
        <v>630720000</v>
      </c>
      <c r="AF383" s="80">
        <f>AV383</f>
        <v>0.45</v>
      </c>
      <c r="AG383" s="56">
        <f>((AW383-AV383)+(AX383-AW383))/2</f>
        <v>-9.5000000000000001E-2</v>
      </c>
      <c r="AH383" s="4"/>
      <c r="AI383" s="56">
        <f>RSQ(AV383:AX383,AV382:AX382)</f>
        <v>0.99175824175824179</v>
      </c>
      <c r="AJ383" s="109">
        <f>SLOPE(AV383:AX383,AV382:AX382)</f>
        <v>-3.0124302384576357E-10</v>
      </c>
      <c r="AK383" s="56">
        <f>INTERCEPT(AV383:AX383,AV382:AX382)</f>
        <v>0.48350000000000004</v>
      </c>
      <c r="AL383" s="56">
        <f>INDEX(LINEST(LN(AV383:AX383),LN(AV382:AX382),TRUE,TRUE),3,1)</f>
        <v>0.839283711646996</v>
      </c>
      <c r="AM383" s="56">
        <f>INDEX(LINEST(LN(AV383:AX383),LN(AV382:AX382)),1)</f>
        <v>-0.24238493146155224</v>
      </c>
      <c r="AN383" s="56">
        <f>EXP(INDEX(LINEST(LN(AV383:AX383),LN(AV382:AX382)),1,2))</f>
        <v>39.960512735498241</v>
      </c>
      <c r="AO383" s="82">
        <f>INDEX(LINEST((AV383:AX383),LN(AV382:AX382),TRUE,TRUE),3,1)</f>
        <v>0.88905966925320146</v>
      </c>
      <c r="AP383" s="82">
        <f>INDEX(LINEST((AV383:AX383),LN(AV382:AX382)),1)</f>
        <v>-8.5601910933902847E-2</v>
      </c>
      <c r="AQ383" s="83">
        <f>INDEX(LINEST(LN(AV383:AX383),SQRT(AV382:AX382),TRUE,TRUE),3,1)</f>
        <v>0.9171974001109594</v>
      </c>
      <c r="AR383" s="116">
        <f>INDEX(LINEST(LN(AV383:AX383),SQRT((AV382:AX382))),1)</f>
        <v>-3.0696182269585762E-5</v>
      </c>
      <c r="AS383" s="84">
        <f>INDEX(LINEST(1/(AV383:AX383),1/(SQRT(AV382:AX382)),TRUE,TRUE),3,1)</f>
        <v>0.70088844565873698</v>
      </c>
      <c r="AT383" s="84">
        <f>INDEX(LINEST(1/(AV383:AX383),1/SQRT(AV382:AX382)),1)</f>
        <v>-19997.89397598946</v>
      </c>
      <c r="AU383" s="3"/>
      <c r="AV383" s="53">
        <v>0.45</v>
      </c>
      <c r="AW383" s="53">
        <v>0.37</v>
      </c>
      <c r="AX383" s="53">
        <v>0.26</v>
      </c>
      <c r="AY383" s="53"/>
      <c r="AZ383" s="53"/>
      <c r="BA383" s="53"/>
      <c r="BB383" s="53"/>
      <c r="BC383" s="53"/>
      <c r="BD383" s="53"/>
      <c r="BE383" s="53"/>
      <c r="BF383" s="53"/>
      <c r="BG383" s="53"/>
      <c r="BH383" s="53"/>
      <c r="BI383" s="53"/>
      <c r="BJ383" s="53"/>
      <c r="BK383" s="53"/>
      <c r="BL383" s="53"/>
      <c r="BM383" s="53"/>
      <c r="BN383" s="53"/>
      <c r="BO383" s="53"/>
      <c r="BP383" s="53"/>
      <c r="BQ383" s="53"/>
      <c r="BR383" s="53"/>
      <c r="BS383" s="53"/>
      <c r="BT383" s="53"/>
      <c r="BU383" s="53"/>
      <c r="BV383" s="53"/>
      <c r="BW383" s="53"/>
      <c r="BX383" s="53"/>
      <c r="BY383" s="53"/>
      <c r="BZ383" s="53"/>
      <c r="CA383" s="53"/>
      <c r="CB383" s="53"/>
      <c r="CC383" s="53"/>
      <c r="CD383" s="53"/>
      <c r="CE383" s="53"/>
      <c r="CF383" s="53"/>
      <c r="CG383" s="53"/>
      <c r="CH383" s="53"/>
      <c r="CI383" s="53"/>
      <c r="CJ383" s="53"/>
      <c r="CK383" s="53"/>
      <c r="CL383" s="53"/>
      <c r="CM383" s="53"/>
      <c r="CN383" s="53"/>
      <c r="CO383" s="53"/>
      <c r="CP383" s="53"/>
      <c r="CQ383" s="53"/>
      <c r="CR383" s="1"/>
      <c r="CS383" s="1"/>
      <c r="CT383" s="1"/>
      <c r="CU383" s="1"/>
    </row>
    <row r="384" spans="1:99" s="13" customFormat="1" ht="12" customHeight="1" x14ac:dyDescent="0.2">
      <c r="A384" s="65">
        <v>43897</v>
      </c>
      <c r="B384" s="22"/>
      <c r="C384" s="1"/>
      <c r="D384" s="60"/>
      <c r="E384" s="76"/>
      <c r="F384" s="60"/>
      <c r="G384" s="60"/>
      <c r="H384" s="60"/>
      <c r="I384" s="60"/>
      <c r="J384" s="60"/>
      <c r="K384" s="64"/>
      <c r="L384" s="64"/>
      <c r="M384" s="60"/>
      <c r="N384" s="61"/>
      <c r="O384" s="60"/>
      <c r="P384" s="60"/>
      <c r="Q384" s="60"/>
      <c r="R384" s="60"/>
      <c r="S384" s="60"/>
      <c r="T384" s="60"/>
      <c r="U384" s="60"/>
      <c r="V384" s="60"/>
      <c r="W384" s="60"/>
      <c r="X384" s="60"/>
      <c r="Y384" s="76"/>
      <c r="Z384" s="60"/>
      <c r="AA384" s="60"/>
      <c r="AB384" s="60"/>
      <c r="AC384" s="56"/>
      <c r="AD384" s="60"/>
      <c r="AE384" s="60"/>
      <c r="AF384" s="80"/>
      <c r="AG384" s="56"/>
      <c r="AH384" s="4"/>
      <c r="AI384" s="56"/>
      <c r="AJ384" s="109"/>
      <c r="AK384" s="56"/>
      <c r="AL384" s="56"/>
      <c r="AM384" s="56"/>
      <c r="AN384" s="56"/>
      <c r="AO384" s="56"/>
      <c r="AP384" s="56"/>
      <c r="AQ384" s="56"/>
      <c r="AR384" s="109"/>
      <c r="AS384" s="56"/>
      <c r="AT384" s="56"/>
      <c r="AU384" s="5"/>
      <c r="AV384" s="25">
        <v>94608000</v>
      </c>
      <c r="AW384" s="25">
        <v>409968000</v>
      </c>
      <c r="AX384" s="25">
        <v>725328000</v>
      </c>
      <c r="AY384" s="53"/>
      <c r="AZ384" s="53"/>
      <c r="BA384" s="53"/>
      <c r="BB384" s="53"/>
      <c r="BC384" s="53"/>
      <c r="BD384" s="53"/>
      <c r="BE384" s="53"/>
      <c r="BF384" s="53"/>
      <c r="BG384" s="53"/>
      <c r="BH384" s="53"/>
      <c r="BI384" s="53"/>
      <c r="BJ384" s="53"/>
      <c r="BK384" s="53"/>
      <c r="BL384" s="53"/>
      <c r="BM384" s="53"/>
      <c r="BN384" s="53"/>
      <c r="BO384" s="53"/>
      <c r="BP384" s="53"/>
      <c r="BQ384" s="53"/>
      <c r="BR384" s="53"/>
      <c r="BS384" s="53"/>
      <c r="BT384" s="53"/>
      <c r="BU384" s="53"/>
      <c r="BV384" s="53"/>
      <c r="BW384" s="53"/>
      <c r="BX384" s="53"/>
      <c r="BY384" s="53"/>
      <c r="BZ384" s="53"/>
      <c r="CA384" s="53"/>
      <c r="CB384" s="53"/>
      <c r="CC384" s="53"/>
      <c r="CD384" s="53"/>
      <c r="CE384" s="53"/>
      <c r="CF384" s="53"/>
      <c r="CG384" s="53"/>
      <c r="CH384" s="53"/>
      <c r="CI384" s="53"/>
      <c r="CJ384" s="53"/>
      <c r="CK384" s="53"/>
      <c r="CL384" s="53"/>
      <c r="CM384" s="53"/>
      <c r="CN384" s="53"/>
      <c r="CO384" s="53"/>
      <c r="CP384" s="53"/>
      <c r="CQ384" s="53"/>
      <c r="CR384" s="1"/>
      <c r="CS384" s="1"/>
      <c r="CT384" s="1"/>
      <c r="CU384" s="1"/>
    </row>
    <row r="385" spans="1:99" s="13" customFormat="1" ht="12" customHeight="1" x14ac:dyDescent="0.2">
      <c r="A385" s="65">
        <v>43897</v>
      </c>
      <c r="B385" s="22" t="s">
        <v>411</v>
      </c>
      <c r="C385" s="22" t="s">
        <v>54</v>
      </c>
      <c r="D385" s="66">
        <v>1978</v>
      </c>
      <c r="E385" s="76">
        <v>1</v>
      </c>
      <c r="F385" s="60">
        <v>10</v>
      </c>
      <c r="G385" s="60">
        <v>10</v>
      </c>
      <c r="H385" s="60" t="s">
        <v>32</v>
      </c>
      <c r="I385" s="60" t="s">
        <v>330</v>
      </c>
      <c r="J385" s="60" t="s">
        <v>340</v>
      </c>
      <c r="K385" s="60">
        <f>IF(J385="syllables",1,IF(J385="trigrams",2,IF(J385="strings",3,IF(J385="visual array",4,IF(J385="characters",5,IF(J385="letters",6,IF(J385="free forms",7,IF(J385="odors",8,IF(J385="words",9,IF(J385="pictures",10,IF(J385="object pictures",11,IF(J385="faces",12,IF(J385="names",13,IF(J385="idioms",14,IF(J385="grades",15,IF(J385="syllable-digit pairs",16,IF(J385="trigram-word pairs",17,IF(J385="word-digit pairs",18,IF(J385="English-Swahili pairs",19,IF(J385="spatial position",20,IF(J385="word pairs",21,IF(J385="word triads",22,IF(J385="generated words",23,IF(J385="word definition pairs",24,IF(J385="math problems",25,IF(J385="famous faces",26,IF(J385="famous names",27,IF(J385="famous voices",28,IF(J385="television programs",29,IF(J385="race horses",30,IF(J385="new vocabulary",31,IF(J385="sentences",32,IF(J385="concepts",33,IF(J385="ad slides",34,IF(J385="scenes",35,IF(J385="famous scenes",36,IF(J385="poems",37,IF(J385="walk",38,IF(J385="faces and events",39,IF(J385="events and names",40,IF(J385="flashbulb",41,IF(J385="stories",42,IF(J385="course material",43,IF(J385="autobiographical",44,IF(J385="novels",45,IF(J385="public events",46,"99"))))))))))))))))))))))))))))))))))))))))))))))</f>
        <v>46</v>
      </c>
      <c r="L385" s="60">
        <f>IF(J385="syllables",1,IF(J385="trigrams",1,IF(J385="strings",1,IF(J385="visual array",1,IF(J385="characters",1,IF(J385="letters",1,IF(J385="free forms",1,IF(J385="odors",2,IF(J385="words",2,IF(J385="pictures",2,IF(J385="object pictures",2,IF(J385="faces",2,IF(J385="names",2,IF(J385="idioms","2",IF(J385="grades",2,IF(J385="syllable-digit pairs",3,IF(J385="trigram-word pairs",3,IF(J385="word-digit pairs",3,IF(J385="English-Swahili pairs",3,IF(J385="spatial position",3,IF(J385="word pairs",4,IF(J385="word triads",4,IF(J385="generated words",4,IF(J385="word definition pairs",4,IF(J385="math problems",4,IF(J385="famous faces",4,IF(J385="famous names",4,IF(J385="famous voices",4,IF(J385="television programs",4,IF(J385="race horses",4,IF(J385="new vocabulary",4,IF(J385="sentences",5,IF(J385="concepts",5,IF(J385="ad slides",5,IF(J385="scenes",5,IF(J385="famous scenes",5,IF(J385="poems",6,IF(J385="walk",6,IF(J385="faces and events",6,IF(J385="events and names",6,IF(J385="flashbulb",7,IF(J385="stories",7,IF(J385="course material",7,IF(J385="autobiographical",7,IF(J385="novels",7,IF(J385="public events",7,"99"))))))))))))))))))))))))))))))))))))))))))))))</f>
        <v>7</v>
      </c>
      <c r="M385" s="60">
        <v>1</v>
      </c>
      <c r="N385" s="61">
        <v>4</v>
      </c>
      <c r="O385" s="60">
        <v>0</v>
      </c>
      <c r="P385" s="60"/>
      <c r="Q385" s="60" t="s">
        <v>174</v>
      </c>
      <c r="R385" s="60">
        <f>IF(Q385="Free Recall",1,IF(Q385="Cued Recall",2,IF(Q385="Recognition",3,IF(Q385="Multiple Choice",4,IF(Q385="Savings",5,IF(Q385="Stem Completion",6,IF(Q385="Fragment Completion",7,IF(Q385="anagram solution",8,IF(Q385="Matching",9,IF(Q385="Problem Solving",10,"99"))))))))))</f>
        <v>1</v>
      </c>
      <c r="S385" s="60" t="s">
        <v>49</v>
      </c>
      <c r="T385" s="59" t="s">
        <v>581</v>
      </c>
      <c r="U385" s="60">
        <f>IF(T385="within",1,0)</f>
        <v>1</v>
      </c>
      <c r="V385" s="59">
        <v>23</v>
      </c>
      <c r="W385" s="60">
        <f>F385*V385</f>
        <v>230</v>
      </c>
      <c r="X385" s="60">
        <v>3</v>
      </c>
      <c r="Y385" s="76">
        <f>AV384</f>
        <v>94608000</v>
      </c>
      <c r="Z385" s="59" t="s">
        <v>432</v>
      </c>
      <c r="AA385" s="60">
        <f>23*365*24*60*60</f>
        <v>725328000</v>
      </c>
      <c r="AB385" s="60" t="str">
        <f>IF(AA385&lt;60,"1",IF(AA385&lt;=43200,"2",IF(AA385&lt;=777600,"3","4")))</f>
        <v>4</v>
      </c>
      <c r="AC385" s="56">
        <f>AVERAGE(AV384:DA384)</f>
        <v>409968000</v>
      </c>
      <c r="AD385" s="60" t="str">
        <f>IF(AC385&lt;60,"1",IF(AC385&lt;=43200,"2",IF(AC385&lt;=777600,"3","4")))</f>
        <v>4</v>
      </c>
      <c r="AE385" s="76">
        <f>AA385-Y385</f>
        <v>630720000</v>
      </c>
      <c r="AF385" s="80">
        <f>AV385</f>
        <v>0.28000000000000003</v>
      </c>
      <c r="AG385" s="56">
        <f>((AW385-AV385)+(AX385-AW385))/2</f>
        <v>-0.12000000000000001</v>
      </c>
      <c r="AH385" s="4"/>
      <c r="AI385" s="56">
        <f>RSQ(AV385:AX385,AV384:AX384)</f>
        <v>0.74999999999999989</v>
      </c>
      <c r="AJ385" s="109">
        <f>SLOPE(AV385:AX385,AV384:AX384)</f>
        <v>-3.8051750380517503E-10</v>
      </c>
      <c r="AK385" s="56">
        <f>INTERCEPT(AV385:AX385,AV384:AX384)</f>
        <v>0.27600000000000002</v>
      </c>
      <c r="AL385" s="56">
        <f>INDEX(LINEST(LN(AV385:AX385),LN(AV384:AX384),TRUE,TRUE),3,1)</f>
        <v>0.92629206939509723</v>
      </c>
      <c r="AM385" s="170"/>
      <c r="AN385" s="56">
        <f>EXP(INDEX(LINEST(LN(AV385:AX385),LN(AV384:AX384)),1,2))</f>
        <v>41039513.406033561</v>
      </c>
      <c r="AO385" s="82">
        <f>INDEX(LINEST((AV385:AX385),LN(AV384:AX384),TRUE,TRUE),3,1)</f>
        <v>0.92629206939509734</v>
      </c>
      <c r="AP385" s="82">
        <f>INDEX(LINEST((AV385:AX385),LN(AV384:AX384)),1)</f>
        <v>-0.12691761314676697</v>
      </c>
      <c r="AQ385" s="83">
        <f>INDEX(LINEST(LN(AV385:AX385),SQRT(AV384:AX384),TRUE,TRUE),3,1)</f>
        <v>0.85152847756007422</v>
      </c>
      <c r="AR385" s="116">
        <f>INDEX(LINEST(LN(AV385:AX385),SQRT((AV384:AX384))),1)</f>
        <v>-1.1952556092615255E-4</v>
      </c>
      <c r="AS385" s="84">
        <f>INDEX(LINEST(1/(AV385:AX385),1/(SQRT(AV384:AX384)),TRUE,TRUE),3,1)</f>
        <v>0.96920193188353865</v>
      </c>
      <c r="AT385" s="84">
        <f>INDEX(LINEST(1/(AV385:AX385),1/SQRT(AV384:AX384)),1)</f>
        <v>-348755.55306054227</v>
      </c>
      <c r="AU385" s="3"/>
      <c r="AV385" s="53">
        <v>0.28000000000000003</v>
      </c>
      <c r="AW385" s="53">
        <v>0.04</v>
      </c>
      <c r="AX385" s="53">
        <v>0.04</v>
      </c>
      <c r="AY385" s="53"/>
      <c r="AZ385" s="53"/>
      <c r="BA385" s="53"/>
      <c r="BB385" s="53"/>
      <c r="BC385" s="53"/>
      <c r="BD385" s="53"/>
      <c r="BE385" s="53"/>
      <c r="BF385" s="53"/>
      <c r="BG385" s="53"/>
      <c r="BH385" s="53"/>
      <c r="BI385" s="53"/>
      <c r="BJ385" s="53"/>
      <c r="BK385" s="53"/>
      <c r="BL385" s="53"/>
      <c r="BM385" s="53"/>
      <c r="BN385" s="53"/>
      <c r="BO385" s="53"/>
      <c r="BP385" s="53"/>
      <c r="BQ385" s="53"/>
      <c r="BR385" s="53"/>
      <c r="BS385" s="53"/>
      <c r="BT385" s="53"/>
      <c r="BU385" s="53"/>
      <c r="BV385" s="53"/>
      <c r="BW385" s="53"/>
      <c r="BX385" s="53"/>
      <c r="BY385" s="53"/>
      <c r="BZ385" s="53"/>
      <c r="CA385" s="53"/>
      <c r="CB385" s="53"/>
      <c r="CC385" s="53"/>
      <c r="CD385" s="53"/>
      <c r="CE385" s="53"/>
      <c r="CF385" s="53"/>
      <c r="CG385" s="53"/>
      <c r="CH385" s="53"/>
      <c r="CI385" s="53"/>
      <c r="CJ385" s="53"/>
      <c r="CK385" s="53"/>
      <c r="CL385" s="53"/>
      <c r="CM385" s="53"/>
      <c r="CN385" s="53"/>
      <c r="CO385" s="53"/>
      <c r="CP385" s="53"/>
      <c r="CQ385" s="53"/>
      <c r="CR385" s="1"/>
      <c r="CS385" s="1"/>
      <c r="CT385" s="1"/>
      <c r="CU385" s="1"/>
    </row>
    <row r="386" spans="1:99" s="13" customFormat="1" ht="12" customHeight="1" x14ac:dyDescent="0.2">
      <c r="A386" s="65">
        <v>43897</v>
      </c>
      <c r="B386" s="22"/>
      <c r="C386" s="1"/>
      <c r="D386" s="60"/>
      <c r="E386" s="76"/>
      <c r="F386" s="60"/>
      <c r="G386" s="60"/>
      <c r="H386" s="60"/>
      <c r="I386" s="60"/>
      <c r="J386" s="60"/>
      <c r="K386" s="64"/>
      <c r="L386" s="64"/>
      <c r="M386" s="60"/>
      <c r="N386" s="61"/>
      <c r="O386" s="60"/>
      <c r="P386" s="60"/>
      <c r="Q386" s="60"/>
      <c r="R386" s="60"/>
      <c r="S386" s="60"/>
      <c r="T386" s="60"/>
      <c r="U386" s="60"/>
      <c r="V386" s="60"/>
      <c r="W386" s="60"/>
      <c r="X386" s="60"/>
      <c r="Y386" s="76"/>
      <c r="Z386" s="60"/>
      <c r="AA386" s="60"/>
      <c r="AB386" s="60"/>
      <c r="AC386" s="56"/>
      <c r="AD386" s="60"/>
      <c r="AE386" s="60"/>
      <c r="AF386" s="80"/>
      <c r="AG386" s="56"/>
      <c r="AH386" s="4"/>
      <c r="AI386" s="56"/>
      <c r="AJ386" s="109"/>
      <c r="AK386" s="56"/>
      <c r="AL386" s="56"/>
      <c r="AM386" s="56"/>
      <c r="AN386" s="56"/>
      <c r="AO386" s="56"/>
      <c r="AP386" s="56"/>
      <c r="AQ386" s="56"/>
      <c r="AR386" s="109"/>
      <c r="AS386" s="56"/>
      <c r="AT386" s="56"/>
      <c r="AU386" s="5"/>
      <c r="AV386" s="25">
        <v>94608000</v>
      </c>
      <c r="AW386" s="25">
        <v>409968000</v>
      </c>
      <c r="AX386" s="25">
        <v>725328000</v>
      </c>
      <c r="AY386" s="53"/>
      <c r="AZ386" s="53"/>
      <c r="BA386" s="53"/>
      <c r="BB386" s="53"/>
      <c r="BC386" s="53"/>
      <c r="BD386" s="53"/>
      <c r="BE386" s="53"/>
      <c r="BF386" s="53"/>
      <c r="BG386" s="53"/>
      <c r="BH386" s="53"/>
      <c r="BI386" s="53"/>
      <c r="BJ386" s="53"/>
      <c r="BK386" s="53"/>
      <c r="BL386" s="53"/>
      <c r="BM386" s="53"/>
      <c r="BN386" s="53"/>
      <c r="BO386" s="53"/>
      <c r="BP386" s="53"/>
      <c r="BQ386" s="53"/>
      <c r="BR386" s="53"/>
      <c r="BS386" s="53"/>
      <c r="BT386" s="53"/>
      <c r="BU386" s="53"/>
      <c r="BV386" s="53"/>
      <c r="BW386" s="53"/>
      <c r="BX386" s="53"/>
      <c r="BY386" s="53"/>
      <c r="BZ386" s="53"/>
      <c r="CA386" s="53"/>
      <c r="CB386" s="53"/>
      <c r="CC386" s="53"/>
      <c r="CD386" s="53"/>
      <c r="CE386" s="53"/>
      <c r="CF386" s="53"/>
      <c r="CG386" s="53"/>
      <c r="CH386" s="53"/>
      <c r="CI386" s="53"/>
      <c r="CJ386" s="53"/>
      <c r="CK386" s="53"/>
      <c r="CL386" s="53"/>
      <c r="CM386" s="53"/>
      <c r="CN386" s="53"/>
      <c r="CO386" s="53"/>
      <c r="CP386" s="53"/>
      <c r="CQ386" s="53"/>
      <c r="CR386" s="1"/>
      <c r="CS386" s="1"/>
      <c r="CT386" s="1"/>
      <c r="CU386" s="1"/>
    </row>
    <row r="387" spans="1:99" s="13" customFormat="1" ht="12" customHeight="1" x14ac:dyDescent="0.2">
      <c r="A387" s="65">
        <v>43897</v>
      </c>
      <c r="B387" s="22" t="s">
        <v>411</v>
      </c>
      <c r="C387" s="22" t="s">
        <v>54</v>
      </c>
      <c r="D387" s="66">
        <v>1978</v>
      </c>
      <c r="E387" s="76">
        <v>1</v>
      </c>
      <c r="F387" s="60">
        <v>10</v>
      </c>
      <c r="G387" s="60">
        <v>10</v>
      </c>
      <c r="H387" s="60" t="s">
        <v>32</v>
      </c>
      <c r="I387" s="60" t="s">
        <v>330</v>
      </c>
      <c r="J387" s="60" t="s">
        <v>376</v>
      </c>
      <c r="K387" s="60">
        <f>IF(J387="syllables",1,IF(J387="trigrams",2,IF(J387="strings",3,IF(J387="visual array",4,IF(J387="characters",5,IF(J387="letters",6,IF(J387="free forms",7,IF(J387="odors",8,IF(J387="words",9,IF(J387="pictures",10,IF(J387="object pictures",11,IF(J387="faces",12,IF(J387="names",13,IF(J387="idioms",14,IF(J387="grades",15,IF(J387="syllable-digit pairs",16,IF(J387="trigram-word pairs",17,IF(J387="word-digit pairs",18,IF(J387="English-Swahili pairs",19,IF(J387="spatial position",20,IF(J387="word pairs",21,IF(J387="word triads",22,IF(J387="generated words",23,IF(J387="word definition pairs",24,IF(J387="math problems",25,IF(J387="famous faces",26,IF(J387="famous names",27,IF(J387="famous voices",28,IF(J387="television programs",29,IF(J387="race horses",30,IF(J387="new vocabulary",31,IF(J387="sentences",32,IF(J387="concepts",33,IF(J387="ad slides",34,IF(J387="scenes",35,IF(J387="famous scenes",36,IF(J387="poems",37,IF(J387="walk",38,IF(J387="faces and events",39,IF(J387="events and names",40,IF(J387="flashbulb",41,IF(J387="stories",42,IF(J387="course material",43,IF(J387="autobiographical",44,IF(J387="novels",45,IF(J387="public events",46,"99"))))))))))))))))))))))))))))))))))))))))))))))</f>
        <v>29</v>
      </c>
      <c r="L387" s="60">
        <f>IF(J387="syllables",1,IF(J387="trigrams",1,IF(J387="strings",1,IF(J387="visual array",1,IF(J387="characters",1,IF(J387="letters",1,IF(J387="free forms",1,IF(J387="odors",2,IF(J387="words",2,IF(J387="pictures",2,IF(J387="object pictures",2,IF(J387="faces",2,IF(J387="names",2,IF(J387="idioms","2",IF(J387="grades",2,IF(J387="syllable-digit pairs",3,IF(J387="trigram-word pairs",3,IF(J387="word-digit pairs",3,IF(J387="English-Swahili pairs",3,IF(J387="spatial position",3,IF(J387="word pairs",4,IF(J387="word triads",4,IF(J387="generated words",4,IF(J387="word definition pairs",4,IF(J387="math problems",4,IF(J387="famous faces",4,IF(J387="famous names",4,IF(J387="famous voices",4,IF(J387="television programs",4,IF(J387="race horses",4,IF(J387="new vocabulary",4,IF(J387="sentences",5,IF(J387="concepts",5,IF(J387="ad slides",5,IF(J387="scenes",5,IF(J387="famous scenes",5,IF(J387="poems",6,IF(J387="walk",6,IF(J387="faces and events",6,IF(J387="events and names",6,IF(J387="flashbulb",7,IF(J387="stories",7,IF(J387="course material",7,IF(J387="autobiographical",7,IF(J387="novels",7,IF(J387="public events",7,"99"))))))))))))))))))))))))))))))))))))))))))))))</f>
        <v>4</v>
      </c>
      <c r="M387" s="60">
        <v>1</v>
      </c>
      <c r="N387" s="61">
        <v>2</v>
      </c>
      <c r="O387" s="60">
        <v>0</v>
      </c>
      <c r="P387" s="60"/>
      <c r="Q387" s="60" t="s">
        <v>174</v>
      </c>
      <c r="R387" s="60">
        <f>IF(Q387="Free Recall",1,IF(Q387="Cued Recall",2,IF(Q387="Recognition",3,IF(Q387="Multiple Choice",4,IF(Q387="Savings",5,IF(Q387="Stem Completion",6,IF(Q387="Fragment Completion",7,IF(Q387="anagram solution",8,IF(Q387="Matching",9,IF(Q387="Problem Solving",10,"99"))))))))))</f>
        <v>1</v>
      </c>
      <c r="S387" s="60" t="s">
        <v>49</v>
      </c>
      <c r="T387" s="59" t="s">
        <v>581</v>
      </c>
      <c r="U387" s="60">
        <f>IF(T387="within",1,0)</f>
        <v>1</v>
      </c>
      <c r="V387" s="59">
        <v>31</v>
      </c>
      <c r="W387" s="60">
        <f>F387*V387</f>
        <v>310</v>
      </c>
      <c r="X387" s="60">
        <v>3</v>
      </c>
      <c r="Y387" s="76">
        <f>AV386</f>
        <v>94608000</v>
      </c>
      <c r="Z387" s="59" t="s">
        <v>432</v>
      </c>
      <c r="AA387" s="60">
        <f>23*365*24*60*60</f>
        <v>725328000</v>
      </c>
      <c r="AB387" s="60" t="str">
        <f>IF(AA387&lt;60,"1",IF(AA387&lt;=43200,"2",IF(AA387&lt;=777600,"3","4")))</f>
        <v>4</v>
      </c>
      <c r="AC387" s="56">
        <f>AVERAGE(AV386:DA386)</f>
        <v>409968000</v>
      </c>
      <c r="AD387" s="60" t="str">
        <f>IF(AC387&lt;60,"1",IF(AC387&lt;=43200,"2",IF(AC387&lt;=777600,"3","4")))</f>
        <v>4</v>
      </c>
      <c r="AE387" s="76">
        <f>AA387-Y387</f>
        <v>630720000</v>
      </c>
      <c r="AF387" s="80">
        <f>AV387</f>
        <v>0.81914893617021278</v>
      </c>
      <c r="AG387" s="56">
        <f>((AW387-AV387)+(AX387-AW387))/2</f>
        <v>-0.27957446808510639</v>
      </c>
      <c r="AH387" s="4"/>
      <c r="AI387" s="56">
        <f>RSQ(AV387:AX387,AV386:AX386)</f>
        <v>0.84401468860982021</v>
      </c>
      <c r="AJ387" s="109">
        <f>SLOPE(AV387:AX387,AV386:AX386)</f>
        <v>-8.8652482269503542E-10</v>
      </c>
      <c r="AK387" s="56">
        <f>INTERCEPT(AV387:AX387,AV386:AX386)</f>
        <v>0.97241236981662504</v>
      </c>
      <c r="AL387" s="56">
        <f>INDEX(LINEST(LN(AV387:AX387),LN(AV386:AX386),TRUE,TRUE),3,1)</f>
        <v>0.58428908723288209</v>
      </c>
      <c r="AM387" s="56">
        <f>INDEX(LINEST(LN(AV387:AX387),LN(AV386:AX386)),1)</f>
        <v>-0.46402196313112604</v>
      </c>
      <c r="AN387" s="56">
        <f>EXP(INDEX(LINEST(LN(AV387:AX387),LN(AV386:AX386)),1,2))</f>
        <v>4681.2473513004297</v>
      </c>
      <c r="AO387" s="82">
        <f>INDEX(LINEST((AV387:AX387),LN(AV386:AX386),TRUE,TRUE),3,1)</f>
        <v>0.62924482181069219</v>
      </c>
      <c r="AP387" s="82">
        <f>INDEX(LINEST((AV387:AX387),LN(AV386:AX386)),1)</f>
        <v>-0.22973630874308423</v>
      </c>
      <c r="AQ387" s="83">
        <f>INDEX(LINEST(LN(AV387:AX387),SQRT(AV386:AX386),TRUE,TRUE),3,1)</f>
        <v>0.69958448402615814</v>
      </c>
      <c r="AR387" s="116">
        <f>INDEX(LINEST(LN(AV387:AX387),SQRT((AV386:AX386))),1)</f>
        <v>-6.1510105449422888E-5</v>
      </c>
      <c r="AS387" s="84">
        <f>INDEX(LINEST(1/(AV387:AX387),1/(SQRT(AV386:AX386)),TRUE,TRUE),3,1)</f>
        <v>0.45397865700542595</v>
      </c>
      <c r="AT387" s="84">
        <f>INDEX(LINEST(1/(AV387:AX387),1/SQRT(AV386:AX386)),1)</f>
        <v>-28616.404979481515</v>
      </c>
      <c r="AU387" s="3"/>
      <c r="AV387" s="53">
        <v>0.81914893617021278</v>
      </c>
      <c r="AW387" s="53">
        <v>0.74774774774774766</v>
      </c>
      <c r="AX387" s="53">
        <v>0.26</v>
      </c>
      <c r="AY387" s="53"/>
      <c r="AZ387" s="53"/>
      <c r="BA387" s="53"/>
      <c r="BB387" s="53"/>
      <c r="BC387" s="53"/>
      <c r="BD387" s="53"/>
      <c r="BE387" s="53"/>
      <c r="BF387" s="53"/>
      <c r="BG387" s="53"/>
      <c r="BH387" s="53"/>
      <c r="BI387" s="53"/>
      <c r="BJ387" s="53"/>
      <c r="BK387" s="53"/>
      <c r="BL387" s="53"/>
      <c r="BM387" s="53"/>
      <c r="BN387" s="53"/>
      <c r="BO387" s="53"/>
      <c r="BP387" s="53"/>
      <c r="BQ387" s="53"/>
      <c r="BR387" s="53"/>
      <c r="BS387" s="53"/>
      <c r="BT387" s="53"/>
      <c r="BU387" s="53"/>
      <c r="BV387" s="53"/>
      <c r="BW387" s="53"/>
      <c r="BX387" s="53"/>
      <c r="BY387" s="53"/>
      <c r="BZ387" s="53"/>
      <c r="CA387" s="53"/>
      <c r="CB387" s="53"/>
      <c r="CC387" s="53"/>
      <c r="CD387" s="53"/>
      <c r="CE387" s="53"/>
      <c r="CF387" s="53"/>
      <c r="CG387" s="53"/>
      <c r="CH387" s="53"/>
      <c r="CI387" s="53"/>
      <c r="CJ387" s="53"/>
      <c r="CK387" s="53"/>
      <c r="CL387" s="53"/>
      <c r="CM387" s="53"/>
      <c r="CN387" s="53"/>
      <c r="CO387" s="53"/>
      <c r="CP387" s="53"/>
      <c r="CQ387" s="53"/>
      <c r="CR387" s="1"/>
      <c r="CS387" s="1"/>
      <c r="CT387" s="1"/>
      <c r="CU387" s="1"/>
    </row>
    <row r="388" spans="1:99" s="13" customFormat="1" ht="12" customHeight="1" x14ac:dyDescent="0.2">
      <c r="A388" s="65">
        <v>43509</v>
      </c>
      <c r="B388" s="1"/>
      <c r="C388" s="1"/>
      <c r="D388" s="60"/>
      <c r="E388" s="76"/>
      <c r="F388" s="60"/>
      <c r="G388" s="60"/>
      <c r="H388" s="60"/>
      <c r="I388" s="60"/>
      <c r="J388" s="60"/>
      <c r="K388" s="64"/>
      <c r="L388" s="64"/>
      <c r="M388" s="60"/>
      <c r="N388" s="60"/>
      <c r="O388" s="60"/>
      <c r="P388" s="60"/>
      <c r="Q388" s="60"/>
      <c r="R388" s="60"/>
      <c r="S388" s="60"/>
      <c r="T388" s="60"/>
      <c r="U388" s="60"/>
      <c r="V388" s="60"/>
      <c r="W388" s="60"/>
      <c r="X388" s="60"/>
      <c r="Y388" s="76"/>
      <c r="Z388" s="60"/>
      <c r="AA388" s="60"/>
      <c r="AB388" s="60"/>
      <c r="AC388" s="60"/>
      <c r="AD388" s="60"/>
      <c r="AE388" s="60"/>
      <c r="AF388" s="80"/>
      <c r="AG388" s="56"/>
      <c r="AH388" s="4"/>
      <c r="AI388" s="56"/>
      <c r="AJ388" s="109"/>
      <c r="AK388" s="56"/>
      <c r="AL388" s="56"/>
      <c r="AM388" s="56"/>
      <c r="AN388" s="56"/>
      <c r="AO388" s="56"/>
      <c r="AP388" s="56"/>
      <c r="AQ388" s="56"/>
      <c r="AR388" s="109"/>
      <c r="AS388" s="56"/>
      <c r="AT388" s="56"/>
      <c r="AU388" s="8"/>
      <c r="AV388" s="25">
        <v>60</v>
      </c>
      <c r="AW388" s="25">
        <f>7*24*3600*1</f>
        <v>604800</v>
      </c>
      <c r="AX388" s="25">
        <f>7*24*3600*2</f>
        <v>1209600</v>
      </c>
      <c r="AY388" s="25">
        <f>7*24*3600*3</f>
        <v>1814400</v>
      </c>
      <c r="AZ388" s="25">
        <f>7*24*3600*4</f>
        <v>2419200</v>
      </c>
      <c r="BA388" s="53" t="s">
        <v>536</v>
      </c>
      <c r="BB388" s="53"/>
      <c r="BC388" s="53"/>
      <c r="BD388" s="53"/>
      <c r="BE388" s="53"/>
      <c r="BF388" s="53"/>
      <c r="BG388" s="53"/>
      <c r="BH388" s="53"/>
      <c r="BI388" s="53"/>
      <c r="BJ388" s="53"/>
      <c r="BK388" s="53"/>
      <c r="BL388" s="53"/>
      <c r="BM388" s="53"/>
      <c r="BN388" s="53"/>
      <c r="BO388" s="53"/>
      <c r="BP388" s="53"/>
      <c r="BQ388" s="53"/>
      <c r="BR388" s="53"/>
      <c r="BS388" s="53"/>
      <c r="BT388" s="53"/>
      <c r="BU388" s="53"/>
      <c r="BV388" s="53"/>
      <c r="BW388" s="53"/>
      <c r="BX388" s="53"/>
      <c r="BY388" s="53"/>
      <c r="BZ388" s="53"/>
      <c r="CA388" s="53"/>
      <c r="CB388" s="53"/>
      <c r="CC388" s="53"/>
      <c r="CD388" s="53"/>
      <c r="CE388" s="53"/>
      <c r="CF388" s="53"/>
      <c r="CG388" s="53"/>
      <c r="CH388" s="53"/>
      <c r="CI388" s="53"/>
      <c r="CJ388" s="53"/>
      <c r="CK388" s="53"/>
      <c r="CL388" s="53"/>
      <c r="CM388" s="53"/>
      <c r="CN388" s="53"/>
      <c r="CO388" s="53"/>
      <c r="CP388" s="53"/>
      <c r="CQ388" s="53"/>
      <c r="CR388" s="1"/>
      <c r="CS388" s="1"/>
      <c r="CT388" s="1"/>
      <c r="CU388" s="1"/>
    </row>
    <row r="389" spans="1:99" s="13" customFormat="1" ht="12" customHeight="1" x14ac:dyDescent="0.2">
      <c r="A389" s="65">
        <v>43509</v>
      </c>
      <c r="B389" s="1" t="s">
        <v>166</v>
      </c>
      <c r="C389" s="1" t="s">
        <v>167</v>
      </c>
      <c r="D389" s="60">
        <v>1970</v>
      </c>
      <c r="E389" s="76">
        <v>1</v>
      </c>
      <c r="F389" s="60">
        <v>150</v>
      </c>
      <c r="G389" s="60">
        <v>15</v>
      </c>
      <c r="H389" s="60" t="s">
        <v>50</v>
      </c>
      <c r="I389" s="60" t="s">
        <v>826</v>
      </c>
      <c r="J389" s="60" t="s">
        <v>828</v>
      </c>
      <c r="K389" s="60">
        <f>IF(J389="syllables",1,IF(J389="trigrams",2,IF(J389="strings",3,IF(J389="visual array",4,IF(J389="characters",5,IF(J389="letters",6,IF(J389="free forms",7,IF(J389="odors",8,IF(J389="words",9,IF(J389="pictures",10,IF(J389="object pictures",11,IF(J389="faces",12,IF(J389="names",13,IF(J389="idioms",14,IF(J389="grades",15,IF(J389="syllable-digit pairs",16,IF(J389="trigram-word pairs",17,IF(J389="word-digit pairs",18,IF(J389="English-Swahili pairs",19,IF(J389="spatial position",20,IF(J389="word pairs",21,IF(J389="word triads",22,IF(J389="generated words",23,IF(J389="word definition pairs",24,IF(J389="math problems",25,IF(J389="famous faces",26,IF(J389="famous names",27,IF(J389="famous voices",28,IF(J389="television programs",29,IF(J389="race horses",30,IF(J389="new vocabulary",31,IF(J389="sentences",32,IF(J389="concepts",33,IF(J389="ad slides",34,IF(J389="scenes",35,IF(J389="famous scenes",36,IF(J389="poems",37,IF(J389="walk",38,IF(J389="faces and events",39,IF(J389="events and names",40,IF(J389="flashbulb",41,IF(J389="stories",42,IF(J389="course material",43,IF(J389="autobiographical",44,IF(J389="novels",45,IF(J389="public events",46,"99"))))))))))))))))))))))))))))))))))))))))))))))</f>
        <v>17</v>
      </c>
      <c r="L389" s="60">
        <f>IF(J389="syllables",1,IF(J389="trigrams",1,IF(J389="strings",1,IF(J389="visual array",1,IF(J389="characters",1,IF(J389="letters",1,IF(J389="free forms",1,IF(J389="odors",2,IF(J389="words",2,IF(J389="pictures",2,IF(J389="object pictures",2,IF(J389="faces",2,IF(J389="names",2,IF(J389="idioms","2",IF(J389="grades",2,IF(J389="syllable-digit pairs",3,IF(J389="trigram-word pairs",3,IF(J389="word-digit pairs",3,IF(J389="English-Swahili pairs",3,IF(J389="spatial position",3,IF(J389="word pairs",4,IF(J389="word triads",4,IF(J389="generated words",4,IF(J389="word definition pairs",4,IF(J389="math problems",4,IF(J389="famous faces",4,IF(J389="famous names",4,IF(J389="famous voices",4,IF(J389="television programs",4,IF(J389="race horses",4,IF(J389="new vocabulary",4,IF(J389="sentences",5,IF(J389="concepts",5,IF(J389="ad slides",5,IF(J389="scenes",5,IF(J389="famous scenes",5,IF(J389="poems",6,IF(J389="walk",6,IF(J389="faces and events",6,IF(J389="events and names",6,IF(J389="flashbulb",7,IF(J389="stories",7,IF(J389="course material",7,IF(J389="autobiographical",7,IF(J389="novels",7,IF(J389="public events",7,"99"))))))))))))))))))))))))))))))))))))))))))))))</f>
        <v>3</v>
      </c>
      <c r="M389" s="60">
        <v>1</v>
      </c>
      <c r="N389" s="60">
        <v>2</v>
      </c>
      <c r="O389" s="60">
        <v>0</v>
      </c>
      <c r="P389" s="60"/>
      <c r="Q389" s="60" t="s">
        <v>65</v>
      </c>
      <c r="R389" s="60">
        <f>IF(Q389="Free Recall",1,IF(Q389="Cued Recall",2,IF(Q389="Recognition",3,IF(Q389="Multiple Choice",4,IF(Q389="Savings",5,IF(Q389="Stem Completion",6,IF(Q389="Fragment Completion",7,IF(Q389="anagram solution",8,IF(Q389="Matching",9,IF(Q389="Problem Solving",10,"99"))))))))))</f>
        <v>2</v>
      </c>
      <c r="S389" s="60" t="s">
        <v>49</v>
      </c>
      <c r="T389" s="59" t="s">
        <v>261</v>
      </c>
      <c r="U389" s="60">
        <f>IF(T389="within",1,0)</f>
        <v>0</v>
      </c>
      <c r="V389" s="59">
        <v>10</v>
      </c>
      <c r="W389" s="60">
        <f>F389*V389</f>
        <v>1500</v>
      </c>
      <c r="X389" s="60">
        <v>5</v>
      </c>
      <c r="Y389" s="76">
        <f>AV388</f>
        <v>60</v>
      </c>
      <c r="Z389" s="60" t="s">
        <v>140</v>
      </c>
      <c r="AA389" s="60">
        <v>2419200</v>
      </c>
      <c r="AB389" s="60" t="str">
        <f>IF(AA389&lt;60,"1",IF(AA389&lt;=43200,"2",IF(AA389&lt;=777600,"3","4")))</f>
        <v>4</v>
      </c>
      <c r="AC389" s="56">
        <f>AVERAGE(AV388:DA388)</f>
        <v>1209612</v>
      </c>
      <c r="AD389" s="60" t="str">
        <f>IF(AC389&lt;60,"1",IF(AC389&lt;=43200,"2",IF(AC389&lt;=777600,"3","4")))</f>
        <v>4</v>
      </c>
      <c r="AE389" s="76">
        <f>AA389-Y389</f>
        <v>2419140</v>
      </c>
      <c r="AF389" s="80">
        <f>AV389</f>
        <v>0.8</v>
      </c>
      <c r="AG389" s="56">
        <f>((AW389-AV389)+(AX389-AW389)+(AY389-AX389)+(AZ389-AY389))/4</f>
        <v>-0.15750000000000003</v>
      </c>
      <c r="AH389" s="4"/>
      <c r="AI389" s="56">
        <f>RSQ(AV389:AZ389,AV388:AZ388)</f>
        <v>0.90706142733787642</v>
      </c>
      <c r="AJ389" s="109">
        <f>SLOPE(AV389:AZ389,AV388:AZ388)</f>
        <v>-2.3148479487027853E-7</v>
      </c>
      <c r="AK389" s="56">
        <f>INTERCEPT(AV389:AZ389,AV388:AZ388)</f>
        <v>0.72200678569262733</v>
      </c>
      <c r="AL389" s="56">
        <f>INDEX(LINEST(LN(AV389:AZ389),LN(AV388:AZ388),TRUE,TRUE),3,1)</f>
        <v>0.5938502453823713</v>
      </c>
      <c r="AM389" s="56">
        <f>INDEX(LINEST(LN(AV389:AZ389),LN(AV388:AZ388)),1)</f>
        <v>-9.648432894161274E-2</v>
      </c>
      <c r="AN389" s="56">
        <f>EXP(INDEX(LINEST(LN(AV389:AZ389),LN(AV388:AZ388)),1,2))</f>
        <v>1.261634177812212</v>
      </c>
      <c r="AO389" s="82">
        <f>INDEX(LINEST((AV389:AZ389),LN(AV388:AZ388),TRUE,TRUE),3,1)</f>
        <v>0.82654518067581861</v>
      </c>
      <c r="AP389" s="82">
        <f>INDEX(LINEST((AV389:AZ389),LN(AV388:AZ388)),1)</f>
        <v>-4.6873068215225487E-2</v>
      </c>
      <c r="AQ389" s="83">
        <f>INDEX(LINEST(LN(AV389:AZ389),SQRT(AV388:AZ388),TRUE,TRUE),3,1)</f>
        <v>0.84891237225257676</v>
      </c>
      <c r="AR389" s="116">
        <f>INDEX(LINEST(LN(AV389:AZ389),SQRT((AV388:AZ388))),1)</f>
        <v>-8.5966321517653955E-4</v>
      </c>
      <c r="AS389" s="84">
        <f>INDEX(LINEST(1/(AV389:AZ389),1/(SQRT(AV388:AZ388)),TRUE,TRUE),3,1)</f>
        <v>0.27752765475675434</v>
      </c>
      <c r="AT389" s="84">
        <f>INDEX(LINEST(1/(AV389:AZ389),1/SQRT(AV388:AZ388)),1)</f>
        <v>-16.251447821930896</v>
      </c>
      <c r="AU389" s="3"/>
      <c r="AV389" s="53">
        <f>4/5</f>
        <v>0.8</v>
      </c>
      <c r="AW389" s="53">
        <f>2.5/5</f>
        <v>0.5</v>
      </c>
      <c r="AX389" s="53">
        <f>1.9/5</f>
        <v>0.38</v>
      </c>
      <c r="AY389" s="53">
        <f>1.8/5</f>
        <v>0.36</v>
      </c>
      <c r="AZ389" s="53">
        <f>0.85/5</f>
        <v>0.16999999999999998</v>
      </c>
      <c r="BA389" s="53"/>
      <c r="BB389" s="53"/>
      <c r="BC389" s="53"/>
      <c r="BD389" s="53"/>
      <c r="BE389" s="53"/>
      <c r="BF389" s="53"/>
      <c r="BG389" s="53"/>
      <c r="BH389" s="53"/>
      <c r="BI389" s="53"/>
      <c r="BJ389" s="53"/>
      <c r="BK389" s="53"/>
      <c r="BL389" s="53"/>
      <c r="BM389" s="53"/>
      <c r="BN389" s="53"/>
      <c r="BO389" s="53"/>
      <c r="BP389" s="53"/>
      <c r="BQ389" s="53"/>
      <c r="BR389" s="53"/>
      <c r="BS389" s="53"/>
      <c r="BT389" s="53"/>
      <c r="BU389" s="53"/>
      <c r="BV389" s="53"/>
      <c r="BW389" s="53"/>
      <c r="BX389" s="53"/>
      <c r="BY389" s="53"/>
      <c r="BZ389" s="53"/>
      <c r="CA389" s="53"/>
      <c r="CB389" s="53"/>
      <c r="CC389" s="53"/>
      <c r="CD389" s="53"/>
      <c r="CE389" s="53"/>
      <c r="CF389" s="53"/>
      <c r="CG389" s="53"/>
      <c r="CH389" s="53"/>
      <c r="CI389" s="53"/>
      <c r="CJ389" s="53"/>
      <c r="CK389" s="53"/>
      <c r="CL389" s="53"/>
      <c r="CM389" s="53"/>
      <c r="CN389" s="53"/>
      <c r="CO389" s="53"/>
      <c r="CP389" s="53"/>
      <c r="CQ389" s="53"/>
      <c r="CR389" s="1"/>
      <c r="CS389" s="1"/>
      <c r="CT389" s="1"/>
      <c r="CU389" s="1"/>
    </row>
    <row r="390" spans="1:99" s="13" customFormat="1" ht="12" customHeight="1" x14ac:dyDescent="0.2">
      <c r="A390" s="65">
        <v>43509</v>
      </c>
      <c r="B390" s="1"/>
      <c r="C390" s="1"/>
      <c r="D390" s="60"/>
      <c r="E390" s="76"/>
      <c r="F390" s="60"/>
      <c r="G390" s="60"/>
      <c r="H390" s="60"/>
      <c r="I390" s="60"/>
      <c r="J390" s="60"/>
      <c r="K390" s="64"/>
      <c r="L390" s="64"/>
      <c r="M390" s="60"/>
      <c r="N390" s="60"/>
      <c r="O390" s="60"/>
      <c r="P390" s="60"/>
      <c r="Q390" s="60"/>
      <c r="R390" s="60"/>
      <c r="S390" s="60"/>
      <c r="T390" s="60"/>
      <c r="U390" s="60"/>
      <c r="V390" s="60"/>
      <c r="W390" s="60"/>
      <c r="X390" s="60"/>
      <c r="Y390" s="76"/>
      <c r="Z390" s="60"/>
      <c r="AA390" s="60"/>
      <c r="AB390" s="60"/>
      <c r="AC390" s="60"/>
      <c r="AD390" s="60"/>
      <c r="AE390" s="60"/>
      <c r="AF390" s="80"/>
      <c r="AG390" s="56"/>
      <c r="AH390" s="4"/>
      <c r="AI390" s="56"/>
      <c r="AJ390" s="109"/>
      <c r="AK390" s="56"/>
      <c r="AL390" s="56"/>
      <c r="AM390" s="56"/>
      <c r="AN390" s="56"/>
      <c r="AO390" s="56"/>
      <c r="AP390" s="56"/>
      <c r="AQ390" s="56"/>
      <c r="AR390" s="109"/>
      <c r="AS390" s="56"/>
      <c r="AT390" s="56"/>
      <c r="AU390" s="4"/>
      <c r="AV390" s="25">
        <v>60</v>
      </c>
      <c r="AW390" s="25">
        <f>7*24*3600*1</f>
        <v>604800</v>
      </c>
      <c r="AX390" s="25">
        <f>7*24*3600*2</f>
        <v>1209600</v>
      </c>
      <c r="AY390" s="25">
        <f>7*24*3600*3</f>
        <v>1814400</v>
      </c>
      <c r="AZ390" s="25">
        <f>7*24*3600*4</f>
        <v>2419200</v>
      </c>
      <c r="BA390" s="53"/>
      <c r="BB390" s="53"/>
      <c r="BC390" s="53"/>
      <c r="BD390" s="53"/>
      <c r="BE390" s="53"/>
      <c r="BF390" s="53"/>
      <c r="BG390" s="53"/>
      <c r="BH390" s="53"/>
      <c r="BI390" s="53"/>
      <c r="BJ390" s="53"/>
      <c r="BK390" s="53"/>
      <c r="BL390" s="53"/>
      <c r="BM390" s="53"/>
      <c r="BN390" s="53"/>
      <c r="BO390" s="53"/>
      <c r="BP390" s="53"/>
      <c r="BQ390" s="53"/>
      <c r="BR390" s="53"/>
      <c r="BS390" s="53"/>
      <c r="BT390" s="53"/>
      <c r="BU390" s="53"/>
      <c r="BV390" s="53"/>
      <c r="BW390" s="53"/>
      <c r="BX390" s="53"/>
      <c r="BY390" s="53"/>
      <c r="BZ390" s="53"/>
      <c r="CA390" s="53"/>
      <c r="CB390" s="53"/>
      <c r="CC390" s="53"/>
      <c r="CD390" s="53"/>
      <c r="CE390" s="53"/>
      <c r="CF390" s="53"/>
      <c r="CG390" s="53"/>
      <c r="CH390" s="53"/>
      <c r="CI390" s="53"/>
      <c r="CJ390" s="53"/>
      <c r="CK390" s="53"/>
      <c r="CL390" s="53"/>
      <c r="CM390" s="53"/>
      <c r="CN390" s="53"/>
      <c r="CO390" s="53"/>
      <c r="CP390" s="53"/>
      <c r="CQ390" s="53"/>
      <c r="CR390" s="1"/>
      <c r="CS390" s="1"/>
      <c r="CT390" s="1"/>
      <c r="CU390" s="1"/>
    </row>
    <row r="391" spans="1:99" s="13" customFormat="1" ht="12" customHeight="1" x14ac:dyDescent="0.2">
      <c r="A391" s="65">
        <v>43509</v>
      </c>
      <c r="B391" s="1" t="s">
        <v>166</v>
      </c>
      <c r="C391" s="1" t="s">
        <v>167</v>
      </c>
      <c r="D391" s="60">
        <v>1970</v>
      </c>
      <c r="E391" s="76">
        <v>1</v>
      </c>
      <c r="F391" s="60">
        <v>150</v>
      </c>
      <c r="G391" s="60">
        <v>15</v>
      </c>
      <c r="H391" s="60" t="s">
        <v>50</v>
      </c>
      <c r="I391" s="60" t="s">
        <v>827</v>
      </c>
      <c r="J391" s="60" t="s">
        <v>828</v>
      </c>
      <c r="K391" s="60">
        <f>IF(J391="syllables",1,IF(J391="trigrams",2,IF(J391="strings",3,IF(J391="visual array",4,IF(J391="characters",5,IF(J391="letters",6,IF(J391="free forms",7,IF(J391="odors",8,IF(J391="words",9,IF(J391="pictures",10,IF(J391="object pictures",11,IF(J391="faces",12,IF(J391="names",13,IF(J391="idioms",14,IF(J391="grades",15,IF(J391="syllable-digit pairs",16,IF(J391="trigram-word pairs",17,IF(J391="word-digit pairs",18,IF(J391="English-Swahili pairs",19,IF(J391="spatial position",20,IF(J391="word pairs",21,IF(J391="word triads",22,IF(J391="generated words",23,IF(J391="word definition pairs",24,IF(J391="math problems",25,IF(J391="famous faces",26,IF(J391="famous names",27,IF(J391="famous voices",28,IF(J391="television programs",29,IF(J391="race horses",30,IF(J391="new vocabulary",31,IF(J391="sentences",32,IF(J391="concepts",33,IF(J391="ad slides",34,IF(J391="scenes",35,IF(J391="famous scenes",36,IF(J391="poems",37,IF(J391="walk",38,IF(J391="faces and events",39,IF(J391="events and names",40,IF(J391="flashbulb",41,IF(J391="stories",42,IF(J391="course material",43,IF(J391="autobiographical",44,IF(J391="novels",45,IF(J391="public events",46,"99"))))))))))))))))))))))))))))))))))))))))))))))</f>
        <v>17</v>
      </c>
      <c r="L391" s="60">
        <f>IF(J391="syllables",1,IF(J391="trigrams",1,IF(J391="strings",1,IF(J391="visual array",1,IF(J391="characters",1,IF(J391="letters",1,IF(J391="free forms",1,IF(J391="odors",2,IF(J391="words",2,IF(J391="pictures",2,IF(J391="object pictures",2,IF(J391="faces",2,IF(J391="names",2,IF(J391="idioms","2",IF(J391="grades",2,IF(J391="syllable-digit pairs",3,IF(J391="trigram-word pairs",3,IF(J391="word-digit pairs",3,IF(J391="English-Swahili pairs",3,IF(J391="spatial position",3,IF(J391="word pairs",4,IF(J391="word triads",4,IF(J391="generated words",4,IF(J391="word definition pairs",4,IF(J391="math problems",4,IF(J391="famous faces",4,IF(J391="famous names",4,IF(J391="famous voices",4,IF(J391="television programs",4,IF(J391="race horses",4,IF(J391="new vocabulary",4,IF(J391="sentences",5,IF(J391="concepts",5,IF(J391="ad slides",5,IF(J391="scenes",5,IF(J391="famous scenes",5,IF(J391="poems",6,IF(J391="walk",6,IF(J391="faces and events",6,IF(J391="events and names",6,IF(J391="flashbulb",7,IF(J391="stories",7,IF(J391="course material",7,IF(J391="autobiographical",7,IF(J391="novels",7,IF(J391="public events",7,"99"))))))))))))))))))))))))))))))))))))))))))))))</f>
        <v>3</v>
      </c>
      <c r="M391" s="60">
        <v>1</v>
      </c>
      <c r="N391" s="60">
        <v>2</v>
      </c>
      <c r="O391" s="60">
        <v>0</v>
      </c>
      <c r="P391" s="60"/>
      <c r="Q391" s="60" t="s">
        <v>65</v>
      </c>
      <c r="R391" s="60">
        <f>IF(Q391="Free Recall",1,IF(Q391="Cued Recall",2,IF(Q391="Recognition",3,IF(Q391="Multiple Choice",4,IF(Q391="Savings",5,IF(Q391="Stem Completion",6,IF(Q391="Fragment Completion",7,IF(Q391="anagram solution",8,IF(Q391="Matching",9,IF(Q391="Problem Solving",10,"99"))))))))))</f>
        <v>2</v>
      </c>
      <c r="S391" s="60" t="s">
        <v>49</v>
      </c>
      <c r="T391" s="59" t="s">
        <v>261</v>
      </c>
      <c r="U391" s="60">
        <f>IF(T391="within",1,0)</f>
        <v>0</v>
      </c>
      <c r="V391" s="59">
        <v>10</v>
      </c>
      <c r="W391" s="60">
        <f>F391*V391</f>
        <v>1500</v>
      </c>
      <c r="X391" s="60">
        <v>5</v>
      </c>
      <c r="Y391" s="76">
        <f>AV390</f>
        <v>60</v>
      </c>
      <c r="Z391" s="60" t="s">
        <v>140</v>
      </c>
      <c r="AA391" s="60">
        <v>2419200</v>
      </c>
      <c r="AB391" s="60" t="str">
        <f>IF(AA391&lt;60,"1",IF(AA391&lt;=43200,"2",IF(AA391&lt;=777600,"3","4")))</f>
        <v>4</v>
      </c>
      <c r="AC391" s="56">
        <f>AVERAGE(AV390:DA390)</f>
        <v>1209612</v>
      </c>
      <c r="AD391" s="60" t="str">
        <f>IF(AC391&lt;60,"1",IF(AC391&lt;=43200,"2",IF(AC391&lt;=777600,"3","4")))</f>
        <v>4</v>
      </c>
      <c r="AE391" s="76">
        <f>AA391-Y391</f>
        <v>2419140</v>
      </c>
      <c r="AF391" s="80">
        <f>AV391</f>
        <v>0.8</v>
      </c>
      <c r="AG391" s="56">
        <f>((AW391-AV391)+(AX391-AW391)+(AY391-AX391)+(AZ391-AY391))/4</f>
        <v>-0.15750000000000003</v>
      </c>
      <c r="AH391" s="4"/>
      <c r="AI391" s="56">
        <f>RSQ(AV391:AZ391,AV390:AZ390)</f>
        <v>0.93404607413706586</v>
      </c>
      <c r="AJ391" s="109">
        <f>SLOPE(AV391:AZ391,AV390:AZ390)</f>
        <v>-2.3809894517043886E-7</v>
      </c>
      <c r="AK391" s="56">
        <f>INTERCEPT(AV391:AZ391,AV390:AZ390)</f>
        <v>0.73800734126550482</v>
      </c>
      <c r="AL391" s="56">
        <f>INDEX(LINEST(LN(AV391:AZ391),LN(AV390:AZ390),TRUE,TRUE),3,1)</f>
        <v>0.56133525489051517</v>
      </c>
      <c r="AM391" s="56">
        <f>INDEX(LINEST(LN(AV391:AZ391),LN(AV390:AZ390)),1)</f>
        <v>-9.5340603509042846E-2</v>
      </c>
      <c r="AN391" s="56">
        <f>EXP(INDEX(LINEST(LN(AV391:AZ391),LN(AV390:AZ390)),1,2))</f>
        <v>1.263588531725258</v>
      </c>
      <c r="AO391" s="82">
        <f>INDEX(LINEST((AV391:AZ391),LN(AV390:AZ390),TRUE,TRUE),3,1)</f>
        <v>0.78422794162373155</v>
      </c>
      <c r="AP391" s="82">
        <f>INDEX(LINEST((AV391:AZ391),LN(AV390:AZ390)),1)</f>
        <v>-4.6278624368995866E-2</v>
      </c>
      <c r="AQ391" s="83">
        <f>INDEX(LINEST(LN(AV391:AZ391),SQRT(AV390:AZ390),TRUE,TRUE),3,1)</f>
        <v>0.83997672143882285</v>
      </c>
      <c r="AR391" s="116">
        <f>INDEX(LINEST(LN(AV391:AZ391),SQRT((AV390:AZ390))),1)</f>
        <v>-8.6911843932246761E-4</v>
      </c>
      <c r="AS391" s="84">
        <f>INDEX(LINEST(1/(AV391:AZ391),1/(SQRT(AV390:AZ390)),TRUE,TRUE),3,1)</f>
        <v>0.26189614227526015</v>
      </c>
      <c r="AT391" s="84">
        <f>INDEX(LINEST(1/(AV391:AZ391),1/SQRT(AV390:AZ390)),1)</f>
        <v>-15.966964901169584</v>
      </c>
      <c r="AU391" s="3"/>
      <c r="AV391" s="53">
        <f>4/5</f>
        <v>0.8</v>
      </c>
      <c r="AW391" s="53">
        <f>2.7/5</f>
        <v>0.54</v>
      </c>
      <c r="AX391" s="53">
        <f>1.9/5</f>
        <v>0.38</v>
      </c>
      <c r="AY391" s="53">
        <f>1.8/5</f>
        <v>0.36</v>
      </c>
      <c r="AZ391" s="53">
        <f>0.85/5</f>
        <v>0.16999999999999998</v>
      </c>
      <c r="BA391" s="53"/>
      <c r="BB391" s="53"/>
      <c r="BC391" s="53"/>
      <c r="BD391" s="53"/>
      <c r="BE391" s="53"/>
      <c r="BF391" s="53"/>
      <c r="BG391" s="53"/>
      <c r="BH391" s="53"/>
      <c r="BI391" s="53"/>
      <c r="BJ391" s="53"/>
      <c r="BK391" s="53"/>
      <c r="BL391" s="53"/>
      <c r="BM391" s="53"/>
      <c r="BN391" s="53"/>
      <c r="BO391" s="53"/>
      <c r="BP391" s="53"/>
      <c r="BQ391" s="53"/>
      <c r="BR391" s="53"/>
      <c r="BS391" s="53"/>
      <c r="BT391" s="53"/>
      <c r="BU391" s="53"/>
      <c r="BV391" s="53"/>
      <c r="BW391" s="53"/>
      <c r="BX391" s="53"/>
      <c r="BY391" s="53"/>
      <c r="BZ391" s="53"/>
      <c r="CA391" s="53"/>
      <c r="CB391" s="53"/>
      <c r="CC391" s="53"/>
      <c r="CD391" s="53"/>
      <c r="CE391" s="53"/>
      <c r="CF391" s="53"/>
      <c r="CG391" s="53"/>
      <c r="CH391" s="53"/>
      <c r="CI391" s="53"/>
      <c r="CJ391" s="53"/>
      <c r="CK391" s="53"/>
      <c r="CL391" s="53"/>
      <c r="CM391" s="53"/>
      <c r="CN391" s="53"/>
      <c r="CO391" s="53"/>
      <c r="CP391" s="53"/>
      <c r="CQ391" s="53"/>
      <c r="CR391" s="1"/>
      <c r="CS391" s="1"/>
      <c r="CT391" s="1"/>
      <c r="CU391" s="1"/>
    </row>
    <row r="392" spans="1:99" s="13" customFormat="1" ht="12" customHeight="1" x14ac:dyDescent="0.2">
      <c r="A392" s="68">
        <v>43897</v>
      </c>
      <c r="B392" s="67"/>
      <c r="C392" s="70"/>
      <c r="D392" s="69"/>
      <c r="E392" s="87"/>
      <c r="F392" s="69"/>
      <c r="G392" s="69"/>
      <c r="H392" s="69"/>
      <c r="I392" s="69"/>
      <c r="J392" s="69"/>
      <c r="K392" s="107"/>
      <c r="L392" s="107"/>
      <c r="M392" s="69"/>
      <c r="N392" s="86"/>
      <c r="O392" s="69"/>
      <c r="P392" s="69"/>
      <c r="Q392" s="69"/>
      <c r="R392" s="69"/>
      <c r="S392" s="69"/>
      <c r="T392" s="69"/>
      <c r="U392" s="60"/>
      <c r="V392" s="69"/>
      <c r="W392" s="69"/>
      <c r="X392" s="69"/>
      <c r="Y392" s="87"/>
      <c r="Z392" s="69"/>
      <c r="AA392" s="69"/>
      <c r="AB392" s="69"/>
      <c r="AC392" s="72"/>
      <c r="AD392" s="69"/>
      <c r="AE392" s="69"/>
      <c r="AF392" s="88"/>
      <c r="AG392" s="72"/>
      <c r="AH392" s="4"/>
      <c r="AI392" s="72"/>
      <c r="AJ392" s="110"/>
      <c r="AK392" s="72"/>
      <c r="AL392" s="72"/>
      <c r="AM392" s="72"/>
      <c r="AN392" s="72"/>
      <c r="AO392" s="89"/>
      <c r="AP392" s="89"/>
      <c r="AQ392" s="90"/>
      <c r="AR392" s="117"/>
      <c r="AS392" s="91"/>
      <c r="AT392" s="91"/>
      <c r="AU392" s="3"/>
      <c r="AV392" s="71">
        <v>157680000</v>
      </c>
      <c r="AW392" s="71">
        <v>315360000</v>
      </c>
      <c r="AX392" s="71">
        <v>473040000</v>
      </c>
      <c r="AY392" s="71">
        <v>630720000</v>
      </c>
      <c r="AZ392" s="71">
        <v>788400000</v>
      </c>
      <c r="BA392" s="71">
        <v>946080000</v>
      </c>
      <c r="BB392" s="71">
        <v>1103760000</v>
      </c>
      <c r="BC392" s="71">
        <v>1261440000</v>
      </c>
      <c r="BD392" s="53"/>
      <c r="BE392" s="53"/>
      <c r="BF392" s="53"/>
      <c r="BG392" s="53"/>
      <c r="BH392" s="53"/>
      <c r="BI392" s="53"/>
      <c r="BJ392" s="53"/>
      <c r="BK392" s="53"/>
      <c r="BL392" s="53"/>
      <c r="BM392" s="53"/>
      <c r="BN392" s="53"/>
      <c r="BO392" s="53"/>
      <c r="BP392" s="53"/>
      <c r="BQ392" s="53"/>
      <c r="BR392" s="53"/>
      <c r="BS392" s="53"/>
      <c r="BT392" s="53"/>
      <c r="BU392" s="53"/>
      <c r="BV392" s="53"/>
      <c r="BW392" s="53"/>
      <c r="BX392" s="53"/>
      <c r="BY392" s="53"/>
      <c r="BZ392" s="53"/>
      <c r="CA392" s="53"/>
      <c r="CB392" s="53"/>
      <c r="CC392" s="53"/>
      <c r="CD392" s="53"/>
      <c r="CE392" s="53"/>
      <c r="CF392" s="53"/>
      <c r="CG392" s="53"/>
      <c r="CH392" s="53"/>
      <c r="CI392" s="53"/>
      <c r="CJ392" s="53"/>
      <c r="CK392" s="53"/>
      <c r="CL392" s="53"/>
      <c r="CM392" s="53"/>
      <c r="CN392" s="53"/>
      <c r="CO392" s="53"/>
      <c r="CP392" s="53"/>
      <c r="CQ392" s="53"/>
      <c r="CR392" s="1"/>
      <c r="CS392" s="1"/>
      <c r="CT392" s="1"/>
      <c r="CU392" s="1"/>
    </row>
    <row r="393" spans="1:99" s="13" customFormat="1" ht="12" customHeight="1" x14ac:dyDescent="0.2">
      <c r="A393" s="68">
        <v>43897</v>
      </c>
      <c r="B393" s="67" t="s">
        <v>415</v>
      </c>
      <c r="C393" s="67" t="s">
        <v>416</v>
      </c>
      <c r="D393" s="86">
        <v>1999</v>
      </c>
      <c r="E393" s="87">
        <v>1</v>
      </c>
      <c r="F393" s="69">
        <v>1</v>
      </c>
      <c r="G393" s="69">
        <v>1</v>
      </c>
      <c r="H393" s="69" t="s">
        <v>50</v>
      </c>
      <c r="I393" s="69" t="s">
        <v>330</v>
      </c>
      <c r="J393" s="69" t="s">
        <v>340</v>
      </c>
      <c r="K393" s="69">
        <f>IF(J393="syllables",1,IF(J393="trigrams",2,IF(J393="strings",3,IF(J393="visual array",4,IF(J393="characters",5,IF(J393="letters",6,IF(J393="free forms",7,IF(J393="odors",8,IF(J393="words",9,IF(J393="pictures",10,IF(J393="object pictures",11,IF(J393="faces",12,IF(J393="names",13,IF(J393="idioms",14,IF(J393="grades",15,IF(J393="syllable-digit pairs",16,IF(J393="trigram-word pairs",17,IF(J393="word-digit pairs",18,IF(J393="English-Swahili pairs",19,IF(J393="spatial position",20,IF(J393="word pairs",21,IF(J393="word triads",22,IF(J393="generated words",23,IF(J393="word definition pairs",24,IF(J393="math problems",25,IF(J393="famous faces",26,IF(J393="famous names",27,IF(J393="famous voices",28,IF(J393="television programs",29,IF(J393="race horses",30,IF(J393="new vocabulary",31,IF(J393="sentences",32,IF(J393="concepts",33,IF(J393="ad slides",34,IF(J393="scenes",35,IF(J393="famous scenes",36,IF(J393="poems",37,IF(J393="walk",38,IF(J393="faces and events",39,IF(J393="events and names",40,IF(J393="flashbulb",41,IF(J393="stories",42,IF(J393="course material",43,IF(J393="autobiographical",44,IF(J393="novels",45,IF(J393="public events",46,"99"))))))))))))))))))))))))))))))))))))))))))))))</f>
        <v>46</v>
      </c>
      <c r="L393" s="69">
        <f>IF(J393="syllables",1,IF(J393="trigrams",1,IF(J393="strings",1,IF(J393="visual array",1,IF(J393="characters",1,IF(J393="letters",1,IF(J393="free forms",1,IF(J393="odors",2,IF(J393="words",2,IF(J393="pictures",2,IF(J393="object pictures",2,IF(J393="faces",2,IF(J393="names",2,IF(J393="idioms","2",IF(J393="grades",2,IF(J393="syllable-digit pairs",3,IF(J393="trigram-word pairs",3,IF(J393="word-digit pairs",3,IF(J393="English-Swahili pairs",3,IF(J393="spatial position",3,IF(J393="word pairs",4,IF(J393="word triads",4,IF(J393="generated words",4,IF(J393="word definition pairs",4,IF(J393="math problems",4,IF(J393="famous faces",4,IF(J393="famous names",4,IF(J393="famous voices",4,IF(J393="television programs",4,IF(J393="race horses",4,IF(J393="new vocabulary",4,IF(J393="sentences",5,IF(J393="concepts",5,IF(J393="ad slides",5,IF(J393="scenes",5,IF(J393="famous scenes",5,IF(J393="poems",6,IF(J393="walk",6,IF(J393="faces and events",6,IF(J393="events and names",6,IF(J393="flashbulb",7,IF(J393="stories",7,IF(J393="course material",7,IF(J393="autobiographical",7,IF(J393="novels",7,IF(J393="public events",7,"99"))))))))))))))))))))))))))))))))))))))))))))))</f>
        <v>7</v>
      </c>
      <c r="M393" s="69">
        <v>1</v>
      </c>
      <c r="N393" s="86">
        <v>4</v>
      </c>
      <c r="O393" s="69">
        <v>0</v>
      </c>
      <c r="P393" s="69"/>
      <c r="Q393" s="69" t="s">
        <v>174</v>
      </c>
      <c r="R393" s="69">
        <f>IF(Q393="Free Recall",1,IF(Q393="Cued Recall",2,IF(Q393="Recognition",3,IF(Q393="Multiple Choice",4,IF(Q393="Savings",5,IF(Q393="Stem Completion",6,IF(Q393="Fragment Completion",7,IF(Q393="anagram solution",8,IF(Q393="Matching",9,IF(Q393="Problem Solving",10,"99"))))))))))</f>
        <v>1</v>
      </c>
      <c r="S393" s="92" t="s">
        <v>49</v>
      </c>
      <c r="T393" s="92" t="s">
        <v>581</v>
      </c>
      <c r="U393" s="60">
        <f>IF(T393="within",1,0)</f>
        <v>1</v>
      </c>
      <c r="V393" s="92">
        <v>195</v>
      </c>
      <c r="W393" s="69">
        <f>F393*V393</f>
        <v>195</v>
      </c>
      <c r="X393" s="69">
        <v>8</v>
      </c>
      <c r="Y393" s="87">
        <f>AV392</f>
        <v>157680000</v>
      </c>
      <c r="Z393" s="92" t="s">
        <v>329</v>
      </c>
      <c r="AA393" s="69">
        <f>40*365*24*60*60</f>
        <v>1261440000</v>
      </c>
      <c r="AB393" s="69" t="str">
        <f>IF(AA393&lt;60,"1",IF(AA393&lt;=43200,"2",IF(AA393&lt;=777600,"3","4")))</f>
        <v>4</v>
      </c>
      <c r="AC393" s="72">
        <f>AVERAGE(AV392:DA392)</f>
        <v>709560000</v>
      </c>
      <c r="AD393" s="69" t="str">
        <f>IF(AC393&lt;60,"1",IF(AC393&lt;=43200,"2",IF(AC393&lt;=777600,"3","4")))</f>
        <v>4</v>
      </c>
      <c r="AE393" s="87">
        <f>AA393-Y393</f>
        <v>1103760000</v>
      </c>
      <c r="AF393" s="88">
        <f>AV393</f>
        <v>0.6</v>
      </c>
      <c r="AG393" s="72">
        <f>((AW393-AV393)+(AX393-AW393)+(AY393-AX393)+(AZ393-AY393)+(BA393-AZ393)+(BB393-BA393)+(BC393-BB393))/7</f>
        <v>-3.7142857142857137E-2</v>
      </c>
      <c r="AH393" s="4"/>
      <c r="AI393" s="72">
        <f>RSQ(AV393:BC393,AV392:BC392)</f>
        <v>0.299411090681376</v>
      </c>
      <c r="AJ393" s="110">
        <f>SLOPE(AV393:BC393,AV392:BC392)</f>
        <v>-1.6005895001328784E-10</v>
      </c>
      <c r="AK393" s="72">
        <f>INTERCEPT(AV393:BC393,AV392:BC392)</f>
        <v>0.71607142857142858</v>
      </c>
      <c r="AL393" s="72">
        <f>INDEX(LINEST(LN(AV393:BC393),LN(AV392:BC392),TRUE,TRUE),3,1)</f>
        <v>0.15172548363707289</v>
      </c>
      <c r="AM393" s="72">
        <f>INDEX(LINEST(LN(AV393:BC393),LN(AV392:BC392)),1)</f>
        <v>-0.12796230932131564</v>
      </c>
      <c r="AN393" s="72">
        <f>EXP(INDEX(LINEST(LN(AV393:BC393),LN(AV392:BC392)),1,2))</f>
        <v>7.8309702382969641</v>
      </c>
      <c r="AO393" s="89">
        <f>INDEX(LINEST((AV393:BC393),LN(AV392:BC392),TRUE,TRUE),3,1)</f>
        <v>0.13813008899016196</v>
      </c>
      <c r="AP393" s="89">
        <f>INDEX(LINEST((AV393:BC393),LN(AV392:BC392)),1)</f>
        <v>-5.9695729444353668E-2</v>
      </c>
      <c r="AQ393" s="90">
        <f>INDEX(LINEST(LN(AV393:BC393),SQRT(AV392:BC392),TRUE,TRUE),3,1)</f>
        <v>0.22899354318488235</v>
      </c>
      <c r="AR393" s="117">
        <f>INDEX(LINEST(LN(AV393:BC393),SQRT((AV392:BC392))),1)</f>
        <v>-1.4013035190524705E-5</v>
      </c>
      <c r="AS393" s="91">
        <f>INDEX(LINEST(1/(AV393:BC393),1/(SQRT(AV392:BC392)),TRUE,TRUE),3,1)</f>
        <v>0.10121303750819874</v>
      </c>
      <c r="AT393" s="91">
        <f>INDEX(LINEST(1/(AV393:BC393),1/SQRT(AV392:BC392)),1)</f>
        <v>-9110.4592989011526</v>
      </c>
      <c r="AU393" s="3"/>
      <c r="AV393" s="95">
        <v>0.6</v>
      </c>
      <c r="AW393" s="95">
        <v>0.69</v>
      </c>
      <c r="AX393" s="95">
        <v>0.6</v>
      </c>
      <c r="AY393" s="95">
        <v>0.68</v>
      </c>
      <c r="AZ393" s="73">
        <v>0.68</v>
      </c>
      <c r="BA393" s="73">
        <v>0.6</v>
      </c>
      <c r="BB393" s="73">
        <v>0.63</v>
      </c>
      <c r="BC393" s="73">
        <v>0.34</v>
      </c>
      <c r="BD393" s="53"/>
      <c r="BE393" s="53"/>
      <c r="BF393" s="53"/>
      <c r="BG393" s="53"/>
      <c r="BH393" s="53"/>
      <c r="BI393" s="53"/>
      <c r="BJ393" s="53"/>
      <c r="BK393" s="53"/>
      <c r="BL393" s="53"/>
      <c r="BM393" s="53"/>
      <c r="BN393" s="53"/>
      <c r="BO393" s="53"/>
      <c r="BP393" s="53"/>
      <c r="BQ393" s="53"/>
      <c r="BR393" s="53"/>
      <c r="BS393" s="53"/>
      <c r="BT393" s="53"/>
      <c r="BU393" s="53"/>
      <c r="BV393" s="53"/>
      <c r="BW393" s="53"/>
      <c r="BX393" s="53"/>
      <c r="BY393" s="53"/>
      <c r="BZ393" s="53"/>
      <c r="CA393" s="53"/>
      <c r="CB393" s="53"/>
      <c r="CC393" s="53"/>
      <c r="CD393" s="53"/>
      <c r="CE393" s="53"/>
      <c r="CF393" s="53"/>
      <c r="CG393" s="53"/>
      <c r="CH393" s="53"/>
      <c r="CI393" s="53"/>
      <c r="CJ393" s="53"/>
      <c r="CK393" s="53"/>
      <c r="CL393" s="53"/>
      <c r="CM393" s="53"/>
      <c r="CN393" s="53"/>
      <c r="CO393" s="53"/>
      <c r="CP393" s="53"/>
      <c r="CQ393" s="53"/>
      <c r="CR393" s="1"/>
      <c r="CS393" s="1"/>
      <c r="CT393" s="1"/>
      <c r="CU393" s="1"/>
    </row>
    <row r="394" spans="1:99" s="13" customFormat="1" ht="12" customHeight="1" x14ac:dyDescent="0.2">
      <c r="A394" s="68">
        <v>43897</v>
      </c>
      <c r="B394" s="67"/>
      <c r="C394" s="70"/>
      <c r="D394" s="69"/>
      <c r="E394" s="87"/>
      <c r="F394" s="69"/>
      <c r="G394" s="69"/>
      <c r="H394" s="69"/>
      <c r="I394" s="69"/>
      <c r="J394" s="69"/>
      <c r="K394" s="107"/>
      <c r="L394" s="107"/>
      <c r="M394" s="69"/>
      <c r="N394" s="86"/>
      <c r="O394" s="69"/>
      <c r="P394" s="69"/>
      <c r="Q394" s="69"/>
      <c r="R394" s="69"/>
      <c r="S394" s="69"/>
      <c r="T394" s="69"/>
      <c r="U394" s="60"/>
      <c r="V394" s="69"/>
      <c r="W394" s="69"/>
      <c r="X394" s="69"/>
      <c r="Y394" s="87"/>
      <c r="Z394" s="69"/>
      <c r="AA394" s="69"/>
      <c r="AB394" s="69"/>
      <c r="AC394" s="72"/>
      <c r="AD394" s="69"/>
      <c r="AE394" s="69"/>
      <c r="AF394" s="88"/>
      <c r="AG394" s="72"/>
      <c r="AH394" s="4"/>
      <c r="AI394" s="72"/>
      <c r="AJ394" s="110"/>
      <c r="AK394" s="72"/>
      <c r="AL394" s="72"/>
      <c r="AM394" s="72"/>
      <c r="AN394" s="72"/>
      <c r="AO394" s="89"/>
      <c r="AP394" s="89"/>
      <c r="AQ394" s="90"/>
      <c r="AR394" s="117"/>
      <c r="AS394" s="91"/>
      <c r="AT394" s="91"/>
      <c r="AU394" s="3"/>
      <c r="AV394" s="71">
        <v>157680000</v>
      </c>
      <c r="AW394" s="71">
        <v>315360000</v>
      </c>
      <c r="AX394" s="71">
        <v>473040000</v>
      </c>
      <c r="AY394" s="71">
        <v>630720000</v>
      </c>
      <c r="AZ394" s="71">
        <v>788400000</v>
      </c>
      <c r="BA394" s="71">
        <v>946080000</v>
      </c>
      <c r="BB394" s="71">
        <v>1103760000</v>
      </c>
      <c r="BC394" s="71">
        <v>1261440000</v>
      </c>
      <c r="BD394" s="53"/>
      <c r="BE394" s="53"/>
      <c r="BF394" s="53"/>
      <c r="BG394" s="53"/>
      <c r="BH394" s="53"/>
      <c r="BI394" s="53"/>
      <c r="BJ394" s="53"/>
      <c r="BK394" s="53"/>
      <c r="BL394" s="53"/>
      <c r="BM394" s="53"/>
      <c r="BN394" s="53"/>
      <c r="BO394" s="53"/>
      <c r="BP394" s="53"/>
      <c r="BQ394" s="53"/>
      <c r="BR394" s="53"/>
      <c r="BS394" s="53"/>
      <c r="BT394" s="53"/>
      <c r="BU394" s="53"/>
      <c r="BV394" s="53"/>
      <c r="BW394" s="53"/>
      <c r="BX394" s="53"/>
      <c r="BY394" s="53"/>
      <c r="BZ394" s="53"/>
      <c r="CA394" s="53"/>
      <c r="CB394" s="53"/>
      <c r="CC394" s="53"/>
      <c r="CD394" s="53"/>
      <c r="CE394" s="53"/>
      <c r="CF394" s="53"/>
      <c r="CG394" s="53"/>
      <c r="CH394" s="53"/>
      <c r="CI394" s="53"/>
      <c r="CJ394" s="53"/>
      <c r="CK394" s="53"/>
      <c r="CL394" s="53"/>
      <c r="CM394" s="53"/>
      <c r="CN394" s="53"/>
      <c r="CO394" s="53"/>
      <c r="CP394" s="53"/>
      <c r="CQ394" s="53"/>
      <c r="CR394" s="1"/>
      <c r="CS394" s="1"/>
      <c r="CT394" s="1"/>
      <c r="CU394" s="1"/>
    </row>
    <row r="395" spans="1:99" s="13" customFormat="1" ht="12" customHeight="1" x14ac:dyDescent="0.2">
      <c r="A395" s="68">
        <v>43897</v>
      </c>
      <c r="B395" s="67" t="s">
        <v>415</v>
      </c>
      <c r="C395" s="67" t="s">
        <v>416</v>
      </c>
      <c r="D395" s="86">
        <v>1999</v>
      </c>
      <c r="E395" s="87">
        <v>1</v>
      </c>
      <c r="F395" s="69">
        <v>1</v>
      </c>
      <c r="G395" s="69">
        <v>1</v>
      </c>
      <c r="H395" s="69" t="s">
        <v>50</v>
      </c>
      <c r="I395" s="69" t="s">
        <v>330</v>
      </c>
      <c r="J395" s="69" t="s">
        <v>340</v>
      </c>
      <c r="K395" s="69">
        <f>IF(J395="syllables",1,IF(J395="trigrams",2,IF(J395="strings",3,IF(J395="visual array",4,IF(J395="characters",5,IF(J395="letters",6,IF(J395="free forms",7,IF(J395="odors",8,IF(J395="words",9,IF(J395="pictures",10,IF(J395="object pictures",11,IF(J395="faces",12,IF(J395="names",13,IF(J395="idioms",14,IF(J395="grades",15,IF(J395="syllable-digit pairs",16,IF(J395="trigram-word pairs",17,IF(J395="word-digit pairs",18,IF(J395="English-Swahili pairs",19,IF(J395="spatial position",20,IF(J395="word pairs",21,IF(J395="word triads",22,IF(J395="generated words",23,IF(J395="word definition pairs",24,IF(J395="math problems",25,IF(J395="famous faces",26,IF(J395="famous names",27,IF(J395="famous voices",28,IF(J395="television programs",29,IF(J395="race horses",30,IF(J395="new vocabulary",31,IF(J395="sentences",32,IF(J395="concepts",33,IF(J395="ad slides",34,IF(J395="scenes",35,IF(J395="famous scenes",36,IF(J395="poems",37,IF(J395="walk",38,IF(J395="faces and events",39,IF(J395="events and names",40,IF(J395="flashbulb",41,IF(J395="stories",42,IF(J395="course material",43,IF(J395="autobiographical",44,IF(J395="novels",45,IF(J395="public events",46,"99"))))))))))))))))))))))))))))))))))))))))))))))</f>
        <v>46</v>
      </c>
      <c r="L395" s="69">
        <f>IF(J395="syllables",1,IF(J395="trigrams",1,IF(J395="strings",1,IF(J395="visual array",1,IF(J395="characters",1,IF(J395="letters",1,IF(J395="free forms",1,IF(J395="odors",2,IF(J395="words",2,IF(J395="pictures",2,IF(J395="object pictures",2,IF(J395="faces",2,IF(J395="names",2,IF(J395="idioms","2",IF(J395="grades",2,IF(J395="syllable-digit pairs",3,IF(J395="trigram-word pairs",3,IF(J395="word-digit pairs",3,IF(J395="English-Swahili pairs",3,IF(J395="spatial position",3,IF(J395="word pairs",4,IF(J395="word triads",4,IF(J395="generated words",4,IF(J395="word definition pairs",4,IF(J395="math problems",4,IF(J395="famous faces",4,IF(J395="famous names",4,IF(J395="famous voices",4,IF(J395="television programs",4,IF(J395="race horses",4,IF(J395="new vocabulary",4,IF(J395="sentences",5,IF(J395="concepts",5,IF(J395="ad slides",5,IF(J395="scenes",5,IF(J395="famous scenes",5,IF(J395="poems",6,IF(J395="walk",6,IF(J395="faces and events",6,IF(J395="events and names",6,IF(J395="flashbulb",7,IF(J395="stories",7,IF(J395="course material",7,IF(J395="autobiographical",7,IF(J395="novels",7,IF(J395="public events",7,"99"))))))))))))))))))))))))))))))))))))))))))))))</f>
        <v>7</v>
      </c>
      <c r="M395" s="69">
        <v>1</v>
      </c>
      <c r="N395" s="86">
        <v>4</v>
      </c>
      <c r="O395" s="69">
        <v>0</v>
      </c>
      <c r="P395" s="69"/>
      <c r="Q395" s="69" t="s">
        <v>34</v>
      </c>
      <c r="R395" s="69">
        <f>IF(Q395="Free Recall",1,IF(Q395="Cued Recall",2,IF(Q395="Recognition",3,IF(Q395="Multiple Choice",4,IF(Q395="Savings",5,IF(Q395="Stem Completion",6,IF(Q395="Fragment Completion",7,IF(Q395="anagram solution",8,IF(Q395="Matching",9,IF(Q395="Problem Solving",10,"99"))))))))))</f>
        <v>3</v>
      </c>
      <c r="S395" s="69" t="s">
        <v>15</v>
      </c>
      <c r="T395" s="92" t="s">
        <v>581</v>
      </c>
      <c r="U395" s="60">
        <f>IF(T395="within",1,0)</f>
        <v>1</v>
      </c>
      <c r="V395" s="92">
        <v>195</v>
      </c>
      <c r="W395" s="69">
        <f>F395*V395</f>
        <v>195</v>
      </c>
      <c r="X395" s="69">
        <v>8</v>
      </c>
      <c r="Y395" s="87">
        <f>AV394</f>
        <v>157680000</v>
      </c>
      <c r="Z395" s="92" t="s">
        <v>329</v>
      </c>
      <c r="AA395" s="69">
        <f>40*365*24*60*60</f>
        <v>1261440000</v>
      </c>
      <c r="AB395" s="69" t="str">
        <f>IF(AA395&lt;60,"1",IF(AA395&lt;=43200,"2",IF(AA395&lt;=777600,"3","4")))</f>
        <v>4</v>
      </c>
      <c r="AC395" s="72">
        <f>AVERAGE(AV394:DA394)</f>
        <v>709560000</v>
      </c>
      <c r="AD395" s="69" t="str">
        <f>IF(AC395&lt;60,"1",IF(AC395&lt;=43200,"2",IF(AC395&lt;=777600,"3","4")))</f>
        <v>4</v>
      </c>
      <c r="AE395" s="87">
        <f>AA395-Y395</f>
        <v>1103760000</v>
      </c>
      <c r="AF395" s="88">
        <f>AV395</f>
        <v>1</v>
      </c>
      <c r="AG395" s="72">
        <f>((AW395-AV395)+(AX395-AW395)+(AY395-AX395)+(AZ395-AY395)+(BA395-AZ395)+(BB395-BA395)+(BC395-BB395))/7</f>
        <v>-5.2857142857142859E-2</v>
      </c>
      <c r="AH395" s="4"/>
      <c r="AI395" s="72">
        <f>RSQ(AV395:BC395,AV394:BC394)</f>
        <v>0.38373681903730633</v>
      </c>
      <c r="AJ395" s="110">
        <f>SLOPE(AV395:BC395,AV394:BC394)</f>
        <v>-1.8421879152472762E-10</v>
      </c>
      <c r="AK395" s="72">
        <f>INTERCEPT(AV395:BC395,AV394:BC394)</f>
        <v>1.0282142857142857</v>
      </c>
      <c r="AL395" s="72">
        <f>INDEX(LINEST(LN(AV395:BC395),LN(AV394:BC394),TRUE,TRUE),3,1)</f>
        <v>0.27634302963426044</v>
      </c>
      <c r="AM395" s="72">
        <f>INDEX(LINEST(LN(AV395:BC395),LN(AV394:BC394)),1)</f>
        <v>-0.10881943188381434</v>
      </c>
      <c r="AN395" s="72">
        <f>EXP(INDEX(LINEST(LN(AV395:BC395),LN(AV394:BC394)),1,2))</f>
        <v>8.0179595020440786</v>
      </c>
      <c r="AO395" s="89">
        <f>INDEX(LINEST((AV395:BC395),LN(AV394:BC394),TRUE,TRUE),3,1)</f>
        <v>0.29286362115756354</v>
      </c>
      <c r="AP395" s="89">
        <f>INDEX(LINEST((AV395:BC395),LN(AV394:BC394)),1)</f>
        <v>-8.8369623163121788E-2</v>
      </c>
      <c r="AQ395" s="90">
        <f>INDEX(LINEST(LN(AV395:BC395),SQRT(AV394:BC394),TRUE,TRUE),3,1)</f>
        <v>0.32793596813606435</v>
      </c>
      <c r="AR395" s="117">
        <f>INDEX(LINEST(LN(AV395:BC395),SQRT((AV394:BC394))),1)</f>
        <v>-1.0566824967121713E-5</v>
      </c>
      <c r="AS395" s="91">
        <f>INDEX(LINEST(1/(AV395:BC395),1/(SQRT(AV394:BC394)),TRUE,TRUE),3,1)</f>
        <v>0.21017126330801597</v>
      </c>
      <c r="AT395" s="91">
        <f>INDEX(LINEST(1/(AV395:BC395),1/SQRT(AV394:BC394)),1)</f>
        <v>-4991.6228434411423</v>
      </c>
      <c r="AU395" s="3"/>
      <c r="AV395" s="95">
        <v>1</v>
      </c>
      <c r="AW395" s="95">
        <v>0.93</v>
      </c>
      <c r="AX395" s="95">
        <v>0.89</v>
      </c>
      <c r="AY395" s="95">
        <v>0.93</v>
      </c>
      <c r="AZ395" s="73">
        <v>0.96</v>
      </c>
      <c r="BA395" s="73">
        <v>0.88</v>
      </c>
      <c r="BB395" s="73">
        <v>0.96</v>
      </c>
      <c r="BC395" s="73">
        <v>0.63</v>
      </c>
      <c r="BD395" s="53"/>
      <c r="BE395" s="53"/>
      <c r="BF395" s="53"/>
      <c r="BG395" s="53"/>
      <c r="BH395" s="53"/>
      <c r="BI395" s="53"/>
      <c r="BJ395" s="53"/>
      <c r="BK395" s="53"/>
      <c r="BL395" s="53"/>
      <c r="BM395" s="53"/>
      <c r="BN395" s="53"/>
      <c r="BO395" s="53"/>
      <c r="BP395" s="53"/>
      <c r="BQ395" s="53"/>
      <c r="BR395" s="53"/>
      <c r="BS395" s="53"/>
      <c r="BT395" s="53"/>
      <c r="BU395" s="53"/>
      <c r="BV395" s="53"/>
      <c r="BW395" s="53"/>
      <c r="BX395" s="53"/>
      <c r="BY395" s="53"/>
      <c r="BZ395" s="53"/>
      <c r="CA395" s="53"/>
      <c r="CB395" s="53"/>
      <c r="CC395" s="53"/>
      <c r="CD395" s="53"/>
      <c r="CE395" s="53"/>
      <c r="CF395" s="53"/>
      <c r="CG395" s="53"/>
      <c r="CH395" s="53"/>
      <c r="CI395" s="53"/>
      <c r="CJ395" s="53"/>
      <c r="CK395" s="53"/>
      <c r="CL395" s="53"/>
      <c r="CM395" s="53"/>
      <c r="CN395" s="53"/>
      <c r="CO395" s="53"/>
      <c r="CP395" s="53"/>
      <c r="CQ395" s="53"/>
      <c r="CR395" s="1"/>
      <c r="CS395" s="1"/>
      <c r="CT395" s="1"/>
      <c r="CU395" s="1"/>
    </row>
    <row r="396" spans="1:99" s="13" customFormat="1" ht="12" customHeight="1" x14ac:dyDescent="0.2">
      <c r="A396" s="68">
        <v>43897</v>
      </c>
      <c r="B396" s="67"/>
      <c r="C396" s="70"/>
      <c r="D396" s="69"/>
      <c r="E396" s="87"/>
      <c r="F396" s="69"/>
      <c r="G396" s="69"/>
      <c r="H396" s="69"/>
      <c r="I396" s="69"/>
      <c r="J396" s="69"/>
      <c r="K396" s="107"/>
      <c r="L396" s="107"/>
      <c r="M396" s="69"/>
      <c r="N396" s="86"/>
      <c r="O396" s="69"/>
      <c r="P396" s="69"/>
      <c r="Q396" s="69"/>
      <c r="R396" s="69"/>
      <c r="S396" s="69"/>
      <c r="T396" s="69"/>
      <c r="U396" s="60"/>
      <c r="V396" s="69"/>
      <c r="W396" s="69"/>
      <c r="X396" s="69"/>
      <c r="Y396" s="87"/>
      <c r="Z396" s="69"/>
      <c r="AA396" s="69"/>
      <c r="AB396" s="69"/>
      <c r="AC396" s="72"/>
      <c r="AD396" s="69"/>
      <c r="AE396" s="69"/>
      <c r="AF396" s="88"/>
      <c r="AG396" s="72"/>
      <c r="AH396" s="4"/>
      <c r="AI396" s="72"/>
      <c r="AJ396" s="110"/>
      <c r="AK396" s="72"/>
      <c r="AL396" s="72"/>
      <c r="AM396" s="72"/>
      <c r="AN396" s="72"/>
      <c r="AO396" s="89"/>
      <c r="AP396" s="89"/>
      <c r="AQ396" s="90"/>
      <c r="AR396" s="117"/>
      <c r="AS396" s="91"/>
      <c r="AT396" s="91"/>
      <c r="AU396" s="3"/>
      <c r="AV396" s="71">
        <v>315360000</v>
      </c>
      <c r="AW396" s="71">
        <v>630720000</v>
      </c>
      <c r="AX396" s="71">
        <v>946080000</v>
      </c>
      <c r="AY396" s="71">
        <v>1261440000</v>
      </c>
      <c r="AZ396" s="73"/>
      <c r="BA396" s="73"/>
      <c r="BB396" s="73"/>
      <c r="BC396" s="73"/>
      <c r="BD396" s="53"/>
      <c r="BE396" s="53"/>
      <c r="BF396" s="53"/>
      <c r="BG396" s="53"/>
      <c r="BH396" s="53"/>
      <c r="BI396" s="53"/>
      <c r="BJ396" s="53"/>
      <c r="BK396" s="53"/>
      <c r="BL396" s="53"/>
      <c r="BM396" s="53"/>
      <c r="BN396" s="53"/>
      <c r="BO396" s="53"/>
      <c r="BP396" s="53"/>
      <c r="BQ396" s="53"/>
      <c r="BR396" s="53"/>
      <c r="BS396" s="53"/>
      <c r="BT396" s="53"/>
      <c r="BU396" s="53"/>
      <c r="BV396" s="53"/>
      <c r="BW396" s="53"/>
      <c r="BX396" s="53"/>
      <c r="BY396" s="53"/>
      <c r="BZ396" s="53"/>
      <c r="CA396" s="53"/>
      <c r="CB396" s="53"/>
      <c r="CC396" s="53"/>
      <c r="CD396" s="53"/>
      <c r="CE396" s="53"/>
      <c r="CF396" s="53"/>
      <c r="CG396" s="53"/>
      <c r="CH396" s="53"/>
      <c r="CI396" s="53"/>
      <c r="CJ396" s="53"/>
      <c r="CK396" s="53"/>
      <c r="CL396" s="53"/>
      <c r="CM396" s="53"/>
      <c r="CN396" s="53"/>
      <c r="CO396" s="53"/>
      <c r="CP396" s="53"/>
      <c r="CQ396" s="53"/>
      <c r="CR396" s="1"/>
      <c r="CS396" s="1"/>
      <c r="CT396" s="1"/>
      <c r="CU396" s="1"/>
    </row>
    <row r="397" spans="1:99" s="13" customFormat="1" ht="12" customHeight="1" x14ac:dyDescent="0.2">
      <c r="A397" s="68">
        <v>43897</v>
      </c>
      <c r="B397" s="67" t="s">
        <v>415</v>
      </c>
      <c r="C397" s="67" t="s">
        <v>416</v>
      </c>
      <c r="D397" s="86">
        <v>1999</v>
      </c>
      <c r="E397" s="87">
        <v>1</v>
      </c>
      <c r="F397" s="69">
        <v>1</v>
      </c>
      <c r="G397" s="69">
        <v>1</v>
      </c>
      <c r="H397" s="69" t="s">
        <v>50</v>
      </c>
      <c r="I397" s="69" t="s">
        <v>330</v>
      </c>
      <c r="J397" s="69" t="s">
        <v>342</v>
      </c>
      <c r="K397" s="69">
        <f>IF(J397="syllables",1,IF(J397="trigrams",2,IF(J397="strings",3,IF(J397="visual array",4,IF(J397="characters",5,IF(J397="letters",6,IF(J397="free forms",7,IF(J397="odors",8,IF(J397="words",9,IF(J397="pictures",10,IF(J397="object pictures",11,IF(J397="faces",12,IF(J397="names",13,IF(J397="idioms",14,IF(J397="grades",15,IF(J397="syllable-digit pairs",16,IF(J397="trigram-word pairs",17,IF(J397="word-digit pairs",18,IF(J397="English-Swahili pairs",19,IF(J397="spatial position",20,IF(J397="word pairs",21,IF(J397="word triads",22,IF(J397="generated words",23,IF(J397="word definition pairs",24,IF(J397="math problems",25,IF(J397="famous faces",26,IF(J397="famous names",27,IF(J397="famous voices",28,IF(J397="television programs",29,IF(J397="race horses",30,IF(J397="new vocabulary",31,IF(J397="sentences",32,IF(J397="concepts",33,IF(J397="ad slides",34,IF(J397="scenes",35,IF(J397="famous scenes",36,IF(J397="poems",37,IF(J397="walk",38,IF(J397="faces and events",39,IF(J397="events and names",40,IF(J397="flashbulb",41,IF(J397="stories",42,IF(J397="course material",43,IF(J397="autobiographical",44,IF(J397="novels",45,IF(J397="public events",46,"99"))))))))))))))))))))))))))))))))))))))))))))))</f>
        <v>26</v>
      </c>
      <c r="L397" s="69">
        <f>IF(J397="syllables",1,IF(J397="trigrams",1,IF(J397="strings",1,IF(J397="visual array",1,IF(J397="characters",1,IF(J397="letters",1,IF(J397="free forms",1,IF(J397="odors",2,IF(J397="words",2,IF(J397="pictures",2,IF(J397="object pictures",2,IF(J397="faces",2,IF(J397="names",2,IF(J397="idioms","2",IF(J397="grades",2,IF(J397="syllable-digit pairs",3,IF(J397="trigram-word pairs",3,IF(J397="word-digit pairs",3,IF(J397="English-Swahili pairs",3,IF(J397="spatial position",3,IF(J397="word pairs",4,IF(J397="word triads",4,IF(J397="generated words",4,IF(J397="word definition pairs",4,IF(J397="math problems",4,IF(J397="famous faces",4,IF(J397="famous names",4,IF(J397="famous voices",4,IF(J397="television programs",4,IF(J397="race horses",4,IF(J397="new vocabulary",4,IF(J397="sentences",5,IF(J397="concepts",5,IF(J397="ad slides",5,IF(J397="scenes",5,IF(J397="famous scenes",5,IF(J397="poems",6,IF(J397="walk",6,IF(J397="faces and events",6,IF(J397="events and names",6,IF(J397="flashbulb",7,IF(J397="stories",7,IF(J397="course material",7,IF(J397="autobiographical",7,IF(J397="novels",7,IF(J397="public events",7,"99"))))))))))))))))))))))))))))))))))))))))))))))</f>
        <v>4</v>
      </c>
      <c r="M397" s="69">
        <v>1</v>
      </c>
      <c r="N397" s="86">
        <v>2</v>
      </c>
      <c r="O397" s="69">
        <v>0</v>
      </c>
      <c r="P397" s="69"/>
      <c r="Q397" s="69" t="s">
        <v>174</v>
      </c>
      <c r="R397" s="69">
        <f>IF(Q397="Free Recall",1,IF(Q397="Cued Recall",2,IF(Q397="Recognition",3,IF(Q397="Multiple Choice",4,IF(Q397="Savings",5,IF(Q397="Stem Completion",6,IF(Q397="Fragment Completion",7,IF(Q397="anagram solution",8,IF(Q397="Matching",9,IF(Q397="Problem Solving",10,"99"))))))))))</f>
        <v>1</v>
      </c>
      <c r="S397" s="92" t="s">
        <v>49</v>
      </c>
      <c r="T397" s="92" t="s">
        <v>581</v>
      </c>
      <c r="U397" s="60">
        <f>IF(T397="within",1,0)</f>
        <v>1</v>
      </c>
      <c r="V397" s="92">
        <v>40</v>
      </c>
      <c r="W397" s="69">
        <f>F397*V397</f>
        <v>40</v>
      </c>
      <c r="X397" s="69">
        <v>4</v>
      </c>
      <c r="Y397" s="87">
        <f>AV396</f>
        <v>315360000</v>
      </c>
      <c r="Z397" s="92" t="s">
        <v>329</v>
      </c>
      <c r="AA397" s="69">
        <f>40*365*24*60*60</f>
        <v>1261440000</v>
      </c>
      <c r="AB397" s="69" t="str">
        <f>IF(AA397&lt;60,"1",IF(AA397&lt;=43200,"2",IF(AA397&lt;=777600,"3","4")))</f>
        <v>4</v>
      </c>
      <c r="AC397" s="72">
        <f>AVERAGE(AV396:DA396)</f>
        <v>788400000</v>
      </c>
      <c r="AD397" s="69" t="str">
        <f>IF(AC397&lt;60,"1",IF(AC397&lt;=43200,"2",IF(AC397&lt;=777600,"3","4")))</f>
        <v>4</v>
      </c>
      <c r="AE397" s="87">
        <f>AA397-Y397</f>
        <v>946080000</v>
      </c>
      <c r="AF397" s="88">
        <f>AV397</f>
        <v>0.86956521739130432</v>
      </c>
      <c r="AG397" s="72">
        <f>((AW397-AV397)+(AX397-AW397)+(AY397-AX397))/3</f>
        <v>-0.15706374455048897</v>
      </c>
      <c r="AH397" s="4"/>
      <c r="AI397" s="72">
        <f>RSQ(AV397:AY397,AV396:AY396)</f>
        <v>0.55596343847386231</v>
      </c>
      <c r="AJ397" s="110">
        <f>SLOPE(AV397:AY397,AV396:AY396)</f>
        <v>-4.4559389487928751E-10</v>
      </c>
      <c r="AK397" s="72">
        <f>INTERCEPT(AV397:AY397,AV396:AY396)</f>
        <v>1.114255776541794</v>
      </c>
      <c r="AL397" s="72">
        <f>INDEX(LINEST(LN(AV397:AY397),LN(AV396:AY396),TRUE,TRUE),3,1)</f>
        <v>0.3997086044845663</v>
      </c>
      <c r="AM397" s="72">
        <f>INDEX(LINEST(LN(AV397:AY397),LN(AV396:AY396)),1)</f>
        <v>-0.41957082991770583</v>
      </c>
      <c r="AN397" s="72">
        <f>EXP(INDEX(LINEST(LN(AV397:AY397),LN(AV396:AY396)),1,2))</f>
        <v>3721.230767595709</v>
      </c>
      <c r="AO397" s="89">
        <f>INDEX(LINEST((AV397:AY397),LN(AV396:AY396),TRUE,TRUE),3,1)</f>
        <v>0.38598730754030136</v>
      </c>
      <c r="AP397" s="89">
        <f>INDEX(LINEST((AV397:AY397),LN(AV396:AY396)),1)</f>
        <v>-0.25144212283556433</v>
      </c>
      <c r="AQ397" s="90">
        <f>INDEX(LINEST(LN(AV397:AY397),SQRT(AV396:AY396),TRUE,TRUE),3,1)</f>
        <v>0.48397760714629184</v>
      </c>
      <c r="AR397" s="117">
        <f>INDEX(LINEST(LN(AV397:AY397),SQRT((AV396:AY396))),1)</f>
        <v>-3.6309219761831624E-5</v>
      </c>
      <c r="AS397" s="91">
        <f>INDEX(LINEST(1/(AV397:AY397),1/(SQRT(AV396:AY396)),TRUE,TRUE),3,1)</f>
        <v>0.333972066866149</v>
      </c>
      <c r="AT397" s="91">
        <f>INDEX(LINEST(1/(AV397:AY397),1/SQRT(AV396:AY396)),1)</f>
        <v>-32198.955465882704</v>
      </c>
      <c r="AU397" s="3"/>
      <c r="AV397" s="95">
        <v>0.86956521739130432</v>
      </c>
      <c r="AW397" s="95">
        <v>0.88775510204081631</v>
      </c>
      <c r="AX397" s="95">
        <v>0.89610389610389607</v>
      </c>
      <c r="AY397" s="95">
        <v>0.3983739837398374</v>
      </c>
      <c r="AZ397" s="73"/>
      <c r="BA397" s="73"/>
      <c r="BB397" s="73"/>
      <c r="BC397" s="73"/>
      <c r="BD397" s="53"/>
      <c r="BE397" s="53"/>
      <c r="BF397" s="53"/>
      <c r="BG397" s="53"/>
      <c r="BH397" s="53"/>
      <c r="BI397" s="53"/>
      <c r="BJ397" s="53"/>
      <c r="BK397" s="53"/>
      <c r="BL397" s="53"/>
      <c r="BM397" s="53"/>
      <c r="BN397" s="53"/>
      <c r="BO397" s="53"/>
      <c r="BP397" s="53"/>
      <c r="BQ397" s="53"/>
      <c r="BR397" s="53"/>
      <c r="BS397" s="53"/>
      <c r="BT397" s="53"/>
      <c r="BU397" s="53"/>
      <c r="BV397" s="53"/>
      <c r="BW397" s="53"/>
      <c r="BX397" s="53"/>
      <c r="BY397" s="53"/>
      <c r="BZ397" s="53"/>
      <c r="CA397" s="53"/>
      <c r="CB397" s="53"/>
      <c r="CC397" s="53"/>
      <c r="CD397" s="53"/>
      <c r="CE397" s="53"/>
      <c r="CF397" s="53"/>
      <c r="CG397" s="53"/>
      <c r="CH397" s="53"/>
      <c r="CI397" s="53"/>
      <c r="CJ397" s="53"/>
      <c r="CK397" s="53"/>
      <c r="CL397" s="53"/>
      <c r="CM397" s="53"/>
      <c r="CN397" s="53"/>
      <c r="CO397" s="53"/>
      <c r="CP397" s="53"/>
      <c r="CQ397" s="53"/>
      <c r="CR397" s="1"/>
      <c r="CS397" s="1"/>
      <c r="CT397" s="1"/>
      <c r="CU397" s="1"/>
    </row>
    <row r="398" spans="1:99" s="13" customFormat="1" ht="12" customHeight="1" x14ac:dyDescent="0.2">
      <c r="A398" s="68">
        <v>43897</v>
      </c>
      <c r="B398" s="67"/>
      <c r="C398" s="70"/>
      <c r="D398" s="69"/>
      <c r="E398" s="87"/>
      <c r="F398" s="69"/>
      <c r="G398" s="69"/>
      <c r="H398" s="69"/>
      <c r="I398" s="69"/>
      <c r="J398" s="69"/>
      <c r="K398" s="107"/>
      <c r="L398" s="107"/>
      <c r="M398" s="69"/>
      <c r="N398" s="86"/>
      <c r="O398" s="69"/>
      <c r="P398" s="69"/>
      <c r="Q398" s="69"/>
      <c r="R398" s="69"/>
      <c r="S398" s="69"/>
      <c r="T398" s="69"/>
      <c r="U398" s="60"/>
      <c r="V398" s="69"/>
      <c r="W398" s="69"/>
      <c r="X398" s="69"/>
      <c r="Y398" s="87"/>
      <c r="Z398" s="69"/>
      <c r="AA398" s="69"/>
      <c r="AB398" s="69"/>
      <c r="AC398" s="72"/>
      <c r="AD398" s="69"/>
      <c r="AE398" s="69"/>
      <c r="AF398" s="88"/>
      <c r="AG398" s="72"/>
      <c r="AH398" s="4"/>
      <c r="AI398" s="72"/>
      <c r="AJ398" s="110"/>
      <c r="AK398" s="72"/>
      <c r="AL398" s="72"/>
      <c r="AM398" s="72"/>
      <c r="AN398" s="72"/>
      <c r="AO398" s="89"/>
      <c r="AP398" s="89"/>
      <c r="AQ398" s="90"/>
      <c r="AR398" s="117"/>
      <c r="AS398" s="91"/>
      <c r="AT398" s="91"/>
      <c r="AU398" s="3"/>
      <c r="AV398" s="71">
        <v>315360000</v>
      </c>
      <c r="AW398" s="71">
        <v>630720000</v>
      </c>
      <c r="AX398" s="71">
        <v>946080000</v>
      </c>
      <c r="AY398" s="71">
        <v>1261440000</v>
      </c>
      <c r="AZ398" s="73"/>
      <c r="BA398" s="73"/>
      <c r="BB398" s="73"/>
      <c r="BC398" s="73"/>
      <c r="BD398" s="53"/>
      <c r="BE398" s="53"/>
      <c r="BF398" s="53"/>
      <c r="BG398" s="53"/>
      <c r="BH398" s="53"/>
      <c r="BI398" s="53"/>
      <c r="BJ398" s="53"/>
      <c r="BK398" s="53"/>
      <c r="BL398" s="53"/>
      <c r="BM398" s="53"/>
      <c r="BN398" s="53"/>
      <c r="BO398" s="53"/>
      <c r="BP398" s="53"/>
      <c r="BQ398" s="53"/>
      <c r="BR398" s="53"/>
      <c r="BS398" s="53"/>
      <c r="BT398" s="53"/>
      <c r="BU398" s="53"/>
      <c r="BV398" s="53"/>
      <c r="BW398" s="53"/>
      <c r="BX398" s="53"/>
      <c r="BY398" s="53"/>
      <c r="BZ398" s="53"/>
      <c r="CA398" s="53"/>
      <c r="CB398" s="53"/>
      <c r="CC398" s="53"/>
      <c r="CD398" s="53"/>
      <c r="CE398" s="53"/>
      <c r="CF398" s="53"/>
      <c r="CG398" s="53"/>
      <c r="CH398" s="53"/>
      <c r="CI398" s="53"/>
      <c r="CJ398" s="53"/>
      <c r="CK398" s="53"/>
      <c r="CL398" s="53"/>
      <c r="CM398" s="53"/>
      <c r="CN398" s="53"/>
      <c r="CO398" s="53"/>
      <c r="CP398" s="53"/>
      <c r="CQ398" s="53"/>
      <c r="CR398" s="1"/>
      <c r="CS398" s="1"/>
      <c r="CT398" s="1"/>
      <c r="CU398" s="1"/>
    </row>
    <row r="399" spans="1:99" s="13" customFormat="1" ht="12" customHeight="1" x14ac:dyDescent="0.2">
      <c r="A399" s="68">
        <v>43897</v>
      </c>
      <c r="B399" s="67" t="s">
        <v>415</v>
      </c>
      <c r="C399" s="67" t="s">
        <v>416</v>
      </c>
      <c r="D399" s="86">
        <v>1999</v>
      </c>
      <c r="E399" s="87">
        <v>1</v>
      </c>
      <c r="F399" s="69">
        <v>1</v>
      </c>
      <c r="G399" s="69">
        <v>1</v>
      </c>
      <c r="H399" s="69" t="s">
        <v>50</v>
      </c>
      <c r="I399" s="69" t="s">
        <v>330</v>
      </c>
      <c r="J399" s="69" t="s">
        <v>342</v>
      </c>
      <c r="K399" s="69">
        <f>IF(J399="syllables",1,IF(J399="trigrams",2,IF(J399="strings",3,IF(J399="visual array",4,IF(J399="characters",5,IF(J399="letters",6,IF(J399="free forms",7,IF(J399="odors",8,IF(J399="words",9,IF(J399="pictures",10,IF(J399="object pictures",11,IF(J399="faces",12,IF(J399="names",13,IF(J399="idioms",14,IF(J399="grades",15,IF(J399="syllable-digit pairs",16,IF(J399="trigram-word pairs",17,IF(J399="word-digit pairs",18,IF(J399="English-Swahili pairs",19,IF(J399="spatial position",20,IF(J399="word pairs",21,IF(J399="word triads",22,IF(J399="generated words",23,IF(J399="word definition pairs",24,IF(J399="math problems",25,IF(J399="famous faces",26,IF(J399="famous names",27,IF(J399="famous voices",28,IF(J399="television programs",29,IF(J399="race horses",30,IF(J399="new vocabulary",31,IF(J399="sentences",32,IF(J399="concepts",33,IF(J399="ad slides",34,IF(J399="scenes",35,IF(J399="famous scenes",36,IF(J399="poems",37,IF(J399="walk",38,IF(J399="faces and events",39,IF(J399="events and names",40,IF(J399="flashbulb",41,IF(J399="stories",42,IF(J399="course material",43,IF(J399="autobiographical",44,IF(J399="novels",45,IF(J399="public events",46,"99"))))))))))))))))))))))))))))))))))))))))))))))</f>
        <v>26</v>
      </c>
      <c r="L399" s="69">
        <f>IF(J399="syllables",1,IF(J399="trigrams",1,IF(J399="strings",1,IF(J399="visual array",1,IF(J399="characters",1,IF(J399="letters",1,IF(J399="free forms",1,IF(J399="odors",2,IF(J399="words",2,IF(J399="pictures",2,IF(J399="object pictures",2,IF(J399="faces",2,IF(J399="names",2,IF(J399="idioms","2",IF(J399="grades",2,IF(J399="syllable-digit pairs",3,IF(J399="trigram-word pairs",3,IF(J399="word-digit pairs",3,IF(J399="English-Swahili pairs",3,IF(J399="spatial position",3,IF(J399="word pairs",4,IF(J399="word triads",4,IF(J399="generated words",4,IF(J399="word definition pairs",4,IF(J399="math problems",4,IF(J399="famous faces",4,IF(J399="famous names",4,IF(J399="famous voices",4,IF(J399="television programs",4,IF(J399="race horses",4,IF(J399="new vocabulary",4,IF(J399="sentences",5,IF(J399="concepts",5,IF(J399="ad slides",5,IF(J399="scenes",5,IF(J399="famous scenes",5,IF(J399="poems",6,IF(J399="walk",6,IF(J399="faces and events",6,IF(J399="events and names",6,IF(J399="flashbulb",7,IF(J399="stories",7,IF(J399="course material",7,IF(J399="autobiographical",7,IF(J399="novels",7,IF(J399="public events",7,"99"))))))))))))))))))))))))))))))))))))))))))))))</f>
        <v>4</v>
      </c>
      <c r="M399" s="69">
        <v>1</v>
      </c>
      <c r="N399" s="86">
        <v>2</v>
      </c>
      <c r="O399" s="69">
        <v>0</v>
      </c>
      <c r="P399" s="69"/>
      <c r="Q399" s="69" t="s">
        <v>34</v>
      </c>
      <c r="R399" s="69">
        <f>IF(Q399="Free Recall",1,IF(Q399="Cued Recall",2,IF(Q399="Recognition",3,IF(Q399="Multiple Choice",4,IF(Q399="Savings",5,IF(Q399="Stem Completion",6,IF(Q399="Fragment Completion",7,IF(Q399="anagram solution",8,IF(Q399="Matching",9,IF(Q399="Problem Solving",10,"99"))))))))))</f>
        <v>3</v>
      </c>
      <c r="S399" s="69" t="s">
        <v>15</v>
      </c>
      <c r="T399" s="92" t="s">
        <v>581</v>
      </c>
      <c r="U399" s="60">
        <f>IF(T399="within",1,0)</f>
        <v>1</v>
      </c>
      <c r="V399" s="92">
        <v>40</v>
      </c>
      <c r="W399" s="69">
        <f>F399*V399</f>
        <v>40</v>
      </c>
      <c r="X399" s="69">
        <v>4</v>
      </c>
      <c r="Y399" s="87">
        <f>AV398</f>
        <v>315360000</v>
      </c>
      <c r="Z399" s="92" t="s">
        <v>329</v>
      </c>
      <c r="AA399" s="69">
        <f>40*365*24*60*60</f>
        <v>1261440000</v>
      </c>
      <c r="AB399" s="69" t="str">
        <f>IF(AA399&lt;60,"1",IF(AA399&lt;=43200,"2",IF(AA399&lt;=777600,"3","4")))</f>
        <v>4</v>
      </c>
      <c r="AC399" s="72">
        <f>AVERAGE(AV398:DA398)</f>
        <v>788400000</v>
      </c>
      <c r="AD399" s="69" t="str">
        <f>IF(AC399&lt;60,"1",IF(AC399&lt;=43200,"2",IF(AC399&lt;=777600,"3","4")))</f>
        <v>4</v>
      </c>
      <c r="AE399" s="87">
        <f>AA399-Y399</f>
        <v>946080000</v>
      </c>
      <c r="AF399" s="88">
        <f>AV399</f>
        <v>1</v>
      </c>
      <c r="AG399" s="72">
        <f>((AW399-AV399)+(AX399-AW399)+(AY399-AX399))/3</f>
        <v>-9.8591549295774628E-2</v>
      </c>
      <c r="AH399" s="4"/>
      <c r="AI399" s="72">
        <f>RSQ(AV399:AY399,AV398:AY398)</f>
        <v>0.6000000000000002</v>
      </c>
      <c r="AJ399" s="110">
        <f>SLOPE(AV399:AY399,AV398:AY398)</f>
        <v>-2.8136857675734768E-10</v>
      </c>
      <c r="AK399" s="72">
        <f>INTERCEPT(AV399:AY399,AV398:AY398)</f>
        <v>1.147887323943662</v>
      </c>
      <c r="AL399" s="72">
        <f>INDEX(LINEST(LN(AV399:AY399),LN(AV398:AY398),TRUE,TRUE),3,1)</f>
        <v>0.43067357489469132</v>
      </c>
      <c r="AM399" s="72">
        <f>INDEX(LINEST(LN(AV399:AY399),LN(AV398:AY398)),1)</f>
        <v>-0.19139513571339281</v>
      </c>
      <c r="AN399" s="72">
        <f>EXP(INDEX(LINEST(LN(AV399:AY399),LN(AV398:AY398)),1,2))</f>
        <v>45.143953229566264</v>
      </c>
      <c r="AO399" s="89">
        <f>INDEX(LINEST((AV399:AY399),LN(AV398:AY398),TRUE,TRUE),3,1)</f>
        <v>0.43067357489469138</v>
      </c>
      <c r="AP399" s="89">
        <f>INDEX(LINEST((AV399:AY399),LN(AV398:AY398)),1)</f>
        <v>-0.16143938264362617</v>
      </c>
      <c r="AQ399" s="90">
        <f>INDEX(LINEST(LN(AV399:AY399),SQRT(AV398:AY398),TRUE,TRUE),3,1)</f>
        <v>0.51516937772217042</v>
      </c>
      <c r="AR399" s="117">
        <f>INDEX(LINEST(LN(AV399:AY399),SQRT((AV398:AY398))),1)</f>
        <v>-1.6462756244879608E-5</v>
      </c>
      <c r="AS399" s="91">
        <f>INDEX(LINEST(1/(AV399:AY399),1/(SQRT(AV398:AY398)),TRUE,TRUE),3,1)</f>
        <v>0.35358193173546465</v>
      </c>
      <c r="AT399" s="91">
        <f>INDEX(LINEST(1/(AV399:AY399),1/SQRT(AV398:AY398)),1)</f>
        <v>-10085.437494546009</v>
      </c>
      <c r="AU399" s="3"/>
      <c r="AV399" s="95">
        <v>1</v>
      </c>
      <c r="AW399" s="95">
        <v>1</v>
      </c>
      <c r="AX399" s="95">
        <v>1</v>
      </c>
      <c r="AY399" s="95">
        <v>0.70422535211267612</v>
      </c>
      <c r="AZ399" s="73"/>
      <c r="BA399" s="73"/>
      <c r="BB399" s="73"/>
      <c r="BC399" s="73"/>
      <c r="BD399" s="53"/>
      <c r="BE399" s="53"/>
      <c r="BF399" s="53"/>
      <c r="BG399" s="53"/>
      <c r="BH399" s="53"/>
      <c r="BI399" s="53"/>
      <c r="BJ399" s="53"/>
      <c r="BK399" s="53"/>
      <c r="BL399" s="53"/>
      <c r="BM399" s="53"/>
      <c r="BN399" s="53"/>
      <c r="BO399" s="53"/>
      <c r="BP399" s="53"/>
      <c r="BQ399" s="53"/>
      <c r="BR399" s="53"/>
      <c r="BS399" s="53"/>
      <c r="BT399" s="53"/>
      <c r="BU399" s="53"/>
      <c r="BV399" s="53"/>
      <c r="BW399" s="53"/>
      <c r="BX399" s="53"/>
      <c r="BY399" s="53"/>
      <c r="BZ399" s="53"/>
      <c r="CA399" s="53"/>
      <c r="CB399" s="53"/>
      <c r="CC399" s="53"/>
      <c r="CD399" s="53"/>
      <c r="CE399" s="53"/>
      <c r="CF399" s="53"/>
      <c r="CG399" s="53"/>
      <c r="CH399" s="53"/>
      <c r="CI399" s="53"/>
      <c r="CJ399" s="53"/>
      <c r="CK399" s="53"/>
      <c r="CL399" s="53"/>
      <c r="CM399" s="53"/>
      <c r="CN399" s="53"/>
      <c r="CO399" s="53"/>
      <c r="CP399" s="53"/>
      <c r="CQ399" s="53"/>
      <c r="CR399" s="1"/>
      <c r="CS399" s="1"/>
      <c r="CT399" s="1"/>
      <c r="CU399" s="1"/>
    </row>
    <row r="400" spans="1:99" s="13" customFormat="1" ht="12" customHeight="1" x14ac:dyDescent="0.2">
      <c r="A400" s="68">
        <v>43897</v>
      </c>
      <c r="B400" s="67"/>
      <c r="C400" s="70"/>
      <c r="D400" s="69"/>
      <c r="E400" s="87"/>
      <c r="F400" s="69"/>
      <c r="G400" s="69"/>
      <c r="H400" s="69"/>
      <c r="I400" s="69"/>
      <c r="J400" s="69"/>
      <c r="K400" s="107"/>
      <c r="L400" s="107"/>
      <c r="M400" s="69"/>
      <c r="N400" s="86"/>
      <c r="O400" s="69"/>
      <c r="P400" s="69"/>
      <c r="Q400" s="69"/>
      <c r="R400" s="69"/>
      <c r="S400" s="69"/>
      <c r="T400" s="69"/>
      <c r="U400" s="60"/>
      <c r="V400" s="69"/>
      <c r="W400" s="69"/>
      <c r="X400" s="69"/>
      <c r="Y400" s="87"/>
      <c r="Z400" s="69"/>
      <c r="AA400" s="69"/>
      <c r="AB400" s="69"/>
      <c r="AC400" s="72"/>
      <c r="AD400" s="69"/>
      <c r="AE400" s="69"/>
      <c r="AF400" s="88"/>
      <c r="AG400" s="72"/>
      <c r="AH400" s="4"/>
      <c r="AI400" s="72"/>
      <c r="AJ400" s="110"/>
      <c r="AK400" s="72"/>
      <c r="AL400" s="72"/>
      <c r="AM400" s="72"/>
      <c r="AN400" s="72"/>
      <c r="AO400" s="89"/>
      <c r="AP400" s="89"/>
      <c r="AQ400" s="90"/>
      <c r="AR400" s="117"/>
      <c r="AS400" s="91"/>
      <c r="AT400" s="91"/>
      <c r="AU400" s="3"/>
      <c r="AV400" s="71">
        <v>315360000</v>
      </c>
      <c r="AW400" s="71">
        <v>630720000</v>
      </c>
      <c r="AX400" s="71">
        <v>946080000</v>
      </c>
      <c r="AY400" s="71">
        <v>1261440000</v>
      </c>
      <c r="AZ400" s="73"/>
      <c r="BA400" s="73"/>
      <c r="BB400" s="73"/>
      <c r="BC400" s="73"/>
      <c r="BD400" s="53"/>
      <c r="BE400" s="53"/>
      <c r="BF400" s="53"/>
      <c r="BG400" s="53"/>
      <c r="BH400" s="53"/>
      <c r="BI400" s="53"/>
      <c r="BJ400" s="53"/>
      <c r="BK400" s="53"/>
      <c r="BL400" s="53"/>
      <c r="BM400" s="53"/>
      <c r="BN400" s="53"/>
      <c r="BO400" s="53"/>
      <c r="BP400" s="53"/>
      <c r="BQ400" s="53"/>
      <c r="BR400" s="53"/>
      <c r="BS400" s="53"/>
      <c r="BT400" s="53"/>
      <c r="BU400" s="53"/>
      <c r="BV400" s="53"/>
      <c r="BW400" s="53"/>
      <c r="BX400" s="53"/>
      <c r="BY400" s="53"/>
      <c r="BZ400" s="53"/>
      <c r="CA400" s="53"/>
      <c r="CB400" s="53"/>
      <c r="CC400" s="53"/>
      <c r="CD400" s="53"/>
      <c r="CE400" s="53"/>
      <c r="CF400" s="53"/>
      <c r="CG400" s="53"/>
      <c r="CH400" s="53"/>
      <c r="CI400" s="53"/>
      <c r="CJ400" s="53"/>
      <c r="CK400" s="53"/>
      <c r="CL400" s="53"/>
      <c r="CM400" s="53"/>
      <c r="CN400" s="53"/>
      <c r="CO400" s="53"/>
      <c r="CP400" s="53"/>
      <c r="CQ400" s="53"/>
      <c r="CR400" s="1"/>
      <c r="CS400" s="1"/>
      <c r="CT400" s="1"/>
      <c r="CU400" s="1"/>
    </row>
    <row r="401" spans="1:99" s="13" customFormat="1" ht="12" customHeight="1" x14ac:dyDescent="0.2">
      <c r="A401" s="68">
        <v>43897</v>
      </c>
      <c r="B401" s="67" t="s">
        <v>415</v>
      </c>
      <c r="C401" s="67" t="s">
        <v>416</v>
      </c>
      <c r="D401" s="86">
        <v>1999</v>
      </c>
      <c r="E401" s="87">
        <v>1</v>
      </c>
      <c r="F401" s="69">
        <v>1</v>
      </c>
      <c r="G401" s="69">
        <v>1</v>
      </c>
      <c r="H401" s="69" t="s">
        <v>50</v>
      </c>
      <c r="I401" s="69" t="s">
        <v>330</v>
      </c>
      <c r="J401" s="69" t="s">
        <v>376</v>
      </c>
      <c r="K401" s="69">
        <f>IF(J401="syllables",1,IF(J401="trigrams",2,IF(J401="strings",3,IF(J401="visual array",4,IF(J401="characters",5,IF(J401="letters",6,IF(J401="free forms",7,IF(J401="odors",8,IF(J401="words",9,IF(J401="pictures",10,IF(J401="object pictures",11,IF(J401="faces",12,IF(J401="names",13,IF(J401="idioms",14,IF(J401="grades",15,IF(J401="syllable-digit pairs",16,IF(J401="trigram-word pairs",17,IF(J401="word-digit pairs",18,IF(J401="English-Swahili pairs",19,IF(J401="spatial position",20,IF(J401="word pairs",21,IF(J401="word triads",22,IF(J401="generated words",23,IF(J401="word definition pairs",24,IF(J401="math problems",25,IF(J401="famous faces",26,IF(J401="famous names",27,IF(J401="famous voices",28,IF(J401="television programs",29,IF(J401="race horses",30,IF(J401="new vocabulary",31,IF(J401="sentences",32,IF(J401="concepts",33,IF(J401="ad slides",34,IF(J401="scenes",35,IF(J401="famous scenes",36,IF(J401="poems",37,IF(J401="walk",38,IF(J401="faces and events",39,IF(J401="events and names",40,IF(J401="flashbulb",41,IF(J401="stories",42,IF(J401="course material",43,IF(J401="autobiographical",44,IF(J401="novels",45,IF(J401="public events",46,"99"))))))))))))))))))))))))))))))))))))))))))))))</f>
        <v>29</v>
      </c>
      <c r="L401" s="69">
        <f>IF(J401="syllables",1,IF(J401="trigrams",1,IF(J401="strings",1,IF(J401="visual array",1,IF(J401="characters",1,IF(J401="letters",1,IF(J401="free forms",1,IF(J401="odors",2,IF(J401="words",2,IF(J401="pictures",2,IF(J401="object pictures",2,IF(J401="faces",2,IF(J401="names",2,IF(J401="idioms","2",IF(J401="grades",2,IF(J401="syllable-digit pairs",3,IF(J401="trigram-word pairs",3,IF(J401="word-digit pairs",3,IF(J401="English-Swahili pairs",3,IF(J401="spatial position",3,IF(J401="word pairs",4,IF(J401="word triads",4,IF(J401="generated words",4,IF(J401="word definition pairs",4,IF(J401="math problems",4,IF(J401="famous faces",4,IF(J401="famous names",4,IF(J401="famous voices",4,IF(J401="television programs",4,IF(J401="race horses",4,IF(J401="new vocabulary",4,IF(J401="sentences",5,IF(J401="concepts",5,IF(J401="ad slides",5,IF(J401="scenes",5,IF(J401="famous scenes",5,IF(J401="poems",6,IF(J401="walk",6,IF(J401="faces and events",6,IF(J401="events and names",6,IF(J401="flashbulb",7,IF(J401="stories",7,IF(J401="course material",7,IF(J401="autobiographical",7,IF(J401="novels",7,IF(J401="public events",7,"99"))))))))))))))))))))))))))))))))))))))))))))))</f>
        <v>4</v>
      </c>
      <c r="M401" s="69">
        <v>1</v>
      </c>
      <c r="N401" s="86">
        <v>2</v>
      </c>
      <c r="O401" s="69">
        <v>0</v>
      </c>
      <c r="P401" s="69"/>
      <c r="Q401" s="69" t="s">
        <v>174</v>
      </c>
      <c r="R401" s="69">
        <f>IF(Q401="Free Recall",1,IF(Q401="Cued Recall",2,IF(Q401="Recognition",3,IF(Q401="Multiple Choice",4,IF(Q401="Savings",5,IF(Q401="Stem Completion",6,IF(Q401="Fragment Completion",7,IF(Q401="anagram solution",8,IF(Q401="Matching",9,IF(Q401="Problem Solving",10,"99"))))))))))</f>
        <v>1</v>
      </c>
      <c r="S401" s="92" t="s">
        <v>49</v>
      </c>
      <c r="T401" s="92" t="s">
        <v>581</v>
      </c>
      <c r="U401" s="60">
        <f>IF(T401="within",1,0)</f>
        <v>1</v>
      </c>
      <c r="V401" s="92">
        <v>40</v>
      </c>
      <c r="W401" s="69">
        <f>F401*V401</f>
        <v>40</v>
      </c>
      <c r="X401" s="69">
        <v>4</v>
      </c>
      <c r="Y401" s="87">
        <f>AV400</f>
        <v>315360000</v>
      </c>
      <c r="Z401" s="92" t="s">
        <v>329</v>
      </c>
      <c r="AA401" s="69">
        <f>40*365*24*60*60</f>
        <v>1261440000</v>
      </c>
      <c r="AB401" s="69" t="str">
        <f>IF(AA401&lt;60,"1",IF(AA401&lt;=43200,"2",IF(AA401&lt;=777600,"3","4")))</f>
        <v>4</v>
      </c>
      <c r="AC401" s="72">
        <f>AVERAGE(AV400:DA400)</f>
        <v>788400000</v>
      </c>
      <c r="AD401" s="69" t="str">
        <f>IF(AC401&lt;60,"1",IF(AC401&lt;=43200,"2",IF(AC401&lt;=777600,"3","4")))</f>
        <v>4</v>
      </c>
      <c r="AE401" s="87">
        <f>AA401-Y401</f>
        <v>946080000</v>
      </c>
      <c r="AF401" s="88">
        <f>AV401</f>
        <v>0.70175438596491235</v>
      </c>
      <c r="AG401" s="72">
        <f>((AW401-AV401)+(AX401-AW401)+(AY401-AX401))/3</f>
        <v>-3.3114915803565147E-2</v>
      </c>
      <c r="AH401" s="4"/>
      <c r="AI401" s="72">
        <f>RSQ(AV401:AY401,AV400:AY400)</f>
        <v>4.3668366731778189E-3</v>
      </c>
      <c r="AJ401" s="110">
        <f>SLOPE(AV401:AY401,AV400:AY400)</f>
        <v>3.041132410810109E-11</v>
      </c>
      <c r="AK401" s="72">
        <f>INTERCEPT(AV401:AY401,AV400:AY400)</f>
        <v>0.70357986971810682</v>
      </c>
      <c r="AL401" s="72">
        <f>INDEX(LINEST(LN(AV401:AY401),LN(AV400:AY400),TRUE,TRUE),3,1)</f>
        <v>5.653602526222338E-3</v>
      </c>
      <c r="AM401" s="72">
        <f>INDEX(LINEST(LN(AV401:AY401),LN(AV400:AY400)),1)</f>
        <v>2.9727723158478062E-2</v>
      </c>
      <c r="AN401" s="72">
        <f>EXP(INDEX(LINEST(LN(AV401:AY401),LN(AV400:AY400)),1,2))</f>
        <v>0.38836534667018008</v>
      </c>
      <c r="AO401" s="89">
        <f>INDEX(LINEST((AV401:AY401),LN(AV400:AY400),TRUE,TRUE),3,1)</f>
        <v>1.516042416930307E-2</v>
      </c>
      <c r="AP401" s="89">
        <f>INDEX(LINEST((AV401:AY401),LN(AV400:AY400)),1)</f>
        <v>3.8374518421542277E-2</v>
      </c>
      <c r="AQ401" s="90">
        <f>INDEX(LINEST(LN(AV401:AY401),SQRT(AV400:AY400),TRUE,TRUE),3,1)</f>
        <v>2.865935111990348E-3</v>
      </c>
      <c r="AR401" s="117">
        <f>INDEX(LINEST(LN(AV401:AY401),SQRT((AV400:AY400))),1)</f>
        <v>1.6645733329349725E-6</v>
      </c>
      <c r="AS401" s="91">
        <f>INDEX(LINEST(1/(AV401:AY401),1/(SQRT(AV400:AY400)),TRUE,TRUE),3,1)</f>
        <v>1.134243061882383E-3</v>
      </c>
      <c r="AT401" s="91">
        <f>INDEX(LINEST(1/(AV401:AY401),1/SQRT(AV400:AY400)),1)</f>
        <v>840.1057494328453</v>
      </c>
      <c r="AU401" s="3"/>
      <c r="AV401" s="95">
        <v>0.70175438596491235</v>
      </c>
      <c r="AW401" s="95">
        <v>0.60606060606060608</v>
      </c>
      <c r="AX401" s="95">
        <v>1</v>
      </c>
      <c r="AY401" s="95">
        <v>0.60240963855421692</v>
      </c>
      <c r="AZ401" s="73"/>
      <c r="BA401" s="73"/>
      <c r="BB401" s="73"/>
      <c r="BC401" s="73"/>
      <c r="BD401" s="53"/>
      <c r="BE401" s="53"/>
      <c r="BF401" s="53"/>
      <c r="BG401" s="53"/>
      <c r="BH401" s="53"/>
      <c r="BI401" s="53"/>
      <c r="BJ401" s="53"/>
      <c r="BK401" s="53"/>
      <c r="BL401" s="53"/>
      <c r="BM401" s="53"/>
      <c r="BN401" s="53"/>
      <c r="BO401" s="53"/>
      <c r="BP401" s="53"/>
      <c r="BQ401" s="53"/>
      <c r="BR401" s="53"/>
      <c r="BS401" s="53"/>
      <c r="BT401" s="53"/>
      <c r="BU401" s="53"/>
      <c r="BV401" s="53"/>
      <c r="BW401" s="53"/>
      <c r="BX401" s="53"/>
      <c r="BY401" s="53"/>
      <c r="BZ401" s="53"/>
      <c r="CA401" s="53"/>
      <c r="CB401" s="53"/>
      <c r="CC401" s="53"/>
      <c r="CD401" s="53"/>
      <c r="CE401" s="53"/>
      <c r="CF401" s="53"/>
      <c r="CG401" s="53"/>
      <c r="CH401" s="53"/>
      <c r="CI401" s="53"/>
      <c r="CJ401" s="53"/>
      <c r="CK401" s="53"/>
      <c r="CL401" s="53"/>
      <c r="CM401" s="53"/>
      <c r="CN401" s="53"/>
      <c r="CO401" s="53"/>
      <c r="CP401" s="53"/>
      <c r="CQ401" s="53"/>
      <c r="CR401" s="1"/>
      <c r="CS401" s="1"/>
      <c r="CT401" s="1"/>
      <c r="CU401" s="1"/>
    </row>
    <row r="402" spans="1:99" s="13" customFormat="1" ht="12" customHeight="1" x14ac:dyDescent="0.2">
      <c r="A402" s="68">
        <v>43897</v>
      </c>
      <c r="B402" s="67"/>
      <c r="C402" s="70"/>
      <c r="D402" s="69"/>
      <c r="E402" s="87"/>
      <c r="F402" s="69"/>
      <c r="G402" s="69"/>
      <c r="H402" s="69"/>
      <c r="I402" s="69"/>
      <c r="J402" s="69"/>
      <c r="K402" s="107"/>
      <c r="L402" s="107"/>
      <c r="M402" s="69"/>
      <c r="N402" s="86"/>
      <c r="O402" s="69"/>
      <c r="P402" s="69"/>
      <c r="Q402" s="69"/>
      <c r="R402" s="69"/>
      <c r="S402" s="69"/>
      <c r="T402" s="69"/>
      <c r="U402" s="60"/>
      <c r="V402" s="69"/>
      <c r="W402" s="69"/>
      <c r="X402" s="69"/>
      <c r="Y402" s="87"/>
      <c r="Z402" s="69"/>
      <c r="AA402" s="69"/>
      <c r="AB402" s="69"/>
      <c r="AC402" s="72"/>
      <c r="AD402" s="69"/>
      <c r="AE402" s="69"/>
      <c r="AF402" s="88"/>
      <c r="AG402" s="72"/>
      <c r="AH402" s="4"/>
      <c r="AI402" s="72"/>
      <c r="AJ402" s="110"/>
      <c r="AK402" s="72"/>
      <c r="AL402" s="72"/>
      <c r="AM402" s="72"/>
      <c r="AN402" s="72"/>
      <c r="AO402" s="89"/>
      <c r="AP402" s="89"/>
      <c r="AQ402" s="90"/>
      <c r="AR402" s="117"/>
      <c r="AS402" s="91"/>
      <c r="AT402" s="91"/>
      <c r="AU402" s="3"/>
      <c r="AV402" s="71">
        <v>315360000</v>
      </c>
      <c r="AW402" s="71">
        <v>630720000</v>
      </c>
      <c r="AX402" s="71">
        <v>946080000</v>
      </c>
      <c r="AY402" s="71">
        <v>1261440000</v>
      </c>
      <c r="AZ402" s="73"/>
      <c r="BA402" s="73"/>
      <c r="BB402" s="73"/>
      <c r="BC402" s="73"/>
      <c r="BD402" s="53"/>
      <c r="BE402" s="53"/>
      <c r="BF402" s="53"/>
      <c r="BG402" s="53"/>
      <c r="BH402" s="53"/>
      <c r="BI402" s="53"/>
      <c r="BJ402" s="53"/>
      <c r="BK402" s="53"/>
      <c r="BL402" s="53"/>
      <c r="BM402" s="53"/>
      <c r="BN402" s="53"/>
      <c r="BO402" s="53"/>
      <c r="BP402" s="53"/>
      <c r="BQ402" s="53"/>
      <c r="BR402" s="53"/>
      <c r="BS402" s="53"/>
      <c r="BT402" s="53"/>
      <c r="BU402" s="53"/>
      <c r="BV402" s="53"/>
      <c r="BW402" s="53"/>
      <c r="BX402" s="53"/>
      <c r="BY402" s="53"/>
      <c r="BZ402" s="53"/>
      <c r="CA402" s="53"/>
      <c r="CB402" s="53"/>
      <c r="CC402" s="53"/>
      <c r="CD402" s="53"/>
      <c r="CE402" s="53"/>
      <c r="CF402" s="53"/>
      <c r="CG402" s="53"/>
      <c r="CH402" s="53"/>
      <c r="CI402" s="53"/>
      <c r="CJ402" s="53"/>
      <c r="CK402" s="53"/>
      <c r="CL402" s="53"/>
      <c r="CM402" s="53"/>
      <c r="CN402" s="53"/>
      <c r="CO402" s="53"/>
      <c r="CP402" s="53"/>
      <c r="CQ402" s="53"/>
      <c r="CR402" s="1"/>
      <c r="CS402" s="1"/>
      <c r="CT402" s="1"/>
      <c r="CU402" s="1"/>
    </row>
    <row r="403" spans="1:99" s="13" customFormat="1" ht="12" customHeight="1" x14ac:dyDescent="0.2">
      <c r="A403" s="68">
        <v>43897</v>
      </c>
      <c r="B403" s="67" t="s">
        <v>415</v>
      </c>
      <c r="C403" s="67" t="s">
        <v>416</v>
      </c>
      <c r="D403" s="86">
        <v>1999</v>
      </c>
      <c r="E403" s="87">
        <v>1</v>
      </c>
      <c r="F403" s="69">
        <v>1</v>
      </c>
      <c r="G403" s="69">
        <v>1</v>
      </c>
      <c r="H403" s="69" t="s">
        <v>50</v>
      </c>
      <c r="I403" s="69" t="s">
        <v>330</v>
      </c>
      <c r="J403" s="69" t="s">
        <v>376</v>
      </c>
      <c r="K403" s="69">
        <f>IF(J403="syllables",1,IF(J403="trigrams",2,IF(J403="strings",3,IF(J403="visual array",4,IF(J403="characters",5,IF(J403="letters",6,IF(J403="free forms",7,IF(J403="odors",8,IF(J403="words",9,IF(J403="pictures",10,IF(J403="object pictures",11,IF(J403="faces",12,IF(J403="names",13,IF(J403="idioms",14,IF(J403="grades",15,IF(J403="syllable-digit pairs",16,IF(J403="trigram-word pairs",17,IF(J403="word-digit pairs",18,IF(J403="English-Swahili pairs",19,IF(J403="spatial position",20,IF(J403="word pairs",21,IF(J403="word triads",22,IF(J403="generated words",23,IF(J403="word definition pairs",24,IF(J403="math problems",25,IF(J403="famous faces",26,IF(J403="famous names",27,IF(J403="famous voices",28,IF(J403="television programs",29,IF(J403="race horses",30,IF(J403="new vocabulary",31,IF(J403="sentences",32,IF(J403="concepts",33,IF(J403="ad slides",34,IF(J403="scenes",35,IF(J403="famous scenes",36,IF(J403="poems",37,IF(J403="walk",38,IF(J403="faces and events",39,IF(J403="events and names",40,IF(J403="flashbulb",41,IF(J403="stories",42,IF(J403="course material",43,IF(J403="autobiographical",44,IF(J403="novels",45,IF(J403="public events",46,"99"))))))))))))))))))))))))))))))))))))))))))))))</f>
        <v>29</v>
      </c>
      <c r="L403" s="69">
        <f>IF(J403="syllables",1,IF(J403="trigrams",1,IF(J403="strings",1,IF(J403="visual array",1,IF(J403="characters",1,IF(J403="letters",1,IF(J403="free forms",1,IF(J403="odors",2,IF(J403="words",2,IF(J403="pictures",2,IF(J403="object pictures",2,IF(J403="faces",2,IF(J403="names",2,IF(J403="idioms","2",IF(J403="grades",2,IF(J403="syllable-digit pairs",3,IF(J403="trigram-word pairs",3,IF(J403="word-digit pairs",3,IF(J403="English-Swahili pairs",3,IF(J403="spatial position",3,IF(J403="word pairs",4,IF(J403="word triads",4,IF(J403="generated words",4,IF(J403="word definition pairs",4,IF(J403="math problems",4,IF(J403="famous faces",4,IF(J403="famous names",4,IF(J403="famous voices",4,IF(J403="television programs",4,IF(J403="race horses",4,IF(J403="new vocabulary",4,IF(J403="sentences",5,IF(J403="concepts",5,IF(J403="ad slides",5,IF(J403="scenes",5,IF(J403="famous scenes",5,IF(J403="poems",6,IF(J403="walk",6,IF(J403="faces and events",6,IF(J403="events and names",6,IF(J403="flashbulb",7,IF(J403="stories",7,IF(J403="course material",7,IF(J403="autobiographical",7,IF(J403="novels",7,IF(J403="public events",7,"99"))))))))))))))))))))))))))))))))))))))))))))))</f>
        <v>4</v>
      </c>
      <c r="M403" s="69">
        <v>1</v>
      </c>
      <c r="N403" s="86">
        <v>2</v>
      </c>
      <c r="O403" s="69">
        <v>0</v>
      </c>
      <c r="P403" s="69"/>
      <c r="Q403" s="69" t="s">
        <v>34</v>
      </c>
      <c r="R403" s="69">
        <f>IF(Q403="Free Recall",1,IF(Q403="Cued Recall",2,IF(Q403="Recognition",3,IF(Q403="Multiple Choice",4,IF(Q403="Savings",5,IF(Q403="Stem Completion",6,IF(Q403="Fragment Completion",7,IF(Q403="anagram solution",8,IF(Q403="Matching",9,IF(Q403="Problem Solving",10,"99"))))))))))</f>
        <v>3</v>
      </c>
      <c r="S403" s="69" t="s">
        <v>15</v>
      </c>
      <c r="T403" s="92" t="s">
        <v>581</v>
      </c>
      <c r="U403" s="60">
        <f>IF(T403="within",1,0)</f>
        <v>1</v>
      </c>
      <c r="V403" s="92">
        <v>40</v>
      </c>
      <c r="W403" s="69">
        <f>F403*V403</f>
        <v>40</v>
      </c>
      <c r="X403" s="69">
        <v>4</v>
      </c>
      <c r="Y403" s="87">
        <f>AV402</f>
        <v>315360000</v>
      </c>
      <c r="Z403" s="92" t="s">
        <v>329</v>
      </c>
      <c r="AA403" s="69">
        <f>40*365*24*60*60</f>
        <v>1261440000</v>
      </c>
      <c r="AB403" s="69" t="str">
        <f>IF(AA403&lt;60,"1",IF(AA403&lt;=43200,"2",IF(AA403&lt;=777600,"3","4")))</f>
        <v>4</v>
      </c>
      <c r="AC403" s="72">
        <f>AVERAGE(AV402:DA402)</f>
        <v>788400000</v>
      </c>
      <c r="AD403" s="69" t="str">
        <f>IF(AC403&lt;60,"1",IF(AC403&lt;=43200,"2",IF(AC403&lt;=777600,"3","4")))</f>
        <v>4</v>
      </c>
      <c r="AE403" s="87">
        <f>AA403-Y403</f>
        <v>946080000</v>
      </c>
      <c r="AF403" s="88">
        <f>AV403</f>
        <v>1</v>
      </c>
      <c r="AG403" s="72">
        <f>((AW403-AV403)+(AX403-AW403)+(AY403-AX403))/3</f>
        <v>-6.6666666666666652E-2</v>
      </c>
      <c r="AH403" s="4"/>
      <c r="AI403" s="72">
        <f>RSQ(AV403:AY403,AV402:AY402)</f>
        <v>0.59999999999999987</v>
      </c>
      <c r="AJ403" s="110">
        <f>SLOPE(AV403:AY403,AV402:AY402)</f>
        <v>-1.9025875190258746E-10</v>
      </c>
      <c r="AK403" s="72">
        <f>INTERCEPT(AV403:AY403,AV402:AY402)</f>
        <v>1.0999999999999999</v>
      </c>
      <c r="AL403" s="72">
        <f>INDEX(LINEST(LN(AV403:AY403),LN(AV402:AY402),TRUE,TRUE),3,1)</f>
        <v>0.43067357489469127</v>
      </c>
      <c r="AM403" s="72">
        <f>INDEX(LINEST(LN(AV403:AY403),LN(AV402:AY402)),1)</f>
        <v>-0.12179595993905411</v>
      </c>
      <c r="AN403" s="72">
        <f>EXP(INDEX(LINEST(LN(AV403:AY403),LN(AV402:AY402)),1,2))</f>
        <v>11.295848111563116</v>
      </c>
      <c r="AO403" s="89">
        <f>INDEX(LINEST((AV403:AY403),LN(AV402:AY402),TRUE,TRUE),3,1)</f>
        <v>0.43067357489469132</v>
      </c>
      <c r="AP403" s="89">
        <f>INDEX(LINEST((AV403:AY403),LN(AV402:AY402)),1)</f>
        <v>-0.10916377302569009</v>
      </c>
      <c r="AQ403" s="90">
        <f>INDEX(LINEST(LN(AV403:AY403),SQRT(AV402:AY402),TRUE,TRUE),3,1)</f>
        <v>0.51516937772217053</v>
      </c>
      <c r="AR403" s="117">
        <f>INDEX(LINEST(LN(AV403:AY403),SQRT((AV402:AY402))),1)</f>
        <v>-1.047621817876463E-5</v>
      </c>
      <c r="AS403" s="91">
        <f>INDEX(LINEST(1/(AV403:AY403),1/(SQRT(AV402:AY402)),TRUE,TRUE),3,1)</f>
        <v>0.35358193173546443</v>
      </c>
      <c r="AT403" s="91">
        <f>INDEX(LINEST(1/(AV403:AY403),1/SQRT(AV402:AY402)),1)</f>
        <v>-6003.2366038964365</v>
      </c>
      <c r="AU403" s="3"/>
      <c r="AV403" s="95">
        <v>1</v>
      </c>
      <c r="AW403" s="95">
        <v>1</v>
      </c>
      <c r="AX403" s="95">
        <v>1</v>
      </c>
      <c r="AY403" s="95">
        <v>0.8</v>
      </c>
      <c r="AZ403" s="73"/>
      <c r="BA403" s="73"/>
      <c r="BB403" s="73"/>
      <c r="BC403" s="73"/>
      <c r="BD403" s="53"/>
      <c r="BE403" s="53"/>
      <c r="BF403" s="53"/>
      <c r="BG403" s="53"/>
      <c r="BH403" s="53"/>
      <c r="BI403" s="53"/>
      <c r="BJ403" s="53"/>
      <c r="BK403" s="53"/>
      <c r="BL403" s="53"/>
      <c r="BM403" s="53"/>
      <c r="BN403" s="53"/>
      <c r="BO403" s="53"/>
      <c r="BP403" s="53"/>
      <c r="BQ403" s="53"/>
      <c r="BR403" s="53"/>
      <c r="BS403" s="53"/>
      <c r="BT403" s="53"/>
      <c r="BU403" s="53"/>
      <c r="BV403" s="53"/>
      <c r="BW403" s="53"/>
      <c r="BX403" s="53"/>
      <c r="BY403" s="53"/>
      <c r="BZ403" s="53"/>
      <c r="CA403" s="53"/>
      <c r="CB403" s="53"/>
      <c r="CC403" s="53"/>
      <c r="CD403" s="53"/>
      <c r="CE403" s="53"/>
      <c r="CF403" s="53"/>
      <c r="CG403" s="53"/>
      <c r="CH403" s="53"/>
      <c r="CI403" s="53"/>
      <c r="CJ403" s="53"/>
      <c r="CK403" s="53"/>
      <c r="CL403" s="53"/>
      <c r="CM403" s="53"/>
      <c r="CN403" s="53"/>
      <c r="CO403" s="53"/>
      <c r="CP403" s="53"/>
      <c r="CQ403" s="53"/>
      <c r="CR403" s="1"/>
      <c r="CS403" s="1"/>
      <c r="CT403" s="1"/>
      <c r="CU403" s="1"/>
    </row>
    <row r="404" spans="1:99" s="13" customFormat="1" ht="12" customHeight="1" x14ac:dyDescent="0.2">
      <c r="A404" s="65">
        <v>43509</v>
      </c>
      <c r="B404" s="1"/>
      <c r="C404" s="1"/>
      <c r="D404" s="60"/>
      <c r="E404" s="76"/>
      <c r="F404" s="60"/>
      <c r="G404" s="60"/>
      <c r="H404" s="60"/>
      <c r="I404" s="60"/>
      <c r="J404" s="60"/>
      <c r="K404" s="64"/>
      <c r="L404" s="64"/>
      <c r="M404" s="60"/>
      <c r="N404" s="60"/>
      <c r="O404" s="60"/>
      <c r="P404" s="60"/>
      <c r="Q404" s="60"/>
      <c r="R404" s="60"/>
      <c r="S404" s="60"/>
      <c r="T404" s="60"/>
      <c r="U404" s="60"/>
      <c r="V404" s="60"/>
      <c r="W404" s="60"/>
      <c r="X404" s="60"/>
      <c r="Y404" s="76"/>
      <c r="Z404" s="60"/>
      <c r="AA404" s="60"/>
      <c r="AB404" s="60"/>
      <c r="AC404" s="60"/>
      <c r="AD404" s="60"/>
      <c r="AE404" s="60"/>
      <c r="AF404" s="80"/>
      <c r="AG404" s="56"/>
      <c r="AH404" s="4"/>
      <c r="AI404" s="56"/>
      <c r="AJ404" s="109"/>
      <c r="AK404" s="56"/>
      <c r="AL404" s="56"/>
      <c r="AM404" s="56"/>
      <c r="AN404" s="56"/>
      <c r="AO404" s="56"/>
      <c r="AP404" s="56"/>
      <c r="AQ404" s="82"/>
      <c r="AR404" s="115"/>
      <c r="AS404" s="82"/>
      <c r="AT404" s="82"/>
      <c r="AU404" s="4"/>
      <c r="AV404" s="25">
        <v>473</v>
      </c>
      <c r="AW404" s="25">
        <f>7*24*3600*1</f>
        <v>604800</v>
      </c>
      <c r="AX404" s="25">
        <f>7*24*3600*2</f>
        <v>1209600</v>
      </c>
      <c r="AY404" s="53" t="s">
        <v>538</v>
      </c>
      <c r="AZ404" s="53"/>
      <c r="BA404" s="53"/>
      <c r="BB404" s="53"/>
      <c r="BC404" s="53"/>
      <c r="BD404" s="53"/>
      <c r="BE404" s="53"/>
      <c r="BF404" s="53"/>
      <c r="BG404" s="53"/>
      <c r="BH404" s="53"/>
      <c r="BI404" s="53"/>
      <c r="BJ404" s="53"/>
      <c r="BK404" s="53"/>
      <c r="BL404" s="53"/>
      <c r="BM404" s="53"/>
      <c r="BN404" s="53"/>
      <c r="BO404" s="53"/>
      <c r="BP404" s="53"/>
      <c r="BQ404" s="53"/>
      <c r="BR404" s="53"/>
      <c r="BS404" s="53"/>
      <c r="BT404" s="53"/>
      <c r="BU404" s="53"/>
      <c r="BV404" s="53"/>
      <c r="BW404" s="53"/>
      <c r="BX404" s="53"/>
      <c r="BY404" s="53"/>
      <c r="BZ404" s="53"/>
      <c r="CA404" s="53"/>
      <c r="CB404" s="53"/>
      <c r="CC404" s="53"/>
      <c r="CD404" s="53"/>
      <c r="CE404" s="53"/>
      <c r="CF404" s="53"/>
      <c r="CG404" s="53"/>
      <c r="CH404" s="53"/>
      <c r="CI404" s="53"/>
      <c r="CJ404" s="53"/>
      <c r="CK404" s="53"/>
      <c r="CL404" s="53"/>
      <c r="CM404" s="53"/>
      <c r="CN404" s="53"/>
      <c r="CO404" s="53"/>
      <c r="CP404" s="53"/>
      <c r="CQ404" s="53"/>
      <c r="CR404" s="1"/>
      <c r="CS404" s="1"/>
      <c r="CT404" s="1"/>
      <c r="CU404" s="1"/>
    </row>
    <row r="405" spans="1:99" s="13" customFormat="1" ht="12" customHeight="1" x14ac:dyDescent="0.2">
      <c r="A405" s="65">
        <v>43509</v>
      </c>
      <c r="B405" s="1" t="s">
        <v>168</v>
      </c>
      <c r="C405" s="1" t="s">
        <v>169</v>
      </c>
      <c r="D405" s="60">
        <v>2007</v>
      </c>
      <c r="E405" s="76">
        <v>1</v>
      </c>
      <c r="F405" s="60">
        <v>29</v>
      </c>
      <c r="G405" s="60">
        <v>29</v>
      </c>
      <c r="H405" s="60" t="s">
        <v>22</v>
      </c>
      <c r="I405" s="60"/>
      <c r="J405" s="60" t="s">
        <v>838</v>
      </c>
      <c r="K405" s="60">
        <f>IF(J405="syllables",1,IF(J405="trigrams",2,IF(J405="strings",3,IF(J405="visual array",4,IF(J405="characters",5,IF(J405="letters",6,IF(J405="free forms",7,IF(J405="odors",8,IF(J405="words",9,IF(J405="pictures",10,IF(J405="object pictures",11,IF(J405="faces",12,IF(J405="names",13,IF(J405="idioms",14,IF(J405="grades",15,IF(J405="syllable-digit pairs",16,IF(J405="trigram-word pairs",17,IF(J405="word-digit pairs",18,IF(J405="English-Swahili pairs",19,IF(J405="spatial position",20,IF(J405="word pairs",21,IF(J405="word triads",22,IF(J405="generated words",23,IF(J405="word definition pairs",24,IF(J405="math problems",25,IF(J405="famous faces",26,IF(J405="famous names",27,IF(J405="famous voices",28,IF(J405="television programs",29,IF(J405="race horses",30,IF(J405="new vocabulary",31,IF(J405="sentences",32,IF(J405="concepts",33,IF(J405="ad slides",34,IF(J405="scenes",35,IF(J405="famous scenes",36,IF(J405="poems",37,IF(J405="walk",38,IF(J405="faces and events",39,IF(J405="events and names",40,IF(J405="flashbulb",41,IF(J405="stories",42,IF(J405="course material",43,IF(J405="autobiographical",44,IF(J405="novels",45,IF(J405="public events",46,"99"))))))))))))))))))))))))))))))))))))))))))))))</f>
        <v>3</v>
      </c>
      <c r="L405" s="60">
        <f>IF(J405="syllables",1,IF(J405="trigrams",1,IF(J405="strings",1,IF(J405="visual array",1,IF(J405="characters",1,IF(J405="letters",1,IF(J405="free forms",1,IF(J405="odors",2,IF(J405="words",2,IF(J405="pictures",2,IF(J405="object pictures",2,IF(J405="faces",2,IF(J405="names",2,IF(J405="idioms","2",IF(J405="grades",2,IF(J405="syllable-digit pairs",3,IF(J405="trigram-word pairs",3,IF(J405="word-digit pairs",3,IF(J405="English-Swahili pairs",3,IF(J405="spatial position",3,IF(J405="word pairs",4,IF(J405="word triads",4,IF(J405="generated words",4,IF(J405="word definition pairs",4,IF(J405="math problems",4,IF(J405="famous faces",4,IF(J405="famous names",4,IF(J405="famous voices",4,IF(J405="television programs",4,IF(J405="race horses",4,IF(J405="new vocabulary",4,IF(J405="sentences",5,IF(J405="concepts",5,IF(J405="ad slides",5,IF(J405="scenes",5,IF(J405="famous scenes",5,IF(J405="poems",6,IF(J405="walk",6,IF(J405="faces and events",6,IF(J405="events and names",6,IF(J405="flashbulb",7,IF(J405="stories",7,IF(J405="course material",7,IF(J405="autobiographical",7,IF(J405="novels",7,IF(J405="public events",7,"99"))))))))))))))))))))))))))))))))))))))))))))))</f>
        <v>1</v>
      </c>
      <c r="M405" s="60">
        <v>1</v>
      </c>
      <c r="N405" s="60">
        <v>3</v>
      </c>
      <c r="O405" s="60">
        <v>0</v>
      </c>
      <c r="P405" s="60"/>
      <c r="Q405" s="60" t="s">
        <v>34</v>
      </c>
      <c r="R405" s="60">
        <f>IF(Q405="Free Recall",1,IF(Q405="Cued Recall",2,IF(Q405="Recognition",3,IF(Q405="Multiple Choice",4,IF(Q405="Savings",5,IF(Q405="Stem Completion",6,IF(Q405="Fragment Completion",7,IF(Q405="anagram solution",8,IF(Q405="Matching",9,IF(Q405="Problem Solving",10,"99"))))))))))</f>
        <v>3</v>
      </c>
      <c r="S405" s="60" t="s">
        <v>15</v>
      </c>
      <c r="T405" s="59" t="s">
        <v>581</v>
      </c>
      <c r="U405" s="60">
        <f>IF(T405="within",1,0)</f>
        <v>1</v>
      </c>
      <c r="V405" s="59">
        <v>63</v>
      </c>
      <c r="W405" s="60">
        <f>F405*V405</f>
        <v>1827</v>
      </c>
      <c r="X405" s="60">
        <v>3</v>
      </c>
      <c r="Y405" s="76">
        <f>AV404</f>
        <v>473</v>
      </c>
      <c r="Z405" s="60" t="s">
        <v>170</v>
      </c>
      <c r="AA405" s="60">
        <v>1209600</v>
      </c>
      <c r="AB405" s="60" t="str">
        <f>IF(AA405&lt;60,"1",IF(AA405&lt;=43200,"2",IF(AA405&lt;=777600,"3","4")))</f>
        <v>4</v>
      </c>
      <c r="AC405" s="56">
        <f>AVERAGE(AV404:DA404)</f>
        <v>604957.66666666663</v>
      </c>
      <c r="AD405" s="60" t="str">
        <f>IF(AC405&lt;60,"1",IF(AC405&lt;=43200,"2",IF(AC405&lt;=777600,"3","4")))</f>
        <v>3</v>
      </c>
      <c r="AE405" s="76">
        <f>AA405-Y405</f>
        <v>1209127</v>
      </c>
      <c r="AF405" s="80">
        <f>AV405</f>
        <v>0.6100000000000001</v>
      </c>
      <c r="AG405" s="56">
        <f>((AW405-AV405)+(AX405-AW405))/2</f>
        <v>-2.0000000000000018E-2</v>
      </c>
      <c r="AH405" s="4"/>
      <c r="AI405" s="56">
        <f>RSQ(AV405:AX405,AV404:AX404)</f>
        <v>0.97952791983744036</v>
      </c>
      <c r="AJ405" s="109">
        <f>SLOPE(AV405:AX405,AV404:AX404)</f>
        <v>-3.308063916243362E-8</v>
      </c>
      <c r="AK405" s="56">
        <f>INTERCEPT(AV405:AX405,AV404:AX404)</f>
        <v>0.6083457196128812</v>
      </c>
      <c r="AL405" s="56">
        <f>INDEX(LINEST(LN(AV405:AX405),LN(AV404:AX404),TRUE,TRUE),3,1)</f>
        <v>0.90726650919473795</v>
      </c>
      <c r="AM405" s="56">
        <f>INDEX(LINEST(LN(AV405:AX405),LN(AV404:AX404)),1)</f>
        <v>-7.5031778390993948E-3</v>
      </c>
      <c r="AN405" s="56">
        <f>EXP(INDEX(LINEST(LN(AV405:AX405),LN(AV404:AX404)),1,2))</f>
        <v>0.63946489332178902</v>
      </c>
      <c r="AO405" s="82">
        <f>INDEX(LINEST((AV405:AX405),LN(AV404:AX404),TRUE,TRUE),3,1)</f>
        <v>0.91245023495164068</v>
      </c>
      <c r="AP405" s="82">
        <f>INDEX(LINEST((AV405:AX405),LN(AV404:AX404)),1)</f>
        <v>-4.4434183316033413E-3</v>
      </c>
      <c r="AQ405" s="83">
        <f>INDEX(LINEST(LN(AV405:AX405),SQRT(AV404:AX404),TRUE,TRUE),3,1)</f>
        <v>0.99119417208963612</v>
      </c>
      <c r="AR405" s="116">
        <f>INDEX(LINEST(LN(AV405:AX405),SQRT((AV404:AX404))),1)</f>
        <v>-6.1563057368407259E-5</v>
      </c>
      <c r="AS405" s="84">
        <f>INDEX(LINEST(1/(AV405:AX405),1/(SQRT(AV404:AX404)),TRUE,TRUE),3,1)</f>
        <v>0.85464210805078911</v>
      </c>
      <c r="AT405" s="84">
        <f>INDEX(LINEST(1/(AV405:AX405),1/SQRT(AV404:AX404)),1)</f>
        <v>-2.0682400205908067</v>
      </c>
      <c r="AU405" s="3"/>
      <c r="AV405" s="53">
        <v>0.6100000000000001</v>
      </c>
      <c r="AW405" s="53">
        <v>0.58499999999999996</v>
      </c>
      <c r="AX405" s="53">
        <v>0.57000000000000006</v>
      </c>
      <c r="AY405" s="53"/>
      <c r="AZ405" s="53"/>
      <c r="BA405" s="53"/>
      <c r="BB405" s="53"/>
      <c r="BC405" s="53"/>
      <c r="BD405" s="53"/>
      <c r="BE405" s="53"/>
      <c r="BF405" s="53"/>
      <c r="BG405" s="53"/>
      <c r="BH405" s="53"/>
      <c r="BI405" s="53"/>
      <c r="BJ405" s="53"/>
      <c r="BK405" s="53"/>
      <c r="BL405" s="53"/>
      <c r="BM405" s="53"/>
      <c r="BN405" s="53"/>
      <c r="BO405" s="53"/>
      <c r="BP405" s="53"/>
      <c r="BQ405" s="53"/>
      <c r="BR405" s="53"/>
      <c r="BS405" s="53"/>
      <c r="BT405" s="53"/>
      <c r="BU405" s="53"/>
      <c r="BV405" s="53"/>
      <c r="BW405" s="53"/>
      <c r="BX405" s="53"/>
      <c r="BY405" s="53"/>
      <c r="BZ405" s="53"/>
      <c r="CA405" s="53"/>
      <c r="CB405" s="53"/>
      <c r="CC405" s="53"/>
      <c r="CD405" s="53"/>
      <c r="CE405" s="53"/>
      <c r="CF405" s="53"/>
      <c r="CG405" s="53"/>
      <c r="CH405" s="53"/>
      <c r="CI405" s="53"/>
      <c r="CJ405" s="53"/>
      <c r="CK405" s="53"/>
      <c r="CL405" s="53"/>
      <c r="CM405" s="53"/>
      <c r="CN405" s="53"/>
      <c r="CO405" s="53"/>
      <c r="CP405" s="53"/>
      <c r="CQ405" s="53"/>
      <c r="CR405" s="1"/>
      <c r="CS405" s="1"/>
      <c r="CT405" s="1"/>
      <c r="CU405" s="1"/>
    </row>
    <row r="406" spans="1:99" s="13" customFormat="1" ht="12" customHeight="1" x14ac:dyDescent="0.2">
      <c r="A406" s="65">
        <v>43896</v>
      </c>
      <c r="B406" s="1"/>
      <c r="C406" s="1"/>
      <c r="D406" s="60"/>
      <c r="E406" s="76"/>
      <c r="F406" s="60"/>
      <c r="G406" s="60"/>
      <c r="H406" s="60"/>
      <c r="I406" s="60"/>
      <c r="J406" s="60"/>
      <c r="K406" s="64"/>
      <c r="L406" s="64"/>
      <c r="M406" s="60"/>
      <c r="N406" s="59"/>
      <c r="O406" s="60"/>
      <c r="P406" s="60"/>
      <c r="Q406" s="60"/>
      <c r="R406" s="60"/>
      <c r="S406" s="60"/>
      <c r="T406" s="59"/>
      <c r="U406" s="60"/>
      <c r="V406" s="59"/>
      <c r="W406" s="60"/>
      <c r="X406" s="60"/>
      <c r="Y406" s="76"/>
      <c r="Z406" s="59"/>
      <c r="AA406" s="59"/>
      <c r="AB406" s="60"/>
      <c r="AC406" s="56"/>
      <c r="AD406" s="60"/>
      <c r="AE406" s="60"/>
      <c r="AF406" s="80"/>
      <c r="AG406" s="56"/>
      <c r="AH406" s="4"/>
      <c r="AI406" s="56"/>
      <c r="AJ406" s="109"/>
      <c r="AK406" s="56"/>
      <c r="AL406" s="56"/>
      <c r="AM406" s="56"/>
      <c r="AN406" s="56"/>
      <c r="AO406" s="82"/>
      <c r="AP406" s="82"/>
      <c r="AQ406" s="83"/>
      <c r="AR406" s="116"/>
      <c r="AS406" s="84"/>
      <c r="AT406" s="84"/>
      <c r="AU406" s="3"/>
      <c r="AV406" s="25">
        <v>473040000</v>
      </c>
      <c r="AW406" s="25">
        <v>788400000</v>
      </c>
      <c r="AX406" s="25">
        <v>1103760000</v>
      </c>
      <c r="AY406" s="25">
        <v>1419120000</v>
      </c>
      <c r="AZ406" s="25">
        <v>1734480000</v>
      </c>
      <c r="BA406" s="53"/>
      <c r="BB406" s="53"/>
      <c r="BC406" s="53"/>
      <c r="BD406" s="53"/>
      <c r="BE406" s="53"/>
      <c r="BF406" s="53"/>
      <c r="BG406" s="53"/>
      <c r="BH406" s="53"/>
      <c r="BI406" s="53"/>
      <c r="BJ406" s="53"/>
      <c r="BK406" s="53"/>
      <c r="BL406" s="53"/>
      <c r="BM406" s="53"/>
      <c r="BN406" s="53"/>
      <c r="BO406" s="53"/>
      <c r="BP406" s="53"/>
      <c r="BQ406" s="53"/>
      <c r="BR406" s="53"/>
      <c r="BS406" s="53"/>
      <c r="BT406" s="53"/>
      <c r="BU406" s="53"/>
      <c r="BV406" s="53"/>
      <c r="BW406" s="53"/>
      <c r="BX406" s="53"/>
      <c r="BY406" s="53"/>
      <c r="BZ406" s="53"/>
      <c r="CA406" s="53"/>
      <c r="CB406" s="53"/>
      <c r="CC406" s="53"/>
      <c r="CD406" s="53"/>
      <c r="CE406" s="53"/>
      <c r="CF406" s="53"/>
      <c r="CG406" s="53"/>
      <c r="CH406" s="53"/>
      <c r="CI406" s="53"/>
      <c r="CJ406" s="53"/>
      <c r="CK406" s="53"/>
      <c r="CL406" s="53"/>
      <c r="CM406" s="53"/>
      <c r="CN406" s="53"/>
      <c r="CO406" s="53"/>
      <c r="CP406" s="53"/>
      <c r="CQ406" s="53"/>
      <c r="CR406" s="1"/>
      <c r="CS406" s="1"/>
      <c r="CT406" s="1"/>
      <c r="CU406" s="1"/>
    </row>
    <row r="407" spans="1:99" s="13" customFormat="1" ht="12" customHeight="1" x14ac:dyDescent="0.2">
      <c r="A407" s="65">
        <v>43896</v>
      </c>
      <c r="B407" s="1" t="s">
        <v>362</v>
      </c>
      <c r="C407" s="1" t="s">
        <v>54</v>
      </c>
      <c r="D407" s="60">
        <v>1993</v>
      </c>
      <c r="E407" s="76">
        <v>1</v>
      </c>
      <c r="F407" s="60">
        <v>10</v>
      </c>
      <c r="G407" s="60">
        <v>10</v>
      </c>
      <c r="H407" s="60" t="s">
        <v>363</v>
      </c>
      <c r="I407" s="60" t="s">
        <v>330</v>
      </c>
      <c r="J407" s="60" t="s">
        <v>342</v>
      </c>
      <c r="K407" s="60">
        <f>IF(J407="syllables",1,IF(J407="trigrams",2,IF(J407="strings",3,IF(J407="visual array",4,IF(J407="characters",5,IF(J407="letters",6,IF(J407="free forms",7,IF(J407="odors",8,IF(J407="words",9,IF(J407="pictures",10,IF(J407="object pictures",11,IF(J407="faces",12,IF(J407="names",13,IF(J407="idioms",14,IF(J407="grades",15,IF(J407="syllable-digit pairs",16,IF(J407="trigram-word pairs",17,IF(J407="word-digit pairs",18,IF(J407="English-Swahili pairs",19,IF(J407="spatial position",20,IF(J407="word pairs",21,IF(J407="word triads",22,IF(J407="generated words",23,IF(J407="word definition pairs",24,IF(J407="math problems",25,IF(J407="famous faces",26,IF(J407="famous names",27,IF(J407="famous voices",28,IF(J407="television programs",29,IF(J407="race horses",30,IF(J407="new vocabulary",31,IF(J407="sentences",32,IF(J407="concepts",33,IF(J407="ad slides",34,IF(J407="scenes",35,IF(J407="famous scenes",36,IF(J407="poems",37,IF(J407="walk",38,IF(J407="faces and events",39,IF(J407="events and names",40,IF(J407="flashbulb",41,IF(J407="stories",42,IF(J407="course material",43,IF(J407="autobiographical",44,IF(J407="novels",45,IF(J407="public events",46,"99"))))))))))))))))))))))))))))))))))))))))))))))</f>
        <v>26</v>
      </c>
      <c r="L407" s="60">
        <f>IF(J407="syllables",1,IF(J407="trigrams",1,IF(J407="strings",1,IF(J407="visual array",1,IF(J407="characters",1,IF(J407="letters",1,IF(J407="free forms",1,IF(J407="odors",2,IF(J407="words",2,IF(J407="pictures",2,IF(J407="object pictures",2,IF(J407="faces",2,IF(J407="names",2,IF(J407="idioms","2",IF(J407="grades",2,IF(J407="syllable-digit pairs",3,IF(J407="trigram-word pairs",3,IF(J407="word-digit pairs",3,IF(J407="English-Swahili pairs",3,IF(J407="spatial position",3,IF(J407="word pairs",4,IF(J407="word triads",4,IF(J407="generated words",4,IF(J407="word definition pairs",4,IF(J407="math problems",4,IF(J407="famous faces",4,IF(J407="famous names",4,IF(J407="famous voices",4,IF(J407="television programs",4,IF(J407="race horses",4,IF(J407="new vocabulary",4,IF(J407="sentences",5,IF(J407="concepts",5,IF(J407="ad slides",5,IF(J407="scenes",5,IF(J407="famous scenes",5,IF(J407="poems",6,IF(J407="walk",6,IF(J407="faces and events",6,IF(J407="events and names",6,IF(J407="flashbulb",7,IF(J407="stories",7,IF(J407="course material",7,IF(J407="autobiographical",7,IF(J407="novels",7,IF(J407="public events",7,"99"))))))))))))))))))))))))))))))))))))))))))))))</f>
        <v>4</v>
      </c>
      <c r="M407" s="60">
        <v>1</v>
      </c>
      <c r="N407" s="61">
        <v>2</v>
      </c>
      <c r="O407" s="60">
        <v>0</v>
      </c>
      <c r="P407" s="60"/>
      <c r="Q407" s="60" t="s">
        <v>174</v>
      </c>
      <c r="R407" s="60">
        <f>IF(Q407="Free Recall",1,IF(Q407="Cued Recall",2,IF(Q407="Recognition",3,IF(Q407="Multiple Choice",4,IF(Q407="Savings",5,IF(Q407="Stem Completion",6,IF(Q407="Fragment Completion",7,IF(Q407="anagram solution",8,IF(Q407="Matching",9,IF(Q407="Problem Solving",10,"99"))))))))))</f>
        <v>1</v>
      </c>
      <c r="S407" s="60" t="s">
        <v>49</v>
      </c>
      <c r="T407" s="59" t="s">
        <v>581</v>
      </c>
      <c r="U407" s="60">
        <f>IF(T407="within",1,0)</f>
        <v>1</v>
      </c>
      <c r="V407" s="59">
        <v>120</v>
      </c>
      <c r="W407" s="60">
        <f>F407*V407</f>
        <v>1200</v>
      </c>
      <c r="X407" s="60">
        <v>5</v>
      </c>
      <c r="Y407" s="76">
        <f>AV406</f>
        <v>473040000</v>
      </c>
      <c r="Z407" s="60" t="s">
        <v>374</v>
      </c>
      <c r="AA407" s="60">
        <f>55*365*24*60*60</f>
        <v>1734480000</v>
      </c>
      <c r="AB407" s="60" t="str">
        <f>IF(AA407&lt;60,"1",IF(AA407&lt;=43200,"2",IF(AA407&lt;=777600,"3","4")))</f>
        <v>4</v>
      </c>
      <c r="AC407" s="56">
        <f>AVERAGE(AV406:DA406)</f>
        <v>1103760000</v>
      </c>
      <c r="AD407" s="60" t="str">
        <f>IF(AC407&lt;60,"1",IF(AC407&lt;=43200,"2",IF(AC407&lt;=777600,"3","4")))</f>
        <v>4</v>
      </c>
      <c r="AE407" s="76">
        <f>AA407-Y407</f>
        <v>1261440000</v>
      </c>
      <c r="AF407" s="80">
        <f>AV407</f>
        <v>0.6</v>
      </c>
      <c r="AG407" s="56">
        <f>((AW407-AV407)+(AX407-AW407)+(AY407-AX407)+(AZ407-AY407))/4</f>
        <v>-3.8392857142857145E-2</v>
      </c>
      <c r="AH407" s="4"/>
      <c r="AI407" s="56">
        <f>RSQ(AV407:AZ407,AV406:AZ406)</f>
        <v>0.83239417533835114</v>
      </c>
      <c r="AJ407" s="109">
        <f>SLOPE(AV407:AZ407,AV406:AZ406)</f>
        <v>-1.1180790290379331E-10</v>
      </c>
      <c r="AK407" s="56">
        <f>INTERCEPT(AV407:AZ407,AV406:AZ406)</f>
        <v>0.6236038961038961</v>
      </c>
      <c r="AL407" s="56">
        <f>INDEX(LINEST(LN(AV407:AZ407),LN(AV406:AZ406),TRUE,TRUE),3,1)</f>
        <v>0.93086369873664909</v>
      </c>
      <c r="AM407" s="56">
        <f>INDEX(LINEST(LN(AV407:AZ407),LN(AV406:AZ406)),1)</f>
        <v>-0.22062325043804715</v>
      </c>
      <c r="AN407" s="56">
        <f>EXP(INDEX(LINEST(LN(AV407:AZ407),LN(AV406:AZ406)),1,2))</f>
        <v>48.144336910804746</v>
      </c>
      <c r="AO407" s="82">
        <f>INDEX(LINEST((AV407:AZ407),LN(AV406:AZ406),TRUE,TRUE),3,1)</f>
        <v>0.92028868098670558</v>
      </c>
      <c r="AP407" s="82">
        <f>INDEX(LINEST((AV407:AZ407),LN(AV406:AZ406)),1)</f>
        <v>-0.11428386140071531</v>
      </c>
      <c r="AQ407" s="83">
        <f>INDEX(LINEST(LN(AV407:AZ407),SQRT(AV406:AZ406),TRUE,TRUE),3,1)</f>
        <v>0.89966408663973907</v>
      </c>
      <c r="AR407" s="116">
        <f>INDEX(LINEST(LN(AV407:AZ407),SQRT((AV406:AZ406))),1)</f>
        <v>-1.4184873571647181E-5</v>
      </c>
      <c r="AS407" s="84">
        <f>INDEX(LINEST(1/(AV407:AZ407),1/(SQRT(AV406:AZ406)),TRUE,TRUE),3,1)</f>
        <v>0.94664371714456985</v>
      </c>
      <c r="AT407" s="84">
        <f>INDEX(LINEST(1/(AV407:AZ407),1/SQRT(AV406:AZ406)),1)</f>
        <v>-25328.201474779664</v>
      </c>
      <c r="AU407" s="3"/>
      <c r="AV407" s="53">
        <v>0.6</v>
      </c>
      <c r="AW407" s="53">
        <v>0.5</v>
      </c>
      <c r="AX407" s="53">
        <v>0.5</v>
      </c>
      <c r="AY407" s="53">
        <v>0.45454545454545459</v>
      </c>
      <c r="AZ407" s="53">
        <v>0.4464285714285714</v>
      </c>
      <c r="BA407" s="53"/>
      <c r="BB407" s="53"/>
      <c r="BC407" s="53"/>
      <c r="BD407" s="53"/>
      <c r="BE407" s="53"/>
      <c r="BF407" s="53"/>
      <c r="BG407" s="53"/>
      <c r="BH407" s="53"/>
      <c r="BI407" s="53"/>
      <c r="BJ407" s="53"/>
      <c r="BK407" s="53"/>
      <c r="BL407" s="53"/>
      <c r="BM407" s="53"/>
      <c r="BN407" s="53"/>
      <c r="BO407" s="53"/>
      <c r="BP407" s="53"/>
      <c r="BQ407" s="53"/>
      <c r="BR407" s="53"/>
      <c r="BS407" s="53"/>
      <c r="BT407" s="53"/>
      <c r="BU407" s="53"/>
      <c r="BV407" s="53"/>
      <c r="BW407" s="53"/>
      <c r="BX407" s="53"/>
      <c r="BY407" s="53"/>
      <c r="BZ407" s="53"/>
      <c r="CA407" s="53"/>
      <c r="CB407" s="53"/>
      <c r="CC407" s="53"/>
      <c r="CD407" s="53"/>
      <c r="CE407" s="53"/>
      <c r="CF407" s="53"/>
      <c r="CG407" s="53"/>
      <c r="CH407" s="53"/>
      <c r="CI407" s="53"/>
      <c r="CJ407" s="53"/>
      <c r="CK407" s="53"/>
      <c r="CL407" s="53"/>
      <c r="CM407" s="53"/>
      <c r="CN407" s="53"/>
      <c r="CO407" s="53"/>
      <c r="CP407" s="53"/>
      <c r="CQ407" s="53"/>
      <c r="CR407" s="1"/>
      <c r="CS407" s="1"/>
      <c r="CT407" s="1"/>
      <c r="CU407" s="1"/>
    </row>
    <row r="408" spans="1:99" s="13" customFormat="1" ht="12" customHeight="1" x14ac:dyDescent="0.2">
      <c r="A408" s="65">
        <v>43896</v>
      </c>
      <c r="B408" s="1"/>
      <c r="C408" s="1"/>
      <c r="D408" s="60"/>
      <c r="E408" s="76"/>
      <c r="F408" s="60"/>
      <c r="G408" s="60"/>
      <c r="H408" s="60"/>
      <c r="I408" s="60"/>
      <c r="J408" s="60"/>
      <c r="K408" s="64"/>
      <c r="L408" s="64"/>
      <c r="M408" s="60"/>
      <c r="N408" s="59"/>
      <c r="O408" s="60"/>
      <c r="P408" s="60"/>
      <c r="Q408" s="60"/>
      <c r="R408" s="60"/>
      <c r="S408" s="60"/>
      <c r="T408" s="59"/>
      <c r="U408" s="60"/>
      <c r="V408" s="59"/>
      <c r="W408" s="60"/>
      <c r="X408" s="60"/>
      <c r="Y408" s="76"/>
      <c r="Z408" s="59"/>
      <c r="AA408" s="59"/>
      <c r="AB408" s="60"/>
      <c r="AC408" s="56"/>
      <c r="AD408" s="60"/>
      <c r="AE408" s="60"/>
      <c r="AF408" s="80"/>
      <c r="AG408" s="56"/>
      <c r="AH408" s="4"/>
      <c r="AI408" s="56"/>
      <c r="AJ408" s="109"/>
      <c r="AK408" s="56"/>
      <c r="AL408" s="56"/>
      <c r="AM408" s="56"/>
      <c r="AN408" s="56"/>
      <c r="AO408" s="82"/>
      <c r="AP408" s="82"/>
      <c r="AQ408" s="83"/>
      <c r="AR408" s="116"/>
      <c r="AS408" s="84"/>
      <c r="AT408" s="84"/>
      <c r="AU408" s="3"/>
      <c r="AV408" s="25">
        <v>157680000</v>
      </c>
      <c r="AW408" s="25">
        <v>315360000</v>
      </c>
      <c r="AX408" s="25">
        <v>473040000</v>
      </c>
      <c r="AY408" s="25">
        <v>630720000</v>
      </c>
      <c r="AZ408" s="25">
        <v>788400000</v>
      </c>
      <c r="BA408" s="25">
        <v>946080000</v>
      </c>
      <c r="BB408" s="25">
        <v>1103760000</v>
      </c>
      <c r="BC408" s="25">
        <v>1231440000</v>
      </c>
      <c r="BD408" s="25"/>
      <c r="BE408" s="25"/>
      <c r="BF408" s="53"/>
      <c r="BG408" s="53"/>
      <c r="BH408" s="53"/>
      <c r="BI408" s="53"/>
      <c r="BJ408" s="53"/>
      <c r="BK408" s="53"/>
      <c r="BL408" s="53"/>
      <c r="BM408" s="53"/>
      <c r="BN408" s="53"/>
      <c r="BO408" s="53"/>
      <c r="BP408" s="53"/>
      <c r="BQ408" s="53"/>
      <c r="BR408" s="53"/>
      <c r="BS408" s="53"/>
      <c r="BT408" s="53"/>
      <c r="BU408" s="53"/>
      <c r="BV408" s="53"/>
      <c r="BW408" s="53"/>
      <c r="BX408" s="53"/>
      <c r="BY408" s="53"/>
      <c r="BZ408" s="53"/>
      <c r="CA408" s="53"/>
      <c r="CB408" s="53"/>
      <c r="CC408" s="53"/>
      <c r="CD408" s="53"/>
      <c r="CE408" s="53"/>
      <c r="CF408" s="53"/>
      <c r="CG408" s="53"/>
      <c r="CH408" s="53"/>
      <c r="CI408" s="53"/>
      <c r="CJ408" s="53"/>
      <c r="CK408" s="53"/>
      <c r="CL408" s="53"/>
      <c r="CM408" s="53"/>
      <c r="CN408" s="53"/>
      <c r="CO408" s="53"/>
      <c r="CP408" s="53"/>
      <c r="CQ408" s="53"/>
      <c r="CR408" s="1"/>
      <c r="CS408" s="1"/>
      <c r="CT408" s="1"/>
      <c r="CU408" s="1"/>
    </row>
    <row r="409" spans="1:99" s="13" customFormat="1" ht="12" customHeight="1" x14ac:dyDescent="0.2">
      <c r="A409" s="65">
        <v>43896</v>
      </c>
      <c r="B409" s="1" t="s">
        <v>362</v>
      </c>
      <c r="C409" s="1" t="s">
        <v>54</v>
      </c>
      <c r="D409" s="60">
        <v>1993</v>
      </c>
      <c r="E409" s="76">
        <v>1</v>
      </c>
      <c r="F409" s="60">
        <v>10</v>
      </c>
      <c r="G409" s="60">
        <v>10</v>
      </c>
      <c r="H409" s="60" t="s">
        <v>363</v>
      </c>
      <c r="I409" s="60" t="s">
        <v>330</v>
      </c>
      <c r="J409" s="60" t="s">
        <v>340</v>
      </c>
      <c r="K409" s="60">
        <f>IF(J409="syllables",1,IF(J409="trigrams",2,IF(J409="strings",3,IF(J409="visual array",4,IF(J409="characters",5,IF(J409="letters",6,IF(J409="free forms",7,IF(J409="odors",8,IF(J409="words",9,IF(J409="pictures",10,IF(J409="object pictures",11,IF(J409="faces",12,IF(J409="names",13,IF(J409="idioms",14,IF(J409="grades",15,IF(J409="syllable-digit pairs",16,IF(J409="trigram-word pairs",17,IF(J409="word-digit pairs",18,IF(J409="English-Swahili pairs",19,IF(J409="spatial position",20,IF(J409="word pairs",21,IF(J409="word triads",22,IF(J409="generated words",23,IF(J409="word definition pairs",24,IF(J409="math problems",25,IF(J409="famous faces",26,IF(J409="famous names",27,IF(J409="famous voices",28,IF(J409="television programs",29,IF(J409="race horses",30,IF(J409="new vocabulary",31,IF(J409="sentences",32,IF(J409="concepts",33,IF(J409="ad slides",34,IF(J409="scenes",35,IF(J409="famous scenes",36,IF(J409="poems",37,IF(J409="walk",38,IF(J409="faces and events",39,IF(J409="events and names",40,IF(J409="flashbulb",41,IF(J409="stories",42,IF(J409="course material",43,IF(J409="autobiographical",44,IF(J409="novels",45,IF(J409="public events",46,"99"))))))))))))))))))))))))))))))))))))))))))))))</f>
        <v>46</v>
      </c>
      <c r="L409" s="60">
        <f>IF(J409="syllables",1,IF(J409="trigrams",1,IF(J409="strings",1,IF(J409="visual array",1,IF(J409="characters",1,IF(J409="letters",1,IF(J409="free forms",1,IF(J409="odors",2,IF(J409="words",2,IF(J409="pictures",2,IF(J409="object pictures",2,IF(J409="faces",2,IF(J409="names",2,IF(J409="idioms","2",IF(J409="grades",2,IF(J409="syllable-digit pairs",3,IF(J409="trigram-word pairs",3,IF(J409="word-digit pairs",3,IF(J409="English-Swahili pairs",3,IF(J409="spatial position",3,IF(J409="word pairs",4,IF(J409="word triads",4,IF(J409="generated words",4,IF(J409="word definition pairs",4,IF(J409="math problems",4,IF(J409="famous faces",4,IF(J409="famous names",4,IF(J409="famous voices",4,IF(J409="television programs",4,IF(J409="race horses",4,IF(J409="new vocabulary",4,IF(J409="sentences",5,IF(J409="concepts",5,IF(J409="ad slides",5,IF(J409="scenes",5,IF(J409="famous scenes",5,IF(J409="poems",6,IF(J409="walk",6,IF(J409="faces and events",6,IF(J409="events and names",6,IF(J409="flashbulb",7,IF(J409="stories",7,IF(J409="course material",7,IF(J409="autobiographical",7,IF(J409="novels",7,IF(J409="public events",7,"99"))))))))))))))))))))))))))))))))))))))))))))))</f>
        <v>7</v>
      </c>
      <c r="M409" s="60">
        <v>1</v>
      </c>
      <c r="N409" s="59">
        <v>4</v>
      </c>
      <c r="O409" s="60">
        <v>0</v>
      </c>
      <c r="P409" s="60"/>
      <c r="Q409" s="60" t="s">
        <v>174</v>
      </c>
      <c r="R409" s="60">
        <f>IF(Q409="Free Recall",1,IF(Q409="Cued Recall",2,IF(Q409="Recognition",3,IF(Q409="Multiple Choice",4,IF(Q409="Savings",5,IF(Q409="Stem Completion",6,IF(Q409="Fragment Completion",7,IF(Q409="anagram solution",8,IF(Q409="Matching",9,IF(Q409="Problem Solving",10,"99"))))))))))</f>
        <v>1</v>
      </c>
      <c r="S409" s="60" t="s">
        <v>49</v>
      </c>
      <c r="T409" s="59" t="s">
        <v>581</v>
      </c>
      <c r="U409" s="60">
        <f>IF(T409="within",1,0)</f>
        <v>1</v>
      </c>
      <c r="V409" s="59">
        <v>100</v>
      </c>
      <c r="W409" s="60">
        <f>F409*V409</f>
        <v>1000</v>
      </c>
      <c r="X409" s="60">
        <v>8</v>
      </c>
      <c r="Y409" s="76">
        <f>AV408</f>
        <v>157680000</v>
      </c>
      <c r="Z409" s="60" t="s">
        <v>209</v>
      </c>
      <c r="AA409" s="60">
        <f>50*365*24*60*60</f>
        <v>1576800000</v>
      </c>
      <c r="AB409" s="60" t="str">
        <f>IF(AA409&lt;60,"1",IF(AA409&lt;=43200,"2",IF(AA409&lt;=777600,"3","4")))</f>
        <v>4</v>
      </c>
      <c r="AC409" s="56">
        <f>AVERAGE(AV408:DA408)</f>
        <v>705810000</v>
      </c>
      <c r="AD409" s="60" t="str">
        <f>IF(AC409&lt;60,"1",IF(AC409&lt;=43200,"2",IF(AC409&lt;=777600,"3","4")))</f>
        <v>4</v>
      </c>
      <c r="AE409" s="76">
        <f>AA409-Y409</f>
        <v>1419120000</v>
      </c>
      <c r="AF409" s="80">
        <f>AV409</f>
        <v>0.42</v>
      </c>
      <c r="AG409" s="56">
        <f>((AW409-AV409)+(AX409-AW409)+(AY409-AX409)+(AZ409-AY409)+(BA409-AZ409)+(BB409-BA409)+(BC409-BB409))/7</f>
        <v>-4.8571428571428564E-2</v>
      </c>
      <c r="AH409" s="4"/>
      <c r="AI409" s="56">
        <f>RSQ(AV409:BC409,AV408:BC408)</f>
        <v>0.82068396011869882</v>
      </c>
      <c r="AJ409" s="109">
        <f>SLOPE(AV409:BC409,AV408:BC408)</f>
        <v>-4.3259923408756616E-10</v>
      </c>
      <c r="AK409" s="56">
        <f>INTERCEPT(AV409:BC409,AV408:BC408)</f>
        <v>0.56283286541134503</v>
      </c>
      <c r="AL409" s="56">
        <f>INDEX(LINEST(LN(AV409:BC409),LN(AV408:BC408),TRUE,TRUE),3,1)</f>
        <v>0.68279998850764589</v>
      </c>
      <c r="AM409" s="170"/>
      <c r="AN409" s="56">
        <f>EXP(INDEX(LINEST(LN(AV409:BC409),LN(AV408:BC408)),1,2))</f>
        <v>86036399.187634319</v>
      </c>
      <c r="AO409" s="82">
        <f>INDEX(LINEST((AV409:BC409),LN(AV408:BC408),TRUE,TRUE),3,1)</f>
        <v>0.71349479047984643</v>
      </c>
      <c r="AP409" s="82">
        <f>INDEX(LINEST((AV409:BC409),LN(AV408:BC408)),1)</f>
        <v>-0.21916609007319199</v>
      </c>
      <c r="AQ409" s="83">
        <f>INDEX(LINEST(LN(AV409:BC409),SQRT(AV408:BC408),TRUE,TRUE),3,1)</f>
        <v>0.76502371862232443</v>
      </c>
      <c r="AR409" s="116">
        <f>INDEX(LINEST(LN(AV409:BC409),SQRT((AV408:BC408))),1)</f>
        <v>-9.3383053240738651E-5</v>
      </c>
      <c r="AS409" s="84">
        <f>INDEX(LINEST(1/(AV409:BC409),1/(SQRT(AV408:BC408)),TRUE,TRUE),3,1)</f>
        <v>0.50988853155364722</v>
      </c>
      <c r="AT409" s="84">
        <f>INDEX(LINEST(1/(AV409:BC409),1/SQRT(AV408:BC408)),1)</f>
        <v>-206759.25988078752</v>
      </c>
      <c r="AU409" s="3"/>
      <c r="AV409" s="53">
        <v>0.42</v>
      </c>
      <c r="AW409" s="53">
        <v>0.5</v>
      </c>
      <c r="AX409" s="53">
        <v>0.44</v>
      </c>
      <c r="AY409" s="53">
        <v>0.32</v>
      </c>
      <c r="AZ409" s="53">
        <v>0.08</v>
      </c>
      <c r="BA409" s="53">
        <v>0.14000000000000001</v>
      </c>
      <c r="BB409" s="53">
        <v>0.08</v>
      </c>
      <c r="BC409" s="53">
        <v>0.08</v>
      </c>
      <c r="BD409" s="53"/>
      <c r="BE409" s="53"/>
      <c r="BF409" s="53"/>
      <c r="BG409" s="53"/>
      <c r="BH409" s="53"/>
      <c r="BI409" s="53"/>
      <c r="BJ409" s="53"/>
      <c r="BK409" s="53"/>
      <c r="BL409" s="53"/>
      <c r="BM409" s="53"/>
      <c r="BN409" s="53"/>
      <c r="BO409" s="53"/>
      <c r="BP409" s="53"/>
      <c r="BQ409" s="53"/>
      <c r="BR409" s="53"/>
      <c r="BS409" s="53"/>
      <c r="BT409" s="53"/>
      <c r="BU409" s="53"/>
      <c r="BV409" s="53"/>
      <c r="BW409" s="53"/>
      <c r="BX409" s="53"/>
      <c r="BY409" s="53"/>
      <c r="BZ409" s="53"/>
      <c r="CA409" s="53"/>
      <c r="CB409" s="53"/>
      <c r="CC409" s="53"/>
      <c r="CD409" s="53"/>
      <c r="CE409" s="53"/>
      <c r="CF409" s="53"/>
      <c r="CG409" s="53"/>
      <c r="CH409" s="53"/>
      <c r="CI409" s="53"/>
      <c r="CJ409" s="53"/>
      <c r="CK409" s="53"/>
      <c r="CL409" s="53"/>
      <c r="CM409" s="53"/>
      <c r="CN409" s="53"/>
      <c r="CO409" s="53"/>
      <c r="CP409" s="53"/>
      <c r="CQ409" s="53"/>
      <c r="CR409" s="1"/>
      <c r="CS409" s="1"/>
      <c r="CT409" s="1"/>
      <c r="CU409" s="1"/>
    </row>
    <row r="410" spans="1:99" s="13" customFormat="1" ht="12" customHeight="1" x14ac:dyDescent="0.2">
      <c r="A410" s="65">
        <v>43896</v>
      </c>
      <c r="B410" s="1"/>
      <c r="C410" s="1"/>
      <c r="D410" s="60"/>
      <c r="E410" s="76"/>
      <c r="F410" s="60"/>
      <c r="G410" s="60"/>
      <c r="H410" s="60"/>
      <c r="I410" s="60"/>
      <c r="J410" s="60"/>
      <c r="K410" s="64"/>
      <c r="L410" s="64"/>
      <c r="M410" s="60"/>
      <c r="N410" s="59"/>
      <c r="O410" s="60"/>
      <c r="P410" s="60"/>
      <c r="Q410" s="60"/>
      <c r="R410" s="60"/>
      <c r="S410" s="60"/>
      <c r="T410" s="59"/>
      <c r="U410" s="60"/>
      <c r="V410" s="59"/>
      <c r="W410" s="60"/>
      <c r="X410" s="60"/>
      <c r="Y410" s="76"/>
      <c r="Z410" s="59"/>
      <c r="AA410" s="59"/>
      <c r="AB410" s="60"/>
      <c r="AC410" s="56"/>
      <c r="AD410" s="60"/>
      <c r="AE410" s="60"/>
      <c r="AF410" s="80"/>
      <c r="AG410" s="56"/>
      <c r="AH410" s="4"/>
      <c r="AI410" s="56"/>
      <c r="AJ410" s="109"/>
      <c r="AK410" s="56"/>
      <c r="AL410" s="56"/>
      <c r="AM410" s="56"/>
      <c r="AN410" s="56"/>
      <c r="AO410" s="82"/>
      <c r="AP410" s="82"/>
      <c r="AQ410" s="83"/>
      <c r="AR410" s="116"/>
      <c r="AS410" s="84"/>
      <c r="AT410" s="84"/>
      <c r="AU410" s="3"/>
      <c r="AV410" s="25">
        <v>157680000</v>
      </c>
      <c r="AW410" s="25">
        <v>315360000</v>
      </c>
      <c r="AX410" s="25">
        <v>473040000</v>
      </c>
      <c r="AY410" s="25">
        <v>630720000</v>
      </c>
      <c r="AZ410" s="25">
        <v>788400000</v>
      </c>
      <c r="BA410" s="25">
        <v>946080000</v>
      </c>
      <c r="BB410" s="25">
        <v>1103760000</v>
      </c>
      <c r="BC410" s="25">
        <v>1231440000</v>
      </c>
      <c r="BD410" s="25"/>
      <c r="BE410" s="25"/>
      <c r="BF410" s="53"/>
      <c r="BG410" s="53"/>
      <c r="BH410" s="53"/>
      <c r="BI410" s="53"/>
      <c r="BJ410" s="53"/>
      <c r="BK410" s="53"/>
      <c r="BL410" s="53"/>
      <c r="BM410" s="53"/>
      <c r="BN410" s="53"/>
      <c r="BO410" s="53"/>
      <c r="BP410" s="53"/>
      <c r="BQ410" s="53"/>
      <c r="BR410" s="53"/>
      <c r="BS410" s="53"/>
      <c r="BT410" s="53"/>
      <c r="BU410" s="53"/>
      <c r="BV410" s="53"/>
      <c r="BW410" s="53"/>
      <c r="BX410" s="53"/>
      <c r="BY410" s="53"/>
      <c r="BZ410" s="53"/>
      <c r="CA410" s="53"/>
      <c r="CB410" s="53"/>
      <c r="CC410" s="53"/>
      <c r="CD410" s="53"/>
      <c r="CE410" s="53"/>
      <c r="CF410" s="53"/>
      <c r="CG410" s="53"/>
      <c r="CH410" s="53"/>
      <c r="CI410" s="53"/>
      <c r="CJ410" s="53"/>
      <c r="CK410" s="53"/>
      <c r="CL410" s="53"/>
      <c r="CM410" s="53"/>
      <c r="CN410" s="53"/>
      <c r="CO410" s="53"/>
      <c r="CP410" s="53"/>
      <c r="CQ410" s="53"/>
      <c r="CR410" s="1"/>
      <c r="CS410" s="1"/>
      <c r="CT410" s="1"/>
      <c r="CU410" s="1"/>
    </row>
    <row r="411" spans="1:99" s="13" customFormat="1" ht="12" customHeight="1" x14ac:dyDescent="0.2">
      <c r="A411" s="65">
        <v>43896</v>
      </c>
      <c r="B411" s="1" t="s">
        <v>362</v>
      </c>
      <c r="C411" s="1" t="s">
        <v>54</v>
      </c>
      <c r="D411" s="60">
        <v>1993</v>
      </c>
      <c r="E411" s="76">
        <v>1</v>
      </c>
      <c r="F411" s="60">
        <v>10</v>
      </c>
      <c r="G411" s="60">
        <v>10</v>
      </c>
      <c r="H411" s="60" t="s">
        <v>363</v>
      </c>
      <c r="I411" s="60" t="s">
        <v>330</v>
      </c>
      <c r="J411" s="60" t="s">
        <v>340</v>
      </c>
      <c r="K411" s="60">
        <f>IF(J411="syllables",1,IF(J411="trigrams",2,IF(J411="strings",3,IF(J411="visual array",4,IF(J411="characters",5,IF(J411="letters",6,IF(J411="free forms",7,IF(J411="odors",8,IF(J411="words",9,IF(J411="pictures",10,IF(J411="object pictures",11,IF(J411="faces",12,IF(J411="names",13,IF(J411="idioms",14,IF(J411="grades",15,IF(J411="syllable-digit pairs",16,IF(J411="trigram-word pairs",17,IF(J411="word-digit pairs",18,IF(J411="English-Swahili pairs",19,IF(J411="spatial position",20,IF(J411="word pairs",21,IF(J411="word triads",22,IF(J411="generated words",23,IF(J411="word definition pairs",24,IF(J411="math problems",25,IF(J411="famous faces",26,IF(J411="famous names",27,IF(J411="famous voices",28,IF(J411="television programs",29,IF(J411="race horses",30,IF(J411="new vocabulary",31,IF(J411="sentences",32,IF(J411="concepts",33,IF(J411="ad slides",34,IF(J411="scenes",35,IF(J411="famous scenes",36,IF(J411="poems",37,IF(J411="walk",38,IF(J411="faces and events",39,IF(J411="events and names",40,IF(J411="flashbulb",41,IF(J411="stories",42,IF(J411="course material",43,IF(J411="autobiographical",44,IF(J411="novels",45,IF(J411="public events",46,"99"))))))))))))))))))))))))))))))))))))))))))))))</f>
        <v>46</v>
      </c>
      <c r="L411" s="60">
        <f>IF(J411="syllables",1,IF(J411="trigrams",1,IF(J411="strings",1,IF(J411="visual array",1,IF(J411="characters",1,IF(J411="letters",1,IF(J411="free forms",1,IF(J411="odors",2,IF(J411="words",2,IF(J411="pictures",2,IF(J411="object pictures",2,IF(J411="faces",2,IF(J411="names",2,IF(J411="idioms","2",IF(J411="grades",2,IF(J411="syllable-digit pairs",3,IF(J411="trigram-word pairs",3,IF(J411="word-digit pairs",3,IF(J411="English-Swahili pairs",3,IF(J411="spatial position",3,IF(J411="word pairs",4,IF(J411="word triads",4,IF(J411="generated words",4,IF(J411="word definition pairs",4,IF(J411="math problems",4,IF(J411="famous faces",4,IF(J411="famous names",4,IF(J411="famous voices",4,IF(J411="television programs",4,IF(J411="race horses",4,IF(J411="new vocabulary",4,IF(J411="sentences",5,IF(J411="concepts",5,IF(J411="ad slides",5,IF(J411="scenes",5,IF(J411="famous scenes",5,IF(J411="poems",6,IF(J411="walk",6,IF(J411="faces and events",6,IF(J411="events and names",6,IF(J411="flashbulb",7,IF(J411="stories",7,IF(J411="course material",7,IF(J411="autobiographical",7,IF(J411="novels",7,IF(J411="public events",7,"99"))))))))))))))))))))))))))))))))))))))))))))))</f>
        <v>7</v>
      </c>
      <c r="M411" s="60">
        <v>1</v>
      </c>
      <c r="N411" s="59">
        <v>4</v>
      </c>
      <c r="O411" s="60">
        <v>0</v>
      </c>
      <c r="P411" s="60"/>
      <c r="Q411" s="60" t="s">
        <v>34</v>
      </c>
      <c r="R411" s="60">
        <f>IF(Q411="Free Recall",1,IF(Q411="Cued Recall",2,IF(Q411="Recognition",3,IF(Q411="Multiple Choice",4,IF(Q411="Savings",5,IF(Q411="Stem Completion",6,IF(Q411="Fragment Completion",7,IF(Q411="anagram solution",8,IF(Q411="Matching",9,IF(Q411="Problem Solving",10,"99"))))))))))</f>
        <v>3</v>
      </c>
      <c r="S411" s="60" t="s">
        <v>15</v>
      </c>
      <c r="T411" s="59" t="s">
        <v>581</v>
      </c>
      <c r="U411" s="60">
        <f>IF(T411="within",1,0)</f>
        <v>1</v>
      </c>
      <c r="V411" s="59">
        <v>100</v>
      </c>
      <c r="W411" s="60">
        <f>F411*V411</f>
        <v>1000</v>
      </c>
      <c r="X411" s="60">
        <v>8</v>
      </c>
      <c r="Y411" s="76">
        <f>AV410</f>
        <v>157680000</v>
      </c>
      <c r="Z411" s="60" t="s">
        <v>209</v>
      </c>
      <c r="AA411" s="60">
        <f>50*365*24*60*60</f>
        <v>1576800000</v>
      </c>
      <c r="AB411" s="60" t="str">
        <f>IF(AA411&lt;60,"1",IF(AA411&lt;=43200,"2",IF(AA411&lt;=777600,"3","4")))</f>
        <v>4</v>
      </c>
      <c r="AC411" s="56">
        <f>AVERAGE(AV410:DA410)</f>
        <v>705810000</v>
      </c>
      <c r="AD411" s="60" t="str">
        <f>IF(AC411&lt;60,"1",IF(AC411&lt;=43200,"2",IF(AC411&lt;=777600,"3","4")))</f>
        <v>4</v>
      </c>
      <c r="AE411" s="76">
        <f>AA411-Y411</f>
        <v>1419120000</v>
      </c>
      <c r="AF411" s="80">
        <f>AV411</f>
        <v>0.92</v>
      </c>
      <c r="AG411" s="56">
        <f>((AW411-AV411)+(AX411-AW411)+(AY411-AX411)+(AZ411-AY411)+(BA411-AZ411)+(BB411-BA411)+(BC411-BB411))/7</f>
        <v>-4.2857142857142864E-2</v>
      </c>
      <c r="AH411" s="4"/>
      <c r="AI411" s="56">
        <f>RSQ(AV411:BC411,AV410:BC410)</f>
        <v>0.81418512809595978</v>
      </c>
      <c r="AJ411" s="109">
        <f>SLOPE(AV411:BC411,AV410:BC410)</f>
        <v>-2.6297317012070946E-10</v>
      </c>
      <c r="AK411" s="56">
        <f>INTERCEPT(AV411:BC411,AV410:BC410)</f>
        <v>0.92310909320289802</v>
      </c>
      <c r="AL411" s="56">
        <f>INDEX(LINEST(LN(AV411:BC411),LN(AV410:BC410),TRUE,TRUE),3,1)</f>
        <v>0.88636152948847347</v>
      </c>
      <c r="AM411" s="56">
        <f>INDEX(LINEST(LN(AV411:BC411),LN(AV410:BC410)),1)</f>
        <v>-0.19471488254221</v>
      </c>
      <c r="AN411" s="56">
        <f>EXP(INDEX(LINEST(LN(AV411:BC411),LN(AV410:BC410)),1,2))</f>
        <v>37.303669756502572</v>
      </c>
      <c r="AO411" s="82">
        <f>INDEX(LINEST((AV411:BC411),LN(AV410:BC410),TRUE,TRUE),3,1)</f>
        <v>0.89687184842382106</v>
      </c>
      <c r="AP411" s="82">
        <f>INDEX(LINEST((AV411:BC411),LN(AV410:BC410)),1)</f>
        <v>-0.14996683932472496</v>
      </c>
      <c r="AQ411" s="83">
        <f>INDEX(LINEST(LN(AV411:BC411),SQRT(AV410:BC410),TRUE,TRUE),3,1)</f>
        <v>0.87332893937953704</v>
      </c>
      <c r="AR411" s="116">
        <f>INDEX(LINEST(LN(AV411:BC411),SQRT((AV410:BC410))),1)</f>
        <v>-1.7304400926465803E-5</v>
      </c>
      <c r="AS411" s="84">
        <f>INDEX(LINEST(1/(AV411:BC411),1/(SQRT(AV410:BC410)),TRUE,TRUE),3,1)</f>
        <v>0.82918349851966566</v>
      </c>
      <c r="AT411" s="84">
        <f>INDEX(LINEST(1/(AV411:BC411),1/SQRT(AV410:BC410)),1)</f>
        <v>-10112.026072348108</v>
      </c>
      <c r="AU411" s="3"/>
      <c r="AV411" s="53">
        <v>0.92</v>
      </c>
      <c r="AW411" s="53">
        <v>0.88</v>
      </c>
      <c r="AX411" s="53">
        <v>0.78</v>
      </c>
      <c r="AY411" s="53">
        <v>0.66</v>
      </c>
      <c r="AZ411" s="53">
        <v>0.68</v>
      </c>
      <c r="BA411" s="53">
        <v>0.7</v>
      </c>
      <c r="BB411" s="53">
        <v>0.66</v>
      </c>
      <c r="BC411" s="53">
        <v>0.62</v>
      </c>
      <c r="BD411" s="53"/>
      <c r="BE411" s="53"/>
      <c r="BF411" s="53"/>
      <c r="BG411" s="53"/>
      <c r="BH411" s="53"/>
      <c r="BI411" s="53"/>
      <c r="BJ411" s="53"/>
      <c r="BK411" s="53"/>
      <c r="BL411" s="53"/>
      <c r="BM411" s="53"/>
      <c r="BN411" s="53"/>
      <c r="BO411" s="53"/>
      <c r="BP411" s="53"/>
      <c r="BQ411" s="53"/>
      <c r="BR411" s="53"/>
      <c r="BS411" s="53"/>
      <c r="BT411" s="53"/>
      <c r="BU411" s="53"/>
      <c r="BV411" s="53"/>
      <c r="BW411" s="53"/>
      <c r="BX411" s="53"/>
      <c r="BY411" s="53"/>
      <c r="BZ411" s="53"/>
      <c r="CA411" s="53"/>
      <c r="CB411" s="53"/>
      <c r="CC411" s="53"/>
      <c r="CD411" s="53"/>
      <c r="CE411" s="53"/>
      <c r="CF411" s="53"/>
      <c r="CG411" s="53"/>
      <c r="CH411" s="53"/>
      <c r="CI411" s="53"/>
      <c r="CJ411" s="53"/>
      <c r="CK411" s="53"/>
      <c r="CL411" s="53"/>
      <c r="CM411" s="53"/>
      <c r="CN411" s="53"/>
      <c r="CO411" s="53"/>
      <c r="CP411" s="53"/>
      <c r="CQ411" s="53"/>
      <c r="CR411" s="1"/>
      <c r="CS411" s="1"/>
      <c r="CT411" s="1"/>
      <c r="CU411" s="1"/>
    </row>
    <row r="412" spans="1:99" s="13" customFormat="1" ht="12" customHeight="1" x14ac:dyDescent="0.2">
      <c r="A412" s="65">
        <v>43896</v>
      </c>
      <c r="B412" s="1"/>
      <c r="C412" s="1"/>
      <c r="D412" s="60"/>
      <c r="E412" s="76"/>
      <c r="F412" s="60"/>
      <c r="G412" s="60"/>
      <c r="H412" s="60"/>
      <c r="I412" s="60"/>
      <c r="J412" s="60"/>
      <c r="K412" s="64"/>
      <c r="L412" s="64"/>
      <c r="M412" s="60"/>
      <c r="N412" s="59"/>
      <c r="O412" s="60"/>
      <c r="P412" s="60"/>
      <c r="Q412" s="60"/>
      <c r="R412" s="60"/>
      <c r="S412" s="60"/>
      <c r="T412" s="59"/>
      <c r="U412" s="60"/>
      <c r="V412" s="59"/>
      <c r="W412" s="60"/>
      <c r="X412" s="60"/>
      <c r="Y412" s="76"/>
      <c r="Z412" s="59"/>
      <c r="AA412" s="59"/>
      <c r="AB412" s="60"/>
      <c r="AC412" s="56"/>
      <c r="AD412" s="60"/>
      <c r="AE412" s="60"/>
      <c r="AF412" s="80"/>
      <c r="AG412" s="56"/>
      <c r="AH412" s="4"/>
      <c r="AI412" s="56"/>
      <c r="AJ412" s="109"/>
      <c r="AK412" s="56"/>
      <c r="AL412" s="56"/>
      <c r="AM412" s="56"/>
      <c r="AN412" s="56"/>
      <c r="AO412" s="82"/>
      <c r="AP412" s="82"/>
      <c r="AQ412" s="83"/>
      <c r="AR412" s="116"/>
      <c r="AS412" s="84"/>
      <c r="AT412" s="84"/>
      <c r="AU412" s="3"/>
      <c r="AV412" s="25">
        <v>157680000</v>
      </c>
      <c r="AW412" s="25">
        <v>315360000</v>
      </c>
      <c r="AX412" s="25">
        <v>473040000</v>
      </c>
      <c r="AY412" s="25">
        <v>630720000</v>
      </c>
      <c r="AZ412" s="25">
        <v>788400000</v>
      </c>
      <c r="BA412" s="25">
        <v>946080000</v>
      </c>
      <c r="BB412" s="25">
        <v>1103760000</v>
      </c>
      <c r="BC412" s="25">
        <v>1231440000</v>
      </c>
      <c r="BD412" s="25">
        <v>1419120000</v>
      </c>
      <c r="BE412" s="25">
        <v>1576800000</v>
      </c>
      <c r="BF412" s="53"/>
      <c r="BG412" s="53"/>
      <c r="BH412" s="53"/>
      <c r="BI412" s="53"/>
      <c r="BJ412" s="53"/>
      <c r="BK412" s="53"/>
      <c r="BL412" s="53"/>
      <c r="BM412" s="53"/>
      <c r="BN412" s="53"/>
      <c r="BO412" s="53"/>
      <c r="BP412" s="53"/>
      <c r="BQ412" s="53"/>
      <c r="BR412" s="53"/>
      <c r="BS412" s="53"/>
      <c r="BT412" s="53"/>
      <c r="BU412" s="53"/>
      <c r="BV412" s="53"/>
      <c r="BW412" s="53"/>
      <c r="BX412" s="53"/>
      <c r="BY412" s="53"/>
      <c r="BZ412" s="53"/>
      <c r="CA412" s="53"/>
      <c r="CB412" s="53"/>
      <c r="CC412" s="53"/>
      <c r="CD412" s="53"/>
      <c r="CE412" s="53"/>
      <c r="CF412" s="53"/>
      <c r="CG412" s="53"/>
      <c r="CH412" s="53"/>
      <c r="CI412" s="53"/>
      <c r="CJ412" s="53"/>
      <c r="CK412" s="53"/>
      <c r="CL412" s="53"/>
      <c r="CM412" s="53"/>
      <c r="CN412" s="53"/>
      <c r="CO412" s="53"/>
      <c r="CP412" s="53"/>
      <c r="CQ412" s="53"/>
      <c r="CR412" s="1"/>
      <c r="CS412" s="1"/>
      <c r="CT412" s="1"/>
      <c r="CU412" s="1"/>
    </row>
    <row r="413" spans="1:99" s="13" customFormat="1" ht="12" customHeight="1" x14ac:dyDescent="0.2">
      <c r="A413" s="65">
        <v>43896</v>
      </c>
      <c r="B413" s="1" t="s">
        <v>362</v>
      </c>
      <c r="C413" s="1" t="s">
        <v>54</v>
      </c>
      <c r="D413" s="60">
        <v>1993</v>
      </c>
      <c r="E413" s="76">
        <v>1</v>
      </c>
      <c r="F413" s="60">
        <v>9</v>
      </c>
      <c r="G413" s="60">
        <v>9</v>
      </c>
      <c r="H413" s="60" t="s">
        <v>363</v>
      </c>
      <c r="I413" s="60" t="s">
        <v>330</v>
      </c>
      <c r="J413" s="60" t="s">
        <v>340</v>
      </c>
      <c r="K413" s="60">
        <f>IF(J413="syllables",1,IF(J413="trigrams",2,IF(J413="strings",3,IF(J413="visual array",4,IF(J413="characters",5,IF(J413="letters",6,IF(J413="free forms",7,IF(J413="odors",8,IF(J413="words",9,IF(J413="pictures",10,IF(J413="object pictures",11,IF(J413="faces",12,IF(J413="names",13,IF(J413="idioms",14,IF(J413="grades",15,IF(J413="syllable-digit pairs",16,IF(J413="trigram-word pairs",17,IF(J413="word-digit pairs",18,IF(J413="English-Swahili pairs",19,IF(J413="spatial position",20,IF(J413="word pairs",21,IF(J413="word triads",22,IF(J413="generated words",23,IF(J413="word definition pairs",24,IF(J413="math problems",25,IF(J413="famous faces",26,IF(J413="famous names",27,IF(J413="famous voices",28,IF(J413="television programs",29,IF(J413="race horses",30,IF(J413="new vocabulary",31,IF(J413="sentences",32,IF(J413="concepts",33,IF(J413="ad slides",34,IF(J413="scenes",35,IF(J413="famous scenes",36,IF(J413="poems",37,IF(J413="walk",38,IF(J413="faces and events",39,IF(J413="events and names",40,IF(J413="flashbulb",41,IF(J413="stories",42,IF(J413="course material",43,IF(J413="autobiographical",44,IF(J413="novels",45,IF(J413="public events",46,"99"))))))))))))))))))))))))))))))))))))))))))))))</f>
        <v>46</v>
      </c>
      <c r="L413" s="60">
        <f>IF(J413="syllables",1,IF(J413="trigrams",1,IF(J413="strings",1,IF(J413="visual array",1,IF(J413="characters",1,IF(J413="letters",1,IF(J413="free forms",1,IF(J413="odors",2,IF(J413="words",2,IF(J413="pictures",2,IF(J413="object pictures",2,IF(J413="faces",2,IF(J413="names",2,IF(J413="idioms","2",IF(J413="grades",2,IF(J413="syllable-digit pairs",3,IF(J413="trigram-word pairs",3,IF(J413="word-digit pairs",3,IF(J413="English-Swahili pairs",3,IF(J413="spatial position",3,IF(J413="word pairs",4,IF(J413="word triads",4,IF(J413="generated words",4,IF(J413="word definition pairs",4,IF(J413="math problems",4,IF(J413="famous faces",4,IF(J413="famous names",4,IF(J413="famous voices",4,IF(J413="television programs",4,IF(J413="race horses",4,IF(J413="new vocabulary",4,IF(J413="sentences",5,IF(J413="concepts",5,IF(J413="ad slides",5,IF(J413="scenes",5,IF(J413="famous scenes",5,IF(J413="poems",6,IF(J413="walk",6,IF(J413="faces and events",6,IF(J413="events and names",6,IF(J413="flashbulb",7,IF(J413="stories",7,IF(J413="course material",7,IF(J413="autobiographical",7,IF(J413="novels",7,IF(J413="public events",7,"99"))))))))))))))))))))))))))))))))))))))))))))))</f>
        <v>7</v>
      </c>
      <c r="M413" s="60">
        <v>1</v>
      </c>
      <c r="N413" s="59">
        <v>4</v>
      </c>
      <c r="O413" s="60">
        <v>0</v>
      </c>
      <c r="P413" s="60"/>
      <c r="Q413" s="60" t="s">
        <v>34</v>
      </c>
      <c r="R413" s="60">
        <f>IF(Q413="Free Recall",1,IF(Q413="Cued Recall",2,IF(Q413="Recognition",3,IF(Q413="Multiple Choice",4,IF(Q413="Savings",5,IF(Q413="Stem Completion",6,IF(Q413="Fragment Completion",7,IF(Q413="anagram solution",8,IF(Q413="Matching",9,IF(Q413="Problem Solving",10,"99"))))))))))</f>
        <v>3</v>
      </c>
      <c r="S413" s="60" t="s">
        <v>15</v>
      </c>
      <c r="T413" s="59" t="s">
        <v>581</v>
      </c>
      <c r="U413" s="60">
        <f>IF(T413="within",1,0)</f>
        <v>1</v>
      </c>
      <c r="V413" s="59">
        <v>100</v>
      </c>
      <c r="W413" s="60">
        <f>F413*V413</f>
        <v>900</v>
      </c>
      <c r="X413" s="60">
        <v>10</v>
      </c>
      <c r="Y413" s="76">
        <f>AV412</f>
        <v>157680000</v>
      </c>
      <c r="Z413" s="60" t="s">
        <v>209</v>
      </c>
      <c r="AA413" s="60">
        <f>50*365*24*60*60</f>
        <v>1576800000</v>
      </c>
      <c r="AB413" s="60" t="str">
        <f>IF(AA413&lt;60,"1",IF(AA413&lt;=43200,"2",IF(AA413&lt;=777600,"3","4")))</f>
        <v>4</v>
      </c>
      <c r="AC413" s="56">
        <f>AVERAGE(AV412:DA412)</f>
        <v>864240000</v>
      </c>
      <c r="AD413" s="60" t="str">
        <f>IF(AC413&lt;60,"1",IF(AC413&lt;=43200,"2",IF(AC413&lt;=777600,"3","4")))</f>
        <v>4</v>
      </c>
      <c r="AE413" s="76">
        <f>AA413-Y413</f>
        <v>1419120000</v>
      </c>
      <c r="AF413" s="80">
        <f>AV413</f>
        <v>0.77500000000000002</v>
      </c>
      <c r="AG413" s="56">
        <f>((AW413-AV413)+(AX413-AW413)+(AY413-AX413)+(AZ413-AY413)+(BA413-AZ413)+(BB413-BA413)+(BC413-BB413)+(BD413-BC413)+(BE413-BD413))/9</f>
        <v>-5.8333333333333334E-2</v>
      </c>
      <c r="AH413" s="4"/>
      <c r="AI413" s="56">
        <f>RSQ(AV413:BE413,AV412:BE412)</f>
        <v>0.83740106260198222</v>
      </c>
      <c r="AJ413" s="109">
        <f>SLOPE(AV413:BE413,AV412:BE412)</f>
        <v>-3.8300118303606925E-10</v>
      </c>
      <c r="AK413" s="56">
        <f>INTERCEPT(AV413:BE413,AV412:BE412)</f>
        <v>0.84350494242709262</v>
      </c>
      <c r="AL413" s="56">
        <f>INDEX(LINEST(LN(AV413:BE413),LN(AV412:BE412),TRUE,TRUE),3,1)</f>
        <v>0.70885393239827765</v>
      </c>
      <c r="AM413" s="56">
        <f>INDEX(LINEST(LN(AV413:BE413),LN(AV412:BE412)),1)</f>
        <v>-0.48077626414542657</v>
      </c>
      <c r="AN413" s="56">
        <f>EXP(INDEX(LINEST(LN(AV413:BE413),LN(AV412:BE412)),1,2))</f>
        <v>8581.4804501054059</v>
      </c>
      <c r="AO413" s="82">
        <f>INDEX(LINEST((AV413:BE413),LN(AV412:BE412),TRUE,TRUE),3,1)</f>
        <v>0.77587502470619663</v>
      </c>
      <c r="AP413" s="82">
        <f>INDEX(LINEST((AV413:BE413),LN(AV412:BE412)),1)</f>
        <v>-0.23942619591612307</v>
      </c>
      <c r="AQ413" s="83">
        <f>INDEX(LINEST(LN(AV413:BE413),SQRT(AV412:BE412),TRUE,TRUE),3,1)</f>
        <v>0.79179945267907725</v>
      </c>
      <c r="AR413" s="116">
        <f>INDEX(LINEST(LN(AV413:BE413),SQRT((AV412:BE412))),1)</f>
        <v>-4.1928308412294552E-5</v>
      </c>
      <c r="AS413" s="84">
        <f>INDEX(LINEST(1/(AV413:BE413),1/(SQRT(AV412:BE412)),TRUE,TRUE),3,1)</f>
        <v>0.50049154714371002</v>
      </c>
      <c r="AT413" s="84">
        <f>INDEX(LINEST(1/(AV413:BE413),1/SQRT(AV412:BE412)),1)</f>
        <v>-41007.78207419339</v>
      </c>
      <c r="AU413" s="3"/>
      <c r="AV413" s="53">
        <v>0.77500000000000002</v>
      </c>
      <c r="AW413" s="53">
        <v>0.77500000000000002</v>
      </c>
      <c r="AX413" s="53">
        <v>0.72499999999999998</v>
      </c>
      <c r="AY413" s="53">
        <v>0.42499999999999999</v>
      </c>
      <c r="AZ413" s="53">
        <v>0.55000000000000004</v>
      </c>
      <c r="BA413" s="53">
        <v>0.47499999999999998</v>
      </c>
      <c r="BB413" s="53">
        <v>0.55000000000000004</v>
      </c>
      <c r="BC413" s="53">
        <v>0.32500000000000001</v>
      </c>
      <c r="BD413" s="53">
        <v>0.27500000000000002</v>
      </c>
      <c r="BE413" s="53">
        <v>0.25</v>
      </c>
      <c r="BF413" s="53"/>
      <c r="BG413" s="53"/>
      <c r="BH413" s="53"/>
      <c r="BI413" s="53"/>
      <c r="BJ413" s="53"/>
      <c r="BK413" s="53"/>
      <c r="BL413" s="53"/>
      <c r="BM413" s="53"/>
      <c r="BN413" s="53"/>
      <c r="BO413" s="53"/>
      <c r="BP413" s="53"/>
      <c r="BQ413" s="53"/>
      <c r="BR413" s="53"/>
      <c r="BS413" s="53"/>
      <c r="BT413" s="53"/>
      <c r="BU413" s="53"/>
      <c r="BV413" s="53"/>
      <c r="BW413" s="53"/>
      <c r="BX413" s="53"/>
      <c r="BY413" s="53"/>
      <c r="BZ413" s="53"/>
      <c r="CA413" s="53"/>
      <c r="CB413" s="53"/>
      <c r="CC413" s="53"/>
      <c r="CD413" s="53"/>
      <c r="CE413" s="53"/>
      <c r="CF413" s="53"/>
      <c r="CG413" s="53"/>
      <c r="CH413" s="53"/>
      <c r="CI413" s="53"/>
      <c r="CJ413" s="53"/>
      <c r="CK413" s="53"/>
      <c r="CL413" s="53"/>
      <c r="CM413" s="53"/>
      <c r="CN413" s="53"/>
      <c r="CO413" s="53"/>
      <c r="CP413" s="53"/>
      <c r="CQ413" s="53"/>
      <c r="CR413" s="1"/>
      <c r="CS413" s="1"/>
      <c r="CT413" s="1"/>
      <c r="CU413" s="1"/>
    </row>
    <row r="414" spans="1:99" s="13" customFormat="1" ht="12" customHeight="1" x14ac:dyDescent="0.2">
      <c r="A414" s="65">
        <v>43509</v>
      </c>
      <c r="B414" s="1"/>
      <c r="C414" s="1"/>
      <c r="D414" s="60"/>
      <c r="E414" s="76"/>
      <c r="F414" s="60"/>
      <c r="G414" s="60"/>
      <c r="H414" s="60"/>
      <c r="I414" s="60"/>
      <c r="J414" s="60"/>
      <c r="K414" s="64"/>
      <c r="L414" s="64"/>
      <c r="M414" s="60"/>
      <c r="N414" s="60"/>
      <c r="O414" s="60"/>
      <c r="P414" s="60"/>
      <c r="Q414" s="60"/>
      <c r="R414" s="60"/>
      <c r="S414" s="60"/>
      <c r="T414" s="59"/>
      <c r="U414" s="60"/>
      <c r="V414" s="60"/>
      <c r="W414" s="60"/>
      <c r="X414" s="60"/>
      <c r="Y414" s="76"/>
      <c r="Z414" s="60"/>
      <c r="AA414" s="60"/>
      <c r="AB414" s="60"/>
      <c r="AC414" s="60"/>
      <c r="AD414" s="60"/>
      <c r="AE414" s="60"/>
      <c r="AF414" s="80"/>
      <c r="AG414" s="56"/>
      <c r="AH414" s="4"/>
      <c r="AI414" s="56"/>
      <c r="AJ414" s="109"/>
      <c r="AK414" s="56"/>
      <c r="AL414" s="56"/>
      <c r="AM414" s="56"/>
      <c r="AN414" s="56"/>
      <c r="AO414" s="56"/>
      <c r="AP414" s="56"/>
      <c r="AQ414" s="82"/>
      <c r="AR414" s="115"/>
      <c r="AS414" s="82"/>
      <c r="AT414" s="82"/>
      <c r="AU414" s="4"/>
      <c r="AV414" s="25">
        <f>2*24*60*60</f>
        <v>172800</v>
      </c>
      <c r="AW414" s="25">
        <f>7*24*60*60</f>
        <v>604800</v>
      </c>
      <c r="AX414" s="25">
        <f>30*24*60*60</f>
        <v>2592000</v>
      </c>
      <c r="AY414" s="25">
        <f>91*24*60*60</f>
        <v>7862400</v>
      </c>
      <c r="AZ414" s="25">
        <f>365*24*60*60</f>
        <v>31536000</v>
      </c>
      <c r="BA414" s="53"/>
      <c r="BB414" s="53"/>
      <c r="BC414" s="53"/>
      <c r="BD414" s="53"/>
      <c r="BE414" s="53"/>
      <c r="BF414" s="53"/>
      <c r="BG414" s="53"/>
      <c r="BH414" s="53"/>
      <c r="BI414" s="53"/>
      <c r="BJ414" s="53"/>
      <c r="BK414" s="53"/>
      <c r="BL414" s="53"/>
      <c r="BM414" s="53"/>
      <c r="BN414" s="53"/>
      <c r="BO414" s="53"/>
      <c r="BP414" s="53"/>
      <c r="BQ414" s="53"/>
      <c r="BR414" s="53"/>
      <c r="BS414" s="53"/>
      <c r="BT414" s="53"/>
      <c r="BU414" s="53"/>
      <c r="BV414" s="53"/>
      <c r="BW414" s="53"/>
      <c r="BX414" s="53"/>
      <c r="BY414" s="53"/>
      <c r="BZ414" s="53"/>
      <c r="CA414" s="53"/>
      <c r="CB414" s="53"/>
      <c r="CC414" s="53"/>
      <c r="CD414" s="53"/>
      <c r="CE414" s="53"/>
      <c r="CF414" s="53"/>
      <c r="CG414" s="53"/>
      <c r="CH414" s="53"/>
      <c r="CI414" s="53"/>
      <c r="CJ414" s="53"/>
      <c r="CK414" s="53"/>
      <c r="CL414" s="53"/>
      <c r="CM414" s="53"/>
      <c r="CN414" s="53"/>
      <c r="CO414" s="53"/>
      <c r="CP414" s="53"/>
      <c r="CQ414" s="53"/>
      <c r="CR414" s="1"/>
      <c r="CS414" s="1"/>
      <c r="CT414" s="1"/>
      <c r="CU414" s="1"/>
    </row>
    <row r="415" spans="1:99" s="13" customFormat="1" ht="12" customHeight="1" x14ac:dyDescent="0.2">
      <c r="A415" s="65">
        <v>43509</v>
      </c>
      <c r="B415" s="1" t="s">
        <v>200</v>
      </c>
      <c r="C415" s="1" t="s">
        <v>84</v>
      </c>
      <c r="D415" s="60">
        <v>2004</v>
      </c>
      <c r="E415" s="76">
        <v>1</v>
      </c>
      <c r="F415" s="60">
        <v>421</v>
      </c>
      <c r="G415" s="60">
        <v>421</v>
      </c>
      <c r="H415" s="60" t="s">
        <v>41</v>
      </c>
      <c r="I415" s="60"/>
      <c r="J415" s="60" t="s">
        <v>704</v>
      </c>
      <c r="K415" s="60">
        <f>IF(J415="syllables",1,IF(J415="trigrams",2,IF(J415="strings",3,IF(J415="visual array",4,IF(J415="characters",5,IF(J415="letters",6,IF(J415="free forms",7,IF(J415="odors",8,IF(J415="words",9,IF(J415="pictures",10,IF(J415="object pictures",11,IF(J415="faces",12,IF(J415="names",13,IF(J415="idioms",14,IF(J415="grades",15,IF(J415="syllable-digit pairs",16,IF(J415="trigram-word pairs",17,IF(J415="word-digit pairs",18,IF(J415="English-Swahili pairs",19,IF(J415="spatial position",20,IF(J415="word pairs",21,IF(J415="word triads",22,IF(J415="generated words",23,IF(J415="word definition pairs",24,IF(J415="math problems",25,IF(J415="famous faces",26,IF(J415="famous names",27,IF(J415="famous voices",28,IF(J415="television programs",29,IF(J415="race horses",30,IF(J415="new vocabulary",31,IF(J415="sentences",32,IF(J415="concepts",33,IF(J415="ad slides",34,IF(J415="scenes",35,IF(J415="famous scenes",36,IF(J415="poems",37,IF(J415="walk",38,IF(J415="faces and events",39,IF(J415="events and names",40,IF(J415="flashbulb",41,IF(J415="stories",42,IF(J415="course material",43,IF(J415="autobiographical",44,IF(J415="novels",45,IF(J415="public events",46,"99"))))))))))))))))))))))))))))))))))))))))))))))</f>
        <v>41</v>
      </c>
      <c r="L415" s="60">
        <f>IF(J415="syllables",1,IF(J415="trigrams",1,IF(J415="strings",1,IF(J415="visual array",1,IF(J415="characters",1,IF(J415="letters",1,IF(J415="free forms",1,IF(J415="odors",2,IF(J415="words",2,IF(J415="pictures",2,IF(J415="object pictures",2,IF(J415="faces",2,IF(J415="names",2,IF(J415="idioms","2",IF(J415="grades",2,IF(J415="syllable-digit pairs",3,IF(J415="trigram-word pairs",3,IF(J415="word-digit pairs",3,IF(J415="English-Swahili pairs",3,IF(J415="spatial position",3,IF(J415="word pairs",4,IF(J415="word triads",4,IF(J415="generated words",4,IF(J415="word definition pairs",4,IF(J415="math problems",4,IF(J415="famous faces",4,IF(J415="famous names",4,IF(J415="famous voices",4,IF(J415="television programs",4,IF(J415="race horses",4,IF(J415="new vocabulary",4,IF(J415="sentences",5,IF(J415="concepts",5,IF(J415="ad slides",5,IF(J415="scenes",5,IF(J415="famous scenes",5,IF(J415="poems",6,IF(J415="walk",6,IF(J415="faces and events",6,IF(J415="events and names",6,IF(J415="flashbulb",7,IF(J415="stories",7,IF(J415="course material",7,IF(J415="autobiographical",7,IF(J415="novels",7,IF(J415="public events",7,"99"))))))))))))))))))))))))))))))))))))))))))))))</f>
        <v>7</v>
      </c>
      <c r="M415" s="60">
        <v>1</v>
      </c>
      <c r="N415" s="60">
        <v>4</v>
      </c>
      <c r="O415" s="60">
        <v>0</v>
      </c>
      <c r="P415" s="60"/>
      <c r="Q415" s="60" t="s">
        <v>174</v>
      </c>
      <c r="R415" s="60">
        <f>IF(Q415="Free Recall",1,IF(Q415="Cued Recall",2,IF(Q415="Recognition",3,IF(Q415="Multiple Choice",4,IF(Q415="Savings",5,IF(Q415="Stem Completion",6,IF(Q415="Fragment Completion",7,IF(Q415="anagram solution",8,IF(Q415="Matching",9,IF(Q415="Problem Solving",10,"99"))))))))))</f>
        <v>1</v>
      </c>
      <c r="S415" s="60" t="s">
        <v>228</v>
      </c>
      <c r="T415" s="59" t="s">
        <v>581</v>
      </c>
      <c r="U415" s="60">
        <f>IF(T415="within",1,0)</f>
        <v>1</v>
      </c>
      <c r="V415" s="59">
        <v>10</v>
      </c>
      <c r="W415" s="60">
        <f>F415*V415</f>
        <v>4210</v>
      </c>
      <c r="X415" s="60">
        <v>5</v>
      </c>
      <c r="Y415" s="76">
        <f>AV414</f>
        <v>172800</v>
      </c>
      <c r="Z415" s="60" t="s">
        <v>539</v>
      </c>
      <c r="AA415" s="76">
        <f>365*24*60*60</f>
        <v>31536000</v>
      </c>
      <c r="AB415" s="60" t="str">
        <f>IF(AA415&lt;60,"1",IF(AA415&lt;=43200,"2",IF(AA415&lt;=777600,"3","4")))</f>
        <v>4</v>
      </c>
      <c r="AC415" s="56">
        <f>AVERAGE(AV414:DA414)</f>
        <v>8553600</v>
      </c>
      <c r="AD415" s="60" t="str">
        <f>IF(AC415&lt;60,"1",IF(AC415&lt;=43200,"2",IF(AC415&lt;=777600,"3","4")))</f>
        <v>4</v>
      </c>
      <c r="AE415" s="76">
        <f>AA415-Y415</f>
        <v>31363200</v>
      </c>
      <c r="AF415" s="80">
        <f>AV415</f>
        <v>1</v>
      </c>
      <c r="AG415" s="56">
        <f>((AW415-AV415)+(AX415-AW415)+(AY415-AX415)+(AZ415-AY415))/4</f>
        <v>-4.7249999999999986E-2</v>
      </c>
      <c r="AH415" s="4"/>
      <c r="AI415" s="56">
        <f>RSQ(AV415:AZ415,AV414:AZ414)</f>
        <v>0.63702334358111734</v>
      </c>
      <c r="AJ415" s="109">
        <f>SLOPE(AV415:AZ415,AV414:AZ414)</f>
        <v>-4.5493019342453264E-9</v>
      </c>
      <c r="AK415" s="56">
        <f>INTERCEPT(AV415:AZ415,AV414:AZ414)</f>
        <v>0.94331290902476095</v>
      </c>
      <c r="AL415" s="56">
        <f>INDEX(LINEST(LN(AV415:AZ415),LN(AV414:AZ414),TRUE,TRUE),3,1)</f>
        <v>0.94272830030891719</v>
      </c>
      <c r="AM415" s="56">
        <f>INDEX(LINEST(LN(AV415:AZ415),LN(AV414:AZ414)),1)</f>
        <v>-3.9324370675004439E-2</v>
      </c>
      <c r="AN415" s="56">
        <f>EXP(INDEX(LINEST(LN(AV415:AZ415),LN(AV414:AZ414)),1,2))</f>
        <v>1.6050003427265749</v>
      </c>
      <c r="AO415" s="82">
        <f>INDEX(LINEST((AV415:AZ415),LN(AV414:AZ414),TRUE,TRUE),3,1)</f>
        <v>0.94262491258396475</v>
      </c>
      <c r="AP415" s="82">
        <f>INDEX(LINEST((AV415:AZ415),LN(AV414:AZ414)),1)</f>
        <v>-3.5592671211479798E-2</v>
      </c>
      <c r="AQ415" s="83">
        <f>INDEX(LINEST(LN(AV415:AZ415),SQRT(AV414:AZ414),TRUE,TRUE),3,1)</f>
        <v>0.8167113936915702</v>
      </c>
      <c r="AR415" s="116">
        <f>INDEX(LINEST(LN(AV415:AZ415),SQRT((AV414:AZ414))),1)</f>
        <v>-3.5852800255718342E-5</v>
      </c>
      <c r="AS415" s="84">
        <f>INDEX(LINEST(1/(AV415:AZ415),1/(SQRT(AV414:AZ414)),TRUE,TRUE),3,1)</f>
        <v>0.83937302940370151</v>
      </c>
      <c r="AT415" s="84">
        <f>INDEX(LINEST(1/(AV415:AZ415),1/SQRT(AV414:AZ414)),1)</f>
        <v>-93.249516334587</v>
      </c>
      <c r="AU415" s="3"/>
      <c r="AV415" s="53">
        <v>1</v>
      </c>
      <c r="AW415" s="53">
        <v>0.96</v>
      </c>
      <c r="AX415" s="53">
        <v>0.871</v>
      </c>
      <c r="AY415" s="53">
        <v>0.88</v>
      </c>
      <c r="AZ415" s="53">
        <v>0.81100000000000005</v>
      </c>
      <c r="BA415" s="53"/>
      <c r="BB415" s="53"/>
      <c r="BC415" s="53"/>
      <c r="BD415" s="53"/>
      <c r="BE415" s="53"/>
      <c r="BF415" s="53"/>
      <c r="BG415" s="53"/>
      <c r="BH415" s="53"/>
      <c r="BI415" s="53"/>
      <c r="BJ415" s="53"/>
      <c r="BK415" s="53"/>
      <c r="BL415" s="53"/>
      <c r="BM415" s="53"/>
      <c r="BN415" s="53"/>
      <c r="BO415" s="53"/>
      <c r="BP415" s="53"/>
      <c r="BQ415" s="53"/>
      <c r="BR415" s="53"/>
      <c r="BS415" s="53"/>
      <c r="BT415" s="53"/>
      <c r="BU415" s="53"/>
      <c r="BV415" s="53"/>
      <c r="BW415" s="53"/>
      <c r="BX415" s="53"/>
      <c r="BY415" s="53"/>
      <c r="BZ415" s="53"/>
      <c r="CA415" s="53"/>
      <c r="CB415" s="53"/>
      <c r="CC415" s="53"/>
      <c r="CD415" s="53"/>
      <c r="CE415" s="53"/>
      <c r="CF415" s="53"/>
      <c r="CG415" s="53"/>
      <c r="CH415" s="53"/>
      <c r="CI415" s="53"/>
      <c r="CJ415" s="53"/>
      <c r="CK415" s="53"/>
      <c r="CL415" s="53"/>
      <c r="CM415" s="53"/>
      <c r="CN415" s="53"/>
      <c r="CO415" s="53"/>
      <c r="CP415" s="53"/>
      <c r="CQ415" s="53"/>
      <c r="CR415" s="1"/>
      <c r="CS415" s="1"/>
      <c r="CT415" s="1"/>
      <c r="CU415" s="1"/>
    </row>
    <row r="416" spans="1:99" s="13" customFormat="1" ht="12" customHeight="1" x14ac:dyDescent="0.2">
      <c r="A416" s="65">
        <v>43979</v>
      </c>
      <c r="B416" s="1"/>
      <c r="C416" s="1"/>
      <c r="D416" s="60"/>
      <c r="E416" s="76"/>
      <c r="F416" s="60"/>
      <c r="G416" s="60"/>
      <c r="H416" s="60"/>
      <c r="I416" s="60"/>
      <c r="J416" s="60"/>
      <c r="K416" s="60"/>
      <c r="L416" s="60"/>
      <c r="M416" s="60"/>
      <c r="N416" s="60"/>
      <c r="O416" s="60"/>
      <c r="P416" s="60"/>
      <c r="Q416" s="60"/>
      <c r="R416" s="60"/>
      <c r="S416" s="60"/>
      <c r="T416" s="59"/>
      <c r="U416" s="60"/>
      <c r="V416" s="59"/>
      <c r="W416" s="60"/>
      <c r="X416" s="60"/>
      <c r="Y416" s="76"/>
      <c r="Z416" s="60"/>
      <c r="AA416" s="60"/>
      <c r="AB416" s="60"/>
      <c r="AC416" s="56"/>
      <c r="AD416" s="60"/>
      <c r="AE416" s="76"/>
      <c r="AF416" s="80"/>
      <c r="AG416" s="56"/>
      <c r="AH416" s="4"/>
      <c r="AI416" s="56"/>
      <c r="AJ416" s="109"/>
      <c r="AK416" s="56"/>
      <c r="AL416" s="56"/>
      <c r="AM416" s="56"/>
      <c r="AN416" s="56"/>
      <c r="AO416" s="82"/>
      <c r="AP416" s="82"/>
      <c r="AQ416" s="83"/>
      <c r="AR416" s="116"/>
      <c r="AS416" s="84"/>
      <c r="AT416" s="84"/>
      <c r="AU416" s="3"/>
      <c r="AV416" s="25">
        <v>30</v>
      </c>
      <c r="AW416" s="25">
        <f>60*60</f>
        <v>3600</v>
      </c>
      <c r="AX416" s="25">
        <f>60*60*24*7*6</f>
        <v>3628800</v>
      </c>
      <c r="AY416" s="53"/>
      <c r="AZ416" s="53" t="s">
        <v>947</v>
      </c>
      <c r="BA416" s="53"/>
      <c r="BB416" s="53"/>
      <c r="BC416" s="53"/>
      <c r="BD416" s="53"/>
      <c r="BE416" s="53"/>
      <c r="BF416" s="53"/>
      <c r="BG416" s="53"/>
      <c r="BH416" s="53"/>
      <c r="BI416" s="53"/>
      <c r="BJ416" s="53"/>
      <c r="BK416" s="53"/>
      <c r="BL416" s="53"/>
      <c r="BM416" s="53"/>
      <c r="BN416" s="53"/>
      <c r="BO416" s="53"/>
      <c r="BP416" s="53"/>
      <c r="BQ416" s="53"/>
      <c r="BR416" s="53"/>
      <c r="BS416" s="53"/>
      <c r="BT416" s="53"/>
      <c r="BU416" s="53"/>
      <c r="BV416" s="53"/>
      <c r="BW416" s="53"/>
      <c r="BX416" s="53"/>
      <c r="BY416" s="53"/>
      <c r="BZ416" s="53"/>
      <c r="CA416" s="53"/>
      <c r="CB416" s="53"/>
      <c r="CC416" s="53"/>
      <c r="CD416" s="53"/>
      <c r="CE416" s="53"/>
      <c r="CF416" s="53"/>
      <c r="CG416" s="53"/>
      <c r="CH416" s="53"/>
      <c r="CI416" s="53"/>
      <c r="CJ416" s="53"/>
      <c r="CK416" s="53"/>
      <c r="CL416" s="53"/>
      <c r="CM416" s="53"/>
      <c r="CN416" s="53"/>
      <c r="CO416" s="53"/>
      <c r="CP416" s="53"/>
      <c r="CQ416" s="53"/>
      <c r="CR416" s="1"/>
      <c r="CS416" s="1"/>
      <c r="CT416" s="1"/>
      <c r="CU416" s="1"/>
    </row>
    <row r="417" spans="1:99" s="13" customFormat="1" ht="12" customHeight="1" x14ac:dyDescent="0.2">
      <c r="A417" s="65">
        <v>43979</v>
      </c>
      <c r="B417" s="1" t="s">
        <v>1017</v>
      </c>
      <c r="C417" s="1" t="s">
        <v>357</v>
      </c>
      <c r="D417" s="60">
        <v>2012</v>
      </c>
      <c r="E417" s="76">
        <v>1</v>
      </c>
      <c r="F417" s="60">
        <v>22</v>
      </c>
      <c r="G417" s="60">
        <v>22</v>
      </c>
      <c r="H417" s="60" t="s">
        <v>38</v>
      </c>
      <c r="I417" s="60" t="s">
        <v>330</v>
      </c>
      <c r="J417" s="60" t="s">
        <v>677</v>
      </c>
      <c r="K417" s="60">
        <f>IF(J417="syllables",1,IF(J417="trigrams",2,IF(J417="strings",3,IF(J417="visual array",4,IF(J417="characters",5,IF(J417="letters",6,IF(J417="free forms",7,IF(J417="odors",8,IF(J417="words",9,IF(J417="pictures",10,IF(J417="object pictures",11,IF(J417="faces",12,IF(J417="names",13,IF(J417="idioms",14,IF(J417="grades",15,IF(J417="syllable-digit pairs",16,IF(J417="trigram-word pairs",17,IF(J417="word-digit pairs",18,IF(J417="English-Swahili pairs",19,IF(J417="spatial position",20,IF(J417="word pairs",21,IF(J417="word triads",22,IF(J417="generated words",23,IF(J417="word definition pairs",24,IF(J417="math problems",25,IF(J417="famous faces",26,IF(J417="famous names",27,IF(J417="famous voices",28,IF(J417="television programs",29,IF(J417="race horses",30,IF(J417="new vocabulary",31,IF(J417="sentences",32,IF(J417="concepts",33,IF(J417="ad slides",34,IF(J417="scenes",35,IF(J417="famous scenes",36,IF(J417="poems",37,IF(J417="walk",38,IF(J417="faces and events",39,IF(J417="events and names",40,IF(J417="flashbulb",41,IF(J417="stories",42,IF(J417="course material",43,IF(J417="autobiographical",44,IF(J417="novels",45,IF(J417="public events",46,"99"))))))))))))))))))))))))))))))))))))))))))))))</f>
        <v>42</v>
      </c>
      <c r="L417" s="60">
        <f>IF(J417="syllables",1,IF(J417="trigrams",1,IF(J417="strings",1,IF(J417="visual array",1,IF(J417="characters",1,IF(J417="letters",1,IF(J417="free forms",1,IF(J417="odors",2,IF(J417="words",2,IF(J417="pictures",2,IF(J417="object pictures",2,IF(J417="faces",2,IF(J417="names",2,IF(J417="idioms","2",IF(J417="grades",2,IF(J417="syllable-digit pairs",3,IF(J417="trigram-word pairs",3,IF(J417="word-digit pairs",3,IF(J417="English-Swahili pairs",3,IF(J417="spatial position",3,IF(J417="word pairs",4,IF(J417="word triads",4,IF(J417="generated words",4,IF(J417="word definition pairs",4,IF(J417="math problems",4,IF(J417="famous faces",4,IF(J417="famous names",4,IF(J417="famous voices",4,IF(J417="television programs",4,IF(J417="race horses",4,IF(J417="new vocabulary",4,IF(J417="sentences",5,IF(J417="concepts",5,IF(J417="ad slides",5,IF(J417="scenes",5,IF(J417="famous scenes",5,IF(J417="poems",6,IF(J417="walk",6,IF(J417="faces and events",6,IF(J417="events and names",6,IF(J417="flashbulb",7,IF(J417="stories",7,IF(J417="course material",7,IF(J417="autobiographical",7,IF(J417="novels",7,IF(J417="public events",7,"99"))))))))))))))))))))))))))))))))))))))))))))))</f>
        <v>7</v>
      </c>
      <c r="M417" s="60">
        <v>1</v>
      </c>
      <c r="N417" s="60">
        <v>4</v>
      </c>
      <c r="O417" s="60">
        <v>0</v>
      </c>
      <c r="P417" s="60"/>
      <c r="Q417" s="60" t="s">
        <v>174</v>
      </c>
      <c r="R417" s="60">
        <f>IF(Q417="Free Recall",1,IF(Q417="Cued Recall",2,IF(Q417="Recognition",3,IF(Q417="Multiple Choice",4,IF(Q417="Savings",5,IF(Q417="Stem Completion",6,IF(Q417="Fragment Completion",7,IF(Q417="anagram solution",8,IF(Q417="Matching",9,IF(Q417="Problem Solving",10,"99"))))))))))</f>
        <v>1</v>
      </c>
      <c r="S417" s="60" t="s">
        <v>49</v>
      </c>
      <c r="T417" s="59" t="s">
        <v>581</v>
      </c>
      <c r="U417" s="60">
        <f>IF(T417="within",1,0)</f>
        <v>1</v>
      </c>
      <c r="V417" s="59">
        <f>3*73</f>
        <v>219</v>
      </c>
      <c r="W417" s="60">
        <f>F417*V417</f>
        <v>4818</v>
      </c>
      <c r="X417" s="60">
        <v>3</v>
      </c>
      <c r="Y417" s="76">
        <f>AV416</f>
        <v>30</v>
      </c>
      <c r="Z417" s="60" t="s">
        <v>160</v>
      </c>
      <c r="AA417" s="60">
        <f>60*60*24*7*6</f>
        <v>3628800</v>
      </c>
      <c r="AB417" s="60" t="str">
        <f>IF(AA417&lt;60,"1",IF(AA417&lt;=43200,"2",IF(AA417&lt;=777600,"3","4")))</f>
        <v>4</v>
      </c>
      <c r="AC417" s="56">
        <f>AVERAGE(AV416:DA416)</f>
        <v>1210810</v>
      </c>
      <c r="AD417" s="60" t="str">
        <f>IF(AC417&lt;60,"1",IF(AC417&lt;=43200,"2",IF(AC417&lt;=777600,"3","4")))</f>
        <v>4</v>
      </c>
      <c r="AE417" s="76">
        <f>AA417-Y417</f>
        <v>3628770</v>
      </c>
      <c r="AF417" s="80">
        <f>AV417</f>
        <v>0.8397</v>
      </c>
      <c r="AG417" s="56">
        <f>((AW417-AV417)+(AX417-AW417))/2</f>
        <v>-0.21395</v>
      </c>
      <c r="AH417" s="4"/>
      <c r="AI417" s="56">
        <f>RSQ(AV417:AX417,AV416:AX416)</f>
        <v>0.92005300674519452</v>
      </c>
      <c r="AJ417" s="109">
        <f>SLOPE(AV417:AX417,AV416:AX416)</f>
        <v>-1.0079773248790086E-7</v>
      </c>
      <c r="AK417" s="56">
        <f>INTERCEPT(AV417:AX417,AV416:AX416)</f>
        <v>0.77751356914034186</v>
      </c>
      <c r="AL417" s="56">
        <f>INDEX(LINEST(LN(AV417:AX417),LN(AV416:AX416),TRUE,TRUE),3,1)</f>
        <v>0.95974858921188289</v>
      </c>
      <c r="AM417" s="56">
        <f>INDEX(LINEST(LN(AV417:AX417),LN(AV416:AX416)),1)</f>
        <v>-6.2219086302059662E-2</v>
      </c>
      <c r="AN417" s="56">
        <f>EXP(INDEX(LINEST(LN(AV417:AX417),LN(AV416:AX416)),1,2))</f>
        <v>1.0917530837030365</v>
      </c>
      <c r="AO417" s="82">
        <f>INDEX(LINEST((AV417:AX417),LN(AV416:AX416),TRUE,TRUE),3,1)</f>
        <v>0.98281252026497801</v>
      </c>
      <c r="AP417" s="82">
        <f>INDEX(LINEST((AV417:AX417),LN(AV416:AX416)),1)</f>
        <v>-3.7077395590622945E-2</v>
      </c>
      <c r="AQ417" s="83">
        <f>INDEX(LINEST(LN(AV417:AX417),SQRT(AV416:AX416),TRUE,TRUE),3,1)</f>
        <v>0.9636702408684974</v>
      </c>
      <c r="AR417" s="116">
        <f>INDEX(LINEST(LN(AV417:AX417),SQRT((AV416:AX416))),1)</f>
        <v>-3.3926153750342631E-4</v>
      </c>
      <c r="AS417" s="84">
        <f>INDEX(LINEST(1/(AV417:AX417),1/(SQRT(AV416:AX416)),TRUE,TRUE),3,1)</f>
        <v>0.47590763106507122</v>
      </c>
      <c r="AT417" s="84">
        <f>INDEX(LINEST(1/(AV417:AX417),1/SQRT(AV416:AX416)),1)</f>
        <v>-4.5363436408849545</v>
      </c>
      <c r="AU417" s="3"/>
      <c r="AV417" s="53">
        <v>0.8397</v>
      </c>
      <c r="AW417" s="53">
        <v>0.71489999999999998</v>
      </c>
      <c r="AX417" s="53">
        <v>0.4118</v>
      </c>
      <c r="AY417" s="53"/>
      <c r="AZ417" s="53"/>
      <c r="BA417" s="53"/>
      <c r="BB417" s="53"/>
      <c r="BC417" s="53"/>
      <c r="BD417" s="53"/>
      <c r="BE417" s="53"/>
      <c r="BF417" s="53"/>
      <c r="BG417" s="53"/>
      <c r="BH417" s="53"/>
      <c r="BI417" s="53"/>
      <c r="BJ417" s="53"/>
      <c r="BK417" s="53"/>
      <c r="BL417" s="53"/>
      <c r="BM417" s="53"/>
      <c r="BN417" s="53"/>
      <c r="BO417" s="53"/>
      <c r="BP417" s="53"/>
      <c r="BQ417" s="53"/>
      <c r="BR417" s="53"/>
      <c r="BS417" s="53"/>
      <c r="BT417" s="53"/>
      <c r="BU417" s="53"/>
      <c r="BV417" s="53"/>
      <c r="BW417" s="53"/>
      <c r="BX417" s="53"/>
      <c r="BY417" s="53"/>
      <c r="BZ417" s="53"/>
      <c r="CA417" s="53"/>
      <c r="CB417" s="53"/>
      <c r="CC417" s="53"/>
      <c r="CD417" s="53"/>
      <c r="CE417" s="53"/>
      <c r="CF417" s="53"/>
      <c r="CG417" s="53"/>
      <c r="CH417" s="53"/>
      <c r="CI417" s="53"/>
      <c r="CJ417" s="53"/>
      <c r="CK417" s="53"/>
      <c r="CL417" s="53"/>
      <c r="CM417" s="53"/>
      <c r="CN417" s="53"/>
      <c r="CO417" s="53"/>
      <c r="CP417" s="53"/>
      <c r="CQ417" s="53"/>
      <c r="CR417" s="1"/>
      <c r="CS417" s="1"/>
      <c r="CT417" s="1"/>
      <c r="CU417" s="1"/>
    </row>
    <row r="418" spans="1:99" ht="12" customHeight="1" x14ac:dyDescent="0.2">
      <c r="R418" s="60"/>
      <c r="Y418" s="64"/>
      <c r="AB418" s="60"/>
      <c r="AD418" s="60"/>
      <c r="AF418" s="64"/>
      <c r="AG418" s="64"/>
      <c r="AL418" s="167"/>
      <c r="AM418" s="169"/>
    </row>
    <row r="419" spans="1:99" ht="12" customHeight="1" x14ac:dyDescent="0.2">
      <c r="K419" s="60"/>
      <c r="R419" s="60"/>
      <c r="Y419" s="64"/>
      <c r="AB419" s="60"/>
      <c r="AD419" s="60"/>
      <c r="AF419" s="64"/>
      <c r="AG419" s="64"/>
      <c r="AL419" s="167" t="s">
        <v>695</v>
      </c>
      <c r="AM419" s="57">
        <f>AVERAGE(AM3:AM417)</f>
        <v>-0.1190652714247622</v>
      </c>
    </row>
    <row r="420" spans="1:99" ht="12" customHeight="1" x14ac:dyDescent="0.2">
      <c r="R420" s="60"/>
      <c r="Y420" s="64"/>
      <c r="AB420" s="60"/>
      <c r="AD420" s="60"/>
      <c r="AF420" s="57"/>
      <c r="AG420" s="174"/>
      <c r="AL420" s="45" t="s">
        <v>1026</v>
      </c>
      <c r="AM420" s="57">
        <f>MEDIAN(AM3:AM417)</f>
        <v>-8.3914012528416307E-2</v>
      </c>
    </row>
    <row r="421" spans="1:99" ht="12" customHeight="1" x14ac:dyDescent="0.2">
      <c r="K421" s="60"/>
      <c r="R421" s="60"/>
      <c r="Y421" s="64"/>
      <c r="AB421" s="60"/>
      <c r="AD421" s="60"/>
      <c r="AF421" s="64"/>
      <c r="AG421" s="64"/>
      <c r="AL421" s="167" t="s">
        <v>918</v>
      </c>
      <c r="AM421" s="57">
        <f>MIN(AM3:AM417)</f>
        <v>-0.66848613975194271</v>
      </c>
    </row>
    <row r="422" spans="1:99" ht="12" customHeight="1" x14ac:dyDescent="0.2">
      <c r="R422" s="60"/>
      <c r="W422" s="60"/>
      <c r="Y422" s="76"/>
      <c r="AB422" s="60"/>
      <c r="AD422" s="60"/>
      <c r="AE422" s="60"/>
      <c r="AF422" s="80"/>
      <c r="AL422" s="167" t="s">
        <v>917</v>
      </c>
      <c r="AM422" s="57">
        <f>MAX(AM3:AM417)</f>
        <v>2.9727723158478062E-2</v>
      </c>
    </row>
    <row r="423" spans="1:99" ht="12" customHeight="1" x14ac:dyDescent="0.2">
      <c r="K423" s="60"/>
      <c r="R423" s="60"/>
      <c r="W423" s="60"/>
      <c r="Y423" s="76"/>
      <c r="AB423" s="60"/>
      <c r="AD423" s="60"/>
      <c r="AE423" s="76"/>
      <c r="AF423" s="80"/>
      <c r="AL423" s="167" t="s">
        <v>919</v>
      </c>
      <c r="AM423" s="64">
        <f xml:space="preserve"> STDEV(AM3:AM417)</f>
        <v>0.12930045218631034</v>
      </c>
    </row>
    <row r="424" spans="1:99" ht="12" customHeight="1" x14ac:dyDescent="0.2">
      <c r="R424" s="60"/>
      <c r="W424" s="60"/>
      <c r="Y424" s="76"/>
      <c r="AB424" s="60"/>
      <c r="AD424" s="60"/>
      <c r="AE424" s="60"/>
      <c r="AF424" s="80"/>
      <c r="AL424" s="45" t="s">
        <v>1025</v>
      </c>
      <c r="AM424" s="64">
        <f xml:space="preserve"> STDEV(AM3:AM417)/SQRT(COUNT(AM3:AM417))</f>
        <v>9.0751126512798909E-3</v>
      </c>
    </row>
    <row r="425" spans="1:99" ht="12" customHeight="1" x14ac:dyDescent="0.2">
      <c r="K425" s="60"/>
      <c r="L425" s="60"/>
      <c r="R425" s="60"/>
      <c r="W425" s="60"/>
      <c r="Y425" s="76"/>
      <c r="AB425" s="60"/>
      <c r="AE425" s="76"/>
      <c r="AF425" s="80"/>
      <c r="AL425" s="168"/>
      <c r="AM425" s="169"/>
    </row>
    <row r="426" spans="1:99" ht="12" customHeight="1" x14ac:dyDescent="0.2">
      <c r="R426" s="60"/>
      <c r="W426" s="60"/>
      <c r="Y426" s="76"/>
      <c r="AB426" s="60"/>
      <c r="AE426" s="60"/>
      <c r="AF426" s="80"/>
      <c r="AL426" s="168" t="s">
        <v>132</v>
      </c>
      <c r="AM426" s="169">
        <f>AM419-(3*AM423)</f>
        <v>-0.50696662798369319</v>
      </c>
    </row>
    <row r="427" spans="1:99" ht="12" customHeight="1" x14ac:dyDescent="0.2">
      <c r="K427" s="60"/>
      <c r="L427" s="60"/>
      <c r="R427" s="60"/>
      <c r="W427" s="60"/>
      <c r="Y427" s="76"/>
      <c r="AB427" s="60"/>
      <c r="AE427" s="76"/>
      <c r="AF427" s="80"/>
      <c r="AL427" s="168" t="s">
        <v>130</v>
      </c>
      <c r="AM427" s="169">
        <f>AM419+(3*AM423)</f>
        <v>0.26883608513416879</v>
      </c>
    </row>
    <row r="428" spans="1:99" ht="12" customHeight="1" x14ac:dyDescent="0.2">
      <c r="R428" s="60"/>
      <c r="W428" s="60"/>
      <c r="Y428" s="76"/>
      <c r="AB428" s="60"/>
      <c r="AE428" s="60"/>
      <c r="AF428" s="80"/>
    </row>
    <row r="429" spans="1:99" ht="12" customHeight="1" x14ac:dyDescent="0.2">
      <c r="K429" s="60"/>
      <c r="L429" s="60"/>
      <c r="R429" s="60"/>
      <c r="W429" s="60"/>
      <c r="Y429" s="76"/>
      <c r="AB429" s="60"/>
      <c r="AE429" s="76"/>
      <c r="AF429" s="80"/>
    </row>
    <row r="430" spans="1:99" ht="12" customHeight="1" x14ac:dyDescent="0.2">
      <c r="R430" s="60"/>
      <c r="W430" s="60"/>
      <c r="Y430" s="76"/>
      <c r="AB430" s="60"/>
      <c r="AE430" s="60"/>
      <c r="AF430" s="80"/>
      <c r="AM430" s="56">
        <f>INDEX(LINEST(LN(AV79:AX79),LN(AV78:AX78)),1)</f>
        <v>-0.76522659005749616</v>
      </c>
    </row>
    <row r="431" spans="1:99" ht="12" customHeight="1" x14ac:dyDescent="0.2">
      <c r="K431" s="60"/>
      <c r="L431" s="60"/>
      <c r="R431" s="60"/>
      <c r="W431" s="60"/>
      <c r="Y431" s="76"/>
      <c r="AB431" s="60"/>
      <c r="AE431" s="76"/>
      <c r="AF431" s="80"/>
      <c r="AM431" s="56">
        <f>INDEX(LINEST(LN(AV241:BA241),LN(AV240:BA240)),1)</f>
        <v>-0.87843214499940236</v>
      </c>
    </row>
    <row r="432" spans="1:99" ht="12" customHeight="1" x14ac:dyDescent="0.2">
      <c r="R432" s="60"/>
      <c r="W432" s="60"/>
      <c r="Y432" s="76"/>
      <c r="AB432" s="60"/>
      <c r="AE432" s="60"/>
      <c r="AF432" s="80"/>
      <c r="AM432" s="72">
        <f>INDEX(LINEST(LN(AV297:BC297),LN(AV296:BC296)),1)</f>
        <v>-1.0042897286851371</v>
      </c>
    </row>
    <row r="433" spans="11:39" ht="12" customHeight="1" x14ac:dyDescent="0.2">
      <c r="K433" s="60"/>
      <c r="L433" s="60"/>
      <c r="R433" s="60"/>
      <c r="W433" s="60"/>
      <c r="Y433" s="76"/>
      <c r="AB433" s="60"/>
      <c r="AE433" s="76"/>
      <c r="AF433" s="80"/>
      <c r="AM433" s="56">
        <f>INDEX(LINEST(LN(AV385:AX385),LN(AV384:AX384)),1)</f>
        <v>-1.0290427979840413</v>
      </c>
    </row>
    <row r="434" spans="11:39" ht="12" customHeight="1" x14ac:dyDescent="0.2">
      <c r="R434" s="60"/>
      <c r="W434" s="60"/>
      <c r="Y434" s="76"/>
      <c r="AB434" s="60"/>
      <c r="AE434" s="60"/>
      <c r="AF434" s="80"/>
      <c r="AM434" s="56">
        <f>INDEX(LINEST(LN(AV409:BC409),LN(AV408:BC408)),1)</f>
        <v>-0.98537928216199189</v>
      </c>
    </row>
    <row r="435" spans="11:39" ht="12" customHeight="1" x14ac:dyDescent="0.2">
      <c r="K435" s="60"/>
      <c r="L435" s="60"/>
      <c r="R435" s="60"/>
      <c r="W435" s="60"/>
      <c r="Y435" s="76"/>
      <c r="AB435" s="60"/>
      <c r="AE435" s="76"/>
      <c r="AF435" s="80"/>
    </row>
    <row r="436" spans="11:39" ht="12" customHeight="1" x14ac:dyDescent="0.2">
      <c r="R436" s="60"/>
      <c r="W436" s="60"/>
      <c r="Y436" s="76"/>
      <c r="AB436" s="60"/>
      <c r="AE436" s="60"/>
      <c r="AF436" s="80"/>
    </row>
    <row r="437" spans="11:39" ht="12" customHeight="1" x14ac:dyDescent="0.2">
      <c r="K437" s="60"/>
      <c r="L437" s="60"/>
      <c r="R437" s="60"/>
      <c r="W437" s="60"/>
      <c r="Y437" s="76"/>
      <c r="AB437" s="60"/>
      <c r="AE437" s="76"/>
      <c r="AF437" s="80"/>
    </row>
    <row r="438" spans="11:39" ht="12" customHeight="1" x14ac:dyDescent="0.2">
      <c r="R438" s="60"/>
      <c r="W438" s="60"/>
      <c r="Y438" s="76"/>
      <c r="AB438" s="60"/>
      <c r="AE438" s="60"/>
      <c r="AF438" s="80"/>
    </row>
    <row r="439" spans="11:39" ht="12" customHeight="1" x14ac:dyDescent="0.2">
      <c r="K439" s="60"/>
      <c r="L439" s="60"/>
      <c r="R439" s="60"/>
      <c r="W439" s="60"/>
      <c r="Y439" s="76"/>
      <c r="AB439" s="60"/>
      <c r="AE439" s="76"/>
      <c r="AF439" s="80"/>
    </row>
    <row r="440" spans="11:39" ht="12" customHeight="1" x14ac:dyDescent="0.2">
      <c r="R440" s="60"/>
      <c r="W440" s="60"/>
      <c r="Y440" s="76"/>
      <c r="AB440" s="60"/>
      <c r="AE440" s="60"/>
      <c r="AF440" s="80"/>
    </row>
    <row r="441" spans="11:39" ht="12" customHeight="1" x14ac:dyDescent="0.2">
      <c r="K441" s="60"/>
      <c r="L441" s="60"/>
      <c r="R441" s="60"/>
      <c r="W441" s="60"/>
      <c r="Y441" s="76"/>
      <c r="AB441" s="60"/>
      <c r="AE441" s="76"/>
      <c r="AF441" s="80"/>
    </row>
    <row r="442" spans="11:39" ht="12" customHeight="1" x14ac:dyDescent="0.2">
      <c r="R442" s="60"/>
      <c r="W442" s="60"/>
      <c r="Y442" s="76"/>
      <c r="AB442" s="60"/>
      <c r="AE442" s="60"/>
      <c r="AF442" s="80"/>
    </row>
    <row r="443" spans="11:39" ht="12" customHeight="1" x14ac:dyDescent="0.2">
      <c r="K443" s="60"/>
      <c r="L443" s="60"/>
      <c r="R443" s="60"/>
      <c r="W443" s="60"/>
      <c r="Y443" s="76"/>
      <c r="AB443" s="60"/>
      <c r="AE443" s="76"/>
      <c r="AF443" s="80"/>
    </row>
    <row r="444" spans="11:39" ht="12" customHeight="1" x14ac:dyDescent="0.2">
      <c r="R444" s="60"/>
      <c r="W444" s="60"/>
      <c r="Y444" s="76"/>
      <c r="AB444" s="60"/>
      <c r="AE444" s="60"/>
      <c r="AF444" s="80"/>
    </row>
    <row r="445" spans="11:39" ht="12" customHeight="1" x14ac:dyDescent="0.2">
      <c r="K445" s="60"/>
      <c r="L445" s="60"/>
      <c r="R445" s="60"/>
      <c r="W445" s="60"/>
      <c r="Y445" s="76"/>
      <c r="AB445" s="60"/>
      <c r="AE445" s="76"/>
      <c r="AF445" s="80"/>
    </row>
    <row r="446" spans="11:39" ht="12" customHeight="1" x14ac:dyDescent="0.2">
      <c r="R446" s="60"/>
      <c r="W446" s="60"/>
      <c r="Y446" s="76"/>
      <c r="AB446" s="60"/>
      <c r="AE446" s="60"/>
      <c r="AF446" s="80"/>
    </row>
    <row r="447" spans="11:39" ht="12" customHeight="1" x14ac:dyDescent="0.2">
      <c r="K447" s="60"/>
      <c r="L447" s="60"/>
      <c r="R447" s="60"/>
      <c r="W447" s="60"/>
      <c r="Y447" s="76"/>
      <c r="AB447" s="60"/>
      <c r="AE447" s="76"/>
      <c r="AF447" s="80"/>
    </row>
    <row r="448" spans="11:39" ht="12" customHeight="1" x14ac:dyDescent="0.2">
      <c r="W448" s="60"/>
      <c r="Y448" s="76"/>
      <c r="AB448" s="60"/>
      <c r="AE448" s="60"/>
      <c r="AF448" s="80"/>
    </row>
    <row r="449" spans="11:32" ht="12" customHeight="1" x14ac:dyDescent="0.2">
      <c r="K449" s="60"/>
      <c r="L449" s="60"/>
      <c r="W449" s="60"/>
      <c r="Y449" s="76"/>
      <c r="AE449" s="76"/>
      <c r="AF449" s="80"/>
    </row>
    <row r="450" spans="11:32" ht="12" customHeight="1" x14ac:dyDescent="0.2">
      <c r="W450" s="60"/>
      <c r="Y450" s="76"/>
      <c r="AE450" s="60"/>
      <c r="AF450" s="80"/>
    </row>
    <row r="451" spans="11:32" ht="12" customHeight="1" x14ac:dyDescent="0.2">
      <c r="K451" s="60"/>
      <c r="L451" s="60"/>
      <c r="W451" s="60"/>
      <c r="Y451" s="76"/>
      <c r="AE451" s="76"/>
      <c r="AF451" s="80"/>
    </row>
    <row r="452" spans="11:32" ht="12" customHeight="1" x14ac:dyDescent="0.2">
      <c r="W452" s="60"/>
      <c r="Y452" s="76"/>
      <c r="AE452" s="60"/>
      <c r="AF452" s="80"/>
    </row>
    <row r="453" spans="11:32" ht="12" customHeight="1" x14ac:dyDescent="0.2">
      <c r="K453" s="60"/>
      <c r="L453" s="60"/>
      <c r="W453" s="60"/>
      <c r="Y453" s="76"/>
      <c r="AE453" s="76"/>
      <c r="AF453" s="80"/>
    </row>
    <row r="454" spans="11:32" ht="12" customHeight="1" x14ac:dyDescent="0.2">
      <c r="W454" s="60"/>
      <c r="Y454" s="76"/>
      <c r="AE454" s="60"/>
      <c r="AF454" s="80"/>
    </row>
    <row r="455" spans="11:32" ht="12" customHeight="1" x14ac:dyDescent="0.2">
      <c r="K455" s="60"/>
      <c r="L455" s="60"/>
      <c r="W455" s="60"/>
      <c r="Y455" s="76"/>
      <c r="AE455" s="76"/>
      <c r="AF455" s="80"/>
    </row>
    <row r="457" spans="11:32" ht="12" customHeight="1" x14ac:dyDescent="0.2">
      <c r="K457" s="60"/>
      <c r="L457" s="60"/>
    </row>
  </sheetData>
  <conditionalFormatting sqref="AB6:AD6 AB8:AD8 AB10:AD10 AB12:AD12 AB14:AD14 AB22:AD22 AB16:AD16 AB18:AC18 AB20:AC20 AB24:AC24 AB26:AC26 AB28:AC28 AB30:AC30 AB32:AC32 AB34:AC34 AB36:AC36 AB38:AC38 AB40:AC40 AB42:AC42 AB48:AC48 AB50:AC50 AB52:AC52 AB54:AC54 AB44:AC44 AB46:AC46 AC72 AC74 AC76 AC78 AC80 AC82 AC84 AC86 AC88 AC94 AC96 AC98 AC100 AC102 AC104 AC106 AC108 AC110 AC112 AC114 AC116 AC118 AC120 AC122 AC124 AC140 AC142 AC144 AC146 AC148 AC150 AC152 AC160 AC170 AC172 AC176 AC178 AC190 AC240 AC242 AC244 AC250 AC282 AC288 AC292 AC294 AC304 AC308 AC320 AC322 AC324 AC326 AC328 AC336 AC338 AC340 AC342 AC350 AC352 AC354 AC356 AC358 AC360 AC362 AC364 AC370 AC388 AC390 AC404 AC414 AC334 AC332 AC330 AG18 AG54 AG52 AG50 AG48 AG42 AG40 AG38 AG36 AG34 AG32 AG30 AG28 AG26 AG24 AG20 AG46 AG44 AG88 AG86 AG84 AG82 AG80 AG78 AG76 AG74 AG72 AG108 AG106 AG104 AG102 AG100 AG98 AG96 AG94 AG124 AG122 AG120 AG118 AG116 AG114 AG112 AG110 AG152 AG150 AG148 AG146 AG144 AG142 AG140 AG160 AG172 AG170 AG178 AG176 AG190 AG244 AG242 AG240 AG250 AG294 AG292 AG288 AG282 AG308 AG304 AG330 AG332 AG334 AG338 AG336 AG328 AG326 AG324 AG322 AG320 AG342 AG340 AG364 AG362 AG360 AG358 AG356 AG354 AG352 AG350 AG370 AG390 AG388 AG404 AG414 Z330:AA330 AG10 AG6 AG16 AG22 AG14 AG12 Z332:AA332 Z334:AA334 M64:P64 O57:O59 O335:P335 O333:P333 O331:P331 E260:J260 E406:J406 E270:I270 E272:I272 E408:I408 E410:I410 E348:I348 E384:I384 E380:I380 E264:I264 E412:I412 E58:I58 E64:I64 E204:I204 E206:I206 E208:I208 E216:I216 AE234:AF234 AE236:AF236 AE238:AF238 M132:P132 S330:T330 S332:T332 S334:T334 X330 X332 X334 X2 O2:P3 B324:P324 B326:P326 B330:Q330 B332:Q332 B334:Q334 B2:Q2 B4:P4">
    <cfRule type="expression" dxfId="346" priority="537">
      <formula>MOD(ROW(),2)=1</formula>
    </cfRule>
  </conditionalFormatting>
  <conditionalFormatting sqref="X4 T2 Z4 Z2:AA2 J2 V2">
    <cfRule type="expression" dxfId="345" priority="535">
      <formula>MOD(ROW(),2)=1</formula>
    </cfRule>
  </conditionalFormatting>
  <conditionalFormatting sqref="S2">
    <cfRule type="expression" dxfId="344" priority="534">
      <formula>MOD(ROW(),2)=1</formula>
    </cfRule>
  </conditionalFormatting>
  <conditionalFormatting sqref="J58">
    <cfRule type="expression" dxfId="343" priority="533">
      <formula>MOD(ROW(),2)=1</formula>
    </cfRule>
  </conditionalFormatting>
  <conditionalFormatting sqref="J64 J66 J68">
    <cfRule type="expression" dxfId="342" priority="532">
      <formula>MOD(ROW(),2)=1</formula>
    </cfRule>
  </conditionalFormatting>
  <conditionalFormatting sqref="I66 I68">
    <cfRule type="expression" dxfId="341" priority="531">
      <formula>MOD(ROW(),2)=1</formula>
    </cfRule>
  </conditionalFormatting>
  <conditionalFormatting sqref="Z64:AA64 Z66:AA66 Z68:AA68">
    <cfRule type="expression" dxfId="340" priority="530">
      <formula>MOD(ROW(),2)=1</formula>
    </cfRule>
  </conditionalFormatting>
  <conditionalFormatting sqref="J132">
    <cfRule type="expression" dxfId="339" priority="529">
      <formula>MOD(ROW(),2)=1</formula>
    </cfRule>
  </conditionalFormatting>
  <conditionalFormatting sqref="J136 J138">
    <cfRule type="expression" dxfId="338" priority="528">
      <formula>MOD(ROW(),2)=1</formula>
    </cfRule>
  </conditionalFormatting>
  <conditionalFormatting sqref="J204 J206 J208">
    <cfRule type="expression" dxfId="337" priority="526">
      <formula>MOD(ROW(),2)=1</formula>
    </cfRule>
  </conditionalFormatting>
  <conditionalFormatting sqref="J198">
    <cfRule type="expression" dxfId="336" priority="527">
      <formula>MOD(ROW(),2)=1</formula>
    </cfRule>
  </conditionalFormatting>
  <conditionalFormatting sqref="J216">
    <cfRule type="expression" dxfId="335" priority="525">
      <formula>MOD(ROW(),2)=1</formula>
    </cfRule>
  </conditionalFormatting>
  <conditionalFormatting sqref="J410">
    <cfRule type="expression" dxfId="334" priority="522">
      <formula>MOD(ROW(),2)=1</formula>
    </cfRule>
  </conditionalFormatting>
  <conditionalFormatting sqref="J270 I266:J266 I268:J268 J272">
    <cfRule type="expression" dxfId="333" priority="521">
      <formula>MOD(ROW(),2)=1</formula>
    </cfRule>
  </conditionalFormatting>
  <conditionalFormatting sqref="J408">
    <cfRule type="expression" dxfId="332" priority="523">
      <formula>MOD(ROW(),2)=1</formula>
    </cfRule>
  </conditionalFormatting>
  <conditionalFormatting sqref="J278">
    <cfRule type="expression" dxfId="331" priority="520">
      <formula>MOD(ROW(),2)=1</formula>
    </cfRule>
  </conditionalFormatting>
  <conditionalFormatting sqref="E312:I312 E314:I314">
    <cfRule type="expression" dxfId="330" priority="518">
      <formula>MOD(ROW(),2)=1</formula>
    </cfRule>
  </conditionalFormatting>
  <conditionalFormatting sqref="E314:I314">
    <cfRule type="expression" dxfId="329" priority="515">
      <formula>MOD(ROW(),2)=1</formula>
    </cfRule>
  </conditionalFormatting>
  <conditionalFormatting sqref="J302">
    <cfRule type="expression" dxfId="328" priority="519">
      <formula>MOD(ROW(),2)=1</formula>
    </cfRule>
  </conditionalFormatting>
  <conditionalFormatting sqref="E314:I314">
    <cfRule type="expression" dxfId="327" priority="517">
      <formula>MOD(ROW(),2)=1</formula>
    </cfRule>
  </conditionalFormatting>
  <conditionalFormatting sqref="E314:I314">
    <cfRule type="expression" dxfId="326" priority="516">
      <formula>MOD(ROW(),2)=1</formula>
    </cfRule>
  </conditionalFormatting>
  <conditionalFormatting sqref="E374:I374">
    <cfRule type="expression" dxfId="325" priority="513">
      <formula>MOD(ROW(),2)=1</formula>
    </cfRule>
  </conditionalFormatting>
  <conditionalFormatting sqref="E314:I314">
    <cfRule type="expression" dxfId="324" priority="514">
      <formula>MOD(ROW(),2)=1</formula>
    </cfRule>
  </conditionalFormatting>
  <conditionalFormatting sqref="J264">
    <cfRule type="expression" dxfId="323" priority="512">
      <formula>MOD(ROW(),2)=1</formula>
    </cfRule>
  </conditionalFormatting>
  <conditionalFormatting sqref="Z264:AA264">
    <cfRule type="expression" dxfId="322" priority="511">
      <formula>MOD(ROW(),2)=1</formula>
    </cfRule>
  </conditionalFormatting>
  <conditionalFormatting sqref="T4 I4:J4 F4 V4">
    <cfRule type="expression" dxfId="321" priority="510">
      <formula>MOD(ROW(),2)=1</formula>
    </cfRule>
  </conditionalFormatting>
  <conditionalFormatting sqref="Q4 S4">
    <cfRule type="expression" dxfId="320" priority="509">
      <formula>MOD(ROW(),2)=1</formula>
    </cfRule>
  </conditionalFormatting>
  <conditionalFormatting sqref="AA278">
    <cfRule type="expression" dxfId="319" priority="507">
      <formula>MOD(ROW(),2)=1</formula>
    </cfRule>
  </conditionalFormatting>
  <conditionalFormatting sqref="Z278">
    <cfRule type="expression" dxfId="318" priority="508">
      <formula>MOD(ROW(),2)=1</formula>
    </cfRule>
  </conditionalFormatting>
  <conditionalFormatting sqref="J412">
    <cfRule type="expression" dxfId="317" priority="506">
      <formula>MOD(ROW(),2)=1</formula>
    </cfRule>
  </conditionalFormatting>
  <conditionalFormatting sqref="AC180 AG180">
    <cfRule type="expression" dxfId="316" priority="502">
      <formula>MOD(ROW(),2)=1</formula>
    </cfRule>
  </conditionalFormatting>
  <conditionalFormatting sqref="AC182 AC184 AG184 AG182">
    <cfRule type="expression" dxfId="315" priority="501">
      <formula>MOD(ROW(),2)=1</formula>
    </cfRule>
  </conditionalFormatting>
  <conditionalFormatting sqref="AC306 AG306">
    <cfRule type="expression" dxfId="314" priority="494">
      <formula>MOD(ROW(),2)=1</formula>
    </cfRule>
  </conditionalFormatting>
  <conditionalFormatting sqref="AB128">
    <cfRule type="expression" dxfId="313" priority="493">
      <formula>MOD(ROW(),2)=1</formula>
    </cfRule>
  </conditionalFormatting>
  <conditionalFormatting sqref="AB146">
    <cfRule type="expression" dxfId="312" priority="492">
      <formula>MOD(ROW(),2)=1</formula>
    </cfRule>
  </conditionalFormatting>
  <conditionalFormatting sqref="AB184">
    <cfRule type="expression" dxfId="311" priority="491">
      <formula>MOD(ROW(),2)=1</formula>
    </cfRule>
  </conditionalFormatting>
  <conditionalFormatting sqref="AB300">
    <cfRule type="expression" dxfId="310" priority="489">
      <formula>MOD(ROW(),2)=1</formula>
    </cfRule>
  </conditionalFormatting>
  <conditionalFormatting sqref="AB340">
    <cfRule type="expression" dxfId="309" priority="488">
      <formula>MOD(ROW(),2)=1</formula>
    </cfRule>
  </conditionalFormatting>
  <conditionalFormatting sqref="AB354">
    <cfRule type="expression" dxfId="308" priority="487">
      <formula>MOD(ROW(),2)=1</formula>
    </cfRule>
  </conditionalFormatting>
  <conditionalFormatting sqref="AD20 AD24 AD48 AD50 AD52 AD54 AD26">
    <cfRule type="expression" dxfId="307" priority="485">
      <formula>MOD(ROW(),2)=1</formula>
    </cfRule>
  </conditionalFormatting>
  <conditionalFormatting sqref="AD44 AD58 AD46">
    <cfRule type="expression" dxfId="306" priority="484">
      <formula>MOD(ROW(),2)=1</formula>
    </cfRule>
  </conditionalFormatting>
  <conditionalFormatting sqref="AD64 AD66 AD68">
    <cfRule type="expression" dxfId="305" priority="483">
      <formula>MOD(ROW(),2)=1</formula>
    </cfRule>
  </conditionalFormatting>
  <conditionalFormatting sqref="AD76 AD78 AD80 AD82 AD84 AD86 AD88">
    <cfRule type="expression" dxfId="304" priority="482">
      <formula>MOD(ROW(),2)=1</formula>
    </cfRule>
  </conditionalFormatting>
  <conditionalFormatting sqref="AD94 AD96 AD98 AD100 AD102 AD104 AD106">
    <cfRule type="expression" dxfId="303" priority="481">
      <formula>MOD(ROW(),2)=1</formula>
    </cfRule>
  </conditionalFormatting>
  <conditionalFormatting sqref="AD110 AD112 AD132 AD114">
    <cfRule type="expression" dxfId="302" priority="480">
      <formula>MOD(ROW(),2)=1</formula>
    </cfRule>
  </conditionalFormatting>
  <conditionalFormatting sqref="AD148 AD150 AD152">
    <cfRule type="expression" dxfId="301" priority="479">
      <formula>MOD(ROW(),2)=1</formula>
    </cfRule>
  </conditionalFormatting>
  <conditionalFormatting sqref="AD162 AD170 AD172 AD164">
    <cfRule type="expression" dxfId="300" priority="477">
      <formula>MOD(ROW(),2)=1</formula>
    </cfRule>
  </conditionalFormatting>
  <conditionalFormatting sqref="AD180 AD182 AD184">
    <cfRule type="expression" dxfId="299" priority="476">
      <formula>MOD(ROW(),2)=1</formula>
    </cfRule>
  </conditionalFormatting>
  <conditionalFormatting sqref="AD190 AD192">
    <cfRule type="expression" dxfId="298" priority="475">
      <formula>MOD(ROW(),2)=1</formula>
    </cfRule>
  </conditionalFormatting>
  <conditionalFormatting sqref="AD196 AD202 AD198">
    <cfRule type="expression" dxfId="297" priority="474">
      <formula>MOD(ROW(),2)=1</formula>
    </cfRule>
  </conditionalFormatting>
  <conditionalFormatting sqref="AD206 AD208 AD230 AD232">
    <cfRule type="expression" dxfId="296" priority="473">
      <formula>MOD(ROW(),2)=1</formula>
    </cfRule>
  </conditionalFormatting>
  <conditionalFormatting sqref="AD240 AD242">
    <cfRule type="expression" dxfId="295" priority="472">
      <formula>MOD(ROW(),2)=1</formula>
    </cfRule>
  </conditionalFormatting>
  <conditionalFormatting sqref="AD260 AD264">
    <cfRule type="expression" dxfId="294" priority="471">
      <formula>MOD(ROW(),2)=1</formula>
    </cfRule>
  </conditionalFormatting>
  <conditionalFormatting sqref="AD266 AD268 AD270">
    <cfRule type="expression" dxfId="293" priority="470">
      <formula>MOD(ROW(),2)=1</formula>
    </cfRule>
  </conditionalFormatting>
  <conditionalFormatting sqref="AD282 AD288 AD292 AD294 AD298 AD274">
    <cfRule type="expression" dxfId="292" priority="469">
      <formula>MOD(ROW(),2)=1</formula>
    </cfRule>
  </conditionalFormatting>
  <conditionalFormatting sqref="AD302 AD316 AD310 AD312">
    <cfRule type="expression" dxfId="291" priority="468">
      <formula>MOD(ROW(),2)=1</formula>
    </cfRule>
  </conditionalFormatting>
  <conditionalFormatting sqref="AD328 AD330 AD332 AD334 AD336">
    <cfRule type="expression" dxfId="290" priority="467">
      <formula>MOD(ROW(),2)=1</formula>
    </cfRule>
  </conditionalFormatting>
  <conditionalFormatting sqref="AD346 AD348">
    <cfRule type="expression" dxfId="289" priority="466">
      <formula>MOD(ROW(),2)=1</formula>
    </cfRule>
  </conditionalFormatting>
  <conditionalFormatting sqref="AD350">
    <cfRule type="expression" dxfId="288" priority="465">
      <formula>MOD(ROW(),2)=1</formula>
    </cfRule>
  </conditionalFormatting>
  <conditionalFormatting sqref="AD370 AD372">
    <cfRule type="expression" dxfId="287" priority="464">
      <formula>MOD(ROW(),2)=1</formula>
    </cfRule>
  </conditionalFormatting>
  <conditionalFormatting sqref="AD374 AD376 AD378 AD380 AD382 AD384 AD386">
    <cfRule type="expression" dxfId="286" priority="463">
      <formula>MOD(ROW(),2)=1</formula>
    </cfRule>
  </conditionalFormatting>
  <conditionalFormatting sqref="AD392 AD404 AD394">
    <cfRule type="expression" dxfId="285" priority="461">
      <formula>MOD(ROW(),2)=1</formula>
    </cfRule>
  </conditionalFormatting>
  <conditionalFormatting sqref="AD414">
    <cfRule type="expression" dxfId="284" priority="460">
      <formula>MOD(ROW(),2)=1</formula>
    </cfRule>
  </conditionalFormatting>
  <conditionalFormatting sqref="AD418 AD420 AD422">
    <cfRule type="expression" dxfId="283" priority="459">
      <formula>MOD(ROW(),2)=1</formula>
    </cfRule>
  </conditionalFormatting>
  <conditionalFormatting sqref="Y2">
    <cfRule type="expression" dxfId="282" priority="458">
      <formula>MOD(ROW(),2)=1</formula>
    </cfRule>
  </conditionalFormatting>
  <conditionalFormatting sqref="Y6">
    <cfRule type="expression" dxfId="281" priority="457">
      <formula>MOD(ROW(),2)=1</formula>
    </cfRule>
  </conditionalFormatting>
  <conditionalFormatting sqref="Y10">
    <cfRule type="expression" dxfId="280" priority="456">
      <formula>MOD(ROW(),2)=1</formula>
    </cfRule>
  </conditionalFormatting>
  <conditionalFormatting sqref="Y14">
    <cfRule type="expression" dxfId="279" priority="454">
      <formula>MOD(ROW(),2)=1</formula>
    </cfRule>
  </conditionalFormatting>
  <conditionalFormatting sqref="Y16">
    <cfRule type="expression" dxfId="278" priority="453">
      <formula>MOD(ROW(),2)=1</formula>
    </cfRule>
  </conditionalFormatting>
  <conditionalFormatting sqref="Y20">
    <cfRule type="expression" dxfId="277" priority="452">
      <formula>MOD(ROW(),2)=1</formula>
    </cfRule>
  </conditionalFormatting>
  <conditionalFormatting sqref="Y26">
    <cfRule type="expression" dxfId="276" priority="451">
      <formula>MOD(ROW(),2)=1</formula>
    </cfRule>
  </conditionalFormatting>
  <conditionalFormatting sqref="Y30">
    <cfRule type="expression" dxfId="275" priority="450">
      <formula>MOD(ROW(),2)=1</formula>
    </cfRule>
  </conditionalFormatting>
  <conditionalFormatting sqref="Y34">
    <cfRule type="expression" dxfId="274" priority="449">
      <formula>MOD(ROW(),2)=1</formula>
    </cfRule>
  </conditionalFormatting>
  <conditionalFormatting sqref="Y38">
    <cfRule type="expression" dxfId="273" priority="448">
      <formula>MOD(ROW(),2)=1</formula>
    </cfRule>
  </conditionalFormatting>
  <conditionalFormatting sqref="Y42">
    <cfRule type="expression" dxfId="272" priority="447">
      <formula>MOD(ROW(),2)=1</formula>
    </cfRule>
  </conditionalFormatting>
  <conditionalFormatting sqref="Y50">
    <cfRule type="expression" dxfId="271" priority="446">
      <formula>MOD(ROW(),2)=1</formula>
    </cfRule>
  </conditionalFormatting>
  <conditionalFormatting sqref="Y54">
    <cfRule type="expression" dxfId="270" priority="445">
      <formula>MOD(ROW(),2)=1</formula>
    </cfRule>
  </conditionalFormatting>
  <conditionalFormatting sqref="Y46">
    <cfRule type="expression" dxfId="269" priority="444">
      <formula>MOD(ROW(),2)=1</formula>
    </cfRule>
  </conditionalFormatting>
  <conditionalFormatting sqref="Y58">
    <cfRule type="expression" dxfId="268" priority="442">
      <formula>MOD(ROW(),2)=1</formula>
    </cfRule>
  </conditionalFormatting>
  <conditionalFormatting sqref="Y62">
    <cfRule type="expression" dxfId="267" priority="433">
      <formula>MOD(ROW(),2)=1</formula>
    </cfRule>
  </conditionalFormatting>
  <conditionalFormatting sqref="Y66">
    <cfRule type="expression" dxfId="266" priority="432">
      <formula>MOD(ROW(),2)=1</formula>
    </cfRule>
  </conditionalFormatting>
  <conditionalFormatting sqref="Y68">
    <cfRule type="expression" dxfId="265" priority="431">
      <formula>MOD(ROW(),2)=1</formula>
    </cfRule>
  </conditionalFormatting>
  <conditionalFormatting sqref="Y72">
    <cfRule type="expression" dxfId="264" priority="430">
      <formula>MOD(ROW(),2)=1</formula>
    </cfRule>
  </conditionalFormatting>
  <conditionalFormatting sqref="Y76">
    <cfRule type="expression" dxfId="263" priority="429">
      <formula>MOD(ROW(),2)=1</formula>
    </cfRule>
  </conditionalFormatting>
  <conditionalFormatting sqref="Y80">
    <cfRule type="expression" dxfId="262" priority="428">
      <formula>MOD(ROW(),2)=1</formula>
    </cfRule>
  </conditionalFormatting>
  <conditionalFormatting sqref="Y86">
    <cfRule type="expression" dxfId="261" priority="427">
      <formula>MOD(ROW(),2)=1</formula>
    </cfRule>
  </conditionalFormatting>
  <conditionalFormatting sqref="Y94">
    <cfRule type="expression" dxfId="260" priority="426">
      <formula>MOD(ROW(),2)=1</formula>
    </cfRule>
  </conditionalFormatting>
  <conditionalFormatting sqref="Y98">
    <cfRule type="expression" dxfId="259" priority="425">
      <formula>MOD(ROW(),2)=1</formula>
    </cfRule>
  </conditionalFormatting>
  <conditionalFormatting sqref="Y102">
    <cfRule type="expression" dxfId="258" priority="424">
      <formula>MOD(ROW(),2)=1</formula>
    </cfRule>
  </conditionalFormatting>
  <conditionalFormatting sqref="Y106">
    <cfRule type="expression" dxfId="257" priority="422">
      <formula>MOD(ROW(),2)=1</formula>
    </cfRule>
  </conditionalFormatting>
  <conditionalFormatting sqref="Y110">
    <cfRule type="expression" dxfId="256" priority="421">
      <formula>MOD(ROW(),2)=1</formula>
    </cfRule>
  </conditionalFormatting>
  <conditionalFormatting sqref="Y114">
    <cfRule type="expression" dxfId="255" priority="420">
      <formula>MOD(ROW(),2)=1</formula>
    </cfRule>
  </conditionalFormatting>
  <conditionalFormatting sqref="Y118">
    <cfRule type="expression" dxfId="254" priority="419">
      <formula>MOD(ROW(),2)=1</formula>
    </cfRule>
  </conditionalFormatting>
  <conditionalFormatting sqref="Y122">
    <cfRule type="expression" dxfId="253" priority="418">
      <formula>MOD(ROW(),2)=1</formula>
    </cfRule>
  </conditionalFormatting>
  <conditionalFormatting sqref="Y126">
    <cfRule type="expression" dxfId="252" priority="417">
      <formula>MOD(ROW(),2)=1</formula>
    </cfRule>
  </conditionalFormatting>
  <conditionalFormatting sqref="Y130">
    <cfRule type="expression" dxfId="251" priority="416">
      <formula>MOD(ROW(),2)=1</formula>
    </cfRule>
  </conditionalFormatting>
  <conditionalFormatting sqref="Y134">
    <cfRule type="expression" dxfId="250" priority="415">
      <formula>MOD(ROW(),2)=1</formula>
    </cfRule>
  </conditionalFormatting>
  <conditionalFormatting sqref="Y138">
    <cfRule type="expression" dxfId="249" priority="414">
      <formula>MOD(ROW(),2)=1</formula>
    </cfRule>
  </conditionalFormatting>
  <conditionalFormatting sqref="Y142">
    <cfRule type="expression" dxfId="248" priority="413">
      <formula>MOD(ROW(),2)=1</formula>
    </cfRule>
  </conditionalFormatting>
  <conditionalFormatting sqref="Y146">
    <cfRule type="expression" dxfId="247" priority="412">
      <formula>MOD(ROW(),2)=1</formula>
    </cfRule>
  </conditionalFormatting>
  <conditionalFormatting sqref="Y150">
    <cfRule type="expression" dxfId="246" priority="409">
      <formula>MOD(ROW(),2)=1</formula>
    </cfRule>
  </conditionalFormatting>
  <conditionalFormatting sqref="Y160">
    <cfRule type="expression" dxfId="245" priority="408">
      <formula>MOD(ROW(),2)=1</formula>
    </cfRule>
  </conditionalFormatting>
  <conditionalFormatting sqref="Y164">
    <cfRule type="expression" dxfId="244" priority="403">
      <formula>MOD(ROW(),2)=1</formula>
    </cfRule>
  </conditionalFormatting>
  <conditionalFormatting sqref="Y166">
    <cfRule type="expression" dxfId="243" priority="402">
      <formula>MOD(ROW(),2)=1</formula>
    </cfRule>
  </conditionalFormatting>
  <conditionalFormatting sqref="Y170">
    <cfRule type="expression" dxfId="242" priority="401">
      <formula>MOD(ROW(),2)=1</formula>
    </cfRule>
  </conditionalFormatting>
  <conditionalFormatting sqref="Y178">
    <cfRule type="expression" dxfId="241" priority="396">
      <formula>MOD(ROW(),2)=1</formula>
    </cfRule>
  </conditionalFormatting>
  <conditionalFormatting sqref="Y180">
    <cfRule type="expression" dxfId="240" priority="395">
      <formula>MOD(ROW(),2)=1</formula>
    </cfRule>
  </conditionalFormatting>
  <conditionalFormatting sqref="Y184">
    <cfRule type="expression" dxfId="239" priority="394">
      <formula>MOD(ROW(),2)=1</formula>
    </cfRule>
  </conditionalFormatting>
  <conditionalFormatting sqref="Y188">
    <cfRule type="expression" dxfId="238" priority="393">
      <formula>MOD(ROW(),2)=1</formula>
    </cfRule>
  </conditionalFormatting>
  <conditionalFormatting sqref="Y190">
    <cfRule type="expression" dxfId="237" priority="392">
      <formula>MOD(ROW(),2)=1</formula>
    </cfRule>
  </conditionalFormatting>
  <conditionalFormatting sqref="Y192">
    <cfRule type="expression" dxfId="236" priority="391">
      <formula>MOD(ROW(),2)=1</formula>
    </cfRule>
  </conditionalFormatting>
  <conditionalFormatting sqref="Y196">
    <cfRule type="expression" dxfId="235" priority="390">
      <formula>MOD(ROW(),2)=1</formula>
    </cfRule>
  </conditionalFormatting>
  <conditionalFormatting sqref="Y198">
    <cfRule type="expression" dxfId="234" priority="389">
      <formula>MOD(ROW(),2)=1</formula>
    </cfRule>
  </conditionalFormatting>
  <conditionalFormatting sqref="Y202">
    <cfRule type="expression" dxfId="233" priority="385">
      <formula>MOD(ROW(),2)=1</formula>
    </cfRule>
  </conditionalFormatting>
  <conditionalFormatting sqref="Y206">
    <cfRule type="expression" dxfId="232" priority="384">
      <formula>MOD(ROW(),2)=1</formula>
    </cfRule>
  </conditionalFormatting>
  <conditionalFormatting sqref="Y216">
    <cfRule type="expression" dxfId="231" priority="382">
      <formula>MOD(ROW(),2)=1</formula>
    </cfRule>
  </conditionalFormatting>
  <conditionalFormatting sqref="Y230">
    <cfRule type="expression" dxfId="230" priority="381">
      <formula>MOD(ROW(),2)=1</formula>
    </cfRule>
  </conditionalFormatting>
  <conditionalFormatting sqref="Y242">
    <cfRule type="expression" dxfId="229" priority="378">
      <formula>MOD(ROW(),2)=1</formula>
    </cfRule>
  </conditionalFormatting>
  <conditionalFormatting sqref="Y260">
    <cfRule type="expression" dxfId="228" priority="375">
      <formula>MOD(ROW(),2)=1</formula>
    </cfRule>
  </conditionalFormatting>
  <conditionalFormatting sqref="Y266">
    <cfRule type="expression" dxfId="227" priority="374">
      <formula>MOD(ROW(),2)=1</formula>
    </cfRule>
  </conditionalFormatting>
  <conditionalFormatting sqref="Y270">
    <cfRule type="expression" dxfId="226" priority="373">
      <formula>MOD(ROW(),2)=1</formula>
    </cfRule>
  </conditionalFormatting>
  <conditionalFormatting sqref="Y274">
    <cfRule type="expression" dxfId="225" priority="371">
      <formula>MOD(ROW(),2)=1</formula>
    </cfRule>
  </conditionalFormatting>
  <conditionalFormatting sqref="Y278">
    <cfRule type="expression" dxfId="224" priority="370">
      <formula>MOD(ROW(),2)=1</formula>
    </cfRule>
  </conditionalFormatting>
  <conditionalFormatting sqref="Y288">
    <cfRule type="expression" dxfId="223" priority="369">
      <formula>MOD(ROW(),2)=1</formula>
    </cfRule>
  </conditionalFormatting>
  <conditionalFormatting sqref="Y298">
    <cfRule type="expression" dxfId="222" priority="366">
      <formula>MOD(ROW(),2)=1</formula>
    </cfRule>
  </conditionalFormatting>
  <conditionalFormatting sqref="Y302">
    <cfRule type="expression" dxfId="221" priority="365">
      <formula>MOD(ROW(),2)=1</formula>
    </cfRule>
  </conditionalFormatting>
  <conditionalFormatting sqref="Y304">
    <cfRule type="expression" dxfId="220" priority="364">
      <formula>MOD(ROW(),2)=1</formula>
    </cfRule>
  </conditionalFormatting>
  <conditionalFormatting sqref="Y308">
    <cfRule type="expression" dxfId="219" priority="363">
      <formula>MOD(ROW(),2)=1</formula>
    </cfRule>
  </conditionalFormatting>
  <conditionalFormatting sqref="Y316">
    <cfRule type="expression" dxfId="218" priority="362">
      <formula>MOD(ROW(),2)=1</formula>
    </cfRule>
  </conditionalFormatting>
  <conditionalFormatting sqref="Y318">
    <cfRule type="expression" dxfId="217" priority="361">
      <formula>MOD(ROW(),2)=1</formula>
    </cfRule>
  </conditionalFormatting>
  <conditionalFormatting sqref="Y320">
    <cfRule type="expression" dxfId="216" priority="360">
      <formula>MOD(ROW(),2)=1</formula>
    </cfRule>
  </conditionalFormatting>
  <conditionalFormatting sqref="Y324">
    <cfRule type="expression" dxfId="215" priority="359">
      <formula>MOD(ROW(),2)=1</formula>
    </cfRule>
  </conditionalFormatting>
  <conditionalFormatting sqref="Y328">
    <cfRule type="expression" dxfId="214" priority="358">
      <formula>MOD(ROW(),2)=1</formula>
    </cfRule>
  </conditionalFormatting>
  <conditionalFormatting sqref="Y332">
    <cfRule type="expression" dxfId="213" priority="357">
      <formula>MOD(ROW(),2)=1</formula>
    </cfRule>
  </conditionalFormatting>
  <conditionalFormatting sqref="Y336">
    <cfRule type="expression" dxfId="212" priority="356">
      <formula>MOD(ROW(),2)=1</formula>
    </cfRule>
  </conditionalFormatting>
  <conditionalFormatting sqref="Y346">
    <cfRule type="expression" dxfId="211" priority="353">
      <formula>MOD(ROW(),2)=1</formula>
    </cfRule>
  </conditionalFormatting>
  <conditionalFormatting sqref="Y348">
    <cfRule type="expression" dxfId="210" priority="352">
      <formula>MOD(ROW(),2)=1</formula>
    </cfRule>
  </conditionalFormatting>
  <conditionalFormatting sqref="Y354">
    <cfRule type="expression" dxfId="209" priority="350">
      <formula>MOD(ROW(),2)=1</formula>
    </cfRule>
  </conditionalFormatting>
  <conditionalFormatting sqref="Y358">
    <cfRule type="expression" dxfId="208" priority="349">
      <formula>MOD(ROW(),2)=1</formula>
    </cfRule>
  </conditionalFormatting>
  <conditionalFormatting sqref="Y362">
    <cfRule type="expression" dxfId="207" priority="348">
      <formula>MOD(ROW(),2)=1</formula>
    </cfRule>
  </conditionalFormatting>
  <conditionalFormatting sqref="Y370">
    <cfRule type="expression" dxfId="206" priority="344">
      <formula>MOD(ROW(),2)=1</formula>
    </cfRule>
  </conditionalFormatting>
  <conditionalFormatting sqref="Y374">
    <cfRule type="expression" dxfId="205" priority="343">
      <formula>MOD(ROW(),2)=1</formula>
    </cfRule>
  </conditionalFormatting>
  <conditionalFormatting sqref="Y378">
    <cfRule type="expression" dxfId="204" priority="342">
      <formula>MOD(ROW(),2)=1</formula>
    </cfRule>
  </conditionalFormatting>
  <conditionalFormatting sqref="Y380">
    <cfRule type="expression" dxfId="203" priority="341">
      <formula>MOD(ROW(),2)=1</formula>
    </cfRule>
  </conditionalFormatting>
  <conditionalFormatting sqref="Y384">
    <cfRule type="expression" dxfId="202" priority="340">
      <formula>MOD(ROW(),2)=1</formula>
    </cfRule>
  </conditionalFormatting>
  <conditionalFormatting sqref="Y390">
    <cfRule type="expression" dxfId="201" priority="338">
      <formula>MOD(ROW(),2)=1</formula>
    </cfRule>
  </conditionalFormatting>
  <conditionalFormatting sqref="Y394">
    <cfRule type="expression" dxfId="200" priority="332">
      <formula>MOD(ROW(),2)=1</formula>
    </cfRule>
  </conditionalFormatting>
  <conditionalFormatting sqref="Y398">
    <cfRule type="expression" dxfId="199" priority="331">
      <formula>MOD(ROW(),2)=1</formula>
    </cfRule>
  </conditionalFormatting>
  <conditionalFormatting sqref="Y402">
    <cfRule type="expression" dxfId="198" priority="330">
      <formula>MOD(ROW(),2)=1</formula>
    </cfRule>
  </conditionalFormatting>
  <conditionalFormatting sqref="Y404">
    <cfRule type="expression" dxfId="197" priority="328">
      <formula>MOD(ROW(),2)=1</formula>
    </cfRule>
  </conditionalFormatting>
  <conditionalFormatting sqref="Y408">
    <cfRule type="expression" dxfId="196" priority="327">
      <formula>MOD(ROW(),2)=1</formula>
    </cfRule>
  </conditionalFormatting>
  <conditionalFormatting sqref="Y412">
    <cfRule type="expression" dxfId="195" priority="326">
      <formula>MOD(ROW(),2)=1</formula>
    </cfRule>
  </conditionalFormatting>
  <conditionalFormatting sqref="Y422">
    <cfRule type="expression" dxfId="194" priority="325">
      <formula>MOD(ROW(),2)=1</formula>
    </cfRule>
  </conditionalFormatting>
  <conditionalFormatting sqref="Y426">
    <cfRule type="expression" dxfId="193" priority="324">
      <formula>MOD(ROW(),2)=1</formula>
    </cfRule>
  </conditionalFormatting>
  <conditionalFormatting sqref="Y430">
    <cfRule type="expression" dxfId="192" priority="323">
      <formula>MOD(ROW(),2)=1</formula>
    </cfRule>
  </conditionalFormatting>
  <conditionalFormatting sqref="Y434">
    <cfRule type="expression" dxfId="191" priority="322">
      <formula>MOD(ROW(),2)=1</formula>
    </cfRule>
  </conditionalFormatting>
  <conditionalFormatting sqref="Y438">
    <cfRule type="expression" dxfId="190" priority="321">
      <formula>MOD(ROW(),2)=1</formula>
    </cfRule>
  </conditionalFormatting>
  <conditionalFormatting sqref="Y442">
    <cfRule type="expression" dxfId="189" priority="320">
      <formula>MOD(ROW(),2)=1</formula>
    </cfRule>
  </conditionalFormatting>
  <conditionalFormatting sqref="Y446">
    <cfRule type="expression" dxfId="188" priority="319">
      <formula>MOD(ROW(),2)=1</formula>
    </cfRule>
  </conditionalFormatting>
  <conditionalFormatting sqref="Y450">
    <cfRule type="expression" dxfId="187" priority="318">
      <formula>MOD(ROW(),2)=1</formula>
    </cfRule>
  </conditionalFormatting>
  <conditionalFormatting sqref="Y454">
    <cfRule type="expression" dxfId="186" priority="317">
      <formula>MOD(ROW(),2)=1</formula>
    </cfRule>
  </conditionalFormatting>
  <conditionalFormatting sqref="W2">
    <cfRule type="expression" dxfId="185" priority="316">
      <formula>MOD(ROW(),2)=1</formula>
    </cfRule>
  </conditionalFormatting>
  <conditionalFormatting sqref="W6">
    <cfRule type="expression" dxfId="184" priority="315">
      <formula>MOD(ROW(),2)=1</formula>
    </cfRule>
  </conditionalFormatting>
  <conditionalFormatting sqref="W10">
    <cfRule type="expression" dxfId="183" priority="314">
      <formula>MOD(ROW(),2)=1</formula>
    </cfRule>
  </conditionalFormatting>
  <conditionalFormatting sqref="W14">
    <cfRule type="expression" dxfId="182" priority="312">
      <formula>MOD(ROW(),2)=1</formula>
    </cfRule>
  </conditionalFormatting>
  <conditionalFormatting sqref="W16">
    <cfRule type="expression" dxfId="181" priority="311">
      <formula>MOD(ROW(),2)=1</formula>
    </cfRule>
  </conditionalFormatting>
  <conditionalFormatting sqref="W20">
    <cfRule type="expression" dxfId="180" priority="310">
      <formula>MOD(ROW(),2)=1</formula>
    </cfRule>
  </conditionalFormatting>
  <conditionalFormatting sqref="W26">
    <cfRule type="expression" dxfId="179" priority="309">
      <formula>MOD(ROW(),2)=1</formula>
    </cfRule>
  </conditionalFormatting>
  <conditionalFormatting sqref="W30">
    <cfRule type="expression" dxfId="178" priority="308">
      <formula>MOD(ROW(),2)=1</formula>
    </cfRule>
  </conditionalFormatting>
  <conditionalFormatting sqref="W34">
    <cfRule type="expression" dxfId="177" priority="307">
      <formula>MOD(ROW(),2)=1</formula>
    </cfRule>
  </conditionalFormatting>
  <conditionalFormatting sqref="W38">
    <cfRule type="expression" dxfId="176" priority="306">
      <formula>MOD(ROW(),2)=1</formula>
    </cfRule>
  </conditionalFormatting>
  <conditionalFormatting sqref="W42">
    <cfRule type="expression" dxfId="175" priority="305">
      <formula>MOD(ROW(),2)=1</formula>
    </cfRule>
  </conditionalFormatting>
  <conditionalFormatting sqref="W50">
    <cfRule type="expression" dxfId="174" priority="304">
      <formula>MOD(ROW(),2)=1</formula>
    </cfRule>
  </conditionalFormatting>
  <conditionalFormatting sqref="W54">
    <cfRule type="expression" dxfId="173" priority="303">
      <formula>MOD(ROW(),2)=1</formula>
    </cfRule>
  </conditionalFormatting>
  <conditionalFormatting sqref="W46">
    <cfRule type="expression" dxfId="172" priority="302">
      <formula>MOD(ROW(),2)=1</formula>
    </cfRule>
  </conditionalFormatting>
  <conditionalFormatting sqref="W58">
    <cfRule type="expression" dxfId="171" priority="300">
      <formula>MOD(ROW(),2)=1</formula>
    </cfRule>
  </conditionalFormatting>
  <conditionalFormatting sqref="W62">
    <cfRule type="expression" dxfId="170" priority="291">
      <formula>MOD(ROW(),2)=1</formula>
    </cfRule>
  </conditionalFormatting>
  <conditionalFormatting sqref="W66">
    <cfRule type="expression" dxfId="169" priority="290">
      <formula>MOD(ROW(),2)=1</formula>
    </cfRule>
  </conditionalFormatting>
  <conditionalFormatting sqref="W68">
    <cfRule type="expression" dxfId="168" priority="289">
      <formula>MOD(ROW(),2)=1</formula>
    </cfRule>
  </conditionalFormatting>
  <conditionalFormatting sqref="W72">
    <cfRule type="expression" dxfId="167" priority="288">
      <formula>MOD(ROW(),2)=1</formula>
    </cfRule>
  </conditionalFormatting>
  <conditionalFormatting sqref="W76">
    <cfRule type="expression" dxfId="166" priority="287">
      <formula>MOD(ROW(),2)=1</formula>
    </cfRule>
  </conditionalFormatting>
  <conditionalFormatting sqref="W80">
    <cfRule type="expression" dxfId="165" priority="286">
      <formula>MOD(ROW(),2)=1</formula>
    </cfRule>
  </conditionalFormatting>
  <conditionalFormatting sqref="W86">
    <cfRule type="expression" dxfId="164" priority="285">
      <formula>MOD(ROW(),2)=1</formula>
    </cfRule>
  </conditionalFormatting>
  <conditionalFormatting sqref="W94">
    <cfRule type="expression" dxfId="163" priority="284">
      <formula>MOD(ROW(),2)=1</formula>
    </cfRule>
  </conditionalFormatting>
  <conditionalFormatting sqref="W98">
    <cfRule type="expression" dxfId="162" priority="283">
      <formula>MOD(ROW(),2)=1</formula>
    </cfRule>
  </conditionalFormatting>
  <conditionalFormatting sqref="W102">
    <cfRule type="expression" dxfId="161" priority="282">
      <formula>MOD(ROW(),2)=1</formula>
    </cfRule>
  </conditionalFormatting>
  <conditionalFormatting sqref="W106">
    <cfRule type="expression" dxfId="160" priority="280">
      <formula>MOD(ROW(),2)=1</formula>
    </cfRule>
  </conditionalFormatting>
  <conditionalFormatting sqref="W110">
    <cfRule type="expression" dxfId="159" priority="279">
      <formula>MOD(ROW(),2)=1</formula>
    </cfRule>
  </conditionalFormatting>
  <conditionalFormatting sqref="W114">
    <cfRule type="expression" dxfId="158" priority="278">
      <formula>MOD(ROW(),2)=1</formula>
    </cfRule>
  </conditionalFormatting>
  <conditionalFormatting sqref="W118">
    <cfRule type="expression" dxfId="157" priority="277">
      <formula>MOD(ROW(),2)=1</formula>
    </cfRule>
  </conditionalFormatting>
  <conditionalFormatting sqref="W122">
    <cfRule type="expression" dxfId="156" priority="276">
      <formula>MOD(ROW(),2)=1</formula>
    </cfRule>
  </conditionalFormatting>
  <conditionalFormatting sqref="W126">
    <cfRule type="expression" dxfId="155" priority="275">
      <formula>MOD(ROW(),2)=1</formula>
    </cfRule>
  </conditionalFormatting>
  <conditionalFormatting sqref="W130">
    <cfRule type="expression" dxfId="154" priority="274">
      <formula>MOD(ROW(),2)=1</formula>
    </cfRule>
  </conditionalFormatting>
  <conditionalFormatting sqref="W134">
    <cfRule type="expression" dxfId="153" priority="273">
      <formula>MOD(ROW(),2)=1</formula>
    </cfRule>
  </conditionalFormatting>
  <conditionalFormatting sqref="W138">
    <cfRule type="expression" dxfId="152" priority="272">
      <formula>MOD(ROW(),2)=1</formula>
    </cfRule>
  </conditionalFormatting>
  <conditionalFormatting sqref="W142">
    <cfRule type="expression" dxfId="151" priority="271">
      <formula>MOD(ROW(),2)=1</formula>
    </cfRule>
  </conditionalFormatting>
  <conditionalFormatting sqref="W146">
    <cfRule type="expression" dxfId="150" priority="270">
      <formula>MOD(ROW(),2)=1</formula>
    </cfRule>
  </conditionalFormatting>
  <conditionalFormatting sqref="W150">
    <cfRule type="expression" dxfId="149" priority="267">
      <formula>MOD(ROW(),2)=1</formula>
    </cfRule>
  </conditionalFormatting>
  <conditionalFormatting sqref="W160">
    <cfRule type="expression" dxfId="148" priority="266">
      <formula>MOD(ROW(),2)=1</formula>
    </cfRule>
  </conditionalFormatting>
  <conditionalFormatting sqref="W164">
    <cfRule type="expression" dxfId="147" priority="261">
      <formula>MOD(ROW(),2)=1</formula>
    </cfRule>
  </conditionalFormatting>
  <conditionalFormatting sqref="W166">
    <cfRule type="expression" dxfId="146" priority="260">
      <formula>MOD(ROW(),2)=1</formula>
    </cfRule>
  </conditionalFormatting>
  <conditionalFormatting sqref="W170">
    <cfRule type="expression" dxfId="145" priority="259">
      <formula>MOD(ROW(),2)=1</formula>
    </cfRule>
  </conditionalFormatting>
  <conditionalFormatting sqref="W178">
    <cfRule type="expression" dxfId="144" priority="254">
      <formula>MOD(ROW(),2)=1</formula>
    </cfRule>
  </conditionalFormatting>
  <conditionalFormatting sqref="W180">
    <cfRule type="expression" dxfId="143" priority="253">
      <formula>MOD(ROW(),2)=1</formula>
    </cfRule>
  </conditionalFormatting>
  <conditionalFormatting sqref="W184">
    <cfRule type="expression" dxfId="142" priority="252">
      <formula>MOD(ROW(),2)=1</formula>
    </cfRule>
  </conditionalFormatting>
  <conditionalFormatting sqref="W188">
    <cfRule type="expression" dxfId="141" priority="251">
      <formula>MOD(ROW(),2)=1</formula>
    </cfRule>
  </conditionalFormatting>
  <conditionalFormatting sqref="W190">
    <cfRule type="expression" dxfId="140" priority="250">
      <formula>MOD(ROW(),2)=1</formula>
    </cfRule>
  </conditionalFormatting>
  <conditionalFormatting sqref="W192">
    <cfRule type="expression" dxfId="139" priority="249">
      <formula>MOD(ROW(),2)=1</formula>
    </cfRule>
  </conditionalFormatting>
  <conditionalFormatting sqref="W196">
    <cfRule type="expression" dxfId="138" priority="248">
      <formula>MOD(ROW(),2)=1</formula>
    </cfRule>
  </conditionalFormatting>
  <conditionalFormatting sqref="W198">
    <cfRule type="expression" dxfId="137" priority="247">
      <formula>MOD(ROW(),2)=1</formula>
    </cfRule>
  </conditionalFormatting>
  <conditionalFormatting sqref="W202">
    <cfRule type="expression" dxfId="136" priority="243">
      <formula>MOD(ROW(),2)=1</formula>
    </cfRule>
  </conditionalFormatting>
  <conditionalFormatting sqref="W206">
    <cfRule type="expression" dxfId="135" priority="242">
      <formula>MOD(ROW(),2)=1</formula>
    </cfRule>
  </conditionalFormatting>
  <conditionalFormatting sqref="W216">
    <cfRule type="expression" dxfId="134" priority="240">
      <formula>MOD(ROW(),2)=1</formula>
    </cfRule>
  </conditionalFormatting>
  <conditionalFormatting sqref="W230">
    <cfRule type="expression" dxfId="133" priority="239">
      <formula>MOD(ROW(),2)=1</formula>
    </cfRule>
  </conditionalFormatting>
  <conditionalFormatting sqref="W242">
    <cfRule type="expression" dxfId="132" priority="236">
      <formula>MOD(ROW(),2)=1</formula>
    </cfRule>
  </conditionalFormatting>
  <conditionalFormatting sqref="W260">
    <cfRule type="expression" dxfId="131" priority="233">
      <formula>MOD(ROW(),2)=1</formula>
    </cfRule>
  </conditionalFormatting>
  <conditionalFormatting sqref="W266">
    <cfRule type="expression" dxfId="130" priority="232">
      <formula>MOD(ROW(),2)=1</formula>
    </cfRule>
  </conditionalFormatting>
  <conditionalFormatting sqref="W270">
    <cfRule type="expression" dxfId="129" priority="231">
      <formula>MOD(ROW(),2)=1</formula>
    </cfRule>
  </conditionalFormatting>
  <conditionalFormatting sqref="W274">
    <cfRule type="expression" dxfId="128" priority="229">
      <formula>MOD(ROW(),2)=1</formula>
    </cfRule>
  </conditionalFormatting>
  <conditionalFormatting sqref="W278">
    <cfRule type="expression" dxfId="127" priority="228">
      <formula>MOD(ROW(),2)=1</formula>
    </cfRule>
  </conditionalFormatting>
  <conditionalFormatting sqref="W288">
    <cfRule type="expression" dxfId="126" priority="227">
      <formula>MOD(ROW(),2)=1</formula>
    </cfRule>
  </conditionalFormatting>
  <conditionalFormatting sqref="W298">
    <cfRule type="expression" dxfId="125" priority="224">
      <formula>MOD(ROW(),2)=1</formula>
    </cfRule>
  </conditionalFormatting>
  <conditionalFormatting sqref="W302">
    <cfRule type="expression" dxfId="124" priority="223">
      <formula>MOD(ROW(),2)=1</formula>
    </cfRule>
  </conditionalFormatting>
  <conditionalFormatting sqref="W304">
    <cfRule type="expression" dxfId="123" priority="222">
      <formula>MOD(ROW(),2)=1</formula>
    </cfRule>
  </conditionalFormatting>
  <conditionalFormatting sqref="W308">
    <cfRule type="expression" dxfId="122" priority="221">
      <formula>MOD(ROW(),2)=1</formula>
    </cfRule>
  </conditionalFormatting>
  <conditionalFormatting sqref="W316">
    <cfRule type="expression" dxfId="121" priority="220">
      <formula>MOD(ROW(),2)=1</formula>
    </cfRule>
  </conditionalFormatting>
  <conditionalFormatting sqref="W318">
    <cfRule type="expression" dxfId="120" priority="219">
      <formula>MOD(ROW(),2)=1</formula>
    </cfRule>
  </conditionalFormatting>
  <conditionalFormatting sqref="W320">
    <cfRule type="expression" dxfId="119" priority="218">
      <formula>MOD(ROW(),2)=1</formula>
    </cfRule>
  </conditionalFormatting>
  <conditionalFormatting sqref="W324">
    <cfRule type="expression" dxfId="118" priority="217">
      <formula>MOD(ROW(),2)=1</formula>
    </cfRule>
  </conditionalFormatting>
  <conditionalFormatting sqref="W328">
    <cfRule type="expression" dxfId="117" priority="216">
      <formula>MOD(ROW(),2)=1</formula>
    </cfRule>
  </conditionalFormatting>
  <conditionalFormatting sqref="W332">
    <cfRule type="expression" dxfId="116" priority="215">
      <formula>MOD(ROW(),2)=1</formula>
    </cfRule>
  </conditionalFormatting>
  <conditionalFormatting sqref="W336">
    <cfRule type="expression" dxfId="115" priority="214">
      <formula>MOD(ROW(),2)=1</formula>
    </cfRule>
  </conditionalFormatting>
  <conditionalFormatting sqref="W346">
    <cfRule type="expression" dxfId="114" priority="211">
      <formula>MOD(ROW(),2)=1</formula>
    </cfRule>
  </conditionalFormatting>
  <conditionalFormatting sqref="W348">
    <cfRule type="expression" dxfId="113" priority="210">
      <formula>MOD(ROW(),2)=1</formula>
    </cfRule>
  </conditionalFormatting>
  <conditionalFormatting sqref="W354">
    <cfRule type="expression" dxfId="112" priority="208">
      <formula>MOD(ROW(),2)=1</formula>
    </cfRule>
  </conditionalFormatting>
  <conditionalFormatting sqref="W358">
    <cfRule type="expression" dxfId="111" priority="207">
      <formula>MOD(ROW(),2)=1</formula>
    </cfRule>
  </conditionalFormatting>
  <conditionalFormatting sqref="W362">
    <cfRule type="expression" dxfId="110" priority="206">
      <formula>MOD(ROW(),2)=1</formula>
    </cfRule>
  </conditionalFormatting>
  <conditionalFormatting sqref="W370">
    <cfRule type="expression" dxfId="109" priority="202">
      <formula>MOD(ROW(),2)=1</formula>
    </cfRule>
  </conditionalFormatting>
  <conditionalFormatting sqref="W374">
    <cfRule type="expression" dxfId="108" priority="201">
      <formula>MOD(ROW(),2)=1</formula>
    </cfRule>
  </conditionalFormatting>
  <conditionalFormatting sqref="W378">
    <cfRule type="expression" dxfId="107" priority="200">
      <formula>MOD(ROW(),2)=1</formula>
    </cfRule>
  </conditionalFormatting>
  <conditionalFormatting sqref="W380">
    <cfRule type="expression" dxfId="106" priority="199">
      <formula>MOD(ROW(),2)=1</formula>
    </cfRule>
  </conditionalFormatting>
  <conditionalFormatting sqref="W384">
    <cfRule type="expression" dxfId="105" priority="198">
      <formula>MOD(ROW(),2)=1</formula>
    </cfRule>
  </conditionalFormatting>
  <conditionalFormatting sqref="W390">
    <cfRule type="expression" dxfId="104" priority="196">
      <formula>MOD(ROW(),2)=1</formula>
    </cfRule>
  </conditionalFormatting>
  <conditionalFormatting sqref="W394">
    <cfRule type="expression" dxfId="103" priority="190">
      <formula>MOD(ROW(),2)=1</formula>
    </cfRule>
  </conditionalFormatting>
  <conditionalFormatting sqref="W398">
    <cfRule type="expression" dxfId="102" priority="189">
      <formula>MOD(ROW(),2)=1</formula>
    </cfRule>
  </conditionalFormatting>
  <conditionalFormatting sqref="W402">
    <cfRule type="expression" dxfId="101" priority="188">
      <formula>MOD(ROW(),2)=1</formula>
    </cfRule>
  </conditionalFormatting>
  <conditionalFormatting sqref="W404">
    <cfRule type="expression" dxfId="100" priority="186">
      <formula>MOD(ROW(),2)=1</formula>
    </cfRule>
  </conditionalFormatting>
  <conditionalFormatting sqref="W408">
    <cfRule type="expression" dxfId="99" priority="185">
      <formula>MOD(ROW(),2)=1</formula>
    </cfRule>
  </conditionalFormatting>
  <conditionalFormatting sqref="W412">
    <cfRule type="expression" dxfId="98" priority="184">
      <formula>MOD(ROW(),2)=1</formula>
    </cfRule>
  </conditionalFormatting>
  <conditionalFormatting sqref="W422">
    <cfRule type="expression" dxfId="97" priority="183">
      <formula>MOD(ROW(),2)=1</formula>
    </cfRule>
  </conditionalFormatting>
  <conditionalFormatting sqref="W426">
    <cfRule type="expression" dxfId="96" priority="182">
      <formula>MOD(ROW(),2)=1</formula>
    </cfRule>
  </conditionalFormatting>
  <conditionalFormatting sqref="W430">
    <cfRule type="expression" dxfId="95" priority="181">
      <formula>MOD(ROW(),2)=1</formula>
    </cfRule>
  </conditionalFormatting>
  <conditionalFormatting sqref="W434">
    <cfRule type="expression" dxfId="94" priority="180">
      <formula>MOD(ROW(),2)=1</formula>
    </cfRule>
  </conditionalFormatting>
  <conditionalFormatting sqref="W438">
    <cfRule type="expression" dxfId="93" priority="179">
      <formula>MOD(ROW(),2)=1</formula>
    </cfRule>
  </conditionalFormatting>
  <conditionalFormatting sqref="W442">
    <cfRule type="expression" dxfId="92" priority="178">
      <formula>MOD(ROW(),2)=1</formula>
    </cfRule>
  </conditionalFormatting>
  <conditionalFormatting sqref="W446">
    <cfRule type="expression" dxfId="91" priority="177">
      <formula>MOD(ROW(),2)=1</formula>
    </cfRule>
  </conditionalFormatting>
  <conditionalFormatting sqref="W450">
    <cfRule type="expression" dxfId="90" priority="176">
      <formula>MOD(ROW(),2)=1</formula>
    </cfRule>
  </conditionalFormatting>
  <conditionalFormatting sqref="W454">
    <cfRule type="expression" dxfId="89" priority="175">
      <formula>MOD(ROW(),2)=1</formula>
    </cfRule>
  </conditionalFormatting>
  <conditionalFormatting sqref="M2:P2">
    <cfRule type="expression" dxfId="88" priority="174">
      <formula>MOD(ROW(),2)=1</formula>
    </cfRule>
  </conditionalFormatting>
  <conditionalFormatting sqref="H4:I4">
    <cfRule type="expression" dxfId="87" priority="173">
      <formula>MOD(ROW(),2)=1</formula>
    </cfRule>
  </conditionalFormatting>
  <conditionalFormatting sqref="E4:I4">
    <cfRule type="expression" dxfId="86" priority="172">
      <formula>MOD(ROW(),2)=1</formula>
    </cfRule>
  </conditionalFormatting>
  <conditionalFormatting sqref="I62">
    <cfRule type="expression" dxfId="85" priority="169">
      <formula>MOD(ROW(),2)=1</formula>
    </cfRule>
  </conditionalFormatting>
  <conditionalFormatting sqref="E268:I268">
    <cfRule type="expression" dxfId="84" priority="167">
      <formula>MOD(ROW(),2)=1</formula>
    </cfRule>
  </conditionalFormatting>
  <conditionalFormatting sqref="E266:I266">
    <cfRule type="expression" dxfId="83" priority="168">
      <formula>MOD(ROW(),2)=1</formula>
    </cfRule>
  </conditionalFormatting>
  <conditionalFormatting sqref="J276">
    <cfRule type="expression" dxfId="82" priority="166">
      <formula>MOD(ROW(),2)=1</formula>
    </cfRule>
  </conditionalFormatting>
  <conditionalFormatting sqref="I276">
    <cfRule type="expression" dxfId="81" priority="165">
      <formula>MOD(ROW(),2)=1</formula>
    </cfRule>
  </conditionalFormatting>
  <conditionalFormatting sqref="I374">
    <cfRule type="expression" dxfId="80" priority="156">
      <formula>MOD(ROW(),2)=1</formula>
    </cfRule>
  </conditionalFormatting>
  <conditionalFormatting sqref="AC284 AG284">
    <cfRule type="expression" dxfId="79" priority="118">
      <formula>MOD(ROW(),2)=1</formula>
    </cfRule>
  </conditionalFormatting>
  <conditionalFormatting sqref="AD284">
    <cfRule type="expression" dxfId="78" priority="117">
      <formula>MOD(ROW(),2)=1</formula>
    </cfRule>
  </conditionalFormatting>
  <conditionalFormatting sqref="AC286 AG286">
    <cfRule type="expression" dxfId="77" priority="116">
      <formula>MOD(ROW(),2)=1</formula>
    </cfRule>
  </conditionalFormatting>
  <conditionalFormatting sqref="AD286">
    <cfRule type="expression" dxfId="76" priority="115">
      <formula>MOD(ROW(),2)=1</formula>
    </cfRule>
  </conditionalFormatting>
  <conditionalFormatting sqref="I234 I238">
    <cfRule type="expression" dxfId="75" priority="113">
      <formula>MOD(ROW(),2)=1</formula>
    </cfRule>
  </conditionalFormatting>
  <conditionalFormatting sqref="J238">
    <cfRule type="expression" dxfId="74" priority="114">
      <formula>MOD(ROW(),2)=1</formula>
    </cfRule>
  </conditionalFormatting>
  <conditionalFormatting sqref="AB236">
    <cfRule type="expression" dxfId="73" priority="112">
      <formula>MOD(ROW(),2)=1</formula>
    </cfRule>
  </conditionalFormatting>
  <conditionalFormatting sqref="AD234 AD236 AD238">
    <cfRule type="expression" dxfId="72" priority="111">
      <formula>MOD(ROW(),2)=1</formula>
    </cfRule>
  </conditionalFormatting>
  <conditionalFormatting sqref="U2">
    <cfRule type="expression" dxfId="71" priority="110">
      <formula>MOD(ROW(),2)=1</formula>
    </cfRule>
  </conditionalFormatting>
  <conditionalFormatting sqref="U8 U10 U6">
    <cfRule type="expression" dxfId="70" priority="109">
      <formula>MOD(ROW(),2)=1</formula>
    </cfRule>
  </conditionalFormatting>
  <conditionalFormatting sqref="U14">
    <cfRule type="expression" dxfId="69" priority="108">
      <formula>MOD(ROW(),2)=1</formula>
    </cfRule>
  </conditionalFormatting>
  <conditionalFormatting sqref="U20 U22 U18">
    <cfRule type="expression" dxfId="68" priority="107">
      <formula>MOD(ROW(),2)=1</formula>
    </cfRule>
  </conditionalFormatting>
  <conditionalFormatting sqref="U28 U30 U26">
    <cfRule type="expression" dxfId="67" priority="106">
      <formula>MOD(ROW(),2)=1</formula>
    </cfRule>
  </conditionalFormatting>
  <conditionalFormatting sqref="U36 U38 U34">
    <cfRule type="expression" dxfId="66" priority="105">
      <formula>MOD(ROW(),2)=1</formula>
    </cfRule>
  </conditionalFormatting>
  <conditionalFormatting sqref="U44 U46 U42">
    <cfRule type="expression" dxfId="65" priority="104">
      <formula>MOD(ROW(),2)=1</formula>
    </cfRule>
  </conditionalFormatting>
  <conditionalFormatting sqref="U52 U54 U50">
    <cfRule type="expression" dxfId="64" priority="103">
      <formula>MOD(ROW(),2)=1</formula>
    </cfRule>
  </conditionalFormatting>
  <conditionalFormatting sqref="U56 U58">
    <cfRule type="expression" dxfId="63" priority="102">
      <formula>MOD(ROW(),2)=1</formula>
    </cfRule>
  </conditionalFormatting>
  <conditionalFormatting sqref="U62 U60">
    <cfRule type="expression" dxfId="62" priority="97">
      <formula>MOD(ROW(),2)=1</formula>
    </cfRule>
  </conditionalFormatting>
  <conditionalFormatting sqref="U66 U64">
    <cfRule type="expression" dxfId="61" priority="96">
      <formula>MOD(ROW(),2)=1</formula>
    </cfRule>
  </conditionalFormatting>
  <conditionalFormatting sqref="U74 U76 U72">
    <cfRule type="expression" dxfId="60" priority="95">
      <formula>MOD(ROW(),2)=1</formula>
    </cfRule>
  </conditionalFormatting>
  <conditionalFormatting sqref="U82 U80">
    <cfRule type="expression" dxfId="59" priority="94">
      <formula>MOD(ROW(),2)=1</formula>
    </cfRule>
  </conditionalFormatting>
  <conditionalFormatting sqref="U88 U86">
    <cfRule type="expression" dxfId="58" priority="93">
      <formula>MOD(ROW(),2)=1</formula>
    </cfRule>
  </conditionalFormatting>
  <conditionalFormatting sqref="U98 U100 U96">
    <cfRule type="expression" dxfId="57" priority="92">
      <formula>MOD(ROW(),2)=1</formula>
    </cfRule>
  </conditionalFormatting>
  <conditionalFormatting sqref="U104">
    <cfRule type="expression" dxfId="56" priority="91">
      <formula>MOD(ROW(),2)=1</formula>
    </cfRule>
  </conditionalFormatting>
  <conditionalFormatting sqref="U110 U112 U108">
    <cfRule type="expression" dxfId="55" priority="90">
      <formula>MOD(ROW(),2)=1</formula>
    </cfRule>
  </conditionalFormatting>
  <conditionalFormatting sqref="U118 U120 U116">
    <cfRule type="expression" dxfId="54" priority="89">
      <formula>MOD(ROW(),2)=1</formula>
    </cfRule>
  </conditionalFormatting>
  <conditionalFormatting sqref="U126 U128 U124">
    <cfRule type="expression" dxfId="53" priority="88">
      <formula>MOD(ROW(),2)=1</formula>
    </cfRule>
  </conditionalFormatting>
  <conditionalFormatting sqref="U132">
    <cfRule type="expression" dxfId="52" priority="87">
      <formula>MOD(ROW(),2)=1</formula>
    </cfRule>
  </conditionalFormatting>
  <conditionalFormatting sqref="U138 U140 U136">
    <cfRule type="expression" dxfId="51" priority="86">
      <formula>MOD(ROW(),2)=1</formula>
    </cfRule>
  </conditionalFormatting>
  <conditionalFormatting sqref="U146 U144">
    <cfRule type="expression" dxfId="50" priority="85">
      <formula>MOD(ROW(),2)=1</formula>
    </cfRule>
  </conditionalFormatting>
  <conditionalFormatting sqref="U148">
    <cfRule type="expression" dxfId="49" priority="84">
      <formula>MOD(ROW(),2)=1</formula>
    </cfRule>
  </conditionalFormatting>
  <conditionalFormatting sqref="U152">
    <cfRule type="expression" dxfId="48" priority="83">
      <formula>MOD(ROW(),2)=1</formula>
    </cfRule>
  </conditionalFormatting>
  <conditionalFormatting sqref="U164 U162">
    <cfRule type="expression" dxfId="47" priority="79">
      <formula>MOD(ROW(),2)=1</formula>
    </cfRule>
  </conditionalFormatting>
  <conditionalFormatting sqref="U168">
    <cfRule type="expression" dxfId="46" priority="78">
      <formula>MOD(ROW(),2)=1</formula>
    </cfRule>
  </conditionalFormatting>
  <conditionalFormatting sqref="U170">
    <cfRule type="expression" dxfId="45" priority="77">
      <formula>MOD(ROW(),2)=1</formula>
    </cfRule>
  </conditionalFormatting>
  <conditionalFormatting sqref="U180 U178">
    <cfRule type="expression" dxfId="44" priority="74">
      <formula>MOD(ROW(),2)=1</formula>
    </cfRule>
  </conditionalFormatting>
  <conditionalFormatting sqref="U184">
    <cfRule type="expression" dxfId="43" priority="73">
      <formula>MOD(ROW(),2)=1</formula>
    </cfRule>
  </conditionalFormatting>
  <conditionalFormatting sqref="U188">
    <cfRule type="expression" dxfId="42" priority="72">
      <formula>MOD(ROW(),2)=1</formula>
    </cfRule>
  </conditionalFormatting>
  <conditionalFormatting sqref="U190">
    <cfRule type="expression" dxfId="41" priority="71">
      <formula>MOD(ROW(),2)=1</formula>
    </cfRule>
  </conditionalFormatting>
  <conditionalFormatting sqref="U194 U196 U192">
    <cfRule type="expression" dxfId="40" priority="70">
      <formula>MOD(ROW(),2)=1</formula>
    </cfRule>
  </conditionalFormatting>
  <conditionalFormatting sqref="U198">
    <cfRule type="expression" dxfId="39" priority="69">
      <formula>MOD(ROW(),2)=1</formula>
    </cfRule>
  </conditionalFormatting>
  <conditionalFormatting sqref="U200">
    <cfRule type="expression" dxfId="38" priority="68">
      <formula>MOD(ROW(),2)=1</formula>
    </cfRule>
  </conditionalFormatting>
  <conditionalFormatting sqref="U204 U206 U202">
    <cfRule type="expression" dxfId="37" priority="64">
      <formula>MOD(ROW(),2)=1</formula>
    </cfRule>
  </conditionalFormatting>
  <conditionalFormatting sqref="U214 U216">
    <cfRule type="expression" dxfId="36" priority="63">
      <formula>MOD(ROW(),2)=1</formula>
    </cfRule>
  </conditionalFormatting>
  <conditionalFormatting sqref="U232 U234 U230">
    <cfRule type="expression" dxfId="35" priority="61">
      <formula>MOD(ROW(),2)=1</formula>
    </cfRule>
  </conditionalFormatting>
  <conditionalFormatting sqref="U238">
    <cfRule type="expression" dxfId="34" priority="60">
      <formula>MOD(ROW(),2)=1</formula>
    </cfRule>
  </conditionalFormatting>
  <conditionalFormatting sqref="U240 U242">
    <cfRule type="expression" dxfId="33" priority="57">
      <formula>MOD(ROW(),2)=1</formula>
    </cfRule>
  </conditionalFormatting>
  <conditionalFormatting sqref="U258 U260">
    <cfRule type="expression" dxfId="32" priority="54">
      <formula>MOD(ROW(),2)=1</formula>
    </cfRule>
  </conditionalFormatting>
  <conditionalFormatting sqref="U270 U272 U268">
    <cfRule type="expression" dxfId="31" priority="53">
      <formula>MOD(ROW(),2)=1</formula>
    </cfRule>
  </conditionalFormatting>
  <conditionalFormatting sqref="U278 U276">
    <cfRule type="expression" dxfId="30" priority="51">
      <formula>MOD(ROW(),2)=1</formula>
    </cfRule>
  </conditionalFormatting>
  <conditionalFormatting sqref="U282">
    <cfRule type="expression" dxfId="29" priority="50">
      <formula>MOD(ROW(),2)=1</formula>
    </cfRule>
  </conditionalFormatting>
  <conditionalFormatting sqref="U288 U290 U286">
    <cfRule type="expression" dxfId="28" priority="49">
      <formula>MOD(ROW(),2)=1</formula>
    </cfRule>
  </conditionalFormatting>
  <conditionalFormatting sqref="U294">
    <cfRule type="expression" dxfId="27" priority="48">
      <formula>MOD(ROW(),2)=1</formula>
    </cfRule>
  </conditionalFormatting>
  <conditionalFormatting sqref="U298 U300">
    <cfRule type="expression" dxfId="26" priority="46">
      <formula>MOD(ROW(),2)=1</formula>
    </cfRule>
  </conditionalFormatting>
  <conditionalFormatting sqref="U306 U308 U304">
    <cfRule type="expression" dxfId="25" priority="45">
      <formula>MOD(ROW(),2)=1</formula>
    </cfRule>
  </conditionalFormatting>
  <conditionalFormatting sqref="U312">
    <cfRule type="expression" dxfId="24" priority="44">
      <formula>MOD(ROW(),2)=1</formula>
    </cfRule>
  </conditionalFormatting>
  <conditionalFormatting sqref="U316 U314">
    <cfRule type="expression" dxfId="23" priority="43">
      <formula>MOD(ROW(),2)=1</formula>
    </cfRule>
  </conditionalFormatting>
  <conditionalFormatting sqref="U318">
    <cfRule type="expression" dxfId="22" priority="42">
      <formula>MOD(ROW(),2)=1</formula>
    </cfRule>
  </conditionalFormatting>
  <conditionalFormatting sqref="U324 U326 U322">
    <cfRule type="expression" dxfId="21" priority="41">
      <formula>MOD(ROW(),2)=1</formula>
    </cfRule>
  </conditionalFormatting>
  <conditionalFormatting sqref="U332 U334 U330">
    <cfRule type="expression" dxfId="20" priority="40">
      <formula>MOD(ROW(),2)=1</formula>
    </cfRule>
  </conditionalFormatting>
  <conditionalFormatting sqref="U338">
    <cfRule type="expression" dxfId="19" priority="39">
      <formula>MOD(ROW(),2)=1</formula>
    </cfRule>
  </conditionalFormatting>
  <conditionalFormatting sqref="U342">
    <cfRule type="expression" dxfId="18" priority="38">
      <formula>MOD(ROW(),2)=1</formula>
    </cfRule>
  </conditionalFormatting>
  <conditionalFormatting sqref="U348 U346">
    <cfRule type="expression" dxfId="17" priority="37">
      <formula>MOD(ROW(),2)=1</formula>
    </cfRule>
  </conditionalFormatting>
  <conditionalFormatting sqref="U352 U350">
    <cfRule type="expression" dxfId="16" priority="35">
      <formula>MOD(ROW(),2)=1</formula>
    </cfRule>
  </conditionalFormatting>
  <conditionalFormatting sqref="U358 U360 U356">
    <cfRule type="expression" dxfId="15" priority="34">
      <formula>MOD(ROW(),2)=1</formula>
    </cfRule>
  </conditionalFormatting>
  <conditionalFormatting sqref="U364">
    <cfRule type="expression" dxfId="14" priority="33">
      <formula>MOD(ROW(),2)=1</formula>
    </cfRule>
  </conditionalFormatting>
  <conditionalFormatting sqref="U372">
    <cfRule type="expression" dxfId="13" priority="29">
      <formula>MOD(ROW(),2)=1</formula>
    </cfRule>
  </conditionalFormatting>
  <conditionalFormatting sqref="U378 U376">
    <cfRule type="expression" dxfId="12" priority="28">
      <formula>MOD(ROW(),2)=1</formula>
    </cfRule>
  </conditionalFormatting>
  <conditionalFormatting sqref="U384 U386 U382">
    <cfRule type="expression" dxfId="11" priority="27">
      <formula>MOD(ROW(),2)=1</formula>
    </cfRule>
  </conditionalFormatting>
  <conditionalFormatting sqref="U390">
    <cfRule type="expression" dxfId="10" priority="25">
      <formula>MOD(ROW(),2)=1</formula>
    </cfRule>
  </conditionalFormatting>
  <conditionalFormatting sqref="U394 U396 U392">
    <cfRule type="expression" dxfId="9" priority="21">
      <formula>MOD(ROW(),2)=1</formula>
    </cfRule>
  </conditionalFormatting>
  <conditionalFormatting sqref="U402 U400">
    <cfRule type="expression" dxfId="8" priority="20">
      <formula>MOD(ROW(),2)=1</formula>
    </cfRule>
  </conditionalFormatting>
  <conditionalFormatting sqref="U404">
    <cfRule type="expression" dxfId="7" priority="19">
      <formula>MOD(ROW(),2)=1</formula>
    </cfRule>
  </conditionalFormatting>
  <conditionalFormatting sqref="U406">
    <cfRule type="expression" dxfId="6" priority="18">
      <formula>MOD(ROW(),2)=1</formula>
    </cfRule>
  </conditionalFormatting>
  <conditionalFormatting sqref="U412 U410">
    <cfRule type="expression" dxfId="5" priority="17">
      <formula>MOD(ROW(),2)=1</formula>
    </cfRule>
  </conditionalFormatting>
  <conditionalFormatting sqref="U414">
    <cfRule type="expression" dxfId="4" priority="16">
      <formula>MOD(ROW(),2)=1</formula>
    </cfRule>
  </conditionalFormatting>
  <conditionalFormatting sqref="AD212">
    <cfRule type="expression" dxfId="3" priority="4">
      <formula>MOD(ROW(),2)=1</formula>
    </cfRule>
  </conditionalFormatting>
  <conditionalFormatting sqref="Y212">
    <cfRule type="expression" dxfId="2" priority="3">
      <formula>MOD(ROW(),2)=1</formula>
    </cfRule>
  </conditionalFormatting>
  <conditionalFormatting sqref="W212">
    <cfRule type="expression" dxfId="1" priority="2">
      <formula>MOD(ROW(),2)=1</formula>
    </cfRule>
  </conditionalFormatting>
  <conditionalFormatting sqref="U212">
    <cfRule type="expression" dxfId="0" priority="1">
      <formula>MOD(ROW(),2)=1</formula>
    </cfRule>
  </conditionalFormatting>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3:H657"/>
  <sheetViews>
    <sheetView workbookViewId="0"/>
  </sheetViews>
  <sheetFormatPr defaultRowHeight="15" x14ac:dyDescent="0.25"/>
  <cols>
    <col min="1" max="1" width="17.85546875" customWidth="1"/>
    <col min="2" max="2" width="11" bestFit="1" customWidth="1"/>
    <col min="3" max="3" width="9.140625" style="63"/>
  </cols>
  <sheetData>
    <row r="3" spans="1:4" x14ac:dyDescent="0.25">
      <c r="A3" t="str">
        <f>'LLM Multiple'!B3</f>
        <v>Albert, M. S., Butters, N., &amp; Brandt, J. (1981). Development of remote memory loss in patients with Huntington's disease. Journal of Clinical Neuropsychology, 3(1), 1-12.</v>
      </c>
      <c r="B3">
        <f>'LLM Multiple'!AA3</f>
        <v>1734480000</v>
      </c>
      <c r="C3" s="63">
        <f>B3/(60*60*24*365)</f>
        <v>55</v>
      </c>
      <c r="D3" s="63">
        <f>'LLM Multiple'!AM3</f>
        <v>-2.7360457951633936E-2</v>
      </c>
    </row>
    <row r="5" spans="1:4" x14ac:dyDescent="0.25">
      <c r="A5" t="str">
        <f>'LLM Multiple'!B5</f>
        <v>Albert, M. S., Butters, N., &amp; Levin, J. (1979). Temporal gradients in the retrograde amnesia of patients with alcoholic Korsakoff's disease. Archives of Neurology, 36(4), 211-216.</v>
      </c>
      <c r="B5">
        <f>'LLM Multiple'!AA5</f>
        <v>1419120000</v>
      </c>
      <c r="C5" s="63">
        <f>B5/(60*60*24*365)</f>
        <v>45</v>
      </c>
      <c r="D5" s="63">
        <f>'LLM Multiple'!AM5</f>
        <v>-2.8936119196109365E-2</v>
      </c>
    </row>
    <row r="7" spans="1:4" x14ac:dyDescent="0.25">
      <c r="A7" t="str">
        <f>'LLM Multiple'!B7</f>
        <v>Austin, S. D. M. (1921). A Study in Logical Memory. The American Journal of Psychology, 32(3), 370-403.</v>
      </c>
      <c r="B7">
        <f>'LLM Multiple'!AA7</f>
        <v>2678400</v>
      </c>
      <c r="C7" s="63">
        <f>B7/(60*60*24*365)</f>
        <v>8.4931506849315067E-2</v>
      </c>
      <c r="D7" s="63">
        <f>'LLM Multiple'!AM7</f>
        <v>-0.14879170498863489</v>
      </c>
    </row>
    <row r="9" spans="1:4" x14ac:dyDescent="0.25">
      <c r="A9" t="str">
        <f>'LLM Multiple'!B9</f>
        <v>Austin, S. D. M. (1921). A Study in Logical Memory. The American Journal of Psychology, 32(3), 370-403.</v>
      </c>
      <c r="B9">
        <f>'LLM Multiple'!AA9</f>
        <v>2678400</v>
      </c>
      <c r="C9" s="63">
        <f>B9/(60*60*24*365)</f>
        <v>8.4931506849315067E-2</v>
      </c>
      <c r="D9" s="63">
        <f>'LLM Multiple'!AM9</f>
        <v>-0.22017882796682423</v>
      </c>
    </row>
    <row r="11" spans="1:4" x14ac:dyDescent="0.25">
      <c r="A11" t="str">
        <f>'LLM Multiple'!B11</f>
        <v>Austin, S. D. M. (1921). A Study in Logical Memory. The American Journal of Psychology, 32(3), 370-403.</v>
      </c>
      <c r="B11">
        <f>'LLM Multiple'!AA11</f>
        <v>2678400</v>
      </c>
      <c r="C11" s="63">
        <f>B11/(60*60*24*365)</f>
        <v>8.4931506849315067E-2</v>
      </c>
      <c r="D11" s="63">
        <f>'LLM Multiple'!AM11</f>
        <v>-0.32864028094881648</v>
      </c>
    </row>
    <row r="13" spans="1:4" x14ac:dyDescent="0.25">
      <c r="A13" t="str">
        <f>'LLM Multiple'!B13</f>
        <v>Austin, S. D. M. (1921). A Study in Logical Memory. The American Journal of Psychology, 32(3), 370-403.</v>
      </c>
      <c r="B13">
        <f>'LLM Multiple'!AA13</f>
        <v>2678400</v>
      </c>
      <c r="C13" s="63">
        <f>B13/(60*60*24*365)</f>
        <v>8.4931506849315067E-2</v>
      </c>
      <c r="D13" s="63">
        <f>'LLM Multiple'!AM13</f>
        <v>-0.53809101988255281</v>
      </c>
    </row>
    <row r="15" spans="1:4" x14ac:dyDescent="0.25">
      <c r="A15" t="str">
        <f>'LLM Multiple'!B15</f>
        <v xml:space="preserve">Bahrick, H. P., Bahrick, P. O., &amp; Wittlinger, R. P. (1975). Fifty years of memory for names and faces: A cross-sectional approach. Journal of Experimental Psychology: General, 104(1), 54-75.
</v>
      </c>
      <c r="B15">
        <f>'LLM Multiple'!AA15</f>
        <v>1513728000</v>
      </c>
      <c r="C15" s="63">
        <f>B15/(60*60*24*365)</f>
        <v>48</v>
      </c>
      <c r="D15" s="63">
        <f>'LLM Multiple'!AM15</f>
        <v>-0.12391683411031684</v>
      </c>
    </row>
    <row r="17" spans="1:8" x14ac:dyDescent="0.25">
      <c r="A17" t="str">
        <f>'LLM Multiple'!B17</f>
        <v xml:space="preserve">Bahrick, H. P., Bahrick, P. O., &amp; Wittlinger, R. P. (1975). Fifty years of memory for names and faces: A cross-sectional approach. Journal of Experimental Psychology: General, 104(1), 54-75.
</v>
      </c>
      <c r="B17">
        <f>'LLM Multiple'!AA17</f>
        <v>1513728000</v>
      </c>
      <c r="C17" s="63">
        <f>B17/(60*60*24*365)</f>
        <v>48</v>
      </c>
      <c r="D17" s="63">
        <f>'LLM Multiple'!AM17</f>
        <v>-3.1298120737212873E-2</v>
      </c>
    </row>
    <row r="18" spans="1:8" x14ac:dyDescent="0.25">
      <c r="G18" s="166">
        <f>AVERAGE(D3:D415)</f>
        <v>-0.12014566988209627</v>
      </c>
      <c r="H18" s="165">
        <f xml:space="preserve"> STDEV(D3:D415)/SQRT(COUNT(D3:D415))</f>
        <v>9.0970707152630646E-3</v>
      </c>
    </row>
    <row r="19" spans="1:8" x14ac:dyDescent="0.25">
      <c r="A19" t="str">
        <f>'LLM Multiple'!B19</f>
        <v xml:space="preserve">Bahrick, H. P., Bahrick, P. O., &amp; Wittlinger, R. P. (1975). Fifty years of memory for names and faces: A cross-sectional approach. Journal of Experimental Psychology: General, 104(1), 54-75.
</v>
      </c>
      <c r="B19">
        <f>'LLM Multiple'!AA19</f>
        <v>1513728000</v>
      </c>
      <c r="C19" s="63">
        <f>B19/(60*60*24*365)</f>
        <v>48</v>
      </c>
      <c r="D19" s="63">
        <f>'LLM Multiple'!AM19</f>
        <v>-8.5133962084087255E-3</v>
      </c>
    </row>
    <row r="21" spans="1:8" x14ac:dyDescent="0.25">
      <c r="A21" t="str">
        <f>'LLM Multiple'!B21</f>
        <v xml:space="preserve">Bahrick, H. P., Bahrick, P. O., &amp; Wittlinger, R. P. (1975). Fifty years of memory for names and faces: A cross-sectional approach. Journal of Experimental Psychology: General, 104(1), 54-75.
</v>
      </c>
      <c r="B21">
        <f>'LLM Multiple'!AA21</f>
        <v>1513728000</v>
      </c>
      <c r="C21" s="63">
        <f>B21/(60*60*24*365)</f>
        <v>48</v>
      </c>
      <c r="D21" s="63">
        <f>'LLM Multiple'!AM21</f>
        <v>-2.101185512065248E-2</v>
      </c>
    </row>
    <row r="23" spans="1:8" x14ac:dyDescent="0.25">
      <c r="A23" t="str">
        <f>'LLM Multiple'!B23</f>
        <v xml:space="preserve">Bahrick, H. P., Bahrick, P. O., &amp; Wittlinger, R. P. (1975). Fifty years of memory for names and faces: A cross-sectional approach. Journal of Experimental Psychology: General, 104(1), 54-75.
</v>
      </c>
      <c r="B23">
        <f>'LLM Multiple'!AA23</f>
        <v>1513728000</v>
      </c>
      <c r="C23" s="63">
        <f>B23/(60*60*24*365)</f>
        <v>48</v>
      </c>
      <c r="D23" s="63">
        <f>'LLM Multiple'!AM23</f>
        <v>-6.1910155377298333E-2</v>
      </c>
    </row>
    <row r="25" spans="1:8" x14ac:dyDescent="0.25">
      <c r="A25" t="str">
        <f>'LLM Multiple'!B25</f>
        <v xml:space="preserve">Bahrick, H. P., Bahrick, P. O., &amp; Wittlinger, R. P. (1975). Fifty years of memory for names and faces: A cross-sectional approach. Journal of Experimental Psychology: General, 104(1), 54-75.
</v>
      </c>
      <c r="B25">
        <f>'LLM Multiple'!AA25</f>
        <v>1513728000</v>
      </c>
      <c r="C25" s="63">
        <f>B25/(60*60*24*365)</f>
        <v>48</v>
      </c>
      <c r="D25" s="63">
        <f>'LLM Multiple'!AM25</f>
        <v>-0.13119101181828052</v>
      </c>
    </row>
    <row r="27" spans="1:8" x14ac:dyDescent="0.25">
      <c r="A27" t="str">
        <f>'LLM Multiple'!B27</f>
        <v xml:space="preserve">Bahrick, H. P. (1983). The cognitive map of a city: Fifty years of learning and memory. Psychology of Learning and Motivation, 17, 125-163.
</v>
      </c>
      <c r="B27">
        <f>'LLM Multiple'!AA27</f>
        <v>1450656000</v>
      </c>
      <c r="C27" s="63">
        <f>B27/(60*60*24*365)</f>
        <v>46</v>
      </c>
      <c r="D27" s="63">
        <f>'LLM Multiple'!AM27</f>
        <v>-0.15126571288944954</v>
      </c>
    </row>
    <row r="29" spans="1:8" x14ac:dyDescent="0.25">
      <c r="A29" t="str">
        <f>'LLM Multiple'!B29</f>
        <v xml:space="preserve">Bahrick, H. P. (1983). The cognitive map of a city: Fifty years of learning and memory. Psychology of Learning and Motivation, 17, 125-163.
</v>
      </c>
      <c r="B29">
        <f>'LLM Multiple'!AA29</f>
        <v>1450656000</v>
      </c>
      <c r="C29" s="63">
        <f>B29/(60*60*24*365)</f>
        <v>46</v>
      </c>
      <c r="D29" s="63">
        <f>'LLM Multiple'!AM29</f>
        <v>-0.17438629115214344</v>
      </c>
    </row>
    <row r="31" spans="1:8" x14ac:dyDescent="0.25">
      <c r="A31" t="str">
        <f>'LLM Multiple'!B31</f>
        <v xml:space="preserve">Bahrick, H. P. (1983). The cognitive map of a city: Fifty years of learning and memory. Psychology of Learning and Motivation, 17, 125-163.
</v>
      </c>
      <c r="B31">
        <f>'LLM Multiple'!AA31</f>
        <v>1450656000</v>
      </c>
      <c r="C31" s="63">
        <f>B31/(60*60*24*365)</f>
        <v>46</v>
      </c>
      <c r="D31" s="63">
        <f>'LLM Multiple'!AM31</f>
        <v>-0.26139512516214641</v>
      </c>
    </row>
    <row r="33" spans="1:4" x14ac:dyDescent="0.25">
      <c r="A33" t="str">
        <f>'LLM Multiple'!B33</f>
        <v xml:space="preserve">Bahrick, H. P. (1983). The cognitive map of a city: Fifty years of learning and memory. Psychology of Learning and Motivation, 17, 125-163.
</v>
      </c>
      <c r="B33">
        <f>'LLM Multiple'!AA33</f>
        <v>1450656000</v>
      </c>
      <c r="C33" s="63">
        <f>B33/(60*60*24*365)</f>
        <v>46</v>
      </c>
      <c r="D33" s="63">
        <f>'LLM Multiple'!AM33</f>
        <v>-9.2441845506879464E-2</v>
      </c>
    </row>
    <row r="35" spans="1:4" x14ac:dyDescent="0.25">
      <c r="A35" t="str">
        <f>'LLM Multiple'!B35</f>
        <v xml:space="preserve">Bahrick, H. P. (1983). The cognitive map of a city: Fifty years of learning and memory. Psychology of Learning and Motivation, 17, 125-163.
</v>
      </c>
      <c r="B35">
        <f>'LLM Multiple'!AA35</f>
        <v>1450656000</v>
      </c>
      <c r="C35" s="63">
        <f>B35/(60*60*24*365)</f>
        <v>46</v>
      </c>
      <c r="D35" s="63">
        <f>'LLM Multiple'!AM35</f>
        <v>-4.7938234961320811E-2</v>
      </c>
    </row>
    <row r="37" spans="1:4" x14ac:dyDescent="0.25">
      <c r="A37" t="str">
        <f>'LLM Multiple'!B37</f>
        <v xml:space="preserve">Bahrick, H. P. (1983). The cognitive map of a city: Fifty years of learning and memory. Psychology of Learning and Motivation, 17, 125-163.
</v>
      </c>
      <c r="B37">
        <f>'LLM Multiple'!AA37</f>
        <v>1450656000</v>
      </c>
      <c r="C37" s="63">
        <f>B37/(60*60*24*365)</f>
        <v>46</v>
      </c>
      <c r="D37" s="63">
        <f>'LLM Multiple'!AM37</f>
        <v>-0.13542522044117383</v>
      </c>
    </row>
    <row r="39" spans="1:4" x14ac:dyDescent="0.25">
      <c r="A39" t="str">
        <f>'LLM Multiple'!B39</f>
        <v xml:space="preserve">Bahrick, H. P. (1983). The cognitive map of a city: Fifty years of learning and memory. Psychology of Learning and Motivation, 17, 125-163.
</v>
      </c>
      <c r="B39">
        <f>'LLM Multiple'!AA39</f>
        <v>1450656000</v>
      </c>
      <c r="C39" s="63">
        <f>B39/(60*60*24*365)</f>
        <v>46</v>
      </c>
      <c r="D39" s="63">
        <f>'LLM Multiple'!AM39</f>
        <v>-0.1519162661259072</v>
      </c>
    </row>
    <row r="41" spans="1:4" x14ac:dyDescent="0.25">
      <c r="A41" t="str">
        <f>'LLM Multiple'!B41</f>
        <v xml:space="preserve">Bahrick, H. P. (1983). The cognitive map of a city: Fifty years of learning and memory. Psychology of Learning and Motivation, 17, 125-163.
</v>
      </c>
      <c r="B41">
        <f>'LLM Multiple'!AA41</f>
        <v>1450656000</v>
      </c>
      <c r="C41" s="63">
        <f>B41/(60*60*24*365)</f>
        <v>46</v>
      </c>
      <c r="D41" s="63">
        <f>'LLM Multiple'!AM41</f>
        <v>-8.7656895894171291E-2</v>
      </c>
    </row>
    <row r="43" spans="1:4" x14ac:dyDescent="0.25">
      <c r="A43" t="str">
        <f>'LLM Multiple'!B43</f>
        <v xml:space="preserve">Bahrick, H. P. (1983). The cognitive map of a city: Fifty years of learning and memory. Psychology of Learning and Motivation, 17, 125-163.
</v>
      </c>
      <c r="B43">
        <f>'LLM Multiple'!AA43</f>
        <v>1450656000</v>
      </c>
      <c r="C43" s="63">
        <f>B43/(60*60*24*365)</f>
        <v>46</v>
      </c>
      <c r="D43" s="63">
        <f>'LLM Multiple'!AM43</f>
        <v>-0.33010491176757845</v>
      </c>
    </row>
    <row r="45" spans="1:4" x14ac:dyDescent="0.25">
      <c r="A45" t="str">
        <f>'LLM Multiple'!B45</f>
        <v xml:space="preserve">Bahrick, H. P. (1984). Semantic memory content in permastore: Fifty years of memory for Spanish learned in school. Journal of Experimental Psychology: General, 113(1), 1-29.
</v>
      </c>
      <c r="B45">
        <f>'LLM Multiple'!AA45</f>
        <v>1576800000</v>
      </c>
      <c r="C45" s="63">
        <f>B45/(60*60*24*365)</f>
        <v>50</v>
      </c>
      <c r="D45" s="63">
        <f>'LLM Multiple'!AM45</f>
        <v>-3.4286545603981373E-2</v>
      </c>
    </row>
    <row r="47" spans="1:4" x14ac:dyDescent="0.25">
      <c r="A47" t="str">
        <f>'LLM Multiple'!B47</f>
        <v xml:space="preserve">Bahrick, H. P. (1984). Semantic memory content in permastore: Fifty years of memory for Spanish learned in school. Journal of Experimental Psychology: General, 113(1), 1-29.
</v>
      </c>
      <c r="B47">
        <f>'LLM Multiple'!AA47</f>
        <v>1576800000</v>
      </c>
      <c r="C47" s="63">
        <f>B47/(60*60*24*365)</f>
        <v>50</v>
      </c>
      <c r="D47" s="63">
        <f>'LLM Multiple'!AM47</f>
        <v>-4.2337376341122862E-2</v>
      </c>
    </row>
    <row r="49" spans="1:4" x14ac:dyDescent="0.25">
      <c r="A49" t="str">
        <f>'LLM Multiple'!B49</f>
        <v xml:space="preserve">Bahrick, H. P. (1984). Semantic memory content in permastore: Fifty years of memory for Spanish learned in school. Journal of Experimental Psychology: General, 113(1), 1-29.
</v>
      </c>
      <c r="B49">
        <f>'LLM Multiple'!AA49</f>
        <v>1576800000</v>
      </c>
      <c r="C49" s="63">
        <f>B49/(60*60*24*365)</f>
        <v>50</v>
      </c>
      <c r="D49" s="63">
        <f>'LLM Multiple'!AM49</f>
        <v>-5.3559106996117975E-2</v>
      </c>
    </row>
    <row r="51" spans="1:4" x14ac:dyDescent="0.25">
      <c r="A51" t="str">
        <f>'LLM Multiple'!B51</f>
        <v xml:space="preserve">Bahrick, H. P. (1984). Semantic memory content in permastore: Fifty years of memory for Spanish learned in school. Journal of Experimental Psychology: General, 113(1), 1-29.
</v>
      </c>
      <c r="B51">
        <f>'LLM Multiple'!AA51</f>
        <v>1576800000</v>
      </c>
      <c r="C51" s="63">
        <f>B51/(60*60*24*365)</f>
        <v>50</v>
      </c>
      <c r="D51" s="63">
        <f>'LLM Multiple'!AM51</f>
        <v>-2.1493974579724399E-2</v>
      </c>
    </row>
    <row r="53" spans="1:4" x14ac:dyDescent="0.25">
      <c r="A53" t="str">
        <f>'LLM Multiple'!B53</f>
        <v xml:space="preserve">Bahrick, H. P. (1984). Semantic memory content in permastore: Fifty years of memory for Spanish learned in school. Journal of Experimental Psychology: General, 113(1), 1-29.
</v>
      </c>
      <c r="B53">
        <f>'LLM Multiple'!AA53</f>
        <v>1576800000</v>
      </c>
      <c r="C53" s="63">
        <f>B53/(60*60*24*365)</f>
        <v>50</v>
      </c>
      <c r="D53" s="63">
        <f>'LLM Multiple'!AM53</f>
        <v>-6.4877870240526714E-2</v>
      </c>
    </row>
    <row r="55" spans="1:4" x14ac:dyDescent="0.25">
      <c r="A55" t="str">
        <f>'LLM Multiple'!B55</f>
        <v xml:space="preserve">Bahrick, H. P. (1984). Semantic memory content in permastore: Fifty years of memory for Spanish learned in school. Journal of Experimental Psychology: General, 113(1), 1-29.
</v>
      </c>
      <c r="B55">
        <f>'LLM Multiple'!AA55</f>
        <v>1576800000</v>
      </c>
      <c r="C55" s="63">
        <f>B55/(60*60*24*365)</f>
        <v>50</v>
      </c>
      <c r="D55" s="63">
        <f>'LLM Multiple'!AM55</f>
        <v>-2.1813466443657538E-2</v>
      </c>
    </row>
    <row r="57" spans="1:4" x14ac:dyDescent="0.25">
      <c r="A57" t="str">
        <f>'LLM Multiple'!B57</f>
        <v>Barr, W. B., Goldberg, E., Wasserstein, J., &amp; Novelly, R. A. (1990). Retrograde amnesia following unilateral temporal lobectomy. Neuropsychologia, 28(3), 243-255.</v>
      </c>
      <c r="B57">
        <f>'LLM Multiple'!AA57</f>
        <v>1103760000</v>
      </c>
      <c r="C57" s="63">
        <f>B57/(60*60*24*365)</f>
        <v>35</v>
      </c>
      <c r="D57" s="63">
        <f>'LLM Multiple'!AM57</f>
        <v>5.9924734840943851E-3</v>
      </c>
    </row>
    <row r="59" spans="1:4" x14ac:dyDescent="0.25">
      <c r="A59" t="str">
        <f>'LLM Multiple'!B59</f>
        <v>Barr, W. B., Goldberg, E., Wasserstein, J., &amp; Novelly, R. A. (1990). Retrograde amnesia following unilateral temporal lobectomy. Neuropsychologia, 28(3), 243-255.</v>
      </c>
      <c r="B59">
        <f>'LLM Multiple'!AA59</f>
        <v>567648000</v>
      </c>
      <c r="C59" s="63">
        <f>B59/(60*60*24*365)</f>
        <v>18</v>
      </c>
      <c r="D59" s="63">
        <f>'LLM Multiple'!AM59</f>
        <v>-6.8036294754760432E-2</v>
      </c>
    </row>
    <row r="61" spans="1:4" x14ac:dyDescent="0.25">
      <c r="A61" t="str">
        <f>'LLM Multiple'!B61</f>
        <v>Beatty, W. W., Goodkin, D. E., Monson, N., Beatty, P. A., &amp; Hertsgaard, D. (1988). Anterograde and retrograde amnesia in patients with chronic progressive multiple sclerosis. Archives of Neurology, 45(6), 611-619.</v>
      </c>
      <c r="B61">
        <f>'LLM Multiple'!AA61</f>
        <v>1356048000</v>
      </c>
      <c r="C61" s="63">
        <f>B61/(60*60*24*365)</f>
        <v>43</v>
      </c>
      <c r="D61" s="63">
        <f>'LLM Multiple'!AM61</f>
        <v>-4.1465481467406064E-2</v>
      </c>
    </row>
    <row r="63" spans="1:4" x14ac:dyDescent="0.25">
      <c r="A63" t="str">
        <f>'LLM Multiple'!B63</f>
        <v>Beatty, W. W., Goodkin, D. E., Monson, N., Beatty, P. A., &amp; Hertsgaard, D. (1988). Anterograde and retrograde amnesia in patients with chronic progressive multiple sclerosis. Archives of Neurology, 45(6), 611-619.</v>
      </c>
      <c r="B63">
        <f>'LLM Multiple'!AA63</f>
        <v>1356048000</v>
      </c>
      <c r="C63" s="63">
        <f>B63/(60*60*24*365)</f>
        <v>43</v>
      </c>
      <c r="D63" s="63">
        <f>'LLM Multiple'!AM63</f>
        <v>-3.7468316457231234E-2</v>
      </c>
    </row>
    <row r="65" spans="1:5" x14ac:dyDescent="0.25">
      <c r="A65" t="str">
        <f>'LLM Multiple'!B65</f>
        <v>Beatty, W. W., Salmon, D. P., Butters, N., Heindel, W. C., &amp; Granholm, E. L. (1988). Retrograde amnesia in patients with Alzheimer's disease or Huntington's disease. Neurobiology of aging, 9, 181-186.</v>
      </c>
      <c r="B65">
        <f>'LLM Multiple'!AA65</f>
        <v>1419120000</v>
      </c>
      <c r="C65" s="63">
        <f>B65/(60*60*24*365)</f>
        <v>45</v>
      </c>
      <c r="D65" s="63">
        <f>'LLM Multiple'!AM65</f>
        <v>-2.2348868169555933E-2</v>
      </c>
    </row>
    <row r="67" spans="1:5" x14ac:dyDescent="0.25">
      <c r="A67" t="str">
        <f>'LLM Multiple'!B67</f>
        <v>Beatty, W. W., Salmon, D. P., Butters, N., Heindel, W. C., &amp; Granholm, E. L. (1988). Retrograde amnesia in patients with Alzheimer's disease or Huntington's disease. Neurobiology of aging, 9, 181-186.</v>
      </c>
      <c r="B67">
        <f>'LLM Multiple'!AA67</f>
        <v>1419120000</v>
      </c>
      <c r="C67" s="63">
        <f>B67/(60*60*24*365)</f>
        <v>45</v>
      </c>
      <c r="D67" s="63">
        <f>'LLM Multiple'!AM67</f>
        <v>-4.2420096194482636E-2</v>
      </c>
    </row>
    <row r="69" spans="1:5" x14ac:dyDescent="0.25">
      <c r="A69" t="str">
        <f>'LLM Multiple'!B69</f>
        <v>Beatty, W. W., Salmon, D. P., Butters, N., Heindel, W. C., &amp; Granholm, E. L. (1988). Retrograde amnesia in patients with Alzheimer's disease or Huntington's disease. Neurobiology of aging, 9, 181-186.</v>
      </c>
      <c r="B69">
        <f>'LLM Multiple'!AA69</f>
        <v>1419120000</v>
      </c>
      <c r="C69" s="63">
        <f>B69/(60*60*24*365)</f>
        <v>45</v>
      </c>
      <c r="D69" s="63">
        <f>'LLM Multiple'!AM69</f>
        <v>-4.0101943635617227E-2</v>
      </c>
    </row>
    <row r="70" spans="1:5" x14ac:dyDescent="0.25">
      <c r="D70" s="63"/>
    </row>
    <row r="71" spans="1:5" x14ac:dyDescent="0.25">
      <c r="A71" t="str">
        <f>'LLM Multiple'!B71</f>
        <v>Blake, R. V., Wroe, S. J., Breen, E. K., &amp; McCarthy, R. A. (2000). Accelerated forgetting in patients with epilepsy: evidence for an impairment in memory consolidation. Brain, 123(3), 472-483.</v>
      </c>
      <c r="B71">
        <f>'LLM Multiple'!AA71</f>
        <v>4838400</v>
      </c>
      <c r="C71" s="63">
        <f>B71/(60*60*24*365)</f>
        <v>0.15342465753424658</v>
      </c>
      <c r="D71" s="63">
        <f>'LLM Multiple'!AM71</f>
        <v>-4.5378230455479424E-2</v>
      </c>
    </row>
    <row r="73" spans="1:5" x14ac:dyDescent="0.25">
      <c r="A73" t="str">
        <f>'LLM Multiple'!B73</f>
        <v>Burtt, H., &amp; Dobell, E. (1925). The Curve of Forgetting for Advertising Material. Journal of Applied Psychology, 9, 5.</v>
      </c>
      <c r="B73">
        <f>'LLM Multiple'!AA73</f>
        <v>2419200</v>
      </c>
      <c r="C73" s="63">
        <f>B73/(60*60*24*365)</f>
        <v>7.6712328767123292E-2</v>
      </c>
      <c r="D73" s="63">
        <f>'LLM Multiple'!AM73</f>
        <v>-0.32312839514614783</v>
      </c>
    </row>
    <row r="75" spans="1:5" x14ac:dyDescent="0.25">
      <c r="A75" t="str">
        <f>'LLM Multiple'!B75</f>
        <v>Burtt, H., &amp; Dobell, E. (1925). The Curve of Forgetting for Advertising Material. Journal of Applied Psychology, 9, 5.</v>
      </c>
      <c r="B75">
        <f>'LLM Multiple'!AA75</f>
        <v>2419200</v>
      </c>
      <c r="C75" s="63">
        <f>B75/(60*60*24*365)</f>
        <v>7.6712328767123292E-2</v>
      </c>
      <c r="D75" s="63">
        <f>'LLM Multiple'!AM75</f>
        <v>-5.1742685667533234E-2</v>
      </c>
    </row>
    <row r="77" spans="1:5" x14ac:dyDescent="0.25">
      <c r="A77" t="str">
        <f>'LLM Multiple'!B77</f>
        <v>Burtt, H., &amp; Dobell, E. (1925). The Curve of Forgetting for Advertising Material. Journal of Applied Psychology, 9, 5.</v>
      </c>
      <c r="B77">
        <f>'LLM Multiple'!AA77</f>
        <v>2419200</v>
      </c>
      <c r="C77" s="63">
        <f>B77/(60*60*24*365)</f>
        <v>7.6712328767123292E-2</v>
      </c>
      <c r="D77" s="63">
        <f>'LLM Multiple'!AM77</f>
        <v>-2.837347748746365E-2</v>
      </c>
    </row>
    <row r="79" spans="1:5" x14ac:dyDescent="0.25">
      <c r="A79" t="str">
        <f>'LLM Multiple'!B79</f>
        <v>Burtt, H., &amp; Dobell, E. (1925). The Curve of Forgetting for Advertising Material. Journal of Applied Psychology, 9, 5.</v>
      </c>
      <c r="B79">
        <f>'LLM Multiple'!AA79</f>
        <v>2419200</v>
      </c>
      <c r="C79" s="63">
        <f>B79/(60*60*24*365)</f>
        <v>7.6712328767123292E-2</v>
      </c>
      <c r="D79" s="171"/>
      <c r="E79" s="63">
        <f>'LLM Multiple'!AM430</f>
        <v>-0.76522659005749616</v>
      </c>
    </row>
    <row r="81" spans="1:4" x14ac:dyDescent="0.25">
      <c r="A81" t="str">
        <f>'LLM Multiple'!B81</f>
        <v>Burtt, H., &amp; Dobell, E. (1925). The Curve of Forgetting for Advertising Material. Journal of Applied Psychology, 9, 5.</v>
      </c>
      <c r="B81">
        <f>'LLM Multiple'!AA81</f>
        <v>2419200</v>
      </c>
      <c r="C81" s="63">
        <f>B81/(60*60*24*365)</f>
        <v>7.6712328767123292E-2</v>
      </c>
      <c r="D81" s="63">
        <f>'LLM Multiple'!AM81</f>
        <v>-4.13109173593613E-2</v>
      </c>
    </row>
    <row r="83" spans="1:4" x14ac:dyDescent="0.25">
      <c r="A83" t="str">
        <f>'LLM Multiple'!B83</f>
        <v>Burtt, H., &amp; Dobell, E. (1925). The Curve of Forgetting for Advertising Material. Journal of Applied Psychology, 9, 5.</v>
      </c>
      <c r="B83">
        <f>'LLM Multiple'!AA83</f>
        <v>2419200</v>
      </c>
      <c r="C83" s="63">
        <f>B83/(60*60*24*365)</f>
        <v>7.6712328767123292E-2</v>
      </c>
      <c r="D83" s="63">
        <f>'LLM Multiple'!AM83</f>
        <v>-0.1252567951266868</v>
      </c>
    </row>
    <row r="85" spans="1:4" x14ac:dyDescent="0.25">
      <c r="A85" t="str">
        <f>'LLM Multiple'!B85</f>
        <v>Burtt, H., &amp; Dobell, E. (1925). The Curve of Forgetting for Advertising Material. Journal of Applied Psychology, 9, 5.</v>
      </c>
      <c r="B85">
        <f>'LLM Multiple'!AA85</f>
        <v>2419200</v>
      </c>
      <c r="C85" s="63">
        <f>B85/(60*60*24*365)</f>
        <v>7.6712328767123292E-2</v>
      </c>
      <c r="D85" s="63">
        <f>'LLM Multiple'!AM85</f>
        <v>-0.66848613975194271</v>
      </c>
    </row>
    <row r="87" spans="1:4" x14ac:dyDescent="0.25">
      <c r="A87" t="str">
        <f>'LLM Multiple'!B87</f>
        <v>Burtt, H., &amp; Dobell, E. (1925). The Curve of Forgetting for Advertising Material. Journal of Applied Psychology, 9, 5.</v>
      </c>
      <c r="B87">
        <f>'LLM Multiple'!AA87</f>
        <v>2419200</v>
      </c>
      <c r="C87" s="63">
        <f>B87/(60*60*24*365)</f>
        <v>7.6712328767123292E-2</v>
      </c>
      <c r="D87" s="63">
        <f>'LLM Multiple'!AM87</f>
        <v>-3.2653784473412759E-2</v>
      </c>
    </row>
    <row r="89" spans="1:4" x14ac:dyDescent="0.25">
      <c r="A89" t="str">
        <f>'LLM Multiple'!B89</f>
        <v>Burtt, H., &amp; Dobell, E. (1925). The Curve of Forgetting for Advertising Material. Journal of Applied Psychology, 9, 5.</v>
      </c>
      <c r="B89">
        <f>'LLM Multiple'!AA89</f>
        <v>2419200</v>
      </c>
      <c r="C89" s="63">
        <f>B89/(60*60*24*365)</f>
        <v>7.6712328767123292E-2</v>
      </c>
      <c r="D89" s="63">
        <f>'LLM Multiple'!AM89</f>
        <v>-0.11001941854743814</v>
      </c>
    </row>
    <row r="90" spans="1:4" x14ac:dyDescent="0.25">
      <c r="D90" s="63"/>
    </row>
    <row r="91" spans="1:4" x14ac:dyDescent="0.25">
      <c r="A91" t="str">
        <f>'LLM Multiple'!B91</f>
        <v>Butler, C. R., Graham, K. S., Hodges, J. R., Kapur, N., Wardlaw, J. M., &amp; Zeman, A. Z. (2007). The syndrome of transient epileptic amnesia. Annals of Neurology, 61(6), 587-598.</v>
      </c>
      <c r="B91">
        <f>'LLM Multiple'!AA91</f>
        <v>1814400</v>
      </c>
      <c r="C91" s="63">
        <f>B91/(60*60*24*365)</f>
        <v>5.7534246575342465E-2</v>
      </c>
      <c r="D91" s="63">
        <f>'LLM Multiple'!AM91</f>
        <v>-4.2949077420221644E-2</v>
      </c>
    </row>
    <row r="92" spans="1:4" x14ac:dyDescent="0.25">
      <c r="D92" s="63"/>
    </row>
    <row r="93" spans="1:4" x14ac:dyDescent="0.25">
      <c r="A93" t="str">
        <f>'LLM Multiple'!B93</f>
        <v>Butler, C. R., Graham, K. S., Hodges, J. R., Kapur, N., Wardlaw, J. M., &amp; Zeman, A. Z. (2007). The syndrome of transient epileptic amnesia. Annals of Neurology, 61(6), 587-598.</v>
      </c>
      <c r="B93">
        <f>'LLM Multiple'!AA93</f>
        <v>1814400</v>
      </c>
      <c r="C93" s="63">
        <f>B93/(60*60*24*365)</f>
        <v>5.7534246575342465E-2</v>
      </c>
      <c r="D93" s="63">
        <f>'LLM Multiple'!AM93</f>
        <v>-3.2331142164548875E-2</v>
      </c>
    </row>
    <row r="95" spans="1:4" x14ac:dyDescent="0.25">
      <c r="A95" t="str">
        <f>'LLM Multiple'!B95</f>
        <v xml:space="preserve">Carpenter, S. K., Pashler, H., Wixted, J. T., &amp; Vul, E. (2008). The effects of tests on learning and forgetting. Memory and Cognition, 36(2), 438-448.
</v>
      </c>
      <c r="B95">
        <f>'LLM Multiple'!AA95</f>
        <v>3628800</v>
      </c>
      <c r="C95" s="63">
        <f>B95/(60*60*24*365)</f>
        <v>0.11506849315068493</v>
      </c>
      <c r="D95" s="63">
        <f>'LLM Multiple'!AM95</f>
        <v>-9.1587453005604905E-2</v>
      </c>
    </row>
    <row r="97" spans="1:4" x14ac:dyDescent="0.25">
      <c r="A97" t="str">
        <f>'LLM Multiple'!B97</f>
        <v xml:space="preserve">Carpenter, S. K., Pashler, H., Wixted, J. T., &amp; Vul, E. (2008). The effects of tests on learning and forgetting. Memory and Cognition, 36(2), 438-448.
</v>
      </c>
      <c r="B97">
        <f>'LLM Multiple'!AA97</f>
        <v>3628800</v>
      </c>
      <c r="C97" s="63">
        <f>B97/(60*60*24*365)</f>
        <v>0.11506849315068493</v>
      </c>
      <c r="D97" s="63">
        <f>'LLM Multiple'!AM97</f>
        <v>-0.10246268954207854</v>
      </c>
    </row>
    <row r="99" spans="1:4" x14ac:dyDescent="0.25">
      <c r="A99" t="str">
        <f>'LLM Multiple'!B99</f>
        <v xml:space="preserve">Carpenter, S. K., Pashler, H., Wixted, J. T., &amp; Vul, E. (2008). The effects of tests on learning and forgetting. Memory and Cognition, 36(2), 438-448.
</v>
      </c>
      <c r="B99">
        <f>'LLM Multiple'!AA99</f>
        <v>3628800</v>
      </c>
      <c r="C99" s="63">
        <f>B99/(60*60*24*365)</f>
        <v>0.11506849315068493</v>
      </c>
      <c r="D99" s="63">
        <f>'LLM Multiple'!AM99</f>
        <v>-6.7845954926792254E-2</v>
      </c>
    </row>
    <row r="101" spans="1:4" x14ac:dyDescent="0.25">
      <c r="A101" t="str">
        <f>'LLM Multiple'!B101</f>
        <v xml:space="preserve">Carpenter, S. K., Pashler, H., Wixted, J. T., &amp; Vul, E. (2008). The effects of tests on learning and forgetting. Memory and Cognition, 36(2), 438-448.
</v>
      </c>
      <c r="B101">
        <f>'LLM Multiple'!AA101</f>
        <v>3628800</v>
      </c>
      <c r="C101" s="63">
        <f>B101/(60*60*24*365)</f>
        <v>0.11506849315068493</v>
      </c>
      <c r="D101" s="63">
        <f>'LLM Multiple'!AM101</f>
        <v>-8.297968446750012E-2</v>
      </c>
    </row>
    <row r="103" spans="1:4" x14ac:dyDescent="0.25">
      <c r="A103" t="str">
        <f>'LLM Multiple'!B103</f>
        <v xml:space="preserve">Carpenter, S. K., Pashler, H., Wixted, J. T., &amp; Vul, E. (2008). The effects of tests on learning and forgetting. Memory and Cognition, 36(2), 438-448.
</v>
      </c>
      <c r="B103">
        <f>'LLM Multiple'!AA103</f>
        <v>3628800</v>
      </c>
      <c r="C103" s="63">
        <f>B103/(60*60*24*365)</f>
        <v>0.11506849315068493</v>
      </c>
      <c r="D103" s="63">
        <f>'LLM Multiple'!AM103</f>
        <v>-0.11189128699965727</v>
      </c>
    </row>
    <row r="105" spans="1:4" x14ac:dyDescent="0.25">
      <c r="A105" t="str">
        <f>'LLM Multiple'!B105</f>
        <v xml:space="preserve">Carpenter, S. K., Pashler, H., Wixted, J. T., &amp; Vul, E. (2008). The effects of tests on learning and forgetting. Memory and Cognition, 36(2), 438-448.
</v>
      </c>
      <c r="B105">
        <f>'LLM Multiple'!AA105</f>
        <v>3628800</v>
      </c>
      <c r="C105" s="63">
        <f>B105/(60*60*24*365)</f>
        <v>0.11506849315068493</v>
      </c>
      <c r="D105" s="63">
        <f>'LLM Multiple'!AM105</f>
        <v>-0.12166290531877358</v>
      </c>
    </row>
    <row r="107" spans="1:4" x14ac:dyDescent="0.25">
      <c r="A107" t="str">
        <f>'LLM Multiple'!B107</f>
        <v>Cepeda, N., Vul, E., Rohrer, D., Wixted, J., &amp; Pashler, H. (2008). Spacing Effects in Learning: A Temporal Ridgeline of Optimal Retention. Psychological Science, 19(11), 1095-1102.</v>
      </c>
      <c r="B107">
        <f>'LLM Multiple'!AA107</f>
        <v>30240000</v>
      </c>
      <c r="C107" s="63">
        <f>B107/(60*60*24*365)</f>
        <v>0.95890410958904104</v>
      </c>
      <c r="D107" s="63">
        <f>'LLM Multiple'!AM107</f>
        <v>-0.52076175220920773</v>
      </c>
    </row>
    <row r="109" spans="1:4" x14ac:dyDescent="0.25">
      <c r="A109" t="str">
        <f>'LLM Multiple'!B109</f>
        <v>Cepeda, N., Vul, E., Rohrer, D., Wixted, J., &amp; Pashler, H. (2008). Spacing Effects in Learning: A Temporal Ridgeline of Optimal Retention. Psychological Science, 19(11), 1095-1102.</v>
      </c>
      <c r="B109">
        <f>'LLM Multiple'!AA109</f>
        <v>30240000</v>
      </c>
      <c r="C109" s="63">
        <f>B109/(60*60*24*365)</f>
        <v>0.95890410958904104</v>
      </c>
      <c r="D109" s="63">
        <f>'LLM Multiple'!AM109</f>
        <v>-0.5214112085031487</v>
      </c>
    </row>
    <row r="111" spans="1:4" x14ac:dyDescent="0.25">
      <c r="A111" t="str">
        <f>'LLM Multiple'!B111</f>
        <v>Cepeda, N., Vul, E., Rohrer, D., Wixted, J., &amp; Pashler, H. (2008). Spacing Effects in Learning: A Temporal Ridgeline of Optimal Retention. Psychological Science, 19(11), 1095-1102.</v>
      </c>
      <c r="B111">
        <f>'LLM Multiple'!AA111</f>
        <v>30240000</v>
      </c>
      <c r="C111" s="63">
        <f>B111/(60*60*24*365)</f>
        <v>0.95890410958904104</v>
      </c>
      <c r="D111" s="63">
        <f>'LLM Multiple'!AM111</f>
        <v>-0.46937964364704871</v>
      </c>
    </row>
    <row r="113" spans="1:4" x14ac:dyDescent="0.25">
      <c r="A113" t="str">
        <f>'LLM Multiple'!B113</f>
        <v>Cepeda, N., Vul, E., Rohrer, D., Wixted, J., &amp; Pashler, H. (2008). Spacing Effects in Learning: A Temporal Ridgeline of Optimal Retention. Psychological Science, 19(11), 1095-1102.</v>
      </c>
      <c r="B113">
        <f>'LLM Multiple'!AA113</f>
        <v>30240000</v>
      </c>
      <c r="C113" s="63">
        <f>B113/(60*60*24*365)</f>
        <v>0.95890410958904104</v>
      </c>
      <c r="D113" s="63">
        <f>'LLM Multiple'!AM113</f>
        <v>-0.3585661426719528</v>
      </c>
    </row>
    <row r="115" spans="1:4" x14ac:dyDescent="0.25">
      <c r="A115" t="str">
        <f>'LLM Multiple'!B115</f>
        <v>Cepeda, N., Vul, E., Rohrer, D., Wixted, J., &amp; Pashler, H. (2008). Spacing Effects in Learning: A Temporal Ridgeline of Optimal Retention. Psychological Science, 19(11), 1095-1102.</v>
      </c>
      <c r="B115">
        <f>'LLM Multiple'!AA115</f>
        <v>30240000</v>
      </c>
      <c r="C115" s="63">
        <f>B115/(60*60*24*365)</f>
        <v>0.95890410958904104</v>
      </c>
      <c r="D115" s="63">
        <f>'LLM Multiple'!AM115</f>
        <v>-0.45072171241934289</v>
      </c>
    </row>
    <row r="117" spans="1:4" x14ac:dyDescent="0.25">
      <c r="A117" t="str">
        <f>'LLM Multiple'!B117</f>
        <v>Cepeda, N., Vul, E., Rohrer, D., Wixted, J., &amp; Pashler, H. (2008). Spacing Effects in Learning: A Temporal Ridgeline of Optimal Retention. Psychological Science, 19(11), 1095-1102.</v>
      </c>
      <c r="B117">
        <f>'LLM Multiple'!AA117</f>
        <v>30240000</v>
      </c>
      <c r="C117" s="63">
        <f>B117/(60*60*24*365)</f>
        <v>0.95890410958904104</v>
      </c>
      <c r="D117" s="63">
        <f>'LLM Multiple'!AM117</f>
        <v>-0.21610621913419623</v>
      </c>
    </row>
    <row r="119" spans="1:4" x14ac:dyDescent="0.25">
      <c r="A119" t="str">
        <f>'LLM Multiple'!B119</f>
        <v>Cepeda, N., Vul, E., Rohrer, D., Wixted, J., &amp; Pashler, H. (2008). Spacing Effects in Learning: A Temporal Ridgeline of Optimal Retention. Psychological Science, 19(11), 1095-1102.</v>
      </c>
      <c r="B119">
        <f>'LLM Multiple'!AA119</f>
        <v>30240000</v>
      </c>
      <c r="C119" s="63">
        <f>B119/(60*60*24*365)</f>
        <v>0.95890410958904104</v>
      </c>
      <c r="D119" s="63">
        <f>'LLM Multiple'!AM119</f>
        <v>-0.19642734384411326</v>
      </c>
    </row>
    <row r="121" spans="1:4" x14ac:dyDescent="0.25">
      <c r="A121" t="str">
        <f>'LLM Multiple'!B121</f>
        <v>Cepeda, N., Vul, E., Rohrer, D., Wixted, J., &amp; Pashler, H. (2008). Spacing Effects in Learning: A Temporal Ridgeline of Optimal Retention. Psychological Science, 19(11), 1095-1102.</v>
      </c>
      <c r="B121">
        <f>'LLM Multiple'!AA121</f>
        <v>30240000</v>
      </c>
      <c r="C121" s="63">
        <f>B121/(60*60*24*365)</f>
        <v>0.95890410958904104</v>
      </c>
      <c r="D121" s="63">
        <f>'LLM Multiple'!AM121</f>
        <v>-0.14161603336344145</v>
      </c>
    </row>
    <row r="123" spans="1:4" x14ac:dyDescent="0.25">
      <c r="A123" t="str">
        <f>'LLM Multiple'!B123</f>
        <v>Cepeda, N., Vul, E., Rohrer, D., Wixted, J., &amp; Pashler, H. (2008). Spacing Effects in Learning: A Temporal Ridgeline of Optimal Retention. Psychological Science, 19(11), 1095-1102.</v>
      </c>
      <c r="B123">
        <f>'LLM Multiple'!AA123</f>
        <v>30240000</v>
      </c>
      <c r="C123" s="63">
        <f>B123/(60*60*24*365)</f>
        <v>0.95890410958904104</v>
      </c>
      <c r="D123" s="63">
        <f>'LLM Multiple'!AM123</f>
        <v>-9.134301524438973E-2</v>
      </c>
    </row>
    <row r="125" spans="1:4" x14ac:dyDescent="0.25">
      <c r="A125" t="str">
        <f>'LLM Multiple'!B125</f>
        <v>Cepeda, N., Vul, E., Rohrer, D., Wixted, J., &amp; Pashler, H. (2008). Spacing Effects in Learning: A Temporal Ridgeline of Optimal Retention. Psychological Science, 19(11), 1095-1102.</v>
      </c>
      <c r="B125">
        <f>'LLM Multiple'!AA125</f>
        <v>30240000</v>
      </c>
      <c r="C125" s="63">
        <f>B125/(60*60*24*365)</f>
        <v>0.95890410958904104</v>
      </c>
      <c r="D125" s="63">
        <f>'LLM Multiple'!AM125</f>
        <v>-0.15656389100607182</v>
      </c>
    </row>
    <row r="127" spans="1:4" x14ac:dyDescent="0.25">
      <c r="A127" t="str">
        <f>'LLM Multiple'!B127</f>
        <v>Cepeda, N. J., Coburn, N., Rohrer, D., Wixted, J. T., Mozer, M. C., &amp; Pashler, H. (2009). Optimizing distributed practice: Theoretical analysis and practical implications. Experimental Psychology, 56(4), 236-246.</v>
      </c>
      <c r="B127">
        <f>'LLM Multiple'!AA127</f>
        <v>1209600</v>
      </c>
      <c r="C127" s="63">
        <f>B127/(60*60*24*365)</f>
        <v>3.8356164383561646E-2</v>
      </c>
      <c r="D127" s="63">
        <f>'LLM Multiple'!AM127</f>
        <v>-0.11253363439233544</v>
      </c>
    </row>
    <row r="129" spans="1:4" x14ac:dyDescent="0.25">
      <c r="A129" t="str">
        <f>'LLM Multiple'!B129</f>
        <v>Cepeda, N. J., Coburn, N., Rohrer, D., Wixted, J. T., Mozer, M. C., &amp; Pashler, H. (2009). Optimizing distributed practice: Theoretical analysis and practical implications. Experimental Psychology, 56(4), 236-246.</v>
      </c>
      <c r="B129">
        <f>'LLM Multiple'!AA129</f>
        <v>14515200</v>
      </c>
      <c r="C129" s="63">
        <f>B129/(60*60*24*365)</f>
        <v>0.46027397260273972</v>
      </c>
      <c r="D129" s="63">
        <f>'LLM Multiple'!AM129</f>
        <v>-0.12863423140777697</v>
      </c>
    </row>
    <row r="131" spans="1:4" x14ac:dyDescent="0.25">
      <c r="A131" t="str">
        <f>'LLM Multiple'!B131</f>
        <v>Cepeda, N. J., Coburn, N., Rohrer, D., Wixted, J. T., Mozer, M. C., &amp; Pashler, H. (2009). Optimizing distributed practice: Theoretical analysis and practical implications. Experimental Psychology, 56(4), 236-246.</v>
      </c>
      <c r="B131">
        <f>'LLM Multiple'!AA131</f>
        <v>14515200</v>
      </c>
      <c r="C131" s="63">
        <f>B131/(60*60*24*365)</f>
        <v>0.46027397260273972</v>
      </c>
      <c r="D131" s="63">
        <f>'LLM Multiple'!AM131</f>
        <v>-0.2416812154323445</v>
      </c>
    </row>
    <row r="133" spans="1:4" x14ac:dyDescent="0.25">
      <c r="A133" t="str">
        <f>'LLM Multiple'!B133</f>
        <v>Cermak, L. S., &amp; O'Connor, M. (1983). The anterograde and retrograde retrieval ability of a patient with amnesia due to encephalitis. Neuropsychologia, 21(3), 213-234.</v>
      </c>
      <c r="B133">
        <f>'LLM Multiple'!AA133</f>
        <v>1419120000</v>
      </c>
      <c r="C133" s="63">
        <f>B133/(60*60*24*365)</f>
        <v>45</v>
      </c>
      <c r="D133" s="63">
        <f>'LLM Multiple'!AM133</f>
        <v>-2.6747660098469152E-2</v>
      </c>
    </row>
    <row r="135" spans="1:4" x14ac:dyDescent="0.25">
      <c r="A135" t="str">
        <f>'LLM Multiple'!B135</f>
        <v>Cohen, N. J., &amp; Squire, L. R. (1981). Retrograde amnesia and remote memory impairment. Neuropsychologia, 19(3), 337-356.</v>
      </c>
      <c r="B135">
        <f>'LLM Multiple'!AA135</f>
        <v>1103760000</v>
      </c>
      <c r="C135" s="63">
        <f>B135/(60*60*24*365)</f>
        <v>35</v>
      </c>
      <c r="D135" s="63">
        <f>'LLM Multiple'!AM135</f>
        <v>-9.9130471757127095E-2</v>
      </c>
    </row>
    <row r="137" spans="1:4" x14ac:dyDescent="0.25">
      <c r="A137" t="str">
        <f>'LLM Multiple'!B137</f>
        <v>Cohen, N. J., &amp; Squire, L. R. (1981). Retrograde amnesia and remote memory impairment. Neuropsychologia, 19(3), 337-356.</v>
      </c>
      <c r="B137">
        <f>'LLM Multiple'!AA137</f>
        <v>1103760000</v>
      </c>
      <c r="C137" s="63">
        <f>B137/(60*60*24*365)</f>
        <v>35</v>
      </c>
      <c r="D137" s="63">
        <f>'LLM Multiple'!AM137</f>
        <v>-1.3160977738390256E-2</v>
      </c>
    </row>
    <row r="139" spans="1:4" x14ac:dyDescent="0.25">
      <c r="A139" t="str">
        <f>'LLM Multiple'!B139</f>
        <v>Cohen, N. J., &amp; Squire, L. R. (1981). Retrograde amnesia and remote memory impairment. Neuropsychologia, 19(3), 337-356.</v>
      </c>
      <c r="B139">
        <f>'LLM Multiple'!AA139</f>
        <v>1419120000</v>
      </c>
      <c r="C139" s="63">
        <f>B139/(60*60*24*365)</f>
        <v>45</v>
      </c>
      <c r="D139" s="63">
        <f>'LLM Multiple'!AM139</f>
        <v>-0.12458176230171633</v>
      </c>
    </row>
    <row r="141" spans="1:4" x14ac:dyDescent="0.25">
      <c r="A141" t="str">
        <f>'LLM Multiple'!B141</f>
        <v xml:space="preserve">Conway, M. A., Cohen, G., &amp; Stanhope, N. (1991). On the very long-term retention of knowledge acquired through formal education: Twelve years of cognitive psychology. Journal of Experimental Psychology: General, 120(4), 395-409.
</v>
      </c>
      <c r="B141">
        <f>'LLM Multiple'!AA141</f>
        <v>330912000</v>
      </c>
      <c r="C141" s="63">
        <f>B141/(60*60*24*365)</f>
        <v>10.493150684931507</v>
      </c>
      <c r="D141" s="63">
        <f>'LLM Multiple'!AM141</f>
        <v>-6.2716517678125278E-2</v>
      </c>
    </row>
    <row r="143" spans="1:4" x14ac:dyDescent="0.25">
      <c r="A143" t="str">
        <f>'LLM Multiple'!B143</f>
        <v xml:space="preserve">Conway, M. A., Cohen, G., &amp; Stanhope, N. (1991). On the very long-term retention of knowledge acquired through formal education: Twelve years of cognitive psychology. Journal of Experimental Psychology: General, 120(4), 395-409.
</v>
      </c>
      <c r="B143">
        <f>'LLM Multiple'!AA143</f>
        <v>330912000</v>
      </c>
      <c r="C143" s="63">
        <f>B143/(60*60*24*365)</f>
        <v>10.493150684931507</v>
      </c>
      <c r="D143" s="63">
        <f>'LLM Multiple'!AM143</f>
        <v>-5.9485316904957383E-2</v>
      </c>
    </row>
    <row r="145" spans="1:4" x14ac:dyDescent="0.25">
      <c r="A145" t="str">
        <f>'LLM Multiple'!B145</f>
        <v xml:space="preserve">Conway, M. A., Cohen, G., &amp; Stanhope, N. (1991). On the very long-term retention of knowledge acquired through formal education: Twelve years of cognitive psychology. Journal of Experimental Psychology: General, 120(4), 395-409.
</v>
      </c>
      <c r="B145">
        <f>'LLM Multiple'!AA145</f>
        <v>330912000</v>
      </c>
      <c r="C145" s="63">
        <f>B145/(60*60*24*365)</f>
        <v>10.493150684931507</v>
      </c>
      <c r="D145" s="63">
        <f>'LLM Multiple'!AM145</f>
        <v>-0.24881822357505426</v>
      </c>
    </row>
    <row r="147" spans="1:4" x14ac:dyDescent="0.25">
      <c r="A147" t="str">
        <f>'LLM Multiple'!B147</f>
        <v xml:space="preserve">Conway, M. A., Cohen, G., &amp; Stanhope, N. (1991). On the very long-term retention of knowledge acquired through formal education: Twelve years of cognitive psychology. Journal of Experimental Psychology: General, 120(4), 395-409.
</v>
      </c>
      <c r="B147">
        <f>'LLM Multiple'!AA147</f>
        <v>330912000</v>
      </c>
      <c r="C147" s="63">
        <f>B147/(60*60*24*365)</f>
        <v>10.493150684931507</v>
      </c>
      <c r="D147" s="63">
        <f>'LLM Multiple'!AM147</f>
        <v>-0.15770156066902088</v>
      </c>
    </row>
    <row r="149" spans="1:4" x14ac:dyDescent="0.25">
      <c r="A149" t="str">
        <f>'LLM Multiple'!B149</f>
        <v>Craig, C., Sternthal, B., &amp; Olshan, K. (1972). The effect of overlearning on retention. Journal of General Psychology, 87, 85.</v>
      </c>
      <c r="B149">
        <f>'LLM Multiple'!AA149</f>
        <v>2419200</v>
      </c>
      <c r="C149" s="63">
        <f>B149/(60*60*24*365)</f>
        <v>7.6712328767123292E-2</v>
      </c>
      <c r="D149" s="63">
        <f>'LLM Multiple'!AM149</f>
        <v>-0.10015218682287769</v>
      </c>
    </row>
    <row r="151" spans="1:4" x14ac:dyDescent="0.25">
      <c r="A151" t="str">
        <f>'LLM Multiple'!B151</f>
        <v>Craig, C., Sternthal, B., &amp; Olshan, K. (1972). The effect of overlearning on retention. Journal of General Psychology, 87, 85.</v>
      </c>
      <c r="B151">
        <f>'LLM Multiple'!AA151</f>
        <v>2419200</v>
      </c>
      <c r="C151" s="63">
        <f>B151/(60*60*24*365)</f>
        <v>7.6712328767123292E-2</v>
      </c>
      <c r="D151" s="63">
        <f>'LLM Multiple'!AM151</f>
        <v>-6.2836858409418064E-2</v>
      </c>
    </row>
    <row r="153" spans="1:4" x14ac:dyDescent="0.25">
      <c r="A153" t="str">
        <f>'LLM Multiple'!B153</f>
        <v>Craig, C., Sternthal, B., &amp; Olshan, K. (1972). The effect of overlearning on retention. Journal of General Psychology, 87, 85.</v>
      </c>
      <c r="B153">
        <f>'LLM Multiple'!AA153</f>
        <v>2419200</v>
      </c>
      <c r="C153" s="63">
        <f>B153/(60*60*24*365)</f>
        <v>7.6712328767123292E-2</v>
      </c>
      <c r="D153" s="63">
        <f>'LLM Multiple'!AM153</f>
        <v>-6.6866453136152262E-2</v>
      </c>
    </row>
    <row r="154" spans="1:4" x14ac:dyDescent="0.25">
      <c r="D154" s="63"/>
    </row>
    <row r="155" spans="1:4" x14ac:dyDescent="0.25">
      <c r="A155" t="str">
        <f>'LLM Multiple'!B155</f>
        <v>Cronel-Ohayon, S., Zesiger, P., Davidoff, V., Boni, A., Roulet, E., &amp; Deonna, T. (2006). Deficit in memory consolidation (abnormal forgetting rate) in childhood temporal lobe epilepsy. Pre and postoperative long-term observation. Neuropediatrics, 37(06), 317-324.</v>
      </c>
      <c r="B155">
        <f>'LLM Multiple'!AA155</f>
        <v>2505600</v>
      </c>
      <c r="C155" s="63">
        <f>B155/(60*60*24*365)</f>
        <v>7.9452054794520555E-2</v>
      </c>
      <c r="D155" s="63">
        <f>'LLM Multiple'!AM155</f>
        <v>-5.9415478397388574E-2</v>
      </c>
    </row>
    <row r="156" spans="1:4" x14ac:dyDescent="0.25">
      <c r="D156" s="63"/>
    </row>
    <row r="157" spans="1:4" x14ac:dyDescent="0.25">
      <c r="A157" t="str">
        <f>'LLM Multiple'!B157</f>
        <v>Cronel-Ohayon, S., Zesiger, P., Davidoff, V., Boni, A., Roulet, E., &amp; Deonna, T. (2006). Deficit in memory consolidation (abnormal forgetting rate) in childhood temporal lobe epilepsy. Pre and postoperative long-term observation. Neuropediatrics, 37(06), 317-324.</v>
      </c>
      <c r="B157">
        <f>'LLM Multiple'!AA157</f>
        <v>2505600</v>
      </c>
      <c r="C157" s="63">
        <f>B157/(60*60*24*365)</f>
        <v>7.9452054794520555E-2</v>
      </c>
      <c r="D157" s="63">
        <f>'LLM Multiple'!AM157</f>
        <v>-6.4390400558397884E-2</v>
      </c>
    </row>
    <row r="158" spans="1:4" x14ac:dyDescent="0.25">
      <c r="D158" s="63"/>
    </row>
    <row r="159" spans="1:4" x14ac:dyDescent="0.25">
      <c r="A159" t="str">
        <f>'LLM Multiple'!B159</f>
        <v>Cronel-Ohayon, S., Zesiger, P., Davidoff, V., Boni, A., Roulet, E., &amp; Deonna, T. (2006). Deficit in memory consolidation (abnormal forgetting rate) in childhood temporal lobe epilepsy. Pre and postoperative long-term observation. Neuropediatrics, 37(06), 317-324.</v>
      </c>
      <c r="B159">
        <f>'LLM Multiple'!AA159</f>
        <v>2505600</v>
      </c>
      <c r="C159" s="63">
        <f>B159/(60*60*24*365)</f>
        <v>7.9452054794520555E-2</v>
      </c>
      <c r="D159" s="63">
        <f>'LLM Multiple'!AM159</f>
        <v>-3.5254086548973502E-3</v>
      </c>
    </row>
    <row r="161" spans="1:4" x14ac:dyDescent="0.25">
      <c r="A161" t="str">
        <f>'LLM Multiple'!B161</f>
        <v>Ebbinghaus, H. (1885/1913). Memory: A contribution to experimental psychology (H. A. Ruger &amp; C. E. Bussenius, Trans.). New York: Columbia University, Teacher’s College. (Reprinted 1964, New York: Dover).</v>
      </c>
      <c r="B161">
        <f>'LLM Multiple'!AA161</f>
        <v>2678659.2000000002</v>
      </c>
      <c r="C161" s="63">
        <f>B161/(60*60*24*365)</f>
        <v>8.4939726027397272E-2</v>
      </c>
      <c r="D161" s="63">
        <f>'LLM Multiple'!AM161</f>
        <v>-0.13567423012773172</v>
      </c>
    </row>
    <row r="163" spans="1:4" x14ac:dyDescent="0.25">
      <c r="A163" t="str">
        <f>'LLM Multiple'!B163</f>
        <v>Fisher, J. S. (2020). Dissertation</v>
      </c>
      <c r="B163">
        <f>'LLM Multiple'!AA163</f>
        <v>1209600</v>
      </c>
      <c r="C163" s="63">
        <f>B163/(60*60*24*365)</f>
        <v>3.8356164383561646E-2</v>
      </c>
      <c r="D163" s="63">
        <f>'LLM Multiple'!AM163</f>
        <v>-2.7351483884457073E-2</v>
      </c>
    </row>
    <row r="165" spans="1:4" x14ac:dyDescent="0.25">
      <c r="A165" t="str">
        <f>'LLM Multiple'!B165</f>
        <v>Fisher, J. S. (2020). Dissertation</v>
      </c>
      <c r="B165">
        <f>'LLM Multiple'!AA165</f>
        <v>1209600</v>
      </c>
      <c r="C165" s="63">
        <f>B165/(60*60*24*365)</f>
        <v>3.8356164383561646E-2</v>
      </c>
      <c r="D165" s="63">
        <f>'LLM Multiple'!AM165</f>
        <v>-1.7680539009255279E-2</v>
      </c>
    </row>
    <row r="167" spans="1:4" x14ac:dyDescent="0.25">
      <c r="A167" t="str">
        <f>'LLM Multiple'!B167</f>
        <v>Fisher, J. S. (2020). Dissertation</v>
      </c>
      <c r="B167">
        <f>'LLM Multiple'!AA167</f>
        <v>1209600</v>
      </c>
      <c r="C167" s="63">
        <f>B167/(60*60*24*365)</f>
        <v>3.8356164383561646E-2</v>
      </c>
      <c r="D167" s="63">
        <f>'LLM Multiple'!AM167</f>
        <v>-2.7014341730541673E-2</v>
      </c>
    </row>
    <row r="169" spans="1:4" x14ac:dyDescent="0.25">
      <c r="A169" t="str">
        <f>'LLM Multiple'!B169</f>
        <v>Fisher, J. S. (2020). Dissertation</v>
      </c>
      <c r="B169">
        <f>'LLM Multiple'!AA169</f>
        <v>1209600</v>
      </c>
      <c r="C169" s="63">
        <f>B169/(60*60*24*365)</f>
        <v>3.8356164383561646E-2</v>
      </c>
      <c r="D169" s="63">
        <f>'LLM Multiple'!AM169</f>
        <v>-2.9843925761553459E-2</v>
      </c>
    </row>
    <row r="171" spans="1:4" x14ac:dyDescent="0.25">
      <c r="A171" t="str">
        <f>'LLM Multiple'!B171</f>
        <v>Fisher, J. S., &amp; Radvansky, G. A. (2019). Linear forgetting. Journal of Memory and Language, 108, 104035.</v>
      </c>
      <c r="B171">
        <f>'LLM Multiple'!AA171</f>
        <v>7257600</v>
      </c>
      <c r="C171" s="63">
        <f>B171/(60*60*24*365)</f>
        <v>0.23013698630136986</v>
      </c>
      <c r="D171" s="63">
        <f>'LLM Multiple'!AM171</f>
        <v>-2.515431825260913E-2</v>
      </c>
    </row>
    <row r="173" spans="1:4" x14ac:dyDescent="0.25">
      <c r="A173" t="str">
        <f>'LLM Multiple'!B173</f>
        <v>Fisher, J. S., &amp; Radvansky, G. A. (2019). Linear forgetting. Journal of Memory and Language, 108, 104035.</v>
      </c>
      <c r="B173">
        <f>'LLM Multiple'!AA173</f>
        <v>873600</v>
      </c>
      <c r="C173" s="63">
        <f>B173/(60*60*24*365)</f>
        <v>2.7701674277016742E-2</v>
      </c>
      <c r="D173" s="63">
        <f>'LLM Multiple'!AM173</f>
        <v>-1.6099550602488931E-2</v>
      </c>
    </row>
    <row r="174" spans="1:4" x14ac:dyDescent="0.25">
      <c r="D174" s="63"/>
    </row>
    <row r="175" spans="1:4" x14ac:dyDescent="0.25">
      <c r="A175" t="str">
        <f>'LLM Multiple'!B175</f>
        <v>Giovagnoli, A. R., Casazza, M., &amp; Avanzini, G. (1995). Visual learning on a selective reminding procedure and delayed recall in patients with temporal lobe epilepsy. Epilepsia, 36(7), 704-711.</v>
      </c>
      <c r="B175">
        <f>'LLM Multiple'!AA175</f>
        <v>1123200</v>
      </c>
      <c r="C175" s="63">
        <f>B175/(60*60*24*365)</f>
        <v>3.5616438356164383E-2</v>
      </c>
      <c r="D175" s="63">
        <f>'LLM Multiple'!AM175</f>
        <v>-1.3408736112626381E-2</v>
      </c>
    </row>
    <row r="177" spans="1:4" x14ac:dyDescent="0.25">
      <c r="A177" t="str">
        <f>'LLM Multiple'!B177</f>
        <v xml:space="preserve">Glasnapp, D. R., Poggio, J. P. and Ory, J. C. (1978). End-of-Course and Long-Term Retention Outcomes for Mastery and Nonmastery Learning Paradigms. Psychology in the Schools, 15(4), 595-603.
</v>
      </c>
      <c r="B177">
        <f>'LLM Multiple'!AA177</f>
        <v>41472000</v>
      </c>
      <c r="C177" s="63">
        <f>B177/(60*60*24*365)</f>
        <v>1.3150684931506849</v>
      </c>
      <c r="D177" s="63">
        <f>'LLM Multiple'!AM177</f>
        <v>-0.10115046335486202</v>
      </c>
    </row>
    <row r="179" spans="1:4" x14ac:dyDescent="0.25">
      <c r="A179" t="str">
        <f>'LLM Multiple'!B179</f>
        <v xml:space="preserve">Glasnapp, D. R., Poggio, J. P. and Ory, J. C. (1978). End-of-Course and Long-Term Retention Outcomes for Mastery and Nonmastery Learning Paradigms. Psychology in the Schools, 15(4), 595-603.
</v>
      </c>
      <c r="B179">
        <f>'LLM Multiple'!AA179</f>
        <v>41472000</v>
      </c>
      <c r="C179" s="63">
        <f>B179/(60*60*24*365)</f>
        <v>1.3150684931506849</v>
      </c>
      <c r="D179" s="63">
        <f>'LLM Multiple'!AM179</f>
        <v>-5.5198547833092602E-2</v>
      </c>
    </row>
    <row r="181" spans="1:4" x14ac:dyDescent="0.25">
      <c r="A181" t="str">
        <f>'LLM Multiple'!B181</f>
        <v xml:space="preserve">Glasnapp, D. R., Poggio, J. P. and Ory, J. C. (1978). End-of-Course and Long-Term Retention Outcomes for Mastery and Nonmastery Learning Paradigms. Psychology in the Schools, 15(4), 595-603.
</v>
      </c>
      <c r="B181">
        <f>'LLM Multiple'!AA181</f>
        <v>41472000</v>
      </c>
      <c r="C181" s="63">
        <f>B181/(60*60*24*365)</f>
        <v>1.3150684931506849</v>
      </c>
      <c r="D181" s="63">
        <f>'LLM Multiple'!AM181</f>
        <v>-5.743500690022494E-2</v>
      </c>
    </row>
    <row r="183" spans="1:4" x14ac:dyDescent="0.25">
      <c r="A183" t="str">
        <f>'LLM Multiple'!B183</f>
        <v xml:space="preserve">Glasnapp, D. R., Poggio, J. P. and Ory, J. C. (1978). End-of-Course and Long-Term Retention Outcomes for Mastery and Nonmastery Learning Paradigms. Psychology in the Schools, 15(4), 595-603.
</v>
      </c>
      <c r="B183">
        <f>'LLM Multiple'!AA183</f>
        <v>41472000</v>
      </c>
      <c r="C183" s="63">
        <f>B183/(60*60*24*365)</f>
        <v>1.3150684931506849</v>
      </c>
      <c r="D183" s="63">
        <f>'LLM Multiple'!AM183</f>
        <v>-0.19913673194180401</v>
      </c>
    </row>
    <row r="185" spans="1:4" x14ac:dyDescent="0.25">
      <c r="A185" t="str">
        <f>'LLM Multiple'!B185</f>
        <v xml:space="preserve">Glasnapp, D. R., Poggio, J. P. and Ory, J. C. (1978). End-of-Course and Long-Term Retention Outcomes for Mastery and Nonmastery Learning Paradigms. Psychology in the Schools, 15(4), 595-603.
</v>
      </c>
      <c r="B185">
        <f>'LLM Multiple'!AA185</f>
        <v>41472000</v>
      </c>
      <c r="C185" s="63">
        <f>B185/(60*60*24*365)</f>
        <v>1.3150684931506849</v>
      </c>
      <c r="D185" s="63">
        <f>'LLM Multiple'!AM185</f>
        <v>-0.11669377570214917</v>
      </c>
    </row>
    <row r="187" spans="1:4" x14ac:dyDescent="0.25">
      <c r="A187" t="str">
        <f>'LLM Multiple'!B187</f>
        <v>Haist, F., Gore, J. B., &amp; Mao, H. (2001). Consolidation of human memory over decades revealed by functional magnetic resonance imaging. Nature neuroscience, 4(11), 1139-1145.</v>
      </c>
      <c r="B187">
        <f>'LLM Multiple'!AA187</f>
        <v>1734480000</v>
      </c>
      <c r="C187" s="63">
        <f>B187/(60*60*24*365)</f>
        <v>55</v>
      </c>
      <c r="D187" s="63">
        <f>'LLM Multiple'!AM187</f>
        <v>-5.2778466108937237E-4</v>
      </c>
    </row>
    <row r="189" spans="1:4" x14ac:dyDescent="0.25">
      <c r="A189" t="str">
        <f>'LLM Multiple'!B189</f>
        <v>Haist, F., Gore, J. B., &amp; Mao, H. (2001). Consolidation of human memory over decades revealed by functional magnetic resonance imaging. Nature neuroscience, 4(11), 1139-1145.</v>
      </c>
      <c r="B189">
        <f>'LLM Multiple'!AA189</f>
        <v>1734480000</v>
      </c>
      <c r="C189" s="63">
        <f>B189/(60*60*24*365)</f>
        <v>55</v>
      </c>
      <c r="D189" s="63">
        <f>'LLM Multiple'!AM189</f>
        <v>2.8480854992779629E-3</v>
      </c>
    </row>
    <row r="191" spans="1:4" x14ac:dyDescent="0.25">
      <c r="A191" t="str">
        <f>'LLM Multiple'!B191</f>
        <v>Hirst, W., Phelps, E. A., Meksin, R., Vaidya, C. J., Johnson, M. K., Mitchell, K. J., &amp; ... Olsson, A. (2015). A ten-year follow-up of a study of memory for the attack of September 11, 2001: Flashbulb memories and memories for flashbulb events. Journal Of Experimental Psychology: General, 144(3), 604-623. doi:10.1037/xge0000055</v>
      </c>
      <c r="B191">
        <f>'LLM Multiple'!AA191</f>
        <v>312427152</v>
      </c>
      <c r="C191" s="63">
        <f>B191/(60*60*24*365)</f>
        <v>9.907</v>
      </c>
      <c r="D191" s="63">
        <f>'LLM Multiple'!AM191</f>
        <v>-2.054809097565808E-2</v>
      </c>
    </row>
    <row r="193" spans="1:4" x14ac:dyDescent="0.25">
      <c r="A193" t="str">
        <f>'LLM Multiple'!B193</f>
        <v>Huber, S. J., Shuttleworth, E. C., &amp; Paulson, G. W. (1986). Dementia in Parkinson's disease. Archives of Neurology, 43(10), 987-990.</v>
      </c>
      <c r="B193">
        <f>'LLM Multiple'!AA193</f>
        <v>1892160000</v>
      </c>
      <c r="C193" s="63">
        <f>B193/(60*60*24*365)</f>
        <v>60</v>
      </c>
      <c r="D193" s="63">
        <f>'LLM Multiple'!AM193</f>
        <v>-2.7645195459682675E-2</v>
      </c>
    </row>
    <row r="195" spans="1:4" x14ac:dyDescent="0.25">
      <c r="A195" t="str">
        <f>'LLM Multiple'!B195</f>
        <v>Huber, S. J., Shuttleworth, E. C., &amp; Paulson, G. W. (1986). Dementia in Parkinson's disease. Archives of Neurology, 43(10), 987-990.</v>
      </c>
      <c r="B195">
        <f>'LLM Multiple'!AA195</f>
        <v>1892160000</v>
      </c>
      <c r="C195" s="63">
        <f>B195/(60*60*24*365)</f>
        <v>60</v>
      </c>
      <c r="D195" s="63">
        <f>'LLM Multiple'!AM195</f>
        <v>-9.5086939803385256E-2</v>
      </c>
    </row>
    <row r="197" spans="1:4" x14ac:dyDescent="0.25">
      <c r="A197" t="str">
        <f>'LLM Multiple'!B197</f>
        <v>Huber, S. J., Shuttleworth, E. C., &amp; Paulson, G. W. (1986). Dementia in Parkinson's disease. Archives of Neurology, 43(10), 987-990.</v>
      </c>
      <c r="B197">
        <f>'LLM Multiple'!AA197</f>
        <v>1892160000</v>
      </c>
      <c r="C197" s="63">
        <f>B197/(60*60*24*365)</f>
        <v>60</v>
      </c>
      <c r="D197" s="63">
        <f>'LLM Multiple'!AM197</f>
        <v>-8.3914012528416307E-2</v>
      </c>
    </row>
    <row r="199" spans="1:4" x14ac:dyDescent="0.25">
      <c r="A199" t="str">
        <f>'LLM Multiple'!B199</f>
        <v>Hunkin, N. M., Parkin, A. J., Bradley, V. A., Burrows, E. H., Aldrich, F. K., Jansari, A., &amp; Burdon-Cooper, C. (1995). Focal retrograde amnesia following closed head injury: A case study and theoretical account. Neuropsychologia, 33(4), 509-523.</v>
      </c>
      <c r="B199">
        <f>'LLM Multiple'!AA199</f>
        <v>630720000</v>
      </c>
      <c r="C199" s="63">
        <f>B199/(60*60*24*365)</f>
        <v>20</v>
      </c>
      <c r="D199" s="63">
        <f>'LLM Multiple'!AM199</f>
        <v>-5.5722996349914955E-2</v>
      </c>
    </row>
    <row r="201" spans="1:4" x14ac:dyDescent="0.25">
      <c r="A201" t="str">
        <f>'LLM Multiple'!B201</f>
        <v>Jackson, H. F., &amp; Bentall, R. P. (1991). Operant conditioning in amnesic subjects: Response patterning and sensitivity to schedule changes. Neuropsychology, 5(2), 89.</v>
      </c>
      <c r="B201">
        <f>'LLM Multiple'!AA201</f>
        <v>1261440000</v>
      </c>
      <c r="C201" s="63">
        <f>B201/(60*60*24*365)</f>
        <v>40</v>
      </c>
      <c r="D201" s="63">
        <f>'LLM Multiple'!AM201</f>
        <v>-0.4436014153946779</v>
      </c>
    </row>
    <row r="203" spans="1:4" x14ac:dyDescent="0.25">
      <c r="A203" t="str">
        <f>'LLM Multiple'!B203</f>
        <v>Kapur, N., Heath, P., Meudell, P., &amp; Kennedy, P. (1986). Amnesia can facilitate memory performance: evidence from a patient with dissociated retrograde amnesia. Neuropsychologia, 24(2), 215-221.</v>
      </c>
      <c r="B203">
        <f>'LLM Multiple'!AA203</f>
        <v>1892160000</v>
      </c>
      <c r="C203" s="63">
        <f>B203/(60*60*24*365)</f>
        <v>60</v>
      </c>
      <c r="D203" s="63">
        <f>'LLM Multiple'!AM203</f>
        <v>-0.15567545715976089</v>
      </c>
    </row>
    <row r="205" spans="1:4" x14ac:dyDescent="0.25">
      <c r="A205" t="str">
        <f>'LLM Multiple'!B205</f>
        <v>Kapur, N., Heath, P., Meudell, P., &amp; Kennedy, P. (1986). Amnesia can facilitate memory performance: evidence from a patient with dissociated retrograde amnesia. Neuropsychologia, 24(2), 215-221.</v>
      </c>
      <c r="B205">
        <f>'LLM Multiple'!AA205</f>
        <v>1892160000</v>
      </c>
      <c r="C205" s="63">
        <f>B205/(60*60*24*365)</f>
        <v>60</v>
      </c>
      <c r="D205" s="63">
        <f>'LLM Multiple'!AM205</f>
        <v>-0.10705750353645044</v>
      </c>
    </row>
    <row r="207" spans="1:4" x14ac:dyDescent="0.25">
      <c r="A207" t="str">
        <f>'LLM Multiple'!B207</f>
        <v>Kapur, N., Heath, P., Meudell, P., &amp; Kennedy, P. (1986). Amnesia can facilitate memory performance: evidence from a patient with dissociated retrograde amnesia. Neuropsychologia, 24(2), 215-221.</v>
      </c>
      <c r="B207">
        <f>'LLM Multiple'!AA207</f>
        <v>1576800000</v>
      </c>
      <c r="C207" s="63">
        <f>B207/(60*60*24*365)</f>
        <v>50</v>
      </c>
      <c r="D207" s="63">
        <f>'LLM Multiple'!AM207</f>
        <v>-5.4899457248047401E-2</v>
      </c>
    </row>
    <row r="209" spans="1:4" x14ac:dyDescent="0.25">
      <c r="A209" t="str">
        <f>'LLM Multiple'!B209</f>
        <v>Kapur, N., Heath, P., Meudell, P., &amp; Kennedy, P. (1986). Amnesia can facilitate memory performance: evidence from a patient with dissociated retrograde amnesia. Neuropsychologia, 24(2), 215-221.</v>
      </c>
      <c r="B209">
        <f>'LLM Multiple'!AA209</f>
        <v>1576800000</v>
      </c>
      <c r="C209" s="63">
        <f>B209/(60*60*24*365)</f>
        <v>50</v>
      </c>
      <c r="D209" s="63">
        <f>'LLM Multiple'!AM209</f>
        <v>-1.6937645279540448E-2</v>
      </c>
    </row>
    <row r="211" spans="1:4" x14ac:dyDescent="0.25">
      <c r="A211" t="str">
        <f>'LLM Multiple'!B211</f>
        <v>Kapur, N., Millar, J., Colbourn, C., Abbott, P., Kennedy, P., &amp; Docherty, T. (1997). Very long-term amnesia in association with temporal lobe epilepsy: evidence for multiple-stage consolidation processes. Brain and Cognition, 35(1), 58-70.</v>
      </c>
      <c r="B211">
        <f>'LLM Multiple'!AA211</f>
        <v>1419120000</v>
      </c>
      <c r="C211" s="63">
        <f>B211/(60*60*24*365)</f>
        <v>45</v>
      </c>
      <c r="D211" s="63">
        <f>'LLM Multiple'!AM211</f>
        <v>-0.15811696857948115</v>
      </c>
    </row>
    <row r="212" spans="1:4" x14ac:dyDescent="0.25">
      <c r="D212" s="63"/>
    </row>
    <row r="213" spans="1:4" x14ac:dyDescent="0.25">
      <c r="A213" t="str">
        <f>'LLM Multiple'!B213</f>
        <v>Kapur, N., Scholey, K., Moore, E., Barker, S., Brice, J., Thompson, S., ... &amp; Fleming, J. (1996). Long-term retention deficits in two cases of disproportionate retrograde amnesia. Journal of Cognitive Neuroscience, 8(5), 416-434.</v>
      </c>
      <c r="B213">
        <f>'LLM Multiple'!AA213</f>
        <v>946080000</v>
      </c>
      <c r="C213" s="63">
        <f>B213/(60*60*24*365)</f>
        <v>30</v>
      </c>
      <c r="D213" s="63">
        <f>'LLM Multiple'!AM213</f>
        <v>-0.15337101198759301</v>
      </c>
    </row>
    <row r="215" spans="1:4" x14ac:dyDescent="0.25">
      <c r="A215" t="str">
        <f>'LLM Multiple'!B215</f>
        <v>Kapur, N., Scholey, K., Moore, E., Barker, S., Brice, J., Thompson, S., ... &amp; Fleming, J. (1996). Long-term retention deficits in two cases of disproportionate retrograde amnesia. Journal of Cognitive Neuroscience, 8(5), 416-434.</v>
      </c>
      <c r="B215">
        <f>'LLM Multiple'!AA215</f>
        <v>946080000</v>
      </c>
      <c r="C215" s="63">
        <f>B215/(60*60*24*365)</f>
        <v>30</v>
      </c>
      <c r="D215" s="63">
        <f>'LLM Multiple'!AM215</f>
        <v>-6.1980810106602814E-2</v>
      </c>
    </row>
    <row r="217" spans="1:4" x14ac:dyDescent="0.25">
      <c r="A217" t="str">
        <f>'LLM Multiple'!B217</f>
        <v>Kapur, N., Young, A., Bateman, D., &amp; Kennedy, P. (1989). Focal retrograde amnesia: a long term clinical and neuropsychological follow-up. Cortex, 25(3), 387-402.</v>
      </c>
      <c r="B217">
        <f>'LLM Multiple'!AA217</f>
        <v>1576800000</v>
      </c>
      <c r="C217" s="63">
        <f>B217/(60*60*24*365)</f>
        <v>50</v>
      </c>
      <c r="D217" s="63">
        <f>'LLM Multiple'!AM217</f>
        <v>-3.9940156449601992E-2</v>
      </c>
    </row>
    <row r="219" spans="1:4" x14ac:dyDescent="0.25">
      <c r="A219" t="str">
        <f>'LLM Multiple'!B219</f>
        <v>Kapur, N., Young, A., Bateman, D., &amp; Kennedy, P. (1989). Focal retrograde amnesia: a long term clinical and neuropsychological follow-up. Cortex, 25(3), 387-402.</v>
      </c>
      <c r="B219">
        <f>'LLM Multiple'!AA219</f>
        <v>1576800000</v>
      </c>
      <c r="C219" s="63">
        <f>B219/(60*60*24*365)</f>
        <v>50</v>
      </c>
      <c r="D219" s="63">
        <f>'LLM Multiple'!AM219</f>
        <v>-3.6025596386846631E-2</v>
      </c>
    </row>
    <row r="220" spans="1:4" x14ac:dyDescent="0.25">
      <c r="D220" s="63"/>
    </row>
    <row r="221" spans="1:4" x14ac:dyDescent="0.25">
      <c r="A221" t="str">
        <f>'LLM Multiple'!B221</f>
        <v>Kemp, S., Illman, N. A., Moulin, C. J., &amp; Baddeley, A. D. (2012). Accelerated long-term forgetting (ALF) and transient epileptic amnesia (TEA): Two cases of epilepsy‐related memory disorder. Epilepsy &amp; Behavior, 24(3), 382-388.</v>
      </c>
      <c r="B221">
        <f>'LLM Multiple'!AA221</f>
        <v>2592000</v>
      </c>
      <c r="C221" s="63">
        <f>B221/(60*60*24*365)</f>
        <v>8.2191780821917804E-2</v>
      </c>
      <c r="D221" s="63">
        <f>'LLM Multiple'!AM221</f>
        <v>-6.0850286552710138E-3</v>
      </c>
    </row>
    <row r="222" spans="1:4" x14ac:dyDescent="0.25">
      <c r="D222" s="63"/>
    </row>
    <row r="223" spans="1:4" x14ac:dyDescent="0.25">
      <c r="A223" t="str">
        <f>'LLM Multiple'!B223</f>
        <v>Kemp, S., Illman, N. A., Moulin, C. J., &amp; Baddeley, A. D. (2012). Accelerated long-term forgetting (ALF) and transient epileptic amnesia (TEA): Two cases of epilepsy‐related memory disorder. Epilepsy &amp; Behavior, 24(3), 382-388.</v>
      </c>
      <c r="B223">
        <f>'LLM Multiple'!AA223</f>
        <v>2592000</v>
      </c>
      <c r="C223" s="63">
        <f>B223/(60*60*24*365)</f>
        <v>8.2191780821917804E-2</v>
      </c>
      <c r="D223" s="63">
        <f>'LLM Multiple'!AM223</f>
        <v>-2.3720604581557066E-2</v>
      </c>
    </row>
    <row r="224" spans="1:4" x14ac:dyDescent="0.25">
      <c r="D224" s="63"/>
    </row>
    <row r="225" spans="1:4" x14ac:dyDescent="0.25">
      <c r="A225" t="str">
        <f>'LLM Multiple'!B225</f>
        <v>Kemp, S., Illman, N. A., Moulin, C. J., &amp; Baddeley, A. D. (2012). Accelerated long-term forgetting (ALF) and transient epileptic amnesia (TEA): Two cases of epilepsy‐related memory disorder. Epilepsy &amp; Behavior, 24(3), 382-388.</v>
      </c>
      <c r="B225">
        <f>'LLM Multiple'!AA225</f>
        <v>2592000</v>
      </c>
      <c r="C225" s="63">
        <f>B225/(60*60*24*365)</f>
        <v>8.2191780821917804E-2</v>
      </c>
      <c r="D225" s="63">
        <f>'LLM Multiple'!AM225</f>
        <v>-0.16794010933010456</v>
      </c>
    </row>
    <row r="226" spans="1:4" x14ac:dyDescent="0.25">
      <c r="D226" s="63"/>
    </row>
    <row r="227" spans="1:4" x14ac:dyDescent="0.25">
      <c r="A227" t="str">
        <f>'LLM Multiple'!B227</f>
        <v>Kemp, S., Illman, N. A., Moulin, C. J., &amp; Baddeley, A. D. (2012). Accelerated long-term forgetting (ALF) and transient epileptic amnesia (TEA): Two cases of epilepsy‐related memory disorder. Epilepsy &amp; Behavior, 24(3), 382-388.</v>
      </c>
      <c r="B227">
        <f>'LLM Multiple'!AA227</f>
        <v>2592000</v>
      </c>
      <c r="C227" s="63">
        <f>B227/(60*60*24*365)</f>
        <v>8.2191780821917804E-2</v>
      </c>
      <c r="D227" s="63">
        <f>'LLM Multiple'!AM227</f>
        <v>-2.2122079847556309E-2</v>
      </c>
    </row>
    <row r="228" spans="1:4" x14ac:dyDescent="0.25">
      <c r="D228" s="63"/>
    </row>
    <row r="229" spans="1:4" x14ac:dyDescent="0.25">
      <c r="A229" t="str">
        <f>'LLM Multiple'!B229</f>
        <v>Kemp, S., Illman, N. A., Moulin, C. J., &amp; Baddeley, A. D. (2012). Accelerated long-term forgetting (ALF) and transient epileptic amnesia (TEA): Two cases of epilepsy‐related memory disorder. Epilepsy &amp; Behavior, 24(3), 382-388.</v>
      </c>
      <c r="B229">
        <f>'LLM Multiple'!AA229</f>
        <v>2592000</v>
      </c>
      <c r="C229" s="63">
        <f>B229/(60*60*24*365)</f>
        <v>8.2191780821917804E-2</v>
      </c>
      <c r="D229" s="63">
        <f>'LLM Multiple'!AM229</f>
        <v>-6.3602407780228104E-2</v>
      </c>
    </row>
    <row r="231" spans="1:4" x14ac:dyDescent="0.25">
      <c r="A231" t="str">
        <f>'LLM Multiple'!B231</f>
        <v>Kopelman, M. D. (1989). Remote and autobiographical memory, temporal context memory and frontal atrophy in Korsakoff and Alzheimer patients. Neuropsychologia, 27(4), 437-460.</v>
      </c>
      <c r="B231">
        <f>'LLM Multiple'!AA231</f>
        <v>1576800000</v>
      </c>
      <c r="C231" s="63">
        <f>B231/(60*60*24*365)</f>
        <v>50</v>
      </c>
      <c r="D231" s="63">
        <f>'LLM Multiple'!AM231</f>
        <v>-4.8463934323627805E-2</v>
      </c>
    </row>
    <row r="233" spans="1:4" x14ac:dyDescent="0.25">
      <c r="A233" t="str">
        <f>'LLM Multiple'!B233</f>
        <v>Kopelman, M. D. (1989). Remote and autobiographical memory, temporal context memory and frontal atrophy in Korsakoff and Alzheimer patients. Neuropsychologia, 27(4), 437-460.</v>
      </c>
      <c r="B233">
        <f>'LLM Multiple'!AA233</f>
        <v>1576800000</v>
      </c>
      <c r="C233" s="63">
        <f>B233/(60*60*24*365)</f>
        <v>50</v>
      </c>
      <c r="D233" s="63">
        <f>'LLM Multiple'!AM233</f>
        <v>-5.1964405657588801E-2</v>
      </c>
    </row>
    <row r="235" spans="1:4" x14ac:dyDescent="0.25">
      <c r="A235" t="str">
        <f>'LLM Multiple'!B235</f>
        <v>Kopelman, M. D., Stanhope, N., &amp; Kingsley, D. (1999). Retrograde amnesia in patients with diencephalic, temporal lobe or frontal lesions. Neuropsychologia, 37(8), 939-958.</v>
      </c>
      <c r="B235">
        <f>'LLM Multiple'!AA235</f>
        <v>946080000</v>
      </c>
      <c r="C235" s="63">
        <f>B235/(60*60*24*365)</f>
        <v>30</v>
      </c>
      <c r="D235" s="63">
        <f>'LLM Multiple'!AM235</f>
        <v>-0.15720750371087649</v>
      </c>
    </row>
    <row r="237" spans="1:4" x14ac:dyDescent="0.25">
      <c r="A237" t="str">
        <f>'LLM Multiple'!B237</f>
        <v>Kopelman, M. D., Stanhope, N., &amp; Kingsley, D. (1999). Retrograde amnesia in patients with diencephalic, temporal lobe or frontal lesions. Neuropsychologia, 37(8), 939-958.</v>
      </c>
      <c r="B237">
        <f>'LLM Multiple'!AA237</f>
        <v>946080000</v>
      </c>
      <c r="C237" s="63">
        <f>B237/(60*60*24*365)</f>
        <v>30</v>
      </c>
      <c r="D237" s="63">
        <f>'LLM Multiple'!AM237</f>
        <v>-3.9337551682560964E-2</v>
      </c>
    </row>
    <row r="239" spans="1:4" x14ac:dyDescent="0.25">
      <c r="A239" t="str">
        <f>'LLM Multiple'!B239</f>
        <v>Kopelman, M. D., Stanhope, N., &amp; Kingsley, D. (1999). Retrograde amnesia in patients with diencephalic, temporal lobe or frontal lesions. Neuropsychologia, 37(8), 939-958.</v>
      </c>
      <c r="B239">
        <f>'LLM Multiple'!AA239</f>
        <v>946080000</v>
      </c>
      <c r="C239" s="63">
        <f>B239/(60*60*24*365)</f>
        <v>30</v>
      </c>
      <c r="D239" s="63">
        <f>'LLM Multiple'!AM239</f>
        <v>-0.14802152911127761</v>
      </c>
    </row>
    <row r="241" spans="1:5" x14ac:dyDescent="0.25">
      <c r="A241" t="str">
        <f>'LLM Multiple'!B241</f>
        <v>Krueger, W., &amp; Bentley, Madison. (1929). The effect of overlearning on retention. Journal of Experimental Psychology, 12(1), 71-78.</v>
      </c>
      <c r="B241">
        <f>'LLM Multiple'!AA241</f>
        <v>2419200</v>
      </c>
      <c r="C241" s="63">
        <f>B241/(60*60*24*365)</f>
        <v>7.6712328767123292E-2</v>
      </c>
      <c r="D241" s="171"/>
      <c r="E241" s="63">
        <f>'LLM Multiple'!AM431</f>
        <v>-0.87843214499940236</v>
      </c>
    </row>
    <row r="243" spans="1:5" x14ac:dyDescent="0.25">
      <c r="A243" t="str">
        <f>'LLM Multiple'!B243</f>
        <v>Krueger, W., &amp; Bentley, Madison. (1929). The effect of overlearning on retention. Journal of Experimental Psychology, 12(1), 71-78.</v>
      </c>
      <c r="B243">
        <f>'LLM Multiple'!AA243</f>
        <v>2419200</v>
      </c>
      <c r="C243" s="63">
        <f>B243/(60*60*24*365)</f>
        <v>7.6712328767123292E-2</v>
      </c>
      <c r="D243" s="63">
        <f>'LLM Multiple'!AM243</f>
        <v>-0.19437002776632611</v>
      </c>
    </row>
    <row r="245" spans="1:5" x14ac:dyDescent="0.25">
      <c r="A245" t="str">
        <f>'LLM Multiple'!B245</f>
        <v>Krueger, W., &amp; Bentley, Madison. (1929). The effect of overlearning on retention. Journal of Experimental Psychology, 12(1), 71-78.</v>
      </c>
      <c r="B245">
        <f>'LLM Multiple'!AA245</f>
        <v>2419200</v>
      </c>
      <c r="C245" s="63">
        <f>B245/(60*60*24*365)</f>
        <v>7.6712328767123292E-2</v>
      </c>
      <c r="D245" s="63">
        <f>'LLM Multiple'!AM245</f>
        <v>-0.20807610380928487</v>
      </c>
    </row>
    <row r="246" spans="1:5" x14ac:dyDescent="0.25">
      <c r="D246" s="63"/>
    </row>
    <row r="247" spans="1:5" x14ac:dyDescent="0.25">
      <c r="A247" t="str">
        <f>'LLM Multiple'!B247</f>
        <v>Lucchelli, F., &amp; Spinnler, H. (1998). Ephemeral new traces and evaporated remote engrams: A form of neocortical temporal lobe amnesia? A preliminary case report. Neurocase, 4(6), 447-459.</v>
      </c>
      <c r="B247">
        <f>'LLM Multiple'!AA247</f>
        <v>3542400</v>
      </c>
      <c r="C247" s="63">
        <f>B247/(60*60*24*365)</f>
        <v>0.11232876712328767</v>
      </c>
      <c r="D247" s="63">
        <f>'LLM Multiple'!AM247</f>
        <v>-9.410267272012841E-3</v>
      </c>
    </row>
    <row r="248" spans="1:5" x14ac:dyDescent="0.25">
      <c r="D248" s="63"/>
    </row>
    <row r="249" spans="1:5" x14ac:dyDescent="0.25">
      <c r="A249" t="str">
        <f>'LLM Multiple'!B249</f>
        <v>Lucchelli, F., &amp; Spinnler, H. (1998). Ephemeral new traces and evaporated remote engrams: A form of neocortical temporal lobe amnesia? A preliminary case report. Neurocase, 4(6), 447-459.</v>
      </c>
      <c r="B249">
        <f>'LLM Multiple'!AA249</f>
        <v>3542400</v>
      </c>
      <c r="C249" s="63">
        <f>B249/(60*60*24*365)</f>
        <v>0.11232876712328767</v>
      </c>
      <c r="D249" s="63">
        <f>'LLM Multiple'!AM249</f>
        <v>-0.12376574433129726</v>
      </c>
    </row>
    <row r="251" spans="1:5" x14ac:dyDescent="0.25">
      <c r="A251" t="str">
        <f>'LLM Multiple'!B251</f>
        <v>MacLeod, C. (1988). Forgotten but Not Gone: Savings for Pictures and Words in Long-Term Memory. Journal of Experimental Psychology: Learning, Memory, and Cognition, 14(2), 195-212.</v>
      </c>
      <c r="B251">
        <f>'LLM Multiple'!AA251</f>
        <v>6480000</v>
      </c>
      <c r="C251" s="63">
        <f>B251/(60*60*24*365)</f>
        <v>0.20547945205479451</v>
      </c>
      <c r="D251" s="63">
        <f>'LLM Multiple'!AM251</f>
        <v>-0.17739196345789193</v>
      </c>
    </row>
    <row r="252" spans="1:5" x14ac:dyDescent="0.25">
      <c r="D252" s="63"/>
    </row>
    <row r="253" spans="1:5" x14ac:dyDescent="0.25">
      <c r="A253" t="str">
        <f>'LLM Multiple'!B253</f>
        <v>Mameniskiene, R., Jatuzis, D., Kaubrys, G., &amp; Budrys, V. (2006). The decay of memory between delayed and long-term recall in patients with temporal lobe epilepsy. Epilepsy &amp; Behavior, 8(1), 278-288.</v>
      </c>
      <c r="B253">
        <f>'LLM Multiple'!AA253</f>
        <v>2419200</v>
      </c>
      <c r="C253" s="63">
        <f>B253/(60*60*24*365)</f>
        <v>7.6712328767123292E-2</v>
      </c>
      <c r="D253" s="63">
        <f>'LLM Multiple'!AM253</f>
        <v>-5.3164123577759008E-2</v>
      </c>
    </row>
    <row r="254" spans="1:5" x14ac:dyDescent="0.25">
      <c r="D254" s="63"/>
    </row>
    <row r="255" spans="1:5" x14ac:dyDescent="0.25">
      <c r="A255" t="str">
        <f>'LLM Multiple'!B255</f>
        <v>Mameniskiene, R., Jatuzis, D., Kaubrys, G., &amp; Budrys, V. (2006). The decay of memory between delayed and long-term recall in patients with temporal lobe epilepsy. Epilepsy &amp; Behavior, 8(1), 278-288.</v>
      </c>
      <c r="B255">
        <f>'LLM Multiple'!AA255</f>
        <v>2419200</v>
      </c>
      <c r="C255" s="63">
        <f>B255/(60*60*24*365)</f>
        <v>7.6712328767123292E-2</v>
      </c>
      <c r="D255" s="63">
        <f>'LLM Multiple'!AM255</f>
        <v>-3.3498580021113722E-2</v>
      </c>
    </row>
    <row r="256" spans="1:5" x14ac:dyDescent="0.25">
      <c r="D256" s="63"/>
    </row>
    <row r="257" spans="1:4" x14ac:dyDescent="0.25">
      <c r="A257" t="str">
        <f>'LLM Multiple'!B257</f>
        <v>Mameniskiene, R., Jatuzis, D., Kaubrys, G., &amp; Budrys, V. (2006). The decay of memory between delayed and long-term recall in patients with temporal lobe epilepsy. Epilepsy &amp; Behavior, 8(1), 278-288.</v>
      </c>
      <c r="B257">
        <f>'LLM Multiple'!AA257</f>
        <v>2419200</v>
      </c>
      <c r="C257" s="63">
        <f>B257/(60*60*24*365)</f>
        <v>7.6712328767123292E-2</v>
      </c>
      <c r="D257" s="63">
        <f>'LLM Multiple'!AM257</f>
        <v>-5.4788942536359318E-2</v>
      </c>
    </row>
    <row r="259" spans="1:4" x14ac:dyDescent="0.25">
      <c r="A259" t="str">
        <f>'LLM Multiple'!B259</f>
        <v>Markowitsch, H. J., Weber-Luxemburger, G., Ewald, K., Kessler, J., &amp; Heiss, W. D. (1997). Patients with heart attacks are not valid models for medial temporal lobe amnesia. A neuropsychological and FDG-PET study with consequences for memory research. European Journal of Neurology, 4(2), 178-184.</v>
      </c>
      <c r="B259">
        <f>'LLM Multiple'!AA259</f>
        <v>788400000</v>
      </c>
      <c r="C259" s="63">
        <f>B259/(60*60*24*365)</f>
        <v>25</v>
      </c>
      <c r="D259" s="63">
        <f>'LLM Multiple'!AM259</f>
        <v>-0.11634709952102547</v>
      </c>
    </row>
    <row r="261" spans="1:4" x14ac:dyDescent="0.25">
      <c r="A261" t="str">
        <f>'LLM Multiple'!B261</f>
        <v>Marslen-Wilson, W. D., &amp; Teuber, H. L. (1975). Memory for remote events in anterograde amnesia: recognition of public figures from newsphotographs. Neuropsychologia, 13(3), 353-364.</v>
      </c>
      <c r="B261">
        <f>'LLM Multiple'!AA261</f>
        <v>1576800000</v>
      </c>
      <c r="C261" s="63">
        <f>B261/(60*60*24*365)</f>
        <v>50</v>
      </c>
      <c r="D261" s="63">
        <f>'LLM Multiple'!AM261</f>
        <v>-0.10289085895850124</v>
      </c>
    </row>
    <row r="263" spans="1:4" x14ac:dyDescent="0.25">
      <c r="A263" t="str">
        <f>'LLM Multiple'!B265</f>
        <v>Mayes, A. R., Daum, I., Markowisch, H. J., &amp; Sauter, B. (1997). The relationship between retrograde and anterograde amnesia in patients with typical global amnesia. Cortex, 33(2), 197-217.</v>
      </c>
      <c r="B263">
        <f>'LLM Multiple'!AA265</f>
        <v>567648000</v>
      </c>
      <c r="C263" s="63">
        <f>B263/(60*60*24*365)</f>
        <v>18</v>
      </c>
      <c r="D263" s="63">
        <f>'LLM Multiple'!AM265</f>
        <v>-9.5459256484472982E-2</v>
      </c>
    </row>
    <row r="265" spans="1:4" x14ac:dyDescent="0.25">
      <c r="A265" t="str">
        <f>'LLM Multiple'!B267</f>
        <v>Mayes, A. R., Meudell, P. R., Mann, D., &amp; Pickering, A. (1988). Location of lesions in Korsakoff's syndrome: neuropsychological and neuropathological data on two patients. Cortex, 24(3), 367-388.</v>
      </c>
      <c r="B265">
        <f>'LLM Multiple'!AA267</f>
        <v>1576800000</v>
      </c>
      <c r="C265" s="63">
        <f>B265/(60*60*24*365)</f>
        <v>50</v>
      </c>
      <c r="D265" s="63">
        <f>'LLM Multiple'!AM267</f>
        <v>-0.41976270112104347</v>
      </c>
    </row>
    <row r="267" spans="1:4" x14ac:dyDescent="0.25">
      <c r="A267" t="str">
        <f>'LLM Multiple'!B269</f>
        <v>Mayes, A. R., Meudell, P. R., Mann, D., &amp; Pickering, A. (1988). Location of lesions in Korsakoff's syndrome: neuropsychological and neuropathological data on two patients. Cortex, 24(3), 367-388.</v>
      </c>
      <c r="B267">
        <f>'LLM Multiple'!AA269</f>
        <v>1576800000</v>
      </c>
      <c r="C267" s="63">
        <f>B267/(60*60*24*365)</f>
        <v>50</v>
      </c>
      <c r="D267" s="63">
        <f>'LLM Multiple'!AM269</f>
        <v>-0.28149290710271108</v>
      </c>
    </row>
    <row r="269" spans="1:4" x14ac:dyDescent="0.25">
      <c r="A269" t="str">
        <f>'LLM Multiple'!B271</f>
        <v>Mayes, A. R., Meudell, P. R., Mann, D., &amp; Pickering, A. (1988). Location of lesions in Korsakoff's syndrome: neuropsychological and neuropathological data on two patients. Cortex, 24(3), 367-388.</v>
      </c>
      <c r="B269">
        <f>'LLM Multiple'!AA271</f>
        <v>1576800000</v>
      </c>
      <c r="C269" s="63">
        <f>B269/(60*60*24*365)</f>
        <v>50</v>
      </c>
      <c r="D269" s="63">
        <f>'LLM Multiple'!AM271</f>
        <v>-0.36659852691459716</v>
      </c>
    </row>
    <row r="271" spans="1:4" x14ac:dyDescent="0.25">
      <c r="A271" t="str">
        <f>'LLM Multiple'!B273</f>
        <v>Mayes, A. R., Meudell, P. R., Mann, D., &amp; Pickering, A. (1988). Location of lesions in Korsakoff's syndrome: neuropsychological and neuropathological data on two patients. Cortex, 24(3), 367-388.</v>
      </c>
      <c r="B271">
        <f>'LLM Multiple'!AA273</f>
        <v>1576800000</v>
      </c>
      <c r="C271" s="63">
        <f>B271/(60*60*24*365)</f>
        <v>50</v>
      </c>
      <c r="D271" s="63">
        <f>'LLM Multiple'!AM273</f>
        <v>-0.19779592563291784</v>
      </c>
    </row>
    <row r="273" spans="1:4" x14ac:dyDescent="0.25">
      <c r="A273" t="str">
        <f>'LLM Multiple'!B275</f>
        <v>Meudell, P. R., Northen, B., Snowden, J. S., &amp; Neary, D. (1980). Long term memory for famous voices in amnesic and normal subjects. Neuropsychologia, 18(2), 133-139.</v>
      </c>
      <c r="B273">
        <f>'LLM Multiple'!AA275</f>
        <v>1419120000</v>
      </c>
      <c r="C273" s="63">
        <f>B273/(60*60*24*365)</f>
        <v>45</v>
      </c>
      <c r="D273" s="63">
        <f>'LLM Multiple'!AM275</f>
        <v>-0.28550487306301897</v>
      </c>
    </row>
    <row r="275" spans="1:4" x14ac:dyDescent="0.25">
      <c r="A275" t="str">
        <f>'LLM Multiple'!B277</f>
        <v>Meudell, P. R., Northen, B., Snowden, J. S., &amp; Neary, D. (1980). Long term memory for famous voices in amnesic and normal subjects. Neuropsychologia, 18(2), 133-139.</v>
      </c>
      <c r="B275">
        <f>'LLM Multiple'!AA277</f>
        <v>1419120000</v>
      </c>
      <c r="C275" s="63">
        <f>B275/(60*60*24*365)</f>
        <v>45</v>
      </c>
      <c r="D275" s="63">
        <f>'LLM Multiple'!AM277</f>
        <v>-0.182793811559819</v>
      </c>
    </row>
    <row r="277" spans="1:4" x14ac:dyDescent="0.25">
      <c r="A277" t="str">
        <f>'LLM Multiple'!B279</f>
        <v>Montaldi, D., &amp; Parkin, A. J. (1989). Retrograde amnesia in Korsakoff’s syndrome: An experimental and theoretical analysis. In Developments in clinical and experimental neuropsychology (pp. 213-218). Springer, Boston, MA.</v>
      </c>
      <c r="B277">
        <f>'LLM Multiple'!AA279</f>
        <v>1419120000</v>
      </c>
      <c r="C277" s="63">
        <f>B277/(60*60*24*365)</f>
        <v>45</v>
      </c>
      <c r="D277" s="63">
        <f>'LLM Multiple'!AM279</f>
        <v>-7.0402760275188284E-2</v>
      </c>
    </row>
    <row r="279" spans="1:4" x14ac:dyDescent="0.25">
      <c r="A279" t="str">
        <f>'LLM Multiple'!B283</f>
        <v>Mure, J. M. J., &amp; Dross, J. (2015). Replication and analysis of Ebinghaus' Forgetting curve. PLoS ONE, 10(7). 1-23.</v>
      </c>
      <c r="B279">
        <f>'LLM Multiple'!AA283</f>
        <v>2678400</v>
      </c>
      <c r="C279" s="63">
        <f>B279/(60*60*24*365)</f>
        <v>8.4931506849315067E-2</v>
      </c>
      <c r="D279" s="63">
        <f>'LLM Multiple'!AM283</f>
        <v>-0.13771605010460941</v>
      </c>
    </row>
    <row r="280" spans="1:4" x14ac:dyDescent="0.25">
      <c r="D280" s="63"/>
    </row>
    <row r="281" spans="1:4" x14ac:dyDescent="0.25">
      <c r="A281" t="str">
        <f>'LLM Multiple'!B285</f>
        <v>Mure, J. M. J., &amp; Dross, J. (2015). Replication and analysis of Ebinghaus' Forgetting curve. PLoS ONE, 10(7). 1-23.</v>
      </c>
      <c r="B281">
        <f>'LLM Multiple'!AA285</f>
        <v>2678400</v>
      </c>
      <c r="C281" s="63">
        <f>B281/(60*60*24*365)</f>
        <v>8.4931506849315067E-2</v>
      </c>
      <c r="D281" s="63">
        <f>'LLM Multiple'!AM285</f>
        <v>-0.14901517490609484</v>
      </c>
    </row>
    <row r="283" spans="1:4" x14ac:dyDescent="0.25">
      <c r="A283" t="str">
        <f>'LLM Multiple'!B285</f>
        <v>Mure, J. M. J., &amp; Dross, J. (2015). Replication and analysis of Ebinghaus' Forgetting curve. PLoS ONE, 10(7). 1-23.</v>
      </c>
      <c r="B283">
        <f>'LLM Multiple'!AA285</f>
        <v>2678400</v>
      </c>
      <c r="C283" s="63">
        <f>B283/(60*60*24*365)</f>
        <v>8.4931506849315067E-2</v>
      </c>
      <c r="D283" s="63">
        <f>'LLM Multiple'!AM285</f>
        <v>-0.14901517490609484</v>
      </c>
    </row>
    <row r="285" spans="1:4" x14ac:dyDescent="0.25">
      <c r="A285" t="str">
        <f>'LLM Multiple'!B287</f>
        <v>Mure, J. M. J., &amp; Dross, J. (2015). Replication and analysis of Ebinghaus' Forgetting curve. PLoS ONE, 10(7). 1-23.</v>
      </c>
      <c r="B285">
        <f>'LLM Multiple'!AA287</f>
        <v>2678400</v>
      </c>
      <c r="C285" s="63">
        <f>B285/(60*60*24*365)</f>
        <v>8.4931506849315067E-2</v>
      </c>
      <c r="D285" s="63">
        <f>'LLM Multiple'!AM287</f>
        <v>-0.18391190913912323</v>
      </c>
    </row>
    <row r="287" spans="1:4" x14ac:dyDescent="0.25">
      <c r="A287" t="str">
        <f>'LLM Multiple'!B289</f>
        <v>Nelson, T. O., Shimamura, A. P., &amp; Leonesio, R J. (1980). Large effects on long-term retention after standard list learning vs. adjusted learning. Behavior Research Methods &amp; Instrumentation, 12(1), 42-44.</v>
      </c>
      <c r="B287">
        <f>'LLM Multiple'!AA289</f>
        <v>4233600</v>
      </c>
      <c r="C287" s="63">
        <f>B287/(60*60*24*365)</f>
        <v>0.13424657534246576</v>
      </c>
      <c r="D287" s="63">
        <f>'LLM Multiple'!AM289</f>
        <v>-0.59517119578547173</v>
      </c>
    </row>
    <row r="289" spans="1:5" x14ac:dyDescent="0.25">
      <c r="A289" t="str">
        <f>'LLM Multiple'!B291</f>
        <v>Nelson, T. O., Shimamura, A. P., &amp; Leonesio, R J. (1980). Large effects on long-term retention after standard list learning vs. adjusted learning. Behavior Research Methods &amp; Instrumentation, 12(1), 42-44.</v>
      </c>
      <c r="B289">
        <f>'LLM Multiple'!AA291</f>
        <v>2419200</v>
      </c>
      <c r="C289" s="63">
        <f>B289/(60*60*24*365)</f>
        <v>7.6712328767123292E-2</v>
      </c>
      <c r="D289" s="63">
        <f>'LLM Multiple'!AM291</f>
        <v>-0.59506142618098612</v>
      </c>
    </row>
    <row r="291" spans="1:5" x14ac:dyDescent="0.25">
      <c r="A291" t="str">
        <f>'LLM Multiple'!B293</f>
        <v>Nunoi, M., &amp; Yoshikawa, S. (2016). Deep processing makes stimuli more preferable over long durations. Journal of Cognitive Psychology, 28(6), 756-763.</v>
      </c>
      <c r="B291">
        <f>'LLM Multiple'!AA293</f>
        <v>3628800</v>
      </c>
      <c r="C291" s="63">
        <f>B291/(60*60*24*365)</f>
        <v>0.11506849315068493</v>
      </c>
      <c r="D291" s="63">
        <f>'LLM Multiple'!AM293</f>
        <v>-2.4218402444285553E-3</v>
      </c>
    </row>
    <row r="293" spans="1:5" x14ac:dyDescent="0.25">
      <c r="A293" t="str">
        <f>'LLM Multiple'!B295</f>
        <v>Nunoi, M., &amp; Yoshikawa, S. (2016). Deep processing makes stimuli more preferable over long durations. Journal of Cognitive Psychology, 28(6), 756-763.</v>
      </c>
      <c r="B293">
        <f>'LLM Multiple'!AA295</f>
        <v>3628800</v>
      </c>
      <c r="C293" s="63">
        <f>B293/(60*60*24*365)</f>
        <v>0.11506849315068493</v>
      </c>
      <c r="D293" s="63">
        <f>'LLM Multiple'!AM295</f>
        <v>-9.4010097333786929E-3</v>
      </c>
    </row>
    <row r="294" spans="1:5" x14ac:dyDescent="0.25">
      <c r="D294" s="63"/>
    </row>
    <row r="295" spans="1:5" x14ac:dyDescent="0.25">
      <c r="A295" t="str">
        <f>'LLM Multiple'!B297</f>
        <v>O'Connor, M., Sieggreen, M. A., Ahern, G., Schomer, D., &amp; Mesulam, M. (1997). Accelerated forgetting in association with temporal lobe epilepsy and paraneoplastic encephalitis. Brain and Cognition, 35(1), 71-84.</v>
      </c>
      <c r="B295">
        <f>'LLM Multiple'!AA297</f>
        <v>1356048000</v>
      </c>
      <c r="C295" s="63">
        <f>B295/(60*60*24*365)</f>
        <v>43</v>
      </c>
      <c r="D295" s="171"/>
      <c r="E295" s="63">
        <f>'LLM Multiple'!AM432</f>
        <v>-1.0042897286851371</v>
      </c>
    </row>
    <row r="297" spans="1:5" x14ac:dyDescent="0.25">
      <c r="A297" t="str">
        <f>'LLM Multiple'!B299</f>
        <v>Parkin, A. J., &amp; Hunkin, N. M. (1991). Memory loss following radiotherapy for nasal pharyngeal carcinoma—an unusual presentation of amnesia. British journal of clinical psychology, 30(4), 349-357.</v>
      </c>
      <c r="B297">
        <f>'LLM Multiple'!AA299</f>
        <v>883008000</v>
      </c>
      <c r="C297" s="63">
        <f>B297/(60*60*24*365)</f>
        <v>28</v>
      </c>
      <c r="D297" s="63">
        <f>'LLM Multiple'!AM299</f>
        <v>-2.0658322225105122E-2</v>
      </c>
    </row>
    <row r="299" spans="1:5" x14ac:dyDescent="0.25">
      <c r="A299" t="str">
        <f>'LLM Multiple'!B301</f>
        <v>Parkin, A. J., &amp; Hunkin, N. M. (1991). Memory loss following radiotherapy for nasal pharyngeal carcinoma—an unusual presentation of amnesia. British journal of clinical psychology, 30(4), 349-357.</v>
      </c>
      <c r="B299">
        <f>'LLM Multiple'!AA301</f>
        <v>1419120000</v>
      </c>
      <c r="C299" s="63">
        <f>B299/(60*60*24*365)</f>
        <v>45</v>
      </c>
      <c r="D299" s="63">
        <f>'LLM Multiple'!AM301</f>
        <v>-0.21340489568808363</v>
      </c>
    </row>
    <row r="301" spans="1:5" x14ac:dyDescent="0.25">
      <c r="A301" t="str">
        <f>'LLM Multiple'!B303</f>
        <v>Parkin, A. J., Montaldi, D., Leng, N. R., &amp; Hunkin, N. M. (1990). Contextual cueing effects in the remote memory of alcoholic Korsakoff patients and normal subjects. Quarterly Journal of Experimental Psychology, 42(3), 585-596.</v>
      </c>
      <c r="B301">
        <f>'LLM Multiple'!AA303</f>
        <v>1576800000</v>
      </c>
      <c r="C301" s="63">
        <f>B301/(60*60*24*365)</f>
        <v>50</v>
      </c>
      <c r="D301" s="63">
        <f>'LLM Multiple'!AM303</f>
        <v>-2.0033701517740796E-2</v>
      </c>
    </row>
    <row r="303" spans="1:5" x14ac:dyDescent="0.25">
      <c r="A303" t="str">
        <f>'LLM Multiple'!B305</f>
        <v>Radosavljevich, P. R. (1907). Das Behalten und Vergessen bei Kindern und Erwachsenen nach experimentellen Untersuchungen:(Das Fortschreiten des Vergessens mit der Zeit) (Vol. 1). O. Nemnich.</v>
      </c>
      <c r="B303">
        <f>'LLM Multiple'!AA305</f>
        <v>10368000</v>
      </c>
      <c r="C303" s="63">
        <f>B303/(60*60*24*365)</f>
        <v>0.32876712328767121</v>
      </c>
      <c r="D303" s="63">
        <f>'LLM Multiple'!AM305</f>
        <v>-0.17930958726966884</v>
      </c>
    </row>
    <row r="305" spans="1:4" x14ac:dyDescent="0.25">
      <c r="A305" t="str">
        <f>'LLM Multiple'!B307</f>
        <v>Radosavljevich, P. R. (1907). Das Behalten und Vergessen bei Kindern und Erwachsenen nach experimentellen Untersuchungen:(Das Fortschreiten des Vergessens mit der Zeit) (Vol. 1). O. Nemnich.</v>
      </c>
      <c r="B305">
        <f>'LLM Multiple'!AA307</f>
        <v>2592000</v>
      </c>
      <c r="C305" s="63">
        <f>B305/(60*60*24*365)</f>
        <v>8.2191780821917804E-2</v>
      </c>
      <c r="D305" s="63">
        <f>'LLM Multiple'!AM307</f>
        <v>-0.10212579563002942</v>
      </c>
    </row>
    <row r="307" spans="1:4" x14ac:dyDescent="0.25">
      <c r="A307" t="str">
        <f>'LLM Multiple'!B309</f>
        <v>Radvansky, G., O’Rear, A., &amp; Fisher, A. (2017). Event models and the fan effect. Memory &amp; Cognition, 45(6), 1028-1044.</v>
      </c>
      <c r="B307">
        <f>'LLM Multiple'!AA309</f>
        <v>1209600</v>
      </c>
      <c r="C307" s="63">
        <f>B307/(60*60*24*365)</f>
        <v>3.8356164383561646E-2</v>
      </c>
      <c r="D307" s="63">
        <f>'LLM Multiple'!AM309</f>
        <v>-1.0711676187510158E-2</v>
      </c>
    </row>
    <row r="309" spans="1:4" x14ac:dyDescent="0.25">
      <c r="A309" t="str">
        <f>'LLM Multiple'!B311</f>
        <v>Reed, J. M., &amp; Squire, L. R. (1998). Retrograde amnesia for facts and events: findings from four new cases. Journal of Neuroscience, 18(10), 3943-3954.</v>
      </c>
      <c r="B309">
        <f>'LLM Multiple'!AA311</f>
        <v>788400000</v>
      </c>
      <c r="C309" s="63">
        <f>B309/(60*60*24*365)</f>
        <v>25</v>
      </c>
      <c r="D309" s="63">
        <f>'LLM Multiple'!AM311</f>
        <v>-0.10351075710531889</v>
      </c>
    </row>
    <row r="311" spans="1:4" x14ac:dyDescent="0.25">
      <c r="A311" t="str">
        <f>'LLM Multiple'!B313</f>
        <v>Reed, J. M., &amp; Squire, L. R. (1998). Retrograde amnesia for facts and events: findings from four new cases. Journal of Neuroscience, 18(10), 3943-3954.</v>
      </c>
      <c r="B311">
        <f>'LLM Multiple'!AA313</f>
        <v>788400000</v>
      </c>
      <c r="C311" s="63">
        <f>B311/(60*60*24*365)</f>
        <v>25</v>
      </c>
      <c r="D311" s="63">
        <f>'LLM Multiple'!AM313</f>
        <v>-4.5285010307737343E-2</v>
      </c>
    </row>
    <row r="313" spans="1:4" x14ac:dyDescent="0.25">
      <c r="A313" t="str">
        <f>'LLM Multiple'!B315</f>
        <v>Reed, J. M., &amp; Squire, L. R. (1998). Retrograde amnesia for facts and events: findings from four new cases. Journal of Neuroscience, 18(10), 3943-3954.</v>
      </c>
      <c r="B313">
        <f>'LLM Multiple'!AA315</f>
        <v>788400000</v>
      </c>
      <c r="C313" s="63">
        <f>B313/(60*60*24*365)</f>
        <v>25</v>
      </c>
      <c r="D313" s="63">
        <f>'LLM Multiple'!AM315</f>
        <v>-5.7309495367118589E-3</v>
      </c>
    </row>
    <row r="315" spans="1:4" x14ac:dyDescent="0.25">
      <c r="A315" t="str">
        <f>'LLM Multiple'!B317</f>
        <v>Reed, J. M., &amp; Squire, L. R. (1998). Retrograde amnesia for facts and events: findings from four new cases. Journal of Neuroscience, 18(10), 3943-3954.</v>
      </c>
      <c r="B315">
        <f>'LLM Multiple'!AA317</f>
        <v>1103760000</v>
      </c>
      <c r="C315" s="63">
        <f>B315/(60*60*24*365)</f>
        <v>35</v>
      </c>
      <c r="D315" s="63">
        <f>'LLM Multiple'!AM317</f>
        <v>-5.5760152791762942E-3</v>
      </c>
    </row>
    <row r="317" spans="1:4" x14ac:dyDescent="0.25">
      <c r="A317" t="str">
        <f>'LLM Multiple'!B319</f>
        <v>Reed, J. M., &amp; Squire, L. R. (1998). Retrograde amnesia for facts and events: findings from four new cases. Journal of Neuroscience, 18(10), 3943-3954.</v>
      </c>
      <c r="B317">
        <f>'LLM Multiple'!AA319</f>
        <v>1103760000</v>
      </c>
      <c r="C317" s="63">
        <f>B317/(60*60*24*365)</f>
        <v>35</v>
      </c>
      <c r="D317" s="63">
        <f>'LLM Multiple'!AM319</f>
        <v>-1.5352684727363144E-2</v>
      </c>
    </row>
    <row r="319" spans="1:4" x14ac:dyDescent="0.25">
      <c r="A319" t="str">
        <f>'LLM Multiple'!B321</f>
        <v>Rohrer, D., Taylor, K., Pashler, H., Wixted, J. T., &amp; Cepeda, N. J. (2005). The effect of overlearning on long-term retention. Applied Cognitive Psychology, 19, 361-374.</v>
      </c>
      <c r="B319">
        <f>'LLM Multiple'!AA321</f>
        <v>5443200</v>
      </c>
      <c r="C319" s="63">
        <f>B319/(60*60*24*365)</f>
        <v>0.17260273972602741</v>
      </c>
      <c r="D319" s="63">
        <f>'LLM Multiple'!AM321</f>
        <v>-0.12744558128548308</v>
      </c>
    </row>
    <row r="321" spans="1:4" x14ac:dyDescent="0.25">
      <c r="A321" t="str">
        <f>'LLM Multiple'!B323</f>
        <v>Rohrer, D., Taylor, K., Pashler, H., Wixted, J. T., &amp; Cepeda, N. J. (2005). The effect of overlearning on long-term retention. Applied Cognitive Psychology, 19, 361-374.</v>
      </c>
      <c r="B321">
        <f>'LLM Multiple'!AA323</f>
        <v>5443200</v>
      </c>
      <c r="C321" s="63">
        <f>B321/(60*60*24*365)</f>
        <v>0.17260273972602741</v>
      </c>
      <c r="D321" s="63">
        <f>'LLM Multiple'!AM323</f>
        <v>-0.16428050018277732</v>
      </c>
    </row>
    <row r="323" spans="1:4" x14ac:dyDescent="0.25">
      <c r="A323" t="str">
        <f>'LLM Multiple'!B325</f>
        <v>Rohrer, D., Taylor, K., Pashler, H., Wixted, J. T., &amp; Cepeda, N. J. (2005). The effect of overlearning on long-term retention. Applied Cognitive Psychology, 19, 361-374.</v>
      </c>
      <c r="B323">
        <f>'LLM Multiple'!AA325</f>
        <v>2419200</v>
      </c>
      <c r="C323" s="63">
        <f>B323/(60*60*24*365)</f>
        <v>7.6712328767123292E-2</v>
      </c>
      <c r="D323" s="63">
        <f>'LLM Multiple'!AM325</f>
        <v>-0.11721782357999157</v>
      </c>
    </row>
    <row r="325" spans="1:4" x14ac:dyDescent="0.25">
      <c r="A325" t="str">
        <f>'LLM Multiple'!B327</f>
        <v>Rohrer, D., Taylor, K., Pashler, H., Wixted, J. T., &amp; Cepeda, N. J. (2005). The effect of overlearning on long-term retention. Applied Cognitive Psychology, 19, 361-374.</v>
      </c>
      <c r="B325">
        <f>'LLM Multiple'!AA327</f>
        <v>2419200</v>
      </c>
      <c r="C325" s="63">
        <f>B325/(60*60*24*365)</f>
        <v>7.6712328767123292E-2</v>
      </c>
      <c r="D325" s="63">
        <f>'LLM Multiple'!AM327</f>
        <v>-0.1271993749383778</v>
      </c>
    </row>
    <row r="327" spans="1:4" x14ac:dyDescent="0.25">
      <c r="A327" t="str">
        <f>'LLM Multiple'!B329</f>
        <v>Rohrer, D. &amp; Taylor, K. (2006). The effects of overlearning and distributed practise on the retention of mathematics knowledge. Applied Cognitive Psychology, 20, 1209-1224.</v>
      </c>
      <c r="B327">
        <f>'LLM Multiple'!AA329</f>
        <v>2419200</v>
      </c>
      <c r="C327" s="63">
        <f>B327/(60*60*24*365)</f>
        <v>7.6712328767123292E-2</v>
      </c>
      <c r="D327" s="63">
        <f>'LLM Multiple'!AM329</f>
        <v>-2.9518131890255525E-2</v>
      </c>
    </row>
    <row r="329" spans="1:4" x14ac:dyDescent="0.25">
      <c r="A329" t="str">
        <f>'LLM Multiple'!B331</f>
        <v>Rohrer, D. &amp; Taylor, K. (2006). The effects of overlearning and distributed practise on the retention of mathematics knowledge. Applied Cognitive Psychology, 20, 1209-1224.</v>
      </c>
      <c r="B329">
        <f>'LLM Multiple'!AA331</f>
        <v>2419200</v>
      </c>
      <c r="C329" s="63">
        <f>B329/(60*60*24*365)</f>
        <v>7.6712328767123292E-2</v>
      </c>
      <c r="D329" s="63">
        <f>'LLM Multiple'!AM331</f>
        <v>-8.9474583952758202E-2</v>
      </c>
    </row>
    <row r="331" spans="1:4" x14ac:dyDescent="0.25">
      <c r="A331" t="str">
        <f>'LLM Multiple'!B333</f>
        <v>Rohrer, D. &amp; Taylor, K. (2006). The effects of overlearning and distributed practise on the retention of mathematics knowledge. Applied Cognitive Psychology, 20, 1209-1224.</v>
      </c>
      <c r="B331">
        <f>'LLM Multiple'!AA333</f>
        <v>2419200</v>
      </c>
      <c r="C331" s="63">
        <f>B331/(60*60*24*365)</f>
        <v>7.6712328767123292E-2</v>
      </c>
      <c r="D331" s="63">
        <f>'LLM Multiple'!AM333</f>
        <v>-0.10426040817463735</v>
      </c>
    </row>
    <row r="333" spans="1:4" x14ac:dyDescent="0.25">
      <c r="A333" t="str">
        <f>'LLM Multiple'!B335</f>
        <v>Rohrer, D. &amp; Taylor, K. (2006). The effects of overlearning and distributed practise on the retention of mathematics knowledge. Applied Cognitive Psychology, 20, 1209-1224.</v>
      </c>
      <c r="B333">
        <f>'LLM Multiple'!AA335</f>
        <v>2419200</v>
      </c>
      <c r="C333" s="63">
        <f>B333/(60*60*24*365)</f>
        <v>7.6712328767123292E-2</v>
      </c>
      <c r="D333" s="63">
        <f>'LLM Multiple'!AM335</f>
        <v>-9.9213181364829386E-2</v>
      </c>
    </row>
    <row r="335" spans="1:4" x14ac:dyDescent="0.25">
      <c r="A335" t="str">
        <f>'LLM Multiple'!B337</f>
        <v xml:space="preserve">Rubin, D. C. (1978). A unit of analysis of prose memory. Journal of Verbal Learning and Verbal Behavior,17,599-620. </v>
      </c>
      <c r="B335">
        <f>'LLM Multiple'!AA337</f>
        <v>2592000</v>
      </c>
      <c r="C335" s="63">
        <f>B335/(60*60*24*365)</f>
        <v>8.2191780821917804E-2</v>
      </c>
      <c r="D335" s="63">
        <f>'LLM Multiple'!AM337</f>
        <v>-3.668101191133457E-2</v>
      </c>
    </row>
    <row r="337" spans="1:4" x14ac:dyDescent="0.25">
      <c r="A337" t="str">
        <f>'LLM Multiple'!B339</f>
        <v xml:space="preserve">Rubin, D. C. (1978). A unit of analysis of prose memory. Journal of Verbal Learning and Verbal Behavior,17,599-620. </v>
      </c>
      <c r="B337">
        <f>'LLM Multiple'!AA339</f>
        <v>2592000</v>
      </c>
      <c r="C337" s="63">
        <f>B337/(60*60*24*365)</f>
        <v>8.2191780821917804E-2</v>
      </c>
      <c r="D337" s="63">
        <f>'LLM Multiple'!AM339</f>
        <v>-2.1432060694601515E-2</v>
      </c>
    </row>
    <row r="339" spans="1:4" x14ac:dyDescent="0.25">
      <c r="A339" t="str">
        <f>'LLM Multiple'!B341</f>
        <v xml:space="preserve">Runquist, W. N. (1983). Some effects of remembering on forgetting. Memory and Cognition, 11(6), 641-650.
</v>
      </c>
      <c r="B339">
        <f>'LLM Multiple'!AA341</f>
        <v>1814400</v>
      </c>
      <c r="C339" s="63">
        <f>B339/(60*60*24*365)</f>
        <v>5.7534246575342465E-2</v>
      </c>
      <c r="D339" s="63">
        <f>'LLM Multiple'!AM341</f>
        <v>-0.12642838900926681</v>
      </c>
    </row>
    <row r="341" spans="1:4" x14ac:dyDescent="0.25">
      <c r="A341" t="str">
        <f>'LLM Multiple'!B343</f>
        <v xml:space="preserve">Runquist, W. N. (1983). Some effects of remembering on forgetting. Memory and Cognition, 11(6), 641-650.
</v>
      </c>
      <c r="B341">
        <f>'LLM Multiple'!AA343</f>
        <v>1814400</v>
      </c>
      <c r="C341" s="63">
        <f>B341/(60*60*24*365)</f>
        <v>5.7534246575342465E-2</v>
      </c>
      <c r="D341" s="63">
        <f>'LLM Multiple'!AM343</f>
        <v>-0.22561313495541505</v>
      </c>
    </row>
    <row r="343" spans="1:4" x14ac:dyDescent="0.25">
      <c r="A343" t="str">
        <f>'LLM Multiple'!B345</f>
        <v>Sagar, H. J., Cohen, N. J., Sullivan, E. V., Corkin, S., &amp; Growdon, J. H. (1988). Remote memory function in Alzheimer's disease and Parkinson's disease. Brain, 111(1), 185-206.</v>
      </c>
      <c r="B343">
        <f>'LLM Multiple'!AA345</f>
        <v>1356048000</v>
      </c>
      <c r="C343" s="63">
        <f>B343/(60*60*24*365)</f>
        <v>43</v>
      </c>
      <c r="D343" s="63">
        <f>'LLM Multiple'!AM345</f>
        <v>-3.5834775397589336E-2</v>
      </c>
    </row>
    <row r="345" spans="1:4" x14ac:dyDescent="0.25">
      <c r="A345" t="str">
        <f>'LLM Multiple'!B347</f>
        <v>Sagar, H. J., Cohen, N. J., Sullivan, E. V., Corkin, S., &amp; Growdon, J. H. (1988). Remote memory function in Alzheimer's disease and Parkinson's disease. Brain, 111(1), 185-206.</v>
      </c>
      <c r="B345">
        <f>'LLM Multiple'!AA347</f>
        <v>1356048000</v>
      </c>
      <c r="C345" s="63">
        <f>B345/(60*60*24*365)</f>
        <v>43</v>
      </c>
      <c r="D345" s="63">
        <f>'LLM Multiple'!AM347</f>
        <v>-2.6354258413484558E-2</v>
      </c>
    </row>
    <row r="347" spans="1:4" x14ac:dyDescent="0.25">
      <c r="A347" t="str">
        <f>'LLM Multiple'!B349</f>
        <v>Salmon, D. P., Lasker, B. R., Butters, N., &amp; Beatty, W. W. (1988). Remote memory in a patient with circumscribed amnesia. Brain and cognition, 7(2), 201-211.</v>
      </c>
      <c r="B347">
        <f>'LLM Multiple'!AA349</f>
        <v>1261440000</v>
      </c>
      <c r="C347" s="63">
        <f>B347/(60*60*24*365)</f>
        <v>40</v>
      </c>
      <c r="D347" s="63">
        <f>'LLM Multiple'!AM349</f>
        <v>-7.5328083028667666E-3</v>
      </c>
    </row>
    <row r="349" spans="1:4" x14ac:dyDescent="0.25">
      <c r="A349" t="str">
        <f>'LLM Multiple'!B351</f>
        <v>Shapiro, L. (2006). Remembering September 11th: The role of retention interval and rehearsal on flashbulb and event memory. Memory, 14(2), 129-147.</v>
      </c>
      <c r="B349">
        <f>'LLM Multiple'!AA351</f>
        <v>6652800</v>
      </c>
      <c r="C349" s="63">
        <f>B349/(60*60*24*365)</f>
        <v>0.21095890410958903</v>
      </c>
      <c r="D349" s="63">
        <f>'LLM Multiple'!AM351</f>
        <v>-2.8316122209775682E-2</v>
      </c>
    </row>
    <row r="351" spans="1:4" x14ac:dyDescent="0.25">
      <c r="A351" t="str">
        <f>'LLM Multiple'!B353</f>
        <v>Shapiro, L. (2006). Remembering September 11th: The role of retention interval and rehearsal on flashbulb and event memory. Memory, 14(2), 129-147.</v>
      </c>
      <c r="B351">
        <f>'LLM Multiple'!AA353</f>
        <v>6652800</v>
      </c>
      <c r="C351" s="63">
        <f>B351/(60*60*24*365)</f>
        <v>0.21095890410958903</v>
      </c>
      <c r="D351" s="63">
        <f>'LLM Multiple'!AM353</f>
        <v>-2.0089188013380822E-2</v>
      </c>
    </row>
    <row r="353" spans="1:4" x14ac:dyDescent="0.25">
      <c r="A353" t="str">
        <f>'LLM Multiple'!B355</f>
        <v>Shapiro, L. (2006). Remembering September 11th: The role of retention interval and rehearsal on flashbulb and event memory. Memory, 14(2), 129-147.</v>
      </c>
      <c r="B353">
        <f>'LLM Multiple'!AA355</f>
        <v>6652800</v>
      </c>
      <c r="C353" s="63">
        <f>B353/(60*60*24*365)</f>
        <v>0.21095890410958903</v>
      </c>
      <c r="D353" s="63">
        <f>'LLM Multiple'!AM355</f>
        <v>-1.7590767303121063E-2</v>
      </c>
    </row>
    <row r="355" spans="1:4" x14ac:dyDescent="0.25">
      <c r="A355" t="str">
        <f>'LLM Multiple'!B357</f>
        <v>Shapiro, L. (2006). Remembering September 11th: The role of retention interval and rehearsal on flashbulb and event memory. Memory, 14(2), 129-147.</v>
      </c>
      <c r="B355">
        <f>'LLM Multiple'!AA357</f>
        <v>6652800</v>
      </c>
      <c r="C355" s="63">
        <f>B355/(60*60*24*365)</f>
        <v>0.21095890410958903</v>
      </c>
      <c r="D355" s="63">
        <f>'LLM Multiple'!AM357</f>
        <v>-2.4593365099385676E-2</v>
      </c>
    </row>
    <row r="357" spans="1:4" x14ac:dyDescent="0.25">
      <c r="A357" t="str">
        <f>'LLM Multiple'!B359</f>
        <v>Shapiro, L. (2006). Remembering September 11th: The role of retention interval and rehearsal on flashbulb and event memory. Memory, 14(2), 129-147.</v>
      </c>
      <c r="B357">
        <f>'LLM Multiple'!AA359</f>
        <v>6652800</v>
      </c>
      <c r="C357" s="63">
        <f>B357/(60*60*24*365)</f>
        <v>0.21095890410958903</v>
      </c>
      <c r="D357" s="63">
        <f>'LLM Multiple'!AM359</f>
        <v>-7.0286212647664284E-2</v>
      </c>
    </row>
    <row r="359" spans="1:4" x14ac:dyDescent="0.25">
      <c r="A359" t="str">
        <f>'LLM Multiple'!B361</f>
        <v>Shapiro, L. (2006). Remembering September 11th: The role of retention interval and rehearsal on flashbulb and event memory. Memory, 14(2), 129-147.</v>
      </c>
      <c r="B359">
        <f>'LLM Multiple'!AA361</f>
        <v>6652800</v>
      </c>
      <c r="C359" s="63">
        <f>B359/(60*60*24*365)</f>
        <v>0.21095890410958903</v>
      </c>
      <c r="D359" s="63">
        <f>'LLM Multiple'!AM361</f>
        <v>-2.1197041933143659E-2</v>
      </c>
    </row>
    <row r="361" spans="1:4" x14ac:dyDescent="0.25">
      <c r="A361" t="str">
        <f>'LLM Multiple'!B363</f>
        <v>Shapiro, L. (2006). Remembering September 11th: The role of retention interval and rehearsal on flashbulb and event memory. Memory, 14(2), 129-147.</v>
      </c>
      <c r="B361">
        <f>'LLM Multiple'!AA363</f>
        <v>6652800</v>
      </c>
      <c r="C361" s="63">
        <f>B361/(60*60*24*365)</f>
        <v>0.21095890410958903</v>
      </c>
      <c r="D361" s="63">
        <f>'LLM Multiple'!AM363</f>
        <v>6.1001670878660236E-3</v>
      </c>
    </row>
    <row r="363" spans="1:4" x14ac:dyDescent="0.25">
      <c r="A363" t="str">
        <f>'LLM Multiple'!B365</f>
        <v>Shapiro, L. (2006). Remembering September 11th: The role of retention interval and rehearsal on flashbulb and event memory. Memory, 14(2), 129-147.</v>
      </c>
      <c r="B363">
        <f>'LLM Multiple'!AA365</f>
        <v>6652800</v>
      </c>
      <c r="C363" s="63">
        <f>B363/(60*60*24*365)</f>
        <v>0.21095890410958903</v>
      </c>
      <c r="D363" s="63">
        <f>'LLM Multiple'!AM365</f>
        <v>-0.12114824707035662</v>
      </c>
    </row>
    <row r="364" spans="1:4" x14ac:dyDescent="0.25">
      <c r="D364" s="63"/>
    </row>
    <row r="365" spans="1:4" x14ac:dyDescent="0.25">
      <c r="A365" t="str">
        <f>'LLM Multiple'!B367</f>
        <v>Siler, J., &amp; Benjamin, A. S. (2019). Long-term inference and memory following retrieval practice. Memory &amp; Cognition, 48, 645-654.</v>
      </c>
      <c r="B365">
        <f>'LLM Multiple'!AA367</f>
        <v>2160000</v>
      </c>
      <c r="C365" s="63">
        <f>B365/(60*60*24*365)</f>
        <v>6.8493150684931503E-2</v>
      </c>
      <c r="D365" s="63">
        <f>'LLM Multiple'!AM367</f>
        <v>-4.2912645385226955E-3</v>
      </c>
    </row>
    <row r="366" spans="1:4" x14ac:dyDescent="0.25">
      <c r="D366" s="63"/>
    </row>
    <row r="367" spans="1:4" x14ac:dyDescent="0.25">
      <c r="A367" t="str">
        <f>'LLM Multiple'!B369</f>
        <v>Siler, J., &amp; Benjamin, A. S. (2019). Long-term inference and memory following retrieval practice. Memory &amp; Cognition, 48, 645-654.</v>
      </c>
      <c r="B367">
        <f>'LLM Multiple'!AA369</f>
        <v>2160000</v>
      </c>
      <c r="C367" s="63">
        <f>B367/(60*60*24*365)</f>
        <v>6.8493150684931503E-2</v>
      </c>
      <c r="D367" s="63">
        <f>'LLM Multiple'!AM369</f>
        <v>-8.3790614830482613E-3</v>
      </c>
    </row>
    <row r="369" spans="1:5" x14ac:dyDescent="0.25">
      <c r="A369" t="str">
        <f>'LLM Multiple'!B371</f>
        <v xml:space="preserve">Squire, L. R. (1989). On the course of forgetting in very long-term memory. Journal of Experimental Psychology: Learning, Memory, and Cognition, 15(2), 241-245.
</v>
      </c>
      <c r="B369">
        <f>'LLM Multiple'!AA371</f>
        <v>473040000</v>
      </c>
      <c r="C369" s="63">
        <f>B369/(60*60*24*365)</f>
        <v>15</v>
      </c>
      <c r="D369" s="63">
        <f>'LLM Multiple'!AM371</f>
        <v>-0.12310422284221159</v>
      </c>
    </row>
    <row r="371" spans="1:5" x14ac:dyDescent="0.25">
      <c r="A371" t="str">
        <f>'LLM Multiple'!B373</f>
        <v>Squire, L. R., &amp; Cohen, N. J. (1982). Remote memory, retrograde amnesia, and the neuropsychology of memory. Human memory and amnesia, 275-303.</v>
      </c>
      <c r="B371">
        <f>'LLM Multiple'!AA373</f>
        <v>1419120000</v>
      </c>
      <c r="C371" s="63">
        <f>B371/(60*60*24*365)</f>
        <v>45</v>
      </c>
      <c r="D371" s="63">
        <f>'LLM Multiple'!AM373</f>
        <v>-0.1217517685990107</v>
      </c>
    </row>
    <row r="373" spans="1:5" x14ac:dyDescent="0.25">
      <c r="A373" t="str">
        <f>'LLM Multiple'!B375</f>
        <v>Squire, L. R., Haist, F., &amp; Shimamura, A. P. (1989). The neurology of memory: Quantitative assessment of retrograde amnesia in two groups of amnesic patients. Journal of Neuroscience, 9(3), 828-839.</v>
      </c>
      <c r="B373">
        <f>'LLM Multiple'!AA375</f>
        <v>1356048000</v>
      </c>
      <c r="C373" s="63">
        <f>B373/(60*60*24*365)</f>
        <v>43</v>
      </c>
      <c r="D373" s="63">
        <f>'LLM Multiple'!AM375</f>
        <v>-3.2643197617842429E-2</v>
      </c>
    </row>
    <row r="375" spans="1:5" x14ac:dyDescent="0.25">
      <c r="A375" t="str">
        <f>'LLM Multiple'!B377</f>
        <v>Squire, L. R., &amp; Slater, P. C. (1975). Forgetting in very long-term memory as assessed by an improved questionnaire technique. Journal of Experimental Psychology: Human Learning and Memory, 1(1), 50-54.</v>
      </c>
      <c r="B375">
        <f>'LLM Multiple'!AA377</f>
        <v>504576000</v>
      </c>
      <c r="C375" s="63">
        <f>B375/(60*60*24*365)</f>
        <v>16</v>
      </c>
      <c r="D375" s="63">
        <f>'LLM Multiple'!AM377</f>
        <v>-0.12062843784819145</v>
      </c>
    </row>
    <row r="377" spans="1:5" x14ac:dyDescent="0.25">
      <c r="A377" t="str">
        <f>'LLM Multiple'!B379</f>
        <v>Squire, L. R., &amp; Slater, P. C. (1975). Forgetting in very long-term memory as assessed by an improved questionnaire technique. Journal of Experimental Psychology: Human Learning and Memory, 1(1), 50-54.</v>
      </c>
      <c r="B377">
        <f>'LLM Multiple'!AA379</f>
        <v>504576000</v>
      </c>
      <c r="C377" s="63">
        <f>B377/(60*60*24*365)</f>
        <v>16</v>
      </c>
      <c r="D377" s="63">
        <f>'LLM Multiple'!AM379</f>
        <v>-5.3262785369837355E-2</v>
      </c>
    </row>
    <row r="379" spans="1:5" x14ac:dyDescent="0.25">
      <c r="A379" t="str">
        <f>'LLM Multiple'!B381</f>
        <v>Squire, L. R., &amp; Slater, P. C. (1978). Anterograde and retrograde memory impairment in chronic amnesia. Neuropsychologia, 16(3), 313-322.</v>
      </c>
      <c r="B379">
        <f>'LLM Multiple'!AA381</f>
        <v>725328000</v>
      </c>
      <c r="C379" s="63">
        <f>B379/(60*60*24*365)</f>
        <v>23</v>
      </c>
      <c r="D379" s="63">
        <f>'LLM Multiple'!AM381</f>
        <v>-0.32918904841306779</v>
      </c>
    </row>
    <row r="381" spans="1:5" x14ac:dyDescent="0.25">
      <c r="A381" t="str">
        <f>'LLM Multiple'!B383</f>
        <v>Squire, L. R., &amp; Slater, P. C. (1978). Anterograde and retrograde memory impairment in chronic amnesia. Neuropsychologia, 16(3), 313-322.</v>
      </c>
      <c r="B381">
        <f>'LLM Multiple'!AA383</f>
        <v>725328000</v>
      </c>
      <c r="C381" s="63">
        <f>B381/(60*60*24*365)</f>
        <v>23</v>
      </c>
      <c r="D381" s="63">
        <f>'LLM Multiple'!AM383</f>
        <v>-0.24238493146155224</v>
      </c>
    </row>
    <row r="383" spans="1:5" x14ac:dyDescent="0.25">
      <c r="A383" t="str">
        <f>'LLM Multiple'!B385</f>
        <v>Squire, L. R., &amp; Slater, P. C. (1978). Anterograde and retrograde memory impairment in chronic amnesia. Neuropsychologia, 16(3), 313-322.</v>
      </c>
      <c r="B383">
        <f>'LLM Multiple'!AA385</f>
        <v>725328000</v>
      </c>
      <c r="C383" s="63">
        <f>B383/(60*60*24*365)</f>
        <v>23</v>
      </c>
      <c r="D383" s="171"/>
      <c r="E383" s="63">
        <f>'LLM Multiple'!AM433</f>
        <v>-1.0290427979840413</v>
      </c>
    </row>
    <row r="385" spans="1:4" x14ac:dyDescent="0.25">
      <c r="A385" t="str">
        <f>'LLM Multiple'!B387</f>
        <v>Squire, L. R., &amp; Slater, P. C. (1978). Anterograde and retrograde memory impairment in chronic amnesia. Neuropsychologia, 16(3), 313-322.</v>
      </c>
      <c r="B385">
        <f>'LLM Multiple'!AA387</f>
        <v>725328000</v>
      </c>
      <c r="C385" s="63">
        <f>B385/(60*60*24*365)</f>
        <v>23</v>
      </c>
      <c r="D385" s="63">
        <f>'LLM Multiple'!AM387</f>
        <v>-0.46402196313112604</v>
      </c>
    </row>
    <row r="387" spans="1:4" x14ac:dyDescent="0.25">
      <c r="A387" t="str">
        <f>'LLM Multiple'!B389</f>
        <v xml:space="preserve">Staats, A.W., Minke, K. A., &amp; Stalling, R. B. (1970). Long-term Retention of Conditioned Attitudes (No. TR-6). Hawaii University Honolulu, Department of Psychology.
</v>
      </c>
      <c r="B387">
        <f>'LLM Multiple'!AA389</f>
        <v>2419200</v>
      </c>
      <c r="C387" s="63">
        <f>B387/(60*60*24*365)</f>
        <v>7.6712328767123292E-2</v>
      </c>
      <c r="D387" s="63">
        <f>'LLM Multiple'!AM389</f>
        <v>-9.648432894161274E-2</v>
      </c>
    </row>
    <row r="389" spans="1:4" x14ac:dyDescent="0.25">
      <c r="A389" t="str">
        <f>'LLM Multiple'!B391</f>
        <v xml:space="preserve">Staats, A.W., Minke, K. A., &amp; Stalling, R. B. (1970). Long-term Retention of Conditioned Attitudes (No. TR-6). Hawaii University Honolulu, Department of Psychology.
</v>
      </c>
      <c r="B389">
        <f>'LLM Multiple'!AA391</f>
        <v>2419200</v>
      </c>
      <c r="C389" s="63">
        <f>B389/(60*60*24*365)</f>
        <v>7.6712328767123292E-2</v>
      </c>
      <c r="D389" s="63">
        <f>'LLM Multiple'!AM391</f>
        <v>-9.5340603509042846E-2</v>
      </c>
    </row>
    <row r="391" spans="1:4" x14ac:dyDescent="0.25">
      <c r="A391" t="str">
        <f>'LLM Multiple'!B393</f>
        <v>Tanaka, Y., Miyazawa, Y., Hashimoto, R., Nakano, I., &amp; Obayashi, T. (1999). Postencephalitic focal retrograde amnesia after bilateral anterior temporal lobe damage. Neurology, 53(2), 344-344.</v>
      </c>
      <c r="B391">
        <f>'LLM Multiple'!AA393</f>
        <v>1261440000</v>
      </c>
      <c r="C391" s="63">
        <f>B391/(60*60*24*365)</f>
        <v>40</v>
      </c>
      <c r="D391" s="63">
        <f>'LLM Multiple'!AM393</f>
        <v>-0.12796230932131564</v>
      </c>
    </row>
    <row r="393" spans="1:4" x14ac:dyDescent="0.25">
      <c r="A393" t="str">
        <f>'LLM Multiple'!B395</f>
        <v>Tanaka, Y., Miyazawa, Y., Hashimoto, R., Nakano, I., &amp; Obayashi, T. (1999). Postencephalitic focal retrograde amnesia after bilateral anterior temporal lobe damage. Neurology, 53(2), 344-344.</v>
      </c>
      <c r="B393">
        <f>'LLM Multiple'!AA395</f>
        <v>1261440000</v>
      </c>
      <c r="C393" s="63">
        <f>B393/(60*60*24*365)</f>
        <v>40</v>
      </c>
      <c r="D393" s="63">
        <f>'LLM Multiple'!AM395</f>
        <v>-0.10881943188381434</v>
      </c>
    </row>
    <row r="395" spans="1:4" x14ac:dyDescent="0.25">
      <c r="A395" t="str">
        <f>'LLM Multiple'!B397</f>
        <v>Tanaka, Y., Miyazawa, Y., Hashimoto, R., Nakano, I., &amp; Obayashi, T. (1999). Postencephalitic focal retrograde amnesia after bilateral anterior temporal lobe damage. Neurology, 53(2), 344-344.</v>
      </c>
      <c r="B395">
        <f>'LLM Multiple'!AA397</f>
        <v>1261440000</v>
      </c>
      <c r="C395" s="63">
        <f>B395/(60*60*24*365)</f>
        <v>40</v>
      </c>
      <c r="D395" s="63">
        <f>'LLM Multiple'!AM397</f>
        <v>-0.41957082991770583</v>
      </c>
    </row>
    <row r="397" spans="1:4" x14ac:dyDescent="0.25">
      <c r="A397" t="str">
        <f>'LLM Multiple'!B399</f>
        <v>Tanaka, Y., Miyazawa, Y., Hashimoto, R., Nakano, I., &amp; Obayashi, T. (1999). Postencephalitic focal retrograde amnesia after bilateral anterior temporal lobe damage. Neurology, 53(2), 344-344.</v>
      </c>
      <c r="B397">
        <f>'LLM Multiple'!AA399</f>
        <v>1261440000</v>
      </c>
      <c r="C397" s="63">
        <f>B397/(60*60*24*365)</f>
        <v>40</v>
      </c>
      <c r="D397" s="63">
        <f>'LLM Multiple'!AM399</f>
        <v>-0.19139513571339281</v>
      </c>
    </row>
    <row r="399" spans="1:4" x14ac:dyDescent="0.25">
      <c r="A399" t="str">
        <f>'LLM Multiple'!B401</f>
        <v>Tanaka, Y., Miyazawa, Y., Hashimoto, R., Nakano, I., &amp; Obayashi, T. (1999). Postencephalitic focal retrograde amnesia after bilateral anterior temporal lobe damage. Neurology, 53(2), 344-344.</v>
      </c>
      <c r="B399">
        <f>'LLM Multiple'!AA401</f>
        <v>1261440000</v>
      </c>
      <c r="C399" s="63">
        <f>B399/(60*60*24*365)</f>
        <v>40</v>
      </c>
      <c r="D399" s="63">
        <f>'LLM Multiple'!AM401</f>
        <v>2.9727723158478062E-2</v>
      </c>
    </row>
    <row r="401" spans="1:5" x14ac:dyDescent="0.25">
      <c r="A401" t="str">
        <f>'LLM Multiple'!B403</f>
        <v>Tanaka, Y., Miyazawa, Y., Hashimoto, R., Nakano, I., &amp; Obayashi, T. (1999). Postencephalitic focal retrograde amnesia after bilateral anterior temporal lobe damage. Neurology, 53(2), 344-344.</v>
      </c>
      <c r="B401">
        <f>'LLM Multiple'!AA403</f>
        <v>1261440000</v>
      </c>
      <c r="C401" s="63">
        <f>B401/(60*60*24*365)</f>
        <v>40</v>
      </c>
      <c r="D401" s="63">
        <f>'LLM Multiple'!AM403</f>
        <v>-0.12179595993905411</v>
      </c>
    </row>
    <row r="403" spans="1:5" x14ac:dyDescent="0.25">
      <c r="A403" t="str">
        <f>'LLM Multiple'!B405</f>
        <v>Tunney, &amp; Bezzina. (2007). Effects of retention intervals on receiver operating characteristics in artificial grammar learning. Acta Psychologica, 125(1), 37-50.</v>
      </c>
      <c r="B403">
        <f>'LLM Multiple'!AA405</f>
        <v>1209600</v>
      </c>
      <c r="C403" s="63">
        <f>B403/(60*60*24*365)</f>
        <v>3.8356164383561646E-2</v>
      </c>
      <c r="D403" s="63">
        <f>'LLM Multiple'!AM405</f>
        <v>-7.5031778390993948E-3</v>
      </c>
    </row>
    <row r="405" spans="1:5" x14ac:dyDescent="0.25">
      <c r="A405" t="str">
        <f>'LLM Multiple'!B407</f>
        <v>Von Cramon, D. Y., Markowitsch, H. J., &amp; Schuri, U. (1993). The possible contribution of the septal region to memory. Neuropsychologia, 31(11), 1159-1180.</v>
      </c>
      <c r="B405">
        <f>'LLM Multiple'!AA407</f>
        <v>1734480000</v>
      </c>
      <c r="C405" s="63">
        <f>B405/(60*60*24*365)</f>
        <v>55</v>
      </c>
      <c r="D405" s="63">
        <f>'LLM Multiple'!AM407</f>
        <v>-0.22062325043804715</v>
      </c>
    </row>
    <row r="407" spans="1:5" x14ac:dyDescent="0.25">
      <c r="A407" t="str">
        <f>'LLM Multiple'!B409</f>
        <v>Von Cramon, D. Y., Markowitsch, H. J., &amp; Schuri, U. (1993). The possible contribution of the septal region to memory. Neuropsychologia, 31(11), 1159-1180.</v>
      </c>
      <c r="B407">
        <f>'LLM Multiple'!AA409</f>
        <v>1576800000</v>
      </c>
      <c r="C407" s="63">
        <f>B407/(60*60*24*365)</f>
        <v>50</v>
      </c>
      <c r="D407" s="171"/>
      <c r="E407" s="63">
        <f>'LLM Multiple'!AM434</f>
        <v>-0.98537928216199189</v>
      </c>
    </row>
    <row r="409" spans="1:5" x14ac:dyDescent="0.25">
      <c r="A409" t="str">
        <f>'LLM Multiple'!B411</f>
        <v>Von Cramon, D. Y., Markowitsch, H. J., &amp; Schuri, U. (1993). The possible contribution of the septal region to memory. Neuropsychologia, 31(11), 1159-1180.</v>
      </c>
      <c r="B409">
        <f>'LLM Multiple'!AA411</f>
        <v>1576800000</v>
      </c>
      <c r="C409" s="63">
        <f>B409/(60*60*24*365)</f>
        <v>50</v>
      </c>
      <c r="D409" s="63">
        <f>'LLM Multiple'!AM411</f>
        <v>-0.19471488254221</v>
      </c>
    </row>
    <row r="411" spans="1:5" x14ac:dyDescent="0.25">
      <c r="A411" t="str">
        <f>'LLM Multiple'!B413</f>
        <v>Von Cramon, D. Y., Markowitsch, H. J., &amp; Schuri, U. (1993). The possible contribution of the septal region to memory. Neuropsychologia, 31(11), 1159-1180.</v>
      </c>
      <c r="B411">
        <f>'LLM Multiple'!AA413</f>
        <v>1576800000</v>
      </c>
      <c r="C411" s="63">
        <f>B411/(60*60*24*365)</f>
        <v>50</v>
      </c>
      <c r="D411" s="63">
        <f>'LLM Multiple'!AM413</f>
        <v>-0.48077626414542657</v>
      </c>
    </row>
    <row r="413" spans="1:5" x14ac:dyDescent="0.25">
      <c r="A413" t="str">
        <f>'LLM Multiple'!B415</f>
        <v>Weaver III, C. A., &amp; Krug, K. S. (2004). Consolidation-like effects in flashbulb memories: Evidence from September 11, 2001. American Journal of Psychology, 517-530.</v>
      </c>
      <c r="B413">
        <f>'LLM Multiple'!AA415</f>
        <v>31536000</v>
      </c>
      <c r="C413" s="63">
        <f>B413/(60*60*24*365)</f>
        <v>1</v>
      </c>
      <c r="D413" s="63">
        <f>'LLM Multiple'!AM415</f>
        <v>-3.9324370675004439E-2</v>
      </c>
    </row>
    <row r="415" spans="1:5" x14ac:dyDescent="0.25">
      <c r="A415" t="str">
        <f>'LLM Multiple'!B417</f>
        <v>Wilkinson, H., Holdstock, J. S., Baker, G., Herbert, A., Clague, F., &amp; Downes, J. J. (2012). Long-term accelerated forgetting of verbal and non-verbal information in temporal lobe epilepsy. Cortex, 48(3), 317-332.</v>
      </c>
      <c r="B415">
        <f>'LLM Multiple'!AA417</f>
        <v>3628800</v>
      </c>
      <c r="C415" s="63">
        <f>B415/(60*60*24*365)</f>
        <v>0.11506849315068493</v>
      </c>
      <c r="D415" s="63">
        <f>'LLM Multiple'!AM417</f>
        <v>-6.2219086302059662E-2</v>
      </c>
    </row>
    <row r="417" spans="4:4" x14ac:dyDescent="0.25">
      <c r="D417" s="63"/>
    </row>
    <row r="419" spans="4:4" x14ac:dyDescent="0.25">
      <c r="D419" s="63"/>
    </row>
    <row r="421" spans="4:4" x14ac:dyDescent="0.25">
      <c r="D421" s="63"/>
    </row>
    <row r="423" spans="4:4" x14ac:dyDescent="0.25">
      <c r="D423" s="63"/>
    </row>
    <row r="425" spans="4:4" x14ac:dyDescent="0.25">
      <c r="D425" s="63"/>
    </row>
    <row r="427" spans="4:4" x14ac:dyDescent="0.25">
      <c r="D427" s="63"/>
    </row>
    <row r="429" spans="4:4" x14ac:dyDescent="0.25">
      <c r="D429" s="63"/>
    </row>
    <row r="431" spans="4:4" x14ac:dyDescent="0.25">
      <c r="D431" s="63"/>
    </row>
    <row r="433" spans="4:4" x14ac:dyDescent="0.25">
      <c r="D433" s="63"/>
    </row>
    <row r="435" spans="4:4" x14ac:dyDescent="0.25">
      <c r="D435" s="63"/>
    </row>
    <row r="437" spans="4:4" x14ac:dyDescent="0.25">
      <c r="D437" s="63"/>
    </row>
    <row r="439" spans="4:4" x14ac:dyDescent="0.25">
      <c r="D439" s="63"/>
    </row>
    <row r="441" spans="4:4" x14ac:dyDescent="0.25">
      <c r="D441" s="63"/>
    </row>
    <row r="443" spans="4:4" x14ac:dyDescent="0.25">
      <c r="D443" s="63"/>
    </row>
    <row r="445" spans="4:4" x14ac:dyDescent="0.25">
      <c r="D445" s="63"/>
    </row>
    <row r="447" spans="4:4" x14ac:dyDescent="0.25">
      <c r="D447" s="63"/>
    </row>
    <row r="449" spans="4:4" x14ac:dyDescent="0.25">
      <c r="D449" s="63"/>
    </row>
    <row r="451" spans="4:4" x14ac:dyDescent="0.25">
      <c r="D451" s="63"/>
    </row>
    <row r="453" spans="4:4" x14ac:dyDescent="0.25">
      <c r="D453" s="63"/>
    </row>
    <row r="455" spans="4:4" x14ac:dyDescent="0.25">
      <c r="D455" s="63"/>
    </row>
    <row r="457" spans="4:4" x14ac:dyDescent="0.25">
      <c r="D457" s="63"/>
    </row>
    <row r="459" spans="4:4" x14ac:dyDescent="0.25">
      <c r="D459" s="63"/>
    </row>
    <row r="461" spans="4:4" x14ac:dyDescent="0.25">
      <c r="D461" s="63"/>
    </row>
    <row r="463" spans="4:4" x14ac:dyDescent="0.25">
      <c r="D463" s="63"/>
    </row>
    <row r="465" spans="4:4" x14ac:dyDescent="0.25">
      <c r="D465" s="63"/>
    </row>
    <row r="467" spans="4:4" x14ac:dyDescent="0.25">
      <c r="D467" s="63"/>
    </row>
    <row r="469" spans="4:4" x14ac:dyDescent="0.25">
      <c r="D469" s="63"/>
    </row>
    <row r="471" spans="4:4" x14ac:dyDescent="0.25">
      <c r="D471" s="63"/>
    </row>
    <row r="473" spans="4:4" x14ac:dyDescent="0.25">
      <c r="D473" s="63"/>
    </row>
    <row r="475" spans="4:4" x14ac:dyDescent="0.25">
      <c r="D475" s="63"/>
    </row>
    <row r="477" spans="4:4" x14ac:dyDescent="0.25">
      <c r="D477" s="63"/>
    </row>
    <row r="479" spans="4:4" x14ac:dyDescent="0.25">
      <c r="D479" s="63"/>
    </row>
    <row r="481" spans="4:4" x14ac:dyDescent="0.25">
      <c r="D481" s="63"/>
    </row>
    <row r="483" spans="4:4" x14ac:dyDescent="0.25">
      <c r="D483" s="63"/>
    </row>
    <row r="485" spans="4:4" x14ac:dyDescent="0.25">
      <c r="D485" s="63"/>
    </row>
    <row r="487" spans="4:4" x14ac:dyDescent="0.25">
      <c r="D487" s="63"/>
    </row>
    <row r="489" spans="4:4" x14ac:dyDescent="0.25">
      <c r="D489" s="63"/>
    </row>
    <row r="491" spans="4:4" x14ac:dyDescent="0.25">
      <c r="D491" s="63"/>
    </row>
    <row r="493" spans="4:4" x14ac:dyDescent="0.25">
      <c r="D493" s="63"/>
    </row>
    <row r="495" spans="4:4" x14ac:dyDescent="0.25">
      <c r="D495" s="63"/>
    </row>
    <row r="497" spans="4:4" x14ac:dyDescent="0.25">
      <c r="D497" s="63"/>
    </row>
    <row r="499" spans="4:4" x14ac:dyDescent="0.25">
      <c r="D499" s="63"/>
    </row>
    <row r="501" spans="4:4" x14ac:dyDescent="0.25">
      <c r="D501" s="63"/>
    </row>
    <row r="503" spans="4:4" x14ac:dyDescent="0.25">
      <c r="D503" s="63"/>
    </row>
    <row r="505" spans="4:4" x14ac:dyDescent="0.25">
      <c r="D505" s="63"/>
    </row>
    <row r="507" spans="4:4" x14ac:dyDescent="0.25">
      <c r="D507" s="63"/>
    </row>
    <row r="509" spans="4:4" x14ac:dyDescent="0.25">
      <c r="D509" s="63"/>
    </row>
    <row r="511" spans="4:4" x14ac:dyDescent="0.25">
      <c r="D511" s="63"/>
    </row>
    <row r="513" spans="4:4" x14ac:dyDescent="0.25">
      <c r="D513" s="63"/>
    </row>
    <row r="515" spans="4:4" x14ac:dyDescent="0.25">
      <c r="D515" s="63"/>
    </row>
    <row r="517" spans="4:4" x14ac:dyDescent="0.25">
      <c r="D517" s="63"/>
    </row>
    <row r="519" spans="4:4" x14ac:dyDescent="0.25">
      <c r="D519" s="63"/>
    </row>
    <row r="521" spans="4:4" x14ac:dyDescent="0.25">
      <c r="D521" s="63"/>
    </row>
    <row r="523" spans="4:4" x14ac:dyDescent="0.25">
      <c r="D523" s="63"/>
    </row>
    <row r="525" spans="4:4" x14ac:dyDescent="0.25">
      <c r="D525" s="63"/>
    </row>
    <row r="527" spans="4:4" x14ac:dyDescent="0.25">
      <c r="D527" s="63"/>
    </row>
    <row r="529" spans="4:4" x14ac:dyDescent="0.25">
      <c r="D529" s="63"/>
    </row>
    <row r="531" spans="4:4" x14ac:dyDescent="0.25">
      <c r="D531" s="63"/>
    </row>
    <row r="533" spans="4:4" x14ac:dyDescent="0.25">
      <c r="D533" s="63"/>
    </row>
    <row r="535" spans="4:4" x14ac:dyDescent="0.25">
      <c r="D535" s="63"/>
    </row>
    <row r="537" spans="4:4" x14ac:dyDescent="0.25">
      <c r="D537" s="63"/>
    </row>
    <row r="539" spans="4:4" x14ac:dyDescent="0.25">
      <c r="D539" s="63"/>
    </row>
    <row r="541" spans="4:4" x14ac:dyDescent="0.25">
      <c r="D541" s="63"/>
    </row>
    <row r="543" spans="4:4" x14ac:dyDescent="0.25">
      <c r="D543" s="63"/>
    </row>
    <row r="545" spans="4:4" x14ac:dyDescent="0.25">
      <c r="D545" s="63"/>
    </row>
    <row r="547" spans="4:4" x14ac:dyDescent="0.25">
      <c r="D547" s="63"/>
    </row>
    <row r="549" spans="4:4" x14ac:dyDescent="0.25">
      <c r="D549" s="63"/>
    </row>
    <row r="551" spans="4:4" x14ac:dyDescent="0.25">
      <c r="D551" s="63"/>
    </row>
    <row r="553" spans="4:4" x14ac:dyDescent="0.25">
      <c r="D553" s="63"/>
    </row>
    <row r="555" spans="4:4" x14ac:dyDescent="0.25">
      <c r="D555" s="63"/>
    </row>
    <row r="557" spans="4:4" x14ac:dyDescent="0.25">
      <c r="D557" s="63"/>
    </row>
    <row r="559" spans="4:4" x14ac:dyDescent="0.25">
      <c r="D559" s="63"/>
    </row>
    <row r="561" spans="4:4" x14ac:dyDescent="0.25">
      <c r="D561" s="63"/>
    </row>
    <row r="563" spans="4:4" x14ac:dyDescent="0.25">
      <c r="D563" s="63"/>
    </row>
    <row r="565" spans="4:4" x14ac:dyDescent="0.25">
      <c r="D565" s="63"/>
    </row>
    <row r="567" spans="4:4" x14ac:dyDescent="0.25">
      <c r="D567" s="63"/>
    </row>
    <row r="569" spans="4:4" x14ac:dyDescent="0.25">
      <c r="D569" s="63"/>
    </row>
    <row r="571" spans="4:4" x14ac:dyDescent="0.25">
      <c r="D571" s="63"/>
    </row>
    <row r="573" spans="4:4" x14ac:dyDescent="0.25">
      <c r="D573" s="63"/>
    </row>
    <row r="575" spans="4:4" x14ac:dyDescent="0.25">
      <c r="D575" s="63"/>
    </row>
    <row r="577" spans="4:4" x14ac:dyDescent="0.25">
      <c r="D577" s="63"/>
    </row>
    <row r="579" spans="4:4" x14ac:dyDescent="0.25">
      <c r="D579" s="63"/>
    </row>
    <row r="581" spans="4:4" x14ac:dyDescent="0.25">
      <c r="D581" s="63"/>
    </row>
    <row r="583" spans="4:4" x14ac:dyDescent="0.25">
      <c r="D583" s="63"/>
    </row>
    <row r="585" spans="4:4" x14ac:dyDescent="0.25">
      <c r="D585" s="63"/>
    </row>
    <row r="587" spans="4:4" x14ac:dyDescent="0.25">
      <c r="D587" s="63"/>
    </row>
    <row r="589" spans="4:4" x14ac:dyDescent="0.25">
      <c r="D589" s="63"/>
    </row>
    <row r="591" spans="4:4" x14ac:dyDescent="0.25">
      <c r="D591" s="63"/>
    </row>
    <row r="593" spans="4:4" x14ac:dyDescent="0.25">
      <c r="D593" s="63"/>
    </row>
    <row r="595" spans="4:4" x14ac:dyDescent="0.25">
      <c r="D595" s="63"/>
    </row>
    <row r="597" spans="4:4" x14ac:dyDescent="0.25">
      <c r="D597" s="63"/>
    </row>
    <row r="599" spans="4:4" x14ac:dyDescent="0.25">
      <c r="D599" s="63"/>
    </row>
    <row r="601" spans="4:4" x14ac:dyDescent="0.25">
      <c r="D601" s="63"/>
    </row>
    <row r="603" spans="4:4" x14ac:dyDescent="0.25">
      <c r="D603" s="63"/>
    </row>
    <row r="605" spans="4:4" x14ac:dyDescent="0.25">
      <c r="D605" s="63"/>
    </row>
    <row r="607" spans="4:4" x14ac:dyDescent="0.25">
      <c r="D607" s="63"/>
    </row>
    <row r="609" spans="4:4" x14ac:dyDescent="0.25">
      <c r="D609" s="63"/>
    </row>
    <row r="611" spans="4:4" x14ac:dyDescent="0.25">
      <c r="D611" s="63"/>
    </row>
    <row r="613" spans="4:4" x14ac:dyDescent="0.25">
      <c r="D613" s="63"/>
    </row>
    <row r="615" spans="4:4" x14ac:dyDescent="0.25">
      <c r="D615" s="63"/>
    </row>
    <row r="617" spans="4:4" x14ac:dyDescent="0.25">
      <c r="D617" s="63"/>
    </row>
    <row r="619" spans="4:4" x14ac:dyDescent="0.25">
      <c r="D619" s="63"/>
    </row>
    <row r="621" spans="4:4" x14ac:dyDescent="0.25">
      <c r="D621" s="63"/>
    </row>
    <row r="623" spans="4:4" x14ac:dyDescent="0.25">
      <c r="D623" s="63"/>
    </row>
    <row r="625" spans="4:4" x14ac:dyDescent="0.25">
      <c r="D625" s="63"/>
    </row>
    <row r="627" spans="4:4" x14ac:dyDescent="0.25">
      <c r="D627" s="63"/>
    </row>
    <row r="629" spans="4:4" x14ac:dyDescent="0.25">
      <c r="D629" s="63"/>
    </row>
    <row r="631" spans="4:4" x14ac:dyDescent="0.25">
      <c r="D631" s="63"/>
    </row>
    <row r="633" spans="4:4" x14ac:dyDescent="0.25">
      <c r="D633" s="63"/>
    </row>
    <row r="635" spans="4:4" x14ac:dyDescent="0.25">
      <c r="D635" s="63"/>
    </row>
    <row r="637" spans="4:4" x14ac:dyDescent="0.25">
      <c r="D637" s="63"/>
    </row>
    <row r="639" spans="4:4" x14ac:dyDescent="0.25">
      <c r="D639" s="63"/>
    </row>
    <row r="641" spans="4:4" x14ac:dyDescent="0.25">
      <c r="D641" s="63"/>
    </row>
    <row r="643" spans="4:4" x14ac:dyDescent="0.25">
      <c r="D643" s="63"/>
    </row>
    <row r="645" spans="4:4" x14ac:dyDescent="0.25">
      <c r="D645" s="63"/>
    </row>
    <row r="647" spans="4:4" x14ac:dyDescent="0.25">
      <c r="D647" s="63"/>
    </row>
    <row r="649" spans="4:4" x14ac:dyDescent="0.25">
      <c r="D649" s="63"/>
    </row>
    <row r="651" spans="4:4" x14ac:dyDescent="0.25">
      <c r="D651" s="63"/>
    </row>
    <row r="653" spans="4:4" x14ac:dyDescent="0.25">
      <c r="D653" s="63"/>
    </row>
    <row r="655" spans="4:4" x14ac:dyDescent="0.25">
      <c r="D655" s="63"/>
    </row>
    <row r="657" spans="4:4" x14ac:dyDescent="0.25">
      <c r="D657" s="63"/>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5"/>
  <sheetViews>
    <sheetView workbookViewId="0"/>
  </sheetViews>
  <sheetFormatPr defaultRowHeight="15" x14ac:dyDescent="0.25"/>
  <sheetData>
    <row r="1" spans="1:3" x14ac:dyDescent="0.25">
      <c r="B1" s="206" t="s">
        <v>695</v>
      </c>
      <c r="C1" s="206" t="s">
        <v>1025</v>
      </c>
    </row>
    <row r="2" spans="1:3" x14ac:dyDescent="0.25">
      <c r="A2" s="206" t="s">
        <v>1023</v>
      </c>
      <c r="B2" s="63">
        <f>WM!AM185</f>
        <v>-0.16586695976753829</v>
      </c>
      <c r="C2">
        <f>WM!AM190</f>
        <v>2.688693034811428E-2</v>
      </c>
    </row>
    <row r="3" spans="1:3" x14ac:dyDescent="0.25">
      <c r="A3" s="206" t="s">
        <v>1027</v>
      </c>
      <c r="B3" s="63">
        <f>'e-LTM'!AM101</f>
        <v>-0.1873177732850814</v>
      </c>
      <c r="C3">
        <f>'e-LTM'!AM106</f>
        <v>2.4694791051464545E-2</v>
      </c>
    </row>
    <row r="4" spans="1:3" x14ac:dyDescent="0.25">
      <c r="A4" s="206" t="s">
        <v>1028</v>
      </c>
      <c r="B4" s="63">
        <f>'t-LTM'!AM333</f>
        <v>-6.899983852759721E-2</v>
      </c>
      <c r="C4">
        <f>'t-LTM'!AM338</f>
        <v>5.7814058438888771E-3</v>
      </c>
    </row>
    <row r="5" spans="1:3" x14ac:dyDescent="0.25">
      <c r="A5" s="206" t="s">
        <v>1024</v>
      </c>
      <c r="B5" s="63">
        <f>LLM!AM715</f>
        <v>-0.12486859577214428</v>
      </c>
      <c r="C5">
        <f>LLM!AM720</f>
        <v>8.2010643957730681E-3</v>
      </c>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S31"/>
  <sheetViews>
    <sheetView workbookViewId="0"/>
  </sheetViews>
  <sheetFormatPr defaultRowHeight="15" x14ac:dyDescent="0.25"/>
  <sheetData>
    <row r="1" spans="1:3" x14ac:dyDescent="0.25">
      <c r="B1" s="206" t="s">
        <v>695</v>
      </c>
      <c r="C1" s="206" t="s">
        <v>1025</v>
      </c>
    </row>
    <row r="2" spans="1:3" x14ac:dyDescent="0.25">
      <c r="A2" s="206" t="s">
        <v>1023</v>
      </c>
      <c r="B2" s="63">
        <f>'WM Single'!AM177</f>
        <v>-0.12610322453497724</v>
      </c>
      <c r="C2">
        <f>'WM Single'!AM182</f>
        <v>2.0283046127661835E-2</v>
      </c>
    </row>
    <row r="3" spans="1:3" x14ac:dyDescent="0.25">
      <c r="A3" s="206" t="s">
        <v>1031</v>
      </c>
      <c r="B3" s="63">
        <f>'e-LTM Single'!AM77</f>
        <v>-0.20983089089889678</v>
      </c>
      <c r="C3">
        <f>'e-LTM Single'!AM82</f>
        <v>3.102924912550617E-2</v>
      </c>
    </row>
    <row r="4" spans="1:3" x14ac:dyDescent="0.25">
      <c r="A4" s="206" t="s">
        <v>1032</v>
      </c>
      <c r="B4" s="63">
        <f>'t-LTM Single'!AM193</f>
        <v>-6.2061209583553302E-2</v>
      </c>
      <c r="C4">
        <f>'t-LTM Single'!AM198</f>
        <v>5.6048287877590447E-3</v>
      </c>
    </row>
    <row r="5" spans="1:3" x14ac:dyDescent="0.25">
      <c r="A5" s="206" t="s">
        <v>1024</v>
      </c>
      <c r="B5" s="63">
        <f>'LLM Single'!AM301</f>
        <v>-0.10049104625592108</v>
      </c>
      <c r="C5">
        <f>'LLM Single'!AM306</f>
        <v>8.4527743181383157E-3</v>
      </c>
    </row>
    <row r="27" spans="17:19" x14ac:dyDescent="0.25">
      <c r="R27" s="206"/>
      <c r="S27" s="206"/>
    </row>
    <row r="28" spans="17:19" x14ac:dyDescent="0.25">
      <c r="Q28" s="206"/>
      <c r="R28" s="63"/>
    </row>
    <row r="29" spans="17:19" x14ac:dyDescent="0.25">
      <c r="Q29" s="206"/>
    </row>
    <row r="30" spans="17:19" x14ac:dyDescent="0.25">
      <c r="Q30" s="206"/>
    </row>
    <row r="31" spans="17:19" x14ac:dyDescent="0.25">
      <c r="Q31" s="206"/>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C5"/>
  <sheetViews>
    <sheetView workbookViewId="0"/>
  </sheetViews>
  <sheetFormatPr defaultRowHeight="15" x14ac:dyDescent="0.25"/>
  <sheetData>
    <row r="1" spans="1:3" x14ac:dyDescent="0.25">
      <c r="B1" s="206" t="s">
        <v>695</v>
      </c>
      <c r="C1" s="206" t="s">
        <v>1025</v>
      </c>
    </row>
    <row r="2" spans="1:3" x14ac:dyDescent="0.25">
      <c r="A2" s="206" t="s">
        <v>1023</v>
      </c>
      <c r="B2" s="63"/>
    </row>
    <row r="3" spans="1:3" x14ac:dyDescent="0.25">
      <c r="A3" s="206" t="s">
        <v>1031</v>
      </c>
      <c r="B3" s="63">
        <f>'e-LTM Multiple'!AM27</f>
        <v>-0.117902327309151</v>
      </c>
      <c r="C3">
        <f>'e-LTM Multiple'!AM32</f>
        <v>2.388145060272651E-2</v>
      </c>
    </row>
    <row r="4" spans="1:3" x14ac:dyDescent="0.25">
      <c r="A4" s="206" t="s">
        <v>1032</v>
      </c>
      <c r="B4" s="63">
        <f>'t-LTM Multiple'!AM145</f>
        <v>-6.3616545780930359E-2</v>
      </c>
      <c r="C4">
        <f>'t-LTM Multiple'!AM150</f>
        <v>6.9364607651486625E-3</v>
      </c>
    </row>
    <row r="5" spans="1:3" x14ac:dyDescent="0.25">
      <c r="A5" s="206" t="s">
        <v>1024</v>
      </c>
      <c r="B5" s="63">
        <f>'LLM Multiple'!AM419</f>
        <v>-0.1190652714247622</v>
      </c>
      <c r="C5">
        <f>'LLM Multiple'!AM424</f>
        <v>9.0751126512798909E-3</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3:H199"/>
  <sheetViews>
    <sheetView workbookViewId="0"/>
  </sheetViews>
  <sheetFormatPr defaultRowHeight="15" x14ac:dyDescent="0.25"/>
  <sheetData>
    <row r="3" spans="1:4" x14ac:dyDescent="0.25">
      <c r="A3" t="str">
        <f>WM!B3</f>
        <v>Butters, N. (1984). Alcoholic Korsakoff's syndrome: An update. Seminars in Neurology, 4(2), 226-244.</v>
      </c>
      <c r="B3">
        <f>WM!AA3</f>
        <v>18</v>
      </c>
      <c r="C3">
        <f>B3/60</f>
        <v>0.3</v>
      </c>
      <c r="D3" s="63">
        <f>WM!AM3</f>
        <v>-7.1981039274917696E-2</v>
      </c>
    </row>
    <row r="5" spans="1:4" x14ac:dyDescent="0.25">
      <c r="A5" t="str">
        <f>WM!B5</f>
        <v>Butters, N. (1984). Alcoholic Korsakoff's syndrome: An update. Seminars in Neurology, 4(2), 226-244.</v>
      </c>
      <c r="B5">
        <f>WM!AA5</f>
        <v>18</v>
      </c>
      <c r="C5">
        <f>B5/60</f>
        <v>0.3</v>
      </c>
      <c r="D5" s="63">
        <f>WM!AM5</f>
        <v>-8.496760624742665E-2</v>
      </c>
    </row>
    <row r="7" spans="1:4" x14ac:dyDescent="0.25">
      <c r="A7" t="str">
        <f>WM!B7</f>
        <v>Butters, N., Cermak, L. S., Montgomery, K., &amp; Adinolfi, A. (1977). Some comparisons of the memory and visuoperceptive deficits of chronic alcoholics and patients with Korsakoff's disease. Alcoholism: Clinical and Experimental Research, 1(1), 73-80.</v>
      </c>
      <c r="B7">
        <f>WM!AA7</f>
        <v>18</v>
      </c>
      <c r="C7">
        <f>B7/60</f>
        <v>0.3</v>
      </c>
      <c r="D7" s="63">
        <f>WM!AM7</f>
        <v>-8.1454200435717647E-2</v>
      </c>
    </row>
    <row r="9" spans="1:4" x14ac:dyDescent="0.25">
      <c r="A9" t="str">
        <f>WM!B9</f>
        <v>Butters, N., Cermak, L. S., Montgomery, K., &amp; Adinolfi, A. (1977). Some comparisons of the memory and visuoperceptive deficits of chronic alcoholics and patients with Korsakoff's disease. Alcoholism: Clinical and Experimental Research, 1(1), 73-80.</v>
      </c>
      <c r="B9">
        <f>WM!AA9</f>
        <v>18</v>
      </c>
      <c r="C9">
        <f>B9/60</f>
        <v>0.3</v>
      </c>
      <c r="D9" s="63">
        <f>WM!AM9</f>
        <v>-4.2214846046604866E-2</v>
      </c>
    </row>
    <row r="11" spans="1:4" x14ac:dyDescent="0.25">
      <c r="A11" t="str">
        <f>WM!B11</f>
        <v>Butters, N., Cermak, L. S., Montgomery, K., &amp; Adinolfi, A. (1977). Some comparisons of the memory and visuoperceptive deficits of chronic alcoholics and patients with Korsakoff's disease. Alcoholism: Clinical and Experimental Research, 1(1), 73-80.</v>
      </c>
      <c r="B11">
        <f>WM!AA11</f>
        <v>36</v>
      </c>
      <c r="C11">
        <f>B11/60</f>
        <v>0.6</v>
      </c>
      <c r="D11" s="63">
        <f>WM!AM11</f>
        <v>-5.6151992204423705E-2</v>
      </c>
    </row>
    <row r="13" spans="1:4" x14ac:dyDescent="0.25">
      <c r="A13" t="str">
        <f>WM!B13</f>
        <v>Butters, N., Cermak, L. S., Montgomery, K., &amp; Adinolfi, A. (1977). Some comparisons of the memory and visuoperceptive deficits of chronic alcoholics and patients with Korsakoff's disease. Alcoholism: Clinical and Experimental Research, 1(1), 73-80.</v>
      </c>
      <c r="B13">
        <f>WM!AA13</f>
        <v>36</v>
      </c>
      <c r="C13">
        <f>B13/60</f>
        <v>0.6</v>
      </c>
      <c r="D13" s="63">
        <f>WM!AM13</f>
        <v>-7.2500610318961697E-2</v>
      </c>
    </row>
    <row r="15" spans="1:4" x14ac:dyDescent="0.25">
      <c r="A15" t="str">
        <f>WM!B15</f>
        <v>Cermak, L. S., &amp; O'Connor, M. (1983). The anterograde and retrograde retrieval ability of a patient with amnesia due to encephalitis. Neuropsychologia, 21(3), 213-234.</v>
      </c>
      <c r="B15">
        <f>WM!AA15</f>
        <v>18</v>
      </c>
      <c r="C15">
        <f>B15/60</f>
        <v>0.3</v>
      </c>
      <c r="D15" s="63">
        <f>WM!AM15</f>
        <v>-4.475429350804095E-2</v>
      </c>
    </row>
    <row r="17" spans="1:8" x14ac:dyDescent="0.25">
      <c r="A17" t="str">
        <f>WM!B17</f>
        <v>Cermak, L. S., &amp; O'Connor, M. (1983). The anterograde and retrograde retrieval ability of a patient with amnesia due to encephalitis. Neuropsychologia, 21(3), 213-234.</v>
      </c>
      <c r="B17">
        <f>WM!AA17</f>
        <v>18</v>
      </c>
      <c r="C17">
        <f>B17/60</f>
        <v>0.3</v>
      </c>
      <c r="D17" s="63">
        <f>WM!AM17</f>
        <v>-0.26180973805269198</v>
      </c>
    </row>
    <row r="18" spans="1:8" x14ac:dyDescent="0.25">
      <c r="G18" s="166">
        <f>AVERAGE(D3:D183)</f>
        <v>-0.16586695976753829</v>
      </c>
      <c r="H18" s="165">
        <f xml:space="preserve"> STDEV(D3:D183)/SQRT(COUNT(D3:D183))</f>
        <v>2.688693034811428E-2</v>
      </c>
    </row>
    <row r="19" spans="1:8" x14ac:dyDescent="0.25">
      <c r="A19" t="str">
        <f>WM!B19</f>
        <v>Hellyer, S. (1962). Supplementary report: Frequency of stimulus presentation and short-term decrement in recall. Journal of Experimental Psychology, 64(6), 650.</v>
      </c>
      <c r="B19">
        <f>WM!AA19</f>
        <v>27</v>
      </c>
      <c r="C19">
        <f>B19/60</f>
        <v>0.45</v>
      </c>
      <c r="D19" s="63">
        <f>WM!AM19</f>
        <v>-0.18312881467046671</v>
      </c>
    </row>
    <row r="21" spans="1:8" x14ac:dyDescent="0.25">
      <c r="A21" t="str">
        <f>WM!B21</f>
        <v>Hellyer, S. (1962). Supplementary report: Frequency of stimulus presentation and short-term decrement in recall. Journal of Experimental Psychology, 64(6), 650.</v>
      </c>
      <c r="B21">
        <f>WM!AA21</f>
        <v>27</v>
      </c>
      <c r="C21">
        <f>B21/60</f>
        <v>0.45</v>
      </c>
      <c r="D21" s="63">
        <f>WM!AM21</f>
        <v>-0.31963089242931408</v>
      </c>
    </row>
    <row r="23" spans="1:8" x14ac:dyDescent="0.25">
      <c r="A23" t="str">
        <f>WM!B23</f>
        <v>Hellyer, S. (1962). Supplementary report: Frequency of stimulus presentation and short-term decrement in recall. Journal of Experimental Psychology, 64(6), 650.</v>
      </c>
      <c r="B23">
        <f>WM!AA23</f>
        <v>27</v>
      </c>
      <c r="C23">
        <f>B23/60</f>
        <v>0.45</v>
      </c>
      <c r="D23" s="63">
        <f>WM!AM23</f>
        <v>-0.6477753243400316</v>
      </c>
    </row>
    <row r="25" spans="1:8" x14ac:dyDescent="0.25">
      <c r="A25" t="str">
        <f>WM!B25</f>
        <v>Hellyer, S. (1962). Supplementary report: Frequency of stimulus presentation and short-term decrement in recall. Journal of Experimental Psychology, 64(6), 650.</v>
      </c>
      <c r="B25">
        <f>WM!AA25</f>
        <v>27</v>
      </c>
      <c r="C25">
        <f>B25/60</f>
        <v>0.45</v>
      </c>
      <c r="D25" s="63">
        <f>WM!AM25</f>
        <v>-0.83436416244001388</v>
      </c>
    </row>
    <row r="27" spans="1:8" x14ac:dyDescent="0.25">
      <c r="A27" t="str">
        <f>WM!B27</f>
        <v>Jackson, H. F., &amp; Bentall, R. P. (1991). Operant conditioning in amnesic subjects: Response patterning and sensitivity to schedule changes. Neuropsychology, 5(2), 89.</v>
      </c>
      <c r="B27">
        <f>WM!AA27</f>
        <v>18</v>
      </c>
      <c r="C27">
        <f>B27/60</f>
        <v>0.3</v>
      </c>
      <c r="D27" s="63">
        <f>WM!AM27</f>
        <v>-7.0109010367673946E-2</v>
      </c>
    </row>
    <row r="28" spans="1:8" x14ac:dyDescent="0.25">
      <c r="D28" s="63"/>
    </row>
    <row r="29" spans="1:8" x14ac:dyDescent="0.25">
      <c r="A29" t="s">
        <v>928</v>
      </c>
      <c r="B29">
        <f>WM!AA29</f>
        <v>20</v>
      </c>
      <c r="C29">
        <f>B29/60</f>
        <v>0.33333333333333331</v>
      </c>
      <c r="D29" s="63">
        <f>WM!AM29</f>
        <v>-0.10987631838539494</v>
      </c>
    </row>
    <row r="31" spans="1:8" x14ac:dyDescent="0.25">
      <c r="A31" t="str">
        <f>WM!B31</f>
        <v>Mayes, A. R., Meudell, P. R., Mann, D., &amp; Pickering, A. (1988). Location of lesions in Korsakoff's syndrome: neuropsychological and neuropathological data on two patients. Cortex, 24(3), 367-388.</v>
      </c>
      <c r="B31">
        <f>WM!AA31</f>
        <v>30</v>
      </c>
      <c r="C31">
        <f>B31/60</f>
        <v>0.5</v>
      </c>
      <c r="D31" s="63">
        <f>WM!AM31</f>
        <v>-6.737198421982793E-2</v>
      </c>
    </row>
    <row r="33" spans="1:4" x14ac:dyDescent="0.25">
      <c r="A33" t="str">
        <f>WM!B33</f>
        <v>Murdock, B. B. (1961). The retention of individual items. Journal of Experimental Psychology, 62(6), 618-625.</v>
      </c>
      <c r="B33">
        <f>WM!AA33</f>
        <v>18</v>
      </c>
      <c r="C33">
        <f>B33/60</f>
        <v>0.3</v>
      </c>
      <c r="D33" s="63">
        <f>WM!AM33</f>
        <v>-0.19711267967239077</v>
      </c>
    </row>
    <row r="35" spans="1:4" x14ac:dyDescent="0.25">
      <c r="A35" t="str">
        <f>WM!B35</f>
        <v>Murdock, B. B. (1961). The retention of individual items. Journal of Experimental Psychology, 62(6), 618-625.</v>
      </c>
      <c r="B35">
        <f>WM!AA35</f>
        <v>18</v>
      </c>
      <c r="C35">
        <f>B35/60</f>
        <v>0.3</v>
      </c>
      <c r="D35" s="63">
        <f>WM!AM35</f>
        <v>-1.523492902687193E-2</v>
      </c>
    </row>
    <row r="37" spans="1:4" x14ac:dyDescent="0.25">
      <c r="A37" t="str">
        <f>WM!B37</f>
        <v>Murdock, B. B. (1961). The retention of individual items. Journal of Experimental Psychology, 62(6), 618-625.</v>
      </c>
      <c r="B37">
        <f>WM!AA37</f>
        <v>18</v>
      </c>
      <c r="C37">
        <f>B37/60</f>
        <v>0.3</v>
      </c>
      <c r="D37" s="63">
        <f>WM!AM37</f>
        <v>-0.16430871566677174</v>
      </c>
    </row>
    <row r="39" spans="1:4" x14ac:dyDescent="0.25">
      <c r="A39" t="str">
        <f>WM!B39</f>
        <v>Murdock, B. B. (1961). The retention of individual items. Journal of Experimental Psychology, 62(6), 618-625.</v>
      </c>
      <c r="B39">
        <f>WM!AA39</f>
        <v>18</v>
      </c>
      <c r="C39">
        <f>B39/60</f>
        <v>0.3</v>
      </c>
      <c r="D39" s="63">
        <f>WM!AM39</f>
        <v>-9.9646101051534958E-3</v>
      </c>
    </row>
    <row r="41" spans="1:4" x14ac:dyDescent="0.25">
      <c r="A41" t="str">
        <f>WM!B41</f>
        <v>Murdock, B. B. (1961). The retention of individual items. Journal of Experimental Psychology, 62(6), 618-625.</v>
      </c>
      <c r="B41">
        <f>WM!AA41</f>
        <v>18</v>
      </c>
      <c r="C41">
        <f>B41/60</f>
        <v>0.3</v>
      </c>
      <c r="D41" s="63">
        <f>WM!AM41</f>
        <v>-2.9136088762513113E-2</v>
      </c>
    </row>
    <row r="43" spans="1:4" x14ac:dyDescent="0.25">
      <c r="A43" t="str">
        <f>WM!B43</f>
        <v>Murdock, B. B. (1961). The retention of individual items. Journal of Experimental Psychology, 62(6), 618-625.</v>
      </c>
      <c r="B43">
        <f>WM!AA43</f>
        <v>18</v>
      </c>
      <c r="C43">
        <f>B43/60</f>
        <v>0.3</v>
      </c>
      <c r="D43" s="63">
        <f>WM!AM43</f>
        <v>-2.3713541347856918E-2</v>
      </c>
    </row>
    <row r="45" spans="1:4" x14ac:dyDescent="0.25">
      <c r="A45" t="str">
        <f>WM!B45</f>
        <v>Murdock, B. B. (1961). The retention of individual items. Journal of Experimental Psychology, 62(6), 618-625.</v>
      </c>
      <c r="B45">
        <f>WM!AA45</f>
        <v>18</v>
      </c>
      <c r="C45">
        <f>B45/60</f>
        <v>0.3</v>
      </c>
      <c r="D45" s="63">
        <f>WM!AM45</f>
        <v>-2.2682002573009813E-2</v>
      </c>
    </row>
    <row r="47" spans="1:4" x14ac:dyDescent="0.25">
      <c r="A47" t="str">
        <f>WM!B47</f>
        <v>Murdock, B. B. (1961). The retention of individual items. Journal of Experimental Psychology, 62(6), 618-625.</v>
      </c>
      <c r="B47">
        <f>WM!AA47</f>
        <v>18</v>
      </c>
      <c r="C47">
        <f>B47/60</f>
        <v>0.3</v>
      </c>
      <c r="D47" s="63">
        <f>WM!AM47</f>
        <v>-1.8102259245743782E-2</v>
      </c>
    </row>
    <row r="49" spans="1:4" x14ac:dyDescent="0.25">
      <c r="A49" t="str">
        <f>WM!B49</f>
        <v>Peterson, L. R., &amp; Peterson, M. J. (1959). Short-term retention of individual verbal items. Journal of Experimental Psychology, 58(3), 193-198.</v>
      </c>
      <c r="B49">
        <f>WM!AA49</f>
        <v>18</v>
      </c>
      <c r="C49">
        <f>B49/60</f>
        <v>0.3</v>
      </c>
      <c r="D49" s="63">
        <f>WM!AM49</f>
        <v>-1.3114119812826739</v>
      </c>
    </row>
    <row r="51" spans="1:4" x14ac:dyDescent="0.25">
      <c r="A51" t="str">
        <f>WM!B51</f>
        <v>Peterson, L. R., &amp; Peterson, M. J. (1959). Short-term retention of individual verbal items. Journal of Experimental Psychology, 58(3), 193-198.</v>
      </c>
      <c r="B51">
        <f>WM!AA51</f>
        <v>18</v>
      </c>
      <c r="C51">
        <f>B51/60</f>
        <v>0.3</v>
      </c>
      <c r="D51" s="63">
        <f>WM!AM51</f>
        <v>-0.47641195682701493</v>
      </c>
    </row>
    <row r="53" spans="1:4" x14ac:dyDescent="0.25">
      <c r="A53" t="str">
        <f>WM!B53</f>
        <v>Peterson, L. R., &amp; Peterson, M. J. (1959). Short-term retention of individual verbal items. Journal of Experimental Psychology, 58(3), 193-198.</v>
      </c>
      <c r="B53">
        <f>WM!AA53</f>
        <v>18</v>
      </c>
      <c r="C53">
        <f>B53/60</f>
        <v>0.3</v>
      </c>
      <c r="D53" s="63">
        <f>WM!AM53</f>
        <v>-0.65351241503468982</v>
      </c>
    </row>
    <row r="55" spans="1:4" x14ac:dyDescent="0.25">
      <c r="A55" t="str">
        <f>WM!B55</f>
        <v>Peterson, L. R., &amp; Peterson, M. J. (1959). Short-term retention of individual verbal items. Journal of Experimental Psychology, 58(3), 193-198.</v>
      </c>
      <c r="B55">
        <f>WM!AA55</f>
        <v>18</v>
      </c>
      <c r="C55">
        <f>B55/60</f>
        <v>0.3</v>
      </c>
      <c r="D55" s="63">
        <f>WM!AM55</f>
        <v>-0.81081745451120035</v>
      </c>
    </row>
    <row r="57" spans="1:4" x14ac:dyDescent="0.25">
      <c r="A57" t="str">
        <f>WM!B57</f>
        <v>Peterson, L. R., &amp; Peterson, M. J. (1959). Short-term retention of individual verbal items. Journal of Experimental Psychology, 58(3), 193-198.</v>
      </c>
      <c r="B57">
        <f>WM!AA57</f>
        <v>18</v>
      </c>
      <c r="C57">
        <f>B57/60</f>
        <v>0.3</v>
      </c>
      <c r="D57" s="63">
        <f>WM!AM57</f>
        <v>-0.47830135006197272</v>
      </c>
    </row>
    <row r="59" spans="1:4" x14ac:dyDescent="0.25">
      <c r="A59" t="str">
        <f>WM!B59</f>
        <v>Peterson, L. R., &amp; Peterson, M. J. (1959). Short-term retention of individual verbal items. Journal of Experimental Psychology, 58(3), 193-198.</v>
      </c>
      <c r="B59">
        <f>WM!AA59</f>
        <v>18</v>
      </c>
      <c r="C59">
        <f>B59/60</f>
        <v>0.3</v>
      </c>
      <c r="D59" s="63">
        <f>WM!AM59</f>
        <v>-0.67741107574387727</v>
      </c>
    </row>
    <row r="61" spans="1:4" x14ac:dyDescent="0.25">
      <c r="A61" t="str">
        <f>WM!B61</f>
        <v>Peterson, L. R., &amp; Peterson, M. J. (1959). Short-term retention of individual verbal items. Journal of Experimental Psychology, 58(3), 193-198.</v>
      </c>
      <c r="B61">
        <f>WM!AA61</f>
        <v>18</v>
      </c>
      <c r="C61">
        <f>B61/60</f>
        <v>0.3</v>
      </c>
      <c r="D61" s="63">
        <f>WM!AM61</f>
        <v>-0.84874543272433944</v>
      </c>
    </row>
    <row r="63" spans="1:4" x14ac:dyDescent="0.25">
      <c r="A63" t="str">
        <f>WM!B63</f>
        <v>Postman, L., &amp; Phillips, L. W. (1965). Short-term temporal changes in free recall. Quarterly journal of experimental psychology, 17(2), 132-138.</v>
      </c>
      <c r="B63">
        <f>WM!AA63</f>
        <v>18</v>
      </c>
      <c r="C63">
        <f>B63/60</f>
        <v>0.3</v>
      </c>
      <c r="D63" s="63">
        <f>WM!AM63</f>
        <v>-4.992105720321207E-2</v>
      </c>
    </row>
    <row r="65" spans="1:4" x14ac:dyDescent="0.25">
      <c r="A65" t="str">
        <f>WM!B65</f>
        <v>Postman, L., &amp; Phillips, L. W. (1965). Short-term temporal changes in free recall. Quarterly journal of experimental psychology, 17(2), 132-138.</v>
      </c>
      <c r="B65">
        <f>WM!AA65</f>
        <v>18</v>
      </c>
      <c r="C65">
        <f>B65/60</f>
        <v>0.3</v>
      </c>
      <c r="D65" s="63">
        <f>WM!AM65</f>
        <v>-4.1055678758485072E-2</v>
      </c>
    </row>
    <row r="67" spans="1:4" x14ac:dyDescent="0.25">
      <c r="A67" t="str">
        <f>WM!B67</f>
        <v>Postman, L., &amp; Phillips, L. W. (1965). Short-term temporal changes in free recall. Quarterly journal of experimental psychology, 17(2), 132-138.</v>
      </c>
      <c r="B67">
        <f>WM!AA67</f>
        <v>18</v>
      </c>
      <c r="C67">
        <f>B67/60</f>
        <v>0.3</v>
      </c>
      <c r="D67" s="63">
        <f>WM!AM67</f>
        <v>-7.1413414462206712E-2</v>
      </c>
    </row>
    <row r="69" spans="1:4" x14ac:dyDescent="0.25">
      <c r="A69" t="str">
        <f>WM!B69</f>
        <v>Ricker, T. J., &amp; Cowan, N. (2010). Loss of visual working memory within seconds: The combined use of refreshable and non-refreshable features. Journal of Experimental Psychology: Learning, Memory, and Cognition, 36(6), 1355-1368.</v>
      </c>
      <c r="B69">
        <f>WM!AA69</f>
        <v>5.9</v>
      </c>
      <c r="C69">
        <f>B69/60</f>
        <v>9.8333333333333342E-2</v>
      </c>
      <c r="D69" s="63">
        <f>WM!AM69</f>
        <v>-4.5316916582784965E-2</v>
      </c>
    </row>
    <row r="71" spans="1:4" x14ac:dyDescent="0.25">
      <c r="A71" t="str">
        <f>WM!B71</f>
        <v>Ricker, T. J., &amp; Cowan, N. (2010). Loss of visual working memory within seconds: The combined use of refreshable and non-refreshable features. Journal of Experimental Psychology: Learning, Memory, and Cognition, 36(6), 1355-1368.</v>
      </c>
      <c r="B71">
        <f>WM!AA71</f>
        <v>5.9</v>
      </c>
      <c r="C71">
        <f>B71/60</f>
        <v>9.8333333333333342E-2</v>
      </c>
      <c r="D71" s="63">
        <f>WM!AM71</f>
        <v>-6.8403789113543001E-2</v>
      </c>
    </row>
    <row r="73" spans="1:4" x14ac:dyDescent="0.25">
      <c r="A73" t="str">
        <f>WM!B73</f>
        <v>Ricker, T. J., &amp; Cowan, N. (2010). Loss of visual working memory within seconds: The combined use of refreshable and non-refreshable features. Journal of Experimental Psychology: Learning, Memory, and Cognition, 36(6), 1355-1368.</v>
      </c>
      <c r="B73">
        <f>WM!AA73</f>
        <v>5.9</v>
      </c>
      <c r="C73">
        <f>B73/60</f>
        <v>9.8333333333333342E-2</v>
      </c>
      <c r="D73" s="63">
        <f>WM!AM73</f>
        <v>-8.8078477576913547E-2</v>
      </c>
    </row>
    <row r="75" spans="1:4" x14ac:dyDescent="0.25">
      <c r="A75" t="str">
        <f>WM!B75</f>
        <v>Ricker, T. J., &amp; Cowan, N. (2010). Loss of visual working memory within seconds: The combined use of refreshable and non-refreshable features. Journal of Experimental Psychology: Learning, Memory, and Cognition, 36(6), 1355-1368.</v>
      </c>
      <c r="B75">
        <f>WM!AA75</f>
        <v>6</v>
      </c>
      <c r="C75">
        <f>B75/60</f>
        <v>0.1</v>
      </c>
      <c r="D75" s="63">
        <f>WM!AM75</f>
        <v>-6.6469415909064036E-2</v>
      </c>
    </row>
    <row r="77" spans="1:4" x14ac:dyDescent="0.25">
      <c r="A77" t="str">
        <f>WM!B77</f>
        <v>Ricker, T. J., &amp; Cowan, N. (2010). Loss of visual working memory within seconds: The combined use of refreshable and non-refreshable features. Journal of Experimental Psychology: Learning, Memory, and Cognition, 36(6), 1355-1368.</v>
      </c>
      <c r="B77">
        <f>WM!AA77</f>
        <v>6</v>
      </c>
      <c r="C77">
        <f>B77/60</f>
        <v>0.1</v>
      </c>
      <c r="D77" s="63">
        <f>WM!AM77</f>
        <v>-7.075829312827922E-2</v>
      </c>
    </row>
    <row r="79" spans="1:4" x14ac:dyDescent="0.25">
      <c r="A79" t="str">
        <f>WM!B79</f>
        <v>Ricker, T. J., &amp; Cowan, N. (2010). Loss of visual working memory within seconds: The combined use of refreshable and non-refreshable features. Journal of Experimental Psychology: Learning, Memory, and Cognition, 36(6), 1355-1368.</v>
      </c>
      <c r="B79">
        <f>WM!AA79</f>
        <v>6</v>
      </c>
      <c r="C79">
        <f>B79/60</f>
        <v>0.1</v>
      </c>
      <c r="D79" s="63">
        <f>WM!AM79</f>
        <v>-0.10974334508051847</v>
      </c>
    </row>
    <row r="81" spans="1:4" x14ac:dyDescent="0.25">
      <c r="A81" t="str">
        <f>WM!B81</f>
        <v>Ricker, T. J., &amp; Cowan, N. (2014). Differences between presentation methods in working memory procedures: a matter of working memory consolidation. Journal of Experimental Psychology: Learning, Memory, and Cognition, 40(2), 417-428.</v>
      </c>
      <c r="B81">
        <f>WM!AA81</f>
        <v>12</v>
      </c>
      <c r="C81">
        <f>B81/60</f>
        <v>0.2</v>
      </c>
      <c r="D81" s="63">
        <f>WM!AM81</f>
        <v>-2.1795320311497328E-2</v>
      </c>
    </row>
    <row r="83" spans="1:4" x14ac:dyDescent="0.25">
      <c r="A83" t="str">
        <f>WM!B83</f>
        <v>Ricker, T. J., &amp; Cowan, N. (2014). Differences between presentation methods in working memory procedures: a matter of working memory consolidation. Journal of Experimental Psychology: Learning, Memory, and Cognition, 40(2), 417-428.</v>
      </c>
      <c r="B83">
        <f>WM!AA83</f>
        <v>12</v>
      </c>
      <c r="C83">
        <f>B83/60</f>
        <v>0.2</v>
      </c>
      <c r="D83" s="63">
        <f>WM!AM83</f>
        <v>-5.2337604154915944E-2</v>
      </c>
    </row>
    <row r="85" spans="1:4" x14ac:dyDescent="0.25">
      <c r="A85" t="str">
        <f>WM!B85</f>
        <v>Ricker, T. J., &amp; Cowan, N. (2014). Differences between presentation methods in working memory procedures: a matter of working memory consolidation. Journal of Experimental Psychology: Learning, Memory, and Cognition, 40(2), 417-428.</v>
      </c>
      <c r="B85">
        <f>WM!AA85</f>
        <v>12</v>
      </c>
      <c r="C85">
        <f>B85/60</f>
        <v>0.2</v>
      </c>
      <c r="D85" s="63">
        <f>WM!AM85</f>
        <v>-2.5711993139676571E-2</v>
      </c>
    </row>
    <row r="87" spans="1:4" x14ac:dyDescent="0.25">
      <c r="A87" t="str">
        <f>WM!B87</f>
        <v>Ricker, T. J., &amp; Cowan, N. (2014). Differences between presentation methods in working memory procedures: a matter of working memory consolidation. Journal of Experimental Psychology: Learning, Memory, and Cognition, 40(2), 417-428.</v>
      </c>
      <c r="B87">
        <f>WM!AA87</f>
        <v>12</v>
      </c>
      <c r="C87">
        <f>B87/60</f>
        <v>0.2</v>
      </c>
      <c r="D87" s="63">
        <f>WM!AM87</f>
        <v>-7.0308179214797345E-2</v>
      </c>
    </row>
    <row r="89" spans="1:4" x14ac:dyDescent="0.25">
      <c r="A89" t="str">
        <f>WM!B89</f>
        <v>Ricker, T. J., &amp; Cowan, N. (2014). Differences between presentation methods in working memory procedures: a matter of working memory consolidation. Journal of Experimental Psychology: Learning, Memory, and Cognition, 40(2), 417-428.</v>
      </c>
      <c r="B89">
        <f>WM!AA89</f>
        <v>12</v>
      </c>
      <c r="C89">
        <f>B89/60</f>
        <v>0.2</v>
      </c>
      <c r="D89" s="63">
        <f>WM!AM89</f>
        <v>-6.2054385278598211E-2</v>
      </c>
    </row>
    <row r="91" spans="1:4" x14ac:dyDescent="0.25">
      <c r="A91" t="str">
        <f>WM!B91</f>
        <v>Ricker, T. J., &amp; Cowan, N. (2014). Differences between presentation methods in working memory procedures: a matter of working memory consolidation. Journal of Experimental Psychology: Learning, Memory, and Cognition, 40(2), 417-428.</v>
      </c>
      <c r="B91">
        <f>WM!AA91</f>
        <v>12</v>
      </c>
      <c r="C91">
        <f>B91/60</f>
        <v>0.2</v>
      </c>
      <c r="D91" s="63">
        <f>WM!AM91</f>
        <v>-5.0236304116639673E-2</v>
      </c>
    </row>
    <row r="93" spans="1:4" x14ac:dyDescent="0.25">
      <c r="A93" t="str">
        <f>WM!B93</f>
        <v>Ricker, T. J., &amp; Cowan, N. (2014). Differences between presentation methods in working memory procedures: a matter of working memory consolidation. Journal of Experimental Psychology: Learning, Memory, and Cognition, 40(2), 417-428.</v>
      </c>
      <c r="B93">
        <f>WM!AA93</f>
        <v>12</v>
      </c>
      <c r="C93">
        <f>B93/60</f>
        <v>0.2</v>
      </c>
      <c r="D93" s="63">
        <f>WM!AM93</f>
        <v>-2.2452493576509889E-2</v>
      </c>
    </row>
    <row r="95" spans="1:4" x14ac:dyDescent="0.25">
      <c r="A95" t="str">
        <f>WM!B95</f>
        <v>Ricker, T. J., &amp; Cowan, N. (2014). Differences between presentation methods in working memory procedures: a matter of working memory consolidation. Journal of Experimental Psychology: Learning, Memory, and Cognition, 40(2), 417-428.</v>
      </c>
      <c r="B95">
        <f>WM!AA95</f>
        <v>12</v>
      </c>
      <c r="C95">
        <f>B95/60</f>
        <v>0.2</v>
      </c>
      <c r="D95" s="63">
        <f>WM!AM95</f>
        <v>-2.531134236455454E-2</v>
      </c>
    </row>
    <row r="97" spans="1:4" x14ac:dyDescent="0.25">
      <c r="A97" t="str">
        <f>WM!B97</f>
        <v>Ricker, T. J., Spiegel, L. R., &amp; Cowan, N. (2014). Time-based loss in visual short-term memory is from trace decay, not temporal distinctiveness. Journal of Experimental Psychology: Learning, Memory, and Cognition, 40(6), 1510-1523.</v>
      </c>
      <c r="B97">
        <f>WM!AA97</f>
        <v>12</v>
      </c>
      <c r="C97">
        <f>B97/60</f>
        <v>0.2</v>
      </c>
      <c r="D97" s="63">
        <f>WM!AM97</f>
        <v>-6.5951793787283552E-2</v>
      </c>
    </row>
    <row r="99" spans="1:4" x14ac:dyDescent="0.25">
      <c r="A99" t="str">
        <f>WM!B99</f>
        <v>Ricker, T. J., Spiegel, L. R., &amp; Cowan, N. (2014). Time-based loss in visual short-term memory is from trace decay, not temporal distinctiveness. Journal of Experimental Psychology: Learning, Memory, and Cognition, 40(6), 1510-1523.</v>
      </c>
      <c r="B99">
        <f>WM!AA99</f>
        <v>12</v>
      </c>
      <c r="C99">
        <f>B99/60</f>
        <v>0.2</v>
      </c>
      <c r="D99" s="63">
        <f>WM!AM99</f>
        <v>-4.14745068316828E-2</v>
      </c>
    </row>
    <row r="101" spans="1:4" x14ac:dyDescent="0.25">
      <c r="A101" t="str">
        <f>WM!B101</f>
        <v>Ricker, T. J., Spiegel, L. R., &amp; Cowan, N. (2014). Time-based loss in visual short-term memory is from trace decay, not temporal distinctiveness. Journal of Experimental Psychology: Learning, Memory, and Cognition, 40(6), 1510-1523.</v>
      </c>
      <c r="B101">
        <f>WM!AA101</f>
        <v>12</v>
      </c>
      <c r="C101">
        <f>B101/60</f>
        <v>0.2</v>
      </c>
      <c r="D101" s="63">
        <f>WM!AM101</f>
        <v>-4.4189783838361953E-2</v>
      </c>
    </row>
    <row r="103" spans="1:4" x14ac:dyDescent="0.25">
      <c r="A103" t="str">
        <f>WM!B103</f>
        <v>Ricker, T. J., Spiegel, L. R., &amp; Cowan, N. (2014). Time-based loss in visual short-term memory is from trace decay, not temporal distinctiveness. Journal of Experimental Psychology: Learning, Memory, and Cognition, 40(6), 1510-1523.</v>
      </c>
      <c r="B103">
        <f>WM!AA103</f>
        <v>12</v>
      </c>
      <c r="C103">
        <f>B103/60</f>
        <v>0.2</v>
      </c>
      <c r="D103" s="63">
        <f>WM!AM103</f>
        <v>-4.3772747934243385E-2</v>
      </c>
    </row>
    <row r="105" spans="1:4" x14ac:dyDescent="0.25">
      <c r="A105" t="str">
        <f>WM!B105</f>
        <v>Ricker, T. J., Spiegel, L. R., &amp; Cowan, N. (2014). Time-based loss in visual short-term memory is from trace decay, not temporal distinctiveness. Journal of Experimental Psychology: Learning, Memory, and Cognition, 40(6), 1510-1523.</v>
      </c>
      <c r="B105">
        <f>WM!AA105</f>
        <v>12</v>
      </c>
      <c r="C105">
        <f>B105/60</f>
        <v>0.2</v>
      </c>
      <c r="D105" s="63">
        <f>WM!AM105</f>
        <v>-4.0645091178574962E-2</v>
      </c>
    </row>
    <row r="107" spans="1:4" x14ac:dyDescent="0.25">
      <c r="A107" t="str">
        <f>WM!B107</f>
        <v>Ricker, T. J., Spiegel, L. R., &amp; Cowan, N. (2014). Time-based loss in visual short-term memory is from trace decay, not temporal distinctiveness. Journal of Experimental Psychology: Learning, Memory, and Cognition, 40(6), 1510-1523.</v>
      </c>
      <c r="B107">
        <f>WM!AA107</f>
        <v>12</v>
      </c>
      <c r="C107">
        <f>B107/60</f>
        <v>0.2</v>
      </c>
      <c r="D107" s="63">
        <f>WM!AM107</f>
        <v>-4.3063479772511619E-2</v>
      </c>
    </row>
    <row r="109" spans="1:4" x14ac:dyDescent="0.25">
      <c r="A109" t="str">
        <f>WM!B109</f>
        <v>Ricker, T. J., Sandry, J., Vergauwe, E., &amp; Cowan, N. (2020). Do familiar memory items decay?. Journal of Experimental Psychology: Learning, Memory, and Cognition, 46(1), 60-76.</v>
      </c>
      <c r="B109">
        <f>WM!AA109</f>
        <v>6</v>
      </c>
      <c r="C109">
        <f>B109/60</f>
        <v>0.1</v>
      </c>
      <c r="D109" s="63">
        <f>WM!AM109</f>
        <v>-5.280509398029936E-2</v>
      </c>
    </row>
    <row r="111" spans="1:4" x14ac:dyDescent="0.25">
      <c r="A111" t="str">
        <f>WM!B111</f>
        <v>Ricker, T. J., Sandry, J., Vergauwe, E., &amp; Cowan, N. (2020). Do familiar memory items decay?. Journal of Experimental Psychology: Learning, Memory, and Cognition, 46(1), 60-76.</v>
      </c>
      <c r="B111">
        <f>WM!AA111</f>
        <v>6</v>
      </c>
      <c r="C111">
        <f>B111/60</f>
        <v>0.1</v>
      </c>
      <c r="D111" s="63">
        <f>WM!AM111</f>
        <v>-7.7016814336210507E-2</v>
      </c>
    </row>
    <row r="113" spans="1:4" x14ac:dyDescent="0.25">
      <c r="A113" t="str">
        <f>WM!B113</f>
        <v>Ricker, T. J., Sandry, J., Vergauwe, E., &amp; Cowan, N. (2020). Do familiar memory items decay?. Journal of Experimental Psychology: Learning, Memory, and Cognition, 46(1), 60-76.</v>
      </c>
      <c r="B113">
        <f>WM!AA113</f>
        <v>6</v>
      </c>
      <c r="C113">
        <f>B113/60</f>
        <v>0.1</v>
      </c>
      <c r="D113" s="63">
        <f>WM!AM113</f>
        <v>-6.7827549678783197E-2</v>
      </c>
    </row>
    <row r="115" spans="1:4" x14ac:dyDescent="0.25">
      <c r="A115" t="str">
        <f>WM!B115</f>
        <v>Ricker, T. J., Sandry, J., Vergauwe, E., &amp; Cowan, N. (2020). Do familiar memory items decay?. Journal of Experimental Psychology: Learning, Memory, and Cognition, 46(1), 60-76.</v>
      </c>
      <c r="B115">
        <f>WM!AA115</f>
        <v>6</v>
      </c>
      <c r="C115">
        <f>B115/60</f>
        <v>0.1</v>
      </c>
      <c r="D115" s="63">
        <f>WM!AM115</f>
        <v>-4.2196093645186297E-2</v>
      </c>
    </row>
    <row r="117" spans="1:4" x14ac:dyDescent="0.25">
      <c r="A117" t="str">
        <f>WM!B117</f>
        <v>Ricker, T. J., Sandry, J., Vergauwe, E., &amp; Cowan, N. (2020). Do familiar memory items decay?. Journal of Experimental Psychology: Learning, Memory, and Cognition, 46(1), 60-76.</v>
      </c>
      <c r="B117">
        <f>WM!AA117</f>
        <v>6</v>
      </c>
      <c r="C117">
        <f>B117/60</f>
        <v>0.1</v>
      </c>
      <c r="D117" s="63">
        <f>WM!AM117</f>
        <v>-3.5194663945698895E-2</v>
      </c>
    </row>
    <row r="119" spans="1:4" x14ac:dyDescent="0.25">
      <c r="A119" t="str">
        <f>WM!B119</f>
        <v>Ricker, T. J., Sandry, J., Vergauwe, E., &amp; Cowan, N. (2020). Do familiar memory items decay?. Journal of Experimental Psychology: Learning, Memory, and Cognition, 46(1), 60-76.</v>
      </c>
      <c r="B119">
        <f>WM!AA119</f>
        <v>6</v>
      </c>
      <c r="C119">
        <f>B119/60</f>
        <v>0.1</v>
      </c>
      <c r="D119" s="63">
        <f>WM!AM119</f>
        <v>-3.6531731094861727E-2</v>
      </c>
    </row>
    <row r="121" spans="1:4" x14ac:dyDescent="0.25">
      <c r="A121" t="str">
        <f>WM!B121</f>
        <v>Ricker, T. J., Sandry, J., Vergauwe, E., &amp; Cowan, N. (2020). Do familiar memory items decay?. Journal of Experimental Psychology: Learning, Memory, and Cognition, 46(1), 60-76.</v>
      </c>
      <c r="B121">
        <f>WM!AA121</f>
        <v>6</v>
      </c>
      <c r="C121">
        <f>B121/60</f>
        <v>0.1</v>
      </c>
      <c r="D121" s="63">
        <f>WM!AM121</f>
        <v>-3.9001256000636579E-2</v>
      </c>
    </row>
    <row r="123" spans="1:4" x14ac:dyDescent="0.25">
      <c r="A123" t="str">
        <f>WM!B123</f>
        <v>Ricker, T. J., Sandry, J., Vergauwe, E., &amp; Cowan, N. (2020). Do familiar memory items decay?. Journal of Experimental Psychology: Learning, Memory, and Cognition, 46(1), 60-76.</v>
      </c>
      <c r="B123">
        <f>WM!AA123</f>
        <v>6</v>
      </c>
      <c r="C123">
        <f>B123/60</f>
        <v>0.1</v>
      </c>
      <c r="D123" s="63">
        <f>WM!AM123</f>
        <v>-3.4356375042007142E-2</v>
      </c>
    </row>
    <row r="125" spans="1:4" x14ac:dyDescent="0.25">
      <c r="A125" t="str">
        <f>WM!B125</f>
        <v>Ricker, T. J., Sandry, J., Vergauwe, E., &amp; Cowan, N. (2020). Do familiar memory items decay?. Journal of Experimental Psychology: Learning, Memory, and Cognition, 46(1), 60-76.</v>
      </c>
      <c r="B125">
        <f>WM!AA125</f>
        <v>6</v>
      </c>
      <c r="C125">
        <f>B125/60</f>
        <v>0.1</v>
      </c>
      <c r="D125" s="63">
        <f>WM!AM125</f>
        <v>-2.6233709947067696E-2</v>
      </c>
    </row>
    <row r="127" spans="1:4" x14ac:dyDescent="0.25">
      <c r="A127" t="str">
        <f>WM!B127</f>
        <v>Ricker, T. J., Sandry, J., Vergauwe, E., &amp; Cowan, N. (2020). Do familiar memory items decay?. Journal of Experimental Psychology: Learning, Memory, and Cognition, 46(1), 60-76.</v>
      </c>
      <c r="B127">
        <f>WM!AA127</f>
        <v>6</v>
      </c>
      <c r="C127">
        <f>B127/60</f>
        <v>0.1</v>
      </c>
      <c r="D127" s="63">
        <f>WM!AM127</f>
        <v>-2.2197059679226718E-2</v>
      </c>
    </row>
    <row r="129" spans="1:4" x14ac:dyDescent="0.25">
      <c r="A129" t="str">
        <f>WM!B129</f>
        <v>Ricker, T. J., Sandry, J., Vergauwe, E., &amp; Cowan, N. (2020). Do familiar memory items decay?. Journal of Experimental Psychology: Learning, Memory, and Cognition, 46(1), 60-76.</v>
      </c>
      <c r="B129">
        <f>WM!AA129</f>
        <v>6</v>
      </c>
      <c r="C129">
        <f>B129/60</f>
        <v>0.1</v>
      </c>
      <c r="D129" s="63">
        <f>WM!AM129</f>
        <v>-4.5098904485789126E-2</v>
      </c>
    </row>
    <row r="131" spans="1:4" x14ac:dyDescent="0.25">
      <c r="A131" t="str">
        <f>WM!B131</f>
        <v>Ricker, T. J., Sandry, J., Vergauwe, E., &amp; Cowan, N. (2020). Do familiar memory items decay?. Journal of Experimental Psychology: Learning, Memory, and Cognition, 46(1), 60-76.</v>
      </c>
      <c r="B131">
        <f>WM!AA131</f>
        <v>6</v>
      </c>
      <c r="C131">
        <f>B131/60</f>
        <v>0.1</v>
      </c>
      <c r="D131" s="63">
        <f>WM!AM131</f>
        <v>-5.1546746482051729E-2</v>
      </c>
    </row>
    <row r="133" spans="1:4" x14ac:dyDescent="0.25">
      <c r="A133" t="str">
        <f>WM!B133</f>
        <v>Ricker, T. J., Sandry, J., Vergauwe, E., &amp; Cowan, N. (2020). Do familiar memory items decay?. Journal of Experimental Psychology: Learning, Memory, and Cognition, 46(1), 60-76.</v>
      </c>
      <c r="B133">
        <f>WM!AA133</f>
        <v>6</v>
      </c>
      <c r="C133">
        <f>B133/60</f>
        <v>0.1</v>
      </c>
      <c r="D133" s="63">
        <f>WM!AM133</f>
        <v>-4.3731420625169652E-2</v>
      </c>
    </row>
    <row r="135" spans="1:4" x14ac:dyDescent="0.25">
      <c r="A135" t="str">
        <f>WM!B135</f>
        <v>Ricker, T. J., Sandry, J., Vergauwe, E., &amp; Cowan, N. (2020). Do familiar memory items decay?. Journal of Experimental Psychology: Learning, Memory, and Cognition, 46(1), 60-76.</v>
      </c>
      <c r="B135">
        <f>WM!AA135</f>
        <v>6</v>
      </c>
      <c r="C135">
        <f>B135/60</f>
        <v>0.1</v>
      </c>
      <c r="D135" s="63">
        <f>WM!AM135</f>
        <v>-6.6633265431732133E-2</v>
      </c>
    </row>
    <row r="137" spans="1:4" x14ac:dyDescent="0.25">
      <c r="A137" t="str">
        <f>WM!B137</f>
        <v>Ricker, T. J., Sandry, J., Vergauwe, E., &amp; Cowan, N. (2020). Do familiar memory items decay?. Journal of Experimental Psychology: Learning, Memory, and Cognition, 46(1), 60-76.</v>
      </c>
      <c r="B137">
        <f>WM!AA137</f>
        <v>6</v>
      </c>
      <c r="C137">
        <f>B137/60</f>
        <v>0.1</v>
      </c>
      <c r="D137" s="63">
        <f>WM!AM137</f>
        <v>-4.5098904485789126E-2</v>
      </c>
    </row>
    <row r="139" spans="1:4" x14ac:dyDescent="0.25">
      <c r="A139" t="str">
        <f>WM!B139</f>
        <v>Squire, L. R., &amp; Slater, P. C. (1978). Anterograde and retrograde memory impairment in chronic amnesia. Neuropsychologia, 16(3), 313-322.</v>
      </c>
      <c r="B139">
        <f>WM!AA139</f>
        <v>18</v>
      </c>
      <c r="C139">
        <f>B139/60</f>
        <v>0.3</v>
      </c>
      <c r="D139" s="63">
        <f>WM!AM139</f>
        <v>-2.6987568669954182E-2</v>
      </c>
    </row>
    <row r="141" spans="1:4" x14ac:dyDescent="0.25">
      <c r="A141" t="str">
        <f>WM!B141</f>
        <v>Turvey, M. T. &amp; Weeks, R. A. (1979). Effects of proactive interference and rehearsal on the primary and secondary components of short-term retention. Quarterly Journal of Experimental Psychology, 27(1), 47-62.</v>
      </c>
      <c r="B141">
        <f>WM!AA141</f>
        <v>25</v>
      </c>
      <c r="C141">
        <f>B141/60</f>
        <v>0.41666666666666669</v>
      </c>
      <c r="D141" s="63">
        <f>WM!AM141</f>
        <v>-0.44661079519385649</v>
      </c>
    </row>
    <row r="143" spans="1:4" x14ac:dyDescent="0.25">
      <c r="A143" t="str">
        <f>WM!B143</f>
        <v>Turvey, M. T. &amp; Weeks, R. A. (1979). Effects of proactive interference and rehearsal on the primary and secondary components of short-term retention. Quarterly Journal of Experimental Psychology, 27(1), 47-62.</v>
      </c>
      <c r="B143">
        <f>WM!AA143</f>
        <v>30</v>
      </c>
      <c r="C143">
        <f>B143/60</f>
        <v>0.5</v>
      </c>
      <c r="D143" s="63">
        <f>WM!AM143</f>
        <v>-1.1666319730806457E-2</v>
      </c>
    </row>
    <row r="145" spans="1:4" x14ac:dyDescent="0.25">
      <c r="A145" t="str">
        <f>WM!B145</f>
        <v>Turvey, M. T. &amp; Weeks, R. A. (1979). Effects of proactive interference and rehearsal on the primary and secondary components of short-term retention. Quarterly Journal of Experimental Psychology, 27(1), 47-62.</v>
      </c>
      <c r="B145">
        <f>WM!AA145</f>
        <v>30</v>
      </c>
      <c r="C145">
        <f>B145/60</f>
        <v>0.5</v>
      </c>
      <c r="D145" s="63">
        <f>WM!AM145</f>
        <v>-6.7870112661232732E-2</v>
      </c>
    </row>
    <row r="147" spans="1:4" x14ac:dyDescent="0.25">
      <c r="A147" t="str">
        <f>WM!B147</f>
        <v>Turvey, M. T. &amp; Weeks, R. A. (1979). Effects of proactive interference and rehearsal on the primary and secondary components of short-term retention. Quarterly Journal of Experimental Psychology, 27(1), 47-62.</v>
      </c>
      <c r="B147">
        <f>WM!AA147</f>
        <v>30</v>
      </c>
      <c r="C147">
        <f>B147/60</f>
        <v>0.5</v>
      </c>
      <c r="D147" s="63">
        <f>WM!AM147</f>
        <v>-8.2331852575010564E-2</v>
      </c>
    </row>
    <row r="149" spans="1:4" x14ac:dyDescent="0.25">
      <c r="A149" t="str">
        <f>WM!B149</f>
        <v>Turvey, M. T. &amp; Weeks, R. A. (1979). Effects of proactive interference and rehearsal on the primary and secondary components of short-term retention. Quarterly Journal of Experimental Psychology, 27(1), 47-62.</v>
      </c>
      <c r="B149">
        <f>WM!AA149</f>
        <v>30</v>
      </c>
      <c r="C149">
        <f>B149/60</f>
        <v>0.5</v>
      </c>
      <c r="D149" s="63">
        <f>WM!AM149</f>
        <v>-0.29384836738253917</v>
      </c>
    </row>
    <row r="151" spans="1:4" x14ac:dyDescent="0.25">
      <c r="A151" t="str">
        <f>WM!B151</f>
        <v>Turvey, M. T. &amp; Weeks, R. A. (1979). Effects of proactive interference and rehearsal on the primary and secondary components of short-term retention. Quarterly Journal of Experimental Psychology, 27(1), 47-62.</v>
      </c>
      <c r="B151">
        <f>WM!AA151</f>
        <v>27</v>
      </c>
      <c r="C151">
        <f>B151/60</f>
        <v>0.45</v>
      </c>
      <c r="D151" s="63">
        <f>WM!AM151</f>
        <v>-0.18527236101789452</v>
      </c>
    </row>
    <row r="153" spans="1:4" x14ac:dyDescent="0.25">
      <c r="A153" t="str">
        <f>WM!B153</f>
        <v>Turvey, M. T. &amp; Weeks, R. A. (1979). Effects of proactive interference and rehearsal on the primary and secondary components of short-term retention. Quarterly Journal of Experimental Psychology, 27(1), 47-62.</v>
      </c>
      <c r="B153">
        <f>WM!AA153</f>
        <v>27</v>
      </c>
      <c r="C153">
        <f>B153/60</f>
        <v>0.45</v>
      </c>
      <c r="D153" s="63">
        <f>WM!AM153</f>
        <v>-1.0788080782104132</v>
      </c>
    </row>
    <row r="155" spans="1:4" x14ac:dyDescent="0.25">
      <c r="A155" t="str">
        <f>WM!B155</f>
        <v>Turvey, M. T. &amp; Weeks, R. A. (1979). Effects of proactive interference and rehearsal on the primary and secondary components of short-term retention. Quarterly Journal of Experimental Psychology, 27(1), 47-62.</v>
      </c>
      <c r="B155">
        <f>WM!AA155</f>
        <v>27</v>
      </c>
      <c r="C155">
        <f>B155/60</f>
        <v>0.45</v>
      </c>
      <c r="D155" s="63">
        <f>WM!AM155</f>
        <v>-0.76804153859349633</v>
      </c>
    </row>
    <row r="157" spans="1:4" x14ac:dyDescent="0.25">
      <c r="A157" t="str">
        <f>WM!B157</f>
        <v>Turvey, M. T. &amp; Weeks, R. A. (1979). Effects of proactive interference and rehearsal on the primary and secondary components of short-term retention. Quarterly Journal of Experimental Psychology, 27(1), 47-62.</v>
      </c>
      <c r="B157">
        <f>WM!AA157</f>
        <v>27</v>
      </c>
      <c r="C157">
        <f>B157/60</f>
        <v>0.45</v>
      </c>
      <c r="D157" s="63">
        <f>WM!AM157</f>
        <v>-0.45455704407487479</v>
      </c>
    </row>
    <row r="159" spans="1:4" x14ac:dyDescent="0.25">
      <c r="A159" t="str">
        <f>WM!B159</f>
        <v>Vallar, G., &amp; Baddeley, A. D. (1982). Short-term forgetting and the articulatory loop.  Quarterly Journal of Experimental Psychology Section A, 34(1), 53-60.</v>
      </c>
      <c r="B159">
        <f>WM!AA159</f>
        <v>15</v>
      </c>
      <c r="C159">
        <f>B159/60</f>
        <v>0.25</v>
      </c>
      <c r="D159" s="63">
        <f>WM!AM159</f>
        <v>-3.9743751452330058E-3</v>
      </c>
    </row>
    <row r="161" spans="1:4" x14ac:dyDescent="0.25">
      <c r="A161" t="str">
        <f>WM!B161</f>
        <v>Vallar, G., &amp; Baddeley, A. D. (1982). Short-term forgetting and the articulatory loop.  Quarterly Journal of Experimental Psychology Section A, 34(1), 53-60.</v>
      </c>
      <c r="B161">
        <f>WM!AA161</f>
        <v>15</v>
      </c>
      <c r="C161">
        <f>B161/60</f>
        <v>0.25</v>
      </c>
      <c r="D161" s="63">
        <f>WM!AM161</f>
        <v>-3.9743751452330058E-3</v>
      </c>
    </row>
    <row r="163" spans="1:4" x14ac:dyDescent="0.25">
      <c r="A163" t="str">
        <f>WM!B163</f>
        <v>White, K. G. (2012). Dissociation of short-term forgetting from the passage of time. Journal of Experimental Psychology: Learning, Memory, and Cognition, 38(1), 255-259.</v>
      </c>
      <c r="B163">
        <f>WM!AA163</f>
        <v>32</v>
      </c>
      <c r="C163">
        <f>B163/60</f>
        <v>0.53333333333333333</v>
      </c>
      <c r="D163" s="63">
        <f>WM!AM163</f>
        <v>-4.3570999372430294E-2</v>
      </c>
    </row>
    <row r="165" spans="1:4" x14ac:dyDescent="0.25">
      <c r="A165" t="str">
        <f>WM!B165</f>
        <v>White, K. G. (2012). Dissociation of short-term forgetting from the passage of time. Journal of Experimental Psychology: Learning, Memory, and Cognition, 38(1), 255-259.</v>
      </c>
      <c r="B165">
        <f>WM!AA165</f>
        <v>32</v>
      </c>
      <c r="C165">
        <f>B165/60</f>
        <v>0.53333333333333333</v>
      </c>
      <c r="D165" s="63">
        <f>WM!AM165</f>
        <v>-8.8431452888231274E-2</v>
      </c>
    </row>
    <row r="167" spans="1:4" x14ac:dyDescent="0.25">
      <c r="A167" t="str">
        <f>WM!B167</f>
        <v>White, K. G. (2012). Dissociation of short-term forgetting from the passage of time. Journal of Experimental Psychology: Learning, Memory, and Cognition, 38(1), 255-259.</v>
      </c>
      <c r="B167">
        <f>WM!AA167</f>
        <v>32</v>
      </c>
      <c r="C167">
        <f>B167/60</f>
        <v>0.53333333333333333</v>
      </c>
      <c r="D167" s="63">
        <f>WM!AM167</f>
        <v>-2.212633693321656E-2</v>
      </c>
    </row>
    <row r="169" spans="1:4" x14ac:dyDescent="0.25">
      <c r="A169" t="str">
        <f>WM!B169</f>
        <v>White, K. G. (2012). Dissociation of short-term forgetting from the passage of time. Journal of Experimental Psychology: Learning, Memory, and Cognition, 38(1), 255-259.</v>
      </c>
      <c r="B169">
        <f>WM!AA169</f>
        <v>32</v>
      </c>
      <c r="C169">
        <f>B169/60</f>
        <v>0.53333333333333333</v>
      </c>
      <c r="D169" s="63">
        <f>WM!AM169</f>
        <v>-6.953808288736657E-2</v>
      </c>
    </row>
    <row r="171" spans="1:4" x14ac:dyDescent="0.25">
      <c r="A171" t="str">
        <f>WM!B171</f>
        <v>White, K. G. (2012). Dissociation of short-term forgetting from the passage of time. Journal of Experimental Psychology: Learning, Memory, and Cognition, 38(1), 255-259.</v>
      </c>
      <c r="B171">
        <f>WM!AA171</f>
        <v>32</v>
      </c>
      <c r="C171">
        <f>B171/60</f>
        <v>0.53333333333333333</v>
      </c>
      <c r="D171" s="63">
        <f>WM!AM171</f>
        <v>-0.24168381202492392</v>
      </c>
    </row>
    <row r="173" spans="1:4" x14ac:dyDescent="0.25">
      <c r="A173" t="str">
        <f>WM!B173</f>
        <v>White, K. G. (2012). Dissociation of short-term forgetting from the passage of time. Journal of Experimental Psychology: Learning, Memory, and Cognition, 38(1), 255-259.</v>
      </c>
      <c r="B173">
        <f>WM!AA173</f>
        <v>32</v>
      </c>
      <c r="C173">
        <f>B173/60</f>
        <v>0.53333333333333333</v>
      </c>
      <c r="D173" s="63">
        <f>WM!AM173</f>
        <v>-6.8650399587453712E-2</v>
      </c>
    </row>
    <row r="175" spans="1:4" x14ac:dyDescent="0.25">
      <c r="A175" t="str">
        <f>WM!B175</f>
        <v>White, K. G. (2012). Dissociation of short-term forgetting from the passage of time. Journal of Experimental Psychology: Learning, Memory, and Cognition, 38(1), 255-259.</v>
      </c>
      <c r="B175">
        <f>WM!AA175</f>
        <v>32</v>
      </c>
      <c r="C175">
        <f>B175/60</f>
        <v>0.53333333333333333</v>
      </c>
      <c r="D175" s="63">
        <f>WM!AM175</f>
        <v>-0.12311677041685908</v>
      </c>
    </row>
    <row r="177" spans="1:4" x14ac:dyDescent="0.25">
      <c r="A177" t="str">
        <f>WM!B177</f>
        <v>Wixted, J. T., &amp; Ebbesen, E. B. (1991). On the form of forgetting. Psychological Science, 2(6), 409-415.</v>
      </c>
      <c r="B177">
        <f>WM!AA177</f>
        <v>40</v>
      </c>
      <c r="C177">
        <f>B177/60</f>
        <v>0.66666666666666663</v>
      </c>
      <c r="D177" s="63">
        <f>WM!AM177</f>
        <v>-0.11908193382823912</v>
      </c>
    </row>
    <row r="179" spans="1:4" x14ac:dyDescent="0.25">
      <c r="A179" t="str">
        <f>WM!B179</f>
        <v>Wixted, J. T., &amp; Ebbesen, E. B. (1991). On the form of forgetting. Psychological Science, 2(6), 409-415.</v>
      </c>
      <c r="B179">
        <f>WM!AA179</f>
        <v>40</v>
      </c>
      <c r="C179">
        <f>B179/60</f>
        <v>0.66666666666666663</v>
      </c>
      <c r="D179" s="63">
        <f>WM!AM179</f>
        <v>-0.13685662436313883</v>
      </c>
    </row>
    <row r="181" spans="1:4" x14ac:dyDescent="0.25">
      <c r="A181" t="str">
        <f>WM!B181</f>
        <v>Zhang, W., &amp; Luck, S. J. (2009). Sudden death and gradual decay in visual working memory. Psychological Science, 20(4), 423-428.</v>
      </c>
      <c r="B181">
        <f>WM!AA181</f>
        <v>10</v>
      </c>
      <c r="C181">
        <f>B181/60</f>
        <v>0.16666666666666666</v>
      </c>
      <c r="D181" s="63">
        <f>WM!AM181</f>
        <v>-5.7956782843279799E-2</v>
      </c>
    </row>
    <row r="183" spans="1:4" x14ac:dyDescent="0.25">
      <c r="A183" t="str">
        <f>WM!B183</f>
        <v>Zhang, W., &amp; Luck, S. J. (2009). Sudden death and gradual decay in visual working memory. Psychological Science, 20(4), 423-428.</v>
      </c>
      <c r="B183">
        <f>WM!AA183</f>
        <v>10</v>
      </c>
      <c r="C183">
        <f>B183/60</f>
        <v>0.16666666666666666</v>
      </c>
      <c r="D183" s="63">
        <f>WM!AM183</f>
        <v>-0.10804502759734136</v>
      </c>
    </row>
    <row r="185" spans="1:4" x14ac:dyDescent="0.25">
      <c r="D185" s="63"/>
    </row>
    <row r="187" spans="1:4" x14ac:dyDescent="0.25">
      <c r="D187" s="63"/>
    </row>
    <row r="189" spans="1:4" x14ac:dyDescent="0.25">
      <c r="D189" s="63"/>
    </row>
    <row r="191" spans="1:4" x14ac:dyDescent="0.25">
      <c r="D191" s="63"/>
    </row>
    <row r="193" spans="4:4" x14ac:dyDescent="0.25">
      <c r="D193" s="63"/>
    </row>
    <row r="195" spans="4:4" x14ac:dyDescent="0.25">
      <c r="D195" s="63"/>
    </row>
    <row r="197" spans="4:4" x14ac:dyDescent="0.25">
      <c r="D197" s="63"/>
    </row>
    <row r="199" spans="4:4" x14ac:dyDescent="0.25">
      <c r="D199" s="63"/>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U217"/>
  <sheetViews>
    <sheetView workbookViewId="0">
      <pane ySplit="1" topLeftCell="A2" activePane="bottomLeft" state="frozen"/>
      <selection activeCell="U1" sqref="U1"/>
      <selection pane="bottomLeft" activeCell="A2" sqref="A2"/>
    </sheetView>
  </sheetViews>
  <sheetFormatPr defaultColWidth="5.28515625" defaultRowHeight="12.75" outlineLevelCol="1" x14ac:dyDescent="0.2"/>
  <cols>
    <col min="1" max="1" width="11.28515625" style="61" bestFit="1" customWidth="1"/>
    <col min="2" max="2" width="9.7109375" style="14" customWidth="1"/>
    <col min="3" max="3" width="17.85546875" style="14" customWidth="1"/>
    <col min="4" max="4" width="6.85546875" style="64" customWidth="1"/>
    <col min="5" max="5" width="4.28515625" style="77" customWidth="1"/>
    <col min="6" max="6" width="10.28515625" style="64" bestFit="1" customWidth="1"/>
    <col min="7" max="7" width="9.28515625" style="64" customWidth="1"/>
    <col min="8" max="8" width="14.85546875" style="64" bestFit="1" customWidth="1"/>
    <col min="9" max="9" width="30.5703125" style="64" customWidth="1"/>
    <col min="10" max="10" width="17.5703125" style="64" customWidth="1"/>
    <col min="11" max="11" width="9.5703125" style="64" customWidth="1"/>
    <col min="12" max="13" width="9.7109375" style="64" customWidth="1"/>
    <col min="14" max="14" width="13.85546875" style="64" customWidth="1"/>
    <col min="15" max="15" width="8.7109375" style="64" customWidth="1"/>
    <col min="16" max="16" width="22.7109375" style="64" bestFit="1" customWidth="1"/>
    <col min="17" max="17" width="18.28515625" style="64" bestFit="1" customWidth="1"/>
    <col min="18" max="18" width="8.7109375" style="64" bestFit="1" customWidth="1"/>
    <col min="19" max="19" width="11.42578125" style="64" bestFit="1" customWidth="1"/>
    <col min="20" max="20" width="12.7109375" style="64" customWidth="1"/>
    <col min="21" max="21" width="10.42578125" style="64" bestFit="1" customWidth="1"/>
    <col min="22" max="22" width="10.42578125" style="64" customWidth="1"/>
    <col min="23" max="23" width="11.85546875" style="64" customWidth="1"/>
    <col min="24" max="24" width="8.140625" style="64" customWidth="1"/>
    <col min="25" max="25" width="10" style="77" customWidth="1"/>
    <col min="26" max="26" width="15.42578125" style="64" customWidth="1"/>
    <col min="27" max="27" width="11" style="64" customWidth="1"/>
    <col min="28" max="28" width="16.42578125" style="64" customWidth="1"/>
    <col min="29" max="29" width="13.5703125" style="64" customWidth="1"/>
    <col min="30" max="30" width="13.140625" style="64" customWidth="1"/>
    <col min="31" max="31" width="11" style="64" customWidth="1"/>
    <col min="32" max="32" width="12.5703125" style="81" customWidth="1"/>
    <col min="33" max="33" width="10.140625" style="57" customWidth="1"/>
    <col min="34" max="34" width="10.7109375" style="12" customWidth="1"/>
    <col min="35" max="35" width="10.7109375" style="57" customWidth="1"/>
    <col min="36" max="36" width="10.7109375" style="114" customWidth="1"/>
    <col min="37" max="40" width="10.7109375" style="57" customWidth="1"/>
    <col min="41" max="43" width="10.7109375" style="57" customWidth="1" outlineLevel="1"/>
    <col min="44" max="44" width="16.85546875" style="114" customWidth="1" outlineLevel="1"/>
    <col min="45" max="46" width="16.85546875" style="57" customWidth="1" outlineLevel="1"/>
    <col min="47" max="47" width="5.28515625" style="12" outlineLevel="1"/>
    <col min="48" max="50" width="13.42578125" style="45" bestFit="1" customWidth="1" outlineLevel="1"/>
    <col min="51" max="51" width="14.85546875" style="45" bestFit="1" customWidth="1" outlineLevel="1"/>
    <col min="52" max="53" width="14.5703125" style="45" bestFit="1" customWidth="1"/>
    <col min="54" max="54" width="13.5703125" style="45" bestFit="1" customWidth="1"/>
    <col min="55" max="57" width="13.5703125" style="20" bestFit="1" customWidth="1"/>
    <col min="58" max="62" width="12.42578125" style="20" bestFit="1" customWidth="1"/>
    <col min="63" max="74" width="10.42578125" style="20" bestFit="1" customWidth="1"/>
    <col min="75" max="95" width="11.42578125" style="20" bestFit="1" customWidth="1"/>
    <col min="96" max="99" width="12.42578125" style="14" bestFit="1" customWidth="1"/>
    <col min="100" max="133" width="10.42578125" style="14" bestFit="1" customWidth="1"/>
    <col min="134" max="16384" width="5.28515625" style="14"/>
  </cols>
  <sheetData>
    <row r="1" spans="1:99" ht="12" customHeight="1" x14ac:dyDescent="0.2">
      <c r="A1" s="61" t="s">
        <v>304</v>
      </c>
      <c r="B1" s="15" t="s">
        <v>0</v>
      </c>
      <c r="C1" s="15" t="s">
        <v>1</v>
      </c>
      <c r="D1" s="59" t="s">
        <v>2</v>
      </c>
      <c r="E1" s="75" t="s">
        <v>579</v>
      </c>
      <c r="F1" s="59" t="s">
        <v>6</v>
      </c>
      <c r="G1" s="59" t="s">
        <v>485</v>
      </c>
      <c r="H1" s="59" t="s">
        <v>1</v>
      </c>
      <c r="I1" s="59" t="s">
        <v>8</v>
      </c>
      <c r="J1" s="59" t="s">
        <v>7</v>
      </c>
      <c r="K1" s="59" t="s">
        <v>571</v>
      </c>
      <c r="L1" s="59" t="s">
        <v>565</v>
      </c>
      <c r="M1" s="59" t="s">
        <v>569</v>
      </c>
      <c r="N1" s="59" t="s">
        <v>566</v>
      </c>
      <c r="O1" s="59" t="s">
        <v>5</v>
      </c>
      <c r="P1" s="59" t="s">
        <v>570</v>
      </c>
      <c r="Q1" s="59" t="s">
        <v>3</v>
      </c>
      <c r="R1" s="59" t="s">
        <v>568</v>
      </c>
      <c r="S1" s="59" t="s">
        <v>4</v>
      </c>
      <c r="T1" s="59" t="s">
        <v>237</v>
      </c>
      <c r="U1" s="59" t="s">
        <v>910</v>
      </c>
      <c r="V1" s="59" t="s">
        <v>563</v>
      </c>
      <c r="W1" s="59" t="s">
        <v>564</v>
      </c>
      <c r="X1" s="59" t="s">
        <v>576</v>
      </c>
      <c r="Y1" s="75" t="s">
        <v>558</v>
      </c>
      <c r="Z1" s="59" t="s">
        <v>577</v>
      </c>
      <c r="AA1" s="59" t="s">
        <v>327</v>
      </c>
      <c r="AB1" s="59" t="s">
        <v>325</v>
      </c>
      <c r="AC1" s="59" t="s">
        <v>326</v>
      </c>
      <c r="AD1" s="59" t="s">
        <v>578</v>
      </c>
      <c r="AE1" s="59" t="s">
        <v>559</v>
      </c>
      <c r="AF1" s="79" t="s">
        <v>560</v>
      </c>
      <c r="AG1" s="55" t="s">
        <v>546</v>
      </c>
      <c r="AH1" s="4"/>
      <c r="AI1" s="139" t="s">
        <v>297</v>
      </c>
      <c r="AJ1" s="111" t="s">
        <v>289</v>
      </c>
      <c r="AK1" s="55" t="s">
        <v>9</v>
      </c>
      <c r="AL1" s="139" t="s">
        <v>298</v>
      </c>
      <c r="AM1" s="55" t="s">
        <v>10</v>
      </c>
      <c r="AN1" s="55" t="s">
        <v>11</v>
      </c>
      <c r="AO1" s="139" t="s">
        <v>907</v>
      </c>
      <c r="AP1" s="55" t="s">
        <v>303</v>
      </c>
      <c r="AQ1" s="139" t="s">
        <v>908</v>
      </c>
      <c r="AR1" s="111" t="s">
        <v>301</v>
      </c>
      <c r="AS1" s="139" t="s">
        <v>909</v>
      </c>
      <c r="AT1" s="55" t="s">
        <v>302</v>
      </c>
      <c r="AU1" s="4"/>
      <c r="AV1" s="11" t="s">
        <v>292</v>
      </c>
      <c r="AW1" s="11"/>
      <c r="AX1" s="11"/>
      <c r="AY1" s="11"/>
      <c r="AZ1" s="11"/>
      <c r="BA1" s="11"/>
      <c r="BB1" s="11"/>
      <c r="BC1" s="10"/>
      <c r="BD1" s="10"/>
      <c r="BE1" s="10"/>
      <c r="BF1" s="10"/>
      <c r="BG1" s="10"/>
      <c r="BH1" s="10"/>
      <c r="BI1" s="10"/>
      <c r="BJ1" s="10"/>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5"/>
      <c r="CS1" s="15"/>
      <c r="CT1" s="15"/>
      <c r="CU1" s="15"/>
    </row>
    <row r="2" spans="1:99" s="13" customFormat="1" ht="12" customHeight="1" x14ac:dyDescent="0.2">
      <c r="A2" s="65">
        <v>43900</v>
      </c>
      <c r="B2" s="1"/>
      <c r="C2" s="1"/>
      <c r="D2" s="60"/>
      <c r="E2" s="76"/>
      <c r="F2" s="60"/>
      <c r="G2" s="60"/>
      <c r="H2" s="60"/>
      <c r="I2" s="60"/>
      <c r="J2" s="60"/>
      <c r="K2" s="64"/>
      <c r="L2" s="64"/>
      <c r="M2" s="60"/>
      <c r="N2" s="61"/>
      <c r="O2" s="60"/>
      <c r="P2" s="60"/>
      <c r="Q2" s="60"/>
      <c r="R2" s="60"/>
      <c r="S2" s="60"/>
      <c r="T2" s="60"/>
      <c r="U2" s="60"/>
      <c r="V2" s="60"/>
      <c r="W2" s="60"/>
      <c r="X2" s="60"/>
      <c r="Y2" s="76"/>
      <c r="Z2" s="60"/>
      <c r="AA2" s="60"/>
      <c r="AB2" s="60"/>
      <c r="AC2" s="56"/>
      <c r="AD2" s="60"/>
      <c r="AE2" s="60"/>
      <c r="AF2" s="80"/>
      <c r="AG2" s="56"/>
      <c r="AH2" s="4"/>
      <c r="AI2" s="56"/>
      <c r="AJ2" s="109"/>
      <c r="AK2" s="56"/>
      <c r="AL2" s="56"/>
      <c r="AM2" s="56"/>
      <c r="AN2" s="56"/>
      <c r="AO2" s="82"/>
      <c r="AP2" s="82"/>
      <c r="AQ2" s="83"/>
      <c r="AR2" s="116"/>
      <c r="AS2" s="84"/>
      <c r="AT2" s="84"/>
      <c r="AU2" s="3"/>
      <c r="AV2" s="53">
        <v>0.01</v>
      </c>
      <c r="AW2" s="25">
        <v>3</v>
      </c>
      <c r="AX2" s="25">
        <v>9</v>
      </c>
      <c r="AY2" s="25">
        <v>18</v>
      </c>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1"/>
      <c r="CS2" s="1"/>
      <c r="CT2" s="1"/>
      <c r="CU2" s="1"/>
    </row>
    <row r="3" spans="1:99" s="13" customFormat="1" ht="12" customHeight="1" x14ac:dyDescent="0.2">
      <c r="A3" s="65">
        <v>43900</v>
      </c>
      <c r="B3" s="1" t="s">
        <v>433</v>
      </c>
      <c r="C3" s="1" t="s">
        <v>434</v>
      </c>
      <c r="D3" s="60">
        <v>1984</v>
      </c>
      <c r="E3" s="76">
        <v>1</v>
      </c>
      <c r="F3" s="60">
        <v>5</v>
      </c>
      <c r="G3" s="60">
        <v>5</v>
      </c>
      <c r="H3" s="60" t="s">
        <v>41</v>
      </c>
      <c r="I3" s="60" t="s">
        <v>330</v>
      </c>
      <c r="J3" s="60" t="s">
        <v>281</v>
      </c>
      <c r="K3" s="60">
        <f>IF(J3="syllables",1,IF(J3="trigrams",2,IF(J3="strings",3,IF(J3="visual array",4,IF(J3="characters",5,IF(J3="letters",6,IF(J3="free forms",7,IF(J3="odors",8,IF(J3="words",9,IF(J3="pictures",10,IF(J3="object pictures",11,IF(J3="faces",12,IF(J3="names",13,IF(J3="idioms",14,IF(J3="grades",15,IF(J3="syllable-digit pairs",16,IF(J3="trigram-word pairs",17,IF(J3="word-digit pairs",18,IF(J3="English-Swahili pairs",19,IF(J3="spatial position",20,IF(J3="word pairs",21,IF(J3="word triads",22,IF(J3="generated words",23,IF(J3="word definition pairs",24,IF(J3="math problems",25,IF(J3="famous faces",26,IF(J3="famous names",27,IF(J3="famous voices",28,IF(J3="television programs",29,IF(J3="race horses",30,IF(J3="new vocabulary",31,IF(J3="sentences",32,IF(J3="concepts",33,IF(J3="ad slides",34,IF(J3="scenes",35,IF(J3="famous scenes",36,IF(J3="poems",37,IF(J3="walk",38,IF(J3="faces and events",39,IF(J3="events and names",40,IF(J3="flashbulb",41,IF(J3="stories",42,IF(J3="course material",43,IF(J3="autobiographical",44,IF(J3="novels",45,IF(J3="public events",46,"99"))))))))))))))))))))))))))))))))))))))))))))))</f>
        <v>1</v>
      </c>
      <c r="L3" s="60">
        <f>IF(J3="syllables",1,IF(J3="trigrams",1,IF(J3="strings",1,IF(J3="visual array",1,IF(J3="characters",1,IF(J3="letters",1,IF(J3="free forms",1,IF(J3="odors",2,IF(J3="words",2,IF(J3="pictures",2,IF(J3="object pictures",2,IF(J3="faces",2,IF(J3="names",2,IF(J3="idioms","2",IF(J3="grades",2,IF(J3="syllable-digit pairs",3,IF(J3="trigram-word pairs",3,IF(J3="word-digit pairs",3,IF(J3="English-Swahili pairs",3,IF(J3="spatial position",3,IF(J3="word pairs",4,IF(J3="word triads",4,IF(J3="generated words",4,IF(J3="word definition pairs",4,IF(J3="math problems",4,IF(J3="famous faces",4,IF(J3="famous names",4,IF(J3="famous voices",4,IF(J3="television programs",4,IF(J3="race horses",4,IF(J3="new vocabulary",4,IF(J3="sentences",5,IF(J3="concepts",5,IF(J3="ad slides",5,IF(J3="scenes",5,IF(J3="famous scenes",5,IF(J3="poems",6,IF(J3="walk",6,IF(J3="faces and events",6,IF(J3="events and names",6,IF(J3="flashbulb",7,IF(J3="stories",7,IF(J3="course material",7,IF(J3="autobiographical",7,IF(J3="novels",7,IF(J3="public events",7,"99"))))))))))))))))))))))))))))))))))))))))))))))</f>
        <v>1</v>
      </c>
      <c r="M3" s="60">
        <v>0</v>
      </c>
      <c r="N3" s="61">
        <v>1</v>
      </c>
      <c r="O3" s="60">
        <v>1</v>
      </c>
      <c r="P3" s="60" t="s">
        <v>60</v>
      </c>
      <c r="Q3" s="60" t="s">
        <v>174</v>
      </c>
      <c r="R3" s="60">
        <f>IF(Q3="Free Recall",1,IF(Q3="Cued Recall",2,IF(Q3="Recognition",3,IF(Q3="Multiple Choice",4,IF(Q3="Savings",5,IF(Q3="Stem Completion",6,IF(Q3="Fragment Completion",7,IF(Q3="anagram solution",8,IF(Q3="Matching",9,IF(Q3="Problem Solving",10,"99"))))))))))</f>
        <v>1</v>
      </c>
      <c r="S3" s="60" t="s">
        <v>49</v>
      </c>
      <c r="T3" s="59" t="s">
        <v>581</v>
      </c>
      <c r="U3" s="60">
        <f>IF(T3="within",1,0)</f>
        <v>1</v>
      </c>
      <c r="V3" s="59">
        <v>48</v>
      </c>
      <c r="W3" s="60">
        <f>F3*V3</f>
        <v>240</v>
      </c>
      <c r="X3" s="60">
        <v>4</v>
      </c>
      <c r="Y3" s="76">
        <f>AV2</f>
        <v>0.01</v>
      </c>
      <c r="Z3" s="60" t="s">
        <v>28</v>
      </c>
      <c r="AA3" s="60">
        <v>18</v>
      </c>
      <c r="AB3" s="60" t="str">
        <f>IF(AA3&lt;60,"1",IF(AA3&lt;=43200,"2",IF(AA3&lt;=777600,"3","4")))</f>
        <v>1</v>
      </c>
      <c r="AC3" s="56">
        <f>AVERAGE(AV2:DA2)</f>
        <v>7.5024999999999995</v>
      </c>
      <c r="AD3" s="60" t="str">
        <f>IF(AC3&lt;60,"1",IF(AC3&lt;=43200,"2",IF(AC3&lt;=777600,"3","4")))</f>
        <v>1</v>
      </c>
      <c r="AE3" s="76">
        <f>AA3-Y3</f>
        <v>17.989999999999998</v>
      </c>
      <c r="AF3" s="80">
        <f>AV3</f>
        <v>1</v>
      </c>
      <c r="AG3" s="56">
        <f>((AW3-AV3)+(AX3-AW3)+(AY3-AX3))/3</f>
        <v>-0.15666666666666665</v>
      </c>
      <c r="AH3" s="4"/>
      <c r="AI3" s="56">
        <f>RSQ(AV3:AY3,AV2:AY2)</f>
        <v>0.89199739722085636</v>
      </c>
      <c r="AJ3" s="109">
        <f>SLOPE(AV3:AY3,AV2:AY2)</f>
        <v>-2.4132635372265541E-2</v>
      </c>
      <c r="AK3" s="56">
        <f>INTERCEPT(AV3:AY3,AV2:AY2)</f>
        <v>0.92605509688042231</v>
      </c>
      <c r="AL3" s="56">
        <f>INDEX(LINEST(LN(AV3:AY3),LN(AV2:AY2),TRUE,TRUE),3,1)</f>
        <v>0.81187933141815105</v>
      </c>
      <c r="AM3" s="56">
        <f>INDEX(LINEST(LN(AV3:AY3),LN(AV2:AY2)),1)</f>
        <v>-7.1981039274917696E-2</v>
      </c>
      <c r="AN3" s="56">
        <f>EXP(INDEX(LINEST(LN(AV3:AY3),LN(AV2:AY2)),1,2))</f>
        <v>0.74546284318593747</v>
      </c>
      <c r="AO3" s="82">
        <f>INDEX(LINEST((AV3:AY3),LN(AV2:AY2),TRUE,TRUE),3,1)</f>
        <v>0.876476701955335</v>
      </c>
      <c r="AP3" s="82">
        <f>INDEX(LINEST((AV3:AY3),LN(AV2:AY2)),1)</f>
        <v>-5.5589602497739157E-2</v>
      </c>
      <c r="AQ3" s="83">
        <f>INDEX(LINEST(LN(AV3:AY3),SQRT(AV2:AY2),TRUE,TRUE),3,1)</f>
        <v>0.99776286288984728</v>
      </c>
      <c r="AR3" s="116">
        <f>INDEX(LINEST(LN(AV3:AY3),SQRT((AV2:AY2))),1)</f>
        <v>-0.15373093578492775</v>
      </c>
      <c r="AS3" s="84">
        <f>INDEX(LINEST(1/(AV3:AY3),1/(SQRT(AV2:AY2)),TRUE,TRUE),3,1)</f>
        <v>0.56328526146016322</v>
      </c>
      <c r="AT3" s="84">
        <f>INDEX(LINEST(1/(AV3:AY3),1/SQRT(AV2:AY2)),1)</f>
        <v>-5.9554171547200954E-2</v>
      </c>
      <c r="AU3" s="3"/>
      <c r="AV3" s="53">
        <v>1</v>
      </c>
      <c r="AW3" s="53">
        <v>0.8</v>
      </c>
      <c r="AX3" s="53">
        <v>0.65</v>
      </c>
      <c r="AY3" s="53">
        <v>0.53</v>
      </c>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1"/>
      <c r="CS3" s="1"/>
      <c r="CT3" s="1"/>
      <c r="CU3" s="1"/>
    </row>
    <row r="4" spans="1:99" s="13" customFormat="1" ht="12" customHeight="1" x14ac:dyDescent="0.2">
      <c r="A4" s="65">
        <v>43900</v>
      </c>
      <c r="B4" s="1"/>
      <c r="C4" s="1"/>
      <c r="D4" s="60"/>
      <c r="E4" s="76"/>
      <c r="F4" s="60"/>
      <c r="G4" s="60"/>
      <c r="H4" s="60"/>
      <c r="I4" s="60"/>
      <c r="J4" s="60"/>
      <c r="K4" s="64"/>
      <c r="L4" s="64"/>
      <c r="M4" s="60"/>
      <c r="N4" s="61"/>
      <c r="O4" s="60"/>
      <c r="P4" s="60"/>
      <c r="Q4" s="60"/>
      <c r="R4" s="60"/>
      <c r="S4" s="60"/>
      <c r="T4" s="60"/>
      <c r="U4" s="60"/>
      <c r="V4" s="60"/>
      <c r="W4" s="60"/>
      <c r="X4" s="60"/>
      <c r="Y4" s="76"/>
      <c r="Z4" s="60"/>
      <c r="AA4" s="60"/>
      <c r="AB4" s="60"/>
      <c r="AC4" s="56"/>
      <c r="AD4" s="60"/>
      <c r="AE4" s="60"/>
      <c r="AF4" s="80"/>
      <c r="AG4" s="56"/>
      <c r="AH4" s="4"/>
      <c r="AI4" s="56"/>
      <c r="AJ4" s="109"/>
      <c r="AK4" s="56"/>
      <c r="AL4" s="56"/>
      <c r="AM4" s="56"/>
      <c r="AN4" s="56"/>
      <c r="AO4" s="82"/>
      <c r="AP4" s="82"/>
      <c r="AQ4" s="83"/>
      <c r="AR4" s="116"/>
      <c r="AS4" s="84"/>
      <c r="AT4" s="84"/>
      <c r="AU4" s="3"/>
      <c r="AV4" s="53">
        <v>0.01</v>
      </c>
      <c r="AW4" s="25">
        <v>3</v>
      </c>
      <c r="AX4" s="25">
        <v>9</v>
      </c>
      <c r="AY4" s="25">
        <v>18</v>
      </c>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1"/>
      <c r="CS4" s="1"/>
      <c r="CT4" s="1"/>
      <c r="CU4" s="1"/>
    </row>
    <row r="5" spans="1:99" s="13" customFormat="1" ht="12" customHeight="1" x14ac:dyDescent="0.2">
      <c r="A5" s="65">
        <v>43900</v>
      </c>
      <c r="B5" s="1" t="s">
        <v>433</v>
      </c>
      <c r="C5" s="1" t="s">
        <v>434</v>
      </c>
      <c r="D5" s="60">
        <v>1984</v>
      </c>
      <c r="E5" s="76">
        <v>1</v>
      </c>
      <c r="F5" s="60">
        <v>5</v>
      </c>
      <c r="G5" s="60">
        <v>5</v>
      </c>
      <c r="H5" s="60" t="s">
        <v>41</v>
      </c>
      <c r="I5" s="60" t="s">
        <v>330</v>
      </c>
      <c r="J5" s="60" t="s">
        <v>320</v>
      </c>
      <c r="K5" s="60">
        <f>IF(J5="syllables",1,IF(J5="trigrams",2,IF(J5="strings",3,IF(J5="visual array",4,IF(J5="characters",5,IF(J5="letters",6,IF(J5="free forms",7,IF(J5="odors",8,IF(J5="words",9,IF(J5="pictures",10,IF(J5="object pictures",11,IF(J5="faces",12,IF(J5="names",13,IF(J5="idioms",14,IF(J5="grades",15,IF(J5="syllable-digit pairs",16,IF(J5="trigram-word pairs",17,IF(J5="word-digit pairs",18,IF(J5="English-Swahili pairs",19,IF(J5="spatial position",20,IF(J5="word pairs",21,IF(J5="word triads",22,IF(J5="generated words",23,IF(J5="word definition pairs",24,IF(J5="math problems",25,IF(J5="famous faces",26,IF(J5="famous names",27,IF(J5="famous voices",28,IF(J5="television programs",29,IF(J5="race horses",30,IF(J5="new vocabulary",31,IF(J5="sentences",32,IF(J5="concepts",33,IF(J5="ad slides",34,IF(J5="scenes",35,IF(J5="famous scenes",36,IF(J5="poems",37,IF(J5="walk",38,IF(J5="faces and events",39,IF(J5="events and names",40,IF(J5="flashbulb",41,IF(J5="stories",42,IF(J5="course material",43,IF(J5="autobiographical",44,IF(J5="novels",45,IF(J5="public events",46,"99"))))))))))))))))))))))))))))))))))))))))))))))</f>
        <v>21</v>
      </c>
      <c r="L5" s="60">
        <f>IF(J5="syllables",1,IF(J5="trigrams",1,IF(J5="strings",1,IF(J5="visual array",1,IF(J5="characters",1,IF(J5="letters",1,IF(J5="free forms",1,IF(J5="odors",2,IF(J5="words",2,IF(J5="pictures",2,IF(J5="object pictures",2,IF(J5="faces",2,IF(J5="names",2,IF(J5="idioms","2",IF(J5="grades",2,IF(J5="syllable-digit pairs",3,IF(J5="trigram-word pairs",3,IF(J5="word-digit pairs",3,IF(J5="English-Swahili pairs",3,IF(J5="spatial position",3,IF(J5="word pairs",4,IF(J5="word triads",4,IF(J5="generated words",4,IF(J5="word definition pairs",4,IF(J5="math problems",4,IF(J5="famous faces",4,IF(J5="famous names",4,IF(J5="famous voices",4,IF(J5="television programs",4,IF(J5="race horses",4,IF(J5="new vocabulary",4,IF(J5="sentences",5,IF(J5="concepts",5,IF(J5="ad slides",5,IF(J5="scenes",5,IF(J5="famous scenes",5,IF(J5="poems",6,IF(J5="walk",6,IF(J5="faces and events",6,IF(J5="events and names",6,IF(J5="flashbulb",7,IF(J5="stories",7,IF(J5="course material",7,IF(J5="autobiographical",7,IF(J5="novels",7,IF(J5="public events",7,"99"))))))))))))))))))))))))))))))))))))))))))))))</f>
        <v>4</v>
      </c>
      <c r="M5" s="60">
        <v>0</v>
      </c>
      <c r="N5" s="61">
        <v>1</v>
      </c>
      <c r="O5" s="60">
        <v>1</v>
      </c>
      <c r="P5" s="60" t="s">
        <v>60</v>
      </c>
      <c r="Q5" s="60" t="s">
        <v>174</v>
      </c>
      <c r="R5" s="60">
        <f>IF(Q5="Free Recall",1,IF(Q5="Cued Recall",2,IF(Q5="Recognition",3,IF(Q5="Multiple Choice",4,IF(Q5="Savings",5,IF(Q5="Stem Completion",6,IF(Q5="Fragment Completion",7,IF(Q5="anagram solution",8,IF(Q5="Matching",9,IF(Q5="Problem Solving",10,"99"))))))))))</f>
        <v>1</v>
      </c>
      <c r="S5" s="60" t="s">
        <v>49</v>
      </c>
      <c r="T5" s="59" t="s">
        <v>581</v>
      </c>
      <c r="U5" s="60">
        <f>IF(T5="within",1,0)</f>
        <v>1</v>
      </c>
      <c r="V5" s="59">
        <v>48</v>
      </c>
      <c r="W5" s="60">
        <f>F5*V5</f>
        <v>240</v>
      </c>
      <c r="X5" s="60">
        <v>4</v>
      </c>
      <c r="Y5" s="76">
        <f>AV4</f>
        <v>0.01</v>
      </c>
      <c r="Z5" s="60" t="s">
        <v>28</v>
      </c>
      <c r="AA5" s="60">
        <v>18</v>
      </c>
      <c r="AB5" s="60" t="str">
        <f>IF(AA5&lt;60,"1",IF(AA5&lt;=43200,"2",IF(AA5&lt;=777600,"3","4")))</f>
        <v>1</v>
      </c>
      <c r="AC5" s="56">
        <f>AVERAGE(AV4:DA4)</f>
        <v>7.5024999999999995</v>
      </c>
      <c r="AD5" s="60" t="str">
        <f>IF(AC5&lt;60,"1",IF(AC5&lt;=43200,"2",IF(AC5&lt;=777600,"3","4")))</f>
        <v>1</v>
      </c>
      <c r="AE5" s="76">
        <f>AA5-Y5</f>
        <v>17.989999999999998</v>
      </c>
      <c r="AF5" s="80">
        <f>AV5</f>
        <v>1</v>
      </c>
      <c r="AG5" s="56">
        <f>((AW5-AV5)+(AX5-AW5)+(AY5-AX5))/3</f>
        <v>-0.16666666666666666</v>
      </c>
      <c r="AH5" s="4"/>
      <c r="AI5" s="56">
        <f>RSQ(AV5:AY5,AV4:AY4)</f>
        <v>0.82321081691019249</v>
      </c>
      <c r="AJ5" s="109">
        <f>SLOPE(AV5:AY5,AV4:AY4)</f>
        <v>-2.8420692975631597E-2</v>
      </c>
      <c r="AK5" s="56">
        <f>INTERCEPT(AV5:AY5,AV4:AY4)</f>
        <v>0.93822624904967611</v>
      </c>
      <c r="AL5" s="56">
        <f>INDEX(LINEST(LN(AV5:AY5),LN(AV4:AY4),TRUE,TRUE),3,1)</f>
        <v>0.69231883156627849</v>
      </c>
      <c r="AM5" s="56">
        <f>INDEX(LINEST(LN(AV5:AY5),LN(AV4:AY4)),1)</f>
        <v>-8.496760624742665E-2</v>
      </c>
      <c r="AN5" s="56">
        <f>EXP(INDEX(LINEST(LN(AV5:AY5),LN(AV4:AY4)),1,2))</f>
        <v>0.71659989744922648</v>
      </c>
      <c r="AO5" s="82">
        <f>INDEX(LINEST((AV5:AY5),LN(AV4:AY4),TRUE,TRUE),3,1)</f>
        <v>0.73735221139841056</v>
      </c>
      <c r="AP5" s="82">
        <f>INDEX(LINEST((AV5:AY5),LN(AV4:AY4)),1)</f>
        <v>-6.2505328973163396E-2</v>
      </c>
      <c r="AQ5" s="83">
        <f>INDEX(LINEST(LN(AV5:AY5),SQRT(AV4:AY4),TRUE,TRUE),3,1)</f>
        <v>0.89922301413602379</v>
      </c>
      <c r="AR5" s="116">
        <f>INDEX(LINEST(LN(AV5:AY5),SQRT((AV4:AY4))),1)</f>
        <v>-0.18655601256398813</v>
      </c>
      <c r="AS5" s="84">
        <f>INDEX(LINEST(1/(AV5:AY5),1/(SQRT(AV4:AY4)),TRUE,TRUE),3,1)</f>
        <v>0.4768491760753098</v>
      </c>
      <c r="AT5" s="84">
        <f>INDEX(LINEST(1/(AV5:AY5),1/SQRT(AV4:AY4)),1)</f>
        <v>-7.2819435441807689E-2</v>
      </c>
      <c r="AU5" s="3"/>
      <c r="AV5" s="53">
        <v>1</v>
      </c>
      <c r="AW5" s="53">
        <v>0.87</v>
      </c>
      <c r="AX5" s="53">
        <v>0.53</v>
      </c>
      <c r="AY5" s="53">
        <v>0.5</v>
      </c>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1"/>
      <c r="CS5" s="1"/>
      <c r="CT5" s="1"/>
      <c r="CU5" s="1"/>
    </row>
    <row r="6" spans="1:99" s="13" customFormat="1" ht="12" customHeight="1" x14ac:dyDescent="0.2">
      <c r="A6" s="65">
        <v>43902</v>
      </c>
      <c r="B6" s="1"/>
      <c r="C6" s="1"/>
      <c r="D6" s="60"/>
      <c r="E6" s="76"/>
      <c r="F6" s="60"/>
      <c r="G6" s="60"/>
      <c r="H6" s="60"/>
      <c r="I6" s="60"/>
      <c r="J6" s="60"/>
      <c r="K6" s="64"/>
      <c r="L6" s="64"/>
      <c r="M6" s="60"/>
      <c r="N6" s="60"/>
      <c r="O6" s="60"/>
      <c r="P6" s="60"/>
      <c r="Q6" s="60"/>
      <c r="R6" s="60"/>
      <c r="S6" s="60"/>
      <c r="T6" s="60"/>
      <c r="U6" s="60"/>
      <c r="V6" s="60"/>
      <c r="W6" s="60"/>
      <c r="X6" s="60"/>
      <c r="Y6" s="76"/>
      <c r="Z6" s="60"/>
      <c r="AA6" s="60"/>
      <c r="AB6" s="60"/>
      <c r="AC6" s="56"/>
      <c r="AD6" s="60"/>
      <c r="AE6" s="60"/>
      <c r="AF6" s="80"/>
      <c r="AG6" s="56"/>
      <c r="AH6" s="4"/>
      <c r="AI6" s="56"/>
      <c r="AJ6" s="109"/>
      <c r="AK6" s="56"/>
      <c r="AL6" s="56"/>
      <c r="AM6" s="56"/>
      <c r="AN6" s="56"/>
      <c r="AO6" s="82"/>
      <c r="AP6" s="82"/>
      <c r="AQ6" s="83"/>
      <c r="AR6" s="116"/>
      <c r="AS6" s="84"/>
      <c r="AT6" s="84"/>
      <c r="AU6" s="3"/>
      <c r="AV6" s="53">
        <v>0.01</v>
      </c>
      <c r="AW6" s="25">
        <v>3</v>
      </c>
      <c r="AX6" s="25">
        <v>9</v>
      </c>
      <c r="AY6" s="25">
        <v>18</v>
      </c>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1"/>
      <c r="CS6" s="1"/>
      <c r="CT6" s="1"/>
      <c r="CU6" s="1"/>
    </row>
    <row r="7" spans="1:99" s="13" customFormat="1" ht="12" customHeight="1" x14ac:dyDescent="0.2">
      <c r="A7" s="65">
        <v>43902</v>
      </c>
      <c r="B7" s="1" t="s">
        <v>464</v>
      </c>
      <c r="C7" s="1" t="s">
        <v>465</v>
      </c>
      <c r="D7" s="60">
        <v>1977</v>
      </c>
      <c r="E7" s="76">
        <v>1</v>
      </c>
      <c r="F7" s="60">
        <v>28</v>
      </c>
      <c r="G7" s="60">
        <v>28</v>
      </c>
      <c r="H7" s="60" t="s">
        <v>466</v>
      </c>
      <c r="I7" s="60" t="s">
        <v>330</v>
      </c>
      <c r="J7" s="60" t="s">
        <v>443</v>
      </c>
      <c r="K7" s="60">
        <f>IF(J7="syllables",1,IF(J7="trigrams",2,IF(J7="strings",3,IF(J7="visual array",4,IF(J7="characters",5,IF(J7="letters",6,IF(J7="free forms",7,IF(J7="odors",8,IF(J7="words",9,IF(J7="pictures",10,IF(J7="object pictures",11,IF(J7="faces",12,IF(J7="names",13,IF(J7="idioms",14,IF(J7="grades",15,IF(J7="syllable-digit pairs",16,IF(J7="trigram-word pairs",17,IF(J7="word-digit pairs",18,IF(J7="English-Swahili pairs",19,IF(J7="spatial position",20,IF(J7="word pairs",21,IF(J7="word triads",22,IF(J7="generated words",23,IF(J7="word definition pairs",24,IF(J7="math problems",25,IF(J7="famous faces",26,IF(J7="famous names",27,IF(J7="famous voices",28,IF(J7="television programs",29,IF(J7="race horses",30,IF(J7="new vocabulary",31,IF(J7="sentences",32,IF(J7="concepts",33,IF(J7="ad slides",34,IF(J7="scenes",35,IF(J7="famous scenes",36,IF(J7="poems",37,IF(J7="walk",38,IF(J7="faces and events",39,IF(J7="events and names",40,IF(J7="flashbulb",41,IF(J7="stories",42,IF(J7="course material",43,IF(J7="autobiographical",44,IF(J7="novels",45,IF(J7="public events",46,"99"))))))))))))))))))))))))))))))))))))))))))))))</f>
        <v>2</v>
      </c>
      <c r="L7" s="60">
        <f>IF(J7="syllables",1,IF(J7="trigrams",1,IF(J7="strings",1,IF(J7="visual array",1,IF(J7="characters",1,IF(J7="letters",1,IF(J7="free forms",1,IF(J7="odors",2,IF(J7="words",2,IF(J7="pictures",2,IF(J7="object pictures",2,IF(J7="faces",2,IF(J7="names",2,IF(J7="idioms","2",IF(J7="grades",2,IF(J7="syllable-digit pairs",3,IF(J7="trigram-word pairs",3,IF(J7="word-digit pairs",3,IF(J7="English-Swahili pairs",3,IF(J7="spatial position",3,IF(J7="word pairs",4,IF(J7="word triads",4,IF(J7="generated words",4,IF(J7="word definition pairs",4,IF(J7="math problems",4,IF(J7="famous faces",4,IF(J7="famous names",4,IF(J7="famous voices",4,IF(J7="television programs",4,IF(J7="race horses",4,IF(J7="new vocabulary",4,IF(J7="sentences",5,IF(J7="concepts",5,IF(J7="ad slides",5,IF(J7="scenes",5,IF(J7="famous scenes",5,IF(J7="poems",6,IF(J7="walk",6,IF(J7="faces and events",6,IF(J7="events and names",6,IF(J7="flashbulb",7,IF(J7="stories",7,IF(J7="course material",7,IF(J7="autobiographical",7,IF(J7="novels",7,IF(J7="public events",7,"99"))))))))))))))))))))))))))))))))))))))))))))))</f>
        <v>1</v>
      </c>
      <c r="M7" s="60">
        <v>0</v>
      </c>
      <c r="N7" s="60">
        <v>1</v>
      </c>
      <c r="O7" s="60">
        <v>1</v>
      </c>
      <c r="P7" s="60" t="s">
        <v>60</v>
      </c>
      <c r="Q7" s="60" t="s">
        <v>174</v>
      </c>
      <c r="R7" s="60">
        <f>IF(Q7="Free Recall",1,IF(Q7="Cued Recall",2,IF(Q7="Recognition",3,IF(Q7="Multiple Choice",4,IF(Q7="Savings",5,IF(Q7="Stem Completion",6,IF(Q7="Fragment Completion",7,IF(Q7="anagram solution",8,IF(Q7="Matching",9,IF(Q7="Problem Solving",10,"99"))))))))))</f>
        <v>1</v>
      </c>
      <c r="S7" s="60" t="s">
        <v>49</v>
      </c>
      <c r="T7" s="59" t="s">
        <v>581</v>
      </c>
      <c r="U7" s="60">
        <f>IF(T7="within",1,0)</f>
        <v>1</v>
      </c>
      <c r="V7" s="59">
        <v>48</v>
      </c>
      <c r="W7" s="60">
        <f>F7*V7</f>
        <v>1344</v>
      </c>
      <c r="X7" s="60">
        <v>4</v>
      </c>
      <c r="Y7" s="76">
        <f>AV6</f>
        <v>0.01</v>
      </c>
      <c r="Z7" s="60" t="s">
        <v>28</v>
      </c>
      <c r="AA7" s="60">
        <v>18</v>
      </c>
      <c r="AB7" s="60" t="str">
        <f>IF(AA7&lt;60,"1",IF(AA7&lt;=43200,"2",IF(AA7&lt;=777600,"3","4")))</f>
        <v>1</v>
      </c>
      <c r="AC7" s="56">
        <f>AVERAGE(AV6:AZ6)</f>
        <v>7.5024999999999995</v>
      </c>
      <c r="AD7" s="60" t="str">
        <f>IF(AC7&lt;60,"1",IF(AC7&lt;=43200,"2",IF(AC7&lt;=777600,"3","4")))</f>
        <v>1</v>
      </c>
      <c r="AE7" s="76">
        <f>AA7-Y7</f>
        <v>17.989999999999998</v>
      </c>
      <c r="AF7" s="80">
        <f>AV7</f>
        <v>1</v>
      </c>
      <c r="AG7" s="56">
        <f>((AW7-AV7)+(AX7-AW7)+(AY7-AX7))/3</f>
        <v>-0.17</v>
      </c>
      <c r="AH7" s="4"/>
      <c r="AI7" s="56">
        <f>RSQ(AV7:AY7,AV6:AY6)</f>
        <v>0.89511913249592545</v>
      </c>
      <c r="AJ7" s="109">
        <f>SLOPE(AV7:AY7,AV6:AY6)</f>
        <v>-2.6990987427460648E-2</v>
      </c>
      <c r="AK7" s="56">
        <f>INTERCEPT(AV7:AY7,AV6:AY6)</f>
        <v>0.92749988317452359</v>
      </c>
      <c r="AL7" s="56">
        <f>INDEX(LINEST(LN(AV7:AY7),LN(AV6:AY6),TRUE,TRUE),3,1)</f>
        <v>0.77476903436801114</v>
      </c>
      <c r="AM7" s="56">
        <f>INDEX(LINEST(LN(AV7:AY7),LN(AV6:AY6)),1)</f>
        <v>-8.1454200435717647E-2</v>
      </c>
      <c r="AN7" s="56">
        <f>EXP(INDEX(LINEST(LN(AV7:AY7),LN(AV6:AY6)),1,2))</f>
        <v>0.72142375625726163</v>
      </c>
      <c r="AO7" s="82">
        <f>INDEX(LINEST((AV7:AY7),LN(AV6:AY6),TRUE,TRUE),3,1)</f>
        <v>0.84162046802225976</v>
      </c>
      <c r="AP7" s="82">
        <f>INDEX(LINEST((AV7:AY7),LN(AV6:AY6)),1)</f>
        <v>-6.0818670226560859E-2</v>
      </c>
      <c r="AQ7" s="83">
        <f>INDEX(LINEST(LN(AV7:AY7),SQRT(AV6:AY6),TRUE,TRUE),3,1)</f>
        <v>0.98669896099174692</v>
      </c>
      <c r="AR7" s="116">
        <f>INDEX(LINEST(LN(AV7:AY7),SQRT((AV6:AY6))),1)</f>
        <v>-0.17709036216943869</v>
      </c>
      <c r="AS7" s="84">
        <f>INDEX(LINEST(1/(AV7:AY7),1/(SQRT(AV6:AY6)),TRUE,TRUE),3,1)</f>
        <v>0.52042815649676888</v>
      </c>
      <c r="AT7" s="84">
        <f>INDEX(LINEST(1/(AV7:AY7),1/SQRT(AV6:AY6)),1)</f>
        <v>-6.9250756582528231E-2</v>
      </c>
      <c r="AU7" s="3"/>
      <c r="AV7" s="53">
        <v>1</v>
      </c>
      <c r="AW7" s="53">
        <v>0.81</v>
      </c>
      <c r="AX7" s="53">
        <v>0.6</v>
      </c>
      <c r="AY7" s="53">
        <v>0.49</v>
      </c>
      <c r="AZ7" s="53"/>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53"/>
      <c r="CI7" s="53"/>
      <c r="CJ7" s="53"/>
      <c r="CK7" s="53"/>
      <c r="CL7" s="53"/>
      <c r="CM7" s="53"/>
      <c r="CN7" s="53"/>
      <c r="CO7" s="53"/>
      <c r="CP7" s="53"/>
      <c r="CQ7" s="53"/>
      <c r="CR7" s="1"/>
      <c r="CS7" s="1"/>
      <c r="CT7" s="1"/>
      <c r="CU7" s="1"/>
    </row>
    <row r="8" spans="1:99" s="13" customFormat="1" ht="12" customHeight="1" x14ac:dyDescent="0.2">
      <c r="A8" s="65">
        <v>43902</v>
      </c>
      <c r="B8" s="1"/>
      <c r="C8" s="1"/>
      <c r="D8" s="60"/>
      <c r="E8" s="76"/>
      <c r="F8" s="60"/>
      <c r="G8" s="60"/>
      <c r="H8" s="60"/>
      <c r="I8" s="60"/>
      <c r="J8" s="60"/>
      <c r="K8" s="64"/>
      <c r="L8" s="64"/>
      <c r="M8" s="60"/>
      <c r="N8" s="60"/>
      <c r="O8" s="60"/>
      <c r="P8" s="60"/>
      <c r="Q8" s="60"/>
      <c r="R8" s="60"/>
      <c r="S8" s="60"/>
      <c r="T8" s="60"/>
      <c r="U8" s="60"/>
      <c r="V8" s="60"/>
      <c r="W8" s="60"/>
      <c r="X8" s="60"/>
      <c r="Y8" s="76"/>
      <c r="Z8" s="60"/>
      <c r="AA8" s="60"/>
      <c r="AB8" s="60"/>
      <c r="AC8" s="56"/>
      <c r="AD8" s="60"/>
      <c r="AE8" s="60"/>
      <c r="AF8" s="80"/>
      <c r="AG8" s="56"/>
      <c r="AH8" s="4"/>
      <c r="AI8" s="56"/>
      <c r="AJ8" s="109"/>
      <c r="AK8" s="56"/>
      <c r="AL8" s="56"/>
      <c r="AM8" s="56"/>
      <c r="AN8" s="56"/>
      <c r="AO8" s="82"/>
      <c r="AP8" s="82"/>
      <c r="AQ8" s="83"/>
      <c r="AR8" s="116"/>
      <c r="AS8" s="84"/>
      <c r="AT8" s="84"/>
      <c r="AU8" s="3"/>
      <c r="AV8" s="53">
        <v>0.01</v>
      </c>
      <c r="AW8" s="25">
        <v>3</v>
      </c>
      <c r="AX8" s="25">
        <v>9</v>
      </c>
      <c r="AY8" s="25">
        <v>18</v>
      </c>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c r="CP8" s="53"/>
      <c r="CQ8" s="53"/>
      <c r="CR8" s="1"/>
      <c r="CS8" s="1"/>
      <c r="CT8" s="1"/>
      <c r="CU8" s="1"/>
    </row>
    <row r="9" spans="1:99" s="13" customFormat="1" ht="12" customHeight="1" x14ac:dyDescent="0.2">
      <c r="A9" s="65">
        <v>43902</v>
      </c>
      <c r="B9" s="1" t="s">
        <v>464</v>
      </c>
      <c r="C9" s="1" t="s">
        <v>465</v>
      </c>
      <c r="D9" s="60">
        <v>1977</v>
      </c>
      <c r="E9" s="76">
        <v>1</v>
      </c>
      <c r="F9" s="60">
        <v>28</v>
      </c>
      <c r="G9" s="60">
        <v>28</v>
      </c>
      <c r="H9" s="60" t="s">
        <v>467</v>
      </c>
      <c r="I9" s="60" t="s">
        <v>330</v>
      </c>
      <c r="J9" s="60" t="s">
        <v>443</v>
      </c>
      <c r="K9" s="60">
        <f>IF(J9="syllables",1,IF(J9="trigrams",2,IF(J9="strings",3,IF(J9="visual array",4,IF(J9="characters",5,IF(J9="letters",6,IF(J9="free forms",7,IF(J9="odors",8,IF(J9="words",9,IF(J9="pictures",10,IF(J9="object pictures",11,IF(J9="faces",12,IF(J9="names",13,IF(J9="idioms",14,IF(J9="grades",15,IF(J9="syllable-digit pairs",16,IF(J9="trigram-word pairs",17,IF(J9="word-digit pairs",18,IF(J9="English-Swahili pairs",19,IF(J9="spatial position",20,IF(J9="word pairs",21,IF(J9="word triads",22,IF(J9="generated words",23,IF(J9="word definition pairs",24,IF(J9="math problems",25,IF(J9="famous faces",26,IF(J9="famous names",27,IF(J9="famous voices",28,IF(J9="television programs",29,IF(J9="race horses",30,IF(J9="new vocabulary",31,IF(J9="sentences",32,IF(J9="concepts",33,IF(J9="ad slides",34,IF(J9="scenes",35,IF(J9="famous scenes",36,IF(J9="poems",37,IF(J9="walk",38,IF(J9="faces and events",39,IF(J9="events and names",40,IF(J9="flashbulb",41,IF(J9="stories",42,IF(J9="course material",43,IF(J9="autobiographical",44,IF(J9="novels",45,IF(J9="public events",46,"99"))))))))))))))))))))))))))))))))))))))))))))))</f>
        <v>2</v>
      </c>
      <c r="L9" s="60">
        <f>IF(J9="syllables",1,IF(J9="trigrams",1,IF(J9="strings",1,IF(J9="visual array",1,IF(J9="characters",1,IF(J9="letters",1,IF(J9="free forms",1,IF(J9="odors",2,IF(J9="words",2,IF(J9="pictures",2,IF(J9="object pictures",2,IF(J9="faces",2,IF(J9="names",2,IF(J9="idioms","2",IF(J9="grades",2,IF(J9="syllable-digit pairs",3,IF(J9="trigram-word pairs",3,IF(J9="word-digit pairs",3,IF(J9="English-Swahili pairs",3,IF(J9="spatial position",3,IF(J9="word pairs",4,IF(J9="word triads",4,IF(J9="generated words",4,IF(J9="word definition pairs",4,IF(J9="math problems",4,IF(J9="famous faces",4,IF(J9="famous names",4,IF(J9="famous voices",4,IF(J9="television programs",4,IF(J9="race horses",4,IF(J9="new vocabulary",4,IF(J9="sentences",5,IF(J9="concepts",5,IF(J9="ad slides",5,IF(J9="scenes",5,IF(J9="famous scenes",5,IF(J9="poems",6,IF(J9="walk",6,IF(J9="faces and events",6,IF(J9="events and names",6,IF(J9="flashbulb",7,IF(J9="stories",7,IF(J9="course material",7,IF(J9="autobiographical",7,IF(J9="novels",7,IF(J9="public events",7,"99"))))))))))))))))))))))))))))))))))))))))))))))</f>
        <v>1</v>
      </c>
      <c r="M9" s="60">
        <v>0</v>
      </c>
      <c r="N9" s="60">
        <v>1</v>
      </c>
      <c r="O9" s="60">
        <v>1</v>
      </c>
      <c r="P9" s="60" t="s">
        <v>60</v>
      </c>
      <c r="Q9" s="60" t="s">
        <v>174</v>
      </c>
      <c r="R9" s="60">
        <f>IF(Q9="Free Recall",1,IF(Q9="Cued Recall",2,IF(Q9="Recognition",3,IF(Q9="Multiple Choice",4,IF(Q9="Savings",5,IF(Q9="Stem Completion",6,IF(Q9="Fragment Completion",7,IF(Q9="anagram solution",8,IF(Q9="Matching",9,IF(Q9="Problem Solving",10,"99"))))))))))</f>
        <v>1</v>
      </c>
      <c r="S9" s="60" t="s">
        <v>49</v>
      </c>
      <c r="T9" s="59" t="s">
        <v>581</v>
      </c>
      <c r="U9" s="60">
        <f>IF(T9="within",1,0)</f>
        <v>1</v>
      </c>
      <c r="V9" s="59">
        <v>48</v>
      </c>
      <c r="W9" s="60">
        <f>F9*V9</f>
        <v>1344</v>
      </c>
      <c r="X9" s="60">
        <v>4</v>
      </c>
      <c r="Y9" s="76">
        <f>AV8</f>
        <v>0.01</v>
      </c>
      <c r="Z9" s="60" t="s">
        <v>28</v>
      </c>
      <c r="AA9" s="60">
        <v>18</v>
      </c>
      <c r="AB9" s="60" t="str">
        <f>IF(AA9&lt;60,"1",IF(AA9&lt;=43200,"2",IF(AA9&lt;=777600,"3","4")))</f>
        <v>1</v>
      </c>
      <c r="AC9" s="56">
        <f>AVERAGE(AV8:AZ8)</f>
        <v>7.5024999999999995</v>
      </c>
      <c r="AD9" s="60" t="str">
        <f>IF(AC9&lt;60,"1",IF(AC9&lt;=43200,"2",IF(AC9&lt;=777600,"3","4")))</f>
        <v>1</v>
      </c>
      <c r="AE9" s="76">
        <f>AA9-Y9</f>
        <v>17.989999999999998</v>
      </c>
      <c r="AF9" s="80">
        <f>AV9</f>
        <v>1</v>
      </c>
      <c r="AG9" s="56">
        <f>((AW9-AV9)+(AX9-AW9)+(AY9-AX9))/3</f>
        <v>-0.10666666666666665</v>
      </c>
      <c r="AH9" s="4"/>
      <c r="AI9" s="56">
        <f>RSQ(AV9:AY9,AV8:AY8)</f>
        <v>0.95663135595824877</v>
      </c>
      <c r="AJ9" s="109">
        <f>SLOPE(AV9:AY9,AV8:AY8)</f>
        <v>-1.7386410887048891E-2</v>
      </c>
      <c r="AK9" s="56">
        <f>INTERCEPT(AV9:AY9,AV8:AY8)</f>
        <v>0.97294154768008445</v>
      </c>
      <c r="AL9" s="56">
        <f>INDEX(LINEST(LN(AV9:AY9),LN(AV8:AY8),TRUE,TRUE),3,1)</f>
        <v>0.71875870623120364</v>
      </c>
      <c r="AM9" s="56">
        <f>INDEX(LINEST(LN(AV9:AY9),LN(AV8:AY8)),1)</f>
        <v>-4.2214846046604866E-2</v>
      </c>
      <c r="AN9" s="56">
        <f>EXP(INDEX(LINEST(LN(AV9:AY9),LN(AV8:AY8)),1,2))</f>
        <v>0.84753528503648679</v>
      </c>
      <c r="AO9" s="82">
        <f>INDEX(LINEST((AV9:AY9),LN(AV8:AY8),TRUE,TRUE),3,1)</f>
        <v>0.75852492022042761</v>
      </c>
      <c r="AP9" s="82">
        <f>INDEX(LINEST((AV9:AY9),LN(AV8:AY8)),1)</f>
        <v>-3.5976837340382359E-2</v>
      </c>
      <c r="AQ9" s="83">
        <f>INDEX(LINEST(LN(AV9:AY9),SQRT(AV8:AY8),TRUE,TRUE),3,1)</f>
        <v>0.97470407769307743</v>
      </c>
      <c r="AR9" s="116">
        <f>INDEX(LINEST(LN(AV9:AY9),SQRT((AV8:AY8))),1)</f>
        <v>-9.4707696817467033E-2</v>
      </c>
      <c r="AS9" s="84">
        <f>INDEX(LINEST(1/(AV9:AY9),1/(SQRT(AV8:AY8)),TRUE,TRUE),3,1)</f>
        <v>0.49547239935680004</v>
      </c>
      <c r="AT9" s="84">
        <f>INDEX(LINEST(1/(AV9:AY9),1/SQRT(AV8:AY8)),1)</f>
        <v>-3.0398592532204352E-2</v>
      </c>
      <c r="AU9" s="3"/>
      <c r="AV9" s="53">
        <v>1</v>
      </c>
      <c r="AW9" s="53">
        <v>0.91</v>
      </c>
      <c r="AX9" s="53">
        <v>0.78</v>
      </c>
      <c r="AY9" s="53">
        <v>0.68</v>
      </c>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c r="CP9" s="53"/>
      <c r="CQ9" s="53"/>
      <c r="CR9" s="1"/>
      <c r="CS9" s="1"/>
      <c r="CT9" s="1"/>
      <c r="CU9" s="1"/>
    </row>
    <row r="10" spans="1:99" s="13" customFormat="1" ht="12" customHeight="1" x14ac:dyDescent="0.2">
      <c r="A10" s="65">
        <v>43902</v>
      </c>
      <c r="B10" s="1"/>
      <c r="C10" s="1"/>
      <c r="D10" s="60"/>
      <c r="E10" s="76"/>
      <c r="F10" s="60"/>
      <c r="G10" s="60"/>
      <c r="H10" s="60"/>
      <c r="I10" s="60"/>
      <c r="J10" s="60"/>
      <c r="K10" s="64"/>
      <c r="L10" s="64"/>
      <c r="M10" s="60"/>
      <c r="N10" s="60"/>
      <c r="O10" s="60"/>
      <c r="P10" s="60"/>
      <c r="Q10" s="60"/>
      <c r="R10" s="60"/>
      <c r="S10" s="60"/>
      <c r="T10" s="60"/>
      <c r="U10" s="60"/>
      <c r="V10" s="60"/>
      <c r="W10" s="60"/>
      <c r="X10" s="60"/>
      <c r="Y10" s="76"/>
      <c r="Z10" s="60"/>
      <c r="AA10" s="60"/>
      <c r="AB10" s="60"/>
      <c r="AC10" s="56"/>
      <c r="AD10" s="60"/>
      <c r="AE10" s="60"/>
      <c r="AF10" s="80"/>
      <c r="AG10" s="56"/>
      <c r="AH10" s="4"/>
      <c r="AI10" s="56"/>
      <c r="AJ10" s="109"/>
      <c r="AK10" s="56"/>
      <c r="AL10" s="56"/>
      <c r="AM10" s="56"/>
      <c r="AN10" s="56"/>
      <c r="AO10" s="82"/>
      <c r="AP10" s="82"/>
      <c r="AQ10" s="83"/>
      <c r="AR10" s="116"/>
      <c r="AS10" s="84"/>
      <c r="AT10" s="84"/>
      <c r="AU10" s="3"/>
      <c r="AV10" s="53">
        <v>0.01</v>
      </c>
      <c r="AW10" s="25">
        <v>9</v>
      </c>
      <c r="AX10" s="25">
        <v>18</v>
      </c>
      <c r="AY10" s="25">
        <v>36</v>
      </c>
      <c r="AZ10" s="53"/>
      <c r="BA10" s="53"/>
      <c r="BB10" s="53"/>
      <c r="BC10" s="53"/>
      <c r="BD10" s="53"/>
      <c r="BE10" s="53"/>
      <c r="BF10" s="53"/>
      <c r="BG10" s="53"/>
      <c r="BH10" s="53"/>
      <c r="BI10" s="53"/>
      <c r="BJ10" s="53"/>
      <c r="BK10" s="53"/>
      <c r="BL10" s="53"/>
      <c r="BM10" s="53"/>
      <c r="BN10" s="53"/>
      <c r="BO10" s="53"/>
      <c r="BP10" s="53"/>
      <c r="BQ10" s="53"/>
      <c r="BR10" s="53"/>
      <c r="BS10" s="53"/>
      <c r="BT10" s="53"/>
      <c r="BU10" s="53"/>
      <c r="BV10" s="53"/>
      <c r="BW10" s="53"/>
      <c r="BX10" s="53"/>
      <c r="BY10" s="53"/>
      <c r="BZ10" s="53"/>
      <c r="CA10" s="53"/>
      <c r="CB10" s="53"/>
      <c r="CC10" s="53"/>
      <c r="CD10" s="53"/>
      <c r="CE10" s="53"/>
      <c r="CF10" s="53"/>
      <c r="CG10" s="53"/>
      <c r="CH10" s="53"/>
      <c r="CI10" s="53"/>
      <c r="CJ10" s="53"/>
      <c r="CK10" s="53"/>
      <c r="CL10" s="53"/>
      <c r="CM10" s="53"/>
      <c r="CN10" s="53"/>
      <c r="CO10" s="53"/>
      <c r="CP10" s="53"/>
      <c r="CQ10" s="53"/>
      <c r="CR10" s="1"/>
      <c r="CS10" s="1"/>
      <c r="CT10" s="1"/>
      <c r="CU10" s="1"/>
    </row>
    <row r="11" spans="1:99" s="13" customFormat="1" ht="12" customHeight="1" x14ac:dyDescent="0.2">
      <c r="A11" s="65">
        <v>43902</v>
      </c>
      <c r="B11" s="1" t="s">
        <v>464</v>
      </c>
      <c r="C11" s="1" t="s">
        <v>465</v>
      </c>
      <c r="D11" s="60">
        <v>1977</v>
      </c>
      <c r="E11" s="76">
        <v>1</v>
      </c>
      <c r="F11" s="60">
        <v>25</v>
      </c>
      <c r="G11" s="60">
        <v>25</v>
      </c>
      <c r="H11" s="60" t="s">
        <v>468</v>
      </c>
      <c r="I11" s="60" t="s">
        <v>330</v>
      </c>
      <c r="J11" s="60" t="s">
        <v>443</v>
      </c>
      <c r="K11" s="60">
        <f>IF(J11="syllables",1,IF(J11="trigrams",2,IF(J11="strings",3,IF(J11="visual array",4,IF(J11="characters",5,IF(J11="letters",6,IF(J11="free forms",7,IF(J11="odors",8,IF(J11="words",9,IF(J11="pictures",10,IF(J11="object pictures",11,IF(J11="faces",12,IF(J11="names",13,IF(J11="idioms",14,IF(J11="grades",15,IF(J11="syllable-digit pairs",16,IF(J11="trigram-word pairs",17,IF(J11="word-digit pairs",18,IF(J11="English-Swahili pairs",19,IF(J11="spatial position",20,IF(J11="word pairs",21,IF(J11="word triads",22,IF(J11="generated words",23,IF(J11="word definition pairs",24,IF(J11="math problems",25,IF(J11="famous faces",26,IF(J11="famous names",27,IF(J11="famous voices",28,IF(J11="television programs",29,IF(J11="race horses",30,IF(J11="new vocabulary",31,IF(J11="sentences",32,IF(J11="concepts",33,IF(J11="ad slides",34,IF(J11="scenes",35,IF(J11="famous scenes",36,IF(J11="poems",37,IF(J11="walk",38,IF(J11="faces and events",39,IF(J11="events and names",40,IF(J11="flashbulb",41,IF(J11="stories",42,IF(J11="course material",43,IF(J11="autobiographical",44,IF(J11="novels",45,IF(J11="public events",46,"99"))))))))))))))))))))))))))))))))))))))))))))))</f>
        <v>2</v>
      </c>
      <c r="L11" s="60">
        <f>IF(J11="syllables",1,IF(J11="trigrams",1,IF(J11="strings",1,IF(J11="visual array",1,IF(J11="characters",1,IF(J11="letters",1,IF(J11="free forms",1,IF(J11="odors",2,IF(J11="words",2,IF(J11="pictures",2,IF(J11="object pictures",2,IF(J11="faces",2,IF(J11="names",2,IF(J11="idioms","2",IF(J11="grades",2,IF(J11="syllable-digit pairs",3,IF(J11="trigram-word pairs",3,IF(J11="word-digit pairs",3,IF(J11="English-Swahili pairs",3,IF(J11="spatial position",3,IF(J11="word pairs",4,IF(J11="word triads",4,IF(J11="generated words",4,IF(J11="word definition pairs",4,IF(J11="math problems",4,IF(J11="famous faces",4,IF(J11="famous names",4,IF(J11="famous voices",4,IF(J11="television programs",4,IF(J11="race horses",4,IF(J11="new vocabulary",4,IF(J11="sentences",5,IF(J11="concepts",5,IF(J11="ad slides",5,IF(J11="scenes",5,IF(J11="famous scenes",5,IF(J11="poems",6,IF(J11="walk",6,IF(J11="faces and events",6,IF(J11="events and names",6,IF(J11="flashbulb",7,IF(J11="stories",7,IF(J11="course material",7,IF(J11="autobiographical",7,IF(J11="novels",7,IF(J11="public events",7,"99"))))))))))))))))))))))))))))))))))))))))))))))</f>
        <v>1</v>
      </c>
      <c r="M11" s="60">
        <v>0</v>
      </c>
      <c r="N11" s="60">
        <v>1</v>
      </c>
      <c r="O11" s="60">
        <v>1</v>
      </c>
      <c r="P11" s="60" t="s">
        <v>60</v>
      </c>
      <c r="Q11" s="60" t="s">
        <v>174</v>
      </c>
      <c r="R11" s="60">
        <f>IF(Q11="Free Recall",1,IF(Q11="Cued Recall",2,IF(Q11="Recognition",3,IF(Q11="Multiple Choice",4,IF(Q11="Savings",5,IF(Q11="Stem Completion",6,IF(Q11="Fragment Completion",7,IF(Q11="anagram solution",8,IF(Q11="Matching",9,IF(Q11="Problem Solving",10,"99"))))))))))</f>
        <v>1</v>
      </c>
      <c r="S11" s="60" t="s">
        <v>49</v>
      </c>
      <c r="T11" s="59" t="s">
        <v>581</v>
      </c>
      <c r="U11" s="60">
        <f>IF(T11="within",1,0)</f>
        <v>1</v>
      </c>
      <c r="V11" s="59">
        <v>48</v>
      </c>
      <c r="W11" s="60">
        <f>F11*V11</f>
        <v>1200</v>
      </c>
      <c r="X11" s="60">
        <v>4</v>
      </c>
      <c r="Y11" s="76">
        <f>AV10</f>
        <v>0.01</v>
      </c>
      <c r="Z11" s="60" t="s">
        <v>470</v>
      </c>
      <c r="AA11" s="60">
        <v>36</v>
      </c>
      <c r="AB11" s="60" t="str">
        <f>IF(AA11&lt;60,"1",IF(AA11&lt;=43200,"2",IF(AA11&lt;=777600,"3","4")))</f>
        <v>1</v>
      </c>
      <c r="AC11" s="56">
        <f>AVERAGE(AV10:AZ10)</f>
        <v>15.7525</v>
      </c>
      <c r="AD11" s="60" t="str">
        <f>IF(AC11&lt;60,"1",IF(AC11&lt;=43200,"2",IF(AC11&lt;=777600,"3","4")))</f>
        <v>1</v>
      </c>
      <c r="AE11" s="76">
        <f>AA11-Y11</f>
        <v>35.99</v>
      </c>
      <c r="AF11" s="80">
        <f>AV11</f>
        <v>1</v>
      </c>
      <c r="AG11" s="56">
        <f>((AW11-AV11)+(AX11-AW11)+(AY11-AX11))/3</f>
        <v>-0.12</v>
      </c>
      <c r="AH11" s="4"/>
      <c r="AI11" s="56">
        <f>RSQ(AV11:AY11,AV10:AY10)</f>
        <v>0.56508118742678159</v>
      </c>
      <c r="AJ11" s="109">
        <f>SLOPE(AV11:AY11,AV10:AY10)</f>
        <v>-8.4763236772261719E-3</v>
      </c>
      <c r="AK11" s="56">
        <f>INTERCEPT(AV11:AY11,AV10:AY10)</f>
        <v>0.87602328872550528</v>
      </c>
      <c r="AL11" s="56">
        <f>INDEX(LINEST(LN(AV11:AY11),LN(AV10:AY10),TRUE,TRUE),3,1)</f>
        <v>0.99308227530428084</v>
      </c>
      <c r="AM11" s="56">
        <f>INDEX(LINEST(LN(AV11:AY11),LN(AV10:AY10)),1)</f>
        <v>-5.6151992204423705E-2</v>
      </c>
      <c r="AN11" s="56">
        <f>EXP(INDEX(LINEST(LN(AV11:AY11),LN(AV10:AY10)),1,2))</f>
        <v>0.77195289902455055</v>
      </c>
      <c r="AO11" s="82">
        <f>INDEX(LINEST((AV11:AY11),LN(AV10:AY10),TRUE,TRUE),3,1)</f>
        <v>0.99438523817970814</v>
      </c>
      <c r="AP11" s="82">
        <f>INDEX(LINEST((AV11:AY11),LN(AV10:AY10)),1)</f>
        <v>-4.5587897374298116E-2</v>
      </c>
      <c r="AQ11" s="83">
        <f>INDEX(LINEST(LN(AV11:AY11),SQRT(AV10:AY10),TRUE,TRUE),3,1)</f>
        <v>0.85261388620347722</v>
      </c>
      <c r="AR11" s="116">
        <f>INDEX(LINEST(LN(AV11:AY11),SQRT((AV10:AY10))),1)</f>
        <v>-7.9405740036786313E-2</v>
      </c>
      <c r="AS11" s="84">
        <f>INDEX(LINEST(1/(AV11:AY11),1/(SQRT(AV10:AY10)),TRUE,TRUE),3,1)</f>
        <v>0.96506927580040958</v>
      </c>
      <c r="AT11" s="84">
        <f>INDEX(LINEST(1/(AV11:AY11),1/SQRT(AV10:AY10)),1)</f>
        <v>-5.3924258245121329E-2</v>
      </c>
      <c r="AU11" s="3"/>
      <c r="AV11" s="53">
        <v>1</v>
      </c>
      <c r="AW11" s="53">
        <v>0.69</v>
      </c>
      <c r="AX11" s="53">
        <v>0.64</v>
      </c>
      <c r="AY11" s="53">
        <v>0.64</v>
      </c>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1"/>
      <c r="CS11" s="1"/>
      <c r="CT11" s="1"/>
      <c r="CU11" s="1"/>
    </row>
    <row r="12" spans="1:99" s="13" customFormat="1" ht="12" customHeight="1" x14ac:dyDescent="0.2">
      <c r="A12" s="65">
        <v>43902</v>
      </c>
      <c r="B12" s="1"/>
      <c r="C12" s="1"/>
      <c r="D12" s="60"/>
      <c r="E12" s="76"/>
      <c r="F12" s="60"/>
      <c r="G12" s="60"/>
      <c r="H12" s="60"/>
      <c r="I12" s="60"/>
      <c r="J12" s="60"/>
      <c r="K12" s="64"/>
      <c r="L12" s="64"/>
      <c r="M12" s="60"/>
      <c r="N12" s="60"/>
      <c r="O12" s="60"/>
      <c r="P12" s="60"/>
      <c r="Q12" s="60"/>
      <c r="R12" s="60"/>
      <c r="S12" s="60"/>
      <c r="T12" s="60"/>
      <c r="U12" s="60"/>
      <c r="V12" s="60"/>
      <c r="W12" s="60"/>
      <c r="X12" s="60"/>
      <c r="Y12" s="76"/>
      <c r="Z12" s="60"/>
      <c r="AA12" s="60"/>
      <c r="AB12" s="60"/>
      <c r="AC12" s="56"/>
      <c r="AD12" s="60"/>
      <c r="AE12" s="60"/>
      <c r="AF12" s="80"/>
      <c r="AG12" s="56"/>
      <c r="AH12" s="4"/>
      <c r="AI12" s="56"/>
      <c r="AJ12" s="109"/>
      <c r="AK12" s="56"/>
      <c r="AL12" s="56"/>
      <c r="AM12" s="56"/>
      <c r="AN12" s="56"/>
      <c r="AO12" s="82"/>
      <c r="AP12" s="82"/>
      <c r="AQ12" s="83"/>
      <c r="AR12" s="116"/>
      <c r="AS12" s="84"/>
      <c r="AT12" s="84"/>
      <c r="AU12" s="3"/>
      <c r="AV12" s="53">
        <v>0.01</v>
      </c>
      <c r="AW12" s="25">
        <v>9</v>
      </c>
      <c r="AX12" s="25">
        <v>18</v>
      </c>
      <c r="AY12" s="25">
        <v>36</v>
      </c>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1"/>
      <c r="CS12" s="1"/>
      <c r="CT12" s="1"/>
      <c r="CU12" s="1"/>
    </row>
    <row r="13" spans="1:99" s="13" customFormat="1" ht="12" customHeight="1" x14ac:dyDescent="0.2">
      <c r="A13" s="65">
        <v>43902</v>
      </c>
      <c r="B13" s="1" t="s">
        <v>464</v>
      </c>
      <c r="C13" s="1" t="s">
        <v>465</v>
      </c>
      <c r="D13" s="60">
        <v>1977</v>
      </c>
      <c r="E13" s="76">
        <v>1</v>
      </c>
      <c r="F13" s="60">
        <v>25</v>
      </c>
      <c r="G13" s="60">
        <v>25</v>
      </c>
      <c r="H13" s="60" t="s">
        <v>469</v>
      </c>
      <c r="I13" s="60" t="s">
        <v>330</v>
      </c>
      <c r="J13" s="60" t="s">
        <v>443</v>
      </c>
      <c r="K13" s="60">
        <f>IF(J13="syllables",1,IF(J13="trigrams",2,IF(J13="strings",3,IF(J13="visual array",4,IF(J13="characters",5,IF(J13="letters",6,IF(J13="free forms",7,IF(J13="odors",8,IF(J13="words",9,IF(J13="pictures",10,IF(J13="object pictures",11,IF(J13="faces",12,IF(J13="names",13,IF(J13="idioms",14,IF(J13="grades",15,IF(J13="syllable-digit pairs",16,IF(J13="trigram-word pairs",17,IF(J13="word-digit pairs",18,IF(J13="English-Swahili pairs",19,IF(J13="spatial position",20,IF(J13="word pairs",21,IF(J13="word triads",22,IF(J13="generated words",23,IF(J13="word definition pairs",24,IF(J13="math problems",25,IF(J13="famous faces",26,IF(J13="famous names",27,IF(J13="famous voices",28,IF(J13="television programs",29,IF(J13="race horses",30,IF(J13="new vocabulary",31,IF(J13="sentences",32,IF(J13="concepts",33,IF(J13="ad slides",34,IF(J13="scenes",35,IF(J13="famous scenes",36,IF(J13="poems",37,IF(J13="walk",38,IF(J13="faces and events",39,IF(J13="events and names",40,IF(J13="flashbulb",41,IF(J13="stories",42,IF(J13="course material",43,IF(J13="autobiographical",44,IF(J13="novels",45,IF(J13="public events",46,"99"))))))))))))))))))))))))))))))))))))))))))))))</f>
        <v>2</v>
      </c>
      <c r="L13" s="60">
        <f>IF(J13="syllables",1,IF(J13="trigrams",1,IF(J13="strings",1,IF(J13="visual array",1,IF(J13="characters",1,IF(J13="letters",1,IF(J13="free forms",1,IF(J13="odors",2,IF(J13="words",2,IF(J13="pictures",2,IF(J13="object pictures",2,IF(J13="faces",2,IF(J13="names",2,IF(J13="idioms","2",IF(J13="grades",2,IF(J13="syllable-digit pairs",3,IF(J13="trigram-word pairs",3,IF(J13="word-digit pairs",3,IF(J13="English-Swahili pairs",3,IF(J13="spatial position",3,IF(J13="word pairs",4,IF(J13="word triads",4,IF(J13="generated words",4,IF(J13="word definition pairs",4,IF(J13="math problems",4,IF(J13="famous faces",4,IF(J13="famous names",4,IF(J13="famous voices",4,IF(J13="television programs",4,IF(J13="race horses",4,IF(J13="new vocabulary",4,IF(J13="sentences",5,IF(J13="concepts",5,IF(J13="ad slides",5,IF(J13="scenes",5,IF(J13="famous scenes",5,IF(J13="poems",6,IF(J13="walk",6,IF(J13="faces and events",6,IF(J13="events and names",6,IF(J13="flashbulb",7,IF(J13="stories",7,IF(J13="course material",7,IF(J13="autobiographical",7,IF(J13="novels",7,IF(J13="public events",7,"99"))))))))))))))))))))))))))))))))))))))))))))))</f>
        <v>1</v>
      </c>
      <c r="M13" s="60">
        <v>0</v>
      </c>
      <c r="N13" s="60">
        <v>1</v>
      </c>
      <c r="O13" s="60">
        <v>1</v>
      </c>
      <c r="P13" s="60" t="s">
        <v>60</v>
      </c>
      <c r="Q13" s="60" t="s">
        <v>174</v>
      </c>
      <c r="R13" s="60">
        <f>IF(Q13="Free Recall",1,IF(Q13="Cued Recall",2,IF(Q13="Recognition",3,IF(Q13="Multiple Choice",4,IF(Q13="Savings",5,IF(Q13="Stem Completion",6,IF(Q13="Fragment Completion",7,IF(Q13="anagram solution",8,IF(Q13="Matching",9,IF(Q13="Problem Solving",10,"99"))))))))))</f>
        <v>1</v>
      </c>
      <c r="S13" s="60" t="s">
        <v>49</v>
      </c>
      <c r="T13" s="59" t="s">
        <v>581</v>
      </c>
      <c r="U13" s="60">
        <f>IF(T13="within",1,0)</f>
        <v>1</v>
      </c>
      <c r="V13" s="59">
        <v>48</v>
      </c>
      <c r="W13" s="60">
        <f>F13*V13</f>
        <v>1200</v>
      </c>
      <c r="X13" s="60">
        <v>4</v>
      </c>
      <c r="Y13" s="76">
        <f>AV12</f>
        <v>0.01</v>
      </c>
      <c r="Z13" s="60" t="s">
        <v>470</v>
      </c>
      <c r="AA13" s="60">
        <v>36</v>
      </c>
      <c r="AB13" s="60" t="str">
        <f>IF(AA13&lt;60,"1",IF(AA13&lt;=43200,"2",IF(AA13&lt;=777600,"3","4")))</f>
        <v>1</v>
      </c>
      <c r="AC13" s="56">
        <f>AVERAGE(AV12:AZ12)</f>
        <v>15.7525</v>
      </c>
      <c r="AD13" s="60" t="str">
        <f>IF(AC13&lt;60,"1",IF(AC13&lt;=43200,"2",IF(AC13&lt;=777600,"3","4")))</f>
        <v>1</v>
      </c>
      <c r="AE13" s="76">
        <f>AA13-Y13</f>
        <v>35.99</v>
      </c>
      <c r="AF13" s="80">
        <f>AV13</f>
        <v>1</v>
      </c>
      <c r="AG13" s="56">
        <f>((AW13-AV13)+(AX13-AW13)+(AY13-AX13))/3</f>
        <v>-0.18000000000000002</v>
      </c>
      <c r="AH13" s="4"/>
      <c r="AI13" s="56">
        <f>RSQ(AV13:AY13,AV12:AY12)</f>
        <v>0.9443132864568804</v>
      </c>
      <c r="AJ13" s="109">
        <f>SLOPE(AV13:AY13,AV12:AY12)</f>
        <v>-1.4256316995597656E-2</v>
      </c>
      <c r="AK13" s="56">
        <f>INTERCEPT(AV13:AY13,AV12:AY12)</f>
        <v>0.94207263347315207</v>
      </c>
      <c r="AL13" s="56">
        <f>INDEX(LINEST(LN(AV13:AY13),LN(AV12:AY12),TRUE,TRUE),3,1)</f>
        <v>0.71919048226911431</v>
      </c>
      <c r="AM13" s="56">
        <f>INDEX(LINEST(LN(AV13:AY13),LN(AV12:AY12)),1)</f>
        <v>-7.2500610318961697E-2</v>
      </c>
      <c r="AN13" s="56">
        <f>EXP(INDEX(LINEST(LN(AV13:AY13),LN(AV12:AY12)),1,2))</f>
        <v>0.74323629041643535</v>
      </c>
      <c r="AO13" s="82">
        <f>INDEX(LINEST((AV13:AY13),LN(AV12:AY12),TRUE,TRUE),3,1)</f>
        <v>0.82290530075657153</v>
      </c>
      <c r="AP13" s="82">
        <f>INDEX(LINEST((AV13:AY13),LN(AV12:AY12)),1)</f>
        <v>-5.3956571154695605E-2</v>
      </c>
      <c r="AQ13" s="83">
        <f>INDEX(LINEST(LN(AV13:AY13),SQRT(AV12:AY12),TRUE,TRUE),3,1)</f>
        <v>0.96169758865605814</v>
      </c>
      <c r="AR13" s="116">
        <f>INDEX(LINEST(LN(AV13:AY13),SQRT((AV12:AY12))),1)</f>
        <v>-0.1279505341971961</v>
      </c>
      <c r="AS13" s="84">
        <f>INDEX(LINEST(1/(AV13:AY13),1/(SQRT(AV12:AY12)),TRUE,TRUE),3,1)</f>
        <v>0.47665412038260413</v>
      </c>
      <c r="AT13" s="84">
        <f>INDEX(LINEST(1/(AV13:AY13),1/SQRT(AV12:AY12)),1)</f>
        <v>-7.0265704020217715E-2</v>
      </c>
      <c r="AU13" s="3"/>
      <c r="AV13" s="53">
        <v>1</v>
      </c>
      <c r="AW13" s="53">
        <v>0.76</v>
      </c>
      <c r="AX13" s="53">
        <v>0.65</v>
      </c>
      <c r="AY13" s="53">
        <v>0.46</v>
      </c>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c r="BZ13" s="53"/>
      <c r="CA13" s="53"/>
      <c r="CB13" s="53"/>
      <c r="CC13" s="53"/>
      <c r="CD13" s="53"/>
      <c r="CE13" s="53"/>
      <c r="CF13" s="53"/>
      <c r="CG13" s="53"/>
      <c r="CH13" s="53"/>
      <c r="CI13" s="53"/>
      <c r="CJ13" s="53"/>
      <c r="CK13" s="53"/>
      <c r="CL13" s="53"/>
      <c r="CM13" s="53"/>
      <c r="CN13" s="53"/>
      <c r="CO13" s="53"/>
      <c r="CP13" s="53"/>
      <c r="CQ13" s="53"/>
      <c r="CR13" s="1"/>
      <c r="CS13" s="1"/>
      <c r="CT13" s="1"/>
      <c r="CU13" s="1"/>
    </row>
    <row r="14" spans="1:99" s="13" customFormat="1" ht="12" customHeight="1" x14ac:dyDescent="0.2">
      <c r="A14" s="68">
        <v>43895</v>
      </c>
      <c r="B14" s="70"/>
      <c r="C14" s="70"/>
      <c r="D14" s="69"/>
      <c r="E14" s="87"/>
      <c r="F14" s="69"/>
      <c r="G14" s="69"/>
      <c r="H14" s="69"/>
      <c r="I14" s="69"/>
      <c r="J14" s="69"/>
      <c r="K14" s="107"/>
      <c r="L14" s="107"/>
      <c r="M14" s="69"/>
      <c r="N14" s="69"/>
      <c r="O14" s="69"/>
      <c r="P14" s="69"/>
      <c r="Q14" s="69"/>
      <c r="R14" s="69"/>
      <c r="S14" s="69"/>
      <c r="T14" s="69"/>
      <c r="U14" s="69"/>
      <c r="V14" s="69"/>
      <c r="W14" s="69"/>
      <c r="X14" s="69"/>
      <c r="Y14" s="87"/>
      <c r="Z14" s="69"/>
      <c r="AA14" s="69"/>
      <c r="AB14" s="69"/>
      <c r="AC14" s="72"/>
      <c r="AD14" s="69"/>
      <c r="AE14" s="69"/>
      <c r="AF14" s="88"/>
      <c r="AG14" s="72"/>
      <c r="AH14" s="4"/>
      <c r="AI14" s="72"/>
      <c r="AJ14" s="110"/>
      <c r="AK14" s="72"/>
      <c r="AL14" s="72"/>
      <c r="AM14" s="72"/>
      <c r="AN14" s="72"/>
      <c r="AO14" s="89"/>
      <c r="AP14" s="89"/>
      <c r="AQ14" s="90"/>
      <c r="AR14" s="117"/>
      <c r="AS14" s="91"/>
      <c r="AT14" s="91"/>
      <c r="AU14" s="3"/>
      <c r="AV14" s="71">
        <v>3</v>
      </c>
      <c r="AW14" s="71">
        <v>9</v>
      </c>
      <c r="AX14" s="71">
        <v>18</v>
      </c>
      <c r="AY14" s="73"/>
      <c r="AZ14" s="7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c r="BZ14" s="53"/>
      <c r="CA14" s="53"/>
      <c r="CB14" s="53"/>
      <c r="CC14" s="53"/>
      <c r="CD14" s="53"/>
      <c r="CE14" s="53"/>
      <c r="CF14" s="53"/>
      <c r="CG14" s="53"/>
      <c r="CH14" s="53"/>
      <c r="CI14" s="53"/>
      <c r="CJ14" s="53"/>
      <c r="CK14" s="53"/>
      <c r="CL14" s="53"/>
      <c r="CM14" s="53"/>
      <c r="CN14" s="53"/>
      <c r="CO14" s="53"/>
      <c r="CP14" s="53"/>
      <c r="CQ14" s="53"/>
      <c r="CR14" s="1"/>
      <c r="CS14" s="1"/>
      <c r="CT14" s="1"/>
      <c r="CU14" s="1"/>
    </row>
    <row r="15" spans="1:99" s="13" customFormat="1" ht="12" customHeight="1" x14ac:dyDescent="0.2">
      <c r="A15" s="68">
        <v>43895</v>
      </c>
      <c r="B15" s="70" t="s">
        <v>339</v>
      </c>
      <c r="C15" s="70" t="s">
        <v>54</v>
      </c>
      <c r="D15" s="69">
        <v>1983</v>
      </c>
      <c r="E15" s="87">
        <v>1</v>
      </c>
      <c r="F15" s="69">
        <v>10</v>
      </c>
      <c r="G15" s="69">
        <v>10</v>
      </c>
      <c r="H15" s="69" t="s">
        <v>50</v>
      </c>
      <c r="I15" s="69" t="s">
        <v>330</v>
      </c>
      <c r="J15" s="69" t="s">
        <v>281</v>
      </c>
      <c r="K15" s="69">
        <f>IF(J15="syllables",1,IF(J15="trigrams",2,IF(J15="strings",3,IF(J15="visual array",4,IF(J15="characters",5,IF(J15="letters",6,IF(J15="free forms",7,IF(J15="odors",8,IF(J15="words",9,IF(J15="pictures",10,IF(J15="object pictures",11,IF(J15="faces",12,IF(J15="names",13,IF(J15="idioms",14,IF(J15="grades",15,IF(J15="syllable-digit pairs",16,IF(J15="trigram-word pairs",17,IF(J15="word-digit pairs",18,IF(J15="English-Swahili pairs",19,IF(J15="spatial position",20,IF(J15="word pairs",21,IF(J15="word triads",22,IF(J15="generated words",23,IF(J15="word definition pairs",24,IF(J15="math problems",25,IF(J15="famous faces",26,IF(J15="famous names",27,IF(J15="famous voices",28,IF(J15="television programs",29,IF(J15="race horses",30,IF(J15="new vocabulary",31,IF(J15="sentences",32,IF(J15="concepts",33,IF(J15="ad slides",34,IF(J15="scenes",35,IF(J15="famous scenes",36,IF(J15="poems",37,IF(J15="walk",38,IF(J15="faces and events",39,IF(J15="events and names",40,IF(J15="flashbulb",41,IF(J15="stories",42,IF(J15="course material",43,IF(J15="autobiographical",44,IF(J15="novels",45,IF(J15="public events",46,"99"))))))))))))))))))))))))))))))))))))))))))))))</f>
        <v>1</v>
      </c>
      <c r="L15" s="69">
        <f>IF(J15="syllables",1,IF(J15="trigrams",1,IF(J15="strings",1,IF(J15="visual array",1,IF(J15="characters",1,IF(J15="letters",1,IF(J15="free forms",1,IF(J15="odors",2,IF(J15="words",2,IF(J15="pictures",2,IF(J15="object pictures",2,IF(J15="faces",2,IF(J15="names",2,IF(J15="idioms","2",IF(J15="grades",2,IF(J15="syllable-digit pairs",3,IF(J15="trigram-word pairs",3,IF(J15="word-digit pairs",3,IF(J15="English-Swahili pairs",3,IF(J15="spatial position",3,IF(J15="word pairs",4,IF(J15="word triads",4,IF(J15="generated words",4,IF(J15="word definition pairs",4,IF(J15="math problems",4,IF(J15="famous faces",4,IF(J15="famous names",4,IF(J15="famous voices",4,IF(J15="television programs",4,IF(J15="race horses",4,IF(J15="new vocabulary",4,IF(J15="sentences",5,IF(J15="concepts",5,IF(J15="ad slides",5,IF(J15="scenes",5,IF(J15="famous scenes",5,IF(J15="poems",6,IF(J15="walk",6,IF(J15="faces and events",6,IF(J15="events and names",6,IF(J15="flashbulb",7,IF(J15="stories",7,IF(J15="course material",7,IF(J15="autobiographical",7,IF(J15="novels",7,IF(J15="public events",7,"99"))))))))))))))))))))))))))))))))))))))))))))))</f>
        <v>1</v>
      </c>
      <c r="M15" s="69">
        <v>0</v>
      </c>
      <c r="N15" s="69">
        <v>1</v>
      </c>
      <c r="O15" s="69">
        <v>1</v>
      </c>
      <c r="P15" s="69"/>
      <c r="Q15" s="69" t="s">
        <v>174</v>
      </c>
      <c r="R15" s="69">
        <f>IF(Q15="Free Recall",1,IF(Q15="Cued Recall",2,IF(Q15="Recognition",3,IF(Q15="Multiple Choice",4,IF(Q15="Savings",5,IF(Q15="Stem Completion",6,IF(Q15="Fragment Completion",7,IF(Q15="anagram solution",8,IF(Q15="Matching",9,IF(Q15="Problem Solving",10,"99"))))))))))</f>
        <v>1</v>
      </c>
      <c r="S15" s="99" t="s">
        <v>49</v>
      </c>
      <c r="T15" s="92" t="s">
        <v>581</v>
      </c>
      <c r="U15" s="69">
        <f>IF(T15="within",1,0)</f>
        <v>1</v>
      </c>
      <c r="V15" s="92">
        <v>60</v>
      </c>
      <c r="W15" s="69">
        <f>F15*V15</f>
        <v>600</v>
      </c>
      <c r="X15" s="69">
        <v>3</v>
      </c>
      <c r="Y15" s="87">
        <f>AV14</f>
        <v>3</v>
      </c>
      <c r="Z15" s="69" t="s">
        <v>28</v>
      </c>
      <c r="AA15" s="69">
        <v>18</v>
      </c>
      <c r="AB15" s="69" t="str">
        <f>IF(AA15&lt;60,"1",IF(AA15&lt;=43200,"2",IF(AA15&lt;=777600,"3","4")))</f>
        <v>1</v>
      </c>
      <c r="AC15" s="72">
        <f>AVERAGE(AV14:DA14)</f>
        <v>10</v>
      </c>
      <c r="AD15" s="69" t="str">
        <f>IF(AC15&lt;60,"1",IF(AC15&lt;=43200,"2",IF(AC15&lt;=777600,"3","4")))</f>
        <v>1</v>
      </c>
      <c r="AE15" s="87">
        <f>AA15-Y15</f>
        <v>15</v>
      </c>
      <c r="AF15" s="88">
        <f>AV15</f>
        <v>0.9</v>
      </c>
      <c r="AG15" s="72">
        <f>((AW15-AV15)+(AX15-AW15))/2</f>
        <v>-3.0000000000000027E-2</v>
      </c>
      <c r="AH15" s="4"/>
      <c r="AI15" s="72">
        <f>RSQ(AV15:AX15,AV14:AX14)</f>
        <v>0.25000000000000067</v>
      </c>
      <c r="AJ15" s="110">
        <f>SLOPE(AV15:AX15,AV14:AX14)</f>
        <v>-3.3333333333333375E-3</v>
      </c>
      <c r="AK15" s="72">
        <f>INTERCEPT(AV15:AX15,AV14:AX14)</f>
        <v>0.88</v>
      </c>
      <c r="AL15" s="72">
        <f>INDEX(LINEST(LN(AV15:AX15),LN(AV14:AX14),TRUE,TRUE),3,1)</f>
        <v>0.46684823845544871</v>
      </c>
      <c r="AM15" s="72">
        <f>INDEX(LINEST(LN(AV15:AX15),LN(AV14:AX14)),1)</f>
        <v>-4.475429350804095E-2</v>
      </c>
      <c r="AN15" s="72">
        <f>EXP(INDEX(LINEST(LN(AV15:AX15),LN(AV14:AX14)),1,2))</f>
        <v>0.92743489049954275</v>
      </c>
      <c r="AO15" s="89">
        <f>INDEX(LINEST((AV15:AX15),LN(AV14:AX14),TRUE,TRUE),3,1)</f>
        <v>0.48308001761091945</v>
      </c>
      <c r="AP15" s="89">
        <f>INDEX(LINEST((AV15:AX15),LN(AV14:AX14)),1)</f>
        <v>-3.8719579417244895E-2</v>
      </c>
      <c r="AQ15" s="90">
        <f>INDEX(LINEST(LN(AV15:AX15),SQRT(AV14:AX14),TRUE,TRUE),3,1)</f>
        <v>0.34530920475800164</v>
      </c>
      <c r="AR15" s="117">
        <f>INDEX(LINEST(LN(AV15:AX15),SQRT((AV14:AX14))),1)</f>
        <v>-2.7702748666180096E-2</v>
      </c>
      <c r="AS15" s="91">
        <f>INDEX(LINEST(1/(AV15:AX15),1/(SQRT(AV14:AX14)),TRUE,TRUE),3,1)</f>
        <v>0.5628349747796787</v>
      </c>
      <c r="AT15" s="91">
        <f>INDEX(LINEST(1/(AV15:AX15),1/SQRT(AV14:AX14)),1)</f>
        <v>-0.29706647707700568</v>
      </c>
      <c r="AU15" s="3"/>
      <c r="AV15" s="73">
        <v>0.9</v>
      </c>
      <c r="AW15" s="73">
        <v>0.8</v>
      </c>
      <c r="AX15" s="73">
        <v>0.84</v>
      </c>
      <c r="AY15" s="73"/>
      <c r="AZ15" s="7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1"/>
      <c r="CS15" s="1"/>
      <c r="CT15" s="1"/>
      <c r="CU15" s="1"/>
    </row>
    <row r="16" spans="1:99" s="13" customFormat="1" ht="12" customHeight="1" x14ac:dyDescent="0.2">
      <c r="A16" s="68">
        <v>43895</v>
      </c>
      <c r="B16" s="70"/>
      <c r="C16" s="70"/>
      <c r="D16" s="69"/>
      <c r="E16" s="87"/>
      <c r="F16" s="69"/>
      <c r="G16" s="69"/>
      <c r="H16" s="69"/>
      <c r="I16" s="69"/>
      <c r="J16" s="69"/>
      <c r="K16" s="107"/>
      <c r="L16" s="107"/>
      <c r="M16" s="69"/>
      <c r="N16" s="69"/>
      <c r="O16" s="69"/>
      <c r="P16" s="69"/>
      <c r="Q16" s="69"/>
      <c r="R16" s="69"/>
      <c r="S16" s="69"/>
      <c r="T16" s="69"/>
      <c r="U16" s="69"/>
      <c r="V16" s="69"/>
      <c r="W16" s="69"/>
      <c r="X16" s="69"/>
      <c r="Y16" s="87"/>
      <c r="Z16" s="69"/>
      <c r="AA16" s="69"/>
      <c r="AB16" s="69"/>
      <c r="AC16" s="72"/>
      <c r="AD16" s="69"/>
      <c r="AE16" s="69"/>
      <c r="AF16" s="88"/>
      <c r="AG16" s="72"/>
      <c r="AH16" s="4"/>
      <c r="AI16" s="72"/>
      <c r="AJ16" s="110"/>
      <c r="AK16" s="72"/>
      <c r="AL16" s="72"/>
      <c r="AM16" s="72"/>
      <c r="AN16" s="72"/>
      <c r="AO16" s="89"/>
      <c r="AP16" s="89"/>
      <c r="AQ16" s="90"/>
      <c r="AR16" s="117"/>
      <c r="AS16" s="91"/>
      <c r="AT16" s="91"/>
      <c r="AU16" s="3"/>
      <c r="AV16" s="71">
        <v>3</v>
      </c>
      <c r="AW16" s="71">
        <v>9</v>
      </c>
      <c r="AX16" s="71">
        <v>18</v>
      </c>
      <c r="AY16" s="73"/>
      <c r="AZ16" s="7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1"/>
      <c r="CS16" s="1"/>
      <c r="CT16" s="1"/>
      <c r="CU16" s="1"/>
    </row>
    <row r="17" spans="1:99" s="13" customFormat="1" ht="12" customHeight="1" x14ac:dyDescent="0.2">
      <c r="A17" s="68">
        <v>43895</v>
      </c>
      <c r="B17" s="70" t="s">
        <v>339</v>
      </c>
      <c r="C17" s="70" t="s">
        <v>54</v>
      </c>
      <c r="D17" s="69">
        <v>1983</v>
      </c>
      <c r="E17" s="87">
        <v>1</v>
      </c>
      <c r="F17" s="69">
        <v>10</v>
      </c>
      <c r="G17" s="69">
        <v>10</v>
      </c>
      <c r="H17" s="69" t="s">
        <v>41</v>
      </c>
      <c r="I17" s="69" t="s">
        <v>330</v>
      </c>
      <c r="J17" s="69" t="s">
        <v>16</v>
      </c>
      <c r="K17" s="69">
        <f>IF(J17="syllables",1,IF(J17="trigrams",2,IF(J17="strings",3,IF(J17="visual array",4,IF(J17="characters",5,IF(J17="letters",6,IF(J17="free forms",7,IF(J17="odors",8,IF(J17="words",9,IF(J17="pictures",10,IF(J17="object pictures",11,IF(J17="faces",12,IF(J17="names",13,IF(J17="idioms",14,IF(J17="grades",15,IF(J17="syllable-digit pairs",16,IF(J17="trigram-word pairs",17,IF(J17="word-digit pairs",18,IF(J17="English-Swahili pairs",19,IF(J17="spatial position",20,IF(J17="word pairs",21,IF(J17="word triads",22,IF(J17="generated words",23,IF(J17="word definition pairs",24,IF(J17="math problems",25,IF(J17="famous faces",26,IF(J17="famous names",27,IF(J17="famous voices",28,IF(J17="television programs",29,IF(J17="race horses",30,IF(J17="new vocabulary",31,IF(J17="sentences",32,IF(J17="concepts",33,IF(J17="ad slides",34,IF(J17="scenes",35,IF(J17="famous scenes",36,IF(J17="poems",37,IF(J17="walk",38,IF(J17="faces and events",39,IF(J17="events and names",40,IF(J17="flashbulb",41,IF(J17="stories",42,IF(J17="course material",43,IF(J17="autobiographical",44,IF(J17="novels",45,IF(J17="public events",46,"99"))))))))))))))))))))))))))))))))))))))))))))))</f>
        <v>9</v>
      </c>
      <c r="L17" s="69">
        <f>IF(J17="syllables",1,IF(J17="trigrams",1,IF(J17="strings",1,IF(J17="visual array",1,IF(J17="characters",1,IF(J17="letters",1,IF(J17="free forms",1,IF(J17="odors",2,IF(J17="words",2,IF(J17="pictures",2,IF(J17="object pictures",2,IF(J17="faces",2,IF(J17="names",2,IF(J17="idioms","2",IF(J17="grades",2,IF(J17="syllable-digit pairs",3,IF(J17="trigram-word pairs",3,IF(J17="word-digit pairs",3,IF(J17="English-Swahili pairs",3,IF(J17="spatial position",3,IF(J17="word pairs",4,IF(J17="word triads",4,IF(J17="generated words",4,IF(J17="word definition pairs",4,IF(J17="math problems",4,IF(J17="famous faces",4,IF(J17="famous names",4,IF(J17="famous voices",4,IF(J17="television programs",4,IF(J17="race horses",4,IF(J17="new vocabulary",4,IF(J17="sentences",5,IF(J17="concepts",5,IF(J17="ad slides",5,IF(J17="scenes",5,IF(J17="famous scenes",5,IF(J17="poems",6,IF(J17="walk",6,IF(J17="faces and events",6,IF(J17="events and names",6,IF(J17="flashbulb",7,IF(J17="stories",7,IF(J17="course material",7,IF(J17="autobiographical",7,IF(J17="novels",7,IF(J17="public events",7,"99"))))))))))))))))))))))))))))))))))))))))))))))</f>
        <v>2</v>
      </c>
      <c r="M17" s="69">
        <v>0</v>
      </c>
      <c r="N17" s="69">
        <v>1</v>
      </c>
      <c r="O17" s="69">
        <v>1</v>
      </c>
      <c r="P17" s="69"/>
      <c r="Q17" s="69" t="s">
        <v>174</v>
      </c>
      <c r="R17" s="69">
        <f>IF(Q17="Free Recall",1,IF(Q17="Cued Recall",2,IF(Q17="Recognition",3,IF(Q17="Multiple Choice",4,IF(Q17="Savings",5,IF(Q17="Stem Completion",6,IF(Q17="Fragment Completion",7,IF(Q17="anagram solution",8,IF(Q17="Matching",9,IF(Q17="Problem Solving",10,"99"))))))))))</f>
        <v>1</v>
      </c>
      <c r="S17" s="99" t="s">
        <v>49</v>
      </c>
      <c r="T17" s="92" t="s">
        <v>581</v>
      </c>
      <c r="U17" s="69">
        <f>IF(T17="within",1,0)</f>
        <v>1</v>
      </c>
      <c r="V17" s="92">
        <v>60</v>
      </c>
      <c r="W17" s="69">
        <f>F17*V17</f>
        <v>600</v>
      </c>
      <c r="X17" s="69">
        <v>3</v>
      </c>
      <c r="Y17" s="87">
        <f>AV16</f>
        <v>3</v>
      </c>
      <c r="Z17" s="69" t="s">
        <v>28</v>
      </c>
      <c r="AA17" s="69">
        <v>18</v>
      </c>
      <c r="AB17" s="69" t="str">
        <f>IF(AA17&lt;60,"1",IF(AA17&lt;=43200,"2",IF(AA17&lt;=777600,"3","4")))</f>
        <v>1</v>
      </c>
      <c r="AC17" s="72">
        <f>AVERAGE(AV16:DA16)</f>
        <v>10</v>
      </c>
      <c r="AD17" s="69" t="str">
        <f>IF(AC17&lt;60,"1",IF(AC17&lt;=43200,"2",IF(AC17&lt;=777600,"3","4")))</f>
        <v>1</v>
      </c>
      <c r="AE17" s="87">
        <f>AA17-Y17</f>
        <v>15</v>
      </c>
      <c r="AF17" s="88">
        <f>AV17</f>
        <v>0.85</v>
      </c>
      <c r="AG17" s="72">
        <f>((AW17-AV17)+(AX17-AW17))/2</f>
        <v>-0.15499999999999997</v>
      </c>
      <c r="AH17" s="4"/>
      <c r="AI17" s="72">
        <f>RSQ(AV17:AX17,AV16:AX16)</f>
        <v>0.75339359536002948</v>
      </c>
      <c r="AJ17" s="110">
        <f>SLOPE(AV17:AX17,AV16:AX16)</f>
        <v>-1.9385964912280697E-2</v>
      </c>
      <c r="AK17" s="72">
        <f>INTERCEPT(AV17:AX17,AV16:AX16)</f>
        <v>0.85052631578947357</v>
      </c>
      <c r="AL17" s="72">
        <f>INDEX(LINEST(LN(AV17:AX17),LN(AV16:AX16),TRUE,TRUE),3,1)</f>
        <v>0.94037388736588834</v>
      </c>
      <c r="AM17" s="72">
        <f>INDEX(LINEST(LN(AV17:AX17),LN(AV16:AX16)),1)</f>
        <v>-0.26180973805269198</v>
      </c>
      <c r="AN17" s="72">
        <f>EXP(INDEX(LINEST(LN(AV17:AX17),LN(AV16:AX16)),1,2))</f>
        <v>1.1037636115993228</v>
      </c>
      <c r="AO17" s="89">
        <f>INDEX(LINEST((AV17:AX17),LN(AV16:AX16),TRUE,TRUE),3,1)</f>
        <v>0.92636934030266382</v>
      </c>
      <c r="AP17" s="89">
        <f>INDEX(LINEST((AV17:AX17),LN(AV16:AX16)),1)</f>
        <v>-0.17963083985367051</v>
      </c>
      <c r="AQ17" s="90">
        <f>INDEX(LINEST(LN(AV17:AX17),SQRT(AV16:AX16),TRUE,TRUE),3,1)</f>
        <v>0.86871196474245971</v>
      </c>
      <c r="AR17" s="117">
        <f>INDEX(LINEST(LN(AV17:AX17),SQRT((AV16:AX16))),1)</f>
        <v>-0.18111122077527339</v>
      </c>
      <c r="AS17" s="91">
        <f>INDEX(LINEST(1/(AV17:AX17),1/(SQRT(AV16:AX16)),TRUE,TRUE),3,1)</f>
        <v>0.9895997410847488</v>
      </c>
      <c r="AT17" s="91">
        <f>INDEX(LINEST(1/(AV17:AX17),1/SQRT(AV16:AX16)),1)</f>
        <v>-2.0282708650306436</v>
      </c>
      <c r="AU17" s="3"/>
      <c r="AV17" s="73">
        <v>0.85</v>
      </c>
      <c r="AW17" s="73">
        <v>0.57999999999999996</v>
      </c>
      <c r="AX17" s="73">
        <v>0.54</v>
      </c>
      <c r="AY17" s="73"/>
      <c r="AZ17" s="7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1"/>
      <c r="CS17" s="1"/>
      <c r="CT17" s="1"/>
      <c r="CU17" s="1"/>
    </row>
    <row r="18" spans="1:99" s="13" customFormat="1" ht="12" customHeight="1" x14ac:dyDescent="0.2">
      <c r="A18" s="68">
        <v>43895</v>
      </c>
      <c r="B18" s="70"/>
      <c r="C18" s="67"/>
      <c r="D18" s="86"/>
      <c r="E18" s="87"/>
      <c r="F18" s="69"/>
      <c r="G18" s="69"/>
      <c r="H18" s="69"/>
      <c r="I18" s="69"/>
      <c r="J18" s="69"/>
      <c r="K18" s="107"/>
      <c r="L18" s="107"/>
      <c r="M18" s="69"/>
      <c r="N18" s="86"/>
      <c r="O18" s="69"/>
      <c r="P18" s="69"/>
      <c r="Q18" s="69"/>
      <c r="R18" s="69"/>
      <c r="S18" s="69"/>
      <c r="T18" s="92"/>
      <c r="U18" s="69"/>
      <c r="V18" s="92"/>
      <c r="W18" s="69"/>
      <c r="X18" s="69"/>
      <c r="Y18" s="87"/>
      <c r="Z18" s="92"/>
      <c r="AA18" s="72"/>
      <c r="AB18" s="69"/>
      <c r="AC18" s="72"/>
      <c r="AD18" s="69"/>
      <c r="AE18" s="69"/>
      <c r="AF18" s="88"/>
      <c r="AG18" s="72"/>
      <c r="AH18" s="4"/>
      <c r="AI18" s="72"/>
      <c r="AJ18" s="110"/>
      <c r="AK18" s="72"/>
      <c r="AL18" s="72"/>
      <c r="AM18" s="72"/>
      <c r="AN18" s="72"/>
      <c r="AO18" s="89"/>
      <c r="AP18" s="89"/>
      <c r="AQ18" s="90"/>
      <c r="AR18" s="117"/>
      <c r="AS18" s="91"/>
      <c r="AT18" s="91"/>
      <c r="AU18" s="3"/>
      <c r="AV18" s="95">
        <v>0.01</v>
      </c>
      <c r="AW18" s="132">
        <v>3</v>
      </c>
      <c r="AX18" s="132">
        <v>9</v>
      </c>
      <c r="AY18" s="132">
        <v>18</v>
      </c>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1"/>
      <c r="CS18" s="1"/>
      <c r="CT18" s="1"/>
      <c r="CU18" s="1"/>
    </row>
    <row r="19" spans="1:99" s="13" customFormat="1" ht="12" customHeight="1" x14ac:dyDescent="0.2">
      <c r="A19" s="68">
        <v>43895</v>
      </c>
      <c r="B19" s="70" t="s">
        <v>350</v>
      </c>
      <c r="C19" s="70" t="s">
        <v>393</v>
      </c>
      <c r="D19" s="69">
        <v>1991</v>
      </c>
      <c r="E19" s="87">
        <v>1</v>
      </c>
      <c r="F19" s="69">
        <v>7</v>
      </c>
      <c r="G19" s="69">
        <v>7</v>
      </c>
      <c r="H19" s="69" t="s">
        <v>38</v>
      </c>
      <c r="I19" s="69" t="s">
        <v>330</v>
      </c>
      <c r="J19" s="69" t="s">
        <v>16</v>
      </c>
      <c r="K19" s="69">
        <f>IF(J19="syllables",1,IF(J19="trigrams",2,IF(J19="strings",3,IF(J19="visual array",4,IF(J19="characters",5,IF(J19="letters",6,IF(J19="free forms",7,IF(J19="odors",8,IF(J19="words",9,IF(J19="pictures",10,IF(J19="object pictures",11,IF(J19="faces",12,IF(J19="names",13,IF(J19="idioms",14,IF(J19="grades",15,IF(J19="syllable-digit pairs",16,IF(J19="trigram-word pairs",17,IF(J19="word-digit pairs",18,IF(J19="English-Swahili pairs",19,IF(J19="spatial position",20,IF(J19="word pairs",21,IF(J19="word triads",22,IF(J19="generated words",23,IF(J19="word definition pairs",24,IF(J19="math problems",25,IF(J19="famous faces",26,IF(J19="famous names",27,IF(J19="famous voices",28,IF(J19="television programs",29,IF(J19="race horses",30,IF(J19="new vocabulary",31,IF(J19="sentences",32,IF(J19="concepts",33,IF(J19="ad slides",34,IF(J19="scenes",35,IF(J19="famous scenes",36,IF(J19="poems",37,IF(J19="walk",38,IF(J19="faces and events",39,IF(J19="events and names",40,IF(J19="flashbulb",41,IF(J19="stories",42,IF(J19="course material",43,IF(J19="autobiographical",44,IF(J19="novels",45,IF(J19="public events",46,"99"))))))))))))))))))))))))))))))))))))))))))))))</f>
        <v>9</v>
      </c>
      <c r="L19" s="69">
        <f>IF(J19="syllables",1,IF(J19="trigrams",1,IF(J19="strings",1,IF(J19="visual array",1,IF(J19="characters",1,IF(J19="letters",1,IF(J19="free forms",1,IF(J19="odors",2,IF(J19="words",2,IF(J19="pictures",2,IF(J19="object pictures",2,IF(J19="faces",2,IF(J19="names",2,IF(J19="idioms","2",IF(J19="grades",2,IF(J19="syllable-digit pairs",3,IF(J19="trigram-word pairs",3,IF(J19="word-digit pairs",3,IF(J19="English-Swahili pairs",3,IF(J19="spatial position",3,IF(J19="word pairs",4,IF(J19="word triads",4,IF(J19="generated words",4,IF(J19="word definition pairs",4,IF(J19="math problems",4,IF(J19="famous faces",4,IF(J19="famous names",4,IF(J19="famous voices",4,IF(J19="television programs",4,IF(J19="race horses",4,IF(J19="new vocabulary",4,IF(J19="sentences",5,IF(J19="concepts",5,IF(J19="ad slides",5,IF(J19="scenes",5,IF(J19="famous scenes",5,IF(J19="poems",6,IF(J19="walk",6,IF(J19="faces and events",6,IF(J19="events and names",6,IF(J19="flashbulb",7,IF(J19="stories",7,IF(J19="course material",7,IF(J19="autobiographical",7,IF(J19="novels",7,IF(J19="public events",7,"99"))))))))))))))))))))))))))))))))))))))))))))))</f>
        <v>2</v>
      </c>
      <c r="M19" s="69">
        <v>0</v>
      </c>
      <c r="N19" s="86">
        <v>1</v>
      </c>
      <c r="O19" s="69">
        <v>1</v>
      </c>
      <c r="P19" s="69"/>
      <c r="Q19" s="69" t="s">
        <v>174</v>
      </c>
      <c r="R19" s="69">
        <f>IF(Q19="Free Recall",1,IF(Q19="Cued Recall",2,IF(Q19="Recognition",3,IF(Q19="Multiple Choice",4,IF(Q19="Savings",5,IF(Q19="Stem Completion",6,IF(Q19="Fragment Completion",7,IF(Q19="anagram solution",8,IF(Q19="Matching",9,IF(Q19="Problem Solving",10,"99"))))))))))</f>
        <v>1</v>
      </c>
      <c r="S19" s="69" t="s">
        <v>49</v>
      </c>
      <c r="T19" s="92" t="s">
        <v>581</v>
      </c>
      <c r="U19" s="69">
        <f>IF(T19="within",1,0)</f>
        <v>1</v>
      </c>
      <c r="V19" s="92">
        <v>48</v>
      </c>
      <c r="W19" s="69">
        <f>F19*V19</f>
        <v>336</v>
      </c>
      <c r="X19" s="69">
        <v>4</v>
      </c>
      <c r="Y19" s="87">
        <f>AV18</f>
        <v>0.01</v>
      </c>
      <c r="Z19" s="92" t="s">
        <v>28</v>
      </c>
      <c r="AA19" s="87">
        <v>18</v>
      </c>
      <c r="AB19" s="69" t="str">
        <f>IF(AA19&lt;60,"1",IF(AA19&lt;=43200,"2",IF(AA19&lt;=777600,"3","4")))</f>
        <v>1</v>
      </c>
      <c r="AC19" s="72">
        <f>AVERAGE(AV18:DA18)</f>
        <v>7.5024999999999995</v>
      </c>
      <c r="AD19" s="69" t="str">
        <f>IF(AC19&lt;60,"1",IF(AC19&lt;=43200,"2",IF(AC19&lt;=777600,"3","4")))</f>
        <v>1</v>
      </c>
      <c r="AE19" s="87">
        <f>AA19-Y19</f>
        <v>17.989999999999998</v>
      </c>
      <c r="AF19" s="88">
        <f>AV19</f>
        <v>1</v>
      </c>
      <c r="AG19" s="72">
        <f>((AW19-AV19)+(AX19-AW19)+(AY19-AX19))/3</f>
        <v>-0.15566666666666665</v>
      </c>
      <c r="AH19" s="4"/>
      <c r="AI19" s="72">
        <f>RSQ(AV19:AY19,AV18:AY18)</f>
        <v>0.79797713583572305</v>
      </c>
      <c r="AJ19" s="110">
        <f>SLOPE(AV19:AY19,AV18:AY18)</f>
        <v>-2.1820920643002124E-2</v>
      </c>
      <c r="AK19" s="72">
        <f>INTERCEPT(AV19:AY19,AV18:AY18)</f>
        <v>0.90196145712412346</v>
      </c>
      <c r="AL19" s="72">
        <f>INDEX(LINEST(LN(AV19:AY19),LN(AV18:AY18),TRUE,TRUE),3,1)</f>
        <v>0.8609832523808767</v>
      </c>
      <c r="AM19" s="72">
        <f>INDEX(LINEST(LN(AV19:AY19),LN(AV18:AY18)),1)</f>
        <v>-7.0109010367673946E-2</v>
      </c>
      <c r="AN19" s="72">
        <f>EXP(INDEX(LINEST(LN(AV19:AY19),LN(AV18:AY18)),1,2))</f>
        <v>0.74011184076756875</v>
      </c>
      <c r="AO19" s="89">
        <f>INDEX(LINEST((AV19:AY19),LN(AV18:AY18),TRUE,TRUE),3,1)</f>
        <v>0.92400903524353672</v>
      </c>
      <c r="AP19" s="89">
        <f>INDEX(LINEST((AV19:AY19),LN(AV18:AY18)),1)</f>
        <v>-5.4565278704807089E-2</v>
      </c>
      <c r="AQ19" s="90">
        <f>INDEX(LINEST(LN(AV19:AY19),SQRT(AV18:AY18),TRUE,TRUE),3,1)</f>
        <v>0.94824877401430951</v>
      </c>
      <c r="AR19" s="117">
        <f>INDEX(LINEST(LN(AV19:AY19),SQRT((AV18:AY18))),1)</f>
        <v>-0.14174666934395416</v>
      </c>
      <c r="AS19" s="91">
        <f>INDEX(LINEST(1/(AV19:AY19),1/(SQRT(AV18:AY18)),TRUE,TRUE),3,1)</f>
        <v>0.64167389045696577</v>
      </c>
      <c r="AT19" s="91">
        <f>INDEX(LINEST(1/(AV19:AY19),1/SQRT(AV18:AY18)),1)</f>
        <v>-5.9758843528673632E-2</v>
      </c>
      <c r="AU19" s="3"/>
      <c r="AV19" s="95">
        <v>1</v>
      </c>
      <c r="AW19" s="95">
        <v>0.72499999999999998</v>
      </c>
      <c r="AX19" s="95">
        <v>0.69499999999999995</v>
      </c>
      <c r="AY19" s="95">
        <v>0.53300000000000003</v>
      </c>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1"/>
      <c r="CS19" s="1"/>
      <c r="CT19" s="1"/>
      <c r="CU19" s="1"/>
    </row>
    <row r="20" spans="1:99" s="13" customFormat="1" ht="12" customHeight="1" x14ac:dyDescent="0.2">
      <c r="A20" s="65">
        <v>43976</v>
      </c>
      <c r="B20" s="1"/>
      <c r="C20" s="1"/>
      <c r="D20" s="60"/>
      <c r="E20" s="76"/>
      <c r="F20" s="60"/>
      <c r="G20" s="60"/>
      <c r="H20" s="60"/>
      <c r="I20" s="60"/>
      <c r="J20" s="60"/>
      <c r="K20" s="60"/>
      <c r="L20" s="60"/>
      <c r="M20" s="60"/>
      <c r="N20" s="60"/>
      <c r="O20" s="60"/>
      <c r="P20" s="60"/>
      <c r="Q20" s="60"/>
      <c r="R20" s="60"/>
      <c r="S20" s="60"/>
      <c r="T20" s="59"/>
      <c r="U20" s="60"/>
      <c r="V20" s="59"/>
      <c r="W20" s="60"/>
      <c r="X20" s="60"/>
      <c r="Y20" s="76"/>
      <c r="Z20" s="59"/>
      <c r="AA20" s="60"/>
      <c r="AB20" s="60"/>
      <c r="AC20" s="56"/>
      <c r="AD20" s="60"/>
      <c r="AE20" s="76"/>
      <c r="AF20" s="80"/>
      <c r="AG20" s="56"/>
      <c r="AH20" s="4"/>
      <c r="AI20" s="56"/>
      <c r="AJ20" s="109"/>
      <c r="AK20" s="56"/>
      <c r="AL20" s="56"/>
      <c r="AM20" s="56"/>
      <c r="AN20" s="56"/>
      <c r="AO20" s="82"/>
      <c r="AP20" s="82"/>
      <c r="AQ20" s="83"/>
      <c r="AR20" s="116"/>
      <c r="AS20" s="84"/>
      <c r="AT20" s="84"/>
      <c r="AU20" s="3"/>
      <c r="AV20" s="25">
        <v>0.01</v>
      </c>
      <c r="AW20" s="25">
        <v>2</v>
      </c>
      <c r="AX20" s="25">
        <v>5</v>
      </c>
      <c r="AY20" s="25">
        <v>10</v>
      </c>
      <c r="AZ20" s="25">
        <v>20</v>
      </c>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1"/>
      <c r="CS20" s="1"/>
      <c r="CT20" s="1"/>
      <c r="CU20" s="1"/>
    </row>
    <row r="21" spans="1:99" s="13" customFormat="1" ht="12" customHeight="1" x14ac:dyDescent="0.2">
      <c r="A21" s="65">
        <v>43976</v>
      </c>
      <c r="B21" s="1" t="s">
        <v>928</v>
      </c>
      <c r="C21" s="1" t="s">
        <v>54</v>
      </c>
      <c r="D21" s="60">
        <v>1985</v>
      </c>
      <c r="E21" s="76">
        <v>1</v>
      </c>
      <c r="F21" s="60">
        <v>16</v>
      </c>
      <c r="G21" s="60">
        <v>16</v>
      </c>
      <c r="H21" s="60" t="s">
        <v>50</v>
      </c>
      <c r="I21" s="60" t="s">
        <v>330</v>
      </c>
      <c r="J21" s="60" t="s">
        <v>16</v>
      </c>
      <c r="K21" s="60">
        <f>IF(J21="syllables",1,IF(J21="trigrams",2,IF(J21="strings",3,IF(J21="visual array",4,IF(J21="characters",5,IF(J21="letters",6,IF(J21="free forms",7,IF(J21="odors",8,IF(J21="words",9,IF(J21="pictures",10,IF(J21="object pictures",11,IF(J21="faces",12,IF(J21="names",13,IF(J21="idioms",14,IF(J21="grades",15,IF(J21="syllable-digit pairs",16,IF(J21="trigram-word pairs",17,IF(J21="word-digit pairs",18,IF(J21="English-Swahili pairs",19,IF(J21="spatial position",20,IF(J21="word pairs",21,IF(J21="word triads",22,IF(J21="generated words",23,IF(J21="word definition pairs",24,IF(J21="math problems",25,IF(J21="famous faces",26,IF(J21="famous names",27,IF(J21="famous voices",28,IF(J21="television programs",29,IF(J21="race horses",30,IF(J21="new vocabulary",31,IF(J21="sentences",32,IF(J21="concepts",33,IF(J21="ad slides",34,IF(J21="scenes",35,IF(J21="famous scenes",36,IF(J21="poems",37,IF(J21="walk",38,IF(J21="faces and events",39,IF(J21="events and names",40,IF(J21="flashbulb",41,IF(J21="stories",42,IF(J21="course material",43,IF(J21="autobiographical",44,IF(J21="novels",45,IF(J21="public events",46,"99"))))))))))))))))))))))))))))))))))))))))))))))</f>
        <v>9</v>
      </c>
      <c r="L21" s="60">
        <f>IF(J21="syllables",1,IF(J21="trigrams",1,IF(J21="strings",1,IF(J21="visual array",1,IF(J21="characters",1,IF(J21="letters",1,IF(J21="free forms",1,IF(J21="odors",2,IF(J21="words",2,IF(J21="pictures",2,IF(J21="object pictures",2,IF(J21="faces",2,IF(J21="names",2,IF(J21="idioms","2",IF(J21="grades",2,IF(J21="syllable-digit pairs",3,IF(J21="trigram-word pairs",3,IF(J21="word-digit pairs",3,IF(J21="English-Swahili pairs",3,IF(J21="spatial position",3,IF(J21="word pairs",4,IF(J21="word triads",4,IF(J21="generated words",4,IF(J21="word definition pairs",4,IF(J21="math problems",4,IF(J21="famous faces",4,IF(J21="famous names",4,IF(J21="famous voices",4,IF(J21="television programs",4,IF(J21="race horses",4,IF(J21="new vocabulary",4,IF(J21="sentences",5,IF(J21="concepts",5,IF(J21="ad slides",5,IF(J21="scenes",5,IF(J21="famous scenes",5,IF(J21="poems",6,IF(J21="walk",6,IF(J21="faces and events",6,IF(J21="events and names",6,IF(J21="flashbulb",7,IF(J21="stories",7,IF(J21="course material",7,IF(J21="autobiographical",7,IF(J21="novels",7,IF(J21="public events",7,"99"))))))))))))))))))))))))))))))))))))))))))))))</f>
        <v>2</v>
      </c>
      <c r="M21" s="60">
        <v>0</v>
      </c>
      <c r="N21" s="60">
        <v>1</v>
      </c>
      <c r="O21" s="60">
        <v>1</v>
      </c>
      <c r="P21" s="60" t="s">
        <v>60</v>
      </c>
      <c r="Q21" s="60" t="s">
        <v>174</v>
      </c>
      <c r="R21" s="60">
        <f>IF(Q21="Free Recall",1,IF(Q21="Cued Recall",2,IF(Q21="Recognition",3,IF(Q21="Multiple Choice",4,IF(Q21="Savings",5,IF(Q21="Stem Completion",6,IF(Q21="Fragment Completion",7,IF(Q21="anagram solution",8,IF(Q21="Matching",9,IF(Q21="Problem Solving",10,"99"))))))))))</f>
        <v>1</v>
      </c>
      <c r="S21" s="60" t="s">
        <v>49</v>
      </c>
      <c r="T21" s="59" t="s">
        <v>581</v>
      </c>
      <c r="U21" s="60">
        <f>IF(T21="within",1,0)</f>
        <v>1</v>
      </c>
      <c r="V21" s="59">
        <v>25</v>
      </c>
      <c r="W21" s="60">
        <f>F21*V21</f>
        <v>400</v>
      </c>
      <c r="X21" s="60">
        <v>5</v>
      </c>
      <c r="Y21" s="76">
        <f>AV20</f>
        <v>0.01</v>
      </c>
      <c r="Z21" s="59" t="s">
        <v>929</v>
      </c>
      <c r="AA21" s="60">
        <v>20</v>
      </c>
      <c r="AB21" s="60" t="str">
        <f>IF(AA21&lt;60,"1",IF(AA21&lt;=43200,"2",IF(AA21&lt;=777600,"3","4")))</f>
        <v>1</v>
      </c>
      <c r="AC21" s="56">
        <f>AVERAGE(AV20:DA20)</f>
        <v>7.4019999999999992</v>
      </c>
      <c r="AD21" s="60" t="str">
        <f>IF(AC21&lt;60,"1",IF(AC21&lt;=43200,"2",IF(AC21&lt;=777600,"3","4")))</f>
        <v>1</v>
      </c>
      <c r="AE21" s="76">
        <f>AA21-Y21</f>
        <v>19.989999999999998</v>
      </c>
      <c r="AF21" s="80">
        <f>AV21</f>
        <v>1</v>
      </c>
      <c r="AG21" s="56">
        <f>((AW21-AV21)+(AX21-AW21)+(AY21-AX21)+(AZ21-AY21))/4</f>
        <v>-0.14781566749002267</v>
      </c>
      <c r="AH21" s="4"/>
      <c r="AI21" s="56">
        <f>RSQ(AV21:AZ21,AV20:AZ20)</f>
        <v>0.73723768534105394</v>
      </c>
      <c r="AJ21" s="109">
        <f>SLOPE(AV21:AZ21,AV20:AZ20)</f>
        <v>-2.613611955210424E-2</v>
      </c>
      <c r="AK21" s="56">
        <f>INTERCEPT(AV21:AZ21,AV20:AZ20)</f>
        <v>0.83931196735093161</v>
      </c>
      <c r="AL21" s="56">
        <f>INDEX(LINEST(LN(AV21:AZ21),LN(AV20:AZ20),TRUE,TRUE),3,1)</f>
        <v>0.80730003501306147</v>
      </c>
      <c r="AM21" s="56">
        <f>INDEX(LINEST(LN(AV21:AZ21),LN(AV20:AZ20)),1)</f>
        <v>-0.10987631838539494</v>
      </c>
      <c r="AN21" s="56">
        <f>EXP(INDEX(LINEST(LN(AV21:AZ21),LN(AV20:AZ20)),1,2))</f>
        <v>0.65256853287809802</v>
      </c>
      <c r="AO21" s="82">
        <f>INDEX(LINEST((AV21:AZ21),LN(AV20:AZ20),TRUE,TRUE),3,1)</f>
        <v>0.88699871587120305</v>
      </c>
      <c r="AP21" s="82">
        <f>INDEX(LINEST((AV21:AZ21),LN(AV20:AZ20)),1)</f>
        <v>-7.55139035608966E-2</v>
      </c>
      <c r="AQ21" s="83">
        <f>INDEX(LINEST(LN(AV21:AZ21),SQRT(AV20:AZ20),TRUE,TRUE),3,1)</f>
        <v>0.96190702682135676</v>
      </c>
      <c r="AR21" s="116">
        <f>INDEX(LINEST(LN(AV21:AZ21),SQRT((AV20:AZ20))),1)</f>
        <v>-0.21838255149512056</v>
      </c>
      <c r="AS21" s="84">
        <f>INDEX(LINEST(1/(AV21:AZ21),1/(SQRT(AV20:AZ20)),TRUE,TRUE),3,1)</f>
        <v>0.48696452658031536</v>
      </c>
      <c r="AT21" s="84">
        <f>INDEX(LINEST(1/(AV21:AZ21),1/SQRT(AV20:AZ20)),1)</f>
        <v>-9.8913528928207775E-2</v>
      </c>
      <c r="AU21" s="3"/>
      <c r="AV21" s="53">
        <v>1</v>
      </c>
      <c r="AW21" s="53">
        <v>0.76617976268333332</v>
      </c>
      <c r="AX21" s="53">
        <v>0.60472593305246936</v>
      </c>
      <c r="AY21" s="53">
        <v>0.449619026355568</v>
      </c>
      <c r="AZ21" s="53">
        <v>0.40873733003990936</v>
      </c>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1"/>
      <c r="CS21" s="1"/>
      <c r="CT21" s="1"/>
      <c r="CU21" s="1"/>
    </row>
    <row r="22" spans="1:99" s="13" customFormat="1" ht="12" customHeight="1" x14ac:dyDescent="0.2">
      <c r="A22" s="65">
        <v>43902</v>
      </c>
      <c r="B22" s="1"/>
      <c r="C22" s="1"/>
      <c r="D22" s="60"/>
      <c r="E22" s="76"/>
      <c r="F22" s="60"/>
      <c r="G22" s="60"/>
      <c r="H22" s="60"/>
      <c r="I22" s="60"/>
      <c r="J22" s="60"/>
      <c r="K22" s="64"/>
      <c r="L22" s="64"/>
      <c r="M22" s="60"/>
      <c r="N22" s="61"/>
      <c r="O22" s="60"/>
      <c r="P22" s="60"/>
      <c r="Q22" s="60"/>
      <c r="R22" s="60"/>
      <c r="S22" s="60"/>
      <c r="T22" s="59"/>
      <c r="U22" s="60"/>
      <c r="V22" s="59"/>
      <c r="W22" s="60"/>
      <c r="X22" s="60"/>
      <c r="Y22" s="76"/>
      <c r="Z22" s="59"/>
      <c r="AA22" s="59"/>
      <c r="AB22" s="60"/>
      <c r="AC22" s="56"/>
      <c r="AD22" s="60"/>
      <c r="AE22" s="60"/>
      <c r="AF22" s="80"/>
      <c r="AG22" s="56"/>
      <c r="AH22" s="4"/>
      <c r="AI22" s="56"/>
      <c r="AJ22" s="109"/>
      <c r="AK22" s="56"/>
      <c r="AL22" s="56"/>
      <c r="AM22" s="56"/>
      <c r="AN22" s="56"/>
      <c r="AO22" s="82"/>
      <c r="AP22" s="82"/>
      <c r="AQ22" s="83"/>
      <c r="AR22" s="116"/>
      <c r="AS22" s="84"/>
      <c r="AT22" s="84"/>
      <c r="AU22" s="3"/>
      <c r="AV22" s="53">
        <v>0.01</v>
      </c>
      <c r="AW22" s="25">
        <v>5</v>
      </c>
      <c r="AX22" s="25">
        <v>10</v>
      </c>
      <c r="AY22" s="25">
        <v>15</v>
      </c>
      <c r="AZ22" s="25">
        <v>30</v>
      </c>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1"/>
      <c r="CS22" s="1"/>
      <c r="CT22" s="1"/>
      <c r="CU22" s="1"/>
    </row>
    <row r="23" spans="1:99" s="13" customFormat="1" ht="12" customHeight="1" x14ac:dyDescent="0.2">
      <c r="A23" s="65">
        <v>43902</v>
      </c>
      <c r="B23" s="1" t="s">
        <v>448</v>
      </c>
      <c r="C23" s="1" t="s">
        <v>357</v>
      </c>
      <c r="D23" s="60">
        <v>1988</v>
      </c>
      <c r="E23" s="76">
        <v>1</v>
      </c>
      <c r="F23" s="60">
        <v>4</v>
      </c>
      <c r="G23" s="60">
        <v>4</v>
      </c>
      <c r="H23" s="60" t="s">
        <v>450</v>
      </c>
      <c r="I23" s="60" t="s">
        <v>330</v>
      </c>
      <c r="J23" s="59" t="s">
        <v>16</v>
      </c>
      <c r="K23" s="60">
        <f>IF(J23="syllables",1,IF(J23="trigrams",2,IF(J23="strings",3,IF(J23="visual array",4,IF(J23="characters",5,IF(J23="letters",6,IF(J23="free forms",7,IF(J23="odors",8,IF(J23="words",9,IF(J23="pictures",10,IF(J23="object pictures",11,IF(J23="faces",12,IF(J23="names",13,IF(J23="idioms",14,IF(J23="grades",15,IF(J23="syllable-digit pairs",16,IF(J23="trigram-word pairs",17,IF(J23="word-digit pairs",18,IF(J23="English-Swahili pairs",19,IF(J23="spatial position",20,IF(J23="word pairs",21,IF(J23="word triads",22,IF(J23="generated words",23,IF(J23="word definition pairs",24,IF(J23="math problems",25,IF(J23="famous faces",26,IF(J23="famous names",27,IF(J23="famous voices",28,IF(J23="television programs",29,IF(J23="race horses",30,IF(J23="new vocabulary",31,IF(J23="sentences",32,IF(J23="concepts",33,IF(J23="ad slides",34,IF(J23="scenes",35,IF(J23="famous scenes",36,IF(J23="poems",37,IF(J23="walk",38,IF(J23="faces and events",39,IF(J23="events and names",40,IF(J23="flashbulb",41,IF(J23="stories",42,IF(J23="course material",43,IF(J23="autobiographical",44,IF(J23="novels",45,IF(J23="public events",46,"99"))))))))))))))))))))))))))))))))))))))))))))))</f>
        <v>9</v>
      </c>
      <c r="L23" s="60">
        <f>IF(J23="syllables",1,IF(J23="trigrams",1,IF(J23="strings",1,IF(J23="visual array",1,IF(J23="characters",1,IF(J23="letters",1,IF(J23="free forms",1,IF(J23="odors",2,IF(J23="words",2,IF(J23="pictures",2,IF(J23="object pictures",2,IF(J23="faces",2,IF(J23="names",2,IF(J23="idioms","2",IF(J23="grades",2,IF(J23="syllable-digit pairs",3,IF(J23="trigram-word pairs",3,IF(J23="word-digit pairs",3,IF(J23="English-Swahili pairs",3,IF(J23="spatial position",3,IF(J23="word pairs",4,IF(J23="word triads",4,IF(J23="generated words",4,IF(J23="word definition pairs",4,IF(J23="math problems",4,IF(J23="famous faces",4,IF(J23="famous names",4,IF(J23="famous voices",4,IF(J23="television programs",4,IF(J23="race horses",4,IF(J23="new vocabulary",4,IF(J23="sentences",5,IF(J23="concepts",5,IF(J23="ad slides",5,IF(J23="scenes",5,IF(J23="famous scenes",5,IF(J23="poems",6,IF(J23="walk",6,IF(J23="faces and events",6,IF(J23="events and names",6,IF(J23="flashbulb",7,IF(J23="stories",7,IF(J23="course material",7,IF(J23="autobiographical",7,IF(J23="novels",7,IF(J23="public events",7,"99"))))))))))))))))))))))))))))))))))))))))))))))</f>
        <v>2</v>
      </c>
      <c r="M23" s="60">
        <v>0</v>
      </c>
      <c r="N23" s="60">
        <v>1</v>
      </c>
      <c r="O23" s="60">
        <v>1</v>
      </c>
      <c r="P23" s="60" t="s">
        <v>27</v>
      </c>
      <c r="Q23" s="60" t="s">
        <v>174</v>
      </c>
      <c r="R23" s="60">
        <f>IF(Q23="Free Recall",1,IF(Q23="Cued Recall",2,IF(Q23="Recognition",3,IF(Q23="Multiple Choice",4,IF(Q23="Savings",5,IF(Q23="Stem Completion",6,IF(Q23="Fragment Completion",7,IF(Q23="anagram solution",8,IF(Q23="Matching",9,IF(Q23="Problem Solving",10,"99"))))))))))</f>
        <v>1</v>
      </c>
      <c r="S23" s="60" t="s">
        <v>49</v>
      </c>
      <c r="T23" s="59" t="s">
        <v>581</v>
      </c>
      <c r="U23" s="60">
        <f>IF(T23="within",1,0)</f>
        <v>1</v>
      </c>
      <c r="V23" s="59">
        <v>15</v>
      </c>
      <c r="W23" s="60">
        <f>F23*V23</f>
        <v>60</v>
      </c>
      <c r="X23" s="60">
        <v>5</v>
      </c>
      <c r="Y23" s="76">
        <f>AV22</f>
        <v>0.01</v>
      </c>
      <c r="Z23" s="59" t="s">
        <v>52</v>
      </c>
      <c r="AA23" s="59">
        <v>30</v>
      </c>
      <c r="AB23" s="60" t="str">
        <f>IF(AA23&lt;60,"1",IF(AA23&lt;=43200,"2",IF(AA23&lt;=777600,"3","4")))</f>
        <v>1</v>
      </c>
      <c r="AC23" s="56">
        <f>AVERAGE(AV22:DA22)</f>
        <v>12.001999999999999</v>
      </c>
      <c r="AD23" s="60" t="str">
        <f>IF(AC23&lt;60,"1",IF(AC23&lt;=43200,"2",IF(AC23&lt;=777600,"3","4")))</f>
        <v>1</v>
      </c>
      <c r="AE23" s="76">
        <f>AA23-Y23</f>
        <v>29.99</v>
      </c>
      <c r="AF23" s="80">
        <f>AV23</f>
        <v>1</v>
      </c>
      <c r="AG23" s="56">
        <f>((AW23-AV23)+(AX23-AW23)+(AY23-AX23)+(AZ23-AY23))/4</f>
        <v>-0.1225</v>
      </c>
      <c r="AH23" s="4"/>
      <c r="AI23" s="56">
        <f>RSQ(AV23:AZ23,AV22:AZ22)</f>
        <v>0.87744486458926696</v>
      </c>
      <c r="AJ23" s="109">
        <f>SLOPE(AV23:AZ23,AV22:AZ22)</f>
        <v>-1.5133869656618898E-2</v>
      </c>
      <c r="AK23" s="56">
        <f>INTERCEPT(AV23:AZ23,AV22:AZ22)</f>
        <v>0.91363670361873994</v>
      </c>
      <c r="AL23" s="56">
        <f>INDEX(LINEST(LN(AV23:AZ23),LN(AV22:AZ22),TRUE,TRUE),3,1)</f>
        <v>0.73544565890084335</v>
      </c>
      <c r="AM23" s="56">
        <f>INDEX(LINEST(LN(AV23:AZ23),LN(AV22:AZ22)),1)</f>
        <v>-6.737198421982793E-2</v>
      </c>
      <c r="AN23" s="56">
        <f>EXP(INDEX(LINEST(LN(AV23:AZ23),LN(AV22:AZ22)),1,2))</f>
        <v>0.76730704069457645</v>
      </c>
      <c r="AO23" s="82">
        <f>INDEX(LINEST((AV23:AZ23),LN(AV22:AZ22),TRUE,TRUE),3,1)</f>
        <v>0.82145445368287273</v>
      </c>
      <c r="AP23" s="82">
        <f>INDEX(LINEST((AV23:AZ23),LN(AV22:AZ22)),1)</f>
        <v>-5.1922049681702984E-2</v>
      </c>
      <c r="AQ23" s="83">
        <f>INDEX(LINEST(LN(AV23:AZ23),SQRT(AV22:AZ22),TRUE,TRUE),3,1)</f>
        <v>0.98317651352563162</v>
      </c>
      <c r="AR23" s="116">
        <f>INDEX(LINEST(LN(AV23:AZ23),SQRT((AV22:AZ22))),1)</f>
        <v>-0.12675016966523908</v>
      </c>
      <c r="AS23" s="84">
        <f>INDEX(LINEST(1/(AV23:AZ23),1/(SQRT(AV22:AZ22)),TRUE,TRUE),3,1)</f>
        <v>0.46976052142011815</v>
      </c>
      <c r="AT23" s="84">
        <f>INDEX(LINEST(1/(AV23:AZ23),1/SQRT(AV22:AZ22)),1)</f>
        <v>-5.7813684707007811E-2</v>
      </c>
      <c r="AU23" s="3"/>
      <c r="AV23" s="53">
        <v>1</v>
      </c>
      <c r="AW23" s="53">
        <v>0.8</v>
      </c>
      <c r="AX23" s="53">
        <v>0.73</v>
      </c>
      <c r="AY23" s="53">
        <v>0.62</v>
      </c>
      <c r="AZ23" s="53">
        <v>0.51</v>
      </c>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1"/>
      <c r="CS23" s="1"/>
      <c r="CT23" s="1"/>
      <c r="CU23" s="1"/>
    </row>
    <row r="24" spans="1:99" s="13" customFormat="1" ht="12" customHeight="1" x14ac:dyDescent="0.2">
      <c r="A24" s="65">
        <v>43509</v>
      </c>
      <c r="B24" s="1"/>
      <c r="C24" s="1"/>
      <c r="D24" s="60"/>
      <c r="E24" s="76"/>
      <c r="F24" s="60"/>
      <c r="G24" s="60"/>
      <c r="H24" s="60"/>
      <c r="I24" s="60"/>
      <c r="J24" s="60"/>
      <c r="K24" s="64"/>
      <c r="L24" s="64"/>
      <c r="M24" s="60"/>
      <c r="N24" s="60"/>
      <c r="O24" s="60"/>
      <c r="P24" s="60"/>
      <c r="Q24" s="60"/>
      <c r="R24" s="60"/>
      <c r="S24" s="60"/>
      <c r="T24" s="60"/>
      <c r="U24" s="60"/>
      <c r="V24" s="60"/>
      <c r="W24" s="60"/>
      <c r="X24" s="60"/>
      <c r="Y24" s="76"/>
      <c r="Z24" s="60"/>
      <c r="AA24" s="60"/>
      <c r="AB24" s="60"/>
      <c r="AC24" s="60"/>
      <c r="AD24" s="60"/>
      <c r="AE24" s="60"/>
      <c r="AF24" s="80"/>
      <c r="AG24" s="56"/>
      <c r="AH24" s="4"/>
      <c r="AI24" s="56"/>
      <c r="AJ24" s="109"/>
      <c r="AK24" s="56"/>
      <c r="AL24" s="56"/>
      <c r="AM24" s="56"/>
      <c r="AN24" s="56"/>
      <c r="AO24" s="56"/>
      <c r="AP24" s="56"/>
      <c r="AQ24" s="56"/>
      <c r="AR24" s="109"/>
      <c r="AS24" s="56"/>
      <c r="AT24" s="56"/>
      <c r="AU24" s="4"/>
      <c r="AV24" s="53">
        <v>0.01</v>
      </c>
      <c r="AW24" s="25">
        <v>3</v>
      </c>
      <c r="AX24" s="25">
        <v>6</v>
      </c>
      <c r="AY24" s="25">
        <v>9</v>
      </c>
      <c r="AZ24" s="25">
        <v>12</v>
      </c>
      <c r="BA24" s="25">
        <v>18</v>
      </c>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1"/>
      <c r="CS24" s="1"/>
      <c r="CT24" s="1"/>
      <c r="CU24" s="1"/>
    </row>
    <row r="25" spans="1:99" s="13" customFormat="1" ht="12" customHeight="1" x14ac:dyDescent="0.2">
      <c r="A25" s="65">
        <v>43509</v>
      </c>
      <c r="B25" s="1" t="s">
        <v>248</v>
      </c>
      <c r="C25" s="1" t="s">
        <v>19</v>
      </c>
      <c r="D25" s="60">
        <v>1961</v>
      </c>
      <c r="E25" s="76">
        <v>1</v>
      </c>
      <c r="F25" s="60">
        <v>24</v>
      </c>
      <c r="G25" s="60">
        <v>24</v>
      </c>
      <c r="H25" s="60" t="s">
        <v>22</v>
      </c>
      <c r="I25" s="60" t="s">
        <v>443</v>
      </c>
      <c r="J25" s="60" t="s">
        <v>443</v>
      </c>
      <c r="K25" s="60">
        <f>IF(J25="syllables",1,IF(J25="trigrams",2,IF(J25="strings",3,IF(J25="visual array",4,IF(J25="characters",5,IF(J25="letters",6,IF(J25="free forms",7,IF(J25="odors",8,IF(J25="words",9,IF(J25="pictures",10,IF(J25="object pictures",11,IF(J25="faces",12,IF(J25="names",13,IF(J25="idioms",14,IF(J25="grades",15,IF(J25="syllable-digit pairs",16,IF(J25="trigram-word pairs",17,IF(J25="word-digit pairs",18,IF(J25="English-Swahili pairs",19,IF(J25="spatial position",20,IF(J25="word pairs",21,IF(J25="word triads",22,IF(J25="generated words",23,IF(J25="word definition pairs",24,IF(J25="math problems",25,IF(J25="famous faces",26,IF(J25="famous names",27,IF(J25="famous voices",28,IF(J25="television programs",29,IF(J25="race horses",30,IF(J25="new vocabulary",31,IF(J25="sentences",32,IF(J25="concepts",33,IF(J25="ad slides",34,IF(J25="scenes",35,IF(J25="famous scenes",36,IF(J25="poems",37,IF(J25="walk",38,IF(J25="faces and events",39,IF(J25="events and names",40,IF(J25="flashbulb",41,IF(J25="stories",42,IF(J25="course material",43,IF(J25="autobiographical",44,IF(J25="novels",45,IF(J25="public events",46,"99"))))))))))))))))))))))))))))))))))))))))))))))</f>
        <v>2</v>
      </c>
      <c r="L25" s="60">
        <f>IF(J25="syllables",1,IF(J25="trigrams",1,IF(J25="strings",1,IF(J25="visual array",1,IF(J25="characters",1,IF(J25="letters",1,IF(J25="free forms",1,IF(J25="odors",2,IF(J25="words",2,IF(J25="pictures",2,IF(J25="object pictures",2,IF(J25="faces",2,IF(J25="names",2,IF(J25="idioms","2",IF(J25="grades",2,IF(J25="syllable-digit pairs",3,IF(J25="trigram-word pairs",3,IF(J25="word-digit pairs",3,IF(J25="English-Swahili pairs",3,IF(J25="spatial position",3,IF(J25="word pairs",4,IF(J25="word triads",4,IF(J25="generated words",4,IF(J25="word definition pairs",4,IF(J25="math problems",4,IF(J25="famous faces",4,IF(J25="famous names",4,IF(J25="famous voices",4,IF(J25="television programs",4,IF(J25="race horses",4,IF(J25="new vocabulary",4,IF(J25="sentences",5,IF(J25="concepts",5,IF(J25="ad slides",5,IF(J25="scenes",5,IF(J25="famous scenes",5,IF(J25="poems",6,IF(J25="walk",6,IF(J25="faces and events",6,IF(J25="events and names",6,IF(J25="flashbulb",7,IF(J25="stories",7,IF(J25="course material",7,IF(J25="autobiographical",7,IF(J25="novels",7,IF(J25="public events",7,"99"))))))))))))))))))))))))))))))))))))))))))))))</f>
        <v>1</v>
      </c>
      <c r="M25" s="60">
        <v>0</v>
      </c>
      <c r="N25" s="60">
        <v>1</v>
      </c>
      <c r="O25" s="60">
        <v>1</v>
      </c>
      <c r="P25" s="60" t="s">
        <v>27</v>
      </c>
      <c r="Q25" s="60" t="s">
        <v>174</v>
      </c>
      <c r="R25" s="60">
        <f>IF(Q25="Free Recall",1,IF(Q25="Cued Recall",2,IF(Q25="Recognition",3,IF(Q25="Multiple Choice",4,IF(Q25="Savings",5,IF(Q25="Stem Completion",6,IF(Q25="Fragment Completion",7,IF(Q25="anagram solution",8,IF(Q25="Matching",9,IF(Q25="Problem Solving",10,"99"))))))))))</f>
        <v>1</v>
      </c>
      <c r="S25" s="60" t="s">
        <v>49</v>
      </c>
      <c r="T25" s="59" t="s">
        <v>581</v>
      </c>
      <c r="U25" s="60">
        <f>IF(T25="within",1,0)</f>
        <v>1</v>
      </c>
      <c r="V25" s="59">
        <v>48</v>
      </c>
      <c r="W25" s="60">
        <f>F25*V25</f>
        <v>1152</v>
      </c>
      <c r="X25" s="60">
        <v>6</v>
      </c>
      <c r="Y25" s="76">
        <f>AV24</f>
        <v>0.01</v>
      </c>
      <c r="Z25" s="60" t="s">
        <v>28</v>
      </c>
      <c r="AA25" s="60">
        <v>18</v>
      </c>
      <c r="AB25" s="60" t="str">
        <f>IF(AA25&lt;60,"1",IF(AA25&lt;=43200,"2",IF(AA25&lt;=777600,"3","4")))</f>
        <v>1</v>
      </c>
      <c r="AC25" s="56">
        <f>AVERAGE(AV24:DA24)</f>
        <v>8.0016666666666669</v>
      </c>
      <c r="AD25" s="60" t="str">
        <f>IF(AC25&lt;60,"1",IF(AC25&lt;=43200,"2",IF(AC25&lt;=777600,"3","4")))</f>
        <v>1</v>
      </c>
      <c r="AE25" s="76">
        <f>AA25-Y25</f>
        <v>17.989999999999998</v>
      </c>
      <c r="AF25" s="80">
        <f>AV25</f>
        <v>0.94</v>
      </c>
      <c r="AG25" s="56">
        <f>((AW25-AV25)+(AX25-AW25)+(AY25-AX25)+(AZ25-AY25)+(BA25-AZ25))/5</f>
        <v>-0.15599999999999997</v>
      </c>
      <c r="AH25" s="4"/>
      <c r="AI25" s="56">
        <f>RSQ(AV25:BA25,AV24:BA24)</f>
        <v>0.81849037575686934</v>
      </c>
      <c r="AJ25" s="109">
        <f>SLOPE(AV25:BA25,AV24:BA24)</f>
        <v>-4.4534945460451836E-2</v>
      </c>
      <c r="AK25" s="56">
        <f>INTERCEPT(AV25:BA25,AV24:BA24)</f>
        <v>0.81802045525938216</v>
      </c>
      <c r="AL25" s="56">
        <f>INDEX(LINEST(LN(AV25:BA25),LN(AV24:BA24),TRUE,TRUE),3,1)</f>
        <v>0.62912140782443227</v>
      </c>
      <c r="AM25" s="56">
        <f>INDEX(LINEST(LN(AV25:BA25),LN(AV24:BA24)),1)</f>
        <v>-0.19711267967239077</v>
      </c>
      <c r="AN25" s="56">
        <f>EXP(INDEX(LINEST(LN(AV25:BA25),LN(AV24:BA24)),1,2))</f>
        <v>0.45751493307901042</v>
      </c>
      <c r="AO25" s="82">
        <f>INDEX(LINEST((AV25:BA25),LN(AV24:BA24),TRUE,TRUE),3,1)</f>
        <v>0.7387487597159994</v>
      </c>
      <c r="AP25" s="82">
        <f>INDEX(LINEST((AV25:BA25),LN(AV24:BA24)),1)</f>
        <v>-9.7812688207783757E-2</v>
      </c>
      <c r="AQ25" s="83">
        <f>INDEX(LINEST(LN(AV25:BA25),SQRT(AV24:BA24),TRUE,TRUE),3,1)</f>
        <v>0.92124945739510899</v>
      </c>
      <c r="AR25" s="116">
        <f>INDEX(LINEST(LN(AV25:BA25),SQRT((AV24:BA24))),1)</f>
        <v>-0.45974766711566617</v>
      </c>
      <c r="AS25" s="84">
        <f>INDEX(LINEST(1/(AV25:BA25),1/(SQRT(AV24:BA24)),TRUE,TRUE),3,1)</f>
        <v>0.30589057199593844</v>
      </c>
      <c r="AT25" s="84">
        <f>INDEX(LINEST(1/(AV25:BA25),1/SQRT(AV24:BA24)),1)</f>
        <v>-0.27638330850290699</v>
      </c>
      <c r="AU25" s="3"/>
      <c r="AV25" s="53">
        <v>0.94</v>
      </c>
      <c r="AW25" s="53">
        <v>0.77</v>
      </c>
      <c r="AX25" s="53">
        <v>0.4</v>
      </c>
      <c r="AY25" s="53">
        <v>0.26</v>
      </c>
      <c r="AZ25" s="53">
        <v>0.24</v>
      </c>
      <c r="BA25" s="53">
        <v>0.16</v>
      </c>
      <c r="BB25" s="53"/>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1"/>
      <c r="CS25" s="1"/>
      <c r="CT25" s="1"/>
      <c r="CU25" s="1"/>
    </row>
    <row r="26" spans="1:99" s="13" customFormat="1" ht="12" customHeight="1" x14ac:dyDescent="0.2">
      <c r="A26" s="65">
        <v>43509</v>
      </c>
      <c r="B26" s="1"/>
      <c r="C26" s="1"/>
      <c r="D26" s="60"/>
      <c r="E26" s="76"/>
      <c r="F26" s="60"/>
      <c r="G26" s="60"/>
      <c r="H26" s="60"/>
      <c r="I26" s="60"/>
      <c r="J26" s="60"/>
      <c r="K26" s="64"/>
      <c r="L26" s="64"/>
      <c r="M26" s="60"/>
      <c r="N26" s="60"/>
      <c r="O26" s="60"/>
      <c r="P26" s="60"/>
      <c r="Q26" s="60"/>
      <c r="R26" s="60"/>
      <c r="S26" s="60"/>
      <c r="T26" s="60"/>
      <c r="U26" s="60"/>
      <c r="V26" s="60"/>
      <c r="W26" s="60"/>
      <c r="X26" s="60"/>
      <c r="Y26" s="76"/>
      <c r="Z26" s="60"/>
      <c r="AA26" s="60"/>
      <c r="AB26" s="60"/>
      <c r="AC26" s="60"/>
      <c r="AD26" s="60"/>
      <c r="AE26" s="60"/>
      <c r="AF26" s="80"/>
      <c r="AG26" s="56"/>
      <c r="AH26" s="4"/>
      <c r="AI26" s="56"/>
      <c r="AJ26" s="109"/>
      <c r="AK26" s="56"/>
      <c r="AL26" s="56"/>
      <c r="AM26" s="56"/>
      <c r="AN26" s="56"/>
      <c r="AO26" s="82"/>
      <c r="AP26" s="82"/>
      <c r="AQ26" s="56"/>
      <c r="AR26" s="109"/>
      <c r="AS26" s="56"/>
      <c r="AT26" s="56"/>
      <c r="AU26" s="3"/>
      <c r="AV26" s="53">
        <v>0.01</v>
      </c>
      <c r="AW26" s="25">
        <v>3</v>
      </c>
      <c r="AX26" s="25">
        <v>6</v>
      </c>
      <c r="AY26" s="25">
        <v>9</v>
      </c>
      <c r="AZ26" s="25">
        <v>12</v>
      </c>
      <c r="BA26" s="25">
        <v>18</v>
      </c>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1"/>
      <c r="CS26" s="1"/>
      <c r="CT26" s="1"/>
      <c r="CU26" s="1"/>
    </row>
    <row r="27" spans="1:99" s="13" customFormat="1" ht="12" customHeight="1" x14ac:dyDescent="0.2">
      <c r="A27" s="65">
        <v>43509</v>
      </c>
      <c r="B27" s="1" t="s">
        <v>248</v>
      </c>
      <c r="C27" s="1" t="s">
        <v>19</v>
      </c>
      <c r="D27" s="60">
        <v>1961</v>
      </c>
      <c r="E27" s="76">
        <v>1</v>
      </c>
      <c r="F27" s="60">
        <v>24</v>
      </c>
      <c r="G27" s="60">
        <v>24</v>
      </c>
      <c r="H27" s="60" t="s">
        <v>22</v>
      </c>
      <c r="I27" s="60" t="s">
        <v>16</v>
      </c>
      <c r="J27" s="60" t="s">
        <v>16</v>
      </c>
      <c r="K27" s="60">
        <f>IF(J27="syllables",1,IF(J27="trigrams",2,IF(J27="strings",3,IF(J27="visual array",4,IF(J27="characters",5,IF(J27="letters",6,IF(J27="free forms",7,IF(J27="odors",8,IF(J27="words",9,IF(J27="pictures",10,IF(J27="object pictures",11,IF(J27="faces",12,IF(J27="names",13,IF(J27="idioms",14,IF(J27="grades",15,IF(J27="syllable-digit pairs",16,IF(J27="trigram-word pairs",17,IF(J27="word-digit pairs",18,IF(J27="English-Swahili pairs",19,IF(J27="spatial position",20,IF(J27="word pairs",21,IF(J27="word triads",22,IF(J27="generated words",23,IF(J27="word definition pairs",24,IF(J27="math problems",25,IF(J27="famous faces",26,IF(J27="famous names",27,IF(J27="famous voices",28,IF(J27="television programs",29,IF(J27="race horses",30,IF(J27="new vocabulary",31,IF(J27="sentences",32,IF(J27="concepts",33,IF(J27="ad slides",34,IF(J27="scenes",35,IF(J27="famous scenes",36,IF(J27="poems",37,IF(J27="walk",38,IF(J27="faces and events",39,IF(J27="events and names",40,IF(J27="flashbulb",41,IF(J27="stories",42,IF(J27="course material",43,IF(J27="autobiographical",44,IF(J27="novels",45,IF(J27="public events",46,"99"))))))))))))))))))))))))))))))))))))))))))))))</f>
        <v>9</v>
      </c>
      <c r="L27" s="60">
        <f>IF(J27="syllables",1,IF(J27="trigrams",1,IF(J27="strings",1,IF(J27="visual array",1,IF(J27="characters",1,IF(J27="letters",1,IF(J27="free forms",1,IF(J27="odors",2,IF(J27="words",2,IF(J27="pictures",2,IF(J27="object pictures",2,IF(J27="faces",2,IF(J27="names",2,IF(J27="idioms","2",IF(J27="grades",2,IF(J27="syllable-digit pairs",3,IF(J27="trigram-word pairs",3,IF(J27="word-digit pairs",3,IF(J27="English-Swahili pairs",3,IF(J27="spatial position",3,IF(J27="word pairs",4,IF(J27="word triads",4,IF(J27="generated words",4,IF(J27="word definition pairs",4,IF(J27="math problems",4,IF(J27="famous faces",4,IF(J27="famous names",4,IF(J27="famous voices",4,IF(J27="television programs",4,IF(J27="race horses",4,IF(J27="new vocabulary",4,IF(J27="sentences",5,IF(J27="concepts",5,IF(J27="ad slides",5,IF(J27="scenes",5,IF(J27="famous scenes",5,IF(J27="poems",6,IF(J27="walk",6,IF(J27="faces and events",6,IF(J27="events and names",6,IF(J27="flashbulb",7,IF(J27="stories",7,IF(J27="course material",7,IF(J27="autobiographical",7,IF(J27="novels",7,IF(J27="public events",7,"99"))))))))))))))))))))))))))))))))))))))))))))))</f>
        <v>2</v>
      </c>
      <c r="M27" s="60">
        <v>0</v>
      </c>
      <c r="N27" s="60">
        <v>1</v>
      </c>
      <c r="O27" s="60">
        <v>1</v>
      </c>
      <c r="P27" s="60" t="s">
        <v>27</v>
      </c>
      <c r="Q27" s="60" t="s">
        <v>174</v>
      </c>
      <c r="R27" s="60">
        <f>IF(Q27="Free Recall",1,IF(Q27="Cued Recall",2,IF(Q27="Recognition",3,IF(Q27="Multiple Choice",4,IF(Q27="Savings",5,IF(Q27="Stem Completion",6,IF(Q27="Fragment Completion",7,IF(Q27="anagram solution",8,IF(Q27="Matching",9,IF(Q27="Problem Solving",10,"99"))))))))))</f>
        <v>1</v>
      </c>
      <c r="S27" s="60" t="s">
        <v>49</v>
      </c>
      <c r="T27" s="59" t="s">
        <v>581</v>
      </c>
      <c r="U27" s="60">
        <f>IF(T27="within",1,0)</f>
        <v>1</v>
      </c>
      <c r="V27" s="59">
        <v>48</v>
      </c>
      <c r="W27" s="60">
        <f>F27*V27</f>
        <v>1152</v>
      </c>
      <c r="X27" s="60">
        <v>6</v>
      </c>
      <c r="Y27" s="76">
        <f>AV26</f>
        <v>0.01</v>
      </c>
      <c r="Z27" s="60" t="s">
        <v>28</v>
      </c>
      <c r="AA27" s="60">
        <v>18</v>
      </c>
      <c r="AB27" s="60" t="str">
        <f>IF(AA27&lt;60,"1",IF(AA27&lt;=43200,"2",IF(AA27&lt;=777600,"3","4")))</f>
        <v>1</v>
      </c>
      <c r="AC27" s="56">
        <f>AVERAGE(AV26:DA26)</f>
        <v>8.0016666666666669</v>
      </c>
      <c r="AD27" s="60" t="str">
        <f>IF(AC27&lt;60,"1",IF(AC27&lt;=43200,"2",IF(AC27&lt;=777600,"3","4")))</f>
        <v>1</v>
      </c>
      <c r="AE27" s="76">
        <f>AA27-Y27</f>
        <v>17.989999999999998</v>
      </c>
      <c r="AF27" s="80">
        <f>AV27</f>
        <v>0.98</v>
      </c>
      <c r="AG27" s="56">
        <f>((AW27-AV27)+(AX27-AW27)+(AY27-AX27)+(AZ27-AY27)+(BA27-AZ27))/5</f>
        <v>-2.8000000000000004E-2</v>
      </c>
      <c r="AH27" s="4"/>
      <c r="AI27" s="56">
        <f>RSQ(AV27:BA27,AV26:BA26)</f>
        <v>0.90877600129590974</v>
      </c>
      <c r="AJ27" s="109">
        <f>SLOPE(AV27:BA27,AV26:BA26)</f>
        <v>-9.3377456880854911E-3</v>
      </c>
      <c r="AK27" s="56">
        <f>INTERCEPT(AV27:BA27,AV26:BA26)</f>
        <v>0.99805086174749746</v>
      </c>
      <c r="AL27" s="56">
        <f>INDEX(LINEST(LN(AV27:BA27),LN(AV26:BA26),TRUE,TRUE),3,1)</f>
        <v>0.3780058904665447</v>
      </c>
      <c r="AM27" s="56">
        <f>INDEX(LINEST(LN(AV27:BA27),LN(AV26:BA26)),1)</f>
        <v>-1.523492902687193E-2</v>
      </c>
      <c r="AN27" s="56">
        <f>EXP(INDEX(LINEST(LN(AV27:BA27),LN(AV26:BA26)),1,2))</f>
        <v>0.93530115235158784</v>
      </c>
      <c r="AO27" s="82">
        <f>INDEX(LINEST((AV27:BA27),LN(AV26:BA26),TRUE,TRUE),3,1)</f>
        <v>0.38205855615865225</v>
      </c>
      <c r="AP27" s="82">
        <f>INDEX(LINEST((AV27:BA27),LN(AV26:BA26)),1)</f>
        <v>-1.3996880611666767E-2</v>
      </c>
      <c r="AQ27" s="83">
        <f>INDEX(LINEST(LN(AV27:BA27),SQRT(AV26:BA26),TRUE,TRUE),3,1)</f>
        <v>0.75670580483261896</v>
      </c>
      <c r="AR27" s="116">
        <f>INDEX(LINEST(LN(AV27:BA27),SQRT((AV26:BA26))),1)</f>
        <v>-4.1546865669824865E-2</v>
      </c>
      <c r="AS27" s="84">
        <f>INDEX(LINEST(1/(AV27:BA27),1/(SQRT(AV26:BA26)),TRUE,TRUE),3,1)</f>
        <v>0.20806471826762604</v>
      </c>
      <c r="AT27" s="84">
        <f>INDEX(LINEST(1/(AV27:BA27),1/SQRT(AV26:BA26)),1)</f>
        <v>-8.8301750245386723E-3</v>
      </c>
      <c r="AU27" s="3"/>
      <c r="AV27" s="53">
        <v>0.98</v>
      </c>
      <c r="AW27" s="53">
        <v>0.99</v>
      </c>
      <c r="AX27" s="53">
        <v>0.96</v>
      </c>
      <c r="AY27" s="53">
        <v>0.91</v>
      </c>
      <c r="AZ27" s="53">
        <v>0.86</v>
      </c>
      <c r="BA27" s="53">
        <v>0.84</v>
      </c>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1"/>
      <c r="CS27" s="1"/>
      <c r="CT27" s="1"/>
      <c r="CU27" s="1"/>
    </row>
    <row r="28" spans="1:99" s="13" customFormat="1" ht="12" customHeight="1" x14ac:dyDescent="0.2">
      <c r="A28" s="65">
        <v>43509</v>
      </c>
      <c r="B28" s="1"/>
      <c r="C28" s="1"/>
      <c r="D28" s="60"/>
      <c r="E28" s="76"/>
      <c r="F28" s="60"/>
      <c r="G28" s="60"/>
      <c r="H28" s="60"/>
      <c r="I28" s="60"/>
      <c r="J28" s="60"/>
      <c r="K28" s="64"/>
      <c r="L28" s="64"/>
      <c r="M28" s="60"/>
      <c r="N28" s="60"/>
      <c r="O28" s="60"/>
      <c r="P28" s="60"/>
      <c r="Q28" s="60"/>
      <c r="R28" s="60"/>
      <c r="S28" s="60"/>
      <c r="T28" s="60"/>
      <c r="U28" s="60"/>
      <c r="V28" s="59"/>
      <c r="W28" s="60"/>
      <c r="X28" s="60"/>
      <c r="Y28" s="76"/>
      <c r="Z28" s="60"/>
      <c r="AA28" s="60"/>
      <c r="AB28" s="60"/>
      <c r="AC28" s="60"/>
      <c r="AD28" s="60"/>
      <c r="AE28" s="60"/>
      <c r="AF28" s="80"/>
      <c r="AG28" s="56"/>
      <c r="AH28" s="4"/>
      <c r="AI28" s="56"/>
      <c r="AJ28" s="109"/>
      <c r="AK28" s="56"/>
      <c r="AL28" s="56"/>
      <c r="AM28" s="56"/>
      <c r="AN28" s="56"/>
      <c r="AO28" s="82"/>
      <c r="AP28" s="82"/>
      <c r="AQ28" s="56"/>
      <c r="AR28" s="109"/>
      <c r="AS28" s="56"/>
      <c r="AT28" s="56"/>
      <c r="AU28" s="3"/>
      <c r="AV28" s="53">
        <v>0.01</v>
      </c>
      <c r="AW28" s="25">
        <v>3</v>
      </c>
      <c r="AX28" s="25">
        <v>6</v>
      </c>
      <c r="AY28" s="25">
        <v>9</v>
      </c>
      <c r="AZ28" s="25">
        <v>12</v>
      </c>
      <c r="BA28" s="25">
        <v>18</v>
      </c>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1"/>
      <c r="CS28" s="1"/>
      <c r="CT28" s="1"/>
      <c r="CU28" s="1"/>
    </row>
    <row r="29" spans="1:99" s="13" customFormat="1" ht="12" customHeight="1" x14ac:dyDescent="0.2">
      <c r="A29" s="65">
        <v>43509</v>
      </c>
      <c r="B29" s="1" t="s">
        <v>248</v>
      </c>
      <c r="C29" s="1" t="s">
        <v>19</v>
      </c>
      <c r="D29" s="60">
        <v>1961</v>
      </c>
      <c r="E29" s="76">
        <v>1</v>
      </c>
      <c r="F29" s="60">
        <v>24</v>
      </c>
      <c r="G29" s="60">
        <v>24</v>
      </c>
      <c r="H29" s="60" t="s">
        <v>22</v>
      </c>
      <c r="I29" s="60" t="s">
        <v>741</v>
      </c>
      <c r="J29" s="60" t="s">
        <v>741</v>
      </c>
      <c r="K29" s="60">
        <f>IF(J29="syllables",1,IF(J29="trigrams",2,IF(J29="strings",3,IF(J29="visual array",4,IF(J29="characters",5,IF(J29="letters",6,IF(J29="free forms",7,IF(J29="odors",8,IF(J29="words",9,IF(J29="pictures",10,IF(J29="object pictures",11,IF(J29="faces",12,IF(J29="names",13,IF(J29="idioms",14,IF(J29="grades",15,IF(J29="syllable-digit pairs",16,IF(J29="trigram-word pairs",17,IF(J29="word-digit pairs",18,IF(J29="English-Swahili pairs",19,IF(J29="spatial position",20,IF(J29="word pairs",21,IF(J29="word triads",22,IF(J29="generated words",23,IF(J29="word definition pairs",24,IF(J29="math problems",25,IF(J29="famous faces",26,IF(J29="famous names",27,IF(J29="famous voices",28,IF(J29="television programs",29,IF(J29="race horses",30,IF(J29="new vocabulary",31,IF(J29="sentences",32,IF(J29="concepts",33,IF(J29="ad slides",34,IF(J29="scenes",35,IF(J29="famous scenes",36,IF(J29="poems",37,IF(J29="walk",38,IF(J29="faces and events",39,IF(J29="events and names",40,IF(J29="flashbulb",41,IF(J29="stories",42,IF(J29="course material",43,IF(J29="autobiographical",44,IF(J29="novels",45,IF(J29="public events",46,"99"))))))))))))))))))))))))))))))))))))))))))))))</f>
        <v>22</v>
      </c>
      <c r="L29" s="60">
        <f>IF(J29="syllables",1,IF(J29="trigrams",1,IF(J29="strings",1,IF(J29="visual array",1,IF(J29="characters",1,IF(J29="letters",1,IF(J29="free forms",1,IF(J29="odors",2,IF(J29="words",2,IF(J29="pictures",2,IF(J29="object pictures",2,IF(J29="faces",2,IF(J29="names",2,IF(J29="idioms","2",IF(J29="grades",2,IF(J29="syllable-digit pairs",3,IF(J29="trigram-word pairs",3,IF(J29="word-digit pairs",3,IF(J29="English-Swahili pairs",3,IF(J29="spatial position",3,IF(J29="word pairs",4,IF(J29="word triads",4,IF(J29="generated words",4,IF(J29="word definition pairs",4,IF(J29="math problems",4,IF(J29="famous faces",4,IF(J29="famous names",4,IF(J29="famous voices",4,IF(J29="television programs",4,IF(J29="race horses",4,IF(J29="new vocabulary",4,IF(J29="sentences",5,IF(J29="concepts",5,IF(J29="ad slides",5,IF(J29="scenes",5,IF(J29="famous scenes",5,IF(J29="poems",6,IF(J29="walk",6,IF(J29="faces and events",6,IF(J29="events and names",6,IF(J29="flashbulb",7,IF(J29="stories",7,IF(J29="course material",7,IF(J29="autobiographical",7,IF(J29="novels",7,IF(J29="public events",7,"99"))))))))))))))))))))))))))))))))))))))))))))))</f>
        <v>4</v>
      </c>
      <c r="M29" s="60">
        <v>0</v>
      </c>
      <c r="N29" s="60">
        <v>1</v>
      </c>
      <c r="O29" s="60">
        <v>1</v>
      </c>
      <c r="P29" s="60" t="s">
        <v>27</v>
      </c>
      <c r="Q29" s="60" t="s">
        <v>174</v>
      </c>
      <c r="R29" s="60">
        <f>IF(Q29="Free Recall",1,IF(Q29="Cued Recall",2,IF(Q29="Recognition",3,IF(Q29="Multiple Choice",4,IF(Q29="Savings",5,IF(Q29="Stem Completion",6,IF(Q29="Fragment Completion",7,IF(Q29="anagram solution",8,IF(Q29="Matching",9,IF(Q29="Problem Solving",10,"99"))))))))))</f>
        <v>1</v>
      </c>
      <c r="S29" s="60" t="s">
        <v>49</v>
      </c>
      <c r="T29" s="59" t="s">
        <v>581</v>
      </c>
      <c r="U29" s="60">
        <f>IF(T29="within",1,0)</f>
        <v>1</v>
      </c>
      <c r="V29" s="59">
        <v>48</v>
      </c>
      <c r="W29" s="60">
        <f>F29*V29</f>
        <v>1152</v>
      </c>
      <c r="X29" s="60">
        <v>6</v>
      </c>
      <c r="Y29" s="76">
        <f>AV28</f>
        <v>0.01</v>
      </c>
      <c r="Z29" s="60" t="s">
        <v>28</v>
      </c>
      <c r="AA29" s="60">
        <v>18</v>
      </c>
      <c r="AB29" s="60" t="str">
        <f>IF(AA29&lt;60,"1",IF(AA29&lt;=43200,"2",IF(AA29&lt;=777600,"3","4")))</f>
        <v>1</v>
      </c>
      <c r="AC29" s="56">
        <f>AVERAGE(AV28:DA28)</f>
        <v>8.0016666666666669</v>
      </c>
      <c r="AD29" s="60" t="str">
        <f>IF(AC29&lt;60,"1",IF(AC29&lt;=43200,"2",IF(AC29&lt;=777600,"3","4")))</f>
        <v>1</v>
      </c>
      <c r="AE29" s="76">
        <f>AA29-Y29</f>
        <v>17.989999999999998</v>
      </c>
      <c r="AF29" s="80">
        <f>AV29</f>
        <v>0.93</v>
      </c>
      <c r="AG29" s="56">
        <f>((AW29-AV29)+(AX29-AW29)+(AY29-AX29)+(AZ29-AY29)+(BA29-AZ29))/5</f>
        <v>-0.14000000000000001</v>
      </c>
      <c r="AH29" s="4"/>
      <c r="AI29" s="56">
        <f>RSQ(AV29:BA29,AV28:BA28)</f>
        <v>0.7733831226381368</v>
      </c>
      <c r="AJ29" s="109">
        <f>SLOPE(AV29:BA29,AV28:BA28)</f>
        <v>-3.8245870565720493E-2</v>
      </c>
      <c r="AK29" s="56">
        <f>INTERCEPT(AV29:BA29,AV28:BA28)</f>
        <v>0.78769737431004017</v>
      </c>
      <c r="AL29" s="56">
        <f>INDEX(LINEST(LN(AV29:BA29),LN(AV28:BA28),TRUE,TRUE),3,1)</f>
        <v>0.7015796379290582</v>
      </c>
      <c r="AM29" s="56">
        <f>INDEX(LINEST(LN(AV29:BA29),LN(AV28:BA28)),1)</f>
        <v>-0.16430871566677174</v>
      </c>
      <c r="AN29" s="56">
        <f>EXP(INDEX(LINEST(LN(AV29:BA29),LN(AV28:BA28)),1,2))</f>
        <v>0.4956550934992876</v>
      </c>
      <c r="AO29" s="82">
        <f>INDEX(LINEST((AV29:BA29),LN(AV28:BA28),TRUE,TRUE),3,1)</f>
        <v>0.79027051149362137</v>
      </c>
      <c r="AP29" s="82">
        <f>INDEX(LINEST((AV29:BA29),LN(AV28:BA28)),1)</f>
        <v>-8.9377411030479137E-2</v>
      </c>
      <c r="AQ29" s="83">
        <f>INDEX(LINEST(LN(AV29:BA29),SQRT(AV28:BA28),TRUE,TRUE),3,1)</f>
        <v>0.92294973756443077</v>
      </c>
      <c r="AR29" s="116">
        <f>INDEX(LINEST(LN(AV29:BA29),SQRT((AV28:BA28))),1)</f>
        <v>-0.36324088051232856</v>
      </c>
      <c r="AS29" s="84">
        <f>INDEX(LINEST(1/(AV29:BA29),1/(SQRT(AV28:BA28)),TRUE,TRUE),3,1)</f>
        <v>0.41115114811717846</v>
      </c>
      <c r="AT29" s="84">
        <f>INDEX(LINEST(1/(AV29:BA29),1/SQRT(AV28:BA28)),1)</f>
        <v>-0.20367997901953955</v>
      </c>
      <c r="AU29" s="3"/>
      <c r="AV29" s="53">
        <v>0.93</v>
      </c>
      <c r="AW29" s="53">
        <v>0.73</v>
      </c>
      <c r="AX29" s="53">
        <v>0.39</v>
      </c>
      <c r="AY29" s="53">
        <v>0.3</v>
      </c>
      <c r="AZ29" s="53">
        <v>0.31</v>
      </c>
      <c r="BA29" s="53">
        <v>0.23</v>
      </c>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1"/>
      <c r="CS29" s="1"/>
      <c r="CT29" s="1"/>
      <c r="CU29" s="1"/>
    </row>
    <row r="30" spans="1:99" s="13" customFormat="1" ht="12" customHeight="1" x14ac:dyDescent="0.2">
      <c r="A30" s="65">
        <v>43509</v>
      </c>
      <c r="B30" s="1"/>
      <c r="C30" s="1"/>
      <c r="D30" s="60"/>
      <c r="E30" s="76"/>
      <c r="F30" s="60"/>
      <c r="G30" s="60"/>
      <c r="H30" s="60"/>
      <c r="I30" s="60"/>
      <c r="J30" s="60"/>
      <c r="K30" s="64"/>
      <c r="L30" s="64"/>
      <c r="M30" s="60"/>
      <c r="N30" s="60"/>
      <c r="O30" s="60"/>
      <c r="P30" s="60"/>
      <c r="Q30" s="60"/>
      <c r="R30" s="60"/>
      <c r="S30" s="60"/>
      <c r="T30" s="60"/>
      <c r="U30" s="60"/>
      <c r="V30" s="60"/>
      <c r="W30" s="60"/>
      <c r="X30" s="60"/>
      <c r="Y30" s="76"/>
      <c r="Z30" s="60"/>
      <c r="AA30" s="60"/>
      <c r="AB30" s="60"/>
      <c r="AC30" s="60"/>
      <c r="AD30" s="60"/>
      <c r="AE30" s="60"/>
      <c r="AF30" s="80"/>
      <c r="AG30" s="56"/>
      <c r="AH30" s="4"/>
      <c r="AI30" s="56"/>
      <c r="AJ30" s="109"/>
      <c r="AK30" s="56"/>
      <c r="AL30" s="56"/>
      <c r="AM30" s="56"/>
      <c r="AN30" s="56"/>
      <c r="AO30" s="82"/>
      <c r="AP30" s="82"/>
      <c r="AQ30" s="56"/>
      <c r="AR30" s="109"/>
      <c r="AS30" s="56"/>
      <c r="AT30" s="56"/>
      <c r="AU30" s="3"/>
      <c r="AV30" s="53">
        <v>0.01</v>
      </c>
      <c r="AW30" s="25">
        <v>3</v>
      </c>
      <c r="AX30" s="25">
        <v>6</v>
      </c>
      <c r="AY30" s="25">
        <v>9</v>
      </c>
      <c r="AZ30" s="25">
        <v>12</v>
      </c>
      <c r="BA30" s="25">
        <v>18</v>
      </c>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1"/>
      <c r="CS30" s="1"/>
      <c r="CT30" s="1"/>
      <c r="CU30" s="1"/>
    </row>
    <row r="31" spans="1:99" s="13" customFormat="1" ht="12" customHeight="1" x14ac:dyDescent="0.2">
      <c r="A31" s="65">
        <v>43509</v>
      </c>
      <c r="B31" s="1" t="s">
        <v>248</v>
      </c>
      <c r="C31" s="1" t="s">
        <v>19</v>
      </c>
      <c r="D31" s="60">
        <v>1961</v>
      </c>
      <c r="E31" s="76">
        <v>2</v>
      </c>
      <c r="F31" s="60">
        <v>24</v>
      </c>
      <c r="G31" s="60">
        <v>24</v>
      </c>
      <c r="H31" s="60" t="s">
        <v>30</v>
      </c>
      <c r="I31" s="60">
        <v>0</v>
      </c>
      <c r="J31" s="60" t="s">
        <v>16</v>
      </c>
      <c r="K31" s="60">
        <f>IF(J31="syllables",1,IF(J31="trigrams",2,IF(J31="strings",3,IF(J31="visual array",4,IF(J31="characters",5,IF(J31="letters",6,IF(J31="free forms",7,IF(J31="odors",8,IF(J31="words",9,IF(J31="pictures",10,IF(J31="object pictures",11,IF(J31="faces",12,IF(J31="names",13,IF(J31="idioms",14,IF(J31="grades",15,IF(J31="syllable-digit pairs",16,IF(J31="trigram-word pairs",17,IF(J31="word-digit pairs",18,IF(J31="English-Swahili pairs",19,IF(J31="spatial position",20,IF(J31="word pairs",21,IF(J31="word triads",22,IF(J31="generated words",23,IF(J31="word definition pairs",24,IF(J31="math problems",25,IF(J31="famous faces",26,IF(J31="famous names",27,IF(J31="famous voices",28,IF(J31="television programs",29,IF(J31="race horses",30,IF(J31="new vocabulary",31,IF(J31="sentences",32,IF(J31="concepts",33,IF(J31="ad slides",34,IF(J31="scenes",35,IF(J31="famous scenes",36,IF(J31="poems",37,IF(J31="walk",38,IF(J31="faces and events",39,IF(J31="events and names",40,IF(J31="flashbulb",41,IF(J31="stories",42,IF(J31="course material",43,IF(J31="autobiographical",44,IF(J31="novels",45,IF(J31="public events",46,"99"))))))))))))))))))))))))))))))))))))))))))))))</f>
        <v>9</v>
      </c>
      <c r="L31" s="60">
        <f>IF(J31="syllables",1,IF(J31="trigrams",1,IF(J31="strings",1,IF(J31="visual array",1,IF(J31="characters",1,IF(J31="letters",1,IF(J31="free forms",1,IF(J31="odors",2,IF(J31="words",2,IF(J31="pictures",2,IF(J31="object pictures",2,IF(J31="faces",2,IF(J31="names",2,IF(J31="idioms","2",IF(J31="grades",2,IF(J31="syllable-digit pairs",3,IF(J31="trigram-word pairs",3,IF(J31="word-digit pairs",3,IF(J31="English-Swahili pairs",3,IF(J31="spatial position",3,IF(J31="word pairs",4,IF(J31="word triads",4,IF(J31="generated words",4,IF(J31="word definition pairs",4,IF(J31="math problems",4,IF(J31="famous faces",4,IF(J31="famous names",4,IF(J31="famous voices",4,IF(J31="television programs",4,IF(J31="race horses",4,IF(J31="new vocabulary",4,IF(J31="sentences",5,IF(J31="concepts",5,IF(J31="ad slides",5,IF(J31="scenes",5,IF(J31="famous scenes",5,IF(J31="poems",6,IF(J31="walk",6,IF(J31="faces and events",6,IF(J31="events and names",6,IF(J31="flashbulb",7,IF(J31="stories",7,IF(J31="course material",7,IF(J31="autobiographical",7,IF(J31="novels",7,IF(J31="public events",7,"99"))))))))))))))))))))))))))))))))))))))))))))))</f>
        <v>2</v>
      </c>
      <c r="M31" s="60">
        <v>0</v>
      </c>
      <c r="N31" s="60">
        <v>1</v>
      </c>
      <c r="O31" s="60">
        <v>1</v>
      </c>
      <c r="P31" s="60" t="s">
        <v>27</v>
      </c>
      <c r="Q31" s="60" t="s">
        <v>174</v>
      </c>
      <c r="R31" s="60">
        <f>IF(Q31="Free Recall",1,IF(Q31="Cued Recall",2,IF(Q31="Recognition",3,IF(Q31="Multiple Choice",4,IF(Q31="Savings",5,IF(Q31="Stem Completion",6,IF(Q31="Fragment Completion",7,IF(Q31="anagram solution",8,IF(Q31="Matching",9,IF(Q31="Problem Solving",10,"99"))))))))))</f>
        <v>1</v>
      </c>
      <c r="S31" s="60" t="s">
        <v>49</v>
      </c>
      <c r="T31" s="59" t="s">
        <v>581</v>
      </c>
      <c r="U31" s="60">
        <f>IF(T31="within",1,0)</f>
        <v>1</v>
      </c>
      <c r="V31" s="59">
        <v>48</v>
      </c>
      <c r="W31" s="60">
        <f>F31*V31</f>
        <v>1152</v>
      </c>
      <c r="X31" s="60">
        <v>6</v>
      </c>
      <c r="Y31" s="76">
        <f>AV30</f>
        <v>0.01</v>
      </c>
      <c r="Z31" s="60" t="s">
        <v>28</v>
      </c>
      <c r="AA31" s="60">
        <v>18</v>
      </c>
      <c r="AB31" s="60" t="str">
        <f>IF(AA31&lt;60,"1",IF(AA31&lt;=43200,"2",IF(AA31&lt;=777600,"3","4")))</f>
        <v>1</v>
      </c>
      <c r="AC31" s="56">
        <f>AVERAGE(AV30:DA30)</f>
        <v>8.0016666666666669</v>
      </c>
      <c r="AD31" s="60" t="str">
        <f>IF(AC31&lt;60,"1",IF(AC31&lt;=43200,"2",IF(AC31&lt;=777600,"3","4")))</f>
        <v>1</v>
      </c>
      <c r="AE31" s="76">
        <f>AA31-Y31</f>
        <v>17.989999999999998</v>
      </c>
      <c r="AF31" s="80">
        <f>AV31</f>
        <v>1</v>
      </c>
      <c r="AG31" s="56">
        <f>((AW31-AV31)+(AX31-AW31)+(AY31-AX31)+(AZ31-AY31)+(BA31-AZ31))/5</f>
        <v>-1.7999999999999995E-2</v>
      </c>
      <c r="AH31" s="4"/>
      <c r="AI31" s="56">
        <f>RSQ(AV31:BA31,AV30:BA30)</f>
        <v>0.88190106040339156</v>
      </c>
      <c r="AJ31" s="109">
        <f>SLOPE(AV31:BA31,AV30:BA30)</f>
        <v>-5.2400220644212795E-3</v>
      </c>
      <c r="AK31" s="56">
        <f>INTERCEPT(AV31:BA31,AV30:BA30)</f>
        <v>0.99859557655214426</v>
      </c>
      <c r="AL31" s="56">
        <f>INDEX(LINEST(LN(AV31:BA31),LN(AV30:BA30),TRUE,TRUE),3,1)</f>
        <v>0.54981732147451501</v>
      </c>
      <c r="AM31" s="56">
        <f>INDEX(LINEST(LN(AV31:BA31),LN(AV30:BA30)),1)</f>
        <v>-9.9646101051534958E-3</v>
      </c>
      <c r="AN31" s="56">
        <f>EXP(INDEX(LINEST(LN(AV31:BA31),LN(AV30:BA30)),1,2))</f>
        <v>0.96544690272672784</v>
      </c>
      <c r="AO31" s="82">
        <f>INDEX(LINEST((AV31:BA31),LN(AV30:BA30),TRUE,TRUE),3,1)</f>
        <v>0.55352783879158307</v>
      </c>
      <c r="AP31" s="82">
        <f>INDEX(LINEST((AV31:BA31),LN(AV30:BA30)),1)</f>
        <v>-9.5972231629234284E-3</v>
      </c>
      <c r="AQ31" s="83">
        <f>INDEX(LINEST(LN(AV31:BA31),SQRT(AV30:BA30),TRUE,TRUE),3,1)</f>
        <v>0.85332864944118048</v>
      </c>
      <c r="AR31" s="116">
        <f>INDEX(LINEST(LN(AV31:BA31),SQRT((AV30:BA30))),1)</f>
        <v>-2.3927253249590649E-2</v>
      </c>
      <c r="AS31" s="84">
        <f>INDEX(LINEST(1/(AV31:BA31),1/(SQRT(AV30:BA30)),TRUE,TRUE),3,1)</f>
        <v>0.36501639628073557</v>
      </c>
      <c r="AT31" s="84">
        <f>INDEX(LINEST(1/(AV31:BA31),1/SQRT(AV30:BA30)),1)</f>
        <v>-6.030459176797647E-3</v>
      </c>
      <c r="AU31" s="3"/>
      <c r="AV31" s="53">
        <v>1</v>
      </c>
      <c r="AW31" s="53">
        <v>1</v>
      </c>
      <c r="AX31" s="53">
        <v>0.95</v>
      </c>
      <c r="AY31" s="53">
        <v>0.94</v>
      </c>
      <c r="AZ31" s="53">
        <v>0.94</v>
      </c>
      <c r="BA31" s="53">
        <v>0.91</v>
      </c>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1"/>
      <c r="CS31" s="1"/>
      <c r="CT31" s="1"/>
      <c r="CU31" s="1"/>
    </row>
    <row r="32" spans="1:99" s="13" customFormat="1" ht="12" customHeight="1" x14ac:dyDescent="0.2">
      <c r="A32" s="65">
        <v>43509</v>
      </c>
      <c r="B32" s="1"/>
      <c r="C32" s="1"/>
      <c r="D32" s="60"/>
      <c r="E32" s="76"/>
      <c r="F32" s="60"/>
      <c r="G32" s="60"/>
      <c r="H32" s="60"/>
      <c r="I32" s="60"/>
      <c r="J32" s="60"/>
      <c r="K32" s="64"/>
      <c r="L32" s="64"/>
      <c r="M32" s="60"/>
      <c r="N32" s="60"/>
      <c r="O32" s="60"/>
      <c r="P32" s="60"/>
      <c r="Q32" s="60"/>
      <c r="R32" s="60"/>
      <c r="S32" s="60"/>
      <c r="T32" s="60"/>
      <c r="U32" s="60"/>
      <c r="V32" s="60"/>
      <c r="W32" s="60"/>
      <c r="X32" s="60"/>
      <c r="Y32" s="76"/>
      <c r="Z32" s="60"/>
      <c r="AA32" s="60"/>
      <c r="AB32" s="60"/>
      <c r="AC32" s="60"/>
      <c r="AD32" s="60"/>
      <c r="AE32" s="60"/>
      <c r="AF32" s="80"/>
      <c r="AG32" s="56"/>
      <c r="AH32" s="4"/>
      <c r="AI32" s="56"/>
      <c r="AJ32" s="109"/>
      <c r="AK32" s="56"/>
      <c r="AL32" s="56"/>
      <c r="AM32" s="56"/>
      <c r="AN32" s="56"/>
      <c r="AO32" s="82"/>
      <c r="AP32" s="82"/>
      <c r="AQ32" s="56"/>
      <c r="AR32" s="109"/>
      <c r="AS32" s="56"/>
      <c r="AT32" s="56"/>
      <c r="AU32" s="3"/>
      <c r="AV32" s="53">
        <v>0.01</v>
      </c>
      <c r="AW32" s="25">
        <v>3</v>
      </c>
      <c r="AX32" s="25">
        <v>6</v>
      </c>
      <c r="AY32" s="25">
        <v>9</v>
      </c>
      <c r="AZ32" s="25">
        <v>12</v>
      </c>
      <c r="BA32" s="25">
        <v>18</v>
      </c>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1"/>
      <c r="CS32" s="1"/>
      <c r="CT32" s="1"/>
      <c r="CU32" s="1"/>
    </row>
    <row r="33" spans="1:99" s="13" customFormat="1" ht="12" customHeight="1" x14ac:dyDescent="0.2">
      <c r="A33" s="65">
        <v>43509</v>
      </c>
      <c r="B33" s="1" t="s">
        <v>248</v>
      </c>
      <c r="C33" s="1" t="s">
        <v>19</v>
      </c>
      <c r="D33" s="60">
        <v>1961</v>
      </c>
      <c r="E33" s="76">
        <v>2</v>
      </c>
      <c r="F33" s="60">
        <v>24</v>
      </c>
      <c r="G33" s="60">
        <v>24</v>
      </c>
      <c r="H33" s="60" t="s">
        <v>30</v>
      </c>
      <c r="I33" s="60">
        <v>3</v>
      </c>
      <c r="J33" s="60" t="s">
        <v>16</v>
      </c>
      <c r="K33" s="60">
        <f>IF(J33="syllables",1,IF(J33="trigrams",2,IF(J33="strings",3,IF(J33="visual array",4,IF(J33="characters",5,IF(J33="letters",6,IF(J33="free forms",7,IF(J33="odors",8,IF(J33="words",9,IF(J33="pictures",10,IF(J33="object pictures",11,IF(J33="faces",12,IF(J33="names",13,IF(J33="idioms",14,IF(J33="grades",15,IF(J33="syllable-digit pairs",16,IF(J33="trigram-word pairs",17,IF(J33="word-digit pairs",18,IF(J33="English-Swahili pairs",19,IF(J33="spatial position",20,IF(J33="word pairs",21,IF(J33="word triads",22,IF(J33="generated words",23,IF(J33="word definition pairs",24,IF(J33="math problems",25,IF(J33="famous faces",26,IF(J33="famous names",27,IF(J33="famous voices",28,IF(J33="television programs",29,IF(J33="race horses",30,IF(J33="new vocabulary",31,IF(J33="sentences",32,IF(J33="concepts",33,IF(J33="ad slides",34,IF(J33="scenes",35,IF(J33="famous scenes",36,IF(J33="poems",37,IF(J33="walk",38,IF(J33="faces and events",39,IF(J33="events and names",40,IF(J33="flashbulb",41,IF(J33="stories",42,IF(J33="course material",43,IF(J33="autobiographical",44,IF(J33="novels",45,IF(J33="public events",46,"99"))))))))))))))))))))))))))))))))))))))))))))))</f>
        <v>9</v>
      </c>
      <c r="L33" s="60">
        <f>IF(J33="syllables",1,IF(J33="trigrams",1,IF(J33="strings",1,IF(J33="visual array",1,IF(J33="characters",1,IF(J33="letters",1,IF(J33="free forms",1,IF(J33="odors",2,IF(J33="words",2,IF(J33="pictures",2,IF(J33="object pictures",2,IF(J33="faces",2,IF(J33="names",2,IF(J33="idioms","2",IF(J33="grades",2,IF(J33="syllable-digit pairs",3,IF(J33="trigram-word pairs",3,IF(J33="word-digit pairs",3,IF(J33="English-Swahili pairs",3,IF(J33="spatial position",3,IF(J33="word pairs",4,IF(J33="word triads",4,IF(J33="generated words",4,IF(J33="word definition pairs",4,IF(J33="math problems",4,IF(J33="famous faces",4,IF(J33="famous names",4,IF(J33="famous voices",4,IF(J33="television programs",4,IF(J33="race horses",4,IF(J33="new vocabulary",4,IF(J33="sentences",5,IF(J33="concepts",5,IF(J33="ad slides",5,IF(J33="scenes",5,IF(J33="famous scenes",5,IF(J33="poems",6,IF(J33="walk",6,IF(J33="faces and events",6,IF(J33="events and names",6,IF(J33="flashbulb",7,IF(J33="stories",7,IF(J33="course material",7,IF(J33="autobiographical",7,IF(J33="novels",7,IF(J33="public events",7,"99"))))))))))))))))))))))))))))))))))))))))))))))</f>
        <v>2</v>
      </c>
      <c r="M33" s="60">
        <v>0</v>
      </c>
      <c r="N33" s="60">
        <v>1</v>
      </c>
      <c r="O33" s="60">
        <v>1</v>
      </c>
      <c r="P33" s="60" t="s">
        <v>27</v>
      </c>
      <c r="Q33" s="60" t="s">
        <v>174</v>
      </c>
      <c r="R33" s="60">
        <f>IF(Q33="Free Recall",1,IF(Q33="Cued Recall",2,IF(Q33="Recognition",3,IF(Q33="Multiple Choice",4,IF(Q33="Savings",5,IF(Q33="Stem Completion",6,IF(Q33="Fragment Completion",7,IF(Q33="anagram solution",8,IF(Q33="Matching",9,IF(Q33="Problem Solving",10,"99"))))))))))</f>
        <v>1</v>
      </c>
      <c r="S33" s="60" t="s">
        <v>49</v>
      </c>
      <c r="T33" s="59" t="s">
        <v>581</v>
      </c>
      <c r="U33" s="60">
        <f>IF(T33="within",1,0)</f>
        <v>1</v>
      </c>
      <c r="V33" s="59">
        <v>48</v>
      </c>
      <c r="W33" s="60">
        <f>F33*V33</f>
        <v>1152</v>
      </c>
      <c r="X33" s="60">
        <v>6</v>
      </c>
      <c r="Y33" s="76">
        <f>AV32</f>
        <v>0.01</v>
      </c>
      <c r="Z33" s="60" t="s">
        <v>28</v>
      </c>
      <c r="AA33" s="60">
        <v>18</v>
      </c>
      <c r="AB33" s="60" t="str">
        <f>IF(AA33&lt;60,"1",IF(AA33&lt;=43200,"2",IF(AA33&lt;=777600,"3","4")))</f>
        <v>1</v>
      </c>
      <c r="AC33" s="56">
        <f>AVERAGE(AV32:DA32)</f>
        <v>8.0016666666666669</v>
      </c>
      <c r="AD33" s="60" t="str">
        <f>IF(AC33&lt;60,"1",IF(AC33&lt;=43200,"2",IF(AC33&lt;=777600,"3","4")))</f>
        <v>1</v>
      </c>
      <c r="AE33" s="76">
        <f>AA33-Y33</f>
        <v>17.989999999999998</v>
      </c>
      <c r="AF33" s="80">
        <f>AV33</f>
        <v>1</v>
      </c>
      <c r="AG33" s="56">
        <f>((AW33-AV33)+(AX33-AW33)+(AY33-AX33)+(AZ33-AY33)+(BA33-AZ33))/5</f>
        <v>-3.6000000000000011E-2</v>
      </c>
      <c r="AH33" s="4"/>
      <c r="AI33" s="56">
        <f>RSQ(AV33:BA33,AV32:BA32)</f>
        <v>0.65162927920110603</v>
      </c>
      <c r="AJ33" s="109">
        <f>SLOPE(AV33:BA33,AV32:BA32)</f>
        <v>-1.114515378973115E-2</v>
      </c>
      <c r="AK33" s="56">
        <f>INTERCEPT(AV33:BA33,AV32:BA32)</f>
        <v>0.95917980557416549</v>
      </c>
      <c r="AL33" s="56">
        <f>INDEX(LINEST(LN(AV33:BA33),LN(AV32:BA32),TRUE,TRUE),3,1)</f>
        <v>0.65569172637069217</v>
      </c>
      <c r="AM33" s="56">
        <f>INDEX(LINEST(LN(AV33:BA33),LN(AV32:BA32)),1)</f>
        <v>-2.9136088762513113E-2</v>
      </c>
      <c r="AN33" s="56">
        <f>EXP(INDEX(LINEST(LN(AV33:BA33),LN(AV32:BA32)),1,2))</f>
        <v>0.89126957514308724</v>
      </c>
      <c r="AO33" s="82">
        <f>INDEX(LINEST((AV33:BA33),LN(AV32:BA32),TRUE,TRUE),3,1)</f>
        <v>0.67602543578315655</v>
      </c>
      <c r="AP33" s="82">
        <f>INDEX(LINEST((AV33:BA33),LN(AV32:BA32)),1)</f>
        <v>-2.6243391862041734E-2</v>
      </c>
      <c r="AQ33" s="83">
        <f>INDEX(LINEST(LN(AV33:BA33),SQRT(AV32:BA32),TRUE,TRUE),3,1)</f>
        <v>0.77657000303296253</v>
      </c>
      <c r="AR33" s="116">
        <f>INDEX(LINEST(LN(AV33:BA33),SQRT((AV32:BA32))),1)</f>
        <v>-6.1116051264878291E-2</v>
      </c>
      <c r="AS33" s="84">
        <f>INDEX(LINEST(1/(AV33:BA33),1/(SQRT(AV32:BA32)),TRUE,TRUE),3,1)</f>
        <v>0.49164869325441068</v>
      </c>
      <c r="AT33" s="84">
        <f>INDEX(LINEST(1/(AV33:BA33),1/SQRT(AV32:BA32)),1)</f>
        <v>-2.037249213837131E-2</v>
      </c>
      <c r="AU33" s="3"/>
      <c r="AV33" s="53">
        <v>1</v>
      </c>
      <c r="AW33" s="53">
        <v>0.96</v>
      </c>
      <c r="AX33" s="53">
        <v>0.83</v>
      </c>
      <c r="AY33" s="53">
        <v>0.84</v>
      </c>
      <c r="AZ33" s="53">
        <v>0.77</v>
      </c>
      <c r="BA33" s="53">
        <v>0.82</v>
      </c>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1"/>
      <c r="CS33" s="1"/>
      <c r="CT33" s="1"/>
      <c r="CU33" s="1"/>
    </row>
    <row r="34" spans="1:99" s="13" customFormat="1" ht="12" customHeight="1" x14ac:dyDescent="0.2">
      <c r="A34" s="65">
        <v>43509</v>
      </c>
      <c r="B34" s="1"/>
      <c r="C34" s="1"/>
      <c r="D34" s="60"/>
      <c r="E34" s="76"/>
      <c r="F34" s="60"/>
      <c r="G34" s="60"/>
      <c r="H34" s="60"/>
      <c r="I34" s="60"/>
      <c r="J34" s="60"/>
      <c r="K34" s="64"/>
      <c r="L34" s="64"/>
      <c r="M34" s="60"/>
      <c r="N34" s="60"/>
      <c r="O34" s="60"/>
      <c r="P34" s="60"/>
      <c r="Q34" s="60"/>
      <c r="R34" s="60"/>
      <c r="S34" s="60"/>
      <c r="T34" s="60"/>
      <c r="U34" s="60"/>
      <c r="V34" s="59"/>
      <c r="W34" s="60"/>
      <c r="X34" s="60"/>
      <c r="Y34" s="76"/>
      <c r="Z34" s="60"/>
      <c r="AA34" s="60"/>
      <c r="AB34" s="60"/>
      <c r="AC34" s="60"/>
      <c r="AD34" s="60"/>
      <c r="AE34" s="60"/>
      <c r="AF34" s="80"/>
      <c r="AG34" s="56"/>
      <c r="AH34" s="4"/>
      <c r="AI34" s="56"/>
      <c r="AJ34" s="109"/>
      <c r="AK34" s="56"/>
      <c r="AL34" s="56"/>
      <c r="AM34" s="56"/>
      <c r="AN34" s="56"/>
      <c r="AO34" s="82"/>
      <c r="AP34" s="82"/>
      <c r="AQ34" s="56"/>
      <c r="AR34" s="109"/>
      <c r="AS34" s="56"/>
      <c r="AT34" s="56"/>
      <c r="AU34" s="3"/>
      <c r="AV34" s="53">
        <v>0.01</v>
      </c>
      <c r="AW34" s="25">
        <v>3</v>
      </c>
      <c r="AX34" s="25">
        <v>6</v>
      </c>
      <c r="AY34" s="25">
        <v>9</v>
      </c>
      <c r="AZ34" s="25">
        <v>12</v>
      </c>
      <c r="BA34" s="25">
        <v>18</v>
      </c>
      <c r="BB34" s="53"/>
      <c r="BC34" s="53"/>
      <c r="BD34" s="53"/>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1"/>
      <c r="CS34" s="1"/>
      <c r="CT34" s="1"/>
      <c r="CU34" s="1"/>
    </row>
    <row r="35" spans="1:99" s="13" customFormat="1" ht="12" customHeight="1" x14ac:dyDescent="0.2">
      <c r="A35" s="65">
        <v>43509</v>
      </c>
      <c r="B35" s="1" t="s">
        <v>248</v>
      </c>
      <c r="C35" s="1" t="s">
        <v>19</v>
      </c>
      <c r="D35" s="60">
        <v>1961</v>
      </c>
      <c r="E35" s="76">
        <v>2</v>
      </c>
      <c r="F35" s="60">
        <v>24</v>
      </c>
      <c r="G35" s="60">
        <v>24</v>
      </c>
      <c r="H35" s="60" t="s">
        <v>30</v>
      </c>
      <c r="I35" s="60">
        <v>6</v>
      </c>
      <c r="J35" s="60" t="s">
        <v>16</v>
      </c>
      <c r="K35" s="60">
        <f>IF(J35="syllables",1,IF(J35="trigrams",2,IF(J35="strings",3,IF(J35="visual array",4,IF(J35="characters",5,IF(J35="letters",6,IF(J35="free forms",7,IF(J35="odors",8,IF(J35="words",9,IF(J35="pictures",10,IF(J35="object pictures",11,IF(J35="faces",12,IF(J35="names",13,IF(J35="idioms",14,IF(J35="grades",15,IF(J35="syllable-digit pairs",16,IF(J35="trigram-word pairs",17,IF(J35="word-digit pairs",18,IF(J35="English-Swahili pairs",19,IF(J35="spatial position",20,IF(J35="word pairs",21,IF(J35="word triads",22,IF(J35="generated words",23,IF(J35="word definition pairs",24,IF(J35="math problems",25,IF(J35="famous faces",26,IF(J35="famous names",27,IF(J35="famous voices",28,IF(J35="television programs",29,IF(J35="race horses",30,IF(J35="new vocabulary",31,IF(J35="sentences",32,IF(J35="concepts",33,IF(J35="ad slides",34,IF(J35="scenes",35,IF(J35="famous scenes",36,IF(J35="poems",37,IF(J35="walk",38,IF(J35="faces and events",39,IF(J35="events and names",40,IF(J35="flashbulb",41,IF(J35="stories",42,IF(J35="course material",43,IF(J35="autobiographical",44,IF(J35="novels",45,IF(J35="public events",46,"99"))))))))))))))))))))))))))))))))))))))))))))))</f>
        <v>9</v>
      </c>
      <c r="L35" s="60">
        <f>IF(J35="syllables",1,IF(J35="trigrams",1,IF(J35="strings",1,IF(J35="visual array",1,IF(J35="characters",1,IF(J35="letters",1,IF(J35="free forms",1,IF(J35="odors",2,IF(J35="words",2,IF(J35="pictures",2,IF(J35="object pictures",2,IF(J35="faces",2,IF(J35="names",2,IF(J35="idioms","2",IF(J35="grades",2,IF(J35="syllable-digit pairs",3,IF(J35="trigram-word pairs",3,IF(J35="word-digit pairs",3,IF(J35="English-Swahili pairs",3,IF(J35="spatial position",3,IF(J35="word pairs",4,IF(J35="word triads",4,IF(J35="generated words",4,IF(J35="word definition pairs",4,IF(J35="math problems",4,IF(J35="famous faces",4,IF(J35="famous names",4,IF(J35="famous voices",4,IF(J35="television programs",4,IF(J35="race horses",4,IF(J35="new vocabulary",4,IF(J35="sentences",5,IF(J35="concepts",5,IF(J35="ad slides",5,IF(J35="scenes",5,IF(J35="famous scenes",5,IF(J35="poems",6,IF(J35="walk",6,IF(J35="faces and events",6,IF(J35="events and names",6,IF(J35="flashbulb",7,IF(J35="stories",7,IF(J35="course material",7,IF(J35="autobiographical",7,IF(J35="novels",7,IF(J35="public events",7,"99"))))))))))))))))))))))))))))))))))))))))))))))</f>
        <v>2</v>
      </c>
      <c r="M35" s="60">
        <v>0</v>
      </c>
      <c r="N35" s="60">
        <v>1</v>
      </c>
      <c r="O35" s="60">
        <v>1</v>
      </c>
      <c r="P35" s="60" t="s">
        <v>27</v>
      </c>
      <c r="Q35" s="60" t="s">
        <v>174</v>
      </c>
      <c r="R35" s="60">
        <f>IF(Q35="Free Recall",1,IF(Q35="Cued Recall",2,IF(Q35="Recognition",3,IF(Q35="Multiple Choice",4,IF(Q35="Savings",5,IF(Q35="Stem Completion",6,IF(Q35="Fragment Completion",7,IF(Q35="anagram solution",8,IF(Q35="Matching",9,IF(Q35="Problem Solving",10,"99"))))))))))</f>
        <v>1</v>
      </c>
      <c r="S35" s="60" t="s">
        <v>49</v>
      </c>
      <c r="T35" s="59" t="s">
        <v>581</v>
      </c>
      <c r="U35" s="60">
        <f>IF(T35="within",1,0)</f>
        <v>1</v>
      </c>
      <c r="V35" s="59">
        <v>48</v>
      </c>
      <c r="W35" s="60">
        <f>F35*V35</f>
        <v>1152</v>
      </c>
      <c r="X35" s="60">
        <v>6</v>
      </c>
      <c r="Y35" s="76">
        <f>AV34</f>
        <v>0.01</v>
      </c>
      <c r="Z35" s="60" t="s">
        <v>28</v>
      </c>
      <c r="AA35" s="60">
        <v>18</v>
      </c>
      <c r="AB35" s="60" t="str">
        <f>IF(AA35&lt;60,"1",IF(AA35&lt;=43200,"2",IF(AA35&lt;=777600,"3","4")))</f>
        <v>1</v>
      </c>
      <c r="AC35" s="56">
        <f>AVERAGE(AV34:DA34)</f>
        <v>8.0016666666666669</v>
      </c>
      <c r="AD35" s="60" t="str">
        <f>IF(AC35&lt;60,"1",IF(AC35&lt;=43200,"2",IF(AC35&lt;=777600,"3","4")))</f>
        <v>1</v>
      </c>
      <c r="AE35" s="76">
        <f>AA35-Y35</f>
        <v>17.989999999999998</v>
      </c>
      <c r="AF35" s="80">
        <f>AV35</f>
        <v>0.99</v>
      </c>
      <c r="AG35" s="56">
        <f>((AW35-AV35)+(AX35-AW35)+(AY35-AX35)+(AZ35-AY35)+(BA35-AZ35))/5</f>
        <v>-3.7999999999999992E-2</v>
      </c>
      <c r="AH35" s="4"/>
      <c r="AI35" s="56">
        <f>RSQ(AV35:BA35,AV34:BA34)</f>
        <v>0.9455099379002857</v>
      </c>
      <c r="AJ35" s="109">
        <f>SLOPE(AV35:BA35,AV34:BA34)</f>
        <v>-1.0431515110117588E-2</v>
      </c>
      <c r="AK35" s="56">
        <f>INTERCEPT(AV35:BA35,AV34:BA34)</f>
        <v>0.96846950673945742</v>
      </c>
      <c r="AL35" s="56">
        <f>INDEX(LINEST(LN(AV35:BA35),LN(AV34:BA34),TRUE,TRUE),3,1)</f>
        <v>0.72609155848457119</v>
      </c>
      <c r="AM35" s="56">
        <f>INDEX(LINEST(LN(AV35:BA35),LN(AV34:BA34)),1)</f>
        <v>-2.3713541347856918E-2</v>
      </c>
      <c r="AN35" s="56">
        <f>EXP(INDEX(LINEST(LN(AV35:BA35),LN(AV34:BA34)),1,2))</f>
        <v>0.90342536936362472</v>
      </c>
      <c r="AO35" s="82">
        <f>INDEX(LINEST((AV35:BA35),LN(AV34:BA34),TRUE,TRUE),3,1)</f>
        <v>0.75216027583992651</v>
      </c>
      <c r="AP35" s="82">
        <f>INDEX(LINEST((AV35:BA35),LN(AV34:BA34)),1)</f>
        <v>-2.1509098843583496E-2</v>
      </c>
      <c r="AQ35" s="83">
        <f>INDEX(LINEST(LN(AV35:BA35),SQRT(AV34:BA34),TRUE,TRUE),3,1)</f>
        <v>0.97652755282777548</v>
      </c>
      <c r="AR35" s="116">
        <f>INDEX(LINEST(LN(AV35:BA35),SQRT((AV34:BA34))),1)</f>
        <v>-5.3006185743624853E-2</v>
      </c>
      <c r="AS35" s="84">
        <f>INDEX(LINEST(1/(AV35:BA35),1/(SQRT(AV34:BA34)),TRUE,TRUE),3,1)</f>
        <v>0.51871042866903727</v>
      </c>
      <c r="AT35" s="84">
        <f>INDEX(LINEST(1/(AV35:BA35),1/SQRT(AV34:BA34)),1)</f>
        <v>-1.6088095117661797E-2</v>
      </c>
      <c r="AU35" s="3"/>
      <c r="AV35" s="53">
        <v>0.99</v>
      </c>
      <c r="AW35" s="53">
        <v>0.93</v>
      </c>
      <c r="AX35" s="53">
        <v>0.9</v>
      </c>
      <c r="AY35" s="53">
        <v>0.86</v>
      </c>
      <c r="AZ35" s="53">
        <v>0.83</v>
      </c>
      <c r="BA35" s="53">
        <v>0.8</v>
      </c>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1"/>
      <c r="CS35" s="1"/>
      <c r="CT35" s="1"/>
      <c r="CU35" s="1"/>
    </row>
    <row r="36" spans="1:99" s="13" customFormat="1" ht="12" customHeight="1" x14ac:dyDescent="0.2">
      <c r="A36" s="65">
        <v>43509</v>
      </c>
      <c r="B36" s="1"/>
      <c r="C36" s="1"/>
      <c r="D36" s="60"/>
      <c r="E36" s="76"/>
      <c r="F36" s="60"/>
      <c r="G36" s="60"/>
      <c r="H36" s="60"/>
      <c r="I36" s="60"/>
      <c r="J36" s="60"/>
      <c r="K36" s="64"/>
      <c r="L36" s="64"/>
      <c r="M36" s="60"/>
      <c r="N36" s="60"/>
      <c r="O36" s="60"/>
      <c r="P36" s="60"/>
      <c r="Q36" s="60"/>
      <c r="R36" s="60"/>
      <c r="S36" s="60"/>
      <c r="T36" s="60"/>
      <c r="U36" s="60"/>
      <c r="V36" s="60"/>
      <c r="W36" s="60"/>
      <c r="X36" s="60"/>
      <c r="Y36" s="76"/>
      <c r="Z36" s="60"/>
      <c r="AA36" s="60"/>
      <c r="AB36" s="60"/>
      <c r="AC36" s="60"/>
      <c r="AD36" s="60"/>
      <c r="AE36" s="60"/>
      <c r="AF36" s="80"/>
      <c r="AG36" s="56"/>
      <c r="AH36" s="4"/>
      <c r="AI36" s="56"/>
      <c r="AJ36" s="109"/>
      <c r="AK36" s="56"/>
      <c r="AL36" s="56"/>
      <c r="AM36" s="56"/>
      <c r="AN36" s="56"/>
      <c r="AO36" s="82"/>
      <c r="AP36" s="82"/>
      <c r="AQ36" s="56"/>
      <c r="AR36" s="109"/>
      <c r="AS36" s="56"/>
      <c r="AT36" s="56"/>
      <c r="AU36" s="3"/>
      <c r="AV36" s="53">
        <v>0.01</v>
      </c>
      <c r="AW36" s="25">
        <v>3</v>
      </c>
      <c r="AX36" s="25">
        <v>6</v>
      </c>
      <c r="AY36" s="25">
        <v>9</v>
      </c>
      <c r="AZ36" s="25">
        <v>12</v>
      </c>
      <c r="BA36" s="25">
        <v>18</v>
      </c>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1"/>
      <c r="CS36" s="1"/>
      <c r="CT36" s="1"/>
      <c r="CU36" s="1"/>
    </row>
    <row r="37" spans="1:99" s="13" customFormat="1" ht="12" customHeight="1" x14ac:dyDescent="0.2">
      <c r="A37" s="65">
        <v>43509</v>
      </c>
      <c r="B37" s="1" t="s">
        <v>248</v>
      </c>
      <c r="C37" s="1" t="s">
        <v>19</v>
      </c>
      <c r="D37" s="60">
        <v>1961</v>
      </c>
      <c r="E37" s="76">
        <v>2</v>
      </c>
      <c r="F37" s="60">
        <v>24</v>
      </c>
      <c r="G37" s="60">
        <v>24</v>
      </c>
      <c r="H37" s="60" t="s">
        <v>30</v>
      </c>
      <c r="I37" s="60">
        <v>9</v>
      </c>
      <c r="J37" s="60" t="s">
        <v>16</v>
      </c>
      <c r="K37" s="60">
        <f>IF(J37="syllables",1,IF(J37="trigrams",2,IF(J37="strings",3,IF(J37="visual array",4,IF(J37="characters",5,IF(J37="letters",6,IF(J37="free forms",7,IF(J37="odors",8,IF(J37="words",9,IF(J37="pictures",10,IF(J37="object pictures",11,IF(J37="faces",12,IF(J37="names",13,IF(J37="idioms",14,IF(J37="grades",15,IF(J37="syllable-digit pairs",16,IF(J37="trigram-word pairs",17,IF(J37="word-digit pairs",18,IF(J37="English-Swahili pairs",19,IF(J37="spatial position",20,IF(J37="word pairs",21,IF(J37="word triads",22,IF(J37="generated words",23,IF(J37="word definition pairs",24,IF(J37="math problems",25,IF(J37="famous faces",26,IF(J37="famous names",27,IF(J37="famous voices",28,IF(J37="television programs",29,IF(J37="race horses",30,IF(J37="new vocabulary",31,IF(J37="sentences",32,IF(J37="concepts",33,IF(J37="ad slides",34,IF(J37="scenes",35,IF(J37="famous scenes",36,IF(J37="poems",37,IF(J37="walk",38,IF(J37="faces and events",39,IF(J37="events and names",40,IF(J37="flashbulb",41,IF(J37="stories",42,IF(J37="course material",43,IF(J37="autobiographical",44,IF(J37="novels",45,IF(J37="public events",46,"99"))))))))))))))))))))))))))))))))))))))))))))))</f>
        <v>9</v>
      </c>
      <c r="L37" s="60">
        <f>IF(J37="syllables",1,IF(J37="trigrams",1,IF(J37="strings",1,IF(J37="visual array",1,IF(J37="characters",1,IF(J37="letters",1,IF(J37="free forms",1,IF(J37="odors",2,IF(J37="words",2,IF(J37="pictures",2,IF(J37="object pictures",2,IF(J37="faces",2,IF(J37="names",2,IF(J37="idioms","2",IF(J37="grades",2,IF(J37="syllable-digit pairs",3,IF(J37="trigram-word pairs",3,IF(J37="word-digit pairs",3,IF(J37="English-Swahili pairs",3,IF(J37="spatial position",3,IF(J37="word pairs",4,IF(J37="word triads",4,IF(J37="generated words",4,IF(J37="word definition pairs",4,IF(J37="math problems",4,IF(J37="famous faces",4,IF(J37="famous names",4,IF(J37="famous voices",4,IF(J37="television programs",4,IF(J37="race horses",4,IF(J37="new vocabulary",4,IF(J37="sentences",5,IF(J37="concepts",5,IF(J37="ad slides",5,IF(J37="scenes",5,IF(J37="famous scenes",5,IF(J37="poems",6,IF(J37="walk",6,IF(J37="faces and events",6,IF(J37="events and names",6,IF(J37="flashbulb",7,IF(J37="stories",7,IF(J37="course material",7,IF(J37="autobiographical",7,IF(J37="novels",7,IF(J37="public events",7,"99"))))))))))))))))))))))))))))))))))))))))))))))</f>
        <v>2</v>
      </c>
      <c r="M37" s="60">
        <v>0</v>
      </c>
      <c r="N37" s="60">
        <v>1</v>
      </c>
      <c r="O37" s="60">
        <v>1</v>
      </c>
      <c r="P37" s="60" t="s">
        <v>27</v>
      </c>
      <c r="Q37" s="60" t="s">
        <v>174</v>
      </c>
      <c r="R37" s="60">
        <f>IF(Q37="Free Recall",1,IF(Q37="Cued Recall",2,IF(Q37="Recognition",3,IF(Q37="Multiple Choice",4,IF(Q37="Savings",5,IF(Q37="Stem Completion",6,IF(Q37="Fragment Completion",7,IF(Q37="anagram solution",8,IF(Q37="Matching",9,IF(Q37="Problem Solving",10,"99"))))))))))</f>
        <v>1</v>
      </c>
      <c r="S37" s="60" t="s">
        <v>49</v>
      </c>
      <c r="T37" s="59" t="s">
        <v>581</v>
      </c>
      <c r="U37" s="60">
        <f>IF(T37="within",1,0)</f>
        <v>1</v>
      </c>
      <c r="V37" s="59">
        <v>48</v>
      </c>
      <c r="W37" s="60">
        <f>F37*V37</f>
        <v>1152</v>
      </c>
      <c r="X37" s="60">
        <v>6</v>
      </c>
      <c r="Y37" s="76">
        <f>AV36</f>
        <v>0.01</v>
      </c>
      <c r="Z37" s="60" t="s">
        <v>28</v>
      </c>
      <c r="AA37" s="60">
        <v>18</v>
      </c>
      <c r="AB37" s="60" t="str">
        <f>IF(AA37&lt;60,"1",IF(AA37&lt;=43200,"2",IF(AA37&lt;=777600,"3","4")))</f>
        <v>1</v>
      </c>
      <c r="AC37" s="56">
        <f>AVERAGE(AV36:DA36)</f>
        <v>8.0016666666666669</v>
      </c>
      <c r="AD37" s="60" t="str">
        <f>IF(AC37&lt;60,"1",IF(AC37&lt;=43200,"2",IF(AC37&lt;=777600,"3","4")))</f>
        <v>1</v>
      </c>
      <c r="AE37" s="76">
        <f>AA37-Y37</f>
        <v>17.989999999999998</v>
      </c>
      <c r="AF37" s="80">
        <f>AV37</f>
        <v>0.99</v>
      </c>
      <c r="AG37" s="56">
        <f>((AW37-AV37)+(AX37-AW37)+(AY37-AX37)+(AZ37-AY37)+(BA37-AZ37))/5</f>
        <v>-3.2000000000000008E-2</v>
      </c>
      <c r="AH37" s="4"/>
      <c r="AI37" s="56">
        <f>RSQ(AV37:BA37,AV36:BA36)</f>
        <v>0.83247086794676295</v>
      </c>
      <c r="AJ37" s="109">
        <f>SLOPE(AV37:BA37,AV36:BA36)</f>
        <v>-9.7169233237532904E-3</v>
      </c>
      <c r="AK37" s="56">
        <f>INTERCEPT(AV37:BA37,AV36:BA36)</f>
        <v>0.96775158146223261</v>
      </c>
      <c r="AL37" s="56">
        <f>INDEX(LINEST(LN(AV37:BA37),LN(AV36:BA36),TRUE,TRUE),3,1)</f>
        <v>0.68753658735228618</v>
      </c>
      <c r="AM37" s="56">
        <f>INDEX(LINEST(LN(AV37:BA37),LN(AV36:BA36)),1)</f>
        <v>-2.2682002573009813E-2</v>
      </c>
      <c r="AN37" s="56">
        <f>EXP(INDEX(LINEST(LN(AV37:BA37),LN(AV36:BA36)),1,2))</f>
        <v>0.90768623123603798</v>
      </c>
      <c r="AO37" s="82">
        <f>INDEX(LINEST((AV37:BA37),LN(AV36:BA36),TRUE,TRUE),3,1)</f>
        <v>0.70548061064865542</v>
      </c>
      <c r="AP37" s="82">
        <f>INDEX(LINEST((AV37:BA37),LN(AV36:BA36)),1)</f>
        <v>-2.0679473187278474E-2</v>
      </c>
      <c r="AQ37" s="83">
        <f>INDEX(LINEST(LN(AV37:BA37),SQRT(AV36:BA36),TRUE,TRUE),3,1)</f>
        <v>0.90415878199580602</v>
      </c>
      <c r="AR37" s="116">
        <f>INDEX(LINEST(LN(AV37:BA37),SQRT((AV36:BA36))),1)</f>
        <v>-5.013481563145223E-2</v>
      </c>
      <c r="AS37" s="84">
        <f>INDEX(LINEST(1/(AV37:BA37),1/(SQRT(AV36:BA36)),TRUE,TRUE),3,1)</f>
        <v>0.49480045946691981</v>
      </c>
      <c r="AT37" s="84">
        <f>INDEX(LINEST(1/(AV37:BA37),1/SQRT(AV36:BA36)),1)</f>
        <v>-1.5274593152339113E-2</v>
      </c>
      <c r="AU37" s="3"/>
      <c r="AV37" s="53">
        <v>0.99</v>
      </c>
      <c r="AW37" s="53">
        <v>0.95</v>
      </c>
      <c r="AX37" s="53">
        <v>0.9</v>
      </c>
      <c r="AY37" s="53">
        <v>0.85</v>
      </c>
      <c r="AZ37" s="53">
        <v>0.82</v>
      </c>
      <c r="BA37" s="53">
        <v>0.83</v>
      </c>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1"/>
      <c r="CS37" s="1"/>
      <c r="CT37" s="1"/>
      <c r="CU37" s="1"/>
    </row>
    <row r="38" spans="1:99" s="13" customFormat="1" ht="12" customHeight="1" x14ac:dyDescent="0.2">
      <c r="A38" s="65">
        <v>43509</v>
      </c>
      <c r="B38" s="1"/>
      <c r="C38" s="1"/>
      <c r="D38" s="60"/>
      <c r="E38" s="76"/>
      <c r="F38" s="60"/>
      <c r="G38" s="60"/>
      <c r="H38" s="60"/>
      <c r="I38" s="60"/>
      <c r="J38" s="60"/>
      <c r="K38" s="64"/>
      <c r="L38" s="64"/>
      <c r="M38" s="60"/>
      <c r="N38" s="60"/>
      <c r="O38" s="60"/>
      <c r="P38" s="60"/>
      <c r="Q38" s="60"/>
      <c r="R38" s="60"/>
      <c r="S38" s="60"/>
      <c r="T38" s="60"/>
      <c r="U38" s="60"/>
      <c r="V38" s="59"/>
      <c r="W38" s="60"/>
      <c r="X38" s="60"/>
      <c r="Y38" s="76"/>
      <c r="Z38" s="60"/>
      <c r="AA38" s="60"/>
      <c r="AB38" s="60"/>
      <c r="AC38" s="60"/>
      <c r="AD38" s="60"/>
      <c r="AE38" s="60"/>
      <c r="AF38" s="80"/>
      <c r="AG38" s="56"/>
      <c r="AH38" s="4"/>
      <c r="AI38" s="56"/>
      <c r="AJ38" s="109"/>
      <c r="AK38" s="56"/>
      <c r="AL38" s="56"/>
      <c r="AM38" s="56"/>
      <c r="AN38" s="56"/>
      <c r="AO38" s="82"/>
      <c r="AP38" s="82"/>
      <c r="AQ38" s="56"/>
      <c r="AR38" s="109"/>
      <c r="AS38" s="56"/>
      <c r="AT38" s="56"/>
      <c r="AU38" s="3"/>
      <c r="AV38" s="53">
        <v>0.01</v>
      </c>
      <c r="AW38" s="25">
        <v>3</v>
      </c>
      <c r="AX38" s="25">
        <v>6</v>
      </c>
      <c r="AY38" s="25">
        <v>9</v>
      </c>
      <c r="AZ38" s="25">
        <v>12</v>
      </c>
      <c r="BA38" s="25">
        <v>18</v>
      </c>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1"/>
      <c r="CS38" s="1"/>
      <c r="CT38" s="1"/>
      <c r="CU38" s="1"/>
    </row>
    <row r="39" spans="1:99" s="13" customFormat="1" ht="12" customHeight="1" x14ac:dyDescent="0.2">
      <c r="A39" s="65">
        <v>43509</v>
      </c>
      <c r="B39" s="1" t="s">
        <v>248</v>
      </c>
      <c r="C39" s="1" t="s">
        <v>19</v>
      </c>
      <c r="D39" s="60">
        <v>1961</v>
      </c>
      <c r="E39" s="76">
        <v>2</v>
      </c>
      <c r="F39" s="60">
        <v>24</v>
      </c>
      <c r="G39" s="60">
        <v>24</v>
      </c>
      <c r="H39" s="60" t="s">
        <v>30</v>
      </c>
      <c r="I39" s="60">
        <v>12</v>
      </c>
      <c r="J39" s="60" t="s">
        <v>16</v>
      </c>
      <c r="K39" s="60">
        <f>IF(J39="syllables",1,IF(J39="trigrams",2,IF(J39="strings",3,IF(J39="visual array",4,IF(J39="characters",5,IF(J39="letters",6,IF(J39="free forms",7,IF(J39="odors",8,IF(J39="words",9,IF(J39="pictures",10,IF(J39="object pictures",11,IF(J39="faces",12,IF(J39="names",13,IF(J39="idioms",14,IF(J39="grades",15,IF(J39="syllable-digit pairs",16,IF(J39="trigram-word pairs",17,IF(J39="word-digit pairs",18,IF(J39="English-Swahili pairs",19,IF(J39="spatial position",20,IF(J39="word pairs",21,IF(J39="word triads",22,IF(J39="generated words",23,IF(J39="word definition pairs",24,IF(J39="math problems",25,IF(J39="famous faces",26,IF(J39="famous names",27,IF(J39="famous voices",28,IF(J39="television programs",29,IF(J39="race horses",30,IF(J39="new vocabulary",31,IF(J39="sentences",32,IF(J39="concepts",33,IF(J39="ad slides",34,IF(J39="scenes",35,IF(J39="famous scenes",36,IF(J39="poems",37,IF(J39="walk",38,IF(J39="faces and events",39,IF(J39="events and names",40,IF(J39="flashbulb",41,IF(J39="stories",42,IF(J39="course material",43,IF(J39="autobiographical",44,IF(J39="novels",45,IF(J39="public events",46,"99"))))))))))))))))))))))))))))))))))))))))))))))</f>
        <v>9</v>
      </c>
      <c r="L39" s="60">
        <f>IF(J39="syllables",1,IF(J39="trigrams",1,IF(J39="strings",1,IF(J39="visual array",1,IF(J39="characters",1,IF(J39="letters",1,IF(J39="free forms",1,IF(J39="odors",2,IF(J39="words",2,IF(J39="pictures",2,IF(J39="object pictures",2,IF(J39="faces",2,IF(J39="names",2,IF(J39="idioms","2",IF(J39="grades",2,IF(J39="syllable-digit pairs",3,IF(J39="trigram-word pairs",3,IF(J39="word-digit pairs",3,IF(J39="English-Swahili pairs",3,IF(J39="spatial position",3,IF(J39="word pairs",4,IF(J39="word triads",4,IF(J39="generated words",4,IF(J39="word definition pairs",4,IF(J39="math problems",4,IF(J39="famous faces",4,IF(J39="famous names",4,IF(J39="famous voices",4,IF(J39="television programs",4,IF(J39="race horses",4,IF(J39="new vocabulary",4,IF(J39="sentences",5,IF(J39="concepts",5,IF(J39="ad slides",5,IF(J39="scenes",5,IF(J39="famous scenes",5,IF(J39="poems",6,IF(J39="walk",6,IF(J39="faces and events",6,IF(J39="events and names",6,IF(J39="flashbulb",7,IF(J39="stories",7,IF(J39="course material",7,IF(J39="autobiographical",7,IF(J39="novels",7,IF(J39="public events",7,"99"))))))))))))))))))))))))))))))))))))))))))))))</f>
        <v>2</v>
      </c>
      <c r="M39" s="60">
        <v>0</v>
      </c>
      <c r="N39" s="60">
        <v>1</v>
      </c>
      <c r="O39" s="60">
        <v>1</v>
      </c>
      <c r="P39" s="60" t="s">
        <v>27</v>
      </c>
      <c r="Q39" s="60" t="s">
        <v>174</v>
      </c>
      <c r="R39" s="60">
        <f>IF(Q39="Free Recall",1,IF(Q39="Cued Recall",2,IF(Q39="Recognition",3,IF(Q39="Multiple Choice",4,IF(Q39="Savings",5,IF(Q39="Stem Completion",6,IF(Q39="Fragment Completion",7,IF(Q39="anagram solution",8,IF(Q39="Matching",9,IF(Q39="Problem Solving",10,"99"))))))))))</f>
        <v>1</v>
      </c>
      <c r="S39" s="60" t="s">
        <v>49</v>
      </c>
      <c r="T39" s="59" t="s">
        <v>581</v>
      </c>
      <c r="U39" s="60">
        <f>IF(T39="within",1,0)</f>
        <v>1</v>
      </c>
      <c r="V39" s="59">
        <v>48</v>
      </c>
      <c r="W39" s="60">
        <f>F39*V39</f>
        <v>1152</v>
      </c>
      <c r="X39" s="60">
        <v>6</v>
      </c>
      <c r="Y39" s="76">
        <f>AV38</f>
        <v>0.01</v>
      </c>
      <c r="Z39" s="60" t="s">
        <v>28</v>
      </c>
      <c r="AA39" s="60">
        <v>18</v>
      </c>
      <c r="AB39" s="60" t="str">
        <f>IF(AA39&lt;60,"1",IF(AA39&lt;=43200,"2",IF(AA39&lt;=777600,"3","4")))</f>
        <v>1</v>
      </c>
      <c r="AC39" s="56">
        <f>AVERAGE(AV38:DA38)</f>
        <v>8.0016666666666669</v>
      </c>
      <c r="AD39" s="60" t="str">
        <f>IF(AC39&lt;60,"1",IF(AC39&lt;=43200,"2",IF(AC39&lt;=777600,"3","4")))</f>
        <v>1</v>
      </c>
      <c r="AE39" s="76">
        <f>AA39-Y39</f>
        <v>17.989999999999998</v>
      </c>
      <c r="AF39" s="80">
        <f>AV39</f>
        <v>0.97</v>
      </c>
      <c r="AG39" s="56">
        <f>((AW39-AV39)+(AX39-AW39)+(AY39-AX39)+(AZ39-AY39)+(BA39-AZ39))/5</f>
        <v>-3.0000000000000006E-2</v>
      </c>
      <c r="AH39" s="4"/>
      <c r="AI39" s="56">
        <f>RSQ(AV39:BA39,AV38:BA38)</f>
        <v>0.84148903842519551</v>
      </c>
      <c r="AJ39" s="109">
        <f>SLOPE(AV39:BA39,AV38:BA38)</f>
        <v>-8.7173526189189311E-3</v>
      </c>
      <c r="AK39" s="56">
        <f>INTERCEPT(AV39:BA39,AV38:BA38)</f>
        <v>0.96475334987238304</v>
      </c>
      <c r="AL39" s="56">
        <f>INDEX(LINEST(LN(AV39:BA39),LN(AV38:BA38),TRUE,TRUE),3,1)</f>
        <v>0.55295382844142149</v>
      </c>
      <c r="AM39" s="56">
        <f>INDEX(LINEST(LN(AV39:BA39),LN(AV38:BA38)),1)</f>
        <v>-1.8102259245743782E-2</v>
      </c>
      <c r="AN39" s="56">
        <f>EXP(INDEX(LINEST(LN(AV39:BA39),LN(AV38:BA38)),1,2))</f>
        <v>0.90918350214375854</v>
      </c>
      <c r="AO39" s="82">
        <f>INDEX(LINEST((AV39:BA39),LN(AV38:BA38),TRUE,TRUE),3,1)</f>
        <v>0.55827115916699799</v>
      </c>
      <c r="AP39" s="82">
        <f>INDEX(LINEST((AV39:BA39),LN(AV38:BA38)),1)</f>
        <v>-1.6414802228866342E-2</v>
      </c>
      <c r="AQ39" s="83">
        <f>INDEX(LINEST(LN(AV39:BA39),SQRT(AV38:BA38),TRUE,TRUE),3,1)</f>
        <v>0.83430204501052341</v>
      </c>
      <c r="AR39" s="116">
        <f>INDEX(LINEST(LN(AV39:BA39),SQRT((AV38:BA38))),1)</f>
        <v>-4.2858165843655975E-2</v>
      </c>
      <c r="AS39" s="84">
        <f>INDEX(LINEST(1/(AV39:BA39),1/(SQRT(AV38:BA38)),TRUE,TRUE),3,1)</f>
        <v>0.37145563619134525</v>
      </c>
      <c r="AT39" s="84">
        <f>INDEX(LINEST(1/(AV39:BA39),1/SQRT(AV38:BA38)),1)</f>
        <v>-1.1741968357681407E-2</v>
      </c>
      <c r="AU39" s="3"/>
      <c r="AV39" s="53">
        <v>0.97</v>
      </c>
      <c r="AW39" s="53">
        <v>0.97</v>
      </c>
      <c r="AX39" s="53">
        <v>0.87</v>
      </c>
      <c r="AY39" s="53">
        <v>0.88</v>
      </c>
      <c r="AZ39" s="53">
        <v>0.86</v>
      </c>
      <c r="BA39" s="53">
        <v>0.82</v>
      </c>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1"/>
      <c r="CS39" s="1"/>
      <c r="CT39" s="1"/>
      <c r="CU39" s="1"/>
    </row>
    <row r="40" spans="1:99" s="13" customFormat="1" ht="12" customHeight="1" x14ac:dyDescent="0.2">
      <c r="A40" s="68">
        <v>43509</v>
      </c>
      <c r="B40" s="70"/>
      <c r="C40" s="70"/>
      <c r="D40" s="69"/>
      <c r="E40" s="87"/>
      <c r="F40" s="69"/>
      <c r="G40" s="69"/>
      <c r="H40" s="69"/>
      <c r="I40" s="69"/>
      <c r="J40" s="69"/>
      <c r="K40" s="107"/>
      <c r="L40" s="107"/>
      <c r="M40" s="69"/>
      <c r="N40" s="69"/>
      <c r="O40" s="69"/>
      <c r="P40" s="69"/>
      <c r="Q40" s="69"/>
      <c r="R40" s="69"/>
      <c r="S40" s="69"/>
      <c r="T40" s="69"/>
      <c r="U40" s="69"/>
      <c r="V40" s="69"/>
      <c r="W40" s="69"/>
      <c r="X40" s="69"/>
      <c r="Y40" s="87"/>
      <c r="Z40" s="69"/>
      <c r="AA40" s="69"/>
      <c r="AB40" s="69"/>
      <c r="AC40" s="69"/>
      <c r="AD40" s="69"/>
      <c r="AE40" s="69"/>
      <c r="AF40" s="88"/>
      <c r="AG40" s="72"/>
      <c r="AH40" s="4"/>
      <c r="AI40" s="72"/>
      <c r="AJ40" s="110"/>
      <c r="AK40" s="72"/>
      <c r="AL40" s="72"/>
      <c r="AM40" s="72"/>
      <c r="AN40" s="72"/>
      <c r="AO40" s="72"/>
      <c r="AP40" s="72"/>
      <c r="AQ40" s="72"/>
      <c r="AR40" s="110"/>
      <c r="AS40" s="72"/>
      <c r="AT40" s="72"/>
      <c r="AU40" s="4"/>
      <c r="AV40" s="71">
        <v>3</v>
      </c>
      <c r="AW40" s="71">
        <v>6</v>
      </c>
      <c r="AX40" s="71">
        <v>9</v>
      </c>
      <c r="AY40" s="71">
        <v>12</v>
      </c>
      <c r="AZ40" s="71">
        <v>15</v>
      </c>
      <c r="BA40" s="71">
        <v>18</v>
      </c>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1"/>
      <c r="CS40" s="1"/>
      <c r="CT40" s="1"/>
      <c r="CU40" s="1"/>
    </row>
    <row r="41" spans="1:99" s="13" customFormat="1" ht="12" customHeight="1" x14ac:dyDescent="0.2">
      <c r="A41" s="68">
        <v>43509</v>
      </c>
      <c r="B41" s="70" t="s">
        <v>31</v>
      </c>
      <c r="C41" s="70" t="s">
        <v>19</v>
      </c>
      <c r="D41" s="69">
        <v>1959</v>
      </c>
      <c r="E41" s="87">
        <v>1</v>
      </c>
      <c r="F41" s="69">
        <v>24</v>
      </c>
      <c r="G41" s="69">
        <v>24</v>
      </c>
      <c r="H41" s="69" t="s">
        <v>32</v>
      </c>
      <c r="I41" s="69"/>
      <c r="J41" s="69" t="s">
        <v>443</v>
      </c>
      <c r="K41" s="69">
        <f>IF(J41="syllables",1,IF(J41="trigrams",2,IF(J41="strings",3,IF(J41="visual array",4,IF(J41="characters",5,IF(J41="letters",6,IF(J41="free forms",7,IF(J41="odors",8,IF(J41="words",9,IF(J41="pictures",10,IF(J41="object pictures",11,IF(J41="faces",12,IF(J41="names",13,IF(J41="idioms",14,IF(J41="grades",15,IF(J41="syllable-digit pairs",16,IF(J41="trigram-word pairs",17,IF(J41="word-digit pairs",18,IF(J41="English-Swahili pairs",19,IF(J41="spatial position",20,IF(J41="word pairs",21,IF(J41="word triads",22,IF(J41="generated words",23,IF(J41="word definition pairs",24,IF(J41="math problems",25,IF(J41="famous faces",26,IF(J41="famous names",27,IF(J41="famous voices",28,IF(J41="television programs",29,IF(J41="race horses",30,IF(J41="new vocabulary",31,IF(J41="sentences",32,IF(J41="concepts",33,IF(J41="ad slides",34,IF(J41="scenes",35,IF(J41="famous scenes",36,IF(J41="poems",37,IF(J41="walk",38,IF(J41="faces and events",39,IF(J41="events and names",40,IF(J41="flashbulb",41,IF(J41="stories",42,IF(J41="course material",43,IF(J41="autobiographical",44,IF(J41="novels",45,IF(J41="public events",46,"99"))))))))))))))))))))))))))))))))))))))))))))))</f>
        <v>2</v>
      </c>
      <c r="L41" s="69">
        <f>IF(J41="syllables",1,IF(J41="trigrams",1,IF(J41="strings",1,IF(J41="visual array",1,IF(J41="characters",1,IF(J41="letters",1,IF(J41="free forms",1,IF(J41="odors",2,IF(J41="words",2,IF(J41="pictures",2,IF(J41="object pictures",2,IF(J41="faces",2,IF(J41="names",2,IF(J41="idioms","2",IF(J41="grades",2,IF(J41="syllable-digit pairs",3,IF(J41="trigram-word pairs",3,IF(J41="word-digit pairs",3,IF(J41="English-Swahili pairs",3,IF(J41="spatial position",3,IF(J41="word pairs",4,IF(J41="word triads",4,IF(J41="generated words",4,IF(J41="word definition pairs",4,IF(J41="math problems",4,IF(J41="famous faces",4,IF(J41="famous names",4,IF(J41="famous voices",4,IF(J41="television programs",4,IF(J41="race horses",4,IF(J41="new vocabulary",4,IF(J41="sentences",5,IF(J41="concepts",5,IF(J41="ad slides",5,IF(J41="scenes",5,IF(J41="famous scenes",5,IF(J41="poems",6,IF(J41="walk",6,IF(J41="faces and events",6,IF(J41="events and names",6,IF(J41="flashbulb",7,IF(J41="stories",7,IF(J41="course material",7,IF(J41="autobiographical",7,IF(J41="novels",7,IF(J41="public events",7,"99"))))))))))))))))))))))))))))))))))))))))))))))</f>
        <v>1</v>
      </c>
      <c r="M41" s="69">
        <v>0</v>
      </c>
      <c r="N41" s="69">
        <v>1</v>
      </c>
      <c r="O41" s="69">
        <v>1</v>
      </c>
      <c r="P41" s="69" t="s">
        <v>27</v>
      </c>
      <c r="Q41" s="69" t="s">
        <v>174</v>
      </c>
      <c r="R41" s="69">
        <f>IF(Q41="Free Recall",1,IF(Q41="Cued Recall",2,IF(Q41="Recognition",3,IF(Q41="Multiple Choice",4,IF(Q41="Savings",5,IF(Q41="Stem Completion",6,IF(Q41="Fragment Completion",7,IF(Q41="anagram solution",8,IF(Q41="Matching",9,IF(Q41="Problem Solving",10,"99"))))))))))</f>
        <v>1</v>
      </c>
      <c r="S41" s="69" t="s">
        <v>49</v>
      </c>
      <c r="T41" s="92" t="s">
        <v>581</v>
      </c>
      <c r="U41" s="69">
        <f>IF(T41="within",1,0)</f>
        <v>1</v>
      </c>
      <c r="V41" s="92">
        <v>48</v>
      </c>
      <c r="W41" s="69">
        <f>F41*V41</f>
        <v>1152</v>
      </c>
      <c r="X41" s="69">
        <v>6</v>
      </c>
      <c r="Y41" s="87">
        <f>AV40</f>
        <v>3</v>
      </c>
      <c r="Z41" s="69" t="s">
        <v>28</v>
      </c>
      <c r="AA41" s="69">
        <v>18</v>
      </c>
      <c r="AB41" s="69" t="str">
        <f>IF(AA41&lt;60,"1",IF(AA41&lt;=43200,"2",IF(AA41&lt;=777600,"3","4")))</f>
        <v>1</v>
      </c>
      <c r="AC41" s="72">
        <f>AVERAGE(AV40:DA40)</f>
        <v>10.5</v>
      </c>
      <c r="AD41" s="69" t="str">
        <f>IF(AC41&lt;60,"1",IF(AC41&lt;=43200,"2",IF(AC41&lt;=777600,"3","4")))</f>
        <v>1</v>
      </c>
      <c r="AE41" s="87">
        <f>AA41-Y41</f>
        <v>15</v>
      </c>
      <c r="AF41" s="88">
        <f>AV41</f>
        <v>0.53</v>
      </c>
      <c r="AG41" s="72">
        <f>((AW41-AV41)+(AX41-AW41)+(AY41-AX41)+(AZ41-AY41)+(BA41-AZ41))/5</f>
        <v>-9.6000000000000002E-2</v>
      </c>
      <c r="AH41" s="4"/>
      <c r="AI41" s="72">
        <f>RSQ(AV41:BA41,AV40:BA40)</f>
        <v>0.93013824884792651</v>
      </c>
      <c r="AJ41" s="110">
        <f>SLOPE(AV41:BA41,AV40:BA40)</f>
        <v>-3.3142857142857148E-2</v>
      </c>
      <c r="AK41" s="72">
        <f>INTERCEPT(AV41:BA41,AV40:BA40)</f>
        <v>0.58800000000000008</v>
      </c>
      <c r="AL41" s="72">
        <f>INDEX(LINEST(LN(AV41:BA41),LN(AV40:BA40),TRUE,TRUE),3,1)</f>
        <v>0.89763981789080094</v>
      </c>
      <c r="AM41" s="170"/>
      <c r="AN41" s="72">
        <f>EXP(INDEX(LINEST(LN(AV41:BA41),LN(AV40:BA40)),1,2))</f>
        <v>3.103392191023556</v>
      </c>
      <c r="AO41" s="89">
        <f>INDEX(LINEST((AV41:BA41),LN(AV40:BA40),TRUE,TRUE),3,1)</f>
        <v>0.97308022133274763</v>
      </c>
      <c r="AP41" s="89">
        <f>INDEX(LINEST((AV41:BA41),LN(AV40:BA40)),1)</f>
        <v>-0.28712159253779418</v>
      </c>
      <c r="AQ41" s="90">
        <f>INDEX(LINEST(LN(AV41:BA41),SQRT(AV40:BA40),TRUE,TRUE),3,1)</f>
        <v>0.95964604317589086</v>
      </c>
      <c r="AR41" s="117">
        <f>INDEX(LINEST(LN(AV41:BA41),SQRT((AV40:BA40))),1)</f>
        <v>-0.96487975635921275</v>
      </c>
      <c r="AS41" s="91">
        <f>INDEX(LINEST(1/(AV41:BA41),1/(SQRT(AV40:BA40)),TRUE,TRUE),3,1)</f>
        <v>0.58008538596257375</v>
      </c>
      <c r="AT41" s="91">
        <f>INDEX(LINEST(1/(AV41:BA41),1/SQRT(AV40:BA40)),1)</f>
        <v>-41.278336013628795</v>
      </c>
      <c r="AU41" s="3"/>
      <c r="AV41" s="73">
        <v>0.53</v>
      </c>
      <c r="AW41" s="73">
        <v>0.41</v>
      </c>
      <c r="AX41" s="73">
        <v>0.24</v>
      </c>
      <c r="AY41" s="73">
        <v>0.12</v>
      </c>
      <c r="AZ41" s="73">
        <v>0.09</v>
      </c>
      <c r="BA41" s="73">
        <v>0.05</v>
      </c>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1"/>
      <c r="CS41" s="1"/>
      <c r="CT41" s="1"/>
      <c r="CU41" s="1"/>
    </row>
    <row r="42" spans="1:99" s="13" customFormat="1" ht="12" customHeight="1" x14ac:dyDescent="0.2">
      <c r="A42" s="68">
        <v>43509</v>
      </c>
      <c r="B42" s="70"/>
      <c r="C42" s="70"/>
      <c r="D42" s="69"/>
      <c r="E42" s="87"/>
      <c r="F42" s="69"/>
      <c r="G42" s="69"/>
      <c r="H42" s="69"/>
      <c r="I42" s="69"/>
      <c r="J42" s="69"/>
      <c r="K42" s="107"/>
      <c r="L42" s="107"/>
      <c r="M42" s="69"/>
      <c r="N42" s="69"/>
      <c r="O42" s="69"/>
      <c r="P42" s="69"/>
      <c r="Q42" s="69"/>
      <c r="R42" s="69"/>
      <c r="S42" s="69"/>
      <c r="T42" s="69"/>
      <c r="U42" s="69"/>
      <c r="V42" s="69"/>
      <c r="W42" s="69"/>
      <c r="X42" s="69"/>
      <c r="Y42" s="87"/>
      <c r="Z42" s="69"/>
      <c r="AA42" s="69"/>
      <c r="AB42" s="69"/>
      <c r="AC42" s="69"/>
      <c r="AD42" s="69"/>
      <c r="AE42" s="69"/>
      <c r="AF42" s="88"/>
      <c r="AG42" s="72"/>
      <c r="AH42" s="4"/>
      <c r="AI42" s="72"/>
      <c r="AJ42" s="110"/>
      <c r="AK42" s="72"/>
      <c r="AL42" s="72"/>
      <c r="AM42" s="72"/>
      <c r="AN42" s="72"/>
      <c r="AO42" s="72"/>
      <c r="AP42" s="72"/>
      <c r="AQ42" s="72"/>
      <c r="AR42" s="110"/>
      <c r="AS42" s="72"/>
      <c r="AT42" s="72"/>
      <c r="AU42" s="4"/>
      <c r="AV42" s="71">
        <v>3</v>
      </c>
      <c r="AW42" s="71">
        <v>9</v>
      </c>
      <c r="AX42" s="71">
        <v>18</v>
      </c>
      <c r="AY42" s="73"/>
      <c r="AZ42" s="73"/>
      <c r="BA42" s="7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1"/>
      <c r="CS42" s="1"/>
      <c r="CT42" s="1"/>
      <c r="CU42" s="1"/>
    </row>
    <row r="43" spans="1:99" s="13" customFormat="1" ht="12" customHeight="1" x14ac:dyDescent="0.2">
      <c r="A43" s="68">
        <v>43509</v>
      </c>
      <c r="B43" s="70" t="s">
        <v>31</v>
      </c>
      <c r="C43" s="70" t="s">
        <v>19</v>
      </c>
      <c r="D43" s="69">
        <v>1959</v>
      </c>
      <c r="E43" s="87">
        <v>2</v>
      </c>
      <c r="F43" s="69">
        <v>24</v>
      </c>
      <c r="G43" s="69">
        <v>24</v>
      </c>
      <c r="H43" s="69" t="s">
        <v>22</v>
      </c>
      <c r="I43" s="69" t="s">
        <v>748</v>
      </c>
      <c r="J43" s="69" t="s">
        <v>443</v>
      </c>
      <c r="K43" s="69">
        <f>IF(J43="syllables",1,IF(J43="trigrams",2,IF(J43="strings",3,IF(J43="visual array",4,IF(J43="characters",5,IF(J43="letters",6,IF(J43="free forms",7,IF(J43="odors",8,IF(J43="words",9,IF(J43="pictures",10,IF(J43="object pictures",11,IF(J43="faces",12,IF(J43="names",13,IF(J43="idioms",14,IF(J43="grades",15,IF(J43="syllable-digit pairs",16,IF(J43="trigram-word pairs",17,IF(J43="word-digit pairs",18,IF(J43="English-Swahili pairs",19,IF(J43="spatial position",20,IF(J43="word pairs",21,IF(J43="word triads",22,IF(J43="generated words",23,IF(J43="word definition pairs",24,IF(J43="math problems",25,IF(J43="famous faces",26,IF(J43="famous names",27,IF(J43="famous voices",28,IF(J43="television programs",29,IF(J43="race horses",30,IF(J43="new vocabulary",31,IF(J43="sentences",32,IF(J43="concepts",33,IF(J43="ad slides",34,IF(J43="scenes",35,IF(J43="famous scenes",36,IF(J43="poems",37,IF(J43="walk",38,IF(J43="faces and events",39,IF(J43="events and names",40,IF(J43="flashbulb",41,IF(J43="stories",42,IF(J43="course material",43,IF(J43="autobiographical",44,IF(J43="novels",45,IF(J43="public events",46,"99"))))))))))))))))))))))))))))))))))))))))))))))</f>
        <v>2</v>
      </c>
      <c r="L43" s="69">
        <f>IF(J43="syllables",1,IF(J43="trigrams",1,IF(J43="strings",1,IF(J43="visual array",1,IF(J43="characters",1,IF(J43="letters",1,IF(J43="free forms",1,IF(J43="odors",2,IF(J43="words",2,IF(J43="pictures",2,IF(J43="object pictures",2,IF(J43="faces",2,IF(J43="names",2,IF(J43="idioms","2",IF(J43="grades",2,IF(J43="syllable-digit pairs",3,IF(J43="trigram-word pairs",3,IF(J43="word-digit pairs",3,IF(J43="English-Swahili pairs",3,IF(J43="spatial position",3,IF(J43="word pairs",4,IF(J43="word triads",4,IF(J43="generated words",4,IF(J43="word definition pairs",4,IF(J43="math problems",4,IF(J43="famous faces",4,IF(J43="famous names",4,IF(J43="famous voices",4,IF(J43="television programs",4,IF(J43="race horses",4,IF(J43="new vocabulary",4,IF(J43="sentences",5,IF(J43="concepts",5,IF(J43="ad slides",5,IF(J43="scenes",5,IF(J43="famous scenes",5,IF(J43="poems",6,IF(J43="walk",6,IF(J43="faces and events",6,IF(J43="events and names",6,IF(J43="flashbulb",7,IF(J43="stories",7,IF(J43="course material",7,IF(J43="autobiographical",7,IF(J43="novels",7,IF(J43="public events",7,"99"))))))))))))))))))))))))))))))))))))))))))))))</f>
        <v>1</v>
      </c>
      <c r="M43" s="69">
        <v>0</v>
      </c>
      <c r="N43" s="69">
        <v>1</v>
      </c>
      <c r="O43" s="69">
        <v>1</v>
      </c>
      <c r="P43" s="69" t="s">
        <v>27</v>
      </c>
      <c r="Q43" s="69" t="s">
        <v>174</v>
      </c>
      <c r="R43" s="69">
        <f>IF(Q43="Free Recall",1,IF(Q43="Cued Recall",2,IF(Q43="Recognition",3,IF(Q43="Multiple Choice",4,IF(Q43="Savings",5,IF(Q43="Stem Completion",6,IF(Q43="Fragment Completion",7,IF(Q43="anagram solution",8,IF(Q43="Matching",9,IF(Q43="Problem Solving",10,"99"))))))))))</f>
        <v>1</v>
      </c>
      <c r="S43" s="69" t="s">
        <v>49</v>
      </c>
      <c r="T43" s="92" t="s">
        <v>581</v>
      </c>
      <c r="U43" s="69">
        <f>IF(T43="within",1,0)</f>
        <v>1</v>
      </c>
      <c r="V43" s="92">
        <v>16</v>
      </c>
      <c r="W43" s="69">
        <f>F43*V43</f>
        <v>384</v>
      </c>
      <c r="X43" s="69">
        <v>3</v>
      </c>
      <c r="Y43" s="87">
        <f>AV42</f>
        <v>3</v>
      </c>
      <c r="Z43" s="69" t="s">
        <v>28</v>
      </c>
      <c r="AA43" s="69">
        <v>18</v>
      </c>
      <c r="AB43" s="69" t="str">
        <f>IF(AA43&lt;60,"1",IF(AA43&lt;=43200,"2",IF(AA43&lt;=777600,"3","4")))</f>
        <v>1</v>
      </c>
      <c r="AC43" s="72">
        <f>AVERAGE(AV42:DA42)</f>
        <v>10</v>
      </c>
      <c r="AD43" s="69" t="str">
        <f>IF(AC43&lt;60,"1",IF(AC43&lt;=43200,"2",IF(AC43&lt;=777600,"3","4")))</f>
        <v>1</v>
      </c>
      <c r="AE43" s="87">
        <f>AA43-Y43</f>
        <v>15</v>
      </c>
      <c r="AF43" s="88">
        <f>AV43</f>
        <v>0.8</v>
      </c>
      <c r="AG43" s="72">
        <f>((AW43-AV43)+(AX43-AW43))/2</f>
        <v>-0.23</v>
      </c>
      <c r="AH43" s="4"/>
      <c r="AI43" s="72">
        <f>RSQ(AV43:AX43,AV42:AX42)</f>
        <v>0.89057175312381676</v>
      </c>
      <c r="AJ43" s="110">
        <f>SLOPE(AV43:AX43,AV42:AX42)</f>
        <v>-2.9473684210526319E-2</v>
      </c>
      <c r="AK43" s="72">
        <f>INTERCEPT(AV43:AX43,AV42:AX42)</f>
        <v>0.83473684210526322</v>
      </c>
      <c r="AL43" s="72">
        <f>INDEX(LINEST(LN(AV43:AX43),LN(AV42:AX42),TRUE,TRUE),3,1)</f>
        <v>0.99966208208366714</v>
      </c>
      <c r="AM43" s="72">
        <f>INDEX(LINEST(LN(AV43:AX43),LN(AV42:AX42)),1)</f>
        <v>-0.47641195682701493</v>
      </c>
      <c r="AN43" s="72">
        <f>EXP(INDEX(LINEST(LN(AV43:AX43),LN(AV42:AX42)),1,2))</f>
        <v>1.3549354155054387</v>
      </c>
      <c r="AO43" s="89">
        <f>INDEX(LINEST((AV43:AX43),LN(AV42:AX42),TRUE,TRUE),3,1)</f>
        <v>0.99150957885817881</v>
      </c>
      <c r="AP43" s="89">
        <f>INDEX(LINEST((AV43:AX43),LN(AV42:AX42)),1)</f>
        <v>-0.25987277180048968</v>
      </c>
      <c r="AQ43" s="90">
        <f>INDEX(LINEST(LN(AV43:AX43),SQRT(AV42:AX42),TRUE,TRUE),3,1)</f>
        <v>0.98886661263120423</v>
      </c>
      <c r="AR43" s="117">
        <f>INDEX(LINEST(LN(AV43:AX43),SQRT((AV42:AX42))),1)</f>
        <v>-0.34103334182186767</v>
      </c>
      <c r="AS43" s="91">
        <f>INDEX(LINEST(1/(AV43:AX43),1/(SQRT(AV42:AX42)),TRUE,TRUE),3,1)</f>
        <v>0.93837072843843594</v>
      </c>
      <c r="AT43" s="91">
        <f>INDEX(LINEST(1/(AV43:AX43),1/SQRT(AV42:AX42)),1)</f>
        <v>-4.6549473143271181</v>
      </c>
      <c r="AU43" s="3"/>
      <c r="AV43" s="73">
        <v>0.8</v>
      </c>
      <c r="AW43" s="73">
        <v>0.48</v>
      </c>
      <c r="AX43" s="73">
        <v>0.34</v>
      </c>
      <c r="AY43" s="102"/>
      <c r="AZ43" s="73"/>
      <c r="BA43" s="7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1"/>
      <c r="CS43" s="1"/>
      <c r="CT43" s="1"/>
      <c r="CU43" s="1"/>
    </row>
    <row r="44" spans="1:99" s="13" customFormat="1" ht="12" customHeight="1" x14ac:dyDescent="0.2">
      <c r="A44" s="68">
        <v>43509</v>
      </c>
      <c r="B44" s="70"/>
      <c r="C44" s="70"/>
      <c r="D44" s="69"/>
      <c r="E44" s="87"/>
      <c r="F44" s="69"/>
      <c r="G44" s="69"/>
      <c r="H44" s="69"/>
      <c r="I44" s="69"/>
      <c r="J44" s="69"/>
      <c r="K44" s="107"/>
      <c r="L44" s="107"/>
      <c r="M44" s="69"/>
      <c r="N44" s="69"/>
      <c r="O44" s="69"/>
      <c r="P44" s="69"/>
      <c r="Q44" s="69"/>
      <c r="R44" s="69"/>
      <c r="S44" s="69"/>
      <c r="T44" s="69"/>
      <c r="U44" s="69"/>
      <c r="V44" s="69"/>
      <c r="W44" s="69"/>
      <c r="X44" s="69"/>
      <c r="Y44" s="87"/>
      <c r="Z44" s="69"/>
      <c r="AA44" s="69"/>
      <c r="AB44" s="69"/>
      <c r="AC44" s="69"/>
      <c r="AD44" s="69"/>
      <c r="AE44" s="69"/>
      <c r="AF44" s="88"/>
      <c r="AG44" s="72"/>
      <c r="AH44" s="4"/>
      <c r="AI44" s="72"/>
      <c r="AJ44" s="110"/>
      <c r="AK44" s="72"/>
      <c r="AL44" s="72"/>
      <c r="AM44" s="72"/>
      <c r="AN44" s="72"/>
      <c r="AO44" s="89"/>
      <c r="AP44" s="89"/>
      <c r="AQ44" s="89"/>
      <c r="AR44" s="118"/>
      <c r="AS44" s="89"/>
      <c r="AT44" s="89"/>
      <c r="AU44" s="3"/>
      <c r="AV44" s="71">
        <v>3</v>
      </c>
      <c r="AW44" s="71">
        <v>9</v>
      </c>
      <c r="AX44" s="71">
        <v>18</v>
      </c>
      <c r="AY44" s="102"/>
      <c r="AZ44" s="73"/>
      <c r="BA44" s="7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1"/>
      <c r="CS44" s="1"/>
      <c r="CT44" s="1"/>
      <c r="CU44" s="1"/>
    </row>
    <row r="45" spans="1:99" s="13" customFormat="1" ht="12" customHeight="1" x14ac:dyDescent="0.2">
      <c r="A45" s="68">
        <v>43509</v>
      </c>
      <c r="B45" s="70" t="s">
        <v>31</v>
      </c>
      <c r="C45" s="70" t="s">
        <v>19</v>
      </c>
      <c r="D45" s="69">
        <v>1959</v>
      </c>
      <c r="E45" s="87">
        <v>2</v>
      </c>
      <c r="F45" s="69">
        <v>24</v>
      </c>
      <c r="G45" s="69">
        <v>24</v>
      </c>
      <c r="H45" s="69" t="s">
        <v>22</v>
      </c>
      <c r="I45" s="69" t="s">
        <v>749</v>
      </c>
      <c r="J45" s="69" t="s">
        <v>443</v>
      </c>
      <c r="K45" s="69">
        <f>IF(J45="syllables",1,IF(J45="trigrams",2,IF(J45="strings",3,IF(J45="visual array",4,IF(J45="characters",5,IF(J45="letters",6,IF(J45="free forms",7,IF(J45="odors",8,IF(J45="words",9,IF(J45="pictures",10,IF(J45="object pictures",11,IF(J45="faces",12,IF(J45="names",13,IF(J45="idioms",14,IF(J45="grades",15,IF(J45="syllable-digit pairs",16,IF(J45="trigram-word pairs",17,IF(J45="word-digit pairs",18,IF(J45="English-Swahili pairs",19,IF(J45="spatial position",20,IF(J45="word pairs",21,IF(J45="word triads",22,IF(J45="generated words",23,IF(J45="word definition pairs",24,IF(J45="math problems",25,IF(J45="famous faces",26,IF(J45="famous names",27,IF(J45="famous voices",28,IF(J45="television programs",29,IF(J45="race horses",30,IF(J45="new vocabulary",31,IF(J45="sentences",32,IF(J45="concepts",33,IF(J45="ad slides",34,IF(J45="scenes",35,IF(J45="famous scenes",36,IF(J45="poems",37,IF(J45="walk",38,IF(J45="faces and events",39,IF(J45="events and names",40,IF(J45="flashbulb",41,IF(J45="stories",42,IF(J45="course material",43,IF(J45="autobiographical",44,IF(J45="novels",45,IF(J45="public events",46,"99"))))))))))))))))))))))))))))))))))))))))))))))</f>
        <v>2</v>
      </c>
      <c r="L45" s="69">
        <f>IF(J45="syllables",1,IF(J45="trigrams",1,IF(J45="strings",1,IF(J45="visual array",1,IF(J45="characters",1,IF(J45="letters",1,IF(J45="free forms",1,IF(J45="odors",2,IF(J45="words",2,IF(J45="pictures",2,IF(J45="object pictures",2,IF(J45="faces",2,IF(J45="names",2,IF(J45="idioms","2",IF(J45="grades",2,IF(J45="syllable-digit pairs",3,IF(J45="trigram-word pairs",3,IF(J45="word-digit pairs",3,IF(J45="English-Swahili pairs",3,IF(J45="spatial position",3,IF(J45="word pairs",4,IF(J45="word triads",4,IF(J45="generated words",4,IF(J45="word definition pairs",4,IF(J45="math problems",4,IF(J45="famous faces",4,IF(J45="famous names",4,IF(J45="famous voices",4,IF(J45="television programs",4,IF(J45="race horses",4,IF(J45="new vocabulary",4,IF(J45="sentences",5,IF(J45="concepts",5,IF(J45="ad slides",5,IF(J45="scenes",5,IF(J45="famous scenes",5,IF(J45="poems",6,IF(J45="walk",6,IF(J45="faces and events",6,IF(J45="events and names",6,IF(J45="flashbulb",7,IF(J45="stories",7,IF(J45="course material",7,IF(J45="autobiographical",7,IF(J45="novels",7,IF(J45="public events",7,"99"))))))))))))))))))))))))))))))))))))))))))))))</f>
        <v>1</v>
      </c>
      <c r="M45" s="69">
        <v>0</v>
      </c>
      <c r="N45" s="69">
        <v>1</v>
      </c>
      <c r="O45" s="69">
        <v>1</v>
      </c>
      <c r="P45" s="69" t="s">
        <v>27</v>
      </c>
      <c r="Q45" s="69" t="s">
        <v>174</v>
      </c>
      <c r="R45" s="69">
        <f>IF(Q45="Free Recall",1,IF(Q45="Cued Recall",2,IF(Q45="Recognition",3,IF(Q45="Multiple Choice",4,IF(Q45="Savings",5,IF(Q45="Stem Completion",6,IF(Q45="Fragment Completion",7,IF(Q45="anagram solution",8,IF(Q45="Matching",9,IF(Q45="Problem Solving",10,"99"))))))))))</f>
        <v>1</v>
      </c>
      <c r="S45" s="69" t="s">
        <v>49</v>
      </c>
      <c r="T45" s="92" t="s">
        <v>581</v>
      </c>
      <c r="U45" s="69">
        <f>IF(T45="within",1,0)</f>
        <v>1</v>
      </c>
      <c r="V45" s="92">
        <v>16</v>
      </c>
      <c r="W45" s="69">
        <f>F45*V45</f>
        <v>384</v>
      </c>
      <c r="X45" s="69">
        <v>3</v>
      </c>
      <c r="Y45" s="87">
        <f>AV44</f>
        <v>3</v>
      </c>
      <c r="Z45" s="69" t="s">
        <v>28</v>
      </c>
      <c r="AA45" s="69">
        <v>18</v>
      </c>
      <c r="AB45" s="69" t="str">
        <f>IF(AA45&lt;60,"1",IF(AA45&lt;=43200,"2",IF(AA45&lt;=777600,"3","4")))</f>
        <v>1</v>
      </c>
      <c r="AC45" s="72">
        <f>AVERAGE(AV44:DA44)</f>
        <v>10</v>
      </c>
      <c r="AD45" s="69" t="str">
        <f>IF(AC45&lt;60,"1",IF(AC45&lt;=43200,"2",IF(AC45&lt;=777600,"3","4")))</f>
        <v>1</v>
      </c>
      <c r="AE45" s="87">
        <f>AA45-Y45</f>
        <v>15</v>
      </c>
      <c r="AF45" s="88">
        <f>AV45</f>
        <v>0.68</v>
      </c>
      <c r="AG45" s="72">
        <f>((AW45-AV45)+(AX45-AW45))/2</f>
        <v>-0.23500000000000004</v>
      </c>
      <c r="AH45" s="4"/>
      <c r="AI45" s="72">
        <f>RSQ(AV45:AX45,AV44:AX44)</f>
        <v>0.87096774193548399</v>
      </c>
      <c r="AJ45" s="110">
        <f>SLOPE(AV45:AX45,AV44:AX44)</f>
        <v>-3.0000000000000006E-2</v>
      </c>
      <c r="AK45" s="72">
        <f>INTERCEPT(AV45:AX45,AV44:AX44)</f>
        <v>0.71</v>
      </c>
      <c r="AL45" s="72">
        <f>INDEX(LINEST(LN(AV45:AX45),LN(AV44:AX44),TRUE,TRUE),3,1)</f>
        <v>0.99930027309590574</v>
      </c>
      <c r="AM45" s="72">
        <f>INDEX(LINEST(LN(AV45:AX45),LN(AV44:AX44)),1)</f>
        <v>-0.65351241503468982</v>
      </c>
      <c r="AN45" s="72">
        <f>EXP(INDEX(LINEST(LN(AV45:AX45),LN(AV44:AX44)),1,2))</f>
        <v>1.403844787232613</v>
      </c>
      <c r="AO45" s="89">
        <f>INDEX(LINEST((AV45:AX45),LN(AV44:AX44),TRUE,TRUE),3,1)</f>
        <v>0.98505756831423763</v>
      </c>
      <c r="AP45" s="89">
        <f>INDEX(LINEST((AV45:AX45),LN(AV44:AX44)),1)</f>
        <v>-0.2666019853133022</v>
      </c>
      <c r="AQ45" s="90">
        <f>INDEX(LINEST(LN(AV45:AX45),SQRT(AV44:AX44),TRUE,TRUE),3,1)</f>
        <v>0.99049672958102153</v>
      </c>
      <c r="AR45" s="117">
        <f>INDEX(LINEST(LN(AV45:AX45),SQRT((AV44:AX44))),1)</f>
        <v>-0.46827859116513726</v>
      </c>
      <c r="AS45" s="91">
        <f>INDEX(LINEST(1/(AV45:AX45),1/(SQRT(AV44:AX44)),TRUE,TRUE),3,1)</f>
        <v>0.91048070657290237</v>
      </c>
      <c r="AT45" s="91">
        <f>INDEX(LINEST(1/(AV45:AX45),1/SQRT(AV44:AX44)),1)</f>
        <v>-8.9401760866967752</v>
      </c>
      <c r="AU45" s="3"/>
      <c r="AV45" s="73">
        <v>0.68</v>
      </c>
      <c r="AW45" s="73">
        <v>0.34</v>
      </c>
      <c r="AX45" s="73">
        <v>0.21</v>
      </c>
      <c r="AY45" s="102"/>
      <c r="AZ45" s="73"/>
      <c r="BA45" s="7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1"/>
      <c r="CS45" s="1"/>
      <c r="CT45" s="1"/>
      <c r="CU45" s="1"/>
    </row>
    <row r="46" spans="1:99" s="13" customFormat="1" ht="12" customHeight="1" x14ac:dyDescent="0.2">
      <c r="A46" s="68">
        <v>43509</v>
      </c>
      <c r="B46" s="70"/>
      <c r="C46" s="70"/>
      <c r="D46" s="69"/>
      <c r="E46" s="87"/>
      <c r="F46" s="69"/>
      <c r="G46" s="69"/>
      <c r="H46" s="69"/>
      <c r="I46" s="69"/>
      <c r="J46" s="69"/>
      <c r="K46" s="107"/>
      <c r="L46" s="107"/>
      <c r="M46" s="69"/>
      <c r="N46" s="69"/>
      <c r="O46" s="69"/>
      <c r="P46" s="69"/>
      <c r="Q46" s="69"/>
      <c r="R46" s="69"/>
      <c r="S46" s="69"/>
      <c r="T46" s="92"/>
      <c r="U46" s="69"/>
      <c r="V46" s="92"/>
      <c r="W46" s="69"/>
      <c r="X46" s="69"/>
      <c r="Y46" s="87"/>
      <c r="Z46" s="69"/>
      <c r="AA46" s="69"/>
      <c r="AB46" s="69"/>
      <c r="AC46" s="69"/>
      <c r="AD46" s="69"/>
      <c r="AE46" s="69"/>
      <c r="AF46" s="88"/>
      <c r="AG46" s="72"/>
      <c r="AH46" s="4"/>
      <c r="AI46" s="72"/>
      <c r="AJ46" s="110"/>
      <c r="AK46" s="72"/>
      <c r="AL46" s="72"/>
      <c r="AM46" s="72"/>
      <c r="AN46" s="72"/>
      <c r="AO46" s="89"/>
      <c r="AP46" s="89"/>
      <c r="AQ46" s="89"/>
      <c r="AR46" s="118"/>
      <c r="AS46" s="89"/>
      <c r="AT46" s="89"/>
      <c r="AU46" s="3"/>
      <c r="AV46" s="71">
        <v>3</v>
      </c>
      <c r="AW46" s="71">
        <v>9</v>
      </c>
      <c r="AX46" s="71">
        <v>18</v>
      </c>
      <c r="AY46" s="102"/>
      <c r="AZ46" s="73"/>
      <c r="BA46" s="7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53"/>
      <c r="CO46" s="53"/>
      <c r="CP46" s="53"/>
      <c r="CQ46" s="53"/>
      <c r="CR46" s="1"/>
      <c r="CS46" s="1"/>
      <c r="CT46" s="1"/>
      <c r="CU46" s="1"/>
    </row>
    <row r="47" spans="1:99" s="13" customFormat="1" ht="12" customHeight="1" x14ac:dyDescent="0.2">
      <c r="A47" s="68">
        <v>43509</v>
      </c>
      <c r="B47" s="70" t="s">
        <v>31</v>
      </c>
      <c r="C47" s="70" t="s">
        <v>19</v>
      </c>
      <c r="D47" s="69">
        <v>1959</v>
      </c>
      <c r="E47" s="87">
        <v>2</v>
      </c>
      <c r="F47" s="69">
        <v>24</v>
      </c>
      <c r="G47" s="69">
        <v>24</v>
      </c>
      <c r="H47" s="69" t="s">
        <v>22</v>
      </c>
      <c r="I47" s="69" t="s">
        <v>750</v>
      </c>
      <c r="J47" s="69" t="s">
        <v>443</v>
      </c>
      <c r="K47" s="69">
        <f>IF(J47="syllables",1,IF(J47="trigrams",2,IF(J47="strings",3,IF(J47="visual array",4,IF(J47="characters",5,IF(J47="letters",6,IF(J47="free forms",7,IF(J47="odors",8,IF(J47="words",9,IF(J47="pictures",10,IF(J47="object pictures",11,IF(J47="faces",12,IF(J47="names",13,IF(J47="idioms",14,IF(J47="grades",15,IF(J47="syllable-digit pairs",16,IF(J47="trigram-word pairs",17,IF(J47="word-digit pairs",18,IF(J47="English-Swahili pairs",19,IF(J47="spatial position",20,IF(J47="word pairs",21,IF(J47="word triads",22,IF(J47="generated words",23,IF(J47="word definition pairs",24,IF(J47="math problems",25,IF(J47="famous faces",26,IF(J47="famous names",27,IF(J47="famous voices",28,IF(J47="television programs",29,IF(J47="race horses",30,IF(J47="new vocabulary",31,IF(J47="sentences",32,IF(J47="concepts",33,IF(J47="ad slides",34,IF(J47="scenes",35,IF(J47="famous scenes",36,IF(J47="poems",37,IF(J47="walk",38,IF(J47="faces and events",39,IF(J47="events and names",40,IF(J47="flashbulb",41,IF(J47="stories",42,IF(J47="course material",43,IF(J47="autobiographical",44,IF(J47="novels",45,IF(J47="public events",46,"99"))))))))))))))))))))))))))))))))))))))))))))))</f>
        <v>2</v>
      </c>
      <c r="L47" s="69">
        <f>IF(J47="syllables",1,IF(J47="trigrams",1,IF(J47="strings",1,IF(J47="visual array",1,IF(J47="characters",1,IF(J47="letters",1,IF(J47="free forms",1,IF(J47="odors",2,IF(J47="words",2,IF(J47="pictures",2,IF(J47="object pictures",2,IF(J47="faces",2,IF(J47="names",2,IF(J47="idioms","2",IF(J47="grades",2,IF(J47="syllable-digit pairs",3,IF(J47="trigram-word pairs",3,IF(J47="word-digit pairs",3,IF(J47="English-Swahili pairs",3,IF(J47="spatial position",3,IF(J47="word pairs",4,IF(J47="word triads",4,IF(J47="generated words",4,IF(J47="word definition pairs",4,IF(J47="math problems",4,IF(J47="famous faces",4,IF(J47="famous names",4,IF(J47="famous voices",4,IF(J47="television programs",4,IF(J47="race horses",4,IF(J47="new vocabulary",4,IF(J47="sentences",5,IF(J47="concepts",5,IF(J47="ad slides",5,IF(J47="scenes",5,IF(J47="famous scenes",5,IF(J47="poems",6,IF(J47="walk",6,IF(J47="faces and events",6,IF(J47="events and names",6,IF(J47="flashbulb",7,IF(J47="stories",7,IF(J47="course material",7,IF(J47="autobiographical",7,IF(J47="novels",7,IF(J47="public events",7,"99"))))))))))))))))))))))))))))))))))))))))))))))</f>
        <v>1</v>
      </c>
      <c r="M47" s="69">
        <v>0</v>
      </c>
      <c r="N47" s="69">
        <v>1</v>
      </c>
      <c r="O47" s="69">
        <v>1</v>
      </c>
      <c r="P47" s="69" t="s">
        <v>27</v>
      </c>
      <c r="Q47" s="69" t="s">
        <v>174</v>
      </c>
      <c r="R47" s="69">
        <f>IF(Q47="Free Recall",1,IF(Q47="Cued Recall",2,IF(Q47="Recognition",3,IF(Q47="Multiple Choice",4,IF(Q47="Savings",5,IF(Q47="Stem Completion",6,IF(Q47="Fragment Completion",7,IF(Q47="anagram solution",8,IF(Q47="Matching",9,IF(Q47="Problem Solving",10,"99"))))))))))</f>
        <v>1</v>
      </c>
      <c r="S47" s="69" t="s">
        <v>49</v>
      </c>
      <c r="T47" s="92" t="s">
        <v>581</v>
      </c>
      <c r="U47" s="69">
        <f>IF(T47="within",1,0)</f>
        <v>1</v>
      </c>
      <c r="V47" s="92">
        <v>16</v>
      </c>
      <c r="W47" s="69">
        <f>F47*V47</f>
        <v>384</v>
      </c>
      <c r="X47" s="69">
        <v>3</v>
      </c>
      <c r="Y47" s="87">
        <f>AV46</f>
        <v>3</v>
      </c>
      <c r="Z47" s="69" t="s">
        <v>28</v>
      </c>
      <c r="AA47" s="69">
        <v>18</v>
      </c>
      <c r="AB47" s="69" t="str">
        <f>IF(AA47&lt;60,"1",IF(AA47&lt;=43200,"2",IF(AA47&lt;=777600,"3","4")))</f>
        <v>1</v>
      </c>
      <c r="AC47" s="72">
        <f>AVERAGE(AV46:DA46)</f>
        <v>10</v>
      </c>
      <c r="AD47" s="69" t="str">
        <f>IF(AC47&lt;60,"1",IF(AC47&lt;=43200,"2",IF(AC47&lt;=777600,"3","4")))</f>
        <v>1</v>
      </c>
      <c r="AE47" s="87">
        <f>AA47-Y47</f>
        <v>15</v>
      </c>
      <c r="AF47" s="88">
        <f>AV47</f>
        <v>0.6</v>
      </c>
      <c r="AG47" s="72">
        <f>((AW47-AV47)+(AX47-AW47))/2</f>
        <v>-0.22999999999999998</v>
      </c>
      <c r="AH47" s="4"/>
      <c r="AI47" s="72">
        <f>RSQ(AV47:AX47,AV46:AX46)</f>
        <v>0.84290340235337036</v>
      </c>
      <c r="AJ47" s="110">
        <f>SLOPE(AV47:AX47,AV46:AX46)</f>
        <v>-2.9210526315789472E-2</v>
      </c>
      <c r="AK47" s="72">
        <f>INTERCEPT(AV47:AX47,AV46:AX46)</f>
        <v>0.62210526315789472</v>
      </c>
      <c r="AL47" s="72">
        <f>INDEX(LINEST(LN(AV47:AX47),LN(AV46:AX46),TRUE,TRUE),3,1)</f>
        <v>0.99982691381057243</v>
      </c>
      <c r="AM47" s="72">
        <f>INDEX(LINEST(LN(AV47:AX47),LN(AV46:AX46)),1)</f>
        <v>-0.81081745451120035</v>
      </c>
      <c r="AN47" s="72">
        <f>EXP(INDEX(LINEST(LN(AV47:AX47),LN(AV46:AX46)),1,2))</f>
        <v>1.4684650859845874</v>
      </c>
      <c r="AO47" s="89">
        <f>INDEX(LINEST((AV47:AX47),LN(AV46:AX46),TRUE,TRUE),3,1)</f>
        <v>0.97377228715827391</v>
      </c>
      <c r="AP47" s="89">
        <f>INDEX(LINEST((AV47:AX47),LN(AV46:AX46)),1)</f>
        <v>-0.26235632428993372</v>
      </c>
      <c r="AQ47" s="90">
        <f>INDEX(LINEST(LN(AV47:AX47),SQRT(AV46:AX46),TRUE,TRUE),3,1)</f>
        <v>0.98774302980853201</v>
      </c>
      <c r="AR47" s="117">
        <f>INDEX(LINEST(LN(AV47:AX47),SQRT((AV46:AX46))),1)</f>
        <v>-0.5800355409202792</v>
      </c>
      <c r="AS47" s="91">
        <f>INDEX(LINEST(1/(AV47:AX47),1/(SQRT(AV46:AX46)),TRUE,TRUE),3,1)</f>
        <v>0.89643275472467565</v>
      </c>
      <c r="AT47" s="91">
        <f>INDEX(LINEST(1/(AV47:AX47),1/SQRT(AV46:AX46)),1)</f>
        <v>-14.785527559120688</v>
      </c>
      <c r="AU47" s="3"/>
      <c r="AV47" s="73">
        <v>0.6</v>
      </c>
      <c r="AW47" s="73">
        <v>0.25</v>
      </c>
      <c r="AX47" s="73">
        <v>0.14000000000000001</v>
      </c>
      <c r="AY47" s="102"/>
      <c r="AZ47" s="73"/>
      <c r="BA47" s="7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53"/>
      <c r="CO47" s="53"/>
      <c r="CP47" s="53"/>
      <c r="CQ47" s="53"/>
      <c r="CR47" s="1"/>
      <c r="CS47" s="1"/>
      <c r="CT47" s="1"/>
      <c r="CU47" s="1"/>
    </row>
    <row r="48" spans="1:99" s="13" customFormat="1" ht="12" customHeight="1" x14ac:dyDescent="0.2">
      <c r="A48" s="68">
        <v>43509</v>
      </c>
      <c r="B48" s="70"/>
      <c r="C48" s="70"/>
      <c r="D48" s="69"/>
      <c r="E48" s="87"/>
      <c r="F48" s="69"/>
      <c r="G48" s="69"/>
      <c r="H48" s="69"/>
      <c r="I48" s="69"/>
      <c r="J48" s="69"/>
      <c r="K48" s="107"/>
      <c r="L48" s="107"/>
      <c r="M48" s="69"/>
      <c r="N48" s="69"/>
      <c r="O48" s="69"/>
      <c r="P48" s="69"/>
      <c r="Q48" s="69"/>
      <c r="R48" s="69"/>
      <c r="S48" s="69"/>
      <c r="T48" s="69"/>
      <c r="U48" s="69"/>
      <c r="V48" s="69"/>
      <c r="W48" s="69"/>
      <c r="X48" s="69"/>
      <c r="Y48" s="87"/>
      <c r="Z48" s="69"/>
      <c r="AA48" s="69"/>
      <c r="AB48" s="69"/>
      <c r="AC48" s="69"/>
      <c r="AD48" s="69"/>
      <c r="AE48" s="69"/>
      <c r="AF48" s="88"/>
      <c r="AG48" s="72"/>
      <c r="AH48" s="4"/>
      <c r="AI48" s="72"/>
      <c r="AJ48" s="110"/>
      <c r="AK48" s="72"/>
      <c r="AL48" s="72"/>
      <c r="AM48" s="72"/>
      <c r="AN48" s="72"/>
      <c r="AO48" s="89"/>
      <c r="AP48" s="89"/>
      <c r="AQ48" s="89"/>
      <c r="AR48" s="118"/>
      <c r="AS48" s="89"/>
      <c r="AT48" s="89"/>
      <c r="AU48" s="3"/>
      <c r="AV48" s="71">
        <v>3</v>
      </c>
      <c r="AW48" s="71">
        <v>9</v>
      </c>
      <c r="AX48" s="71">
        <v>18</v>
      </c>
      <c r="AY48" s="102"/>
      <c r="AZ48" s="73"/>
      <c r="BA48" s="73"/>
      <c r="BB48" s="53"/>
      <c r="BC48" s="53"/>
      <c r="BD48" s="53"/>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53"/>
      <c r="CO48" s="53"/>
      <c r="CP48" s="53"/>
      <c r="CQ48" s="53"/>
      <c r="CR48" s="1"/>
      <c r="CS48" s="1"/>
      <c r="CT48" s="1"/>
      <c r="CU48" s="1"/>
    </row>
    <row r="49" spans="1:99" s="13" customFormat="1" ht="12" customHeight="1" x14ac:dyDescent="0.2">
      <c r="A49" s="68">
        <v>43509</v>
      </c>
      <c r="B49" s="70" t="s">
        <v>31</v>
      </c>
      <c r="C49" s="70" t="s">
        <v>19</v>
      </c>
      <c r="D49" s="69">
        <v>1959</v>
      </c>
      <c r="E49" s="87">
        <v>2</v>
      </c>
      <c r="F49" s="69">
        <v>24</v>
      </c>
      <c r="G49" s="69">
        <v>24</v>
      </c>
      <c r="H49" s="69" t="s">
        <v>22</v>
      </c>
      <c r="I49" s="69" t="s">
        <v>751</v>
      </c>
      <c r="J49" s="69" t="s">
        <v>443</v>
      </c>
      <c r="K49" s="69">
        <f>IF(J49="syllables",1,IF(J49="trigrams",2,IF(J49="strings",3,IF(J49="visual array",4,IF(J49="characters",5,IF(J49="letters",6,IF(J49="free forms",7,IF(J49="odors",8,IF(J49="words",9,IF(J49="pictures",10,IF(J49="object pictures",11,IF(J49="faces",12,IF(J49="names",13,IF(J49="idioms",14,IF(J49="grades",15,IF(J49="syllable-digit pairs",16,IF(J49="trigram-word pairs",17,IF(J49="word-digit pairs",18,IF(J49="English-Swahili pairs",19,IF(J49="spatial position",20,IF(J49="word pairs",21,IF(J49="word triads",22,IF(J49="generated words",23,IF(J49="word definition pairs",24,IF(J49="math problems",25,IF(J49="famous faces",26,IF(J49="famous names",27,IF(J49="famous voices",28,IF(J49="television programs",29,IF(J49="race horses",30,IF(J49="new vocabulary",31,IF(J49="sentences",32,IF(J49="concepts",33,IF(J49="ad slides",34,IF(J49="scenes",35,IF(J49="famous scenes",36,IF(J49="poems",37,IF(J49="walk",38,IF(J49="faces and events",39,IF(J49="events and names",40,IF(J49="flashbulb",41,IF(J49="stories",42,IF(J49="course material",43,IF(J49="autobiographical",44,IF(J49="novels",45,IF(J49="public events",46,"99"))))))))))))))))))))))))))))))))))))))))))))))</f>
        <v>2</v>
      </c>
      <c r="L49" s="69">
        <f>IF(J49="syllables",1,IF(J49="trigrams",1,IF(J49="strings",1,IF(J49="visual array",1,IF(J49="characters",1,IF(J49="letters",1,IF(J49="free forms",1,IF(J49="odors",2,IF(J49="words",2,IF(J49="pictures",2,IF(J49="object pictures",2,IF(J49="faces",2,IF(J49="names",2,IF(J49="idioms","2",IF(J49="grades",2,IF(J49="syllable-digit pairs",3,IF(J49="trigram-word pairs",3,IF(J49="word-digit pairs",3,IF(J49="English-Swahili pairs",3,IF(J49="spatial position",3,IF(J49="word pairs",4,IF(J49="word triads",4,IF(J49="generated words",4,IF(J49="word definition pairs",4,IF(J49="math problems",4,IF(J49="famous faces",4,IF(J49="famous names",4,IF(J49="famous voices",4,IF(J49="television programs",4,IF(J49="race horses",4,IF(J49="new vocabulary",4,IF(J49="sentences",5,IF(J49="concepts",5,IF(J49="ad slides",5,IF(J49="scenes",5,IF(J49="famous scenes",5,IF(J49="poems",6,IF(J49="walk",6,IF(J49="faces and events",6,IF(J49="events and names",6,IF(J49="flashbulb",7,IF(J49="stories",7,IF(J49="course material",7,IF(J49="autobiographical",7,IF(J49="novels",7,IF(J49="public events",7,"99"))))))))))))))))))))))))))))))))))))))))))))))</f>
        <v>1</v>
      </c>
      <c r="M49" s="69">
        <v>0</v>
      </c>
      <c r="N49" s="69">
        <v>1</v>
      </c>
      <c r="O49" s="69">
        <v>1</v>
      </c>
      <c r="P49" s="69" t="s">
        <v>27</v>
      </c>
      <c r="Q49" s="69" t="s">
        <v>174</v>
      </c>
      <c r="R49" s="69">
        <f>IF(Q49="Free Recall",1,IF(Q49="Cued Recall",2,IF(Q49="Recognition",3,IF(Q49="Multiple Choice",4,IF(Q49="Savings",5,IF(Q49="Stem Completion",6,IF(Q49="Fragment Completion",7,IF(Q49="anagram solution",8,IF(Q49="Matching",9,IF(Q49="Problem Solving",10,"99"))))))))))</f>
        <v>1</v>
      </c>
      <c r="S49" s="69" t="s">
        <v>49</v>
      </c>
      <c r="T49" s="92" t="s">
        <v>581</v>
      </c>
      <c r="U49" s="69">
        <f>IF(T49="within",1,0)</f>
        <v>1</v>
      </c>
      <c r="V49" s="92">
        <v>16</v>
      </c>
      <c r="W49" s="69">
        <f>F49*V49</f>
        <v>384</v>
      </c>
      <c r="X49" s="69">
        <v>3</v>
      </c>
      <c r="Y49" s="87">
        <f>AV48</f>
        <v>3</v>
      </c>
      <c r="Z49" s="69" t="s">
        <v>28</v>
      </c>
      <c r="AA49" s="69">
        <v>18</v>
      </c>
      <c r="AB49" s="69" t="str">
        <f>IF(AA49&lt;60,"1",IF(AA49&lt;=43200,"2",IF(AA49&lt;=777600,"3","4")))</f>
        <v>1</v>
      </c>
      <c r="AC49" s="72">
        <f>AVERAGE(AV48:DA48)</f>
        <v>10</v>
      </c>
      <c r="AD49" s="69" t="str">
        <f>IF(AC49&lt;60,"1",IF(AC49&lt;=43200,"2",IF(AC49&lt;=777600,"3","4")))</f>
        <v>1</v>
      </c>
      <c r="AE49" s="87">
        <f>AA49-Y49</f>
        <v>15</v>
      </c>
      <c r="AF49" s="88">
        <f>AV49</f>
        <v>0.7</v>
      </c>
      <c r="AG49" s="72">
        <f>((AW49-AV49)+(AX49-AW49))/2</f>
        <v>-0.19999999999999998</v>
      </c>
      <c r="AH49" s="4"/>
      <c r="AI49" s="72">
        <f>RSQ(AV49:AX49,AV48:AX48)</f>
        <v>0.83191561416789506</v>
      </c>
      <c r="AJ49" s="110">
        <f>SLOPE(AV49:AX49,AV48:AX48)</f>
        <v>-2.5350877192982454E-2</v>
      </c>
      <c r="AK49" s="72">
        <f>INTERCEPT(AV49:AX49,AV48:AX48)</f>
        <v>0.71684210526315784</v>
      </c>
      <c r="AL49" s="72">
        <f>INDEX(LINEST(LN(AV49:AX49),LN(AV48:AX48),TRUE,TRUE),3,1)</f>
        <v>0.99254609410921246</v>
      </c>
      <c r="AM49" s="72">
        <f>INDEX(LINEST(LN(AV49:AX49),LN(AV48:AX48)),1)</f>
        <v>-0.47830135006197272</v>
      </c>
      <c r="AN49" s="72">
        <f>EXP(INDEX(LINEST(LN(AV49:AX49),LN(AV48:AX48)),1,2))</f>
        <v>1.1643991654303845</v>
      </c>
      <c r="AO49" s="89">
        <f>INDEX(LINEST((AV49:AX49),LN(AV48:AX48),TRUE,TRUE),3,1)</f>
        <v>0.96880342513426199</v>
      </c>
      <c r="AP49" s="89">
        <f>INDEX(LINEST((AV49:AX49),LN(AV48:AX48)),1)</f>
        <v>-0.2286038498515767</v>
      </c>
      <c r="AQ49" s="90">
        <f>INDEX(LINEST(LN(AV49:AX49),SQRT(AV48:AX48),TRUE,TRUE),3,1)</f>
        <v>0.95632448407599546</v>
      </c>
      <c r="AR49" s="117">
        <f>INDEX(LINEST(LN(AV49:AX49),SQRT((AV48:AX48))),1)</f>
        <v>-0.33790984298343807</v>
      </c>
      <c r="AS49" s="91">
        <f>INDEX(LINEST(1/(AV49:AX49),1/(SQRT(AV48:AX48)),TRUE,TRUE),3,1)</f>
        <v>0.98269455027740582</v>
      </c>
      <c r="AT49" s="91">
        <f>INDEX(LINEST(1/(AV49:AX49),1/SQRT(AV48:AX48)),1)</f>
        <v>-5.3980124686605047</v>
      </c>
      <c r="AU49" s="3"/>
      <c r="AV49" s="73">
        <v>0.7</v>
      </c>
      <c r="AW49" s="73">
        <v>0.39</v>
      </c>
      <c r="AX49" s="73">
        <v>0.3</v>
      </c>
      <c r="AY49" s="102"/>
      <c r="AZ49" s="73"/>
      <c r="BA49" s="73"/>
      <c r="BB49" s="53"/>
      <c r="BC49" s="53"/>
      <c r="BD49" s="53"/>
      <c r="BE49" s="53"/>
      <c r="BF49" s="53"/>
      <c r="BG49" s="53"/>
      <c r="BH49" s="53"/>
      <c r="BI49" s="53"/>
      <c r="BJ49" s="53"/>
      <c r="BK49" s="53"/>
      <c r="BL49" s="53"/>
      <c r="BM49" s="53"/>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53"/>
      <c r="CO49" s="53"/>
      <c r="CP49" s="53"/>
      <c r="CQ49" s="53"/>
      <c r="CR49" s="1"/>
      <c r="CS49" s="1"/>
      <c r="CT49" s="1"/>
      <c r="CU49" s="1"/>
    </row>
    <row r="50" spans="1:99" s="13" customFormat="1" ht="12" customHeight="1" x14ac:dyDescent="0.2">
      <c r="A50" s="68">
        <v>43509</v>
      </c>
      <c r="B50" s="70"/>
      <c r="C50" s="70"/>
      <c r="D50" s="69"/>
      <c r="E50" s="87"/>
      <c r="F50" s="69"/>
      <c r="G50" s="69"/>
      <c r="H50" s="69"/>
      <c r="I50" s="69"/>
      <c r="J50" s="69"/>
      <c r="K50" s="107"/>
      <c r="L50" s="107"/>
      <c r="M50" s="69"/>
      <c r="N50" s="69"/>
      <c r="O50" s="69"/>
      <c r="P50" s="69"/>
      <c r="Q50" s="69"/>
      <c r="R50" s="69"/>
      <c r="S50" s="69"/>
      <c r="T50" s="69"/>
      <c r="U50" s="69"/>
      <c r="V50" s="69"/>
      <c r="W50" s="69"/>
      <c r="X50" s="69"/>
      <c r="Y50" s="87"/>
      <c r="Z50" s="69"/>
      <c r="AA50" s="69"/>
      <c r="AB50" s="69"/>
      <c r="AC50" s="69"/>
      <c r="AD50" s="69"/>
      <c r="AE50" s="69"/>
      <c r="AF50" s="88"/>
      <c r="AG50" s="72"/>
      <c r="AH50" s="4"/>
      <c r="AI50" s="72"/>
      <c r="AJ50" s="110"/>
      <c r="AK50" s="72"/>
      <c r="AL50" s="72"/>
      <c r="AM50" s="72"/>
      <c r="AN50" s="72"/>
      <c r="AO50" s="89"/>
      <c r="AP50" s="89"/>
      <c r="AQ50" s="89"/>
      <c r="AR50" s="118"/>
      <c r="AS50" s="89"/>
      <c r="AT50" s="89"/>
      <c r="AU50" s="3"/>
      <c r="AV50" s="71">
        <v>3</v>
      </c>
      <c r="AW50" s="71">
        <v>9</v>
      </c>
      <c r="AX50" s="71">
        <v>18</v>
      </c>
      <c r="AY50" s="102"/>
      <c r="AZ50" s="73"/>
      <c r="BA50" s="7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53"/>
      <c r="CO50" s="53"/>
      <c r="CP50" s="53"/>
      <c r="CQ50" s="53"/>
      <c r="CR50" s="1"/>
      <c r="CS50" s="1"/>
      <c r="CT50" s="1"/>
      <c r="CU50" s="1"/>
    </row>
    <row r="51" spans="1:99" s="13" customFormat="1" ht="12" customHeight="1" x14ac:dyDescent="0.2">
      <c r="A51" s="68">
        <v>43509</v>
      </c>
      <c r="B51" s="70" t="s">
        <v>31</v>
      </c>
      <c r="C51" s="70" t="s">
        <v>19</v>
      </c>
      <c r="D51" s="69">
        <v>1959</v>
      </c>
      <c r="E51" s="87">
        <v>2</v>
      </c>
      <c r="F51" s="69">
        <v>24</v>
      </c>
      <c r="G51" s="69">
        <v>24</v>
      </c>
      <c r="H51" s="69" t="s">
        <v>22</v>
      </c>
      <c r="I51" s="69" t="s">
        <v>752</v>
      </c>
      <c r="J51" s="69" t="s">
        <v>443</v>
      </c>
      <c r="K51" s="69">
        <f>IF(J51="syllables",1,IF(J51="trigrams",2,IF(J51="strings",3,IF(J51="visual array",4,IF(J51="characters",5,IF(J51="letters",6,IF(J51="free forms",7,IF(J51="odors",8,IF(J51="words",9,IF(J51="pictures",10,IF(J51="object pictures",11,IF(J51="faces",12,IF(J51="names",13,IF(J51="idioms",14,IF(J51="grades",15,IF(J51="syllable-digit pairs",16,IF(J51="trigram-word pairs",17,IF(J51="word-digit pairs",18,IF(J51="English-Swahili pairs",19,IF(J51="spatial position",20,IF(J51="word pairs",21,IF(J51="word triads",22,IF(J51="generated words",23,IF(J51="word definition pairs",24,IF(J51="math problems",25,IF(J51="famous faces",26,IF(J51="famous names",27,IF(J51="famous voices",28,IF(J51="television programs",29,IF(J51="race horses",30,IF(J51="new vocabulary",31,IF(J51="sentences",32,IF(J51="concepts",33,IF(J51="ad slides",34,IF(J51="scenes",35,IF(J51="famous scenes",36,IF(J51="poems",37,IF(J51="walk",38,IF(J51="faces and events",39,IF(J51="events and names",40,IF(J51="flashbulb",41,IF(J51="stories",42,IF(J51="course material",43,IF(J51="autobiographical",44,IF(J51="novels",45,IF(J51="public events",46,"99"))))))))))))))))))))))))))))))))))))))))))))))</f>
        <v>2</v>
      </c>
      <c r="L51" s="69">
        <f>IF(J51="syllables",1,IF(J51="trigrams",1,IF(J51="strings",1,IF(J51="visual array",1,IF(J51="characters",1,IF(J51="letters",1,IF(J51="free forms",1,IF(J51="odors",2,IF(J51="words",2,IF(J51="pictures",2,IF(J51="object pictures",2,IF(J51="faces",2,IF(J51="names",2,IF(J51="idioms","2",IF(J51="grades",2,IF(J51="syllable-digit pairs",3,IF(J51="trigram-word pairs",3,IF(J51="word-digit pairs",3,IF(J51="English-Swahili pairs",3,IF(J51="spatial position",3,IF(J51="word pairs",4,IF(J51="word triads",4,IF(J51="generated words",4,IF(J51="word definition pairs",4,IF(J51="math problems",4,IF(J51="famous faces",4,IF(J51="famous names",4,IF(J51="famous voices",4,IF(J51="television programs",4,IF(J51="race horses",4,IF(J51="new vocabulary",4,IF(J51="sentences",5,IF(J51="concepts",5,IF(J51="ad slides",5,IF(J51="scenes",5,IF(J51="famous scenes",5,IF(J51="poems",6,IF(J51="walk",6,IF(J51="faces and events",6,IF(J51="events and names",6,IF(J51="flashbulb",7,IF(J51="stories",7,IF(J51="course material",7,IF(J51="autobiographical",7,IF(J51="novels",7,IF(J51="public events",7,"99"))))))))))))))))))))))))))))))))))))))))))))))</f>
        <v>1</v>
      </c>
      <c r="M51" s="69">
        <v>0</v>
      </c>
      <c r="N51" s="69">
        <v>1</v>
      </c>
      <c r="O51" s="69">
        <v>1</v>
      </c>
      <c r="P51" s="69" t="s">
        <v>27</v>
      </c>
      <c r="Q51" s="69" t="s">
        <v>174</v>
      </c>
      <c r="R51" s="69">
        <f>IF(Q51="Free Recall",1,IF(Q51="Cued Recall",2,IF(Q51="Recognition",3,IF(Q51="Multiple Choice",4,IF(Q51="Savings",5,IF(Q51="Stem Completion",6,IF(Q51="Fragment Completion",7,IF(Q51="anagram solution",8,IF(Q51="Matching",9,IF(Q51="Problem Solving",10,"99"))))))))))</f>
        <v>1</v>
      </c>
      <c r="S51" s="69" t="s">
        <v>49</v>
      </c>
      <c r="T51" s="92" t="s">
        <v>581</v>
      </c>
      <c r="U51" s="69">
        <f>IF(T51="within",1,0)</f>
        <v>1</v>
      </c>
      <c r="V51" s="92">
        <v>16</v>
      </c>
      <c r="W51" s="69">
        <f>F51*V51</f>
        <v>384</v>
      </c>
      <c r="X51" s="69">
        <v>3</v>
      </c>
      <c r="Y51" s="87">
        <f>AV50</f>
        <v>3</v>
      </c>
      <c r="Z51" s="69" t="s">
        <v>28</v>
      </c>
      <c r="AA51" s="69">
        <v>18</v>
      </c>
      <c r="AB51" s="69" t="str">
        <f>IF(AA51&lt;60,"1",IF(AA51&lt;=43200,"2",IF(AA51&lt;=777600,"3","4")))</f>
        <v>1</v>
      </c>
      <c r="AC51" s="72">
        <f>AVERAGE(AV50:DA50)</f>
        <v>10</v>
      </c>
      <c r="AD51" s="69" t="str">
        <f>IF(AC51&lt;60,"1",IF(AC51&lt;=43200,"2",IF(AC51&lt;=777600,"3","4")))</f>
        <v>1</v>
      </c>
      <c r="AE51" s="87">
        <f>AA51-Y51</f>
        <v>15</v>
      </c>
      <c r="AF51" s="88">
        <f>AV51</f>
        <v>0.74</v>
      </c>
      <c r="AG51" s="72">
        <f>((AW51-AV51)+(AX51-AW51))/2</f>
        <v>-0.26</v>
      </c>
      <c r="AH51" s="4"/>
      <c r="AI51" s="72">
        <f>RSQ(AV51:AX51,AV50:AX50)</f>
        <v>0.85121457489878527</v>
      </c>
      <c r="AJ51" s="110">
        <f>SLOPE(AV51:AX51,AV50:AX50)</f>
        <v>-3.3070175438596493E-2</v>
      </c>
      <c r="AK51" s="72">
        <f>INTERCEPT(AV51:AX51,AV50:AX50)</f>
        <v>0.76736842105263148</v>
      </c>
      <c r="AL51" s="72">
        <f>INDEX(LINEST(LN(AV51:AX51),LN(AV50:AX50),TRUE,TRUE),3,1)</f>
        <v>0.99997851391056913</v>
      </c>
      <c r="AM51" s="72">
        <f>INDEX(LINEST(LN(AV51:AX51),LN(AV50:AX50)),1)</f>
        <v>-0.67741107574387727</v>
      </c>
      <c r="AN51" s="72">
        <f>EXP(INDEX(LINEST(LN(AV51:AX51),LN(AV50:AX50)),1,2))</f>
        <v>1.5555830538431168</v>
      </c>
      <c r="AO51" s="89">
        <f>INDEX(LINEST((AV51:AX51),LN(AV50:AX50),TRUE,TRUE),3,1)</f>
        <v>0.97733616874174545</v>
      </c>
      <c r="AP51" s="89">
        <f>INDEX(LINEST((AV51:AX51),LN(AV50:AX50)),1)</f>
        <v>-0.29610879872829071</v>
      </c>
      <c r="AQ51" s="90">
        <f>INDEX(LINEST(LN(AV51:AX51),SQRT(AV50:AX50),TRUE,TRUE),3,1)</f>
        <v>0.98351978229656178</v>
      </c>
      <c r="AR51" s="117">
        <f>INDEX(LINEST(LN(AV51:AX51),SQRT((AV50:AX50))),1)</f>
        <v>-0.48352668758789563</v>
      </c>
      <c r="AS51" s="91">
        <f>INDEX(LINEST(1/(AV51:AX51),1/(SQRT(AV50:AX50)),TRUE,TRUE),3,1)</f>
        <v>0.92600694508381265</v>
      </c>
      <c r="AT51" s="91">
        <f>INDEX(LINEST(1/(AV51:AX51),1/SQRT(AV50:AX50)),1)</f>
        <v>-8.7380736496896247</v>
      </c>
      <c r="AU51" s="3"/>
      <c r="AV51" s="73">
        <v>0.74</v>
      </c>
      <c r="AW51" s="73">
        <v>0.35</v>
      </c>
      <c r="AX51" s="73">
        <v>0.22</v>
      </c>
      <c r="AY51" s="102"/>
      <c r="AZ51" s="73"/>
      <c r="BA51" s="73"/>
      <c r="BB51" s="53"/>
      <c r="BC51" s="53"/>
      <c r="BD51" s="53"/>
      <c r="BE51" s="53"/>
      <c r="BF51" s="53"/>
      <c r="BG51" s="53"/>
      <c r="BH51" s="53"/>
      <c r="BI51" s="53"/>
      <c r="BJ51" s="53"/>
      <c r="BK51" s="53"/>
      <c r="BL51" s="53"/>
      <c r="BM51" s="53"/>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53"/>
      <c r="CO51" s="53"/>
      <c r="CP51" s="53"/>
      <c r="CQ51" s="53"/>
      <c r="CR51" s="1"/>
      <c r="CS51" s="1"/>
      <c r="CT51" s="1"/>
      <c r="CU51" s="1"/>
    </row>
    <row r="52" spans="1:99" s="13" customFormat="1" ht="12" customHeight="1" x14ac:dyDescent="0.2">
      <c r="A52" s="68">
        <v>43509</v>
      </c>
      <c r="B52" s="70"/>
      <c r="C52" s="70"/>
      <c r="D52" s="69"/>
      <c r="E52" s="87"/>
      <c r="F52" s="69"/>
      <c r="G52" s="69"/>
      <c r="H52" s="69"/>
      <c r="I52" s="69"/>
      <c r="J52" s="69"/>
      <c r="K52" s="107"/>
      <c r="L52" s="107"/>
      <c r="M52" s="69"/>
      <c r="N52" s="69"/>
      <c r="O52" s="69"/>
      <c r="P52" s="69"/>
      <c r="Q52" s="69"/>
      <c r="R52" s="69"/>
      <c r="S52" s="69"/>
      <c r="T52" s="92"/>
      <c r="U52" s="69"/>
      <c r="V52" s="92"/>
      <c r="W52" s="69"/>
      <c r="X52" s="69"/>
      <c r="Y52" s="87"/>
      <c r="Z52" s="69"/>
      <c r="AA52" s="69"/>
      <c r="AB52" s="69"/>
      <c r="AC52" s="69"/>
      <c r="AD52" s="69"/>
      <c r="AE52" s="69"/>
      <c r="AF52" s="88"/>
      <c r="AG52" s="72"/>
      <c r="AH52" s="4"/>
      <c r="AI52" s="72"/>
      <c r="AJ52" s="110"/>
      <c r="AK52" s="72"/>
      <c r="AL52" s="72"/>
      <c r="AM52" s="72"/>
      <c r="AN52" s="72"/>
      <c r="AO52" s="89"/>
      <c r="AP52" s="89"/>
      <c r="AQ52" s="89"/>
      <c r="AR52" s="118"/>
      <c r="AS52" s="89"/>
      <c r="AT52" s="89"/>
      <c r="AU52" s="3"/>
      <c r="AV52" s="71">
        <v>3</v>
      </c>
      <c r="AW52" s="71">
        <v>9</v>
      </c>
      <c r="AX52" s="71">
        <v>18</v>
      </c>
      <c r="AY52" s="102"/>
      <c r="AZ52" s="73"/>
      <c r="BA52" s="73"/>
      <c r="BB52" s="53"/>
      <c r="BC52" s="53"/>
      <c r="BD52" s="53"/>
      <c r="BE52" s="53"/>
      <c r="BF52" s="53"/>
      <c r="BG52" s="53"/>
      <c r="BH52" s="53"/>
      <c r="BI52" s="53"/>
      <c r="BJ52" s="53"/>
      <c r="BK52" s="53"/>
      <c r="BL52" s="53"/>
      <c r="BM52" s="53"/>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53"/>
      <c r="CO52" s="53"/>
      <c r="CP52" s="53"/>
      <c r="CQ52" s="53"/>
      <c r="CR52" s="1"/>
      <c r="CS52" s="1"/>
      <c r="CT52" s="1"/>
      <c r="CU52" s="1"/>
    </row>
    <row r="53" spans="1:99" s="19" customFormat="1" ht="12" customHeight="1" x14ac:dyDescent="0.2">
      <c r="A53" s="68">
        <v>43509</v>
      </c>
      <c r="B53" s="100" t="s">
        <v>31</v>
      </c>
      <c r="C53" s="100" t="s">
        <v>19</v>
      </c>
      <c r="D53" s="99">
        <v>1959</v>
      </c>
      <c r="E53" s="106">
        <v>2</v>
      </c>
      <c r="F53" s="99">
        <v>24</v>
      </c>
      <c r="G53" s="99">
        <v>24</v>
      </c>
      <c r="H53" s="69" t="s">
        <v>22</v>
      </c>
      <c r="I53" s="99" t="s">
        <v>753</v>
      </c>
      <c r="J53" s="69" t="s">
        <v>443</v>
      </c>
      <c r="K53" s="69">
        <f>IF(J53="syllables",1,IF(J53="trigrams",2,IF(J53="strings",3,IF(J53="visual array",4,IF(J53="characters",5,IF(J53="letters",6,IF(J53="free forms",7,IF(J53="odors",8,IF(J53="words",9,IF(J53="pictures",10,IF(J53="object pictures",11,IF(J53="faces",12,IF(J53="names",13,IF(J53="idioms",14,IF(J53="grades",15,IF(J53="syllable-digit pairs",16,IF(J53="trigram-word pairs",17,IF(J53="word-digit pairs",18,IF(J53="English-Swahili pairs",19,IF(J53="spatial position",20,IF(J53="word pairs",21,IF(J53="word triads",22,IF(J53="generated words",23,IF(J53="word definition pairs",24,IF(J53="math problems",25,IF(J53="famous faces",26,IF(J53="famous names",27,IF(J53="famous voices",28,IF(J53="television programs",29,IF(J53="race horses",30,IF(J53="new vocabulary",31,IF(J53="sentences",32,IF(J53="concepts",33,IF(J53="ad slides",34,IF(J53="scenes",35,IF(J53="famous scenes",36,IF(J53="poems",37,IF(J53="walk",38,IF(J53="faces and events",39,IF(J53="events and names",40,IF(J53="flashbulb",41,IF(J53="stories",42,IF(J53="course material",43,IF(J53="autobiographical",44,IF(J53="novels",45,IF(J53="public events",46,"99"))))))))))))))))))))))))))))))))))))))))))))))</f>
        <v>2</v>
      </c>
      <c r="L53" s="69">
        <f>IF(J53="syllables",1,IF(J53="trigrams",1,IF(J53="strings",1,IF(J53="visual array",1,IF(J53="characters",1,IF(J53="letters",1,IF(J53="free forms",1,IF(J53="odors",2,IF(J53="words",2,IF(J53="pictures",2,IF(J53="object pictures",2,IF(J53="faces",2,IF(J53="names",2,IF(J53="idioms","2",IF(J53="grades",2,IF(J53="syllable-digit pairs",3,IF(J53="trigram-word pairs",3,IF(J53="word-digit pairs",3,IF(J53="English-Swahili pairs",3,IF(J53="spatial position",3,IF(J53="word pairs",4,IF(J53="word triads",4,IF(J53="generated words",4,IF(J53="word definition pairs",4,IF(J53="math problems",4,IF(J53="famous faces",4,IF(J53="famous names",4,IF(J53="famous voices",4,IF(J53="television programs",4,IF(J53="race horses",4,IF(J53="new vocabulary",4,IF(J53="sentences",5,IF(J53="concepts",5,IF(J53="ad slides",5,IF(J53="scenes",5,IF(J53="famous scenes",5,IF(J53="poems",6,IF(J53="walk",6,IF(J53="faces and events",6,IF(J53="events and names",6,IF(J53="flashbulb",7,IF(J53="stories",7,IF(J53="course material",7,IF(J53="autobiographical",7,IF(J53="novels",7,IF(J53="public events",7,"99"))))))))))))))))))))))))))))))))))))))))))))))</f>
        <v>1</v>
      </c>
      <c r="M53" s="99">
        <v>0</v>
      </c>
      <c r="N53" s="99">
        <v>1</v>
      </c>
      <c r="O53" s="99">
        <v>1</v>
      </c>
      <c r="P53" s="99" t="s">
        <v>27</v>
      </c>
      <c r="Q53" s="69" t="s">
        <v>174</v>
      </c>
      <c r="R53" s="69">
        <f>IF(Q53="Free Recall",1,IF(Q53="Cued Recall",2,IF(Q53="Recognition",3,IF(Q53="Multiple Choice",4,IF(Q53="Savings",5,IF(Q53="Stem Completion",6,IF(Q53="Fragment Completion",7,IF(Q53="anagram solution",8,IF(Q53="Matching",9,IF(Q53="Problem Solving",10,"99"))))))))))</f>
        <v>1</v>
      </c>
      <c r="S53" s="69" t="s">
        <v>49</v>
      </c>
      <c r="T53" s="92" t="s">
        <v>581</v>
      </c>
      <c r="U53" s="69">
        <f>IF(T53="within",1,0)</f>
        <v>1</v>
      </c>
      <c r="V53" s="92">
        <v>16</v>
      </c>
      <c r="W53" s="69">
        <f>F53*V53</f>
        <v>384</v>
      </c>
      <c r="X53" s="99">
        <v>3</v>
      </c>
      <c r="Y53" s="87">
        <f>AV52</f>
        <v>3</v>
      </c>
      <c r="Z53" s="99" t="s">
        <v>28</v>
      </c>
      <c r="AA53" s="99">
        <v>18</v>
      </c>
      <c r="AB53" s="69" t="str">
        <f>IF(AA53&lt;60,"1",IF(AA53&lt;=43200,"2",IF(AA53&lt;=777600,"3","4")))</f>
        <v>1</v>
      </c>
      <c r="AC53" s="72">
        <f>AVERAGE(AV52:DA52)</f>
        <v>10</v>
      </c>
      <c r="AD53" s="69" t="str">
        <f>IF(AC53&lt;60,"1",IF(AC53&lt;=43200,"2",IF(AC53&lt;=777600,"3","4")))</f>
        <v>1</v>
      </c>
      <c r="AE53" s="87">
        <f>AA53-Y53</f>
        <v>15</v>
      </c>
      <c r="AF53" s="88">
        <f>AV53</f>
        <v>0.72</v>
      </c>
      <c r="AG53" s="72">
        <f>((AW53-AV53)+(AX53-AW53))/2</f>
        <v>-0.28499999999999998</v>
      </c>
      <c r="AH53" s="4"/>
      <c r="AI53" s="72">
        <f>RSQ(AV53:AX53,AV52:AX52)</f>
        <v>0.94982185906598715</v>
      </c>
      <c r="AJ53" s="110">
        <f>SLOPE(AV53:AX53,AV52:AX52)</f>
        <v>-3.701754385964913E-2</v>
      </c>
      <c r="AK53" s="72">
        <f>INTERCEPT(AV53:AX53,AV52:AX52)</f>
        <v>0.78684210526315801</v>
      </c>
      <c r="AL53" s="72">
        <f>INDEX(LINEST(LN(AV53:AX53),LN(AV52:AX52),TRUE,TRUE),3,1)</f>
        <v>0.94514061428620411</v>
      </c>
      <c r="AM53" s="72">
        <f>INDEX(LINEST(LN(AV53:AX53),LN(AV52:AX52)),1)</f>
        <v>-0.84874543272433944</v>
      </c>
      <c r="AN53" s="72">
        <f>EXP(INDEX(LINEST(LN(AV53:AX53),LN(AV52:AX52)),1,2))</f>
        <v>1.9852987615921858</v>
      </c>
      <c r="AO53" s="89">
        <f>INDEX(LINEST((AV53:AX53),LN(AV52:AX52),TRUE,TRUE),3,1)</f>
        <v>0.99964077262737294</v>
      </c>
      <c r="AP53" s="89">
        <f>INDEX(LINEST((AV53:AX53),LN(AV52:AX52)),1)</f>
        <v>-0.3173371038451327</v>
      </c>
      <c r="AQ53" s="90">
        <f>INDEX(LINEST(LN(AV53:AX53),SQRT(AV52:AX52),TRUE,TRUE),3,1)</f>
        <v>0.98743678524814171</v>
      </c>
      <c r="AR53" s="117">
        <f>INDEX(LINEST(LN(AV53:AX53),SQRT((AV52:AX52))),1)</f>
        <v>-0.6243898420092886</v>
      </c>
      <c r="AS53" s="91">
        <f>INDEX(LINEST(1/(AV53:AX53),1/(SQRT(AV52:AX52)),TRUE,TRUE),3,1)</f>
        <v>0.7365683912770864</v>
      </c>
      <c r="AT53" s="91">
        <f>INDEX(LINEST(1/(AV53:AX53),1/SQRT(AV52:AX52)),1)</f>
        <v>-13.457142031048164</v>
      </c>
      <c r="AU53" s="3"/>
      <c r="AV53" s="101">
        <v>0.72</v>
      </c>
      <c r="AW53" s="101">
        <v>0.38</v>
      </c>
      <c r="AX53" s="101">
        <v>0.15</v>
      </c>
      <c r="AY53" s="157"/>
      <c r="AZ53" s="101"/>
      <c r="BA53" s="101"/>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7"/>
      <c r="CS53" s="17"/>
      <c r="CT53" s="17"/>
      <c r="CU53" s="17"/>
    </row>
    <row r="54" spans="1:99" s="19" customFormat="1" ht="12" customHeight="1" x14ac:dyDescent="0.2">
      <c r="A54" s="65">
        <v>43951</v>
      </c>
      <c r="B54" s="17"/>
      <c r="C54" s="17"/>
      <c r="D54" s="62"/>
      <c r="E54" s="78"/>
      <c r="F54" s="62"/>
      <c r="G54" s="62"/>
      <c r="H54" s="60"/>
      <c r="I54" s="62"/>
      <c r="J54" s="60"/>
      <c r="K54" s="60"/>
      <c r="L54" s="60"/>
      <c r="M54" s="62"/>
      <c r="N54" s="62"/>
      <c r="O54" s="62"/>
      <c r="P54" s="62"/>
      <c r="Q54" s="60"/>
      <c r="R54" s="60"/>
      <c r="S54" s="60"/>
      <c r="T54" s="59"/>
      <c r="U54" s="60"/>
      <c r="V54" s="59"/>
      <c r="W54" s="60"/>
      <c r="X54" s="62"/>
      <c r="Y54" s="76"/>
      <c r="Z54" s="62"/>
      <c r="AA54" s="62"/>
      <c r="AB54" s="60"/>
      <c r="AC54" s="56"/>
      <c r="AD54" s="60"/>
      <c r="AE54" s="76"/>
      <c r="AF54" s="80"/>
      <c r="AG54" s="56"/>
      <c r="AH54" s="4"/>
      <c r="AI54" s="56"/>
      <c r="AJ54" s="109"/>
      <c r="AK54" s="56"/>
      <c r="AL54" s="56"/>
      <c r="AM54" s="56"/>
      <c r="AN54" s="56"/>
      <c r="AO54" s="82"/>
      <c r="AP54" s="82"/>
      <c r="AQ54" s="83"/>
      <c r="AR54" s="116"/>
      <c r="AS54" s="84"/>
      <c r="AT54" s="84"/>
      <c r="AU54" s="3"/>
      <c r="AV54" s="18">
        <v>0.01</v>
      </c>
      <c r="AW54" s="18">
        <v>20</v>
      </c>
      <c r="AX54" s="18">
        <v>30</v>
      </c>
      <c r="AY54" s="141" t="s">
        <v>892</v>
      </c>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7"/>
      <c r="CS54" s="17"/>
      <c r="CT54" s="17"/>
      <c r="CU54" s="17"/>
    </row>
    <row r="55" spans="1:99" s="19" customFormat="1" ht="12" customHeight="1" x14ac:dyDescent="0.2">
      <c r="A55" s="65">
        <v>43951</v>
      </c>
      <c r="B55" s="17" t="s">
        <v>890</v>
      </c>
      <c r="C55" s="17" t="s">
        <v>48</v>
      </c>
      <c r="D55" s="62">
        <v>1965</v>
      </c>
      <c r="E55" s="78">
        <v>1</v>
      </c>
      <c r="F55" s="62">
        <v>18</v>
      </c>
      <c r="G55" s="62">
        <v>18</v>
      </c>
      <c r="H55" s="60" t="s">
        <v>22</v>
      </c>
      <c r="I55" s="62" t="s">
        <v>891</v>
      </c>
      <c r="J55" s="60" t="s">
        <v>16</v>
      </c>
      <c r="K55" s="60">
        <f>IF(J55="syllables",1,IF(J55="trigrams",2,IF(J55="strings",3,IF(J55="visual array",4,IF(J55="characters",5,IF(J55="letters",6,IF(J55="free forms",7,IF(J55="odors",8,IF(J55="words",9,IF(J55="pictures",10,IF(J55="object pictures",11,IF(J55="faces",12,IF(J55="names",13,IF(J55="idioms",14,IF(J55="grades",15,IF(J55="syllable-digit pairs",16,IF(J55="trigram-word pairs",17,IF(J55="word-digit pairs",18,IF(J55="English-Swahili pairs",19,IF(J55="spatial position",20,IF(J55="word pairs",21,IF(J55="word triads",22,IF(J55="generated words",23,IF(J55="word definition pairs",24,IF(J55="math problems",25,IF(J55="famous faces",26,IF(J55="famous names",27,IF(J55="famous voices",28,IF(J55="television programs",29,IF(J55="race horses",30,IF(J55="new vocabulary",31,IF(J55="sentences",32,IF(J55="concepts",33,IF(J55="ad slides",34,IF(J55="scenes",35,IF(J55="famous scenes",36,IF(J55="poems",37,IF(J55="walk",38,IF(J55="faces and events",39,IF(J55="events and names",40,IF(J55="flashbulb",41,IF(J55="stories",42,IF(J55="course material",43,IF(J55="autobiographical",44,IF(J55="novels",45,IF(J55="public events",46,"99"))))))))))))))))))))))))))))))))))))))))))))))</f>
        <v>9</v>
      </c>
      <c r="L55" s="60">
        <f>IF(J55="syllables",1,IF(J55="trigrams",1,IF(J55="strings",1,IF(J55="visual array",1,IF(J55="characters",1,IF(J55="letters",1,IF(J55="free forms",1,IF(J55="odors",2,IF(J55="words",2,IF(J55="pictures",2,IF(J55="object pictures",2,IF(J55="faces",2,IF(J55="names",2,IF(J55="idioms","2",IF(J55="grades",2,IF(J55="syllable-digit pairs",3,IF(J55="trigram-word pairs",3,IF(J55="word-digit pairs",3,IF(J55="English-Swahili pairs",3,IF(J55="spatial position",3,IF(J55="word pairs",4,IF(J55="word triads",4,IF(J55="generated words",4,IF(J55="word definition pairs",4,IF(J55="math problems",4,IF(J55="famous faces",4,IF(J55="famous names",4,IF(J55="famous voices",4,IF(J55="television programs",4,IF(J55="race horses",4,IF(J55="new vocabulary",4,IF(J55="sentences",5,IF(J55="concepts",5,IF(J55="ad slides",5,IF(J55="scenes",5,IF(J55="famous scenes",5,IF(J55="poems",6,IF(J55="walk",6,IF(J55="faces and events",6,IF(J55="events and names",6,IF(J55="flashbulb",7,IF(J55="stories",7,IF(J55="course material",7,IF(J55="autobiographical",7,IF(J55="novels",7,IF(J55="public events",7,"99"))))))))))))))))))))))))))))))))))))))))))))))</f>
        <v>2</v>
      </c>
      <c r="M55" s="62">
        <v>0</v>
      </c>
      <c r="N55" s="62">
        <v>1</v>
      </c>
      <c r="O55" s="62">
        <v>1</v>
      </c>
      <c r="P55" s="62" t="s">
        <v>27</v>
      </c>
      <c r="Q55" s="60" t="s">
        <v>174</v>
      </c>
      <c r="R55" s="60">
        <f>IF(Q55="Free Recall",1,IF(Q55="Cued Recall",2,IF(Q55="Recognition",3,IF(Q55="Multiple Choice",4,IF(Q55="Savings",5,IF(Q55="Stem Completion",6,IF(Q55="Fragment Completion",7,IF(Q55="anagram solution",8,IF(Q55="Matching",9,IF(Q55="Problem Solving",10,"99"))))))))))</f>
        <v>1</v>
      </c>
      <c r="S55" s="60" t="s">
        <v>49</v>
      </c>
      <c r="T55" s="59" t="s">
        <v>581</v>
      </c>
      <c r="U55" s="60">
        <f>IF(T55="within",1,0)</f>
        <v>1</v>
      </c>
      <c r="V55" s="59">
        <v>10</v>
      </c>
      <c r="W55" s="60">
        <f>F55*V55</f>
        <v>180</v>
      </c>
      <c r="X55" s="62">
        <v>3</v>
      </c>
      <c r="Y55" s="76">
        <f>AV54</f>
        <v>0.01</v>
      </c>
      <c r="Z55" s="62" t="s">
        <v>52</v>
      </c>
      <c r="AA55" s="62">
        <v>18</v>
      </c>
      <c r="AB55" s="60" t="str">
        <f>IF(AA55&lt;60,"1",IF(AA55&lt;=43200,"2",IF(AA55&lt;=777600,"3","4")))</f>
        <v>1</v>
      </c>
      <c r="AC55" s="56">
        <f>AVERAGE(AV54:DA54)</f>
        <v>16.670000000000002</v>
      </c>
      <c r="AD55" s="60" t="str">
        <f>IF(AC55&lt;60,"1",IF(AC55&lt;=43200,"2",IF(AC55&lt;=777600,"3","4")))</f>
        <v>1</v>
      </c>
      <c r="AE55" s="76">
        <f>AA55-Y55</f>
        <v>17.989999999999998</v>
      </c>
      <c r="AF55" s="80">
        <f>AV55</f>
        <v>0.55800000000000005</v>
      </c>
      <c r="AG55" s="56">
        <f>((AW55-AV55)+(AX55-AW55))/2</f>
        <v>-0.10150000000000003</v>
      </c>
      <c r="AH55" s="4"/>
      <c r="AI55" s="56">
        <f>RSQ(AV55:AX55,AV54:AX54)</f>
        <v>0.99197191422472675</v>
      </c>
      <c r="AJ55" s="109">
        <f>SLOPE(AV55:AX55,AV54:AX54)</f>
        <v>-6.8880976571697441E-3</v>
      </c>
      <c r="AK55" s="56">
        <f>INTERCEPT(AV55:AX55,AV54:AX54)</f>
        <v>0.55449125461168625</v>
      </c>
      <c r="AL55" s="56">
        <f>INDEX(LINEST(LN(AV55:AX55),LN(AV54:AX54),TRUE,TRUE),3,1)</f>
        <v>0.93965606005749613</v>
      </c>
      <c r="AM55" s="56">
        <f>INDEX(LINEST(LN(AV55:AX55),LN(AV54:AX54)),1)</f>
        <v>-4.992105720321207E-2</v>
      </c>
      <c r="AN55" s="56">
        <f>EXP(INDEX(LINEST(LN(AV55:AX55),LN(AV54:AX54)),1,2))</f>
        <v>0.44471137644108716</v>
      </c>
      <c r="AO55" s="82">
        <f>INDEX(LINEST((AV55:AX55),LN(AV54:AX54),TRUE,TRUE),3,1)</f>
        <v>0.96095387353420447</v>
      </c>
      <c r="AP55" s="82">
        <f>INDEX(LINEST((AV55:AX55),LN(AV54:AX54)),1)</f>
        <v>-2.295401140232364E-2</v>
      </c>
      <c r="AQ55" s="83">
        <f>INDEX(LINEST(LN(AV55:AX55),SQRT(AV54:AX54),TRUE,TRUE),3,1)</f>
        <v>0.9864988611035318</v>
      </c>
      <c r="AR55" s="116">
        <f>INDEX(LINEST(LN(AV55:AX55),SQRT((AV54:AX54))),1)</f>
        <v>-8.0690438938809436E-2</v>
      </c>
      <c r="AS55" s="84">
        <f>INDEX(LINEST(1/(AV55:AX55),1/(SQRT(AV54:AX54)),TRUE,TRUE),3,1)</f>
        <v>0.88677186579179323</v>
      </c>
      <c r="AT55" s="84">
        <f>INDEX(LINEST(1/(AV55:AX55),1/SQRT(AV54:AX54)),1)</f>
        <v>-8.6656251335134243E-2</v>
      </c>
      <c r="AU55" s="3"/>
      <c r="AV55" s="18">
        <v>0.55800000000000005</v>
      </c>
      <c r="AW55" s="18">
        <v>0.40600000000000003</v>
      </c>
      <c r="AX55" s="18">
        <v>0.35499999999999998</v>
      </c>
      <c r="AY55" s="141"/>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7"/>
      <c r="CS55" s="17"/>
      <c r="CT55" s="17"/>
      <c r="CU55" s="17"/>
    </row>
    <row r="56" spans="1:99" s="19" customFormat="1" ht="12" customHeight="1" x14ac:dyDescent="0.2">
      <c r="A56" s="65">
        <v>43951</v>
      </c>
      <c r="B56" s="17"/>
      <c r="C56" s="17"/>
      <c r="D56" s="62"/>
      <c r="E56" s="78"/>
      <c r="F56" s="62"/>
      <c r="G56" s="62"/>
      <c r="H56" s="60"/>
      <c r="I56" s="62"/>
      <c r="J56" s="60"/>
      <c r="K56" s="60"/>
      <c r="L56" s="60"/>
      <c r="M56" s="62"/>
      <c r="N56" s="62"/>
      <c r="O56" s="62"/>
      <c r="P56" s="62"/>
      <c r="Q56" s="60"/>
      <c r="R56" s="60"/>
      <c r="S56" s="60"/>
      <c r="T56" s="59"/>
      <c r="U56" s="60"/>
      <c r="V56" s="59"/>
      <c r="W56" s="60"/>
      <c r="X56" s="62"/>
      <c r="Y56" s="76"/>
      <c r="Z56" s="62"/>
      <c r="AA56" s="62"/>
      <c r="AB56" s="60"/>
      <c r="AC56" s="56"/>
      <c r="AD56" s="60"/>
      <c r="AE56" s="76"/>
      <c r="AF56" s="80"/>
      <c r="AG56" s="56"/>
      <c r="AH56" s="4"/>
      <c r="AI56" s="56"/>
      <c r="AJ56" s="109"/>
      <c r="AK56" s="56"/>
      <c r="AL56" s="56"/>
      <c r="AM56" s="56"/>
      <c r="AN56" s="56"/>
      <c r="AO56" s="82"/>
      <c r="AP56" s="82"/>
      <c r="AQ56" s="83"/>
      <c r="AR56" s="116"/>
      <c r="AS56" s="84"/>
      <c r="AT56" s="84"/>
      <c r="AU56" s="3"/>
      <c r="AV56" s="18">
        <v>0.01</v>
      </c>
      <c r="AW56" s="18">
        <v>20</v>
      </c>
      <c r="AX56" s="18">
        <v>30</v>
      </c>
      <c r="AY56" s="141"/>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7"/>
      <c r="CS56" s="17"/>
      <c r="CT56" s="17"/>
      <c r="CU56" s="17"/>
    </row>
    <row r="57" spans="1:99" s="19" customFormat="1" ht="12" customHeight="1" x14ac:dyDescent="0.2">
      <c r="A57" s="65">
        <v>43951</v>
      </c>
      <c r="B57" s="17" t="s">
        <v>890</v>
      </c>
      <c r="C57" s="17" t="s">
        <v>48</v>
      </c>
      <c r="D57" s="62">
        <v>1965</v>
      </c>
      <c r="E57" s="78">
        <v>1</v>
      </c>
      <c r="F57" s="62">
        <v>18</v>
      </c>
      <c r="G57" s="62">
        <v>18</v>
      </c>
      <c r="H57" s="60" t="s">
        <v>22</v>
      </c>
      <c r="I57" s="62" t="s">
        <v>893</v>
      </c>
      <c r="J57" s="60" t="s">
        <v>16</v>
      </c>
      <c r="K57" s="60">
        <f>IF(J57="syllables",1,IF(J57="trigrams",2,IF(J57="strings",3,IF(J57="visual array",4,IF(J57="characters",5,IF(J57="letters",6,IF(J57="free forms",7,IF(J57="odors",8,IF(J57="words",9,IF(J57="pictures",10,IF(J57="object pictures",11,IF(J57="faces",12,IF(J57="names",13,IF(J57="idioms",14,IF(J57="grades",15,IF(J57="syllable-digit pairs",16,IF(J57="trigram-word pairs",17,IF(J57="word-digit pairs",18,IF(J57="English-Swahili pairs",19,IF(J57="spatial position",20,IF(J57="word pairs",21,IF(J57="word triads",22,IF(J57="generated words",23,IF(J57="word definition pairs",24,IF(J57="math problems",25,IF(J57="famous faces",26,IF(J57="famous names",27,IF(J57="famous voices",28,IF(J57="television programs",29,IF(J57="race horses",30,IF(J57="new vocabulary",31,IF(J57="sentences",32,IF(J57="concepts",33,IF(J57="ad slides",34,IF(J57="scenes",35,IF(J57="famous scenes",36,IF(J57="poems",37,IF(J57="walk",38,IF(J57="faces and events",39,IF(J57="events and names",40,IF(J57="flashbulb",41,IF(J57="stories",42,IF(J57="course material",43,IF(J57="autobiographical",44,IF(J57="novels",45,IF(J57="public events",46,"99"))))))))))))))))))))))))))))))))))))))))))))))</f>
        <v>9</v>
      </c>
      <c r="L57" s="60">
        <f>IF(J57="syllables",1,IF(J57="trigrams",1,IF(J57="strings",1,IF(J57="visual array",1,IF(J57="characters",1,IF(J57="letters",1,IF(J57="free forms",1,IF(J57="odors",2,IF(J57="words",2,IF(J57="pictures",2,IF(J57="object pictures",2,IF(J57="faces",2,IF(J57="names",2,IF(J57="idioms","2",IF(J57="grades",2,IF(J57="syllable-digit pairs",3,IF(J57="trigram-word pairs",3,IF(J57="word-digit pairs",3,IF(J57="English-Swahili pairs",3,IF(J57="spatial position",3,IF(J57="word pairs",4,IF(J57="word triads",4,IF(J57="generated words",4,IF(J57="word definition pairs",4,IF(J57="math problems",4,IF(J57="famous faces",4,IF(J57="famous names",4,IF(J57="famous voices",4,IF(J57="television programs",4,IF(J57="race horses",4,IF(J57="new vocabulary",4,IF(J57="sentences",5,IF(J57="concepts",5,IF(J57="ad slides",5,IF(J57="scenes",5,IF(J57="famous scenes",5,IF(J57="poems",6,IF(J57="walk",6,IF(J57="faces and events",6,IF(J57="events and names",6,IF(J57="flashbulb",7,IF(J57="stories",7,IF(J57="course material",7,IF(J57="autobiographical",7,IF(J57="novels",7,IF(J57="public events",7,"99"))))))))))))))))))))))))))))))))))))))))))))))</f>
        <v>2</v>
      </c>
      <c r="M57" s="62">
        <v>0</v>
      </c>
      <c r="N57" s="62">
        <v>1</v>
      </c>
      <c r="O57" s="62">
        <v>1</v>
      </c>
      <c r="P57" s="62" t="s">
        <v>27</v>
      </c>
      <c r="Q57" s="60" t="s">
        <v>174</v>
      </c>
      <c r="R57" s="60">
        <f>IF(Q57="Free Recall",1,IF(Q57="Cued Recall",2,IF(Q57="Recognition",3,IF(Q57="Multiple Choice",4,IF(Q57="Savings",5,IF(Q57="Stem Completion",6,IF(Q57="Fragment Completion",7,IF(Q57="anagram solution",8,IF(Q57="Matching",9,IF(Q57="Problem Solving",10,"99"))))))))))</f>
        <v>1</v>
      </c>
      <c r="S57" s="60" t="s">
        <v>49</v>
      </c>
      <c r="T57" s="59" t="s">
        <v>581</v>
      </c>
      <c r="U57" s="60">
        <f>IF(T57="within",1,0)</f>
        <v>1</v>
      </c>
      <c r="V57" s="59">
        <v>20</v>
      </c>
      <c r="W57" s="60">
        <f>F57*V57</f>
        <v>360</v>
      </c>
      <c r="X57" s="62">
        <v>3</v>
      </c>
      <c r="Y57" s="76">
        <f>AV56</f>
        <v>0.01</v>
      </c>
      <c r="Z57" s="62" t="s">
        <v>52</v>
      </c>
      <c r="AA57" s="62">
        <v>18</v>
      </c>
      <c r="AB57" s="60" t="str">
        <f>IF(AA57&lt;60,"1",IF(AA57&lt;=43200,"2",IF(AA57&lt;=777600,"3","4")))</f>
        <v>1</v>
      </c>
      <c r="AC57" s="56">
        <f>AVERAGE(AV56:DA56)</f>
        <v>16.670000000000002</v>
      </c>
      <c r="AD57" s="60" t="str">
        <f>IF(AC57&lt;60,"1",IF(AC57&lt;=43200,"2",IF(AC57&lt;=777600,"3","4")))</f>
        <v>1</v>
      </c>
      <c r="AE57" s="76">
        <f>AA57-Y57</f>
        <v>17.989999999999998</v>
      </c>
      <c r="AF57" s="80">
        <f>AV57</f>
        <v>0.31</v>
      </c>
      <c r="AG57" s="56">
        <f>((AW57-AV57)+(AX57-AW57))/2</f>
        <v>-5.3000000000000005E-2</v>
      </c>
      <c r="AH57" s="4"/>
      <c r="AI57" s="56">
        <f>RSQ(AV57:AX57,AV56:AX56)</f>
        <v>0.98172811602692978</v>
      </c>
      <c r="AJ57" s="109">
        <f>SLOPE(AV57:AX57,AV56:AX56)</f>
        <v>-3.4441453260692892E-3</v>
      </c>
      <c r="AK57" s="56">
        <f>INTERCEPT(AV57:AX57,AV56:AX56)</f>
        <v>0.31274723591890841</v>
      </c>
      <c r="AL57" s="56">
        <f>INDEX(LINEST(LN(AV57:AX57),LN(AV56:AX56),TRUE,TRUE),3,1)</f>
        <v>0.78316142520536136</v>
      </c>
      <c r="AM57" s="56">
        <f>INDEX(LINEST(LN(AV57:AX57),LN(AV56:AX56)),1)</f>
        <v>-4.1055678758485072E-2</v>
      </c>
      <c r="AN57" s="56">
        <f>EXP(INDEX(LINEST(LN(AV57:AX57),LN(AV56:AX56)),1,2))</f>
        <v>0.25789720965349705</v>
      </c>
      <c r="AO57" s="82">
        <f>INDEX(LINEST((AV57:AX57),LN(AV56:AX56),TRUE,TRUE),3,1)</f>
        <v>0.83057829994688015</v>
      </c>
      <c r="AP57" s="82">
        <f>INDEX(LINEST((AV57:AX57),LN(AV56:AX56)),1)</f>
        <v>-1.0725902834048145E-2</v>
      </c>
      <c r="AQ57" s="83">
        <f>INDEX(LINEST(LN(AV57:AX57),SQRT(AV56:AX56),TRUE,TRUE),3,1)</f>
        <v>0.88071069295847548</v>
      </c>
      <c r="AR57" s="116">
        <f>INDEX(LINEST(LN(AV57:AX57),SQRT((AV56:AX56))),1)</f>
        <v>-6.8681329976916713E-2</v>
      </c>
      <c r="AS57" s="84">
        <f>INDEX(LINEST(1/(AV57:AX57),1/(SQRT(AV56:AX56)),TRUE,TRUE),3,1)</f>
        <v>0.69437982647045471</v>
      </c>
      <c r="AT57" s="84">
        <f>INDEX(LINEST(1/(AV57:AX57),1/SQRT(AV56:AX56)),1)</f>
        <v>-0.12373473223286331</v>
      </c>
      <c r="AU57" s="3"/>
      <c r="AV57" s="18">
        <v>0.31</v>
      </c>
      <c r="AW57" s="18">
        <v>0.252</v>
      </c>
      <c r="AX57" s="18">
        <v>0.20399999999999999</v>
      </c>
      <c r="AY57" s="141"/>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7"/>
      <c r="CS57" s="17"/>
      <c r="CT57" s="17"/>
      <c r="CU57" s="17"/>
    </row>
    <row r="58" spans="1:99" s="19" customFormat="1" ht="12" customHeight="1" x14ac:dyDescent="0.2">
      <c r="A58" s="65">
        <v>43951</v>
      </c>
      <c r="B58" s="17"/>
      <c r="C58" s="17"/>
      <c r="D58" s="62"/>
      <c r="E58" s="78"/>
      <c r="F58" s="62"/>
      <c r="G58" s="62"/>
      <c r="H58" s="60"/>
      <c r="I58" s="62"/>
      <c r="J58" s="60"/>
      <c r="K58" s="60"/>
      <c r="L58" s="60"/>
      <c r="M58" s="62"/>
      <c r="N58" s="62"/>
      <c r="O58" s="62"/>
      <c r="P58" s="62"/>
      <c r="Q58" s="60"/>
      <c r="R58" s="60"/>
      <c r="S58" s="60"/>
      <c r="T58" s="59"/>
      <c r="U58" s="60"/>
      <c r="V58" s="59"/>
      <c r="W58" s="60"/>
      <c r="X58" s="62"/>
      <c r="Y58" s="76"/>
      <c r="Z58" s="62"/>
      <c r="AA58" s="62"/>
      <c r="AB58" s="60"/>
      <c r="AC58" s="56"/>
      <c r="AD58" s="60"/>
      <c r="AE58" s="76"/>
      <c r="AF58" s="80"/>
      <c r="AG58" s="56"/>
      <c r="AH58" s="4"/>
      <c r="AI58" s="56"/>
      <c r="AJ58" s="109"/>
      <c r="AK58" s="56"/>
      <c r="AL58" s="56"/>
      <c r="AM58" s="56"/>
      <c r="AN58" s="56"/>
      <c r="AO58" s="82"/>
      <c r="AP58" s="82"/>
      <c r="AQ58" s="83"/>
      <c r="AR58" s="116"/>
      <c r="AS58" s="84"/>
      <c r="AT58" s="84"/>
      <c r="AU58" s="3"/>
      <c r="AV58" s="18">
        <v>0.01</v>
      </c>
      <c r="AW58" s="18">
        <v>20</v>
      </c>
      <c r="AX58" s="18">
        <v>30</v>
      </c>
      <c r="AY58" s="141"/>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7"/>
      <c r="CS58" s="17"/>
      <c r="CT58" s="17"/>
      <c r="CU58" s="17"/>
    </row>
    <row r="59" spans="1:99" s="19" customFormat="1" ht="12" customHeight="1" x14ac:dyDescent="0.2">
      <c r="A59" s="65">
        <v>43951</v>
      </c>
      <c r="B59" s="17" t="s">
        <v>890</v>
      </c>
      <c r="C59" s="17" t="s">
        <v>48</v>
      </c>
      <c r="D59" s="62">
        <v>1965</v>
      </c>
      <c r="E59" s="78">
        <v>1</v>
      </c>
      <c r="F59" s="62">
        <v>18</v>
      </c>
      <c r="G59" s="62">
        <v>18</v>
      </c>
      <c r="H59" s="60" t="s">
        <v>22</v>
      </c>
      <c r="I59" s="62" t="s">
        <v>894</v>
      </c>
      <c r="J59" s="60" t="s">
        <v>16</v>
      </c>
      <c r="K59" s="60">
        <f>IF(J59="syllables",1,IF(J59="trigrams",2,IF(J59="strings",3,IF(J59="visual array",4,IF(J59="characters",5,IF(J59="letters",6,IF(J59="free forms",7,IF(J59="odors",8,IF(J59="words",9,IF(J59="pictures",10,IF(J59="object pictures",11,IF(J59="faces",12,IF(J59="names",13,IF(J59="idioms",14,IF(J59="grades",15,IF(J59="syllable-digit pairs",16,IF(J59="trigram-word pairs",17,IF(J59="word-digit pairs",18,IF(J59="English-Swahili pairs",19,IF(J59="spatial position",20,IF(J59="word pairs",21,IF(J59="word triads",22,IF(J59="generated words",23,IF(J59="word definition pairs",24,IF(J59="math problems",25,IF(J59="famous faces",26,IF(J59="famous names",27,IF(J59="famous voices",28,IF(J59="television programs",29,IF(J59="race horses",30,IF(J59="new vocabulary",31,IF(J59="sentences",32,IF(J59="concepts",33,IF(J59="ad slides",34,IF(J59="scenes",35,IF(J59="famous scenes",36,IF(J59="poems",37,IF(J59="walk",38,IF(J59="faces and events",39,IF(J59="events and names",40,IF(J59="flashbulb",41,IF(J59="stories",42,IF(J59="course material",43,IF(J59="autobiographical",44,IF(J59="novels",45,IF(J59="public events",46,"99"))))))))))))))))))))))))))))))))))))))))))))))</f>
        <v>9</v>
      </c>
      <c r="L59" s="60">
        <f>IF(J59="syllables",1,IF(J59="trigrams",1,IF(J59="strings",1,IF(J59="visual array",1,IF(J59="characters",1,IF(J59="letters",1,IF(J59="free forms",1,IF(J59="odors",2,IF(J59="words",2,IF(J59="pictures",2,IF(J59="object pictures",2,IF(J59="faces",2,IF(J59="names",2,IF(J59="idioms","2",IF(J59="grades",2,IF(J59="syllable-digit pairs",3,IF(J59="trigram-word pairs",3,IF(J59="word-digit pairs",3,IF(J59="English-Swahili pairs",3,IF(J59="spatial position",3,IF(J59="word pairs",4,IF(J59="word triads",4,IF(J59="generated words",4,IF(J59="word definition pairs",4,IF(J59="math problems",4,IF(J59="famous faces",4,IF(J59="famous names",4,IF(J59="famous voices",4,IF(J59="television programs",4,IF(J59="race horses",4,IF(J59="new vocabulary",4,IF(J59="sentences",5,IF(J59="concepts",5,IF(J59="ad slides",5,IF(J59="scenes",5,IF(J59="famous scenes",5,IF(J59="poems",6,IF(J59="walk",6,IF(J59="faces and events",6,IF(J59="events and names",6,IF(J59="flashbulb",7,IF(J59="stories",7,IF(J59="course material",7,IF(J59="autobiographical",7,IF(J59="novels",7,IF(J59="public events",7,"99"))))))))))))))))))))))))))))))))))))))))))))))</f>
        <v>2</v>
      </c>
      <c r="M59" s="62">
        <v>0</v>
      </c>
      <c r="N59" s="62">
        <v>1</v>
      </c>
      <c r="O59" s="62">
        <v>1</v>
      </c>
      <c r="P59" s="62" t="s">
        <v>27</v>
      </c>
      <c r="Q59" s="60" t="s">
        <v>174</v>
      </c>
      <c r="R59" s="60">
        <f>IF(Q59="Free Recall",1,IF(Q59="Cued Recall",2,IF(Q59="Recognition",3,IF(Q59="Multiple Choice",4,IF(Q59="Savings",5,IF(Q59="Stem Completion",6,IF(Q59="Fragment Completion",7,IF(Q59="anagram solution",8,IF(Q59="Matching",9,IF(Q59="Problem Solving",10,"99"))))))))))</f>
        <v>1</v>
      </c>
      <c r="S59" s="60" t="s">
        <v>49</v>
      </c>
      <c r="T59" s="59" t="s">
        <v>581</v>
      </c>
      <c r="U59" s="60">
        <f>IF(T59="within",1,0)</f>
        <v>1</v>
      </c>
      <c r="V59" s="59">
        <v>30</v>
      </c>
      <c r="W59" s="60">
        <f>F59*V59</f>
        <v>540</v>
      </c>
      <c r="X59" s="62">
        <v>3</v>
      </c>
      <c r="Y59" s="76">
        <f>AV58</f>
        <v>0.01</v>
      </c>
      <c r="Z59" s="62" t="s">
        <v>52</v>
      </c>
      <c r="AA59" s="62">
        <v>18</v>
      </c>
      <c r="AB59" s="60" t="str">
        <f>IF(AA59&lt;60,"1",IF(AA59&lt;=43200,"2",IF(AA59&lt;=777600,"3","4")))</f>
        <v>1</v>
      </c>
      <c r="AC59" s="56">
        <f>AVERAGE(AV58:DA58)</f>
        <v>16.670000000000002</v>
      </c>
      <c r="AD59" s="60" t="str">
        <f>IF(AC59&lt;60,"1",IF(AC59&lt;=43200,"2",IF(AC59&lt;=777600,"3","4")))</f>
        <v>1</v>
      </c>
      <c r="AE59" s="76">
        <f>AA59-Y59</f>
        <v>17.989999999999998</v>
      </c>
      <c r="AF59" s="80">
        <f>AV59</f>
        <v>0.35499999999999998</v>
      </c>
      <c r="AG59" s="56">
        <f>((AW59-AV59)+(AX59-AW59))/2</f>
        <v>-7.9999999999999988E-2</v>
      </c>
      <c r="AH59" s="4"/>
      <c r="AI59" s="56">
        <f>RSQ(AV59:AX59,AV58:AX58)</f>
        <v>0.94770323436401216</v>
      </c>
      <c r="AJ59" s="109">
        <f>SLOPE(AV59:AX59,AV58:AX58)</f>
        <v>-5.5875474499574758E-3</v>
      </c>
      <c r="AK59" s="56">
        <f>INTERCEPT(AV59:AX59,AV58:AX58)</f>
        <v>0.34747774932412445</v>
      </c>
      <c r="AL59" s="56">
        <f>INDEX(LINEST(LN(AV59:AX59),LN(AV58:AX58),TRUE,TRUE),3,1)</f>
        <v>0.99156895773113973</v>
      </c>
      <c r="AM59" s="56">
        <f>INDEX(LINEST(LN(AV59:AX59),LN(AV58:AX58)),1)</f>
        <v>-7.1413414462206712E-2</v>
      </c>
      <c r="AN59" s="56">
        <f>EXP(INDEX(LINEST(LN(AV59:AX59),LN(AV58:AX58)),1,2))</f>
        <v>0.25590042188083456</v>
      </c>
      <c r="AO59" s="82">
        <f>INDEX(LINEST((AV59:AX59),LN(AV58:AX58),TRUE,TRUE),3,1)</f>
        <v>0.99665094593137182</v>
      </c>
      <c r="AP59" s="82">
        <f>INDEX(LINEST((AV59:AX59),LN(AV58:AX58)),1)</f>
        <v>-1.9400561467033433E-2</v>
      </c>
      <c r="AQ59" s="83">
        <f>INDEX(LINEST(LN(AV59:AX59),SQRT(AV58:AX58),TRUE,TRUE),3,1)</f>
        <v>0.9984181847900625</v>
      </c>
      <c r="AR59" s="116">
        <f>INDEX(LINEST(LN(AV59:AX59),SQRT((AV58:AX58))),1)</f>
        <v>-0.11304439860524775</v>
      </c>
      <c r="AS59" s="84">
        <f>INDEX(LINEST(1/(AV59:AX59),1/(SQRT(AV58:AX58)),TRUE,TRUE),3,1)</f>
        <v>0.97014104653505295</v>
      </c>
      <c r="AT59" s="84">
        <f>INDEX(LINEST(1/(AV59:AX59),1/SQRT(AV58:AX58)),1)</f>
        <v>-0.21394019582471377</v>
      </c>
      <c r="AU59" s="3"/>
      <c r="AV59" s="18">
        <v>0.35499999999999998</v>
      </c>
      <c r="AW59" s="18">
        <v>0.21299999999999999</v>
      </c>
      <c r="AX59" s="18">
        <v>0.19500000000000001</v>
      </c>
      <c r="AY59" s="141"/>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7"/>
      <c r="CS59" s="17"/>
      <c r="CT59" s="17"/>
      <c r="CU59" s="17"/>
    </row>
    <row r="60" spans="1:99" s="13" customFormat="1" ht="12" customHeight="1" x14ac:dyDescent="0.2">
      <c r="A60" s="68">
        <v>43509</v>
      </c>
      <c r="B60" s="70"/>
      <c r="C60" s="70"/>
      <c r="D60" s="69"/>
      <c r="E60" s="87"/>
      <c r="F60" s="69"/>
      <c r="G60" s="69"/>
      <c r="H60" s="69"/>
      <c r="I60" s="69"/>
      <c r="J60" s="69"/>
      <c r="K60" s="107"/>
      <c r="L60" s="107"/>
      <c r="M60" s="69"/>
      <c r="N60" s="69"/>
      <c r="O60" s="69"/>
      <c r="P60" s="69"/>
      <c r="Q60" s="69"/>
      <c r="R60" s="69"/>
      <c r="S60" s="69"/>
      <c r="T60" s="69"/>
      <c r="U60" s="60"/>
      <c r="V60" s="69"/>
      <c r="W60" s="69"/>
      <c r="X60" s="69"/>
      <c r="Y60" s="87"/>
      <c r="Z60" s="69"/>
      <c r="AA60" s="69"/>
      <c r="AB60" s="69"/>
      <c r="AC60" s="69"/>
      <c r="AD60" s="69"/>
      <c r="AE60" s="69"/>
      <c r="AF60" s="88"/>
      <c r="AG60" s="72"/>
      <c r="AH60" s="4"/>
      <c r="AI60" s="72"/>
      <c r="AJ60" s="110"/>
      <c r="AK60" s="72"/>
      <c r="AL60" s="72"/>
      <c r="AM60" s="72"/>
      <c r="AN60" s="72"/>
      <c r="AO60" s="72"/>
      <c r="AP60" s="72"/>
      <c r="AQ60" s="72"/>
      <c r="AR60" s="110"/>
      <c r="AS60" s="72"/>
      <c r="AT60" s="72"/>
      <c r="AU60" s="4"/>
      <c r="AV60" s="125">
        <v>1.5</v>
      </c>
      <c r="AW60" s="71">
        <v>3</v>
      </c>
      <c r="AX60" s="71">
        <v>6</v>
      </c>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1"/>
      <c r="CS60" s="1"/>
      <c r="CT60" s="1"/>
      <c r="CU60" s="1"/>
    </row>
    <row r="61" spans="1:99" s="13" customFormat="1" ht="12" customHeight="1" x14ac:dyDescent="0.2">
      <c r="A61" s="68">
        <v>43509</v>
      </c>
      <c r="B61" s="70" t="s">
        <v>250</v>
      </c>
      <c r="C61" s="70" t="s">
        <v>33</v>
      </c>
      <c r="D61" s="69">
        <v>2010</v>
      </c>
      <c r="E61" s="87">
        <v>1</v>
      </c>
      <c r="F61" s="69">
        <v>30</v>
      </c>
      <c r="G61" s="69">
        <v>30</v>
      </c>
      <c r="H61" s="69" t="s">
        <v>22</v>
      </c>
      <c r="I61" s="69" t="s">
        <v>761</v>
      </c>
      <c r="J61" s="69" t="s">
        <v>764</v>
      </c>
      <c r="K61" s="69">
        <f>IF(J61="syllables",1,IF(J61="trigrams",2,IF(J61="strings",3,IF(J61="visual array",4,IF(J61="characters",5,IF(J61="letters",6,IF(J61="free forms",7,IF(J61="odors",8,IF(J61="words",9,IF(J61="pictures",10,IF(J61="object pictures",11,IF(J61="faces",12,IF(J61="names",13,IF(J61="idioms",14,IF(J61="grades",15,IF(J61="syllable-digit pairs",16,IF(J61="trigram-word pairs",17,IF(J61="word-digit pairs",18,IF(J61="English-Swahili pairs",19,IF(J61="spatial position",20,IF(J61="word pairs",21,IF(J61="word triads",22,IF(J61="generated words",23,IF(J61="word definition pairs",24,IF(J61="math problems",25,IF(J61="famous faces",26,IF(J61="famous names",27,IF(J61="famous voices",28,IF(J61="television programs",29,IF(J61="race horses",30,IF(J61="new vocabulary",31,IF(J61="sentences",32,IF(J61="concepts",33,IF(J61="ad slides",34,IF(J61="scenes",35,IF(J61="famous scenes",36,IF(J61="poems",37,IF(J61="walk",38,IF(J61="faces and events",39,IF(J61="events and names",40,IF(J61="flashbulb",41,IF(J61="stories",42,IF(J61="course material",43,IF(J61="autobiographical",44,IF(J61="novels",45,IF(J61="public events",46,"99"))))))))))))))))))))))))))))))))))))))))))))))</f>
        <v>4</v>
      </c>
      <c r="L61" s="69">
        <f>IF(J61="syllables",1,IF(J61="trigrams",1,IF(J61="strings",1,IF(J61="visual array",1,IF(J61="characters",1,IF(J61="letters",1,IF(J61="free forms",1,IF(J61="odors",2,IF(J61="words",2,IF(J61="pictures",2,IF(J61="object pictures",2,IF(J61="faces",2,IF(J61="names",2,IF(J61="idioms","2",IF(J61="grades",2,IF(J61="syllable-digit pairs",3,IF(J61="trigram-word pairs",3,IF(J61="word-digit pairs",3,IF(J61="English-Swahili pairs",3,IF(J61="spatial position",3,IF(J61="word pairs",4,IF(J61="word triads",4,IF(J61="generated words",4,IF(J61="word definition pairs",4,IF(J61="math problems",4,IF(J61="famous faces",4,IF(J61="famous names",4,IF(J61="famous voices",4,IF(J61="television programs",4,IF(J61="race horses",4,IF(J61="new vocabulary",4,IF(J61="sentences",5,IF(J61="concepts",5,IF(J61="ad slides",5,IF(J61="scenes",5,IF(J61="famous scenes",5,IF(J61="poems",6,IF(J61="walk",6,IF(J61="faces and events",6,IF(J61="events and names",6,IF(J61="flashbulb",7,IF(J61="stories",7,IF(J61="course material",7,IF(J61="autobiographical",7,IF(J61="novels",7,IF(J61="public events",7,"99"))))))))))))))))))))))))))))))))))))))))))))))</f>
        <v>1</v>
      </c>
      <c r="M61" s="69">
        <v>0</v>
      </c>
      <c r="N61" s="69">
        <v>1</v>
      </c>
      <c r="O61" s="69">
        <v>1</v>
      </c>
      <c r="P61" s="69" t="s">
        <v>35</v>
      </c>
      <c r="Q61" s="69" t="s">
        <v>34</v>
      </c>
      <c r="R61" s="69">
        <f>IF(Q61="Free Recall",1,IF(Q61="Cued Recall",2,IF(Q61="Recognition",3,IF(Q61="Multiple Choice",4,IF(Q61="Savings",5,IF(Q61="Stem Completion",6,IF(Q61="Fragment Completion",7,IF(Q61="anagram solution",8,IF(Q61="Matching",9,IF(Q61="Problem Solving",10,"99"))))))))))</f>
        <v>3</v>
      </c>
      <c r="S61" s="69" t="s">
        <v>15</v>
      </c>
      <c r="T61" s="92" t="s">
        <v>581</v>
      </c>
      <c r="U61" s="60">
        <f>IF(T61="within",1,0)</f>
        <v>1</v>
      </c>
      <c r="V61" s="92">
        <v>30</v>
      </c>
      <c r="W61" s="69">
        <f>F61*V61</f>
        <v>900</v>
      </c>
      <c r="X61" s="69">
        <v>3</v>
      </c>
      <c r="Y61" s="87">
        <f>AV60</f>
        <v>1.5</v>
      </c>
      <c r="Z61" s="69" t="s">
        <v>36</v>
      </c>
      <c r="AA61" s="69">
        <v>5.9</v>
      </c>
      <c r="AB61" s="69" t="str">
        <f>IF(AA61&lt;60,"1",IF(AA61&lt;=43200,"2",IF(AA61&lt;=777600,"3","4")))</f>
        <v>1</v>
      </c>
      <c r="AC61" s="72">
        <f>AVERAGE(AV60:DA60)</f>
        <v>3.5</v>
      </c>
      <c r="AD61" s="69" t="str">
        <f>IF(AC61&lt;60,"1",IF(AC61&lt;=43200,"2",IF(AC61&lt;=777600,"3","4")))</f>
        <v>1</v>
      </c>
      <c r="AE61" s="87">
        <f>AA61-Y61</f>
        <v>4.4000000000000004</v>
      </c>
      <c r="AF61" s="88">
        <f>AV61</f>
        <v>0.85399999999999998</v>
      </c>
      <c r="AG61" s="72">
        <f>((AW61-AV61)+(AX61-AW61))/2</f>
        <v>-2.5999999999999968E-2</v>
      </c>
      <c r="AH61" s="4"/>
      <c r="AI61" s="72">
        <f>RSQ(AV61:AX61,AV60:AX60)</f>
        <v>0.94600674915635519</v>
      </c>
      <c r="AJ61" s="110">
        <f>SLOPE(AV61:AX61,AV60:AX60)</f>
        <v>-1.1047619047619032E-2</v>
      </c>
      <c r="AK61" s="72">
        <f>INTERCEPT(AV61:AX61,AV60:AX60)</f>
        <v>0.86599999999999999</v>
      </c>
      <c r="AL61" s="72">
        <f>INDEX(LINEST(LN(AV61:AX61),LN(AV60:AX60),TRUE,TRUE),3,1)</f>
        <v>0.99874950314641109</v>
      </c>
      <c r="AM61" s="72">
        <f>INDEX(LINEST(LN(AV61:AX61),LN(AV60:AX60)),1)</f>
        <v>-4.5316916582784965E-2</v>
      </c>
      <c r="AN61" s="72">
        <f>EXP(INDEX(LINEST(LN(AV61:AX61),LN(AV60:AX60)),1,2))</f>
        <v>0.86927880940409952</v>
      </c>
      <c r="AO61" s="89">
        <f>INDEX(LINEST((AV61:AX61),LN(AV60:AX60),TRUE,TRUE),3,1)</f>
        <v>0.99803149606299202</v>
      </c>
      <c r="AP61" s="89">
        <f>INDEX(LINEST((AV61:AX61),LN(AV60:AX60)),1)</f>
        <v>-3.7510071063113E-2</v>
      </c>
      <c r="AQ61" s="90">
        <f>INDEX(LINEST(LN(AV61:AX61),SQRT(AV60:AX60),TRUE,TRUE),3,1)</f>
        <v>0.9821233262667034</v>
      </c>
      <c r="AR61" s="117">
        <f>INDEX(LINEST(LN(AV61:AX61),SQRT((AV60:AX60))),1)</f>
        <v>-5.0617949825993838E-2</v>
      </c>
      <c r="AS61" s="91">
        <f>INDEX(LINEST(1/(AV61:AX61),1/(SQRT(AV60:AX60)),TRUE,TRUE),3,1)</f>
        <v>0.99476799909561953</v>
      </c>
      <c r="AT61" s="91">
        <f>INDEX(LINEST(1/(AV61:AX61),1/SQRT(AV60:AX60)),1)</f>
        <v>-0.18464516917101689</v>
      </c>
      <c r="AU61" s="3"/>
      <c r="AV61" s="73">
        <v>0.85399999999999998</v>
      </c>
      <c r="AW61" s="73">
        <v>0.82599999999999996</v>
      </c>
      <c r="AX61" s="73">
        <v>0.80200000000000005</v>
      </c>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1"/>
      <c r="CS61" s="1"/>
      <c r="CT61" s="1"/>
      <c r="CU61" s="1"/>
    </row>
    <row r="62" spans="1:99" s="13" customFormat="1" ht="12" customHeight="1" x14ac:dyDescent="0.2">
      <c r="A62" s="68">
        <v>43509</v>
      </c>
      <c r="B62" s="70"/>
      <c r="C62" s="70"/>
      <c r="D62" s="69"/>
      <c r="E62" s="87"/>
      <c r="F62" s="69"/>
      <c r="G62" s="69"/>
      <c r="H62" s="69"/>
      <c r="I62" s="69"/>
      <c r="J62" s="69"/>
      <c r="K62" s="107"/>
      <c r="L62" s="107"/>
      <c r="M62" s="69"/>
      <c r="N62" s="69"/>
      <c r="O62" s="69"/>
      <c r="P62" s="69"/>
      <c r="Q62" s="69"/>
      <c r="R62" s="69"/>
      <c r="S62" s="69"/>
      <c r="T62" s="69"/>
      <c r="U62" s="60"/>
      <c r="V62" s="69"/>
      <c r="W62" s="69"/>
      <c r="X62" s="69"/>
      <c r="Y62" s="87"/>
      <c r="Z62" s="69"/>
      <c r="AA62" s="69"/>
      <c r="AB62" s="69"/>
      <c r="AC62" s="69"/>
      <c r="AD62" s="69"/>
      <c r="AE62" s="69"/>
      <c r="AF62" s="88"/>
      <c r="AG62" s="72"/>
      <c r="AH62" s="4"/>
      <c r="AI62" s="72"/>
      <c r="AJ62" s="110"/>
      <c r="AK62" s="72"/>
      <c r="AL62" s="72"/>
      <c r="AM62" s="72"/>
      <c r="AN62" s="72"/>
      <c r="AO62" s="89"/>
      <c r="AP62" s="89"/>
      <c r="AQ62" s="89"/>
      <c r="AR62" s="118"/>
      <c r="AS62" s="89"/>
      <c r="AT62" s="89"/>
      <c r="AU62" s="3"/>
      <c r="AV62" s="125">
        <v>1.5</v>
      </c>
      <c r="AW62" s="71">
        <v>3</v>
      </c>
      <c r="AX62" s="71">
        <v>6</v>
      </c>
      <c r="AY62" s="53"/>
      <c r="AZ62" s="53"/>
      <c r="BA62" s="53"/>
      <c r="BB62" s="53"/>
      <c r="BC62" s="53"/>
      <c r="BD62" s="53"/>
      <c r="BE62" s="53"/>
      <c r="BF62" s="53"/>
      <c r="BG62" s="53"/>
      <c r="BH62" s="53"/>
      <c r="BI62" s="53"/>
      <c r="BJ62" s="53"/>
      <c r="BK62" s="53"/>
      <c r="BL62" s="53"/>
      <c r="BM62" s="53"/>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53"/>
      <c r="CO62" s="53"/>
      <c r="CP62" s="53"/>
      <c r="CQ62" s="53"/>
      <c r="CR62" s="1"/>
      <c r="CS62" s="1"/>
      <c r="CT62" s="1"/>
      <c r="CU62" s="1"/>
    </row>
    <row r="63" spans="1:99" s="13" customFormat="1" ht="12" customHeight="1" x14ac:dyDescent="0.2">
      <c r="A63" s="68">
        <v>43509</v>
      </c>
      <c r="B63" s="70" t="s">
        <v>250</v>
      </c>
      <c r="C63" s="70" t="s">
        <v>33</v>
      </c>
      <c r="D63" s="69">
        <v>2010</v>
      </c>
      <c r="E63" s="87">
        <v>1</v>
      </c>
      <c r="F63" s="69">
        <v>30</v>
      </c>
      <c r="G63" s="69">
        <v>30</v>
      </c>
      <c r="H63" s="69" t="s">
        <v>22</v>
      </c>
      <c r="I63" s="69" t="s">
        <v>762</v>
      </c>
      <c r="J63" s="69" t="s">
        <v>764</v>
      </c>
      <c r="K63" s="69">
        <f>IF(J63="syllables",1,IF(J63="trigrams",2,IF(J63="strings",3,IF(J63="visual array",4,IF(J63="characters",5,IF(J63="letters",6,IF(J63="free forms",7,IF(J63="odors",8,IF(J63="words",9,IF(J63="pictures",10,IF(J63="object pictures",11,IF(J63="faces",12,IF(J63="names",13,IF(J63="idioms",14,IF(J63="grades",15,IF(J63="syllable-digit pairs",16,IF(J63="trigram-word pairs",17,IF(J63="word-digit pairs",18,IF(J63="English-Swahili pairs",19,IF(J63="spatial position",20,IF(J63="word pairs",21,IF(J63="word triads",22,IF(J63="generated words",23,IF(J63="word definition pairs",24,IF(J63="math problems",25,IF(J63="famous faces",26,IF(J63="famous names",27,IF(J63="famous voices",28,IF(J63="television programs",29,IF(J63="race horses",30,IF(J63="new vocabulary",31,IF(J63="sentences",32,IF(J63="concepts",33,IF(J63="ad slides",34,IF(J63="scenes",35,IF(J63="famous scenes",36,IF(J63="poems",37,IF(J63="walk",38,IF(J63="faces and events",39,IF(J63="events and names",40,IF(J63="flashbulb",41,IF(J63="stories",42,IF(J63="course material",43,IF(J63="autobiographical",44,IF(J63="novels",45,IF(J63="public events",46,"99"))))))))))))))))))))))))))))))))))))))))))))))</f>
        <v>4</v>
      </c>
      <c r="L63" s="69">
        <f>IF(J63="syllables",1,IF(J63="trigrams",1,IF(J63="strings",1,IF(J63="visual array",1,IF(J63="characters",1,IF(J63="letters",1,IF(J63="free forms",1,IF(J63="odors",2,IF(J63="words",2,IF(J63="pictures",2,IF(J63="object pictures",2,IF(J63="faces",2,IF(J63="names",2,IF(J63="idioms","2",IF(J63="grades",2,IF(J63="syllable-digit pairs",3,IF(J63="trigram-word pairs",3,IF(J63="word-digit pairs",3,IF(J63="English-Swahili pairs",3,IF(J63="spatial position",3,IF(J63="word pairs",4,IF(J63="word triads",4,IF(J63="generated words",4,IF(J63="word definition pairs",4,IF(J63="math problems",4,IF(J63="famous faces",4,IF(J63="famous names",4,IF(J63="famous voices",4,IF(J63="television programs",4,IF(J63="race horses",4,IF(J63="new vocabulary",4,IF(J63="sentences",5,IF(J63="concepts",5,IF(J63="ad slides",5,IF(J63="scenes",5,IF(J63="famous scenes",5,IF(J63="poems",6,IF(J63="walk",6,IF(J63="faces and events",6,IF(J63="events and names",6,IF(J63="flashbulb",7,IF(J63="stories",7,IF(J63="course material",7,IF(J63="autobiographical",7,IF(J63="novels",7,IF(J63="public events",7,"99"))))))))))))))))))))))))))))))))))))))))))))))</f>
        <v>1</v>
      </c>
      <c r="M63" s="69">
        <v>0</v>
      </c>
      <c r="N63" s="69">
        <v>1</v>
      </c>
      <c r="O63" s="69">
        <v>1</v>
      </c>
      <c r="P63" s="69" t="s">
        <v>35</v>
      </c>
      <c r="Q63" s="69" t="s">
        <v>34</v>
      </c>
      <c r="R63" s="69">
        <f>IF(Q63="Free Recall",1,IF(Q63="Cued Recall",2,IF(Q63="Recognition",3,IF(Q63="Multiple Choice",4,IF(Q63="Savings",5,IF(Q63="Stem Completion",6,IF(Q63="Fragment Completion",7,IF(Q63="anagram solution",8,IF(Q63="Matching",9,IF(Q63="Problem Solving",10,"99"))))))))))</f>
        <v>3</v>
      </c>
      <c r="S63" s="69" t="s">
        <v>15</v>
      </c>
      <c r="T63" s="92" t="s">
        <v>581</v>
      </c>
      <c r="U63" s="60">
        <f>IF(T63="within",1,0)</f>
        <v>1</v>
      </c>
      <c r="V63" s="92">
        <v>30</v>
      </c>
      <c r="W63" s="69">
        <f>F63*V63</f>
        <v>900</v>
      </c>
      <c r="X63" s="69">
        <v>3</v>
      </c>
      <c r="Y63" s="87">
        <f>AV62</f>
        <v>1.5</v>
      </c>
      <c r="Z63" s="69" t="s">
        <v>36</v>
      </c>
      <c r="AA63" s="69">
        <v>5.9</v>
      </c>
      <c r="AB63" s="69" t="str">
        <f>IF(AA63&lt;60,"1",IF(AA63&lt;=43200,"2",IF(AA63&lt;=777600,"3","4")))</f>
        <v>1</v>
      </c>
      <c r="AC63" s="72">
        <f>AVERAGE(AV62:DA62)</f>
        <v>3.5</v>
      </c>
      <c r="AD63" s="69" t="str">
        <f>IF(AC63&lt;60,"1",IF(AC63&lt;=43200,"2",IF(AC63&lt;=777600,"3","4")))</f>
        <v>1</v>
      </c>
      <c r="AE63" s="87">
        <f>AA63-Y63</f>
        <v>4.4000000000000004</v>
      </c>
      <c r="AF63" s="88">
        <f>AV63</f>
        <v>0.82899999999999996</v>
      </c>
      <c r="AG63" s="72">
        <f>((AW63-AV63)+(AX63-AW63))/2</f>
        <v>-3.7499999999999978E-2</v>
      </c>
      <c r="AH63" s="4"/>
      <c r="AI63" s="72">
        <f>RSQ(AV63:AX63,AV62:AX62)</f>
        <v>0.89168849252395377</v>
      </c>
      <c r="AJ63" s="110">
        <f>SLOPE(AV63:AX63,AV62:AX62)</f>
        <v>-1.5619047619047612E-2</v>
      </c>
      <c r="AK63" s="72">
        <f>INTERCEPT(AV63:AX63,AV62:AX62)</f>
        <v>0.84300000000000008</v>
      </c>
      <c r="AL63" s="72">
        <f>INDEX(LINEST(LN(AV63:AX63),LN(AV62:AX62),TRUE,TRUE),3,1)</f>
        <v>0.98252726074625907</v>
      </c>
      <c r="AM63" s="72">
        <f>INDEX(LINEST(LN(AV63:AX63),LN(AV62:AX62)),1)</f>
        <v>-6.8403789113543001E-2</v>
      </c>
      <c r="AN63" s="72">
        <f>EXP(INDEX(LINEST(LN(AV63:AX63),LN(AV62:AX62)),1,2))</f>
        <v>0.8492087196688809</v>
      </c>
      <c r="AO63" s="89">
        <f>INDEX(LINEST((AV63:AX63),LN(AV62:AX62),TRUE,TRUE),3,1)</f>
        <v>0.97905546530517529</v>
      </c>
      <c r="AP63" s="89">
        <f>INDEX(LINEST((AV63:AX63),LN(AV62:AX62)),1)</f>
        <v>-5.4101064033336102E-2</v>
      </c>
      <c r="AQ63" s="90">
        <f>INDEX(LINEST(LN(AV63:AX63),SQRT(AV62:AX62),TRUE,TRUE),3,1)</f>
        <v>0.94744402016023299</v>
      </c>
      <c r="AR63" s="117">
        <f>INDEX(LINEST(LN(AV63:AX63),SQRT((AV62:AX62))),1)</f>
        <v>-7.5661353883790305E-2</v>
      </c>
      <c r="AS63" s="91">
        <f>INDEX(LINEST(1/(AV63:AX63),1/(SQRT(AV62:AX62)),TRUE,TRUE),3,1)</f>
        <v>0.99955734003198149</v>
      </c>
      <c r="AT63" s="91">
        <f>INDEX(LINEST(1/(AV63:AX63),1/SQRT(AV62:AX62)),1)</f>
        <v>-0.29452168749066243</v>
      </c>
      <c r="AU63" s="3"/>
      <c r="AV63" s="73">
        <v>0.82899999999999996</v>
      </c>
      <c r="AW63" s="73">
        <v>0.78200000000000003</v>
      </c>
      <c r="AX63" s="73">
        <v>0.754</v>
      </c>
      <c r="AY63" s="53"/>
      <c r="AZ63" s="53"/>
      <c r="BA63" s="53"/>
      <c r="BB63" s="53"/>
      <c r="BC63" s="53"/>
      <c r="BD63" s="53"/>
      <c r="BE63" s="53"/>
      <c r="BF63" s="53"/>
      <c r="BG63" s="53"/>
      <c r="BH63" s="53"/>
      <c r="BI63" s="53"/>
      <c r="BJ63" s="53"/>
      <c r="BK63" s="53"/>
      <c r="BL63" s="53"/>
      <c r="BM63" s="53"/>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53"/>
      <c r="CO63" s="53"/>
      <c r="CP63" s="53"/>
      <c r="CQ63" s="53"/>
      <c r="CR63" s="1"/>
      <c r="CS63" s="1"/>
      <c r="CT63" s="1"/>
      <c r="CU63" s="1"/>
    </row>
    <row r="64" spans="1:99" s="13" customFormat="1" ht="12" customHeight="1" x14ac:dyDescent="0.2">
      <c r="A64" s="68">
        <v>43509</v>
      </c>
      <c r="B64" s="70"/>
      <c r="C64" s="70"/>
      <c r="D64" s="69"/>
      <c r="E64" s="87"/>
      <c r="F64" s="69"/>
      <c r="G64" s="69"/>
      <c r="H64" s="69"/>
      <c r="I64" s="69"/>
      <c r="J64" s="69"/>
      <c r="K64" s="107"/>
      <c r="L64" s="107"/>
      <c r="M64" s="69"/>
      <c r="N64" s="69"/>
      <c r="O64" s="69"/>
      <c r="P64" s="69"/>
      <c r="Q64" s="69"/>
      <c r="R64" s="69"/>
      <c r="S64" s="69"/>
      <c r="T64" s="69"/>
      <c r="U64" s="60"/>
      <c r="V64" s="69"/>
      <c r="W64" s="69"/>
      <c r="X64" s="69"/>
      <c r="Y64" s="87"/>
      <c r="Z64" s="69"/>
      <c r="AA64" s="69"/>
      <c r="AB64" s="69"/>
      <c r="AC64" s="69"/>
      <c r="AD64" s="69"/>
      <c r="AE64" s="69"/>
      <c r="AF64" s="88"/>
      <c r="AG64" s="72"/>
      <c r="AH64" s="4"/>
      <c r="AI64" s="72"/>
      <c r="AJ64" s="110"/>
      <c r="AK64" s="72"/>
      <c r="AL64" s="72"/>
      <c r="AM64" s="72"/>
      <c r="AN64" s="72"/>
      <c r="AO64" s="89"/>
      <c r="AP64" s="89"/>
      <c r="AQ64" s="89"/>
      <c r="AR64" s="118"/>
      <c r="AS64" s="89"/>
      <c r="AT64" s="89"/>
      <c r="AU64" s="3"/>
      <c r="AV64" s="125">
        <v>1.5</v>
      </c>
      <c r="AW64" s="71">
        <v>3</v>
      </c>
      <c r="AX64" s="71">
        <v>6</v>
      </c>
      <c r="AY64" s="53"/>
      <c r="AZ64" s="53"/>
      <c r="BA64" s="53"/>
      <c r="BB64" s="53"/>
      <c r="BC64" s="53"/>
      <c r="BD64" s="53"/>
      <c r="BE64" s="53"/>
      <c r="BF64" s="53"/>
      <c r="BG64" s="53"/>
      <c r="BH64" s="53"/>
      <c r="BI64" s="53"/>
      <c r="BJ64" s="53"/>
      <c r="BK64" s="53"/>
      <c r="BL64" s="53"/>
      <c r="BM64" s="53"/>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53"/>
      <c r="CO64" s="53"/>
      <c r="CP64" s="53"/>
      <c r="CQ64" s="53"/>
      <c r="CR64" s="1"/>
      <c r="CS64" s="1"/>
      <c r="CT64" s="1"/>
      <c r="CU64" s="1"/>
    </row>
    <row r="65" spans="1:99" s="13" customFormat="1" ht="12" customHeight="1" x14ac:dyDescent="0.2">
      <c r="A65" s="68">
        <v>43509</v>
      </c>
      <c r="B65" s="70" t="s">
        <v>250</v>
      </c>
      <c r="C65" s="70" t="s">
        <v>33</v>
      </c>
      <c r="D65" s="69">
        <v>2010</v>
      </c>
      <c r="E65" s="87">
        <v>1</v>
      </c>
      <c r="F65" s="69">
        <v>30</v>
      </c>
      <c r="G65" s="69">
        <v>30</v>
      </c>
      <c r="H65" s="69" t="s">
        <v>22</v>
      </c>
      <c r="I65" s="69" t="s">
        <v>763</v>
      </c>
      <c r="J65" s="69" t="s">
        <v>764</v>
      </c>
      <c r="K65" s="69">
        <f>IF(J65="syllables",1,IF(J65="trigrams",2,IF(J65="strings",3,IF(J65="visual array",4,IF(J65="characters",5,IF(J65="letters",6,IF(J65="free forms",7,IF(J65="odors",8,IF(J65="words",9,IF(J65="pictures",10,IF(J65="object pictures",11,IF(J65="faces",12,IF(J65="names",13,IF(J65="idioms",14,IF(J65="grades",15,IF(J65="syllable-digit pairs",16,IF(J65="trigram-word pairs",17,IF(J65="word-digit pairs",18,IF(J65="English-Swahili pairs",19,IF(J65="spatial position",20,IF(J65="word pairs",21,IF(J65="word triads",22,IF(J65="generated words",23,IF(J65="word definition pairs",24,IF(J65="math problems",25,IF(J65="famous faces",26,IF(J65="famous names",27,IF(J65="famous voices",28,IF(J65="television programs",29,IF(J65="race horses",30,IF(J65="new vocabulary",31,IF(J65="sentences",32,IF(J65="concepts",33,IF(J65="ad slides",34,IF(J65="scenes",35,IF(J65="famous scenes",36,IF(J65="poems",37,IF(J65="walk",38,IF(J65="faces and events",39,IF(J65="events and names",40,IF(J65="flashbulb",41,IF(J65="stories",42,IF(J65="course material",43,IF(J65="autobiographical",44,IF(J65="novels",45,IF(J65="public events",46,"99"))))))))))))))))))))))))))))))))))))))))))))))</f>
        <v>4</v>
      </c>
      <c r="L65" s="69">
        <f>IF(J65="syllables",1,IF(J65="trigrams",1,IF(J65="strings",1,IF(J65="visual array",1,IF(J65="characters",1,IF(J65="letters",1,IF(J65="free forms",1,IF(J65="odors",2,IF(J65="words",2,IF(J65="pictures",2,IF(J65="object pictures",2,IF(J65="faces",2,IF(J65="names",2,IF(J65="idioms","2",IF(J65="grades",2,IF(J65="syllable-digit pairs",3,IF(J65="trigram-word pairs",3,IF(J65="word-digit pairs",3,IF(J65="English-Swahili pairs",3,IF(J65="spatial position",3,IF(J65="word pairs",4,IF(J65="word triads",4,IF(J65="generated words",4,IF(J65="word definition pairs",4,IF(J65="math problems",4,IF(J65="famous faces",4,IF(J65="famous names",4,IF(J65="famous voices",4,IF(J65="television programs",4,IF(J65="race horses",4,IF(J65="new vocabulary",4,IF(J65="sentences",5,IF(J65="concepts",5,IF(J65="ad slides",5,IF(J65="scenes",5,IF(J65="famous scenes",5,IF(J65="poems",6,IF(J65="walk",6,IF(J65="faces and events",6,IF(J65="events and names",6,IF(J65="flashbulb",7,IF(J65="stories",7,IF(J65="course material",7,IF(J65="autobiographical",7,IF(J65="novels",7,IF(J65="public events",7,"99"))))))))))))))))))))))))))))))))))))))))))))))</f>
        <v>1</v>
      </c>
      <c r="M65" s="69">
        <v>0</v>
      </c>
      <c r="N65" s="69">
        <v>1</v>
      </c>
      <c r="O65" s="69">
        <v>1</v>
      </c>
      <c r="P65" s="69" t="s">
        <v>35</v>
      </c>
      <c r="Q65" s="69" t="s">
        <v>34</v>
      </c>
      <c r="R65" s="69">
        <f>IF(Q65="Free Recall",1,IF(Q65="Cued Recall",2,IF(Q65="Recognition",3,IF(Q65="Multiple Choice",4,IF(Q65="Savings",5,IF(Q65="Stem Completion",6,IF(Q65="Fragment Completion",7,IF(Q65="anagram solution",8,IF(Q65="Matching",9,IF(Q65="Problem Solving",10,"99"))))))))))</f>
        <v>3</v>
      </c>
      <c r="S65" s="69" t="s">
        <v>15</v>
      </c>
      <c r="T65" s="92" t="s">
        <v>581</v>
      </c>
      <c r="U65" s="60">
        <f>IF(T65="within",1,0)</f>
        <v>1</v>
      </c>
      <c r="V65" s="92">
        <v>30</v>
      </c>
      <c r="W65" s="69">
        <f>F65*V65</f>
        <v>900</v>
      </c>
      <c r="X65" s="69">
        <v>3</v>
      </c>
      <c r="Y65" s="87">
        <f>AV64</f>
        <v>1.5</v>
      </c>
      <c r="Z65" s="69" t="s">
        <v>36</v>
      </c>
      <c r="AA65" s="69">
        <v>5.9</v>
      </c>
      <c r="AB65" s="69" t="str">
        <f>IF(AA65&lt;60,"1",IF(AA65&lt;=43200,"2",IF(AA65&lt;=777600,"3","4")))</f>
        <v>1</v>
      </c>
      <c r="AC65" s="72">
        <f>AVERAGE(AV64:DA64)</f>
        <v>3.5</v>
      </c>
      <c r="AD65" s="69" t="str">
        <f>IF(AC65&lt;60,"1",IF(AC65&lt;=43200,"2",IF(AC65&lt;=777600,"3","4")))</f>
        <v>1</v>
      </c>
      <c r="AE65" s="87">
        <f>AA65-Y65</f>
        <v>4.4000000000000004</v>
      </c>
      <c r="AF65" s="88">
        <f>AV65</f>
        <v>0.78300000000000003</v>
      </c>
      <c r="AG65" s="72">
        <f>((AW65-AV65)+(AX65-AW65))/2</f>
        <v>-4.500000000000004E-2</v>
      </c>
      <c r="AH65" s="4"/>
      <c r="AI65" s="72">
        <f>RSQ(AV65:AX65,AV64:AX64)</f>
        <v>0.98992255295325182</v>
      </c>
      <c r="AJ65" s="110">
        <f>SLOPE(AV65:AX65,AV64:AX64)</f>
        <v>-1.9619047619047637E-2</v>
      </c>
      <c r="AK65" s="72">
        <f>INTERCEPT(AV65:AX65,AV64:AX64)</f>
        <v>0.80900000000000016</v>
      </c>
      <c r="AL65" s="72">
        <f>INDEX(LINEST(LN(AV65:AX65),LN(AV64:AX64),TRUE,TRUE),3,1)</f>
        <v>0.98870381078212843</v>
      </c>
      <c r="AM65" s="72">
        <f>INDEX(LINEST(LN(AV65:AX65),LN(AV64:AX64)),1)</f>
        <v>-8.8078477576913547E-2</v>
      </c>
      <c r="AN65" s="72">
        <f>EXP(INDEX(LINEST(LN(AV65:AX65),LN(AV64:AX64)),1,2))</f>
        <v>0.81453147368452661</v>
      </c>
      <c r="AO65" s="89">
        <f>INDEX(LINEST((AV65:AX65),LN(AV64:AX64),TRUE,TRUE),3,1)</f>
        <v>0.99199869366427162</v>
      </c>
      <c r="AP65" s="89">
        <f>INDEX(LINEST((AV65:AX65),LN(AV64:AX64)),1)</f>
        <v>-6.49212768400034E-2</v>
      </c>
      <c r="AQ65" s="90">
        <f>INDEX(LINEST(LN(AV65:AX65),SQRT(AV64:AX64),TRUE,TRUE),3,1)</f>
        <v>0.99993995242761635</v>
      </c>
      <c r="AR65" s="117">
        <f>INDEX(LINEST(LN(AV65:AX65),SQRT((AV64:AX64))),1)</f>
        <v>-9.9773022666254943E-2</v>
      </c>
      <c r="AS65" s="91">
        <f>INDEX(LINEST(1/(AV65:AX65),1/(SQRT(AV64:AX64)),TRUE,TRUE),3,1)</f>
        <v>0.95154270486055814</v>
      </c>
      <c r="AT65" s="91">
        <f>INDEX(LINEST(1/(AV65:AX65),1/SQRT(AV64:AX64)),1)</f>
        <v>-0.39739452263512554</v>
      </c>
      <c r="AU65" s="3"/>
      <c r="AV65" s="73">
        <v>0.78300000000000003</v>
      </c>
      <c r="AW65" s="73">
        <v>0.745</v>
      </c>
      <c r="AX65" s="73">
        <v>0.69299999999999995</v>
      </c>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1"/>
      <c r="CS65" s="1"/>
      <c r="CT65" s="1"/>
      <c r="CU65" s="1"/>
    </row>
    <row r="66" spans="1:99" s="13" customFormat="1" ht="12" customHeight="1" x14ac:dyDescent="0.2">
      <c r="A66" s="68">
        <v>43509</v>
      </c>
      <c r="B66" s="70"/>
      <c r="C66" s="70"/>
      <c r="D66" s="69"/>
      <c r="E66" s="87"/>
      <c r="F66" s="69"/>
      <c r="G66" s="69"/>
      <c r="H66" s="69"/>
      <c r="I66" s="69"/>
      <c r="J66" s="69"/>
      <c r="K66" s="107"/>
      <c r="L66" s="107"/>
      <c r="M66" s="69"/>
      <c r="N66" s="69"/>
      <c r="O66" s="69"/>
      <c r="P66" s="69"/>
      <c r="Q66" s="69"/>
      <c r="R66" s="69"/>
      <c r="S66" s="69"/>
      <c r="T66" s="69"/>
      <c r="U66" s="60"/>
      <c r="V66" s="69"/>
      <c r="W66" s="69"/>
      <c r="X66" s="69"/>
      <c r="Y66" s="87"/>
      <c r="Z66" s="69"/>
      <c r="AA66" s="69"/>
      <c r="AB66" s="69"/>
      <c r="AC66" s="69"/>
      <c r="AD66" s="69"/>
      <c r="AE66" s="69"/>
      <c r="AF66" s="88"/>
      <c r="AG66" s="72"/>
      <c r="AH66" s="4"/>
      <c r="AI66" s="72"/>
      <c r="AJ66" s="110"/>
      <c r="AK66" s="72"/>
      <c r="AL66" s="72"/>
      <c r="AM66" s="72"/>
      <c r="AN66" s="72"/>
      <c r="AO66" s="72"/>
      <c r="AP66" s="72"/>
      <c r="AQ66" s="72"/>
      <c r="AR66" s="110"/>
      <c r="AS66" s="72"/>
      <c r="AT66" s="72"/>
      <c r="AU66" s="4"/>
      <c r="AV66" s="125">
        <v>1.5</v>
      </c>
      <c r="AW66" s="71">
        <v>3</v>
      </c>
      <c r="AX66" s="71">
        <v>6</v>
      </c>
      <c r="AY66" s="53"/>
      <c r="AZ66" s="53"/>
      <c r="BA66" s="53"/>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53"/>
      <c r="CD66" s="53"/>
      <c r="CE66" s="53"/>
      <c r="CF66" s="53"/>
      <c r="CG66" s="53"/>
      <c r="CH66" s="53"/>
      <c r="CI66" s="53"/>
      <c r="CJ66" s="53"/>
      <c r="CK66" s="53"/>
      <c r="CL66" s="53"/>
      <c r="CM66" s="53"/>
      <c r="CN66" s="53"/>
      <c r="CO66" s="53"/>
      <c r="CP66" s="53"/>
      <c r="CQ66" s="53"/>
      <c r="CR66" s="1"/>
      <c r="CS66" s="1"/>
      <c r="CT66" s="1"/>
      <c r="CU66" s="1"/>
    </row>
    <row r="67" spans="1:99" s="13" customFormat="1" ht="12" customHeight="1" x14ac:dyDescent="0.2">
      <c r="A67" s="68">
        <v>43509</v>
      </c>
      <c r="B67" s="70" t="s">
        <v>250</v>
      </c>
      <c r="C67" s="70" t="s">
        <v>33</v>
      </c>
      <c r="D67" s="69">
        <v>2010</v>
      </c>
      <c r="E67" s="87">
        <v>2</v>
      </c>
      <c r="F67" s="69">
        <v>32</v>
      </c>
      <c r="G67" s="69">
        <v>32</v>
      </c>
      <c r="H67" s="69" t="s">
        <v>38</v>
      </c>
      <c r="I67" s="69" t="s">
        <v>761</v>
      </c>
      <c r="J67" s="69" t="s">
        <v>765</v>
      </c>
      <c r="K67" s="69">
        <f>IF(J67="syllables",1,IF(J67="trigrams",2,IF(J67="strings",3,IF(J67="visual array",4,IF(J67="characters",5,IF(J67="letters",6,IF(J67="free forms",7,IF(J67="odors",8,IF(J67="words",9,IF(J67="pictures",10,IF(J67="object pictures",11,IF(J67="faces",12,IF(J67="names",13,IF(J67="idioms",14,IF(J67="grades",15,IF(J67="syllable-digit pairs",16,IF(J67="trigram-word pairs",17,IF(J67="word-digit pairs",18,IF(J67="English-Swahili pairs",19,IF(J67="spatial position",20,IF(J67="word pairs",21,IF(J67="word triads",22,IF(J67="generated words",23,IF(J67="word definition pairs",24,IF(J67="math problems",25,IF(J67="famous faces",26,IF(J67="famous names",27,IF(J67="famous voices",28,IF(J67="television programs",29,IF(J67="race horses",30,IF(J67="new vocabulary",31,IF(J67="sentences",32,IF(J67="concepts",33,IF(J67="ad slides",34,IF(J67="scenes",35,IF(J67="famous scenes",36,IF(J67="poems",37,IF(J67="walk",38,IF(J67="faces and events",39,IF(J67="events and names",40,IF(J67="flashbulb",41,IF(J67="stories",42,IF(J67="course material",43,IF(J67="autobiographical",44,IF(J67="novels",45,IF(J67="public events",46,"99"))))))))))))))))))))))))))))))))))))))))))))))</f>
        <v>5</v>
      </c>
      <c r="L67" s="69">
        <f>IF(J67="syllables",1,IF(J67="trigrams",1,IF(J67="strings",1,IF(J67="visual array",1,IF(J67="characters",1,IF(J67="letters",1,IF(J67="free forms",1,IF(J67="odors",2,IF(J67="words",2,IF(J67="pictures",2,IF(J67="object pictures",2,IF(J67="faces",2,IF(J67="names",2,IF(J67="idioms","2",IF(J67="grades",2,IF(J67="syllable-digit pairs",3,IF(J67="trigram-word pairs",3,IF(J67="word-digit pairs",3,IF(J67="English-Swahili pairs",3,IF(J67="spatial position",3,IF(J67="word pairs",4,IF(J67="word triads",4,IF(J67="generated words",4,IF(J67="word definition pairs",4,IF(J67="math problems",4,IF(J67="famous faces",4,IF(J67="famous names",4,IF(J67="famous voices",4,IF(J67="television programs",4,IF(J67="race horses",4,IF(J67="new vocabulary",4,IF(J67="sentences",5,IF(J67="concepts",5,IF(J67="ad slides",5,IF(J67="scenes",5,IF(J67="famous scenes",5,IF(J67="poems",6,IF(J67="walk",6,IF(J67="faces and events",6,IF(J67="events and names",6,IF(J67="flashbulb",7,IF(J67="stories",7,IF(J67="course material",7,IF(J67="autobiographical",7,IF(J67="novels",7,IF(J67="public events",7,"99"))))))))))))))))))))))))))))))))))))))))))))))</f>
        <v>1</v>
      </c>
      <c r="M67" s="69">
        <v>0</v>
      </c>
      <c r="N67" s="69">
        <v>1</v>
      </c>
      <c r="O67" s="69">
        <v>1</v>
      </c>
      <c r="P67" s="69" t="s">
        <v>37</v>
      </c>
      <c r="Q67" s="69" t="s">
        <v>34</v>
      </c>
      <c r="R67" s="69">
        <f>IF(Q67="Free Recall",1,IF(Q67="Cued Recall",2,IF(Q67="Recognition",3,IF(Q67="Multiple Choice",4,IF(Q67="Savings",5,IF(Q67="Stem Completion",6,IF(Q67="Fragment Completion",7,IF(Q67="anagram solution",8,IF(Q67="Matching",9,IF(Q67="Problem Solving",10,"99"))))))))))</f>
        <v>3</v>
      </c>
      <c r="S67" s="69" t="s">
        <v>15</v>
      </c>
      <c r="T67" s="92" t="s">
        <v>581</v>
      </c>
      <c r="U67" s="60">
        <f>IF(T67="within",1,0)</f>
        <v>1</v>
      </c>
      <c r="V67" s="92">
        <v>24</v>
      </c>
      <c r="W67" s="69">
        <f>F67*V67</f>
        <v>768</v>
      </c>
      <c r="X67" s="69">
        <v>3</v>
      </c>
      <c r="Y67" s="87">
        <f>AV66</f>
        <v>1.5</v>
      </c>
      <c r="Z67" s="69" t="s">
        <v>39</v>
      </c>
      <c r="AA67" s="69">
        <v>6</v>
      </c>
      <c r="AB67" s="69" t="str">
        <f>IF(AA67&lt;60,"1",IF(AA67&lt;=43200,"2",IF(AA67&lt;=777600,"3","4")))</f>
        <v>1</v>
      </c>
      <c r="AC67" s="72">
        <f>AVERAGE(AV66:DA66)</f>
        <v>3.5</v>
      </c>
      <c r="AD67" s="69" t="str">
        <f>IF(AC67&lt;60,"1",IF(AC67&lt;=43200,"2",IF(AC67&lt;=777600,"3","4")))</f>
        <v>1</v>
      </c>
      <c r="AE67" s="87">
        <f>AA67-Y67</f>
        <v>4.5</v>
      </c>
      <c r="AF67" s="88">
        <f>AV67</f>
        <v>0.85199999999999998</v>
      </c>
      <c r="AG67" s="72">
        <f>((AW67-AV67)+(AX67-AW67))/2</f>
        <v>-3.7499999999999978E-2</v>
      </c>
      <c r="AH67" s="4"/>
      <c r="AI67" s="72">
        <f>RSQ(AV67:AX67,AV66:AX66)</f>
        <v>0.97717666948436188</v>
      </c>
      <c r="AJ67" s="110">
        <f>SLOPE(AV67:AX67,AV66:AX66)</f>
        <v>-1.6190476190476179E-2</v>
      </c>
      <c r="AK67" s="72">
        <f>INTERCEPT(AV67:AX67,AV66:AX66)</f>
        <v>0.872</v>
      </c>
      <c r="AL67" s="72">
        <f>INDEX(LINEST(LN(AV67:AX67),LN(AV66:AX66),TRUE,TRUE),3,1)</f>
        <v>0.99733430206016405</v>
      </c>
      <c r="AM67" s="72">
        <f>INDEX(LINEST(LN(AV67:AX67),LN(AV66:AX66)),1)</f>
        <v>-6.6469415909064036E-2</v>
      </c>
      <c r="AN67" s="72">
        <f>EXP(INDEX(LINEST(LN(AV67:AX67),LN(AV66:AX66)),1,2))</f>
        <v>0.8764790257193078</v>
      </c>
      <c r="AO67" s="89">
        <f>INDEX(LINEST((AV67:AX67),LN(AV66:AX66),TRUE,TRUE),3,1)</f>
        <v>0.99852071005917165</v>
      </c>
      <c r="AP67" s="89">
        <f>INDEX(LINEST((AV67:AX67),LN(AV66:AX66)),1)</f>
        <v>-5.4101064033336095E-2</v>
      </c>
      <c r="AQ67" s="90">
        <f>INDEX(LINEST(LN(AV67:AX67),SQRT(AV66:AX66),TRUE,TRUE),3,1)</f>
        <v>0.99778490598308212</v>
      </c>
      <c r="AR67" s="117">
        <f>INDEX(LINEST(LN(AV67:AX67),SQRT((AV66:AX66))),1)</f>
        <v>-7.4887515603700869E-2</v>
      </c>
      <c r="AS67" s="91">
        <f>INDEX(LINEST(1/(AV67:AX67),1/(SQRT(AV66:AX66)),TRUE,TRUE),3,1)</f>
        <v>0.97349959102852801</v>
      </c>
      <c r="AT67" s="91">
        <f>INDEX(LINEST(1/(AV67:AX67),1/SQRT(AV66:AX66)),1)</f>
        <v>-0.27304595022937844</v>
      </c>
      <c r="AU67" s="3"/>
      <c r="AV67" s="73">
        <v>0.85199999999999998</v>
      </c>
      <c r="AW67" s="73">
        <v>0.81699999999999995</v>
      </c>
      <c r="AX67" s="73">
        <v>0.77700000000000002</v>
      </c>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1"/>
      <c r="CS67" s="1"/>
      <c r="CT67" s="1"/>
      <c r="CU67" s="1"/>
    </row>
    <row r="68" spans="1:99" s="13" customFormat="1" ht="12" customHeight="1" x14ac:dyDescent="0.2">
      <c r="A68" s="68">
        <v>43509</v>
      </c>
      <c r="B68" s="70"/>
      <c r="C68" s="70"/>
      <c r="D68" s="69"/>
      <c r="E68" s="87"/>
      <c r="F68" s="69"/>
      <c r="G68" s="69"/>
      <c r="H68" s="69"/>
      <c r="I68" s="69"/>
      <c r="J68" s="69"/>
      <c r="K68" s="107"/>
      <c r="L68" s="107"/>
      <c r="M68" s="69"/>
      <c r="N68" s="69"/>
      <c r="O68" s="69"/>
      <c r="P68" s="69"/>
      <c r="Q68" s="69"/>
      <c r="R68" s="69"/>
      <c r="S68" s="69"/>
      <c r="T68" s="69"/>
      <c r="U68" s="60"/>
      <c r="V68" s="69"/>
      <c r="W68" s="69"/>
      <c r="X68" s="69"/>
      <c r="Y68" s="87"/>
      <c r="Z68" s="69"/>
      <c r="AA68" s="69"/>
      <c r="AB68" s="69"/>
      <c r="AC68" s="69"/>
      <c r="AD68" s="69"/>
      <c r="AE68" s="69"/>
      <c r="AF68" s="88"/>
      <c r="AG68" s="72"/>
      <c r="AH68" s="4"/>
      <c r="AI68" s="72"/>
      <c r="AJ68" s="110"/>
      <c r="AK68" s="72"/>
      <c r="AL68" s="72"/>
      <c r="AM68" s="72"/>
      <c r="AN68" s="72"/>
      <c r="AO68" s="89"/>
      <c r="AP68" s="89"/>
      <c r="AQ68" s="89"/>
      <c r="AR68" s="118"/>
      <c r="AS68" s="89"/>
      <c r="AT68" s="89"/>
      <c r="AU68" s="3"/>
      <c r="AV68" s="125">
        <v>1.5</v>
      </c>
      <c r="AW68" s="71">
        <v>3</v>
      </c>
      <c r="AX68" s="71">
        <v>6</v>
      </c>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1"/>
      <c r="CS68" s="1"/>
      <c r="CT68" s="1"/>
      <c r="CU68" s="1"/>
    </row>
    <row r="69" spans="1:99" s="13" customFormat="1" ht="12" customHeight="1" x14ac:dyDescent="0.2">
      <c r="A69" s="68">
        <v>43509</v>
      </c>
      <c r="B69" s="70" t="s">
        <v>250</v>
      </c>
      <c r="C69" s="70" t="s">
        <v>33</v>
      </c>
      <c r="D69" s="69">
        <v>2010</v>
      </c>
      <c r="E69" s="87">
        <v>2</v>
      </c>
      <c r="F69" s="69">
        <v>32</v>
      </c>
      <c r="G69" s="69">
        <v>32</v>
      </c>
      <c r="H69" s="69" t="s">
        <v>38</v>
      </c>
      <c r="I69" s="69" t="s">
        <v>766</v>
      </c>
      <c r="J69" s="69" t="s">
        <v>765</v>
      </c>
      <c r="K69" s="69">
        <f>IF(J69="syllables",1,IF(J69="trigrams",2,IF(J69="strings",3,IF(J69="visual array",4,IF(J69="characters",5,IF(J69="letters",6,IF(J69="free forms",7,IF(J69="odors",8,IF(J69="words",9,IF(J69="pictures",10,IF(J69="object pictures",11,IF(J69="faces",12,IF(J69="names",13,IF(J69="idioms",14,IF(J69="grades",15,IF(J69="syllable-digit pairs",16,IF(J69="trigram-word pairs",17,IF(J69="word-digit pairs",18,IF(J69="English-Swahili pairs",19,IF(J69="spatial position",20,IF(J69="word pairs",21,IF(J69="word triads",22,IF(J69="generated words",23,IF(J69="word definition pairs",24,IF(J69="math problems",25,IF(J69="famous faces",26,IF(J69="famous names",27,IF(J69="famous voices",28,IF(J69="television programs",29,IF(J69="race horses",30,IF(J69="new vocabulary",31,IF(J69="sentences",32,IF(J69="concepts",33,IF(J69="ad slides",34,IF(J69="scenes",35,IF(J69="famous scenes",36,IF(J69="poems",37,IF(J69="walk",38,IF(J69="faces and events",39,IF(J69="events and names",40,IF(J69="flashbulb",41,IF(J69="stories",42,IF(J69="course material",43,IF(J69="autobiographical",44,IF(J69="novels",45,IF(J69="public events",46,"99"))))))))))))))))))))))))))))))))))))))))))))))</f>
        <v>5</v>
      </c>
      <c r="L69" s="69">
        <f>IF(J69="syllables",1,IF(J69="trigrams",1,IF(J69="strings",1,IF(J69="visual array",1,IF(J69="characters",1,IF(J69="letters",1,IF(J69="free forms",1,IF(J69="odors",2,IF(J69="words",2,IF(J69="pictures",2,IF(J69="object pictures",2,IF(J69="faces",2,IF(J69="names",2,IF(J69="idioms","2",IF(J69="grades",2,IF(J69="syllable-digit pairs",3,IF(J69="trigram-word pairs",3,IF(J69="word-digit pairs",3,IF(J69="English-Swahili pairs",3,IF(J69="spatial position",3,IF(J69="word pairs",4,IF(J69="word triads",4,IF(J69="generated words",4,IF(J69="word definition pairs",4,IF(J69="math problems",4,IF(J69="famous faces",4,IF(J69="famous names",4,IF(J69="famous voices",4,IF(J69="television programs",4,IF(J69="race horses",4,IF(J69="new vocabulary",4,IF(J69="sentences",5,IF(J69="concepts",5,IF(J69="ad slides",5,IF(J69="scenes",5,IF(J69="famous scenes",5,IF(J69="poems",6,IF(J69="walk",6,IF(J69="faces and events",6,IF(J69="events and names",6,IF(J69="flashbulb",7,IF(J69="stories",7,IF(J69="course material",7,IF(J69="autobiographical",7,IF(J69="novels",7,IF(J69="public events",7,"99"))))))))))))))))))))))))))))))))))))))))))))))</f>
        <v>1</v>
      </c>
      <c r="M69" s="69">
        <v>0</v>
      </c>
      <c r="N69" s="69">
        <v>1</v>
      </c>
      <c r="O69" s="69">
        <v>1</v>
      </c>
      <c r="P69" s="69" t="s">
        <v>37</v>
      </c>
      <c r="Q69" s="69" t="s">
        <v>34</v>
      </c>
      <c r="R69" s="69">
        <f>IF(Q69="Free Recall",1,IF(Q69="Cued Recall",2,IF(Q69="Recognition",3,IF(Q69="Multiple Choice",4,IF(Q69="Savings",5,IF(Q69="Stem Completion",6,IF(Q69="Fragment Completion",7,IF(Q69="anagram solution",8,IF(Q69="Matching",9,IF(Q69="Problem Solving",10,"99"))))))))))</f>
        <v>3</v>
      </c>
      <c r="S69" s="69" t="s">
        <v>15</v>
      </c>
      <c r="T69" s="92" t="s">
        <v>581</v>
      </c>
      <c r="U69" s="60">
        <f>IF(T69="within",1,0)</f>
        <v>1</v>
      </c>
      <c r="V69" s="92">
        <v>24</v>
      </c>
      <c r="W69" s="69">
        <f>F69*V69</f>
        <v>768</v>
      </c>
      <c r="X69" s="69">
        <v>3</v>
      </c>
      <c r="Y69" s="87">
        <f>AV68</f>
        <v>1.5</v>
      </c>
      <c r="Z69" s="69" t="s">
        <v>39</v>
      </c>
      <c r="AA69" s="69">
        <v>6</v>
      </c>
      <c r="AB69" s="69" t="str">
        <f>IF(AA69&lt;60,"1",IF(AA69&lt;=43200,"2",IF(AA69&lt;=777600,"3","4")))</f>
        <v>1</v>
      </c>
      <c r="AC69" s="72">
        <f>AVERAGE(AV68:DA68)</f>
        <v>3.5</v>
      </c>
      <c r="AD69" s="69" t="str">
        <f>IF(AC69&lt;60,"1",IF(AC69&lt;=43200,"2",IF(AC69&lt;=777600,"3","4")))</f>
        <v>1</v>
      </c>
      <c r="AE69" s="87">
        <f>AA69-Y69</f>
        <v>4.5</v>
      </c>
      <c r="AF69" s="88">
        <f>AV69</f>
        <v>0.79200000000000004</v>
      </c>
      <c r="AG69" s="72">
        <f>((AW69-AV69)+(AX69-AW69))/2</f>
        <v>-3.7000000000000033E-2</v>
      </c>
      <c r="AH69" s="4"/>
      <c r="AI69" s="72">
        <f>RSQ(AV69:AX69,AV68:AX68)</f>
        <v>0.75241155054921105</v>
      </c>
      <c r="AJ69" s="110">
        <f>SLOPE(AV69:AX69,AV68:AX68)</f>
        <v>-1.4809523809523823E-2</v>
      </c>
      <c r="AK69" s="72">
        <f>INTERCEPT(AV69:AX69,AV68:AX68)</f>
        <v>0.79949999999999999</v>
      </c>
      <c r="AL69" s="72">
        <f>INDEX(LINEST(LN(AV69:AX69),LN(AV68:AX68),TRUE,TRUE),3,1)</f>
        <v>0.89966221712579653</v>
      </c>
      <c r="AM69" s="72">
        <f>INDEX(LINEST(LN(AV69:AX69),LN(AV68:AX68)),1)</f>
        <v>-7.075829312827922E-2</v>
      </c>
      <c r="AN69" s="72">
        <f>EXP(INDEX(LINEST(LN(AV69:AX69),LN(AV68:AX68)),1,2))</f>
        <v>0.80738030736674093</v>
      </c>
      <c r="AO69" s="89">
        <f>INDEX(LINEST((AV69:AX69),LN(AV68:AX68),TRUE,TRUE),3,1)</f>
        <v>0.89457634502287087</v>
      </c>
      <c r="AP69" s="89">
        <f>INDEX(LINEST((AV69:AX69),LN(AV68:AX68)),1)</f>
        <v>-5.3379716512891702E-2</v>
      </c>
      <c r="AQ69" s="90">
        <f>INDEX(LINEST(LN(AV69:AX69),SQRT(AV68:AX68),TRUE,TRUE),3,1)</f>
        <v>0.83294981272382496</v>
      </c>
      <c r="AR69" s="117">
        <f>INDEX(LINEST(LN(AV69:AX69),SQRT((AV68:AX68))),1)</f>
        <v>-7.6689604558223393E-2</v>
      </c>
      <c r="AS69" s="91">
        <f>INDEX(LINEST(1/(AV69:AX69),1/(SQRT(AV68:AX68)),TRUE,TRUE),3,1)</f>
        <v>0.95448354714236616</v>
      </c>
      <c r="AT69" s="91">
        <f>INDEX(LINEST(1/(AV69:AX69),1/SQRT(AV68:AX68)),1)</f>
        <v>-0.32580315633484025</v>
      </c>
      <c r="AU69" s="3"/>
      <c r="AV69" s="73">
        <v>0.79200000000000004</v>
      </c>
      <c r="AW69" s="73">
        <v>0.73299999999999998</v>
      </c>
      <c r="AX69" s="73">
        <v>0.71799999999999997</v>
      </c>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1"/>
      <c r="CS69" s="1"/>
      <c r="CT69" s="1"/>
      <c r="CU69" s="1"/>
    </row>
    <row r="70" spans="1:99" s="13" customFormat="1" ht="12" customHeight="1" x14ac:dyDescent="0.2">
      <c r="A70" s="68">
        <v>43509</v>
      </c>
      <c r="B70" s="70"/>
      <c r="C70" s="70"/>
      <c r="D70" s="69"/>
      <c r="E70" s="87"/>
      <c r="F70" s="69"/>
      <c r="G70" s="69"/>
      <c r="H70" s="69"/>
      <c r="I70" s="69"/>
      <c r="J70" s="69"/>
      <c r="K70" s="107"/>
      <c r="L70" s="107"/>
      <c r="M70" s="69"/>
      <c r="N70" s="69"/>
      <c r="O70" s="69"/>
      <c r="P70" s="69"/>
      <c r="Q70" s="69"/>
      <c r="R70" s="69"/>
      <c r="S70" s="69"/>
      <c r="T70" s="69"/>
      <c r="U70" s="60"/>
      <c r="V70" s="69"/>
      <c r="W70" s="69"/>
      <c r="X70" s="69"/>
      <c r="Y70" s="87"/>
      <c r="Z70" s="69"/>
      <c r="AA70" s="69"/>
      <c r="AB70" s="69"/>
      <c r="AC70" s="69"/>
      <c r="AD70" s="69"/>
      <c r="AE70" s="69"/>
      <c r="AF70" s="88"/>
      <c r="AG70" s="72"/>
      <c r="AH70" s="4"/>
      <c r="AI70" s="72"/>
      <c r="AJ70" s="110"/>
      <c r="AK70" s="72"/>
      <c r="AL70" s="72"/>
      <c r="AM70" s="72"/>
      <c r="AN70" s="72"/>
      <c r="AO70" s="89"/>
      <c r="AP70" s="89"/>
      <c r="AQ70" s="89"/>
      <c r="AR70" s="118"/>
      <c r="AS70" s="89"/>
      <c r="AT70" s="89"/>
      <c r="AU70" s="3"/>
      <c r="AV70" s="125">
        <v>1.5</v>
      </c>
      <c r="AW70" s="71">
        <v>3</v>
      </c>
      <c r="AX70" s="71">
        <v>6</v>
      </c>
      <c r="AY70" s="53"/>
      <c r="AZ70" s="53"/>
      <c r="BA70" s="53"/>
      <c r="BB70" s="53"/>
      <c r="BC70" s="53"/>
      <c r="BD70" s="53"/>
      <c r="BE70" s="53"/>
      <c r="BF70" s="53"/>
      <c r="BG70" s="53"/>
      <c r="BH70" s="53"/>
      <c r="BI70" s="53"/>
      <c r="BJ70" s="53"/>
      <c r="BK70" s="53"/>
      <c r="BL70" s="53"/>
      <c r="BM70" s="53"/>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3"/>
      <c r="CQ70" s="53"/>
      <c r="CR70" s="1"/>
      <c r="CS70" s="1"/>
      <c r="CT70" s="1"/>
      <c r="CU70" s="1"/>
    </row>
    <row r="71" spans="1:99" s="13" customFormat="1" ht="12" customHeight="1" x14ac:dyDescent="0.2">
      <c r="A71" s="68">
        <v>43509</v>
      </c>
      <c r="B71" s="70" t="s">
        <v>250</v>
      </c>
      <c r="C71" s="70" t="s">
        <v>33</v>
      </c>
      <c r="D71" s="69">
        <v>2010</v>
      </c>
      <c r="E71" s="87">
        <v>2</v>
      </c>
      <c r="F71" s="69">
        <v>32</v>
      </c>
      <c r="G71" s="69">
        <v>32</v>
      </c>
      <c r="H71" s="69" t="s">
        <v>38</v>
      </c>
      <c r="I71" s="69" t="s">
        <v>766</v>
      </c>
      <c r="J71" s="69" t="s">
        <v>630</v>
      </c>
      <c r="K71" s="69">
        <f>IF(J71="syllables",1,IF(J71="trigrams",2,IF(J71="strings",3,IF(J71="visual array",4,IF(J71="characters",5,IF(J71="letters",6,IF(J71="free forms",7,IF(J71="odors",8,IF(J71="words",9,IF(J71="pictures",10,IF(J71="object pictures",11,IF(J71="faces",12,IF(J71="names",13,IF(J71="idioms",14,IF(J71="grades",15,IF(J71="syllable-digit pairs",16,IF(J71="trigram-word pairs",17,IF(J71="word-digit pairs",18,IF(J71="English-Swahili pairs",19,IF(J71="spatial position",20,IF(J71="word pairs",21,IF(J71="word triads",22,IF(J71="generated words",23,IF(J71="word definition pairs",24,IF(J71="math problems",25,IF(J71="famous faces",26,IF(J71="famous names",27,IF(J71="famous voices",28,IF(J71="television programs",29,IF(J71="race horses",30,IF(J71="new vocabulary",31,IF(J71="sentences",32,IF(J71="concepts",33,IF(J71="ad slides",34,IF(J71="scenes",35,IF(J71="famous scenes",36,IF(J71="poems",37,IF(J71="walk",38,IF(J71="faces and events",39,IF(J71="events and names",40,IF(J71="flashbulb",41,IF(J71="stories",42,IF(J71="course material",43,IF(J71="autobiographical",44,IF(J71="novels",45,IF(J71="public events",46,"99"))))))))))))))))))))))))))))))))))))))))))))))</f>
        <v>6</v>
      </c>
      <c r="L71" s="69">
        <f>IF(J71="syllables",1,IF(J71="trigrams",1,IF(J71="strings",1,IF(J71="visual array",1,IF(J71="characters",1,IF(J71="letters",1,IF(J71="free forms",1,IF(J71="odors",2,IF(J71="words",2,IF(J71="pictures",2,IF(J71="object pictures",2,IF(J71="faces",2,IF(J71="names",2,IF(J71="idioms","2",IF(J71="grades",2,IF(J71="syllable-digit pairs",3,IF(J71="trigram-word pairs",3,IF(J71="word-digit pairs",3,IF(J71="English-Swahili pairs",3,IF(J71="spatial position",3,IF(J71="word pairs",4,IF(J71="word triads",4,IF(J71="generated words",4,IF(J71="word definition pairs",4,IF(J71="math problems",4,IF(J71="famous faces",4,IF(J71="famous names",4,IF(J71="famous voices",4,IF(J71="television programs",4,IF(J71="race horses",4,IF(J71="new vocabulary",4,IF(J71="sentences",5,IF(J71="concepts",5,IF(J71="ad slides",5,IF(J71="scenes",5,IF(J71="famous scenes",5,IF(J71="poems",6,IF(J71="walk",6,IF(J71="faces and events",6,IF(J71="events and names",6,IF(J71="flashbulb",7,IF(J71="stories",7,IF(J71="course material",7,IF(J71="autobiographical",7,IF(J71="novels",7,IF(J71="public events",7,"99"))))))))))))))))))))))))))))))))))))))))))))))</f>
        <v>1</v>
      </c>
      <c r="M71" s="69">
        <v>0</v>
      </c>
      <c r="N71" s="69">
        <v>1</v>
      </c>
      <c r="O71" s="69">
        <v>1</v>
      </c>
      <c r="P71" s="69" t="s">
        <v>37</v>
      </c>
      <c r="Q71" s="69" t="s">
        <v>34</v>
      </c>
      <c r="R71" s="69">
        <f>IF(Q71="Free Recall",1,IF(Q71="Cued Recall",2,IF(Q71="Recognition",3,IF(Q71="Multiple Choice",4,IF(Q71="Savings",5,IF(Q71="Stem Completion",6,IF(Q71="Fragment Completion",7,IF(Q71="anagram solution",8,IF(Q71="Matching",9,IF(Q71="Problem Solving",10,"99"))))))))))</f>
        <v>3</v>
      </c>
      <c r="S71" s="69" t="s">
        <v>15</v>
      </c>
      <c r="T71" s="92" t="s">
        <v>581</v>
      </c>
      <c r="U71" s="60">
        <f>IF(T71="within",1,0)</f>
        <v>1</v>
      </c>
      <c r="V71" s="92">
        <v>24</v>
      </c>
      <c r="W71" s="69">
        <f>F71*V71</f>
        <v>768</v>
      </c>
      <c r="X71" s="69">
        <v>3</v>
      </c>
      <c r="Y71" s="87">
        <f>AV70</f>
        <v>1.5</v>
      </c>
      <c r="Z71" s="69" t="s">
        <v>39</v>
      </c>
      <c r="AA71" s="69">
        <v>6</v>
      </c>
      <c r="AB71" s="69" t="str">
        <f>IF(AA71&lt;60,"1",IF(AA71&lt;=43200,"2",IF(AA71&lt;=777600,"3","4")))</f>
        <v>1</v>
      </c>
      <c r="AC71" s="72">
        <f>AVERAGE(AV70:DA70)</f>
        <v>3.5</v>
      </c>
      <c r="AD71" s="69" t="str">
        <f>IF(AC71&lt;60,"1",IF(AC71&lt;=43200,"2",IF(AC71&lt;=777600,"3","4")))</f>
        <v>1</v>
      </c>
      <c r="AE71" s="87">
        <f>AA71-Y71</f>
        <v>4.5</v>
      </c>
      <c r="AF71" s="88">
        <f>AV71</f>
        <v>0.74399999999999999</v>
      </c>
      <c r="AG71" s="72">
        <f>((AW71-AV71)+(AX71-AW71))/2</f>
        <v>-5.2499999999999991E-2</v>
      </c>
      <c r="AH71" s="4"/>
      <c r="AI71" s="72">
        <f>RSQ(AV71:AX71,AV70:AX70)</f>
        <v>0.99467245461720621</v>
      </c>
      <c r="AJ71" s="110">
        <f>SLOPE(AV71:AX71,AV70:AX70)</f>
        <v>-2.3666666666666662E-2</v>
      </c>
      <c r="AK71" s="72">
        <f>INTERCEPT(AV71:AX71,AV70:AX70)</f>
        <v>0.78250000000000008</v>
      </c>
      <c r="AL71" s="72">
        <f>INDEX(LINEST(LN(AV71:AX71),LN(AV70:AX70),TRUE,TRUE),3,1)</f>
        <v>0.92429320083115285</v>
      </c>
      <c r="AM71" s="72">
        <f>INDEX(LINEST(LN(AV71:AX71),LN(AV70:AX70)),1)</f>
        <v>-0.10974334508051847</v>
      </c>
      <c r="AN71" s="72">
        <f>EXP(INDEX(LINEST(LN(AV71:AX71),LN(AV70:AX70)),1,2))</f>
        <v>0.78769209640448046</v>
      </c>
      <c r="AO71" s="89">
        <f>INDEX(LINEST((AV71:AX71),LN(AV70:AX70),TRUE,TRUE),3,1)</f>
        <v>0.93232044198895037</v>
      </c>
      <c r="AP71" s="89">
        <f>INDEX(LINEST((AV71:AX71),LN(AV70:AX70)),1)</f>
        <v>-7.5741489646670559E-2</v>
      </c>
      <c r="AQ71" s="90">
        <f>INDEX(LINEST(LN(AV71:AX71),SQRT(AV70:AX70),TRUE,TRUE),3,1)</f>
        <v>0.96794530741880347</v>
      </c>
      <c r="AR71" s="117">
        <f>INDEX(LINEST(LN(AV71:AX71),SQRT((AV70:AX70))),1)</f>
        <v>-0.12649932198771541</v>
      </c>
      <c r="AS71" s="91">
        <f>INDEX(LINEST(1/(AV71:AX71),1/(SQRT(AV70:AX70)),TRUE,TRUE),3,1)</f>
        <v>0.85367642857772885</v>
      </c>
      <c r="AT71" s="91">
        <f>INDEX(LINEST(1/(AV71:AX71),1/SQRT(AV70:AX70)),1)</f>
        <v>-0.51967985864343202</v>
      </c>
      <c r="AU71" s="3"/>
      <c r="AV71" s="73">
        <v>0.74399999999999999</v>
      </c>
      <c r="AW71" s="73">
        <v>0.71599999999999997</v>
      </c>
      <c r="AX71" s="73">
        <v>0.63900000000000001</v>
      </c>
      <c r="AY71" s="53"/>
      <c r="AZ71" s="53"/>
      <c r="BA71" s="53"/>
      <c r="BB71" s="53"/>
      <c r="BC71" s="53"/>
      <c r="BD71" s="53"/>
      <c r="BE71" s="53"/>
      <c r="BF71" s="53"/>
      <c r="BG71" s="53"/>
      <c r="BH71" s="53"/>
      <c r="BI71" s="53"/>
      <c r="BJ71" s="53"/>
      <c r="BK71" s="53"/>
      <c r="BL71" s="53"/>
      <c r="BM71" s="53"/>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3"/>
      <c r="CQ71" s="53"/>
      <c r="CR71" s="1"/>
      <c r="CS71" s="1"/>
      <c r="CT71" s="1"/>
      <c r="CU71" s="1"/>
    </row>
    <row r="72" spans="1:99" s="13" customFormat="1" ht="12" customHeight="1" x14ac:dyDescent="0.2">
      <c r="A72" s="65">
        <v>43509</v>
      </c>
      <c r="B72" s="1"/>
      <c r="C72" s="1"/>
      <c r="D72" s="60"/>
      <c r="E72" s="76"/>
      <c r="F72" s="60"/>
      <c r="G72" s="60"/>
      <c r="H72" s="60"/>
      <c r="I72" s="60"/>
      <c r="J72" s="60"/>
      <c r="K72" s="64"/>
      <c r="L72" s="64"/>
      <c r="M72" s="60"/>
      <c r="N72" s="60"/>
      <c r="O72" s="60"/>
      <c r="P72" s="60"/>
      <c r="Q72" s="60"/>
      <c r="R72" s="60"/>
      <c r="S72" s="60"/>
      <c r="T72" s="60"/>
      <c r="U72" s="60"/>
      <c r="V72" s="60"/>
      <c r="W72" s="60"/>
      <c r="X72" s="60"/>
      <c r="Y72" s="76"/>
      <c r="Z72" s="60"/>
      <c r="AA72" s="60"/>
      <c r="AB72" s="60"/>
      <c r="AC72" s="60"/>
      <c r="AD72" s="60"/>
      <c r="AE72" s="60"/>
      <c r="AF72" s="80"/>
      <c r="AG72" s="56"/>
      <c r="AH72" s="4"/>
      <c r="AI72" s="56"/>
      <c r="AJ72" s="109"/>
      <c r="AK72" s="56"/>
      <c r="AL72" s="56"/>
      <c r="AM72" s="56"/>
      <c r="AN72" s="56"/>
      <c r="AO72" s="56"/>
      <c r="AP72" s="56"/>
      <c r="AQ72" s="56"/>
      <c r="AR72" s="109"/>
      <c r="AS72" s="56"/>
      <c r="AT72" s="56"/>
      <c r="AU72" s="4"/>
      <c r="AV72" s="53">
        <v>1</v>
      </c>
      <c r="AW72" s="25">
        <v>6</v>
      </c>
      <c r="AX72" s="25">
        <v>12</v>
      </c>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1"/>
      <c r="CS72" s="1"/>
      <c r="CT72" s="1"/>
      <c r="CU72" s="1"/>
    </row>
    <row r="73" spans="1:99" s="13" customFormat="1" ht="12" customHeight="1" x14ac:dyDescent="0.2">
      <c r="A73" s="65">
        <v>43509</v>
      </c>
      <c r="B73" s="1" t="s">
        <v>251</v>
      </c>
      <c r="C73" s="1" t="s">
        <v>33</v>
      </c>
      <c r="D73" s="60">
        <v>2014</v>
      </c>
      <c r="E73" s="76">
        <v>1</v>
      </c>
      <c r="F73" s="60">
        <v>16</v>
      </c>
      <c r="G73" s="60">
        <v>16</v>
      </c>
      <c r="H73" s="60" t="s">
        <v>41</v>
      </c>
      <c r="I73" s="60" t="s">
        <v>767</v>
      </c>
      <c r="J73" s="60" t="s">
        <v>764</v>
      </c>
      <c r="K73" s="60">
        <f>IF(J73="syllables",1,IF(J73="trigrams",2,IF(J73="strings",3,IF(J73="visual array",4,IF(J73="characters",5,IF(J73="letters",6,IF(J73="free forms",7,IF(J73="odors",8,IF(J73="words",9,IF(J73="pictures",10,IF(J73="object pictures",11,IF(J73="faces",12,IF(J73="names",13,IF(J73="idioms",14,IF(J73="grades",15,IF(J73="syllable-digit pairs",16,IF(J73="trigram-word pairs",17,IF(J73="word-digit pairs",18,IF(J73="English-Swahili pairs",19,IF(J73="spatial position",20,IF(J73="word pairs",21,IF(J73="word triads",22,IF(J73="generated words",23,IF(J73="word definition pairs",24,IF(J73="math problems",25,IF(J73="famous faces",26,IF(J73="famous names",27,IF(J73="famous voices",28,IF(J73="television programs",29,IF(J73="race horses",30,IF(J73="new vocabulary",31,IF(J73="sentences",32,IF(J73="concepts",33,IF(J73="ad slides",34,IF(J73="scenes",35,IF(J73="famous scenes",36,IF(J73="poems",37,IF(J73="walk",38,IF(J73="faces and events",39,IF(J73="events and names",40,IF(J73="flashbulb",41,IF(J73="stories",42,IF(J73="course material",43,IF(J73="autobiographical",44,IF(J73="novels",45,IF(J73="public events",46,"99"))))))))))))))))))))))))))))))))))))))))))))))</f>
        <v>4</v>
      </c>
      <c r="L73" s="60">
        <f>IF(J73="syllables",1,IF(J73="trigrams",1,IF(J73="strings",1,IF(J73="visual array",1,IF(J73="characters",1,IF(J73="letters",1,IF(J73="free forms",1,IF(J73="odors",2,IF(J73="words",2,IF(J73="pictures",2,IF(J73="object pictures",2,IF(J73="faces",2,IF(J73="names",2,IF(J73="idioms","2",IF(J73="grades",2,IF(J73="syllable-digit pairs",3,IF(J73="trigram-word pairs",3,IF(J73="word-digit pairs",3,IF(J73="English-Swahili pairs",3,IF(J73="spatial position",3,IF(J73="word pairs",4,IF(J73="word triads",4,IF(J73="generated words",4,IF(J73="word definition pairs",4,IF(J73="math problems",4,IF(J73="famous faces",4,IF(J73="famous names",4,IF(J73="famous voices",4,IF(J73="television programs",4,IF(J73="race horses",4,IF(J73="new vocabulary",4,IF(J73="sentences",5,IF(J73="concepts",5,IF(J73="ad slides",5,IF(J73="scenes",5,IF(J73="famous scenes",5,IF(J73="poems",6,IF(J73="walk",6,IF(J73="faces and events",6,IF(J73="events and names",6,IF(J73="flashbulb",7,IF(J73="stories",7,IF(J73="course material",7,IF(J73="autobiographical",7,IF(J73="novels",7,IF(J73="public events",7,"99"))))))))))))))))))))))))))))))))))))))))))))))</f>
        <v>1</v>
      </c>
      <c r="M73" s="60">
        <v>0</v>
      </c>
      <c r="N73" s="60"/>
      <c r="O73" s="60"/>
      <c r="P73" s="60"/>
      <c r="Q73" s="60" t="s">
        <v>34</v>
      </c>
      <c r="R73" s="60">
        <f>IF(Q73="Free Recall",1,IF(Q73="Cued Recall",2,IF(Q73="Recognition",3,IF(Q73="Multiple Choice",4,IF(Q73="Savings",5,IF(Q73="Stem Completion",6,IF(Q73="Fragment Completion",7,IF(Q73="anagram solution",8,IF(Q73="Matching",9,IF(Q73="Problem Solving",10,"99"))))))))))</f>
        <v>3</v>
      </c>
      <c r="S73" s="60" t="s">
        <v>40</v>
      </c>
      <c r="T73" s="59" t="s">
        <v>581</v>
      </c>
      <c r="U73" s="60">
        <f>IF(T73="within",1,0)</f>
        <v>1</v>
      </c>
      <c r="V73" s="59">
        <v>108</v>
      </c>
      <c r="W73" s="60">
        <f>F73*V73</f>
        <v>1728</v>
      </c>
      <c r="X73" s="60">
        <v>3</v>
      </c>
      <c r="Y73" s="76">
        <f>AV72</f>
        <v>1</v>
      </c>
      <c r="Z73" s="60" t="s">
        <v>42</v>
      </c>
      <c r="AA73" s="60">
        <v>12</v>
      </c>
      <c r="AB73" s="60" t="str">
        <f>IF(AA73&lt;60,"1",IF(AA73&lt;=43200,"2",IF(AA73&lt;=777600,"3","4")))</f>
        <v>1</v>
      </c>
      <c r="AC73" s="56">
        <f>AVERAGE(AV72:DA72)</f>
        <v>6.333333333333333</v>
      </c>
      <c r="AD73" s="60" t="str">
        <f>IF(AC73&lt;60,"1",IF(AC73&lt;=43200,"2",IF(AC73&lt;=777600,"3","4")))</f>
        <v>1</v>
      </c>
      <c r="AE73" s="76">
        <f>AA73-Y73</f>
        <v>11</v>
      </c>
      <c r="AF73" s="80">
        <f>AV73</f>
        <v>0.85599999999999998</v>
      </c>
      <c r="AG73" s="56">
        <f>((AW73-AV73)+(AX73-AW73))/2</f>
        <v>-2.1500000000000019E-2</v>
      </c>
      <c r="AH73" s="4"/>
      <c r="AI73" s="56">
        <f>RSQ(AV73:AX73,AV72:AX72)</f>
        <v>0.77705873571201367</v>
      </c>
      <c r="AJ73" s="109">
        <f>SLOPE(AV73:AX73,AV72:AX72)</f>
        <v>-3.8021978021978049E-3</v>
      </c>
      <c r="AK73" s="56">
        <f>INTERCEPT(AV73:AX73,AV72:AX72)</f>
        <v>0.8527472527472526</v>
      </c>
      <c r="AL73" s="56">
        <f>INDEX(LINEST(LN(AV73:AX73),LN(AV72:AX72),TRUE,TRUE),3,1)</f>
        <v>0.96532587566803452</v>
      </c>
      <c r="AM73" s="56">
        <f>INDEX(LINEST(LN(AV73:AX73),LN(AV72:AX72)),1)</f>
        <v>-2.1795320311497328E-2</v>
      </c>
      <c r="AN73" s="56">
        <f>EXP(INDEX(LINEST(LN(AV73:AX73),LN(AV72:AX72)),1,2))</f>
        <v>0.85458613247531845</v>
      </c>
      <c r="AO73" s="82">
        <f>INDEX(LINEST((AV73:AX73),LN(AV72:AX72),TRUE,TRUE),3,1)</f>
        <v>0.96455802371067456</v>
      </c>
      <c r="AP73" s="82">
        <f>INDEX(LINEST((AV73:AX73),LN(AV72:AX72)),1)</f>
        <v>-1.8194727296521093E-2</v>
      </c>
      <c r="AQ73" s="83">
        <f>INDEX(LINEST(LN(AV73:AX73),SQRT(AV72:AX72),TRUE,TRUE),3,1)</f>
        <v>0.89148954039786998</v>
      </c>
      <c r="AR73" s="116">
        <f>INDEX(LINEST(LN(AV73:AX73),SQRT((AV72:AX72))),1)</f>
        <v>-2.1686995655371074E-2</v>
      </c>
      <c r="AS73" s="84">
        <f>INDEX(LINEST(1/(AV73:AX73),1/(SQRT(AV72:AX72)),TRUE,TRUE),3,1)</f>
        <v>0.9952300194353475</v>
      </c>
      <c r="AT73" s="84">
        <f>INDEX(LINEST(1/(AV73:AX73),1/SQRT(AV72:AX72)),1)</f>
        <v>-8.9230759617749691E-2</v>
      </c>
      <c r="AU73" s="3"/>
      <c r="AV73" s="53">
        <v>0.85599999999999998</v>
      </c>
      <c r="AW73" s="53">
        <v>0.81699999999999995</v>
      </c>
      <c r="AX73" s="53">
        <v>0.81299999999999994</v>
      </c>
      <c r="AY73" s="53"/>
      <c r="AZ73" s="53"/>
      <c r="BA73" s="53"/>
      <c r="BB73" s="53"/>
      <c r="BC73" s="53"/>
      <c r="BD73" s="53"/>
      <c r="BE73" s="53"/>
      <c r="BF73" s="53"/>
      <c r="BG73" s="53"/>
      <c r="BH73" s="53"/>
      <c r="BI73" s="53"/>
      <c r="BJ73" s="53"/>
      <c r="BK73" s="53"/>
      <c r="BL73" s="53"/>
      <c r="BM73" s="53"/>
      <c r="BN73" s="53"/>
      <c r="BO73" s="53"/>
      <c r="BP73" s="53"/>
      <c r="BQ73" s="53"/>
      <c r="BR73" s="53"/>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3"/>
      <c r="CQ73" s="53"/>
      <c r="CR73" s="1"/>
      <c r="CS73" s="1"/>
      <c r="CT73" s="1"/>
      <c r="CU73" s="1"/>
    </row>
    <row r="74" spans="1:99" s="13" customFormat="1" ht="12" customHeight="1" x14ac:dyDescent="0.2">
      <c r="A74" s="65">
        <v>43509</v>
      </c>
      <c r="B74" s="1"/>
      <c r="C74" s="1"/>
      <c r="D74" s="60"/>
      <c r="E74" s="76"/>
      <c r="F74" s="60"/>
      <c r="G74" s="60"/>
      <c r="H74" s="60"/>
      <c r="I74" s="60"/>
      <c r="J74" s="60"/>
      <c r="K74" s="64"/>
      <c r="L74" s="64"/>
      <c r="M74" s="60"/>
      <c r="N74" s="60"/>
      <c r="O74" s="60"/>
      <c r="P74" s="60"/>
      <c r="Q74" s="60"/>
      <c r="R74" s="60"/>
      <c r="S74" s="60"/>
      <c r="T74" s="60"/>
      <c r="U74" s="60"/>
      <c r="V74" s="60"/>
      <c r="W74" s="60"/>
      <c r="X74" s="60"/>
      <c r="Y74" s="76"/>
      <c r="Z74" s="60"/>
      <c r="AA74" s="60"/>
      <c r="AB74" s="60"/>
      <c r="AC74" s="60"/>
      <c r="AD74" s="60"/>
      <c r="AE74" s="60"/>
      <c r="AF74" s="80"/>
      <c r="AG74" s="56"/>
      <c r="AH74" s="4"/>
      <c r="AI74" s="56"/>
      <c r="AJ74" s="109"/>
      <c r="AK74" s="56"/>
      <c r="AL74" s="56"/>
      <c r="AM74" s="56"/>
      <c r="AN74" s="56"/>
      <c r="AO74" s="82"/>
      <c r="AP74" s="82"/>
      <c r="AQ74" s="82"/>
      <c r="AR74" s="115"/>
      <c r="AS74" s="82"/>
      <c r="AT74" s="82"/>
      <c r="AU74" s="3"/>
      <c r="AV74" s="25">
        <v>1</v>
      </c>
      <c r="AW74" s="25">
        <v>6</v>
      </c>
      <c r="AX74" s="25">
        <v>12</v>
      </c>
      <c r="AY74" s="53"/>
      <c r="AZ74" s="53"/>
      <c r="BA74" s="53"/>
      <c r="BB74" s="53"/>
      <c r="BC74" s="53"/>
      <c r="BD74" s="53"/>
      <c r="BE74" s="53"/>
      <c r="BF74" s="53"/>
      <c r="BG74" s="53"/>
      <c r="BH74" s="53"/>
      <c r="BI74" s="53"/>
      <c r="BJ74" s="53"/>
      <c r="BK74" s="53"/>
      <c r="BL74" s="53"/>
      <c r="BM74" s="53"/>
      <c r="BN74" s="53"/>
      <c r="BO74" s="53"/>
      <c r="BP74" s="53"/>
      <c r="BQ74" s="53"/>
      <c r="BR74" s="53"/>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3"/>
      <c r="CQ74" s="53"/>
      <c r="CR74" s="1"/>
      <c r="CS74" s="1"/>
      <c r="CT74" s="1"/>
      <c r="CU74" s="1"/>
    </row>
    <row r="75" spans="1:99" s="13" customFormat="1" ht="12" customHeight="1" x14ac:dyDescent="0.2">
      <c r="A75" s="65">
        <v>43509</v>
      </c>
      <c r="B75" s="1" t="s">
        <v>251</v>
      </c>
      <c r="C75" s="1" t="s">
        <v>33</v>
      </c>
      <c r="D75" s="60">
        <v>2014</v>
      </c>
      <c r="E75" s="76">
        <v>1</v>
      </c>
      <c r="F75" s="60">
        <v>16</v>
      </c>
      <c r="G75" s="60">
        <v>16</v>
      </c>
      <c r="H75" s="60" t="s">
        <v>41</v>
      </c>
      <c r="I75" s="60" t="s">
        <v>768</v>
      </c>
      <c r="J75" s="60" t="s">
        <v>764</v>
      </c>
      <c r="K75" s="60">
        <f>IF(J75="syllables",1,IF(J75="trigrams",2,IF(J75="strings",3,IF(J75="visual array",4,IF(J75="characters",5,IF(J75="letters",6,IF(J75="free forms",7,IF(J75="odors",8,IF(J75="words",9,IF(J75="pictures",10,IF(J75="object pictures",11,IF(J75="faces",12,IF(J75="names",13,IF(J75="idioms",14,IF(J75="grades",15,IF(J75="syllable-digit pairs",16,IF(J75="trigram-word pairs",17,IF(J75="word-digit pairs",18,IF(J75="English-Swahili pairs",19,IF(J75="spatial position",20,IF(J75="word pairs",21,IF(J75="word triads",22,IF(J75="generated words",23,IF(J75="word definition pairs",24,IF(J75="math problems",25,IF(J75="famous faces",26,IF(J75="famous names",27,IF(J75="famous voices",28,IF(J75="television programs",29,IF(J75="race horses",30,IF(J75="new vocabulary",31,IF(J75="sentences",32,IF(J75="concepts",33,IF(J75="ad slides",34,IF(J75="scenes",35,IF(J75="famous scenes",36,IF(J75="poems",37,IF(J75="walk",38,IF(J75="faces and events",39,IF(J75="events and names",40,IF(J75="flashbulb",41,IF(J75="stories",42,IF(J75="course material",43,IF(J75="autobiographical",44,IF(J75="novels",45,IF(J75="public events",46,"99"))))))))))))))))))))))))))))))))))))))))))))))</f>
        <v>4</v>
      </c>
      <c r="L75" s="60">
        <f>IF(J75="syllables",1,IF(J75="trigrams",1,IF(J75="strings",1,IF(J75="visual array",1,IF(J75="characters",1,IF(J75="letters",1,IF(J75="free forms",1,IF(J75="odors",2,IF(J75="words",2,IF(J75="pictures",2,IF(J75="object pictures",2,IF(J75="faces",2,IF(J75="names",2,IF(J75="idioms","2",IF(J75="grades",2,IF(J75="syllable-digit pairs",3,IF(J75="trigram-word pairs",3,IF(J75="word-digit pairs",3,IF(J75="English-Swahili pairs",3,IF(J75="spatial position",3,IF(J75="word pairs",4,IF(J75="word triads",4,IF(J75="generated words",4,IF(J75="word definition pairs",4,IF(J75="math problems",4,IF(J75="famous faces",4,IF(J75="famous names",4,IF(J75="famous voices",4,IF(J75="television programs",4,IF(J75="race horses",4,IF(J75="new vocabulary",4,IF(J75="sentences",5,IF(J75="concepts",5,IF(J75="ad slides",5,IF(J75="scenes",5,IF(J75="famous scenes",5,IF(J75="poems",6,IF(J75="walk",6,IF(J75="faces and events",6,IF(J75="events and names",6,IF(J75="flashbulb",7,IF(J75="stories",7,IF(J75="course material",7,IF(J75="autobiographical",7,IF(J75="novels",7,IF(J75="public events",7,"99"))))))))))))))))))))))))))))))))))))))))))))))</f>
        <v>1</v>
      </c>
      <c r="M75" s="60">
        <v>0</v>
      </c>
      <c r="N75" s="60"/>
      <c r="O75" s="60"/>
      <c r="P75" s="60"/>
      <c r="Q75" s="60" t="s">
        <v>34</v>
      </c>
      <c r="R75" s="60">
        <f>IF(Q75="Free Recall",1,IF(Q75="Cued Recall",2,IF(Q75="Recognition",3,IF(Q75="Multiple Choice",4,IF(Q75="Savings",5,IF(Q75="Stem Completion",6,IF(Q75="Fragment Completion",7,IF(Q75="anagram solution",8,IF(Q75="Matching",9,IF(Q75="Problem Solving",10,"99"))))))))))</f>
        <v>3</v>
      </c>
      <c r="S75" s="60" t="s">
        <v>40</v>
      </c>
      <c r="T75" s="59" t="s">
        <v>581</v>
      </c>
      <c r="U75" s="60">
        <f>IF(T75="within",1,0)</f>
        <v>1</v>
      </c>
      <c r="V75" s="59">
        <v>108</v>
      </c>
      <c r="W75" s="60">
        <f>F75*V75</f>
        <v>1728</v>
      </c>
      <c r="X75" s="60">
        <v>3</v>
      </c>
      <c r="Y75" s="76">
        <f>AV74</f>
        <v>1</v>
      </c>
      <c r="Z75" s="60" t="s">
        <v>42</v>
      </c>
      <c r="AA75" s="60">
        <v>12</v>
      </c>
      <c r="AB75" s="60" t="str">
        <f>IF(AA75&lt;60,"1",IF(AA75&lt;=43200,"2",IF(AA75&lt;=777600,"3","4")))</f>
        <v>1</v>
      </c>
      <c r="AC75" s="56">
        <f>AVERAGE(AV74:DA74)</f>
        <v>6.333333333333333</v>
      </c>
      <c r="AD75" s="60" t="str">
        <f>IF(AC75&lt;60,"1",IF(AC75&lt;=43200,"2",IF(AC75&lt;=777600,"3","4")))</f>
        <v>1</v>
      </c>
      <c r="AE75" s="76">
        <f>AA75-Y75</f>
        <v>11</v>
      </c>
      <c r="AF75" s="80">
        <f>AV75</f>
        <v>0.84899999999999998</v>
      </c>
      <c r="AG75" s="56">
        <f>((AW75-AV75)+(AX75-AW75))/2</f>
        <v>-4.4499999999999984E-2</v>
      </c>
      <c r="AH75" s="4"/>
      <c r="AI75" s="56">
        <f>RSQ(AV75:AX75,AV74:AX74)</f>
        <v>0.47132350590430461</v>
      </c>
      <c r="AJ75" s="109">
        <f>SLOPE(AV75:AX75,AV74:AX74)</f>
        <v>-7.6648351648351621E-3</v>
      </c>
      <c r="AK75" s="56">
        <f>INTERCEPT(AV75:AX75,AV74:AX74)</f>
        <v>0.82854395604395592</v>
      </c>
      <c r="AL75" s="56">
        <f>INDEX(LINEST(LN(AV75:AX75),LN(AV74:AX74),TRUE,TRUE),3,1)</f>
        <v>0.74712266833455454</v>
      </c>
      <c r="AM75" s="56">
        <f>INDEX(LINEST(LN(AV75:AX75),LN(AV74:AX74)),1)</f>
        <v>-5.2337604154915944E-2</v>
      </c>
      <c r="AN75" s="56">
        <f>EXP(INDEX(LINEST(LN(AV75:AX75),LN(AV74:AX74)),1,2))</f>
        <v>0.83871742160428009</v>
      </c>
      <c r="AO75" s="82">
        <f>INDEX(LINEST((AV75:AX75),LN(AV74:AX74),TRUE,TRUE),3,1)</f>
        <v>0.76020383611185549</v>
      </c>
      <c r="AP75" s="82">
        <f>INDEX(LINEST((AV75:AX75),LN(AV74:AX74)),1)</f>
        <v>-4.1810165542168105E-2</v>
      </c>
      <c r="AQ75" s="83">
        <f>INDEX(LINEST(LN(AV75:AX75),SQRT(AV74:AX74),TRUE,TRUE),3,1)</f>
        <v>0.6092207528759449</v>
      </c>
      <c r="AR75" s="116">
        <f>INDEX(LINEST(LN(AV75:AX75),SQRT((AV74:AX74))),1)</f>
        <v>-4.8935069587966555E-2</v>
      </c>
      <c r="AS75" s="84">
        <f>INDEX(LINEST(1/(AV75:AX75),1/(SQRT(AV74:AX74)),TRUE,TRUE),3,1)</f>
        <v>0.82883691032559426</v>
      </c>
      <c r="AT75" s="84">
        <f>INDEX(LINEST(1/(AV75:AX75),1/SQRT(AV74:AX74)),1)</f>
        <v>-0.23480360733685793</v>
      </c>
      <c r="AU75" s="3"/>
      <c r="AV75" s="53">
        <v>0.84899999999999998</v>
      </c>
      <c r="AW75" s="53">
        <v>0.73099999999999998</v>
      </c>
      <c r="AX75" s="53">
        <v>0.76</v>
      </c>
      <c r="AY75" s="53"/>
      <c r="AZ75" s="53"/>
      <c r="BA75" s="53"/>
      <c r="BB75" s="53"/>
      <c r="BC75" s="53"/>
      <c r="BD75" s="53"/>
      <c r="BE75" s="53"/>
      <c r="BF75" s="53"/>
      <c r="BG75" s="53"/>
      <c r="BH75" s="53"/>
      <c r="BI75" s="53"/>
      <c r="BJ75" s="53"/>
      <c r="BK75" s="53"/>
      <c r="BL75" s="53"/>
      <c r="BM75" s="53"/>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1"/>
      <c r="CS75" s="1"/>
      <c r="CT75" s="1"/>
      <c r="CU75" s="1"/>
    </row>
    <row r="76" spans="1:99" s="13" customFormat="1" ht="12" customHeight="1" x14ac:dyDescent="0.2">
      <c r="A76" s="65">
        <v>43509</v>
      </c>
      <c r="B76" s="1"/>
      <c r="C76" s="1"/>
      <c r="D76" s="60"/>
      <c r="E76" s="76"/>
      <c r="F76" s="60"/>
      <c r="G76" s="60"/>
      <c r="H76" s="60"/>
      <c r="I76" s="60"/>
      <c r="J76" s="60"/>
      <c r="K76" s="64"/>
      <c r="L76" s="64"/>
      <c r="M76" s="60"/>
      <c r="N76" s="60"/>
      <c r="O76" s="60"/>
      <c r="P76" s="60"/>
      <c r="Q76" s="60"/>
      <c r="R76" s="60"/>
      <c r="S76" s="60"/>
      <c r="T76" s="60"/>
      <c r="U76" s="60"/>
      <c r="V76" s="60"/>
      <c r="W76" s="60"/>
      <c r="X76" s="60"/>
      <c r="Y76" s="76"/>
      <c r="Z76" s="60"/>
      <c r="AA76" s="60"/>
      <c r="AB76" s="60"/>
      <c r="AC76" s="60"/>
      <c r="AD76" s="60"/>
      <c r="AE76" s="60"/>
      <c r="AF76" s="80"/>
      <c r="AG76" s="56"/>
      <c r="AH76" s="4"/>
      <c r="AI76" s="56"/>
      <c r="AJ76" s="109"/>
      <c r="AK76" s="56"/>
      <c r="AL76" s="56"/>
      <c r="AM76" s="56"/>
      <c r="AN76" s="56"/>
      <c r="AO76" s="82"/>
      <c r="AP76" s="82"/>
      <c r="AQ76" s="82"/>
      <c r="AR76" s="115"/>
      <c r="AS76" s="82"/>
      <c r="AT76" s="82"/>
      <c r="AU76" s="3"/>
      <c r="AV76" s="25">
        <v>1</v>
      </c>
      <c r="AW76" s="25">
        <v>6</v>
      </c>
      <c r="AX76" s="25">
        <v>12</v>
      </c>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1"/>
      <c r="CS76" s="1"/>
      <c r="CT76" s="1"/>
      <c r="CU76" s="1"/>
    </row>
    <row r="77" spans="1:99" s="13" customFormat="1" ht="12" customHeight="1" x14ac:dyDescent="0.2">
      <c r="A77" s="65">
        <v>43509</v>
      </c>
      <c r="B77" s="1" t="s">
        <v>251</v>
      </c>
      <c r="C77" s="1" t="s">
        <v>33</v>
      </c>
      <c r="D77" s="60">
        <v>2014</v>
      </c>
      <c r="E77" s="76">
        <v>2</v>
      </c>
      <c r="F77" s="60">
        <v>18</v>
      </c>
      <c r="G77" s="60">
        <v>18</v>
      </c>
      <c r="H77" s="60" t="s">
        <v>43</v>
      </c>
      <c r="I77" s="60" t="s">
        <v>767</v>
      </c>
      <c r="J77" s="60" t="s">
        <v>764</v>
      </c>
      <c r="K77" s="60">
        <f>IF(J77="syllables",1,IF(J77="trigrams",2,IF(J77="strings",3,IF(J77="visual array",4,IF(J77="characters",5,IF(J77="letters",6,IF(J77="free forms",7,IF(J77="odors",8,IF(J77="words",9,IF(J77="pictures",10,IF(J77="object pictures",11,IF(J77="faces",12,IF(J77="names",13,IF(J77="idioms",14,IF(J77="grades",15,IF(J77="syllable-digit pairs",16,IF(J77="trigram-word pairs",17,IF(J77="word-digit pairs",18,IF(J77="English-Swahili pairs",19,IF(J77="spatial position",20,IF(J77="word pairs",21,IF(J77="word triads",22,IF(J77="generated words",23,IF(J77="word definition pairs",24,IF(J77="math problems",25,IF(J77="famous faces",26,IF(J77="famous names",27,IF(J77="famous voices",28,IF(J77="television programs",29,IF(J77="race horses",30,IF(J77="new vocabulary",31,IF(J77="sentences",32,IF(J77="concepts",33,IF(J77="ad slides",34,IF(J77="scenes",35,IF(J77="famous scenes",36,IF(J77="poems",37,IF(J77="walk",38,IF(J77="faces and events",39,IF(J77="events and names",40,IF(J77="flashbulb",41,IF(J77="stories",42,IF(J77="course material",43,IF(J77="autobiographical",44,IF(J77="novels",45,IF(J77="public events",46,"99"))))))))))))))))))))))))))))))))))))))))))))))</f>
        <v>4</v>
      </c>
      <c r="L77" s="60">
        <f>IF(J77="syllables",1,IF(J77="trigrams",1,IF(J77="strings",1,IF(J77="visual array",1,IF(J77="characters",1,IF(J77="letters",1,IF(J77="free forms",1,IF(J77="odors",2,IF(J77="words",2,IF(J77="pictures",2,IF(J77="object pictures",2,IF(J77="faces",2,IF(J77="names",2,IF(J77="idioms","2",IF(J77="grades",2,IF(J77="syllable-digit pairs",3,IF(J77="trigram-word pairs",3,IF(J77="word-digit pairs",3,IF(J77="English-Swahili pairs",3,IF(J77="spatial position",3,IF(J77="word pairs",4,IF(J77="word triads",4,IF(J77="generated words",4,IF(J77="word definition pairs",4,IF(J77="math problems",4,IF(J77="famous faces",4,IF(J77="famous names",4,IF(J77="famous voices",4,IF(J77="television programs",4,IF(J77="race horses",4,IF(J77="new vocabulary",4,IF(J77="sentences",5,IF(J77="concepts",5,IF(J77="ad slides",5,IF(J77="scenes",5,IF(J77="famous scenes",5,IF(J77="poems",6,IF(J77="walk",6,IF(J77="faces and events",6,IF(J77="events and names",6,IF(J77="flashbulb",7,IF(J77="stories",7,IF(J77="course material",7,IF(J77="autobiographical",7,IF(J77="novels",7,IF(J77="public events",7,"99"))))))))))))))))))))))))))))))))))))))))))))))</f>
        <v>1</v>
      </c>
      <c r="M77" s="60">
        <v>0</v>
      </c>
      <c r="N77" s="60"/>
      <c r="O77" s="60"/>
      <c r="P77" s="60"/>
      <c r="Q77" s="60" t="s">
        <v>34</v>
      </c>
      <c r="R77" s="60">
        <f>IF(Q77="Free Recall",1,IF(Q77="Cued Recall",2,IF(Q77="Recognition",3,IF(Q77="Multiple Choice",4,IF(Q77="Savings",5,IF(Q77="Stem Completion",6,IF(Q77="Fragment Completion",7,IF(Q77="anagram solution",8,IF(Q77="Matching",9,IF(Q77="Problem Solving",10,"99"))))))))))</f>
        <v>3</v>
      </c>
      <c r="S77" s="60" t="s">
        <v>40</v>
      </c>
      <c r="T77" s="59" t="s">
        <v>581</v>
      </c>
      <c r="U77" s="60">
        <f>IF(T77="within",1,0)</f>
        <v>1</v>
      </c>
      <c r="V77" s="59">
        <v>108</v>
      </c>
      <c r="W77" s="60">
        <f>F77*V77</f>
        <v>1944</v>
      </c>
      <c r="X77" s="60">
        <v>3</v>
      </c>
      <c r="Y77" s="76">
        <f>AV76</f>
        <v>1</v>
      </c>
      <c r="Z77" s="60" t="s">
        <v>42</v>
      </c>
      <c r="AA77" s="60">
        <v>12</v>
      </c>
      <c r="AB77" s="60" t="str">
        <f>IF(AA77&lt;60,"1",IF(AA77&lt;=43200,"2",IF(AA77&lt;=777600,"3","4")))</f>
        <v>1</v>
      </c>
      <c r="AC77" s="56">
        <f>AVERAGE(AV76:DA76)</f>
        <v>6.333333333333333</v>
      </c>
      <c r="AD77" s="60" t="str">
        <f>IF(AC77&lt;60,"1",IF(AC77&lt;=43200,"2",IF(AC77&lt;=777600,"3","4")))</f>
        <v>1</v>
      </c>
      <c r="AE77" s="76">
        <f>AA77-Y77</f>
        <v>11</v>
      </c>
      <c r="AF77" s="80">
        <f>AV77</f>
        <v>0.78700000000000003</v>
      </c>
      <c r="AG77" s="56">
        <f>((AW77-AV77)+(AX77-AW77))/2</f>
        <v>-2.1500000000000019E-2</v>
      </c>
      <c r="AH77" s="4"/>
      <c r="AI77" s="56">
        <f>RSQ(AV77:AX77,AV76:AX76)</f>
        <v>0.54665349755984194</v>
      </c>
      <c r="AJ77" s="109">
        <f>SLOPE(AV77:AX77,AV76:AX76)</f>
        <v>-3.7307692307692337E-3</v>
      </c>
      <c r="AK77" s="56">
        <f>INTERCEPT(AV77:AX77,AV76:AX76)</f>
        <v>0.77896153846153848</v>
      </c>
      <c r="AL77" s="56">
        <f>INDEX(LINEST(LN(AV77:AX77),LN(AV76:AX76),TRUE,TRUE),3,1)</f>
        <v>0.81753572526357865</v>
      </c>
      <c r="AM77" s="56">
        <f>INDEX(LINEST(LN(AV77:AX77),LN(AV76:AX76)),1)</f>
        <v>-2.5711993139676571E-2</v>
      </c>
      <c r="AN77" s="56">
        <f>EXP(INDEX(LINEST(LN(AV77:AX77),LN(AV76:AX76)),1,2))</f>
        <v>0.78318358396777354</v>
      </c>
      <c r="AO77" s="82">
        <f>INDEX(LINEST((AV77:AX77),LN(AV76:AX76),TRUE,TRUE),3,1)</f>
        <v>0.82140299399756234</v>
      </c>
      <c r="AP77" s="82">
        <f>INDEX(LINEST((AV77:AX77),LN(AV76:AX76)),1)</f>
        <v>-1.9642377362645288E-2</v>
      </c>
      <c r="AQ77" s="83">
        <f>INDEX(LINEST(LN(AV77:AX77),SQRT(AV76:AX76),TRUE,TRUE),3,1)</f>
        <v>0.69071909821668442</v>
      </c>
      <c r="AR77" s="116">
        <f>INDEX(LINEST(LN(AV77:AX77),SQRT((AV76:AX76))),1)</f>
        <v>-2.4470795634764102E-2</v>
      </c>
      <c r="AS77" s="84">
        <f>INDEX(LINEST(1/(AV77:AX77),1/(SQRT(AV76:AX76)),TRUE,TRUE),3,1)</f>
        <v>0.89474686421592331</v>
      </c>
      <c r="AT77" s="84">
        <f>INDEX(LINEST(1/(AV77:AX77),1/SQRT(AV76:AX76)),1)</f>
        <v>-0.11886544584457649</v>
      </c>
      <c r="AU77" s="3"/>
      <c r="AV77" s="53">
        <v>0.78700000000000003</v>
      </c>
      <c r="AW77" s="53">
        <v>0.73499999999999999</v>
      </c>
      <c r="AX77" s="53">
        <v>0.74399999999999999</v>
      </c>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1"/>
      <c r="CS77" s="1"/>
      <c r="CT77" s="1"/>
      <c r="CU77" s="1"/>
    </row>
    <row r="78" spans="1:99" s="13" customFormat="1" ht="12" customHeight="1" x14ac:dyDescent="0.2">
      <c r="A78" s="65">
        <v>43509</v>
      </c>
      <c r="B78" s="1"/>
      <c r="C78" s="1"/>
      <c r="D78" s="60"/>
      <c r="E78" s="76"/>
      <c r="F78" s="60"/>
      <c r="G78" s="60"/>
      <c r="H78" s="60"/>
      <c r="I78" s="60"/>
      <c r="J78" s="60"/>
      <c r="K78" s="64"/>
      <c r="L78" s="64"/>
      <c r="M78" s="60"/>
      <c r="N78" s="60"/>
      <c r="O78" s="60"/>
      <c r="P78" s="60"/>
      <c r="Q78" s="60"/>
      <c r="R78" s="60"/>
      <c r="S78" s="60"/>
      <c r="T78" s="60"/>
      <c r="U78" s="60"/>
      <c r="V78" s="60"/>
      <c r="W78" s="60"/>
      <c r="X78" s="60"/>
      <c r="Y78" s="76"/>
      <c r="Z78" s="60"/>
      <c r="AA78" s="60"/>
      <c r="AB78" s="60"/>
      <c r="AC78" s="60"/>
      <c r="AD78" s="60"/>
      <c r="AE78" s="60"/>
      <c r="AF78" s="80"/>
      <c r="AG78" s="56"/>
      <c r="AH78" s="4"/>
      <c r="AI78" s="56"/>
      <c r="AJ78" s="109"/>
      <c r="AK78" s="56"/>
      <c r="AL78" s="56"/>
      <c r="AM78" s="56"/>
      <c r="AN78" s="56"/>
      <c r="AO78" s="82"/>
      <c r="AP78" s="82"/>
      <c r="AQ78" s="82"/>
      <c r="AR78" s="115"/>
      <c r="AS78" s="82"/>
      <c r="AT78" s="82"/>
      <c r="AU78" s="3"/>
      <c r="AV78" s="25">
        <v>1</v>
      </c>
      <c r="AW78" s="25">
        <v>6</v>
      </c>
      <c r="AX78" s="25">
        <v>12</v>
      </c>
      <c r="AY78" s="53"/>
      <c r="AZ78" s="53"/>
      <c r="BA78" s="53"/>
      <c r="BB78" s="53"/>
      <c r="BC78" s="53"/>
      <c r="BD78" s="53"/>
      <c r="BE78" s="53"/>
      <c r="BF78" s="53"/>
      <c r="BG78" s="53"/>
      <c r="BH78" s="53"/>
      <c r="BI78" s="53"/>
      <c r="BJ78" s="53"/>
      <c r="BK78" s="53"/>
      <c r="BL78" s="53"/>
      <c r="BM78" s="53"/>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1"/>
      <c r="CS78" s="1"/>
      <c r="CT78" s="1"/>
      <c r="CU78" s="1"/>
    </row>
    <row r="79" spans="1:99" s="13" customFormat="1" ht="12" customHeight="1" x14ac:dyDescent="0.2">
      <c r="A79" s="65">
        <v>43509</v>
      </c>
      <c r="B79" s="1" t="s">
        <v>251</v>
      </c>
      <c r="C79" s="1" t="s">
        <v>33</v>
      </c>
      <c r="D79" s="60">
        <v>2014</v>
      </c>
      <c r="E79" s="76">
        <v>2</v>
      </c>
      <c r="F79" s="60">
        <v>18</v>
      </c>
      <c r="G79" s="60">
        <v>18</v>
      </c>
      <c r="H79" s="60" t="s">
        <v>43</v>
      </c>
      <c r="I79" s="60" t="s">
        <v>768</v>
      </c>
      <c r="J79" s="60" t="s">
        <v>764</v>
      </c>
      <c r="K79" s="60">
        <f>IF(J79="syllables",1,IF(J79="trigrams",2,IF(J79="strings",3,IF(J79="visual array",4,IF(J79="characters",5,IF(J79="letters",6,IF(J79="free forms",7,IF(J79="odors",8,IF(J79="words",9,IF(J79="pictures",10,IF(J79="object pictures",11,IF(J79="faces",12,IF(J79="names",13,IF(J79="idioms",14,IF(J79="grades",15,IF(J79="syllable-digit pairs",16,IF(J79="trigram-word pairs",17,IF(J79="word-digit pairs",18,IF(J79="English-Swahili pairs",19,IF(J79="spatial position",20,IF(J79="word pairs",21,IF(J79="word triads",22,IF(J79="generated words",23,IF(J79="word definition pairs",24,IF(J79="math problems",25,IF(J79="famous faces",26,IF(J79="famous names",27,IF(J79="famous voices",28,IF(J79="television programs",29,IF(J79="race horses",30,IF(J79="new vocabulary",31,IF(J79="sentences",32,IF(J79="concepts",33,IF(J79="ad slides",34,IF(J79="scenes",35,IF(J79="famous scenes",36,IF(J79="poems",37,IF(J79="walk",38,IF(J79="faces and events",39,IF(J79="events and names",40,IF(J79="flashbulb",41,IF(J79="stories",42,IF(J79="course material",43,IF(J79="autobiographical",44,IF(J79="novels",45,IF(J79="public events",46,"99"))))))))))))))))))))))))))))))))))))))))))))))</f>
        <v>4</v>
      </c>
      <c r="L79" s="60">
        <f>IF(J79="syllables",1,IF(J79="trigrams",1,IF(J79="strings",1,IF(J79="visual array",1,IF(J79="characters",1,IF(J79="letters",1,IF(J79="free forms",1,IF(J79="odors",2,IF(J79="words",2,IF(J79="pictures",2,IF(J79="object pictures",2,IF(J79="faces",2,IF(J79="names",2,IF(J79="idioms","2",IF(J79="grades",2,IF(J79="syllable-digit pairs",3,IF(J79="trigram-word pairs",3,IF(J79="word-digit pairs",3,IF(J79="English-Swahili pairs",3,IF(J79="spatial position",3,IF(J79="word pairs",4,IF(J79="word triads",4,IF(J79="generated words",4,IF(J79="word definition pairs",4,IF(J79="math problems",4,IF(J79="famous faces",4,IF(J79="famous names",4,IF(J79="famous voices",4,IF(J79="television programs",4,IF(J79="race horses",4,IF(J79="new vocabulary",4,IF(J79="sentences",5,IF(J79="concepts",5,IF(J79="ad slides",5,IF(J79="scenes",5,IF(J79="famous scenes",5,IF(J79="poems",6,IF(J79="walk",6,IF(J79="faces and events",6,IF(J79="events and names",6,IF(J79="flashbulb",7,IF(J79="stories",7,IF(J79="course material",7,IF(J79="autobiographical",7,IF(J79="novels",7,IF(J79="public events",7,"99"))))))))))))))))))))))))))))))))))))))))))))))</f>
        <v>1</v>
      </c>
      <c r="M79" s="60">
        <v>0</v>
      </c>
      <c r="N79" s="60"/>
      <c r="O79" s="60"/>
      <c r="P79" s="60"/>
      <c r="Q79" s="60" t="s">
        <v>34</v>
      </c>
      <c r="R79" s="60">
        <f>IF(Q79="Free Recall",1,IF(Q79="Cued Recall",2,IF(Q79="Recognition",3,IF(Q79="Multiple Choice",4,IF(Q79="Savings",5,IF(Q79="Stem Completion",6,IF(Q79="Fragment Completion",7,IF(Q79="anagram solution",8,IF(Q79="Matching",9,IF(Q79="Problem Solving",10,"99"))))))))))</f>
        <v>3</v>
      </c>
      <c r="S79" s="60" t="s">
        <v>40</v>
      </c>
      <c r="T79" s="59" t="s">
        <v>581</v>
      </c>
      <c r="U79" s="60">
        <f>IF(T79="within",1,0)</f>
        <v>1</v>
      </c>
      <c r="V79" s="59">
        <v>108</v>
      </c>
      <c r="W79" s="60">
        <f>F79*V79</f>
        <v>1944</v>
      </c>
      <c r="X79" s="60">
        <v>3</v>
      </c>
      <c r="Y79" s="76">
        <f>AV78</f>
        <v>1</v>
      </c>
      <c r="Z79" s="60" t="s">
        <v>42</v>
      </c>
      <c r="AA79" s="60">
        <v>12</v>
      </c>
      <c r="AB79" s="60" t="str">
        <f>IF(AA79&lt;60,"1",IF(AA79&lt;=43200,"2",IF(AA79&lt;=777600,"3","4")))</f>
        <v>1</v>
      </c>
      <c r="AC79" s="56">
        <f>AVERAGE(AV78:DA78)</f>
        <v>6.333333333333333</v>
      </c>
      <c r="AD79" s="60" t="str">
        <f>IF(AC79&lt;60,"1",IF(AC79&lt;=43200,"2",IF(AC79&lt;=777600,"3","4")))</f>
        <v>1</v>
      </c>
      <c r="AE79" s="76">
        <f>AA79-Y79</f>
        <v>11</v>
      </c>
      <c r="AF79" s="80">
        <f>AV79</f>
        <v>0.81100000000000005</v>
      </c>
      <c r="AG79" s="56">
        <f>((AW79-AV79)+(AX79-AW79))/2</f>
        <v>-6.5000000000000002E-2</v>
      </c>
      <c r="AH79" s="4"/>
      <c r="AI79" s="56">
        <f>RSQ(AV79:AX79,AV78:AX78)</f>
        <v>0.90037118938556238</v>
      </c>
      <c r="AJ79" s="109">
        <f>SLOPE(AV79:AX79,AV78:AX78)</f>
        <v>-1.1615384615384614E-2</v>
      </c>
      <c r="AK79" s="56">
        <f>INTERCEPT(AV79:AX79,AV78:AX78)</f>
        <v>0.80923076923076909</v>
      </c>
      <c r="AL79" s="56">
        <f>INDEX(LINEST(LN(AV79:AX79),LN(AV78:AX78),TRUE,TRUE),3,1)</f>
        <v>0.99999999379061277</v>
      </c>
      <c r="AM79" s="56">
        <f>INDEX(LINEST(LN(AV79:AX79),LN(AV78:AX78)),1)</f>
        <v>-7.0308179214797345E-2</v>
      </c>
      <c r="AN79" s="56">
        <f>EXP(INDEX(LINEST(LN(AV79:AX79),LN(AV78:AX78)),1,2))</f>
        <v>0.81099820189343175</v>
      </c>
      <c r="AO79" s="82">
        <f>INDEX(LINEST((AV79:AX79),LN(AV78:AX78),TRUE,TRUE),3,1)</f>
        <v>0.99964754049493021</v>
      </c>
      <c r="AP79" s="82">
        <f>INDEX(LINEST((AV79:AX79),LN(AV78:AX78)),1)</f>
        <v>-5.2567804595405422E-2</v>
      </c>
      <c r="AQ79" s="83">
        <f>INDEX(LINEST(LN(AV79:AX79),SQRT(AV78:AX78),TRUE,TRUE),3,1)</f>
        <v>0.97812298240396844</v>
      </c>
      <c r="AR79" s="116">
        <f>INDEX(LINEST(LN(AV79:AX79),SQRT((AV78:AX78))),1)</f>
        <v>-7.1997525186275793E-2</v>
      </c>
      <c r="AS79" s="84">
        <f>INDEX(LINEST(1/(AV79:AX79),1/(SQRT(AV78:AX78)),TRUE,TRUE),3,1)</f>
        <v>0.98179075932451598</v>
      </c>
      <c r="AT79" s="84">
        <f>INDEX(LINEST(1/(AV79:AX79),1/SQRT(AV78:AX78)),1)</f>
        <v>-0.31449366159598108</v>
      </c>
      <c r="AU79" s="3"/>
      <c r="AV79" s="53">
        <v>0.81100000000000005</v>
      </c>
      <c r="AW79" s="53">
        <v>0.71499999999999997</v>
      </c>
      <c r="AX79" s="53">
        <v>0.68100000000000005</v>
      </c>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1"/>
      <c r="CS79" s="1"/>
      <c r="CT79" s="1"/>
      <c r="CU79" s="1"/>
    </row>
    <row r="80" spans="1:99" s="13" customFormat="1" ht="12" customHeight="1" x14ac:dyDescent="0.2">
      <c r="A80" s="65">
        <v>43509</v>
      </c>
      <c r="B80" s="1"/>
      <c r="C80" s="1"/>
      <c r="D80" s="60"/>
      <c r="E80" s="76"/>
      <c r="F80" s="60"/>
      <c r="G80" s="60"/>
      <c r="H80" s="60"/>
      <c r="I80" s="60"/>
      <c r="J80" s="60"/>
      <c r="K80" s="64"/>
      <c r="L80" s="64"/>
      <c r="M80" s="60"/>
      <c r="N80" s="60"/>
      <c r="O80" s="60"/>
      <c r="P80" s="60"/>
      <c r="Q80" s="60"/>
      <c r="R80" s="60"/>
      <c r="S80" s="60"/>
      <c r="T80" s="60"/>
      <c r="U80" s="60"/>
      <c r="V80" s="60"/>
      <c r="W80" s="60"/>
      <c r="X80" s="60"/>
      <c r="Y80" s="76"/>
      <c r="Z80" s="60"/>
      <c r="AA80" s="60"/>
      <c r="AB80" s="60"/>
      <c r="AC80" s="60"/>
      <c r="AD80" s="60"/>
      <c r="AE80" s="60"/>
      <c r="AF80" s="80"/>
      <c r="AG80" s="56"/>
      <c r="AH80" s="4"/>
      <c r="AI80" s="56"/>
      <c r="AJ80" s="109"/>
      <c r="AK80" s="56"/>
      <c r="AL80" s="56"/>
      <c r="AM80" s="56"/>
      <c r="AN80" s="56"/>
      <c r="AO80" s="82"/>
      <c r="AP80" s="82"/>
      <c r="AQ80" s="82"/>
      <c r="AR80" s="115"/>
      <c r="AS80" s="82"/>
      <c r="AT80" s="82"/>
      <c r="AU80" s="3"/>
      <c r="AV80" s="25">
        <v>1</v>
      </c>
      <c r="AW80" s="25">
        <v>6</v>
      </c>
      <c r="AX80" s="25">
        <v>12</v>
      </c>
      <c r="AY80" s="53"/>
      <c r="AZ80" s="53"/>
      <c r="BA80" s="53"/>
      <c r="BB80" s="53"/>
      <c r="BC80" s="53"/>
      <c r="BD80" s="53"/>
      <c r="BE80" s="53"/>
      <c r="BF80" s="53"/>
      <c r="BG80" s="53"/>
      <c r="BH80" s="53"/>
      <c r="BI80" s="53"/>
      <c r="BJ80" s="53"/>
      <c r="BK80" s="53"/>
      <c r="BL80" s="53"/>
      <c r="BM80" s="53"/>
      <c r="BN80" s="53"/>
      <c r="BO80" s="53"/>
      <c r="BP80" s="53"/>
      <c r="BQ80" s="53"/>
      <c r="BR80" s="53"/>
      <c r="BS80" s="53"/>
      <c r="BT80" s="53"/>
      <c r="BU80" s="53"/>
      <c r="BV80" s="53"/>
      <c r="BW80" s="53"/>
      <c r="BX80" s="53"/>
      <c r="BY80" s="53"/>
      <c r="BZ80" s="53"/>
      <c r="CA80" s="53"/>
      <c r="CB80" s="53"/>
      <c r="CC80" s="53"/>
      <c r="CD80" s="53"/>
      <c r="CE80" s="53"/>
      <c r="CF80" s="53"/>
      <c r="CG80" s="53"/>
      <c r="CH80" s="53"/>
      <c r="CI80" s="53"/>
      <c r="CJ80" s="53"/>
      <c r="CK80" s="53"/>
      <c r="CL80" s="53"/>
      <c r="CM80" s="53"/>
      <c r="CN80" s="53"/>
      <c r="CO80" s="53"/>
      <c r="CP80" s="53"/>
      <c r="CQ80" s="53"/>
      <c r="CR80" s="1"/>
      <c r="CS80" s="1"/>
      <c r="CT80" s="1"/>
      <c r="CU80" s="1"/>
    </row>
    <row r="81" spans="1:99" s="13" customFormat="1" ht="12" customHeight="1" x14ac:dyDescent="0.2">
      <c r="A81" s="65">
        <v>43509</v>
      </c>
      <c r="B81" s="1" t="s">
        <v>251</v>
      </c>
      <c r="C81" s="1" t="s">
        <v>33</v>
      </c>
      <c r="D81" s="60">
        <v>2014</v>
      </c>
      <c r="E81" s="76">
        <v>3</v>
      </c>
      <c r="F81" s="60">
        <v>15</v>
      </c>
      <c r="G81" s="60">
        <v>15</v>
      </c>
      <c r="H81" s="60" t="s">
        <v>769</v>
      </c>
      <c r="I81" s="60" t="s">
        <v>767</v>
      </c>
      <c r="J81" s="60" t="s">
        <v>764</v>
      </c>
      <c r="K81" s="60">
        <f>IF(J81="syllables",1,IF(J81="trigrams",2,IF(J81="strings",3,IF(J81="visual array",4,IF(J81="characters",5,IF(J81="letters",6,IF(J81="free forms",7,IF(J81="odors",8,IF(J81="words",9,IF(J81="pictures",10,IF(J81="object pictures",11,IF(J81="faces",12,IF(J81="names",13,IF(J81="idioms",14,IF(J81="grades",15,IF(J81="syllable-digit pairs",16,IF(J81="trigram-word pairs",17,IF(J81="word-digit pairs",18,IF(J81="English-Swahili pairs",19,IF(J81="spatial position",20,IF(J81="word pairs",21,IF(J81="word triads",22,IF(J81="generated words",23,IF(J81="word definition pairs",24,IF(J81="math problems",25,IF(J81="famous faces",26,IF(J81="famous names",27,IF(J81="famous voices",28,IF(J81="television programs",29,IF(J81="race horses",30,IF(J81="new vocabulary",31,IF(J81="sentences",32,IF(J81="concepts",33,IF(J81="ad slides",34,IF(J81="scenes",35,IF(J81="famous scenes",36,IF(J81="poems",37,IF(J81="walk",38,IF(J81="faces and events",39,IF(J81="events and names",40,IF(J81="flashbulb",41,IF(J81="stories",42,IF(J81="course material",43,IF(J81="autobiographical",44,IF(J81="novels",45,IF(J81="public events",46,"99"))))))))))))))))))))))))))))))))))))))))))))))</f>
        <v>4</v>
      </c>
      <c r="L81" s="60">
        <f>IF(J81="syllables",1,IF(J81="trigrams",1,IF(J81="strings",1,IF(J81="visual array",1,IF(J81="characters",1,IF(J81="letters",1,IF(J81="free forms",1,IF(J81="odors",2,IF(J81="words",2,IF(J81="pictures",2,IF(J81="object pictures",2,IF(J81="faces",2,IF(J81="names",2,IF(J81="idioms","2",IF(J81="grades",2,IF(J81="syllable-digit pairs",3,IF(J81="trigram-word pairs",3,IF(J81="word-digit pairs",3,IF(J81="English-Swahili pairs",3,IF(J81="spatial position",3,IF(J81="word pairs",4,IF(J81="word triads",4,IF(J81="generated words",4,IF(J81="word definition pairs",4,IF(J81="math problems",4,IF(J81="famous faces",4,IF(J81="famous names",4,IF(J81="famous voices",4,IF(J81="television programs",4,IF(J81="race horses",4,IF(J81="new vocabulary",4,IF(J81="sentences",5,IF(J81="concepts",5,IF(J81="ad slides",5,IF(J81="scenes",5,IF(J81="famous scenes",5,IF(J81="poems",6,IF(J81="walk",6,IF(J81="faces and events",6,IF(J81="events and names",6,IF(J81="flashbulb",7,IF(J81="stories",7,IF(J81="course material",7,IF(J81="autobiographical",7,IF(J81="novels",7,IF(J81="public events",7,"99"))))))))))))))))))))))))))))))))))))))))))))))</f>
        <v>1</v>
      </c>
      <c r="M81" s="60">
        <v>0</v>
      </c>
      <c r="N81" s="60"/>
      <c r="O81" s="60"/>
      <c r="P81" s="60"/>
      <c r="Q81" s="60" t="s">
        <v>34</v>
      </c>
      <c r="R81" s="60">
        <f>IF(Q81="Free Recall",1,IF(Q81="Cued Recall",2,IF(Q81="Recognition",3,IF(Q81="Multiple Choice",4,IF(Q81="Savings",5,IF(Q81="Stem Completion",6,IF(Q81="Fragment Completion",7,IF(Q81="anagram solution",8,IF(Q81="Matching",9,IF(Q81="Problem Solving",10,"99"))))))))))</f>
        <v>3</v>
      </c>
      <c r="S81" s="60" t="s">
        <v>40</v>
      </c>
      <c r="T81" s="59" t="s">
        <v>581</v>
      </c>
      <c r="U81" s="60">
        <f>IF(T81="within",1,0)</f>
        <v>1</v>
      </c>
      <c r="V81" s="59">
        <v>108</v>
      </c>
      <c r="W81" s="60">
        <f>F81*V81</f>
        <v>1620</v>
      </c>
      <c r="X81" s="60">
        <v>3</v>
      </c>
      <c r="Y81" s="76">
        <f>AV80</f>
        <v>1</v>
      </c>
      <c r="Z81" s="60" t="s">
        <v>42</v>
      </c>
      <c r="AA81" s="60">
        <v>12</v>
      </c>
      <c r="AB81" s="60" t="str">
        <f>IF(AA81&lt;60,"1",IF(AA81&lt;=43200,"2",IF(AA81&lt;=777600,"3","4")))</f>
        <v>1</v>
      </c>
      <c r="AC81" s="56">
        <f>AVERAGE(AV80:DA80)</f>
        <v>6.333333333333333</v>
      </c>
      <c r="AD81" s="60" t="str">
        <f>IF(AC81&lt;60,"1",IF(AC81&lt;=43200,"2",IF(AC81&lt;=777600,"3","4")))</f>
        <v>1</v>
      </c>
      <c r="AE81" s="76">
        <f>AA81-Y81</f>
        <v>11</v>
      </c>
      <c r="AF81" s="80">
        <f>AV81</f>
        <v>0.753</v>
      </c>
      <c r="AG81" s="56">
        <f>((AW81-AV81)+(AX81-AW81))/2</f>
        <v>-5.1999999999999991E-2</v>
      </c>
      <c r="AH81" s="4"/>
      <c r="AI81" s="56">
        <f>RSQ(AV81:AX81,AV80:AX80)</f>
        <v>0.80948049439049885</v>
      </c>
      <c r="AJ81" s="109">
        <f>SLOPE(AV81:AX81,AV80:AX80)</f>
        <v>-9.2197802197802169E-3</v>
      </c>
      <c r="AK81" s="56">
        <f>INTERCEPT(AV81:AX81,AV80:AX80)</f>
        <v>0.74672527472527472</v>
      </c>
      <c r="AL81" s="56">
        <f>INDEX(LINEST(LN(AV81:AX81),LN(AV80:AX80),TRUE,TRUE),3,1)</f>
        <v>0.98038881789340426</v>
      </c>
      <c r="AM81" s="56">
        <f>INDEX(LINEST(LN(AV81:AX81),LN(AV80:AX80)),1)</f>
        <v>-6.2054385278598211E-2</v>
      </c>
      <c r="AN81" s="56">
        <f>EXP(INDEX(LINEST(LN(AV81:AX81),LN(AV80:AX80)),1,2))</f>
        <v>0.75035988685711985</v>
      </c>
      <c r="AO81" s="82">
        <f>INDEX(LINEST((AV81:AX81),LN(AV80:AX80),TRUE,TRUE),3,1)</f>
        <v>0.97786516504748844</v>
      </c>
      <c r="AP81" s="82">
        <f>INDEX(LINEST((AV81:AX81),LN(AV80:AX80)),1)</f>
        <v>-4.3524165281927353E-2</v>
      </c>
      <c r="AQ81" s="83">
        <f>INDEX(LINEST(LN(AV81:AX81),SQRT(AV80:AX80),TRUE,TRUE),3,1)</f>
        <v>0.91884600741879552</v>
      </c>
      <c r="AR81" s="116">
        <f>INDEX(LINEST(LN(AV81:AX81),SQRT((AV80:AX80))),1)</f>
        <v>-6.2202759798624302E-2</v>
      </c>
      <c r="AS81" s="84">
        <f>INDEX(LINEST(1/(AV81:AX81),1/(SQRT(AV80:AX80)),TRUE,TRUE),3,1)</f>
        <v>0.99976826366895921</v>
      </c>
      <c r="AT81" s="84">
        <f>INDEX(LINEST(1/(AV81:AX81),1/SQRT(AV80:AX80)),1)</f>
        <v>-0.30093112830638513</v>
      </c>
      <c r="AU81" s="3"/>
      <c r="AV81" s="53">
        <v>0.753</v>
      </c>
      <c r="AW81" s="53">
        <v>0.66300000000000003</v>
      </c>
      <c r="AX81" s="53">
        <v>0.64900000000000002</v>
      </c>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c r="BZ81" s="53"/>
      <c r="CA81" s="53"/>
      <c r="CB81" s="53"/>
      <c r="CC81" s="53"/>
      <c r="CD81" s="53"/>
      <c r="CE81" s="53"/>
      <c r="CF81" s="53"/>
      <c r="CG81" s="53"/>
      <c r="CH81" s="53"/>
      <c r="CI81" s="53"/>
      <c r="CJ81" s="53"/>
      <c r="CK81" s="53"/>
      <c r="CL81" s="53"/>
      <c r="CM81" s="53"/>
      <c r="CN81" s="53"/>
      <c r="CO81" s="53"/>
      <c r="CP81" s="53"/>
      <c r="CQ81" s="53"/>
      <c r="CR81" s="1"/>
      <c r="CS81" s="1"/>
      <c r="CT81" s="1"/>
      <c r="CU81" s="1"/>
    </row>
    <row r="82" spans="1:99" s="13" customFormat="1" ht="12" customHeight="1" x14ac:dyDescent="0.2">
      <c r="A82" s="65">
        <v>43509</v>
      </c>
      <c r="B82" s="1"/>
      <c r="C82" s="1"/>
      <c r="D82" s="60"/>
      <c r="E82" s="76"/>
      <c r="F82" s="60"/>
      <c r="G82" s="60"/>
      <c r="H82" s="60"/>
      <c r="I82" s="60"/>
      <c r="J82" s="60"/>
      <c r="K82" s="64"/>
      <c r="L82" s="64"/>
      <c r="M82" s="60"/>
      <c r="N82" s="60"/>
      <c r="O82" s="60"/>
      <c r="P82" s="60"/>
      <c r="Q82" s="60"/>
      <c r="R82" s="60"/>
      <c r="S82" s="60"/>
      <c r="T82" s="60"/>
      <c r="U82" s="60"/>
      <c r="V82" s="60"/>
      <c r="W82" s="60"/>
      <c r="X82" s="60"/>
      <c r="Y82" s="76"/>
      <c r="Z82" s="60"/>
      <c r="AA82" s="60"/>
      <c r="AB82" s="60"/>
      <c r="AC82" s="60"/>
      <c r="AD82" s="60"/>
      <c r="AE82" s="60"/>
      <c r="AF82" s="80"/>
      <c r="AG82" s="56"/>
      <c r="AH82" s="4"/>
      <c r="AI82" s="56"/>
      <c r="AJ82" s="109"/>
      <c r="AK82" s="56"/>
      <c r="AL82" s="56"/>
      <c r="AM82" s="56"/>
      <c r="AN82" s="56"/>
      <c r="AO82" s="82"/>
      <c r="AP82" s="82"/>
      <c r="AQ82" s="82"/>
      <c r="AR82" s="115"/>
      <c r="AS82" s="82"/>
      <c r="AT82" s="82"/>
      <c r="AU82" s="3"/>
      <c r="AV82" s="25">
        <v>1</v>
      </c>
      <c r="AW82" s="25">
        <v>6</v>
      </c>
      <c r="AX82" s="25">
        <v>12</v>
      </c>
      <c r="AY82" s="53"/>
      <c r="AZ82" s="53"/>
      <c r="BA82" s="53"/>
      <c r="BB82" s="53"/>
      <c r="BC82" s="53"/>
      <c r="BD82" s="53"/>
      <c r="BE82" s="53"/>
      <c r="BF82" s="53"/>
      <c r="BG82" s="53"/>
      <c r="BH82" s="53"/>
      <c r="BI82" s="53"/>
      <c r="BJ82" s="53"/>
      <c r="BK82" s="53"/>
      <c r="BL82" s="53"/>
      <c r="BM82" s="53"/>
      <c r="BN82" s="53"/>
      <c r="BO82" s="53"/>
      <c r="BP82" s="53"/>
      <c r="BQ82" s="53"/>
      <c r="BR82" s="53"/>
      <c r="BS82" s="53"/>
      <c r="BT82" s="53"/>
      <c r="BU82" s="53"/>
      <c r="BV82" s="53"/>
      <c r="BW82" s="53"/>
      <c r="BX82" s="53"/>
      <c r="BY82" s="53"/>
      <c r="BZ82" s="53"/>
      <c r="CA82" s="53"/>
      <c r="CB82" s="53"/>
      <c r="CC82" s="53"/>
      <c r="CD82" s="53"/>
      <c r="CE82" s="53"/>
      <c r="CF82" s="53"/>
      <c r="CG82" s="53"/>
      <c r="CH82" s="53"/>
      <c r="CI82" s="53"/>
      <c r="CJ82" s="53"/>
      <c r="CK82" s="53"/>
      <c r="CL82" s="53"/>
      <c r="CM82" s="53"/>
      <c r="CN82" s="53"/>
      <c r="CO82" s="53"/>
      <c r="CP82" s="53"/>
      <c r="CQ82" s="53"/>
      <c r="CR82" s="1"/>
      <c r="CS82" s="1"/>
      <c r="CT82" s="1"/>
      <c r="CU82" s="1"/>
    </row>
    <row r="83" spans="1:99" s="13" customFormat="1" ht="12" customHeight="1" x14ac:dyDescent="0.2">
      <c r="A83" s="65">
        <v>43509</v>
      </c>
      <c r="B83" s="1" t="s">
        <v>251</v>
      </c>
      <c r="C83" s="1" t="s">
        <v>33</v>
      </c>
      <c r="D83" s="60">
        <v>2014</v>
      </c>
      <c r="E83" s="76">
        <v>3</v>
      </c>
      <c r="F83" s="60">
        <v>15</v>
      </c>
      <c r="G83" s="60">
        <v>15</v>
      </c>
      <c r="H83" s="60" t="s">
        <v>769</v>
      </c>
      <c r="I83" s="60" t="s">
        <v>768</v>
      </c>
      <c r="J83" s="60" t="s">
        <v>764</v>
      </c>
      <c r="K83" s="60">
        <f>IF(J83="syllables",1,IF(J83="trigrams",2,IF(J83="strings",3,IF(J83="visual array",4,IF(J83="characters",5,IF(J83="letters",6,IF(J83="free forms",7,IF(J83="odors",8,IF(J83="words",9,IF(J83="pictures",10,IF(J83="object pictures",11,IF(J83="faces",12,IF(J83="names",13,IF(J83="idioms",14,IF(J83="grades",15,IF(J83="syllable-digit pairs",16,IF(J83="trigram-word pairs",17,IF(J83="word-digit pairs",18,IF(J83="English-Swahili pairs",19,IF(J83="spatial position",20,IF(J83="word pairs",21,IF(J83="word triads",22,IF(J83="generated words",23,IF(J83="word definition pairs",24,IF(J83="math problems",25,IF(J83="famous faces",26,IF(J83="famous names",27,IF(J83="famous voices",28,IF(J83="television programs",29,IF(J83="race horses",30,IF(J83="new vocabulary",31,IF(J83="sentences",32,IF(J83="concepts",33,IF(J83="ad slides",34,IF(J83="scenes",35,IF(J83="famous scenes",36,IF(J83="poems",37,IF(J83="walk",38,IF(J83="faces and events",39,IF(J83="events and names",40,IF(J83="flashbulb",41,IF(J83="stories",42,IF(J83="course material",43,IF(J83="autobiographical",44,IF(J83="novels",45,IF(J83="public events",46,"99"))))))))))))))))))))))))))))))))))))))))))))))</f>
        <v>4</v>
      </c>
      <c r="L83" s="60">
        <f>IF(J83="syllables",1,IF(J83="trigrams",1,IF(J83="strings",1,IF(J83="visual array",1,IF(J83="characters",1,IF(J83="letters",1,IF(J83="free forms",1,IF(J83="odors",2,IF(J83="words",2,IF(J83="pictures",2,IF(J83="object pictures",2,IF(J83="faces",2,IF(J83="names",2,IF(J83="idioms","2",IF(J83="grades",2,IF(J83="syllable-digit pairs",3,IF(J83="trigram-word pairs",3,IF(J83="word-digit pairs",3,IF(J83="English-Swahili pairs",3,IF(J83="spatial position",3,IF(J83="word pairs",4,IF(J83="word triads",4,IF(J83="generated words",4,IF(J83="word definition pairs",4,IF(J83="math problems",4,IF(J83="famous faces",4,IF(J83="famous names",4,IF(J83="famous voices",4,IF(J83="television programs",4,IF(J83="race horses",4,IF(J83="new vocabulary",4,IF(J83="sentences",5,IF(J83="concepts",5,IF(J83="ad slides",5,IF(J83="scenes",5,IF(J83="famous scenes",5,IF(J83="poems",6,IF(J83="walk",6,IF(J83="faces and events",6,IF(J83="events and names",6,IF(J83="flashbulb",7,IF(J83="stories",7,IF(J83="course material",7,IF(J83="autobiographical",7,IF(J83="novels",7,IF(J83="public events",7,"99"))))))))))))))))))))))))))))))))))))))))))))))</f>
        <v>1</v>
      </c>
      <c r="M83" s="60">
        <v>0</v>
      </c>
      <c r="N83" s="60"/>
      <c r="O83" s="60"/>
      <c r="P83" s="60"/>
      <c r="Q83" s="60" t="s">
        <v>34</v>
      </c>
      <c r="R83" s="60">
        <f>IF(Q83="Free Recall",1,IF(Q83="Cued Recall",2,IF(Q83="Recognition",3,IF(Q83="Multiple Choice",4,IF(Q83="Savings",5,IF(Q83="Stem Completion",6,IF(Q83="Fragment Completion",7,IF(Q83="anagram solution",8,IF(Q83="Matching",9,IF(Q83="Problem Solving",10,"99"))))))))))</f>
        <v>3</v>
      </c>
      <c r="S83" s="60" t="s">
        <v>40</v>
      </c>
      <c r="T83" s="59" t="s">
        <v>581</v>
      </c>
      <c r="U83" s="60">
        <f>IF(T83="within",1,0)</f>
        <v>1</v>
      </c>
      <c r="V83" s="59">
        <v>108</v>
      </c>
      <c r="W83" s="60">
        <f>F83*V83</f>
        <v>1620</v>
      </c>
      <c r="X83" s="60">
        <v>3</v>
      </c>
      <c r="Y83" s="76">
        <f>AV82</f>
        <v>1</v>
      </c>
      <c r="Z83" s="60" t="s">
        <v>42</v>
      </c>
      <c r="AA83" s="60">
        <v>12</v>
      </c>
      <c r="AB83" s="60" t="str">
        <f>IF(AA83&lt;60,"1",IF(AA83&lt;=43200,"2",IF(AA83&lt;=777600,"3","4")))</f>
        <v>1</v>
      </c>
      <c r="AC83" s="56">
        <f>AVERAGE(AV82:DA82)</f>
        <v>6.333333333333333</v>
      </c>
      <c r="AD83" s="60" t="str">
        <f>IF(AC83&lt;60,"1",IF(AC83&lt;=43200,"2",IF(AC83&lt;=777600,"3","4")))</f>
        <v>1</v>
      </c>
      <c r="AE83" s="76">
        <f>AA83-Y83</f>
        <v>11</v>
      </c>
      <c r="AF83" s="80">
        <f>AV83</f>
        <v>0.78300000000000003</v>
      </c>
      <c r="AG83" s="56">
        <f>((AW83-AV83)+(AX83-AW83))/2</f>
        <v>-4.7500000000000042E-2</v>
      </c>
      <c r="AH83" s="4"/>
      <c r="AI83" s="56">
        <f>RSQ(AV83:AX83,AV82:AX82)</f>
        <v>0.96816757163464551</v>
      </c>
      <c r="AJ83" s="109">
        <f>SLOPE(AV83:AX83,AV82:AX82)</f>
        <v>-8.554945054945062E-3</v>
      </c>
      <c r="AK83" s="56">
        <f>INTERCEPT(AV83:AX83,AV82:AX82)</f>
        <v>0.78618131868131857</v>
      </c>
      <c r="AL83" s="56">
        <f>INDEX(LINEST(LN(AV83:AX83),LN(AV82:AX82),TRUE,TRUE),3,1)</f>
        <v>0.98034888463448611</v>
      </c>
      <c r="AM83" s="56">
        <f>INDEX(LINEST(LN(AV83:AX83),LN(AV82:AX82)),1)</f>
        <v>-5.0236304116639673E-2</v>
      </c>
      <c r="AN83" s="56">
        <f>EXP(INDEX(LINEST(LN(AV83:AX83),LN(AV82:AX82)),1,2))</f>
        <v>0.78523185394143458</v>
      </c>
      <c r="AO83" s="82">
        <f>INDEX(LINEST((AV83:AX83),LN(AV82:AX82),TRUE,TRUE),3,1)</f>
        <v>0.98495212238888064</v>
      </c>
      <c r="AP83" s="82">
        <f>INDEX(LINEST((AV83:AX83),LN(AV82:AX82)),1)</f>
        <v>-3.7061509805236412E-2</v>
      </c>
      <c r="AQ83" s="83">
        <f>INDEX(LINEST(LN(AV83:AX83),SQRT(AV82:AX82),TRUE,TRUE),3,1)</f>
        <v>0.9999402633187644</v>
      </c>
      <c r="AR83" s="116">
        <f>INDEX(LINEST(LN(AV83:AX83),SQRT((AV82:AX82))),1)</f>
        <v>-5.2532656573409081E-2</v>
      </c>
      <c r="AS83" s="84">
        <f>INDEX(LINEST(1/(AV83:AX83),1/(SQRT(AV82:AX82)),TRUE,TRUE),3,1)</f>
        <v>0.92647698493019448</v>
      </c>
      <c r="AT83" s="84">
        <f>INDEX(LINEST(1/(AV83:AX83),1/SQRT(AV82:AX82)),1)</f>
        <v>-0.22375896588543526</v>
      </c>
      <c r="AU83" s="3"/>
      <c r="AV83" s="53">
        <v>0.78300000000000003</v>
      </c>
      <c r="AW83" s="53">
        <v>0.72499999999999998</v>
      </c>
      <c r="AX83" s="53">
        <v>0.68799999999999994</v>
      </c>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53"/>
      <c r="CD83" s="53"/>
      <c r="CE83" s="53"/>
      <c r="CF83" s="53"/>
      <c r="CG83" s="53"/>
      <c r="CH83" s="53"/>
      <c r="CI83" s="53"/>
      <c r="CJ83" s="53"/>
      <c r="CK83" s="53"/>
      <c r="CL83" s="53"/>
      <c r="CM83" s="53"/>
      <c r="CN83" s="53"/>
      <c r="CO83" s="53"/>
      <c r="CP83" s="53"/>
      <c r="CQ83" s="53"/>
      <c r="CR83" s="1"/>
      <c r="CS83" s="1"/>
      <c r="CT83" s="1"/>
      <c r="CU83" s="1"/>
    </row>
    <row r="84" spans="1:99" s="13" customFormat="1" ht="12" customHeight="1" x14ac:dyDescent="0.2">
      <c r="A84" s="65">
        <v>43509</v>
      </c>
      <c r="B84" s="1"/>
      <c r="C84" s="1"/>
      <c r="D84" s="60"/>
      <c r="E84" s="76"/>
      <c r="F84" s="60"/>
      <c r="G84" s="60"/>
      <c r="H84" s="60"/>
      <c r="I84" s="60"/>
      <c r="J84" s="60"/>
      <c r="K84" s="64"/>
      <c r="L84" s="64"/>
      <c r="M84" s="60"/>
      <c r="N84" s="60"/>
      <c r="O84" s="60"/>
      <c r="P84" s="60"/>
      <c r="Q84" s="60"/>
      <c r="R84" s="60"/>
      <c r="S84" s="60"/>
      <c r="T84" s="60"/>
      <c r="U84" s="60"/>
      <c r="V84" s="60"/>
      <c r="W84" s="60"/>
      <c r="X84" s="60"/>
      <c r="Y84" s="76"/>
      <c r="Z84" s="60"/>
      <c r="AA84" s="60"/>
      <c r="AB84" s="60"/>
      <c r="AC84" s="60"/>
      <c r="AD84" s="60"/>
      <c r="AE84" s="60"/>
      <c r="AF84" s="80"/>
      <c r="AG84" s="56"/>
      <c r="AH84" s="4"/>
      <c r="AI84" s="56"/>
      <c r="AJ84" s="109"/>
      <c r="AK84" s="56"/>
      <c r="AL84" s="56"/>
      <c r="AM84" s="56"/>
      <c r="AN84" s="56"/>
      <c r="AO84" s="82"/>
      <c r="AP84" s="82"/>
      <c r="AQ84" s="82"/>
      <c r="AR84" s="115"/>
      <c r="AS84" s="82"/>
      <c r="AT84" s="82"/>
      <c r="AU84" s="3"/>
      <c r="AV84" s="25">
        <v>1</v>
      </c>
      <c r="AW84" s="25">
        <v>6</v>
      </c>
      <c r="AX84" s="25">
        <v>12</v>
      </c>
      <c r="AY84" s="53"/>
      <c r="AZ84" s="53"/>
      <c r="BA84" s="53"/>
      <c r="BB84" s="53"/>
      <c r="BC84" s="53"/>
      <c r="BD84" s="53"/>
      <c r="BE84" s="53"/>
      <c r="BF84" s="53"/>
      <c r="BG84" s="53"/>
      <c r="BH84" s="53"/>
      <c r="BI84" s="53"/>
      <c r="BJ84" s="53"/>
      <c r="BK84" s="53"/>
      <c r="BL84" s="53"/>
      <c r="BM84" s="53"/>
      <c r="BN84" s="53"/>
      <c r="BO84" s="53"/>
      <c r="BP84" s="53"/>
      <c r="BQ84" s="53"/>
      <c r="BR84" s="53"/>
      <c r="BS84" s="53"/>
      <c r="BT84" s="53"/>
      <c r="BU84" s="53"/>
      <c r="BV84" s="53"/>
      <c r="BW84" s="53"/>
      <c r="BX84" s="53"/>
      <c r="BY84" s="53"/>
      <c r="BZ84" s="53"/>
      <c r="CA84" s="53"/>
      <c r="CB84" s="53"/>
      <c r="CC84" s="53"/>
      <c r="CD84" s="53"/>
      <c r="CE84" s="53"/>
      <c r="CF84" s="53"/>
      <c r="CG84" s="53"/>
      <c r="CH84" s="53"/>
      <c r="CI84" s="53"/>
      <c r="CJ84" s="53"/>
      <c r="CK84" s="53"/>
      <c r="CL84" s="53"/>
      <c r="CM84" s="53"/>
      <c r="CN84" s="53"/>
      <c r="CO84" s="53"/>
      <c r="CP84" s="53"/>
      <c r="CQ84" s="53"/>
      <c r="CR84" s="1"/>
      <c r="CS84" s="1"/>
      <c r="CT84" s="1"/>
      <c r="CU84" s="1"/>
    </row>
    <row r="85" spans="1:99" s="13" customFormat="1" ht="12" customHeight="1" x14ac:dyDescent="0.2">
      <c r="A85" s="65">
        <v>43509</v>
      </c>
      <c r="B85" s="1" t="s">
        <v>251</v>
      </c>
      <c r="C85" s="1" t="s">
        <v>33</v>
      </c>
      <c r="D85" s="60">
        <v>2014</v>
      </c>
      <c r="E85" s="76">
        <v>4</v>
      </c>
      <c r="F85" s="60">
        <v>15</v>
      </c>
      <c r="G85" s="60">
        <v>15</v>
      </c>
      <c r="H85" s="60" t="s">
        <v>44</v>
      </c>
      <c r="I85" s="60" t="s">
        <v>767</v>
      </c>
      <c r="J85" s="60" t="s">
        <v>764</v>
      </c>
      <c r="K85" s="60">
        <f>IF(J85="syllables",1,IF(J85="trigrams",2,IF(J85="strings",3,IF(J85="visual array",4,IF(J85="characters",5,IF(J85="letters",6,IF(J85="free forms",7,IF(J85="odors",8,IF(J85="words",9,IF(J85="pictures",10,IF(J85="object pictures",11,IF(J85="faces",12,IF(J85="names",13,IF(J85="idioms",14,IF(J85="grades",15,IF(J85="syllable-digit pairs",16,IF(J85="trigram-word pairs",17,IF(J85="word-digit pairs",18,IF(J85="English-Swahili pairs",19,IF(J85="spatial position",20,IF(J85="word pairs",21,IF(J85="word triads",22,IF(J85="generated words",23,IF(J85="word definition pairs",24,IF(J85="math problems",25,IF(J85="famous faces",26,IF(J85="famous names",27,IF(J85="famous voices",28,IF(J85="television programs",29,IF(J85="race horses",30,IF(J85="new vocabulary",31,IF(J85="sentences",32,IF(J85="concepts",33,IF(J85="ad slides",34,IF(J85="scenes",35,IF(J85="famous scenes",36,IF(J85="poems",37,IF(J85="walk",38,IF(J85="faces and events",39,IF(J85="events and names",40,IF(J85="flashbulb",41,IF(J85="stories",42,IF(J85="course material",43,IF(J85="autobiographical",44,IF(J85="novels",45,IF(J85="public events",46,"99"))))))))))))))))))))))))))))))))))))))))))))))</f>
        <v>4</v>
      </c>
      <c r="L85" s="60">
        <f>IF(J85="syllables",1,IF(J85="trigrams",1,IF(J85="strings",1,IF(J85="visual array",1,IF(J85="characters",1,IF(J85="letters",1,IF(J85="free forms",1,IF(J85="odors",2,IF(J85="words",2,IF(J85="pictures",2,IF(J85="object pictures",2,IF(J85="faces",2,IF(J85="names",2,IF(J85="idioms","2",IF(J85="grades",2,IF(J85="syllable-digit pairs",3,IF(J85="trigram-word pairs",3,IF(J85="word-digit pairs",3,IF(J85="English-Swahili pairs",3,IF(J85="spatial position",3,IF(J85="word pairs",4,IF(J85="word triads",4,IF(J85="generated words",4,IF(J85="word definition pairs",4,IF(J85="math problems",4,IF(J85="famous faces",4,IF(J85="famous names",4,IF(J85="famous voices",4,IF(J85="television programs",4,IF(J85="race horses",4,IF(J85="new vocabulary",4,IF(J85="sentences",5,IF(J85="concepts",5,IF(J85="ad slides",5,IF(J85="scenes",5,IF(J85="famous scenes",5,IF(J85="poems",6,IF(J85="walk",6,IF(J85="faces and events",6,IF(J85="events and names",6,IF(J85="flashbulb",7,IF(J85="stories",7,IF(J85="course material",7,IF(J85="autobiographical",7,IF(J85="novels",7,IF(J85="public events",7,"99"))))))))))))))))))))))))))))))))))))))))))))))</f>
        <v>1</v>
      </c>
      <c r="M85" s="60">
        <v>0</v>
      </c>
      <c r="N85" s="60"/>
      <c r="O85" s="60"/>
      <c r="P85" s="60"/>
      <c r="Q85" s="60" t="s">
        <v>34</v>
      </c>
      <c r="R85" s="60">
        <f>IF(Q85="Free Recall",1,IF(Q85="Cued Recall",2,IF(Q85="Recognition",3,IF(Q85="Multiple Choice",4,IF(Q85="Savings",5,IF(Q85="Stem Completion",6,IF(Q85="Fragment Completion",7,IF(Q85="anagram solution",8,IF(Q85="Matching",9,IF(Q85="Problem Solving",10,"99"))))))))))</f>
        <v>3</v>
      </c>
      <c r="S85" s="60" t="s">
        <v>40</v>
      </c>
      <c r="T85" s="59" t="s">
        <v>581</v>
      </c>
      <c r="U85" s="60">
        <f>IF(T85="within",1,0)</f>
        <v>1</v>
      </c>
      <c r="V85" s="59">
        <v>108</v>
      </c>
      <c r="W85" s="60">
        <f>F85*V85</f>
        <v>1620</v>
      </c>
      <c r="X85" s="60">
        <v>3</v>
      </c>
      <c r="Y85" s="76">
        <f>AV84</f>
        <v>1</v>
      </c>
      <c r="Z85" s="60" t="s">
        <v>42</v>
      </c>
      <c r="AA85" s="60">
        <v>12</v>
      </c>
      <c r="AB85" s="60" t="str">
        <f>IF(AA85&lt;60,"1",IF(AA85&lt;=43200,"2",IF(AA85&lt;=777600,"3","4")))</f>
        <v>1</v>
      </c>
      <c r="AC85" s="56">
        <f>AVERAGE(AV84:DA84)</f>
        <v>6.333333333333333</v>
      </c>
      <c r="AD85" s="60" t="str">
        <f>IF(AC85&lt;60,"1",IF(AC85&lt;=43200,"2",IF(AC85&lt;=777600,"3","4")))</f>
        <v>1</v>
      </c>
      <c r="AE85" s="76">
        <f>AA85-Y85</f>
        <v>11</v>
      </c>
      <c r="AF85" s="80">
        <f>AV85</f>
        <v>0.84</v>
      </c>
      <c r="AG85" s="56">
        <f>((AW85-AV85)+(AX85-AW85))/2</f>
        <v>-2.4999999999999967E-2</v>
      </c>
      <c r="AH85" s="4"/>
      <c r="AI85" s="56">
        <f>RSQ(AV85:AX85,AV84:AX84)</f>
        <v>0.99609600925390396</v>
      </c>
      <c r="AJ85" s="109">
        <f>SLOPE(AV85:AX85,AV84:AX84)</f>
        <v>-4.5604395604395536E-3</v>
      </c>
      <c r="AK85" s="56">
        <f>INTERCEPT(AV85:AX85,AV84:AX84)</f>
        <v>0.84554945054945063</v>
      </c>
      <c r="AL85" s="56">
        <f>INDEX(LINEST(LN(AV85:AX85),LN(AV84:AX84),TRUE,TRUE),3,1)</f>
        <v>0.86705071109304421</v>
      </c>
      <c r="AM85" s="56">
        <f>INDEX(LINEST(LN(AV85:AX85),LN(AV84:AX84)),1)</f>
        <v>-2.2452493576509889E-2</v>
      </c>
      <c r="AN85" s="56">
        <f>EXP(INDEX(LINEST(LN(AV85:AX85),LN(AV84:AX84)),1,2))</f>
        <v>0.84296069523126405</v>
      </c>
      <c r="AO85" s="82">
        <f>INDEX(LINEST((AV85:AX85),LN(AV84:AX84),TRUE,TRUE),3,1)</f>
        <v>0.87266785751561338</v>
      </c>
      <c r="AP85" s="82">
        <f>INDEX(LINEST((AV85:AX85),LN(AV84:AX84)),1)</f>
        <v>-1.8333871503869979E-2</v>
      </c>
      <c r="AQ85" s="83">
        <f>INDEX(LINEST(LN(AV85:AX85),SQRT(AV84:AX84),TRUE,TRUE),3,1)</f>
        <v>0.95028779559681664</v>
      </c>
      <c r="AR85" s="116">
        <f>INDEX(LINEST(LN(AV85:AX85),SQRT((AV84:AX84))),1)</f>
        <v>-2.4338000271264162E-2</v>
      </c>
      <c r="AS85" s="84">
        <f>INDEX(LINEST(1/(AV85:AX85),1/(SQRT(AV84:AX84)),TRUE,TRUE),3,1)</f>
        <v>0.77218146676836896</v>
      </c>
      <c r="AT85" s="84">
        <f>INDEX(LINEST(1/(AV85:AX85),1/SQRT(AV84:AX84)),1)</f>
        <v>-8.7673544528963726E-2</v>
      </c>
      <c r="AU85" s="3"/>
      <c r="AV85" s="53">
        <v>0.84</v>
      </c>
      <c r="AW85" s="53">
        <v>0.82</v>
      </c>
      <c r="AX85" s="53">
        <v>0.79</v>
      </c>
      <c r="AY85" s="53"/>
      <c r="AZ85" s="53"/>
      <c r="BA85" s="53"/>
      <c r="BB85" s="53"/>
      <c r="BC85" s="53"/>
      <c r="BD85" s="53"/>
      <c r="BE85" s="53"/>
      <c r="BF85" s="53"/>
      <c r="BG85" s="53"/>
      <c r="BH85" s="53"/>
      <c r="BI85" s="53"/>
      <c r="BJ85" s="53"/>
      <c r="BK85" s="53"/>
      <c r="BL85" s="53"/>
      <c r="BM85" s="53"/>
      <c r="BN85" s="53"/>
      <c r="BO85" s="53"/>
      <c r="BP85" s="53"/>
      <c r="BQ85" s="53"/>
      <c r="BR85" s="53"/>
      <c r="BS85" s="53"/>
      <c r="BT85" s="53"/>
      <c r="BU85" s="53"/>
      <c r="BV85" s="53"/>
      <c r="BW85" s="53"/>
      <c r="BX85" s="53"/>
      <c r="BY85" s="53"/>
      <c r="BZ85" s="53"/>
      <c r="CA85" s="53"/>
      <c r="CB85" s="53"/>
      <c r="CC85" s="53"/>
      <c r="CD85" s="53"/>
      <c r="CE85" s="53"/>
      <c r="CF85" s="53"/>
      <c r="CG85" s="53"/>
      <c r="CH85" s="53"/>
      <c r="CI85" s="53"/>
      <c r="CJ85" s="53"/>
      <c r="CK85" s="53"/>
      <c r="CL85" s="53"/>
      <c r="CM85" s="53"/>
      <c r="CN85" s="53"/>
      <c r="CO85" s="53"/>
      <c r="CP85" s="53"/>
      <c r="CQ85" s="53"/>
      <c r="CR85" s="1"/>
      <c r="CS85" s="1"/>
      <c r="CT85" s="1"/>
      <c r="CU85" s="1"/>
    </row>
    <row r="86" spans="1:99" s="13" customFormat="1" ht="12" customHeight="1" x14ac:dyDescent="0.2">
      <c r="A86" s="65">
        <v>43509</v>
      </c>
      <c r="B86" s="1"/>
      <c r="C86" s="1"/>
      <c r="D86" s="60"/>
      <c r="E86" s="76"/>
      <c r="F86" s="60"/>
      <c r="G86" s="60"/>
      <c r="H86" s="60"/>
      <c r="I86" s="60"/>
      <c r="J86" s="60"/>
      <c r="K86" s="64"/>
      <c r="L86" s="64"/>
      <c r="M86" s="60"/>
      <c r="N86" s="60"/>
      <c r="O86" s="60"/>
      <c r="P86" s="60"/>
      <c r="Q86" s="60"/>
      <c r="R86" s="60"/>
      <c r="S86" s="60"/>
      <c r="T86" s="60"/>
      <c r="U86" s="60"/>
      <c r="V86" s="60"/>
      <c r="W86" s="60"/>
      <c r="X86" s="60"/>
      <c r="Y86" s="76"/>
      <c r="Z86" s="60"/>
      <c r="AA86" s="60"/>
      <c r="AB86" s="60"/>
      <c r="AC86" s="60"/>
      <c r="AD86" s="60"/>
      <c r="AE86" s="60"/>
      <c r="AF86" s="80"/>
      <c r="AG86" s="56"/>
      <c r="AH86" s="4"/>
      <c r="AI86" s="56"/>
      <c r="AJ86" s="109"/>
      <c r="AK86" s="56"/>
      <c r="AL86" s="56"/>
      <c r="AM86" s="56"/>
      <c r="AN86" s="56"/>
      <c r="AO86" s="82"/>
      <c r="AP86" s="82"/>
      <c r="AQ86" s="82"/>
      <c r="AR86" s="115"/>
      <c r="AS86" s="82"/>
      <c r="AT86" s="82"/>
      <c r="AU86" s="3"/>
      <c r="AV86" s="25">
        <v>1</v>
      </c>
      <c r="AW86" s="25">
        <v>6</v>
      </c>
      <c r="AX86" s="25">
        <v>12</v>
      </c>
      <c r="AY86" s="53"/>
      <c r="AZ86" s="53"/>
      <c r="BA86" s="53"/>
      <c r="BB86" s="53"/>
      <c r="BC86" s="53"/>
      <c r="BD86" s="53"/>
      <c r="BE86" s="53"/>
      <c r="BF86" s="53"/>
      <c r="BG86" s="53"/>
      <c r="BH86" s="53"/>
      <c r="BI86" s="53"/>
      <c r="BJ86" s="53"/>
      <c r="BK86" s="53"/>
      <c r="BL86" s="53"/>
      <c r="BM86" s="53"/>
      <c r="BN86" s="53"/>
      <c r="BO86" s="53"/>
      <c r="BP86" s="53"/>
      <c r="BQ86" s="53"/>
      <c r="BR86" s="53"/>
      <c r="BS86" s="53"/>
      <c r="BT86" s="53"/>
      <c r="BU86" s="53"/>
      <c r="BV86" s="53"/>
      <c r="BW86" s="53"/>
      <c r="BX86" s="53"/>
      <c r="BY86" s="53"/>
      <c r="BZ86" s="53"/>
      <c r="CA86" s="53"/>
      <c r="CB86" s="53"/>
      <c r="CC86" s="53"/>
      <c r="CD86" s="53"/>
      <c r="CE86" s="53"/>
      <c r="CF86" s="53"/>
      <c r="CG86" s="53"/>
      <c r="CH86" s="53"/>
      <c r="CI86" s="53"/>
      <c r="CJ86" s="53"/>
      <c r="CK86" s="53"/>
      <c r="CL86" s="53"/>
      <c r="CM86" s="53"/>
      <c r="CN86" s="53"/>
      <c r="CO86" s="53"/>
      <c r="CP86" s="53"/>
      <c r="CQ86" s="53"/>
      <c r="CR86" s="1"/>
      <c r="CS86" s="1"/>
      <c r="CT86" s="1"/>
      <c r="CU86" s="1"/>
    </row>
    <row r="87" spans="1:99" s="13" customFormat="1" ht="12" customHeight="1" x14ac:dyDescent="0.2">
      <c r="A87" s="65">
        <v>43509</v>
      </c>
      <c r="B87" s="1" t="s">
        <v>251</v>
      </c>
      <c r="C87" s="1" t="s">
        <v>33</v>
      </c>
      <c r="D87" s="60">
        <v>2014</v>
      </c>
      <c r="E87" s="76">
        <v>4</v>
      </c>
      <c r="F87" s="60">
        <v>15</v>
      </c>
      <c r="G87" s="60">
        <v>15</v>
      </c>
      <c r="H87" s="60" t="s">
        <v>44</v>
      </c>
      <c r="I87" s="60" t="s">
        <v>768</v>
      </c>
      <c r="J87" s="60" t="s">
        <v>764</v>
      </c>
      <c r="K87" s="60">
        <f>IF(J87="syllables",1,IF(J87="trigrams",2,IF(J87="strings",3,IF(J87="visual array",4,IF(J87="characters",5,IF(J87="letters",6,IF(J87="free forms",7,IF(J87="odors",8,IF(J87="words",9,IF(J87="pictures",10,IF(J87="object pictures",11,IF(J87="faces",12,IF(J87="names",13,IF(J87="idioms",14,IF(J87="grades",15,IF(J87="syllable-digit pairs",16,IF(J87="trigram-word pairs",17,IF(J87="word-digit pairs",18,IF(J87="English-Swahili pairs",19,IF(J87="spatial position",20,IF(J87="word pairs",21,IF(J87="word triads",22,IF(J87="generated words",23,IF(J87="word definition pairs",24,IF(J87="math problems",25,IF(J87="famous faces",26,IF(J87="famous names",27,IF(J87="famous voices",28,IF(J87="television programs",29,IF(J87="race horses",30,IF(J87="new vocabulary",31,IF(J87="sentences",32,IF(J87="concepts",33,IF(J87="ad slides",34,IF(J87="scenes",35,IF(J87="famous scenes",36,IF(J87="poems",37,IF(J87="walk",38,IF(J87="faces and events",39,IF(J87="events and names",40,IF(J87="flashbulb",41,IF(J87="stories",42,IF(J87="course material",43,IF(J87="autobiographical",44,IF(J87="novels",45,IF(J87="public events",46,"99"))))))))))))))))))))))))))))))))))))))))))))))</f>
        <v>4</v>
      </c>
      <c r="L87" s="60">
        <f>IF(J87="syllables",1,IF(J87="trigrams",1,IF(J87="strings",1,IF(J87="visual array",1,IF(J87="characters",1,IF(J87="letters",1,IF(J87="free forms",1,IF(J87="odors",2,IF(J87="words",2,IF(J87="pictures",2,IF(J87="object pictures",2,IF(J87="faces",2,IF(J87="names",2,IF(J87="idioms","2",IF(J87="grades",2,IF(J87="syllable-digit pairs",3,IF(J87="trigram-word pairs",3,IF(J87="word-digit pairs",3,IF(J87="English-Swahili pairs",3,IF(J87="spatial position",3,IF(J87="word pairs",4,IF(J87="word triads",4,IF(J87="generated words",4,IF(J87="word definition pairs",4,IF(J87="math problems",4,IF(J87="famous faces",4,IF(J87="famous names",4,IF(J87="famous voices",4,IF(J87="television programs",4,IF(J87="race horses",4,IF(J87="new vocabulary",4,IF(J87="sentences",5,IF(J87="concepts",5,IF(J87="ad slides",5,IF(J87="scenes",5,IF(J87="famous scenes",5,IF(J87="poems",6,IF(J87="walk",6,IF(J87="faces and events",6,IF(J87="events and names",6,IF(J87="flashbulb",7,IF(J87="stories",7,IF(J87="course material",7,IF(J87="autobiographical",7,IF(J87="novels",7,IF(J87="public events",7,"99"))))))))))))))))))))))))))))))))))))))))))))))</f>
        <v>1</v>
      </c>
      <c r="M87" s="60">
        <v>0</v>
      </c>
      <c r="N87" s="60"/>
      <c r="O87" s="60"/>
      <c r="P87" s="60"/>
      <c r="Q87" s="60" t="s">
        <v>34</v>
      </c>
      <c r="R87" s="60">
        <f>IF(Q87="Free Recall",1,IF(Q87="Cued Recall",2,IF(Q87="Recognition",3,IF(Q87="Multiple Choice",4,IF(Q87="Savings",5,IF(Q87="Stem Completion",6,IF(Q87="Fragment Completion",7,IF(Q87="anagram solution",8,IF(Q87="Matching",9,IF(Q87="Problem Solving",10,"99"))))))))))</f>
        <v>3</v>
      </c>
      <c r="S87" s="60" t="s">
        <v>40</v>
      </c>
      <c r="T87" s="59" t="s">
        <v>581</v>
      </c>
      <c r="U87" s="60">
        <f>IF(T87="within",1,0)</f>
        <v>1</v>
      </c>
      <c r="V87" s="59">
        <v>108</v>
      </c>
      <c r="W87" s="60">
        <f>F87*V87</f>
        <v>1620</v>
      </c>
      <c r="X87" s="60">
        <v>3</v>
      </c>
      <c r="Y87" s="76">
        <f>AV86</f>
        <v>1</v>
      </c>
      <c r="Z87" s="60" t="s">
        <v>42</v>
      </c>
      <c r="AA87" s="60">
        <v>12</v>
      </c>
      <c r="AB87" s="60" t="str">
        <f>IF(AA87&lt;60,"1",IF(AA87&lt;=43200,"2",IF(AA87&lt;=777600,"3","4")))</f>
        <v>1</v>
      </c>
      <c r="AC87" s="56">
        <f>AVERAGE(AV86:DA86)</f>
        <v>6.333333333333333</v>
      </c>
      <c r="AD87" s="60" t="str">
        <f>IF(AC87&lt;60,"1",IF(AC87&lt;=43200,"2",IF(AC87&lt;=777600,"3","4")))</f>
        <v>1</v>
      </c>
      <c r="AE87" s="76">
        <f>AA87-Y87</f>
        <v>11</v>
      </c>
      <c r="AF87" s="80">
        <f>AV87</f>
        <v>0.83199999999999996</v>
      </c>
      <c r="AG87" s="56">
        <f>((AW87-AV87)+(AX87-AW87))/2</f>
        <v>-2.4999999999999967E-2</v>
      </c>
      <c r="AH87" s="4"/>
      <c r="AI87" s="56">
        <f>RSQ(AV87:AX87,AV86:AX86)</f>
        <v>0.87248953364356585</v>
      </c>
      <c r="AJ87" s="109">
        <f>SLOPE(AV87:AX87,AV86:AX86)</f>
        <v>-4.4560439560439495E-3</v>
      </c>
      <c r="AK87" s="56">
        <f>INTERCEPT(AV87:AX87,AV86:AX86)</f>
        <v>0.83055494505494498</v>
      </c>
      <c r="AL87" s="56">
        <f>INDEX(LINEST(LN(AV87:AX87),LN(AV86:AX86),TRUE,TRUE),3,1)</f>
        <v>0.99673670172613815</v>
      </c>
      <c r="AM87" s="56">
        <f>INDEX(LINEST(LN(AV87:AX87),LN(AV86:AX86)),1)</f>
        <v>-2.531134236455454E-2</v>
      </c>
      <c r="AN87" s="56">
        <f>EXP(INDEX(LINEST(LN(AV87:AX87),LN(AV86:AX86)),1,2))</f>
        <v>0.83151792384634837</v>
      </c>
      <c r="AO87" s="82">
        <f>INDEX(LINEST((AV87:AX87),LN(AV86:AX86),TRUE,TRUE),3,1)</f>
        <v>0.99606258867089548</v>
      </c>
      <c r="AP87" s="82">
        <f>INDEX(LINEST((AV87:AX87),LN(AV86:AX86)),1)</f>
        <v>-2.0449667754359174E-2</v>
      </c>
      <c r="AQ87" s="83">
        <f>INDEX(LINEST(LN(AV87:AX87),SQRT(AV86:AX86),TRUE,TRUE),3,1)</f>
        <v>0.95834845275562841</v>
      </c>
      <c r="AR87" s="116">
        <f>INDEX(LINEST(LN(AV87:AX87),SQRT((AV86:AX86))),1)</f>
        <v>-2.5698138207032952E-2</v>
      </c>
      <c r="AS87" s="84">
        <f>INDEX(LINEST(1/(AV87:AX87),1/(SQRT(AV86:AX86)),TRUE,TRUE),3,1)</f>
        <v>0.99582950547051263</v>
      </c>
      <c r="AT87" s="84">
        <f>INDEX(LINEST(1/(AV87:AX87),1/SQRT(AV86:AX86)),1)</f>
        <v>-0.10542222028781423</v>
      </c>
      <c r="AU87" s="3"/>
      <c r="AV87" s="53">
        <v>0.83199999999999996</v>
      </c>
      <c r="AW87" s="53">
        <v>0.79300000000000004</v>
      </c>
      <c r="AX87" s="53">
        <v>0.78200000000000003</v>
      </c>
      <c r="AY87" s="53"/>
      <c r="AZ87" s="53"/>
      <c r="BA87" s="53"/>
      <c r="BB87" s="53"/>
      <c r="BC87" s="53"/>
      <c r="BD87" s="53"/>
      <c r="BE87" s="53"/>
      <c r="BF87" s="53"/>
      <c r="BG87" s="53"/>
      <c r="BH87" s="53"/>
      <c r="BI87" s="53"/>
      <c r="BJ87" s="53"/>
      <c r="BK87" s="53"/>
      <c r="BL87" s="53"/>
      <c r="BM87" s="53"/>
      <c r="BN87" s="53"/>
      <c r="BO87" s="53"/>
      <c r="BP87" s="53"/>
      <c r="BQ87" s="53"/>
      <c r="BR87" s="53"/>
      <c r="BS87" s="53"/>
      <c r="BT87" s="53"/>
      <c r="BU87" s="53"/>
      <c r="BV87" s="53"/>
      <c r="BW87" s="53"/>
      <c r="BX87" s="53"/>
      <c r="BY87" s="53"/>
      <c r="BZ87" s="53"/>
      <c r="CA87" s="53"/>
      <c r="CB87" s="53"/>
      <c r="CC87" s="53"/>
      <c r="CD87" s="53"/>
      <c r="CE87" s="53"/>
      <c r="CF87" s="53"/>
      <c r="CG87" s="53"/>
      <c r="CH87" s="53"/>
      <c r="CI87" s="53"/>
      <c r="CJ87" s="53"/>
      <c r="CK87" s="53"/>
      <c r="CL87" s="53"/>
      <c r="CM87" s="53"/>
      <c r="CN87" s="53"/>
      <c r="CO87" s="53"/>
      <c r="CP87" s="53"/>
      <c r="CQ87" s="53"/>
      <c r="CR87" s="1"/>
      <c r="CS87" s="1"/>
      <c r="CT87" s="1"/>
      <c r="CU87" s="1"/>
    </row>
    <row r="88" spans="1:99" s="13" customFormat="1" ht="12" customHeight="1" x14ac:dyDescent="0.2">
      <c r="A88" s="68">
        <v>43509</v>
      </c>
      <c r="B88" s="70"/>
      <c r="C88" s="70"/>
      <c r="D88" s="69"/>
      <c r="E88" s="87"/>
      <c r="F88" s="69"/>
      <c r="G88" s="69"/>
      <c r="H88" s="69"/>
      <c r="I88" s="69"/>
      <c r="J88" s="69"/>
      <c r="K88" s="107"/>
      <c r="L88" s="107"/>
      <c r="M88" s="69"/>
      <c r="N88" s="69"/>
      <c r="O88" s="69"/>
      <c r="P88" s="69"/>
      <c r="Q88" s="69"/>
      <c r="R88" s="69"/>
      <c r="S88" s="69"/>
      <c r="T88" s="69"/>
      <c r="U88" s="60"/>
      <c r="V88" s="69"/>
      <c r="W88" s="69"/>
      <c r="X88" s="69"/>
      <c r="Y88" s="87"/>
      <c r="Z88" s="69"/>
      <c r="AA88" s="69"/>
      <c r="AB88" s="69"/>
      <c r="AC88" s="69"/>
      <c r="AD88" s="69"/>
      <c r="AE88" s="69"/>
      <c r="AF88" s="88"/>
      <c r="AG88" s="72"/>
      <c r="AH88" s="4"/>
      <c r="AI88" s="72"/>
      <c r="AJ88" s="110"/>
      <c r="AK88" s="72"/>
      <c r="AL88" s="72"/>
      <c r="AM88" s="72"/>
      <c r="AN88" s="72"/>
      <c r="AO88" s="72"/>
      <c r="AP88" s="72"/>
      <c r="AQ88" s="72"/>
      <c r="AR88" s="110"/>
      <c r="AS88" s="72"/>
      <c r="AT88" s="72"/>
      <c r="AU88" s="4"/>
      <c r="AV88" s="71">
        <v>1</v>
      </c>
      <c r="AW88" s="71">
        <v>6</v>
      </c>
      <c r="AX88" s="71">
        <v>12</v>
      </c>
      <c r="AY88" s="53"/>
      <c r="AZ88" s="53"/>
      <c r="BA88" s="53"/>
      <c r="BB88" s="53"/>
      <c r="BC88" s="53"/>
      <c r="BD88" s="53"/>
      <c r="BE88" s="53"/>
      <c r="BF88" s="53"/>
      <c r="BG88" s="53"/>
      <c r="BH88" s="53"/>
      <c r="BI88" s="53"/>
      <c r="BJ88" s="53"/>
      <c r="BK88" s="53"/>
      <c r="BL88" s="53"/>
      <c r="BM88" s="53"/>
      <c r="BN88" s="53"/>
      <c r="BO88" s="53"/>
      <c r="BP88" s="53"/>
      <c r="BQ88" s="53"/>
      <c r="BR88" s="53"/>
      <c r="BS88" s="53"/>
      <c r="BT88" s="53"/>
      <c r="BU88" s="53"/>
      <c r="BV88" s="53"/>
      <c r="BW88" s="53"/>
      <c r="BX88" s="53"/>
      <c r="BY88" s="53"/>
      <c r="BZ88" s="53"/>
      <c r="CA88" s="53"/>
      <c r="CB88" s="53"/>
      <c r="CC88" s="53"/>
      <c r="CD88" s="53"/>
      <c r="CE88" s="53"/>
      <c r="CF88" s="53"/>
      <c r="CG88" s="53"/>
      <c r="CH88" s="53"/>
      <c r="CI88" s="53"/>
      <c r="CJ88" s="53"/>
      <c r="CK88" s="53"/>
      <c r="CL88" s="53"/>
      <c r="CM88" s="53"/>
      <c r="CN88" s="53"/>
      <c r="CO88" s="53"/>
      <c r="CP88" s="53"/>
      <c r="CQ88" s="53"/>
      <c r="CR88" s="1"/>
      <c r="CS88" s="1"/>
      <c r="CT88" s="1"/>
      <c r="CU88" s="1"/>
    </row>
    <row r="89" spans="1:99" s="13" customFormat="1" ht="12" customHeight="1" x14ac:dyDescent="0.2">
      <c r="A89" s="68">
        <v>43509</v>
      </c>
      <c r="B89" s="70" t="s">
        <v>252</v>
      </c>
      <c r="C89" s="70" t="s">
        <v>45</v>
      </c>
      <c r="D89" s="69">
        <v>2014</v>
      </c>
      <c r="E89" s="87">
        <v>1</v>
      </c>
      <c r="F89" s="69">
        <v>68</v>
      </c>
      <c r="G89" s="69">
        <v>68</v>
      </c>
      <c r="H89" s="69" t="s">
        <v>41</v>
      </c>
      <c r="I89" s="69" t="s">
        <v>770</v>
      </c>
      <c r="J89" s="69" t="s">
        <v>764</v>
      </c>
      <c r="K89" s="69">
        <f>IF(J89="syllables",1,IF(J89="trigrams",2,IF(J89="strings",3,IF(J89="visual array",4,IF(J89="characters",5,IF(J89="letters",6,IF(J89="free forms",7,IF(J89="odors",8,IF(J89="words",9,IF(J89="pictures",10,IF(J89="object pictures",11,IF(J89="faces",12,IF(J89="names",13,IF(J89="idioms",14,IF(J89="grades",15,IF(J89="syllable-digit pairs",16,IF(J89="trigram-word pairs",17,IF(J89="word-digit pairs",18,IF(J89="English-Swahili pairs",19,IF(J89="spatial position",20,IF(J89="word pairs",21,IF(J89="word triads",22,IF(J89="generated words",23,IF(J89="word definition pairs",24,IF(J89="math problems",25,IF(J89="famous faces",26,IF(J89="famous names",27,IF(J89="famous voices",28,IF(J89="television programs",29,IF(J89="race horses",30,IF(J89="new vocabulary",31,IF(J89="sentences",32,IF(J89="concepts",33,IF(J89="ad slides",34,IF(J89="scenes",35,IF(J89="famous scenes",36,IF(J89="poems",37,IF(J89="walk",38,IF(J89="faces and events",39,IF(J89="events and names",40,IF(J89="flashbulb",41,IF(J89="stories",42,IF(J89="course material",43,IF(J89="autobiographical",44,IF(J89="novels",45,IF(J89="public events",46,"99"))))))))))))))))))))))))))))))))))))))))))))))</f>
        <v>4</v>
      </c>
      <c r="L89" s="69">
        <f>IF(J89="syllables",1,IF(J89="trigrams",1,IF(J89="strings",1,IF(J89="visual array",1,IF(J89="characters",1,IF(J89="letters",1,IF(J89="free forms",1,IF(J89="odors",2,IF(J89="words",2,IF(J89="pictures",2,IF(J89="object pictures",2,IF(J89="faces",2,IF(J89="names",2,IF(J89="idioms","2",IF(J89="grades",2,IF(J89="syllable-digit pairs",3,IF(J89="trigram-word pairs",3,IF(J89="word-digit pairs",3,IF(J89="English-Swahili pairs",3,IF(J89="spatial position",3,IF(J89="word pairs",4,IF(J89="word triads",4,IF(J89="generated words",4,IF(J89="word definition pairs",4,IF(J89="math problems",4,IF(J89="famous faces",4,IF(J89="famous names",4,IF(J89="famous voices",4,IF(J89="television programs",4,IF(J89="race horses",4,IF(J89="new vocabulary",4,IF(J89="sentences",5,IF(J89="concepts",5,IF(J89="ad slides",5,IF(J89="scenes",5,IF(J89="famous scenes",5,IF(J89="poems",6,IF(J89="walk",6,IF(J89="faces and events",6,IF(J89="events and names",6,IF(J89="flashbulb",7,IF(J89="stories",7,IF(J89="course material",7,IF(J89="autobiographical",7,IF(J89="novels",7,IF(J89="public events",7,"99"))))))))))))))))))))))))))))))))))))))))))))))</f>
        <v>1</v>
      </c>
      <c r="M89" s="69">
        <v>0</v>
      </c>
      <c r="N89" s="69"/>
      <c r="O89" s="69"/>
      <c r="P89" s="69"/>
      <c r="Q89" s="69" t="s">
        <v>34</v>
      </c>
      <c r="R89" s="69">
        <f>IF(Q89="Free Recall",1,IF(Q89="Cued Recall",2,IF(Q89="Recognition",3,IF(Q89="Multiple Choice",4,IF(Q89="Savings",5,IF(Q89="Stem Completion",6,IF(Q89="Fragment Completion",7,IF(Q89="anagram solution",8,IF(Q89="Matching",9,IF(Q89="Problem Solving",10,"99"))))))))))</f>
        <v>3</v>
      </c>
      <c r="S89" s="69" t="s">
        <v>40</v>
      </c>
      <c r="T89" s="92" t="s">
        <v>581</v>
      </c>
      <c r="U89" s="60">
        <f>IF(T89="within",1,0)</f>
        <v>1</v>
      </c>
      <c r="V89" s="92">
        <v>48</v>
      </c>
      <c r="W89" s="69">
        <f>F89*V89</f>
        <v>3264</v>
      </c>
      <c r="X89" s="69">
        <v>3</v>
      </c>
      <c r="Y89" s="87">
        <f>AV88</f>
        <v>1</v>
      </c>
      <c r="Z89" s="69" t="s">
        <v>42</v>
      </c>
      <c r="AA89" s="69">
        <v>12</v>
      </c>
      <c r="AB89" s="69" t="str">
        <f>IF(AA89&lt;60,"1",IF(AA89&lt;=43200,"2",IF(AA89&lt;=777600,"3","4")))</f>
        <v>1</v>
      </c>
      <c r="AC89" s="72">
        <f>AVERAGE(AV88:DA88)</f>
        <v>6.333333333333333</v>
      </c>
      <c r="AD89" s="69" t="str">
        <f>IF(AC89&lt;60,"1",IF(AC89&lt;=43200,"2",IF(AC89&lt;=777600,"3","4")))</f>
        <v>1</v>
      </c>
      <c r="AE89" s="87">
        <f>AA89-Y89</f>
        <v>11</v>
      </c>
      <c r="AF89" s="88">
        <f>AV89</f>
        <v>0.83399999999999996</v>
      </c>
      <c r="AG89" s="72">
        <f>((AW89-AV89)+(AX89-AW89))/2</f>
        <v>-6.4500000000000002E-2</v>
      </c>
      <c r="AH89" s="4"/>
      <c r="AI89" s="72">
        <f>RSQ(AV89:AX89,AV88:AX88)</f>
        <v>0.9501168880105203</v>
      </c>
      <c r="AJ89" s="110">
        <f>SLOPE(AV89:AX89,AV88:AX88)</f>
        <v>-1.1587912087912088E-2</v>
      </c>
      <c r="AK89" s="72">
        <f>INTERCEPT(AV89:AX89,AV88:AX88)</f>
        <v>0.83639010989010987</v>
      </c>
      <c r="AL89" s="72">
        <f>INDEX(LINEST(LN(AV89:AX89),LN(AV88:AX88),TRUE,TRUE),3,1)</f>
        <v>0.99024689572848323</v>
      </c>
      <c r="AM89" s="72">
        <f>INDEX(LINEST(LN(AV89:AX89),LN(AV88:AX88)),1)</f>
        <v>-6.5951793787283552E-2</v>
      </c>
      <c r="AN89" s="72">
        <f>EXP(INDEX(LINEST(LN(AV89:AX89),LN(AV88:AX88)),1,2))</f>
        <v>0.83618738933847037</v>
      </c>
      <c r="AO89" s="89">
        <f>INDEX(LINEST((AV89:AX89),LN(AV88:AX88),TRUE,TRUE),3,1)</f>
        <v>0.99406562542415378</v>
      </c>
      <c r="AP89" s="89">
        <f>INDEX(LINEST((AV89:AX89),LN(AV88:AX88)),1)</f>
        <v>-5.0909377875555661E-2</v>
      </c>
      <c r="AQ89" s="90">
        <f>INDEX(LINEST(LN(AV89:AX89),SQRT(AV88:AX88),TRUE,TRUE),3,1)</f>
        <v>0.99755613229223716</v>
      </c>
      <c r="AR89" s="117">
        <f>INDEX(LINEST(LN(AV89:AX89),SQRT((AV88:AX88))),1)</f>
        <v>-6.8539119838707294E-2</v>
      </c>
      <c r="AS89" s="91">
        <f>INDEX(LINEST(1/(AV89:AX89),1/(SQRT(AV88:AX88)),TRUE,TRUE),3,1)</f>
        <v>0.94475509775436239</v>
      </c>
      <c r="AT89" s="91">
        <f>INDEX(LINEST(1/(AV89:AX89),1/SQRT(AV88:AX88)),1)</f>
        <v>-0.28227694986240243</v>
      </c>
      <c r="AU89" s="3"/>
      <c r="AV89" s="73">
        <v>0.83399999999999996</v>
      </c>
      <c r="AW89" s="73">
        <v>0.75</v>
      </c>
      <c r="AX89" s="73">
        <v>0.70499999999999996</v>
      </c>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53"/>
      <c r="CD89" s="53"/>
      <c r="CE89" s="53"/>
      <c r="CF89" s="53"/>
      <c r="CG89" s="53"/>
      <c r="CH89" s="53"/>
      <c r="CI89" s="53"/>
      <c r="CJ89" s="53"/>
      <c r="CK89" s="53"/>
      <c r="CL89" s="53"/>
      <c r="CM89" s="53"/>
      <c r="CN89" s="53"/>
      <c r="CO89" s="53"/>
      <c r="CP89" s="53"/>
      <c r="CQ89" s="53"/>
      <c r="CR89" s="1"/>
      <c r="CS89" s="1"/>
      <c r="CT89" s="1"/>
      <c r="CU89" s="1"/>
    </row>
    <row r="90" spans="1:99" s="13" customFormat="1" ht="12" customHeight="1" x14ac:dyDescent="0.2">
      <c r="A90" s="68">
        <v>43509</v>
      </c>
      <c r="B90" s="70"/>
      <c r="C90" s="70"/>
      <c r="D90" s="69"/>
      <c r="E90" s="87"/>
      <c r="F90" s="69"/>
      <c r="G90" s="69"/>
      <c r="H90" s="69"/>
      <c r="I90" s="69"/>
      <c r="J90" s="69"/>
      <c r="K90" s="107"/>
      <c r="L90" s="107"/>
      <c r="M90" s="69"/>
      <c r="N90" s="69"/>
      <c r="O90" s="69"/>
      <c r="P90" s="69"/>
      <c r="Q90" s="69"/>
      <c r="R90" s="69"/>
      <c r="S90" s="69"/>
      <c r="T90" s="92"/>
      <c r="U90" s="60"/>
      <c r="V90" s="69"/>
      <c r="W90" s="69"/>
      <c r="X90" s="69"/>
      <c r="Y90" s="87"/>
      <c r="Z90" s="69"/>
      <c r="AA90" s="69"/>
      <c r="AB90" s="69"/>
      <c r="AC90" s="69"/>
      <c r="AD90" s="69"/>
      <c r="AE90" s="69"/>
      <c r="AF90" s="88"/>
      <c r="AG90" s="72"/>
      <c r="AH90" s="4"/>
      <c r="AI90" s="72"/>
      <c r="AJ90" s="110"/>
      <c r="AK90" s="72"/>
      <c r="AL90" s="72"/>
      <c r="AM90" s="72"/>
      <c r="AN90" s="72"/>
      <c r="AO90" s="89"/>
      <c r="AP90" s="89"/>
      <c r="AQ90" s="89"/>
      <c r="AR90" s="118"/>
      <c r="AS90" s="89"/>
      <c r="AT90" s="89"/>
      <c r="AU90" s="3"/>
      <c r="AV90" s="71">
        <v>1</v>
      </c>
      <c r="AW90" s="71">
        <v>6</v>
      </c>
      <c r="AX90" s="71">
        <v>12</v>
      </c>
      <c r="AY90" s="53"/>
      <c r="AZ90" s="53"/>
      <c r="BA90" s="53"/>
      <c r="BB90" s="53"/>
      <c r="BC90" s="53"/>
      <c r="BD90" s="53"/>
      <c r="BE90" s="53"/>
      <c r="BF90" s="53"/>
      <c r="BG90" s="53"/>
      <c r="BH90" s="53"/>
      <c r="BI90" s="53"/>
      <c r="BJ90" s="53"/>
      <c r="BK90" s="53"/>
      <c r="BL90" s="53"/>
      <c r="BM90" s="53"/>
      <c r="BN90" s="53"/>
      <c r="BO90" s="53"/>
      <c r="BP90" s="53"/>
      <c r="BQ90" s="53"/>
      <c r="BR90" s="53"/>
      <c r="BS90" s="53"/>
      <c r="BT90" s="53"/>
      <c r="BU90" s="53"/>
      <c r="BV90" s="53"/>
      <c r="BW90" s="53"/>
      <c r="BX90" s="53"/>
      <c r="BY90" s="53"/>
      <c r="BZ90" s="53"/>
      <c r="CA90" s="53"/>
      <c r="CB90" s="53"/>
      <c r="CC90" s="53"/>
      <c r="CD90" s="53"/>
      <c r="CE90" s="53"/>
      <c r="CF90" s="53"/>
      <c r="CG90" s="53"/>
      <c r="CH90" s="53"/>
      <c r="CI90" s="53"/>
      <c r="CJ90" s="53"/>
      <c r="CK90" s="53"/>
      <c r="CL90" s="53"/>
      <c r="CM90" s="53"/>
      <c r="CN90" s="53"/>
      <c r="CO90" s="53"/>
      <c r="CP90" s="53"/>
      <c r="CQ90" s="53"/>
      <c r="CR90" s="1"/>
      <c r="CS90" s="1"/>
      <c r="CT90" s="1"/>
      <c r="CU90" s="1"/>
    </row>
    <row r="91" spans="1:99" s="13" customFormat="1" ht="12" customHeight="1" x14ac:dyDescent="0.2">
      <c r="A91" s="68">
        <v>43509</v>
      </c>
      <c r="B91" s="70" t="s">
        <v>252</v>
      </c>
      <c r="C91" s="70" t="s">
        <v>45</v>
      </c>
      <c r="D91" s="69">
        <v>2014</v>
      </c>
      <c r="E91" s="87">
        <v>1</v>
      </c>
      <c r="F91" s="69">
        <v>68</v>
      </c>
      <c r="G91" s="69">
        <v>68</v>
      </c>
      <c r="H91" s="69" t="s">
        <v>41</v>
      </c>
      <c r="I91" s="69" t="s">
        <v>771</v>
      </c>
      <c r="J91" s="69" t="s">
        <v>764</v>
      </c>
      <c r="K91" s="69">
        <f>IF(J91="syllables",1,IF(J91="trigrams",2,IF(J91="strings",3,IF(J91="visual array",4,IF(J91="characters",5,IF(J91="letters",6,IF(J91="free forms",7,IF(J91="odors",8,IF(J91="words",9,IF(J91="pictures",10,IF(J91="object pictures",11,IF(J91="faces",12,IF(J91="names",13,IF(J91="idioms",14,IF(J91="grades",15,IF(J91="syllable-digit pairs",16,IF(J91="trigram-word pairs",17,IF(J91="word-digit pairs",18,IF(J91="English-Swahili pairs",19,IF(J91="spatial position",20,IF(J91="word pairs",21,IF(J91="word triads",22,IF(J91="generated words",23,IF(J91="word definition pairs",24,IF(J91="math problems",25,IF(J91="famous faces",26,IF(J91="famous names",27,IF(J91="famous voices",28,IF(J91="television programs",29,IF(J91="race horses",30,IF(J91="new vocabulary",31,IF(J91="sentences",32,IF(J91="concepts",33,IF(J91="ad slides",34,IF(J91="scenes",35,IF(J91="famous scenes",36,IF(J91="poems",37,IF(J91="walk",38,IF(J91="faces and events",39,IF(J91="events and names",40,IF(J91="flashbulb",41,IF(J91="stories",42,IF(J91="course material",43,IF(J91="autobiographical",44,IF(J91="novels",45,IF(J91="public events",46,"99"))))))))))))))))))))))))))))))))))))))))))))))</f>
        <v>4</v>
      </c>
      <c r="L91" s="69">
        <f>IF(J91="syllables",1,IF(J91="trigrams",1,IF(J91="strings",1,IF(J91="visual array",1,IF(J91="characters",1,IF(J91="letters",1,IF(J91="free forms",1,IF(J91="odors",2,IF(J91="words",2,IF(J91="pictures",2,IF(J91="object pictures",2,IF(J91="faces",2,IF(J91="names",2,IF(J91="idioms","2",IF(J91="grades",2,IF(J91="syllable-digit pairs",3,IF(J91="trigram-word pairs",3,IF(J91="word-digit pairs",3,IF(J91="English-Swahili pairs",3,IF(J91="spatial position",3,IF(J91="word pairs",4,IF(J91="word triads",4,IF(J91="generated words",4,IF(J91="word definition pairs",4,IF(J91="math problems",4,IF(J91="famous faces",4,IF(J91="famous names",4,IF(J91="famous voices",4,IF(J91="television programs",4,IF(J91="race horses",4,IF(J91="new vocabulary",4,IF(J91="sentences",5,IF(J91="concepts",5,IF(J91="ad slides",5,IF(J91="scenes",5,IF(J91="famous scenes",5,IF(J91="poems",6,IF(J91="walk",6,IF(J91="faces and events",6,IF(J91="events and names",6,IF(J91="flashbulb",7,IF(J91="stories",7,IF(J91="course material",7,IF(J91="autobiographical",7,IF(J91="novels",7,IF(J91="public events",7,"99"))))))))))))))))))))))))))))))))))))))))))))))</f>
        <v>1</v>
      </c>
      <c r="M91" s="69">
        <v>0</v>
      </c>
      <c r="N91" s="69"/>
      <c r="O91" s="69"/>
      <c r="P91" s="69"/>
      <c r="Q91" s="69" t="s">
        <v>34</v>
      </c>
      <c r="R91" s="69">
        <f>IF(Q91="Free Recall",1,IF(Q91="Cued Recall",2,IF(Q91="Recognition",3,IF(Q91="Multiple Choice",4,IF(Q91="Savings",5,IF(Q91="Stem Completion",6,IF(Q91="Fragment Completion",7,IF(Q91="anagram solution",8,IF(Q91="Matching",9,IF(Q91="Problem Solving",10,"99"))))))))))</f>
        <v>3</v>
      </c>
      <c r="S91" s="69" t="s">
        <v>40</v>
      </c>
      <c r="T91" s="92" t="s">
        <v>581</v>
      </c>
      <c r="U91" s="60">
        <f>IF(T91="within",1,0)</f>
        <v>1</v>
      </c>
      <c r="V91" s="92">
        <v>48</v>
      </c>
      <c r="W91" s="69">
        <f>F91*V91</f>
        <v>3264</v>
      </c>
      <c r="X91" s="69">
        <v>3</v>
      </c>
      <c r="Y91" s="87">
        <f>AV90</f>
        <v>1</v>
      </c>
      <c r="Z91" s="69" t="s">
        <v>42</v>
      </c>
      <c r="AA91" s="69">
        <v>12</v>
      </c>
      <c r="AB91" s="69" t="str">
        <f>IF(AA91&lt;60,"1",IF(AA91&lt;=43200,"2",IF(AA91&lt;=777600,"3","4")))</f>
        <v>1</v>
      </c>
      <c r="AC91" s="72">
        <f>AVERAGE(AV90:DA90)</f>
        <v>6.333333333333333</v>
      </c>
      <c r="AD91" s="69" t="str">
        <f>IF(AC91&lt;60,"1",IF(AC91&lt;=43200,"2",IF(AC91&lt;=777600,"3","4")))</f>
        <v>1</v>
      </c>
      <c r="AE91" s="87">
        <f>AA91-Y91</f>
        <v>11</v>
      </c>
      <c r="AF91" s="88">
        <f>AV91</f>
        <v>0.82099999999999995</v>
      </c>
      <c r="AG91" s="72">
        <f>((AW91-AV91)+(AX91-AW91))/2</f>
        <v>-4.1499999999999981E-2</v>
      </c>
      <c r="AH91" s="4"/>
      <c r="AI91" s="72">
        <f>RSQ(AV91:AX91,AV90:AX90)</f>
        <v>0.96658144974675331</v>
      </c>
      <c r="AJ91" s="110">
        <f>SLOPE(AV91:AX91,AV90:AX90)</f>
        <v>-7.4725274725274691E-3</v>
      </c>
      <c r="AK91" s="72">
        <f>INTERCEPT(AV91:AX91,AV90:AX90)</f>
        <v>0.82365934065934054</v>
      </c>
      <c r="AL91" s="72">
        <f>INDEX(LINEST(LN(AV91:AX91),LN(AV90:AX90),TRUE,TRUE),3,1)</f>
        <v>0.98242045805717959</v>
      </c>
      <c r="AM91" s="72">
        <f>INDEX(LINEST(LN(AV91:AX91),LN(AV90:AX90)),1)</f>
        <v>-4.14745068316828E-2</v>
      </c>
      <c r="AN91" s="72">
        <f>EXP(INDEX(LINEST(LN(AV91:AX91),LN(AV90:AX90)),1,2))</f>
        <v>0.82282484721665994</v>
      </c>
      <c r="AO91" s="89">
        <f>INDEX(LINEST((AV91:AX91),LN(AV90:AX90),TRUE,TRUE),3,1)</f>
        <v>0.98601979655521321</v>
      </c>
      <c r="AP91" s="89">
        <f>INDEX(LINEST((AV91:AX91),LN(AV90:AX90)),1)</f>
        <v>-3.2416393710040389E-2</v>
      </c>
      <c r="AQ91" s="90">
        <f>INDEX(LINEST(LN(AV91:AX91),SQRT(AV90:AX90),TRUE,TRUE),3,1)</f>
        <v>0.99976300492415271</v>
      </c>
      <c r="AR91" s="117">
        <f>INDEX(LINEST(LN(AV91:AX91),SQRT((AV90:AX90))),1)</f>
        <v>-4.3320758008030501E-2</v>
      </c>
      <c r="AS91" s="91">
        <f>INDEX(LINEST(1/(AV91:AX91),1/(SQRT(AV90:AX90)),TRUE,TRUE),3,1)</f>
        <v>0.93207901787471581</v>
      </c>
      <c r="AT91" s="91">
        <f>INDEX(LINEST(1/(AV91:AX91),1/SQRT(AV90:AX90)),1)</f>
        <v>-0.17452425406399533</v>
      </c>
      <c r="AU91" s="3"/>
      <c r="AV91" s="73">
        <v>0.82099999999999995</v>
      </c>
      <c r="AW91" s="73">
        <v>0.77</v>
      </c>
      <c r="AX91" s="73">
        <v>0.73799999999999999</v>
      </c>
      <c r="AY91" s="53"/>
      <c r="AZ91" s="53"/>
      <c r="BA91" s="53"/>
      <c r="BB91" s="53"/>
      <c r="BC91" s="53"/>
      <c r="BD91" s="53"/>
      <c r="BE91" s="53"/>
      <c r="BF91" s="53"/>
      <c r="BG91" s="53"/>
      <c r="BH91" s="53"/>
      <c r="BI91" s="53"/>
      <c r="BJ91" s="53"/>
      <c r="BK91" s="53"/>
      <c r="BL91" s="53"/>
      <c r="BM91" s="53"/>
      <c r="BN91" s="53"/>
      <c r="BO91" s="53"/>
      <c r="BP91" s="53"/>
      <c r="BQ91" s="53"/>
      <c r="BR91" s="53"/>
      <c r="BS91" s="53"/>
      <c r="BT91" s="53"/>
      <c r="BU91" s="53"/>
      <c r="BV91" s="53"/>
      <c r="BW91" s="53"/>
      <c r="BX91" s="53"/>
      <c r="BY91" s="53"/>
      <c r="BZ91" s="53"/>
      <c r="CA91" s="53"/>
      <c r="CB91" s="53"/>
      <c r="CC91" s="53"/>
      <c r="CD91" s="53"/>
      <c r="CE91" s="53"/>
      <c r="CF91" s="53"/>
      <c r="CG91" s="53"/>
      <c r="CH91" s="53"/>
      <c r="CI91" s="53"/>
      <c r="CJ91" s="53"/>
      <c r="CK91" s="53"/>
      <c r="CL91" s="53"/>
      <c r="CM91" s="53"/>
      <c r="CN91" s="53"/>
      <c r="CO91" s="53"/>
      <c r="CP91" s="53"/>
      <c r="CQ91" s="53"/>
      <c r="CR91" s="1"/>
      <c r="CS91" s="1"/>
      <c r="CT91" s="1"/>
      <c r="CU91" s="1"/>
    </row>
    <row r="92" spans="1:99" s="13" customFormat="1" ht="12" customHeight="1" x14ac:dyDescent="0.2">
      <c r="A92" s="68">
        <v>43509</v>
      </c>
      <c r="B92" s="70"/>
      <c r="C92" s="70"/>
      <c r="D92" s="69"/>
      <c r="E92" s="87"/>
      <c r="F92" s="69"/>
      <c r="G92" s="69"/>
      <c r="H92" s="69"/>
      <c r="I92" s="69"/>
      <c r="J92" s="69"/>
      <c r="K92" s="107"/>
      <c r="L92" s="107"/>
      <c r="M92" s="69"/>
      <c r="N92" s="69"/>
      <c r="O92" s="69"/>
      <c r="P92" s="69"/>
      <c r="Q92" s="69"/>
      <c r="R92" s="69"/>
      <c r="S92" s="69"/>
      <c r="T92" s="69"/>
      <c r="U92" s="60"/>
      <c r="V92" s="69"/>
      <c r="W92" s="69"/>
      <c r="X92" s="69"/>
      <c r="Y92" s="87"/>
      <c r="Z92" s="69"/>
      <c r="AA92" s="69"/>
      <c r="AB92" s="69"/>
      <c r="AC92" s="69"/>
      <c r="AD92" s="69"/>
      <c r="AE92" s="69"/>
      <c r="AF92" s="88"/>
      <c r="AG92" s="72"/>
      <c r="AH92" s="4"/>
      <c r="AI92" s="72"/>
      <c r="AJ92" s="110"/>
      <c r="AK92" s="72"/>
      <c r="AL92" s="72"/>
      <c r="AM92" s="72"/>
      <c r="AN92" s="72"/>
      <c r="AO92" s="89"/>
      <c r="AP92" s="89"/>
      <c r="AQ92" s="89"/>
      <c r="AR92" s="118"/>
      <c r="AS92" s="89"/>
      <c r="AT92" s="89"/>
      <c r="AU92" s="3"/>
      <c r="AV92" s="71">
        <v>1</v>
      </c>
      <c r="AW92" s="71">
        <v>6</v>
      </c>
      <c r="AX92" s="71">
        <v>12</v>
      </c>
      <c r="AY92" s="53"/>
      <c r="AZ92" s="53"/>
      <c r="BA92" s="53"/>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53"/>
      <c r="CD92" s="53"/>
      <c r="CE92" s="53"/>
      <c r="CF92" s="53"/>
      <c r="CG92" s="53"/>
      <c r="CH92" s="53"/>
      <c r="CI92" s="53"/>
      <c r="CJ92" s="53"/>
      <c r="CK92" s="53"/>
      <c r="CL92" s="53"/>
      <c r="CM92" s="53"/>
      <c r="CN92" s="53"/>
      <c r="CO92" s="53"/>
      <c r="CP92" s="53"/>
      <c r="CQ92" s="53"/>
      <c r="CR92" s="1"/>
      <c r="CS92" s="1"/>
      <c r="CT92" s="1"/>
      <c r="CU92" s="1"/>
    </row>
    <row r="93" spans="1:99" s="13" customFormat="1" ht="12" customHeight="1" x14ac:dyDescent="0.2">
      <c r="A93" s="68">
        <v>43509</v>
      </c>
      <c r="B93" s="70" t="s">
        <v>252</v>
      </c>
      <c r="C93" s="70" t="s">
        <v>45</v>
      </c>
      <c r="D93" s="69">
        <v>2014</v>
      </c>
      <c r="E93" s="87">
        <v>1</v>
      </c>
      <c r="F93" s="69">
        <v>68</v>
      </c>
      <c r="G93" s="69">
        <v>68</v>
      </c>
      <c r="H93" s="69" t="s">
        <v>41</v>
      </c>
      <c r="I93" s="69" t="s">
        <v>772</v>
      </c>
      <c r="J93" s="69" t="s">
        <v>764</v>
      </c>
      <c r="K93" s="69">
        <f>IF(J93="syllables",1,IF(J93="trigrams",2,IF(J93="strings",3,IF(J93="visual array",4,IF(J93="characters",5,IF(J93="letters",6,IF(J93="free forms",7,IF(J93="odors",8,IF(J93="words",9,IF(J93="pictures",10,IF(J93="object pictures",11,IF(J93="faces",12,IF(J93="names",13,IF(J93="idioms",14,IF(J93="grades",15,IF(J93="syllable-digit pairs",16,IF(J93="trigram-word pairs",17,IF(J93="word-digit pairs",18,IF(J93="English-Swahili pairs",19,IF(J93="spatial position",20,IF(J93="word pairs",21,IF(J93="word triads",22,IF(J93="generated words",23,IF(J93="word definition pairs",24,IF(J93="math problems",25,IF(J93="famous faces",26,IF(J93="famous names",27,IF(J93="famous voices",28,IF(J93="television programs",29,IF(J93="race horses",30,IF(J93="new vocabulary",31,IF(J93="sentences",32,IF(J93="concepts",33,IF(J93="ad slides",34,IF(J93="scenes",35,IF(J93="famous scenes",36,IF(J93="poems",37,IF(J93="walk",38,IF(J93="faces and events",39,IF(J93="events and names",40,IF(J93="flashbulb",41,IF(J93="stories",42,IF(J93="course material",43,IF(J93="autobiographical",44,IF(J93="novels",45,IF(J93="public events",46,"99"))))))))))))))))))))))))))))))))))))))))))))))</f>
        <v>4</v>
      </c>
      <c r="L93" s="69">
        <f>IF(J93="syllables",1,IF(J93="trigrams",1,IF(J93="strings",1,IF(J93="visual array",1,IF(J93="characters",1,IF(J93="letters",1,IF(J93="free forms",1,IF(J93="odors",2,IF(J93="words",2,IF(J93="pictures",2,IF(J93="object pictures",2,IF(J93="faces",2,IF(J93="names",2,IF(J93="idioms","2",IF(J93="grades",2,IF(J93="syllable-digit pairs",3,IF(J93="trigram-word pairs",3,IF(J93="word-digit pairs",3,IF(J93="English-Swahili pairs",3,IF(J93="spatial position",3,IF(J93="word pairs",4,IF(J93="word triads",4,IF(J93="generated words",4,IF(J93="word definition pairs",4,IF(J93="math problems",4,IF(J93="famous faces",4,IF(J93="famous names",4,IF(J93="famous voices",4,IF(J93="television programs",4,IF(J93="race horses",4,IF(J93="new vocabulary",4,IF(J93="sentences",5,IF(J93="concepts",5,IF(J93="ad slides",5,IF(J93="scenes",5,IF(J93="famous scenes",5,IF(J93="poems",6,IF(J93="walk",6,IF(J93="faces and events",6,IF(J93="events and names",6,IF(J93="flashbulb",7,IF(J93="stories",7,IF(J93="course material",7,IF(J93="autobiographical",7,IF(J93="novels",7,IF(J93="public events",7,"99"))))))))))))))))))))))))))))))))))))))))))))))</f>
        <v>1</v>
      </c>
      <c r="M93" s="69">
        <v>0</v>
      </c>
      <c r="N93" s="69"/>
      <c r="O93" s="69"/>
      <c r="P93" s="69"/>
      <c r="Q93" s="69" t="s">
        <v>34</v>
      </c>
      <c r="R93" s="69">
        <f>IF(Q93="Free Recall",1,IF(Q93="Cued Recall",2,IF(Q93="Recognition",3,IF(Q93="Multiple Choice",4,IF(Q93="Savings",5,IF(Q93="Stem Completion",6,IF(Q93="Fragment Completion",7,IF(Q93="anagram solution",8,IF(Q93="Matching",9,IF(Q93="Problem Solving",10,"99"))))))))))</f>
        <v>3</v>
      </c>
      <c r="S93" s="69" t="s">
        <v>40</v>
      </c>
      <c r="T93" s="92" t="s">
        <v>581</v>
      </c>
      <c r="U93" s="60">
        <f>IF(T93="within",1,0)</f>
        <v>1</v>
      </c>
      <c r="V93" s="92">
        <v>48</v>
      </c>
      <c r="W93" s="69">
        <f>F93*V93</f>
        <v>3264</v>
      </c>
      <c r="X93" s="69">
        <v>3</v>
      </c>
      <c r="Y93" s="87">
        <f>AV92</f>
        <v>1</v>
      </c>
      <c r="Z93" s="69" t="s">
        <v>42</v>
      </c>
      <c r="AA93" s="69">
        <v>12</v>
      </c>
      <c r="AB93" s="69" t="str">
        <f>IF(AA93&lt;60,"1",IF(AA93&lt;=43200,"2",IF(AA93&lt;=777600,"3","4")))</f>
        <v>1</v>
      </c>
      <c r="AC93" s="72">
        <f>AVERAGE(AV92:DA92)</f>
        <v>6.333333333333333</v>
      </c>
      <c r="AD93" s="69" t="str">
        <f>IF(AC93&lt;60,"1",IF(AC93&lt;=43200,"2",IF(AC93&lt;=777600,"3","4")))</f>
        <v>1</v>
      </c>
      <c r="AE93" s="87">
        <f>AA93-Y93</f>
        <v>11</v>
      </c>
      <c r="AF93" s="88">
        <f>AV93</f>
        <v>0.78100000000000003</v>
      </c>
      <c r="AG93" s="72">
        <f>((AW93-AV93)+(AX93-AW93))/2</f>
        <v>-4.3000000000000038E-2</v>
      </c>
      <c r="AH93" s="4"/>
      <c r="AI93" s="72">
        <f>RSQ(AV93:AX93,AV92:AX92)</f>
        <v>0.99372699899631978</v>
      </c>
      <c r="AJ93" s="110">
        <f>SLOPE(AV93:AX93,AV92:AX92)</f>
        <v>-7.7857142857142916E-3</v>
      </c>
      <c r="AK93" s="72">
        <f>INTERCEPT(AV93:AX93,AV92:AX92)</f>
        <v>0.78664285714285709</v>
      </c>
      <c r="AL93" s="72">
        <f>INDEX(LINEST(LN(AV93:AX93),LN(AV92:AX92),TRUE,TRUE),3,1)</f>
        <v>0.9435490255000798</v>
      </c>
      <c r="AM93" s="72">
        <f>INDEX(LINEST(LN(AV93:AX93),LN(AV92:AX92)),1)</f>
        <v>-4.4189783838361953E-2</v>
      </c>
      <c r="AN93" s="72">
        <f>EXP(INDEX(LINEST(LN(AV93:AX93),LN(AV92:AX92)),1,2))</f>
        <v>0.78438556260110792</v>
      </c>
      <c r="AO93" s="89">
        <f>INDEX(LINEST((AV93:AX93),LN(AV92:AX92),TRUE,TRUE),3,1)</f>
        <v>0.95105921829718021</v>
      </c>
      <c r="AP93" s="89">
        <f>INDEX(LINEST((AV93:AX93),LN(AV92:AX92)),1)</f>
        <v>-3.2714650579034617E-2</v>
      </c>
      <c r="AQ93" s="90">
        <f>INDEX(LINEST(LN(AV93:AX93),SQRT(AV92:AX92),TRUE,TRUE),3,1)</f>
        <v>0.99164861066883447</v>
      </c>
      <c r="AR93" s="117">
        <f>INDEX(LINEST(LN(AV93:AX93),SQRT((AV92:AX92))),1)</f>
        <v>-4.6906554165917803E-2</v>
      </c>
      <c r="AS93" s="91">
        <f>INDEX(LINEST(1/(AV93:AX93),1/(SQRT(AV92:AX92)),TRUE,TRUE),3,1)</f>
        <v>0.86735076395613619</v>
      </c>
      <c r="AT93" s="91">
        <f>INDEX(LINEST(1/(AV93:AX93),1/SQRT(AV92:AX92)),1)</f>
        <v>-0.1937062093565815</v>
      </c>
      <c r="AU93" s="3"/>
      <c r="AV93" s="73">
        <v>0.78100000000000003</v>
      </c>
      <c r="AW93" s="73">
        <v>0.73599999999999999</v>
      </c>
      <c r="AX93" s="73">
        <v>0.69499999999999995</v>
      </c>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53"/>
      <c r="CD93" s="53"/>
      <c r="CE93" s="53"/>
      <c r="CF93" s="53"/>
      <c r="CG93" s="53"/>
      <c r="CH93" s="53"/>
      <c r="CI93" s="53"/>
      <c r="CJ93" s="53"/>
      <c r="CK93" s="53"/>
      <c r="CL93" s="53"/>
      <c r="CM93" s="53"/>
      <c r="CN93" s="53"/>
      <c r="CO93" s="53"/>
      <c r="CP93" s="53"/>
      <c r="CQ93" s="53"/>
      <c r="CR93" s="1"/>
      <c r="CS93" s="1"/>
      <c r="CT93" s="1"/>
      <c r="CU93" s="1"/>
    </row>
    <row r="94" spans="1:99" s="13" customFormat="1" ht="12" customHeight="1" x14ac:dyDescent="0.2">
      <c r="A94" s="68">
        <v>43509</v>
      </c>
      <c r="B94" s="70"/>
      <c r="C94" s="70"/>
      <c r="D94" s="69"/>
      <c r="E94" s="87"/>
      <c r="F94" s="69"/>
      <c r="G94" s="69"/>
      <c r="H94" s="69"/>
      <c r="I94" s="69"/>
      <c r="J94" s="69"/>
      <c r="K94" s="107"/>
      <c r="L94" s="107"/>
      <c r="M94" s="69"/>
      <c r="N94" s="69"/>
      <c r="O94" s="69"/>
      <c r="P94" s="69"/>
      <c r="Q94" s="69"/>
      <c r="R94" s="69"/>
      <c r="S94" s="69"/>
      <c r="T94" s="69"/>
      <c r="U94" s="60"/>
      <c r="V94" s="69"/>
      <c r="W94" s="69"/>
      <c r="X94" s="69"/>
      <c r="Y94" s="87"/>
      <c r="Z94" s="69"/>
      <c r="AA94" s="69"/>
      <c r="AB94" s="69"/>
      <c r="AC94" s="69"/>
      <c r="AD94" s="69"/>
      <c r="AE94" s="69"/>
      <c r="AF94" s="88"/>
      <c r="AG94" s="72"/>
      <c r="AH94" s="4"/>
      <c r="AI94" s="72"/>
      <c r="AJ94" s="110"/>
      <c r="AK94" s="72"/>
      <c r="AL94" s="72"/>
      <c r="AM94" s="72"/>
      <c r="AN94" s="72"/>
      <c r="AO94" s="89"/>
      <c r="AP94" s="89"/>
      <c r="AQ94" s="89"/>
      <c r="AR94" s="118"/>
      <c r="AS94" s="89"/>
      <c r="AT94" s="89"/>
      <c r="AU94" s="3"/>
      <c r="AV94" s="71">
        <v>1</v>
      </c>
      <c r="AW94" s="71">
        <v>6</v>
      </c>
      <c r="AX94" s="71">
        <v>12</v>
      </c>
      <c r="AY94" s="53"/>
      <c r="AZ94" s="53"/>
      <c r="BA94" s="53"/>
      <c r="BB94" s="53"/>
      <c r="BC94" s="53"/>
      <c r="BD94" s="53"/>
      <c r="BE94" s="53"/>
      <c r="BF94" s="53"/>
      <c r="BG94" s="53"/>
      <c r="BH94" s="53"/>
      <c r="BI94" s="53"/>
      <c r="BJ94" s="53"/>
      <c r="BK94" s="53"/>
      <c r="BL94" s="53"/>
      <c r="BM94" s="53"/>
      <c r="BN94" s="53"/>
      <c r="BO94" s="53"/>
      <c r="BP94" s="53"/>
      <c r="BQ94" s="53"/>
      <c r="BR94" s="53"/>
      <c r="BS94" s="53"/>
      <c r="BT94" s="53"/>
      <c r="BU94" s="53"/>
      <c r="BV94" s="53"/>
      <c r="BW94" s="53"/>
      <c r="BX94" s="53"/>
      <c r="BY94" s="53"/>
      <c r="BZ94" s="53"/>
      <c r="CA94" s="53"/>
      <c r="CB94" s="53"/>
      <c r="CC94" s="53"/>
      <c r="CD94" s="53"/>
      <c r="CE94" s="53"/>
      <c r="CF94" s="53"/>
      <c r="CG94" s="53"/>
      <c r="CH94" s="53"/>
      <c r="CI94" s="53"/>
      <c r="CJ94" s="53"/>
      <c r="CK94" s="53"/>
      <c r="CL94" s="53"/>
      <c r="CM94" s="53"/>
      <c r="CN94" s="53"/>
      <c r="CO94" s="53"/>
      <c r="CP94" s="53"/>
      <c r="CQ94" s="53"/>
      <c r="CR94" s="1"/>
      <c r="CS94" s="1"/>
      <c r="CT94" s="1"/>
      <c r="CU94" s="1"/>
    </row>
    <row r="95" spans="1:99" s="13" customFormat="1" ht="12" customHeight="1" x14ac:dyDescent="0.2">
      <c r="A95" s="68">
        <v>43509</v>
      </c>
      <c r="B95" s="70" t="s">
        <v>252</v>
      </c>
      <c r="C95" s="70" t="s">
        <v>45</v>
      </c>
      <c r="D95" s="69">
        <v>2014</v>
      </c>
      <c r="E95" s="87">
        <v>2</v>
      </c>
      <c r="F95" s="69">
        <v>52</v>
      </c>
      <c r="G95" s="69">
        <v>52</v>
      </c>
      <c r="H95" s="69" t="s">
        <v>32</v>
      </c>
      <c r="I95" s="69" t="s">
        <v>770</v>
      </c>
      <c r="J95" s="69" t="s">
        <v>764</v>
      </c>
      <c r="K95" s="69">
        <f>IF(J95="syllables",1,IF(J95="trigrams",2,IF(J95="strings",3,IF(J95="visual array",4,IF(J95="characters",5,IF(J95="letters",6,IF(J95="free forms",7,IF(J95="odors",8,IF(J95="words",9,IF(J95="pictures",10,IF(J95="object pictures",11,IF(J95="faces",12,IF(J95="names",13,IF(J95="idioms",14,IF(J95="grades",15,IF(J95="syllable-digit pairs",16,IF(J95="trigram-word pairs",17,IF(J95="word-digit pairs",18,IF(J95="English-Swahili pairs",19,IF(J95="spatial position",20,IF(J95="word pairs",21,IF(J95="word triads",22,IF(J95="generated words",23,IF(J95="word definition pairs",24,IF(J95="math problems",25,IF(J95="famous faces",26,IF(J95="famous names",27,IF(J95="famous voices",28,IF(J95="television programs",29,IF(J95="race horses",30,IF(J95="new vocabulary",31,IF(J95="sentences",32,IF(J95="concepts",33,IF(J95="ad slides",34,IF(J95="scenes",35,IF(J95="famous scenes",36,IF(J95="poems",37,IF(J95="walk",38,IF(J95="faces and events",39,IF(J95="events and names",40,IF(J95="flashbulb",41,IF(J95="stories",42,IF(J95="course material",43,IF(J95="autobiographical",44,IF(J95="novels",45,IF(J95="public events",46,"99"))))))))))))))))))))))))))))))))))))))))))))))</f>
        <v>4</v>
      </c>
      <c r="L95" s="69">
        <f>IF(J95="syllables",1,IF(J95="trigrams",1,IF(J95="strings",1,IF(J95="visual array",1,IF(J95="characters",1,IF(J95="letters",1,IF(J95="free forms",1,IF(J95="odors",2,IF(J95="words",2,IF(J95="pictures",2,IF(J95="object pictures",2,IF(J95="faces",2,IF(J95="names",2,IF(J95="idioms","2",IF(J95="grades",2,IF(J95="syllable-digit pairs",3,IF(J95="trigram-word pairs",3,IF(J95="word-digit pairs",3,IF(J95="English-Swahili pairs",3,IF(J95="spatial position",3,IF(J95="word pairs",4,IF(J95="word triads",4,IF(J95="generated words",4,IF(J95="word definition pairs",4,IF(J95="math problems",4,IF(J95="famous faces",4,IF(J95="famous names",4,IF(J95="famous voices",4,IF(J95="television programs",4,IF(J95="race horses",4,IF(J95="new vocabulary",4,IF(J95="sentences",5,IF(J95="concepts",5,IF(J95="ad slides",5,IF(J95="scenes",5,IF(J95="famous scenes",5,IF(J95="poems",6,IF(J95="walk",6,IF(J95="faces and events",6,IF(J95="events and names",6,IF(J95="flashbulb",7,IF(J95="stories",7,IF(J95="course material",7,IF(J95="autobiographical",7,IF(J95="novels",7,IF(J95="public events",7,"99"))))))))))))))))))))))))))))))))))))))))))))))</f>
        <v>1</v>
      </c>
      <c r="M95" s="69">
        <v>0</v>
      </c>
      <c r="N95" s="69"/>
      <c r="O95" s="69"/>
      <c r="P95" s="69"/>
      <c r="Q95" s="69" t="s">
        <v>34</v>
      </c>
      <c r="R95" s="69">
        <f>IF(Q95="Free Recall",1,IF(Q95="Cued Recall",2,IF(Q95="Recognition",3,IF(Q95="Multiple Choice",4,IF(Q95="Savings",5,IF(Q95="Stem Completion",6,IF(Q95="Fragment Completion",7,IF(Q95="anagram solution",8,IF(Q95="Matching",9,IF(Q95="Problem Solving",10,"99"))))))))))</f>
        <v>3</v>
      </c>
      <c r="S95" s="69" t="s">
        <v>40</v>
      </c>
      <c r="T95" s="92" t="s">
        <v>581</v>
      </c>
      <c r="U95" s="60">
        <f>IF(T95="within",1,0)</f>
        <v>1</v>
      </c>
      <c r="V95" s="92">
        <v>48</v>
      </c>
      <c r="W95" s="69">
        <f>F95*V95</f>
        <v>2496</v>
      </c>
      <c r="X95" s="69">
        <v>3</v>
      </c>
      <c r="Y95" s="87">
        <f>AV94</f>
        <v>1</v>
      </c>
      <c r="Z95" s="69" t="s">
        <v>42</v>
      </c>
      <c r="AA95" s="69">
        <v>12</v>
      </c>
      <c r="AB95" s="69" t="str">
        <f>IF(AA95&lt;60,"1",IF(AA95&lt;=43200,"2",IF(AA95&lt;=777600,"3","4")))</f>
        <v>1</v>
      </c>
      <c r="AC95" s="72">
        <f>AVERAGE(AV94:DA94)</f>
        <v>6.333333333333333</v>
      </c>
      <c r="AD95" s="69" t="str">
        <f>IF(AC95&lt;60,"1",IF(AC95&lt;=43200,"2",IF(AC95&lt;=777600,"3","4")))</f>
        <v>1</v>
      </c>
      <c r="AE95" s="87">
        <f>AA95-Y95</f>
        <v>11</v>
      </c>
      <c r="AF95" s="88">
        <f>AV95</f>
        <v>0.83799999999999997</v>
      </c>
      <c r="AG95" s="72">
        <f>((AW95-AV95)+(AX95-AW95))/2</f>
        <v>-4.049999999999998E-2</v>
      </c>
      <c r="AH95" s="4"/>
      <c r="AI95" s="72">
        <f>RSQ(AV95:AX95,AV94:AX94)</f>
        <v>0.7228771540812774</v>
      </c>
      <c r="AJ95" s="110">
        <f>SLOPE(AV95:AX95,AV94:AX94)</f>
        <v>-7.1318681318681271E-3</v>
      </c>
      <c r="AK95" s="72">
        <f>INTERCEPT(AV95:AX95,AV94:AX94)</f>
        <v>0.82983516483516484</v>
      </c>
      <c r="AL95" s="72">
        <f>INDEX(LINEST(LN(AV95:AX95),LN(AV94:AX94),TRUE,TRUE),3,1)</f>
        <v>0.93835392412678054</v>
      </c>
      <c r="AM95" s="72">
        <f>INDEX(LINEST(LN(AV95:AX95),LN(AV94:AX94)),1)</f>
        <v>-4.3772747934243385E-2</v>
      </c>
      <c r="AN95" s="72">
        <f>EXP(INDEX(LINEST(LN(AV95:AX95),LN(AV94:AX94)),1,2))</f>
        <v>0.83424588616970208</v>
      </c>
      <c r="AO95" s="89">
        <f>INDEX(LINEST((AV95:AX95),LN(AV94:AX94),TRUE,TRUE),3,1)</f>
        <v>0.93781278780783262</v>
      </c>
      <c r="AP95" s="89">
        <f>INDEX(LINEST((AV95:AX95),LN(AV94:AX94)),1)</f>
        <v>-3.4890140534837646E-2</v>
      </c>
      <c r="AQ95" s="90">
        <f>INDEX(LINEST(LN(AV95:AX95),SQRT(AV94:AX94),TRUE,TRUE),3,1)</f>
        <v>0.84886560021008073</v>
      </c>
      <c r="AR95" s="117">
        <f>INDEX(LINEST(LN(AV95:AX95),SQRT((AV94:AX94))),1)</f>
        <v>-4.310770731960524E-2</v>
      </c>
      <c r="AS95" s="91">
        <f>INDEX(LINEST(1/(AV95:AX95),1/(SQRT(AV94:AX94)),TRUE,TRUE),3,1)</f>
        <v>0.982233819509988</v>
      </c>
      <c r="AT95" s="91">
        <f>INDEX(LINEST(1/(AV95:AX95),1/SQRT(AV94:AX94)),1)</f>
        <v>-0.1892602243524269</v>
      </c>
      <c r="AU95" s="3"/>
      <c r="AV95" s="73">
        <v>0.83799999999999997</v>
      </c>
      <c r="AW95" s="73">
        <v>0.75900000000000001</v>
      </c>
      <c r="AX95" s="73">
        <v>0.75700000000000001</v>
      </c>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53"/>
      <c r="CD95" s="53"/>
      <c r="CE95" s="53"/>
      <c r="CF95" s="53"/>
      <c r="CG95" s="53"/>
      <c r="CH95" s="53"/>
      <c r="CI95" s="53"/>
      <c r="CJ95" s="53"/>
      <c r="CK95" s="53"/>
      <c r="CL95" s="53"/>
      <c r="CM95" s="53"/>
      <c r="CN95" s="53"/>
      <c r="CO95" s="53"/>
      <c r="CP95" s="53"/>
      <c r="CQ95" s="53"/>
      <c r="CR95" s="1"/>
      <c r="CS95" s="1"/>
      <c r="CT95" s="1"/>
      <c r="CU95" s="1"/>
    </row>
    <row r="96" spans="1:99" s="13" customFormat="1" ht="12" customHeight="1" x14ac:dyDescent="0.2">
      <c r="A96" s="68">
        <v>43509</v>
      </c>
      <c r="B96" s="70"/>
      <c r="C96" s="70"/>
      <c r="D96" s="69"/>
      <c r="E96" s="87"/>
      <c r="F96" s="69"/>
      <c r="G96" s="69"/>
      <c r="H96" s="69"/>
      <c r="I96" s="69"/>
      <c r="J96" s="69"/>
      <c r="K96" s="107"/>
      <c r="L96" s="107"/>
      <c r="M96" s="69"/>
      <c r="N96" s="69"/>
      <c r="O96" s="69"/>
      <c r="P96" s="69"/>
      <c r="Q96" s="69"/>
      <c r="R96" s="69"/>
      <c r="S96" s="69"/>
      <c r="T96" s="69"/>
      <c r="U96" s="60"/>
      <c r="V96" s="69"/>
      <c r="W96" s="69"/>
      <c r="X96" s="69"/>
      <c r="Y96" s="87"/>
      <c r="Z96" s="69"/>
      <c r="AA96" s="69"/>
      <c r="AB96" s="69"/>
      <c r="AC96" s="69"/>
      <c r="AD96" s="69"/>
      <c r="AE96" s="69"/>
      <c r="AF96" s="88"/>
      <c r="AG96" s="72"/>
      <c r="AH96" s="4"/>
      <c r="AI96" s="72"/>
      <c r="AJ96" s="110"/>
      <c r="AK96" s="72"/>
      <c r="AL96" s="72"/>
      <c r="AM96" s="72"/>
      <c r="AN96" s="72"/>
      <c r="AO96" s="89"/>
      <c r="AP96" s="89"/>
      <c r="AQ96" s="89"/>
      <c r="AR96" s="118"/>
      <c r="AS96" s="89"/>
      <c r="AT96" s="89"/>
      <c r="AU96" s="3"/>
      <c r="AV96" s="71">
        <v>1</v>
      </c>
      <c r="AW96" s="71">
        <v>6</v>
      </c>
      <c r="AX96" s="71">
        <v>12</v>
      </c>
      <c r="AY96" s="53"/>
      <c r="AZ96" s="53"/>
      <c r="BA96" s="53"/>
      <c r="BB96" s="53"/>
      <c r="BC96" s="53"/>
      <c r="BD96" s="53"/>
      <c r="BE96" s="53"/>
      <c r="BF96" s="53"/>
      <c r="BG96" s="53"/>
      <c r="BH96" s="53"/>
      <c r="BI96" s="53"/>
      <c r="BJ96" s="53"/>
      <c r="BK96" s="53"/>
      <c r="BL96" s="53"/>
      <c r="BM96" s="53"/>
      <c r="BN96" s="53"/>
      <c r="BO96" s="53"/>
      <c r="BP96" s="53"/>
      <c r="BQ96" s="53"/>
      <c r="BR96" s="53"/>
      <c r="BS96" s="53"/>
      <c r="BT96" s="53"/>
      <c r="BU96" s="53"/>
      <c r="BV96" s="53"/>
      <c r="BW96" s="53"/>
      <c r="BX96" s="53"/>
      <c r="BY96" s="53"/>
      <c r="BZ96" s="53"/>
      <c r="CA96" s="53"/>
      <c r="CB96" s="53"/>
      <c r="CC96" s="53"/>
      <c r="CD96" s="53"/>
      <c r="CE96" s="53"/>
      <c r="CF96" s="53"/>
      <c r="CG96" s="53"/>
      <c r="CH96" s="53"/>
      <c r="CI96" s="53"/>
      <c r="CJ96" s="53"/>
      <c r="CK96" s="53"/>
      <c r="CL96" s="53"/>
      <c r="CM96" s="53"/>
      <c r="CN96" s="53"/>
      <c r="CO96" s="53"/>
      <c r="CP96" s="53"/>
      <c r="CQ96" s="53"/>
      <c r="CR96" s="1"/>
      <c r="CS96" s="1"/>
      <c r="CT96" s="1"/>
      <c r="CU96" s="1"/>
    </row>
    <row r="97" spans="1:99" s="13" customFormat="1" ht="12" customHeight="1" x14ac:dyDescent="0.2">
      <c r="A97" s="68">
        <v>43509</v>
      </c>
      <c r="B97" s="70" t="s">
        <v>252</v>
      </c>
      <c r="C97" s="70" t="s">
        <v>45</v>
      </c>
      <c r="D97" s="69">
        <v>2014</v>
      </c>
      <c r="E97" s="87">
        <v>2</v>
      </c>
      <c r="F97" s="69">
        <v>52</v>
      </c>
      <c r="G97" s="69">
        <v>52</v>
      </c>
      <c r="H97" s="69" t="s">
        <v>32</v>
      </c>
      <c r="I97" s="69" t="s">
        <v>771</v>
      </c>
      <c r="J97" s="69" t="s">
        <v>764</v>
      </c>
      <c r="K97" s="69">
        <f>IF(J97="syllables",1,IF(J97="trigrams",2,IF(J97="strings",3,IF(J97="visual array",4,IF(J97="characters",5,IF(J97="letters",6,IF(J97="free forms",7,IF(J97="odors",8,IF(J97="words",9,IF(J97="pictures",10,IF(J97="object pictures",11,IF(J97="faces",12,IF(J97="names",13,IF(J97="idioms",14,IF(J97="grades",15,IF(J97="syllable-digit pairs",16,IF(J97="trigram-word pairs",17,IF(J97="word-digit pairs",18,IF(J97="English-Swahili pairs",19,IF(J97="spatial position",20,IF(J97="word pairs",21,IF(J97="word triads",22,IF(J97="generated words",23,IF(J97="word definition pairs",24,IF(J97="math problems",25,IF(J97="famous faces",26,IF(J97="famous names",27,IF(J97="famous voices",28,IF(J97="television programs",29,IF(J97="race horses",30,IF(J97="new vocabulary",31,IF(J97="sentences",32,IF(J97="concepts",33,IF(J97="ad slides",34,IF(J97="scenes",35,IF(J97="famous scenes",36,IF(J97="poems",37,IF(J97="walk",38,IF(J97="faces and events",39,IF(J97="events and names",40,IF(J97="flashbulb",41,IF(J97="stories",42,IF(J97="course material",43,IF(J97="autobiographical",44,IF(J97="novels",45,IF(J97="public events",46,"99"))))))))))))))))))))))))))))))))))))))))))))))</f>
        <v>4</v>
      </c>
      <c r="L97" s="69">
        <f>IF(J97="syllables",1,IF(J97="trigrams",1,IF(J97="strings",1,IF(J97="visual array",1,IF(J97="characters",1,IF(J97="letters",1,IF(J97="free forms",1,IF(J97="odors",2,IF(J97="words",2,IF(J97="pictures",2,IF(J97="object pictures",2,IF(J97="faces",2,IF(J97="names",2,IF(J97="idioms","2",IF(J97="grades",2,IF(J97="syllable-digit pairs",3,IF(J97="trigram-word pairs",3,IF(J97="word-digit pairs",3,IF(J97="English-Swahili pairs",3,IF(J97="spatial position",3,IF(J97="word pairs",4,IF(J97="word triads",4,IF(J97="generated words",4,IF(J97="word definition pairs",4,IF(J97="math problems",4,IF(J97="famous faces",4,IF(J97="famous names",4,IF(J97="famous voices",4,IF(J97="television programs",4,IF(J97="race horses",4,IF(J97="new vocabulary",4,IF(J97="sentences",5,IF(J97="concepts",5,IF(J97="ad slides",5,IF(J97="scenes",5,IF(J97="famous scenes",5,IF(J97="poems",6,IF(J97="walk",6,IF(J97="faces and events",6,IF(J97="events and names",6,IF(J97="flashbulb",7,IF(J97="stories",7,IF(J97="course material",7,IF(J97="autobiographical",7,IF(J97="novels",7,IF(J97="public events",7,"99"))))))))))))))))))))))))))))))))))))))))))))))</f>
        <v>1</v>
      </c>
      <c r="M97" s="69">
        <v>0</v>
      </c>
      <c r="N97" s="69"/>
      <c r="O97" s="69"/>
      <c r="P97" s="69"/>
      <c r="Q97" s="69" t="s">
        <v>34</v>
      </c>
      <c r="R97" s="69">
        <f>IF(Q97="Free Recall",1,IF(Q97="Cued Recall",2,IF(Q97="Recognition",3,IF(Q97="Multiple Choice",4,IF(Q97="Savings",5,IF(Q97="Stem Completion",6,IF(Q97="Fragment Completion",7,IF(Q97="anagram solution",8,IF(Q97="Matching",9,IF(Q97="Problem Solving",10,"99"))))))))))</f>
        <v>3</v>
      </c>
      <c r="S97" s="69" t="s">
        <v>40</v>
      </c>
      <c r="T97" s="92" t="s">
        <v>581</v>
      </c>
      <c r="U97" s="60">
        <f>IF(T97="within",1,0)</f>
        <v>1</v>
      </c>
      <c r="V97" s="92">
        <v>48</v>
      </c>
      <c r="W97" s="69">
        <f>F97*V97</f>
        <v>2496</v>
      </c>
      <c r="X97" s="69">
        <v>3</v>
      </c>
      <c r="Y97" s="87">
        <f>AV96</f>
        <v>1</v>
      </c>
      <c r="Z97" s="69" t="s">
        <v>42</v>
      </c>
      <c r="AA97" s="69">
        <v>12</v>
      </c>
      <c r="AB97" s="69" t="str">
        <f>IF(AA97&lt;60,"1",IF(AA97&lt;=43200,"2",IF(AA97&lt;=777600,"3","4")))</f>
        <v>1</v>
      </c>
      <c r="AC97" s="72">
        <f>AVERAGE(AV96:DA96)</f>
        <v>6.333333333333333</v>
      </c>
      <c r="AD97" s="69" t="str">
        <f>IF(AC97&lt;60,"1",IF(AC97&lt;=43200,"2",IF(AC97&lt;=777600,"3","4")))</f>
        <v>1</v>
      </c>
      <c r="AE97" s="87">
        <f>AA97-Y97</f>
        <v>11</v>
      </c>
      <c r="AF97" s="88">
        <f>AV97</f>
        <v>0.83699999999999997</v>
      </c>
      <c r="AG97" s="72">
        <f>((AW97-AV97)+(AX97-AW97))/2</f>
        <v>-4.1999999999999982E-2</v>
      </c>
      <c r="AH97" s="4"/>
      <c r="AI97" s="72">
        <f>RSQ(AV97:AX97,AV96:AX96)</f>
        <v>0.98195723195723228</v>
      </c>
      <c r="AJ97" s="110">
        <f>SLOPE(AV97:AX97,AV96:AX96)</f>
        <v>-7.5824175824175796E-3</v>
      </c>
      <c r="AK97" s="72">
        <f>INTERCEPT(AV97:AX97,AV96:AX96)</f>
        <v>0.84102197802197809</v>
      </c>
      <c r="AL97" s="72">
        <f>INDEX(LINEST(LN(AV97:AX97),LN(AV96:AX96),TRUE,TRUE),3,1)</f>
        <v>0.96703914741656549</v>
      </c>
      <c r="AM97" s="72">
        <f>INDEX(LINEST(LN(AV97:AX97),LN(AV96:AX96)),1)</f>
        <v>-4.0645091178574962E-2</v>
      </c>
      <c r="AN97" s="72">
        <f>EXP(INDEX(LINEST(LN(AV97:AX97),LN(AV96:AX96)),1,2))</f>
        <v>0.83951725859886417</v>
      </c>
      <c r="AO97" s="89">
        <f>INDEX(LINEST((AV97:AX97),LN(AV96:AX96),TRUE,TRUE),3,1)</f>
        <v>0.97216378985081386</v>
      </c>
      <c r="AP97" s="89">
        <f>INDEX(LINEST((AV97:AX97),LN(AV96:AX96)),1)</f>
        <v>-3.2404454968977606E-2</v>
      </c>
      <c r="AQ97" s="90">
        <f>INDEX(LINEST(LN(AV97:AX97),SQRT(AV96:AX96),TRUE,TRUE),3,1)</f>
        <v>0.99883156892150149</v>
      </c>
      <c r="AR97" s="117">
        <f>INDEX(LINEST(LN(AV97:AX97),SQRT((AV96:AX96))),1)</f>
        <v>-4.277078180754925E-2</v>
      </c>
      <c r="AS97" s="91">
        <f>INDEX(LINEST(1/(AV97:AX97),1/(SQRT(AV96:AX96)),TRUE,TRUE),3,1)</f>
        <v>0.90480420293695696</v>
      </c>
      <c r="AT97" s="91">
        <f>INDEX(LINEST(1/(AV97:AX97),1/SQRT(AV96:AX96)),1)</f>
        <v>-0.16664966274992038</v>
      </c>
      <c r="AU97" s="3"/>
      <c r="AV97" s="73">
        <v>0.83699999999999997</v>
      </c>
      <c r="AW97" s="73">
        <v>0.78900000000000003</v>
      </c>
      <c r="AX97" s="73">
        <v>0.753</v>
      </c>
      <c r="AY97" s="53"/>
      <c r="AZ97" s="53"/>
      <c r="BA97" s="53"/>
      <c r="BB97" s="53"/>
      <c r="BC97" s="53"/>
      <c r="BD97" s="53"/>
      <c r="BE97" s="53"/>
      <c r="BF97" s="53"/>
      <c r="BG97" s="53"/>
      <c r="BH97" s="53"/>
      <c r="BI97" s="53"/>
      <c r="BJ97" s="53"/>
      <c r="BK97" s="53"/>
      <c r="BL97" s="53"/>
      <c r="BM97" s="53"/>
      <c r="BN97" s="53"/>
      <c r="BO97" s="53"/>
      <c r="BP97" s="53"/>
      <c r="BQ97" s="53"/>
      <c r="BR97" s="53"/>
      <c r="BS97" s="53"/>
      <c r="BT97" s="53"/>
      <c r="BU97" s="53"/>
      <c r="BV97" s="53"/>
      <c r="BW97" s="53"/>
      <c r="BX97" s="53"/>
      <c r="BY97" s="53"/>
      <c r="BZ97" s="53"/>
      <c r="CA97" s="53"/>
      <c r="CB97" s="53"/>
      <c r="CC97" s="53"/>
      <c r="CD97" s="53"/>
      <c r="CE97" s="53"/>
      <c r="CF97" s="53"/>
      <c r="CG97" s="53"/>
      <c r="CH97" s="53"/>
      <c r="CI97" s="53"/>
      <c r="CJ97" s="53"/>
      <c r="CK97" s="53"/>
      <c r="CL97" s="53"/>
      <c r="CM97" s="53"/>
      <c r="CN97" s="53"/>
      <c r="CO97" s="53"/>
      <c r="CP97" s="53"/>
      <c r="CQ97" s="53"/>
      <c r="CR97" s="1"/>
      <c r="CS97" s="1"/>
      <c r="CT97" s="1"/>
      <c r="CU97" s="1"/>
    </row>
    <row r="98" spans="1:99" s="13" customFormat="1" ht="12" customHeight="1" x14ac:dyDescent="0.2">
      <c r="A98" s="68">
        <v>43509</v>
      </c>
      <c r="B98" s="70"/>
      <c r="C98" s="70"/>
      <c r="D98" s="69"/>
      <c r="E98" s="87"/>
      <c r="F98" s="69"/>
      <c r="G98" s="69"/>
      <c r="H98" s="69"/>
      <c r="I98" s="69"/>
      <c r="J98" s="69"/>
      <c r="K98" s="107"/>
      <c r="L98" s="107"/>
      <c r="M98" s="69"/>
      <c r="N98" s="69"/>
      <c r="O98" s="69"/>
      <c r="P98" s="69"/>
      <c r="Q98" s="69"/>
      <c r="R98" s="69"/>
      <c r="S98" s="69"/>
      <c r="T98" s="69"/>
      <c r="U98" s="60"/>
      <c r="V98" s="69"/>
      <c r="W98" s="69"/>
      <c r="X98" s="69"/>
      <c r="Y98" s="87"/>
      <c r="Z98" s="69"/>
      <c r="AA98" s="69"/>
      <c r="AB98" s="69"/>
      <c r="AC98" s="69"/>
      <c r="AD98" s="69"/>
      <c r="AE98" s="69"/>
      <c r="AF98" s="88"/>
      <c r="AG98" s="72"/>
      <c r="AH98" s="4"/>
      <c r="AI98" s="72"/>
      <c r="AJ98" s="110"/>
      <c r="AK98" s="72"/>
      <c r="AL98" s="72"/>
      <c r="AM98" s="72"/>
      <c r="AN98" s="72"/>
      <c r="AO98" s="89"/>
      <c r="AP98" s="89"/>
      <c r="AQ98" s="89"/>
      <c r="AR98" s="118"/>
      <c r="AS98" s="89"/>
      <c r="AT98" s="89"/>
      <c r="AU98" s="3"/>
      <c r="AV98" s="71">
        <v>1</v>
      </c>
      <c r="AW98" s="71">
        <v>6</v>
      </c>
      <c r="AX98" s="71">
        <v>12</v>
      </c>
      <c r="AY98" s="53"/>
      <c r="AZ98" s="53"/>
      <c r="BA98" s="53"/>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53"/>
      <c r="CD98" s="53"/>
      <c r="CE98" s="53"/>
      <c r="CF98" s="53"/>
      <c r="CG98" s="53"/>
      <c r="CH98" s="53"/>
      <c r="CI98" s="53"/>
      <c r="CJ98" s="53"/>
      <c r="CK98" s="53"/>
      <c r="CL98" s="53"/>
      <c r="CM98" s="53"/>
      <c r="CN98" s="53"/>
      <c r="CO98" s="53"/>
      <c r="CP98" s="53"/>
      <c r="CQ98" s="53"/>
      <c r="CR98" s="1"/>
      <c r="CS98" s="1"/>
      <c r="CT98" s="1"/>
      <c r="CU98" s="1"/>
    </row>
    <row r="99" spans="1:99" s="13" customFormat="1" ht="12" customHeight="1" x14ac:dyDescent="0.2">
      <c r="A99" s="68">
        <v>43509</v>
      </c>
      <c r="B99" s="70" t="s">
        <v>252</v>
      </c>
      <c r="C99" s="70" t="s">
        <v>45</v>
      </c>
      <c r="D99" s="69">
        <v>2014</v>
      </c>
      <c r="E99" s="87">
        <v>2</v>
      </c>
      <c r="F99" s="69">
        <v>52</v>
      </c>
      <c r="G99" s="69">
        <v>52</v>
      </c>
      <c r="H99" s="69" t="s">
        <v>32</v>
      </c>
      <c r="I99" s="69" t="s">
        <v>772</v>
      </c>
      <c r="J99" s="69" t="s">
        <v>764</v>
      </c>
      <c r="K99" s="69">
        <f>IF(J99="syllables",1,IF(J99="trigrams",2,IF(J99="strings",3,IF(J99="visual array",4,IF(J99="characters",5,IF(J99="letters",6,IF(J99="free forms",7,IF(J99="odors",8,IF(J99="words",9,IF(J99="pictures",10,IF(J99="object pictures",11,IF(J99="faces",12,IF(J99="names",13,IF(J99="idioms",14,IF(J99="grades",15,IF(J99="syllable-digit pairs",16,IF(J99="trigram-word pairs",17,IF(J99="word-digit pairs",18,IF(J99="English-Swahili pairs",19,IF(J99="spatial position",20,IF(J99="word pairs",21,IF(J99="word triads",22,IF(J99="generated words",23,IF(J99="word definition pairs",24,IF(J99="math problems",25,IF(J99="famous faces",26,IF(J99="famous names",27,IF(J99="famous voices",28,IF(J99="television programs",29,IF(J99="race horses",30,IF(J99="new vocabulary",31,IF(J99="sentences",32,IF(J99="concepts",33,IF(J99="ad slides",34,IF(J99="scenes",35,IF(J99="famous scenes",36,IF(J99="poems",37,IF(J99="walk",38,IF(J99="faces and events",39,IF(J99="events and names",40,IF(J99="flashbulb",41,IF(J99="stories",42,IF(J99="course material",43,IF(J99="autobiographical",44,IF(J99="novels",45,IF(J99="public events",46,"99"))))))))))))))))))))))))))))))))))))))))))))))</f>
        <v>4</v>
      </c>
      <c r="L99" s="69">
        <f>IF(J99="syllables",1,IF(J99="trigrams",1,IF(J99="strings",1,IF(J99="visual array",1,IF(J99="characters",1,IF(J99="letters",1,IF(J99="free forms",1,IF(J99="odors",2,IF(J99="words",2,IF(J99="pictures",2,IF(J99="object pictures",2,IF(J99="faces",2,IF(J99="names",2,IF(J99="idioms","2",IF(J99="grades",2,IF(J99="syllable-digit pairs",3,IF(J99="trigram-word pairs",3,IF(J99="word-digit pairs",3,IF(J99="English-Swahili pairs",3,IF(J99="spatial position",3,IF(J99="word pairs",4,IF(J99="word triads",4,IF(J99="generated words",4,IF(J99="word definition pairs",4,IF(J99="math problems",4,IF(J99="famous faces",4,IF(J99="famous names",4,IF(J99="famous voices",4,IF(J99="television programs",4,IF(J99="race horses",4,IF(J99="new vocabulary",4,IF(J99="sentences",5,IF(J99="concepts",5,IF(J99="ad slides",5,IF(J99="scenes",5,IF(J99="famous scenes",5,IF(J99="poems",6,IF(J99="walk",6,IF(J99="faces and events",6,IF(J99="events and names",6,IF(J99="flashbulb",7,IF(J99="stories",7,IF(J99="course material",7,IF(J99="autobiographical",7,IF(J99="novels",7,IF(J99="public events",7,"99"))))))))))))))))))))))))))))))))))))))))))))))</f>
        <v>1</v>
      </c>
      <c r="M99" s="69">
        <v>0</v>
      </c>
      <c r="N99" s="69"/>
      <c r="O99" s="69"/>
      <c r="P99" s="69"/>
      <c r="Q99" s="69" t="s">
        <v>34</v>
      </c>
      <c r="R99" s="69">
        <f>IF(Q99="Free Recall",1,IF(Q99="Cued Recall",2,IF(Q99="Recognition",3,IF(Q99="Multiple Choice",4,IF(Q99="Savings",5,IF(Q99="Stem Completion",6,IF(Q99="Fragment Completion",7,IF(Q99="anagram solution",8,IF(Q99="Matching",9,IF(Q99="Problem Solving",10,"99"))))))))))</f>
        <v>3</v>
      </c>
      <c r="S99" s="69" t="s">
        <v>40</v>
      </c>
      <c r="T99" s="92" t="s">
        <v>581</v>
      </c>
      <c r="U99" s="60">
        <f>IF(T99="within",1,0)</f>
        <v>1</v>
      </c>
      <c r="V99" s="92">
        <v>48</v>
      </c>
      <c r="W99" s="69">
        <f>F99*V99</f>
        <v>2496</v>
      </c>
      <c r="X99" s="69">
        <v>3</v>
      </c>
      <c r="Y99" s="87">
        <f>AV98</f>
        <v>1</v>
      </c>
      <c r="Z99" s="69" t="s">
        <v>42</v>
      </c>
      <c r="AA99" s="69">
        <v>12</v>
      </c>
      <c r="AB99" s="69" t="str">
        <f>IF(AA99&lt;60,"1",IF(AA99&lt;=43200,"2",IF(AA99&lt;=777600,"3","4")))</f>
        <v>1</v>
      </c>
      <c r="AC99" s="72">
        <f>AVERAGE(AV98:DA98)</f>
        <v>6.333333333333333</v>
      </c>
      <c r="AD99" s="69" t="str">
        <f>IF(AC99&lt;60,"1",IF(AC99&lt;=43200,"2",IF(AC99&lt;=777600,"3","4")))</f>
        <v>1</v>
      </c>
      <c r="AE99" s="87">
        <f>AA99-Y99</f>
        <v>11</v>
      </c>
      <c r="AF99" s="88">
        <f>AV99</f>
        <v>0.80800000000000005</v>
      </c>
      <c r="AG99" s="72">
        <f>((AW99-AV99)+(AX99-AW99))/2</f>
        <v>-4.2000000000000037E-2</v>
      </c>
      <c r="AH99" s="4"/>
      <c r="AI99" s="72">
        <f>RSQ(AV99:AX99,AV98:AX98)</f>
        <v>0.9540972272760353</v>
      </c>
      <c r="AJ99" s="110">
        <f>SLOPE(AV99:AX99,AV98:AX98)</f>
        <v>-7.5494505494505555E-3</v>
      </c>
      <c r="AK99" s="72">
        <f>INTERCEPT(AV99:AX99,AV98:AX98)</f>
        <v>0.80981318681318681</v>
      </c>
      <c r="AL99" s="72">
        <f>INDEX(LINEST(LN(AV99:AX99),LN(AV98:AX98),TRUE,TRUE),3,1)</f>
        <v>0.98987897868292507</v>
      </c>
      <c r="AM99" s="72">
        <f>INDEX(LINEST(LN(AV99:AX99),LN(AV98:AX98)),1)</f>
        <v>-4.3063479772511619E-2</v>
      </c>
      <c r="AN99" s="72">
        <f>EXP(INDEX(LINEST(LN(AV99:AX99),LN(AV98:AX98)),1,2))</f>
        <v>0.80940923975830481</v>
      </c>
      <c r="AO99" s="89">
        <f>INDEX(LINEST((AV99:AX99),LN(AV98:AX98),TRUE,TRUE),3,1)</f>
        <v>0.99254789694085999</v>
      </c>
      <c r="AP99" s="89">
        <f>INDEX(LINEST((AV99:AX99),LN(AV98:AX98)),1)</f>
        <v>-3.3072601153342672E-2</v>
      </c>
      <c r="AQ99" s="90">
        <f>INDEX(LINEST(LN(AV99:AX99),SQRT(AV98:AX98),TRUE,TRUE),3,1)</f>
        <v>0.99773586232347866</v>
      </c>
      <c r="AR99" s="117">
        <f>INDEX(LINEST(LN(AV99:AX99),SQRT((AV98:AX98))),1)</f>
        <v>-4.4765232577239911E-2</v>
      </c>
      <c r="AS99" s="91">
        <f>INDEX(LINEST(1/(AV99:AX99),1/(SQRT(AV98:AX98)),TRUE,TRUE),3,1)</f>
        <v>0.94741332606609008</v>
      </c>
      <c r="AT99" s="91">
        <f>INDEX(LINEST(1/(AV99:AX99),1/SQRT(AV98:AX98)),1)</f>
        <v>-0.18514791907905087</v>
      </c>
      <c r="AU99" s="3"/>
      <c r="AV99" s="73">
        <v>0.80800000000000005</v>
      </c>
      <c r="AW99" s="73">
        <v>0.754</v>
      </c>
      <c r="AX99" s="73">
        <v>0.72399999999999998</v>
      </c>
      <c r="AY99" s="53"/>
      <c r="AZ99" s="53"/>
      <c r="BA99" s="53"/>
      <c r="BB99" s="53"/>
      <c r="BC99" s="53"/>
      <c r="BD99" s="53"/>
      <c r="BE99" s="53"/>
      <c r="BF99" s="53"/>
      <c r="BG99" s="53"/>
      <c r="BH99" s="53"/>
      <c r="BI99" s="53"/>
      <c r="BJ99" s="53"/>
      <c r="BK99" s="53"/>
      <c r="BL99" s="53"/>
      <c r="BM99" s="53"/>
      <c r="BN99" s="53"/>
      <c r="BO99" s="53"/>
      <c r="BP99" s="53"/>
      <c r="BQ99" s="53"/>
      <c r="BR99" s="53"/>
      <c r="BS99" s="53"/>
      <c r="BT99" s="53"/>
      <c r="BU99" s="53"/>
      <c r="BV99" s="53"/>
      <c r="BW99" s="53"/>
      <c r="BX99" s="53"/>
      <c r="BY99" s="53"/>
      <c r="BZ99" s="53"/>
      <c r="CA99" s="53"/>
      <c r="CB99" s="53"/>
      <c r="CC99" s="53"/>
      <c r="CD99" s="53"/>
      <c r="CE99" s="53"/>
      <c r="CF99" s="53"/>
      <c r="CG99" s="53"/>
      <c r="CH99" s="53"/>
      <c r="CI99" s="53"/>
      <c r="CJ99" s="53"/>
      <c r="CK99" s="53"/>
      <c r="CL99" s="53"/>
      <c r="CM99" s="53"/>
      <c r="CN99" s="53"/>
      <c r="CO99" s="53"/>
      <c r="CP99" s="53"/>
      <c r="CQ99" s="53"/>
      <c r="CR99" s="1"/>
      <c r="CS99" s="1"/>
      <c r="CT99" s="1"/>
      <c r="CU99" s="1"/>
    </row>
    <row r="100" spans="1:99" s="13" customFormat="1" ht="12" customHeight="1" x14ac:dyDescent="0.2">
      <c r="A100" s="65">
        <v>43916</v>
      </c>
      <c r="B100" s="1"/>
      <c r="C100" s="1"/>
      <c r="D100" s="60"/>
      <c r="E100" s="76"/>
      <c r="F100" s="60"/>
      <c r="G100" s="60"/>
      <c r="H100" s="60"/>
      <c r="I100" s="60"/>
      <c r="J100" s="60"/>
      <c r="K100" s="64"/>
      <c r="L100" s="64"/>
      <c r="M100" s="60"/>
      <c r="N100" s="60"/>
      <c r="O100" s="60"/>
      <c r="P100" s="60"/>
      <c r="Q100" s="60"/>
      <c r="R100" s="60"/>
      <c r="S100" s="60"/>
      <c r="T100" s="59"/>
      <c r="U100" s="60"/>
      <c r="V100" s="59"/>
      <c r="W100" s="60"/>
      <c r="X100" s="60"/>
      <c r="Y100" s="76"/>
      <c r="Z100" s="60"/>
      <c r="AA100" s="60"/>
      <c r="AB100" s="60"/>
      <c r="AC100" s="60"/>
      <c r="AD100" s="60"/>
      <c r="AE100" s="60"/>
      <c r="AF100" s="80"/>
      <c r="AG100" s="56"/>
      <c r="AH100" s="4"/>
      <c r="AI100" s="56"/>
      <c r="AJ100" s="109"/>
      <c r="AK100" s="56"/>
      <c r="AL100" s="56"/>
      <c r="AM100" s="56"/>
      <c r="AN100" s="56"/>
      <c r="AO100" s="82"/>
      <c r="AP100" s="82"/>
      <c r="AQ100" s="82"/>
      <c r="AR100" s="115"/>
      <c r="AS100" s="82"/>
      <c r="AT100" s="82"/>
      <c r="AU100" s="3"/>
      <c r="AV100" s="54">
        <v>1.5</v>
      </c>
      <c r="AW100" s="25">
        <v>3</v>
      </c>
      <c r="AX100" s="25">
        <v>6</v>
      </c>
      <c r="AY100" s="53"/>
      <c r="AZ100" s="53"/>
      <c r="BA100" s="53"/>
      <c r="BB100" s="53"/>
      <c r="BC100" s="53"/>
      <c r="BD100" s="53"/>
      <c r="BE100" s="53"/>
      <c r="BF100" s="53"/>
      <c r="BG100" s="53"/>
      <c r="BH100" s="53"/>
      <c r="BI100" s="53"/>
      <c r="BJ100" s="53"/>
      <c r="BK100" s="53"/>
      <c r="BL100" s="53"/>
      <c r="BM100" s="53"/>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1"/>
      <c r="CS100" s="1"/>
      <c r="CT100" s="1"/>
      <c r="CU100" s="1"/>
    </row>
    <row r="101" spans="1:99" s="13" customFormat="1" ht="12" customHeight="1" x14ac:dyDescent="0.2">
      <c r="A101" s="65">
        <v>43916</v>
      </c>
      <c r="B101" s="1" t="s">
        <v>567</v>
      </c>
      <c r="C101" s="1" t="s">
        <v>45</v>
      </c>
      <c r="D101" s="60">
        <v>2020</v>
      </c>
      <c r="E101" s="76">
        <v>1</v>
      </c>
      <c r="F101" s="60">
        <v>60</v>
      </c>
      <c r="G101" s="60">
        <v>60</v>
      </c>
      <c r="H101" s="60" t="s">
        <v>41</v>
      </c>
      <c r="I101" s="60" t="s">
        <v>773</v>
      </c>
      <c r="J101" s="60" t="s">
        <v>764</v>
      </c>
      <c r="K101" s="60">
        <f>IF(J101="syllables",1,IF(J101="trigrams",2,IF(J101="strings",3,IF(J101="visual array",4,IF(J101="characters",5,IF(J101="letters",6,IF(J101="free forms",7,IF(J101="odors",8,IF(J101="words",9,IF(J101="pictures",10,IF(J101="object pictures",11,IF(J101="faces",12,IF(J101="names",13,IF(J101="idioms",14,IF(J101="grades",15,IF(J101="syllable-digit pairs",16,IF(J101="trigram-word pairs",17,IF(J101="word-digit pairs",18,IF(J101="English-Swahili pairs",19,IF(J101="spatial position",20,IF(J101="word pairs",21,IF(J101="word triads",22,IF(J101="generated words",23,IF(J101="word definition pairs",24,IF(J101="math problems",25,IF(J101="famous faces",26,IF(J101="famous names",27,IF(J101="famous voices",28,IF(J101="television programs",29,IF(J101="race horses",30,IF(J101="new vocabulary",31,IF(J101="sentences",32,IF(J101="concepts",33,IF(J101="ad slides",34,IF(J101="scenes",35,IF(J101="famous scenes",36,IF(J101="poems",37,IF(J101="walk",38,IF(J101="faces and events",39,IF(J101="events and names",40,IF(J101="flashbulb",41,IF(J101="stories",42,IF(J101="course material",43,IF(J101="autobiographical",44,IF(J101="novels",45,IF(J101="public events",46,"99"))))))))))))))))))))))))))))))))))))))))))))))</f>
        <v>4</v>
      </c>
      <c r="L101" s="60">
        <f>IF(J101="syllables",1,IF(J101="trigrams",1,IF(J101="strings",1,IF(J101="visual array",1,IF(J101="characters",1,IF(J101="letters",1,IF(J101="free forms",1,IF(J101="odors",2,IF(J101="words",2,IF(J101="pictures",2,IF(J101="object pictures",2,IF(J101="faces",2,IF(J101="names",2,IF(J101="idioms","2",IF(J101="grades",2,IF(J101="syllable-digit pairs",3,IF(J101="trigram-word pairs",3,IF(J101="word-digit pairs",3,IF(J101="English-Swahili pairs",3,IF(J101="spatial position",3,IF(J101="word pairs",4,IF(J101="word triads",4,IF(J101="generated words",4,IF(J101="word definition pairs",4,IF(J101="math problems",4,IF(J101="famous faces",4,IF(J101="famous names",4,IF(J101="famous voices",4,IF(J101="television programs",4,IF(J101="race horses",4,IF(J101="new vocabulary",4,IF(J101="sentences",5,IF(J101="concepts",5,IF(J101="ad slides",5,IF(J101="scenes",5,IF(J101="famous scenes",5,IF(J101="poems",6,IF(J101="walk",6,IF(J101="faces and events",6,IF(J101="events and names",6,IF(J101="flashbulb",7,IF(J101="stories",7,IF(J101="course material",7,IF(J101="autobiographical",7,IF(J101="novels",7,IF(J101="public events",7,"99"))))))))))))))))))))))))))))))))))))))))))))))</f>
        <v>1</v>
      </c>
      <c r="M101" s="60">
        <v>0</v>
      </c>
      <c r="N101" s="60">
        <v>1</v>
      </c>
      <c r="O101" s="60">
        <v>0</v>
      </c>
      <c r="P101" s="60"/>
      <c r="Q101" s="60" t="s">
        <v>174</v>
      </c>
      <c r="R101" s="60">
        <f>IF(Q101="Free Recall",1,IF(Q101="Cued Recall",2,IF(Q101="Recognition",3,IF(Q101="Multiple Choice",4,IF(Q101="Savings",5,IF(Q101="Stem Completion",6,IF(Q101="Fragment Completion",7,IF(Q101="anagram solution",8,IF(Q101="Matching",9,IF(Q101="Problem Solving",10,"99"))))))))))</f>
        <v>1</v>
      </c>
      <c r="S101" s="60" t="s">
        <v>49</v>
      </c>
      <c r="T101" s="59" t="s">
        <v>581</v>
      </c>
      <c r="U101" s="60">
        <f>IF(T101="within",1,0)</f>
        <v>1</v>
      </c>
      <c r="V101" s="59">
        <v>270</v>
      </c>
      <c r="W101" s="60">
        <f>F101*V101</f>
        <v>16200</v>
      </c>
      <c r="X101" s="60">
        <v>3</v>
      </c>
      <c r="Y101" s="76">
        <f>AV100</f>
        <v>1.5</v>
      </c>
      <c r="Z101" s="60" t="s">
        <v>39</v>
      </c>
      <c r="AA101" s="60">
        <v>6</v>
      </c>
      <c r="AB101" s="60" t="str">
        <f>IF(AA101&lt;60,"1",IF(AA101&lt;=43200,"2",IF(AA101&lt;=777600,"3","4")))</f>
        <v>1</v>
      </c>
      <c r="AC101" s="56">
        <f>AVERAGE(AV100:DA100)</f>
        <v>3.5</v>
      </c>
      <c r="AD101" s="60" t="str">
        <f>IF(AC101&lt;60,"1",IF(AC101&lt;=43200,"2",IF(AC101&lt;=777600,"3","4")))</f>
        <v>1</v>
      </c>
      <c r="AE101" s="76">
        <f>AA101-Y101</f>
        <v>4.5</v>
      </c>
      <c r="AF101" s="80">
        <f>AV101</f>
        <v>0.85</v>
      </c>
      <c r="AG101" s="56">
        <f>((AW101-AV101)+(AX101-AW101))/2</f>
        <v>-2.9999999999999971E-2</v>
      </c>
      <c r="AH101" s="4"/>
      <c r="AI101" s="56">
        <f>RSQ(AV101:AX101,AV100:AX100)</f>
        <v>1</v>
      </c>
      <c r="AJ101" s="109">
        <f>SLOPE(AV101:AX101,AV100:AX100)</f>
        <v>-1.3333333333333319E-2</v>
      </c>
      <c r="AK101" s="56">
        <f>INTERCEPT(AV101:AX101,AV100:AX100)</f>
        <v>0.86999999999999988</v>
      </c>
      <c r="AL101" s="56">
        <f>INDEX(LINEST(LN(AV101:AX101),LN(AV100:AX100),TRUE,TRUE),3,1)</f>
        <v>0.96088353903508672</v>
      </c>
      <c r="AM101" s="56">
        <f>INDEX(LINEST(LN(AV101:AX101),LN(AV100:AX100)),1)</f>
        <v>-5.280509398029936E-2</v>
      </c>
      <c r="AN101" s="56">
        <f>EXP(INDEX(LINEST(LN(AV101:AX101),LN(AV100:AX100)),1,2))</f>
        <v>0.87210572171871348</v>
      </c>
      <c r="AO101" s="82">
        <f>INDEX(LINEST((AV101:AX101),LN(AV100:AX100),TRUE,TRUE),3,1)</f>
        <v>0.96428571428571452</v>
      </c>
      <c r="AP101" s="82">
        <f>INDEX(LINEST((AV101:AX101),LN(AV100:AX100)),1)</f>
        <v>-4.3280851226668859E-2</v>
      </c>
      <c r="AQ101" s="83">
        <f>INDEX(LINEST(LN(AV101:AX101),SQRT(AV100:AX100),TRUE,TRUE),3,1)</f>
        <v>0.98996245490585466</v>
      </c>
      <c r="AR101" s="116">
        <f>INDEX(LINEST(LN(AV101:AX101),SQRT((AV100:AX100))),1)</f>
        <v>-6.0372516510336413E-2</v>
      </c>
      <c r="AS101" s="84">
        <f>INDEX(LINEST(1/(AV101:AX101),1/(SQRT(AV100:AX100)),TRUE,TRUE),3,1)</f>
        <v>0.90885650374259142</v>
      </c>
      <c r="AT101" s="84">
        <f>INDEX(LINEST(1/(AV101:AX101),1/SQRT(AV100:AX100)),1)</f>
        <v>-0.21221042180871011</v>
      </c>
      <c r="AU101" s="3"/>
      <c r="AV101" s="53">
        <v>0.85</v>
      </c>
      <c r="AW101" s="53">
        <v>0.83</v>
      </c>
      <c r="AX101" s="53">
        <v>0.79</v>
      </c>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1"/>
      <c r="CS101" s="1"/>
      <c r="CT101" s="1"/>
      <c r="CU101" s="1"/>
    </row>
    <row r="102" spans="1:99" s="13" customFormat="1" ht="12" customHeight="1" x14ac:dyDescent="0.2">
      <c r="A102" s="65">
        <v>43916</v>
      </c>
      <c r="B102" s="1"/>
      <c r="C102" s="1"/>
      <c r="D102" s="60"/>
      <c r="E102" s="76"/>
      <c r="F102" s="60"/>
      <c r="G102" s="60"/>
      <c r="H102" s="60"/>
      <c r="I102" s="60"/>
      <c r="J102" s="60"/>
      <c r="K102" s="64"/>
      <c r="L102" s="64"/>
      <c r="M102" s="60"/>
      <c r="N102" s="60"/>
      <c r="O102" s="60"/>
      <c r="P102" s="60"/>
      <c r="Q102" s="60"/>
      <c r="R102" s="60"/>
      <c r="S102" s="60"/>
      <c r="T102" s="59"/>
      <c r="U102" s="60"/>
      <c r="V102" s="59"/>
      <c r="W102" s="60"/>
      <c r="X102" s="60"/>
      <c r="Y102" s="76"/>
      <c r="Z102" s="60"/>
      <c r="AA102" s="60"/>
      <c r="AB102" s="60"/>
      <c r="AC102" s="60"/>
      <c r="AD102" s="60"/>
      <c r="AE102" s="60"/>
      <c r="AF102" s="80"/>
      <c r="AG102" s="56"/>
      <c r="AH102" s="4"/>
      <c r="AI102" s="56"/>
      <c r="AJ102" s="109"/>
      <c r="AK102" s="56"/>
      <c r="AL102" s="56"/>
      <c r="AM102" s="56"/>
      <c r="AN102" s="56"/>
      <c r="AO102" s="82"/>
      <c r="AP102" s="82"/>
      <c r="AQ102" s="82"/>
      <c r="AR102" s="115"/>
      <c r="AS102" s="82"/>
      <c r="AT102" s="82"/>
      <c r="AU102" s="3"/>
      <c r="AV102" s="54">
        <v>1.5</v>
      </c>
      <c r="AW102" s="25">
        <v>3</v>
      </c>
      <c r="AX102" s="25">
        <v>6</v>
      </c>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1"/>
      <c r="CS102" s="1"/>
      <c r="CT102" s="1"/>
      <c r="CU102" s="1"/>
    </row>
    <row r="103" spans="1:99" s="13" customFormat="1" ht="12" customHeight="1" x14ac:dyDescent="0.2">
      <c r="A103" s="65">
        <v>43916</v>
      </c>
      <c r="B103" s="1" t="s">
        <v>567</v>
      </c>
      <c r="C103" s="1" t="s">
        <v>45</v>
      </c>
      <c r="D103" s="60">
        <v>2020</v>
      </c>
      <c r="E103" s="76">
        <v>1</v>
      </c>
      <c r="F103" s="60">
        <v>60</v>
      </c>
      <c r="G103" s="60">
        <v>60</v>
      </c>
      <c r="H103" s="60" t="s">
        <v>41</v>
      </c>
      <c r="I103" s="60" t="s">
        <v>774</v>
      </c>
      <c r="J103" s="60" t="s">
        <v>764</v>
      </c>
      <c r="K103" s="60">
        <f>IF(J103="syllables",1,IF(J103="trigrams",2,IF(J103="strings",3,IF(J103="visual array",4,IF(J103="characters",5,IF(J103="letters",6,IF(J103="free forms",7,IF(J103="odors",8,IF(J103="words",9,IF(J103="pictures",10,IF(J103="object pictures",11,IF(J103="faces",12,IF(J103="names",13,IF(J103="idioms",14,IF(J103="grades",15,IF(J103="syllable-digit pairs",16,IF(J103="trigram-word pairs",17,IF(J103="word-digit pairs",18,IF(J103="English-Swahili pairs",19,IF(J103="spatial position",20,IF(J103="word pairs",21,IF(J103="word triads",22,IF(J103="generated words",23,IF(J103="word definition pairs",24,IF(J103="math problems",25,IF(J103="famous faces",26,IF(J103="famous names",27,IF(J103="famous voices",28,IF(J103="television programs",29,IF(J103="race horses",30,IF(J103="new vocabulary",31,IF(J103="sentences",32,IF(J103="concepts",33,IF(J103="ad slides",34,IF(J103="scenes",35,IF(J103="famous scenes",36,IF(J103="poems",37,IF(J103="walk",38,IF(J103="faces and events",39,IF(J103="events and names",40,IF(J103="flashbulb",41,IF(J103="stories",42,IF(J103="course material",43,IF(J103="autobiographical",44,IF(J103="novels",45,IF(J103="public events",46,"99"))))))))))))))))))))))))))))))))))))))))))))))</f>
        <v>4</v>
      </c>
      <c r="L103" s="60">
        <f>IF(J103="syllables",1,IF(J103="trigrams",1,IF(J103="strings",1,IF(J103="visual array",1,IF(J103="characters",1,IF(J103="letters",1,IF(J103="free forms",1,IF(J103="odors",2,IF(J103="words",2,IF(J103="pictures",2,IF(J103="object pictures",2,IF(J103="faces",2,IF(J103="names",2,IF(J103="idioms","2",IF(J103="grades",2,IF(J103="syllable-digit pairs",3,IF(J103="trigram-word pairs",3,IF(J103="word-digit pairs",3,IF(J103="English-Swahili pairs",3,IF(J103="spatial position",3,IF(J103="word pairs",4,IF(J103="word triads",4,IF(J103="generated words",4,IF(J103="word definition pairs",4,IF(J103="math problems",4,IF(J103="famous faces",4,IF(J103="famous names",4,IF(J103="famous voices",4,IF(J103="television programs",4,IF(J103="race horses",4,IF(J103="new vocabulary",4,IF(J103="sentences",5,IF(J103="concepts",5,IF(J103="ad slides",5,IF(J103="scenes",5,IF(J103="famous scenes",5,IF(J103="poems",6,IF(J103="walk",6,IF(J103="faces and events",6,IF(J103="events and names",6,IF(J103="flashbulb",7,IF(J103="stories",7,IF(J103="course material",7,IF(J103="autobiographical",7,IF(J103="novels",7,IF(J103="public events",7,"99"))))))))))))))))))))))))))))))))))))))))))))))</f>
        <v>1</v>
      </c>
      <c r="M103" s="60">
        <v>0</v>
      </c>
      <c r="N103" s="60">
        <v>1</v>
      </c>
      <c r="O103" s="60">
        <v>1</v>
      </c>
      <c r="P103" s="60" t="s">
        <v>550</v>
      </c>
      <c r="Q103" s="60" t="s">
        <v>174</v>
      </c>
      <c r="R103" s="60">
        <f>IF(Q103="Free Recall",1,IF(Q103="Cued Recall",2,IF(Q103="Recognition",3,IF(Q103="Multiple Choice",4,IF(Q103="Savings",5,IF(Q103="Stem Completion",6,IF(Q103="Fragment Completion",7,IF(Q103="anagram solution",8,IF(Q103="Matching",9,IF(Q103="Problem Solving",10,"99"))))))))))</f>
        <v>1</v>
      </c>
      <c r="S103" s="60" t="s">
        <v>49</v>
      </c>
      <c r="T103" s="59" t="s">
        <v>581</v>
      </c>
      <c r="U103" s="60">
        <f>IF(T103="within",1,0)</f>
        <v>1</v>
      </c>
      <c r="V103" s="59">
        <v>270</v>
      </c>
      <c r="W103" s="60">
        <f>F103*V103</f>
        <v>16200</v>
      </c>
      <c r="X103" s="60">
        <v>3</v>
      </c>
      <c r="Y103" s="76">
        <f>AV102</f>
        <v>1.5</v>
      </c>
      <c r="Z103" s="60" t="s">
        <v>39</v>
      </c>
      <c r="AA103" s="60">
        <v>6</v>
      </c>
      <c r="AB103" s="60" t="str">
        <f>IF(AA103&lt;60,"1",IF(AA103&lt;=43200,"2",IF(AA103&lt;=777600,"3","4")))</f>
        <v>1</v>
      </c>
      <c r="AC103" s="56">
        <f>AVERAGE(AV102:DA102)</f>
        <v>3.5</v>
      </c>
      <c r="AD103" s="60" t="str">
        <f>IF(AC103&lt;60,"1",IF(AC103&lt;=43200,"2",IF(AC103&lt;=777600,"3","4")))</f>
        <v>1</v>
      </c>
      <c r="AE103" s="76">
        <f>AA103-Y103</f>
        <v>4.5</v>
      </c>
      <c r="AF103" s="80">
        <f>AV103</f>
        <v>0.79</v>
      </c>
      <c r="AG103" s="56">
        <f>((AW103-AV103)+(AX103-AW103))/2</f>
        <v>-4.0000000000000036E-2</v>
      </c>
      <c r="AH103" s="4"/>
      <c r="AI103" s="56">
        <f>RSQ(AV103:AX103,AV102:AX102)</f>
        <v>0.95300751879699253</v>
      </c>
      <c r="AJ103" s="109">
        <f>SLOPE(AV103:AX103,AV102:AX102)</f>
        <v>-1.8571428571428589E-2</v>
      </c>
      <c r="AK103" s="56">
        <f>INTERCEPT(AV103:AX103,AV102:AX102)</f>
        <v>0.82500000000000018</v>
      </c>
      <c r="AL103" s="56">
        <f>INDEX(LINEST(LN(AV103:AX103),LN(AV102:AX102),TRUE,TRUE),3,1)</f>
        <v>0.83806276823159775</v>
      </c>
      <c r="AM103" s="56">
        <f>INDEX(LINEST(LN(AV103:AX103),LN(AV102:AX102)),1)</f>
        <v>-7.7016814336210507E-2</v>
      </c>
      <c r="AN103" s="56">
        <f>EXP(INDEX(LINEST(LN(AV103:AX103),LN(AV102:AX102)),1,2))</f>
        <v>0.82617688497785069</v>
      </c>
      <c r="AO103" s="82">
        <f>INDEX(LINEST((AV103:AX103),LN(AV102:AX102),TRUE,TRUE),3,1)</f>
        <v>0.84210526315789469</v>
      </c>
      <c r="AP103" s="82">
        <f>INDEX(LINEST((AV103:AX103),LN(AV102:AX102)),1)</f>
        <v>-5.7707801635558588E-2</v>
      </c>
      <c r="AQ103" s="83">
        <f>INDEX(LINEST(LN(AV103:AX103),SQRT(AV102:AX102),TRUE,TRUE),3,1)</f>
        <v>0.90376794598306331</v>
      </c>
      <c r="AR103" s="116">
        <f>INDEX(LINEST(LN(AV103:AX103),SQRT((AV102:AX102))),1)</f>
        <v>-9.0087641697188886E-2</v>
      </c>
      <c r="AS103" s="84">
        <f>INDEX(LINEST(1/(AV103:AX103),1/(SQRT(AV102:AX102)),TRUE,TRUE),3,1)</f>
        <v>0.75463517403855318</v>
      </c>
      <c r="AT103" s="84">
        <f>INDEX(LINEST(1/(AV103:AX103),1/SQRT(AV102:AX102)),1)</f>
        <v>-0.33068708807123964</v>
      </c>
      <c r="AU103" s="3"/>
      <c r="AV103" s="53">
        <v>0.79</v>
      </c>
      <c r="AW103" s="53">
        <v>0.78</v>
      </c>
      <c r="AX103" s="53">
        <v>0.71</v>
      </c>
      <c r="AY103" s="53"/>
      <c r="AZ103" s="53"/>
      <c r="BA103" s="53"/>
      <c r="BB103" s="53"/>
      <c r="BC103" s="53"/>
      <c r="BD103" s="53"/>
      <c r="BE103" s="53"/>
      <c r="BF103" s="53"/>
      <c r="BG103" s="53"/>
      <c r="BH103" s="53"/>
      <c r="BI103" s="53"/>
      <c r="BJ103" s="53"/>
      <c r="BK103" s="53"/>
      <c r="BL103" s="53"/>
      <c r="BM103" s="53"/>
      <c r="BN103" s="53"/>
      <c r="BO103" s="53"/>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53"/>
      <c r="CR103" s="1"/>
      <c r="CS103" s="1"/>
      <c r="CT103" s="1"/>
      <c r="CU103" s="1"/>
    </row>
    <row r="104" spans="1:99" s="13" customFormat="1" ht="12" customHeight="1" x14ac:dyDescent="0.2">
      <c r="A104" s="65">
        <v>43916</v>
      </c>
      <c r="B104" s="1"/>
      <c r="C104" s="1"/>
      <c r="D104" s="60"/>
      <c r="E104" s="76"/>
      <c r="F104" s="60"/>
      <c r="G104" s="60"/>
      <c r="H104" s="60"/>
      <c r="I104" s="60"/>
      <c r="J104" s="60"/>
      <c r="K104" s="64"/>
      <c r="L104" s="64"/>
      <c r="M104" s="60"/>
      <c r="N104" s="60"/>
      <c r="O104" s="60"/>
      <c r="P104" s="60"/>
      <c r="Q104" s="60"/>
      <c r="R104" s="60"/>
      <c r="S104" s="60"/>
      <c r="T104" s="59"/>
      <c r="U104" s="60"/>
      <c r="V104" s="59"/>
      <c r="W104" s="60"/>
      <c r="X104" s="60"/>
      <c r="Y104" s="76"/>
      <c r="Z104" s="60"/>
      <c r="AA104" s="60"/>
      <c r="AB104" s="60"/>
      <c r="AC104" s="60"/>
      <c r="AD104" s="60"/>
      <c r="AE104" s="60"/>
      <c r="AF104" s="80"/>
      <c r="AG104" s="56"/>
      <c r="AH104" s="4"/>
      <c r="AI104" s="56"/>
      <c r="AJ104" s="109"/>
      <c r="AK104" s="56"/>
      <c r="AL104" s="56"/>
      <c r="AM104" s="56"/>
      <c r="AN104" s="56"/>
      <c r="AO104" s="82"/>
      <c r="AP104" s="82"/>
      <c r="AQ104" s="82"/>
      <c r="AR104" s="115"/>
      <c r="AS104" s="82"/>
      <c r="AT104" s="82"/>
      <c r="AU104" s="3"/>
      <c r="AV104" s="54">
        <v>1.5</v>
      </c>
      <c r="AW104" s="25">
        <v>3</v>
      </c>
      <c r="AX104" s="25">
        <v>6</v>
      </c>
      <c r="AY104" s="53"/>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53"/>
      <c r="CR104" s="1"/>
      <c r="CS104" s="1"/>
      <c r="CT104" s="1"/>
      <c r="CU104" s="1"/>
    </row>
    <row r="105" spans="1:99" s="13" customFormat="1" ht="12" customHeight="1" x14ac:dyDescent="0.2">
      <c r="A105" s="65">
        <v>43916</v>
      </c>
      <c r="B105" s="1" t="s">
        <v>567</v>
      </c>
      <c r="C105" s="1" t="s">
        <v>45</v>
      </c>
      <c r="D105" s="60">
        <v>2020</v>
      </c>
      <c r="E105" s="76">
        <v>1</v>
      </c>
      <c r="F105" s="60">
        <v>60</v>
      </c>
      <c r="G105" s="60">
        <v>60</v>
      </c>
      <c r="H105" s="60" t="s">
        <v>41</v>
      </c>
      <c r="I105" s="76" t="s">
        <v>775</v>
      </c>
      <c r="J105" s="60" t="s">
        <v>764</v>
      </c>
      <c r="K105" s="60">
        <f>IF(J105="syllables",1,IF(J105="trigrams",2,IF(J105="strings",3,IF(J105="visual array",4,IF(J105="characters",5,IF(J105="letters",6,IF(J105="free forms",7,IF(J105="odors",8,IF(J105="words",9,IF(J105="pictures",10,IF(J105="object pictures",11,IF(J105="faces",12,IF(J105="names",13,IF(J105="idioms",14,IF(J105="grades",15,IF(J105="syllable-digit pairs",16,IF(J105="trigram-word pairs",17,IF(J105="word-digit pairs",18,IF(J105="English-Swahili pairs",19,IF(J105="spatial position",20,IF(J105="word pairs",21,IF(J105="word triads",22,IF(J105="generated words",23,IF(J105="word definition pairs",24,IF(J105="math problems",25,IF(J105="famous faces",26,IF(J105="famous names",27,IF(J105="famous voices",28,IF(J105="television programs",29,IF(J105="race horses",30,IF(J105="new vocabulary",31,IF(J105="sentences",32,IF(J105="concepts",33,IF(J105="ad slides",34,IF(J105="scenes",35,IF(J105="famous scenes",36,IF(J105="poems",37,IF(J105="walk",38,IF(J105="faces and events",39,IF(J105="events and names",40,IF(J105="flashbulb",41,IF(J105="stories",42,IF(J105="course material",43,IF(J105="autobiographical",44,IF(J105="novels",45,IF(J105="public events",46,"99"))))))))))))))))))))))))))))))))))))))))))))))</f>
        <v>4</v>
      </c>
      <c r="L105" s="60">
        <f>IF(J105="syllables",1,IF(J105="trigrams",1,IF(J105="strings",1,IF(J105="visual array",1,IF(J105="characters",1,IF(J105="letters",1,IF(J105="free forms",1,IF(J105="odors",2,IF(J105="words",2,IF(J105="pictures",2,IF(J105="object pictures",2,IF(J105="faces",2,IF(J105="names",2,IF(J105="idioms","2",IF(J105="grades",2,IF(J105="syllable-digit pairs",3,IF(J105="trigram-word pairs",3,IF(J105="word-digit pairs",3,IF(J105="English-Swahili pairs",3,IF(J105="spatial position",3,IF(J105="word pairs",4,IF(J105="word triads",4,IF(J105="generated words",4,IF(J105="word definition pairs",4,IF(J105="math problems",4,IF(J105="famous faces",4,IF(J105="famous names",4,IF(J105="famous voices",4,IF(J105="television programs",4,IF(J105="race horses",4,IF(J105="new vocabulary",4,IF(J105="sentences",5,IF(J105="concepts",5,IF(J105="ad slides",5,IF(J105="scenes",5,IF(J105="famous scenes",5,IF(J105="poems",6,IF(J105="walk",6,IF(J105="faces and events",6,IF(J105="events and names",6,IF(J105="flashbulb",7,IF(J105="stories",7,IF(J105="course material",7,IF(J105="autobiographical",7,IF(J105="novels",7,IF(J105="public events",7,"99"))))))))))))))))))))))))))))))))))))))))))))))</f>
        <v>1</v>
      </c>
      <c r="M105" s="60">
        <v>0</v>
      </c>
      <c r="N105" s="60">
        <v>1</v>
      </c>
      <c r="O105" s="60">
        <v>1</v>
      </c>
      <c r="P105" s="60" t="s">
        <v>550</v>
      </c>
      <c r="Q105" s="60" t="s">
        <v>174</v>
      </c>
      <c r="R105" s="60">
        <f>IF(Q105="Free Recall",1,IF(Q105="Cued Recall",2,IF(Q105="Recognition",3,IF(Q105="Multiple Choice",4,IF(Q105="Savings",5,IF(Q105="Stem Completion",6,IF(Q105="Fragment Completion",7,IF(Q105="anagram solution",8,IF(Q105="Matching",9,IF(Q105="Problem Solving",10,"99"))))))))))</f>
        <v>1</v>
      </c>
      <c r="S105" s="60" t="s">
        <v>49</v>
      </c>
      <c r="T105" s="59" t="s">
        <v>581</v>
      </c>
      <c r="U105" s="60">
        <f>IF(T105="within",1,0)</f>
        <v>1</v>
      </c>
      <c r="V105" s="59">
        <v>270</v>
      </c>
      <c r="W105" s="60">
        <f>F105*V105</f>
        <v>16200</v>
      </c>
      <c r="X105" s="60">
        <v>3</v>
      </c>
      <c r="Y105" s="76">
        <f>AV104</f>
        <v>1.5</v>
      </c>
      <c r="Z105" s="60" t="s">
        <v>39</v>
      </c>
      <c r="AA105" s="60">
        <v>6</v>
      </c>
      <c r="AB105" s="60" t="str">
        <f>IF(AA105&lt;60,"1",IF(AA105&lt;=43200,"2",IF(AA105&lt;=777600,"3","4")))</f>
        <v>1</v>
      </c>
      <c r="AC105" s="56">
        <f>AVERAGE(AV104:DA104)</f>
        <v>3.5</v>
      </c>
      <c r="AD105" s="60" t="str">
        <f>IF(AC105&lt;60,"1",IF(AC105&lt;=43200,"2",IF(AC105&lt;=777600,"3","4")))</f>
        <v>1</v>
      </c>
      <c r="AE105" s="76">
        <f>AA105-Y105</f>
        <v>4.5</v>
      </c>
      <c r="AF105" s="80">
        <f>AV105</f>
        <v>0.78</v>
      </c>
      <c r="AG105" s="56">
        <f>((AW105-AV105)+(AX105-AW105))/2</f>
        <v>-3.5000000000000031E-2</v>
      </c>
      <c r="AH105" s="4"/>
      <c r="AI105" s="56">
        <f>RSQ(AV105:AX105,AV104:AX104)</f>
        <v>0.99725274725274726</v>
      </c>
      <c r="AJ105" s="109">
        <f>SLOPE(AV105:AX105,AV104:AX104)</f>
        <v>-1.5714285714285729E-2</v>
      </c>
      <c r="AK105" s="56">
        <f>INTERCEPT(AV105:AX105,AV104:AX104)</f>
        <v>0.80500000000000005</v>
      </c>
      <c r="AL105" s="56">
        <f>INDEX(LINEST(LN(AV105:AX105),LN(AV104:AX104),TRUE,TRUE),3,1)</f>
        <v>0.93742487178104128</v>
      </c>
      <c r="AM105" s="56">
        <f>INDEX(LINEST(LN(AV105:AX105),LN(AV104:AX104)),1)</f>
        <v>-6.7827549678783197E-2</v>
      </c>
      <c r="AN105" s="56">
        <f>EXP(INDEX(LINEST(LN(AV105:AX105),LN(AV104:AX104)),1,2))</f>
        <v>0.80739145142994828</v>
      </c>
      <c r="AO105" s="82">
        <f>INDEX(LINEST((AV105:AX105),LN(AV104:AX104),TRUE,TRUE),3,1)</f>
        <v>0.94230769230769229</v>
      </c>
      <c r="AP105" s="82">
        <f>INDEX(LINEST((AV105:AX105),LN(AV104:AX104)),1)</f>
        <v>-5.0494326431113755E-2</v>
      </c>
      <c r="AQ105" s="83">
        <f>INDEX(LINEST(LN(AV105:AX105),SQRT(AV104:AX104),TRUE,TRUE),3,1)</f>
        <v>0.97644061041387575</v>
      </c>
      <c r="AR105" s="116">
        <f>INDEX(LINEST(LN(AV105:AX105),SQRT((AV104:AX104))),1)</f>
        <v>-7.79740842013361E-2</v>
      </c>
      <c r="AS105" s="84">
        <f>INDEX(LINEST(1/(AV105:AX105),1/(SQRT(AV104:AX104)),TRUE,TRUE),3,1)</f>
        <v>0.87481527412362559</v>
      </c>
      <c r="AT105" s="84">
        <f>INDEX(LINEST(1/(AV105:AX105),1/SQRT(AV104:AX104)),1)</f>
        <v>-0.29843130572073534</v>
      </c>
      <c r="AU105" s="3"/>
      <c r="AV105" s="53">
        <v>0.78</v>
      </c>
      <c r="AW105" s="53">
        <v>0.76</v>
      </c>
      <c r="AX105" s="53">
        <v>0.71</v>
      </c>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1"/>
      <c r="CS105" s="1"/>
      <c r="CT105" s="1"/>
      <c r="CU105" s="1"/>
    </row>
    <row r="106" spans="1:99" s="13" customFormat="1" ht="12" customHeight="1" x14ac:dyDescent="0.2">
      <c r="A106" s="65">
        <v>43916</v>
      </c>
      <c r="B106" s="1"/>
      <c r="C106" s="1"/>
      <c r="D106" s="60"/>
      <c r="E106" s="76"/>
      <c r="F106" s="60"/>
      <c r="G106" s="60"/>
      <c r="H106" s="60"/>
      <c r="I106" s="60"/>
      <c r="J106" s="60"/>
      <c r="K106" s="64"/>
      <c r="L106" s="64"/>
      <c r="M106" s="60"/>
      <c r="N106" s="60"/>
      <c r="O106" s="60"/>
      <c r="P106" s="60"/>
      <c r="Q106" s="60"/>
      <c r="R106" s="60"/>
      <c r="S106" s="60"/>
      <c r="T106" s="59"/>
      <c r="U106" s="60"/>
      <c r="V106" s="59"/>
      <c r="W106" s="60"/>
      <c r="X106" s="60"/>
      <c r="Y106" s="76"/>
      <c r="Z106" s="60"/>
      <c r="AA106" s="60"/>
      <c r="AB106" s="60"/>
      <c r="AC106" s="60"/>
      <c r="AD106" s="60"/>
      <c r="AE106" s="60"/>
      <c r="AF106" s="80"/>
      <c r="AG106" s="56"/>
      <c r="AH106" s="4"/>
      <c r="AI106" s="56"/>
      <c r="AJ106" s="109"/>
      <c r="AK106" s="56"/>
      <c r="AL106" s="56"/>
      <c r="AM106" s="56"/>
      <c r="AN106" s="56"/>
      <c r="AO106" s="82"/>
      <c r="AP106" s="82"/>
      <c r="AQ106" s="82"/>
      <c r="AR106" s="115"/>
      <c r="AS106" s="82"/>
      <c r="AT106" s="82"/>
      <c r="AU106" s="3"/>
      <c r="AV106" s="54">
        <v>1.5</v>
      </c>
      <c r="AW106" s="25">
        <v>3</v>
      </c>
      <c r="AX106" s="25">
        <v>6</v>
      </c>
      <c r="AY106" s="53"/>
      <c r="AZ106" s="53"/>
      <c r="BA106" s="53"/>
      <c r="BB106" s="53"/>
      <c r="BC106" s="53"/>
      <c r="BD106" s="53"/>
      <c r="BE106" s="53"/>
      <c r="BF106" s="53"/>
      <c r="BG106" s="53"/>
      <c r="BH106" s="53"/>
      <c r="BI106" s="53"/>
      <c r="BJ106" s="53"/>
      <c r="BK106" s="53"/>
      <c r="BL106" s="53"/>
      <c r="BM106" s="53"/>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1"/>
      <c r="CS106" s="1"/>
      <c r="CT106" s="1"/>
      <c r="CU106" s="1"/>
    </row>
    <row r="107" spans="1:99" s="13" customFormat="1" ht="12" customHeight="1" x14ac:dyDescent="0.2">
      <c r="A107" s="65">
        <v>43916</v>
      </c>
      <c r="B107" s="1" t="s">
        <v>567</v>
      </c>
      <c r="C107" s="1" t="s">
        <v>45</v>
      </c>
      <c r="D107" s="60">
        <v>2020</v>
      </c>
      <c r="E107" s="76">
        <v>2</v>
      </c>
      <c r="F107" s="60">
        <v>75</v>
      </c>
      <c r="G107" s="60">
        <v>75</v>
      </c>
      <c r="H107" s="60" t="s">
        <v>43</v>
      </c>
      <c r="I107" s="60" t="s">
        <v>776</v>
      </c>
      <c r="J107" s="60" t="s">
        <v>764</v>
      </c>
      <c r="K107" s="60">
        <f>IF(J107="syllables",1,IF(J107="trigrams",2,IF(J107="strings",3,IF(J107="visual array",4,IF(J107="characters",5,IF(J107="letters",6,IF(J107="free forms",7,IF(J107="odors",8,IF(J107="words",9,IF(J107="pictures",10,IF(J107="object pictures",11,IF(J107="faces",12,IF(J107="names",13,IF(J107="idioms",14,IF(J107="grades",15,IF(J107="syllable-digit pairs",16,IF(J107="trigram-word pairs",17,IF(J107="word-digit pairs",18,IF(J107="English-Swahili pairs",19,IF(J107="spatial position",20,IF(J107="word pairs",21,IF(J107="word triads",22,IF(J107="generated words",23,IF(J107="word definition pairs",24,IF(J107="math problems",25,IF(J107="famous faces",26,IF(J107="famous names",27,IF(J107="famous voices",28,IF(J107="television programs",29,IF(J107="race horses",30,IF(J107="new vocabulary",31,IF(J107="sentences",32,IF(J107="concepts",33,IF(J107="ad slides",34,IF(J107="scenes",35,IF(J107="famous scenes",36,IF(J107="poems",37,IF(J107="walk",38,IF(J107="faces and events",39,IF(J107="events and names",40,IF(J107="flashbulb",41,IF(J107="stories",42,IF(J107="course material",43,IF(J107="autobiographical",44,IF(J107="novels",45,IF(J107="public events",46,"99"))))))))))))))))))))))))))))))))))))))))))))))</f>
        <v>4</v>
      </c>
      <c r="L107" s="60">
        <f>IF(J107="syllables",1,IF(J107="trigrams",1,IF(J107="strings",1,IF(J107="visual array",1,IF(J107="characters",1,IF(J107="letters",1,IF(J107="free forms",1,IF(J107="odors",2,IF(J107="words",2,IF(J107="pictures",2,IF(J107="object pictures",2,IF(J107="faces",2,IF(J107="names",2,IF(J107="idioms","2",IF(J107="grades",2,IF(J107="syllable-digit pairs",3,IF(J107="trigram-word pairs",3,IF(J107="word-digit pairs",3,IF(J107="English-Swahili pairs",3,IF(J107="spatial position",3,IF(J107="word pairs",4,IF(J107="word triads",4,IF(J107="generated words",4,IF(J107="word definition pairs",4,IF(J107="math problems",4,IF(J107="famous faces",4,IF(J107="famous names",4,IF(J107="famous voices",4,IF(J107="television programs",4,IF(J107="race horses",4,IF(J107="new vocabulary",4,IF(J107="sentences",5,IF(J107="concepts",5,IF(J107="ad slides",5,IF(J107="scenes",5,IF(J107="famous scenes",5,IF(J107="poems",6,IF(J107="walk",6,IF(J107="faces and events",6,IF(J107="events and names",6,IF(J107="flashbulb",7,IF(J107="stories",7,IF(J107="course material",7,IF(J107="autobiographical",7,IF(J107="novels",7,IF(J107="public events",7,"99"))))))))))))))))))))))))))))))))))))))))))))))</f>
        <v>1</v>
      </c>
      <c r="M107" s="60">
        <v>0</v>
      </c>
      <c r="N107" s="60">
        <v>1</v>
      </c>
      <c r="O107" s="60">
        <v>0</v>
      </c>
      <c r="P107" s="60"/>
      <c r="Q107" s="60" t="s">
        <v>174</v>
      </c>
      <c r="R107" s="60">
        <f>IF(Q107="Free Recall",1,IF(Q107="Cued Recall",2,IF(Q107="Recognition",3,IF(Q107="Multiple Choice",4,IF(Q107="Savings",5,IF(Q107="Stem Completion",6,IF(Q107="Fragment Completion",7,IF(Q107="anagram solution",8,IF(Q107="Matching",9,IF(Q107="Problem Solving",10,"99"))))))))))</f>
        <v>1</v>
      </c>
      <c r="S107" s="60" t="s">
        <v>49</v>
      </c>
      <c r="T107" s="59" t="s">
        <v>581</v>
      </c>
      <c r="U107" s="60">
        <f>IF(T107="within",1,0)</f>
        <v>1</v>
      </c>
      <c r="V107" s="59">
        <v>270</v>
      </c>
      <c r="W107" s="60">
        <f>F107*V107</f>
        <v>20250</v>
      </c>
      <c r="X107" s="60">
        <v>3</v>
      </c>
      <c r="Y107" s="76">
        <f>AV106</f>
        <v>1.5</v>
      </c>
      <c r="Z107" s="60" t="s">
        <v>39</v>
      </c>
      <c r="AA107" s="60">
        <v>6</v>
      </c>
      <c r="AB107" s="60" t="str">
        <f>IF(AA107&lt;60,"1",IF(AA107&lt;=43200,"2",IF(AA107&lt;=777600,"3","4")))</f>
        <v>1</v>
      </c>
      <c r="AC107" s="56">
        <f>AVERAGE(AV106:DA106)</f>
        <v>3.5</v>
      </c>
      <c r="AD107" s="60" t="str">
        <f>IF(AC107&lt;60,"1",IF(AC107&lt;=43200,"2",IF(AC107&lt;=777600,"3","4")))</f>
        <v>1</v>
      </c>
      <c r="AE107" s="76">
        <f>AA107-Y107</f>
        <v>4.5</v>
      </c>
      <c r="AF107" s="80">
        <f>AV107</f>
        <v>0.88</v>
      </c>
      <c r="AG107" s="56">
        <f>((AW107-AV107)+(AX107-AW107))/2</f>
        <v>-2.5000000000000022E-2</v>
      </c>
      <c r="AH107" s="4"/>
      <c r="AI107" s="56">
        <f>RSQ(AV107:AX107,AV106:AX106)</f>
        <v>0.99436090225563922</v>
      </c>
      <c r="AJ107" s="109">
        <f>SLOPE(AV107:AX107,AV106:AX106)</f>
        <v>-1.0952380952380962E-2</v>
      </c>
      <c r="AK107" s="56">
        <f>INTERCEPT(AV107:AX107,AV106:AX106)</f>
        <v>0.89499999999999991</v>
      </c>
      <c r="AL107" s="56">
        <f>INDEX(LINEST(LN(AV107:AX107),LN(AV106:AX106),TRUE,TRUE),3,1)</f>
        <v>0.98496660187497864</v>
      </c>
      <c r="AM107" s="56">
        <f>INDEX(LINEST(LN(AV107:AX107),LN(AV106:AX106)),1)</f>
        <v>-4.2196093645186297E-2</v>
      </c>
      <c r="AN107" s="56">
        <f>EXP(INDEX(LINEST(LN(AV107:AX107),LN(AV106:AX106)),1,2))</f>
        <v>0.89705497354348529</v>
      </c>
      <c r="AO107" s="82">
        <f>INDEX(LINEST((AV107:AX107),LN(AV106:AX106),TRUE,TRUE),3,1)</f>
        <v>0.98684210526315785</v>
      </c>
      <c r="AP107" s="82">
        <f>INDEX(LINEST((AV107:AX107),LN(AV106:AX106)),1)</f>
        <v>-3.606737602222411E-2</v>
      </c>
      <c r="AQ107" s="83">
        <f>INDEX(LINEST(LN(AV107:AX107),SQRT(AV106:AX106),TRUE,TRUE),3,1)</f>
        <v>0.99941522285111928</v>
      </c>
      <c r="AR107" s="116">
        <f>INDEX(LINEST(LN(AV107:AX107),SQRT((AV106:AX106))),1)</f>
        <v>-4.7876671439769834E-2</v>
      </c>
      <c r="AS107" s="84">
        <f>INDEX(LINEST(1/(AV107:AX107),1/(SQRT(AV106:AX106)),TRUE,TRUE),3,1)</f>
        <v>0.94821871348652054</v>
      </c>
      <c r="AT107" s="84">
        <f>INDEX(LINEST(1/(AV107:AX107),1/SQRT(AV106:AX106)),1)</f>
        <v>-0.16388765988963322</v>
      </c>
      <c r="AU107" s="3"/>
      <c r="AV107" s="53">
        <v>0.88</v>
      </c>
      <c r="AW107" s="53">
        <v>0.86</v>
      </c>
      <c r="AX107" s="53">
        <v>0.83</v>
      </c>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c r="CA107" s="53"/>
      <c r="CB107" s="53"/>
      <c r="CC107" s="53"/>
      <c r="CD107" s="53"/>
      <c r="CE107" s="53"/>
      <c r="CF107" s="53"/>
      <c r="CG107" s="53"/>
      <c r="CH107" s="53"/>
      <c r="CI107" s="53"/>
      <c r="CJ107" s="53"/>
      <c r="CK107" s="53"/>
      <c r="CL107" s="53"/>
      <c r="CM107" s="53"/>
      <c r="CN107" s="53"/>
      <c r="CO107" s="53"/>
      <c r="CP107" s="53"/>
      <c r="CQ107" s="53"/>
      <c r="CR107" s="1"/>
      <c r="CS107" s="1"/>
      <c r="CT107" s="1"/>
      <c r="CU107" s="1"/>
    </row>
    <row r="108" spans="1:99" s="13" customFormat="1" ht="12" customHeight="1" x14ac:dyDescent="0.2">
      <c r="A108" s="65">
        <v>43916</v>
      </c>
      <c r="B108" s="1"/>
      <c r="C108" s="1"/>
      <c r="D108" s="60"/>
      <c r="E108" s="76"/>
      <c r="F108" s="60"/>
      <c r="G108" s="60"/>
      <c r="H108" s="60"/>
      <c r="I108" s="60"/>
      <c r="J108" s="60"/>
      <c r="K108" s="64"/>
      <c r="L108" s="64"/>
      <c r="M108" s="60"/>
      <c r="N108" s="60"/>
      <c r="O108" s="60"/>
      <c r="P108" s="60"/>
      <c r="Q108" s="60"/>
      <c r="R108" s="60"/>
      <c r="S108" s="60"/>
      <c r="T108" s="59"/>
      <c r="U108" s="60"/>
      <c r="V108" s="59"/>
      <c r="W108" s="60"/>
      <c r="X108" s="60"/>
      <c r="Y108" s="76"/>
      <c r="Z108" s="60"/>
      <c r="AA108" s="60"/>
      <c r="AB108" s="60"/>
      <c r="AC108" s="60"/>
      <c r="AD108" s="60"/>
      <c r="AE108" s="60"/>
      <c r="AF108" s="80"/>
      <c r="AG108" s="56"/>
      <c r="AH108" s="4"/>
      <c r="AI108" s="56"/>
      <c r="AJ108" s="109"/>
      <c r="AK108" s="56"/>
      <c r="AL108" s="56"/>
      <c r="AM108" s="56"/>
      <c r="AN108" s="56"/>
      <c r="AO108" s="82"/>
      <c r="AP108" s="82"/>
      <c r="AQ108" s="82"/>
      <c r="AR108" s="115"/>
      <c r="AS108" s="82"/>
      <c r="AT108" s="82"/>
      <c r="AU108" s="3"/>
      <c r="AV108" s="54">
        <v>1.5</v>
      </c>
      <c r="AW108" s="25">
        <v>3</v>
      </c>
      <c r="AX108" s="25">
        <v>6</v>
      </c>
      <c r="AY108" s="53"/>
      <c r="AZ108" s="53"/>
      <c r="BA108" s="53"/>
      <c r="BB108" s="53"/>
      <c r="BC108" s="53"/>
      <c r="BD108" s="53"/>
      <c r="BE108" s="53"/>
      <c r="BF108" s="53"/>
      <c r="BG108" s="53"/>
      <c r="BH108" s="53"/>
      <c r="BI108" s="53"/>
      <c r="BJ108" s="53"/>
      <c r="BK108" s="53"/>
      <c r="BL108" s="53"/>
      <c r="BM108" s="53"/>
      <c r="BN108" s="53"/>
      <c r="BO108" s="53"/>
      <c r="BP108" s="53"/>
      <c r="BQ108" s="53"/>
      <c r="BR108" s="53"/>
      <c r="BS108" s="53"/>
      <c r="BT108" s="53"/>
      <c r="BU108" s="53"/>
      <c r="BV108" s="53"/>
      <c r="BW108" s="53"/>
      <c r="BX108" s="53"/>
      <c r="BY108" s="53"/>
      <c r="BZ108" s="53"/>
      <c r="CA108" s="53"/>
      <c r="CB108" s="53"/>
      <c r="CC108" s="53"/>
      <c r="CD108" s="53"/>
      <c r="CE108" s="53"/>
      <c r="CF108" s="53"/>
      <c r="CG108" s="53"/>
      <c r="CH108" s="53"/>
      <c r="CI108" s="53"/>
      <c r="CJ108" s="53"/>
      <c r="CK108" s="53"/>
      <c r="CL108" s="53"/>
      <c r="CM108" s="53"/>
      <c r="CN108" s="53"/>
      <c r="CO108" s="53"/>
      <c r="CP108" s="53"/>
      <c r="CQ108" s="53"/>
      <c r="CR108" s="1"/>
      <c r="CS108" s="1"/>
      <c r="CT108" s="1"/>
      <c r="CU108" s="1"/>
    </row>
    <row r="109" spans="1:99" s="13" customFormat="1" ht="12" customHeight="1" x14ac:dyDescent="0.2">
      <c r="A109" s="65">
        <v>43916</v>
      </c>
      <c r="B109" s="1" t="s">
        <v>567</v>
      </c>
      <c r="C109" s="1" t="s">
        <v>45</v>
      </c>
      <c r="D109" s="60">
        <v>2020</v>
      </c>
      <c r="E109" s="76">
        <v>2</v>
      </c>
      <c r="F109" s="60">
        <v>68</v>
      </c>
      <c r="G109" s="60">
        <v>68</v>
      </c>
      <c r="H109" s="60" t="s">
        <v>43</v>
      </c>
      <c r="I109" s="60" t="s">
        <v>777</v>
      </c>
      <c r="J109" s="60" t="s">
        <v>764</v>
      </c>
      <c r="K109" s="60">
        <f>IF(J109="syllables",1,IF(J109="trigrams",2,IF(J109="strings",3,IF(J109="visual array",4,IF(J109="characters",5,IF(J109="letters",6,IF(J109="free forms",7,IF(J109="odors",8,IF(J109="words",9,IF(J109="pictures",10,IF(J109="object pictures",11,IF(J109="faces",12,IF(J109="names",13,IF(J109="idioms",14,IF(J109="grades",15,IF(J109="syllable-digit pairs",16,IF(J109="trigram-word pairs",17,IF(J109="word-digit pairs",18,IF(J109="English-Swahili pairs",19,IF(J109="spatial position",20,IF(J109="word pairs",21,IF(J109="word triads",22,IF(J109="generated words",23,IF(J109="word definition pairs",24,IF(J109="math problems",25,IF(J109="famous faces",26,IF(J109="famous names",27,IF(J109="famous voices",28,IF(J109="television programs",29,IF(J109="race horses",30,IF(J109="new vocabulary",31,IF(J109="sentences",32,IF(J109="concepts",33,IF(J109="ad slides",34,IF(J109="scenes",35,IF(J109="famous scenes",36,IF(J109="poems",37,IF(J109="walk",38,IF(J109="faces and events",39,IF(J109="events and names",40,IF(J109="flashbulb",41,IF(J109="stories",42,IF(J109="course material",43,IF(J109="autobiographical",44,IF(J109="novels",45,IF(J109="public events",46,"99"))))))))))))))))))))))))))))))))))))))))))))))</f>
        <v>4</v>
      </c>
      <c r="L109" s="60">
        <f>IF(J109="syllables",1,IF(J109="trigrams",1,IF(J109="strings",1,IF(J109="visual array",1,IF(J109="characters",1,IF(J109="letters",1,IF(J109="free forms",1,IF(J109="odors",2,IF(J109="words",2,IF(J109="pictures",2,IF(J109="object pictures",2,IF(J109="faces",2,IF(J109="names",2,IF(J109="idioms","2",IF(J109="grades",2,IF(J109="syllable-digit pairs",3,IF(J109="trigram-word pairs",3,IF(J109="word-digit pairs",3,IF(J109="English-Swahili pairs",3,IF(J109="spatial position",3,IF(J109="word pairs",4,IF(J109="word triads",4,IF(J109="generated words",4,IF(J109="word definition pairs",4,IF(J109="math problems",4,IF(J109="famous faces",4,IF(J109="famous names",4,IF(J109="famous voices",4,IF(J109="television programs",4,IF(J109="race horses",4,IF(J109="new vocabulary",4,IF(J109="sentences",5,IF(J109="concepts",5,IF(J109="ad slides",5,IF(J109="scenes",5,IF(J109="famous scenes",5,IF(J109="poems",6,IF(J109="walk",6,IF(J109="faces and events",6,IF(J109="events and names",6,IF(J109="flashbulb",7,IF(J109="stories",7,IF(J109="course material",7,IF(J109="autobiographical",7,IF(J109="novels",7,IF(J109="public events",7,"99"))))))))))))))))))))))))))))))))))))))))))))))</f>
        <v>1</v>
      </c>
      <c r="M109" s="60">
        <v>0</v>
      </c>
      <c r="N109" s="60">
        <v>1</v>
      </c>
      <c r="O109" s="60">
        <v>0</v>
      </c>
      <c r="P109" s="60"/>
      <c r="Q109" s="60" t="s">
        <v>174</v>
      </c>
      <c r="R109" s="60">
        <f>IF(Q109="Free Recall",1,IF(Q109="Cued Recall",2,IF(Q109="Recognition",3,IF(Q109="Multiple Choice",4,IF(Q109="Savings",5,IF(Q109="Stem Completion",6,IF(Q109="Fragment Completion",7,IF(Q109="anagram solution",8,IF(Q109="Matching",9,IF(Q109="Problem Solving",10,"99"))))))))))</f>
        <v>1</v>
      </c>
      <c r="S109" s="60" t="s">
        <v>49</v>
      </c>
      <c r="T109" s="59" t="s">
        <v>581</v>
      </c>
      <c r="U109" s="60">
        <f>IF(T109="within",1,0)</f>
        <v>1</v>
      </c>
      <c r="V109" s="59">
        <v>270</v>
      </c>
      <c r="W109" s="60">
        <f>F109*V109</f>
        <v>18360</v>
      </c>
      <c r="X109" s="60">
        <v>3</v>
      </c>
      <c r="Y109" s="76">
        <f>AV108</f>
        <v>1.5</v>
      </c>
      <c r="Z109" s="60" t="s">
        <v>39</v>
      </c>
      <c r="AA109" s="60">
        <v>6</v>
      </c>
      <c r="AB109" s="60" t="str">
        <f>IF(AA109&lt;60,"1",IF(AA109&lt;=43200,"2",IF(AA109&lt;=777600,"3","4")))</f>
        <v>1</v>
      </c>
      <c r="AC109" s="56">
        <f>AVERAGE(AV108:DA108)</f>
        <v>3.5</v>
      </c>
      <c r="AD109" s="60" t="str">
        <f>IF(AC109&lt;60,"1",IF(AC109&lt;=43200,"2",IF(AC109&lt;=777600,"3","4")))</f>
        <v>1</v>
      </c>
      <c r="AE109" s="76">
        <f>AA109-Y109</f>
        <v>4.5</v>
      </c>
      <c r="AF109" s="80">
        <f>AV109</f>
        <v>0.84</v>
      </c>
      <c r="AG109" s="56">
        <f>((AW109-AV109)+(AX109-AW109))/2</f>
        <v>-1.9999999999999962E-2</v>
      </c>
      <c r="AH109" s="4"/>
      <c r="AI109" s="56">
        <f>RSQ(AV109:AX109,AV108:AX108)</f>
        <v>0.79395604395604447</v>
      </c>
      <c r="AJ109" s="109">
        <f>SLOPE(AV109:AX109,AV108:AX108)</f>
        <v>-8.0952380952380807E-3</v>
      </c>
      <c r="AK109" s="56">
        <f>INTERCEPT(AV109:AX109,AV108:AX108)</f>
        <v>0.84500000000000008</v>
      </c>
      <c r="AL109" s="56">
        <f>INDEX(LINEST(LN(AV109:AX109),LN(AV108:AX108),TRUE,TRUE),3,1)</f>
        <v>0.92567943716399592</v>
      </c>
      <c r="AM109" s="56">
        <f>INDEX(LINEST(LN(AV109:AX109),LN(AV108:AX108)),1)</f>
        <v>-3.5194663945698895E-2</v>
      </c>
      <c r="AN109" s="56">
        <f>EXP(INDEX(LINEST(LN(AV109:AX109),LN(AV108:AX108)),1,2))</f>
        <v>0.84867918932877329</v>
      </c>
      <c r="AO109" s="82">
        <f>INDEX(LINEST((AV109:AX109),LN(AV108:AX108),TRUE,TRUE),3,1)</f>
        <v>0.92307692307692346</v>
      </c>
      <c r="AP109" s="82">
        <f>INDEX(LINEST((AV109:AX109),LN(AV108:AX108)),1)</f>
        <v>-2.8853900817779214E-2</v>
      </c>
      <c r="AQ109" s="83">
        <f>INDEX(LINEST(LN(AV109:AX109),SQRT(AV108:AX108),TRUE,TRUE),3,1)</f>
        <v>0.86594763495368066</v>
      </c>
      <c r="AR109" s="116">
        <f>INDEX(LINEST(LN(AV109:AX109),SQRT((AV108:AX108))),1)</f>
        <v>-3.834262159424006E-2</v>
      </c>
      <c r="AS109" s="84">
        <f>INDEX(LINEST(1/(AV109:AX109),1/(SQRT(AV108:AX108)),TRUE,TRUE),3,1)</f>
        <v>0.97057077609541664</v>
      </c>
      <c r="AT109" s="84">
        <f>INDEX(LINEST(1/(AV109:AX109),1/SQRT(AV108:AX108)),1)</f>
        <v>-0.14836205729382512</v>
      </c>
      <c r="AU109" s="3"/>
      <c r="AV109" s="53">
        <v>0.84</v>
      </c>
      <c r="AW109" s="53">
        <v>0.81</v>
      </c>
      <c r="AX109" s="53">
        <v>0.8</v>
      </c>
      <c r="AY109" s="53"/>
      <c r="AZ109" s="53"/>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c r="BY109" s="53"/>
      <c r="BZ109" s="53"/>
      <c r="CA109" s="53"/>
      <c r="CB109" s="53"/>
      <c r="CC109" s="53"/>
      <c r="CD109" s="53"/>
      <c r="CE109" s="53"/>
      <c r="CF109" s="53"/>
      <c r="CG109" s="53"/>
      <c r="CH109" s="53"/>
      <c r="CI109" s="53"/>
      <c r="CJ109" s="53"/>
      <c r="CK109" s="53"/>
      <c r="CL109" s="53"/>
      <c r="CM109" s="53"/>
      <c r="CN109" s="53"/>
      <c r="CO109" s="53"/>
      <c r="CP109" s="53"/>
      <c r="CQ109" s="53"/>
      <c r="CR109" s="1"/>
      <c r="CS109" s="1"/>
      <c r="CT109" s="1"/>
      <c r="CU109" s="1"/>
    </row>
    <row r="110" spans="1:99" s="13" customFormat="1" ht="12" customHeight="1" x14ac:dyDescent="0.2">
      <c r="A110" s="65">
        <v>43916</v>
      </c>
      <c r="B110" s="1"/>
      <c r="C110" s="1"/>
      <c r="D110" s="60"/>
      <c r="E110" s="76"/>
      <c r="F110" s="60"/>
      <c r="G110" s="60"/>
      <c r="H110" s="60"/>
      <c r="I110" s="60"/>
      <c r="J110" s="60"/>
      <c r="K110" s="64"/>
      <c r="L110" s="64"/>
      <c r="M110" s="60"/>
      <c r="N110" s="60"/>
      <c r="O110" s="60"/>
      <c r="P110" s="60"/>
      <c r="Q110" s="60"/>
      <c r="R110" s="60"/>
      <c r="S110" s="60"/>
      <c r="T110" s="59"/>
      <c r="U110" s="60"/>
      <c r="V110" s="59"/>
      <c r="W110" s="60"/>
      <c r="X110" s="60"/>
      <c r="Y110" s="76"/>
      <c r="Z110" s="60"/>
      <c r="AA110" s="60"/>
      <c r="AB110" s="60"/>
      <c r="AC110" s="60"/>
      <c r="AD110" s="60"/>
      <c r="AE110" s="60"/>
      <c r="AF110" s="80"/>
      <c r="AG110" s="56"/>
      <c r="AH110" s="4"/>
      <c r="AI110" s="56"/>
      <c r="AJ110" s="109"/>
      <c r="AK110" s="56"/>
      <c r="AL110" s="56"/>
      <c r="AM110" s="56"/>
      <c r="AN110" s="56"/>
      <c r="AO110" s="82"/>
      <c r="AP110" s="82"/>
      <c r="AQ110" s="82"/>
      <c r="AR110" s="115"/>
      <c r="AS110" s="82"/>
      <c r="AT110" s="82"/>
      <c r="AU110" s="3"/>
      <c r="AV110" s="54">
        <v>1.5</v>
      </c>
      <c r="AW110" s="25">
        <v>3</v>
      </c>
      <c r="AX110" s="25">
        <v>6</v>
      </c>
      <c r="AY110" s="53"/>
      <c r="AZ110" s="53"/>
      <c r="BA110" s="53"/>
      <c r="BB110" s="53"/>
      <c r="BC110" s="53"/>
      <c r="BD110" s="53"/>
      <c r="BE110" s="53"/>
      <c r="BF110" s="53"/>
      <c r="BG110" s="53"/>
      <c r="BH110" s="53"/>
      <c r="BI110" s="53"/>
      <c r="BJ110" s="53"/>
      <c r="BK110" s="53"/>
      <c r="BL110" s="53"/>
      <c r="BM110" s="53"/>
      <c r="BN110" s="53"/>
      <c r="BO110" s="53"/>
      <c r="BP110" s="53"/>
      <c r="BQ110" s="53"/>
      <c r="BR110" s="53"/>
      <c r="BS110" s="53"/>
      <c r="BT110" s="53"/>
      <c r="BU110" s="53"/>
      <c r="BV110" s="53"/>
      <c r="BW110" s="53"/>
      <c r="BX110" s="53"/>
      <c r="BY110" s="53"/>
      <c r="BZ110" s="53"/>
      <c r="CA110" s="53"/>
      <c r="CB110" s="53"/>
      <c r="CC110" s="53"/>
      <c r="CD110" s="53"/>
      <c r="CE110" s="53"/>
      <c r="CF110" s="53"/>
      <c r="CG110" s="53"/>
      <c r="CH110" s="53"/>
      <c r="CI110" s="53"/>
      <c r="CJ110" s="53"/>
      <c r="CK110" s="53"/>
      <c r="CL110" s="53"/>
      <c r="CM110" s="53"/>
      <c r="CN110" s="53"/>
      <c r="CO110" s="53"/>
      <c r="CP110" s="53"/>
      <c r="CQ110" s="53"/>
      <c r="CR110" s="1"/>
      <c r="CS110" s="1"/>
      <c r="CT110" s="1"/>
      <c r="CU110" s="1"/>
    </row>
    <row r="111" spans="1:99" s="13" customFormat="1" ht="12" customHeight="1" x14ac:dyDescent="0.2">
      <c r="A111" s="65">
        <v>43916</v>
      </c>
      <c r="B111" s="1" t="s">
        <v>567</v>
      </c>
      <c r="C111" s="1" t="s">
        <v>45</v>
      </c>
      <c r="D111" s="60">
        <v>2020</v>
      </c>
      <c r="E111" s="76">
        <v>3</v>
      </c>
      <c r="F111" s="60">
        <v>60</v>
      </c>
      <c r="G111" s="60">
        <v>60</v>
      </c>
      <c r="H111" s="60" t="s">
        <v>17</v>
      </c>
      <c r="I111" s="60" t="s">
        <v>778</v>
      </c>
      <c r="J111" s="60" t="s">
        <v>764</v>
      </c>
      <c r="K111" s="60">
        <f>IF(J111="syllables",1,IF(J111="trigrams",2,IF(J111="strings",3,IF(J111="visual array",4,IF(J111="characters",5,IF(J111="letters",6,IF(J111="free forms",7,IF(J111="odors",8,IF(J111="words",9,IF(J111="pictures",10,IF(J111="object pictures",11,IF(J111="faces",12,IF(J111="names",13,IF(J111="idioms",14,IF(J111="grades",15,IF(J111="syllable-digit pairs",16,IF(J111="trigram-word pairs",17,IF(J111="word-digit pairs",18,IF(J111="English-Swahili pairs",19,IF(J111="spatial position",20,IF(J111="word pairs",21,IF(J111="word triads",22,IF(J111="generated words",23,IF(J111="word definition pairs",24,IF(J111="math problems",25,IF(J111="famous faces",26,IF(J111="famous names",27,IF(J111="famous voices",28,IF(J111="television programs",29,IF(J111="race horses",30,IF(J111="new vocabulary",31,IF(J111="sentences",32,IF(J111="concepts",33,IF(J111="ad slides",34,IF(J111="scenes",35,IF(J111="famous scenes",36,IF(J111="poems",37,IF(J111="walk",38,IF(J111="faces and events",39,IF(J111="events and names",40,IF(J111="flashbulb",41,IF(J111="stories",42,IF(J111="course material",43,IF(J111="autobiographical",44,IF(J111="novels",45,IF(J111="public events",46,"99"))))))))))))))))))))))))))))))))))))))))))))))</f>
        <v>4</v>
      </c>
      <c r="L111" s="60">
        <f>IF(J111="syllables",1,IF(J111="trigrams",1,IF(J111="strings",1,IF(J111="visual array",1,IF(J111="characters",1,IF(J111="letters",1,IF(J111="free forms",1,IF(J111="odors",2,IF(J111="words",2,IF(J111="pictures",2,IF(J111="object pictures",2,IF(J111="faces",2,IF(J111="names",2,IF(J111="idioms","2",IF(J111="grades",2,IF(J111="syllable-digit pairs",3,IF(J111="trigram-word pairs",3,IF(J111="word-digit pairs",3,IF(J111="English-Swahili pairs",3,IF(J111="spatial position",3,IF(J111="word pairs",4,IF(J111="word triads",4,IF(J111="generated words",4,IF(J111="word definition pairs",4,IF(J111="math problems",4,IF(J111="famous faces",4,IF(J111="famous names",4,IF(J111="famous voices",4,IF(J111="television programs",4,IF(J111="race horses",4,IF(J111="new vocabulary",4,IF(J111="sentences",5,IF(J111="concepts",5,IF(J111="ad slides",5,IF(J111="scenes",5,IF(J111="famous scenes",5,IF(J111="poems",6,IF(J111="walk",6,IF(J111="faces and events",6,IF(J111="events and names",6,IF(J111="flashbulb",7,IF(J111="stories",7,IF(J111="course material",7,IF(J111="autobiographical",7,IF(J111="novels",7,IF(J111="public events",7,"99"))))))))))))))))))))))))))))))))))))))))))))))</f>
        <v>1</v>
      </c>
      <c r="M111" s="60">
        <v>0</v>
      </c>
      <c r="N111" s="60">
        <v>1</v>
      </c>
      <c r="O111" s="60">
        <v>0</v>
      </c>
      <c r="P111" s="60"/>
      <c r="Q111" s="60" t="s">
        <v>174</v>
      </c>
      <c r="R111" s="60">
        <f>IF(Q111="Free Recall",1,IF(Q111="Cued Recall",2,IF(Q111="Recognition",3,IF(Q111="Multiple Choice",4,IF(Q111="Savings",5,IF(Q111="Stem Completion",6,IF(Q111="Fragment Completion",7,IF(Q111="anagram solution",8,IF(Q111="Matching",9,IF(Q111="Problem Solving",10,"99"))))))))))</f>
        <v>1</v>
      </c>
      <c r="S111" s="60" t="s">
        <v>49</v>
      </c>
      <c r="T111" s="59" t="s">
        <v>581</v>
      </c>
      <c r="U111" s="60">
        <f>IF(T111="within",1,0)</f>
        <v>1</v>
      </c>
      <c r="V111" s="59">
        <v>270</v>
      </c>
      <c r="W111" s="60">
        <f>F111*V111</f>
        <v>16200</v>
      </c>
      <c r="X111" s="60">
        <v>3</v>
      </c>
      <c r="Y111" s="76">
        <f>AV110</f>
        <v>1.5</v>
      </c>
      <c r="Z111" s="60" t="s">
        <v>39</v>
      </c>
      <c r="AA111" s="60">
        <v>6</v>
      </c>
      <c r="AB111" s="60" t="str">
        <f>IF(AA111&lt;60,"1",IF(AA111&lt;=43200,"2",IF(AA111&lt;=777600,"3","4")))</f>
        <v>1</v>
      </c>
      <c r="AC111" s="56">
        <f>AVERAGE(AV110:DA110)</f>
        <v>3.5</v>
      </c>
      <c r="AD111" s="60" t="str">
        <f>IF(AC111&lt;60,"1",IF(AC111&lt;=43200,"2",IF(AC111&lt;=777600,"3","4")))</f>
        <v>1</v>
      </c>
      <c r="AE111" s="76">
        <f>AA111-Y111</f>
        <v>4.5</v>
      </c>
      <c r="AF111" s="80">
        <f>AV111</f>
        <v>0.81</v>
      </c>
      <c r="AG111" s="56">
        <f>((AW111-AV111)+(AX111-AW111))/2</f>
        <v>-2.0000000000000018E-2</v>
      </c>
      <c r="AH111" s="4"/>
      <c r="AI111" s="56">
        <f>RSQ(AV111:AX111,AV110:AX110)</f>
        <v>0.99175824175824201</v>
      </c>
      <c r="AJ111" s="109">
        <f>SLOPE(AV111:AX111,AV110:AX110)</f>
        <v>-9.0476190476190561E-3</v>
      </c>
      <c r="AK111" s="56">
        <f>INTERCEPT(AV111:AX111,AV110:AX110)</f>
        <v>0.82500000000000007</v>
      </c>
      <c r="AL111" s="56">
        <f>INDEX(LINEST(LN(AV111:AX111),LN(AV110:AX110),TRUE,TRUE),3,1)</f>
        <v>0.92038544489813334</v>
      </c>
      <c r="AM111" s="56">
        <f>INDEX(LINEST(LN(AV111:AX111),LN(AV110:AX110)),1)</f>
        <v>-3.6531731094861727E-2</v>
      </c>
      <c r="AN111" s="56">
        <f>EXP(INDEX(LINEST(LN(AV111:AX111),LN(AV110:AX110)),1,2))</f>
        <v>0.82562970345420061</v>
      </c>
      <c r="AO111" s="82">
        <f>INDEX(LINEST((AV111:AX111),LN(AV110:AX110),TRUE,TRUE),3,1)</f>
        <v>0.92307692307692302</v>
      </c>
      <c r="AP111" s="82">
        <f>INDEX(LINEST((AV111:AX111),LN(AV110:AX110)),1)</f>
        <v>-2.8853900817779287E-2</v>
      </c>
      <c r="AQ111" s="83">
        <f>INDEX(LINEST(LN(AV111:AX111),SQRT(AV110:AX110),TRUE,TRUE),3,1)</f>
        <v>0.96532342660798909</v>
      </c>
      <c r="AR111" s="116">
        <f>INDEX(LINEST(LN(AV111:AX111),SQRT((AV110:AX110))),1)</f>
        <v>-4.2141624974797023E-2</v>
      </c>
      <c r="AS111" s="84">
        <f>INDEX(LINEST(1/(AV111:AX111),1/(SQRT(AV110:AX110)),TRUE,TRUE),3,1)</f>
        <v>0.85564381045191074</v>
      </c>
      <c r="AT111" s="84">
        <f>INDEX(LINEST(1/(AV111:AX111),1/SQRT(AV110:AX110)),1)</f>
        <v>-0.15095225492712594</v>
      </c>
      <c r="AU111" s="3"/>
      <c r="AV111" s="53">
        <v>0.81</v>
      </c>
      <c r="AW111" s="53">
        <v>0.8</v>
      </c>
      <c r="AX111" s="53">
        <v>0.77</v>
      </c>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c r="BY111" s="53"/>
      <c r="BZ111" s="53"/>
      <c r="CA111" s="53"/>
      <c r="CB111" s="53"/>
      <c r="CC111" s="53"/>
      <c r="CD111" s="53"/>
      <c r="CE111" s="53"/>
      <c r="CF111" s="53"/>
      <c r="CG111" s="53"/>
      <c r="CH111" s="53"/>
      <c r="CI111" s="53"/>
      <c r="CJ111" s="53"/>
      <c r="CK111" s="53"/>
      <c r="CL111" s="53"/>
      <c r="CM111" s="53"/>
      <c r="CN111" s="53"/>
      <c r="CO111" s="53"/>
      <c r="CP111" s="53"/>
      <c r="CQ111" s="53"/>
      <c r="CR111" s="1"/>
      <c r="CS111" s="1"/>
      <c r="CT111" s="1"/>
      <c r="CU111" s="1"/>
    </row>
    <row r="112" spans="1:99" s="13" customFormat="1" ht="12" customHeight="1" x14ac:dyDescent="0.2">
      <c r="A112" s="65">
        <v>43916</v>
      </c>
      <c r="B112" s="1"/>
      <c r="C112" s="1"/>
      <c r="D112" s="60"/>
      <c r="E112" s="76"/>
      <c r="F112" s="60"/>
      <c r="G112" s="60"/>
      <c r="H112" s="60"/>
      <c r="I112" s="60"/>
      <c r="J112" s="60"/>
      <c r="K112" s="64"/>
      <c r="L112" s="64"/>
      <c r="M112" s="60"/>
      <c r="N112" s="60"/>
      <c r="O112" s="60"/>
      <c r="P112" s="60"/>
      <c r="Q112" s="60"/>
      <c r="R112" s="60"/>
      <c r="S112" s="60"/>
      <c r="T112" s="59"/>
      <c r="U112" s="60"/>
      <c r="V112" s="59"/>
      <c r="W112" s="60"/>
      <c r="X112" s="60"/>
      <c r="Y112" s="76"/>
      <c r="Z112" s="60"/>
      <c r="AA112" s="60"/>
      <c r="AB112" s="60"/>
      <c r="AC112" s="60"/>
      <c r="AD112" s="60"/>
      <c r="AE112" s="60"/>
      <c r="AF112" s="80"/>
      <c r="AG112" s="56"/>
      <c r="AH112" s="4"/>
      <c r="AI112" s="56"/>
      <c r="AJ112" s="109"/>
      <c r="AK112" s="56"/>
      <c r="AL112" s="56"/>
      <c r="AM112" s="56"/>
      <c r="AN112" s="56"/>
      <c r="AO112" s="82"/>
      <c r="AP112" s="82"/>
      <c r="AQ112" s="82"/>
      <c r="AR112" s="115"/>
      <c r="AS112" s="82"/>
      <c r="AT112" s="82"/>
      <c r="AU112" s="3"/>
      <c r="AV112" s="54">
        <v>1.5</v>
      </c>
      <c r="AW112" s="25">
        <v>3</v>
      </c>
      <c r="AX112" s="25">
        <v>6</v>
      </c>
      <c r="AY112" s="53"/>
      <c r="AZ112" s="53"/>
      <c r="BA112" s="53"/>
      <c r="BB112" s="5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1"/>
      <c r="CS112" s="1"/>
      <c r="CT112" s="1"/>
      <c r="CU112" s="1"/>
    </row>
    <row r="113" spans="1:99" s="13" customFormat="1" ht="12" customHeight="1" x14ac:dyDescent="0.2">
      <c r="A113" s="65">
        <v>43916</v>
      </c>
      <c r="B113" s="1" t="s">
        <v>567</v>
      </c>
      <c r="C113" s="1" t="s">
        <v>45</v>
      </c>
      <c r="D113" s="60">
        <v>2020</v>
      </c>
      <c r="E113" s="76">
        <v>3</v>
      </c>
      <c r="F113" s="60">
        <v>60</v>
      </c>
      <c r="G113" s="60">
        <v>60</v>
      </c>
      <c r="H113" s="60" t="s">
        <v>17</v>
      </c>
      <c r="I113" s="60" t="s">
        <v>779</v>
      </c>
      <c r="J113" s="60" t="s">
        <v>764</v>
      </c>
      <c r="K113" s="60">
        <f>IF(J113="syllables",1,IF(J113="trigrams",2,IF(J113="strings",3,IF(J113="visual array",4,IF(J113="characters",5,IF(J113="letters",6,IF(J113="free forms",7,IF(J113="odors",8,IF(J113="words",9,IF(J113="pictures",10,IF(J113="object pictures",11,IF(J113="faces",12,IF(J113="names",13,IF(J113="idioms",14,IF(J113="grades",15,IF(J113="syllable-digit pairs",16,IF(J113="trigram-word pairs",17,IF(J113="word-digit pairs",18,IF(J113="English-Swahili pairs",19,IF(J113="spatial position",20,IF(J113="word pairs",21,IF(J113="word triads",22,IF(J113="generated words",23,IF(J113="word definition pairs",24,IF(J113="math problems",25,IF(J113="famous faces",26,IF(J113="famous names",27,IF(J113="famous voices",28,IF(J113="television programs",29,IF(J113="race horses",30,IF(J113="new vocabulary",31,IF(J113="sentences",32,IF(J113="concepts",33,IF(J113="ad slides",34,IF(J113="scenes",35,IF(J113="famous scenes",36,IF(J113="poems",37,IF(J113="walk",38,IF(J113="faces and events",39,IF(J113="events and names",40,IF(J113="flashbulb",41,IF(J113="stories",42,IF(J113="course material",43,IF(J113="autobiographical",44,IF(J113="novels",45,IF(J113="public events",46,"99"))))))))))))))))))))))))))))))))))))))))))))))</f>
        <v>4</v>
      </c>
      <c r="L113" s="60">
        <f>IF(J113="syllables",1,IF(J113="trigrams",1,IF(J113="strings",1,IF(J113="visual array",1,IF(J113="characters",1,IF(J113="letters",1,IF(J113="free forms",1,IF(J113="odors",2,IF(J113="words",2,IF(J113="pictures",2,IF(J113="object pictures",2,IF(J113="faces",2,IF(J113="names",2,IF(J113="idioms","2",IF(J113="grades",2,IF(J113="syllable-digit pairs",3,IF(J113="trigram-word pairs",3,IF(J113="word-digit pairs",3,IF(J113="English-Swahili pairs",3,IF(J113="spatial position",3,IF(J113="word pairs",4,IF(J113="word triads",4,IF(J113="generated words",4,IF(J113="word definition pairs",4,IF(J113="math problems",4,IF(J113="famous faces",4,IF(J113="famous names",4,IF(J113="famous voices",4,IF(J113="television programs",4,IF(J113="race horses",4,IF(J113="new vocabulary",4,IF(J113="sentences",5,IF(J113="concepts",5,IF(J113="ad slides",5,IF(J113="scenes",5,IF(J113="famous scenes",5,IF(J113="poems",6,IF(J113="walk",6,IF(J113="faces and events",6,IF(J113="events and names",6,IF(J113="flashbulb",7,IF(J113="stories",7,IF(J113="course material",7,IF(J113="autobiographical",7,IF(J113="novels",7,IF(J113="public events",7,"99"))))))))))))))))))))))))))))))))))))))))))))))</f>
        <v>1</v>
      </c>
      <c r="M113" s="60">
        <v>0</v>
      </c>
      <c r="N113" s="60">
        <v>1</v>
      </c>
      <c r="O113" s="60">
        <v>0</v>
      </c>
      <c r="P113" s="60"/>
      <c r="Q113" s="60" t="s">
        <v>174</v>
      </c>
      <c r="R113" s="60">
        <f>IF(Q113="Free Recall",1,IF(Q113="Cued Recall",2,IF(Q113="Recognition",3,IF(Q113="Multiple Choice",4,IF(Q113="Savings",5,IF(Q113="Stem Completion",6,IF(Q113="Fragment Completion",7,IF(Q113="anagram solution",8,IF(Q113="Matching",9,IF(Q113="Problem Solving",10,"99"))))))))))</f>
        <v>1</v>
      </c>
      <c r="S113" s="60" t="s">
        <v>49</v>
      </c>
      <c r="T113" s="59" t="s">
        <v>581</v>
      </c>
      <c r="U113" s="60">
        <f>IF(T113="within",1,0)</f>
        <v>1</v>
      </c>
      <c r="V113" s="59">
        <v>270</v>
      </c>
      <c r="W113" s="60">
        <f>F113*V113</f>
        <v>16200</v>
      </c>
      <c r="X113" s="60">
        <v>3</v>
      </c>
      <c r="Y113" s="76">
        <f>AV112</f>
        <v>1.5</v>
      </c>
      <c r="Z113" s="60" t="s">
        <v>39</v>
      </c>
      <c r="AA113" s="60">
        <v>6</v>
      </c>
      <c r="AB113" s="60" t="str">
        <f>IF(AA113&lt;60,"1",IF(AA113&lt;=43200,"2",IF(AA113&lt;=777600,"3","4")))</f>
        <v>1</v>
      </c>
      <c r="AC113" s="56">
        <f>AVERAGE(AV112:DA112)</f>
        <v>3.5</v>
      </c>
      <c r="AD113" s="60" t="str">
        <f>IF(AC113&lt;60,"1",IF(AC113&lt;=43200,"2",IF(AC113&lt;=777600,"3","4")))</f>
        <v>1</v>
      </c>
      <c r="AE113" s="76">
        <f>AA113-Y113</f>
        <v>4.5</v>
      </c>
      <c r="AF113" s="80">
        <f>AV113</f>
        <v>0.76</v>
      </c>
      <c r="AG113" s="56">
        <f>((AW113-AV113)+(AX113-AW113))/2</f>
        <v>-2.0000000000000018E-2</v>
      </c>
      <c r="AH113" s="4"/>
      <c r="AI113" s="56">
        <f>RSQ(AV113:AX113,AV112:AX112)</f>
        <v>0.9642857142857143</v>
      </c>
      <c r="AJ113" s="109">
        <f>SLOPE(AV113:AX113,AV112:AX112)</f>
        <v>-8.5714285714285788E-3</v>
      </c>
      <c r="AK113" s="56">
        <f>INTERCEPT(AV113:AX113,AV112:AX112)</f>
        <v>0.76999999999999991</v>
      </c>
      <c r="AL113" s="56">
        <f>INDEX(LINEST(LN(AV113:AX113),LN(AV112:AX112),TRUE,TRUE),3,1)</f>
        <v>0.99993911719704365</v>
      </c>
      <c r="AM113" s="56">
        <f>INDEX(LINEST(LN(AV113:AX113),LN(AV112:AX112)),1)</f>
        <v>-3.9001256000636579E-2</v>
      </c>
      <c r="AN113" s="56">
        <f>EXP(INDEX(LINEST(LN(AV113:AX113),LN(AV112:AX112)),1,2))</f>
        <v>0.7722079427216203</v>
      </c>
      <c r="AO113" s="82">
        <f>INDEX(LINEST((AV113:AX113),LN(AV112:AX112),TRUE,TRUE),3,1)</f>
        <v>1</v>
      </c>
      <c r="AP113" s="82">
        <f>INDEX(LINEST((AV113:AX113),LN(AV112:AX112)),1)</f>
        <v>-2.8853900817779294E-2</v>
      </c>
      <c r="AQ113" s="83">
        <f>INDEX(LINEST(LN(AV113:AX113),SQRT(AV112:AX112),TRUE,TRUE),3,1)</f>
        <v>0.99175400626461163</v>
      </c>
      <c r="AR113" s="116">
        <f>INDEX(LINEST(LN(AV113:AX113),SQRT((AV112:AX112))),1)</f>
        <v>-4.3750525098747037E-2</v>
      </c>
      <c r="AS113" s="84">
        <f>INDEX(LINEST(1/(AV113:AX113),1/(SQRT(AV112:AX112)),TRUE,TRUE),3,1)</f>
        <v>0.98698361554790437</v>
      </c>
      <c r="AT113" s="84">
        <f>INDEX(LINEST(1/(AV113:AX113),1/SQRT(AV112:AX112)),1)</f>
        <v>-0.17704228740998887</v>
      </c>
      <c r="AU113" s="3"/>
      <c r="AV113" s="53">
        <v>0.76</v>
      </c>
      <c r="AW113" s="53">
        <v>0.74</v>
      </c>
      <c r="AX113" s="53">
        <v>0.72</v>
      </c>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53"/>
      <c r="CD113" s="53"/>
      <c r="CE113" s="53"/>
      <c r="CF113" s="53"/>
      <c r="CG113" s="53"/>
      <c r="CH113" s="53"/>
      <c r="CI113" s="53"/>
      <c r="CJ113" s="53"/>
      <c r="CK113" s="53"/>
      <c r="CL113" s="53"/>
      <c r="CM113" s="53"/>
      <c r="CN113" s="53"/>
      <c r="CO113" s="53"/>
      <c r="CP113" s="53"/>
      <c r="CQ113" s="53"/>
      <c r="CR113" s="1"/>
      <c r="CS113" s="1"/>
      <c r="CT113" s="1"/>
      <c r="CU113" s="1"/>
    </row>
    <row r="114" spans="1:99" s="13" customFormat="1" ht="12" customHeight="1" x14ac:dyDescent="0.2">
      <c r="A114" s="65">
        <v>43916</v>
      </c>
      <c r="B114" s="1"/>
      <c r="C114" s="1"/>
      <c r="D114" s="60"/>
      <c r="E114" s="76"/>
      <c r="F114" s="60"/>
      <c r="G114" s="60"/>
      <c r="H114" s="60"/>
      <c r="I114" s="60"/>
      <c r="J114" s="60"/>
      <c r="K114" s="64"/>
      <c r="L114" s="64"/>
      <c r="M114" s="60"/>
      <c r="N114" s="60"/>
      <c r="O114" s="60"/>
      <c r="P114" s="60"/>
      <c r="Q114" s="60"/>
      <c r="R114" s="60"/>
      <c r="S114" s="60"/>
      <c r="T114" s="59"/>
      <c r="U114" s="60"/>
      <c r="V114" s="59"/>
      <c r="W114" s="60"/>
      <c r="X114" s="60"/>
      <c r="Y114" s="76"/>
      <c r="Z114" s="60"/>
      <c r="AA114" s="60"/>
      <c r="AB114" s="60"/>
      <c r="AC114" s="60"/>
      <c r="AD114" s="60"/>
      <c r="AE114" s="60"/>
      <c r="AF114" s="80"/>
      <c r="AG114" s="56"/>
      <c r="AH114" s="4"/>
      <c r="AI114" s="56"/>
      <c r="AJ114" s="109"/>
      <c r="AK114" s="56"/>
      <c r="AL114" s="56"/>
      <c r="AM114" s="56"/>
      <c r="AN114" s="56"/>
      <c r="AO114" s="82"/>
      <c r="AP114" s="82"/>
      <c r="AQ114" s="82"/>
      <c r="AR114" s="115"/>
      <c r="AS114" s="82"/>
      <c r="AT114" s="82"/>
      <c r="AU114" s="3"/>
      <c r="AV114" s="54">
        <v>1.5</v>
      </c>
      <c r="AW114" s="25">
        <v>3</v>
      </c>
      <c r="AX114" s="25">
        <v>6</v>
      </c>
      <c r="AY114" s="53"/>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53"/>
      <c r="BZ114" s="53"/>
      <c r="CA114" s="53"/>
      <c r="CB114" s="53"/>
      <c r="CC114" s="53"/>
      <c r="CD114" s="53"/>
      <c r="CE114" s="53"/>
      <c r="CF114" s="53"/>
      <c r="CG114" s="53"/>
      <c r="CH114" s="53"/>
      <c r="CI114" s="53"/>
      <c r="CJ114" s="53"/>
      <c r="CK114" s="53"/>
      <c r="CL114" s="53"/>
      <c r="CM114" s="53"/>
      <c r="CN114" s="53"/>
      <c r="CO114" s="53"/>
      <c r="CP114" s="53"/>
      <c r="CQ114" s="53"/>
      <c r="CR114" s="1"/>
      <c r="CS114" s="1"/>
      <c r="CT114" s="1"/>
      <c r="CU114" s="1"/>
    </row>
    <row r="115" spans="1:99" s="13" customFormat="1" ht="12" customHeight="1" x14ac:dyDescent="0.2">
      <c r="A115" s="65">
        <v>43916</v>
      </c>
      <c r="B115" s="1" t="s">
        <v>567</v>
      </c>
      <c r="C115" s="1" t="s">
        <v>45</v>
      </c>
      <c r="D115" s="60">
        <v>2020</v>
      </c>
      <c r="E115" s="76">
        <v>4</v>
      </c>
      <c r="F115" s="60">
        <v>61</v>
      </c>
      <c r="G115" s="60">
        <v>61</v>
      </c>
      <c r="H115" s="60" t="s">
        <v>769</v>
      </c>
      <c r="I115" s="60" t="s">
        <v>780</v>
      </c>
      <c r="J115" s="60" t="s">
        <v>764</v>
      </c>
      <c r="K115" s="60">
        <f>IF(J115="syllables",1,IF(J115="trigrams",2,IF(J115="strings",3,IF(J115="visual array",4,IF(J115="characters",5,IF(J115="letters",6,IF(J115="free forms",7,IF(J115="odors",8,IF(J115="words",9,IF(J115="pictures",10,IF(J115="object pictures",11,IF(J115="faces",12,IF(J115="names",13,IF(J115="idioms",14,IF(J115="grades",15,IF(J115="syllable-digit pairs",16,IF(J115="trigram-word pairs",17,IF(J115="word-digit pairs",18,IF(J115="English-Swahili pairs",19,IF(J115="spatial position",20,IF(J115="word pairs",21,IF(J115="word triads",22,IF(J115="generated words",23,IF(J115="word definition pairs",24,IF(J115="math problems",25,IF(J115="famous faces",26,IF(J115="famous names",27,IF(J115="famous voices",28,IF(J115="television programs",29,IF(J115="race horses",30,IF(J115="new vocabulary",31,IF(J115="sentences",32,IF(J115="concepts",33,IF(J115="ad slides",34,IF(J115="scenes",35,IF(J115="famous scenes",36,IF(J115="poems",37,IF(J115="walk",38,IF(J115="faces and events",39,IF(J115="events and names",40,IF(J115="flashbulb",41,IF(J115="stories",42,IF(J115="course material",43,IF(J115="autobiographical",44,IF(J115="novels",45,IF(J115="public events",46,"99"))))))))))))))))))))))))))))))))))))))))))))))</f>
        <v>4</v>
      </c>
      <c r="L115" s="60">
        <f>IF(J115="syllables",1,IF(J115="trigrams",1,IF(J115="strings",1,IF(J115="visual array",1,IF(J115="characters",1,IF(J115="letters",1,IF(J115="free forms",1,IF(J115="odors",2,IF(J115="words",2,IF(J115="pictures",2,IF(J115="object pictures",2,IF(J115="faces",2,IF(J115="names",2,IF(J115="idioms","2",IF(J115="grades",2,IF(J115="syllable-digit pairs",3,IF(J115="trigram-word pairs",3,IF(J115="word-digit pairs",3,IF(J115="English-Swahili pairs",3,IF(J115="spatial position",3,IF(J115="word pairs",4,IF(J115="word triads",4,IF(J115="generated words",4,IF(J115="word definition pairs",4,IF(J115="math problems",4,IF(J115="famous faces",4,IF(J115="famous names",4,IF(J115="famous voices",4,IF(J115="television programs",4,IF(J115="race horses",4,IF(J115="new vocabulary",4,IF(J115="sentences",5,IF(J115="concepts",5,IF(J115="ad slides",5,IF(J115="scenes",5,IF(J115="famous scenes",5,IF(J115="poems",6,IF(J115="walk",6,IF(J115="faces and events",6,IF(J115="events and names",6,IF(J115="flashbulb",7,IF(J115="stories",7,IF(J115="course material",7,IF(J115="autobiographical",7,IF(J115="novels",7,IF(J115="public events",7,"99"))))))))))))))))))))))))))))))))))))))))))))))</f>
        <v>1</v>
      </c>
      <c r="M115" s="60">
        <v>0</v>
      </c>
      <c r="N115" s="60">
        <v>1</v>
      </c>
      <c r="O115" s="60">
        <v>0</v>
      </c>
      <c r="P115" s="60"/>
      <c r="Q115" s="60" t="s">
        <v>174</v>
      </c>
      <c r="R115" s="60">
        <f>IF(Q115="Free Recall",1,IF(Q115="Cued Recall",2,IF(Q115="Recognition",3,IF(Q115="Multiple Choice",4,IF(Q115="Savings",5,IF(Q115="Stem Completion",6,IF(Q115="Fragment Completion",7,IF(Q115="anagram solution",8,IF(Q115="Matching",9,IF(Q115="Problem Solving",10,"99"))))))))))</f>
        <v>1</v>
      </c>
      <c r="S115" s="60" t="s">
        <v>49</v>
      </c>
      <c r="T115" s="59" t="s">
        <v>581</v>
      </c>
      <c r="U115" s="60">
        <f>IF(T115="within",1,0)</f>
        <v>1</v>
      </c>
      <c r="V115" s="59">
        <v>108</v>
      </c>
      <c r="W115" s="60">
        <f>F115*V115</f>
        <v>6588</v>
      </c>
      <c r="X115" s="60">
        <v>3</v>
      </c>
      <c r="Y115" s="76">
        <f>AV114</f>
        <v>1.5</v>
      </c>
      <c r="Z115" s="60" t="s">
        <v>39</v>
      </c>
      <c r="AA115" s="60">
        <v>6</v>
      </c>
      <c r="AB115" s="60" t="str">
        <f>IF(AA115&lt;60,"1",IF(AA115&lt;=43200,"2",IF(AA115&lt;=777600,"3","4")))</f>
        <v>1</v>
      </c>
      <c r="AC115" s="56">
        <f>AVERAGE(AV114:DA114)</f>
        <v>3.5</v>
      </c>
      <c r="AD115" s="60" t="str">
        <f>IF(AC115&lt;60,"1",IF(AC115&lt;=43200,"2",IF(AC115&lt;=777600,"3","4")))</f>
        <v>1</v>
      </c>
      <c r="AE115" s="76">
        <f>AA115-Y115</f>
        <v>4.5</v>
      </c>
      <c r="AF115" s="80">
        <f>AV115</f>
        <v>0.86</v>
      </c>
      <c r="AG115" s="56">
        <f>((AW115-AV115)+(AX115-AW115))/2</f>
        <v>-2.0000000000000018E-2</v>
      </c>
      <c r="AH115" s="4"/>
      <c r="AI115" s="56">
        <f>RSQ(AV115:AX115,AV114:AX114)</f>
        <v>0.99175824175824201</v>
      </c>
      <c r="AJ115" s="109">
        <f>SLOPE(AV115:AX115,AV114:AX114)</f>
        <v>-9.0476190476190561E-3</v>
      </c>
      <c r="AK115" s="56">
        <f>INTERCEPT(AV115:AX115,AV114:AX114)</f>
        <v>0.875</v>
      </c>
      <c r="AL115" s="56">
        <f>INDEX(LINEST(LN(AV115:AX115),LN(AV114:AX114),TRUE,TRUE),3,1)</f>
        <v>0.92054537949852733</v>
      </c>
      <c r="AM115" s="56">
        <f>INDEX(LINEST(LN(AV115:AX115),LN(AV114:AX114)),1)</f>
        <v>-3.4356375042007142E-2</v>
      </c>
      <c r="AN115" s="56">
        <f>EXP(INDEX(LINEST(LN(AV115:AX115),LN(AV114:AX114)),1,2))</f>
        <v>0.87559357588932518</v>
      </c>
      <c r="AO115" s="82">
        <f>INDEX(LINEST((AV115:AX115),LN(AV114:AX114),TRUE,TRUE),3,1)</f>
        <v>0.92307692307692302</v>
      </c>
      <c r="AP115" s="82">
        <f>INDEX(LINEST((AV115:AX115),LN(AV114:AX114)),1)</f>
        <v>-2.8853900817779287E-2</v>
      </c>
      <c r="AQ115" s="83">
        <f>INDEX(LINEST(LN(AV115:AX115),SQRT(AV114:AX114),TRUE,TRUE),3,1)</f>
        <v>0.96543149249959659</v>
      </c>
      <c r="AR115" s="116">
        <f>INDEX(LINEST(LN(AV115:AX115),SQRT((AV114:AX114))),1)</f>
        <v>-3.963099154454184E-2</v>
      </c>
      <c r="AS115" s="84">
        <f>INDEX(LINEST(1/(AV115:AX115),1/(SQRT(AV114:AX114)),TRUE,TRUE),3,1)</f>
        <v>0.85605439037009823</v>
      </c>
      <c r="AT115" s="84">
        <f>INDEX(LINEST(1/(AV115:AX115),1/SQRT(AV114:AX114)),1)</f>
        <v>-0.1335153739721637</v>
      </c>
      <c r="AU115" s="3"/>
      <c r="AV115" s="53">
        <v>0.86</v>
      </c>
      <c r="AW115" s="53">
        <v>0.85</v>
      </c>
      <c r="AX115" s="53">
        <v>0.82</v>
      </c>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BY115" s="53"/>
      <c r="BZ115" s="53"/>
      <c r="CA115" s="53"/>
      <c r="CB115" s="53"/>
      <c r="CC115" s="53"/>
      <c r="CD115" s="53"/>
      <c r="CE115" s="53"/>
      <c r="CF115" s="53"/>
      <c r="CG115" s="53"/>
      <c r="CH115" s="53"/>
      <c r="CI115" s="53"/>
      <c r="CJ115" s="53"/>
      <c r="CK115" s="53"/>
      <c r="CL115" s="53"/>
      <c r="CM115" s="53"/>
      <c r="CN115" s="53"/>
      <c r="CO115" s="53"/>
      <c r="CP115" s="53"/>
      <c r="CQ115" s="53"/>
      <c r="CR115" s="1"/>
      <c r="CS115" s="1"/>
      <c r="CT115" s="1"/>
      <c r="CU115" s="1"/>
    </row>
    <row r="116" spans="1:99" s="13" customFormat="1" ht="12" customHeight="1" x14ac:dyDescent="0.2">
      <c r="A116" s="65">
        <v>43916</v>
      </c>
      <c r="B116" s="1"/>
      <c r="C116" s="1"/>
      <c r="D116" s="60"/>
      <c r="E116" s="76"/>
      <c r="F116" s="60"/>
      <c r="G116" s="60"/>
      <c r="H116" s="60"/>
      <c r="I116" s="60"/>
      <c r="J116" s="60"/>
      <c r="K116" s="64"/>
      <c r="L116" s="64"/>
      <c r="M116" s="60"/>
      <c r="N116" s="60"/>
      <c r="O116" s="60"/>
      <c r="P116" s="60"/>
      <c r="Q116" s="60"/>
      <c r="R116" s="60"/>
      <c r="S116" s="60"/>
      <c r="T116" s="59"/>
      <c r="U116" s="60"/>
      <c r="V116" s="59"/>
      <c r="W116" s="60"/>
      <c r="X116" s="60"/>
      <c r="Y116" s="76"/>
      <c r="Z116" s="60"/>
      <c r="AA116" s="60"/>
      <c r="AB116" s="60"/>
      <c r="AC116" s="60"/>
      <c r="AD116" s="60"/>
      <c r="AE116" s="60"/>
      <c r="AF116" s="80"/>
      <c r="AG116" s="56"/>
      <c r="AH116" s="4"/>
      <c r="AI116" s="56"/>
      <c r="AJ116" s="109"/>
      <c r="AK116" s="56"/>
      <c r="AL116" s="56"/>
      <c r="AM116" s="56"/>
      <c r="AN116" s="56"/>
      <c r="AO116" s="82"/>
      <c r="AP116" s="82"/>
      <c r="AQ116" s="82"/>
      <c r="AR116" s="115"/>
      <c r="AS116" s="82"/>
      <c r="AT116" s="82"/>
      <c r="AU116" s="3"/>
      <c r="AV116" s="54">
        <v>1.5</v>
      </c>
      <c r="AW116" s="25">
        <v>3</v>
      </c>
      <c r="AX116" s="25">
        <v>6</v>
      </c>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53"/>
      <c r="CA116" s="53"/>
      <c r="CB116" s="53"/>
      <c r="CC116" s="53"/>
      <c r="CD116" s="53"/>
      <c r="CE116" s="53"/>
      <c r="CF116" s="53"/>
      <c r="CG116" s="53"/>
      <c r="CH116" s="53"/>
      <c r="CI116" s="53"/>
      <c r="CJ116" s="53"/>
      <c r="CK116" s="53"/>
      <c r="CL116" s="53"/>
      <c r="CM116" s="53"/>
      <c r="CN116" s="53"/>
      <c r="CO116" s="53"/>
      <c r="CP116" s="53"/>
      <c r="CQ116" s="53"/>
      <c r="CR116" s="1"/>
      <c r="CS116" s="1"/>
      <c r="CT116" s="1"/>
      <c r="CU116" s="1"/>
    </row>
    <row r="117" spans="1:99" s="13" customFormat="1" ht="12" customHeight="1" x14ac:dyDescent="0.2">
      <c r="A117" s="65">
        <v>43916</v>
      </c>
      <c r="B117" s="1" t="s">
        <v>567</v>
      </c>
      <c r="C117" s="1" t="s">
        <v>45</v>
      </c>
      <c r="D117" s="60">
        <v>2020</v>
      </c>
      <c r="E117" s="76">
        <v>4</v>
      </c>
      <c r="F117" s="60">
        <v>61</v>
      </c>
      <c r="G117" s="60">
        <v>61</v>
      </c>
      <c r="H117" s="60" t="s">
        <v>769</v>
      </c>
      <c r="I117" s="60" t="s">
        <v>781</v>
      </c>
      <c r="J117" s="60" t="s">
        <v>764</v>
      </c>
      <c r="K117" s="60">
        <f>IF(J117="syllables",1,IF(J117="trigrams",2,IF(J117="strings",3,IF(J117="visual array",4,IF(J117="characters",5,IF(J117="letters",6,IF(J117="free forms",7,IF(J117="odors",8,IF(J117="words",9,IF(J117="pictures",10,IF(J117="object pictures",11,IF(J117="faces",12,IF(J117="names",13,IF(J117="idioms",14,IF(J117="grades",15,IF(J117="syllable-digit pairs",16,IF(J117="trigram-word pairs",17,IF(J117="word-digit pairs",18,IF(J117="English-Swahili pairs",19,IF(J117="spatial position",20,IF(J117="word pairs",21,IF(J117="word triads",22,IF(J117="generated words",23,IF(J117="word definition pairs",24,IF(J117="math problems",25,IF(J117="famous faces",26,IF(J117="famous names",27,IF(J117="famous voices",28,IF(J117="television programs",29,IF(J117="race horses",30,IF(J117="new vocabulary",31,IF(J117="sentences",32,IF(J117="concepts",33,IF(J117="ad slides",34,IF(J117="scenes",35,IF(J117="famous scenes",36,IF(J117="poems",37,IF(J117="walk",38,IF(J117="faces and events",39,IF(J117="events and names",40,IF(J117="flashbulb",41,IF(J117="stories",42,IF(J117="course material",43,IF(J117="autobiographical",44,IF(J117="novels",45,IF(J117="public events",46,"99"))))))))))))))))))))))))))))))))))))))))))))))</f>
        <v>4</v>
      </c>
      <c r="L117" s="60">
        <f>IF(J117="syllables",1,IF(J117="trigrams",1,IF(J117="strings",1,IF(J117="visual array",1,IF(J117="characters",1,IF(J117="letters",1,IF(J117="free forms",1,IF(J117="odors",2,IF(J117="words",2,IF(J117="pictures",2,IF(J117="object pictures",2,IF(J117="faces",2,IF(J117="names",2,IF(J117="idioms","2",IF(J117="grades",2,IF(J117="syllable-digit pairs",3,IF(J117="trigram-word pairs",3,IF(J117="word-digit pairs",3,IF(J117="English-Swahili pairs",3,IF(J117="spatial position",3,IF(J117="word pairs",4,IF(J117="word triads",4,IF(J117="generated words",4,IF(J117="word definition pairs",4,IF(J117="math problems",4,IF(J117="famous faces",4,IF(J117="famous names",4,IF(J117="famous voices",4,IF(J117="television programs",4,IF(J117="race horses",4,IF(J117="new vocabulary",4,IF(J117="sentences",5,IF(J117="concepts",5,IF(J117="ad slides",5,IF(J117="scenes",5,IF(J117="famous scenes",5,IF(J117="poems",6,IF(J117="walk",6,IF(J117="faces and events",6,IF(J117="events and names",6,IF(J117="flashbulb",7,IF(J117="stories",7,IF(J117="course material",7,IF(J117="autobiographical",7,IF(J117="novels",7,IF(J117="public events",7,"99"))))))))))))))))))))))))))))))))))))))))))))))</f>
        <v>1</v>
      </c>
      <c r="M117" s="60">
        <v>0</v>
      </c>
      <c r="N117" s="60">
        <v>1</v>
      </c>
      <c r="O117" s="60">
        <v>0</v>
      </c>
      <c r="P117" s="60"/>
      <c r="Q117" s="60" t="s">
        <v>174</v>
      </c>
      <c r="R117" s="60">
        <f>IF(Q117="Free Recall",1,IF(Q117="Cued Recall",2,IF(Q117="Recognition",3,IF(Q117="Multiple Choice",4,IF(Q117="Savings",5,IF(Q117="Stem Completion",6,IF(Q117="Fragment Completion",7,IF(Q117="anagram solution",8,IF(Q117="Matching",9,IF(Q117="Problem Solving",10,"99"))))))))))</f>
        <v>1</v>
      </c>
      <c r="S117" s="60" t="s">
        <v>49</v>
      </c>
      <c r="T117" s="59" t="s">
        <v>581</v>
      </c>
      <c r="U117" s="60">
        <f>IF(T117="within",1,0)</f>
        <v>1</v>
      </c>
      <c r="V117" s="59">
        <v>108</v>
      </c>
      <c r="W117" s="60">
        <f>F117*V117</f>
        <v>6588</v>
      </c>
      <c r="X117" s="60">
        <v>3</v>
      </c>
      <c r="Y117" s="76">
        <f>AV116</f>
        <v>1.5</v>
      </c>
      <c r="Z117" s="60" t="s">
        <v>39</v>
      </c>
      <c r="AA117" s="60">
        <v>6</v>
      </c>
      <c r="AB117" s="60" t="str">
        <f>IF(AA117&lt;60,"1",IF(AA117&lt;=43200,"2",IF(AA117&lt;=777600,"3","4")))</f>
        <v>1</v>
      </c>
      <c r="AC117" s="56">
        <f>AVERAGE(AV116:DA116)</f>
        <v>3.5</v>
      </c>
      <c r="AD117" s="60" t="str">
        <f>IF(AC117&lt;60,"1",IF(AC117&lt;=43200,"2",IF(AC117&lt;=777600,"3","4")))</f>
        <v>1</v>
      </c>
      <c r="AE117" s="76">
        <f>AA117-Y117</f>
        <v>4.5</v>
      </c>
      <c r="AF117" s="80">
        <f>AV117</f>
        <v>0.84</v>
      </c>
      <c r="AG117" s="56">
        <f>((AW117-AV117)+(AX117-AW117))/2</f>
        <v>-1.4999999999999958E-2</v>
      </c>
      <c r="AH117" s="4"/>
      <c r="AI117" s="56">
        <f>RSQ(AV117:AX117,AV116:AX116)</f>
        <v>0.86224489795918191</v>
      </c>
      <c r="AJ117" s="109">
        <f>SLOPE(AV117:AX117,AV116:AX116)</f>
        <v>-6.1904761904761699E-3</v>
      </c>
      <c r="AK117" s="56">
        <f>INTERCEPT(AV117:AX117,AV116:AX116)</f>
        <v>0.84499999999999986</v>
      </c>
      <c r="AL117" s="56">
        <f>INDEX(LINEST(LN(AV117:AX117),LN(AV116:AX116),TRUE,TRUE),3,1)</f>
        <v>0.96594478619912927</v>
      </c>
      <c r="AM117" s="56">
        <f>INDEX(LINEST(LN(AV117:AX117),LN(AV116:AX116)),1)</f>
        <v>-2.6233709947067696E-2</v>
      </c>
      <c r="AN117" s="56">
        <f>EXP(INDEX(LINEST(LN(AV117:AX117),LN(AV116:AX116)),1,2))</f>
        <v>0.84731074341537937</v>
      </c>
      <c r="AO117" s="82">
        <f>INDEX(LINEST((AV117:AX117),LN(AV116:AX116),TRUE,TRUE),3,1)</f>
        <v>0.9642857142857133</v>
      </c>
      <c r="AP117" s="82">
        <f>INDEX(LINEST((AV117:AX117),LN(AV116:AX116)),1)</f>
        <v>-2.1640425613334388E-2</v>
      </c>
      <c r="AQ117" s="83">
        <f>INDEX(LINEST(LN(AV117:AX117),SQRT(AV116:AX116),TRUE,TRUE),3,1)</f>
        <v>0.92130633053061517</v>
      </c>
      <c r="AR117" s="116">
        <f>INDEX(LINEST(LN(AV117:AX117),SQRT((AV116:AX116))),1)</f>
        <v>-2.8858586976777168E-2</v>
      </c>
      <c r="AS117" s="84">
        <f>INDEX(LINEST(1/(AV117:AX117),1/(SQRT(AV116:AX116)),TRUE,TRUE),3,1)</f>
        <v>0.9932383863788854</v>
      </c>
      <c r="AT117" s="84">
        <f>INDEX(LINEST(1/(AV117:AX117),1/SQRT(AV116:AX116)),1)</f>
        <v>-0.10889217912792264</v>
      </c>
      <c r="AU117" s="3"/>
      <c r="AV117" s="53">
        <v>0.84</v>
      </c>
      <c r="AW117" s="53">
        <v>0.82</v>
      </c>
      <c r="AX117" s="53">
        <v>0.81</v>
      </c>
      <c r="AY117" s="53"/>
      <c r="AZ117" s="53"/>
      <c r="BA117" s="53"/>
      <c r="BB117" s="53"/>
      <c r="BC117" s="53"/>
      <c r="BD117" s="53"/>
      <c r="BE117" s="53"/>
      <c r="BF117" s="53"/>
      <c r="BG117" s="53"/>
      <c r="BH117" s="53"/>
      <c r="BI117" s="53"/>
      <c r="BJ117" s="53"/>
      <c r="BK117" s="53"/>
      <c r="BL117" s="53"/>
      <c r="BM117" s="53"/>
      <c r="BN117" s="53"/>
      <c r="BO117" s="53"/>
      <c r="BP117" s="53"/>
      <c r="BQ117" s="53"/>
      <c r="BR117" s="53"/>
      <c r="BS117" s="53"/>
      <c r="BT117" s="53"/>
      <c r="BU117" s="53"/>
      <c r="BV117" s="53"/>
      <c r="BW117" s="53"/>
      <c r="BX117" s="53"/>
      <c r="BY117" s="53"/>
      <c r="BZ117" s="53"/>
      <c r="CA117" s="53"/>
      <c r="CB117" s="53"/>
      <c r="CC117" s="53"/>
      <c r="CD117" s="53"/>
      <c r="CE117" s="53"/>
      <c r="CF117" s="53"/>
      <c r="CG117" s="53"/>
      <c r="CH117" s="53"/>
      <c r="CI117" s="53"/>
      <c r="CJ117" s="53"/>
      <c r="CK117" s="53"/>
      <c r="CL117" s="53"/>
      <c r="CM117" s="53"/>
      <c r="CN117" s="53"/>
      <c r="CO117" s="53"/>
      <c r="CP117" s="53"/>
      <c r="CQ117" s="53"/>
      <c r="CR117" s="1"/>
      <c r="CS117" s="1"/>
      <c r="CT117" s="1"/>
      <c r="CU117" s="1"/>
    </row>
    <row r="118" spans="1:99" s="13" customFormat="1" ht="12" customHeight="1" x14ac:dyDescent="0.2">
      <c r="A118" s="65">
        <v>43916</v>
      </c>
      <c r="B118" s="1"/>
      <c r="C118" s="1"/>
      <c r="D118" s="60"/>
      <c r="E118" s="76"/>
      <c r="F118" s="60"/>
      <c r="G118" s="60"/>
      <c r="H118" s="60"/>
      <c r="I118" s="60"/>
      <c r="J118" s="60"/>
      <c r="K118" s="64"/>
      <c r="L118" s="64"/>
      <c r="M118" s="60"/>
      <c r="N118" s="60"/>
      <c r="O118" s="60"/>
      <c r="P118" s="60"/>
      <c r="Q118" s="60"/>
      <c r="R118" s="60"/>
      <c r="S118" s="60"/>
      <c r="T118" s="59"/>
      <c r="U118" s="60"/>
      <c r="V118" s="59"/>
      <c r="W118" s="60"/>
      <c r="X118" s="60"/>
      <c r="Y118" s="76"/>
      <c r="Z118" s="60"/>
      <c r="AA118" s="60"/>
      <c r="AB118" s="60"/>
      <c r="AC118" s="60"/>
      <c r="AD118" s="60"/>
      <c r="AE118" s="60"/>
      <c r="AF118" s="80"/>
      <c r="AG118" s="56"/>
      <c r="AH118" s="4"/>
      <c r="AI118" s="56"/>
      <c r="AJ118" s="109"/>
      <c r="AK118" s="56"/>
      <c r="AL118" s="56"/>
      <c r="AM118" s="56"/>
      <c r="AN118" s="56"/>
      <c r="AO118" s="82"/>
      <c r="AP118" s="82"/>
      <c r="AQ118" s="82"/>
      <c r="AR118" s="115"/>
      <c r="AS118" s="82"/>
      <c r="AT118" s="82"/>
      <c r="AU118" s="3"/>
      <c r="AV118" s="54">
        <v>1.5</v>
      </c>
      <c r="AW118" s="25">
        <v>3</v>
      </c>
      <c r="AX118" s="25">
        <v>6</v>
      </c>
      <c r="AY118" s="53"/>
      <c r="AZ118" s="53"/>
      <c r="BA118" s="53"/>
      <c r="BB118" s="53"/>
      <c r="BC118" s="53"/>
      <c r="BD118" s="53"/>
      <c r="BE118" s="53"/>
      <c r="BF118" s="53"/>
      <c r="BG118" s="53"/>
      <c r="BH118" s="53"/>
      <c r="BI118" s="53"/>
      <c r="BJ118" s="53"/>
      <c r="BK118" s="53"/>
      <c r="BL118" s="53"/>
      <c r="BM118" s="53"/>
      <c r="BN118" s="53"/>
      <c r="BO118" s="53"/>
      <c r="BP118" s="53"/>
      <c r="BQ118" s="53"/>
      <c r="BR118" s="53"/>
      <c r="BS118" s="53"/>
      <c r="BT118" s="53"/>
      <c r="BU118" s="53"/>
      <c r="BV118" s="53"/>
      <c r="BW118" s="53"/>
      <c r="BX118" s="53"/>
      <c r="BY118" s="53"/>
      <c r="BZ118" s="53"/>
      <c r="CA118" s="53"/>
      <c r="CB118" s="53"/>
      <c r="CC118" s="53"/>
      <c r="CD118" s="53"/>
      <c r="CE118" s="53"/>
      <c r="CF118" s="53"/>
      <c r="CG118" s="53"/>
      <c r="CH118" s="53"/>
      <c r="CI118" s="53"/>
      <c r="CJ118" s="53"/>
      <c r="CK118" s="53"/>
      <c r="CL118" s="53"/>
      <c r="CM118" s="53"/>
      <c r="CN118" s="53"/>
      <c r="CO118" s="53"/>
      <c r="CP118" s="53"/>
      <c r="CQ118" s="53"/>
      <c r="CR118" s="1"/>
      <c r="CS118" s="1"/>
      <c r="CT118" s="1"/>
      <c r="CU118" s="1"/>
    </row>
    <row r="119" spans="1:99" s="13" customFormat="1" ht="12" customHeight="1" x14ac:dyDescent="0.2">
      <c r="A119" s="65">
        <v>43916</v>
      </c>
      <c r="B119" s="1" t="s">
        <v>567</v>
      </c>
      <c r="C119" s="1" t="s">
        <v>45</v>
      </c>
      <c r="D119" s="60">
        <v>2020</v>
      </c>
      <c r="E119" s="76">
        <v>4</v>
      </c>
      <c r="F119" s="60">
        <v>61</v>
      </c>
      <c r="G119" s="60">
        <v>61</v>
      </c>
      <c r="H119" s="60" t="s">
        <v>769</v>
      </c>
      <c r="I119" s="60" t="s">
        <v>782</v>
      </c>
      <c r="J119" s="60" t="s">
        <v>764</v>
      </c>
      <c r="K119" s="60">
        <f>IF(J119="syllables",1,IF(J119="trigrams",2,IF(J119="strings",3,IF(J119="visual array",4,IF(J119="characters",5,IF(J119="letters",6,IF(J119="free forms",7,IF(J119="odors",8,IF(J119="words",9,IF(J119="pictures",10,IF(J119="object pictures",11,IF(J119="faces",12,IF(J119="names",13,IF(J119="idioms",14,IF(J119="grades",15,IF(J119="syllable-digit pairs",16,IF(J119="trigram-word pairs",17,IF(J119="word-digit pairs",18,IF(J119="English-Swahili pairs",19,IF(J119="spatial position",20,IF(J119="word pairs",21,IF(J119="word triads",22,IF(J119="generated words",23,IF(J119="word definition pairs",24,IF(J119="math problems",25,IF(J119="famous faces",26,IF(J119="famous names",27,IF(J119="famous voices",28,IF(J119="television programs",29,IF(J119="race horses",30,IF(J119="new vocabulary",31,IF(J119="sentences",32,IF(J119="concepts",33,IF(J119="ad slides",34,IF(J119="scenes",35,IF(J119="famous scenes",36,IF(J119="poems",37,IF(J119="walk",38,IF(J119="faces and events",39,IF(J119="events and names",40,IF(J119="flashbulb",41,IF(J119="stories",42,IF(J119="course material",43,IF(J119="autobiographical",44,IF(J119="novels",45,IF(J119="public events",46,"99"))))))))))))))))))))))))))))))))))))))))))))))</f>
        <v>4</v>
      </c>
      <c r="L119" s="60">
        <f>IF(J119="syllables",1,IF(J119="trigrams",1,IF(J119="strings",1,IF(J119="visual array",1,IF(J119="characters",1,IF(J119="letters",1,IF(J119="free forms",1,IF(J119="odors",2,IF(J119="words",2,IF(J119="pictures",2,IF(J119="object pictures",2,IF(J119="faces",2,IF(J119="names",2,IF(J119="idioms","2",IF(J119="grades",2,IF(J119="syllable-digit pairs",3,IF(J119="trigram-word pairs",3,IF(J119="word-digit pairs",3,IF(J119="English-Swahili pairs",3,IF(J119="spatial position",3,IF(J119="word pairs",4,IF(J119="word triads",4,IF(J119="generated words",4,IF(J119="word definition pairs",4,IF(J119="math problems",4,IF(J119="famous faces",4,IF(J119="famous names",4,IF(J119="famous voices",4,IF(J119="television programs",4,IF(J119="race horses",4,IF(J119="new vocabulary",4,IF(J119="sentences",5,IF(J119="concepts",5,IF(J119="ad slides",5,IF(J119="scenes",5,IF(J119="famous scenes",5,IF(J119="poems",6,IF(J119="walk",6,IF(J119="faces and events",6,IF(J119="events and names",6,IF(J119="flashbulb",7,IF(J119="stories",7,IF(J119="course material",7,IF(J119="autobiographical",7,IF(J119="novels",7,IF(J119="public events",7,"99"))))))))))))))))))))))))))))))))))))))))))))))</f>
        <v>1</v>
      </c>
      <c r="M119" s="60">
        <v>0</v>
      </c>
      <c r="N119" s="60">
        <v>1</v>
      </c>
      <c r="O119" s="60">
        <v>0</v>
      </c>
      <c r="P119" s="60"/>
      <c r="Q119" s="60" t="s">
        <v>174</v>
      </c>
      <c r="R119" s="60">
        <f>IF(Q119="Free Recall",1,IF(Q119="Cued Recall",2,IF(Q119="Recognition",3,IF(Q119="Multiple Choice",4,IF(Q119="Savings",5,IF(Q119="Stem Completion",6,IF(Q119="Fragment Completion",7,IF(Q119="anagram solution",8,IF(Q119="Matching",9,IF(Q119="Problem Solving",10,"99"))))))))))</f>
        <v>1</v>
      </c>
      <c r="S119" s="60" t="s">
        <v>49</v>
      </c>
      <c r="T119" s="59" t="s">
        <v>581</v>
      </c>
      <c r="U119" s="60">
        <f>IF(T119="within",1,0)</f>
        <v>1</v>
      </c>
      <c r="V119" s="59">
        <v>108</v>
      </c>
      <c r="W119" s="60">
        <f>F119*V119</f>
        <v>6588</v>
      </c>
      <c r="X119" s="60">
        <v>3</v>
      </c>
      <c r="Y119" s="76">
        <f>AV118</f>
        <v>1.5</v>
      </c>
      <c r="Z119" s="60" t="s">
        <v>39</v>
      </c>
      <c r="AA119" s="60">
        <v>6</v>
      </c>
      <c r="AB119" s="60" t="str">
        <f>IF(AA119&lt;60,"1",IF(AA119&lt;=43200,"2",IF(AA119&lt;=777600,"3","4")))</f>
        <v>1</v>
      </c>
      <c r="AC119" s="56">
        <f>AVERAGE(AV118:DA118)</f>
        <v>3.5</v>
      </c>
      <c r="AD119" s="60" t="str">
        <f>IF(AC119&lt;60,"1",IF(AC119&lt;=43200,"2",IF(AC119&lt;=777600,"3","4")))</f>
        <v>1</v>
      </c>
      <c r="AE119" s="76">
        <f>AA119-Y119</f>
        <v>4.5</v>
      </c>
      <c r="AF119" s="80">
        <f>AV119</f>
        <v>0.66</v>
      </c>
      <c r="AG119" s="56">
        <f>((AW119-AV119)+(AX119-AW119))/2</f>
        <v>-1.0000000000000009E-2</v>
      </c>
      <c r="AH119" s="4"/>
      <c r="AI119" s="56">
        <f>RSQ(AV119:AX119,AV118:AX118)</f>
        <v>0.9642857142857143</v>
      </c>
      <c r="AJ119" s="109">
        <f>SLOPE(AV119:AX119,AV118:AX118)</f>
        <v>-4.2857142857142894E-3</v>
      </c>
      <c r="AK119" s="56">
        <f>INTERCEPT(AV119:AX119,AV118:AX118)</f>
        <v>0.66500000000000004</v>
      </c>
      <c r="AL119" s="56">
        <f>INDEX(LINEST(LN(AV119:AX119),LN(AV118:AX118),TRUE,TRUE),3,1)</f>
        <v>0.9999802749668808</v>
      </c>
      <c r="AM119" s="56">
        <f>INDEX(LINEST(LN(AV119:AX119),LN(AV118:AX118)),1)</f>
        <v>-2.2197059679226718E-2</v>
      </c>
      <c r="AN119" s="56">
        <f>EXP(INDEX(LINEST(LN(AV119:AX119),LN(AV118:AX118)),1,2))</f>
        <v>0.66599317359057342</v>
      </c>
      <c r="AO119" s="82">
        <f>INDEX(LINEST((AV119:AX119),LN(AV118:AX118),TRUE,TRUE),3,1)</f>
        <v>1</v>
      </c>
      <c r="AP119" s="82">
        <f>INDEX(LINEST((AV119:AX119),LN(AV118:AX118)),1)</f>
        <v>-1.4426950408889647E-2</v>
      </c>
      <c r="AQ119" s="83">
        <f>INDEX(LINEST(LN(AV119:AX119),SQRT(AV118:AX118),TRUE,TRUE),3,1)</f>
        <v>0.99113491748587934</v>
      </c>
      <c r="AR119" s="116">
        <f>INDEX(LINEST(LN(AV119:AX119),SQRT((AV118:AX118))),1)</f>
        <v>-2.4891759431551724E-2</v>
      </c>
      <c r="AS119" s="84">
        <f>INDEX(LINEST(1/(AV119:AX119),1/(SQRT(AV118:AX118)),TRUE,TRUE),3,1)</f>
        <v>0.98846308968290686</v>
      </c>
      <c r="AT119" s="84">
        <f>INDEX(LINEST(1/(AV119:AX119),1/SQRT(AV118:AX118)),1)</f>
        <v>-0.11475159154532899</v>
      </c>
      <c r="AU119" s="3"/>
      <c r="AV119" s="53">
        <v>0.66</v>
      </c>
      <c r="AW119" s="53">
        <v>0.65</v>
      </c>
      <c r="AX119" s="53">
        <v>0.64</v>
      </c>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53"/>
      <c r="CD119" s="53"/>
      <c r="CE119" s="53"/>
      <c r="CF119" s="53"/>
      <c r="CG119" s="53"/>
      <c r="CH119" s="53"/>
      <c r="CI119" s="53"/>
      <c r="CJ119" s="53"/>
      <c r="CK119" s="53"/>
      <c r="CL119" s="53"/>
      <c r="CM119" s="53"/>
      <c r="CN119" s="53"/>
      <c r="CO119" s="53"/>
      <c r="CP119" s="53"/>
      <c r="CQ119" s="53"/>
      <c r="CR119" s="1"/>
      <c r="CS119" s="1"/>
      <c r="CT119" s="1"/>
      <c r="CU119" s="1"/>
    </row>
    <row r="120" spans="1:99" s="13" customFormat="1" ht="12" customHeight="1" x14ac:dyDescent="0.2">
      <c r="A120" s="65">
        <v>43916</v>
      </c>
      <c r="B120" s="1"/>
      <c r="C120" s="1"/>
      <c r="D120" s="60"/>
      <c r="E120" s="76"/>
      <c r="F120" s="60"/>
      <c r="G120" s="60"/>
      <c r="H120" s="60"/>
      <c r="I120" s="60"/>
      <c r="J120" s="60"/>
      <c r="K120" s="64"/>
      <c r="L120" s="64"/>
      <c r="M120" s="60"/>
      <c r="N120" s="60"/>
      <c r="O120" s="60"/>
      <c r="P120" s="60"/>
      <c r="Q120" s="60"/>
      <c r="R120" s="60"/>
      <c r="S120" s="60"/>
      <c r="T120" s="59"/>
      <c r="U120" s="60"/>
      <c r="V120" s="59"/>
      <c r="W120" s="60"/>
      <c r="X120" s="60"/>
      <c r="Y120" s="76"/>
      <c r="Z120" s="60"/>
      <c r="AA120" s="60"/>
      <c r="AB120" s="60"/>
      <c r="AC120" s="60"/>
      <c r="AD120" s="60"/>
      <c r="AE120" s="60"/>
      <c r="AF120" s="80"/>
      <c r="AG120" s="56"/>
      <c r="AH120" s="4"/>
      <c r="AI120" s="56"/>
      <c r="AJ120" s="109"/>
      <c r="AK120" s="56"/>
      <c r="AL120" s="56"/>
      <c r="AM120" s="56"/>
      <c r="AN120" s="56"/>
      <c r="AO120" s="82"/>
      <c r="AP120" s="82"/>
      <c r="AQ120" s="82"/>
      <c r="AR120" s="115"/>
      <c r="AS120" s="82"/>
      <c r="AT120" s="82"/>
      <c r="AU120" s="3"/>
      <c r="AV120" s="54">
        <v>1.5</v>
      </c>
      <c r="AW120" s="25">
        <v>3</v>
      </c>
      <c r="AX120" s="25">
        <v>6</v>
      </c>
      <c r="AY120" s="53"/>
      <c r="AZ120" s="53"/>
      <c r="BA120" s="53"/>
      <c r="BB120" s="53"/>
      <c r="BC120" s="53"/>
      <c r="BD120" s="53"/>
      <c r="BE120" s="53"/>
      <c r="BF120" s="53"/>
      <c r="BG120" s="53"/>
      <c r="BH120" s="53"/>
      <c r="BI120" s="53"/>
      <c r="BJ120" s="53"/>
      <c r="BK120" s="53"/>
      <c r="BL120" s="53"/>
      <c r="BM120" s="53"/>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53"/>
      <c r="CR120" s="1"/>
      <c r="CS120" s="1"/>
      <c r="CT120" s="1"/>
      <c r="CU120" s="1"/>
    </row>
    <row r="121" spans="1:99" s="13" customFormat="1" ht="12" customHeight="1" x14ac:dyDescent="0.2">
      <c r="A121" s="65">
        <v>43916</v>
      </c>
      <c r="B121" s="1" t="s">
        <v>567</v>
      </c>
      <c r="C121" s="1" t="s">
        <v>45</v>
      </c>
      <c r="D121" s="60">
        <v>2020</v>
      </c>
      <c r="E121" s="76">
        <v>4</v>
      </c>
      <c r="F121" s="60">
        <v>61</v>
      </c>
      <c r="G121" s="60">
        <v>61</v>
      </c>
      <c r="H121" s="60" t="s">
        <v>769</v>
      </c>
      <c r="I121" s="60" t="s">
        <v>783</v>
      </c>
      <c r="J121" s="60" t="s">
        <v>764</v>
      </c>
      <c r="K121" s="60">
        <f>IF(J121="syllables",1,IF(J121="trigrams",2,IF(J121="strings",3,IF(J121="visual array",4,IF(J121="characters",5,IF(J121="letters",6,IF(J121="free forms",7,IF(J121="odors",8,IF(J121="words",9,IF(J121="pictures",10,IF(J121="object pictures",11,IF(J121="faces",12,IF(J121="names",13,IF(J121="idioms",14,IF(J121="grades",15,IF(J121="syllable-digit pairs",16,IF(J121="trigram-word pairs",17,IF(J121="word-digit pairs",18,IF(J121="English-Swahili pairs",19,IF(J121="spatial position",20,IF(J121="word pairs",21,IF(J121="word triads",22,IF(J121="generated words",23,IF(J121="word definition pairs",24,IF(J121="math problems",25,IF(J121="famous faces",26,IF(J121="famous names",27,IF(J121="famous voices",28,IF(J121="television programs",29,IF(J121="race horses",30,IF(J121="new vocabulary",31,IF(J121="sentences",32,IF(J121="concepts",33,IF(J121="ad slides",34,IF(J121="scenes",35,IF(J121="famous scenes",36,IF(J121="poems",37,IF(J121="walk",38,IF(J121="faces and events",39,IF(J121="events and names",40,IF(J121="flashbulb",41,IF(J121="stories",42,IF(J121="course material",43,IF(J121="autobiographical",44,IF(J121="novels",45,IF(J121="public events",46,"99"))))))))))))))))))))))))))))))))))))))))))))))</f>
        <v>4</v>
      </c>
      <c r="L121" s="60">
        <f>IF(J121="syllables",1,IF(J121="trigrams",1,IF(J121="strings",1,IF(J121="visual array",1,IF(J121="characters",1,IF(J121="letters",1,IF(J121="free forms",1,IF(J121="odors",2,IF(J121="words",2,IF(J121="pictures",2,IF(J121="object pictures",2,IF(J121="faces",2,IF(J121="names",2,IF(J121="idioms","2",IF(J121="grades",2,IF(J121="syllable-digit pairs",3,IF(J121="trigram-word pairs",3,IF(J121="word-digit pairs",3,IF(J121="English-Swahili pairs",3,IF(J121="spatial position",3,IF(J121="word pairs",4,IF(J121="word triads",4,IF(J121="generated words",4,IF(J121="word definition pairs",4,IF(J121="math problems",4,IF(J121="famous faces",4,IF(J121="famous names",4,IF(J121="famous voices",4,IF(J121="television programs",4,IF(J121="race horses",4,IF(J121="new vocabulary",4,IF(J121="sentences",5,IF(J121="concepts",5,IF(J121="ad slides",5,IF(J121="scenes",5,IF(J121="famous scenes",5,IF(J121="poems",6,IF(J121="walk",6,IF(J121="faces and events",6,IF(J121="events and names",6,IF(J121="flashbulb",7,IF(J121="stories",7,IF(J121="course material",7,IF(J121="autobiographical",7,IF(J121="novels",7,IF(J121="public events",7,"99"))))))))))))))))))))))))))))))))))))))))))))))</f>
        <v>1</v>
      </c>
      <c r="M121" s="60">
        <v>0</v>
      </c>
      <c r="N121" s="60">
        <v>1</v>
      </c>
      <c r="O121" s="60">
        <v>0</v>
      </c>
      <c r="P121" s="60"/>
      <c r="Q121" s="60" t="s">
        <v>174</v>
      </c>
      <c r="R121" s="60">
        <f>IF(Q121="Free Recall",1,IF(Q121="Cued Recall",2,IF(Q121="Recognition",3,IF(Q121="Multiple Choice",4,IF(Q121="Savings",5,IF(Q121="Stem Completion",6,IF(Q121="Fragment Completion",7,IF(Q121="anagram solution",8,IF(Q121="Matching",9,IF(Q121="Problem Solving",10,"99"))))))))))</f>
        <v>1</v>
      </c>
      <c r="S121" s="60" t="s">
        <v>49</v>
      </c>
      <c r="T121" s="59" t="s">
        <v>581</v>
      </c>
      <c r="U121" s="60">
        <f>IF(T121="within",1,0)</f>
        <v>1</v>
      </c>
      <c r="V121" s="59">
        <v>108</v>
      </c>
      <c r="W121" s="60">
        <f>F121*V121</f>
        <v>6588</v>
      </c>
      <c r="X121" s="60">
        <v>3</v>
      </c>
      <c r="Y121" s="76">
        <f>AV120</f>
        <v>1.5</v>
      </c>
      <c r="Z121" s="60" t="s">
        <v>39</v>
      </c>
      <c r="AA121" s="60">
        <v>6</v>
      </c>
      <c r="AB121" s="60" t="str">
        <f>IF(AA121&lt;60,"1",IF(AA121&lt;=43200,"2",IF(AA121&lt;=777600,"3","4")))</f>
        <v>1</v>
      </c>
      <c r="AC121" s="56">
        <f>AVERAGE(AV120:DA120)</f>
        <v>3.5</v>
      </c>
      <c r="AD121" s="60" t="str">
        <f>IF(AC121&lt;60,"1",IF(AC121&lt;=43200,"2",IF(AC121&lt;=777600,"3","4")))</f>
        <v>1</v>
      </c>
      <c r="AE121" s="76">
        <f>AA121-Y121</f>
        <v>4.5</v>
      </c>
      <c r="AF121" s="80">
        <f>AV121</f>
        <v>0.66</v>
      </c>
      <c r="AG121" s="56">
        <f>((AW121-AV121)+(AX121-AW121))/2</f>
        <v>-2.0000000000000018E-2</v>
      </c>
      <c r="AH121" s="4"/>
      <c r="AI121" s="56">
        <f>RSQ(AV121:AX121,AV120:AX120)</f>
        <v>0.99175824175824201</v>
      </c>
      <c r="AJ121" s="109">
        <f>SLOPE(AV121:AX121,AV120:AX120)</f>
        <v>-9.0476190476190561E-3</v>
      </c>
      <c r="AK121" s="56">
        <f>INTERCEPT(AV121:AX121,AV120:AX120)</f>
        <v>0.67500000000000016</v>
      </c>
      <c r="AL121" s="56">
        <f>INDEX(LINEST(LN(AV121:AX121),LN(AV120:AX120),TRUE,TRUE),3,1)</f>
        <v>0.91975602968102299</v>
      </c>
      <c r="AM121" s="56">
        <f>INDEX(LINEST(LN(AV121:AX121),LN(AV120:AX120)),1)</f>
        <v>-4.5098904485789126E-2</v>
      </c>
      <c r="AN121" s="56">
        <f>EXP(INDEX(LINEST(LN(AV121:AX121),LN(AV120:AX120)),1,2))</f>
        <v>0.67577269488178304</v>
      </c>
      <c r="AO121" s="82">
        <f>INDEX(LINEST((AV121:AX121),LN(AV120:AX120),TRUE,TRUE),3,1)</f>
        <v>0.92307692307692302</v>
      </c>
      <c r="AP121" s="82">
        <f>INDEX(LINEST((AV121:AX121),LN(AV120:AX120)),1)</f>
        <v>-2.8853900817779284E-2</v>
      </c>
      <c r="AQ121" s="83">
        <f>INDEX(LINEST(LN(AV121:AX121),SQRT(AV120:AX120),TRUE,TRUE),3,1)</f>
        <v>0.96489752568134546</v>
      </c>
      <c r="AR121" s="116">
        <f>INDEX(LINEST(LN(AV121:AX121),SQRT((AV120:AX120))),1)</f>
        <v>-5.2030708628093988E-2</v>
      </c>
      <c r="AS121" s="84">
        <f>INDEX(LINEST(1/(AV121:AX121),1/(SQRT(AV120:AX120)),TRUE,TRUE),3,1)</f>
        <v>0.85402978315235945</v>
      </c>
      <c r="AT121" s="84">
        <f>INDEX(LINEST(1/(AV121:AX121),1/SQRT(AV120:AX120)),1)</f>
        <v>-0.23002177635375323</v>
      </c>
      <c r="AU121" s="3"/>
      <c r="AV121" s="53">
        <v>0.66</v>
      </c>
      <c r="AW121" s="53">
        <v>0.65</v>
      </c>
      <c r="AX121" s="53">
        <v>0.62</v>
      </c>
      <c r="AY121" s="53"/>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c r="CO121" s="53"/>
      <c r="CP121" s="53"/>
      <c r="CQ121" s="53"/>
      <c r="CR121" s="1"/>
      <c r="CS121" s="1"/>
      <c r="CT121" s="1"/>
      <c r="CU121" s="1"/>
    </row>
    <row r="122" spans="1:99" s="13" customFormat="1" ht="12" customHeight="1" x14ac:dyDescent="0.2">
      <c r="A122" s="65">
        <v>43916</v>
      </c>
      <c r="B122" s="1"/>
      <c r="C122" s="1"/>
      <c r="D122" s="60"/>
      <c r="E122" s="76"/>
      <c r="F122" s="60"/>
      <c r="G122" s="60"/>
      <c r="H122" s="60"/>
      <c r="I122" s="60"/>
      <c r="J122" s="60"/>
      <c r="K122" s="64"/>
      <c r="L122" s="64"/>
      <c r="M122" s="60"/>
      <c r="N122" s="60"/>
      <c r="O122" s="60"/>
      <c r="P122" s="60"/>
      <c r="Q122" s="60"/>
      <c r="R122" s="60"/>
      <c r="S122" s="60"/>
      <c r="T122" s="59"/>
      <c r="U122" s="60"/>
      <c r="V122" s="59"/>
      <c r="W122" s="60"/>
      <c r="X122" s="60"/>
      <c r="Y122" s="76"/>
      <c r="Z122" s="60"/>
      <c r="AA122" s="60"/>
      <c r="AB122" s="60"/>
      <c r="AC122" s="60"/>
      <c r="AD122" s="60"/>
      <c r="AE122" s="60"/>
      <c r="AF122" s="80"/>
      <c r="AG122" s="56"/>
      <c r="AH122" s="4"/>
      <c r="AI122" s="56"/>
      <c r="AJ122" s="109"/>
      <c r="AK122" s="56"/>
      <c r="AL122" s="56"/>
      <c r="AM122" s="56"/>
      <c r="AN122" s="56"/>
      <c r="AO122" s="82"/>
      <c r="AP122" s="82"/>
      <c r="AQ122" s="82"/>
      <c r="AR122" s="115"/>
      <c r="AS122" s="82"/>
      <c r="AT122" s="82"/>
      <c r="AU122" s="3"/>
      <c r="AV122" s="54">
        <v>1.5</v>
      </c>
      <c r="AW122" s="25">
        <v>3</v>
      </c>
      <c r="AX122" s="25">
        <v>6</v>
      </c>
      <c r="AY122" s="53"/>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c r="CA122" s="53"/>
      <c r="CB122" s="53"/>
      <c r="CC122" s="53"/>
      <c r="CD122" s="53"/>
      <c r="CE122" s="53"/>
      <c r="CF122" s="53"/>
      <c r="CG122" s="53"/>
      <c r="CH122" s="53"/>
      <c r="CI122" s="53"/>
      <c r="CJ122" s="53"/>
      <c r="CK122" s="53"/>
      <c r="CL122" s="53"/>
      <c r="CM122" s="53"/>
      <c r="CN122" s="53"/>
      <c r="CO122" s="53"/>
      <c r="CP122" s="53"/>
      <c r="CQ122" s="53"/>
      <c r="CR122" s="1"/>
      <c r="CS122" s="1"/>
      <c r="CT122" s="1"/>
      <c r="CU122" s="1"/>
    </row>
    <row r="123" spans="1:99" s="13" customFormat="1" ht="12" customHeight="1" x14ac:dyDescent="0.2">
      <c r="A123" s="65">
        <v>43916</v>
      </c>
      <c r="B123" s="1" t="s">
        <v>567</v>
      </c>
      <c r="C123" s="1" t="s">
        <v>45</v>
      </c>
      <c r="D123" s="60">
        <v>2020</v>
      </c>
      <c r="E123" s="76">
        <v>5</v>
      </c>
      <c r="F123" s="60">
        <v>63</v>
      </c>
      <c r="G123" s="60">
        <v>63</v>
      </c>
      <c r="H123" s="60" t="s">
        <v>341</v>
      </c>
      <c r="I123" s="60" t="s">
        <v>780</v>
      </c>
      <c r="J123" s="60" t="s">
        <v>764</v>
      </c>
      <c r="K123" s="60">
        <f>IF(J123="syllables",1,IF(J123="trigrams",2,IF(J123="strings",3,IF(J123="visual array",4,IF(J123="characters",5,IF(J123="letters",6,IF(J123="free forms",7,IF(J123="odors",8,IF(J123="words",9,IF(J123="pictures",10,IF(J123="object pictures",11,IF(J123="faces",12,IF(J123="names",13,IF(J123="idioms",14,IF(J123="grades",15,IF(J123="syllable-digit pairs",16,IF(J123="trigram-word pairs",17,IF(J123="word-digit pairs",18,IF(J123="English-Swahili pairs",19,IF(J123="spatial position",20,IF(J123="word pairs",21,IF(J123="word triads",22,IF(J123="generated words",23,IF(J123="word definition pairs",24,IF(J123="math problems",25,IF(J123="famous faces",26,IF(J123="famous names",27,IF(J123="famous voices",28,IF(J123="television programs",29,IF(J123="race horses",30,IF(J123="new vocabulary",31,IF(J123="sentences",32,IF(J123="concepts",33,IF(J123="ad slides",34,IF(J123="scenes",35,IF(J123="famous scenes",36,IF(J123="poems",37,IF(J123="walk",38,IF(J123="faces and events",39,IF(J123="events and names",40,IF(J123="flashbulb",41,IF(J123="stories",42,IF(J123="course material",43,IF(J123="autobiographical",44,IF(J123="novels",45,IF(J123="public events",46,"99"))))))))))))))))))))))))))))))))))))))))))))))</f>
        <v>4</v>
      </c>
      <c r="L123" s="60">
        <f>IF(J123="syllables",1,IF(J123="trigrams",1,IF(J123="strings",1,IF(J123="visual array",1,IF(J123="characters",1,IF(J123="letters",1,IF(J123="free forms",1,IF(J123="odors",2,IF(J123="words",2,IF(J123="pictures",2,IF(J123="object pictures",2,IF(J123="faces",2,IF(J123="names",2,IF(J123="idioms","2",IF(J123="grades",2,IF(J123="syllable-digit pairs",3,IF(J123="trigram-word pairs",3,IF(J123="word-digit pairs",3,IF(J123="English-Swahili pairs",3,IF(J123="spatial position",3,IF(J123="word pairs",4,IF(J123="word triads",4,IF(J123="generated words",4,IF(J123="word definition pairs",4,IF(J123="math problems",4,IF(J123="famous faces",4,IF(J123="famous names",4,IF(J123="famous voices",4,IF(J123="television programs",4,IF(J123="race horses",4,IF(J123="new vocabulary",4,IF(J123="sentences",5,IF(J123="concepts",5,IF(J123="ad slides",5,IF(J123="scenes",5,IF(J123="famous scenes",5,IF(J123="poems",6,IF(J123="walk",6,IF(J123="faces and events",6,IF(J123="events and names",6,IF(J123="flashbulb",7,IF(J123="stories",7,IF(J123="course material",7,IF(J123="autobiographical",7,IF(J123="novels",7,IF(J123="public events",7,"99"))))))))))))))))))))))))))))))))))))))))))))))</f>
        <v>1</v>
      </c>
      <c r="M123" s="60">
        <v>0</v>
      </c>
      <c r="N123" s="60">
        <v>1</v>
      </c>
      <c r="O123" s="60">
        <v>0</v>
      </c>
      <c r="P123" s="60"/>
      <c r="Q123" s="60" t="s">
        <v>174</v>
      </c>
      <c r="R123" s="60">
        <f>IF(Q123="Free Recall",1,IF(Q123="Cued Recall",2,IF(Q123="Recognition",3,IF(Q123="Multiple Choice",4,IF(Q123="Savings",5,IF(Q123="Stem Completion",6,IF(Q123="Fragment Completion",7,IF(Q123="anagram solution",8,IF(Q123="Matching",9,IF(Q123="Problem Solving",10,"99"))))))))))</f>
        <v>1</v>
      </c>
      <c r="S123" s="60" t="s">
        <v>49</v>
      </c>
      <c r="T123" s="59" t="s">
        <v>581</v>
      </c>
      <c r="U123" s="60">
        <f>IF(T123="within",1,0)</f>
        <v>1</v>
      </c>
      <c r="V123" s="59">
        <v>108</v>
      </c>
      <c r="W123" s="60">
        <f>F123*V123</f>
        <v>6804</v>
      </c>
      <c r="X123" s="60">
        <v>3</v>
      </c>
      <c r="Y123" s="76">
        <f>AV122</f>
        <v>1.5</v>
      </c>
      <c r="Z123" s="60" t="s">
        <v>39</v>
      </c>
      <c r="AA123" s="60">
        <v>6</v>
      </c>
      <c r="AB123" s="60" t="str">
        <f>IF(AA123&lt;60,"1",IF(AA123&lt;=43200,"2",IF(AA123&lt;=777600,"3","4")))</f>
        <v>1</v>
      </c>
      <c r="AC123" s="56">
        <f>AVERAGE(AV122:DA122)</f>
        <v>3.5</v>
      </c>
      <c r="AD123" s="60" t="str">
        <f>IF(AC123&lt;60,"1",IF(AC123&lt;=43200,"2",IF(AC123&lt;=777600,"3","4")))</f>
        <v>1</v>
      </c>
      <c r="AE123" s="76">
        <f>AA123-Y123</f>
        <v>4.5</v>
      </c>
      <c r="AF123" s="80">
        <f>AV123</f>
        <v>0.87</v>
      </c>
      <c r="AG123" s="56">
        <f>((AW123-AV123)+(AX123-AW123))/2</f>
        <v>-2.9999999999999971E-2</v>
      </c>
      <c r="AH123" s="4"/>
      <c r="AI123" s="56">
        <f>RSQ(AV123:AX123,AV122:AX122)</f>
        <v>1</v>
      </c>
      <c r="AJ123" s="109">
        <f>SLOPE(AV123:AX123,AV122:AX122)</f>
        <v>-1.3333333333333319E-2</v>
      </c>
      <c r="AK123" s="56">
        <f>INTERCEPT(AV123:AX123,AV122:AX122)</f>
        <v>0.89</v>
      </c>
      <c r="AL123" s="56">
        <f>INDEX(LINEST(LN(AV123:AX123),LN(AV122:AX122),TRUE,TRUE),3,1)</f>
        <v>0.96096551286856546</v>
      </c>
      <c r="AM123" s="56">
        <f>INDEX(LINEST(LN(AV123:AX123),LN(AV122:AX122)),1)</f>
        <v>-5.1546746482051729E-2</v>
      </c>
      <c r="AN123" s="56">
        <f>EXP(INDEX(LINEST(LN(AV123:AX123),LN(AV122:AX122)),1,2))</f>
        <v>0.89207584654652905</v>
      </c>
      <c r="AO123" s="82">
        <f>INDEX(LINEST((AV123:AX123),LN(AV122:AX122),TRUE,TRUE),3,1)</f>
        <v>0.96428571428571452</v>
      </c>
      <c r="AP123" s="82">
        <f>INDEX(LINEST((AV123:AX123),LN(AV122:AX122)),1)</f>
        <v>-4.3280851226668859E-2</v>
      </c>
      <c r="AQ123" s="83">
        <f>INDEX(LINEST(LN(AV123:AX123),SQRT(AV122:AX122),TRUE,TRUE),3,1)</f>
        <v>0.9900045808735225</v>
      </c>
      <c r="AR123" s="116">
        <f>INDEX(LINEST(LN(AV123:AX123),SQRT((AV122:AX122))),1)</f>
        <v>-5.8932577184482207E-2</v>
      </c>
      <c r="AS123" s="84">
        <f>INDEX(LINEST(1/(AV123:AX123),1/(SQRT(AV122:AX122)),TRUE,TRUE),3,1)</f>
        <v>0.90909690947429778</v>
      </c>
      <c r="AT123" s="84">
        <f>INDEX(LINEST(1/(AV123:AX123),1/SQRT(AV122:AX122)),1)</f>
        <v>-0.20222164130702389</v>
      </c>
      <c r="AU123" s="3"/>
      <c r="AV123" s="53">
        <v>0.87</v>
      </c>
      <c r="AW123" s="53">
        <v>0.85</v>
      </c>
      <c r="AX123" s="53">
        <v>0.81</v>
      </c>
      <c r="AY123" s="53"/>
      <c r="AZ123" s="53"/>
      <c r="BA123" s="53"/>
      <c r="BB123" s="53"/>
      <c r="BC123" s="53"/>
      <c r="BD123" s="53"/>
      <c r="BE123" s="53"/>
      <c r="BF123" s="53"/>
      <c r="BG123" s="53"/>
      <c r="BH123" s="53"/>
      <c r="BI123" s="53"/>
      <c r="BJ123" s="53"/>
      <c r="BK123" s="53"/>
      <c r="BL123" s="53"/>
      <c r="BM123" s="53"/>
      <c r="BN123" s="53"/>
      <c r="BO123" s="53"/>
      <c r="BP123" s="53"/>
      <c r="BQ123" s="53"/>
      <c r="BR123" s="53"/>
      <c r="BS123" s="53"/>
      <c r="BT123" s="53"/>
      <c r="BU123" s="53"/>
      <c r="BV123" s="53"/>
      <c r="BW123" s="53"/>
      <c r="BX123" s="53"/>
      <c r="BY123" s="53"/>
      <c r="BZ123" s="53"/>
      <c r="CA123" s="53"/>
      <c r="CB123" s="53"/>
      <c r="CC123" s="53"/>
      <c r="CD123" s="53"/>
      <c r="CE123" s="53"/>
      <c r="CF123" s="53"/>
      <c r="CG123" s="53"/>
      <c r="CH123" s="53"/>
      <c r="CI123" s="53"/>
      <c r="CJ123" s="53"/>
      <c r="CK123" s="53"/>
      <c r="CL123" s="53"/>
      <c r="CM123" s="53"/>
      <c r="CN123" s="53"/>
      <c r="CO123" s="53"/>
      <c r="CP123" s="53"/>
      <c r="CQ123" s="53"/>
      <c r="CR123" s="1"/>
      <c r="CS123" s="1"/>
      <c r="CT123" s="1"/>
      <c r="CU123" s="1"/>
    </row>
    <row r="124" spans="1:99" s="13" customFormat="1" ht="12" customHeight="1" x14ac:dyDescent="0.2">
      <c r="A124" s="65">
        <v>43916</v>
      </c>
      <c r="B124" s="1"/>
      <c r="C124" s="1"/>
      <c r="D124" s="60"/>
      <c r="E124" s="76"/>
      <c r="F124" s="60"/>
      <c r="G124" s="60"/>
      <c r="H124" s="60"/>
      <c r="I124" s="60"/>
      <c r="J124" s="60"/>
      <c r="K124" s="64"/>
      <c r="L124" s="64"/>
      <c r="M124" s="60"/>
      <c r="N124" s="60"/>
      <c r="O124" s="60"/>
      <c r="P124" s="60"/>
      <c r="Q124" s="60"/>
      <c r="R124" s="60"/>
      <c r="S124" s="60"/>
      <c r="T124" s="59"/>
      <c r="U124" s="60"/>
      <c r="V124" s="59"/>
      <c r="W124" s="60"/>
      <c r="X124" s="60"/>
      <c r="Y124" s="76"/>
      <c r="Z124" s="60"/>
      <c r="AA124" s="60"/>
      <c r="AB124" s="60"/>
      <c r="AC124" s="60"/>
      <c r="AD124" s="60"/>
      <c r="AE124" s="60"/>
      <c r="AF124" s="80"/>
      <c r="AG124" s="56"/>
      <c r="AH124" s="4"/>
      <c r="AI124" s="56"/>
      <c r="AJ124" s="109"/>
      <c r="AK124" s="56"/>
      <c r="AL124" s="56"/>
      <c r="AM124" s="56"/>
      <c r="AN124" s="56"/>
      <c r="AO124" s="82"/>
      <c r="AP124" s="82"/>
      <c r="AQ124" s="82"/>
      <c r="AR124" s="115"/>
      <c r="AS124" s="82"/>
      <c r="AT124" s="82"/>
      <c r="AU124" s="3"/>
      <c r="AV124" s="54">
        <v>1.5</v>
      </c>
      <c r="AW124" s="25">
        <v>3</v>
      </c>
      <c r="AX124" s="25">
        <v>6</v>
      </c>
      <c r="AY124" s="53"/>
      <c r="AZ124" s="53"/>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c r="BY124" s="53"/>
      <c r="BZ124" s="53"/>
      <c r="CA124" s="53"/>
      <c r="CB124" s="53"/>
      <c r="CC124" s="53"/>
      <c r="CD124" s="53"/>
      <c r="CE124" s="53"/>
      <c r="CF124" s="53"/>
      <c r="CG124" s="53"/>
      <c r="CH124" s="53"/>
      <c r="CI124" s="53"/>
      <c r="CJ124" s="53"/>
      <c r="CK124" s="53"/>
      <c r="CL124" s="53"/>
      <c r="CM124" s="53"/>
      <c r="CN124" s="53"/>
      <c r="CO124" s="53"/>
      <c r="CP124" s="53"/>
      <c r="CQ124" s="53"/>
      <c r="CR124" s="1"/>
      <c r="CS124" s="1"/>
      <c r="CT124" s="1"/>
      <c r="CU124" s="1"/>
    </row>
    <row r="125" spans="1:99" s="13" customFormat="1" ht="12" customHeight="1" x14ac:dyDescent="0.2">
      <c r="A125" s="65">
        <v>43916</v>
      </c>
      <c r="B125" s="1" t="s">
        <v>567</v>
      </c>
      <c r="C125" s="1" t="s">
        <v>45</v>
      </c>
      <c r="D125" s="60">
        <v>2020</v>
      </c>
      <c r="E125" s="76">
        <v>5</v>
      </c>
      <c r="F125" s="60">
        <v>63</v>
      </c>
      <c r="G125" s="60">
        <v>63</v>
      </c>
      <c r="H125" s="60" t="s">
        <v>341</v>
      </c>
      <c r="I125" s="60" t="s">
        <v>781</v>
      </c>
      <c r="J125" s="60" t="s">
        <v>764</v>
      </c>
      <c r="K125" s="60">
        <f>IF(J125="syllables",1,IF(J125="trigrams",2,IF(J125="strings",3,IF(J125="visual array",4,IF(J125="characters",5,IF(J125="letters",6,IF(J125="free forms",7,IF(J125="odors",8,IF(J125="words",9,IF(J125="pictures",10,IF(J125="object pictures",11,IF(J125="faces",12,IF(J125="names",13,IF(J125="idioms",14,IF(J125="grades",15,IF(J125="syllable-digit pairs",16,IF(J125="trigram-word pairs",17,IF(J125="word-digit pairs",18,IF(J125="English-Swahili pairs",19,IF(J125="spatial position",20,IF(J125="word pairs",21,IF(J125="word triads",22,IF(J125="generated words",23,IF(J125="word definition pairs",24,IF(J125="math problems",25,IF(J125="famous faces",26,IF(J125="famous names",27,IF(J125="famous voices",28,IF(J125="television programs",29,IF(J125="race horses",30,IF(J125="new vocabulary",31,IF(J125="sentences",32,IF(J125="concepts",33,IF(J125="ad slides",34,IF(J125="scenes",35,IF(J125="famous scenes",36,IF(J125="poems",37,IF(J125="walk",38,IF(J125="faces and events",39,IF(J125="events and names",40,IF(J125="flashbulb",41,IF(J125="stories",42,IF(J125="course material",43,IF(J125="autobiographical",44,IF(J125="novels",45,IF(J125="public events",46,"99"))))))))))))))))))))))))))))))))))))))))))))))</f>
        <v>4</v>
      </c>
      <c r="L125" s="60">
        <f>IF(J125="syllables",1,IF(J125="trigrams",1,IF(J125="strings",1,IF(J125="visual array",1,IF(J125="characters",1,IF(J125="letters",1,IF(J125="free forms",1,IF(J125="odors",2,IF(J125="words",2,IF(J125="pictures",2,IF(J125="object pictures",2,IF(J125="faces",2,IF(J125="names",2,IF(J125="idioms","2",IF(J125="grades",2,IF(J125="syllable-digit pairs",3,IF(J125="trigram-word pairs",3,IF(J125="word-digit pairs",3,IF(J125="English-Swahili pairs",3,IF(J125="spatial position",3,IF(J125="word pairs",4,IF(J125="word triads",4,IF(J125="generated words",4,IF(J125="word definition pairs",4,IF(J125="math problems",4,IF(J125="famous faces",4,IF(J125="famous names",4,IF(J125="famous voices",4,IF(J125="television programs",4,IF(J125="race horses",4,IF(J125="new vocabulary",4,IF(J125="sentences",5,IF(J125="concepts",5,IF(J125="ad slides",5,IF(J125="scenes",5,IF(J125="famous scenes",5,IF(J125="poems",6,IF(J125="walk",6,IF(J125="faces and events",6,IF(J125="events and names",6,IF(J125="flashbulb",7,IF(J125="stories",7,IF(J125="course material",7,IF(J125="autobiographical",7,IF(J125="novels",7,IF(J125="public events",7,"99"))))))))))))))))))))))))))))))))))))))))))))))</f>
        <v>1</v>
      </c>
      <c r="M125" s="60">
        <v>0</v>
      </c>
      <c r="N125" s="60">
        <v>1</v>
      </c>
      <c r="O125" s="60">
        <v>0</v>
      </c>
      <c r="P125" s="60"/>
      <c r="Q125" s="60" t="s">
        <v>174</v>
      </c>
      <c r="R125" s="60">
        <f>IF(Q125="Free Recall",1,IF(Q125="Cued Recall",2,IF(Q125="Recognition",3,IF(Q125="Multiple Choice",4,IF(Q125="Savings",5,IF(Q125="Stem Completion",6,IF(Q125="Fragment Completion",7,IF(Q125="anagram solution",8,IF(Q125="Matching",9,IF(Q125="Problem Solving",10,"99"))))))))))</f>
        <v>1</v>
      </c>
      <c r="S125" s="60" t="s">
        <v>49</v>
      </c>
      <c r="T125" s="59" t="s">
        <v>581</v>
      </c>
      <c r="U125" s="60">
        <f>IF(T125="within",1,0)</f>
        <v>1</v>
      </c>
      <c r="V125" s="59">
        <v>108</v>
      </c>
      <c r="W125" s="60">
        <f>F125*V125</f>
        <v>6804</v>
      </c>
      <c r="X125" s="60">
        <v>3</v>
      </c>
      <c r="Y125" s="76">
        <f>AV124</f>
        <v>1.5</v>
      </c>
      <c r="Z125" s="60" t="s">
        <v>39</v>
      </c>
      <c r="AA125" s="60">
        <v>6</v>
      </c>
      <c r="AB125" s="60" t="str">
        <f>IF(AA125&lt;60,"1",IF(AA125&lt;=43200,"2",IF(AA125&lt;=777600,"3","4")))</f>
        <v>1</v>
      </c>
      <c r="AC125" s="56">
        <f>AVERAGE(AV124:DA124)</f>
        <v>3.5</v>
      </c>
      <c r="AD125" s="60" t="str">
        <f>IF(AC125&lt;60,"1",IF(AC125&lt;=43200,"2",IF(AC125&lt;=777600,"3","4")))</f>
        <v>1</v>
      </c>
      <c r="AE125" s="76">
        <f>AA125-Y125</f>
        <v>4.5</v>
      </c>
      <c r="AF125" s="80">
        <f>AV125</f>
        <v>0.85</v>
      </c>
      <c r="AG125" s="56">
        <f>((AW125-AV125)+(AX125-AW125))/2</f>
        <v>-2.4999999999999967E-2</v>
      </c>
      <c r="AH125" s="4"/>
      <c r="AI125" s="56">
        <f>RSQ(AV125:AX125,AV124:AX124)</f>
        <v>0.99436090225563922</v>
      </c>
      <c r="AJ125" s="109">
        <f>SLOPE(AV125:AX125,AV124:AX124)</f>
        <v>-1.0952380952380936E-2</v>
      </c>
      <c r="AK125" s="56">
        <f>INTERCEPT(AV125:AX125,AV124:AX124)</f>
        <v>0.86499999999999999</v>
      </c>
      <c r="AL125" s="56">
        <f>INDEX(LINEST(LN(AV125:AX125),LN(AV124:AX124),TRUE,TRUE),3,1)</f>
        <v>0.98489641604852174</v>
      </c>
      <c r="AM125" s="56">
        <f>INDEX(LINEST(LN(AV125:AX125),LN(AV124:AX124)),1)</f>
        <v>-4.3731420625169652E-2</v>
      </c>
      <c r="AN125" s="56">
        <f>EXP(INDEX(LINEST(LN(AV125:AX125),LN(AV124:AX124)),1,2))</f>
        <v>0.86708337354371856</v>
      </c>
      <c r="AO125" s="82">
        <f>INDEX(LINEST((AV125:AX125),LN(AV124:AX124),TRUE,TRUE),3,1)</f>
        <v>0.98684210526315808</v>
      </c>
      <c r="AP125" s="82">
        <f>INDEX(LINEST((AV125:AX125),LN(AV124:AX124)),1)</f>
        <v>-3.6067376022224026E-2</v>
      </c>
      <c r="AQ125" s="83">
        <f>INDEX(LINEST(LN(AV125:AX125),SQRT(AV124:AX124),TRUE,TRUE),3,1)</f>
        <v>0.99940121225204026</v>
      </c>
      <c r="AR125" s="116">
        <f>INDEX(LINEST(LN(AV125:AX125),SQRT((AV124:AX124))),1)</f>
        <v>-4.9620109344415748E-2</v>
      </c>
      <c r="AS125" s="84">
        <f>INDEX(LINEST(1/(AV125:AX125),1/(SQRT(AV124:AX124)),TRUE,TRUE),3,1)</f>
        <v>0.94796474446504519</v>
      </c>
      <c r="AT125" s="84">
        <f>INDEX(LINEST(1/(AV125:AX125),1/SQRT(AV124:AX124)),1)</f>
        <v>-0.17602433847644572</v>
      </c>
      <c r="AU125" s="3"/>
      <c r="AV125" s="53">
        <v>0.85</v>
      </c>
      <c r="AW125" s="53">
        <v>0.83</v>
      </c>
      <c r="AX125" s="53">
        <v>0.8</v>
      </c>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53"/>
      <c r="CD125" s="53"/>
      <c r="CE125" s="53"/>
      <c r="CF125" s="53"/>
      <c r="CG125" s="53"/>
      <c r="CH125" s="53"/>
      <c r="CI125" s="53"/>
      <c r="CJ125" s="53"/>
      <c r="CK125" s="53"/>
      <c r="CL125" s="53"/>
      <c r="CM125" s="53"/>
      <c r="CN125" s="53"/>
      <c r="CO125" s="53"/>
      <c r="CP125" s="53"/>
      <c r="CQ125" s="53"/>
      <c r="CR125" s="1"/>
      <c r="CS125" s="1"/>
      <c r="CT125" s="1"/>
      <c r="CU125" s="1"/>
    </row>
    <row r="126" spans="1:99" s="13" customFormat="1" ht="12" customHeight="1" x14ac:dyDescent="0.2">
      <c r="A126" s="65">
        <v>43916</v>
      </c>
      <c r="B126" s="1"/>
      <c r="C126" s="1"/>
      <c r="D126" s="60"/>
      <c r="E126" s="76"/>
      <c r="F126" s="60"/>
      <c r="G126" s="60"/>
      <c r="H126" s="60"/>
      <c r="I126" s="60"/>
      <c r="J126" s="60"/>
      <c r="K126" s="64"/>
      <c r="L126" s="64"/>
      <c r="M126" s="60"/>
      <c r="N126" s="60"/>
      <c r="O126" s="60"/>
      <c r="P126" s="60"/>
      <c r="Q126" s="60"/>
      <c r="R126" s="60"/>
      <c r="S126" s="60"/>
      <c r="T126" s="59"/>
      <c r="U126" s="60"/>
      <c r="V126" s="59"/>
      <c r="W126" s="60"/>
      <c r="X126" s="60"/>
      <c r="Y126" s="76"/>
      <c r="Z126" s="60"/>
      <c r="AA126" s="60"/>
      <c r="AB126" s="60"/>
      <c r="AC126" s="60"/>
      <c r="AD126" s="60"/>
      <c r="AE126" s="60"/>
      <c r="AF126" s="80"/>
      <c r="AG126" s="56"/>
      <c r="AH126" s="4"/>
      <c r="AI126" s="56"/>
      <c r="AJ126" s="109"/>
      <c r="AK126" s="56"/>
      <c r="AL126" s="56"/>
      <c r="AM126" s="56"/>
      <c r="AN126" s="56"/>
      <c r="AO126" s="82"/>
      <c r="AP126" s="82"/>
      <c r="AQ126" s="82"/>
      <c r="AR126" s="115"/>
      <c r="AS126" s="82"/>
      <c r="AT126" s="82"/>
      <c r="AU126" s="3"/>
      <c r="AV126" s="54">
        <v>1.5</v>
      </c>
      <c r="AW126" s="25">
        <v>3</v>
      </c>
      <c r="AX126" s="25">
        <v>6</v>
      </c>
      <c r="AY126" s="53"/>
      <c r="AZ126" s="53"/>
      <c r="BA126" s="53"/>
      <c r="BB126" s="53"/>
      <c r="BC126" s="53"/>
      <c r="BD126" s="53"/>
      <c r="BE126" s="53"/>
      <c r="BF126" s="53"/>
      <c r="BG126" s="53"/>
      <c r="BH126" s="53"/>
      <c r="BI126" s="53"/>
      <c r="BJ126" s="53"/>
      <c r="BK126" s="53"/>
      <c r="BL126" s="53"/>
      <c r="BM126" s="53"/>
      <c r="BN126" s="53"/>
      <c r="BO126" s="53"/>
      <c r="BP126" s="53"/>
      <c r="BQ126" s="53"/>
      <c r="BR126" s="53"/>
      <c r="BS126" s="53"/>
      <c r="BT126" s="53"/>
      <c r="BU126" s="53"/>
      <c r="BV126" s="53"/>
      <c r="BW126" s="53"/>
      <c r="BX126" s="53"/>
      <c r="BY126" s="53"/>
      <c r="BZ126" s="53"/>
      <c r="CA126" s="53"/>
      <c r="CB126" s="53"/>
      <c r="CC126" s="53"/>
      <c r="CD126" s="53"/>
      <c r="CE126" s="53"/>
      <c r="CF126" s="53"/>
      <c r="CG126" s="53"/>
      <c r="CH126" s="53"/>
      <c r="CI126" s="53"/>
      <c r="CJ126" s="53"/>
      <c r="CK126" s="53"/>
      <c r="CL126" s="53"/>
      <c r="CM126" s="53"/>
      <c r="CN126" s="53"/>
      <c r="CO126" s="53"/>
      <c r="CP126" s="53"/>
      <c r="CQ126" s="53"/>
      <c r="CR126" s="1"/>
      <c r="CS126" s="1"/>
      <c r="CT126" s="1"/>
      <c r="CU126" s="1"/>
    </row>
    <row r="127" spans="1:99" s="13" customFormat="1" ht="12" customHeight="1" x14ac:dyDescent="0.2">
      <c r="A127" s="65">
        <v>43916</v>
      </c>
      <c r="B127" s="1" t="s">
        <v>567</v>
      </c>
      <c r="C127" s="1" t="s">
        <v>45</v>
      </c>
      <c r="D127" s="60">
        <v>2020</v>
      </c>
      <c r="E127" s="76">
        <v>5</v>
      </c>
      <c r="F127" s="60">
        <v>63</v>
      </c>
      <c r="G127" s="60">
        <v>63</v>
      </c>
      <c r="H127" s="60" t="s">
        <v>341</v>
      </c>
      <c r="I127" s="60" t="s">
        <v>782</v>
      </c>
      <c r="J127" s="60" t="s">
        <v>764</v>
      </c>
      <c r="K127" s="60">
        <f>IF(J127="syllables",1,IF(J127="trigrams",2,IF(J127="strings",3,IF(J127="visual array",4,IF(J127="characters",5,IF(J127="letters",6,IF(J127="free forms",7,IF(J127="odors",8,IF(J127="words",9,IF(J127="pictures",10,IF(J127="object pictures",11,IF(J127="faces",12,IF(J127="names",13,IF(J127="idioms",14,IF(J127="grades",15,IF(J127="syllable-digit pairs",16,IF(J127="trigram-word pairs",17,IF(J127="word-digit pairs",18,IF(J127="English-Swahili pairs",19,IF(J127="spatial position",20,IF(J127="word pairs",21,IF(J127="word triads",22,IF(J127="generated words",23,IF(J127="word definition pairs",24,IF(J127="math problems",25,IF(J127="famous faces",26,IF(J127="famous names",27,IF(J127="famous voices",28,IF(J127="television programs",29,IF(J127="race horses",30,IF(J127="new vocabulary",31,IF(J127="sentences",32,IF(J127="concepts",33,IF(J127="ad slides",34,IF(J127="scenes",35,IF(J127="famous scenes",36,IF(J127="poems",37,IF(J127="walk",38,IF(J127="faces and events",39,IF(J127="events and names",40,IF(J127="flashbulb",41,IF(J127="stories",42,IF(J127="course material",43,IF(J127="autobiographical",44,IF(J127="novels",45,IF(J127="public events",46,"99"))))))))))))))))))))))))))))))))))))))))))))))</f>
        <v>4</v>
      </c>
      <c r="L127" s="60">
        <f>IF(J127="syllables",1,IF(J127="trigrams",1,IF(J127="strings",1,IF(J127="visual array",1,IF(J127="characters",1,IF(J127="letters",1,IF(J127="free forms",1,IF(J127="odors",2,IF(J127="words",2,IF(J127="pictures",2,IF(J127="object pictures",2,IF(J127="faces",2,IF(J127="names",2,IF(J127="idioms","2",IF(J127="grades",2,IF(J127="syllable-digit pairs",3,IF(J127="trigram-word pairs",3,IF(J127="word-digit pairs",3,IF(J127="English-Swahili pairs",3,IF(J127="spatial position",3,IF(J127="word pairs",4,IF(J127="word triads",4,IF(J127="generated words",4,IF(J127="word definition pairs",4,IF(J127="math problems",4,IF(J127="famous faces",4,IF(J127="famous names",4,IF(J127="famous voices",4,IF(J127="television programs",4,IF(J127="race horses",4,IF(J127="new vocabulary",4,IF(J127="sentences",5,IF(J127="concepts",5,IF(J127="ad slides",5,IF(J127="scenes",5,IF(J127="famous scenes",5,IF(J127="poems",6,IF(J127="walk",6,IF(J127="faces and events",6,IF(J127="events and names",6,IF(J127="flashbulb",7,IF(J127="stories",7,IF(J127="course material",7,IF(J127="autobiographical",7,IF(J127="novels",7,IF(J127="public events",7,"99"))))))))))))))))))))))))))))))))))))))))))))))</f>
        <v>1</v>
      </c>
      <c r="M127" s="60">
        <v>0</v>
      </c>
      <c r="N127" s="60">
        <v>1</v>
      </c>
      <c r="O127" s="60">
        <v>0</v>
      </c>
      <c r="P127" s="60"/>
      <c r="Q127" s="60" t="s">
        <v>174</v>
      </c>
      <c r="R127" s="60">
        <f>IF(Q127="Free Recall",1,IF(Q127="Cued Recall",2,IF(Q127="Recognition",3,IF(Q127="Multiple Choice",4,IF(Q127="Savings",5,IF(Q127="Stem Completion",6,IF(Q127="Fragment Completion",7,IF(Q127="anagram solution",8,IF(Q127="Matching",9,IF(Q127="Problem Solving",10,"99"))))))))))</f>
        <v>1</v>
      </c>
      <c r="S127" s="60" t="s">
        <v>49</v>
      </c>
      <c r="T127" s="59" t="s">
        <v>581</v>
      </c>
      <c r="U127" s="60">
        <f>IF(T127="within",1,0)</f>
        <v>1</v>
      </c>
      <c r="V127" s="59">
        <v>108</v>
      </c>
      <c r="W127" s="60">
        <f>F127*V127</f>
        <v>6804</v>
      </c>
      <c r="X127" s="60">
        <v>3</v>
      </c>
      <c r="Y127" s="76">
        <f>AV126</f>
        <v>1.5</v>
      </c>
      <c r="Z127" s="60" t="s">
        <v>39</v>
      </c>
      <c r="AA127" s="60">
        <v>6</v>
      </c>
      <c r="AB127" s="60" t="str">
        <f>IF(AA127&lt;60,"1",IF(AA127&lt;=43200,"2",IF(AA127&lt;=777600,"3","4")))</f>
        <v>1</v>
      </c>
      <c r="AC127" s="56">
        <f>AVERAGE(AV126:DA126)</f>
        <v>3.5</v>
      </c>
      <c r="AD127" s="60" t="str">
        <f>IF(AC127&lt;60,"1",IF(AC127&lt;=43200,"2",IF(AC127&lt;=777600,"3","4")))</f>
        <v>1</v>
      </c>
      <c r="AE127" s="76">
        <f>AA127-Y127</f>
        <v>4.5</v>
      </c>
      <c r="AF127" s="80">
        <f>AV127</f>
        <v>0.68</v>
      </c>
      <c r="AG127" s="56">
        <f>((AW127-AV127)+(AX127-AW127))/2</f>
        <v>-3.0000000000000027E-2</v>
      </c>
      <c r="AH127" s="4"/>
      <c r="AI127" s="56">
        <f>RSQ(AV127:AX127,AV126:AX126)</f>
        <v>1</v>
      </c>
      <c r="AJ127" s="109">
        <f>SLOPE(AV127:AX127,AV126:AX126)</f>
        <v>-1.3333333333333345E-2</v>
      </c>
      <c r="AK127" s="56">
        <f>INTERCEPT(AV127:AX127,AV126:AX126)</f>
        <v>0.70000000000000007</v>
      </c>
      <c r="AL127" s="56">
        <f>INDEX(LINEST(LN(AV127:AX127),LN(AV126:AX126),TRUE,TRUE),3,1)</f>
        <v>0.95998002515107472</v>
      </c>
      <c r="AM127" s="56">
        <f>INDEX(LINEST(LN(AV127:AX127),LN(AV126:AX126)),1)</f>
        <v>-6.6633265431732133E-2</v>
      </c>
      <c r="AN127" s="56">
        <f>EXP(INDEX(LINEST(LN(AV127:AX127),LN(AV126:AX126)),1,2))</f>
        <v>0.70243637518924396</v>
      </c>
      <c r="AO127" s="82">
        <f>INDEX(LINEST((AV127:AX127),LN(AV126:AX126),TRUE,TRUE),3,1)</f>
        <v>0.9642857142857143</v>
      </c>
      <c r="AP127" s="82">
        <f>INDEX(LINEST((AV127:AX127),LN(AV126:AX126)),1)</f>
        <v>-4.3280851226668929E-2</v>
      </c>
      <c r="AQ127" s="83">
        <f>INDEX(LINEST(LN(AV127:AX127),SQRT(AV126:AX126),TRUE,TRUE),3,1)</f>
        <v>0.98949517653137298</v>
      </c>
      <c r="AR127" s="116">
        <f>INDEX(LINEST(LN(AV127:AX127),SQRT((AV126:AX126))),1)</f>
        <v>-7.6200235431872779E-2</v>
      </c>
      <c r="AS127" s="84">
        <f>INDEX(LINEST(1/(AV127:AX127),1/(SQRT(AV126:AX126)),TRUE,TRUE),3,1)</f>
        <v>0.90620897562480529</v>
      </c>
      <c r="AT127" s="84">
        <f>INDEX(LINEST(1/(AV127:AX127),1/SQRT(AV126:AX126)),1)</f>
        <v>-0.33783305432160798</v>
      </c>
      <c r="AU127" s="3"/>
      <c r="AV127" s="53">
        <v>0.68</v>
      </c>
      <c r="AW127" s="53">
        <v>0.66</v>
      </c>
      <c r="AX127" s="53">
        <v>0.62</v>
      </c>
      <c r="AY127" s="53"/>
      <c r="AZ127" s="53"/>
      <c r="BA127" s="53"/>
      <c r="BB127" s="53"/>
      <c r="BC127" s="53"/>
      <c r="BD127" s="53"/>
      <c r="BE127" s="53"/>
      <c r="BF127" s="53"/>
      <c r="BG127" s="53"/>
      <c r="BH127" s="53"/>
      <c r="BI127" s="53"/>
      <c r="BJ127" s="53"/>
      <c r="BK127" s="53"/>
      <c r="BL127" s="53"/>
      <c r="BM127" s="53"/>
      <c r="BN127" s="53"/>
      <c r="BO127" s="53"/>
      <c r="BP127" s="53"/>
      <c r="BQ127" s="53"/>
      <c r="BR127" s="53"/>
      <c r="BS127" s="53"/>
      <c r="BT127" s="53"/>
      <c r="BU127" s="53"/>
      <c r="BV127" s="53"/>
      <c r="BW127" s="53"/>
      <c r="BX127" s="53"/>
      <c r="BY127" s="53"/>
      <c r="BZ127" s="53"/>
      <c r="CA127" s="53"/>
      <c r="CB127" s="53"/>
      <c r="CC127" s="53"/>
      <c r="CD127" s="53"/>
      <c r="CE127" s="53"/>
      <c r="CF127" s="53"/>
      <c r="CG127" s="53"/>
      <c r="CH127" s="53"/>
      <c r="CI127" s="53"/>
      <c r="CJ127" s="53"/>
      <c r="CK127" s="53"/>
      <c r="CL127" s="53"/>
      <c r="CM127" s="53"/>
      <c r="CN127" s="53"/>
      <c r="CO127" s="53"/>
      <c r="CP127" s="53"/>
      <c r="CQ127" s="53"/>
      <c r="CR127" s="1"/>
      <c r="CS127" s="1"/>
      <c r="CT127" s="1"/>
      <c r="CU127" s="1"/>
    </row>
    <row r="128" spans="1:99" s="13" customFormat="1" ht="12" customHeight="1" x14ac:dyDescent="0.2">
      <c r="A128" s="65">
        <v>43916</v>
      </c>
      <c r="B128" s="1"/>
      <c r="C128" s="1"/>
      <c r="D128" s="60"/>
      <c r="E128" s="76"/>
      <c r="F128" s="60"/>
      <c r="G128" s="60"/>
      <c r="H128" s="60"/>
      <c r="I128" s="60"/>
      <c r="J128" s="60"/>
      <c r="K128" s="64"/>
      <c r="L128" s="64"/>
      <c r="M128" s="60"/>
      <c r="N128" s="60"/>
      <c r="O128" s="60"/>
      <c r="P128" s="60"/>
      <c r="Q128" s="60"/>
      <c r="R128" s="60"/>
      <c r="S128" s="60"/>
      <c r="T128" s="59"/>
      <c r="U128" s="60"/>
      <c r="V128" s="59"/>
      <c r="W128" s="60"/>
      <c r="X128" s="60"/>
      <c r="Y128" s="76"/>
      <c r="Z128" s="60"/>
      <c r="AA128" s="60"/>
      <c r="AB128" s="60"/>
      <c r="AC128" s="60"/>
      <c r="AD128" s="60"/>
      <c r="AE128" s="60"/>
      <c r="AF128" s="80"/>
      <c r="AG128" s="56"/>
      <c r="AH128" s="4"/>
      <c r="AI128" s="56"/>
      <c r="AJ128" s="109"/>
      <c r="AK128" s="56"/>
      <c r="AL128" s="56"/>
      <c r="AM128" s="56"/>
      <c r="AN128" s="56"/>
      <c r="AO128" s="82"/>
      <c r="AP128" s="82"/>
      <c r="AQ128" s="82"/>
      <c r="AR128" s="115"/>
      <c r="AS128" s="82"/>
      <c r="AT128" s="82"/>
      <c r="AU128" s="3"/>
      <c r="AV128" s="54">
        <v>1.5</v>
      </c>
      <c r="AW128" s="25">
        <v>3</v>
      </c>
      <c r="AX128" s="25">
        <v>6</v>
      </c>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53"/>
      <c r="CD128" s="53"/>
      <c r="CE128" s="53"/>
      <c r="CF128" s="53"/>
      <c r="CG128" s="53"/>
      <c r="CH128" s="53"/>
      <c r="CI128" s="53"/>
      <c r="CJ128" s="53"/>
      <c r="CK128" s="53"/>
      <c r="CL128" s="53"/>
      <c r="CM128" s="53"/>
      <c r="CN128" s="53"/>
      <c r="CO128" s="53"/>
      <c r="CP128" s="53"/>
      <c r="CQ128" s="53"/>
      <c r="CR128" s="1"/>
      <c r="CS128" s="1"/>
      <c r="CT128" s="1"/>
      <c r="CU128" s="1"/>
    </row>
    <row r="129" spans="1:99" s="13" customFormat="1" ht="12" customHeight="1" x14ac:dyDescent="0.2">
      <c r="A129" s="65">
        <v>43916</v>
      </c>
      <c r="B129" s="1" t="s">
        <v>567</v>
      </c>
      <c r="C129" s="1" t="s">
        <v>45</v>
      </c>
      <c r="D129" s="60">
        <v>2020</v>
      </c>
      <c r="E129" s="76">
        <v>5</v>
      </c>
      <c r="F129" s="60">
        <v>63</v>
      </c>
      <c r="G129" s="60">
        <v>63</v>
      </c>
      <c r="H129" s="60" t="s">
        <v>341</v>
      </c>
      <c r="I129" s="60" t="s">
        <v>783</v>
      </c>
      <c r="J129" s="60" t="s">
        <v>764</v>
      </c>
      <c r="K129" s="60">
        <f>IF(J129="syllables",1,IF(J129="trigrams",2,IF(J129="strings",3,IF(J129="visual array",4,IF(J129="characters",5,IF(J129="letters",6,IF(J129="free forms",7,IF(J129="odors",8,IF(J129="words",9,IF(J129="pictures",10,IF(J129="object pictures",11,IF(J129="faces",12,IF(J129="names",13,IF(J129="idioms",14,IF(J129="grades",15,IF(J129="syllable-digit pairs",16,IF(J129="trigram-word pairs",17,IF(J129="word-digit pairs",18,IF(J129="English-Swahili pairs",19,IF(J129="spatial position",20,IF(J129="word pairs",21,IF(J129="word triads",22,IF(J129="generated words",23,IF(J129="word definition pairs",24,IF(J129="math problems",25,IF(J129="famous faces",26,IF(J129="famous names",27,IF(J129="famous voices",28,IF(J129="television programs",29,IF(J129="race horses",30,IF(J129="new vocabulary",31,IF(J129="sentences",32,IF(J129="concepts",33,IF(J129="ad slides",34,IF(J129="scenes",35,IF(J129="famous scenes",36,IF(J129="poems",37,IF(J129="walk",38,IF(J129="faces and events",39,IF(J129="events and names",40,IF(J129="flashbulb",41,IF(J129="stories",42,IF(J129="course material",43,IF(J129="autobiographical",44,IF(J129="novels",45,IF(J129="public events",46,"99"))))))))))))))))))))))))))))))))))))))))))))))</f>
        <v>4</v>
      </c>
      <c r="L129" s="60">
        <f>IF(J129="syllables",1,IF(J129="trigrams",1,IF(J129="strings",1,IF(J129="visual array",1,IF(J129="characters",1,IF(J129="letters",1,IF(J129="free forms",1,IF(J129="odors",2,IF(J129="words",2,IF(J129="pictures",2,IF(J129="object pictures",2,IF(J129="faces",2,IF(J129="names",2,IF(J129="idioms","2",IF(J129="grades",2,IF(J129="syllable-digit pairs",3,IF(J129="trigram-word pairs",3,IF(J129="word-digit pairs",3,IF(J129="English-Swahili pairs",3,IF(J129="spatial position",3,IF(J129="word pairs",4,IF(J129="word triads",4,IF(J129="generated words",4,IF(J129="word definition pairs",4,IF(J129="math problems",4,IF(J129="famous faces",4,IF(J129="famous names",4,IF(J129="famous voices",4,IF(J129="television programs",4,IF(J129="race horses",4,IF(J129="new vocabulary",4,IF(J129="sentences",5,IF(J129="concepts",5,IF(J129="ad slides",5,IF(J129="scenes",5,IF(J129="famous scenes",5,IF(J129="poems",6,IF(J129="walk",6,IF(J129="faces and events",6,IF(J129="events and names",6,IF(J129="flashbulb",7,IF(J129="stories",7,IF(J129="course material",7,IF(J129="autobiographical",7,IF(J129="novels",7,IF(J129="public events",7,"99"))))))))))))))))))))))))))))))))))))))))))))))</f>
        <v>1</v>
      </c>
      <c r="M129" s="60">
        <v>0</v>
      </c>
      <c r="N129" s="60">
        <v>1</v>
      </c>
      <c r="O129" s="60">
        <v>0</v>
      </c>
      <c r="P129" s="60"/>
      <c r="Q129" s="60" t="s">
        <v>174</v>
      </c>
      <c r="R129" s="60">
        <f>IF(Q129="Free Recall",1,IF(Q129="Cued Recall",2,IF(Q129="Recognition",3,IF(Q129="Multiple Choice",4,IF(Q129="Savings",5,IF(Q129="Stem Completion",6,IF(Q129="Fragment Completion",7,IF(Q129="anagram solution",8,IF(Q129="Matching",9,IF(Q129="Problem Solving",10,"99"))))))))))</f>
        <v>1</v>
      </c>
      <c r="S129" s="60" t="s">
        <v>49</v>
      </c>
      <c r="T129" s="59" t="s">
        <v>581</v>
      </c>
      <c r="U129" s="60">
        <f>IF(T129="within",1,0)</f>
        <v>1</v>
      </c>
      <c r="V129" s="59">
        <v>108</v>
      </c>
      <c r="W129" s="60">
        <f>F129*V129</f>
        <v>6804</v>
      </c>
      <c r="X129" s="60">
        <v>3</v>
      </c>
      <c r="Y129" s="76">
        <f>AV128</f>
        <v>1.5</v>
      </c>
      <c r="Z129" s="60" t="s">
        <v>39</v>
      </c>
      <c r="AA129" s="60">
        <v>6</v>
      </c>
      <c r="AB129" s="60" t="str">
        <f>IF(AA129&lt;60,"1",IF(AA129&lt;=43200,"2",IF(AA129&lt;=777600,"3","4")))</f>
        <v>1</v>
      </c>
      <c r="AC129" s="56">
        <f>AVERAGE(AV128:DA128)</f>
        <v>3.5</v>
      </c>
      <c r="AD129" s="60" t="str">
        <f>IF(AC129&lt;60,"1",IF(AC129&lt;=43200,"2",IF(AC129&lt;=777600,"3","4")))</f>
        <v>1</v>
      </c>
      <c r="AE129" s="76">
        <f>AA129-Y129</f>
        <v>4.5</v>
      </c>
      <c r="AF129" s="80">
        <f>AV129</f>
        <v>0.66</v>
      </c>
      <c r="AG129" s="56">
        <f>((AW129-AV129)+(AX129-AW129))/2</f>
        <v>-2.0000000000000018E-2</v>
      </c>
      <c r="AH129" s="4"/>
      <c r="AI129" s="56">
        <f>RSQ(AV129:AX129,AV128:AX128)</f>
        <v>0.9642857142857143</v>
      </c>
      <c r="AJ129" s="109">
        <f>SLOPE(AV129:AX129,AV128:AX128)</f>
        <v>-8.5714285714285788E-3</v>
      </c>
      <c r="AK129" s="56">
        <f>INTERCEPT(AV129:AX129,AV128:AX128)</f>
        <v>0.67</v>
      </c>
      <c r="AL129" s="56">
        <f>INDEX(LINEST(LN(AV129:AX129),LN(AV128:AX128),TRUE,TRUE),3,1)</f>
        <v>0.99991859991298915</v>
      </c>
      <c r="AM129" s="56">
        <f>INDEX(LINEST(LN(AV129:AX129),LN(AV128:AX128)),1)</f>
        <v>-4.5098904485789126E-2</v>
      </c>
      <c r="AN129" s="56">
        <f>EXP(INDEX(LINEST(LN(AV129:AX129),LN(AV128:AX128)),1,2))</f>
        <v>0.67228926861097171</v>
      </c>
      <c r="AO129" s="82">
        <f>INDEX(LINEST((AV129:AX129),LN(AV128:AX128),TRUE,TRUE),3,1)</f>
        <v>1</v>
      </c>
      <c r="AP129" s="82">
        <f>INDEX(LINEST((AV129:AX129),LN(AV128:AX128)),1)</f>
        <v>-2.8853900817779294E-2</v>
      </c>
      <c r="AQ129" s="83">
        <f>INDEX(LINEST(LN(AV129:AX129),SQRT(AV128:AX128),TRUE,TRUE),3,1)</f>
        <v>0.99197310765473767</v>
      </c>
      <c r="AR129" s="116">
        <f>INDEX(LINEST(LN(AV129:AX129),SQRT((AV128:AX128))),1)</f>
        <v>-5.0596804817391663E-2</v>
      </c>
      <c r="AS129" s="84">
        <f>INDEX(LINEST(1/(AV129:AX129),1/(SQRT(AV128:AX128)),TRUE,TRUE),3,1)</f>
        <v>0.98642529001912516</v>
      </c>
      <c r="AT129" s="84">
        <f>INDEX(LINEST(1/(AV129:AX129),1/SQRT(AV128:AX128)),1)</f>
        <v>-0.23669136360171308</v>
      </c>
      <c r="AU129" s="3"/>
      <c r="AV129" s="53">
        <v>0.66</v>
      </c>
      <c r="AW129" s="53">
        <v>0.64</v>
      </c>
      <c r="AX129" s="53">
        <v>0.62</v>
      </c>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53"/>
      <c r="CI129" s="53"/>
      <c r="CJ129" s="53"/>
      <c r="CK129" s="53"/>
      <c r="CL129" s="53"/>
      <c r="CM129" s="53"/>
      <c r="CN129" s="53"/>
      <c r="CO129" s="53"/>
      <c r="CP129" s="53"/>
      <c r="CQ129" s="53"/>
      <c r="CR129" s="1"/>
      <c r="CS129" s="1"/>
      <c r="CT129" s="1"/>
      <c r="CU129" s="1"/>
    </row>
    <row r="130" spans="1:99" s="13" customFormat="1" ht="12" customHeight="1" x14ac:dyDescent="0.2">
      <c r="A130" s="65">
        <v>43897</v>
      </c>
      <c r="B130" s="22"/>
      <c r="C130" s="1"/>
      <c r="D130" s="60"/>
      <c r="E130" s="76"/>
      <c r="F130" s="60"/>
      <c r="G130" s="60"/>
      <c r="H130" s="60"/>
      <c r="I130" s="60"/>
      <c r="J130" s="60"/>
      <c r="K130" s="64"/>
      <c r="L130" s="64"/>
      <c r="M130" s="60"/>
      <c r="N130" s="61"/>
      <c r="O130" s="60"/>
      <c r="P130" s="60"/>
      <c r="Q130" s="60"/>
      <c r="R130" s="60"/>
      <c r="S130" s="60"/>
      <c r="T130" s="59"/>
      <c r="U130" s="60"/>
      <c r="V130" s="59"/>
      <c r="W130" s="60"/>
      <c r="X130" s="60"/>
      <c r="Y130" s="76"/>
      <c r="Z130" s="60"/>
      <c r="AA130" s="60"/>
      <c r="AB130" s="60"/>
      <c r="AC130" s="56"/>
      <c r="AD130" s="60"/>
      <c r="AE130" s="60"/>
      <c r="AF130" s="80"/>
      <c r="AG130" s="56"/>
      <c r="AH130" s="4"/>
      <c r="AI130" s="56"/>
      <c r="AJ130" s="109"/>
      <c r="AK130" s="56"/>
      <c r="AL130" s="56"/>
      <c r="AM130" s="56"/>
      <c r="AN130" s="56"/>
      <c r="AO130" s="82"/>
      <c r="AP130" s="82"/>
      <c r="AQ130" s="83"/>
      <c r="AR130" s="116"/>
      <c r="AS130" s="84"/>
      <c r="AT130" s="84"/>
      <c r="AU130" s="3"/>
      <c r="AV130" s="53">
        <v>0.01</v>
      </c>
      <c r="AW130" s="25">
        <v>3</v>
      </c>
      <c r="AX130" s="25">
        <v>9</v>
      </c>
      <c r="AY130" s="25">
        <v>18</v>
      </c>
      <c r="AZ130" s="53"/>
      <c r="BA130" s="53"/>
      <c r="BB130" s="53"/>
      <c r="BC130" s="53"/>
      <c r="BD130" s="53"/>
      <c r="BE130" s="53"/>
      <c r="BF130" s="53"/>
      <c r="BG130" s="53"/>
      <c r="BH130" s="53"/>
      <c r="BI130" s="53"/>
      <c r="BJ130" s="53"/>
      <c r="BK130" s="53"/>
      <c r="BL130" s="53"/>
      <c r="BM130" s="53"/>
      <c r="BN130" s="53"/>
      <c r="BO130" s="53"/>
      <c r="BP130" s="53"/>
      <c r="BQ130" s="53"/>
      <c r="BR130" s="53"/>
      <c r="BS130" s="53"/>
      <c r="BT130" s="53"/>
      <c r="BU130" s="53"/>
      <c r="BV130" s="53"/>
      <c r="BW130" s="53"/>
      <c r="BX130" s="53"/>
      <c r="BY130" s="53"/>
      <c r="BZ130" s="53"/>
      <c r="CA130" s="53"/>
      <c r="CB130" s="53"/>
      <c r="CC130" s="53"/>
      <c r="CD130" s="53"/>
      <c r="CE130" s="53"/>
      <c r="CF130" s="53"/>
      <c r="CG130" s="53"/>
      <c r="CH130" s="53"/>
      <c r="CI130" s="53"/>
      <c r="CJ130" s="53"/>
      <c r="CK130" s="53"/>
      <c r="CL130" s="53"/>
      <c r="CM130" s="53"/>
      <c r="CN130" s="53"/>
      <c r="CO130" s="53"/>
      <c r="CP130" s="53"/>
      <c r="CQ130" s="53"/>
      <c r="CR130" s="1"/>
      <c r="CS130" s="1"/>
      <c r="CT130" s="1"/>
      <c r="CU130" s="1"/>
    </row>
    <row r="131" spans="1:99" s="13" customFormat="1" ht="12" customHeight="1" x14ac:dyDescent="0.2">
      <c r="A131" s="65">
        <v>43897</v>
      </c>
      <c r="B131" s="22" t="s">
        <v>411</v>
      </c>
      <c r="C131" s="22" t="s">
        <v>54</v>
      </c>
      <c r="D131" s="66">
        <v>1978</v>
      </c>
      <c r="E131" s="76">
        <v>1</v>
      </c>
      <c r="F131" s="60">
        <v>10</v>
      </c>
      <c r="G131" s="60">
        <v>10</v>
      </c>
      <c r="H131" s="60" t="s">
        <v>50</v>
      </c>
      <c r="I131" s="60" t="s">
        <v>330</v>
      </c>
      <c r="J131" s="60" t="s">
        <v>443</v>
      </c>
      <c r="K131" s="60">
        <f>IF(J131="syllables",1,IF(J131="trigrams",2,IF(J131="strings",3,IF(J131="visual array",4,IF(J131="characters",5,IF(J131="letters",6,IF(J131="free forms",7,IF(J131="odors",8,IF(J131="words",9,IF(J131="pictures",10,IF(J131="object pictures",11,IF(J131="faces",12,IF(J131="names",13,IF(J131="idioms",14,IF(J131="grades",15,IF(J131="syllable-digit pairs",16,IF(J131="trigram-word pairs",17,IF(J131="word-digit pairs",18,IF(J131="English-Swahili pairs",19,IF(J131="spatial position",20,IF(J131="word pairs",21,IF(J131="word triads",22,IF(J131="generated words",23,IF(J131="word definition pairs",24,IF(J131="math problems",25,IF(J131="famous faces",26,IF(J131="famous names",27,IF(J131="famous voices",28,IF(J131="television programs",29,IF(J131="race horses",30,IF(J131="new vocabulary",31,IF(J131="sentences",32,IF(J131="concepts",33,IF(J131="ad slides",34,IF(J131="scenes",35,IF(J131="famous scenes",36,IF(J131="poems",37,IF(J131="walk",38,IF(J131="faces and events",39,IF(J131="events and names",40,IF(J131="flashbulb",41,IF(J131="stories",42,IF(J131="course material",43,IF(J131="autobiographical",44,IF(J131="novels",45,IF(J131="public events",46,"99"))))))))))))))))))))))))))))))))))))))))))))))</f>
        <v>2</v>
      </c>
      <c r="L131" s="60">
        <f>IF(J131="syllables",1,IF(J131="trigrams",1,IF(J131="strings",1,IF(J131="visual array",1,IF(J131="characters",1,IF(J131="letters",1,IF(J131="free forms",1,IF(J131="odors",2,IF(J131="words",2,IF(J131="pictures",2,IF(J131="object pictures",2,IF(J131="faces",2,IF(J131="names",2,IF(J131="idioms","2",IF(J131="grades",2,IF(J131="syllable-digit pairs",3,IF(J131="trigram-word pairs",3,IF(J131="word-digit pairs",3,IF(J131="English-Swahili pairs",3,IF(J131="spatial position",3,IF(J131="word pairs",4,IF(J131="word triads",4,IF(J131="generated words",4,IF(J131="word definition pairs",4,IF(J131="math problems",4,IF(J131="famous faces",4,IF(J131="famous names",4,IF(J131="famous voices",4,IF(J131="television programs",4,IF(J131="race horses",4,IF(J131="new vocabulary",4,IF(J131="sentences",5,IF(J131="concepts",5,IF(J131="ad slides",5,IF(J131="scenes",5,IF(J131="famous scenes",5,IF(J131="poems",6,IF(J131="walk",6,IF(J131="faces and events",6,IF(J131="events and names",6,IF(J131="flashbulb",7,IF(J131="stories",7,IF(J131="course material",7,IF(J131="autobiographical",7,IF(J131="novels",7,IF(J131="public events",7,"99"))))))))))))))))))))))))))))))))))))))))))))))</f>
        <v>1</v>
      </c>
      <c r="M131" s="60">
        <v>0</v>
      </c>
      <c r="N131" s="61">
        <v>1</v>
      </c>
      <c r="O131" s="60">
        <v>1</v>
      </c>
      <c r="P131" s="60"/>
      <c r="Q131" s="60" t="s">
        <v>174</v>
      </c>
      <c r="R131" s="60">
        <f>IF(Q131="Free Recall",1,IF(Q131="Cued Recall",2,IF(Q131="Recognition",3,IF(Q131="Multiple Choice",4,IF(Q131="Savings",5,IF(Q131="Stem Completion",6,IF(Q131="Fragment Completion",7,IF(Q131="anagram solution",8,IF(Q131="Matching",9,IF(Q131="Problem Solving",10,"99"))))))))))</f>
        <v>1</v>
      </c>
      <c r="S131" s="60" t="s">
        <v>15</v>
      </c>
      <c r="T131" s="59" t="s">
        <v>581</v>
      </c>
      <c r="U131" s="60">
        <f>IF(T131="within",1,0)</f>
        <v>1</v>
      </c>
      <c r="V131" s="59">
        <v>32</v>
      </c>
      <c r="W131" s="60">
        <f>F131*V131</f>
        <v>320</v>
      </c>
      <c r="X131" s="60">
        <v>4</v>
      </c>
      <c r="Y131" s="76">
        <f>AV130</f>
        <v>0.01</v>
      </c>
      <c r="Z131" s="60" t="s">
        <v>28</v>
      </c>
      <c r="AA131" s="60">
        <v>18</v>
      </c>
      <c r="AB131" s="60" t="str">
        <f>IF(AA131&lt;60,"1",IF(AA131&lt;=43200,"2",IF(AA131&lt;=777600,"3","4")))</f>
        <v>1</v>
      </c>
      <c r="AC131" s="56">
        <f>AVERAGE(AV130:DA130)</f>
        <v>7.5024999999999995</v>
      </c>
      <c r="AD131" s="60" t="str">
        <f>IF(AC131&lt;60,"1",IF(AC131&lt;=43200,"2",IF(AC131&lt;=777600,"3","4")))</f>
        <v>1</v>
      </c>
      <c r="AE131" s="76">
        <f>AA131-Y131</f>
        <v>17.989999999999998</v>
      </c>
      <c r="AF131" s="80">
        <f>AV131</f>
        <v>0.99</v>
      </c>
      <c r="AG131" s="56">
        <f>((AW131-AV131)+(AX131-AW131)+(AY131-AX131))/3</f>
        <v>-5.9999999999999977E-2</v>
      </c>
      <c r="AH131" s="4"/>
      <c r="AI131" s="56">
        <f>RSQ(AV131:AY131,AV130:AY130)</f>
        <v>0.71224467162972138</v>
      </c>
      <c r="AJ131" s="109">
        <f>SLOPE(AV131:AY131,AV130:AY130)</f>
        <v>-1.0399386921080115E-2</v>
      </c>
      <c r="AK131" s="56">
        <f>INTERCEPT(AV131:AY131,AV130:AY130)</f>
        <v>0.96052140037540346</v>
      </c>
      <c r="AL131" s="56">
        <f>INDEX(LINEST(LN(AV131:AY131),LN(AV130:AY130),TRUE,TRUE),3,1)</f>
        <v>0.69362640900125294</v>
      </c>
      <c r="AM131" s="56">
        <f>INDEX(LINEST(LN(AV131:AY131),LN(AV130:AY130)),1)</f>
        <v>-2.6987568669954182E-2</v>
      </c>
      <c r="AN131" s="56">
        <f>EXP(INDEX(LINEST(LN(AV131:AY131),LN(AV130:AY130)),1,2))</f>
        <v>0.8878742288057252</v>
      </c>
      <c r="AO131" s="82">
        <f>INDEX(LINEST((AV131:AY131),LN(AV130:AY130),TRUE,TRUE),3,1)</f>
        <v>0.71148462142574109</v>
      </c>
      <c r="AP131" s="82">
        <f>INDEX(LINEST((AV131:AY131),LN(AV130:AY130)),1)</f>
        <v>-2.4153291012754471E-2</v>
      </c>
      <c r="AQ131" s="83">
        <f>INDEX(LINEST(LN(AV131:AY131),SQRT(AV130:AY130),TRUE,TRUE),3,1)</f>
        <v>0.82212104362828831</v>
      </c>
      <c r="AR131" s="116">
        <f>INDEX(LINEST(LN(AV131:AY131),SQRT((AV130:AY130))),1)</f>
        <v>-5.6603601646302834E-2</v>
      </c>
      <c r="AS131" s="84">
        <f>INDEX(LINEST(1/(AV131:AY131),1/(SQRT(AV130:AY130)),TRUE,TRUE),3,1)</f>
        <v>0.52830032955316664</v>
      </c>
      <c r="AT131" s="84">
        <f>INDEX(LINEST(1/(AV131:AY131),1/SQRT(AV130:AY130)),1)</f>
        <v>-1.8989822798779931E-2</v>
      </c>
      <c r="AU131" s="3"/>
      <c r="AV131" s="53">
        <v>0.99</v>
      </c>
      <c r="AW131" s="53">
        <v>0.94</v>
      </c>
      <c r="AX131" s="53">
        <v>0.79</v>
      </c>
      <c r="AY131" s="53">
        <v>0.81</v>
      </c>
      <c r="AZ131" s="53"/>
      <c r="BA131" s="53"/>
      <c r="BB131" s="53"/>
      <c r="BC131" s="53"/>
      <c r="BD131" s="53"/>
      <c r="BE131" s="53"/>
      <c r="BF131" s="53"/>
      <c r="BG131" s="53"/>
      <c r="BH131" s="53"/>
      <c r="BI131" s="53"/>
      <c r="BJ131" s="53"/>
      <c r="BK131" s="53"/>
      <c r="BL131" s="53"/>
      <c r="BM131" s="53"/>
      <c r="BN131" s="53"/>
      <c r="BO131" s="53"/>
      <c r="BP131" s="53"/>
      <c r="BQ131" s="53"/>
      <c r="BR131" s="53"/>
      <c r="BS131" s="53"/>
      <c r="BT131" s="53"/>
      <c r="BU131" s="53"/>
      <c r="BV131" s="53"/>
      <c r="BW131" s="53"/>
      <c r="BX131" s="53"/>
      <c r="BY131" s="53"/>
      <c r="BZ131" s="53"/>
      <c r="CA131" s="53"/>
      <c r="CB131" s="53"/>
      <c r="CC131" s="53"/>
      <c r="CD131" s="53"/>
      <c r="CE131" s="53"/>
      <c r="CF131" s="53"/>
      <c r="CG131" s="53"/>
      <c r="CH131" s="53"/>
      <c r="CI131" s="53"/>
      <c r="CJ131" s="53"/>
      <c r="CK131" s="53"/>
      <c r="CL131" s="53"/>
      <c r="CM131" s="53"/>
      <c r="CN131" s="53"/>
      <c r="CO131" s="53"/>
      <c r="CP131" s="53"/>
      <c r="CQ131" s="53"/>
      <c r="CR131" s="1"/>
      <c r="CS131" s="1"/>
      <c r="CT131" s="1"/>
      <c r="CU131" s="1"/>
    </row>
    <row r="132" spans="1:99" s="13" customFormat="1" ht="12" customHeight="1" x14ac:dyDescent="0.2">
      <c r="A132" s="68">
        <v>43509</v>
      </c>
      <c r="B132" s="70"/>
      <c r="C132" s="70"/>
      <c r="D132" s="69"/>
      <c r="E132" s="87"/>
      <c r="F132" s="69"/>
      <c r="G132" s="69"/>
      <c r="H132" s="69"/>
      <c r="I132" s="69"/>
      <c r="J132" s="69"/>
      <c r="K132" s="107"/>
      <c r="L132" s="107"/>
      <c r="M132" s="69"/>
      <c r="N132" s="69"/>
      <c r="O132" s="69"/>
      <c r="P132" s="69"/>
      <c r="Q132" s="69"/>
      <c r="R132" s="69"/>
      <c r="S132" s="69"/>
      <c r="T132" s="69"/>
      <c r="U132" s="60"/>
      <c r="V132" s="69"/>
      <c r="W132" s="69"/>
      <c r="X132" s="86"/>
      <c r="Y132" s="87"/>
      <c r="Z132" s="69"/>
      <c r="AA132" s="69"/>
      <c r="AB132" s="69"/>
      <c r="AC132" s="69"/>
      <c r="AD132" s="69"/>
      <c r="AE132" s="69"/>
      <c r="AF132" s="88"/>
      <c r="AG132" s="72"/>
      <c r="AH132" s="4"/>
      <c r="AI132" s="72"/>
      <c r="AJ132" s="110"/>
      <c r="AK132" s="72"/>
      <c r="AL132" s="72"/>
      <c r="AM132" s="72"/>
      <c r="AN132" s="72"/>
      <c r="AO132" s="72"/>
      <c r="AP132" s="72"/>
      <c r="AQ132" s="89"/>
      <c r="AR132" s="118"/>
      <c r="AS132" s="89"/>
      <c r="AT132" s="89"/>
      <c r="AU132" s="4"/>
      <c r="AV132" s="71">
        <v>1</v>
      </c>
      <c r="AW132" s="71">
        <v>3</v>
      </c>
      <c r="AX132" s="71">
        <v>6</v>
      </c>
      <c r="AY132" s="71">
        <v>10</v>
      </c>
      <c r="AZ132" s="71">
        <v>15</v>
      </c>
      <c r="BA132" s="71">
        <v>25</v>
      </c>
      <c r="BB132" s="53"/>
      <c r="BC132" s="53"/>
      <c r="BD132" s="53"/>
      <c r="BE132" s="53"/>
      <c r="BF132" s="53"/>
      <c r="BG132" s="53"/>
      <c r="BH132" s="53"/>
      <c r="BI132" s="53"/>
      <c r="BJ132" s="53"/>
      <c r="BK132" s="53"/>
      <c r="BL132" s="53"/>
      <c r="BM132" s="53"/>
      <c r="BN132" s="53"/>
      <c r="BO132" s="53"/>
      <c r="BP132" s="53"/>
      <c r="BQ132" s="53"/>
      <c r="BR132" s="53"/>
      <c r="BS132" s="53"/>
      <c r="BT132" s="53"/>
      <c r="BU132" s="53"/>
      <c r="BV132" s="53"/>
      <c r="BW132" s="53"/>
      <c r="BX132" s="53"/>
      <c r="BY132" s="53"/>
      <c r="BZ132" s="53"/>
      <c r="CA132" s="53"/>
      <c r="CB132" s="53"/>
      <c r="CC132" s="53"/>
      <c r="CD132" s="53"/>
      <c r="CE132" s="53"/>
      <c r="CF132" s="53"/>
      <c r="CG132" s="53"/>
      <c r="CH132" s="53"/>
      <c r="CI132" s="53"/>
      <c r="CJ132" s="53"/>
      <c r="CK132" s="53"/>
      <c r="CL132" s="53"/>
      <c r="CM132" s="53"/>
      <c r="CN132" s="53"/>
      <c r="CO132" s="53"/>
      <c r="CP132" s="53"/>
      <c r="CQ132" s="53"/>
      <c r="CR132" s="1"/>
      <c r="CS132" s="1"/>
      <c r="CT132" s="1"/>
      <c r="CU132" s="1"/>
    </row>
    <row r="133" spans="1:99" s="13" customFormat="1" ht="12" customHeight="1" x14ac:dyDescent="0.2">
      <c r="A133" s="68">
        <v>43509</v>
      </c>
      <c r="B133" s="70" t="s">
        <v>256</v>
      </c>
      <c r="C133" s="70" t="s">
        <v>48</v>
      </c>
      <c r="D133" s="69">
        <v>1975</v>
      </c>
      <c r="E133" s="87">
        <v>1</v>
      </c>
      <c r="F133" s="69">
        <v>48</v>
      </c>
      <c r="G133" s="69">
        <v>48</v>
      </c>
      <c r="H133" s="69" t="s">
        <v>50</v>
      </c>
      <c r="I133" s="69"/>
      <c r="J133" s="69" t="s">
        <v>443</v>
      </c>
      <c r="K133" s="69">
        <f>IF(J133="syllables",1,IF(J133="trigrams",2,IF(J133="strings",3,IF(J133="visual array",4,IF(J133="characters",5,IF(J133="letters",6,IF(J133="free forms",7,IF(J133="odors",8,IF(J133="words",9,IF(J133="pictures",10,IF(J133="object pictures",11,IF(J133="faces",12,IF(J133="names",13,IF(J133="idioms",14,IF(J133="grades",15,IF(J133="syllable-digit pairs",16,IF(J133="trigram-word pairs",17,IF(J133="word-digit pairs",18,IF(J133="English-Swahili pairs",19,IF(J133="spatial position",20,IF(J133="word pairs",21,IF(J133="word triads",22,IF(J133="generated words",23,IF(J133="word definition pairs",24,IF(J133="math problems",25,IF(J133="famous faces",26,IF(J133="famous names",27,IF(J133="famous voices",28,IF(J133="television programs",29,IF(J133="race horses",30,IF(J133="new vocabulary",31,IF(J133="sentences",32,IF(J133="concepts",33,IF(J133="ad slides",34,IF(J133="scenes",35,IF(J133="famous scenes",36,IF(J133="poems",37,IF(J133="walk",38,IF(J133="faces and events",39,IF(J133="events and names",40,IF(J133="flashbulb",41,IF(J133="stories",42,IF(J133="course material",43,IF(J133="autobiographical",44,IF(J133="novels",45,IF(J133="public events",46,"99"))))))))))))))))))))))))))))))))))))))))))))))</f>
        <v>2</v>
      </c>
      <c r="L133" s="69">
        <f>IF(J133="syllables",1,IF(J133="trigrams",1,IF(J133="strings",1,IF(J133="visual array",1,IF(J133="characters",1,IF(J133="letters",1,IF(J133="free forms",1,IF(J133="odors",2,IF(J133="words",2,IF(J133="pictures",2,IF(J133="object pictures",2,IF(J133="faces",2,IF(J133="names",2,IF(J133="idioms","2",IF(J133="grades",2,IF(J133="syllable-digit pairs",3,IF(J133="trigram-word pairs",3,IF(J133="word-digit pairs",3,IF(J133="English-Swahili pairs",3,IF(J133="spatial position",3,IF(J133="word pairs",4,IF(J133="word triads",4,IF(J133="generated words",4,IF(J133="word definition pairs",4,IF(J133="math problems",4,IF(J133="famous faces",4,IF(J133="famous names",4,IF(J133="famous voices",4,IF(J133="television programs",4,IF(J133="race horses",4,IF(J133="new vocabulary",4,IF(J133="sentences",5,IF(J133="concepts",5,IF(J133="ad slides",5,IF(J133="scenes",5,IF(J133="famous scenes",5,IF(J133="poems",6,IF(J133="walk",6,IF(J133="faces and events",6,IF(J133="events and names",6,IF(J133="flashbulb",7,IF(J133="stories",7,IF(J133="course material",7,IF(J133="autobiographical",7,IF(J133="novels",7,IF(J133="public events",7,"99"))))))))))))))))))))))))))))))))))))))))))))))</f>
        <v>1</v>
      </c>
      <c r="M133" s="69">
        <v>0</v>
      </c>
      <c r="N133" s="69">
        <v>1</v>
      </c>
      <c r="O133" s="69">
        <v>1</v>
      </c>
      <c r="P133" s="69" t="s">
        <v>27</v>
      </c>
      <c r="Q133" s="69" t="s">
        <v>174</v>
      </c>
      <c r="R133" s="69">
        <f>IF(Q133="Free Recall",1,IF(Q133="Cued Recall",2,IF(Q133="Recognition",3,IF(Q133="Multiple Choice",4,IF(Q133="Savings",5,IF(Q133="Stem Completion",6,IF(Q133="Fragment Completion",7,IF(Q133="anagram solution",8,IF(Q133="Matching",9,IF(Q133="Problem Solving",10,"99"))))))))))</f>
        <v>1</v>
      </c>
      <c r="S133" s="69" t="s">
        <v>49</v>
      </c>
      <c r="T133" s="92" t="s">
        <v>581</v>
      </c>
      <c r="U133" s="60">
        <f>IF(T133="within",1,0)</f>
        <v>1</v>
      </c>
      <c r="V133" s="92">
        <v>48</v>
      </c>
      <c r="W133" s="69">
        <f>F133*V133</f>
        <v>2304</v>
      </c>
      <c r="X133" s="69">
        <v>6</v>
      </c>
      <c r="Y133" s="87">
        <f>AV132</f>
        <v>1</v>
      </c>
      <c r="Z133" s="69" t="s">
        <v>51</v>
      </c>
      <c r="AA133" s="69">
        <v>25</v>
      </c>
      <c r="AB133" s="69" t="str">
        <f>IF(AA133&lt;60,"1",IF(AA133&lt;=43200,"2",IF(AA133&lt;=777600,"3","4")))</f>
        <v>1</v>
      </c>
      <c r="AC133" s="72">
        <f>AVERAGE(AV132:DA132)</f>
        <v>10</v>
      </c>
      <c r="AD133" s="69" t="str">
        <f>IF(AC133&lt;60,"1",IF(AC133&lt;=43200,"2",IF(AC133&lt;=777600,"3","4")))</f>
        <v>1</v>
      </c>
      <c r="AE133" s="87">
        <f>AA133-Y133</f>
        <v>24</v>
      </c>
      <c r="AF133" s="88">
        <f>AV133</f>
        <v>0.91</v>
      </c>
      <c r="AG133" s="72">
        <f>((AW133-AV133)+(AX133-AW133)+(AY133-AX133)+(AZ133-AY133)+(BA133-AZ133))/5</f>
        <v>-0.12600000000000003</v>
      </c>
      <c r="AH133" s="4"/>
      <c r="AI133" s="72">
        <f>RSQ(AV133:BA133,AV132:BA132)</f>
        <v>0.58883283772302442</v>
      </c>
      <c r="AJ133" s="110">
        <f>SLOPE(AV133:BA133,AV132:BA132)</f>
        <v>-2.5227272727272727E-2</v>
      </c>
      <c r="AK133" s="72">
        <f>INTERCEPT(AV133:BA133,AV132:BA132)</f>
        <v>0.75227272727272743</v>
      </c>
      <c r="AL133" s="72">
        <f>INDEX(LINEST(LN(AV133:BA133),LN(AV132:BA132),TRUE,TRUE),3,1)</f>
        <v>0.79343831008841392</v>
      </c>
      <c r="AM133" s="72">
        <f>INDEX(LINEST(LN(AV133:BA133),LN(AV132:BA132)),1)</f>
        <v>-0.44661079519385649</v>
      </c>
      <c r="AN133" s="72">
        <f>EXP(INDEX(LINEST(LN(AV133:BA133),LN(AV132:BA132)),1,2))</f>
        <v>0.99135905758866039</v>
      </c>
      <c r="AO133" s="89">
        <f>INDEX(LINEST((AV133:BA133),LN(AV132:BA132),TRUE,TRUE),3,1)</f>
        <v>0.85772088265831903</v>
      </c>
      <c r="AP133" s="89">
        <f>INDEX(LINEST((AV133:BA133),LN(AV132:BA132)),1)</f>
        <v>-0.23225805890142937</v>
      </c>
      <c r="AQ133" s="90">
        <f>INDEX(LINEST(LN(AV133:BA133),SQRT(AV132:BA132),TRUE,TRUE),3,1)</f>
        <v>0.71395007059754767</v>
      </c>
      <c r="AR133" s="117">
        <f>INDEX(LINEST(LN(AV133:BA133),SQRT((AV132:BA132))),1)</f>
        <v>-0.33950020803423892</v>
      </c>
      <c r="AS133" s="91">
        <f>INDEX(LINEST(1/(AV133:BA133),1/(SQRT(AV132:BA132)),TRUE,TRUE),3,1)</f>
        <v>0.62342071964920576</v>
      </c>
      <c r="AT133" s="91">
        <f>INDEX(LINEST(1/(AV133:BA133),1/SQRT(AV132:BA132)),1)</f>
        <v>-3.6722797400081482</v>
      </c>
      <c r="AU133" s="3"/>
      <c r="AV133" s="73">
        <v>0.91</v>
      </c>
      <c r="AW133" s="73">
        <v>0.81</v>
      </c>
      <c r="AX133" s="73">
        <v>0.47</v>
      </c>
      <c r="AY133" s="73">
        <v>0.22</v>
      </c>
      <c r="AZ133" s="73">
        <v>0.31</v>
      </c>
      <c r="BA133" s="73">
        <v>0.28000000000000003</v>
      </c>
      <c r="BB133" s="53"/>
      <c r="BC133" s="53"/>
      <c r="BD133" s="53"/>
      <c r="BE133" s="53"/>
      <c r="BF133" s="53"/>
      <c r="BG133" s="53"/>
      <c r="BH133" s="53"/>
      <c r="BI133" s="53"/>
      <c r="BJ133" s="53"/>
      <c r="BK133" s="53"/>
      <c r="BL133" s="53"/>
      <c r="BM133" s="53"/>
      <c r="BN133" s="53"/>
      <c r="BO133" s="53"/>
      <c r="BP133" s="53"/>
      <c r="BQ133" s="53"/>
      <c r="BR133" s="53"/>
      <c r="BS133" s="53"/>
      <c r="BT133" s="53"/>
      <c r="BU133" s="53"/>
      <c r="BV133" s="53"/>
      <c r="BW133" s="53"/>
      <c r="BX133" s="53"/>
      <c r="BY133" s="53"/>
      <c r="BZ133" s="53"/>
      <c r="CA133" s="53"/>
      <c r="CB133" s="53"/>
      <c r="CC133" s="53"/>
      <c r="CD133" s="53"/>
      <c r="CE133" s="53"/>
      <c r="CF133" s="53"/>
      <c r="CG133" s="53"/>
      <c r="CH133" s="53"/>
      <c r="CI133" s="53"/>
      <c r="CJ133" s="53"/>
      <c r="CK133" s="53"/>
      <c r="CL133" s="53"/>
      <c r="CM133" s="53"/>
      <c r="CN133" s="53"/>
      <c r="CO133" s="53"/>
      <c r="CP133" s="53"/>
      <c r="CQ133" s="53"/>
      <c r="CR133" s="1"/>
      <c r="CS133" s="1"/>
      <c r="CT133" s="1"/>
      <c r="CU133" s="1"/>
    </row>
    <row r="134" spans="1:99" s="13" customFormat="1" ht="12" customHeight="1" x14ac:dyDescent="0.2">
      <c r="A134" s="68">
        <v>43509</v>
      </c>
      <c r="B134" s="70"/>
      <c r="C134" s="70"/>
      <c r="D134" s="69"/>
      <c r="E134" s="87"/>
      <c r="F134" s="69"/>
      <c r="G134" s="69"/>
      <c r="H134" s="69"/>
      <c r="I134" s="69"/>
      <c r="J134" s="69"/>
      <c r="K134" s="107"/>
      <c r="L134" s="107"/>
      <c r="M134" s="69"/>
      <c r="N134" s="69"/>
      <c r="O134" s="69"/>
      <c r="P134" s="69"/>
      <c r="Q134" s="69"/>
      <c r="R134" s="69"/>
      <c r="S134" s="69"/>
      <c r="T134" s="69"/>
      <c r="U134" s="60"/>
      <c r="V134" s="69"/>
      <c r="W134" s="69"/>
      <c r="X134" s="86"/>
      <c r="Y134" s="87"/>
      <c r="Z134" s="69"/>
      <c r="AA134" s="69"/>
      <c r="AB134" s="69"/>
      <c r="AC134" s="69"/>
      <c r="AD134" s="69"/>
      <c r="AE134" s="69"/>
      <c r="AF134" s="88"/>
      <c r="AG134" s="72"/>
      <c r="AH134" s="4"/>
      <c r="AI134" s="72"/>
      <c r="AJ134" s="110"/>
      <c r="AK134" s="72"/>
      <c r="AL134" s="72"/>
      <c r="AM134" s="72"/>
      <c r="AN134" s="72"/>
      <c r="AO134" s="72"/>
      <c r="AP134" s="72"/>
      <c r="AQ134" s="72"/>
      <c r="AR134" s="110"/>
      <c r="AS134" s="72"/>
      <c r="AT134" s="72"/>
      <c r="AU134" s="4"/>
      <c r="AV134" s="71">
        <v>3</v>
      </c>
      <c r="AW134" s="71">
        <v>4</v>
      </c>
      <c r="AX134" s="71">
        <v>6</v>
      </c>
      <c r="AY134" s="71">
        <v>8</v>
      </c>
      <c r="AZ134" s="71">
        <v>30</v>
      </c>
      <c r="BA134" s="7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3"/>
      <c r="CA134" s="53"/>
      <c r="CB134" s="53"/>
      <c r="CC134" s="53"/>
      <c r="CD134" s="53"/>
      <c r="CE134" s="53"/>
      <c r="CF134" s="53"/>
      <c r="CG134" s="53"/>
      <c r="CH134" s="53"/>
      <c r="CI134" s="53"/>
      <c r="CJ134" s="53"/>
      <c r="CK134" s="53"/>
      <c r="CL134" s="53"/>
      <c r="CM134" s="53"/>
      <c r="CN134" s="53"/>
      <c r="CO134" s="53"/>
      <c r="CP134" s="53"/>
      <c r="CQ134" s="53"/>
      <c r="CR134" s="1"/>
      <c r="CS134" s="1"/>
      <c r="CT134" s="1"/>
      <c r="CU134" s="1"/>
    </row>
    <row r="135" spans="1:99" s="13" customFormat="1" ht="12" customHeight="1" x14ac:dyDescent="0.2">
      <c r="A135" s="68">
        <v>43509</v>
      </c>
      <c r="B135" s="70" t="s">
        <v>256</v>
      </c>
      <c r="C135" s="70" t="s">
        <v>48</v>
      </c>
      <c r="D135" s="69">
        <v>1975</v>
      </c>
      <c r="E135" s="87">
        <v>2</v>
      </c>
      <c r="F135" s="69">
        <v>60</v>
      </c>
      <c r="G135" s="69">
        <v>60</v>
      </c>
      <c r="H135" s="69" t="s">
        <v>41</v>
      </c>
      <c r="I135" s="69" t="s">
        <v>839</v>
      </c>
      <c r="J135" s="69" t="s">
        <v>443</v>
      </c>
      <c r="K135" s="69">
        <f>IF(J135="syllables",1,IF(J135="trigrams",2,IF(J135="strings",3,IF(J135="visual array",4,IF(J135="characters",5,IF(J135="letters",6,IF(J135="free forms",7,IF(J135="odors",8,IF(J135="words",9,IF(J135="pictures",10,IF(J135="object pictures",11,IF(J135="faces",12,IF(J135="names",13,IF(J135="idioms",14,IF(J135="grades",15,IF(J135="syllable-digit pairs",16,IF(J135="trigram-word pairs",17,IF(J135="word-digit pairs",18,IF(J135="English-Swahili pairs",19,IF(J135="spatial position",20,IF(J135="word pairs",21,IF(J135="word triads",22,IF(J135="generated words",23,IF(J135="word definition pairs",24,IF(J135="math problems",25,IF(J135="famous faces",26,IF(J135="famous names",27,IF(J135="famous voices",28,IF(J135="television programs",29,IF(J135="race horses",30,IF(J135="new vocabulary",31,IF(J135="sentences",32,IF(J135="concepts",33,IF(J135="ad slides",34,IF(J135="scenes",35,IF(J135="famous scenes",36,IF(J135="poems",37,IF(J135="walk",38,IF(J135="faces and events",39,IF(J135="events and names",40,IF(J135="flashbulb",41,IF(J135="stories",42,IF(J135="course material",43,IF(J135="autobiographical",44,IF(J135="novels",45,IF(J135="public events",46,"99"))))))))))))))))))))))))))))))))))))))))))))))</f>
        <v>2</v>
      </c>
      <c r="L135" s="69">
        <f>IF(J135="syllables",1,IF(J135="trigrams",1,IF(J135="strings",1,IF(J135="visual array",1,IF(J135="characters",1,IF(J135="letters",1,IF(J135="free forms",1,IF(J135="odors",2,IF(J135="words",2,IF(J135="pictures",2,IF(J135="object pictures",2,IF(J135="faces",2,IF(J135="names",2,IF(J135="idioms","2",IF(J135="grades",2,IF(J135="syllable-digit pairs",3,IF(J135="trigram-word pairs",3,IF(J135="word-digit pairs",3,IF(J135="English-Swahili pairs",3,IF(J135="spatial position",3,IF(J135="word pairs",4,IF(J135="word triads",4,IF(J135="generated words",4,IF(J135="word definition pairs",4,IF(J135="math problems",4,IF(J135="famous faces",4,IF(J135="famous names",4,IF(J135="famous voices",4,IF(J135="television programs",4,IF(J135="race horses",4,IF(J135="new vocabulary",4,IF(J135="sentences",5,IF(J135="concepts",5,IF(J135="ad slides",5,IF(J135="scenes",5,IF(J135="famous scenes",5,IF(J135="poems",6,IF(J135="walk",6,IF(J135="faces and events",6,IF(J135="events and names",6,IF(J135="flashbulb",7,IF(J135="stories",7,IF(J135="course material",7,IF(J135="autobiographical",7,IF(J135="novels",7,IF(J135="public events",7,"99"))))))))))))))))))))))))))))))))))))))))))))))</f>
        <v>1</v>
      </c>
      <c r="M135" s="69">
        <v>0</v>
      </c>
      <c r="N135" s="69">
        <v>1</v>
      </c>
      <c r="O135" s="69">
        <v>1</v>
      </c>
      <c r="P135" s="69" t="s">
        <v>27</v>
      </c>
      <c r="Q135" s="69" t="s">
        <v>174</v>
      </c>
      <c r="R135" s="69">
        <f>IF(Q135="Free Recall",1,IF(Q135="Cued Recall",2,IF(Q135="Recognition",3,IF(Q135="Multiple Choice",4,IF(Q135="Savings",5,IF(Q135="Stem Completion",6,IF(Q135="Fragment Completion",7,IF(Q135="anagram solution",8,IF(Q135="Matching",9,IF(Q135="Problem Solving",10,"99"))))))))))</f>
        <v>1</v>
      </c>
      <c r="S135" s="69" t="s">
        <v>49</v>
      </c>
      <c r="T135" s="92" t="s">
        <v>581</v>
      </c>
      <c r="U135" s="60">
        <f>IF(T135="within",1,0)</f>
        <v>1</v>
      </c>
      <c r="V135" s="92">
        <v>48</v>
      </c>
      <c r="W135" s="69">
        <f>F135*V135</f>
        <v>2880</v>
      </c>
      <c r="X135" s="69">
        <v>5</v>
      </c>
      <c r="Y135" s="87">
        <f>AV134</f>
        <v>3</v>
      </c>
      <c r="Z135" s="69" t="s">
        <v>52</v>
      </c>
      <c r="AA135" s="69">
        <v>30</v>
      </c>
      <c r="AB135" s="69" t="str">
        <f>IF(AA135&lt;60,"1",IF(AA135&lt;=43200,"2",IF(AA135&lt;=777600,"3","4")))</f>
        <v>1</v>
      </c>
      <c r="AC135" s="72">
        <f>AVERAGE(AV134:DA134)</f>
        <v>10.199999999999999</v>
      </c>
      <c r="AD135" s="69" t="str">
        <f>IF(AC135&lt;60,"1",IF(AC135&lt;=43200,"2",IF(AC135&lt;=777600,"3","4")))</f>
        <v>1</v>
      </c>
      <c r="AE135" s="87">
        <f>AA135-Y135</f>
        <v>27</v>
      </c>
      <c r="AF135" s="88">
        <f>AV135</f>
        <v>0.75</v>
      </c>
      <c r="AG135" s="72">
        <f>((AW135-AV135)+(AX135-AW135)+(AY135-AX135)+(AZ135-AY135))/4</f>
        <v>-2.4999999999999994E-2</v>
      </c>
      <c r="AH135" s="4"/>
      <c r="AI135" s="72">
        <f>RSQ(AV135:AZ135,AV134:AZ134)</f>
        <v>2.8160944572693781E-3</v>
      </c>
      <c r="AJ135" s="110">
        <f>SLOPE(AV135:AZ135,AV134:AZ134)</f>
        <v>-3.2488114104595693E-4</v>
      </c>
      <c r="AK135" s="72">
        <f>INTERCEPT(AV135:AZ135,AV134:AZ134)</f>
        <v>0.65731378763866877</v>
      </c>
      <c r="AL135" s="72">
        <f>INDEX(LINEST(LN(AV135:AZ135),LN(AV134:AZ134),TRUE,TRUE),3,1)</f>
        <v>1.0000764125119348E-2</v>
      </c>
      <c r="AM135" s="72">
        <f>INDEX(LINEST(LN(AV135:AZ135),LN(AV134:AZ134)),1)</f>
        <v>-1.1666319730806457E-2</v>
      </c>
      <c r="AN135" s="72">
        <f>EXP(INDEX(LINEST(LN(AV135:AZ135),LN(AV134:AZ134)),1,2))</f>
        <v>0.66614366015698256</v>
      </c>
      <c r="AO135" s="89">
        <f>INDEX(LINEST((AV135:AZ135),LN(AV134:AZ134),TRUE,TRUE),3,1)</f>
        <v>1.7626855033510379E-2</v>
      </c>
      <c r="AP135" s="89">
        <f>INDEX(LINEST((AV135:AZ135),LN(AV134:AZ134)),1)</f>
        <v>-1.0224134216807264E-2</v>
      </c>
      <c r="AQ135" s="90">
        <f>INDEX(LINEST(LN(AV135:AZ135),SQRT(AV134:AZ134),TRUE,TRUE),3,1)</f>
        <v>2.7417683137825558E-3</v>
      </c>
      <c r="AR135" s="117">
        <f>INDEX(LINEST(LN(AV135:AZ135),SQRT((AV134:AZ134))),1)</f>
        <v>-3.6320233199673042E-3</v>
      </c>
      <c r="AS135" s="91">
        <f>INDEX(LINEST(1/(AV135:AZ135),1/(SQRT(AV134:AZ134)),TRUE,TRUE),3,1)</f>
        <v>1.7591054703007741E-2</v>
      </c>
      <c r="AT135" s="91">
        <f>INDEX(LINEST(1/(AV135:AZ135),1/SQRT(AV134:AZ134)),1)</f>
        <v>-0.13974614742423502</v>
      </c>
      <c r="AU135" s="3"/>
      <c r="AV135" s="73">
        <v>0.75</v>
      </c>
      <c r="AW135" s="73">
        <v>0.57999999999999996</v>
      </c>
      <c r="AX135" s="73">
        <v>0.6</v>
      </c>
      <c r="AY135" s="73">
        <v>0.69</v>
      </c>
      <c r="AZ135" s="73">
        <v>0.65</v>
      </c>
      <c r="BA135" s="73"/>
      <c r="BB135" s="53"/>
      <c r="BC135" s="53"/>
      <c r="BD135" s="53"/>
      <c r="BE135" s="53"/>
      <c r="BF135" s="53"/>
      <c r="BG135" s="53"/>
      <c r="BH135" s="53"/>
      <c r="BI135" s="53"/>
      <c r="BJ135" s="53"/>
      <c r="BK135" s="53"/>
      <c r="BL135" s="53"/>
      <c r="BM135" s="53"/>
      <c r="BN135" s="53"/>
      <c r="BO135" s="53"/>
      <c r="BP135" s="53"/>
      <c r="BQ135" s="53"/>
      <c r="BR135" s="53"/>
      <c r="BS135" s="53"/>
      <c r="BT135" s="53"/>
      <c r="BU135" s="53"/>
      <c r="BV135" s="53"/>
      <c r="BW135" s="53"/>
      <c r="BX135" s="53"/>
      <c r="BY135" s="53"/>
      <c r="BZ135" s="53"/>
      <c r="CA135" s="53"/>
      <c r="CB135" s="53"/>
      <c r="CC135" s="53"/>
      <c r="CD135" s="53"/>
      <c r="CE135" s="53"/>
      <c r="CF135" s="53"/>
      <c r="CG135" s="53"/>
      <c r="CH135" s="53"/>
      <c r="CI135" s="53"/>
      <c r="CJ135" s="53"/>
      <c r="CK135" s="53"/>
      <c r="CL135" s="53"/>
      <c r="CM135" s="53"/>
      <c r="CN135" s="53"/>
      <c r="CO135" s="53"/>
      <c r="CP135" s="53"/>
      <c r="CQ135" s="53"/>
      <c r="CR135" s="1"/>
      <c r="CS135" s="1"/>
      <c r="CT135" s="1"/>
      <c r="CU135" s="1"/>
    </row>
    <row r="136" spans="1:99" s="13" customFormat="1" ht="12" customHeight="1" x14ac:dyDescent="0.2">
      <c r="A136" s="68">
        <v>43509</v>
      </c>
      <c r="B136" s="70"/>
      <c r="C136" s="70"/>
      <c r="D136" s="69"/>
      <c r="E136" s="87"/>
      <c r="F136" s="69"/>
      <c r="G136" s="69"/>
      <c r="H136" s="69"/>
      <c r="I136" s="69"/>
      <c r="J136" s="69"/>
      <c r="K136" s="107"/>
      <c r="L136" s="107"/>
      <c r="M136" s="69"/>
      <c r="N136" s="69"/>
      <c r="O136" s="69"/>
      <c r="P136" s="69"/>
      <c r="Q136" s="69"/>
      <c r="R136" s="69"/>
      <c r="S136" s="69"/>
      <c r="T136" s="69"/>
      <c r="U136" s="60"/>
      <c r="V136" s="69"/>
      <c r="W136" s="69"/>
      <c r="X136" s="69"/>
      <c r="Y136" s="87"/>
      <c r="Z136" s="69"/>
      <c r="AA136" s="69"/>
      <c r="AB136" s="69"/>
      <c r="AC136" s="69"/>
      <c r="AD136" s="69"/>
      <c r="AE136" s="69"/>
      <c r="AF136" s="88"/>
      <c r="AG136" s="72"/>
      <c r="AH136" s="4"/>
      <c r="AI136" s="72"/>
      <c r="AJ136" s="110"/>
      <c r="AK136" s="72"/>
      <c r="AL136" s="72"/>
      <c r="AM136" s="72"/>
      <c r="AN136" s="72"/>
      <c r="AO136" s="89"/>
      <c r="AP136" s="89"/>
      <c r="AQ136" s="72"/>
      <c r="AR136" s="110"/>
      <c r="AS136" s="72"/>
      <c r="AT136" s="72"/>
      <c r="AU136" s="3"/>
      <c r="AV136" s="71">
        <v>2</v>
      </c>
      <c r="AW136" s="71">
        <v>4</v>
      </c>
      <c r="AX136" s="71">
        <v>6</v>
      </c>
      <c r="AY136" s="71">
        <v>8</v>
      </c>
      <c r="AZ136" s="71">
        <v>30</v>
      </c>
      <c r="BA136" s="73"/>
      <c r="BB136" s="53"/>
      <c r="BC136" s="53"/>
      <c r="BD136" s="53"/>
      <c r="BE136" s="53"/>
      <c r="BF136" s="53"/>
      <c r="BG136" s="53"/>
      <c r="BH136" s="53"/>
      <c r="BI136" s="53"/>
      <c r="BJ136" s="53"/>
      <c r="BK136" s="53"/>
      <c r="BL136" s="53"/>
      <c r="BM136" s="53"/>
      <c r="BN136" s="53"/>
      <c r="BO136" s="53"/>
      <c r="BP136" s="53"/>
      <c r="BQ136" s="53"/>
      <c r="BR136" s="53"/>
      <c r="BS136" s="53"/>
      <c r="BT136" s="53"/>
      <c r="BU136" s="53"/>
      <c r="BV136" s="53"/>
      <c r="BW136" s="53"/>
      <c r="BX136" s="53"/>
      <c r="BY136" s="53"/>
      <c r="BZ136" s="53"/>
      <c r="CA136" s="53"/>
      <c r="CB136" s="53"/>
      <c r="CC136" s="53"/>
      <c r="CD136" s="53"/>
      <c r="CE136" s="53"/>
      <c r="CF136" s="53"/>
      <c r="CG136" s="53"/>
      <c r="CH136" s="53"/>
      <c r="CI136" s="53"/>
      <c r="CJ136" s="53"/>
      <c r="CK136" s="53"/>
      <c r="CL136" s="53"/>
      <c r="CM136" s="53"/>
      <c r="CN136" s="53"/>
      <c r="CO136" s="53"/>
      <c r="CP136" s="53"/>
      <c r="CQ136" s="53"/>
      <c r="CR136" s="1"/>
      <c r="CS136" s="1"/>
      <c r="CT136" s="1"/>
      <c r="CU136" s="1"/>
    </row>
    <row r="137" spans="1:99" s="13" customFormat="1" ht="12" customHeight="1" x14ac:dyDescent="0.2">
      <c r="A137" s="68">
        <v>43509</v>
      </c>
      <c r="B137" s="70" t="s">
        <v>256</v>
      </c>
      <c r="C137" s="70" t="s">
        <v>48</v>
      </c>
      <c r="D137" s="69">
        <v>1975</v>
      </c>
      <c r="E137" s="87">
        <v>2</v>
      </c>
      <c r="F137" s="69">
        <v>60</v>
      </c>
      <c r="G137" s="69">
        <v>60</v>
      </c>
      <c r="H137" s="69" t="s">
        <v>41</v>
      </c>
      <c r="I137" s="69" t="s">
        <v>841</v>
      </c>
      <c r="J137" s="69" t="s">
        <v>443</v>
      </c>
      <c r="K137" s="69">
        <f>IF(J137="syllables",1,IF(J137="trigrams",2,IF(J137="strings",3,IF(J137="visual array",4,IF(J137="characters",5,IF(J137="letters",6,IF(J137="free forms",7,IF(J137="odors",8,IF(J137="words",9,IF(J137="pictures",10,IF(J137="object pictures",11,IF(J137="faces",12,IF(J137="names",13,IF(J137="idioms",14,IF(J137="grades",15,IF(J137="syllable-digit pairs",16,IF(J137="trigram-word pairs",17,IF(J137="word-digit pairs",18,IF(J137="English-Swahili pairs",19,IF(J137="spatial position",20,IF(J137="word pairs",21,IF(J137="word triads",22,IF(J137="generated words",23,IF(J137="word definition pairs",24,IF(J137="math problems",25,IF(J137="famous faces",26,IF(J137="famous names",27,IF(J137="famous voices",28,IF(J137="television programs",29,IF(J137="race horses",30,IF(J137="new vocabulary",31,IF(J137="sentences",32,IF(J137="concepts",33,IF(J137="ad slides",34,IF(J137="scenes",35,IF(J137="famous scenes",36,IF(J137="poems",37,IF(J137="walk",38,IF(J137="faces and events",39,IF(J137="events and names",40,IF(J137="flashbulb",41,IF(J137="stories",42,IF(J137="course material",43,IF(J137="autobiographical",44,IF(J137="novels",45,IF(J137="public events",46,"99"))))))))))))))))))))))))))))))))))))))))))))))</f>
        <v>2</v>
      </c>
      <c r="L137" s="69">
        <f>IF(J137="syllables",1,IF(J137="trigrams",1,IF(J137="strings",1,IF(J137="visual array",1,IF(J137="characters",1,IF(J137="letters",1,IF(J137="free forms",1,IF(J137="odors",2,IF(J137="words",2,IF(J137="pictures",2,IF(J137="object pictures",2,IF(J137="faces",2,IF(J137="names",2,IF(J137="idioms","2",IF(J137="grades",2,IF(J137="syllable-digit pairs",3,IF(J137="trigram-word pairs",3,IF(J137="word-digit pairs",3,IF(J137="English-Swahili pairs",3,IF(J137="spatial position",3,IF(J137="word pairs",4,IF(J137="word triads",4,IF(J137="generated words",4,IF(J137="word definition pairs",4,IF(J137="math problems",4,IF(J137="famous faces",4,IF(J137="famous names",4,IF(J137="famous voices",4,IF(J137="television programs",4,IF(J137="race horses",4,IF(J137="new vocabulary",4,IF(J137="sentences",5,IF(J137="concepts",5,IF(J137="ad slides",5,IF(J137="scenes",5,IF(J137="famous scenes",5,IF(J137="poems",6,IF(J137="walk",6,IF(J137="faces and events",6,IF(J137="events and names",6,IF(J137="flashbulb",7,IF(J137="stories",7,IF(J137="course material",7,IF(J137="autobiographical",7,IF(J137="novels",7,IF(J137="public events",7,"99"))))))))))))))))))))))))))))))))))))))))))))))</f>
        <v>1</v>
      </c>
      <c r="M137" s="69">
        <v>0</v>
      </c>
      <c r="N137" s="69">
        <v>1</v>
      </c>
      <c r="O137" s="69">
        <v>1</v>
      </c>
      <c r="P137" s="69" t="s">
        <v>27</v>
      </c>
      <c r="Q137" s="69" t="s">
        <v>174</v>
      </c>
      <c r="R137" s="69">
        <f>IF(Q137="Free Recall",1,IF(Q137="Cued Recall",2,IF(Q137="Recognition",3,IF(Q137="Multiple Choice",4,IF(Q137="Savings",5,IF(Q137="Stem Completion",6,IF(Q137="Fragment Completion",7,IF(Q137="anagram solution",8,IF(Q137="Matching",9,IF(Q137="Problem Solving",10,"99"))))))))))</f>
        <v>1</v>
      </c>
      <c r="S137" s="69" t="s">
        <v>49</v>
      </c>
      <c r="T137" s="92" t="s">
        <v>581</v>
      </c>
      <c r="U137" s="60">
        <f>IF(T137="within",1,0)</f>
        <v>1</v>
      </c>
      <c r="V137" s="92">
        <v>48</v>
      </c>
      <c r="W137" s="69">
        <f>F137*V137</f>
        <v>2880</v>
      </c>
      <c r="X137" s="69">
        <v>5</v>
      </c>
      <c r="Y137" s="87">
        <f>AV136</f>
        <v>2</v>
      </c>
      <c r="Z137" s="69" t="s">
        <v>52</v>
      </c>
      <c r="AA137" s="69">
        <v>30</v>
      </c>
      <c r="AB137" s="69" t="str">
        <f>IF(AA137&lt;60,"1",IF(AA137&lt;=43200,"2",IF(AA137&lt;=777600,"3","4")))</f>
        <v>1</v>
      </c>
      <c r="AC137" s="72">
        <f>AVERAGE(AV136:DA136)</f>
        <v>10</v>
      </c>
      <c r="AD137" s="69" t="str">
        <f>IF(AC137&lt;60,"1",IF(AC137&lt;=43200,"2",IF(AC137&lt;=777600,"3","4")))</f>
        <v>1</v>
      </c>
      <c r="AE137" s="87">
        <f>AA137-Y137</f>
        <v>28</v>
      </c>
      <c r="AF137" s="88">
        <f>AV137</f>
        <v>0.83</v>
      </c>
      <c r="AG137" s="72">
        <f>((AW137-AV137)+(AX137-AW137)+(AY137-AX137)+(AZ137-AY137))/4</f>
        <v>-2.4999999999999994E-2</v>
      </c>
      <c r="AH137" s="4"/>
      <c r="AI137" s="72">
        <f>RSQ(AV137:AZ137,AV136:AZ136)</f>
        <v>0.11386639676113364</v>
      </c>
      <c r="AJ137" s="110">
        <f>SLOPE(AV137:AZ137,AV136:AZ136)</f>
        <v>-2.8846153846153848E-3</v>
      </c>
      <c r="AK137" s="72">
        <f>INTERCEPT(AV137:AZ137,AV136:AZ136)</f>
        <v>0.78884615384615386</v>
      </c>
      <c r="AL137" s="72">
        <f>INDEX(LINEST(LN(AV137:AZ137),LN(AV136:AZ136),TRUE,TRUE),3,1)</f>
        <v>0.27401614607107844</v>
      </c>
      <c r="AM137" s="72">
        <f>INDEX(LINEST(LN(AV137:AZ137),LN(AV136:AZ136)),1)</f>
        <v>-6.7870112661232732E-2</v>
      </c>
      <c r="AN137" s="72">
        <f>EXP(INDEX(LINEST(LN(AV137:AZ137),LN(AV136:AZ136)),1,2))</f>
        <v>0.85711610271806837</v>
      </c>
      <c r="AO137" s="89">
        <f>INDEX(LINEST((AV137:AZ137),LN(AV136:AZ136),TRUE,TRUE),3,1)</f>
        <v>0.2925814587865474</v>
      </c>
      <c r="AP137" s="89">
        <f>INDEX(LINEST((AV137:AZ137),LN(AV136:AZ136)),1)</f>
        <v>-5.2632409448173496E-2</v>
      </c>
      <c r="AQ137" s="90">
        <f>INDEX(LINEST(LN(AV137:AZ137),SQRT(AV136:AZ136),TRUE,TRUE),3,1)</f>
        <v>0.17125371824763244</v>
      </c>
      <c r="AR137" s="117">
        <f>INDEX(LINEST(LN(AV137:AZ137),SQRT((AV136:AZ136))),1)</f>
        <v>-3.4256689746011919E-2</v>
      </c>
      <c r="AS137" s="91">
        <f>INDEX(LINEST(1/(AV137:AZ137),1/(SQRT(AV136:AZ136)),TRUE,TRUE),3,1)</f>
        <v>0.33843151342723782</v>
      </c>
      <c r="AT137" s="91">
        <f>INDEX(LINEST(1/(AV137:AZ137),1/SQRT(AV136:AZ136)),1)</f>
        <v>-0.52704778920019302</v>
      </c>
      <c r="AU137" s="3"/>
      <c r="AV137" s="73">
        <v>0.83</v>
      </c>
      <c r="AW137" s="73">
        <v>0.88</v>
      </c>
      <c r="AX137" s="73">
        <v>0.73</v>
      </c>
      <c r="AY137" s="73">
        <v>0.63</v>
      </c>
      <c r="AZ137" s="73">
        <v>0.73</v>
      </c>
      <c r="BA137" s="73"/>
      <c r="BB137" s="53"/>
      <c r="BC137" s="53"/>
      <c r="BD137" s="53"/>
      <c r="BE137" s="53"/>
      <c r="BF137" s="53"/>
      <c r="BG137" s="53"/>
      <c r="BH137" s="53"/>
      <c r="BI137" s="53"/>
      <c r="BJ137" s="53"/>
      <c r="BK137" s="53"/>
      <c r="BL137" s="53"/>
      <c r="BM137" s="53"/>
      <c r="BN137" s="53"/>
      <c r="BO137" s="53"/>
      <c r="BP137" s="53"/>
      <c r="BQ137" s="53"/>
      <c r="BR137" s="53"/>
      <c r="BS137" s="53"/>
      <c r="BT137" s="53"/>
      <c r="BU137" s="53"/>
      <c r="BV137" s="53"/>
      <c r="BW137" s="53"/>
      <c r="BX137" s="53"/>
      <c r="BY137" s="53"/>
      <c r="BZ137" s="53"/>
      <c r="CA137" s="53"/>
      <c r="CB137" s="53"/>
      <c r="CC137" s="53"/>
      <c r="CD137" s="53"/>
      <c r="CE137" s="53"/>
      <c r="CF137" s="53"/>
      <c r="CG137" s="53"/>
      <c r="CH137" s="53"/>
      <c r="CI137" s="53"/>
      <c r="CJ137" s="53"/>
      <c r="CK137" s="53"/>
      <c r="CL137" s="53"/>
      <c r="CM137" s="53"/>
      <c r="CN137" s="53"/>
      <c r="CO137" s="53"/>
      <c r="CP137" s="53"/>
      <c r="CQ137" s="53"/>
      <c r="CR137" s="1"/>
      <c r="CS137" s="1"/>
      <c r="CT137" s="1"/>
      <c r="CU137" s="1"/>
    </row>
    <row r="138" spans="1:99" s="13" customFormat="1" ht="12" customHeight="1" x14ac:dyDescent="0.2">
      <c r="A138" s="68">
        <v>43509</v>
      </c>
      <c r="B138" s="70"/>
      <c r="C138" s="70"/>
      <c r="D138" s="69"/>
      <c r="E138" s="87"/>
      <c r="F138" s="69"/>
      <c r="G138" s="69"/>
      <c r="H138" s="69"/>
      <c r="I138" s="69"/>
      <c r="J138" s="69"/>
      <c r="K138" s="107"/>
      <c r="L138" s="107"/>
      <c r="M138" s="69"/>
      <c r="N138" s="69"/>
      <c r="O138" s="69"/>
      <c r="P138" s="69"/>
      <c r="Q138" s="69"/>
      <c r="R138" s="69"/>
      <c r="S138" s="69"/>
      <c r="T138" s="69"/>
      <c r="U138" s="60"/>
      <c r="V138" s="69"/>
      <c r="W138" s="69"/>
      <c r="X138" s="86"/>
      <c r="Y138" s="87"/>
      <c r="Z138" s="69"/>
      <c r="AA138" s="69"/>
      <c r="AB138" s="69"/>
      <c r="AC138" s="69"/>
      <c r="AD138" s="69"/>
      <c r="AE138" s="69"/>
      <c r="AF138" s="88"/>
      <c r="AG138" s="72"/>
      <c r="AH138" s="4"/>
      <c r="AI138" s="72"/>
      <c r="AJ138" s="110"/>
      <c r="AK138" s="72"/>
      <c r="AL138" s="72"/>
      <c r="AM138" s="72"/>
      <c r="AN138" s="72"/>
      <c r="AO138" s="72"/>
      <c r="AP138" s="72"/>
      <c r="AQ138" s="72"/>
      <c r="AR138" s="110"/>
      <c r="AS138" s="72"/>
      <c r="AT138" s="72"/>
      <c r="AU138" s="4"/>
      <c r="AV138" s="71">
        <v>2</v>
      </c>
      <c r="AW138" s="71">
        <v>4</v>
      </c>
      <c r="AX138" s="71">
        <v>6</v>
      </c>
      <c r="AY138" s="71">
        <v>8</v>
      </c>
      <c r="AZ138" s="71">
        <v>30</v>
      </c>
      <c r="BA138" s="73"/>
      <c r="BB138" s="53"/>
      <c r="BC138" s="53"/>
      <c r="BD138" s="53"/>
      <c r="BE138" s="53"/>
      <c r="BF138" s="53"/>
      <c r="BG138" s="53"/>
      <c r="BH138" s="53"/>
      <c r="BI138" s="53"/>
      <c r="BJ138" s="53"/>
      <c r="BK138" s="53"/>
      <c r="BL138" s="53"/>
      <c r="BM138" s="53"/>
      <c r="BN138" s="53"/>
      <c r="BO138" s="53"/>
      <c r="BP138" s="53"/>
      <c r="BQ138" s="53"/>
      <c r="BR138" s="53"/>
      <c r="BS138" s="53"/>
      <c r="BT138" s="53"/>
      <c r="BU138" s="53"/>
      <c r="BV138" s="53"/>
      <c r="BW138" s="53"/>
      <c r="BX138" s="53"/>
      <c r="BY138" s="53"/>
      <c r="BZ138" s="53"/>
      <c r="CA138" s="53"/>
      <c r="CB138" s="53"/>
      <c r="CC138" s="53"/>
      <c r="CD138" s="53"/>
      <c r="CE138" s="53"/>
      <c r="CF138" s="53"/>
      <c r="CG138" s="53"/>
      <c r="CH138" s="53"/>
      <c r="CI138" s="53"/>
      <c r="CJ138" s="53"/>
      <c r="CK138" s="53"/>
      <c r="CL138" s="53"/>
      <c r="CM138" s="53"/>
      <c r="CN138" s="53"/>
      <c r="CO138" s="53"/>
      <c r="CP138" s="53"/>
      <c r="CQ138" s="53"/>
      <c r="CR138" s="1"/>
      <c r="CS138" s="1"/>
      <c r="CT138" s="1"/>
      <c r="CU138" s="1"/>
    </row>
    <row r="139" spans="1:99" s="13" customFormat="1" ht="12" customHeight="1" x14ac:dyDescent="0.2">
      <c r="A139" s="68">
        <v>43509</v>
      </c>
      <c r="B139" s="70" t="s">
        <v>256</v>
      </c>
      <c r="C139" s="70" t="s">
        <v>48</v>
      </c>
      <c r="D139" s="69">
        <v>1975</v>
      </c>
      <c r="E139" s="87">
        <v>3</v>
      </c>
      <c r="F139" s="69">
        <v>60</v>
      </c>
      <c r="G139" s="69">
        <v>60</v>
      </c>
      <c r="H139" s="69" t="s">
        <v>32</v>
      </c>
      <c r="I139" s="69" t="s">
        <v>839</v>
      </c>
      <c r="J139" s="69" t="s">
        <v>443</v>
      </c>
      <c r="K139" s="69">
        <f>IF(J139="syllables",1,IF(J139="trigrams",2,IF(J139="strings",3,IF(J139="visual array",4,IF(J139="characters",5,IF(J139="letters",6,IF(J139="free forms",7,IF(J139="odors",8,IF(J139="words",9,IF(J139="pictures",10,IF(J139="object pictures",11,IF(J139="faces",12,IF(J139="names",13,IF(J139="idioms",14,IF(J139="grades",15,IF(J139="syllable-digit pairs",16,IF(J139="trigram-word pairs",17,IF(J139="word-digit pairs",18,IF(J139="English-Swahili pairs",19,IF(J139="spatial position",20,IF(J139="word pairs",21,IF(J139="word triads",22,IF(J139="generated words",23,IF(J139="word definition pairs",24,IF(J139="math problems",25,IF(J139="famous faces",26,IF(J139="famous names",27,IF(J139="famous voices",28,IF(J139="television programs",29,IF(J139="race horses",30,IF(J139="new vocabulary",31,IF(J139="sentences",32,IF(J139="concepts",33,IF(J139="ad slides",34,IF(J139="scenes",35,IF(J139="famous scenes",36,IF(J139="poems",37,IF(J139="walk",38,IF(J139="faces and events",39,IF(J139="events and names",40,IF(J139="flashbulb",41,IF(J139="stories",42,IF(J139="course material",43,IF(J139="autobiographical",44,IF(J139="novels",45,IF(J139="public events",46,"99"))))))))))))))))))))))))))))))))))))))))))))))</f>
        <v>2</v>
      </c>
      <c r="L139" s="69">
        <f>IF(J139="syllables",1,IF(J139="trigrams",1,IF(J139="strings",1,IF(J139="visual array",1,IF(J139="characters",1,IF(J139="letters",1,IF(J139="free forms",1,IF(J139="odors",2,IF(J139="words",2,IF(J139="pictures",2,IF(J139="object pictures",2,IF(J139="faces",2,IF(J139="names",2,IF(J139="idioms","2",IF(J139="grades",2,IF(J139="syllable-digit pairs",3,IF(J139="trigram-word pairs",3,IF(J139="word-digit pairs",3,IF(J139="English-Swahili pairs",3,IF(J139="spatial position",3,IF(J139="word pairs",4,IF(J139="word triads",4,IF(J139="generated words",4,IF(J139="word definition pairs",4,IF(J139="math problems",4,IF(J139="famous faces",4,IF(J139="famous names",4,IF(J139="famous voices",4,IF(J139="television programs",4,IF(J139="race horses",4,IF(J139="new vocabulary",4,IF(J139="sentences",5,IF(J139="concepts",5,IF(J139="ad slides",5,IF(J139="scenes",5,IF(J139="famous scenes",5,IF(J139="poems",6,IF(J139="walk",6,IF(J139="faces and events",6,IF(J139="events and names",6,IF(J139="flashbulb",7,IF(J139="stories",7,IF(J139="course material",7,IF(J139="autobiographical",7,IF(J139="novels",7,IF(J139="public events",7,"99"))))))))))))))))))))))))))))))))))))))))))))))</f>
        <v>1</v>
      </c>
      <c r="M139" s="69">
        <v>0</v>
      </c>
      <c r="N139" s="69">
        <v>1</v>
      </c>
      <c r="O139" s="69">
        <v>1</v>
      </c>
      <c r="P139" s="69" t="s">
        <v>27</v>
      </c>
      <c r="Q139" s="69" t="s">
        <v>174</v>
      </c>
      <c r="R139" s="69">
        <f>IF(Q139="Free Recall",1,IF(Q139="Cued Recall",2,IF(Q139="Recognition",3,IF(Q139="Multiple Choice",4,IF(Q139="Savings",5,IF(Q139="Stem Completion",6,IF(Q139="Fragment Completion",7,IF(Q139="anagram solution",8,IF(Q139="Matching",9,IF(Q139="Problem Solving",10,"99"))))))))))</f>
        <v>1</v>
      </c>
      <c r="S139" s="69" t="s">
        <v>49</v>
      </c>
      <c r="T139" s="92" t="s">
        <v>581</v>
      </c>
      <c r="U139" s="60">
        <f>IF(T139="within",1,0)</f>
        <v>1</v>
      </c>
      <c r="V139" s="92">
        <v>48</v>
      </c>
      <c r="W139" s="69">
        <f>F139*V139</f>
        <v>2880</v>
      </c>
      <c r="X139" s="69">
        <v>5</v>
      </c>
      <c r="Y139" s="87">
        <f>AV138</f>
        <v>2</v>
      </c>
      <c r="Z139" s="69" t="s">
        <v>52</v>
      </c>
      <c r="AA139" s="69">
        <v>30</v>
      </c>
      <c r="AB139" s="69" t="str">
        <f>IF(AA139&lt;60,"1",IF(AA139&lt;=43200,"2",IF(AA139&lt;=777600,"3","4")))</f>
        <v>1</v>
      </c>
      <c r="AC139" s="72">
        <f>AVERAGE(AV138:DA138)</f>
        <v>10</v>
      </c>
      <c r="AD139" s="69" t="str">
        <f>IF(AC139&lt;60,"1",IF(AC139&lt;=43200,"2",IF(AC139&lt;=777600,"3","4")))</f>
        <v>1</v>
      </c>
      <c r="AE139" s="87">
        <f>AA139-Y139</f>
        <v>28</v>
      </c>
      <c r="AF139" s="88">
        <f>AV139</f>
        <v>0.69</v>
      </c>
      <c r="AG139" s="72">
        <f>((AW139-AV139)+(AX139-AW139)+(AY139-AX139)+(AZ139-AY139))/4</f>
        <v>-3.999999999999998E-2</v>
      </c>
      <c r="AH139" s="4"/>
      <c r="AI139" s="72">
        <f>RSQ(AV139:AZ139,AV138:AZ138)</f>
        <v>0.40948097601323413</v>
      </c>
      <c r="AJ139" s="110">
        <f>SLOPE(AV139:AZ139,AV138:AZ138)</f>
        <v>-3.4230769230769215E-3</v>
      </c>
      <c r="AK139" s="72">
        <f>INTERCEPT(AV139:AZ139,AV138:AZ138)</f>
        <v>0.62223076923076903</v>
      </c>
      <c r="AL139" s="72">
        <f>INDEX(LINEST(LN(AV139:AZ139),LN(AV138:AZ138),TRUE,TRUE),3,1)</f>
        <v>0.68616073597589022</v>
      </c>
      <c r="AM139" s="72">
        <f>INDEX(LINEST(LN(AV139:AZ139),LN(AV138:AZ138)),1)</f>
        <v>-8.2331852575010564E-2</v>
      </c>
      <c r="AN139" s="72">
        <f>EXP(INDEX(LINEST(LN(AV139:AZ139),LN(AV138:AZ138)),1,2))</f>
        <v>0.68310167819811818</v>
      </c>
      <c r="AO139" s="89">
        <f>INDEX(LINEST((AV139:AZ139),LN(AV138:AZ138),TRUE,TRUE),3,1)</f>
        <v>0.66464152250651221</v>
      </c>
      <c r="AP139" s="89">
        <f>INDEX(LINEST((AV139:AZ139),LN(AV138:AZ138)),1)</f>
        <v>-4.9640169256534861E-2</v>
      </c>
      <c r="AQ139" s="90">
        <f>INDEX(LINEST(LN(AV139:AZ139),SQRT(AV138:AZ138),TRUE,TRUE),3,1)</f>
        <v>0.54689751580064139</v>
      </c>
      <c r="AR139" s="117">
        <f>INDEX(LINEST(LN(AV139:AZ139),SQRT((AV138:AZ138))),1)</f>
        <v>-4.6929165111634183E-2</v>
      </c>
      <c r="AS139" s="91">
        <f>INDEX(LINEST(1/(AV139:AZ139),1/(SQRT(AV138:AZ138)),TRUE,TRUE),3,1)</f>
        <v>0.80998255704288147</v>
      </c>
      <c r="AT139" s="91">
        <f>INDEX(LINEST(1/(AV139:AZ139),1/SQRT(AV138:AZ138)),1)</f>
        <v>-0.7623606311602561</v>
      </c>
      <c r="AU139" s="3"/>
      <c r="AV139" s="73">
        <v>0.69</v>
      </c>
      <c r="AW139" s="73">
        <v>0.56000000000000005</v>
      </c>
      <c r="AX139" s="73">
        <v>0.59</v>
      </c>
      <c r="AY139" s="73">
        <v>0.56999999999999995</v>
      </c>
      <c r="AZ139" s="73">
        <v>0.53</v>
      </c>
      <c r="BA139" s="73"/>
      <c r="BB139" s="53"/>
      <c r="BC139" s="53"/>
      <c r="BD139" s="53"/>
      <c r="BE139" s="53"/>
      <c r="BF139" s="53"/>
      <c r="BG139" s="53"/>
      <c r="BH139" s="53"/>
      <c r="BI139" s="53"/>
      <c r="BJ139" s="53"/>
      <c r="BK139" s="53"/>
      <c r="BL139" s="53"/>
      <c r="BM139" s="53"/>
      <c r="BN139" s="53"/>
      <c r="BO139" s="53"/>
      <c r="BP139" s="53"/>
      <c r="BQ139" s="53"/>
      <c r="BR139" s="53"/>
      <c r="BS139" s="53"/>
      <c r="BT139" s="53"/>
      <c r="BU139" s="53"/>
      <c r="BV139" s="53"/>
      <c r="BW139" s="53"/>
      <c r="BX139" s="53"/>
      <c r="BY139" s="53"/>
      <c r="BZ139" s="53"/>
      <c r="CA139" s="53"/>
      <c r="CB139" s="53"/>
      <c r="CC139" s="53"/>
      <c r="CD139" s="53"/>
      <c r="CE139" s="53"/>
      <c r="CF139" s="53"/>
      <c r="CG139" s="53"/>
      <c r="CH139" s="53"/>
      <c r="CI139" s="53"/>
      <c r="CJ139" s="53"/>
      <c r="CK139" s="53"/>
      <c r="CL139" s="53"/>
      <c r="CM139" s="53"/>
      <c r="CN139" s="53"/>
      <c r="CO139" s="53"/>
      <c r="CP139" s="53"/>
      <c r="CQ139" s="53"/>
      <c r="CR139" s="1"/>
      <c r="CS139" s="1"/>
      <c r="CT139" s="1"/>
      <c r="CU139" s="1"/>
    </row>
    <row r="140" spans="1:99" s="13" customFormat="1" ht="12" customHeight="1" x14ac:dyDescent="0.2">
      <c r="A140" s="68">
        <v>43509</v>
      </c>
      <c r="B140" s="70"/>
      <c r="C140" s="70"/>
      <c r="D140" s="69"/>
      <c r="E140" s="87"/>
      <c r="F140" s="69"/>
      <c r="G140" s="69"/>
      <c r="H140" s="69"/>
      <c r="I140" s="69"/>
      <c r="J140" s="69"/>
      <c r="K140" s="107"/>
      <c r="L140" s="107"/>
      <c r="M140" s="69"/>
      <c r="N140" s="69"/>
      <c r="O140" s="69"/>
      <c r="P140" s="69"/>
      <c r="Q140" s="69"/>
      <c r="R140" s="69"/>
      <c r="S140" s="69"/>
      <c r="T140" s="69"/>
      <c r="U140" s="60"/>
      <c r="V140" s="69"/>
      <c r="W140" s="69"/>
      <c r="X140" s="69"/>
      <c r="Y140" s="87"/>
      <c r="Z140" s="69"/>
      <c r="AA140" s="69"/>
      <c r="AB140" s="69"/>
      <c r="AC140" s="69"/>
      <c r="AD140" s="69"/>
      <c r="AE140" s="69"/>
      <c r="AF140" s="88"/>
      <c r="AG140" s="72"/>
      <c r="AH140" s="4"/>
      <c r="AI140" s="72"/>
      <c r="AJ140" s="110"/>
      <c r="AK140" s="72"/>
      <c r="AL140" s="72"/>
      <c r="AM140" s="72"/>
      <c r="AN140" s="72"/>
      <c r="AO140" s="89"/>
      <c r="AP140" s="89"/>
      <c r="AQ140" s="72"/>
      <c r="AR140" s="110"/>
      <c r="AS140" s="72"/>
      <c r="AT140" s="72"/>
      <c r="AU140" s="3"/>
      <c r="AV140" s="71">
        <v>2</v>
      </c>
      <c r="AW140" s="71">
        <v>4</v>
      </c>
      <c r="AX140" s="71">
        <v>6</v>
      </c>
      <c r="AY140" s="71">
        <v>8</v>
      </c>
      <c r="AZ140" s="71">
        <v>30</v>
      </c>
      <c r="BA140" s="73"/>
      <c r="BB140" s="53"/>
      <c r="BC140" s="53"/>
      <c r="BD140" s="53"/>
      <c r="BE140" s="53"/>
      <c r="BF140" s="53"/>
      <c r="BG140" s="53"/>
      <c r="BH140" s="53"/>
      <c r="BI140" s="53"/>
      <c r="BJ140" s="53"/>
      <c r="BK140" s="53"/>
      <c r="BL140" s="53"/>
      <c r="BM140" s="53"/>
      <c r="BN140" s="53"/>
      <c r="BO140" s="53"/>
      <c r="BP140" s="53"/>
      <c r="BQ140" s="53"/>
      <c r="BR140" s="53"/>
      <c r="BS140" s="53"/>
      <c r="BT140" s="53"/>
      <c r="BU140" s="53"/>
      <c r="BV140" s="53"/>
      <c r="BW140" s="53"/>
      <c r="BX140" s="53"/>
      <c r="BY140" s="53"/>
      <c r="BZ140" s="53"/>
      <c r="CA140" s="53"/>
      <c r="CB140" s="53"/>
      <c r="CC140" s="53"/>
      <c r="CD140" s="53"/>
      <c r="CE140" s="53"/>
      <c r="CF140" s="53"/>
      <c r="CG140" s="53"/>
      <c r="CH140" s="53"/>
      <c r="CI140" s="53"/>
      <c r="CJ140" s="53"/>
      <c r="CK140" s="53"/>
      <c r="CL140" s="53"/>
      <c r="CM140" s="53"/>
      <c r="CN140" s="53"/>
      <c r="CO140" s="53"/>
      <c r="CP140" s="53"/>
      <c r="CQ140" s="53"/>
      <c r="CR140" s="1"/>
      <c r="CS140" s="1"/>
      <c r="CT140" s="1"/>
      <c r="CU140" s="1"/>
    </row>
    <row r="141" spans="1:99" s="13" customFormat="1" ht="12" customHeight="1" x14ac:dyDescent="0.2">
      <c r="A141" s="68">
        <v>43509</v>
      </c>
      <c r="B141" s="70" t="s">
        <v>256</v>
      </c>
      <c r="C141" s="70" t="s">
        <v>48</v>
      </c>
      <c r="D141" s="69">
        <v>1975</v>
      </c>
      <c r="E141" s="87">
        <v>3</v>
      </c>
      <c r="F141" s="69">
        <v>60</v>
      </c>
      <c r="G141" s="69">
        <v>60</v>
      </c>
      <c r="H141" s="69" t="s">
        <v>32</v>
      </c>
      <c r="I141" s="69" t="s">
        <v>840</v>
      </c>
      <c r="J141" s="69" t="s">
        <v>443</v>
      </c>
      <c r="K141" s="69">
        <f>IF(J141="syllables",1,IF(J141="trigrams",2,IF(J141="strings",3,IF(J141="visual array",4,IF(J141="characters",5,IF(J141="letters",6,IF(J141="free forms",7,IF(J141="odors",8,IF(J141="words",9,IF(J141="pictures",10,IF(J141="object pictures",11,IF(J141="faces",12,IF(J141="names",13,IF(J141="idioms",14,IF(J141="grades",15,IF(J141="syllable-digit pairs",16,IF(J141="trigram-word pairs",17,IF(J141="word-digit pairs",18,IF(J141="English-Swahili pairs",19,IF(J141="spatial position",20,IF(J141="word pairs",21,IF(J141="word triads",22,IF(J141="generated words",23,IF(J141="word definition pairs",24,IF(J141="math problems",25,IF(J141="famous faces",26,IF(J141="famous names",27,IF(J141="famous voices",28,IF(J141="television programs",29,IF(J141="race horses",30,IF(J141="new vocabulary",31,IF(J141="sentences",32,IF(J141="concepts",33,IF(J141="ad slides",34,IF(J141="scenes",35,IF(J141="famous scenes",36,IF(J141="poems",37,IF(J141="walk",38,IF(J141="faces and events",39,IF(J141="events and names",40,IF(J141="flashbulb",41,IF(J141="stories",42,IF(J141="course material",43,IF(J141="autobiographical",44,IF(J141="novels",45,IF(J141="public events",46,"99"))))))))))))))))))))))))))))))))))))))))))))))</f>
        <v>2</v>
      </c>
      <c r="L141" s="69">
        <f>IF(J141="syllables",1,IF(J141="trigrams",1,IF(J141="strings",1,IF(J141="visual array",1,IF(J141="characters",1,IF(J141="letters",1,IF(J141="free forms",1,IF(J141="odors",2,IF(J141="words",2,IF(J141="pictures",2,IF(J141="object pictures",2,IF(J141="faces",2,IF(J141="names",2,IF(J141="idioms","2",IF(J141="grades",2,IF(J141="syllable-digit pairs",3,IF(J141="trigram-word pairs",3,IF(J141="word-digit pairs",3,IF(J141="English-Swahili pairs",3,IF(J141="spatial position",3,IF(J141="word pairs",4,IF(J141="word triads",4,IF(J141="generated words",4,IF(J141="word definition pairs",4,IF(J141="math problems",4,IF(J141="famous faces",4,IF(J141="famous names",4,IF(J141="famous voices",4,IF(J141="television programs",4,IF(J141="race horses",4,IF(J141="new vocabulary",4,IF(J141="sentences",5,IF(J141="concepts",5,IF(J141="ad slides",5,IF(J141="scenes",5,IF(J141="famous scenes",5,IF(J141="poems",6,IF(J141="walk",6,IF(J141="faces and events",6,IF(J141="events and names",6,IF(J141="flashbulb",7,IF(J141="stories",7,IF(J141="course material",7,IF(J141="autobiographical",7,IF(J141="novels",7,IF(J141="public events",7,"99"))))))))))))))))))))))))))))))))))))))))))))))</f>
        <v>1</v>
      </c>
      <c r="M141" s="69">
        <v>0</v>
      </c>
      <c r="N141" s="69">
        <v>1</v>
      </c>
      <c r="O141" s="69">
        <v>1</v>
      </c>
      <c r="P141" s="69" t="s">
        <v>27</v>
      </c>
      <c r="Q141" s="69" t="s">
        <v>174</v>
      </c>
      <c r="R141" s="69">
        <f>IF(Q141="Free Recall",1,IF(Q141="Cued Recall",2,IF(Q141="Recognition",3,IF(Q141="Multiple Choice",4,IF(Q141="Savings",5,IF(Q141="Stem Completion",6,IF(Q141="Fragment Completion",7,IF(Q141="anagram solution",8,IF(Q141="Matching",9,IF(Q141="Problem Solving",10,"99"))))))))))</f>
        <v>1</v>
      </c>
      <c r="S141" s="69" t="s">
        <v>49</v>
      </c>
      <c r="T141" s="92" t="s">
        <v>581</v>
      </c>
      <c r="U141" s="60">
        <f>IF(T141="within",1,0)</f>
        <v>1</v>
      </c>
      <c r="V141" s="92">
        <v>48</v>
      </c>
      <c r="W141" s="69">
        <f>F141*V141</f>
        <v>2880</v>
      </c>
      <c r="X141" s="69">
        <v>5</v>
      </c>
      <c r="Y141" s="87">
        <f>AV140</f>
        <v>2</v>
      </c>
      <c r="Z141" s="69" t="s">
        <v>52</v>
      </c>
      <c r="AA141" s="69">
        <v>30</v>
      </c>
      <c r="AB141" s="69" t="str">
        <f>IF(AA141&lt;60,"1",IF(AA141&lt;=43200,"2",IF(AA141&lt;=777600,"3","4")))</f>
        <v>1</v>
      </c>
      <c r="AC141" s="72">
        <f>AVERAGE(AV140:DA140)</f>
        <v>10</v>
      </c>
      <c r="AD141" s="69" t="str">
        <f>IF(AC141&lt;60,"1",IF(AC141&lt;=43200,"2",IF(AC141&lt;=777600,"3","4")))</f>
        <v>1</v>
      </c>
      <c r="AE141" s="87">
        <f>AA141-Y141</f>
        <v>28</v>
      </c>
      <c r="AF141" s="88">
        <f>AV141</f>
        <v>0.91</v>
      </c>
      <c r="AG141" s="72">
        <f>((AW141-AV141)+(AX141-AW141)+(AY141-AX141)+(AZ141-AY141))/4</f>
        <v>-0.11750000000000001</v>
      </c>
      <c r="AH141" s="4"/>
      <c r="AI141" s="72">
        <f>RSQ(AV141:AZ141,AV140:AZ140)</f>
        <v>0.45742244430564222</v>
      </c>
      <c r="AJ141" s="110">
        <f>SLOPE(AV141:AZ141,AV140:AZ140)</f>
        <v>-1.2999999999999999E-2</v>
      </c>
      <c r="AK141" s="72">
        <f>INTERCEPT(AV141:AZ141,AV140:AZ140)</f>
        <v>0.77600000000000002</v>
      </c>
      <c r="AL141" s="72">
        <f>INDEX(LINEST(LN(AV141:AZ141),LN(AV140:AZ140),TRUE,TRUE),3,1)</f>
        <v>0.76775218720644822</v>
      </c>
      <c r="AM141" s="72">
        <f>INDEX(LINEST(LN(AV141:AZ141),LN(AV140:AZ140)),1)</f>
        <v>-0.29384836738253917</v>
      </c>
      <c r="AN141" s="72">
        <f>EXP(INDEX(LINEST(LN(AV141:AZ141),LN(AV140:AZ140)),1,2))</f>
        <v>1.0693749631730214</v>
      </c>
      <c r="AO141" s="89">
        <f>INDEX(LINEST((AV141:AZ141),LN(AV140:AZ140),TRUE,TRUE),3,1)</f>
        <v>0.73911308624957972</v>
      </c>
      <c r="AP141" s="89">
        <f>INDEX(LINEST((AV141:AZ141),LN(AV140:AZ140)),1)</f>
        <v>-0.18809609872231658</v>
      </c>
      <c r="AQ141" s="90">
        <f>INDEX(LINEST(LN(AV141:AZ141),SQRT(AV140:AZ140),TRUE,TRUE),3,1)</f>
        <v>0.63034553577708341</v>
      </c>
      <c r="AR141" s="117">
        <f>INDEX(LINEST(LN(AV141:AZ141),SQRT((AV140:AZ140))),1)</f>
        <v>-0.16999532889551638</v>
      </c>
      <c r="AS141" s="91">
        <f>INDEX(LINEST(1/(AV141:AZ141),1/(SQRT(AV140:AZ140)),TRUE,TRUE),3,1)</f>
        <v>0.83665698894686391</v>
      </c>
      <c r="AT141" s="91">
        <f>INDEX(LINEST(1/(AV141:AZ141),1/SQRT(AV140:AZ140)),1)</f>
        <v>-2.5429425308656679</v>
      </c>
      <c r="AU141" s="3"/>
      <c r="AV141" s="73">
        <v>0.91</v>
      </c>
      <c r="AW141" s="73">
        <v>0.85</v>
      </c>
      <c r="AX141" s="73">
        <v>0.56000000000000005</v>
      </c>
      <c r="AY141" s="73">
        <v>0.47</v>
      </c>
      <c r="AZ141" s="73">
        <v>0.44</v>
      </c>
      <c r="BA141" s="73"/>
      <c r="BB141" s="53"/>
      <c r="BC141" s="53"/>
      <c r="BD141" s="53"/>
      <c r="BE141" s="53"/>
      <c r="BF141" s="53"/>
      <c r="BG141" s="53"/>
      <c r="BH141" s="53"/>
      <c r="BI141" s="53"/>
      <c r="BJ141" s="53"/>
      <c r="BK141" s="53"/>
      <c r="BL141" s="53"/>
      <c r="BM141" s="53"/>
      <c r="BN141" s="53"/>
      <c r="BO141" s="53"/>
      <c r="BP141" s="53"/>
      <c r="BQ141" s="53"/>
      <c r="BR141" s="53"/>
      <c r="BS141" s="53"/>
      <c r="BT141" s="53"/>
      <c r="BU141" s="53"/>
      <c r="BV141" s="53"/>
      <c r="BW141" s="53"/>
      <c r="BX141" s="53"/>
      <c r="BY141" s="53"/>
      <c r="BZ141" s="53"/>
      <c r="CA141" s="53"/>
      <c r="CB141" s="53"/>
      <c r="CC141" s="53"/>
      <c r="CD141" s="53"/>
      <c r="CE141" s="53"/>
      <c r="CF141" s="53"/>
      <c r="CG141" s="53"/>
      <c r="CH141" s="53"/>
      <c r="CI141" s="53"/>
      <c r="CJ141" s="53"/>
      <c r="CK141" s="53"/>
      <c r="CL141" s="53"/>
      <c r="CM141" s="53"/>
      <c r="CN141" s="53"/>
      <c r="CO141" s="53"/>
      <c r="CP141" s="53"/>
      <c r="CQ141" s="53"/>
      <c r="CR141" s="1"/>
      <c r="CS141" s="1"/>
      <c r="CT141" s="1"/>
      <c r="CU141" s="1"/>
    </row>
    <row r="142" spans="1:99" s="13" customFormat="1" ht="12" customHeight="1" x14ac:dyDescent="0.2">
      <c r="A142" s="68">
        <v>43509</v>
      </c>
      <c r="B142" s="70"/>
      <c r="C142" s="70"/>
      <c r="D142" s="69"/>
      <c r="E142" s="87"/>
      <c r="F142" s="69"/>
      <c r="G142" s="69"/>
      <c r="H142" s="69"/>
      <c r="I142" s="69"/>
      <c r="J142" s="69"/>
      <c r="K142" s="107"/>
      <c r="L142" s="107"/>
      <c r="M142" s="69"/>
      <c r="N142" s="69"/>
      <c r="O142" s="69"/>
      <c r="P142" s="69"/>
      <c r="Q142" s="69"/>
      <c r="R142" s="69"/>
      <c r="S142" s="69"/>
      <c r="T142" s="69"/>
      <c r="U142" s="60"/>
      <c r="V142" s="69"/>
      <c r="W142" s="69"/>
      <c r="X142" s="86"/>
      <c r="Y142" s="87"/>
      <c r="Z142" s="69"/>
      <c r="AA142" s="69"/>
      <c r="AB142" s="69"/>
      <c r="AC142" s="69"/>
      <c r="AD142" s="69"/>
      <c r="AE142" s="69"/>
      <c r="AF142" s="88"/>
      <c r="AG142" s="72"/>
      <c r="AH142" s="4"/>
      <c r="AI142" s="72"/>
      <c r="AJ142" s="110"/>
      <c r="AK142" s="72"/>
      <c r="AL142" s="72"/>
      <c r="AM142" s="72"/>
      <c r="AN142" s="72"/>
      <c r="AO142" s="72"/>
      <c r="AP142" s="72"/>
      <c r="AQ142" s="72"/>
      <c r="AR142" s="110"/>
      <c r="AS142" s="72"/>
      <c r="AT142" s="72"/>
      <c r="AU142" s="4"/>
      <c r="AV142" s="71">
        <v>2.25</v>
      </c>
      <c r="AW142" s="71">
        <v>4.5</v>
      </c>
      <c r="AX142" s="71">
        <v>9</v>
      </c>
      <c r="AY142" s="71">
        <v>27</v>
      </c>
      <c r="AZ142" s="71"/>
      <c r="BA142" s="73"/>
      <c r="BB142" s="53"/>
      <c r="BC142" s="53"/>
      <c r="BD142" s="53"/>
      <c r="BE142" s="53"/>
      <c r="BF142" s="53"/>
      <c r="BG142" s="53"/>
      <c r="BH142" s="53"/>
      <c r="BI142" s="53"/>
      <c r="BJ142" s="53"/>
      <c r="BK142" s="53"/>
      <c r="BL142" s="53"/>
      <c r="BM142" s="53"/>
      <c r="BN142" s="53"/>
      <c r="BO142" s="53"/>
      <c r="BP142" s="53"/>
      <c r="BQ142" s="53"/>
      <c r="BR142" s="53"/>
      <c r="BS142" s="53"/>
      <c r="BT142" s="53"/>
      <c r="BU142" s="53"/>
      <c r="BV142" s="53"/>
      <c r="BW142" s="53"/>
      <c r="BX142" s="53"/>
      <c r="BY142" s="53"/>
      <c r="BZ142" s="53"/>
      <c r="CA142" s="53"/>
      <c r="CB142" s="53"/>
      <c r="CC142" s="53"/>
      <c r="CD142" s="53"/>
      <c r="CE142" s="53"/>
      <c r="CF142" s="53"/>
      <c r="CG142" s="53"/>
      <c r="CH142" s="53"/>
      <c r="CI142" s="53"/>
      <c r="CJ142" s="53"/>
      <c r="CK142" s="53"/>
      <c r="CL142" s="53"/>
      <c r="CM142" s="53"/>
      <c r="CN142" s="53"/>
      <c r="CO142" s="53"/>
      <c r="CP142" s="53"/>
      <c r="CQ142" s="53"/>
      <c r="CR142" s="1"/>
      <c r="CS142" s="1"/>
      <c r="CT142" s="1"/>
      <c r="CU142" s="1"/>
    </row>
    <row r="143" spans="1:99" s="13" customFormat="1" ht="12" customHeight="1" x14ac:dyDescent="0.2">
      <c r="A143" s="68">
        <v>43509</v>
      </c>
      <c r="B143" s="70" t="s">
        <v>256</v>
      </c>
      <c r="C143" s="70" t="s">
        <v>48</v>
      </c>
      <c r="D143" s="69">
        <v>1975</v>
      </c>
      <c r="E143" s="87">
        <v>4</v>
      </c>
      <c r="F143" s="69">
        <v>60</v>
      </c>
      <c r="G143" s="69">
        <v>60</v>
      </c>
      <c r="H143" s="69" t="s">
        <v>43</v>
      </c>
      <c r="I143" s="69" t="s">
        <v>842</v>
      </c>
      <c r="J143" s="69" t="s">
        <v>443</v>
      </c>
      <c r="K143" s="69">
        <f>IF(J143="syllables",1,IF(J143="trigrams",2,IF(J143="strings",3,IF(J143="visual array",4,IF(J143="characters",5,IF(J143="letters",6,IF(J143="free forms",7,IF(J143="odors",8,IF(J143="words",9,IF(J143="pictures",10,IF(J143="object pictures",11,IF(J143="faces",12,IF(J143="names",13,IF(J143="idioms",14,IF(J143="grades",15,IF(J143="syllable-digit pairs",16,IF(J143="trigram-word pairs",17,IF(J143="word-digit pairs",18,IF(J143="English-Swahili pairs",19,IF(J143="spatial position",20,IF(J143="word pairs",21,IF(J143="word triads",22,IF(J143="generated words",23,IF(J143="word definition pairs",24,IF(J143="math problems",25,IF(J143="famous faces",26,IF(J143="famous names",27,IF(J143="famous voices",28,IF(J143="television programs",29,IF(J143="race horses",30,IF(J143="new vocabulary",31,IF(J143="sentences",32,IF(J143="concepts",33,IF(J143="ad slides",34,IF(J143="scenes",35,IF(J143="famous scenes",36,IF(J143="poems",37,IF(J143="walk",38,IF(J143="faces and events",39,IF(J143="events and names",40,IF(J143="flashbulb",41,IF(J143="stories",42,IF(J143="course material",43,IF(J143="autobiographical",44,IF(J143="novels",45,IF(J143="public events",46,"99"))))))))))))))))))))))))))))))))))))))))))))))</f>
        <v>2</v>
      </c>
      <c r="L143" s="69">
        <f>IF(J143="syllables",1,IF(J143="trigrams",1,IF(J143="strings",1,IF(J143="visual array",1,IF(J143="characters",1,IF(J143="letters",1,IF(J143="free forms",1,IF(J143="odors",2,IF(J143="words",2,IF(J143="pictures",2,IF(J143="object pictures",2,IF(J143="faces",2,IF(J143="names",2,IF(J143="idioms","2",IF(J143="grades",2,IF(J143="syllable-digit pairs",3,IF(J143="trigram-word pairs",3,IF(J143="word-digit pairs",3,IF(J143="English-Swahili pairs",3,IF(J143="spatial position",3,IF(J143="word pairs",4,IF(J143="word triads",4,IF(J143="generated words",4,IF(J143="word definition pairs",4,IF(J143="math problems",4,IF(J143="famous faces",4,IF(J143="famous names",4,IF(J143="famous voices",4,IF(J143="television programs",4,IF(J143="race horses",4,IF(J143="new vocabulary",4,IF(J143="sentences",5,IF(J143="concepts",5,IF(J143="ad slides",5,IF(J143="scenes",5,IF(J143="famous scenes",5,IF(J143="poems",6,IF(J143="walk",6,IF(J143="faces and events",6,IF(J143="events and names",6,IF(J143="flashbulb",7,IF(J143="stories",7,IF(J143="course material",7,IF(J143="autobiographical",7,IF(J143="novels",7,IF(J143="public events",7,"99"))))))))))))))))))))))))))))))))))))))))))))))</f>
        <v>1</v>
      </c>
      <c r="M143" s="69">
        <v>0</v>
      </c>
      <c r="N143" s="69">
        <v>1</v>
      </c>
      <c r="O143" s="69">
        <v>1</v>
      </c>
      <c r="P143" s="69" t="s">
        <v>27</v>
      </c>
      <c r="Q143" s="69" t="s">
        <v>174</v>
      </c>
      <c r="R143" s="69">
        <f>IF(Q143="Free Recall",1,IF(Q143="Cued Recall",2,IF(Q143="Recognition",3,IF(Q143="Multiple Choice",4,IF(Q143="Savings",5,IF(Q143="Stem Completion",6,IF(Q143="Fragment Completion",7,IF(Q143="anagram solution",8,IF(Q143="Matching",9,IF(Q143="Problem Solving",10,"99"))))))))))</f>
        <v>1</v>
      </c>
      <c r="S143" s="69" t="s">
        <v>49</v>
      </c>
      <c r="T143" s="92" t="s">
        <v>581</v>
      </c>
      <c r="U143" s="60">
        <f>IF(T143="within",1,0)</f>
        <v>1</v>
      </c>
      <c r="V143" s="92">
        <v>48</v>
      </c>
      <c r="W143" s="69">
        <f>F143*V143</f>
        <v>2880</v>
      </c>
      <c r="X143" s="69">
        <v>4</v>
      </c>
      <c r="Y143" s="87">
        <f>AV142</f>
        <v>2.25</v>
      </c>
      <c r="Z143" s="69" t="s">
        <v>23</v>
      </c>
      <c r="AA143" s="69">
        <v>27</v>
      </c>
      <c r="AB143" s="69" t="str">
        <f>IF(AA143&lt;60,"1",IF(AA143&lt;=43200,"2",IF(AA143&lt;=777600,"3","4")))</f>
        <v>1</v>
      </c>
      <c r="AC143" s="72">
        <f>AVERAGE(AV142:DA142)</f>
        <v>10.6875</v>
      </c>
      <c r="AD143" s="69" t="str">
        <f>IF(AC143&lt;60,"1",IF(AC143&lt;=43200,"2",IF(AC143&lt;=777600,"3","4")))</f>
        <v>1</v>
      </c>
      <c r="AE143" s="87">
        <f>AA143-Y143</f>
        <v>24.75</v>
      </c>
      <c r="AF143" s="88">
        <f>AV143</f>
        <v>0.94</v>
      </c>
      <c r="AG143" s="72">
        <f>((AW143-AV143)+(AX143-AW143)+(AY143-AX143))/3</f>
        <v>-0.10333333333333332</v>
      </c>
      <c r="AH143" s="4"/>
      <c r="AI143" s="72">
        <f>RSQ(AV143:AY143,AV142:AY142)</f>
        <v>0.2327149111115385</v>
      </c>
      <c r="AJ143" s="110">
        <f>SLOPE(AV143:AY143,AV142:AY142)</f>
        <v>-8.651059085841694E-3</v>
      </c>
      <c r="AK143" s="72">
        <f>INTERCEPT(AV143:AY143,AV142:AY142)</f>
        <v>0.79745819397993301</v>
      </c>
      <c r="AL143" s="72">
        <f>INDEX(LINEST(LN(AV143:AY143),LN(AV142:AY142),TRUE,TRUE),3,1)</f>
        <v>0.43493608452958726</v>
      </c>
      <c r="AM143" s="72">
        <f>INDEX(LINEST(LN(AV143:AY143),LN(AV142:AY142)),1)</f>
        <v>-0.18527236101789452</v>
      </c>
      <c r="AN143" s="72">
        <f>EXP(INDEX(LINEST(LN(AV143:AY143),LN(AV142:AY142)),1,2))</f>
        <v>0.9800086758403469</v>
      </c>
      <c r="AO143" s="89">
        <f>INDEX(LINEST((AV143:AY143),LN(AV142:AY142),TRUE,TRUE),3,1)</f>
        <v>0.51649483916620587</v>
      </c>
      <c r="AP143" s="89">
        <f>INDEX(LINEST((AV143:AY143),LN(AV142:AY142)),1)</f>
        <v>-0.13659871974841223</v>
      </c>
      <c r="AQ143" s="90">
        <f>INDEX(LINEST(LN(AV143:AY143),SQRT(AV142:AY142),TRUE,TRUE),3,1)</f>
        <v>0.28698499201629862</v>
      </c>
      <c r="AR143" s="117">
        <f>INDEX(LINEST(LN(AV143:AY143),SQRT((AV142:AY142))),1)</f>
        <v>-9.8670840648517971E-2</v>
      </c>
      <c r="AS143" s="91">
        <f>INDEX(LINEST(1/(AV143:AY143),1/(SQRT(AV142:AY142)),TRUE,TRUE),3,1)</f>
        <v>0.47454507934596102</v>
      </c>
      <c r="AT143" s="91">
        <f>INDEX(LINEST(1/(AV143:AY143),1/SQRT(AV142:AY142)),1)</f>
        <v>-1.5712367881539562</v>
      </c>
      <c r="AU143" s="3"/>
      <c r="AV143" s="73">
        <v>0.94</v>
      </c>
      <c r="AW143" s="73">
        <v>0.78</v>
      </c>
      <c r="AX143" s="73">
        <v>0.47</v>
      </c>
      <c r="AY143" s="73">
        <v>0.63</v>
      </c>
      <c r="AZ143" s="73"/>
      <c r="BA143" s="73"/>
      <c r="BB143" s="53"/>
      <c r="BC143" s="53"/>
      <c r="BD143" s="53"/>
      <c r="BE143" s="53"/>
      <c r="BF143" s="53"/>
      <c r="BG143" s="53"/>
      <c r="BH143" s="53"/>
      <c r="BI143" s="53"/>
      <c r="BJ143" s="53"/>
      <c r="BK143" s="53"/>
      <c r="BL143" s="53"/>
      <c r="BM143" s="53"/>
      <c r="BN143" s="53"/>
      <c r="BO143" s="53"/>
      <c r="BP143" s="53"/>
      <c r="BQ143" s="53"/>
      <c r="BR143" s="53"/>
      <c r="BS143" s="53"/>
      <c r="BT143" s="53"/>
      <c r="BU143" s="53"/>
      <c r="BV143" s="53"/>
      <c r="BW143" s="53"/>
      <c r="BX143" s="53"/>
      <c r="BY143" s="53"/>
      <c r="BZ143" s="53"/>
      <c r="CA143" s="53"/>
      <c r="CB143" s="53"/>
      <c r="CC143" s="53"/>
      <c r="CD143" s="53"/>
      <c r="CE143" s="53"/>
      <c r="CF143" s="53"/>
      <c r="CG143" s="53"/>
      <c r="CH143" s="53"/>
      <c r="CI143" s="53"/>
      <c r="CJ143" s="53"/>
      <c r="CK143" s="53"/>
      <c r="CL143" s="53"/>
      <c r="CM143" s="53"/>
      <c r="CN143" s="53"/>
      <c r="CO143" s="53"/>
      <c r="CP143" s="53"/>
      <c r="CQ143" s="53"/>
      <c r="CR143" s="1"/>
      <c r="CS143" s="1"/>
      <c r="CT143" s="1"/>
      <c r="CU143" s="1"/>
    </row>
    <row r="144" spans="1:99" s="13" customFormat="1" ht="12" customHeight="1" x14ac:dyDescent="0.2">
      <c r="A144" s="68">
        <v>43509</v>
      </c>
      <c r="B144" s="70"/>
      <c r="C144" s="70"/>
      <c r="D144" s="69"/>
      <c r="E144" s="87"/>
      <c r="F144" s="69"/>
      <c r="G144" s="69"/>
      <c r="H144" s="69"/>
      <c r="I144" s="69"/>
      <c r="J144" s="69"/>
      <c r="K144" s="107"/>
      <c r="L144" s="107"/>
      <c r="M144" s="69"/>
      <c r="N144" s="69"/>
      <c r="O144" s="69"/>
      <c r="P144" s="69"/>
      <c r="Q144" s="69"/>
      <c r="R144" s="69"/>
      <c r="S144" s="69"/>
      <c r="T144" s="69"/>
      <c r="U144" s="60"/>
      <c r="V144" s="69"/>
      <c r="W144" s="69"/>
      <c r="X144" s="69"/>
      <c r="Y144" s="87"/>
      <c r="Z144" s="69"/>
      <c r="AA144" s="69"/>
      <c r="AB144" s="69"/>
      <c r="AC144" s="69"/>
      <c r="AD144" s="69"/>
      <c r="AE144" s="69"/>
      <c r="AF144" s="88"/>
      <c r="AG144" s="72"/>
      <c r="AH144" s="4"/>
      <c r="AI144" s="72"/>
      <c r="AJ144" s="110"/>
      <c r="AK144" s="72"/>
      <c r="AL144" s="72"/>
      <c r="AM144" s="72"/>
      <c r="AN144" s="72"/>
      <c r="AO144" s="89"/>
      <c r="AP144" s="89"/>
      <c r="AQ144" s="72"/>
      <c r="AR144" s="110"/>
      <c r="AS144" s="72"/>
      <c r="AT144" s="72"/>
      <c r="AU144" s="3"/>
      <c r="AV144" s="71">
        <v>2</v>
      </c>
      <c r="AW144" s="71">
        <v>4</v>
      </c>
      <c r="AX144" s="71">
        <v>6</v>
      </c>
      <c r="AY144" s="71">
        <v>8</v>
      </c>
      <c r="AZ144" s="71"/>
      <c r="BA144" s="73"/>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53"/>
      <c r="CD144" s="53"/>
      <c r="CE144" s="53"/>
      <c r="CF144" s="53"/>
      <c r="CG144" s="53"/>
      <c r="CH144" s="53"/>
      <c r="CI144" s="53"/>
      <c r="CJ144" s="53"/>
      <c r="CK144" s="53"/>
      <c r="CL144" s="53"/>
      <c r="CM144" s="53"/>
      <c r="CN144" s="53"/>
      <c r="CO144" s="53"/>
      <c r="CP144" s="53"/>
      <c r="CQ144" s="53"/>
      <c r="CR144" s="1"/>
      <c r="CS144" s="1"/>
      <c r="CT144" s="1"/>
      <c r="CU144" s="1"/>
    </row>
    <row r="145" spans="1:99" s="13" customFormat="1" ht="12" customHeight="1" x14ac:dyDescent="0.2">
      <c r="A145" s="68">
        <v>43509</v>
      </c>
      <c r="B145" s="70" t="s">
        <v>256</v>
      </c>
      <c r="C145" s="70" t="s">
        <v>48</v>
      </c>
      <c r="D145" s="69">
        <v>1975</v>
      </c>
      <c r="E145" s="87">
        <v>4</v>
      </c>
      <c r="F145" s="69">
        <v>60</v>
      </c>
      <c r="G145" s="69">
        <v>60</v>
      </c>
      <c r="H145" s="69" t="s">
        <v>43</v>
      </c>
      <c r="I145" s="69" t="s">
        <v>843</v>
      </c>
      <c r="J145" s="69" t="s">
        <v>443</v>
      </c>
      <c r="K145" s="69">
        <f>IF(J145="syllables",1,IF(J145="trigrams",2,IF(J145="strings",3,IF(J145="visual array",4,IF(J145="characters",5,IF(J145="letters",6,IF(J145="free forms",7,IF(J145="odors",8,IF(J145="words",9,IF(J145="pictures",10,IF(J145="object pictures",11,IF(J145="faces",12,IF(J145="names",13,IF(J145="idioms",14,IF(J145="grades",15,IF(J145="syllable-digit pairs",16,IF(J145="trigram-word pairs",17,IF(J145="word-digit pairs",18,IF(J145="English-Swahili pairs",19,IF(J145="spatial position",20,IF(J145="word pairs",21,IF(J145="word triads",22,IF(J145="generated words",23,IF(J145="word definition pairs",24,IF(J145="math problems",25,IF(J145="famous faces",26,IF(J145="famous names",27,IF(J145="famous voices",28,IF(J145="television programs",29,IF(J145="race horses",30,IF(J145="new vocabulary",31,IF(J145="sentences",32,IF(J145="concepts",33,IF(J145="ad slides",34,IF(J145="scenes",35,IF(J145="famous scenes",36,IF(J145="poems",37,IF(J145="walk",38,IF(J145="faces and events",39,IF(J145="events and names",40,IF(J145="flashbulb",41,IF(J145="stories",42,IF(J145="course material",43,IF(J145="autobiographical",44,IF(J145="novels",45,IF(J145="public events",46,"99"))))))))))))))))))))))))))))))))))))))))))))))</f>
        <v>2</v>
      </c>
      <c r="L145" s="69">
        <f>IF(J145="syllables",1,IF(J145="trigrams",1,IF(J145="strings",1,IF(J145="visual array",1,IF(J145="characters",1,IF(J145="letters",1,IF(J145="free forms",1,IF(J145="odors",2,IF(J145="words",2,IF(J145="pictures",2,IF(J145="object pictures",2,IF(J145="faces",2,IF(J145="names",2,IF(J145="idioms","2",IF(J145="grades",2,IF(J145="syllable-digit pairs",3,IF(J145="trigram-word pairs",3,IF(J145="word-digit pairs",3,IF(J145="English-Swahili pairs",3,IF(J145="spatial position",3,IF(J145="word pairs",4,IF(J145="word triads",4,IF(J145="generated words",4,IF(J145="word definition pairs",4,IF(J145="math problems",4,IF(J145="famous faces",4,IF(J145="famous names",4,IF(J145="famous voices",4,IF(J145="television programs",4,IF(J145="race horses",4,IF(J145="new vocabulary",4,IF(J145="sentences",5,IF(J145="concepts",5,IF(J145="ad slides",5,IF(J145="scenes",5,IF(J145="famous scenes",5,IF(J145="poems",6,IF(J145="walk",6,IF(J145="faces and events",6,IF(J145="events and names",6,IF(J145="flashbulb",7,IF(J145="stories",7,IF(J145="course material",7,IF(J145="autobiographical",7,IF(J145="novels",7,IF(J145="public events",7,"99"))))))))))))))))))))))))))))))))))))))))))))))</f>
        <v>1</v>
      </c>
      <c r="M145" s="69">
        <v>0</v>
      </c>
      <c r="N145" s="69">
        <v>1</v>
      </c>
      <c r="O145" s="69">
        <v>1</v>
      </c>
      <c r="P145" s="69" t="s">
        <v>27</v>
      </c>
      <c r="Q145" s="69" t="s">
        <v>174</v>
      </c>
      <c r="R145" s="69">
        <f>IF(Q145="Free Recall",1,IF(Q145="Cued Recall",2,IF(Q145="Recognition",3,IF(Q145="Multiple Choice",4,IF(Q145="Savings",5,IF(Q145="Stem Completion",6,IF(Q145="Fragment Completion",7,IF(Q145="anagram solution",8,IF(Q145="Matching",9,IF(Q145="Problem Solving",10,"99"))))))))))</f>
        <v>1</v>
      </c>
      <c r="S145" s="69" t="s">
        <v>49</v>
      </c>
      <c r="T145" s="92" t="s">
        <v>581</v>
      </c>
      <c r="U145" s="60">
        <f>IF(T145="within",1,0)</f>
        <v>1</v>
      </c>
      <c r="V145" s="92">
        <v>48</v>
      </c>
      <c r="W145" s="69">
        <f>F145*V145</f>
        <v>2880</v>
      </c>
      <c r="X145" s="69">
        <v>4</v>
      </c>
      <c r="Y145" s="87">
        <f>AV144</f>
        <v>2</v>
      </c>
      <c r="Z145" s="69" t="s">
        <v>23</v>
      </c>
      <c r="AA145" s="69">
        <v>27</v>
      </c>
      <c r="AB145" s="69" t="str">
        <f>IF(AA145&lt;60,"1",IF(AA145&lt;=43200,"2",IF(AA145&lt;=777600,"3","4")))</f>
        <v>1</v>
      </c>
      <c r="AC145" s="72">
        <f>AVERAGE(AV144:DA144)</f>
        <v>5</v>
      </c>
      <c r="AD145" s="69" t="str">
        <f>IF(AC145&lt;60,"1",IF(AC145&lt;=43200,"2",IF(AC145&lt;=777600,"3","4")))</f>
        <v>1</v>
      </c>
      <c r="AE145" s="87">
        <f>AA145-Y145</f>
        <v>25</v>
      </c>
      <c r="AF145" s="88">
        <f>AV145</f>
        <v>0.94</v>
      </c>
      <c r="AG145" s="72">
        <f>((AW145-AV145)+(AX145-AW145)+(AY145-AX145))/3</f>
        <v>-0.23333333333333331</v>
      </c>
      <c r="AH145" s="4"/>
      <c r="AI145" s="72">
        <f>RSQ(AV145:AY145,AV144:AY144)</f>
        <v>0.89426784783741553</v>
      </c>
      <c r="AJ145" s="110">
        <f>SLOPE(AV145:AY145,AV144:AY144)</f>
        <v>-0.13100000000000001</v>
      </c>
      <c r="AK145" s="72">
        <f>INTERCEPT(AV145:AY145,AV144:AY144)</f>
        <v>1.2150000000000001</v>
      </c>
      <c r="AL145" s="72">
        <f>INDEX(LINEST(LN(AV145:AY145),LN(AV144:AY144),TRUE,TRUE),3,1)</f>
        <v>0.83617634186442691</v>
      </c>
      <c r="AM145" s="170"/>
      <c r="AN145" s="72">
        <f>EXP(INDEX(LINEST(LN(AV145:AY145),LN(AV144:AY144)),1,2))</f>
        <v>2.3312123656360857</v>
      </c>
      <c r="AO145" s="89">
        <f>INDEX(LINEST((AV145:AY145),LN(AV144:AY144),TRUE,TRUE),3,1)</f>
        <v>0.87319590069850184</v>
      </c>
      <c r="AP145" s="89">
        <f>INDEX(LINEST((AV145:AY145),LN(AV144:AY144)),1)</f>
        <v>-0.55597098479086682</v>
      </c>
      <c r="AQ145" s="90">
        <f>INDEX(LINEST(LN(AV145:AY145),SQRT(AV144:AY144),TRUE,TRUE),3,1)</f>
        <v>0.87208099499370173</v>
      </c>
      <c r="AR145" s="117">
        <f>INDEX(LINEST(LN(AV145:AY145),SQRT((AV144:AY144))),1)</f>
        <v>-1.0880095641807868</v>
      </c>
      <c r="AS145" s="91">
        <f>INDEX(LINEST(1/(AV145:AY145),1/(SQRT(AV144:AY144)),TRUE,TRUE),3,1)</f>
        <v>0.74765265323320163</v>
      </c>
      <c r="AT145" s="91">
        <f>INDEX(LINEST(1/(AV145:AY145),1/SQRT(AV144:AY144)),1)</f>
        <v>-8.9690634451356033</v>
      </c>
      <c r="AU145" s="3"/>
      <c r="AV145" s="73">
        <v>0.94</v>
      </c>
      <c r="AW145" s="73">
        <v>0.79</v>
      </c>
      <c r="AX145" s="73">
        <v>0.27</v>
      </c>
      <c r="AY145" s="73">
        <v>0.24</v>
      </c>
      <c r="AZ145" s="73"/>
      <c r="BA145" s="73"/>
      <c r="BB145" s="53"/>
      <c r="BC145" s="53"/>
      <c r="BD145" s="53"/>
      <c r="BE145" s="53"/>
      <c r="BF145" s="53"/>
      <c r="BG145" s="53"/>
      <c r="BH145" s="53"/>
      <c r="BI145" s="53"/>
      <c r="BJ145" s="53"/>
      <c r="BK145" s="53"/>
      <c r="BL145" s="53"/>
      <c r="BM145" s="53"/>
      <c r="BN145" s="53"/>
      <c r="BO145" s="53"/>
      <c r="BP145" s="53"/>
      <c r="BQ145" s="53"/>
      <c r="BR145" s="53"/>
      <c r="BS145" s="53"/>
      <c r="BT145" s="53"/>
      <c r="BU145" s="53"/>
      <c r="BV145" s="53"/>
      <c r="BW145" s="53"/>
      <c r="BX145" s="53"/>
      <c r="BY145" s="53"/>
      <c r="BZ145" s="53"/>
      <c r="CA145" s="53"/>
      <c r="CB145" s="53"/>
      <c r="CC145" s="53"/>
      <c r="CD145" s="53"/>
      <c r="CE145" s="53"/>
      <c r="CF145" s="53"/>
      <c r="CG145" s="53"/>
      <c r="CH145" s="53"/>
      <c r="CI145" s="53"/>
      <c r="CJ145" s="53"/>
      <c r="CK145" s="53"/>
      <c r="CL145" s="53"/>
      <c r="CM145" s="53"/>
      <c r="CN145" s="53"/>
      <c r="CO145" s="53"/>
      <c r="CP145" s="53"/>
      <c r="CQ145" s="53"/>
      <c r="CR145" s="1"/>
      <c r="CS145" s="1"/>
      <c r="CT145" s="1"/>
      <c r="CU145" s="1"/>
    </row>
    <row r="146" spans="1:99" s="13" customFormat="1" ht="12" customHeight="1" x14ac:dyDescent="0.2">
      <c r="A146" s="68">
        <v>43509</v>
      </c>
      <c r="B146" s="70"/>
      <c r="C146" s="70"/>
      <c r="D146" s="69"/>
      <c r="E146" s="87"/>
      <c r="F146" s="69"/>
      <c r="G146" s="69"/>
      <c r="H146" s="69"/>
      <c r="I146" s="69"/>
      <c r="J146" s="69"/>
      <c r="K146" s="107"/>
      <c r="L146" s="107"/>
      <c r="M146" s="69"/>
      <c r="N146" s="69"/>
      <c r="O146" s="69"/>
      <c r="P146" s="69"/>
      <c r="Q146" s="69"/>
      <c r="R146" s="69"/>
      <c r="S146" s="69"/>
      <c r="T146" s="69"/>
      <c r="U146" s="60"/>
      <c r="V146" s="69"/>
      <c r="W146" s="69"/>
      <c r="X146" s="86"/>
      <c r="Y146" s="87"/>
      <c r="Z146" s="69"/>
      <c r="AA146" s="69"/>
      <c r="AB146" s="69"/>
      <c r="AC146" s="69"/>
      <c r="AD146" s="69"/>
      <c r="AE146" s="69"/>
      <c r="AF146" s="88"/>
      <c r="AG146" s="72"/>
      <c r="AH146" s="4"/>
      <c r="AI146" s="72"/>
      <c r="AJ146" s="110"/>
      <c r="AK146" s="72"/>
      <c r="AL146" s="72"/>
      <c r="AM146" s="72"/>
      <c r="AN146" s="72"/>
      <c r="AO146" s="72"/>
      <c r="AP146" s="72"/>
      <c r="AQ146" s="72"/>
      <c r="AR146" s="110"/>
      <c r="AS146" s="72"/>
      <c r="AT146" s="72"/>
      <c r="AU146" s="4"/>
      <c r="AV146" s="71">
        <v>2</v>
      </c>
      <c r="AW146" s="71">
        <v>4</v>
      </c>
      <c r="AX146" s="71">
        <v>6</v>
      </c>
      <c r="AY146" s="71">
        <v>8</v>
      </c>
      <c r="AZ146" s="71"/>
      <c r="BA146" s="73"/>
      <c r="BB146" s="53"/>
      <c r="BC146" s="53"/>
      <c r="BD146" s="53"/>
      <c r="BE146" s="53"/>
      <c r="BF146" s="53"/>
      <c r="BG146" s="53"/>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c r="CE146" s="53"/>
      <c r="CF146" s="53"/>
      <c r="CG146" s="53"/>
      <c r="CH146" s="53"/>
      <c r="CI146" s="53"/>
      <c r="CJ146" s="53"/>
      <c r="CK146" s="53"/>
      <c r="CL146" s="53"/>
      <c r="CM146" s="53"/>
      <c r="CN146" s="53"/>
      <c r="CO146" s="53"/>
      <c r="CP146" s="53"/>
      <c r="CQ146" s="53"/>
      <c r="CR146" s="1"/>
      <c r="CS146" s="1"/>
      <c r="CT146" s="1"/>
      <c r="CU146" s="1"/>
    </row>
    <row r="147" spans="1:99" s="13" customFormat="1" ht="12" customHeight="1" x14ac:dyDescent="0.2">
      <c r="A147" s="68">
        <v>43509</v>
      </c>
      <c r="B147" s="70" t="s">
        <v>256</v>
      </c>
      <c r="C147" s="70" t="s">
        <v>48</v>
      </c>
      <c r="D147" s="69">
        <v>1975</v>
      </c>
      <c r="E147" s="87">
        <v>4</v>
      </c>
      <c r="F147" s="69">
        <v>60</v>
      </c>
      <c r="G147" s="69">
        <v>60</v>
      </c>
      <c r="H147" s="69" t="s">
        <v>43</v>
      </c>
      <c r="I147" s="69" t="s">
        <v>844</v>
      </c>
      <c r="J147" s="69" t="s">
        <v>443</v>
      </c>
      <c r="K147" s="69">
        <f>IF(J147="syllables",1,IF(J147="trigrams",2,IF(J147="strings",3,IF(J147="visual array",4,IF(J147="characters",5,IF(J147="letters",6,IF(J147="free forms",7,IF(J147="odors",8,IF(J147="words",9,IF(J147="pictures",10,IF(J147="object pictures",11,IF(J147="faces",12,IF(J147="names",13,IF(J147="idioms",14,IF(J147="grades",15,IF(J147="syllable-digit pairs",16,IF(J147="trigram-word pairs",17,IF(J147="word-digit pairs",18,IF(J147="English-Swahili pairs",19,IF(J147="spatial position",20,IF(J147="word pairs",21,IF(J147="word triads",22,IF(J147="generated words",23,IF(J147="word definition pairs",24,IF(J147="math problems",25,IF(J147="famous faces",26,IF(J147="famous names",27,IF(J147="famous voices",28,IF(J147="television programs",29,IF(J147="race horses",30,IF(J147="new vocabulary",31,IF(J147="sentences",32,IF(J147="concepts",33,IF(J147="ad slides",34,IF(J147="scenes",35,IF(J147="famous scenes",36,IF(J147="poems",37,IF(J147="walk",38,IF(J147="faces and events",39,IF(J147="events and names",40,IF(J147="flashbulb",41,IF(J147="stories",42,IF(J147="course material",43,IF(J147="autobiographical",44,IF(J147="novels",45,IF(J147="public events",46,"99"))))))))))))))))))))))))))))))))))))))))))))))</f>
        <v>2</v>
      </c>
      <c r="L147" s="69">
        <f>IF(J147="syllables",1,IF(J147="trigrams",1,IF(J147="strings",1,IF(J147="visual array",1,IF(J147="characters",1,IF(J147="letters",1,IF(J147="free forms",1,IF(J147="odors",2,IF(J147="words",2,IF(J147="pictures",2,IF(J147="object pictures",2,IF(J147="faces",2,IF(J147="names",2,IF(J147="idioms","2",IF(J147="grades",2,IF(J147="syllable-digit pairs",3,IF(J147="trigram-word pairs",3,IF(J147="word-digit pairs",3,IF(J147="English-Swahili pairs",3,IF(J147="spatial position",3,IF(J147="word pairs",4,IF(J147="word triads",4,IF(J147="generated words",4,IF(J147="word definition pairs",4,IF(J147="math problems",4,IF(J147="famous faces",4,IF(J147="famous names",4,IF(J147="famous voices",4,IF(J147="television programs",4,IF(J147="race horses",4,IF(J147="new vocabulary",4,IF(J147="sentences",5,IF(J147="concepts",5,IF(J147="ad slides",5,IF(J147="scenes",5,IF(J147="famous scenes",5,IF(J147="poems",6,IF(J147="walk",6,IF(J147="faces and events",6,IF(J147="events and names",6,IF(J147="flashbulb",7,IF(J147="stories",7,IF(J147="course material",7,IF(J147="autobiographical",7,IF(J147="novels",7,IF(J147="public events",7,"99"))))))))))))))))))))))))))))))))))))))))))))))</f>
        <v>1</v>
      </c>
      <c r="M147" s="69">
        <v>0</v>
      </c>
      <c r="N147" s="69">
        <v>1</v>
      </c>
      <c r="O147" s="69">
        <v>1</v>
      </c>
      <c r="P147" s="69" t="s">
        <v>27</v>
      </c>
      <c r="Q147" s="69" t="s">
        <v>174</v>
      </c>
      <c r="R147" s="69">
        <f>IF(Q147="Free Recall",1,IF(Q147="Cued Recall",2,IF(Q147="Recognition",3,IF(Q147="Multiple Choice",4,IF(Q147="Savings",5,IF(Q147="Stem Completion",6,IF(Q147="Fragment Completion",7,IF(Q147="anagram solution",8,IF(Q147="Matching",9,IF(Q147="Problem Solving",10,"99"))))))))))</f>
        <v>1</v>
      </c>
      <c r="S147" s="69" t="s">
        <v>49</v>
      </c>
      <c r="T147" s="92" t="s">
        <v>581</v>
      </c>
      <c r="U147" s="60">
        <f>IF(T147="within",1,0)</f>
        <v>1</v>
      </c>
      <c r="V147" s="92">
        <v>48</v>
      </c>
      <c r="W147" s="69">
        <f>F147*V147</f>
        <v>2880</v>
      </c>
      <c r="X147" s="69">
        <v>4</v>
      </c>
      <c r="Y147" s="87">
        <f>AV146</f>
        <v>2</v>
      </c>
      <c r="Z147" s="69" t="s">
        <v>23</v>
      </c>
      <c r="AA147" s="69">
        <v>27</v>
      </c>
      <c r="AB147" s="69" t="str">
        <f>IF(AA147&lt;60,"1",IF(AA147&lt;=43200,"2",IF(AA147&lt;=777600,"3","4")))</f>
        <v>1</v>
      </c>
      <c r="AC147" s="72">
        <f>AVERAGE(AV146:DA146)</f>
        <v>5</v>
      </c>
      <c r="AD147" s="69" t="str">
        <f>IF(AC147&lt;60,"1",IF(AC147&lt;=43200,"2",IF(AC147&lt;=777600,"3","4")))</f>
        <v>1</v>
      </c>
      <c r="AE147" s="87">
        <f>AA147-Y147</f>
        <v>25</v>
      </c>
      <c r="AF147" s="88">
        <f>AV147</f>
        <v>0.31</v>
      </c>
      <c r="AG147" s="72">
        <f>((AW147-AV147)+(AX147-AW147)+(AY147-AX147))/3</f>
        <v>-5.6666666666666664E-2</v>
      </c>
      <c r="AH147" s="4"/>
      <c r="AI147" s="72">
        <f>RSQ(AV147:AY147,AV146:AY146)</f>
        <v>0.67202797202797215</v>
      </c>
      <c r="AJ147" s="110">
        <f>SLOPE(AV147:AY147,AV146:AY146)</f>
        <v>-3.0999999999999993E-2</v>
      </c>
      <c r="AK147" s="72">
        <f>INTERCEPT(AV147:AY147,AV146:AY146)</f>
        <v>0.33499999999999996</v>
      </c>
      <c r="AL147" s="72">
        <f>INDEX(LINEST(LN(AV147:AY147),LN(AV146:AY146),TRUE,TRUE),3,1)</f>
        <v>0.66258335131642709</v>
      </c>
      <c r="AM147" s="72">
        <f>INDEX(LINEST(LN(AV147:AY147),LN(AV146:AY146)),1)</f>
        <v>-0.76804153859349633</v>
      </c>
      <c r="AN147" s="72">
        <f>EXP(INDEX(LINEST(LN(AV147:AY147),LN(AV146:AY146)),1,2))</f>
        <v>0.50240246528489785</v>
      </c>
      <c r="AO147" s="89">
        <f>INDEX(LINEST((AV147:AY147),LN(AV146:AY146),TRUE,TRUE),3,1)</f>
        <v>0.8089666885596235</v>
      </c>
      <c r="AP147" s="89">
        <f>INDEX(LINEST((AV147:AY147),LN(AV146:AY146)),1)</f>
        <v>-0.14608046198825717</v>
      </c>
      <c r="AQ147" s="90">
        <f>INDEX(LINEST(LN(AV147:AY147),SQRT(AV146:AY146),TRUE,TRUE),3,1)</f>
        <v>0.61255856435249068</v>
      </c>
      <c r="AR147" s="117">
        <f>INDEX(LINEST(LN(AV147:AY147),SQRT((AV146:AY146))),1)</f>
        <v>-0.72928504447157738</v>
      </c>
      <c r="AS147" s="91">
        <f>INDEX(LINEST(1/(AV147:AY147),1/(SQRT(AV146:AY146)),TRUE,TRUE),3,1)</f>
        <v>0.49503332959234092</v>
      </c>
      <c r="AT147" s="91">
        <f>INDEX(LINEST(1/(AV147:AY147),1/SQRT(AV146:AY146)),1)</f>
        <v>-18.012330814953355</v>
      </c>
      <c r="AU147" s="3"/>
      <c r="AV147" s="73">
        <v>0.31</v>
      </c>
      <c r="AW147" s="73">
        <v>0.19</v>
      </c>
      <c r="AX147" s="73">
        <v>0.08</v>
      </c>
      <c r="AY147" s="73">
        <v>0.14000000000000001</v>
      </c>
      <c r="AZ147" s="73"/>
      <c r="BA147" s="73"/>
      <c r="BB147" s="53"/>
      <c r="BC147" s="53"/>
      <c r="BD147" s="53"/>
      <c r="BE147" s="53"/>
      <c r="BF147" s="53"/>
      <c r="BG147" s="53"/>
      <c r="BH147" s="53"/>
      <c r="BI147" s="53"/>
      <c r="BJ147" s="53"/>
      <c r="BK147" s="53"/>
      <c r="BL147" s="53"/>
      <c r="BM147" s="53"/>
      <c r="BN147" s="53"/>
      <c r="BO147" s="53"/>
      <c r="BP147" s="53"/>
      <c r="BQ147" s="53"/>
      <c r="BR147" s="53"/>
      <c r="BS147" s="53"/>
      <c r="BT147" s="53"/>
      <c r="BU147" s="53"/>
      <c r="BV147" s="53"/>
      <c r="BW147" s="53"/>
      <c r="BX147" s="53"/>
      <c r="BY147" s="53"/>
      <c r="BZ147" s="53"/>
      <c r="CA147" s="53"/>
      <c r="CB147" s="53"/>
      <c r="CC147" s="53"/>
      <c r="CD147" s="53"/>
      <c r="CE147" s="53"/>
      <c r="CF147" s="53"/>
      <c r="CG147" s="53"/>
      <c r="CH147" s="53"/>
      <c r="CI147" s="53"/>
      <c r="CJ147" s="53"/>
      <c r="CK147" s="53"/>
      <c r="CL147" s="53"/>
      <c r="CM147" s="53"/>
      <c r="CN147" s="53"/>
      <c r="CO147" s="53"/>
      <c r="CP147" s="53"/>
      <c r="CQ147" s="53"/>
      <c r="CR147" s="1"/>
      <c r="CS147" s="1"/>
      <c r="CT147" s="1"/>
      <c r="CU147" s="1"/>
    </row>
    <row r="148" spans="1:99" s="13" customFormat="1" ht="12" customHeight="1" x14ac:dyDescent="0.2">
      <c r="A148" s="68">
        <v>43509</v>
      </c>
      <c r="B148" s="70"/>
      <c r="C148" s="70"/>
      <c r="D148" s="69"/>
      <c r="E148" s="87"/>
      <c r="F148" s="69"/>
      <c r="G148" s="69"/>
      <c r="H148" s="69"/>
      <c r="I148" s="69"/>
      <c r="J148" s="69"/>
      <c r="K148" s="107"/>
      <c r="L148" s="107"/>
      <c r="M148" s="69"/>
      <c r="N148" s="69"/>
      <c r="O148" s="69"/>
      <c r="P148" s="69"/>
      <c r="Q148" s="69"/>
      <c r="R148" s="69"/>
      <c r="S148" s="69"/>
      <c r="T148" s="69"/>
      <c r="U148" s="60"/>
      <c r="V148" s="69"/>
      <c r="W148" s="69"/>
      <c r="X148" s="69"/>
      <c r="Y148" s="87"/>
      <c r="Z148" s="69"/>
      <c r="AA148" s="69"/>
      <c r="AB148" s="69"/>
      <c r="AC148" s="69"/>
      <c r="AD148" s="69"/>
      <c r="AE148" s="69"/>
      <c r="AF148" s="88"/>
      <c r="AG148" s="72"/>
      <c r="AH148" s="4"/>
      <c r="AI148" s="72"/>
      <c r="AJ148" s="110"/>
      <c r="AK148" s="72"/>
      <c r="AL148" s="72"/>
      <c r="AM148" s="72"/>
      <c r="AN148" s="72"/>
      <c r="AO148" s="89"/>
      <c r="AP148" s="89"/>
      <c r="AQ148" s="72"/>
      <c r="AR148" s="110"/>
      <c r="AS148" s="72"/>
      <c r="AT148" s="72"/>
      <c r="AU148" s="3"/>
      <c r="AV148" s="71">
        <v>2</v>
      </c>
      <c r="AW148" s="71">
        <v>4</v>
      </c>
      <c r="AX148" s="71">
        <v>6</v>
      </c>
      <c r="AY148" s="71">
        <v>8</v>
      </c>
      <c r="AZ148" s="71"/>
      <c r="BA148" s="73"/>
      <c r="BB148" s="53"/>
      <c r="BC148" s="53"/>
      <c r="BD148" s="53"/>
      <c r="BE148" s="53"/>
      <c r="BF148" s="53"/>
      <c r="BG148" s="53"/>
      <c r="BH148" s="53"/>
      <c r="BI148" s="53"/>
      <c r="BJ148" s="53"/>
      <c r="BK148" s="53"/>
      <c r="BL148" s="53"/>
      <c r="BM148" s="53"/>
      <c r="BN148" s="53"/>
      <c r="BO148" s="53"/>
      <c r="BP148" s="53"/>
      <c r="BQ148" s="53"/>
      <c r="BR148" s="53"/>
      <c r="BS148" s="53"/>
      <c r="BT148" s="53"/>
      <c r="BU148" s="53"/>
      <c r="BV148" s="53"/>
      <c r="BW148" s="53"/>
      <c r="BX148" s="53"/>
      <c r="BY148" s="53"/>
      <c r="BZ148" s="53"/>
      <c r="CA148" s="53"/>
      <c r="CB148" s="53"/>
      <c r="CC148" s="53"/>
      <c r="CD148" s="53"/>
      <c r="CE148" s="53"/>
      <c r="CF148" s="53"/>
      <c r="CG148" s="53"/>
      <c r="CH148" s="53"/>
      <c r="CI148" s="53"/>
      <c r="CJ148" s="53"/>
      <c r="CK148" s="53"/>
      <c r="CL148" s="53"/>
      <c r="CM148" s="53"/>
      <c r="CN148" s="53"/>
      <c r="CO148" s="53"/>
      <c r="CP148" s="53"/>
      <c r="CQ148" s="53"/>
      <c r="CR148" s="1"/>
      <c r="CS148" s="1"/>
      <c r="CT148" s="1"/>
      <c r="CU148" s="1"/>
    </row>
    <row r="149" spans="1:99" s="13" customFormat="1" ht="12" customHeight="1" x14ac:dyDescent="0.2">
      <c r="A149" s="68">
        <v>43509</v>
      </c>
      <c r="B149" s="70" t="s">
        <v>256</v>
      </c>
      <c r="C149" s="70" t="s">
        <v>48</v>
      </c>
      <c r="D149" s="69">
        <v>1975</v>
      </c>
      <c r="E149" s="87">
        <v>4</v>
      </c>
      <c r="F149" s="69">
        <v>60</v>
      </c>
      <c r="G149" s="69">
        <v>60</v>
      </c>
      <c r="H149" s="69" t="s">
        <v>43</v>
      </c>
      <c r="I149" s="69" t="s">
        <v>845</v>
      </c>
      <c r="J149" s="69" t="s">
        <v>443</v>
      </c>
      <c r="K149" s="69">
        <f>IF(J149="syllables",1,IF(J149="trigrams",2,IF(J149="strings",3,IF(J149="visual array",4,IF(J149="characters",5,IF(J149="letters",6,IF(J149="free forms",7,IF(J149="odors",8,IF(J149="words",9,IF(J149="pictures",10,IF(J149="object pictures",11,IF(J149="faces",12,IF(J149="names",13,IF(J149="idioms",14,IF(J149="grades",15,IF(J149="syllable-digit pairs",16,IF(J149="trigram-word pairs",17,IF(J149="word-digit pairs",18,IF(J149="English-Swahili pairs",19,IF(J149="spatial position",20,IF(J149="word pairs",21,IF(J149="word triads",22,IF(J149="generated words",23,IF(J149="word definition pairs",24,IF(J149="math problems",25,IF(J149="famous faces",26,IF(J149="famous names",27,IF(J149="famous voices",28,IF(J149="television programs",29,IF(J149="race horses",30,IF(J149="new vocabulary",31,IF(J149="sentences",32,IF(J149="concepts",33,IF(J149="ad slides",34,IF(J149="scenes",35,IF(J149="famous scenes",36,IF(J149="poems",37,IF(J149="walk",38,IF(J149="faces and events",39,IF(J149="events and names",40,IF(J149="flashbulb",41,IF(J149="stories",42,IF(J149="course material",43,IF(J149="autobiographical",44,IF(J149="novels",45,IF(J149="public events",46,"99"))))))))))))))))))))))))))))))))))))))))))))))</f>
        <v>2</v>
      </c>
      <c r="L149" s="69">
        <f>IF(J149="syllables",1,IF(J149="trigrams",1,IF(J149="strings",1,IF(J149="visual array",1,IF(J149="characters",1,IF(J149="letters",1,IF(J149="free forms",1,IF(J149="odors",2,IF(J149="words",2,IF(J149="pictures",2,IF(J149="object pictures",2,IF(J149="faces",2,IF(J149="names",2,IF(J149="idioms","2",IF(J149="grades",2,IF(J149="syllable-digit pairs",3,IF(J149="trigram-word pairs",3,IF(J149="word-digit pairs",3,IF(J149="English-Swahili pairs",3,IF(J149="spatial position",3,IF(J149="word pairs",4,IF(J149="word triads",4,IF(J149="generated words",4,IF(J149="word definition pairs",4,IF(J149="math problems",4,IF(J149="famous faces",4,IF(J149="famous names",4,IF(J149="famous voices",4,IF(J149="television programs",4,IF(J149="race horses",4,IF(J149="new vocabulary",4,IF(J149="sentences",5,IF(J149="concepts",5,IF(J149="ad slides",5,IF(J149="scenes",5,IF(J149="famous scenes",5,IF(J149="poems",6,IF(J149="walk",6,IF(J149="faces and events",6,IF(J149="events and names",6,IF(J149="flashbulb",7,IF(J149="stories",7,IF(J149="course material",7,IF(J149="autobiographical",7,IF(J149="novels",7,IF(J149="public events",7,"99"))))))))))))))))))))))))))))))))))))))))))))))</f>
        <v>1</v>
      </c>
      <c r="M149" s="69">
        <v>0</v>
      </c>
      <c r="N149" s="69">
        <v>1</v>
      </c>
      <c r="O149" s="69">
        <v>1</v>
      </c>
      <c r="P149" s="69" t="s">
        <v>27</v>
      </c>
      <c r="Q149" s="69" t="s">
        <v>174</v>
      </c>
      <c r="R149" s="69">
        <f>IF(Q149="Free Recall",1,IF(Q149="Cued Recall",2,IF(Q149="Recognition",3,IF(Q149="Multiple Choice",4,IF(Q149="Savings",5,IF(Q149="Stem Completion",6,IF(Q149="Fragment Completion",7,IF(Q149="anagram solution",8,IF(Q149="Matching",9,IF(Q149="Problem Solving",10,"99"))))))))))</f>
        <v>1</v>
      </c>
      <c r="S149" s="69" t="s">
        <v>49</v>
      </c>
      <c r="T149" s="92" t="s">
        <v>581</v>
      </c>
      <c r="U149" s="60">
        <f>IF(T149="within",1,0)</f>
        <v>1</v>
      </c>
      <c r="V149" s="92">
        <v>48</v>
      </c>
      <c r="W149" s="69">
        <f>F149*V149</f>
        <v>2880</v>
      </c>
      <c r="X149" s="69">
        <v>4</v>
      </c>
      <c r="Y149" s="87">
        <f>AV148</f>
        <v>2</v>
      </c>
      <c r="Z149" s="69" t="s">
        <v>23</v>
      </c>
      <c r="AA149" s="69">
        <v>27</v>
      </c>
      <c r="AB149" s="69" t="str">
        <f>IF(AA149&lt;60,"1",IF(AA149&lt;=43200,"2",IF(AA149&lt;=777600,"3","4")))</f>
        <v>1</v>
      </c>
      <c r="AC149" s="72">
        <f>AVERAGE(AV148:DA148)</f>
        <v>5</v>
      </c>
      <c r="AD149" s="69" t="str">
        <f>IF(AC149&lt;60,"1",IF(AC149&lt;=43200,"2",IF(AC149&lt;=777600,"3","4")))</f>
        <v>1</v>
      </c>
      <c r="AE149" s="87">
        <f>AA149-Y149</f>
        <v>25</v>
      </c>
      <c r="AF149" s="88">
        <f>AV149</f>
        <v>0.31</v>
      </c>
      <c r="AG149" s="72">
        <f>((AW149-AV149)+(AX149-AW149)+(AY149-AX149))/3</f>
        <v>-4.3333333333333335E-2</v>
      </c>
      <c r="AH149" s="4"/>
      <c r="AI149" s="72">
        <f>RSQ(AV149:AY149,AV148:AY148)</f>
        <v>0.62151260504201677</v>
      </c>
      <c r="AJ149" s="110">
        <f>SLOPE(AV149:AY149,AV148:AY148)</f>
        <v>-2.1499999999999998E-2</v>
      </c>
      <c r="AK149" s="72">
        <f>INTERCEPT(AV149:AY149,AV148:AY148)</f>
        <v>0.315</v>
      </c>
      <c r="AL149" s="72">
        <f>INDEX(LINEST(LN(AV149:AY149),LN(AV148:AY148),TRUE,TRUE),3,1)</f>
        <v>0.77636629501344612</v>
      </c>
      <c r="AM149" s="72">
        <f>INDEX(LINEST(LN(AV149:AY149),LN(AV148:AY148)),1)</f>
        <v>-0.45455704407487479</v>
      </c>
      <c r="AN149" s="72">
        <f>EXP(INDEX(LINEST(LN(AV149:AY149),LN(AV148:AY148)),1,2))</f>
        <v>0.39269127796878794</v>
      </c>
      <c r="AO149" s="89">
        <f>INDEX(LINEST((AV149:AY149),LN(AV148:AY148),TRUE,TRUE),3,1)</f>
        <v>0.79769297923927029</v>
      </c>
      <c r="AP149" s="89">
        <f>INDEX(LINEST((AV149:AY149),LN(AV148:AY148)),1)</f>
        <v>-0.1046140871507537</v>
      </c>
      <c r="AQ149" s="90">
        <f>INDEX(LINEST(LN(AV149:AY149),SQRT(AV148:AY148),TRUE,TRUE),3,1)</f>
        <v>0.69527264945711642</v>
      </c>
      <c r="AR149" s="117">
        <f>INDEX(LINEST(LN(AV149:AY149),SQRT((AV148:AY148))),1)</f>
        <v>-0.42480701387346753</v>
      </c>
      <c r="AS149" s="91">
        <f>INDEX(LINEST(1/(AV149:AY149),1/(SQRT(AV148:AY148)),TRUE,TRUE),3,1)</f>
        <v>0.79353786685814165</v>
      </c>
      <c r="AT149" s="91">
        <f>INDEX(LINEST(1/(AV149:AY149),1/SQRT(AV148:AY148)),1)</f>
        <v>-8.2215497434912859</v>
      </c>
      <c r="AU149" s="3"/>
      <c r="AV149" s="73">
        <v>0.31</v>
      </c>
      <c r="AW149" s="73">
        <v>0.19</v>
      </c>
      <c r="AX149" s="73">
        <v>0.15</v>
      </c>
      <c r="AY149" s="73">
        <v>0.18</v>
      </c>
      <c r="AZ149" s="73"/>
      <c r="BA149" s="73"/>
      <c r="BB149" s="53"/>
      <c r="BC149" s="53"/>
      <c r="BD149" s="53"/>
      <c r="BE149" s="53"/>
      <c r="BF149" s="53"/>
      <c r="BG149" s="53"/>
      <c r="BH149" s="53"/>
      <c r="BI149" s="53"/>
      <c r="BJ149" s="53"/>
      <c r="BK149" s="53"/>
      <c r="BL149" s="53"/>
      <c r="BM149" s="53"/>
      <c r="BN149" s="53"/>
      <c r="BO149" s="53"/>
      <c r="BP149" s="53"/>
      <c r="BQ149" s="53"/>
      <c r="BR149" s="53"/>
      <c r="BS149" s="53"/>
      <c r="BT149" s="53"/>
      <c r="BU149" s="53"/>
      <c r="BV149" s="53"/>
      <c r="BW149" s="53"/>
      <c r="BX149" s="53"/>
      <c r="BY149" s="53"/>
      <c r="BZ149" s="53"/>
      <c r="CA149" s="53"/>
      <c r="CB149" s="53"/>
      <c r="CC149" s="53"/>
      <c r="CD149" s="53"/>
      <c r="CE149" s="53"/>
      <c r="CF149" s="53"/>
      <c r="CG149" s="53"/>
      <c r="CH149" s="53"/>
      <c r="CI149" s="53"/>
      <c r="CJ149" s="53"/>
      <c r="CK149" s="53"/>
      <c r="CL149" s="53"/>
      <c r="CM149" s="53"/>
      <c r="CN149" s="53"/>
      <c r="CO149" s="53"/>
      <c r="CP149" s="53"/>
      <c r="CQ149" s="53"/>
      <c r="CR149" s="1"/>
      <c r="CS149" s="1"/>
      <c r="CT149" s="1"/>
      <c r="CU149" s="1"/>
    </row>
    <row r="150" spans="1:99" s="13" customFormat="1" ht="12" customHeight="1" x14ac:dyDescent="0.2">
      <c r="A150" s="65">
        <v>43916</v>
      </c>
      <c r="B150" s="1"/>
      <c r="C150" s="1"/>
      <c r="D150" s="60"/>
      <c r="E150" s="76"/>
      <c r="F150" s="60"/>
      <c r="G150" s="60"/>
      <c r="H150" s="60"/>
      <c r="I150" s="60"/>
      <c r="J150" s="60"/>
      <c r="K150" s="64"/>
      <c r="L150" s="64"/>
      <c r="M150" s="60"/>
      <c r="N150" s="60"/>
      <c r="O150" s="60"/>
      <c r="P150" s="60"/>
      <c r="Q150" s="60"/>
      <c r="R150" s="60"/>
      <c r="S150" s="60"/>
      <c r="T150" s="60"/>
      <c r="U150" s="60"/>
      <c r="V150" s="59"/>
      <c r="W150" s="60"/>
      <c r="X150" s="60"/>
      <c r="Y150" s="76"/>
      <c r="Z150" s="60"/>
      <c r="AA150" s="60"/>
      <c r="AB150" s="60"/>
      <c r="AC150" s="60"/>
      <c r="AD150" s="60"/>
      <c r="AE150" s="60"/>
      <c r="AF150" s="80"/>
      <c r="AG150" s="56"/>
      <c r="AH150" s="4"/>
      <c r="AI150" s="56"/>
      <c r="AJ150" s="109"/>
      <c r="AK150" s="56"/>
      <c r="AL150" s="56"/>
      <c r="AM150" s="56"/>
      <c r="AN150" s="56"/>
      <c r="AO150" s="56"/>
      <c r="AP150" s="56"/>
      <c r="AQ150" s="82"/>
      <c r="AR150" s="115"/>
      <c r="AS150" s="82"/>
      <c r="AT150" s="82"/>
      <c r="AU150" s="4"/>
      <c r="AV150" s="25">
        <v>0.01</v>
      </c>
      <c r="AW150" s="25">
        <v>5</v>
      </c>
      <c r="AX150" s="25">
        <v>15</v>
      </c>
      <c r="AY150" s="53"/>
      <c r="AZ150" s="53"/>
      <c r="BA150" s="53"/>
      <c r="BB150" s="53"/>
      <c r="BC150" s="53"/>
      <c r="BD150" s="53"/>
      <c r="BE150" s="53"/>
      <c r="BF150" s="53"/>
      <c r="BG150" s="53"/>
      <c r="BH150" s="53"/>
      <c r="BI150" s="53"/>
      <c r="BJ150" s="53"/>
      <c r="BK150" s="53"/>
      <c r="BL150" s="53"/>
      <c r="BM150" s="53"/>
      <c r="BN150" s="53"/>
      <c r="BO150" s="53"/>
      <c r="BP150" s="53"/>
      <c r="BQ150" s="53"/>
      <c r="BR150" s="53"/>
      <c r="BS150" s="53"/>
      <c r="BT150" s="53"/>
      <c r="BU150" s="53"/>
      <c r="BV150" s="53"/>
      <c r="BW150" s="53"/>
      <c r="BX150" s="53"/>
      <c r="BY150" s="53"/>
      <c r="BZ150" s="53"/>
      <c r="CA150" s="53"/>
      <c r="CB150" s="53"/>
      <c r="CC150" s="53"/>
      <c r="CD150" s="53"/>
      <c r="CE150" s="53"/>
      <c r="CF150" s="53"/>
      <c r="CG150" s="53"/>
      <c r="CH150" s="53"/>
      <c r="CI150" s="53"/>
      <c r="CJ150" s="53"/>
      <c r="CK150" s="53"/>
      <c r="CL150" s="53"/>
      <c r="CM150" s="53"/>
      <c r="CN150" s="53"/>
      <c r="CO150" s="53"/>
      <c r="CP150" s="53"/>
      <c r="CQ150" s="53"/>
      <c r="CR150" s="1"/>
      <c r="CS150" s="1"/>
      <c r="CT150" s="1"/>
      <c r="CU150" s="1"/>
    </row>
    <row r="151" spans="1:99" s="13" customFormat="1" ht="12" customHeight="1" x14ac:dyDescent="0.2">
      <c r="A151" s="65">
        <v>43916</v>
      </c>
      <c r="B151" s="1" t="s">
        <v>548</v>
      </c>
      <c r="C151" s="1" t="s">
        <v>48</v>
      </c>
      <c r="D151" s="60">
        <v>1982</v>
      </c>
      <c r="E151" s="76">
        <v>1</v>
      </c>
      <c r="F151" s="60">
        <v>12</v>
      </c>
      <c r="G151" s="60">
        <v>12</v>
      </c>
      <c r="H151" s="60" t="s">
        <v>50</v>
      </c>
      <c r="I151" s="60" t="s">
        <v>846</v>
      </c>
      <c r="J151" s="60" t="s">
        <v>443</v>
      </c>
      <c r="K151" s="60">
        <f>IF(J151="syllables",1,IF(J151="trigrams",2,IF(J151="strings",3,IF(J151="visual array",4,IF(J151="characters",5,IF(J151="letters",6,IF(J151="free forms",7,IF(J151="odors",8,IF(J151="words",9,IF(J151="pictures",10,IF(J151="object pictures",11,IF(J151="faces",12,IF(J151="names",13,IF(J151="idioms",14,IF(J151="grades",15,IF(J151="syllable-digit pairs",16,IF(J151="trigram-word pairs",17,IF(J151="word-digit pairs",18,IF(J151="English-Swahili pairs",19,IF(J151="spatial position",20,IF(J151="word pairs",21,IF(J151="word triads",22,IF(J151="generated words",23,IF(J151="word definition pairs",24,IF(J151="math problems",25,IF(J151="famous faces",26,IF(J151="famous names",27,IF(J151="famous voices",28,IF(J151="television programs",29,IF(J151="race horses",30,IF(J151="new vocabulary",31,IF(J151="sentences",32,IF(J151="concepts",33,IF(J151="ad slides",34,IF(J151="scenes",35,IF(J151="famous scenes",36,IF(J151="poems",37,IF(J151="walk",38,IF(J151="faces and events",39,IF(J151="events and names",40,IF(J151="flashbulb",41,IF(J151="stories",42,IF(J151="course material",43,IF(J151="autobiographical",44,IF(J151="novels",45,IF(J151="public events",46,"99"))))))))))))))))))))))))))))))))))))))))))))))</f>
        <v>2</v>
      </c>
      <c r="L151" s="60">
        <f>IF(J151="syllables",1,IF(J151="trigrams",1,IF(J151="strings",1,IF(J151="visual array",1,IF(J151="characters",1,IF(J151="letters",1,IF(J151="free forms",1,IF(J151="odors",2,IF(J151="words",2,IF(J151="pictures",2,IF(J151="object pictures",2,IF(J151="faces",2,IF(J151="names",2,IF(J151="idioms","2",IF(J151="grades",2,IF(J151="syllable-digit pairs",3,IF(J151="trigram-word pairs",3,IF(J151="word-digit pairs",3,IF(J151="English-Swahili pairs",3,IF(J151="spatial position",3,IF(J151="word pairs",4,IF(J151="word triads",4,IF(J151="generated words",4,IF(J151="word definition pairs",4,IF(J151="math problems",4,IF(J151="famous faces",4,IF(J151="famous names",4,IF(J151="famous voices",4,IF(J151="television programs",4,IF(J151="race horses",4,IF(J151="new vocabulary",4,IF(J151="sentences",5,IF(J151="concepts",5,IF(J151="ad slides",5,IF(J151="scenes",5,IF(J151="famous scenes",5,IF(J151="poems",6,IF(J151="walk",6,IF(J151="faces and events",6,IF(J151="events and names",6,IF(J151="flashbulb",7,IF(J151="stories",7,IF(J151="course material",7,IF(J151="autobiographical",7,IF(J151="novels",7,IF(J151="public events",7,"99"))))))))))))))))))))))))))))))))))))))))))))))</f>
        <v>1</v>
      </c>
      <c r="M151" s="60">
        <v>0</v>
      </c>
      <c r="N151" s="60">
        <v>1</v>
      </c>
      <c r="O151" s="60">
        <v>1</v>
      </c>
      <c r="P151" s="60" t="s">
        <v>550</v>
      </c>
      <c r="Q151" s="60" t="s">
        <v>174</v>
      </c>
      <c r="R151" s="60">
        <f>IF(Q151="Free Recall",1,IF(Q151="Cued Recall",2,IF(Q151="Recognition",3,IF(Q151="Multiple Choice",4,IF(Q151="Savings",5,IF(Q151="Stem Completion",6,IF(Q151="Fragment Completion",7,IF(Q151="anagram solution",8,IF(Q151="Matching",9,IF(Q151="Problem Solving",10,"99"))))))))))</f>
        <v>1</v>
      </c>
      <c r="S151" s="60" t="s">
        <v>49</v>
      </c>
      <c r="T151" s="59" t="s">
        <v>581</v>
      </c>
      <c r="U151" s="60">
        <f>IF(T151="within",1,0)</f>
        <v>1</v>
      </c>
      <c r="V151" s="59">
        <v>30</v>
      </c>
      <c r="W151" s="60">
        <f>F151*V151</f>
        <v>360</v>
      </c>
      <c r="X151" s="60">
        <v>3</v>
      </c>
      <c r="Y151" s="76">
        <f>AV150</f>
        <v>0.01</v>
      </c>
      <c r="Z151" s="60" t="s">
        <v>549</v>
      </c>
      <c r="AA151" s="60">
        <v>15</v>
      </c>
      <c r="AB151" s="60" t="str">
        <f>IF(AA151&lt;60,"1",IF(AA151&lt;=43200,"2",IF(AA151&lt;=777600,"3","4")))</f>
        <v>1</v>
      </c>
      <c r="AC151" s="56">
        <f>AVERAGE(AV150:DA150)</f>
        <v>6.669999999999999</v>
      </c>
      <c r="AD151" s="60" t="str">
        <f>IF(AC151&lt;60,"1",IF(AC151&lt;=43200,"2",IF(AC151&lt;=777600,"3","4")))</f>
        <v>1</v>
      </c>
      <c r="AE151" s="76">
        <f>AA151-Y151</f>
        <v>14.99</v>
      </c>
      <c r="AF151" s="80">
        <f>AV151</f>
        <v>0.97</v>
      </c>
      <c r="AG151" s="56">
        <f>((AW151-AV151)+(AX151-AW151))/2</f>
        <v>-1.5000000000000013E-2</v>
      </c>
      <c r="AH151" s="4"/>
      <c r="AI151" s="56">
        <f>RSQ(AV151:AX151,AV150:AX150)</f>
        <v>0.86190341751193811</v>
      </c>
      <c r="AJ151" s="109">
        <f>SLOPE(AV151:AX151,AV150:AX150)</f>
        <v>-1.8578364657686134E-3</v>
      </c>
      <c r="AK151" s="56">
        <f>INTERCEPT(AV151:AX151,AV150:AX150)</f>
        <v>0.96572510256000987</v>
      </c>
      <c r="AL151" s="56">
        <f>INDEX(LINEST(LN(AV151:AX151),LN(AV150:AX150),TRUE,TRUE),3,1)</f>
        <v>0.96144783069950279</v>
      </c>
      <c r="AM151" s="56">
        <f>INDEX(LINEST(LN(AV151:AX151),LN(AV150:AX150)),1)</f>
        <v>-3.9743751452330058E-3</v>
      </c>
      <c r="AN151" s="56">
        <f>EXP(INDEX(LINEST(LN(AV151:AX151),LN(AV150:AX150)),1,2))</f>
        <v>0.95288877992747734</v>
      </c>
      <c r="AO151" s="82">
        <f>INDEX(LINEST((AV151:AX151),LN(AV150:AX150),TRUE,TRUE),3,1)</f>
        <v>0.96293665108418247</v>
      </c>
      <c r="AP151" s="82">
        <f>INDEX(LINEST((AV151:AX151),LN(AV150:AX150)),1)</f>
        <v>-3.8009775288399042E-3</v>
      </c>
      <c r="AQ151" s="83">
        <f>INDEX(LINEST(LN(AV151:AX151),SQRT(AV150:AX150),TRUE,TRUE),3,1)</f>
        <v>0.9879511094985044</v>
      </c>
      <c r="AR151" s="116">
        <f>INDEX(LINEST(LN(AV151:AX151),SQRT((AV150:AX150))),1)</f>
        <v>-8.3974532874906468E-3</v>
      </c>
      <c r="AS151" s="84">
        <f>INDEX(LINEST(1/(AV151:AX151),1/(SQRT(AV150:AX150)),TRUE,TRUE),3,1)</f>
        <v>0.89844547051796164</v>
      </c>
      <c r="AT151" s="84">
        <f>INDEX(LINEST(1/(AV151:AX151),1/SQRT(AV150:AX150)),1)</f>
        <v>-2.8463415655229003E-3</v>
      </c>
      <c r="AU151" s="3"/>
      <c r="AV151" s="53">
        <v>0.97</v>
      </c>
      <c r="AW151" s="53">
        <v>0.95</v>
      </c>
      <c r="AX151" s="53">
        <v>0.94</v>
      </c>
      <c r="AY151" s="53"/>
      <c r="AZ151" s="53"/>
      <c r="BA151" s="53"/>
      <c r="BB151" s="53"/>
      <c r="BC151" s="53"/>
      <c r="BD151" s="53"/>
      <c r="BE151" s="53"/>
      <c r="BF151" s="53"/>
      <c r="BG151" s="53"/>
      <c r="BH151" s="53"/>
      <c r="BI151" s="53"/>
      <c r="BJ151" s="53"/>
      <c r="BK151" s="53"/>
      <c r="BL151" s="53"/>
      <c r="BM151" s="53"/>
      <c r="BN151" s="53"/>
      <c r="BO151" s="53"/>
      <c r="BP151" s="53"/>
      <c r="BQ151" s="53"/>
      <c r="BR151" s="53"/>
      <c r="BS151" s="53"/>
      <c r="BT151" s="53"/>
      <c r="BU151" s="53"/>
      <c r="BV151" s="53"/>
      <c r="BW151" s="53"/>
      <c r="BX151" s="53"/>
      <c r="BY151" s="53"/>
      <c r="BZ151" s="53"/>
      <c r="CA151" s="53"/>
      <c r="CB151" s="53"/>
      <c r="CC151" s="53"/>
      <c r="CD151" s="53"/>
      <c r="CE151" s="53"/>
      <c r="CF151" s="53"/>
      <c r="CG151" s="53"/>
      <c r="CH151" s="53"/>
      <c r="CI151" s="53"/>
      <c r="CJ151" s="53"/>
      <c r="CK151" s="53"/>
      <c r="CL151" s="53"/>
      <c r="CM151" s="53"/>
      <c r="CN151" s="53"/>
      <c r="CO151" s="53"/>
      <c r="CP151" s="53"/>
      <c r="CQ151" s="53"/>
      <c r="CR151" s="1"/>
      <c r="CS151" s="1"/>
      <c r="CT151" s="1"/>
      <c r="CU151" s="1"/>
    </row>
    <row r="152" spans="1:99" s="13" customFormat="1" ht="12" customHeight="1" x14ac:dyDescent="0.2">
      <c r="A152" s="65">
        <v>43916</v>
      </c>
      <c r="B152" s="1"/>
      <c r="C152" s="1"/>
      <c r="D152" s="60"/>
      <c r="E152" s="76"/>
      <c r="F152" s="60"/>
      <c r="G152" s="60"/>
      <c r="H152" s="61"/>
      <c r="I152" s="60"/>
      <c r="J152" s="60"/>
      <c r="K152" s="64"/>
      <c r="L152" s="64"/>
      <c r="M152" s="60"/>
      <c r="N152" s="60"/>
      <c r="O152" s="60"/>
      <c r="P152" s="60"/>
      <c r="Q152" s="60"/>
      <c r="R152" s="60"/>
      <c r="S152" s="60"/>
      <c r="T152" s="60"/>
      <c r="U152" s="60"/>
      <c r="V152" s="59"/>
      <c r="W152" s="60"/>
      <c r="X152" s="60"/>
      <c r="Y152" s="76"/>
      <c r="Z152" s="60"/>
      <c r="AA152" s="60"/>
      <c r="AB152" s="60"/>
      <c r="AC152" s="60"/>
      <c r="AD152" s="60"/>
      <c r="AE152" s="60"/>
      <c r="AF152" s="80"/>
      <c r="AG152" s="56"/>
      <c r="AH152" s="4"/>
      <c r="AI152" s="56"/>
      <c r="AJ152" s="109"/>
      <c r="AK152" s="56"/>
      <c r="AL152" s="56"/>
      <c r="AM152" s="56"/>
      <c r="AN152" s="56"/>
      <c r="AO152" s="56"/>
      <c r="AP152" s="56"/>
      <c r="AQ152" s="82"/>
      <c r="AR152" s="115"/>
      <c r="AS152" s="82"/>
      <c r="AT152" s="82"/>
      <c r="AU152" s="4"/>
      <c r="AV152" s="25">
        <v>0.01</v>
      </c>
      <c r="AW152" s="25">
        <v>5</v>
      </c>
      <c r="AX152" s="25">
        <v>15</v>
      </c>
      <c r="AY152" s="53"/>
      <c r="AZ152" s="53"/>
      <c r="BA152" s="53"/>
      <c r="BB152" s="53"/>
      <c r="BC152" s="53"/>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53"/>
      <c r="BZ152" s="53"/>
      <c r="CA152" s="53"/>
      <c r="CB152" s="53"/>
      <c r="CC152" s="53"/>
      <c r="CD152" s="53"/>
      <c r="CE152" s="53"/>
      <c r="CF152" s="53"/>
      <c r="CG152" s="53"/>
      <c r="CH152" s="53"/>
      <c r="CI152" s="53"/>
      <c r="CJ152" s="53"/>
      <c r="CK152" s="53"/>
      <c r="CL152" s="53"/>
      <c r="CM152" s="53"/>
      <c r="CN152" s="53"/>
      <c r="CO152" s="53"/>
      <c r="CP152" s="53"/>
      <c r="CQ152" s="53"/>
      <c r="CR152" s="1"/>
      <c r="CS152" s="1"/>
      <c r="CT152" s="1"/>
      <c r="CU152" s="1"/>
    </row>
    <row r="153" spans="1:99" s="13" customFormat="1" ht="12" customHeight="1" x14ac:dyDescent="0.2">
      <c r="A153" s="65">
        <v>43916</v>
      </c>
      <c r="B153" s="1" t="s">
        <v>548</v>
      </c>
      <c r="C153" s="1" t="s">
        <v>48</v>
      </c>
      <c r="D153" s="60">
        <v>1982</v>
      </c>
      <c r="E153" s="76">
        <v>2</v>
      </c>
      <c r="F153" s="60">
        <v>12</v>
      </c>
      <c r="G153" s="60">
        <v>12</v>
      </c>
      <c r="H153" s="60" t="s">
        <v>22</v>
      </c>
      <c r="I153" s="60" t="s">
        <v>848</v>
      </c>
      <c r="J153" s="60" t="s">
        <v>443</v>
      </c>
      <c r="K153" s="60">
        <f>IF(J153="syllables",1,IF(J153="trigrams",2,IF(J153="strings",3,IF(J153="visual array",4,IF(J153="characters",5,IF(J153="letters",6,IF(J153="free forms",7,IF(J153="odors",8,IF(J153="words",9,IF(J153="pictures",10,IF(J153="object pictures",11,IF(J153="faces",12,IF(J153="names",13,IF(J153="idioms",14,IF(J153="grades",15,IF(J153="syllable-digit pairs",16,IF(J153="trigram-word pairs",17,IF(J153="word-digit pairs",18,IF(J153="English-Swahili pairs",19,IF(J153="spatial position",20,IF(J153="word pairs",21,IF(J153="word triads",22,IF(J153="generated words",23,IF(J153="word definition pairs",24,IF(J153="math problems",25,IF(J153="famous faces",26,IF(J153="famous names",27,IF(J153="famous voices",28,IF(J153="television programs",29,IF(J153="race horses",30,IF(J153="new vocabulary",31,IF(J153="sentences",32,IF(J153="concepts",33,IF(J153="ad slides",34,IF(J153="scenes",35,IF(J153="famous scenes",36,IF(J153="poems",37,IF(J153="walk",38,IF(J153="faces and events",39,IF(J153="events and names",40,IF(J153="flashbulb",41,IF(J153="stories",42,IF(J153="course material",43,IF(J153="autobiographical",44,IF(J153="novels",45,IF(J153="public events",46,"99"))))))))))))))))))))))))))))))))))))))))))))))</f>
        <v>2</v>
      </c>
      <c r="L153" s="60">
        <f>IF(J153="syllables",1,IF(J153="trigrams",1,IF(J153="strings",1,IF(J153="visual array",1,IF(J153="characters",1,IF(J153="letters",1,IF(J153="free forms",1,IF(J153="odors",2,IF(J153="words",2,IF(J153="pictures",2,IF(J153="object pictures",2,IF(J153="faces",2,IF(J153="names",2,IF(J153="idioms","2",IF(J153="grades",2,IF(J153="syllable-digit pairs",3,IF(J153="trigram-word pairs",3,IF(J153="word-digit pairs",3,IF(J153="English-Swahili pairs",3,IF(J153="spatial position",3,IF(J153="word pairs",4,IF(J153="word triads",4,IF(J153="generated words",4,IF(J153="word definition pairs",4,IF(J153="math problems",4,IF(J153="famous faces",4,IF(J153="famous names",4,IF(J153="famous voices",4,IF(J153="television programs",4,IF(J153="race horses",4,IF(J153="new vocabulary",4,IF(J153="sentences",5,IF(J153="concepts",5,IF(J153="ad slides",5,IF(J153="scenes",5,IF(J153="famous scenes",5,IF(J153="poems",6,IF(J153="walk",6,IF(J153="faces and events",6,IF(J153="events and names",6,IF(J153="flashbulb",7,IF(J153="stories",7,IF(J153="course material",7,IF(J153="autobiographical",7,IF(J153="novels",7,IF(J153="public events",7,"99"))))))))))))))))))))))))))))))))))))))))))))))</f>
        <v>1</v>
      </c>
      <c r="M153" s="60">
        <v>0</v>
      </c>
      <c r="N153" s="60">
        <v>1</v>
      </c>
      <c r="O153" s="60">
        <v>1</v>
      </c>
      <c r="P153" s="60" t="s">
        <v>550</v>
      </c>
      <c r="Q153" s="60" t="s">
        <v>174</v>
      </c>
      <c r="R153" s="60">
        <f>IF(Q153="Free Recall",1,IF(Q153="Cued Recall",2,IF(Q153="Recognition",3,IF(Q153="Multiple Choice",4,IF(Q153="Savings",5,IF(Q153="Stem Completion",6,IF(Q153="Fragment Completion",7,IF(Q153="anagram solution",8,IF(Q153="Matching",9,IF(Q153="Problem Solving",10,"99"))))))))))</f>
        <v>1</v>
      </c>
      <c r="S153" s="60" t="s">
        <v>49</v>
      </c>
      <c r="T153" s="59" t="s">
        <v>581</v>
      </c>
      <c r="U153" s="60">
        <f>IF(T153="within",1,0)</f>
        <v>1</v>
      </c>
      <c r="V153" s="59">
        <v>30</v>
      </c>
      <c r="W153" s="60">
        <f>F153*V153</f>
        <v>360</v>
      </c>
      <c r="X153" s="60">
        <v>3</v>
      </c>
      <c r="Y153" s="76">
        <f>AV152</f>
        <v>0.01</v>
      </c>
      <c r="Z153" s="60" t="s">
        <v>549</v>
      </c>
      <c r="AA153" s="60">
        <v>15</v>
      </c>
      <c r="AB153" s="60" t="str">
        <f>IF(AA153&lt;60,"1",IF(AA153&lt;=43200,"2",IF(AA153&lt;=777600,"3","4")))</f>
        <v>1</v>
      </c>
      <c r="AC153" s="56">
        <f>AVERAGE(AV152:DA152)</f>
        <v>6.669999999999999</v>
      </c>
      <c r="AD153" s="60" t="str">
        <f>IF(AC153&lt;60,"1",IF(AC153&lt;=43200,"2",IF(AC153&lt;=777600,"3","4")))</f>
        <v>1</v>
      </c>
      <c r="AE153" s="76">
        <f>AA153-Y153</f>
        <v>14.99</v>
      </c>
      <c r="AF153" s="80">
        <f>AV153</f>
        <v>0.97</v>
      </c>
      <c r="AG153" s="56">
        <f>((AW153-AV153)+(AX153-AW153))/2</f>
        <v>-1.5000000000000013E-2</v>
      </c>
      <c r="AH153" s="4"/>
      <c r="AI153" s="56">
        <f>RSQ(AV153:AX153,AV152:AX152)</f>
        <v>0.86190341751193811</v>
      </c>
      <c r="AJ153" s="109">
        <f>SLOPE(AV153:AX153,AV152:AX152)</f>
        <v>-1.8578364657686134E-3</v>
      </c>
      <c r="AK153" s="56">
        <f>INTERCEPT(AV153:AX153,AV152:AX152)</f>
        <v>0.96572510256000987</v>
      </c>
      <c r="AL153" s="56">
        <f>INDEX(LINEST(LN(AV153:AX153),LN(AV152:AX152),TRUE,TRUE),3,1)</f>
        <v>0.96144783069950279</v>
      </c>
      <c r="AM153" s="56">
        <f>INDEX(LINEST(LN(AV153:AX153),LN(AV152:AX152)),1)</f>
        <v>-3.9743751452330058E-3</v>
      </c>
      <c r="AN153" s="56">
        <f>EXP(INDEX(LINEST(LN(AV153:AX153),LN(AV152:AX152)),1,2))</f>
        <v>0.95288877992747734</v>
      </c>
      <c r="AO153" s="82">
        <f>INDEX(LINEST((AV153:AX153),LN(AV152:AX152),TRUE,TRUE),3,1)</f>
        <v>0.96293665108418247</v>
      </c>
      <c r="AP153" s="82">
        <f>INDEX(LINEST((AV153:AX153),LN(AV152:AX152)),1)</f>
        <v>-3.8009775288399042E-3</v>
      </c>
      <c r="AQ153" s="83">
        <f>INDEX(LINEST(LN(AV153:AX153),SQRT(AV152:AX152),TRUE,TRUE),3,1)</f>
        <v>0.9879511094985044</v>
      </c>
      <c r="AR153" s="116">
        <f>INDEX(LINEST(LN(AV153:AX153),SQRT((AV152:AX152))),1)</f>
        <v>-8.3974532874906468E-3</v>
      </c>
      <c r="AS153" s="84">
        <f>INDEX(LINEST(1/(AV153:AX153),1/(SQRT(AV152:AX152)),TRUE,TRUE),3,1)</f>
        <v>0.89844547051796164</v>
      </c>
      <c r="AT153" s="84">
        <f>INDEX(LINEST(1/(AV153:AX153),1/SQRT(AV152:AX152)),1)</f>
        <v>-2.8463415655229003E-3</v>
      </c>
      <c r="AU153" s="3"/>
      <c r="AV153" s="53">
        <v>0.97</v>
      </c>
      <c r="AW153" s="53">
        <v>0.95</v>
      </c>
      <c r="AX153" s="53">
        <v>0.94</v>
      </c>
      <c r="AY153" s="53"/>
      <c r="AZ153" s="53"/>
      <c r="BA153" s="53"/>
      <c r="BB153" s="53"/>
      <c r="BC153" s="53"/>
      <c r="BD153" s="53"/>
      <c r="BE153" s="53"/>
      <c r="BF153" s="53"/>
      <c r="BG153" s="53"/>
      <c r="BH153" s="53"/>
      <c r="BI153" s="53"/>
      <c r="BJ153" s="53"/>
      <c r="BK153" s="53"/>
      <c r="BL153" s="53"/>
      <c r="BM153" s="53"/>
      <c r="BN153" s="53"/>
      <c r="BO153" s="53"/>
      <c r="BP153" s="53"/>
      <c r="BQ153" s="53"/>
      <c r="BR153" s="53"/>
      <c r="BS153" s="53"/>
      <c r="BT153" s="53"/>
      <c r="BU153" s="53"/>
      <c r="BV153" s="53"/>
      <c r="BW153" s="53"/>
      <c r="BX153" s="53"/>
      <c r="BY153" s="53"/>
      <c r="BZ153" s="53"/>
      <c r="CA153" s="53"/>
      <c r="CB153" s="53"/>
      <c r="CC153" s="53"/>
      <c r="CD153" s="53"/>
      <c r="CE153" s="53"/>
      <c r="CF153" s="53"/>
      <c r="CG153" s="53"/>
      <c r="CH153" s="53"/>
      <c r="CI153" s="53"/>
      <c r="CJ153" s="53"/>
      <c r="CK153" s="53"/>
      <c r="CL153" s="53"/>
      <c r="CM153" s="53"/>
      <c r="CN153" s="53"/>
      <c r="CO153" s="53"/>
      <c r="CP153" s="53"/>
      <c r="CQ153" s="53"/>
      <c r="CR153" s="1"/>
      <c r="CS153" s="1"/>
      <c r="CT153" s="1"/>
      <c r="CU153" s="1"/>
    </row>
    <row r="154" spans="1:99" s="13" customFormat="1" ht="12" customHeight="1" x14ac:dyDescent="0.2">
      <c r="A154" s="68">
        <v>43509</v>
      </c>
      <c r="B154" s="70"/>
      <c r="C154" s="70"/>
      <c r="D154" s="69"/>
      <c r="E154" s="87"/>
      <c r="F154" s="69"/>
      <c r="G154" s="69"/>
      <c r="H154" s="69"/>
      <c r="I154" s="69"/>
      <c r="J154" s="69"/>
      <c r="K154" s="107"/>
      <c r="L154" s="107"/>
      <c r="M154" s="69"/>
      <c r="N154" s="69"/>
      <c r="O154" s="69"/>
      <c r="P154" s="69"/>
      <c r="Q154" s="69"/>
      <c r="R154" s="69"/>
      <c r="S154" s="69"/>
      <c r="T154" s="92"/>
      <c r="U154" s="60"/>
      <c r="V154" s="69"/>
      <c r="W154" s="69"/>
      <c r="X154" s="86"/>
      <c r="Y154" s="87"/>
      <c r="Z154" s="69"/>
      <c r="AA154" s="69"/>
      <c r="AB154" s="69"/>
      <c r="AC154" s="69"/>
      <c r="AD154" s="69"/>
      <c r="AE154" s="69"/>
      <c r="AF154" s="88"/>
      <c r="AG154" s="72"/>
      <c r="AH154" s="4"/>
      <c r="AI154" s="72"/>
      <c r="AJ154" s="110"/>
      <c r="AK154" s="72"/>
      <c r="AL154" s="72"/>
      <c r="AM154" s="72"/>
      <c r="AN154" s="72"/>
      <c r="AO154" s="72"/>
      <c r="AP154" s="72"/>
      <c r="AQ154" s="72"/>
      <c r="AR154" s="110"/>
      <c r="AS154" s="72"/>
      <c r="AT154" s="72"/>
      <c r="AU154" s="4"/>
      <c r="AV154" s="71">
        <v>2</v>
      </c>
      <c r="AW154" s="71">
        <v>4</v>
      </c>
      <c r="AX154" s="71">
        <v>8</v>
      </c>
      <c r="AY154" s="71">
        <v>16</v>
      </c>
      <c r="AZ154" s="71">
        <v>32</v>
      </c>
      <c r="BA154" s="53"/>
      <c r="BB154" s="53"/>
      <c r="BC154" s="53"/>
      <c r="BD154" s="53"/>
      <c r="BE154" s="53"/>
      <c r="BF154" s="53"/>
      <c r="BG154" s="53"/>
      <c r="BH154" s="53"/>
      <c r="BI154" s="53"/>
      <c r="BJ154" s="53"/>
      <c r="BK154" s="53"/>
      <c r="BL154" s="53"/>
      <c r="BM154" s="53"/>
      <c r="BN154" s="53"/>
      <c r="BO154" s="53"/>
      <c r="BP154" s="53"/>
      <c r="BQ154" s="53"/>
      <c r="BR154" s="53"/>
      <c r="BS154" s="53"/>
      <c r="BT154" s="53"/>
      <c r="BU154" s="53"/>
      <c r="BV154" s="53"/>
      <c r="BW154" s="53"/>
      <c r="BX154" s="53"/>
      <c r="BY154" s="53"/>
      <c r="BZ154" s="53"/>
      <c r="CA154" s="53"/>
      <c r="CB154" s="53"/>
      <c r="CC154" s="53"/>
      <c r="CD154" s="53"/>
      <c r="CE154" s="53"/>
      <c r="CF154" s="53"/>
      <c r="CG154" s="53"/>
      <c r="CH154" s="53"/>
      <c r="CI154" s="53"/>
      <c r="CJ154" s="53"/>
      <c r="CK154" s="53"/>
      <c r="CL154" s="53"/>
      <c r="CM154" s="53"/>
      <c r="CN154" s="53"/>
      <c r="CO154" s="53"/>
      <c r="CP154" s="53"/>
      <c r="CQ154" s="53"/>
      <c r="CR154" s="1"/>
      <c r="CS154" s="1"/>
      <c r="CT154" s="1"/>
      <c r="CU154" s="1"/>
    </row>
    <row r="155" spans="1:99" s="13" customFormat="1" ht="12" customHeight="1" x14ac:dyDescent="0.2">
      <c r="A155" s="68">
        <v>43509</v>
      </c>
      <c r="B155" s="70" t="s">
        <v>258</v>
      </c>
      <c r="C155" s="70" t="s">
        <v>45</v>
      </c>
      <c r="D155" s="69">
        <v>2012</v>
      </c>
      <c r="E155" s="87">
        <v>1</v>
      </c>
      <c r="F155" s="69">
        <v>18</v>
      </c>
      <c r="G155" s="69">
        <v>18</v>
      </c>
      <c r="H155" s="69" t="s">
        <v>50</v>
      </c>
      <c r="I155" s="69" t="s">
        <v>851</v>
      </c>
      <c r="J155" s="69" t="s">
        <v>320</v>
      </c>
      <c r="K155" s="69">
        <f>IF(J155="syllables",1,IF(J155="trigrams",2,IF(J155="strings",3,IF(J155="visual array",4,IF(J155="characters",5,IF(J155="letters",6,IF(J155="free forms",7,IF(J155="odors",8,IF(J155="words",9,IF(J155="pictures",10,IF(J155="object pictures",11,IF(J155="faces",12,IF(J155="names",13,IF(J155="idioms",14,IF(J155="grades",15,IF(J155="syllable-digit pairs",16,IF(J155="trigram-word pairs",17,IF(J155="word-digit pairs",18,IF(J155="English-Swahili pairs",19,IF(J155="spatial position",20,IF(J155="word pairs",21,IF(J155="word triads",22,IF(J155="generated words",23,IF(J155="word definition pairs",24,IF(J155="math problems",25,IF(J155="famous faces",26,IF(J155="famous names",27,IF(J155="famous voices",28,IF(J155="television programs",29,IF(J155="race horses",30,IF(J155="new vocabulary",31,IF(J155="sentences",32,IF(J155="concepts",33,IF(J155="ad slides",34,IF(J155="scenes",35,IF(J155="famous scenes",36,IF(J155="poems",37,IF(J155="walk",38,IF(J155="faces and events",39,IF(J155="events and names",40,IF(J155="flashbulb",41,IF(J155="stories",42,IF(J155="course material",43,IF(J155="autobiographical",44,IF(J155="novels",45,IF(J155="public events",46,"99"))))))))))))))))))))))))))))))))))))))))))))))</f>
        <v>21</v>
      </c>
      <c r="L155" s="69">
        <f>IF(J155="syllables",1,IF(J155="trigrams",1,IF(J155="strings",1,IF(J155="visual array",1,IF(J155="characters",1,IF(J155="letters",1,IF(J155="free forms",1,IF(J155="odors",2,IF(J155="words",2,IF(J155="pictures",2,IF(J155="object pictures",2,IF(J155="faces",2,IF(J155="names",2,IF(J155="idioms","2",IF(J155="grades",2,IF(J155="syllable-digit pairs",3,IF(J155="trigram-word pairs",3,IF(J155="word-digit pairs",3,IF(J155="English-Swahili pairs",3,IF(J155="spatial position",3,IF(J155="word pairs",4,IF(J155="word triads",4,IF(J155="generated words",4,IF(J155="word definition pairs",4,IF(J155="math problems",4,IF(J155="famous faces",4,IF(J155="famous names",4,IF(J155="famous voices",4,IF(J155="television programs",4,IF(J155="race horses",4,IF(J155="new vocabulary",4,IF(J155="sentences",5,IF(J155="concepts",5,IF(J155="ad slides",5,IF(J155="scenes",5,IF(J155="famous scenes",5,IF(J155="poems",6,IF(J155="walk",6,IF(J155="faces and events",6,IF(J155="events and names",6,IF(J155="flashbulb",7,IF(J155="stories",7,IF(J155="course material",7,IF(J155="autobiographical",7,IF(J155="novels",7,IF(J155="public events",7,"99"))))))))))))))))))))))))))))))))))))))))))))))</f>
        <v>4</v>
      </c>
      <c r="M155" s="69">
        <v>0</v>
      </c>
      <c r="N155" s="69">
        <v>1</v>
      </c>
      <c r="O155" s="69">
        <v>1</v>
      </c>
      <c r="P155" s="69" t="s">
        <v>53</v>
      </c>
      <c r="Q155" s="69" t="s">
        <v>174</v>
      </c>
      <c r="R155" s="69">
        <f>IF(Q155="Free Recall",1,IF(Q155="Cued Recall",2,IF(Q155="Recognition",3,IF(Q155="Multiple Choice",4,IF(Q155="Savings",5,IF(Q155="Stem Completion",6,IF(Q155="Fragment Completion",7,IF(Q155="anagram solution",8,IF(Q155="Matching",9,IF(Q155="Problem Solving",10,"99"))))))))))</f>
        <v>1</v>
      </c>
      <c r="S155" s="69" t="s">
        <v>49</v>
      </c>
      <c r="T155" s="92" t="s">
        <v>581</v>
      </c>
      <c r="U155" s="60">
        <f>IF(T155="within",1,0)</f>
        <v>1</v>
      </c>
      <c r="V155" s="92">
        <v>35</v>
      </c>
      <c r="W155" s="69">
        <f>F155*V155</f>
        <v>630</v>
      </c>
      <c r="X155" s="69">
        <v>5</v>
      </c>
      <c r="Y155" s="87">
        <f>AV154</f>
        <v>2</v>
      </c>
      <c r="Z155" s="69" t="s">
        <v>47</v>
      </c>
      <c r="AA155" s="69">
        <v>32</v>
      </c>
      <c r="AB155" s="69" t="str">
        <f>IF(AA155&lt;60,"1",IF(AA155&lt;=43200,"2",IF(AA155&lt;=777600,"3","4")))</f>
        <v>1</v>
      </c>
      <c r="AC155" s="72">
        <f>AVERAGE(AV154:DA154)</f>
        <v>12.4</v>
      </c>
      <c r="AD155" s="69" t="str">
        <f>IF(AC155&lt;60,"1",IF(AC155&lt;=43200,"2",IF(AC155&lt;=777600,"3","4")))</f>
        <v>1</v>
      </c>
      <c r="AE155" s="87">
        <f>AA155-Y155</f>
        <v>30</v>
      </c>
      <c r="AF155" s="88">
        <f>AV155</f>
        <v>0.96099999999999997</v>
      </c>
      <c r="AG155" s="72">
        <f>((AW155-AV155)+(AX155-AW155)+(AY155-AX155)+(AZ155-AY155))/4</f>
        <v>-3.175E-2</v>
      </c>
      <c r="AH155" s="4"/>
      <c r="AI155" s="72">
        <f>RSQ(AV155:AZ155,AV154:AZ154)</f>
        <v>0.92011204179649131</v>
      </c>
      <c r="AJ155" s="110">
        <f>SLOPE(AV155:AZ155,AV154:AZ154)</f>
        <v>-3.6552419354838718E-3</v>
      </c>
      <c r="AK155" s="72">
        <f>INTERCEPT(AV155:AZ155,AV154:AZ154)</f>
        <v>0.954125</v>
      </c>
      <c r="AL155" s="72">
        <f>INDEX(LINEST(LN(AV155:AZ155),LN(AV154:AZ154),TRUE,TRUE),3,1)</f>
        <v>0.83872734420689654</v>
      </c>
      <c r="AM155" s="72">
        <f>INDEX(LINEST(LN(AV155:AZ155),LN(AV154:AZ154)),1)</f>
        <v>-4.3570999372430294E-2</v>
      </c>
      <c r="AN155" s="72">
        <f>EXP(INDEX(LINEST(LN(AV155:AZ155),LN(AV154:AZ154)),1,2))</f>
        <v>0.99391817904942314</v>
      </c>
      <c r="AO155" s="89">
        <f>INDEX(LINEST((AV155:AZ155),LN(AV154:AZ154),TRUE,TRUE),3,1)</f>
        <v>0.84973619660295252</v>
      </c>
      <c r="AP155" s="89">
        <f>INDEX(LINEST((AV155:AZ155),LN(AV154:AZ154)),1)</f>
        <v>-3.9097035608090906E-2</v>
      </c>
      <c r="AQ155" s="90">
        <f>INDEX(LINEST(LN(AV155:AZ155),SQRT(AV154:AZ154),TRUE,TRUE),3,1)</f>
        <v>0.90363635471955261</v>
      </c>
      <c r="AR155" s="117">
        <f>INDEX(LINEST(LN(AV155:AZ155),SQRT((AV154:AZ154))),1)</f>
        <v>-2.930713800656156E-2</v>
      </c>
      <c r="AS155" s="91">
        <f>INDEX(LINEST(1/(AV155:AZ155),1/(SQRT(AV154:AZ154)),TRUE,TRUE),3,1)</f>
        <v>0.72061132167914244</v>
      </c>
      <c r="AT155" s="91">
        <f>INDEX(LINEST(1/(AV155:AZ155),1/SQRT(AV154:AZ154)),1)</f>
        <v>-0.23534213490019187</v>
      </c>
      <c r="AU155" s="3"/>
      <c r="AV155" s="73">
        <v>0.96099999999999997</v>
      </c>
      <c r="AW155" s="73">
        <v>0.92600000000000005</v>
      </c>
      <c r="AX155" s="73">
        <v>0.91400000000000003</v>
      </c>
      <c r="AY155" s="73">
        <v>0.90900000000000003</v>
      </c>
      <c r="AZ155" s="73">
        <v>0.83399999999999996</v>
      </c>
      <c r="BA155" s="53"/>
      <c r="BB155" s="53"/>
      <c r="BC155" s="53"/>
      <c r="BD155" s="53"/>
      <c r="BE155" s="53"/>
      <c r="BF155" s="53"/>
      <c r="BG155" s="53"/>
      <c r="BH155" s="53"/>
      <c r="BI155" s="53"/>
      <c r="BJ155" s="53"/>
      <c r="BK155" s="53"/>
      <c r="BL155" s="53"/>
      <c r="BM155" s="53"/>
      <c r="BN155" s="53"/>
      <c r="BO155" s="53"/>
      <c r="BP155" s="53"/>
      <c r="BQ155" s="53"/>
      <c r="BR155" s="53"/>
      <c r="BS155" s="53"/>
      <c r="BT155" s="53"/>
      <c r="BU155" s="53"/>
      <c r="BV155" s="53"/>
      <c r="BW155" s="53"/>
      <c r="BX155" s="53"/>
      <c r="BY155" s="53"/>
      <c r="BZ155" s="53"/>
      <c r="CA155" s="53"/>
      <c r="CB155" s="53"/>
      <c r="CC155" s="53"/>
      <c r="CD155" s="53"/>
      <c r="CE155" s="53"/>
      <c r="CF155" s="53"/>
      <c r="CG155" s="53"/>
      <c r="CH155" s="53"/>
      <c r="CI155" s="53"/>
      <c r="CJ155" s="53"/>
      <c r="CK155" s="53"/>
      <c r="CL155" s="53"/>
      <c r="CM155" s="53"/>
      <c r="CN155" s="53"/>
      <c r="CO155" s="53"/>
      <c r="CP155" s="53"/>
      <c r="CQ155" s="53"/>
      <c r="CR155" s="1"/>
      <c r="CS155" s="1"/>
      <c r="CT155" s="1"/>
      <c r="CU155" s="1"/>
    </row>
    <row r="156" spans="1:99" s="13" customFormat="1" ht="12" customHeight="1" x14ac:dyDescent="0.2">
      <c r="A156" s="68">
        <v>43509</v>
      </c>
      <c r="B156" s="70"/>
      <c r="C156" s="70"/>
      <c r="D156" s="69"/>
      <c r="E156" s="87"/>
      <c r="F156" s="69"/>
      <c r="G156" s="69"/>
      <c r="H156" s="69"/>
      <c r="I156" s="69"/>
      <c r="J156" s="69"/>
      <c r="K156" s="107"/>
      <c r="L156" s="107"/>
      <c r="M156" s="69"/>
      <c r="N156" s="69"/>
      <c r="O156" s="69"/>
      <c r="P156" s="69"/>
      <c r="Q156" s="69"/>
      <c r="R156" s="69"/>
      <c r="S156" s="69"/>
      <c r="T156" s="92"/>
      <c r="U156" s="60"/>
      <c r="V156" s="69"/>
      <c r="W156" s="69"/>
      <c r="X156" s="69"/>
      <c r="Y156" s="87"/>
      <c r="Z156" s="69"/>
      <c r="AA156" s="69"/>
      <c r="AB156" s="69"/>
      <c r="AC156" s="69"/>
      <c r="AD156" s="69"/>
      <c r="AE156" s="69"/>
      <c r="AF156" s="88"/>
      <c r="AG156" s="72"/>
      <c r="AH156" s="4"/>
      <c r="AI156" s="72"/>
      <c r="AJ156" s="110"/>
      <c r="AK156" s="72"/>
      <c r="AL156" s="72"/>
      <c r="AM156" s="72"/>
      <c r="AN156" s="72"/>
      <c r="AO156" s="89"/>
      <c r="AP156" s="89"/>
      <c r="AQ156" s="72"/>
      <c r="AR156" s="110"/>
      <c r="AS156" s="72"/>
      <c r="AT156" s="72"/>
      <c r="AU156" s="3"/>
      <c r="AV156" s="71">
        <v>2</v>
      </c>
      <c r="AW156" s="71">
        <v>4</v>
      </c>
      <c r="AX156" s="71">
        <v>8</v>
      </c>
      <c r="AY156" s="71">
        <v>16</v>
      </c>
      <c r="AZ156" s="71">
        <v>32</v>
      </c>
      <c r="BA156" s="53"/>
      <c r="BB156" s="53"/>
      <c r="BC156" s="53"/>
      <c r="BD156" s="53"/>
      <c r="BE156" s="53"/>
      <c r="BF156" s="53"/>
      <c r="BG156" s="53"/>
      <c r="BH156" s="53"/>
      <c r="BI156" s="53"/>
      <c r="BJ156" s="53"/>
      <c r="BK156" s="53"/>
      <c r="BL156" s="53"/>
      <c r="BM156" s="53"/>
      <c r="BN156" s="53"/>
      <c r="BO156" s="53"/>
      <c r="BP156" s="53"/>
      <c r="BQ156" s="53"/>
      <c r="BR156" s="53"/>
      <c r="BS156" s="53"/>
      <c r="BT156" s="53"/>
      <c r="BU156" s="53"/>
      <c r="BV156" s="53"/>
      <c r="BW156" s="53"/>
      <c r="BX156" s="53"/>
      <c r="BY156" s="53"/>
      <c r="BZ156" s="53"/>
      <c r="CA156" s="53"/>
      <c r="CB156" s="53"/>
      <c r="CC156" s="53"/>
      <c r="CD156" s="53"/>
      <c r="CE156" s="53"/>
      <c r="CF156" s="53"/>
      <c r="CG156" s="53"/>
      <c r="CH156" s="53"/>
      <c r="CI156" s="53"/>
      <c r="CJ156" s="53"/>
      <c r="CK156" s="53"/>
      <c r="CL156" s="53"/>
      <c r="CM156" s="53"/>
      <c r="CN156" s="53"/>
      <c r="CO156" s="53"/>
      <c r="CP156" s="53"/>
      <c r="CQ156" s="53"/>
      <c r="CR156" s="1"/>
      <c r="CS156" s="1"/>
      <c r="CT156" s="1"/>
      <c r="CU156" s="1"/>
    </row>
    <row r="157" spans="1:99" s="13" customFormat="1" ht="12" customHeight="1" x14ac:dyDescent="0.2">
      <c r="A157" s="68">
        <v>43509</v>
      </c>
      <c r="B157" s="70" t="s">
        <v>258</v>
      </c>
      <c r="C157" s="70" t="s">
        <v>45</v>
      </c>
      <c r="D157" s="69">
        <v>2012</v>
      </c>
      <c r="E157" s="87">
        <v>1</v>
      </c>
      <c r="F157" s="69">
        <v>18</v>
      </c>
      <c r="G157" s="69">
        <v>18</v>
      </c>
      <c r="H157" s="69" t="s">
        <v>50</v>
      </c>
      <c r="I157" s="69" t="s">
        <v>852</v>
      </c>
      <c r="J157" s="69" t="s">
        <v>320</v>
      </c>
      <c r="K157" s="69">
        <f>IF(J157="syllables",1,IF(J157="trigrams",2,IF(J157="strings",3,IF(J157="visual array",4,IF(J157="characters",5,IF(J157="letters",6,IF(J157="free forms",7,IF(J157="odors",8,IF(J157="words",9,IF(J157="pictures",10,IF(J157="object pictures",11,IF(J157="faces",12,IF(J157="names",13,IF(J157="idioms",14,IF(J157="grades",15,IF(J157="syllable-digit pairs",16,IF(J157="trigram-word pairs",17,IF(J157="word-digit pairs",18,IF(J157="English-Swahili pairs",19,IF(J157="spatial position",20,IF(J157="word pairs",21,IF(J157="word triads",22,IF(J157="generated words",23,IF(J157="word definition pairs",24,IF(J157="math problems",25,IF(J157="famous faces",26,IF(J157="famous names",27,IF(J157="famous voices",28,IF(J157="television programs",29,IF(J157="race horses",30,IF(J157="new vocabulary",31,IF(J157="sentences",32,IF(J157="concepts",33,IF(J157="ad slides",34,IF(J157="scenes",35,IF(J157="famous scenes",36,IF(J157="poems",37,IF(J157="walk",38,IF(J157="faces and events",39,IF(J157="events and names",40,IF(J157="flashbulb",41,IF(J157="stories",42,IF(J157="course material",43,IF(J157="autobiographical",44,IF(J157="novels",45,IF(J157="public events",46,"99"))))))))))))))))))))))))))))))))))))))))))))))</f>
        <v>21</v>
      </c>
      <c r="L157" s="69">
        <f>IF(J157="syllables",1,IF(J157="trigrams",1,IF(J157="strings",1,IF(J157="visual array",1,IF(J157="characters",1,IF(J157="letters",1,IF(J157="free forms",1,IF(J157="odors",2,IF(J157="words",2,IF(J157="pictures",2,IF(J157="object pictures",2,IF(J157="faces",2,IF(J157="names",2,IF(J157="idioms","2",IF(J157="grades",2,IF(J157="syllable-digit pairs",3,IF(J157="trigram-word pairs",3,IF(J157="word-digit pairs",3,IF(J157="English-Swahili pairs",3,IF(J157="spatial position",3,IF(J157="word pairs",4,IF(J157="word triads",4,IF(J157="generated words",4,IF(J157="word definition pairs",4,IF(J157="math problems",4,IF(J157="famous faces",4,IF(J157="famous names",4,IF(J157="famous voices",4,IF(J157="television programs",4,IF(J157="race horses",4,IF(J157="new vocabulary",4,IF(J157="sentences",5,IF(J157="concepts",5,IF(J157="ad slides",5,IF(J157="scenes",5,IF(J157="famous scenes",5,IF(J157="poems",6,IF(J157="walk",6,IF(J157="faces and events",6,IF(J157="events and names",6,IF(J157="flashbulb",7,IF(J157="stories",7,IF(J157="course material",7,IF(J157="autobiographical",7,IF(J157="novels",7,IF(J157="public events",7,"99"))))))))))))))))))))))))))))))))))))))))))))))</f>
        <v>4</v>
      </c>
      <c r="M157" s="69">
        <v>0</v>
      </c>
      <c r="N157" s="69">
        <v>1</v>
      </c>
      <c r="O157" s="69">
        <v>1</v>
      </c>
      <c r="P157" s="69" t="s">
        <v>53</v>
      </c>
      <c r="Q157" s="69" t="s">
        <v>174</v>
      </c>
      <c r="R157" s="69">
        <f>IF(Q157="Free Recall",1,IF(Q157="Cued Recall",2,IF(Q157="Recognition",3,IF(Q157="Multiple Choice",4,IF(Q157="Savings",5,IF(Q157="Stem Completion",6,IF(Q157="Fragment Completion",7,IF(Q157="anagram solution",8,IF(Q157="Matching",9,IF(Q157="Problem Solving",10,"99"))))))))))</f>
        <v>1</v>
      </c>
      <c r="S157" s="69" t="s">
        <v>49</v>
      </c>
      <c r="T157" s="92" t="s">
        <v>581</v>
      </c>
      <c r="U157" s="60">
        <f>IF(T157="within",1,0)</f>
        <v>1</v>
      </c>
      <c r="V157" s="92">
        <v>35</v>
      </c>
      <c r="W157" s="69">
        <f>F157*V157</f>
        <v>630</v>
      </c>
      <c r="X157" s="69">
        <v>5</v>
      </c>
      <c r="Y157" s="87">
        <f>AV156</f>
        <v>2</v>
      </c>
      <c r="Z157" s="69" t="s">
        <v>47</v>
      </c>
      <c r="AA157" s="69">
        <v>32</v>
      </c>
      <c r="AB157" s="69" t="str">
        <f>IF(AA157&lt;60,"1",IF(AA157&lt;=43200,"2",IF(AA157&lt;=777600,"3","4")))</f>
        <v>1</v>
      </c>
      <c r="AC157" s="72">
        <f>AVERAGE(AV156:DA156)</f>
        <v>12.4</v>
      </c>
      <c r="AD157" s="69" t="str">
        <f>IF(AC157&lt;60,"1",IF(AC157&lt;=43200,"2",IF(AC157&lt;=777600,"3","4")))</f>
        <v>1</v>
      </c>
      <c r="AE157" s="87">
        <f>AA157-Y157</f>
        <v>30</v>
      </c>
      <c r="AF157" s="88">
        <f>AV157</f>
        <v>0.9</v>
      </c>
      <c r="AG157" s="72">
        <f>((AW157-AV157)+(AX157-AW157)+(AY157-AX157)+(AZ157-AY157))/4</f>
        <v>-4.3250000000000011E-2</v>
      </c>
      <c r="AH157" s="4"/>
      <c r="AI157" s="72">
        <f>RSQ(AV157:AZ157,AV156:AZ156)</f>
        <v>0.59538690704457042</v>
      </c>
      <c r="AJ157" s="110">
        <f>SLOPE(AV157:AZ157,AV156:AZ156)</f>
        <v>-5.2694892473118286E-3</v>
      </c>
      <c r="AK157" s="72">
        <f>INTERCEPT(AV157:AZ157,AV156:AZ156)</f>
        <v>0.85954166666666654</v>
      </c>
      <c r="AL157" s="72">
        <f>INDEX(LINEST(LN(AV157:AZ157),LN(AV156:AZ156),TRUE,TRUE),3,1)</f>
        <v>0.87777601243628078</v>
      </c>
      <c r="AM157" s="72">
        <f>INDEX(LINEST(LN(AV157:AZ157),LN(AV156:AZ156)),1)</f>
        <v>-8.8431452888231274E-2</v>
      </c>
      <c r="AN157" s="72">
        <f>EXP(INDEX(LINEST(LN(AV157:AZ157),LN(AV156:AZ156)),1,2))</f>
        <v>0.95041800552317168</v>
      </c>
      <c r="AO157" s="89">
        <f>INDEX(LINEST((AV157:AZ157),LN(AV156:AZ156),TRUE,TRUE),3,1)</f>
        <v>0.87557459256163817</v>
      </c>
      <c r="AP157" s="89">
        <f>INDEX(LINEST((AV157:AZ157),LN(AV156:AZ156)),1)</f>
        <v>-7.1124865515825905E-2</v>
      </c>
      <c r="AQ157" s="90">
        <f>INDEX(LINEST(LN(AV157:AZ157),SQRT(AV156:AZ156),TRUE,TRUE),3,1)</f>
        <v>0.75376033019926425</v>
      </c>
      <c r="AR157" s="117">
        <f>INDEX(LINEST(LN(AV157:AZ157),SQRT((AV156:AZ156))),1)</f>
        <v>-5.3103235938875164E-2</v>
      </c>
      <c r="AS157" s="91">
        <f>INDEX(LINEST(1/(AV157:AZ157),1/(SQRT(AV156:AZ156)),TRUE,TRUE),3,1)</f>
        <v>0.91314748885714736</v>
      </c>
      <c r="AT157" s="91">
        <f>INDEX(LINEST(1/(AV157:AZ157),1/SQRT(AV156:AZ156)),1)</f>
        <v>-0.5829151172924556</v>
      </c>
      <c r="AU157" s="3"/>
      <c r="AV157" s="73">
        <v>0.9</v>
      </c>
      <c r="AW157" s="73">
        <v>0.86599999999999999</v>
      </c>
      <c r="AX157" s="73">
        <v>0.75900000000000001</v>
      </c>
      <c r="AY157" s="73">
        <v>0.71899999999999997</v>
      </c>
      <c r="AZ157" s="73">
        <v>0.72699999999999998</v>
      </c>
      <c r="BA157" s="53"/>
      <c r="BB157" s="53"/>
      <c r="BC157" s="53"/>
      <c r="BD157" s="53"/>
      <c r="BE157" s="53"/>
      <c r="BF157" s="53"/>
      <c r="BG157" s="53"/>
      <c r="BH157" s="53"/>
      <c r="BI157" s="53"/>
      <c r="BJ157" s="53"/>
      <c r="BK157" s="53"/>
      <c r="BL157" s="53"/>
      <c r="BM157" s="53"/>
      <c r="BN157" s="53"/>
      <c r="BO157" s="53"/>
      <c r="BP157" s="53"/>
      <c r="BQ157" s="53"/>
      <c r="BR157" s="53"/>
      <c r="BS157" s="53"/>
      <c r="BT157" s="53"/>
      <c r="BU157" s="53"/>
      <c r="BV157" s="53"/>
      <c r="BW157" s="53"/>
      <c r="BX157" s="53"/>
      <c r="BY157" s="53"/>
      <c r="BZ157" s="53"/>
      <c r="CA157" s="53"/>
      <c r="CB157" s="53"/>
      <c r="CC157" s="53"/>
      <c r="CD157" s="53"/>
      <c r="CE157" s="53"/>
      <c r="CF157" s="53"/>
      <c r="CG157" s="53"/>
      <c r="CH157" s="53"/>
      <c r="CI157" s="53"/>
      <c r="CJ157" s="53"/>
      <c r="CK157" s="53"/>
      <c r="CL157" s="53"/>
      <c r="CM157" s="53"/>
      <c r="CN157" s="53"/>
      <c r="CO157" s="53"/>
      <c r="CP157" s="53"/>
      <c r="CQ157" s="53"/>
      <c r="CR157" s="1"/>
      <c r="CS157" s="1"/>
      <c r="CT157" s="1"/>
      <c r="CU157" s="1"/>
    </row>
    <row r="158" spans="1:99" s="13" customFormat="1" ht="12" customHeight="1" x14ac:dyDescent="0.2">
      <c r="A158" s="68">
        <v>43509</v>
      </c>
      <c r="B158" s="70"/>
      <c r="C158" s="70"/>
      <c r="D158" s="69"/>
      <c r="E158" s="87"/>
      <c r="F158" s="69"/>
      <c r="G158" s="69"/>
      <c r="H158" s="69"/>
      <c r="I158" s="69"/>
      <c r="J158" s="69"/>
      <c r="K158" s="107"/>
      <c r="L158" s="107"/>
      <c r="M158" s="69"/>
      <c r="N158" s="69"/>
      <c r="O158" s="69"/>
      <c r="P158" s="69"/>
      <c r="Q158" s="69"/>
      <c r="R158" s="69"/>
      <c r="S158" s="69"/>
      <c r="T158" s="92"/>
      <c r="U158" s="60"/>
      <c r="V158" s="69"/>
      <c r="W158" s="69"/>
      <c r="X158" s="69"/>
      <c r="Y158" s="87"/>
      <c r="Z158" s="69"/>
      <c r="AA158" s="69"/>
      <c r="AB158" s="69"/>
      <c r="AC158" s="69"/>
      <c r="AD158" s="69"/>
      <c r="AE158" s="69"/>
      <c r="AF158" s="88"/>
      <c r="AG158" s="72"/>
      <c r="AH158" s="4"/>
      <c r="AI158" s="72"/>
      <c r="AJ158" s="110"/>
      <c r="AK158" s="72"/>
      <c r="AL158" s="72"/>
      <c r="AM158" s="72"/>
      <c r="AN158" s="72"/>
      <c r="AO158" s="89"/>
      <c r="AP158" s="89"/>
      <c r="AQ158" s="72"/>
      <c r="AR158" s="110"/>
      <c r="AS158" s="72"/>
      <c r="AT158" s="72"/>
      <c r="AU158" s="3"/>
      <c r="AV158" s="71">
        <v>2</v>
      </c>
      <c r="AW158" s="71">
        <v>4</v>
      </c>
      <c r="AX158" s="71">
        <v>8</v>
      </c>
      <c r="AY158" s="71">
        <v>16</v>
      </c>
      <c r="AZ158" s="71">
        <v>32</v>
      </c>
      <c r="BA158" s="53"/>
      <c r="BB158" s="53"/>
      <c r="BC158" s="53"/>
      <c r="BD158" s="53"/>
      <c r="BE158" s="53"/>
      <c r="BF158" s="53"/>
      <c r="BG158" s="53"/>
      <c r="BH158" s="53"/>
      <c r="BI158" s="53"/>
      <c r="BJ158" s="53"/>
      <c r="BK158" s="53"/>
      <c r="BL158" s="53"/>
      <c r="BM158" s="53"/>
      <c r="BN158" s="53"/>
      <c r="BO158" s="53"/>
      <c r="BP158" s="53"/>
      <c r="BQ158" s="53"/>
      <c r="BR158" s="53"/>
      <c r="BS158" s="53"/>
      <c r="BT158" s="53"/>
      <c r="BU158" s="53"/>
      <c r="BV158" s="53"/>
      <c r="BW158" s="53"/>
      <c r="BX158" s="53"/>
      <c r="BY158" s="53"/>
      <c r="BZ158" s="53"/>
      <c r="CA158" s="53"/>
      <c r="CB158" s="53"/>
      <c r="CC158" s="53"/>
      <c r="CD158" s="53"/>
      <c r="CE158" s="53"/>
      <c r="CF158" s="53"/>
      <c r="CG158" s="53"/>
      <c r="CH158" s="53"/>
      <c r="CI158" s="53"/>
      <c r="CJ158" s="53"/>
      <c r="CK158" s="53"/>
      <c r="CL158" s="53"/>
      <c r="CM158" s="53"/>
      <c r="CN158" s="53"/>
      <c r="CO158" s="53"/>
      <c r="CP158" s="53"/>
      <c r="CQ158" s="53"/>
      <c r="CR158" s="1"/>
      <c r="CS158" s="1"/>
      <c r="CT158" s="1"/>
      <c r="CU158" s="1"/>
    </row>
    <row r="159" spans="1:99" s="13" customFormat="1" ht="12" customHeight="1" x14ac:dyDescent="0.2">
      <c r="A159" s="68">
        <v>43509</v>
      </c>
      <c r="B159" s="70" t="s">
        <v>258</v>
      </c>
      <c r="C159" s="70" t="s">
        <v>45</v>
      </c>
      <c r="D159" s="69">
        <v>2012</v>
      </c>
      <c r="E159" s="87">
        <v>1</v>
      </c>
      <c r="F159" s="69">
        <v>18</v>
      </c>
      <c r="G159" s="69">
        <v>18</v>
      </c>
      <c r="H159" s="69" t="s">
        <v>50</v>
      </c>
      <c r="I159" s="69" t="s">
        <v>853</v>
      </c>
      <c r="J159" s="69" t="s">
        <v>320</v>
      </c>
      <c r="K159" s="69">
        <f>IF(J159="syllables",1,IF(J159="trigrams",2,IF(J159="strings",3,IF(J159="visual array",4,IF(J159="characters",5,IF(J159="letters",6,IF(J159="free forms",7,IF(J159="odors",8,IF(J159="words",9,IF(J159="pictures",10,IF(J159="object pictures",11,IF(J159="faces",12,IF(J159="names",13,IF(J159="idioms",14,IF(J159="grades",15,IF(J159="syllable-digit pairs",16,IF(J159="trigram-word pairs",17,IF(J159="word-digit pairs",18,IF(J159="English-Swahili pairs",19,IF(J159="spatial position",20,IF(J159="word pairs",21,IF(J159="word triads",22,IF(J159="generated words",23,IF(J159="word definition pairs",24,IF(J159="math problems",25,IF(J159="famous faces",26,IF(J159="famous names",27,IF(J159="famous voices",28,IF(J159="television programs",29,IF(J159="race horses",30,IF(J159="new vocabulary",31,IF(J159="sentences",32,IF(J159="concepts",33,IF(J159="ad slides",34,IF(J159="scenes",35,IF(J159="famous scenes",36,IF(J159="poems",37,IF(J159="walk",38,IF(J159="faces and events",39,IF(J159="events and names",40,IF(J159="flashbulb",41,IF(J159="stories",42,IF(J159="course material",43,IF(J159="autobiographical",44,IF(J159="novels",45,IF(J159="public events",46,"99"))))))))))))))))))))))))))))))))))))))))))))))</f>
        <v>21</v>
      </c>
      <c r="L159" s="69">
        <f>IF(J159="syllables",1,IF(J159="trigrams",1,IF(J159="strings",1,IF(J159="visual array",1,IF(J159="characters",1,IF(J159="letters",1,IF(J159="free forms",1,IF(J159="odors",2,IF(J159="words",2,IF(J159="pictures",2,IF(J159="object pictures",2,IF(J159="faces",2,IF(J159="names",2,IF(J159="idioms","2",IF(J159="grades",2,IF(J159="syllable-digit pairs",3,IF(J159="trigram-word pairs",3,IF(J159="word-digit pairs",3,IF(J159="English-Swahili pairs",3,IF(J159="spatial position",3,IF(J159="word pairs",4,IF(J159="word triads",4,IF(J159="generated words",4,IF(J159="word definition pairs",4,IF(J159="math problems",4,IF(J159="famous faces",4,IF(J159="famous names",4,IF(J159="famous voices",4,IF(J159="television programs",4,IF(J159="race horses",4,IF(J159="new vocabulary",4,IF(J159="sentences",5,IF(J159="concepts",5,IF(J159="ad slides",5,IF(J159="scenes",5,IF(J159="famous scenes",5,IF(J159="poems",6,IF(J159="walk",6,IF(J159="faces and events",6,IF(J159="events and names",6,IF(J159="flashbulb",7,IF(J159="stories",7,IF(J159="course material",7,IF(J159="autobiographical",7,IF(J159="novels",7,IF(J159="public events",7,"99"))))))))))))))))))))))))))))))))))))))))))))))</f>
        <v>4</v>
      </c>
      <c r="M159" s="69">
        <v>0</v>
      </c>
      <c r="N159" s="69">
        <v>1</v>
      </c>
      <c r="O159" s="69">
        <v>1</v>
      </c>
      <c r="P159" s="69" t="s">
        <v>53</v>
      </c>
      <c r="Q159" s="69" t="s">
        <v>174</v>
      </c>
      <c r="R159" s="69">
        <f>IF(Q159="Free Recall",1,IF(Q159="Cued Recall",2,IF(Q159="Recognition",3,IF(Q159="Multiple Choice",4,IF(Q159="Savings",5,IF(Q159="Stem Completion",6,IF(Q159="Fragment Completion",7,IF(Q159="anagram solution",8,IF(Q159="Matching",9,IF(Q159="Problem Solving",10,"99"))))))))))</f>
        <v>1</v>
      </c>
      <c r="S159" s="69" t="s">
        <v>49</v>
      </c>
      <c r="T159" s="92" t="s">
        <v>581</v>
      </c>
      <c r="U159" s="60">
        <f>IF(T159="within",1,0)</f>
        <v>1</v>
      </c>
      <c r="V159" s="92">
        <v>35</v>
      </c>
      <c r="W159" s="69">
        <f>F159*V159</f>
        <v>630</v>
      </c>
      <c r="X159" s="69">
        <v>5</v>
      </c>
      <c r="Y159" s="87">
        <f>AV158</f>
        <v>2</v>
      </c>
      <c r="Z159" s="69" t="s">
        <v>47</v>
      </c>
      <c r="AA159" s="69">
        <v>32</v>
      </c>
      <c r="AB159" s="69" t="str">
        <f>IF(AA159&lt;60,"1",IF(AA159&lt;=43200,"2",IF(AA159&lt;=777600,"3","4")))</f>
        <v>1</v>
      </c>
      <c r="AC159" s="72">
        <f>AVERAGE(AV158:DA158)</f>
        <v>12.4</v>
      </c>
      <c r="AD159" s="69" t="str">
        <f>IF(AC159&lt;60,"1",IF(AC159&lt;=43200,"2",IF(AC159&lt;=777600,"3","4")))</f>
        <v>1</v>
      </c>
      <c r="AE159" s="87">
        <f>AA159-Y159</f>
        <v>30</v>
      </c>
      <c r="AF159" s="88">
        <f>AV159</f>
        <v>0.92800000000000005</v>
      </c>
      <c r="AG159" s="72">
        <f>((AW159-AV159)+(AX159-AW159)+(AY159-AX159)+(AZ159-AY159))/4</f>
        <v>-1.9750000000000018E-2</v>
      </c>
      <c r="AH159" s="4"/>
      <c r="AI159" s="72">
        <f>RSQ(AV159:AZ159,AV158:AZ158)</f>
        <v>5.3335967106640743E-2</v>
      </c>
      <c r="AJ159" s="110">
        <f>SLOPE(AV159:AZ159,AV158:AZ158)</f>
        <v>-8.6559139784946385E-4</v>
      </c>
      <c r="AK159" s="72">
        <f>INTERCEPT(AV159:AZ159,AV158:AZ158)</f>
        <v>0.8683333333333334</v>
      </c>
      <c r="AL159" s="72">
        <f>INDEX(LINEST(LN(AV159:AZ159),LN(AV158:AZ158),TRUE,TRUE),3,1)</f>
        <v>0.21111277518798535</v>
      </c>
      <c r="AM159" s="72">
        <f>INDEX(LINEST(LN(AV159:AZ159),LN(AV158:AZ158)),1)</f>
        <v>-2.212633693321656E-2</v>
      </c>
      <c r="AN159" s="72">
        <f>EXP(INDEX(LINEST(LN(AV159:AZ159),LN(AV158:AZ158)),1,2))</f>
        <v>0.89697386881850694</v>
      </c>
      <c r="AO159" s="89">
        <f>INDEX(LINEST((AV159:AZ159),LN(AV158:AZ158),TRUE,TRUE),3,1)</f>
        <v>0.22447734774912736</v>
      </c>
      <c r="AP159" s="89">
        <f>INDEX(LINEST((AV159:AZ159),LN(AV158:AZ158)),1)</f>
        <v>-1.9764922060178818E-2</v>
      </c>
      <c r="AQ159" s="90">
        <f>INDEX(LINEST(LN(AV159:AZ159),SQRT(AV158:AZ158),TRUE,TRUE),3,1)</f>
        <v>0.10338498146426185</v>
      </c>
      <c r="AR159" s="117">
        <f>INDEX(LINEST(LN(AV159:AZ159),SQRT((AV158:AZ158))),1)</f>
        <v>-1.0033915349410916E-2</v>
      </c>
      <c r="AS159" s="91">
        <f>INDEX(LINEST(1/(AV159:AZ159),1/(SQRT(AV158:AZ158)),TRUE,TRUE),3,1)</f>
        <v>0.34084832787525565</v>
      </c>
      <c r="AT159" s="91">
        <f>INDEX(LINEST(1/(AV159:AZ159),1/SQRT(AV158:AZ158)),1)</f>
        <v>-0.16865101417000086</v>
      </c>
      <c r="AU159" s="3"/>
      <c r="AV159" s="73">
        <v>0.92800000000000005</v>
      </c>
      <c r="AW159" s="73">
        <v>0.84399999999999997</v>
      </c>
      <c r="AX159" s="73">
        <v>0.80200000000000005</v>
      </c>
      <c r="AY159" s="73">
        <v>0.86499999999999999</v>
      </c>
      <c r="AZ159" s="73">
        <v>0.84899999999999998</v>
      </c>
      <c r="BA159" s="53"/>
      <c r="BB159" s="53"/>
      <c r="BC159" s="53"/>
      <c r="BD159" s="53"/>
      <c r="BE159" s="53"/>
      <c r="BF159" s="53"/>
      <c r="BG159" s="53"/>
      <c r="BH159" s="53"/>
      <c r="BI159" s="53"/>
      <c r="BJ159" s="53"/>
      <c r="BK159" s="53"/>
      <c r="BL159" s="53"/>
      <c r="BM159" s="53"/>
      <c r="BN159" s="53"/>
      <c r="BO159" s="53"/>
      <c r="BP159" s="53"/>
      <c r="BQ159" s="53"/>
      <c r="BR159" s="53"/>
      <c r="BS159" s="53"/>
      <c r="BT159" s="53"/>
      <c r="BU159" s="53"/>
      <c r="BV159" s="53"/>
      <c r="BW159" s="53"/>
      <c r="BX159" s="53"/>
      <c r="BY159" s="53"/>
      <c r="BZ159" s="53"/>
      <c r="CA159" s="53"/>
      <c r="CB159" s="53"/>
      <c r="CC159" s="53"/>
      <c r="CD159" s="53"/>
      <c r="CE159" s="53"/>
      <c r="CF159" s="53"/>
      <c r="CG159" s="53"/>
      <c r="CH159" s="53"/>
      <c r="CI159" s="53"/>
      <c r="CJ159" s="53"/>
      <c r="CK159" s="53"/>
      <c r="CL159" s="53"/>
      <c r="CM159" s="53"/>
      <c r="CN159" s="53"/>
      <c r="CO159" s="53"/>
      <c r="CP159" s="53"/>
      <c r="CQ159" s="53"/>
      <c r="CR159" s="1"/>
      <c r="CS159" s="1"/>
      <c r="CT159" s="1"/>
      <c r="CU159" s="1"/>
    </row>
    <row r="160" spans="1:99" s="13" customFormat="1" ht="12" customHeight="1" x14ac:dyDescent="0.2">
      <c r="A160" s="68">
        <v>43509</v>
      </c>
      <c r="B160" s="70"/>
      <c r="C160" s="70"/>
      <c r="D160" s="69"/>
      <c r="E160" s="87"/>
      <c r="F160" s="69"/>
      <c r="G160" s="69"/>
      <c r="H160" s="69"/>
      <c r="I160" s="69"/>
      <c r="J160" s="69"/>
      <c r="K160" s="107"/>
      <c r="L160" s="107"/>
      <c r="M160" s="69"/>
      <c r="N160" s="69"/>
      <c r="O160" s="69"/>
      <c r="P160" s="69"/>
      <c r="Q160" s="69"/>
      <c r="R160" s="69"/>
      <c r="S160" s="69"/>
      <c r="T160" s="92"/>
      <c r="U160" s="60"/>
      <c r="V160" s="69"/>
      <c r="W160" s="69"/>
      <c r="X160" s="69"/>
      <c r="Y160" s="87"/>
      <c r="Z160" s="69"/>
      <c r="AA160" s="69"/>
      <c r="AB160" s="69"/>
      <c r="AC160" s="69"/>
      <c r="AD160" s="69"/>
      <c r="AE160" s="69"/>
      <c r="AF160" s="88"/>
      <c r="AG160" s="72"/>
      <c r="AH160" s="4"/>
      <c r="AI160" s="72"/>
      <c r="AJ160" s="110"/>
      <c r="AK160" s="72"/>
      <c r="AL160" s="72"/>
      <c r="AM160" s="72"/>
      <c r="AN160" s="72"/>
      <c r="AO160" s="89"/>
      <c r="AP160" s="89"/>
      <c r="AQ160" s="72"/>
      <c r="AR160" s="110"/>
      <c r="AS160" s="72"/>
      <c r="AT160" s="72"/>
      <c r="AU160" s="3"/>
      <c r="AV160" s="71">
        <v>2</v>
      </c>
      <c r="AW160" s="71">
        <v>4</v>
      </c>
      <c r="AX160" s="71">
        <v>8</v>
      </c>
      <c r="AY160" s="71">
        <v>16</v>
      </c>
      <c r="AZ160" s="71">
        <v>32</v>
      </c>
      <c r="BA160" s="53"/>
      <c r="BB160" s="53"/>
      <c r="BC160" s="53"/>
      <c r="BD160" s="53"/>
      <c r="BE160" s="53"/>
      <c r="BF160" s="53"/>
      <c r="BG160" s="53"/>
      <c r="BH160" s="53"/>
      <c r="BI160" s="53"/>
      <c r="BJ160" s="53"/>
      <c r="BK160" s="53"/>
      <c r="BL160" s="53"/>
      <c r="BM160" s="53"/>
      <c r="BN160" s="53"/>
      <c r="BO160" s="53"/>
      <c r="BP160" s="53"/>
      <c r="BQ160" s="53"/>
      <c r="BR160" s="53"/>
      <c r="BS160" s="53"/>
      <c r="BT160" s="53"/>
      <c r="BU160" s="53"/>
      <c r="BV160" s="53"/>
      <c r="BW160" s="53"/>
      <c r="BX160" s="53"/>
      <c r="BY160" s="53"/>
      <c r="BZ160" s="53"/>
      <c r="CA160" s="53"/>
      <c r="CB160" s="53"/>
      <c r="CC160" s="53"/>
      <c r="CD160" s="53"/>
      <c r="CE160" s="53"/>
      <c r="CF160" s="53"/>
      <c r="CG160" s="53"/>
      <c r="CH160" s="53"/>
      <c r="CI160" s="53"/>
      <c r="CJ160" s="53"/>
      <c r="CK160" s="53"/>
      <c r="CL160" s="53"/>
      <c r="CM160" s="53"/>
      <c r="CN160" s="53"/>
      <c r="CO160" s="53"/>
      <c r="CP160" s="53"/>
      <c r="CQ160" s="53"/>
      <c r="CR160" s="1"/>
      <c r="CS160" s="1"/>
      <c r="CT160" s="1"/>
      <c r="CU160" s="1"/>
    </row>
    <row r="161" spans="1:99" s="13" customFormat="1" ht="12" customHeight="1" x14ac:dyDescent="0.2">
      <c r="A161" s="68">
        <v>43509</v>
      </c>
      <c r="B161" s="70" t="s">
        <v>258</v>
      </c>
      <c r="C161" s="70" t="s">
        <v>45</v>
      </c>
      <c r="D161" s="69">
        <v>2012</v>
      </c>
      <c r="E161" s="87">
        <v>2</v>
      </c>
      <c r="F161" s="69">
        <v>15</v>
      </c>
      <c r="G161" s="69">
        <v>15</v>
      </c>
      <c r="H161" s="69" t="s">
        <v>41</v>
      </c>
      <c r="I161" s="69" t="s">
        <v>851</v>
      </c>
      <c r="J161" s="69" t="s">
        <v>320</v>
      </c>
      <c r="K161" s="69">
        <f>IF(J161="syllables",1,IF(J161="trigrams",2,IF(J161="strings",3,IF(J161="visual array",4,IF(J161="characters",5,IF(J161="letters",6,IF(J161="free forms",7,IF(J161="odors",8,IF(J161="words",9,IF(J161="pictures",10,IF(J161="object pictures",11,IF(J161="faces",12,IF(J161="names",13,IF(J161="idioms",14,IF(J161="grades",15,IF(J161="syllable-digit pairs",16,IF(J161="trigram-word pairs",17,IF(J161="word-digit pairs",18,IF(J161="English-Swahili pairs",19,IF(J161="spatial position",20,IF(J161="word pairs",21,IF(J161="word triads",22,IF(J161="generated words",23,IF(J161="word definition pairs",24,IF(J161="math problems",25,IF(J161="famous faces",26,IF(J161="famous names",27,IF(J161="famous voices",28,IF(J161="television programs",29,IF(J161="race horses",30,IF(J161="new vocabulary",31,IF(J161="sentences",32,IF(J161="concepts",33,IF(J161="ad slides",34,IF(J161="scenes",35,IF(J161="famous scenes",36,IF(J161="poems",37,IF(J161="walk",38,IF(J161="faces and events",39,IF(J161="events and names",40,IF(J161="flashbulb",41,IF(J161="stories",42,IF(J161="course material",43,IF(J161="autobiographical",44,IF(J161="novels",45,IF(J161="public events",46,"99"))))))))))))))))))))))))))))))))))))))))))))))</f>
        <v>21</v>
      </c>
      <c r="L161" s="69">
        <f>IF(J161="syllables",1,IF(J161="trigrams",1,IF(J161="strings",1,IF(J161="visual array",1,IF(J161="characters",1,IF(J161="letters",1,IF(J161="free forms",1,IF(J161="odors",2,IF(J161="words",2,IF(J161="pictures",2,IF(J161="object pictures",2,IF(J161="faces",2,IF(J161="names",2,IF(J161="idioms","2",IF(J161="grades",2,IF(J161="syllable-digit pairs",3,IF(J161="trigram-word pairs",3,IF(J161="word-digit pairs",3,IF(J161="English-Swahili pairs",3,IF(J161="spatial position",3,IF(J161="word pairs",4,IF(J161="word triads",4,IF(J161="generated words",4,IF(J161="word definition pairs",4,IF(J161="math problems",4,IF(J161="famous faces",4,IF(J161="famous names",4,IF(J161="famous voices",4,IF(J161="television programs",4,IF(J161="race horses",4,IF(J161="new vocabulary",4,IF(J161="sentences",5,IF(J161="concepts",5,IF(J161="ad slides",5,IF(J161="scenes",5,IF(J161="famous scenes",5,IF(J161="poems",6,IF(J161="walk",6,IF(J161="faces and events",6,IF(J161="events and names",6,IF(J161="flashbulb",7,IF(J161="stories",7,IF(J161="course material",7,IF(J161="autobiographical",7,IF(J161="novels",7,IF(J161="public events",7,"99"))))))))))))))))))))))))))))))))))))))))))))))</f>
        <v>4</v>
      </c>
      <c r="M161" s="69">
        <v>0</v>
      </c>
      <c r="N161" s="69">
        <v>1</v>
      </c>
      <c r="O161" s="69">
        <v>1</v>
      </c>
      <c r="P161" s="69" t="s">
        <v>53</v>
      </c>
      <c r="Q161" s="69" t="s">
        <v>174</v>
      </c>
      <c r="R161" s="69">
        <f>IF(Q161="Free Recall",1,IF(Q161="Cued Recall",2,IF(Q161="Recognition",3,IF(Q161="Multiple Choice",4,IF(Q161="Savings",5,IF(Q161="Stem Completion",6,IF(Q161="Fragment Completion",7,IF(Q161="anagram solution",8,IF(Q161="Matching",9,IF(Q161="Problem Solving",10,"99"))))))))))</f>
        <v>1</v>
      </c>
      <c r="S161" s="69" t="s">
        <v>49</v>
      </c>
      <c r="T161" s="92" t="s">
        <v>581</v>
      </c>
      <c r="U161" s="60">
        <f>IF(T161="within",1,0)</f>
        <v>1</v>
      </c>
      <c r="V161" s="92">
        <v>25</v>
      </c>
      <c r="W161" s="69">
        <f>F161*V161</f>
        <v>375</v>
      </c>
      <c r="X161" s="69">
        <v>5</v>
      </c>
      <c r="Y161" s="87">
        <f>AV160</f>
        <v>2</v>
      </c>
      <c r="Z161" s="69" t="s">
        <v>47</v>
      </c>
      <c r="AA161" s="69">
        <v>32</v>
      </c>
      <c r="AB161" s="69" t="str">
        <f>IF(AA161&lt;60,"1",IF(AA161&lt;=43200,"2",IF(AA161&lt;=777600,"3","4")))</f>
        <v>1</v>
      </c>
      <c r="AC161" s="72">
        <f>AVERAGE(AV160:DA160)</f>
        <v>12.4</v>
      </c>
      <c r="AD161" s="69" t="str">
        <f>IF(AC161&lt;60,"1",IF(AC161&lt;=43200,"2",IF(AC161&lt;=777600,"3","4")))</f>
        <v>1</v>
      </c>
      <c r="AE161" s="87">
        <f>AA161-Y161</f>
        <v>30</v>
      </c>
      <c r="AF161" s="88">
        <f>AV161</f>
        <v>0.98699999999999999</v>
      </c>
      <c r="AG161" s="72">
        <f>((AW161-AV161)+(AX161-AW161)+(AY161-AX161)+(AZ161-AY161))/4</f>
        <v>-4.8499999999999988E-2</v>
      </c>
      <c r="AH161" s="4"/>
      <c r="AI161" s="72">
        <f>RSQ(AV161:AZ161,AV160:AZ160)</f>
        <v>0.91026494318411377</v>
      </c>
      <c r="AJ161" s="110">
        <f>SLOPE(AV161:AZ161,AV160:AZ160)</f>
        <v>-5.6626344086021458E-3</v>
      </c>
      <c r="AK161" s="72">
        <f>INTERCEPT(AV161:AZ161,AV160:AZ160)</f>
        <v>0.97641666666666649</v>
      </c>
      <c r="AL161" s="72">
        <f>INDEX(LINEST(LN(AV161:AZ161),LN(AV160:AZ160),TRUE,TRUE),3,1)</f>
        <v>0.86168905295690901</v>
      </c>
      <c r="AM161" s="72">
        <f>INDEX(LINEST(LN(AV161:AZ161),LN(AV160:AZ160)),1)</f>
        <v>-6.953808288736657E-2</v>
      </c>
      <c r="AN161" s="72">
        <f>EXP(INDEX(LINEST(LN(AV161:AZ161),LN(AV160:AZ160)),1,2))</f>
        <v>1.0444163438272194</v>
      </c>
      <c r="AO161" s="89">
        <f>INDEX(LINEST((AV161:AZ161),LN(AV160:AZ160),TRUE,TRUE),3,1)</f>
        <v>0.87777343228341942</v>
      </c>
      <c r="AP161" s="89">
        <f>INDEX(LINEST((AV161:AZ161),LN(AV160:AZ160)),1)</f>
        <v>-6.1891617254136506E-2</v>
      </c>
      <c r="AQ161" s="90">
        <f>INDEX(LINEST(LN(AV161:AZ161),SQRT(AV160:AZ160),TRUE,TRUE),3,1)</f>
        <v>0.91306496696661821</v>
      </c>
      <c r="AR161" s="117">
        <f>INDEX(LINEST(LN(AV161:AZ161),SQRT((AV160:AZ160))),1)</f>
        <v>-4.6386083680885398E-2</v>
      </c>
      <c r="AS161" s="91">
        <f>INDEX(LINEST(1/(AV161:AZ161),1/(SQRT(AV160:AZ160)),TRUE,TRUE),3,1)</f>
        <v>0.73977868566970395</v>
      </c>
      <c r="AT161" s="91">
        <f>INDEX(LINEST(1/(AV161:AZ161),1/SQRT(AV160:AZ160)),1)</f>
        <v>-0.38064171599865965</v>
      </c>
      <c r="AU161" s="3"/>
      <c r="AV161" s="73">
        <v>0.98699999999999999</v>
      </c>
      <c r="AW161" s="73">
        <v>0.94599999999999995</v>
      </c>
      <c r="AX161" s="73">
        <v>0.9</v>
      </c>
      <c r="AY161" s="73">
        <v>0.90500000000000003</v>
      </c>
      <c r="AZ161" s="73">
        <v>0.79300000000000004</v>
      </c>
      <c r="BA161" s="53"/>
      <c r="BB161" s="53"/>
      <c r="BC161" s="53"/>
      <c r="BD161" s="53"/>
      <c r="BE161" s="53"/>
      <c r="BF161" s="53"/>
      <c r="BG161" s="53"/>
      <c r="BH161" s="53"/>
      <c r="BI161" s="53"/>
      <c r="BJ161" s="53"/>
      <c r="BK161" s="53"/>
      <c r="BL161" s="53"/>
      <c r="BM161" s="53"/>
      <c r="BN161" s="53"/>
      <c r="BO161" s="53"/>
      <c r="BP161" s="53"/>
      <c r="BQ161" s="53"/>
      <c r="BR161" s="53"/>
      <c r="BS161" s="53"/>
      <c r="BT161" s="53"/>
      <c r="BU161" s="53"/>
      <c r="BV161" s="53"/>
      <c r="BW161" s="53"/>
      <c r="BX161" s="53"/>
      <c r="BY161" s="53"/>
      <c r="BZ161" s="53"/>
      <c r="CA161" s="53"/>
      <c r="CB161" s="53"/>
      <c r="CC161" s="53"/>
      <c r="CD161" s="53"/>
      <c r="CE161" s="53"/>
      <c r="CF161" s="53"/>
      <c r="CG161" s="53"/>
      <c r="CH161" s="53"/>
      <c r="CI161" s="53"/>
      <c r="CJ161" s="53"/>
      <c r="CK161" s="53"/>
      <c r="CL161" s="53"/>
      <c r="CM161" s="53"/>
      <c r="CN161" s="53"/>
      <c r="CO161" s="53"/>
      <c r="CP161" s="53"/>
      <c r="CQ161" s="53"/>
      <c r="CR161" s="1"/>
      <c r="CS161" s="1"/>
      <c r="CT161" s="1"/>
      <c r="CU161" s="1"/>
    </row>
    <row r="162" spans="1:99" s="13" customFormat="1" ht="12" customHeight="1" x14ac:dyDescent="0.2">
      <c r="A162" s="68">
        <v>43509</v>
      </c>
      <c r="B162" s="70"/>
      <c r="C162" s="70"/>
      <c r="D162" s="69"/>
      <c r="E162" s="87"/>
      <c r="F162" s="69"/>
      <c r="G162" s="69"/>
      <c r="H162" s="69"/>
      <c r="I162" s="69"/>
      <c r="J162" s="69"/>
      <c r="K162" s="107"/>
      <c r="L162" s="107"/>
      <c r="M162" s="69"/>
      <c r="N162" s="69"/>
      <c r="O162" s="69"/>
      <c r="P162" s="69"/>
      <c r="Q162" s="69"/>
      <c r="R162" s="69"/>
      <c r="S162" s="69"/>
      <c r="T162" s="92"/>
      <c r="U162" s="60"/>
      <c r="V162" s="69"/>
      <c r="W162" s="69"/>
      <c r="X162" s="69"/>
      <c r="Y162" s="87"/>
      <c r="Z162" s="69"/>
      <c r="AA162" s="69"/>
      <c r="AB162" s="69"/>
      <c r="AC162" s="69"/>
      <c r="AD162" s="69"/>
      <c r="AE162" s="69"/>
      <c r="AF162" s="88"/>
      <c r="AG162" s="72"/>
      <c r="AH162" s="4"/>
      <c r="AI162" s="72"/>
      <c r="AJ162" s="110"/>
      <c r="AK162" s="72"/>
      <c r="AL162" s="72"/>
      <c r="AM162" s="72"/>
      <c r="AN162" s="72"/>
      <c r="AO162" s="89"/>
      <c r="AP162" s="89"/>
      <c r="AQ162" s="72"/>
      <c r="AR162" s="110"/>
      <c r="AS162" s="72"/>
      <c r="AT162" s="72"/>
      <c r="AU162" s="3"/>
      <c r="AV162" s="71">
        <v>2</v>
      </c>
      <c r="AW162" s="71">
        <v>4</v>
      </c>
      <c r="AX162" s="71">
        <v>8</v>
      </c>
      <c r="AY162" s="71">
        <v>16</v>
      </c>
      <c r="AZ162" s="71">
        <v>32</v>
      </c>
      <c r="BA162" s="53"/>
      <c r="BB162" s="53"/>
      <c r="BC162" s="53"/>
      <c r="BD162" s="53"/>
      <c r="BE162" s="53"/>
      <c r="BF162" s="53"/>
      <c r="BG162" s="53"/>
      <c r="BH162" s="53"/>
      <c r="BI162" s="53"/>
      <c r="BJ162" s="53"/>
      <c r="BK162" s="53"/>
      <c r="BL162" s="53"/>
      <c r="BM162" s="53"/>
      <c r="BN162" s="53"/>
      <c r="BO162" s="53"/>
      <c r="BP162" s="53"/>
      <c r="BQ162" s="53"/>
      <c r="BR162" s="53"/>
      <c r="BS162" s="53"/>
      <c r="BT162" s="53"/>
      <c r="BU162" s="53"/>
      <c r="BV162" s="53"/>
      <c r="BW162" s="53"/>
      <c r="BX162" s="53"/>
      <c r="BY162" s="53"/>
      <c r="BZ162" s="53"/>
      <c r="CA162" s="53"/>
      <c r="CB162" s="53"/>
      <c r="CC162" s="53"/>
      <c r="CD162" s="53"/>
      <c r="CE162" s="53"/>
      <c r="CF162" s="53"/>
      <c r="CG162" s="53"/>
      <c r="CH162" s="53"/>
      <c r="CI162" s="53"/>
      <c r="CJ162" s="53"/>
      <c r="CK162" s="53"/>
      <c r="CL162" s="53"/>
      <c r="CM162" s="53"/>
      <c r="CN162" s="53"/>
      <c r="CO162" s="53"/>
      <c r="CP162" s="53"/>
      <c r="CQ162" s="53"/>
      <c r="CR162" s="1"/>
      <c r="CS162" s="1"/>
      <c r="CT162" s="1"/>
      <c r="CU162" s="1"/>
    </row>
    <row r="163" spans="1:99" s="13" customFormat="1" ht="12" customHeight="1" x14ac:dyDescent="0.2">
      <c r="A163" s="68">
        <v>43509</v>
      </c>
      <c r="B163" s="70" t="s">
        <v>258</v>
      </c>
      <c r="C163" s="70" t="s">
        <v>45</v>
      </c>
      <c r="D163" s="69">
        <v>2012</v>
      </c>
      <c r="E163" s="87">
        <v>2</v>
      </c>
      <c r="F163" s="69">
        <v>15</v>
      </c>
      <c r="G163" s="69">
        <v>15</v>
      </c>
      <c r="H163" s="69" t="s">
        <v>41</v>
      </c>
      <c r="I163" s="69" t="s">
        <v>852</v>
      </c>
      <c r="J163" s="69" t="s">
        <v>320</v>
      </c>
      <c r="K163" s="69">
        <f>IF(J163="syllables",1,IF(J163="trigrams",2,IF(J163="strings",3,IF(J163="visual array",4,IF(J163="characters",5,IF(J163="letters",6,IF(J163="free forms",7,IF(J163="odors",8,IF(J163="words",9,IF(J163="pictures",10,IF(J163="object pictures",11,IF(J163="faces",12,IF(J163="names",13,IF(J163="idioms",14,IF(J163="grades",15,IF(J163="syllable-digit pairs",16,IF(J163="trigram-word pairs",17,IF(J163="word-digit pairs",18,IF(J163="English-Swahili pairs",19,IF(J163="spatial position",20,IF(J163="word pairs",21,IF(J163="word triads",22,IF(J163="generated words",23,IF(J163="word definition pairs",24,IF(J163="math problems",25,IF(J163="famous faces",26,IF(J163="famous names",27,IF(J163="famous voices",28,IF(J163="television programs",29,IF(J163="race horses",30,IF(J163="new vocabulary",31,IF(J163="sentences",32,IF(J163="concepts",33,IF(J163="ad slides",34,IF(J163="scenes",35,IF(J163="famous scenes",36,IF(J163="poems",37,IF(J163="walk",38,IF(J163="faces and events",39,IF(J163="events and names",40,IF(J163="flashbulb",41,IF(J163="stories",42,IF(J163="course material",43,IF(J163="autobiographical",44,IF(J163="novels",45,IF(J163="public events",46,"99"))))))))))))))))))))))))))))))))))))))))))))))</f>
        <v>21</v>
      </c>
      <c r="L163" s="69">
        <f>IF(J163="syllables",1,IF(J163="trigrams",1,IF(J163="strings",1,IF(J163="visual array",1,IF(J163="characters",1,IF(J163="letters",1,IF(J163="free forms",1,IF(J163="odors",2,IF(J163="words",2,IF(J163="pictures",2,IF(J163="object pictures",2,IF(J163="faces",2,IF(J163="names",2,IF(J163="idioms","2",IF(J163="grades",2,IF(J163="syllable-digit pairs",3,IF(J163="trigram-word pairs",3,IF(J163="word-digit pairs",3,IF(J163="English-Swahili pairs",3,IF(J163="spatial position",3,IF(J163="word pairs",4,IF(J163="word triads",4,IF(J163="generated words",4,IF(J163="word definition pairs",4,IF(J163="math problems",4,IF(J163="famous faces",4,IF(J163="famous names",4,IF(J163="famous voices",4,IF(J163="television programs",4,IF(J163="race horses",4,IF(J163="new vocabulary",4,IF(J163="sentences",5,IF(J163="concepts",5,IF(J163="ad slides",5,IF(J163="scenes",5,IF(J163="famous scenes",5,IF(J163="poems",6,IF(J163="walk",6,IF(J163="faces and events",6,IF(J163="events and names",6,IF(J163="flashbulb",7,IF(J163="stories",7,IF(J163="course material",7,IF(J163="autobiographical",7,IF(J163="novels",7,IF(J163="public events",7,"99"))))))))))))))))))))))))))))))))))))))))))))))</f>
        <v>4</v>
      </c>
      <c r="M163" s="69">
        <v>0</v>
      </c>
      <c r="N163" s="69">
        <v>1</v>
      </c>
      <c r="O163" s="69">
        <v>1</v>
      </c>
      <c r="P163" s="69" t="s">
        <v>53</v>
      </c>
      <c r="Q163" s="69" t="s">
        <v>174</v>
      </c>
      <c r="R163" s="69">
        <f>IF(Q163="Free Recall",1,IF(Q163="Cued Recall",2,IF(Q163="Recognition",3,IF(Q163="Multiple Choice",4,IF(Q163="Savings",5,IF(Q163="Stem Completion",6,IF(Q163="Fragment Completion",7,IF(Q163="anagram solution",8,IF(Q163="Matching",9,IF(Q163="Problem Solving",10,"99"))))))))))</f>
        <v>1</v>
      </c>
      <c r="S163" s="69" t="s">
        <v>49</v>
      </c>
      <c r="T163" s="92" t="s">
        <v>581</v>
      </c>
      <c r="U163" s="60">
        <f>IF(T163="within",1,0)</f>
        <v>1</v>
      </c>
      <c r="V163" s="92">
        <v>25</v>
      </c>
      <c r="W163" s="69">
        <f>F163*V163</f>
        <v>375</v>
      </c>
      <c r="X163" s="69">
        <v>5</v>
      </c>
      <c r="Y163" s="87">
        <f>AV162</f>
        <v>2</v>
      </c>
      <c r="Z163" s="69" t="s">
        <v>47</v>
      </c>
      <c r="AA163" s="69">
        <v>32</v>
      </c>
      <c r="AB163" s="69" t="str">
        <f>IF(AA163&lt;60,"1",IF(AA163&lt;=43200,"2",IF(AA163&lt;=777600,"3","4")))</f>
        <v>1</v>
      </c>
      <c r="AC163" s="72">
        <f>AVERAGE(AV162:DA162)</f>
        <v>12.4</v>
      </c>
      <c r="AD163" s="69" t="str">
        <f>IF(AC163&lt;60,"1",IF(AC163&lt;=43200,"2",IF(AC163&lt;=777600,"3","4")))</f>
        <v>1</v>
      </c>
      <c r="AE163" s="87">
        <f>AA163-Y163</f>
        <v>30</v>
      </c>
      <c r="AF163" s="88">
        <f>AV163</f>
        <v>0.93200000000000005</v>
      </c>
      <c r="AG163" s="72">
        <f>((AW163-AV163)+(AX163-AW163)+(AY163-AX163)+(AZ163-AY163))/4</f>
        <v>-0.12150000000000001</v>
      </c>
      <c r="AH163" s="4"/>
      <c r="AI163" s="72">
        <f>RSQ(AV163:AZ163,AV162:AZ162)</f>
        <v>0.95669360385920443</v>
      </c>
      <c r="AJ163" s="110">
        <f>SLOPE(AV163:AZ163,AV162:AZ162)</f>
        <v>-1.4799731182795697E-2</v>
      </c>
      <c r="AK163" s="72">
        <f>INTERCEPT(AV163:AZ163,AV162:AZ162)</f>
        <v>0.91391666666666671</v>
      </c>
      <c r="AL163" s="72">
        <f>INDEX(LINEST(LN(AV163:AZ163),LN(AV162:AZ162),TRUE,TRUE),3,1)</f>
        <v>0.86960676723795605</v>
      </c>
      <c r="AM163" s="72">
        <f>INDEX(LINEST(LN(AV163:AZ163),LN(AV162:AZ162)),1)</f>
        <v>-0.24168381202492392</v>
      </c>
      <c r="AN163" s="72">
        <f>EXP(INDEX(LINEST(LN(AV163:AZ163),LN(AV162:AZ162)),1,2))</f>
        <v>1.1719001463677468</v>
      </c>
      <c r="AO163" s="89">
        <f>INDEX(LINEST((AV163:AZ163),LN(AV162:AZ162),TRUE,TRUE),3,1)</f>
        <v>0.93042008025291134</v>
      </c>
      <c r="AP163" s="89">
        <f>INDEX(LINEST((AV163:AZ163),LN(AV162:AZ162)),1)</f>
        <v>-0.16244746160409729</v>
      </c>
      <c r="AQ163" s="90">
        <f>INDEX(LINEST(LN(AV163:AZ163),SQRT(AV162:AZ162),TRUE,TRUE),3,1)</f>
        <v>0.95039162861083804</v>
      </c>
      <c r="AR163" s="117">
        <f>INDEX(LINEST(LN(AV163:AZ163),SQRT((AV162:AZ162))),1)</f>
        <v>-0.16372946765699081</v>
      </c>
      <c r="AS163" s="91">
        <f>INDEX(LINEST(1/(AV163:AZ163),1/(SQRT(AV162:AZ162)),TRUE,TRUE),3,1)</f>
        <v>0.65073060227147395</v>
      </c>
      <c r="AT163" s="91">
        <f>INDEX(LINEST(1/(AV163:AZ163),1/SQRT(AV162:AZ162)),1)</f>
        <v>-1.7582038200694603</v>
      </c>
      <c r="AU163" s="3"/>
      <c r="AV163" s="73">
        <v>0.93200000000000005</v>
      </c>
      <c r="AW163" s="73">
        <v>0.84499999999999997</v>
      </c>
      <c r="AX163" s="73">
        <v>0.73799999999999999</v>
      </c>
      <c r="AY163" s="73">
        <v>0.69099999999999995</v>
      </c>
      <c r="AZ163" s="73">
        <v>0.44600000000000001</v>
      </c>
      <c r="BA163" s="53"/>
      <c r="BB163" s="53"/>
      <c r="BC163" s="53"/>
      <c r="BD163" s="53"/>
      <c r="BE163" s="53"/>
      <c r="BF163" s="53"/>
      <c r="BG163" s="53"/>
      <c r="BH163" s="53"/>
      <c r="BI163" s="53"/>
      <c r="BJ163" s="53"/>
      <c r="BK163" s="53"/>
      <c r="BL163" s="53"/>
      <c r="BM163" s="53"/>
      <c r="BN163" s="53"/>
      <c r="BO163" s="53"/>
      <c r="BP163" s="53"/>
      <c r="BQ163" s="53"/>
      <c r="BR163" s="53"/>
      <c r="BS163" s="53"/>
      <c r="BT163" s="53"/>
      <c r="BU163" s="53"/>
      <c r="BV163" s="53"/>
      <c r="BW163" s="53"/>
      <c r="BX163" s="53"/>
      <c r="BY163" s="53"/>
      <c r="BZ163" s="53"/>
      <c r="CA163" s="53"/>
      <c r="CB163" s="53"/>
      <c r="CC163" s="53"/>
      <c r="CD163" s="53"/>
      <c r="CE163" s="53"/>
      <c r="CF163" s="53"/>
      <c r="CG163" s="53"/>
      <c r="CH163" s="53"/>
      <c r="CI163" s="53"/>
      <c r="CJ163" s="53"/>
      <c r="CK163" s="53"/>
      <c r="CL163" s="53"/>
      <c r="CM163" s="53"/>
      <c r="CN163" s="53"/>
      <c r="CO163" s="53"/>
      <c r="CP163" s="53"/>
      <c r="CQ163" s="53"/>
      <c r="CR163" s="1"/>
      <c r="CS163" s="1"/>
      <c r="CT163" s="1"/>
      <c r="CU163" s="1"/>
    </row>
    <row r="164" spans="1:99" s="13" customFormat="1" ht="12" customHeight="1" x14ac:dyDescent="0.2">
      <c r="A164" s="68">
        <v>43509</v>
      </c>
      <c r="B164" s="70"/>
      <c r="C164" s="70"/>
      <c r="D164" s="69"/>
      <c r="E164" s="87"/>
      <c r="F164" s="69"/>
      <c r="G164" s="69"/>
      <c r="H164" s="69"/>
      <c r="I164" s="69"/>
      <c r="J164" s="69"/>
      <c r="K164" s="107"/>
      <c r="L164" s="107"/>
      <c r="M164" s="69"/>
      <c r="N164" s="69"/>
      <c r="O164" s="69"/>
      <c r="P164" s="69"/>
      <c r="Q164" s="69"/>
      <c r="R164" s="69"/>
      <c r="S164" s="69"/>
      <c r="T164" s="92"/>
      <c r="U164" s="60"/>
      <c r="V164" s="69"/>
      <c r="W164" s="69"/>
      <c r="X164" s="69"/>
      <c r="Y164" s="87"/>
      <c r="Z164" s="69"/>
      <c r="AA164" s="69"/>
      <c r="AB164" s="69"/>
      <c r="AC164" s="69"/>
      <c r="AD164" s="69"/>
      <c r="AE164" s="69"/>
      <c r="AF164" s="88"/>
      <c r="AG164" s="72"/>
      <c r="AH164" s="4"/>
      <c r="AI164" s="72"/>
      <c r="AJ164" s="110"/>
      <c r="AK164" s="72"/>
      <c r="AL164" s="72"/>
      <c r="AM164" s="72"/>
      <c r="AN164" s="72"/>
      <c r="AO164" s="89"/>
      <c r="AP164" s="89"/>
      <c r="AQ164" s="72"/>
      <c r="AR164" s="110"/>
      <c r="AS164" s="72"/>
      <c r="AT164" s="72"/>
      <c r="AU164" s="3"/>
      <c r="AV164" s="71">
        <v>2</v>
      </c>
      <c r="AW164" s="71">
        <v>4</v>
      </c>
      <c r="AX164" s="71">
        <v>8</v>
      </c>
      <c r="AY164" s="71">
        <v>16</v>
      </c>
      <c r="AZ164" s="71">
        <v>32</v>
      </c>
      <c r="BA164" s="53"/>
      <c r="BB164" s="53"/>
      <c r="BC164" s="53"/>
      <c r="BD164" s="53"/>
      <c r="BE164" s="53"/>
      <c r="BF164" s="53"/>
      <c r="BG164" s="53"/>
      <c r="BH164" s="53"/>
      <c r="BI164" s="53"/>
      <c r="BJ164" s="53"/>
      <c r="BK164" s="53"/>
      <c r="BL164" s="53"/>
      <c r="BM164" s="53"/>
      <c r="BN164" s="53"/>
      <c r="BO164" s="53"/>
      <c r="BP164" s="53"/>
      <c r="BQ164" s="53"/>
      <c r="BR164" s="53"/>
      <c r="BS164" s="53"/>
      <c r="BT164" s="53"/>
      <c r="BU164" s="53"/>
      <c r="BV164" s="53"/>
      <c r="BW164" s="53"/>
      <c r="BX164" s="53"/>
      <c r="BY164" s="53"/>
      <c r="BZ164" s="53"/>
      <c r="CA164" s="53"/>
      <c r="CB164" s="53"/>
      <c r="CC164" s="53"/>
      <c r="CD164" s="53"/>
      <c r="CE164" s="53"/>
      <c r="CF164" s="53"/>
      <c r="CG164" s="53"/>
      <c r="CH164" s="53"/>
      <c r="CI164" s="53"/>
      <c r="CJ164" s="53"/>
      <c r="CK164" s="53"/>
      <c r="CL164" s="53"/>
      <c r="CM164" s="53"/>
      <c r="CN164" s="53"/>
      <c r="CO164" s="53"/>
      <c r="CP164" s="53"/>
      <c r="CQ164" s="53"/>
      <c r="CR164" s="1"/>
      <c r="CS164" s="1"/>
      <c r="CT164" s="1"/>
      <c r="CU164" s="1"/>
    </row>
    <row r="165" spans="1:99" s="13" customFormat="1" ht="12" customHeight="1" x14ac:dyDescent="0.2">
      <c r="A165" s="68">
        <v>43509</v>
      </c>
      <c r="B165" s="70" t="s">
        <v>258</v>
      </c>
      <c r="C165" s="70" t="s">
        <v>45</v>
      </c>
      <c r="D165" s="69">
        <v>2012</v>
      </c>
      <c r="E165" s="87">
        <v>2</v>
      </c>
      <c r="F165" s="69">
        <v>15</v>
      </c>
      <c r="G165" s="69">
        <v>15</v>
      </c>
      <c r="H165" s="69" t="s">
        <v>41</v>
      </c>
      <c r="I165" s="69" t="s">
        <v>854</v>
      </c>
      <c r="J165" s="69" t="s">
        <v>320</v>
      </c>
      <c r="K165" s="69">
        <f>IF(J165="syllables",1,IF(J165="trigrams",2,IF(J165="strings",3,IF(J165="visual array",4,IF(J165="characters",5,IF(J165="letters",6,IF(J165="free forms",7,IF(J165="odors",8,IF(J165="words",9,IF(J165="pictures",10,IF(J165="object pictures",11,IF(J165="faces",12,IF(J165="names",13,IF(J165="idioms",14,IF(J165="grades",15,IF(J165="syllable-digit pairs",16,IF(J165="trigram-word pairs",17,IF(J165="word-digit pairs",18,IF(J165="English-Swahili pairs",19,IF(J165="spatial position",20,IF(J165="word pairs",21,IF(J165="word triads",22,IF(J165="generated words",23,IF(J165="word definition pairs",24,IF(J165="math problems",25,IF(J165="famous faces",26,IF(J165="famous names",27,IF(J165="famous voices",28,IF(J165="television programs",29,IF(J165="race horses",30,IF(J165="new vocabulary",31,IF(J165="sentences",32,IF(J165="concepts",33,IF(J165="ad slides",34,IF(J165="scenes",35,IF(J165="famous scenes",36,IF(J165="poems",37,IF(J165="walk",38,IF(J165="faces and events",39,IF(J165="events and names",40,IF(J165="flashbulb",41,IF(J165="stories",42,IF(J165="course material",43,IF(J165="autobiographical",44,IF(J165="novels",45,IF(J165="public events",46,"99"))))))))))))))))))))))))))))))))))))))))))))))</f>
        <v>21</v>
      </c>
      <c r="L165" s="69">
        <f>IF(J165="syllables",1,IF(J165="trigrams",1,IF(J165="strings",1,IF(J165="visual array",1,IF(J165="characters",1,IF(J165="letters",1,IF(J165="free forms",1,IF(J165="odors",2,IF(J165="words",2,IF(J165="pictures",2,IF(J165="object pictures",2,IF(J165="faces",2,IF(J165="names",2,IF(J165="idioms","2",IF(J165="grades",2,IF(J165="syllable-digit pairs",3,IF(J165="trigram-word pairs",3,IF(J165="word-digit pairs",3,IF(J165="English-Swahili pairs",3,IF(J165="spatial position",3,IF(J165="word pairs",4,IF(J165="word triads",4,IF(J165="generated words",4,IF(J165="word definition pairs",4,IF(J165="math problems",4,IF(J165="famous faces",4,IF(J165="famous names",4,IF(J165="famous voices",4,IF(J165="television programs",4,IF(J165="race horses",4,IF(J165="new vocabulary",4,IF(J165="sentences",5,IF(J165="concepts",5,IF(J165="ad slides",5,IF(J165="scenes",5,IF(J165="famous scenes",5,IF(J165="poems",6,IF(J165="walk",6,IF(J165="faces and events",6,IF(J165="events and names",6,IF(J165="flashbulb",7,IF(J165="stories",7,IF(J165="course material",7,IF(J165="autobiographical",7,IF(J165="novels",7,IF(J165="public events",7,"99"))))))))))))))))))))))))))))))))))))))))))))))</f>
        <v>4</v>
      </c>
      <c r="M165" s="69">
        <v>0</v>
      </c>
      <c r="N165" s="69">
        <v>1</v>
      </c>
      <c r="O165" s="69">
        <v>1</v>
      </c>
      <c r="P165" s="69" t="s">
        <v>53</v>
      </c>
      <c r="Q165" s="69" t="s">
        <v>174</v>
      </c>
      <c r="R165" s="69">
        <f>IF(Q165="Free Recall",1,IF(Q165="Cued Recall",2,IF(Q165="Recognition",3,IF(Q165="Multiple Choice",4,IF(Q165="Savings",5,IF(Q165="Stem Completion",6,IF(Q165="Fragment Completion",7,IF(Q165="anagram solution",8,IF(Q165="Matching",9,IF(Q165="Problem Solving",10,"99"))))))))))</f>
        <v>1</v>
      </c>
      <c r="S165" s="69" t="s">
        <v>49</v>
      </c>
      <c r="T165" s="92" t="s">
        <v>581</v>
      </c>
      <c r="U165" s="60">
        <f>IF(T165="within",1,0)</f>
        <v>1</v>
      </c>
      <c r="V165" s="92">
        <v>25</v>
      </c>
      <c r="W165" s="69">
        <f>F165*V165</f>
        <v>375</v>
      </c>
      <c r="X165" s="69">
        <v>5</v>
      </c>
      <c r="Y165" s="87">
        <f>AV164</f>
        <v>2</v>
      </c>
      <c r="Z165" s="69" t="s">
        <v>47</v>
      </c>
      <c r="AA165" s="69">
        <v>32</v>
      </c>
      <c r="AB165" s="69" t="str">
        <f>IF(AA165&lt;60,"1",IF(AA165&lt;=43200,"2",IF(AA165&lt;=777600,"3","4")))</f>
        <v>1</v>
      </c>
      <c r="AC165" s="72">
        <f>AVERAGE(AV164:DA164)</f>
        <v>12.4</v>
      </c>
      <c r="AD165" s="69" t="str">
        <f>IF(AC165&lt;60,"1",IF(AC165&lt;=43200,"2",IF(AC165&lt;=777600,"3","4")))</f>
        <v>1</v>
      </c>
      <c r="AE165" s="87">
        <f>AA165-Y165</f>
        <v>30</v>
      </c>
      <c r="AF165" s="88">
        <f>AV165</f>
        <v>0.92</v>
      </c>
      <c r="AG165" s="72">
        <f>((AW165-AV165)+(AX165-AW165)+(AY165-AX165)+(AZ165-AY165))/4</f>
        <v>-4.3500000000000011E-2</v>
      </c>
      <c r="AH165" s="4"/>
      <c r="AI165" s="72">
        <f>RSQ(AV165:AZ165,AV164:AZ164)</f>
        <v>0.41716435433924565</v>
      </c>
      <c r="AJ165" s="110">
        <f>SLOPE(AV165:AZ165,AV164:AZ164)</f>
        <v>-4.2587365591397848E-3</v>
      </c>
      <c r="AK165" s="72">
        <f>INTERCEPT(AV165:AZ165,AV164:AZ164)</f>
        <v>0.87220833333333325</v>
      </c>
      <c r="AL165" s="72">
        <f>INDEX(LINEST(LN(AV165:AZ165),LN(AV164:AZ164),TRUE,TRUE),3,1)</f>
        <v>0.58630872385104582</v>
      </c>
      <c r="AM165" s="72">
        <f>INDEX(LINEST(LN(AV165:AZ165),LN(AV164:AZ164)),1)</f>
        <v>-6.8650399587453712E-2</v>
      </c>
      <c r="AN165" s="72">
        <f>EXP(INDEX(LINEST(LN(AV165:AZ165),LN(AV164:AZ164)),1,2))</f>
        <v>0.94149334128308138</v>
      </c>
      <c r="AO165" s="89">
        <f>INDEX(LINEST((AV165:AZ165),LN(AV164:AZ164),TRUE,TRUE),3,1)</f>
        <v>0.60600064922016306</v>
      </c>
      <c r="AP165" s="89">
        <f>INDEX(LINEST((AV165:AZ165),LN(AV164:AZ164)),1)</f>
        <v>-5.7130723619202954E-2</v>
      </c>
      <c r="AQ165" s="90">
        <f>INDEX(LINEST(LN(AV165:AZ165),SQRT(AV164:AZ164),TRUE,TRUE),3,1)</f>
        <v>0.49343733333356449</v>
      </c>
      <c r="AR165" s="117">
        <f>INDEX(LINEST(LN(AV165:AZ165),SQRT((AV164:AZ164))),1)</f>
        <v>-4.0811761077559475E-2</v>
      </c>
      <c r="AS165" s="91">
        <f>INDEX(LINEST(1/(AV165:AZ165),1/(SQRT(AV164:AZ164)),TRUE,TRUE),3,1)</f>
        <v>0.62485601415116021</v>
      </c>
      <c r="AT165" s="91">
        <f>INDEX(LINEST(1/(AV165:AZ165),1/SQRT(AV164:AZ164)),1)</f>
        <v>-0.4508618156927291</v>
      </c>
      <c r="AU165" s="3"/>
      <c r="AV165" s="73">
        <v>0.92</v>
      </c>
      <c r="AW165" s="73">
        <v>0.873</v>
      </c>
      <c r="AX165" s="73">
        <v>0.73299999999999998</v>
      </c>
      <c r="AY165" s="73">
        <v>0.82499999999999996</v>
      </c>
      <c r="AZ165" s="73">
        <v>0.746</v>
      </c>
      <c r="BA165" s="53"/>
      <c r="BB165" s="53"/>
      <c r="BC165" s="53"/>
      <c r="BD165" s="53"/>
      <c r="BE165" s="53"/>
      <c r="BF165" s="53"/>
      <c r="BG165" s="53"/>
      <c r="BH165" s="53"/>
      <c r="BI165" s="53"/>
      <c r="BJ165" s="53"/>
      <c r="BK165" s="53"/>
      <c r="BL165" s="53"/>
      <c r="BM165" s="53"/>
      <c r="BN165" s="53"/>
      <c r="BO165" s="53"/>
      <c r="BP165" s="53"/>
      <c r="BQ165" s="53"/>
      <c r="BR165" s="53"/>
      <c r="BS165" s="53"/>
      <c r="BT165" s="53"/>
      <c r="BU165" s="53"/>
      <c r="BV165" s="53"/>
      <c r="BW165" s="53"/>
      <c r="BX165" s="53"/>
      <c r="BY165" s="53"/>
      <c r="BZ165" s="53"/>
      <c r="CA165" s="53"/>
      <c r="CB165" s="53"/>
      <c r="CC165" s="53"/>
      <c r="CD165" s="53"/>
      <c r="CE165" s="53"/>
      <c r="CF165" s="53"/>
      <c r="CG165" s="53"/>
      <c r="CH165" s="53"/>
      <c r="CI165" s="53"/>
      <c r="CJ165" s="53"/>
      <c r="CK165" s="53"/>
      <c r="CL165" s="53"/>
      <c r="CM165" s="53"/>
      <c r="CN165" s="53"/>
      <c r="CO165" s="53"/>
      <c r="CP165" s="53"/>
      <c r="CQ165" s="53"/>
      <c r="CR165" s="1"/>
      <c r="CS165" s="1"/>
      <c r="CT165" s="1"/>
      <c r="CU165" s="1"/>
    </row>
    <row r="166" spans="1:99" s="13" customFormat="1" ht="12" customHeight="1" x14ac:dyDescent="0.2">
      <c r="A166" s="68">
        <v>43509</v>
      </c>
      <c r="B166" s="70"/>
      <c r="C166" s="70"/>
      <c r="D166" s="69"/>
      <c r="E166" s="87"/>
      <c r="F166" s="69"/>
      <c r="G166" s="69"/>
      <c r="H166" s="69"/>
      <c r="I166" s="69"/>
      <c r="J166" s="69"/>
      <c r="K166" s="107"/>
      <c r="L166" s="107"/>
      <c r="M166" s="69"/>
      <c r="N166" s="69"/>
      <c r="O166" s="69"/>
      <c r="P166" s="69"/>
      <c r="Q166" s="69"/>
      <c r="R166" s="69"/>
      <c r="S166" s="69"/>
      <c r="T166" s="92"/>
      <c r="U166" s="60"/>
      <c r="V166" s="69"/>
      <c r="W166" s="69"/>
      <c r="X166" s="69"/>
      <c r="Y166" s="87"/>
      <c r="Z166" s="69"/>
      <c r="AA166" s="69"/>
      <c r="AB166" s="69"/>
      <c r="AC166" s="69"/>
      <c r="AD166" s="69"/>
      <c r="AE166" s="69"/>
      <c r="AF166" s="88"/>
      <c r="AG166" s="72"/>
      <c r="AH166" s="4"/>
      <c r="AI166" s="72"/>
      <c r="AJ166" s="110"/>
      <c r="AK166" s="72"/>
      <c r="AL166" s="72"/>
      <c r="AM166" s="72"/>
      <c r="AN166" s="72"/>
      <c r="AO166" s="89"/>
      <c r="AP166" s="89"/>
      <c r="AQ166" s="72"/>
      <c r="AR166" s="110"/>
      <c r="AS166" s="72"/>
      <c r="AT166" s="72"/>
      <c r="AU166" s="3"/>
      <c r="AV166" s="71">
        <v>2</v>
      </c>
      <c r="AW166" s="71">
        <v>4</v>
      </c>
      <c r="AX166" s="71">
        <v>8</v>
      </c>
      <c r="AY166" s="71">
        <v>16</v>
      </c>
      <c r="AZ166" s="71">
        <v>32</v>
      </c>
      <c r="BA166" s="53"/>
      <c r="BB166" s="53"/>
      <c r="BC166" s="53"/>
      <c r="BD166" s="53"/>
      <c r="BE166" s="53"/>
      <c r="BF166" s="53"/>
      <c r="BG166" s="53"/>
      <c r="BH166" s="53"/>
      <c r="BI166" s="53"/>
      <c r="BJ166" s="53"/>
      <c r="BK166" s="53"/>
      <c r="BL166" s="53"/>
      <c r="BM166" s="53"/>
      <c r="BN166" s="53"/>
      <c r="BO166" s="53"/>
      <c r="BP166" s="53"/>
      <c r="BQ166" s="53"/>
      <c r="BR166" s="53"/>
      <c r="BS166" s="53"/>
      <c r="BT166" s="53"/>
      <c r="BU166" s="53"/>
      <c r="BV166" s="53"/>
      <c r="BW166" s="53"/>
      <c r="BX166" s="53"/>
      <c r="BY166" s="53"/>
      <c r="BZ166" s="53"/>
      <c r="CA166" s="53"/>
      <c r="CB166" s="53"/>
      <c r="CC166" s="53"/>
      <c r="CD166" s="53"/>
      <c r="CE166" s="53"/>
      <c r="CF166" s="53"/>
      <c r="CG166" s="53"/>
      <c r="CH166" s="53"/>
      <c r="CI166" s="53"/>
      <c r="CJ166" s="53"/>
      <c r="CK166" s="53"/>
      <c r="CL166" s="53"/>
      <c r="CM166" s="53"/>
      <c r="CN166" s="53"/>
      <c r="CO166" s="53"/>
      <c r="CP166" s="53"/>
      <c r="CQ166" s="53"/>
      <c r="CR166" s="1"/>
      <c r="CS166" s="1"/>
      <c r="CT166" s="1"/>
      <c r="CU166" s="1"/>
    </row>
    <row r="167" spans="1:99" s="13" customFormat="1" ht="12" customHeight="1" x14ac:dyDescent="0.2">
      <c r="A167" s="68">
        <v>43509</v>
      </c>
      <c r="B167" s="70" t="s">
        <v>258</v>
      </c>
      <c r="C167" s="70" t="s">
        <v>45</v>
      </c>
      <c r="D167" s="69">
        <v>2012</v>
      </c>
      <c r="E167" s="87">
        <v>2</v>
      </c>
      <c r="F167" s="69">
        <v>15</v>
      </c>
      <c r="G167" s="69">
        <v>15</v>
      </c>
      <c r="H167" s="69" t="s">
        <v>41</v>
      </c>
      <c r="I167" s="69" t="s">
        <v>855</v>
      </c>
      <c r="J167" s="69" t="s">
        <v>320</v>
      </c>
      <c r="K167" s="69">
        <f>IF(J167="syllables",1,IF(J167="trigrams",2,IF(J167="strings",3,IF(J167="visual array",4,IF(J167="characters",5,IF(J167="letters",6,IF(J167="free forms",7,IF(J167="odors",8,IF(J167="words",9,IF(J167="pictures",10,IF(J167="object pictures",11,IF(J167="faces",12,IF(J167="names",13,IF(J167="idioms",14,IF(J167="grades",15,IF(J167="syllable-digit pairs",16,IF(J167="trigram-word pairs",17,IF(J167="word-digit pairs",18,IF(J167="English-Swahili pairs",19,IF(J167="spatial position",20,IF(J167="word pairs",21,IF(J167="word triads",22,IF(J167="generated words",23,IF(J167="word definition pairs",24,IF(J167="math problems",25,IF(J167="famous faces",26,IF(J167="famous names",27,IF(J167="famous voices",28,IF(J167="television programs",29,IF(J167="race horses",30,IF(J167="new vocabulary",31,IF(J167="sentences",32,IF(J167="concepts",33,IF(J167="ad slides",34,IF(J167="scenes",35,IF(J167="famous scenes",36,IF(J167="poems",37,IF(J167="walk",38,IF(J167="faces and events",39,IF(J167="events and names",40,IF(J167="flashbulb",41,IF(J167="stories",42,IF(J167="course material",43,IF(J167="autobiographical",44,IF(J167="novels",45,IF(J167="public events",46,"99"))))))))))))))))))))))))))))))))))))))))))))))</f>
        <v>21</v>
      </c>
      <c r="L167" s="69">
        <f>IF(J167="syllables",1,IF(J167="trigrams",1,IF(J167="strings",1,IF(J167="visual array",1,IF(J167="characters",1,IF(J167="letters",1,IF(J167="free forms",1,IF(J167="odors",2,IF(J167="words",2,IF(J167="pictures",2,IF(J167="object pictures",2,IF(J167="faces",2,IF(J167="names",2,IF(J167="idioms","2",IF(J167="grades",2,IF(J167="syllable-digit pairs",3,IF(J167="trigram-word pairs",3,IF(J167="word-digit pairs",3,IF(J167="English-Swahili pairs",3,IF(J167="spatial position",3,IF(J167="word pairs",4,IF(J167="word triads",4,IF(J167="generated words",4,IF(J167="word definition pairs",4,IF(J167="math problems",4,IF(J167="famous faces",4,IF(J167="famous names",4,IF(J167="famous voices",4,IF(J167="television programs",4,IF(J167="race horses",4,IF(J167="new vocabulary",4,IF(J167="sentences",5,IF(J167="concepts",5,IF(J167="ad slides",5,IF(J167="scenes",5,IF(J167="famous scenes",5,IF(J167="poems",6,IF(J167="walk",6,IF(J167="faces and events",6,IF(J167="events and names",6,IF(J167="flashbulb",7,IF(J167="stories",7,IF(J167="course material",7,IF(J167="autobiographical",7,IF(J167="novels",7,IF(J167="public events",7,"99"))))))))))))))))))))))))))))))))))))))))))))))</f>
        <v>4</v>
      </c>
      <c r="M167" s="69">
        <v>0</v>
      </c>
      <c r="N167" s="69">
        <v>1</v>
      </c>
      <c r="O167" s="69">
        <v>1</v>
      </c>
      <c r="P167" s="69" t="s">
        <v>53</v>
      </c>
      <c r="Q167" s="69" t="s">
        <v>174</v>
      </c>
      <c r="R167" s="69">
        <f>IF(Q167="Free Recall",1,IF(Q167="Cued Recall",2,IF(Q167="Recognition",3,IF(Q167="Multiple Choice",4,IF(Q167="Savings",5,IF(Q167="Stem Completion",6,IF(Q167="Fragment Completion",7,IF(Q167="anagram solution",8,IF(Q167="Matching",9,IF(Q167="Problem Solving",10,"99"))))))))))</f>
        <v>1</v>
      </c>
      <c r="S167" s="69" t="s">
        <v>49</v>
      </c>
      <c r="T167" s="92" t="s">
        <v>581</v>
      </c>
      <c r="U167" s="60">
        <f>IF(T167="within",1,0)</f>
        <v>1</v>
      </c>
      <c r="V167" s="92">
        <v>25</v>
      </c>
      <c r="W167" s="69">
        <f>F167*V167</f>
        <v>375</v>
      </c>
      <c r="X167" s="69">
        <v>5</v>
      </c>
      <c r="Y167" s="87">
        <f>AV166</f>
        <v>2</v>
      </c>
      <c r="Z167" s="69" t="s">
        <v>47</v>
      </c>
      <c r="AA167" s="69">
        <v>32</v>
      </c>
      <c r="AB167" s="69" t="str">
        <f>IF(AA167&lt;60,"1",IF(AA167&lt;=43200,"2",IF(AA167&lt;=777600,"3","4")))</f>
        <v>1</v>
      </c>
      <c r="AC167" s="72">
        <f>AVERAGE(AV166:DA166)</f>
        <v>12.4</v>
      </c>
      <c r="AD167" s="69" t="str">
        <f>IF(AC167&lt;60,"1",IF(AC167&lt;=43200,"2",IF(AC167&lt;=777600,"3","4")))</f>
        <v>1</v>
      </c>
      <c r="AE167" s="87">
        <f>AA167-Y167</f>
        <v>30</v>
      </c>
      <c r="AF167" s="88">
        <f>AV167</f>
        <v>0.95199999999999996</v>
      </c>
      <c r="AG167" s="72">
        <f>((AW167-AV167)+(AX167-AW167)+(AY167-AX167)+(AZ167-AY167))/4</f>
        <v>-6.3E-2</v>
      </c>
      <c r="AH167" s="4"/>
      <c r="AI167" s="72">
        <f>RSQ(AV167:AZ167,AV166:AZ166)</f>
        <v>0.4098632696574025</v>
      </c>
      <c r="AJ167" s="110">
        <f>SLOPE(AV167:AZ167,AV166:AZ166)</f>
        <v>-6.4549731182795686E-3</v>
      </c>
      <c r="AK167" s="72">
        <f>INTERCEPT(AV167:AZ167,AV166:AZ166)</f>
        <v>0.84504166666666658</v>
      </c>
      <c r="AL167" s="72">
        <f>INDEX(LINEST(LN(AV167:AZ167),LN(AV166:AZ166),TRUE,TRUE),3,1)</f>
        <v>0.75966121544029841</v>
      </c>
      <c r="AM167" s="72">
        <f>INDEX(LINEST(LN(AV167:AZ167),LN(AV166:AZ166)),1)</f>
        <v>-0.12311677041685908</v>
      </c>
      <c r="AN167" s="72">
        <f>EXP(INDEX(LINEST(LN(AV167:AZ167),LN(AV166:AZ166)),1,2))</f>
        <v>0.97853658132940291</v>
      </c>
      <c r="AO167" s="89">
        <f>INDEX(LINEST((AV167:AZ167),LN(AV166:AZ166),TRUE,TRUE),3,1)</f>
        <v>0.76195048588616376</v>
      </c>
      <c r="AP167" s="89">
        <f>INDEX(LINEST((AV167:AZ167),LN(AV166:AZ166)),1)</f>
        <v>-9.7958993276360623E-2</v>
      </c>
      <c r="AQ167" s="90">
        <f>INDEX(LINEST(LN(AV167:AZ167),SQRT(AV166:AZ166),TRUE,TRUE),3,1)</f>
        <v>0.57848422886559858</v>
      </c>
      <c r="AR167" s="117">
        <f>INDEX(LINEST(LN(AV167:AZ167),SQRT((AV166:AZ166))),1)</f>
        <v>-6.9621350111549005E-2</v>
      </c>
      <c r="AS167" s="91">
        <f>INDEX(LINEST(1/(AV167:AZ167),1/(SQRT(AV166:AZ166)),TRUE,TRUE),3,1)</f>
        <v>0.87025911973024939</v>
      </c>
      <c r="AT167" s="91">
        <f>INDEX(LINEST(1/(AV167:AZ167),1/SQRT(AV166:AZ166)),1)</f>
        <v>-0.87072782058242415</v>
      </c>
      <c r="AU167" s="3"/>
      <c r="AV167" s="73">
        <v>0.95199999999999996</v>
      </c>
      <c r="AW167" s="73">
        <v>0.82499999999999996</v>
      </c>
      <c r="AX167" s="73">
        <v>0.69799999999999995</v>
      </c>
      <c r="AY167" s="73">
        <v>0.65</v>
      </c>
      <c r="AZ167" s="73">
        <v>0.7</v>
      </c>
      <c r="BA167" s="53"/>
      <c r="BB167" s="53"/>
      <c r="BC167" s="53"/>
      <c r="BD167" s="53"/>
      <c r="BE167" s="53"/>
      <c r="BF167" s="53"/>
      <c r="BG167" s="53"/>
      <c r="BH167" s="53"/>
      <c r="BI167" s="53"/>
      <c r="BJ167" s="53"/>
      <c r="BK167" s="53"/>
      <c r="BL167" s="53"/>
      <c r="BM167" s="53"/>
      <c r="BN167" s="53"/>
      <c r="BO167" s="53"/>
      <c r="BP167" s="53"/>
      <c r="BQ167" s="53"/>
      <c r="BR167" s="53"/>
      <c r="BS167" s="53"/>
      <c r="BT167" s="53"/>
      <c r="BU167" s="53"/>
      <c r="BV167" s="53"/>
      <c r="BW167" s="53"/>
      <c r="BX167" s="53"/>
      <c r="BY167" s="53"/>
      <c r="BZ167" s="53"/>
      <c r="CA167" s="53"/>
      <c r="CB167" s="53"/>
      <c r="CC167" s="53"/>
      <c r="CD167" s="53"/>
      <c r="CE167" s="53"/>
      <c r="CF167" s="53"/>
      <c r="CG167" s="53"/>
      <c r="CH167" s="53"/>
      <c r="CI167" s="53"/>
      <c r="CJ167" s="53"/>
      <c r="CK167" s="53"/>
      <c r="CL167" s="53"/>
      <c r="CM167" s="53"/>
      <c r="CN167" s="53"/>
      <c r="CO167" s="53"/>
      <c r="CP167" s="53"/>
      <c r="CQ167" s="53"/>
      <c r="CR167" s="1"/>
      <c r="CS167" s="1"/>
      <c r="CT167" s="1"/>
      <c r="CU167" s="1"/>
    </row>
    <row r="168" spans="1:99" s="13" customFormat="1" ht="12" customHeight="1" x14ac:dyDescent="0.2">
      <c r="A168" s="68">
        <v>43509</v>
      </c>
      <c r="B168" s="70"/>
      <c r="C168" s="70"/>
      <c r="D168" s="69"/>
      <c r="E168" s="87"/>
      <c r="F168" s="69"/>
      <c r="G168" s="69"/>
      <c r="H168" s="69"/>
      <c r="I168" s="69"/>
      <c r="J168" s="69"/>
      <c r="K168" s="107"/>
      <c r="L168" s="107"/>
      <c r="M168" s="69"/>
      <c r="N168" s="69"/>
      <c r="O168" s="69"/>
      <c r="P168" s="69"/>
      <c r="Q168" s="69"/>
      <c r="R168" s="69"/>
      <c r="S168" s="69"/>
      <c r="T168" s="92"/>
      <c r="U168" s="60"/>
      <c r="V168" s="69"/>
      <c r="W168" s="69"/>
      <c r="X168" s="69"/>
      <c r="Y168" s="87"/>
      <c r="Z168" s="69"/>
      <c r="AA168" s="69"/>
      <c r="AB168" s="69"/>
      <c r="AC168" s="69"/>
      <c r="AD168" s="69"/>
      <c r="AE168" s="69"/>
      <c r="AF168" s="88"/>
      <c r="AG168" s="72"/>
      <c r="AH168" s="4"/>
      <c r="AI168" s="72"/>
      <c r="AJ168" s="110"/>
      <c r="AK168" s="72"/>
      <c r="AL168" s="72"/>
      <c r="AM168" s="72"/>
      <c r="AN168" s="72"/>
      <c r="AO168" s="72"/>
      <c r="AP168" s="72"/>
      <c r="AQ168" s="72"/>
      <c r="AR168" s="110"/>
      <c r="AS168" s="72"/>
      <c r="AT168" s="72"/>
      <c r="AU168" s="4"/>
      <c r="AV168" s="73">
        <v>2.5</v>
      </c>
      <c r="AW168" s="71">
        <v>5</v>
      </c>
      <c r="AX168" s="71">
        <v>10</v>
      </c>
      <c r="AY168" s="71">
        <v>20</v>
      </c>
      <c r="AZ168" s="71">
        <v>40</v>
      </c>
      <c r="BA168" s="53"/>
      <c r="BB168" s="53"/>
      <c r="BC168" s="53"/>
      <c r="BD168" s="53"/>
      <c r="BE168" s="53"/>
      <c r="BF168" s="53"/>
      <c r="BG168" s="53"/>
      <c r="BH168" s="53"/>
      <c r="BI168" s="53"/>
      <c r="BJ168" s="53"/>
      <c r="BK168" s="53"/>
      <c r="BL168" s="53"/>
      <c r="BM168" s="53"/>
      <c r="BN168" s="53"/>
      <c r="BO168" s="53"/>
      <c r="BP168" s="53"/>
      <c r="BQ168" s="53"/>
      <c r="BR168" s="53"/>
      <c r="BS168" s="53"/>
      <c r="BT168" s="53"/>
      <c r="BU168" s="53"/>
      <c r="BV168" s="53"/>
      <c r="BW168" s="53"/>
      <c r="BX168" s="53"/>
      <c r="BY168" s="53"/>
      <c r="BZ168" s="53"/>
      <c r="CA168" s="53"/>
      <c r="CB168" s="53"/>
      <c r="CC168" s="53"/>
      <c r="CD168" s="53"/>
      <c r="CE168" s="53"/>
      <c r="CF168" s="53"/>
      <c r="CG168" s="53"/>
      <c r="CH168" s="53"/>
      <c r="CI168" s="53"/>
      <c r="CJ168" s="53"/>
      <c r="CK168" s="53"/>
      <c r="CL168" s="53"/>
      <c r="CM168" s="53"/>
      <c r="CN168" s="53"/>
      <c r="CO168" s="53"/>
      <c r="CP168" s="53"/>
      <c r="CQ168" s="53"/>
      <c r="CR168" s="1"/>
      <c r="CS168" s="1"/>
      <c r="CT168" s="1"/>
      <c r="CU168" s="1"/>
    </row>
    <row r="169" spans="1:99" s="13" customFormat="1" ht="12" customHeight="1" x14ac:dyDescent="0.2">
      <c r="A169" s="68">
        <v>43509</v>
      </c>
      <c r="B169" s="70" t="s">
        <v>259</v>
      </c>
      <c r="C169" s="70" t="s">
        <v>55</v>
      </c>
      <c r="D169" s="69">
        <v>1991</v>
      </c>
      <c r="E169" s="87">
        <v>1</v>
      </c>
      <c r="F169" s="69">
        <v>8</v>
      </c>
      <c r="G169" s="69">
        <v>8</v>
      </c>
      <c r="H169" s="69" t="s">
        <v>50</v>
      </c>
      <c r="I169" s="69" t="s">
        <v>856</v>
      </c>
      <c r="J169" s="69" t="s">
        <v>16</v>
      </c>
      <c r="K169" s="69">
        <f>IF(J169="syllables",1,IF(J169="trigrams",2,IF(J169="strings",3,IF(J169="visual array",4,IF(J169="characters",5,IF(J169="letters",6,IF(J169="free forms",7,IF(J169="odors",8,IF(J169="words",9,IF(J169="pictures",10,IF(J169="object pictures",11,IF(J169="faces",12,IF(J169="names",13,IF(J169="idioms",14,IF(J169="grades",15,IF(J169="syllable-digit pairs",16,IF(J169="trigram-word pairs",17,IF(J169="word-digit pairs",18,IF(J169="English-Swahili pairs",19,IF(J169="spatial position",20,IF(J169="word pairs",21,IF(J169="word triads",22,IF(J169="generated words",23,IF(J169="word definition pairs",24,IF(J169="math problems",25,IF(J169="famous faces",26,IF(J169="famous names",27,IF(J169="famous voices",28,IF(J169="television programs",29,IF(J169="race horses",30,IF(J169="new vocabulary",31,IF(J169="sentences",32,IF(J169="concepts",33,IF(J169="ad slides",34,IF(J169="scenes",35,IF(J169="famous scenes",36,IF(J169="poems",37,IF(J169="walk",38,IF(J169="faces and events",39,IF(J169="events and names",40,IF(J169="flashbulb",41,IF(J169="stories",42,IF(J169="course material",43,IF(J169="autobiographical",44,IF(J169="novels",45,IF(J169="public events",46,"99"))))))))))))))))))))))))))))))))))))))))))))))</f>
        <v>9</v>
      </c>
      <c r="L169" s="69">
        <f>IF(J169="syllables",1,IF(J169="trigrams",1,IF(J169="strings",1,IF(J169="visual array",1,IF(J169="characters",1,IF(J169="letters",1,IF(J169="free forms",1,IF(J169="odors",2,IF(J169="words",2,IF(J169="pictures",2,IF(J169="object pictures",2,IF(J169="faces",2,IF(J169="names",2,IF(J169="idioms","2",IF(J169="grades",2,IF(J169="syllable-digit pairs",3,IF(J169="trigram-word pairs",3,IF(J169="word-digit pairs",3,IF(J169="English-Swahili pairs",3,IF(J169="spatial position",3,IF(J169="word pairs",4,IF(J169="word triads",4,IF(J169="generated words",4,IF(J169="word definition pairs",4,IF(J169="math problems",4,IF(J169="famous faces",4,IF(J169="famous names",4,IF(J169="famous voices",4,IF(J169="television programs",4,IF(J169="race horses",4,IF(J169="new vocabulary",4,IF(J169="sentences",5,IF(J169="concepts",5,IF(J169="ad slides",5,IF(J169="scenes",5,IF(J169="famous scenes",5,IF(J169="poems",6,IF(J169="walk",6,IF(J169="faces and events",6,IF(J169="events and names",6,IF(J169="flashbulb",7,IF(J169="stories",7,IF(J169="course material",7,IF(J169="autobiographical",7,IF(J169="novels",7,IF(J169="public events",7,"99"))))))))))))))))))))))))))))))))))))))))))))))</f>
        <v>2</v>
      </c>
      <c r="M169" s="69">
        <v>0</v>
      </c>
      <c r="N169" s="69">
        <v>1</v>
      </c>
      <c r="O169" s="69">
        <v>1</v>
      </c>
      <c r="P169" s="69" t="s">
        <v>901</v>
      </c>
      <c r="Q169" s="69" t="s">
        <v>174</v>
      </c>
      <c r="R169" s="69">
        <f>IF(Q169="Free Recall",1,IF(Q169="Cued Recall",2,IF(Q169="Recognition",3,IF(Q169="Multiple Choice",4,IF(Q169="Savings",5,IF(Q169="Stem Completion",6,IF(Q169="Fragment Completion",7,IF(Q169="anagram solution",8,IF(Q169="Matching",9,IF(Q169="Problem Solving",10,"99"))))))))))</f>
        <v>1</v>
      </c>
      <c r="S169" s="69" t="s">
        <v>49</v>
      </c>
      <c r="T169" s="92" t="s">
        <v>581</v>
      </c>
      <c r="U169" s="60">
        <f>IF(T169="within",1,0)</f>
        <v>1</v>
      </c>
      <c r="V169" s="92">
        <v>45</v>
      </c>
      <c r="W169" s="69">
        <f>F169*V169</f>
        <v>360</v>
      </c>
      <c r="X169" s="69">
        <v>5</v>
      </c>
      <c r="Y169" s="87">
        <f>AV168</f>
        <v>2.5</v>
      </c>
      <c r="Z169" s="69" t="s">
        <v>56</v>
      </c>
      <c r="AA169" s="69">
        <v>40</v>
      </c>
      <c r="AB169" s="69" t="str">
        <f t="shared" ref="AB169:AB171" si="0">IF(AA169&lt;60,"1",IF(AA169&lt;=43200,"2",IF(AA169&lt;=777600,"3","4")))</f>
        <v>1</v>
      </c>
      <c r="AC169" s="72">
        <f t="shared" ref="AC169" si="1">AVERAGE(AV168:DA168)</f>
        <v>15.5</v>
      </c>
      <c r="AD169" s="69" t="str">
        <f>IF(AC169&lt;60,"1",IF(AC169&lt;=43200,"2",IF(AC169&lt;=777600,"3","4")))</f>
        <v>1</v>
      </c>
      <c r="AE169" s="87">
        <f>AA169-Y169</f>
        <v>37.5</v>
      </c>
      <c r="AF169" s="88">
        <f>AV169</f>
        <v>0.77</v>
      </c>
      <c r="AG169" s="72">
        <f>((AW169-AV169)+(AX169-AW169)+(AY169-AX169)+(AZ169-AY169))/4</f>
        <v>-5.4999999999999993E-2</v>
      </c>
      <c r="AH169" s="4"/>
      <c r="AI169" s="72">
        <f>RSQ(AV169:AZ169,AV168:AZ168)</f>
        <v>0.77259180573762642</v>
      </c>
      <c r="AJ169" s="110">
        <f>SLOPE(AV169:AZ169,AV168:AZ168)</f>
        <v>-4.9569892473118266E-3</v>
      </c>
      <c r="AK169" s="72">
        <f>INTERCEPT(AV169:AZ169,AV168:AZ168)</f>
        <v>0.72483333333333333</v>
      </c>
      <c r="AL169" s="72">
        <f>INDEX(LINEST(LN(AV169:AZ169),LN(AV168:AZ168),TRUE,TRUE),3,1)</f>
        <v>0.99003162792132282</v>
      </c>
      <c r="AM169" s="72">
        <f>INDEX(LINEST(LN(AV169:AZ169),LN(AV168:AZ168)),1)</f>
        <v>-0.11908193382823912</v>
      </c>
      <c r="AN169" s="72">
        <f>EXP(INDEX(LINEST(LN(AV169:AZ169),LN(AV168:AZ168)),1,2))</f>
        <v>0.84653724893233373</v>
      </c>
      <c r="AO169" s="89">
        <f>INDEX(LINEST((AV169:AZ169),LN(AV168:AZ168),TRUE,TRUE),3,1)</f>
        <v>0.97857867333829196</v>
      </c>
      <c r="AP169" s="89">
        <f>INDEX(LINEST((AV169:AZ169),LN(AV168:AZ168)),1)</f>
        <v>-7.7616993199826234E-2</v>
      </c>
      <c r="AQ169" s="90">
        <f t="shared" ref="AQ169" si="2">INDEX(LINEST(LN(AV169:AZ169),SQRT(AV168:AZ168),TRUE,TRUE),3,1)</f>
        <v>0.92010655888020487</v>
      </c>
      <c r="AR169" s="117">
        <f t="shared" ref="AR169" si="3">INDEX(LINEST(LN(AV169:AZ169),SQRT((AV168:AZ168))),1)</f>
        <v>-6.653878137586032E-2</v>
      </c>
      <c r="AS169" s="91">
        <f t="shared" ref="AS169" si="4">INDEX(LINEST(1/(AV169:AZ169),1/(SQRT(AV168:AZ168)),TRUE,TRUE),3,1)</f>
        <v>0.97273124345148854</v>
      </c>
      <c r="AT169" s="91">
        <f t="shared" ref="AT169" si="5">INDEX(LINEST(1/(AV169:AZ169),1/SQRT(AV168:AZ168)),1)</f>
        <v>-1.054792435547496</v>
      </c>
      <c r="AU169" s="3"/>
      <c r="AV169" s="73">
        <v>0.77</v>
      </c>
      <c r="AW169" s="73">
        <v>0.69299999999999995</v>
      </c>
      <c r="AX169" s="73">
        <v>0.63200000000000001</v>
      </c>
      <c r="AY169" s="73">
        <v>0.59499999999999997</v>
      </c>
      <c r="AZ169" s="73">
        <v>0.55000000000000004</v>
      </c>
      <c r="BA169" s="53"/>
      <c r="BB169" s="53"/>
      <c r="BC169" s="53"/>
      <c r="BD169" s="53"/>
      <c r="BE169" s="53"/>
      <c r="BF169" s="53"/>
      <c r="BG169" s="53"/>
      <c r="BH169" s="53"/>
      <c r="BI169" s="53"/>
      <c r="BJ169" s="53"/>
      <c r="BK169" s="53"/>
      <c r="BL169" s="53"/>
      <c r="BM169" s="53"/>
      <c r="BN169" s="53"/>
      <c r="BO169" s="53"/>
      <c r="BP169" s="53"/>
      <c r="BQ169" s="53"/>
      <c r="BR169" s="53"/>
      <c r="BS169" s="53"/>
      <c r="BT169" s="53"/>
      <c r="BU169" s="53"/>
      <c r="BV169" s="53"/>
      <c r="BW169" s="53"/>
      <c r="BX169" s="53"/>
      <c r="BY169" s="53"/>
      <c r="BZ169" s="53"/>
      <c r="CA169" s="53"/>
      <c r="CB169" s="53"/>
      <c r="CC169" s="53"/>
      <c r="CD169" s="53"/>
      <c r="CE169" s="53"/>
      <c r="CF169" s="53"/>
      <c r="CG169" s="53"/>
      <c r="CH169" s="53"/>
      <c r="CI169" s="53"/>
      <c r="CJ169" s="53"/>
      <c r="CK169" s="53"/>
      <c r="CL169" s="53"/>
      <c r="CM169" s="53"/>
      <c r="CN169" s="53"/>
      <c r="CO169" s="53"/>
      <c r="CP169" s="53"/>
      <c r="CQ169" s="53"/>
      <c r="CR169" s="1"/>
      <c r="CS169" s="1"/>
      <c r="CT169" s="1"/>
      <c r="CU169" s="1"/>
    </row>
    <row r="170" spans="1:99" s="13" customFormat="1" ht="12" customHeight="1" x14ac:dyDescent="0.2">
      <c r="A170" s="68">
        <v>43509</v>
      </c>
      <c r="B170" s="70"/>
      <c r="C170" s="70"/>
      <c r="D170" s="69"/>
      <c r="E170" s="87"/>
      <c r="F170" s="69"/>
      <c r="G170" s="69"/>
      <c r="H170" s="69"/>
      <c r="I170" s="69"/>
      <c r="J170" s="69"/>
      <c r="K170" s="107"/>
      <c r="L170" s="107"/>
      <c r="M170" s="69"/>
      <c r="N170" s="69"/>
      <c r="O170" s="69"/>
      <c r="P170" s="69"/>
      <c r="Q170" s="69"/>
      <c r="R170" s="69"/>
      <c r="S170" s="69"/>
      <c r="T170" s="92"/>
      <c r="U170" s="60"/>
      <c r="V170" s="69"/>
      <c r="W170" s="69"/>
      <c r="X170" s="69"/>
      <c r="Y170" s="87"/>
      <c r="Z170" s="69"/>
      <c r="AA170" s="69"/>
      <c r="AB170" s="69"/>
      <c r="AC170" s="69"/>
      <c r="AD170" s="69"/>
      <c r="AE170" s="69"/>
      <c r="AF170" s="88"/>
      <c r="AG170" s="72"/>
      <c r="AH170" s="4"/>
      <c r="AI170" s="72"/>
      <c r="AJ170" s="110"/>
      <c r="AK170" s="72"/>
      <c r="AL170" s="72"/>
      <c r="AM170" s="72"/>
      <c r="AN170" s="72"/>
      <c r="AO170" s="89"/>
      <c r="AP170" s="89"/>
      <c r="AQ170" s="72"/>
      <c r="AR170" s="110"/>
      <c r="AS170" s="72"/>
      <c r="AT170" s="72"/>
      <c r="AU170" s="3"/>
      <c r="AV170" s="73">
        <v>2.5</v>
      </c>
      <c r="AW170" s="71">
        <v>5</v>
      </c>
      <c r="AX170" s="71">
        <v>10</v>
      </c>
      <c r="AY170" s="71">
        <v>20</v>
      </c>
      <c r="AZ170" s="71">
        <v>40</v>
      </c>
      <c r="BA170" s="53"/>
      <c r="BB170" s="53"/>
      <c r="BC170" s="53"/>
      <c r="BD170" s="53"/>
      <c r="BE170" s="53"/>
      <c r="BF170" s="53"/>
      <c r="BG170" s="53"/>
      <c r="BH170" s="53"/>
      <c r="BI170" s="53"/>
      <c r="BJ170" s="53"/>
      <c r="BK170" s="53"/>
      <c r="BL170" s="53"/>
      <c r="BM170" s="53"/>
      <c r="BN170" s="53"/>
      <c r="BO170" s="53"/>
      <c r="BP170" s="53"/>
      <c r="BQ170" s="53"/>
      <c r="BR170" s="53"/>
      <c r="BS170" s="53"/>
      <c r="BT170" s="53"/>
      <c r="BU170" s="53"/>
      <c r="BV170" s="53"/>
      <c r="BW170" s="53"/>
      <c r="BX170" s="53"/>
      <c r="BY170" s="53"/>
      <c r="BZ170" s="53"/>
      <c r="CA170" s="53"/>
      <c r="CB170" s="53"/>
      <c r="CC170" s="53"/>
      <c r="CD170" s="53"/>
      <c r="CE170" s="53"/>
      <c r="CF170" s="53"/>
      <c r="CG170" s="53"/>
      <c r="CH170" s="53"/>
      <c r="CI170" s="53"/>
      <c r="CJ170" s="53"/>
      <c r="CK170" s="53"/>
      <c r="CL170" s="53"/>
      <c r="CM170" s="53"/>
      <c r="CN170" s="53"/>
      <c r="CO170" s="53"/>
      <c r="CP170" s="53"/>
      <c r="CQ170" s="53"/>
      <c r="CR170" s="1"/>
      <c r="CS170" s="1"/>
      <c r="CT170" s="1"/>
      <c r="CU170" s="1"/>
    </row>
    <row r="171" spans="1:99" s="13" customFormat="1" ht="12" customHeight="1" x14ac:dyDescent="0.2">
      <c r="A171" s="68">
        <v>43509</v>
      </c>
      <c r="B171" s="70" t="s">
        <v>259</v>
      </c>
      <c r="C171" s="70" t="s">
        <v>55</v>
      </c>
      <c r="D171" s="69">
        <v>1991</v>
      </c>
      <c r="E171" s="87">
        <v>1</v>
      </c>
      <c r="F171" s="69">
        <v>8</v>
      </c>
      <c r="G171" s="69">
        <v>8</v>
      </c>
      <c r="H171" s="69" t="s">
        <v>50</v>
      </c>
      <c r="I171" s="69" t="s">
        <v>857</v>
      </c>
      <c r="J171" s="69" t="s">
        <v>16</v>
      </c>
      <c r="K171" s="69">
        <f>IF(J171="syllables",1,IF(J171="trigrams",2,IF(J171="strings",3,IF(J171="visual array",4,IF(J171="characters",5,IF(J171="letters",6,IF(J171="free forms",7,IF(J171="odors",8,IF(J171="words",9,IF(J171="pictures",10,IF(J171="object pictures",11,IF(J171="faces",12,IF(J171="names",13,IF(J171="idioms",14,IF(J171="grades",15,IF(J171="syllable-digit pairs",16,IF(J171="trigram-word pairs",17,IF(J171="word-digit pairs",18,IF(J171="English-Swahili pairs",19,IF(J171="spatial position",20,IF(J171="word pairs",21,IF(J171="word triads",22,IF(J171="generated words",23,IF(J171="word definition pairs",24,IF(J171="math problems",25,IF(J171="famous faces",26,IF(J171="famous names",27,IF(J171="famous voices",28,IF(J171="television programs",29,IF(J171="race horses",30,IF(J171="new vocabulary",31,IF(J171="sentences",32,IF(J171="concepts",33,IF(J171="ad slides",34,IF(J171="scenes",35,IF(J171="famous scenes",36,IF(J171="poems",37,IF(J171="walk",38,IF(J171="faces and events",39,IF(J171="events and names",40,IF(J171="flashbulb",41,IF(J171="stories",42,IF(J171="course material",43,IF(J171="autobiographical",44,IF(J171="novels",45,IF(J171="public events",46,"99"))))))))))))))))))))))))))))))))))))))))))))))</f>
        <v>9</v>
      </c>
      <c r="L171" s="69">
        <f>IF(J171="syllables",1,IF(J171="trigrams",1,IF(J171="strings",1,IF(J171="visual array",1,IF(J171="characters",1,IF(J171="letters",1,IF(J171="free forms",1,IF(J171="odors",2,IF(J171="words",2,IF(J171="pictures",2,IF(J171="object pictures",2,IF(J171="faces",2,IF(J171="names",2,IF(J171="idioms","2",IF(J171="grades",2,IF(J171="syllable-digit pairs",3,IF(J171="trigram-word pairs",3,IF(J171="word-digit pairs",3,IF(J171="English-Swahili pairs",3,IF(J171="spatial position",3,IF(J171="word pairs",4,IF(J171="word triads",4,IF(J171="generated words",4,IF(J171="word definition pairs",4,IF(J171="math problems",4,IF(J171="famous faces",4,IF(J171="famous names",4,IF(J171="famous voices",4,IF(J171="television programs",4,IF(J171="race horses",4,IF(J171="new vocabulary",4,IF(J171="sentences",5,IF(J171="concepts",5,IF(J171="ad slides",5,IF(J171="scenes",5,IF(J171="famous scenes",5,IF(J171="poems",6,IF(J171="walk",6,IF(J171="faces and events",6,IF(J171="events and names",6,IF(J171="flashbulb",7,IF(J171="stories",7,IF(J171="course material",7,IF(J171="autobiographical",7,IF(J171="novels",7,IF(J171="public events",7,"99"))))))))))))))))))))))))))))))))))))))))))))))</f>
        <v>2</v>
      </c>
      <c r="M171" s="69">
        <v>0</v>
      </c>
      <c r="N171" s="69">
        <v>1</v>
      </c>
      <c r="O171" s="69">
        <v>1</v>
      </c>
      <c r="P171" s="69" t="s">
        <v>901</v>
      </c>
      <c r="Q171" s="69" t="s">
        <v>174</v>
      </c>
      <c r="R171" s="69">
        <f>IF(Q171="Free Recall",1,IF(Q171="Cued Recall",2,IF(Q171="Recognition",3,IF(Q171="Multiple Choice",4,IF(Q171="Savings",5,IF(Q171="Stem Completion",6,IF(Q171="Fragment Completion",7,IF(Q171="anagram solution",8,IF(Q171="Matching",9,IF(Q171="Problem Solving",10,"99"))))))))))</f>
        <v>1</v>
      </c>
      <c r="S171" s="69" t="s">
        <v>49</v>
      </c>
      <c r="T171" s="92" t="s">
        <v>581</v>
      </c>
      <c r="U171" s="60">
        <f>IF(T171="within",1,0)</f>
        <v>1</v>
      </c>
      <c r="V171" s="92">
        <v>45</v>
      </c>
      <c r="W171" s="69">
        <f>F171*V171</f>
        <v>360</v>
      </c>
      <c r="X171" s="69">
        <v>5</v>
      </c>
      <c r="Y171" s="87">
        <f>AV170</f>
        <v>2.5</v>
      </c>
      <c r="Z171" s="69" t="s">
        <v>56</v>
      </c>
      <c r="AA171" s="69">
        <v>40</v>
      </c>
      <c r="AB171" s="69" t="str">
        <f t="shared" si="0"/>
        <v>1</v>
      </c>
      <c r="AC171" s="72">
        <f t="shared" ref="AC171" si="6">AVERAGE(AV170:DA170)</f>
        <v>15.5</v>
      </c>
      <c r="AD171" s="69" t="str">
        <f>IF(AC171&lt;60,"1",IF(AC171&lt;=43200,"2",IF(AC171&lt;=777600,"3","4")))</f>
        <v>1</v>
      </c>
      <c r="AE171" s="87">
        <f>AA171-Y171</f>
        <v>37.5</v>
      </c>
      <c r="AF171" s="88">
        <f>AV171</f>
        <v>0.57699999999999996</v>
      </c>
      <c r="AG171" s="72">
        <f>((AW171-AV171)+(AX171-AW171)+(AY171-AX171)+(AZ171-AY171))/4</f>
        <v>-4.3499999999999983E-2</v>
      </c>
      <c r="AH171" s="4"/>
      <c r="AI171" s="72">
        <f>RSQ(AV171:AZ171,AV170:AZ170)</f>
        <v>0.75288422386101428</v>
      </c>
      <c r="AJ171" s="110">
        <f>SLOPE(AV171:AZ171,AV170:AZ170)</f>
        <v>-4.1612903225806443E-3</v>
      </c>
      <c r="AK171" s="72">
        <f>INTERCEPT(AV171:AZ171,AV170:AZ170)</f>
        <v>0.54349999999999998</v>
      </c>
      <c r="AL171" s="72">
        <f>INDEX(LINEST(LN(AV171:AZ171),LN(AV170:AZ170),TRUE,TRUE),3,1)</f>
        <v>0.97720461437401152</v>
      </c>
      <c r="AM171" s="72">
        <f>INDEX(LINEST(LN(AV171:AZ171),LN(AV170:AZ170)),1)</f>
        <v>-0.13685662436313883</v>
      </c>
      <c r="AN171" s="72">
        <f>EXP(INDEX(LINEST(LN(AV171:AZ171),LN(AV170:AZ170)),1,2))</f>
        <v>0.65039387346689803</v>
      </c>
      <c r="AO171" s="89">
        <f>INDEX(LINEST((AV171:AZ171),LN(AV170:AZ170),TRUE,TRUE),3,1)</f>
        <v>0.97211781206171111</v>
      </c>
      <c r="AP171" s="89">
        <f>INDEX(LINEST((AV171:AZ171),LN(AV170:AZ170)),1)</f>
        <v>-6.5786893864536733E-2</v>
      </c>
      <c r="AQ171" s="90">
        <f t="shared" ref="AQ171" si="7">INDEX(LINEST(LN(AV171:AZ171),SQRT(AV170:AZ170),TRUE,TRUE),3,1)</f>
        <v>0.90272228418776945</v>
      </c>
      <c r="AR171" s="117">
        <f t="shared" ref="AR171" si="8">INDEX(LINEST(LN(AV171:AZ171),SQRT((AV170:AZ170))),1)</f>
        <v>-7.6240298157408362E-2</v>
      </c>
      <c r="AS171" s="91">
        <f t="shared" ref="AS171" si="9">INDEX(LINEST(1/(AV171:AZ171),1/(SQRT(AV170:AZ170)),TRUE,TRUE),3,1)</f>
        <v>0.94992583969954492</v>
      </c>
      <c r="AT171" s="91">
        <f t="shared" ref="AT171" si="10">INDEX(LINEST(1/(AV171:AZ171),1/SQRT(AV170:AZ170)),1)</f>
        <v>-1.641455555814473</v>
      </c>
      <c r="AU171" s="3"/>
      <c r="AV171" s="73">
        <v>0.57699999999999996</v>
      </c>
      <c r="AW171" s="73">
        <v>0.52400000000000002</v>
      </c>
      <c r="AX171" s="73">
        <v>0.47499999999999998</v>
      </c>
      <c r="AY171" s="73">
        <v>0.41599999999999998</v>
      </c>
      <c r="AZ171" s="73">
        <v>0.40300000000000002</v>
      </c>
      <c r="BA171" s="53"/>
      <c r="BB171" s="53"/>
      <c r="BC171" s="53"/>
      <c r="BD171" s="53"/>
      <c r="BE171" s="53"/>
      <c r="BF171" s="53"/>
      <c r="BG171" s="53"/>
      <c r="BH171" s="53"/>
      <c r="BI171" s="53"/>
      <c r="BJ171" s="53"/>
      <c r="BK171" s="53"/>
      <c r="BL171" s="53"/>
      <c r="BM171" s="53"/>
      <c r="BN171" s="53"/>
      <c r="BO171" s="53"/>
      <c r="BP171" s="53"/>
      <c r="BQ171" s="53"/>
      <c r="BR171" s="53"/>
      <c r="BS171" s="53"/>
      <c r="BT171" s="53"/>
      <c r="BU171" s="53"/>
      <c r="BV171" s="53"/>
      <c r="BW171" s="53"/>
      <c r="BX171" s="53"/>
      <c r="BY171" s="53"/>
      <c r="BZ171" s="53"/>
      <c r="CA171" s="53"/>
      <c r="CB171" s="53"/>
      <c r="CC171" s="53"/>
      <c r="CD171" s="53"/>
      <c r="CE171" s="53"/>
      <c r="CF171" s="53"/>
      <c r="CG171" s="53"/>
      <c r="CH171" s="53"/>
      <c r="CI171" s="53"/>
      <c r="CJ171" s="53"/>
      <c r="CK171" s="53"/>
      <c r="CL171" s="53"/>
      <c r="CM171" s="53"/>
      <c r="CN171" s="53"/>
      <c r="CO171" s="53"/>
      <c r="CP171" s="53"/>
      <c r="CQ171" s="53"/>
      <c r="CR171" s="1"/>
      <c r="CS171" s="1"/>
      <c r="CT171" s="1"/>
      <c r="CU171" s="1"/>
    </row>
    <row r="172" spans="1:99" ht="12" customHeight="1" x14ac:dyDescent="0.2">
      <c r="A172" s="68">
        <v>43916</v>
      </c>
      <c r="B172" s="127"/>
      <c r="C172" s="127"/>
      <c r="D172" s="107"/>
      <c r="E172" s="143"/>
      <c r="F172" s="107"/>
      <c r="G172" s="107"/>
      <c r="H172" s="107"/>
      <c r="I172" s="107"/>
      <c r="J172" s="107"/>
      <c r="K172" s="107"/>
      <c r="L172" s="107"/>
      <c r="M172" s="107"/>
      <c r="N172" s="107"/>
      <c r="O172" s="107"/>
      <c r="P172" s="107"/>
      <c r="Q172" s="107"/>
      <c r="R172" s="69"/>
      <c r="S172" s="107"/>
      <c r="T172" s="107"/>
      <c r="U172" s="60"/>
      <c r="V172" s="107"/>
      <c r="W172" s="69"/>
      <c r="X172" s="107"/>
      <c r="Y172" s="87"/>
      <c r="Z172" s="107"/>
      <c r="AA172" s="107"/>
      <c r="AB172" s="69"/>
      <c r="AC172" s="69"/>
      <c r="AD172" s="69"/>
      <c r="AE172" s="69"/>
      <c r="AF172" s="88"/>
      <c r="AG172" s="72"/>
      <c r="AH172" s="4"/>
      <c r="AI172" s="72"/>
      <c r="AJ172" s="110"/>
      <c r="AK172" s="72"/>
      <c r="AL172" s="72"/>
      <c r="AM172" s="72"/>
      <c r="AN172" s="72"/>
      <c r="AO172" s="72"/>
      <c r="AP172" s="72"/>
      <c r="AQ172" s="89"/>
      <c r="AR172" s="118"/>
      <c r="AS172" s="89"/>
      <c r="AT172" s="89"/>
      <c r="AU172" s="4"/>
      <c r="AV172" s="71">
        <v>1</v>
      </c>
      <c r="AW172" s="71">
        <v>4</v>
      </c>
      <c r="AX172" s="71">
        <v>10</v>
      </c>
    </row>
    <row r="173" spans="1:99" s="15" customFormat="1" ht="12" customHeight="1" x14ac:dyDescent="0.2">
      <c r="A173" s="68">
        <v>43916</v>
      </c>
      <c r="B173" s="94" t="s">
        <v>552</v>
      </c>
      <c r="C173" s="94" t="s">
        <v>551</v>
      </c>
      <c r="D173" s="92">
        <v>2009</v>
      </c>
      <c r="E173" s="87">
        <v>1</v>
      </c>
      <c r="F173" s="69">
        <v>12</v>
      </c>
      <c r="G173" s="69">
        <v>12</v>
      </c>
      <c r="H173" s="69" t="s">
        <v>553</v>
      </c>
      <c r="I173" s="69" t="s">
        <v>555</v>
      </c>
      <c r="J173" s="69" t="s">
        <v>764</v>
      </c>
      <c r="K173" s="69">
        <f>IF(J173="syllables",1,IF(J173="trigrams",2,IF(J173="strings",3,IF(J173="visual array",4,IF(J173="characters",5,IF(J173="letters",6,IF(J173="free forms",7,IF(J173="odors",8,IF(J173="words",9,IF(J173="pictures",10,IF(J173="object pictures",11,IF(J173="faces",12,IF(J173="names",13,IF(J173="idioms",14,IF(J173="grades",15,IF(J173="syllable-digit pairs",16,IF(J173="trigram-word pairs",17,IF(J173="word-digit pairs",18,IF(J173="English-Swahili pairs",19,IF(J173="spatial position",20,IF(J173="word pairs",21,IF(J173="word triads",22,IF(J173="generated words",23,IF(J173="word definition pairs",24,IF(J173="math problems",25,IF(J173="famous faces",26,IF(J173="famous names",27,IF(J173="famous voices",28,IF(J173="television programs",29,IF(J173="race horses",30,IF(J173="new vocabulary",31,IF(J173="sentences",32,IF(J173="concepts",33,IF(J173="ad slides",34,IF(J173="scenes",35,IF(J173="famous scenes",36,IF(J173="poems",37,IF(J173="walk",38,IF(J173="faces and events",39,IF(J173="events and names",40,IF(J173="flashbulb",41,IF(J173="stories",42,IF(J173="course material",43,IF(J173="autobiographical",44,IF(J173="novels",45,IF(J173="public events",46,"99"))))))))))))))))))))))))))))))))))))))))))))))</f>
        <v>4</v>
      </c>
      <c r="L173" s="69">
        <f>IF(J173="syllables",1,IF(J173="trigrams",1,IF(J173="strings",1,IF(J173="visual array",1,IF(J173="characters",1,IF(J173="letters",1,IF(J173="free forms",1,IF(J173="odors",2,IF(J173="words",2,IF(J173="pictures",2,IF(J173="object pictures",2,IF(J173="faces",2,IF(J173="names",2,IF(J173="idioms","2",IF(J173="grades",2,IF(J173="syllable-digit pairs",3,IF(J173="trigram-word pairs",3,IF(J173="word-digit pairs",3,IF(J173="English-Swahili pairs",3,IF(J173="spatial position",3,IF(J173="word pairs",4,IF(J173="word triads",4,IF(J173="generated words",4,IF(J173="word definition pairs",4,IF(J173="math problems",4,IF(J173="famous faces",4,IF(J173="famous names",4,IF(J173="famous voices",4,IF(J173="television programs",4,IF(J173="race horses",4,IF(J173="new vocabulary",4,IF(J173="sentences",5,IF(J173="concepts",5,IF(J173="ad slides",5,IF(J173="scenes",5,IF(J173="famous scenes",5,IF(J173="poems",6,IF(J173="walk",6,IF(J173="faces and events",6,IF(J173="events and names",6,IF(J173="flashbulb",7,IF(J173="stories",7,IF(J173="course material",7,IF(J173="autobiographical",7,IF(J173="novels",7,IF(J173="public events",7,"99"))))))))))))))))))))))))))))))))))))))))))))))</f>
        <v>1</v>
      </c>
      <c r="M173" s="69">
        <v>0</v>
      </c>
      <c r="N173" s="69">
        <v>1</v>
      </c>
      <c r="O173" s="69">
        <v>0</v>
      </c>
      <c r="P173" s="92"/>
      <c r="Q173" s="69" t="s">
        <v>174</v>
      </c>
      <c r="R173" s="69">
        <f>IF(Q173="Free Recall",1,IF(Q173="Cued Recall",2,IF(Q173="Recognition",3,IF(Q173="Multiple Choice",4,IF(Q173="Savings",5,IF(Q173="Stem Completion",6,IF(Q173="Fragment Completion",7,IF(Q173="anagram solution",8,IF(Q173="Matching",9,IF(Q173="Problem Solving",10,"99"))))))))))</f>
        <v>1</v>
      </c>
      <c r="S173" s="69" t="s">
        <v>295</v>
      </c>
      <c r="T173" s="92" t="s">
        <v>581</v>
      </c>
      <c r="U173" s="60">
        <f>IF(T173="within",1,0)</f>
        <v>1</v>
      </c>
      <c r="V173" s="92">
        <v>150</v>
      </c>
      <c r="W173" s="69">
        <f>F173*V173</f>
        <v>1800</v>
      </c>
      <c r="X173" s="69">
        <v>3</v>
      </c>
      <c r="Y173" s="87">
        <f>AV172</f>
        <v>1</v>
      </c>
      <c r="Z173" s="69" t="s">
        <v>554</v>
      </c>
      <c r="AA173" s="92">
        <v>10</v>
      </c>
      <c r="AB173" s="69" t="str">
        <f>IF(AA173&lt;60,"1",IF(AA173&lt;=43200,"2",IF(AA173&lt;=777600,"3","4")))</f>
        <v>1</v>
      </c>
      <c r="AC173" s="72">
        <f t="shared" ref="AC173" si="11">AVERAGE(AV172:DA172)</f>
        <v>5</v>
      </c>
      <c r="AD173" s="69" t="str">
        <f>IF(AC173&lt;60,"1",IF(AC173&lt;=43200,"2",IF(AC173&lt;=777600,"3","4")))</f>
        <v>1</v>
      </c>
      <c r="AE173" s="87">
        <f>AA173-Y173</f>
        <v>9</v>
      </c>
      <c r="AF173" s="88">
        <f>AV173</f>
        <v>0.74</v>
      </c>
      <c r="AG173" s="72">
        <f>((AW173-AV173)+(AX173-AW173))/2</f>
        <v>-4.9999999999999989E-2</v>
      </c>
      <c r="AH173" s="4"/>
      <c r="AI173" s="72">
        <f>RSQ(AV173:AX173,AV172:AX172)</f>
        <v>0.89285714285714257</v>
      </c>
      <c r="AJ173" s="110">
        <f>SLOPE(AV173:AX173,AV172:AX172)</f>
        <v>-1.1904761904761902E-2</v>
      </c>
      <c r="AK173" s="72">
        <f>INTERCEPT(AV173:AX173,AV172:AX172)</f>
        <v>0.7661904761904762</v>
      </c>
      <c r="AL173" s="72">
        <f>INDEX(LINEST(LN(AV173:AX173),LN(AV172:AX172),TRUE,TRUE),3,1)</f>
        <v>0.64248899495600853</v>
      </c>
      <c r="AM173" s="72">
        <f>INDEX(LINEST(LN(AV173:AX173),LN(AV172:AX172)),1)</f>
        <v>-5.7956782843279799E-2</v>
      </c>
      <c r="AN173" s="72">
        <f>EXP(INDEX(LINEST(LN(AV173:AX173),LN(AV172:AX172)),1,2))</f>
        <v>0.75711970981043697</v>
      </c>
      <c r="AO173" s="89">
        <f>INDEX(LINEST((AV173:AX173),LN(AV172:AX172),TRUE,TRUE),3,1)</f>
        <v>0.64248899495600842</v>
      </c>
      <c r="AP173" s="89">
        <f>INDEX(LINEST((AV173:AX173),LN(AV172:AX172)),1)</f>
        <v>-3.9920085763626205E-2</v>
      </c>
      <c r="AQ173" s="90">
        <f t="shared" ref="AQ173" si="12">INDEX(LINEST(LN(AV173:AX173),SQRT(AV172:AX172),TRUE,TRUE),3,1)</f>
        <v>0.78651740841292606</v>
      </c>
      <c r="AR173" s="117">
        <f t="shared" ref="AR173" si="13">INDEX(LINEST(LN(AV173:AX173),SQRT((AV172:AX172))),1)</f>
        <v>-6.8693805413656203E-2</v>
      </c>
      <c r="AS173" s="91">
        <f t="shared" ref="AS173" si="14">INDEX(LINEST(1/(AV173:AX173),1/(SQRT(AV172:AX172)),TRUE,TRUE),3,1)</f>
        <v>0.50087626293017951</v>
      </c>
      <c r="AT173" s="91">
        <f t="shared" ref="AT173" si="15">INDEX(LINEST(1/(AV173:AX173),1/SQRT(AV172:AX172)),1)</f>
        <v>-0.24381308385450498</v>
      </c>
      <c r="AU173" s="3"/>
      <c r="AV173" s="73">
        <f>1-0.26</f>
        <v>0.74</v>
      </c>
      <c r="AW173" s="73">
        <f>1-0.26</f>
        <v>0.74</v>
      </c>
      <c r="AX173" s="73">
        <f>1-0.36</f>
        <v>0.64</v>
      </c>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c r="BU173" s="11"/>
      <c r="BV173" s="11"/>
      <c r="BW173" s="11"/>
      <c r="BX173" s="11"/>
      <c r="BY173" s="11"/>
      <c r="BZ173" s="11"/>
      <c r="CA173" s="11"/>
      <c r="CB173" s="11"/>
      <c r="CC173" s="11"/>
      <c r="CD173" s="11"/>
      <c r="CE173" s="11"/>
      <c r="CF173" s="11"/>
      <c r="CG173" s="11"/>
      <c r="CH173" s="11"/>
      <c r="CI173" s="11"/>
      <c r="CJ173" s="11"/>
      <c r="CK173" s="11"/>
      <c r="CL173" s="11"/>
      <c r="CM173" s="11"/>
      <c r="CN173" s="11"/>
      <c r="CO173" s="11"/>
      <c r="CP173" s="11"/>
      <c r="CQ173" s="11"/>
    </row>
    <row r="174" spans="1:99" ht="12" customHeight="1" x14ac:dyDescent="0.2">
      <c r="A174" s="68">
        <v>43916</v>
      </c>
      <c r="B174" s="127"/>
      <c r="C174" s="127"/>
      <c r="D174" s="107"/>
      <c r="E174" s="143"/>
      <c r="F174" s="107"/>
      <c r="G174" s="107"/>
      <c r="H174" s="107"/>
      <c r="I174" s="107"/>
      <c r="J174" s="107"/>
      <c r="K174" s="107"/>
      <c r="L174" s="107"/>
      <c r="M174" s="107"/>
      <c r="N174" s="107"/>
      <c r="O174" s="107"/>
      <c r="P174" s="107"/>
      <c r="Q174" s="107"/>
      <c r="R174" s="69"/>
      <c r="S174" s="107"/>
      <c r="T174" s="107"/>
      <c r="U174" s="60"/>
      <c r="V174" s="107"/>
      <c r="W174" s="69"/>
      <c r="X174" s="107"/>
      <c r="Y174" s="87"/>
      <c r="Z174" s="107"/>
      <c r="AA174" s="107"/>
      <c r="AB174" s="69"/>
      <c r="AC174" s="69"/>
      <c r="AD174" s="69"/>
      <c r="AE174" s="69"/>
      <c r="AF174" s="88"/>
      <c r="AG174" s="72"/>
      <c r="AH174" s="4"/>
      <c r="AI174" s="72"/>
      <c r="AJ174" s="110"/>
      <c r="AK174" s="72"/>
      <c r="AL174" s="72"/>
      <c r="AM174" s="72"/>
      <c r="AN174" s="72"/>
      <c r="AO174" s="72"/>
      <c r="AP174" s="72"/>
      <c r="AQ174" s="89"/>
      <c r="AR174" s="118"/>
      <c r="AS174" s="89"/>
      <c r="AT174" s="89"/>
      <c r="AU174" s="4"/>
      <c r="AV174" s="71">
        <v>1</v>
      </c>
      <c r="AW174" s="71">
        <v>4</v>
      </c>
      <c r="AX174" s="71">
        <v>10</v>
      </c>
    </row>
    <row r="175" spans="1:99" ht="12" customHeight="1" x14ac:dyDescent="0.2">
      <c r="A175" s="68">
        <v>43916</v>
      </c>
      <c r="B175" s="94" t="s">
        <v>552</v>
      </c>
      <c r="C175" s="94" t="s">
        <v>551</v>
      </c>
      <c r="D175" s="92">
        <v>2009</v>
      </c>
      <c r="E175" s="87">
        <v>1</v>
      </c>
      <c r="F175" s="69">
        <v>12</v>
      </c>
      <c r="G175" s="69">
        <v>12</v>
      </c>
      <c r="H175" s="69" t="s">
        <v>557</v>
      </c>
      <c r="I175" s="69" t="s">
        <v>556</v>
      </c>
      <c r="J175" s="69" t="s">
        <v>764</v>
      </c>
      <c r="K175" s="69">
        <f>IF(J175="syllables",1,IF(J175="trigrams",2,IF(J175="strings",3,IF(J175="visual array",4,IF(J175="characters",5,IF(J175="letters",6,IF(J175="free forms",7,IF(J175="odors",8,IF(J175="words",9,IF(J175="pictures",10,IF(J175="object pictures",11,IF(J175="faces",12,IF(J175="names",13,IF(J175="idioms",14,IF(J175="grades",15,IF(J175="syllable-digit pairs",16,IF(J175="trigram-word pairs",17,IF(J175="word-digit pairs",18,IF(J175="English-Swahili pairs",19,IF(J175="spatial position",20,IF(J175="word pairs",21,IF(J175="word triads",22,IF(J175="generated words",23,IF(J175="word definition pairs",24,IF(J175="math problems",25,IF(J175="famous faces",26,IF(J175="famous names",27,IF(J175="famous voices",28,IF(J175="television programs",29,IF(J175="race horses",30,IF(J175="new vocabulary",31,IF(J175="sentences",32,IF(J175="concepts",33,IF(J175="ad slides",34,IF(J175="scenes",35,IF(J175="famous scenes",36,IF(J175="poems",37,IF(J175="walk",38,IF(J175="faces and events",39,IF(J175="events and names",40,IF(J175="flashbulb",41,IF(J175="stories",42,IF(J175="course material",43,IF(J175="autobiographical",44,IF(J175="novels",45,IF(J175="public events",46,"99"))))))))))))))))))))))))))))))))))))))))))))))</f>
        <v>4</v>
      </c>
      <c r="L175" s="69">
        <f>IF(J175="syllables",1,IF(J175="trigrams",1,IF(J175="strings",1,IF(J175="visual array",1,IF(J175="characters",1,IF(J175="letters",1,IF(J175="free forms",1,IF(J175="odors",2,IF(J175="words",2,IF(J175="pictures",2,IF(J175="object pictures",2,IF(J175="faces",2,IF(J175="names",2,IF(J175="idioms","2",IF(J175="grades",2,IF(J175="syllable-digit pairs",3,IF(J175="trigram-word pairs",3,IF(J175="word-digit pairs",3,IF(J175="English-Swahili pairs",3,IF(J175="spatial position",3,IF(J175="word pairs",4,IF(J175="word triads",4,IF(J175="generated words",4,IF(J175="word definition pairs",4,IF(J175="math problems",4,IF(J175="famous faces",4,IF(J175="famous names",4,IF(J175="famous voices",4,IF(J175="television programs",4,IF(J175="race horses",4,IF(J175="new vocabulary",4,IF(J175="sentences",5,IF(J175="concepts",5,IF(J175="ad slides",5,IF(J175="scenes",5,IF(J175="famous scenes",5,IF(J175="poems",6,IF(J175="walk",6,IF(J175="faces and events",6,IF(J175="events and names",6,IF(J175="flashbulb",7,IF(J175="stories",7,IF(J175="course material",7,IF(J175="autobiographical",7,IF(J175="novels",7,IF(J175="public events",7,"99"))))))))))))))))))))))))))))))))))))))))))))))</f>
        <v>1</v>
      </c>
      <c r="M175" s="69">
        <v>0</v>
      </c>
      <c r="N175" s="69">
        <v>1</v>
      </c>
      <c r="O175" s="69">
        <v>0</v>
      </c>
      <c r="P175" s="92"/>
      <c r="Q175" s="69" t="s">
        <v>174</v>
      </c>
      <c r="R175" s="69">
        <f>IF(Q175="Free Recall",1,IF(Q175="Cued Recall",2,IF(Q175="Recognition",3,IF(Q175="Multiple Choice",4,IF(Q175="Savings",5,IF(Q175="Stem Completion",6,IF(Q175="Fragment Completion",7,IF(Q175="anagram solution",8,IF(Q175="Matching",9,IF(Q175="Problem Solving",10,"99"))))))))))</f>
        <v>1</v>
      </c>
      <c r="S175" s="69" t="s">
        <v>295</v>
      </c>
      <c r="T175" s="92" t="s">
        <v>581</v>
      </c>
      <c r="U175" s="60">
        <f>IF(T175="within",1,0)</f>
        <v>1</v>
      </c>
      <c r="V175" s="92">
        <v>150</v>
      </c>
      <c r="W175" s="69">
        <f>F175*V175</f>
        <v>1800</v>
      </c>
      <c r="X175" s="69">
        <v>3</v>
      </c>
      <c r="Y175" s="87">
        <f>AV174</f>
        <v>1</v>
      </c>
      <c r="Z175" s="69" t="s">
        <v>554</v>
      </c>
      <c r="AA175" s="92">
        <v>10</v>
      </c>
      <c r="AB175" s="69" t="str">
        <f>IF(AA175&lt;60,"1",IF(AA175&lt;=43200,"2",IF(AA175&lt;=777600,"3","4")))</f>
        <v>1</v>
      </c>
      <c r="AC175" s="72">
        <f t="shared" ref="AC175" si="16">AVERAGE(AV174:DA174)</f>
        <v>5</v>
      </c>
      <c r="AD175" s="69" t="str">
        <f>IF(AC175&lt;60,"1",IF(AC175&lt;=43200,"2",IF(AC175&lt;=777600,"3","4")))</f>
        <v>1</v>
      </c>
      <c r="AE175" s="87">
        <f>AA175-Y175</f>
        <v>9</v>
      </c>
      <c r="AF175" s="88">
        <f>AV175</f>
        <v>0.6</v>
      </c>
      <c r="AG175" s="72">
        <f>((AW175-AV175)+(AX175-AW175))/2</f>
        <v>-7.0000000000000007E-2</v>
      </c>
      <c r="AH175" s="4"/>
      <c r="AI175" s="72">
        <f>RSQ(AV175:AX175,AV174:AX174)</f>
        <v>0.96013289036544824</v>
      </c>
      <c r="AJ175" s="110">
        <f>SLOPE(AV175:AX175,AV174:AX174)</f>
        <v>-1.6190476190476193E-2</v>
      </c>
      <c r="AK175" s="72">
        <f>INTERCEPT(AV175:AX175,AV174:AX174)</f>
        <v>0.62761904761904774</v>
      </c>
      <c r="AL175" s="72">
        <f>INDEX(LINEST(LN(AV175:AX175),LN(AV174:AX174),TRUE,TRUE),3,1)</f>
        <v>0.75015262170069064</v>
      </c>
      <c r="AM175" s="72">
        <f>INDEX(LINEST(LN(AV175:AX175),LN(AV174:AX174)),1)</f>
        <v>-0.10804502759734136</v>
      </c>
      <c r="AN175" s="72">
        <f>EXP(INDEX(LINEST(LN(AV175:AX175),LN(AV174:AX174)),1,2))</f>
        <v>0.6201221306467396</v>
      </c>
      <c r="AO175" s="89">
        <f>INDEX(LINEST((AV175:AX175),LN(AV174:AX174),TRUE,TRUE),3,1)</f>
        <v>0.7630009254687028</v>
      </c>
      <c r="AP175" s="89">
        <f>INDEX(LINEST((AV175:AX175),LN(AV174:AX174)),1)</f>
        <v>-5.7053905033116026E-2</v>
      </c>
      <c r="AQ175" s="90">
        <f t="shared" ref="AQ175" si="17">INDEX(LINEST(LN(AV175:AX175),SQRT(AV174:AX174),TRUE,TRUE),3,1)</f>
        <v>0.87404263347715105</v>
      </c>
      <c r="AR175" s="117">
        <f t="shared" ref="AR175" si="18">INDEX(LINEST(LN(AV175:AX175),SQRT((AV174:AX174))),1)</f>
        <v>-0.1249361906101744</v>
      </c>
      <c r="AS175" s="91">
        <f t="shared" ref="AS175" si="19">INDEX(LINEST(1/(AV175:AX175),1/(SQRT(AV174:AX174)),TRUE,TRUE),3,1)</f>
        <v>0.60375758475279429</v>
      </c>
      <c r="AT175" s="91">
        <f t="shared" ref="AT175" si="20">INDEX(LINEST(1/(AV175:AX175),1/SQRT(AV174:AX174)),1)</f>
        <v>-0.60990631041617172</v>
      </c>
      <c r="AU175" s="3"/>
      <c r="AV175" s="73">
        <f>1-0.4</f>
        <v>0.6</v>
      </c>
      <c r="AW175" s="73">
        <f>1-0.42</f>
        <v>0.58000000000000007</v>
      </c>
      <c r="AX175" s="73">
        <f>1-0.54</f>
        <v>0.45999999999999996</v>
      </c>
    </row>
    <row r="176" spans="1:99" ht="12" customHeight="1" x14ac:dyDescent="0.2">
      <c r="R176" s="60"/>
      <c r="U176" s="60"/>
      <c r="W176" s="60"/>
      <c r="Y176" s="76"/>
      <c r="AB176" s="60"/>
      <c r="AD176" s="60"/>
      <c r="AE176" s="60"/>
      <c r="AF176" s="80"/>
    </row>
    <row r="177" spans="11:39" ht="12" customHeight="1" x14ac:dyDescent="0.2">
      <c r="K177" s="60"/>
      <c r="R177" s="60"/>
      <c r="U177" s="60"/>
      <c r="Y177" s="64"/>
      <c r="AB177" s="60"/>
      <c r="AD177" s="60"/>
      <c r="AE177" s="77"/>
      <c r="AF177" s="57"/>
      <c r="AL177" s="167" t="s">
        <v>695</v>
      </c>
      <c r="AM177" s="57">
        <f>AVERAGE(AM3:AM175)</f>
        <v>-0.12610322453497724</v>
      </c>
    </row>
    <row r="178" spans="11:39" ht="12" customHeight="1" x14ac:dyDescent="0.2">
      <c r="R178" s="60"/>
      <c r="Y178" s="64"/>
      <c r="AB178" s="60"/>
      <c r="AD178" s="60"/>
      <c r="AF178" s="64"/>
      <c r="AL178" s="45" t="s">
        <v>1026</v>
      </c>
      <c r="AM178" s="57">
        <f>MEDIAN(AM3:AM175)</f>
        <v>-6.2054385278598211E-2</v>
      </c>
    </row>
    <row r="179" spans="11:39" ht="12" customHeight="1" x14ac:dyDescent="0.2">
      <c r="K179" s="60"/>
      <c r="R179" s="60"/>
      <c r="Y179" s="64"/>
      <c r="AB179" s="60"/>
      <c r="AD179" s="60"/>
      <c r="AF179" s="64"/>
      <c r="AL179" s="167" t="s">
        <v>918</v>
      </c>
      <c r="AM179" s="57">
        <f>MIN(AM3:AM175)</f>
        <v>-0.84874543272433944</v>
      </c>
    </row>
    <row r="180" spans="11:39" ht="12" customHeight="1" x14ac:dyDescent="0.2">
      <c r="R180" s="60"/>
      <c r="Y180" s="64"/>
      <c r="AB180" s="60"/>
      <c r="AD180" s="60"/>
      <c r="AF180" s="57"/>
      <c r="AL180" s="167" t="s">
        <v>917</v>
      </c>
      <c r="AM180" s="57">
        <f>MAX(AM3:AM175)</f>
        <v>-3.9743751452330058E-3</v>
      </c>
    </row>
    <row r="181" spans="11:39" ht="12" customHeight="1" x14ac:dyDescent="0.2">
      <c r="K181" s="60"/>
      <c r="R181" s="60"/>
      <c r="Y181" s="64"/>
      <c r="AB181" s="60"/>
      <c r="AD181" s="60"/>
      <c r="AF181" s="64"/>
      <c r="AL181" s="167" t="s">
        <v>919</v>
      </c>
      <c r="AM181" s="64">
        <f xml:space="preserve"> STDEV(AM3:AM173)</f>
        <v>0.18811301445939366</v>
      </c>
    </row>
    <row r="182" spans="11:39" ht="12" customHeight="1" x14ac:dyDescent="0.2">
      <c r="R182" s="60"/>
      <c r="W182" s="60"/>
      <c r="Y182" s="76"/>
      <c r="AB182" s="60"/>
      <c r="AD182" s="60"/>
      <c r="AE182" s="60"/>
      <c r="AF182" s="80"/>
      <c r="AL182" s="45" t="s">
        <v>1025</v>
      </c>
      <c r="AM182" s="64">
        <f xml:space="preserve"> STDEV(AM3:AM175)/SQRT(COUNT(AM3:AM175))</f>
        <v>2.0283046127661835E-2</v>
      </c>
    </row>
    <row r="183" spans="11:39" ht="12" customHeight="1" x14ac:dyDescent="0.2">
      <c r="K183" s="60"/>
      <c r="R183" s="60"/>
      <c r="W183" s="60"/>
      <c r="Y183" s="76"/>
      <c r="AB183" s="60"/>
      <c r="AD183" s="60"/>
      <c r="AE183" s="76"/>
      <c r="AF183" s="80"/>
      <c r="AL183" s="168"/>
      <c r="AM183" s="169"/>
    </row>
    <row r="184" spans="11:39" ht="12" customHeight="1" x14ac:dyDescent="0.2">
      <c r="R184" s="60"/>
      <c r="W184" s="60"/>
      <c r="Y184" s="76"/>
      <c r="AB184" s="60"/>
      <c r="AD184" s="60"/>
      <c r="AE184" s="60"/>
      <c r="AF184" s="80"/>
      <c r="AL184" s="168" t="s">
        <v>132</v>
      </c>
      <c r="AM184" s="169">
        <f>AM177-(3*AM181)</f>
        <v>-0.69044226791315821</v>
      </c>
    </row>
    <row r="185" spans="11:39" ht="12" customHeight="1" x14ac:dyDescent="0.2">
      <c r="K185" s="60"/>
      <c r="L185" s="60"/>
      <c r="R185" s="60"/>
      <c r="W185" s="60"/>
      <c r="Y185" s="76"/>
      <c r="AB185" s="60"/>
      <c r="AE185" s="76"/>
      <c r="AF185" s="80"/>
      <c r="AL185" s="168" t="s">
        <v>130</v>
      </c>
      <c r="AM185" s="169">
        <f>AM177+(3*AM181)</f>
        <v>0.43823581884320373</v>
      </c>
    </row>
    <row r="186" spans="11:39" ht="12" customHeight="1" x14ac:dyDescent="0.2">
      <c r="R186" s="60"/>
      <c r="W186" s="60"/>
      <c r="Y186" s="76"/>
      <c r="AB186" s="60"/>
      <c r="AE186" s="60"/>
      <c r="AF186" s="80"/>
    </row>
    <row r="187" spans="11:39" ht="12" customHeight="1" x14ac:dyDescent="0.2">
      <c r="K187" s="60"/>
      <c r="L187" s="60"/>
      <c r="R187" s="60"/>
      <c r="W187" s="60"/>
      <c r="Y187" s="76"/>
      <c r="AB187" s="60"/>
      <c r="AE187" s="76"/>
      <c r="AF187" s="80"/>
    </row>
    <row r="188" spans="11:39" ht="12" customHeight="1" x14ac:dyDescent="0.2">
      <c r="R188" s="60"/>
      <c r="W188" s="60"/>
      <c r="Y188" s="76"/>
      <c r="AB188" s="60"/>
      <c r="AE188" s="60"/>
      <c r="AF188" s="80"/>
      <c r="AM188" s="72">
        <f>INDEX(LINEST(LN(AV41:BA41),LN(AV40:BA40)),1)</f>
        <v>-1.3114119812826739</v>
      </c>
    </row>
    <row r="189" spans="11:39" ht="12" customHeight="1" x14ac:dyDescent="0.2">
      <c r="K189" s="60"/>
      <c r="L189" s="60"/>
      <c r="R189" s="60"/>
      <c r="W189" s="60"/>
      <c r="Y189" s="76"/>
      <c r="AB189" s="60"/>
      <c r="AE189" s="76"/>
      <c r="AF189" s="80"/>
      <c r="AM189" s="72">
        <f>INDEX(LINEST(LN(AV145:AY145),LN(AV144:AY144)),1)</f>
        <v>-1.0788080782104132</v>
      </c>
    </row>
    <row r="190" spans="11:39" ht="12" customHeight="1" x14ac:dyDescent="0.2">
      <c r="R190" s="60"/>
      <c r="W190" s="60"/>
      <c r="Y190" s="76"/>
      <c r="AB190" s="60"/>
      <c r="AE190" s="60"/>
      <c r="AF190" s="80"/>
    </row>
    <row r="191" spans="11:39" ht="12" customHeight="1" x14ac:dyDescent="0.2">
      <c r="K191" s="60"/>
      <c r="L191" s="60"/>
      <c r="R191" s="60"/>
      <c r="W191" s="60"/>
      <c r="Y191" s="76"/>
      <c r="AB191" s="60"/>
      <c r="AE191" s="76"/>
      <c r="AF191" s="80"/>
    </row>
    <row r="192" spans="11:39" ht="12" customHeight="1" x14ac:dyDescent="0.2">
      <c r="R192" s="60"/>
      <c r="W192" s="60"/>
      <c r="Y192" s="76"/>
      <c r="AB192" s="60"/>
      <c r="AE192" s="60"/>
      <c r="AF192" s="80"/>
    </row>
    <row r="193" spans="11:32" ht="12" customHeight="1" x14ac:dyDescent="0.2">
      <c r="K193" s="60"/>
      <c r="L193" s="60"/>
      <c r="R193" s="60"/>
      <c r="W193" s="60"/>
      <c r="Y193" s="76"/>
      <c r="AB193" s="60"/>
      <c r="AE193" s="76"/>
      <c r="AF193" s="80"/>
    </row>
    <row r="194" spans="11:32" ht="12" customHeight="1" x14ac:dyDescent="0.2">
      <c r="R194" s="60"/>
      <c r="W194" s="60"/>
      <c r="Y194" s="76"/>
      <c r="AB194" s="60"/>
      <c r="AE194" s="60"/>
      <c r="AF194" s="80"/>
    </row>
    <row r="195" spans="11:32" ht="12" customHeight="1" x14ac:dyDescent="0.2">
      <c r="K195" s="60"/>
      <c r="L195" s="60"/>
      <c r="R195" s="60"/>
      <c r="W195" s="60"/>
      <c r="Y195" s="76"/>
      <c r="AB195" s="60"/>
      <c r="AE195" s="76"/>
      <c r="AF195" s="80"/>
    </row>
    <row r="196" spans="11:32" ht="12" customHeight="1" x14ac:dyDescent="0.2">
      <c r="R196" s="60"/>
      <c r="W196" s="60"/>
      <c r="Y196" s="76"/>
      <c r="AB196" s="60"/>
      <c r="AE196" s="60"/>
      <c r="AF196" s="80"/>
    </row>
    <row r="197" spans="11:32" ht="12" customHeight="1" x14ac:dyDescent="0.2">
      <c r="K197" s="60"/>
      <c r="L197" s="60"/>
      <c r="R197" s="60"/>
      <c r="W197" s="60"/>
      <c r="Y197" s="76"/>
      <c r="AB197" s="60"/>
      <c r="AE197" s="76"/>
      <c r="AF197" s="80"/>
    </row>
    <row r="198" spans="11:32" ht="12" customHeight="1" x14ac:dyDescent="0.2">
      <c r="R198" s="60"/>
      <c r="W198" s="60"/>
      <c r="Y198" s="76"/>
      <c r="AB198" s="60"/>
      <c r="AE198" s="60"/>
      <c r="AF198" s="80"/>
    </row>
    <row r="199" spans="11:32" ht="12" customHeight="1" x14ac:dyDescent="0.2">
      <c r="K199" s="60"/>
      <c r="L199" s="60"/>
      <c r="R199" s="60"/>
      <c r="W199" s="60"/>
      <c r="Y199" s="76"/>
      <c r="AB199" s="60"/>
      <c r="AE199" s="76"/>
      <c r="AF199" s="80"/>
    </row>
    <row r="200" spans="11:32" ht="12" customHeight="1" x14ac:dyDescent="0.2">
      <c r="R200" s="60"/>
      <c r="W200" s="60"/>
      <c r="Y200" s="76"/>
      <c r="AB200" s="60"/>
      <c r="AE200" s="60"/>
      <c r="AF200" s="80"/>
    </row>
    <row r="201" spans="11:32" ht="12" customHeight="1" x14ac:dyDescent="0.2">
      <c r="K201" s="60"/>
      <c r="L201" s="60"/>
      <c r="R201" s="60"/>
      <c r="W201" s="60"/>
      <c r="Y201" s="76"/>
      <c r="AB201" s="60"/>
      <c r="AE201" s="76"/>
      <c r="AF201" s="80"/>
    </row>
    <row r="202" spans="11:32" ht="12" customHeight="1" x14ac:dyDescent="0.2">
      <c r="R202" s="60"/>
      <c r="W202" s="60"/>
      <c r="Y202" s="76"/>
      <c r="AB202" s="60"/>
      <c r="AE202" s="60"/>
      <c r="AF202" s="80"/>
    </row>
    <row r="203" spans="11:32" ht="12" customHeight="1" x14ac:dyDescent="0.2">
      <c r="K203" s="60"/>
      <c r="L203" s="60"/>
      <c r="R203" s="60"/>
      <c r="W203" s="60"/>
      <c r="Y203" s="76"/>
      <c r="AB203" s="60"/>
      <c r="AE203" s="76"/>
      <c r="AF203" s="80"/>
    </row>
    <row r="204" spans="11:32" ht="12" customHeight="1" x14ac:dyDescent="0.2">
      <c r="R204" s="60"/>
      <c r="W204" s="60"/>
      <c r="Y204" s="76"/>
      <c r="AB204" s="60"/>
      <c r="AE204" s="60"/>
      <c r="AF204" s="80"/>
    </row>
    <row r="205" spans="11:32" ht="12" customHeight="1" x14ac:dyDescent="0.2">
      <c r="K205" s="60"/>
      <c r="L205" s="60"/>
      <c r="R205" s="60"/>
      <c r="W205" s="60"/>
      <c r="Y205" s="76"/>
      <c r="AB205" s="60"/>
      <c r="AE205" s="76"/>
      <c r="AF205" s="80"/>
    </row>
    <row r="206" spans="11:32" ht="12" customHeight="1" x14ac:dyDescent="0.2">
      <c r="R206" s="60"/>
      <c r="W206" s="60"/>
      <c r="Y206" s="76"/>
      <c r="AB206" s="60"/>
      <c r="AE206" s="60"/>
      <c r="AF206" s="80"/>
    </row>
    <row r="207" spans="11:32" ht="12" customHeight="1" x14ac:dyDescent="0.2">
      <c r="K207" s="60"/>
      <c r="L207" s="60"/>
      <c r="R207" s="60"/>
      <c r="W207" s="60"/>
      <c r="Y207" s="76"/>
      <c r="AB207" s="60"/>
      <c r="AE207" s="76"/>
      <c r="AF207" s="80"/>
    </row>
    <row r="208" spans="11:32" ht="12" customHeight="1" x14ac:dyDescent="0.2">
      <c r="W208" s="60"/>
      <c r="Y208" s="76"/>
      <c r="AB208" s="60"/>
      <c r="AE208" s="60"/>
      <c r="AF208" s="80"/>
    </row>
    <row r="209" spans="11:32" ht="12" customHeight="1" x14ac:dyDescent="0.2">
      <c r="K209" s="60"/>
      <c r="L209" s="60"/>
      <c r="W209" s="60"/>
      <c r="Y209" s="76"/>
      <c r="AE209" s="76"/>
      <c r="AF209" s="80"/>
    </row>
    <row r="210" spans="11:32" ht="12" customHeight="1" x14ac:dyDescent="0.2">
      <c r="W210" s="60"/>
      <c r="Y210" s="76"/>
      <c r="AE210" s="60"/>
      <c r="AF210" s="80"/>
    </row>
    <row r="211" spans="11:32" ht="12" customHeight="1" x14ac:dyDescent="0.2">
      <c r="K211" s="60"/>
      <c r="L211" s="60"/>
      <c r="W211" s="60"/>
      <c r="Y211" s="76"/>
      <c r="AE211" s="76"/>
      <c r="AF211" s="80"/>
    </row>
    <row r="212" spans="11:32" ht="12" customHeight="1" x14ac:dyDescent="0.2">
      <c r="W212" s="60"/>
      <c r="Y212" s="76"/>
      <c r="AE212" s="60"/>
      <c r="AF212" s="80"/>
    </row>
    <row r="213" spans="11:32" ht="12" customHeight="1" x14ac:dyDescent="0.2">
      <c r="K213" s="60"/>
      <c r="L213" s="60"/>
      <c r="W213" s="60"/>
      <c r="Y213" s="76"/>
      <c r="AE213" s="76"/>
      <c r="AF213" s="80"/>
    </row>
    <row r="214" spans="11:32" ht="12" customHeight="1" x14ac:dyDescent="0.2">
      <c r="W214" s="60"/>
      <c r="Y214" s="76"/>
      <c r="AE214" s="60"/>
      <c r="AF214" s="80"/>
    </row>
    <row r="215" spans="11:32" ht="12" customHeight="1" x14ac:dyDescent="0.2">
      <c r="K215" s="60"/>
      <c r="L215" s="60"/>
      <c r="W215" s="60"/>
      <c r="Y215" s="76"/>
      <c r="AE215" s="76"/>
      <c r="AF215" s="80"/>
    </row>
    <row r="217" spans="11:32" ht="12" customHeight="1" x14ac:dyDescent="0.2">
      <c r="K217" s="60"/>
      <c r="L217" s="60"/>
    </row>
  </sheetData>
  <conditionalFormatting sqref="AC24 AC26 AC28 AC30 AC32 AC34 AC36 AC38 AC40 AC42 AC44 AC46 AC48 AC50 AC52 AC60 AC62 AC64 AC66 AC68 AC70 AC72 AC74 AC76 AC78 AC80 AC82 AC84 AC88 AC90 AC92 AC94 AC96 AC98 AC132 AC138 AC140 AC154 AC156 AC158 AC160 AC162 AC164 AC166 AC168 AC170 AG38 AG36 AG34 AG32 AG30 AG28 AG26 AG24 AG52 AG50 AG48 AG46 AG44 AG42 AG40 AG84 AG82 AG80 AG78 AG76 AG74 AG72 AG70 AG68 AG66 AG64 AG62 AG60 AG98 AG96 AG94 AG92 AG90 AG88 AG140 AG138 AG132 AG166 AG164 AG162 AG160 AG158 AG156 AG154 AG170 AG168 E18:I18">
    <cfRule type="expression" dxfId="2051" priority="186">
      <formula>MOD(ROW(),2)=1</formula>
    </cfRule>
  </conditionalFormatting>
  <conditionalFormatting sqref="J18">
    <cfRule type="expression" dxfId="2050" priority="185">
      <formula>MOD(ROW(),2)=1</formula>
    </cfRule>
  </conditionalFormatting>
  <conditionalFormatting sqref="I22:J22">
    <cfRule type="expression" dxfId="2049" priority="184">
      <formula>MOD(ROW(),2)=1</formula>
    </cfRule>
  </conditionalFormatting>
  <conditionalFormatting sqref="AC150 AG150">
    <cfRule type="expression" dxfId="2048" priority="182">
      <formula>MOD(ROW(),2)=1</formula>
    </cfRule>
  </conditionalFormatting>
  <conditionalFormatting sqref="AC152 AG152">
    <cfRule type="expression" dxfId="2047" priority="180">
      <formula>MOD(ROW(),2)=1</formula>
    </cfRule>
  </conditionalFormatting>
  <conditionalFormatting sqref="AC174 AG174">
    <cfRule type="expression" dxfId="2046" priority="177">
      <formula>MOD(ROW(),2)=1</formula>
    </cfRule>
  </conditionalFormatting>
  <conditionalFormatting sqref="AC112 AG112">
    <cfRule type="expression" dxfId="2045" priority="170">
      <formula>MOD(ROW(),2)=1</formula>
    </cfRule>
  </conditionalFormatting>
  <conditionalFormatting sqref="AC172 AG172">
    <cfRule type="expression" dxfId="2044" priority="178">
      <formula>MOD(ROW(),2)=1</formula>
    </cfRule>
  </conditionalFormatting>
  <conditionalFormatting sqref="AC120 AG120">
    <cfRule type="expression" dxfId="2043" priority="166">
      <formula>MOD(ROW(),2)=1</formula>
    </cfRule>
  </conditionalFormatting>
  <conditionalFormatting sqref="AC100 AG100">
    <cfRule type="expression" dxfId="2042" priority="176">
      <formula>MOD(ROW(),2)=1</formula>
    </cfRule>
  </conditionalFormatting>
  <conditionalFormatting sqref="AC102 AG102">
    <cfRule type="expression" dxfId="2041" priority="175">
      <formula>MOD(ROW(),2)=1</formula>
    </cfRule>
  </conditionalFormatting>
  <conditionalFormatting sqref="AC104 AG104">
    <cfRule type="expression" dxfId="2040" priority="174">
      <formula>MOD(ROW(),2)=1</formula>
    </cfRule>
  </conditionalFormatting>
  <conditionalFormatting sqref="AC106 AG106">
    <cfRule type="expression" dxfId="2039" priority="173">
      <formula>MOD(ROW(),2)=1</formula>
    </cfRule>
  </conditionalFormatting>
  <conditionalFormatting sqref="AC108 AG108">
    <cfRule type="expression" dxfId="2038" priority="172">
      <formula>MOD(ROW(),2)=1</formula>
    </cfRule>
  </conditionalFormatting>
  <conditionalFormatting sqref="AC110 AG110">
    <cfRule type="expression" dxfId="2037" priority="171">
      <formula>MOD(ROW(),2)=1</formula>
    </cfRule>
  </conditionalFormatting>
  <conditionalFormatting sqref="AC128 AG128">
    <cfRule type="expression" dxfId="2036" priority="162">
      <formula>MOD(ROW(),2)=1</formula>
    </cfRule>
  </conditionalFormatting>
  <conditionalFormatting sqref="AC114 AG114">
    <cfRule type="expression" dxfId="2035" priority="169">
      <formula>MOD(ROW(),2)=1</formula>
    </cfRule>
  </conditionalFormatting>
  <conditionalFormatting sqref="AC116 AG116">
    <cfRule type="expression" dxfId="2034" priority="168">
      <formula>MOD(ROW(),2)=1</formula>
    </cfRule>
  </conditionalFormatting>
  <conditionalFormatting sqref="AC118 AG118">
    <cfRule type="expression" dxfId="2033" priority="167">
      <formula>MOD(ROW(),2)=1</formula>
    </cfRule>
  </conditionalFormatting>
  <conditionalFormatting sqref="AC122 AG122">
    <cfRule type="expression" dxfId="2032" priority="165">
      <formula>MOD(ROW(),2)=1</formula>
    </cfRule>
  </conditionalFormatting>
  <conditionalFormatting sqref="AC124 AG124">
    <cfRule type="expression" dxfId="2031" priority="164">
      <formula>MOD(ROW(),2)=1</formula>
    </cfRule>
  </conditionalFormatting>
  <conditionalFormatting sqref="AC126 AG126">
    <cfRule type="expression" dxfId="2030" priority="163">
      <formula>MOD(ROW(),2)=1</formula>
    </cfRule>
  </conditionalFormatting>
  <conditionalFormatting sqref="AB6">
    <cfRule type="expression" dxfId="2029" priority="161">
      <formula>MOD(ROW(),2)=1</formula>
    </cfRule>
  </conditionalFormatting>
  <conditionalFormatting sqref="AB90">
    <cfRule type="expression" dxfId="2028" priority="160">
      <formula>MOD(ROW(),2)=1</formula>
    </cfRule>
  </conditionalFormatting>
  <conditionalFormatting sqref="AD2">
    <cfRule type="expression" dxfId="2027" priority="159">
      <formula>MOD(ROW(),2)=1</formula>
    </cfRule>
  </conditionalFormatting>
  <conditionalFormatting sqref="AD16">
    <cfRule type="expression" dxfId="2026" priority="158">
      <formula>MOD(ROW(),2)=1</formula>
    </cfRule>
  </conditionalFormatting>
  <conditionalFormatting sqref="AD38">
    <cfRule type="expression" dxfId="2025" priority="156">
      <formula>MOD(ROW(),2)=1</formula>
    </cfRule>
  </conditionalFormatting>
  <conditionalFormatting sqref="AD40 AD42">
    <cfRule type="expression" dxfId="2024" priority="155">
      <formula>MOD(ROW(),2)=1</formula>
    </cfRule>
  </conditionalFormatting>
  <conditionalFormatting sqref="AD68 AD70 AD72 AD74 AD76 AD78 AD80 AD82">
    <cfRule type="expression" dxfId="2023" priority="154">
      <formula>MOD(ROW(),2)=1</formula>
    </cfRule>
  </conditionalFormatting>
  <conditionalFormatting sqref="AD88 AD90 AD112 AD114 AD116 AD118 AD120 AD122 AD124 AD126 AD128 AD92">
    <cfRule type="expression" dxfId="2022" priority="153">
      <formula>MOD(ROW(),2)=1</formula>
    </cfRule>
  </conditionalFormatting>
  <conditionalFormatting sqref="AD130">
    <cfRule type="expression" dxfId="2021" priority="152">
      <formula>MOD(ROW(),2)=1</formula>
    </cfRule>
  </conditionalFormatting>
  <conditionalFormatting sqref="AD132 AD138 AD140 AD150">
    <cfRule type="expression" dxfId="2020" priority="151">
      <formula>MOD(ROW(),2)=1</formula>
    </cfRule>
  </conditionalFormatting>
  <conditionalFormatting sqref="AD154 AD156 AD158 AD160 AD162 AD164 AD166">
    <cfRule type="expression" dxfId="2019" priority="150">
      <formula>MOD(ROW(),2)=1</formula>
    </cfRule>
  </conditionalFormatting>
  <conditionalFormatting sqref="AD168 AD172 AD174 AD176 AD178 AD180 AD182 AD170">
    <cfRule type="expression" dxfId="2018" priority="149">
      <formula>MOD(ROW(),2)=1</formula>
    </cfRule>
  </conditionalFormatting>
  <conditionalFormatting sqref="Y2">
    <cfRule type="expression" dxfId="2017" priority="148">
      <formula>MOD(ROW(),2)=1</formula>
    </cfRule>
  </conditionalFormatting>
  <conditionalFormatting sqref="Y6">
    <cfRule type="expression" dxfId="2016" priority="147">
      <formula>MOD(ROW(),2)=1</formula>
    </cfRule>
  </conditionalFormatting>
  <conditionalFormatting sqref="Y10">
    <cfRule type="expression" dxfId="2015" priority="146">
      <formula>MOD(ROW(),2)=1</formula>
    </cfRule>
  </conditionalFormatting>
  <conditionalFormatting sqref="Y16">
    <cfRule type="expression" dxfId="2014" priority="145">
      <formula>MOD(ROW(),2)=1</formula>
    </cfRule>
  </conditionalFormatting>
  <conditionalFormatting sqref="Y18">
    <cfRule type="expression" dxfId="2013" priority="142">
      <formula>MOD(ROW(),2)=1</formula>
    </cfRule>
  </conditionalFormatting>
  <conditionalFormatting sqref="Y26">
    <cfRule type="expression" dxfId="2012" priority="141">
      <formula>MOD(ROW(),2)=1</formula>
    </cfRule>
  </conditionalFormatting>
  <conditionalFormatting sqref="Y30">
    <cfRule type="expression" dxfId="2011" priority="140">
      <formula>MOD(ROW(),2)=1</formula>
    </cfRule>
  </conditionalFormatting>
  <conditionalFormatting sqref="Y34">
    <cfRule type="expression" dxfId="2010" priority="139">
      <formula>MOD(ROW(),2)=1</formula>
    </cfRule>
  </conditionalFormatting>
  <conditionalFormatting sqref="Y38">
    <cfRule type="expression" dxfId="2009" priority="138">
      <formula>MOD(ROW(),2)=1</formula>
    </cfRule>
  </conditionalFormatting>
  <conditionalFormatting sqref="Y42">
    <cfRule type="expression" dxfId="2008" priority="137">
      <formula>MOD(ROW(),2)=1</formula>
    </cfRule>
  </conditionalFormatting>
  <conditionalFormatting sqref="Y46">
    <cfRule type="expression" dxfId="2007" priority="136">
      <formula>MOD(ROW(),2)=1</formula>
    </cfRule>
  </conditionalFormatting>
  <conditionalFormatting sqref="Y50">
    <cfRule type="expression" dxfId="2006" priority="135">
      <formula>MOD(ROW(),2)=1</formula>
    </cfRule>
  </conditionalFormatting>
  <conditionalFormatting sqref="Y60">
    <cfRule type="expression" dxfId="2005" priority="134">
      <formula>MOD(ROW(),2)=1</formula>
    </cfRule>
  </conditionalFormatting>
  <conditionalFormatting sqref="Y64">
    <cfRule type="expression" dxfId="2004" priority="133">
      <formula>MOD(ROW(),2)=1</formula>
    </cfRule>
  </conditionalFormatting>
  <conditionalFormatting sqref="Y68">
    <cfRule type="expression" dxfId="2003" priority="132">
      <formula>MOD(ROW(),2)=1</formula>
    </cfRule>
  </conditionalFormatting>
  <conditionalFormatting sqref="Y70">
    <cfRule type="expression" dxfId="2002" priority="131">
      <formula>MOD(ROW(),2)=1</formula>
    </cfRule>
  </conditionalFormatting>
  <conditionalFormatting sqref="Y74">
    <cfRule type="expression" dxfId="2001" priority="130">
      <formula>MOD(ROW(),2)=1</formula>
    </cfRule>
  </conditionalFormatting>
  <conditionalFormatting sqref="Y78">
    <cfRule type="expression" dxfId="2000" priority="129">
      <formula>MOD(ROW(),2)=1</formula>
    </cfRule>
  </conditionalFormatting>
  <conditionalFormatting sqref="Y82">
    <cfRule type="expression" dxfId="1999" priority="128">
      <formula>MOD(ROW(),2)=1</formula>
    </cfRule>
  </conditionalFormatting>
  <conditionalFormatting sqref="Y88">
    <cfRule type="expression" dxfId="1998" priority="127">
      <formula>MOD(ROW(),2)=1</formula>
    </cfRule>
  </conditionalFormatting>
  <conditionalFormatting sqref="Y92">
    <cfRule type="expression" dxfId="1997" priority="126">
      <formula>MOD(ROW(),2)=1</formula>
    </cfRule>
  </conditionalFormatting>
  <conditionalFormatting sqref="Y96">
    <cfRule type="expression" dxfId="1996" priority="125">
      <formula>MOD(ROW(),2)=1</formula>
    </cfRule>
  </conditionalFormatting>
  <conditionalFormatting sqref="Y100">
    <cfRule type="expression" dxfId="1995" priority="124">
      <formula>MOD(ROW(),2)=1</formula>
    </cfRule>
  </conditionalFormatting>
  <conditionalFormatting sqref="Y104">
    <cfRule type="expression" dxfId="1994" priority="123">
      <formula>MOD(ROW(),2)=1</formula>
    </cfRule>
  </conditionalFormatting>
  <conditionalFormatting sqref="Y108">
    <cfRule type="expression" dxfId="1993" priority="122">
      <formula>MOD(ROW(),2)=1</formula>
    </cfRule>
  </conditionalFormatting>
  <conditionalFormatting sqref="Y112">
    <cfRule type="expression" dxfId="1992" priority="121">
      <formula>MOD(ROW(),2)=1</formula>
    </cfRule>
  </conditionalFormatting>
  <conditionalFormatting sqref="Y116">
    <cfRule type="expression" dxfId="1991" priority="120">
      <formula>MOD(ROW(),2)=1</formula>
    </cfRule>
  </conditionalFormatting>
  <conditionalFormatting sqref="Y120">
    <cfRule type="expression" dxfId="1990" priority="119">
      <formula>MOD(ROW(),2)=1</formula>
    </cfRule>
  </conditionalFormatting>
  <conditionalFormatting sqref="Y124">
    <cfRule type="expression" dxfId="1989" priority="118">
      <formula>MOD(ROW(),2)=1</formula>
    </cfRule>
  </conditionalFormatting>
  <conditionalFormatting sqref="Y128">
    <cfRule type="expression" dxfId="1988" priority="117">
      <formula>MOD(ROW(),2)=1</formula>
    </cfRule>
  </conditionalFormatting>
  <conditionalFormatting sqref="Y138">
    <cfRule type="expression" dxfId="1987" priority="116">
      <formula>MOD(ROW(),2)=1</formula>
    </cfRule>
  </conditionalFormatting>
  <conditionalFormatting sqref="Y154">
    <cfRule type="expression" dxfId="1986" priority="112">
      <formula>MOD(ROW(),2)=1</formula>
    </cfRule>
  </conditionalFormatting>
  <conditionalFormatting sqref="Y158">
    <cfRule type="expression" dxfId="1985" priority="111">
      <formula>MOD(ROW(),2)=1</formula>
    </cfRule>
  </conditionalFormatting>
  <conditionalFormatting sqref="Y162">
    <cfRule type="expression" dxfId="1984" priority="110">
      <formula>MOD(ROW(),2)=1</formula>
    </cfRule>
  </conditionalFormatting>
  <conditionalFormatting sqref="Y166">
    <cfRule type="expression" dxfId="1983" priority="109">
      <formula>MOD(ROW(),2)=1</formula>
    </cfRule>
  </conditionalFormatting>
  <conditionalFormatting sqref="Y170">
    <cfRule type="expression" dxfId="1982" priority="108">
      <formula>MOD(ROW(),2)=1</formula>
    </cfRule>
  </conditionalFormatting>
  <conditionalFormatting sqref="Y174">
    <cfRule type="expression" dxfId="1981" priority="107">
      <formula>MOD(ROW(),2)=1</formula>
    </cfRule>
  </conditionalFormatting>
  <conditionalFormatting sqref="Y182">
    <cfRule type="expression" dxfId="1980" priority="106">
      <formula>MOD(ROW(),2)=1</formula>
    </cfRule>
  </conditionalFormatting>
  <conditionalFormatting sqref="Y186">
    <cfRule type="expression" dxfId="1979" priority="105">
      <formula>MOD(ROW(),2)=1</formula>
    </cfRule>
  </conditionalFormatting>
  <conditionalFormatting sqref="Y190">
    <cfRule type="expression" dxfId="1978" priority="104">
      <formula>MOD(ROW(),2)=1</formula>
    </cfRule>
  </conditionalFormatting>
  <conditionalFormatting sqref="Y194">
    <cfRule type="expression" dxfId="1977" priority="103">
      <formula>MOD(ROW(),2)=1</formula>
    </cfRule>
  </conditionalFormatting>
  <conditionalFormatting sqref="Y198">
    <cfRule type="expression" dxfId="1976" priority="102">
      <formula>MOD(ROW(),2)=1</formula>
    </cfRule>
  </conditionalFormatting>
  <conditionalFormatting sqref="Y202">
    <cfRule type="expression" dxfId="1975" priority="101">
      <formula>MOD(ROW(),2)=1</formula>
    </cfRule>
  </conditionalFormatting>
  <conditionalFormatting sqref="Y206">
    <cfRule type="expression" dxfId="1974" priority="100">
      <formula>MOD(ROW(),2)=1</formula>
    </cfRule>
  </conditionalFormatting>
  <conditionalFormatting sqref="Y210">
    <cfRule type="expression" dxfId="1973" priority="99">
      <formula>MOD(ROW(),2)=1</formula>
    </cfRule>
  </conditionalFormatting>
  <conditionalFormatting sqref="Y214">
    <cfRule type="expression" dxfId="1972" priority="98">
      <formula>MOD(ROW(),2)=1</formula>
    </cfRule>
  </conditionalFormatting>
  <conditionalFormatting sqref="W2">
    <cfRule type="expression" dxfId="1971" priority="97">
      <formula>MOD(ROW(),2)=1</formula>
    </cfRule>
  </conditionalFormatting>
  <conditionalFormatting sqref="W6">
    <cfRule type="expression" dxfId="1970" priority="96">
      <formula>MOD(ROW(),2)=1</formula>
    </cfRule>
  </conditionalFormatting>
  <conditionalFormatting sqref="W10">
    <cfRule type="expression" dxfId="1969" priority="95">
      <formula>MOD(ROW(),2)=1</formula>
    </cfRule>
  </conditionalFormatting>
  <conditionalFormatting sqref="W16">
    <cfRule type="expression" dxfId="1968" priority="94">
      <formula>MOD(ROW(),2)=1</formula>
    </cfRule>
  </conditionalFormatting>
  <conditionalFormatting sqref="W18">
    <cfRule type="expression" dxfId="1967" priority="91">
      <formula>MOD(ROW(),2)=1</formula>
    </cfRule>
  </conditionalFormatting>
  <conditionalFormatting sqref="W26">
    <cfRule type="expression" dxfId="1966" priority="90">
      <formula>MOD(ROW(),2)=1</formula>
    </cfRule>
  </conditionalFormatting>
  <conditionalFormatting sqref="W30">
    <cfRule type="expression" dxfId="1965" priority="89">
      <formula>MOD(ROW(),2)=1</formula>
    </cfRule>
  </conditionalFormatting>
  <conditionalFormatting sqref="W34">
    <cfRule type="expression" dxfId="1964" priority="88">
      <formula>MOD(ROW(),2)=1</formula>
    </cfRule>
  </conditionalFormatting>
  <conditionalFormatting sqref="W38">
    <cfRule type="expression" dxfId="1963" priority="87">
      <formula>MOD(ROW(),2)=1</formula>
    </cfRule>
  </conditionalFormatting>
  <conditionalFormatting sqref="W42">
    <cfRule type="expression" dxfId="1962" priority="86">
      <formula>MOD(ROW(),2)=1</formula>
    </cfRule>
  </conditionalFormatting>
  <conditionalFormatting sqref="W46">
    <cfRule type="expression" dxfId="1961" priority="85">
      <formula>MOD(ROW(),2)=1</formula>
    </cfRule>
  </conditionalFormatting>
  <conditionalFormatting sqref="W50">
    <cfRule type="expression" dxfId="1960" priority="84">
      <formula>MOD(ROW(),2)=1</formula>
    </cfRule>
  </conditionalFormatting>
  <conditionalFormatting sqref="W60">
    <cfRule type="expression" dxfId="1959" priority="83">
      <formula>MOD(ROW(),2)=1</formula>
    </cfRule>
  </conditionalFormatting>
  <conditionalFormatting sqref="W64">
    <cfRule type="expression" dxfId="1958" priority="82">
      <formula>MOD(ROW(),2)=1</formula>
    </cfRule>
  </conditionalFormatting>
  <conditionalFormatting sqref="W68">
    <cfRule type="expression" dxfId="1957" priority="81">
      <formula>MOD(ROW(),2)=1</formula>
    </cfRule>
  </conditionalFormatting>
  <conditionalFormatting sqref="W70">
    <cfRule type="expression" dxfId="1956" priority="80">
      <formula>MOD(ROW(),2)=1</formula>
    </cfRule>
  </conditionalFormatting>
  <conditionalFormatting sqref="W74">
    <cfRule type="expression" dxfId="1955" priority="79">
      <formula>MOD(ROW(),2)=1</formula>
    </cfRule>
  </conditionalFormatting>
  <conditionalFormatting sqref="W78">
    <cfRule type="expression" dxfId="1954" priority="78">
      <formula>MOD(ROW(),2)=1</formula>
    </cfRule>
  </conditionalFormatting>
  <conditionalFormatting sqref="W82">
    <cfRule type="expression" dxfId="1953" priority="77">
      <formula>MOD(ROW(),2)=1</formula>
    </cfRule>
  </conditionalFormatting>
  <conditionalFormatting sqref="W88">
    <cfRule type="expression" dxfId="1952" priority="76">
      <formula>MOD(ROW(),2)=1</formula>
    </cfRule>
  </conditionalFormatting>
  <conditionalFormatting sqref="W92">
    <cfRule type="expression" dxfId="1951" priority="75">
      <formula>MOD(ROW(),2)=1</formula>
    </cfRule>
  </conditionalFormatting>
  <conditionalFormatting sqref="W96">
    <cfRule type="expression" dxfId="1950" priority="74">
      <formula>MOD(ROW(),2)=1</formula>
    </cfRule>
  </conditionalFormatting>
  <conditionalFormatting sqref="W100">
    <cfRule type="expression" dxfId="1949" priority="73">
      <formula>MOD(ROW(),2)=1</formula>
    </cfRule>
  </conditionalFormatting>
  <conditionalFormatting sqref="W104">
    <cfRule type="expression" dxfId="1948" priority="72">
      <formula>MOD(ROW(),2)=1</formula>
    </cfRule>
  </conditionalFormatting>
  <conditionalFormatting sqref="W108">
    <cfRule type="expression" dxfId="1947" priority="71">
      <formula>MOD(ROW(),2)=1</formula>
    </cfRule>
  </conditionalFormatting>
  <conditionalFormatting sqref="W112">
    <cfRule type="expression" dxfId="1946" priority="70">
      <formula>MOD(ROW(),2)=1</formula>
    </cfRule>
  </conditionalFormatting>
  <conditionalFormatting sqref="W116">
    <cfRule type="expression" dxfId="1945" priority="69">
      <formula>MOD(ROW(),2)=1</formula>
    </cfRule>
  </conditionalFormatting>
  <conditionalFormatting sqref="W120">
    <cfRule type="expression" dxfId="1944" priority="68">
      <formula>MOD(ROW(),2)=1</formula>
    </cfRule>
  </conditionalFormatting>
  <conditionalFormatting sqref="W124">
    <cfRule type="expression" dxfId="1943" priority="67">
      <formula>MOD(ROW(),2)=1</formula>
    </cfRule>
  </conditionalFormatting>
  <conditionalFormatting sqref="W128">
    <cfRule type="expression" dxfId="1942" priority="66">
      <formula>MOD(ROW(),2)=1</formula>
    </cfRule>
  </conditionalFormatting>
  <conditionalFormatting sqref="W138">
    <cfRule type="expression" dxfId="1941" priority="65">
      <formula>MOD(ROW(),2)=1</formula>
    </cfRule>
  </conditionalFormatting>
  <conditionalFormatting sqref="W154">
    <cfRule type="expression" dxfId="1940" priority="61">
      <formula>MOD(ROW(),2)=1</formula>
    </cfRule>
  </conditionalFormatting>
  <conditionalFormatting sqref="W158">
    <cfRule type="expression" dxfId="1939" priority="60">
      <formula>MOD(ROW(),2)=1</formula>
    </cfRule>
  </conditionalFormatting>
  <conditionalFormatting sqref="W162">
    <cfRule type="expression" dxfId="1938" priority="59">
      <formula>MOD(ROW(),2)=1</formula>
    </cfRule>
  </conditionalFormatting>
  <conditionalFormatting sqref="W166">
    <cfRule type="expression" dxfId="1937" priority="58">
      <formula>MOD(ROW(),2)=1</formula>
    </cfRule>
  </conditionalFormatting>
  <conditionalFormatting sqref="W170">
    <cfRule type="expression" dxfId="1936" priority="57">
      <formula>MOD(ROW(),2)=1</formula>
    </cfRule>
  </conditionalFormatting>
  <conditionalFormatting sqref="W174">
    <cfRule type="expression" dxfId="1935" priority="56">
      <formula>MOD(ROW(),2)=1</formula>
    </cfRule>
  </conditionalFormatting>
  <conditionalFormatting sqref="W182">
    <cfRule type="expression" dxfId="1934" priority="55">
      <formula>MOD(ROW(),2)=1</formula>
    </cfRule>
  </conditionalFormatting>
  <conditionalFormatting sqref="W186">
    <cfRule type="expression" dxfId="1933" priority="54">
      <formula>MOD(ROW(),2)=1</formula>
    </cfRule>
  </conditionalFormatting>
  <conditionalFormatting sqref="W190">
    <cfRule type="expression" dxfId="1932" priority="53">
      <formula>MOD(ROW(),2)=1</formula>
    </cfRule>
  </conditionalFormatting>
  <conditionalFormatting sqref="W194">
    <cfRule type="expression" dxfId="1931" priority="52">
      <formula>MOD(ROW(),2)=1</formula>
    </cfRule>
  </conditionalFormatting>
  <conditionalFormatting sqref="W198">
    <cfRule type="expression" dxfId="1930" priority="51">
      <formula>MOD(ROW(),2)=1</formula>
    </cfRule>
  </conditionalFormatting>
  <conditionalFormatting sqref="W202">
    <cfRule type="expression" dxfId="1929" priority="50">
      <formula>MOD(ROW(),2)=1</formula>
    </cfRule>
  </conditionalFormatting>
  <conditionalFormatting sqref="W206">
    <cfRule type="expression" dxfId="1928" priority="49">
      <formula>MOD(ROW(),2)=1</formula>
    </cfRule>
  </conditionalFormatting>
  <conditionalFormatting sqref="W210">
    <cfRule type="expression" dxfId="1927" priority="48">
      <formula>MOD(ROW(),2)=1</formula>
    </cfRule>
  </conditionalFormatting>
  <conditionalFormatting sqref="W214">
    <cfRule type="expression" dxfId="1926" priority="47">
      <formula>MOD(ROW(),2)=1</formula>
    </cfRule>
  </conditionalFormatting>
  <conditionalFormatting sqref="E22:I22">
    <cfRule type="expression" dxfId="1925" priority="46">
      <formula>MOD(ROW(),2)=1</formula>
    </cfRule>
  </conditionalFormatting>
  <conditionalFormatting sqref="AC86 AG86">
    <cfRule type="expression" dxfId="1924" priority="45">
      <formula>MOD(ROW(),2)=1</formula>
    </cfRule>
  </conditionalFormatting>
  <conditionalFormatting sqref="AC134 AC136 AG136 AG134">
    <cfRule type="expression" dxfId="1923" priority="44">
      <formula>MOD(ROW(),2)=1</formula>
    </cfRule>
  </conditionalFormatting>
  <conditionalFormatting sqref="AD134 AD136">
    <cfRule type="expression" dxfId="1922" priority="43">
      <formula>MOD(ROW(),2)=1</formula>
    </cfRule>
  </conditionalFormatting>
  <conditionalFormatting sqref="Y134">
    <cfRule type="expression" dxfId="1921" priority="42">
      <formula>MOD(ROW(),2)=1</formula>
    </cfRule>
  </conditionalFormatting>
  <conditionalFormatting sqref="W134">
    <cfRule type="expression" dxfId="1920" priority="41">
      <formula>MOD(ROW(),2)=1</formula>
    </cfRule>
  </conditionalFormatting>
  <conditionalFormatting sqref="W142">
    <cfRule type="expression" dxfId="1919" priority="33">
      <formula>MOD(ROW(),2)=1</formula>
    </cfRule>
  </conditionalFormatting>
  <conditionalFormatting sqref="AC146 AC148 AG148 AG146">
    <cfRule type="expression" dxfId="1918" priority="40">
      <formula>MOD(ROW(),2)=1</formula>
    </cfRule>
  </conditionalFormatting>
  <conditionalFormatting sqref="AD146 AD148">
    <cfRule type="expression" dxfId="1917" priority="39">
      <formula>MOD(ROW(),2)=1</formula>
    </cfRule>
  </conditionalFormatting>
  <conditionalFormatting sqref="Y146">
    <cfRule type="expression" dxfId="1916" priority="38">
      <formula>MOD(ROW(),2)=1</formula>
    </cfRule>
  </conditionalFormatting>
  <conditionalFormatting sqref="W146">
    <cfRule type="expression" dxfId="1915" priority="37">
      <formula>MOD(ROW(),2)=1</formula>
    </cfRule>
  </conditionalFormatting>
  <conditionalFormatting sqref="AC142 AC144 AG144 AG142">
    <cfRule type="expression" dxfId="1914" priority="36">
      <formula>MOD(ROW(),2)=1</formula>
    </cfRule>
  </conditionalFormatting>
  <conditionalFormatting sqref="AD142 AD144">
    <cfRule type="expression" dxfId="1913" priority="35">
      <formula>MOD(ROW(),2)=1</formula>
    </cfRule>
  </conditionalFormatting>
  <conditionalFormatting sqref="Y142">
    <cfRule type="expression" dxfId="1912" priority="34">
      <formula>MOD(ROW(),2)=1</formula>
    </cfRule>
  </conditionalFormatting>
  <conditionalFormatting sqref="U2">
    <cfRule type="expression" dxfId="1911" priority="32">
      <formula>MOD(ROW(),2)=1</formula>
    </cfRule>
  </conditionalFormatting>
  <conditionalFormatting sqref="U10 U12 U8">
    <cfRule type="expression" dxfId="1910" priority="31">
      <formula>MOD(ROW(),2)=1</formula>
    </cfRule>
  </conditionalFormatting>
  <conditionalFormatting sqref="U16 U14">
    <cfRule type="expression" dxfId="1909" priority="30">
      <formula>MOD(ROW(),2)=1</formula>
    </cfRule>
  </conditionalFormatting>
  <conditionalFormatting sqref="U18">
    <cfRule type="expression" dxfId="1908" priority="27">
      <formula>MOD(ROW(),2)=1</formula>
    </cfRule>
  </conditionalFormatting>
  <conditionalFormatting sqref="U22">
    <cfRule type="expression" dxfId="1907" priority="26">
      <formula>MOD(ROW(),2)=1</formula>
    </cfRule>
  </conditionalFormatting>
  <conditionalFormatting sqref="U24">
    <cfRule type="expression" dxfId="1906" priority="25">
      <formula>MOD(ROW(),2)=1</formula>
    </cfRule>
  </conditionalFormatting>
  <conditionalFormatting sqref="U30 U32 U28">
    <cfRule type="expression" dxfId="1905" priority="24">
      <formula>MOD(ROW(),2)=1</formula>
    </cfRule>
  </conditionalFormatting>
  <conditionalFormatting sqref="U38 U36">
    <cfRule type="expression" dxfId="1904" priority="23">
      <formula>MOD(ROW(),2)=1</formula>
    </cfRule>
  </conditionalFormatting>
  <conditionalFormatting sqref="U42 U44 U40">
    <cfRule type="expression" dxfId="1903" priority="22">
      <formula>MOD(ROW(),2)=1</formula>
    </cfRule>
  </conditionalFormatting>
  <conditionalFormatting sqref="U50 U52 U48">
    <cfRule type="expression" dxfId="1902" priority="21">
      <formula>MOD(ROW(),2)=1</formula>
    </cfRule>
  </conditionalFormatting>
  <conditionalFormatting sqref="U58 U56">
    <cfRule type="expression" dxfId="1901" priority="20">
      <formula>MOD(ROW(),2)=1</formula>
    </cfRule>
  </conditionalFormatting>
  <conditionalFormatting sqref="U60">
    <cfRule type="expression" dxfId="1900" priority="19">
      <formula>MOD(ROW(),2)=1</formula>
    </cfRule>
  </conditionalFormatting>
  <conditionalFormatting sqref="U66 U68 U64">
    <cfRule type="expression" dxfId="1899" priority="18">
      <formula>MOD(ROW(),2)=1</formula>
    </cfRule>
  </conditionalFormatting>
  <conditionalFormatting sqref="U72 U74 U70">
    <cfRule type="expression" dxfId="1898" priority="17">
      <formula>MOD(ROW(),2)=1</formula>
    </cfRule>
  </conditionalFormatting>
  <conditionalFormatting sqref="U80 U82 U78">
    <cfRule type="expression" dxfId="1897" priority="16">
      <formula>MOD(ROW(),2)=1</formula>
    </cfRule>
  </conditionalFormatting>
  <conditionalFormatting sqref="U88 U90 U86">
    <cfRule type="expression" dxfId="1896" priority="15">
      <formula>MOD(ROW(),2)=1</formula>
    </cfRule>
  </conditionalFormatting>
  <conditionalFormatting sqref="U96 U98 U94">
    <cfRule type="expression" dxfId="1895" priority="14">
      <formula>MOD(ROW(),2)=1</formula>
    </cfRule>
  </conditionalFormatting>
  <conditionalFormatting sqref="U104 U106 U102">
    <cfRule type="expression" dxfId="1894" priority="13">
      <formula>MOD(ROW(),2)=1</formula>
    </cfRule>
  </conditionalFormatting>
  <conditionalFormatting sqref="U112 U114 U110">
    <cfRule type="expression" dxfId="1893" priority="12">
      <formula>MOD(ROW(),2)=1</formula>
    </cfRule>
  </conditionalFormatting>
  <conditionalFormatting sqref="U120 U122 U118">
    <cfRule type="expression" dxfId="1892" priority="11">
      <formula>MOD(ROW(),2)=1</formula>
    </cfRule>
  </conditionalFormatting>
  <conditionalFormatting sqref="U128 U126">
    <cfRule type="expression" dxfId="1891" priority="10">
      <formula>MOD(ROW(),2)=1</formula>
    </cfRule>
  </conditionalFormatting>
  <conditionalFormatting sqref="U130">
    <cfRule type="expression" dxfId="1890" priority="9">
      <formula>MOD(ROW(),2)=1</formula>
    </cfRule>
  </conditionalFormatting>
  <conditionalFormatting sqref="U132">
    <cfRule type="expression" dxfId="1889" priority="8">
      <formula>MOD(ROW(),2)=1</formula>
    </cfRule>
  </conditionalFormatting>
  <conditionalFormatting sqref="U138 U140 U136">
    <cfRule type="expression" dxfId="1888" priority="7">
      <formula>MOD(ROW(),2)=1</formula>
    </cfRule>
  </conditionalFormatting>
  <conditionalFormatting sqref="U146 U148 U144">
    <cfRule type="expression" dxfId="1887" priority="6">
      <formula>MOD(ROW(),2)=1</formula>
    </cfRule>
  </conditionalFormatting>
  <conditionalFormatting sqref="U152 U150">
    <cfRule type="expression" dxfId="1886" priority="5">
      <formula>MOD(ROW(),2)=1</formula>
    </cfRule>
  </conditionalFormatting>
  <conditionalFormatting sqref="U154 U156">
    <cfRule type="expression" dxfId="1885" priority="4">
      <formula>MOD(ROW(),2)=1</formula>
    </cfRule>
  </conditionalFormatting>
  <conditionalFormatting sqref="U162 U164 U160">
    <cfRule type="expression" dxfId="1884" priority="3">
      <formula>MOD(ROW(),2)=1</formula>
    </cfRule>
  </conditionalFormatting>
  <conditionalFormatting sqref="U168">
    <cfRule type="expression" dxfId="1883" priority="2">
      <formula>MOD(ROW(),2)=1</formula>
    </cfRule>
  </conditionalFormatting>
  <conditionalFormatting sqref="U174 U176 U172">
    <cfRule type="expression" dxfId="1882" priority="1">
      <formula>MOD(ROW(),2)=1</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H207"/>
  <sheetViews>
    <sheetView workbookViewId="0"/>
  </sheetViews>
  <sheetFormatPr defaultRowHeight="15" x14ac:dyDescent="0.25"/>
  <sheetData>
    <row r="3" spans="1:4" x14ac:dyDescent="0.25">
      <c r="A3" t="str">
        <f>'WM Single'!B3</f>
        <v>Butters, N. (1984). Alcoholic Korsakoff's syndrome: An update. Seminars in Neurology, 4(2), 226-244.</v>
      </c>
      <c r="B3">
        <f>'WM Single'!AA3</f>
        <v>18</v>
      </c>
      <c r="C3">
        <f>B3/60</f>
        <v>0.3</v>
      </c>
      <c r="D3" s="63">
        <f>'WM Single'!AM3</f>
        <v>-7.1981039274917696E-2</v>
      </c>
    </row>
    <row r="5" spans="1:4" x14ac:dyDescent="0.25">
      <c r="A5" t="str">
        <f>'WM Single'!B5</f>
        <v>Butters, N. (1984). Alcoholic Korsakoff's syndrome: An update. Seminars in Neurology, 4(2), 226-244.</v>
      </c>
      <c r="B5">
        <f>'WM Single'!AA5</f>
        <v>18</v>
      </c>
      <c r="C5">
        <f>B5/60</f>
        <v>0.3</v>
      </c>
      <c r="D5" s="63">
        <f>'WM Single'!AM5</f>
        <v>-8.496760624742665E-2</v>
      </c>
    </row>
    <row r="7" spans="1:4" x14ac:dyDescent="0.25">
      <c r="A7" t="str">
        <f>'WM Single'!B7</f>
        <v>Butters, N., Cermak, L. S., Montgomery, K., &amp; Adinolfi, A. (1977). Some comparisons of the memory and visuoperceptive deficits of chronic alcoholics and patients with Korsakoff's disease. Alcoholism: Clinical and Experimental Research, 1(1), 73-80.</v>
      </c>
      <c r="B7">
        <f>'WM Single'!AA7</f>
        <v>18</v>
      </c>
      <c r="C7">
        <f>B7/60</f>
        <v>0.3</v>
      </c>
      <c r="D7" s="63">
        <f>'WM Single'!AM7</f>
        <v>-8.1454200435717647E-2</v>
      </c>
    </row>
    <row r="9" spans="1:4" x14ac:dyDescent="0.25">
      <c r="A9" t="str">
        <f>'WM Single'!B9</f>
        <v>Butters, N., Cermak, L. S., Montgomery, K., &amp; Adinolfi, A. (1977). Some comparisons of the memory and visuoperceptive deficits of chronic alcoholics and patients with Korsakoff's disease. Alcoholism: Clinical and Experimental Research, 1(1), 73-80.</v>
      </c>
      <c r="B9">
        <f>'WM Single'!AA9</f>
        <v>18</v>
      </c>
      <c r="C9">
        <f>B9/60</f>
        <v>0.3</v>
      </c>
      <c r="D9" s="63">
        <f>'WM Single'!AM9</f>
        <v>-4.2214846046604866E-2</v>
      </c>
    </row>
    <row r="11" spans="1:4" x14ac:dyDescent="0.25">
      <c r="A11" t="str">
        <f>'WM Single'!B11</f>
        <v>Butters, N., Cermak, L. S., Montgomery, K., &amp; Adinolfi, A. (1977). Some comparisons of the memory and visuoperceptive deficits of chronic alcoholics and patients with Korsakoff's disease. Alcoholism: Clinical and Experimental Research, 1(1), 73-80.</v>
      </c>
      <c r="B11">
        <f>'WM Single'!AA11</f>
        <v>36</v>
      </c>
      <c r="C11">
        <f>B11/60</f>
        <v>0.6</v>
      </c>
      <c r="D11" s="63">
        <f>'WM Single'!AM11</f>
        <v>-5.6151992204423705E-2</v>
      </c>
    </row>
    <row r="13" spans="1:4" x14ac:dyDescent="0.25">
      <c r="A13" t="str">
        <f>'WM Single'!B13</f>
        <v>Butters, N., Cermak, L. S., Montgomery, K., &amp; Adinolfi, A. (1977). Some comparisons of the memory and visuoperceptive deficits of chronic alcoholics and patients with Korsakoff's disease. Alcoholism: Clinical and Experimental Research, 1(1), 73-80.</v>
      </c>
      <c r="B13">
        <f>'WM Single'!AA13</f>
        <v>36</v>
      </c>
      <c r="C13">
        <f>B13/60</f>
        <v>0.6</v>
      </c>
      <c r="D13" s="63">
        <f>'WM Single'!AM13</f>
        <v>-7.2500610318961697E-2</v>
      </c>
    </row>
    <row r="15" spans="1:4" x14ac:dyDescent="0.25">
      <c r="A15" t="str">
        <f>'WM Single'!B15</f>
        <v>Cermak, L. S., &amp; O'Connor, M. (1983). The anterograde and retrograde retrieval ability of a patient with amnesia due to encephalitis. Neuropsychologia, 21(3), 213-234.</v>
      </c>
      <c r="B15">
        <f>'WM Single'!AA15</f>
        <v>18</v>
      </c>
      <c r="C15">
        <f>B15/60</f>
        <v>0.3</v>
      </c>
      <c r="D15" s="63">
        <f>'WM Single'!AM15</f>
        <v>-4.475429350804095E-2</v>
      </c>
    </row>
    <row r="17" spans="1:8" x14ac:dyDescent="0.25">
      <c r="A17" t="str">
        <f>'WM Single'!B17</f>
        <v>Cermak, L. S., &amp; O'Connor, M. (1983). The anterograde and retrograde retrieval ability of a patient with amnesia due to encephalitis. Neuropsychologia, 21(3), 213-234.</v>
      </c>
      <c r="B17">
        <f>'WM Single'!AA17</f>
        <v>18</v>
      </c>
      <c r="C17">
        <f>B17/60</f>
        <v>0.3</v>
      </c>
      <c r="D17" s="63">
        <f>'WM Single'!AM17</f>
        <v>-0.26180973805269198</v>
      </c>
    </row>
    <row r="18" spans="1:8" x14ac:dyDescent="0.25">
      <c r="G18" s="166">
        <f>AVERAGE(D3:D183)</f>
        <v>-0.1285709254060822</v>
      </c>
      <c r="H18" s="165">
        <f xml:space="preserve"> STDEV(D3:D183)/SQRT(COUNT(D3:D183))</f>
        <v>2.0409265039738316E-2</v>
      </c>
    </row>
    <row r="19" spans="1:8" x14ac:dyDescent="0.25">
      <c r="A19" t="str">
        <f>'WM Single'!B19</f>
        <v>Jackson, H. F., &amp; Bentall, R. P. (1991). Operant conditioning in amnesic subjects: Response patterning and sensitivity to schedule changes. Neuropsychology, 5(2), 89.</v>
      </c>
      <c r="B19">
        <f>'WM Single'!AA19</f>
        <v>18</v>
      </c>
      <c r="C19">
        <f>B19/60</f>
        <v>0.3</v>
      </c>
      <c r="D19" s="63">
        <f>'WM Single'!AM19</f>
        <v>-7.0109010367673946E-2</v>
      </c>
    </row>
    <row r="20" spans="1:8" x14ac:dyDescent="0.25">
      <c r="D20" s="63"/>
    </row>
    <row r="21" spans="1:8" x14ac:dyDescent="0.25">
      <c r="A21" t="s">
        <v>928</v>
      </c>
      <c r="B21">
        <f>WM!AA21</f>
        <v>27</v>
      </c>
      <c r="C21">
        <f>B21/60</f>
        <v>0.45</v>
      </c>
      <c r="D21" s="63">
        <f>WM!AM21</f>
        <v>-0.31963089242931408</v>
      </c>
    </row>
    <row r="23" spans="1:8" x14ac:dyDescent="0.25">
      <c r="A23" t="str">
        <f>'WM Single'!B23</f>
        <v>Mayes, A. R., Meudell, P. R., Mann, D., &amp; Pickering, A. (1988). Location of lesions in Korsakoff's syndrome: neuropsychological and neuropathological data on two patients. Cortex, 24(3), 367-388.</v>
      </c>
      <c r="B23">
        <f>'WM Single'!AA23</f>
        <v>30</v>
      </c>
      <c r="C23">
        <f>B23/60</f>
        <v>0.5</v>
      </c>
      <c r="D23" s="63">
        <f>'WM Single'!AM23</f>
        <v>-6.737198421982793E-2</v>
      </c>
    </row>
    <row r="25" spans="1:8" x14ac:dyDescent="0.25">
      <c r="A25" t="str">
        <f>'WM Single'!B25</f>
        <v>Murdock, B. B. (1961). The retention of individual items. Journal of Experimental Psychology, 62(6), 618-625.</v>
      </c>
      <c r="B25">
        <f>'WM Single'!AA25</f>
        <v>18</v>
      </c>
      <c r="C25">
        <f>B25/60</f>
        <v>0.3</v>
      </c>
      <c r="D25" s="63">
        <f>'WM Single'!AM25</f>
        <v>-0.19711267967239077</v>
      </c>
    </row>
    <row r="27" spans="1:8" x14ac:dyDescent="0.25">
      <c r="A27" t="str">
        <f>'WM Single'!B27</f>
        <v>Murdock, B. B. (1961). The retention of individual items. Journal of Experimental Psychology, 62(6), 618-625.</v>
      </c>
      <c r="B27">
        <f>'WM Single'!AA27</f>
        <v>18</v>
      </c>
      <c r="C27">
        <f>B27/60</f>
        <v>0.3</v>
      </c>
      <c r="D27" s="63">
        <f>'WM Single'!AM27</f>
        <v>-1.523492902687193E-2</v>
      </c>
    </row>
    <row r="29" spans="1:8" x14ac:dyDescent="0.25">
      <c r="A29" t="str">
        <f>'WM Single'!B29</f>
        <v>Murdock, B. B. (1961). The retention of individual items. Journal of Experimental Psychology, 62(6), 618-625.</v>
      </c>
      <c r="B29">
        <f>'WM Single'!AA29</f>
        <v>18</v>
      </c>
      <c r="C29">
        <f>B29/60</f>
        <v>0.3</v>
      </c>
      <c r="D29" s="63">
        <f>'WM Single'!AM29</f>
        <v>-0.16430871566677174</v>
      </c>
    </row>
    <row r="31" spans="1:8" x14ac:dyDescent="0.25">
      <c r="A31" t="str">
        <f>'WM Single'!B31</f>
        <v>Murdock, B. B. (1961). The retention of individual items. Journal of Experimental Psychology, 62(6), 618-625.</v>
      </c>
      <c r="B31">
        <f>'WM Single'!AA31</f>
        <v>18</v>
      </c>
      <c r="C31">
        <f>B31/60</f>
        <v>0.3</v>
      </c>
      <c r="D31" s="63">
        <f>'WM Single'!AM31</f>
        <v>-9.9646101051534958E-3</v>
      </c>
    </row>
    <row r="33" spans="1:5" x14ac:dyDescent="0.25">
      <c r="A33" t="str">
        <f>'WM Single'!B33</f>
        <v>Murdock, B. B. (1961). The retention of individual items. Journal of Experimental Psychology, 62(6), 618-625.</v>
      </c>
      <c r="B33">
        <f>'WM Single'!AA33</f>
        <v>18</v>
      </c>
      <c r="C33">
        <f>B33/60</f>
        <v>0.3</v>
      </c>
      <c r="D33" s="63">
        <f>'WM Single'!AM33</f>
        <v>-2.9136088762513113E-2</v>
      </c>
    </row>
    <row r="35" spans="1:5" x14ac:dyDescent="0.25">
      <c r="A35" t="str">
        <f>'WM Single'!B35</f>
        <v>Murdock, B. B. (1961). The retention of individual items. Journal of Experimental Psychology, 62(6), 618-625.</v>
      </c>
      <c r="B35">
        <f>'WM Single'!AA35</f>
        <v>18</v>
      </c>
      <c r="C35">
        <f>B35/60</f>
        <v>0.3</v>
      </c>
      <c r="D35" s="63">
        <f>'WM Single'!AM35</f>
        <v>-2.3713541347856918E-2</v>
      </c>
    </row>
    <row r="37" spans="1:5" x14ac:dyDescent="0.25">
      <c r="A37" t="str">
        <f>'WM Single'!B37</f>
        <v>Murdock, B. B. (1961). The retention of individual items. Journal of Experimental Psychology, 62(6), 618-625.</v>
      </c>
      <c r="B37">
        <f>'WM Single'!AA37</f>
        <v>18</v>
      </c>
      <c r="C37">
        <f>B37/60</f>
        <v>0.3</v>
      </c>
      <c r="D37" s="63">
        <f>'WM Single'!AM37</f>
        <v>-2.2682002573009813E-2</v>
      </c>
    </row>
    <row r="39" spans="1:5" x14ac:dyDescent="0.25">
      <c r="A39" t="str">
        <f>'WM Single'!B39</f>
        <v>Murdock, B. B. (1961). The retention of individual items. Journal of Experimental Psychology, 62(6), 618-625.</v>
      </c>
      <c r="B39">
        <f>'WM Single'!AA39</f>
        <v>18</v>
      </c>
      <c r="C39">
        <f>B39/60</f>
        <v>0.3</v>
      </c>
      <c r="D39" s="63">
        <f>'WM Single'!AM39</f>
        <v>-1.8102259245743782E-2</v>
      </c>
    </row>
    <row r="41" spans="1:5" x14ac:dyDescent="0.25">
      <c r="A41" t="str">
        <f>'WM Single'!B41</f>
        <v>Peterson, L. R., &amp; Peterson, M. J. (1959). Short-term retention of individual verbal items. Journal of Experimental Psychology, 58(3), 193-198.</v>
      </c>
      <c r="B41">
        <f>'WM Single'!AA41</f>
        <v>18</v>
      </c>
      <c r="C41">
        <f>B41/60</f>
        <v>0.3</v>
      </c>
      <c r="D41" s="171"/>
      <c r="E41" s="63">
        <f>'WM Single'!AM188</f>
        <v>-1.3114119812826739</v>
      </c>
    </row>
    <row r="43" spans="1:5" x14ac:dyDescent="0.25">
      <c r="A43" t="str">
        <f>'WM Single'!B43</f>
        <v>Peterson, L. R., &amp; Peterson, M. J. (1959). Short-term retention of individual verbal items. Journal of Experimental Psychology, 58(3), 193-198.</v>
      </c>
      <c r="B43">
        <f>'WM Single'!AA43</f>
        <v>18</v>
      </c>
      <c r="C43">
        <f>B43/60</f>
        <v>0.3</v>
      </c>
      <c r="D43" s="63">
        <f>'WM Single'!AM43</f>
        <v>-0.47641195682701493</v>
      </c>
    </row>
    <row r="45" spans="1:5" x14ac:dyDescent="0.25">
      <c r="A45" t="str">
        <f>'WM Single'!B45</f>
        <v>Peterson, L. R., &amp; Peterson, M. J. (1959). Short-term retention of individual verbal items. Journal of Experimental Psychology, 58(3), 193-198.</v>
      </c>
      <c r="B45">
        <f>'WM Single'!AA45</f>
        <v>18</v>
      </c>
      <c r="C45">
        <f>B45/60</f>
        <v>0.3</v>
      </c>
      <c r="D45" s="63">
        <f>'WM Single'!AM45</f>
        <v>-0.65351241503468982</v>
      </c>
    </row>
    <row r="47" spans="1:5" x14ac:dyDescent="0.25">
      <c r="A47" t="str">
        <f>'WM Single'!B47</f>
        <v>Peterson, L. R., &amp; Peterson, M. J. (1959). Short-term retention of individual verbal items. Journal of Experimental Psychology, 58(3), 193-198.</v>
      </c>
      <c r="B47">
        <f>'WM Single'!AA47</f>
        <v>18</v>
      </c>
      <c r="C47">
        <f>B47/60</f>
        <v>0.3</v>
      </c>
      <c r="D47" s="63">
        <f>'WM Single'!AM47</f>
        <v>-0.81081745451120035</v>
      </c>
    </row>
    <row r="49" spans="1:4" x14ac:dyDescent="0.25">
      <c r="A49" t="str">
        <f>'WM Single'!B49</f>
        <v>Peterson, L. R., &amp; Peterson, M. J. (1959). Short-term retention of individual verbal items. Journal of Experimental Psychology, 58(3), 193-198.</v>
      </c>
      <c r="B49">
        <f>'WM Single'!AA49</f>
        <v>18</v>
      </c>
      <c r="C49">
        <f>B49/60</f>
        <v>0.3</v>
      </c>
      <c r="D49" s="63">
        <f>'WM Single'!AM49</f>
        <v>-0.47830135006197272</v>
      </c>
    </row>
    <row r="51" spans="1:4" x14ac:dyDescent="0.25">
      <c r="A51" t="str">
        <f>'WM Single'!B51</f>
        <v>Peterson, L. R., &amp; Peterson, M. J. (1959). Short-term retention of individual verbal items. Journal of Experimental Psychology, 58(3), 193-198.</v>
      </c>
      <c r="B51">
        <f>'WM Single'!AA51</f>
        <v>18</v>
      </c>
      <c r="C51">
        <f>B51/60</f>
        <v>0.3</v>
      </c>
      <c r="D51" s="63">
        <f>'WM Single'!AM51</f>
        <v>-0.67741107574387727</v>
      </c>
    </row>
    <row r="53" spans="1:4" x14ac:dyDescent="0.25">
      <c r="A53" t="str">
        <f>'WM Single'!B53</f>
        <v>Peterson, L. R., &amp; Peterson, M. J. (1959). Short-term retention of individual verbal items. Journal of Experimental Psychology, 58(3), 193-198.</v>
      </c>
      <c r="B53">
        <f>'WM Single'!AA53</f>
        <v>18</v>
      </c>
      <c r="C53">
        <f>B53/60</f>
        <v>0.3</v>
      </c>
      <c r="D53" s="63">
        <f>'WM Single'!AM53</f>
        <v>-0.84874543272433944</v>
      </c>
    </row>
    <row r="55" spans="1:4" x14ac:dyDescent="0.25">
      <c r="A55" t="str">
        <f>'WM Single'!B55</f>
        <v>Postman, L., &amp; Phillips, L. W. (1965). Short-term temporal changes in free recall. Quarterly journal of experimental psychology, 17(2), 132-138.</v>
      </c>
      <c r="B55">
        <f>'WM Single'!AA55</f>
        <v>18</v>
      </c>
      <c r="C55">
        <f>B55/60</f>
        <v>0.3</v>
      </c>
      <c r="D55" s="63">
        <f>'WM Single'!AM55</f>
        <v>-4.992105720321207E-2</v>
      </c>
    </row>
    <row r="57" spans="1:4" x14ac:dyDescent="0.25">
      <c r="A57" t="str">
        <f>'WM Single'!B57</f>
        <v>Postman, L., &amp; Phillips, L. W. (1965). Short-term temporal changes in free recall. Quarterly journal of experimental psychology, 17(2), 132-138.</v>
      </c>
      <c r="B57">
        <f>'WM Single'!AA57</f>
        <v>18</v>
      </c>
      <c r="C57">
        <f>B57/60</f>
        <v>0.3</v>
      </c>
      <c r="D57" s="63">
        <f>'WM Single'!AM57</f>
        <v>-4.1055678758485072E-2</v>
      </c>
    </row>
    <row r="59" spans="1:4" x14ac:dyDescent="0.25">
      <c r="A59" t="str">
        <f>'WM Single'!B59</f>
        <v>Postman, L., &amp; Phillips, L. W. (1965). Short-term temporal changes in free recall. Quarterly journal of experimental psychology, 17(2), 132-138.</v>
      </c>
      <c r="B59">
        <f>'WM Single'!AA59</f>
        <v>18</v>
      </c>
      <c r="C59">
        <f>B59/60</f>
        <v>0.3</v>
      </c>
      <c r="D59" s="63">
        <f>'WM Single'!AM59</f>
        <v>-7.1413414462206712E-2</v>
      </c>
    </row>
    <row r="61" spans="1:4" x14ac:dyDescent="0.25">
      <c r="A61" t="str">
        <f>'WM Single'!B61</f>
        <v>Ricker, T. J., &amp; Cowan, N. (2010). Loss of visual working memory within seconds: The combined use of refreshable and non-refreshable features. Journal of Experimental Psychology: Learning, Memory, and Cognition, 36(6), 1355-1368.</v>
      </c>
      <c r="B61">
        <f>'WM Single'!AA61</f>
        <v>5.9</v>
      </c>
      <c r="C61">
        <f>B61/60</f>
        <v>9.8333333333333342E-2</v>
      </c>
      <c r="D61" s="63">
        <f>'WM Single'!AM61</f>
        <v>-4.5316916582784965E-2</v>
      </c>
    </row>
    <row r="63" spans="1:4" x14ac:dyDescent="0.25">
      <c r="A63" t="str">
        <f>'WM Single'!B63</f>
        <v>Ricker, T. J., &amp; Cowan, N. (2010). Loss of visual working memory within seconds: The combined use of refreshable and non-refreshable features. Journal of Experimental Psychology: Learning, Memory, and Cognition, 36(6), 1355-1368.</v>
      </c>
      <c r="B63">
        <f>'WM Single'!AA63</f>
        <v>5.9</v>
      </c>
      <c r="C63">
        <f>B63/60</f>
        <v>9.8333333333333342E-2</v>
      </c>
      <c r="D63" s="63">
        <f>'WM Single'!AM63</f>
        <v>-6.8403789113543001E-2</v>
      </c>
    </row>
    <row r="65" spans="1:4" x14ac:dyDescent="0.25">
      <c r="A65" t="str">
        <f>'WM Single'!B65</f>
        <v>Ricker, T. J., &amp; Cowan, N. (2010). Loss of visual working memory within seconds: The combined use of refreshable and non-refreshable features. Journal of Experimental Psychology: Learning, Memory, and Cognition, 36(6), 1355-1368.</v>
      </c>
      <c r="B65">
        <f>'WM Single'!AA65</f>
        <v>5.9</v>
      </c>
      <c r="C65">
        <f>B65/60</f>
        <v>9.8333333333333342E-2</v>
      </c>
      <c r="D65" s="63">
        <f>'WM Single'!AM65</f>
        <v>-8.8078477576913547E-2</v>
      </c>
    </row>
    <row r="67" spans="1:4" x14ac:dyDescent="0.25">
      <c r="A67" t="str">
        <f>'WM Single'!B67</f>
        <v>Ricker, T. J., &amp; Cowan, N. (2010). Loss of visual working memory within seconds: The combined use of refreshable and non-refreshable features. Journal of Experimental Psychology: Learning, Memory, and Cognition, 36(6), 1355-1368.</v>
      </c>
      <c r="B67">
        <f>'WM Single'!AA67</f>
        <v>6</v>
      </c>
      <c r="C67">
        <f>B67/60</f>
        <v>0.1</v>
      </c>
      <c r="D67" s="63">
        <f>'WM Single'!AM67</f>
        <v>-6.6469415909064036E-2</v>
      </c>
    </row>
    <row r="69" spans="1:4" x14ac:dyDescent="0.25">
      <c r="A69" t="str">
        <f>'WM Single'!B69</f>
        <v>Ricker, T. J., &amp; Cowan, N. (2010). Loss of visual working memory within seconds: The combined use of refreshable and non-refreshable features. Journal of Experimental Psychology: Learning, Memory, and Cognition, 36(6), 1355-1368.</v>
      </c>
      <c r="B69">
        <f>'WM Single'!AA69</f>
        <v>6</v>
      </c>
      <c r="C69">
        <f>B69/60</f>
        <v>0.1</v>
      </c>
      <c r="D69" s="63">
        <f>'WM Single'!AM69</f>
        <v>-7.075829312827922E-2</v>
      </c>
    </row>
    <row r="71" spans="1:4" x14ac:dyDescent="0.25">
      <c r="A71" t="str">
        <f>'WM Single'!B71</f>
        <v>Ricker, T. J., &amp; Cowan, N. (2010). Loss of visual working memory within seconds: The combined use of refreshable and non-refreshable features. Journal of Experimental Psychology: Learning, Memory, and Cognition, 36(6), 1355-1368.</v>
      </c>
      <c r="B71">
        <f>'WM Single'!AA71</f>
        <v>6</v>
      </c>
      <c r="C71">
        <f>B71/60</f>
        <v>0.1</v>
      </c>
      <c r="D71" s="63">
        <f>'WM Single'!AM71</f>
        <v>-0.10974334508051847</v>
      </c>
    </row>
    <row r="73" spans="1:4" x14ac:dyDescent="0.25">
      <c r="A73" t="str">
        <f>'WM Single'!B73</f>
        <v>Ricker, T. J., &amp; Cowan, N. (2014). Differences between presentation methods in working memory procedures: a matter of working memory consolidation. Journal of Experimental Psychology: Learning, Memory, and Cognition, 40(2), 417-428.</v>
      </c>
      <c r="B73">
        <f>'WM Single'!AA73</f>
        <v>12</v>
      </c>
      <c r="C73">
        <f>B73/60</f>
        <v>0.2</v>
      </c>
      <c r="D73" s="63">
        <f>'WM Single'!AM73</f>
        <v>-2.1795320311497328E-2</v>
      </c>
    </row>
    <row r="75" spans="1:4" x14ac:dyDescent="0.25">
      <c r="A75" t="str">
        <f>'WM Single'!B75</f>
        <v>Ricker, T. J., &amp; Cowan, N. (2014). Differences between presentation methods in working memory procedures: a matter of working memory consolidation. Journal of Experimental Psychology: Learning, Memory, and Cognition, 40(2), 417-428.</v>
      </c>
      <c r="B75">
        <f>'WM Single'!AA75</f>
        <v>12</v>
      </c>
      <c r="C75">
        <f>B75/60</f>
        <v>0.2</v>
      </c>
      <c r="D75" s="63">
        <f>'WM Single'!AM75</f>
        <v>-5.2337604154915944E-2</v>
      </c>
    </row>
    <row r="77" spans="1:4" x14ac:dyDescent="0.25">
      <c r="A77" t="str">
        <f>'WM Single'!B77</f>
        <v>Ricker, T. J., &amp; Cowan, N. (2014). Differences between presentation methods in working memory procedures: a matter of working memory consolidation. Journal of Experimental Psychology: Learning, Memory, and Cognition, 40(2), 417-428.</v>
      </c>
      <c r="B77">
        <f>'WM Single'!AA77</f>
        <v>12</v>
      </c>
      <c r="C77">
        <f>B77/60</f>
        <v>0.2</v>
      </c>
      <c r="D77" s="63">
        <f>'WM Single'!AM77</f>
        <v>-2.5711993139676571E-2</v>
      </c>
    </row>
    <row r="79" spans="1:4" x14ac:dyDescent="0.25">
      <c r="A79" t="str">
        <f>'WM Single'!B79</f>
        <v>Ricker, T. J., &amp; Cowan, N. (2014). Differences between presentation methods in working memory procedures: a matter of working memory consolidation. Journal of Experimental Psychology: Learning, Memory, and Cognition, 40(2), 417-428.</v>
      </c>
      <c r="B79">
        <f>'WM Single'!AA79</f>
        <v>12</v>
      </c>
      <c r="C79">
        <f>B79/60</f>
        <v>0.2</v>
      </c>
      <c r="D79" s="63">
        <f>'WM Single'!AM79</f>
        <v>-7.0308179214797345E-2</v>
      </c>
    </row>
    <row r="81" spans="1:4" x14ac:dyDescent="0.25">
      <c r="A81" t="str">
        <f>'WM Single'!B81</f>
        <v>Ricker, T. J., &amp; Cowan, N. (2014). Differences between presentation methods in working memory procedures: a matter of working memory consolidation. Journal of Experimental Psychology: Learning, Memory, and Cognition, 40(2), 417-428.</v>
      </c>
      <c r="B81">
        <f>'WM Single'!AA81</f>
        <v>12</v>
      </c>
      <c r="C81">
        <f>B81/60</f>
        <v>0.2</v>
      </c>
      <c r="D81" s="63">
        <f>'WM Single'!AM81</f>
        <v>-6.2054385278598211E-2</v>
      </c>
    </row>
    <row r="83" spans="1:4" x14ac:dyDescent="0.25">
      <c r="A83" t="str">
        <f>'WM Single'!B83</f>
        <v>Ricker, T. J., &amp; Cowan, N. (2014). Differences between presentation methods in working memory procedures: a matter of working memory consolidation. Journal of Experimental Psychology: Learning, Memory, and Cognition, 40(2), 417-428.</v>
      </c>
      <c r="B83">
        <f>'WM Single'!AA83</f>
        <v>12</v>
      </c>
      <c r="C83">
        <f>B83/60</f>
        <v>0.2</v>
      </c>
      <c r="D83" s="63">
        <f>'WM Single'!AM83</f>
        <v>-5.0236304116639673E-2</v>
      </c>
    </row>
    <row r="85" spans="1:4" x14ac:dyDescent="0.25">
      <c r="A85" t="str">
        <f>'WM Single'!B85</f>
        <v>Ricker, T. J., &amp; Cowan, N. (2014). Differences between presentation methods in working memory procedures: a matter of working memory consolidation. Journal of Experimental Psychology: Learning, Memory, and Cognition, 40(2), 417-428.</v>
      </c>
      <c r="B85">
        <f>'WM Single'!AA85</f>
        <v>12</v>
      </c>
      <c r="C85">
        <f>B85/60</f>
        <v>0.2</v>
      </c>
      <c r="D85" s="63">
        <f>'WM Single'!AM85</f>
        <v>-2.2452493576509889E-2</v>
      </c>
    </row>
    <row r="87" spans="1:4" x14ac:dyDescent="0.25">
      <c r="A87" t="str">
        <f>'WM Single'!B87</f>
        <v>Ricker, T. J., &amp; Cowan, N. (2014). Differences between presentation methods in working memory procedures: a matter of working memory consolidation. Journal of Experimental Psychology: Learning, Memory, and Cognition, 40(2), 417-428.</v>
      </c>
      <c r="B87">
        <f>'WM Single'!AA87</f>
        <v>12</v>
      </c>
      <c r="C87">
        <f>B87/60</f>
        <v>0.2</v>
      </c>
      <c r="D87" s="63">
        <f>'WM Single'!AM87</f>
        <v>-2.531134236455454E-2</v>
      </c>
    </row>
    <row r="89" spans="1:4" x14ac:dyDescent="0.25">
      <c r="A89" t="str">
        <f>'WM Single'!B89</f>
        <v>Ricker, T. J., Spiegel, L. R., &amp; Cowan, N. (2014). Time-based loss in visual short-term memory is from trace decay, not temporal distinctiveness. Journal of Experimental Psychology: Learning, Memory, and Cognition, 40(6), 1510-1523.</v>
      </c>
      <c r="B89">
        <f>'WM Single'!AA89</f>
        <v>12</v>
      </c>
      <c r="C89">
        <f>B89/60</f>
        <v>0.2</v>
      </c>
      <c r="D89" s="63">
        <f>'WM Single'!AM89</f>
        <v>-6.5951793787283552E-2</v>
      </c>
    </row>
    <row r="91" spans="1:4" x14ac:dyDescent="0.25">
      <c r="A91" t="str">
        <f>'WM Single'!B91</f>
        <v>Ricker, T. J., Spiegel, L. R., &amp; Cowan, N. (2014). Time-based loss in visual short-term memory is from trace decay, not temporal distinctiveness. Journal of Experimental Psychology: Learning, Memory, and Cognition, 40(6), 1510-1523.</v>
      </c>
      <c r="B91">
        <f>'WM Single'!AA91</f>
        <v>12</v>
      </c>
      <c r="C91">
        <f>B91/60</f>
        <v>0.2</v>
      </c>
      <c r="D91" s="63">
        <f>'WM Single'!AM91</f>
        <v>-4.14745068316828E-2</v>
      </c>
    </row>
    <row r="93" spans="1:4" x14ac:dyDescent="0.25">
      <c r="A93" t="str">
        <f>'WM Single'!B93</f>
        <v>Ricker, T. J., Spiegel, L. R., &amp; Cowan, N. (2014). Time-based loss in visual short-term memory is from trace decay, not temporal distinctiveness. Journal of Experimental Psychology: Learning, Memory, and Cognition, 40(6), 1510-1523.</v>
      </c>
      <c r="B93">
        <f>'WM Single'!AA93</f>
        <v>12</v>
      </c>
      <c r="C93">
        <f>B93/60</f>
        <v>0.2</v>
      </c>
      <c r="D93" s="63">
        <f>'WM Single'!AM93</f>
        <v>-4.4189783838361953E-2</v>
      </c>
    </row>
    <row r="95" spans="1:4" x14ac:dyDescent="0.25">
      <c r="A95" t="str">
        <f>'WM Single'!B95</f>
        <v>Ricker, T. J., Spiegel, L. R., &amp; Cowan, N. (2014). Time-based loss in visual short-term memory is from trace decay, not temporal distinctiveness. Journal of Experimental Psychology: Learning, Memory, and Cognition, 40(6), 1510-1523.</v>
      </c>
      <c r="B95">
        <f>'WM Single'!AA95</f>
        <v>12</v>
      </c>
      <c r="C95">
        <f>B95/60</f>
        <v>0.2</v>
      </c>
      <c r="D95" s="63">
        <f>'WM Single'!AM95</f>
        <v>-4.3772747934243385E-2</v>
      </c>
    </row>
    <row r="97" spans="1:4" x14ac:dyDescent="0.25">
      <c r="A97" t="str">
        <f>'WM Single'!B97</f>
        <v>Ricker, T. J., Spiegel, L. R., &amp; Cowan, N. (2014). Time-based loss in visual short-term memory is from trace decay, not temporal distinctiveness. Journal of Experimental Psychology: Learning, Memory, and Cognition, 40(6), 1510-1523.</v>
      </c>
      <c r="B97">
        <f>'WM Single'!AA97</f>
        <v>12</v>
      </c>
      <c r="C97">
        <f>B97/60</f>
        <v>0.2</v>
      </c>
      <c r="D97" s="63">
        <f>'WM Single'!AM97</f>
        <v>-4.0645091178574962E-2</v>
      </c>
    </row>
    <row r="99" spans="1:4" x14ac:dyDescent="0.25">
      <c r="A99" t="str">
        <f>'WM Single'!B99</f>
        <v>Ricker, T. J., Spiegel, L. R., &amp; Cowan, N. (2014). Time-based loss in visual short-term memory is from trace decay, not temporal distinctiveness. Journal of Experimental Psychology: Learning, Memory, and Cognition, 40(6), 1510-1523.</v>
      </c>
      <c r="B99">
        <f>'WM Single'!AA99</f>
        <v>12</v>
      </c>
      <c r="C99">
        <f>B99/60</f>
        <v>0.2</v>
      </c>
      <c r="D99" s="63">
        <f>'WM Single'!AM99</f>
        <v>-4.3063479772511619E-2</v>
      </c>
    </row>
    <row r="101" spans="1:4" x14ac:dyDescent="0.25">
      <c r="A101" t="str">
        <f>'WM Single'!B101</f>
        <v>Ricker, T. J., Sandry, J., Vergauwe, E., &amp; Cowan, N. (2020). Do familiar memory items decay?. Journal of Experimental Psychology: Learning, Memory, and Cognition, 46(1), 60-76.</v>
      </c>
      <c r="B101">
        <f>'WM Single'!AA101</f>
        <v>6</v>
      </c>
      <c r="C101">
        <f>B101/60</f>
        <v>0.1</v>
      </c>
      <c r="D101" s="63">
        <f>'WM Single'!AM101</f>
        <v>-5.280509398029936E-2</v>
      </c>
    </row>
    <row r="103" spans="1:4" x14ac:dyDescent="0.25">
      <c r="A103" t="str">
        <f>'WM Single'!B103</f>
        <v>Ricker, T. J., Sandry, J., Vergauwe, E., &amp; Cowan, N. (2020). Do familiar memory items decay?. Journal of Experimental Psychology: Learning, Memory, and Cognition, 46(1), 60-76.</v>
      </c>
      <c r="B103">
        <f>'WM Single'!AA103</f>
        <v>6</v>
      </c>
      <c r="C103">
        <f>B103/60</f>
        <v>0.1</v>
      </c>
      <c r="D103" s="63">
        <f>'WM Single'!AM103</f>
        <v>-7.7016814336210507E-2</v>
      </c>
    </row>
    <row r="105" spans="1:4" x14ac:dyDescent="0.25">
      <c r="A105" t="str">
        <f>'WM Single'!B105</f>
        <v>Ricker, T. J., Sandry, J., Vergauwe, E., &amp; Cowan, N. (2020). Do familiar memory items decay?. Journal of Experimental Psychology: Learning, Memory, and Cognition, 46(1), 60-76.</v>
      </c>
      <c r="B105">
        <f>'WM Single'!AA105</f>
        <v>6</v>
      </c>
      <c r="C105">
        <f>B105/60</f>
        <v>0.1</v>
      </c>
      <c r="D105" s="63">
        <f>'WM Single'!AM105</f>
        <v>-6.7827549678783197E-2</v>
      </c>
    </row>
    <row r="107" spans="1:4" x14ac:dyDescent="0.25">
      <c r="A107" t="str">
        <f>'WM Single'!B107</f>
        <v>Ricker, T. J., Sandry, J., Vergauwe, E., &amp; Cowan, N. (2020). Do familiar memory items decay?. Journal of Experimental Psychology: Learning, Memory, and Cognition, 46(1), 60-76.</v>
      </c>
      <c r="B107">
        <f>'WM Single'!AA107</f>
        <v>6</v>
      </c>
      <c r="C107">
        <f>B107/60</f>
        <v>0.1</v>
      </c>
      <c r="D107" s="63">
        <f>'WM Single'!AM107</f>
        <v>-4.2196093645186297E-2</v>
      </c>
    </row>
    <row r="109" spans="1:4" x14ac:dyDescent="0.25">
      <c r="A109" t="str">
        <f>'WM Single'!B109</f>
        <v>Ricker, T. J., Sandry, J., Vergauwe, E., &amp; Cowan, N. (2020). Do familiar memory items decay?. Journal of Experimental Psychology: Learning, Memory, and Cognition, 46(1), 60-76.</v>
      </c>
      <c r="B109">
        <f>'WM Single'!AA109</f>
        <v>6</v>
      </c>
      <c r="C109">
        <f>B109/60</f>
        <v>0.1</v>
      </c>
      <c r="D109" s="63">
        <f>'WM Single'!AM109</f>
        <v>-3.5194663945698895E-2</v>
      </c>
    </row>
    <row r="111" spans="1:4" x14ac:dyDescent="0.25">
      <c r="A111" t="str">
        <f>'WM Single'!B111</f>
        <v>Ricker, T. J., Sandry, J., Vergauwe, E., &amp; Cowan, N. (2020). Do familiar memory items decay?. Journal of Experimental Psychology: Learning, Memory, and Cognition, 46(1), 60-76.</v>
      </c>
      <c r="B111">
        <f>'WM Single'!AA111</f>
        <v>6</v>
      </c>
      <c r="C111">
        <f>B111/60</f>
        <v>0.1</v>
      </c>
      <c r="D111" s="63">
        <f>'WM Single'!AM111</f>
        <v>-3.6531731094861727E-2</v>
      </c>
    </row>
    <row r="113" spans="1:4" x14ac:dyDescent="0.25">
      <c r="A113" t="str">
        <f>'WM Single'!B113</f>
        <v>Ricker, T. J., Sandry, J., Vergauwe, E., &amp; Cowan, N. (2020). Do familiar memory items decay?. Journal of Experimental Psychology: Learning, Memory, and Cognition, 46(1), 60-76.</v>
      </c>
      <c r="B113">
        <f>'WM Single'!AA113</f>
        <v>6</v>
      </c>
      <c r="C113">
        <f>B113/60</f>
        <v>0.1</v>
      </c>
      <c r="D113" s="63">
        <f>'WM Single'!AM113</f>
        <v>-3.9001256000636579E-2</v>
      </c>
    </row>
    <row r="115" spans="1:4" x14ac:dyDescent="0.25">
      <c r="A115" t="str">
        <f>'WM Single'!B115</f>
        <v>Ricker, T. J., Sandry, J., Vergauwe, E., &amp; Cowan, N. (2020). Do familiar memory items decay?. Journal of Experimental Psychology: Learning, Memory, and Cognition, 46(1), 60-76.</v>
      </c>
      <c r="B115">
        <f>'WM Single'!AA115</f>
        <v>6</v>
      </c>
      <c r="C115">
        <f>B115/60</f>
        <v>0.1</v>
      </c>
      <c r="D115" s="63">
        <f>'WM Single'!AM115</f>
        <v>-3.4356375042007142E-2</v>
      </c>
    </row>
    <row r="117" spans="1:4" x14ac:dyDescent="0.25">
      <c r="A117" t="str">
        <f>'WM Single'!B117</f>
        <v>Ricker, T. J., Sandry, J., Vergauwe, E., &amp; Cowan, N. (2020). Do familiar memory items decay?. Journal of Experimental Psychology: Learning, Memory, and Cognition, 46(1), 60-76.</v>
      </c>
      <c r="B117">
        <f>'WM Single'!AA117</f>
        <v>6</v>
      </c>
      <c r="C117">
        <f>B117/60</f>
        <v>0.1</v>
      </c>
      <c r="D117" s="63">
        <f>'WM Single'!AM117</f>
        <v>-2.6233709947067696E-2</v>
      </c>
    </row>
    <row r="119" spans="1:4" x14ac:dyDescent="0.25">
      <c r="A119" t="str">
        <f>'WM Single'!B119</f>
        <v>Ricker, T. J., Sandry, J., Vergauwe, E., &amp; Cowan, N. (2020). Do familiar memory items decay?. Journal of Experimental Psychology: Learning, Memory, and Cognition, 46(1), 60-76.</v>
      </c>
      <c r="B119">
        <f>'WM Single'!AA119</f>
        <v>6</v>
      </c>
      <c r="C119">
        <f>B119/60</f>
        <v>0.1</v>
      </c>
      <c r="D119" s="63">
        <f>'WM Single'!AM119</f>
        <v>-2.2197059679226718E-2</v>
      </c>
    </row>
    <row r="121" spans="1:4" x14ac:dyDescent="0.25">
      <c r="A121" t="str">
        <f>'WM Single'!B121</f>
        <v>Ricker, T. J., Sandry, J., Vergauwe, E., &amp; Cowan, N. (2020). Do familiar memory items decay?. Journal of Experimental Psychology: Learning, Memory, and Cognition, 46(1), 60-76.</v>
      </c>
      <c r="B121">
        <f>'WM Single'!AA121</f>
        <v>6</v>
      </c>
      <c r="C121">
        <f>B121/60</f>
        <v>0.1</v>
      </c>
      <c r="D121" s="63">
        <f>'WM Single'!AM121</f>
        <v>-4.5098904485789126E-2</v>
      </c>
    </row>
    <row r="123" spans="1:4" x14ac:dyDescent="0.25">
      <c r="A123" t="str">
        <f>'WM Single'!B123</f>
        <v>Ricker, T. J., Sandry, J., Vergauwe, E., &amp; Cowan, N. (2020). Do familiar memory items decay?. Journal of Experimental Psychology: Learning, Memory, and Cognition, 46(1), 60-76.</v>
      </c>
      <c r="B123">
        <f>'WM Single'!AA123</f>
        <v>6</v>
      </c>
      <c r="C123">
        <f>B123/60</f>
        <v>0.1</v>
      </c>
      <c r="D123" s="63">
        <f>'WM Single'!AM123</f>
        <v>-5.1546746482051729E-2</v>
      </c>
    </row>
    <row r="125" spans="1:4" x14ac:dyDescent="0.25">
      <c r="A125" t="str">
        <f>'WM Single'!B125</f>
        <v>Ricker, T. J., Sandry, J., Vergauwe, E., &amp; Cowan, N. (2020). Do familiar memory items decay?. Journal of Experimental Psychology: Learning, Memory, and Cognition, 46(1), 60-76.</v>
      </c>
      <c r="B125">
        <f>'WM Single'!AA125</f>
        <v>6</v>
      </c>
      <c r="C125">
        <f>B125/60</f>
        <v>0.1</v>
      </c>
      <c r="D125" s="63">
        <f>'WM Single'!AM125</f>
        <v>-4.3731420625169652E-2</v>
      </c>
    </row>
    <row r="127" spans="1:4" x14ac:dyDescent="0.25">
      <c r="A127" t="str">
        <f>'WM Single'!B127</f>
        <v>Ricker, T. J., Sandry, J., Vergauwe, E., &amp; Cowan, N. (2020). Do familiar memory items decay?. Journal of Experimental Psychology: Learning, Memory, and Cognition, 46(1), 60-76.</v>
      </c>
      <c r="B127">
        <f>'WM Single'!AA127</f>
        <v>6</v>
      </c>
      <c r="C127">
        <f>B127/60</f>
        <v>0.1</v>
      </c>
      <c r="D127" s="63">
        <f>'WM Single'!AM127</f>
        <v>-6.6633265431732133E-2</v>
      </c>
    </row>
    <row r="129" spans="1:4" x14ac:dyDescent="0.25">
      <c r="A129" t="str">
        <f>'WM Single'!B129</f>
        <v>Ricker, T. J., Sandry, J., Vergauwe, E., &amp; Cowan, N. (2020). Do familiar memory items decay?. Journal of Experimental Psychology: Learning, Memory, and Cognition, 46(1), 60-76.</v>
      </c>
      <c r="B129">
        <f>'WM Single'!AA129</f>
        <v>6</v>
      </c>
      <c r="C129">
        <f>B129/60</f>
        <v>0.1</v>
      </c>
      <c r="D129" s="63">
        <f>'WM Single'!AM129</f>
        <v>-4.5098904485789126E-2</v>
      </c>
    </row>
    <row r="131" spans="1:4" x14ac:dyDescent="0.25">
      <c r="A131" t="str">
        <f>'WM Single'!B131</f>
        <v>Squire, L. R., &amp; Slater, P. C. (1978). Anterograde and retrograde memory impairment in chronic amnesia. Neuropsychologia, 16(3), 313-322.</v>
      </c>
      <c r="B131">
        <f>'WM Single'!AA131</f>
        <v>18</v>
      </c>
      <c r="C131">
        <f>B131/60</f>
        <v>0.3</v>
      </c>
      <c r="D131" s="63">
        <f>'WM Single'!AM131</f>
        <v>-2.6987568669954182E-2</v>
      </c>
    </row>
    <row r="133" spans="1:4" x14ac:dyDescent="0.25">
      <c r="A133" t="str">
        <f>'WM Single'!B133</f>
        <v>Turvey, M. T. &amp; Weeks, R. A. (1979). Effects of proactive interference and rehearsal on the primary and secondary components of short-term retention. Quarterly Journal of Experimental Psychology, 27(1), 47-62.</v>
      </c>
      <c r="B133">
        <f>'WM Single'!AA133</f>
        <v>25</v>
      </c>
      <c r="C133">
        <f>B133/60</f>
        <v>0.41666666666666669</v>
      </c>
      <c r="D133" s="63">
        <f>'WM Single'!AM133</f>
        <v>-0.44661079519385649</v>
      </c>
    </row>
    <row r="135" spans="1:4" x14ac:dyDescent="0.25">
      <c r="A135" t="str">
        <f>'WM Single'!B135</f>
        <v>Turvey, M. T. &amp; Weeks, R. A. (1979). Effects of proactive interference and rehearsal on the primary and secondary components of short-term retention. Quarterly Journal of Experimental Psychology, 27(1), 47-62.</v>
      </c>
      <c r="B135">
        <f>'WM Single'!AA135</f>
        <v>30</v>
      </c>
      <c r="C135">
        <f>B135/60</f>
        <v>0.5</v>
      </c>
      <c r="D135" s="63">
        <f>'WM Single'!AM135</f>
        <v>-1.1666319730806457E-2</v>
      </c>
    </row>
    <row r="137" spans="1:4" x14ac:dyDescent="0.25">
      <c r="A137" t="str">
        <f>'WM Single'!B137</f>
        <v>Turvey, M. T. &amp; Weeks, R. A. (1979). Effects of proactive interference and rehearsal on the primary and secondary components of short-term retention. Quarterly Journal of Experimental Psychology, 27(1), 47-62.</v>
      </c>
      <c r="B137">
        <f>'WM Single'!AA137</f>
        <v>30</v>
      </c>
      <c r="C137">
        <f>B137/60</f>
        <v>0.5</v>
      </c>
      <c r="D137" s="63">
        <f>'WM Single'!AM137</f>
        <v>-6.7870112661232732E-2</v>
      </c>
    </row>
    <row r="139" spans="1:4" x14ac:dyDescent="0.25">
      <c r="A139" t="str">
        <f>'WM Single'!B139</f>
        <v>Turvey, M. T. &amp; Weeks, R. A. (1979). Effects of proactive interference and rehearsal on the primary and secondary components of short-term retention. Quarterly Journal of Experimental Psychology, 27(1), 47-62.</v>
      </c>
      <c r="B139">
        <f>'WM Single'!AA139</f>
        <v>30</v>
      </c>
      <c r="C139">
        <f>B139/60</f>
        <v>0.5</v>
      </c>
      <c r="D139" s="63">
        <f>'WM Single'!AM139</f>
        <v>-8.2331852575010564E-2</v>
      </c>
    </row>
    <row r="141" spans="1:4" x14ac:dyDescent="0.25">
      <c r="A141" t="str">
        <f>'WM Single'!B141</f>
        <v>Turvey, M. T. &amp; Weeks, R. A. (1979). Effects of proactive interference and rehearsal on the primary and secondary components of short-term retention. Quarterly Journal of Experimental Psychology, 27(1), 47-62.</v>
      </c>
      <c r="B141">
        <f>'WM Single'!AA141</f>
        <v>30</v>
      </c>
      <c r="C141">
        <f>B141/60</f>
        <v>0.5</v>
      </c>
      <c r="D141" s="63">
        <f>'WM Single'!AM141</f>
        <v>-0.29384836738253917</v>
      </c>
    </row>
    <row r="143" spans="1:4" x14ac:dyDescent="0.25">
      <c r="A143" t="str">
        <f>'WM Single'!B143</f>
        <v>Turvey, M. T. &amp; Weeks, R. A. (1979). Effects of proactive interference and rehearsal on the primary and secondary components of short-term retention. Quarterly Journal of Experimental Psychology, 27(1), 47-62.</v>
      </c>
      <c r="B143">
        <f>'WM Single'!AA143</f>
        <v>27</v>
      </c>
      <c r="C143">
        <f>B143/60</f>
        <v>0.45</v>
      </c>
      <c r="D143" s="63">
        <f>'WM Single'!AM143</f>
        <v>-0.18527236101789452</v>
      </c>
    </row>
    <row r="145" spans="1:5" x14ac:dyDescent="0.25">
      <c r="A145" t="str">
        <f>'WM Single'!B145</f>
        <v>Turvey, M. T. &amp; Weeks, R. A. (1979). Effects of proactive interference and rehearsal on the primary and secondary components of short-term retention. Quarterly Journal of Experimental Psychology, 27(1), 47-62.</v>
      </c>
      <c r="B145">
        <f>'WM Single'!AA145</f>
        <v>27</v>
      </c>
      <c r="C145">
        <f>B145/60</f>
        <v>0.45</v>
      </c>
      <c r="D145" s="171"/>
      <c r="E145" s="63">
        <f>'WM Single'!AM189</f>
        <v>-1.0788080782104132</v>
      </c>
    </row>
    <row r="147" spans="1:5" x14ac:dyDescent="0.25">
      <c r="A147" t="str">
        <f>'WM Single'!B147</f>
        <v>Turvey, M. T. &amp; Weeks, R. A. (1979). Effects of proactive interference and rehearsal on the primary and secondary components of short-term retention. Quarterly Journal of Experimental Psychology, 27(1), 47-62.</v>
      </c>
      <c r="B147">
        <f>'WM Single'!AA147</f>
        <v>27</v>
      </c>
      <c r="C147">
        <f>B147/60</f>
        <v>0.45</v>
      </c>
      <c r="D147" s="63">
        <f>'WM Single'!AM147</f>
        <v>-0.76804153859349633</v>
      </c>
    </row>
    <row r="149" spans="1:5" x14ac:dyDescent="0.25">
      <c r="A149" t="str">
        <f>'WM Single'!B149</f>
        <v>Turvey, M. T. &amp; Weeks, R. A. (1979). Effects of proactive interference and rehearsal on the primary and secondary components of short-term retention. Quarterly Journal of Experimental Psychology, 27(1), 47-62.</v>
      </c>
      <c r="B149">
        <f>'WM Single'!AA149</f>
        <v>27</v>
      </c>
      <c r="C149">
        <f>B149/60</f>
        <v>0.45</v>
      </c>
      <c r="D149" s="63">
        <f>'WM Single'!AM149</f>
        <v>-0.45455704407487479</v>
      </c>
    </row>
    <row r="151" spans="1:5" x14ac:dyDescent="0.25">
      <c r="A151" t="str">
        <f>'WM Single'!B151</f>
        <v>Vallar, G., &amp; Baddeley, A. D. (1982). Short-term forgetting and the articulatory loop.  Quarterly Journal of Experimental Psychology Section A, 34(1), 53-60.</v>
      </c>
      <c r="B151">
        <f>'WM Single'!AA151</f>
        <v>15</v>
      </c>
      <c r="C151">
        <f>B151/60</f>
        <v>0.25</v>
      </c>
      <c r="D151" s="63">
        <f>'WM Single'!AM151</f>
        <v>-3.9743751452330058E-3</v>
      </c>
    </row>
    <row r="153" spans="1:5" x14ac:dyDescent="0.25">
      <c r="A153" t="str">
        <f>'WM Single'!B153</f>
        <v>Vallar, G., &amp; Baddeley, A. D. (1982). Short-term forgetting and the articulatory loop.  Quarterly Journal of Experimental Psychology Section A, 34(1), 53-60.</v>
      </c>
      <c r="B153">
        <f>'WM Single'!AA153</f>
        <v>15</v>
      </c>
      <c r="C153">
        <f>B153/60</f>
        <v>0.25</v>
      </c>
      <c r="D153" s="63">
        <f>'WM Single'!AM153</f>
        <v>-3.9743751452330058E-3</v>
      </c>
    </row>
    <row r="155" spans="1:5" x14ac:dyDescent="0.25">
      <c r="A155" t="str">
        <f>'WM Single'!B155</f>
        <v>White, K. G. (2012). Dissociation of short-term forgetting from the passage of time. Journal of Experimental Psychology: Learning, Memory, and Cognition, 38(1), 255-259.</v>
      </c>
      <c r="B155">
        <f>'WM Single'!AA155</f>
        <v>32</v>
      </c>
      <c r="C155">
        <f>B155/60</f>
        <v>0.53333333333333333</v>
      </c>
      <c r="D155" s="63">
        <f>'WM Single'!AM155</f>
        <v>-4.3570999372430294E-2</v>
      </c>
    </row>
    <row r="157" spans="1:5" x14ac:dyDescent="0.25">
      <c r="A157" t="str">
        <f>'WM Single'!B157</f>
        <v>White, K. G. (2012). Dissociation of short-term forgetting from the passage of time. Journal of Experimental Psychology: Learning, Memory, and Cognition, 38(1), 255-259.</v>
      </c>
      <c r="B157">
        <f>'WM Single'!AA157</f>
        <v>32</v>
      </c>
      <c r="C157">
        <f>B157/60</f>
        <v>0.53333333333333333</v>
      </c>
      <c r="D157" s="63">
        <f>'WM Single'!AM157</f>
        <v>-8.8431452888231274E-2</v>
      </c>
    </row>
    <row r="159" spans="1:5" x14ac:dyDescent="0.25">
      <c r="A159" t="str">
        <f>'WM Single'!B159</f>
        <v>White, K. G. (2012). Dissociation of short-term forgetting from the passage of time. Journal of Experimental Psychology: Learning, Memory, and Cognition, 38(1), 255-259.</v>
      </c>
      <c r="B159">
        <f>'WM Single'!AA159</f>
        <v>32</v>
      </c>
      <c r="C159">
        <f>B159/60</f>
        <v>0.53333333333333333</v>
      </c>
      <c r="D159" s="63">
        <f>'WM Single'!AM159</f>
        <v>-2.212633693321656E-2</v>
      </c>
    </row>
    <row r="161" spans="1:4" x14ac:dyDescent="0.25">
      <c r="A161" t="str">
        <f>'WM Single'!B161</f>
        <v>White, K. G. (2012). Dissociation of short-term forgetting from the passage of time. Journal of Experimental Psychology: Learning, Memory, and Cognition, 38(1), 255-259.</v>
      </c>
      <c r="B161">
        <f>'WM Single'!AA161</f>
        <v>32</v>
      </c>
      <c r="C161">
        <f>B161/60</f>
        <v>0.53333333333333333</v>
      </c>
      <c r="D161" s="63">
        <f>'WM Single'!AM161</f>
        <v>-6.953808288736657E-2</v>
      </c>
    </row>
    <row r="163" spans="1:4" x14ac:dyDescent="0.25">
      <c r="A163" t="str">
        <f>'WM Single'!B163</f>
        <v>White, K. G. (2012). Dissociation of short-term forgetting from the passage of time. Journal of Experimental Psychology: Learning, Memory, and Cognition, 38(1), 255-259.</v>
      </c>
      <c r="B163">
        <f>'WM Single'!AA163</f>
        <v>32</v>
      </c>
      <c r="C163">
        <f>B163/60</f>
        <v>0.53333333333333333</v>
      </c>
      <c r="D163" s="63">
        <f>'WM Single'!AM163</f>
        <v>-0.24168381202492392</v>
      </c>
    </row>
    <row r="165" spans="1:4" x14ac:dyDescent="0.25">
      <c r="A165" t="str">
        <f>'WM Single'!B165</f>
        <v>White, K. G. (2012). Dissociation of short-term forgetting from the passage of time. Journal of Experimental Psychology: Learning, Memory, and Cognition, 38(1), 255-259.</v>
      </c>
      <c r="B165">
        <f>'WM Single'!AA165</f>
        <v>32</v>
      </c>
      <c r="C165">
        <f>B165/60</f>
        <v>0.53333333333333333</v>
      </c>
      <c r="D165" s="63">
        <f>'WM Single'!AM165</f>
        <v>-6.8650399587453712E-2</v>
      </c>
    </row>
    <row r="167" spans="1:4" x14ac:dyDescent="0.25">
      <c r="A167" t="str">
        <f>'WM Single'!B167</f>
        <v>White, K. G. (2012). Dissociation of short-term forgetting from the passage of time. Journal of Experimental Psychology: Learning, Memory, and Cognition, 38(1), 255-259.</v>
      </c>
      <c r="B167">
        <f>'WM Single'!AA167</f>
        <v>32</v>
      </c>
      <c r="C167">
        <f>B167/60</f>
        <v>0.53333333333333333</v>
      </c>
      <c r="D167" s="63">
        <f>'WM Single'!AM167</f>
        <v>-0.12311677041685908</v>
      </c>
    </row>
    <row r="169" spans="1:4" x14ac:dyDescent="0.25">
      <c r="A169" t="str">
        <f>'WM Single'!B169</f>
        <v>Wixted, J. T., &amp; Ebbesen, E. B. (1991). On the form of forgetting. Psychological Science, 2(6), 409-415.</v>
      </c>
      <c r="B169">
        <f>'WM Single'!AA169</f>
        <v>40</v>
      </c>
      <c r="C169">
        <f>B169/60</f>
        <v>0.66666666666666663</v>
      </c>
      <c r="D169" s="63">
        <f>'WM Single'!AM169</f>
        <v>-0.11908193382823912</v>
      </c>
    </row>
    <row r="171" spans="1:4" x14ac:dyDescent="0.25">
      <c r="A171" t="str">
        <f>'WM Single'!B171</f>
        <v>Wixted, J. T., &amp; Ebbesen, E. B. (1991). On the form of forgetting. Psychological Science, 2(6), 409-415.</v>
      </c>
      <c r="B171">
        <f>'WM Single'!AA171</f>
        <v>40</v>
      </c>
      <c r="C171">
        <f>B171/60</f>
        <v>0.66666666666666663</v>
      </c>
      <c r="D171" s="63">
        <f>'WM Single'!AM171</f>
        <v>-0.13685662436313883</v>
      </c>
    </row>
    <row r="173" spans="1:4" x14ac:dyDescent="0.25">
      <c r="A173" t="str">
        <f>'WM Single'!B173</f>
        <v>Zhang, W., &amp; Luck, S. J. (2009). Sudden death and gradual decay in visual working memory. Psychological Science, 20(4), 423-428.</v>
      </c>
      <c r="B173">
        <f>'WM Single'!AA173</f>
        <v>10</v>
      </c>
      <c r="C173">
        <f>B173/60</f>
        <v>0.16666666666666666</v>
      </c>
      <c r="D173" s="63">
        <f>'WM Single'!AM173</f>
        <v>-5.7956782843279799E-2</v>
      </c>
    </row>
    <row r="175" spans="1:4" x14ac:dyDescent="0.25">
      <c r="A175" t="str">
        <f>'WM Single'!B175</f>
        <v>Zhang, W., &amp; Luck, S. J. (2009). Sudden death and gradual decay in visual working memory. Psychological Science, 20(4), 423-428.</v>
      </c>
      <c r="B175">
        <f>'WM Single'!AA175</f>
        <v>10</v>
      </c>
      <c r="C175">
        <f>B175/60</f>
        <v>0.16666666666666666</v>
      </c>
      <c r="D175" s="63">
        <f>'WM Single'!AM175</f>
        <v>-0.10804502759734136</v>
      </c>
    </row>
    <row r="177" spans="4:4" x14ac:dyDescent="0.25">
      <c r="D177" s="63"/>
    </row>
    <row r="179" spans="4:4" x14ac:dyDescent="0.25">
      <c r="D179" s="63"/>
    </row>
    <row r="181" spans="4:4" x14ac:dyDescent="0.25">
      <c r="D181" s="63"/>
    </row>
    <row r="183" spans="4:4" x14ac:dyDescent="0.25">
      <c r="D183" s="63"/>
    </row>
    <row r="185" spans="4:4" x14ac:dyDescent="0.25">
      <c r="D185" s="63"/>
    </row>
    <row r="187" spans="4:4" x14ac:dyDescent="0.25">
      <c r="D187" s="63"/>
    </row>
    <row r="189" spans="4:4" x14ac:dyDescent="0.25">
      <c r="D189" s="63"/>
    </row>
    <row r="191" spans="4:4" x14ac:dyDescent="0.25">
      <c r="D191" s="63"/>
    </row>
    <row r="193" spans="4:4" x14ac:dyDescent="0.25">
      <c r="D193" s="63"/>
    </row>
    <row r="195" spans="4:4" x14ac:dyDescent="0.25">
      <c r="D195" s="63"/>
    </row>
    <row r="197" spans="4:4" x14ac:dyDescent="0.25">
      <c r="D197" s="63"/>
    </row>
    <row r="199" spans="4:4" x14ac:dyDescent="0.25">
      <c r="D199" s="63"/>
    </row>
    <row r="201" spans="4:4" x14ac:dyDescent="0.25">
      <c r="D201" s="63"/>
    </row>
    <row r="203" spans="4:4" x14ac:dyDescent="0.25">
      <c r="D203" s="63"/>
    </row>
    <row r="205" spans="4:4" x14ac:dyDescent="0.25">
      <c r="D205" s="63"/>
    </row>
    <row r="207" spans="4:4" x14ac:dyDescent="0.25">
      <c r="D207" s="63"/>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U49"/>
  <sheetViews>
    <sheetView workbookViewId="0">
      <selection activeCell="A2" sqref="A2"/>
    </sheetView>
  </sheetViews>
  <sheetFormatPr defaultColWidth="5.28515625" defaultRowHeight="12.75" outlineLevelCol="1" x14ac:dyDescent="0.2"/>
  <cols>
    <col min="1" max="1" width="11.28515625" style="61" bestFit="1" customWidth="1"/>
    <col min="2" max="2" width="9.7109375" style="14" customWidth="1"/>
    <col min="3" max="3" width="17.85546875" style="14" customWidth="1"/>
    <col min="4" max="4" width="6.85546875" style="64" customWidth="1"/>
    <col min="5" max="5" width="4.28515625" style="77" customWidth="1"/>
    <col min="6" max="6" width="10.28515625" style="64" bestFit="1" customWidth="1"/>
    <col min="7" max="7" width="9.28515625" style="64" customWidth="1"/>
    <col min="8" max="8" width="14.85546875" style="64" bestFit="1" customWidth="1"/>
    <col min="9" max="9" width="30.5703125" style="64" customWidth="1"/>
    <col min="10" max="10" width="17.5703125" style="64" customWidth="1"/>
    <col min="11" max="11" width="9.5703125" style="64" customWidth="1"/>
    <col min="12" max="13" width="9.7109375" style="64" customWidth="1"/>
    <col min="14" max="14" width="13.85546875" style="64" customWidth="1"/>
    <col min="15" max="15" width="8.7109375" style="64" customWidth="1"/>
    <col min="16" max="16" width="22.7109375" style="64" bestFit="1" customWidth="1"/>
    <col min="17" max="17" width="18.28515625" style="64" bestFit="1" customWidth="1"/>
    <col min="18" max="18" width="8.7109375" style="64" bestFit="1" customWidth="1"/>
    <col min="19" max="19" width="11.42578125" style="64" bestFit="1" customWidth="1"/>
    <col min="20" max="20" width="12.7109375" style="64" customWidth="1"/>
    <col min="21" max="21" width="10.42578125" style="64" bestFit="1" customWidth="1"/>
    <col min="22" max="22" width="10.42578125" style="64" customWidth="1"/>
    <col min="23" max="23" width="11.85546875" style="64" customWidth="1"/>
    <col min="24" max="24" width="8.140625" style="64" customWidth="1"/>
    <col min="25" max="25" width="10" style="77" customWidth="1"/>
    <col min="26" max="26" width="15.42578125" style="64" customWidth="1"/>
    <col min="27" max="27" width="11" style="64" customWidth="1"/>
    <col min="28" max="28" width="16.42578125" style="64" customWidth="1"/>
    <col min="29" max="29" width="13.5703125" style="64" customWidth="1"/>
    <col min="30" max="30" width="13.140625" style="64" customWidth="1"/>
    <col min="31" max="31" width="11" style="64" customWidth="1"/>
    <col min="32" max="32" width="12.5703125" style="81" customWidth="1"/>
    <col min="33" max="33" width="10.140625" style="57" customWidth="1"/>
    <col min="34" max="34" width="10.7109375" style="12" customWidth="1"/>
    <col min="35" max="35" width="10.7109375" style="57" customWidth="1"/>
    <col min="36" max="36" width="10.7109375" style="114" customWidth="1"/>
    <col min="37" max="40" width="10.7109375" style="57" customWidth="1"/>
    <col min="41" max="43" width="10.7109375" style="57" customWidth="1" outlineLevel="1"/>
    <col min="44" max="44" width="16.85546875" style="114" customWidth="1" outlineLevel="1"/>
    <col min="45" max="46" width="16.85546875" style="57" customWidth="1" outlineLevel="1"/>
    <col min="47" max="47" width="5.28515625" style="12" outlineLevel="1"/>
    <col min="48" max="50" width="13.42578125" style="45" bestFit="1" customWidth="1" outlineLevel="1"/>
    <col min="51" max="51" width="14.85546875" style="45" bestFit="1" customWidth="1" outlineLevel="1"/>
    <col min="52" max="53" width="14.5703125" style="45" bestFit="1" customWidth="1"/>
    <col min="54" max="54" width="13.5703125" style="45" bestFit="1" customWidth="1"/>
    <col min="55" max="57" width="13.5703125" style="20" bestFit="1" customWidth="1"/>
    <col min="58" max="62" width="12.42578125" style="20" bestFit="1" customWidth="1"/>
    <col min="63" max="74" width="10.42578125" style="20" bestFit="1" customWidth="1"/>
    <col min="75" max="95" width="11.42578125" style="20" bestFit="1" customWidth="1"/>
    <col min="96" max="99" width="12.42578125" style="14" bestFit="1" customWidth="1"/>
    <col min="100" max="133" width="10.42578125" style="14" bestFit="1" customWidth="1"/>
    <col min="134" max="16384" width="5.28515625" style="14"/>
  </cols>
  <sheetData>
    <row r="1" spans="1:99" ht="12" customHeight="1" x14ac:dyDescent="0.2">
      <c r="A1" s="61" t="s">
        <v>304</v>
      </c>
      <c r="B1" s="15" t="s">
        <v>0</v>
      </c>
      <c r="C1" s="15" t="s">
        <v>1</v>
      </c>
      <c r="D1" s="59" t="s">
        <v>2</v>
      </c>
      <c r="E1" s="75" t="s">
        <v>579</v>
      </c>
      <c r="F1" s="59" t="s">
        <v>6</v>
      </c>
      <c r="G1" s="59" t="s">
        <v>485</v>
      </c>
      <c r="H1" s="59" t="s">
        <v>1</v>
      </c>
      <c r="I1" s="59" t="s">
        <v>8</v>
      </c>
      <c r="J1" s="59" t="s">
        <v>7</v>
      </c>
      <c r="K1" s="59" t="s">
        <v>571</v>
      </c>
      <c r="L1" s="59" t="s">
        <v>565</v>
      </c>
      <c r="M1" s="59" t="s">
        <v>569</v>
      </c>
      <c r="N1" s="59" t="s">
        <v>566</v>
      </c>
      <c r="O1" s="59" t="s">
        <v>5</v>
      </c>
      <c r="P1" s="59" t="s">
        <v>570</v>
      </c>
      <c r="Q1" s="59" t="s">
        <v>3</v>
      </c>
      <c r="R1" s="59" t="s">
        <v>568</v>
      </c>
      <c r="S1" s="59" t="s">
        <v>4</v>
      </c>
      <c r="T1" s="59" t="s">
        <v>237</v>
      </c>
      <c r="U1" s="59" t="s">
        <v>910</v>
      </c>
      <c r="V1" s="59" t="s">
        <v>563</v>
      </c>
      <c r="W1" s="59" t="s">
        <v>564</v>
      </c>
      <c r="X1" s="59" t="s">
        <v>576</v>
      </c>
      <c r="Y1" s="75" t="s">
        <v>558</v>
      </c>
      <c r="Z1" s="59" t="s">
        <v>577</v>
      </c>
      <c r="AA1" s="59" t="s">
        <v>327</v>
      </c>
      <c r="AB1" s="59" t="s">
        <v>325</v>
      </c>
      <c r="AC1" s="59" t="s">
        <v>326</v>
      </c>
      <c r="AD1" s="59" t="s">
        <v>578</v>
      </c>
      <c r="AE1" s="59" t="s">
        <v>559</v>
      </c>
      <c r="AF1" s="79" t="s">
        <v>560</v>
      </c>
      <c r="AG1" s="55" t="s">
        <v>546</v>
      </c>
      <c r="AH1" s="4"/>
      <c r="AI1" s="139" t="s">
        <v>297</v>
      </c>
      <c r="AJ1" s="111" t="s">
        <v>289</v>
      </c>
      <c r="AK1" s="55" t="s">
        <v>9</v>
      </c>
      <c r="AL1" s="139" t="s">
        <v>298</v>
      </c>
      <c r="AM1" s="55" t="s">
        <v>10</v>
      </c>
      <c r="AN1" s="55" t="s">
        <v>11</v>
      </c>
      <c r="AO1" s="139" t="s">
        <v>907</v>
      </c>
      <c r="AP1" s="55" t="s">
        <v>303</v>
      </c>
      <c r="AQ1" s="139" t="s">
        <v>908</v>
      </c>
      <c r="AR1" s="111" t="s">
        <v>301</v>
      </c>
      <c r="AS1" s="139" t="s">
        <v>909</v>
      </c>
      <c r="AT1" s="55" t="s">
        <v>302</v>
      </c>
      <c r="AU1" s="4"/>
      <c r="AV1" s="11" t="s">
        <v>292</v>
      </c>
      <c r="AW1" s="11"/>
      <c r="AX1" s="11"/>
      <c r="AY1" s="11"/>
      <c r="AZ1" s="11"/>
      <c r="BA1" s="11"/>
      <c r="BB1" s="11"/>
      <c r="BC1" s="10"/>
      <c r="BD1" s="10"/>
      <c r="BE1" s="10"/>
      <c r="BF1" s="10"/>
      <c r="BG1" s="10"/>
      <c r="BH1" s="10"/>
      <c r="BI1" s="10"/>
      <c r="BJ1" s="10"/>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5"/>
      <c r="CS1" s="15"/>
      <c r="CT1" s="15"/>
      <c r="CU1" s="15"/>
    </row>
    <row r="2" spans="1:99" s="13" customFormat="1" ht="12" customHeight="1" x14ac:dyDescent="0.2">
      <c r="A2" s="68">
        <v>43509</v>
      </c>
      <c r="B2" s="70"/>
      <c r="C2" s="70"/>
      <c r="D2" s="69"/>
      <c r="E2" s="128"/>
      <c r="F2" s="69"/>
      <c r="G2" s="69"/>
      <c r="H2" s="69"/>
      <c r="I2" s="86"/>
      <c r="J2" s="69"/>
      <c r="K2" s="107"/>
      <c r="L2" s="107"/>
      <c r="M2" s="69"/>
      <c r="N2" s="69"/>
      <c r="O2" s="69"/>
      <c r="P2" s="69"/>
      <c r="Q2" s="69"/>
      <c r="R2" s="69"/>
      <c r="S2" s="69"/>
      <c r="T2" s="69"/>
      <c r="U2" s="69"/>
      <c r="V2" s="69"/>
      <c r="W2" s="69"/>
      <c r="X2" s="69"/>
      <c r="Y2" s="87"/>
      <c r="Z2" s="69"/>
      <c r="AA2" s="69"/>
      <c r="AB2" s="69"/>
      <c r="AC2" s="69"/>
      <c r="AD2" s="69"/>
      <c r="AE2" s="69"/>
      <c r="AF2" s="88"/>
      <c r="AG2" s="72"/>
      <c r="AH2" s="4"/>
      <c r="AI2" s="72"/>
      <c r="AJ2" s="110"/>
      <c r="AK2" s="72"/>
      <c r="AL2" s="72"/>
      <c r="AM2" s="72"/>
      <c r="AN2" s="72"/>
      <c r="AO2" s="72"/>
      <c r="AP2" s="72"/>
      <c r="AQ2" s="72"/>
      <c r="AR2" s="110"/>
      <c r="AS2" s="72"/>
      <c r="AT2" s="72"/>
      <c r="AU2" s="4"/>
      <c r="AV2" s="71">
        <v>3</v>
      </c>
      <c r="AW2" s="71">
        <v>9</v>
      </c>
      <c r="AX2" s="71">
        <v>18</v>
      </c>
      <c r="AY2" s="71">
        <v>27</v>
      </c>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1"/>
      <c r="CS2" s="1"/>
      <c r="CT2" s="1"/>
      <c r="CU2" s="1"/>
    </row>
    <row r="3" spans="1:99" s="13" customFormat="1" ht="12" customHeight="1" x14ac:dyDescent="0.2">
      <c r="A3" s="68">
        <v>43509</v>
      </c>
      <c r="B3" s="70" t="s">
        <v>243</v>
      </c>
      <c r="C3" s="70" t="s">
        <v>19</v>
      </c>
      <c r="D3" s="69">
        <v>1962</v>
      </c>
      <c r="E3" s="87">
        <v>1</v>
      </c>
      <c r="F3" s="69">
        <v>25</v>
      </c>
      <c r="G3" s="69">
        <v>25</v>
      </c>
      <c r="H3" s="69" t="s">
        <v>22</v>
      </c>
      <c r="I3" s="69" t="s">
        <v>21</v>
      </c>
      <c r="J3" s="69" t="s">
        <v>443</v>
      </c>
      <c r="K3" s="69">
        <f>IF(J3="syllables",1,IF(J3="trigrams",2,IF(J3="strings",3,IF(J3="visual array",4,IF(J3="characters",5,IF(J3="letters",6,IF(J3="free forms",7,IF(J3="odors",8,IF(J3="words",9,IF(J3="pictures",10,IF(J3="object pictures",11,IF(J3="faces",12,IF(J3="names",13,IF(J3="idioms",14,IF(J3="grades",15,IF(J3="syllable-digit pairs",16,IF(J3="trigram-word pairs",17,IF(J3="word-digit pairs",18,IF(J3="English-Swahili pairs",19,IF(J3="spatial position",20,IF(J3="word pairs",21,IF(J3="word triads",22,IF(J3="generated words",23,IF(J3="word definition pairs",24,IF(J3="math problems",25,IF(J3="famous faces",26,IF(J3="famous names",27,IF(J3="famous voices",28,IF(J3="television programs",29,IF(J3="race horses",30,IF(J3="new vocabulary",31,IF(J3="sentences",32,IF(J3="concepts",33,IF(J3="ad slides",34,IF(J3="scenes",35,IF(J3="famous scenes",36,IF(J3="poems",37,IF(J3="walk",38,IF(J3="faces and events",39,IF(J3="events and names",40,IF(J3="flashbulb",41,IF(J3="stories",42,IF(J3="course material",43,IF(J3="autobiographical",44,IF(J3="novels",45,IF(J3="public events",46,"99"))))))))))))))))))))))))))))))))))))))))))))))</f>
        <v>2</v>
      </c>
      <c r="L3" s="69">
        <f>IF(J3="syllables",1,IF(J3="trigrams",1,IF(J3="strings",1,IF(J3="visual array",1,IF(J3="characters",1,IF(J3="letters",1,IF(J3="free forms",1,IF(J3="odors",2,IF(J3="words",2,IF(J3="pictures",2,IF(J3="object pictures",2,IF(J3="faces",2,IF(J3="names",2,IF(J3="idioms","2",IF(J3="grades",2,IF(J3="syllable-digit pairs",3,IF(J3="trigram-word pairs",3,IF(J3="word-digit pairs",3,IF(J3="English-Swahili pairs",3,IF(J3="spatial position",3,IF(J3="word pairs",4,IF(J3="word triads",4,IF(J3="generated words",4,IF(J3="word definition pairs",4,IF(J3="math problems",4,IF(J3="famous faces",4,IF(J3="famous names",4,IF(J3="famous voices",4,IF(J3="television programs",4,IF(J3="race horses",4,IF(J3="new vocabulary",4,IF(J3="sentences",5,IF(J3="concepts",5,IF(J3="ad slides",5,IF(J3="scenes",5,IF(J3="famous scenes",5,IF(J3="poems",6,IF(J3="walk",6,IF(J3="faces and events",6,IF(J3="events and names",6,IF(J3="flashbulb",7,IF(J3="stories",7,IF(J3="course material",7,IF(J3="autobiographical",7,IF(J3="novels",7,IF(J3="public events",7,"99"))))))))))))))))))))))))))))))))))))))))))))))</f>
        <v>1</v>
      </c>
      <c r="M3" s="69">
        <v>1</v>
      </c>
      <c r="N3" s="69">
        <v>2</v>
      </c>
      <c r="O3" s="69">
        <v>0</v>
      </c>
      <c r="P3" s="69"/>
      <c r="Q3" s="69" t="s">
        <v>174</v>
      </c>
      <c r="R3" s="69">
        <f>IF(Q3="Free Recall",1,IF(Q3="Cued Recall",2,IF(Q3="Recognition",3,IF(Q3="Multiple Choice",4,IF(Q3="Savings",5,IF(Q3="Stem Completion",6,IF(Q3="Fragment Completion",7,IF(Q3="anagram solution",8,IF(Q3="Matching",9,IF(Q3="Problem Solving",10,"99"))))))))))</f>
        <v>1</v>
      </c>
      <c r="S3" s="69" t="s">
        <v>20</v>
      </c>
      <c r="T3" s="92" t="s">
        <v>581</v>
      </c>
      <c r="U3" s="69">
        <f>IF(T3="within",1,0)</f>
        <v>1</v>
      </c>
      <c r="V3" s="92">
        <v>4</v>
      </c>
      <c r="W3" s="69">
        <f>F3*V3</f>
        <v>100</v>
      </c>
      <c r="X3" s="69">
        <v>4</v>
      </c>
      <c r="Y3" s="87">
        <f>AV2</f>
        <v>3</v>
      </c>
      <c r="Z3" s="69" t="s">
        <v>23</v>
      </c>
      <c r="AA3" s="69">
        <v>27</v>
      </c>
      <c r="AB3" s="69" t="str">
        <f>IF(AA3&lt;60,"1",IF(AA3&lt;=43200,"2",IF(AA3&lt;=777600,"3","4")))</f>
        <v>1</v>
      </c>
      <c r="AC3" s="72">
        <f>AVERAGE(AV2:DA2)</f>
        <v>14.25</v>
      </c>
      <c r="AD3" s="69" t="str">
        <f>IF(AC3&lt;60,"1",IF(AC3&lt;=43200,"2",IF(AC3&lt;=777600,"3","4")))</f>
        <v>1</v>
      </c>
      <c r="AE3" s="87">
        <f>AA3-Y3</f>
        <v>24</v>
      </c>
      <c r="AF3" s="88">
        <f>AV3</f>
        <v>0.99</v>
      </c>
      <c r="AG3" s="72">
        <f>((AW3-AV3)+(AX3-AW3)+(AY3-AX3))/3</f>
        <v>-0.10999999999999999</v>
      </c>
      <c r="AH3" s="4"/>
      <c r="AI3" s="72">
        <f>RSQ(AV3:AY3,AV2:AY2)</f>
        <v>0.98074974670719328</v>
      </c>
      <c r="AJ3" s="110">
        <f>SLOPE(AV3:AY3,AV2:AY2)</f>
        <v>-1.3968253968253967E-2</v>
      </c>
      <c r="AK3" s="72">
        <f>INTERCEPT(AV3:AY3,AV2:AY2)</f>
        <v>1.019047619047619</v>
      </c>
      <c r="AL3" s="72">
        <f>INDEX(LINEST(LN(AV3:AY3),LN(AV2:AY2),TRUE,TRUE),3,1)</f>
        <v>0.93740373155948509</v>
      </c>
      <c r="AM3" s="72">
        <f>INDEX(LINEST(LN(AV3:AY3),LN(AV2:AY2)),1)</f>
        <v>-0.18312881467046671</v>
      </c>
      <c r="AN3" s="72">
        <f>EXP(INDEX(LINEST(LN(AV3:AY3),LN(AV2:AY2)),1,2))</f>
        <v>1.2502052847004517</v>
      </c>
      <c r="AO3" s="89">
        <f>INDEX(LINEST((AV3:AY3),LN(AV2:AY2),TRUE,TRUE),3,1)</f>
        <v>0.9571283536120706</v>
      </c>
      <c r="AP3" s="89">
        <f>INDEX(LINEST((AV3:AY3),LN(AV2:AY2)),1)</f>
        <v>-0.15066979747543377</v>
      </c>
      <c r="AQ3" s="90">
        <f>INDEX(LINEST(LN(AV3:AY3),SQRT(AV2:AY2),TRUE,TRUE),3,1)</f>
        <v>0.9878899637787405</v>
      </c>
      <c r="AR3" s="117">
        <f>INDEX(LINEST(LN(AV3:AY3),SQRT((AV2:AY2))),1)</f>
        <v>-0.12010673419975991</v>
      </c>
      <c r="AS3" s="91">
        <f>INDEX(LINEST(1/(AV3:AY3),1/(SQRT(AV2:AY2)),TRUE,TRUE),3,1)</f>
        <v>0.8167422151129321</v>
      </c>
      <c r="AT3" s="91">
        <f>INDEX(LINEST(1/(AV3:AY3),1/SQRT(AV2:AY2)),1)</f>
        <v>-1.189768001447064</v>
      </c>
      <c r="AU3" s="3"/>
      <c r="AV3" s="73">
        <v>0.99</v>
      </c>
      <c r="AW3" s="73">
        <v>0.89</v>
      </c>
      <c r="AX3" s="73">
        <v>0.74</v>
      </c>
      <c r="AY3" s="73">
        <v>0.66</v>
      </c>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1"/>
      <c r="CS3" s="1"/>
      <c r="CT3" s="1"/>
      <c r="CU3" s="1"/>
    </row>
    <row r="4" spans="1:99" s="13" customFormat="1" ht="12" customHeight="1" x14ac:dyDescent="0.2">
      <c r="A4" s="68">
        <v>43509</v>
      </c>
      <c r="B4" s="70"/>
      <c r="C4" s="70"/>
      <c r="D4" s="69"/>
      <c r="E4" s="87"/>
      <c r="F4" s="69"/>
      <c r="G4" s="69"/>
      <c r="H4" s="69"/>
      <c r="I4" s="69"/>
      <c r="J4" s="69"/>
      <c r="K4" s="107"/>
      <c r="L4" s="107"/>
      <c r="M4" s="69"/>
      <c r="N4" s="69"/>
      <c r="O4" s="69"/>
      <c r="P4" s="69"/>
      <c r="Q4" s="69"/>
      <c r="R4" s="69"/>
      <c r="S4" s="69"/>
      <c r="T4" s="92"/>
      <c r="U4" s="69"/>
      <c r="V4" s="92"/>
      <c r="W4" s="69"/>
      <c r="X4" s="69"/>
      <c r="Y4" s="87"/>
      <c r="Z4" s="69"/>
      <c r="AA4" s="69"/>
      <c r="AB4" s="69"/>
      <c r="AC4" s="69"/>
      <c r="AD4" s="69"/>
      <c r="AE4" s="69"/>
      <c r="AF4" s="88"/>
      <c r="AG4" s="72"/>
      <c r="AH4" s="4"/>
      <c r="AI4" s="72"/>
      <c r="AJ4" s="110"/>
      <c r="AK4" s="72"/>
      <c r="AL4" s="72"/>
      <c r="AM4" s="72"/>
      <c r="AN4" s="72"/>
      <c r="AO4" s="89"/>
      <c r="AP4" s="89"/>
      <c r="AQ4" s="72"/>
      <c r="AR4" s="110"/>
      <c r="AS4" s="72"/>
      <c r="AT4" s="72"/>
      <c r="AU4" s="3"/>
      <c r="AV4" s="71">
        <v>3</v>
      </c>
      <c r="AW4" s="71">
        <v>9</v>
      </c>
      <c r="AX4" s="71">
        <v>18</v>
      </c>
      <c r="AY4" s="71">
        <v>27</v>
      </c>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1"/>
      <c r="CS4" s="1"/>
      <c r="CT4" s="1"/>
      <c r="CU4" s="1"/>
    </row>
    <row r="5" spans="1:99" s="13" customFormat="1" ht="12" customHeight="1" x14ac:dyDescent="0.2">
      <c r="A5" s="68">
        <v>43509</v>
      </c>
      <c r="B5" s="70" t="s">
        <v>243</v>
      </c>
      <c r="C5" s="70" t="s">
        <v>19</v>
      </c>
      <c r="D5" s="69">
        <v>1962</v>
      </c>
      <c r="E5" s="87">
        <v>1</v>
      </c>
      <c r="F5" s="69">
        <v>25</v>
      </c>
      <c r="G5" s="69">
        <v>25</v>
      </c>
      <c r="H5" s="69" t="s">
        <v>22</v>
      </c>
      <c r="I5" s="69" t="s">
        <v>24</v>
      </c>
      <c r="J5" s="69" t="s">
        <v>443</v>
      </c>
      <c r="K5" s="69">
        <f>IF(J5="syllables",1,IF(J5="trigrams",2,IF(J5="strings",3,IF(J5="visual array",4,IF(J5="characters",5,IF(J5="letters",6,IF(J5="free forms",7,IF(J5="odors",8,IF(J5="words",9,IF(J5="pictures",10,IF(J5="object pictures",11,IF(J5="faces",12,IF(J5="names",13,IF(J5="idioms",14,IF(J5="grades",15,IF(J5="syllable-digit pairs",16,IF(J5="trigram-word pairs",17,IF(J5="word-digit pairs",18,IF(J5="English-Swahili pairs",19,IF(J5="spatial position",20,IF(J5="word pairs",21,IF(J5="word triads",22,IF(J5="generated words",23,IF(J5="word definition pairs",24,IF(J5="math problems",25,IF(J5="famous faces",26,IF(J5="famous names",27,IF(J5="famous voices",28,IF(J5="television programs",29,IF(J5="race horses",30,IF(J5="new vocabulary",31,IF(J5="sentences",32,IF(J5="concepts",33,IF(J5="ad slides",34,IF(J5="scenes",35,IF(J5="famous scenes",36,IF(J5="poems",37,IF(J5="walk",38,IF(J5="faces and events",39,IF(J5="events and names",40,IF(J5="flashbulb",41,IF(J5="stories",42,IF(J5="course material",43,IF(J5="autobiographical",44,IF(J5="novels",45,IF(J5="public events",46,"99"))))))))))))))))))))))))))))))))))))))))))))))</f>
        <v>2</v>
      </c>
      <c r="L5" s="69">
        <f>IF(J5="syllables",1,IF(J5="trigrams",1,IF(J5="strings",1,IF(J5="visual array",1,IF(J5="characters",1,IF(J5="letters",1,IF(J5="free forms",1,IF(J5="odors",2,IF(J5="words",2,IF(J5="pictures",2,IF(J5="object pictures",2,IF(J5="faces",2,IF(J5="names",2,IF(J5="idioms","2",IF(J5="grades",2,IF(J5="syllable-digit pairs",3,IF(J5="trigram-word pairs",3,IF(J5="word-digit pairs",3,IF(J5="English-Swahili pairs",3,IF(J5="spatial position",3,IF(J5="word pairs",4,IF(J5="word triads",4,IF(J5="generated words",4,IF(J5="word definition pairs",4,IF(J5="math problems",4,IF(J5="famous faces",4,IF(J5="famous names",4,IF(J5="famous voices",4,IF(J5="television programs",4,IF(J5="race horses",4,IF(J5="new vocabulary",4,IF(J5="sentences",5,IF(J5="concepts",5,IF(J5="ad slides",5,IF(J5="scenes",5,IF(J5="famous scenes",5,IF(J5="poems",6,IF(J5="walk",6,IF(J5="faces and events",6,IF(J5="events and names",6,IF(J5="flashbulb",7,IF(J5="stories",7,IF(J5="course material",7,IF(J5="autobiographical",7,IF(J5="novels",7,IF(J5="public events",7,"99"))))))))))))))))))))))))))))))))))))))))))))))</f>
        <v>1</v>
      </c>
      <c r="M5" s="69">
        <v>1</v>
      </c>
      <c r="N5" s="69">
        <v>2</v>
      </c>
      <c r="O5" s="69">
        <v>0</v>
      </c>
      <c r="P5" s="69"/>
      <c r="Q5" s="69" t="s">
        <v>174</v>
      </c>
      <c r="R5" s="69">
        <f>IF(Q5="Free Recall",1,IF(Q5="Cued Recall",2,IF(Q5="Recognition",3,IF(Q5="Multiple Choice",4,IF(Q5="Savings",5,IF(Q5="Stem Completion",6,IF(Q5="Fragment Completion",7,IF(Q5="anagram solution",8,IF(Q5="Matching",9,IF(Q5="Problem Solving",10,"99"))))))))))</f>
        <v>1</v>
      </c>
      <c r="S5" s="69" t="s">
        <v>20</v>
      </c>
      <c r="T5" s="92" t="s">
        <v>581</v>
      </c>
      <c r="U5" s="69">
        <f>IF(T5="within",1,0)</f>
        <v>1</v>
      </c>
      <c r="V5" s="92">
        <v>4</v>
      </c>
      <c r="W5" s="69">
        <f>F5*V5</f>
        <v>100</v>
      </c>
      <c r="X5" s="69">
        <v>4</v>
      </c>
      <c r="Y5" s="87">
        <f>AV4</f>
        <v>3</v>
      </c>
      <c r="Z5" s="69" t="s">
        <v>23</v>
      </c>
      <c r="AA5" s="69">
        <v>27</v>
      </c>
      <c r="AB5" s="69" t="str">
        <f>IF(AA5&lt;60,"1",IF(AA5&lt;=43200,"2",IF(AA5&lt;=777600,"3","4")))</f>
        <v>1</v>
      </c>
      <c r="AC5" s="72">
        <f>AVERAGE(AV4:DA4)</f>
        <v>14.25</v>
      </c>
      <c r="AD5" s="69" t="str">
        <f>IF(AC5&lt;60,"1",IF(AC5&lt;=43200,"2",IF(AC5&lt;=777600,"3","4")))</f>
        <v>1</v>
      </c>
      <c r="AE5" s="87">
        <f>AA5-Y5</f>
        <v>24</v>
      </c>
      <c r="AF5" s="88">
        <f>AV5</f>
        <v>0.94</v>
      </c>
      <c r="AG5" s="72">
        <f>((AW5-AV5)+(AX5-AW5)+(AY5-AX5))/3</f>
        <v>-0.15999999999999998</v>
      </c>
      <c r="AH5" s="4"/>
      <c r="AI5" s="72">
        <f>RSQ(AV5:AY5,AV4:AY4)</f>
        <v>0.94584485386391248</v>
      </c>
      <c r="AJ5" s="110">
        <f>SLOPE(AV5:AY5,AV4:AY4)</f>
        <v>-1.947845804988662E-2</v>
      </c>
      <c r="AK5" s="72">
        <f>INTERCEPT(AV5:AY5,AV4:AY4)</f>
        <v>0.95006802721088435</v>
      </c>
      <c r="AL5" s="72">
        <f>INDEX(LINEST(LN(AV5:AY5),LN(AV4:AY4),TRUE,TRUE),3,1)</f>
        <v>0.9729951417986954</v>
      </c>
      <c r="AM5" s="72">
        <f>INDEX(LINEST(LN(AV5:AY5),LN(AV4:AY4)),1)</f>
        <v>-0.31963089242931408</v>
      </c>
      <c r="AN5" s="72">
        <f>EXP(INDEX(LINEST(LN(AV5:AY5),LN(AV4:AY4)),1,2))</f>
        <v>1.3832769796896827</v>
      </c>
      <c r="AO5" s="89">
        <f>INDEX(LINEST((AV5:AY5),LN(AV4:AY4),TRUE,TRUE),3,1)</f>
        <v>0.99546770907767901</v>
      </c>
      <c r="AP5" s="89">
        <f>INDEX(LINEST((AV5:AY5),LN(AV4:AY4)),1)</f>
        <v>-0.21819073408424799</v>
      </c>
      <c r="AQ5" s="90">
        <f>INDEX(LINEST(LN(AV5:AY5),SQRT(AV4:AY4),TRUE,TRUE),3,1)</f>
        <v>0.99981441428992346</v>
      </c>
      <c r="AR5" s="117">
        <f>INDEX(LINEST(LN(AV5:AY5),SQRT((AV4:AY4))),1)</f>
        <v>-0.2070011863943125</v>
      </c>
      <c r="AS5" s="91">
        <f>INDEX(LINEST(1/(AV5:AY5),1/(SQRT(AV4:AY4)),TRUE,TRUE),3,1)</f>
        <v>0.84334583798219742</v>
      </c>
      <c r="AT5" s="91">
        <f>INDEX(LINEST(1/(AV5:AY5),1/SQRT(AV4:AY4)),1)</f>
        <v>-2.5845749098890201</v>
      </c>
      <c r="AU5" s="3"/>
      <c r="AV5" s="73">
        <v>0.94</v>
      </c>
      <c r="AW5" s="73">
        <v>0.73</v>
      </c>
      <c r="AX5" s="73">
        <v>0.56000000000000005</v>
      </c>
      <c r="AY5" s="73">
        <v>0.46</v>
      </c>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1"/>
      <c r="CS5" s="1"/>
      <c r="CT5" s="1"/>
      <c r="CU5" s="1"/>
    </row>
    <row r="6" spans="1:99" s="13" customFormat="1" ht="12" customHeight="1" x14ac:dyDescent="0.2">
      <c r="A6" s="68">
        <v>43509</v>
      </c>
      <c r="B6" s="70"/>
      <c r="C6" s="70"/>
      <c r="D6" s="69"/>
      <c r="E6" s="87"/>
      <c r="F6" s="69"/>
      <c r="G6" s="69"/>
      <c r="H6" s="69"/>
      <c r="I6" s="69"/>
      <c r="J6" s="69"/>
      <c r="K6" s="107"/>
      <c r="L6" s="107"/>
      <c r="M6" s="69"/>
      <c r="N6" s="69"/>
      <c r="O6" s="69"/>
      <c r="P6" s="69"/>
      <c r="Q6" s="69"/>
      <c r="R6" s="69"/>
      <c r="S6" s="69"/>
      <c r="T6" s="69"/>
      <c r="U6" s="69"/>
      <c r="V6" s="69"/>
      <c r="W6" s="69"/>
      <c r="X6" s="69"/>
      <c r="Y6" s="87"/>
      <c r="Z6" s="69"/>
      <c r="AA6" s="69"/>
      <c r="AB6" s="69"/>
      <c r="AC6" s="69"/>
      <c r="AD6" s="69"/>
      <c r="AE6" s="69"/>
      <c r="AF6" s="88"/>
      <c r="AG6" s="72"/>
      <c r="AH6" s="4"/>
      <c r="AI6" s="72"/>
      <c r="AJ6" s="110"/>
      <c r="AK6" s="72"/>
      <c r="AL6" s="72"/>
      <c r="AM6" s="72"/>
      <c r="AN6" s="72"/>
      <c r="AO6" s="89"/>
      <c r="AP6" s="89"/>
      <c r="AQ6" s="72"/>
      <c r="AR6" s="110"/>
      <c r="AS6" s="72"/>
      <c r="AT6" s="72"/>
      <c r="AU6" s="3"/>
      <c r="AV6" s="71">
        <v>3</v>
      </c>
      <c r="AW6" s="71">
        <v>9</v>
      </c>
      <c r="AX6" s="71">
        <v>18</v>
      </c>
      <c r="AY6" s="71">
        <v>27</v>
      </c>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1"/>
      <c r="CS6" s="1"/>
      <c r="CT6" s="1"/>
      <c r="CU6" s="1"/>
    </row>
    <row r="7" spans="1:99" s="13" customFormat="1" ht="12" customHeight="1" x14ac:dyDescent="0.2">
      <c r="A7" s="68">
        <v>43509</v>
      </c>
      <c r="B7" s="70" t="s">
        <v>243</v>
      </c>
      <c r="C7" s="70" t="s">
        <v>19</v>
      </c>
      <c r="D7" s="69">
        <v>1962</v>
      </c>
      <c r="E7" s="87">
        <v>1</v>
      </c>
      <c r="F7" s="69">
        <v>25</v>
      </c>
      <c r="G7" s="69">
        <v>25</v>
      </c>
      <c r="H7" s="69" t="s">
        <v>22</v>
      </c>
      <c r="I7" s="69" t="s">
        <v>25</v>
      </c>
      <c r="J7" s="69" t="s">
        <v>443</v>
      </c>
      <c r="K7" s="69">
        <f>IF(J7="syllables",1,IF(J7="trigrams",2,IF(J7="strings",3,IF(J7="visual array",4,IF(J7="characters",5,IF(J7="letters",6,IF(J7="free forms",7,IF(J7="odors",8,IF(J7="words",9,IF(J7="pictures",10,IF(J7="object pictures",11,IF(J7="faces",12,IF(J7="names",13,IF(J7="idioms",14,IF(J7="grades",15,IF(J7="syllable-digit pairs",16,IF(J7="trigram-word pairs",17,IF(J7="word-digit pairs",18,IF(J7="English-Swahili pairs",19,IF(J7="spatial position",20,IF(J7="word pairs",21,IF(J7="word triads",22,IF(J7="generated words",23,IF(J7="word definition pairs",24,IF(J7="math problems",25,IF(J7="famous faces",26,IF(J7="famous names",27,IF(J7="famous voices",28,IF(J7="television programs",29,IF(J7="race horses",30,IF(J7="new vocabulary",31,IF(J7="sentences",32,IF(J7="concepts",33,IF(J7="ad slides",34,IF(J7="scenes",35,IF(J7="famous scenes",36,IF(J7="poems",37,IF(J7="walk",38,IF(J7="faces and events",39,IF(J7="events and names",40,IF(J7="flashbulb",41,IF(J7="stories",42,IF(J7="course material",43,IF(J7="autobiographical",44,IF(J7="novels",45,IF(J7="public events",46,"99"))))))))))))))))))))))))))))))))))))))))))))))</f>
        <v>2</v>
      </c>
      <c r="L7" s="69">
        <f>IF(J7="syllables",1,IF(J7="trigrams",1,IF(J7="strings",1,IF(J7="visual array",1,IF(J7="characters",1,IF(J7="letters",1,IF(J7="free forms",1,IF(J7="odors",2,IF(J7="words",2,IF(J7="pictures",2,IF(J7="object pictures",2,IF(J7="faces",2,IF(J7="names",2,IF(J7="idioms","2",IF(J7="grades",2,IF(J7="syllable-digit pairs",3,IF(J7="trigram-word pairs",3,IF(J7="word-digit pairs",3,IF(J7="English-Swahili pairs",3,IF(J7="spatial position",3,IF(J7="word pairs",4,IF(J7="word triads",4,IF(J7="generated words",4,IF(J7="word definition pairs",4,IF(J7="math problems",4,IF(J7="famous faces",4,IF(J7="famous names",4,IF(J7="famous voices",4,IF(J7="television programs",4,IF(J7="race horses",4,IF(J7="new vocabulary",4,IF(J7="sentences",5,IF(J7="concepts",5,IF(J7="ad slides",5,IF(J7="scenes",5,IF(J7="famous scenes",5,IF(J7="poems",6,IF(J7="walk",6,IF(J7="faces and events",6,IF(J7="events and names",6,IF(J7="flashbulb",7,IF(J7="stories",7,IF(J7="course material",7,IF(J7="autobiographical",7,IF(J7="novels",7,IF(J7="public events",7,"99"))))))))))))))))))))))))))))))))))))))))))))))</f>
        <v>1</v>
      </c>
      <c r="M7" s="69">
        <v>1</v>
      </c>
      <c r="N7" s="69">
        <v>2</v>
      </c>
      <c r="O7" s="69">
        <v>0</v>
      </c>
      <c r="P7" s="69"/>
      <c r="Q7" s="69" t="s">
        <v>174</v>
      </c>
      <c r="R7" s="69">
        <f>IF(Q7="Free Recall",1,IF(Q7="Cued Recall",2,IF(Q7="Recognition",3,IF(Q7="Multiple Choice",4,IF(Q7="Savings",5,IF(Q7="Stem Completion",6,IF(Q7="Fragment Completion",7,IF(Q7="anagram solution",8,IF(Q7="Matching",9,IF(Q7="Problem Solving",10,"99"))))))))))</f>
        <v>1</v>
      </c>
      <c r="S7" s="69" t="s">
        <v>20</v>
      </c>
      <c r="T7" s="92" t="s">
        <v>581</v>
      </c>
      <c r="U7" s="69">
        <f>IF(T7="within",1,0)</f>
        <v>1</v>
      </c>
      <c r="V7" s="92">
        <v>4</v>
      </c>
      <c r="W7" s="69">
        <f>F7*V7</f>
        <v>100</v>
      </c>
      <c r="X7" s="69">
        <v>4</v>
      </c>
      <c r="Y7" s="87">
        <f>AV6</f>
        <v>3</v>
      </c>
      <c r="Z7" s="69" t="s">
        <v>23</v>
      </c>
      <c r="AA7" s="69">
        <v>27</v>
      </c>
      <c r="AB7" s="69" t="str">
        <f>IF(AA7&lt;60,"1",IF(AA7&lt;=43200,"2",IF(AA7&lt;=777600,"3","4")))</f>
        <v>1</v>
      </c>
      <c r="AC7" s="72">
        <f>AVERAGE(AV6:DA6)</f>
        <v>14.25</v>
      </c>
      <c r="AD7" s="69" t="str">
        <f>IF(AC7&lt;60,"1",IF(AC7&lt;=43200,"2",IF(AC7&lt;=777600,"3","4")))</f>
        <v>1</v>
      </c>
      <c r="AE7" s="87">
        <f>AA7-Y7</f>
        <v>24</v>
      </c>
      <c r="AF7" s="88">
        <f>AV7</f>
        <v>0.92</v>
      </c>
      <c r="AG7" s="72">
        <f>((AW7-AV7)+(AX7-AW7)+(AY7-AX7))/3</f>
        <v>-0.23333333333333336</v>
      </c>
      <c r="AH7" s="4"/>
      <c r="AI7" s="72">
        <f>RSQ(AV7:AY7,AV6:AY6)</f>
        <v>0.87828949855008243</v>
      </c>
      <c r="AJ7" s="110">
        <f>SLOPE(AV7:AY7,AV6:AY6)</f>
        <v>-2.7868480725623587E-2</v>
      </c>
      <c r="AK7" s="72">
        <f>INTERCEPT(AV7:AY7,AV6:AY6)</f>
        <v>0.89462585034013609</v>
      </c>
      <c r="AL7" s="72">
        <f>INDEX(LINEST(LN(AV7:AY7),LN(AV6:AY6),TRUE,TRUE),3,1)</f>
        <v>0.98109306493872339</v>
      </c>
      <c r="AM7" s="72">
        <f>INDEX(LINEST(LN(AV7:AY7),LN(AV6:AY6)),1)</f>
        <v>-0.6477753243400316</v>
      </c>
      <c r="AN7" s="72">
        <f>EXP(INDEX(LINEST(LN(AV7:AY7),LN(AV6:AY6)),1,2))</f>
        <v>1.9923984365974459</v>
      </c>
      <c r="AO7" s="89">
        <f>INDEX(LINEST((AV7:AY7),LN(AV6:AY6),TRUE,TRUE),3,1)</f>
        <v>0.99604940183029556</v>
      </c>
      <c r="AP7" s="89">
        <f>INDEX(LINEST((AV7:AY7),LN(AV6:AY6)),1)</f>
        <v>-0.32405071282640996</v>
      </c>
      <c r="AQ7" s="90">
        <f>INDEX(LINEST(LN(AV7:AY7),SQRT(AV6:AY6),TRUE,TRUE),3,1)</f>
        <v>0.99862343138477871</v>
      </c>
      <c r="AR7" s="117">
        <f>INDEX(LINEST(LN(AV7:AY7),SQRT((AV6:AY6))),1)</f>
        <v>-0.41753212882294566</v>
      </c>
      <c r="AS7" s="91">
        <f>INDEX(LINEST(1/(AV7:AY7),1/(SQRT(AV6:AY6)),TRUE,TRUE),3,1)</f>
        <v>0.79796024795160037</v>
      </c>
      <c r="AT7" s="91">
        <f>INDEX(LINEST(1/(AV7:AY7),1/SQRT(AV6:AY6)),1)</f>
        <v>-7.9266954024766552</v>
      </c>
      <c r="AU7" s="3"/>
      <c r="AV7" s="73">
        <v>0.92</v>
      </c>
      <c r="AW7" s="73">
        <v>0.54</v>
      </c>
      <c r="AX7" s="73">
        <v>0.31</v>
      </c>
      <c r="AY7" s="73">
        <v>0.22</v>
      </c>
      <c r="AZ7" s="53"/>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53"/>
      <c r="CI7" s="53"/>
      <c r="CJ7" s="53"/>
      <c r="CK7" s="53"/>
      <c r="CL7" s="53"/>
      <c r="CM7" s="53"/>
      <c r="CN7" s="53"/>
      <c r="CO7" s="53"/>
      <c r="CP7" s="53"/>
      <c r="CQ7" s="53"/>
      <c r="CR7" s="1"/>
      <c r="CS7" s="1"/>
      <c r="CT7" s="1"/>
      <c r="CU7" s="1"/>
    </row>
    <row r="8" spans="1:99" ht="12" customHeight="1" x14ac:dyDescent="0.2">
      <c r="R8" s="60"/>
      <c r="U8" s="60"/>
      <c r="W8" s="60"/>
      <c r="Y8" s="76"/>
      <c r="AB8" s="60"/>
      <c r="AD8" s="60"/>
      <c r="AE8" s="60"/>
      <c r="AF8" s="80"/>
    </row>
    <row r="9" spans="1:99" ht="12" customHeight="1" x14ac:dyDescent="0.2">
      <c r="K9" s="60"/>
      <c r="R9" s="60"/>
      <c r="U9" s="60"/>
      <c r="Y9" s="64"/>
      <c r="AB9" s="60"/>
      <c r="AD9" s="60"/>
      <c r="AE9" s="77"/>
      <c r="AF9" s="57"/>
      <c r="AM9" s="57">
        <f>AVERAGE(AM3:AM7)</f>
        <v>-0.38351167714660411</v>
      </c>
    </row>
    <row r="10" spans="1:99" ht="12" customHeight="1" x14ac:dyDescent="0.2">
      <c r="R10" s="60"/>
      <c r="Y10" s="64"/>
      <c r="AB10" s="60"/>
      <c r="AD10" s="60"/>
      <c r="AF10" s="64"/>
    </row>
    <row r="11" spans="1:99" ht="12" customHeight="1" x14ac:dyDescent="0.2">
      <c r="K11" s="60"/>
      <c r="R11" s="60"/>
      <c r="Y11" s="64"/>
      <c r="AB11" s="60"/>
      <c r="AD11" s="60"/>
      <c r="AF11" s="64"/>
    </row>
    <row r="12" spans="1:99" ht="12" customHeight="1" x14ac:dyDescent="0.2">
      <c r="R12" s="60"/>
      <c r="Y12" s="64"/>
      <c r="AB12" s="60"/>
      <c r="AD12" s="60"/>
      <c r="AF12" s="57"/>
    </row>
    <row r="13" spans="1:99" ht="12" customHeight="1" x14ac:dyDescent="0.2">
      <c r="K13" s="60"/>
      <c r="R13" s="60"/>
      <c r="Y13" s="64"/>
      <c r="AB13" s="60"/>
      <c r="AD13" s="60"/>
      <c r="AF13" s="64"/>
    </row>
    <row r="14" spans="1:99" ht="12" customHeight="1" x14ac:dyDescent="0.2">
      <c r="R14" s="60"/>
      <c r="W14" s="60"/>
      <c r="Y14" s="76"/>
      <c r="AB14" s="60"/>
      <c r="AD14" s="60"/>
      <c r="AE14" s="60"/>
      <c r="AF14" s="80"/>
    </row>
    <row r="15" spans="1:99" ht="12" customHeight="1" x14ac:dyDescent="0.2">
      <c r="K15" s="60"/>
      <c r="R15" s="60"/>
      <c r="W15" s="60"/>
      <c r="Y15" s="76"/>
      <c r="AB15" s="60"/>
      <c r="AD15" s="60"/>
      <c r="AE15" s="76"/>
      <c r="AF15" s="80"/>
    </row>
    <row r="16" spans="1:99" ht="12" customHeight="1" x14ac:dyDescent="0.2">
      <c r="R16" s="60"/>
      <c r="W16" s="60"/>
      <c r="Y16" s="76"/>
      <c r="AB16" s="60"/>
      <c r="AD16" s="60"/>
      <c r="AE16" s="60"/>
      <c r="AF16" s="80"/>
    </row>
    <row r="17" spans="11:32" ht="12" customHeight="1" x14ac:dyDescent="0.2">
      <c r="K17" s="60"/>
      <c r="L17" s="60"/>
      <c r="R17" s="60"/>
      <c r="W17" s="60"/>
      <c r="Y17" s="76"/>
      <c r="AB17" s="60"/>
      <c r="AE17" s="76"/>
      <c r="AF17" s="80"/>
    </row>
    <row r="18" spans="11:32" ht="12" customHeight="1" x14ac:dyDescent="0.2">
      <c r="R18" s="60"/>
      <c r="W18" s="60"/>
      <c r="Y18" s="76"/>
      <c r="AB18" s="60"/>
      <c r="AE18" s="60"/>
      <c r="AF18" s="80"/>
    </row>
    <row r="19" spans="11:32" ht="12" customHeight="1" x14ac:dyDescent="0.2">
      <c r="K19" s="60"/>
      <c r="L19" s="60"/>
      <c r="R19" s="60"/>
      <c r="W19" s="60"/>
      <c r="Y19" s="76"/>
      <c r="AB19" s="60"/>
      <c r="AE19" s="76"/>
      <c r="AF19" s="80"/>
    </row>
    <row r="20" spans="11:32" ht="12" customHeight="1" x14ac:dyDescent="0.2">
      <c r="R20" s="60"/>
      <c r="W20" s="60"/>
      <c r="Y20" s="76"/>
      <c r="AB20" s="60"/>
      <c r="AE20" s="60"/>
      <c r="AF20" s="80"/>
    </row>
    <row r="21" spans="11:32" ht="12" customHeight="1" x14ac:dyDescent="0.2">
      <c r="K21" s="60"/>
      <c r="L21" s="60"/>
      <c r="R21" s="60"/>
      <c r="W21" s="60"/>
      <c r="Y21" s="76"/>
      <c r="AB21" s="60"/>
      <c r="AE21" s="76"/>
      <c r="AF21" s="80"/>
    </row>
    <row r="22" spans="11:32" ht="12" customHeight="1" x14ac:dyDescent="0.2">
      <c r="R22" s="60"/>
      <c r="W22" s="60"/>
      <c r="Y22" s="76"/>
      <c r="AB22" s="60"/>
      <c r="AE22" s="60"/>
      <c r="AF22" s="80"/>
    </row>
    <row r="23" spans="11:32" ht="12" customHeight="1" x14ac:dyDescent="0.2">
      <c r="K23" s="60"/>
      <c r="L23" s="60"/>
      <c r="R23" s="60"/>
      <c r="W23" s="60"/>
      <c r="Y23" s="76"/>
      <c r="AB23" s="60"/>
      <c r="AE23" s="76"/>
      <c r="AF23" s="80"/>
    </row>
    <row r="24" spans="11:32" ht="12" customHeight="1" x14ac:dyDescent="0.2">
      <c r="R24" s="60"/>
      <c r="W24" s="60"/>
      <c r="Y24" s="76"/>
      <c r="AB24" s="60"/>
      <c r="AE24" s="60"/>
      <c r="AF24" s="80"/>
    </row>
    <row r="25" spans="11:32" ht="12" customHeight="1" x14ac:dyDescent="0.2">
      <c r="K25" s="60"/>
      <c r="L25" s="60"/>
      <c r="R25" s="60"/>
      <c r="W25" s="60"/>
      <c r="Y25" s="76"/>
      <c r="AB25" s="60"/>
      <c r="AE25" s="76"/>
      <c r="AF25" s="80"/>
    </row>
    <row r="26" spans="11:32" ht="12" customHeight="1" x14ac:dyDescent="0.2">
      <c r="R26" s="60"/>
      <c r="W26" s="60"/>
      <c r="Y26" s="76"/>
      <c r="AB26" s="60"/>
      <c r="AE26" s="60"/>
      <c r="AF26" s="80"/>
    </row>
    <row r="27" spans="11:32" ht="12" customHeight="1" x14ac:dyDescent="0.2">
      <c r="K27" s="60"/>
      <c r="L27" s="60"/>
      <c r="R27" s="60"/>
      <c r="W27" s="60"/>
      <c r="Y27" s="76"/>
      <c r="AB27" s="60"/>
      <c r="AE27" s="76"/>
      <c r="AF27" s="80"/>
    </row>
    <row r="28" spans="11:32" ht="12" customHeight="1" x14ac:dyDescent="0.2">
      <c r="R28" s="60"/>
      <c r="W28" s="60"/>
      <c r="Y28" s="76"/>
      <c r="AB28" s="60"/>
      <c r="AE28" s="60"/>
      <c r="AF28" s="80"/>
    </row>
    <row r="29" spans="11:32" ht="12" customHeight="1" x14ac:dyDescent="0.2">
      <c r="K29" s="60"/>
      <c r="L29" s="60"/>
      <c r="R29" s="60"/>
      <c r="W29" s="60"/>
      <c r="Y29" s="76"/>
      <c r="AB29" s="60"/>
      <c r="AE29" s="76"/>
      <c r="AF29" s="80"/>
    </row>
    <row r="30" spans="11:32" ht="12" customHeight="1" x14ac:dyDescent="0.2">
      <c r="R30" s="60"/>
      <c r="W30" s="60"/>
      <c r="Y30" s="76"/>
      <c r="AB30" s="60"/>
      <c r="AE30" s="60"/>
      <c r="AF30" s="80"/>
    </row>
    <row r="31" spans="11:32" ht="12" customHeight="1" x14ac:dyDescent="0.2">
      <c r="K31" s="60"/>
      <c r="L31" s="60"/>
      <c r="R31" s="60"/>
      <c r="W31" s="60"/>
      <c r="Y31" s="76"/>
      <c r="AB31" s="60"/>
      <c r="AE31" s="76"/>
      <c r="AF31" s="80"/>
    </row>
    <row r="32" spans="11:32" ht="12" customHeight="1" x14ac:dyDescent="0.2">
      <c r="R32" s="60"/>
      <c r="W32" s="60"/>
      <c r="Y32" s="76"/>
      <c r="AB32" s="60"/>
      <c r="AE32" s="60"/>
      <c r="AF32" s="80"/>
    </row>
    <row r="33" spans="11:32" ht="12" customHeight="1" x14ac:dyDescent="0.2">
      <c r="K33" s="60"/>
      <c r="L33" s="60"/>
      <c r="R33" s="60"/>
      <c r="W33" s="60"/>
      <c r="Y33" s="76"/>
      <c r="AB33" s="60"/>
      <c r="AE33" s="76"/>
      <c r="AF33" s="80"/>
    </row>
    <row r="34" spans="11:32" ht="12" customHeight="1" x14ac:dyDescent="0.2">
      <c r="R34" s="60"/>
      <c r="W34" s="60"/>
      <c r="Y34" s="76"/>
      <c r="AB34" s="60"/>
      <c r="AE34" s="60"/>
      <c r="AF34" s="80"/>
    </row>
    <row r="35" spans="11:32" ht="12" customHeight="1" x14ac:dyDescent="0.2">
      <c r="K35" s="60"/>
      <c r="L35" s="60"/>
      <c r="R35" s="60"/>
      <c r="W35" s="60"/>
      <c r="Y35" s="76"/>
      <c r="AB35" s="60"/>
      <c r="AE35" s="76"/>
      <c r="AF35" s="80"/>
    </row>
    <row r="36" spans="11:32" ht="12" customHeight="1" x14ac:dyDescent="0.2">
      <c r="R36" s="60"/>
      <c r="W36" s="60"/>
      <c r="Y36" s="76"/>
      <c r="AB36" s="60"/>
      <c r="AE36" s="60"/>
      <c r="AF36" s="80"/>
    </row>
    <row r="37" spans="11:32" ht="12" customHeight="1" x14ac:dyDescent="0.2">
      <c r="K37" s="60"/>
      <c r="L37" s="60"/>
      <c r="R37" s="60"/>
      <c r="W37" s="60"/>
      <c r="Y37" s="76"/>
      <c r="AB37" s="60"/>
      <c r="AE37" s="76"/>
      <c r="AF37" s="80"/>
    </row>
    <row r="38" spans="11:32" ht="12" customHeight="1" x14ac:dyDescent="0.2">
      <c r="R38" s="60"/>
      <c r="W38" s="60"/>
      <c r="Y38" s="76"/>
      <c r="AB38" s="60"/>
      <c r="AE38" s="60"/>
      <c r="AF38" s="80"/>
    </row>
    <row r="39" spans="11:32" ht="12" customHeight="1" x14ac:dyDescent="0.2">
      <c r="K39" s="60"/>
      <c r="L39" s="60"/>
      <c r="R39" s="60"/>
      <c r="W39" s="60"/>
      <c r="Y39" s="76"/>
      <c r="AB39" s="60"/>
      <c r="AE39" s="76"/>
      <c r="AF39" s="80"/>
    </row>
    <row r="40" spans="11:32" ht="12" customHeight="1" x14ac:dyDescent="0.2">
      <c r="W40" s="60"/>
      <c r="Y40" s="76"/>
      <c r="AB40" s="60"/>
      <c r="AE40" s="60"/>
      <c r="AF40" s="80"/>
    </row>
    <row r="41" spans="11:32" ht="12" customHeight="1" x14ac:dyDescent="0.2">
      <c r="K41" s="60"/>
      <c r="L41" s="60"/>
      <c r="W41" s="60"/>
      <c r="Y41" s="76"/>
      <c r="AE41" s="76"/>
      <c r="AF41" s="80"/>
    </row>
    <row r="42" spans="11:32" ht="12" customHeight="1" x14ac:dyDescent="0.2">
      <c r="W42" s="60"/>
      <c r="Y42" s="76"/>
      <c r="AE42" s="60"/>
      <c r="AF42" s="80"/>
    </row>
    <row r="43" spans="11:32" ht="12" customHeight="1" x14ac:dyDescent="0.2">
      <c r="K43" s="60"/>
      <c r="L43" s="60"/>
      <c r="W43" s="60"/>
      <c r="Y43" s="76"/>
      <c r="AE43" s="76"/>
      <c r="AF43" s="80"/>
    </row>
    <row r="44" spans="11:32" ht="12" customHeight="1" x14ac:dyDescent="0.2">
      <c r="W44" s="60"/>
      <c r="Y44" s="76"/>
      <c r="AE44" s="60"/>
      <c r="AF44" s="80"/>
    </row>
    <row r="45" spans="11:32" ht="12" customHeight="1" x14ac:dyDescent="0.2">
      <c r="K45" s="60"/>
      <c r="L45" s="60"/>
      <c r="W45" s="60"/>
      <c r="Y45" s="76"/>
      <c r="AE45" s="76"/>
      <c r="AF45" s="80"/>
    </row>
    <row r="46" spans="11:32" ht="12" customHeight="1" x14ac:dyDescent="0.2">
      <c r="W46" s="60"/>
      <c r="Y46" s="76"/>
      <c r="AE46" s="60"/>
      <c r="AF46" s="80"/>
    </row>
    <row r="47" spans="11:32" ht="12" customHeight="1" x14ac:dyDescent="0.2">
      <c r="K47" s="60"/>
      <c r="L47" s="60"/>
      <c r="W47" s="60"/>
      <c r="Y47" s="76"/>
      <c r="AE47" s="76"/>
      <c r="AF47" s="80"/>
    </row>
    <row r="49" spans="11:12" ht="12" customHeight="1" x14ac:dyDescent="0.2">
      <c r="K49" s="60"/>
      <c r="L49" s="60"/>
    </row>
  </sheetData>
  <conditionalFormatting sqref="AC2 AC4 AC6 AG6 AG4 AG2">
    <cfRule type="expression" dxfId="1881" priority="177">
      <formula>MOD(ROW(),2)=1</formula>
    </cfRule>
  </conditionalFormatting>
  <conditionalFormatting sqref="AD6">
    <cfRule type="expression" dxfId="1880" priority="151">
      <formula>MOD(ROW(),2)=1</formula>
    </cfRule>
  </conditionalFormatting>
  <conditionalFormatting sqref="AD8 AD10 AD12 AD14">
    <cfRule type="expression" dxfId="1879" priority="143">
      <formula>MOD(ROW(),2)=1</formula>
    </cfRule>
  </conditionalFormatting>
  <conditionalFormatting sqref="Y2">
    <cfRule type="expression" dxfId="1878" priority="138">
      <formula>MOD(ROW(),2)=1</formula>
    </cfRule>
  </conditionalFormatting>
  <conditionalFormatting sqref="Y6">
    <cfRule type="expression" dxfId="1877" priority="137">
      <formula>MOD(ROW(),2)=1</formula>
    </cfRule>
  </conditionalFormatting>
  <conditionalFormatting sqref="Y14">
    <cfRule type="expression" dxfId="1876" priority="103">
      <formula>MOD(ROW(),2)=1</formula>
    </cfRule>
  </conditionalFormatting>
  <conditionalFormatting sqref="Y18">
    <cfRule type="expression" dxfId="1875" priority="102">
      <formula>MOD(ROW(),2)=1</formula>
    </cfRule>
  </conditionalFormatting>
  <conditionalFormatting sqref="Y22">
    <cfRule type="expression" dxfId="1874" priority="101">
      <formula>MOD(ROW(),2)=1</formula>
    </cfRule>
  </conditionalFormatting>
  <conditionalFormatting sqref="Y26">
    <cfRule type="expression" dxfId="1873" priority="100">
      <formula>MOD(ROW(),2)=1</formula>
    </cfRule>
  </conditionalFormatting>
  <conditionalFormatting sqref="Y30">
    <cfRule type="expression" dxfId="1872" priority="99">
      <formula>MOD(ROW(),2)=1</formula>
    </cfRule>
  </conditionalFormatting>
  <conditionalFormatting sqref="Y34">
    <cfRule type="expression" dxfId="1871" priority="98">
      <formula>MOD(ROW(),2)=1</formula>
    </cfRule>
  </conditionalFormatting>
  <conditionalFormatting sqref="Y38">
    <cfRule type="expression" dxfId="1870" priority="97">
      <formula>MOD(ROW(),2)=1</formula>
    </cfRule>
  </conditionalFormatting>
  <conditionalFormatting sqref="Y42">
    <cfRule type="expression" dxfId="1869" priority="96">
      <formula>MOD(ROW(),2)=1</formula>
    </cfRule>
  </conditionalFormatting>
  <conditionalFormatting sqref="Y46">
    <cfRule type="expression" dxfId="1868" priority="95">
      <formula>MOD(ROW(),2)=1</formula>
    </cfRule>
  </conditionalFormatting>
  <conditionalFormatting sqref="W2">
    <cfRule type="expression" dxfId="1867" priority="90">
      <formula>MOD(ROW(),2)=1</formula>
    </cfRule>
  </conditionalFormatting>
  <conditionalFormatting sqref="W6">
    <cfRule type="expression" dxfId="1866" priority="89">
      <formula>MOD(ROW(),2)=1</formula>
    </cfRule>
  </conditionalFormatting>
  <conditionalFormatting sqref="W14">
    <cfRule type="expression" dxfId="1865" priority="55">
      <formula>MOD(ROW(),2)=1</formula>
    </cfRule>
  </conditionalFormatting>
  <conditionalFormatting sqref="W18">
    <cfRule type="expression" dxfId="1864" priority="54">
      <formula>MOD(ROW(),2)=1</formula>
    </cfRule>
  </conditionalFormatting>
  <conditionalFormatting sqref="W22">
    <cfRule type="expression" dxfId="1863" priority="53">
      <formula>MOD(ROW(),2)=1</formula>
    </cfRule>
  </conditionalFormatting>
  <conditionalFormatting sqref="W26">
    <cfRule type="expression" dxfId="1862" priority="52">
      <formula>MOD(ROW(),2)=1</formula>
    </cfRule>
  </conditionalFormatting>
  <conditionalFormatting sqref="W30">
    <cfRule type="expression" dxfId="1861" priority="51">
      <formula>MOD(ROW(),2)=1</formula>
    </cfRule>
  </conditionalFormatting>
  <conditionalFormatting sqref="W34">
    <cfRule type="expression" dxfId="1860" priority="50">
      <formula>MOD(ROW(),2)=1</formula>
    </cfRule>
  </conditionalFormatting>
  <conditionalFormatting sqref="W38">
    <cfRule type="expression" dxfId="1859" priority="49">
      <formula>MOD(ROW(),2)=1</formula>
    </cfRule>
  </conditionalFormatting>
  <conditionalFormatting sqref="W42">
    <cfRule type="expression" dxfId="1858" priority="48">
      <formula>MOD(ROW(),2)=1</formula>
    </cfRule>
  </conditionalFormatting>
  <conditionalFormatting sqref="W46">
    <cfRule type="expression" dxfId="1857" priority="47">
      <formula>MOD(ROW(),2)=1</formula>
    </cfRule>
  </conditionalFormatting>
  <conditionalFormatting sqref="U2 U4">
    <cfRule type="expression" dxfId="1856" priority="29">
      <formula>MOD(ROW(),2)=1</formula>
    </cfRule>
  </conditionalFormatting>
  <conditionalFormatting sqref="U8">
    <cfRule type="expression" dxfId="1855" priority="1">
      <formula>MOD(ROW(),2)=1</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3:H197"/>
  <sheetViews>
    <sheetView workbookViewId="0"/>
  </sheetViews>
  <sheetFormatPr defaultRowHeight="15" x14ac:dyDescent="0.25"/>
  <sheetData>
    <row r="3" spans="1:4" x14ac:dyDescent="0.25">
      <c r="A3" t="str">
        <f>'WM Multiple'!B3</f>
        <v>Hellyer, S. (1962). Supplementary report: Frequency of stimulus presentation and short-term decrement in recall. Journal of Experimental Psychology, 64(6), 650.</v>
      </c>
      <c r="B3">
        <f>'WM Multiple'!AA3</f>
        <v>27</v>
      </c>
      <c r="C3">
        <f>B3/60</f>
        <v>0.45</v>
      </c>
      <c r="D3" s="63">
        <f>'WM Multiple'!AM3</f>
        <v>-0.18312881467046671</v>
      </c>
    </row>
    <row r="5" spans="1:4" x14ac:dyDescent="0.25">
      <c r="A5" t="str">
        <f>'WM Multiple'!B5</f>
        <v>Hellyer, S. (1962). Supplementary report: Frequency of stimulus presentation and short-term decrement in recall. Journal of Experimental Psychology, 64(6), 650.</v>
      </c>
      <c r="B5">
        <f>'WM Multiple'!AA5</f>
        <v>27</v>
      </c>
      <c r="C5">
        <f>B5/60</f>
        <v>0.45</v>
      </c>
      <c r="D5" s="63">
        <f>'WM Multiple'!AM5</f>
        <v>-0.31963089242931408</v>
      </c>
    </row>
    <row r="7" spans="1:4" x14ac:dyDescent="0.25">
      <c r="A7" t="str">
        <f>'WM Multiple'!B7</f>
        <v>Hellyer, S. (1962). Supplementary report: Frequency of stimulus presentation and short-term decrement in recall. Journal of Experimental Psychology, 64(6), 650.</v>
      </c>
      <c r="B7">
        <f>'WM Multiple'!AA7</f>
        <v>27</v>
      </c>
      <c r="C7">
        <f>B7/60</f>
        <v>0.45</v>
      </c>
      <c r="D7" s="63">
        <f>'WM Multiple'!AM7</f>
        <v>-0.6477753243400316</v>
      </c>
    </row>
    <row r="9" spans="1:4" x14ac:dyDescent="0.25">
      <c r="D9" s="63"/>
    </row>
    <row r="11" spans="1:4" x14ac:dyDescent="0.25">
      <c r="D11" s="63"/>
    </row>
    <row r="13" spans="1:4" x14ac:dyDescent="0.25">
      <c r="D13" s="63"/>
    </row>
    <row r="15" spans="1:4" x14ac:dyDescent="0.25">
      <c r="D15" s="63"/>
    </row>
    <row r="17" spans="4:8" x14ac:dyDescent="0.25">
      <c r="D17" s="63"/>
    </row>
    <row r="18" spans="4:8" x14ac:dyDescent="0.25">
      <c r="G18" s="166">
        <f>AVERAGE(D3:D181)</f>
        <v>-0.38351167714660411</v>
      </c>
      <c r="H18" s="165">
        <f xml:space="preserve"> STDEV(D3:D181)/SQRT(COUNT(D3:D181))</f>
        <v>0.13788239037805594</v>
      </c>
    </row>
    <row r="19" spans="4:8" x14ac:dyDescent="0.25">
      <c r="D19" s="63"/>
    </row>
    <row r="21" spans="4:8" x14ac:dyDescent="0.25">
      <c r="D21" s="63"/>
    </row>
    <row r="23" spans="4:8" x14ac:dyDescent="0.25">
      <c r="D23" s="63"/>
    </row>
    <row r="25" spans="4:8" x14ac:dyDescent="0.25">
      <c r="D25" s="63"/>
    </row>
    <row r="27" spans="4:8" x14ac:dyDescent="0.25">
      <c r="D27" s="63"/>
    </row>
    <row r="29" spans="4:8" x14ac:dyDescent="0.25">
      <c r="D29" s="63"/>
    </row>
    <row r="31" spans="4:8" x14ac:dyDescent="0.25">
      <c r="D31" s="63"/>
    </row>
    <row r="33" spans="4:4" x14ac:dyDescent="0.25">
      <c r="D33" s="63"/>
    </row>
    <row r="35" spans="4:4" x14ac:dyDescent="0.25">
      <c r="D35" s="63"/>
    </row>
    <row r="37" spans="4:4" x14ac:dyDescent="0.25">
      <c r="D37" s="63"/>
    </row>
    <row r="39" spans="4:4" x14ac:dyDescent="0.25">
      <c r="D39" s="63"/>
    </row>
    <row r="41" spans="4:4" x14ac:dyDescent="0.25">
      <c r="D41" s="63"/>
    </row>
    <row r="43" spans="4:4" x14ac:dyDescent="0.25">
      <c r="D43" s="63"/>
    </row>
    <row r="45" spans="4:4" x14ac:dyDescent="0.25">
      <c r="D45" s="63"/>
    </row>
    <row r="47" spans="4:4" x14ac:dyDescent="0.25">
      <c r="D47" s="63"/>
    </row>
    <row r="49" spans="4:4" x14ac:dyDescent="0.25">
      <c r="D49" s="63"/>
    </row>
    <row r="51" spans="4:4" x14ac:dyDescent="0.25">
      <c r="D51" s="63"/>
    </row>
    <row r="53" spans="4:4" x14ac:dyDescent="0.25">
      <c r="D53" s="63"/>
    </row>
    <row r="55" spans="4:4" x14ac:dyDescent="0.25">
      <c r="D55" s="63"/>
    </row>
    <row r="57" spans="4:4" x14ac:dyDescent="0.25">
      <c r="D57" s="63"/>
    </row>
    <row r="59" spans="4:4" x14ac:dyDescent="0.25">
      <c r="D59" s="63"/>
    </row>
    <row r="61" spans="4:4" x14ac:dyDescent="0.25">
      <c r="D61" s="63"/>
    </row>
    <row r="63" spans="4:4" x14ac:dyDescent="0.25">
      <c r="D63" s="63"/>
    </row>
    <row r="65" spans="4:4" x14ac:dyDescent="0.25">
      <c r="D65" s="63"/>
    </row>
    <row r="67" spans="4:4" x14ac:dyDescent="0.25">
      <c r="D67" s="63"/>
    </row>
    <row r="69" spans="4:4" x14ac:dyDescent="0.25">
      <c r="D69" s="63"/>
    </row>
    <row r="71" spans="4:4" x14ac:dyDescent="0.25">
      <c r="D71" s="63"/>
    </row>
    <row r="73" spans="4:4" x14ac:dyDescent="0.25">
      <c r="D73" s="63"/>
    </row>
    <row r="75" spans="4:4" x14ac:dyDescent="0.25">
      <c r="D75" s="63"/>
    </row>
    <row r="77" spans="4:4" x14ac:dyDescent="0.25">
      <c r="D77" s="63"/>
    </row>
    <row r="79" spans="4:4" x14ac:dyDescent="0.25">
      <c r="D79" s="63"/>
    </row>
    <row r="81" spans="4:4" x14ac:dyDescent="0.25">
      <c r="D81" s="63"/>
    </row>
    <row r="83" spans="4:4" x14ac:dyDescent="0.25">
      <c r="D83" s="63"/>
    </row>
    <row r="85" spans="4:4" x14ac:dyDescent="0.25">
      <c r="D85" s="63"/>
    </row>
    <row r="87" spans="4:4" x14ac:dyDescent="0.25">
      <c r="D87" s="63"/>
    </row>
    <row r="89" spans="4:4" x14ac:dyDescent="0.25">
      <c r="D89" s="63"/>
    </row>
    <row r="91" spans="4:4" x14ac:dyDescent="0.25">
      <c r="D91" s="63"/>
    </row>
    <row r="93" spans="4:4" x14ac:dyDescent="0.25">
      <c r="D93" s="63"/>
    </row>
    <row r="95" spans="4:4" x14ac:dyDescent="0.25">
      <c r="D95" s="63"/>
    </row>
    <row r="97" spans="4:4" x14ac:dyDescent="0.25">
      <c r="D97" s="63"/>
    </row>
    <row r="99" spans="4:4" x14ac:dyDescent="0.25">
      <c r="D99" s="63"/>
    </row>
    <row r="101" spans="4:4" x14ac:dyDescent="0.25">
      <c r="D101" s="63"/>
    </row>
    <row r="103" spans="4:4" x14ac:dyDescent="0.25">
      <c r="D103" s="63"/>
    </row>
    <row r="105" spans="4:4" x14ac:dyDescent="0.25">
      <c r="D105" s="63"/>
    </row>
    <row r="107" spans="4:4" x14ac:dyDescent="0.25">
      <c r="D107" s="63"/>
    </row>
    <row r="109" spans="4:4" x14ac:dyDescent="0.25">
      <c r="D109" s="63"/>
    </row>
    <row r="111" spans="4:4" x14ac:dyDescent="0.25">
      <c r="D111" s="63"/>
    </row>
    <row r="113" spans="4:4" x14ac:dyDescent="0.25">
      <c r="D113" s="63"/>
    </row>
    <row r="115" spans="4:4" x14ac:dyDescent="0.25">
      <c r="D115" s="63"/>
    </row>
    <row r="117" spans="4:4" x14ac:dyDescent="0.25">
      <c r="D117" s="63"/>
    </row>
    <row r="119" spans="4:4" x14ac:dyDescent="0.25">
      <c r="D119" s="63"/>
    </row>
    <row r="121" spans="4:4" x14ac:dyDescent="0.25">
      <c r="D121" s="63"/>
    </row>
    <row r="123" spans="4:4" x14ac:dyDescent="0.25">
      <c r="D123" s="63"/>
    </row>
    <row r="125" spans="4:4" x14ac:dyDescent="0.25">
      <c r="D125" s="63"/>
    </row>
    <row r="127" spans="4:4" x14ac:dyDescent="0.25">
      <c r="D127" s="63"/>
    </row>
    <row r="129" spans="4:4" x14ac:dyDescent="0.25">
      <c r="D129" s="63"/>
    </row>
    <row r="131" spans="4:4" x14ac:dyDescent="0.25">
      <c r="D131" s="63"/>
    </row>
    <row r="133" spans="4:4" x14ac:dyDescent="0.25">
      <c r="D133" s="63"/>
    </row>
    <row r="135" spans="4:4" x14ac:dyDescent="0.25">
      <c r="D135" s="63"/>
    </row>
    <row r="137" spans="4:4" x14ac:dyDescent="0.25">
      <c r="D137" s="63"/>
    </row>
    <row r="139" spans="4:4" x14ac:dyDescent="0.25">
      <c r="D139" s="63"/>
    </row>
    <row r="141" spans="4:4" x14ac:dyDescent="0.25">
      <c r="D141" s="63"/>
    </row>
    <row r="143" spans="4:4" x14ac:dyDescent="0.25">
      <c r="D143" s="63"/>
    </row>
    <row r="145" spans="4:4" x14ac:dyDescent="0.25">
      <c r="D145" s="63"/>
    </row>
    <row r="147" spans="4:4" x14ac:dyDescent="0.25">
      <c r="D147" s="63"/>
    </row>
    <row r="149" spans="4:4" x14ac:dyDescent="0.25">
      <c r="D149" s="63"/>
    </row>
    <row r="151" spans="4:4" x14ac:dyDescent="0.25">
      <c r="D151" s="63"/>
    </row>
    <row r="153" spans="4:4" x14ac:dyDescent="0.25">
      <c r="D153" s="63"/>
    </row>
    <row r="155" spans="4:4" x14ac:dyDescent="0.25">
      <c r="D155" s="63"/>
    </row>
    <row r="157" spans="4:4" x14ac:dyDescent="0.25">
      <c r="D157" s="63"/>
    </row>
    <row r="159" spans="4:4" x14ac:dyDescent="0.25">
      <c r="D159" s="63"/>
    </row>
    <row r="161" spans="4:4" x14ac:dyDescent="0.25">
      <c r="D161" s="63"/>
    </row>
    <row r="163" spans="4:4" x14ac:dyDescent="0.25">
      <c r="D163" s="63"/>
    </row>
    <row r="165" spans="4:4" x14ac:dyDescent="0.25">
      <c r="D165" s="63"/>
    </row>
    <row r="167" spans="4:4" x14ac:dyDescent="0.25">
      <c r="D167" s="63"/>
    </row>
    <row r="169" spans="4:4" x14ac:dyDescent="0.25">
      <c r="D169" s="63"/>
    </row>
    <row r="171" spans="4:4" x14ac:dyDescent="0.25">
      <c r="D171" s="63"/>
    </row>
    <row r="173" spans="4:4" x14ac:dyDescent="0.25">
      <c r="D173" s="63"/>
    </row>
    <row r="175" spans="4:4" x14ac:dyDescent="0.25">
      <c r="D175" s="63"/>
    </row>
    <row r="177" spans="4:4" x14ac:dyDescent="0.25">
      <c r="D177" s="63"/>
    </row>
    <row r="179" spans="4:4" x14ac:dyDescent="0.25">
      <c r="D179" s="63"/>
    </row>
    <row r="181" spans="4:4" x14ac:dyDescent="0.25">
      <c r="D181" s="63"/>
    </row>
    <row r="183" spans="4:4" x14ac:dyDescent="0.25">
      <c r="D183" s="63"/>
    </row>
    <row r="185" spans="4:4" x14ac:dyDescent="0.25">
      <c r="D185" s="63"/>
    </row>
    <row r="187" spans="4:4" x14ac:dyDescent="0.25">
      <c r="D187" s="63"/>
    </row>
    <row r="189" spans="4:4" x14ac:dyDescent="0.25">
      <c r="D189" s="63"/>
    </row>
    <row r="191" spans="4:4" x14ac:dyDescent="0.25">
      <c r="D191" s="63"/>
    </row>
    <row r="193" spans="4:4" x14ac:dyDescent="0.25">
      <c r="D193" s="63"/>
    </row>
    <row r="195" spans="4:4" x14ac:dyDescent="0.25">
      <c r="D195" s="63"/>
    </row>
    <row r="197" spans="4:4" x14ac:dyDescent="0.25">
      <c r="D197" s="63"/>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U122"/>
  <sheetViews>
    <sheetView workbookViewId="0">
      <pane ySplit="1" topLeftCell="A2" activePane="bottomLeft" state="frozen"/>
      <selection activeCell="U1" sqref="U1"/>
      <selection pane="bottomLeft" activeCell="A2" sqref="A2"/>
    </sheetView>
  </sheetViews>
  <sheetFormatPr defaultColWidth="5.28515625" defaultRowHeight="12.75" outlineLevelCol="1" x14ac:dyDescent="0.2"/>
  <cols>
    <col min="1" max="1" width="11.28515625" style="61" bestFit="1" customWidth="1"/>
    <col min="2" max="2" width="9.7109375" style="14" customWidth="1"/>
    <col min="3" max="3" width="17.85546875" style="14" customWidth="1"/>
    <col min="4" max="4" width="6.85546875" style="64" customWidth="1"/>
    <col min="5" max="5" width="4.28515625" style="77" customWidth="1"/>
    <col min="6" max="6" width="10.28515625" style="64" bestFit="1" customWidth="1"/>
    <col min="7" max="7" width="9.28515625" style="64" customWidth="1"/>
    <col min="8" max="8" width="14.85546875" style="64" bestFit="1" customWidth="1"/>
    <col min="9" max="9" width="30.5703125" style="64" customWidth="1"/>
    <col min="10" max="10" width="17.5703125" style="64" customWidth="1"/>
    <col min="11" max="11" width="9.5703125" style="64" customWidth="1"/>
    <col min="12" max="13" width="9.7109375" style="64" customWidth="1"/>
    <col min="14" max="14" width="13.85546875" style="64" customWidth="1"/>
    <col min="15" max="15" width="8.7109375" style="64" customWidth="1"/>
    <col min="16" max="16" width="22.7109375" style="64" bestFit="1" customWidth="1"/>
    <col min="17" max="17" width="18.28515625" style="64" bestFit="1" customWidth="1"/>
    <col min="18" max="18" width="8.7109375" style="64" bestFit="1" customWidth="1"/>
    <col min="19" max="19" width="11.42578125" style="64" bestFit="1" customWidth="1"/>
    <col min="20" max="20" width="12.7109375" style="64" customWidth="1"/>
    <col min="21" max="21" width="10.42578125" style="64" bestFit="1" customWidth="1"/>
    <col min="22" max="22" width="10.42578125" style="64" customWidth="1"/>
    <col min="23" max="23" width="11.85546875" style="64" customWidth="1"/>
    <col min="24" max="24" width="8.140625" style="64" customWidth="1"/>
    <col min="25" max="25" width="10" style="77" customWidth="1"/>
    <col min="26" max="26" width="15.42578125" style="64" customWidth="1"/>
    <col min="27" max="27" width="11" style="64" customWidth="1"/>
    <col min="28" max="28" width="16.42578125" style="64" customWidth="1"/>
    <col min="29" max="29" width="13.5703125" style="64" customWidth="1"/>
    <col min="30" max="30" width="13.140625" style="64" customWidth="1"/>
    <col min="31" max="31" width="11" style="64" customWidth="1"/>
    <col min="32" max="32" width="12.5703125" style="81" customWidth="1"/>
    <col min="33" max="33" width="10.140625" style="57" customWidth="1"/>
    <col min="34" max="34" width="10.7109375" style="12" customWidth="1"/>
    <col min="35" max="35" width="10.7109375" style="57" customWidth="1"/>
    <col min="36" max="36" width="10.7109375" style="114" customWidth="1"/>
    <col min="37" max="40" width="10.7109375" style="57" customWidth="1"/>
    <col min="41" max="43" width="10.7109375" style="57" customWidth="1" outlineLevel="1"/>
    <col min="44" max="44" width="16.85546875" style="114" customWidth="1" outlineLevel="1"/>
    <col min="45" max="46" width="16.85546875" style="57" customWidth="1" outlineLevel="1"/>
    <col min="47" max="47" width="5.28515625" style="12" outlineLevel="1"/>
    <col min="48" max="50" width="13.42578125" style="45" bestFit="1" customWidth="1" outlineLevel="1"/>
    <col min="51" max="51" width="14.85546875" style="45" bestFit="1" customWidth="1" outlineLevel="1"/>
    <col min="52" max="53" width="14.5703125" style="45" bestFit="1" customWidth="1"/>
    <col min="54" max="54" width="13.5703125" style="45" bestFit="1" customWidth="1"/>
    <col min="55" max="57" width="13.5703125" style="20" bestFit="1" customWidth="1"/>
    <col min="58" max="62" width="12.42578125" style="20" bestFit="1" customWidth="1"/>
    <col min="63" max="74" width="10.42578125" style="20" bestFit="1" customWidth="1"/>
    <col min="75" max="95" width="11.42578125" style="20" bestFit="1" customWidth="1"/>
    <col min="96" max="99" width="12.42578125" style="14" bestFit="1" customWidth="1"/>
    <col min="100" max="133" width="10.42578125" style="14" bestFit="1" customWidth="1"/>
    <col min="134" max="16384" width="5.28515625" style="14"/>
  </cols>
  <sheetData>
    <row r="1" spans="1:99" ht="12" customHeight="1" x14ac:dyDescent="0.2">
      <c r="A1" s="61" t="s">
        <v>304</v>
      </c>
      <c r="B1" s="15" t="s">
        <v>0</v>
      </c>
      <c r="C1" s="15" t="s">
        <v>1</v>
      </c>
      <c r="D1" s="59" t="s">
        <v>2</v>
      </c>
      <c r="E1" s="75" t="s">
        <v>579</v>
      </c>
      <c r="F1" s="59" t="s">
        <v>6</v>
      </c>
      <c r="G1" s="59" t="s">
        <v>485</v>
      </c>
      <c r="H1" s="59" t="s">
        <v>1</v>
      </c>
      <c r="I1" s="59" t="s">
        <v>8</v>
      </c>
      <c r="J1" s="59" t="s">
        <v>7</v>
      </c>
      <c r="K1" s="59" t="s">
        <v>571</v>
      </c>
      <c r="L1" s="59" t="s">
        <v>565</v>
      </c>
      <c r="M1" s="59" t="s">
        <v>569</v>
      </c>
      <c r="N1" s="59" t="s">
        <v>566</v>
      </c>
      <c r="O1" s="59" t="s">
        <v>5</v>
      </c>
      <c r="P1" s="59" t="s">
        <v>570</v>
      </c>
      <c r="Q1" s="59" t="s">
        <v>3</v>
      </c>
      <c r="R1" s="59" t="s">
        <v>568</v>
      </c>
      <c r="S1" s="59" t="s">
        <v>4</v>
      </c>
      <c r="T1" s="59" t="s">
        <v>237</v>
      </c>
      <c r="U1" s="59" t="s">
        <v>910</v>
      </c>
      <c r="V1" s="59" t="s">
        <v>563</v>
      </c>
      <c r="W1" s="59" t="s">
        <v>564</v>
      </c>
      <c r="X1" s="59" t="s">
        <v>576</v>
      </c>
      <c r="Y1" s="75" t="s">
        <v>558</v>
      </c>
      <c r="Z1" s="59" t="s">
        <v>577</v>
      </c>
      <c r="AA1" s="59" t="s">
        <v>327</v>
      </c>
      <c r="AB1" s="59" t="s">
        <v>325</v>
      </c>
      <c r="AC1" s="59" t="s">
        <v>326</v>
      </c>
      <c r="AD1" s="59" t="s">
        <v>578</v>
      </c>
      <c r="AE1" s="59" t="s">
        <v>559</v>
      </c>
      <c r="AF1" s="79" t="s">
        <v>560</v>
      </c>
      <c r="AG1" s="55" t="s">
        <v>546</v>
      </c>
      <c r="AH1" s="4"/>
      <c r="AI1" s="139" t="s">
        <v>297</v>
      </c>
      <c r="AJ1" s="111" t="s">
        <v>289</v>
      </c>
      <c r="AK1" s="55" t="s">
        <v>9</v>
      </c>
      <c r="AL1" s="139" t="s">
        <v>298</v>
      </c>
      <c r="AM1" s="55" t="s">
        <v>10</v>
      </c>
      <c r="AN1" s="55" t="s">
        <v>11</v>
      </c>
      <c r="AO1" s="139" t="s">
        <v>907</v>
      </c>
      <c r="AP1" s="55" t="s">
        <v>303</v>
      </c>
      <c r="AQ1" s="139" t="s">
        <v>908</v>
      </c>
      <c r="AR1" s="111" t="s">
        <v>301</v>
      </c>
      <c r="AS1" s="139" t="s">
        <v>909</v>
      </c>
      <c r="AT1" s="55" t="s">
        <v>302</v>
      </c>
      <c r="AU1" s="4"/>
      <c r="AV1" s="11" t="s">
        <v>292</v>
      </c>
      <c r="AW1" s="11"/>
      <c r="AX1" s="11"/>
      <c r="AY1" s="11"/>
      <c r="AZ1" s="11"/>
      <c r="BA1" s="11"/>
      <c r="BB1" s="11"/>
      <c r="BC1" s="10"/>
      <c r="BD1" s="10"/>
      <c r="BE1" s="10"/>
      <c r="BF1" s="10"/>
      <c r="BG1" s="10"/>
      <c r="BH1" s="10"/>
      <c r="BI1" s="10"/>
      <c r="BJ1" s="10"/>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5"/>
      <c r="CS1" s="15"/>
      <c r="CT1" s="15"/>
      <c r="CU1" s="15"/>
    </row>
    <row r="2" spans="1:99" s="13" customFormat="1" ht="12" customHeight="1" x14ac:dyDescent="0.2">
      <c r="A2" s="65">
        <v>43509</v>
      </c>
      <c r="B2" s="1"/>
      <c r="C2" s="1"/>
      <c r="D2" s="60"/>
      <c r="E2" s="76"/>
      <c r="F2" s="60"/>
      <c r="G2" s="60"/>
      <c r="H2" s="60"/>
      <c r="I2" s="60"/>
      <c r="J2" s="60"/>
      <c r="K2" s="64"/>
      <c r="L2" s="64"/>
      <c r="M2" s="60"/>
      <c r="N2" s="60"/>
      <c r="O2" s="60"/>
      <c r="P2" s="60"/>
      <c r="Q2" s="60"/>
      <c r="R2" s="60"/>
      <c r="S2" s="60"/>
      <c r="T2" s="60"/>
      <c r="U2" s="60"/>
      <c r="V2" s="60"/>
      <c r="W2" s="60"/>
      <c r="X2" s="60"/>
      <c r="Y2" s="76"/>
      <c r="Z2" s="60"/>
      <c r="AA2" s="60"/>
      <c r="AB2" s="60"/>
      <c r="AC2" s="60"/>
      <c r="AD2" s="60"/>
      <c r="AE2" s="60"/>
      <c r="AF2" s="80"/>
      <c r="AG2" s="56"/>
      <c r="AH2" s="4"/>
      <c r="AI2" s="56"/>
      <c r="AJ2" s="109"/>
      <c r="AK2" s="56"/>
      <c r="AL2" s="56"/>
      <c r="AM2" s="56"/>
      <c r="AN2" s="56"/>
      <c r="AO2" s="56"/>
      <c r="AP2" s="56"/>
      <c r="AQ2" s="82"/>
      <c r="AR2" s="115"/>
      <c r="AS2" s="82"/>
      <c r="AT2" s="82"/>
      <c r="AU2" s="3"/>
      <c r="AV2" s="25">
        <v>0.5</v>
      </c>
      <c r="AW2" s="25">
        <v>7.5</v>
      </c>
      <c r="AX2" s="25">
        <v>15</v>
      </c>
      <c r="AY2" s="25">
        <v>22.5</v>
      </c>
      <c r="AZ2" s="25">
        <v>30</v>
      </c>
      <c r="BA2" s="25">
        <v>37.5</v>
      </c>
      <c r="BB2" s="25">
        <v>45</v>
      </c>
      <c r="BC2" s="25">
        <v>60</v>
      </c>
      <c r="BD2" s="25">
        <v>120</v>
      </c>
      <c r="BE2" s="25">
        <v>240</v>
      </c>
      <c r="BF2" s="25">
        <v>360</v>
      </c>
      <c r="BG2" s="25">
        <v>720</v>
      </c>
      <c r="BH2" s="25">
        <v>1500</v>
      </c>
      <c r="BI2" s="25">
        <v>3600</v>
      </c>
      <c r="BJ2" s="25">
        <v>7200</v>
      </c>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1"/>
      <c r="CS2" s="1"/>
      <c r="CT2" s="1"/>
      <c r="CU2" s="1"/>
    </row>
    <row r="3" spans="1:99" s="19" customFormat="1" ht="12" customHeight="1" x14ac:dyDescent="0.2">
      <c r="A3" s="65">
        <v>43509</v>
      </c>
      <c r="B3" s="17" t="s">
        <v>260</v>
      </c>
      <c r="C3" s="17" t="s">
        <v>75</v>
      </c>
      <c r="D3" s="62">
        <v>1974</v>
      </c>
      <c r="E3" s="78">
        <v>1</v>
      </c>
      <c r="F3" s="62">
        <v>7</v>
      </c>
      <c r="G3" s="62">
        <v>7</v>
      </c>
      <c r="H3" s="62" t="s">
        <v>30</v>
      </c>
      <c r="I3" s="62" t="s">
        <v>1030</v>
      </c>
      <c r="J3" s="62" t="s">
        <v>475</v>
      </c>
      <c r="K3" s="60">
        <f>IF(J3="syllables",1,IF(J3="trigrams",2,IF(J3="strings",3,IF(J3="visual array",4,IF(J3="characters",5,IF(J3="letters",6,IF(J3="free forms",7,IF(J3="odors",8,IF(J3="words",9,IF(J3="pictures",10,IF(J3="object pictures",11,IF(J3="faces",12,IF(J3="names",13,IF(J3="idioms",14,IF(J3="grades",15,IF(J3="syllable-digit pairs",16,IF(J3="trigram-word pairs",17,IF(J3="word-digit pairs",18,IF(J3="English-Swahili pairs",19,IF(J3="spatial position",20,IF(J3="word pairs",21,IF(J3="word triads",22,IF(J3="generated words",23,IF(J3="word definition pairs",24,IF(J3="math problems",25,IF(J3="famous faces",26,IF(J3="famous names",27,IF(J3="famous voices",28,IF(J3="television programs",29,IF(J3="race horses",30,IF(J3="new vocabulary",31,IF(J3="sentences",32,IF(J3="concepts",33,IF(J3="ad slides",34,IF(J3="scenes",35,IF(J3="famous scenes",36,IF(J3="poems",37,IF(J3="walk",38,IF(J3="faces and events",39,IF(J3="events and names",40,IF(J3="flashbulb",41,IF(J3="stories",42,IF(J3="course material",43,IF(J3="autobiographical",44,IF(J3="novels",45,IF(J3="public events",46,"99"))))))))))))))))))))))))))))))))))))))))))))))</f>
        <v>32</v>
      </c>
      <c r="L3" s="60">
        <f>IF(J3="syllables",1,IF(J3="trigrams",1,IF(J3="strings",1,IF(J3="visual array",1,IF(J3="characters",1,IF(J3="letters",1,IF(J3="free forms",1,IF(J3="odors",2,IF(J3="words",2,IF(J3="pictures",2,IF(J3="object pictures",2,IF(J3="faces",2,IF(J3="names",2,IF(J3="idioms","2",IF(J3="grades",2,IF(J3="syllable-digit pairs",3,IF(J3="trigram-word pairs",3,IF(J3="word-digit pairs",3,IF(J3="English-Swahili pairs",3,IF(J3="spatial position",3,IF(J3="word pairs",4,IF(J3="word triads",4,IF(J3="generated words",4,IF(J3="word definition pairs",4,IF(J3="math problems",4,IF(J3="famous faces",4,IF(J3="famous names",4,IF(J3="famous voices",4,IF(J3="television programs",4,IF(J3="race horses",4,IF(J3="new vocabulary",4,IF(J3="sentences",5,IF(J3="concepts",5,IF(J3="ad slides",5,IF(J3="scenes",5,IF(J3="famous scenes",5,IF(J3="poems",6,IF(J3="walk",6,IF(J3="faces and events",6,IF(J3="events and names",6,IF(J3="flashbulb",7,IF(J3="stories",7,IF(J3="course material",7,IF(J3="autobiographical",7,IF(J3="novels",7,IF(J3="public events",7,"99"))))))))))))))))))))))))))))))))))))))))))))))</f>
        <v>5</v>
      </c>
      <c r="M3" s="62">
        <v>0</v>
      </c>
      <c r="N3" s="62">
        <v>2</v>
      </c>
      <c r="O3" s="62">
        <v>0</v>
      </c>
      <c r="P3" s="62"/>
      <c r="Q3" s="62" t="s">
        <v>34</v>
      </c>
      <c r="R3" s="60">
        <f>IF(Q3="Free Recall",1,IF(Q3="Cued Recall",2,IF(Q3="Recognition",3,IF(Q3="Multiple Choice",4,IF(Q3="Savings",5,IF(Q3="Stem Completion",6,IF(Q3="Fragment Completion",7,IF(Q3="anagram solution",8,IF(Q3="Matching",9,IF(Q3="Problem Solving",10,"99"))))))))))</f>
        <v>3</v>
      </c>
      <c r="S3" s="60" t="s">
        <v>15</v>
      </c>
      <c r="T3" s="59" t="s">
        <v>581</v>
      </c>
      <c r="U3" s="60">
        <f>IF(T3="within",1,0)</f>
        <v>1</v>
      </c>
      <c r="V3" s="59">
        <v>900</v>
      </c>
      <c r="W3" s="60">
        <f>F3*V3</f>
        <v>6300</v>
      </c>
      <c r="X3" s="62">
        <v>15</v>
      </c>
      <c r="Y3" s="76">
        <f>AV2</f>
        <v>0.5</v>
      </c>
      <c r="Z3" s="62" t="s">
        <v>76</v>
      </c>
      <c r="AA3" s="62">
        <v>7200</v>
      </c>
      <c r="AB3" s="60" t="str">
        <f>IF(AA3&lt;60,"1",IF(AA3&lt;=43200,"2",IF(AA3&lt;=777600,"3","4")))</f>
        <v>2</v>
      </c>
      <c r="AC3" s="56">
        <f>AVERAGE(AV2:DA2)</f>
        <v>930.5333333333333</v>
      </c>
      <c r="AD3" s="60" t="str">
        <f>IF(AC3&lt;60,"1",IF(AC3&lt;=43200,"2",IF(AC3&lt;=777600,"3","4")))</f>
        <v>2</v>
      </c>
      <c r="AE3" s="76">
        <f>AA3-Y3</f>
        <v>7199.5</v>
      </c>
      <c r="AF3" s="80">
        <f>AV3</f>
        <v>0.91</v>
      </c>
      <c r="AG3" s="56">
        <f>((AW3-AV3)+(AX3-AW3)+(AY3-AX3)+(AZ3-AY3)+(BA3-AZ3)+(BB3-BA3)+(BC3-BB3)+(BD3-BC3)+(BE3-BD3)+(BF3-BE3)+(BG3-BF3)+(BH3-BG3)+(BI3-BH3)+(BJ3-BI3))/14</f>
        <v>-2.1428571428571425E-2</v>
      </c>
      <c r="AH3" s="4"/>
      <c r="AI3" s="56">
        <f>RSQ(AV3:BJ3,AV2:BJ2)</f>
        <v>0.50802820986235508</v>
      </c>
      <c r="AJ3" s="109">
        <f>SLOPE(AV3:BJ3,AV2:BJ2)</f>
        <v>-3.0732208667737748E-5</v>
      </c>
      <c r="AK3" s="56">
        <f>INTERCEPT(AV3:BJ3,AV2:BJ2)</f>
        <v>0.77959734457228547</v>
      </c>
      <c r="AL3" s="56">
        <f>INDEX(LINEST(LN(AV3:BJ3),LN(AV2:BJ2),TRUE,TRUE),3,1)</f>
        <v>0.94307131004729372</v>
      </c>
      <c r="AM3" s="56">
        <f>INDEX(LINEST(LN(AV3:BJ3),LN(AV2:BJ2)),1)</f>
        <v>-4.4677116287178305E-2</v>
      </c>
      <c r="AN3" s="56">
        <f>EXP(INDEX(LINEST(LN(AV3:BJ3),LN(AV2:BJ2)),1,2))</f>
        <v>0.91718030102829606</v>
      </c>
      <c r="AO3" s="82">
        <f>INDEX(LINEST((AV3:BJ3),LN(AV2:BJ2),TRUE,TRUE),3,1)</f>
        <v>0.95350286391738437</v>
      </c>
      <c r="AP3" s="82">
        <f>INDEX(LINEST((AV3:BJ3),LN(AV2:BJ2)),1)</f>
        <v>-3.3087046919245071E-2</v>
      </c>
      <c r="AQ3" s="83">
        <f>INDEX(LINEST(LN(AV3:BJ3),SQRT(AV2:BJ2),TRUE,TRUE),3,1)</f>
        <v>0.78057737224556101</v>
      </c>
      <c r="AR3" s="116">
        <f>INDEX(LINEST(LN(AV3:BJ3),SQRT((AV2:BJ2))),1)</f>
        <v>-4.2284990401688597E-3</v>
      </c>
      <c r="AS3" s="84">
        <f>INDEX(LINEST(1/(AV3:BJ3),1/(SQRT(AV2:BJ2)),TRUE,TRUE),3,1)</f>
        <v>0.39411635968502312</v>
      </c>
      <c r="AT3" s="84">
        <f>INDEX(LINEST(1/(AV3:BJ3),1/SQRT(AV2:BJ2)),1)</f>
        <v>-0.28743541243290083</v>
      </c>
      <c r="AU3" s="3"/>
      <c r="AV3" s="18">
        <v>0.91</v>
      </c>
      <c r="AW3" s="18">
        <v>0.81499999999999995</v>
      </c>
      <c r="AX3" s="18">
        <v>0.82499999999999996</v>
      </c>
      <c r="AY3" s="18">
        <v>0.80500000000000005</v>
      </c>
      <c r="AZ3" s="18">
        <v>0.81499999999999995</v>
      </c>
      <c r="BA3" s="18">
        <v>0.76</v>
      </c>
      <c r="BB3" s="18">
        <v>0.78500000000000003</v>
      </c>
      <c r="BC3" s="18">
        <v>0.79</v>
      </c>
      <c r="BD3" s="18">
        <v>0.78</v>
      </c>
      <c r="BE3" s="18">
        <v>0.72499999999999998</v>
      </c>
      <c r="BF3" s="18">
        <v>0.71</v>
      </c>
      <c r="BG3" s="18">
        <v>0.65999999999999992</v>
      </c>
      <c r="BH3" s="18">
        <v>0.64500000000000002</v>
      </c>
      <c r="BI3" s="18">
        <v>0.63</v>
      </c>
      <c r="BJ3" s="18">
        <v>0.6100000000000001</v>
      </c>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7"/>
      <c r="CS3" s="17"/>
      <c r="CT3" s="17"/>
      <c r="CU3" s="17"/>
    </row>
    <row r="4" spans="1:99" s="13" customFormat="1" ht="12" customHeight="1" x14ac:dyDescent="0.2">
      <c r="A4" s="68">
        <v>43509</v>
      </c>
      <c r="B4" s="70"/>
      <c r="C4" s="70"/>
      <c r="D4" s="69"/>
      <c r="E4" s="87"/>
      <c r="F4" s="69"/>
      <c r="G4" s="69"/>
      <c r="H4" s="69"/>
      <c r="I4" s="69"/>
      <c r="J4" s="69"/>
      <c r="K4" s="107"/>
      <c r="L4" s="107"/>
      <c r="M4" s="69"/>
      <c r="N4" s="69"/>
      <c r="O4" s="69"/>
      <c r="P4" s="69"/>
      <c r="Q4" s="69"/>
      <c r="R4" s="69"/>
      <c r="S4" s="69"/>
      <c r="T4" s="69"/>
      <c r="U4" s="69"/>
      <c r="V4" s="69"/>
      <c r="W4" s="69"/>
      <c r="X4" s="86"/>
      <c r="Y4" s="87"/>
      <c r="Z4" s="69"/>
      <c r="AA4" s="69"/>
      <c r="AB4" s="69"/>
      <c r="AC4" s="69"/>
      <c r="AD4" s="69"/>
      <c r="AE4" s="69"/>
      <c r="AF4" s="88"/>
      <c r="AG4" s="72"/>
      <c r="AH4" s="4"/>
      <c r="AI4" s="72"/>
      <c r="AJ4" s="110"/>
      <c r="AK4" s="72"/>
      <c r="AL4" s="72"/>
      <c r="AM4" s="72"/>
      <c r="AN4" s="72"/>
      <c r="AO4" s="72"/>
      <c r="AP4" s="72"/>
      <c r="AQ4" s="72"/>
      <c r="AR4" s="110"/>
      <c r="AS4" s="72"/>
      <c r="AT4" s="72"/>
      <c r="AU4" s="4"/>
      <c r="AV4" s="71">
        <f>3*1</f>
        <v>3</v>
      </c>
      <c r="AW4" s="71">
        <f>3*2</f>
        <v>6</v>
      </c>
      <c r="AX4" s="71">
        <f>3*3</f>
        <v>9</v>
      </c>
      <c r="AY4" s="71">
        <f>3*6</f>
        <v>18</v>
      </c>
      <c r="AZ4" s="71">
        <f>3*12</f>
        <v>36</v>
      </c>
      <c r="BA4" s="71">
        <f>3*24</f>
        <v>72</v>
      </c>
      <c r="BB4" s="71">
        <f>3*48</f>
        <v>144</v>
      </c>
      <c r="BC4" s="71">
        <f>3*96</f>
        <v>288</v>
      </c>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1"/>
      <c r="CS4" s="1"/>
      <c r="CT4" s="1"/>
      <c r="CU4" s="1"/>
    </row>
    <row r="5" spans="1:99" s="13" customFormat="1" ht="12" customHeight="1" x14ac:dyDescent="0.2">
      <c r="A5" s="68">
        <v>43509</v>
      </c>
      <c r="B5" s="70" t="s">
        <v>241</v>
      </c>
      <c r="C5" s="70" t="s">
        <v>19</v>
      </c>
      <c r="D5" s="69">
        <v>1968</v>
      </c>
      <c r="E5" s="87">
        <v>1</v>
      </c>
      <c r="F5" s="69">
        <v>92</v>
      </c>
      <c r="G5" s="69">
        <v>92</v>
      </c>
      <c r="H5" s="69" t="s">
        <v>50</v>
      </c>
      <c r="I5" s="69" t="s">
        <v>633</v>
      </c>
      <c r="J5" s="69" t="s">
        <v>16</v>
      </c>
      <c r="K5" s="69">
        <f>IF(J5="syllables",1,IF(J5="trigrams",2,IF(J5="strings",3,IF(J5="visual array",4,IF(J5="characters",5,IF(J5="letters",6,IF(J5="free forms",7,IF(J5="odors",8,IF(J5="words",9,IF(J5="pictures",10,IF(J5="object pictures",11,IF(J5="faces",12,IF(J5="names",13,IF(J5="idioms",14,IF(J5="grades",15,IF(J5="syllable-digit pairs",16,IF(J5="trigram-word pairs",17,IF(J5="word-digit pairs",18,IF(J5="English-Swahili pairs",19,IF(J5="spatial position",20,IF(J5="word pairs",21,IF(J5="word triads",22,IF(J5="generated words",23,IF(J5="word definition pairs",24,IF(J5="math problems",25,IF(J5="famous faces",26,IF(J5="famous names",27,IF(J5="famous voices",28,IF(J5="television programs",29,IF(J5="race horses",30,IF(J5="new vocabulary",31,IF(J5="sentences",32,IF(J5="concepts",33,IF(J5="ad slides",34,IF(J5="scenes",35,IF(J5="famous scenes",36,IF(J5="poems",37,IF(J5="walk",38,IF(J5="faces and events",39,IF(J5="events and names",40,IF(J5="flashbulb",41,IF(J5="stories",42,IF(J5="course material",43,IF(J5="autobiographical",44,IF(J5="novels",45,IF(J5="public events",46,"99"))))))))))))))))))))))))))))))))))))))))))))))</f>
        <v>9</v>
      </c>
      <c r="L5" s="69">
        <f>IF(J5="syllables",1,IF(J5="trigrams",1,IF(J5="strings",1,IF(J5="visual array",1,IF(J5="characters",1,IF(J5="letters",1,IF(J5="free forms",1,IF(J5="odors",2,IF(J5="words",2,IF(J5="pictures",2,IF(J5="object pictures",2,IF(J5="faces",2,IF(J5="names",2,IF(J5="idioms","2",IF(J5="grades",2,IF(J5="syllable-digit pairs",3,IF(J5="trigram-word pairs",3,IF(J5="word-digit pairs",3,IF(J5="English-Swahili pairs",3,IF(J5="spatial position",3,IF(J5="word pairs",4,IF(J5="word triads",4,IF(J5="generated words",4,IF(J5="word definition pairs",4,IF(J5="math problems",4,IF(J5="famous faces",4,IF(J5="famous names",4,IF(J5="famous voices",4,IF(J5="television programs",4,IF(J5="race horses",4,IF(J5="new vocabulary",4,IF(J5="sentences",5,IF(J5="concepts",5,IF(J5="ad slides",5,IF(J5="scenes",5,IF(J5="famous scenes",5,IF(J5="poems",6,IF(J5="walk",6,IF(J5="faces and events",6,IF(J5="events and names",6,IF(J5="flashbulb",7,IF(J5="stories",7,IF(J5="course material",7,IF(J5="autobiographical",7,IF(J5="novels",7,IF(J5="public events",7,"99"))))))))))))))))))))))))))))))))))))))))))))))</f>
        <v>2</v>
      </c>
      <c r="M5" s="69">
        <v>0</v>
      </c>
      <c r="N5" s="69">
        <v>1</v>
      </c>
      <c r="O5" s="69">
        <v>0</v>
      </c>
      <c r="P5" s="69"/>
      <c r="Q5" s="69" t="s">
        <v>65</v>
      </c>
      <c r="R5" s="69">
        <f>IF(Q5="Free Recall",1,IF(Q5="Cued Recall",2,IF(Q5="Recognition",3,IF(Q5="Multiple Choice",4,IF(Q5="Savings",5,IF(Q5="Stem Completion",6,IF(Q5="Fragment Completion",7,IF(Q5="anagram solution",8,IF(Q5="Matching",9,IF(Q5="Problem Solving",10,"99"))))))))))</f>
        <v>2</v>
      </c>
      <c r="S5" s="69" t="s">
        <v>15</v>
      </c>
      <c r="T5" s="92" t="s">
        <v>581</v>
      </c>
      <c r="U5" s="69">
        <f>IF(T5="within",1,0)</f>
        <v>1</v>
      </c>
      <c r="V5" s="92">
        <v>32</v>
      </c>
      <c r="W5" s="69">
        <f>F5*V5</f>
        <v>2944</v>
      </c>
      <c r="X5" s="69">
        <v>8</v>
      </c>
      <c r="Y5" s="87">
        <f>AV4</f>
        <v>3</v>
      </c>
      <c r="Z5" s="69" t="s">
        <v>57</v>
      </c>
      <c r="AA5" s="69">
        <v>288</v>
      </c>
      <c r="AB5" s="69" t="str">
        <f>IF(AA5&lt;60,"1",IF(AA5&lt;=43200,"2",IF(AA5&lt;=777600,"3","4")))</f>
        <v>2</v>
      </c>
      <c r="AC5" s="72">
        <f>AVERAGE(AV4:DA4)</f>
        <v>72</v>
      </c>
      <c r="AD5" s="69" t="str">
        <f>IF(AC5&lt;60,"1",IF(AC5&lt;=43200,"2",IF(AC5&lt;=777600,"3","4")))</f>
        <v>2</v>
      </c>
      <c r="AE5" s="87">
        <f>AA5-Y5</f>
        <v>285</v>
      </c>
      <c r="AF5" s="88">
        <f>AV5</f>
        <v>0.78582128099173498</v>
      </c>
      <c r="AG5" s="72">
        <f>((AW5-AV5)+(AX5-AW5)+(AY5-AX5)+(AZ5-AY5)+(BA5-AZ5)+(BB5-BA5)+(BC5-BB5))/7</f>
        <v>-0.10868967680047217</v>
      </c>
      <c r="AH5" s="4"/>
      <c r="AI5" s="72">
        <f>RSQ(AV5:BC5,AV4:BC4)</f>
        <v>0.41969762008778971</v>
      </c>
      <c r="AJ5" s="110">
        <f>SLOPE(AV5:BC5,AV4:BC4)</f>
        <v>-1.9942510886419738E-3</v>
      </c>
      <c r="AK5" s="72">
        <f>INTERCEPT(AV5:BC5,AV4:BC4)</f>
        <v>0.45968321810329615</v>
      </c>
      <c r="AL5" s="72">
        <f>INDEX(LINEST(LN(AV5:BC5),LN(AV4:BC4),TRUE,TRUE),3,1)</f>
        <v>0.93743283514416176</v>
      </c>
      <c r="AM5" s="72">
        <f>INDEX(LINEST(LN(AV5:BC5),LN(AV4:BC4)),1)</f>
        <v>-0.75462173189743664</v>
      </c>
      <c r="AN5" s="72">
        <f>EXP(INDEX(LINEST(LN(AV5:BC5),LN(AV4:BC4)),1,2))</f>
        <v>2.1989074079203448</v>
      </c>
      <c r="AO5" s="89">
        <f>INDEX(LINEST((AV5:BC5),LN(AV4:BC4),TRUE,TRUE),3,1)</f>
        <v>0.83456147871754716</v>
      </c>
      <c r="AP5" s="89">
        <f>INDEX(LINEST((AV5:BC5),LN(AV4:BC4)),1)</f>
        <v>-0.17472207485284422</v>
      </c>
      <c r="AQ5" s="90">
        <f>INDEX(LINEST(LN(AV5:BC5),SQRT(AV4:BC4),TRUE,TRUE),3,1)</f>
        <v>0.8855778535826665</v>
      </c>
      <c r="AR5" s="117">
        <f>INDEX(LINEST(LN(AV5:BC5),SQRT((AV4:BC4))),1)</f>
        <v>-0.2197493801033939</v>
      </c>
      <c r="AS5" s="91">
        <f>INDEX(LINEST(1/(AV5:BC5),1/(SQRT(AV4:BC4)),TRUE,TRUE),3,1)</f>
        <v>0.47730730635699359</v>
      </c>
      <c r="AT5" s="91">
        <f>INDEX(LINEST(1/(AV5:BC5),1/SQRT(AV4:BC4)),1)</f>
        <v>-50.59519299870913</v>
      </c>
      <c r="AU5" s="3"/>
      <c r="AV5" s="73">
        <v>0.78582128099173498</v>
      </c>
      <c r="AW5" s="73">
        <v>0.75088455578512303</v>
      </c>
      <c r="AX5" s="73">
        <v>0.41378486570247902</v>
      </c>
      <c r="AY5" s="73">
        <v>0.26235795454545402</v>
      </c>
      <c r="AZ5" s="73">
        <v>8.9527376033057798E-2</v>
      </c>
      <c r="BA5" s="73">
        <v>0.14638429752066101</v>
      </c>
      <c r="BB5" s="73">
        <v>5.5023243801652903E-2</v>
      </c>
      <c r="BC5" s="73">
        <v>2.4993543388429601E-2</v>
      </c>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1"/>
      <c r="CS5" s="1"/>
      <c r="CT5" s="1"/>
      <c r="CU5" s="1"/>
    </row>
    <row r="6" spans="1:99" s="13" customFormat="1" ht="12" customHeight="1" x14ac:dyDescent="0.2">
      <c r="A6" s="68">
        <v>43509</v>
      </c>
      <c r="B6" s="70"/>
      <c r="C6" s="70"/>
      <c r="D6" s="69"/>
      <c r="E6" s="87"/>
      <c r="F6" s="69"/>
      <c r="G6" s="69"/>
      <c r="H6" s="69"/>
      <c r="I6" s="69"/>
      <c r="J6" s="69"/>
      <c r="K6" s="107"/>
      <c r="L6" s="107"/>
      <c r="M6" s="69"/>
      <c r="N6" s="69"/>
      <c r="O6" s="69"/>
      <c r="P6" s="69"/>
      <c r="Q6" s="69"/>
      <c r="R6" s="69"/>
      <c r="S6" s="69"/>
      <c r="T6" s="69"/>
      <c r="U6" s="69"/>
      <c r="V6" s="69"/>
      <c r="W6" s="69"/>
      <c r="X6" s="69"/>
      <c r="Y6" s="87"/>
      <c r="Z6" s="69"/>
      <c r="AA6" s="69"/>
      <c r="AB6" s="69"/>
      <c r="AC6" s="69"/>
      <c r="AD6" s="69"/>
      <c r="AE6" s="69"/>
      <c r="AF6" s="88"/>
      <c r="AG6" s="72"/>
      <c r="AH6" s="4"/>
      <c r="AI6" s="72"/>
      <c r="AJ6" s="110"/>
      <c r="AK6" s="72"/>
      <c r="AL6" s="72"/>
      <c r="AM6" s="72"/>
      <c r="AN6" s="72"/>
      <c r="AO6" s="89"/>
      <c r="AP6" s="89"/>
      <c r="AQ6" s="89"/>
      <c r="AR6" s="118"/>
      <c r="AS6" s="89"/>
      <c r="AT6" s="89"/>
      <c r="AU6" s="129"/>
      <c r="AV6" s="71">
        <f>3*1</f>
        <v>3</v>
      </c>
      <c r="AW6" s="71">
        <f>3*2</f>
        <v>6</v>
      </c>
      <c r="AX6" s="71">
        <f>3*3</f>
        <v>9</v>
      </c>
      <c r="AY6" s="71">
        <f>3*6</f>
        <v>18</v>
      </c>
      <c r="AZ6" s="71">
        <f>3*12</f>
        <v>36</v>
      </c>
      <c r="BA6" s="71">
        <f>3*24</f>
        <v>72</v>
      </c>
      <c r="BB6" s="71">
        <f>3*48</f>
        <v>144</v>
      </c>
      <c r="BC6" s="71">
        <f>3*96</f>
        <v>288</v>
      </c>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1"/>
      <c r="CS6" s="1"/>
      <c r="CT6" s="1"/>
      <c r="CU6" s="1"/>
    </row>
    <row r="7" spans="1:99" s="13" customFormat="1" ht="12" customHeight="1" x14ac:dyDescent="0.2">
      <c r="A7" s="68">
        <v>43509</v>
      </c>
      <c r="B7" s="70" t="s">
        <v>241</v>
      </c>
      <c r="C7" s="70" t="s">
        <v>19</v>
      </c>
      <c r="D7" s="69">
        <v>1968</v>
      </c>
      <c r="E7" s="87">
        <v>1</v>
      </c>
      <c r="F7" s="69">
        <v>92</v>
      </c>
      <c r="G7" s="69">
        <v>92</v>
      </c>
      <c r="H7" s="69" t="s">
        <v>50</v>
      </c>
      <c r="I7" s="69" t="s">
        <v>634</v>
      </c>
      <c r="J7" s="69" t="s">
        <v>16</v>
      </c>
      <c r="K7" s="69">
        <f>IF(J7="syllables",1,IF(J7="trigrams",2,IF(J7="strings",3,IF(J7="visual array",4,IF(J7="characters",5,IF(J7="letters",6,IF(J7="free forms",7,IF(J7="odors",8,IF(J7="words",9,IF(J7="pictures",10,IF(J7="object pictures",11,IF(J7="faces",12,IF(J7="names",13,IF(J7="idioms",14,IF(J7="grades",15,IF(J7="syllable-digit pairs",16,IF(J7="trigram-word pairs",17,IF(J7="word-digit pairs",18,IF(J7="English-Swahili pairs",19,IF(J7="spatial position",20,IF(J7="word pairs",21,IF(J7="word triads",22,IF(J7="generated words",23,IF(J7="word definition pairs",24,IF(J7="math problems",25,IF(J7="famous faces",26,IF(J7="famous names",27,IF(J7="famous voices",28,IF(J7="television programs",29,IF(J7="race horses",30,IF(J7="new vocabulary",31,IF(J7="sentences",32,IF(J7="concepts",33,IF(J7="ad slides",34,IF(J7="scenes",35,IF(J7="famous scenes",36,IF(J7="poems",37,IF(J7="walk",38,IF(J7="faces and events",39,IF(J7="events and names",40,IF(J7="flashbulb",41,IF(J7="stories",42,IF(J7="course material",43,IF(J7="autobiographical",44,IF(J7="novels",45,IF(J7="public events",46,"99"))))))))))))))))))))))))))))))))))))))))))))))</f>
        <v>9</v>
      </c>
      <c r="L7" s="69">
        <f>IF(J7="syllables",1,IF(J7="trigrams",1,IF(J7="strings",1,IF(J7="visual array",1,IF(J7="characters",1,IF(J7="letters",1,IF(J7="free forms",1,IF(J7="odors",2,IF(J7="words",2,IF(J7="pictures",2,IF(J7="object pictures",2,IF(J7="faces",2,IF(J7="names",2,IF(J7="idioms","2",IF(J7="grades",2,IF(J7="syllable-digit pairs",3,IF(J7="trigram-word pairs",3,IF(J7="word-digit pairs",3,IF(J7="English-Swahili pairs",3,IF(J7="spatial position",3,IF(J7="word pairs",4,IF(J7="word triads",4,IF(J7="generated words",4,IF(J7="word definition pairs",4,IF(J7="math problems",4,IF(J7="famous faces",4,IF(J7="famous names",4,IF(J7="famous voices",4,IF(J7="television programs",4,IF(J7="race horses",4,IF(J7="new vocabulary",4,IF(J7="sentences",5,IF(J7="concepts",5,IF(J7="ad slides",5,IF(J7="scenes",5,IF(J7="famous scenes",5,IF(J7="poems",6,IF(J7="walk",6,IF(J7="faces and events",6,IF(J7="events and names",6,IF(J7="flashbulb",7,IF(J7="stories",7,IF(J7="course material",7,IF(J7="autobiographical",7,IF(J7="novels",7,IF(J7="public events",7,"99"))))))))))))))))))))))))))))))))))))))))))))))</f>
        <v>2</v>
      </c>
      <c r="M7" s="69">
        <v>0</v>
      </c>
      <c r="N7" s="69">
        <v>1</v>
      </c>
      <c r="O7" s="69">
        <v>0</v>
      </c>
      <c r="P7" s="69"/>
      <c r="Q7" s="69" t="s">
        <v>65</v>
      </c>
      <c r="R7" s="69">
        <f>IF(Q7="Free Recall",1,IF(Q7="Cued Recall",2,IF(Q7="Recognition",3,IF(Q7="Multiple Choice",4,IF(Q7="Savings",5,IF(Q7="Stem Completion",6,IF(Q7="Fragment Completion",7,IF(Q7="anagram solution",8,IF(Q7="Matching",9,IF(Q7="Problem Solving",10,"99"))))))))))</f>
        <v>2</v>
      </c>
      <c r="S7" s="69" t="s">
        <v>15</v>
      </c>
      <c r="T7" s="92" t="s">
        <v>581</v>
      </c>
      <c r="U7" s="69">
        <f>IF(T7="within",1,0)</f>
        <v>1</v>
      </c>
      <c r="V7" s="92">
        <v>32</v>
      </c>
      <c r="W7" s="69">
        <f>F7*V7</f>
        <v>2944</v>
      </c>
      <c r="X7" s="69">
        <v>8</v>
      </c>
      <c r="Y7" s="87">
        <f>AV6</f>
        <v>3</v>
      </c>
      <c r="Z7" s="69" t="s">
        <v>57</v>
      </c>
      <c r="AA7" s="69">
        <v>288</v>
      </c>
      <c r="AB7" s="69" t="str">
        <f>IF(AA7&lt;60,"1",IF(AA7&lt;=43200,"2",IF(AA7&lt;=777600,"3","4")))</f>
        <v>2</v>
      </c>
      <c r="AC7" s="72">
        <f>AVERAGE(AV6:DA6)</f>
        <v>72</v>
      </c>
      <c r="AD7" s="69" t="str">
        <f>IF(AC7&lt;60,"1",IF(AC7&lt;=43200,"2",IF(AC7&lt;=777600,"3","4")))</f>
        <v>2</v>
      </c>
      <c r="AE7" s="87">
        <f>AA7-Y7</f>
        <v>285</v>
      </c>
      <c r="AF7" s="88">
        <f>AV7</f>
        <v>0.74548037190082606</v>
      </c>
      <c r="AG7" s="72">
        <f>((AW7-AV7)+(AX7-AW7)+(AY7-AX7)+(AZ7-AY7)+(BA7-AZ7)+(BB7-BA7)+(BC7-BB7))/7</f>
        <v>-8.5435729043683573E-2</v>
      </c>
      <c r="AH7" s="4"/>
      <c r="AI7" s="72">
        <f>RSQ(AV7:BC7,AV6:BC6)</f>
        <v>0.50079974141873695</v>
      </c>
      <c r="AJ7" s="110">
        <f>SLOPE(AV7:BC7,AV6:BC6)</f>
        <v>-1.8349686720701597E-3</v>
      </c>
      <c r="AK7" s="72">
        <f>INTERCEPT(AV7:BC7,AV6:BC6)</f>
        <v>0.54221749903781125</v>
      </c>
      <c r="AL7" s="72">
        <f>INDEX(LINEST(LN(AV7:BC7),LN(AV6:BC6),TRUE,TRUE),3,1)</f>
        <v>0.88284261806445485</v>
      </c>
      <c r="AM7" s="72">
        <f>INDEX(LINEST(LN(AV7:BC7),LN(AV6:BC6)),1)</f>
        <v>-0.40883666822206854</v>
      </c>
      <c r="AN7" s="72">
        <f>EXP(INDEX(LINEST(LN(AV7:BC7),LN(AV6:BC6)),1,2))</f>
        <v>1.3026449623933485</v>
      </c>
      <c r="AO7" s="89">
        <f>INDEX(LINEST((AV7:BC7),LN(AV6:BC6),TRUE,TRUE),3,1)</f>
        <v>0.82460604692561734</v>
      </c>
      <c r="AP7" s="89">
        <f>INDEX(LINEST((AV7:BC7),LN(AV6:BC6)),1)</f>
        <v>-0.14629412646768444</v>
      </c>
      <c r="AQ7" s="90">
        <f>INDEX(LINEST(LN(AV7:BC7),SQRT(AV6:BC6),TRUE,TRUE),3,1)</f>
        <v>0.80642746430824919</v>
      </c>
      <c r="AR7" s="117">
        <f>INDEX(LINEST(LN(AV7:BC7),SQRT((AV6:BC6))),1)</f>
        <v>-0.11707007809406436</v>
      </c>
      <c r="AS7" s="91">
        <f>INDEX(LINEST(1/(AV7:BC7),1/(SQRT(AV6:BC6)),TRUE,TRUE),3,1)</f>
        <v>0.65564996239325657</v>
      </c>
      <c r="AT7" s="91">
        <f>INDEX(LINEST(1/(AV7:BC7),1/SQRT(AV6:BC6)),1)</f>
        <v>-11.15878721250836</v>
      </c>
      <c r="AU7" s="3"/>
      <c r="AV7" s="73">
        <v>0.74548037190082606</v>
      </c>
      <c r="AW7" s="73">
        <v>0.58124354338842898</v>
      </c>
      <c r="AX7" s="73">
        <v>0.770829028925619</v>
      </c>
      <c r="AY7" s="73">
        <v>0.297339876033057</v>
      </c>
      <c r="AZ7" s="73">
        <v>0.37447055785123901</v>
      </c>
      <c r="BA7" s="73">
        <v>0.23638300619834701</v>
      </c>
      <c r="BB7" s="73">
        <v>0.12762138429752001</v>
      </c>
      <c r="BC7" s="73">
        <v>0.14743026859504099</v>
      </c>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53"/>
      <c r="CI7" s="53"/>
      <c r="CJ7" s="53"/>
      <c r="CK7" s="53"/>
      <c r="CL7" s="53"/>
      <c r="CM7" s="53"/>
      <c r="CN7" s="53"/>
      <c r="CO7" s="53"/>
      <c r="CP7" s="53"/>
      <c r="CQ7" s="53"/>
      <c r="CR7" s="1"/>
      <c r="CS7" s="1"/>
      <c r="CT7" s="1"/>
      <c r="CU7" s="1"/>
    </row>
    <row r="8" spans="1:99" s="13" customFormat="1" ht="12" customHeight="1" x14ac:dyDescent="0.2">
      <c r="A8" s="68">
        <v>43509</v>
      </c>
      <c r="B8" s="70"/>
      <c r="C8" s="70"/>
      <c r="D8" s="69"/>
      <c r="E8" s="87"/>
      <c r="F8" s="69"/>
      <c r="G8" s="69"/>
      <c r="H8" s="69"/>
      <c r="I8" s="69"/>
      <c r="J8" s="69"/>
      <c r="K8" s="107"/>
      <c r="L8" s="107"/>
      <c r="M8" s="69"/>
      <c r="N8" s="69"/>
      <c r="O8" s="69"/>
      <c r="P8" s="69"/>
      <c r="Q8" s="69"/>
      <c r="R8" s="69"/>
      <c r="S8" s="69"/>
      <c r="T8" s="69"/>
      <c r="U8" s="69"/>
      <c r="V8" s="69"/>
      <c r="W8" s="69"/>
      <c r="X8" s="69"/>
      <c r="Y8" s="87"/>
      <c r="Z8" s="69"/>
      <c r="AA8" s="69"/>
      <c r="AB8" s="69"/>
      <c r="AC8" s="69"/>
      <c r="AD8" s="69"/>
      <c r="AE8" s="69"/>
      <c r="AF8" s="88"/>
      <c r="AG8" s="72"/>
      <c r="AH8" s="4"/>
      <c r="AI8" s="72"/>
      <c r="AJ8" s="110"/>
      <c r="AK8" s="72"/>
      <c r="AL8" s="72"/>
      <c r="AM8" s="72"/>
      <c r="AN8" s="72"/>
      <c r="AO8" s="89"/>
      <c r="AP8" s="89"/>
      <c r="AQ8" s="89"/>
      <c r="AR8" s="118"/>
      <c r="AS8" s="89"/>
      <c r="AT8" s="89"/>
      <c r="AU8" s="129"/>
      <c r="AV8" s="71">
        <f>3*1</f>
        <v>3</v>
      </c>
      <c r="AW8" s="71">
        <f>3*2</f>
        <v>6</v>
      </c>
      <c r="AX8" s="71">
        <f>3*3</f>
        <v>9</v>
      </c>
      <c r="AY8" s="71">
        <f>3*6</f>
        <v>18</v>
      </c>
      <c r="AZ8" s="71">
        <f>3*12</f>
        <v>36</v>
      </c>
      <c r="BA8" s="71">
        <f>3*24</f>
        <v>72</v>
      </c>
      <c r="BB8" s="71">
        <f>3*48</f>
        <v>144</v>
      </c>
      <c r="BC8" s="71">
        <f>3*96</f>
        <v>288</v>
      </c>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c r="CP8" s="53"/>
      <c r="CQ8" s="53"/>
      <c r="CR8" s="1"/>
      <c r="CS8" s="1"/>
      <c r="CT8" s="1"/>
      <c r="CU8" s="1"/>
    </row>
    <row r="9" spans="1:99" s="13" customFormat="1" ht="12" customHeight="1" x14ac:dyDescent="0.2">
      <c r="A9" s="68">
        <v>43509</v>
      </c>
      <c r="B9" s="70" t="s">
        <v>241</v>
      </c>
      <c r="C9" s="70" t="s">
        <v>19</v>
      </c>
      <c r="D9" s="69">
        <v>1968</v>
      </c>
      <c r="E9" s="87">
        <v>1</v>
      </c>
      <c r="F9" s="69">
        <v>92</v>
      </c>
      <c r="G9" s="69">
        <v>92</v>
      </c>
      <c r="H9" s="69" t="s">
        <v>50</v>
      </c>
      <c r="I9" s="69" t="s">
        <v>635</v>
      </c>
      <c r="J9" s="69" t="s">
        <v>16</v>
      </c>
      <c r="K9" s="69">
        <f>IF(J9="syllables",1,IF(J9="trigrams",2,IF(J9="strings",3,IF(J9="visual array",4,IF(J9="characters",5,IF(J9="letters",6,IF(J9="free forms",7,IF(J9="odors",8,IF(J9="words",9,IF(J9="pictures",10,IF(J9="object pictures",11,IF(J9="faces",12,IF(J9="names",13,IF(J9="idioms",14,IF(J9="grades",15,IF(J9="syllable-digit pairs",16,IF(J9="trigram-word pairs",17,IF(J9="word-digit pairs",18,IF(J9="English-Swahili pairs",19,IF(J9="spatial position",20,IF(J9="word pairs",21,IF(J9="word triads",22,IF(J9="generated words",23,IF(J9="word definition pairs",24,IF(J9="math problems",25,IF(J9="famous faces",26,IF(J9="famous names",27,IF(J9="famous voices",28,IF(J9="television programs",29,IF(J9="race horses",30,IF(J9="new vocabulary",31,IF(J9="sentences",32,IF(J9="concepts",33,IF(J9="ad slides",34,IF(J9="scenes",35,IF(J9="famous scenes",36,IF(J9="poems",37,IF(J9="walk",38,IF(J9="faces and events",39,IF(J9="events and names",40,IF(J9="flashbulb",41,IF(J9="stories",42,IF(J9="course material",43,IF(J9="autobiographical",44,IF(J9="novels",45,IF(J9="public events",46,"99"))))))))))))))))))))))))))))))))))))))))))))))</f>
        <v>9</v>
      </c>
      <c r="L9" s="69">
        <f>IF(J9="syllables",1,IF(J9="trigrams",1,IF(J9="strings",1,IF(J9="visual array",1,IF(J9="characters",1,IF(J9="letters",1,IF(J9="free forms",1,IF(J9="odors",2,IF(J9="words",2,IF(J9="pictures",2,IF(J9="object pictures",2,IF(J9="faces",2,IF(J9="names",2,IF(J9="idioms","2",IF(J9="grades",2,IF(J9="syllable-digit pairs",3,IF(J9="trigram-word pairs",3,IF(J9="word-digit pairs",3,IF(J9="English-Swahili pairs",3,IF(J9="spatial position",3,IF(J9="word pairs",4,IF(J9="word triads",4,IF(J9="generated words",4,IF(J9="word definition pairs",4,IF(J9="math problems",4,IF(J9="famous faces",4,IF(J9="famous names",4,IF(J9="famous voices",4,IF(J9="television programs",4,IF(J9="race horses",4,IF(J9="new vocabulary",4,IF(J9="sentences",5,IF(J9="concepts",5,IF(J9="ad slides",5,IF(J9="scenes",5,IF(J9="famous scenes",5,IF(J9="poems",6,IF(J9="walk",6,IF(J9="faces and events",6,IF(J9="events and names",6,IF(J9="flashbulb",7,IF(J9="stories",7,IF(J9="course material",7,IF(J9="autobiographical",7,IF(J9="novels",7,IF(J9="public events",7,"99"))))))))))))))))))))))))))))))))))))))))))))))</f>
        <v>2</v>
      </c>
      <c r="M9" s="69">
        <v>0</v>
      </c>
      <c r="N9" s="69">
        <v>1</v>
      </c>
      <c r="O9" s="69">
        <v>0</v>
      </c>
      <c r="P9" s="69"/>
      <c r="Q9" s="69" t="s">
        <v>65</v>
      </c>
      <c r="R9" s="69">
        <f>IF(Q9="Free Recall",1,IF(Q9="Cued Recall",2,IF(Q9="Recognition",3,IF(Q9="Multiple Choice",4,IF(Q9="Savings",5,IF(Q9="Stem Completion",6,IF(Q9="Fragment Completion",7,IF(Q9="anagram solution",8,IF(Q9="Matching",9,IF(Q9="Problem Solving",10,"99"))))))))))</f>
        <v>2</v>
      </c>
      <c r="S9" s="69" t="s">
        <v>15</v>
      </c>
      <c r="T9" s="92" t="s">
        <v>581</v>
      </c>
      <c r="U9" s="69">
        <f>IF(T9="within",1,0)</f>
        <v>1</v>
      </c>
      <c r="V9" s="92">
        <v>32</v>
      </c>
      <c r="W9" s="69">
        <f>F9*V9</f>
        <v>2944</v>
      </c>
      <c r="X9" s="69">
        <v>8</v>
      </c>
      <c r="Y9" s="87">
        <f>AV8</f>
        <v>3</v>
      </c>
      <c r="Z9" s="69" t="s">
        <v>57</v>
      </c>
      <c r="AA9" s="69">
        <v>288</v>
      </c>
      <c r="AB9" s="69" t="str">
        <f>IF(AA9&lt;60,"1",IF(AA9&lt;=43200,"2",IF(AA9&lt;=777600,"3","4")))</f>
        <v>2</v>
      </c>
      <c r="AC9" s="72">
        <f>AVERAGE(AV8:DA8)</f>
        <v>72</v>
      </c>
      <c r="AD9" s="69" t="str">
        <f>IF(AC9&lt;60,"1",IF(AC9&lt;=43200,"2",IF(AC9&lt;=777600,"3","4")))</f>
        <v>2</v>
      </c>
      <c r="AE9" s="87">
        <f>AA9-Y9</f>
        <v>285</v>
      </c>
      <c r="AF9" s="88">
        <f>AV9</f>
        <v>0.76833032024793302</v>
      </c>
      <c r="AG9" s="72">
        <f>((AW9-AV9)+(AX9-AW9)+(AY9-AX9)+(AZ9-AY9)+(BA9-AZ9)+(BB9-BA9)+(BC9-BB9))/7</f>
        <v>-9.9752804014167529E-2</v>
      </c>
      <c r="AH9" s="4"/>
      <c r="AI9" s="72">
        <f>RSQ(AV9:BC9,AV8:BC8)</f>
        <v>0.59754332133251598</v>
      </c>
      <c r="AJ9" s="110">
        <f>SLOPE(AV9:BC9,AV8:BC8)</f>
        <v>-2.1736754661714993E-3</v>
      </c>
      <c r="AK9" s="72">
        <f>INTERCEPT(AV9:BC9,AV8:BC8)</f>
        <v>0.61192173067178546</v>
      </c>
      <c r="AL9" s="72">
        <f>INDEX(LINEST(LN(AV9:BC9),LN(AV8:BC8),TRUE,TRUE),3,1)</f>
        <v>0.82420775277556968</v>
      </c>
      <c r="AM9" s="72">
        <f>INDEX(LINEST(LN(AV9:BC9),LN(AV8:BC8)),1)</f>
        <v>-0.45755734351725819</v>
      </c>
      <c r="AN9" s="72">
        <f>EXP(INDEX(LINEST(LN(AV9:BC9),LN(AV8:BC8)),1,2))</f>
        <v>1.6544468270298138</v>
      </c>
      <c r="AO9" s="89">
        <f>INDEX(LINEST((AV9:BC9),LN(AV8:BC8),TRUE,TRUE),3,1)</f>
        <v>0.83990532832959475</v>
      </c>
      <c r="AP9" s="89">
        <f>INDEX(LINEST((AV9:BC9),LN(AV8:BC8)),1)</f>
        <v>-0.16011506642523496</v>
      </c>
      <c r="AQ9" s="90">
        <f>INDEX(LINEST(LN(AV9:BC9),SQRT(AV8:BC8),TRUE,TRUE),3,1)</f>
        <v>0.90580339828123846</v>
      </c>
      <c r="AR9" s="117">
        <f>INDEX(LINEST(LN(AV9:BC9),SQRT((AV8:BC8))),1)</f>
        <v>-0.14371404482107042</v>
      </c>
      <c r="AS9" s="91">
        <f>INDEX(LINEST(1/(AV9:BC9),1/(SQRT(AV8:BC8)),TRUE,TRUE),3,1)</f>
        <v>0.35836830665402436</v>
      </c>
      <c r="AT9" s="91">
        <f>INDEX(LINEST(1/(AV9:BC9),1/SQRT(AV8:BC8)),1)</f>
        <v>-14.35995336259346</v>
      </c>
      <c r="AU9" s="3"/>
      <c r="AV9" s="73">
        <v>0.76833032024793302</v>
      </c>
      <c r="AW9" s="73">
        <v>0.91539256198347096</v>
      </c>
      <c r="AX9" s="73">
        <v>0.56361699380165198</v>
      </c>
      <c r="AY9" s="73">
        <v>0.37234633264462802</v>
      </c>
      <c r="AZ9" s="73">
        <v>0.34952866735537103</v>
      </c>
      <c r="BA9" s="73">
        <v>0.378899793388429</v>
      </c>
      <c r="BB9" s="73">
        <v>0.22516141528925601</v>
      </c>
      <c r="BC9" s="73">
        <v>7.0060692148760303E-2</v>
      </c>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c r="CP9" s="53"/>
      <c r="CQ9" s="53"/>
      <c r="CR9" s="1"/>
      <c r="CS9" s="1"/>
      <c r="CT9" s="1"/>
      <c r="CU9" s="1"/>
    </row>
    <row r="10" spans="1:99" s="13" customFormat="1" ht="12" customHeight="1" x14ac:dyDescent="0.2">
      <c r="A10" s="68">
        <v>43509</v>
      </c>
      <c r="B10" s="70"/>
      <c r="C10" s="70"/>
      <c r="D10" s="69"/>
      <c r="E10" s="87"/>
      <c r="F10" s="69"/>
      <c r="G10" s="69"/>
      <c r="H10" s="69"/>
      <c r="I10" s="69"/>
      <c r="J10" s="69"/>
      <c r="K10" s="107"/>
      <c r="L10" s="107"/>
      <c r="M10" s="69"/>
      <c r="N10" s="69"/>
      <c r="O10" s="69"/>
      <c r="P10" s="69"/>
      <c r="Q10" s="69"/>
      <c r="R10" s="69"/>
      <c r="S10" s="69"/>
      <c r="T10" s="69"/>
      <c r="U10" s="69"/>
      <c r="V10" s="69"/>
      <c r="W10" s="69"/>
      <c r="X10" s="69"/>
      <c r="Y10" s="87"/>
      <c r="Z10" s="69"/>
      <c r="AA10" s="69"/>
      <c r="AB10" s="69"/>
      <c r="AC10" s="69"/>
      <c r="AD10" s="69"/>
      <c r="AE10" s="69"/>
      <c r="AF10" s="88"/>
      <c r="AG10" s="72"/>
      <c r="AH10" s="4"/>
      <c r="AI10" s="72"/>
      <c r="AJ10" s="110"/>
      <c r="AK10" s="72"/>
      <c r="AL10" s="72"/>
      <c r="AM10" s="72"/>
      <c r="AN10" s="72"/>
      <c r="AO10" s="89"/>
      <c r="AP10" s="89"/>
      <c r="AQ10" s="89"/>
      <c r="AR10" s="118"/>
      <c r="AS10" s="89"/>
      <c r="AT10" s="89"/>
      <c r="AU10" s="129"/>
      <c r="AV10" s="71">
        <f>3*1</f>
        <v>3</v>
      </c>
      <c r="AW10" s="71">
        <f>3*2</f>
        <v>6</v>
      </c>
      <c r="AX10" s="71">
        <f>3*3</f>
        <v>9</v>
      </c>
      <c r="AY10" s="71">
        <f>3*6</f>
        <v>18</v>
      </c>
      <c r="AZ10" s="71">
        <f>3*12</f>
        <v>36</v>
      </c>
      <c r="BA10" s="71">
        <f>3*24</f>
        <v>72</v>
      </c>
      <c r="BB10" s="71">
        <f>3*48</f>
        <v>144</v>
      </c>
      <c r="BC10" s="71">
        <f>3*96</f>
        <v>288</v>
      </c>
      <c r="BD10" s="53"/>
      <c r="BE10" s="53"/>
      <c r="BF10" s="53"/>
      <c r="BG10" s="53"/>
      <c r="BH10" s="53"/>
      <c r="BI10" s="53"/>
      <c r="BJ10" s="53"/>
      <c r="BK10" s="53"/>
      <c r="BL10" s="53"/>
      <c r="BM10" s="53"/>
      <c r="BN10" s="53"/>
      <c r="BO10" s="53"/>
      <c r="BP10" s="53"/>
      <c r="BQ10" s="53"/>
      <c r="BR10" s="53"/>
      <c r="BS10" s="53"/>
      <c r="BT10" s="53"/>
      <c r="BU10" s="53"/>
      <c r="BV10" s="53"/>
      <c r="BW10" s="53"/>
      <c r="BX10" s="53"/>
      <c r="BY10" s="53"/>
      <c r="BZ10" s="53"/>
      <c r="CA10" s="53"/>
      <c r="CB10" s="53"/>
      <c r="CC10" s="53"/>
      <c r="CD10" s="53"/>
      <c r="CE10" s="53"/>
      <c r="CF10" s="53"/>
      <c r="CG10" s="53"/>
      <c r="CH10" s="53"/>
      <c r="CI10" s="53"/>
      <c r="CJ10" s="53"/>
      <c r="CK10" s="53"/>
      <c r="CL10" s="53"/>
      <c r="CM10" s="53"/>
      <c r="CN10" s="53"/>
      <c r="CO10" s="53"/>
      <c r="CP10" s="53"/>
      <c r="CQ10" s="53"/>
      <c r="CR10" s="1"/>
      <c r="CS10" s="1"/>
      <c r="CT10" s="1"/>
      <c r="CU10" s="1"/>
    </row>
    <row r="11" spans="1:99" s="13" customFormat="1" ht="12" customHeight="1" x14ac:dyDescent="0.2">
      <c r="A11" s="68">
        <v>43509</v>
      </c>
      <c r="B11" s="70" t="s">
        <v>241</v>
      </c>
      <c r="C11" s="70" t="s">
        <v>19</v>
      </c>
      <c r="D11" s="69">
        <v>1968</v>
      </c>
      <c r="E11" s="87">
        <v>1</v>
      </c>
      <c r="F11" s="69">
        <v>92</v>
      </c>
      <c r="G11" s="69">
        <v>92</v>
      </c>
      <c r="H11" s="69" t="s">
        <v>50</v>
      </c>
      <c r="I11" s="69" t="s">
        <v>636</v>
      </c>
      <c r="J11" s="69" t="s">
        <v>16</v>
      </c>
      <c r="K11" s="69">
        <f>IF(J11="syllables",1,IF(J11="trigrams",2,IF(J11="strings",3,IF(J11="visual array",4,IF(J11="characters",5,IF(J11="letters",6,IF(J11="free forms",7,IF(J11="odors",8,IF(J11="words",9,IF(J11="pictures",10,IF(J11="object pictures",11,IF(J11="faces",12,IF(J11="names",13,IF(J11="idioms",14,IF(J11="grades",15,IF(J11="syllable-digit pairs",16,IF(J11="trigram-word pairs",17,IF(J11="word-digit pairs",18,IF(J11="English-Swahili pairs",19,IF(J11="spatial position",20,IF(J11="word pairs",21,IF(J11="word triads",22,IF(J11="generated words",23,IF(J11="word definition pairs",24,IF(J11="math problems",25,IF(J11="famous faces",26,IF(J11="famous names",27,IF(J11="famous voices",28,IF(J11="television programs",29,IF(J11="race horses",30,IF(J11="new vocabulary",31,IF(J11="sentences",32,IF(J11="concepts",33,IF(J11="ad slides",34,IF(J11="scenes",35,IF(J11="famous scenes",36,IF(J11="poems",37,IF(J11="walk",38,IF(J11="faces and events",39,IF(J11="events and names",40,IF(J11="flashbulb",41,IF(J11="stories",42,IF(J11="course material",43,IF(J11="autobiographical",44,IF(J11="novels",45,IF(J11="public events",46,"99"))))))))))))))))))))))))))))))))))))))))))))))</f>
        <v>9</v>
      </c>
      <c r="L11" s="69">
        <f>IF(J11="syllables",1,IF(J11="trigrams",1,IF(J11="strings",1,IF(J11="visual array",1,IF(J11="characters",1,IF(J11="letters",1,IF(J11="free forms",1,IF(J11="odors",2,IF(J11="words",2,IF(J11="pictures",2,IF(J11="object pictures",2,IF(J11="faces",2,IF(J11="names",2,IF(J11="idioms","2",IF(J11="grades",2,IF(J11="syllable-digit pairs",3,IF(J11="trigram-word pairs",3,IF(J11="word-digit pairs",3,IF(J11="English-Swahili pairs",3,IF(J11="spatial position",3,IF(J11="word pairs",4,IF(J11="word triads",4,IF(J11="generated words",4,IF(J11="word definition pairs",4,IF(J11="math problems",4,IF(J11="famous faces",4,IF(J11="famous names",4,IF(J11="famous voices",4,IF(J11="television programs",4,IF(J11="race horses",4,IF(J11="new vocabulary",4,IF(J11="sentences",5,IF(J11="concepts",5,IF(J11="ad slides",5,IF(J11="scenes",5,IF(J11="famous scenes",5,IF(J11="poems",6,IF(J11="walk",6,IF(J11="faces and events",6,IF(J11="events and names",6,IF(J11="flashbulb",7,IF(J11="stories",7,IF(J11="course material",7,IF(J11="autobiographical",7,IF(J11="novels",7,IF(J11="public events",7,"99"))))))))))))))))))))))))))))))))))))))))))))))</f>
        <v>2</v>
      </c>
      <c r="M11" s="69">
        <v>0</v>
      </c>
      <c r="N11" s="69">
        <v>1</v>
      </c>
      <c r="O11" s="69">
        <v>0</v>
      </c>
      <c r="P11" s="69"/>
      <c r="Q11" s="69" t="s">
        <v>65</v>
      </c>
      <c r="R11" s="69">
        <f>IF(Q11="Free Recall",1,IF(Q11="Cued Recall",2,IF(Q11="Recognition",3,IF(Q11="Multiple Choice",4,IF(Q11="Savings",5,IF(Q11="Stem Completion",6,IF(Q11="Fragment Completion",7,IF(Q11="anagram solution",8,IF(Q11="Matching",9,IF(Q11="Problem Solving",10,"99"))))))))))</f>
        <v>2</v>
      </c>
      <c r="S11" s="69" t="s">
        <v>15</v>
      </c>
      <c r="T11" s="92" t="s">
        <v>581</v>
      </c>
      <c r="U11" s="69">
        <f>IF(T11="within",1,0)</f>
        <v>1</v>
      </c>
      <c r="V11" s="92">
        <v>32</v>
      </c>
      <c r="W11" s="69">
        <f>F11*V11</f>
        <v>2944</v>
      </c>
      <c r="X11" s="69">
        <v>8</v>
      </c>
      <c r="Y11" s="87">
        <f>AV10</f>
        <v>3</v>
      </c>
      <c r="Z11" s="69" t="s">
        <v>57</v>
      </c>
      <c r="AA11" s="69">
        <v>288</v>
      </c>
      <c r="AB11" s="69" t="str">
        <f>IF(AA11&lt;60,"1",IF(AA11&lt;=43200,"2",IF(AA11&lt;=777600,"3","4")))</f>
        <v>2</v>
      </c>
      <c r="AC11" s="72">
        <f>AVERAGE(AV10:DA10)</f>
        <v>72</v>
      </c>
      <c r="AD11" s="69" t="str">
        <f>IF(AC11&lt;60,"1",IF(AC11&lt;=43200,"2",IF(AC11&lt;=777600,"3","4")))</f>
        <v>2</v>
      </c>
      <c r="AE11" s="87">
        <f>AA11-Y11</f>
        <v>285</v>
      </c>
      <c r="AF11" s="88">
        <f>AV11</f>
        <v>0.805449380165289</v>
      </c>
      <c r="AG11" s="72">
        <f>((AW11-AV11)+(AX11-AW11)+(AY11-AX11)+(AZ11-AY11)+(BA11-AZ11)+(BB11-BA11)+(BC11-BB11))/7</f>
        <v>-8.2937020365997718E-2</v>
      </c>
      <c r="AH11" s="4"/>
      <c r="AI11" s="72">
        <f>RSQ(AV11:BC11,AV10:BC10)</f>
        <v>0.58506340591897732</v>
      </c>
      <c r="AJ11" s="110">
        <f>SLOPE(AV11:BC11,AV10:BC10)</f>
        <v>-1.7541422387886828E-3</v>
      </c>
      <c r="AK11" s="72">
        <f>INTERCEPT(AV11:BC11,AV10:BC10)</f>
        <v>0.62821989021137958</v>
      </c>
      <c r="AL11" s="72">
        <f>INDEX(LINEST(LN(AV11:BC11),LN(AV10:BC10),TRUE,TRUE),3,1)</f>
        <v>0.94822331792961601</v>
      </c>
      <c r="AM11" s="72">
        <f>INDEX(LINEST(LN(AV11:BC11),LN(AV10:BC10)),1)</f>
        <v>-0.29520485385500506</v>
      </c>
      <c r="AN11" s="72">
        <f>EXP(INDEX(LINEST(LN(AV11:BC11),LN(AV10:BC10)),1,2))</f>
        <v>1.2081223843829691</v>
      </c>
      <c r="AO11" s="89">
        <f>INDEX(LINEST((AV11:BC11),LN(AV10:BC10),TRUE,TRUE),3,1)</f>
        <v>0.93112759749405771</v>
      </c>
      <c r="AP11" s="89">
        <f>INDEX(LINEST((AV11:BC11),LN(AV10:BC10)),1)</f>
        <v>-0.13749121965912697</v>
      </c>
      <c r="AQ11" s="90">
        <f>INDEX(LINEST(LN(AV11:BC11),SQRT(AV10:BC10),TRUE,TRUE),3,1)</f>
        <v>0.86525863398617209</v>
      </c>
      <c r="AR11" s="117">
        <f>INDEX(LINEST(LN(AV11:BC11),SQRT((AV10:BC10))),1)</f>
        <v>-8.4488229053187869E-2</v>
      </c>
      <c r="AS11" s="91">
        <f>INDEX(LINEST(1/(AV11:BC11),1/(SQRT(AV10:BC10)),TRUE,TRUE),3,1)</f>
        <v>0.74789087529908882</v>
      </c>
      <c r="AT11" s="91">
        <f>INDEX(LINEST(1/(AV11:BC11),1/SQRT(AV10:BC10)),1)</f>
        <v>-5.6356347667895399</v>
      </c>
      <c r="AU11" s="3"/>
      <c r="AV11" s="73">
        <v>0.805449380165289</v>
      </c>
      <c r="AW11" s="73">
        <v>0.74084452479338803</v>
      </c>
      <c r="AX11" s="73">
        <v>0.72616864669421399</v>
      </c>
      <c r="AY11" s="73">
        <v>0.46225464876033001</v>
      </c>
      <c r="AZ11" s="73">
        <v>0.46197055785123903</v>
      </c>
      <c r="BA11" s="73">
        <v>0.28881069214875998</v>
      </c>
      <c r="BB11" s="73">
        <v>0.30498450413223099</v>
      </c>
      <c r="BC11" s="73">
        <v>0.22489023760330501</v>
      </c>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1"/>
      <c r="CS11" s="1"/>
      <c r="CT11" s="1"/>
      <c r="CU11" s="1"/>
    </row>
    <row r="12" spans="1:99" s="13" customFormat="1" ht="12" customHeight="1" x14ac:dyDescent="0.2">
      <c r="A12" s="68">
        <v>43509</v>
      </c>
      <c r="B12" s="70"/>
      <c r="C12" s="70"/>
      <c r="D12" s="69"/>
      <c r="E12" s="87"/>
      <c r="F12" s="69"/>
      <c r="G12" s="69"/>
      <c r="H12" s="69"/>
      <c r="I12" s="69"/>
      <c r="J12" s="69"/>
      <c r="K12" s="107"/>
      <c r="L12" s="107"/>
      <c r="M12" s="69"/>
      <c r="N12" s="69"/>
      <c r="O12" s="69"/>
      <c r="P12" s="69"/>
      <c r="Q12" s="69"/>
      <c r="R12" s="69"/>
      <c r="S12" s="69"/>
      <c r="T12" s="69"/>
      <c r="U12" s="69"/>
      <c r="V12" s="69"/>
      <c r="W12" s="69"/>
      <c r="X12" s="69"/>
      <c r="Y12" s="87"/>
      <c r="Z12" s="69"/>
      <c r="AA12" s="69"/>
      <c r="AB12" s="69"/>
      <c r="AC12" s="69"/>
      <c r="AD12" s="69"/>
      <c r="AE12" s="69"/>
      <c r="AF12" s="88"/>
      <c r="AG12" s="72"/>
      <c r="AH12" s="4"/>
      <c r="AI12" s="72"/>
      <c r="AJ12" s="110"/>
      <c r="AK12" s="72"/>
      <c r="AL12" s="72"/>
      <c r="AM12" s="72"/>
      <c r="AN12" s="72"/>
      <c r="AO12" s="89"/>
      <c r="AP12" s="89"/>
      <c r="AQ12" s="89"/>
      <c r="AR12" s="118"/>
      <c r="AS12" s="89"/>
      <c r="AT12" s="89"/>
      <c r="AU12" s="129"/>
      <c r="AV12" s="71">
        <f>3*1</f>
        <v>3</v>
      </c>
      <c r="AW12" s="71">
        <f>3*2</f>
        <v>6</v>
      </c>
      <c r="AX12" s="71">
        <f>3*3</f>
        <v>9</v>
      </c>
      <c r="AY12" s="71">
        <f>3*6</f>
        <v>18</v>
      </c>
      <c r="AZ12" s="71">
        <f>3*12</f>
        <v>36</v>
      </c>
      <c r="BA12" s="71">
        <f>3*24</f>
        <v>72</v>
      </c>
      <c r="BB12" s="71">
        <f>3*48</f>
        <v>144</v>
      </c>
      <c r="BC12" s="71">
        <f>3*96</f>
        <v>288</v>
      </c>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1"/>
      <c r="CS12" s="1"/>
      <c r="CT12" s="1"/>
      <c r="CU12" s="1"/>
    </row>
    <row r="13" spans="1:99" s="13" customFormat="1" ht="12" customHeight="1" x14ac:dyDescent="0.2">
      <c r="A13" s="68">
        <v>43509</v>
      </c>
      <c r="B13" s="70" t="s">
        <v>241</v>
      </c>
      <c r="C13" s="70" t="s">
        <v>19</v>
      </c>
      <c r="D13" s="69">
        <v>1968</v>
      </c>
      <c r="E13" s="87">
        <v>2</v>
      </c>
      <c r="F13" s="69">
        <v>100</v>
      </c>
      <c r="G13" s="69">
        <v>100</v>
      </c>
      <c r="H13" s="69" t="s">
        <v>50</v>
      </c>
      <c r="I13" s="69" t="s">
        <v>637</v>
      </c>
      <c r="J13" s="69" t="s">
        <v>16</v>
      </c>
      <c r="K13" s="69">
        <f>IF(J13="syllables",1,IF(J13="trigrams",2,IF(J13="strings",3,IF(J13="visual array",4,IF(J13="characters",5,IF(J13="letters",6,IF(J13="free forms",7,IF(J13="odors",8,IF(J13="words",9,IF(J13="pictures",10,IF(J13="object pictures",11,IF(J13="faces",12,IF(J13="names",13,IF(J13="idioms",14,IF(J13="grades",15,IF(J13="syllable-digit pairs",16,IF(J13="trigram-word pairs",17,IF(J13="word-digit pairs",18,IF(J13="English-Swahili pairs",19,IF(J13="spatial position",20,IF(J13="word pairs",21,IF(J13="word triads",22,IF(J13="generated words",23,IF(J13="word definition pairs",24,IF(J13="math problems",25,IF(J13="famous faces",26,IF(J13="famous names",27,IF(J13="famous voices",28,IF(J13="television programs",29,IF(J13="race horses",30,IF(J13="new vocabulary",31,IF(J13="sentences",32,IF(J13="concepts",33,IF(J13="ad slides",34,IF(J13="scenes",35,IF(J13="famous scenes",36,IF(J13="poems",37,IF(J13="walk",38,IF(J13="faces and events",39,IF(J13="events and names",40,IF(J13="flashbulb",41,IF(J13="stories",42,IF(J13="course material",43,IF(J13="autobiographical",44,IF(J13="novels",45,IF(J13="public events",46,"99"))))))))))))))))))))))))))))))))))))))))))))))</f>
        <v>9</v>
      </c>
      <c r="L13" s="69">
        <f>IF(J13="syllables",1,IF(J13="trigrams",1,IF(J13="strings",1,IF(J13="visual array",1,IF(J13="characters",1,IF(J13="letters",1,IF(J13="free forms",1,IF(J13="odors",2,IF(J13="words",2,IF(J13="pictures",2,IF(J13="object pictures",2,IF(J13="faces",2,IF(J13="names",2,IF(J13="idioms","2",IF(J13="grades",2,IF(J13="syllable-digit pairs",3,IF(J13="trigram-word pairs",3,IF(J13="word-digit pairs",3,IF(J13="English-Swahili pairs",3,IF(J13="spatial position",3,IF(J13="word pairs",4,IF(J13="word triads",4,IF(J13="generated words",4,IF(J13="word definition pairs",4,IF(J13="math problems",4,IF(J13="famous faces",4,IF(J13="famous names",4,IF(J13="famous voices",4,IF(J13="television programs",4,IF(J13="race horses",4,IF(J13="new vocabulary",4,IF(J13="sentences",5,IF(J13="concepts",5,IF(J13="ad slides",5,IF(J13="scenes",5,IF(J13="famous scenes",5,IF(J13="poems",6,IF(J13="walk",6,IF(J13="faces and events",6,IF(J13="events and names",6,IF(J13="flashbulb",7,IF(J13="stories",7,IF(J13="course material",7,IF(J13="autobiographical",7,IF(J13="novels",7,IF(J13="public events",7,"99"))))))))))))))))))))))))))))))))))))))))))))))</f>
        <v>2</v>
      </c>
      <c r="M13" s="69">
        <v>0</v>
      </c>
      <c r="N13" s="69">
        <v>1</v>
      </c>
      <c r="O13" s="69">
        <v>0</v>
      </c>
      <c r="P13" s="69"/>
      <c r="Q13" s="69" t="s">
        <v>65</v>
      </c>
      <c r="R13" s="69">
        <f>IF(Q13="Free Recall",1,IF(Q13="Cued Recall",2,IF(Q13="Recognition",3,IF(Q13="Multiple Choice",4,IF(Q13="Savings",5,IF(Q13="Stem Completion",6,IF(Q13="Fragment Completion",7,IF(Q13="anagram solution",8,IF(Q13="Matching",9,IF(Q13="Problem Solving",10,"99"))))))))))</f>
        <v>2</v>
      </c>
      <c r="S13" s="69" t="s">
        <v>15</v>
      </c>
      <c r="T13" s="92" t="s">
        <v>581</v>
      </c>
      <c r="U13" s="69">
        <f>IF(T13="within",1,0)</f>
        <v>1</v>
      </c>
      <c r="V13" s="92">
        <v>32</v>
      </c>
      <c r="W13" s="69">
        <f>F13*V13</f>
        <v>3200</v>
      </c>
      <c r="X13" s="69">
        <v>8</v>
      </c>
      <c r="Y13" s="87">
        <f>AV12</f>
        <v>3</v>
      </c>
      <c r="Z13" s="69" t="s">
        <v>57</v>
      </c>
      <c r="AA13" s="69">
        <v>288</v>
      </c>
      <c r="AB13" s="69" t="str">
        <f>IF(AA13&lt;60,"1",IF(AA13&lt;=43200,"2",IF(AA13&lt;=777600,"3","4")))</f>
        <v>2</v>
      </c>
      <c r="AC13" s="72">
        <f>AVERAGE(AV12:DA12)</f>
        <v>72</v>
      </c>
      <c r="AD13" s="69" t="str">
        <f>IF(AC13&lt;60,"1",IF(AC13&lt;=43200,"2",IF(AC13&lt;=777600,"3","4")))</f>
        <v>2</v>
      </c>
      <c r="AE13" s="87">
        <f>AA13-Y13</f>
        <v>285</v>
      </c>
      <c r="AF13" s="88">
        <f>AV13</f>
        <v>0.78</v>
      </c>
      <c r="AG13" s="72">
        <f>((AW13-AV13)+(AX13-AW13)+(AY13-AX13)+(AZ13-AY13)+(BA13-AZ13)+(BB13-BA13)+(BC13-BB13))/7</f>
        <v>-0.10797746494594519</v>
      </c>
      <c r="AH13" s="4"/>
      <c r="AI13" s="72">
        <f>RSQ(AV13:BC13,AV12:BC12)</f>
        <v>0.28996660539573244</v>
      </c>
      <c r="AJ13" s="110">
        <f>SLOPE(AV13:BC13,AV12:BC12)</f>
        <v>-1.5011390241173865E-3</v>
      </c>
      <c r="AK13" s="72">
        <f>INTERCEPT(AV13:BC13,AV12:BC12)</f>
        <v>0.34032959108612121</v>
      </c>
      <c r="AL13" s="72">
        <f>INDEX(LINEST(LN(AV13:BC13),LN(AV12:BC12),TRUE,TRUE),3,1)</f>
        <v>0.91823579491830809</v>
      </c>
      <c r="AM13" s="72">
        <f>INDEX(LINEST(LN(AV13:BC13),LN(AV12:BC12)),1)</f>
        <v>-0.74934456887203515</v>
      </c>
      <c r="AN13" s="72">
        <f>EXP(INDEX(LINEST(LN(AV13:BC13),LN(AV12:BC12)),1,2))</f>
        <v>1.4242632060180567</v>
      </c>
      <c r="AO13" s="89">
        <f>INDEX(LINEST((AV13:BC13),LN(AV12:BC12),TRUE,TRUE),3,1)</f>
        <v>0.72732351625960889</v>
      </c>
      <c r="AP13" s="89">
        <f>INDEX(LINEST((AV13:BC13),LN(AV12:BC12)),1)</f>
        <v>-0.14771267539494995</v>
      </c>
      <c r="AQ13" s="90">
        <f>INDEX(LINEST(LN(AV13:BC13),SQRT(AV12:BC12),TRUE,TRUE),3,1)</f>
        <v>0.73685952076040584</v>
      </c>
      <c r="AR13" s="117">
        <f>INDEX(LINEST(LN(AV13:BC13),SQRT((AV12:BC12))),1)</f>
        <v>-0.20111842624486573</v>
      </c>
      <c r="AS13" s="91">
        <f>INDEX(LINEST(1/(AV13:BC13),1/(SQRT(AV12:BC12)),TRUE,TRUE),3,1)</f>
        <v>0.68234020220133929</v>
      </c>
      <c r="AT13" s="91">
        <f>INDEX(LINEST(1/(AV13:BC13),1/SQRT(AV12:BC12)),1)</f>
        <v>-61.931163053239558</v>
      </c>
      <c r="AU13" s="3"/>
      <c r="AV13" s="73">
        <v>0.78</v>
      </c>
      <c r="AW13" s="73">
        <v>0.51207019105031604</v>
      </c>
      <c r="AX13" s="73">
        <v>0.28141640938268098</v>
      </c>
      <c r="AY13" s="73">
        <v>9.4254382871126599E-2</v>
      </c>
      <c r="AZ13" s="73">
        <v>6.8740131418308703E-2</v>
      </c>
      <c r="BA13" s="73">
        <v>4.3085888538608903E-2</v>
      </c>
      <c r="BB13" s="73">
        <v>5.4255902157929997E-2</v>
      </c>
      <c r="BC13" s="73">
        <v>2.41577453783836E-2</v>
      </c>
      <c r="BD13" s="53"/>
      <c r="BE13" s="53"/>
      <c r="BF13" s="53"/>
      <c r="BG13" s="53"/>
      <c r="BH13" s="53"/>
      <c r="BI13" s="53"/>
      <c r="BJ13" s="53"/>
      <c r="BK13" s="53"/>
      <c r="BL13" s="53"/>
      <c r="BM13" s="53"/>
      <c r="BN13" s="53"/>
      <c r="BO13" s="53"/>
      <c r="BP13" s="53"/>
      <c r="BQ13" s="53"/>
      <c r="BR13" s="53"/>
      <c r="BS13" s="53"/>
      <c r="BT13" s="53"/>
      <c r="BU13" s="53"/>
      <c r="BV13" s="53"/>
      <c r="BW13" s="53"/>
      <c r="BX13" s="53"/>
      <c r="BY13" s="53"/>
      <c r="BZ13" s="53"/>
      <c r="CA13" s="53"/>
      <c r="CB13" s="53"/>
      <c r="CC13" s="53"/>
      <c r="CD13" s="53"/>
      <c r="CE13" s="53"/>
      <c r="CF13" s="53"/>
      <c r="CG13" s="53"/>
      <c r="CH13" s="53"/>
      <c r="CI13" s="53"/>
      <c r="CJ13" s="53"/>
      <c r="CK13" s="53"/>
      <c r="CL13" s="53"/>
      <c r="CM13" s="53"/>
      <c r="CN13" s="53"/>
      <c r="CO13" s="53"/>
      <c r="CP13" s="53"/>
      <c r="CQ13" s="53"/>
      <c r="CR13" s="1"/>
      <c r="CS13" s="1"/>
      <c r="CT13" s="1"/>
      <c r="CU13" s="1"/>
    </row>
    <row r="14" spans="1:99" s="13" customFormat="1" ht="12" customHeight="1" x14ac:dyDescent="0.2">
      <c r="A14" s="68">
        <v>43509</v>
      </c>
      <c r="B14" s="70"/>
      <c r="C14" s="70"/>
      <c r="D14" s="69"/>
      <c r="E14" s="87"/>
      <c r="F14" s="69"/>
      <c r="G14" s="69"/>
      <c r="H14" s="69"/>
      <c r="I14" s="69"/>
      <c r="J14" s="69"/>
      <c r="K14" s="107"/>
      <c r="L14" s="107"/>
      <c r="M14" s="69"/>
      <c r="N14" s="69"/>
      <c r="O14" s="69"/>
      <c r="P14" s="69"/>
      <c r="Q14" s="69"/>
      <c r="R14" s="69"/>
      <c r="S14" s="69"/>
      <c r="T14" s="69"/>
      <c r="U14" s="69"/>
      <c r="V14" s="69"/>
      <c r="W14" s="69"/>
      <c r="X14" s="69"/>
      <c r="Y14" s="87"/>
      <c r="Z14" s="69"/>
      <c r="AA14" s="69"/>
      <c r="AB14" s="69"/>
      <c r="AC14" s="69"/>
      <c r="AD14" s="69"/>
      <c r="AE14" s="69"/>
      <c r="AF14" s="88"/>
      <c r="AG14" s="72"/>
      <c r="AH14" s="4"/>
      <c r="AI14" s="72"/>
      <c r="AJ14" s="110"/>
      <c r="AK14" s="72"/>
      <c r="AL14" s="72"/>
      <c r="AM14" s="72"/>
      <c r="AN14" s="72"/>
      <c r="AO14" s="89"/>
      <c r="AP14" s="89"/>
      <c r="AQ14" s="89"/>
      <c r="AR14" s="118"/>
      <c r="AS14" s="89"/>
      <c r="AT14" s="89"/>
      <c r="AU14" s="129"/>
      <c r="AV14" s="71">
        <f>3*1</f>
        <v>3</v>
      </c>
      <c r="AW14" s="71">
        <f>3*2</f>
        <v>6</v>
      </c>
      <c r="AX14" s="71">
        <f>3*3</f>
        <v>9</v>
      </c>
      <c r="AY14" s="71">
        <f>3*6</f>
        <v>18</v>
      </c>
      <c r="AZ14" s="71">
        <f>3*12</f>
        <v>36</v>
      </c>
      <c r="BA14" s="71">
        <f>3*24</f>
        <v>72</v>
      </c>
      <c r="BB14" s="71">
        <f>3*48</f>
        <v>144</v>
      </c>
      <c r="BC14" s="71">
        <f>3*96</f>
        <v>288</v>
      </c>
      <c r="BD14" s="53"/>
      <c r="BE14" s="53"/>
      <c r="BF14" s="53"/>
      <c r="BG14" s="53"/>
      <c r="BH14" s="53"/>
      <c r="BI14" s="53"/>
      <c r="BJ14" s="53"/>
      <c r="BK14" s="53"/>
      <c r="BL14" s="53"/>
      <c r="BM14" s="53"/>
      <c r="BN14" s="53"/>
      <c r="BO14" s="53"/>
      <c r="BP14" s="53"/>
      <c r="BQ14" s="53"/>
      <c r="BR14" s="53"/>
      <c r="BS14" s="53"/>
      <c r="BT14" s="53"/>
      <c r="BU14" s="53"/>
      <c r="BV14" s="53"/>
      <c r="BW14" s="53"/>
      <c r="BX14" s="53"/>
      <c r="BY14" s="53"/>
      <c r="BZ14" s="53"/>
      <c r="CA14" s="53"/>
      <c r="CB14" s="53"/>
      <c r="CC14" s="53"/>
      <c r="CD14" s="53"/>
      <c r="CE14" s="53"/>
      <c r="CF14" s="53"/>
      <c r="CG14" s="53"/>
      <c r="CH14" s="53"/>
      <c r="CI14" s="53"/>
      <c r="CJ14" s="53"/>
      <c r="CK14" s="53"/>
      <c r="CL14" s="53"/>
      <c r="CM14" s="53"/>
      <c r="CN14" s="53"/>
      <c r="CO14" s="53"/>
      <c r="CP14" s="53"/>
      <c r="CQ14" s="53"/>
      <c r="CR14" s="1"/>
      <c r="CS14" s="1"/>
      <c r="CT14" s="1"/>
      <c r="CU14" s="1"/>
    </row>
    <row r="15" spans="1:99" s="13" customFormat="1" ht="12" customHeight="1" x14ac:dyDescent="0.2">
      <c r="A15" s="68">
        <v>43509</v>
      </c>
      <c r="B15" s="70" t="s">
        <v>241</v>
      </c>
      <c r="C15" s="70" t="s">
        <v>19</v>
      </c>
      <c r="D15" s="69">
        <v>1968</v>
      </c>
      <c r="E15" s="87">
        <v>2</v>
      </c>
      <c r="F15" s="69">
        <v>100</v>
      </c>
      <c r="G15" s="69">
        <v>100</v>
      </c>
      <c r="H15" s="69" t="s">
        <v>50</v>
      </c>
      <c r="I15" s="69" t="s">
        <v>638</v>
      </c>
      <c r="J15" s="69" t="s">
        <v>16</v>
      </c>
      <c r="K15" s="69">
        <f>IF(J15="syllables",1,IF(J15="trigrams",2,IF(J15="strings",3,IF(J15="visual array",4,IF(J15="characters",5,IF(J15="letters",6,IF(J15="free forms",7,IF(J15="odors",8,IF(J15="words",9,IF(J15="pictures",10,IF(J15="object pictures",11,IF(J15="faces",12,IF(J15="names",13,IF(J15="idioms",14,IF(J15="grades",15,IF(J15="syllable-digit pairs",16,IF(J15="trigram-word pairs",17,IF(J15="word-digit pairs",18,IF(J15="English-Swahili pairs",19,IF(J15="spatial position",20,IF(J15="word pairs",21,IF(J15="word triads",22,IF(J15="generated words",23,IF(J15="word definition pairs",24,IF(J15="math problems",25,IF(J15="famous faces",26,IF(J15="famous names",27,IF(J15="famous voices",28,IF(J15="television programs",29,IF(J15="race horses",30,IF(J15="new vocabulary",31,IF(J15="sentences",32,IF(J15="concepts",33,IF(J15="ad slides",34,IF(J15="scenes",35,IF(J15="famous scenes",36,IF(J15="poems",37,IF(J15="walk",38,IF(J15="faces and events",39,IF(J15="events and names",40,IF(J15="flashbulb",41,IF(J15="stories",42,IF(J15="course material",43,IF(J15="autobiographical",44,IF(J15="novels",45,IF(J15="public events",46,"99"))))))))))))))))))))))))))))))))))))))))))))))</f>
        <v>9</v>
      </c>
      <c r="L15" s="69">
        <f>IF(J15="syllables",1,IF(J15="trigrams",1,IF(J15="strings",1,IF(J15="visual array",1,IF(J15="characters",1,IF(J15="letters",1,IF(J15="free forms",1,IF(J15="odors",2,IF(J15="words",2,IF(J15="pictures",2,IF(J15="object pictures",2,IF(J15="faces",2,IF(J15="names",2,IF(J15="idioms","2",IF(J15="grades",2,IF(J15="syllable-digit pairs",3,IF(J15="trigram-word pairs",3,IF(J15="word-digit pairs",3,IF(J15="English-Swahili pairs",3,IF(J15="spatial position",3,IF(J15="word pairs",4,IF(J15="word triads",4,IF(J15="generated words",4,IF(J15="word definition pairs",4,IF(J15="math problems",4,IF(J15="famous faces",4,IF(J15="famous names",4,IF(J15="famous voices",4,IF(J15="television programs",4,IF(J15="race horses",4,IF(J15="new vocabulary",4,IF(J15="sentences",5,IF(J15="concepts",5,IF(J15="ad slides",5,IF(J15="scenes",5,IF(J15="famous scenes",5,IF(J15="poems",6,IF(J15="walk",6,IF(J15="faces and events",6,IF(J15="events and names",6,IF(J15="flashbulb",7,IF(J15="stories",7,IF(J15="course material",7,IF(J15="autobiographical",7,IF(J15="novels",7,IF(J15="public events",7,"99"))))))))))))))))))))))))))))))))))))))))))))))</f>
        <v>2</v>
      </c>
      <c r="M15" s="69">
        <v>0</v>
      </c>
      <c r="N15" s="69">
        <v>1</v>
      </c>
      <c r="O15" s="69">
        <v>0</v>
      </c>
      <c r="P15" s="69"/>
      <c r="Q15" s="69" t="s">
        <v>65</v>
      </c>
      <c r="R15" s="69">
        <f>IF(Q15="Free Recall",1,IF(Q15="Cued Recall",2,IF(Q15="Recognition",3,IF(Q15="Multiple Choice",4,IF(Q15="Savings",5,IF(Q15="Stem Completion",6,IF(Q15="Fragment Completion",7,IF(Q15="anagram solution",8,IF(Q15="Matching",9,IF(Q15="Problem Solving",10,"99"))))))))))</f>
        <v>2</v>
      </c>
      <c r="S15" s="69" t="s">
        <v>15</v>
      </c>
      <c r="T15" s="92" t="s">
        <v>581</v>
      </c>
      <c r="U15" s="69">
        <f>IF(T15="within",1,0)</f>
        <v>1</v>
      </c>
      <c r="V15" s="92">
        <v>32</v>
      </c>
      <c r="W15" s="69">
        <f>F15*V15</f>
        <v>3200</v>
      </c>
      <c r="X15" s="69">
        <v>8</v>
      </c>
      <c r="Y15" s="87">
        <f>AV14</f>
        <v>3</v>
      </c>
      <c r="Z15" s="69" t="s">
        <v>57</v>
      </c>
      <c r="AA15" s="69">
        <v>288</v>
      </c>
      <c r="AB15" s="69" t="str">
        <f>IF(AA15&lt;60,"1",IF(AA15&lt;=43200,"2",IF(AA15&lt;=777600,"3","4")))</f>
        <v>2</v>
      </c>
      <c r="AC15" s="72">
        <f>AVERAGE(AV14:DA14)</f>
        <v>72</v>
      </c>
      <c r="AD15" s="69" t="str">
        <f>IF(AC15&lt;60,"1",IF(AC15&lt;=43200,"2",IF(AC15&lt;=777600,"3","4")))</f>
        <v>2</v>
      </c>
      <c r="AE15" s="87">
        <f>AA15-Y15</f>
        <v>285</v>
      </c>
      <c r="AF15" s="88">
        <f>AV15</f>
        <v>0.85316744168380398</v>
      </c>
      <c r="AG15" s="72">
        <f>((AW15-AV15)+(AX15-AW15)+(AY15-AX15)+(AZ15-AY15)+(BA15-AZ15)+(BB15-BA15)+(BC15-BB15))/7</f>
        <v>-0.104086648957157</v>
      </c>
      <c r="AH15" s="4"/>
      <c r="AI15" s="72">
        <f>RSQ(AV15:BC15,AV14:BC14)</f>
        <v>0.50951054051920253</v>
      </c>
      <c r="AJ15" s="110">
        <f>SLOPE(AV15:BC15,AV14:BC14)</f>
        <v>-1.7990464569631525E-3</v>
      </c>
      <c r="AK15" s="72">
        <f>INTERCEPT(AV15:BC15,AV14:BC14)</f>
        <v>0.55106859184513857</v>
      </c>
      <c r="AL15" s="72">
        <f>INDEX(LINEST(LN(AV15:BC15),LN(AV14:BC14),TRUE,TRUE),3,1)</f>
        <v>0.94354787932912332</v>
      </c>
      <c r="AM15" s="72">
        <f>INDEX(LINEST(LN(AV15:BC15),LN(AV14:BC14)),1)</f>
        <v>-0.38361945485187965</v>
      </c>
      <c r="AN15" s="72">
        <f>EXP(INDEX(LINEST(LN(AV15:BC15),LN(AV14:BC14)),1,2))</f>
        <v>1.2722929210589915</v>
      </c>
      <c r="AO15" s="89">
        <f>INDEX(LINEST((AV15:BC15),LN(AV14:BC14),TRUE,TRUE),3,1)</f>
        <v>0.89399461027955851</v>
      </c>
      <c r="AP15" s="89">
        <f>INDEX(LINEST((AV15:BC15),LN(AV14:BC14)),1)</f>
        <v>-0.14806086030769725</v>
      </c>
      <c r="AQ15" s="90">
        <f>INDEX(LINEST(LN(AV15:BC15),SQRT(AV14:BC14),TRUE,TRUE),3,1)</f>
        <v>0.86781192559339471</v>
      </c>
      <c r="AR15" s="117">
        <f>INDEX(LINEST(LN(AV15:BC15),SQRT((AV14:BC14))),1)</f>
        <v>-0.11022662677170703</v>
      </c>
      <c r="AS15" s="91">
        <f>INDEX(LINEST(1/(AV15:BC15),1/(SQRT(AV14:BC14)),TRUE,TRUE),3,1)</f>
        <v>0.63786400677111366</v>
      </c>
      <c r="AT15" s="91">
        <f>INDEX(LINEST(1/(AV15:BC15),1/SQRT(AV14:BC14)),1)</f>
        <v>-9.7696083424276949</v>
      </c>
      <c r="AU15" s="3"/>
      <c r="AV15" s="73">
        <v>0.85316744168380398</v>
      </c>
      <c r="AW15" s="73">
        <v>0.69786160382426199</v>
      </c>
      <c r="AX15" s="73">
        <v>0.50732350499465495</v>
      </c>
      <c r="AY15" s="73">
        <v>0.41549889580405502</v>
      </c>
      <c r="AZ15" s="73">
        <v>0.25708720163648902</v>
      </c>
      <c r="BA15" s="73">
        <v>0.27661437787918403</v>
      </c>
      <c r="BB15" s="73">
        <v>0.24018405074417901</v>
      </c>
      <c r="BC15" s="73">
        <v>0.124560898983705</v>
      </c>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1"/>
      <c r="CS15" s="1"/>
      <c r="CT15" s="1"/>
      <c r="CU15" s="1"/>
    </row>
    <row r="16" spans="1:99" s="13" customFormat="1" ht="12" customHeight="1" x14ac:dyDescent="0.2">
      <c r="A16" s="68">
        <v>43509</v>
      </c>
      <c r="B16" s="70"/>
      <c r="C16" s="70"/>
      <c r="D16" s="69"/>
      <c r="E16" s="87"/>
      <c r="F16" s="69"/>
      <c r="G16" s="69"/>
      <c r="H16" s="69"/>
      <c r="I16" s="69"/>
      <c r="J16" s="69"/>
      <c r="K16" s="107"/>
      <c r="L16" s="107"/>
      <c r="M16" s="69"/>
      <c r="N16" s="69"/>
      <c r="O16" s="69"/>
      <c r="P16" s="69"/>
      <c r="Q16" s="69"/>
      <c r="R16" s="69"/>
      <c r="S16" s="69"/>
      <c r="T16" s="92"/>
      <c r="U16" s="69"/>
      <c r="V16" s="69"/>
      <c r="W16" s="69"/>
      <c r="X16" s="69"/>
      <c r="Y16" s="87"/>
      <c r="Z16" s="69"/>
      <c r="AA16" s="69"/>
      <c r="AB16" s="69"/>
      <c r="AC16" s="69"/>
      <c r="AD16" s="69"/>
      <c r="AE16" s="69"/>
      <c r="AF16" s="88"/>
      <c r="AG16" s="72"/>
      <c r="AH16" s="4"/>
      <c r="AI16" s="72"/>
      <c r="AJ16" s="110"/>
      <c r="AK16" s="72"/>
      <c r="AL16" s="72"/>
      <c r="AM16" s="72"/>
      <c r="AN16" s="72"/>
      <c r="AO16" s="89"/>
      <c r="AP16" s="89"/>
      <c r="AQ16" s="89"/>
      <c r="AR16" s="118"/>
      <c r="AS16" s="89"/>
      <c r="AT16" s="89"/>
      <c r="AU16" s="129"/>
      <c r="AV16" s="71">
        <f>3*1</f>
        <v>3</v>
      </c>
      <c r="AW16" s="71">
        <f>3*2</f>
        <v>6</v>
      </c>
      <c r="AX16" s="71">
        <f>3*3</f>
        <v>9</v>
      </c>
      <c r="AY16" s="71">
        <f>3*6</f>
        <v>18</v>
      </c>
      <c r="AZ16" s="71">
        <f>3*12</f>
        <v>36</v>
      </c>
      <c r="BA16" s="71">
        <f>3*24</f>
        <v>72</v>
      </c>
      <c r="BB16" s="71">
        <f>3*48</f>
        <v>144</v>
      </c>
      <c r="BC16" s="71">
        <f>3*96</f>
        <v>288</v>
      </c>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1"/>
      <c r="CS16" s="1"/>
      <c r="CT16" s="1"/>
      <c r="CU16" s="1"/>
    </row>
    <row r="17" spans="1:99" s="13" customFormat="1" ht="12" customHeight="1" x14ac:dyDescent="0.2">
      <c r="A17" s="68">
        <v>43509</v>
      </c>
      <c r="B17" s="70" t="s">
        <v>241</v>
      </c>
      <c r="C17" s="70" t="s">
        <v>19</v>
      </c>
      <c r="D17" s="69">
        <v>1968</v>
      </c>
      <c r="E17" s="87">
        <v>2</v>
      </c>
      <c r="F17" s="69">
        <v>100</v>
      </c>
      <c r="G17" s="69">
        <v>100</v>
      </c>
      <c r="H17" s="69" t="s">
        <v>50</v>
      </c>
      <c r="I17" s="69" t="s">
        <v>639</v>
      </c>
      <c r="J17" s="69" t="s">
        <v>16</v>
      </c>
      <c r="K17" s="69">
        <f>IF(J17="syllables",1,IF(J17="trigrams",2,IF(J17="strings",3,IF(J17="visual array",4,IF(J17="characters",5,IF(J17="letters",6,IF(J17="free forms",7,IF(J17="odors",8,IF(J17="words",9,IF(J17="pictures",10,IF(J17="object pictures",11,IF(J17="faces",12,IF(J17="names",13,IF(J17="idioms",14,IF(J17="grades",15,IF(J17="syllable-digit pairs",16,IF(J17="trigram-word pairs",17,IF(J17="word-digit pairs",18,IF(J17="English-Swahili pairs",19,IF(J17="spatial position",20,IF(J17="word pairs",21,IF(J17="word triads",22,IF(J17="generated words",23,IF(J17="word definition pairs",24,IF(J17="math problems",25,IF(J17="famous faces",26,IF(J17="famous names",27,IF(J17="famous voices",28,IF(J17="television programs",29,IF(J17="race horses",30,IF(J17="new vocabulary",31,IF(J17="sentences",32,IF(J17="concepts",33,IF(J17="ad slides",34,IF(J17="scenes",35,IF(J17="famous scenes",36,IF(J17="poems",37,IF(J17="walk",38,IF(J17="faces and events",39,IF(J17="events and names",40,IF(J17="flashbulb",41,IF(J17="stories",42,IF(J17="course material",43,IF(J17="autobiographical",44,IF(J17="novels",45,IF(J17="public events",46,"99"))))))))))))))))))))))))))))))))))))))))))))))</f>
        <v>9</v>
      </c>
      <c r="L17" s="69">
        <f>IF(J17="syllables",1,IF(J17="trigrams",1,IF(J17="strings",1,IF(J17="visual array",1,IF(J17="characters",1,IF(J17="letters",1,IF(J17="free forms",1,IF(J17="odors",2,IF(J17="words",2,IF(J17="pictures",2,IF(J17="object pictures",2,IF(J17="faces",2,IF(J17="names",2,IF(J17="idioms","2",IF(J17="grades",2,IF(J17="syllable-digit pairs",3,IF(J17="trigram-word pairs",3,IF(J17="word-digit pairs",3,IF(J17="English-Swahili pairs",3,IF(J17="spatial position",3,IF(J17="word pairs",4,IF(J17="word triads",4,IF(J17="generated words",4,IF(J17="word definition pairs",4,IF(J17="math problems",4,IF(J17="famous faces",4,IF(J17="famous names",4,IF(J17="famous voices",4,IF(J17="television programs",4,IF(J17="race horses",4,IF(J17="new vocabulary",4,IF(J17="sentences",5,IF(J17="concepts",5,IF(J17="ad slides",5,IF(J17="scenes",5,IF(J17="famous scenes",5,IF(J17="poems",6,IF(J17="walk",6,IF(J17="faces and events",6,IF(J17="events and names",6,IF(J17="flashbulb",7,IF(J17="stories",7,IF(J17="course material",7,IF(J17="autobiographical",7,IF(J17="novels",7,IF(J17="public events",7,"99"))))))))))))))))))))))))))))))))))))))))))))))</f>
        <v>2</v>
      </c>
      <c r="M17" s="69">
        <v>0</v>
      </c>
      <c r="N17" s="69">
        <v>1</v>
      </c>
      <c r="O17" s="69">
        <v>0</v>
      </c>
      <c r="P17" s="69"/>
      <c r="Q17" s="69" t="s">
        <v>65</v>
      </c>
      <c r="R17" s="69">
        <f>IF(Q17="Free Recall",1,IF(Q17="Cued Recall",2,IF(Q17="Recognition",3,IF(Q17="Multiple Choice",4,IF(Q17="Savings",5,IF(Q17="Stem Completion",6,IF(Q17="Fragment Completion",7,IF(Q17="anagram solution",8,IF(Q17="Matching",9,IF(Q17="Problem Solving",10,"99"))))))))))</f>
        <v>2</v>
      </c>
      <c r="S17" s="69" t="s">
        <v>15</v>
      </c>
      <c r="T17" s="92" t="s">
        <v>581</v>
      </c>
      <c r="U17" s="69">
        <f>IF(T17="within",1,0)</f>
        <v>1</v>
      </c>
      <c r="V17" s="92">
        <v>32</v>
      </c>
      <c r="W17" s="69">
        <f>F17*V17</f>
        <v>3200</v>
      </c>
      <c r="X17" s="69">
        <v>8</v>
      </c>
      <c r="Y17" s="87">
        <f>AV16</f>
        <v>3</v>
      </c>
      <c r="Z17" s="69" t="s">
        <v>57</v>
      </c>
      <c r="AA17" s="69">
        <v>288</v>
      </c>
      <c r="AB17" s="69" t="str">
        <f>IF(AA17&lt;60,"1",IF(AA17&lt;=43200,"2",IF(AA17&lt;=777600,"3","4")))</f>
        <v>2</v>
      </c>
      <c r="AC17" s="72">
        <f>AVERAGE(AV16:DA16)</f>
        <v>72</v>
      </c>
      <c r="AD17" s="69" t="str">
        <f>IF(AC17&lt;60,"1",IF(AC17&lt;=43200,"2",IF(AC17&lt;=777600,"3","4")))</f>
        <v>2</v>
      </c>
      <c r="AE17" s="87">
        <f>AA17-Y17</f>
        <v>285</v>
      </c>
      <c r="AF17" s="88">
        <f>AV17</f>
        <v>0.923540806415731</v>
      </c>
      <c r="AG17" s="72">
        <f>((AW17-AV17)+(AX17-AW17)+(AY17-AX17)+(AZ17-AY17)+(BA17-AZ17)+(BB17-BA17)+(BC17-BB17))/7</f>
        <v>-0.11127132524442299</v>
      </c>
      <c r="AH17" s="4"/>
      <c r="AI17" s="72">
        <f>RSQ(AV17:BC17,AV16:BC16)</f>
        <v>0.47963894689149289</v>
      </c>
      <c r="AJ17" s="110">
        <f>SLOPE(AV17:BC17,AV16:BC16)</f>
        <v>-2.0191355238029091E-3</v>
      </c>
      <c r="AK17" s="72">
        <f>INTERCEPT(AV17:BC17,AV16:BC16)</f>
        <v>0.57291062585599262</v>
      </c>
      <c r="AL17" s="72">
        <f>INDEX(LINEST(LN(AV17:BC17),LN(AV16:BC16),TRUE,TRUE),3,1)</f>
        <v>0.96298881645745071</v>
      </c>
      <c r="AM17" s="72">
        <f>INDEX(LINEST(LN(AV17:BC17),LN(AV16:BC16)),1)</f>
        <v>-0.44995182923018884</v>
      </c>
      <c r="AN17" s="72">
        <f>EXP(INDEX(LINEST(LN(AV17:BC17),LN(AV16:BC16)),1,2))</f>
        <v>1.5195390824282691</v>
      </c>
      <c r="AO17" s="89">
        <f>INDEX(LINEST((AV17:BC17),LN(AV16:BC16),TRUE,TRUE),3,1)</f>
        <v>0.90180575078075009</v>
      </c>
      <c r="AP17" s="89">
        <f>INDEX(LINEST((AV17:BC17),LN(AV16:BC16)),1)</f>
        <v>-0.17201716106719955</v>
      </c>
      <c r="AQ17" s="90">
        <f>INDEX(LINEST(LN(AV17:BC17),SQRT(AV16:BC16),TRUE,TRUE),3,1)</f>
        <v>0.84219946321908856</v>
      </c>
      <c r="AR17" s="117">
        <f>INDEX(LINEST(LN(AV17:BC17),SQRT((AV16:BC16))),1)</f>
        <v>-0.12607179541829022</v>
      </c>
      <c r="AS17" s="91">
        <f>INDEX(LINEST(1/(AV17:BC17),1/(SQRT(AV16:BC16)),TRUE,TRUE),3,1)</f>
        <v>0.70449066435837748</v>
      </c>
      <c r="AT17" s="91">
        <f>INDEX(LINEST(1/(AV17:BC17),1/SQRT(AV16:BC16)),1)</f>
        <v>-12.050111571151588</v>
      </c>
      <c r="AU17" s="3"/>
      <c r="AV17" s="73">
        <v>0.923540806415731</v>
      </c>
      <c r="AW17" s="73">
        <v>0.75559341714732198</v>
      </c>
      <c r="AX17" s="73">
        <v>0.50495016196682496</v>
      </c>
      <c r="AY17" s="73">
        <v>0.440690841413588</v>
      </c>
      <c r="AZ17" s="73">
        <v>0.29478396284258501</v>
      </c>
      <c r="BA17" s="73">
        <v>0.23143295875678899</v>
      </c>
      <c r="BB17" s="73">
        <v>0.124629266889856</v>
      </c>
      <c r="BC17" s="73">
        <v>0.14464152970477001</v>
      </c>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1"/>
      <c r="CS17" s="1"/>
      <c r="CT17" s="1"/>
      <c r="CU17" s="1"/>
    </row>
    <row r="18" spans="1:99" s="13" customFormat="1" ht="12" customHeight="1" x14ac:dyDescent="0.2">
      <c r="A18" s="68">
        <v>43509</v>
      </c>
      <c r="B18" s="70"/>
      <c r="C18" s="70"/>
      <c r="D18" s="69"/>
      <c r="E18" s="87"/>
      <c r="F18" s="69"/>
      <c r="G18" s="69"/>
      <c r="H18" s="69"/>
      <c r="I18" s="69"/>
      <c r="J18" s="69"/>
      <c r="K18" s="107"/>
      <c r="L18" s="107"/>
      <c r="M18" s="69"/>
      <c r="N18" s="69"/>
      <c r="O18" s="69"/>
      <c r="P18" s="69"/>
      <c r="Q18" s="69"/>
      <c r="R18" s="69"/>
      <c r="S18" s="69"/>
      <c r="T18" s="69"/>
      <c r="U18" s="69"/>
      <c r="V18" s="69"/>
      <c r="W18" s="69"/>
      <c r="X18" s="69"/>
      <c r="Y18" s="87"/>
      <c r="Z18" s="69"/>
      <c r="AA18" s="69"/>
      <c r="AB18" s="69"/>
      <c r="AC18" s="69"/>
      <c r="AD18" s="69"/>
      <c r="AE18" s="69"/>
      <c r="AF18" s="88"/>
      <c r="AG18" s="72"/>
      <c r="AH18" s="4"/>
      <c r="AI18" s="72"/>
      <c r="AJ18" s="110"/>
      <c r="AK18" s="72"/>
      <c r="AL18" s="72"/>
      <c r="AM18" s="72"/>
      <c r="AN18" s="72"/>
      <c r="AO18" s="89"/>
      <c r="AP18" s="89"/>
      <c r="AQ18" s="89"/>
      <c r="AR18" s="118"/>
      <c r="AS18" s="89"/>
      <c r="AT18" s="89"/>
      <c r="AU18" s="129"/>
      <c r="AV18" s="71">
        <f>3*1</f>
        <v>3</v>
      </c>
      <c r="AW18" s="71">
        <f>3*2</f>
        <v>6</v>
      </c>
      <c r="AX18" s="71">
        <f>3*3</f>
        <v>9</v>
      </c>
      <c r="AY18" s="71">
        <f>3*6</f>
        <v>18</v>
      </c>
      <c r="AZ18" s="71">
        <f>3*12</f>
        <v>36</v>
      </c>
      <c r="BA18" s="71">
        <f>3*24</f>
        <v>72</v>
      </c>
      <c r="BB18" s="71">
        <f>3*48</f>
        <v>144</v>
      </c>
      <c r="BC18" s="71">
        <f>3*96</f>
        <v>288</v>
      </c>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1"/>
      <c r="CS18" s="1"/>
      <c r="CT18" s="1"/>
      <c r="CU18" s="1"/>
    </row>
    <row r="19" spans="1:99" s="13" customFormat="1" ht="12" customHeight="1" x14ac:dyDescent="0.2">
      <c r="A19" s="68">
        <v>43509</v>
      </c>
      <c r="B19" s="70" t="s">
        <v>241</v>
      </c>
      <c r="C19" s="70" t="s">
        <v>19</v>
      </c>
      <c r="D19" s="69">
        <v>1968</v>
      </c>
      <c r="E19" s="87">
        <v>2</v>
      </c>
      <c r="F19" s="69">
        <v>100</v>
      </c>
      <c r="G19" s="69">
        <v>100</v>
      </c>
      <c r="H19" s="69" t="s">
        <v>50</v>
      </c>
      <c r="I19" s="69" t="s">
        <v>640</v>
      </c>
      <c r="J19" s="69" t="s">
        <v>16</v>
      </c>
      <c r="K19" s="69">
        <f>IF(J19="syllables",1,IF(J19="trigrams",2,IF(J19="strings",3,IF(J19="visual array",4,IF(J19="characters",5,IF(J19="letters",6,IF(J19="free forms",7,IF(J19="odors",8,IF(J19="words",9,IF(J19="pictures",10,IF(J19="object pictures",11,IF(J19="faces",12,IF(J19="names",13,IF(J19="idioms",14,IF(J19="grades",15,IF(J19="syllable-digit pairs",16,IF(J19="trigram-word pairs",17,IF(J19="word-digit pairs",18,IF(J19="English-Swahili pairs",19,IF(J19="spatial position",20,IF(J19="word pairs",21,IF(J19="word triads",22,IF(J19="generated words",23,IF(J19="word definition pairs",24,IF(J19="math problems",25,IF(J19="famous faces",26,IF(J19="famous names",27,IF(J19="famous voices",28,IF(J19="television programs",29,IF(J19="race horses",30,IF(J19="new vocabulary",31,IF(J19="sentences",32,IF(J19="concepts",33,IF(J19="ad slides",34,IF(J19="scenes",35,IF(J19="famous scenes",36,IF(J19="poems",37,IF(J19="walk",38,IF(J19="faces and events",39,IF(J19="events and names",40,IF(J19="flashbulb",41,IF(J19="stories",42,IF(J19="course material",43,IF(J19="autobiographical",44,IF(J19="novels",45,IF(J19="public events",46,"99"))))))))))))))))))))))))))))))))))))))))))))))</f>
        <v>9</v>
      </c>
      <c r="L19" s="69">
        <f>IF(J19="syllables",1,IF(J19="trigrams",1,IF(J19="strings",1,IF(J19="visual array",1,IF(J19="characters",1,IF(J19="letters",1,IF(J19="free forms",1,IF(J19="odors",2,IF(J19="words",2,IF(J19="pictures",2,IF(J19="object pictures",2,IF(J19="faces",2,IF(J19="names",2,IF(J19="idioms","2",IF(J19="grades",2,IF(J19="syllable-digit pairs",3,IF(J19="trigram-word pairs",3,IF(J19="word-digit pairs",3,IF(J19="English-Swahili pairs",3,IF(J19="spatial position",3,IF(J19="word pairs",4,IF(J19="word triads",4,IF(J19="generated words",4,IF(J19="word definition pairs",4,IF(J19="math problems",4,IF(J19="famous faces",4,IF(J19="famous names",4,IF(J19="famous voices",4,IF(J19="television programs",4,IF(J19="race horses",4,IF(J19="new vocabulary",4,IF(J19="sentences",5,IF(J19="concepts",5,IF(J19="ad slides",5,IF(J19="scenes",5,IF(J19="famous scenes",5,IF(J19="poems",6,IF(J19="walk",6,IF(J19="faces and events",6,IF(J19="events and names",6,IF(J19="flashbulb",7,IF(J19="stories",7,IF(J19="course material",7,IF(J19="autobiographical",7,IF(J19="novels",7,IF(J19="public events",7,"99"))))))))))))))))))))))))))))))))))))))))))))))</f>
        <v>2</v>
      </c>
      <c r="M19" s="69">
        <v>0</v>
      </c>
      <c r="N19" s="69">
        <v>1</v>
      </c>
      <c r="O19" s="69">
        <v>0</v>
      </c>
      <c r="P19" s="69"/>
      <c r="Q19" s="69" t="s">
        <v>65</v>
      </c>
      <c r="R19" s="69">
        <f>IF(Q19="Free Recall",1,IF(Q19="Cued Recall",2,IF(Q19="Recognition",3,IF(Q19="Multiple Choice",4,IF(Q19="Savings",5,IF(Q19="Stem Completion",6,IF(Q19="Fragment Completion",7,IF(Q19="anagram solution",8,IF(Q19="Matching",9,IF(Q19="Problem Solving",10,"99"))))))))))</f>
        <v>2</v>
      </c>
      <c r="S19" s="69" t="s">
        <v>15</v>
      </c>
      <c r="T19" s="92" t="s">
        <v>581</v>
      </c>
      <c r="U19" s="69">
        <f>IF(T19="within",1,0)</f>
        <v>1</v>
      </c>
      <c r="V19" s="92">
        <v>32</v>
      </c>
      <c r="W19" s="69">
        <f>F19*V19</f>
        <v>3200</v>
      </c>
      <c r="X19" s="69">
        <v>8</v>
      </c>
      <c r="Y19" s="87">
        <f>AV18</f>
        <v>3</v>
      </c>
      <c r="Z19" s="69" t="s">
        <v>57</v>
      </c>
      <c r="AA19" s="69">
        <v>288</v>
      </c>
      <c r="AB19" s="69" t="str">
        <f>IF(AA19&lt;60,"1",IF(AA19&lt;=43200,"2",IF(AA19&lt;=777600,"3","4")))</f>
        <v>2</v>
      </c>
      <c r="AC19" s="72">
        <f>AVERAGE(AV18:DA18)</f>
        <v>72</v>
      </c>
      <c r="AD19" s="69" t="str">
        <f>IF(AC19&lt;60,"1",IF(AC19&lt;=43200,"2",IF(AC19&lt;=777600,"3","4")))</f>
        <v>2</v>
      </c>
      <c r="AE19" s="87">
        <f>AA19-Y19</f>
        <v>285</v>
      </c>
      <c r="AF19" s="88">
        <f>AV19</f>
        <v>0.88077830892526698</v>
      </c>
      <c r="AG19" s="72">
        <f>((AW19-AV19)+(AX19-AW19)+(AY19-AX19)+(AZ19-AY19)+(BA19-AZ19)+(BB19-BA19)+(BC19-BB19))/7</f>
        <v>-0.10050082204268114</v>
      </c>
      <c r="AH19" s="4"/>
      <c r="AI19" s="72">
        <f>RSQ(AV19:BC19,AV18:BC18)</f>
        <v>0.49478737256156602</v>
      </c>
      <c r="AJ19" s="110">
        <f>SLOPE(AV19:BC19,AV18:BC18)</f>
        <v>-1.8507771922322348E-3</v>
      </c>
      <c r="AK19" s="72">
        <f>INTERCEPT(AV19:BC19,AV18:BC18)</f>
        <v>0.5761573615532064</v>
      </c>
      <c r="AL19" s="72">
        <f>INDEX(LINEST(LN(AV19:BC19),LN(AV18:BC18),TRUE,TRUE),3,1)</f>
        <v>0.93291989233429951</v>
      </c>
      <c r="AM19" s="72">
        <f>INDEX(LINEST(LN(AV19:BC19),LN(AV18:BC18)),1)</f>
        <v>-0.37724989468313669</v>
      </c>
      <c r="AN19" s="72">
        <f>EXP(INDEX(LINEST(LN(AV19:BC19),LN(AV18:BC18)),1,2))</f>
        <v>1.3123334417987347</v>
      </c>
      <c r="AO19" s="89">
        <f>INDEX(LINEST((AV19:BC19),LN(AV18:BC18),TRUE,TRUE),3,1)</f>
        <v>0.88218550470670642</v>
      </c>
      <c r="AP19" s="89">
        <f>INDEX(LINEST((AV19:BC19),LN(AV18:BC18)),1)</f>
        <v>-0.15354363585718472</v>
      </c>
      <c r="AQ19" s="90">
        <f>INDEX(LINEST(LN(AV19:BC19),SQRT(AV18:BC18),TRUE,TRUE),3,1)</f>
        <v>0.83033950006718737</v>
      </c>
      <c r="AR19" s="117">
        <f>INDEX(LINEST(LN(AV19:BC19),SQRT((AV18:BC18))),1)</f>
        <v>-0.10663256527968477</v>
      </c>
      <c r="AS19" s="91">
        <f>INDEX(LINEST(1/(AV19:BC19),1/(SQRT(AV18:BC18)),TRUE,TRUE),3,1)</f>
        <v>0.68162512564223043</v>
      </c>
      <c r="AT19" s="91">
        <f>INDEX(LINEST(1/(AV19:BC19),1/SQRT(AV18:BC18)),1)</f>
        <v>-9.0259393706201063</v>
      </c>
      <c r="AU19" s="3"/>
      <c r="AV19" s="73">
        <v>0.88077830892526698</v>
      </c>
      <c r="AW19" s="73">
        <v>0.76567931111195497</v>
      </c>
      <c r="AX19" s="73">
        <v>0.46971790099676097</v>
      </c>
      <c r="AY19" s="73">
        <v>0.440690841413588</v>
      </c>
      <c r="AZ19" s="73">
        <v>0.34758677569358098</v>
      </c>
      <c r="BA19" s="73">
        <v>0.30924540280091301</v>
      </c>
      <c r="BB19" s="73">
        <v>0.15224013413132001</v>
      </c>
      <c r="BC19" s="73">
        <v>0.17727255462649899</v>
      </c>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1"/>
      <c r="CS19" s="1"/>
      <c r="CT19" s="1"/>
      <c r="CU19" s="1"/>
    </row>
    <row r="20" spans="1:99" s="13" customFormat="1" ht="12" customHeight="1" x14ac:dyDescent="0.2">
      <c r="A20" s="65">
        <v>43509</v>
      </c>
      <c r="B20" s="1"/>
      <c r="C20" s="1"/>
      <c r="D20" s="60"/>
      <c r="E20" s="76"/>
      <c r="F20" s="60"/>
      <c r="G20" s="60"/>
      <c r="H20" s="60"/>
      <c r="I20" s="60"/>
      <c r="J20" s="60"/>
      <c r="K20" s="64"/>
      <c r="L20" s="64"/>
      <c r="M20" s="60"/>
      <c r="N20" s="60"/>
      <c r="O20" s="60"/>
      <c r="P20" s="60"/>
      <c r="Q20" s="60"/>
      <c r="R20" s="60"/>
      <c r="S20" s="60"/>
      <c r="T20" s="60"/>
      <c r="U20" s="60"/>
      <c r="V20" s="60"/>
      <c r="W20" s="60"/>
      <c r="X20" s="60"/>
      <c r="Y20" s="76"/>
      <c r="Z20" s="60"/>
      <c r="AA20" s="60"/>
      <c r="AB20" s="60"/>
      <c r="AC20" s="60"/>
      <c r="AD20" s="60"/>
      <c r="AE20" s="60"/>
      <c r="AF20" s="80"/>
      <c r="AG20" s="56"/>
      <c r="AH20" s="4"/>
      <c r="AI20" s="56"/>
      <c r="AJ20" s="109"/>
      <c r="AK20" s="56"/>
      <c r="AL20" s="56"/>
      <c r="AM20" s="56"/>
      <c r="AN20" s="56"/>
      <c r="AO20" s="56"/>
      <c r="AP20" s="56"/>
      <c r="AQ20" s="56"/>
      <c r="AR20" s="109"/>
      <c r="AS20" s="56"/>
      <c r="AT20" s="56"/>
      <c r="AU20" s="6"/>
      <c r="AV20" s="25">
        <v>30</v>
      </c>
      <c r="AW20" s="25">
        <f>60*20</f>
        <v>1200</v>
      </c>
      <c r="AX20" s="25">
        <f>60*90</f>
        <v>5400</v>
      </c>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1"/>
      <c r="CS20" s="1"/>
      <c r="CT20" s="1"/>
      <c r="CU20" s="1"/>
    </row>
    <row r="21" spans="1:99" s="13" customFormat="1" ht="12" customHeight="1" x14ac:dyDescent="0.2">
      <c r="A21" s="65">
        <v>43509</v>
      </c>
      <c r="B21" s="1" t="s">
        <v>242</v>
      </c>
      <c r="C21" s="1" t="s">
        <v>58</v>
      </c>
      <c r="D21" s="60">
        <v>1984</v>
      </c>
      <c r="E21" s="76">
        <v>2</v>
      </c>
      <c r="F21" s="60">
        <v>48</v>
      </c>
      <c r="G21" s="60">
        <v>48</v>
      </c>
      <c r="H21" s="60" t="s">
        <v>38</v>
      </c>
      <c r="I21" s="60"/>
      <c r="J21" s="60" t="s">
        <v>16</v>
      </c>
      <c r="K21" s="60">
        <f>IF(J21="syllables",1,IF(J21="trigrams",2,IF(J21="strings",3,IF(J21="visual array",4,IF(J21="characters",5,IF(J21="letters",6,IF(J21="free forms",7,IF(J21="odors",8,IF(J21="words",9,IF(J21="pictures",10,IF(J21="object pictures",11,IF(J21="faces",12,IF(J21="names",13,IF(J21="idioms",14,IF(J21="grades",15,IF(J21="syllable-digit pairs",16,IF(J21="trigram-word pairs",17,IF(J21="word-digit pairs",18,IF(J21="English-Swahili pairs",19,IF(J21="spatial position",20,IF(J21="word pairs",21,IF(J21="word triads",22,IF(J21="generated words",23,IF(J21="word definition pairs",24,IF(J21="math problems",25,IF(J21="famous faces",26,IF(J21="famous names",27,IF(J21="famous voices",28,IF(J21="television programs",29,IF(J21="race horses",30,IF(J21="new vocabulary",31,IF(J21="sentences",32,IF(J21="concepts",33,IF(J21="ad slides",34,IF(J21="scenes",35,IF(J21="famous scenes",36,IF(J21="poems",37,IF(J21="walk",38,IF(J21="faces and events",39,IF(J21="events and names",40,IF(J21="flashbulb",41,IF(J21="stories",42,IF(J21="course material",43,IF(J21="autobiographical",44,IF(J21="novels",45,IF(J21="public events",46,"99"))))))))))))))))))))))))))))))))))))))))))))))</f>
        <v>9</v>
      </c>
      <c r="L21" s="60">
        <f>IF(J21="syllables",1,IF(J21="trigrams",1,IF(J21="strings",1,IF(J21="visual array",1,IF(J21="characters",1,IF(J21="letters",1,IF(J21="free forms",1,IF(J21="odors",2,IF(J21="words",2,IF(J21="pictures",2,IF(J21="object pictures",2,IF(J21="faces",2,IF(J21="names",2,IF(J21="idioms","2",IF(J21="grades",2,IF(J21="syllable-digit pairs",3,IF(J21="trigram-word pairs",3,IF(J21="word-digit pairs",3,IF(J21="English-Swahili pairs",3,IF(J21="spatial position",3,IF(J21="word pairs",4,IF(J21="word triads",4,IF(J21="generated words",4,IF(J21="word definition pairs",4,IF(J21="math problems",4,IF(J21="famous faces",4,IF(J21="famous names",4,IF(J21="famous voices",4,IF(J21="television programs",4,IF(J21="race horses",4,IF(J21="new vocabulary",4,IF(J21="sentences",5,IF(J21="concepts",5,IF(J21="ad slides",5,IF(J21="scenes",5,IF(J21="famous scenes",5,IF(J21="poems",6,IF(J21="walk",6,IF(J21="faces and events",6,IF(J21="events and names",6,IF(J21="flashbulb",7,IF(J21="stories",7,IF(J21="course material",7,IF(J21="autobiographical",7,IF(J21="novels",7,IF(J21="public events",7,"99"))))))))))))))))))))))))))))))))))))))))))))))</f>
        <v>2</v>
      </c>
      <c r="M21" s="60">
        <v>1</v>
      </c>
      <c r="N21" s="60">
        <v>1</v>
      </c>
      <c r="O21" s="60">
        <v>0</v>
      </c>
      <c r="P21" s="60"/>
      <c r="Q21" s="60" t="s">
        <v>14</v>
      </c>
      <c r="R21" s="60">
        <f>IF(Q21="Free Recall",1,IF(Q21="Cued Recall",2,IF(Q21="Recognition",3,IF(Q21="Multiple Choice",4,IF(Q21="Savings",5,IF(Q21="Stem Completion",6,IF(Q21="Fragment Completion",7,IF(Q21="anagram solution",8,IF(Q21="Matching",9,IF(Q21="Problem Solving",10,"99"))))))))))</f>
        <v>6</v>
      </c>
      <c r="S21" s="60" t="s">
        <v>15</v>
      </c>
      <c r="T21" s="59" t="s">
        <v>581</v>
      </c>
      <c r="U21" s="60">
        <f>IF(T21="within",1,0)</f>
        <v>1</v>
      </c>
      <c r="V21" s="59">
        <v>20</v>
      </c>
      <c r="W21" s="60">
        <f>F21*V21</f>
        <v>960</v>
      </c>
      <c r="X21" s="60">
        <v>3</v>
      </c>
      <c r="Y21" s="76">
        <f>AV20</f>
        <v>30</v>
      </c>
      <c r="Z21" s="60" t="s">
        <v>59</v>
      </c>
      <c r="AA21" s="60">
        <v>5400</v>
      </c>
      <c r="AB21" s="60" t="str">
        <f>IF(AA21&lt;60,"1",IF(AA21&lt;=43200,"2",IF(AA21&lt;=777600,"3","4")))</f>
        <v>2</v>
      </c>
      <c r="AC21" s="56">
        <f>AVERAGE(AV20:DA20)</f>
        <v>2210</v>
      </c>
      <c r="AD21" s="60" t="str">
        <f>IF(AC21&lt;60,"1",IF(AC21&lt;=43200,"2",IF(AC21&lt;=777600,"3","4")))</f>
        <v>2</v>
      </c>
      <c r="AE21" s="76">
        <f>AA21-Y21</f>
        <v>5370</v>
      </c>
      <c r="AF21" s="80">
        <f>AV21</f>
        <v>0.25800000000000001</v>
      </c>
      <c r="AG21" s="56">
        <f>((AW21-AV21)+(AX21-AW21))/2</f>
        <v>-5.6000000000000008E-2</v>
      </c>
      <c r="AH21" s="4"/>
      <c r="AI21" s="56">
        <f>RSQ(AV21:AX21,AV20:AX20)</f>
        <v>0.92693513800179816</v>
      </c>
      <c r="AJ21" s="109">
        <f>SLOPE(AV21:AX21,AV20:AX20)</f>
        <v>-1.9108887300452704E-5</v>
      </c>
      <c r="AK21" s="56">
        <f>INTERCEPT(AV21:AX21,AV20:AX20)</f>
        <v>0.24556397426733381</v>
      </c>
      <c r="AL21" s="56">
        <f>INDEX(LINEST(LN(AV21:AX21),LN(AV20:AX20),TRUE,TRUE),3,1)</f>
        <v>0.87684622326028527</v>
      </c>
      <c r="AM21" s="56">
        <f>INDEX(LINEST(LN(AV21:AX21),LN(AV20:AX20)),1)</f>
        <v>-0.10049141940032545</v>
      </c>
      <c r="AN21" s="56">
        <f>EXP(INDEX(LINEST(LN(AV21:AX21),LN(AV20:AX20)),1,2))</f>
        <v>0.37519831395832293</v>
      </c>
      <c r="AO21" s="82">
        <f>INDEX(LINEST((AV21:AX21),LN(AV20:AX20),TRUE,TRUE),3,1)</f>
        <v>0.92388972366598965</v>
      </c>
      <c r="AP21" s="82">
        <f>INDEX(LINEST((AV21:AX21),LN(AV20:AX20)),1)</f>
        <v>-2.0162007983687738E-2</v>
      </c>
      <c r="AQ21" s="83">
        <f>INDEX(LINEST(LN(AV21:AX21),SQRT(AV20:AX20),TRUE,TRUE),3,1)</f>
        <v>0.99853508114536671</v>
      </c>
      <c r="AR21" s="116">
        <f>INDEX(LINEST(LN(AV21:AX21),SQRT((AV20:AX20))),1)</f>
        <v>-8.3983529892431193E-3</v>
      </c>
      <c r="AS21" s="84">
        <f>INDEX(LINEST(1/(AV21:AX21),1/(SQRT(AV20:AX20)),TRUE,TRUE),3,1)</f>
        <v>0.64646317834272049</v>
      </c>
      <c r="AT21" s="84">
        <f>INDEX(LINEST(1/(AV21:AX21),1/SQRT(AV20:AX20)),1)</f>
        <v>-13.036583050768614</v>
      </c>
      <c r="AU21" s="3"/>
      <c r="AV21" s="53">
        <v>0.25800000000000001</v>
      </c>
      <c r="AW21" s="53">
        <v>0.20599999999999999</v>
      </c>
      <c r="AX21" s="53">
        <v>0.14599999999999999</v>
      </c>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1"/>
      <c r="CS21" s="1"/>
      <c r="CT21" s="1"/>
      <c r="CU21" s="1"/>
    </row>
    <row r="22" spans="1:99" s="13" customFormat="1" ht="12" customHeight="1" x14ac:dyDescent="0.2">
      <c r="A22" s="65">
        <v>43509</v>
      </c>
      <c r="B22" s="1"/>
      <c r="C22" s="1"/>
      <c r="D22" s="60"/>
      <c r="E22" s="76"/>
      <c r="F22" s="60"/>
      <c r="G22" s="60"/>
      <c r="H22" s="60"/>
      <c r="I22" s="60"/>
      <c r="J22" s="60"/>
      <c r="K22" s="64"/>
      <c r="L22" s="64"/>
      <c r="M22" s="60"/>
      <c r="N22" s="60"/>
      <c r="O22" s="60"/>
      <c r="P22" s="60"/>
      <c r="Q22" s="60"/>
      <c r="R22" s="60"/>
      <c r="S22" s="60"/>
      <c r="T22" s="60"/>
      <c r="U22" s="60"/>
      <c r="V22" s="60"/>
      <c r="W22" s="60"/>
      <c r="X22" s="60"/>
      <c r="Y22" s="76"/>
      <c r="Z22" s="60"/>
      <c r="AA22" s="60"/>
      <c r="AB22" s="60"/>
      <c r="AC22" s="60"/>
      <c r="AD22" s="60"/>
      <c r="AE22" s="60"/>
      <c r="AF22" s="80"/>
      <c r="AG22" s="56"/>
      <c r="AH22" s="4"/>
      <c r="AI22" s="56"/>
      <c r="AJ22" s="109"/>
      <c r="AK22" s="56"/>
      <c r="AL22" s="56"/>
      <c r="AM22" s="56"/>
      <c r="AN22" s="56"/>
      <c r="AO22" s="56"/>
      <c r="AP22" s="56"/>
      <c r="AQ22" s="56"/>
      <c r="AR22" s="109"/>
      <c r="AS22" s="56"/>
      <c r="AT22" s="56"/>
      <c r="AU22" s="5"/>
      <c r="AV22" s="25">
        <v>30</v>
      </c>
      <c r="AW22" s="25">
        <f>60*20</f>
        <v>1200</v>
      </c>
      <c r="AX22" s="25">
        <f>60*90</f>
        <v>5400</v>
      </c>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1"/>
      <c r="CS22" s="1"/>
      <c r="CT22" s="1"/>
      <c r="CU22" s="1"/>
    </row>
    <row r="23" spans="1:99" s="13" customFormat="1" ht="12" customHeight="1" x14ac:dyDescent="0.2">
      <c r="A23" s="65">
        <v>43509</v>
      </c>
      <c r="B23" s="1" t="s">
        <v>242</v>
      </c>
      <c r="C23" s="1" t="s">
        <v>58</v>
      </c>
      <c r="D23" s="60">
        <v>1984</v>
      </c>
      <c r="E23" s="76">
        <v>2</v>
      </c>
      <c r="F23" s="60">
        <v>48</v>
      </c>
      <c r="G23" s="60">
        <v>48</v>
      </c>
      <c r="H23" s="60" t="s">
        <v>38</v>
      </c>
      <c r="I23" s="60"/>
      <c r="J23" s="60" t="s">
        <v>16</v>
      </c>
      <c r="K23" s="60">
        <f>IF(J23="syllables",1,IF(J23="trigrams",2,IF(J23="strings",3,IF(J23="visual array",4,IF(J23="characters",5,IF(J23="letters",6,IF(J23="free forms",7,IF(J23="odors",8,IF(J23="words",9,IF(J23="pictures",10,IF(J23="object pictures",11,IF(J23="faces",12,IF(J23="names",13,IF(J23="idioms",14,IF(J23="grades",15,IF(J23="syllable-digit pairs",16,IF(J23="trigram-word pairs",17,IF(J23="word-digit pairs",18,IF(J23="English-Swahili pairs",19,IF(J23="spatial position",20,IF(J23="word pairs",21,IF(J23="word triads",22,IF(J23="generated words",23,IF(J23="word definition pairs",24,IF(J23="math problems",25,IF(J23="famous faces",26,IF(J23="famous names",27,IF(J23="famous voices",28,IF(J23="television programs",29,IF(J23="race horses",30,IF(J23="new vocabulary",31,IF(J23="sentences",32,IF(J23="concepts",33,IF(J23="ad slides",34,IF(J23="scenes",35,IF(J23="famous scenes",36,IF(J23="poems",37,IF(J23="walk",38,IF(J23="faces and events",39,IF(J23="events and names",40,IF(J23="flashbulb",41,IF(J23="stories",42,IF(J23="course material",43,IF(J23="autobiographical",44,IF(J23="novels",45,IF(J23="public events",46,"99"))))))))))))))))))))))))))))))))))))))))))))))</f>
        <v>9</v>
      </c>
      <c r="L23" s="60">
        <f>IF(J23="syllables",1,IF(J23="trigrams",1,IF(J23="strings",1,IF(J23="visual array",1,IF(J23="characters",1,IF(J23="letters",1,IF(J23="free forms",1,IF(J23="odors",2,IF(J23="words",2,IF(J23="pictures",2,IF(J23="object pictures",2,IF(J23="faces",2,IF(J23="names",2,IF(J23="idioms","2",IF(J23="grades",2,IF(J23="syllable-digit pairs",3,IF(J23="trigram-word pairs",3,IF(J23="word-digit pairs",3,IF(J23="English-Swahili pairs",3,IF(J23="spatial position",3,IF(J23="word pairs",4,IF(J23="word triads",4,IF(J23="generated words",4,IF(J23="word definition pairs",4,IF(J23="math problems",4,IF(J23="famous faces",4,IF(J23="famous names",4,IF(J23="famous voices",4,IF(J23="television programs",4,IF(J23="race horses",4,IF(J23="new vocabulary",4,IF(J23="sentences",5,IF(J23="concepts",5,IF(J23="ad slides",5,IF(J23="scenes",5,IF(J23="famous scenes",5,IF(J23="poems",6,IF(J23="walk",6,IF(J23="faces and events",6,IF(J23="events and names",6,IF(J23="flashbulb",7,IF(J23="stories",7,IF(J23="course material",7,IF(J23="autobiographical",7,IF(J23="novels",7,IF(J23="public events",7,"99"))))))))))))))))))))))))))))))))))))))))))))))</f>
        <v>2</v>
      </c>
      <c r="M23" s="60">
        <v>1</v>
      </c>
      <c r="N23" s="60">
        <v>1</v>
      </c>
      <c r="O23" s="60">
        <v>0</v>
      </c>
      <c r="P23" s="60"/>
      <c r="Q23" s="60" t="s">
        <v>34</v>
      </c>
      <c r="R23" s="60">
        <f>IF(Q23="Free Recall",1,IF(Q23="Cued Recall",2,IF(Q23="Recognition",3,IF(Q23="Multiple Choice",4,IF(Q23="Savings",5,IF(Q23="Stem Completion",6,IF(Q23="Fragment Completion",7,IF(Q23="anagram solution",8,IF(Q23="Matching",9,IF(Q23="Problem Solving",10,"99"))))))))))</f>
        <v>3</v>
      </c>
      <c r="S23" s="60" t="s">
        <v>15</v>
      </c>
      <c r="T23" s="59" t="s">
        <v>581</v>
      </c>
      <c r="U23" s="60">
        <f>IF(T23="within",1,0)</f>
        <v>1</v>
      </c>
      <c r="V23" s="59">
        <v>20</v>
      </c>
      <c r="W23" s="60">
        <f>F23*V23</f>
        <v>960</v>
      </c>
      <c r="X23" s="60">
        <v>3</v>
      </c>
      <c r="Y23" s="76">
        <f>AV22</f>
        <v>30</v>
      </c>
      <c r="Z23" s="60" t="s">
        <v>59</v>
      </c>
      <c r="AA23" s="60">
        <v>5400</v>
      </c>
      <c r="AB23" s="60" t="str">
        <f>IF(AA23&lt;60,"1",IF(AA23&lt;=43200,"2",IF(AA23&lt;=777600,"3","4")))</f>
        <v>2</v>
      </c>
      <c r="AC23" s="56">
        <f>AVERAGE(AV22:DA22)</f>
        <v>2210</v>
      </c>
      <c r="AD23" s="60" t="str">
        <f>IF(AC23&lt;60,"1",IF(AC23&lt;=43200,"2",IF(AC23&lt;=777600,"3","4")))</f>
        <v>2</v>
      </c>
      <c r="AE23" s="76">
        <f>AA23-Y23</f>
        <v>5370</v>
      </c>
      <c r="AF23" s="80">
        <f>AV23</f>
        <v>0.76200000000000001</v>
      </c>
      <c r="AG23" s="56">
        <f>((AW23-AV23)+(AX23-AW23))/2</f>
        <v>-1.5249999999999986E-2</v>
      </c>
      <c r="AH23" s="4"/>
      <c r="AI23" s="56">
        <f>RSQ(AV23:AX23,AV22:AX22)</f>
        <v>0.90955950357236992</v>
      </c>
      <c r="AJ23" s="109">
        <f>SLOPE(AV23:AX23,AV22:AX22)</f>
        <v>-5.1506088308691603E-6</v>
      </c>
      <c r="AK23" s="56">
        <f>INTERCEPT(AV23:AX23,AV22:AX22)</f>
        <v>0.75821617884955417</v>
      </c>
      <c r="AL23" s="56">
        <f>INDEX(LINEST(LN(AV23:AX23),LN(AV22:AX22),TRUE,TRUE),3,1)</f>
        <v>0.93703142956921237</v>
      </c>
      <c r="AM23" s="56">
        <f>INDEX(LINEST(LN(AV23:AX23),LN(AV22:AX22)),1)</f>
        <v>-7.4003112899792538E-3</v>
      </c>
      <c r="AN23" s="56">
        <f>EXP(INDEX(LINEST(LN(AV23:AX23),LN(AV22:AX22)),1,2))</f>
        <v>0.78272573311519489</v>
      </c>
      <c r="AO23" s="82">
        <f>INDEX(LINEST((AV23:AX23),LN(AV22:AX22),TRUE,TRUE),3,1)</f>
        <v>0.93986336247296598</v>
      </c>
      <c r="AP23" s="82">
        <f>INDEX(LINEST((AV23:AX23),LN(AV22:AX22)),1)</f>
        <v>-5.5333527612969197E-3</v>
      </c>
      <c r="AQ23" s="83">
        <f>INDEX(LINEST(LN(AV23:AX23),SQRT(AV22:AX22),TRUE,TRUE),3,1)</f>
        <v>0.99556608712722772</v>
      </c>
      <c r="AR23" s="116">
        <f>INDEX(LINEST(LN(AV23:AX23),SQRT((AV22:AX22))),1)</f>
        <v>-5.973834060660117E-4</v>
      </c>
      <c r="AS23" s="84">
        <f>INDEX(LINEST(1/(AV23:AX23),1/(SQRT(AV22:AX22)),TRUE,TRUE),3,1)</f>
        <v>0.80042410990565638</v>
      </c>
      <c r="AT23" s="84">
        <f>INDEX(LINEST(1/(AV23:AX23),1/SQRT(AV22:AX22)),1)</f>
        <v>-0.26196013539222879</v>
      </c>
      <c r="AU23" s="3"/>
      <c r="AV23" s="53">
        <v>0.76200000000000001</v>
      </c>
      <c r="AW23" s="53">
        <v>0.747</v>
      </c>
      <c r="AX23" s="53">
        <v>0.73150000000000004</v>
      </c>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1"/>
      <c r="CS23" s="1"/>
      <c r="CT23" s="1"/>
      <c r="CU23" s="1"/>
    </row>
    <row r="24" spans="1:99" s="13" customFormat="1" ht="12" customHeight="1" x14ac:dyDescent="0.2">
      <c r="A24" s="65">
        <v>43509</v>
      </c>
      <c r="B24" s="1"/>
      <c r="C24" s="1"/>
      <c r="D24" s="60"/>
      <c r="E24" s="76"/>
      <c r="F24" s="60"/>
      <c r="G24" s="60"/>
      <c r="H24" s="60"/>
      <c r="I24" s="60"/>
      <c r="J24" s="60"/>
      <c r="K24" s="64"/>
      <c r="L24" s="64"/>
      <c r="M24" s="60"/>
      <c r="N24" s="60"/>
      <c r="O24" s="60"/>
      <c r="P24" s="60"/>
      <c r="Q24" s="60"/>
      <c r="R24" s="60"/>
      <c r="S24" s="60"/>
      <c r="T24" s="60"/>
      <c r="U24" s="60"/>
      <c r="V24" s="60"/>
      <c r="W24" s="60"/>
      <c r="X24" s="60"/>
      <c r="Y24" s="76"/>
      <c r="Z24" s="60"/>
      <c r="AA24" s="60"/>
      <c r="AB24" s="60"/>
      <c r="AC24" s="60"/>
      <c r="AD24" s="60"/>
      <c r="AE24" s="60"/>
      <c r="AF24" s="80"/>
      <c r="AG24" s="56"/>
      <c r="AH24" s="4"/>
      <c r="AI24" s="56"/>
      <c r="AJ24" s="109"/>
      <c r="AK24" s="56"/>
      <c r="AL24" s="56"/>
      <c r="AM24" s="56"/>
      <c r="AN24" s="56"/>
      <c r="AO24" s="56"/>
      <c r="AP24" s="56"/>
      <c r="AQ24" s="82"/>
      <c r="AR24" s="115"/>
      <c r="AS24" s="82"/>
      <c r="AT24" s="82"/>
      <c r="AU24" s="8"/>
      <c r="AV24" s="25">
        <v>15</v>
      </c>
      <c r="AW24" s="25">
        <f>60*1</f>
        <v>60</v>
      </c>
      <c r="AX24" s="25">
        <f>60*2</f>
        <v>120</v>
      </c>
      <c r="AY24" s="25">
        <f>60*5</f>
        <v>300</v>
      </c>
      <c r="AZ24" s="25">
        <f>60*10</f>
        <v>600</v>
      </c>
      <c r="BA24" s="53"/>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1"/>
      <c r="CS24" s="1"/>
      <c r="CT24" s="1"/>
      <c r="CU24" s="1"/>
    </row>
    <row r="25" spans="1:99" s="13" customFormat="1" ht="12" customHeight="1" x14ac:dyDescent="0.2">
      <c r="A25" s="65">
        <v>43509</v>
      </c>
      <c r="B25" s="1" t="s">
        <v>244</v>
      </c>
      <c r="C25" s="1" t="s">
        <v>45</v>
      </c>
      <c r="D25" s="60">
        <v>1999</v>
      </c>
      <c r="E25" s="76">
        <v>1</v>
      </c>
      <c r="F25" s="60">
        <v>19</v>
      </c>
      <c r="G25" s="60">
        <v>19</v>
      </c>
      <c r="H25" s="60" t="s">
        <v>227</v>
      </c>
      <c r="I25" s="60" t="s">
        <v>330</v>
      </c>
      <c r="J25" s="60" t="s">
        <v>61</v>
      </c>
      <c r="K25" s="60">
        <f>IF(J25="syllables",1,IF(J25="trigrams",2,IF(J25="strings",3,IF(J25="visual array",4,IF(J25="characters",5,IF(J25="letters",6,IF(J25="free forms",7,IF(J25="odors",8,IF(J25="words",9,IF(J25="pictures",10,IF(J25="object pictures",11,IF(J25="faces",12,IF(J25="names",13,IF(J25="idioms",14,IF(J25="grades",15,IF(J25="syllable-digit pairs",16,IF(J25="trigram-word pairs",17,IF(J25="word-digit pairs",18,IF(J25="English-Swahili pairs",19,IF(J25="spatial position",20,IF(J25="word pairs",21,IF(J25="word triads",22,IF(J25="generated words",23,IF(J25="word definition pairs",24,IF(J25="math problems",25,IF(J25="famous faces",26,IF(J25="famous names",27,IF(J25="famous voices",28,IF(J25="television programs",29,IF(J25="race horses",30,IF(J25="new vocabulary",31,IF(J25="sentences",32,IF(J25="concepts",33,IF(J25="ad slides",34,IF(J25="scenes",35,IF(J25="famous scenes",36,IF(J25="poems",37,IF(J25="walk",38,IF(J25="faces and events",39,IF(J25="events and names",40,IF(J25="flashbulb",41,IF(J25="stories",42,IF(J25="course material",43,IF(J25="autobiographical",44,IF(J25="novels",45,IF(J25="public events",46,"99"))))))))))))))))))))))))))))))))))))))))))))))</f>
        <v>42</v>
      </c>
      <c r="L25" s="60">
        <f>IF(J25="syllables",1,IF(J25="trigrams",1,IF(J25="strings",1,IF(J25="visual array",1,IF(J25="characters",1,IF(J25="letters",1,IF(J25="free forms",1,IF(J25="odors",2,IF(J25="words",2,IF(J25="pictures",2,IF(J25="object pictures",2,IF(J25="faces",2,IF(J25="names",2,IF(J25="idioms","2",IF(J25="grades",2,IF(J25="syllable-digit pairs",3,IF(J25="trigram-word pairs",3,IF(J25="word-digit pairs",3,IF(J25="English-Swahili pairs",3,IF(J25="spatial position",3,IF(J25="word pairs",4,IF(J25="word triads",4,IF(J25="generated words",4,IF(J25="word definition pairs",4,IF(J25="math problems",4,IF(J25="famous faces",4,IF(J25="famous names",4,IF(J25="famous voices",4,IF(J25="television programs",4,IF(J25="race horses",4,IF(J25="new vocabulary",4,IF(J25="sentences",5,IF(J25="concepts",5,IF(J25="ad slides",5,IF(J25="scenes",5,IF(J25="famous scenes",5,IF(J25="poems",6,IF(J25="walk",6,IF(J25="faces and events",6,IF(J25="events and names",6,IF(J25="flashbulb",7,IF(J25="stories",7,IF(J25="course material",7,IF(J25="autobiographical",7,IF(J25="novels",7,IF(J25="public events",7,"99"))))))))))))))))))))))))))))))))))))))))))))))</f>
        <v>7</v>
      </c>
      <c r="M25" s="60">
        <v>0</v>
      </c>
      <c r="N25" s="60">
        <v>3</v>
      </c>
      <c r="O25" s="60">
        <v>1</v>
      </c>
      <c r="P25" s="60" t="s">
        <v>60</v>
      </c>
      <c r="Q25" s="60" t="s">
        <v>174</v>
      </c>
      <c r="R25" s="60">
        <f>IF(Q25="Free Recall",1,IF(Q25="Cued Recall",2,IF(Q25="Recognition",3,IF(Q25="Multiple Choice",4,IF(Q25="Savings",5,IF(Q25="Stem Completion",6,IF(Q25="Fragment Completion",7,IF(Q25="anagram solution",8,IF(Q25="Matching",9,IF(Q25="Problem Solving",10,"99"))))))))))</f>
        <v>1</v>
      </c>
      <c r="S25" s="60" t="s">
        <v>49</v>
      </c>
      <c r="T25" s="59" t="s">
        <v>581</v>
      </c>
      <c r="U25" s="60">
        <f>IF(T25="within",1,0)</f>
        <v>1</v>
      </c>
      <c r="V25" s="59">
        <v>100</v>
      </c>
      <c r="W25" s="60">
        <f>F25*V25</f>
        <v>1900</v>
      </c>
      <c r="X25" s="60">
        <v>5</v>
      </c>
      <c r="Y25" s="76">
        <f>AV24</f>
        <v>15</v>
      </c>
      <c r="Z25" s="60" t="s">
        <v>62</v>
      </c>
      <c r="AA25" s="60">
        <v>600</v>
      </c>
      <c r="AB25" s="60" t="str">
        <f>IF(AA25&lt;60,"1",IF(AA25&lt;=43200,"2",IF(AA25&lt;=777600,"3","4")))</f>
        <v>2</v>
      </c>
      <c r="AC25" s="56">
        <f>AVERAGE(AV24:DA24)</f>
        <v>219</v>
      </c>
      <c r="AD25" s="60" t="str">
        <f>IF(AC25&lt;60,"1",IF(AC25&lt;=43200,"2",IF(AC25&lt;=777600,"3","4")))</f>
        <v>2</v>
      </c>
      <c r="AE25" s="76">
        <f>AA25-Y25</f>
        <v>585</v>
      </c>
      <c r="AF25" s="80">
        <f>AV25</f>
        <v>0.372</v>
      </c>
      <c r="AG25" s="56">
        <f>((AW25-AV25)+(AX25-AW25)+(AY25-AX25)+(AZ25-AY25))/4</f>
        <v>-5.0000000000000044E-3</v>
      </c>
      <c r="AH25" s="4"/>
      <c r="AI25" s="56">
        <f>RSQ(AV25:AZ25,AV24:AZ24)</f>
        <v>0.50199373235802991</v>
      </c>
      <c r="AJ25" s="109">
        <f>SLOPE(AV25:AZ25,AV24:AZ24)</f>
        <v>-7.0212765957446827E-5</v>
      </c>
      <c r="AK25" s="56">
        <f>INTERCEPT(AV25:AZ25,AV24:AZ24)</f>
        <v>0.39577659574468088</v>
      </c>
      <c r="AL25" s="56">
        <f>INDEX(LINEST(LN(AV25:AZ25),LN(AV24:AZ24),TRUE,TRUE),3,1)</f>
        <v>0.19580435416010614</v>
      </c>
      <c r="AM25" s="56">
        <f>INDEX(LINEST(LN(AV25:AZ25),LN(AV24:AZ24)),1)</f>
        <v>-1.9019416808138942E-2</v>
      </c>
      <c r="AN25" s="56">
        <f>EXP(INDEX(LINEST(LN(AV25:AZ25),LN(AV24:AZ24)),1,2))</f>
        <v>0.41563628354163684</v>
      </c>
      <c r="AO25" s="82">
        <f>INDEX(LINEST((AV25:AZ25),LN(AV24:AZ24),TRUE,TRUE),3,1)</f>
        <v>0.18733425582538948</v>
      </c>
      <c r="AP25" s="82">
        <f>INDEX(LINEST((AV25:AZ25),LN(AV24:AZ24)),1)</f>
        <v>-7.1490447926789826E-3</v>
      </c>
      <c r="AQ25" s="83">
        <f>INDEX(LINEST(LN(AV25:AZ25),SQRT(AV24:AZ24),TRUE,TRUE),3,1)</f>
        <v>0.40125079692996207</v>
      </c>
      <c r="AR25" s="116">
        <f>INDEX(LINEST(LN(AV25:AZ25),SQRT((AV24:AZ24))),1)</f>
        <v>-4.7884806962814278E-3</v>
      </c>
      <c r="AS25" s="84">
        <f>INDEX(LINEST(1/(AV25:AZ25),1/(SQRT(AV24:AZ24)),TRUE,TRUE),3,1)</f>
        <v>4.4603369458420764E-2</v>
      </c>
      <c r="AT25" s="84">
        <f>INDEX(LINEST(1/(AV25:AZ25),1/SQRT(AV24:AZ24)),1)</f>
        <v>-0.39191875661354098</v>
      </c>
      <c r="AU25" s="3"/>
      <c r="AV25" s="53">
        <v>0.372</v>
      </c>
      <c r="AW25" s="53">
        <v>0.41599999999999998</v>
      </c>
      <c r="AX25" s="53">
        <v>0.38800000000000001</v>
      </c>
      <c r="AY25" s="53">
        <v>0.374</v>
      </c>
      <c r="AZ25" s="53">
        <v>0.35199999999999998</v>
      </c>
      <c r="BA25" s="53"/>
      <c r="BB25" s="53"/>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1"/>
      <c r="CS25" s="1"/>
      <c r="CT25" s="1"/>
      <c r="CU25" s="1"/>
    </row>
    <row r="26" spans="1:99" s="13" customFormat="1" ht="12" customHeight="1" x14ac:dyDescent="0.2">
      <c r="A26" s="65">
        <v>43509</v>
      </c>
      <c r="B26" s="1"/>
      <c r="C26" s="1"/>
      <c r="D26" s="60"/>
      <c r="E26" s="76"/>
      <c r="F26" s="60"/>
      <c r="G26" s="60"/>
      <c r="H26" s="60"/>
      <c r="I26" s="60"/>
      <c r="J26" s="60"/>
      <c r="K26" s="64"/>
      <c r="L26" s="64"/>
      <c r="M26" s="60"/>
      <c r="N26" s="60"/>
      <c r="O26" s="60"/>
      <c r="P26" s="60"/>
      <c r="Q26" s="60"/>
      <c r="R26" s="60"/>
      <c r="S26" s="60"/>
      <c r="T26" s="60"/>
      <c r="U26" s="60"/>
      <c r="V26" s="60"/>
      <c r="W26" s="60"/>
      <c r="X26" s="60"/>
      <c r="Y26" s="76"/>
      <c r="Z26" s="60"/>
      <c r="AA26" s="60"/>
      <c r="AB26" s="60"/>
      <c r="AC26" s="60"/>
      <c r="AD26" s="60"/>
      <c r="AE26" s="60"/>
      <c r="AF26" s="80"/>
      <c r="AG26" s="56"/>
      <c r="AH26" s="4"/>
      <c r="AI26" s="56"/>
      <c r="AJ26" s="109"/>
      <c r="AK26" s="56"/>
      <c r="AL26" s="56"/>
      <c r="AM26" s="56"/>
      <c r="AN26" s="56"/>
      <c r="AO26" s="56"/>
      <c r="AP26" s="56"/>
      <c r="AQ26" s="82"/>
      <c r="AR26" s="115"/>
      <c r="AS26" s="82"/>
      <c r="AT26" s="82"/>
      <c r="AU26" s="8"/>
      <c r="AV26" s="25">
        <v>15</v>
      </c>
      <c r="AW26" s="25">
        <f>60*10</f>
        <v>600</v>
      </c>
      <c r="AX26" s="25">
        <f>60*60</f>
        <v>3600</v>
      </c>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1"/>
      <c r="CS26" s="1"/>
      <c r="CT26" s="1"/>
      <c r="CU26" s="1"/>
    </row>
    <row r="27" spans="1:99" s="13" customFormat="1" ht="12" customHeight="1" x14ac:dyDescent="0.2">
      <c r="A27" s="65">
        <v>43509</v>
      </c>
      <c r="B27" s="1" t="s">
        <v>244</v>
      </c>
      <c r="C27" s="1" t="s">
        <v>45</v>
      </c>
      <c r="D27" s="60">
        <v>1999</v>
      </c>
      <c r="E27" s="76">
        <v>1</v>
      </c>
      <c r="F27" s="60">
        <v>19</v>
      </c>
      <c r="G27" s="60">
        <v>19</v>
      </c>
      <c r="H27" s="60" t="s">
        <v>398</v>
      </c>
      <c r="I27" s="60" t="s">
        <v>330</v>
      </c>
      <c r="J27" s="60" t="s">
        <v>61</v>
      </c>
      <c r="K27" s="60">
        <f>IF(J27="syllables",1,IF(J27="trigrams",2,IF(J27="strings",3,IF(J27="visual array",4,IF(J27="characters",5,IF(J27="letters",6,IF(J27="free forms",7,IF(J27="odors",8,IF(J27="words",9,IF(J27="pictures",10,IF(J27="object pictures",11,IF(J27="faces",12,IF(J27="names",13,IF(J27="idioms",14,IF(J27="grades",15,IF(J27="syllable-digit pairs",16,IF(J27="trigram-word pairs",17,IF(J27="word-digit pairs",18,IF(J27="English-Swahili pairs",19,IF(J27="spatial position",20,IF(J27="word pairs",21,IF(J27="word triads",22,IF(J27="generated words",23,IF(J27="word definition pairs",24,IF(J27="math problems",25,IF(J27="famous faces",26,IF(J27="famous names",27,IF(J27="famous voices",28,IF(J27="television programs",29,IF(J27="race horses",30,IF(J27="new vocabulary",31,IF(J27="sentences",32,IF(J27="concepts",33,IF(J27="ad slides",34,IF(J27="scenes",35,IF(J27="famous scenes",36,IF(J27="poems",37,IF(J27="walk",38,IF(J27="faces and events",39,IF(J27="events and names",40,IF(J27="flashbulb",41,IF(J27="stories",42,IF(J27="course material",43,IF(J27="autobiographical",44,IF(J27="novels",45,IF(J27="public events",46,"99"))))))))))))))))))))))))))))))))))))))))))))))</f>
        <v>42</v>
      </c>
      <c r="L27" s="60">
        <f>IF(J27="syllables",1,IF(J27="trigrams",1,IF(J27="strings",1,IF(J27="visual array",1,IF(J27="characters",1,IF(J27="letters",1,IF(J27="free forms",1,IF(J27="odors",2,IF(J27="words",2,IF(J27="pictures",2,IF(J27="object pictures",2,IF(J27="faces",2,IF(J27="names",2,IF(J27="idioms","2",IF(J27="grades",2,IF(J27="syllable-digit pairs",3,IF(J27="trigram-word pairs",3,IF(J27="word-digit pairs",3,IF(J27="English-Swahili pairs",3,IF(J27="spatial position",3,IF(J27="word pairs",4,IF(J27="word triads",4,IF(J27="generated words",4,IF(J27="word definition pairs",4,IF(J27="math problems",4,IF(J27="famous faces",4,IF(J27="famous names",4,IF(J27="famous voices",4,IF(J27="television programs",4,IF(J27="race horses",4,IF(J27="new vocabulary",4,IF(J27="sentences",5,IF(J27="concepts",5,IF(J27="ad slides",5,IF(J27="scenes",5,IF(J27="famous scenes",5,IF(J27="poems",6,IF(J27="walk",6,IF(J27="faces and events",6,IF(J27="events and names",6,IF(J27="flashbulb",7,IF(J27="stories",7,IF(J27="course material",7,IF(J27="autobiographical",7,IF(J27="novels",7,IF(J27="public events",7,"99"))))))))))))))))))))))))))))))))))))))))))))))</f>
        <v>7</v>
      </c>
      <c r="M27" s="60">
        <v>0</v>
      </c>
      <c r="N27" s="60">
        <v>3</v>
      </c>
      <c r="O27" s="60">
        <v>1</v>
      </c>
      <c r="P27" s="60" t="s">
        <v>60</v>
      </c>
      <c r="Q27" s="60" t="s">
        <v>182</v>
      </c>
      <c r="R27" s="60">
        <f>IF(Q27="Free Recall",1,IF(Q27="Cued Recall",2,IF(Q27="Recognition",3,IF(Q27="Multiple Choice",4,IF(Q27="Savings",5,IF(Q27="Stem Completion",6,IF(Q27="Fragment Completion",7,IF(Q27="anagram solution",8,IF(Q27="Matching",9,IF(Q27="Problem Solving",10,"99"))))))))))</f>
        <v>4</v>
      </c>
      <c r="S27" s="60" t="s">
        <v>15</v>
      </c>
      <c r="T27" s="59" t="s">
        <v>581</v>
      </c>
      <c r="U27" s="60">
        <f>IF(T27="within",1,0)</f>
        <v>1</v>
      </c>
      <c r="V27" s="59">
        <v>96</v>
      </c>
      <c r="W27" s="60">
        <f>F27*V27</f>
        <v>1824</v>
      </c>
      <c r="X27" s="60">
        <v>3</v>
      </c>
      <c r="Y27" s="76">
        <f>AV26</f>
        <v>15</v>
      </c>
      <c r="Z27" s="60" t="s">
        <v>63</v>
      </c>
      <c r="AA27" s="60">
        <v>3600</v>
      </c>
      <c r="AB27" s="60" t="str">
        <f>IF(AA27&lt;60,"1",IF(AA27&lt;=43200,"2",IF(AA27&lt;=777600,"3","4")))</f>
        <v>2</v>
      </c>
      <c r="AC27" s="56">
        <f>AVERAGE(AV26:DA26)</f>
        <v>1405</v>
      </c>
      <c r="AD27" s="60" t="str">
        <f>IF(AC27&lt;60,"1",IF(AC27&lt;=43200,"2",IF(AC27&lt;=777600,"3","4")))</f>
        <v>2</v>
      </c>
      <c r="AE27" s="76">
        <f>AA27-Y27</f>
        <v>3585</v>
      </c>
      <c r="AF27" s="80">
        <f>AV27</f>
        <v>0.71916666666666673</v>
      </c>
      <c r="AG27" s="56">
        <f>((AW27-AV27)+(AX27-AW27))/2</f>
        <v>-5.9166666666666701E-2</v>
      </c>
      <c r="AH27" s="4"/>
      <c r="AI27" s="56">
        <f>RSQ(AV27:AX27,AV26:AX26)</f>
        <v>0.8516994970928039</v>
      </c>
      <c r="AJ27" s="109">
        <f>SLOPE(AV27:AX27,AV26:AX26)</f>
        <v>-2.8398991639801853E-5</v>
      </c>
      <c r="AK27" s="56">
        <f>INTERCEPT(AV27:AX27,AV26:AX26)</f>
        <v>0.69906724992058833</v>
      </c>
      <c r="AL27" s="56">
        <f>INDEX(LINEST(LN(AV27:AX27),LN(AV26:AX26),TRUE,TRUE),3,1)</f>
        <v>0.96100091835957513</v>
      </c>
      <c r="AM27" s="56">
        <f>INDEX(LINEST(LN(AV27:AX27),LN(AV26:AX26)),1)</f>
        <v>-3.1532453072946921E-2</v>
      </c>
      <c r="AN27" s="56">
        <f>EXP(INDEX(LINEST(LN(AV27:AX27),LN(AV26:AX26)),1,2))</f>
        <v>0.78843956779075974</v>
      </c>
      <c r="AO27" s="82">
        <f>INDEX(LINEST((AV27:AX27),LN(AV26:AX26),TRUE,TRUE),3,1)</f>
        <v>0.9704156630006926</v>
      </c>
      <c r="AP27" s="82">
        <f>INDEX(LINEST((AV27:AX27),LN(AV26:AX26)),1)</f>
        <v>-2.0863150714655561E-2</v>
      </c>
      <c r="AQ27" s="83">
        <f>INDEX(LINEST(LN(AV27:AX27),SQRT(AV26:AX26),TRUE,TRUE),3,1)</f>
        <v>0.97755623205337094</v>
      </c>
      <c r="AR27" s="116">
        <f>INDEX(LINEST(LN(AV27:AX27),SQRT((AV26:AX26))),1)</f>
        <v>-3.1303955964076904E-3</v>
      </c>
      <c r="AS27" s="84">
        <f>INDEX(LINEST(1/(AV27:AX27),1/(SQRT(AV26:AX26)),TRUE,TRUE),3,1)</f>
        <v>0.80280705622438686</v>
      </c>
      <c r="AT27" s="84">
        <f>INDEX(LINEST(1/(AV27:AX27),1/SQRT(AV26:AX26)),1)</f>
        <v>-0.92263863436326288</v>
      </c>
      <c r="AU27" s="3"/>
      <c r="AV27" s="53">
        <f>8.63/12</f>
        <v>0.71916666666666673</v>
      </c>
      <c r="AW27" s="53">
        <f>7.89/12</f>
        <v>0.65749999999999997</v>
      </c>
      <c r="AX27" s="53">
        <f>7.21/12</f>
        <v>0.60083333333333333</v>
      </c>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1"/>
      <c r="CS27" s="1"/>
      <c r="CT27" s="1"/>
      <c r="CU27" s="1"/>
    </row>
    <row r="28" spans="1:99" s="13" customFormat="1" ht="12" customHeight="1" x14ac:dyDescent="0.2">
      <c r="A28" s="65">
        <v>43509</v>
      </c>
      <c r="B28" s="1"/>
      <c r="C28" s="1"/>
      <c r="D28" s="60"/>
      <c r="E28" s="76"/>
      <c r="F28" s="60"/>
      <c r="G28" s="60"/>
      <c r="H28" s="60"/>
      <c r="I28" s="60"/>
      <c r="J28" s="60"/>
      <c r="K28" s="64"/>
      <c r="L28" s="64"/>
      <c r="M28" s="60"/>
      <c r="N28" s="60"/>
      <c r="O28" s="60"/>
      <c r="P28" s="60"/>
      <c r="Q28" s="60"/>
      <c r="R28" s="60"/>
      <c r="S28" s="60"/>
      <c r="T28" s="60"/>
      <c r="U28" s="60"/>
      <c r="V28" s="60"/>
      <c r="W28" s="60"/>
      <c r="X28" s="60"/>
      <c r="Y28" s="76"/>
      <c r="Z28" s="60"/>
      <c r="AA28" s="60"/>
      <c r="AB28" s="60"/>
      <c r="AC28" s="60"/>
      <c r="AD28" s="60"/>
      <c r="AE28" s="60"/>
      <c r="AF28" s="80"/>
      <c r="AG28" s="56"/>
      <c r="AH28" s="4"/>
      <c r="AI28" s="56"/>
      <c r="AJ28" s="109"/>
      <c r="AK28" s="56"/>
      <c r="AL28" s="56"/>
      <c r="AM28" s="56"/>
      <c r="AN28" s="56"/>
      <c r="AO28" s="56"/>
      <c r="AP28" s="56"/>
      <c r="AQ28" s="56"/>
      <c r="AR28" s="109"/>
      <c r="AS28" s="56"/>
      <c r="AT28" s="56"/>
      <c r="AU28" s="4"/>
      <c r="AV28" s="25">
        <v>30</v>
      </c>
      <c r="AW28" s="25">
        <f>60*60*1</f>
        <v>3600</v>
      </c>
      <c r="AX28" s="25">
        <f>60*60*2</f>
        <v>7200</v>
      </c>
      <c r="AY28" s="25">
        <f>60*60*4</f>
        <v>14400</v>
      </c>
      <c r="AZ28" s="25">
        <f>60*60*8</f>
        <v>28800</v>
      </c>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1"/>
      <c r="CS28" s="1"/>
      <c r="CT28" s="1"/>
      <c r="CU28" s="1"/>
    </row>
    <row r="29" spans="1:99" s="13" customFormat="1" ht="12" customHeight="1" x14ac:dyDescent="0.2">
      <c r="A29" s="65">
        <v>43509</v>
      </c>
      <c r="B29" s="1" t="s">
        <v>245</v>
      </c>
      <c r="C29" s="1" t="s">
        <v>84</v>
      </c>
      <c r="D29" s="60">
        <v>1924</v>
      </c>
      <c r="E29" s="76">
        <v>1</v>
      </c>
      <c r="F29" s="60">
        <v>2</v>
      </c>
      <c r="G29" s="60">
        <v>2</v>
      </c>
      <c r="H29" s="60" t="s">
        <v>30</v>
      </c>
      <c r="I29" s="60" t="s">
        <v>620</v>
      </c>
      <c r="J29" s="60" t="s">
        <v>281</v>
      </c>
      <c r="K29" s="60">
        <f>IF(J29="syllables",1,IF(J29="trigrams",2,IF(J29="strings",3,IF(J29="visual array",4,IF(J29="characters",5,IF(J29="letters",6,IF(J29="free forms",7,IF(J29="odors",8,IF(J29="words",9,IF(J29="pictures",10,IF(J29="object pictures",11,IF(J29="faces",12,IF(J29="names",13,IF(J29="idioms",14,IF(J29="grades",15,IF(J29="syllable-digit pairs",16,IF(J29="trigram-word pairs",17,IF(J29="word-digit pairs",18,IF(J29="English-Swahili pairs",19,IF(J29="spatial position",20,IF(J29="word pairs",21,IF(J29="word triads",22,IF(J29="generated words",23,IF(J29="word definition pairs",24,IF(J29="math problems",25,IF(J29="famous faces",26,IF(J29="famous names",27,IF(J29="famous voices",28,IF(J29="television programs",29,IF(J29="race horses",30,IF(J29="new vocabulary",31,IF(J29="sentences",32,IF(J29="concepts",33,IF(J29="ad slides",34,IF(J29="scenes",35,IF(J29="famous scenes",36,IF(J29="poems",37,IF(J29="walk",38,IF(J29="faces and events",39,IF(J29="events and names",40,IF(J29="flashbulb",41,IF(J29="stories",42,IF(J29="course material",43,IF(J29="autobiographical",44,IF(J29="novels",45,IF(J29="public events",46,"99"))))))))))))))))))))))))))))))))))))))))))))))</f>
        <v>1</v>
      </c>
      <c r="L29" s="60">
        <f>IF(J29="syllables",1,IF(J29="trigrams",1,IF(J29="strings",1,IF(J29="visual array",1,IF(J29="characters",1,IF(J29="letters",1,IF(J29="free forms",1,IF(J29="odors",2,IF(J29="words",2,IF(J29="pictures",2,IF(J29="object pictures",2,IF(J29="faces",2,IF(J29="names",2,IF(J29="idioms","2",IF(J29="grades",2,IF(J29="syllable-digit pairs",3,IF(J29="trigram-word pairs",3,IF(J29="word-digit pairs",3,IF(J29="English-Swahili pairs",3,IF(J29="spatial position",3,IF(J29="word pairs",4,IF(J29="word triads",4,IF(J29="generated words",4,IF(J29="word definition pairs",4,IF(J29="math problems",4,IF(J29="famous faces",4,IF(J29="famous names",4,IF(J29="famous voices",4,IF(J29="television programs",4,IF(J29="race horses",4,IF(J29="new vocabulary",4,IF(J29="sentences",5,IF(J29="concepts",5,IF(J29="ad slides",5,IF(J29="scenes",5,IF(J29="famous scenes",5,IF(J29="poems",6,IF(J29="walk",6,IF(J29="faces and events",6,IF(J29="events and names",6,IF(J29="flashbulb",7,IF(J29="stories",7,IF(J29="course material",7,IF(J29="autobiographical",7,IF(J29="novels",7,IF(J29="public events",7,"99"))))))))))))))))))))))))))))))))))))))))))))))</f>
        <v>1</v>
      </c>
      <c r="M29" s="60">
        <v>1</v>
      </c>
      <c r="N29" s="60">
        <v>2</v>
      </c>
      <c r="O29" s="60">
        <v>0</v>
      </c>
      <c r="P29" s="60"/>
      <c r="Q29" s="60" t="s">
        <v>174</v>
      </c>
      <c r="R29" s="60">
        <f>IF(Q29="Free Recall",1,IF(Q29="Cued Recall",2,IF(Q29="Recognition",3,IF(Q29="Multiple Choice",4,IF(Q29="Savings",5,IF(Q29="Stem Completion",6,IF(Q29="Fragment Completion",7,IF(Q29="anagram solution",8,IF(Q29="Matching",9,IF(Q29="Problem Solving",10,"99"))))))))))</f>
        <v>1</v>
      </c>
      <c r="S29" s="60" t="s">
        <v>49</v>
      </c>
      <c r="T29" s="59" t="s">
        <v>581</v>
      </c>
      <c r="U29" s="60">
        <f>IF(T29="within",1,0)</f>
        <v>1</v>
      </c>
      <c r="V29" s="59">
        <v>50</v>
      </c>
      <c r="W29" s="60">
        <f>F29*V29</f>
        <v>100</v>
      </c>
      <c r="X29" s="60">
        <v>5</v>
      </c>
      <c r="Y29" s="76">
        <f>AV28</f>
        <v>30</v>
      </c>
      <c r="Z29" s="60" t="s">
        <v>85</v>
      </c>
      <c r="AA29" s="60">
        <v>28800</v>
      </c>
      <c r="AB29" s="60" t="str">
        <f>IF(AA29&lt;60,"1",IF(AA29&lt;=43200,"2",IF(AA29&lt;=777600,"3","4")))</f>
        <v>2</v>
      </c>
      <c r="AC29" s="56">
        <f>AVERAGE(AV28:DA28)</f>
        <v>10806</v>
      </c>
      <c r="AD29" s="60" t="str">
        <f>IF(AC29&lt;60,"1",IF(AC29&lt;=43200,"2",IF(AC29&lt;=777600,"3","4")))</f>
        <v>2</v>
      </c>
      <c r="AE29" s="76">
        <f>AA29-Y29</f>
        <v>28770</v>
      </c>
      <c r="AF29" s="80">
        <f>AV29</f>
        <v>1</v>
      </c>
      <c r="AG29" s="56">
        <f>((AW29-AV29)+(AX29-AW29)+(AY29-AX29)+(AZ29-AY29))/4</f>
        <v>-0.10875000000000001</v>
      </c>
      <c r="AH29" s="4"/>
      <c r="AI29" s="56">
        <f>RSQ(AV29:AZ29,AV28:AZ28)</f>
        <v>0.40656975914090321</v>
      </c>
      <c r="AJ29" s="109">
        <f>SLOPE(AV29:AZ29,AV28:AZ28)</f>
        <v>-1.0897460857376088E-5</v>
      </c>
      <c r="AK29" s="56">
        <f>INTERCEPT(AV29:AZ29,AV28:AZ28)</f>
        <v>0.79075796202480597</v>
      </c>
      <c r="AL29" s="56">
        <f>INDEX(LINEST(LN(AV29:AZ29),LN(AV28:AZ28),TRUE,TRUE),3,1)</f>
        <v>0.9083295202963324</v>
      </c>
      <c r="AM29" s="56">
        <f>INDEX(LINEST(LN(AV29:AZ29),LN(AV28:AZ28)),1)</f>
        <v>-9.1241439313960643E-2</v>
      </c>
      <c r="AN29" s="56">
        <f>EXP(INDEX(LINEST(LN(AV29:AZ29),LN(AV28:AZ28)),1,2))</f>
        <v>1.3642225204911356</v>
      </c>
      <c r="AO29" s="82">
        <f>INDEX(LINEST((AV29:AZ29),LN(AV28:AZ28),TRUE,TRUE),3,1)</f>
        <v>0.93605469127532082</v>
      </c>
      <c r="AP29" s="82">
        <f>INDEX(LINEST((AV29:AZ29),LN(AV28:AZ28)),1)</f>
        <v>-6.9193149033946869E-2</v>
      </c>
      <c r="AQ29" s="83">
        <f>INDEX(LINEST(LN(AV29:AZ29),SQRT(AV28:AZ28),TRUE,TRUE),3,1)</f>
        <v>0.69656681728221448</v>
      </c>
      <c r="AR29" s="116">
        <f>INDEX(LINEST(LN(AV29:AZ29),SQRT((AV28:AZ28))),1)</f>
        <v>-3.5120424509482388E-3</v>
      </c>
      <c r="AS29" s="84">
        <f>INDEX(LINEST(1/(AV29:AZ29),1/(SQRT(AV28:AZ28)),TRUE,TRUE),3,1)</f>
        <v>0.80644714783973348</v>
      </c>
      <c r="AT29" s="84">
        <f>INDEX(LINEST(1/(AV29:AZ29),1/SQRT(AV28:AZ28)),1)</f>
        <v>-4.2098932600715688</v>
      </c>
      <c r="AU29" s="3"/>
      <c r="AV29" s="53">
        <v>1</v>
      </c>
      <c r="AW29" s="53">
        <v>0.70499999999999996</v>
      </c>
      <c r="AX29" s="53">
        <v>0.54</v>
      </c>
      <c r="AY29" s="53">
        <v>0.55499999999999994</v>
      </c>
      <c r="AZ29" s="53">
        <v>0.56499999999999995</v>
      </c>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1"/>
      <c r="CS29" s="1"/>
      <c r="CT29" s="1"/>
      <c r="CU29" s="1"/>
    </row>
    <row r="30" spans="1:99" s="13" customFormat="1" ht="12" customHeight="1" x14ac:dyDescent="0.2">
      <c r="A30" s="65">
        <v>43509</v>
      </c>
      <c r="B30" s="1"/>
      <c r="C30" s="1"/>
      <c r="D30" s="60"/>
      <c r="E30" s="76"/>
      <c r="F30" s="60"/>
      <c r="G30" s="60"/>
      <c r="H30" s="60"/>
      <c r="I30" s="60"/>
      <c r="J30" s="60"/>
      <c r="K30" s="64"/>
      <c r="L30" s="64"/>
      <c r="M30" s="60"/>
      <c r="N30" s="60"/>
      <c r="O30" s="60"/>
      <c r="P30" s="60"/>
      <c r="Q30" s="60"/>
      <c r="R30" s="60"/>
      <c r="S30" s="60"/>
      <c r="T30" s="60"/>
      <c r="U30" s="60"/>
      <c r="V30" s="60"/>
      <c r="W30" s="60"/>
      <c r="X30" s="60"/>
      <c r="Y30" s="76"/>
      <c r="Z30" s="60"/>
      <c r="AA30" s="60"/>
      <c r="AB30" s="60"/>
      <c r="AC30" s="60"/>
      <c r="AD30" s="60"/>
      <c r="AE30" s="60"/>
      <c r="AF30" s="80"/>
      <c r="AG30" s="56"/>
      <c r="AH30" s="4"/>
      <c r="AI30" s="56"/>
      <c r="AJ30" s="109"/>
      <c r="AK30" s="56"/>
      <c r="AL30" s="56"/>
      <c r="AM30" s="56"/>
      <c r="AN30" s="56"/>
      <c r="AO30" s="56"/>
      <c r="AP30" s="56"/>
      <c r="AQ30" s="82"/>
      <c r="AR30" s="115"/>
      <c r="AS30" s="82"/>
      <c r="AT30" s="82"/>
      <c r="AU30" s="4"/>
      <c r="AV30" s="25">
        <v>30</v>
      </c>
      <c r="AW30" s="25">
        <f>60*60*1</f>
        <v>3600</v>
      </c>
      <c r="AX30" s="25">
        <f>60*60*2</f>
        <v>7200</v>
      </c>
      <c r="AY30" s="25">
        <f>60*60*4</f>
        <v>14400</v>
      </c>
      <c r="AZ30" s="25">
        <f>60*60*8</f>
        <v>28800</v>
      </c>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1"/>
      <c r="CS30" s="1"/>
      <c r="CT30" s="1"/>
      <c r="CU30" s="1"/>
    </row>
    <row r="31" spans="1:99" s="13" customFormat="1" ht="12" customHeight="1" x14ac:dyDescent="0.2">
      <c r="A31" s="65">
        <v>43509</v>
      </c>
      <c r="B31" s="1" t="s">
        <v>245</v>
      </c>
      <c r="C31" s="1" t="s">
        <v>84</v>
      </c>
      <c r="D31" s="60">
        <v>1924</v>
      </c>
      <c r="E31" s="76">
        <v>1</v>
      </c>
      <c r="F31" s="60">
        <v>2</v>
      </c>
      <c r="G31" s="60">
        <v>2</v>
      </c>
      <c r="H31" s="60" t="s">
        <v>30</v>
      </c>
      <c r="I31" s="60" t="s">
        <v>621</v>
      </c>
      <c r="J31" s="60" t="s">
        <v>281</v>
      </c>
      <c r="K31" s="60">
        <f>IF(J31="syllables",1,IF(J31="trigrams",2,IF(J31="strings",3,IF(J31="visual array",4,IF(J31="characters",5,IF(J31="letters",6,IF(J31="free forms",7,IF(J31="odors",8,IF(J31="words",9,IF(J31="pictures",10,IF(J31="object pictures",11,IF(J31="faces",12,IF(J31="names",13,IF(J31="idioms",14,IF(J31="grades",15,IF(J31="syllable-digit pairs",16,IF(J31="trigram-word pairs",17,IF(J31="word-digit pairs",18,IF(J31="English-Swahili pairs",19,IF(J31="spatial position",20,IF(J31="word pairs",21,IF(J31="word triads",22,IF(J31="generated words",23,IF(J31="word definition pairs",24,IF(J31="math problems",25,IF(J31="famous faces",26,IF(J31="famous names",27,IF(J31="famous voices",28,IF(J31="television programs",29,IF(J31="race horses",30,IF(J31="new vocabulary",31,IF(J31="sentences",32,IF(J31="concepts",33,IF(J31="ad slides",34,IF(J31="scenes",35,IF(J31="famous scenes",36,IF(J31="poems",37,IF(J31="walk",38,IF(J31="faces and events",39,IF(J31="events and names",40,IF(J31="flashbulb",41,IF(J31="stories",42,IF(J31="course material",43,IF(J31="autobiographical",44,IF(J31="novels",45,IF(J31="public events",46,"99"))))))))))))))))))))))))))))))))))))))))))))))</f>
        <v>1</v>
      </c>
      <c r="L31" s="60">
        <f>IF(J31="syllables",1,IF(J31="trigrams",1,IF(J31="strings",1,IF(J31="visual array",1,IF(J31="characters",1,IF(J31="letters",1,IF(J31="free forms",1,IF(J31="odors",2,IF(J31="words",2,IF(J31="pictures",2,IF(J31="object pictures",2,IF(J31="faces",2,IF(J31="names",2,IF(J31="idioms","2",IF(J31="grades",2,IF(J31="syllable-digit pairs",3,IF(J31="trigram-word pairs",3,IF(J31="word-digit pairs",3,IF(J31="English-Swahili pairs",3,IF(J31="spatial position",3,IF(J31="word pairs",4,IF(J31="word triads",4,IF(J31="generated words",4,IF(J31="word definition pairs",4,IF(J31="math problems",4,IF(J31="famous faces",4,IF(J31="famous names",4,IF(J31="famous voices",4,IF(J31="television programs",4,IF(J31="race horses",4,IF(J31="new vocabulary",4,IF(J31="sentences",5,IF(J31="concepts",5,IF(J31="ad slides",5,IF(J31="scenes",5,IF(J31="famous scenes",5,IF(J31="poems",6,IF(J31="walk",6,IF(J31="faces and events",6,IF(J31="events and names",6,IF(J31="flashbulb",7,IF(J31="stories",7,IF(J31="course material",7,IF(J31="autobiographical",7,IF(J31="novels",7,IF(J31="public events",7,"99"))))))))))))))))))))))))))))))))))))))))))))))</f>
        <v>1</v>
      </c>
      <c r="M31" s="60">
        <v>1</v>
      </c>
      <c r="N31" s="60">
        <v>2</v>
      </c>
      <c r="O31" s="60">
        <v>0</v>
      </c>
      <c r="P31" s="60"/>
      <c r="Q31" s="60" t="s">
        <v>174</v>
      </c>
      <c r="R31" s="60">
        <f>IF(Q31="Free Recall",1,IF(Q31="Cued Recall",2,IF(Q31="Recognition",3,IF(Q31="Multiple Choice",4,IF(Q31="Savings",5,IF(Q31="Stem Completion",6,IF(Q31="Fragment Completion",7,IF(Q31="anagram solution",8,IF(Q31="Matching",9,IF(Q31="Problem Solving",10,"99"))))))))))</f>
        <v>1</v>
      </c>
      <c r="S31" s="60" t="s">
        <v>49</v>
      </c>
      <c r="T31" s="59" t="s">
        <v>581</v>
      </c>
      <c r="U31" s="60">
        <f>IF(T31="within",1,0)</f>
        <v>1</v>
      </c>
      <c r="V31" s="59">
        <v>50</v>
      </c>
      <c r="W31" s="60">
        <f>F31*V31</f>
        <v>100</v>
      </c>
      <c r="X31" s="60">
        <v>5</v>
      </c>
      <c r="Y31" s="76">
        <f>AV30</f>
        <v>30</v>
      </c>
      <c r="Z31" s="60" t="s">
        <v>85</v>
      </c>
      <c r="AA31" s="60">
        <v>28800</v>
      </c>
      <c r="AB31" s="60" t="str">
        <f>IF(AA31&lt;60,"1",IF(AA31&lt;=43200,"2",IF(AA31&lt;=777600,"3","4")))</f>
        <v>2</v>
      </c>
      <c r="AC31" s="56">
        <f>AVERAGE(AV30:DA30)</f>
        <v>10806</v>
      </c>
      <c r="AD31" s="60" t="str">
        <f>IF(AC31&lt;60,"1",IF(AC31&lt;=43200,"2",IF(AC31&lt;=777600,"3","4")))</f>
        <v>2</v>
      </c>
      <c r="AE31" s="76">
        <f>AA31-Y31</f>
        <v>28770</v>
      </c>
      <c r="AF31" s="80">
        <f>AV31</f>
        <v>1</v>
      </c>
      <c r="AG31" s="56">
        <f>((AW31-AV31)+(AX31-AW31)+(AY31-AX31)+(AZ31-AY31))/4</f>
        <v>-0.22749999999999998</v>
      </c>
      <c r="AH31" s="4"/>
      <c r="AI31" s="56">
        <f>RSQ(AV31:AZ31,AV30:AZ30)</f>
        <v>0.63479729589999889</v>
      </c>
      <c r="AJ31" s="109">
        <f>SLOPE(AV31:AZ31,AV30:AZ30)</f>
        <v>-2.4684583018704369E-5</v>
      </c>
      <c r="AK31" s="56">
        <f>INTERCEPT(AV31:AZ31,AV30:AZ30)</f>
        <v>0.68374160410011942</v>
      </c>
      <c r="AL31" s="56">
        <f>INDEX(LINEST(LN(AV31:AZ31),LN(AV30:AZ30),TRUE,TRUE),3,1)</f>
        <v>0.79571509566027476</v>
      </c>
      <c r="AM31" s="56">
        <f>INDEX(LINEST(LN(AV31:AZ31),LN(AV30:AZ30)),1)</f>
        <v>-0.29160475075341569</v>
      </c>
      <c r="AN31" s="56">
        <f>EXP(INDEX(LINEST(LN(AV31:AZ31),LN(AV30:AZ30)),1,2))</f>
        <v>3.2600324377331007</v>
      </c>
      <c r="AO31" s="82">
        <f>INDEX(LINEST((AV31:AZ31),LN(AV30:AZ30),TRUE,TRUE),3,1)</f>
        <v>0.98860271268773592</v>
      </c>
      <c r="AP31" s="82">
        <f>INDEX(LINEST((AV31:AZ31),LN(AV30:AZ30)),1)</f>
        <v>-0.12890621680672018</v>
      </c>
      <c r="AQ31" s="83">
        <f>INDEX(LINEST(LN(AV31:AZ31),SQRT(AV30:AZ30),TRUE,TRUE),3,1)</f>
        <v>0.99189855243629432</v>
      </c>
      <c r="AR31" s="116">
        <f>INDEX(LINEST(LN(AV31:AZ31),SQRT((AV30:AZ30))),1)</f>
        <v>-1.4310584662116257E-2</v>
      </c>
      <c r="AS31" s="84">
        <f>INDEX(LINEST(1/(AV31:AZ31),1/(SQRT(AV30:AZ30)),TRUE,TRUE),3,1)</f>
        <v>0.26582349958721319</v>
      </c>
      <c r="AT31" s="84">
        <f>INDEX(LINEST(1/(AV31:AZ31),1/SQRT(AV30:AZ30)),1)</f>
        <v>-26.56491606923349</v>
      </c>
      <c r="AU31" s="3"/>
      <c r="AV31" s="53">
        <v>1</v>
      </c>
      <c r="AW31" s="53">
        <v>0.45999999999999996</v>
      </c>
      <c r="AX31" s="53">
        <v>0.31000000000000005</v>
      </c>
      <c r="AY31" s="53">
        <v>0.22499999999999998</v>
      </c>
      <c r="AZ31" s="53">
        <v>9.0000000000000011E-2</v>
      </c>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1"/>
      <c r="CS31" s="1"/>
      <c r="CT31" s="1"/>
      <c r="CU31" s="1"/>
    </row>
    <row r="32" spans="1:99" s="13" customFormat="1" ht="12" customHeight="1" x14ac:dyDescent="0.2">
      <c r="A32" s="68">
        <v>43509</v>
      </c>
      <c r="B32" s="70"/>
      <c r="C32" s="70"/>
      <c r="D32" s="69"/>
      <c r="E32" s="87"/>
      <c r="F32" s="69"/>
      <c r="G32" s="69"/>
      <c r="H32" s="69"/>
      <c r="I32" s="69"/>
      <c r="J32" s="69"/>
      <c r="K32" s="107"/>
      <c r="L32" s="107"/>
      <c r="M32" s="69"/>
      <c r="N32" s="69"/>
      <c r="O32" s="69"/>
      <c r="P32" s="69"/>
      <c r="Q32" s="69"/>
      <c r="R32" s="69"/>
      <c r="S32" s="69"/>
      <c r="T32" s="69"/>
      <c r="U32" s="69"/>
      <c r="V32" s="69"/>
      <c r="W32" s="69"/>
      <c r="X32" s="69"/>
      <c r="Y32" s="87"/>
      <c r="Z32" s="69"/>
      <c r="AA32" s="69"/>
      <c r="AB32" s="69"/>
      <c r="AC32" s="69"/>
      <c r="AD32" s="69"/>
      <c r="AE32" s="69"/>
      <c r="AF32" s="88"/>
      <c r="AG32" s="72"/>
      <c r="AH32" s="4"/>
      <c r="AI32" s="72"/>
      <c r="AJ32" s="110"/>
      <c r="AK32" s="72"/>
      <c r="AL32" s="72"/>
      <c r="AM32" s="72"/>
      <c r="AN32" s="72"/>
      <c r="AO32" s="72"/>
      <c r="AP32" s="72"/>
      <c r="AQ32" s="72"/>
      <c r="AR32" s="110"/>
      <c r="AS32" s="72"/>
      <c r="AT32" s="72"/>
      <c r="AU32" s="4"/>
      <c r="AV32" s="71">
        <f>60*3</f>
        <v>180</v>
      </c>
      <c r="AW32" s="71">
        <f>60*9</f>
        <v>540</v>
      </c>
      <c r="AX32" s="71">
        <f>60*12</f>
        <v>720</v>
      </c>
      <c r="AY32" s="71">
        <f>60*15</f>
        <v>900</v>
      </c>
      <c r="AZ32" s="71">
        <f>60*42</f>
        <v>2520</v>
      </c>
      <c r="BA32" s="71">
        <f>60*66</f>
        <v>3960</v>
      </c>
      <c r="BB32" s="71">
        <f>60*90</f>
        <v>5400</v>
      </c>
      <c r="BC32" s="73"/>
      <c r="BD32" s="7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1"/>
      <c r="CS32" s="1"/>
      <c r="CT32" s="1"/>
      <c r="CU32" s="1"/>
    </row>
    <row r="33" spans="1:99" s="13" customFormat="1" ht="12" customHeight="1" x14ac:dyDescent="0.2">
      <c r="A33" s="68">
        <v>43509</v>
      </c>
      <c r="B33" s="70" t="s">
        <v>246</v>
      </c>
      <c r="C33" s="70" t="s">
        <v>45</v>
      </c>
      <c r="D33" s="69">
        <v>1997</v>
      </c>
      <c r="E33" s="87">
        <v>1</v>
      </c>
      <c r="F33" s="69">
        <v>14</v>
      </c>
      <c r="G33" s="69">
        <v>14</v>
      </c>
      <c r="H33" s="69" t="s">
        <v>32</v>
      </c>
      <c r="I33" s="69" t="s">
        <v>733</v>
      </c>
      <c r="J33" s="69" t="s">
        <v>16</v>
      </c>
      <c r="K33" s="69">
        <f>IF(J33="syllables",1,IF(J33="trigrams",2,IF(J33="strings",3,IF(J33="visual array",4,IF(J33="characters",5,IF(J33="letters",6,IF(J33="free forms",7,IF(J33="odors",8,IF(J33="words",9,IF(J33="pictures",10,IF(J33="object pictures",11,IF(J33="faces",12,IF(J33="names",13,IF(J33="idioms",14,IF(J33="grades",15,IF(J33="syllable-digit pairs",16,IF(J33="trigram-word pairs",17,IF(J33="word-digit pairs",18,IF(J33="English-Swahili pairs",19,IF(J33="spatial position",20,IF(J33="word pairs",21,IF(J33="word triads",22,IF(J33="generated words",23,IF(J33="word definition pairs",24,IF(J33="math problems",25,IF(J33="famous faces",26,IF(J33="famous names",27,IF(J33="famous voices",28,IF(J33="television programs",29,IF(J33="race horses",30,IF(J33="new vocabulary",31,IF(J33="sentences",32,IF(J33="concepts",33,IF(J33="ad slides",34,IF(J33="scenes",35,IF(J33="famous scenes",36,IF(J33="poems",37,IF(J33="walk",38,IF(J33="faces and events",39,IF(J33="events and names",40,IF(J33="flashbulb",41,IF(J33="stories",42,IF(J33="course material",43,IF(J33="autobiographical",44,IF(J33="novels",45,IF(J33="public events",46,"99"))))))))))))))))))))))))))))))))))))))))))))))</f>
        <v>9</v>
      </c>
      <c r="L33" s="69">
        <f>IF(J33="syllables",1,IF(J33="trigrams",1,IF(J33="strings",1,IF(J33="visual array",1,IF(J33="characters",1,IF(J33="letters",1,IF(J33="free forms",1,IF(J33="odors",2,IF(J33="words",2,IF(J33="pictures",2,IF(J33="object pictures",2,IF(J33="faces",2,IF(J33="names",2,IF(J33="idioms","2",IF(J33="grades",2,IF(J33="syllable-digit pairs",3,IF(J33="trigram-word pairs",3,IF(J33="word-digit pairs",3,IF(J33="English-Swahili pairs",3,IF(J33="spatial position",3,IF(J33="word pairs",4,IF(J33="word triads",4,IF(J33="generated words",4,IF(J33="word definition pairs",4,IF(J33="math problems",4,IF(J33="famous faces",4,IF(J33="famous names",4,IF(J33="famous voices",4,IF(J33="television programs",4,IF(J33="race horses",4,IF(J33="new vocabulary",4,IF(J33="sentences",5,IF(J33="concepts",5,IF(J33="ad slides",5,IF(J33="scenes",5,IF(J33="famous scenes",5,IF(J33="poems",6,IF(J33="walk",6,IF(J33="faces and events",6,IF(J33="events and names",6,IF(J33="flashbulb",7,IF(J33="stories",7,IF(J33="course material",7,IF(J33="autobiographical",7,IF(J33="novels",7,IF(J33="public events",7,"99"))))))))))))))))))))))))))))))))))))))))))))))</f>
        <v>2</v>
      </c>
      <c r="M33" s="69">
        <v>0</v>
      </c>
      <c r="N33" s="69">
        <v>1</v>
      </c>
      <c r="O33" s="69">
        <v>0</v>
      </c>
      <c r="P33" s="69"/>
      <c r="Q33" s="69" t="s">
        <v>64</v>
      </c>
      <c r="R33" s="69">
        <f>IF(Q33="Free Recall",1,IF(Q33="Cued Recall",2,IF(Q33="Recognition",3,IF(Q33="Multiple Choice",4,IF(Q33="Savings",5,IF(Q33="Stem Completion",6,IF(Q33="Fragment Completion",7,IF(Q33="anagram solution",8,IF(Q33="Matching",9,IF(Q33="Problem Solving",10,"99"))))))))))</f>
        <v>6</v>
      </c>
      <c r="S33" s="69" t="s">
        <v>15</v>
      </c>
      <c r="T33" s="92" t="s">
        <v>581</v>
      </c>
      <c r="U33" s="69">
        <f>IF(T33="within",1,0)</f>
        <v>1</v>
      </c>
      <c r="V33" s="92">
        <v>22</v>
      </c>
      <c r="W33" s="69">
        <f>F33*V33</f>
        <v>308</v>
      </c>
      <c r="X33" s="69">
        <v>7</v>
      </c>
      <c r="Y33" s="87">
        <f>AV32</f>
        <v>180</v>
      </c>
      <c r="Z33" s="69" t="s">
        <v>59</v>
      </c>
      <c r="AA33" s="69">
        <v>5400</v>
      </c>
      <c r="AB33" s="69" t="str">
        <f>IF(AA33&lt;60,"1",IF(AA33&lt;=43200,"2",IF(AA33&lt;=777600,"3","4")))</f>
        <v>2</v>
      </c>
      <c r="AC33" s="72">
        <f>AVERAGE(AV32:DA32)</f>
        <v>2031.4285714285713</v>
      </c>
      <c r="AD33" s="69" t="str">
        <f>IF(AC33&lt;60,"1",IF(AC33&lt;=43200,"2",IF(AC33&lt;=777600,"3","4")))</f>
        <v>2</v>
      </c>
      <c r="AE33" s="87">
        <f>AA33-Y33</f>
        <v>5220</v>
      </c>
      <c r="AF33" s="88">
        <f>AV33</f>
        <v>0.539087135221889</v>
      </c>
      <c r="AG33" s="72">
        <f>((AW33-AV33)+(AX33-AW33)+(AY33-AX33)+(AZ33-AY33)+(BA33-AZ33)+(BB33-BA33))/6</f>
        <v>-5.1910417920531166E-2</v>
      </c>
      <c r="AH33" s="4"/>
      <c r="AI33" s="72">
        <f>RSQ(AV33:BB33,AV32:BB32)</f>
        <v>0.63156945985823354</v>
      </c>
      <c r="AJ33" s="110">
        <f>SLOPE(AV33:BB33,AV32:BB32)</f>
        <v>-4.2722244679667778E-5</v>
      </c>
      <c r="AK33" s="72">
        <f>INTERCEPT(AV33:BB33,AV32:BB32)</f>
        <v>0.42435138817610324</v>
      </c>
      <c r="AL33" s="72">
        <f>INDEX(LINEST(LN(AV33:BB33),LN(AV32:BB32),TRUE,TRUE),3,1)</f>
        <v>0.96385578516889714</v>
      </c>
      <c r="AM33" s="72">
        <f>INDEX(LINEST(LN(AV33:BB33),LN(AV32:BB32)),1)</f>
        <v>-0.24040884614397717</v>
      </c>
      <c r="AN33" s="72">
        <f>EXP(INDEX(LINEST(LN(AV33:BB33),LN(AV32:BB32)),1,2))</f>
        <v>1.7810855631323417</v>
      </c>
      <c r="AO33" s="89">
        <f>INDEX(LINEST((AV33:BB33),LN(AV32:BB32),TRUE,TRUE),3,1)</f>
        <v>0.91729047345106784</v>
      </c>
      <c r="AP33" s="89">
        <f>INDEX(LINEST((AV33:BB33),LN(AV32:BB32)),1)</f>
        <v>-8.4865119064540431E-2</v>
      </c>
      <c r="AQ33" s="90">
        <f>INDEX(LINEST(LN(AV33:BB33),SQRT(AV32:BB32),TRUE,TRUE),3,1)</f>
        <v>0.86068682328048784</v>
      </c>
      <c r="AR33" s="117">
        <f>INDEX(LINEST(LN(AV33:BB33),SQRT((AV32:BB32))),1)</f>
        <v>-1.2292144351938518E-2</v>
      </c>
      <c r="AS33" s="91">
        <f>INDEX(LINEST(1/(AV33:BB33),1/(SQRT(AV32:BB32)),TRUE,TRUE),3,1)</f>
        <v>0.91225221261723755</v>
      </c>
      <c r="AT33" s="91">
        <f>INDEX(LINEST(1/(AV33:BB33),1/SQRT(AV32:BB32)),1)</f>
        <v>-39.691162718826185</v>
      </c>
      <c r="AU33" s="3"/>
      <c r="AV33" s="73">
        <v>0.539087135221889</v>
      </c>
      <c r="AW33" s="73">
        <v>0.408685229862293</v>
      </c>
      <c r="AX33" s="73">
        <v>0.33933816531978001</v>
      </c>
      <c r="AY33" s="73">
        <v>0.32276915004706802</v>
      </c>
      <c r="AZ33" s="73">
        <v>0.26793862108344102</v>
      </c>
      <c r="BA33" s="73">
        <v>0.25750646865467403</v>
      </c>
      <c r="BB33" s="73">
        <v>0.22762462769870201</v>
      </c>
      <c r="BC33" s="73"/>
      <c r="BD33" s="7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1"/>
      <c r="CS33" s="1"/>
      <c r="CT33" s="1"/>
      <c r="CU33" s="1"/>
    </row>
    <row r="34" spans="1:99" s="13" customFormat="1" ht="12" customHeight="1" x14ac:dyDescent="0.2">
      <c r="A34" s="68">
        <v>43509</v>
      </c>
      <c r="B34" s="70"/>
      <c r="C34" s="70"/>
      <c r="D34" s="69"/>
      <c r="E34" s="87"/>
      <c r="F34" s="69"/>
      <c r="G34" s="69"/>
      <c r="H34" s="69"/>
      <c r="I34" s="69"/>
      <c r="J34" s="69"/>
      <c r="K34" s="107"/>
      <c r="L34" s="107"/>
      <c r="M34" s="69"/>
      <c r="N34" s="69"/>
      <c r="O34" s="69"/>
      <c r="P34" s="69"/>
      <c r="Q34" s="69"/>
      <c r="R34" s="69"/>
      <c r="S34" s="69"/>
      <c r="T34" s="92"/>
      <c r="U34" s="69"/>
      <c r="V34" s="92"/>
      <c r="W34" s="69"/>
      <c r="X34" s="69"/>
      <c r="Y34" s="87"/>
      <c r="Z34" s="69"/>
      <c r="AA34" s="69"/>
      <c r="AB34" s="69"/>
      <c r="AC34" s="69"/>
      <c r="AD34" s="69"/>
      <c r="AE34" s="69"/>
      <c r="AF34" s="88"/>
      <c r="AG34" s="72"/>
      <c r="AH34" s="4"/>
      <c r="AI34" s="72"/>
      <c r="AJ34" s="110"/>
      <c r="AK34" s="72"/>
      <c r="AL34" s="72"/>
      <c r="AM34" s="72"/>
      <c r="AN34" s="72"/>
      <c r="AO34" s="72"/>
      <c r="AP34" s="72"/>
      <c r="AQ34" s="72"/>
      <c r="AR34" s="110"/>
      <c r="AS34" s="72"/>
      <c r="AT34" s="72"/>
      <c r="AU34" s="5"/>
      <c r="AV34" s="71">
        <f>60*3</f>
        <v>180</v>
      </c>
      <c r="AW34" s="71">
        <f>60*9</f>
        <v>540</v>
      </c>
      <c r="AX34" s="71">
        <f>60*12</f>
        <v>720</v>
      </c>
      <c r="AY34" s="71">
        <f>60*15</f>
        <v>900</v>
      </c>
      <c r="AZ34" s="71">
        <f>60*42</f>
        <v>2520</v>
      </c>
      <c r="BA34" s="71">
        <f>60*66</f>
        <v>3960</v>
      </c>
      <c r="BB34" s="71">
        <f>60*90</f>
        <v>5400</v>
      </c>
      <c r="BC34" s="73"/>
      <c r="BD34" s="73"/>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1"/>
      <c r="CS34" s="1"/>
      <c r="CT34" s="1"/>
      <c r="CU34" s="1"/>
    </row>
    <row r="35" spans="1:99" s="13" customFormat="1" ht="12" customHeight="1" x14ac:dyDescent="0.2">
      <c r="A35" s="68">
        <v>43509</v>
      </c>
      <c r="B35" s="70" t="s">
        <v>246</v>
      </c>
      <c r="C35" s="70" t="s">
        <v>45</v>
      </c>
      <c r="D35" s="69">
        <v>1997</v>
      </c>
      <c r="E35" s="87">
        <v>1</v>
      </c>
      <c r="F35" s="69">
        <v>14</v>
      </c>
      <c r="G35" s="69">
        <v>14</v>
      </c>
      <c r="H35" s="69" t="s">
        <v>32</v>
      </c>
      <c r="I35" s="69" t="s">
        <v>734</v>
      </c>
      <c r="J35" s="69" t="s">
        <v>16</v>
      </c>
      <c r="K35" s="69">
        <f>IF(J35="syllables",1,IF(J35="trigrams",2,IF(J35="strings",3,IF(J35="visual array",4,IF(J35="characters",5,IF(J35="letters",6,IF(J35="free forms",7,IF(J35="odors",8,IF(J35="words",9,IF(J35="pictures",10,IF(J35="object pictures",11,IF(J35="faces",12,IF(J35="names",13,IF(J35="idioms",14,IF(J35="grades",15,IF(J35="syllable-digit pairs",16,IF(J35="trigram-word pairs",17,IF(J35="word-digit pairs",18,IF(J35="English-Swahili pairs",19,IF(J35="spatial position",20,IF(J35="word pairs",21,IF(J35="word triads",22,IF(J35="generated words",23,IF(J35="word definition pairs",24,IF(J35="math problems",25,IF(J35="famous faces",26,IF(J35="famous names",27,IF(J35="famous voices",28,IF(J35="television programs",29,IF(J35="race horses",30,IF(J35="new vocabulary",31,IF(J35="sentences",32,IF(J35="concepts",33,IF(J35="ad slides",34,IF(J35="scenes",35,IF(J35="famous scenes",36,IF(J35="poems",37,IF(J35="walk",38,IF(J35="faces and events",39,IF(J35="events and names",40,IF(J35="flashbulb",41,IF(J35="stories",42,IF(J35="course material",43,IF(J35="autobiographical",44,IF(J35="novels",45,IF(J35="public events",46,"99"))))))))))))))))))))))))))))))))))))))))))))))</f>
        <v>9</v>
      </c>
      <c r="L35" s="69">
        <f>IF(J35="syllables",1,IF(J35="trigrams",1,IF(J35="strings",1,IF(J35="visual array",1,IF(J35="characters",1,IF(J35="letters",1,IF(J35="free forms",1,IF(J35="odors",2,IF(J35="words",2,IF(J35="pictures",2,IF(J35="object pictures",2,IF(J35="faces",2,IF(J35="names",2,IF(J35="idioms","2",IF(J35="grades",2,IF(J35="syllable-digit pairs",3,IF(J35="trigram-word pairs",3,IF(J35="word-digit pairs",3,IF(J35="English-Swahili pairs",3,IF(J35="spatial position",3,IF(J35="word pairs",4,IF(J35="word triads",4,IF(J35="generated words",4,IF(J35="word definition pairs",4,IF(J35="math problems",4,IF(J35="famous faces",4,IF(J35="famous names",4,IF(J35="famous voices",4,IF(J35="television programs",4,IF(J35="race horses",4,IF(J35="new vocabulary",4,IF(J35="sentences",5,IF(J35="concepts",5,IF(J35="ad slides",5,IF(J35="scenes",5,IF(J35="famous scenes",5,IF(J35="poems",6,IF(J35="walk",6,IF(J35="faces and events",6,IF(J35="events and names",6,IF(J35="flashbulb",7,IF(J35="stories",7,IF(J35="course material",7,IF(J35="autobiographical",7,IF(J35="novels",7,IF(J35="public events",7,"99"))))))))))))))))))))))))))))))))))))))))))))))</f>
        <v>2</v>
      </c>
      <c r="M35" s="69">
        <v>0</v>
      </c>
      <c r="N35" s="69">
        <v>1</v>
      </c>
      <c r="O35" s="69">
        <v>0</v>
      </c>
      <c r="P35" s="69"/>
      <c r="Q35" s="69" t="s">
        <v>64</v>
      </c>
      <c r="R35" s="69">
        <f>IF(Q35="Free Recall",1,IF(Q35="Cued Recall",2,IF(Q35="Recognition",3,IF(Q35="Multiple Choice",4,IF(Q35="Savings",5,IF(Q35="Stem Completion",6,IF(Q35="Fragment Completion",7,IF(Q35="anagram solution",8,IF(Q35="Matching",9,IF(Q35="Problem Solving",10,"99"))))))))))</f>
        <v>6</v>
      </c>
      <c r="S35" s="69" t="s">
        <v>15</v>
      </c>
      <c r="T35" s="92" t="s">
        <v>581</v>
      </c>
      <c r="U35" s="69">
        <f>IF(T35="within",1,0)</f>
        <v>1</v>
      </c>
      <c r="V35" s="92">
        <v>22</v>
      </c>
      <c r="W35" s="69">
        <f>F35*V35</f>
        <v>308</v>
      </c>
      <c r="X35" s="69">
        <v>7</v>
      </c>
      <c r="Y35" s="87">
        <f>AV34</f>
        <v>180</v>
      </c>
      <c r="Z35" s="69" t="s">
        <v>59</v>
      </c>
      <c r="AA35" s="69">
        <v>5400</v>
      </c>
      <c r="AB35" s="69" t="str">
        <f>IF(AA35&lt;60,"1",IF(AA35&lt;=43200,"2",IF(AA35&lt;=777600,"3","4")))</f>
        <v>2</v>
      </c>
      <c r="AC35" s="72">
        <f>AVERAGE(AV34:DA34)</f>
        <v>2031.4285714285713</v>
      </c>
      <c r="AD35" s="69" t="str">
        <f>IF(AC35&lt;60,"1",IF(AC35&lt;=43200,"2",IF(AC35&lt;=777600,"3","4")))</f>
        <v>2</v>
      </c>
      <c r="AE35" s="87">
        <f>AA35-Y35</f>
        <v>5220</v>
      </c>
      <c r="AF35" s="88">
        <f>AV35</f>
        <v>0.48075350181842502</v>
      </c>
      <c r="AG35" s="72">
        <f>((AW35-AV35)+(AX35-AW35)+(AY35-AX35)+(AZ35-AY35)+(BA35-AZ35)+(BB35-BA35))/6</f>
        <v>-4.3808524392272341E-2</v>
      </c>
      <c r="AH35" s="4"/>
      <c r="AI35" s="72">
        <f>RSQ(AV35:BB35,AV34:BB34)</f>
        <v>0.45008678042235667</v>
      </c>
      <c r="AJ35" s="110">
        <f>SLOPE(AV35:BB35,AV34:BB34)</f>
        <v>-3.1837806373005864E-5</v>
      </c>
      <c r="AK35" s="72">
        <f>INTERCEPT(AV35:BB35,AV34:BB34)</f>
        <v>0.35363053777769754</v>
      </c>
      <c r="AL35" s="72">
        <f>INDEX(LINEST(LN(AV35:BB35),LN(AV34:BB34),TRUE,TRUE),3,1)</f>
        <v>0.81491721861112776</v>
      </c>
      <c r="AM35" s="72">
        <f>INDEX(LINEST(LN(AV35:BB35),LN(AV34:BB34)),1)</f>
        <v>-0.2149309009739736</v>
      </c>
      <c r="AN35" s="72">
        <f>EXP(INDEX(LINEST(LN(AV35:BB35),LN(AV34:BB34)),1,2))</f>
        <v>1.2736533776315786</v>
      </c>
      <c r="AO35" s="89">
        <f>INDEX(LINEST((AV35:BB35),LN(AV34:BB34),TRUE,TRUE),3,1)</f>
        <v>0.76711390217270925</v>
      </c>
      <c r="AP35" s="89">
        <f>INDEX(LINEST((AV35:BB35),LN(AV34:BB34)),1)</f>
        <v>-6.8510512457607545E-2</v>
      </c>
      <c r="AQ35" s="90">
        <f>INDEX(LINEST(LN(AV35:BB35),SQRT(AV34:BB34),TRUE,TRUE),3,1)</f>
        <v>0.66003724717273216</v>
      </c>
      <c r="AR35" s="117">
        <f>INDEX(LINEST(LN(AV35:BB35),SQRT((AV34:BB34))),1)</f>
        <v>-1.0466150948096541E-2</v>
      </c>
      <c r="AS35" s="91">
        <f>INDEX(LINEST(1/(AV35:BB35),1/(SQRT(AV34:BB34)),TRUE,TRUE),3,1)</f>
        <v>0.88654431195573535</v>
      </c>
      <c r="AT35" s="91">
        <f>INDEX(LINEST(1/(AV35:BB35),1/SQRT(AV34:BB34)),1)</f>
        <v>-41.726653912753932</v>
      </c>
      <c r="AU35" s="3"/>
      <c r="AV35" s="73">
        <v>0.48075350181842502</v>
      </c>
      <c r="AW35" s="73">
        <v>0.342018220258334</v>
      </c>
      <c r="AX35" s="73">
        <v>0.25044881918116801</v>
      </c>
      <c r="AY35" s="73">
        <v>0.26443551664360399</v>
      </c>
      <c r="AZ35" s="73">
        <v>0.25683259687549798</v>
      </c>
      <c r="BA35" s="73">
        <v>0.210289147577919</v>
      </c>
      <c r="BB35" s="73">
        <v>0.217902355464791</v>
      </c>
      <c r="BC35" s="73"/>
      <c r="BD35" s="7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1"/>
      <c r="CS35" s="1"/>
      <c r="CT35" s="1"/>
      <c r="CU35" s="1"/>
    </row>
    <row r="36" spans="1:99" s="13" customFormat="1" ht="12" customHeight="1" x14ac:dyDescent="0.2">
      <c r="A36" s="68">
        <v>43509</v>
      </c>
      <c r="B36" s="70"/>
      <c r="C36" s="70"/>
      <c r="D36" s="69"/>
      <c r="E36" s="87"/>
      <c r="F36" s="69"/>
      <c r="G36" s="69"/>
      <c r="H36" s="69"/>
      <c r="I36" s="69"/>
      <c r="J36" s="69"/>
      <c r="K36" s="107"/>
      <c r="L36" s="107"/>
      <c r="M36" s="69"/>
      <c r="N36" s="69"/>
      <c r="O36" s="69"/>
      <c r="P36" s="69"/>
      <c r="Q36" s="69"/>
      <c r="R36" s="69"/>
      <c r="S36" s="69"/>
      <c r="T36" s="69"/>
      <c r="U36" s="69"/>
      <c r="V36" s="69"/>
      <c r="W36" s="69"/>
      <c r="X36" s="69"/>
      <c r="Y36" s="87"/>
      <c r="Z36" s="69"/>
      <c r="AA36" s="69"/>
      <c r="AB36" s="69"/>
      <c r="AC36" s="69"/>
      <c r="AD36" s="69"/>
      <c r="AE36" s="69"/>
      <c r="AF36" s="88"/>
      <c r="AG36" s="72"/>
      <c r="AH36" s="4"/>
      <c r="AI36" s="72"/>
      <c r="AJ36" s="110"/>
      <c r="AK36" s="72"/>
      <c r="AL36" s="72"/>
      <c r="AM36" s="72"/>
      <c r="AN36" s="72"/>
      <c r="AO36" s="72"/>
      <c r="AP36" s="72"/>
      <c r="AQ36" s="72"/>
      <c r="AR36" s="110"/>
      <c r="AS36" s="72"/>
      <c r="AT36" s="72"/>
      <c r="AU36" s="5"/>
      <c r="AV36" s="71">
        <f>60*3</f>
        <v>180</v>
      </c>
      <c r="AW36" s="71">
        <f>60*9</f>
        <v>540</v>
      </c>
      <c r="AX36" s="71">
        <f>60*12</f>
        <v>720</v>
      </c>
      <c r="AY36" s="71">
        <f>60*15</f>
        <v>900</v>
      </c>
      <c r="AZ36" s="71">
        <f>60*42</f>
        <v>2520</v>
      </c>
      <c r="BA36" s="71">
        <f>60*66</f>
        <v>3960</v>
      </c>
      <c r="BB36" s="71">
        <f>60*90</f>
        <v>5400</v>
      </c>
      <c r="BC36" s="73"/>
      <c r="BD36" s="7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1"/>
      <c r="CS36" s="1"/>
      <c r="CT36" s="1"/>
      <c r="CU36" s="1"/>
    </row>
    <row r="37" spans="1:99" s="13" customFormat="1" ht="12" customHeight="1" x14ac:dyDescent="0.2">
      <c r="A37" s="68">
        <v>43509</v>
      </c>
      <c r="B37" s="70" t="s">
        <v>246</v>
      </c>
      <c r="C37" s="70" t="s">
        <v>45</v>
      </c>
      <c r="D37" s="69">
        <v>1997</v>
      </c>
      <c r="E37" s="87">
        <v>1</v>
      </c>
      <c r="F37" s="69">
        <v>12</v>
      </c>
      <c r="G37" s="69">
        <v>12</v>
      </c>
      <c r="H37" s="69" t="s">
        <v>32</v>
      </c>
      <c r="I37" s="69" t="s">
        <v>733</v>
      </c>
      <c r="J37" s="69" t="s">
        <v>16</v>
      </c>
      <c r="K37" s="69">
        <f>IF(J37="syllables",1,IF(J37="trigrams",2,IF(J37="strings",3,IF(J37="visual array",4,IF(J37="characters",5,IF(J37="letters",6,IF(J37="free forms",7,IF(J37="odors",8,IF(J37="words",9,IF(J37="pictures",10,IF(J37="object pictures",11,IF(J37="faces",12,IF(J37="names",13,IF(J37="idioms",14,IF(J37="grades",15,IF(J37="syllable-digit pairs",16,IF(J37="trigram-word pairs",17,IF(J37="word-digit pairs",18,IF(J37="English-Swahili pairs",19,IF(J37="spatial position",20,IF(J37="word pairs",21,IF(J37="word triads",22,IF(J37="generated words",23,IF(J37="word definition pairs",24,IF(J37="math problems",25,IF(J37="famous faces",26,IF(J37="famous names",27,IF(J37="famous voices",28,IF(J37="television programs",29,IF(J37="race horses",30,IF(J37="new vocabulary",31,IF(J37="sentences",32,IF(J37="concepts",33,IF(J37="ad slides",34,IF(J37="scenes",35,IF(J37="famous scenes",36,IF(J37="poems",37,IF(J37="walk",38,IF(J37="faces and events",39,IF(J37="events and names",40,IF(J37="flashbulb",41,IF(J37="stories",42,IF(J37="course material",43,IF(J37="autobiographical",44,IF(J37="novels",45,IF(J37="public events",46,"99"))))))))))))))))))))))))))))))))))))))))))))))</f>
        <v>9</v>
      </c>
      <c r="L37" s="69">
        <f>IF(J37="syllables",1,IF(J37="trigrams",1,IF(J37="strings",1,IF(J37="visual array",1,IF(J37="characters",1,IF(J37="letters",1,IF(J37="free forms",1,IF(J37="odors",2,IF(J37="words",2,IF(J37="pictures",2,IF(J37="object pictures",2,IF(J37="faces",2,IF(J37="names",2,IF(J37="idioms","2",IF(J37="grades",2,IF(J37="syllable-digit pairs",3,IF(J37="trigram-word pairs",3,IF(J37="word-digit pairs",3,IF(J37="English-Swahili pairs",3,IF(J37="spatial position",3,IF(J37="word pairs",4,IF(J37="word triads",4,IF(J37="generated words",4,IF(J37="word definition pairs",4,IF(J37="math problems",4,IF(J37="famous faces",4,IF(J37="famous names",4,IF(J37="famous voices",4,IF(J37="television programs",4,IF(J37="race horses",4,IF(J37="new vocabulary",4,IF(J37="sentences",5,IF(J37="concepts",5,IF(J37="ad slides",5,IF(J37="scenes",5,IF(J37="famous scenes",5,IF(J37="poems",6,IF(J37="walk",6,IF(J37="faces and events",6,IF(J37="events and names",6,IF(J37="flashbulb",7,IF(J37="stories",7,IF(J37="course material",7,IF(J37="autobiographical",7,IF(J37="novels",7,IF(J37="public events",7,"99"))))))))))))))))))))))))))))))))))))))))))))))</f>
        <v>2</v>
      </c>
      <c r="M37" s="69">
        <v>0</v>
      </c>
      <c r="N37" s="69">
        <v>1</v>
      </c>
      <c r="O37" s="69">
        <v>0</v>
      </c>
      <c r="P37" s="69"/>
      <c r="Q37" s="69" t="s">
        <v>65</v>
      </c>
      <c r="R37" s="69">
        <f>IF(Q37="Free Recall",1,IF(Q37="Cued Recall",2,IF(Q37="Recognition",3,IF(Q37="Multiple Choice",4,IF(Q37="Savings",5,IF(Q37="Stem Completion",6,IF(Q37="Fragment Completion",7,IF(Q37="anagram solution",8,IF(Q37="Matching",9,IF(Q37="Problem Solving",10,"99"))))))))))</f>
        <v>2</v>
      </c>
      <c r="S37" s="69" t="s">
        <v>49</v>
      </c>
      <c r="T37" s="92" t="s">
        <v>581</v>
      </c>
      <c r="U37" s="69">
        <f>IF(T37="within",1,0)</f>
        <v>1</v>
      </c>
      <c r="V37" s="92">
        <v>22</v>
      </c>
      <c r="W37" s="69">
        <f>F37*V37</f>
        <v>264</v>
      </c>
      <c r="X37" s="69">
        <v>7</v>
      </c>
      <c r="Y37" s="87">
        <f>AV36</f>
        <v>180</v>
      </c>
      <c r="Z37" s="69" t="s">
        <v>59</v>
      </c>
      <c r="AA37" s="69">
        <v>5400</v>
      </c>
      <c r="AB37" s="69" t="str">
        <f>IF(AA37&lt;60,"1",IF(AA37&lt;=43200,"2",IF(AA37&lt;=777600,"3","4")))</f>
        <v>2</v>
      </c>
      <c r="AC37" s="72">
        <f>AVERAGE(AV36:DA36)</f>
        <v>2031.4285714285713</v>
      </c>
      <c r="AD37" s="69" t="str">
        <f>IF(AC37&lt;60,"1",IF(AC37&lt;=43200,"2",IF(AC37&lt;=777600,"3","4")))</f>
        <v>2</v>
      </c>
      <c r="AE37" s="87">
        <f>AA37-Y37</f>
        <v>5220</v>
      </c>
      <c r="AF37" s="88">
        <f>AV37</f>
        <v>0.58908739242485797</v>
      </c>
      <c r="AG37" s="72">
        <f>((AW37-AV37)+(AX37-AW37)+(AY37-AX37)+(AZ37-AY37)+(BA37-AZ37)+(BB37-BA37))/6</f>
        <v>-6.0475276793261999E-2</v>
      </c>
      <c r="AH37" s="4"/>
      <c r="AI37" s="72">
        <f>RSQ(AV37:BB37,AV36:BB36)</f>
        <v>0.60172725415542472</v>
      </c>
      <c r="AJ37" s="110">
        <f>SLOPE(AV37:BB37,AV36:BB36)</f>
        <v>-4.845713545820829E-5</v>
      </c>
      <c r="AK37" s="72">
        <f>INTERCEPT(AV37:BB37,AV36:BB36)</f>
        <v>0.46278726123067188</v>
      </c>
      <c r="AL37" s="72">
        <f>INDEX(LINEST(LN(AV37:BB37),LN(AV36:BB36),TRUE,TRUE),3,1)</f>
        <v>0.87153079773888675</v>
      </c>
      <c r="AM37" s="72">
        <f>INDEX(LINEST(LN(AV37:BB37),LN(AV36:BB36)),1)</f>
        <v>-0.24951026457854411</v>
      </c>
      <c r="AN37" s="72">
        <f>EXP(INDEX(LINEST(LN(AV37:BB37),LN(AV36:BB36)),1,2))</f>
        <v>2.0359608522852364</v>
      </c>
      <c r="AO37" s="89">
        <f>INDEX(LINEST((AV37:BB37),LN(AV36:BB36),TRUE,TRUE),3,1)</f>
        <v>0.84497262275805241</v>
      </c>
      <c r="AP37" s="89">
        <f>INDEX(LINEST((AV37:BB37),LN(AV36:BB36)),1)</f>
        <v>-9.4648011875192103E-2</v>
      </c>
      <c r="AQ37" s="90">
        <f>INDEX(LINEST(LN(AV37:BB37),SQRT(AV36:BB36),TRUE,TRUE),3,1)</f>
        <v>0.7937882717027368</v>
      </c>
      <c r="AR37" s="117">
        <f>INDEX(LINEST(LN(AV37:BB37),SQRT((AV36:BB36))),1)</f>
        <v>-1.2884276791866427E-2</v>
      </c>
      <c r="AS37" s="91">
        <f>INDEX(LINEST(1/(AV37:BB37),1/(SQRT(AV36:BB36)),TRUE,TRUE),3,1)</f>
        <v>0.7940801068207004</v>
      </c>
      <c r="AT37" s="91">
        <f>INDEX(LINEST(1/(AV37:BB37),1/SQRT(AV36:BB36)),1)</f>
        <v>-38.563540637843438</v>
      </c>
      <c r="AU37" s="3"/>
      <c r="AV37" s="73">
        <v>0.58908739242485797</v>
      </c>
      <c r="AW37" s="73">
        <v>0.46979665533258902</v>
      </c>
      <c r="AX37" s="73">
        <v>0.35322712565393799</v>
      </c>
      <c r="AY37" s="73">
        <v>0.31165798177974102</v>
      </c>
      <c r="AZ37" s="73">
        <v>0.32905004655373699</v>
      </c>
      <c r="BA37" s="73">
        <v>0.27139542898883201</v>
      </c>
      <c r="BB37" s="73">
        <v>0.22623573166528599</v>
      </c>
      <c r="BC37" s="73"/>
      <c r="BD37" s="7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1"/>
      <c r="CS37" s="1"/>
      <c r="CT37" s="1"/>
      <c r="CU37" s="1"/>
    </row>
    <row r="38" spans="1:99" s="13" customFormat="1" ht="12" customHeight="1" x14ac:dyDescent="0.2">
      <c r="A38" s="68">
        <v>43509</v>
      </c>
      <c r="B38" s="70"/>
      <c r="C38" s="70"/>
      <c r="D38" s="69"/>
      <c r="E38" s="87"/>
      <c r="F38" s="69"/>
      <c r="G38" s="69"/>
      <c r="H38" s="69"/>
      <c r="I38" s="69"/>
      <c r="J38" s="69"/>
      <c r="K38" s="107"/>
      <c r="L38" s="107"/>
      <c r="M38" s="69"/>
      <c r="N38" s="69"/>
      <c r="O38" s="69"/>
      <c r="P38" s="69"/>
      <c r="Q38" s="69"/>
      <c r="R38" s="69"/>
      <c r="S38" s="69"/>
      <c r="T38" s="92"/>
      <c r="U38" s="69"/>
      <c r="V38" s="92"/>
      <c r="W38" s="69"/>
      <c r="X38" s="69"/>
      <c r="Y38" s="87"/>
      <c r="Z38" s="69"/>
      <c r="AA38" s="69"/>
      <c r="AB38" s="69"/>
      <c r="AC38" s="69"/>
      <c r="AD38" s="69"/>
      <c r="AE38" s="69"/>
      <c r="AF38" s="88"/>
      <c r="AG38" s="72"/>
      <c r="AH38" s="4"/>
      <c r="AI38" s="72"/>
      <c r="AJ38" s="110"/>
      <c r="AK38" s="72"/>
      <c r="AL38" s="72"/>
      <c r="AM38" s="72"/>
      <c r="AN38" s="72"/>
      <c r="AO38" s="72"/>
      <c r="AP38" s="72"/>
      <c r="AQ38" s="72"/>
      <c r="AR38" s="110"/>
      <c r="AS38" s="72"/>
      <c r="AT38" s="72"/>
      <c r="AU38" s="5"/>
      <c r="AV38" s="71">
        <f>60*3</f>
        <v>180</v>
      </c>
      <c r="AW38" s="71">
        <f>60*9</f>
        <v>540</v>
      </c>
      <c r="AX38" s="71">
        <f>60*12</f>
        <v>720</v>
      </c>
      <c r="AY38" s="71">
        <f>60*15</f>
        <v>900</v>
      </c>
      <c r="AZ38" s="71">
        <f>60*42</f>
        <v>2520</v>
      </c>
      <c r="BA38" s="71">
        <f>60*66</f>
        <v>3960</v>
      </c>
      <c r="BB38" s="71">
        <f>60*90</f>
        <v>5400</v>
      </c>
      <c r="BC38" s="73"/>
      <c r="BD38" s="7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1"/>
      <c r="CS38" s="1"/>
      <c r="CT38" s="1"/>
      <c r="CU38" s="1"/>
    </row>
    <row r="39" spans="1:99" s="13" customFormat="1" ht="12" customHeight="1" x14ac:dyDescent="0.2">
      <c r="A39" s="68">
        <v>43509</v>
      </c>
      <c r="B39" s="70" t="s">
        <v>246</v>
      </c>
      <c r="C39" s="70" t="s">
        <v>45</v>
      </c>
      <c r="D39" s="69">
        <v>1997</v>
      </c>
      <c r="E39" s="87">
        <v>1</v>
      </c>
      <c r="F39" s="69">
        <v>12</v>
      </c>
      <c r="G39" s="69">
        <v>12</v>
      </c>
      <c r="H39" s="69" t="s">
        <v>32</v>
      </c>
      <c r="I39" s="69" t="s">
        <v>734</v>
      </c>
      <c r="J39" s="69" t="s">
        <v>16</v>
      </c>
      <c r="K39" s="69">
        <f>IF(J39="syllables",1,IF(J39="trigrams",2,IF(J39="strings",3,IF(J39="visual array",4,IF(J39="characters",5,IF(J39="letters",6,IF(J39="free forms",7,IF(J39="odors",8,IF(J39="words",9,IF(J39="pictures",10,IF(J39="object pictures",11,IF(J39="faces",12,IF(J39="names",13,IF(J39="idioms",14,IF(J39="grades",15,IF(J39="syllable-digit pairs",16,IF(J39="trigram-word pairs",17,IF(J39="word-digit pairs",18,IF(J39="English-Swahili pairs",19,IF(J39="spatial position",20,IF(J39="word pairs",21,IF(J39="word triads",22,IF(J39="generated words",23,IF(J39="word definition pairs",24,IF(J39="math problems",25,IF(J39="famous faces",26,IF(J39="famous names",27,IF(J39="famous voices",28,IF(J39="television programs",29,IF(J39="race horses",30,IF(J39="new vocabulary",31,IF(J39="sentences",32,IF(J39="concepts",33,IF(J39="ad slides",34,IF(J39="scenes",35,IF(J39="famous scenes",36,IF(J39="poems",37,IF(J39="walk",38,IF(J39="faces and events",39,IF(J39="events and names",40,IF(J39="flashbulb",41,IF(J39="stories",42,IF(J39="course material",43,IF(J39="autobiographical",44,IF(J39="novels",45,IF(J39="public events",46,"99"))))))))))))))))))))))))))))))))))))))))))))))</f>
        <v>9</v>
      </c>
      <c r="L39" s="69">
        <f>IF(J39="syllables",1,IF(J39="trigrams",1,IF(J39="strings",1,IF(J39="visual array",1,IF(J39="characters",1,IF(J39="letters",1,IF(J39="free forms",1,IF(J39="odors",2,IF(J39="words",2,IF(J39="pictures",2,IF(J39="object pictures",2,IF(J39="faces",2,IF(J39="names",2,IF(J39="idioms","2",IF(J39="grades",2,IF(J39="syllable-digit pairs",3,IF(J39="trigram-word pairs",3,IF(J39="word-digit pairs",3,IF(J39="English-Swahili pairs",3,IF(J39="spatial position",3,IF(J39="word pairs",4,IF(J39="word triads",4,IF(J39="generated words",4,IF(J39="word definition pairs",4,IF(J39="math problems",4,IF(J39="famous faces",4,IF(J39="famous names",4,IF(J39="famous voices",4,IF(J39="television programs",4,IF(J39="race horses",4,IF(J39="new vocabulary",4,IF(J39="sentences",5,IF(J39="concepts",5,IF(J39="ad slides",5,IF(J39="scenes",5,IF(J39="famous scenes",5,IF(J39="poems",6,IF(J39="walk",6,IF(J39="faces and events",6,IF(J39="events and names",6,IF(J39="flashbulb",7,IF(J39="stories",7,IF(J39="course material",7,IF(J39="autobiographical",7,IF(J39="novels",7,IF(J39="public events",7,"99"))))))))))))))))))))))))))))))))))))))))))))))</f>
        <v>2</v>
      </c>
      <c r="M39" s="69">
        <v>0</v>
      </c>
      <c r="N39" s="69">
        <v>1</v>
      </c>
      <c r="O39" s="69">
        <v>0</v>
      </c>
      <c r="P39" s="69"/>
      <c r="Q39" s="69" t="s">
        <v>65</v>
      </c>
      <c r="R39" s="69">
        <f>IF(Q39="Free Recall",1,IF(Q39="Cued Recall",2,IF(Q39="Recognition",3,IF(Q39="Multiple Choice",4,IF(Q39="Savings",5,IF(Q39="Stem Completion",6,IF(Q39="Fragment Completion",7,IF(Q39="anagram solution",8,IF(Q39="Matching",9,IF(Q39="Problem Solving",10,"99"))))))))))</f>
        <v>2</v>
      </c>
      <c r="S39" s="69" t="s">
        <v>49</v>
      </c>
      <c r="T39" s="92" t="s">
        <v>581</v>
      </c>
      <c r="U39" s="69">
        <f>IF(T39="within",1,0)</f>
        <v>1</v>
      </c>
      <c r="V39" s="92">
        <v>22</v>
      </c>
      <c r="W39" s="69">
        <f>F39*V39</f>
        <v>264</v>
      </c>
      <c r="X39" s="69">
        <v>7</v>
      </c>
      <c r="Y39" s="87">
        <f>AV38</f>
        <v>180</v>
      </c>
      <c r="Z39" s="69" t="s">
        <v>59</v>
      </c>
      <c r="AA39" s="69">
        <v>5400</v>
      </c>
      <c r="AB39" s="69" t="str">
        <f>IF(AA39&lt;60,"1",IF(AA39&lt;=43200,"2",IF(AA39&lt;=777600,"3","4")))</f>
        <v>2</v>
      </c>
      <c r="AC39" s="72">
        <f>AVERAGE(AV38:DA38)</f>
        <v>2031.4285714285713</v>
      </c>
      <c r="AD39" s="69" t="str">
        <f>IF(AC39&lt;60,"1",IF(AC39&lt;=43200,"2",IF(AC39&lt;=777600,"3","4")))</f>
        <v>2</v>
      </c>
      <c r="AE39" s="87">
        <f>AA39-Y39</f>
        <v>5220</v>
      </c>
      <c r="AF39" s="88">
        <f>AV39</f>
        <v>0.49186467008575102</v>
      </c>
      <c r="AG39" s="72">
        <f>((AW39-AV39)+(AX39-AW39)+(AY39-AX39)+(AZ39-AY39)+(BA39-AZ39)+(BB39-BA39))/6</f>
        <v>-5.7929396070281504E-2</v>
      </c>
      <c r="AH39" s="4"/>
      <c r="AI39" s="72">
        <f>RSQ(AV39:BB39,AV38:BB38)</f>
        <v>0.61773969151675057</v>
      </c>
      <c r="AJ39" s="110">
        <f>SLOPE(AV39:BB39,AV38:BB38)</f>
        <v>-4.7433251317521194E-5</v>
      </c>
      <c r="AK39" s="72">
        <f>INTERCEPT(AV39:BB39,AV38:BB38)</f>
        <v>0.35296903171700578</v>
      </c>
      <c r="AL39" s="72">
        <f>INDEX(LINEST(LN(AV39:BB39),LN(AV38:BB38),TRUE,TRUE),3,1)</f>
        <v>0.98219887946656093</v>
      </c>
      <c r="AM39" s="72">
        <f>INDEX(LINEST(LN(AV39:BB39),LN(AV38:BB38)),1)</f>
        <v>-0.35645670893384496</v>
      </c>
      <c r="AN39" s="72">
        <f>EXP(INDEX(LINEST(LN(AV39:BB39),LN(AV38:BB38)),1,2))</f>
        <v>2.9431732047849382</v>
      </c>
      <c r="AO39" s="89">
        <f>INDEX(LINEST((AV39:BB39),LN(AV38:BB38),TRUE,TRUE),3,1)</f>
        <v>0.91331025249150832</v>
      </c>
      <c r="AP39" s="89">
        <f>INDEX(LINEST((AV39:BB39),LN(AV38:BB38)),1)</f>
        <v>-9.5065204837352521E-2</v>
      </c>
      <c r="AQ39" s="90">
        <f>INDEX(LINEST(LN(AV39:BB39),SQRT(AV38:BB38),TRUE,TRUE),3,1)</f>
        <v>0.89738254600462308</v>
      </c>
      <c r="AR39" s="117">
        <f>INDEX(LINEST(LN(AV39:BB39),SQRT((AV38:BB38))),1)</f>
        <v>-1.8435568937114493E-2</v>
      </c>
      <c r="AS39" s="91">
        <f>INDEX(LINEST(1/(AV39:BB39),1/(SQRT(AV38:BB38)),TRUE,TRUE),3,1)</f>
        <v>0.85494397785868448</v>
      </c>
      <c r="AT39" s="91">
        <f>INDEX(LINEST(1/(AV39:BB39),1/SQRT(AV38:BB38)),1)</f>
        <v>-80.322203293405252</v>
      </c>
      <c r="AU39" s="3"/>
      <c r="AV39" s="73">
        <v>0.49186467008575102</v>
      </c>
      <c r="AW39" s="73">
        <v>0.30868471545635501</v>
      </c>
      <c r="AX39" s="73">
        <v>0.26989336364899003</v>
      </c>
      <c r="AY39" s="73">
        <v>0.24221318010895099</v>
      </c>
      <c r="AZ39" s="73">
        <v>0.192943379338371</v>
      </c>
      <c r="BA39" s="73">
        <v>0.14639478598140901</v>
      </c>
      <c r="BB39" s="73">
        <v>0.14428829366406201</v>
      </c>
      <c r="BC39" s="73"/>
      <c r="BD39" s="7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1"/>
      <c r="CS39" s="1"/>
      <c r="CT39" s="1"/>
      <c r="CU39" s="1"/>
    </row>
    <row r="40" spans="1:99" s="13" customFormat="1" ht="12" customHeight="1" x14ac:dyDescent="0.2">
      <c r="A40" s="68">
        <v>43509</v>
      </c>
      <c r="B40" s="70"/>
      <c r="C40" s="70"/>
      <c r="D40" s="69"/>
      <c r="E40" s="87"/>
      <c r="F40" s="69"/>
      <c r="G40" s="69"/>
      <c r="H40" s="69"/>
      <c r="I40" s="67"/>
      <c r="J40" s="69"/>
      <c r="K40" s="107"/>
      <c r="L40" s="107"/>
      <c r="M40" s="69"/>
      <c r="N40" s="69"/>
      <c r="O40" s="69"/>
      <c r="P40" s="69"/>
      <c r="Q40" s="69"/>
      <c r="R40" s="69"/>
      <c r="S40" s="69"/>
      <c r="T40" s="69"/>
      <c r="U40" s="69"/>
      <c r="V40" s="69"/>
      <c r="W40" s="69"/>
      <c r="X40" s="69"/>
      <c r="Y40" s="87"/>
      <c r="Z40" s="69"/>
      <c r="AA40" s="69"/>
      <c r="AB40" s="69"/>
      <c r="AC40" s="69"/>
      <c r="AD40" s="69"/>
      <c r="AE40" s="69"/>
      <c r="AF40" s="88"/>
      <c r="AG40" s="72"/>
      <c r="AH40" s="4"/>
      <c r="AI40" s="72"/>
      <c r="AJ40" s="110"/>
      <c r="AK40" s="72"/>
      <c r="AL40" s="72"/>
      <c r="AM40" s="72"/>
      <c r="AN40" s="72"/>
      <c r="AO40" s="72"/>
      <c r="AP40" s="72"/>
      <c r="AQ40" s="72"/>
      <c r="AR40" s="110"/>
      <c r="AS40" s="72"/>
      <c r="AT40" s="72"/>
      <c r="AU40" s="6"/>
      <c r="AV40" s="71">
        <f>60*1.5</f>
        <v>90</v>
      </c>
      <c r="AW40" s="71">
        <f>60*4.5</f>
        <v>270</v>
      </c>
      <c r="AX40" s="71">
        <f>60*9.54858818246651</f>
        <v>572.91529094799057</v>
      </c>
      <c r="AY40" s="71">
        <f>60*15</f>
        <v>900</v>
      </c>
      <c r="AZ40" s="71">
        <f>60*22</f>
        <v>1320</v>
      </c>
      <c r="BA40" s="71">
        <f>60*28</f>
        <v>1680</v>
      </c>
      <c r="BB40" s="71">
        <f>60*35</f>
        <v>2100</v>
      </c>
      <c r="BC40" s="71">
        <f>60*46</f>
        <v>2760</v>
      </c>
      <c r="BD40" s="71">
        <f>60*62.8</f>
        <v>3768</v>
      </c>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1"/>
      <c r="CS40" s="1"/>
      <c r="CT40" s="1"/>
      <c r="CU40" s="1"/>
    </row>
    <row r="41" spans="1:99" s="13" customFormat="1" ht="12" customHeight="1" x14ac:dyDescent="0.2">
      <c r="A41" s="68">
        <v>43509</v>
      </c>
      <c r="B41" s="70" t="s">
        <v>246</v>
      </c>
      <c r="C41" s="70" t="s">
        <v>45</v>
      </c>
      <c r="D41" s="69">
        <v>1997</v>
      </c>
      <c r="E41" s="87">
        <v>3</v>
      </c>
      <c r="F41" s="69">
        <v>12</v>
      </c>
      <c r="G41" s="69">
        <v>12</v>
      </c>
      <c r="H41" s="69" t="s">
        <v>43</v>
      </c>
      <c r="I41" s="69" t="s">
        <v>733</v>
      </c>
      <c r="J41" s="69" t="s">
        <v>16</v>
      </c>
      <c r="K41" s="69">
        <f>IF(J41="syllables",1,IF(J41="trigrams",2,IF(J41="strings",3,IF(J41="visual array",4,IF(J41="characters",5,IF(J41="letters",6,IF(J41="free forms",7,IF(J41="odors",8,IF(J41="words",9,IF(J41="pictures",10,IF(J41="object pictures",11,IF(J41="faces",12,IF(J41="names",13,IF(J41="idioms",14,IF(J41="grades",15,IF(J41="syllable-digit pairs",16,IF(J41="trigram-word pairs",17,IF(J41="word-digit pairs",18,IF(J41="English-Swahili pairs",19,IF(J41="spatial position",20,IF(J41="word pairs",21,IF(J41="word triads",22,IF(J41="generated words",23,IF(J41="word definition pairs",24,IF(J41="math problems",25,IF(J41="famous faces",26,IF(J41="famous names",27,IF(J41="famous voices",28,IF(J41="television programs",29,IF(J41="race horses",30,IF(J41="new vocabulary",31,IF(J41="sentences",32,IF(J41="concepts",33,IF(J41="ad slides",34,IF(J41="scenes",35,IF(J41="famous scenes",36,IF(J41="poems",37,IF(J41="walk",38,IF(J41="faces and events",39,IF(J41="events and names",40,IF(J41="flashbulb",41,IF(J41="stories",42,IF(J41="course material",43,IF(J41="autobiographical",44,IF(J41="novels",45,IF(J41="public events",46,"99"))))))))))))))))))))))))))))))))))))))))))))))</f>
        <v>9</v>
      </c>
      <c r="L41" s="69">
        <f>IF(J41="syllables",1,IF(J41="trigrams",1,IF(J41="strings",1,IF(J41="visual array",1,IF(J41="characters",1,IF(J41="letters",1,IF(J41="free forms",1,IF(J41="odors",2,IF(J41="words",2,IF(J41="pictures",2,IF(J41="object pictures",2,IF(J41="faces",2,IF(J41="names",2,IF(J41="idioms","2",IF(J41="grades",2,IF(J41="syllable-digit pairs",3,IF(J41="trigram-word pairs",3,IF(J41="word-digit pairs",3,IF(J41="English-Swahili pairs",3,IF(J41="spatial position",3,IF(J41="word pairs",4,IF(J41="word triads",4,IF(J41="generated words",4,IF(J41="word definition pairs",4,IF(J41="math problems",4,IF(J41="famous faces",4,IF(J41="famous names",4,IF(J41="famous voices",4,IF(J41="television programs",4,IF(J41="race horses",4,IF(J41="new vocabulary",4,IF(J41="sentences",5,IF(J41="concepts",5,IF(J41="ad slides",5,IF(J41="scenes",5,IF(J41="famous scenes",5,IF(J41="poems",6,IF(J41="walk",6,IF(J41="faces and events",6,IF(J41="events and names",6,IF(J41="flashbulb",7,IF(J41="stories",7,IF(J41="course material",7,IF(J41="autobiographical",7,IF(J41="novels",7,IF(J41="public events",7,"99"))))))))))))))))))))))))))))))))))))))))))))))</f>
        <v>2</v>
      </c>
      <c r="M41" s="69">
        <v>0</v>
      </c>
      <c r="N41" s="69">
        <v>1</v>
      </c>
      <c r="O41" s="69">
        <v>0</v>
      </c>
      <c r="P41" s="69"/>
      <c r="Q41" s="69" t="s">
        <v>64</v>
      </c>
      <c r="R41" s="69">
        <f>IF(Q41="Free Recall",1,IF(Q41="Cued Recall",2,IF(Q41="Recognition",3,IF(Q41="Multiple Choice",4,IF(Q41="Savings",5,IF(Q41="Stem Completion",6,IF(Q41="Fragment Completion",7,IF(Q41="anagram solution",8,IF(Q41="Matching",9,IF(Q41="Problem Solving",10,"99"))))))))))</f>
        <v>6</v>
      </c>
      <c r="S41" s="69" t="s">
        <v>15</v>
      </c>
      <c r="T41" s="92" t="s">
        <v>581</v>
      </c>
      <c r="U41" s="69">
        <f>IF(T41="within",1,0)</f>
        <v>1</v>
      </c>
      <c r="V41" s="92">
        <v>22</v>
      </c>
      <c r="W41" s="69">
        <f>F41*V41</f>
        <v>264</v>
      </c>
      <c r="X41" s="69">
        <v>9</v>
      </c>
      <c r="Y41" s="87">
        <f>AV40</f>
        <v>90</v>
      </c>
      <c r="Z41" s="69" t="s">
        <v>66</v>
      </c>
      <c r="AA41" s="69">
        <v>3768</v>
      </c>
      <c r="AB41" s="69" t="str">
        <f>IF(AA41&lt;60,"1",IF(AA41&lt;=43200,"2",IF(AA41&lt;=777600,"3","4")))</f>
        <v>2</v>
      </c>
      <c r="AC41" s="72">
        <f>AVERAGE(AV40:DA40)</f>
        <v>1495.6572545497768</v>
      </c>
      <c r="AD41" s="69" t="str">
        <f>IF(AC41&lt;60,"1",IF(AC41&lt;=43200,"2",IF(AC41&lt;=777600,"3","4")))</f>
        <v>2</v>
      </c>
      <c r="AE41" s="87">
        <f>AA41-Y41</f>
        <v>3678</v>
      </c>
      <c r="AF41" s="88">
        <f>AV41</f>
        <v>0.54761615467920399</v>
      </c>
      <c r="AG41" s="72">
        <f>((AW41-AV41)+(AX41-AW41)+(AY41-AX41)+(AZ41-AY41)+(BA41-AZ41)+(BB41-BA41)+(BC41-BB41)+(BD41-BC41))/8</f>
        <v>-2.9126165508861872E-2</v>
      </c>
      <c r="AH41" s="4"/>
      <c r="AI41" s="72">
        <f>RSQ(AV41:BD41,AV40:BD40)</f>
        <v>0.17729310649075267</v>
      </c>
      <c r="AJ41" s="110">
        <f>SLOPE(AV41:BD41,AV40:BD40)</f>
        <v>-3.135241228324958E-5</v>
      </c>
      <c r="AK41" s="72">
        <f>INTERCEPT(AV41:BD41,AV40:BD40)</f>
        <v>0.37350113658355388</v>
      </c>
      <c r="AL41" s="72">
        <f>INDEX(LINEST(LN(AV41:BD41),LN(AV40:BD40),TRUE,TRUE),3,1)</f>
        <v>0.55129204890876904</v>
      </c>
      <c r="AM41" s="72">
        <f>INDEX(LINEST(LN(AV41:BD41),LN(AV40:BD40)),1)</f>
        <v>-0.14575647814423051</v>
      </c>
      <c r="AN41" s="72">
        <f>EXP(INDEX(LINEST(LN(AV41:BD41),LN(AV40:BD40)),1,2))</f>
        <v>0.86271630070125283</v>
      </c>
      <c r="AO41" s="89">
        <f>INDEX(LINEST((AV41:BD41),LN(AV40:BD40),TRUE,TRUE),3,1)</f>
        <v>0.59570726015847508</v>
      </c>
      <c r="AP41" s="89">
        <f>INDEX(LINEST((AV41:BD41),LN(AV40:BD40)),1)</f>
        <v>-5.8420311887098231E-2</v>
      </c>
      <c r="AQ41" s="90">
        <f>INDEX(LINEST(LN(AV41:BD41),SQRT(AV40:BD40),TRUE,TRUE),3,1)</f>
        <v>0.30661307511792724</v>
      </c>
      <c r="AR41" s="117">
        <f>INDEX(LINEST(LN(AV41:BD41),SQRT((AV40:BD40))),1)</f>
        <v>-7.6821314736269554E-3</v>
      </c>
      <c r="AS41" s="91">
        <f>INDEX(LINEST(1/(AV41:BD41),1/(SQRT(AV40:BD40)),TRUE,TRUE),3,1)</f>
        <v>0.68607117429832454</v>
      </c>
      <c r="AT41" s="91">
        <f>INDEX(LINEST(1/(AV41:BD41),1/SQRT(AV40:BD40)),1)</f>
        <v>-18.740928443447309</v>
      </c>
      <c r="AU41" s="3"/>
      <c r="AV41" s="73">
        <v>0.54761615467920399</v>
      </c>
      <c r="AW41" s="73">
        <v>0.38245067223117302</v>
      </c>
      <c r="AX41" s="73">
        <v>0.27967986476135098</v>
      </c>
      <c r="AY41" s="73">
        <v>0.25553765286985902</v>
      </c>
      <c r="AZ41" s="73">
        <v>0.26398478565202399</v>
      </c>
      <c r="BA41" s="73">
        <v>0.30898333289310298</v>
      </c>
      <c r="BB41" s="73">
        <v>0.28898280461713199</v>
      </c>
      <c r="BC41" s="73">
        <v>0.29763596502813</v>
      </c>
      <c r="BD41" s="73">
        <v>0.31460683060830902</v>
      </c>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1"/>
      <c r="CS41" s="1"/>
      <c r="CT41" s="1"/>
      <c r="CU41" s="1"/>
    </row>
    <row r="42" spans="1:99" s="13" customFormat="1" ht="12" customHeight="1" x14ac:dyDescent="0.2">
      <c r="A42" s="68">
        <v>43509</v>
      </c>
      <c r="B42" s="70"/>
      <c r="C42" s="70"/>
      <c r="D42" s="69"/>
      <c r="E42" s="87"/>
      <c r="F42" s="69"/>
      <c r="G42" s="69"/>
      <c r="H42" s="69"/>
      <c r="I42" s="69"/>
      <c r="J42" s="69"/>
      <c r="K42" s="107"/>
      <c r="L42" s="107"/>
      <c r="M42" s="69"/>
      <c r="N42" s="69"/>
      <c r="O42" s="69"/>
      <c r="P42" s="69"/>
      <c r="Q42" s="69"/>
      <c r="R42" s="69"/>
      <c r="S42" s="69"/>
      <c r="T42" s="92"/>
      <c r="U42" s="69"/>
      <c r="V42" s="92"/>
      <c r="W42" s="69"/>
      <c r="X42" s="69"/>
      <c r="Y42" s="87"/>
      <c r="Z42" s="69"/>
      <c r="AA42" s="69"/>
      <c r="AB42" s="69"/>
      <c r="AC42" s="69"/>
      <c r="AD42" s="69"/>
      <c r="AE42" s="69"/>
      <c r="AF42" s="88"/>
      <c r="AG42" s="72"/>
      <c r="AH42" s="4"/>
      <c r="AI42" s="72"/>
      <c r="AJ42" s="110"/>
      <c r="AK42" s="72"/>
      <c r="AL42" s="72"/>
      <c r="AM42" s="72"/>
      <c r="AN42" s="72"/>
      <c r="AO42" s="72"/>
      <c r="AP42" s="72"/>
      <c r="AQ42" s="89"/>
      <c r="AR42" s="118"/>
      <c r="AS42" s="89"/>
      <c r="AT42" s="89"/>
      <c r="AU42" s="5"/>
      <c r="AV42" s="71">
        <f>60*1.5</f>
        <v>90</v>
      </c>
      <c r="AW42" s="71">
        <f>60*4.5</f>
        <v>270</v>
      </c>
      <c r="AX42" s="71">
        <f>60*9.54858818246651</f>
        <v>572.91529094799057</v>
      </c>
      <c r="AY42" s="71">
        <f>60*15</f>
        <v>900</v>
      </c>
      <c r="AZ42" s="71">
        <f>60*22</f>
        <v>1320</v>
      </c>
      <c r="BA42" s="71">
        <f>60*28</f>
        <v>1680</v>
      </c>
      <c r="BB42" s="71">
        <f>60*35</f>
        <v>2100</v>
      </c>
      <c r="BC42" s="71">
        <f>60*46</f>
        <v>2760</v>
      </c>
      <c r="BD42" s="71">
        <f>60*62.8</f>
        <v>3768</v>
      </c>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1"/>
      <c r="CS42" s="1"/>
      <c r="CT42" s="1"/>
      <c r="CU42" s="1"/>
    </row>
    <row r="43" spans="1:99" s="13" customFormat="1" ht="12" customHeight="1" x14ac:dyDescent="0.2">
      <c r="A43" s="68">
        <v>43509</v>
      </c>
      <c r="B43" s="70" t="s">
        <v>246</v>
      </c>
      <c r="C43" s="70" t="s">
        <v>45</v>
      </c>
      <c r="D43" s="69">
        <v>1997</v>
      </c>
      <c r="E43" s="87">
        <v>3</v>
      </c>
      <c r="F43" s="69">
        <v>12</v>
      </c>
      <c r="G43" s="69">
        <v>12</v>
      </c>
      <c r="H43" s="69" t="s">
        <v>43</v>
      </c>
      <c r="I43" s="69" t="s">
        <v>734</v>
      </c>
      <c r="J43" s="69" t="s">
        <v>16</v>
      </c>
      <c r="K43" s="69">
        <f>IF(J43="syllables",1,IF(J43="trigrams",2,IF(J43="strings",3,IF(J43="visual array",4,IF(J43="characters",5,IF(J43="letters",6,IF(J43="free forms",7,IF(J43="odors",8,IF(J43="words",9,IF(J43="pictures",10,IF(J43="object pictures",11,IF(J43="faces",12,IF(J43="names",13,IF(J43="idioms",14,IF(J43="grades",15,IF(J43="syllable-digit pairs",16,IF(J43="trigram-word pairs",17,IF(J43="word-digit pairs",18,IF(J43="English-Swahili pairs",19,IF(J43="spatial position",20,IF(J43="word pairs",21,IF(J43="word triads",22,IF(J43="generated words",23,IF(J43="word definition pairs",24,IF(J43="math problems",25,IF(J43="famous faces",26,IF(J43="famous names",27,IF(J43="famous voices",28,IF(J43="television programs",29,IF(J43="race horses",30,IF(J43="new vocabulary",31,IF(J43="sentences",32,IF(J43="concepts",33,IF(J43="ad slides",34,IF(J43="scenes",35,IF(J43="famous scenes",36,IF(J43="poems",37,IF(J43="walk",38,IF(J43="faces and events",39,IF(J43="events and names",40,IF(J43="flashbulb",41,IF(J43="stories",42,IF(J43="course material",43,IF(J43="autobiographical",44,IF(J43="novels",45,IF(J43="public events",46,"99"))))))))))))))))))))))))))))))))))))))))))))))</f>
        <v>9</v>
      </c>
      <c r="L43" s="69">
        <f>IF(J43="syllables",1,IF(J43="trigrams",1,IF(J43="strings",1,IF(J43="visual array",1,IF(J43="characters",1,IF(J43="letters",1,IF(J43="free forms",1,IF(J43="odors",2,IF(J43="words",2,IF(J43="pictures",2,IF(J43="object pictures",2,IF(J43="faces",2,IF(J43="names",2,IF(J43="idioms","2",IF(J43="grades",2,IF(J43="syllable-digit pairs",3,IF(J43="trigram-word pairs",3,IF(J43="word-digit pairs",3,IF(J43="English-Swahili pairs",3,IF(J43="spatial position",3,IF(J43="word pairs",4,IF(J43="word triads",4,IF(J43="generated words",4,IF(J43="word definition pairs",4,IF(J43="math problems",4,IF(J43="famous faces",4,IF(J43="famous names",4,IF(J43="famous voices",4,IF(J43="television programs",4,IF(J43="race horses",4,IF(J43="new vocabulary",4,IF(J43="sentences",5,IF(J43="concepts",5,IF(J43="ad slides",5,IF(J43="scenes",5,IF(J43="famous scenes",5,IF(J43="poems",6,IF(J43="walk",6,IF(J43="faces and events",6,IF(J43="events and names",6,IF(J43="flashbulb",7,IF(J43="stories",7,IF(J43="course material",7,IF(J43="autobiographical",7,IF(J43="novels",7,IF(J43="public events",7,"99"))))))))))))))))))))))))))))))))))))))))))))))</f>
        <v>2</v>
      </c>
      <c r="M43" s="69">
        <v>0</v>
      </c>
      <c r="N43" s="69">
        <v>1</v>
      </c>
      <c r="O43" s="69">
        <v>0</v>
      </c>
      <c r="P43" s="69"/>
      <c r="Q43" s="69" t="s">
        <v>64</v>
      </c>
      <c r="R43" s="69">
        <f>IF(Q43="Free Recall",1,IF(Q43="Cued Recall",2,IF(Q43="Recognition",3,IF(Q43="Multiple Choice",4,IF(Q43="Savings",5,IF(Q43="Stem Completion",6,IF(Q43="Fragment Completion",7,IF(Q43="anagram solution",8,IF(Q43="Matching",9,IF(Q43="Problem Solving",10,"99"))))))))))</f>
        <v>6</v>
      </c>
      <c r="S43" s="69" t="s">
        <v>15</v>
      </c>
      <c r="T43" s="92" t="s">
        <v>581</v>
      </c>
      <c r="U43" s="69">
        <f>IF(T43="within",1,0)</f>
        <v>1</v>
      </c>
      <c r="V43" s="92">
        <v>22</v>
      </c>
      <c r="W43" s="69">
        <f>F43*V43</f>
        <v>264</v>
      </c>
      <c r="X43" s="69">
        <v>9</v>
      </c>
      <c r="Y43" s="87">
        <f>AV42</f>
        <v>90</v>
      </c>
      <c r="Z43" s="69" t="s">
        <v>66</v>
      </c>
      <c r="AA43" s="69">
        <v>3768</v>
      </c>
      <c r="AB43" s="69" t="str">
        <f>IF(AA43&lt;60,"1",IF(AA43&lt;=43200,"2",IF(AA43&lt;=777600,"3","4")))</f>
        <v>2</v>
      </c>
      <c r="AC43" s="72">
        <f>AVERAGE(AV42:DA42)</f>
        <v>1495.6572545497768</v>
      </c>
      <c r="AD43" s="69" t="str">
        <f>IF(AC43&lt;60,"1",IF(AC43&lt;=43200,"2",IF(AC43&lt;=777600,"3","4")))</f>
        <v>2</v>
      </c>
      <c r="AE43" s="87">
        <f>AA43-Y43</f>
        <v>3678</v>
      </c>
      <c r="AF43" s="88">
        <f>AV43</f>
        <v>0.479870044111043</v>
      </c>
      <c r="AG43" s="72">
        <f>((AW43-AV43)+(AX43-AW43)+(AY43-AX43)+(AZ43-AY43)+(BA43-AZ43)+(BB43-BA43)+(BC43-BB43)+(BD43-BC43))/8</f>
        <v>-2.7433041020629122E-2</v>
      </c>
      <c r="AH43" s="4"/>
      <c r="AI43" s="72">
        <f>RSQ(AV43:BD43,AV42:BD42)</f>
        <v>0.14176199335336603</v>
      </c>
      <c r="AJ43" s="110">
        <f>SLOPE(AV43:BD43,AV42:BD42)</f>
        <v>-2.6654573117146435E-5</v>
      </c>
      <c r="AK43" s="72">
        <f>INTERCEPT(AV43:BD43,AV42:BD42)</f>
        <v>0.30519770154194797</v>
      </c>
      <c r="AL43" s="72">
        <f>INDEX(LINEST(LN(AV43:BD43),LN(AV42:BD42),TRUE,TRUE),3,1)</f>
        <v>0.4429026527062187</v>
      </c>
      <c r="AM43" s="72">
        <f>INDEX(LINEST(LN(AV43:BD43),LN(AV42:BD42)),1)</f>
        <v>-0.14951745200006822</v>
      </c>
      <c r="AN43" s="72">
        <f>EXP(INDEX(LINEST(LN(AV43:BD43),LN(AV42:BD42)),1,2))</f>
        <v>0.7127441409056231</v>
      </c>
      <c r="AO43" s="89">
        <f>INDEX(LINEST((AV43:BD43),LN(AV42:BD42),TRUE,TRUE),3,1)</f>
        <v>0.51447441653504222</v>
      </c>
      <c r="AP43" s="89">
        <f>INDEX(LINEST((AV43:BD43),LN(AV42:BD42)),1)</f>
        <v>-5.1617397680963933E-2</v>
      </c>
      <c r="AQ43" s="90">
        <f>INDEX(LINEST(LN(AV43:BD43),SQRT(AV42:BD42),TRUE,TRUE),3,1)</f>
        <v>0.22784457785476189</v>
      </c>
      <c r="AR43" s="117">
        <f>INDEX(LINEST(LN(AV43:BD43),SQRT((AV42:BD42))),1)</f>
        <v>-7.5789055367910746E-3</v>
      </c>
      <c r="AS43" s="91">
        <f>INDEX(LINEST(1/(AV43:BD43),1/(SQRT(AV42:BD42)),TRUE,TRUE),3,1)</f>
        <v>0.54320441589976998</v>
      </c>
      <c r="AT43" s="91">
        <f>INDEX(LINEST(1/(AV43:BD43),1/SQRT(AV42:BD42)),1)</f>
        <v>-23.641878822542076</v>
      </c>
      <c r="AU43" s="3"/>
      <c r="AV43" s="73">
        <v>0.479870044111043</v>
      </c>
      <c r="AW43" s="73">
        <v>0.295728888771494</v>
      </c>
      <c r="AX43" s="73">
        <v>0.19024538418869999</v>
      </c>
      <c r="AY43" s="73">
        <v>0.20946670540690401</v>
      </c>
      <c r="AZ43" s="73">
        <v>0.236884228320874</v>
      </c>
      <c r="BA43" s="73">
        <v>0.261559998943448</v>
      </c>
      <c r="BB43" s="73">
        <v>0.229358937108745</v>
      </c>
      <c r="BC43" s="73">
        <v>0.224464460234026</v>
      </c>
      <c r="BD43" s="73">
        <v>0.26040571594600997</v>
      </c>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1"/>
      <c r="CS43" s="1"/>
      <c r="CT43" s="1"/>
      <c r="CU43" s="1"/>
    </row>
    <row r="44" spans="1:99" s="13" customFormat="1" ht="12" customHeight="1" x14ac:dyDescent="0.2">
      <c r="A44" s="68">
        <v>43509</v>
      </c>
      <c r="B44" s="70"/>
      <c r="C44" s="70"/>
      <c r="D44" s="69"/>
      <c r="E44" s="87"/>
      <c r="F44" s="69"/>
      <c r="G44" s="69"/>
      <c r="H44" s="69"/>
      <c r="I44" s="69"/>
      <c r="J44" s="69"/>
      <c r="K44" s="107"/>
      <c r="L44" s="107"/>
      <c r="M44" s="69"/>
      <c r="N44" s="69"/>
      <c r="O44" s="69"/>
      <c r="P44" s="69"/>
      <c r="Q44" s="69"/>
      <c r="R44" s="69"/>
      <c r="S44" s="69"/>
      <c r="T44" s="69"/>
      <c r="U44" s="69"/>
      <c r="V44" s="69"/>
      <c r="W44" s="69"/>
      <c r="X44" s="69"/>
      <c r="Y44" s="87"/>
      <c r="Z44" s="69"/>
      <c r="AA44" s="69"/>
      <c r="AB44" s="69"/>
      <c r="AC44" s="69"/>
      <c r="AD44" s="69"/>
      <c r="AE44" s="69"/>
      <c r="AF44" s="88"/>
      <c r="AG44" s="72"/>
      <c r="AH44" s="4"/>
      <c r="AI44" s="72"/>
      <c r="AJ44" s="110"/>
      <c r="AK44" s="72"/>
      <c r="AL44" s="72"/>
      <c r="AM44" s="72"/>
      <c r="AN44" s="72"/>
      <c r="AO44" s="72"/>
      <c r="AP44" s="72"/>
      <c r="AQ44" s="89"/>
      <c r="AR44" s="118"/>
      <c r="AS44" s="89"/>
      <c r="AT44" s="89"/>
      <c r="AU44" s="5"/>
      <c r="AV44" s="71">
        <f>60*1.5</f>
        <v>90</v>
      </c>
      <c r="AW44" s="71">
        <f>60*4.5</f>
        <v>270</v>
      </c>
      <c r="AX44" s="71">
        <f>60*9.54858818246651</f>
        <v>572.91529094799057</v>
      </c>
      <c r="AY44" s="71">
        <f>60*15</f>
        <v>900</v>
      </c>
      <c r="AZ44" s="71">
        <f>60*22</f>
        <v>1320</v>
      </c>
      <c r="BA44" s="71">
        <f>60*28</f>
        <v>1680</v>
      </c>
      <c r="BB44" s="71">
        <f>60*35</f>
        <v>2100</v>
      </c>
      <c r="BC44" s="71">
        <f>60*46</f>
        <v>2760</v>
      </c>
      <c r="BD44" s="71">
        <f>60*62.8</f>
        <v>3768</v>
      </c>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1"/>
      <c r="CS44" s="1"/>
      <c r="CT44" s="1"/>
      <c r="CU44" s="1"/>
    </row>
    <row r="45" spans="1:99" s="13" customFormat="1" ht="12" customHeight="1" x14ac:dyDescent="0.2">
      <c r="A45" s="68">
        <v>43509</v>
      </c>
      <c r="B45" s="70" t="s">
        <v>246</v>
      </c>
      <c r="C45" s="70" t="s">
        <v>45</v>
      </c>
      <c r="D45" s="69">
        <v>1997</v>
      </c>
      <c r="E45" s="87">
        <v>3</v>
      </c>
      <c r="F45" s="69">
        <v>18</v>
      </c>
      <c r="G45" s="69">
        <v>18</v>
      </c>
      <c r="H45" s="69" t="s">
        <v>43</v>
      </c>
      <c r="I45" s="69" t="s">
        <v>733</v>
      </c>
      <c r="J45" s="69" t="s">
        <v>16</v>
      </c>
      <c r="K45" s="69">
        <f>IF(J45="syllables",1,IF(J45="trigrams",2,IF(J45="strings",3,IF(J45="visual array",4,IF(J45="characters",5,IF(J45="letters",6,IF(J45="free forms",7,IF(J45="odors",8,IF(J45="words",9,IF(J45="pictures",10,IF(J45="object pictures",11,IF(J45="faces",12,IF(J45="names",13,IF(J45="idioms",14,IF(J45="grades",15,IF(J45="syllable-digit pairs",16,IF(J45="trigram-word pairs",17,IF(J45="word-digit pairs",18,IF(J45="English-Swahili pairs",19,IF(J45="spatial position",20,IF(J45="word pairs",21,IF(J45="word triads",22,IF(J45="generated words",23,IF(J45="word definition pairs",24,IF(J45="math problems",25,IF(J45="famous faces",26,IF(J45="famous names",27,IF(J45="famous voices",28,IF(J45="television programs",29,IF(J45="race horses",30,IF(J45="new vocabulary",31,IF(J45="sentences",32,IF(J45="concepts",33,IF(J45="ad slides",34,IF(J45="scenes",35,IF(J45="famous scenes",36,IF(J45="poems",37,IF(J45="walk",38,IF(J45="faces and events",39,IF(J45="events and names",40,IF(J45="flashbulb",41,IF(J45="stories",42,IF(J45="course material",43,IF(J45="autobiographical",44,IF(J45="novels",45,IF(J45="public events",46,"99"))))))))))))))))))))))))))))))))))))))))))))))</f>
        <v>9</v>
      </c>
      <c r="L45" s="69">
        <f>IF(J45="syllables",1,IF(J45="trigrams",1,IF(J45="strings",1,IF(J45="visual array",1,IF(J45="characters",1,IF(J45="letters",1,IF(J45="free forms",1,IF(J45="odors",2,IF(J45="words",2,IF(J45="pictures",2,IF(J45="object pictures",2,IF(J45="faces",2,IF(J45="names",2,IF(J45="idioms","2",IF(J45="grades",2,IF(J45="syllable-digit pairs",3,IF(J45="trigram-word pairs",3,IF(J45="word-digit pairs",3,IF(J45="English-Swahili pairs",3,IF(J45="spatial position",3,IF(J45="word pairs",4,IF(J45="word triads",4,IF(J45="generated words",4,IF(J45="word definition pairs",4,IF(J45="math problems",4,IF(J45="famous faces",4,IF(J45="famous names",4,IF(J45="famous voices",4,IF(J45="television programs",4,IF(J45="race horses",4,IF(J45="new vocabulary",4,IF(J45="sentences",5,IF(J45="concepts",5,IF(J45="ad slides",5,IF(J45="scenes",5,IF(J45="famous scenes",5,IF(J45="poems",6,IF(J45="walk",6,IF(J45="faces and events",6,IF(J45="events and names",6,IF(J45="flashbulb",7,IF(J45="stories",7,IF(J45="course material",7,IF(J45="autobiographical",7,IF(J45="novels",7,IF(J45="public events",7,"99"))))))))))))))))))))))))))))))))))))))))))))))</f>
        <v>2</v>
      </c>
      <c r="M45" s="69">
        <v>0</v>
      </c>
      <c r="N45" s="69">
        <v>1</v>
      </c>
      <c r="O45" s="69">
        <v>0</v>
      </c>
      <c r="P45" s="69"/>
      <c r="Q45" s="69" t="s">
        <v>65</v>
      </c>
      <c r="R45" s="69">
        <f>IF(Q45="Free Recall",1,IF(Q45="Cued Recall",2,IF(Q45="Recognition",3,IF(Q45="Multiple Choice",4,IF(Q45="Savings",5,IF(Q45="Stem Completion",6,IF(Q45="Fragment Completion",7,IF(Q45="anagram solution",8,IF(Q45="Matching",9,IF(Q45="Problem Solving",10,"99"))))))))))</f>
        <v>2</v>
      </c>
      <c r="S45" s="69" t="s">
        <v>49</v>
      </c>
      <c r="T45" s="92" t="s">
        <v>581</v>
      </c>
      <c r="U45" s="69">
        <f>IF(T45="within",1,0)</f>
        <v>1</v>
      </c>
      <c r="V45" s="92">
        <v>22</v>
      </c>
      <c r="W45" s="69">
        <f>F45*V45</f>
        <v>396</v>
      </c>
      <c r="X45" s="69">
        <v>9</v>
      </c>
      <c r="Y45" s="87">
        <f>AV44</f>
        <v>90</v>
      </c>
      <c r="Z45" s="69" t="s">
        <v>66</v>
      </c>
      <c r="AA45" s="69">
        <v>3768</v>
      </c>
      <c r="AB45" s="69" t="str">
        <f>IF(AA45&lt;60,"1",IF(AA45&lt;=43200,"2",IF(AA45&lt;=777600,"3","4")))</f>
        <v>2</v>
      </c>
      <c r="AC45" s="72">
        <f>AVERAGE(AV44:DA44)</f>
        <v>1495.6572545497768</v>
      </c>
      <c r="AD45" s="69" t="str">
        <f>IF(AC45&lt;60,"1",IF(AC45&lt;=43200,"2",IF(AC45&lt;=777600,"3","4")))</f>
        <v>2</v>
      </c>
      <c r="AE45" s="87">
        <f>AA45-Y45</f>
        <v>3678</v>
      </c>
      <c r="AF45" s="88">
        <f>AV45</f>
        <v>0.72106500435827603</v>
      </c>
      <c r="AG45" s="72">
        <f>((AW45-AV45)+(AX45-AW45)+(AY45-AX45)+(AZ45-AY45)+(BA45-AZ45)+(BB45-BA45)+(BC45-BB45)+(BD45-BC45))/8</f>
        <v>-5.0130087957949127E-2</v>
      </c>
      <c r="AH45" s="4"/>
      <c r="AI45" s="72">
        <f>RSQ(AV45:BD45,AV44:BD44)</f>
        <v>0.38500168023610715</v>
      </c>
      <c r="AJ45" s="110">
        <f>SLOPE(AV45:BD45,AV44:BD44)</f>
        <v>-7.1853527648162323E-5</v>
      </c>
      <c r="AK45" s="72">
        <f>INTERCEPT(AV45:BD45,AV44:BD44)</f>
        <v>0.49460062117605874</v>
      </c>
      <c r="AL45" s="72">
        <f>INDEX(LINEST(LN(AV45:BD45),LN(AV44:BD44),TRUE,TRUE),3,1)</f>
        <v>0.82079157586455909</v>
      </c>
      <c r="AM45" s="72">
        <f>INDEX(LINEST(LN(AV45:BD45),LN(AV44:BD44)),1)</f>
        <v>-0.2265743324061473</v>
      </c>
      <c r="AN45" s="72">
        <f>EXP(INDEX(LINEST(LN(AV45:BD45),LN(AV44:BD44)),1,2))</f>
        <v>1.7472635017091722</v>
      </c>
      <c r="AO45" s="89">
        <f>INDEX(LINEST((AV45:BD45),LN(AV44:BD44),TRUE,TRUE),3,1)</f>
        <v>0.80447635469819578</v>
      </c>
      <c r="AP45" s="89">
        <f>INDEX(LINEST((AV45:BD45),LN(AV44:BD44)),1)</f>
        <v>-0.10558344111348335</v>
      </c>
      <c r="AQ45" s="90">
        <f>INDEX(LINEST(LN(AV45:BD45),SQRT(AV44:BD44),TRUE,TRUE),3,1)</f>
        <v>0.6131094578187346</v>
      </c>
      <c r="AR45" s="117">
        <f>INDEX(LINEST(LN(AV45:BD45),SQRT((AV44:BD44))),1)</f>
        <v>-1.383925367439039E-2</v>
      </c>
      <c r="AS45" s="91">
        <f>INDEX(LINEST(1/(AV45:BD45),1/(SQRT(AV44:BD44)),TRUE,TRUE),3,1)</f>
        <v>0.88138748993239879</v>
      </c>
      <c r="AT45" s="91">
        <f>INDEX(LINEST(1/(AV45:BD45),1/SQRT(AV44:BD44)),1)</f>
        <v>-22.496825305217499</v>
      </c>
      <c r="AU45" s="3"/>
      <c r="AV45" s="73">
        <v>0.72106500435827603</v>
      </c>
      <c r="AW45" s="73">
        <v>0.50710795319474899</v>
      </c>
      <c r="AX45" s="73">
        <v>0.34743125808922498</v>
      </c>
      <c r="AY45" s="73">
        <v>0.30431865606592901</v>
      </c>
      <c r="AZ45" s="73">
        <v>0.36696690351039302</v>
      </c>
      <c r="BA45" s="73">
        <v>0.31575847222588999</v>
      </c>
      <c r="BB45" s="73">
        <v>0.29981774478987799</v>
      </c>
      <c r="BC45" s="73">
        <v>0.301701048627803</v>
      </c>
      <c r="BD45" s="73">
        <v>0.32002430069468302</v>
      </c>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1"/>
      <c r="CS45" s="1"/>
      <c r="CT45" s="1"/>
      <c r="CU45" s="1"/>
    </row>
    <row r="46" spans="1:99" s="13" customFormat="1" ht="12" customHeight="1" x14ac:dyDescent="0.2">
      <c r="A46" s="68">
        <v>43509</v>
      </c>
      <c r="B46" s="70"/>
      <c r="C46" s="70"/>
      <c r="D46" s="69"/>
      <c r="E46" s="87"/>
      <c r="F46" s="69"/>
      <c r="G46" s="69"/>
      <c r="H46" s="69"/>
      <c r="I46" s="69"/>
      <c r="J46" s="69"/>
      <c r="K46" s="107"/>
      <c r="L46" s="107"/>
      <c r="M46" s="69"/>
      <c r="N46" s="69"/>
      <c r="O46" s="69"/>
      <c r="P46" s="69"/>
      <c r="Q46" s="69"/>
      <c r="R46" s="69"/>
      <c r="S46" s="69"/>
      <c r="T46" s="92"/>
      <c r="U46" s="69"/>
      <c r="V46" s="92"/>
      <c r="W46" s="69"/>
      <c r="X46" s="69"/>
      <c r="Y46" s="87"/>
      <c r="Z46" s="69"/>
      <c r="AA46" s="69"/>
      <c r="AB46" s="69"/>
      <c r="AC46" s="69"/>
      <c r="AD46" s="69"/>
      <c r="AE46" s="69"/>
      <c r="AF46" s="88"/>
      <c r="AG46" s="72"/>
      <c r="AH46" s="4"/>
      <c r="AI46" s="72"/>
      <c r="AJ46" s="110"/>
      <c r="AK46" s="72"/>
      <c r="AL46" s="72"/>
      <c r="AM46" s="72"/>
      <c r="AN46" s="72"/>
      <c r="AO46" s="72"/>
      <c r="AP46" s="72"/>
      <c r="AQ46" s="89"/>
      <c r="AR46" s="118"/>
      <c r="AS46" s="89"/>
      <c r="AT46" s="89"/>
      <c r="AU46" s="5"/>
      <c r="AV46" s="71">
        <f>60*1.5</f>
        <v>90</v>
      </c>
      <c r="AW46" s="71">
        <f>60*4.5</f>
        <v>270</v>
      </c>
      <c r="AX46" s="71">
        <f>60*9.54858818246651</f>
        <v>572.91529094799057</v>
      </c>
      <c r="AY46" s="71">
        <f>60*15</f>
        <v>900</v>
      </c>
      <c r="AZ46" s="71">
        <f>60*22</f>
        <v>1320</v>
      </c>
      <c r="BA46" s="71">
        <f>60*28</f>
        <v>1680</v>
      </c>
      <c r="BB46" s="71">
        <f>60*35</f>
        <v>2100</v>
      </c>
      <c r="BC46" s="71">
        <f>60*46</f>
        <v>2760</v>
      </c>
      <c r="BD46" s="71">
        <f>60*62.8</f>
        <v>3768</v>
      </c>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53"/>
      <c r="CO46" s="53"/>
      <c r="CP46" s="53"/>
      <c r="CQ46" s="53"/>
      <c r="CR46" s="1"/>
      <c r="CS46" s="1"/>
      <c r="CT46" s="1"/>
      <c r="CU46" s="1"/>
    </row>
    <row r="47" spans="1:99" s="13" customFormat="1" ht="12" customHeight="1" x14ac:dyDescent="0.2">
      <c r="A47" s="68">
        <v>43509</v>
      </c>
      <c r="B47" s="70" t="s">
        <v>246</v>
      </c>
      <c r="C47" s="70" t="s">
        <v>45</v>
      </c>
      <c r="D47" s="69">
        <v>1997</v>
      </c>
      <c r="E47" s="87">
        <v>3</v>
      </c>
      <c r="F47" s="69">
        <v>18</v>
      </c>
      <c r="G47" s="69">
        <v>18</v>
      </c>
      <c r="H47" s="69" t="s">
        <v>43</v>
      </c>
      <c r="I47" s="69" t="s">
        <v>734</v>
      </c>
      <c r="J47" s="69" t="s">
        <v>16</v>
      </c>
      <c r="K47" s="69">
        <f>IF(J47="syllables",1,IF(J47="trigrams",2,IF(J47="strings",3,IF(J47="visual array",4,IF(J47="characters",5,IF(J47="letters",6,IF(J47="free forms",7,IF(J47="odors",8,IF(J47="words",9,IF(J47="pictures",10,IF(J47="object pictures",11,IF(J47="faces",12,IF(J47="names",13,IF(J47="idioms",14,IF(J47="grades",15,IF(J47="syllable-digit pairs",16,IF(J47="trigram-word pairs",17,IF(J47="word-digit pairs",18,IF(J47="English-Swahili pairs",19,IF(J47="spatial position",20,IF(J47="word pairs",21,IF(J47="word triads",22,IF(J47="generated words",23,IF(J47="word definition pairs",24,IF(J47="math problems",25,IF(J47="famous faces",26,IF(J47="famous names",27,IF(J47="famous voices",28,IF(J47="television programs",29,IF(J47="race horses",30,IF(J47="new vocabulary",31,IF(J47="sentences",32,IF(J47="concepts",33,IF(J47="ad slides",34,IF(J47="scenes",35,IF(J47="famous scenes",36,IF(J47="poems",37,IF(J47="walk",38,IF(J47="faces and events",39,IF(J47="events and names",40,IF(J47="flashbulb",41,IF(J47="stories",42,IF(J47="course material",43,IF(J47="autobiographical",44,IF(J47="novels",45,IF(J47="public events",46,"99"))))))))))))))))))))))))))))))))))))))))))))))</f>
        <v>9</v>
      </c>
      <c r="L47" s="69">
        <f>IF(J47="syllables",1,IF(J47="trigrams",1,IF(J47="strings",1,IF(J47="visual array",1,IF(J47="characters",1,IF(J47="letters",1,IF(J47="free forms",1,IF(J47="odors",2,IF(J47="words",2,IF(J47="pictures",2,IF(J47="object pictures",2,IF(J47="faces",2,IF(J47="names",2,IF(J47="idioms","2",IF(J47="grades",2,IF(J47="syllable-digit pairs",3,IF(J47="trigram-word pairs",3,IF(J47="word-digit pairs",3,IF(J47="English-Swahili pairs",3,IF(J47="spatial position",3,IF(J47="word pairs",4,IF(J47="word triads",4,IF(J47="generated words",4,IF(J47="word definition pairs",4,IF(J47="math problems",4,IF(J47="famous faces",4,IF(J47="famous names",4,IF(J47="famous voices",4,IF(J47="television programs",4,IF(J47="race horses",4,IF(J47="new vocabulary",4,IF(J47="sentences",5,IF(J47="concepts",5,IF(J47="ad slides",5,IF(J47="scenes",5,IF(J47="famous scenes",5,IF(J47="poems",6,IF(J47="walk",6,IF(J47="faces and events",6,IF(J47="events and names",6,IF(J47="flashbulb",7,IF(J47="stories",7,IF(J47="course material",7,IF(J47="autobiographical",7,IF(J47="novels",7,IF(J47="public events",7,"99"))))))))))))))))))))))))))))))))))))))))))))))</f>
        <v>2</v>
      </c>
      <c r="M47" s="69">
        <v>0</v>
      </c>
      <c r="N47" s="69">
        <v>1</v>
      </c>
      <c r="O47" s="69">
        <v>0</v>
      </c>
      <c r="P47" s="69"/>
      <c r="Q47" s="69" t="s">
        <v>65</v>
      </c>
      <c r="R47" s="69">
        <f>IF(Q47="Free Recall",1,IF(Q47="Cued Recall",2,IF(Q47="Recognition",3,IF(Q47="Multiple Choice",4,IF(Q47="Savings",5,IF(Q47="Stem Completion",6,IF(Q47="Fragment Completion",7,IF(Q47="anagram solution",8,IF(Q47="Matching",9,IF(Q47="Problem Solving",10,"99"))))))))))</f>
        <v>2</v>
      </c>
      <c r="S47" s="69" t="s">
        <v>49</v>
      </c>
      <c r="T47" s="92" t="s">
        <v>581</v>
      </c>
      <c r="U47" s="69">
        <f>IF(T47="within",1,0)</f>
        <v>1</v>
      </c>
      <c r="V47" s="92">
        <v>22</v>
      </c>
      <c r="W47" s="69">
        <f>F47*V47</f>
        <v>396</v>
      </c>
      <c r="X47" s="69">
        <v>9</v>
      </c>
      <c r="Y47" s="87">
        <f>AV46</f>
        <v>90</v>
      </c>
      <c r="Z47" s="69" t="s">
        <v>66</v>
      </c>
      <c r="AA47" s="69">
        <v>3768</v>
      </c>
      <c r="AB47" s="69" t="str">
        <f>IF(AA47&lt;60,"1",IF(AA47&lt;=43200,"2",IF(AA47&lt;=777600,"3","4")))</f>
        <v>2</v>
      </c>
      <c r="AC47" s="72">
        <f>AVERAGE(AV46:DA46)</f>
        <v>1495.6572545497768</v>
      </c>
      <c r="AD47" s="69" t="str">
        <f>IF(AC47&lt;60,"1",IF(AC47&lt;=43200,"2",IF(AC47&lt;=777600,"3","4")))</f>
        <v>2</v>
      </c>
      <c r="AE47" s="87">
        <f>AA47-Y47</f>
        <v>3678</v>
      </c>
      <c r="AF47" s="88">
        <f>AV47</f>
        <v>0.46089965397923799</v>
      </c>
      <c r="AG47" s="72">
        <f>((AW47-AV47)+(AX47-AW47)+(AY47-AX47)+(AZ47-AY47)+(BA47-AZ47)+(BB47-BA47)+(BC47-BB47)+(BD47-BC47))/8</f>
        <v>-3.4886024459177378E-2</v>
      </c>
      <c r="AH47" s="4"/>
      <c r="AI47" s="72">
        <f>RSQ(AV47:BD47,AV46:BD46)</f>
        <v>0.35622471060028787</v>
      </c>
      <c r="AJ47" s="110">
        <f>SLOPE(AV47:BD47,AV46:BD46)</f>
        <v>-4.3887547824253566E-5</v>
      </c>
      <c r="AK47" s="72">
        <f>INTERCEPT(AV47:BD47,AV46:BD46)</f>
        <v>0.30206418356692699</v>
      </c>
      <c r="AL47" s="72">
        <f>INDEX(LINEST(LN(AV47:BD47),LN(AV46:BD46),TRUE,TRUE),3,1)</f>
        <v>0.79906340473359405</v>
      </c>
      <c r="AM47" s="72">
        <f>INDEX(LINEST(LN(AV47:BD47),LN(AV46:BD46)),1)</f>
        <v>-0.22268948822304618</v>
      </c>
      <c r="AN47" s="72">
        <f>EXP(INDEX(LINEST(LN(AV47:BD47),LN(AV46:BD46)),1,2))</f>
        <v>1.0380337618424229</v>
      </c>
      <c r="AO47" s="89">
        <f>INDEX(LINEST((AV47:BD47),LN(AV46:BD46),TRUE,TRUE),3,1)</f>
        <v>0.76055582159941659</v>
      </c>
      <c r="AP47" s="89">
        <f>INDEX(LINEST((AV47:BD47),LN(AV46:BD46)),1)</f>
        <v>-6.5187935937966304E-2</v>
      </c>
      <c r="AQ47" s="90">
        <f>INDEX(LINEST(LN(AV47:BD47),SQRT(AV46:BD46),TRUE,TRUE),3,1)</f>
        <v>0.58935556110370169</v>
      </c>
      <c r="AR47" s="117">
        <f>INDEX(LINEST(LN(AV47:BD47),SQRT((AV46:BD46))),1)</f>
        <v>-1.3515969025569452E-2</v>
      </c>
      <c r="AS47" s="91">
        <f>INDEX(LINEST(1/(AV47:BD47),1/(SQRT(AV46:BD46)),TRUE,TRUE),3,1)</f>
        <v>0.90834176688501578</v>
      </c>
      <c r="AT47" s="91">
        <f>INDEX(LINEST(1/(AV47:BD47),1/SQRT(AV46:BD46)),1)</f>
        <v>-35.987235218875966</v>
      </c>
      <c r="AU47" s="3"/>
      <c r="AV47" s="73">
        <v>0.46089965397923799</v>
      </c>
      <c r="AW47" s="73">
        <v>0.28488338307931999</v>
      </c>
      <c r="AX47" s="73">
        <v>0.19024802556855699</v>
      </c>
      <c r="AY47" s="73">
        <v>0.217602155365963</v>
      </c>
      <c r="AZ47" s="73">
        <v>0.204363559523495</v>
      </c>
      <c r="BA47" s="73">
        <v>0.19922343432209</v>
      </c>
      <c r="BB47" s="73">
        <v>0.18870545973216399</v>
      </c>
      <c r="BC47" s="73">
        <v>0.20007395863599101</v>
      </c>
      <c r="BD47" s="73">
        <v>0.18181145830581899</v>
      </c>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53"/>
      <c r="CO47" s="53"/>
      <c r="CP47" s="53"/>
      <c r="CQ47" s="53"/>
      <c r="CR47" s="1"/>
      <c r="CS47" s="1"/>
      <c r="CT47" s="1"/>
      <c r="CU47" s="1"/>
    </row>
    <row r="48" spans="1:99" s="13" customFormat="1" ht="12" customHeight="1" x14ac:dyDescent="0.2">
      <c r="A48" s="68">
        <v>43509</v>
      </c>
      <c r="B48" s="70"/>
      <c r="C48" s="70"/>
      <c r="D48" s="69"/>
      <c r="E48" s="87"/>
      <c r="F48" s="69"/>
      <c r="G48" s="69"/>
      <c r="H48" s="69"/>
      <c r="I48" s="69"/>
      <c r="J48" s="69"/>
      <c r="K48" s="107"/>
      <c r="L48" s="107"/>
      <c r="M48" s="69"/>
      <c r="N48" s="69"/>
      <c r="O48" s="69"/>
      <c r="P48" s="69"/>
      <c r="Q48" s="69"/>
      <c r="R48" s="69"/>
      <c r="S48" s="69"/>
      <c r="T48" s="69"/>
      <c r="U48" s="69"/>
      <c r="V48" s="69"/>
      <c r="W48" s="69"/>
      <c r="X48" s="69"/>
      <c r="Y48" s="87"/>
      <c r="Z48" s="69"/>
      <c r="AA48" s="69"/>
      <c r="AB48" s="69"/>
      <c r="AC48" s="69"/>
      <c r="AD48" s="69"/>
      <c r="AE48" s="69"/>
      <c r="AF48" s="88"/>
      <c r="AG48" s="72"/>
      <c r="AH48" s="4"/>
      <c r="AI48" s="72"/>
      <c r="AJ48" s="110"/>
      <c r="AK48" s="72"/>
      <c r="AL48" s="72"/>
      <c r="AM48" s="72"/>
      <c r="AN48" s="72"/>
      <c r="AO48" s="72"/>
      <c r="AP48" s="72"/>
      <c r="AQ48" s="89"/>
      <c r="AR48" s="118"/>
      <c r="AS48" s="89"/>
      <c r="AT48" s="89"/>
      <c r="AU48" s="5"/>
      <c r="AV48" s="71">
        <f>60*1.5</f>
        <v>90</v>
      </c>
      <c r="AW48" s="71">
        <f>60*4.5</f>
        <v>270</v>
      </c>
      <c r="AX48" s="71">
        <f>60*9.54858818246651</f>
        <v>572.91529094799057</v>
      </c>
      <c r="AY48" s="71">
        <f>60*15</f>
        <v>900</v>
      </c>
      <c r="AZ48" s="71">
        <f>60*22</f>
        <v>1320</v>
      </c>
      <c r="BA48" s="71">
        <f>60*28</f>
        <v>1680</v>
      </c>
      <c r="BB48" s="71">
        <f>60*35</f>
        <v>2100</v>
      </c>
      <c r="BC48" s="71">
        <f>60*46</f>
        <v>2760</v>
      </c>
      <c r="BD48" s="71">
        <f>60*62.8</f>
        <v>3768</v>
      </c>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53"/>
      <c r="CO48" s="53"/>
      <c r="CP48" s="53"/>
      <c r="CQ48" s="53"/>
      <c r="CR48" s="1"/>
      <c r="CS48" s="1"/>
      <c r="CT48" s="1"/>
      <c r="CU48" s="1"/>
    </row>
    <row r="49" spans="1:99" s="13" customFormat="1" ht="12" customHeight="1" x14ac:dyDescent="0.2">
      <c r="A49" s="68">
        <v>43509</v>
      </c>
      <c r="B49" s="70" t="s">
        <v>246</v>
      </c>
      <c r="C49" s="70" t="s">
        <v>45</v>
      </c>
      <c r="D49" s="69">
        <v>1997</v>
      </c>
      <c r="E49" s="87">
        <v>4</v>
      </c>
      <c r="F49" s="69">
        <v>9</v>
      </c>
      <c r="G49" s="69">
        <v>9</v>
      </c>
      <c r="H49" s="69" t="s">
        <v>67</v>
      </c>
      <c r="I49" s="69" t="s">
        <v>733</v>
      </c>
      <c r="J49" s="69" t="s">
        <v>16</v>
      </c>
      <c r="K49" s="69">
        <f>IF(J49="syllables",1,IF(J49="trigrams",2,IF(J49="strings",3,IF(J49="visual array",4,IF(J49="characters",5,IF(J49="letters",6,IF(J49="free forms",7,IF(J49="odors",8,IF(J49="words",9,IF(J49="pictures",10,IF(J49="object pictures",11,IF(J49="faces",12,IF(J49="names",13,IF(J49="idioms",14,IF(J49="grades",15,IF(J49="syllable-digit pairs",16,IF(J49="trigram-word pairs",17,IF(J49="word-digit pairs",18,IF(J49="English-Swahili pairs",19,IF(J49="spatial position",20,IF(J49="word pairs",21,IF(J49="word triads",22,IF(J49="generated words",23,IF(J49="word definition pairs",24,IF(J49="math problems",25,IF(J49="famous faces",26,IF(J49="famous names",27,IF(J49="famous voices",28,IF(J49="television programs",29,IF(J49="race horses",30,IF(J49="new vocabulary",31,IF(J49="sentences",32,IF(J49="concepts",33,IF(J49="ad slides",34,IF(J49="scenes",35,IF(J49="famous scenes",36,IF(J49="poems",37,IF(J49="walk",38,IF(J49="faces and events",39,IF(J49="events and names",40,IF(J49="flashbulb",41,IF(J49="stories",42,IF(J49="course material",43,IF(J49="autobiographical",44,IF(J49="novels",45,IF(J49="public events",46,"99"))))))))))))))))))))))))))))))))))))))))))))))</f>
        <v>9</v>
      </c>
      <c r="L49" s="69">
        <f>IF(J49="syllables",1,IF(J49="trigrams",1,IF(J49="strings",1,IF(J49="visual array",1,IF(J49="characters",1,IF(J49="letters",1,IF(J49="free forms",1,IF(J49="odors",2,IF(J49="words",2,IF(J49="pictures",2,IF(J49="object pictures",2,IF(J49="faces",2,IF(J49="names",2,IF(J49="idioms","2",IF(J49="grades",2,IF(J49="syllable-digit pairs",3,IF(J49="trigram-word pairs",3,IF(J49="word-digit pairs",3,IF(J49="English-Swahili pairs",3,IF(J49="spatial position",3,IF(J49="word pairs",4,IF(J49="word triads",4,IF(J49="generated words",4,IF(J49="word definition pairs",4,IF(J49="math problems",4,IF(J49="famous faces",4,IF(J49="famous names",4,IF(J49="famous voices",4,IF(J49="television programs",4,IF(J49="race horses",4,IF(J49="new vocabulary",4,IF(J49="sentences",5,IF(J49="concepts",5,IF(J49="ad slides",5,IF(J49="scenes",5,IF(J49="famous scenes",5,IF(J49="poems",6,IF(J49="walk",6,IF(J49="faces and events",6,IF(J49="events and names",6,IF(J49="flashbulb",7,IF(J49="stories",7,IF(J49="course material",7,IF(J49="autobiographical",7,IF(J49="novels",7,IF(J49="public events",7,"99"))))))))))))))))))))))))))))))))))))))))))))))</f>
        <v>2</v>
      </c>
      <c r="M49" s="69">
        <v>0</v>
      </c>
      <c r="N49" s="69">
        <v>1</v>
      </c>
      <c r="O49" s="69">
        <v>0</v>
      </c>
      <c r="P49" s="69"/>
      <c r="Q49" s="69" t="s">
        <v>34</v>
      </c>
      <c r="R49" s="69">
        <f>IF(Q49="Free Recall",1,IF(Q49="Cued Recall",2,IF(Q49="Recognition",3,IF(Q49="Multiple Choice",4,IF(Q49="Savings",5,IF(Q49="Stem Completion",6,IF(Q49="Fragment Completion",7,IF(Q49="anagram solution",8,IF(Q49="Matching",9,IF(Q49="Problem Solving",10,"99"))))))))))</f>
        <v>3</v>
      </c>
      <c r="S49" s="69" t="s">
        <v>15</v>
      </c>
      <c r="T49" s="92" t="s">
        <v>581</v>
      </c>
      <c r="U49" s="69">
        <f>IF(T49="within",1,0)</f>
        <v>1</v>
      </c>
      <c r="V49" s="92">
        <v>22</v>
      </c>
      <c r="W49" s="69">
        <f>F49*V49</f>
        <v>198</v>
      </c>
      <c r="X49" s="69">
        <v>9</v>
      </c>
      <c r="Y49" s="87">
        <f>AV48</f>
        <v>90</v>
      </c>
      <c r="Z49" s="69" t="s">
        <v>66</v>
      </c>
      <c r="AA49" s="69">
        <v>3768</v>
      </c>
      <c r="AB49" s="69" t="str">
        <f>IF(AA49&lt;60,"1",IF(AA49&lt;=43200,"2",IF(AA49&lt;=777600,"3","4")))</f>
        <v>2</v>
      </c>
      <c r="AC49" s="72">
        <f>AVERAGE(AV48:DA48)</f>
        <v>1495.6572545497768</v>
      </c>
      <c r="AD49" s="69" t="str">
        <f>IF(AC49&lt;60,"1",IF(AC49&lt;=43200,"2",IF(AC49&lt;=777600,"3","4")))</f>
        <v>2</v>
      </c>
      <c r="AE49" s="87">
        <f>AA49-Y49</f>
        <v>3678</v>
      </c>
      <c r="AF49" s="88">
        <f>AV49</f>
        <v>0.87083267498814898</v>
      </c>
      <c r="AG49" s="72">
        <f>((AW49-AV49)+(AX49-AW49)+(AY49-AX49)+(AZ49-AY49)+(BA49-AZ49)+(BB49-BA49)+(BC49-BB49)+(BD49-BC49))/8</f>
        <v>-9.2177730627722443E-3</v>
      </c>
      <c r="AH49" s="4"/>
      <c r="AI49" s="72">
        <f>RSQ(AV49:BD49,AV48:BD48)</f>
        <v>0.48118484190166427</v>
      </c>
      <c r="AJ49" s="110">
        <f>SLOPE(AV49:BD49,AV48:BD48)</f>
        <v>-1.2652734624503988E-5</v>
      </c>
      <c r="AK49" s="72">
        <f>INTERCEPT(AV49:BD49,AV48:BD48)</f>
        <v>0.83929711628244252</v>
      </c>
      <c r="AL49" s="72">
        <f>INDEX(LINEST(LN(AV49:BD49),LN(AV48:BD48),TRUE,TRUE),3,1)</f>
        <v>0.74951419398093377</v>
      </c>
      <c r="AM49" s="72">
        <f>INDEX(LINEST(LN(AV49:BD49),LN(AV48:BD48)),1)</f>
        <v>-1.9249060332196644E-2</v>
      </c>
      <c r="AN49" s="72">
        <f>EXP(INDEX(LINEST(LN(AV49:BD49),LN(AV48:BD48)),1,2))</f>
        <v>0.9357416238682047</v>
      </c>
      <c r="AO49" s="89">
        <f>INDEX(LINEST((AV49:BD49),LN(AV48:BD48),TRUE,TRUE),3,1)</f>
        <v>0.75021666857882596</v>
      </c>
      <c r="AP49" s="89">
        <f>INDEX(LINEST((AV49:BD49),LN(AV48:BD48)),1)</f>
        <v>-1.6059949416026426E-2</v>
      </c>
      <c r="AQ49" s="90">
        <f>INDEX(LINEST(LN(AV49:BD49),SQRT(AV48:BD48),TRUE,TRUE),3,1)</f>
        <v>0.61039512222996761</v>
      </c>
      <c r="AR49" s="117">
        <f>INDEX(LINEST(LN(AV49:BD49),SQRT((AV48:BD48))),1)</f>
        <v>-1.2276498878732926E-3</v>
      </c>
      <c r="AS49" s="91">
        <f>INDEX(LINEST(1/(AV49:BD49),1/(SQRT(AV48:BD48)),TRUE,TRUE),3,1)</f>
        <v>0.82456085006196467</v>
      </c>
      <c r="AT49" s="91">
        <f>INDEX(LINEST(1/(AV49:BD49),1/SQRT(AV48:BD48)),1)</f>
        <v>-1.0202052079761947</v>
      </c>
      <c r="AU49" s="3"/>
      <c r="AV49" s="73">
        <v>0.87083267498814898</v>
      </c>
      <c r="AW49" s="73">
        <v>0.83554951131977495</v>
      </c>
      <c r="AX49" s="73">
        <v>0.80525020878947196</v>
      </c>
      <c r="AY49" s="73">
        <v>0.81348102837279601</v>
      </c>
      <c r="AZ49" s="73">
        <v>0.82585942261246403</v>
      </c>
      <c r="BA49" s="73">
        <v>0.81982258537796504</v>
      </c>
      <c r="BB49" s="73">
        <v>0.80957384375775898</v>
      </c>
      <c r="BC49" s="73">
        <v>0.80589689185833902</v>
      </c>
      <c r="BD49" s="73">
        <v>0.79709049048597103</v>
      </c>
      <c r="BE49" s="53"/>
      <c r="BF49" s="53"/>
      <c r="BG49" s="53"/>
      <c r="BH49" s="53"/>
      <c r="BI49" s="53"/>
      <c r="BJ49" s="53"/>
      <c r="BK49" s="53"/>
      <c r="BL49" s="53"/>
      <c r="BM49" s="53"/>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53"/>
      <c r="CO49" s="53"/>
      <c r="CP49" s="53"/>
      <c r="CQ49" s="53"/>
      <c r="CR49" s="1"/>
      <c r="CS49" s="1"/>
      <c r="CT49" s="1"/>
      <c r="CU49" s="1"/>
    </row>
    <row r="50" spans="1:99" s="13" customFormat="1" ht="12" customHeight="1" x14ac:dyDescent="0.2">
      <c r="A50" s="68">
        <v>43509</v>
      </c>
      <c r="B50" s="70"/>
      <c r="C50" s="70"/>
      <c r="D50" s="69"/>
      <c r="E50" s="87"/>
      <c r="F50" s="69"/>
      <c r="G50" s="69"/>
      <c r="H50" s="69"/>
      <c r="I50" s="69"/>
      <c r="J50" s="69"/>
      <c r="K50" s="107"/>
      <c r="L50" s="107"/>
      <c r="M50" s="69"/>
      <c r="N50" s="69"/>
      <c r="O50" s="69"/>
      <c r="P50" s="69"/>
      <c r="Q50" s="69"/>
      <c r="R50" s="69"/>
      <c r="S50" s="69"/>
      <c r="T50" s="92"/>
      <c r="U50" s="69"/>
      <c r="V50" s="92"/>
      <c r="W50" s="69"/>
      <c r="X50" s="69"/>
      <c r="Y50" s="87"/>
      <c r="Z50" s="69"/>
      <c r="AA50" s="69"/>
      <c r="AB50" s="69"/>
      <c r="AC50" s="69"/>
      <c r="AD50" s="69"/>
      <c r="AE50" s="69"/>
      <c r="AF50" s="88"/>
      <c r="AG50" s="72"/>
      <c r="AH50" s="4"/>
      <c r="AI50" s="72"/>
      <c r="AJ50" s="110"/>
      <c r="AK50" s="72"/>
      <c r="AL50" s="72"/>
      <c r="AM50" s="72"/>
      <c r="AN50" s="72"/>
      <c r="AO50" s="72"/>
      <c r="AP50" s="72"/>
      <c r="AQ50" s="89"/>
      <c r="AR50" s="118"/>
      <c r="AS50" s="89"/>
      <c r="AT50" s="89"/>
      <c r="AU50" s="5"/>
      <c r="AV50" s="71">
        <f>60*1.5</f>
        <v>90</v>
      </c>
      <c r="AW50" s="71">
        <f>60*4.5</f>
        <v>270</v>
      </c>
      <c r="AX50" s="71">
        <f>60*9.54858818246651</f>
        <v>572.91529094799057</v>
      </c>
      <c r="AY50" s="71">
        <f>60*15</f>
        <v>900</v>
      </c>
      <c r="AZ50" s="71">
        <f>60*22</f>
        <v>1320</v>
      </c>
      <c r="BA50" s="71">
        <f>60*28</f>
        <v>1680</v>
      </c>
      <c r="BB50" s="71">
        <f>60*35</f>
        <v>2100</v>
      </c>
      <c r="BC50" s="71">
        <f>60*46</f>
        <v>2760</v>
      </c>
      <c r="BD50" s="71">
        <f>60*62.8</f>
        <v>3768</v>
      </c>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53"/>
      <c r="CO50" s="53"/>
      <c r="CP50" s="53"/>
      <c r="CQ50" s="53"/>
      <c r="CR50" s="1"/>
      <c r="CS50" s="1"/>
      <c r="CT50" s="1"/>
      <c r="CU50" s="1"/>
    </row>
    <row r="51" spans="1:99" s="13" customFormat="1" ht="12" customHeight="1" x14ac:dyDescent="0.2">
      <c r="A51" s="68">
        <v>43509</v>
      </c>
      <c r="B51" s="70" t="s">
        <v>246</v>
      </c>
      <c r="C51" s="70" t="s">
        <v>45</v>
      </c>
      <c r="D51" s="69">
        <v>1997</v>
      </c>
      <c r="E51" s="87">
        <v>4</v>
      </c>
      <c r="F51" s="69">
        <v>9</v>
      </c>
      <c r="G51" s="69">
        <v>9</v>
      </c>
      <c r="H51" s="69" t="s">
        <v>67</v>
      </c>
      <c r="I51" s="69" t="s">
        <v>734</v>
      </c>
      <c r="J51" s="69" t="s">
        <v>16</v>
      </c>
      <c r="K51" s="69">
        <f>IF(J51="syllables",1,IF(J51="trigrams",2,IF(J51="strings",3,IF(J51="visual array",4,IF(J51="characters",5,IF(J51="letters",6,IF(J51="free forms",7,IF(J51="odors",8,IF(J51="words",9,IF(J51="pictures",10,IF(J51="object pictures",11,IF(J51="faces",12,IF(J51="names",13,IF(J51="idioms",14,IF(J51="grades",15,IF(J51="syllable-digit pairs",16,IF(J51="trigram-word pairs",17,IF(J51="word-digit pairs",18,IF(J51="English-Swahili pairs",19,IF(J51="spatial position",20,IF(J51="word pairs",21,IF(J51="word triads",22,IF(J51="generated words",23,IF(J51="word definition pairs",24,IF(J51="math problems",25,IF(J51="famous faces",26,IF(J51="famous names",27,IF(J51="famous voices",28,IF(J51="television programs",29,IF(J51="race horses",30,IF(J51="new vocabulary",31,IF(J51="sentences",32,IF(J51="concepts",33,IF(J51="ad slides",34,IF(J51="scenes",35,IF(J51="famous scenes",36,IF(J51="poems",37,IF(J51="walk",38,IF(J51="faces and events",39,IF(J51="events and names",40,IF(J51="flashbulb",41,IF(J51="stories",42,IF(J51="course material",43,IF(J51="autobiographical",44,IF(J51="novels",45,IF(J51="public events",46,"99"))))))))))))))))))))))))))))))))))))))))))))))</f>
        <v>9</v>
      </c>
      <c r="L51" s="69">
        <f>IF(J51="syllables",1,IF(J51="trigrams",1,IF(J51="strings",1,IF(J51="visual array",1,IF(J51="characters",1,IF(J51="letters",1,IF(J51="free forms",1,IF(J51="odors",2,IF(J51="words",2,IF(J51="pictures",2,IF(J51="object pictures",2,IF(J51="faces",2,IF(J51="names",2,IF(J51="idioms","2",IF(J51="grades",2,IF(J51="syllable-digit pairs",3,IF(J51="trigram-word pairs",3,IF(J51="word-digit pairs",3,IF(J51="English-Swahili pairs",3,IF(J51="spatial position",3,IF(J51="word pairs",4,IF(J51="word triads",4,IF(J51="generated words",4,IF(J51="word definition pairs",4,IF(J51="math problems",4,IF(J51="famous faces",4,IF(J51="famous names",4,IF(J51="famous voices",4,IF(J51="television programs",4,IF(J51="race horses",4,IF(J51="new vocabulary",4,IF(J51="sentences",5,IF(J51="concepts",5,IF(J51="ad slides",5,IF(J51="scenes",5,IF(J51="famous scenes",5,IF(J51="poems",6,IF(J51="walk",6,IF(J51="faces and events",6,IF(J51="events and names",6,IF(J51="flashbulb",7,IF(J51="stories",7,IF(J51="course material",7,IF(J51="autobiographical",7,IF(J51="novels",7,IF(J51="public events",7,"99"))))))))))))))))))))))))))))))))))))))))))))))</f>
        <v>2</v>
      </c>
      <c r="M51" s="69">
        <v>0</v>
      </c>
      <c r="N51" s="69">
        <v>1</v>
      </c>
      <c r="O51" s="69">
        <v>0</v>
      </c>
      <c r="P51" s="69"/>
      <c r="Q51" s="69" t="s">
        <v>34</v>
      </c>
      <c r="R51" s="69">
        <f>IF(Q51="Free Recall",1,IF(Q51="Cued Recall",2,IF(Q51="Recognition",3,IF(Q51="Multiple Choice",4,IF(Q51="Savings",5,IF(Q51="Stem Completion",6,IF(Q51="Fragment Completion",7,IF(Q51="anagram solution",8,IF(Q51="Matching",9,IF(Q51="Problem Solving",10,"99"))))))))))</f>
        <v>3</v>
      </c>
      <c r="S51" s="69" t="s">
        <v>15</v>
      </c>
      <c r="T51" s="92" t="s">
        <v>581</v>
      </c>
      <c r="U51" s="69">
        <f>IF(T51="within",1,0)</f>
        <v>1</v>
      </c>
      <c r="V51" s="92">
        <v>22</v>
      </c>
      <c r="W51" s="69">
        <f>F51*V51</f>
        <v>198</v>
      </c>
      <c r="X51" s="69">
        <v>9</v>
      </c>
      <c r="Y51" s="87">
        <f>AV50</f>
        <v>90</v>
      </c>
      <c r="Z51" s="69" t="s">
        <v>66</v>
      </c>
      <c r="AA51" s="69">
        <v>3768</v>
      </c>
      <c r="AB51" s="69" t="str">
        <f>IF(AA51&lt;60,"1",IF(AA51&lt;=43200,"2",IF(AA51&lt;=777600,"3","4")))</f>
        <v>2</v>
      </c>
      <c r="AC51" s="72">
        <f>AVERAGE(AV50:DA50)</f>
        <v>1495.6572545497768</v>
      </c>
      <c r="AD51" s="69" t="str">
        <f>IF(AC51&lt;60,"1",IF(AC51&lt;=43200,"2",IF(AC51&lt;=777600,"3","4")))</f>
        <v>2</v>
      </c>
      <c r="AE51" s="87">
        <f>AA51-Y51</f>
        <v>3678</v>
      </c>
      <c r="AF51" s="88">
        <f>AV51</f>
        <v>0.72167234724510698</v>
      </c>
      <c r="AG51" s="72">
        <f>((AW51-AV51)+(AX51-AW51)+(AY51-AX51)+(AZ51-AY51)+(BA51-AZ51)+(BB51-BA51)+(BC51-BB51)+(BD51-BC51))/8</f>
        <v>-1.1836881813872629E-2</v>
      </c>
      <c r="AH51" s="4"/>
      <c r="AI51" s="72">
        <f>RSQ(AV51:BD51,AV50:BD50)</f>
        <v>0.27770672644299293</v>
      </c>
      <c r="AJ51" s="110">
        <f>SLOPE(AV51:BD51,AV50:BD50)</f>
        <v>-1.5018463829441097E-5</v>
      </c>
      <c r="AK51" s="72">
        <f>INTERCEPT(AV51:BD51,AV50:BD50)</f>
        <v>0.66360058391228716</v>
      </c>
      <c r="AL51" s="72">
        <f>INDEX(LINEST(LN(AV51:BD51),LN(AV50:BD50),TRUE,TRUE),3,1)</f>
        <v>0.7096634534787758</v>
      </c>
      <c r="AM51" s="72">
        <f>INDEX(LINEST(LN(AV51:BD51),LN(AV50:BD50)),1)</f>
        <v>-3.6593837642734404E-2</v>
      </c>
      <c r="AN51" s="72">
        <f>EXP(INDEX(LINEST(LN(AV51:BD51),LN(AV50:BD50)),1,2))</f>
        <v>0.82283705081279657</v>
      </c>
      <c r="AO51" s="89">
        <f>INDEX(LINEST((AV51:BD51),LN(AV50:BD50),TRUE,TRUE),3,1)</f>
        <v>0.7124996918132902</v>
      </c>
      <c r="AP51" s="89">
        <f>INDEX(LINEST((AV51:BD51),LN(AV50:BD50)),1)</f>
        <v>-2.4453838621626922E-2</v>
      </c>
      <c r="AQ51" s="90">
        <f>INDEX(LINEST(LN(AV51:BD51),SQRT(AV50:BD50),TRUE,TRUE),3,1)</f>
        <v>0.46563293534413441</v>
      </c>
      <c r="AR51" s="117">
        <f>INDEX(LINEST(LN(AV51:BD51),SQRT((AV50:BD50))),1)</f>
        <v>-2.0948502399892686E-3</v>
      </c>
      <c r="AS51" s="91">
        <f>INDEX(LINEST(1/(AV51:BD51),1/(SQRT(AV50:BD50)),TRUE,TRUE),3,1)</f>
        <v>0.86913851756780813</v>
      </c>
      <c r="AT51" s="91">
        <f>INDEX(LINEST(1/(AV51:BD51),1/SQRT(AV50:BD50)),1)</f>
        <v>-2.5621880953765266</v>
      </c>
      <c r="AU51" s="3"/>
      <c r="AV51" s="73">
        <v>0.72167234724510698</v>
      </c>
      <c r="AW51" s="73">
        <v>0.67465747240593099</v>
      </c>
      <c r="AX51" s="73">
        <v>0.62508633726835605</v>
      </c>
      <c r="AY51" s="73">
        <v>0.62242173216260699</v>
      </c>
      <c r="AZ51" s="73">
        <v>0.61887682549714396</v>
      </c>
      <c r="BA51" s="73">
        <v>0.62289574069476095</v>
      </c>
      <c r="BB51" s="73">
        <v>0.62186646502494103</v>
      </c>
      <c r="BC51" s="73">
        <v>0.63578877276933798</v>
      </c>
      <c r="BD51" s="73">
        <v>0.62697729273412595</v>
      </c>
      <c r="BE51" s="53"/>
      <c r="BF51" s="53"/>
      <c r="BG51" s="53"/>
      <c r="BH51" s="53"/>
      <c r="BI51" s="53"/>
      <c r="BJ51" s="53"/>
      <c r="BK51" s="53"/>
      <c r="BL51" s="53"/>
      <c r="BM51" s="53"/>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53"/>
      <c r="CO51" s="53"/>
      <c r="CP51" s="53"/>
      <c r="CQ51" s="53"/>
      <c r="CR51" s="1"/>
      <c r="CS51" s="1"/>
      <c r="CT51" s="1"/>
      <c r="CU51" s="1"/>
    </row>
    <row r="52" spans="1:99" s="13" customFormat="1" ht="12" customHeight="1" x14ac:dyDescent="0.2">
      <c r="A52" s="65">
        <v>43509</v>
      </c>
      <c r="B52" s="1"/>
      <c r="C52" s="1"/>
      <c r="D52" s="60"/>
      <c r="E52" s="76"/>
      <c r="F52" s="60"/>
      <c r="G52" s="60"/>
      <c r="H52" s="60"/>
      <c r="I52" s="60"/>
      <c r="J52" s="60"/>
      <c r="K52" s="64"/>
      <c r="L52" s="64"/>
      <c r="M52" s="60"/>
      <c r="N52" s="60"/>
      <c r="O52" s="60"/>
      <c r="P52" s="60"/>
      <c r="Q52" s="60"/>
      <c r="R52" s="60"/>
      <c r="S52" s="60"/>
      <c r="T52" s="60"/>
      <c r="U52" s="60"/>
      <c r="V52" s="60"/>
      <c r="W52" s="60"/>
      <c r="X52" s="60"/>
      <c r="Y52" s="76"/>
      <c r="Z52" s="60"/>
      <c r="AA52" s="60"/>
      <c r="AB52" s="60"/>
      <c r="AC52" s="60"/>
      <c r="AD52" s="60"/>
      <c r="AE52" s="60"/>
      <c r="AF52" s="80"/>
      <c r="AG52" s="56"/>
      <c r="AH52" s="4"/>
      <c r="AI52" s="56"/>
      <c r="AJ52" s="109"/>
      <c r="AK52" s="56"/>
      <c r="AL52" s="56"/>
      <c r="AM52" s="56"/>
      <c r="AN52" s="56"/>
      <c r="AO52" s="56"/>
      <c r="AP52" s="56"/>
      <c r="AQ52" s="82"/>
      <c r="AR52" s="115"/>
      <c r="AS52" s="82"/>
      <c r="AT52" s="82"/>
      <c r="AU52" s="8"/>
      <c r="AV52" s="25">
        <f>60*0.88</f>
        <v>52.8</v>
      </c>
      <c r="AW52" s="25">
        <f>60*3.52</f>
        <v>211.2</v>
      </c>
      <c r="AX52" s="25">
        <f>60*7.04</f>
        <v>422.4</v>
      </c>
      <c r="AY52" s="25">
        <f>60*10.56</f>
        <v>633.6</v>
      </c>
      <c r="AZ52" s="25">
        <f>60*18.48</f>
        <v>1108.8</v>
      </c>
      <c r="BA52" s="25">
        <f>60*29.92</f>
        <v>1795.2</v>
      </c>
      <c r="BB52" s="25">
        <f>60*39.6</f>
        <v>2376</v>
      </c>
      <c r="BC52" s="25">
        <f>60*52.8</f>
        <v>3168</v>
      </c>
      <c r="BD52" s="25">
        <f>60*70.4</f>
        <v>4224</v>
      </c>
      <c r="BE52" s="53"/>
      <c r="BF52" s="53"/>
      <c r="BG52" s="53"/>
      <c r="BH52" s="53"/>
      <c r="BI52" s="53"/>
      <c r="BJ52" s="53"/>
      <c r="BK52" s="53"/>
      <c r="BL52" s="53"/>
      <c r="BM52" s="53"/>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53"/>
      <c r="CO52" s="53"/>
      <c r="CP52" s="53"/>
      <c r="CQ52" s="53"/>
      <c r="CR52" s="1"/>
      <c r="CS52" s="1"/>
      <c r="CT52" s="1"/>
      <c r="CU52" s="1"/>
    </row>
    <row r="53" spans="1:99" s="13" customFormat="1" ht="12" customHeight="1" x14ac:dyDescent="0.2">
      <c r="A53" s="65">
        <v>43509</v>
      </c>
      <c r="B53" s="1" t="s">
        <v>247</v>
      </c>
      <c r="C53" s="1" t="s">
        <v>45</v>
      </c>
      <c r="D53" s="60">
        <v>1999</v>
      </c>
      <c r="E53" s="76">
        <v>1</v>
      </c>
      <c r="F53" s="60">
        <v>32</v>
      </c>
      <c r="G53" s="60">
        <v>32</v>
      </c>
      <c r="H53" s="60" t="s">
        <v>41</v>
      </c>
      <c r="I53" s="60" t="s">
        <v>735</v>
      </c>
      <c r="J53" s="60" t="s">
        <v>16</v>
      </c>
      <c r="K53" s="60">
        <f>IF(J53="syllables",1,IF(J53="trigrams",2,IF(J53="strings",3,IF(J53="visual array",4,IF(J53="characters",5,IF(J53="letters",6,IF(J53="free forms",7,IF(J53="odors",8,IF(J53="words",9,IF(J53="pictures",10,IF(J53="object pictures",11,IF(J53="faces",12,IF(J53="names",13,IF(J53="idioms",14,IF(J53="grades",15,IF(J53="syllable-digit pairs",16,IF(J53="trigram-word pairs",17,IF(J53="word-digit pairs",18,IF(J53="English-Swahili pairs",19,IF(J53="spatial position",20,IF(J53="word pairs",21,IF(J53="word triads",22,IF(J53="generated words",23,IF(J53="word definition pairs",24,IF(J53="math problems",25,IF(J53="famous faces",26,IF(J53="famous names",27,IF(J53="famous voices",28,IF(J53="television programs",29,IF(J53="race horses",30,IF(J53="new vocabulary",31,IF(J53="sentences",32,IF(J53="concepts",33,IF(J53="ad slides",34,IF(J53="scenes",35,IF(J53="famous scenes",36,IF(J53="poems",37,IF(J53="walk",38,IF(J53="faces and events",39,IF(J53="events and names",40,IF(J53="flashbulb",41,IF(J53="stories",42,IF(J53="course material",43,IF(J53="autobiographical",44,IF(J53="novels",45,IF(J53="public events",46,"99"))))))))))))))))))))))))))))))))))))))))))))))</f>
        <v>9</v>
      </c>
      <c r="L53" s="60">
        <f>IF(J53="syllables",1,IF(J53="trigrams",1,IF(J53="strings",1,IF(J53="visual array",1,IF(J53="characters",1,IF(J53="letters",1,IF(J53="free forms",1,IF(J53="odors",2,IF(J53="words",2,IF(J53="pictures",2,IF(J53="object pictures",2,IF(J53="faces",2,IF(J53="names",2,IF(J53="idioms","2",IF(J53="grades",2,IF(J53="syllable-digit pairs",3,IF(J53="trigram-word pairs",3,IF(J53="word-digit pairs",3,IF(J53="English-Swahili pairs",3,IF(J53="spatial position",3,IF(J53="word pairs",4,IF(J53="word triads",4,IF(J53="generated words",4,IF(J53="word definition pairs",4,IF(J53="math problems",4,IF(J53="famous faces",4,IF(J53="famous names",4,IF(J53="famous voices",4,IF(J53="television programs",4,IF(J53="race horses",4,IF(J53="new vocabulary",4,IF(J53="sentences",5,IF(J53="concepts",5,IF(J53="ad slides",5,IF(J53="scenes",5,IF(J53="famous scenes",5,IF(J53="poems",6,IF(J53="walk",6,IF(J53="faces and events",6,IF(J53="events and names",6,IF(J53="flashbulb",7,IF(J53="stories",7,IF(J53="course material",7,IF(J53="autobiographical",7,IF(J53="novels",7,IF(J53="public events",7,"99"))))))))))))))))))))))))))))))))))))))))))))))</f>
        <v>2</v>
      </c>
      <c r="M53" s="60">
        <v>0</v>
      </c>
      <c r="N53" s="60">
        <v>1</v>
      </c>
      <c r="O53" s="60">
        <v>0</v>
      </c>
      <c r="P53" s="60"/>
      <c r="Q53" s="60" t="s">
        <v>64</v>
      </c>
      <c r="R53" s="60">
        <f>IF(Q53="Free Recall",1,IF(Q53="Cued Recall",2,IF(Q53="Recognition",3,IF(Q53="Multiple Choice",4,IF(Q53="Savings",5,IF(Q53="Stem Completion",6,IF(Q53="Fragment Completion",7,IF(Q53="anagram solution",8,IF(Q53="Matching",9,IF(Q53="Problem Solving",10,"99"))))))))))</f>
        <v>6</v>
      </c>
      <c r="S53" s="60" t="s">
        <v>49</v>
      </c>
      <c r="T53" s="59" t="s">
        <v>581</v>
      </c>
      <c r="U53" s="60">
        <f>IF(T53="within",1,0)</f>
        <v>1</v>
      </c>
      <c r="V53" s="59">
        <v>180</v>
      </c>
      <c r="W53" s="60">
        <f>F53*V53</f>
        <v>5760</v>
      </c>
      <c r="X53" s="60">
        <v>9</v>
      </c>
      <c r="Y53" s="76">
        <f>AV52</f>
        <v>52.8</v>
      </c>
      <c r="Z53" s="60" t="s">
        <v>68</v>
      </c>
      <c r="AA53" s="60">
        <v>4224</v>
      </c>
      <c r="AB53" s="60" t="str">
        <f>IF(AA53&lt;60,"1",IF(AA53&lt;=43200,"2",IF(AA53&lt;=777600,"3","4")))</f>
        <v>2</v>
      </c>
      <c r="AC53" s="56">
        <f>AVERAGE(AV52:DA52)</f>
        <v>1554.6666666666667</v>
      </c>
      <c r="AD53" s="60" t="str">
        <f>IF(AC53&lt;60,"1",IF(AC53&lt;=43200,"2",IF(AC53&lt;=777600,"3","4")))</f>
        <v>2</v>
      </c>
      <c r="AE53" s="76">
        <f>AA53-Y53</f>
        <v>4171.2</v>
      </c>
      <c r="AF53" s="80">
        <f>AV53</f>
        <v>0.675111875646635</v>
      </c>
      <c r="AG53" s="56">
        <f>((AW53-AV53)+(AX53-AW53)+(AY53-AX53)+(AZ53-AY53)+(BA53-AZ53)+(BB53-BA53)+(BC53-BB53)+(BD53-BC53))/8</f>
        <v>-5.1254783540879874E-2</v>
      </c>
      <c r="AH53" s="4"/>
      <c r="AI53" s="56">
        <f>RSQ(AV53:BD53,AV52:BD52)</f>
        <v>0.39758326358304447</v>
      </c>
      <c r="AJ53" s="109">
        <f>SLOPE(AV53:BD53,AV52:BD52)</f>
        <v>-5.7590122394409863E-5</v>
      </c>
      <c r="AK53" s="56">
        <f>INTERCEPT(AV53:BD53,AV52:BD52)</f>
        <v>0.46827180764832377</v>
      </c>
      <c r="AL53" s="56">
        <f>INDEX(LINEST(LN(AV53:BD53),LN(AV52:BD52),TRUE,TRUE),3,1)</f>
        <v>0.82095517721876776</v>
      </c>
      <c r="AM53" s="56">
        <f>INDEX(LINEST(LN(AV53:BD53),LN(AV52:BD52)),1)</f>
        <v>-0.19073528606652271</v>
      </c>
      <c r="AN53" s="56">
        <f>EXP(INDEX(LINEST(LN(AV53:BD53),LN(AV52:BD52)),1,2))</f>
        <v>1.3061550557609947</v>
      </c>
      <c r="AO53" s="82">
        <f>INDEX(LINEST((AV53:BD53),LN(AV52:BD52),TRUE,TRUE),3,1)</f>
        <v>0.81315564131684359</v>
      </c>
      <c r="AP53" s="82">
        <f>INDEX(LINEST((AV53:BD53),LN(AV52:BD52)),1)</f>
        <v>-8.3949594421529605E-2</v>
      </c>
      <c r="AQ53" s="83">
        <f>INDEX(LINEST(LN(AV53:BD53),SQRT(AV52:BD52),TRUE,TRUE),3,1)</f>
        <v>0.61952814662351685</v>
      </c>
      <c r="AR53" s="116">
        <f>INDEX(LINEST(LN(AV53:BD53),SQRT((AV52:BD52))),1)</f>
        <v>-1.2000691113491772E-2</v>
      </c>
      <c r="AS53" s="84">
        <f>INDEX(LINEST(1/(AV53:BD53),1/(SQRT(AV52:BD52)),TRUE,TRUE),3,1)</f>
        <v>0.81190198977152805</v>
      </c>
      <c r="AT53" s="84">
        <f>INDEX(LINEST(1/(AV53:BD53),1/SQRT(AV52:BD52)),1)</f>
        <v>-16.850512281621466</v>
      </c>
      <c r="AU53" s="3"/>
      <c r="AV53" s="53">
        <v>0.675111875646635</v>
      </c>
      <c r="AW53" s="53">
        <v>0.51545691385263503</v>
      </c>
      <c r="AX53" s="53">
        <v>0.37373945127955799</v>
      </c>
      <c r="AY53" s="53">
        <v>0.30916632387220599</v>
      </c>
      <c r="AZ53" s="53">
        <v>0.30126335340239002</v>
      </c>
      <c r="BA53" s="53">
        <v>0.304538598656245</v>
      </c>
      <c r="BB53" s="53">
        <v>0.34630966181768302</v>
      </c>
      <c r="BC53" s="53">
        <v>0.31798549044538299</v>
      </c>
      <c r="BD53" s="53">
        <v>0.26507360731959601</v>
      </c>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1"/>
      <c r="CS53" s="1"/>
      <c r="CT53" s="1"/>
      <c r="CU53" s="1"/>
    </row>
    <row r="54" spans="1:99" s="13" customFormat="1" ht="12" customHeight="1" x14ac:dyDescent="0.2">
      <c r="A54" s="65">
        <v>43509</v>
      </c>
      <c r="B54" s="1"/>
      <c r="C54" s="1"/>
      <c r="D54" s="60"/>
      <c r="E54" s="76"/>
      <c r="F54" s="60"/>
      <c r="G54" s="60"/>
      <c r="H54" s="60"/>
      <c r="I54" s="60"/>
      <c r="J54" s="60"/>
      <c r="K54" s="64"/>
      <c r="L54" s="64"/>
      <c r="M54" s="60"/>
      <c r="N54" s="60"/>
      <c r="O54" s="60"/>
      <c r="P54" s="60"/>
      <c r="Q54" s="60"/>
      <c r="R54" s="60"/>
      <c r="S54" s="60"/>
      <c r="T54" s="59"/>
      <c r="U54" s="60"/>
      <c r="V54" s="59"/>
      <c r="W54" s="60"/>
      <c r="X54" s="60"/>
      <c r="Y54" s="76"/>
      <c r="Z54" s="60"/>
      <c r="AA54" s="60"/>
      <c r="AB54" s="60"/>
      <c r="AC54" s="60"/>
      <c r="AD54" s="60"/>
      <c r="AE54" s="60"/>
      <c r="AF54" s="80"/>
      <c r="AG54" s="56"/>
      <c r="AH54" s="4"/>
      <c r="AI54" s="56"/>
      <c r="AJ54" s="109"/>
      <c r="AK54" s="56"/>
      <c r="AL54" s="56"/>
      <c r="AM54" s="56"/>
      <c r="AN54" s="56"/>
      <c r="AO54" s="56"/>
      <c r="AP54" s="56"/>
      <c r="AQ54" s="82"/>
      <c r="AR54" s="115"/>
      <c r="AS54" s="82"/>
      <c r="AT54" s="82"/>
      <c r="AU54" s="5"/>
      <c r="AV54" s="25">
        <f>60*0.88</f>
        <v>52.8</v>
      </c>
      <c r="AW54" s="25">
        <f>60*3.52</f>
        <v>211.2</v>
      </c>
      <c r="AX54" s="25">
        <f>60*7.04</f>
        <v>422.4</v>
      </c>
      <c r="AY54" s="25">
        <f>60*10.56</f>
        <v>633.6</v>
      </c>
      <c r="AZ54" s="25">
        <f>60*18.48</f>
        <v>1108.8</v>
      </c>
      <c r="BA54" s="25">
        <f>60*29.92</f>
        <v>1795.2</v>
      </c>
      <c r="BB54" s="25">
        <f>60*39.6</f>
        <v>2376</v>
      </c>
      <c r="BC54" s="25">
        <f>60*52.8</f>
        <v>3168</v>
      </c>
      <c r="BD54" s="25">
        <f>60*70.4</f>
        <v>4224</v>
      </c>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1"/>
      <c r="CS54" s="1"/>
      <c r="CT54" s="1"/>
      <c r="CU54" s="1"/>
    </row>
    <row r="55" spans="1:99" s="13" customFormat="1" ht="12" customHeight="1" x14ac:dyDescent="0.2">
      <c r="A55" s="65">
        <v>43509</v>
      </c>
      <c r="B55" s="1" t="s">
        <v>247</v>
      </c>
      <c r="C55" s="1" t="s">
        <v>45</v>
      </c>
      <c r="D55" s="60">
        <v>1999</v>
      </c>
      <c r="E55" s="76">
        <v>1</v>
      </c>
      <c r="F55" s="60">
        <v>32</v>
      </c>
      <c r="G55" s="60">
        <v>32</v>
      </c>
      <c r="H55" s="60" t="s">
        <v>41</v>
      </c>
      <c r="I55" s="60" t="s">
        <v>736</v>
      </c>
      <c r="J55" s="60" t="s">
        <v>16</v>
      </c>
      <c r="K55" s="60">
        <f>IF(J55="syllables",1,IF(J55="trigrams",2,IF(J55="strings",3,IF(J55="visual array",4,IF(J55="characters",5,IF(J55="letters",6,IF(J55="free forms",7,IF(J55="odors",8,IF(J55="words",9,IF(J55="pictures",10,IF(J55="object pictures",11,IF(J55="faces",12,IF(J55="names",13,IF(J55="idioms",14,IF(J55="grades",15,IF(J55="syllable-digit pairs",16,IF(J55="trigram-word pairs",17,IF(J55="word-digit pairs",18,IF(J55="English-Swahili pairs",19,IF(J55="spatial position",20,IF(J55="word pairs",21,IF(J55="word triads",22,IF(J55="generated words",23,IF(J55="word definition pairs",24,IF(J55="math problems",25,IF(J55="famous faces",26,IF(J55="famous names",27,IF(J55="famous voices",28,IF(J55="television programs",29,IF(J55="race horses",30,IF(J55="new vocabulary",31,IF(J55="sentences",32,IF(J55="concepts",33,IF(J55="ad slides",34,IF(J55="scenes",35,IF(J55="famous scenes",36,IF(J55="poems",37,IF(J55="walk",38,IF(J55="faces and events",39,IF(J55="events and names",40,IF(J55="flashbulb",41,IF(J55="stories",42,IF(J55="course material",43,IF(J55="autobiographical",44,IF(J55="novels",45,IF(J55="public events",46,"99"))))))))))))))))))))))))))))))))))))))))))))))</f>
        <v>9</v>
      </c>
      <c r="L55" s="60">
        <f>IF(J55="syllables",1,IF(J55="trigrams",1,IF(J55="strings",1,IF(J55="visual array",1,IF(J55="characters",1,IF(J55="letters",1,IF(J55="free forms",1,IF(J55="odors",2,IF(J55="words",2,IF(J55="pictures",2,IF(J55="object pictures",2,IF(J55="faces",2,IF(J55="names",2,IF(J55="idioms","2",IF(J55="grades",2,IF(J55="syllable-digit pairs",3,IF(J55="trigram-word pairs",3,IF(J55="word-digit pairs",3,IF(J55="English-Swahili pairs",3,IF(J55="spatial position",3,IF(J55="word pairs",4,IF(J55="word triads",4,IF(J55="generated words",4,IF(J55="word definition pairs",4,IF(J55="math problems",4,IF(J55="famous faces",4,IF(J55="famous names",4,IF(J55="famous voices",4,IF(J55="television programs",4,IF(J55="race horses",4,IF(J55="new vocabulary",4,IF(J55="sentences",5,IF(J55="concepts",5,IF(J55="ad slides",5,IF(J55="scenes",5,IF(J55="famous scenes",5,IF(J55="poems",6,IF(J55="walk",6,IF(J55="faces and events",6,IF(J55="events and names",6,IF(J55="flashbulb",7,IF(J55="stories",7,IF(J55="course material",7,IF(J55="autobiographical",7,IF(J55="novels",7,IF(J55="public events",7,"99"))))))))))))))))))))))))))))))))))))))))))))))</f>
        <v>2</v>
      </c>
      <c r="M55" s="60">
        <v>0</v>
      </c>
      <c r="N55" s="60">
        <v>1</v>
      </c>
      <c r="O55" s="60">
        <v>0</v>
      </c>
      <c r="P55" s="60"/>
      <c r="Q55" s="60" t="s">
        <v>64</v>
      </c>
      <c r="R55" s="60">
        <f>IF(Q55="Free Recall",1,IF(Q55="Cued Recall",2,IF(Q55="Recognition",3,IF(Q55="Multiple Choice",4,IF(Q55="Savings",5,IF(Q55="Stem Completion",6,IF(Q55="Fragment Completion",7,IF(Q55="anagram solution",8,IF(Q55="Matching",9,IF(Q55="Problem Solving",10,"99"))))))))))</f>
        <v>6</v>
      </c>
      <c r="S55" s="60" t="s">
        <v>49</v>
      </c>
      <c r="T55" s="59" t="s">
        <v>581</v>
      </c>
      <c r="U55" s="60">
        <f>IF(T55="within",1,0)</f>
        <v>1</v>
      </c>
      <c r="V55" s="59">
        <v>180</v>
      </c>
      <c r="W55" s="60">
        <f>F55*V55</f>
        <v>5760</v>
      </c>
      <c r="X55" s="60">
        <v>9</v>
      </c>
      <c r="Y55" s="76">
        <f>AV54</f>
        <v>52.8</v>
      </c>
      <c r="Z55" s="60" t="s">
        <v>68</v>
      </c>
      <c r="AA55" s="60">
        <v>4224</v>
      </c>
      <c r="AB55" s="60" t="str">
        <f>IF(AA55&lt;60,"1",IF(AA55&lt;=43200,"2",IF(AA55&lt;=777600,"3","4")))</f>
        <v>2</v>
      </c>
      <c r="AC55" s="56">
        <f>AVERAGE(AV54:DA54)</f>
        <v>1554.6666666666667</v>
      </c>
      <c r="AD55" s="60" t="str">
        <f>IF(AC55&lt;60,"1",IF(AC55&lt;=43200,"2",IF(AC55&lt;=777600,"3","4")))</f>
        <v>2</v>
      </c>
      <c r="AE55" s="76">
        <f>AA55-Y55</f>
        <v>4171.2</v>
      </c>
      <c r="AF55" s="80">
        <f>AV55</f>
        <v>0.50155815663837</v>
      </c>
      <c r="AG55" s="56">
        <f>((AW55-AV55)+(AX55-AW55)+(AY55-AX55)+(AZ55-AY55)+(BA55-AZ55)+(BB55-BA55)+(BC55-BB55)+(BD55-BC55))/8</f>
        <v>-3.0249273899006494E-2</v>
      </c>
      <c r="AH55" s="4"/>
      <c r="AI55" s="56">
        <f>RSQ(AV55:BD55,AV54:BD54)</f>
        <v>0.26768765388966359</v>
      </c>
      <c r="AJ55" s="109">
        <f>SLOPE(AV55:BD55,AV54:BD54)</f>
        <v>-3.3212806427779019E-5</v>
      </c>
      <c r="AK55" s="56">
        <f>INTERCEPT(AV55:BD55,AV54:BD54)</f>
        <v>0.34497341179935831</v>
      </c>
      <c r="AL55" s="56">
        <f>INDEX(LINEST(LN(AV55:BD55),LN(AV54:BD54),TRUE,TRUE),3,1)</f>
        <v>0.68499199472360295</v>
      </c>
      <c r="AM55" s="56">
        <f>INDEX(LINEST(LN(AV55:BD55),LN(AV54:BD54)),1)</f>
        <v>-0.15658516371995584</v>
      </c>
      <c r="AN55" s="56">
        <f>EXP(INDEX(LINEST(LN(AV55:BD55),LN(AV54:BD54)),1,2))</f>
        <v>0.81072565736884405</v>
      </c>
      <c r="AO55" s="82">
        <f>INDEX(LINEST((AV55:BD55),LN(AV54:BD54),TRUE,TRUE),3,1)</f>
        <v>0.70567157137799008</v>
      </c>
      <c r="AP55" s="82">
        <f>INDEX(LINEST((AV55:BD55),LN(AV54:BD54)),1)</f>
        <v>-5.4965543019159055E-2</v>
      </c>
      <c r="AQ55" s="83">
        <f>INDEX(LINEST(LN(AV55:BD55),SQRT(AV54:BD54),TRUE,TRUE),3,1)</f>
        <v>0.43627427012643355</v>
      </c>
      <c r="AR55" s="116">
        <f>INDEX(LINEST(LN(AV55:BD55),SQRT((AV54:BD54))),1)</f>
        <v>-9.0509064786974333E-3</v>
      </c>
      <c r="AS55" s="84">
        <f>INDEX(LINEST(1/(AV55:BD55),1/(SQRT(AV54:BD54)),TRUE,TRUE),3,1)</f>
        <v>0.77734964797465578</v>
      </c>
      <c r="AT55" s="84">
        <f>INDEX(LINEST(1/(AV55:BD55),1/SQRT(AV54:BD54)),1)</f>
        <v>-18.501117023980193</v>
      </c>
      <c r="AU55" s="3"/>
      <c r="AV55" s="53">
        <v>0.50155815663837</v>
      </c>
      <c r="AW55" s="53">
        <v>0.398373907732196</v>
      </c>
      <c r="AX55" s="53">
        <v>0.249775625444074</v>
      </c>
      <c r="AY55" s="53">
        <v>0.232028221333034</v>
      </c>
      <c r="AZ55" s="53">
        <v>0.27096343941263701</v>
      </c>
      <c r="BA55" s="53">
        <v>0.23842289617690701</v>
      </c>
      <c r="BB55" s="53">
        <v>0.244375054535482</v>
      </c>
      <c r="BC55" s="53">
        <v>0.24498585193772299</v>
      </c>
      <c r="BD55" s="53">
        <v>0.25956396544631799</v>
      </c>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1"/>
      <c r="CS55" s="1"/>
      <c r="CT55" s="1"/>
      <c r="CU55" s="1"/>
    </row>
    <row r="56" spans="1:99" s="13" customFormat="1" ht="12" customHeight="1" x14ac:dyDescent="0.2">
      <c r="A56" s="65">
        <v>43509</v>
      </c>
      <c r="B56" s="1"/>
      <c r="C56" s="1"/>
      <c r="D56" s="60"/>
      <c r="E56" s="76"/>
      <c r="F56" s="60"/>
      <c r="G56" s="60"/>
      <c r="H56" s="60"/>
      <c r="I56" s="60"/>
      <c r="J56" s="60"/>
      <c r="K56" s="64"/>
      <c r="L56" s="64"/>
      <c r="M56" s="60"/>
      <c r="N56" s="60"/>
      <c r="O56" s="60"/>
      <c r="P56" s="60"/>
      <c r="Q56" s="60"/>
      <c r="R56" s="60"/>
      <c r="S56" s="60"/>
      <c r="T56" s="60"/>
      <c r="U56" s="60"/>
      <c r="V56" s="60"/>
      <c r="W56" s="60"/>
      <c r="X56" s="60"/>
      <c r="Y56" s="76"/>
      <c r="Z56" s="60"/>
      <c r="AA56" s="60"/>
      <c r="AB56" s="60"/>
      <c r="AC56" s="60"/>
      <c r="AD56" s="60"/>
      <c r="AE56" s="60"/>
      <c r="AF56" s="80"/>
      <c r="AG56" s="56"/>
      <c r="AH56" s="4"/>
      <c r="AI56" s="56"/>
      <c r="AJ56" s="109"/>
      <c r="AK56" s="56"/>
      <c r="AL56" s="56"/>
      <c r="AM56" s="56"/>
      <c r="AN56" s="56"/>
      <c r="AO56" s="56"/>
      <c r="AP56" s="56"/>
      <c r="AQ56" s="82"/>
      <c r="AR56" s="115"/>
      <c r="AS56" s="82"/>
      <c r="AT56" s="82"/>
      <c r="AU56" s="5"/>
      <c r="AV56" s="25">
        <f>60*0.88</f>
        <v>52.8</v>
      </c>
      <c r="AW56" s="25">
        <f>60*3.52</f>
        <v>211.2</v>
      </c>
      <c r="AX56" s="25">
        <f>60*7.04</f>
        <v>422.4</v>
      </c>
      <c r="AY56" s="25">
        <f>60*10.56</f>
        <v>633.6</v>
      </c>
      <c r="AZ56" s="25">
        <f>60*18.48</f>
        <v>1108.8</v>
      </c>
      <c r="BA56" s="25">
        <f>60*29.92</f>
        <v>1795.2</v>
      </c>
      <c r="BB56" s="25">
        <f>60*39.6</f>
        <v>2376</v>
      </c>
      <c r="BC56" s="25">
        <f>60*52.8</f>
        <v>3168</v>
      </c>
      <c r="BD56" s="25">
        <f>60*70.4</f>
        <v>4224</v>
      </c>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1"/>
      <c r="CS56" s="1"/>
      <c r="CT56" s="1"/>
      <c r="CU56" s="1"/>
    </row>
    <row r="57" spans="1:99" s="13" customFormat="1" ht="12" customHeight="1" x14ac:dyDescent="0.2">
      <c r="A57" s="65">
        <v>43509</v>
      </c>
      <c r="B57" s="1" t="s">
        <v>247</v>
      </c>
      <c r="C57" s="1" t="s">
        <v>45</v>
      </c>
      <c r="D57" s="60">
        <v>1999</v>
      </c>
      <c r="E57" s="76">
        <v>1</v>
      </c>
      <c r="F57" s="60">
        <v>32</v>
      </c>
      <c r="G57" s="60">
        <v>32</v>
      </c>
      <c r="H57" s="60" t="s">
        <v>41</v>
      </c>
      <c r="I57" s="60" t="s">
        <v>737</v>
      </c>
      <c r="J57" s="60" t="s">
        <v>16</v>
      </c>
      <c r="K57" s="60">
        <f>IF(J57="syllables",1,IF(J57="trigrams",2,IF(J57="strings",3,IF(J57="visual array",4,IF(J57="characters",5,IF(J57="letters",6,IF(J57="free forms",7,IF(J57="odors",8,IF(J57="words",9,IF(J57="pictures",10,IF(J57="object pictures",11,IF(J57="faces",12,IF(J57="names",13,IF(J57="idioms",14,IF(J57="grades",15,IF(J57="syllable-digit pairs",16,IF(J57="trigram-word pairs",17,IF(J57="word-digit pairs",18,IF(J57="English-Swahili pairs",19,IF(J57="spatial position",20,IF(J57="word pairs",21,IF(J57="word triads",22,IF(J57="generated words",23,IF(J57="word definition pairs",24,IF(J57="math problems",25,IF(J57="famous faces",26,IF(J57="famous names",27,IF(J57="famous voices",28,IF(J57="television programs",29,IF(J57="race horses",30,IF(J57="new vocabulary",31,IF(J57="sentences",32,IF(J57="concepts",33,IF(J57="ad slides",34,IF(J57="scenes",35,IF(J57="famous scenes",36,IF(J57="poems",37,IF(J57="walk",38,IF(J57="faces and events",39,IF(J57="events and names",40,IF(J57="flashbulb",41,IF(J57="stories",42,IF(J57="course material",43,IF(J57="autobiographical",44,IF(J57="novels",45,IF(J57="public events",46,"99"))))))))))))))))))))))))))))))))))))))))))))))</f>
        <v>9</v>
      </c>
      <c r="L57" s="60">
        <f>IF(J57="syllables",1,IF(J57="trigrams",1,IF(J57="strings",1,IF(J57="visual array",1,IF(J57="characters",1,IF(J57="letters",1,IF(J57="free forms",1,IF(J57="odors",2,IF(J57="words",2,IF(J57="pictures",2,IF(J57="object pictures",2,IF(J57="faces",2,IF(J57="names",2,IF(J57="idioms","2",IF(J57="grades",2,IF(J57="syllable-digit pairs",3,IF(J57="trigram-word pairs",3,IF(J57="word-digit pairs",3,IF(J57="English-Swahili pairs",3,IF(J57="spatial position",3,IF(J57="word pairs",4,IF(J57="word triads",4,IF(J57="generated words",4,IF(J57="word definition pairs",4,IF(J57="math problems",4,IF(J57="famous faces",4,IF(J57="famous names",4,IF(J57="famous voices",4,IF(J57="television programs",4,IF(J57="race horses",4,IF(J57="new vocabulary",4,IF(J57="sentences",5,IF(J57="concepts",5,IF(J57="ad slides",5,IF(J57="scenes",5,IF(J57="famous scenes",5,IF(J57="poems",6,IF(J57="walk",6,IF(J57="faces and events",6,IF(J57="events and names",6,IF(J57="flashbulb",7,IF(J57="stories",7,IF(J57="course material",7,IF(J57="autobiographical",7,IF(J57="novels",7,IF(J57="public events",7,"99"))))))))))))))))))))))))))))))))))))))))))))))</f>
        <v>2</v>
      </c>
      <c r="M57" s="60">
        <v>0</v>
      </c>
      <c r="N57" s="60">
        <v>1</v>
      </c>
      <c r="O57" s="60">
        <v>0</v>
      </c>
      <c r="P57" s="60"/>
      <c r="Q57" s="60" t="s">
        <v>64</v>
      </c>
      <c r="R57" s="60">
        <f>IF(Q57="Free Recall",1,IF(Q57="Cued Recall",2,IF(Q57="Recognition",3,IF(Q57="Multiple Choice",4,IF(Q57="Savings",5,IF(Q57="Stem Completion",6,IF(Q57="Fragment Completion",7,IF(Q57="anagram solution",8,IF(Q57="Matching",9,IF(Q57="Problem Solving",10,"99"))))))))))</f>
        <v>6</v>
      </c>
      <c r="S57" s="60" t="s">
        <v>49</v>
      </c>
      <c r="T57" s="59" t="s">
        <v>581</v>
      </c>
      <c r="U57" s="60">
        <f>IF(T57="within",1,0)</f>
        <v>1</v>
      </c>
      <c r="V57" s="59">
        <v>180</v>
      </c>
      <c r="W57" s="60">
        <f>F57*V57</f>
        <v>5760</v>
      </c>
      <c r="X57" s="60">
        <v>9</v>
      </c>
      <c r="Y57" s="76">
        <f>AV56</f>
        <v>52.8</v>
      </c>
      <c r="Z57" s="60" t="s">
        <v>68</v>
      </c>
      <c r="AA57" s="60">
        <v>4224</v>
      </c>
      <c r="AB57" s="60" t="str">
        <f>IF(AA57&lt;60,"1",IF(AA57&lt;=43200,"2",IF(AA57&lt;=777600,"3","4")))</f>
        <v>2</v>
      </c>
      <c r="AC57" s="56">
        <f>AVERAGE(AV56:DA56)</f>
        <v>1554.6666666666667</v>
      </c>
      <c r="AD57" s="60" t="str">
        <f>IF(AC57&lt;60,"1",IF(AC57&lt;=43200,"2",IF(AC57&lt;=777600,"3","4")))</f>
        <v>2</v>
      </c>
      <c r="AE57" s="76">
        <f>AA57-Y57</f>
        <v>4171.2</v>
      </c>
      <c r="AF57" s="80">
        <f>AV57</f>
        <v>0.20679231641798401</v>
      </c>
      <c r="AG57" s="56">
        <f>((AW57-AV57)+(AX57-AW57)+(AY57-AX57)+(AZ57-AY57)+(BA57-AZ57)+(BB57-BA57)+(BC57-BB57)+(BD57-BC57))/8</f>
        <v>-7.694567019433253E-3</v>
      </c>
      <c r="AH57" s="4"/>
      <c r="AI57" s="56">
        <f>RSQ(AV57:BD57,AV56:BD56)</f>
        <v>2.1375681095973795E-2</v>
      </c>
      <c r="AJ57" s="109">
        <f>SLOPE(AV57:BD57,AV56:BD56)</f>
        <v>-3.287121151083069E-6</v>
      </c>
      <c r="AK57" s="56">
        <f>INTERCEPT(AV57:BD57,AV56:BD56)</f>
        <v>0.17325729315600225</v>
      </c>
      <c r="AL57" s="56">
        <f>INDEX(LINEST(LN(AV57:BD57),LN(AV56:BD56),TRUE,TRUE),3,1)</f>
        <v>9.5307926813173793E-2</v>
      </c>
      <c r="AM57" s="56">
        <f>INDEX(LINEST(LN(AV57:BD57),LN(AV56:BD56)),1)</f>
        <v>-4.656993122468521E-2</v>
      </c>
      <c r="AN57" s="56">
        <f>EXP(INDEX(LINEST(LN(AV57:BD57),LN(AV56:BD56)),1,2))</f>
        <v>0.22561463686222014</v>
      </c>
      <c r="AO57" s="82">
        <f>INDEX(LINEST((AV57:BD57),LN(AV56:BD56),TRUE,TRUE),3,1)</f>
        <v>9.8777651397519289E-2</v>
      </c>
      <c r="AP57" s="82">
        <f>INDEX(LINEST((AV57:BD57),LN(AV56:BD56)),1)</f>
        <v>-7.2024936871050178E-3</v>
      </c>
      <c r="AQ57" s="83">
        <f>INDEX(LINEST(LN(AV57:BD57),SQRT(AV56:BD56),TRUE,TRUE),3,1)</f>
        <v>4.7854784218713392E-2</v>
      </c>
      <c r="AR57" s="116">
        <f>INDEX(LINEST(LN(AV57:BD57),SQRT((AV56:BD56))),1)</f>
        <v>-2.3900565725873718E-3</v>
      </c>
      <c r="AS57" s="84">
        <f>INDEX(LINEST(1/(AV57:BD57),1/(SQRT(AV56:BD56)),TRUE,TRUE),3,1)</f>
        <v>0.12055394623761148</v>
      </c>
      <c r="AT57" s="84">
        <f>INDEX(LINEST(1/(AV57:BD57),1/SQRT(AV56:BD56)),1)</f>
        <v>-13.281314347420542</v>
      </c>
      <c r="AU57" s="3"/>
      <c r="AV57" s="53">
        <v>0.20679231641798401</v>
      </c>
      <c r="AW57" s="53">
        <v>0.16008501302618899</v>
      </c>
      <c r="AX57" s="53">
        <v>0.176769754309861</v>
      </c>
      <c r="AY57" s="53">
        <v>0.15076100370218001</v>
      </c>
      <c r="AZ57" s="53">
        <v>0.185557757750271</v>
      </c>
      <c r="BA57" s="53">
        <v>0.10343667028159</v>
      </c>
      <c r="BB57" s="53">
        <v>0.17826558468269699</v>
      </c>
      <c r="BC57" s="53">
        <v>0.20641835882477599</v>
      </c>
      <c r="BD57" s="53">
        <v>0.14523578026251799</v>
      </c>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1"/>
      <c r="CS57" s="1"/>
      <c r="CT57" s="1"/>
      <c r="CU57" s="1"/>
    </row>
    <row r="58" spans="1:99" s="13" customFormat="1" ht="12" customHeight="1" x14ac:dyDescent="0.2">
      <c r="A58" s="65">
        <v>43509</v>
      </c>
      <c r="B58" s="1"/>
      <c r="C58" s="1"/>
      <c r="D58" s="60"/>
      <c r="E58" s="76"/>
      <c r="F58" s="60"/>
      <c r="G58" s="60"/>
      <c r="H58" s="60"/>
      <c r="I58" s="60"/>
      <c r="J58" s="60"/>
      <c r="K58" s="64"/>
      <c r="L58" s="64"/>
      <c r="M58" s="60"/>
      <c r="N58" s="60"/>
      <c r="O58" s="60"/>
      <c r="P58" s="60"/>
      <c r="Q58" s="60"/>
      <c r="R58" s="60"/>
      <c r="S58" s="60"/>
      <c r="T58" s="59"/>
      <c r="U58" s="60"/>
      <c r="V58" s="59"/>
      <c r="W58" s="60"/>
      <c r="X58" s="60"/>
      <c r="Y58" s="76"/>
      <c r="Z58" s="60"/>
      <c r="AA58" s="60"/>
      <c r="AB58" s="60"/>
      <c r="AC58" s="60"/>
      <c r="AD58" s="60"/>
      <c r="AE58" s="60"/>
      <c r="AF58" s="80"/>
      <c r="AG58" s="56"/>
      <c r="AH58" s="4"/>
      <c r="AI58" s="56"/>
      <c r="AJ58" s="109"/>
      <c r="AK58" s="56"/>
      <c r="AL58" s="56"/>
      <c r="AM58" s="56"/>
      <c r="AN58" s="56"/>
      <c r="AO58" s="56"/>
      <c r="AP58" s="56"/>
      <c r="AQ58" s="82"/>
      <c r="AR58" s="115"/>
      <c r="AS58" s="82"/>
      <c r="AT58" s="82"/>
      <c r="AU58" s="5"/>
      <c r="AV58" s="25">
        <f>60*0.88</f>
        <v>52.8</v>
      </c>
      <c r="AW58" s="25">
        <f>60*3.52</f>
        <v>211.2</v>
      </c>
      <c r="AX58" s="25">
        <f>60*7.04</f>
        <v>422.4</v>
      </c>
      <c r="AY58" s="25">
        <f>60*10.56</f>
        <v>633.6</v>
      </c>
      <c r="AZ58" s="25">
        <f>60*18.48</f>
        <v>1108.8</v>
      </c>
      <c r="BA58" s="25">
        <f>60*29.92</f>
        <v>1795.2</v>
      </c>
      <c r="BB58" s="25">
        <f>60*39.6</f>
        <v>2376</v>
      </c>
      <c r="BC58" s="25">
        <f>60*52.8</f>
        <v>3168</v>
      </c>
      <c r="BD58" s="25">
        <f>60*70.4</f>
        <v>4224</v>
      </c>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1"/>
      <c r="CS58" s="1"/>
      <c r="CT58" s="1"/>
      <c r="CU58" s="1"/>
    </row>
    <row r="59" spans="1:99" s="13" customFormat="1" ht="12" customHeight="1" x14ac:dyDescent="0.2">
      <c r="A59" s="65">
        <v>43509</v>
      </c>
      <c r="B59" s="1" t="s">
        <v>247</v>
      </c>
      <c r="C59" s="1" t="s">
        <v>45</v>
      </c>
      <c r="D59" s="60">
        <v>1999</v>
      </c>
      <c r="E59" s="76">
        <v>1</v>
      </c>
      <c r="F59" s="60">
        <v>32</v>
      </c>
      <c r="G59" s="60">
        <v>32</v>
      </c>
      <c r="H59" s="60" t="s">
        <v>41</v>
      </c>
      <c r="I59" s="60" t="s">
        <v>738</v>
      </c>
      <c r="J59" s="60" t="s">
        <v>16</v>
      </c>
      <c r="K59" s="60">
        <f>IF(J59="syllables",1,IF(J59="trigrams",2,IF(J59="strings",3,IF(J59="visual array",4,IF(J59="characters",5,IF(J59="letters",6,IF(J59="free forms",7,IF(J59="odors",8,IF(J59="words",9,IF(J59="pictures",10,IF(J59="object pictures",11,IF(J59="faces",12,IF(J59="names",13,IF(J59="idioms",14,IF(J59="grades",15,IF(J59="syllable-digit pairs",16,IF(J59="trigram-word pairs",17,IF(J59="word-digit pairs",18,IF(J59="English-Swahili pairs",19,IF(J59="spatial position",20,IF(J59="word pairs",21,IF(J59="word triads",22,IF(J59="generated words",23,IF(J59="word definition pairs",24,IF(J59="math problems",25,IF(J59="famous faces",26,IF(J59="famous names",27,IF(J59="famous voices",28,IF(J59="television programs",29,IF(J59="race horses",30,IF(J59="new vocabulary",31,IF(J59="sentences",32,IF(J59="concepts",33,IF(J59="ad slides",34,IF(J59="scenes",35,IF(J59="famous scenes",36,IF(J59="poems",37,IF(J59="walk",38,IF(J59="faces and events",39,IF(J59="events and names",40,IF(J59="flashbulb",41,IF(J59="stories",42,IF(J59="course material",43,IF(J59="autobiographical",44,IF(J59="novels",45,IF(J59="public events",46,"99"))))))))))))))))))))))))))))))))))))))))))))))</f>
        <v>9</v>
      </c>
      <c r="L59" s="60">
        <f>IF(J59="syllables",1,IF(J59="trigrams",1,IF(J59="strings",1,IF(J59="visual array",1,IF(J59="characters",1,IF(J59="letters",1,IF(J59="free forms",1,IF(J59="odors",2,IF(J59="words",2,IF(J59="pictures",2,IF(J59="object pictures",2,IF(J59="faces",2,IF(J59="names",2,IF(J59="idioms","2",IF(J59="grades",2,IF(J59="syllable-digit pairs",3,IF(J59="trigram-word pairs",3,IF(J59="word-digit pairs",3,IF(J59="English-Swahili pairs",3,IF(J59="spatial position",3,IF(J59="word pairs",4,IF(J59="word triads",4,IF(J59="generated words",4,IF(J59="word definition pairs",4,IF(J59="math problems",4,IF(J59="famous faces",4,IF(J59="famous names",4,IF(J59="famous voices",4,IF(J59="television programs",4,IF(J59="race horses",4,IF(J59="new vocabulary",4,IF(J59="sentences",5,IF(J59="concepts",5,IF(J59="ad slides",5,IF(J59="scenes",5,IF(J59="famous scenes",5,IF(J59="poems",6,IF(J59="walk",6,IF(J59="faces and events",6,IF(J59="events and names",6,IF(J59="flashbulb",7,IF(J59="stories",7,IF(J59="course material",7,IF(J59="autobiographical",7,IF(J59="novels",7,IF(J59="public events",7,"99"))))))))))))))))))))))))))))))))))))))))))))))</f>
        <v>2</v>
      </c>
      <c r="M59" s="60">
        <v>0</v>
      </c>
      <c r="N59" s="60">
        <v>1</v>
      </c>
      <c r="O59" s="60">
        <v>0</v>
      </c>
      <c r="P59" s="60"/>
      <c r="Q59" s="60" t="s">
        <v>64</v>
      </c>
      <c r="R59" s="60">
        <f>IF(Q59="Free Recall",1,IF(Q59="Cued Recall",2,IF(Q59="Recognition",3,IF(Q59="Multiple Choice",4,IF(Q59="Savings",5,IF(Q59="Stem Completion",6,IF(Q59="Fragment Completion",7,IF(Q59="anagram solution",8,IF(Q59="Matching",9,IF(Q59="Problem Solving",10,"99"))))))))))</f>
        <v>6</v>
      </c>
      <c r="S59" s="60" t="s">
        <v>49</v>
      </c>
      <c r="T59" s="59" t="s">
        <v>581</v>
      </c>
      <c r="U59" s="60">
        <f>IF(T59="within",1,0)</f>
        <v>1</v>
      </c>
      <c r="V59" s="59">
        <v>180</v>
      </c>
      <c r="W59" s="60">
        <f>F59*V59</f>
        <v>5760</v>
      </c>
      <c r="X59" s="60">
        <v>9</v>
      </c>
      <c r="Y59" s="76">
        <f>AV58</f>
        <v>52.8</v>
      </c>
      <c r="Z59" s="60" t="s">
        <v>68</v>
      </c>
      <c r="AA59" s="60">
        <v>4224</v>
      </c>
      <c r="AB59" s="60" t="str">
        <f>IF(AA59&lt;60,"1",IF(AA59&lt;=43200,"2",IF(AA59&lt;=777600,"3","4")))</f>
        <v>2</v>
      </c>
      <c r="AC59" s="56">
        <f>AVERAGE(AV58:DA58)</f>
        <v>1554.6666666666667</v>
      </c>
      <c r="AD59" s="60" t="str">
        <f>IF(AC59&lt;60,"1",IF(AC59&lt;=43200,"2",IF(AC59&lt;=777600,"3","4")))</f>
        <v>2</v>
      </c>
      <c r="AE59" s="76">
        <f>AA59-Y59</f>
        <v>4171.2</v>
      </c>
      <c r="AF59" s="80">
        <f>AV59</f>
        <v>0.328004437630106</v>
      </c>
      <c r="AG59" s="56">
        <f>((AW59-AV59)+(AX59-AW59)+(AY59-AX59)+(AZ59-AY59)+(BA59-AZ59)+(BB59-BA59)+(BC59-BB59)+(BD59-BC59))/8</f>
        <v>-2.0091261234309377E-2</v>
      </c>
      <c r="AH59" s="4"/>
      <c r="AI59" s="56">
        <f>RSQ(AV59:BD59,AV58:BD58)</f>
        <v>0.57789981511899402</v>
      </c>
      <c r="AJ59" s="109">
        <f>SLOPE(AV59:BD59,AV58:BD58)</f>
        <v>-2.7497725717648903E-5</v>
      </c>
      <c r="AK59" s="56">
        <f>INTERCEPT(AV59:BD59,AV58:BD58)</f>
        <v>0.26124767918185704</v>
      </c>
      <c r="AL59" s="56">
        <f>INDEX(LINEST(LN(AV59:BD59),LN(AV58:BD58),TRUE,TRUE),3,1)</f>
        <v>0.84950715423643408</v>
      </c>
      <c r="AM59" s="56">
        <f>INDEX(LINEST(LN(AV59:BD59),LN(AV58:BD58)),1)</f>
        <v>-0.14891790493837317</v>
      </c>
      <c r="AN59" s="56">
        <f>EXP(INDEX(LINEST(LN(AV59:BD59),LN(AV58:BD58)),1,2))</f>
        <v>0.58044119745598721</v>
      </c>
      <c r="AO59" s="82">
        <f>INDEX(LINEST((AV59:BD59),LN(AV58:BD58),TRUE,TRUE),3,1)</f>
        <v>0.88544006718890833</v>
      </c>
      <c r="AP59" s="82">
        <f>INDEX(LINEST((AV59:BD59),LN(AV58:BD58)),1)</f>
        <v>-3.4693482125625251E-2</v>
      </c>
      <c r="AQ59" s="83">
        <f>INDEX(LINEST(LN(AV59:BD59),SQRT(AV58:BD58),TRUE,TRUE),3,1)</f>
        <v>0.75146650590043984</v>
      </c>
      <c r="AR59" s="116">
        <f>INDEX(LINEST(LN(AV59:BD59),SQRT((AV58:BD58))),1)</f>
        <v>-1.0144312650974947E-2</v>
      </c>
      <c r="AS59" s="84">
        <f>INDEX(LINEST(1/(AV59:BD59),1/(SQRT(AV58:BD58)),TRUE,TRUE),3,1)</f>
        <v>0.6814319380134134</v>
      </c>
      <c r="AT59" s="84">
        <f>INDEX(LINEST(1/(AV59:BD59),1/SQRT(AV58:BD58)),1)</f>
        <v>-22.601497269375209</v>
      </c>
      <c r="AU59" s="3"/>
      <c r="AV59" s="53">
        <v>0.328004437630106</v>
      </c>
      <c r="AW59" s="53">
        <v>0.253742692245366</v>
      </c>
      <c r="AX59" s="53">
        <v>0.23737893122919801</v>
      </c>
      <c r="AY59" s="53">
        <v>0.219631527118158</v>
      </c>
      <c r="AZ59" s="53">
        <v>0.22413148348977199</v>
      </c>
      <c r="BA59" s="53">
        <v>0.15440085760941299</v>
      </c>
      <c r="BB59" s="53">
        <v>0.20029791954925599</v>
      </c>
      <c r="BC59" s="53">
        <v>0.18161873776847001</v>
      </c>
      <c r="BD59" s="53">
        <v>0.16727434775563099</v>
      </c>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1"/>
      <c r="CS59" s="1"/>
      <c r="CT59" s="1"/>
      <c r="CU59" s="1"/>
    </row>
    <row r="60" spans="1:99" s="13" customFormat="1" ht="12" customHeight="1" x14ac:dyDescent="0.2">
      <c r="A60" s="65">
        <v>43509</v>
      </c>
      <c r="B60" s="1"/>
      <c r="C60" s="1"/>
      <c r="D60" s="60"/>
      <c r="E60" s="76"/>
      <c r="F60" s="60"/>
      <c r="G60" s="60"/>
      <c r="H60" s="60"/>
      <c r="I60" s="60"/>
      <c r="J60" s="60"/>
      <c r="K60" s="64"/>
      <c r="L60" s="64"/>
      <c r="M60" s="60"/>
      <c r="N60" s="60"/>
      <c r="O60" s="60"/>
      <c r="P60" s="60"/>
      <c r="Q60" s="60"/>
      <c r="R60" s="60"/>
      <c r="S60" s="60"/>
      <c r="T60" s="60"/>
      <c r="U60" s="60"/>
      <c r="V60" s="60"/>
      <c r="W60" s="60"/>
      <c r="X60" s="60"/>
      <c r="Y60" s="76"/>
      <c r="Z60" s="60"/>
      <c r="AA60" s="60"/>
      <c r="AB60" s="60"/>
      <c r="AC60" s="60"/>
      <c r="AD60" s="60"/>
      <c r="AE60" s="60"/>
      <c r="AF60" s="80"/>
      <c r="AG60" s="56"/>
      <c r="AH60" s="4"/>
      <c r="AI60" s="56"/>
      <c r="AJ60" s="109"/>
      <c r="AK60" s="56"/>
      <c r="AL60" s="56"/>
      <c r="AM60" s="56"/>
      <c r="AN60" s="56"/>
      <c r="AO60" s="56"/>
      <c r="AP60" s="56"/>
      <c r="AQ60" s="82"/>
      <c r="AR60" s="115"/>
      <c r="AS60" s="82"/>
      <c r="AT60" s="82"/>
      <c r="AU60" s="4"/>
      <c r="AV60" s="25">
        <f>60*0.85</f>
        <v>51</v>
      </c>
      <c r="AW60" s="25">
        <f>60*2.55</f>
        <v>153</v>
      </c>
      <c r="AX60" s="25">
        <f>60*5.1</f>
        <v>306</v>
      </c>
      <c r="AY60" s="25">
        <f>60*7.65</f>
        <v>459</v>
      </c>
      <c r="AZ60" s="25">
        <f>60*10.2</f>
        <v>612</v>
      </c>
      <c r="BA60" s="25">
        <f>60*12.75</f>
        <v>765</v>
      </c>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1"/>
      <c r="CS60" s="1"/>
      <c r="CT60" s="1"/>
      <c r="CU60" s="1"/>
    </row>
    <row r="61" spans="1:99" s="13" customFormat="1" ht="12" customHeight="1" x14ac:dyDescent="0.2">
      <c r="A61" s="65">
        <v>43509</v>
      </c>
      <c r="B61" s="1" t="s">
        <v>247</v>
      </c>
      <c r="C61" s="1" t="s">
        <v>45</v>
      </c>
      <c r="D61" s="60">
        <v>1999</v>
      </c>
      <c r="E61" s="76">
        <v>2</v>
      </c>
      <c r="F61" s="60">
        <v>25</v>
      </c>
      <c r="G61" s="60">
        <v>25</v>
      </c>
      <c r="H61" s="60" t="s">
        <v>769</v>
      </c>
      <c r="I61" s="60" t="s">
        <v>735</v>
      </c>
      <c r="J61" s="60" t="s">
        <v>16</v>
      </c>
      <c r="K61" s="60">
        <f>IF(J61="syllables",1,IF(J61="trigrams",2,IF(J61="strings",3,IF(J61="visual array",4,IF(J61="characters",5,IF(J61="letters",6,IF(J61="free forms",7,IF(J61="odors",8,IF(J61="words",9,IF(J61="pictures",10,IF(J61="object pictures",11,IF(J61="faces",12,IF(J61="names",13,IF(J61="idioms",14,IF(J61="grades",15,IF(J61="syllable-digit pairs",16,IF(J61="trigram-word pairs",17,IF(J61="word-digit pairs",18,IF(J61="English-Swahili pairs",19,IF(J61="spatial position",20,IF(J61="word pairs",21,IF(J61="word triads",22,IF(J61="generated words",23,IF(J61="word definition pairs",24,IF(J61="math problems",25,IF(J61="famous faces",26,IF(J61="famous names",27,IF(J61="famous voices",28,IF(J61="television programs",29,IF(J61="race horses",30,IF(J61="new vocabulary",31,IF(J61="sentences",32,IF(J61="concepts",33,IF(J61="ad slides",34,IF(J61="scenes",35,IF(J61="famous scenes",36,IF(J61="poems",37,IF(J61="walk",38,IF(J61="faces and events",39,IF(J61="events and names",40,IF(J61="flashbulb",41,IF(J61="stories",42,IF(J61="course material",43,IF(J61="autobiographical",44,IF(J61="novels",45,IF(J61="public events",46,"99"))))))))))))))))))))))))))))))))))))))))))))))</f>
        <v>9</v>
      </c>
      <c r="L61" s="60">
        <f>IF(J61="syllables",1,IF(J61="trigrams",1,IF(J61="strings",1,IF(J61="visual array",1,IF(J61="characters",1,IF(J61="letters",1,IF(J61="free forms",1,IF(J61="odors",2,IF(J61="words",2,IF(J61="pictures",2,IF(J61="object pictures",2,IF(J61="faces",2,IF(J61="names",2,IF(J61="idioms","2",IF(J61="grades",2,IF(J61="syllable-digit pairs",3,IF(J61="trigram-word pairs",3,IF(J61="word-digit pairs",3,IF(J61="English-Swahili pairs",3,IF(J61="spatial position",3,IF(J61="word pairs",4,IF(J61="word triads",4,IF(J61="generated words",4,IF(J61="word definition pairs",4,IF(J61="math problems",4,IF(J61="famous faces",4,IF(J61="famous names",4,IF(J61="famous voices",4,IF(J61="television programs",4,IF(J61="race horses",4,IF(J61="new vocabulary",4,IF(J61="sentences",5,IF(J61="concepts",5,IF(J61="ad slides",5,IF(J61="scenes",5,IF(J61="famous scenes",5,IF(J61="poems",6,IF(J61="walk",6,IF(J61="faces and events",6,IF(J61="events and names",6,IF(J61="flashbulb",7,IF(J61="stories",7,IF(J61="course material",7,IF(J61="autobiographical",7,IF(J61="novels",7,IF(J61="public events",7,"99"))))))))))))))))))))))))))))))))))))))))))))))</f>
        <v>2</v>
      </c>
      <c r="M61" s="60">
        <v>0</v>
      </c>
      <c r="N61" s="60">
        <v>1</v>
      </c>
      <c r="O61" s="60">
        <v>0</v>
      </c>
      <c r="P61" s="60"/>
      <c r="Q61" s="60" t="s">
        <v>64</v>
      </c>
      <c r="R61" s="60">
        <f>IF(Q61="Free Recall",1,IF(Q61="Cued Recall",2,IF(Q61="Recognition",3,IF(Q61="Multiple Choice",4,IF(Q61="Savings",5,IF(Q61="Stem Completion",6,IF(Q61="Fragment Completion",7,IF(Q61="anagram solution",8,IF(Q61="Matching",9,IF(Q61="Problem Solving",10,"99"))))))))))</f>
        <v>6</v>
      </c>
      <c r="S61" s="60" t="s">
        <v>49</v>
      </c>
      <c r="T61" s="59" t="s">
        <v>581</v>
      </c>
      <c r="U61" s="60">
        <f>IF(T61="within",1,0)</f>
        <v>1</v>
      </c>
      <c r="V61" s="59">
        <v>180</v>
      </c>
      <c r="W61" s="60">
        <f>F61*V61</f>
        <v>4500</v>
      </c>
      <c r="X61" s="60">
        <v>6</v>
      </c>
      <c r="Y61" s="76">
        <f>AV60</f>
        <v>51</v>
      </c>
      <c r="Z61" s="60" t="s">
        <v>69</v>
      </c>
      <c r="AA61" s="60">
        <v>765</v>
      </c>
      <c r="AB61" s="60" t="str">
        <f>IF(AA61&lt;60,"1",IF(AA61&lt;=43200,"2",IF(AA61&lt;=777600,"3","4")))</f>
        <v>2</v>
      </c>
      <c r="AC61" s="56">
        <f>AVERAGE(AV60:DA60)</f>
        <v>391</v>
      </c>
      <c r="AD61" s="60" t="str">
        <f>IF(AC61&lt;60,"1",IF(AC61&lt;=43200,"2",IF(AC61&lt;=777600,"3","4")))</f>
        <v>2</v>
      </c>
      <c r="AE61" s="76">
        <f>AA61-Y61</f>
        <v>714</v>
      </c>
      <c r="AF61" s="80">
        <f>AV61</f>
        <v>0.65440439093830804</v>
      </c>
      <c r="AG61" s="56">
        <f>((AW61-AV61)+(AX61-AW61)+(AY61-AX61)+(AZ61-AY61)+(BA61-AZ61))/5</f>
        <v>-6.6926587777185409E-2</v>
      </c>
      <c r="AH61" s="4"/>
      <c r="AI61" s="56">
        <f>RSQ(AV61:BA61,AV60:BA60)</f>
        <v>0.73542813598814294</v>
      </c>
      <c r="AJ61" s="109">
        <f>SLOPE(AV61:BA61,AV60:BA60)</f>
        <v>-4.5419039937949143E-4</v>
      </c>
      <c r="AK61" s="56">
        <f>INTERCEPT(AV61:BA61,AV60:BA60)</f>
        <v>0.59012270959737312</v>
      </c>
      <c r="AL61" s="56">
        <f>INDEX(LINEST(LN(AV61:BA61),LN(AV60:BA60),TRUE,TRUE),3,1)</f>
        <v>0.91837595205787137</v>
      </c>
      <c r="AM61" s="56">
        <f>INDEX(LINEST(LN(AV61:BA61),LN(AV60:BA60)),1)</f>
        <v>-0.30475135206540238</v>
      </c>
      <c r="AN61" s="56">
        <f>EXP(INDEX(LINEST(LN(AV61:BA61),LN(AV60:BA60)),1,2))</f>
        <v>2.2014195339278282</v>
      </c>
      <c r="AO61" s="82">
        <f>INDEX(LINEST((AV61:BA61),LN(AV60:BA60),TRUE,TRUE),3,1)</f>
        <v>0.93296604937998584</v>
      </c>
      <c r="AP61" s="82">
        <f>INDEX(LINEST((AV61:BA61),LN(AV60:BA60)),1)</f>
        <v>-0.1377929917236897</v>
      </c>
      <c r="AQ61" s="83">
        <f>INDEX(LINEST(LN(AV61:BA61),SQRT(AV60:BA60),TRUE,TRUE),3,1)</f>
        <v>0.8663688155877366</v>
      </c>
      <c r="AR61" s="116">
        <f>INDEX(LINEST(LN(AV61:BA61),SQRT((AV60:BA60))),1)</f>
        <v>-3.8805615640286485E-2</v>
      </c>
      <c r="AS61" s="84">
        <f>INDEX(LINEST(1/(AV61:BA61),1/(SQRT(AV60:BA60)),TRUE,TRUE),3,1)</f>
        <v>0.84023965909410514</v>
      </c>
      <c r="AT61" s="84">
        <f>INDEX(LINEST(1/(AV61:BA61),1/SQRT(AV60:BA60)),1)</f>
        <v>-17.711340349532467</v>
      </c>
      <c r="AU61" s="3"/>
      <c r="AV61" s="53">
        <v>0.65440439093830804</v>
      </c>
      <c r="AW61" s="53">
        <v>0.52407531515842298</v>
      </c>
      <c r="AX61" s="53">
        <v>0.339495453011187</v>
      </c>
      <c r="AY61" s="53">
        <v>0.35107939008223199</v>
      </c>
      <c r="AZ61" s="53">
        <v>0.28637957939741998</v>
      </c>
      <c r="BA61" s="53">
        <v>0.319771452052381</v>
      </c>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1"/>
      <c r="CS61" s="1"/>
      <c r="CT61" s="1"/>
      <c r="CU61" s="1"/>
    </row>
    <row r="62" spans="1:99" s="13" customFormat="1" ht="12" customHeight="1" x14ac:dyDescent="0.2">
      <c r="A62" s="65">
        <v>43509</v>
      </c>
      <c r="B62" s="1"/>
      <c r="C62" s="1"/>
      <c r="D62" s="60"/>
      <c r="E62" s="76"/>
      <c r="F62" s="60"/>
      <c r="G62" s="60"/>
      <c r="H62" s="60"/>
      <c r="I62" s="60"/>
      <c r="J62" s="60"/>
      <c r="K62" s="64"/>
      <c r="L62" s="64"/>
      <c r="M62" s="60"/>
      <c r="N62" s="60"/>
      <c r="O62" s="60"/>
      <c r="P62" s="60"/>
      <c r="Q62" s="60"/>
      <c r="R62" s="60"/>
      <c r="S62" s="60"/>
      <c r="T62" s="59"/>
      <c r="U62" s="60"/>
      <c r="V62" s="59"/>
      <c r="W62" s="60"/>
      <c r="X62" s="60"/>
      <c r="Y62" s="76"/>
      <c r="Z62" s="60"/>
      <c r="AA62" s="60"/>
      <c r="AB62" s="60"/>
      <c r="AC62" s="60"/>
      <c r="AD62" s="60"/>
      <c r="AE62" s="60"/>
      <c r="AF62" s="80"/>
      <c r="AG62" s="56"/>
      <c r="AH62" s="4"/>
      <c r="AI62" s="56"/>
      <c r="AJ62" s="109"/>
      <c r="AK62" s="56"/>
      <c r="AL62" s="56"/>
      <c r="AM62" s="56"/>
      <c r="AN62" s="56"/>
      <c r="AO62" s="56"/>
      <c r="AP62" s="56"/>
      <c r="AQ62" s="56"/>
      <c r="AR62" s="109"/>
      <c r="AS62" s="56"/>
      <c r="AT62" s="56"/>
      <c r="AU62" s="5"/>
      <c r="AV62" s="25">
        <f>60*0.85</f>
        <v>51</v>
      </c>
      <c r="AW62" s="25">
        <f>60*2.55</f>
        <v>153</v>
      </c>
      <c r="AX62" s="25">
        <f>60*5.1</f>
        <v>306</v>
      </c>
      <c r="AY62" s="25">
        <f>60*7.65</f>
        <v>459</v>
      </c>
      <c r="AZ62" s="25">
        <f>60*10.2</f>
        <v>612</v>
      </c>
      <c r="BA62" s="25">
        <f>60*12.75</f>
        <v>765</v>
      </c>
      <c r="BB62" s="53"/>
      <c r="BC62" s="53"/>
      <c r="BD62" s="53"/>
      <c r="BE62" s="53"/>
      <c r="BF62" s="53"/>
      <c r="BG62" s="53"/>
      <c r="BH62" s="53"/>
      <c r="BI62" s="53"/>
      <c r="BJ62" s="53"/>
      <c r="BK62" s="53"/>
      <c r="BL62" s="53"/>
      <c r="BM62" s="53"/>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53"/>
      <c r="CO62" s="53"/>
      <c r="CP62" s="53"/>
      <c r="CQ62" s="53"/>
      <c r="CR62" s="1"/>
      <c r="CS62" s="1"/>
      <c r="CT62" s="1"/>
      <c r="CU62" s="1"/>
    </row>
    <row r="63" spans="1:99" s="13" customFormat="1" ht="12" customHeight="1" x14ac:dyDescent="0.2">
      <c r="A63" s="65">
        <v>43509</v>
      </c>
      <c r="B63" s="1" t="s">
        <v>247</v>
      </c>
      <c r="C63" s="1" t="s">
        <v>45</v>
      </c>
      <c r="D63" s="60">
        <v>1999</v>
      </c>
      <c r="E63" s="76">
        <v>2</v>
      </c>
      <c r="F63" s="60">
        <v>25</v>
      </c>
      <c r="G63" s="60">
        <v>25</v>
      </c>
      <c r="H63" s="60" t="s">
        <v>769</v>
      </c>
      <c r="I63" s="60" t="s">
        <v>736</v>
      </c>
      <c r="J63" s="60" t="s">
        <v>16</v>
      </c>
      <c r="K63" s="60">
        <f>IF(J63="syllables",1,IF(J63="trigrams",2,IF(J63="strings",3,IF(J63="visual array",4,IF(J63="characters",5,IF(J63="letters",6,IF(J63="free forms",7,IF(J63="odors",8,IF(J63="words",9,IF(J63="pictures",10,IF(J63="object pictures",11,IF(J63="faces",12,IF(J63="names",13,IF(J63="idioms",14,IF(J63="grades",15,IF(J63="syllable-digit pairs",16,IF(J63="trigram-word pairs",17,IF(J63="word-digit pairs",18,IF(J63="English-Swahili pairs",19,IF(J63="spatial position",20,IF(J63="word pairs",21,IF(J63="word triads",22,IF(J63="generated words",23,IF(J63="word definition pairs",24,IF(J63="math problems",25,IF(J63="famous faces",26,IF(J63="famous names",27,IF(J63="famous voices",28,IF(J63="television programs",29,IF(J63="race horses",30,IF(J63="new vocabulary",31,IF(J63="sentences",32,IF(J63="concepts",33,IF(J63="ad slides",34,IF(J63="scenes",35,IF(J63="famous scenes",36,IF(J63="poems",37,IF(J63="walk",38,IF(J63="faces and events",39,IF(J63="events and names",40,IF(J63="flashbulb",41,IF(J63="stories",42,IF(J63="course material",43,IF(J63="autobiographical",44,IF(J63="novels",45,IF(J63="public events",46,"99"))))))))))))))))))))))))))))))))))))))))))))))</f>
        <v>9</v>
      </c>
      <c r="L63" s="60">
        <f>IF(J63="syllables",1,IF(J63="trigrams",1,IF(J63="strings",1,IF(J63="visual array",1,IF(J63="characters",1,IF(J63="letters",1,IF(J63="free forms",1,IF(J63="odors",2,IF(J63="words",2,IF(J63="pictures",2,IF(J63="object pictures",2,IF(J63="faces",2,IF(J63="names",2,IF(J63="idioms","2",IF(J63="grades",2,IF(J63="syllable-digit pairs",3,IF(J63="trigram-word pairs",3,IF(J63="word-digit pairs",3,IF(J63="English-Swahili pairs",3,IF(J63="spatial position",3,IF(J63="word pairs",4,IF(J63="word triads",4,IF(J63="generated words",4,IF(J63="word definition pairs",4,IF(J63="math problems",4,IF(J63="famous faces",4,IF(J63="famous names",4,IF(J63="famous voices",4,IF(J63="television programs",4,IF(J63="race horses",4,IF(J63="new vocabulary",4,IF(J63="sentences",5,IF(J63="concepts",5,IF(J63="ad slides",5,IF(J63="scenes",5,IF(J63="famous scenes",5,IF(J63="poems",6,IF(J63="walk",6,IF(J63="faces and events",6,IF(J63="events and names",6,IF(J63="flashbulb",7,IF(J63="stories",7,IF(J63="course material",7,IF(J63="autobiographical",7,IF(J63="novels",7,IF(J63="public events",7,"99"))))))))))))))))))))))))))))))))))))))))))))))</f>
        <v>2</v>
      </c>
      <c r="M63" s="60">
        <v>0</v>
      </c>
      <c r="N63" s="60">
        <v>1</v>
      </c>
      <c r="O63" s="60">
        <v>0</v>
      </c>
      <c r="P63" s="60"/>
      <c r="Q63" s="60" t="s">
        <v>64</v>
      </c>
      <c r="R63" s="60">
        <f>IF(Q63="Free Recall",1,IF(Q63="Cued Recall",2,IF(Q63="Recognition",3,IF(Q63="Multiple Choice",4,IF(Q63="Savings",5,IF(Q63="Stem Completion",6,IF(Q63="Fragment Completion",7,IF(Q63="anagram solution",8,IF(Q63="Matching",9,IF(Q63="Problem Solving",10,"99"))))))))))</f>
        <v>6</v>
      </c>
      <c r="S63" s="60" t="s">
        <v>49</v>
      </c>
      <c r="T63" s="59" t="s">
        <v>581</v>
      </c>
      <c r="U63" s="60">
        <f>IF(T63="within",1,0)</f>
        <v>1</v>
      </c>
      <c r="V63" s="59">
        <v>180</v>
      </c>
      <c r="W63" s="60">
        <f>F63*V63</f>
        <v>4500</v>
      </c>
      <c r="X63" s="60">
        <v>6</v>
      </c>
      <c r="Y63" s="76">
        <f>AV62</f>
        <v>51</v>
      </c>
      <c r="Z63" s="60" t="s">
        <v>69</v>
      </c>
      <c r="AA63" s="60">
        <v>765</v>
      </c>
      <c r="AB63" s="60" t="str">
        <f>IF(AA63&lt;60,"1",IF(AA63&lt;=43200,"2",IF(AA63&lt;=777600,"3","4")))</f>
        <v>2</v>
      </c>
      <c r="AC63" s="56">
        <f>AVERAGE(AV62:DA62)</f>
        <v>391</v>
      </c>
      <c r="AD63" s="60" t="str">
        <f>IF(AC63&lt;60,"1",IF(AC63&lt;=43200,"2",IF(AC63&lt;=777600,"3","4")))</f>
        <v>2</v>
      </c>
      <c r="AE63" s="76">
        <f>AA63-Y63</f>
        <v>714</v>
      </c>
      <c r="AF63" s="80">
        <f>AV63</f>
        <v>0.60263378028676096</v>
      </c>
      <c r="AG63" s="56">
        <f>((AW63-AV63)+(AX63-AW63)+(AY63-AX63)+(AZ63-AY63)+(BA63-AZ63))/5</f>
        <v>-6.9377901487616384E-2</v>
      </c>
      <c r="AH63" s="4"/>
      <c r="AI63" s="56">
        <f>RSQ(AV63:BA63,AV62:BA62)</f>
        <v>0.70818549260499519</v>
      </c>
      <c r="AJ63" s="109">
        <f>SLOPE(AV63:BA63,AV62:BA62)</f>
        <v>-4.3206636408438682E-4</v>
      </c>
      <c r="AK63" s="56">
        <f>INTERCEPT(AV63:BA63,AV62:BA62)</f>
        <v>0.51925828400418039</v>
      </c>
      <c r="AL63" s="56">
        <f>INDEX(LINEST(LN(AV63:BA63),LN(AV62:BA62),TRUE,TRUE),3,1)</f>
        <v>0.95282467639303337</v>
      </c>
      <c r="AM63" s="56">
        <f>INDEX(LINEST(LN(AV63:BA63),LN(AV62:BA62)),1)</f>
        <v>-0.34061755633118523</v>
      </c>
      <c r="AN63" s="56">
        <f>EXP(INDEX(LINEST(LN(AV63:BA63),LN(AV62:BA62)),1,2))</f>
        <v>2.2642765376595708</v>
      </c>
      <c r="AO63" s="82">
        <f>INDEX(LINEST((AV63:BA63),LN(AV62:BA62),TRUE,TRUE),3,1)</f>
        <v>0.94400157161077414</v>
      </c>
      <c r="AP63" s="82">
        <f>INDEX(LINEST((AV63:BA63),LN(AV62:BA62)),1)</f>
        <v>-0.13436609140778485</v>
      </c>
      <c r="AQ63" s="83">
        <f>INDEX(LINEST(LN(AV63:BA63),SQRT(AV62:BA62),TRUE,TRUE),3,1)</f>
        <v>0.88065508558406047</v>
      </c>
      <c r="AR63" s="116">
        <f>INDEX(LINEST(LN(AV63:BA63),SQRT((AV62:BA62))),1)</f>
        <v>-4.2931022956378406E-2</v>
      </c>
      <c r="AS63" s="84">
        <f>INDEX(LINEST(1/(AV63:BA63),1/(SQRT(AV62:BA62)),TRUE,TRUE),3,1)</f>
        <v>0.90753686727355953</v>
      </c>
      <c r="AT63" s="84">
        <f>INDEX(LINEST(1/(AV63:BA63),1/SQRT(AV62:BA62)),1)</f>
        <v>-23.186968252541945</v>
      </c>
      <c r="AU63" s="3"/>
      <c r="AV63" s="53">
        <v>0.60263378028676096</v>
      </c>
      <c r="AW63" s="53">
        <v>0.42871329266562602</v>
      </c>
      <c r="AX63" s="53">
        <v>0.28090313617485402</v>
      </c>
      <c r="AY63" s="53">
        <v>0.28705221087853</v>
      </c>
      <c r="AZ63" s="53">
        <v>0.246875321028661</v>
      </c>
      <c r="BA63" s="53">
        <v>0.25574427284867901</v>
      </c>
      <c r="BB63" s="53"/>
      <c r="BC63" s="53"/>
      <c r="BD63" s="53"/>
      <c r="BE63" s="53"/>
      <c r="BF63" s="53"/>
      <c r="BG63" s="53"/>
      <c r="BH63" s="53"/>
      <c r="BI63" s="53"/>
      <c r="BJ63" s="53"/>
      <c r="BK63" s="53"/>
      <c r="BL63" s="53"/>
      <c r="BM63" s="53"/>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53"/>
      <c r="CO63" s="53"/>
      <c r="CP63" s="53"/>
      <c r="CQ63" s="53"/>
      <c r="CR63" s="1"/>
      <c r="CS63" s="1"/>
      <c r="CT63" s="1"/>
      <c r="CU63" s="1"/>
    </row>
    <row r="64" spans="1:99" s="13" customFormat="1" ht="12" customHeight="1" x14ac:dyDescent="0.2">
      <c r="A64" s="65">
        <v>43509</v>
      </c>
      <c r="B64" s="1"/>
      <c r="C64" s="1"/>
      <c r="D64" s="60"/>
      <c r="E64" s="76"/>
      <c r="F64" s="60"/>
      <c r="G64" s="60"/>
      <c r="H64" s="60"/>
      <c r="I64" s="60"/>
      <c r="J64" s="60"/>
      <c r="K64" s="64"/>
      <c r="L64" s="64"/>
      <c r="M64" s="60"/>
      <c r="N64" s="60"/>
      <c r="O64" s="60"/>
      <c r="P64" s="60"/>
      <c r="Q64" s="60"/>
      <c r="R64" s="60"/>
      <c r="S64" s="60"/>
      <c r="T64" s="60"/>
      <c r="U64" s="60"/>
      <c r="V64" s="60"/>
      <c r="W64" s="60"/>
      <c r="X64" s="60"/>
      <c r="Y64" s="76"/>
      <c r="Z64" s="60"/>
      <c r="AA64" s="60"/>
      <c r="AB64" s="60"/>
      <c r="AC64" s="60"/>
      <c r="AD64" s="60"/>
      <c r="AE64" s="60"/>
      <c r="AF64" s="80"/>
      <c r="AG64" s="56"/>
      <c r="AH64" s="4"/>
      <c r="AI64" s="56"/>
      <c r="AJ64" s="109"/>
      <c r="AK64" s="56"/>
      <c r="AL64" s="56"/>
      <c r="AM64" s="56"/>
      <c r="AN64" s="56"/>
      <c r="AO64" s="56"/>
      <c r="AP64" s="56"/>
      <c r="AQ64" s="56"/>
      <c r="AR64" s="109"/>
      <c r="AS64" s="56"/>
      <c r="AT64" s="56"/>
      <c r="AU64" s="5"/>
      <c r="AV64" s="25">
        <f>60*0.85</f>
        <v>51</v>
      </c>
      <c r="AW64" s="25">
        <f>60*2.55</f>
        <v>153</v>
      </c>
      <c r="AX64" s="25">
        <f>60*5.1</f>
        <v>306</v>
      </c>
      <c r="AY64" s="25">
        <f>60*7.65</f>
        <v>459</v>
      </c>
      <c r="AZ64" s="25">
        <f>60*10.2</f>
        <v>612</v>
      </c>
      <c r="BA64" s="25">
        <f>60*12.75</f>
        <v>765</v>
      </c>
      <c r="BB64" s="53"/>
      <c r="BC64" s="53"/>
      <c r="BD64" s="53"/>
      <c r="BE64" s="53"/>
      <c r="BF64" s="53"/>
      <c r="BG64" s="53"/>
      <c r="BH64" s="53"/>
      <c r="BI64" s="53"/>
      <c r="BJ64" s="53"/>
      <c r="BK64" s="53"/>
      <c r="BL64" s="53"/>
      <c r="BM64" s="53"/>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53"/>
      <c r="CO64" s="53"/>
      <c r="CP64" s="53"/>
      <c r="CQ64" s="53"/>
      <c r="CR64" s="1"/>
      <c r="CS64" s="1"/>
      <c r="CT64" s="1"/>
      <c r="CU64" s="1"/>
    </row>
    <row r="65" spans="1:99" s="13" customFormat="1" ht="12" customHeight="1" x14ac:dyDescent="0.2">
      <c r="A65" s="65">
        <v>43509</v>
      </c>
      <c r="B65" s="1" t="s">
        <v>247</v>
      </c>
      <c r="C65" s="1" t="s">
        <v>45</v>
      </c>
      <c r="D65" s="60">
        <v>1999</v>
      </c>
      <c r="E65" s="76">
        <v>2</v>
      </c>
      <c r="F65" s="60">
        <v>25</v>
      </c>
      <c r="G65" s="60">
        <v>25</v>
      </c>
      <c r="H65" s="60" t="s">
        <v>769</v>
      </c>
      <c r="I65" s="60" t="s">
        <v>737</v>
      </c>
      <c r="J65" s="60" t="s">
        <v>16</v>
      </c>
      <c r="K65" s="60">
        <f>IF(J65="syllables",1,IF(J65="trigrams",2,IF(J65="strings",3,IF(J65="visual array",4,IF(J65="characters",5,IF(J65="letters",6,IF(J65="free forms",7,IF(J65="odors",8,IF(J65="words",9,IF(J65="pictures",10,IF(J65="object pictures",11,IF(J65="faces",12,IF(J65="names",13,IF(J65="idioms",14,IF(J65="grades",15,IF(J65="syllable-digit pairs",16,IF(J65="trigram-word pairs",17,IF(J65="word-digit pairs",18,IF(J65="English-Swahili pairs",19,IF(J65="spatial position",20,IF(J65="word pairs",21,IF(J65="word triads",22,IF(J65="generated words",23,IF(J65="word definition pairs",24,IF(J65="math problems",25,IF(J65="famous faces",26,IF(J65="famous names",27,IF(J65="famous voices",28,IF(J65="television programs",29,IF(J65="race horses",30,IF(J65="new vocabulary",31,IF(J65="sentences",32,IF(J65="concepts",33,IF(J65="ad slides",34,IF(J65="scenes",35,IF(J65="famous scenes",36,IF(J65="poems",37,IF(J65="walk",38,IF(J65="faces and events",39,IF(J65="events and names",40,IF(J65="flashbulb",41,IF(J65="stories",42,IF(J65="course material",43,IF(J65="autobiographical",44,IF(J65="novels",45,IF(J65="public events",46,"99"))))))))))))))))))))))))))))))))))))))))))))))</f>
        <v>9</v>
      </c>
      <c r="L65" s="60">
        <f>IF(J65="syllables",1,IF(J65="trigrams",1,IF(J65="strings",1,IF(J65="visual array",1,IF(J65="characters",1,IF(J65="letters",1,IF(J65="free forms",1,IF(J65="odors",2,IF(J65="words",2,IF(J65="pictures",2,IF(J65="object pictures",2,IF(J65="faces",2,IF(J65="names",2,IF(J65="idioms","2",IF(J65="grades",2,IF(J65="syllable-digit pairs",3,IF(J65="trigram-word pairs",3,IF(J65="word-digit pairs",3,IF(J65="English-Swahili pairs",3,IF(J65="spatial position",3,IF(J65="word pairs",4,IF(J65="word triads",4,IF(J65="generated words",4,IF(J65="word definition pairs",4,IF(J65="math problems",4,IF(J65="famous faces",4,IF(J65="famous names",4,IF(J65="famous voices",4,IF(J65="television programs",4,IF(J65="race horses",4,IF(J65="new vocabulary",4,IF(J65="sentences",5,IF(J65="concepts",5,IF(J65="ad slides",5,IF(J65="scenes",5,IF(J65="famous scenes",5,IF(J65="poems",6,IF(J65="walk",6,IF(J65="faces and events",6,IF(J65="events and names",6,IF(J65="flashbulb",7,IF(J65="stories",7,IF(J65="course material",7,IF(J65="autobiographical",7,IF(J65="novels",7,IF(J65="public events",7,"99"))))))))))))))))))))))))))))))))))))))))))))))</f>
        <v>2</v>
      </c>
      <c r="M65" s="60">
        <v>0</v>
      </c>
      <c r="N65" s="60">
        <v>1</v>
      </c>
      <c r="O65" s="60">
        <v>0</v>
      </c>
      <c r="P65" s="60"/>
      <c r="Q65" s="60" t="s">
        <v>64</v>
      </c>
      <c r="R65" s="60">
        <f>IF(Q65="Free Recall",1,IF(Q65="Cued Recall",2,IF(Q65="Recognition",3,IF(Q65="Multiple Choice",4,IF(Q65="Savings",5,IF(Q65="Stem Completion",6,IF(Q65="Fragment Completion",7,IF(Q65="anagram solution",8,IF(Q65="Matching",9,IF(Q65="Problem Solving",10,"99"))))))))))</f>
        <v>6</v>
      </c>
      <c r="S65" s="60" t="s">
        <v>49</v>
      </c>
      <c r="T65" s="59" t="s">
        <v>581</v>
      </c>
      <c r="U65" s="60">
        <f>IF(T65="within",1,0)</f>
        <v>1</v>
      </c>
      <c r="V65" s="59">
        <v>180</v>
      </c>
      <c r="W65" s="60">
        <f>F65*V65</f>
        <v>4500</v>
      </c>
      <c r="X65" s="60">
        <v>6</v>
      </c>
      <c r="Y65" s="76">
        <f>AV64</f>
        <v>51</v>
      </c>
      <c r="Z65" s="60" t="s">
        <v>69</v>
      </c>
      <c r="AA65" s="60">
        <v>765</v>
      </c>
      <c r="AB65" s="60" t="str">
        <f>IF(AA65&lt;60,"1",IF(AA65&lt;=43200,"2",IF(AA65&lt;=777600,"3","4")))</f>
        <v>2</v>
      </c>
      <c r="AC65" s="56">
        <f>AVERAGE(AV64:DA64)</f>
        <v>391</v>
      </c>
      <c r="AD65" s="60" t="str">
        <f>IF(AC65&lt;60,"1",IF(AC65&lt;=43200,"2",IF(AC65&lt;=777600,"3","4")))</f>
        <v>2</v>
      </c>
      <c r="AE65" s="76">
        <f>AA65-Y65</f>
        <v>714</v>
      </c>
      <c r="AF65" s="80">
        <f>AV65</f>
        <v>0.20345512447351199</v>
      </c>
      <c r="AG65" s="56">
        <f>((AW65-AV65)+(AX65-AW65)+(AY65-AX65)+(AZ65-AY65)+(BA65-AZ65))/5</f>
        <v>-1.73348139379026E-2</v>
      </c>
      <c r="AH65" s="4"/>
      <c r="AI65" s="56">
        <f>RSQ(AV65:BA65,AV64:BA64)</f>
        <v>0.87853101643644627</v>
      </c>
      <c r="AJ65" s="109">
        <f>SLOPE(AV65:BA65,AV64:BA64)</f>
        <v>-1.1144608305722961E-4</v>
      </c>
      <c r="AK65" s="56">
        <f>INTERCEPT(AV65:BA65,AV64:BA64)</f>
        <v>0.19930102070476194</v>
      </c>
      <c r="AL65" s="56">
        <f>INDEX(LINEST(LN(AV65:BA65),LN(AV64:BA64),TRUE,TRUE),3,1)</f>
        <v>0.83171069799690533</v>
      </c>
      <c r="AM65" s="56">
        <f>INDEX(LINEST(LN(AV65:BA65),LN(AV64:BA64)),1)</f>
        <v>-0.18699373208102818</v>
      </c>
      <c r="AN65" s="56">
        <f>EXP(INDEX(LINEST(LN(AV65:BA65),LN(AV64:BA64)),1,2))</f>
        <v>0.43952509538595225</v>
      </c>
      <c r="AO65" s="82">
        <f>INDEX(LINEST((AV65:BA65),LN(AV64:BA64),TRUE,TRUE),3,1)</f>
        <v>0.85738380433495509</v>
      </c>
      <c r="AP65" s="82">
        <f>INDEX(LINEST((AV65:BA65),LN(AV64:BA64)),1)</f>
        <v>-2.9655160415908023E-2</v>
      </c>
      <c r="AQ65" s="83">
        <f>INDEX(LINEST(LN(AV65:BA65),SQRT(AV64:BA64),TRUE,TRUE),3,1)</f>
        <v>0.89126218850899208</v>
      </c>
      <c r="AR65" s="116">
        <f>INDEX(LINEST(LN(AV65:BA65),SQRT((AV64:BA64))),1)</f>
        <v>-2.5377651497057792E-2</v>
      </c>
      <c r="AS65" s="84">
        <f>INDEX(LINEST(1/(AV65:BA65),1/(SQRT(AV64:BA64)),TRUE,TRUE),3,1)</f>
        <v>0.68312991024828917</v>
      </c>
      <c r="AT65" s="84">
        <f>INDEX(LINEST(1/(AV65:BA65),1/SQRT(AV64:BA64)),1)</f>
        <v>-28.77780360528158</v>
      </c>
      <c r="AU65" s="3"/>
      <c r="AV65" s="53">
        <v>0.20345512447351199</v>
      </c>
      <c r="AW65" s="53">
        <v>0.16713057856090999</v>
      </c>
      <c r="AX65" s="53">
        <v>0.17737169860239299</v>
      </c>
      <c r="AY65" s="53">
        <v>0.13582264053106</v>
      </c>
      <c r="AZ65" s="53">
        <v>0.13379251642443701</v>
      </c>
      <c r="BA65" s="53">
        <v>0.116781054783999</v>
      </c>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1"/>
      <c r="CS65" s="1"/>
      <c r="CT65" s="1"/>
      <c r="CU65" s="1"/>
    </row>
    <row r="66" spans="1:99" s="13" customFormat="1" ht="12" customHeight="1" x14ac:dyDescent="0.2">
      <c r="A66" s="65">
        <v>43509</v>
      </c>
      <c r="B66" s="1"/>
      <c r="C66" s="1"/>
      <c r="D66" s="60"/>
      <c r="E66" s="76"/>
      <c r="F66" s="60"/>
      <c r="G66" s="60"/>
      <c r="H66" s="60"/>
      <c r="I66" s="60"/>
      <c r="J66" s="60"/>
      <c r="K66" s="64"/>
      <c r="L66" s="64"/>
      <c r="M66" s="60"/>
      <c r="N66" s="60"/>
      <c r="O66" s="60"/>
      <c r="P66" s="60"/>
      <c r="Q66" s="60"/>
      <c r="R66" s="60"/>
      <c r="S66" s="60"/>
      <c r="T66" s="59"/>
      <c r="U66" s="60"/>
      <c r="V66" s="59"/>
      <c r="W66" s="60"/>
      <c r="X66" s="60"/>
      <c r="Y66" s="76"/>
      <c r="Z66" s="60"/>
      <c r="AA66" s="60"/>
      <c r="AB66" s="60"/>
      <c r="AC66" s="60"/>
      <c r="AD66" s="60"/>
      <c r="AE66" s="60"/>
      <c r="AF66" s="80"/>
      <c r="AG66" s="56"/>
      <c r="AH66" s="4"/>
      <c r="AI66" s="56"/>
      <c r="AJ66" s="109"/>
      <c r="AK66" s="56"/>
      <c r="AL66" s="56"/>
      <c r="AM66" s="56"/>
      <c r="AN66" s="56"/>
      <c r="AO66" s="56"/>
      <c r="AP66" s="56"/>
      <c r="AQ66" s="56"/>
      <c r="AR66" s="109"/>
      <c r="AS66" s="56"/>
      <c r="AT66" s="56"/>
      <c r="AU66" s="5"/>
      <c r="AV66" s="25">
        <f>60*0.85</f>
        <v>51</v>
      </c>
      <c r="AW66" s="25">
        <f>60*2.55</f>
        <v>153</v>
      </c>
      <c r="AX66" s="25">
        <f>60*5.1</f>
        <v>306</v>
      </c>
      <c r="AY66" s="25">
        <f>60*7.65</f>
        <v>459</v>
      </c>
      <c r="AZ66" s="25">
        <f>60*10.2</f>
        <v>612</v>
      </c>
      <c r="BA66" s="25">
        <f>60*12.75</f>
        <v>765</v>
      </c>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53"/>
      <c r="CD66" s="53"/>
      <c r="CE66" s="53"/>
      <c r="CF66" s="53"/>
      <c r="CG66" s="53"/>
      <c r="CH66" s="53"/>
      <c r="CI66" s="53"/>
      <c r="CJ66" s="53"/>
      <c r="CK66" s="53"/>
      <c r="CL66" s="53"/>
      <c r="CM66" s="53"/>
      <c r="CN66" s="53"/>
      <c r="CO66" s="53"/>
      <c r="CP66" s="53"/>
      <c r="CQ66" s="53"/>
      <c r="CR66" s="1"/>
      <c r="CS66" s="1"/>
      <c r="CT66" s="1"/>
      <c r="CU66" s="1"/>
    </row>
    <row r="67" spans="1:99" s="13" customFormat="1" ht="12" customHeight="1" x14ac:dyDescent="0.2">
      <c r="A67" s="65">
        <v>43509</v>
      </c>
      <c r="B67" s="1" t="s">
        <v>247</v>
      </c>
      <c r="C67" s="1" t="s">
        <v>45</v>
      </c>
      <c r="D67" s="60">
        <v>1999</v>
      </c>
      <c r="E67" s="76">
        <v>2</v>
      </c>
      <c r="F67" s="60">
        <v>25</v>
      </c>
      <c r="G67" s="60">
        <v>25</v>
      </c>
      <c r="H67" s="60" t="s">
        <v>769</v>
      </c>
      <c r="I67" s="60" t="s">
        <v>738</v>
      </c>
      <c r="J67" s="60" t="s">
        <v>16</v>
      </c>
      <c r="K67" s="60">
        <f>IF(J67="syllables",1,IF(J67="trigrams",2,IF(J67="strings",3,IF(J67="visual array",4,IF(J67="characters",5,IF(J67="letters",6,IF(J67="free forms",7,IF(J67="odors",8,IF(J67="words",9,IF(J67="pictures",10,IF(J67="object pictures",11,IF(J67="faces",12,IF(J67="names",13,IF(J67="idioms",14,IF(J67="grades",15,IF(J67="syllable-digit pairs",16,IF(J67="trigram-word pairs",17,IF(J67="word-digit pairs",18,IF(J67="English-Swahili pairs",19,IF(J67="spatial position",20,IF(J67="word pairs",21,IF(J67="word triads",22,IF(J67="generated words",23,IF(J67="word definition pairs",24,IF(J67="math problems",25,IF(J67="famous faces",26,IF(J67="famous names",27,IF(J67="famous voices",28,IF(J67="television programs",29,IF(J67="race horses",30,IF(J67="new vocabulary",31,IF(J67="sentences",32,IF(J67="concepts",33,IF(J67="ad slides",34,IF(J67="scenes",35,IF(J67="famous scenes",36,IF(J67="poems",37,IF(J67="walk",38,IF(J67="faces and events",39,IF(J67="events and names",40,IF(J67="flashbulb",41,IF(J67="stories",42,IF(J67="course material",43,IF(J67="autobiographical",44,IF(J67="novels",45,IF(J67="public events",46,"99"))))))))))))))))))))))))))))))))))))))))))))))</f>
        <v>9</v>
      </c>
      <c r="L67" s="60">
        <f>IF(J67="syllables",1,IF(J67="trigrams",1,IF(J67="strings",1,IF(J67="visual array",1,IF(J67="characters",1,IF(J67="letters",1,IF(J67="free forms",1,IF(J67="odors",2,IF(J67="words",2,IF(J67="pictures",2,IF(J67="object pictures",2,IF(J67="faces",2,IF(J67="names",2,IF(J67="idioms","2",IF(J67="grades",2,IF(J67="syllable-digit pairs",3,IF(J67="trigram-word pairs",3,IF(J67="word-digit pairs",3,IF(J67="English-Swahili pairs",3,IF(J67="spatial position",3,IF(J67="word pairs",4,IF(J67="word triads",4,IF(J67="generated words",4,IF(J67="word definition pairs",4,IF(J67="math problems",4,IF(J67="famous faces",4,IF(J67="famous names",4,IF(J67="famous voices",4,IF(J67="television programs",4,IF(J67="race horses",4,IF(J67="new vocabulary",4,IF(J67="sentences",5,IF(J67="concepts",5,IF(J67="ad slides",5,IF(J67="scenes",5,IF(J67="famous scenes",5,IF(J67="poems",6,IF(J67="walk",6,IF(J67="faces and events",6,IF(J67="events and names",6,IF(J67="flashbulb",7,IF(J67="stories",7,IF(J67="course material",7,IF(J67="autobiographical",7,IF(J67="novels",7,IF(J67="public events",7,"99"))))))))))))))))))))))))))))))))))))))))))))))</f>
        <v>2</v>
      </c>
      <c r="M67" s="60">
        <v>0</v>
      </c>
      <c r="N67" s="60">
        <v>1</v>
      </c>
      <c r="O67" s="60">
        <v>0</v>
      </c>
      <c r="P67" s="60"/>
      <c r="Q67" s="60" t="s">
        <v>64</v>
      </c>
      <c r="R67" s="60">
        <f>IF(Q67="Free Recall",1,IF(Q67="Cued Recall",2,IF(Q67="Recognition",3,IF(Q67="Multiple Choice",4,IF(Q67="Savings",5,IF(Q67="Stem Completion",6,IF(Q67="Fragment Completion",7,IF(Q67="anagram solution",8,IF(Q67="Matching",9,IF(Q67="Problem Solving",10,"99"))))))))))</f>
        <v>6</v>
      </c>
      <c r="S67" s="60" t="s">
        <v>49</v>
      </c>
      <c r="T67" s="59" t="s">
        <v>581</v>
      </c>
      <c r="U67" s="60">
        <f>IF(T67="within",1,0)</f>
        <v>1</v>
      </c>
      <c r="V67" s="59">
        <v>180</v>
      </c>
      <c r="W67" s="60">
        <f>F67*V67</f>
        <v>4500</v>
      </c>
      <c r="X67" s="60">
        <v>6</v>
      </c>
      <c r="Y67" s="76">
        <f>AV66</f>
        <v>51</v>
      </c>
      <c r="Z67" s="60" t="s">
        <v>69</v>
      </c>
      <c r="AA67" s="60">
        <v>765</v>
      </c>
      <c r="AB67" s="60" t="str">
        <f>IF(AA67&lt;60,"1",IF(AA67&lt;=43200,"2",IF(AA67&lt;=777600,"3","4")))</f>
        <v>2</v>
      </c>
      <c r="AC67" s="56">
        <f>AVERAGE(AV66:DA66)</f>
        <v>391</v>
      </c>
      <c r="AD67" s="60" t="str">
        <f>IF(AC67&lt;60,"1",IF(AC67&lt;=43200,"2",IF(AC67&lt;=777600,"3","4")))</f>
        <v>2</v>
      </c>
      <c r="AE67" s="76">
        <f>AA67-Y67</f>
        <v>714</v>
      </c>
      <c r="AF67" s="80">
        <f>AV67</f>
        <v>0.353317418464834</v>
      </c>
      <c r="AG67" s="56">
        <f>((AW67-AV67)+(AX67-AW67)+(AY67-AX67)+(AZ67-AY67)+(BA67-AZ67))/5</f>
        <v>-2.3057807172452999E-2</v>
      </c>
      <c r="AH67" s="4"/>
      <c r="AI67" s="56">
        <f>RSQ(AV67:BA67,AV66:BA66)</f>
        <v>0.74261846216398342</v>
      </c>
      <c r="AJ67" s="109">
        <f>SLOPE(AV67:BA67,AV66:BA66)</f>
        <v>-1.5021584446712905E-4</v>
      </c>
      <c r="AK67" s="56">
        <f>INTERCEPT(AV67:BA67,AV66:BA66)</f>
        <v>0.33911980894876831</v>
      </c>
      <c r="AL67" s="56">
        <f>INDEX(LINEST(LN(AV67:BA67),LN(AV66:BA66),TRUE,TRUE),3,1)</f>
        <v>0.85050289743167851</v>
      </c>
      <c r="AM67" s="56">
        <f>INDEX(LINEST(LN(AV67:BA67),LN(AV66:BA66)),1)</f>
        <v>-0.14920548299381145</v>
      </c>
      <c r="AN67" s="56">
        <f>EXP(INDEX(LINEST(LN(AV67:BA67),LN(AV66:BA66)),1,2))</f>
        <v>0.64354666251084847</v>
      </c>
      <c r="AO67" s="82">
        <f>INDEX(LINEST((AV67:BA67),LN(AV66:BA66),TRUE,TRUE),3,1)</f>
        <v>0.86911809066873102</v>
      </c>
      <c r="AP67" s="82">
        <f>INDEX(LINEST((AV67:BA67),LN(AV66:BA66)),1)</f>
        <v>-4.3772227490241129E-2</v>
      </c>
      <c r="AQ67" s="83">
        <f>INDEX(LINEST(LN(AV67:BA67),SQRT(AV66:BA66),TRUE,TRUE),3,1)</f>
        <v>0.82224999995399028</v>
      </c>
      <c r="AR67" s="116">
        <f>INDEX(LINEST(LN(AV67:BA67),SQRT((AV66:BA66))),1)</f>
        <v>-1.9233424081337363E-2</v>
      </c>
      <c r="AS67" s="84">
        <f>INDEX(LINEST(1/(AV67:BA67),1/(SQRT(AV66:BA66)),TRUE,TRUE),3,1)</f>
        <v>0.78245365358710584</v>
      </c>
      <c r="AT67" s="84">
        <f>INDEX(LINEST(1/(AV67:BA67),1/SQRT(AV66:BA66)),1)</f>
        <v>-12.909824957933752</v>
      </c>
      <c r="AU67" s="3"/>
      <c r="AV67" s="53">
        <v>0.353317418464834</v>
      </c>
      <c r="AW67" s="53">
        <v>0.32244730238086999</v>
      </c>
      <c r="AX67" s="53">
        <v>0.24685330763473401</v>
      </c>
      <c r="AY67" s="53">
        <v>0.27751551944271802</v>
      </c>
      <c r="AZ67" s="53">
        <v>0.24415055204700001</v>
      </c>
      <c r="BA67" s="53">
        <v>0.23802838260256901</v>
      </c>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1"/>
      <c r="CS67" s="1"/>
      <c r="CT67" s="1"/>
      <c r="CU67" s="1"/>
    </row>
    <row r="68" spans="1:99" s="13" customFormat="1" ht="12" customHeight="1" x14ac:dyDescent="0.2">
      <c r="A68" s="65">
        <v>43979</v>
      </c>
      <c r="B68" s="1"/>
      <c r="C68" s="1"/>
      <c r="D68" s="60"/>
      <c r="E68" s="76"/>
      <c r="F68" s="60"/>
      <c r="G68" s="60"/>
      <c r="H68" s="60"/>
      <c r="I68" s="60"/>
      <c r="J68" s="60"/>
      <c r="K68" s="60"/>
      <c r="L68" s="60"/>
      <c r="M68" s="60"/>
      <c r="N68" s="60"/>
      <c r="O68" s="60"/>
      <c r="P68" s="60"/>
      <c r="Q68" s="60"/>
      <c r="R68" s="60"/>
      <c r="S68" s="60"/>
      <c r="T68" s="59"/>
      <c r="U68" s="60"/>
      <c r="V68" s="59"/>
      <c r="W68" s="60"/>
      <c r="X68" s="60"/>
      <c r="Y68" s="76"/>
      <c r="Z68" s="60"/>
      <c r="AA68" s="60"/>
      <c r="AB68" s="60"/>
      <c r="AC68" s="56"/>
      <c r="AD68" s="60"/>
      <c r="AE68" s="76"/>
      <c r="AF68" s="80"/>
      <c r="AG68" s="56"/>
      <c r="AH68" s="4"/>
      <c r="AI68" s="56"/>
      <c r="AJ68" s="109"/>
      <c r="AK68" s="56"/>
      <c r="AL68" s="56"/>
      <c r="AM68" s="56"/>
      <c r="AN68" s="56"/>
      <c r="AO68" s="82"/>
      <c r="AP68" s="82"/>
      <c r="AQ68" s="83"/>
      <c r="AR68" s="116"/>
      <c r="AS68" s="84"/>
      <c r="AT68" s="84"/>
      <c r="AU68" s="3"/>
      <c r="AV68" s="25">
        <f>60*5</f>
        <v>300</v>
      </c>
      <c r="AW68" s="25">
        <f>60*30</f>
        <v>1800</v>
      </c>
      <c r="AX68" s="25">
        <f>60*55</f>
        <v>3300</v>
      </c>
      <c r="AY68" s="25">
        <f>60*60*4</f>
        <v>14400</v>
      </c>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1"/>
      <c r="CS68" s="1"/>
      <c r="CT68" s="1"/>
      <c r="CU68" s="1"/>
    </row>
    <row r="69" spans="1:99" s="13" customFormat="1" ht="12" customHeight="1" x14ac:dyDescent="0.2">
      <c r="A69" s="65">
        <v>43979</v>
      </c>
      <c r="B69" s="1" t="s">
        <v>980</v>
      </c>
      <c r="C69" s="1" t="s">
        <v>981</v>
      </c>
      <c r="D69" s="60">
        <v>2013</v>
      </c>
      <c r="E69" s="76">
        <v>1</v>
      </c>
      <c r="F69" s="60">
        <v>5</v>
      </c>
      <c r="G69" s="60">
        <v>5</v>
      </c>
      <c r="H69" s="60" t="s">
        <v>17</v>
      </c>
      <c r="I69" s="60" t="s">
        <v>330</v>
      </c>
      <c r="J69" s="60" t="s">
        <v>320</v>
      </c>
      <c r="K69" s="60">
        <f>IF(J69="syllables",1,IF(J69="trigrams",2,IF(J69="strings",3,IF(J69="visual array",4,IF(J69="characters",5,IF(J69="letters",6,IF(J69="free forms",7,IF(J69="odors",8,IF(J69="words",9,IF(J69="pictures",10,IF(J69="object pictures",11,IF(J69="faces",12,IF(J69="names",13,IF(J69="idioms",14,IF(J69="grades",15,IF(J69="syllable-digit pairs",16,IF(J69="trigram-word pairs",17,IF(J69="word-digit pairs",18,IF(J69="English-Swahili pairs",19,IF(J69="spatial position",20,IF(J69="word pairs",21,IF(J69="word triads",22,IF(J69="generated words",23,IF(J69="word definition pairs",24,IF(J69="math problems",25,IF(J69="famous faces",26,IF(J69="famous names",27,IF(J69="famous voices",28,IF(J69="television programs",29,IF(J69="race horses",30,IF(J69="new vocabulary",31,IF(J69="sentences",32,IF(J69="concepts",33,IF(J69="ad slides",34,IF(J69="scenes",35,IF(J69="famous scenes",36,IF(J69="poems",37,IF(J69="walk",38,IF(J69="faces and events",39,IF(J69="events and names",40,IF(J69="flashbulb",41,IF(J69="stories",42,IF(J69="course material",43,IF(J69="autobiographical",44,IF(J69="novels",45,IF(J69="public events",46,"99"))))))))))))))))))))))))))))))))))))))))))))))</f>
        <v>21</v>
      </c>
      <c r="L69" s="60">
        <f>IF(J69="syllables",1,IF(J69="trigrams",1,IF(J69="strings",1,IF(J69="visual array",1,IF(J69="characters",1,IF(J69="letters",1,IF(J69="free forms",1,IF(J69="odors",2,IF(J69="words",2,IF(J69="pictures",2,IF(J69="object pictures",2,IF(J69="faces",2,IF(J69="names",2,IF(J69="idioms","2",IF(J69="grades",2,IF(J69="syllable-digit pairs",3,IF(J69="trigram-word pairs",3,IF(J69="word-digit pairs",3,IF(J69="English-Swahili pairs",3,IF(J69="spatial position",3,IF(J69="word pairs",4,IF(J69="word triads",4,IF(J69="generated words",4,IF(J69="word definition pairs",4,IF(J69="math problems",4,IF(J69="famous faces",4,IF(J69="famous names",4,IF(J69="famous voices",4,IF(J69="television programs",4,IF(J69="race horses",4,IF(J69="new vocabulary",4,IF(J69="sentences",5,IF(J69="concepts",5,IF(J69="ad slides",5,IF(J69="scenes",5,IF(J69="famous scenes",5,IF(J69="poems",6,IF(J69="walk",6,IF(J69="faces and events",6,IF(J69="events and names",6,IF(J69="flashbulb",7,IF(J69="stories",7,IF(J69="course material",7,IF(J69="autobiographical",7,IF(J69="novels",7,IF(J69="public events",7,"99"))))))))))))))))))))))))))))))))))))))))))))))</f>
        <v>4</v>
      </c>
      <c r="M69" s="60">
        <v>0</v>
      </c>
      <c r="N69" s="60">
        <v>1</v>
      </c>
      <c r="O69" s="60">
        <v>0</v>
      </c>
      <c r="P69" s="60"/>
      <c r="Q69" s="60" t="s">
        <v>65</v>
      </c>
      <c r="R69" s="60">
        <f>IF(Q69="Free Recall",1,IF(Q69="Cued Recall",2,IF(Q69="Recognition",3,IF(Q69="Multiple Choice",4,IF(Q69="Savings",5,IF(Q69="Stem Completion",6,IF(Q69="Fragment Completion",7,IF(Q69="anagram solution",8,IF(Q69="Matching",9,IF(Q69="Problem Solving",10,"99"))))))))))</f>
        <v>2</v>
      </c>
      <c r="S69" s="60" t="s">
        <v>49</v>
      </c>
      <c r="T69" s="59" t="s">
        <v>581</v>
      </c>
      <c r="U69" s="60">
        <f>IF(T69="within",1,0)</f>
        <v>1</v>
      </c>
      <c r="V69" s="59">
        <v>48</v>
      </c>
      <c r="W69" s="60">
        <f>F69*V69</f>
        <v>240</v>
      </c>
      <c r="X69" s="60">
        <v>4</v>
      </c>
      <c r="Y69" s="76">
        <f>AV68</f>
        <v>300</v>
      </c>
      <c r="Z69" s="60" t="s">
        <v>982</v>
      </c>
      <c r="AA69" s="60">
        <f>60*60*4</f>
        <v>14400</v>
      </c>
      <c r="AB69" s="60" t="str">
        <f>IF(AA69&lt;60,"1",IF(AA69&lt;=43200,"2",IF(AA69&lt;=777600,"3","4")))</f>
        <v>2</v>
      </c>
      <c r="AC69" s="56">
        <f>AVERAGE(AV68:DA68)</f>
        <v>4950</v>
      </c>
      <c r="AD69" s="60" t="str">
        <f>IF(AC69&lt;60,"1",IF(AC69&lt;=43200,"2",IF(AC69&lt;=777600,"3","4")))</f>
        <v>2</v>
      </c>
      <c r="AE69" s="76">
        <f>AA69-Y69</f>
        <v>14100</v>
      </c>
      <c r="AF69" s="80">
        <f>AV69</f>
        <v>0.66674610740387663</v>
      </c>
      <c r="AG69" s="56">
        <f>((AW69-AV69)+(AX69-AW69)+(AY69-AX69))/3</f>
        <v>-4.4698654803516646E-2</v>
      </c>
      <c r="AH69" s="4"/>
      <c r="AI69" s="56">
        <f>RSQ(AV69:AY69,AV68:AY68)</f>
        <v>0.12444270492093906</v>
      </c>
      <c r="AJ69" s="109">
        <f>SLOPE(AV69:AY69,AV68:AY68)</f>
        <v>-4.5924807828247344E-6</v>
      </c>
      <c r="AK69" s="56">
        <f>INTERCEPT(AV69:AY69,AV68:AY68)</f>
        <v>0.57651415896618019</v>
      </c>
      <c r="AL69" s="56">
        <f>INDEX(LINEST(LN(AV69:AY69),LN(AV68:AY68),TRUE,TRUE),3,1)</f>
        <v>0.51645479129748728</v>
      </c>
      <c r="AM69" s="56">
        <f>INDEX(LINEST(LN(AV69:AY69),LN(AV68:AY68)),1)</f>
        <v>-6.6320753200862073E-2</v>
      </c>
      <c r="AN69" s="56">
        <f>EXP(INDEX(LINEST(LN(AV69:AY69),LN(AV68:AY68)),1,2))</f>
        <v>0.91634646383376916</v>
      </c>
      <c r="AO69" s="82">
        <f>INDEX(LINEST((AV69:AY69),LN(AV68:AY68),TRUE,TRUE),3,1)</f>
        <v>0.55646934392918945</v>
      </c>
      <c r="AP69" s="82">
        <f>INDEX(LINEST((AV69:AY69),LN(AV68:AY68)),1)</f>
        <v>-3.8898578011814199E-2</v>
      </c>
      <c r="AQ69" s="83">
        <f>INDEX(LINEST(LN(AV69:AY69),SQRT(AV68:AY68),TRUE,TRUE),3,1)</f>
        <v>0.25077570747736344</v>
      </c>
      <c r="AR69" s="116">
        <f>INDEX(LINEST(LN(AV69:AY69),SQRT((AV68:AY68))),1)</f>
        <v>-1.6936287509694843E-3</v>
      </c>
      <c r="AS69" s="84">
        <f>INDEX(LINEST(1/(AV69:AY69),1/(SQRT(AV68:AY68)),TRUE,TRUE),3,1)</f>
        <v>0.66634534815667823</v>
      </c>
      <c r="AT69" s="84">
        <f>INDEX(LINEST(1/(AV69:AY69),1/SQRT(AV68:AY68)),1)</f>
        <v>-10.040711315514772</v>
      </c>
      <c r="AU69" s="3"/>
      <c r="AV69" s="53">
        <v>0.66674610740387663</v>
      </c>
      <c r="AW69" s="53">
        <v>0.54980934223069589</v>
      </c>
      <c r="AX69" s="53">
        <v>0.46591992373689167</v>
      </c>
      <c r="AY69" s="53">
        <v>0.53265014299332669</v>
      </c>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1"/>
      <c r="CS69" s="1"/>
      <c r="CT69" s="1"/>
      <c r="CU69" s="1"/>
    </row>
    <row r="70" spans="1:99" s="19" customFormat="1" ht="12" customHeight="1" x14ac:dyDescent="0.2">
      <c r="A70" s="68">
        <v>43951</v>
      </c>
      <c r="B70" s="100"/>
      <c r="C70" s="100"/>
      <c r="D70" s="99"/>
      <c r="E70" s="106"/>
      <c r="F70" s="99"/>
      <c r="G70" s="99"/>
      <c r="H70" s="69"/>
      <c r="I70" s="99"/>
      <c r="J70" s="69"/>
      <c r="K70" s="69"/>
      <c r="L70" s="69"/>
      <c r="M70" s="99"/>
      <c r="N70" s="99"/>
      <c r="O70" s="99"/>
      <c r="P70" s="99"/>
      <c r="Q70" s="69"/>
      <c r="R70" s="69"/>
      <c r="S70" s="69"/>
      <c r="T70" s="92"/>
      <c r="U70" s="60"/>
      <c r="V70" s="92"/>
      <c r="W70" s="69"/>
      <c r="X70" s="99"/>
      <c r="Y70" s="87"/>
      <c r="Z70" s="99"/>
      <c r="AA70" s="99"/>
      <c r="AB70" s="69"/>
      <c r="AC70" s="72"/>
      <c r="AD70" s="69"/>
      <c r="AE70" s="87"/>
      <c r="AF70" s="88"/>
      <c r="AG70" s="72"/>
      <c r="AH70" s="4"/>
      <c r="AI70" s="72"/>
      <c r="AJ70" s="110"/>
      <c r="AK70" s="72"/>
      <c r="AL70" s="72"/>
      <c r="AM70" s="72"/>
      <c r="AN70" s="72"/>
      <c r="AO70" s="89"/>
      <c r="AP70" s="89"/>
      <c r="AQ70" s="90"/>
      <c r="AR70" s="117"/>
      <c r="AS70" s="91"/>
      <c r="AT70" s="91"/>
      <c r="AU70" s="3"/>
      <c r="AV70" s="158">
        <f>60*2</f>
        <v>120</v>
      </c>
      <c r="AW70" s="158">
        <f>60*8</f>
        <v>480</v>
      </c>
      <c r="AX70" s="158">
        <f>60*26</f>
        <v>1560</v>
      </c>
      <c r="AY70" s="141"/>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c r="CP70" s="18"/>
      <c r="CQ70" s="18"/>
      <c r="CR70" s="17"/>
      <c r="CS70" s="17"/>
      <c r="CT70" s="17"/>
      <c r="CU70" s="17"/>
    </row>
    <row r="71" spans="1:99" s="19" customFormat="1" ht="12" customHeight="1" x14ac:dyDescent="0.2">
      <c r="A71" s="68">
        <v>43951</v>
      </c>
      <c r="B71" s="100" t="s">
        <v>887</v>
      </c>
      <c r="C71" s="100" t="s">
        <v>58</v>
      </c>
      <c r="D71" s="99">
        <v>1968</v>
      </c>
      <c r="E71" s="106">
        <v>2</v>
      </c>
      <c r="F71" s="99">
        <f>3*16</f>
        <v>48</v>
      </c>
      <c r="G71" s="99">
        <v>16</v>
      </c>
      <c r="H71" s="69" t="s">
        <v>50</v>
      </c>
      <c r="I71" s="99" t="s">
        <v>888</v>
      </c>
      <c r="J71" s="69" t="s">
        <v>828</v>
      </c>
      <c r="K71" s="69">
        <f>IF(J71="syllables",1,IF(J71="trigrams",2,IF(J71="strings",3,IF(J71="visual array",4,IF(J71="characters",5,IF(J71="letters",6,IF(J71="free forms",7,IF(J71="odors",8,IF(J71="words",9,IF(J71="pictures",10,IF(J71="object pictures",11,IF(J71="faces",12,IF(J71="names",13,IF(J71="idioms",14,IF(J71="grades",15,IF(J71="syllable-digit pairs",16,IF(J71="trigram-word pairs",17,IF(J71="word-digit pairs",18,IF(J71="English-Swahili pairs",19,IF(J71="spatial position",20,IF(J71="word pairs",21,IF(J71="word triads",22,IF(J71="generated words",23,IF(J71="word definition pairs",24,IF(J71="math problems",25,IF(J71="famous faces",26,IF(J71="famous names",27,IF(J71="famous voices",28,IF(J71="television programs",29,IF(J71="race horses",30,IF(J71="new vocabulary",31,IF(J71="sentences",32,IF(J71="concepts",33,IF(J71="ad slides",34,IF(J71="scenes",35,IF(J71="famous scenes",36,IF(J71="poems",37,IF(J71="walk",38,IF(J71="faces and events",39,IF(J71="events and names",40,IF(J71="flashbulb",41,IF(J71="stories",42,IF(J71="course material",43,IF(J71="autobiographical",44,IF(J71="novels",45,IF(J71="public events",46,"99"))))))))))))))))))))))))))))))))))))))))))))))</f>
        <v>17</v>
      </c>
      <c r="L71" s="69">
        <f>IF(J71="syllables",1,IF(J71="trigrams",1,IF(J71="strings",1,IF(J71="visual array",1,IF(J71="characters",1,IF(J71="letters",1,IF(J71="free forms",1,IF(J71="odors",2,IF(J71="words",2,IF(J71="pictures",2,IF(J71="object pictures",2,IF(J71="faces",2,IF(J71="names",2,IF(J71="idioms","2",IF(J71="grades",2,IF(J71="syllable-digit pairs",3,IF(J71="trigram-word pairs",3,IF(J71="word-digit pairs",3,IF(J71="English-Swahili pairs",3,IF(J71="spatial position",3,IF(J71="word pairs",4,IF(J71="word triads",4,IF(J71="generated words",4,IF(J71="word definition pairs",4,IF(J71="math problems",4,IF(J71="famous faces",4,IF(J71="famous names",4,IF(J71="famous voices",4,IF(J71="television programs",4,IF(J71="race horses",4,IF(J71="new vocabulary",4,IF(J71="sentences",5,IF(J71="concepts",5,IF(J71="ad slides",5,IF(J71="scenes",5,IF(J71="famous scenes",5,IF(J71="poems",6,IF(J71="walk",6,IF(J71="faces and events",6,IF(J71="events and names",6,IF(J71="flashbulb",7,IF(J71="stories",7,IF(J71="course material",7,IF(J71="autobiographical",7,IF(J71="novels",7,IF(J71="public events",7,"99"))))))))))))))))))))))))))))))))))))))))))))))</f>
        <v>3</v>
      </c>
      <c r="M71" s="99">
        <v>1</v>
      </c>
      <c r="N71" s="99">
        <v>2</v>
      </c>
      <c r="O71" s="99">
        <v>0</v>
      </c>
      <c r="P71" s="99"/>
      <c r="Q71" s="69" t="s">
        <v>65</v>
      </c>
      <c r="R71" s="69">
        <f>IF(Q71="Free Recall",1,IF(Q71="Cued Recall",2,IF(Q71="Recognition",3,IF(Q71="Multiple Choice",4,IF(Q71="Savings",5,IF(Q71="Stem Completion",6,IF(Q71="Fragment Completion",7,IF(Q71="anagram solution",8,IF(Q71="Matching",9,IF(Q71="Problem Solving",10,"99"))))))))))</f>
        <v>2</v>
      </c>
      <c r="S71" s="69" t="s">
        <v>49</v>
      </c>
      <c r="T71" s="92" t="s">
        <v>261</v>
      </c>
      <c r="U71" s="60">
        <f>IF(T71="within",1,0)</f>
        <v>0</v>
      </c>
      <c r="V71" s="92">
        <v>8</v>
      </c>
      <c r="W71" s="69">
        <f>F71*V71</f>
        <v>384</v>
      </c>
      <c r="X71" s="99">
        <v>3</v>
      </c>
      <c r="Y71" s="87">
        <f>AV70</f>
        <v>120</v>
      </c>
      <c r="Z71" s="99" t="s">
        <v>889</v>
      </c>
      <c r="AA71" s="99">
        <f>60*26</f>
        <v>1560</v>
      </c>
      <c r="AB71" s="69" t="str">
        <f>IF(AA71&lt;60,"1",IF(AA71&lt;=43200,"2",IF(AA71&lt;=777600,"3","4")))</f>
        <v>2</v>
      </c>
      <c r="AC71" s="72">
        <f>AVERAGE(AV70:DA70)</f>
        <v>720</v>
      </c>
      <c r="AD71" s="69" t="str">
        <f>IF(AC71&lt;60,"1",IF(AC71&lt;=43200,"2",IF(AC71&lt;=777600,"3","4")))</f>
        <v>2</v>
      </c>
      <c r="AE71" s="87">
        <f>AA71-Y71</f>
        <v>1440</v>
      </c>
      <c r="AF71" s="88">
        <f>AV71</f>
        <v>0.81384711139697496</v>
      </c>
      <c r="AG71" s="72">
        <f>((AW71-AV71)+(AX71-AW71))/2</f>
        <v>-3.9568001134763109E-2</v>
      </c>
      <c r="AH71" s="4"/>
      <c r="AI71" s="72">
        <f>RSQ(AV71:AX71,AV70:AX70)</f>
        <v>0.44648555143867708</v>
      </c>
      <c r="AJ71" s="110">
        <f>SLOPE(AV71:AX71,AV70:AX70)</f>
        <v>-4.1588322846442433E-5</v>
      </c>
      <c r="AK71" s="72">
        <f>INTERCEPT(AV71:AX71,AV70:AX70)</f>
        <v>0.78996448408257436</v>
      </c>
      <c r="AL71" s="72">
        <f>INDEX(LINEST(LN(AV71:AX71),LN(AV70:AX70),TRUE,TRUE),3,1)</f>
        <v>0.75900705694144888</v>
      </c>
      <c r="AM71" s="72">
        <f>INDEX(LINEST(LN(AV71:AX71),LN(AV70:AX70)),1)</f>
        <v>-4.0960677745524365E-2</v>
      </c>
      <c r="AN71" s="72">
        <f>EXP(INDEX(LINEST(LN(AV71:AX71),LN(AV70:AX70)),1,2))</f>
        <v>0.97473455488349425</v>
      </c>
      <c r="AO71" s="89">
        <f>INDEX(LINEST((AV71:AX71),LN(AV70:AX70),TRUE,TRUE),3,1)</f>
        <v>0.76059450848757448</v>
      </c>
      <c r="AP71" s="89">
        <f>INDEX(LINEST((AV71:AX71),LN(AV70:AX70)),1)</f>
        <v>-3.1683650715659956E-2</v>
      </c>
      <c r="AQ71" s="90">
        <f>INDEX(LINEST(LN(AV71:AX71),SQRT(AV70:AX70),TRUE,TRUE),3,1)</f>
        <v>0.59165438727446729</v>
      </c>
      <c r="AR71" s="117">
        <f>INDEX(LINEST(LN(AV71:AX71),SQRT((AV70:AX70))),1)</f>
        <v>-3.2245253545823984E-3</v>
      </c>
      <c r="AS71" s="91">
        <f>INDEX(LINEST(1/(AV71:AX71),1/(SQRT(AV70:AX70)),TRUE,TRUE),3,1)</f>
        <v>0.88644889708052754</v>
      </c>
      <c r="AT71" s="91">
        <f>INDEX(LINEST(1/(AV71:AX71),1/SQRT(AV70:AX70)),1)</f>
        <v>-2.1790252062563069</v>
      </c>
      <c r="AU71" s="3"/>
      <c r="AV71" s="101">
        <v>0.81384711139697496</v>
      </c>
      <c r="AW71" s="101">
        <v>0.73150445437498379</v>
      </c>
      <c r="AX71" s="101">
        <v>0.73471110912744875</v>
      </c>
      <c r="AY71" s="141"/>
      <c r="AZ71" s="18"/>
      <c r="BA71" s="18"/>
      <c r="BB71" s="18"/>
      <c r="BC71" s="18"/>
      <c r="BD71" s="18"/>
      <c r="BE71" s="18"/>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c r="CH71" s="18"/>
      <c r="CI71" s="18"/>
      <c r="CJ71" s="18"/>
      <c r="CK71" s="18"/>
      <c r="CL71" s="18"/>
      <c r="CM71" s="18"/>
      <c r="CN71" s="18"/>
      <c r="CO71" s="18"/>
      <c r="CP71" s="18"/>
      <c r="CQ71" s="18"/>
      <c r="CR71" s="17"/>
      <c r="CS71" s="17"/>
      <c r="CT71" s="17"/>
      <c r="CU71" s="17"/>
    </row>
    <row r="72" spans="1:99" s="19" customFormat="1" ht="12" customHeight="1" x14ac:dyDescent="0.2">
      <c r="A72" s="68">
        <v>43951</v>
      </c>
      <c r="B72" s="100"/>
      <c r="C72" s="100"/>
      <c r="D72" s="99"/>
      <c r="E72" s="106"/>
      <c r="F72" s="99"/>
      <c r="G72" s="99"/>
      <c r="H72" s="69"/>
      <c r="I72" s="99"/>
      <c r="J72" s="69"/>
      <c r="K72" s="69"/>
      <c r="L72" s="69"/>
      <c r="M72" s="99"/>
      <c r="N72" s="99"/>
      <c r="O72" s="99"/>
      <c r="P72" s="99"/>
      <c r="Q72" s="69"/>
      <c r="R72" s="69"/>
      <c r="S72" s="69"/>
      <c r="T72" s="92"/>
      <c r="U72" s="60"/>
      <c r="V72" s="92"/>
      <c r="W72" s="69"/>
      <c r="X72" s="99"/>
      <c r="Y72" s="87"/>
      <c r="Z72" s="99"/>
      <c r="AA72" s="99"/>
      <c r="AB72" s="69"/>
      <c r="AC72" s="72"/>
      <c r="AD72" s="69"/>
      <c r="AE72" s="87"/>
      <c r="AF72" s="88"/>
      <c r="AG72" s="72"/>
      <c r="AH72" s="4"/>
      <c r="AI72" s="72"/>
      <c r="AJ72" s="110"/>
      <c r="AK72" s="72"/>
      <c r="AL72" s="72"/>
      <c r="AM72" s="72"/>
      <c r="AN72" s="72"/>
      <c r="AO72" s="89"/>
      <c r="AP72" s="89"/>
      <c r="AQ72" s="90"/>
      <c r="AR72" s="117"/>
      <c r="AS72" s="91"/>
      <c r="AT72" s="91"/>
      <c r="AU72" s="3"/>
      <c r="AV72" s="158">
        <f>60*2</f>
        <v>120</v>
      </c>
      <c r="AW72" s="158">
        <f>60*8</f>
        <v>480</v>
      </c>
      <c r="AX72" s="158">
        <f>60*26</f>
        <v>1560</v>
      </c>
      <c r="AY72" s="141"/>
      <c r="AZ72" s="18"/>
      <c r="BA72" s="18"/>
      <c r="BB72" s="18"/>
      <c r="BC72" s="18"/>
      <c r="BD72" s="18"/>
      <c r="BE72" s="18"/>
      <c r="BF72" s="18"/>
      <c r="BG72" s="18"/>
      <c r="BH72" s="18"/>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c r="CH72" s="18"/>
      <c r="CI72" s="18"/>
      <c r="CJ72" s="18"/>
      <c r="CK72" s="18"/>
      <c r="CL72" s="18"/>
      <c r="CM72" s="18"/>
      <c r="CN72" s="18"/>
      <c r="CO72" s="18"/>
      <c r="CP72" s="18"/>
      <c r="CQ72" s="18"/>
      <c r="CR72" s="17"/>
      <c r="CS72" s="17"/>
      <c r="CT72" s="17"/>
      <c r="CU72" s="17"/>
    </row>
    <row r="73" spans="1:99" s="19" customFormat="1" ht="12" customHeight="1" x14ac:dyDescent="0.2">
      <c r="A73" s="68">
        <v>43951</v>
      </c>
      <c r="B73" s="100" t="s">
        <v>887</v>
      </c>
      <c r="C73" s="100" t="s">
        <v>58</v>
      </c>
      <c r="D73" s="99">
        <v>1968</v>
      </c>
      <c r="E73" s="106">
        <v>2</v>
      </c>
      <c r="F73" s="99">
        <f>3*16</f>
        <v>48</v>
      </c>
      <c r="G73" s="99">
        <v>16</v>
      </c>
      <c r="H73" s="69" t="s">
        <v>50</v>
      </c>
      <c r="I73" s="99" t="s">
        <v>479</v>
      </c>
      <c r="J73" s="69" t="s">
        <v>828</v>
      </c>
      <c r="K73" s="69">
        <f>IF(J73="syllables",1,IF(J73="trigrams",2,IF(J73="strings",3,IF(J73="visual array",4,IF(J73="characters",5,IF(J73="letters",6,IF(J73="free forms",7,IF(J73="odors",8,IF(J73="words",9,IF(J73="pictures",10,IF(J73="object pictures",11,IF(J73="faces",12,IF(J73="names",13,IF(J73="idioms",14,IF(J73="grades",15,IF(J73="syllable-digit pairs",16,IF(J73="trigram-word pairs",17,IF(J73="word-digit pairs",18,IF(J73="English-Swahili pairs",19,IF(J73="spatial position",20,IF(J73="word pairs",21,IF(J73="word triads",22,IF(J73="generated words",23,IF(J73="word definition pairs",24,IF(J73="math problems",25,IF(J73="famous faces",26,IF(J73="famous names",27,IF(J73="famous voices",28,IF(J73="television programs",29,IF(J73="race horses",30,IF(J73="new vocabulary",31,IF(J73="sentences",32,IF(J73="concepts",33,IF(J73="ad slides",34,IF(J73="scenes",35,IF(J73="famous scenes",36,IF(J73="poems",37,IF(J73="walk",38,IF(J73="faces and events",39,IF(J73="events and names",40,IF(J73="flashbulb",41,IF(J73="stories",42,IF(J73="course material",43,IF(J73="autobiographical",44,IF(J73="novels",45,IF(J73="public events",46,"99"))))))))))))))))))))))))))))))))))))))))))))))</f>
        <v>17</v>
      </c>
      <c r="L73" s="69">
        <f>IF(J73="syllables",1,IF(J73="trigrams",1,IF(J73="strings",1,IF(J73="visual array",1,IF(J73="characters",1,IF(J73="letters",1,IF(J73="free forms",1,IF(J73="odors",2,IF(J73="words",2,IF(J73="pictures",2,IF(J73="object pictures",2,IF(J73="faces",2,IF(J73="names",2,IF(J73="idioms","2",IF(J73="grades",2,IF(J73="syllable-digit pairs",3,IF(J73="trigram-word pairs",3,IF(J73="word-digit pairs",3,IF(J73="English-Swahili pairs",3,IF(J73="spatial position",3,IF(J73="word pairs",4,IF(J73="word triads",4,IF(J73="generated words",4,IF(J73="word definition pairs",4,IF(J73="math problems",4,IF(J73="famous faces",4,IF(J73="famous names",4,IF(J73="famous voices",4,IF(J73="television programs",4,IF(J73="race horses",4,IF(J73="new vocabulary",4,IF(J73="sentences",5,IF(J73="concepts",5,IF(J73="ad slides",5,IF(J73="scenes",5,IF(J73="famous scenes",5,IF(J73="poems",6,IF(J73="walk",6,IF(J73="faces and events",6,IF(J73="events and names",6,IF(J73="flashbulb",7,IF(J73="stories",7,IF(J73="course material",7,IF(J73="autobiographical",7,IF(J73="novels",7,IF(J73="public events",7,"99"))))))))))))))))))))))))))))))))))))))))))))))</f>
        <v>3</v>
      </c>
      <c r="M73" s="99">
        <v>1</v>
      </c>
      <c r="N73" s="99">
        <v>2</v>
      </c>
      <c r="O73" s="99">
        <v>0</v>
      </c>
      <c r="P73" s="99"/>
      <c r="Q73" s="69" t="s">
        <v>65</v>
      </c>
      <c r="R73" s="69">
        <f>IF(Q73="Free Recall",1,IF(Q73="Cued Recall",2,IF(Q73="Recognition",3,IF(Q73="Multiple Choice",4,IF(Q73="Savings",5,IF(Q73="Stem Completion",6,IF(Q73="Fragment Completion",7,IF(Q73="anagram solution",8,IF(Q73="Matching",9,IF(Q73="Problem Solving",10,"99"))))))))))</f>
        <v>2</v>
      </c>
      <c r="S73" s="69" t="s">
        <v>49</v>
      </c>
      <c r="T73" s="92" t="s">
        <v>261</v>
      </c>
      <c r="U73" s="60">
        <f>IF(T73="within",1,0)</f>
        <v>0</v>
      </c>
      <c r="V73" s="92">
        <v>8</v>
      </c>
      <c r="W73" s="69">
        <f>F73*V73</f>
        <v>384</v>
      </c>
      <c r="X73" s="99">
        <v>3</v>
      </c>
      <c r="Y73" s="87">
        <f>AV72</f>
        <v>120</v>
      </c>
      <c r="Z73" s="99" t="s">
        <v>889</v>
      </c>
      <c r="AA73" s="99">
        <f>60*26</f>
        <v>1560</v>
      </c>
      <c r="AB73" s="69" t="str">
        <f>IF(AA73&lt;60,"1",IF(AA73&lt;=43200,"2",IF(AA73&lt;=777600,"3","4")))</f>
        <v>2</v>
      </c>
      <c r="AC73" s="72">
        <f>AVERAGE(AV72:DA72)</f>
        <v>720</v>
      </c>
      <c r="AD73" s="69" t="str">
        <f>IF(AC73&lt;60,"1",IF(AC73&lt;=43200,"2",IF(AC73&lt;=777600,"3","4")))</f>
        <v>2</v>
      </c>
      <c r="AE73" s="87">
        <f>AA73-Y73</f>
        <v>1440</v>
      </c>
      <c r="AF73" s="88">
        <f>AV73</f>
        <v>0.91340855217986505</v>
      </c>
      <c r="AG73" s="72">
        <f>((AW73-AV73)+(AX73-AW73))/2</f>
        <v>-2.8079895670229393E-2</v>
      </c>
      <c r="AH73" s="4"/>
      <c r="AI73" s="72">
        <f>RSQ(AV73:AX73,AV72:AX72)</f>
        <v>0.98095776481407204</v>
      </c>
      <c r="AJ73" s="110">
        <f>SLOPE(AV73:AX73,AV72:AX72)</f>
        <v>-4.0634165440504155E-5</v>
      </c>
      <c r="AK73" s="72">
        <f>INTERCEPT(AV73:AX73,AV72:AX72)</f>
        <v>0.92181476237352633</v>
      </c>
      <c r="AL73" s="72">
        <f>INDEX(LINEST(LN(AV73:AX73),LN(AV72:AX72),TRUE,TRUE),3,1)</f>
        <v>0.79553786475235699</v>
      </c>
      <c r="AM73" s="72">
        <f>INDEX(LINEST(LN(AV73:AX73),LN(AV72:AX72)),1)</f>
        <v>-2.4166709395687224E-2</v>
      </c>
      <c r="AN73" s="72">
        <f>EXP(INDEX(LINEST(LN(AV73:AX73),LN(AV72:AX72)),1,2))</f>
        <v>1.0340292819218277</v>
      </c>
      <c r="AO73" s="89">
        <f>INDEX(LINEST((AV73:AX73),LN(AV72:AX72),TRUE,TRUE),3,1)</f>
        <v>0.7979748396727413</v>
      </c>
      <c r="AP73" s="89">
        <f>INDEX(LINEST((AV73:AX73),LN(AV72:AX72)),1)</f>
        <v>-2.1392015822880469E-2</v>
      </c>
      <c r="AQ73" s="90">
        <f>INDEX(LINEST(LN(AV73:AX73),SQRT(AV72:AX72),TRUE,TRUE),3,1)</f>
        <v>0.91871620028618628</v>
      </c>
      <c r="AR73" s="117">
        <f>INDEX(LINEST(LN(AV73:AX73),SQRT((AV72:AX72))),1)</f>
        <v>-2.3156093997505635E-3</v>
      </c>
      <c r="AS73" s="91">
        <f>INDEX(LINEST(1/(AV73:AX73),1/(SQRT(AV72:AX72)),TRUE,TRUE),3,1)</f>
        <v>0.63997222279033972</v>
      </c>
      <c r="AT73" s="91">
        <f>INDEX(LINEST(1/(AV73:AX73),1/SQRT(AV72:AX72)),1)</f>
        <v>-0.93227433708464813</v>
      </c>
      <c r="AU73" s="3"/>
      <c r="AV73" s="101">
        <v>0.91340855217986505</v>
      </c>
      <c r="AW73" s="101">
        <v>0.90701717674981874</v>
      </c>
      <c r="AX73" s="101">
        <v>0.85724876083940627</v>
      </c>
      <c r="AY73" s="141"/>
      <c r="AZ73" s="18"/>
      <c r="BA73" s="18"/>
      <c r="BB73" s="18"/>
      <c r="BC73" s="18"/>
      <c r="BD73" s="18"/>
      <c r="BE73" s="18"/>
      <c r="BF73" s="18"/>
      <c r="BG73" s="18"/>
      <c r="BH73" s="18"/>
      <c r="BI73" s="18"/>
      <c r="BJ73" s="18"/>
      <c r="BK73" s="18"/>
      <c r="BL73" s="18"/>
      <c r="BM73" s="18"/>
      <c r="BN73" s="18"/>
      <c r="BO73" s="18"/>
      <c r="BP73" s="18"/>
      <c r="BQ73" s="18"/>
      <c r="BR73" s="18"/>
      <c r="BS73" s="18"/>
      <c r="BT73" s="18"/>
      <c r="BU73" s="18"/>
      <c r="BV73" s="18"/>
      <c r="BW73" s="18"/>
      <c r="BX73" s="18"/>
      <c r="BY73" s="18"/>
      <c r="BZ73" s="18"/>
      <c r="CA73" s="18"/>
      <c r="CB73" s="18"/>
      <c r="CC73" s="18"/>
      <c r="CD73" s="18"/>
      <c r="CE73" s="18"/>
      <c r="CF73" s="18"/>
      <c r="CG73" s="18"/>
      <c r="CH73" s="18"/>
      <c r="CI73" s="18"/>
      <c r="CJ73" s="18"/>
      <c r="CK73" s="18"/>
      <c r="CL73" s="18"/>
      <c r="CM73" s="18"/>
      <c r="CN73" s="18"/>
      <c r="CO73" s="18"/>
      <c r="CP73" s="18"/>
      <c r="CQ73" s="18"/>
      <c r="CR73" s="17"/>
      <c r="CS73" s="17"/>
      <c r="CT73" s="17"/>
      <c r="CU73" s="17"/>
    </row>
    <row r="74" spans="1:99" s="13" customFormat="1" ht="12" customHeight="1" x14ac:dyDescent="0.2">
      <c r="A74" s="68">
        <v>43509</v>
      </c>
      <c r="B74" s="70"/>
      <c r="C74" s="70"/>
      <c r="D74" s="69"/>
      <c r="E74" s="87"/>
      <c r="F74" s="69"/>
      <c r="G74" s="69"/>
      <c r="H74" s="69"/>
      <c r="I74" s="69"/>
      <c r="J74" s="69"/>
      <c r="K74" s="107"/>
      <c r="L74" s="107"/>
      <c r="M74" s="69"/>
      <c r="N74" s="69"/>
      <c r="O74" s="69"/>
      <c r="P74" s="69"/>
      <c r="Q74" s="69"/>
      <c r="R74" s="69"/>
      <c r="S74" s="69"/>
      <c r="T74" s="69"/>
      <c r="U74" s="60"/>
      <c r="V74" s="69"/>
      <c r="W74" s="69"/>
      <c r="X74" s="69"/>
      <c r="Y74" s="87"/>
      <c r="Z74" s="69"/>
      <c r="AA74" s="69"/>
      <c r="AB74" s="69"/>
      <c r="AC74" s="69"/>
      <c r="AD74" s="69"/>
      <c r="AE74" s="69"/>
      <c r="AF74" s="88"/>
      <c r="AG74" s="72"/>
      <c r="AH74" s="4"/>
      <c r="AI74" s="72"/>
      <c r="AJ74" s="110"/>
      <c r="AK74" s="72"/>
      <c r="AL74" s="72"/>
      <c r="AM74" s="72"/>
      <c r="AN74" s="72"/>
      <c r="AO74" s="72"/>
      <c r="AP74" s="72"/>
      <c r="AQ74" s="89"/>
      <c r="AR74" s="118"/>
      <c r="AS74" s="89"/>
      <c r="AT74" s="89"/>
      <c r="AU74" s="9"/>
      <c r="AV74" s="71">
        <f>60*1</f>
        <v>60</v>
      </c>
      <c r="AW74" s="71">
        <f>60*4</f>
        <v>240</v>
      </c>
      <c r="AX74" s="71">
        <f>60*8</f>
        <v>480</v>
      </c>
      <c r="AY74" s="53"/>
      <c r="AZ74" s="53"/>
      <c r="BA74" s="53"/>
      <c r="BB74" s="53"/>
      <c r="BC74" s="53"/>
      <c r="BD74" s="53"/>
      <c r="BE74" s="53"/>
      <c r="BF74" s="53"/>
      <c r="BG74" s="53"/>
      <c r="BH74" s="53"/>
      <c r="BI74" s="53"/>
      <c r="BJ74" s="53"/>
      <c r="BK74" s="53"/>
      <c r="BL74" s="53"/>
      <c r="BM74" s="53"/>
      <c r="BN74" s="53"/>
      <c r="BO74" s="53"/>
      <c r="BP74" s="53"/>
      <c r="BQ74" s="53"/>
      <c r="BR74" s="53"/>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3"/>
      <c r="CQ74" s="53"/>
      <c r="CR74" s="1"/>
      <c r="CS74" s="1"/>
      <c r="CT74" s="1"/>
      <c r="CU74" s="1"/>
    </row>
    <row r="75" spans="1:99" s="13" customFormat="1" ht="12" customHeight="1" x14ac:dyDescent="0.2">
      <c r="A75" s="68">
        <v>43509</v>
      </c>
      <c r="B75" s="70" t="s">
        <v>253</v>
      </c>
      <c r="C75" s="70" t="s">
        <v>70</v>
      </c>
      <c r="D75" s="69">
        <v>2015</v>
      </c>
      <c r="E75" s="87">
        <v>1</v>
      </c>
      <c r="F75" s="69">
        <v>36</v>
      </c>
      <c r="G75" s="69">
        <v>36</v>
      </c>
      <c r="H75" s="69" t="s">
        <v>50</v>
      </c>
      <c r="I75" s="69" t="s">
        <v>784</v>
      </c>
      <c r="J75" s="69" t="s">
        <v>16</v>
      </c>
      <c r="K75" s="69">
        <f>IF(J75="syllables",1,IF(J75="trigrams",2,IF(J75="strings",3,IF(J75="visual array",4,IF(J75="characters",5,IF(J75="letters",6,IF(J75="free forms",7,IF(J75="odors",8,IF(J75="words",9,IF(J75="pictures",10,IF(J75="object pictures",11,IF(J75="faces",12,IF(J75="names",13,IF(J75="idioms",14,IF(J75="grades",15,IF(J75="syllable-digit pairs",16,IF(J75="trigram-word pairs",17,IF(J75="word-digit pairs",18,IF(J75="English-Swahili pairs",19,IF(J75="spatial position",20,IF(J75="word pairs",21,IF(J75="word triads",22,IF(J75="generated words",23,IF(J75="word definition pairs",24,IF(J75="math problems",25,IF(J75="famous faces",26,IF(J75="famous names",27,IF(J75="famous voices",28,IF(J75="television programs",29,IF(J75="race horses",30,IF(J75="new vocabulary",31,IF(J75="sentences",32,IF(J75="concepts",33,IF(J75="ad slides",34,IF(J75="scenes",35,IF(J75="famous scenes",36,IF(J75="poems",37,IF(J75="walk",38,IF(J75="faces and events",39,IF(J75="events and names",40,IF(J75="flashbulb",41,IF(J75="stories",42,IF(J75="course material",43,IF(J75="autobiographical",44,IF(J75="novels",45,IF(J75="public events",46,"99"))))))))))))))))))))))))))))))))))))))))))))))</f>
        <v>9</v>
      </c>
      <c r="L75" s="69">
        <f>IF(J75="syllables",1,IF(J75="trigrams",1,IF(J75="strings",1,IF(J75="visual array",1,IF(J75="characters",1,IF(J75="letters",1,IF(J75="free forms",1,IF(J75="odors",2,IF(J75="words",2,IF(J75="pictures",2,IF(J75="object pictures",2,IF(J75="faces",2,IF(J75="names",2,IF(J75="idioms","2",IF(J75="grades",2,IF(J75="syllable-digit pairs",3,IF(J75="trigram-word pairs",3,IF(J75="word-digit pairs",3,IF(J75="English-Swahili pairs",3,IF(J75="spatial position",3,IF(J75="word pairs",4,IF(J75="word triads",4,IF(J75="generated words",4,IF(J75="word definition pairs",4,IF(J75="math problems",4,IF(J75="famous faces",4,IF(J75="famous names",4,IF(J75="famous voices",4,IF(J75="television programs",4,IF(J75="race horses",4,IF(J75="new vocabulary",4,IF(J75="sentences",5,IF(J75="concepts",5,IF(J75="ad slides",5,IF(J75="scenes",5,IF(J75="famous scenes",5,IF(J75="poems",6,IF(J75="walk",6,IF(J75="faces and events",6,IF(J75="events and names",6,IF(J75="flashbulb",7,IF(J75="stories",7,IF(J75="course material",7,IF(J75="autobiographical",7,IF(J75="novels",7,IF(J75="public events",7,"99"))))))))))))))))))))))))))))))))))))))))))))))</f>
        <v>2</v>
      </c>
      <c r="M75" s="69">
        <v>1</v>
      </c>
      <c r="N75" s="69">
        <v>2</v>
      </c>
      <c r="O75" s="69">
        <v>1</v>
      </c>
      <c r="P75" s="69" t="s">
        <v>71</v>
      </c>
      <c r="Q75" s="69" t="s">
        <v>174</v>
      </c>
      <c r="R75" s="69">
        <f>IF(Q75="Free Recall",1,IF(Q75="Cued Recall",2,IF(Q75="Recognition",3,IF(Q75="Multiple Choice",4,IF(Q75="Savings",5,IF(Q75="Stem Completion",6,IF(Q75="Fragment Completion",7,IF(Q75="anagram solution",8,IF(Q75="Matching",9,IF(Q75="Problem Solving",10,"99"))))))))))</f>
        <v>1</v>
      </c>
      <c r="S75" s="69" t="s">
        <v>49</v>
      </c>
      <c r="T75" s="92" t="s">
        <v>581</v>
      </c>
      <c r="U75" s="60">
        <f>IF(T75="within",1,0)</f>
        <v>1</v>
      </c>
      <c r="V75" s="92">
        <v>10</v>
      </c>
      <c r="W75" s="69">
        <f>F75*V75</f>
        <v>360</v>
      </c>
      <c r="X75" s="69">
        <v>3</v>
      </c>
      <c r="Y75" s="87">
        <f>AV74</f>
        <v>60</v>
      </c>
      <c r="Z75" s="69" t="s">
        <v>72</v>
      </c>
      <c r="AA75" s="69">
        <v>480</v>
      </c>
      <c r="AB75" s="69" t="str">
        <f>IF(AA75&lt;60,"1",IF(AA75&lt;=43200,"2",IF(AA75&lt;=777600,"3","4")))</f>
        <v>2</v>
      </c>
      <c r="AC75" s="72">
        <f>AVERAGE(AV74:DA74)</f>
        <v>260</v>
      </c>
      <c r="AD75" s="69" t="str">
        <f>IF(AC75&lt;60,"1",IF(AC75&lt;=43200,"2",IF(AC75&lt;=777600,"3","4")))</f>
        <v>2</v>
      </c>
      <c r="AE75" s="87">
        <f>AA75-Y75</f>
        <v>420</v>
      </c>
      <c r="AF75" s="88">
        <f>AV75</f>
        <v>0.37</v>
      </c>
      <c r="AG75" s="72">
        <f>((AW75-AV75)+(AX75-AW75))/2</f>
        <v>-6.7000000000000004E-2</v>
      </c>
      <c r="AH75" s="4"/>
      <c r="AI75" s="72">
        <f>RSQ(AV75:AX75,AV74:AX74)</f>
        <v>0.91113787548419556</v>
      </c>
      <c r="AJ75" s="110">
        <f>SLOPE(AV75:AX75,AV74:AX74)</f>
        <v>-3.1103603603603607E-4</v>
      </c>
      <c r="AK75" s="72">
        <f>INTERCEPT(AV75:AX75,AV74:AX74)</f>
        <v>0.37520270270270273</v>
      </c>
      <c r="AL75" s="72">
        <f>INDEX(LINEST(LN(AV75:AX75),LN(AV74:AX74),TRUE,TRUE),3,1)</f>
        <v>0.99934411894180042</v>
      </c>
      <c r="AM75" s="72">
        <f>INDEX(LINEST(LN(AV75:AX75),LN(AV74:AX74)),1)</f>
        <v>-0.21518520993464335</v>
      </c>
      <c r="AN75" s="72">
        <f>EXP(INDEX(LINEST(LN(AV75:AX75),LN(AV74:AX74)),1,2))</f>
        <v>0.89493539894878338</v>
      </c>
      <c r="AO75" s="89">
        <f>INDEX(LINEST((AV75:AX75),LN(AV74:AX74),TRUE,TRUE),3,1)</f>
        <v>0.9990833425924992</v>
      </c>
      <c r="AP75" s="89">
        <f>INDEX(LINEST((AV75:AX75),LN(AV74:AX74)),1)</f>
        <v>-6.4818227194225558E-2</v>
      </c>
      <c r="AQ75" s="90">
        <f>INDEX(LINEST(LN(AV75:AX75),SQRT(AV74:AX74),TRUE,TRUE),3,1)</f>
        <v>0.98786366078150989</v>
      </c>
      <c r="AR75" s="117">
        <f>INDEX(LINEST(LN(AV75:AX75),SQRT((AV74:AX74))),1)</f>
        <v>-3.1941664904172079E-2</v>
      </c>
      <c r="AS75" s="91">
        <f>INDEX(LINEST(1/(AV75:AX75),1/(SQRT(AV74:AX74)),TRUE,TRUE),3,1)</f>
        <v>0.9602124914342457</v>
      </c>
      <c r="AT75" s="91">
        <f>INDEX(LINEST(1/(AV75:AX75),1/SQRT(AV74:AX74)),1)</f>
        <v>-17.2774486373469</v>
      </c>
      <c r="AU75" s="3"/>
      <c r="AV75" s="73">
        <v>0.37</v>
      </c>
      <c r="AW75" s="73">
        <v>0.27700000000000002</v>
      </c>
      <c r="AX75" s="73">
        <v>0.23599999999999999</v>
      </c>
      <c r="AY75" s="53"/>
      <c r="AZ75" s="53"/>
      <c r="BA75" s="53"/>
      <c r="BB75" s="53"/>
      <c r="BC75" s="53"/>
      <c r="BD75" s="53"/>
      <c r="BE75" s="53"/>
      <c r="BF75" s="53"/>
      <c r="BG75" s="53"/>
      <c r="BH75" s="53"/>
      <c r="BI75" s="53"/>
      <c r="BJ75" s="53"/>
      <c r="BK75" s="53"/>
      <c r="BL75" s="53"/>
      <c r="BM75" s="53"/>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1"/>
      <c r="CS75" s="1"/>
      <c r="CT75" s="1"/>
      <c r="CU75" s="1"/>
    </row>
    <row r="76" spans="1:99" s="13" customFormat="1" ht="12" customHeight="1" x14ac:dyDescent="0.2">
      <c r="A76" s="68">
        <v>43509</v>
      </c>
      <c r="B76" s="70"/>
      <c r="C76" s="70"/>
      <c r="D76" s="69"/>
      <c r="E76" s="87"/>
      <c r="F76" s="69"/>
      <c r="G76" s="69"/>
      <c r="H76" s="69"/>
      <c r="I76" s="69"/>
      <c r="J76" s="69"/>
      <c r="K76" s="107"/>
      <c r="L76" s="107"/>
      <c r="M76" s="69"/>
      <c r="N76" s="69"/>
      <c r="O76" s="69"/>
      <c r="P76" s="69"/>
      <c r="Q76" s="69"/>
      <c r="R76" s="69"/>
      <c r="S76" s="69"/>
      <c r="T76" s="69"/>
      <c r="U76" s="60"/>
      <c r="V76" s="69"/>
      <c r="W76" s="69"/>
      <c r="X76" s="69"/>
      <c r="Y76" s="87"/>
      <c r="Z76" s="69"/>
      <c r="AA76" s="69"/>
      <c r="AB76" s="69"/>
      <c r="AC76" s="69"/>
      <c r="AD76" s="69"/>
      <c r="AE76" s="69"/>
      <c r="AF76" s="88"/>
      <c r="AG76" s="72"/>
      <c r="AH76" s="4"/>
      <c r="AI76" s="72"/>
      <c r="AJ76" s="110"/>
      <c r="AK76" s="72"/>
      <c r="AL76" s="72"/>
      <c r="AM76" s="72"/>
      <c r="AN76" s="72"/>
      <c r="AO76" s="72"/>
      <c r="AP76" s="72"/>
      <c r="AQ76" s="89"/>
      <c r="AR76" s="118"/>
      <c r="AS76" s="89"/>
      <c r="AT76" s="89"/>
      <c r="AU76" s="5"/>
      <c r="AV76" s="71">
        <f>60*1</f>
        <v>60</v>
      </c>
      <c r="AW76" s="71">
        <f>60*4</f>
        <v>240</v>
      </c>
      <c r="AX76" s="71">
        <f>60*8</f>
        <v>480</v>
      </c>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1"/>
      <c r="CS76" s="1"/>
      <c r="CT76" s="1"/>
      <c r="CU76" s="1"/>
    </row>
    <row r="77" spans="1:99" s="13" customFormat="1" ht="12" customHeight="1" x14ac:dyDescent="0.2">
      <c r="A77" s="68">
        <v>43509</v>
      </c>
      <c r="B77" s="70" t="s">
        <v>253</v>
      </c>
      <c r="C77" s="70" t="s">
        <v>70</v>
      </c>
      <c r="D77" s="69">
        <v>2015</v>
      </c>
      <c r="E77" s="87">
        <v>1</v>
      </c>
      <c r="F77" s="69">
        <v>36</v>
      </c>
      <c r="G77" s="69">
        <v>36</v>
      </c>
      <c r="H77" s="69" t="s">
        <v>50</v>
      </c>
      <c r="I77" s="69" t="s">
        <v>785</v>
      </c>
      <c r="J77" s="69" t="s">
        <v>16</v>
      </c>
      <c r="K77" s="69">
        <f>IF(J77="syllables",1,IF(J77="trigrams",2,IF(J77="strings",3,IF(J77="visual array",4,IF(J77="characters",5,IF(J77="letters",6,IF(J77="free forms",7,IF(J77="odors",8,IF(J77="words",9,IF(J77="pictures",10,IF(J77="object pictures",11,IF(J77="faces",12,IF(J77="names",13,IF(J77="idioms",14,IF(J77="grades",15,IF(J77="syllable-digit pairs",16,IF(J77="trigram-word pairs",17,IF(J77="word-digit pairs",18,IF(J77="English-Swahili pairs",19,IF(J77="spatial position",20,IF(J77="word pairs",21,IF(J77="word triads",22,IF(J77="generated words",23,IF(J77="word definition pairs",24,IF(J77="math problems",25,IF(J77="famous faces",26,IF(J77="famous names",27,IF(J77="famous voices",28,IF(J77="television programs",29,IF(J77="race horses",30,IF(J77="new vocabulary",31,IF(J77="sentences",32,IF(J77="concepts",33,IF(J77="ad slides",34,IF(J77="scenes",35,IF(J77="famous scenes",36,IF(J77="poems",37,IF(J77="walk",38,IF(J77="faces and events",39,IF(J77="events and names",40,IF(J77="flashbulb",41,IF(J77="stories",42,IF(J77="course material",43,IF(J77="autobiographical",44,IF(J77="novels",45,IF(J77="public events",46,"99"))))))))))))))))))))))))))))))))))))))))))))))</f>
        <v>9</v>
      </c>
      <c r="L77" s="69">
        <f>IF(J77="syllables",1,IF(J77="trigrams",1,IF(J77="strings",1,IF(J77="visual array",1,IF(J77="characters",1,IF(J77="letters",1,IF(J77="free forms",1,IF(J77="odors",2,IF(J77="words",2,IF(J77="pictures",2,IF(J77="object pictures",2,IF(J77="faces",2,IF(J77="names",2,IF(J77="idioms","2",IF(J77="grades",2,IF(J77="syllable-digit pairs",3,IF(J77="trigram-word pairs",3,IF(J77="word-digit pairs",3,IF(J77="English-Swahili pairs",3,IF(J77="spatial position",3,IF(J77="word pairs",4,IF(J77="word triads",4,IF(J77="generated words",4,IF(J77="word definition pairs",4,IF(J77="math problems",4,IF(J77="famous faces",4,IF(J77="famous names",4,IF(J77="famous voices",4,IF(J77="television programs",4,IF(J77="race horses",4,IF(J77="new vocabulary",4,IF(J77="sentences",5,IF(J77="concepts",5,IF(J77="ad slides",5,IF(J77="scenes",5,IF(J77="famous scenes",5,IF(J77="poems",6,IF(J77="walk",6,IF(J77="faces and events",6,IF(J77="events and names",6,IF(J77="flashbulb",7,IF(J77="stories",7,IF(J77="course material",7,IF(J77="autobiographical",7,IF(J77="novels",7,IF(J77="public events",7,"99"))))))))))))))))))))))))))))))))))))))))))))))</f>
        <v>2</v>
      </c>
      <c r="M77" s="69">
        <v>0</v>
      </c>
      <c r="N77" s="69">
        <v>1</v>
      </c>
      <c r="O77" s="69">
        <v>1</v>
      </c>
      <c r="P77" s="69" t="s">
        <v>71</v>
      </c>
      <c r="Q77" s="69" t="s">
        <v>174</v>
      </c>
      <c r="R77" s="69">
        <f>IF(Q77="Free Recall",1,IF(Q77="Cued Recall",2,IF(Q77="Recognition",3,IF(Q77="Multiple Choice",4,IF(Q77="Savings",5,IF(Q77="Stem Completion",6,IF(Q77="Fragment Completion",7,IF(Q77="anagram solution",8,IF(Q77="Matching",9,IF(Q77="Problem Solving",10,"99"))))))))))</f>
        <v>1</v>
      </c>
      <c r="S77" s="69" t="s">
        <v>49</v>
      </c>
      <c r="T77" s="92" t="s">
        <v>581</v>
      </c>
      <c r="U77" s="60">
        <f>IF(T77="within",1,0)</f>
        <v>1</v>
      </c>
      <c r="V77" s="92">
        <v>10</v>
      </c>
      <c r="W77" s="69">
        <f>F77*V77</f>
        <v>360</v>
      </c>
      <c r="X77" s="69">
        <v>3</v>
      </c>
      <c r="Y77" s="87">
        <f>AV76</f>
        <v>60</v>
      </c>
      <c r="Z77" s="69" t="s">
        <v>72</v>
      </c>
      <c r="AA77" s="69">
        <v>480</v>
      </c>
      <c r="AB77" s="69" t="str">
        <f>IF(AA77&lt;60,"1",IF(AA77&lt;=43200,"2",IF(AA77&lt;=777600,"3","4")))</f>
        <v>2</v>
      </c>
      <c r="AC77" s="72">
        <f>AVERAGE(AV76:DA76)</f>
        <v>260</v>
      </c>
      <c r="AD77" s="69" t="str">
        <f>IF(AC77&lt;60,"1",IF(AC77&lt;=43200,"2",IF(AC77&lt;=777600,"3","4")))</f>
        <v>2</v>
      </c>
      <c r="AE77" s="87">
        <f>AA77-Y77</f>
        <v>420</v>
      </c>
      <c r="AF77" s="88">
        <f>AV77</f>
        <v>0.29699999999999999</v>
      </c>
      <c r="AG77" s="72">
        <f>((AW77-AV77)+(AX77-AW77))/2</f>
        <v>-3.1499999999999986E-2</v>
      </c>
      <c r="AH77" s="4"/>
      <c r="AI77" s="72">
        <f>RSQ(AV77:AX77,AV76:AX76)</f>
        <v>0.99466177632116504</v>
      </c>
      <c r="AJ77" s="110">
        <f>SLOPE(AV77:AX77,AV76:AX76)</f>
        <v>-1.4909909909909905E-4</v>
      </c>
      <c r="AK77" s="72">
        <f>INTERCEPT(AV77:AX77,AV76:AX76)</f>
        <v>0.3044324324324324</v>
      </c>
      <c r="AL77" s="72">
        <f>INDEX(LINEST(LN(AV77:AX77),LN(AV76:AX76),TRUE,TRUE),3,1)</f>
        <v>0.94644285766145786</v>
      </c>
      <c r="AM77" s="72">
        <f>INDEX(LINEST(LN(AV77:AX77),LN(AV76:AX76)),1)</f>
        <v>-0.10963244929778714</v>
      </c>
      <c r="AN77" s="72">
        <f>EXP(INDEX(LINEST(LN(AV77:AX77),LN(AV76:AX76)),1,2))</f>
        <v>0.47014535624050813</v>
      </c>
      <c r="AO77" s="89">
        <f>INDEX(LINEST((AV77:AX77),LN(AV76:AX76),TRUE,TRUE),3,1)</f>
        <v>0.96080666058831987</v>
      </c>
      <c r="AP77" s="89">
        <f>INDEX(LINEST((AV77:AX77),LN(AV76:AX76)),1)</f>
        <v>-2.9163049755112594E-2</v>
      </c>
      <c r="AQ77" s="90">
        <f>INDEX(LINEST(LN(AV77:AX77),SQRT(AV76:AX76),TRUE,TRUE),3,1)</f>
        <v>0.99051622960352947</v>
      </c>
      <c r="AR77" s="117">
        <f>INDEX(LINEST(LN(AV77:AX77),SQRT((AV76:AX76))),1)</f>
        <v>-1.6744680766842115E-2</v>
      </c>
      <c r="AS77" s="91">
        <f>INDEX(LINEST(1/(AV77:AX77),1/(SQRT(AV76:AX76)),TRUE,TRUE),3,1)</f>
        <v>0.86019363802387616</v>
      </c>
      <c r="AT77" s="91">
        <f>INDEX(LINEST(1/(AV77:AX77),1/SQRT(AV76:AX76)),1)</f>
        <v>-9.6354466120822391</v>
      </c>
      <c r="AU77" s="3"/>
      <c r="AV77" s="73">
        <v>0.29699999999999999</v>
      </c>
      <c r="AW77" s="73">
        <v>0.26600000000000001</v>
      </c>
      <c r="AX77" s="73">
        <v>0.23400000000000001</v>
      </c>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1"/>
      <c r="CS77" s="1"/>
      <c r="CT77" s="1"/>
      <c r="CU77" s="1"/>
    </row>
    <row r="78" spans="1:99" s="13" customFormat="1" ht="12" customHeight="1" x14ac:dyDescent="0.2">
      <c r="A78" s="68">
        <v>43509</v>
      </c>
      <c r="B78" s="70"/>
      <c r="C78" s="70"/>
      <c r="D78" s="69"/>
      <c r="E78" s="87"/>
      <c r="F78" s="69"/>
      <c r="G78" s="69"/>
      <c r="H78" s="69"/>
      <c r="I78" s="69"/>
      <c r="J78" s="69"/>
      <c r="K78" s="107"/>
      <c r="L78" s="107"/>
      <c r="M78" s="69"/>
      <c r="N78" s="69"/>
      <c r="O78" s="69"/>
      <c r="P78" s="69"/>
      <c r="Q78" s="69"/>
      <c r="R78" s="69"/>
      <c r="S78" s="69"/>
      <c r="T78" s="69"/>
      <c r="U78" s="60"/>
      <c r="V78" s="69"/>
      <c r="W78" s="69"/>
      <c r="X78" s="69"/>
      <c r="Y78" s="87"/>
      <c r="Z78" s="69"/>
      <c r="AA78" s="69"/>
      <c r="AB78" s="69"/>
      <c r="AC78" s="69"/>
      <c r="AD78" s="69"/>
      <c r="AE78" s="69"/>
      <c r="AF78" s="88"/>
      <c r="AG78" s="72"/>
      <c r="AH78" s="4"/>
      <c r="AI78" s="72"/>
      <c r="AJ78" s="110"/>
      <c r="AK78" s="72"/>
      <c r="AL78" s="72"/>
      <c r="AM78" s="72"/>
      <c r="AN78" s="72"/>
      <c r="AO78" s="72"/>
      <c r="AP78" s="72"/>
      <c r="AQ78" s="89"/>
      <c r="AR78" s="118"/>
      <c r="AS78" s="89"/>
      <c r="AT78" s="89"/>
      <c r="AU78" s="6"/>
      <c r="AV78" s="71">
        <f>60*0.5</f>
        <v>30</v>
      </c>
      <c r="AW78" s="71">
        <f>60*1.5</f>
        <v>90</v>
      </c>
      <c r="AX78" s="71">
        <f>60*4</f>
        <v>240</v>
      </c>
      <c r="AY78" s="53"/>
      <c r="AZ78" s="53"/>
      <c r="BA78" s="53"/>
      <c r="BB78" s="53"/>
      <c r="BC78" s="53"/>
      <c r="BD78" s="53"/>
      <c r="BE78" s="53"/>
      <c r="BF78" s="53"/>
      <c r="BG78" s="53"/>
      <c r="BH78" s="53"/>
      <c r="BI78" s="53"/>
      <c r="BJ78" s="53"/>
      <c r="BK78" s="53"/>
      <c r="BL78" s="53"/>
      <c r="BM78" s="53"/>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1"/>
      <c r="CS78" s="1"/>
      <c r="CT78" s="1"/>
      <c r="CU78" s="1"/>
    </row>
    <row r="79" spans="1:99" s="13" customFormat="1" ht="12" customHeight="1" x14ac:dyDescent="0.2">
      <c r="A79" s="68">
        <v>43509</v>
      </c>
      <c r="B79" s="70" t="s">
        <v>253</v>
      </c>
      <c r="C79" s="70" t="s">
        <v>70</v>
      </c>
      <c r="D79" s="69">
        <v>2015</v>
      </c>
      <c r="E79" s="87">
        <v>3</v>
      </c>
      <c r="F79" s="69">
        <v>63</v>
      </c>
      <c r="G79" s="69">
        <v>63</v>
      </c>
      <c r="H79" s="69" t="s">
        <v>32</v>
      </c>
      <c r="I79" s="69" t="s">
        <v>784</v>
      </c>
      <c r="J79" s="69" t="s">
        <v>16</v>
      </c>
      <c r="K79" s="69">
        <f>IF(J79="syllables",1,IF(J79="trigrams",2,IF(J79="strings",3,IF(J79="visual array",4,IF(J79="characters",5,IF(J79="letters",6,IF(J79="free forms",7,IF(J79="odors",8,IF(J79="words",9,IF(J79="pictures",10,IF(J79="object pictures",11,IF(J79="faces",12,IF(J79="names",13,IF(J79="idioms",14,IF(J79="grades",15,IF(J79="syllable-digit pairs",16,IF(J79="trigram-word pairs",17,IF(J79="word-digit pairs",18,IF(J79="English-Swahili pairs",19,IF(J79="spatial position",20,IF(J79="word pairs",21,IF(J79="word triads",22,IF(J79="generated words",23,IF(J79="word definition pairs",24,IF(J79="math problems",25,IF(J79="famous faces",26,IF(J79="famous names",27,IF(J79="famous voices",28,IF(J79="television programs",29,IF(J79="race horses",30,IF(J79="new vocabulary",31,IF(J79="sentences",32,IF(J79="concepts",33,IF(J79="ad slides",34,IF(J79="scenes",35,IF(J79="famous scenes",36,IF(J79="poems",37,IF(J79="walk",38,IF(J79="faces and events",39,IF(J79="events and names",40,IF(J79="flashbulb",41,IF(J79="stories",42,IF(J79="course material",43,IF(J79="autobiographical",44,IF(J79="novels",45,IF(J79="public events",46,"99"))))))))))))))))))))))))))))))))))))))))))))))</f>
        <v>9</v>
      </c>
      <c r="L79" s="69">
        <f>IF(J79="syllables",1,IF(J79="trigrams",1,IF(J79="strings",1,IF(J79="visual array",1,IF(J79="characters",1,IF(J79="letters",1,IF(J79="free forms",1,IF(J79="odors",2,IF(J79="words",2,IF(J79="pictures",2,IF(J79="object pictures",2,IF(J79="faces",2,IF(J79="names",2,IF(J79="idioms","2",IF(J79="grades",2,IF(J79="syllable-digit pairs",3,IF(J79="trigram-word pairs",3,IF(J79="word-digit pairs",3,IF(J79="English-Swahili pairs",3,IF(J79="spatial position",3,IF(J79="word pairs",4,IF(J79="word triads",4,IF(J79="generated words",4,IF(J79="word definition pairs",4,IF(J79="math problems",4,IF(J79="famous faces",4,IF(J79="famous names",4,IF(J79="famous voices",4,IF(J79="television programs",4,IF(J79="race horses",4,IF(J79="new vocabulary",4,IF(J79="sentences",5,IF(J79="concepts",5,IF(J79="ad slides",5,IF(J79="scenes",5,IF(J79="famous scenes",5,IF(J79="poems",6,IF(J79="walk",6,IF(J79="faces and events",6,IF(J79="events and names",6,IF(J79="flashbulb",7,IF(J79="stories",7,IF(J79="course material",7,IF(J79="autobiographical",7,IF(J79="novels",7,IF(J79="public events",7,"99"))))))))))))))))))))))))))))))))))))))))))))))</f>
        <v>2</v>
      </c>
      <c r="M79" s="69">
        <v>1</v>
      </c>
      <c r="N79" s="69">
        <v>2</v>
      </c>
      <c r="O79" s="69">
        <v>1</v>
      </c>
      <c r="P79" s="69" t="s">
        <v>71</v>
      </c>
      <c r="Q79" s="69" t="s">
        <v>174</v>
      </c>
      <c r="R79" s="69">
        <f>IF(Q79="Free Recall",1,IF(Q79="Cued Recall",2,IF(Q79="Recognition",3,IF(Q79="Multiple Choice",4,IF(Q79="Savings",5,IF(Q79="Stem Completion",6,IF(Q79="Fragment Completion",7,IF(Q79="anagram solution",8,IF(Q79="Matching",9,IF(Q79="Problem Solving",10,"99"))))))))))</f>
        <v>1</v>
      </c>
      <c r="S79" s="69" t="s">
        <v>49</v>
      </c>
      <c r="T79" s="92" t="s">
        <v>581</v>
      </c>
      <c r="U79" s="60">
        <f>IF(T79="within",1,0)</f>
        <v>1</v>
      </c>
      <c r="V79" s="92">
        <v>10</v>
      </c>
      <c r="W79" s="69">
        <f>F79*V79</f>
        <v>630</v>
      </c>
      <c r="X79" s="69">
        <v>3</v>
      </c>
      <c r="Y79" s="87">
        <f>AV78</f>
        <v>30</v>
      </c>
      <c r="Z79" s="69" t="s">
        <v>73</v>
      </c>
      <c r="AA79" s="69">
        <v>240</v>
      </c>
      <c r="AB79" s="69" t="str">
        <f>IF(AA79&lt;60,"1",IF(AA79&lt;=43200,"2",IF(AA79&lt;=777600,"3","4")))</f>
        <v>2</v>
      </c>
      <c r="AC79" s="72">
        <f>AVERAGE(AV78:DA78)</f>
        <v>120</v>
      </c>
      <c r="AD79" s="69" t="str">
        <f>IF(AC79&lt;60,"1",IF(AC79&lt;=43200,"2",IF(AC79&lt;=777600,"3","4")))</f>
        <v>2</v>
      </c>
      <c r="AE79" s="87">
        <f>AA79-Y79</f>
        <v>210</v>
      </c>
      <c r="AF79" s="88">
        <f>AV79</f>
        <v>0.30099999999999999</v>
      </c>
      <c r="AG79" s="72">
        <f>((AW79-AV79)+(AX79-AW79))/2</f>
        <v>-3.0499999999999999E-2</v>
      </c>
      <c r="AH79" s="4"/>
      <c r="AI79" s="72">
        <f>RSQ(AV79:AX79,AV78:AX78)</f>
        <v>0.32532233615381118</v>
      </c>
      <c r="AJ79" s="110">
        <f>SLOPE(AV79:AX79,AV78:AX78)</f>
        <v>-4.512820512820512E-4</v>
      </c>
      <c r="AK79" s="72">
        <f>INTERCEPT(AV79:AX79,AV78:AX78)</f>
        <v>0.37082051282051282</v>
      </c>
      <c r="AL79" s="72">
        <f>INDEX(LINEST(LN(AV79:AX79),LN(AV78:AX78),TRUE,TRUE),3,1)</f>
        <v>0.15477039358386907</v>
      </c>
      <c r="AM79" s="72">
        <f>INDEX(LINEST(LN(AV79:AX79),LN(AV78:AX78)),1)</f>
        <v>-0.10117749958037014</v>
      </c>
      <c r="AN79" s="72">
        <f>EXP(INDEX(LINEST(LN(AV79:AX79),LN(AV78:AX78)),1,2))</f>
        <v>0.48547539564427139</v>
      </c>
      <c r="AO79" s="89">
        <f>INDEX(LINEST((AV79:AX79),LN(AV78:AX78),TRUE,TRUE),3,1)</f>
        <v>0.10604991857350331</v>
      </c>
      <c r="AP79" s="89">
        <f>INDEX(LINEST((AV79:AX79),LN(AV78:AX78)),1)</f>
        <v>-2.6791091105988724E-2</v>
      </c>
      <c r="AQ79" s="90">
        <f>INDEX(LINEST(LN(AV79:AX79),SQRT(AV78:AX78),TRUE,TRUE),3,1)</f>
        <v>0.27459679831736911</v>
      </c>
      <c r="AR79" s="117">
        <f>INDEX(LINEST(LN(AV79:AX79),SQRT((AV78:AX78))),1)</f>
        <v>-2.7814631666790317E-2</v>
      </c>
      <c r="AS79" s="91">
        <f>INDEX(LINEST(1/(AV79:AX79),1/(SQRT(AV78:AX78)),TRUE,TRUE),3,1)</f>
        <v>0.10921764057965229</v>
      </c>
      <c r="AT79" s="91">
        <f>INDEX(LINEST(1/(AV79:AX79),1/SQRT(AV78:AX78)),1)</f>
        <v>-4.7468948913017144</v>
      </c>
      <c r="AU79" s="3"/>
      <c r="AV79" s="73">
        <v>0.30099999999999999</v>
      </c>
      <c r="AW79" s="73">
        <v>0.40899999999999997</v>
      </c>
      <c r="AX79" s="73">
        <v>0.24</v>
      </c>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1"/>
      <c r="CS79" s="1"/>
      <c r="CT79" s="1"/>
      <c r="CU79" s="1"/>
    </row>
    <row r="80" spans="1:99" s="13" customFormat="1" ht="12" customHeight="1" x14ac:dyDescent="0.2">
      <c r="A80" s="68">
        <v>43509</v>
      </c>
      <c r="B80" s="70"/>
      <c r="C80" s="70"/>
      <c r="D80" s="69"/>
      <c r="E80" s="87"/>
      <c r="F80" s="69"/>
      <c r="G80" s="69"/>
      <c r="H80" s="69"/>
      <c r="I80" s="69"/>
      <c r="J80" s="69"/>
      <c r="K80" s="107"/>
      <c r="L80" s="107"/>
      <c r="M80" s="69"/>
      <c r="N80" s="69"/>
      <c r="O80" s="69"/>
      <c r="P80" s="69"/>
      <c r="Q80" s="69"/>
      <c r="R80" s="69"/>
      <c r="S80" s="69"/>
      <c r="T80" s="69"/>
      <c r="U80" s="60"/>
      <c r="V80" s="69"/>
      <c r="W80" s="69"/>
      <c r="X80" s="69"/>
      <c r="Y80" s="87"/>
      <c r="Z80" s="69"/>
      <c r="AA80" s="69"/>
      <c r="AB80" s="69"/>
      <c r="AC80" s="69"/>
      <c r="AD80" s="69"/>
      <c r="AE80" s="69"/>
      <c r="AF80" s="88"/>
      <c r="AG80" s="72"/>
      <c r="AH80" s="4"/>
      <c r="AI80" s="72"/>
      <c r="AJ80" s="110"/>
      <c r="AK80" s="72"/>
      <c r="AL80" s="72"/>
      <c r="AM80" s="72"/>
      <c r="AN80" s="72"/>
      <c r="AO80" s="72"/>
      <c r="AP80" s="72"/>
      <c r="AQ80" s="89"/>
      <c r="AR80" s="118"/>
      <c r="AS80" s="89"/>
      <c r="AT80" s="89"/>
      <c r="AU80" s="5"/>
      <c r="AV80" s="71">
        <f>60*0.5</f>
        <v>30</v>
      </c>
      <c r="AW80" s="71">
        <f>60*1.5</f>
        <v>90</v>
      </c>
      <c r="AX80" s="71">
        <f>60*4</f>
        <v>240</v>
      </c>
      <c r="AY80" s="53"/>
      <c r="AZ80" s="53"/>
      <c r="BA80" s="53"/>
      <c r="BB80" s="53"/>
      <c r="BC80" s="53"/>
      <c r="BD80" s="53"/>
      <c r="BE80" s="53"/>
      <c r="BF80" s="53"/>
      <c r="BG80" s="53"/>
      <c r="BH80" s="53"/>
      <c r="BI80" s="53"/>
      <c r="BJ80" s="53"/>
      <c r="BK80" s="53"/>
      <c r="BL80" s="53"/>
      <c r="BM80" s="53"/>
      <c r="BN80" s="53"/>
      <c r="BO80" s="53"/>
      <c r="BP80" s="53"/>
      <c r="BQ80" s="53"/>
      <c r="BR80" s="53"/>
      <c r="BS80" s="53"/>
      <c r="BT80" s="53"/>
      <c r="BU80" s="53"/>
      <c r="BV80" s="53"/>
      <c r="BW80" s="53"/>
      <c r="BX80" s="53"/>
      <c r="BY80" s="53"/>
      <c r="BZ80" s="53"/>
      <c r="CA80" s="53"/>
      <c r="CB80" s="53"/>
      <c r="CC80" s="53"/>
      <c r="CD80" s="53"/>
      <c r="CE80" s="53"/>
      <c r="CF80" s="53"/>
      <c r="CG80" s="53"/>
      <c r="CH80" s="53"/>
      <c r="CI80" s="53"/>
      <c r="CJ80" s="53"/>
      <c r="CK80" s="53"/>
      <c r="CL80" s="53"/>
      <c r="CM80" s="53"/>
      <c r="CN80" s="53"/>
      <c r="CO80" s="53"/>
      <c r="CP80" s="53"/>
      <c r="CQ80" s="53"/>
      <c r="CR80" s="1"/>
      <c r="CS80" s="1"/>
      <c r="CT80" s="1"/>
      <c r="CU80" s="1"/>
    </row>
    <row r="81" spans="1:99" s="13" customFormat="1" ht="12" customHeight="1" x14ac:dyDescent="0.2">
      <c r="A81" s="68">
        <v>43509</v>
      </c>
      <c r="B81" s="70" t="s">
        <v>253</v>
      </c>
      <c r="C81" s="70" t="s">
        <v>70</v>
      </c>
      <c r="D81" s="69">
        <v>2015</v>
      </c>
      <c r="E81" s="87">
        <v>3</v>
      </c>
      <c r="F81" s="69">
        <v>63</v>
      </c>
      <c r="G81" s="69">
        <v>63</v>
      </c>
      <c r="H81" s="69" t="s">
        <v>32</v>
      </c>
      <c r="I81" s="69" t="s">
        <v>785</v>
      </c>
      <c r="J81" s="69" t="s">
        <v>16</v>
      </c>
      <c r="K81" s="69">
        <f>IF(J81="syllables",1,IF(J81="trigrams",2,IF(J81="strings",3,IF(J81="visual array",4,IF(J81="characters",5,IF(J81="letters",6,IF(J81="free forms",7,IF(J81="odors",8,IF(J81="words",9,IF(J81="pictures",10,IF(J81="object pictures",11,IF(J81="faces",12,IF(J81="names",13,IF(J81="idioms",14,IF(J81="grades",15,IF(J81="syllable-digit pairs",16,IF(J81="trigram-word pairs",17,IF(J81="word-digit pairs",18,IF(J81="English-Swahili pairs",19,IF(J81="spatial position",20,IF(J81="word pairs",21,IF(J81="word triads",22,IF(J81="generated words",23,IF(J81="word definition pairs",24,IF(J81="math problems",25,IF(J81="famous faces",26,IF(J81="famous names",27,IF(J81="famous voices",28,IF(J81="television programs",29,IF(J81="race horses",30,IF(J81="new vocabulary",31,IF(J81="sentences",32,IF(J81="concepts",33,IF(J81="ad slides",34,IF(J81="scenes",35,IF(J81="famous scenes",36,IF(J81="poems",37,IF(J81="walk",38,IF(J81="faces and events",39,IF(J81="events and names",40,IF(J81="flashbulb",41,IF(J81="stories",42,IF(J81="course material",43,IF(J81="autobiographical",44,IF(J81="novels",45,IF(J81="public events",46,"99"))))))))))))))))))))))))))))))))))))))))))))))</f>
        <v>9</v>
      </c>
      <c r="L81" s="69">
        <f>IF(J81="syllables",1,IF(J81="trigrams",1,IF(J81="strings",1,IF(J81="visual array",1,IF(J81="characters",1,IF(J81="letters",1,IF(J81="free forms",1,IF(J81="odors",2,IF(J81="words",2,IF(J81="pictures",2,IF(J81="object pictures",2,IF(J81="faces",2,IF(J81="names",2,IF(J81="idioms","2",IF(J81="grades",2,IF(J81="syllable-digit pairs",3,IF(J81="trigram-word pairs",3,IF(J81="word-digit pairs",3,IF(J81="English-Swahili pairs",3,IF(J81="spatial position",3,IF(J81="word pairs",4,IF(J81="word triads",4,IF(J81="generated words",4,IF(J81="word definition pairs",4,IF(J81="math problems",4,IF(J81="famous faces",4,IF(J81="famous names",4,IF(J81="famous voices",4,IF(J81="television programs",4,IF(J81="race horses",4,IF(J81="new vocabulary",4,IF(J81="sentences",5,IF(J81="concepts",5,IF(J81="ad slides",5,IF(J81="scenes",5,IF(J81="famous scenes",5,IF(J81="poems",6,IF(J81="walk",6,IF(J81="faces and events",6,IF(J81="events and names",6,IF(J81="flashbulb",7,IF(J81="stories",7,IF(J81="course material",7,IF(J81="autobiographical",7,IF(J81="novels",7,IF(J81="public events",7,"99"))))))))))))))))))))))))))))))))))))))))))))))</f>
        <v>2</v>
      </c>
      <c r="M81" s="69">
        <v>0</v>
      </c>
      <c r="N81" s="69">
        <v>1</v>
      </c>
      <c r="O81" s="69">
        <v>1</v>
      </c>
      <c r="P81" s="69" t="s">
        <v>71</v>
      </c>
      <c r="Q81" s="69" t="s">
        <v>174</v>
      </c>
      <c r="R81" s="69">
        <f>IF(Q81="Free Recall",1,IF(Q81="Cued Recall",2,IF(Q81="Recognition",3,IF(Q81="Multiple Choice",4,IF(Q81="Savings",5,IF(Q81="Stem Completion",6,IF(Q81="Fragment Completion",7,IF(Q81="anagram solution",8,IF(Q81="Matching",9,IF(Q81="Problem Solving",10,"99"))))))))))</f>
        <v>1</v>
      </c>
      <c r="S81" s="69" t="s">
        <v>49</v>
      </c>
      <c r="T81" s="92" t="s">
        <v>581</v>
      </c>
      <c r="U81" s="60">
        <f>IF(T81="within",1,0)</f>
        <v>1</v>
      </c>
      <c r="V81" s="92">
        <v>10</v>
      </c>
      <c r="W81" s="69">
        <f>F81*V81</f>
        <v>630</v>
      </c>
      <c r="X81" s="69">
        <v>3</v>
      </c>
      <c r="Y81" s="87">
        <f>AV80</f>
        <v>30</v>
      </c>
      <c r="Z81" s="69" t="s">
        <v>73</v>
      </c>
      <c r="AA81" s="69">
        <v>240</v>
      </c>
      <c r="AB81" s="69" t="str">
        <f>IF(AA81&lt;60,"1",IF(AA81&lt;=43200,"2",IF(AA81&lt;=777600,"3","4")))</f>
        <v>2</v>
      </c>
      <c r="AC81" s="72">
        <f>AVERAGE(AV80:DA80)</f>
        <v>120</v>
      </c>
      <c r="AD81" s="69" t="str">
        <f>IF(AC81&lt;60,"1",IF(AC81&lt;=43200,"2",IF(AC81&lt;=777600,"3","4")))</f>
        <v>2</v>
      </c>
      <c r="AE81" s="87">
        <f>AA81-Y81</f>
        <v>210</v>
      </c>
      <c r="AF81" s="88">
        <f>AV81</f>
        <v>0.45900000000000002</v>
      </c>
      <c r="AG81" s="72">
        <f>((AW81-AV81)+(AX81-AW81))/2</f>
        <v>-1.8000000000000016E-2</v>
      </c>
      <c r="AH81" s="4"/>
      <c r="AI81" s="72">
        <f>RSQ(AV81:AX81,AV80:AX80)</f>
        <v>0.28185955786736033</v>
      </c>
      <c r="AJ81" s="110">
        <f>SLOPE(AV81:AX81,AV80:AX80)</f>
        <v>-2.8333333333333352E-4</v>
      </c>
      <c r="AK81" s="72">
        <f>INTERCEPT(AV81:AX81,AV80:AX80)</f>
        <v>0.50666666666666671</v>
      </c>
      <c r="AL81" s="72">
        <f>INDEX(LINEST(LN(AV81:AX81),LN(AV80:AX80),TRUE,TRUE),3,1)</f>
        <v>9.5269872939361885E-2</v>
      </c>
      <c r="AM81" s="72">
        <f>INDEX(LINEST(LN(AV81:AX81),LN(AV80:AX80)),1)</f>
        <v>-3.5682854601662491E-2</v>
      </c>
      <c r="AN81" s="72">
        <f>EXP(INDEX(LINEST(LN(AV81:AX81),LN(AV80:AX80)),1,2))</f>
        <v>0.55152322999382775</v>
      </c>
      <c r="AO81" s="89">
        <f>INDEX(LINEST((AV81:AX81),LN(AV80:AX80),TRUE,TRUE),3,1)</f>
        <v>7.8733152851051827E-2</v>
      </c>
      <c r="AP81" s="89">
        <f>INDEX(LINEST((AV81:AX81),LN(AV80:AX80)),1)</f>
        <v>-1.5570559600662309E-2</v>
      </c>
      <c r="AQ81" s="90">
        <f>INDEX(LINEST(LN(AV81:AX81),SQRT(AV80:AX80),TRUE,TRUE),3,1)</f>
        <v>0.19789376246165899</v>
      </c>
      <c r="AR81" s="117">
        <f>INDEX(LINEST(LN(AV81:AX81),SQRT((AV80:AX80))),1)</f>
        <v>-1.0614106228199893E-2</v>
      </c>
      <c r="AS81" s="91">
        <f>INDEX(LINEST(1/(AV81:AX81),1/(SQRT(AV80:AX80)),TRUE,TRUE),3,1)</f>
        <v>3.9909194030403085E-2</v>
      </c>
      <c r="AT81" s="91">
        <f>INDEX(LINEST(1/(AV81:AX81),1/SQRT(AV80:AX80)),1)</f>
        <v>-0.83962425835326848</v>
      </c>
      <c r="AU81" s="3"/>
      <c r="AV81" s="73">
        <v>0.45900000000000002</v>
      </c>
      <c r="AW81" s="73">
        <v>0.53600000000000003</v>
      </c>
      <c r="AX81" s="73">
        <v>0.42299999999999999</v>
      </c>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c r="BZ81" s="53"/>
      <c r="CA81" s="53"/>
      <c r="CB81" s="53"/>
      <c r="CC81" s="53"/>
      <c r="CD81" s="53"/>
      <c r="CE81" s="53"/>
      <c r="CF81" s="53"/>
      <c r="CG81" s="53"/>
      <c r="CH81" s="53"/>
      <c r="CI81" s="53"/>
      <c r="CJ81" s="53"/>
      <c r="CK81" s="53"/>
      <c r="CL81" s="53"/>
      <c r="CM81" s="53"/>
      <c r="CN81" s="53"/>
      <c r="CO81" s="53"/>
      <c r="CP81" s="53"/>
      <c r="CQ81" s="53"/>
      <c r="CR81" s="1"/>
      <c r="CS81" s="1"/>
      <c r="CT81" s="1"/>
      <c r="CU81" s="1"/>
    </row>
    <row r="82" spans="1:99" s="13" customFormat="1" ht="12" customHeight="1" x14ac:dyDescent="0.2">
      <c r="A82" s="68">
        <v>43912</v>
      </c>
      <c r="B82" s="70"/>
      <c r="C82" s="70"/>
      <c r="D82" s="69"/>
      <c r="E82" s="87"/>
      <c r="F82" s="69"/>
      <c r="G82" s="69"/>
      <c r="H82" s="69"/>
      <c r="I82" s="69"/>
      <c r="J82" s="69"/>
      <c r="K82" s="107"/>
      <c r="L82" s="107"/>
      <c r="M82" s="69"/>
      <c r="N82" s="69"/>
      <c r="O82" s="69"/>
      <c r="P82" s="69"/>
      <c r="Q82" s="69"/>
      <c r="R82" s="69"/>
      <c r="S82" s="69"/>
      <c r="T82" s="69"/>
      <c r="U82" s="60"/>
      <c r="V82" s="69"/>
      <c r="W82" s="69"/>
      <c r="X82" s="69"/>
      <c r="Y82" s="87"/>
      <c r="Z82" s="69"/>
      <c r="AA82" s="69"/>
      <c r="AB82" s="69"/>
      <c r="AC82" s="69"/>
      <c r="AD82" s="69"/>
      <c r="AE82" s="69"/>
      <c r="AF82" s="88"/>
      <c r="AG82" s="72"/>
      <c r="AH82" s="4"/>
      <c r="AI82" s="72"/>
      <c r="AJ82" s="110"/>
      <c r="AK82" s="72"/>
      <c r="AL82" s="72"/>
      <c r="AM82" s="72"/>
      <c r="AN82" s="72"/>
      <c r="AO82" s="72"/>
      <c r="AP82" s="72"/>
      <c r="AQ82" s="72"/>
      <c r="AR82" s="110"/>
      <c r="AS82" s="72"/>
      <c r="AT82" s="72"/>
      <c r="AU82" s="4"/>
      <c r="AV82" s="71">
        <v>30</v>
      </c>
      <c r="AW82" s="71">
        <f>30*60</f>
        <v>1800</v>
      </c>
      <c r="AX82" s="71">
        <f>45*60</f>
        <v>2700</v>
      </c>
      <c r="AY82" s="53"/>
      <c r="AZ82" s="53"/>
      <c r="BA82" s="53"/>
      <c r="BB82" s="53"/>
      <c r="BC82" s="53"/>
      <c r="BD82" s="53"/>
      <c r="BE82" s="53"/>
      <c r="BF82" s="53"/>
      <c r="BG82" s="53"/>
      <c r="BH82" s="53"/>
      <c r="BI82" s="53"/>
      <c r="BJ82" s="53"/>
      <c r="BK82" s="53"/>
      <c r="BL82" s="53"/>
      <c r="BM82" s="53"/>
      <c r="BN82" s="53"/>
      <c r="BO82" s="53"/>
      <c r="BP82" s="53"/>
      <c r="BQ82" s="53"/>
      <c r="BR82" s="53"/>
      <c r="BS82" s="53"/>
      <c r="BT82" s="53"/>
      <c r="BU82" s="53"/>
      <c r="BV82" s="53"/>
      <c r="BW82" s="53"/>
      <c r="BX82" s="53"/>
      <c r="BY82" s="53"/>
      <c r="BZ82" s="53"/>
      <c r="CA82" s="53"/>
      <c r="CB82" s="53"/>
      <c r="CC82" s="53"/>
      <c r="CD82" s="53"/>
      <c r="CE82" s="53"/>
      <c r="CF82" s="53"/>
      <c r="CG82" s="53"/>
      <c r="CH82" s="53"/>
      <c r="CI82" s="53"/>
      <c r="CJ82" s="53"/>
      <c r="CK82" s="53"/>
      <c r="CL82" s="53"/>
      <c r="CM82" s="53"/>
      <c r="CN82" s="53"/>
      <c r="CO82" s="53"/>
      <c r="CP82" s="53"/>
      <c r="CQ82" s="53"/>
      <c r="CR82" s="1"/>
      <c r="CS82" s="1"/>
      <c r="CT82" s="1"/>
      <c r="CU82" s="1"/>
    </row>
    <row r="83" spans="1:99" s="13" customFormat="1" ht="12" customHeight="1" x14ac:dyDescent="0.2">
      <c r="A83" s="68">
        <v>43912</v>
      </c>
      <c r="B83" s="70" t="s">
        <v>540</v>
      </c>
      <c r="C83" s="70" t="s">
        <v>114</v>
      </c>
      <c r="D83" s="69">
        <v>1970</v>
      </c>
      <c r="E83" s="87">
        <v>1</v>
      </c>
      <c r="F83" s="69">
        <v>14</v>
      </c>
      <c r="G83" s="69">
        <v>14</v>
      </c>
      <c r="H83" s="69" t="s">
        <v>50</v>
      </c>
      <c r="I83" s="69" t="s">
        <v>542</v>
      </c>
      <c r="J83" s="69" t="s">
        <v>313</v>
      </c>
      <c r="K83" s="69">
        <f>IF(J83="syllables",1,IF(J83="trigrams",2,IF(J83="strings",3,IF(J83="visual array",4,IF(J83="characters",5,IF(J83="letters",6,IF(J83="free forms",7,IF(J83="odors",8,IF(J83="words",9,IF(J83="pictures",10,IF(J83="object pictures",11,IF(J83="faces",12,IF(J83="names",13,IF(J83="idioms",14,IF(J83="grades",15,IF(J83="syllable-digit pairs",16,IF(J83="trigram-word pairs",17,IF(J83="word-digit pairs",18,IF(J83="English-Swahili pairs",19,IF(J83="spatial position",20,IF(J83="word pairs",21,IF(J83="word triads",22,IF(J83="generated words",23,IF(J83="word definition pairs",24,IF(J83="math problems",25,IF(J83="famous faces",26,IF(J83="famous names",27,IF(J83="famous voices",28,IF(J83="television programs",29,IF(J83="race horses",30,IF(J83="new vocabulary",31,IF(J83="sentences",32,IF(J83="concepts",33,IF(J83="ad slides",34,IF(J83="scenes",35,IF(J83="famous scenes",36,IF(J83="poems",37,IF(J83="walk",38,IF(J83="faces and events",39,IF(J83="events and names",40,IF(J83="flashbulb",41,IF(J83="stories",42,IF(J83="course material",43,IF(J83="autobiographical",44,IF(J83="novels",45,IF(J83="public events",46,"99"))))))))))))))))))))))))))))))))))))))))))))))</f>
        <v>10</v>
      </c>
      <c r="L83" s="69">
        <f>IF(J83="syllables",1,IF(J83="trigrams",1,IF(J83="strings",1,IF(J83="visual array",1,IF(J83="characters",1,IF(J83="letters",1,IF(J83="free forms",1,IF(J83="odors",2,IF(J83="words",2,IF(J83="pictures",2,IF(J83="object pictures",2,IF(J83="faces",2,IF(J83="names",2,IF(J83="idioms","2",IF(J83="grades",2,IF(J83="syllable-digit pairs",3,IF(J83="trigram-word pairs",3,IF(J83="word-digit pairs",3,IF(J83="English-Swahili pairs",3,IF(J83="spatial position",3,IF(J83="word pairs",4,IF(J83="word triads",4,IF(J83="generated words",4,IF(J83="word definition pairs",4,IF(J83="math problems",4,IF(J83="famous faces",4,IF(J83="famous names",4,IF(J83="famous voices",4,IF(J83="television programs",4,IF(J83="race horses",4,IF(J83="new vocabulary",4,IF(J83="sentences",5,IF(J83="concepts",5,IF(J83="ad slides",5,IF(J83="scenes",5,IF(J83="famous scenes",5,IF(J83="poems",6,IF(J83="walk",6,IF(J83="faces and events",6,IF(J83="events and names",6,IF(J83="flashbulb",7,IF(J83="stories",7,IF(J83="course material",7,IF(J83="autobiographical",7,IF(J83="novels",7,IF(J83="public events",7,"99"))))))))))))))))))))))))))))))))))))))))))))))</f>
        <v>2</v>
      </c>
      <c r="M83" s="69">
        <v>0</v>
      </c>
      <c r="N83" s="69">
        <v>1</v>
      </c>
      <c r="O83" s="69">
        <v>0</v>
      </c>
      <c r="P83" s="69"/>
      <c r="Q83" s="69" t="s">
        <v>182</v>
      </c>
      <c r="R83" s="69">
        <f>IF(Q83="Free Recall",1,IF(Q83="Cued Recall",2,IF(Q83="Recognition",3,IF(Q83="Multiple Choice",4,IF(Q83="Savings",5,IF(Q83="Stem Completion",6,IF(Q83="Fragment Completion",7,IF(Q83="anagram solution",8,IF(Q83="Matching",9,IF(Q83="Problem Solving",10,"99"))))))))))</f>
        <v>4</v>
      </c>
      <c r="S83" s="69" t="s">
        <v>15</v>
      </c>
      <c r="T83" s="92" t="s">
        <v>581</v>
      </c>
      <c r="U83" s="60">
        <f>IF(T83="within",1,0)</f>
        <v>1</v>
      </c>
      <c r="V83" s="92">
        <v>200</v>
      </c>
      <c r="W83" s="69">
        <f>F83*V83</f>
        <v>2800</v>
      </c>
      <c r="X83" s="69">
        <v>3</v>
      </c>
      <c r="Y83" s="87">
        <f>AV82</f>
        <v>30</v>
      </c>
      <c r="Z83" s="69" t="s">
        <v>541</v>
      </c>
      <c r="AA83" s="87">
        <f>45*60</f>
        <v>2700</v>
      </c>
      <c r="AB83" s="69" t="str">
        <f>IF(AA83&lt;60,"1",IF(AA83&lt;=43200,"2",IF(AA83&lt;=777600,"3","4")))</f>
        <v>2</v>
      </c>
      <c r="AC83" s="87">
        <f>AVERAGE(AV82:DA82)</f>
        <v>1510</v>
      </c>
      <c r="AD83" s="69" t="str">
        <f>IF(AC83&lt;60,"1",IF(AC83&lt;=43200,"2",IF(AC83&lt;=777600,"3","4")))</f>
        <v>2</v>
      </c>
      <c r="AE83" s="87">
        <f>AA83-Y83</f>
        <v>2670</v>
      </c>
      <c r="AF83" s="88">
        <f>AV83</f>
        <v>1</v>
      </c>
      <c r="AG83" s="72">
        <f>((AW83-AV83)+(AX83-AW83))/2</f>
        <v>-3.0000000000000027E-2</v>
      </c>
      <c r="AH83" s="4"/>
      <c r="AI83" s="72">
        <f>RSQ(AV83:AX83,AV82:AX82)</f>
        <v>0.47659944510050251</v>
      </c>
      <c r="AJ83" s="110">
        <f>SLOPE(AV83:AX83,AV82:AX82)</f>
        <v>-2.7990028721617097E-5</v>
      </c>
      <c r="AK83" s="72">
        <f>INTERCEPT(AV83:AX83,AV82:AX82)</f>
        <v>0.98559827670297517</v>
      </c>
      <c r="AL83" s="72">
        <f>INDEX(LINEST(LN(AV83:AX83),LN(AV82:AX82),TRUE,TRUE),3,1)</f>
        <v>0.70934772641954158</v>
      </c>
      <c r="AM83" s="72">
        <f>INDEX(LINEST(LN(AV83:AX83),LN(AV82:AX82)),1)</f>
        <v>-1.9727464596118505E-2</v>
      </c>
      <c r="AN83" s="72">
        <f>EXP(INDEX(LINEST(LN(AV83:AX83),LN(AV82:AX82)),1,2))</f>
        <v>1.0662426061876644</v>
      </c>
      <c r="AO83" s="89">
        <f>INDEX(LINEST((AV83:AX83),LN(AV82:AX82),TRUE,TRUE),3,1)</f>
        <v>0.72439202012442394</v>
      </c>
      <c r="AP83" s="89">
        <f>INDEX(LINEST((AV83:AX83),LN(AV82:AX82)),1)</f>
        <v>-1.8831684501768718E-2</v>
      </c>
      <c r="AQ83" s="90">
        <f>INDEX(LINEST(LN(AV83:AX83),SQRT(AV82:AX82),TRUE,TRUE),3,1)</f>
        <v>0.60141162794312841</v>
      </c>
      <c r="AR83" s="117">
        <f>INDEX(LINEST(LN(AV83:AX83),SQRT((AV82:AX82))),1)</f>
        <v>-1.8415760745410508E-3</v>
      </c>
      <c r="AS83" s="91">
        <f>INDEX(LINEST(1/(AV83:AX83),1/(SQRT(AV82:AX82)),TRUE,TRUE),3,1)</f>
        <v>0.74630594260236904</v>
      </c>
      <c r="AT83" s="91">
        <f>INDEX(LINEST(1/(AV83:AX83),1/SQRT(AV82:AX82)),1)</f>
        <v>-0.57369066771207455</v>
      </c>
      <c r="AU83" s="3"/>
      <c r="AV83" s="73">
        <v>1</v>
      </c>
      <c r="AW83" s="73">
        <v>0.89</v>
      </c>
      <c r="AX83" s="73">
        <v>0.94</v>
      </c>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53"/>
      <c r="CD83" s="53"/>
      <c r="CE83" s="53"/>
      <c r="CF83" s="53"/>
      <c r="CG83" s="53"/>
      <c r="CH83" s="53"/>
      <c r="CI83" s="53"/>
      <c r="CJ83" s="53"/>
      <c r="CK83" s="53"/>
      <c r="CL83" s="53"/>
      <c r="CM83" s="53"/>
      <c r="CN83" s="53"/>
      <c r="CO83" s="53"/>
      <c r="CP83" s="53"/>
      <c r="CQ83" s="53"/>
      <c r="CR83" s="1"/>
      <c r="CS83" s="1"/>
      <c r="CT83" s="1"/>
      <c r="CU83" s="1"/>
    </row>
    <row r="84" spans="1:99" s="13" customFormat="1" ht="12" customHeight="1" x14ac:dyDescent="0.2">
      <c r="A84" s="68">
        <v>43912</v>
      </c>
      <c r="B84" s="70"/>
      <c r="C84" s="70"/>
      <c r="D84" s="69"/>
      <c r="E84" s="87"/>
      <c r="F84" s="69"/>
      <c r="G84" s="69"/>
      <c r="H84" s="69"/>
      <c r="I84" s="69"/>
      <c r="J84" s="69"/>
      <c r="K84" s="107"/>
      <c r="L84" s="107"/>
      <c r="M84" s="69"/>
      <c r="N84" s="69"/>
      <c r="O84" s="69"/>
      <c r="P84" s="69"/>
      <c r="Q84" s="69"/>
      <c r="R84" s="69"/>
      <c r="S84" s="69"/>
      <c r="T84" s="69"/>
      <c r="U84" s="60"/>
      <c r="V84" s="69"/>
      <c r="W84" s="69"/>
      <c r="X84" s="69"/>
      <c r="Y84" s="87"/>
      <c r="Z84" s="69"/>
      <c r="AA84" s="69"/>
      <c r="AB84" s="69"/>
      <c r="AC84" s="69"/>
      <c r="AD84" s="69"/>
      <c r="AE84" s="69"/>
      <c r="AF84" s="88"/>
      <c r="AG84" s="72"/>
      <c r="AH84" s="4"/>
      <c r="AI84" s="72"/>
      <c r="AJ84" s="110"/>
      <c r="AK84" s="72"/>
      <c r="AL84" s="72"/>
      <c r="AM84" s="72"/>
      <c r="AN84" s="72"/>
      <c r="AO84" s="72"/>
      <c r="AP84" s="72"/>
      <c r="AQ84" s="72"/>
      <c r="AR84" s="110"/>
      <c r="AS84" s="72"/>
      <c r="AT84" s="72"/>
      <c r="AU84" s="4"/>
      <c r="AV84" s="71">
        <v>30</v>
      </c>
      <c r="AW84" s="71">
        <f>30*60</f>
        <v>1800</v>
      </c>
      <c r="AX84" s="71">
        <f>45*60</f>
        <v>2700</v>
      </c>
      <c r="AY84" s="53"/>
      <c r="AZ84" s="53"/>
      <c r="BA84" s="53"/>
      <c r="BB84" s="53"/>
      <c r="BC84" s="53"/>
      <c r="BD84" s="53"/>
      <c r="BE84" s="53"/>
      <c r="BF84" s="53"/>
      <c r="BG84" s="53"/>
      <c r="BH84" s="53"/>
      <c r="BI84" s="53"/>
      <c r="BJ84" s="53"/>
      <c r="BK84" s="53"/>
      <c r="BL84" s="53"/>
      <c r="BM84" s="53"/>
      <c r="BN84" s="53"/>
      <c r="BO84" s="53"/>
      <c r="BP84" s="53"/>
      <c r="BQ84" s="53"/>
      <c r="BR84" s="53"/>
      <c r="BS84" s="53"/>
      <c r="BT84" s="53"/>
      <c r="BU84" s="53"/>
      <c r="BV84" s="53"/>
      <c r="BW84" s="53"/>
      <c r="BX84" s="53"/>
      <c r="BY84" s="53"/>
      <c r="BZ84" s="53"/>
      <c r="CA84" s="53"/>
      <c r="CB84" s="53"/>
      <c r="CC84" s="53"/>
      <c r="CD84" s="53"/>
      <c r="CE84" s="53"/>
      <c r="CF84" s="53"/>
      <c r="CG84" s="53"/>
      <c r="CH84" s="53"/>
      <c r="CI84" s="53"/>
      <c r="CJ84" s="53"/>
      <c r="CK84" s="53"/>
      <c r="CL84" s="53"/>
      <c r="CM84" s="53"/>
      <c r="CN84" s="53"/>
      <c r="CO84" s="53"/>
      <c r="CP84" s="53"/>
      <c r="CQ84" s="53"/>
      <c r="CR84" s="1"/>
      <c r="CS84" s="1"/>
      <c r="CT84" s="1"/>
      <c r="CU84" s="1"/>
    </row>
    <row r="85" spans="1:99" s="13" customFormat="1" ht="12" customHeight="1" x14ac:dyDescent="0.2">
      <c r="A85" s="68">
        <v>43912</v>
      </c>
      <c r="B85" s="70" t="s">
        <v>540</v>
      </c>
      <c r="C85" s="70" t="s">
        <v>114</v>
      </c>
      <c r="D85" s="69">
        <v>1970</v>
      </c>
      <c r="E85" s="87">
        <v>1</v>
      </c>
      <c r="F85" s="69">
        <v>14</v>
      </c>
      <c r="G85" s="69">
        <v>14</v>
      </c>
      <c r="H85" s="69" t="s">
        <v>50</v>
      </c>
      <c r="I85" s="69" t="s">
        <v>544</v>
      </c>
      <c r="J85" s="69" t="s">
        <v>313</v>
      </c>
      <c r="K85" s="69">
        <f>IF(J85="syllables",1,IF(J85="trigrams",2,IF(J85="strings",3,IF(J85="visual array",4,IF(J85="characters",5,IF(J85="letters",6,IF(J85="free forms",7,IF(J85="odors",8,IF(J85="words",9,IF(J85="pictures",10,IF(J85="object pictures",11,IF(J85="faces",12,IF(J85="names",13,IF(J85="idioms",14,IF(J85="grades",15,IF(J85="syllable-digit pairs",16,IF(J85="trigram-word pairs",17,IF(J85="word-digit pairs",18,IF(J85="English-Swahili pairs",19,IF(J85="spatial position",20,IF(J85="word pairs",21,IF(J85="word triads",22,IF(J85="generated words",23,IF(J85="word definition pairs",24,IF(J85="math problems",25,IF(J85="famous faces",26,IF(J85="famous names",27,IF(J85="famous voices",28,IF(J85="television programs",29,IF(J85="race horses",30,IF(J85="new vocabulary",31,IF(J85="sentences",32,IF(J85="concepts",33,IF(J85="ad slides",34,IF(J85="scenes",35,IF(J85="famous scenes",36,IF(J85="poems",37,IF(J85="walk",38,IF(J85="faces and events",39,IF(J85="events and names",40,IF(J85="flashbulb",41,IF(J85="stories",42,IF(J85="course material",43,IF(J85="autobiographical",44,IF(J85="novels",45,IF(J85="public events",46,"99"))))))))))))))))))))))))))))))))))))))))))))))</f>
        <v>10</v>
      </c>
      <c r="L85" s="69">
        <f>IF(J85="syllables",1,IF(J85="trigrams",1,IF(J85="strings",1,IF(J85="visual array",1,IF(J85="characters",1,IF(J85="letters",1,IF(J85="free forms",1,IF(J85="odors",2,IF(J85="words",2,IF(J85="pictures",2,IF(J85="object pictures",2,IF(J85="faces",2,IF(J85="names",2,IF(J85="idioms","2",IF(J85="grades",2,IF(J85="syllable-digit pairs",3,IF(J85="trigram-word pairs",3,IF(J85="word-digit pairs",3,IF(J85="English-Swahili pairs",3,IF(J85="spatial position",3,IF(J85="word pairs",4,IF(J85="word triads",4,IF(J85="generated words",4,IF(J85="word definition pairs",4,IF(J85="math problems",4,IF(J85="famous faces",4,IF(J85="famous names",4,IF(J85="famous voices",4,IF(J85="television programs",4,IF(J85="race horses",4,IF(J85="new vocabulary",4,IF(J85="sentences",5,IF(J85="concepts",5,IF(J85="ad slides",5,IF(J85="scenes",5,IF(J85="famous scenes",5,IF(J85="poems",6,IF(J85="walk",6,IF(J85="faces and events",6,IF(J85="events and names",6,IF(J85="flashbulb",7,IF(J85="stories",7,IF(J85="course material",7,IF(J85="autobiographical",7,IF(J85="novels",7,IF(J85="public events",7,"99"))))))))))))))))))))))))))))))))))))))))))))))</f>
        <v>2</v>
      </c>
      <c r="M85" s="69">
        <v>0</v>
      </c>
      <c r="N85" s="69">
        <v>1</v>
      </c>
      <c r="O85" s="69">
        <v>0</v>
      </c>
      <c r="P85" s="69"/>
      <c r="Q85" s="69" t="s">
        <v>182</v>
      </c>
      <c r="R85" s="69">
        <f>IF(Q85="Free Recall",1,IF(Q85="Cued Recall",2,IF(Q85="Recognition",3,IF(Q85="Multiple Choice",4,IF(Q85="Savings",5,IF(Q85="Stem Completion",6,IF(Q85="Fragment Completion",7,IF(Q85="anagram solution",8,IF(Q85="Matching",9,IF(Q85="Problem Solving",10,"99"))))))))))</f>
        <v>4</v>
      </c>
      <c r="S85" s="69" t="s">
        <v>15</v>
      </c>
      <c r="T85" s="92" t="s">
        <v>581</v>
      </c>
      <c r="U85" s="60">
        <f>IF(T85="within",1,0)</f>
        <v>1</v>
      </c>
      <c r="V85" s="92">
        <v>200</v>
      </c>
      <c r="W85" s="69">
        <f>F85*V85</f>
        <v>2800</v>
      </c>
      <c r="X85" s="69">
        <v>3</v>
      </c>
      <c r="Y85" s="87">
        <f>AV84</f>
        <v>30</v>
      </c>
      <c r="Z85" s="69" t="s">
        <v>541</v>
      </c>
      <c r="AA85" s="87">
        <f>45*60</f>
        <v>2700</v>
      </c>
      <c r="AB85" s="69" t="str">
        <f>IF(AA85&lt;60,"1",IF(AA85&lt;=43200,"2",IF(AA85&lt;=777600,"3","4")))</f>
        <v>2</v>
      </c>
      <c r="AC85" s="87">
        <f>AVERAGE(AV84:DA84)</f>
        <v>1510</v>
      </c>
      <c r="AD85" s="69" t="str">
        <f>IF(AC85&lt;60,"1",IF(AC85&lt;=43200,"2",IF(AC85&lt;=777600,"3","4")))</f>
        <v>2</v>
      </c>
      <c r="AE85" s="87">
        <f>AA85-Y85</f>
        <v>2670</v>
      </c>
      <c r="AF85" s="88">
        <f>AV85</f>
        <v>0.79</v>
      </c>
      <c r="AG85" s="72">
        <f>((AW85-AV85)+(AX85-AW85))/2</f>
        <v>-2.0000000000000018E-2</v>
      </c>
      <c r="AH85" s="4"/>
      <c r="AI85" s="72">
        <f>RSQ(AV85:AX85,AV84:AX84)</f>
        <v>0.16622324649474776</v>
      </c>
      <c r="AJ85" s="110">
        <f>SLOPE(AV85:AX85,AV84:AX84)</f>
        <v>-1.0540291551509257E-5</v>
      </c>
      <c r="AK85" s="72">
        <f>INTERCEPT(AV85:AX85,AV84:AX84)</f>
        <v>0.80258250690944566</v>
      </c>
      <c r="AL85" s="72">
        <f>INDEX(LINEST(LN(AV85:AX85),LN(AV84:AX84),TRUE,TRUE),3,1)</f>
        <v>3.0757076885725095E-2</v>
      </c>
      <c r="AM85" s="72">
        <f>INDEX(LINEST(LN(AV85:AX85),LN(AV84:AX84)),1)</f>
        <v>-3.157575331899632E-3</v>
      </c>
      <c r="AN85" s="72">
        <f>EXP(INDEX(LINEST(LN(AV85:AX85),LN(AV84:AX84)),1,2))</f>
        <v>0.80185029899449611</v>
      </c>
      <c r="AO85" s="89">
        <f>INDEX(LINEST((AV85:AX85),LN(AV84:AX84),TRUE,TRUE),3,1)</f>
        <v>2.660031931799629E-2</v>
      </c>
      <c r="AP85" s="89">
        <f>INDEX(LINEST((AV85:AX85),LN(AV84:AX84)),1)</f>
        <v>-2.3010493434163157E-3</v>
      </c>
      <c r="AQ85" s="90">
        <f>INDEX(LINEST(LN(AV85:AX85),SQRT(AV84:AX84),TRUE,TRUE),3,1)</f>
        <v>8.1863333792942708E-2</v>
      </c>
      <c r="AR85" s="117">
        <f>INDEX(LINEST(LN(AV85:AX85),SQRT((AV84:AX84))),1)</f>
        <v>-5.2226145748634697E-4</v>
      </c>
      <c r="AS85" s="91">
        <f>INDEX(LINEST(1/(AV85:AX85),1/(SQRT(AV84:AX84)),TRUE,TRUE),3,1)</f>
        <v>1.6897951435186118E-2</v>
      </c>
      <c r="AT85" s="91">
        <f>INDEX(LINEST(1/(AV85:AX85),1/SQRT(AV84:AX84)),1)</f>
        <v>-7.9942001097693782E-2</v>
      </c>
      <c r="AU85" s="3"/>
      <c r="AV85" s="73">
        <v>0.79</v>
      </c>
      <c r="AW85" s="73">
        <v>0.82</v>
      </c>
      <c r="AX85" s="73">
        <v>0.75</v>
      </c>
      <c r="AY85" s="53"/>
      <c r="AZ85" s="53"/>
      <c r="BA85" s="53"/>
      <c r="BB85" s="53"/>
      <c r="BC85" s="53"/>
      <c r="BD85" s="53"/>
      <c r="BE85" s="53"/>
      <c r="BF85" s="53"/>
      <c r="BG85" s="53"/>
      <c r="BH85" s="53"/>
      <c r="BI85" s="53"/>
      <c r="BJ85" s="53"/>
      <c r="BK85" s="53"/>
      <c r="BL85" s="53"/>
      <c r="BM85" s="53"/>
      <c r="BN85" s="53"/>
      <c r="BO85" s="53"/>
      <c r="BP85" s="53"/>
      <c r="BQ85" s="53"/>
      <c r="BR85" s="53"/>
      <c r="BS85" s="53"/>
      <c r="BT85" s="53"/>
      <c r="BU85" s="53"/>
      <c r="BV85" s="53"/>
      <c r="BW85" s="53"/>
      <c r="BX85" s="53"/>
      <c r="BY85" s="53"/>
      <c r="BZ85" s="53"/>
      <c r="CA85" s="53"/>
      <c r="CB85" s="53"/>
      <c r="CC85" s="53"/>
      <c r="CD85" s="53"/>
      <c r="CE85" s="53"/>
      <c r="CF85" s="53"/>
      <c r="CG85" s="53"/>
      <c r="CH85" s="53"/>
      <c r="CI85" s="53"/>
      <c r="CJ85" s="53"/>
      <c r="CK85" s="53"/>
      <c r="CL85" s="53"/>
      <c r="CM85" s="53"/>
      <c r="CN85" s="53"/>
      <c r="CO85" s="53"/>
      <c r="CP85" s="53"/>
      <c r="CQ85" s="53"/>
      <c r="CR85" s="1"/>
      <c r="CS85" s="1"/>
      <c r="CT85" s="1"/>
      <c r="CU85" s="1"/>
    </row>
    <row r="86" spans="1:99" s="13" customFormat="1" ht="12" customHeight="1" x14ac:dyDescent="0.2">
      <c r="A86" s="68">
        <v>43912</v>
      </c>
      <c r="B86" s="70"/>
      <c r="C86" s="70"/>
      <c r="D86" s="69"/>
      <c r="E86" s="87"/>
      <c r="F86" s="69"/>
      <c r="G86" s="69"/>
      <c r="H86" s="69"/>
      <c r="I86" s="69"/>
      <c r="J86" s="69"/>
      <c r="K86" s="107"/>
      <c r="L86" s="107"/>
      <c r="M86" s="69"/>
      <c r="N86" s="69"/>
      <c r="O86" s="69"/>
      <c r="P86" s="69"/>
      <c r="Q86" s="69"/>
      <c r="R86" s="69"/>
      <c r="S86" s="69"/>
      <c r="T86" s="69"/>
      <c r="U86" s="60"/>
      <c r="V86" s="69"/>
      <c r="W86" s="69"/>
      <c r="X86" s="69"/>
      <c r="Y86" s="87"/>
      <c r="Z86" s="69"/>
      <c r="AA86" s="69"/>
      <c r="AB86" s="69"/>
      <c r="AC86" s="69"/>
      <c r="AD86" s="69"/>
      <c r="AE86" s="69"/>
      <c r="AF86" s="88"/>
      <c r="AG86" s="72"/>
      <c r="AH86" s="4"/>
      <c r="AI86" s="72"/>
      <c r="AJ86" s="110"/>
      <c r="AK86" s="72"/>
      <c r="AL86" s="72"/>
      <c r="AM86" s="72"/>
      <c r="AN86" s="72"/>
      <c r="AO86" s="72"/>
      <c r="AP86" s="72"/>
      <c r="AQ86" s="72"/>
      <c r="AR86" s="110"/>
      <c r="AS86" s="72"/>
      <c r="AT86" s="72"/>
      <c r="AU86" s="4"/>
      <c r="AV86" s="71">
        <v>30</v>
      </c>
      <c r="AW86" s="71">
        <f>30*60</f>
        <v>1800</v>
      </c>
      <c r="AX86" s="71">
        <f>45*60</f>
        <v>2700</v>
      </c>
      <c r="AY86" s="53"/>
      <c r="AZ86" s="53"/>
      <c r="BA86" s="53"/>
      <c r="BB86" s="53"/>
      <c r="BC86" s="53"/>
      <c r="BD86" s="53"/>
      <c r="BE86" s="53"/>
      <c r="BF86" s="53"/>
      <c r="BG86" s="53"/>
      <c r="BH86" s="53"/>
      <c r="BI86" s="53"/>
      <c r="BJ86" s="53"/>
      <c r="BK86" s="53"/>
      <c r="BL86" s="53"/>
      <c r="BM86" s="53"/>
      <c r="BN86" s="53"/>
      <c r="BO86" s="53"/>
      <c r="BP86" s="53"/>
      <c r="BQ86" s="53"/>
      <c r="BR86" s="53"/>
      <c r="BS86" s="53"/>
      <c r="BT86" s="53"/>
      <c r="BU86" s="53"/>
      <c r="BV86" s="53"/>
      <c r="BW86" s="53"/>
      <c r="BX86" s="53"/>
      <c r="BY86" s="53"/>
      <c r="BZ86" s="53"/>
      <c r="CA86" s="53"/>
      <c r="CB86" s="53"/>
      <c r="CC86" s="53"/>
      <c r="CD86" s="53"/>
      <c r="CE86" s="53"/>
      <c r="CF86" s="53"/>
      <c r="CG86" s="53"/>
      <c r="CH86" s="53"/>
      <c r="CI86" s="53"/>
      <c r="CJ86" s="53"/>
      <c r="CK86" s="53"/>
      <c r="CL86" s="53"/>
      <c r="CM86" s="53"/>
      <c r="CN86" s="53"/>
      <c r="CO86" s="53"/>
      <c r="CP86" s="53"/>
      <c r="CQ86" s="53"/>
      <c r="CR86" s="1"/>
      <c r="CS86" s="1"/>
      <c r="CT86" s="1"/>
      <c r="CU86" s="1"/>
    </row>
    <row r="87" spans="1:99" s="13" customFormat="1" ht="12" customHeight="1" x14ac:dyDescent="0.2">
      <c r="A87" s="68">
        <v>43912</v>
      </c>
      <c r="B87" s="70" t="s">
        <v>540</v>
      </c>
      <c r="C87" s="70" t="s">
        <v>114</v>
      </c>
      <c r="D87" s="69">
        <v>1970</v>
      </c>
      <c r="E87" s="87">
        <v>1</v>
      </c>
      <c r="F87" s="69">
        <v>14</v>
      </c>
      <c r="G87" s="69">
        <v>14</v>
      </c>
      <c r="H87" s="69" t="s">
        <v>50</v>
      </c>
      <c r="I87" s="69" t="s">
        <v>545</v>
      </c>
      <c r="J87" s="69" t="s">
        <v>313</v>
      </c>
      <c r="K87" s="69">
        <f>IF(J87="syllables",1,IF(J87="trigrams",2,IF(J87="strings",3,IF(J87="visual array",4,IF(J87="characters",5,IF(J87="letters",6,IF(J87="free forms",7,IF(J87="odors",8,IF(J87="words",9,IF(J87="pictures",10,IF(J87="object pictures",11,IF(J87="faces",12,IF(J87="names",13,IF(J87="idioms",14,IF(J87="grades",15,IF(J87="syllable-digit pairs",16,IF(J87="trigram-word pairs",17,IF(J87="word-digit pairs",18,IF(J87="English-Swahili pairs",19,IF(J87="spatial position",20,IF(J87="word pairs",21,IF(J87="word triads",22,IF(J87="generated words",23,IF(J87="word definition pairs",24,IF(J87="math problems",25,IF(J87="famous faces",26,IF(J87="famous names",27,IF(J87="famous voices",28,IF(J87="television programs",29,IF(J87="race horses",30,IF(J87="new vocabulary",31,IF(J87="sentences",32,IF(J87="concepts",33,IF(J87="ad slides",34,IF(J87="scenes",35,IF(J87="famous scenes",36,IF(J87="poems",37,IF(J87="walk",38,IF(J87="faces and events",39,IF(J87="events and names",40,IF(J87="flashbulb",41,IF(J87="stories",42,IF(J87="course material",43,IF(J87="autobiographical",44,IF(J87="novels",45,IF(J87="public events",46,"99"))))))))))))))))))))))))))))))))))))))))))))))</f>
        <v>10</v>
      </c>
      <c r="L87" s="69">
        <f>IF(J87="syllables",1,IF(J87="trigrams",1,IF(J87="strings",1,IF(J87="visual array",1,IF(J87="characters",1,IF(J87="letters",1,IF(J87="free forms",1,IF(J87="odors",2,IF(J87="words",2,IF(J87="pictures",2,IF(J87="object pictures",2,IF(J87="faces",2,IF(J87="names",2,IF(J87="idioms","2",IF(J87="grades",2,IF(J87="syllable-digit pairs",3,IF(J87="trigram-word pairs",3,IF(J87="word-digit pairs",3,IF(J87="English-Swahili pairs",3,IF(J87="spatial position",3,IF(J87="word pairs",4,IF(J87="word triads",4,IF(J87="generated words",4,IF(J87="word definition pairs",4,IF(J87="math problems",4,IF(J87="famous faces",4,IF(J87="famous names",4,IF(J87="famous voices",4,IF(J87="television programs",4,IF(J87="race horses",4,IF(J87="new vocabulary",4,IF(J87="sentences",5,IF(J87="concepts",5,IF(J87="ad slides",5,IF(J87="scenes",5,IF(J87="famous scenes",5,IF(J87="poems",6,IF(J87="walk",6,IF(J87="faces and events",6,IF(J87="events and names",6,IF(J87="flashbulb",7,IF(J87="stories",7,IF(J87="course material",7,IF(J87="autobiographical",7,IF(J87="novels",7,IF(J87="public events",7,"99"))))))))))))))))))))))))))))))))))))))))))))))</f>
        <v>2</v>
      </c>
      <c r="M87" s="69">
        <v>0</v>
      </c>
      <c r="N87" s="69">
        <v>1</v>
      </c>
      <c r="O87" s="69">
        <v>0</v>
      </c>
      <c r="P87" s="69"/>
      <c r="Q87" s="69" t="s">
        <v>182</v>
      </c>
      <c r="R87" s="69">
        <f>IF(Q87="Free Recall",1,IF(Q87="Cued Recall",2,IF(Q87="Recognition",3,IF(Q87="Multiple Choice",4,IF(Q87="Savings",5,IF(Q87="Stem Completion",6,IF(Q87="Fragment Completion",7,IF(Q87="anagram solution",8,IF(Q87="Matching",9,IF(Q87="Problem Solving",10,"99"))))))))))</f>
        <v>4</v>
      </c>
      <c r="S87" s="69" t="s">
        <v>15</v>
      </c>
      <c r="T87" s="92" t="s">
        <v>581</v>
      </c>
      <c r="U87" s="60">
        <f>IF(T87="within",1,0)</f>
        <v>1</v>
      </c>
      <c r="V87" s="92">
        <v>200</v>
      </c>
      <c r="W87" s="69">
        <f>F87*V87</f>
        <v>2800</v>
      </c>
      <c r="X87" s="69">
        <v>3</v>
      </c>
      <c r="Y87" s="87">
        <f>AV86</f>
        <v>30</v>
      </c>
      <c r="Z87" s="69" t="s">
        <v>541</v>
      </c>
      <c r="AA87" s="87">
        <f>45*60</f>
        <v>2700</v>
      </c>
      <c r="AB87" s="69" t="str">
        <f>IF(AA87&lt;60,"1",IF(AA87&lt;=43200,"2",IF(AA87&lt;=777600,"3","4")))</f>
        <v>2</v>
      </c>
      <c r="AC87" s="87">
        <f>AVERAGE(AV86:DA86)</f>
        <v>1510</v>
      </c>
      <c r="AD87" s="69" t="str">
        <f>IF(AC87&lt;60,"1",IF(AC87&lt;=43200,"2",IF(AC87&lt;=777600,"3","4")))</f>
        <v>2</v>
      </c>
      <c r="AE87" s="87">
        <f>AA87-Y87</f>
        <v>2670</v>
      </c>
      <c r="AF87" s="88">
        <f>AV87</f>
        <v>0.75</v>
      </c>
      <c r="AG87" s="72">
        <f>((AW87-AV87)+(AX87-AW87))/2</f>
        <v>-2.0000000000000018E-2</v>
      </c>
      <c r="AH87" s="4"/>
      <c r="AI87" s="72">
        <f>RSQ(AV87:AX87,AV86:AX86)</f>
        <v>0.74637689574285249</v>
      </c>
      <c r="AJ87" s="110">
        <f>SLOPE(AV87:AX87,AV86:AX86)</f>
        <v>-1.6826532271175433E-5</v>
      </c>
      <c r="AK87" s="72">
        <f>INTERCEPT(AV87:AX87,AV86:AX86)</f>
        <v>0.74540806372947499</v>
      </c>
      <c r="AL87" s="72">
        <f>INDEX(LINEST(LN(AV87:AX87),LN(AV86:AX86),TRUE,TRUE),3,1)</f>
        <v>0.92498094718953883</v>
      </c>
      <c r="AM87" s="72">
        <f>INDEX(LINEST(LN(AV87:AX87),LN(AV86:AX86)),1)</f>
        <v>-1.4077656808005854E-2</v>
      </c>
      <c r="AN87" s="72">
        <f>EXP(INDEX(LINEST(LN(AV87:AX87),LN(AV86:AX86)),1,2))</f>
        <v>0.78604620678430026</v>
      </c>
      <c r="AO87" s="89">
        <f>INDEX(LINEST((AV87:AX87),LN(AV86:AX86),TRUE,TRUE),3,1)</f>
        <v>0.92799791023336997</v>
      </c>
      <c r="AP87" s="89">
        <f>INDEX(LINEST((AV87:AX87),LN(AV86:AX86)),1)</f>
        <v>-1.0239170884910123E-2</v>
      </c>
      <c r="AQ87" s="90">
        <f>INDEX(LINEST(LN(AV87:AX87),SQRT(AV86:AX86),TRUE,TRUE),3,1)</f>
        <v>0.85452317005446388</v>
      </c>
      <c r="AR87" s="117">
        <f>INDEX(LINEST(LN(AV87:AX87),SQRT((AV86:AX86))),1)</f>
        <v>-1.371791075129805E-3</v>
      </c>
      <c r="AS87" s="91">
        <f>INDEX(LINEST(1/(AV87:AX87),1/(SQRT(AV86:AX86)),TRUE,TRUE),3,1)</f>
        <v>0.95021224049428421</v>
      </c>
      <c r="AT87" s="91">
        <f>INDEX(LINEST(1/(AV87:AX87),1/SQRT(AV86:AX86)),1)</f>
        <v>-0.52571065671971162</v>
      </c>
      <c r="AU87" s="3"/>
      <c r="AV87" s="73">
        <v>0.75</v>
      </c>
      <c r="AW87" s="73">
        <v>0.7</v>
      </c>
      <c r="AX87" s="73">
        <v>0.71</v>
      </c>
      <c r="AY87" s="53"/>
      <c r="AZ87" s="53"/>
      <c r="BA87" s="53"/>
      <c r="BB87" s="53"/>
      <c r="BC87" s="53"/>
      <c r="BD87" s="53"/>
      <c r="BE87" s="53"/>
      <c r="BF87" s="53"/>
      <c r="BG87" s="53"/>
      <c r="BH87" s="53"/>
      <c r="BI87" s="53"/>
      <c r="BJ87" s="53"/>
      <c r="BK87" s="53"/>
      <c r="BL87" s="53"/>
      <c r="BM87" s="53"/>
      <c r="BN87" s="53"/>
      <c r="BO87" s="53"/>
      <c r="BP87" s="53"/>
      <c r="BQ87" s="53"/>
      <c r="BR87" s="53"/>
      <c r="BS87" s="53"/>
      <c r="BT87" s="53"/>
      <c r="BU87" s="53"/>
      <c r="BV87" s="53"/>
      <c r="BW87" s="53"/>
      <c r="BX87" s="53"/>
      <c r="BY87" s="53"/>
      <c r="BZ87" s="53"/>
      <c r="CA87" s="53"/>
      <c r="CB87" s="53"/>
      <c r="CC87" s="53"/>
      <c r="CD87" s="53"/>
      <c r="CE87" s="53"/>
      <c r="CF87" s="53"/>
      <c r="CG87" s="53"/>
      <c r="CH87" s="53"/>
      <c r="CI87" s="53"/>
      <c r="CJ87" s="53"/>
      <c r="CK87" s="53"/>
      <c r="CL87" s="53"/>
      <c r="CM87" s="53"/>
      <c r="CN87" s="53"/>
      <c r="CO87" s="53"/>
      <c r="CP87" s="53"/>
      <c r="CQ87" s="53"/>
      <c r="CR87" s="1"/>
      <c r="CS87" s="1"/>
      <c r="CT87" s="1"/>
      <c r="CU87" s="1"/>
    </row>
    <row r="88" spans="1:99" s="13" customFormat="1" ht="12" customHeight="1" x14ac:dyDescent="0.2">
      <c r="A88" s="68">
        <v>43509</v>
      </c>
      <c r="B88" s="70"/>
      <c r="C88" s="70"/>
      <c r="D88" s="69"/>
      <c r="E88" s="87"/>
      <c r="F88" s="69"/>
      <c r="G88" s="69"/>
      <c r="H88" s="69"/>
      <c r="I88" s="69"/>
      <c r="J88" s="69"/>
      <c r="K88" s="107"/>
      <c r="L88" s="107"/>
      <c r="M88" s="69"/>
      <c r="N88" s="69"/>
      <c r="O88" s="69"/>
      <c r="P88" s="69"/>
      <c r="Q88" s="69"/>
      <c r="R88" s="69"/>
      <c r="S88" s="69"/>
      <c r="T88" s="69"/>
      <c r="U88" s="60"/>
      <c r="V88" s="69"/>
      <c r="W88" s="69"/>
      <c r="X88" s="69"/>
      <c r="Y88" s="87"/>
      <c r="Z88" s="69"/>
      <c r="AA88" s="69"/>
      <c r="AB88" s="69"/>
      <c r="AC88" s="69"/>
      <c r="AD88" s="69"/>
      <c r="AE88" s="69"/>
      <c r="AF88" s="88"/>
      <c r="AG88" s="72"/>
      <c r="AH88" s="4"/>
      <c r="AI88" s="72"/>
      <c r="AJ88" s="110"/>
      <c r="AK88" s="72"/>
      <c r="AL88" s="72"/>
      <c r="AM88" s="72"/>
      <c r="AN88" s="72"/>
      <c r="AO88" s="72"/>
      <c r="AP88" s="72"/>
      <c r="AQ88" s="72"/>
      <c r="AR88" s="110"/>
      <c r="AS88" s="72"/>
      <c r="AT88" s="72"/>
      <c r="AU88" s="4"/>
      <c r="AV88" s="71">
        <v>30</v>
      </c>
      <c r="AW88" s="71">
        <f>3600*1</f>
        <v>3600</v>
      </c>
      <c r="AX88" s="71">
        <f>3600*2</f>
        <v>7200</v>
      </c>
      <c r="AY88" s="71">
        <f>3600*4</f>
        <v>14400</v>
      </c>
      <c r="AZ88" s="71">
        <f>3600*8</f>
        <v>28800</v>
      </c>
      <c r="BA88" s="53"/>
      <c r="BB88" s="53"/>
      <c r="BC88" s="53"/>
      <c r="BD88" s="53"/>
      <c r="BE88" s="53"/>
      <c r="BF88" s="53"/>
      <c r="BG88" s="53"/>
      <c r="BH88" s="53"/>
      <c r="BI88" s="53"/>
      <c r="BJ88" s="53"/>
      <c r="BK88" s="53"/>
      <c r="BL88" s="53"/>
      <c r="BM88" s="53"/>
      <c r="BN88" s="53"/>
      <c r="BO88" s="53"/>
      <c r="BP88" s="53"/>
      <c r="BQ88" s="53"/>
      <c r="BR88" s="53"/>
      <c r="BS88" s="53"/>
      <c r="BT88" s="53"/>
      <c r="BU88" s="53"/>
      <c r="BV88" s="53"/>
      <c r="BW88" s="53"/>
      <c r="BX88" s="53"/>
      <c r="BY88" s="53"/>
      <c r="BZ88" s="53"/>
      <c r="CA88" s="53"/>
      <c r="CB88" s="53"/>
      <c r="CC88" s="53"/>
      <c r="CD88" s="53"/>
      <c r="CE88" s="53"/>
      <c r="CF88" s="53"/>
      <c r="CG88" s="53"/>
      <c r="CH88" s="53"/>
      <c r="CI88" s="53"/>
      <c r="CJ88" s="53"/>
      <c r="CK88" s="53"/>
      <c r="CL88" s="53"/>
      <c r="CM88" s="53"/>
      <c r="CN88" s="53"/>
      <c r="CO88" s="53"/>
      <c r="CP88" s="53"/>
      <c r="CQ88" s="53"/>
      <c r="CR88" s="1"/>
      <c r="CS88" s="1"/>
      <c r="CT88" s="1"/>
      <c r="CU88" s="1"/>
    </row>
    <row r="89" spans="1:99" s="13" customFormat="1" ht="12" customHeight="1" x14ac:dyDescent="0.2">
      <c r="A89" s="68">
        <v>43509</v>
      </c>
      <c r="B89" s="70" t="s">
        <v>257</v>
      </c>
      <c r="C89" s="70" t="s">
        <v>86</v>
      </c>
      <c r="D89" s="69">
        <v>1932</v>
      </c>
      <c r="E89" s="87">
        <v>1</v>
      </c>
      <c r="F89" s="69">
        <v>2</v>
      </c>
      <c r="G89" s="69">
        <v>2</v>
      </c>
      <c r="H89" s="69" t="s">
        <v>41</v>
      </c>
      <c r="I89" s="69" t="s">
        <v>620</v>
      </c>
      <c r="J89" s="69" t="s">
        <v>281</v>
      </c>
      <c r="K89" s="69">
        <f>IF(J89="syllables",1,IF(J89="trigrams",2,IF(J89="strings",3,IF(J89="visual array",4,IF(J89="characters",5,IF(J89="letters",6,IF(J89="free forms",7,IF(J89="odors",8,IF(J89="words",9,IF(J89="pictures",10,IF(J89="object pictures",11,IF(J89="faces",12,IF(J89="names",13,IF(J89="idioms",14,IF(J89="grades",15,IF(J89="syllable-digit pairs",16,IF(J89="trigram-word pairs",17,IF(J89="word-digit pairs",18,IF(J89="English-Swahili pairs",19,IF(J89="spatial position",20,IF(J89="word pairs",21,IF(J89="word triads",22,IF(J89="generated words",23,IF(J89="word definition pairs",24,IF(J89="math problems",25,IF(J89="famous faces",26,IF(J89="famous names",27,IF(J89="famous voices",28,IF(J89="television programs",29,IF(J89="race horses",30,IF(J89="new vocabulary",31,IF(J89="sentences",32,IF(J89="concepts",33,IF(J89="ad slides",34,IF(J89="scenes",35,IF(J89="famous scenes",36,IF(J89="poems",37,IF(J89="walk",38,IF(J89="faces and events",39,IF(J89="events and names",40,IF(J89="flashbulb",41,IF(J89="stories",42,IF(J89="course material",43,IF(J89="autobiographical",44,IF(J89="novels",45,IF(J89="public events",46,"99"))))))))))))))))))))))))))))))))))))))))))))))</f>
        <v>1</v>
      </c>
      <c r="L89" s="69">
        <f>IF(J89="syllables",1,IF(J89="trigrams",1,IF(J89="strings",1,IF(J89="visual array",1,IF(J89="characters",1,IF(J89="letters",1,IF(J89="free forms",1,IF(J89="odors",2,IF(J89="words",2,IF(J89="pictures",2,IF(J89="object pictures",2,IF(J89="faces",2,IF(J89="names",2,IF(J89="idioms","2",IF(J89="grades",2,IF(J89="syllable-digit pairs",3,IF(J89="trigram-word pairs",3,IF(J89="word-digit pairs",3,IF(J89="English-Swahili pairs",3,IF(J89="spatial position",3,IF(J89="word pairs",4,IF(J89="word triads",4,IF(J89="generated words",4,IF(J89="word definition pairs",4,IF(J89="math problems",4,IF(J89="famous faces",4,IF(J89="famous names",4,IF(J89="famous voices",4,IF(J89="television programs",4,IF(J89="race horses",4,IF(J89="new vocabulary",4,IF(J89="sentences",5,IF(J89="concepts",5,IF(J89="ad slides",5,IF(J89="scenes",5,IF(J89="famous scenes",5,IF(J89="poems",6,IF(J89="walk",6,IF(J89="faces and events",6,IF(J89="events and names",6,IF(J89="flashbulb",7,IF(J89="stories",7,IF(J89="course material",7,IF(J89="autobiographical",7,IF(J89="novels",7,IF(J89="public events",7,"99"))))))))))))))))))))))))))))))))))))))))))))))</f>
        <v>1</v>
      </c>
      <c r="M89" s="69">
        <v>1</v>
      </c>
      <c r="N89" s="69">
        <v>2</v>
      </c>
      <c r="O89" s="69">
        <v>0</v>
      </c>
      <c r="P89" s="69"/>
      <c r="Q89" s="69" t="s">
        <v>87</v>
      </c>
      <c r="R89" s="69">
        <f>IF(Q89="Free Recall",1,IF(Q89="Cued Recall",2,IF(Q89="Recognition",3,IF(Q89="Multiple Choice",4,IF(Q89="Savings",5,IF(Q89="Stem Completion",6,IF(Q89="Fragment Completion",7,IF(Q89="anagram solution",8,IF(Q89="Matching",9,IF(Q89="Problem Solving",10,"99"))))))))))</f>
        <v>5</v>
      </c>
      <c r="S89" s="69" t="s">
        <v>233</v>
      </c>
      <c r="T89" s="92" t="s">
        <v>581</v>
      </c>
      <c r="U89" s="60">
        <f>IF(T89="within",1,0)</f>
        <v>1</v>
      </c>
      <c r="V89" s="92">
        <v>120</v>
      </c>
      <c r="W89" s="69">
        <f>F89*V89</f>
        <v>240</v>
      </c>
      <c r="X89" s="69">
        <v>5</v>
      </c>
      <c r="Y89" s="87">
        <f>AV88</f>
        <v>30</v>
      </c>
      <c r="Z89" s="69" t="s">
        <v>85</v>
      </c>
      <c r="AA89" s="69">
        <v>28800</v>
      </c>
      <c r="AB89" s="69" t="str">
        <f>IF(AA89&lt;60,"1",IF(AA89&lt;=43200,"2",IF(AA89&lt;=777600,"3","4")))</f>
        <v>2</v>
      </c>
      <c r="AC89" s="72">
        <f>AVERAGE(AV88:DA88)</f>
        <v>10806</v>
      </c>
      <c r="AD89" s="69" t="str">
        <f>IF(AC89&lt;60,"1",IF(AC89&lt;=43200,"2",IF(AC89&lt;=777600,"3","4")))</f>
        <v>2</v>
      </c>
      <c r="AE89" s="87">
        <f>AA89-Y89</f>
        <v>28770</v>
      </c>
      <c r="AF89" s="88">
        <f>AV89</f>
        <v>1</v>
      </c>
      <c r="AG89" s="72">
        <f>((AW89-AV89)+(AX89-AW89)+(AY89-AX89)+(AZ89-AY89))/4</f>
        <v>-0.16575000000000001</v>
      </c>
      <c r="AH89" s="4"/>
      <c r="AI89" s="72">
        <f>RSQ(AV89:AZ89,AV88:AZ88)</f>
        <v>0.43390447119154446</v>
      </c>
      <c r="AJ89" s="110">
        <f>SLOPE(AV89:AZ89,AV88:AZ88)</f>
        <v>-1.5526713215528832E-5</v>
      </c>
      <c r="AK89" s="72">
        <f>INTERCEPT(AV89:AZ89,AV88:AZ88)</f>
        <v>0.69438166300700455</v>
      </c>
      <c r="AL89" s="72">
        <f>INDEX(LINEST(LN(AV89:AZ89),LN(AV88:AZ88),TRUE,TRUE),3,1)</f>
        <v>0.98792295085439252</v>
      </c>
      <c r="AM89" s="72">
        <f>INDEX(LINEST(LN(AV89:AZ89),LN(AV88:AZ88)),1)</f>
        <v>-0.15302715566210412</v>
      </c>
      <c r="AN89" s="72">
        <f>EXP(INDEX(LINEST(LN(AV89:AZ89),LN(AV88:AZ88)),1,2))</f>
        <v>1.6691473075404764</v>
      </c>
      <c r="AO89" s="89">
        <f>INDEX(LINEST((AV89:AZ89),LN(AV88:AZ88),TRUE,TRUE),3,1)</f>
        <v>0.97816756477322375</v>
      </c>
      <c r="AP89" s="89">
        <f>INDEX(LINEST((AV89:AZ89),LN(AV88:AZ88)),1)</f>
        <v>-9.7553712214733163E-2</v>
      </c>
      <c r="AQ89" s="90">
        <f>INDEX(LINEST(LN(AV89:AZ89),SQRT(AV88:AZ88),TRUE,TRUE),3,1)</f>
        <v>0.79357122311326278</v>
      </c>
      <c r="AR89" s="117">
        <f>INDEX(LINEST(LN(AV89:AZ89),SQRT((AV88:AZ88))),1)</f>
        <v>-6.0284807241244558E-3</v>
      </c>
      <c r="AS89" s="91">
        <f>INDEX(LINEST(1/(AV89:AZ89),1/(SQRT(AV88:AZ88)),TRUE,TRUE),3,1)</f>
        <v>0.86895402612297301</v>
      </c>
      <c r="AT89" s="91">
        <f>INDEX(LINEST(1/(AV89:AZ89),1/SQRT(AV88:AZ88)),1)</f>
        <v>-8.7550761610031493</v>
      </c>
      <c r="AU89" s="3"/>
      <c r="AV89" s="73">
        <v>1</v>
      </c>
      <c r="AW89" s="73">
        <v>0.45200000000000001</v>
      </c>
      <c r="AX89" s="73">
        <v>0.43099999999999999</v>
      </c>
      <c r="AY89" s="73">
        <v>0.41299999999999998</v>
      </c>
      <c r="AZ89" s="73">
        <v>0.33700000000000002</v>
      </c>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53"/>
      <c r="CD89" s="53"/>
      <c r="CE89" s="53"/>
      <c r="CF89" s="53"/>
      <c r="CG89" s="53"/>
      <c r="CH89" s="53"/>
      <c r="CI89" s="53"/>
      <c r="CJ89" s="53"/>
      <c r="CK89" s="53"/>
      <c r="CL89" s="53"/>
      <c r="CM89" s="53"/>
      <c r="CN89" s="53"/>
      <c r="CO89" s="53"/>
      <c r="CP89" s="53"/>
      <c r="CQ89" s="53"/>
      <c r="CR89" s="1"/>
      <c r="CS89" s="1"/>
      <c r="CT89" s="1"/>
      <c r="CU89" s="1"/>
    </row>
    <row r="90" spans="1:99" s="13" customFormat="1" ht="12" customHeight="1" x14ac:dyDescent="0.2">
      <c r="A90" s="68">
        <v>43509</v>
      </c>
      <c r="B90" s="70"/>
      <c r="C90" s="70"/>
      <c r="D90" s="69"/>
      <c r="E90" s="87"/>
      <c r="F90" s="69"/>
      <c r="G90" s="69"/>
      <c r="H90" s="69"/>
      <c r="I90" s="69"/>
      <c r="J90" s="69"/>
      <c r="K90" s="107"/>
      <c r="L90" s="107"/>
      <c r="M90" s="69"/>
      <c r="N90" s="69"/>
      <c r="O90" s="69"/>
      <c r="P90" s="69"/>
      <c r="Q90" s="69"/>
      <c r="R90" s="69"/>
      <c r="S90" s="69"/>
      <c r="T90" s="69"/>
      <c r="U90" s="60"/>
      <c r="V90" s="69"/>
      <c r="W90" s="69"/>
      <c r="X90" s="69"/>
      <c r="Y90" s="87"/>
      <c r="Z90" s="69"/>
      <c r="AA90" s="69"/>
      <c r="AB90" s="69"/>
      <c r="AC90" s="69"/>
      <c r="AD90" s="69"/>
      <c r="AE90" s="69"/>
      <c r="AF90" s="88"/>
      <c r="AG90" s="72"/>
      <c r="AH90" s="4"/>
      <c r="AI90" s="72"/>
      <c r="AJ90" s="110"/>
      <c r="AK90" s="72"/>
      <c r="AL90" s="72"/>
      <c r="AM90" s="72"/>
      <c r="AN90" s="72"/>
      <c r="AO90" s="72"/>
      <c r="AP90" s="72"/>
      <c r="AQ90" s="72"/>
      <c r="AR90" s="110"/>
      <c r="AS90" s="72"/>
      <c r="AT90" s="72"/>
      <c r="AU90" s="4"/>
      <c r="AV90" s="71">
        <v>30</v>
      </c>
      <c r="AW90" s="71">
        <f>3600*1</f>
        <v>3600</v>
      </c>
      <c r="AX90" s="71">
        <f>3600*2</f>
        <v>7200</v>
      </c>
      <c r="AY90" s="71">
        <f>3600*4</f>
        <v>14400</v>
      </c>
      <c r="AZ90" s="71">
        <f>3600*8</f>
        <v>28800</v>
      </c>
      <c r="BA90" s="53"/>
      <c r="BB90" s="53"/>
      <c r="BC90" s="53"/>
      <c r="BD90" s="53"/>
      <c r="BE90" s="53"/>
      <c r="BF90" s="53"/>
      <c r="BG90" s="53"/>
      <c r="BH90" s="53"/>
      <c r="BI90" s="53"/>
      <c r="BJ90" s="53"/>
      <c r="BK90" s="53"/>
      <c r="BL90" s="53"/>
      <c r="BM90" s="53"/>
      <c r="BN90" s="53"/>
      <c r="BO90" s="53"/>
      <c r="BP90" s="53"/>
      <c r="BQ90" s="53"/>
      <c r="BR90" s="53"/>
      <c r="BS90" s="53"/>
      <c r="BT90" s="53"/>
      <c r="BU90" s="53"/>
      <c r="BV90" s="53"/>
      <c r="BW90" s="53"/>
      <c r="BX90" s="53"/>
      <c r="BY90" s="53"/>
      <c r="BZ90" s="53"/>
      <c r="CA90" s="53"/>
      <c r="CB90" s="53"/>
      <c r="CC90" s="53"/>
      <c r="CD90" s="53"/>
      <c r="CE90" s="53"/>
      <c r="CF90" s="53"/>
      <c r="CG90" s="53"/>
      <c r="CH90" s="53"/>
      <c r="CI90" s="53"/>
      <c r="CJ90" s="53"/>
      <c r="CK90" s="53"/>
      <c r="CL90" s="53"/>
      <c r="CM90" s="53"/>
      <c r="CN90" s="53"/>
      <c r="CO90" s="53"/>
      <c r="CP90" s="53"/>
      <c r="CQ90" s="53"/>
      <c r="CR90" s="1"/>
      <c r="CS90" s="1"/>
      <c r="CT90" s="1"/>
      <c r="CU90" s="1"/>
    </row>
    <row r="91" spans="1:99" s="13" customFormat="1" ht="12" customHeight="1" x14ac:dyDescent="0.2">
      <c r="A91" s="68">
        <v>43509</v>
      </c>
      <c r="B91" s="70" t="s">
        <v>257</v>
      </c>
      <c r="C91" s="70" t="s">
        <v>86</v>
      </c>
      <c r="D91" s="69">
        <v>1932</v>
      </c>
      <c r="E91" s="87">
        <v>1</v>
      </c>
      <c r="F91" s="69">
        <v>2</v>
      </c>
      <c r="G91" s="69">
        <v>2</v>
      </c>
      <c r="H91" s="69" t="s">
        <v>41</v>
      </c>
      <c r="I91" s="69" t="s">
        <v>621</v>
      </c>
      <c r="J91" s="69" t="s">
        <v>281</v>
      </c>
      <c r="K91" s="69">
        <f>IF(J91="syllables",1,IF(J91="trigrams",2,IF(J91="strings",3,IF(J91="visual array",4,IF(J91="characters",5,IF(J91="letters",6,IF(J91="free forms",7,IF(J91="odors",8,IF(J91="words",9,IF(J91="pictures",10,IF(J91="object pictures",11,IF(J91="faces",12,IF(J91="names",13,IF(J91="idioms",14,IF(J91="grades",15,IF(J91="syllable-digit pairs",16,IF(J91="trigram-word pairs",17,IF(J91="word-digit pairs",18,IF(J91="English-Swahili pairs",19,IF(J91="spatial position",20,IF(J91="word pairs",21,IF(J91="word triads",22,IF(J91="generated words",23,IF(J91="word definition pairs",24,IF(J91="math problems",25,IF(J91="famous faces",26,IF(J91="famous names",27,IF(J91="famous voices",28,IF(J91="television programs",29,IF(J91="race horses",30,IF(J91="new vocabulary",31,IF(J91="sentences",32,IF(J91="concepts",33,IF(J91="ad slides",34,IF(J91="scenes",35,IF(J91="famous scenes",36,IF(J91="poems",37,IF(J91="walk",38,IF(J91="faces and events",39,IF(J91="events and names",40,IF(J91="flashbulb",41,IF(J91="stories",42,IF(J91="course material",43,IF(J91="autobiographical",44,IF(J91="novels",45,IF(J91="public events",46,"99"))))))))))))))))))))))))))))))))))))))))))))))</f>
        <v>1</v>
      </c>
      <c r="L91" s="69">
        <f>IF(J91="syllables",1,IF(J91="trigrams",1,IF(J91="strings",1,IF(J91="visual array",1,IF(J91="characters",1,IF(J91="letters",1,IF(J91="free forms",1,IF(J91="odors",2,IF(J91="words",2,IF(J91="pictures",2,IF(J91="object pictures",2,IF(J91="faces",2,IF(J91="names",2,IF(J91="idioms","2",IF(J91="grades",2,IF(J91="syllable-digit pairs",3,IF(J91="trigram-word pairs",3,IF(J91="word-digit pairs",3,IF(J91="English-Swahili pairs",3,IF(J91="spatial position",3,IF(J91="word pairs",4,IF(J91="word triads",4,IF(J91="generated words",4,IF(J91="word definition pairs",4,IF(J91="math problems",4,IF(J91="famous faces",4,IF(J91="famous names",4,IF(J91="famous voices",4,IF(J91="television programs",4,IF(J91="race horses",4,IF(J91="new vocabulary",4,IF(J91="sentences",5,IF(J91="concepts",5,IF(J91="ad slides",5,IF(J91="scenes",5,IF(J91="famous scenes",5,IF(J91="poems",6,IF(J91="walk",6,IF(J91="faces and events",6,IF(J91="events and names",6,IF(J91="flashbulb",7,IF(J91="stories",7,IF(J91="course material",7,IF(J91="autobiographical",7,IF(J91="novels",7,IF(J91="public events",7,"99"))))))))))))))))))))))))))))))))))))))))))))))</f>
        <v>1</v>
      </c>
      <c r="M91" s="69">
        <v>1</v>
      </c>
      <c r="N91" s="69">
        <v>2</v>
      </c>
      <c r="O91" s="69">
        <v>0</v>
      </c>
      <c r="P91" s="69"/>
      <c r="Q91" s="69" t="s">
        <v>87</v>
      </c>
      <c r="R91" s="69">
        <f>IF(Q91="Free Recall",1,IF(Q91="Cued Recall",2,IF(Q91="Recognition",3,IF(Q91="Multiple Choice",4,IF(Q91="Savings",5,IF(Q91="Stem Completion",6,IF(Q91="Fragment Completion",7,IF(Q91="anagram solution",8,IF(Q91="Matching",9,IF(Q91="Problem Solving",10,"99"))))))))))</f>
        <v>5</v>
      </c>
      <c r="S91" s="69" t="s">
        <v>233</v>
      </c>
      <c r="T91" s="92" t="s">
        <v>581</v>
      </c>
      <c r="U91" s="60">
        <f>IF(T91="within",1,0)</f>
        <v>1</v>
      </c>
      <c r="V91" s="92">
        <v>120</v>
      </c>
      <c r="W91" s="69">
        <f>F91*V91</f>
        <v>240</v>
      </c>
      <c r="X91" s="69">
        <v>5</v>
      </c>
      <c r="Y91" s="87">
        <f>AV90</f>
        <v>30</v>
      </c>
      <c r="Z91" s="69" t="s">
        <v>85</v>
      </c>
      <c r="AA91" s="69">
        <v>28800</v>
      </c>
      <c r="AB91" s="69" t="str">
        <f>IF(AA91&lt;60,"1",IF(AA91&lt;=43200,"2",IF(AA91&lt;=777600,"3","4")))</f>
        <v>2</v>
      </c>
      <c r="AC91" s="72">
        <f>AVERAGE(AV90:DA90)</f>
        <v>10806</v>
      </c>
      <c r="AD91" s="69" t="str">
        <f>IF(AC91&lt;60,"1",IF(AC91&lt;=43200,"2",IF(AC91&lt;=777600,"3","4")))</f>
        <v>2</v>
      </c>
      <c r="AE91" s="87">
        <f>AA91-Y91</f>
        <v>28770</v>
      </c>
      <c r="AF91" s="88">
        <f>AV91</f>
        <v>1</v>
      </c>
      <c r="AG91" s="72">
        <f>((AW91-AV91)+(AX91-AW91)+(AY91-AX91)+(AZ91-AY91))/4</f>
        <v>-0.19025000000000003</v>
      </c>
      <c r="AH91" s="4"/>
      <c r="AI91" s="72">
        <f>RSQ(AV91:AZ91,AV90:AZ90)</f>
        <v>0.51934222819785003</v>
      </c>
      <c r="AJ91" s="110">
        <f>SLOPE(AV91:AZ91,AV90:AZ90)</f>
        <v>-1.8958926956482239E-5</v>
      </c>
      <c r="AK91" s="72">
        <f>INTERCEPT(AV91:AZ91,AV90:AZ90)</f>
        <v>0.68607016469174709</v>
      </c>
      <c r="AL91" s="72">
        <f>INDEX(LINEST(LN(AV91:AZ91),LN(AV90:AZ90),TRUE,TRUE),3,1)</f>
        <v>0.96725440924063455</v>
      </c>
      <c r="AM91" s="72">
        <f>INDEX(LINEST(LN(AV91:AZ91),LN(AV90:AZ90)),1)</f>
        <v>-0.19168140517604182</v>
      </c>
      <c r="AN91" s="72">
        <f>EXP(INDEX(LINEST(LN(AV91:AZ91),LN(AV90:AZ90)),1,2))</f>
        <v>1.9926064274805224</v>
      </c>
      <c r="AO91" s="89">
        <f>INDEX(LINEST((AV91:AZ91),LN(AV90:AZ90),TRUE,TRUE),3,1)</f>
        <v>0.99595098541540372</v>
      </c>
      <c r="AP91" s="89">
        <f>INDEX(LINEST((AV91:AZ91),LN(AV90:AZ90)),1)</f>
        <v>-0.10986531879538895</v>
      </c>
      <c r="AQ91" s="90">
        <f>INDEX(LINEST(LN(AV91:AZ91),SQRT(AV90:AZ90),TRUE,TRUE),3,1)</f>
        <v>0.91508868800724119</v>
      </c>
      <c r="AR91" s="117">
        <f>INDEX(LINEST(LN(AV91:AZ91),SQRT((AV90:AZ90))),1)</f>
        <v>-8.1950040276132213E-3</v>
      </c>
      <c r="AS91" s="91">
        <f>INDEX(LINEST(1/(AV91:AZ91),1/(SQRT(AV90:AZ90)),TRUE,TRUE),3,1)</f>
        <v>0.64653260927973621</v>
      </c>
      <c r="AT91" s="91">
        <f>INDEX(LINEST(1/(AV91:AZ91),1/SQRT(AV90:AZ90)),1)</f>
        <v>-12.011751054556491</v>
      </c>
      <c r="AU91" s="3"/>
      <c r="AV91" s="73">
        <v>1</v>
      </c>
      <c r="AW91" s="73">
        <v>0.441</v>
      </c>
      <c r="AX91" s="73">
        <v>0.38500000000000001</v>
      </c>
      <c r="AY91" s="73">
        <v>0.34100000000000003</v>
      </c>
      <c r="AZ91" s="73">
        <v>0.23899999999999999</v>
      </c>
      <c r="BA91" s="53"/>
      <c r="BB91" s="53"/>
      <c r="BC91" s="53"/>
      <c r="BD91" s="53"/>
      <c r="BE91" s="53"/>
      <c r="BF91" s="53"/>
      <c r="BG91" s="53"/>
      <c r="BH91" s="53"/>
      <c r="BI91" s="53"/>
      <c r="BJ91" s="53"/>
      <c r="BK91" s="53"/>
      <c r="BL91" s="53"/>
      <c r="BM91" s="53"/>
      <c r="BN91" s="53"/>
      <c r="BO91" s="53"/>
      <c r="BP91" s="53"/>
      <c r="BQ91" s="53"/>
      <c r="BR91" s="53"/>
      <c r="BS91" s="53"/>
      <c r="BT91" s="53"/>
      <c r="BU91" s="53"/>
      <c r="BV91" s="53"/>
      <c r="BW91" s="53"/>
      <c r="BX91" s="53"/>
      <c r="BY91" s="53"/>
      <c r="BZ91" s="53"/>
      <c r="CA91" s="53"/>
      <c r="CB91" s="53"/>
      <c r="CC91" s="53"/>
      <c r="CD91" s="53"/>
      <c r="CE91" s="53"/>
      <c r="CF91" s="53"/>
      <c r="CG91" s="53"/>
      <c r="CH91" s="53"/>
      <c r="CI91" s="53"/>
      <c r="CJ91" s="53"/>
      <c r="CK91" s="53"/>
      <c r="CL91" s="53"/>
      <c r="CM91" s="53"/>
      <c r="CN91" s="53"/>
      <c r="CO91" s="53"/>
      <c r="CP91" s="53"/>
      <c r="CQ91" s="53"/>
      <c r="CR91" s="1"/>
      <c r="CS91" s="1"/>
      <c r="CT91" s="1"/>
      <c r="CU91" s="1"/>
    </row>
    <row r="92" spans="1:99" s="13" customFormat="1" ht="12" customHeight="1" x14ac:dyDescent="0.2">
      <c r="A92" s="68">
        <v>43902</v>
      </c>
      <c r="B92" s="70"/>
      <c r="C92" s="70"/>
      <c r="D92" s="69"/>
      <c r="E92" s="87"/>
      <c r="F92" s="69"/>
      <c r="G92" s="69"/>
      <c r="H92" s="69"/>
      <c r="I92" s="69"/>
      <c r="J92" s="69"/>
      <c r="K92" s="107"/>
      <c r="L92" s="107"/>
      <c r="M92" s="69"/>
      <c r="N92" s="86"/>
      <c r="O92" s="69"/>
      <c r="P92" s="69"/>
      <c r="Q92" s="69"/>
      <c r="R92" s="69"/>
      <c r="S92" s="69"/>
      <c r="T92" s="92"/>
      <c r="U92" s="60"/>
      <c r="V92" s="69"/>
      <c r="W92" s="69"/>
      <c r="X92" s="69"/>
      <c r="Y92" s="87"/>
      <c r="Z92" s="69"/>
      <c r="AA92" s="69"/>
      <c r="AB92" s="69"/>
      <c r="AC92" s="69"/>
      <c r="AD92" s="69"/>
      <c r="AE92" s="69"/>
      <c r="AF92" s="88"/>
      <c r="AG92" s="72"/>
      <c r="AH92" s="4"/>
      <c r="AI92" s="72"/>
      <c r="AJ92" s="110"/>
      <c r="AK92" s="72"/>
      <c r="AL92" s="72"/>
      <c r="AM92" s="72"/>
      <c r="AN92" s="72"/>
      <c r="AO92" s="72"/>
      <c r="AP92" s="72"/>
      <c r="AQ92" s="89"/>
      <c r="AR92" s="118"/>
      <c r="AS92" s="89"/>
      <c r="AT92" s="89"/>
      <c r="AU92" s="4"/>
      <c r="AV92" s="73">
        <v>0.01</v>
      </c>
      <c r="AW92" s="71">
        <v>5</v>
      </c>
      <c r="AX92" s="71">
        <v>10</v>
      </c>
      <c r="AY92" s="71">
        <v>30</v>
      </c>
      <c r="AZ92" s="71">
        <v>60</v>
      </c>
      <c r="BA92" s="53"/>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53"/>
      <c r="CD92" s="53"/>
      <c r="CE92" s="53"/>
      <c r="CF92" s="53"/>
      <c r="CG92" s="53"/>
      <c r="CH92" s="53"/>
      <c r="CI92" s="53"/>
      <c r="CJ92" s="53"/>
      <c r="CK92" s="53"/>
      <c r="CL92" s="53"/>
      <c r="CM92" s="53"/>
      <c r="CN92" s="53"/>
      <c r="CO92" s="53"/>
      <c r="CP92" s="53"/>
      <c r="CQ92" s="53"/>
      <c r="CR92" s="1"/>
      <c r="CS92" s="1"/>
      <c r="CT92" s="1"/>
      <c r="CU92" s="1"/>
    </row>
    <row r="93" spans="1:99" s="13" customFormat="1" ht="12" customHeight="1" x14ac:dyDescent="0.2">
      <c r="A93" s="68">
        <v>43902</v>
      </c>
      <c r="B93" s="70" t="s">
        <v>456</v>
      </c>
      <c r="C93" s="70" t="s">
        <v>139</v>
      </c>
      <c r="D93" s="69">
        <v>1982</v>
      </c>
      <c r="E93" s="87">
        <v>1</v>
      </c>
      <c r="F93" s="69">
        <v>4</v>
      </c>
      <c r="G93" s="69">
        <v>4</v>
      </c>
      <c r="H93" s="69" t="s">
        <v>457</v>
      </c>
      <c r="I93" s="69" t="s">
        <v>330</v>
      </c>
      <c r="J93" s="69" t="s">
        <v>443</v>
      </c>
      <c r="K93" s="69">
        <f>IF(J93="syllables",1,IF(J93="trigrams",2,IF(J93="strings",3,IF(J93="visual array",4,IF(J93="characters",5,IF(J93="letters",6,IF(J93="free forms",7,IF(J93="odors",8,IF(J93="words",9,IF(J93="pictures",10,IF(J93="object pictures",11,IF(J93="faces",12,IF(J93="names",13,IF(J93="idioms",14,IF(J93="grades",15,IF(J93="syllable-digit pairs",16,IF(J93="trigram-word pairs",17,IF(J93="word-digit pairs",18,IF(J93="English-Swahili pairs",19,IF(J93="spatial position",20,IF(J93="word pairs",21,IF(J93="word triads",22,IF(J93="generated words",23,IF(J93="word definition pairs",24,IF(J93="math problems",25,IF(J93="famous faces",26,IF(J93="famous names",27,IF(J93="famous voices",28,IF(J93="television programs",29,IF(J93="race horses",30,IF(J93="new vocabulary",31,IF(J93="sentences",32,IF(J93="concepts",33,IF(J93="ad slides",34,IF(J93="scenes",35,IF(J93="famous scenes",36,IF(J93="poems",37,IF(J93="walk",38,IF(J93="faces and events",39,IF(J93="events and names",40,IF(J93="flashbulb",41,IF(J93="stories",42,IF(J93="course material",43,IF(J93="autobiographical",44,IF(J93="novels",45,IF(J93="public events",46,"99"))))))))))))))))))))))))))))))))))))))))))))))</f>
        <v>2</v>
      </c>
      <c r="L93" s="69">
        <f>IF(J93="syllables",1,IF(J93="trigrams",1,IF(J93="strings",1,IF(J93="visual array",1,IF(J93="characters",1,IF(J93="letters",1,IF(J93="free forms",1,IF(J93="odors",2,IF(J93="words",2,IF(J93="pictures",2,IF(J93="object pictures",2,IF(J93="faces",2,IF(J93="names",2,IF(J93="idioms","2",IF(J93="grades",2,IF(J93="syllable-digit pairs",3,IF(J93="trigram-word pairs",3,IF(J93="word-digit pairs",3,IF(J93="English-Swahili pairs",3,IF(J93="spatial position",3,IF(J93="word pairs",4,IF(J93="word triads",4,IF(J93="generated words",4,IF(J93="word definition pairs",4,IF(J93="math problems",4,IF(J93="famous faces",4,IF(J93="famous names",4,IF(J93="famous voices",4,IF(J93="television programs",4,IF(J93="race horses",4,IF(J93="new vocabulary",4,IF(J93="sentences",5,IF(J93="concepts",5,IF(J93="ad slides",5,IF(J93="scenes",5,IF(J93="famous scenes",5,IF(J93="poems",6,IF(J93="walk",6,IF(J93="faces and events",6,IF(J93="events and names",6,IF(J93="flashbulb",7,IF(J93="stories",7,IF(J93="course material",7,IF(J93="autobiographical",7,IF(J93="novels",7,IF(J93="public events",7,"99"))))))))))))))))))))))))))))))))))))))))))))))</f>
        <v>1</v>
      </c>
      <c r="M93" s="69">
        <v>0</v>
      </c>
      <c r="N93" s="86">
        <v>1</v>
      </c>
      <c r="O93" s="69">
        <v>1</v>
      </c>
      <c r="P93" s="69" t="s">
        <v>53</v>
      </c>
      <c r="Q93" s="69" t="s">
        <v>174</v>
      </c>
      <c r="R93" s="69">
        <f>IF(Q93="Free Recall",1,IF(Q93="Cued Recall",2,IF(Q93="Recognition",3,IF(Q93="Multiple Choice",4,IF(Q93="Savings",5,IF(Q93="Stem Completion",6,IF(Q93="Fragment Completion",7,IF(Q93="anagram solution",8,IF(Q93="Matching",9,IF(Q93="Problem Solving",10,"99"))))))))))</f>
        <v>1</v>
      </c>
      <c r="S93" s="69" t="s">
        <v>49</v>
      </c>
      <c r="T93" s="92" t="s">
        <v>581</v>
      </c>
      <c r="U93" s="60">
        <f>IF(T93="within",1,0)</f>
        <v>1</v>
      </c>
      <c r="V93" s="92">
        <v>50</v>
      </c>
      <c r="W93" s="69">
        <f>F93*V93</f>
        <v>200</v>
      </c>
      <c r="X93" s="69">
        <v>5</v>
      </c>
      <c r="Y93" s="87">
        <f>AV92</f>
        <v>0.01</v>
      </c>
      <c r="Z93" s="69" t="s">
        <v>458</v>
      </c>
      <c r="AA93" s="69">
        <v>60</v>
      </c>
      <c r="AB93" s="69" t="str">
        <f>IF(AA93&lt;60,"1",IF(AA93&lt;=43200,"2",IF(AA93&lt;=777600,"3","4")))</f>
        <v>2</v>
      </c>
      <c r="AC93" s="72">
        <f>AVERAGE(AV92:DA92)</f>
        <v>21.001999999999999</v>
      </c>
      <c r="AD93" s="69" t="str">
        <f>IF(AC93&lt;60,"1",IF(AC93&lt;=43200,"2",IF(AC93&lt;=777600,"3","4")))</f>
        <v>1</v>
      </c>
      <c r="AE93" s="87">
        <f>AA93-Y93</f>
        <v>59.99</v>
      </c>
      <c r="AF93" s="88">
        <f>AV93</f>
        <v>1</v>
      </c>
      <c r="AG93" s="72">
        <f>((AW93-AV93)+(AX93-AW93)+(AY93-AX93)+(AZ93-AY93))/4</f>
        <v>-0.13250000000000001</v>
      </c>
      <c r="AH93" s="4"/>
      <c r="AI93" s="72">
        <f>RSQ(AV93:AZ93,AV92:AZ92)</f>
        <v>0.73923138843760217</v>
      </c>
      <c r="AJ93" s="110">
        <f>SLOPE(AV93:AZ93,AV92:AZ92)</f>
        <v>-7.3719734045752262E-3</v>
      </c>
      <c r="AK93" s="72">
        <f>INTERCEPT(AV93:AZ93,AV92:AZ92)</f>
        <v>0.86282618544288892</v>
      </c>
      <c r="AL93" s="72">
        <f>INDEX(LINEST(LN(AV93:AZ93),LN(AV92:AZ92),TRUE,TRUE),3,1)</f>
        <v>0.76294483860737761</v>
      </c>
      <c r="AM93" s="72">
        <f>INDEX(LINEST(LN(AV93:AZ93),LN(AV92:AZ92)),1)</f>
        <v>-7.4822670105094274E-2</v>
      </c>
      <c r="AN93" s="72">
        <f>EXP(INDEX(LINEST(LN(AV93:AZ93),LN(AV92:AZ92)),1,2))</f>
        <v>0.75664242482323996</v>
      </c>
      <c r="AO93" s="89">
        <f>INDEX(LINEST((AV93:AZ93),LN(AV92:AZ92),TRUE,TRUE),3,1)</f>
        <v>0.82852948655984682</v>
      </c>
      <c r="AP93" s="89">
        <f>INDEX(LINEST((AV93:AZ93),LN(AV92:AZ92)),1)</f>
        <v>-5.5309198655963475E-2</v>
      </c>
      <c r="AQ93" s="90">
        <f>INDEX(LINEST(LN(AV93:AZ93),SQRT(AV92:AZ92),TRUE,TRUE),3,1)</f>
        <v>0.94382396461183071</v>
      </c>
      <c r="AR93" s="117">
        <f>INDEX(LINEST(LN(AV93:AZ93),SQRT((AV92:AZ92))),1)</f>
        <v>-9.7762520053356769E-2</v>
      </c>
      <c r="AS93" s="91">
        <f>INDEX(LINEST(1/(AV93:AZ93),1/(SQRT(AV92:AZ92)),TRUE,TRUE),3,1)</f>
        <v>0.45156580980982103</v>
      </c>
      <c r="AT93" s="91">
        <f>INDEX(LINEST(1/(AV93:AZ93),1/SQRT(AV92:AZ92)),1)</f>
        <v>-6.8181227981727516E-2</v>
      </c>
      <c r="AU93" s="4"/>
      <c r="AV93" s="73">
        <v>1</v>
      </c>
      <c r="AW93" s="73">
        <v>0.84</v>
      </c>
      <c r="AX93" s="73">
        <v>0.64</v>
      </c>
      <c r="AY93" s="73">
        <v>0.59</v>
      </c>
      <c r="AZ93" s="73">
        <v>0.47</v>
      </c>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53"/>
      <c r="CD93" s="53"/>
      <c r="CE93" s="53"/>
      <c r="CF93" s="53"/>
      <c r="CG93" s="53"/>
      <c r="CH93" s="53"/>
      <c r="CI93" s="53"/>
      <c r="CJ93" s="53"/>
      <c r="CK93" s="53"/>
      <c r="CL93" s="53"/>
      <c r="CM93" s="53"/>
      <c r="CN93" s="53"/>
      <c r="CO93" s="53"/>
      <c r="CP93" s="53"/>
      <c r="CQ93" s="53"/>
      <c r="CR93" s="1"/>
      <c r="CS93" s="1"/>
      <c r="CT93" s="1"/>
      <c r="CU93" s="1"/>
    </row>
    <row r="94" spans="1:99" s="13" customFormat="1" ht="12" customHeight="1" x14ac:dyDescent="0.2">
      <c r="A94" s="68">
        <v>43902</v>
      </c>
      <c r="B94" s="70"/>
      <c r="C94" s="70"/>
      <c r="D94" s="69"/>
      <c r="E94" s="87"/>
      <c r="F94" s="69"/>
      <c r="G94" s="69"/>
      <c r="H94" s="69"/>
      <c r="I94" s="69"/>
      <c r="J94" s="69"/>
      <c r="K94" s="107"/>
      <c r="L94" s="107"/>
      <c r="M94" s="69"/>
      <c r="N94" s="86"/>
      <c r="O94" s="69"/>
      <c r="P94" s="69"/>
      <c r="Q94" s="69"/>
      <c r="R94" s="69"/>
      <c r="S94" s="69"/>
      <c r="T94" s="92"/>
      <c r="U94" s="60"/>
      <c r="V94" s="69"/>
      <c r="W94" s="69"/>
      <c r="X94" s="69"/>
      <c r="Y94" s="87"/>
      <c r="Z94" s="69"/>
      <c r="AA94" s="69"/>
      <c r="AB94" s="69"/>
      <c r="AC94" s="69"/>
      <c r="AD94" s="69"/>
      <c r="AE94" s="69"/>
      <c r="AF94" s="88"/>
      <c r="AG94" s="72"/>
      <c r="AH94" s="4"/>
      <c r="AI94" s="72"/>
      <c r="AJ94" s="110"/>
      <c r="AK94" s="72"/>
      <c r="AL94" s="72"/>
      <c r="AM94" s="72"/>
      <c r="AN94" s="72"/>
      <c r="AO94" s="72"/>
      <c r="AP94" s="72"/>
      <c r="AQ94" s="89"/>
      <c r="AR94" s="118"/>
      <c r="AS94" s="89"/>
      <c r="AT94" s="89"/>
      <c r="AU94" s="4"/>
      <c r="AV94" s="73">
        <v>0.01</v>
      </c>
      <c r="AW94" s="71">
        <v>5</v>
      </c>
      <c r="AX94" s="71">
        <v>10</v>
      </c>
      <c r="AY94" s="71">
        <v>30</v>
      </c>
      <c r="AZ94" s="71">
        <v>60</v>
      </c>
      <c r="BA94" s="53"/>
      <c r="BB94" s="53"/>
      <c r="BC94" s="53"/>
      <c r="BD94" s="53"/>
      <c r="BE94" s="53"/>
      <c r="BF94" s="53"/>
      <c r="BG94" s="53"/>
      <c r="BH94" s="53"/>
      <c r="BI94" s="53"/>
      <c r="BJ94" s="53"/>
      <c r="BK94" s="53"/>
      <c r="BL94" s="53"/>
      <c r="BM94" s="53"/>
      <c r="BN94" s="53"/>
      <c r="BO94" s="53"/>
      <c r="BP94" s="53"/>
      <c r="BQ94" s="53"/>
      <c r="BR94" s="53"/>
      <c r="BS94" s="53"/>
      <c r="BT94" s="53"/>
      <c r="BU94" s="53"/>
      <c r="BV94" s="53"/>
      <c r="BW94" s="53"/>
      <c r="BX94" s="53"/>
      <c r="BY94" s="53"/>
      <c r="BZ94" s="53"/>
      <c r="CA94" s="53"/>
      <c r="CB94" s="53"/>
      <c r="CC94" s="53"/>
      <c r="CD94" s="53"/>
      <c r="CE94" s="53"/>
      <c r="CF94" s="53"/>
      <c r="CG94" s="53"/>
      <c r="CH94" s="53"/>
      <c r="CI94" s="53"/>
      <c r="CJ94" s="53"/>
      <c r="CK94" s="53"/>
      <c r="CL94" s="53"/>
      <c r="CM94" s="53"/>
      <c r="CN94" s="53"/>
      <c r="CO94" s="53"/>
      <c r="CP94" s="53"/>
      <c r="CQ94" s="53"/>
      <c r="CR94" s="1"/>
      <c r="CS94" s="1"/>
      <c r="CT94" s="1"/>
      <c r="CU94" s="1"/>
    </row>
    <row r="95" spans="1:99" s="13" customFormat="1" ht="12" customHeight="1" x14ac:dyDescent="0.2">
      <c r="A95" s="68">
        <v>43902</v>
      </c>
      <c r="B95" s="70" t="s">
        <v>456</v>
      </c>
      <c r="C95" s="70" t="s">
        <v>139</v>
      </c>
      <c r="D95" s="69">
        <v>1982</v>
      </c>
      <c r="E95" s="87">
        <v>1</v>
      </c>
      <c r="F95" s="69">
        <v>4</v>
      </c>
      <c r="G95" s="69">
        <v>4</v>
      </c>
      <c r="H95" s="69" t="s">
        <v>459</v>
      </c>
      <c r="I95" s="69" t="s">
        <v>330</v>
      </c>
      <c r="J95" s="69" t="s">
        <v>443</v>
      </c>
      <c r="K95" s="69">
        <f>IF(J95="syllables",1,IF(J95="trigrams",2,IF(J95="strings",3,IF(J95="visual array",4,IF(J95="characters",5,IF(J95="letters",6,IF(J95="free forms",7,IF(J95="odors",8,IF(J95="words",9,IF(J95="pictures",10,IF(J95="object pictures",11,IF(J95="faces",12,IF(J95="names",13,IF(J95="idioms",14,IF(J95="grades",15,IF(J95="syllable-digit pairs",16,IF(J95="trigram-word pairs",17,IF(J95="word-digit pairs",18,IF(J95="English-Swahili pairs",19,IF(J95="spatial position",20,IF(J95="word pairs",21,IF(J95="word triads",22,IF(J95="generated words",23,IF(J95="word definition pairs",24,IF(J95="math problems",25,IF(J95="famous faces",26,IF(J95="famous names",27,IF(J95="famous voices",28,IF(J95="television programs",29,IF(J95="race horses",30,IF(J95="new vocabulary",31,IF(J95="sentences",32,IF(J95="concepts",33,IF(J95="ad slides",34,IF(J95="scenes",35,IF(J95="famous scenes",36,IF(J95="poems",37,IF(J95="walk",38,IF(J95="faces and events",39,IF(J95="events and names",40,IF(J95="flashbulb",41,IF(J95="stories",42,IF(J95="course material",43,IF(J95="autobiographical",44,IF(J95="novels",45,IF(J95="public events",46,"99"))))))))))))))))))))))))))))))))))))))))))))))</f>
        <v>2</v>
      </c>
      <c r="L95" s="69">
        <f>IF(J95="syllables",1,IF(J95="trigrams",1,IF(J95="strings",1,IF(J95="visual array",1,IF(J95="characters",1,IF(J95="letters",1,IF(J95="free forms",1,IF(J95="odors",2,IF(J95="words",2,IF(J95="pictures",2,IF(J95="object pictures",2,IF(J95="faces",2,IF(J95="names",2,IF(J95="idioms","2",IF(J95="grades",2,IF(J95="syllable-digit pairs",3,IF(J95="trigram-word pairs",3,IF(J95="word-digit pairs",3,IF(J95="English-Swahili pairs",3,IF(J95="spatial position",3,IF(J95="word pairs",4,IF(J95="word triads",4,IF(J95="generated words",4,IF(J95="word definition pairs",4,IF(J95="math problems",4,IF(J95="famous faces",4,IF(J95="famous names",4,IF(J95="famous voices",4,IF(J95="television programs",4,IF(J95="race horses",4,IF(J95="new vocabulary",4,IF(J95="sentences",5,IF(J95="concepts",5,IF(J95="ad slides",5,IF(J95="scenes",5,IF(J95="famous scenes",5,IF(J95="poems",6,IF(J95="walk",6,IF(J95="faces and events",6,IF(J95="events and names",6,IF(J95="flashbulb",7,IF(J95="stories",7,IF(J95="course material",7,IF(J95="autobiographical",7,IF(J95="novels",7,IF(J95="public events",7,"99"))))))))))))))))))))))))))))))))))))))))))))))</f>
        <v>1</v>
      </c>
      <c r="M95" s="69">
        <v>0</v>
      </c>
      <c r="N95" s="86">
        <v>1</v>
      </c>
      <c r="O95" s="69">
        <v>1</v>
      </c>
      <c r="P95" s="69" t="s">
        <v>53</v>
      </c>
      <c r="Q95" s="69" t="s">
        <v>174</v>
      </c>
      <c r="R95" s="69">
        <f>IF(Q95="Free Recall",1,IF(Q95="Cued Recall",2,IF(Q95="Recognition",3,IF(Q95="Multiple Choice",4,IF(Q95="Savings",5,IF(Q95="Stem Completion",6,IF(Q95="Fragment Completion",7,IF(Q95="anagram solution",8,IF(Q95="Matching",9,IF(Q95="Problem Solving",10,"99"))))))))))</f>
        <v>1</v>
      </c>
      <c r="S95" s="69" t="s">
        <v>49</v>
      </c>
      <c r="T95" s="92" t="s">
        <v>581</v>
      </c>
      <c r="U95" s="60">
        <f>IF(T95="within",1,0)</f>
        <v>1</v>
      </c>
      <c r="V95" s="92">
        <v>50</v>
      </c>
      <c r="W95" s="69">
        <f>F95*V95</f>
        <v>200</v>
      </c>
      <c r="X95" s="69">
        <v>5</v>
      </c>
      <c r="Y95" s="87">
        <f>AV94</f>
        <v>0.01</v>
      </c>
      <c r="Z95" s="69" t="s">
        <v>458</v>
      </c>
      <c r="AA95" s="69">
        <v>60</v>
      </c>
      <c r="AB95" s="69" t="str">
        <f>IF(AA95&lt;60,"1",IF(AA95&lt;=43200,"2",IF(AA95&lt;=777600,"3","4")))</f>
        <v>2</v>
      </c>
      <c r="AC95" s="72">
        <f>AVERAGE(AV94:DA94)</f>
        <v>21.001999999999999</v>
      </c>
      <c r="AD95" s="69" t="str">
        <f>IF(AC95&lt;60,"1",IF(AC95&lt;=43200,"2",IF(AC95&lt;=777600,"3","4")))</f>
        <v>1</v>
      </c>
      <c r="AE95" s="87">
        <f>AA95-Y95</f>
        <v>59.99</v>
      </c>
      <c r="AF95" s="88">
        <f>AV95</f>
        <v>1</v>
      </c>
      <c r="AG95" s="72">
        <f>((AW95-AV95)+(AX95-AW95)+(AY95-AX95)+(AZ95-AY95))/4</f>
        <v>-0.13250000000000001</v>
      </c>
      <c r="AH95" s="4"/>
      <c r="AI95" s="72">
        <f>RSQ(AV95:AZ95,AV94:AZ94)</f>
        <v>0.66758856900889552</v>
      </c>
      <c r="AJ95" s="110">
        <f>SLOPE(AV95:AZ95,AV94:AZ94)</f>
        <v>-7.4173201161418069E-3</v>
      </c>
      <c r="AK95" s="72">
        <f>INTERCEPT(AV95:AZ95,AV94:AZ94)</f>
        <v>0.83577855707921023</v>
      </c>
      <c r="AL95" s="72">
        <f>INDEX(LINEST(LN(AV95:AZ95),LN(AV94:AZ94),TRUE,TRUE),3,1)</f>
        <v>0.8022534315037313</v>
      </c>
      <c r="AM95" s="72">
        <f>INDEX(LINEST(LN(AV95:AZ95),LN(AV94:AZ94)),1)</f>
        <v>-8.2642429220752947E-2</v>
      </c>
      <c r="AN95" s="72">
        <f>EXP(INDEX(LINEST(LN(AV95:AZ95),LN(AV94:AZ94)),1,2))</f>
        <v>0.72982388025851708</v>
      </c>
      <c r="AO95" s="89">
        <f>INDEX(LINEST((AV95:AZ95),LN(AV94:AZ94),TRUE,TRUE),3,1)</f>
        <v>0.86018627910329093</v>
      </c>
      <c r="AP95" s="89">
        <f>INDEX(LINEST((AV95:AZ95),LN(AV94:AZ94)),1)</f>
        <v>-5.9667611548141569E-2</v>
      </c>
      <c r="AQ95" s="90">
        <f>INDEX(LINEST(LN(AV95:AZ95),SQRT(AV94:AZ94),TRUE,TRUE),3,1)</f>
        <v>0.91848341773649833</v>
      </c>
      <c r="AR95" s="117">
        <f>INDEX(LINEST(LN(AV95:AZ95),SQRT((AV94:AZ94))),1)</f>
        <v>-0.10387790877345761</v>
      </c>
      <c r="AS95" s="91">
        <f>INDEX(LINEST(1/(AV95:AZ95),1/(SQRT(AV94:AZ94)),TRUE,TRUE),3,1)</f>
        <v>0.50321258863825424</v>
      </c>
      <c r="AT95" s="91">
        <f>INDEX(LINEST(1/(AV95:AZ95),1/SQRT(AV94:AZ94)),1)</f>
        <v>-7.8649935252203346E-2</v>
      </c>
      <c r="AU95" s="4"/>
      <c r="AV95" s="73">
        <v>1</v>
      </c>
      <c r="AW95" s="73">
        <v>0.81</v>
      </c>
      <c r="AX95" s="73">
        <v>0.62</v>
      </c>
      <c r="AY95" s="73">
        <v>0.5</v>
      </c>
      <c r="AZ95" s="73">
        <v>0.47</v>
      </c>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53"/>
      <c r="CD95" s="53"/>
      <c r="CE95" s="53"/>
      <c r="CF95" s="53"/>
      <c r="CG95" s="53"/>
      <c r="CH95" s="53"/>
      <c r="CI95" s="53"/>
      <c r="CJ95" s="53"/>
      <c r="CK95" s="53"/>
      <c r="CL95" s="53"/>
      <c r="CM95" s="53"/>
      <c r="CN95" s="53"/>
      <c r="CO95" s="53"/>
      <c r="CP95" s="53"/>
      <c r="CQ95" s="53"/>
      <c r="CR95" s="1"/>
      <c r="CS95" s="1"/>
      <c r="CT95" s="1"/>
      <c r="CU95" s="1"/>
    </row>
    <row r="96" spans="1:99" s="13" customFormat="1" ht="12" customHeight="1" x14ac:dyDescent="0.2">
      <c r="A96" s="65">
        <v>43509</v>
      </c>
      <c r="B96" s="1"/>
      <c r="C96" s="1"/>
      <c r="D96" s="60"/>
      <c r="E96" s="76"/>
      <c r="F96" s="60"/>
      <c r="G96" s="60"/>
      <c r="H96" s="60"/>
      <c r="I96" s="60"/>
      <c r="J96" s="60"/>
      <c r="K96" s="64"/>
      <c r="L96" s="64"/>
      <c r="M96" s="60"/>
      <c r="N96" s="60"/>
      <c r="O96" s="60"/>
      <c r="P96" s="60"/>
      <c r="Q96" s="60"/>
      <c r="R96" s="60"/>
      <c r="S96" s="60"/>
      <c r="T96" s="59"/>
      <c r="U96" s="60"/>
      <c r="V96" s="59"/>
      <c r="W96" s="60"/>
      <c r="X96" s="60"/>
      <c r="Y96" s="76"/>
      <c r="Z96" s="60"/>
      <c r="AA96" s="60"/>
      <c r="AB96" s="60"/>
      <c r="AC96" s="60"/>
      <c r="AD96" s="60"/>
      <c r="AE96" s="60"/>
      <c r="AF96" s="80"/>
      <c r="AG96" s="56"/>
      <c r="AH96" s="4"/>
      <c r="AI96" s="82"/>
      <c r="AJ96" s="115"/>
      <c r="AK96" s="82"/>
      <c r="AL96" s="82"/>
      <c r="AM96" s="82"/>
      <c r="AN96" s="82"/>
      <c r="AO96" s="82"/>
      <c r="AP96" s="56"/>
      <c r="AQ96" s="56"/>
      <c r="AR96" s="109"/>
      <c r="AS96" s="56"/>
      <c r="AT96" s="56"/>
      <c r="AU96" s="4"/>
      <c r="AV96" s="26">
        <v>6</v>
      </c>
      <c r="AW96" s="26">
        <f>10*60</f>
        <v>600</v>
      </c>
      <c r="AX96" s="26">
        <f>20*60</f>
        <v>1200</v>
      </c>
      <c r="AY96" s="26">
        <f>40*60</f>
        <v>2400</v>
      </c>
      <c r="AZ96" s="26">
        <f>60*60</f>
        <v>3600</v>
      </c>
      <c r="BA96" s="16"/>
      <c r="BB96" s="1"/>
      <c r="BC96" s="53"/>
      <c r="BD96" s="53"/>
      <c r="BE96" s="53"/>
      <c r="BF96" s="53"/>
      <c r="BG96" s="53"/>
      <c r="BH96" s="53"/>
      <c r="BI96" s="53"/>
      <c r="BJ96" s="53"/>
      <c r="BK96" s="53"/>
      <c r="BL96" s="53"/>
      <c r="BM96" s="53"/>
      <c r="BN96" s="53"/>
      <c r="BO96" s="53"/>
      <c r="BP96" s="53"/>
      <c r="BQ96" s="53"/>
      <c r="BR96" s="53"/>
      <c r="BS96" s="53"/>
      <c r="BT96" s="53"/>
      <c r="BU96" s="53"/>
      <c r="BV96" s="53"/>
      <c r="BW96" s="53"/>
      <c r="BX96" s="53"/>
      <c r="BY96" s="53"/>
      <c r="BZ96" s="53"/>
      <c r="CA96" s="53"/>
      <c r="CB96" s="53"/>
      <c r="CC96" s="53"/>
      <c r="CD96" s="53"/>
      <c r="CE96" s="53"/>
      <c r="CF96" s="53"/>
      <c r="CG96" s="53"/>
      <c r="CH96" s="53"/>
      <c r="CI96" s="53"/>
      <c r="CJ96" s="53"/>
      <c r="CK96" s="53"/>
      <c r="CL96" s="53"/>
      <c r="CM96" s="53"/>
      <c r="CN96" s="53"/>
      <c r="CO96" s="53"/>
      <c r="CP96" s="53"/>
      <c r="CQ96" s="53"/>
      <c r="CR96" s="1"/>
      <c r="CS96" s="1"/>
      <c r="CT96" s="1"/>
      <c r="CU96" s="1"/>
    </row>
    <row r="97" spans="1:99" s="13" customFormat="1" ht="12" customHeight="1" x14ac:dyDescent="0.2">
      <c r="A97" s="65">
        <v>43509</v>
      </c>
      <c r="B97" s="1" t="s">
        <v>296</v>
      </c>
      <c r="C97" s="1" t="s">
        <v>288</v>
      </c>
      <c r="D97" s="60">
        <v>1941</v>
      </c>
      <c r="E97" s="76">
        <v>1</v>
      </c>
      <c r="F97" s="60">
        <v>15</v>
      </c>
      <c r="G97" s="60">
        <v>15</v>
      </c>
      <c r="H97" s="60" t="s">
        <v>22</v>
      </c>
      <c r="I97" s="60" t="s">
        <v>862</v>
      </c>
      <c r="J97" s="60" t="s">
        <v>281</v>
      </c>
      <c r="K97" s="60">
        <f>IF(J97="syllables",1,IF(J97="trigrams",2,IF(J97="strings",3,IF(J97="visual array",4,IF(J97="characters",5,IF(J97="letters",6,IF(J97="free forms",7,IF(J97="odors",8,IF(J97="words",9,IF(J97="pictures",10,IF(J97="object pictures",11,IF(J97="faces",12,IF(J97="names",13,IF(J97="idioms",14,IF(J97="grades",15,IF(J97="syllable-digit pairs",16,IF(J97="trigram-word pairs",17,IF(J97="word-digit pairs",18,IF(J97="English-Swahili pairs",19,IF(J97="spatial position",20,IF(J97="word pairs",21,IF(J97="word triads",22,IF(J97="generated words",23,IF(J97="word definition pairs",24,IF(J97="math problems",25,IF(J97="famous faces",26,IF(J97="famous names",27,IF(J97="famous voices",28,IF(J97="television programs",29,IF(J97="race horses",30,IF(J97="new vocabulary",31,IF(J97="sentences",32,IF(J97="concepts",33,IF(J97="ad slides",34,IF(J97="scenes",35,IF(J97="famous scenes",36,IF(J97="poems",37,IF(J97="walk",38,IF(J97="faces and events",39,IF(J97="events and names",40,IF(J97="flashbulb",41,IF(J97="stories",42,IF(J97="course material",43,IF(J97="autobiographical",44,IF(J97="novels",45,IF(J97="public events",46,"99"))))))))))))))))))))))))))))))))))))))))))))))</f>
        <v>1</v>
      </c>
      <c r="L97" s="60">
        <f>IF(J97="syllables",1,IF(J97="trigrams",1,IF(J97="strings",1,IF(J97="visual array",1,IF(J97="characters",1,IF(J97="letters",1,IF(J97="free forms",1,IF(J97="odors",2,IF(J97="words",2,IF(J97="pictures",2,IF(J97="object pictures",2,IF(J97="faces",2,IF(J97="names",2,IF(J97="idioms","2",IF(J97="grades",2,IF(J97="syllable-digit pairs",3,IF(J97="trigram-word pairs",3,IF(J97="word-digit pairs",3,IF(J97="English-Swahili pairs",3,IF(J97="spatial position",3,IF(J97="word pairs",4,IF(J97="word triads",4,IF(J97="generated words",4,IF(J97="word definition pairs",4,IF(J97="math problems",4,IF(J97="famous faces",4,IF(J97="famous names",4,IF(J97="famous voices",4,IF(J97="television programs",4,IF(J97="race horses",4,IF(J97="new vocabulary",4,IF(J97="sentences",5,IF(J97="concepts",5,IF(J97="ad slides",5,IF(J97="scenes",5,IF(J97="famous scenes",5,IF(J97="poems",6,IF(J97="walk",6,IF(J97="faces and events",6,IF(J97="events and names",6,IF(J97="flashbulb",7,IF(J97="stories",7,IF(J97="course material",7,IF(J97="autobiographical",7,IF(J97="novels",7,IF(J97="public events",7,"99"))))))))))))))))))))))))))))))))))))))))))))))</f>
        <v>1</v>
      </c>
      <c r="M97" s="60">
        <v>1</v>
      </c>
      <c r="N97" s="60">
        <v>2</v>
      </c>
      <c r="O97" s="60">
        <v>1</v>
      </c>
      <c r="P97" s="60" t="s">
        <v>293</v>
      </c>
      <c r="Q97" s="60" t="s">
        <v>174</v>
      </c>
      <c r="R97" s="60">
        <f>IF(Q97="Free Recall",1,IF(Q97="Cued Recall",2,IF(Q97="Recognition",3,IF(Q97="Multiple Choice",4,IF(Q97="Savings",5,IF(Q97="Stem Completion",6,IF(Q97="Fragment Completion",7,IF(Q97="anagram solution",8,IF(Q97="Matching",9,IF(Q97="Problem Solving",10,"99"))))))))))</f>
        <v>1</v>
      </c>
      <c r="S97" s="60" t="s">
        <v>295</v>
      </c>
      <c r="T97" s="59" t="s">
        <v>581</v>
      </c>
      <c r="U97" s="60">
        <f>IF(T97="within",1,0)</f>
        <v>1</v>
      </c>
      <c r="V97" s="59">
        <v>12</v>
      </c>
      <c r="W97" s="60">
        <f>F97*V97</f>
        <v>180</v>
      </c>
      <c r="X97" s="60">
        <v>5</v>
      </c>
      <c r="Y97" s="76">
        <f>AV96</f>
        <v>6</v>
      </c>
      <c r="Z97" s="60" t="s">
        <v>294</v>
      </c>
      <c r="AA97" s="61">
        <f>60*60</f>
        <v>3600</v>
      </c>
      <c r="AB97" s="60" t="str">
        <f>IF(AA97&lt;60,"1",IF(AA97&lt;=43200,"2",IF(AA97&lt;=777600,"3","4")))</f>
        <v>2</v>
      </c>
      <c r="AC97" s="56">
        <f t="shared" ref="AC97" si="0">AVERAGE(AV96:DA96)</f>
        <v>1561.2</v>
      </c>
      <c r="AD97" s="60" t="str">
        <f>IF(AC97&lt;60,"1",IF(AC97&lt;=43200,"2",IF(AC97&lt;=777600,"3","4")))</f>
        <v>2</v>
      </c>
      <c r="AE97" s="76">
        <f>AA97-Y97</f>
        <v>3594</v>
      </c>
      <c r="AF97" s="80">
        <f>AV97</f>
        <v>0.69916666666666671</v>
      </c>
      <c r="AG97" s="56">
        <f>((AW97-AV97)+(AX97-AW97)+(AY97-AX97)+(AZ97-AY97))/4</f>
        <v>-8.9375000000000024E-2</v>
      </c>
      <c r="AH97" s="4"/>
      <c r="AI97" s="56">
        <f>RSQ(AV97:AZ97,AV96:AZ96)</f>
        <v>0.60241335358575809</v>
      </c>
      <c r="AJ97" s="109">
        <f>SLOPE(AV97:AZ97,AV96:AZ96)</f>
        <v>-7.5233981488841524E-5</v>
      </c>
      <c r="AK97" s="56">
        <f>INTERCEPT(AV97:AZ97,AV96:AZ96)</f>
        <v>0.57462195856704612</v>
      </c>
      <c r="AL97" s="56">
        <f>INDEX(LINEST(LN(AV97:AZ97),LN(AV96:AZ96),TRUE,TRUE),3,1)</f>
        <v>0.96745072875362481</v>
      </c>
      <c r="AM97" s="56">
        <f>INDEX(LINEST(LN(AV97:AZ97),LN(AV96:AZ96)),1)</f>
        <v>-0.10339978263300202</v>
      </c>
      <c r="AN97" s="56">
        <f>EXP(INDEX(LINEST(LN(AV97:AZ97),LN(AV96:AZ96)),1,2))</f>
        <v>0.84501004616714237</v>
      </c>
      <c r="AO97" s="82">
        <f>INDEX(LINEST((AV97:AZ97),LN(AV96:AZ96),TRUE,TRUE),3,1)</f>
        <v>0.98069490695211914</v>
      </c>
      <c r="AP97" s="82">
        <f>INDEX(LINEST((AV97:AZ97),LN(AV96:AZ96)),1)</f>
        <v>-5.3614843143373551E-2</v>
      </c>
      <c r="AQ97" s="83">
        <f t="shared" ref="AQ97" si="1">INDEX(LINEST(LN(AV97:AZ97),SQRT(AV96:AZ96),TRUE,TRUE),3,1)</f>
        <v>0.87513608671017884</v>
      </c>
      <c r="AR97" s="116">
        <f t="shared" ref="AR97" si="2">INDEX(LINEST(LN(AV97:AZ97),SQRT((AV96:AZ96))),1)</f>
        <v>-1.140305194102547E-2</v>
      </c>
      <c r="AS97" s="84">
        <f t="shared" ref="AS97" si="3">INDEX(LINEST(1/(AV97:AZ97),1/(SQRT(AV96:AZ96)),TRUE,TRUE),3,1)</f>
        <v>0.83982780555477865</v>
      </c>
      <c r="AT97" s="84">
        <f t="shared" ref="AT97" si="4">INDEX(LINEST(1/(AV97:AZ97),1/SQRT(AV96:AZ96)),1)</f>
        <v>-2.9670874246587711</v>
      </c>
      <c r="AU97" s="4"/>
      <c r="AV97" s="53">
        <f>8.39/12</f>
        <v>0.69916666666666671</v>
      </c>
      <c r="AW97" s="53">
        <f>5.07/12</f>
        <v>0.42250000000000004</v>
      </c>
      <c r="AX97" s="53">
        <f>5.2/12</f>
        <v>0.43333333333333335</v>
      </c>
      <c r="AY97" s="53">
        <f>4.67/12</f>
        <v>0.38916666666666666</v>
      </c>
      <c r="AZ97" s="53">
        <f>4.1/12</f>
        <v>0.34166666666666662</v>
      </c>
      <c r="BA97" s="16"/>
      <c r="BB97" s="1"/>
      <c r="BC97" s="53"/>
      <c r="BD97" s="53"/>
      <c r="BE97" s="53"/>
      <c r="BF97" s="53"/>
      <c r="BG97" s="53"/>
      <c r="BH97" s="53"/>
      <c r="BI97" s="53"/>
      <c r="BJ97" s="53"/>
      <c r="BK97" s="53"/>
      <c r="BL97" s="53"/>
      <c r="BM97" s="53"/>
      <c r="BN97" s="53"/>
      <c r="BO97" s="53"/>
      <c r="BP97" s="53"/>
      <c r="BQ97" s="53"/>
      <c r="BR97" s="53"/>
      <c r="BS97" s="53"/>
      <c r="BT97" s="53"/>
      <c r="BU97" s="53"/>
      <c r="BV97" s="53"/>
      <c r="BW97" s="53"/>
      <c r="BX97" s="53"/>
      <c r="BY97" s="53"/>
      <c r="BZ97" s="53"/>
      <c r="CA97" s="53"/>
      <c r="CB97" s="53"/>
      <c r="CC97" s="53"/>
      <c r="CD97" s="53"/>
      <c r="CE97" s="53"/>
      <c r="CF97" s="53"/>
      <c r="CG97" s="53"/>
      <c r="CH97" s="53"/>
      <c r="CI97" s="53"/>
      <c r="CJ97" s="53"/>
      <c r="CK97" s="53"/>
      <c r="CL97" s="53"/>
      <c r="CM97" s="53"/>
      <c r="CN97" s="53"/>
      <c r="CO97" s="53"/>
      <c r="CP97" s="53"/>
      <c r="CQ97" s="53"/>
      <c r="CR97" s="1"/>
      <c r="CS97" s="1"/>
      <c r="CT97" s="1"/>
      <c r="CU97" s="1"/>
    </row>
    <row r="98" spans="1:99" s="13" customFormat="1" ht="12" customHeight="1" x14ac:dyDescent="0.2">
      <c r="A98" s="65">
        <v>43509</v>
      </c>
      <c r="B98" s="1"/>
      <c r="C98" s="1"/>
      <c r="D98" s="60"/>
      <c r="E98" s="76"/>
      <c r="F98" s="60"/>
      <c r="G98" s="60"/>
      <c r="H98" s="60"/>
      <c r="I98" s="60"/>
      <c r="J98" s="60"/>
      <c r="K98" s="64"/>
      <c r="L98" s="64"/>
      <c r="M98" s="60"/>
      <c r="N98" s="60"/>
      <c r="O98" s="60"/>
      <c r="P98" s="60"/>
      <c r="Q98" s="60"/>
      <c r="R98" s="60"/>
      <c r="S98" s="60"/>
      <c r="T98" s="59"/>
      <c r="U98" s="60"/>
      <c r="V98" s="59"/>
      <c r="W98" s="60"/>
      <c r="X98" s="60"/>
      <c r="Y98" s="76"/>
      <c r="Z98" s="60"/>
      <c r="AA98" s="60"/>
      <c r="AB98" s="60"/>
      <c r="AC98" s="60"/>
      <c r="AD98" s="60"/>
      <c r="AE98" s="60"/>
      <c r="AF98" s="80"/>
      <c r="AG98" s="56"/>
      <c r="AH98" s="4"/>
      <c r="AI98" s="82"/>
      <c r="AJ98" s="115"/>
      <c r="AK98" s="82"/>
      <c r="AL98" s="82"/>
      <c r="AM98" s="82"/>
      <c r="AN98" s="82"/>
      <c r="AO98" s="82"/>
      <c r="AP98" s="56"/>
      <c r="AQ98" s="56"/>
      <c r="AR98" s="109"/>
      <c r="AS98" s="56"/>
      <c r="AT98" s="56"/>
      <c r="AU98" s="4"/>
      <c r="AV98" s="26">
        <v>6</v>
      </c>
      <c r="AW98" s="26">
        <f>10*60</f>
        <v>600</v>
      </c>
      <c r="AX98" s="26">
        <f>20*60</f>
        <v>1200</v>
      </c>
      <c r="AY98" s="26">
        <f>40*60</f>
        <v>2400</v>
      </c>
      <c r="AZ98" s="26">
        <f>60*60</f>
        <v>3600</v>
      </c>
      <c r="BA98" s="16"/>
      <c r="BB98" s="1"/>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53"/>
      <c r="CD98" s="53"/>
      <c r="CE98" s="53"/>
      <c r="CF98" s="53"/>
      <c r="CG98" s="53"/>
      <c r="CH98" s="53"/>
      <c r="CI98" s="53"/>
      <c r="CJ98" s="53"/>
      <c r="CK98" s="53"/>
      <c r="CL98" s="53"/>
      <c r="CM98" s="53"/>
      <c r="CN98" s="53"/>
      <c r="CO98" s="53"/>
      <c r="CP98" s="53"/>
      <c r="CQ98" s="53"/>
      <c r="CR98" s="1"/>
      <c r="CS98" s="1"/>
      <c r="CT98" s="1"/>
      <c r="CU98" s="1"/>
    </row>
    <row r="99" spans="1:99" s="13" customFormat="1" ht="12" customHeight="1" x14ac:dyDescent="0.2">
      <c r="A99" s="65">
        <v>43509</v>
      </c>
      <c r="B99" s="1" t="s">
        <v>296</v>
      </c>
      <c r="C99" s="1" t="s">
        <v>288</v>
      </c>
      <c r="D99" s="60">
        <v>1941</v>
      </c>
      <c r="E99" s="76">
        <v>1</v>
      </c>
      <c r="F99" s="60">
        <v>15</v>
      </c>
      <c r="G99" s="60">
        <v>15</v>
      </c>
      <c r="H99" s="60" t="s">
        <v>22</v>
      </c>
      <c r="I99" s="60" t="s">
        <v>863</v>
      </c>
      <c r="J99" s="60" t="s">
        <v>281</v>
      </c>
      <c r="K99" s="60">
        <f>IF(J99="syllables",1,IF(J99="trigrams",2,IF(J99="strings",3,IF(J99="visual array",4,IF(J99="characters",5,IF(J99="letters",6,IF(J99="free forms",7,IF(J99="odors",8,IF(J99="words",9,IF(J99="pictures",10,IF(J99="object pictures",11,IF(J99="faces",12,IF(J99="names",13,IF(J99="idioms",14,IF(J99="grades",15,IF(J99="syllable-digit pairs",16,IF(J99="trigram-word pairs",17,IF(J99="word-digit pairs",18,IF(J99="English-Swahili pairs",19,IF(J99="spatial position",20,IF(J99="word pairs",21,IF(J99="word triads",22,IF(J99="generated words",23,IF(J99="word definition pairs",24,IF(J99="math problems",25,IF(J99="famous faces",26,IF(J99="famous names",27,IF(J99="famous voices",28,IF(J99="television programs",29,IF(J99="race horses",30,IF(J99="new vocabulary",31,IF(J99="sentences",32,IF(J99="concepts",33,IF(J99="ad slides",34,IF(J99="scenes",35,IF(J99="famous scenes",36,IF(J99="poems",37,IF(J99="walk",38,IF(J99="faces and events",39,IF(J99="events and names",40,IF(J99="flashbulb",41,IF(J99="stories",42,IF(J99="course material",43,IF(J99="autobiographical",44,IF(J99="novels",45,IF(J99="public events",46,"99"))))))))))))))))))))))))))))))))))))))))))))))</f>
        <v>1</v>
      </c>
      <c r="L99" s="60">
        <f>IF(J99="syllables",1,IF(J99="trigrams",1,IF(J99="strings",1,IF(J99="visual array",1,IF(J99="characters",1,IF(J99="letters",1,IF(J99="free forms",1,IF(J99="odors",2,IF(J99="words",2,IF(J99="pictures",2,IF(J99="object pictures",2,IF(J99="faces",2,IF(J99="names",2,IF(J99="idioms","2",IF(J99="grades",2,IF(J99="syllable-digit pairs",3,IF(J99="trigram-word pairs",3,IF(J99="word-digit pairs",3,IF(J99="English-Swahili pairs",3,IF(J99="spatial position",3,IF(J99="word pairs",4,IF(J99="word triads",4,IF(J99="generated words",4,IF(J99="word definition pairs",4,IF(J99="math problems",4,IF(J99="famous faces",4,IF(J99="famous names",4,IF(J99="famous voices",4,IF(J99="television programs",4,IF(J99="race horses",4,IF(J99="new vocabulary",4,IF(J99="sentences",5,IF(J99="concepts",5,IF(J99="ad slides",5,IF(J99="scenes",5,IF(J99="famous scenes",5,IF(J99="poems",6,IF(J99="walk",6,IF(J99="faces and events",6,IF(J99="events and names",6,IF(J99="flashbulb",7,IF(J99="stories",7,IF(J99="course material",7,IF(J99="autobiographical",7,IF(J99="novels",7,IF(J99="public events",7,"99"))))))))))))))))))))))))))))))))))))))))))))))</f>
        <v>1</v>
      </c>
      <c r="M99" s="60">
        <v>1</v>
      </c>
      <c r="N99" s="60">
        <v>2</v>
      </c>
      <c r="O99" s="60">
        <v>1</v>
      </c>
      <c r="P99" s="60" t="s">
        <v>293</v>
      </c>
      <c r="Q99" s="60" t="s">
        <v>174</v>
      </c>
      <c r="R99" s="60">
        <f>IF(Q99="Free Recall",1,IF(Q99="Cued Recall",2,IF(Q99="Recognition",3,IF(Q99="Multiple Choice",4,IF(Q99="Savings",5,IF(Q99="Stem Completion",6,IF(Q99="Fragment Completion",7,IF(Q99="anagram solution",8,IF(Q99="Matching",9,IF(Q99="Problem Solving",10,"99"))))))))))</f>
        <v>1</v>
      </c>
      <c r="S99" s="60" t="s">
        <v>295</v>
      </c>
      <c r="T99" s="59" t="s">
        <v>581</v>
      </c>
      <c r="U99" s="60">
        <f>IF(T99="within",1,0)</f>
        <v>1</v>
      </c>
      <c r="V99" s="59">
        <v>12</v>
      </c>
      <c r="W99" s="60">
        <f>F99*V99</f>
        <v>180</v>
      </c>
      <c r="X99" s="60">
        <v>5</v>
      </c>
      <c r="Y99" s="76">
        <f>AV98</f>
        <v>6</v>
      </c>
      <c r="Z99" s="60" t="s">
        <v>294</v>
      </c>
      <c r="AA99" s="61">
        <f>60*60</f>
        <v>3600</v>
      </c>
      <c r="AB99" s="60" t="str">
        <f>IF(AA99&lt;60,"1",IF(AA99&lt;=43200,"2",IF(AA99&lt;=777600,"3","4")))</f>
        <v>2</v>
      </c>
      <c r="AC99" s="56">
        <f t="shared" ref="AC99" si="5">AVERAGE(AV98:DA98)</f>
        <v>1561.2</v>
      </c>
      <c r="AD99" s="60" t="str">
        <f>IF(AC99&lt;60,"1",IF(AC99&lt;=43200,"2",IF(AC99&lt;=777600,"3","4")))</f>
        <v>2</v>
      </c>
      <c r="AE99" s="76">
        <f>AA99-Y99</f>
        <v>3594</v>
      </c>
      <c r="AF99" s="80">
        <f>AV99</f>
        <v>0.53749999999999998</v>
      </c>
      <c r="AG99" s="56">
        <f>((AW99-AV99)+(AX99-AW99)+(AY99-AX99)+(AZ99-AY99))/4</f>
        <v>-6.0833333333333336E-2</v>
      </c>
      <c r="AH99" s="4"/>
      <c r="AI99" s="56">
        <f>RSQ(AV99:AZ99,AV98:AZ98)</f>
        <v>0.60596503771057841</v>
      </c>
      <c r="AJ99" s="109">
        <f>SLOPE(AV99:AZ99,AV98:AZ98)</f>
        <v>-5.4343719987911641E-5</v>
      </c>
      <c r="AK99" s="56">
        <f>INTERCEPT(AV99:AZ99,AV98:AZ98)</f>
        <v>0.44950808231179434</v>
      </c>
      <c r="AL99" s="56">
        <f>INDEX(LINEST(LN(AV99:AZ99),LN(AV98:AZ98),TRUE,TRUE),3,1)</f>
        <v>0.96749036069185634</v>
      </c>
      <c r="AM99" s="56">
        <f>INDEX(LINEST(LN(AV99:AZ99),LN(AV98:AZ98)),1)</f>
        <v>-9.4491566824757581E-2</v>
      </c>
      <c r="AN99" s="56">
        <f>EXP(INDEX(LINEST(LN(AV99:AZ99),LN(AV98:AZ98)),1,2))</f>
        <v>0.64103596022095855</v>
      </c>
      <c r="AO99" s="82">
        <f>INDEX(LINEST((AV99:AZ99),LN(AV98:AZ98),TRUE,TRUE),3,1)</f>
        <v>0.98146286604672761</v>
      </c>
      <c r="AP99" s="82">
        <f>INDEX(LINEST((AV99:AZ99),LN(AV98:AZ98)),1)</f>
        <v>-3.8629033784316091E-2</v>
      </c>
      <c r="AQ99" s="83">
        <f t="shared" ref="AQ99" si="6">INDEX(LINEST(LN(AV99:AZ99),SQRT(AV98:AZ98),TRUE,TRUE),3,1)</f>
        <v>0.87670952420979731</v>
      </c>
      <c r="AR99" s="116">
        <f t="shared" ref="AR99" si="7">INDEX(LINEST(LN(AV99:AZ99),SQRT((AV98:AZ98))),1)</f>
        <v>-1.0429793209391225E-2</v>
      </c>
      <c r="AS99" s="84">
        <f t="shared" ref="AS99" si="8">INDEX(LINEST(1/(AV99:AZ99),1/(SQRT(AV98:AZ98)),TRUE,TRUE),3,1)</f>
        <v>0.84128764631529407</v>
      </c>
      <c r="AT99" s="84">
        <f t="shared" ref="AT99" si="9">INDEX(LINEST(1/(AV99:AZ99),1/SQRT(AV98:AZ98)),1)</f>
        <v>-3.4073636210414557</v>
      </c>
      <c r="AU99" s="4"/>
      <c r="AV99" s="53">
        <f>6.45/12</f>
        <v>0.53749999999999998</v>
      </c>
      <c r="AW99" s="53">
        <f>4.17/12</f>
        <v>0.34749999999999998</v>
      </c>
      <c r="AX99" s="53">
        <f>4.23/12</f>
        <v>0.35250000000000004</v>
      </c>
      <c r="AY99" s="53">
        <f>3.5/12</f>
        <v>0.29166666666666669</v>
      </c>
      <c r="AZ99" s="53">
        <f>3.53/12</f>
        <v>0.29416666666666663</v>
      </c>
      <c r="BA99" s="16"/>
      <c r="BB99" s="1"/>
      <c r="BC99" s="53"/>
      <c r="BD99" s="53"/>
      <c r="BE99" s="53"/>
      <c r="BF99" s="53"/>
      <c r="BG99" s="53"/>
      <c r="BH99" s="53"/>
      <c r="BI99" s="53"/>
      <c r="BJ99" s="53"/>
      <c r="BK99" s="53"/>
      <c r="BL99" s="53"/>
      <c r="BM99" s="53"/>
      <c r="BN99" s="53"/>
      <c r="BO99" s="53"/>
      <c r="BP99" s="53"/>
      <c r="BQ99" s="53"/>
      <c r="BR99" s="53"/>
      <c r="BS99" s="53"/>
      <c r="BT99" s="53"/>
      <c r="BU99" s="53"/>
      <c r="BV99" s="53"/>
      <c r="BW99" s="53"/>
      <c r="BX99" s="53"/>
      <c r="BY99" s="53"/>
      <c r="BZ99" s="53"/>
      <c r="CA99" s="53"/>
      <c r="CB99" s="53"/>
      <c r="CC99" s="53"/>
      <c r="CD99" s="53"/>
      <c r="CE99" s="53"/>
      <c r="CF99" s="53"/>
      <c r="CG99" s="53"/>
      <c r="CH99" s="53"/>
      <c r="CI99" s="53"/>
      <c r="CJ99" s="53"/>
      <c r="CK99" s="53"/>
      <c r="CL99" s="53"/>
      <c r="CM99" s="53"/>
      <c r="CN99" s="53"/>
      <c r="CO99" s="53"/>
      <c r="CP99" s="53"/>
      <c r="CQ99" s="53"/>
      <c r="CR99" s="1"/>
      <c r="CS99" s="1"/>
      <c r="CT99" s="1"/>
      <c r="CU99" s="1"/>
    </row>
    <row r="100" spans="1:99" ht="12" customHeight="1" x14ac:dyDescent="0.2">
      <c r="K100" s="60"/>
      <c r="L100" s="60"/>
      <c r="R100" s="60"/>
      <c r="W100" s="60"/>
      <c r="Y100" s="76"/>
      <c r="AB100" s="60"/>
      <c r="AE100" s="76"/>
      <c r="AF100" s="80"/>
    </row>
    <row r="101" spans="1:99" ht="12" customHeight="1" x14ac:dyDescent="0.2">
      <c r="R101" s="60"/>
      <c r="W101" s="60"/>
      <c r="X101" s="64">
        <f>SUM(X3:X99)</f>
        <v>306</v>
      </c>
      <c r="Y101" s="76"/>
      <c r="AB101" s="60"/>
      <c r="AE101" s="60"/>
      <c r="AF101" s="80"/>
      <c r="AL101" s="167" t="s">
        <v>695</v>
      </c>
      <c r="AM101" s="57">
        <f>AVERAGE(AM3:AM99)</f>
        <v>-0.1873177732850814</v>
      </c>
    </row>
    <row r="102" spans="1:99" ht="12" customHeight="1" x14ac:dyDescent="0.2">
      <c r="K102" s="60"/>
      <c r="L102" s="60"/>
      <c r="R102" s="60"/>
      <c r="W102" s="60"/>
      <c r="Y102" s="76"/>
      <c r="AB102" s="60"/>
      <c r="AE102" s="76"/>
      <c r="AF102" s="80"/>
      <c r="AL102" s="45" t="s">
        <v>1026</v>
      </c>
      <c r="AM102" s="57">
        <f>MEDIAN(AM3:AM99)</f>
        <v>-0.14920548299381145</v>
      </c>
    </row>
    <row r="103" spans="1:99" ht="12" customHeight="1" x14ac:dyDescent="0.2">
      <c r="R103" s="60"/>
      <c r="W103" s="60"/>
      <c r="Y103" s="76"/>
      <c r="AB103" s="60"/>
      <c r="AE103" s="60"/>
      <c r="AF103" s="80"/>
      <c r="AL103" s="167" t="s">
        <v>918</v>
      </c>
      <c r="AM103" s="57">
        <f>MIN(AM3:AM99)</f>
        <v>-0.75462173189743664</v>
      </c>
    </row>
    <row r="104" spans="1:99" ht="12" customHeight="1" x14ac:dyDescent="0.2">
      <c r="K104" s="60"/>
      <c r="L104" s="60"/>
      <c r="R104" s="60"/>
      <c r="W104" s="60"/>
      <c r="Y104" s="76"/>
      <c r="AB104" s="60"/>
      <c r="AE104" s="76"/>
      <c r="AF104" s="80"/>
      <c r="AL104" s="167" t="s">
        <v>917</v>
      </c>
      <c r="AM104" s="57">
        <f>MAX(AM3:AM99)</f>
        <v>-3.157575331899632E-3</v>
      </c>
    </row>
    <row r="105" spans="1:99" ht="12" customHeight="1" x14ac:dyDescent="0.2">
      <c r="R105" s="60"/>
      <c r="W105" s="60"/>
      <c r="Y105" s="76"/>
      <c r="AB105" s="60"/>
      <c r="AE105" s="60"/>
      <c r="AF105" s="80"/>
      <c r="AL105" s="167" t="s">
        <v>919</v>
      </c>
      <c r="AM105" s="64">
        <f xml:space="preserve"> STDEV(AM3:AM99)</f>
        <v>0.17286353736025181</v>
      </c>
    </row>
    <row r="106" spans="1:99" ht="12" customHeight="1" x14ac:dyDescent="0.2">
      <c r="K106" s="60"/>
      <c r="L106" s="60"/>
      <c r="R106" s="60"/>
      <c r="W106" s="60"/>
      <c r="Y106" s="76"/>
      <c r="AB106" s="60"/>
      <c r="AE106" s="76"/>
      <c r="AF106" s="80"/>
      <c r="AL106" s="45" t="s">
        <v>1025</v>
      </c>
      <c r="AM106" s="64">
        <f xml:space="preserve"> STDEV(AM3:AM99)/SQRT(COUNT(AM3:AM99))</f>
        <v>2.4694791051464545E-2</v>
      </c>
    </row>
    <row r="107" spans="1:99" ht="12" customHeight="1" x14ac:dyDescent="0.2">
      <c r="R107" s="60"/>
      <c r="W107" s="60"/>
      <c r="Y107" s="76"/>
      <c r="AB107" s="60"/>
      <c r="AE107" s="60"/>
      <c r="AF107" s="80"/>
      <c r="AL107" s="168"/>
      <c r="AM107" s="169"/>
    </row>
    <row r="108" spans="1:99" ht="12" customHeight="1" x14ac:dyDescent="0.2">
      <c r="K108" s="60"/>
      <c r="L108" s="60"/>
      <c r="R108" s="60"/>
      <c r="W108" s="60"/>
      <c r="Y108" s="76"/>
      <c r="AB108" s="60"/>
      <c r="AE108" s="76"/>
      <c r="AF108" s="80"/>
      <c r="AL108" s="168" t="s">
        <v>132</v>
      </c>
      <c r="AM108" s="169">
        <f>AM101-(3*AM105)</f>
        <v>-0.70590838536583678</v>
      </c>
    </row>
    <row r="109" spans="1:99" ht="12" customHeight="1" x14ac:dyDescent="0.2">
      <c r="R109" s="60"/>
      <c r="W109" s="60"/>
      <c r="Y109" s="76"/>
      <c r="AB109" s="60"/>
      <c r="AE109" s="60"/>
      <c r="AF109" s="80"/>
      <c r="AL109" s="168" t="s">
        <v>130</v>
      </c>
      <c r="AM109" s="169">
        <f>AM101+(3*AM105)</f>
        <v>0.33127283879567404</v>
      </c>
    </row>
    <row r="110" spans="1:99" ht="12" customHeight="1" x14ac:dyDescent="0.2">
      <c r="K110" s="60"/>
      <c r="L110" s="60"/>
      <c r="R110" s="60"/>
      <c r="W110" s="60"/>
      <c r="Y110" s="76"/>
      <c r="AB110" s="60"/>
      <c r="AE110" s="76"/>
      <c r="AF110" s="80"/>
    </row>
    <row r="111" spans="1:99" ht="12" customHeight="1" x14ac:dyDescent="0.2">
      <c r="R111" s="60"/>
      <c r="W111" s="60"/>
      <c r="Y111" s="76"/>
      <c r="AB111" s="60"/>
      <c r="AE111" s="60"/>
      <c r="AF111" s="80"/>
    </row>
    <row r="112" spans="1:99" ht="12" customHeight="1" x14ac:dyDescent="0.2">
      <c r="K112" s="60"/>
      <c r="L112" s="60"/>
      <c r="R112" s="60"/>
      <c r="W112" s="60"/>
      <c r="Y112" s="76"/>
      <c r="AB112" s="60"/>
      <c r="AE112" s="76"/>
      <c r="AF112" s="80"/>
    </row>
    <row r="113" spans="11:32" ht="12" customHeight="1" x14ac:dyDescent="0.2">
      <c r="W113" s="60"/>
      <c r="Y113" s="76"/>
      <c r="AB113" s="60"/>
      <c r="AE113" s="60"/>
      <c r="AF113" s="80"/>
    </row>
    <row r="114" spans="11:32" ht="12" customHeight="1" x14ac:dyDescent="0.2">
      <c r="K114" s="60"/>
      <c r="L114" s="60"/>
      <c r="W114" s="60"/>
      <c r="Y114" s="76"/>
      <c r="AE114" s="76"/>
      <c r="AF114" s="80"/>
    </row>
    <row r="115" spans="11:32" ht="12" customHeight="1" x14ac:dyDescent="0.2">
      <c r="W115" s="60"/>
      <c r="Y115" s="76"/>
      <c r="AE115" s="60"/>
      <c r="AF115" s="80"/>
    </row>
    <row r="116" spans="11:32" ht="12" customHeight="1" x14ac:dyDescent="0.2">
      <c r="K116" s="60"/>
      <c r="L116" s="60"/>
      <c r="W116" s="60"/>
      <c r="Y116" s="76"/>
      <c r="AE116" s="76"/>
      <c r="AF116" s="80"/>
    </row>
    <row r="117" spans="11:32" ht="12" customHeight="1" x14ac:dyDescent="0.2">
      <c r="W117" s="60"/>
      <c r="Y117" s="76"/>
      <c r="AE117" s="60"/>
      <c r="AF117" s="80"/>
    </row>
    <row r="118" spans="11:32" ht="12" customHeight="1" x14ac:dyDescent="0.2">
      <c r="K118" s="60"/>
      <c r="L118" s="60"/>
      <c r="W118" s="60"/>
      <c r="Y118" s="76"/>
      <c r="AE118" s="76"/>
      <c r="AF118" s="80"/>
    </row>
    <row r="119" spans="11:32" ht="12" customHeight="1" x14ac:dyDescent="0.2">
      <c r="W119" s="60"/>
      <c r="Y119" s="76"/>
      <c r="AE119" s="60"/>
      <c r="AF119" s="80"/>
    </row>
    <row r="120" spans="11:32" ht="12" customHeight="1" x14ac:dyDescent="0.2">
      <c r="K120" s="60"/>
      <c r="L120" s="60"/>
      <c r="W120" s="60"/>
      <c r="Y120" s="76"/>
      <c r="AE120" s="76"/>
      <c r="AF120" s="80"/>
    </row>
    <row r="122" spans="11:32" ht="12" customHeight="1" x14ac:dyDescent="0.2">
      <c r="K122" s="60"/>
      <c r="L122" s="60"/>
    </row>
  </sheetData>
  <conditionalFormatting sqref="AI99:AP99 AC2 AC4 AC6 AC8 AC10 AC12 AC14 AC16 AC18 AC20 AC22 AC24 AC26 AC28 AC30 AC32 AC34 AC36 AC38 AC40 AC42 AC44 AC46 AC48 AC50 AC52 AC54 AC56 AC58 AC60 AC62 AC64 AC66 AC74 AC76 AC78 AC80 AC88 AC90 AC96 AC98 AC92 AG16 AG2 AG18 AG14 AG12 AG10 AG6 AG4 AG20 AG22 AG30 AG28 AG26 AG24 AG66 AG64 AG62 AG60 AG58 AG56 AG54 AG52 AG50 AG48 AG46 AG44 AG42 AG40 AG38 AG36 AG34 AG32 AG80 AG78 AG76 AG74 AG92 AG90 AG88 AG98 AG96">
    <cfRule type="expression" dxfId="1854" priority="1057">
      <formula>MOD(ROW(),2)=1</formula>
    </cfRule>
  </conditionalFormatting>
  <conditionalFormatting sqref="AI97:AP97">
    <cfRule type="expression" dxfId="1853" priority="1056">
      <formula>MOD(ROW(),2)=1</formula>
    </cfRule>
  </conditionalFormatting>
  <conditionalFormatting sqref="AC94 AG94">
    <cfRule type="expression" dxfId="1852" priority="994">
      <formula>MOD(ROW(),2)=1</formula>
    </cfRule>
  </conditionalFormatting>
  <conditionalFormatting sqref="AC82 AG82">
    <cfRule type="expression" dxfId="1851" priority="959">
      <formula>MOD(ROW(),2)=1</formula>
    </cfRule>
  </conditionalFormatting>
  <conditionalFormatting sqref="AC84 AG84">
    <cfRule type="expression" dxfId="1850" priority="957">
      <formula>MOD(ROW(),2)=1</formula>
    </cfRule>
  </conditionalFormatting>
  <conditionalFormatting sqref="AC86 AG86">
    <cfRule type="expression" dxfId="1849" priority="956">
      <formula>MOD(ROW(),2)=1</formula>
    </cfRule>
  </conditionalFormatting>
  <conditionalFormatting sqref="AB16">
    <cfRule type="expression" dxfId="1848" priority="933">
      <formula>MOD(ROW(),2)=1</formula>
    </cfRule>
  </conditionalFormatting>
  <conditionalFormatting sqref="AB64">
    <cfRule type="expression" dxfId="1847" priority="924">
      <formula>MOD(ROW(),2)=1</formula>
    </cfRule>
  </conditionalFormatting>
  <conditionalFormatting sqref="AD2">
    <cfRule type="expression" dxfId="1846" priority="909">
      <formula>MOD(ROW(),2)=1</formula>
    </cfRule>
  </conditionalFormatting>
  <conditionalFormatting sqref="AD4 AD6">
    <cfRule type="expression" dxfId="1845" priority="908">
      <formula>MOD(ROW(),2)=1</formula>
    </cfRule>
  </conditionalFormatting>
  <conditionalFormatting sqref="AD22">
    <cfRule type="expression" dxfId="1844" priority="900">
      <formula>MOD(ROW(),2)=1</formula>
    </cfRule>
  </conditionalFormatting>
  <conditionalFormatting sqref="AD48 AD50 AD52 AD54 AD56 AD58 AD60 AD62 AD64">
    <cfRule type="expression" dxfId="1843" priority="895">
      <formula>MOD(ROW(),2)=1</formula>
    </cfRule>
  </conditionalFormatting>
  <conditionalFormatting sqref="AD74 AD76 AD78 AD80">
    <cfRule type="expression" dxfId="1842" priority="890">
      <formula>MOD(ROW(),2)=1</formula>
    </cfRule>
  </conditionalFormatting>
  <conditionalFormatting sqref="AD88 AD94 AD90">
    <cfRule type="expression" dxfId="1841" priority="883">
      <formula>MOD(ROW(),2)=1</formula>
    </cfRule>
  </conditionalFormatting>
  <conditionalFormatting sqref="AD96 AD98">
    <cfRule type="expression" dxfId="1840" priority="881">
      <formula>MOD(ROW(),2)=1</formula>
    </cfRule>
  </conditionalFormatting>
  <conditionalFormatting sqref="Y6">
    <cfRule type="expression" dxfId="1839" priority="845">
      <formula>MOD(ROW(),2)=1</formula>
    </cfRule>
  </conditionalFormatting>
  <conditionalFormatting sqref="Y10">
    <cfRule type="expression" dxfId="1838" priority="844">
      <formula>MOD(ROW(),2)=1</formula>
    </cfRule>
  </conditionalFormatting>
  <conditionalFormatting sqref="Y14">
    <cfRule type="expression" dxfId="1837" priority="843">
      <formula>MOD(ROW(),2)=1</formula>
    </cfRule>
  </conditionalFormatting>
  <conditionalFormatting sqref="Y18">
    <cfRule type="expression" dxfId="1836" priority="842">
      <formula>MOD(ROW(),2)=1</formula>
    </cfRule>
  </conditionalFormatting>
  <conditionalFormatting sqref="Y22">
    <cfRule type="expression" dxfId="1835" priority="770">
      <formula>MOD(ROW(),2)=1</formula>
    </cfRule>
  </conditionalFormatting>
  <conditionalFormatting sqref="Y26">
    <cfRule type="expression" dxfId="1834" priority="757">
      <formula>MOD(ROW(),2)=1</formula>
    </cfRule>
  </conditionalFormatting>
  <conditionalFormatting sqref="Y30">
    <cfRule type="expression" dxfId="1833" priority="755">
      <formula>MOD(ROW(),2)=1</formula>
    </cfRule>
  </conditionalFormatting>
  <conditionalFormatting sqref="Y32">
    <cfRule type="expression" dxfId="1832" priority="722">
      <formula>MOD(ROW(),2)=1</formula>
    </cfRule>
  </conditionalFormatting>
  <conditionalFormatting sqref="Y36">
    <cfRule type="expression" dxfId="1831" priority="721">
      <formula>MOD(ROW(),2)=1</formula>
    </cfRule>
  </conditionalFormatting>
  <conditionalFormatting sqref="Y40">
    <cfRule type="expression" dxfId="1830" priority="720">
      <formula>MOD(ROW(),2)=1</formula>
    </cfRule>
  </conditionalFormatting>
  <conditionalFormatting sqref="Y44">
    <cfRule type="expression" dxfId="1829" priority="719">
      <formula>MOD(ROW(),2)=1</formula>
    </cfRule>
  </conditionalFormatting>
  <conditionalFormatting sqref="Y48">
    <cfRule type="expression" dxfId="1828" priority="718">
      <formula>MOD(ROW(),2)=1</formula>
    </cfRule>
  </conditionalFormatting>
  <conditionalFormatting sqref="Y52">
    <cfRule type="expression" dxfId="1827" priority="717">
      <formula>MOD(ROW(),2)=1</formula>
    </cfRule>
  </conditionalFormatting>
  <conditionalFormatting sqref="Y56">
    <cfRule type="expression" dxfId="1826" priority="716">
      <formula>MOD(ROW(),2)=1</formula>
    </cfRule>
  </conditionalFormatting>
  <conditionalFormatting sqref="Y60">
    <cfRule type="expression" dxfId="1825" priority="715">
      <formula>MOD(ROW(),2)=1</formula>
    </cfRule>
  </conditionalFormatting>
  <conditionalFormatting sqref="Y64">
    <cfRule type="expression" dxfId="1824" priority="714">
      <formula>MOD(ROW(),2)=1</formula>
    </cfRule>
  </conditionalFormatting>
  <conditionalFormatting sqref="Y74">
    <cfRule type="expression" dxfId="1823" priority="661">
      <formula>MOD(ROW(),2)=1</formula>
    </cfRule>
  </conditionalFormatting>
  <conditionalFormatting sqref="Y78">
    <cfRule type="expression" dxfId="1822" priority="660">
      <formula>MOD(ROW(),2)=1</formula>
    </cfRule>
  </conditionalFormatting>
  <conditionalFormatting sqref="Y82">
    <cfRule type="expression" dxfId="1821" priority="655">
      <formula>MOD(ROW(),2)=1</formula>
    </cfRule>
  </conditionalFormatting>
  <conditionalFormatting sqref="Y84">
    <cfRule type="expression" dxfId="1820" priority="654">
      <formula>MOD(ROW(),2)=1</formula>
    </cfRule>
  </conditionalFormatting>
  <conditionalFormatting sqref="Y90">
    <cfRule type="expression" dxfId="1819" priority="598">
      <formula>MOD(ROW(),2)=1</formula>
    </cfRule>
  </conditionalFormatting>
  <conditionalFormatting sqref="Y94">
    <cfRule type="expression" dxfId="1818" priority="593">
      <formula>MOD(ROW(),2)=1</formula>
    </cfRule>
  </conditionalFormatting>
  <conditionalFormatting sqref="Y98">
    <cfRule type="expression" dxfId="1817" priority="581">
      <formula>MOD(ROW(),2)=1</formula>
    </cfRule>
  </conditionalFormatting>
  <conditionalFormatting sqref="Y103">
    <cfRule type="expression" dxfId="1816" priority="575">
      <formula>MOD(ROW(),2)=1</formula>
    </cfRule>
  </conditionalFormatting>
  <conditionalFormatting sqref="Y107">
    <cfRule type="expression" dxfId="1815" priority="574">
      <formula>MOD(ROW(),2)=1</formula>
    </cfRule>
  </conditionalFormatting>
  <conditionalFormatting sqref="Y111">
    <cfRule type="expression" dxfId="1814" priority="573">
      <formula>MOD(ROW(),2)=1</formula>
    </cfRule>
  </conditionalFormatting>
  <conditionalFormatting sqref="Y115">
    <cfRule type="expression" dxfId="1813" priority="572">
      <formula>MOD(ROW(),2)=1</formula>
    </cfRule>
  </conditionalFormatting>
  <conditionalFormatting sqref="Y119">
    <cfRule type="expression" dxfId="1812" priority="571">
      <formula>MOD(ROW(),2)=1</formula>
    </cfRule>
  </conditionalFormatting>
  <conditionalFormatting sqref="W6">
    <cfRule type="expression" dxfId="1811" priority="535">
      <formula>MOD(ROW(),2)=1</formula>
    </cfRule>
  </conditionalFormatting>
  <conditionalFormatting sqref="W10">
    <cfRule type="expression" dxfId="1810" priority="534">
      <formula>MOD(ROW(),2)=1</formula>
    </cfRule>
  </conditionalFormatting>
  <conditionalFormatting sqref="W14">
    <cfRule type="expression" dxfId="1809" priority="533">
      <formula>MOD(ROW(),2)=1</formula>
    </cfRule>
  </conditionalFormatting>
  <conditionalFormatting sqref="W18">
    <cfRule type="expression" dxfId="1808" priority="532">
      <formula>MOD(ROW(),2)=1</formula>
    </cfRule>
  </conditionalFormatting>
  <conditionalFormatting sqref="W22">
    <cfRule type="expression" dxfId="1807" priority="460">
      <formula>MOD(ROW(),2)=1</formula>
    </cfRule>
  </conditionalFormatting>
  <conditionalFormatting sqref="W26">
    <cfRule type="expression" dxfId="1806" priority="447">
      <formula>MOD(ROW(),2)=1</formula>
    </cfRule>
  </conditionalFormatting>
  <conditionalFormatting sqref="W30">
    <cfRule type="expression" dxfId="1805" priority="445">
      <formula>MOD(ROW(),2)=1</formula>
    </cfRule>
  </conditionalFormatting>
  <conditionalFormatting sqref="W32">
    <cfRule type="expression" dxfId="1804" priority="412">
      <formula>MOD(ROW(),2)=1</formula>
    </cfRule>
  </conditionalFormatting>
  <conditionalFormatting sqref="W36">
    <cfRule type="expression" dxfId="1803" priority="411">
      <formula>MOD(ROW(),2)=1</formula>
    </cfRule>
  </conditionalFormatting>
  <conditionalFormatting sqref="W40">
    <cfRule type="expression" dxfId="1802" priority="410">
      <formula>MOD(ROW(),2)=1</formula>
    </cfRule>
  </conditionalFormatting>
  <conditionalFormatting sqref="W44">
    <cfRule type="expression" dxfId="1801" priority="409">
      <formula>MOD(ROW(),2)=1</formula>
    </cfRule>
  </conditionalFormatting>
  <conditionalFormatting sqref="W48">
    <cfRule type="expression" dxfId="1800" priority="408">
      <formula>MOD(ROW(),2)=1</formula>
    </cfRule>
  </conditionalFormatting>
  <conditionalFormatting sqref="W52">
    <cfRule type="expression" dxfId="1799" priority="407">
      <formula>MOD(ROW(),2)=1</formula>
    </cfRule>
  </conditionalFormatting>
  <conditionalFormatting sqref="W56">
    <cfRule type="expression" dxfId="1798" priority="406">
      <formula>MOD(ROW(),2)=1</formula>
    </cfRule>
  </conditionalFormatting>
  <conditionalFormatting sqref="W60">
    <cfRule type="expression" dxfId="1797" priority="405">
      <formula>MOD(ROW(),2)=1</formula>
    </cfRule>
  </conditionalFormatting>
  <conditionalFormatting sqref="W64">
    <cfRule type="expression" dxfId="1796" priority="404">
      <formula>MOD(ROW(),2)=1</formula>
    </cfRule>
  </conditionalFormatting>
  <conditionalFormatting sqref="W74">
    <cfRule type="expression" dxfId="1795" priority="351">
      <formula>MOD(ROW(),2)=1</formula>
    </cfRule>
  </conditionalFormatting>
  <conditionalFormatting sqref="W78">
    <cfRule type="expression" dxfId="1794" priority="350">
      <formula>MOD(ROW(),2)=1</formula>
    </cfRule>
  </conditionalFormatting>
  <conditionalFormatting sqref="W82">
    <cfRule type="expression" dxfId="1793" priority="345">
      <formula>MOD(ROW(),2)=1</formula>
    </cfRule>
  </conditionalFormatting>
  <conditionalFormatting sqref="W84">
    <cfRule type="expression" dxfId="1792" priority="344">
      <formula>MOD(ROW(),2)=1</formula>
    </cfRule>
  </conditionalFormatting>
  <conditionalFormatting sqref="W90">
    <cfRule type="expression" dxfId="1791" priority="288">
      <formula>MOD(ROW(),2)=1</formula>
    </cfRule>
  </conditionalFormatting>
  <conditionalFormatting sqref="W94">
    <cfRule type="expression" dxfId="1790" priority="283">
      <formula>MOD(ROW(),2)=1</formula>
    </cfRule>
  </conditionalFormatting>
  <conditionalFormatting sqref="W98">
    <cfRule type="expression" dxfId="1789" priority="271">
      <formula>MOD(ROW(),2)=1</formula>
    </cfRule>
  </conditionalFormatting>
  <conditionalFormatting sqref="W103">
    <cfRule type="expression" dxfId="1788" priority="265">
      <formula>MOD(ROW(),2)=1</formula>
    </cfRule>
  </conditionalFormatting>
  <conditionalFormatting sqref="W107">
    <cfRule type="expression" dxfId="1787" priority="264">
      <formula>MOD(ROW(),2)=1</formula>
    </cfRule>
  </conditionalFormatting>
  <conditionalFormatting sqref="W111">
    <cfRule type="expression" dxfId="1786" priority="263">
      <formula>MOD(ROW(),2)=1</formula>
    </cfRule>
  </conditionalFormatting>
  <conditionalFormatting sqref="W115">
    <cfRule type="expression" dxfId="1785" priority="262">
      <formula>MOD(ROW(),2)=1</formula>
    </cfRule>
  </conditionalFormatting>
  <conditionalFormatting sqref="W119">
    <cfRule type="expression" dxfId="1784" priority="261">
      <formula>MOD(ROW(),2)=1</formula>
    </cfRule>
  </conditionalFormatting>
  <conditionalFormatting sqref="U2">
    <cfRule type="expression" dxfId="1783" priority="145">
      <formula>MOD(ROW(),2)=1</formula>
    </cfRule>
  </conditionalFormatting>
  <conditionalFormatting sqref="U6 U8 U4">
    <cfRule type="expression" dxfId="1782" priority="144">
      <formula>MOD(ROW(),2)=1</formula>
    </cfRule>
  </conditionalFormatting>
  <conditionalFormatting sqref="U14 U16 U12">
    <cfRule type="expression" dxfId="1781" priority="143">
      <formula>MOD(ROW(),2)=1</formula>
    </cfRule>
  </conditionalFormatting>
  <conditionalFormatting sqref="U22">
    <cfRule type="expression" dxfId="1780" priority="106">
      <formula>MOD(ROW(),2)=1</formula>
    </cfRule>
  </conditionalFormatting>
  <conditionalFormatting sqref="U26">
    <cfRule type="expression" dxfId="1779" priority="100">
      <formula>MOD(ROW(),2)=1</formula>
    </cfRule>
  </conditionalFormatting>
  <conditionalFormatting sqref="U30">
    <cfRule type="expression" dxfId="1778" priority="99">
      <formula>MOD(ROW(),2)=1</formula>
    </cfRule>
  </conditionalFormatting>
  <conditionalFormatting sqref="U36 U38 U34">
    <cfRule type="expression" dxfId="1777" priority="77">
      <formula>MOD(ROW(),2)=1</formula>
    </cfRule>
  </conditionalFormatting>
  <conditionalFormatting sqref="U44 U46 U42">
    <cfRule type="expression" dxfId="1776" priority="76">
      <formula>MOD(ROW(),2)=1</formula>
    </cfRule>
  </conditionalFormatting>
  <conditionalFormatting sqref="U52 U54 U50">
    <cfRule type="expression" dxfId="1775" priority="75">
      <formula>MOD(ROW(),2)=1</formula>
    </cfRule>
  </conditionalFormatting>
  <conditionalFormatting sqref="U60 U62 U58">
    <cfRule type="expression" dxfId="1774" priority="74">
      <formula>MOD(ROW(),2)=1</formula>
    </cfRule>
  </conditionalFormatting>
  <conditionalFormatting sqref="U66">
    <cfRule type="expression" dxfId="1773" priority="73">
      <formula>MOD(ROW(),2)=1</formula>
    </cfRule>
  </conditionalFormatting>
  <conditionalFormatting sqref="U70">
    <cfRule type="expression" dxfId="1772" priority="63">
      <formula>MOD(ROW(),2)=1</formula>
    </cfRule>
  </conditionalFormatting>
  <conditionalFormatting sqref="U78 U80 U76">
    <cfRule type="expression" dxfId="1771" priority="43">
      <formula>MOD(ROW(),2)=1</formula>
    </cfRule>
  </conditionalFormatting>
  <conditionalFormatting sqref="U82">
    <cfRule type="expression" dxfId="1770" priority="41">
      <formula>MOD(ROW(),2)=1</formula>
    </cfRule>
  </conditionalFormatting>
  <conditionalFormatting sqref="U86 U84">
    <cfRule type="expression" dxfId="1769" priority="40">
      <formula>MOD(ROW(),2)=1</formula>
    </cfRule>
  </conditionalFormatting>
  <conditionalFormatting sqref="U90 U88">
    <cfRule type="expression" dxfId="1768" priority="10">
      <formula>MOD(ROW(),2)=1</formula>
    </cfRule>
  </conditionalFormatting>
  <conditionalFormatting sqref="U92">
    <cfRule type="expression" dxfId="1767" priority="8">
      <formula>MOD(ROW(),2)=1</formula>
    </cfRule>
  </conditionalFormatting>
  <conditionalFormatting sqref="U96">
    <cfRule type="expression" dxfId="1766" priority="2">
      <formula>MOD(ROW(),2)=1</formula>
    </cfRule>
  </conditionalFormatting>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3:H195"/>
  <sheetViews>
    <sheetView workbookViewId="0"/>
  </sheetViews>
  <sheetFormatPr defaultRowHeight="15" x14ac:dyDescent="0.25"/>
  <sheetData>
    <row r="3" spans="1:4" x14ac:dyDescent="0.25">
      <c r="A3" t="str">
        <f>'e-LTM'!B3</f>
        <v>Begg, I. &amp; Wickelgren, W. A. (1974). Retention functions for syntactic and lexical vs semantic information in sentence recognition memory. Memory &amp; Cognition, 2(2), 353-359.</v>
      </c>
      <c r="B3">
        <f>'e-LTM'!AA3</f>
        <v>7200</v>
      </c>
      <c r="C3">
        <f>B3/(60*60)</f>
        <v>2</v>
      </c>
      <c r="D3" s="63">
        <f>'e-LTM'!AM3</f>
        <v>-4.4677116287178305E-2</v>
      </c>
    </row>
    <row r="5" spans="1:4" x14ac:dyDescent="0.25">
      <c r="A5" t="str">
        <f>'e-LTM'!B5</f>
        <v>Bregman, A. S. (1968). Forgetting curves with semantic, phonetic, graphic, and contiguity cues. Journal of Experimental Psychology, 78, 539-546.</v>
      </c>
      <c r="B5">
        <f>'e-LTM'!AA5</f>
        <v>288</v>
      </c>
      <c r="C5">
        <f>B5/(60*60)</f>
        <v>0.08</v>
      </c>
      <c r="D5" s="63">
        <f>'e-LTM'!AM5</f>
        <v>-0.75462173189743664</v>
      </c>
    </row>
    <row r="7" spans="1:4" x14ac:dyDescent="0.25">
      <c r="A7" t="str">
        <f>'e-LTM'!B7</f>
        <v>Bregman, A. S. (1968). Forgetting curves with semantic, phonetic, graphic, and contiguity cues. Journal of Experimental Psychology, 78, 539-546.</v>
      </c>
      <c r="B7">
        <f>'e-LTM'!AA7</f>
        <v>288</v>
      </c>
      <c r="C7">
        <f>B7/(60*60)</f>
        <v>0.08</v>
      </c>
      <c r="D7" s="63">
        <f>'e-LTM'!AM7</f>
        <v>-0.40883666822206854</v>
      </c>
    </row>
    <row r="9" spans="1:4" x14ac:dyDescent="0.25">
      <c r="A9" t="str">
        <f>'e-LTM'!B9</f>
        <v>Bregman, A. S. (1968). Forgetting curves with semantic, phonetic, graphic, and contiguity cues. Journal of Experimental Psychology, 78, 539-546.</v>
      </c>
      <c r="B9">
        <f>'e-LTM'!AA9</f>
        <v>288</v>
      </c>
      <c r="C9">
        <f>B9/(60*60)</f>
        <v>0.08</v>
      </c>
      <c r="D9" s="63">
        <f>'e-LTM'!AM9</f>
        <v>-0.45755734351725819</v>
      </c>
    </row>
    <row r="11" spans="1:4" x14ac:dyDescent="0.25">
      <c r="A11" t="str">
        <f>'e-LTM'!B11</f>
        <v>Bregman, A. S. (1968). Forgetting curves with semantic, phonetic, graphic, and contiguity cues. Journal of Experimental Psychology, 78, 539-546.</v>
      </c>
      <c r="B11">
        <f>'e-LTM'!AA11</f>
        <v>288</v>
      </c>
      <c r="C11">
        <f>B11/(60*60)</f>
        <v>0.08</v>
      </c>
      <c r="D11" s="63">
        <f>'e-LTM'!AM11</f>
        <v>-0.29520485385500506</v>
      </c>
    </row>
    <row r="13" spans="1:4" x14ac:dyDescent="0.25">
      <c r="A13" t="str">
        <f>'e-LTM'!B13</f>
        <v>Bregman, A. S. (1968). Forgetting curves with semantic, phonetic, graphic, and contiguity cues. Journal of Experimental Psychology, 78, 539-546.</v>
      </c>
      <c r="B13">
        <f>'e-LTM'!AA13</f>
        <v>288</v>
      </c>
      <c r="C13">
        <f>B13/(60*60)</f>
        <v>0.08</v>
      </c>
      <c r="D13" s="63">
        <f>'e-LTM'!AM13</f>
        <v>-0.74934456887203515</v>
      </c>
    </row>
    <row r="15" spans="1:4" x14ac:dyDescent="0.25">
      <c r="A15" t="str">
        <f>'e-LTM'!B15</f>
        <v>Bregman, A. S. (1968). Forgetting curves with semantic, phonetic, graphic, and contiguity cues. Journal of Experimental Psychology, 78, 539-546.</v>
      </c>
      <c r="B15">
        <f>'e-LTM'!AA15</f>
        <v>288</v>
      </c>
      <c r="C15">
        <f>B15/(60*60)</f>
        <v>0.08</v>
      </c>
      <c r="D15" s="63">
        <f>'e-LTM'!AM15</f>
        <v>-0.38361945485187965</v>
      </c>
    </row>
    <row r="17" spans="1:8" x14ac:dyDescent="0.25">
      <c r="A17" t="str">
        <f>'e-LTM'!B17</f>
        <v>Bregman, A. S. (1968). Forgetting curves with semantic, phonetic, graphic, and contiguity cues. Journal of Experimental Psychology, 78, 539-546.</v>
      </c>
      <c r="B17">
        <f>'e-LTM'!AA17</f>
        <v>288</v>
      </c>
      <c r="C17">
        <f>B17/(60*60)</f>
        <v>0.08</v>
      </c>
      <c r="D17" s="63">
        <f>'e-LTM'!AM17</f>
        <v>-0.44995182923018884</v>
      </c>
    </row>
    <row r="18" spans="1:8" x14ac:dyDescent="0.25">
      <c r="G18" s="166">
        <f>AVERAGE(D3:D99)</f>
        <v>-0.1873177732850814</v>
      </c>
      <c r="H18" s="165">
        <f xml:space="preserve"> STDEV(D3:D99)/SQRT(COUNT(D3:D99))</f>
        <v>2.4694791051464545E-2</v>
      </c>
    </row>
    <row r="19" spans="1:8" x14ac:dyDescent="0.25">
      <c r="A19" t="str">
        <f>'e-LTM'!B19</f>
        <v>Bregman, A. S. (1968). Forgetting curves with semantic, phonetic, graphic, and contiguity cues. Journal of Experimental Psychology, 78, 539-546.</v>
      </c>
      <c r="B19">
        <f>'e-LTM'!AA19</f>
        <v>288</v>
      </c>
      <c r="C19">
        <f>B19/(60*60)</f>
        <v>0.08</v>
      </c>
      <c r="D19" s="63">
        <f>'e-LTM'!AM19</f>
        <v>-0.37724989468313669</v>
      </c>
    </row>
    <row r="21" spans="1:8" x14ac:dyDescent="0.25">
      <c r="A21" t="str">
        <f>'e-LTM'!B21</f>
        <v>Graf, P., &amp; Mandler, G. (1984). Activation Makes Words More Accessible, but Not Necessarily More Retrievable. Journal of Verbal Learning and Verbal Behavior, 23(5), 553-568.</v>
      </c>
      <c r="B21">
        <f>'e-LTM'!AA21</f>
        <v>5400</v>
      </c>
      <c r="C21">
        <f>B21/(60*60)</f>
        <v>1.5</v>
      </c>
      <c r="D21" s="63">
        <f>'e-LTM'!AM21</f>
        <v>-0.10049141940032545</v>
      </c>
    </row>
    <row r="23" spans="1:8" x14ac:dyDescent="0.25">
      <c r="A23" t="str">
        <f>'e-LTM'!B23</f>
        <v>Graf, P., &amp; Mandler, G. (1984). Activation Makes Words More Accessible, but Not Necessarily More Retrievable. Journal of Verbal Learning and Verbal Behavior, 23(5), 553-568.</v>
      </c>
      <c r="B23">
        <f>'e-LTM'!AA23</f>
        <v>5400</v>
      </c>
      <c r="C23">
        <f>B23/(60*60)</f>
        <v>1.5</v>
      </c>
      <c r="D23" s="63">
        <f>'e-LTM'!AM23</f>
        <v>-7.4003112899792538E-3</v>
      </c>
    </row>
    <row r="25" spans="1:8" x14ac:dyDescent="0.25">
      <c r="A25" t="str">
        <f>'e-LTM'!B25</f>
        <v>Isaac, C. L., &amp; Mayes, A. R. (1999).Rate of Forgetting in Amnesia: I. Recall and recognition of prose. Journal of Experimental Psychology: Learning, Memory and Cognition, 25(4), 942.</v>
      </c>
      <c r="B25">
        <f>'e-LTM'!AA25</f>
        <v>600</v>
      </c>
      <c r="C25">
        <f>B25/(60*60)</f>
        <v>0.16666666666666666</v>
      </c>
      <c r="D25" s="63">
        <f>'e-LTM'!AM25</f>
        <v>-1.9019416808138942E-2</v>
      </c>
    </row>
    <row r="27" spans="1:8" x14ac:dyDescent="0.25">
      <c r="A27" t="str">
        <f>'e-LTM'!B27</f>
        <v>Isaac, C. L., &amp; Mayes, A. R. (1999).Rate of Forgetting in Amnesia: I. Recall and recognition of prose. Journal of Experimental Psychology: Learning, Memory and Cognition, 25(4), 942.</v>
      </c>
      <c r="B27">
        <f>'e-LTM'!AA27</f>
        <v>3600</v>
      </c>
      <c r="C27">
        <f>B27/(60*60)</f>
        <v>1</v>
      </c>
      <c r="D27" s="63">
        <f>'e-LTM'!AM27</f>
        <v>-3.1532453072946921E-2</v>
      </c>
    </row>
    <row r="29" spans="1:8" x14ac:dyDescent="0.25">
      <c r="A29" t="str">
        <f>'e-LTM'!B29</f>
        <v>Jenkins, J. G., &amp; Dallenbach, K. M. (1924). Minor studies from the psychological laboratory of Cornell university: Obliviance during sleep and waking. American Journal of Psychology, 35, 605-612.</v>
      </c>
      <c r="B29">
        <f>'e-LTM'!AA29</f>
        <v>28800</v>
      </c>
      <c r="C29">
        <f>B29/(60*60)</f>
        <v>8</v>
      </c>
      <c r="D29" s="63">
        <f>'e-LTM'!AM29</f>
        <v>-9.1241439313960643E-2</v>
      </c>
    </row>
    <row r="31" spans="1:8" x14ac:dyDescent="0.25">
      <c r="A31" t="str">
        <f>'e-LTM'!B31</f>
        <v>Jenkins, J. G., &amp; Dallenbach, K. M. (1924). Minor studies from the psychological laboratory of Cornell university: Obliviance during sleep and waking. American Journal of Psychology, 35, 605-612.</v>
      </c>
      <c r="B31">
        <f>'e-LTM'!AA31</f>
        <v>28800</v>
      </c>
      <c r="C31">
        <f>B31/(60*60)</f>
        <v>8</v>
      </c>
      <c r="D31" s="63">
        <f>'e-LTM'!AM31</f>
        <v>-0.29160475075341569</v>
      </c>
    </row>
    <row r="33" spans="1:4" x14ac:dyDescent="0.25">
      <c r="A33" t="str">
        <f>'e-LTM'!B33</f>
        <v>McBride, D. M., &amp; Dosher, B. A. (1997). A comparison of forgetting in an implicit and explicit memory task. Journal of Experimental Psychology: General, 126(4), 371.</v>
      </c>
      <c r="B33">
        <f>'e-LTM'!AA33</f>
        <v>5400</v>
      </c>
      <c r="C33">
        <f>B33/(60*60)</f>
        <v>1.5</v>
      </c>
      <c r="D33" s="63">
        <f>'e-LTM'!AM33</f>
        <v>-0.24040884614397717</v>
      </c>
    </row>
    <row r="35" spans="1:4" x14ac:dyDescent="0.25">
      <c r="A35" t="str">
        <f>'e-LTM'!B35</f>
        <v>McBride, D. M., &amp; Dosher, B. A. (1997). A comparison of forgetting in an implicit and explicit memory task. Journal of Experimental Psychology: General, 126(4), 371.</v>
      </c>
      <c r="B35">
        <f>'e-LTM'!AA35</f>
        <v>5400</v>
      </c>
      <c r="C35">
        <f>B35/(60*60)</f>
        <v>1.5</v>
      </c>
      <c r="D35" s="63">
        <f>'e-LTM'!AM35</f>
        <v>-0.2149309009739736</v>
      </c>
    </row>
    <row r="37" spans="1:4" x14ac:dyDescent="0.25">
      <c r="A37" t="str">
        <f>'e-LTM'!B37</f>
        <v>McBride, D. M., &amp; Dosher, B. A. (1997). A comparison of forgetting in an implicit and explicit memory task. Journal of Experimental Psychology: General, 126(4), 371.</v>
      </c>
      <c r="B37">
        <f>'e-LTM'!AA37</f>
        <v>5400</v>
      </c>
      <c r="C37">
        <f>B37/(60*60)</f>
        <v>1.5</v>
      </c>
      <c r="D37" s="63">
        <f>'e-LTM'!AM37</f>
        <v>-0.24951026457854411</v>
      </c>
    </row>
    <row r="39" spans="1:4" x14ac:dyDescent="0.25">
      <c r="A39" t="str">
        <f>'e-LTM'!B39</f>
        <v>McBride, D. M., &amp; Dosher, B. A. (1997). A comparison of forgetting in an implicit and explicit memory task. Journal of Experimental Psychology: General, 126(4), 371.</v>
      </c>
      <c r="B39">
        <f>'e-LTM'!AA39</f>
        <v>5400</v>
      </c>
      <c r="C39">
        <f>B39/(60*60)</f>
        <v>1.5</v>
      </c>
      <c r="D39" s="63">
        <f>'e-LTM'!AM39</f>
        <v>-0.35645670893384496</v>
      </c>
    </row>
    <row r="41" spans="1:4" x14ac:dyDescent="0.25">
      <c r="A41" t="str">
        <f>'e-LTM'!B41</f>
        <v>McBride, D. M., &amp; Dosher, B. A. (1997). A comparison of forgetting in an implicit and explicit memory task. Journal of Experimental Psychology: General, 126(4), 371.</v>
      </c>
      <c r="B41">
        <f>'e-LTM'!AA41</f>
        <v>3768</v>
      </c>
      <c r="C41">
        <f>B41/(60*60)</f>
        <v>1.0466666666666666</v>
      </c>
      <c r="D41" s="63">
        <f>'e-LTM'!AM41</f>
        <v>-0.14575647814423051</v>
      </c>
    </row>
    <row r="43" spans="1:4" x14ac:dyDescent="0.25">
      <c r="A43" t="str">
        <f>'e-LTM'!B43</f>
        <v>McBride, D. M., &amp; Dosher, B. A. (1997). A comparison of forgetting in an implicit and explicit memory task. Journal of Experimental Psychology: General, 126(4), 371.</v>
      </c>
      <c r="B43">
        <f>'e-LTM'!AA43</f>
        <v>3768</v>
      </c>
      <c r="C43">
        <f>B43/(60*60)</f>
        <v>1.0466666666666666</v>
      </c>
      <c r="D43" s="63">
        <f>'e-LTM'!AM43</f>
        <v>-0.14951745200006822</v>
      </c>
    </row>
    <row r="45" spans="1:4" x14ac:dyDescent="0.25">
      <c r="A45" t="str">
        <f>'e-LTM'!B45</f>
        <v>McBride, D. M., &amp; Dosher, B. A. (1997). A comparison of forgetting in an implicit and explicit memory task. Journal of Experimental Psychology: General, 126(4), 371.</v>
      </c>
      <c r="B45">
        <f>'e-LTM'!AA45</f>
        <v>3768</v>
      </c>
      <c r="C45">
        <f>B45/(60*60)</f>
        <v>1.0466666666666666</v>
      </c>
      <c r="D45" s="63">
        <f>'e-LTM'!AM45</f>
        <v>-0.2265743324061473</v>
      </c>
    </row>
    <row r="47" spans="1:4" x14ac:dyDescent="0.25">
      <c r="A47" t="str">
        <f>'e-LTM'!B47</f>
        <v>McBride, D. M., &amp; Dosher, B. A. (1997). A comparison of forgetting in an implicit and explicit memory task. Journal of Experimental Psychology: General, 126(4), 371.</v>
      </c>
      <c r="B47">
        <f>'e-LTM'!AA47</f>
        <v>3768</v>
      </c>
      <c r="C47">
        <f>B47/(60*60)</f>
        <v>1.0466666666666666</v>
      </c>
      <c r="D47" s="63">
        <f>'e-LTM'!AM47</f>
        <v>-0.22268948822304618</v>
      </c>
    </row>
    <row r="49" spans="1:4" x14ac:dyDescent="0.25">
      <c r="A49" t="str">
        <f>'e-LTM'!B49</f>
        <v>McBride, D. M., &amp; Dosher, B. A. (1997). A comparison of forgetting in an implicit and explicit memory task. Journal of Experimental Psychology: General, 126(4), 371.</v>
      </c>
      <c r="B49">
        <f>'e-LTM'!AA49</f>
        <v>3768</v>
      </c>
      <c r="C49">
        <f>B49/(60*60)</f>
        <v>1.0466666666666666</v>
      </c>
      <c r="D49" s="63">
        <f>'e-LTM'!AM49</f>
        <v>-1.9249060332196644E-2</v>
      </c>
    </row>
    <row r="51" spans="1:4" x14ac:dyDescent="0.25">
      <c r="A51" t="str">
        <f>'e-LTM'!B51</f>
        <v>McBride, D. M., &amp; Dosher, B. A. (1997). A comparison of forgetting in an implicit and explicit memory task. Journal of Experimental Psychology: General, 126(4), 371.</v>
      </c>
      <c r="B51">
        <f>'e-LTM'!AA51</f>
        <v>3768</v>
      </c>
      <c r="C51">
        <f>B51/(60*60)</f>
        <v>1.0466666666666666</v>
      </c>
      <c r="D51" s="63">
        <f>'e-LTM'!AM51</f>
        <v>-3.6593837642734404E-2</v>
      </c>
    </row>
    <row r="53" spans="1:4" x14ac:dyDescent="0.25">
      <c r="A53" t="str">
        <f>'e-LTM'!B53</f>
        <v>McBride, D. M., &amp; Dosher, B. A. (1999). Forgetting rates are comparable in conscious and automatic memory: A process-dissociation study. Journal of Experimental Psychology: Learning, Memory, and Cognition, 25(3), 583-607.</v>
      </c>
      <c r="B53">
        <f>'e-LTM'!AA53</f>
        <v>4224</v>
      </c>
      <c r="C53">
        <f>B53/(60*60)</f>
        <v>1.1733333333333333</v>
      </c>
      <c r="D53" s="63">
        <f>'e-LTM'!AM53</f>
        <v>-0.19073528606652271</v>
      </c>
    </row>
    <row r="55" spans="1:4" x14ac:dyDescent="0.25">
      <c r="A55" t="str">
        <f>'e-LTM'!B55</f>
        <v>McBride, D. M., &amp; Dosher, B. A. (1999). Forgetting rates are comparable in conscious and automatic memory: A process-dissociation study. Journal of Experimental Psychology: Learning, Memory, and Cognition, 25(3), 583-607.</v>
      </c>
      <c r="B55">
        <f>'e-LTM'!AA55</f>
        <v>4224</v>
      </c>
      <c r="C55">
        <f>B55/(60*60)</f>
        <v>1.1733333333333333</v>
      </c>
      <c r="D55" s="63">
        <f>'e-LTM'!AM55</f>
        <v>-0.15658516371995584</v>
      </c>
    </row>
    <row r="57" spans="1:4" x14ac:dyDescent="0.25">
      <c r="A57" t="str">
        <f>'e-LTM'!B57</f>
        <v>McBride, D. M., &amp; Dosher, B. A. (1999). Forgetting rates are comparable in conscious and automatic memory: A process-dissociation study. Journal of Experimental Psychology: Learning, Memory, and Cognition, 25(3), 583-607.</v>
      </c>
      <c r="B57">
        <f>'e-LTM'!AA57</f>
        <v>4224</v>
      </c>
      <c r="C57">
        <f>B57/(60*60)</f>
        <v>1.1733333333333333</v>
      </c>
      <c r="D57" s="63">
        <f>'e-LTM'!AM57</f>
        <v>-4.656993122468521E-2</v>
      </c>
    </row>
    <row r="59" spans="1:4" x14ac:dyDescent="0.25">
      <c r="A59" t="str">
        <f>'e-LTM'!B59</f>
        <v>McBride, D. M., &amp; Dosher, B. A. (1999). Forgetting rates are comparable in conscious and automatic memory: A process-dissociation study. Journal of Experimental Psychology: Learning, Memory, and Cognition, 25(3), 583-607.</v>
      </c>
      <c r="B59">
        <f>'e-LTM'!AA59</f>
        <v>4224</v>
      </c>
      <c r="C59">
        <f>B59/(60*60)</f>
        <v>1.1733333333333333</v>
      </c>
      <c r="D59" s="63">
        <f>'e-LTM'!AM59</f>
        <v>-0.14891790493837317</v>
      </c>
    </row>
    <row r="61" spans="1:4" x14ac:dyDescent="0.25">
      <c r="A61" t="str">
        <f>'e-LTM'!B61</f>
        <v>McBride, D. M., &amp; Dosher, B. A. (1999). Forgetting rates are comparable in conscious and automatic memory: A process-dissociation study. Journal of Experimental Psychology: Learning, Memory, and Cognition, 25(3), 583-607.</v>
      </c>
      <c r="B61">
        <f>'e-LTM'!AA61</f>
        <v>765</v>
      </c>
      <c r="C61">
        <f>B61/(60*60)</f>
        <v>0.21249999999999999</v>
      </c>
      <c r="D61" s="63">
        <f>'e-LTM'!AM61</f>
        <v>-0.30475135206540238</v>
      </c>
    </row>
    <row r="63" spans="1:4" x14ac:dyDescent="0.25">
      <c r="A63" t="str">
        <f>'e-LTM'!B63</f>
        <v>McBride, D. M., &amp; Dosher, B. A. (1999). Forgetting rates are comparable in conscious and automatic memory: A process-dissociation study. Journal of Experimental Psychology: Learning, Memory, and Cognition, 25(3), 583-607.</v>
      </c>
      <c r="B63">
        <f>'e-LTM'!AA63</f>
        <v>765</v>
      </c>
      <c r="C63">
        <f>B63/(60*60)</f>
        <v>0.21249999999999999</v>
      </c>
      <c r="D63" s="63">
        <f>'e-LTM'!AM63</f>
        <v>-0.34061755633118523</v>
      </c>
    </row>
    <row r="65" spans="1:4" x14ac:dyDescent="0.25">
      <c r="A65" t="str">
        <f>'e-LTM'!B65</f>
        <v>McBride, D. M., &amp; Dosher, B. A. (1999). Forgetting rates are comparable in conscious and automatic memory: A process-dissociation study. Journal of Experimental Psychology: Learning, Memory, and Cognition, 25(3), 583-607.</v>
      </c>
      <c r="B65">
        <f>'e-LTM'!AA65</f>
        <v>765</v>
      </c>
      <c r="C65">
        <f>B65/(60*60)</f>
        <v>0.21249999999999999</v>
      </c>
      <c r="D65" s="63">
        <f>'e-LTM'!AM65</f>
        <v>-0.18699373208102818</v>
      </c>
    </row>
    <row r="67" spans="1:4" x14ac:dyDescent="0.25">
      <c r="A67" t="str">
        <f>'e-LTM'!B67</f>
        <v>McBride, D. M., &amp; Dosher, B. A. (1999). Forgetting rates are comparable in conscious and automatic memory: A process-dissociation study. Journal of Experimental Psychology: Learning, Memory, and Cognition, 25(3), 583-607.</v>
      </c>
      <c r="B67">
        <f>'e-LTM'!AA67</f>
        <v>765</v>
      </c>
      <c r="C67">
        <f>B67/(60*60)</f>
        <v>0.21249999999999999</v>
      </c>
      <c r="D67" s="63">
        <f>'e-LTM'!AM67</f>
        <v>-0.14920548299381145</v>
      </c>
    </row>
    <row r="68" spans="1:4" x14ac:dyDescent="0.25">
      <c r="D68" s="63"/>
    </row>
    <row r="69" spans="1:4" x14ac:dyDescent="0.25">
      <c r="A69" t="str">
        <f>'e-LTM'!B69</f>
        <v>McGibbon, T., &amp; Jansari, A. S. (2013). Detecting the onset of accelerated long-term forgetting: evidence from temporal lobe epilepsy. Neuropsychologia, 51(1), 114-122.</v>
      </c>
      <c r="B69">
        <f>'e-LTM'!AA69</f>
        <v>14400</v>
      </c>
      <c r="C69">
        <f>B69/(60*60)</f>
        <v>4</v>
      </c>
      <c r="D69" s="63">
        <f>'e-LTM'!AM69</f>
        <v>-6.6320753200862073E-2</v>
      </c>
    </row>
    <row r="71" spans="1:4" x14ac:dyDescent="0.25">
      <c r="A71" t="str">
        <f>'e-LTM'!B71</f>
        <v>Postman, L., Stark, K., &amp; Fraser, J. (1968). Temporal changes in interference. Journal of Verbal Learning and Verbal Behavior, 7(3), 672-694.</v>
      </c>
      <c r="B71">
        <f>'e-LTM'!AA71</f>
        <v>1560</v>
      </c>
      <c r="C71">
        <f>B71/(60*60)</f>
        <v>0.43333333333333335</v>
      </c>
      <c r="D71" s="63">
        <f>'e-LTM'!AM71</f>
        <v>-4.0960677745524365E-2</v>
      </c>
    </row>
    <row r="73" spans="1:4" x14ac:dyDescent="0.25">
      <c r="A73" t="str">
        <f>'e-LTM'!B73</f>
        <v>Postman, L., Stark, K., &amp; Fraser, J. (1968). Temporal changes in interference. Journal of Verbal Learning and Verbal Behavior, 7(3), 672-694.</v>
      </c>
      <c r="B73">
        <f>'e-LTM'!AA73</f>
        <v>1560</v>
      </c>
      <c r="C73">
        <f>B73/(60*60)</f>
        <v>0.43333333333333335</v>
      </c>
      <c r="D73" s="63">
        <f>'e-LTM'!AM73</f>
        <v>-2.4166709395687224E-2</v>
      </c>
    </row>
    <row r="75" spans="1:4" x14ac:dyDescent="0.25">
      <c r="A75" t="str">
        <f>'e-LTM'!B75</f>
        <v>Rowland, C., &amp; Delosh, E. (2014). Mnemonic benefits of retrieval practice at short retention intervals. Memory, 23(3), 1-17.</v>
      </c>
      <c r="B75">
        <f>'e-LTM'!AA75</f>
        <v>480</v>
      </c>
      <c r="C75">
        <f>B75/(60*60)</f>
        <v>0.13333333333333333</v>
      </c>
      <c r="D75" s="63">
        <f>'e-LTM'!AM75</f>
        <v>-0.21518520993464335</v>
      </c>
    </row>
    <row r="77" spans="1:4" x14ac:dyDescent="0.25">
      <c r="A77" t="str">
        <f>'e-LTM'!B77</f>
        <v>Rowland, C., &amp; Delosh, E. (2014). Mnemonic benefits of retrieval practice at short retention intervals. Memory, 23(3), 1-17.</v>
      </c>
      <c r="B77">
        <f>'e-LTM'!AA77</f>
        <v>480</v>
      </c>
      <c r="C77">
        <f>B77/(60*60)</f>
        <v>0.13333333333333333</v>
      </c>
      <c r="D77" s="63">
        <f>'e-LTM'!AM77</f>
        <v>-0.10963244929778714</v>
      </c>
    </row>
    <row r="79" spans="1:4" x14ac:dyDescent="0.25">
      <c r="A79" t="str">
        <f>'e-LTM'!B79</f>
        <v>Rowland, C., &amp; Delosh, E. (2014). Mnemonic benefits of retrieval practice at short retention intervals. Memory, 23(3), 1-17.</v>
      </c>
      <c r="B79">
        <f>'e-LTM'!AA79</f>
        <v>240</v>
      </c>
      <c r="C79">
        <f>B79/(60*60)</f>
        <v>6.6666666666666666E-2</v>
      </c>
      <c r="D79" s="63">
        <f>'e-LTM'!AM79</f>
        <v>-0.10117749958037014</v>
      </c>
    </row>
    <row r="81" spans="1:4" x14ac:dyDescent="0.25">
      <c r="A81" t="str">
        <f>'e-LTM'!B81</f>
        <v>Rowland, C., &amp; Delosh, E. (2014). Mnemonic benefits of retrieval practice at short retention intervals. Memory, 23(3), 1-17.</v>
      </c>
      <c r="B81">
        <f>'e-LTM'!AA81</f>
        <v>240</v>
      </c>
      <c r="C81">
        <f>B81/(60*60)</f>
        <v>6.6666666666666666E-2</v>
      </c>
      <c r="D81" s="63">
        <f>'e-LTM'!AM81</f>
        <v>-3.5682854601662491E-2</v>
      </c>
    </row>
    <row r="83" spans="1:4" x14ac:dyDescent="0.25">
      <c r="A83" t="str">
        <f>'e-LTM'!B83</f>
        <v>Ryback, R. S., Weinert, J., &amp; Fozard, J. L. (1970). Disruption of short-term memory in man following consumption of ethanol. Psychonomic Science, 20(6), 353-354.</v>
      </c>
      <c r="B83">
        <f>'e-LTM'!AA83</f>
        <v>2700</v>
      </c>
      <c r="C83">
        <f>B83/(60*60)</f>
        <v>0.75</v>
      </c>
      <c r="D83" s="63">
        <f>'e-LTM'!AM83</f>
        <v>-1.9727464596118505E-2</v>
      </c>
    </row>
    <row r="85" spans="1:4" x14ac:dyDescent="0.25">
      <c r="A85" t="str">
        <f>'e-LTM'!B85</f>
        <v>Ryback, R. S., Weinert, J., &amp; Fozard, J. L. (1970). Disruption of short-term memory in man following consumption of ethanol. Psychonomic Science, 20(6), 353-354.</v>
      </c>
      <c r="B85">
        <f>'e-LTM'!AA85</f>
        <v>2700</v>
      </c>
      <c r="C85">
        <f>B85/(60*60)</f>
        <v>0.75</v>
      </c>
      <c r="D85" s="63">
        <f>'e-LTM'!AM85</f>
        <v>-3.157575331899632E-3</v>
      </c>
    </row>
    <row r="87" spans="1:4" x14ac:dyDescent="0.25">
      <c r="A87" t="str">
        <f>'e-LTM'!B87</f>
        <v>Ryback, R. S., Weinert, J., &amp; Fozard, J. L. (1970). Disruption of short-term memory in man following consumption of ethanol. Psychonomic Science, 20(6), 353-354.</v>
      </c>
      <c r="B87">
        <f>'e-LTM'!AA87</f>
        <v>2700</v>
      </c>
      <c r="C87">
        <f>B87/(60*60)</f>
        <v>0.75</v>
      </c>
      <c r="D87" s="63">
        <f>'e-LTM'!AM87</f>
        <v>-1.4077656808005854E-2</v>
      </c>
    </row>
    <row r="89" spans="1:4" x14ac:dyDescent="0.25">
      <c r="A89" t="str">
        <f>'e-LTM'!B89</f>
        <v>Van Ormer, E. B. (1932). Sleep and Retention. Archives of Psychology, 137, 49.</v>
      </c>
      <c r="B89">
        <f>'e-LTM'!AA89</f>
        <v>28800</v>
      </c>
      <c r="C89">
        <f>B89/(60*60)</f>
        <v>8</v>
      </c>
      <c r="D89" s="63">
        <f>'e-LTM'!AM89</f>
        <v>-0.15302715566210412</v>
      </c>
    </row>
    <row r="91" spans="1:4" x14ac:dyDescent="0.25">
      <c r="A91" t="str">
        <f>'e-LTM'!B91</f>
        <v>Van Ormer, E. B. (1932). Sleep and Retention. Archives of Psychology, 137, 49.</v>
      </c>
      <c r="B91">
        <f>'e-LTM'!AA91</f>
        <v>28800</v>
      </c>
      <c r="C91">
        <f>B91/(60*60)</f>
        <v>8</v>
      </c>
      <c r="D91" s="63">
        <f>'e-LTM'!AM91</f>
        <v>-0.19168140517604182</v>
      </c>
    </row>
    <row r="93" spans="1:4" x14ac:dyDescent="0.25">
      <c r="A93" t="str">
        <f>'e-LTM'!B93</f>
        <v>Warrington, E. K. (1982). The double dissociation of short- and long-term memory deficits. Cermak, L. S. (Ed.), Human Memory and Amnesia, (pp. 61-76). Erlbaum, Hillsdale, NJ.</v>
      </c>
      <c r="B93">
        <f>'e-LTM'!AA93</f>
        <v>60</v>
      </c>
      <c r="C93">
        <f>B93/(60*60)</f>
        <v>1.6666666666666666E-2</v>
      </c>
      <c r="D93" s="63">
        <f>'e-LTM'!AM93</f>
        <v>-7.4822670105094274E-2</v>
      </c>
    </row>
    <row r="95" spans="1:4" x14ac:dyDescent="0.25">
      <c r="A95" t="str">
        <f>'e-LTM'!B95</f>
        <v>Warrington, E. K. (1982). The double dissociation of short- and long-term memory deficits. Cermak, L. S. (Ed.), Human Memory and Amnesia, (pp. 61-76). Erlbaum, Hillsdale, NJ.</v>
      </c>
      <c r="B95">
        <f>'e-LTM'!AA95</f>
        <v>60</v>
      </c>
      <c r="C95">
        <f>B95/(60*60)</f>
        <v>1.6666666666666666E-2</v>
      </c>
      <c r="D95" s="63">
        <f>'e-LTM'!AM95</f>
        <v>-8.2642429220752947E-2</v>
      </c>
    </row>
    <row r="97" spans="1:4" x14ac:dyDescent="0.25">
      <c r="A97" t="str">
        <f>'e-LTM'!B97</f>
        <v>Youtz, A. C. (1941). An experimental evaluation of Jost's laws. The psychological monographs, 238, 1-54.</v>
      </c>
      <c r="B97">
        <f>'e-LTM'!AA97</f>
        <v>3600</v>
      </c>
      <c r="C97">
        <f>B97/(60*60)</f>
        <v>1</v>
      </c>
      <c r="D97" s="63">
        <f>'e-LTM'!AM97</f>
        <v>-0.10339978263300202</v>
      </c>
    </row>
    <row r="99" spans="1:4" x14ac:dyDescent="0.25">
      <c r="A99" t="str">
        <f>'e-LTM'!B99</f>
        <v>Youtz, A. C. (1941). An experimental evaluation of Jost's laws. The psychological monographs, 238, 1-54.</v>
      </c>
      <c r="B99">
        <f>'e-LTM'!AA99</f>
        <v>3600</v>
      </c>
      <c r="C99">
        <f>B99/(60*60)</f>
        <v>1</v>
      </c>
      <c r="D99" s="63">
        <f>'e-LTM'!AM99</f>
        <v>-9.4491566824757581E-2</v>
      </c>
    </row>
    <row r="101" spans="1:4" x14ac:dyDescent="0.25">
      <c r="D101" s="63"/>
    </row>
    <row r="103" spans="1:4" x14ac:dyDescent="0.25">
      <c r="D103" s="63"/>
    </row>
    <row r="105" spans="1:4" x14ac:dyDescent="0.25">
      <c r="D105" s="63"/>
    </row>
    <row r="107" spans="1:4" x14ac:dyDescent="0.25">
      <c r="D107" s="63"/>
    </row>
    <row r="109" spans="1:4" x14ac:dyDescent="0.25">
      <c r="D109" s="63"/>
    </row>
    <row r="111" spans="1:4" x14ac:dyDescent="0.25">
      <c r="D111" s="63"/>
    </row>
    <row r="113" spans="4:4" x14ac:dyDescent="0.25">
      <c r="D113" s="63"/>
    </row>
    <row r="115" spans="4:4" x14ac:dyDescent="0.25">
      <c r="D115" s="63"/>
    </row>
    <row r="117" spans="4:4" x14ac:dyDescent="0.25">
      <c r="D117" s="63"/>
    </row>
    <row r="119" spans="4:4" x14ac:dyDescent="0.25">
      <c r="D119" s="63"/>
    </row>
    <row r="121" spans="4:4" x14ac:dyDescent="0.25">
      <c r="D121" s="63"/>
    </row>
    <row r="123" spans="4:4" x14ac:dyDescent="0.25">
      <c r="D123" s="63"/>
    </row>
    <row r="125" spans="4:4" x14ac:dyDescent="0.25">
      <c r="D125" s="63"/>
    </row>
    <row r="127" spans="4:4" x14ac:dyDescent="0.25">
      <c r="D127" s="63"/>
    </row>
    <row r="129" spans="4:4" x14ac:dyDescent="0.25">
      <c r="D129" s="63"/>
    </row>
    <row r="131" spans="4:4" x14ac:dyDescent="0.25">
      <c r="D131" s="63"/>
    </row>
    <row r="133" spans="4:4" x14ac:dyDescent="0.25">
      <c r="D133" s="63"/>
    </row>
    <row r="135" spans="4:4" x14ac:dyDescent="0.25">
      <c r="D135" s="63"/>
    </row>
    <row r="137" spans="4:4" x14ac:dyDescent="0.25">
      <c r="D137" s="63"/>
    </row>
    <row r="139" spans="4:4" x14ac:dyDescent="0.25">
      <c r="D139" s="63"/>
    </row>
    <row r="141" spans="4:4" x14ac:dyDescent="0.25">
      <c r="D141" s="63"/>
    </row>
    <row r="143" spans="4:4" x14ac:dyDescent="0.25">
      <c r="D143" s="63"/>
    </row>
    <row r="145" spans="4:4" x14ac:dyDescent="0.25">
      <c r="D145" s="63"/>
    </row>
    <row r="147" spans="4:4" x14ac:dyDescent="0.25">
      <c r="D147" s="63"/>
    </row>
    <row r="149" spans="4:4" x14ac:dyDescent="0.25">
      <c r="D149" s="63"/>
    </row>
    <row r="151" spans="4:4" x14ac:dyDescent="0.25">
      <c r="D151" s="63"/>
    </row>
    <row r="153" spans="4:4" x14ac:dyDescent="0.25">
      <c r="D153" s="63"/>
    </row>
    <row r="155" spans="4:4" x14ac:dyDescent="0.25">
      <c r="D155" s="63"/>
    </row>
    <row r="157" spans="4:4" x14ac:dyDescent="0.25">
      <c r="D157" s="63"/>
    </row>
    <row r="159" spans="4:4" x14ac:dyDescent="0.25">
      <c r="D159" s="63"/>
    </row>
    <row r="161" spans="4:4" x14ac:dyDescent="0.25">
      <c r="D161" s="63"/>
    </row>
    <row r="163" spans="4:4" x14ac:dyDescent="0.25">
      <c r="D163" s="63"/>
    </row>
    <row r="165" spans="4:4" x14ac:dyDescent="0.25">
      <c r="D165" s="63"/>
    </row>
    <row r="167" spans="4:4" x14ac:dyDescent="0.25">
      <c r="D167" s="63"/>
    </row>
    <row r="169" spans="4:4" x14ac:dyDescent="0.25">
      <c r="D169" s="63"/>
    </row>
    <row r="171" spans="4:4" x14ac:dyDescent="0.25">
      <c r="D171" s="63"/>
    </row>
    <row r="173" spans="4:4" x14ac:dyDescent="0.25">
      <c r="D173" s="63"/>
    </row>
    <row r="175" spans="4:4" x14ac:dyDescent="0.25">
      <c r="D175" s="63"/>
    </row>
    <row r="177" spans="4:4" x14ac:dyDescent="0.25">
      <c r="D177" s="63"/>
    </row>
    <row r="179" spans="4:4" x14ac:dyDescent="0.25">
      <c r="D179" s="63"/>
    </row>
    <row r="181" spans="4:4" x14ac:dyDescent="0.25">
      <c r="D181" s="63"/>
    </row>
    <row r="183" spans="4:4" x14ac:dyDescent="0.25">
      <c r="D183" s="63"/>
    </row>
    <row r="185" spans="4:4" x14ac:dyDescent="0.25">
      <c r="D185" s="63"/>
    </row>
    <row r="187" spans="4:4" x14ac:dyDescent="0.25">
      <c r="D187" s="63"/>
    </row>
    <row r="189" spans="4:4" x14ac:dyDescent="0.25">
      <c r="D189" s="63"/>
    </row>
    <row r="191" spans="4:4" x14ac:dyDescent="0.25">
      <c r="D191" s="63"/>
    </row>
    <row r="193" spans="4:4" x14ac:dyDescent="0.25">
      <c r="D193" s="63"/>
    </row>
    <row r="195" spans="4:4" x14ac:dyDescent="0.25">
      <c r="D195" s="63"/>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vt:i4>
      </vt:variant>
    </vt:vector>
  </HeadingPairs>
  <TitlesOfParts>
    <vt:vector size="30" baseType="lpstr">
      <vt:lpstr>Listing</vt:lpstr>
      <vt:lpstr>WM</vt:lpstr>
      <vt:lpstr>WM graph</vt:lpstr>
      <vt:lpstr>WM Single</vt:lpstr>
      <vt:lpstr>WM Single graph</vt:lpstr>
      <vt:lpstr>WM Multiple</vt:lpstr>
      <vt:lpstr>WM Multiple graph</vt:lpstr>
      <vt:lpstr>e-LTM</vt:lpstr>
      <vt:lpstr>e-LTM graph</vt:lpstr>
      <vt:lpstr>e-LTM Single</vt:lpstr>
      <vt:lpstr>e-LTM Single graph</vt:lpstr>
      <vt:lpstr>e-LTM Multiple</vt:lpstr>
      <vt:lpstr>e-LTM Multiple graph</vt:lpstr>
      <vt:lpstr>t-LTM</vt:lpstr>
      <vt:lpstr>t-LTM graph</vt:lpstr>
      <vt:lpstr>t-LTM Single</vt:lpstr>
      <vt:lpstr>t-LTM Single graph</vt:lpstr>
      <vt:lpstr>t-LTM Multiple</vt:lpstr>
      <vt:lpstr>t-LTM Multiple graph</vt:lpstr>
      <vt:lpstr>LLM</vt:lpstr>
      <vt:lpstr>LLM graph</vt:lpstr>
      <vt:lpstr>LLM Single</vt:lpstr>
      <vt:lpstr>LLM Single graph</vt:lpstr>
      <vt:lpstr>LLM Multiple</vt:lpstr>
      <vt:lpstr>LLM Multiple graph</vt:lpstr>
      <vt:lpstr>Bars</vt:lpstr>
      <vt:lpstr>Bars Single</vt:lpstr>
      <vt:lpstr>Bars Multiple</vt:lpstr>
      <vt:lpstr>Listing!solver_adj</vt:lpstr>
      <vt:lpstr>Listing!solver_opt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Gabriel Radvansky</dc:creator>
  <cp:lastModifiedBy>Gabriel Radvansky</cp:lastModifiedBy>
  <dcterms:created xsi:type="dcterms:W3CDTF">2020-03-23T15:12:30Z</dcterms:created>
  <dcterms:modified xsi:type="dcterms:W3CDTF">2021-02-25T00:26:38Z</dcterms:modified>
</cp:coreProperties>
</file>